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Max/Dropbox/CRISPRia_v2_paper/"/>
    </mc:Choice>
  </mc:AlternateContent>
  <bookViews>
    <workbookView xWindow="1840" yWindow="2680" windowWidth="26960" windowHeight="15380" tabRatio="500" activeTab="1"/>
  </bookViews>
  <sheets>
    <sheet name="Human hg19" sheetId="1" r:id="rId1"/>
    <sheet name="Mouse mm10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2" l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</calcChain>
</file>

<file path=xl/sharedStrings.xml><?xml version="1.0" encoding="utf-8"?>
<sst xmlns="http://schemas.openxmlformats.org/spreadsheetml/2006/main" count="177978" uniqueCount="6386">
  <si>
    <t>gene</t>
  </si>
  <si>
    <t>transcript</t>
  </si>
  <si>
    <t>chromosome</t>
  </si>
  <si>
    <t>strand</t>
  </si>
  <si>
    <t>TSS source</t>
  </si>
  <si>
    <t>Primary TSS, 5'</t>
  </si>
  <si>
    <t>Primary TSS, 3'</t>
  </si>
  <si>
    <t>Secondary TSS, 5'</t>
  </si>
  <si>
    <t>Secondary TSS, 3'</t>
  </si>
  <si>
    <t>P1</t>
  </si>
  <si>
    <t>chr19</t>
  </si>
  <si>
    <t>-</t>
  </si>
  <si>
    <t>CAGE, matched peaks</t>
  </si>
  <si>
    <t>P2</t>
  </si>
  <si>
    <t>P1P2</t>
  </si>
  <si>
    <t>chr10</t>
  </si>
  <si>
    <t>chr12</t>
  </si>
  <si>
    <t>+</t>
  </si>
  <si>
    <t>ENST00000442999.3</t>
  </si>
  <si>
    <t>chr1</t>
  </si>
  <si>
    <t>Annotation</t>
  </si>
  <si>
    <t>chr22</t>
  </si>
  <si>
    <t>chr3</t>
  </si>
  <si>
    <t>chr4</t>
  </si>
  <si>
    <t>chr9</t>
  </si>
  <si>
    <t>chr15</t>
  </si>
  <si>
    <t>chr2</t>
  </si>
  <si>
    <t>chr11</t>
  </si>
  <si>
    <t>chr17</t>
  </si>
  <si>
    <t>chr20</t>
  </si>
  <si>
    <t>chr8</t>
  </si>
  <si>
    <t>chr16</t>
  </si>
  <si>
    <t>chr6</t>
  </si>
  <si>
    <t>chr7</t>
  </si>
  <si>
    <t>ENST00000326724.4</t>
  </si>
  <si>
    <t>CAGE, robust peak</t>
  </si>
  <si>
    <t>ENST00000265724.3</t>
  </si>
  <si>
    <t>chrX</t>
  </si>
  <si>
    <t>ENST00000311303.3</t>
  </si>
  <si>
    <t>chr13</t>
  </si>
  <si>
    <t>ENST00000205557.7</t>
  </si>
  <si>
    <t>chr14</t>
  </si>
  <si>
    <t>chr21</t>
  </si>
  <si>
    <t>chr18</t>
  </si>
  <si>
    <t>ENST00000372348.2</t>
  </si>
  <si>
    <t>ENST00000277895.5</t>
  </si>
  <si>
    <t>chr5</t>
  </si>
  <si>
    <t>ENST00000378832.1</t>
  </si>
  <si>
    <t>ENST00000270593.1</t>
  </si>
  <si>
    <t>ENST00000399422.4</t>
  </si>
  <si>
    <t>ENST00000381312.1</t>
  </si>
  <si>
    <t>ENST00000413193.2</t>
  </si>
  <si>
    <t>ENST00000452145.2</t>
  </si>
  <si>
    <t>ENST00000448048.2</t>
  </si>
  <si>
    <t>ENST00000374094.4,ENST00000443782.2</t>
  </si>
  <si>
    <t>ENST00000374095.5</t>
  </si>
  <si>
    <t>ENST00000453919.1</t>
  </si>
  <si>
    <t>ENST00000456984.2</t>
  </si>
  <si>
    <t>ENST00000421325.2</t>
  </si>
  <si>
    <t>ENST00000441037.2</t>
  </si>
  <si>
    <t>ENST00000370001.3</t>
  </si>
  <si>
    <t>ENST00000340333.3</t>
  </si>
  <si>
    <t>ENST00000361673.3</t>
  </si>
  <si>
    <t>chrY</t>
  </si>
  <si>
    <t>ENST00000370083.4</t>
  </si>
  <si>
    <t>ENST00000330330.5,ENST00000370080.3</t>
  </si>
  <si>
    <t>ENST00000370079.3</t>
  </si>
  <si>
    <t>CAGE, primary peaks</t>
  </si>
  <si>
    <t>ENST00000264366.6</t>
  </si>
  <si>
    <t>ENST00000564591.1,ENST00000566717.2</t>
  </si>
  <si>
    <t>ENST00000377477.2</t>
  </si>
  <si>
    <t>ENST00000377601.2</t>
  </si>
  <si>
    <t>ENST00000254835.2</t>
  </si>
  <si>
    <t>ENST00000357336.3</t>
  </si>
  <si>
    <t>ENST00000328737.2</t>
  </si>
  <si>
    <t>CAGE permissive peak</t>
  </si>
  <si>
    <t>ENST00000450567.1</t>
  </si>
  <si>
    <t>ENST00000341048.4</t>
  </si>
  <si>
    <t>ENST00000457363.1</t>
  </si>
  <si>
    <t>ENST00000329257.7,ENST00000547776.2</t>
  </si>
  <si>
    <t>ENST00000446160.1</t>
  </si>
  <si>
    <t>ENST00000359178.4</t>
  </si>
  <si>
    <t>ENST00000249044.2</t>
  </si>
  <si>
    <t>ENST00000509504.1</t>
  </si>
  <si>
    <t>ENST00000310343.9</t>
  </si>
  <si>
    <t>ENST00000404338.3</t>
  </si>
  <si>
    <t>ENST00000398800.4</t>
  </si>
  <si>
    <t>ENST00000378115.2</t>
  </si>
  <si>
    <t>ENST00000543357.1</t>
  </si>
  <si>
    <t>ENST00000370623.3</t>
  </si>
  <si>
    <t>ENST00000279873.7</t>
  </si>
  <si>
    <t>ENST00000601302.2</t>
  </si>
  <si>
    <t>ENST00000329240.4,ENST00000336125.5,ENST00000445552.2</t>
  </si>
  <si>
    <t>ENST00000434041.2,ENST00000450673.3,ENST00000570618.1</t>
  </si>
  <si>
    <t>ENST00000187397.4</t>
  </si>
  <si>
    <t>ENST00000448504.2</t>
  </si>
  <si>
    <t>ENST00000381130.2</t>
  </si>
  <si>
    <t>ENST00000395526.4</t>
  </si>
  <si>
    <t>ENST00000362002.2</t>
  </si>
  <si>
    <t>ENST00000396130.2</t>
  </si>
  <si>
    <t>ENST00000342331.4</t>
  </si>
  <si>
    <t>ENST00000359872.6</t>
  </si>
  <si>
    <t>ENST00000320256.4</t>
  </si>
  <si>
    <t>ENST00000342380.2</t>
  </si>
  <si>
    <t>ENST00000361648.2</t>
  </si>
  <si>
    <t>ENST00000505920.1</t>
  </si>
  <si>
    <t>ENST00000398590.3</t>
  </si>
  <si>
    <t>ENST00000538065.1</t>
  </si>
  <si>
    <t>ENST00000343118.4,ENST00000398714.2</t>
  </si>
  <si>
    <t>ENST00000380618.1</t>
  </si>
  <si>
    <t>ENST00000380620.4</t>
  </si>
  <si>
    <t>ENST00000395961.3</t>
  </si>
  <si>
    <t>ENST00000602836.1</t>
  </si>
  <si>
    <t>ENST00000560104.1</t>
  </si>
  <si>
    <t>ENST00000252677.3</t>
  </si>
  <si>
    <t>ENST00000330978.3</t>
  </si>
  <si>
    <t>ENST00000305321.4</t>
  </si>
  <si>
    <t>ENST00000375494.3</t>
  </si>
  <si>
    <t>ENST00000331070.3,ENST00000382585.1</t>
  </si>
  <si>
    <t>ENST00000382392.1</t>
  </si>
  <si>
    <t>ENST00000382287.1</t>
  </si>
  <si>
    <t>ENST00000263377.2,ENST00000371835.4</t>
  </si>
  <si>
    <t>ENST00000260723.4,ENST00000368994.2</t>
  </si>
  <si>
    <t>ENST00000422652.1</t>
  </si>
  <si>
    <t>ENST00000436147.3</t>
  </si>
  <si>
    <t>ENST00000244513.6</t>
  </si>
  <si>
    <t>ENST00000372499.1</t>
  </si>
  <si>
    <t>ENST00000454679.2</t>
  </si>
  <si>
    <t>ENST00000529198.1,ENST00000534331.1</t>
  </si>
  <si>
    <t>ENST00000286067.2</t>
  </si>
  <si>
    <t>ENST00000375520.1</t>
  </si>
  <si>
    <t>ENST00000284694.7</t>
  </si>
  <si>
    <t>ENST00000307616.1</t>
  </si>
  <si>
    <t>ENST00000317019.2</t>
  </si>
  <si>
    <t>ENST00000378113.2,ENST00000548883.1</t>
  </si>
  <si>
    <t>ENST00000429849.2</t>
  </si>
  <si>
    <t>ENST00000356049.1</t>
  </si>
  <si>
    <t>ENST00000325812.2</t>
  </si>
  <si>
    <t>ENST00000305273.1</t>
  </si>
  <si>
    <t>ENST00000267485.7</t>
  </si>
  <si>
    <t>ENST00000286732.4</t>
  </si>
  <si>
    <t>ENST00000408886.2</t>
  </si>
  <si>
    <t>ENST00000358463.2</t>
  </si>
  <si>
    <t>ENST00000562818.1</t>
  </si>
  <si>
    <t>ENST00000566314.1</t>
  </si>
  <si>
    <t>ENST00000566628.1</t>
  </si>
  <si>
    <t>ENST00000328023.2</t>
  </si>
  <si>
    <t>ENST00000392620.1</t>
  </si>
  <si>
    <t>ENST00000429690.1</t>
  </si>
  <si>
    <t>ENST00000444304.2</t>
  </si>
  <si>
    <t>ENST00000332018.4</t>
  </si>
  <si>
    <t>ENST00000382071.2</t>
  </si>
  <si>
    <t>ENST00000382137.3</t>
  </si>
  <si>
    <t>ENST00000382140.2</t>
  </si>
  <si>
    <t>ENST00000367727.4</t>
  </si>
  <si>
    <t>ENST00000375605.2</t>
  </si>
  <si>
    <t>ENST00000369482.1</t>
  </si>
  <si>
    <t>ENST00000458657.2,ENST00000535358.1</t>
  </si>
  <si>
    <t>ENST00000408964.2</t>
  </si>
  <si>
    <t>ENST00000355171.4</t>
  </si>
  <si>
    <t>ENST00000303798.2</t>
  </si>
  <si>
    <t>ENST00000264434.2</t>
  </si>
  <si>
    <t>ENST00000420306.1</t>
  </si>
  <si>
    <t>ENST00000409561.1</t>
  </si>
  <si>
    <t>ENST00000253697.3</t>
  </si>
  <si>
    <t>ENST00000356020.2</t>
  </si>
  <si>
    <t>ENST00000328376.5</t>
  </si>
  <si>
    <t>ENST00000425564.2</t>
  </si>
  <si>
    <t>ENST00000425932.1</t>
  </si>
  <si>
    <t>ENST00000426078.1</t>
  </si>
  <si>
    <t>ENST00000408895.2</t>
  </si>
  <si>
    <t>ENST00000446603.2</t>
  </si>
  <si>
    <t>ENST00000428956.2</t>
  </si>
  <si>
    <t>ENST00000435363.2</t>
  </si>
  <si>
    <t>ENST00000434826.2</t>
  </si>
  <si>
    <t>ENST00000503143.2</t>
  </si>
  <si>
    <t>ENST00000417143.3</t>
  </si>
  <si>
    <t>NM_001243308</t>
  </si>
  <si>
    <t>ENST00000357429.6,ENST00000397098.3,ENST00000397100.2</t>
  </si>
  <si>
    <t>ENST00000408988.2</t>
  </si>
  <si>
    <t>ENST00000379007.2</t>
  </si>
  <si>
    <t>ENST00000356686.1</t>
  </si>
  <si>
    <t>ENST00000263408.4</t>
  </si>
  <si>
    <t>ENST00000375315.2</t>
  </si>
  <si>
    <t>ENST00000320778.2</t>
  </si>
  <si>
    <t>ENST00000380683.1</t>
  </si>
  <si>
    <t>ENST00000380685.1</t>
  </si>
  <si>
    <t>ENST00000382722.5</t>
  </si>
  <si>
    <t>ENST00000586184.1</t>
  </si>
  <si>
    <t>ENST00000360283.6,ENST00000534999.1</t>
  </si>
  <si>
    <t>ENST00000291295.9</t>
  </si>
  <si>
    <t>ENST00000269881.3</t>
  </si>
  <si>
    <t>ENST00000349748.3</t>
  </si>
  <si>
    <t>ENST00000377022.3</t>
  </si>
  <si>
    <t>ENST00000356521.4</t>
  </si>
  <si>
    <t>ENST00000377457.5</t>
  </si>
  <si>
    <t>ENST00000377391.3,ENST00000456520.1</t>
  </si>
  <si>
    <t>ENST00000409187.1</t>
  </si>
  <si>
    <t>ENST00000599174.1</t>
  </si>
  <si>
    <t>ENST00000300227.8,ENST00000383096.3</t>
  </si>
  <si>
    <t>ENST00000403303.1</t>
  </si>
  <si>
    <t>ENST00000442201.2</t>
  </si>
  <si>
    <t>ENST00000397558.2</t>
  </si>
  <si>
    <t>ENST00000378354.4</t>
  </si>
  <si>
    <t>ENST00000394465.2</t>
  </si>
  <si>
    <t>ENST00000341935.5,ENST00000349984.4</t>
  </si>
  <si>
    <t>ENST00000400926.2</t>
  </si>
  <si>
    <t>ENST00000359963.3</t>
  </si>
  <si>
    <t>ENST00000316731.8</t>
  </si>
  <si>
    <t>ENST00000313599.3,ENST00000416109.2</t>
  </si>
  <si>
    <t>ENST00000371330.1</t>
  </si>
  <si>
    <t>ENST00000348616.4</t>
  </si>
  <si>
    <t>ENST00000317716.9,ENST00000542731.1</t>
  </si>
  <si>
    <t>ENST00000317673.7,ENST00000340677.5,ENST00000407249.3</t>
  </si>
  <si>
    <t>ENST00000341832.6</t>
  </si>
  <si>
    <t>ENST00000374598.4</t>
  </si>
  <si>
    <t>ENST00000378803.1,ENST00000395035.3</t>
  </si>
  <si>
    <t>ENST00000395906.3</t>
  </si>
  <si>
    <t>ENST00000399044.1</t>
  </si>
  <si>
    <t>ENST00000312177.6</t>
  </si>
  <si>
    <t>ENST00000361963.2</t>
  </si>
  <si>
    <t>ENST00000382407.1</t>
  </si>
  <si>
    <t>ENST00000250838.4</t>
  </si>
  <si>
    <t>ENST00000382867.3</t>
  </si>
  <si>
    <t>ENST00000405314.2</t>
  </si>
  <si>
    <t>ENST00000587331.1</t>
  </si>
  <si>
    <t>ENST00000293636.1</t>
  </si>
  <si>
    <t>ENST00000259216.4</t>
  </si>
  <si>
    <t>ENST00000367415.5</t>
  </si>
  <si>
    <t>ENST00000367421.3</t>
  </si>
  <si>
    <t>ENST00000359342.6</t>
  </si>
  <si>
    <t>ENST00000313548.4</t>
  </si>
  <si>
    <t>ENST00000409900.3</t>
  </si>
  <si>
    <t>ENST00000299847.2</t>
  </si>
  <si>
    <t>ENST00000255380.4</t>
  </si>
  <si>
    <t>ENST00000250699.2</t>
  </si>
  <si>
    <t>ENST00000269878.4</t>
  </si>
  <si>
    <t>ENST00000413453.2</t>
  </si>
  <si>
    <t>ENST00000434505.1</t>
  </si>
  <si>
    <t>ENST00000300283.6</t>
  </si>
  <si>
    <t>ENST00000441322.1</t>
  </si>
  <si>
    <t>ENST00000600888.1</t>
  </si>
  <si>
    <t>ENST00000307367.2</t>
  </si>
  <si>
    <t>ENST00000376108.3</t>
  </si>
  <si>
    <t>ENST00000541814.1</t>
  </si>
  <si>
    <t>ENST00000453129.2</t>
  </si>
  <si>
    <t>ENST00000288040.6,ENST00000449317.2</t>
  </si>
  <si>
    <t>ENST00000393701.2,ENST00000568461.1</t>
  </si>
  <si>
    <t>ENST00000378485.1</t>
  </si>
  <si>
    <t>ENST00000378487.2,ENST00000538965.1</t>
  </si>
  <si>
    <t>ENST00000511148.2</t>
  </si>
  <si>
    <t>ENST00000329903.4</t>
  </si>
  <si>
    <t>ENST00000263665.6</t>
  </si>
  <si>
    <t>ENST00000297668.6</t>
  </si>
  <si>
    <t>ENST00000450361.2</t>
  </si>
  <si>
    <t>ENST00000443236.1</t>
  </si>
  <si>
    <t>ENST00000562019.1</t>
  </si>
  <si>
    <t>ENST00000568128.1</t>
  </si>
  <si>
    <t>ENST00000367400.3</t>
  </si>
  <si>
    <t>ENST00000357727.2</t>
  </si>
  <si>
    <t>ENST00000396300.2</t>
  </si>
  <si>
    <t>ENST00000395895.2</t>
  </si>
  <si>
    <t>ENST00000182096.4</t>
  </si>
  <si>
    <t>ENST00000356911.4</t>
  </si>
  <si>
    <t>ENST00000415810.1</t>
  </si>
  <si>
    <t>ENST00000353151.3</t>
  </si>
  <si>
    <t>ENST00000246020.2</t>
  </si>
  <si>
    <t>ENST00000347397.1</t>
  </si>
  <si>
    <t>ENST00000370741.3,ENST00000482795.1,ENST00000497301.2</t>
  </si>
  <si>
    <t>ENST00000370736.3,ENST00000471213.2,ENST00000495729.2</t>
  </si>
  <si>
    <t>ENST00000370734.3,ENST00000485366.2</t>
  </si>
  <si>
    <t>ENST00000443882.1</t>
  </si>
  <si>
    <t>ENST00000420087.2</t>
  </si>
  <si>
    <t>ENST00000434966.2,ENST00000487941.2,ENST00000494421.1</t>
  </si>
  <si>
    <t>ENST00000448053.2,ENST00000472834.1,ENST00000491002.2</t>
  </si>
  <si>
    <t>ENST00000371280.3,ENST00000433030.1,ENST00000434414.1</t>
  </si>
  <si>
    <t>ENST00000430448.2</t>
  </si>
  <si>
    <t>ENST00000457020.2</t>
  </si>
  <si>
    <t>ENST00000416816.1,ENST00000419982.2</t>
  </si>
  <si>
    <t>ENST00000458218.2</t>
  </si>
  <si>
    <t>ENST00000441330.2</t>
  </si>
  <si>
    <t>ENST00000415858.2</t>
  </si>
  <si>
    <t>ENST00000419194.2,ENST00000439466.2</t>
  </si>
  <si>
    <t>ENST00000443600.2</t>
  </si>
  <si>
    <t>ENST00000434883.2</t>
  </si>
  <si>
    <t>ENST00000457977.2</t>
  </si>
  <si>
    <t>ENST00000417256.2</t>
  </si>
  <si>
    <t>ENST00000371311.3</t>
  </si>
  <si>
    <t>ENST00000333128.3</t>
  </si>
  <si>
    <t>ENST00000328435.2</t>
  </si>
  <si>
    <t>ENST00000369585.3</t>
  </si>
  <si>
    <t>ENST00000420911.2</t>
  </si>
  <si>
    <t>ENST00000486333.1</t>
  </si>
  <si>
    <t>ENST00000470691.2</t>
  </si>
  <si>
    <t>ENST00000487179.1</t>
  </si>
  <si>
    <t>ENST00000314099.8</t>
  </si>
  <si>
    <t>ENST00000304623.8</t>
  </si>
  <si>
    <t>ENST00000286758.4</t>
  </si>
  <si>
    <t>ENST00000378657.4</t>
  </si>
  <si>
    <t>ENST00000452468.1</t>
  </si>
  <si>
    <t>ENST00000535490.1</t>
  </si>
  <si>
    <t>ENST00000440412.1</t>
  </si>
  <si>
    <t>ENST00000542739.1</t>
  </si>
  <si>
    <t>ENST00000458472.1</t>
  </si>
  <si>
    <t>ENST00000438525.2</t>
  </si>
  <si>
    <t>ENST00000323110.2</t>
  </si>
  <si>
    <t>ENST00000282018.3</t>
  </si>
  <si>
    <t>ENST00000382764.1</t>
  </si>
  <si>
    <t>ENST00000371234.4</t>
  </si>
  <si>
    <t>ENST00000371236.2</t>
  </si>
  <si>
    <t>ENST00000373125.4,ENST00000373131.1</t>
  </si>
  <si>
    <t>ENST00000297056.6</t>
  </si>
  <si>
    <t>ENST00000329625.5,ENST00000375936.3</t>
  </si>
  <si>
    <t>ENST00000382510.4,ENST00000405239.1</t>
  </si>
  <si>
    <t>ENST00000382294.2,ENST00000382306.2,ENST00000382424.4,ENST00000382433.4,ENST00000382449.1,ENST00000400493.2,ENST00000449947.1</t>
  </si>
  <si>
    <t>ENST00000315357.7,ENST00000382365.2,ENST00000446723.1</t>
  </si>
  <si>
    <t>ENST00000440066.2</t>
  </si>
  <si>
    <t>ENST00000357232.4</t>
  </si>
  <si>
    <t>ENST00000255448.4</t>
  </si>
  <si>
    <t>ENST00000350608.3</t>
  </si>
  <si>
    <t>ENST00000398344.4</t>
  </si>
  <si>
    <t>ENST00000374016.1</t>
  </si>
  <si>
    <t>ENST00000382679.2</t>
  </si>
  <si>
    <t>ENST00000382692.2</t>
  </si>
  <si>
    <t>ENST00000318124.3</t>
  </si>
  <si>
    <t>ENST00000314265.2</t>
  </si>
  <si>
    <t>ENST00000316169.2</t>
  </si>
  <si>
    <t>ENST00000334773.6</t>
  </si>
  <si>
    <t>ENST00000335510.6</t>
  </si>
  <si>
    <t>ENST00000335186.2</t>
  </si>
  <si>
    <t>ENST00000335479.2</t>
  </si>
  <si>
    <t>ENST00000335021.2</t>
  </si>
  <si>
    <t>ENST00000355602.2</t>
  </si>
  <si>
    <t>ENST00000328698.1</t>
  </si>
  <si>
    <t>ENST00000322246.4</t>
  </si>
  <si>
    <t>ENST00000398718.1</t>
  </si>
  <si>
    <t>ENST00000400552.1</t>
  </si>
  <si>
    <t>ENST00000400079.1</t>
  </si>
  <si>
    <t>ENST00000398721.2</t>
  </si>
  <si>
    <t>ENST00000382209.2</t>
  </si>
  <si>
    <t>ENST00000318157.2</t>
  </si>
  <si>
    <t>ENST00000602925.1</t>
  </si>
  <si>
    <t>ENST00000382755.4</t>
  </si>
  <si>
    <t>ENST00000284476.6</t>
  </si>
  <si>
    <t>ENST00000440460.2</t>
  </si>
  <si>
    <t>ENST00000315677.3</t>
  </si>
  <si>
    <t>ENST00000584874.1</t>
  </si>
  <si>
    <t>ENST00000421627.2</t>
  </si>
  <si>
    <t>ENST00000357033.4</t>
  </si>
  <si>
    <t>ENST00000255189.3</t>
  </si>
  <si>
    <t>ENST00000373529.5</t>
  </si>
  <si>
    <t>ENST00000389840.5</t>
  </si>
  <si>
    <t>ENST00000265104.4</t>
  </si>
  <si>
    <t>ENST00000402667.1</t>
  </si>
  <si>
    <t>ENST00000377770.3</t>
  </si>
  <si>
    <t>ENST00000376650.1</t>
  </si>
  <si>
    <t>ENST00000310974.4</t>
  </si>
  <si>
    <t>ENST00000282478.7</t>
  </si>
  <si>
    <t>ENST00000399271.1</t>
  </si>
  <si>
    <t>ENST00000361203.3,ENST00000370769.4</t>
  </si>
  <si>
    <t>ENST00000370754.5</t>
  </si>
  <si>
    <t>ENST00000554285.2</t>
  </si>
  <si>
    <t>ENST00000556625.1</t>
  </si>
  <si>
    <t>ENST00000440426.1</t>
  </si>
  <si>
    <t>ENST00000553702.1</t>
  </si>
  <si>
    <t>ENST00000554690.1</t>
  </si>
  <si>
    <t>ENST00000557656.2</t>
  </si>
  <si>
    <t>ENST00000538692.1</t>
  </si>
  <si>
    <t>ENST00000554637.2</t>
  </si>
  <si>
    <t>ENST00000554668.1</t>
  </si>
  <si>
    <t>ENST00000557283.2</t>
  </si>
  <si>
    <t>ENST00000553722.2</t>
  </si>
  <si>
    <t>ENST00000555191.1</t>
  </si>
  <si>
    <t>ENST00000553598.1</t>
  </si>
  <si>
    <t>ENST00000553820.2</t>
  </si>
  <si>
    <t>ENST00000554048.2</t>
  </si>
  <si>
    <t>ENST00000398960.2</t>
  </si>
  <si>
    <t>ENST00000452335.2</t>
  </si>
  <si>
    <t>ENST00000321149.3</t>
  </si>
  <si>
    <t>ENST00000422359.2</t>
  </si>
  <si>
    <t>ENST00000374492.3</t>
  </si>
  <si>
    <t>ENST00000333274.6</t>
  </si>
  <si>
    <t>ENST00000322350.5</t>
  </si>
  <si>
    <t>ENST00000380876.4,ENST00000398943.3,ENST00000398944.3</t>
  </si>
  <si>
    <t>ENST00000424383.2</t>
  </si>
  <si>
    <t>ENST00000561626.1</t>
  </si>
  <si>
    <t>ENST00000338270.1</t>
  </si>
  <si>
    <t>ENST00000493463.2</t>
  </si>
  <si>
    <t>ENST00000603053.1</t>
  </si>
  <si>
    <t>ENST00000556177.1</t>
  </si>
  <si>
    <t>ENST00000359162.2,ENST00000361525.3</t>
  </si>
  <si>
    <t>ENST00000360012.3</t>
  </si>
  <si>
    <t>ENST00000361395.2,ENST00000366938.2,ENST00000487276.1</t>
  </si>
  <si>
    <t>ENST00000366940.2,ENST00000493603.1</t>
  </si>
  <si>
    <t>ENST00000493748.1</t>
  </si>
  <si>
    <t>ENST00000369505.3</t>
  </si>
  <si>
    <t>ENST00000369445.2</t>
  </si>
  <si>
    <t>ENST00000360464.4</t>
  </si>
  <si>
    <t>ENST00000399793.2</t>
  </si>
  <si>
    <t>ENST00000264344.5</t>
  </si>
  <si>
    <t>ENST00000393518.3</t>
  </si>
  <si>
    <t>ENST00000440605.3,ENST00000513554.1</t>
  </si>
  <si>
    <t>ENST00000510276.1</t>
  </si>
  <si>
    <t>ENST00000252338.4</t>
  </si>
  <si>
    <t>ENST00000412319.1,ENST00000452021.2</t>
  </si>
  <si>
    <t>ENST00000416841.2</t>
  </si>
  <si>
    <t>ENST00000430150.2</t>
  </si>
  <si>
    <t>ENST00000452154.2</t>
  </si>
  <si>
    <t>ENST00000509613.1</t>
  </si>
  <si>
    <t>ENST00000379558.4</t>
  </si>
  <si>
    <t>ENST00000397891.3</t>
  </si>
  <si>
    <t>ENST00000465419.2</t>
  </si>
  <si>
    <t>ENST00000324666.5,ENST00000382839.3,ENST00000502458.1,ENST00000545951.1</t>
  </si>
  <si>
    <t>ENST00000421178.1</t>
  </si>
  <si>
    <t>ENST00000414596.1</t>
  </si>
  <si>
    <t>ENST00000427622.1</t>
  </si>
  <si>
    <t>ENST00000442145.1</t>
  </si>
  <si>
    <t>ENST00000450658.1</t>
  </si>
  <si>
    <t>ENST00000420524.2,ENST00000452256.2</t>
  </si>
  <si>
    <t>ENST00000432892.1</t>
  </si>
  <si>
    <t>ENST00000433321.1</t>
  </si>
  <si>
    <t>ENST00000436801.1</t>
  </si>
  <si>
    <t>ENST00000426661.1</t>
  </si>
  <si>
    <t>ENST00000432394.1</t>
  </si>
  <si>
    <t>ENST00000358295.5</t>
  </si>
  <si>
    <t>ENST00000347708.4</t>
  </si>
  <si>
    <t>ENST00000377406.4</t>
  </si>
  <si>
    <t>ENST00000434783.3</t>
  </si>
  <si>
    <t>ENST00000452267.1</t>
  </si>
  <si>
    <t>ENST00000342763.4</t>
  </si>
  <si>
    <t>ENST00000426412.2</t>
  </si>
  <si>
    <t>ENST00000411791.3</t>
  </si>
  <si>
    <t>ENST00000457620.1</t>
  </si>
  <si>
    <t>ENST00000455764.2</t>
  </si>
  <si>
    <t>ENST00000237642.6</t>
  </si>
  <si>
    <t>ENST00000367128.3</t>
  </si>
  <si>
    <t>ENST00000369390.3</t>
  </si>
  <si>
    <t>ENST00000369175.3</t>
  </si>
  <si>
    <t>ENST00000400889.1</t>
  </si>
  <si>
    <t>ENST00000263266.3</t>
  </si>
  <si>
    <t>ENST00000519726.2</t>
  </si>
  <si>
    <t>ENST00000533852.2</t>
  </si>
  <si>
    <t>ENST00000262365.4</t>
  </si>
  <si>
    <t>ENST00000307435.6,ENST00000538603.1</t>
  </si>
  <si>
    <t>ENST00000327220.5</t>
  </si>
  <si>
    <t>ENST00000428477.1</t>
  </si>
  <si>
    <t>ENST00000394329.3</t>
  </si>
  <si>
    <t>ENST00000395665.4,ENST00000395667.1</t>
  </si>
  <si>
    <t>ENST00000281708.4</t>
  </si>
  <si>
    <t>ENST00000603548.1</t>
  </si>
  <si>
    <t>ENST00000603841.1</t>
  </si>
  <si>
    <t>ENST00000236937.9</t>
  </si>
  <si>
    <t>ENST00000403078.3</t>
  </si>
  <si>
    <t>ENST00000543859.1</t>
  </si>
  <si>
    <t>ENST00000399018.1</t>
  </si>
  <si>
    <t>ENST00000522917.1</t>
  </si>
  <si>
    <t>ENST00000246553.2</t>
  </si>
  <si>
    <t>ENST00000454309.2</t>
  </si>
  <si>
    <t>ENST00000315930.6</t>
  </si>
  <si>
    <t>ENST00000376143.4</t>
  </si>
  <si>
    <t>ENST00000439435.1</t>
  </si>
  <si>
    <t>ENST00000331335.5</t>
  </si>
  <si>
    <t>ENST00000334528.9</t>
  </si>
  <si>
    <t>ENST00000492622.2</t>
  </si>
  <si>
    <t>ENST00000541916.1</t>
  </si>
  <si>
    <t>ENST00000440961.2</t>
  </si>
  <si>
    <t>ENST00000376708.1</t>
  </si>
  <si>
    <t>ENST00000382500.2</t>
  </si>
  <si>
    <t>ENST00000306507.5</t>
  </si>
  <si>
    <t>ENST00000377590.1</t>
  </si>
  <si>
    <t>ENST00000342833.2</t>
  </si>
  <si>
    <t>ENST00000377413.1</t>
  </si>
  <si>
    <t>ENST00000377420.1</t>
  </si>
  <si>
    <t>ENST00000377473.1</t>
  </si>
  <si>
    <t>ENST00000318789.4</t>
  </si>
  <si>
    <t>ENST00000475937.1</t>
  </si>
  <si>
    <t>ENST00000493089.1</t>
  </si>
  <si>
    <t>ENST00000498215.1</t>
  </si>
  <si>
    <t>ENST00000350908.4</t>
  </si>
  <si>
    <t>ENST00000393494.2</t>
  </si>
  <si>
    <t>ENST00000339140.3</t>
  </si>
  <si>
    <t>ENST00000378763.1,ENST00000504750.1</t>
  </si>
  <si>
    <t>ENST00000425520.1,ENST00000443774.1</t>
  </si>
  <si>
    <t>ENST00000357447.2</t>
  </si>
  <si>
    <t>ENST00000358621.4</t>
  </si>
  <si>
    <t>ENST00000378503.1</t>
  </si>
  <si>
    <t>ENST00000398540.3</t>
  </si>
  <si>
    <t>ENST00000276185.4</t>
  </si>
  <si>
    <t>ENST00000481490.2</t>
  </si>
  <si>
    <t>ENST00000381700.6</t>
  </si>
  <si>
    <t>ENST00000407599.3</t>
  </si>
  <si>
    <t>ENST00000361446.5</t>
  </si>
  <si>
    <t>ENST00000420398.2</t>
  </si>
  <si>
    <t>ENST00000405679.3</t>
  </si>
  <si>
    <t>ENST00000381698.3</t>
  </si>
  <si>
    <t>ENST00000440137.1</t>
  </si>
  <si>
    <t>ENST00000445148.1</t>
  </si>
  <si>
    <t>ENST00000381722.1</t>
  </si>
  <si>
    <t>ENST00000415752.1</t>
  </si>
  <si>
    <t>ENST00000442437.2</t>
  </si>
  <si>
    <t>ENST00000381751.1</t>
  </si>
  <si>
    <t>ENST00000362097.1</t>
  </si>
  <si>
    <t>ENST00000381725.1</t>
  </si>
  <si>
    <t>ENST00000381708.1</t>
  </si>
  <si>
    <t>ENST00000404720.2</t>
  </si>
  <si>
    <t>ENST00000402590.3</t>
  </si>
  <si>
    <t>NM_001474</t>
  </si>
  <si>
    <t>NM_001475</t>
  </si>
  <si>
    <t>NM_001476</t>
  </si>
  <si>
    <t>NM_021123</t>
  </si>
  <si>
    <t>NM_012196</t>
  </si>
  <si>
    <t>ENST00000269195.5</t>
  </si>
  <si>
    <t>ENST00000252318.2</t>
  </si>
  <si>
    <t>ENST00000249041.2</t>
  </si>
  <si>
    <t>ENST00000373387.4</t>
  </si>
  <si>
    <t>ENST00000278187.3</t>
  </si>
  <si>
    <t>ENST00000433790.1</t>
  </si>
  <si>
    <t>ENST00000454584.2</t>
  </si>
  <si>
    <t>ENST00000432992.2</t>
  </si>
  <si>
    <t>ENST00000417671.1</t>
  </si>
  <si>
    <t>ENST00000243913.4</t>
  </si>
  <si>
    <t>ENST00000503382.2</t>
  </si>
  <si>
    <t>ENST00000510986.2</t>
  </si>
  <si>
    <t>ENST00000514532.2</t>
  </si>
  <si>
    <t>ENST00000290417.2,ENST00000319242.3</t>
  </si>
  <si>
    <t>ENST00000401924.1</t>
  </si>
  <si>
    <t>ENST00000424627.1</t>
  </si>
  <si>
    <t>ENST00000448514.1</t>
  </si>
  <si>
    <t>ENST00000307194.5</t>
  </si>
  <si>
    <t>NM_001199577</t>
  </si>
  <si>
    <t>ENST00000507153.1</t>
  </si>
  <si>
    <t>ENST00000369352.1</t>
  </si>
  <si>
    <t>ENST00000296882.3</t>
  </si>
  <si>
    <t>ENST00000525899.1</t>
  </si>
  <si>
    <t>ENST00000321660.1</t>
  </si>
  <si>
    <t>ENST00000450456.2</t>
  </si>
  <si>
    <t>ENST00000361492.4</t>
  </si>
  <si>
    <t>ENST00000452319.1</t>
  </si>
  <si>
    <t>ENST00000312233.2</t>
  </si>
  <si>
    <t>ENST00000371763.1</t>
  </si>
  <si>
    <t>ENST00000269162.5,ENST00000535121.1</t>
  </si>
  <si>
    <t>ENST00000423027.3</t>
  </si>
  <si>
    <t>ENST00000290438.3</t>
  </si>
  <si>
    <t>ENST00000421285.3</t>
  </si>
  <si>
    <t>ENST00000300576.5</t>
  </si>
  <si>
    <t>ENST00000434739.3</t>
  </si>
  <si>
    <t>ENST00000316397.3</t>
  </si>
  <si>
    <t>ENST00000560659.2</t>
  </si>
  <si>
    <t>ENST00000422563.2</t>
  </si>
  <si>
    <t>ENST00000510439.2</t>
  </si>
  <si>
    <t>ENST00000427390.2</t>
  </si>
  <si>
    <t>ENST00000358583.3</t>
  </si>
  <si>
    <t>ENST00000359187.4</t>
  </si>
  <si>
    <t>ENST00000360553.3</t>
  </si>
  <si>
    <t>ENST00000543376.1</t>
  </si>
  <si>
    <t>ENST00000566740.1</t>
  </si>
  <si>
    <t>ENST00000341650.6,ENST00000567927.1</t>
  </si>
  <si>
    <t>ENST00000512626.2</t>
  </si>
  <si>
    <t>ENST00000340249.3,ENST00000563027.1</t>
  </si>
  <si>
    <t>ENST00000448387.2,ENST00000569659.1</t>
  </si>
  <si>
    <t>ENST00000414865.2,ENST00000509311.2</t>
  </si>
  <si>
    <t>ENST00000327271.10,ENST00000544495.1</t>
  </si>
  <si>
    <t>ENST00000359548.4</t>
  </si>
  <si>
    <t>ENST00000434632.1</t>
  </si>
  <si>
    <t>ENST00000356942.5</t>
  </si>
  <si>
    <t>ENST00000335666.4</t>
  </si>
  <si>
    <t>ENST00000309926.4</t>
  </si>
  <si>
    <t>ENST00000311104.2</t>
  </si>
  <si>
    <t>ENST00000312457.2</t>
  </si>
  <si>
    <t>ENST00000313835.9</t>
  </si>
  <si>
    <t>ENST00000361902.1</t>
  </si>
  <si>
    <t>ENST00000322282.7,ENST00000529750.1</t>
  </si>
  <si>
    <t>ENST00000361034.3</t>
  </si>
  <si>
    <t>ENST00000406902.1</t>
  </si>
  <si>
    <t>ENST00000284154.5</t>
  </si>
  <si>
    <t>ENST00000398016.3</t>
  </si>
  <si>
    <t>ENST00000377976.1</t>
  </si>
  <si>
    <t>ENST00000290765.4</t>
  </si>
  <si>
    <t>ENST00000274400.5,ENST00000330280.7</t>
  </si>
  <si>
    <t>ENST00000405086.2</t>
  </si>
  <si>
    <t>ENST00000451672.1</t>
  </si>
  <si>
    <t>ENST00000354461.2</t>
  </si>
  <si>
    <t>ENST00000354514.4</t>
  </si>
  <si>
    <t>ENST00000369444.2</t>
  </si>
  <si>
    <t>ENST00000217926.5</t>
  </si>
  <si>
    <t>ENST00000307851.4</t>
  </si>
  <si>
    <t>ENST00000408930.5</t>
  </si>
  <si>
    <t>ENST00000261609.7</t>
  </si>
  <si>
    <t>ENST00000414222.1</t>
  </si>
  <si>
    <t>ENST00000398455.3</t>
  </si>
  <si>
    <t>ENST00000359193.2</t>
  </si>
  <si>
    <t>ENST00000358739.3</t>
  </si>
  <si>
    <t>ENST00000330180.2</t>
  </si>
  <si>
    <t>ENST00000357320.2</t>
  </si>
  <si>
    <t>ENST00000356530.3</t>
  </si>
  <si>
    <t>ENST00000359985.1</t>
  </si>
  <si>
    <t>ENST00000244601.3</t>
  </si>
  <si>
    <t>ENST00000377733.2</t>
  </si>
  <si>
    <t>ENST00000357647.3</t>
  </si>
  <si>
    <t>ENST00000540144.1</t>
  </si>
  <si>
    <t>ENST00000360408.1</t>
  </si>
  <si>
    <t>ENST00000446824.2</t>
  </si>
  <si>
    <t>ENST00000305910.3</t>
  </si>
  <si>
    <t>ENST00000369163.2</t>
  </si>
  <si>
    <t>ENST00000328488.2</t>
  </si>
  <si>
    <t>ENST00000359303.2</t>
  </si>
  <si>
    <t>ENST00000359907.3</t>
  </si>
  <si>
    <t>ENST00000377364.3</t>
  </si>
  <si>
    <t>ENST00000340756.2</t>
  </si>
  <si>
    <t>ENST00000377745.2</t>
  </si>
  <si>
    <t>ENST00000244537.4</t>
  </si>
  <si>
    <t>ENST00000289352.1,ENST00000377727.1</t>
  </si>
  <si>
    <t>ENST00000354348.2</t>
  </si>
  <si>
    <t>ENST00000369161.3</t>
  </si>
  <si>
    <t>ENST00000369158.1</t>
  </si>
  <si>
    <t>ENST00000331491.1</t>
  </si>
  <si>
    <t>ENST00000610125.1</t>
  </si>
  <si>
    <t>ENST00000369157.2,ENST00000392932.4,ENST00000392933.1</t>
  </si>
  <si>
    <t>ENST00000539745.1</t>
  </si>
  <si>
    <t>ENST00000247584.5,ENST00000429157.2</t>
  </si>
  <si>
    <t>ENST00000372583.1</t>
  </si>
  <si>
    <t>ENST00000372584.1</t>
  </si>
  <si>
    <t>ENST00000420499.2</t>
  </si>
  <si>
    <t>ENST00000358130.2</t>
  </si>
  <si>
    <t>ENST00000430889.2</t>
  </si>
  <si>
    <t>ENST00000370416.4</t>
  </si>
  <si>
    <t>ENST00000524178.1</t>
  </si>
  <si>
    <t>ENST00000307393.2</t>
  </si>
  <si>
    <t>ENST00000304790.3</t>
  </si>
  <si>
    <t>ENST00000319595.4</t>
  </si>
  <si>
    <t>ENST00000382489.3</t>
  </si>
  <si>
    <t>ENST00000428798.2</t>
  </si>
  <si>
    <t>ENST00000223026.4</t>
  </si>
  <si>
    <t>ENST00000476325.1</t>
  </si>
  <si>
    <t>ENST00000282881.6,ENST00000458174.2,ENST00000539744.1</t>
  </si>
  <si>
    <t>ENST00000276927.1</t>
  </si>
  <si>
    <t>ENST00000357374.2</t>
  </si>
  <si>
    <t>ENST00000449498.1</t>
  </si>
  <si>
    <t>ENST00000380222.2</t>
  </si>
  <si>
    <t>ENST00000380216.1</t>
  </si>
  <si>
    <t>ENST00000413767.2</t>
  </si>
  <si>
    <t>ENST00000380225.1</t>
  </si>
  <si>
    <t>ENST00000421715.1</t>
  </si>
  <si>
    <t>ENST00000259555.4</t>
  </si>
  <si>
    <t>ENST00000380210.1</t>
  </si>
  <si>
    <t>ENST00000239347.3</t>
  </si>
  <si>
    <t>ENST00000380205.1</t>
  </si>
  <si>
    <t>ENST00000448696.3</t>
  </si>
  <si>
    <t>ENST00000331982.5</t>
  </si>
  <si>
    <t>ENST00000413851.2</t>
  </si>
  <si>
    <t>ENST00000606380.1</t>
  </si>
  <si>
    <t>ENST00000380229.2</t>
  </si>
  <si>
    <t>ENST00000302987.4</t>
  </si>
  <si>
    <t>ENST00000394660.2</t>
  </si>
  <si>
    <t>ENST00000328087.4,ENST00000538666.1</t>
  </si>
  <si>
    <t>ENST00000329715.2,ENST00000397242.2</t>
  </si>
  <si>
    <t>ENST00000263326.3,ENST00000349806.3,ENST00000352179.3,ENST00000353225.3</t>
  </si>
  <si>
    <t>ENST00000311328.2</t>
  </si>
  <si>
    <t>ENST00000391826.2</t>
  </si>
  <si>
    <t>ENST00000361976.2</t>
  </si>
  <si>
    <t>ENST00000326261.4,ENST00000538872.1</t>
  </si>
  <si>
    <t>ENST00000263087.4</t>
  </si>
  <si>
    <t>ENST00000360013.3</t>
  </si>
  <si>
    <t>ENST00000376030.2</t>
  </si>
  <si>
    <t>ENST00000450908.1</t>
  </si>
  <si>
    <t>ENST00000369771.2</t>
  </si>
  <si>
    <t>ENST00000468529.1</t>
  </si>
  <si>
    <t>ENST00000382150.4</t>
  </si>
  <si>
    <t>ENST00000334549.1</t>
  </si>
  <si>
    <t>ENST00000303015.1,ENST00000520439.1</t>
  </si>
  <si>
    <t>ENST00000377069.4</t>
  </si>
  <si>
    <t>ENST00000377071.4</t>
  </si>
  <si>
    <t>ENST00000450979.2</t>
  </si>
  <si>
    <t>ENST00000257765.5</t>
  </si>
  <si>
    <t>ENST00000402510.2</t>
  </si>
  <si>
    <t>ENST00000376454.3</t>
  </si>
  <si>
    <t>ENST00000458595.1</t>
  </si>
  <si>
    <t>ENST00000358431.3</t>
  </si>
  <si>
    <t>ENST00000406486.4</t>
  </si>
  <si>
    <t>ENST00000356719.2</t>
  </si>
  <si>
    <t>ENST00000402291.1</t>
  </si>
  <si>
    <t>ENST00000453873.1</t>
  </si>
  <si>
    <t>ENST00000247986.2</t>
  </si>
  <si>
    <t>ENST00000400463.3</t>
  </si>
  <si>
    <t>ENST00000339924.8,ENST00000391729.1</t>
  </si>
  <si>
    <t>ENST00000326542.7,ENST00000391728.4</t>
  </si>
  <si>
    <t>ENST00000402254.2,ENST00000538269.1,ENST00000541392.1</t>
  </si>
  <si>
    <t>ENST00000291860.1</t>
  </si>
  <si>
    <t>ENST00000372299.3</t>
  </si>
  <si>
    <t>ENST00000328046.8</t>
  </si>
  <si>
    <t>ENST00000327442.6</t>
  </si>
  <si>
    <t>ENST00000377747.4</t>
  </si>
  <si>
    <t>ENST00000334670.8</t>
  </si>
  <si>
    <t>ENST00000400365.3</t>
  </si>
  <si>
    <t>ENST00000391621.1</t>
  </si>
  <si>
    <t>ENST00000400368.1</t>
  </si>
  <si>
    <t>ENST00000391617.1</t>
  </si>
  <si>
    <t>ENST00000360770.3</t>
  </si>
  <si>
    <t>ENST00000391618.1</t>
  </si>
  <si>
    <t>ENST00000390690.2</t>
  </si>
  <si>
    <t>ENST00000334068.2</t>
  </si>
  <si>
    <t>ENST00000334067.3</t>
  </si>
  <si>
    <t>ENST00000334055.3</t>
  </si>
  <si>
    <t>ENST00000334058.2</t>
  </si>
  <si>
    <t>ENST00000334046.5</t>
  </si>
  <si>
    <t>ENST00000334849.2</t>
  </si>
  <si>
    <t>ENST00000382822.2</t>
  </si>
  <si>
    <t>ENST00000391419.3</t>
  </si>
  <si>
    <t>ENST00000398477.1,ENST00000542910.1</t>
  </si>
  <si>
    <t>ENST00000334664.2</t>
  </si>
  <si>
    <t>ENST00000382826.2</t>
  </si>
  <si>
    <t>ENST00000335093.3</t>
  </si>
  <si>
    <t>ENST00000444335.1</t>
  </si>
  <si>
    <t>ENST00000334680.2</t>
  </si>
  <si>
    <t>ENST00000382830.2</t>
  </si>
  <si>
    <t>ENST00000334160.4</t>
  </si>
  <si>
    <t>ENST00000416044.1</t>
  </si>
  <si>
    <t>ENST00000382835.2</t>
  </si>
  <si>
    <t>ENST00000391353.1</t>
  </si>
  <si>
    <t>ENST00000391417.4</t>
  </si>
  <si>
    <t>ENST00000391415.1</t>
  </si>
  <si>
    <t>ENST00000382171.2</t>
  </si>
  <si>
    <t>ENST00000376536.4,ENST00000398531.1</t>
  </si>
  <si>
    <t>ENST00000398530.1</t>
  </si>
  <si>
    <t>ENST00000412090.1</t>
  </si>
  <si>
    <t>ENST00000399685.1</t>
  </si>
  <si>
    <t>ENST00000399676.2</t>
  </si>
  <si>
    <t>ENST00000382160.1</t>
  </si>
  <si>
    <t>ENST00000398536.4</t>
  </si>
  <si>
    <t>ENST00000398534.3</t>
  </si>
  <si>
    <t>ENST00000528743.2</t>
  </si>
  <si>
    <t>ENST00000329122.2</t>
  </si>
  <si>
    <t>ENST00000334897.3</t>
  </si>
  <si>
    <t>ENST00000391624.1</t>
  </si>
  <si>
    <t>ENST00000377723.3</t>
  </si>
  <si>
    <t>ENST00000398470.1</t>
  </si>
  <si>
    <t>ENST00000377721.3,ENST00000455970.2</t>
  </si>
  <si>
    <t>ENST00000334109.2</t>
  </si>
  <si>
    <t>ENST00000391355.1</t>
  </si>
  <si>
    <t>ENST00000426928.2</t>
  </si>
  <si>
    <t>ENST00000301046.2</t>
  </si>
  <si>
    <t>ENST00000313654.9</t>
  </si>
  <si>
    <t>ENST00000336314.4</t>
  </si>
  <si>
    <t>ENST00000316157.3</t>
  </si>
  <si>
    <t>ENST00000360090.3</t>
  </si>
  <si>
    <t>ENST00000368780.3</t>
  </si>
  <si>
    <t>ENST00000417924.2</t>
  </si>
  <si>
    <t>ENST00000368783.1</t>
  </si>
  <si>
    <t>ENST00000335674.1</t>
  </si>
  <si>
    <t>ENST00000335633.1</t>
  </si>
  <si>
    <t>ENST00000335535.3</t>
  </si>
  <si>
    <t>ENST00000368777.1</t>
  </si>
  <si>
    <t>ENST00000272134.5</t>
  </si>
  <si>
    <t>ENST00000396841.4</t>
  </si>
  <si>
    <t>ENST00000378626.4</t>
  </si>
  <si>
    <t>ENST00000324290.5,ENST00000423676.3</t>
  </si>
  <si>
    <t>ENST00000245621.5,ENST00000270464.5,ENST00000396365.2,ENST00000419410.2,ENST00000440558.2</t>
  </si>
  <si>
    <t>ENST00000413601.2</t>
  </si>
  <si>
    <t>ENST00000561261.1</t>
  </si>
  <si>
    <t>ENST00000308675.3</t>
  </si>
  <si>
    <t>ENST00000379992.2</t>
  </si>
  <si>
    <t>ENST00000404190.1</t>
  </si>
  <si>
    <t>ENST00000263925.7</t>
  </si>
  <si>
    <t>ENST00000536736.1</t>
  </si>
  <si>
    <t>ENST00000312675.4</t>
  </si>
  <si>
    <t>ENST00000543006.1</t>
  </si>
  <si>
    <t>ENST00000594814.1</t>
  </si>
  <si>
    <t>ENST00000320254.5,ENST00000393465.3</t>
  </si>
  <si>
    <t>ENST00000333412.3</t>
  </si>
  <si>
    <t>ENST00000576629.1</t>
  </si>
  <si>
    <t>ENST00000377924.4</t>
  </si>
  <si>
    <t>ENST00000035383.5</t>
  </si>
  <si>
    <t>ENST00000340806.6</t>
  </si>
  <si>
    <t>ENST00000599825.1</t>
  </si>
  <si>
    <t>ENST00000333017.2</t>
  </si>
  <si>
    <t>ENST00000409238.1</t>
  </si>
  <si>
    <t>ENST00000590317.1</t>
  </si>
  <si>
    <t>ENST00000370284.1,ENST00000393872.3,ENST00000393876.1,ENST00000543232.1</t>
  </si>
  <si>
    <t>ENST00000370278.3,ENST00000393902.3</t>
  </si>
  <si>
    <t>ENST00000298974.5</t>
  </si>
  <si>
    <t>ENST00000243314.5</t>
  </si>
  <si>
    <t>ENST00000379029.2</t>
  </si>
  <si>
    <t>ENST00000602297.1</t>
  </si>
  <si>
    <t>ENST00000298296.1</t>
  </si>
  <si>
    <t>ENST00000443323.2,ENST00000536088.1</t>
  </si>
  <si>
    <t>ENST00000544766.1</t>
  </si>
  <si>
    <t>ENST00000335504.5,ENST00000360134.6,ENST00000497164.1</t>
  </si>
  <si>
    <t>ENST00000374332.4</t>
  </si>
  <si>
    <t>ENST00000274056.7</t>
  </si>
  <si>
    <t>ENST00000503008.1</t>
  </si>
  <si>
    <t>ENST00000252660.4</t>
  </si>
  <si>
    <t>ENST00000377127.3</t>
  </si>
  <si>
    <t>ENST00000403625.2,ENST00000404260.3</t>
  </si>
  <si>
    <t>ENST00000305625.2</t>
  </si>
  <si>
    <t>ENST00000595891.1</t>
  </si>
  <si>
    <t>ENST00000381393.3</t>
  </si>
  <si>
    <t>ENST00000333843.4</t>
  </si>
  <si>
    <t>ENST00000381394.4</t>
  </si>
  <si>
    <t>ENST00000329753.5</t>
  </si>
  <si>
    <t>ENST00000370839.3,ENST00000370853.3</t>
  </si>
  <si>
    <t>ENST00000243911.2</t>
  </si>
  <si>
    <t>ENST00000324750.3</t>
  </si>
  <si>
    <t>ENST00000535094.2</t>
  </si>
  <si>
    <t>ENST00000357742.4</t>
  </si>
  <si>
    <t>ENST00000356575.4</t>
  </si>
  <si>
    <t>ENST00000401548.3</t>
  </si>
  <si>
    <t>ENST00000256186.2</t>
  </si>
  <si>
    <t>ENST00000603557.1,ENST00000605096.1</t>
  </si>
  <si>
    <t>ENST00000318282.5</t>
  </si>
  <si>
    <t>ENST00000571589.1,ENST00000574045.1</t>
  </si>
  <si>
    <t>ENST00000378412.3</t>
  </si>
  <si>
    <t>ENST00000260228.2</t>
  </si>
  <si>
    <t>ENST00000368808.3</t>
  </si>
  <si>
    <t>ENST00000300762.1</t>
  </si>
  <si>
    <t>ENST00000380390.1</t>
  </si>
  <si>
    <t>ENST00000239761.3</t>
  </si>
  <si>
    <t>ENST00000309106.3</t>
  </si>
  <si>
    <t>ENST00000332314.3</t>
  </si>
  <si>
    <t>ENST00000314254.3</t>
  </si>
  <si>
    <t>ENST00000389758.3</t>
  </si>
  <si>
    <t>ENST00000398983.2</t>
  </si>
  <si>
    <t>ENST00000529108.1</t>
  </si>
  <si>
    <t>ENST00000449682.2</t>
  </si>
  <si>
    <t>ENST00000290705.8</t>
  </si>
  <si>
    <t>ENST00000604882.1</t>
  </si>
  <si>
    <t>ENST00000379442.3,ENST00000536621.1</t>
  </si>
  <si>
    <t>ENST00000397910.4</t>
  </si>
  <si>
    <t>ENST00000223167.4</t>
  </si>
  <si>
    <t>ENST00000360304.3</t>
  </si>
  <si>
    <t>ENST00000475616.1</t>
  </si>
  <si>
    <t>ENST00000356711.2</t>
  </si>
  <si>
    <t>ENST00000357550.2</t>
  </si>
  <si>
    <t>ENST00000431443.2</t>
  </si>
  <si>
    <t>ENST00000299350.4,ENST00000548892.1</t>
  </si>
  <si>
    <t>ENST00000454872.1</t>
  </si>
  <si>
    <t>ENST00000194097.4</t>
  </si>
  <si>
    <t>ENST00000517649.1</t>
  </si>
  <si>
    <t>ENST00000382119.1</t>
  </si>
  <si>
    <t>ENST00000295624.6,ENST00000367296.4</t>
  </si>
  <si>
    <t>ENST00000360655.4</t>
  </si>
  <si>
    <t>ENST00000228327.6,ENST00000536525.2</t>
  </si>
  <si>
    <t>ENST00000342960.5</t>
  </si>
  <si>
    <t>ENST00000369323.3</t>
  </si>
  <si>
    <t>ENST00000604938.1</t>
  </si>
  <si>
    <t>ENST00000605317.1</t>
  </si>
  <si>
    <t>ENST00000369219.1</t>
  </si>
  <si>
    <t>ENST00000369202.1</t>
  </si>
  <si>
    <t>ENST00000415641.3</t>
  </si>
  <si>
    <t>ENST00000370040.3</t>
  </si>
  <si>
    <t>ENST00000369372.4</t>
  </si>
  <si>
    <t>ENST00000369373.5</t>
  </si>
  <si>
    <t>ENST00000412624.2</t>
  </si>
  <si>
    <t>ENST00000421555.2</t>
  </si>
  <si>
    <t>ENST00000281815.8</t>
  </si>
  <si>
    <t>ENST00000311028.3,ENST00000521599.1</t>
  </si>
  <si>
    <t>ENST00000395923.1</t>
  </si>
  <si>
    <t>ENST00000519508.2</t>
  </si>
  <si>
    <t>ENST00000289473.4</t>
  </si>
  <si>
    <t>ENST00000356219.3,ENST00000397355.1,ENST00000404621.1,ENST00000429285.2</t>
  </si>
  <si>
    <t>ENST00000405201.1</t>
  </si>
  <si>
    <t>ENST00000266544.5</t>
  </si>
  <si>
    <t>ENST00000357895.5</t>
  </si>
  <si>
    <t>ENST00000400345.3</t>
  </si>
  <si>
    <t>ENST00000233840.3</t>
  </si>
  <si>
    <t>ENST00000369780.4</t>
  </si>
  <si>
    <t>ENST00000422806.1</t>
  </si>
  <si>
    <t>ENST00000401917.3</t>
  </si>
  <si>
    <t>ENST00000342929.3,ENST00000588751.1</t>
  </si>
  <si>
    <t>ENST00000390649.3</t>
  </si>
  <si>
    <t>ENST00000291971.3</t>
  </si>
  <si>
    <t>ENST00000332836.2</t>
  </si>
  <si>
    <t>ENST00000223140.5</t>
  </si>
  <si>
    <t>ENST00000483238.1</t>
  </si>
  <si>
    <t>ENST00000330537.6</t>
  </si>
  <si>
    <t>ENST00000317775.6</t>
  </si>
  <si>
    <t>ENST00000328085.6</t>
  </si>
  <si>
    <t>ENST00000529166.1,ENST00000530328.1</t>
  </si>
  <si>
    <t>ENST00000526520.1,ENST00000531598.2</t>
  </si>
  <si>
    <t>ENST00000534094.1</t>
  </si>
  <si>
    <t>ENST00000327792.5</t>
  </si>
  <si>
    <t>ENST00000530217.2</t>
  </si>
  <si>
    <t>ENST00000339303.5</t>
  </si>
  <si>
    <t>ENST00000525596.1</t>
  </si>
  <si>
    <t>ENST00000524087.1</t>
  </si>
  <si>
    <t>ENST00000429990.1</t>
  </si>
  <si>
    <t>ENST00000448012.2</t>
  </si>
  <si>
    <t>ENST00000415645.2</t>
  </si>
  <si>
    <t>ENST00000424340.1,ENST00000517539.1</t>
  </si>
  <si>
    <t>ENST00000532254.1</t>
  </si>
  <si>
    <t>ENST00000529716.1</t>
  </si>
  <si>
    <t>ENST00000435324.2</t>
  </si>
  <si>
    <t>ENST00000303212.2</t>
  </si>
  <si>
    <t>ENST00000265459.6</t>
  </si>
  <si>
    <t>ENST00000377551.1,ENST00000409571.1</t>
  </si>
  <si>
    <t>ENST00000335750.5</t>
  </si>
  <si>
    <t>ENST00000554719.1</t>
  </si>
  <si>
    <t>ENST00000398238.4</t>
  </si>
  <si>
    <t>ENST00000301411.3</t>
  </si>
  <si>
    <t>ENST00000593537.1</t>
  </si>
  <si>
    <t>ENST00000374786.1</t>
  </si>
  <si>
    <t>ENST00000270235.4</t>
  </si>
  <si>
    <t>ENST00000393695.3</t>
  </si>
  <si>
    <t>ENST00000381707.2</t>
  </si>
  <si>
    <t>ENST00000429828.1</t>
  </si>
  <si>
    <t>ENST00000253262.4,ENST00000335456.7,ENST00000341207.4</t>
  </si>
  <si>
    <t>ENST00000354649.3</t>
  </si>
  <si>
    <t>ENST00000372322.3</t>
  </si>
  <si>
    <t>ENST00000330252.5,ENST00000395088.2</t>
  </si>
  <si>
    <t>ENST00000372757.1</t>
  </si>
  <si>
    <t>ENST00000372758.1</t>
  </si>
  <si>
    <t>ENST00000372749.1</t>
  </si>
  <si>
    <t>ENST00000372750.1</t>
  </si>
  <si>
    <t>ENST00000412230.2,ENST00000457521.2</t>
  </si>
  <si>
    <t>ENST00000473265.2</t>
  </si>
  <si>
    <t>ENST00000537026.1</t>
  </si>
  <si>
    <t>ENST00000371776.1,ENST00000539850.1</t>
  </si>
  <si>
    <t>ENST00000372034.3</t>
  </si>
  <si>
    <t>ENST00000242104.5</t>
  </si>
  <si>
    <t>ENST00000416608.1</t>
  </si>
  <si>
    <t>ENST00000257627.4</t>
  </si>
  <si>
    <t>ENST00000316020.6</t>
  </si>
  <si>
    <t>ENST00000338858.5</t>
  </si>
  <si>
    <t>ENST00000529803.1</t>
  </si>
  <si>
    <t>ENST00000398992.1</t>
  </si>
  <si>
    <t>ENST00000331898.7</t>
  </si>
  <si>
    <t>ENST00000369935.5</t>
  </si>
  <si>
    <t>ENST00000369929.4</t>
  </si>
  <si>
    <t>ENST00000307322.4</t>
  </si>
  <si>
    <t>ENST00000360759.3</t>
  </si>
  <si>
    <t>ENST00000379829.2</t>
  </si>
  <si>
    <t>ENST00000299454.4</t>
  </si>
  <si>
    <t>ENST00000309838.2</t>
  </si>
  <si>
    <t>ENST00000326258.1</t>
  </si>
  <si>
    <t>ENST00000310248.2</t>
  </si>
  <si>
    <t>ENST00000312345.2</t>
  </si>
  <si>
    <t>ENST00000444197.2</t>
  </si>
  <si>
    <t>ENST00000542433.1</t>
  </si>
  <si>
    <t>ENST00000303532.1</t>
  </si>
  <si>
    <t>ENST00000320891.4</t>
  </si>
  <si>
    <t>ENST00000330487.5</t>
  </si>
  <si>
    <t>ENST00000431524.1</t>
  </si>
  <si>
    <t>ENST00000375024.1</t>
  </si>
  <si>
    <t>ENST00000334920.2</t>
  </si>
  <si>
    <t>ENST00000305899.3</t>
  </si>
  <si>
    <t>ENST00000305892.1</t>
  </si>
  <si>
    <t>ENST00000322107.1</t>
  </si>
  <si>
    <t>ENST00000308940.8</t>
  </si>
  <si>
    <t>ENST00000423932.3</t>
  </si>
  <si>
    <t>ENST00000332217.5</t>
  </si>
  <si>
    <t>ENST00000334857.2</t>
  </si>
  <si>
    <t>ENST00000289451.2</t>
  </si>
  <si>
    <t>ENST00000314902.2</t>
  </si>
  <si>
    <t>ENST00000309675.2</t>
  </si>
  <si>
    <t>ENST00000316770.2</t>
  </si>
  <si>
    <t>ENST00000368152.1</t>
  </si>
  <si>
    <t>ENST00000334438.1</t>
  </si>
  <si>
    <t>ENST00000307552.2</t>
  </si>
  <si>
    <t>ENST00000395079.2</t>
  </si>
  <si>
    <t>ENST00000368150.1</t>
  </si>
  <si>
    <t>ENST00000361284.1</t>
  </si>
  <si>
    <t>ENST00000357366.3</t>
  </si>
  <si>
    <t>ENST00000252835.4</t>
  </si>
  <si>
    <t>ENST00000550708.1</t>
  </si>
  <si>
    <t>ENST00000315409.2</t>
  </si>
  <si>
    <t>ENST00000315519.2</t>
  </si>
  <si>
    <t>ENST00000355784.2</t>
  </si>
  <si>
    <t>ENST00000383555.2</t>
  </si>
  <si>
    <t>ENST00000396806.3</t>
  </si>
  <si>
    <t>ENST00000374401.2</t>
  </si>
  <si>
    <t>ENST00000536058.1</t>
  </si>
  <si>
    <t>ENST00000553795.1</t>
  </si>
  <si>
    <t>ENST00000542196.1</t>
  </si>
  <si>
    <t>ENST00000374781.2</t>
  </si>
  <si>
    <t>ENST00000277216.3</t>
  </si>
  <si>
    <t>ENST00000374779.2</t>
  </si>
  <si>
    <t>ENST00000335040.1</t>
  </si>
  <si>
    <t>ENST00000259362.1</t>
  </si>
  <si>
    <t>ENST00000318763.5</t>
  </si>
  <si>
    <t>ENST00000334726.2</t>
  </si>
  <si>
    <t>ENST00000359688.2</t>
  </si>
  <si>
    <t>ENST00000338616.3</t>
  </si>
  <si>
    <t>ENST00000377981.2</t>
  </si>
  <si>
    <t>ENST00000357627.1</t>
  </si>
  <si>
    <t>ENST00000317861.1</t>
  </si>
  <si>
    <t>ENST00000342623.3</t>
  </si>
  <si>
    <t>ENST00000377160.2</t>
  </si>
  <si>
    <t>ENST00000304094.1</t>
  </si>
  <si>
    <t>ENST00000381951.1</t>
  </si>
  <si>
    <t>ENST00000304833.3</t>
  </si>
  <si>
    <t>ENST00000408896.2</t>
  </si>
  <si>
    <t>ENST00000331459.1</t>
  </si>
  <si>
    <t>ENST00000575751.1</t>
  </si>
  <si>
    <t>ENST00000322608.2</t>
  </si>
  <si>
    <t>ENST00000248384.1</t>
  </si>
  <si>
    <t>ENST00000304646.2</t>
  </si>
  <si>
    <t>ENST00000328890.2</t>
  </si>
  <si>
    <t>ENST00000209540.2</t>
  </si>
  <si>
    <t>ENST00000259357.2</t>
  </si>
  <si>
    <t>ENST00000335302.5</t>
  </si>
  <si>
    <t>ENST00000340750.1</t>
  </si>
  <si>
    <t>ENST00000277309.2</t>
  </si>
  <si>
    <t>ENST00000309623.1</t>
  </si>
  <si>
    <t>ENST00000304820.2</t>
  </si>
  <si>
    <t>ENST00000259466.1</t>
  </si>
  <si>
    <t>ENST00000304720.2</t>
  </si>
  <si>
    <t>ENST00000304865.2</t>
  </si>
  <si>
    <t>ENST00000429566.3</t>
  </si>
  <si>
    <t>ENST00000304880.2</t>
  </si>
  <si>
    <t>ENST00000373688.2</t>
  </si>
  <si>
    <t>ENST00000297913.2</t>
  </si>
  <si>
    <t>ENST00000309433.6</t>
  </si>
  <si>
    <t>ENST00000302592.6</t>
  </si>
  <si>
    <t>ENST00000408951.1</t>
  </si>
  <si>
    <t>ENST00000408949.2</t>
  </si>
  <si>
    <t>ENST00000408899.2</t>
  </si>
  <si>
    <t>ENST00000408979.2</t>
  </si>
  <si>
    <t>ENST00000408898.2</t>
  </si>
  <si>
    <t>ENST00000315453.2</t>
  </si>
  <si>
    <t>ENST00000391496.1</t>
  </si>
  <si>
    <t>ENST00000408906.2</t>
  </si>
  <si>
    <t>ENST00000493325.1</t>
  </si>
  <si>
    <t>ENST00000316368.2</t>
  </si>
  <si>
    <t>ENST00000307401.4</t>
  </si>
  <si>
    <t>ENST00000338569.2</t>
  </si>
  <si>
    <t>ENST00000366480.3</t>
  </si>
  <si>
    <t>ENST00000321688.1</t>
  </si>
  <si>
    <t>ENST00000305159.3</t>
  </si>
  <si>
    <t>ENST00000318749.6</t>
  </si>
  <si>
    <t>ENST00000303324.2</t>
  </si>
  <si>
    <t>ENST00000377173.2</t>
  </si>
  <si>
    <t>ENST00000244623.1</t>
  </si>
  <si>
    <t>ENST00000304936.2</t>
  </si>
  <si>
    <t>ENST00000366487.3</t>
  </si>
  <si>
    <t>ENST00000299459.2</t>
  </si>
  <si>
    <t>ENST00000317834.3</t>
  </si>
  <si>
    <t>ENST00000392899.1</t>
  </si>
  <si>
    <t>ENST00000408955.2</t>
  </si>
  <si>
    <t>ENST00000320065.1</t>
  </si>
  <si>
    <t>ENST00000320002.2</t>
  </si>
  <si>
    <t>ENST00000343414.4</t>
  </si>
  <si>
    <t>ENST00000383640.2</t>
  </si>
  <si>
    <t>ENST00000377167.2</t>
  </si>
  <si>
    <t>ENST00000377169.1</t>
  </si>
  <si>
    <t>ENST00000302681.1</t>
  </si>
  <si>
    <t>ENST00000366479.2</t>
  </si>
  <si>
    <t>ENST00000359959.3</t>
  </si>
  <si>
    <t>ENST00000355281.1</t>
  </si>
  <si>
    <t>ENST00000357191.3</t>
  </si>
  <si>
    <t>ENST00000359682.2</t>
  </si>
  <si>
    <t>ENST00000306687.1</t>
  </si>
  <si>
    <t>ENST00000366476.1</t>
  </si>
  <si>
    <t>ENST00000317965.2</t>
  </si>
  <si>
    <t>ENST00000341959.2</t>
  </si>
  <si>
    <t>ENST00000366474.1</t>
  </si>
  <si>
    <t>ENST00000330500.2</t>
  </si>
  <si>
    <t>ENST00000330803.2</t>
  </si>
  <si>
    <t>ENST00000317996.1</t>
  </si>
  <si>
    <t>ENST00000342927.3</t>
  </si>
  <si>
    <t>ENST00000344889.3</t>
  </si>
  <si>
    <t>ENST00000328570.3</t>
  </si>
  <si>
    <t>ENST00000359594.2</t>
  </si>
  <si>
    <t>ENST00000318021.2</t>
  </si>
  <si>
    <t>ENST00000328782.2</t>
  </si>
  <si>
    <t>ENST00000317450.3</t>
  </si>
  <si>
    <t>ENST00000366475.1</t>
  </si>
  <si>
    <t>ENST00000366473.2</t>
  </si>
  <si>
    <t>ENST00000355728.2</t>
  </si>
  <si>
    <t>ENST00000319968.4</t>
  </si>
  <si>
    <t>ENST00000329365.2</t>
  </si>
  <si>
    <t>ENST00000328275.1</t>
  </si>
  <si>
    <t>ENST00000377175.1</t>
  </si>
  <si>
    <t>ENST00000360358.3</t>
  </si>
  <si>
    <t>ENST00000537741.1</t>
  </si>
  <si>
    <t>ENST00000307832.2</t>
  </si>
  <si>
    <t>ENST00000324060.2</t>
  </si>
  <si>
    <t>ENST00000323404.1</t>
  </si>
  <si>
    <t>ENST00000408891.2</t>
  </si>
  <si>
    <t>ENST00000291231.1</t>
  </si>
  <si>
    <t>ENST00000314706.3</t>
  </si>
  <si>
    <t>ENST00000314721.2</t>
  </si>
  <si>
    <t>ENST00000446524.1</t>
  </si>
  <si>
    <t>ENST00000319760.6</t>
  </si>
  <si>
    <t>ENST00000309562.2</t>
  </si>
  <si>
    <t>ENST00000302231.4</t>
  </si>
  <si>
    <t>ENST00000335238.4</t>
  </si>
  <si>
    <t>ENST00000555099.1</t>
  </si>
  <si>
    <t>ENST00000314644.2</t>
  </si>
  <si>
    <t>ENST00000314634.3</t>
  </si>
  <si>
    <t>ENST00000319856.4</t>
  </si>
  <si>
    <t>NM_001005513</t>
  </si>
  <si>
    <t>ENST00000328188.1</t>
  </si>
  <si>
    <t>ENST00000268912.5</t>
  </si>
  <si>
    <t>ENST00000530162.1</t>
  </si>
  <si>
    <t>ENST00000313253.1</t>
  </si>
  <si>
    <t>ENST00000545221.1</t>
  </si>
  <si>
    <t>ENST00000307033.2</t>
  </si>
  <si>
    <t>ENST00000300127.2</t>
  </si>
  <si>
    <t>ENST00000329328.3</t>
  </si>
  <si>
    <t>ENST00000408935.1</t>
  </si>
  <si>
    <t>ENST00000332238.4</t>
  </si>
  <si>
    <t>ENST00000332831.2</t>
  </si>
  <si>
    <t>ENST00000318050.3</t>
  </si>
  <si>
    <t>ENST00000585993.1</t>
  </si>
  <si>
    <t>ENST00000320901.3</t>
  </si>
  <si>
    <t>ENST00000426406.1</t>
  </si>
  <si>
    <t>ENST00000456475.1</t>
  </si>
  <si>
    <t>ENST00000326183.3</t>
  </si>
  <si>
    <t>ENST00000335137.3</t>
  </si>
  <si>
    <t>ENST00000328882.4</t>
  </si>
  <si>
    <t>ENST00000285600.4</t>
  </si>
  <si>
    <t>ENST00000315693.2</t>
  </si>
  <si>
    <t>ENST00000305045.2</t>
  </si>
  <si>
    <t>ENST00000305051.5</t>
  </si>
  <si>
    <t>ENST00000315543.4</t>
  </si>
  <si>
    <t>ENST00000298642.2</t>
  </si>
  <si>
    <t>ENST00000315915.4</t>
  </si>
  <si>
    <t>ENST00000315683.1</t>
  </si>
  <si>
    <t>ENST00000315957.4</t>
  </si>
  <si>
    <t>ENST00000332663.2</t>
  </si>
  <si>
    <t>ENST00000315947.1</t>
  </si>
  <si>
    <t>ENST00000328795.4</t>
  </si>
  <si>
    <t>ENST00000333629.1</t>
  </si>
  <si>
    <t>ENST00000314612.2</t>
  </si>
  <si>
    <t>ENST00000331723.1</t>
  </si>
  <si>
    <t>ENST00000319988.1</t>
  </si>
  <si>
    <t>ENST00000312422.2</t>
  </si>
  <si>
    <t>ENST00000320048.1</t>
  </si>
  <si>
    <t>ENST00000302329.3</t>
  </si>
  <si>
    <t>ENST00000380371.1</t>
  </si>
  <si>
    <t>ENST00000380373.2</t>
  </si>
  <si>
    <t>ENST00000359350.4</t>
  </si>
  <si>
    <t>ENST00000328813.2</t>
  </si>
  <si>
    <t>ENST00000380224.1</t>
  </si>
  <si>
    <t>ENST00000300773.2</t>
  </si>
  <si>
    <t>ENST00000380219.1</t>
  </si>
  <si>
    <t>ENST00000357605.2</t>
  </si>
  <si>
    <t>ENST00000380383.1</t>
  </si>
  <si>
    <t>ENST00000322110.5</t>
  </si>
  <si>
    <t>ENST00000321961.2</t>
  </si>
  <si>
    <t>ENST00000322013.3</t>
  </si>
  <si>
    <t>ENST00000380211.1</t>
  </si>
  <si>
    <t>ENST00000341449.2</t>
  </si>
  <si>
    <t>ENST00000321543.1</t>
  </si>
  <si>
    <t>ENST00000328611.3</t>
  </si>
  <si>
    <t>ENST00000300778.4</t>
  </si>
  <si>
    <t>ENST00000322101.2</t>
  </si>
  <si>
    <t>ENST00000322049.1,ENST00000380378.1</t>
  </si>
  <si>
    <t>ENST00000321255.1</t>
  </si>
  <si>
    <t>ENST00000328942.1</t>
  </si>
  <si>
    <t>ENST00000380367.1</t>
  </si>
  <si>
    <t>ENST00000307388.1</t>
  </si>
  <si>
    <t>ENST00000530810.1</t>
  </si>
  <si>
    <t>ENST00000408920.2</t>
  </si>
  <si>
    <t>ENST00000345043.2</t>
  </si>
  <si>
    <t>ENST00000322641.5</t>
  </si>
  <si>
    <t>ENST00000321522.2</t>
  </si>
  <si>
    <t>ENST00000316987.2</t>
  </si>
  <si>
    <t>ENST00000329322.5</t>
  </si>
  <si>
    <t>ENST00000537935.1</t>
  </si>
  <si>
    <t>ENST00000322653.4</t>
  </si>
  <si>
    <t>ENST00000530443.2</t>
  </si>
  <si>
    <t>ENST00000312614.4</t>
  </si>
  <si>
    <t>ENST00000380370.1</t>
  </si>
  <si>
    <t>ENST00000307632.3</t>
  </si>
  <si>
    <t>ENST00000325719.4</t>
  </si>
  <si>
    <t>ENST00000332249.4</t>
  </si>
  <si>
    <t>ENST00000360213.1</t>
  </si>
  <si>
    <t>ENST00000317078.1</t>
  </si>
  <si>
    <t>ENST00000317037.2</t>
  </si>
  <si>
    <t>ENST00000317254.3</t>
  </si>
  <si>
    <t>ENST00000317093.2</t>
  </si>
  <si>
    <t>ENST00000356069.2</t>
  </si>
  <si>
    <t>ENST00000311352.2</t>
  </si>
  <si>
    <t>ENST00000316650.5</t>
  </si>
  <si>
    <t>ENST00000329564.6</t>
  </si>
  <si>
    <t>ENST00000330728.4</t>
  </si>
  <si>
    <t>NM_001146033</t>
  </si>
  <si>
    <t>ENST00000316529.3</t>
  </si>
  <si>
    <t>ENST00000302030.2</t>
  </si>
  <si>
    <t>ENST00000302040.4</t>
  </si>
  <si>
    <t>ENST00000358642.2</t>
  </si>
  <si>
    <t>ENST00000326855.2</t>
  </si>
  <si>
    <t>ENST00000313940.2</t>
  </si>
  <si>
    <t>ENST00000302981.1,ENST00000544374.1</t>
  </si>
  <si>
    <t>ENST00000302969.2</t>
  </si>
  <si>
    <t>ENST00000313555.1</t>
  </si>
  <si>
    <t>ENST00000304418.3</t>
  </si>
  <si>
    <t>ENST00000302572.2</t>
  </si>
  <si>
    <t>ENST00000357377.3</t>
  </si>
  <si>
    <t>ENST00000302581.2</t>
  </si>
  <si>
    <t>ENST00000360374.2</t>
  </si>
  <si>
    <t>ENST00000309403.2</t>
  </si>
  <si>
    <t>ENST00000361760.1</t>
  </si>
  <si>
    <t>ENST00000335605.1</t>
  </si>
  <si>
    <t>ENST00000378396.1</t>
  </si>
  <si>
    <t>ENST00000333976.4</t>
  </si>
  <si>
    <t>ENST00000278409.1</t>
  </si>
  <si>
    <t>ENST00000354565.2</t>
  </si>
  <si>
    <t>ENST00000437310.1</t>
  </si>
  <si>
    <t>ENST00000356526.2</t>
  </si>
  <si>
    <t>ENST00000355273.2</t>
  </si>
  <si>
    <t>ENST00000383696.2</t>
  </si>
  <si>
    <t>ENST00000301532.3</t>
  </si>
  <si>
    <t>ENST00000312298.1</t>
  </si>
  <si>
    <t>ENST00000332650.5</t>
  </si>
  <si>
    <t>ENST00000427338.1</t>
  </si>
  <si>
    <t>ENST00000383695.1</t>
  </si>
  <si>
    <t>ENST00000354924.2</t>
  </si>
  <si>
    <t>ENST00000333973.2</t>
  </si>
  <si>
    <t>ENST00000378397.1</t>
  </si>
  <si>
    <t>ENST00000526538.1</t>
  </si>
  <si>
    <t>ENST00000526812.2</t>
  </si>
  <si>
    <t>ENST00000528616.2</t>
  </si>
  <si>
    <t>ENST00000312240.2</t>
  </si>
  <si>
    <t>ENST00000327216.2</t>
  </si>
  <si>
    <t>ENST00000279791.1</t>
  </si>
  <si>
    <t>ENST00000329434.2</t>
  </si>
  <si>
    <t>ENST00000328375.1</t>
  </si>
  <si>
    <t>ENST00000312253.1</t>
  </si>
  <si>
    <t>ENST00000313033.2</t>
  </si>
  <si>
    <t>ENST00000313264.4</t>
  </si>
  <si>
    <t>ENST00000303059.3</t>
  </si>
  <si>
    <t>ENST00000377154.1</t>
  </si>
  <si>
    <t>ENST00000543825.1</t>
  </si>
  <si>
    <t>ENST00000344514.1</t>
  </si>
  <si>
    <t>ENST00000332601.3</t>
  </si>
  <si>
    <t>ENST00000408922.2</t>
  </si>
  <si>
    <t>ENST00000402971.2</t>
  </si>
  <si>
    <t>ENST00000319423.4</t>
  </si>
  <si>
    <t>ENST00000379668.2</t>
  </si>
  <si>
    <t>ENST00000322678.1</t>
  </si>
  <si>
    <t>ENST00000379667.1</t>
  </si>
  <si>
    <t>ENST00000394256.2</t>
  </si>
  <si>
    <t>ENST00000358433.2</t>
  </si>
  <si>
    <t>ENST00000379665.2</t>
  </si>
  <si>
    <t>ENST00000548615.1</t>
  </si>
  <si>
    <t>ENST00000327335.4</t>
  </si>
  <si>
    <t>ENST00000343870.4</t>
  </si>
  <si>
    <t>ENST00000343399.3</t>
  </si>
  <si>
    <t>ENST00000328314.3</t>
  </si>
  <si>
    <t>ENST00000302084.2</t>
  </si>
  <si>
    <t>ENST00000359610.2</t>
  </si>
  <si>
    <t>ENST00000368145.1</t>
  </si>
  <si>
    <t>ENST00000368144.2</t>
  </si>
  <si>
    <t>ENST00000309154.2</t>
  </si>
  <si>
    <t>ENST00000335094.2</t>
  </si>
  <si>
    <t>ENST00000339258.1</t>
  </si>
  <si>
    <t>ENST00000334632.1</t>
  </si>
  <si>
    <t>ENST00000302622.3</t>
  </si>
  <si>
    <t>ENST00000320704.3</t>
  </si>
  <si>
    <t>ENST00000321252.2</t>
  </si>
  <si>
    <t>ENST00000418316.1</t>
  </si>
  <si>
    <t>ENST00000327930.2</t>
  </si>
  <si>
    <t>ENST00000302617.3</t>
  </si>
  <si>
    <t>ENST00000248058.1</t>
  </si>
  <si>
    <t>ENST00000327462.2</t>
  </si>
  <si>
    <t>ENST00000248072.3</t>
  </si>
  <si>
    <t>ENST00000344248.2</t>
  </si>
  <si>
    <t>ENST00000308682.2</t>
  </si>
  <si>
    <t>ENST00000456448.1</t>
  </si>
  <si>
    <t>ENST00000541538.1</t>
  </si>
  <si>
    <t>ENST00000305456.2</t>
  </si>
  <si>
    <t>ENST00000305444.2</t>
  </si>
  <si>
    <t>ENST00000284287.3</t>
  </si>
  <si>
    <t>ENST00000306842.2</t>
  </si>
  <si>
    <t>ENST00000375013.2</t>
  </si>
  <si>
    <t>ENST00000354597.3</t>
  </si>
  <si>
    <t>ENST00000356130.3</t>
  </si>
  <si>
    <t>ENST00000328064.2</t>
  </si>
  <si>
    <t>ENST00000357821.2</t>
  </si>
  <si>
    <t>ENST00000357438.2</t>
  </si>
  <si>
    <t>ENST00000321355.2</t>
  </si>
  <si>
    <t>ENST00000366149.3</t>
  </si>
  <si>
    <t>ENST00000524943.2</t>
  </si>
  <si>
    <t>ENST00000313022.2</t>
  </si>
  <si>
    <t>ENST00000313503.1</t>
  </si>
  <si>
    <t>ENST00000313472.3</t>
  </si>
  <si>
    <t>ENST00000302124.2</t>
  </si>
  <si>
    <t>ENST00000303039.3</t>
  </si>
  <si>
    <t>ENST00000301529.1</t>
  </si>
  <si>
    <t>ENST00000279783.2</t>
  </si>
  <si>
    <t>ENST00000312711.1</t>
  </si>
  <si>
    <t>ENST00000313447.1</t>
  </si>
  <si>
    <t>ENST00000302270.1</t>
  </si>
  <si>
    <t>ENST00000350513.2</t>
  </si>
  <si>
    <t>ENST00000548136.1</t>
  </si>
  <si>
    <t>ENST00000312153.1</t>
  </si>
  <si>
    <t>ENST00000302957.3</t>
  </si>
  <si>
    <t>ENST00000302610.1</t>
  </si>
  <si>
    <t>ENST00000305377.5</t>
  </si>
  <si>
    <t>ENST00000335397.3</t>
  </si>
  <si>
    <t>ENST00000311591.3</t>
  </si>
  <si>
    <t>ENST00000431067.2</t>
  </si>
  <si>
    <t>ENST00000332585.6,ENST00000446658.2</t>
  </si>
  <si>
    <t>ENST00000388958.3</t>
  </si>
  <si>
    <t>ENST00000327928.4</t>
  </si>
  <si>
    <t>ENST00000307050.4</t>
  </si>
  <si>
    <t>ENST00000318184.5</t>
  </si>
  <si>
    <t>ENST00000262637.4</t>
  </si>
  <si>
    <t>ENST00000312046.6</t>
  </si>
  <si>
    <t>ENST00000373521.2,ENST00000538388.1</t>
  </si>
  <si>
    <t>ENST00000419291.2</t>
  </si>
  <si>
    <t>ENST00000356341.3</t>
  </si>
  <si>
    <t>ENST00000261509.6,ENST00000505667.1</t>
  </si>
  <si>
    <t>ENST00000340790.4</t>
  </si>
  <si>
    <t>ENST00000304400.7</t>
  </si>
  <si>
    <t>ENST00000438793.3</t>
  </si>
  <si>
    <t>ENST00000230859.6</t>
  </si>
  <si>
    <t>ENST00000402038.3</t>
  </si>
  <si>
    <t>ENST00000434130.1</t>
  </si>
  <si>
    <t>ENST00000560775.1</t>
  </si>
  <si>
    <t>ENST00000341640.2</t>
  </si>
  <si>
    <t>ENST00000527246.2</t>
  </si>
  <si>
    <t>ENST00000400304.1</t>
  </si>
  <si>
    <t>ENST00000306549.3</t>
  </si>
  <si>
    <t>ENST00000341948.4</t>
  </si>
  <si>
    <t>ENST00000239444.2</t>
  </si>
  <si>
    <t>ENST00000336126.5</t>
  </si>
  <si>
    <t>ENST00000543648.1</t>
  </si>
  <si>
    <t>ENST00000331935.6</t>
  </si>
  <si>
    <t>ENST00000435564.1</t>
  </si>
  <si>
    <t>ENST00000334456.5</t>
  </si>
  <si>
    <t>ENST00000423207.2</t>
  </si>
  <si>
    <t>ENST00000313431.9</t>
  </si>
  <si>
    <t>ENST00000255622.6,ENST00000496514.1</t>
  </si>
  <si>
    <t>ENST00000257290.5</t>
  </si>
  <si>
    <t>ENST00000392649.3</t>
  </si>
  <si>
    <t>ENST00000465751.1,ENST00000467460.1,ENST00000472994.1</t>
  </si>
  <si>
    <t>ENST00000378149.3</t>
  </si>
  <si>
    <t>ENST00000458128.1</t>
  </si>
  <si>
    <t>ENST00000290722.1</t>
  </si>
  <si>
    <t>ENST00000503781.3</t>
  </si>
  <si>
    <t>ENST00000265970.7</t>
  </si>
  <si>
    <t>ENST00000599207.1</t>
  </si>
  <si>
    <t>ENST00000266095.5</t>
  </si>
  <si>
    <t>ENST00000382151.2</t>
  </si>
  <si>
    <t>ENST00000320201.4</t>
  </si>
  <si>
    <t>ENST00000542749.1</t>
  </si>
  <si>
    <t>ENST00000332271.5</t>
  </si>
  <si>
    <t>ENST00000262304.4,ENST00000423118.1</t>
  </si>
  <si>
    <t>ENST00000337114.4</t>
  </si>
  <si>
    <t>ENST00000438167.3</t>
  </si>
  <si>
    <t>ENST00000399518.3</t>
  </si>
  <si>
    <t>ENST00000327757.5,ENST00000422425.2</t>
  </si>
  <si>
    <t>ENST00000321560.3</t>
  </si>
  <si>
    <t>ENST00000344636.3</t>
  </si>
  <si>
    <t>ENST00000355705.3,ENST00000409310.2</t>
  </si>
  <si>
    <t>ENST00000359481.4</t>
  </si>
  <si>
    <t>ENST00000393409.2</t>
  </si>
  <si>
    <t>ENST00000237353.10</t>
  </si>
  <si>
    <t>ENST00000355636.6</t>
  </si>
  <si>
    <t>ENST00000258362.3</t>
  </si>
  <si>
    <t>ENST00000453825.2</t>
  </si>
  <si>
    <t>ENST00000535416.1</t>
  </si>
  <si>
    <t>ENST00000370261.1</t>
  </si>
  <si>
    <t>ENST00000379357.5</t>
  </si>
  <si>
    <t>ENST00000310842.4</t>
  </si>
  <si>
    <t>ENST00000439682.1</t>
  </si>
  <si>
    <t>ENST00000454856.4</t>
  </si>
  <si>
    <t>ENST00000356920.5</t>
  </si>
  <si>
    <t>ENST00000409832.3</t>
  </si>
  <si>
    <t>ENST00000343518.6</t>
  </si>
  <si>
    <t>ENST00000451531.2</t>
  </si>
  <si>
    <t>ENST00000409602.1</t>
  </si>
  <si>
    <t>ENST00000551509.1</t>
  </si>
  <si>
    <t>ENST00000518318.2</t>
  </si>
  <si>
    <t>ENST00000548586.1</t>
  </si>
  <si>
    <t>ENST00000549396.1</t>
  </si>
  <si>
    <t>ENST00000539781.1</t>
  </si>
  <si>
    <t>ENST00000369222.3</t>
  </si>
  <si>
    <t>ENST00000544708.1</t>
  </si>
  <si>
    <t>ENST00000419275.1</t>
  </si>
  <si>
    <t>ENST00000334933.4,ENST00000360135.4,ENST00000360301.4,ENST00000420765.1</t>
  </si>
  <si>
    <t>ENST00000348806.6</t>
  </si>
  <si>
    <t>ENST00000381885.1,ENST00000396923.3</t>
  </si>
  <si>
    <t>ENST00000409137.3,ENST00000409702.1,ENST00000452904.1</t>
  </si>
  <si>
    <t>ENST00000535591.1</t>
  </si>
  <si>
    <t>ENST00000357726.4</t>
  </si>
  <si>
    <t>ENST00000376132.3</t>
  </si>
  <si>
    <t>ENST00000330087.5</t>
  </si>
  <si>
    <t>ENST00000376121.3</t>
  </si>
  <si>
    <t>ENST00000376098.4</t>
  </si>
  <si>
    <t>ENST00000376126.2</t>
  </si>
  <si>
    <t>ENST00000540591.1</t>
  </si>
  <si>
    <t>ENST00000316412.5</t>
  </si>
  <si>
    <t>ENST00000602960.1</t>
  </si>
  <si>
    <t>ENST00000353410.5,ENST00000376173.3</t>
  </si>
  <si>
    <t>ENST00000235349.5</t>
  </si>
  <si>
    <t>ENST00000376168.1</t>
  </si>
  <si>
    <t>ENST00000355096.2</t>
  </si>
  <si>
    <t>ENST00000376182.1</t>
  </si>
  <si>
    <t>ENST00000376189.1</t>
  </si>
  <si>
    <t>ENST00000376192.5</t>
  </si>
  <si>
    <t>ENST00000414205.2</t>
  </si>
  <si>
    <t>ENST00000415464.2</t>
  </si>
  <si>
    <t>ENST00000330881.5</t>
  </si>
  <si>
    <t>ENST00000361079.2</t>
  </si>
  <si>
    <t>ENST00000357367.2</t>
  </si>
  <si>
    <t>ENST00000376152.1</t>
  </si>
  <si>
    <t>ENST00000263765.4</t>
  </si>
  <si>
    <t>ENST00000530656.1</t>
  </si>
  <si>
    <t>ENST00000235372.7,ENST00000311066.5</t>
  </si>
  <si>
    <t>ENST00000449207.2</t>
  </si>
  <si>
    <t>ENST00000370685.3</t>
  </si>
  <si>
    <t>ENST00000287878.4</t>
  </si>
  <si>
    <t>ENST00000401604.2</t>
  </si>
  <si>
    <t>ENST00000165524.1</t>
  </si>
  <si>
    <t>ENST00000445876.1,ENST00000556489.2</t>
  </si>
  <si>
    <t>ENST00000377931.1</t>
  </si>
  <si>
    <t>ENST00000377930.1</t>
  </si>
  <si>
    <t>ENST00000544357.2</t>
  </si>
  <si>
    <t>ENST00000452123.3</t>
  </si>
  <si>
    <t>ENST00000434815.1</t>
  </si>
  <si>
    <t>ENST00000445351.1</t>
  </si>
  <si>
    <t>ENST00000408934.1</t>
  </si>
  <si>
    <t>ENST00000413199.1,ENST00000502927.2</t>
  </si>
  <si>
    <t>ENST00000301698.1</t>
  </si>
  <si>
    <t>ENST00000379405.3</t>
  </si>
  <si>
    <t>ENST00000293851.5</t>
  </si>
  <si>
    <t>ENST00000570702.1</t>
  </si>
  <si>
    <t>ENST00000429665.1</t>
  </si>
  <si>
    <t>ENST00000442359.2</t>
  </si>
  <si>
    <t>ENST00000463091.2</t>
  </si>
  <si>
    <t>ENST00000455694.2</t>
  </si>
  <si>
    <t>ENST00000338793.2</t>
  </si>
  <si>
    <t>ENST00000341740.2</t>
  </si>
  <si>
    <t>ENST00000245810.1</t>
  </si>
  <si>
    <t>ENST00000339488.4</t>
  </si>
  <si>
    <t>ENST00000409446.3,ENST00000453594.1</t>
  </si>
  <si>
    <t>ENST00000360221.4</t>
  </si>
  <si>
    <t>ENST00000409399.1,ENST00000421990.2</t>
  </si>
  <si>
    <t>ENST00000272847.2</t>
  </si>
  <si>
    <t>ENST00000374218.2,ENST00000395721.2</t>
  </si>
  <si>
    <t>ENST00000374339.3</t>
  </si>
  <si>
    <t>ENST00000505814.1,ENST00000511769.1</t>
  </si>
  <si>
    <t>ENST00000331650.4,ENST00000395668.1</t>
  </si>
  <si>
    <t>ENST00000374233.3</t>
  </si>
  <si>
    <t>ENST00000509631.1,ENST00000514491.1</t>
  </si>
  <si>
    <t>ENST00000356435.5,ENST00000540109.1</t>
  </si>
  <si>
    <t>ENST00000381196.4</t>
  </si>
  <si>
    <t>ENST00000254667.3</t>
  </si>
  <si>
    <t>ENST00000419012.2</t>
  </si>
  <si>
    <t>ENST00000389416.4,ENST00000389418.4,ENST00000409483.1</t>
  </si>
  <si>
    <t>ENST00000518817.1</t>
  </si>
  <si>
    <t>ENST00000360085.2</t>
  </si>
  <si>
    <t>ENST00000262765.5</t>
  </si>
  <si>
    <t>ENST00000217043.2</t>
  </si>
  <si>
    <t>ENST00000325874.8</t>
  </si>
  <si>
    <t>ENST00000218249.5</t>
  </si>
  <si>
    <t>ENST00000229824.8</t>
  </si>
  <si>
    <t>ENST00000409535.2</t>
  </si>
  <si>
    <t>ENST00000372190.3</t>
  </si>
  <si>
    <t>ENST00000264431.4</t>
  </si>
  <si>
    <t>ENST00000344041.6</t>
  </si>
  <si>
    <t>ENST00000262940.7,ENST00000449970.2</t>
  </si>
  <si>
    <t>ENST00000407184.1</t>
  </si>
  <si>
    <t>ENST00000311745.5</t>
  </si>
  <si>
    <t>ENST00000303902.5</t>
  </si>
  <si>
    <t>ENST00000382707.2</t>
  </si>
  <si>
    <t>ENST00000383020.3</t>
  </si>
  <si>
    <t>ENST00000382677.3</t>
  </si>
  <si>
    <t>ENST00000382680.1</t>
  </si>
  <si>
    <t>ENST00000418956.2</t>
  </si>
  <si>
    <t>ENST00000382658.4,ENST00000382659.2,ENST00000382673.2</t>
  </si>
  <si>
    <t>ENST00000303766.7,ENST00000454978.2</t>
  </si>
  <si>
    <t>ENST00000250831.5</t>
  </si>
  <si>
    <t>ENST00000414629.2,ENST00000445779.2</t>
  </si>
  <si>
    <t>ENST00000379010.2</t>
  </si>
  <si>
    <t>ENST00000354373.2</t>
  </si>
  <si>
    <t>ENST00000382088.3</t>
  </si>
  <si>
    <t>ENST00000397468.1</t>
  </si>
  <si>
    <t>ENST00000434937.2</t>
  </si>
  <si>
    <t>ENST00000341750.4</t>
  </si>
  <si>
    <t>ENST00000465301.2</t>
  </si>
  <si>
    <t>ENST00000540313.1</t>
  </si>
  <si>
    <t>ENST00000398193.3</t>
  </si>
  <si>
    <t>ENST00000409776.2</t>
  </si>
  <si>
    <t>ENST00000559485.1</t>
  </si>
  <si>
    <t>ENST00000329516.3</t>
  </si>
  <si>
    <t>ENST00000302558.3</t>
  </si>
  <si>
    <t>ENST00000350696.5</t>
  </si>
  <si>
    <t>ENST00000374140.2</t>
  </si>
  <si>
    <t>ENST00000371388.3</t>
  </si>
  <si>
    <t>ENST00000371402.2</t>
  </si>
  <si>
    <t>ENST00000261655.4</t>
  </si>
  <si>
    <t>ENST00000426804.1</t>
  </si>
  <si>
    <t>ENST00000434111.1</t>
  </si>
  <si>
    <t>ENST00000331505.5</t>
  </si>
  <si>
    <t>ENST00000433039.1</t>
  </si>
  <si>
    <t>ENST00000406091.3</t>
  </si>
  <si>
    <t>ENST00000255006.6</t>
  </si>
  <si>
    <t>ENST00000431365.2</t>
  </si>
  <si>
    <t>ENST00000328444.5</t>
  </si>
  <si>
    <t>ENST00000308227.2</t>
  </si>
  <si>
    <t>ENST00000604011.1</t>
  </si>
  <si>
    <t>ENST00000443020.2</t>
  </si>
  <si>
    <t>ENST00000350199.4,ENST00000357058.3</t>
  </si>
  <si>
    <t>ENST00000377885.2</t>
  </si>
  <si>
    <t>ENST00000464233.1</t>
  </si>
  <si>
    <t>ENST00000335670.6</t>
  </si>
  <si>
    <t>ENST00000330339.7</t>
  </si>
  <si>
    <t>ENST00000337579.3</t>
  </si>
  <si>
    <t>ENST00000404406.1,ENST00000405415.1</t>
  </si>
  <si>
    <t>ENST00000441023.2</t>
  </si>
  <si>
    <t>ENST00000297186.3</t>
  </si>
  <si>
    <t>ENST00000403107.1,ENST00000404077.1</t>
  </si>
  <si>
    <t>ENST00000433859.2</t>
  </si>
  <si>
    <t>ENST00000534062.1</t>
  </si>
  <si>
    <t>ENST00000394609.2</t>
  </si>
  <si>
    <t>ENST00000358241.1</t>
  </si>
  <si>
    <t>ENST00000300305.3,ENST00000437180.1</t>
  </si>
  <si>
    <t>ENST00000368725.2</t>
  </si>
  <si>
    <t>ENST00000382292.3</t>
  </si>
  <si>
    <t>ENST00000382298.3</t>
  </si>
  <si>
    <t>ENST00000254663.6,ENST00000555827.1</t>
  </si>
  <si>
    <t>ENST00000326197.7</t>
  </si>
  <si>
    <t>ENST00000402904.2</t>
  </si>
  <si>
    <t>ENST00000449082.2</t>
  </si>
  <si>
    <t>ENST00000302328.3,ENST00000450244.1</t>
  </si>
  <si>
    <t>ENST00000303395.4,ENST00000423058.2</t>
  </si>
  <si>
    <t>ENST00000371514.3</t>
  </si>
  <si>
    <t>ENST00000340695.2</t>
  </si>
  <si>
    <t>ENST00000340210.1</t>
  </si>
  <si>
    <t>ENST00000330898.4</t>
  </si>
  <si>
    <t>ENST00000284951.5</t>
  </si>
  <si>
    <t>ENST00000284136.6</t>
  </si>
  <si>
    <t>ENST00000451055.2</t>
  </si>
  <si>
    <t>ENST00000317633.9</t>
  </si>
  <si>
    <t>ENST00000380751.5</t>
  </si>
  <si>
    <t>ENST00000269491.1</t>
  </si>
  <si>
    <t>ENST00000436639.2</t>
  </si>
  <si>
    <t>ENST00000372308.3,ENST00000398636.3,ENST00000428376.2</t>
  </si>
  <si>
    <t>ENST00000345714.4</t>
  </si>
  <si>
    <t>ENST00000396596.1,ENST00000522398.1</t>
  </si>
  <si>
    <t>ENST00000521198.2</t>
  </si>
  <si>
    <t>ENST00000355946.2</t>
  </si>
  <si>
    <t>ENST00000338508.4</t>
  </si>
  <si>
    <t>ENST00000332408.4</t>
  </si>
  <si>
    <t>ENST00000296043.6</t>
  </si>
  <si>
    <t>ENST00000358550.2</t>
  </si>
  <si>
    <t>ENST00000381232.3,ENST00000555818.1</t>
  </si>
  <si>
    <t>ENST00000378536.4</t>
  </si>
  <si>
    <t>ENST00000400404.1,ENST00000425639.1</t>
  </si>
  <si>
    <t>ENST00000314070.5,ENST00000351546.3</t>
  </si>
  <si>
    <t>ENST00000358679.3</t>
  </si>
  <si>
    <t>ENST00000393469.4</t>
  </si>
  <si>
    <t>ENST00000469902.1</t>
  </si>
  <si>
    <t>ENST00000306494.6</t>
  </si>
  <si>
    <t>ENST00000373064.5</t>
  </si>
  <si>
    <t>ENST00000354883.6</t>
  </si>
  <si>
    <t>ENST00000297307.5</t>
  </si>
  <si>
    <t>NM_001282300</t>
  </si>
  <si>
    <t>ENST00000382435.4</t>
  </si>
  <si>
    <t>ENST00000412468.2</t>
  </si>
  <si>
    <t>ENST00000024061.3</t>
  </si>
  <si>
    <t>ENST00000554957.1</t>
  </si>
  <si>
    <t>ENST00000415846.3</t>
  </si>
  <si>
    <t>ENST00000251303.6</t>
  </si>
  <si>
    <t>ENST00000330181.5</t>
  </si>
  <si>
    <t>ENST00000400419.1</t>
  </si>
  <si>
    <t>ENST00000369529.1</t>
  </si>
  <si>
    <t>ENST00000380707.4</t>
  </si>
  <si>
    <t>ENST00000380743.4</t>
  </si>
  <si>
    <t>ENST00000399154.2</t>
  </si>
  <si>
    <t>ENST00000306030.3,ENST00000323433.4</t>
  </si>
  <si>
    <t>ENST00000359865.3,ENST00000400050.3</t>
  </si>
  <si>
    <t>ENST00000517570.1</t>
  </si>
  <si>
    <t>ENST00000379881.3</t>
  </si>
  <si>
    <t>ENST00000309359.1</t>
  </si>
  <si>
    <t>ENST00000546136.1</t>
  </si>
  <si>
    <t>ENST00000316399.6</t>
  </si>
  <si>
    <t>ENST00000352083.6,ENST00000396356.3</t>
  </si>
  <si>
    <t>ENST00000528429.1</t>
  </si>
  <si>
    <t>ENST00000304270.5</t>
  </si>
  <si>
    <t>ENST00000251809.3</t>
  </si>
  <si>
    <t>ENST00000388798.2</t>
  </si>
  <si>
    <t>ENST00000317900.5</t>
  </si>
  <si>
    <t>ENST00000370519.3</t>
  </si>
  <si>
    <t>ENST00000370530.1</t>
  </si>
  <si>
    <t>NM_139019</t>
  </si>
  <si>
    <t>ENST00000382095.4,ENST00000382108.3</t>
  </si>
  <si>
    <t>ENST00000377647.3</t>
  </si>
  <si>
    <t>ENST00000356699.5</t>
  </si>
  <si>
    <t>ENST00000377621.1</t>
  </si>
  <si>
    <t>ENST00000332857.6</t>
  </si>
  <si>
    <t>ENST00000355045.2</t>
  </si>
  <si>
    <t>ENST00000258704.3</t>
  </si>
  <si>
    <t>ENST00000341656.4</t>
  </si>
  <si>
    <t>ENST00000432940.1,ENST00000507918.1</t>
  </si>
  <si>
    <t>ENST00000436228.2</t>
  </si>
  <si>
    <t>ENST00000455020.2</t>
  </si>
  <si>
    <t>ENST00000507450.1</t>
  </si>
  <si>
    <t>NM_001099435</t>
  </si>
  <si>
    <t>ENST00000261503.5</t>
  </si>
  <si>
    <t>ENST00000395527.4</t>
  </si>
  <si>
    <t>ENST00000356972.1</t>
  </si>
  <si>
    <t>ENST00000434006.1</t>
  </si>
  <si>
    <t>ENST00000443619.2</t>
  </si>
  <si>
    <t>ENST00000352632.3</t>
  </si>
  <si>
    <t>ENST00000598249.1</t>
  </si>
  <si>
    <t>ENST00000337502.5</t>
  </si>
  <si>
    <t>ENST00000375515.3</t>
  </si>
  <si>
    <t>ENST00000376886.2</t>
  </si>
  <si>
    <t>ENST00000376884.2</t>
  </si>
  <si>
    <t>ENST00000394162.1</t>
  </si>
  <si>
    <t>ENST00000483910.1</t>
  </si>
  <si>
    <t>ENST00000307844.3</t>
  </si>
  <si>
    <t>ENST00000581310.1</t>
  </si>
  <si>
    <t>ENST00000374599.3</t>
  </si>
  <si>
    <t>ENST00000537309.1</t>
  </si>
  <si>
    <t>ENST00000267540.2</t>
  </si>
  <si>
    <t>ENST00000275764.3</t>
  </si>
  <si>
    <t>ENST00000450892.2</t>
  </si>
  <si>
    <t>ENST00000217961.4</t>
  </si>
  <si>
    <t>ENST00000338971.5</t>
  </si>
  <si>
    <t>ENST00000354723.6,ENST00000355544.5</t>
  </si>
  <si>
    <t>ENST00000395137.2</t>
  </si>
  <si>
    <t>ENST00000395138.2</t>
  </si>
  <si>
    <t>ENST00000563322.1</t>
  </si>
  <si>
    <t>ENST00000344620.6</t>
  </si>
  <si>
    <t>ENST00000360423.7</t>
  </si>
  <si>
    <t>ENST00000395400.3</t>
  </si>
  <si>
    <t>ENST00000565290.1</t>
  </si>
  <si>
    <t>ENST00000329106.2,ENST00000376700.1</t>
  </si>
  <si>
    <t>ENST00000546618.1</t>
  </si>
  <si>
    <t>ENST00000419765.3</t>
  </si>
  <si>
    <t>ENST00000283141.6</t>
  </si>
  <si>
    <t>ENST00000265368.4,ENST00000367255.5,ENST00000448038.1</t>
  </si>
  <si>
    <t>ENST00000423061.1</t>
  </si>
  <si>
    <t>ENST00000334258.5,ENST00000557275.1</t>
  </si>
  <si>
    <t>ENST00000307142.4</t>
  </si>
  <si>
    <t>ENST00000430451.2</t>
  </si>
  <si>
    <t>ENST00000275216.1</t>
  </si>
  <si>
    <t>ENST00000258034.2</t>
  </si>
  <si>
    <t>ENST00000275198.1</t>
  </si>
  <si>
    <t>ENST00000275200.1</t>
  </si>
  <si>
    <t>ENST00000434551.1</t>
  </si>
  <si>
    <t>ENST00000216160.6</t>
  </si>
  <si>
    <t>ENST00000260733.3</t>
  </si>
  <si>
    <t>ENST00000360561.3</t>
  </si>
  <si>
    <t>ENST00000294339.3,ENST00000371883.3</t>
  </si>
  <si>
    <t>ENST00000371884.2</t>
  </si>
  <si>
    <t>ENST00000334077.3</t>
  </si>
  <si>
    <t>ENST00000424789.2</t>
  </si>
  <si>
    <t>ENST00000375371.3</t>
  </si>
  <si>
    <t>ENST00000382492.2</t>
  </si>
  <si>
    <t>ENST00000240619.2</t>
  </si>
  <si>
    <t>ENST00000390677.2</t>
  </si>
  <si>
    <t>ENST00000537503.1</t>
  </si>
  <si>
    <t>ENST00000249284.2</t>
  </si>
  <si>
    <t>ENST00000390673.2</t>
  </si>
  <si>
    <t>ENST00000538986.1</t>
  </si>
  <si>
    <t>ENST00000247879.2</t>
  </si>
  <si>
    <t>ENST00000539585.1</t>
  </si>
  <si>
    <t>ENST00000390675.2</t>
  </si>
  <si>
    <t>ENST00000547270.1</t>
  </si>
  <si>
    <t>ENST00000446620.1</t>
  </si>
  <si>
    <t>ENST00000247881.2</t>
  </si>
  <si>
    <t>ENST00000408947.3</t>
  </si>
  <si>
    <t>ENST00000408916.1</t>
  </si>
  <si>
    <t>ENST00000334266.1</t>
  </si>
  <si>
    <t>ENST00000531678.1</t>
  </si>
  <si>
    <t>ENST00000533467.1</t>
  </si>
  <si>
    <t>ENST00000247883.4</t>
  </si>
  <si>
    <t>ENST00000506868.1</t>
  </si>
  <si>
    <t>ENST00000332690.1</t>
  </si>
  <si>
    <t>ENST00000240687.2</t>
  </si>
  <si>
    <t>ENST00000240615.2</t>
  </si>
  <si>
    <t>ENST00000240691.2</t>
  </si>
  <si>
    <t>ENST00000261439.4</t>
  </si>
  <si>
    <t>ENST00000437605.2</t>
  </si>
  <si>
    <t>ENST00000345096.4</t>
  </si>
  <si>
    <t>ENST00000405044.1</t>
  </si>
  <si>
    <t>ENST00000579181.1</t>
  </si>
  <si>
    <t>ENST00000580161.1</t>
  </si>
  <si>
    <t>ENST00000339023.4</t>
  </si>
  <si>
    <t>ENST00000354664.4</t>
  </si>
  <si>
    <t>ENST00000519532.1</t>
  </si>
  <si>
    <t>ENST00000537432.1</t>
  </si>
  <si>
    <t>ENST00000398801.3</t>
  </si>
  <si>
    <t>ENST00000454519.3</t>
  </si>
  <si>
    <t>ENST00000308078.7</t>
  </si>
  <si>
    <t>ENST00000336331.5</t>
  </si>
  <si>
    <t>ENST00000451448.2</t>
  </si>
  <si>
    <t>ENST00000457979.3</t>
  </si>
  <si>
    <t>ENST00000327454.6,ENST00000378174.5</t>
  </si>
  <si>
    <t>ENST00000505415.1</t>
  </si>
  <si>
    <t>ENST00000539424.1</t>
  </si>
  <si>
    <t>ENST00000330458.7,ENST00000341264.6</t>
  </si>
  <si>
    <t>ENST00000394453.1,ENST00000535592.1</t>
  </si>
  <si>
    <t>ENST00000535805.1</t>
  </si>
  <si>
    <t>ENST00000394359.3</t>
  </si>
  <si>
    <t>ENST00000400684.4</t>
  </si>
  <si>
    <t>ENST00000455054.2</t>
  </si>
  <si>
    <t>ENST00000535446.1</t>
  </si>
  <si>
    <t>ENST00000247219.5</t>
  </si>
  <si>
    <t>ENST00000367821.3</t>
  </si>
  <si>
    <t>ENST00000330682.2</t>
  </si>
  <si>
    <t>ENST00000451265.1</t>
  </si>
  <si>
    <t>ENST00000591973.2</t>
  </si>
  <si>
    <t>ENST00000333110.5</t>
  </si>
  <si>
    <t>ENST00000453326.2</t>
  </si>
  <si>
    <t>ENST00000264037.2</t>
  </si>
  <si>
    <t>ENST00000392793.1</t>
  </si>
  <si>
    <t>ENST00000409262.3</t>
  </si>
  <si>
    <t>ENST00000256246.2</t>
  </si>
  <si>
    <t>ENST00000558530.1</t>
  </si>
  <si>
    <t>ENST00000321217.4,ENST00000559055.2</t>
  </si>
  <si>
    <t>ENST00000261862.6</t>
  </si>
  <si>
    <t>ENST00000355327.3</t>
  </si>
  <si>
    <t>ENST00000286827.3</t>
  </si>
  <si>
    <t>ENST00000318981.5</t>
  </si>
  <si>
    <t>ENST00000461783.3</t>
  </si>
  <si>
    <t>ENST00000260867.4</t>
  </si>
  <si>
    <t>ENST00000306829.6</t>
  </si>
  <si>
    <t>ENST00000561311.1</t>
  </si>
  <si>
    <t>ENST00000297784.5</t>
  </si>
  <si>
    <t>ENST00000340019.3</t>
  </si>
  <si>
    <t>ENST00000396237.3</t>
  </si>
  <si>
    <t>ENST00000568335.1</t>
  </si>
  <si>
    <t>ENST00000299308.3</t>
  </si>
  <si>
    <t>ENST00000303130.2</t>
  </si>
  <si>
    <t>ENST00000408960.3</t>
  </si>
  <si>
    <t>NM_001242313</t>
  </si>
  <si>
    <t>ENST00000423535.1</t>
  </si>
  <si>
    <t>ENST00000457860.1,ENST00000480516.1</t>
  </si>
  <si>
    <t>ENST00000434431.1</t>
  </si>
  <si>
    <t>ENST00000531225.1</t>
  </si>
  <si>
    <t>ENST00000367167.3</t>
  </si>
  <si>
    <t>ENST00000332578.3</t>
  </si>
  <si>
    <t>ENST00000419165.1</t>
  </si>
  <si>
    <t>ENST00000436583.1,ENST00000540220.1,ENST00000569577.1</t>
  </si>
  <si>
    <t>ENST00000326637.3</t>
  </si>
  <si>
    <t>ENST00000398680.3,ENST00000569420.1</t>
  </si>
  <si>
    <t>ENST00000398682.4</t>
  </si>
  <si>
    <t>ENST00000341305.5</t>
  </si>
  <si>
    <t>ENST00000380147.3,ENST00000569741.1</t>
  </si>
  <si>
    <t>ENST00000360260.2,ENST00000398666.3</t>
  </si>
  <si>
    <t>ENST00000398667.4</t>
  </si>
  <si>
    <t>ENST00000561509.1</t>
  </si>
  <si>
    <t>ENST00000354614.3</t>
  </si>
  <si>
    <t>ENST00000398664.3</t>
  </si>
  <si>
    <t>ENST00000345063.3</t>
  </si>
  <si>
    <t>ENST00000433971.1</t>
  </si>
  <si>
    <t>ENST00000535759.1</t>
  </si>
  <si>
    <t>ENST00000382977.4</t>
  </si>
  <si>
    <t>ENST00000400230.2</t>
  </si>
  <si>
    <t>ENST00000341421.3,ENST00000396175.1</t>
  </si>
  <si>
    <t>ENST00000429976.2</t>
  </si>
  <si>
    <t>ENST00000358231.5,ENST00000359680.5,ENST00000380579.1</t>
  </si>
  <si>
    <t>ENST00000437508.2</t>
  </si>
  <si>
    <t>ENST00000272395.2</t>
  </si>
  <si>
    <t>ENST00000329758.1</t>
  </si>
  <si>
    <t>ENST00000332682.7</t>
  </si>
  <si>
    <t>ENST00000432771.1,ENST00000448984.1</t>
  </si>
  <si>
    <t>ENST00000420869.1</t>
  </si>
  <si>
    <t>ENST00000530311.2</t>
  </si>
  <si>
    <t>ENST00000329862.6</t>
  </si>
  <si>
    <t>ENST00000530230.1</t>
  </si>
  <si>
    <t>ENST00000323819.3</t>
  </si>
  <si>
    <t>ENST00000437796.1</t>
  </si>
  <si>
    <t>ENST00000447409.2</t>
  </si>
  <si>
    <t>ENST00000285805.3</t>
  </si>
  <si>
    <t>ENST00000395244.1</t>
  </si>
  <si>
    <t>ENST00000398290.3</t>
  </si>
  <si>
    <t>ENST00000542188.1</t>
  </si>
  <si>
    <t>ENST00000377110.3</t>
  </si>
  <si>
    <t>ENST00000155858.6,ENST00000452833.1,ENST00000528453.1,ENST00000533060.1</t>
  </si>
  <si>
    <t>ENST00000428845.2,ENST00000444056.1</t>
  </si>
  <si>
    <t>ENST00000320701.4,ENST00000383042.1</t>
  </si>
  <si>
    <t>ENST00000424594.1,ENST00000427871.2,ENST00000440483.1,ENST00000457222.2</t>
  </si>
  <si>
    <t>ENST00000397906.2</t>
  </si>
  <si>
    <t>ENST00000401094.6</t>
  </si>
  <si>
    <t>ENST00000401095.3</t>
  </si>
  <si>
    <t>ENST00000266182.6,ENST00000440475.1</t>
  </si>
  <si>
    <t>ENST00000305253.4</t>
  </si>
  <si>
    <t>ENST00000321253.6</t>
  </si>
  <si>
    <t>ENST00000429002.2,ENST00000525566.1</t>
  </si>
  <si>
    <t>ENST00000383572.2</t>
  </si>
  <si>
    <t>ENST00000404489.2</t>
  </si>
  <si>
    <t>ENST00000343721.5</t>
  </si>
  <si>
    <t>ENST00000256339.4</t>
  </si>
  <si>
    <t>ENST00000417945.1</t>
  </si>
  <si>
    <t>ENST00000457736.1</t>
  </si>
  <si>
    <t>ENST00000415041.1</t>
  </si>
  <si>
    <t>ENST00000421288.2</t>
  </si>
  <si>
    <t>ENST00000429667.1</t>
  </si>
  <si>
    <t>ENST00000456464.1</t>
  </si>
  <si>
    <t>ENST00000511568.1</t>
  </si>
  <si>
    <t>ENST00000504209.1</t>
  </si>
  <si>
    <t>ENST00000515566.1</t>
  </si>
  <si>
    <t>ENST00000506151.1</t>
  </si>
  <si>
    <t>ENST00000506414.1</t>
  </si>
  <si>
    <t>ENST00000511280.1</t>
  </si>
  <si>
    <t>ENST00000506619.2</t>
  </si>
  <si>
    <t>ENST00000504481.1</t>
  </si>
  <si>
    <t>ENST00000509271.1</t>
  </si>
  <si>
    <t>ENST00000509660.1</t>
  </si>
  <si>
    <t>ENST00000515574.1</t>
  </si>
  <si>
    <t>ENST00000504543.1</t>
  </si>
  <si>
    <t>ENST00000511681.1</t>
  </si>
  <si>
    <t>ENST00000504104.1</t>
  </si>
  <si>
    <t>ENST00000507227.1</t>
  </si>
  <si>
    <t>ENST00000277575.5</t>
  </si>
  <si>
    <t>ENST00000338981.3</t>
  </si>
  <si>
    <t>ENST00000367545.3</t>
  </si>
  <si>
    <t>ENST00000361696.5</t>
  </si>
  <si>
    <t>ENST00000313135.2</t>
  </si>
  <si>
    <t>ENST00000317103.4</t>
  </si>
  <si>
    <t>ENST00000381089.3,ENST00000398729.1</t>
  </si>
  <si>
    <t>ENST00000250825.4</t>
  </si>
  <si>
    <t>ENST00000250823.4</t>
  </si>
  <si>
    <t>ENST00000362010.2</t>
  </si>
  <si>
    <t>ENST00000392832.2</t>
  </si>
  <si>
    <t>ENST00000339922.3</t>
  </si>
  <si>
    <t>ENST00000341702.3</t>
  </si>
  <si>
    <t>ENST00000311170.4</t>
  </si>
  <si>
    <t>NM_182905</t>
  </si>
  <si>
    <t>ENST00000397541.2</t>
  </si>
  <si>
    <t>ENST00000324384.3,ENST00000356562.2</t>
  </si>
  <si>
    <t>ENST00000310594.3</t>
  </si>
  <si>
    <t>ENST00000397196.2</t>
  </si>
  <si>
    <t>ENST00000537031.1</t>
  </si>
  <si>
    <t>ENST00000375600.1</t>
  </si>
  <si>
    <t>ENST00000375602.1,ENST00000399800.3</t>
  </si>
  <si>
    <t>ENST00000441417.1</t>
  </si>
  <si>
    <t>ENST00000375613.3</t>
  </si>
  <si>
    <t>ENST00000375616.1,ENST00000437949.2</t>
  </si>
  <si>
    <t>ENST00000399805.2</t>
  </si>
  <si>
    <t>ENST00000518075.1</t>
  </si>
  <si>
    <t>ENST00000375588.1,ENST00000375589.1,ENST00000399795.3</t>
  </si>
  <si>
    <t>ENST00000446098.1</t>
  </si>
  <si>
    <t>ENST00000375578.1,ENST00000396497.3</t>
  </si>
  <si>
    <t>ENST00000438079.1</t>
  </si>
  <si>
    <t>ENST00000375567.3,ENST00000375570.1,ENST00000429372.2</t>
  </si>
  <si>
    <t>ENST00000330906.4</t>
  </si>
  <si>
    <t>ENST00000351072.1,ENST00000425386.1</t>
  </si>
  <si>
    <t>ENST00000375501.1</t>
  </si>
  <si>
    <t>ENST00000327939.4</t>
  </si>
  <si>
    <t>ENST00000343855.4</t>
  </si>
  <si>
    <t>ENST00000340433.2</t>
  </si>
  <si>
    <t>ENST00000382776.4</t>
  </si>
  <si>
    <t>ENST00000338647.5</t>
  </si>
  <si>
    <t>ENST00000269834.1</t>
  </si>
  <si>
    <t>ENST00000263805.4</t>
  </si>
  <si>
    <t>ENST00000377073.3</t>
  </si>
  <si>
    <t>ENST00000357002.4</t>
  </si>
  <si>
    <t>ENST00000421176.3</t>
  </si>
  <si>
    <t>ENST00000330997.4,ENST00000544719.2</t>
  </si>
  <si>
    <t>ENST00000436535.3</t>
  </si>
  <si>
    <t>ENST00000299687.5</t>
  </si>
  <si>
    <t>ENST00000262383.2</t>
  </si>
  <si>
    <t>ENST00000561648.1</t>
  </si>
  <si>
    <t>ENST00000437464.1</t>
  </si>
  <si>
    <t>ENST00000339656.5,ENST00000423137.1</t>
  </si>
  <si>
    <t>ENST00000594901.1</t>
  </si>
  <si>
    <t>ENST00000326648.3</t>
  </si>
  <si>
    <t>ENST00000377626.3,ENST00000602553.1</t>
  </si>
  <si>
    <t>ENST00000417110.2</t>
  </si>
  <si>
    <t>ENST00000397121.2</t>
  </si>
  <si>
    <t>ENST00000339986.7</t>
  </si>
  <si>
    <t>ENST00000308650.3</t>
  </si>
  <si>
    <t>ENST00000591998.1</t>
  </si>
  <si>
    <t>ENST00000400120.3</t>
  </si>
  <si>
    <t>ENST00000443676.1</t>
  </si>
  <si>
    <t>ENST00000400085.3</t>
  </si>
  <si>
    <t>ENST00000400078.2</t>
  </si>
  <si>
    <t>ENST00000400156.4</t>
  </si>
  <si>
    <t>ENST00000400172.3</t>
  </si>
  <si>
    <t>ENST00000502662.1</t>
  </si>
  <si>
    <t>ENST00000510175.1,ENST00000511079.1,ENST00000513304.1,ENST00000513889.1</t>
  </si>
  <si>
    <t>ENST00000594710.1</t>
  </si>
  <si>
    <t>NM_001159524</t>
  </si>
  <si>
    <t>ENST00000482457.2</t>
  </si>
  <si>
    <t>ENST00000301096.3,ENST00000536937.1,ENST00000544146.1,ENST00000545872.1</t>
  </si>
  <si>
    <t>ENST00000541777.2</t>
  </si>
  <si>
    <t>ENST00000597597.1</t>
  </si>
  <si>
    <t>ENST00000371030.2</t>
  </si>
  <si>
    <t>ENST00000454258.1</t>
  </si>
  <si>
    <t>ENST00000596623.1</t>
  </si>
  <si>
    <t>ENST00000466937.1</t>
  </si>
  <si>
    <t>ENST00000491959.1</t>
  </si>
  <si>
    <t>ENST00000359653.4</t>
  </si>
  <si>
    <t>ENST00000318203.5</t>
  </si>
  <si>
    <t>ENST00000391713.1,ENST00000592355.1</t>
  </si>
  <si>
    <t>ENST00000587340.1</t>
  </si>
  <si>
    <t>ENST00000358992.3</t>
  </si>
  <si>
    <t>ENST00000586855.2</t>
  </si>
  <si>
    <t>ENST00000600684.1</t>
  </si>
  <si>
    <t>NM_001242823</t>
  </si>
  <si>
    <t>NM_001242823_2</t>
  </si>
  <si>
    <t>NM_001001435</t>
  </si>
  <si>
    <t>NM_001001435_6</t>
  </si>
  <si>
    <t>NM_001242791</t>
  </si>
  <si>
    <t>NM_001129895</t>
  </si>
  <si>
    <t>NM_001256795</t>
  </si>
  <si>
    <t>NM_001242853</t>
  </si>
  <si>
    <t>NM_001242750</t>
  </si>
  <si>
    <t>NM_001243237</t>
  </si>
  <si>
    <t>NM_001242698</t>
  </si>
  <si>
    <t>NM_001272086</t>
  </si>
  <si>
    <t>NM_001243523</t>
  </si>
  <si>
    <t>NM_001195442</t>
  </si>
  <si>
    <t>NM_001195257</t>
  </si>
  <si>
    <t>NM_001195257_37</t>
  </si>
  <si>
    <t>NM_001258383</t>
  </si>
  <si>
    <t>NM_001278267</t>
  </si>
  <si>
    <t>NM_001199232</t>
  </si>
  <si>
    <t>NM_001195127</t>
  </si>
  <si>
    <t>NM_001195081</t>
  </si>
  <si>
    <t>NM_001242713</t>
  </si>
  <si>
    <t>NM_001243531</t>
  </si>
  <si>
    <t>NM_001004352</t>
  </si>
  <si>
    <t>NM_001195256</t>
  </si>
  <si>
    <t>NM_001278056</t>
  </si>
  <si>
    <t>NM_001278056_60</t>
  </si>
  <si>
    <t>NM_001278056_61</t>
  </si>
  <si>
    <t>NM_001286811</t>
  </si>
  <si>
    <t>NM_001278795</t>
  </si>
  <si>
    <t>NM_001282484</t>
  </si>
  <si>
    <t>NM_001256615</t>
  </si>
  <si>
    <t>NM_001102659</t>
  </si>
  <si>
    <t>NM_001271664</t>
  </si>
  <si>
    <t>NM_001271675</t>
  </si>
  <si>
    <t>NM_001270945</t>
  </si>
  <si>
    <t>NM_001040071</t>
  </si>
  <si>
    <t>NM_001143909</t>
  </si>
  <si>
    <t>NM_001282301</t>
  </si>
  <si>
    <t>NM_001282321</t>
  </si>
  <si>
    <t>NM_001282321_101</t>
  </si>
  <si>
    <t>NM_001256932</t>
  </si>
  <si>
    <t>NM_001040101,NM_014392</t>
  </si>
  <si>
    <t>NM_001013356</t>
  </si>
  <si>
    <t>NM_001013358</t>
  </si>
  <si>
    <t>NM_001100631</t>
  </si>
  <si>
    <t>NM_001100631_120</t>
  </si>
  <si>
    <t>NM_001243312</t>
  </si>
  <si>
    <t>ENSMUST00000097930.1</t>
  </si>
  <si>
    <t>ENSMUST00000093169.2</t>
  </si>
  <si>
    <t>ENSMUST00000181566.1</t>
  </si>
  <si>
    <t>ENSMUST00000099007.2</t>
  </si>
  <si>
    <t>ENSMUST00000173484.1</t>
  </si>
  <si>
    <t>ENSMUST00000181173.1</t>
  </si>
  <si>
    <t>ENSMUST00000174139.1</t>
  </si>
  <si>
    <t>ENSMUST00000173118.1</t>
  </si>
  <si>
    <t>ENSMUST00000089104.2</t>
  </si>
  <si>
    <t>ENSMUST00000056103.4</t>
  </si>
  <si>
    <t>ENSMUST00000178178.1</t>
  </si>
  <si>
    <t>ENSMUST00000088134.3</t>
  </si>
  <si>
    <t>ENSMUST00000113602.1</t>
  </si>
  <si>
    <t>ENSMUST00000177926.1</t>
  </si>
  <si>
    <t>ENSMUST00000055343.2</t>
  </si>
  <si>
    <t>ENSMUST00000181699.1</t>
  </si>
  <si>
    <t>ENSMUST00000031624.3</t>
  </si>
  <si>
    <t>ENSMUST00000075654.1</t>
  </si>
  <si>
    <t>ENSMUST00000042671.4</t>
  </si>
  <si>
    <t>ENSMUST00000178667.1</t>
  </si>
  <si>
    <t>ENSMUST00000048061.6</t>
  </si>
  <si>
    <t>ENSMUST00000055358.2</t>
  </si>
  <si>
    <t>ENSMUST00000178191.1</t>
  </si>
  <si>
    <t>ENSMUST00000178751.1</t>
  </si>
  <si>
    <t>ENSMUST00000179965.1</t>
  </si>
  <si>
    <t>ENSMUST00000177978.1</t>
  </si>
  <si>
    <t>ENSMUST00000164552.1</t>
  </si>
  <si>
    <t>ENSMUST00000111874.2</t>
  </si>
  <si>
    <t>ENSMUST00000180883.1</t>
  </si>
  <si>
    <t>ENSMUST00000109506.1</t>
  </si>
  <si>
    <t>ENSMUST00000065310.2</t>
  </si>
  <si>
    <t>ENSMUST00000108696.1,ENSMUST00000020855.3</t>
  </si>
  <si>
    <t>ENSMUST00000077067.4</t>
  </si>
  <si>
    <t>ENSMUST00000179153.1</t>
  </si>
  <si>
    <t>ENSMUST00000031863.1</t>
  </si>
  <si>
    <t>ENSMUST00000169849.1</t>
  </si>
  <si>
    <t>ENSMUST00000180521.1</t>
  </si>
  <si>
    <t>ENSMUST00000050829.1</t>
  </si>
  <si>
    <t>ENSMUST00000021911.8</t>
  </si>
  <si>
    <t>ENSMUST00000091560.4</t>
  </si>
  <si>
    <t>ENSMUST00000071300.6</t>
  </si>
  <si>
    <t>ENSMUST00000177714.1</t>
  </si>
  <si>
    <t>ENSMUST00000106026.2</t>
  </si>
  <si>
    <t>ENSMUST00000099009.2</t>
  </si>
  <si>
    <t>ENSMUST00000091541.4</t>
  </si>
  <si>
    <t>ENSMUST00000112778.3</t>
  </si>
  <si>
    <t>ENSMUST00000165466.1</t>
  </si>
  <si>
    <t>ENSMUST00000079272.6</t>
  </si>
  <si>
    <t>ENSMUST00000061643.2</t>
  </si>
  <si>
    <t>ENSMUST00000105720.1,ENSMUST00000037565.7</t>
  </si>
  <si>
    <t>ENSMUST00000053604.2</t>
  </si>
  <si>
    <t>ENSMUST00000082269.2</t>
  </si>
  <si>
    <t>ENSMUST00000178992.1</t>
  </si>
  <si>
    <t>ENSMUST00000127749.3</t>
  </si>
  <si>
    <t>ENSMUST00000097608.2</t>
  </si>
  <si>
    <t>ENSMUST00000076791.3</t>
  </si>
  <si>
    <t>ENSMUST00000053319.2</t>
  </si>
  <si>
    <t>ENSMUST00000097832.1</t>
  </si>
  <si>
    <t>ENSMUST00000084674.4</t>
  </si>
  <si>
    <t>ENSMUST00000013706.7</t>
  </si>
  <si>
    <t>ENSMUST00000080132.2</t>
  </si>
  <si>
    <t>ENSMUST00000051530.3</t>
  </si>
  <si>
    <t>ENSMUST00000177994.1</t>
  </si>
  <si>
    <t>ENSMUST00000179369.1</t>
  </si>
  <si>
    <t>ENSMUST00000072612.5</t>
  </si>
  <si>
    <t>ENSMUST00000051862.6</t>
  </si>
  <si>
    <t>ENSMUST00000021520.1</t>
  </si>
  <si>
    <t>ENSMUST00000088146.2</t>
  </si>
  <si>
    <t>ENSMUST00000072455.4</t>
  </si>
  <si>
    <t>ENSMUST00000077150.4</t>
  </si>
  <si>
    <t>ENSMUST00000079389.5</t>
  </si>
  <si>
    <t>ENSMUST00000053635.3</t>
  </si>
  <si>
    <t>ENSMUST00000098646.3</t>
  </si>
  <si>
    <t>ENSMUST00000030975.5</t>
  </si>
  <si>
    <t>ENSMUST00000056086.4</t>
  </si>
  <si>
    <t>ENSMUST00000022897.1</t>
  </si>
  <si>
    <t>ENSMUST00000022711.1</t>
  </si>
  <si>
    <t>ENSMUST00000110598.1</t>
  </si>
  <si>
    <t>ENSMUST00000090457.5</t>
  </si>
  <si>
    <t>ENSMUST00000098909.3</t>
  </si>
  <si>
    <t>ENSMUST00000100688.2</t>
  </si>
  <si>
    <t>ENSMUST00000034550.3</t>
  </si>
  <si>
    <t>ENSMUST00000081896.4</t>
  </si>
  <si>
    <t>ENSMUST00000082357.1</t>
  </si>
  <si>
    <t>ENSMUST00000181410.1</t>
  </si>
  <si>
    <t>ENSMUST00000025428.5</t>
  </si>
  <si>
    <t>ENSMUST00000060825.5</t>
  </si>
  <si>
    <t>ENSMUST00000163925.1</t>
  </si>
  <si>
    <t>ENSMUST00000112770.2</t>
  </si>
  <si>
    <t>ENSMUST00000067993.2</t>
  </si>
  <si>
    <t>ENSMUST00000092405.3</t>
  </si>
  <si>
    <t>ENSMUST00000036821.3</t>
  </si>
  <si>
    <t>ENSMUST00000092696.4</t>
  </si>
  <si>
    <t>ENSMUST00000068158.3</t>
  </si>
  <si>
    <t>ENSMUST00000107984.1</t>
  </si>
  <si>
    <t>ENSMUST00000052898.3</t>
  </si>
  <si>
    <t>ENSMUST00000024896.3</t>
  </si>
  <si>
    <t>ENSMUST00000081074.4</t>
  </si>
  <si>
    <t>ENSMUST00000180241.1</t>
  </si>
  <si>
    <t>ENSMUST00000171401.1</t>
  </si>
  <si>
    <t>ENSMUST00000181138.1</t>
  </si>
  <si>
    <t>ENSMUST00000059966.4</t>
  </si>
  <si>
    <t>ENSMUST00000170301.1</t>
  </si>
  <si>
    <t>ENSMUST00000152343.1</t>
  </si>
  <si>
    <t>ENSMUST00000164272.2</t>
  </si>
  <si>
    <t>ENSMUST00000056932.2</t>
  </si>
  <si>
    <t>ENSMUST00000181835.1</t>
  </si>
  <si>
    <t>ENSMUST00000180833.1</t>
  </si>
  <si>
    <t>ENSMUST00000063524.2</t>
  </si>
  <si>
    <t>ENSMUST00000053559.4</t>
  </si>
  <si>
    <t>ENSMUST00000060348.2</t>
  </si>
  <si>
    <t>ENSMUST00000168347.1</t>
  </si>
  <si>
    <t>ENSMUST00000075020.3</t>
  </si>
  <si>
    <t>ENSMUST00000179562.1</t>
  </si>
  <si>
    <t>ENSMUST00000063127.3</t>
  </si>
  <si>
    <t>ENSMUST00000048459.6</t>
  </si>
  <si>
    <t>ENSMUST00000021044.3</t>
  </si>
  <si>
    <t>ENSMUST00000081193.1</t>
  </si>
  <si>
    <t>ENSMUST00000168137.1</t>
  </si>
  <si>
    <t>ENSMUST00000097661.3</t>
  </si>
  <si>
    <t>ENSMUST00000059351.7</t>
  </si>
  <si>
    <t>ENSMUST00000066875.7</t>
  </si>
  <si>
    <t>ENSMUST00000179160.1</t>
  </si>
  <si>
    <t>ENSMUST00000063585.2</t>
  </si>
  <si>
    <t>ENSMUST00000178942.1</t>
  </si>
  <si>
    <t>ENSMUST00000022091.3</t>
  </si>
  <si>
    <t>ENSMUST00000035346.7</t>
  </si>
  <si>
    <t>ENSMUST00000061688.9</t>
  </si>
  <si>
    <t>ENSMUST00000166173.1</t>
  </si>
  <si>
    <t>ENSMUST00000169914.1</t>
  </si>
  <si>
    <t>ENSMUST00000100655.3</t>
  </si>
  <si>
    <t>ENSMUST00000101255.1</t>
  </si>
  <si>
    <t>ENSMUST00000095874.2</t>
  </si>
  <si>
    <t>ENSMUST00000180971.1</t>
  </si>
  <si>
    <t>ENSMUST00000022325.1</t>
  </si>
  <si>
    <t>ENSMUST00000069896.6</t>
  </si>
  <si>
    <t>ENSMUST00000180541.1</t>
  </si>
  <si>
    <t>ENSMUST00000101007.2</t>
  </si>
  <si>
    <t>ENSMUST00000056140.4</t>
  </si>
  <si>
    <t>ENSMUST00000179647.1</t>
  </si>
  <si>
    <t>ENSMUST00000097595.1</t>
  </si>
  <si>
    <t>ENSMUST00000112841.1</t>
  </si>
  <si>
    <t>ENSMUST00000097494.2</t>
  </si>
  <si>
    <t>ENSMUST00000180649.1</t>
  </si>
  <si>
    <t>ENSMUST00000181896.1</t>
  </si>
  <si>
    <t>ENSMUST00000181050.1</t>
  </si>
  <si>
    <t>ENSMUST00000181665.1</t>
  </si>
  <si>
    <t>ENSMUST00000098935.1</t>
  </si>
  <si>
    <t>ENSMUST00000160792.1</t>
  </si>
  <si>
    <t>ENSMUST00000170573.1</t>
  </si>
  <si>
    <t>ENSMUST00000100165.3</t>
  </si>
  <si>
    <t>ENSMUST00000179412.1</t>
  </si>
  <si>
    <t>ENSMUST00000066740.4</t>
  </si>
  <si>
    <t>ENSMUST00000181545.1</t>
  </si>
  <si>
    <t>ENSMUST00000068360.1</t>
  </si>
  <si>
    <t>ENSMUST00000181487.1</t>
  </si>
  <si>
    <t>ENSMUST00000050753.3</t>
  </si>
  <si>
    <t>ENSMUST00000079611.6</t>
  </si>
  <si>
    <t>ENSMUST00000097477.3</t>
  </si>
  <si>
    <t>ENSMUST00000168072.1</t>
  </si>
  <si>
    <t>ENSMUST00000179171.1</t>
  </si>
  <si>
    <t>ENSMUST00000181748.1,ENSMUST00000179905.1</t>
  </si>
  <si>
    <t>ENSMUST00000179455.1</t>
  </si>
  <si>
    <t>ENSMUST00000107547.1</t>
  </si>
  <si>
    <t>ENSMUST00000099454.3</t>
  </si>
  <si>
    <t>ENSMUST00000169472.1,ENSMUST00000168379.1</t>
  </si>
  <si>
    <t>ENSMUST00000068340.2</t>
  </si>
  <si>
    <t>ENSMUST00000174056.1</t>
  </si>
  <si>
    <t>ENSMUST00000054018.5</t>
  </si>
  <si>
    <t>ENSMUST00000053821.4</t>
  </si>
  <si>
    <t>ENSMUST00000002549.7</t>
  </si>
  <si>
    <t>ENSMUST00000111555.1</t>
  </si>
  <si>
    <t>ENSMUST00000072740.6</t>
  </si>
  <si>
    <t>ENSMUST00000076147.3</t>
  </si>
  <si>
    <t>ENSMUST00000118216.1,ENSMUST00000012921.7</t>
  </si>
  <si>
    <t>ENSMUST00000049577.2</t>
  </si>
  <si>
    <t>ENSMUST00000080135.3</t>
  </si>
  <si>
    <t>ENSMUST00000032069.5</t>
  </si>
  <si>
    <t>ENSMUST00000072012.3,ENSMUST00000121404.1,ENSMUST00000179758.1</t>
  </si>
  <si>
    <t>ENSMUST00000107442.2</t>
  </si>
  <si>
    <t>ENSMUST00000005849.5</t>
  </si>
  <si>
    <t>ENSMUST00000109166.2</t>
  </si>
  <si>
    <t>ENSMUST00000147604.1</t>
  </si>
  <si>
    <t>ENSMUST00000166137.2</t>
  </si>
  <si>
    <t>ENSMUST00000173494.2</t>
  </si>
  <si>
    <t>ENSMUST00000173517.2</t>
  </si>
  <si>
    <t>ENSMUST00000041984.7</t>
  </si>
  <si>
    <t>ENSMUST00000179234.1</t>
  </si>
  <si>
    <t>ENSMUST00000027455.6</t>
  </si>
  <si>
    <t>ENSMUST00000080898.2</t>
  </si>
  <si>
    <t>ENSMUST00000098667.3</t>
  </si>
  <si>
    <t>ENSMUST00000179314.1</t>
  </si>
  <si>
    <t>ENSMUST00000179568.1</t>
  </si>
  <si>
    <t>ENSMUST00000098673.3</t>
  </si>
  <si>
    <t>ENSMUST00000051274.1</t>
  </si>
  <si>
    <t>ENSMUST00000096869.2</t>
  </si>
  <si>
    <t>ENSMUST00000182726.1,ENSMUST00000182662.1</t>
  </si>
  <si>
    <t>ENSMUST00000061766.5</t>
  </si>
  <si>
    <t>ENSMUST00000055607.5</t>
  </si>
  <si>
    <t>ENSMUST00000098334.5</t>
  </si>
  <si>
    <t>ENSMUST00000165000.1</t>
  </si>
  <si>
    <t>ENSMUST00000178772.1</t>
  </si>
  <si>
    <t>ENSMUST00000183156.1</t>
  </si>
  <si>
    <t>ENSMUST00000041095.7</t>
  </si>
  <si>
    <t>ENSMUST00000179104.1</t>
  </si>
  <si>
    <t>ENSMUST00000050901.2</t>
  </si>
  <si>
    <t>ENSMUST00000181467.1,ENSMUST00000166623.2,ENSMUST00000180949.1</t>
  </si>
  <si>
    <t>ENSMUST00000089469.5</t>
  </si>
  <si>
    <t>ENSMUST00000061241.6</t>
  </si>
  <si>
    <t>ENSMUST00000111956.2</t>
  </si>
  <si>
    <t>ENSMUST00000174641.1</t>
  </si>
  <si>
    <t>ENSMUST00000033721.6</t>
  </si>
  <si>
    <t>ENSMUST00000049206.5</t>
  </si>
  <si>
    <t>ENSMUST00000110909.2</t>
  </si>
  <si>
    <t>ENSMUST00000097580.1</t>
  </si>
  <si>
    <t>ENSMUST00000071199.2</t>
  </si>
  <si>
    <t>ENSMUST00000063920.2</t>
  </si>
  <si>
    <t>ENSMUST00000057625.2</t>
  </si>
  <si>
    <t>ENSMUST00000175793.1,ENSMUST00000177035.1,ENSMUST00000176014.1</t>
  </si>
  <si>
    <t>ENSMUST00000175799.1,ENSMUST00000176384.1</t>
  </si>
  <si>
    <t>ENSMUST00000177374.1,ENSMUST00000023008.9,ENSMUST00000110115.2,ENSMUST00000110114.3</t>
  </si>
  <si>
    <t>ENSMUST00000180436.1</t>
  </si>
  <si>
    <t>ENSMUST00000066197.6</t>
  </si>
  <si>
    <t>ENSMUST00000029641.3</t>
  </si>
  <si>
    <t>ENSMUST00000178693.1</t>
  </si>
  <si>
    <t>ENSMUST00000031291.7</t>
  </si>
  <si>
    <t>ENSMUST00000043400.6</t>
  </si>
  <si>
    <t>ENSMUST00000096143.1</t>
  </si>
  <si>
    <t>ENSMUST00000066689.7</t>
  </si>
  <si>
    <t>ENSMUST00000097132.3</t>
  </si>
  <si>
    <t>ENSMUST00000080368.5</t>
  </si>
  <si>
    <t>ENSMUST00000090597.4</t>
  </si>
  <si>
    <t>ENSMUST00000177824.1</t>
  </si>
  <si>
    <t>ENSMUST00000178036.1</t>
  </si>
  <si>
    <t>ENSMUST00000179985.1,ENSMUST00000179744.1</t>
  </si>
  <si>
    <t>ENSMUST00000180173.1</t>
  </si>
  <si>
    <t>ENSMUST00000066573.1</t>
  </si>
  <si>
    <t>ENSMUST00000178161.1</t>
  </si>
  <si>
    <t>ENSMUST00000084386.5</t>
  </si>
  <si>
    <t>ENSMUST00000106919.1</t>
  </si>
  <si>
    <t>ENSMUST00000104983.1</t>
  </si>
  <si>
    <t>ENSMUST00000080505.6</t>
  </si>
  <si>
    <t>ENSMUST00000180768.1</t>
  </si>
  <si>
    <t>ENSMUST00000100534.2</t>
  </si>
  <si>
    <t>ENSMUST00000080024.5</t>
  </si>
  <si>
    <t>ENSMUST00000181143.1</t>
  </si>
  <si>
    <t>ENSMUST00000088263.4</t>
  </si>
  <si>
    <t>ENSMUST00000181932.1</t>
  </si>
  <si>
    <t>ENSMUST00000181479.1</t>
  </si>
  <si>
    <t>ENSMUST00000180674.1</t>
  </si>
  <si>
    <t>ENSMUST00000042456.3</t>
  </si>
  <si>
    <t>ENSMUST00000112346.2</t>
  </si>
  <si>
    <t>ENSMUST00000031384.5</t>
  </si>
  <si>
    <t>ENSMUST00000181156.1</t>
  </si>
  <si>
    <t>ENSMUST00000169657.1</t>
  </si>
  <si>
    <t>ENSMUST00000181168.1</t>
  </si>
  <si>
    <t>ENSMUST00000060657.2</t>
  </si>
  <si>
    <t>ENSMUST00000179702.1</t>
  </si>
  <si>
    <t>ENSMUST00000110149.1</t>
  </si>
  <si>
    <t>ENSMUST00000180822.1</t>
  </si>
  <si>
    <t>ENSMUST00000071374.5</t>
  </si>
  <si>
    <t>ENSMUST00000098496.3</t>
  </si>
  <si>
    <t>ENSMUST00000169286.1</t>
  </si>
  <si>
    <t>ENSMUST00000070500.2</t>
  </si>
  <si>
    <t>ENSMUST00000060574.7</t>
  </si>
  <si>
    <t>ENSMUST00000089246.5</t>
  </si>
  <si>
    <t>ENSMUST00000026078.8</t>
  </si>
  <si>
    <t>ENSMUST00000050937.6</t>
  </si>
  <si>
    <t>ENSMUST00000088133.3</t>
  </si>
  <si>
    <t>ENSMUST00000094587.2</t>
  </si>
  <si>
    <t>ENSMUST00000096899.2</t>
  </si>
  <si>
    <t>ENSMUST00000078163.7</t>
  </si>
  <si>
    <t>ENSMUST00000105765.3</t>
  </si>
  <si>
    <t>ENSMUST00000105774.1</t>
  </si>
  <si>
    <t>ENSMUST00000093126.4,ENSMUST00000098841.3</t>
  </si>
  <si>
    <t>ENSMUST00000081558.7</t>
  </si>
  <si>
    <t>ENSMUST00000042035.9</t>
  </si>
  <si>
    <t>ENSMUST00000170054.2,ENSMUST00000045621.8</t>
  </si>
  <si>
    <t>ENSMUST00000066460.4</t>
  </si>
  <si>
    <t>ENSMUST00000041229.4</t>
  </si>
  <si>
    <t>ENSMUST00000182899.1</t>
  </si>
  <si>
    <t>ENSMUST00000058125.8,ENSMUST00000113120.1,ENSMUST00000113118.1</t>
  </si>
  <si>
    <t>ENSMUST00000088924.5</t>
  </si>
  <si>
    <t>ENSMUST00000057062.5</t>
  </si>
  <si>
    <t>ENSMUST00000065841.4</t>
  </si>
  <si>
    <t>ENSMUST00000166373.1</t>
  </si>
  <si>
    <t>ENSMUST00000105619.1</t>
  </si>
  <si>
    <t>ENSMUST00000155211.1</t>
  </si>
  <si>
    <t>ENSMUST00000137586.2</t>
  </si>
  <si>
    <t>ENSMUST00000093506.5,ENSMUST00000064341.8</t>
  </si>
  <si>
    <t>ENSMUST00000161267.1</t>
  </si>
  <si>
    <t>ENSMUST00000162421.1</t>
  </si>
  <si>
    <t>ENSMUST00000180393.1</t>
  </si>
  <si>
    <t>ENSMUST00000097361.1</t>
  </si>
  <si>
    <t>ENSMUST00000051043.3</t>
  </si>
  <si>
    <t>ENSMUST00000064462.3</t>
  </si>
  <si>
    <t>ENSMUST00000184647.1</t>
  </si>
  <si>
    <t>ENSMUST00000056879.8</t>
  </si>
  <si>
    <t>ENSMUST00000081529.4</t>
  </si>
  <si>
    <t>ENSMUST00000120639.2,ENSMUST00000163347.1</t>
  </si>
  <si>
    <t>ENSMUST00000121160.1</t>
  </si>
  <si>
    <t>ENSMUST00000099264.1</t>
  </si>
  <si>
    <t>ENSMUST00000181588.1</t>
  </si>
  <si>
    <t>ENSMUST00000046116.1</t>
  </si>
  <si>
    <t>ENSMUST00000110741.1</t>
  </si>
  <si>
    <t>ENSMUST00000162964.1,ENSMUST00000159489.1,ENSMUST00000101024.3,ENSMUST00000076321.6</t>
  </si>
  <si>
    <t>ENSMUST00000105757.1</t>
  </si>
  <si>
    <t>ENSMUST00000184271.1</t>
  </si>
  <si>
    <t>ENSMUST00000109284.2</t>
  </si>
  <si>
    <t>ENSMUST00000121390.1</t>
  </si>
  <si>
    <t>ENSMUST00000112825.2</t>
  </si>
  <si>
    <t>ENSMUST00000114719.1</t>
  </si>
  <si>
    <t>ENSMUST00000183200.1</t>
  </si>
  <si>
    <t>ENSMUST00000092351.5</t>
  </si>
  <si>
    <t>ENSMUST00000182222.1</t>
  </si>
  <si>
    <t>ENSMUST00000068686.6,ENSMUST00000097162.5</t>
  </si>
  <si>
    <t>ENSMUST00000111813.1</t>
  </si>
  <si>
    <t>ENSMUST00000178630.1</t>
  </si>
  <si>
    <t>ENSMUST00000040440.6</t>
  </si>
  <si>
    <t>ENSMUST00000019514.9</t>
  </si>
  <si>
    <t>ENSMUST00000042219.4</t>
  </si>
  <si>
    <t>ENSMUST00000111287.1</t>
  </si>
  <si>
    <t>ENSMUST00000111288.2</t>
  </si>
  <si>
    <t>ENSMUST00000099932.3,ENSMUST00000019955.9</t>
  </si>
  <si>
    <t>ENSMUST00000019901.5</t>
  </si>
  <si>
    <t>ENSMUST00000063642.2</t>
  </si>
  <si>
    <t>ENSMUST00000076592.2</t>
  </si>
  <si>
    <t>ENSMUST00000055408.6</t>
  </si>
  <si>
    <t>ENSMUST00000095158.4,ENSMUST00000108747.2</t>
  </si>
  <si>
    <t>ENSMUST00000111114.1</t>
  </si>
  <si>
    <t>ENSMUST00000110583.2</t>
  </si>
  <si>
    <t>ENSMUST00000102957.3</t>
  </si>
  <si>
    <t>ENSMUST00000095114.4</t>
  </si>
  <si>
    <t>ENSMUST00000094226.1</t>
  </si>
  <si>
    <t>ENSMUST00000177785.1</t>
  </si>
  <si>
    <t>ENSMUST00000099241.2</t>
  </si>
  <si>
    <t>ENSMUST00000037333.10</t>
  </si>
  <si>
    <t>ENSMUST00000071404.3</t>
  </si>
  <si>
    <t>ENSMUST00000130372.1</t>
  </si>
  <si>
    <t>ENSMUST00000021240.6</t>
  </si>
  <si>
    <t>ENSMUST00000062495.2</t>
  </si>
  <si>
    <t>ENSMUST00000026432.6</t>
  </si>
  <si>
    <t>ENSMUST00000095774.2</t>
  </si>
  <si>
    <t>ENSMUST00000160662.1,ENSMUST00000114248.2</t>
  </si>
  <si>
    <t>ENSMUST00000166381.1</t>
  </si>
  <si>
    <t>ENSMUST00000033689.2</t>
  </si>
  <si>
    <t>ENSMUST00000014830.7</t>
  </si>
  <si>
    <t>ENSMUST00000164751.1</t>
  </si>
  <si>
    <t>ENSMUST00000143974.1</t>
  </si>
  <si>
    <t>ENSMUST00000043209.9</t>
  </si>
  <si>
    <t>ENSMUST00000172032.2</t>
  </si>
  <si>
    <t>ENSMUST00000027298.3</t>
  </si>
  <si>
    <t>ENSMUST00000170441.2</t>
  </si>
  <si>
    <t>ENSMUST00000109614.2,ENSMUST00000048665.6</t>
  </si>
  <si>
    <t>ENSMUST00000179788.1</t>
  </si>
  <si>
    <t>ENSMUST00000104984.1</t>
  </si>
  <si>
    <t>ENSMUST00000112024.3</t>
  </si>
  <si>
    <t>ENSMUST00000063093.9</t>
  </si>
  <si>
    <t>ENSMUST00000099589.2</t>
  </si>
  <si>
    <t>ENSMUST00000031108.6</t>
  </si>
  <si>
    <t>ENSMUST00000053017.6</t>
  </si>
  <si>
    <t>ENSMUST00000029929.7</t>
  </si>
  <si>
    <t>ENSMUST00000004428.7</t>
  </si>
  <si>
    <t>ENSMUST00000168560.1</t>
  </si>
  <si>
    <t>ENSMUST00000079639.2</t>
  </si>
  <si>
    <t>ENSMUST00000032517.6</t>
  </si>
  <si>
    <t>ENSMUST00000022834.6</t>
  </si>
  <si>
    <t>ENSMUST00000050780.7</t>
  </si>
  <si>
    <t>ENSMUST00000168531.1</t>
  </si>
  <si>
    <t>ENSMUST00000024816.6</t>
  </si>
  <si>
    <t>ENSMUST00000119870.2</t>
  </si>
  <si>
    <t>ENSMUST00000120044.2,ENSMUST00000121162.2</t>
  </si>
  <si>
    <t>ENSMUST00000102961.3</t>
  </si>
  <si>
    <t>ENSMUST00000102962.3</t>
  </si>
  <si>
    <t>ENSMUST00000032159.6</t>
  </si>
  <si>
    <t>ENSMUST00000114641.1</t>
  </si>
  <si>
    <t>ENSMUST00000072755.4</t>
  </si>
  <si>
    <t>ENSMUST00000043211.5</t>
  </si>
  <si>
    <t>ENSMUST00000184016.1</t>
  </si>
  <si>
    <t>ENSMUST00000168149.2</t>
  </si>
  <si>
    <t>ENSMUST00000163305.1</t>
  </si>
  <si>
    <t>ENSMUST00000184577.1</t>
  </si>
  <si>
    <t>ENSMUST00000150235.1</t>
  </si>
  <si>
    <t>ENSMUST00000151311.1</t>
  </si>
  <si>
    <t>ENSMUST00000184063.1</t>
  </si>
  <si>
    <t>ENSMUST00000112394.1</t>
  </si>
  <si>
    <t>ENSMUST00000145598.2</t>
  </si>
  <si>
    <t>ENSMUST00000176109.1</t>
  </si>
  <si>
    <t>ENSMUST00000076091.2</t>
  </si>
  <si>
    <t>ENSMUST00000043754.6</t>
  </si>
  <si>
    <t>ENSMUST00000005669.7</t>
  </si>
  <si>
    <t>ENSMUST00000170255.1</t>
  </si>
  <si>
    <t>ENSMUST00000100380.3</t>
  </si>
  <si>
    <t>ENSMUST00000162514.2</t>
  </si>
  <si>
    <t>ENSMUST00000031633.4</t>
  </si>
  <si>
    <t>ENSMUST00000094111.4</t>
  </si>
  <si>
    <t>ENSMUST00000094887.3</t>
  </si>
  <si>
    <t>ENSMUST00000084342.5</t>
  </si>
  <si>
    <t>ENSMUST00000179096.1</t>
  </si>
  <si>
    <t>ENSMUST00000181359.1</t>
  </si>
  <si>
    <t>ENSMUST00000101371.2</t>
  </si>
  <si>
    <t>ENSMUST00000179131.1</t>
  </si>
  <si>
    <t>ENSMUST00000181956.1</t>
  </si>
  <si>
    <t>ENSMUST00000094593.3</t>
  </si>
  <si>
    <t>ENSMUST00000181854.1</t>
  </si>
  <si>
    <t>ENSMUST00000064334.2</t>
  </si>
  <si>
    <t>ENSMUST00000179013.1</t>
  </si>
  <si>
    <t>ENSMUST00000067770.3</t>
  </si>
  <si>
    <t>ENSMUST00000070425.5</t>
  </si>
  <si>
    <t>ENSMUST00000055994.3</t>
  </si>
  <si>
    <t>ENSMUST00000080324.3</t>
  </si>
  <si>
    <t>ENSMUST00000063320.4</t>
  </si>
  <si>
    <t>ENSMUST00000112983.1</t>
  </si>
  <si>
    <t>ENSMUST00000072100.3</t>
  </si>
  <si>
    <t>ENSMUST00000020963.7</t>
  </si>
  <si>
    <t>ENSMUST00000098896.4</t>
  </si>
  <si>
    <t>ENSMUST00000079528.5</t>
  </si>
  <si>
    <t>ENSMUST00000170275.2</t>
  </si>
  <si>
    <t>ENSMUST00000076754.2</t>
  </si>
  <si>
    <t>ENSMUST00000098897.1</t>
  </si>
  <si>
    <t>ENSMUST00000098899.3</t>
  </si>
  <si>
    <t>ENSMUST00000098893.3</t>
  </si>
  <si>
    <t>ENSMUST00000098892.4</t>
  </si>
  <si>
    <t>ENSMUST00000054162.3</t>
  </si>
  <si>
    <t>ENSMUST00000033852.7</t>
  </si>
  <si>
    <t>ENSMUST00000098908.3</t>
  </si>
  <si>
    <t>ENSMUST00000064475.3</t>
  </si>
  <si>
    <t>ENSMUST00000076786.2</t>
  </si>
  <si>
    <t>ENSMUST00000095436.1</t>
  </si>
  <si>
    <t>ENSMUST00000047851.3</t>
  </si>
  <si>
    <t>ENSMUST00000033854.3</t>
  </si>
  <si>
    <t>ENSMUST00000074729.5</t>
  </si>
  <si>
    <t>ENSMUST00000108971.2</t>
  </si>
  <si>
    <t>ENSMUST00000003035.5</t>
  </si>
  <si>
    <t>ENSMUST00000171366.1</t>
  </si>
  <si>
    <t>ENSMUST00000107196.2,ENSMUST00000074273.3</t>
  </si>
  <si>
    <t>ENSMUST00000043279.8</t>
  </si>
  <si>
    <t>ENSMUST00000133298.1</t>
  </si>
  <si>
    <t>ENSMUST00000101324.2</t>
  </si>
  <si>
    <t>ENSMUST00000118218.1</t>
  </si>
  <si>
    <t>ENSMUST00000087896.4</t>
  </si>
  <si>
    <t>ENSMUST00000087899.3</t>
  </si>
  <si>
    <t>ENSMUST00000120314.1</t>
  </si>
  <si>
    <t>ENSMUST00000021356.5</t>
  </si>
  <si>
    <t>ENSMUST00000048603.7</t>
  </si>
  <si>
    <t>ENSMUST00000073309.4</t>
  </si>
  <si>
    <t>ENSMUST00000160345.1</t>
  </si>
  <si>
    <t>ENSMUST00000106308.3,ENSMUST00000084803.5</t>
  </si>
  <si>
    <t>ENSMUST00000035539.5</t>
  </si>
  <si>
    <t>ENSMUST00000108659.1</t>
  </si>
  <si>
    <t>ENSMUST00000178395.1</t>
  </si>
  <si>
    <t>ENSMUST00000170651.1</t>
  </si>
  <si>
    <t>ENSMUST00000106776.3</t>
  </si>
  <si>
    <t>ENSMUST00000026209.4</t>
  </si>
  <si>
    <t>ENSMUST00000077946.5</t>
  </si>
  <si>
    <t>ENSMUST00000025831.6</t>
  </si>
  <si>
    <t>ENSMUST00000076359.2</t>
  </si>
  <si>
    <t>ENSMUST00000023390.4</t>
  </si>
  <si>
    <t>ENSMUST00000054128.6</t>
  </si>
  <si>
    <t>ENSMUST00000099461.3</t>
  </si>
  <si>
    <t>ENSMUST00000049793.8</t>
  </si>
  <si>
    <t>ENSMUST00000100810.6</t>
  </si>
  <si>
    <t>ENSMUST00000100804.4</t>
  </si>
  <si>
    <t>ENSMUST00000179569.1</t>
  </si>
  <si>
    <t>ENSMUST00000092966.4</t>
  </si>
  <si>
    <t>ENSMUST00000179554.1</t>
  </si>
  <si>
    <t>ENSMUST00000138595.1</t>
  </si>
  <si>
    <t>ENSMUST00000177638.1</t>
  </si>
  <si>
    <t>ENSMUST00000180928.1</t>
  </si>
  <si>
    <t>ENSMUST00000071182.6</t>
  </si>
  <si>
    <t>ENSMUST00000162224.1,ENSMUST00000161740.1,ENSMUST00000041413.5</t>
  </si>
  <si>
    <t>ENSMUST00000114829.2</t>
  </si>
  <si>
    <t>ENSMUST00000100691.3</t>
  </si>
  <si>
    <t>ENSMUST00000179200.1</t>
  </si>
  <si>
    <t>ENSMUST00000159175.1,ENSMUST00000163652.1</t>
  </si>
  <si>
    <t>ENSMUST00000061936.6</t>
  </si>
  <si>
    <t>ENSMUST00000049559.1</t>
  </si>
  <si>
    <t>ENSMUST00000075648.3</t>
  </si>
  <si>
    <t>ENSMUST00000156187.1</t>
  </si>
  <si>
    <t>ENSMUST00000144827.1</t>
  </si>
  <si>
    <t>ENSMUST00000109563.2</t>
  </si>
  <si>
    <t>ENSMUST00000062009.7</t>
  </si>
  <si>
    <t>ENSMUST00000064831.5</t>
  </si>
  <si>
    <t>ENSMUST00000184973.1</t>
  </si>
  <si>
    <t>ENSMUST00000033500.4</t>
  </si>
  <si>
    <t>ENSMUST00000177591.1,ENSMUST00000177671.1,ENSMUST00000179077.1</t>
  </si>
  <si>
    <t>ENSMUST00000100041.2,ENSMUST00000134607.1</t>
  </si>
  <si>
    <t>ENSMUST00000040594.8</t>
  </si>
  <si>
    <t>ENSMUST00000097393.3</t>
  </si>
  <si>
    <t>ENSMUST00000057134.4</t>
  </si>
  <si>
    <t>ENSMUST00000051014.1</t>
  </si>
  <si>
    <t>ENSMUST00000065741.3</t>
  </si>
  <si>
    <t>ENSMUST00000050309.5</t>
  </si>
  <si>
    <t>ENSMUST00000099093.3</t>
  </si>
  <si>
    <t>ENSMUST00000110438.1</t>
  </si>
  <si>
    <t>ENSMUST00000068987.5</t>
  </si>
  <si>
    <t>ENSMUST00000094148.4</t>
  </si>
  <si>
    <t>ENSMUST00000118408.1</t>
  </si>
  <si>
    <t>ENSMUST00000119077.1</t>
  </si>
  <si>
    <t>ENSMUST00000177768.1</t>
  </si>
  <si>
    <t>ENSMUST00000170846.1</t>
  </si>
  <si>
    <t>ENSMUST00000021851.6</t>
  </si>
  <si>
    <t>ENSMUST00000098796.3</t>
  </si>
  <si>
    <t>ENSMUST00000082170.5</t>
  </si>
  <si>
    <t>ENSMUST00000061456.2</t>
  </si>
  <si>
    <t>ENSMUST00000066901.4,ENSMUST00000112041.2</t>
  </si>
  <si>
    <t>ENSMUST00000056745.6</t>
  </si>
  <si>
    <t>ENSMUST00000084984.6</t>
  </si>
  <si>
    <t>ENSMUST00000079548.6</t>
  </si>
  <si>
    <t>ENSMUST00000080626.4</t>
  </si>
  <si>
    <t>ENSMUST00000073962.6</t>
  </si>
  <si>
    <t>ENSMUST00000163839.2</t>
  </si>
  <si>
    <t>ENSMUST00000071917.3</t>
  </si>
  <si>
    <t>ENSMUST00000112040.2,ENSMUST00000112039.2</t>
  </si>
  <si>
    <t>ENSMUST00000094337.1</t>
  </si>
  <si>
    <t>ENSMUST00000000129.6</t>
  </si>
  <si>
    <t>ENSMUST00000052700.3</t>
  </si>
  <si>
    <t>ENSMUST00000102585.1</t>
  </si>
  <si>
    <t>ENSMUST00000100024.1</t>
  </si>
  <si>
    <t>ENSMUST00000026631.5</t>
  </si>
  <si>
    <t>ENSMUST00000038885.3</t>
  </si>
  <si>
    <t>ENSMUST00000138563.2</t>
  </si>
  <si>
    <t>ENSMUST00000114772.2</t>
  </si>
  <si>
    <t>ENSMUST00000008280.7</t>
  </si>
  <si>
    <t>ENSMUST00000178140.1</t>
  </si>
  <si>
    <t>ENSMUST00000159816.1</t>
  </si>
  <si>
    <t>ENSMUST00000113383.2</t>
  </si>
  <si>
    <t>ENSMUST00000072915.2</t>
  </si>
  <si>
    <t>ENSMUST00000046859.4</t>
  </si>
  <si>
    <t>ENSMUST00000085108.1</t>
  </si>
  <si>
    <t>ENSMUST00000177451.1</t>
  </si>
  <si>
    <t>ENSMUST00000096265.3</t>
  </si>
  <si>
    <t>ENSMUST00000163801.1</t>
  </si>
  <si>
    <t>ENSMUST00000071189.1</t>
  </si>
  <si>
    <t>ENSMUST00000095651.1</t>
  </si>
  <si>
    <t>ENSMUST00000095636.1</t>
  </si>
  <si>
    <t>ENSMUST00000095637.1</t>
  </si>
  <si>
    <t>ENSMUST00000075767.7</t>
  </si>
  <si>
    <t>ENSMUST00000177457.1</t>
  </si>
  <si>
    <t>ENSMUST00000032146.7</t>
  </si>
  <si>
    <t>ENSMUST00000044702.6</t>
  </si>
  <si>
    <t>ENSMUST00000087204.5</t>
  </si>
  <si>
    <t>ENSMUST00000096509.5</t>
  </si>
  <si>
    <t>ENSMUST00000041080.5</t>
  </si>
  <si>
    <t>ENSMUST00000179907.1</t>
  </si>
  <si>
    <t>ENSMUST00000178024.1</t>
  </si>
  <si>
    <t>ENSMUST00000053876.2</t>
  </si>
  <si>
    <t>ENSMUST00000180570.1</t>
  </si>
  <si>
    <t>ENSMUST00000180459.1</t>
  </si>
  <si>
    <t>ENSMUST00000101402.4</t>
  </si>
  <si>
    <t>ENSMUST00000077447.4</t>
  </si>
  <si>
    <t>ENSMUST00000037553.5</t>
  </si>
  <si>
    <t>ENSMUST00000102810.3</t>
  </si>
  <si>
    <t>ENSMUST00000049382.4</t>
  </si>
  <si>
    <t>ENSMUST00000065588.6</t>
  </si>
  <si>
    <t>ENSMUST00000100962.3</t>
  </si>
  <si>
    <t>ENSMUST00000088311.4</t>
  </si>
  <si>
    <t>ENSMUST00000102920.3</t>
  </si>
  <si>
    <t>ENSMUST00000021791.6</t>
  </si>
  <si>
    <t>ENSMUST00000110191.2</t>
  </si>
  <si>
    <t>ENSMUST00000099060.1</t>
  </si>
  <si>
    <t>ENSMUST00000074880.5</t>
  </si>
  <si>
    <t>ENSMUST00000057186.1</t>
  </si>
  <si>
    <t>ENSMUST00000031727.7</t>
  </si>
  <si>
    <t>ENSMUST00000056517.2</t>
  </si>
  <si>
    <t>ENSMUST00000062931.1</t>
  </si>
  <si>
    <t>ENSMUST00000034785.7</t>
  </si>
  <si>
    <t>ENSMUST00000172141.1</t>
  </si>
  <si>
    <t>ENSMUST00000094821.3</t>
  </si>
  <si>
    <t>ENSMUST00000040624.5</t>
  </si>
  <si>
    <t>ENSMUST00000166343.1</t>
  </si>
  <si>
    <t>ENSMUST00000070814.2</t>
  </si>
  <si>
    <t>ENSMUST00000106074.3</t>
  </si>
  <si>
    <t>ENSMUST00000080872.4</t>
  </si>
  <si>
    <t>ENSMUST00000060609.7</t>
  </si>
  <si>
    <t>ENSMUST00000069263.4</t>
  </si>
  <si>
    <t>ENSMUST00000073080.5</t>
  </si>
  <si>
    <t>ENSMUST00000144098.1</t>
  </si>
  <si>
    <t>ENSMUST00000079797.6</t>
  </si>
  <si>
    <t>ENSMUST00000178152.1</t>
  </si>
  <si>
    <t>ENSMUST00000076238.3</t>
  </si>
  <si>
    <t>ENSMUST00000081455.4</t>
  </si>
  <si>
    <t>ENSMUST00000073238.6</t>
  </si>
  <si>
    <t>ENSMUST00000081044.3</t>
  </si>
  <si>
    <t>ENSMUST00000077110.3</t>
  </si>
  <si>
    <t>ENSMUST00000074053.4</t>
  </si>
  <si>
    <t>ENSMUST00000178672.1</t>
  </si>
  <si>
    <t>ENSMUST00000180207.1</t>
  </si>
  <si>
    <t>ENSMUST00000078121.3</t>
  </si>
  <si>
    <t>ENSMUST00000072123.4</t>
  </si>
  <si>
    <t>ENSMUST00000081204.4</t>
  </si>
  <si>
    <t>ENSMUST00000075226.4</t>
  </si>
  <si>
    <t>ENSMUST00000072437.3</t>
  </si>
  <si>
    <t>ENSMUST00000090860.6</t>
  </si>
  <si>
    <t>ENSMUST00000071781.6</t>
  </si>
  <si>
    <t>ENSMUST00000171360.2</t>
  </si>
  <si>
    <t>ENSMUST00000133235.2</t>
  </si>
  <si>
    <t>ENSMUST00000099431.4</t>
  </si>
  <si>
    <t>ENSMUST00000074761.4</t>
  </si>
  <si>
    <t>ENSMUST00000043711.8</t>
  </si>
  <si>
    <t>ENSMUST00000081471.2</t>
  </si>
  <si>
    <t>ENSMUST00000072739.4</t>
  </si>
  <si>
    <t>ENSMUST00000075388.6</t>
  </si>
  <si>
    <t>ENSMUST00000178966.1</t>
  </si>
  <si>
    <t>ENSMUST00000084390.1</t>
  </si>
  <si>
    <t>ENSMUST00000085094.3</t>
  </si>
  <si>
    <t>ENSMUST00000086238.2</t>
  </si>
  <si>
    <t>ENSMUST00000086544.4</t>
  </si>
  <si>
    <t>ENSMUST00000086672.2</t>
  </si>
  <si>
    <t>ENSMUST00000086887.1</t>
  </si>
  <si>
    <t>ENSMUST00000086960.2</t>
  </si>
  <si>
    <t>ENSMUST00000087348.3</t>
  </si>
  <si>
    <t>ENSMUST00000087884.1</t>
  </si>
  <si>
    <t>ENSMUST00000088080.2</t>
  </si>
  <si>
    <t>ENSMUST00000088236.3</t>
  </si>
  <si>
    <t>ENSMUST00000088299.4</t>
  </si>
  <si>
    <t>ENSMUST00000072133.4</t>
  </si>
  <si>
    <t>ENSMUST00000089105.2</t>
  </si>
  <si>
    <t>ENSMUST00000119362.1</t>
  </si>
  <si>
    <t>ENSMUST00000178745.1</t>
  </si>
  <si>
    <t>ENSMUST00000089304.1</t>
  </si>
  <si>
    <t>ENSMUST00000178788.1</t>
  </si>
  <si>
    <t>ENSMUST00000181786.1</t>
  </si>
  <si>
    <t>ENSMUST00000090946.2</t>
  </si>
  <si>
    <t>ENSMUST00000179404.1</t>
  </si>
  <si>
    <t>ENSMUST00000091270.2</t>
  </si>
  <si>
    <t>ENSMUST00000091289.3</t>
  </si>
  <si>
    <t>ENSMUST00000074072.3</t>
  </si>
  <si>
    <t>ENSMUST00000091715.1</t>
  </si>
  <si>
    <t>ENSMUST00000091916.2</t>
  </si>
  <si>
    <t>ENSMUST00000181652.1</t>
  </si>
  <si>
    <t>ENSMUST00000092165.4</t>
  </si>
  <si>
    <t>ENSMUST00000092883.2</t>
  </si>
  <si>
    <t>ENSMUST00000075602.6</t>
  </si>
  <si>
    <t>ENSMUST00000094315.2</t>
  </si>
  <si>
    <t>ENSMUST00000094662.1</t>
  </si>
  <si>
    <t>ENSMUST00000174433.1</t>
  </si>
  <si>
    <t>ENSMUST00000094945.1</t>
  </si>
  <si>
    <t>ENSMUST00000094956.1</t>
  </si>
  <si>
    <t>ENSMUST00000094969.1</t>
  </si>
  <si>
    <t>ENSMUST00000095239.2</t>
  </si>
  <si>
    <t>ENSMUST00000095282.1</t>
  </si>
  <si>
    <t>ENSMUST00000170205.1</t>
  </si>
  <si>
    <t>ENSMUST00000095646.1</t>
  </si>
  <si>
    <t>ENSMUST00000079229.6</t>
  </si>
  <si>
    <t>ENSMUST00000092528.5</t>
  </si>
  <si>
    <t>ENSMUST00000072014.4</t>
  </si>
  <si>
    <t>ENSMUST00000096145.4</t>
  </si>
  <si>
    <t>ENSMUST00000096148.4</t>
  </si>
  <si>
    <t>ENSMUST00000096151.1</t>
  </si>
  <si>
    <t>ENSMUST00000181509.1</t>
  </si>
  <si>
    <t>ENSMUST00000170790.1</t>
  </si>
  <si>
    <t>ENSMUST00000096324.2</t>
  </si>
  <si>
    <t>ENSMUST00000087694.4</t>
  </si>
  <si>
    <t>ENSMUST00000166474.2</t>
  </si>
  <si>
    <t>ENSMUST00000096953.4</t>
  </si>
  <si>
    <t>ENSMUST00000097146.2</t>
  </si>
  <si>
    <t>ENSMUST00000163970.1,ENSMUST00000100692.3</t>
  </si>
  <si>
    <t>ENSMUST00000100694.4</t>
  </si>
  <si>
    <t>ENSMUST00000169756.1</t>
  </si>
  <si>
    <t>ENSMUST00000100695.3</t>
  </si>
  <si>
    <t>ENSMUST00000100696.1</t>
  </si>
  <si>
    <t>ENSMUST00000100848.2</t>
  </si>
  <si>
    <t>ENSMUST00000100895.3</t>
  </si>
  <si>
    <t>ENSMUST00000170738.2</t>
  </si>
  <si>
    <t>ENSMUST00000096168.5</t>
  </si>
  <si>
    <t>ENSMUST00000170123.1</t>
  </si>
  <si>
    <t>ENSMUST00000112728.2,ENSMUST00000177913.1</t>
  </si>
  <si>
    <t>ENSMUST00000177581.1</t>
  </si>
  <si>
    <t>ENSMUST00000180232.1</t>
  </si>
  <si>
    <t>ENSMUST00000178750.1</t>
  </si>
  <si>
    <t>ENSMUST00000094840.3</t>
  </si>
  <si>
    <t>ENSMUST00000071580.6</t>
  </si>
  <si>
    <t>ENSMUST00000101181.4</t>
  </si>
  <si>
    <t>ENSMUST00000094946.4</t>
  </si>
  <si>
    <t>ENSMUST00000101552.1</t>
  </si>
  <si>
    <t>ENSMUST00000101606.3</t>
  </si>
  <si>
    <t>ENSMUST00000101619.3</t>
  </si>
  <si>
    <t>ENSMUST00000101647.3</t>
  </si>
  <si>
    <t>ENSMUST00000177566.1</t>
  </si>
  <si>
    <t>ENSMUST00000180344.1</t>
  </si>
  <si>
    <t>ENSMUST00000101657.3</t>
  </si>
  <si>
    <t>ENSMUST00000086274.2</t>
  </si>
  <si>
    <t>ENSMUST00000085330.4</t>
  </si>
  <si>
    <t>ENSMUST00000097384.1</t>
  </si>
  <si>
    <t>ENSMUST00000097466.2</t>
  </si>
  <si>
    <t>ENSMUST00000097612.2</t>
  </si>
  <si>
    <t>ENSMUST00000097669.1</t>
  </si>
  <si>
    <t>ENSMUST00000115821.2</t>
  </si>
  <si>
    <t>ENSMUST00000097750.2</t>
  </si>
  <si>
    <t>ENSMUST00000097824.2</t>
  </si>
  <si>
    <t>ENSMUST00000097953.1</t>
  </si>
  <si>
    <t>ENSMUST00000097954.1</t>
  </si>
  <si>
    <t>ENSMUST00000178168.1</t>
  </si>
  <si>
    <t>ENSMUST00000178742.1</t>
  </si>
  <si>
    <t>ENSMUST00000180030.1</t>
  </si>
  <si>
    <t>ENSMUST00000098118.1</t>
  </si>
  <si>
    <t>ENSMUST00000117202.2</t>
  </si>
  <si>
    <t>ENSMUST00000098260.2</t>
  </si>
  <si>
    <t>ENSMUST00000093527.3</t>
  </si>
  <si>
    <t>ENSMUST00000177929.1</t>
  </si>
  <si>
    <t>ENSMUST00000085257.4</t>
  </si>
  <si>
    <t>ENSMUST00000098592.2</t>
  </si>
  <si>
    <t>ENSMUST00000098612.2</t>
  </si>
  <si>
    <t>ENSMUST00000098625.2</t>
  </si>
  <si>
    <t>ENSMUST00000098653.2</t>
  </si>
  <si>
    <t>ENSMUST00000168053.2</t>
  </si>
  <si>
    <t>ENSMUST00000098716.1</t>
  </si>
  <si>
    <t>ENSMUST00000098720.1</t>
  </si>
  <si>
    <t>ENSMUST00000098722.1</t>
  </si>
  <si>
    <t>ENSMUST00000179491.1</t>
  </si>
  <si>
    <t>ENSMUST00000098744.1</t>
  </si>
  <si>
    <t>ENSMUST00000098778.2</t>
  </si>
  <si>
    <t>ENSMUST00000058728.5</t>
  </si>
  <si>
    <t>ENSMUST00000178221.1</t>
  </si>
  <si>
    <t>ENSMUST00000161475.1</t>
  </si>
  <si>
    <t>ENSMUST00000167916.1</t>
  </si>
  <si>
    <t>ENSMUST00000091692.3</t>
  </si>
  <si>
    <t>ENSMUST00000098916.2</t>
  </si>
  <si>
    <t>ENSMUST00000098994.5</t>
  </si>
  <si>
    <t>ENSMUST00000098996.1</t>
  </si>
  <si>
    <t>ENSMUST00000155807.2</t>
  </si>
  <si>
    <t>ENSMUST00000177969.1</t>
  </si>
  <si>
    <t>ENSMUST00000099046.3</t>
  </si>
  <si>
    <t>ENSMUST00000143083.2</t>
  </si>
  <si>
    <t>ENSMUST00000151376.2</t>
  </si>
  <si>
    <t>ENSMUST00000099104.2</t>
  </si>
  <si>
    <t>ENSMUST00000099162.2</t>
  </si>
  <si>
    <t>ENSMUST00000099324.3</t>
  </si>
  <si>
    <t>ENSMUST00000179066.1</t>
  </si>
  <si>
    <t>ENSMUST00000099418.2</t>
  </si>
  <si>
    <t>ENSMUST00000167981.2</t>
  </si>
  <si>
    <t>ENSMUST00000099425.2</t>
  </si>
  <si>
    <t>ENSMUST00000099476.3</t>
  </si>
  <si>
    <t>ENSMUST00000178715.1</t>
  </si>
  <si>
    <t>ENSMUST00000099666.2</t>
  </si>
  <si>
    <t>ENSMUST00000099692.2</t>
  </si>
  <si>
    <t>ENSMUST00000100294.2</t>
  </si>
  <si>
    <t>ENSMUST00000100338.1</t>
  </si>
  <si>
    <t>ENSMUST00000179430.1</t>
  </si>
  <si>
    <t>ENSMUST00000100426.2</t>
  </si>
  <si>
    <t>ENSMUST00000100526.2</t>
  </si>
  <si>
    <t>ENSMUST00000104891.1</t>
  </si>
  <si>
    <t>ENSMUST00000179325.1</t>
  </si>
  <si>
    <t>ENSMUST00000105014.1</t>
  </si>
  <si>
    <t>ENSMUST00000105264.2</t>
  </si>
  <si>
    <t>ENSMUST00000105564.1</t>
  </si>
  <si>
    <t>ENSMUST00000105596.1</t>
  </si>
  <si>
    <t>ENSMUST00000106431.1</t>
  </si>
  <si>
    <t>ENSMUST00000106703.1</t>
  </si>
  <si>
    <t>ENSMUST00000106852.1</t>
  </si>
  <si>
    <t>ENSMUST00000107276.1</t>
  </si>
  <si>
    <t>ENSMUST00000107486.1</t>
  </si>
  <si>
    <t>ENSMUST00000108014.1</t>
  </si>
  <si>
    <t>ENSMUST00000108743.1</t>
  </si>
  <si>
    <t>ENSMUST00000178120.1</t>
  </si>
  <si>
    <t>ENSMUST00000108961.3</t>
  </si>
  <si>
    <t>ENSMUST00000109160.2</t>
  </si>
  <si>
    <t>ENSMUST00000109447.1</t>
  </si>
  <si>
    <t>ENSMUST00000090195.4</t>
  </si>
  <si>
    <t>ENSMUST00000109941.1</t>
  </si>
  <si>
    <t>ENSMUST00000109987.1</t>
  </si>
  <si>
    <t>ENSMUST00000110225.1</t>
  </si>
  <si>
    <t>ENSMUST00000110441.1</t>
  </si>
  <si>
    <t>ENSMUST00000111107.1</t>
  </si>
  <si>
    <t>ENSMUST00000111844.1</t>
  </si>
  <si>
    <t>ENSMUST00000112062.1</t>
  </si>
  <si>
    <t>ENSMUST00000168858.1</t>
  </si>
  <si>
    <t>ENSMUST00000112589.2</t>
  </si>
  <si>
    <t>ENSMUST00000112956.1</t>
  </si>
  <si>
    <t>ENSMUST00000113205.1</t>
  </si>
  <si>
    <t>ENSMUST00000113255.1</t>
  </si>
  <si>
    <t>ENSMUST00000113257.1</t>
  </si>
  <si>
    <t>ENSMUST00000114209.1</t>
  </si>
  <si>
    <t>ENSMUST00000114231.1</t>
  </si>
  <si>
    <t>ENSMUST00000115822.1</t>
  </si>
  <si>
    <t>ENSMUST00000184252.1</t>
  </si>
  <si>
    <t>ENSMUST00000180092.1</t>
  </si>
  <si>
    <t>ENSMUST00000178319.1</t>
  </si>
  <si>
    <t>ENSMUST00000084479.3</t>
  </si>
  <si>
    <t>ENSMUST00000171348.2</t>
  </si>
  <si>
    <t>ENSMUST00000044043.2</t>
  </si>
  <si>
    <t>ENSMUST00000095920.1</t>
  </si>
  <si>
    <t>ENSMUST00000050276.8</t>
  </si>
  <si>
    <t>ENSMUST00000114675.1</t>
  </si>
  <si>
    <t>ENSMUST00000084480.4</t>
  </si>
  <si>
    <t>ENSMUST00000105056.1</t>
  </si>
  <si>
    <t>ENSMUST00000092694.3</t>
  </si>
  <si>
    <t>ENSMUST00000078442.3</t>
  </si>
  <si>
    <t>ENSMUST00000105057.1</t>
  </si>
  <si>
    <t>ENSMUST00000107440.1</t>
  </si>
  <si>
    <t>ENSMUST00000106578.1</t>
  </si>
  <si>
    <t>ENSMUST00000100240.2</t>
  </si>
  <si>
    <t>ENSMUST00000092394.3</t>
  </si>
  <si>
    <t>ENSMUST00000107310.2,ENSMUST00000107312.1</t>
  </si>
  <si>
    <t>ENSMUST00000107321.2,ENSMUST00000107320.2</t>
  </si>
  <si>
    <t>ENSMUST00000107327.1,ENSMUST00000107326.1</t>
  </si>
  <si>
    <t>ENSMUST00000089430.4</t>
  </si>
  <si>
    <t>ENSMUST00000184940.1</t>
  </si>
  <si>
    <t>ENSMUST00000183831.1</t>
  </si>
  <si>
    <t>ENSMUST00000109228.1</t>
  </si>
  <si>
    <t>ENSMUST00000104959.1,ENSMUST00000161192.2</t>
  </si>
  <si>
    <t>ENSMUST00000108825.1</t>
  </si>
  <si>
    <t>ENSMUST00000108250.2</t>
  </si>
  <si>
    <t>ENSMUST00000107981.1</t>
  </si>
  <si>
    <t>ENSMUST00000107979.1</t>
  </si>
  <si>
    <t>ENSMUST00000102809.1</t>
  </si>
  <si>
    <t>ENSMUST00000123179.1</t>
  </si>
  <si>
    <t>ENSMUST00000094955.1</t>
  </si>
  <si>
    <t>ENSMUST00000107071.1</t>
  </si>
  <si>
    <t>ENSMUST00000184254.1</t>
  </si>
  <si>
    <t>ENSMUST00000185012.1</t>
  </si>
  <si>
    <t>ENSMUST00000106914.1</t>
  </si>
  <si>
    <t>ENSMUST00000106915.3</t>
  </si>
  <si>
    <t>ENSMUST00000106916.1</t>
  </si>
  <si>
    <t>ENSMUST00000052027.7</t>
  </si>
  <si>
    <t>ENSMUST00000075999.3</t>
  </si>
  <si>
    <t>ENSMUST00000137570.1</t>
  </si>
  <si>
    <t>ENSMUST00000106266.1</t>
  </si>
  <si>
    <t>ENSMUST00000106265.2</t>
  </si>
  <si>
    <t>ENSMUST00000085144.4</t>
  </si>
  <si>
    <t>ENSMUST00000105805.1</t>
  </si>
  <si>
    <t>ENSMUST00000094521.5</t>
  </si>
  <si>
    <t>ENSMUST00000169056.1</t>
  </si>
  <si>
    <t>ENSMUST00000178489.1</t>
  </si>
  <si>
    <t>ENSMUST00000091878.5</t>
  </si>
  <si>
    <t>ENSMUST00000105776.1</t>
  </si>
  <si>
    <t>ENSMUST00000078695.4</t>
  </si>
  <si>
    <t>ENSMUST00000105773.1</t>
  </si>
  <si>
    <t>ENSMUST00000075045.3</t>
  </si>
  <si>
    <t>ENSMUST00000105771.1</t>
  </si>
  <si>
    <t>ENSMUST00000105667.2</t>
  </si>
  <si>
    <t>ENSMUST00000105763.1</t>
  </si>
  <si>
    <t>ENSMUST00000097800.2,ENSMUST00000097799.2,ENSMUST00000105761.3</t>
  </si>
  <si>
    <t>ENSMUST00000105766.1</t>
  </si>
  <si>
    <t>ENSMUST00000094526.4</t>
  </si>
  <si>
    <t>ENSMUST00000121109.1</t>
  </si>
  <si>
    <t>ENSMUST00000105751.1</t>
  </si>
  <si>
    <t>ENSMUST00000084149.3</t>
  </si>
  <si>
    <t>ENSMUST00000133078.1,ENSMUST00000154154.1</t>
  </si>
  <si>
    <t>ENSMUST00000146688.2</t>
  </si>
  <si>
    <t>ENSMUST00000148762.3</t>
  </si>
  <si>
    <t>ENSMUST00000063704.7</t>
  </si>
  <si>
    <t>ENSMUST00000105721.2</t>
  </si>
  <si>
    <t>ENSMUST00000071016.2</t>
  </si>
  <si>
    <t>ENSMUST00000105741.1</t>
  </si>
  <si>
    <t>ENSMUST00000105742.1</t>
  </si>
  <si>
    <t>ENSMUST00000166629.1</t>
  </si>
  <si>
    <t>ENSMUST00000105738.2</t>
  </si>
  <si>
    <t>ENSMUST00000180014.1</t>
  </si>
  <si>
    <t>ENSMUST00000105735.2</t>
  </si>
  <si>
    <t>ENSMUST00000179175.1</t>
  </si>
  <si>
    <t>ENSMUST00000070932.3</t>
  </si>
  <si>
    <t>ENSMUST00000130825.1</t>
  </si>
  <si>
    <t>ENSMUST00000105733.2</t>
  </si>
  <si>
    <t>ENSMUST00000094992.1</t>
  </si>
  <si>
    <t>ENSMUST00000179425.1</t>
  </si>
  <si>
    <t>ENSMUST00000178347.1</t>
  </si>
  <si>
    <t>ENSMUST00000177699.1</t>
  </si>
  <si>
    <t>ENSMUST00000180311.1</t>
  </si>
  <si>
    <t>ENSMUST00000177771.1</t>
  </si>
  <si>
    <t>ENSMUST00000178602.1</t>
  </si>
  <si>
    <t>ENSMUST00000105148.1</t>
  </si>
  <si>
    <t>ENSMUST00000178480.1</t>
  </si>
  <si>
    <t>ENSMUST00000179725.2</t>
  </si>
  <si>
    <t>ENSMUST00000179490.1</t>
  </si>
  <si>
    <t>ENSMUST00000094977.1</t>
  </si>
  <si>
    <t>ENSMUST00000179158.1</t>
  </si>
  <si>
    <t>ENSMUST00000177806.1</t>
  </si>
  <si>
    <t>ENSMUST00000180201.1</t>
  </si>
  <si>
    <t>ENSMUST00000098123.3</t>
  </si>
  <si>
    <t>ENSMUST00000098121.3</t>
  </si>
  <si>
    <t>ENSMUST00000098122.2</t>
  </si>
  <si>
    <t>ENSMUST00000146205.1</t>
  </si>
  <si>
    <t>ENSMUST00000099947.2</t>
  </si>
  <si>
    <t>ENSMUST00000178960.1</t>
  </si>
  <si>
    <t>ENSMUST00000178533.1</t>
  </si>
  <si>
    <t>ENSMUST00000099951.2</t>
  </si>
  <si>
    <t>ENSMUST00000180347.1</t>
  </si>
  <si>
    <t>ENSMUST00000099948.2</t>
  </si>
  <si>
    <t>ENSMUST00000179192.1</t>
  </si>
  <si>
    <t>ENSMUST00000077123.3</t>
  </si>
  <si>
    <t>ENSMUST00000118332.2</t>
  </si>
  <si>
    <t>ENSMUST00000104985.1</t>
  </si>
  <si>
    <t>ENSMUST00000107319.1,ENSMUST00000107318.1</t>
  </si>
  <si>
    <t>ENSMUST00000127918.1</t>
  </si>
  <si>
    <t>ENSMUST00000145798.2</t>
  </si>
  <si>
    <t>ENSMUST00000110521.2</t>
  </si>
  <si>
    <t>ENSMUST00000109888.1</t>
  </si>
  <si>
    <t>ENSMUST00000178211.1</t>
  </si>
  <si>
    <t>ENSMUST00000109890.1</t>
  </si>
  <si>
    <t>ENSMUST00000105066.1</t>
  </si>
  <si>
    <t>ENSMUST00000105073.1</t>
  </si>
  <si>
    <t>ENSMUST00000184654.1</t>
  </si>
  <si>
    <t>ENSMUST00000130870.1</t>
  </si>
  <si>
    <t>ENSMUST00000109020.2,ENSMUST00000123863.1</t>
  </si>
  <si>
    <t>ENSMUST00000132883.1</t>
  </si>
  <si>
    <t>ENSMUST00000108981.2</t>
  </si>
  <si>
    <t>ENSMUST00000108983.2</t>
  </si>
  <si>
    <t>ENSMUST00000108985.2</t>
  </si>
  <si>
    <t>ENSMUST00000108990.2</t>
  </si>
  <si>
    <t>ENSMUST00000108935.1</t>
  </si>
  <si>
    <t>ENSMUST00000105019.2</t>
  </si>
  <si>
    <t>ENSMUST00000105020.1</t>
  </si>
  <si>
    <t>ENSMUST00000105015.2</t>
  </si>
  <si>
    <t>ENSMUST00000178621.1</t>
  </si>
  <si>
    <t>ENSMUST00000105007.2</t>
  </si>
  <si>
    <t>ENSMUST00000109058.2</t>
  </si>
  <si>
    <t>ENSMUST00000165892.1</t>
  </si>
  <si>
    <t>ENSMUST00000072895.3</t>
  </si>
  <si>
    <t>ENSMUST00000109060.1</t>
  </si>
  <si>
    <t>ENSMUST00000134614.1</t>
  </si>
  <si>
    <t>ENSMUST00000108945.1</t>
  </si>
  <si>
    <t>ENSMUST00000126726.1</t>
  </si>
  <si>
    <t>ENSMUST00000108963.1</t>
  </si>
  <si>
    <t>ENSMUST00000133301.1</t>
  </si>
  <si>
    <t>ENSMUST00000108959.2</t>
  </si>
  <si>
    <t>ENSMUST00000128657.1</t>
  </si>
  <si>
    <t>ENSMUST00000126358.1</t>
  </si>
  <si>
    <t>ENSMUST00000108952.3</t>
  </si>
  <si>
    <t>ENSMUST00000178443.1</t>
  </si>
  <si>
    <t>ENSMUST00000122097.2</t>
  </si>
  <si>
    <t>ENSMUST00000127687.1</t>
  </si>
  <si>
    <t>ENSMUST00000109051.1</t>
  </si>
  <si>
    <t>ENSMUST00000109054.2</t>
  </si>
  <si>
    <t>ENSMUST00000109070.2</t>
  </si>
  <si>
    <t>ENSMUST00000112467.1</t>
  </si>
  <si>
    <t>ENSMUST00000168254.1</t>
  </si>
  <si>
    <t>ENSMUST00000105004.1</t>
  </si>
  <si>
    <t>ENSMUST00000115573.1</t>
  </si>
  <si>
    <t>ENSMUST00000179428.1</t>
  </si>
  <si>
    <t>ENSMUST00000178979.1</t>
  </si>
  <si>
    <t>ENSMUST00000071760.6</t>
  </si>
  <si>
    <t>ENSMUST00000073949.2</t>
  </si>
  <si>
    <t>ENSMUST00000075792.4</t>
  </si>
  <si>
    <t>ENSMUST00000115156.1</t>
  </si>
  <si>
    <t>ENSMUST00000123034.1</t>
  </si>
  <si>
    <t>ENSMUST00000129769.1</t>
  </si>
  <si>
    <t>ENSMUST00000101654.3</t>
  </si>
  <si>
    <t>ENSMUST00000177917.1</t>
  </si>
  <si>
    <t>ENSMUST00000088459.2</t>
  </si>
  <si>
    <t>ENSMUST00000179117.1</t>
  </si>
  <si>
    <t>ENSMUST00000114672.1</t>
  </si>
  <si>
    <t>ENSMUST00000096420.2</t>
  </si>
  <si>
    <t>ENSMUST00000114026.2</t>
  </si>
  <si>
    <t>ENSMUST00000114039.2</t>
  </si>
  <si>
    <t>ENSMUST00000101645.3</t>
  </si>
  <si>
    <t>ENSMUST00000169396.2</t>
  </si>
  <si>
    <t>ENSMUST00000077452.3</t>
  </si>
  <si>
    <t>ENSMUST00000122446.1</t>
  </si>
  <si>
    <t>ENSMUST00000113183.1</t>
  </si>
  <si>
    <t>ENSMUST00000112804.2</t>
  </si>
  <si>
    <t>ENSMUST00000178169.1</t>
  </si>
  <si>
    <t>ENSMUST00000112740.1</t>
  </si>
  <si>
    <t>ENSMUST00000179021.1</t>
  </si>
  <si>
    <t>ENSMUST00000101180.1</t>
  </si>
  <si>
    <t>ENSMUST00000112741.3</t>
  </si>
  <si>
    <t>ENSMUST00000112796.1</t>
  </si>
  <si>
    <t>ENSMUST00000112788.3</t>
  </si>
  <si>
    <t>ENSMUST00000101186.3,ENSMUST00000101190.4</t>
  </si>
  <si>
    <t>ENSMUST00000112753.3</t>
  </si>
  <si>
    <t>ENSMUST00000112814.1</t>
  </si>
  <si>
    <t>ENSMUST00000178833.1</t>
  </si>
  <si>
    <t>ENSMUST00000132464.1</t>
  </si>
  <si>
    <t>ENSMUST00000112565.1</t>
  </si>
  <si>
    <t>ENSMUST00000110754.1</t>
  </si>
  <si>
    <t>ENSMUST00000182079.1</t>
  </si>
  <si>
    <t>ENSMUST00000167683.2</t>
  </si>
  <si>
    <t>ENSMUST00000075268.4</t>
  </si>
  <si>
    <t>ENSMUST00000084046.5</t>
  </si>
  <si>
    <t>ENSMUST00000108619.1</t>
  </si>
  <si>
    <t>ENSMUST00000109629.1</t>
  </si>
  <si>
    <t>ENSMUST00000156195.1</t>
  </si>
  <si>
    <t>ENSMUST00000100372.3</t>
  </si>
  <si>
    <t>ENSMUST00000097422.4</t>
  </si>
  <si>
    <t>ENSMUST00000089120.5</t>
  </si>
  <si>
    <t>ENSMUST00000087332.4</t>
  </si>
  <si>
    <t>ENSMUST00000177720.1</t>
  </si>
  <si>
    <t>ENSMUST00000077997.2</t>
  </si>
  <si>
    <t>ENSMUST00000169247.2</t>
  </si>
  <si>
    <t>ENSMUST00000180150.1</t>
  </si>
  <si>
    <t>ENSMUST00000179091.1</t>
  </si>
  <si>
    <t>ENSMUST00000179824.1</t>
  </si>
  <si>
    <t>ENSMUST00000169006.2</t>
  </si>
  <si>
    <t>ENSMUST00000178145.1</t>
  </si>
  <si>
    <t>ENSMUST00000100888.3,ENSMUST00000177712.1</t>
  </si>
  <si>
    <t>ENSMUST00000100900.3</t>
  </si>
  <si>
    <t>ENSMUST00000079099.1</t>
  </si>
  <si>
    <t>ENSMUST00000177708.1</t>
  </si>
  <si>
    <t>ENSMUST00000104915.2</t>
  </si>
  <si>
    <t>ENSMUST00000165299.1</t>
  </si>
  <si>
    <t>ENSMUST00000104970.2</t>
  </si>
  <si>
    <t>ENSMUST00000168551.1</t>
  </si>
  <si>
    <t>ENSMUST00000104964.2</t>
  </si>
  <si>
    <t>ENSMUST00000179981.1</t>
  </si>
  <si>
    <t>ENSMUST00000165553.1</t>
  </si>
  <si>
    <t>ENSMUST00000101023.4</t>
  </si>
  <si>
    <t>ENSMUST00000097479.1</t>
  </si>
  <si>
    <t>ENSMUST00000141816.2</t>
  </si>
  <si>
    <t>ENSMUST00000150263.2</t>
  </si>
  <si>
    <t>ENSMUST00000167908.1</t>
  </si>
  <si>
    <t>ENSMUST00000166674.1</t>
  </si>
  <si>
    <t>ENSMUST00000171202.1</t>
  </si>
  <si>
    <t>ENSMUST00000180131.1</t>
  </si>
  <si>
    <t>ENSMUST00000167617.2</t>
  </si>
  <si>
    <t>ENSMUST00000167231.1</t>
  </si>
  <si>
    <t>ENSMUST00000184183.1</t>
  </si>
  <si>
    <t>ENSMUST00000170427.1</t>
  </si>
  <si>
    <t>ENSMUST00000168320.1</t>
  </si>
  <si>
    <t>ENSMUST00000178962.2</t>
  </si>
  <si>
    <t>ENSMUST00000172117.1</t>
  </si>
  <si>
    <t>ENSMUST00000185178.1</t>
  </si>
  <si>
    <t>ENSMUST00000166337.1</t>
  </si>
  <si>
    <t>ENSMUST00000178952.1</t>
  </si>
  <si>
    <t>ENSMUST00000171515.1</t>
  </si>
  <si>
    <t>ENSMUST00000165535.2</t>
  </si>
  <si>
    <t>ENSMUST00000167618.1</t>
  </si>
  <si>
    <t>ENSMUST00000171153.1</t>
  </si>
  <si>
    <t>ENSMUST00000165626.1</t>
  </si>
  <si>
    <t>ENSMUST00000169531.1</t>
  </si>
  <si>
    <t>ENSMUST00000170390.1</t>
  </si>
  <si>
    <t>ENSMUST00000163472.2</t>
  </si>
  <si>
    <t>ENSMUST00000178121.1</t>
  </si>
  <si>
    <t>ENSMUST00000163881.1</t>
  </si>
  <si>
    <t>ENSMUST00000104994.2</t>
  </si>
  <si>
    <t>ENSMUST00000170704.1</t>
  </si>
  <si>
    <t>ENSMUST00000170892.1</t>
  </si>
  <si>
    <t>ENSMUST00000171036.1</t>
  </si>
  <si>
    <t>ENSMUST00000166353.1</t>
  </si>
  <si>
    <t>ENSMUST00000169322.1</t>
  </si>
  <si>
    <t>ENSMUST00000167423.1</t>
  </si>
  <si>
    <t>ENSMUST00000179261.1</t>
  </si>
  <si>
    <t>ENSMUST00000163724.1</t>
  </si>
  <si>
    <t>ENSMUST00000167845.2</t>
  </si>
  <si>
    <t>ENSMUST00000171339.1</t>
  </si>
  <si>
    <t>ENSMUST00000059329.6</t>
  </si>
  <si>
    <t>ENSMUST00000178553.1</t>
  </si>
  <si>
    <t>ENSMUST00000177942.1</t>
  </si>
  <si>
    <t>ENSMUST00000166681.1</t>
  </si>
  <si>
    <t>ENSMUST00000166779.1</t>
  </si>
  <si>
    <t>ENSMUST00000165345.1</t>
  </si>
  <si>
    <t>ENSMUST00000178144.1</t>
  </si>
  <si>
    <t>ENSMUST00000167814.1</t>
  </si>
  <si>
    <t>ENSMUST00000169859.1</t>
  </si>
  <si>
    <t>ENSMUST00000168332.1</t>
  </si>
  <si>
    <t>ENSMUST00000164042.2</t>
  </si>
  <si>
    <t>ENSMUST00000164429.1</t>
  </si>
  <si>
    <t>ENSMUST00000167906.2</t>
  </si>
  <si>
    <t>ENSMUST00000170101.1</t>
  </si>
  <si>
    <t>ENSMUST00000179916.1</t>
  </si>
  <si>
    <t>ENSMUST00000166589.1</t>
  </si>
  <si>
    <t>ENSMUST00000178471.1</t>
  </si>
  <si>
    <t>ENSMUST00000168422.1</t>
  </si>
  <si>
    <t>ENSMUST00000114890.2</t>
  </si>
  <si>
    <t>ENSMUST00000169818.2</t>
  </si>
  <si>
    <t>ENSMUST00000167414.1</t>
  </si>
  <si>
    <t>ENSMUST00000138893.2</t>
  </si>
  <si>
    <t>ENSMUST00000166105.1</t>
  </si>
  <si>
    <t>ENSMUST00000164344.1</t>
  </si>
  <si>
    <t>ENSMUST00000170980.1</t>
  </si>
  <si>
    <t>ENSMUST00000165358.1</t>
  </si>
  <si>
    <t>ENSMUST00000171980.1</t>
  </si>
  <si>
    <t>ENSMUST00000166227.2</t>
  </si>
  <si>
    <t>ENSMUST00000166110.1</t>
  </si>
  <si>
    <t>ENSMUST00000167969.1</t>
  </si>
  <si>
    <t>ENSMUST00000168877.1</t>
  </si>
  <si>
    <t>ENSMUST00000179793.1</t>
  </si>
  <si>
    <t>ENSMUST00000163749.1</t>
  </si>
  <si>
    <t>ENSMUST00000164935.2</t>
  </si>
  <si>
    <t>ENSMUST00000167348.1</t>
  </si>
  <si>
    <t>ENSMUST00000163919.1</t>
  </si>
  <si>
    <t>ENSMUST00000170030.1</t>
  </si>
  <si>
    <t>ENSMUST00000178004.1</t>
  </si>
  <si>
    <t>ENSMUST00000165700.1</t>
  </si>
  <si>
    <t>ENSMUST00000076982.6</t>
  </si>
  <si>
    <t>ENSMUST00000163259.1</t>
  </si>
  <si>
    <t>ENSMUST00000166546.2</t>
  </si>
  <si>
    <t>ENSMUST00000178096.1</t>
  </si>
  <si>
    <t>ENSMUST00000181711.1</t>
  </si>
  <si>
    <t>ENSMUST00000168875.1</t>
  </si>
  <si>
    <t>ENSMUST00000120268.1</t>
  </si>
  <si>
    <t>ENSMUST00000179777.1</t>
  </si>
  <si>
    <t>ENSMUST00000109049.3</t>
  </si>
  <si>
    <t>ENSMUST00000178133.1</t>
  </si>
  <si>
    <t>ENSMUST00000179683.1</t>
  </si>
  <si>
    <t>ENSMUST00000121900.1,ENSMUST00000163263.1</t>
  </si>
  <si>
    <t>ENSMUST00000109008.3</t>
  </si>
  <si>
    <t>ENSMUST00000119590.1</t>
  </si>
  <si>
    <t>ENSMUST00000180053.1</t>
  </si>
  <si>
    <t>ENSMUST00000178463.1</t>
  </si>
  <si>
    <t>ENSMUST00000180706.1,ENSMUST00000110145.4</t>
  </si>
  <si>
    <t>ENSMUST00000110148.2</t>
  </si>
  <si>
    <t>ENSMUST00000173680.1</t>
  </si>
  <si>
    <t>ENSMUST00000117736.1</t>
  </si>
  <si>
    <t>ENSMUST00000174066.1</t>
  </si>
  <si>
    <t>ENSMUST00000166808.1</t>
  </si>
  <si>
    <t>ENSMUST00000178852.1</t>
  </si>
  <si>
    <t>ENSMUST00000178791.1</t>
  </si>
  <si>
    <t>ENSMUST00000174651.1</t>
  </si>
  <si>
    <t>ENSMUST00000177314.1</t>
  </si>
  <si>
    <t>ENSMUST00000177479.1</t>
  </si>
  <si>
    <t>ENSMUST00000176356.1,ENSMUST00000176459.1</t>
  </si>
  <si>
    <t>ENSMUST00000144673.2</t>
  </si>
  <si>
    <t>ENSMUST00000176751.1</t>
  </si>
  <si>
    <t>ENSMUST00000164535.1</t>
  </si>
  <si>
    <t>ENSMUST00000166069.1</t>
  </si>
  <si>
    <t>ENSMUST00000178198.1</t>
  </si>
  <si>
    <t>ENSMUST00000179665.1</t>
  </si>
  <si>
    <t>ENSMUST00000177666.1</t>
  </si>
  <si>
    <t>ENSMUST00000179137.1</t>
  </si>
  <si>
    <t>ENSMUST00000180285.1</t>
  </si>
  <si>
    <t>ENSMUST00000177792.1</t>
  </si>
  <si>
    <t>ENSMUST00000181703.1</t>
  </si>
  <si>
    <t>ENSMUST00000181707.1</t>
  </si>
  <si>
    <t>ENSMUST00000179071.1</t>
  </si>
  <si>
    <t>ENSMUST00000178940.1</t>
  </si>
  <si>
    <t>ENSMUST00000100115.1</t>
  </si>
  <si>
    <t>ENSMUST00000177818.1</t>
  </si>
  <si>
    <t>ENSMUST00000179319.1</t>
  </si>
  <si>
    <t>ENSMUST00000096794.4</t>
  </si>
  <si>
    <t>ENSMUST00000180233.1</t>
  </si>
  <si>
    <t>ENSMUST00000179632.1</t>
  </si>
  <si>
    <t>ENSMUST00000178175.1</t>
  </si>
  <si>
    <t>ENSMUST00000177626.1</t>
  </si>
  <si>
    <t>ENSMUST00000178528.1</t>
  </si>
  <si>
    <t>ENSMUST00000178709.1</t>
  </si>
  <si>
    <t>ENSMUST00000179413.1</t>
  </si>
  <si>
    <t>ENSMUST00000179537.1</t>
  </si>
  <si>
    <t>ENSMUST00000179785.1</t>
  </si>
  <si>
    <t>ENSMUST00000178579.1</t>
  </si>
  <si>
    <t>ENSMUST00000178268.1</t>
  </si>
  <si>
    <t>ENSMUST00000178984.1</t>
  </si>
  <si>
    <t>ENSMUST00000180324.1</t>
  </si>
  <si>
    <t>ENSMUST00000179381.1</t>
  </si>
  <si>
    <t>ENSMUST00000179663.1</t>
  </si>
  <si>
    <t>ENSMUST00000180127.1</t>
  </si>
  <si>
    <t>ENSMUST00000179220.1</t>
  </si>
  <si>
    <t>ENSMUST00000177922.1</t>
  </si>
  <si>
    <t>ENSMUST00000115496.2</t>
  </si>
  <si>
    <t>ENSMUST00000177765.1</t>
  </si>
  <si>
    <t>ENSMUST00000179438.1</t>
  </si>
  <si>
    <t>ENSMUST00000180352.1</t>
  </si>
  <si>
    <t>ENSMUST00000165756.1</t>
  </si>
  <si>
    <t>ENSMUST00000179949.1</t>
  </si>
  <si>
    <t>ENSMUST00000178396.1</t>
  </si>
  <si>
    <t>ENSMUST00000179256.1</t>
  </si>
  <si>
    <t>ENSMUST00000178470.1</t>
  </si>
  <si>
    <t>ENSMUST00000170889.1</t>
  </si>
  <si>
    <t>ENSMUST00000178016.1</t>
  </si>
  <si>
    <t>ENSMUST00000177639.1</t>
  </si>
  <si>
    <t>ENSMUST00000179558.1</t>
  </si>
  <si>
    <t>ENSMUST00000179339.1</t>
  </si>
  <si>
    <t>ENSMUST00000178446.1</t>
  </si>
  <si>
    <t>ENSMUST00000179884.1</t>
  </si>
  <si>
    <t>ENSMUST00000179397.1</t>
  </si>
  <si>
    <t>ENSMUST00000180158.1</t>
  </si>
  <si>
    <t>ENSMUST00000178109.1</t>
  </si>
  <si>
    <t>ENSMUST00000178505.1</t>
  </si>
  <si>
    <t>ENSMUST00000180348.1</t>
  </si>
  <si>
    <t>ENSMUST00000179517.1</t>
  </si>
  <si>
    <t>ENSMUST00000179587.1</t>
  </si>
  <si>
    <t>ENSMUST00000178915.1</t>
  </si>
  <si>
    <t>ENSMUST00000178638.1</t>
  </si>
  <si>
    <t>ENSMUST00000177902.1</t>
  </si>
  <si>
    <t>ENSMUST00000178761.1</t>
  </si>
  <si>
    <t>ENSMUST00000179452.1</t>
  </si>
  <si>
    <t>ENSMUST00000178889.1</t>
  </si>
  <si>
    <t>ENSMUST00000181549.1</t>
  </si>
  <si>
    <t>ENSMUST00000180170.1</t>
  </si>
  <si>
    <t>ENSMUST00000177830.1</t>
  </si>
  <si>
    <t>ENSMUST00000178718.1</t>
  </si>
  <si>
    <t>ENSMUST00000179044.1</t>
  </si>
  <si>
    <t>ENSMUST00000178478.1</t>
  </si>
  <si>
    <t>ENSMUST00000178994.1</t>
  </si>
  <si>
    <t>ENSMUST00000180274.1</t>
  </si>
  <si>
    <t>ENSMUST00000179616.1</t>
  </si>
  <si>
    <t>ENSMUST00000179095.1</t>
  </si>
  <si>
    <t>ENSMUST00000181163.1</t>
  </si>
  <si>
    <t>ENSMUST00000177571.1</t>
  </si>
  <si>
    <t>ENSMUST00000178900.1</t>
  </si>
  <si>
    <t>ENSMUST00000178149.1</t>
  </si>
  <si>
    <t>ENSMUST00000179410.1</t>
  </si>
  <si>
    <t>ENSMUST00000178356.1</t>
  </si>
  <si>
    <t>ENSMUST00000100105.4</t>
  </si>
  <si>
    <t>ENSMUST00000153997.1</t>
  </si>
  <si>
    <t>ENSMUST00000181518.1</t>
  </si>
  <si>
    <t>ENSMUST00000178141.1</t>
  </si>
  <si>
    <t>ENSMUST00000178299.1</t>
  </si>
  <si>
    <t>ENSMUST00000177938.1</t>
  </si>
  <si>
    <t>ENSMUST00000179229.1</t>
  </si>
  <si>
    <t>ENSMUST00000179571.1</t>
  </si>
  <si>
    <t>ENSMUST00000179102.1</t>
  </si>
  <si>
    <t>ENSMUST00000178934.1</t>
  </si>
  <si>
    <t>ENSMUST00000178018.1</t>
  </si>
  <si>
    <t>ENSMUST00000180279.1</t>
  </si>
  <si>
    <t>ENSMUST00000180115.1</t>
  </si>
  <si>
    <t>ENSMUST00000180057.1</t>
  </si>
  <si>
    <t>ENSMUST00000179045.1</t>
  </si>
  <si>
    <t>ENSMUST00000180332.1</t>
  </si>
  <si>
    <t>ENSMUST00000179903.1</t>
  </si>
  <si>
    <t>ENSMUST00000180177.1</t>
  </si>
  <si>
    <t>ENSMUST00000180169.1</t>
  </si>
  <si>
    <t>ENSMUST00000179698.1</t>
  </si>
  <si>
    <t>ENSMUST00000179622.1</t>
  </si>
  <si>
    <t>ENSMUST00000178234.1</t>
  </si>
  <si>
    <t>ENSMUST00000181205.1</t>
  </si>
  <si>
    <t>ENSMUST00000180223.1</t>
  </si>
  <si>
    <t>ENSMUST00000177798.1</t>
  </si>
  <si>
    <t>ENSMUST00000179148.1</t>
  </si>
  <si>
    <t>ENSMUST00000180372.1</t>
  </si>
  <si>
    <t>ENSMUST00000178063.1</t>
  </si>
  <si>
    <t>ENSMUST00000179922.1</t>
  </si>
  <si>
    <t>ENSMUST00000179629.1</t>
  </si>
  <si>
    <t>ENSMUST00000178606.1</t>
  </si>
  <si>
    <t>ENSMUST00000178067.1</t>
  </si>
  <si>
    <t>ENSMUST00000178736.1</t>
  </si>
  <si>
    <t>ENSMUST00000179424.1</t>
  </si>
  <si>
    <t>ENSMUST00000177663.1</t>
  </si>
  <si>
    <t>ENSMUST00000178648.1</t>
  </si>
  <si>
    <t>ENSMUST00000180340.1</t>
  </si>
  <si>
    <t>ENSMUST00000179415.1</t>
  </si>
  <si>
    <t>ENSMUST00000179739.1</t>
  </si>
  <si>
    <t>ENSMUST00000180249.1</t>
  </si>
  <si>
    <t>ENSMUST00000179303.1</t>
  </si>
  <si>
    <t>ENSMUST00000180295.1</t>
  </si>
  <si>
    <t>ENSMUST00000180082.1</t>
  </si>
  <si>
    <t>ENSMUST00000178448.1</t>
  </si>
  <si>
    <t>ENSMUST00000178339.1</t>
  </si>
  <si>
    <t>ENSMUST00000180329.1</t>
  </si>
  <si>
    <t>ENSMUST00000108026.2</t>
  </si>
  <si>
    <t>ENSMUST00000108007.4</t>
  </si>
  <si>
    <t>ENSMUST00000178524.1</t>
  </si>
  <si>
    <t>ENSMUST00000120874.3</t>
  </si>
  <si>
    <t>ENSMUST00000179470.1</t>
  </si>
  <si>
    <t>ENSMUST00000179346.1</t>
  </si>
  <si>
    <t>ENSMUST00000178985.1</t>
  </si>
  <si>
    <t>ENSMUST00000179145.1</t>
  </si>
  <si>
    <t>ENSMUST00000096459.4</t>
  </si>
  <si>
    <t>ENSMUST00000184565.1</t>
  </si>
  <si>
    <t>ENSMUST00000178451.1</t>
  </si>
  <si>
    <t>ENSMUST00000084677.2</t>
  </si>
  <si>
    <t>ENSMUST00000177842.1</t>
  </si>
  <si>
    <t>ENSMUST00000177775.1</t>
  </si>
  <si>
    <t>ENSMUST00000179915.2</t>
  </si>
  <si>
    <t>ENSMUST00000178387.1</t>
  </si>
  <si>
    <t>ENSMUST00000179878.1</t>
  </si>
  <si>
    <t>ENSMUST00000180133.1</t>
  </si>
  <si>
    <t>ENSMUST00000180179.1</t>
  </si>
  <si>
    <t>ENSMUST00000178438.1</t>
  </si>
  <si>
    <t>ENSMUST00000179830.1</t>
  </si>
  <si>
    <t>ENSMUST00000179999.1</t>
  </si>
  <si>
    <t>ENSMUST00000178793.1</t>
  </si>
  <si>
    <t>ENSMUST00000178035.1</t>
  </si>
  <si>
    <t>ENSMUST00000178496.1</t>
  </si>
  <si>
    <t>ENSMUST00000179497.1</t>
  </si>
  <si>
    <t>ENSMUST00000179330.1</t>
  </si>
  <si>
    <t>ENSMUST00000180048.1</t>
  </si>
  <si>
    <t>ENSMUST00000177623.1</t>
  </si>
  <si>
    <t>ENSMUST00000178803.1</t>
  </si>
  <si>
    <t>ENSMUST00000178618.1</t>
  </si>
  <si>
    <t>ENSMUST00000177823.1</t>
  </si>
  <si>
    <t>ENSMUST00000179779.1</t>
  </si>
  <si>
    <t>ENSMUST00000178556.1</t>
  </si>
  <si>
    <t>ENSMUST00000179551.1</t>
  </si>
  <si>
    <t>ENSMUST00000178903.1</t>
  </si>
  <si>
    <t>ENSMUST00000178447.1</t>
  </si>
  <si>
    <t>ENSMUST00000178928.1</t>
  </si>
  <si>
    <t>ENSMUST00000179950.1</t>
  </si>
  <si>
    <t>ENSMUST00000178326.1</t>
  </si>
  <si>
    <t>ENSMUST00000179559.1</t>
  </si>
  <si>
    <t>ENSMUST00000179672.1</t>
  </si>
  <si>
    <t>ENSMUST00000180185.1</t>
  </si>
  <si>
    <t>ENSMUST00000178673.1</t>
  </si>
  <si>
    <t>ENSMUST00000177852.1</t>
  </si>
  <si>
    <t>ENSMUST00000179540.1</t>
  </si>
  <si>
    <t>ENSMUST00000179581.1</t>
  </si>
  <si>
    <t>ENSMUST00000179666.1</t>
  </si>
  <si>
    <t>ENSMUST00000108009.2</t>
  </si>
  <si>
    <t>ENSMUST00000179582.1</t>
  </si>
  <si>
    <t>ENSMUST00000179373.1</t>
  </si>
  <si>
    <t>ENSMUST00000177621.1</t>
  </si>
  <si>
    <t>ENSMUST00000098035.4</t>
  </si>
  <si>
    <t>ENSMUST00000178351.1</t>
  </si>
  <si>
    <t>ENSMUST00000171947.2</t>
  </si>
  <si>
    <t>ENSMUST00000178094.1</t>
  </si>
  <si>
    <t>ENSMUST00000180568.1</t>
  </si>
  <si>
    <t>ENSMUST00000181059.1</t>
  </si>
  <si>
    <t>ENSMUST00000177930.1</t>
  </si>
  <si>
    <t>ENSMUST00000180130.1</t>
  </si>
  <si>
    <t>ENSMUST00000179258.1</t>
  </si>
  <si>
    <t>ENSMUST00000180889.1</t>
  </si>
  <si>
    <t>ENSMUST00000181239.1</t>
  </si>
  <si>
    <t>ENSMUST00000177618.1</t>
  </si>
  <si>
    <t>ENSMUST00000164517.2</t>
  </si>
  <si>
    <t>ENSMUST00000178916.1</t>
  </si>
  <si>
    <t>ENSMUST00000178088.1</t>
  </si>
  <si>
    <t>ENSMUST00000179829.1</t>
  </si>
  <si>
    <t>ENSMUST00000180145.1</t>
  </si>
  <si>
    <t>ENSMUST00000177807.1</t>
  </si>
  <si>
    <t>ENSMUST00000178080.2</t>
  </si>
  <si>
    <t>ENSMUST00000177659.1</t>
  </si>
  <si>
    <t>ENSMUST00000179772.1</t>
  </si>
  <si>
    <t>ENSMUST00000179959.1</t>
  </si>
  <si>
    <t>ENSMUST00000178269.1</t>
  </si>
  <si>
    <t>ENSMUST00000179523.1</t>
  </si>
  <si>
    <t>ENSMUST00000179651.1</t>
  </si>
  <si>
    <t>ENSMUST00000179024.1</t>
  </si>
  <si>
    <t>ENSMUST00000049821.3</t>
  </si>
  <si>
    <t>ENSMUST00000179822.1</t>
  </si>
  <si>
    <t>ENSMUST00000180318.1</t>
  </si>
  <si>
    <t>ENSMUST00000179838.1</t>
  </si>
  <si>
    <t>ENSMUST00000177993.1</t>
  </si>
  <si>
    <t>ENSMUST00000178599.1</t>
  </si>
  <si>
    <t>ENSMUST00000179070.1</t>
  </si>
  <si>
    <t>ENSMUST00000179532.1</t>
  </si>
  <si>
    <t>ENSMUST00000178151.1</t>
  </si>
  <si>
    <t>ENSMUST00000178910.1</t>
  </si>
  <si>
    <t>ENSMUST00000178548.1</t>
  </si>
  <si>
    <t>ENSMUST00000179896.1</t>
  </si>
  <si>
    <t>ENSMUST00000179970.1</t>
  </si>
  <si>
    <t>ENSMUST00000095424.4</t>
  </si>
  <si>
    <t>ENSMUST00000178381.1</t>
  </si>
  <si>
    <t>ENSMUST00000178115.1</t>
  </si>
  <si>
    <t>ENSMUST00000179844.1</t>
  </si>
  <si>
    <t>ENSMUST00000180175.1</t>
  </si>
  <si>
    <t>ENSMUST00000178521.1</t>
  </si>
  <si>
    <t>ENSMUST00000177925.1</t>
  </si>
  <si>
    <t>ENSMUST00000098128.3</t>
  </si>
  <si>
    <t>ENSMUST00000168480.3,ENSMUST00000177670.1</t>
  </si>
  <si>
    <t>ENSMUST00000177888.1</t>
  </si>
  <si>
    <t>ENSMUST00000180134.1</t>
  </si>
  <si>
    <t>ENSMUST00000178176.1</t>
  </si>
  <si>
    <t>ENSMUST00000107988.3</t>
  </si>
  <si>
    <t>ENSMUST00000180074.1</t>
  </si>
  <si>
    <t>ENSMUST00000178192.1</t>
  </si>
  <si>
    <t>ENSMUST00000178249.1</t>
  </si>
  <si>
    <t>ENSMUST00000179086.1</t>
  </si>
  <si>
    <t>ENSMUST00000178416.1</t>
  </si>
  <si>
    <t>ENSMUST00000177788.1</t>
  </si>
  <si>
    <t>ENSMUST00000177791.1</t>
  </si>
  <si>
    <t>ENSMUST00000179734.1</t>
  </si>
  <si>
    <t>ENSMUST00000178941.1</t>
  </si>
  <si>
    <t>ENSMUST00000177673.1</t>
  </si>
  <si>
    <t>ENSMUST00000105124.2</t>
  </si>
  <si>
    <t>ENSMUST00000179473.1</t>
  </si>
  <si>
    <t>ENSMUST00000179068.1</t>
  </si>
  <si>
    <t>ENSMUST00000178747.1</t>
  </si>
  <si>
    <t>ENSMUST00000179073.1</t>
  </si>
  <si>
    <t>ENSMUST00000179710.1</t>
  </si>
  <si>
    <t>ENSMUST00000167847.2</t>
  </si>
  <si>
    <t>ENSMUST00000179069.1</t>
  </si>
  <si>
    <t>ENSMUST00000178749.1</t>
  </si>
  <si>
    <t>ENSMUST00000178373.1</t>
  </si>
  <si>
    <t>ENSMUST00000179975.1</t>
  </si>
  <si>
    <t>ENSMUST00000162387.4</t>
  </si>
  <si>
    <t>ENSMUST00000178860.1</t>
  </si>
  <si>
    <t>ENSMUST00000179508.1</t>
  </si>
  <si>
    <t>ENSMUST00000180373.1</t>
  </si>
  <si>
    <t>ENSMUST00000178219.1</t>
  </si>
  <si>
    <t>ENSMUST00000177855.1</t>
  </si>
  <si>
    <t>ENSMUST00000178531.1</t>
  </si>
  <si>
    <t>ENSMUST00000178487.1</t>
  </si>
  <si>
    <t>ENSMUST00000180004.1</t>
  </si>
  <si>
    <t>ENSMUST00000169382.2</t>
  </si>
  <si>
    <t>ENSMUST00000180310.1</t>
  </si>
  <si>
    <t>ENSMUST00000178770.1</t>
  </si>
  <si>
    <t>ENSMUST00000177980.1</t>
  </si>
  <si>
    <t>ENSMUST00000179170.1</t>
  </si>
  <si>
    <t>ENSMUST00000115940.1</t>
  </si>
  <si>
    <t>ENSMUST00000179463.1</t>
  </si>
  <si>
    <t>ENSMUST00000179595.1</t>
  </si>
  <si>
    <t>ENSMUST00000179527.1</t>
  </si>
  <si>
    <t>ENSMUST00000178692.1</t>
  </si>
  <si>
    <t>ENSMUST00000178046.1</t>
  </si>
  <si>
    <t>ENSMUST00000178519.1</t>
  </si>
  <si>
    <t>ENSMUST00000179654.1</t>
  </si>
  <si>
    <t>ENSMUST00000180058.1</t>
  </si>
  <si>
    <t>ENSMUST00000079524.7</t>
  </si>
  <si>
    <t>ENSMUST00000179309.1</t>
  </si>
  <si>
    <t>ENSMUST00000178346.1</t>
  </si>
  <si>
    <t>ENSMUST00000178032.1</t>
  </si>
  <si>
    <t>ENSMUST00000178740.1</t>
  </si>
  <si>
    <t>ENSMUST00000179638.1</t>
  </si>
  <si>
    <t>ENSMUST00000178112.1</t>
  </si>
  <si>
    <t>ENSMUST00000177817.1</t>
  </si>
  <si>
    <t>ENSMUST00000178639.1</t>
  </si>
  <si>
    <t>ENSMUST00000079663.6</t>
  </si>
  <si>
    <t>ENSMUST00000178413.1</t>
  </si>
  <si>
    <t>ENSMUST00000180018.1</t>
  </si>
  <si>
    <t>ENSMUST00000178550.1</t>
  </si>
  <si>
    <t>ENSMUST00000177826.1</t>
  </si>
  <si>
    <t>ENSMUST00000178403.1</t>
  </si>
  <si>
    <t>ENSMUST00000177658.1</t>
  </si>
  <si>
    <t>ENSMUST00000177612.1</t>
  </si>
  <si>
    <t>ENSMUST00000179623.1</t>
  </si>
  <si>
    <t>ENSMUST00000179249.1</t>
  </si>
  <si>
    <t>ENSMUST00000098874.3</t>
  </si>
  <si>
    <t>ENSMUST00000180155.1</t>
  </si>
  <si>
    <t>ENSMUST00000180012.1</t>
  </si>
  <si>
    <t>ENSMUST00000178278.1</t>
  </si>
  <si>
    <t>ENSMUST00000178570.1</t>
  </si>
  <si>
    <t>ENSMUST00000178380.1</t>
  </si>
  <si>
    <t>ENSMUST00000179653.1</t>
  </si>
  <si>
    <t>ENSMUST00000179336.1</t>
  </si>
  <si>
    <t>ENSMUST00000178345.1</t>
  </si>
  <si>
    <t>ENSMUST00000179811.1</t>
  </si>
  <si>
    <t>ENSMUST00000179502.1</t>
  </si>
  <si>
    <t>ENSMUST00000177561.1</t>
  </si>
  <si>
    <t>ENSMUST00000179235.1</t>
  </si>
  <si>
    <t>ENSMUST00000179219.1</t>
  </si>
  <si>
    <t>ENSMUST00000180228.1</t>
  </si>
  <si>
    <t>ENSMUST00000178334.1</t>
  </si>
  <si>
    <t>ENSMUST00000178689.1</t>
  </si>
  <si>
    <t>ENSMUST00000180287.1</t>
  </si>
  <si>
    <t>ENSMUST00000179877.1</t>
  </si>
  <si>
    <t>ENSMUST00000179355.1</t>
  </si>
  <si>
    <t>ENSMUST00000178513.1</t>
  </si>
  <si>
    <t>ENSMUST00000178669.1</t>
  </si>
  <si>
    <t>ENSMUST00000177676.1</t>
  </si>
  <si>
    <t>ENSMUST00000177900.1</t>
  </si>
  <si>
    <t>ENSMUST00000178779.1</t>
  </si>
  <si>
    <t>ENSMUST00000179179.1</t>
  </si>
  <si>
    <t>ENSMUST00000104927.1</t>
  </si>
  <si>
    <t>ENSMUST00000180128.1</t>
  </si>
  <si>
    <t>ENSMUST00000179727.1</t>
  </si>
  <si>
    <t>ENSMUST00000179570.1</t>
  </si>
  <si>
    <t>ENSMUST00000178264.1</t>
  </si>
  <si>
    <t>ENSMUST00000177892.1</t>
  </si>
  <si>
    <t>ENSMUST00000179858.1</t>
  </si>
  <si>
    <t>ENSMUST00000177878.1</t>
  </si>
  <si>
    <t>ENSMUST00000179547.1</t>
  </si>
  <si>
    <t>ENSMUST00000177769.1</t>
  </si>
  <si>
    <t>ENSMUST00000179773.1</t>
  </si>
  <si>
    <t>ENSMUST00000179753.1</t>
  </si>
  <si>
    <t>ENSMUST00000180330.1</t>
  </si>
  <si>
    <t>ENSMUST00000180125.1</t>
  </si>
  <si>
    <t>ENSMUST00000179810.1</t>
  </si>
  <si>
    <t>ENSMUST00000177579.1</t>
  </si>
  <si>
    <t>ENSMUST00000180105.1</t>
  </si>
  <si>
    <t>ENSMUST00000180349.1</t>
  </si>
  <si>
    <t>ENSMUST00000178559.1</t>
  </si>
  <si>
    <t>ENSMUST00000178865.1</t>
  </si>
  <si>
    <t>ENSMUST00000179849.1</t>
  </si>
  <si>
    <t>ENSMUST00000179112.1</t>
  </si>
  <si>
    <t>ENSMUST00000178131.1</t>
  </si>
  <si>
    <t>ENSMUST00000180302.1</t>
  </si>
  <si>
    <t>ENSMUST00000178616.1</t>
  </si>
  <si>
    <t>ENSMUST00000178529.1</t>
  </si>
  <si>
    <t>ENSMUST00000178042.1</t>
  </si>
  <si>
    <t>ENSMUST00000178495.1</t>
  </si>
  <si>
    <t>ENSMUST00000180272.1</t>
  </si>
  <si>
    <t>ENSMUST00000179299.1</t>
  </si>
  <si>
    <t>ENSMUST00000179590.1</t>
  </si>
  <si>
    <t>ENSMUST00000178784.1</t>
  </si>
  <si>
    <t>ENSMUST00000144085.2</t>
  </si>
  <si>
    <t>ENSMUST00000178213.1</t>
  </si>
  <si>
    <t>ENSMUST00000178828.1</t>
  </si>
  <si>
    <t>ENSMUST00000177558.1</t>
  </si>
  <si>
    <t>ENSMUST00000179056.1</t>
  </si>
  <si>
    <t>ENSMUST00000179646.1</t>
  </si>
  <si>
    <t>ENSMUST00000179302.1</t>
  </si>
  <si>
    <t>ENSMUST00000179173.1</t>
  </si>
  <si>
    <t>ENSMUST00000179495.1</t>
  </si>
  <si>
    <t>ENSMUST00000179406.1</t>
  </si>
  <si>
    <t>ENSMUST00000179378.1</t>
  </si>
  <si>
    <t>ENSMUST00000178247.1</t>
  </si>
  <si>
    <t>ENSMUST00000178050.1</t>
  </si>
  <si>
    <t>ENSMUST00000179831.1</t>
  </si>
  <si>
    <t>ENSMUST00000178898.1</t>
  </si>
  <si>
    <t>ENSMUST00000178286.1</t>
  </si>
  <si>
    <t>ENSMUST00000177665.1</t>
  </si>
  <si>
    <t>ENSMUST00000178907.1</t>
  </si>
  <si>
    <t>ENSMUST00000177751.1</t>
  </si>
  <si>
    <t>ENSMUST00000178787.1</t>
  </si>
  <si>
    <t>ENSMUST00000180028.1</t>
  </si>
  <si>
    <t>ENSMUST00000177804.1</t>
  </si>
  <si>
    <t>ENSMUST00000178917.1</t>
  </si>
  <si>
    <t>ENSMUST00000177885.1</t>
  </si>
  <si>
    <t>ENSMUST00000177552.1</t>
  </si>
  <si>
    <t>ENSMUST00000177602.1</t>
  </si>
  <si>
    <t>ENSMUST00000177717.1</t>
  </si>
  <si>
    <t>ENSMUST00000179257.1</t>
  </si>
  <si>
    <t>ENSMUST00000178227.1</t>
  </si>
  <si>
    <t>ENSMUST00000177863.1</t>
  </si>
  <si>
    <t>ENSMUST00000178596.1</t>
  </si>
  <si>
    <t>ENSMUST00000179792.1</t>
  </si>
  <si>
    <t>ENSMUST00000179016.1</t>
  </si>
  <si>
    <t>ENSMUST00000179125.1</t>
  </si>
  <si>
    <t>ENSMUST00000180071.1</t>
  </si>
  <si>
    <t>ENSMUST00000179901.1</t>
  </si>
  <si>
    <t>ENSMUST00000180192.1</t>
  </si>
  <si>
    <t>ENSMUST00000178613.1</t>
  </si>
  <si>
    <t>ENSMUST00000167967.2</t>
  </si>
  <si>
    <t>ENSMUST00000177834.1</t>
  </si>
  <si>
    <t>ENSMUST00000177893.1</t>
  </si>
  <si>
    <t>ENSMUST00000179480.1</t>
  </si>
  <si>
    <t>ENSMUST00000179277.1</t>
  </si>
  <si>
    <t>ENSMUST00000179133.1</t>
  </si>
  <si>
    <t>ENSMUST00000178222.1</t>
  </si>
  <si>
    <t>ENSMUST00000177713.1</t>
  </si>
  <si>
    <t>ENSMUST00000178428.1</t>
  </si>
  <si>
    <t>ENSMUST00000180366.1</t>
  </si>
  <si>
    <t>ENSMUST00000178649.1</t>
  </si>
  <si>
    <t>ENSMUST00000178873.1</t>
  </si>
  <si>
    <t>ENSMUST00000179973.1</t>
  </si>
  <si>
    <t>ENSMUST00000177692.1</t>
  </si>
  <si>
    <t>ENSMUST00000180002.1</t>
  </si>
  <si>
    <t>ENSMUST00000179289.1</t>
  </si>
  <si>
    <t>ENSMUST00000178374.1</t>
  </si>
  <si>
    <t>ENSMUST00000178867.1</t>
  </si>
  <si>
    <t>ENSMUST00000096511.4</t>
  </si>
  <si>
    <t>ENSMUST00000179910.1</t>
  </si>
  <si>
    <t>ENSMUST00000179746.1</t>
  </si>
  <si>
    <t>ENSMUST00000178281.1</t>
  </si>
  <si>
    <t>ENSMUST00000179902.1</t>
  </si>
  <si>
    <t>ENSMUST00000177729.1</t>
  </si>
  <si>
    <t>ENSMUST00000178332.1</t>
  </si>
  <si>
    <t>ENSMUST00000179028.1</t>
  </si>
  <si>
    <t>ENSMUST00000178891.1</t>
  </si>
  <si>
    <t>ENSMUST00000178391.1</t>
  </si>
  <si>
    <t>ENSMUST00000178789.1</t>
  </si>
  <si>
    <t>ENSMUST00000179760.1</t>
  </si>
  <si>
    <t>ENSMUST00000180251.1</t>
  </si>
  <si>
    <t>ENSMUST00000178189.1</t>
  </si>
  <si>
    <t>ENSMUST00000179284.1</t>
  </si>
  <si>
    <t>ENSMUST00000180368.1</t>
  </si>
  <si>
    <t>ENSMUST00000179119.1</t>
  </si>
  <si>
    <t>ENSMUST00000179631.1</t>
  </si>
  <si>
    <t>ENSMUST00000178560.1</t>
  </si>
  <si>
    <t>ENSMUST00000179442.1</t>
  </si>
  <si>
    <t>ENSMUST00000178312.1</t>
  </si>
  <si>
    <t>ENSMUST00000178190.1</t>
  </si>
  <si>
    <t>ENSMUST00000180160.1</t>
  </si>
  <si>
    <t>ENSMUST00000179612.1</t>
  </si>
  <si>
    <t>ENSMUST00000179329.1</t>
  </si>
  <si>
    <t>ENSMUST00000179650.1</t>
  </si>
  <si>
    <t>ENSMUST00000178039.1</t>
  </si>
  <si>
    <t>ENSMUST00000179522.1</t>
  </si>
  <si>
    <t>ENSMUST00000177616.1</t>
  </si>
  <si>
    <t>ENSMUST00000178580.1</t>
  </si>
  <si>
    <t>ENSMUST00000178468.1</t>
  </si>
  <si>
    <t>ENSMUST00000178671.1</t>
  </si>
  <si>
    <t>ENSMUST00000178739.1</t>
  </si>
  <si>
    <t>ENSMUST00000177749.1</t>
  </si>
  <si>
    <t>ENSMUST00000179880.1</t>
  </si>
  <si>
    <t>ENSMUST00000178452.1</t>
  </si>
  <si>
    <t>ENSMUST00000177787.1</t>
  </si>
  <si>
    <t>ENSMUST00000178771.1</t>
  </si>
  <si>
    <t>ENSMUST00000178894.1</t>
  </si>
  <si>
    <t>ENSMUST00000179012.1</t>
  </si>
  <si>
    <t>ENSMUST00000180040.1</t>
  </si>
  <si>
    <t>ENSMUST00000177869.1</t>
  </si>
  <si>
    <t>ENSMUST00000177711.1</t>
  </si>
  <si>
    <t>ENSMUST00000178866.1</t>
  </si>
  <si>
    <t>ENSMUST00000181313.1</t>
  </si>
  <si>
    <t>ENSMUST00000178181.1</t>
  </si>
  <si>
    <t>ENSMUST00000178880.1</t>
  </si>
  <si>
    <t>ENSMUST00000180245.1</t>
  </si>
  <si>
    <t>ENSMUST00000178827.1</t>
  </si>
  <si>
    <t>ENSMUST00000179585.1</t>
  </si>
  <si>
    <t>ENSMUST00000108002.3</t>
  </si>
  <si>
    <t>ENSMUST00000179544.1</t>
  </si>
  <si>
    <t>ENSMUST00000178454.1</t>
  </si>
  <si>
    <t>ENSMUST00000179946.1</t>
  </si>
  <si>
    <t>ENSMUST00000073056.7</t>
  </si>
  <si>
    <t>ENSMUST00000178832.1</t>
  </si>
  <si>
    <t>ENSMUST00000110100.2</t>
  </si>
  <si>
    <t>ENSMUST00000166899.2</t>
  </si>
  <si>
    <t>ENSMUST00000178785.1</t>
  </si>
  <si>
    <t>ENSMUST00000179680.1</t>
  </si>
  <si>
    <t>ENSMUST00000178948.1</t>
  </si>
  <si>
    <t>ENSMUST00000177937.1</t>
  </si>
  <si>
    <t>ENSMUST00000178644.1</t>
  </si>
  <si>
    <t>ENSMUST00000160764.1</t>
  </si>
  <si>
    <t>ENSMUST00000135197.1</t>
  </si>
  <si>
    <t>ENSMUST00000157020.1</t>
  </si>
  <si>
    <t>ENSMUST00000178658.1,ENSMUST00000180066.1</t>
  </si>
  <si>
    <t>ENSMUST00000163725.2</t>
  </si>
  <si>
    <t>ENSMUST00000141047.1</t>
  </si>
  <si>
    <t>ENSMUST00000063463.5</t>
  </si>
  <si>
    <t>ENSMUST00000055537.2</t>
  </si>
  <si>
    <t>ENSMUST00000164372.1</t>
  </si>
  <si>
    <t>ENSMUST00000179217.1</t>
  </si>
  <si>
    <t>ENSMUST00000113110.3</t>
  </si>
  <si>
    <t>ENSMUST00000104944.2</t>
  </si>
  <si>
    <t>ENSMUST00000171531.2</t>
  </si>
  <si>
    <t>ENSMUST00000166898.2</t>
  </si>
  <si>
    <t>ENSMUST00000179850.1</t>
  </si>
  <si>
    <t>ENSMUST00000181961.1</t>
  </si>
  <si>
    <t>ENSMUST00000181784.1</t>
  </si>
  <si>
    <t>ENSMUST00000180559.1</t>
  </si>
  <si>
    <t>ENSMUST00000181601.1</t>
  </si>
  <si>
    <t>ENSMUST00000181399.1</t>
  </si>
  <si>
    <t>ENSMUST00000180464.1</t>
  </si>
  <si>
    <t>ENSMUST00000181321.1</t>
  </si>
  <si>
    <t>ENSMUST00000181278.1</t>
  </si>
  <si>
    <t>ENSMUST00000180528.1</t>
  </si>
  <si>
    <t>ENSMUST00000180542.1</t>
  </si>
  <si>
    <t>ENSMUST00000181745.1</t>
  </si>
  <si>
    <t>ENSMUST00000181025.1</t>
  </si>
  <si>
    <t>ENSMUST00000180773.1</t>
  </si>
  <si>
    <t>ENSMUST00000180473.1</t>
  </si>
  <si>
    <t>ENSMUST00000180627.1</t>
  </si>
  <si>
    <t>ENSMUST00000182643.1</t>
  </si>
  <si>
    <t>ENSMUST00000182089.1</t>
  </si>
  <si>
    <t>ENSMUST00000183110.1</t>
  </si>
  <si>
    <t>ENSMUST00000107259.3</t>
  </si>
  <si>
    <t>ENSMUST00000178444.1</t>
  </si>
  <si>
    <t>ENSMUST00000180197.1</t>
  </si>
  <si>
    <t>ENSMUST00000179991.1</t>
  </si>
  <si>
    <t>ENSMUST00000179538.1</t>
  </si>
  <si>
    <t>ENSMUST00000172412.1</t>
  </si>
  <si>
    <t>ENSMUST00000048361.8</t>
  </si>
  <si>
    <t>ENSMUST00000177560.1</t>
  </si>
  <si>
    <t>ENSMUST00000180039.1</t>
  </si>
  <si>
    <t>ENSMUST00000170521.1</t>
  </si>
  <si>
    <t>ENSMUST00000166494.1</t>
  </si>
  <si>
    <t>ENSMUST00000105119.3</t>
  </si>
  <si>
    <t>ENSMUST00000178392.1</t>
  </si>
  <si>
    <t>ENSMUST00000181779.1</t>
  </si>
  <si>
    <t>ENSMUST00000177912.1</t>
  </si>
  <si>
    <t>ENSMUST00000105117.2</t>
  </si>
  <si>
    <t>ENSMUST00000177786.1</t>
  </si>
  <si>
    <t>ENSMUST00000179466.1</t>
  </si>
  <si>
    <t>ENSMUST00000170480.1</t>
  </si>
  <si>
    <t>ENSMUST00000178728.1</t>
  </si>
  <si>
    <t>ENSMUST00000112802.2,ENSMUST00000179486.1</t>
  </si>
  <si>
    <t>ENSMUST00000179803.1</t>
  </si>
  <si>
    <t>ENSMUST00000167430.1</t>
  </si>
  <si>
    <t>ENSMUST00000168306.1,ENSMUST00000179327.1</t>
  </si>
  <si>
    <t>ENSMUST00000112792.3</t>
  </si>
  <si>
    <t>ENSMUST00000170639.1</t>
  </si>
  <si>
    <t>ENSMUST00000164069.1</t>
  </si>
  <si>
    <t>ENSMUST00000111075.2</t>
  </si>
  <si>
    <t>ENSMUST00000105316.2</t>
  </si>
  <si>
    <t>ENSMUST00000167712.1</t>
  </si>
  <si>
    <t>ENSMUST00000164696.1</t>
  </si>
  <si>
    <t>ENSMUST00000112787.2,ENSMUST00000178274.1</t>
  </si>
  <si>
    <t>ENSMUST00000179743.1</t>
  </si>
  <si>
    <t>ENSMUST00000166928.1,ENSMUST00000177660.1</t>
  </si>
  <si>
    <t>ENSMUST00000171866.1</t>
  </si>
  <si>
    <t>ENSMUST00000165431.1</t>
  </si>
  <si>
    <t>ENSMUST00000178330.1</t>
  </si>
  <si>
    <t>ENSMUST00000180178.1</t>
  </si>
  <si>
    <t>ENSMUST00000112779.3,ENSMUST00000171810.1,ENSMUST00000179649.1</t>
  </si>
  <si>
    <t>ENSMUST00000167245.1</t>
  </si>
  <si>
    <t>ENSMUST00000168866.1</t>
  </si>
  <si>
    <t>ENSMUST00000112776.2</t>
  </si>
  <si>
    <t>ENSMUST00000164603.1,ENSMUST00000166848.1</t>
  </si>
  <si>
    <t>ENSMUST00000086950.4</t>
  </si>
  <si>
    <t>ENSMUST00000169364.1,ENSMUST00000167902.1</t>
  </si>
  <si>
    <t>ENSMUST00000180076.1</t>
  </si>
  <si>
    <t>ENSMUST00000178429.1,ENSMUST00000181603.1</t>
  </si>
  <si>
    <t>ENSMUST00000180143.1</t>
  </si>
  <si>
    <t>ENSMUST00000180867.1</t>
  </si>
  <si>
    <t>ENSMUST00000168997.1</t>
  </si>
  <si>
    <t>ENSMUST00000168298.1</t>
  </si>
  <si>
    <t>ENSMUST00000163525.1</t>
  </si>
  <si>
    <t>ENSMUST00000163885.1</t>
  </si>
  <si>
    <t>ENSMUST00000167358.1</t>
  </si>
  <si>
    <t>ENSMUST00000165619.1</t>
  </si>
  <si>
    <t>ENSMUST00000101015.3,ENSMUST00000160045.1</t>
  </si>
  <si>
    <t>ENSMUST00000166025.1</t>
  </si>
  <si>
    <t>ENSMUST00000164459.1</t>
  </si>
  <si>
    <t>ENSMUST00000171752.2</t>
  </si>
  <si>
    <t>ENSMUST00000165289.1</t>
  </si>
  <si>
    <t>ENSMUST00000179659.1</t>
  </si>
  <si>
    <t>ENSMUST00000168906.1</t>
  </si>
  <si>
    <t>ENSMUST00000172103.1</t>
  </si>
  <si>
    <t>ENSMUST00000177827.1</t>
  </si>
  <si>
    <t>ENSMUST00000169087.2</t>
  </si>
  <si>
    <t>ENSMUST00000177556.1</t>
  </si>
  <si>
    <t>ENSMUST00000180202.1</t>
  </si>
  <si>
    <t>ENSMUST00000096171.5,ENSMUST00000112758.3</t>
  </si>
  <si>
    <t>ENSMUST00000178414.1</t>
  </si>
  <si>
    <t>ENSMUST00000036715.9,ENSMUST00000077133.6</t>
  </si>
  <si>
    <t>ENSMUST00000110599.2,ENSMUST00000110597.3</t>
  </si>
  <si>
    <t>ENSMUST00000170104.2</t>
  </si>
  <si>
    <t>ENSMUST00000179214.1,ENSMUST00000110595.2</t>
  </si>
  <si>
    <t>ENSMUST00000097399.4</t>
  </si>
  <si>
    <t>ENSMUST00000097395.3</t>
  </si>
  <si>
    <t>ENSMUST00000112772.2</t>
  </si>
  <si>
    <t>ENSMUST00000170686.1,ENSMUST00000178308.1</t>
  </si>
  <si>
    <t>ENSMUST00000167882.1,ENSMUST00000178927.1</t>
  </si>
  <si>
    <t>ENSMUST00000167913.1,ENSMUST00000112742.3</t>
  </si>
  <si>
    <t>ENSMUST00000169361.1</t>
  </si>
  <si>
    <t>ENSMUST00000181562.1</t>
  </si>
  <si>
    <t>ENSMUST00000177986.1</t>
  </si>
  <si>
    <t>ENSMUST00000172431.1</t>
  </si>
  <si>
    <t>ENSMUST00000164544.1</t>
  </si>
  <si>
    <t>ENSMUST00000181880.1</t>
  </si>
  <si>
    <t>ENSMUST00000169362.1</t>
  </si>
  <si>
    <t>ENSMUST00000111870.2</t>
  </si>
  <si>
    <t>ENSMUST00000105038.2</t>
  </si>
  <si>
    <t>ENSMUST00000163790.1</t>
  </si>
  <si>
    <t>ENSMUST00000168673.1</t>
  </si>
  <si>
    <t>ENSMUST00000164408.1</t>
  </si>
  <si>
    <t>ENSMUST00000171784.1</t>
  </si>
  <si>
    <t>ENSMUST00000112726.2</t>
  </si>
  <si>
    <t>ENSMUST00000171706.1</t>
  </si>
  <si>
    <t>ENSMUST00000163102.1</t>
  </si>
  <si>
    <t>ENSMUST00000163850.1</t>
  </si>
  <si>
    <t>ENSMUST00000166895.1</t>
  </si>
  <si>
    <t>ENSMUST00000111869.2</t>
  </si>
  <si>
    <t>ENSMUST00000169215.1,ENSMUST00000179199.1</t>
  </si>
  <si>
    <t>ENSMUST00000167923.1</t>
  </si>
  <si>
    <t>ENSMUST00000179898.1</t>
  </si>
  <si>
    <t>ENSMUST00000105017.3</t>
  </si>
  <si>
    <t>ENSMUST00000140300.1</t>
  </si>
  <si>
    <t>ENSMUST00000168458.1,ENSMUST00000178251.1</t>
  </si>
  <si>
    <t>ENSMUST00000165744.1</t>
  </si>
  <si>
    <t>ENSMUST00000105011.2</t>
  </si>
  <si>
    <t>ENSMUST00000164366.1</t>
  </si>
  <si>
    <t>ENSMUST00000169555.1</t>
  </si>
  <si>
    <t>ENSMUST00000178143.1</t>
  </si>
  <si>
    <t>ENSMUST00000178160.1</t>
  </si>
  <si>
    <t>ENSMUST00000098119.2</t>
  </si>
  <si>
    <t>ENSMUST00000178882.1</t>
  </si>
  <si>
    <t>ENSMUST00000180221.1</t>
  </si>
  <si>
    <t>ENSMUST00000101582.3</t>
  </si>
  <si>
    <t>ENSMUST00000180132.1</t>
  </si>
  <si>
    <t>ENSMUST00000164838.2</t>
  </si>
  <si>
    <t>ENSMUST00000106766.2,ENSMUST00000176467.1</t>
  </si>
  <si>
    <t>ENSMUST00000179230.1</t>
  </si>
  <si>
    <t>ENSMUST00000172989.1</t>
  </si>
  <si>
    <t>ENSMUST00000174364.1</t>
  </si>
  <si>
    <t>ENSMUST00000179390.1</t>
  </si>
  <si>
    <t>ENSMUST00000172863.1</t>
  </si>
  <si>
    <t>ENSMUST00000105196.1</t>
  </si>
  <si>
    <t>ENSMUST00000179206.1</t>
  </si>
  <si>
    <t>ENSMUST00000170249.1</t>
  </si>
  <si>
    <t>ENSMUST00000172551.1</t>
  </si>
  <si>
    <t>ENSMUST00000174775.1</t>
  </si>
  <si>
    <t>ENSMUST00000174451.1</t>
  </si>
  <si>
    <t>ENSMUST00000168926.1</t>
  </si>
  <si>
    <t>ENSMUST00000164045.1</t>
  </si>
  <si>
    <t>ENSMUST00000165784.1</t>
  </si>
  <si>
    <t>ENSMUST00000179061.1</t>
  </si>
  <si>
    <t>ENSMUST00000084475.3</t>
  </si>
  <si>
    <t>ENSMUST00000119285.1</t>
  </si>
  <si>
    <t>ENSMUST00000164394.2</t>
  </si>
  <si>
    <t>ENSMUST00000168769.2</t>
  </si>
  <si>
    <t>ENSMUST00000179513.1</t>
  </si>
  <si>
    <t>ENSMUST00000177847.1</t>
  </si>
  <si>
    <t>ENSMUST00000177945.1</t>
  </si>
  <si>
    <t>ENSMUST00000179735.1</t>
  </si>
  <si>
    <t>ENSMUST00000164322.2</t>
  </si>
  <si>
    <t>ENSMUST00000163113.2</t>
  </si>
  <si>
    <t>ENSMUST00000178037.1</t>
  </si>
  <si>
    <t>ENSMUST00000111755.3</t>
  </si>
  <si>
    <t>ENSMUST00000172155.1</t>
  </si>
  <si>
    <t>ENSMUST00000167753.1</t>
  </si>
  <si>
    <t>ENSMUST00000112162.3</t>
  </si>
  <si>
    <t>ENSMUST00000160534.1</t>
  </si>
  <si>
    <t>ENSMUST00000179613.1</t>
  </si>
  <si>
    <t>ENSMUST00000168580.1</t>
  </si>
  <si>
    <t>ENSMUST00000080669.5</t>
  </si>
  <si>
    <t>ENSMUST00000178591.1</t>
  </si>
  <si>
    <t>ENSMUST00000121393.2</t>
  </si>
  <si>
    <t>ENSMUST00000109047.2</t>
  </si>
  <si>
    <t>ENSMUST00000109045.2</t>
  </si>
  <si>
    <t>ENSMUST00000109046.3</t>
  </si>
  <si>
    <t>ENSMUST00000100870.4</t>
  </si>
  <si>
    <t>ENSMUST00000059524.5</t>
  </si>
  <si>
    <t>ENSMUST00000073642.5</t>
  </si>
  <si>
    <t>ENSMUST00000069740.7</t>
  </si>
  <si>
    <t>ENSMUST00000183788.1</t>
  </si>
  <si>
    <t>ENSMUST00000081657.4</t>
  </si>
  <si>
    <t>ENSMUST00000099439.3</t>
  </si>
  <si>
    <t>ENSMUST00000159517.1</t>
  </si>
  <si>
    <t>ENSMUST00000167995.1</t>
  </si>
  <si>
    <t>ENSMUST00000164674.1</t>
  </si>
  <si>
    <t>ENSMUST00000062182.7</t>
  </si>
  <si>
    <t>ENSMUST00000178065.1</t>
  </si>
  <si>
    <t>ENSMUST00000165904.1</t>
  </si>
  <si>
    <t>ENSMUST00000079690.2</t>
  </si>
  <si>
    <t>ENSMUST00000179874.1</t>
  </si>
  <si>
    <t>ENSMUST00000090260.4</t>
  </si>
  <si>
    <t>ENSMUST00000179202.1</t>
  </si>
  <si>
    <t>ENSMUST00000143922.1</t>
  </si>
  <si>
    <t>ENSMUST00000179064.1</t>
  </si>
  <si>
    <t>ENSMUST00000170405.1</t>
  </si>
  <si>
    <t>ENSMUST00000164138.2</t>
  </si>
  <si>
    <t>ENSMUST00000071421.4</t>
  </si>
  <si>
    <t>ENSMUST00000104977.2</t>
  </si>
  <si>
    <t>ENSMUST00000164422.1</t>
  </si>
  <si>
    <t>ENSMUST00000075321.6</t>
  </si>
  <si>
    <t>ENSMUST00000091180.2</t>
  </si>
  <si>
    <t>ENSMUST00000116614.2</t>
  </si>
  <si>
    <t>ENSMUST00000163718.2</t>
  </si>
  <si>
    <t>ENSMUST00000165906.1</t>
  </si>
  <si>
    <t>ENSMUST00000091905.2</t>
  </si>
  <si>
    <t>ENSMUST00000179944.1</t>
  </si>
  <si>
    <t>ENSMUST00000071565.5</t>
  </si>
  <si>
    <t>ENSMUST00000152910.1</t>
  </si>
  <si>
    <t>ENSMUST00000099726.2</t>
  </si>
  <si>
    <t>ENSMUST00000118300.1</t>
  </si>
  <si>
    <t>ENSMUST00000177747.1</t>
  </si>
  <si>
    <t>ENSMUST00000056639.6</t>
  </si>
  <si>
    <t>ENSMUST00000177599.1</t>
  </si>
  <si>
    <t>ENSMUST00000063726.4</t>
  </si>
  <si>
    <t>ENSMUST00000148137.1,ENSMUST00000178735.1</t>
  </si>
  <si>
    <t>ENSMUST00000053318.3</t>
  </si>
  <si>
    <t>ENSMUST00000177891.1</t>
  </si>
  <si>
    <t>ENSMUST00000108017.1</t>
  </si>
  <si>
    <t>ENSMUST00000178878.1</t>
  </si>
  <si>
    <t>ENSMUST00000113173.1,ENSMUST00000180198.1</t>
  </si>
  <si>
    <t>ENSMUST00000105137.2</t>
  </si>
  <si>
    <t>ENSMUST00000167516.2</t>
  </si>
  <si>
    <t>ENSMUST00000088625.6</t>
  </si>
  <si>
    <t>ENSMUST00000069552.5</t>
  </si>
  <si>
    <t>ENSMUST00000178148.1</t>
  </si>
  <si>
    <t>ENSMUST00000089165.2</t>
  </si>
  <si>
    <t>ENSMUST00000168002.2</t>
  </si>
  <si>
    <t>ENSMUST00000096469.5</t>
  </si>
  <si>
    <t>ENSMUST00000171131.1</t>
  </si>
  <si>
    <t>ENSMUST00000172270.1</t>
  </si>
  <si>
    <t>ENSMUST00000178572.1</t>
  </si>
  <si>
    <t>ENSMUST00000059065.8</t>
  </si>
  <si>
    <t>ENSMUST00000165437.1</t>
  </si>
  <si>
    <t>ENSMUST00000163646.1</t>
  </si>
  <si>
    <t>ENSMUST00000183590.1</t>
  </si>
  <si>
    <t>ENSMUST00000177874.1</t>
  </si>
  <si>
    <t>ENSMUST00000159524.1</t>
  </si>
  <si>
    <t>ENSMUST00000179205.1</t>
  </si>
  <si>
    <t>ENSMUST00000050391.1</t>
  </si>
  <si>
    <t>ENSMUST00000056023.3</t>
  </si>
  <si>
    <t>ENSMUST00000093326.2</t>
  </si>
  <si>
    <t>ENSMUST00000079952.2</t>
  </si>
  <si>
    <t>ENSMUST00000080694.2</t>
  </si>
  <si>
    <t>ENSMUST00000171322.1</t>
  </si>
  <si>
    <t>ENSMUST00000168554.1</t>
  </si>
  <si>
    <t>ENSMUST00000074615.6</t>
  </si>
  <si>
    <t>ENSMUST00000171120.1</t>
  </si>
  <si>
    <t>ENSMUST00000071825.5</t>
  </si>
  <si>
    <t>ENSMUST00000179295.1</t>
  </si>
  <si>
    <t>ENSMUST00000070258.2</t>
  </si>
  <si>
    <t>ENSMUST00000081132.4</t>
  </si>
  <si>
    <t>ENSMUST00000163800.1</t>
  </si>
  <si>
    <t>ENSMUST00000171235.1</t>
  </si>
  <si>
    <t>ENSMUST00000100184.3</t>
  </si>
  <si>
    <t>ENSMUST00000182063.1</t>
  </si>
  <si>
    <t>ENSMUST00000165917.1</t>
  </si>
  <si>
    <t>ENSMUST00000076155.4</t>
  </si>
  <si>
    <t>ENSMUST00000042061.6</t>
  </si>
  <si>
    <t>ENSMUST00000056145.2</t>
  </si>
  <si>
    <t>ENSMUST00000163241.1</t>
  </si>
  <si>
    <t>ENSMUST00000072940.5</t>
  </si>
  <si>
    <t>ENSMUST00000079759.5</t>
  </si>
  <si>
    <t>ENSMUST00000097044.2</t>
  </si>
  <si>
    <t>ENSMUST00000098100.3</t>
  </si>
  <si>
    <t>ENSMUST00000164523.2</t>
  </si>
  <si>
    <t>ENSMUST00000165252.1</t>
  </si>
  <si>
    <t>ENSMUST00000071172.5</t>
  </si>
  <si>
    <t>ENSMUST00000178184.1</t>
  </si>
  <si>
    <t>ENSMUST00000105006.1</t>
  </si>
  <si>
    <t>ENSMUST00000097029.2</t>
  </si>
  <si>
    <t>ENSMUST00000114119.1</t>
  </si>
  <si>
    <t>ENSMUST00000091130.3</t>
  </si>
  <si>
    <t>ENSMUST00000101168.3</t>
  </si>
  <si>
    <t>ENSMUST00000041389.8</t>
  </si>
  <si>
    <t>ENSMUST00000178317.1</t>
  </si>
  <si>
    <t>ENSMUST00000152491.1</t>
  </si>
  <si>
    <t>ENSMUST00000177879.1</t>
  </si>
  <si>
    <t>ENSMUST00000148411.1</t>
  </si>
  <si>
    <t>ENSMUST00000105195.1</t>
  </si>
  <si>
    <t>ENSMUST00000173886.1</t>
  </si>
  <si>
    <t>ENSMUST00000105209.2</t>
  </si>
  <si>
    <t>ENSMUST00000115561.1</t>
  </si>
  <si>
    <t>ENSMUST00000090853.4</t>
  </si>
  <si>
    <t>ENSMUST00000100920.3,ENSMUST00000171150.1</t>
  </si>
  <si>
    <t>ENSMUST00000096184.4</t>
  </si>
  <si>
    <t>ENSMUST00000164613.1</t>
  </si>
  <si>
    <t>ENSMUST00000169023.1</t>
  </si>
  <si>
    <t>ENSMUST00000177586.1</t>
  </si>
  <si>
    <t>ENSMUST00000171469.1</t>
  </si>
  <si>
    <t>ENSMUST00000180151.1</t>
  </si>
  <si>
    <t>ENSMUST00000179087.1</t>
  </si>
  <si>
    <t>ENSMUST00000168407.2</t>
  </si>
  <si>
    <t>ENSMUST00000171093.1</t>
  </si>
  <si>
    <t>ENSMUST00000072286.6</t>
  </si>
  <si>
    <t>ENSMUST00000177881.1</t>
  </si>
  <si>
    <t>ENSMUST00000036712.4</t>
  </si>
  <si>
    <t>ENSMUST00000178578.1</t>
  </si>
  <si>
    <t>ENSMUST00000179493.1</t>
  </si>
  <si>
    <t>ENSMUST00000179862.1</t>
  </si>
  <si>
    <t>ENSMUST00000170510.1</t>
  </si>
  <si>
    <t>ENSMUST00000177740.1</t>
  </si>
  <si>
    <t>ENSMUST00000111863.2</t>
  </si>
  <si>
    <t>ENSMUST00000120734.1</t>
  </si>
  <si>
    <t>ENSMUST00000101667.3</t>
  </si>
  <si>
    <t>ENSMUST00000178986.1</t>
  </si>
  <si>
    <t>ENSMUST00000114116.1</t>
  </si>
  <si>
    <t>ENSMUST00000092094.1</t>
  </si>
  <si>
    <t>ENSMUST00000163651.1</t>
  </si>
  <si>
    <t>ENSMUST00000097632.3</t>
  </si>
  <si>
    <t>ENSMUST00000114585.2</t>
  </si>
  <si>
    <t>ENSMUST00000105172.1</t>
  </si>
  <si>
    <t>ENSMUST00000167438.1,ENSMUST00000119231.1</t>
  </si>
  <si>
    <t>ENSMUST00000076842.5</t>
  </si>
  <si>
    <t>ENSMUST00000169774.1</t>
  </si>
  <si>
    <t>ENSMUST00000071118.4</t>
  </si>
  <si>
    <t>ENSMUST00000178209.1</t>
  </si>
  <si>
    <t>ENSMUST00000165424.2</t>
  </si>
  <si>
    <t>ENSMUST00000178845.1</t>
  </si>
  <si>
    <t>ENSMUST00000115253.1</t>
  </si>
  <si>
    <t>ENSMUST00000171185.1</t>
  </si>
  <si>
    <t>ENSMUST00000168088.1,ENSMUST00000170613.1,ENSMUST00000177662.1</t>
  </si>
  <si>
    <t>ENSMUST00000139828.1,ENSMUST00000101021.3</t>
  </si>
  <si>
    <t>ENSMUST00000166618.1</t>
  </si>
  <si>
    <t>ENSMUST00000178646.1</t>
  </si>
  <si>
    <t>ENSMUST00000110611.3</t>
  </si>
  <si>
    <t>ENSMUST00000179032.1</t>
  </si>
  <si>
    <t>ENSMUST00000163316.2</t>
  </si>
  <si>
    <t>ENSMUST00000163787.2</t>
  </si>
  <si>
    <t>ENSMUST00000168154.1</t>
  </si>
  <si>
    <t>ENSMUST00000086050.1</t>
  </si>
  <si>
    <t>ENSMUST00000097935.2</t>
  </si>
  <si>
    <t>ENSMUST00000168128.1</t>
  </si>
  <si>
    <t>ENSMUST00000178167.1</t>
  </si>
  <si>
    <t>ENSMUST00000097478.3</t>
  </si>
  <si>
    <t>ENSMUST00000098286.3</t>
  </si>
  <si>
    <t>ENSMUST00000100643.3,ENSMUST00000179860.1</t>
  </si>
  <si>
    <t>ENSMUST00000076896.5</t>
  </si>
  <si>
    <t>ENSMUST00000154520.1</t>
  </si>
  <si>
    <t>ENSMUST00000080891.5</t>
  </si>
  <si>
    <t>ENSMUST00000115563.1</t>
  </si>
  <si>
    <t>ENSMUST00000178457.1</t>
  </si>
  <si>
    <t>ENSMUST00000031488.9</t>
  </si>
  <si>
    <t>ENSMUST00000181628.1</t>
  </si>
  <si>
    <t>ENSMUST00000159229.1</t>
  </si>
  <si>
    <t>ENSMUST00000177870.1</t>
  </si>
  <si>
    <t>ENSMUST00000168425.2</t>
  </si>
  <si>
    <t>ENSMUST00000165131.2</t>
  </si>
  <si>
    <t>ENSMUST00000166493.1,ENSMUST00000178376.1</t>
  </si>
  <si>
    <t>ENSMUST00000042595.6</t>
  </si>
  <si>
    <t>ENSMUST00000178455.1</t>
  </si>
  <si>
    <t>ENSMUST00000098887.2,ENSMUST00000168331.1</t>
  </si>
  <si>
    <t>ENSMUST00000105311.3</t>
  </si>
  <si>
    <t>ENSMUST00000165173.1</t>
  </si>
  <si>
    <t>ENSMUST00000057074.8</t>
  </si>
  <si>
    <t>ENSMUST00000180692.1</t>
  </si>
  <si>
    <t>ENSMUST00000181287.1</t>
  </si>
  <si>
    <t>ENSMUST00000071732.5</t>
  </si>
  <si>
    <t>ENSMUST00000167843.1</t>
  </si>
  <si>
    <t>ENSMUST00000178301.1</t>
  </si>
  <si>
    <t>ENSMUST00000169389.1</t>
  </si>
  <si>
    <t>ENSMUST00000074894.1</t>
  </si>
  <si>
    <t>ENSMUST00000107540.2</t>
  </si>
  <si>
    <t>ENSMUST00000100448.2</t>
  </si>
  <si>
    <t>ENSMUST00000177741.1</t>
  </si>
  <si>
    <t>ENSMUST00000089614.4</t>
  </si>
  <si>
    <t>ENSMUST00000179072.1</t>
  </si>
  <si>
    <t>ENSMUST00000163416.1</t>
  </si>
  <si>
    <t>ENSMUST00000167568.1</t>
  </si>
  <si>
    <t>ENSMUST00000114687.2</t>
  </si>
  <si>
    <t>ENSMUST00000166562.2</t>
  </si>
  <si>
    <t>ENSMUST00000054760.4</t>
  </si>
  <si>
    <t>ENSMUST00000179741.1</t>
  </si>
  <si>
    <t>ENSMUST00000164764.1</t>
  </si>
  <si>
    <t>ENSMUST00000088809.5</t>
  </si>
  <si>
    <t>ENSMUST00000173283.1</t>
  </si>
  <si>
    <t>ENSMUST00000168619.1</t>
  </si>
  <si>
    <t>ENSMUST00000162998.1</t>
  </si>
  <si>
    <t>ENSMUST00000179317.1</t>
  </si>
  <si>
    <t>ENSMUST00000088296.2</t>
  </si>
  <si>
    <t>ENSMUST00000097520.2</t>
  </si>
  <si>
    <t>ENSMUST00000089534.4</t>
  </si>
  <si>
    <t>ENSMUST00000061681.7</t>
  </si>
  <si>
    <t>ENSMUST00000095004.3</t>
  </si>
  <si>
    <t>ENSMUST00000069044.5</t>
  </si>
  <si>
    <t>ENSMUST00000100666.2</t>
  </si>
  <si>
    <t>ENSMUST00000097849.2</t>
  </si>
  <si>
    <t>ENSMUST00000164167.1</t>
  </si>
  <si>
    <t>ENSMUST00000077389.6</t>
  </si>
  <si>
    <t>ENSMUST00000085631.2</t>
  </si>
  <si>
    <t>ENSMUST00000097488.1</t>
  </si>
  <si>
    <t>ENSMUST00000098289.3</t>
  </si>
  <si>
    <t>ENSMUST00000179801.1</t>
  </si>
  <si>
    <t>ENSMUST00000170486.1</t>
  </si>
  <si>
    <t>ENSMUST00000096981.3</t>
  </si>
  <si>
    <t>ENSMUST00000167648.1</t>
  </si>
  <si>
    <t>ENSMUST00000110752.3</t>
  </si>
  <si>
    <t>ENSMUST00000100708.3</t>
  </si>
  <si>
    <t>ENSMUST00000110749.3</t>
  </si>
  <si>
    <t>ENSMUST00000113172.1,ENSMUST00000179953.1</t>
  </si>
  <si>
    <t>ENSMUST00000178711.1</t>
  </si>
  <si>
    <t>ENSMUST00000163216.1</t>
  </si>
  <si>
    <t>ENSMUST00000164948.1</t>
  </si>
  <si>
    <t>ENSMUST00000171388.1</t>
  </si>
  <si>
    <t>ENSMUST00000164967.1</t>
  </si>
  <si>
    <t>ENSMUST00000167615.1</t>
  </si>
  <si>
    <t>ENSMUST00000178552.1</t>
  </si>
  <si>
    <t>ENSMUST00000168107.1</t>
  </si>
  <si>
    <t>ENSMUST00000136313.1,ENSMUST00000101011.3</t>
  </si>
  <si>
    <t>ENSMUST00000089789.4</t>
  </si>
  <si>
    <t>ENSMUST00000167326.1</t>
  </si>
  <si>
    <t>ENSMUST00000172163.1</t>
  </si>
  <si>
    <t>ENSMUST00000170174.1</t>
  </si>
  <si>
    <t>ENSMUST00000167099.1</t>
  </si>
  <si>
    <t>ENSMUST00000171987.1</t>
  </si>
  <si>
    <t>ENSMUST00000167440.2</t>
  </si>
  <si>
    <t>ENSMUST00000095071.4</t>
  </si>
  <si>
    <t>ENSMUST00000165349.1</t>
  </si>
  <si>
    <t>ENSMUST00000165136.1</t>
  </si>
  <si>
    <t>ENSMUST00000168165.1</t>
  </si>
  <si>
    <t>ENSMUST00000170207.1</t>
  </si>
  <si>
    <t>ENSMUST00000165988.1</t>
  </si>
  <si>
    <t>ENSMUST00000169587.1</t>
  </si>
  <si>
    <t>ENSMUST00000163655.1</t>
  </si>
  <si>
    <t>ENSMUST00000169473.1</t>
  </si>
  <si>
    <t>ENSMUST00000099536.2</t>
  </si>
  <si>
    <t>ENSMUST00000163738.1,ENSMUST00000170546.1,ENSMUST00000179231.1</t>
  </si>
  <si>
    <t>ENSMUST00000095981.4</t>
  </si>
  <si>
    <t>ENSMUST00000164139.1</t>
  </si>
  <si>
    <t>ENSMUST00000171428.1</t>
  </si>
  <si>
    <t>ENSMUST00000166350.1</t>
  </si>
  <si>
    <t>ENSMUST00000172123.1</t>
  </si>
  <si>
    <t>ENSMUST00000169601.2</t>
  </si>
  <si>
    <t>ENSMUST00000090257.4</t>
  </si>
  <si>
    <t>ENSMUST00000177716.1</t>
  </si>
  <si>
    <t>ENSMUST00000168161.1</t>
  </si>
  <si>
    <t>ENSMUST00000164277.1</t>
  </si>
  <si>
    <t>ENSMUST00000164484.1</t>
  </si>
  <si>
    <t>ENSMUST00000180788.1,ENSMUST00000179411.1</t>
  </si>
  <si>
    <t>ENSMUST00000170094.1</t>
  </si>
  <si>
    <t>ENSMUST00000178759.1</t>
  </si>
  <si>
    <t>ENSMUST00000168641.1</t>
  </si>
  <si>
    <t>ENSMUST00000111860.2</t>
  </si>
  <si>
    <t>ENSMUST00000169583.1</t>
  </si>
  <si>
    <t>ENSMUST00000055593.7</t>
  </si>
  <si>
    <t>ENSMUST00000170469.1</t>
  </si>
  <si>
    <t>ENSMUST00000165003.1</t>
  </si>
  <si>
    <t>ENSMUST00000171053.1</t>
  </si>
  <si>
    <t>ENSMUST00000165713.1</t>
  </si>
  <si>
    <t>ENSMUST00000163719.1</t>
  </si>
  <si>
    <t>ENSMUST00000171964.1</t>
  </si>
  <si>
    <t>ENSMUST00000179799.1</t>
  </si>
  <si>
    <t>ENSMUST00000179468.1</t>
  </si>
  <si>
    <t>ENSMUST00000112755.2</t>
  </si>
  <si>
    <t>ENSMUST00000163636.1,ENSMUST00000164917.1</t>
  </si>
  <si>
    <t>ENSMUST00000168790.1,ENSMUST00000170673.1</t>
  </si>
  <si>
    <t>ENSMUST00000163826.1</t>
  </si>
  <si>
    <t>ENSMUST00000079684.6</t>
  </si>
  <si>
    <t>ENSMUST00000167253.1</t>
  </si>
  <si>
    <t>ENSMUST00000177968.1</t>
  </si>
  <si>
    <t>ENSMUST00000115650.1</t>
  </si>
  <si>
    <t>ENSMUST00000074512.5</t>
  </si>
  <si>
    <t>ENSMUST00000163096.1</t>
  </si>
  <si>
    <t>ENSMUST00000105187.2</t>
  </si>
  <si>
    <t>ENSMUST00000179367.1</t>
  </si>
  <si>
    <t>ENSMUST00000174637.1</t>
  </si>
  <si>
    <t>ENSMUST00000178871.1</t>
  </si>
  <si>
    <t>ENSMUST00000168392.1</t>
  </si>
  <si>
    <t>ENSMUST00000181166.1</t>
  </si>
  <si>
    <t>ENSMUST00000181179.1</t>
  </si>
  <si>
    <t>ENSMUST00000099518.2</t>
  </si>
  <si>
    <t>ENSMUST00000114021.2</t>
  </si>
  <si>
    <t>ENSMUST00000170064.1</t>
  </si>
  <si>
    <t>ENSMUST00000163544.1</t>
  </si>
  <si>
    <t>ENSMUST00000168945.2</t>
  </si>
  <si>
    <t>ENSMUST00000170260.1</t>
  </si>
  <si>
    <t>ENSMUST00000177677.1</t>
  </si>
  <si>
    <t>ENSMUST00000164262.1</t>
  </si>
  <si>
    <t>ENSMUST00000167041.1</t>
  </si>
  <si>
    <t>ENSMUST00000179679.1</t>
  </si>
  <si>
    <t>ENSMUST00000108949.2</t>
  </si>
  <si>
    <t>ENSMUST00000164651.1</t>
  </si>
  <si>
    <t>ENSMUST00000179375.1</t>
  </si>
  <si>
    <t>ENSMUST00000101396.2</t>
  </si>
  <si>
    <t>ENSMUST00000170057.1</t>
  </si>
  <si>
    <t>ENSMUST00000178989.1</t>
  </si>
  <si>
    <t>ENSMUST00000109002.2</t>
  </si>
  <si>
    <t>ENSMUST00000167566.1</t>
  </si>
  <si>
    <t>ENSMUST00000178158.1</t>
  </si>
  <si>
    <t>ENSMUST00000079818.3</t>
  </si>
  <si>
    <t>ENSMUST00000156818.1</t>
  </si>
  <si>
    <t>ENSMUST00000099519.1</t>
  </si>
  <si>
    <t>ENSMUST00000178929.1</t>
  </si>
  <si>
    <t>ENSMUST00000099521.1</t>
  </si>
  <si>
    <t>ENSMUST00000113610.2</t>
  </si>
  <si>
    <t>ENSMUST00000098881.1</t>
  </si>
  <si>
    <t>ENSMUST00000177735.1</t>
  </si>
  <si>
    <t>ENSMUST00000178458.1</t>
  </si>
  <si>
    <t>ENSMUST00000180746.1</t>
  </si>
  <si>
    <t>ENSMUST00000173815.1,ENSMUST00000166914.1</t>
  </si>
  <si>
    <t>ENSMUST00000179384.2</t>
  </si>
  <si>
    <t>ENSMUST00000171107.1</t>
  </si>
  <si>
    <t>ENSMUST00000179109.1</t>
  </si>
  <si>
    <t>ENSMUST00000163325.1,ENSMUST00000177973.1</t>
  </si>
  <si>
    <t>ENSMUST00000165814.1</t>
  </si>
  <si>
    <t>ENSMUST00000100698.3</t>
  </si>
  <si>
    <t>ENSMUST00000179141.1</t>
  </si>
  <si>
    <t>ENSMUST00000180321.1</t>
  </si>
  <si>
    <t>ENSMUST00000114243.1</t>
  </si>
  <si>
    <t>ENSMUST00000163912.1</t>
  </si>
  <si>
    <t>ENSMUST00000165220.2</t>
  </si>
  <si>
    <t>ENSMUST00000021573.5</t>
  </si>
  <si>
    <t>ENSMUST00000023262.5</t>
  </si>
  <si>
    <t>ENSMUST00000031305.3</t>
  </si>
  <si>
    <t>ENSMUST00000032981.5</t>
  </si>
  <si>
    <t>ENSMUST00000035980.8</t>
  </si>
  <si>
    <t>ENSMUST00000043170.3</t>
  </si>
  <si>
    <t>ENSMUST00000075018.3</t>
  </si>
  <si>
    <t>ENSMUST00000062249.2</t>
  </si>
  <si>
    <t>ENSMUST00000052902.7</t>
  </si>
  <si>
    <t>ENSMUST00000062127.3</t>
  </si>
  <si>
    <t>ENSMUST00000055305.8</t>
  </si>
  <si>
    <t>ENSMUST00000058040.6</t>
  </si>
  <si>
    <t>ENSMUST00000178895.1</t>
  </si>
  <si>
    <t>ENSMUST00000178509.1</t>
  </si>
  <si>
    <t>ENSMUST00000053150.5</t>
  </si>
  <si>
    <t>ENSMUST00000052528.3</t>
  </si>
  <si>
    <t>ENSMUST00000053398.6</t>
  </si>
  <si>
    <t>ENSMUST00000063789.2</t>
  </si>
  <si>
    <t>ENSMUST00000063858.7</t>
  </si>
  <si>
    <t>ENSMUST00000064002.5</t>
  </si>
  <si>
    <t>ENSMUST00000064223.1</t>
  </si>
  <si>
    <t>ENSMUST00000068783.2</t>
  </si>
  <si>
    <t>ENSMUST00000171257.2</t>
  </si>
  <si>
    <t>ENSMUST00000065469.1</t>
  </si>
  <si>
    <t>ENSMUST00000066092.3</t>
  </si>
  <si>
    <t>ENSMUST00000066505.1</t>
  </si>
  <si>
    <t>ENSMUST00000066758.2</t>
  </si>
  <si>
    <t>ENSMUST00000066813.1</t>
  </si>
  <si>
    <t>ENSMUST00000066959.4</t>
  </si>
  <si>
    <t>ENSMUST00000177649.1</t>
  </si>
  <si>
    <t>ENSMUST00000067523.1</t>
  </si>
  <si>
    <t>ENSMUST00000067972.4</t>
  </si>
  <si>
    <t>ENSMUST00000068448.2</t>
  </si>
  <si>
    <t>ENSMUST00000068485.3</t>
  </si>
  <si>
    <t>ENSMUST00000178177.1</t>
  </si>
  <si>
    <t>ENSMUST00000069431.4</t>
  </si>
  <si>
    <t>ENSMUST00000069457.1</t>
  </si>
  <si>
    <t>ENSMUST00000069568.3</t>
  </si>
  <si>
    <t>ENSMUST00000070021.1</t>
  </si>
  <si>
    <t>ENSMUST00000070048.3</t>
  </si>
  <si>
    <t>ENSMUST00000070059.3</t>
  </si>
  <si>
    <t>ENSMUST00000178070.1</t>
  </si>
  <si>
    <t>ENSMUST00000089832.4</t>
  </si>
  <si>
    <t>ENSMUST00000076605.7</t>
  </si>
  <si>
    <t>ENSMUST00000090942.5,ENSMUST00000081695.7</t>
  </si>
  <si>
    <t>ENSMUST00000107498.2</t>
  </si>
  <si>
    <t>ENSMUST00000102894.3</t>
  </si>
  <si>
    <t>ENSMUST00000077985.3</t>
  </si>
  <si>
    <t>ENSMUST00000051079.2</t>
  </si>
  <si>
    <t>ENSMUST00000033915.7</t>
  </si>
  <si>
    <t>ENSMUST00000112224.1,ENSMUST00000112226.2</t>
  </si>
  <si>
    <t>ENSMUST00000096431.3</t>
  </si>
  <si>
    <t>ENSMUST00000145035.1</t>
  </si>
  <si>
    <t>ENSMUST00000168724.1</t>
  </si>
  <si>
    <t>ENSMUST00000045319.2,ENSMUST00000106584.1</t>
  </si>
  <si>
    <t>ENSMUST00000056130.4</t>
  </si>
  <si>
    <t>ENSMUST00000111450.1</t>
  </si>
  <si>
    <t>ENSMUST00000178700.1</t>
  </si>
  <si>
    <t>ENSMUST00000091648.2</t>
  </si>
  <si>
    <t>ENSMUST00000043149.7</t>
  </si>
  <si>
    <t>ENSMUST00000114137.1</t>
  </si>
  <si>
    <t>ENSMUST00000148954.1</t>
  </si>
  <si>
    <t>ENSMUST00000012279.4</t>
  </si>
  <si>
    <t>ENSMUST00000089900.3</t>
  </si>
  <si>
    <t>ENSMUST00000089894.5</t>
  </si>
  <si>
    <t>ENSMUST00000071847.2</t>
  </si>
  <si>
    <t>ENSMUST00000177709.1</t>
  </si>
  <si>
    <t>ENSMUST00000112810.1</t>
  </si>
  <si>
    <t>ENSMUST00000098274.3</t>
  </si>
  <si>
    <t>ENSMUST00000006667.4,ENSMUST00000183409.1</t>
  </si>
  <si>
    <t>ENSMUST00000178328.1</t>
  </si>
  <si>
    <t>ENSMUST00000025322.7</t>
  </si>
  <si>
    <t>ENSMUST00000023845.6</t>
  </si>
  <si>
    <t>ENSMUST00000073546.3</t>
  </si>
  <si>
    <t>ENSMUST00000057502.7,ENSMUST00000169950.1</t>
  </si>
  <si>
    <t>ENSMUST00000041531.6</t>
  </si>
  <si>
    <t>ENSMUST00000041398.4</t>
  </si>
  <si>
    <t>ENSMUST00000041964.6</t>
  </si>
  <si>
    <t>ENSMUST00000118616.2</t>
  </si>
  <si>
    <t>ENSMUST00000122050.1</t>
  </si>
  <si>
    <t>ENSMUST00000016703.7</t>
  </si>
  <si>
    <t>ENSMUST00000106454.1</t>
  </si>
  <si>
    <t>ENSMUST00000093209.3</t>
  </si>
  <si>
    <t>ENSMUST00000020535.1</t>
  </si>
  <si>
    <t>ENSMUST00000008995.8</t>
  </si>
  <si>
    <t>ENSMUST00000024543.2</t>
  </si>
  <si>
    <t>ENSMUST00000065900.4</t>
  </si>
  <si>
    <t>ENSMUST00000078369.1</t>
  </si>
  <si>
    <t>ENSMUST00000171127.1</t>
  </si>
  <si>
    <t>ENSMUST00000090776.4</t>
  </si>
  <si>
    <t>ENSMUST00000102969.3</t>
  </si>
  <si>
    <t>ENSMUST00000091741.4</t>
  </si>
  <si>
    <t>ENSMUST00000091742.4</t>
  </si>
  <si>
    <t>ENSMUST00000091708.4</t>
  </si>
  <si>
    <t>ENSMUST00000091751.2</t>
  </si>
  <si>
    <t>ENSMUST00000091745.5</t>
  </si>
  <si>
    <t>ENSMUST00000081342.5</t>
  </si>
  <si>
    <t>ENSMUST00000018246.4</t>
  </si>
  <si>
    <t>ENSMUST00000105106.1</t>
  </si>
  <si>
    <t>ENSMUST00000110452.1</t>
  </si>
  <si>
    <t>ENSMUST00000091756.1</t>
  </si>
  <si>
    <t>ENSMUST00000110469.1</t>
  </si>
  <si>
    <t>ENSMUST00000091701.2</t>
  </si>
  <si>
    <t>ENSMUST00000091752.2</t>
  </si>
  <si>
    <t>ENSMUST00000105105.1</t>
  </si>
  <si>
    <t>ENSMUST00000075558.2</t>
  </si>
  <si>
    <t>ENSMUST00000080859.5</t>
  </si>
  <si>
    <t>ENSMUST00000091754.2</t>
  </si>
  <si>
    <t>ENSMUST00000102964.2</t>
  </si>
  <si>
    <t>ENSMUST00000102965.2</t>
  </si>
  <si>
    <t>ENSMUST00000102967.1</t>
  </si>
  <si>
    <t>ENSMUST00000102971.1</t>
  </si>
  <si>
    <t>ENSMUST00000102972.3</t>
  </si>
  <si>
    <t>ENSMUST00000102977.2</t>
  </si>
  <si>
    <t>ENSMUST00000087714.4</t>
  </si>
  <si>
    <t>ENSMUST00000102983.1</t>
  </si>
  <si>
    <t>ENSMUST00000104941.2</t>
  </si>
  <si>
    <t>ENSMUST00000102979.1</t>
  </si>
  <si>
    <t>ENSMUST00000078756.5</t>
  </si>
  <si>
    <t>ENSMUST00000098843.2</t>
  </si>
  <si>
    <t>ENSMUST00000176059.1</t>
  </si>
  <si>
    <t>ENSMUST00000171473.1</t>
  </si>
  <si>
    <t>ENSMUST00000179285.1</t>
  </si>
  <si>
    <t>ENSMUST00000105046.2</t>
  </si>
  <si>
    <t>ENSMUST00000179869.1</t>
  </si>
  <si>
    <t>ENSMUST00000108393.1,ENSMUST00000017832.8</t>
  </si>
  <si>
    <t>ENSMUST00000166219.1</t>
  </si>
  <si>
    <t>ENSMUST00000090743.6</t>
  </si>
  <si>
    <t>ENSMUST00000107018.1</t>
  </si>
  <si>
    <t>ENSMUST00000107019.1</t>
  </si>
  <si>
    <t>ENSMUST00000179429.1</t>
  </si>
  <si>
    <t>ENSMUST00000059003.4</t>
  </si>
  <si>
    <t>ENSMUST00000097964.2</t>
  </si>
  <si>
    <t>ENSMUST00000168045.1</t>
  </si>
  <si>
    <t>ENSMUST00000046739.4</t>
  </si>
  <si>
    <t>ENSMUST00000094972.1</t>
  </si>
  <si>
    <t>ENSMUST00000170428.1</t>
  </si>
  <si>
    <t>ENSMUST00000102806.1</t>
  </si>
  <si>
    <t>ENSMUST00000072734.3</t>
  </si>
  <si>
    <t>ENSMUST00000102808.1</t>
  </si>
  <si>
    <t>ENSMUST00000105147.1</t>
  </si>
  <si>
    <t>ENSMUST00000094973.3</t>
  </si>
  <si>
    <t>ENSMUST00000102804.1</t>
  </si>
  <si>
    <t>ENSMUST00000071378.4</t>
  </si>
  <si>
    <t>ENSMUST00000105143.1</t>
  </si>
  <si>
    <t>ENSMUST00000102807.1</t>
  </si>
  <si>
    <t>ENSMUST00000105146.2</t>
  </si>
  <si>
    <t>ENSMUST00000081684.2</t>
  </si>
  <si>
    <t>ENSMUST00000078364.3</t>
  </si>
  <si>
    <t>ENSMUST00000105144.1</t>
  </si>
  <si>
    <t>ENSMUST00000043850.7</t>
  </si>
  <si>
    <t>ENSMUST00000137336.1</t>
  </si>
  <si>
    <t>ENSMUST00000103416.2</t>
  </si>
  <si>
    <t>ENSMUST00000177949.1</t>
  </si>
  <si>
    <t>ENSMUST00000179796.1</t>
  </si>
  <si>
    <t>ENSMUST00000168090.1</t>
  </si>
  <si>
    <t>ENSMUST00000114214.1</t>
  </si>
  <si>
    <t>ENSMUST00000177697.1</t>
  </si>
  <si>
    <t>ENSMUST00000177795.1</t>
  </si>
  <si>
    <t>ENSMUST00000108006.3</t>
  </si>
  <si>
    <t>ENSMUST00000001792.4</t>
  </si>
  <si>
    <t>ENSMUST00000016668.6</t>
  </si>
  <si>
    <t>ENSMUST00000112465.1</t>
  </si>
  <si>
    <t>ENSMUST00000058056.1</t>
  </si>
  <si>
    <t>ENSMUST00000096691.4</t>
  </si>
  <si>
    <t>ENSMUST00000163808.1</t>
  </si>
  <si>
    <t>ENSMUST00000172031.1</t>
  </si>
  <si>
    <t>ENSMUST00000043138.6</t>
  </si>
  <si>
    <t>ENSMUST00000171091.1</t>
  </si>
  <si>
    <t>ENSMUST00000051446.9,ENSMUST00000174408.1</t>
  </si>
  <si>
    <t>ENSMUST00000110582.2</t>
  </si>
  <si>
    <t>ENSMUST00000060972.3</t>
  </si>
  <si>
    <t>ENSMUST00000107774.1</t>
  </si>
  <si>
    <t>ENSMUST00000170146.1</t>
  </si>
  <si>
    <t>ENSMUST00000107906.3</t>
  </si>
  <si>
    <t>ENSMUST00000107907.2</t>
  </si>
  <si>
    <t>ENSMUST00000088538.5</t>
  </si>
  <si>
    <t>ENSMUST00000176978.1</t>
  </si>
  <si>
    <t>ENSMUST00000065204.6</t>
  </si>
  <si>
    <t>ENSMUST00000172099.2,ENSMUST00000074983.6</t>
  </si>
  <si>
    <t>ENSMUST00000164954.1</t>
  </si>
  <si>
    <t>ENSMUST00000183850.1,ENSMUST00000066890.7</t>
  </si>
  <si>
    <t>ENSMUST00000098858.3</t>
  </si>
  <si>
    <t>ENSMUST00000091927.4</t>
  </si>
  <si>
    <t>ENSMUST00000046073.9</t>
  </si>
  <si>
    <t>ENSMUST00000086200.4</t>
  </si>
  <si>
    <t>ENSMUST00000047817.6</t>
  </si>
  <si>
    <t>ENSMUST00000043605.5</t>
  </si>
  <si>
    <t>ENSMUST00000113105.2</t>
  </si>
  <si>
    <t>ENSMUST00000072125.5</t>
  </si>
  <si>
    <t>ENSMUST00000113108.1</t>
  </si>
  <si>
    <t>ENSMUST00000097079.4</t>
  </si>
  <si>
    <t>ENSMUST00000166926.2</t>
  </si>
  <si>
    <t>ENSMUST00000115317.2</t>
  </si>
  <si>
    <t>ENSMUST00000164415.1</t>
  </si>
  <si>
    <t>ENSMUST00000068625.3</t>
  </si>
  <si>
    <t>ENSMUST00000032288.4</t>
  </si>
  <si>
    <t>ENSMUST00000112020.1</t>
  </si>
  <si>
    <t>ENSMUST00000014683.6</t>
  </si>
  <si>
    <t>ENSMUST00000118060.1</t>
  </si>
  <si>
    <t>ENSMUST00000112032.1,ENSMUST00000071554.2</t>
  </si>
  <si>
    <t>ENSMUST00000112110.2</t>
  </si>
  <si>
    <t>ENSMUST00000071920.4,ENSMUST00000118401.1,ENSMUST00000119533.1</t>
  </si>
  <si>
    <t>ENSMUST00000170148.1,ENSMUST00000071149.5</t>
  </si>
  <si>
    <t>ENSMUST00000038671.3</t>
  </si>
  <si>
    <t>ENSMUST00000053149.2</t>
  </si>
  <si>
    <t>ENSMUST00000050106.3</t>
  </si>
  <si>
    <t>ENSMUST00000084413.6</t>
  </si>
  <si>
    <t>ENSMUST00000097942.2</t>
  </si>
  <si>
    <t>ENSMUST00000076906.1</t>
  </si>
  <si>
    <t>ENSMUST00000093936.3</t>
  </si>
  <si>
    <t>ENSMUST00000139454.2</t>
  </si>
  <si>
    <t>ENSMUST00000092070.6</t>
  </si>
  <si>
    <t>ENSMUST00000107304.2</t>
  </si>
  <si>
    <t>ENSMUST00000059053.9</t>
  </si>
  <si>
    <t>ENSMUST00000098886.4</t>
  </si>
  <si>
    <t>ENSMUST00000178923.1</t>
  </si>
  <si>
    <t>ENSMUST00000112357.2</t>
  </si>
  <si>
    <t>ENSMUST00000038176.8</t>
  </si>
  <si>
    <t>ENSMUST00000078778.3</t>
  </si>
  <si>
    <t>ENSMUST00000105481.1</t>
  </si>
  <si>
    <t>ENSMUST00000073691.3</t>
  </si>
  <si>
    <t>ENSMUST00000101638.3</t>
  </si>
  <si>
    <t>ENSMUST00000025694.6</t>
  </si>
  <si>
    <t>ENSMUST00000112508.2</t>
  </si>
  <si>
    <t>ENSMUST00000147153.1</t>
  </si>
  <si>
    <t>ENSMUST00000112511.3</t>
  </si>
  <si>
    <t>ENSMUST00000100337.3</t>
  </si>
  <si>
    <t>ENSMUST00000106128.2</t>
  </si>
  <si>
    <t>ENSMUST00000100924.3</t>
  </si>
  <si>
    <t>ENSMUST00000035076.4</t>
  </si>
  <si>
    <t>ENSMUST00000165205.1</t>
  </si>
  <si>
    <t>ENSMUST00000057427.4</t>
  </si>
  <si>
    <t>ENSMUST00000112514.1</t>
  </si>
  <si>
    <t>ENSMUST00000101185.3</t>
  </si>
  <si>
    <t>ENSMUST00000163338.1</t>
  </si>
  <si>
    <t>ENSMUST00000023248.6</t>
  </si>
  <si>
    <t>ENSMUST00000023246.3</t>
  </si>
  <si>
    <t>ENSMUST00000179345.2</t>
  </si>
  <si>
    <t>ENSMUST00000048880.6</t>
  </si>
  <si>
    <t>ENSMUST00000078193.4</t>
  </si>
  <si>
    <t>ENSMUST00000069477.1</t>
  </si>
  <si>
    <t>ENSMUST00000112559.1</t>
  </si>
  <si>
    <t>ENSMUST00000178950.1</t>
  </si>
  <si>
    <t>ENSMUST00000079867.4</t>
  </si>
  <si>
    <t>ENSMUST00000048675.1</t>
  </si>
  <si>
    <t>ENSMUST00000069556.3</t>
  </si>
  <si>
    <t>ENSMUST00000169540.1</t>
  </si>
  <si>
    <t>ENSMUST00000076986.3</t>
  </si>
  <si>
    <t>ENSMUST00000112562.1</t>
  </si>
  <si>
    <t>ENSMUST00000070141.6</t>
  </si>
  <si>
    <t>ENSMUST00000099471.2,ENSMUST00000072269.1</t>
  </si>
  <si>
    <t>ENSMUST00000101397.1</t>
  </si>
  <si>
    <t>ENSMUST00000096378.2</t>
  </si>
  <si>
    <t>ENSMUST00000113969.3</t>
  </si>
  <si>
    <t>ENSMUST00000101556.4</t>
  </si>
  <si>
    <t>ENSMUST00000094639.3</t>
  </si>
  <si>
    <t>ENSMUST00000042065.6</t>
  </si>
  <si>
    <t>ENSMUST00000061512.2</t>
  </si>
  <si>
    <t>ENSMUST00000115691.2</t>
  </si>
  <si>
    <t>ENSMUST00000072482.6</t>
  </si>
  <si>
    <t>ENSMUST00000035278.6</t>
  </si>
  <si>
    <t>ENSMUST00000167058.1</t>
  </si>
  <si>
    <t>ENSMUST00000112754.1</t>
  </si>
  <si>
    <t>ENSMUST00000089874.5</t>
  </si>
  <si>
    <t>ENSMUST00000095798.1</t>
  </si>
  <si>
    <t>ENSMUST00000113942.2</t>
  </si>
  <si>
    <t>ENSMUST00000030897.8</t>
  </si>
  <si>
    <t>ENSMUST00000032760.5</t>
  </si>
  <si>
    <t>ENSMUST00000107394.1</t>
  </si>
  <si>
    <t>ENSMUST00000109158.3</t>
  </si>
  <si>
    <t>ENSMUST00000068999.7</t>
  </si>
  <si>
    <t>ENSMUST00000109579.2</t>
  </si>
  <si>
    <t>ENSMUST00000047888.7</t>
  </si>
  <si>
    <t>ENSMUST00000033278.1</t>
  </si>
  <si>
    <t>ENSMUST00000111224.3</t>
  </si>
  <si>
    <t>ENSMUST00000023360.7</t>
  </si>
  <si>
    <t>ENSMUST00000159004.1</t>
  </si>
  <si>
    <t>ENSMUST00000119798.2</t>
  </si>
  <si>
    <t>ENSMUST00000172559.1</t>
  </si>
  <si>
    <t>ENSMUST00000176369.1</t>
  </si>
  <si>
    <t>ENSMUST00000087092.2</t>
  </si>
  <si>
    <t>ENSMUST00000073793.4</t>
  </si>
  <si>
    <t>ENSMUST00000094383.1</t>
  </si>
  <si>
    <t>ENSMUST00000094388.1</t>
  </si>
  <si>
    <t>ENSMUST00000094389.2</t>
  </si>
  <si>
    <t>ENSMUST00000056676.4</t>
  </si>
  <si>
    <t>ENSMUST00000062163.6</t>
  </si>
  <si>
    <t>ENSMUST00000075296.2</t>
  </si>
  <si>
    <t>ENSMUST00000179005.1</t>
  </si>
  <si>
    <t>ENSMUST00000146112.2</t>
  </si>
  <si>
    <t>ENSMUST00000166708.1</t>
  </si>
  <si>
    <t>ENSMUST00000168561.1</t>
  </si>
  <si>
    <t>ENSMUST00000071419.5</t>
  </si>
  <si>
    <t>ENSMUST00000110021.2</t>
  </si>
  <si>
    <t>ENSMUST00000184858.1</t>
  </si>
  <si>
    <t>ENSMUST00000106770.1</t>
  </si>
  <si>
    <t>ENSMUST00000021772.2</t>
  </si>
  <si>
    <t>ENSMUST00000050535.1</t>
  </si>
  <si>
    <t>ENSMUST00000047173.9</t>
  </si>
  <si>
    <t>ENSMUST00000005630.4</t>
  </si>
  <si>
    <t>ENSMUST00000044746.4,ENSMUST00000117463.1</t>
  </si>
  <si>
    <t>ENSMUST00000087563.6</t>
  </si>
  <si>
    <t>ENSMUST00000108901.1</t>
  </si>
  <si>
    <t>ENSMUST00000057920.6</t>
  </si>
  <si>
    <t>ENSMUST00000178108.1</t>
  </si>
  <si>
    <t>ENSMUST00000026590.8</t>
  </si>
  <si>
    <t>ENSMUST00000078842.7</t>
  </si>
  <si>
    <t>ENSMUST00000081777.6</t>
  </si>
  <si>
    <t>ENSMUST00000103012.3,ENSMUST00000107499.3</t>
  </si>
  <si>
    <t>ENSMUST00000098046.3</t>
  </si>
  <si>
    <t>ENSMUST00000098042.3,ENSMUST00000072678.5</t>
  </si>
  <si>
    <t>ENSMUST00000075206.5,ENSMUST00000071005.8</t>
  </si>
  <si>
    <t>ENSMUST00000095049.4</t>
  </si>
  <si>
    <t>ENSMUST00000107483.1,ENSMUST00000095051.5</t>
  </si>
  <si>
    <t>ENSMUST00000107484.1</t>
  </si>
  <si>
    <t>ENSMUST00000080606.2</t>
  </si>
  <si>
    <t>ENSMUST00000074700.2,ENSMUST00000107490.4</t>
  </si>
  <si>
    <t>ENSMUST00000163931.1,ENSMUST00000095058.4</t>
  </si>
  <si>
    <t>ENSMUST00000058404.3</t>
  </si>
  <si>
    <t>ENSMUST00000023538.8</t>
  </si>
  <si>
    <t>ENSMUST00000071880.2,ENSMUST00000081823.5,ENSMUST00000094135.2</t>
  </si>
  <si>
    <t>ENSMUST00000042103.8</t>
  </si>
  <si>
    <t>ENSMUST00000169347.1</t>
  </si>
  <si>
    <t>ENSMUST00000127779.2</t>
  </si>
  <si>
    <t>ENSMUST00000150655.2</t>
  </si>
  <si>
    <t>ENSMUST00000026677.3</t>
  </si>
  <si>
    <t>ENSMUST00000070514.3</t>
  </si>
  <si>
    <t>ENSMUST00000162660.1</t>
  </si>
  <si>
    <t>ENSMUST00000032719.7</t>
  </si>
  <si>
    <t>ENSMUST00000057974.3</t>
  </si>
  <si>
    <t>ENSMUST00000112583.1,ENSMUST00000094609.3</t>
  </si>
  <si>
    <t>ENSMUST00000161954.1</t>
  </si>
  <si>
    <t>ENSMUST00000169273.1</t>
  </si>
  <si>
    <t>ENSMUST00000028080.5</t>
  </si>
  <si>
    <t>ENSMUST00000163516.1</t>
  </si>
  <si>
    <t>ENSMUST00000112630.2</t>
  </si>
  <si>
    <t>ENSMUST00000077440.6</t>
  </si>
  <si>
    <t>ENSMUST00000152855.1</t>
  </si>
  <si>
    <t>ENSMUST00000178142.1</t>
  </si>
  <si>
    <t>ENSMUST00000108308.3,ENSMUST00000075054.4</t>
  </si>
  <si>
    <t>ENSMUST00000076470.3</t>
  </si>
  <si>
    <t>ENSMUST00000067621.7</t>
  </si>
  <si>
    <t>ENSMUST00000108387.2,ENSMUST00000071780.3</t>
  </si>
  <si>
    <t>ENSMUST00000122040.1</t>
  </si>
  <si>
    <t>ENSMUST00000073151.6</t>
  </si>
  <si>
    <t>ENSMUST00000085944.5</t>
  </si>
  <si>
    <t>ENSMUST00000027440.3</t>
  </si>
  <si>
    <t>ENSMUST00000179543.1,ENSMUST00000179886.1</t>
  </si>
  <si>
    <t>ENSMUST00000115800.1</t>
  </si>
  <si>
    <t>ENSMUST00000021423.7</t>
  </si>
  <si>
    <t>ENSMUST00000075773.2</t>
  </si>
  <si>
    <t>ENSMUST00000073884.4</t>
  </si>
  <si>
    <t>ENSMUST00000137166.1</t>
  </si>
  <si>
    <t>ENSMUST00000163134.1</t>
  </si>
  <si>
    <t>ENSMUST00000115237.1</t>
  </si>
  <si>
    <t>ENSMUST00000103006.3</t>
  </si>
  <si>
    <t>ENSMUST00000084852.5</t>
  </si>
  <si>
    <t>ENSMUST00000021647.7,ENSMUST00000129335.1</t>
  </si>
  <si>
    <t>ENSMUST00000095978.3</t>
  </si>
  <si>
    <t>ENSMUST00000093853.4</t>
  </si>
  <si>
    <t>ENSMUST00000044224.4</t>
  </si>
  <si>
    <t>ENSMUST00000100785.3</t>
  </si>
  <si>
    <t>ENSMUST00000067288.8</t>
  </si>
  <si>
    <t>ENSMUST00000172463.1,ENSMUST00000173443.1</t>
  </si>
  <si>
    <t>ENSMUST00000172881.1</t>
  </si>
  <si>
    <t>ENSMUST00000181001.1</t>
  </si>
  <si>
    <t>ENSMUST00000036575.9</t>
  </si>
  <si>
    <t>ENSMUST00000172478.2</t>
  </si>
  <si>
    <t>ENSMUST00000174076.1,ENSMUST00000174305.1</t>
  </si>
  <si>
    <t>ENSMUST00000086122.3,ENSMUST00000174443.1</t>
  </si>
  <si>
    <t>ENSMUST00000095217.4</t>
  </si>
  <si>
    <t>ENSMUST00000173912.1</t>
  </si>
  <si>
    <t>ENSMUST00000108513.3</t>
  </si>
  <si>
    <t>ENSMUST00000088198.3</t>
  </si>
  <si>
    <t>ENSMUST00000054635.7</t>
  </si>
  <si>
    <t>ENSMUST00000120303.1</t>
  </si>
  <si>
    <t>ENSMUST00000074358.2</t>
  </si>
  <si>
    <t>ENSMUST00000099921.1</t>
  </si>
  <si>
    <t>ENSMUST00000099920.1</t>
  </si>
  <si>
    <t>ENSMUST00000099919.2</t>
  </si>
  <si>
    <t>ENSMUST00000054868.1</t>
  </si>
  <si>
    <t>ENSMUST00000055517.2</t>
  </si>
  <si>
    <t>ENSMUST00000058046.5</t>
  </si>
  <si>
    <t>ENSMUST00000099916.1</t>
  </si>
  <si>
    <t>ENSMUST00000065626.2</t>
  </si>
  <si>
    <t>ENSMUST00000076250.1</t>
  </si>
  <si>
    <t>ENSMUST00000047870.3</t>
  </si>
  <si>
    <t>ENSMUST00000099915.1</t>
  </si>
  <si>
    <t>ENSMUST00000054201.2</t>
  </si>
  <si>
    <t>ENSMUST00000102634.1</t>
  </si>
  <si>
    <t>ENSMUST00000169373.1</t>
  </si>
  <si>
    <t>ENSMUST00000055840.4</t>
  </si>
  <si>
    <t>ENSMUST00000054736.3</t>
  </si>
  <si>
    <t>ENSMUST00000056408.1</t>
  </si>
  <si>
    <t>ENSMUST00000099912.1</t>
  </si>
  <si>
    <t>ENSMUST00000077055.2</t>
  </si>
  <si>
    <t>ENSMUST00000056718.3</t>
  </si>
  <si>
    <t>ENSMUST00000080698.1</t>
  </si>
  <si>
    <t>ENSMUST00000082191.2</t>
  </si>
  <si>
    <t>ENSMUST00000058826.4</t>
  </si>
  <si>
    <t>ENSMUST00000173472.1</t>
  </si>
  <si>
    <t>ENSMUST00000056849.1</t>
  </si>
  <si>
    <t>ENSMUST00000170610.1</t>
  </si>
  <si>
    <t>ENSMUST00000050942.2</t>
  </si>
  <si>
    <t>ENSMUST00000062166.1</t>
  </si>
  <si>
    <t>ENSMUST00000079298.2</t>
  </si>
  <si>
    <t>ENSMUST00000164985.1</t>
  </si>
  <si>
    <t>ENSMUST00000099911.2</t>
  </si>
  <si>
    <t>ENSMUST00000099910.1</t>
  </si>
  <si>
    <t>ENSMUST00000099909.1</t>
  </si>
  <si>
    <t>ENSMUST00000099908.2</t>
  </si>
  <si>
    <t>ENSMUST00000099907.1</t>
  </si>
  <si>
    <t>ENSMUST00000099906.1</t>
  </si>
  <si>
    <t>ENSMUST00000099904.1</t>
  </si>
  <si>
    <t>ENSMUST00000099902.1</t>
  </si>
  <si>
    <t>ENSMUST00000099901.1</t>
  </si>
  <si>
    <t>ENSMUST00000099900.1</t>
  </si>
  <si>
    <t>ENSMUST00000099899.1</t>
  </si>
  <si>
    <t>ENSMUST00000099898.1</t>
  </si>
  <si>
    <t>ENSMUST00000054746.2</t>
  </si>
  <si>
    <t>ENSMUST00000099897.3</t>
  </si>
  <si>
    <t>ENSMUST00000099895.1</t>
  </si>
  <si>
    <t>ENSMUST00000099894.2</t>
  </si>
  <si>
    <t>ENSMUST00000099893.2</t>
  </si>
  <si>
    <t>ENSMUST00000099892.1</t>
  </si>
  <si>
    <t>ENSMUST00000102631.1</t>
  </si>
  <si>
    <t>ENSMUST00000099889.1</t>
  </si>
  <si>
    <t>ENSMUST00000105213.2</t>
  </si>
  <si>
    <t>ENSMUST00000099886.2</t>
  </si>
  <si>
    <t>ENSMUST00000099885.1</t>
  </si>
  <si>
    <t>ENSMUST00000077008.3</t>
  </si>
  <si>
    <t>ENSMUST00000076263.1</t>
  </si>
  <si>
    <t>ENSMUST00000099882.1</t>
  </si>
  <si>
    <t>ENSMUST00000111582.1</t>
  </si>
  <si>
    <t>ENSMUST00000078207.3</t>
  </si>
  <si>
    <t>ENSMUST00000099881.1</t>
  </si>
  <si>
    <t>ENSMUST00000111580.1</t>
  </si>
  <si>
    <t>ENSMUST00000111578.1</t>
  </si>
  <si>
    <t>ENSMUST00000111579.1</t>
  </si>
  <si>
    <t>ENSMUST00000099880.2</t>
  </si>
  <si>
    <t>ENSMUST00000099879.1</t>
  </si>
  <si>
    <t>ENSMUST00000099878.1</t>
  </si>
  <si>
    <t>ENSMUST00000099877.1</t>
  </si>
  <si>
    <t>ENSMUST00000099876.1</t>
  </si>
  <si>
    <t>ENSMUST00000031086.4</t>
  </si>
  <si>
    <t>ENSMUST00000099875.1</t>
  </si>
  <si>
    <t>ENSMUST00000055273.1</t>
  </si>
  <si>
    <t>ENSMUST00000105211.1</t>
  </si>
  <si>
    <t>ENSMUST00000099874.1</t>
  </si>
  <si>
    <t>ENSMUST00000111576.1</t>
  </si>
  <si>
    <t>ENSMUST00000099872.3</t>
  </si>
  <si>
    <t>ENSMUST00000111574.1</t>
  </si>
  <si>
    <t>ENSMUST00000099871.2</t>
  </si>
  <si>
    <t>ENSMUST00000043081.2</t>
  </si>
  <si>
    <t>ENSMUST00000094913.3</t>
  </si>
  <si>
    <t>ENSMUST00000099870.1</t>
  </si>
  <si>
    <t>ENSMUST00000055129.3</t>
  </si>
  <si>
    <t>ENSMUST00000099869.1</t>
  </si>
  <si>
    <t>ENSMUST00000099868.1</t>
  </si>
  <si>
    <t>ENSMUST00000099867.1</t>
  </si>
  <si>
    <t>ENSMUST00000099865.3</t>
  </si>
  <si>
    <t>ENSMUST00000099863.1</t>
  </si>
  <si>
    <t>ENSMUST00000097325.3</t>
  </si>
  <si>
    <t>ENSMUST00000099861.1</t>
  </si>
  <si>
    <t>ENSMUST00000099860.2</t>
  </si>
  <si>
    <t>ENSMUST00000053050.1</t>
  </si>
  <si>
    <t>ENSMUST00000079966.3</t>
  </si>
  <si>
    <t>ENSMUST00000081986.2</t>
  </si>
  <si>
    <t>ENSMUST00000090717.2</t>
  </si>
  <si>
    <t>ENSMUST00000058737.2</t>
  </si>
  <si>
    <t>ENSMUST00000062555.1</t>
  </si>
  <si>
    <t>ENSMUST00000056435.2</t>
  </si>
  <si>
    <t>ENSMUST00000054974.1</t>
  </si>
  <si>
    <t>ENSMUST00000062494.1</t>
  </si>
  <si>
    <t>ENSMUST00000071355.1</t>
  </si>
  <si>
    <t>ENSMUST00000102624.1</t>
  </si>
  <si>
    <t>ENSMUST00000081034.1</t>
  </si>
  <si>
    <t>ENSMUST00000079711.1</t>
  </si>
  <si>
    <t>ENSMUST00000170274.1</t>
  </si>
  <si>
    <t>ENSMUST00000090712.1</t>
  </si>
  <si>
    <t>ENSMUST00000090711.2</t>
  </si>
  <si>
    <t>ENSMUST00000099855.1</t>
  </si>
  <si>
    <t>ENSMUST00000099854.1</t>
  </si>
  <si>
    <t>ENSMUST00000099857.3</t>
  </si>
  <si>
    <t>ENSMUST00000099853.1</t>
  </si>
  <si>
    <t>ENSMUST00000099852.3</t>
  </si>
  <si>
    <t>ENSMUST00000099850.1</t>
  </si>
  <si>
    <t>ENSMUST00000099848.1</t>
  </si>
  <si>
    <t>ENSMUST00000076914.3</t>
  </si>
  <si>
    <t>ENSMUST00000111568.1</t>
  </si>
  <si>
    <t>ENSMUST00000099846.1</t>
  </si>
  <si>
    <t>ENSMUST00000090708.1</t>
  </si>
  <si>
    <t>ENSMUST00000090707.1</t>
  </si>
  <si>
    <t>ENSMUST00000077580.1</t>
  </si>
  <si>
    <t>ENSMUST00000061081.1</t>
  </si>
  <si>
    <t>ENSMUST00000051058.2</t>
  </si>
  <si>
    <t>ENSMUST00000052300.1</t>
  </si>
  <si>
    <t>ENSMUST00000099844.1</t>
  </si>
  <si>
    <t>ENSMUST00000099843.1</t>
  </si>
  <si>
    <t>ENSMUST00000099842.3</t>
  </si>
  <si>
    <t>ENSMUST00000099841.1</t>
  </si>
  <si>
    <t>ENSMUST00000171787.1</t>
  </si>
  <si>
    <t>ENSMUST00000102622.1</t>
  </si>
  <si>
    <t>ENSMUST00000072265.2</t>
  </si>
  <si>
    <t>ENSMUST00000099839.1</t>
  </si>
  <si>
    <t>ENSMUST00000054845.3</t>
  </si>
  <si>
    <t>ENSMUST00000099837.1</t>
  </si>
  <si>
    <t>ENSMUST00000183862.1</t>
  </si>
  <si>
    <t>ENSMUST00000099835.2</t>
  </si>
  <si>
    <t>ENSMUST00000099834.2</t>
  </si>
  <si>
    <t>ENSMUST00000099833.2</t>
  </si>
  <si>
    <t>ENSMUST00000099832.2</t>
  </si>
  <si>
    <t>ENSMUST00000079599.3</t>
  </si>
  <si>
    <t>ENSMUST00000073636.2</t>
  </si>
  <si>
    <t>ENSMUST00000099831.1</t>
  </si>
  <si>
    <t>ENSMUST00000099830.1</t>
  </si>
  <si>
    <t>ENSMUST00000057439.2</t>
  </si>
  <si>
    <t>ENSMUST00000075640.1</t>
  </si>
  <si>
    <t>ENSMUST00000099825.1</t>
  </si>
  <si>
    <t>ENSMUST00000122036.1</t>
  </si>
  <si>
    <t>ENSMUST00000099824.2</t>
  </si>
  <si>
    <t>ENSMUST00000099823.1</t>
  </si>
  <si>
    <t>ENSMUST00000102619.1</t>
  </si>
  <si>
    <t>ENSMUST00000179450.1</t>
  </si>
  <si>
    <t>ENSMUST00000102618.1</t>
  </si>
  <si>
    <t>ENSMUST00000050038.1</t>
  </si>
  <si>
    <t>ENSMUST00000075025.3</t>
  </si>
  <si>
    <t>ENSMUST00000177576.1</t>
  </si>
  <si>
    <t>ENSMUST00000090701.2</t>
  </si>
  <si>
    <t>ENSMUST00000090700.1</t>
  </si>
  <si>
    <t>ENSMUST00000080483.6</t>
  </si>
  <si>
    <t>ENSMUST00000081697.1</t>
  </si>
  <si>
    <t>ENSMUST00000099818.1</t>
  </si>
  <si>
    <t>ENSMUST00000104892.1</t>
  </si>
  <si>
    <t>ENSMUST00000099815.1</t>
  </si>
  <si>
    <t>ENSMUST00000099814.1</t>
  </si>
  <si>
    <t>ENSMUST00000099813.1</t>
  </si>
  <si>
    <t>ENSMUST00000081274.3</t>
  </si>
  <si>
    <t>ENSMUST00000077498.3</t>
  </si>
  <si>
    <t>ENSMUST00000099811.1</t>
  </si>
  <si>
    <t>ENSMUST00000073458.1</t>
  </si>
  <si>
    <t>ENSMUST00000072057.1</t>
  </si>
  <si>
    <t>ENSMUST00000078631.1</t>
  </si>
  <si>
    <t>ENSMUST00000076438.1</t>
  </si>
  <si>
    <t>ENSMUST00000077302.1</t>
  </si>
  <si>
    <t>ENSMUST00000099810.2</t>
  </si>
  <si>
    <t>ENSMUST00000099809.1</t>
  </si>
  <si>
    <t>ENSMUST00000074555.6</t>
  </si>
  <si>
    <t>ENSMUST00000099808.1</t>
  </si>
  <si>
    <t>ENSMUST00000055895.2</t>
  </si>
  <si>
    <t>ENSMUST00000099806.1</t>
  </si>
  <si>
    <t>ENSMUST00000168169.1</t>
  </si>
  <si>
    <t>ENSMUST00000099804.1</t>
  </si>
  <si>
    <t>ENSMUST00000099802.2</t>
  </si>
  <si>
    <t>ENSMUST00000099800.1</t>
  </si>
  <si>
    <t>ENSMUST00000099799.2</t>
  </si>
  <si>
    <t>ENSMUST00000099798.1</t>
  </si>
  <si>
    <t>ENSMUST00000099797.1</t>
  </si>
  <si>
    <t>ENSMUST00000119082.1</t>
  </si>
  <si>
    <t>ENSMUST00000099796.2</t>
  </si>
  <si>
    <t>ENSMUST00000099795.1</t>
  </si>
  <si>
    <t>ENSMUST00000099794.1</t>
  </si>
  <si>
    <t>ENSMUST00000099793.1</t>
  </si>
  <si>
    <t>ENSMUST00000111554.1</t>
  </si>
  <si>
    <t>ENSMUST00000099792.1</t>
  </si>
  <si>
    <t>ENSMUST00000099791.2</t>
  </si>
  <si>
    <t>ENSMUST00000099790.1</t>
  </si>
  <si>
    <t>ENSMUST00000099789.2</t>
  </si>
  <si>
    <t>ENSMUST00000099788.2</t>
  </si>
  <si>
    <t>ENSMUST00000054748.4</t>
  </si>
  <si>
    <t>ENSMUST00000099787.1</t>
  </si>
  <si>
    <t>ENSMUST00000099786.1</t>
  </si>
  <si>
    <t>ENSMUST00000099785.1</t>
  </si>
  <si>
    <t>ENSMUST00000099784.2</t>
  </si>
  <si>
    <t>ENSMUST00000099783.1</t>
  </si>
  <si>
    <t>ENSMUST00000111543.1</t>
  </si>
  <si>
    <t>ENSMUST00000099781.2</t>
  </si>
  <si>
    <t>ENSMUST00000099780.1</t>
  </si>
  <si>
    <t>ENSMUST00000053599.4</t>
  </si>
  <si>
    <t>ENSMUST00000099779.2</t>
  </si>
  <si>
    <t>ENSMUST00000099778.1</t>
  </si>
  <si>
    <t>ENSMUST00000099777.2</t>
  </si>
  <si>
    <t>ENSMUST00000111540.1</t>
  </si>
  <si>
    <t>ENSMUST00000099775.1</t>
  </si>
  <si>
    <t>ENSMUST00000099773.2</t>
  </si>
  <si>
    <t>ENSMUST00000099772.2</t>
  </si>
  <si>
    <t>ENSMUST00000099771.1</t>
  </si>
  <si>
    <t>ENSMUST00000111532.1</t>
  </si>
  <si>
    <t>ENSMUST00000099770.2</t>
  </si>
  <si>
    <t>ENSMUST00000099769.1</t>
  </si>
  <si>
    <t>ENSMUST00000050255.4</t>
  </si>
  <si>
    <t>ENSMUST00000099768.2</t>
  </si>
  <si>
    <t>ENSMUST00000111527.1</t>
  </si>
  <si>
    <t>ENSMUST00000099767.2</t>
  </si>
  <si>
    <t>ENSMUST00000099766.2</t>
  </si>
  <si>
    <t>ENSMUST00000099765.1</t>
  </si>
  <si>
    <t>ENSMUST00000099764.1</t>
  </si>
  <si>
    <t>ENSMUST00000111523.1</t>
  </si>
  <si>
    <t>ENSMUST00000057369.1</t>
  </si>
  <si>
    <t>ENSMUST00000099763.1</t>
  </si>
  <si>
    <t>ENSMUST00000111520.1</t>
  </si>
  <si>
    <t>ENSMUST00000060795.2</t>
  </si>
  <si>
    <t>ENSMUST00000111519.1</t>
  </si>
  <si>
    <t>ENSMUST00000102609.1</t>
  </si>
  <si>
    <t>ENSMUST00000111516.1</t>
  </si>
  <si>
    <t>ENSMUST00000090695.2</t>
  </si>
  <si>
    <t>ENSMUST00000076936.2</t>
  </si>
  <si>
    <t>ENSMUST00000061830.1</t>
  </si>
  <si>
    <t>ENSMUST00000111512.1</t>
  </si>
  <si>
    <t>ENSMUST00000077785.3</t>
  </si>
  <si>
    <t>ENSMUST00000111509.1</t>
  </si>
  <si>
    <t>ENSMUST00000061701.3</t>
  </si>
  <si>
    <t>ENSMUST00000111508.1</t>
  </si>
  <si>
    <t>ENSMUST00000111507.1</t>
  </si>
  <si>
    <t>ENSMUST00000099758.1</t>
  </si>
  <si>
    <t>ENSMUST00000080311.1</t>
  </si>
  <si>
    <t>ENSMUST00000099756.2</t>
  </si>
  <si>
    <t>ENSMUST00000076331.2</t>
  </si>
  <si>
    <t>ENSMUST00000099754.2</t>
  </si>
  <si>
    <t>ENSMUST00000099751.1</t>
  </si>
  <si>
    <t>ENSMUST00000099750.1</t>
  </si>
  <si>
    <t>ENSMUST00000099620.2</t>
  </si>
  <si>
    <t>ENSMUST00000073322.1</t>
  </si>
  <si>
    <t>ENSMUST00000099619.2</t>
  </si>
  <si>
    <t>ENSMUST00000090330.1</t>
  </si>
  <si>
    <t>ENSMUST00000090329.1</t>
  </si>
  <si>
    <t>ENSMUST00000080231.2</t>
  </si>
  <si>
    <t>ENSMUST00000090328.2</t>
  </si>
  <si>
    <t>ENSMUST00000090326.1</t>
  </si>
  <si>
    <t>ENSMUST00000099618.1</t>
  </si>
  <si>
    <t>ENSMUST00000082167.2</t>
  </si>
  <si>
    <t>ENSMUST00000062407.2</t>
  </si>
  <si>
    <t>ENSMUST00000099617.1</t>
  </si>
  <si>
    <t>ENSMUST00000075390.1</t>
  </si>
  <si>
    <t>ENSMUST00000104889.1</t>
  </si>
  <si>
    <t>ENSMUST00000102551.2</t>
  </si>
  <si>
    <t>ENSMUST00000122318.2</t>
  </si>
  <si>
    <t>ENSMUST00000099616.1</t>
  </si>
  <si>
    <t>ENSMUST00000099614.2</t>
  </si>
  <si>
    <t>ENSMUST00000099613.2</t>
  </si>
  <si>
    <t>ENSMUST00000099612.1</t>
  </si>
  <si>
    <t>ENSMUST00000090322.4</t>
  </si>
  <si>
    <t>ENSMUST00000099610.2</t>
  </si>
  <si>
    <t>ENSMUST00000111004.1</t>
  </si>
  <si>
    <t>ENSMUST00000059512.4</t>
  </si>
  <si>
    <t>ENSMUST00000087129.2</t>
  </si>
  <si>
    <t>ENSMUST00000080094.1</t>
  </si>
  <si>
    <t>ENSMUST00000054004.1</t>
  </si>
  <si>
    <t>ENSMUST00000099609.1</t>
  </si>
  <si>
    <t>ENSMUST00000099608.1</t>
  </si>
  <si>
    <t>ENSMUST00000099607.1</t>
  </si>
  <si>
    <t>ENSMUST00000099606.1</t>
  </si>
  <si>
    <t>ENSMUST00000099605.1</t>
  </si>
  <si>
    <t>ENSMUST00000099604.2</t>
  </si>
  <si>
    <t>ENSMUST00000059560.4</t>
  </si>
  <si>
    <t>ENSMUST00000172933.1</t>
  </si>
  <si>
    <t>ENSMUST00000099602.2</t>
  </si>
  <si>
    <t>ENSMUST00000099601.2</t>
  </si>
  <si>
    <t>ENSMUST00000099600.1</t>
  </si>
  <si>
    <t>ENSMUST00000099599.2</t>
  </si>
  <si>
    <t>ENSMUST00000099598.1</t>
  </si>
  <si>
    <t>ENSMUST00000099596.1</t>
  </si>
  <si>
    <t>ENSMUST00000060098.1</t>
  </si>
  <si>
    <t>ENSMUST00000058176.4</t>
  </si>
  <si>
    <t>ENSMUST00000087128.1</t>
  </si>
  <si>
    <t>ENSMUST00000096449.1</t>
  </si>
  <si>
    <t>ENSMUST00000088876.2</t>
  </si>
  <si>
    <t>ENSMUST00000070304.2</t>
  </si>
  <si>
    <t>ENSMUST00000057071.1</t>
  </si>
  <si>
    <t>ENSMUST00000050044.2</t>
  </si>
  <si>
    <t>ENSMUST00000054541.2</t>
  </si>
  <si>
    <t>ENSMUST00000059880.4</t>
  </si>
  <si>
    <t>ENSMUST00000081960.2</t>
  </si>
  <si>
    <t>ENSMUST00000071979.1</t>
  </si>
  <si>
    <t>ENSMUST00000113636.1</t>
  </si>
  <si>
    <t>ENSMUST00000094830.1</t>
  </si>
  <si>
    <t>ENSMUST00000094831.1</t>
  </si>
  <si>
    <t>ENSMUST00000106360.1</t>
  </si>
  <si>
    <t>ENSMUST00000076019.2</t>
  </si>
  <si>
    <t>ENSMUST00000106361.1</t>
  </si>
  <si>
    <t>ENSMUST00000105035.1</t>
  </si>
  <si>
    <t>ENSMUST00000056120.4</t>
  </si>
  <si>
    <t>ENSMUST00000077247.1</t>
  </si>
  <si>
    <t>ENSMUST00000084315.3</t>
  </si>
  <si>
    <t>ENSMUST00000094832.1</t>
  </si>
  <si>
    <t>ENSMUST00000074883.1</t>
  </si>
  <si>
    <t>ENSMUST00000094834.3</t>
  </si>
  <si>
    <t>ENSMUST00000061215.5</t>
  </si>
  <si>
    <t>ENSMUST00000060562.3</t>
  </si>
  <si>
    <t>ENSMUST00000056144.5</t>
  </si>
  <si>
    <t>ENSMUST00000036357.6</t>
  </si>
  <si>
    <t>ENSMUST00000086319.4</t>
  </si>
  <si>
    <t>ENSMUST00000051982.5</t>
  </si>
  <si>
    <t>ENSMUST00000076245.2</t>
  </si>
  <si>
    <t>ENSMUST00000070985.3</t>
  </si>
  <si>
    <t>ENSMUST00000080730.1</t>
  </si>
  <si>
    <t>ENSMUST00000058991.3</t>
  </si>
  <si>
    <t>ENSMUST00000039718.5</t>
  </si>
  <si>
    <t>ENSMUST00000075859.4</t>
  </si>
  <si>
    <t>ENSMUST00000078414.6</t>
  </si>
  <si>
    <t>ENSMUST00000061289.6</t>
  </si>
  <si>
    <t>ENSMUST00000095473.2</t>
  </si>
  <si>
    <t>ENSMUST00000079135.2</t>
  </si>
  <si>
    <t>ENSMUST00000077203.2</t>
  </si>
  <si>
    <t>ENSMUST00000077843.3</t>
  </si>
  <si>
    <t>ENSMUST00000055615.1</t>
  </si>
  <si>
    <t>ENSMUST00000051874.2</t>
  </si>
  <si>
    <t>ENSMUST00000057453.1</t>
  </si>
  <si>
    <t>ENSMUST00000168629.1</t>
  </si>
  <si>
    <t>ENSMUST00000059216.2</t>
  </si>
  <si>
    <t>ENSMUST00000055298.4</t>
  </si>
  <si>
    <t>ENSMUST00000079050.2</t>
  </si>
  <si>
    <t>ENSMUST00000057394.5</t>
  </si>
  <si>
    <t>ENSMUST00000058168.1</t>
  </si>
  <si>
    <t>ENSMUST00000075844.3</t>
  </si>
  <si>
    <t>ENSMUST00000078264.1</t>
  </si>
  <si>
    <t>ENSMUST00000075177.2</t>
  </si>
  <si>
    <t>ENSMUST00000052285.1</t>
  </si>
  <si>
    <t>ENSMUST00000071871.4</t>
  </si>
  <si>
    <t>ENSMUST00000172843.1</t>
  </si>
  <si>
    <t>ENSMUST00000071426.4</t>
  </si>
  <si>
    <t>ENSMUST00000167248.2</t>
  </si>
  <si>
    <t>ENSMUST00000074543.1</t>
  </si>
  <si>
    <t>ENSMUST00000077143.4</t>
  </si>
  <si>
    <t>ENSMUST00000060434.2</t>
  </si>
  <si>
    <t>ENSMUST00000071807.1</t>
  </si>
  <si>
    <t>ENSMUST00000071905.2</t>
  </si>
  <si>
    <t>ENSMUST00000073824.1</t>
  </si>
  <si>
    <t>ENSMUST00000055584.1</t>
  </si>
  <si>
    <t>ENSMUST00000052274.2</t>
  </si>
  <si>
    <t>ENSMUST00000050678.1</t>
  </si>
  <si>
    <t>ENSMUST00000062719.1</t>
  </si>
  <si>
    <t>ENSMUST00000053387.2</t>
  </si>
  <si>
    <t>ENSMUST00000054866.3</t>
  </si>
  <si>
    <t>ENSMUST00000078932.1</t>
  </si>
  <si>
    <t>ENSMUST00000052668.1</t>
  </si>
  <si>
    <t>ENSMUST00000059379.1</t>
  </si>
  <si>
    <t>ENSMUST00000099757.1</t>
  </si>
  <si>
    <t>ENSMUST00000111506.1</t>
  </si>
  <si>
    <t>ENSMUST00000060912.3</t>
  </si>
  <si>
    <t>ENSMUST00000056592.2</t>
  </si>
  <si>
    <t>ENSMUST00000072395.2</t>
  </si>
  <si>
    <t>ENSMUST00000073663.2</t>
  </si>
  <si>
    <t>ENSMUST00000105212.1</t>
  </si>
  <si>
    <t>ENSMUST00000079790.4</t>
  </si>
  <si>
    <t>ENSMUST00000073748.1</t>
  </si>
  <si>
    <t>ENSMUST00000062964.2</t>
  </si>
  <si>
    <t>ENSMUST00000074859.2</t>
  </si>
  <si>
    <t>ENSMUST00000062353.4</t>
  </si>
  <si>
    <t>ENSMUST00000071521.2</t>
  </si>
  <si>
    <t>ENSMUST00000086837.1</t>
  </si>
  <si>
    <t>ENSMUST00000061235.2</t>
  </si>
  <si>
    <t>ENSMUST00000079875.3</t>
  </si>
  <si>
    <t>ENSMUST00000087857.2</t>
  </si>
  <si>
    <t>ENSMUST00000099752.1</t>
  </si>
  <si>
    <t>ENSMUST00000072784.2</t>
  </si>
  <si>
    <t>ENSMUST00000087831.1</t>
  </si>
  <si>
    <t>ENSMUST00000087830.1</t>
  </si>
  <si>
    <t>ENSMUST00000087828.1</t>
  </si>
  <si>
    <t>ENSMUST00000112952.1</t>
  </si>
  <si>
    <t>ENSMUST00000087825.2</t>
  </si>
  <si>
    <t>ENSMUST00000087824.1</t>
  </si>
  <si>
    <t>ENSMUST00000093865.2</t>
  </si>
  <si>
    <t>ENSMUST00000072316.4</t>
  </si>
  <si>
    <t>ENSMUST00000087814.3</t>
  </si>
  <si>
    <t>ENSMUST00000087812.1</t>
  </si>
  <si>
    <t>ENSMUST00000052558.2</t>
  </si>
  <si>
    <t>ENSMUST00000054567.1</t>
  </si>
  <si>
    <t>ENSMUST00000059033.4</t>
  </si>
  <si>
    <t>ENSMUST00000057924.2</t>
  </si>
  <si>
    <t>ENSMUST00000049724.6</t>
  </si>
  <si>
    <t>ENSMUST00000059675.2</t>
  </si>
  <si>
    <t>ENSMUST00000049624.2</t>
  </si>
  <si>
    <t>ENSMUST00000081236.2</t>
  </si>
  <si>
    <t>ENSMUST00000071484.2</t>
  </si>
  <si>
    <t>ENSMUST00000054737.2</t>
  </si>
  <si>
    <t>ENSMUST00000056005.2</t>
  </si>
  <si>
    <t>ENSMUST00000086062.2</t>
  </si>
  <si>
    <t>ENSMUST00000082006.1</t>
  </si>
  <si>
    <t>ENSMUST00000063144.1</t>
  </si>
  <si>
    <t>ENSMUST00000087773.1</t>
  </si>
  <si>
    <t>ENSMUST00000073732.2</t>
  </si>
  <si>
    <t>ENSMUST00000075170.2</t>
  </si>
  <si>
    <t>ENSMUST00000076729.3</t>
  </si>
  <si>
    <t>ENSMUST00000078299.3</t>
  </si>
  <si>
    <t>ENSMUST00000073671.2</t>
  </si>
  <si>
    <t>ENSMUST00000053772.3</t>
  </si>
  <si>
    <t>ENSMUST00000076832.2</t>
  </si>
  <si>
    <t>ENSMUST00000064102.1</t>
  </si>
  <si>
    <t>ENSMUST00000080142.1</t>
  </si>
  <si>
    <t>ENSMUST00000075868.1</t>
  </si>
  <si>
    <t>ENSMUST00000054687.2</t>
  </si>
  <si>
    <t>ENSMUST00000077538.1</t>
  </si>
  <si>
    <t>ENSMUST00000056364.2</t>
  </si>
  <si>
    <t>ENSMUST00000096203.1</t>
  </si>
  <si>
    <t>ENSMUST00000077501.2</t>
  </si>
  <si>
    <t>ENSMUST00000096202.1</t>
  </si>
  <si>
    <t>ENSMUST00000080801.1</t>
  </si>
  <si>
    <t>ENSMUST00000096201.2</t>
  </si>
  <si>
    <t>ENSMUST00000050807.6</t>
  </si>
  <si>
    <t>ENSMUST00000072219.1</t>
  </si>
  <si>
    <t>ENSMUST00000074180.1</t>
  </si>
  <si>
    <t>ENSMUST00000076856.1</t>
  </si>
  <si>
    <t>ENSMUST00000053113.3</t>
  </si>
  <si>
    <t>ENSMUST00000082027.2</t>
  </si>
  <si>
    <t>ENSMUST00000080162.1</t>
  </si>
  <si>
    <t>ENSMUST00000052737.1</t>
  </si>
  <si>
    <t>ENSMUST00000051768.3</t>
  </si>
  <si>
    <t>ENSMUST00000061669.2</t>
  </si>
  <si>
    <t>ENSMUST00000057390.3</t>
  </si>
  <si>
    <t>ENSMUST00000061993.2</t>
  </si>
  <si>
    <t>ENSMUST00000055672.3</t>
  </si>
  <si>
    <t>ENSMUST00000080917.1</t>
  </si>
  <si>
    <t>ENSMUST00000078557.1</t>
  </si>
  <si>
    <t>ENSMUST00000067670.2</t>
  </si>
  <si>
    <t>ENSMUST00000073966.1</t>
  </si>
  <si>
    <t>ENSMUST00000074221.1</t>
  </si>
  <si>
    <t>ENSMUST00000078282.2</t>
  </si>
  <si>
    <t>ENSMUST00000081520.2</t>
  </si>
  <si>
    <t>ENSMUST00000111504.1</t>
  </si>
  <si>
    <t>ENSMUST00000073571.3</t>
  </si>
  <si>
    <t>ENSMUST00000111542.1</t>
  </si>
  <si>
    <t>ENSMUST00000045066.2</t>
  </si>
  <si>
    <t>ENSMUST00000079459.2</t>
  </si>
  <si>
    <t>ENSMUST00000078171.1</t>
  </si>
  <si>
    <t>ENSMUST00000071221.1</t>
  </si>
  <si>
    <t>ENSMUST00000089739.1</t>
  </si>
  <si>
    <t>ENSMUST00000090709.1,ENSMUST00000105210.1</t>
  </si>
  <si>
    <t>ENSMUST00000077471.2</t>
  </si>
  <si>
    <t>ENSMUST00000098140.1</t>
  </si>
  <si>
    <t>ENSMUST00000068163.1</t>
  </si>
  <si>
    <t>ENSMUST00000073248.1</t>
  </si>
  <si>
    <t>ENSMUST00000099918.2</t>
  </si>
  <si>
    <t>ENSMUST00000095108.1</t>
  </si>
  <si>
    <t>ENSMUST00000107860.1</t>
  </si>
  <si>
    <t>ENSMUST00000079465.2</t>
  </si>
  <si>
    <t>ENSMUST00000079234.2</t>
  </si>
  <si>
    <t>ENSMUST00000053931.1</t>
  </si>
  <si>
    <t>ENSMUST00000038432.4</t>
  </si>
  <si>
    <t>ENSMUST00000104875.1</t>
  </si>
  <si>
    <t>ENSMUST00000061541.1</t>
  </si>
  <si>
    <t>ENSMUST00000056727.4</t>
  </si>
  <si>
    <t>ENSMUST00000052516.4</t>
  </si>
  <si>
    <t>ENSMUST00000074739.2</t>
  </si>
  <si>
    <t>ENSMUST00000054606.1</t>
  </si>
  <si>
    <t>ENSMUST00000078554.1</t>
  </si>
  <si>
    <t>ENSMUST00000090062.1</t>
  </si>
  <si>
    <t>ENSMUST00000098138.2</t>
  </si>
  <si>
    <t>ENSMUST00000078603.2</t>
  </si>
  <si>
    <t>ENSMUST00000079891.3</t>
  </si>
  <si>
    <t>ENSMUST00000095991.2</t>
  </si>
  <si>
    <t>ENSMUST00000049940.4</t>
  </si>
  <si>
    <t>ENSMUST00000079955.3</t>
  </si>
  <si>
    <t>ENSMUST00000072853.2</t>
  </si>
  <si>
    <t>ENSMUST00000058564.3</t>
  </si>
  <si>
    <t>ENSMUST00000086473.3</t>
  </si>
  <si>
    <t>ENSMUST00000075361.3</t>
  </si>
  <si>
    <t>ENSMUST00000073320.2</t>
  </si>
  <si>
    <t>ENSMUST00000062380.2</t>
  </si>
  <si>
    <t>ENSMUST00000054385.2</t>
  </si>
  <si>
    <t>ENSMUST00000057886.4</t>
  </si>
  <si>
    <t>ENSMUST00000071243.3</t>
  </si>
  <si>
    <t>ENSMUST00000078517.1</t>
  </si>
  <si>
    <t>ENSMUST00000076262.2</t>
  </si>
  <si>
    <t>ENSMUST00000072608.1</t>
  </si>
  <si>
    <t>ENSMUST00000075381.2</t>
  </si>
  <si>
    <t>ENSMUST00000077027.1</t>
  </si>
  <si>
    <t>ENSMUST00000064452.2</t>
  </si>
  <si>
    <t>ENSMUST00000099657.2</t>
  </si>
  <si>
    <t>ENSMUST00000094109.2</t>
  </si>
  <si>
    <t>ENSMUST00000120137.1</t>
  </si>
  <si>
    <t>ENSMUST00000099656.1</t>
  </si>
  <si>
    <t>ENSMUST00000049859.1</t>
  </si>
  <si>
    <t>ENSMUST00000089305.1</t>
  </si>
  <si>
    <t>ENSMUST00000072517.1</t>
  </si>
  <si>
    <t>ENSMUST00000074125.1</t>
  </si>
  <si>
    <t>ENSMUST00000084791.3</t>
  </si>
  <si>
    <t>ENSMUST00000055868.3</t>
  </si>
  <si>
    <t>ENSMUST00000065786.3</t>
  </si>
  <si>
    <t>ENSMUST00000075756.2</t>
  </si>
  <si>
    <t>ENSMUST00000121958.1</t>
  </si>
  <si>
    <t>ENSMUST00000060204.5</t>
  </si>
  <si>
    <t>ENSMUST00000061723.4</t>
  </si>
  <si>
    <t>ENSMUST00000057548.1</t>
  </si>
  <si>
    <t>ENSMUST00000085861.2</t>
  </si>
  <si>
    <t>ENSMUST00000052560.4</t>
  </si>
  <si>
    <t>ENSMUST00000061293.2</t>
  </si>
  <si>
    <t>ENSMUST00000081102.4</t>
  </si>
  <si>
    <t>ENSMUST00000108822.2</t>
  </si>
  <si>
    <t>ENSMUST00000108823.1</t>
  </si>
  <si>
    <t>ENSMUST00000055276.4</t>
  </si>
  <si>
    <t>ENSMUST00000099883.2</t>
  </si>
  <si>
    <t>ENSMUST00000076802.2</t>
  </si>
  <si>
    <t>ENSMUST00000121280.1</t>
  </si>
  <si>
    <t>ENSMUST00000063030.3</t>
  </si>
  <si>
    <t>ENSMUST00000073507.2</t>
  </si>
  <si>
    <t>ENSMUST00000095953.2</t>
  </si>
  <si>
    <t>ENSMUST00000112165.3</t>
  </si>
  <si>
    <t>ENSMUST00000066997.2</t>
  </si>
  <si>
    <t>ENSMUST00000098194.1</t>
  </si>
  <si>
    <t>ENSMUST00000170920.1</t>
  </si>
  <si>
    <t>ENSMUST00000075329.2</t>
  </si>
  <si>
    <t>ENSMUST00000071449.2</t>
  </si>
  <si>
    <t>ENSMUST00000052085.1</t>
  </si>
  <si>
    <t>ENSMUST00000072731.3</t>
  </si>
  <si>
    <t>ENSMUST00000099862.1</t>
  </si>
  <si>
    <t>ENSMUST00000104874.2</t>
  </si>
  <si>
    <t>ENSMUST00000087818.1</t>
  </si>
  <si>
    <t>ENSMUST00000096006.2</t>
  </si>
  <si>
    <t>ENSMUST00000059486.2</t>
  </si>
  <si>
    <t>ENSMUST00000059608.2</t>
  </si>
  <si>
    <t>ENSMUST00000057811.5</t>
  </si>
  <si>
    <t>ENSMUST00000095084.1,ENSMUST00000172257.1</t>
  </si>
  <si>
    <t>ENSMUST00000051600.2</t>
  </si>
  <si>
    <t>ENSMUST00000107667.1</t>
  </si>
  <si>
    <t>ENSMUST00000051520.2</t>
  </si>
  <si>
    <t>ENSMUST00000107670.1</t>
  </si>
  <si>
    <t>ENSMUST00000095085.1</t>
  </si>
  <si>
    <t>ENSMUST00000050451.5</t>
  </si>
  <si>
    <t>ENSMUST00000109163.2</t>
  </si>
  <si>
    <t>ENSMUST00000075851.3</t>
  </si>
  <si>
    <t>ENSMUST00000057386.5</t>
  </si>
  <si>
    <t>ENSMUST00000063289.3</t>
  </si>
  <si>
    <t>ENSMUST00000079736.2</t>
  </si>
  <si>
    <t>ENSMUST00000073612.3</t>
  </si>
  <si>
    <t>ENSMUST00000073468.2</t>
  </si>
  <si>
    <t>ENSMUST00000078172.4</t>
  </si>
  <si>
    <t>ENSMUST00000080165.3</t>
  </si>
  <si>
    <t>ENSMUST00000081474.1</t>
  </si>
  <si>
    <t>ENSMUST00000078588.1</t>
  </si>
  <si>
    <t>ENSMUST00000078447.1</t>
  </si>
  <si>
    <t>ENSMUST00000172965.1</t>
  </si>
  <si>
    <t>ENSMUST00000071112.3</t>
  </si>
  <si>
    <t>ENSMUST00000077800.2</t>
  </si>
  <si>
    <t>ENSMUST00000057734.3</t>
  </si>
  <si>
    <t>ENSMUST00000100151.1</t>
  </si>
  <si>
    <t>ENSMUST00000055204.3</t>
  </si>
  <si>
    <t>ENSMUST00000174362.1</t>
  </si>
  <si>
    <t>ENSMUST00000053958.5</t>
  </si>
  <si>
    <t>ENSMUST00000077210.2</t>
  </si>
  <si>
    <t>ENSMUST00000069236.3</t>
  </si>
  <si>
    <t>ENSMUST00000069279.4</t>
  </si>
  <si>
    <t>ENSMUST00000044256.5</t>
  </si>
  <si>
    <t>ENSMUST00000055690.2</t>
  </si>
  <si>
    <t>ENSMUST00000174158.1</t>
  </si>
  <si>
    <t>ENSMUST00000100872.1</t>
  </si>
  <si>
    <t>ENSMUST00000081918.2</t>
  </si>
  <si>
    <t>ENSMUST00000071625.1</t>
  </si>
  <si>
    <t>ENSMUST00000078217.1</t>
  </si>
  <si>
    <t>ENSMUST00000082220.2</t>
  </si>
  <si>
    <t>ENSMUST00000076393.3</t>
  </si>
  <si>
    <t>ENSMUST00000081533.2</t>
  </si>
  <si>
    <t>ENSMUST00000073005.2</t>
  </si>
  <si>
    <t>ENSMUST00000075607.2</t>
  </si>
  <si>
    <t>ENSMUST00000074309.2</t>
  </si>
  <si>
    <t>ENSMUST00000076965.1</t>
  </si>
  <si>
    <t>ENSMUST00000099755.3</t>
  </si>
  <si>
    <t>ENSMUST00000111502.2</t>
  </si>
  <si>
    <t>ENSMUST00000082307.2</t>
  </si>
  <si>
    <t>ENSMUST00000072030.3</t>
  </si>
  <si>
    <t>ENSMUST00000070804.2</t>
  </si>
  <si>
    <t>ENSMUST00000054683.5</t>
  </si>
  <si>
    <t>ENSMUST00000169428.2</t>
  </si>
  <si>
    <t>ENSMUST00000084817.2</t>
  </si>
  <si>
    <t>ENSMUST00000062869.2</t>
  </si>
  <si>
    <t>ENSMUST00000170009.1</t>
  </si>
  <si>
    <t>ENSMUST00000081743.2</t>
  </si>
  <si>
    <t>ENSMUST00000180165.1</t>
  </si>
  <si>
    <t>ENSMUST00000091006.1</t>
  </si>
  <si>
    <t>ENSMUST00000071437.1</t>
  </si>
  <si>
    <t>ENSMUST00000072854.1</t>
  </si>
  <si>
    <t>ENSMUST00000100154.1</t>
  </si>
  <si>
    <t>ENSMUST00000074192.2</t>
  </si>
  <si>
    <t>ENSMUST00000075474.1</t>
  </si>
  <si>
    <t>ENSMUST00000076850.1</t>
  </si>
  <si>
    <t>ENSMUST00000078854.1</t>
  </si>
  <si>
    <t>ENSMUST00000078761.2</t>
  </si>
  <si>
    <t>ENSMUST00000056865.1</t>
  </si>
  <si>
    <t>ENSMUST00000112950.1</t>
  </si>
  <si>
    <t>ENSMUST00000055130.2</t>
  </si>
  <si>
    <t>ENSMUST00000100150.1</t>
  </si>
  <si>
    <t>ENSMUST00000065416.1</t>
  </si>
  <si>
    <t>ENSMUST00000100149.1</t>
  </si>
  <si>
    <t>ENSMUST00000068475.2</t>
  </si>
  <si>
    <t>ENSMUST00000100147.1</t>
  </si>
  <si>
    <t>ENSMUST00000095021.1</t>
  </si>
  <si>
    <t>ENSMUST00000069578.2</t>
  </si>
  <si>
    <t>ENSMUST00000100146.2</t>
  </si>
  <si>
    <t>ENSMUST00000120505.1</t>
  </si>
  <si>
    <t>ENSMUST00000120704.1</t>
  </si>
  <si>
    <t>ENSMUST00000100145.1</t>
  </si>
  <si>
    <t>ENSMUST00000100144.1</t>
  </si>
  <si>
    <t>ENSMUST00000104995.1</t>
  </si>
  <si>
    <t>ENSMUST00000074168.1</t>
  </si>
  <si>
    <t>ENSMUST00000091001.1</t>
  </si>
  <si>
    <t>ENSMUST00000053990.4</t>
  </si>
  <si>
    <t>ENSMUST00000058609.4</t>
  </si>
  <si>
    <t>ENSMUST00000070849.3</t>
  </si>
  <si>
    <t>ENSMUST00000093434.4</t>
  </si>
  <si>
    <t>ENSMUST00000074540.4</t>
  </si>
  <si>
    <t>ENSMUST00000055735.4</t>
  </si>
  <si>
    <t>ENSMUST00000120401.1,ENSMUST00000078952.2,ENSMUST00000170592.1</t>
  </si>
  <si>
    <t>ENSMUST00000117349.1,ENSMUST00000069790.3</t>
  </si>
  <si>
    <t>ENSMUST00000074499.3</t>
  </si>
  <si>
    <t>ENSMUST00000075532.1</t>
  </si>
  <si>
    <t>ENSMUST00000121209.1</t>
  </si>
  <si>
    <t>ENSMUST00000078358.1</t>
  </si>
  <si>
    <t>ENSMUST00000119863.1</t>
  </si>
  <si>
    <t>ENSMUST00000092921.2</t>
  </si>
  <si>
    <t>ENSMUST00000072993.1</t>
  </si>
  <si>
    <t>ENSMUST00000071553.1</t>
  </si>
  <si>
    <t>ENSMUST00000122224.2</t>
  </si>
  <si>
    <t>ENSMUST00000071725.3</t>
  </si>
  <si>
    <t>ENSMUST00000092919.1</t>
  </si>
  <si>
    <t>ENSMUST00000120081.1</t>
  </si>
  <si>
    <t>ENSMUST00000118463.1</t>
  </si>
  <si>
    <t>ENSMUST00000102523.1</t>
  </si>
  <si>
    <t>ENSMUST00000071478.1</t>
  </si>
  <si>
    <t>ENSMUST00000072991.1</t>
  </si>
  <si>
    <t>ENSMUST00000108465.1</t>
  </si>
  <si>
    <t>ENSMUST00000053874.1</t>
  </si>
  <si>
    <t>ENSMUST00000117510.1</t>
  </si>
  <si>
    <t>ENSMUST00000059440.2</t>
  </si>
  <si>
    <t>ENSMUST00000079827.1</t>
  </si>
  <si>
    <t>ENSMUST00000073675.2</t>
  </si>
  <si>
    <t>ENSMUST00000076675.1</t>
  </si>
  <si>
    <t>ENSMUST00000133561.3</t>
  </si>
  <si>
    <t>ENSMUST00000052254.4</t>
  </si>
  <si>
    <t>ENSMUST00000080365.3</t>
  </si>
  <si>
    <t>ENSMUST00000077794.1</t>
  </si>
  <si>
    <t>ENSMUST00000053178.4</t>
  </si>
  <si>
    <t>ENSMUST00000085862.1</t>
  </si>
  <si>
    <t>ENSMUST00000059754.2</t>
  </si>
  <si>
    <t>ENSMUST00000061990.4</t>
  </si>
  <si>
    <t>ENSMUST00000068403.3</t>
  </si>
  <si>
    <t>ENSMUST00000053941.3</t>
  </si>
  <si>
    <t>ENSMUST00000080831.3</t>
  </si>
  <si>
    <t>ENSMUST00000060693.4</t>
  </si>
  <si>
    <t>ENSMUST00000078936.2</t>
  </si>
  <si>
    <t>ENSMUST00000055873.6</t>
  </si>
  <si>
    <t>ENSMUST00000062665.3</t>
  </si>
  <si>
    <t>ENSMUST00000052975.4</t>
  </si>
  <si>
    <t>ENSMUST00000076752.3</t>
  </si>
  <si>
    <t>ENSMUST00000058118.3</t>
  </si>
  <si>
    <t>ENSMUST00000060243.4</t>
  </si>
  <si>
    <t>ENSMUST00000077757.4</t>
  </si>
  <si>
    <t>ENSMUST00000095954.3</t>
  </si>
  <si>
    <t>ENSMUST00000163240.1</t>
  </si>
  <si>
    <t>ENSMUST00000095955.2</t>
  </si>
  <si>
    <t>ENSMUST00000101461.1</t>
  </si>
  <si>
    <t>ENSMUST00000055763.3</t>
  </si>
  <si>
    <t>ENSMUST00000058668.3</t>
  </si>
  <si>
    <t>ENSMUST00000050729.5</t>
  </si>
  <si>
    <t>ENSMUST00000084454.3</t>
  </si>
  <si>
    <t>ENSMUST00000067503.3</t>
  </si>
  <si>
    <t>ENSMUST00000075468.3</t>
  </si>
  <si>
    <t>ENSMUST00000053647.4</t>
  </si>
  <si>
    <t>ENSMUST00000171307.1</t>
  </si>
  <si>
    <t>ENSMUST00000057251.5</t>
  </si>
  <si>
    <t>ENSMUST00000170504.1</t>
  </si>
  <si>
    <t>ENSMUST00000090156.1</t>
  </si>
  <si>
    <t>ENSMUST00000050412.4</t>
  </si>
  <si>
    <t>ENSMUST00000072655.2</t>
  </si>
  <si>
    <t>ENSMUST00000051540.4</t>
  </si>
  <si>
    <t>ENSMUST00000089490.2</t>
  </si>
  <si>
    <t>ENSMUST00000049743.1</t>
  </si>
  <si>
    <t>ENSMUST00000081417.1</t>
  </si>
  <si>
    <t>ENSMUST00000074874.2</t>
  </si>
  <si>
    <t>ENSMUST00000058907.3</t>
  </si>
  <si>
    <t>ENSMUST00000084756.1</t>
  </si>
  <si>
    <t>ENSMUST00000075704.1</t>
  </si>
  <si>
    <t>ENSMUST00000078057.3</t>
  </si>
  <si>
    <t>ENSMUST00000084757.1</t>
  </si>
  <si>
    <t>ENSMUST00000084760.2</t>
  </si>
  <si>
    <t>ENSMUST00000084761.1</t>
  </si>
  <si>
    <t>ENSMUST00000054434.3</t>
  </si>
  <si>
    <t>ENSMUST00000077249.2</t>
  </si>
  <si>
    <t>ENSMUST00000091605.2</t>
  </si>
  <si>
    <t>ENSMUST00000049719.3</t>
  </si>
  <si>
    <t>ENSMUST00000063151.5</t>
  </si>
  <si>
    <t>ENSMUST00000099762.1</t>
  </si>
  <si>
    <t>ENSMUST00000071658.2</t>
  </si>
  <si>
    <t>ENSMUST00000067143.4</t>
  </si>
  <si>
    <t>ENSMUST00000081184.2</t>
  </si>
  <si>
    <t>ENSMUST00000104917.1</t>
  </si>
  <si>
    <t>ENSMUST00000073580.2</t>
  </si>
  <si>
    <t>ENSMUST00000072035.3</t>
  </si>
  <si>
    <t>ENSMUST00000081996.1</t>
  </si>
  <si>
    <t>ENSMUST00000072968.1</t>
  </si>
  <si>
    <t>ENSMUST00000059996.4</t>
  </si>
  <si>
    <t>ENSMUST00000074550.1</t>
  </si>
  <si>
    <t>ENSMUST00000053179.1</t>
  </si>
  <si>
    <t>ENSMUST00000080106.1</t>
  </si>
  <si>
    <t>ENSMUST00000073059.2</t>
  </si>
  <si>
    <t>ENSMUST00000071505.1</t>
  </si>
  <si>
    <t>ENSMUST00000076406.1</t>
  </si>
  <si>
    <t>ENSMUST00000074787.1</t>
  </si>
  <si>
    <t>ENSMUST00000086318.4</t>
  </si>
  <si>
    <t>ENSMUST00000072114.1</t>
  </si>
  <si>
    <t>ENSMUST00000078933.2</t>
  </si>
  <si>
    <t>ENSMUST00000078162.3</t>
  </si>
  <si>
    <t>ENSMUST00000075595.1</t>
  </si>
  <si>
    <t>ENSMUST00000077343.2</t>
  </si>
  <si>
    <t>ENSMUST00000080014.1</t>
  </si>
  <si>
    <t>ENSMUST00000072914.1</t>
  </si>
  <si>
    <t>ENSMUST00000061690.2</t>
  </si>
  <si>
    <t>ENSMUST00000076514.1</t>
  </si>
  <si>
    <t>ENSMUST00000076289.1</t>
  </si>
  <si>
    <t>ENSMUST00000074730.2</t>
  </si>
  <si>
    <t>ENSMUST00000055146.1</t>
  </si>
  <si>
    <t>ENSMUST00000084754.2</t>
  </si>
  <si>
    <t>ENSMUST00000071410.1</t>
  </si>
  <si>
    <t>ENSMUST00000084753.2</t>
  </si>
  <si>
    <t>ENSMUST00000059617.1</t>
  </si>
  <si>
    <t>ENSMUST00000084752.1</t>
  </si>
  <si>
    <t>ENSMUST00000099905.1</t>
  </si>
  <si>
    <t>ENSMUST00000098264.1</t>
  </si>
  <si>
    <t>ENSMUST00000098263.2</t>
  </si>
  <si>
    <t>ENSMUST00000050585.5</t>
  </si>
  <si>
    <t>ENSMUST00000055890.5</t>
  </si>
  <si>
    <t>ENSMUST00000051943.5</t>
  </si>
  <si>
    <t>ENSMUST00000078103.2</t>
  </si>
  <si>
    <t>ENSMUST00000172230.1</t>
  </si>
  <si>
    <t>ENSMUST00000084456.3</t>
  </si>
  <si>
    <t>ENSMUST00000074177.2</t>
  </si>
  <si>
    <t>ENSMUST00000080153.1</t>
  </si>
  <si>
    <t>ENSMUST00000073226.1</t>
  </si>
  <si>
    <t>ENSMUST00000071755.2</t>
  </si>
  <si>
    <t>ENSMUST00000074897.2</t>
  </si>
  <si>
    <t>ENSMUST00000064392.6</t>
  </si>
  <si>
    <t>ENSMUST00000084457.2</t>
  </si>
  <si>
    <t>ENSMUST00000078967.2</t>
  </si>
  <si>
    <t>ENSMUST00000072152.1</t>
  </si>
  <si>
    <t>ENSMUST00000080681.3</t>
  </si>
  <si>
    <t>ENSMUST00000061482.5</t>
  </si>
  <si>
    <t>ENSMUST00000051201.4</t>
  </si>
  <si>
    <t>ENSMUST00000058750.3</t>
  </si>
  <si>
    <t>ENSMUST00000098229.1</t>
  </si>
  <si>
    <t>ENSMUST00000098228.3</t>
  </si>
  <si>
    <t>ENSMUST00000098227.1</t>
  </si>
  <si>
    <t>ENSMUST00000112168.3</t>
  </si>
  <si>
    <t>ENSMUST00000098225.2</t>
  </si>
  <si>
    <t>ENSMUST00000098224.2</t>
  </si>
  <si>
    <t>ENSMUST00000098223.1</t>
  </si>
  <si>
    <t>ENSMUST00000098222.1</t>
  </si>
  <si>
    <t>ENSMUST00000098221.1</t>
  </si>
  <si>
    <t>ENSMUST00000098220.1</t>
  </si>
  <si>
    <t>ENSMUST00000098219.2</t>
  </si>
  <si>
    <t>ENSMUST00000098218.2</t>
  </si>
  <si>
    <t>ENSMUST00000084816.3</t>
  </si>
  <si>
    <t>ENSMUST00000102785.1</t>
  </si>
  <si>
    <t>ENSMUST00000179282.1,ENSMUST00000056759.4</t>
  </si>
  <si>
    <t>ENSMUST00000098217.2</t>
  </si>
  <si>
    <t>ENSMUST00000061096.6</t>
  </si>
  <si>
    <t>ENSMUST00000071393.2</t>
  </si>
  <si>
    <t>ENSMUST00000078191.2</t>
  </si>
  <si>
    <t>ENSMUST00000082244.2</t>
  </si>
  <si>
    <t>ENSMUST00000098215.2</t>
  </si>
  <si>
    <t>ENSMUST00000061738.3</t>
  </si>
  <si>
    <t>ENSMUST00000098214.1</t>
  </si>
  <si>
    <t>ENSMUST00000064830.3</t>
  </si>
  <si>
    <t>ENSMUST00000052997.5</t>
  </si>
  <si>
    <t>ENSMUST00000084812.2</t>
  </si>
  <si>
    <t>ENSMUST00000098213.3</t>
  </si>
  <si>
    <t>ENSMUST00000051505.1</t>
  </si>
  <si>
    <t>ENSMUST00000056235.1</t>
  </si>
  <si>
    <t>ENSMUST00000079660.3</t>
  </si>
  <si>
    <t>ENSMUST00000098212.1</t>
  </si>
  <si>
    <t>ENSMUST00000098211.1</t>
  </si>
  <si>
    <t>ENSMUST00000098210.2</t>
  </si>
  <si>
    <t>ENSMUST00000104881.2</t>
  </si>
  <si>
    <t>ENSMUST00000084811.2</t>
  </si>
  <si>
    <t>ENSMUST00000061055.1</t>
  </si>
  <si>
    <t>ENSMUST00000119717.1</t>
  </si>
  <si>
    <t>ENSMUST00000074272.1</t>
  </si>
  <si>
    <t>ENSMUST00000098207.1</t>
  </si>
  <si>
    <t>ENSMUST00000106893.1</t>
  </si>
  <si>
    <t>ENSMUST00000098206.1</t>
  </si>
  <si>
    <t>ENSMUST00000098205.2</t>
  </si>
  <si>
    <t>ENSMUST00000104880.1</t>
  </si>
  <si>
    <t>ENSMUST00000168315.2</t>
  </si>
  <si>
    <t>ENSMUST00000098202.2</t>
  </si>
  <si>
    <t>ENSMUST00000098201.2</t>
  </si>
  <si>
    <t>ENSMUST00000040983.3</t>
  </si>
  <si>
    <t>ENSMUST00000075470.1</t>
  </si>
  <si>
    <t>ENSMUST00000056222.2</t>
  </si>
  <si>
    <t>ENSMUST00000080474.2</t>
  </si>
  <si>
    <t>ENSMUST00000071844.1</t>
  </si>
  <si>
    <t>ENSMUST00000080660.3</t>
  </si>
  <si>
    <t>ENSMUST00000098200.1</t>
  </si>
  <si>
    <t>ENSMUST00000045546.7</t>
  </si>
  <si>
    <t>ENSMUST00000098199.1</t>
  </si>
  <si>
    <t>ENSMUST00000055787.4</t>
  </si>
  <si>
    <t>ENSMUST00000084455.3</t>
  </si>
  <si>
    <t>ENSMUST00000063109.3</t>
  </si>
  <si>
    <t>ENSMUST00000078108.2</t>
  </si>
  <si>
    <t>ENSMUST00000104879.1</t>
  </si>
  <si>
    <t>ENSMUST00000106888.1</t>
  </si>
  <si>
    <t>ENSMUST00000098198.2</t>
  </si>
  <si>
    <t>ENSMUST00000106886.1</t>
  </si>
  <si>
    <t>ENSMUST00000048265.4</t>
  </si>
  <si>
    <t>ENSMUST00000098197.1</t>
  </si>
  <si>
    <t>ENSMUST00000098196.2</t>
  </si>
  <si>
    <t>ENSMUST00000102666.2</t>
  </si>
  <si>
    <t>ENSMUST00000052152.1</t>
  </si>
  <si>
    <t>ENSMUST00000058744.2</t>
  </si>
  <si>
    <t>ENSMUST00000068531.2</t>
  </si>
  <si>
    <t>ENSMUST00000062144.2</t>
  </si>
  <si>
    <t>ENSMUST00000098195.2</t>
  </si>
  <si>
    <t>ENSMUST00000098193.1</t>
  </si>
  <si>
    <t>ENSMUST00000051346.2</t>
  </si>
  <si>
    <t>ENSMUST00000067840.4</t>
  </si>
  <si>
    <t>ENSMUST00000052826.1</t>
  </si>
  <si>
    <t>ENSMUST00000106880.1</t>
  </si>
  <si>
    <t>ENSMUST00000059011.3,ENSMUST00000167269.1</t>
  </si>
  <si>
    <t>ENSMUST00000106863.1</t>
  </si>
  <si>
    <t>ENSMUST00000098189.1</t>
  </si>
  <si>
    <t>ENSMUST00000098188.1</t>
  </si>
  <si>
    <t>ENSMUST00000098185.1</t>
  </si>
  <si>
    <t>ENSMUST00000098184.1</t>
  </si>
  <si>
    <t>ENSMUST00000106862.1</t>
  </si>
  <si>
    <t>ENSMUST00000081748.3</t>
  </si>
  <si>
    <t>ENSMUST00000084799.1</t>
  </si>
  <si>
    <t>ENSMUST00000098183.1</t>
  </si>
  <si>
    <t>ENSMUST00000052660.1</t>
  </si>
  <si>
    <t>ENSMUST00000074064.1</t>
  </si>
  <si>
    <t>ENSMUST00000077417.1</t>
  </si>
  <si>
    <t>ENSMUST00000057104.3</t>
  </si>
  <si>
    <t>ENSMUST00000098182.1</t>
  </si>
  <si>
    <t>ENSMUST00000052659.1</t>
  </si>
  <si>
    <t>ENSMUST00000060440.1</t>
  </si>
  <si>
    <t>ENSMUST00000106859.1</t>
  </si>
  <si>
    <t>ENSMUST00000106864.2</t>
  </si>
  <si>
    <t>ENSMUST00000098176.2</t>
  </si>
  <si>
    <t>ENSMUST00000098175.2,ENSMUST00000104877.1</t>
  </si>
  <si>
    <t>ENSMUST00000098174.2</t>
  </si>
  <si>
    <t>ENSMUST00000098173.2</t>
  </si>
  <si>
    <t>ENSMUST00000057385.4</t>
  </si>
  <si>
    <t>ENSMUST00000098172.2</t>
  </si>
  <si>
    <t>ENSMUST00000098171.2</t>
  </si>
  <si>
    <t>ENSMUST00000098170.1</t>
  </si>
  <si>
    <t>ENSMUST00000079117.1</t>
  </si>
  <si>
    <t>ENSMUST00000098168.2</t>
  </si>
  <si>
    <t>ENSMUST00000098165.1</t>
  </si>
  <si>
    <t>ENSMUST00000081116.1</t>
  </si>
  <si>
    <t>ENSMUST00000071362.2</t>
  </si>
  <si>
    <t>ENSMUST00000164391.2</t>
  </si>
  <si>
    <t>ENSMUST00000098164.1</t>
  </si>
  <si>
    <t>ENSMUST00000062377.6</t>
  </si>
  <si>
    <t>ENSMUST00000183254.1</t>
  </si>
  <si>
    <t>ENSMUST00000050482.2</t>
  </si>
  <si>
    <t>ENSMUST00000078710.1</t>
  </si>
  <si>
    <t>ENSMUST00000050599.4</t>
  </si>
  <si>
    <t>ENSMUST00000073102.1</t>
  </si>
  <si>
    <t>ENSMUST00000098162.1</t>
  </si>
  <si>
    <t>ENSMUST00000098161.1</t>
  </si>
  <si>
    <t>ENSMUST00000098160.1</t>
  </si>
  <si>
    <t>ENSMUST00000098158.2</t>
  </si>
  <si>
    <t>ENSMUST00000072513.3</t>
  </si>
  <si>
    <t>ENSMUST00000098157.3</t>
  </si>
  <si>
    <t>ENSMUST00000071242.3</t>
  </si>
  <si>
    <t>ENSMUST00000061284.3</t>
  </si>
  <si>
    <t>ENSMUST00000060893.4</t>
  </si>
  <si>
    <t>ENSMUST00000051355.5</t>
  </si>
  <si>
    <t>ENSMUST00000050157.2</t>
  </si>
  <si>
    <t>ENSMUST00000098154.3</t>
  </si>
  <si>
    <t>ENSMUST00000098155.2</t>
  </si>
  <si>
    <t>ENSMUST00000098153.2</t>
  </si>
  <si>
    <t>ENSMUST00000080910.1</t>
  </si>
  <si>
    <t>ENSMUST00000106878.1</t>
  </si>
  <si>
    <t>ENSMUST00000061920.4</t>
  </si>
  <si>
    <t>ENSMUST00000057528.1</t>
  </si>
  <si>
    <t>ENSMUST00000098152.2</t>
  </si>
  <si>
    <t>ENSMUST00000057817.2</t>
  </si>
  <si>
    <t>ENSMUST00000082091.1</t>
  </si>
  <si>
    <t>ENSMUST00000080925.2</t>
  </si>
  <si>
    <t>ENSMUST00000050541.2</t>
  </si>
  <si>
    <t>ENSMUST00000074981.1</t>
  </si>
  <si>
    <t>ENSMUST00000065024.1</t>
  </si>
  <si>
    <t>ENSMUST00000055545.3</t>
  </si>
  <si>
    <t>ENSMUST00000079936.1</t>
  </si>
  <si>
    <t>ENSMUST00000080899.2</t>
  </si>
  <si>
    <t>ENSMUST00000098142.1</t>
  </si>
  <si>
    <t>ENSMUST00000098141.1</t>
  </si>
  <si>
    <t>ENSMUST00000060879.3</t>
  </si>
  <si>
    <t>ENSMUST00000052535.3</t>
  </si>
  <si>
    <t>ENSMUST00000088687.2</t>
  </si>
  <si>
    <t>ENSMUST00000072368.2</t>
  </si>
  <si>
    <t>ENSMUST00000055401.1</t>
  </si>
  <si>
    <t>ENSMUST00000107862.1</t>
  </si>
  <si>
    <t>ENSMUST00000055923.5</t>
  </si>
  <si>
    <t>ENSMUST00000051715.4</t>
  </si>
  <si>
    <t>ENSMUST00000098139.1</t>
  </si>
  <si>
    <t>ENSMUST00000054629.6</t>
  </si>
  <si>
    <t>ENSMUST00000076958.5</t>
  </si>
  <si>
    <t>ENSMUST00000098137.2</t>
  </si>
  <si>
    <t>ENSMUST00000164536.2</t>
  </si>
  <si>
    <t>ENSMUST00000035250.5</t>
  </si>
  <si>
    <t>ENSMUST00000165291.2</t>
  </si>
  <si>
    <t>ENSMUST00000053290.6</t>
  </si>
  <si>
    <t>ENSMUST00000164157.1</t>
  </si>
  <si>
    <t>ENSMUST00000075030.2</t>
  </si>
  <si>
    <t>ENSMUST00000089844.2</t>
  </si>
  <si>
    <t>ENSMUST00000072370.2</t>
  </si>
  <si>
    <t>ENSMUST00000079142.2</t>
  </si>
  <si>
    <t>ENSMUST00000051563.2</t>
  </si>
  <si>
    <t>ENSMUST00000061020.1</t>
  </si>
  <si>
    <t>ENSMUST00000099838.1</t>
  </si>
  <si>
    <t>ENSMUST00000051453.1</t>
  </si>
  <si>
    <t>ENSMUST00000059565.1</t>
  </si>
  <si>
    <t>ENSMUST00000071208.2</t>
  </si>
  <si>
    <t>ENSMUST00000163469.1</t>
  </si>
  <si>
    <t>ENSMUST00000050928.2</t>
  </si>
  <si>
    <t>ENSMUST00000049729.3</t>
  </si>
  <si>
    <t>ENSMUST00000058965.3</t>
  </si>
  <si>
    <t>ENSMUST00000058972.1</t>
  </si>
  <si>
    <t>ENSMUST00000075261.3</t>
  </si>
  <si>
    <t>ENSMUST00000099840.1</t>
  </si>
  <si>
    <t>ENSMUST00000089838.1</t>
  </si>
  <si>
    <t>ENSMUST00000071932.4</t>
  </si>
  <si>
    <t>ENSMUST00000089836.2</t>
  </si>
  <si>
    <t>ENSMUST00000071294.2</t>
  </si>
  <si>
    <t>ENSMUST00000066457.4</t>
  </si>
  <si>
    <t>ENSMUST00000062534.4</t>
  </si>
  <si>
    <t>ENSMUST00000080616.2</t>
  </si>
  <si>
    <t>ENSMUST00000078075.4</t>
  </si>
  <si>
    <t>ENSMUST00000073561.3</t>
  </si>
  <si>
    <t>ENSMUST00000074674.3</t>
  </si>
  <si>
    <t>ENSMUST00000048478.5</t>
  </si>
  <si>
    <t>ENSMUST00000087822.2</t>
  </si>
  <si>
    <t>ENSMUST00000049620.4</t>
  </si>
  <si>
    <t>ENSMUST00000077460.3</t>
  </si>
  <si>
    <t>ENSMUST00000071559.2</t>
  </si>
  <si>
    <t>ENSMUST00000082131.3</t>
  </si>
  <si>
    <t>ENSMUST00000063031.3</t>
  </si>
  <si>
    <t>ENSMUST00000050915.4</t>
  </si>
  <si>
    <t>ENSMUST00000057596.7</t>
  </si>
  <si>
    <t>ENSMUST00000062314.3</t>
  </si>
  <si>
    <t>ENSMUST00000078914.2</t>
  </si>
  <si>
    <t>ENSMUST00000169800.1</t>
  </si>
  <si>
    <t>ENSMUST00000072976.3</t>
  </si>
  <si>
    <t>ENSMUST00000097164.2</t>
  </si>
  <si>
    <t>ENSMUST00000097163.2</t>
  </si>
  <si>
    <t>ENSMUST00000073704.1</t>
  </si>
  <si>
    <t>ENSMUST00000080313.1</t>
  </si>
  <si>
    <t>ENSMUST00000069063.4</t>
  </si>
  <si>
    <t>ENSMUST00000063168.2</t>
  </si>
  <si>
    <t>ENSMUST00000075613.1</t>
  </si>
  <si>
    <t>ENSMUST00000077024.1</t>
  </si>
  <si>
    <t>ENSMUST00000082342.2</t>
  </si>
  <si>
    <t>ENSMUST00000076508.2</t>
  </si>
  <si>
    <t>ENSMUST00000077836.2</t>
  </si>
  <si>
    <t>ENSMUST00000056961.3</t>
  </si>
  <si>
    <t>ENSMUST00000056002.4</t>
  </si>
  <si>
    <t>ENSMUST00000057477.3</t>
  </si>
  <si>
    <t>ENSMUST00000076575.3</t>
  </si>
  <si>
    <t>ENSMUST00000059957.3</t>
  </si>
  <si>
    <t>ENSMUST00000037071.4</t>
  </si>
  <si>
    <t>ENSMUST00000079810.2</t>
  </si>
  <si>
    <t>ENSMUST00000071126.2</t>
  </si>
  <si>
    <t>ENSMUST00000081571.1</t>
  </si>
  <si>
    <t>ENSMUST00000104903.1</t>
  </si>
  <si>
    <t>ENSMUST00000072063.2</t>
  </si>
  <si>
    <t>ENSMUST00000074713.2</t>
  </si>
  <si>
    <t>ENSMUST00000056736.3</t>
  </si>
  <si>
    <t>ENSMUST00000077312.2</t>
  </si>
  <si>
    <t>ENSMUST00000078876.3</t>
  </si>
  <si>
    <t>ENSMUST00000095245.1</t>
  </si>
  <si>
    <t>ENSMUST00000059038.2</t>
  </si>
  <si>
    <t>ENSMUST00000060636.1</t>
  </si>
  <si>
    <t>ENSMUST00000059891.2</t>
  </si>
  <si>
    <t>ENSMUST00000091986.3</t>
  </si>
  <si>
    <t>ENSMUST00000076437.1</t>
  </si>
  <si>
    <t>ENSMUST00000057775.2</t>
  </si>
  <si>
    <t>ENSMUST00000064893.2</t>
  </si>
  <si>
    <t>ENSMUST00000081367.1</t>
  </si>
  <si>
    <t>ENSMUST00000071557.1</t>
  </si>
  <si>
    <t>ENSMUST00000071605.1</t>
  </si>
  <si>
    <t>ENSMUST00000074308.2</t>
  </si>
  <si>
    <t>ENSMUST00000167974.1</t>
  </si>
  <si>
    <t>ENSMUST00000059244.2</t>
  </si>
  <si>
    <t>ENSMUST00000054364.1</t>
  </si>
  <si>
    <t>ENSMUST00000080460.2</t>
  </si>
  <si>
    <t>ENSMUST00000081469.1</t>
  </si>
  <si>
    <t>ENSMUST00000074161.1</t>
  </si>
  <si>
    <t>ENSMUST00000076814.1</t>
  </si>
  <si>
    <t>ENSMUST00000078322.2</t>
  </si>
  <si>
    <t>ENSMUST00000058123.5</t>
  </si>
  <si>
    <t>ENSMUST00000104914.1</t>
  </si>
  <si>
    <t>ENSMUST00000058411.3</t>
  </si>
  <si>
    <t>ENSMUST00000078861.2</t>
  </si>
  <si>
    <t>ENSMUST00000086496.3</t>
  </si>
  <si>
    <t>ENSMUST00000060601.4</t>
  </si>
  <si>
    <t>ENSMUST00000086492.1</t>
  </si>
  <si>
    <t>ENSMUST00000059315.3</t>
  </si>
  <si>
    <t>ENSMUST00000074986.5</t>
  </si>
  <si>
    <t>ENSMUST00000061365.2</t>
  </si>
  <si>
    <t>ENSMUST00000054106.4</t>
  </si>
  <si>
    <t>ENSMUST00000071259.2</t>
  </si>
  <si>
    <t>ENSMUST00000078774.2</t>
  </si>
  <si>
    <t>ENSMUST00000079620.1</t>
  </si>
  <si>
    <t>ENSMUST00000063923.3</t>
  </si>
  <si>
    <t>ENSMUST00000077347.2</t>
  </si>
  <si>
    <t>ENSMUST00000064582.5</t>
  </si>
  <si>
    <t>ENSMUST00000058296.3</t>
  </si>
  <si>
    <t>ENSMUST00000072419.2</t>
  </si>
  <si>
    <t>ENSMUST00000061693.4</t>
  </si>
  <si>
    <t>ENSMUST00000077023.3</t>
  </si>
  <si>
    <t>ENSMUST00000086480.1</t>
  </si>
  <si>
    <t>ENSMUST00000086482.2</t>
  </si>
  <si>
    <t>ENSMUST00000073765.3</t>
  </si>
  <si>
    <t>ENSMUST00000062248.2</t>
  </si>
  <si>
    <t>ENSMUST00000060780.2</t>
  </si>
  <si>
    <t>ENSMUST00000050227.2</t>
  </si>
  <si>
    <t>ENSMUST00000075717.4</t>
  </si>
  <si>
    <t>ENSMUST00000086476.2</t>
  </si>
  <si>
    <t>ENSMUST00000073122.3</t>
  </si>
  <si>
    <t>ENSMUST00000086474.4</t>
  </si>
  <si>
    <t>ENSMUST00000053919.4</t>
  </si>
  <si>
    <t>ENSMUST00000115004.2</t>
  </si>
  <si>
    <t>ENSMUST00000080634.3</t>
  </si>
  <si>
    <t>ENSMUST00000086064.2</t>
  </si>
  <si>
    <t>ENSMUST00000086063.1</t>
  </si>
  <si>
    <t>ENSMUST00000086061.3</t>
  </si>
  <si>
    <t>ENSMUST00000074611.2</t>
  </si>
  <si>
    <t>ENSMUST00000072974.1</t>
  </si>
  <si>
    <t>ENSMUST00000077732.1</t>
  </si>
  <si>
    <t>ENSMUST00000181088.1</t>
  </si>
  <si>
    <t>ENSMUST00000081985.1</t>
  </si>
  <si>
    <t>ENSMUST00000074681.1</t>
  </si>
  <si>
    <t>ENSMUST00000075228.1</t>
  </si>
  <si>
    <t>ENSMUST00000072290.4</t>
  </si>
  <si>
    <t>ENSMUST00000079804.1</t>
  </si>
  <si>
    <t>ENSMUST00000062535.1</t>
  </si>
  <si>
    <t>ENSMUST00000093867.2</t>
  </si>
  <si>
    <t>ENSMUST00000093866.2</t>
  </si>
  <si>
    <t>ENSMUST00000093864.1</t>
  </si>
  <si>
    <t>ENSMUST00000076504.1</t>
  </si>
  <si>
    <t>ENSMUST00000091996.2</t>
  </si>
  <si>
    <t>ENSMUST00000070808.2</t>
  </si>
  <si>
    <t>ENSMUST00000063716.1</t>
  </si>
  <si>
    <t>ENSMUST00000050733.2</t>
  </si>
  <si>
    <t>ENSMUST00000058153.1</t>
  </si>
  <si>
    <t>ENSMUST00000051111.2</t>
  </si>
  <si>
    <t>ENSMUST00000045493.1</t>
  </si>
  <si>
    <t>ENSMUST00000052901.1</t>
  </si>
  <si>
    <t>ENSMUST00000087144.4</t>
  </si>
  <si>
    <t>ENSMUST00000073214.2</t>
  </si>
  <si>
    <t>ENSMUST00000074987.2</t>
  </si>
  <si>
    <t>ENSMUST00000071681.2</t>
  </si>
  <si>
    <t>ENSMUST00000081095.2</t>
  </si>
  <si>
    <t>ENSMUST00000057755.1</t>
  </si>
  <si>
    <t>ENSMUST00000081196.1</t>
  </si>
  <si>
    <t>ENSMUST00000076542.1</t>
  </si>
  <si>
    <t>ENSMUST00000055099.1</t>
  </si>
  <si>
    <t>ENSMUST00000071425.1</t>
  </si>
  <si>
    <t>ENSMUST00000168659.1</t>
  </si>
  <si>
    <t>ENSMUST00000074740.2</t>
  </si>
  <si>
    <t>ENSMUST00000062124.3</t>
  </si>
  <si>
    <t>ENSMUST00000051004.4</t>
  </si>
  <si>
    <t>ENSMUST00000051238.5</t>
  </si>
  <si>
    <t>ENSMUST00000072977.4</t>
  </si>
  <si>
    <t>ENSMUST00000078289.2</t>
  </si>
  <si>
    <t>ENSMUST00000171679.1</t>
  </si>
  <si>
    <t>ENSMUST00000058789.5</t>
  </si>
  <si>
    <t>ENSMUST00000075680.2</t>
  </si>
  <si>
    <t>ENSMUST00000074211.1</t>
  </si>
  <si>
    <t>ENSMUST00000080748.1</t>
  </si>
  <si>
    <t>ENSMUST00000178303.1</t>
  </si>
  <si>
    <t>ENSMUST00000055567.2</t>
  </si>
  <si>
    <t>ENSMUST00000056499.2</t>
  </si>
  <si>
    <t>ENSMUST00000055324.5</t>
  </si>
  <si>
    <t>ENSMUST00000071617.3</t>
  </si>
  <si>
    <t>ENSMUST00000079650.1</t>
  </si>
  <si>
    <t>ENSMUST00000076903.2</t>
  </si>
  <si>
    <t>ENSMUST00000076516.1</t>
  </si>
  <si>
    <t>ENSMUST00000060728.5</t>
  </si>
  <si>
    <t>ENSMUST00000078531.1</t>
  </si>
  <si>
    <t>ENSMUST00000073895.3</t>
  </si>
  <si>
    <t>ENSMUST00000080329.1</t>
  </si>
  <si>
    <t>ENSMUST00000073946.1</t>
  </si>
  <si>
    <t>ENSMUST00000051653.1</t>
  </si>
  <si>
    <t>ENSMUST00000062545.2</t>
  </si>
  <si>
    <t>ENSMUST00000079178.2</t>
  </si>
  <si>
    <t>ENSMUST00000078209.3</t>
  </si>
  <si>
    <t>ENSMUST00000077060.2</t>
  </si>
  <si>
    <t>ENSMUST00000076548.3</t>
  </si>
  <si>
    <t>ENSMUST00000073433.1</t>
  </si>
  <si>
    <t>ENSMUST00000069342.1</t>
  </si>
  <si>
    <t>ENSMUST00000069561.1</t>
  </si>
  <si>
    <t>ENSMUST00000075928.5</t>
  </si>
  <si>
    <t>ENSMUST00000074566.1</t>
  </si>
  <si>
    <t>ENSMUST00000073667.4</t>
  </si>
  <si>
    <t>ENSMUST00000071132.1</t>
  </si>
  <si>
    <t>ENSMUST00000075467.1</t>
  </si>
  <si>
    <t>ENSMUST00000079767.1</t>
  </si>
  <si>
    <t>ENSMUST00000062833.5</t>
  </si>
  <si>
    <t>ENSMUST00000054067.3</t>
  </si>
  <si>
    <t>ENSMUST00000169307.2</t>
  </si>
  <si>
    <t>ENSMUST00000057161.3</t>
  </si>
  <si>
    <t>ENSMUST00000080835.3</t>
  </si>
  <si>
    <t>ENSMUST00000080759.4</t>
  </si>
  <si>
    <t>ENSMUST00000073932.3</t>
  </si>
  <si>
    <t>ENSMUST00000059859.4</t>
  </si>
  <si>
    <t>ENSMUST00000054051.3</t>
  </si>
  <si>
    <t>ENSMUST00000050996.5</t>
  </si>
  <si>
    <t>ENSMUST00000056795.3</t>
  </si>
  <si>
    <t>ENSMUST00000060345.5</t>
  </si>
  <si>
    <t>ENSMUST00000062229.5</t>
  </si>
  <si>
    <t>ENSMUST00000099929.2</t>
  </si>
  <si>
    <t>ENSMUST00000111598.1</t>
  </si>
  <si>
    <t>ENSMUST00000099928.2</t>
  </si>
  <si>
    <t>ENSMUST00000111597.1</t>
  </si>
  <si>
    <t>ENSMUST00000077585.2</t>
  </si>
  <si>
    <t>ENSMUST00000099927.1</t>
  </si>
  <si>
    <t>ENSMUST00000099926.1</t>
  </si>
  <si>
    <t>ENSMUST00000099925.1</t>
  </si>
  <si>
    <t>ENSMUST00000099924.2</t>
  </si>
  <si>
    <t>ENSMUST00000077075.2</t>
  </si>
  <si>
    <t>ENSMUST00000052307.2</t>
  </si>
  <si>
    <t>ENSMUST00000095509.4</t>
  </si>
  <si>
    <t>ENSMUST00000080405.1</t>
  </si>
  <si>
    <t>ENSMUST00000073822.5</t>
  </si>
  <si>
    <t>ENSMUST00000068355.6</t>
  </si>
  <si>
    <t>ENSMUST00000070552.7</t>
  </si>
  <si>
    <t>ENSMUST00000183104.1</t>
  </si>
  <si>
    <t>ENSMUST00000074352.4</t>
  </si>
  <si>
    <t>ENSMUST00000090019.3</t>
  </si>
  <si>
    <t>ENSMUST00000177554.1</t>
  </si>
  <si>
    <t>ENSMUST00000177606.1</t>
  </si>
  <si>
    <t>ENSMUST00000179348.1</t>
  </si>
  <si>
    <t>ENSMUST00000090095.5,ENSMUST00000022918.7</t>
  </si>
  <si>
    <t>ENSMUST00000110297.2,ENSMUST00000090096.4</t>
  </si>
  <si>
    <t>ENSMUST00000170127.1</t>
  </si>
  <si>
    <t>ENSMUST00000179393.1</t>
  </si>
  <si>
    <t>ENSMUST00000126150.1</t>
  </si>
  <si>
    <t>ENSMUST00000184908.1</t>
  </si>
  <si>
    <t>ENSMUST00000032918.2</t>
  </si>
  <si>
    <t>ENSMUST00000172958.1,ENSMUST00000162069.1</t>
  </si>
  <si>
    <t>ENSMUST00000121785.1,ENSMUST00000034057.7</t>
  </si>
  <si>
    <t>ENSMUST00000097625.3</t>
  </si>
  <si>
    <t>ENSMUST00000040112.3</t>
  </si>
  <si>
    <t>ENSMUST00000179624.1</t>
  </si>
  <si>
    <t>ENSMUST00000061628.5</t>
  </si>
  <si>
    <t>ENSMUST00000115662.2</t>
  </si>
  <si>
    <t>ENSMUST00000052366.3</t>
  </si>
  <si>
    <t>ENSMUST00000059433.6</t>
  </si>
  <si>
    <t>ENSMUST00000102653.1</t>
  </si>
  <si>
    <t>ENSMUST00000102655.3,ENSMUST00000102654.4</t>
  </si>
  <si>
    <t>ENSMUST00000106908.2</t>
  </si>
  <si>
    <t>ENSMUST00000045243.8</t>
  </si>
  <si>
    <t>ENSMUST00000057860.2</t>
  </si>
  <si>
    <t>ENSMUST00000075317.5</t>
  </si>
  <si>
    <t>ENSMUST00000169942.2</t>
  </si>
  <si>
    <t>ENSMUST00000047660.4</t>
  </si>
  <si>
    <t>ENSMUST00000060761.5</t>
  </si>
  <si>
    <t>ENSMUST00000087657.6</t>
  </si>
  <si>
    <t>ENSMUST00000099659.2</t>
  </si>
  <si>
    <t>ENSMUST00000108615.3</t>
  </si>
  <si>
    <t>ENSMUST00000078451.6</t>
  </si>
  <si>
    <t>ENSMUST00000120591.1</t>
  </si>
  <si>
    <t>ENSMUST00000154153.1</t>
  </si>
  <si>
    <t>ENSMUST00000178195.1</t>
  </si>
  <si>
    <t>ENSMUST00000098375.4</t>
  </si>
  <si>
    <t>ENSMUST00000121793.1,ENSMUST00000069681.3</t>
  </si>
  <si>
    <t>ENSMUST00000052286.8</t>
  </si>
  <si>
    <t>ENSMUST00000184142.1</t>
  </si>
  <si>
    <t>ENSMUST00000035646.4</t>
  </si>
  <si>
    <t>ENSMUST00000110109.1</t>
  </si>
  <si>
    <t>ENSMUST00000169713.2</t>
  </si>
  <si>
    <t>ENSMUST00000182481.1</t>
  </si>
  <si>
    <t>ENSMUST00000162269.2</t>
  </si>
  <si>
    <t>ENSMUST00000087225.5</t>
  </si>
  <si>
    <t>ENSMUST00000114540.3,ENSMUST00000051569.6</t>
  </si>
  <si>
    <t>ENSMUST00000184299.1</t>
  </si>
  <si>
    <t>ENSMUST00000045665.6,ENSMUST00000168381.1,ENSMUST00000086444.4</t>
  </si>
  <si>
    <t>ENSMUST00000150787.1</t>
  </si>
  <si>
    <t>ENSMUST00000025377.7</t>
  </si>
  <si>
    <t>ENSMUST00000075941.5</t>
  </si>
  <si>
    <t>ENSMUST00000180270.1</t>
  </si>
  <si>
    <t>ENSMUST00000088788.3</t>
  </si>
  <si>
    <t>ENSMUST00000105762.1</t>
  </si>
  <si>
    <t>ENSMUST00000081645.6</t>
  </si>
  <si>
    <t>ENSMUST00000105767.1</t>
  </si>
  <si>
    <t>ENSMUST00000118821.1,ENSMUST00000113176.2</t>
  </si>
  <si>
    <t>ENSMUST00000091676.5</t>
  </si>
  <si>
    <t>ENSMUST00000094520.4</t>
  </si>
  <si>
    <t>ENSMUST00000035757.6</t>
  </si>
  <si>
    <t>ENSMUST00000105752.3</t>
  </si>
  <si>
    <t>ENSMUST00000026956.3</t>
  </si>
  <si>
    <t>ENSMUST00000111572.1</t>
  </si>
  <si>
    <t>ENSMUST00000026957.3</t>
  </si>
  <si>
    <t>ENSMUST00000087853.2</t>
  </si>
  <si>
    <t>ENSMUST00000074510.3</t>
  </si>
  <si>
    <t>ENSMUST00000030784.7</t>
  </si>
  <si>
    <t>ENSMUST00000065067.6</t>
  </si>
  <si>
    <t>ENSMUST00000080755.4,ENSMUST00000164964.2</t>
  </si>
  <si>
    <t>ENSMUST00000073601.3</t>
  </si>
  <si>
    <t>ENSMUST00000072943.3</t>
  </si>
  <si>
    <t>ENSMUST00000166281.1</t>
  </si>
  <si>
    <t>ENSMUST00000110170.1,ENSMUST00000110172.2,ENSMUST00000110171.2,ENSMUST00000110169.1</t>
  </si>
  <si>
    <t>ENSMUST00000048686.8</t>
  </si>
  <si>
    <t>ENSMUST00000087689.4</t>
  </si>
  <si>
    <t>ENSMUST00000093468.5</t>
  </si>
  <si>
    <t>ENSMUST00000104958.1</t>
  </si>
  <si>
    <t>ENSMUST00000103102.3</t>
  </si>
  <si>
    <t>ENSMUST00000107252.2,ENSMUST00000093933.4</t>
  </si>
  <si>
    <t>ENSMUST00000164831.1,ENSMUST00000105249.2</t>
  </si>
  <si>
    <t>ENSMUST00000143119.2</t>
  </si>
  <si>
    <t>ENSMUST00000184356.1</t>
  </si>
  <si>
    <t>ENSMUST00000023269.4</t>
  </si>
  <si>
    <t>ENSMUST00000180195.1</t>
  </si>
  <si>
    <t>ENSMUST00000095795.4</t>
  </si>
  <si>
    <t>ENSMUST00000182677.1</t>
  </si>
  <si>
    <t>ENSMUST00000108372.2</t>
  </si>
  <si>
    <t>ENSMUST00000118100.1</t>
  </si>
  <si>
    <t>ENSMUST00000164960.1</t>
  </si>
  <si>
    <t>ENSMUST00000027688.8</t>
  </si>
  <si>
    <t>ENSMUST00000056416.7</t>
  </si>
  <si>
    <t>ENSMUST00000166610.1</t>
  </si>
  <si>
    <t>ENSMUST00000179408.1</t>
  </si>
  <si>
    <t>ENSMUST00000028347.6</t>
  </si>
  <si>
    <t>ENSMUST00000100360.3,ENSMUST00000171534.1</t>
  </si>
  <si>
    <t>ENSMUST00000052068.9</t>
  </si>
  <si>
    <t>ENSMUST00000075775.5</t>
  </si>
  <si>
    <t>ENSMUST00000060468.5</t>
  </si>
  <si>
    <t>ENSMUST00000179279.1</t>
  </si>
  <si>
    <t>ENSMUST00000165829.1</t>
  </si>
  <si>
    <t>ENSMUST00000111859.1</t>
  </si>
  <si>
    <t>ENSMUST00000184189.1</t>
  </si>
  <si>
    <t>ENSMUST00000098031.3</t>
  </si>
  <si>
    <t>ENSMUST00000115210.1</t>
  </si>
  <si>
    <t>ENSMUST00000063340.5,ENSMUST00000173650.1</t>
  </si>
  <si>
    <t>ENSMUST00000115191.4</t>
  </si>
  <si>
    <t>ENSMUST00000115190.4</t>
  </si>
  <si>
    <t>ENSMUST00000115179.3</t>
  </si>
  <si>
    <t>ENSMUST00000072167.3</t>
  </si>
  <si>
    <t>ENSMUST00000115173.3</t>
  </si>
  <si>
    <t>ENSMUST00000115169.3</t>
  </si>
  <si>
    <t>ENSMUST00000115162.1</t>
  </si>
  <si>
    <t>ENSMUST00000115203.3</t>
  </si>
  <si>
    <t>ENSMUST00000115188.2</t>
  </si>
  <si>
    <t>ENSMUST00000115189.3</t>
  </si>
  <si>
    <t>ENSMUST00000081327.5</t>
  </si>
  <si>
    <t>ENSMUST00000115198.3</t>
  </si>
  <si>
    <t>ENSMUST00000115172.5</t>
  </si>
  <si>
    <t>ENSMUST00000184451.1</t>
  </si>
  <si>
    <t>ENSMUST00000119965.2</t>
  </si>
  <si>
    <t>ENSMUST00000096457.4</t>
  </si>
  <si>
    <t>ENSMUST00000096458.4</t>
  </si>
  <si>
    <t>ENSMUST00000115183.1</t>
  </si>
  <si>
    <t>ENSMUST00000115175.3</t>
  </si>
  <si>
    <t>ENSMUST00000115170.2</t>
  </si>
  <si>
    <t>ENSMUST00000179626.1</t>
  </si>
  <si>
    <t>ENSMUST00000096454.1</t>
  </si>
  <si>
    <t>ENSMUST00000089062.6</t>
  </si>
  <si>
    <t>ENSMUST00000029785.3</t>
  </si>
  <si>
    <t>ENSMUST00000082054.5,ENSMUST00000042917.9</t>
  </si>
  <si>
    <t>ENSMUST00000076106.3</t>
  </si>
  <si>
    <t>ENSMUST00000097420.5</t>
  </si>
  <si>
    <t>ENSMUST00000068946.7</t>
  </si>
  <si>
    <t>ENSMUST00000094853.2</t>
  </si>
  <si>
    <t>ENSMUST00000045793.8</t>
  </si>
  <si>
    <t>ENSMUST00000102934.2</t>
  </si>
  <si>
    <t>ENSMUST00000107836.1</t>
  </si>
  <si>
    <t>ENSMUST00000076364.4</t>
  </si>
  <si>
    <t>ENSMUST00000071184.2</t>
  </si>
  <si>
    <t>ENSMUST00000074828.4</t>
  </si>
  <si>
    <t>ENSMUST00000097682.2</t>
  </si>
  <si>
    <t>ENSMUST00000179601.1</t>
  </si>
  <si>
    <t>ENSMUST00000113211.1</t>
  </si>
  <si>
    <t>ENSMUST00000078034.3</t>
  </si>
  <si>
    <t>ENSMUST00000073926.6</t>
  </si>
  <si>
    <t>ENSMUST00000080443.6</t>
  </si>
  <si>
    <t>ENSMUST00000077208.4</t>
  </si>
  <si>
    <t>ENSMUST00000091526.3</t>
  </si>
  <si>
    <t>ENSMUST00000169758.1</t>
  </si>
  <si>
    <t>ENSMUST00000168195.1</t>
  </si>
  <si>
    <t>ENSMUST00000179550.1</t>
  </si>
  <si>
    <t>ENSMUST00000184652.1</t>
  </si>
  <si>
    <t>ENSMUST00000113533.1</t>
  </si>
  <si>
    <t>ENSMUST00000179919.1</t>
  </si>
  <si>
    <t>ENSMUST00000178342.1</t>
  </si>
  <si>
    <t>ENSMUST00000178698.1</t>
  </si>
  <si>
    <t>ENSMUST00000166714.1</t>
  </si>
  <si>
    <t>ENSMUST00000165813.2</t>
  </si>
  <si>
    <t>ENSMUST00000108094.3</t>
  </si>
  <si>
    <t>ENSMUST00000179481.1</t>
  </si>
  <si>
    <t>ENSMUST00000108097.3</t>
  </si>
  <si>
    <t>ENSMUST00000179814.1</t>
  </si>
  <si>
    <t>ENSMUST00000183195.1</t>
  </si>
  <si>
    <t>ENSMUST00000182975.1</t>
  </si>
  <si>
    <t>ENSMUST00000182640.1,ENSMUST00000182673.1</t>
  </si>
  <si>
    <t>ENSMUST00000179688.1</t>
  </si>
  <si>
    <t>ENSMUST00000179248.1</t>
  </si>
  <si>
    <t>ENSMUST00000178258.1</t>
  </si>
  <si>
    <t>ENSMUST00000030340.8</t>
  </si>
  <si>
    <t>ENSMUST00000109957.2</t>
  </si>
  <si>
    <t>ENSMUST00000182198.1</t>
  </si>
  <si>
    <t>ENSMUST00000086694.4</t>
  </si>
  <si>
    <t>ENSMUST00000166100.1</t>
  </si>
  <si>
    <t>ENSMUST00000027565.4</t>
  </si>
  <si>
    <t>ENSMUST00000023861.3</t>
  </si>
  <si>
    <t>ENSMUST00000075515.6</t>
  </si>
  <si>
    <t>ENSMUST00000099931.3</t>
  </si>
  <si>
    <t>ENSMUST00000054984.6</t>
  </si>
  <si>
    <t>ENSMUST00000097891.3</t>
  </si>
  <si>
    <t>ENSMUST00000112456.2</t>
  </si>
  <si>
    <t>ENSMUST00000111800.2,ENSMUST00000081619.2</t>
  </si>
  <si>
    <t>ENSMUST00000072008.4</t>
  </si>
  <si>
    <t>ENSMUST00000105902.1</t>
  </si>
  <si>
    <t>ENSMUST00000113055.2</t>
  </si>
  <si>
    <t>ENSMUST00000020071.3</t>
  </si>
  <si>
    <t>ENSMUST00000053969.6</t>
  </si>
  <si>
    <t>ENSMUST00000108775.1</t>
  </si>
  <si>
    <t>ENSMUST00000091319.4</t>
  </si>
  <si>
    <t>ENSMUST00000050623.4,ENSMUST00000108354.1,ENSMUST00000108352.2</t>
  </si>
  <si>
    <t>ENSMUST00000111212.1</t>
  </si>
  <si>
    <t>ENSMUST00000065651.4</t>
  </si>
  <si>
    <t>ENSMUST00000096269.4</t>
  </si>
  <si>
    <t>ENSMUST00000037064.4</t>
  </si>
  <si>
    <t>ENSMUST00000171738.1</t>
  </si>
  <si>
    <t>ENSMUST00000037120.3</t>
  </si>
  <si>
    <t>ENSMUST00000179310.1</t>
  </si>
  <si>
    <t>ENSMUST00000163680.2</t>
  </si>
  <si>
    <t>ENSMUST00000096913.3</t>
  </si>
  <si>
    <t>ENSMUST00000088740.4</t>
  </si>
  <si>
    <t>ENSMUST00000045620.3</t>
  </si>
  <si>
    <t>ENSMUST00000178999.1</t>
  </si>
  <si>
    <t>ENSMUST00000095458.4</t>
  </si>
  <si>
    <t>ENSMUST00000059824.6</t>
  </si>
  <si>
    <t>ENSMUST00000162940.1</t>
  </si>
  <si>
    <t>ENSMUST00000085886.2,ENSMUST00000171498.1</t>
  </si>
  <si>
    <t>ENSMUST00000100537.2</t>
  </si>
  <si>
    <t>ENSMUST00000166206.2</t>
  </si>
  <si>
    <t>ENSMUST00000115649.2</t>
  </si>
  <si>
    <t>ENSMUST00000087043.3</t>
  </si>
  <si>
    <t>ENSMUST00000099467.3,ENSMUST00000099466.3,ENSMUST00000165212.1,ENSMUST00000165469.1</t>
  </si>
  <si>
    <t>ENSMUST00000067107.7</t>
  </si>
  <si>
    <t>ENSMUST00000135336.1</t>
  </si>
  <si>
    <t>ENSMUST00000094551.4</t>
  </si>
  <si>
    <t>ENSMUST00000038815.7</t>
  </si>
  <si>
    <t>ENSMUST00000047348.3,ENSMUST00000171205.1</t>
  </si>
  <si>
    <t>ENSMUST00000066510.6</t>
  </si>
  <si>
    <t>ENSMUST00000165133.1</t>
  </si>
  <si>
    <t>ENSMUST00000108709.1</t>
  </si>
  <si>
    <t>ENSMUST00000172106.2</t>
  </si>
  <si>
    <t>ENSMUST00000079447.2</t>
  </si>
  <si>
    <t>ENSMUST00000053257.3</t>
  </si>
  <si>
    <t>ENSMUST00000159973.2</t>
  </si>
  <si>
    <t>ENSMUST00000076099.3</t>
  </si>
  <si>
    <t>ENSMUST00000002180.7</t>
  </si>
  <si>
    <t>ENSMUST00000178425.1</t>
  </si>
  <si>
    <t>ENSMUST00000178459.1</t>
  </si>
  <si>
    <t>ENSMUST00000114517.1</t>
  </si>
  <si>
    <t>ENSMUST00000179716.1</t>
  </si>
  <si>
    <t>ENSMUST00000177990.1</t>
  </si>
  <si>
    <t>ENSMUST00000060328.2</t>
  </si>
  <si>
    <t>ENSMUST00000162265.1</t>
  </si>
  <si>
    <t>ENSMUST00000045105.6,ENSMUST00000082243.6</t>
  </si>
  <si>
    <t>ENSMUST00000084263.4</t>
  </si>
  <si>
    <t>ENSMUST00000074449.5</t>
  </si>
  <si>
    <t>ENSMUST00000071805.2</t>
  </si>
  <si>
    <t>ENSMUST00000090871.2</t>
  </si>
  <si>
    <t>ENSMUST00000090872.4</t>
  </si>
  <si>
    <t>ENSMUST00000061038.2</t>
  </si>
  <si>
    <t>ENSMUST00000068399.1</t>
  </si>
  <si>
    <t>ENSMUST00000062129.1</t>
  </si>
  <si>
    <t>ENSMUST00000037685.6</t>
  </si>
  <si>
    <t>ENSMUST00000011895.7</t>
  </si>
  <si>
    <t>ENSMUST00000156159.1</t>
  </si>
  <si>
    <t>ENSMUST00000110708.2</t>
  </si>
  <si>
    <t>ENSMUST00000164243.1</t>
  </si>
  <si>
    <t>ENSMUST00000171714.1</t>
  </si>
  <si>
    <t>ENSMUST00000179900.1</t>
  </si>
  <si>
    <t>ENSMUST00000091178.1</t>
  </si>
  <si>
    <t>ENSMUST00000031798.7</t>
  </si>
  <si>
    <t>ENSMUST00000180056.1</t>
  </si>
  <si>
    <t>ENSMUST00000179136.1</t>
  </si>
  <si>
    <t>ENSMUST00000103001.3</t>
  </si>
  <si>
    <t>ENSMUST00000037297.3</t>
  </si>
  <si>
    <t>ENSMUST00000103003.3</t>
  </si>
  <si>
    <t>ENSMUST00000023931.3</t>
  </si>
  <si>
    <t>ENSMUST00000089374.4</t>
  </si>
  <si>
    <t>ENSMUST00000089379.4</t>
  </si>
  <si>
    <t>ENSMUST00000089370.5</t>
  </si>
  <si>
    <t>ENSMUST00000138642.1</t>
  </si>
  <si>
    <t>ENSMUST00000185125.1,ENSMUST00000101690.3</t>
  </si>
  <si>
    <t>ENSMUST00000115584.1</t>
  </si>
  <si>
    <t>ENSMUST00000092640.5</t>
  </si>
  <si>
    <t>ENSMUST00000052113.5</t>
  </si>
  <si>
    <t>ENSMUST00000049150.1</t>
  </si>
  <si>
    <t>ENSMUST00000165167.1,ENSMUST00000108520.2</t>
  </si>
  <si>
    <t>ENSMUST00000169544.1</t>
  </si>
  <si>
    <t>ENSMUST00000080742.2</t>
  </si>
  <si>
    <t>ENSMUST00000149604.3</t>
  </si>
  <si>
    <t>ENSMUST00000059362.2</t>
  </si>
  <si>
    <t>ENSMUST00000041639.5</t>
  </si>
  <si>
    <t>ENSMUST00000095439.3</t>
  </si>
  <si>
    <t>ENSMUST00000081285.3</t>
  </si>
  <si>
    <t>ENSMUST00000121990.1</t>
  </si>
  <si>
    <t>ENSMUST00000107211.1,ENSMUST00000107210.1</t>
  </si>
  <si>
    <t>ENSMUST00000067529.2</t>
  </si>
  <si>
    <t>ENSMUST00000051532.4</t>
  </si>
  <si>
    <t>ENSMUST00000079134.4</t>
  </si>
  <si>
    <t>ENSMUST00000045152.4</t>
  </si>
  <si>
    <t>ENSMUST00000092660.1</t>
  </si>
  <si>
    <t>ENSMUST00000092659.2</t>
  </si>
  <si>
    <t>ENSMUST00000057080.3</t>
  </si>
  <si>
    <t>ENSMUST00000078532.2</t>
  </si>
  <si>
    <t>ENSMUST00000092658.1</t>
  </si>
  <si>
    <t>ENSMUST00000092657.1</t>
  </si>
  <si>
    <t>ENSMUST00000092656.2</t>
  </si>
  <si>
    <t>ENSMUST00000071691.2</t>
  </si>
  <si>
    <t>ENSMUST00000051133.5</t>
  </si>
  <si>
    <t>ENSMUST00000092654.2</t>
  </si>
  <si>
    <t>ENSMUST00000170267.1</t>
  </si>
  <si>
    <t>ENSMUST00000041180.5</t>
  </si>
  <si>
    <t>ENSMUST00000084512.4,ENSMUST00000084030.4</t>
  </si>
  <si>
    <t>ENSMUST00000033141.6</t>
  </si>
  <si>
    <t>ENSMUST00000059145.7,ENSMUST00000084513.4</t>
  </si>
  <si>
    <t>ENSMUST00000097043.5</t>
  </si>
  <si>
    <t>ENSMUST00000063683.6</t>
  </si>
  <si>
    <t>ENSMUST00000030510.7</t>
  </si>
  <si>
    <t>ENSMUST00000030949.3</t>
  </si>
  <si>
    <t>ENSMUST00000069268.2</t>
  </si>
  <si>
    <t>ENSMUST00000032317.3</t>
  </si>
  <si>
    <t>ENSMUST00000072404.2</t>
  </si>
  <si>
    <t>ENSMUST00000053652.4</t>
  </si>
  <si>
    <t>ENSMUST00000076756.2</t>
  </si>
  <si>
    <t>ENSMUST00000065781.4</t>
  </si>
  <si>
    <t>ENSMUST00000038750.5</t>
  </si>
  <si>
    <t>ENSMUST00000067539.3</t>
  </si>
  <si>
    <t>ENSMUST00000082014.1</t>
  </si>
  <si>
    <t>ENSMUST00000079035.2</t>
  </si>
  <si>
    <t>ENSMUST00000080619.2</t>
  </si>
  <si>
    <t>ENSMUST00000032315.2</t>
  </si>
  <si>
    <t>ENSMUST00000068302.3</t>
  </si>
  <si>
    <t>ENSMUST00000062463.3</t>
  </si>
  <si>
    <t>ENSMUST00000057633.2</t>
  </si>
  <si>
    <t>ENSMUST00000071707.1</t>
  </si>
  <si>
    <t>ENSMUST00000095395.1</t>
  </si>
  <si>
    <t>ENSMUST00000105077.1</t>
  </si>
  <si>
    <t>ENSMUST00000071696.1</t>
  </si>
  <si>
    <t>ENSMUST00000076150.2</t>
  </si>
  <si>
    <t>ENSMUST00000076119.5</t>
  </si>
  <si>
    <t>ENSMUST00000059534.4</t>
  </si>
  <si>
    <t>ENSMUST00000070991.3</t>
  </si>
  <si>
    <t>ENSMUST00000067597.4</t>
  </si>
  <si>
    <t>ENSMUST00000082085.4</t>
  </si>
  <si>
    <t>ENSMUST00000070028.1</t>
  </si>
  <si>
    <t>ENSMUST00000070178.4</t>
  </si>
  <si>
    <t>ENSMUST00000065532.1</t>
  </si>
  <si>
    <t>ENSMUST00000064932.4</t>
  </si>
  <si>
    <t>ENSMUST00000076565.2</t>
  </si>
  <si>
    <t>ENSMUST00000057686.4</t>
  </si>
  <si>
    <t>ENSMUST00000095391.2</t>
  </si>
  <si>
    <t>ENSMUST00000057398.3</t>
  </si>
  <si>
    <t>ENSMUST00000063489.3</t>
  </si>
  <si>
    <t>ENSMUST00000031094.8</t>
  </si>
  <si>
    <t>ENSMUST00000140607.1</t>
  </si>
  <si>
    <t>ENSMUST00000146430.1</t>
  </si>
  <si>
    <t>ENSMUST00000080453.1</t>
  </si>
  <si>
    <t>ENSMUST00000183404.1,ENSMUST00000034755.6,ENSMUST00000185117.1</t>
  </si>
  <si>
    <t>ENSMUST00000184783.1</t>
  </si>
  <si>
    <t>ENSMUST00000048966.5,ENSMUST00000109510.2</t>
  </si>
  <si>
    <t>ENSMUST00000185184.1</t>
  </si>
  <si>
    <t>ENSMUST00000064257.5</t>
  </si>
  <si>
    <t>ENSMUST00000081379.6</t>
  </si>
  <si>
    <t>ENSMUST00000000718.6</t>
  </si>
  <si>
    <t>ENSMUST00000000717.7</t>
  </si>
  <si>
    <t>ENSMUST00000178510.1</t>
  </si>
  <si>
    <t>ENSMUST00000178349.1</t>
  </si>
  <si>
    <t>ENSMUST00000094413.4</t>
  </si>
  <si>
    <t>ENSMUST00000181541.1</t>
  </si>
  <si>
    <t>ENSMUST00000178358.1</t>
  </si>
  <si>
    <t>ENSMUST00000081780.3</t>
  </si>
  <si>
    <t>ENSMUST00000075953.1</t>
  </si>
  <si>
    <t>ENSMUST00000098879.1</t>
  </si>
  <si>
    <t>ENSMUST00000016294.7</t>
  </si>
  <si>
    <t>ENSMUST00000115059.1,ENSMUST00000115058.1</t>
  </si>
  <si>
    <t>ENSMUST00000033965.6</t>
  </si>
  <si>
    <t>ENSMUST00000107162.1</t>
  </si>
  <si>
    <t>ENSMUST00000009772.7</t>
  </si>
  <si>
    <t>ENSMUST00000038546.6</t>
  </si>
  <si>
    <t>ENSMUST00000114328.1,ENSMUST00000078060.3</t>
  </si>
  <si>
    <t>ENSMUST00000073857.4</t>
  </si>
  <si>
    <t>ENSMUST00000072518.6</t>
  </si>
  <si>
    <t>ENSMUST00000110675.1</t>
  </si>
  <si>
    <t>ENSMUST00000046745.6</t>
  </si>
  <si>
    <t>ENSMUST00000002588.3</t>
  </si>
  <si>
    <t>ENSMUST00000114124.1,ENSMUST00000163370.1</t>
  </si>
  <si>
    <t>ENSMUST00000099558.4</t>
  </si>
  <si>
    <t>ENSMUST00000039662.8</t>
  </si>
  <si>
    <t>ENSMUST00000040025.7</t>
  </si>
  <si>
    <t>ENSMUST00000185091.1</t>
  </si>
  <si>
    <t>ENSMUST00000057320.7</t>
  </si>
  <si>
    <t>ENSMUST00000061740.7</t>
  </si>
  <si>
    <t>ENSMUST00000167717.2</t>
  </si>
  <si>
    <t>ENSMUST00000115772.3</t>
  </si>
  <si>
    <t>ENSMUST00000086615.2</t>
  </si>
  <si>
    <t>ENSMUST00000093905.2</t>
  </si>
  <si>
    <t>ENSMUST00000185006.1</t>
  </si>
  <si>
    <t>ENSMUST00000022418.8</t>
  </si>
  <si>
    <t>ENSMUST00000100819.5</t>
  </si>
  <si>
    <t>ENSMUST00000096363.2</t>
  </si>
  <si>
    <t>ENSMUST00000105333.2</t>
  </si>
  <si>
    <t>ENSMUST00000109399.2</t>
  </si>
  <si>
    <t>ENSMUST00000111669.3</t>
  </si>
  <si>
    <t>ENSMUST00000169786.1</t>
  </si>
  <si>
    <t>ENSMUST00000045903.6</t>
  </si>
  <si>
    <t>ENSMUST00000179512.1</t>
  </si>
  <si>
    <t>ENSMUST00000179580.1</t>
  </si>
  <si>
    <t>ENSMUST00000178100.1</t>
  </si>
  <si>
    <t>ENSMUST00000173112.1</t>
  </si>
  <si>
    <t>ENSMUST00000093837.3</t>
  </si>
  <si>
    <t>ENSMUST00000044123.1</t>
  </si>
  <si>
    <t>ENSMUST00000106828.1</t>
  </si>
  <si>
    <t>ENSMUST00000106847.1</t>
  </si>
  <si>
    <t>ENSMUST00000180136.1,ENSMUST00000178316.1</t>
  </si>
  <si>
    <t>ENSMUST00000074067.2</t>
  </si>
  <si>
    <t>ENSMUST00000164661.2</t>
  </si>
  <si>
    <t>ENSMUST00000163255.2</t>
  </si>
  <si>
    <t>ENSMUST00000051795.9</t>
  </si>
  <si>
    <t>ENSMUST00000098179.2</t>
  </si>
  <si>
    <t>ENSMUST00000111180.2,ENSMUST00000065785.3</t>
  </si>
  <si>
    <t>ENSMUST00000095295.1</t>
  </si>
  <si>
    <t>ENSMUST00000041524.4</t>
  </si>
  <si>
    <t>ENSMUST00000085222.5</t>
  </si>
  <si>
    <t>ENSMUST00000087576.4,ENSMUST00000074770.5</t>
  </si>
  <si>
    <t>ENSMUST00000115747.1</t>
  </si>
  <si>
    <t>ENSMUST00000167258.1</t>
  </si>
  <si>
    <t>ENSMUST00000179460.1</t>
  </si>
  <si>
    <t>ENSMUST00000039655.2</t>
  </si>
  <si>
    <t>ENSMUST00000162686.1</t>
  </si>
  <si>
    <t>ENSMUST00000075109.5</t>
  </si>
  <si>
    <t>ENSMUST00000098973.2</t>
  </si>
  <si>
    <t>ENSMUST00000164441.1,ENSMUST00000169398.1</t>
  </si>
  <si>
    <t>ENSMUST00000039011.3</t>
  </si>
  <si>
    <t>ENSMUST00000177585.1,ENSMUST00000169796.2</t>
  </si>
  <si>
    <t>ENSMUST00000085079.4</t>
  </si>
  <si>
    <t>ENSMUST00000084966.5</t>
  </si>
  <si>
    <t>ENSMUST00000106050.1,ENSMUST00000026554.4</t>
  </si>
  <si>
    <t>ENSMUST00000067695.7</t>
  </si>
  <si>
    <t>ENSMUST00000106814.2,ENSMUST00000076501.1</t>
  </si>
  <si>
    <t>ENSMUST00000079348.3</t>
  </si>
  <si>
    <t>ENSMUST00000106892.1</t>
  </si>
  <si>
    <t>ENSMUST00000073394.2</t>
  </si>
  <si>
    <t>ENSMUST00000053464.8</t>
  </si>
  <si>
    <t>ENSMUST00000054055.6</t>
  </si>
  <si>
    <t>ENSMUST00000044260.4</t>
  </si>
  <si>
    <t>ENSMUST00000095333.4</t>
  </si>
  <si>
    <t>ENSMUST00000076817.4</t>
  </si>
  <si>
    <t>ENSMUST00000039044.1</t>
  </si>
  <si>
    <t>ENSMUST00000078371.4</t>
  </si>
  <si>
    <t>ENSMUST00000173571.1</t>
  </si>
  <si>
    <t>ENSMUST00000114578.4</t>
  </si>
  <si>
    <t>ENSMUST00000110449.1</t>
  </si>
  <si>
    <t>ENSMUST00000169123.2</t>
  </si>
  <si>
    <t>ENSMUST00000176073.1</t>
  </si>
  <si>
    <t>ENSMUST00000177815.1</t>
  </si>
  <si>
    <t>ENSMUST00000164245.1</t>
  </si>
  <si>
    <t>ENSMUST00000163461.1</t>
  </si>
  <si>
    <t>ENSMUST00000169689.1</t>
  </si>
  <si>
    <t>ENSMUST00000179079.1</t>
  </si>
  <si>
    <t>ENSMUST00000176954.1</t>
  </si>
  <si>
    <t>ENSMUST00000179511.1</t>
  </si>
  <si>
    <t>ENSMUST00000174538.1</t>
  </si>
  <si>
    <t>ENSMUST00000168794.1,ENSMUST00000173723.1</t>
  </si>
  <si>
    <t>ENSMUST00000098737.1</t>
  </si>
  <si>
    <t>ENSMUST00000169374.1</t>
  </si>
  <si>
    <t>ENSMUST00000164288.1</t>
  </si>
  <si>
    <t>ENSMUST00000166937.1</t>
  </si>
  <si>
    <t>ENSMUST00000172322.1</t>
  </si>
  <si>
    <t>ENSMUST00000164683.1</t>
  </si>
  <si>
    <t>ENSMUST00000073384.3</t>
  </si>
  <si>
    <t>ENSMUST00000105202.2</t>
  </si>
  <si>
    <t>ENSMUST00000105197.2</t>
  </si>
  <si>
    <t>ENSMUST00000164409.1</t>
  </si>
  <si>
    <t>ENSMUST00000166948.1</t>
  </si>
  <si>
    <t>ENSMUST00000105200.1</t>
  </si>
  <si>
    <t>ENSMUST00000098739.2</t>
  </si>
  <si>
    <t>ENSMUST00000168398.1</t>
  </si>
  <si>
    <t>ENSMUST00000105199.1</t>
  </si>
  <si>
    <t>ENSMUST00000169165.1</t>
  </si>
  <si>
    <t>ENSMUST00000165961.1</t>
  </si>
  <si>
    <t>ENSMUST00000078885.1</t>
  </si>
  <si>
    <t>ENSMUST00000177936.1</t>
  </si>
  <si>
    <t>ENSMUST00000098736.3</t>
  </si>
  <si>
    <t>ENSMUST00000170931.1</t>
  </si>
  <si>
    <t>ENSMUST00000177884.1</t>
  </si>
  <si>
    <t>ENSMUST00000169730.1</t>
  </si>
  <si>
    <t>ENSMUST00000176376.1</t>
  </si>
  <si>
    <t>ENSMUST00000169697.1</t>
  </si>
  <si>
    <t>ENSMUST00000171622.1</t>
  </si>
  <si>
    <t>ENSMUST00000177774.1</t>
  </si>
  <si>
    <t>ENSMUST00000165916.1</t>
  </si>
  <si>
    <t>ENSMUST00000071304.1</t>
  </si>
  <si>
    <t>ENSMUST00000166079.1</t>
  </si>
  <si>
    <t>ENSMUST00000168326.1</t>
  </si>
  <si>
    <t>ENSMUST00000177632.1</t>
  </si>
  <si>
    <t>ENSMUST00000178215.1</t>
  </si>
  <si>
    <t>ENSMUST00000174643.1</t>
  </si>
  <si>
    <t>ENSMUST00000167871.1</t>
  </si>
  <si>
    <t>ENSMUST00000177267.1</t>
  </si>
  <si>
    <t>ENSMUST00000171745.1</t>
  </si>
  <si>
    <t>ENSMUST00000164537.1</t>
  </si>
  <si>
    <t>ENSMUST00000179594.1</t>
  </si>
  <si>
    <t>ENSMUST00000164527.1</t>
  </si>
  <si>
    <t>ENSMUST00000098704.2</t>
  </si>
  <si>
    <t>ENSMUST00000170290.1</t>
  </si>
  <si>
    <t>ENSMUST00000176395.1</t>
  </si>
  <si>
    <t>ENSMUST00000170166.1</t>
  </si>
  <si>
    <t>ENSMUST00000078458.3</t>
  </si>
  <si>
    <t>ENSMUST00000038694.7,ENSMUST00000173101.1</t>
  </si>
  <si>
    <t>ENSMUST00000174055.1</t>
  </si>
  <si>
    <t>ENSMUST00000167551.1</t>
  </si>
  <si>
    <t>ENSMUST00000166141.1</t>
  </si>
  <si>
    <t>ENSMUST00000171073.1</t>
  </si>
  <si>
    <t>ENSMUST00000073967.3</t>
  </si>
  <si>
    <t>ENSMUST00000078593.2</t>
  </si>
  <si>
    <t>ENSMUST00000049819.3</t>
  </si>
  <si>
    <t>ENSMUST00000164732.1</t>
  </si>
  <si>
    <t>ENSMUST00000173816.2</t>
  </si>
  <si>
    <t>ENSMUST00000077386.4</t>
  </si>
  <si>
    <t>ENSMUST00000086012.2</t>
  </si>
  <si>
    <t>ENSMUST00000057123.6</t>
  </si>
  <si>
    <t>ENSMUST00000171039.1</t>
  </si>
  <si>
    <t>ENSMUST00000091739.1</t>
  </si>
  <si>
    <t>ENSMUST00000075055.2</t>
  </si>
  <si>
    <t>ENSMUST00000089830.2</t>
  </si>
  <si>
    <t>ENSMUST00000072369.1</t>
  </si>
  <si>
    <t>ENSMUST00000072632.2</t>
  </si>
  <si>
    <t>ENSMUST00000057516.1</t>
  </si>
  <si>
    <t>ENSMUST00000091737.1</t>
  </si>
  <si>
    <t>ENSMUST00000091736.2</t>
  </si>
  <si>
    <t>ENSMUST00000091735.1</t>
  </si>
  <si>
    <t>ENSMUST00000091734.1</t>
  </si>
  <si>
    <t>ENSMUST00000091733.1</t>
  </si>
  <si>
    <t>ENSMUST00000091732.3</t>
  </si>
  <si>
    <t>ENSMUST00000105160.3</t>
  </si>
  <si>
    <t>ENSMUST00000176085.1</t>
  </si>
  <si>
    <t>ENSMUST00000091731.2</t>
  </si>
  <si>
    <t>ENSMUST00000091730.1</t>
  </si>
  <si>
    <t>ENSMUST00000078642.1</t>
  </si>
  <si>
    <t>ENSMUST00000091729.1</t>
  </si>
  <si>
    <t>ENSMUST00000091728.1</t>
  </si>
  <si>
    <t>ENSMUST00000074324.2</t>
  </si>
  <si>
    <t>ENSMUST00000110445.2</t>
  </si>
  <si>
    <t>ENSMUST00000124841.1</t>
  </si>
  <si>
    <t>ENSMUST00000095961.1</t>
  </si>
  <si>
    <t>ENSMUST00000081186.3</t>
  </si>
  <si>
    <t>ENSMUST00000072044.1</t>
  </si>
  <si>
    <t>ENSMUST00000073728.2</t>
  </si>
  <si>
    <t>ENSMUST00000095960.2</t>
  </si>
  <si>
    <t>ENSMUST00000076897.1</t>
  </si>
  <si>
    <t>ENSMUST00000074252.2</t>
  </si>
  <si>
    <t>ENSMUST00000072972.2</t>
  </si>
  <si>
    <t>ENSMUST00000080253.2</t>
  </si>
  <si>
    <t>ENSMUST00000091721.2</t>
  </si>
  <si>
    <t>ENSMUST00000074992.1</t>
  </si>
  <si>
    <t>ENSMUST00000076180.1</t>
  </si>
  <si>
    <t>ENSMUST00000177435.1</t>
  </si>
  <si>
    <t>ENSMUST00000072385.1</t>
  </si>
  <si>
    <t>ENSMUST00000077116.2</t>
  </si>
  <si>
    <t>ENSMUST00000091719.1</t>
  </si>
  <si>
    <t>ENSMUST00000170076.1</t>
  </si>
  <si>
    <t>ENSMUST00000061660.1</t>
  </si>
  <si>
    <t>ENSMUST00000061756.3</t>
  </si>
  <si>
    <t>ENSMUST00000072410.4</t>
  </si>
  <si>
    <t>ENSMUST00000076759.2</t>
  </si>
  <si>
    <t>ENSMUST00000175817.1</t>
  </si>
  <si>
    <t>ENSMUST00000053974.1</t>
  </si>
  <si>
    <t>ENSMUST00000061278.1</t>
  </si>
  <si>
    <t>ENSMUST00000077001.2</t>
  </si>
  <si>
    <t>ENSMUST00000056339.1</t>
  </si>
  <si>
    <t>ENSMUST00000079633.2</t>
  </si>
  <si>
    <t>ENSMUST00000060603.3</t>
  </si>
  <si>
    <t>ENSMUST00000066998.4</t>
  </si>
  <si>
    <t>ENSMUST00000077301.3</t>
  </si>
  <si>
    <t>ENSMUST00000165255.2</t>
  </si>
  <si>
    <t>ENSMUST00000175716.1</t>
  </si>
  <si>
    <t>ENSMUST00000176572.1</t>
  </si>
  <si>
    <t>ENSMUST00000049694.3</t>
  </si>
  <si>
    <t>ENSMUST00000095862.1</t>
  </si>
  <si>
    <t>ENSMUST00000176874.1</t>
  </si>
  <si>
    <t>ENSMUST00000168416.1</t>
  </si>
  <si>
    <t>ENSMUST00000105159.2</t>
  </si>
  <si>
    <t>ENSMUST00000078890.4</t>
  </si>
  <si>
    <t>ENSMUST00000176177.1</t>
  </si>
  <si>
    <t>ENSMUST00000079584.1</t>
  </si>
  <si>
    <t>ENSMUST00000079678.2</t>
  </si>
  <si>
    <t>ENSMUST00000175988.1</t>
  </si>
  <si>
    <t>ENSMUST00000074381.5</t>
  </si>
  <si>
    <t>ENSMUST00000071414.1</t>
  </si>
  <si>
    <t>ENSMUST00000177072.1</t>
  </si>
  <si>
    <t>ENSMUST00000077482.1</t>
  </si>
  <si>
    <t>ENSMUST00000176121.1</t>
  </si>
  <si>
    <t>ENSMUST00000089918.2</t>
  </si>
  <si>
    <t>ENSMUST00000075158.1</t>
  </si>
  <si>
    <t>ENSMUST00000089417.5</t>
  </si>
  <si>
    <t>ENSMUST00000178083.1</t>
  </si>
  <si>
    <t>ENSMUST00000089419.2</t>
  </si>
  <si>
    <t>ENSMUST00000089418.2</t>
  </si>
  <si>
    <t>ENSMUST00000089420.5</t>
  </si>
  <si>
    <t>ENSMUST00000054202.3</t>
  </si>
  <si>
    <t>ENSMUST00000075797.1</t>
  </si>
  <si>
    <t>ENSMUST00000074881.1</t>
  </si>
  <si>
    <t>ENSMUST00000073415.1</t>
  </si>
  <si>
    <t>ENSMUST00000071865.1</t>
  </si>
  <si>
    <t>ENSMUST00000164307.1</t>
  </si>
  <si>
    <t>ENSMUST00000081706.1</t>
  </si>
  <si>
    <t>ENSMUST00000072859.5</t>
  </si>
  <si>
    <t>ENSMUST00000174204.1</t>
  </si>
  <si>
    <t>ENSMUST00000079832.2</t>
  </si>
  <si>
    <t>ENSMUST00000076086.2</t>
  </si>
  <si>
    <t>ENSMUST00000058039.2</t>
  </si>
  <si>
    <t>ENSMUST00000098844.3</t>
  </si>
  <si>
    <t>ENSMUST00000169556.1</t>
  </si>
  <si>
    <t>ENSMUST00000170780.1</t>
  </si>
  <si>
    <t>ENSMUST00000108569.2</t>
  </si>
  <si>
    <t>ENSMUST00000074132.5</t>
  </si>
  <si>
    <t>ENSMUST00000079669.4</t>
  </si>
  <si>
    <t>ENSMUST00000172111.1</t>
  </si>
  <si>
    <t>ENSMUST00000164880.1</t>
  </si>
  <si>
    <t>ENSMUST00000173956.1</t>
  </si>
  <si>
    <t>ENSMUST00000075085.6</t>
  </si>
  <si>
    <t>ENSMUST00000078475.2</t>
  </si>
  <si>
    <t>ENSMUST00000086338.1</t>
  </si>
  <si>
    <t>ENSMUST00000060374.4</t>
  </si>
  <si>
    <t>ENSMUST00000055964.4</t>
  </si>
  <si>
    <t>ENSMUST00000058362.4</t>
  </si>
  <si>
    <t>ENSMUST00000163658.1</t>
  </si>
  <si>
    <t>ENSMUST00000176252.1</t>
  </si>
  <si>
    <t>ENSMUST00000055847.3</t>
  </si>
  <si>
    <t>ENSMUST00000079113.3</t>
  </si>
  <si>
    <t>ENSMUST00000053134.3</t>
  </si>
  <si>
    <t>ENSMUST00000055070.1</t>
  </si>
  <si>
    <t>ENSMUST00000050416.1</t>
  </si>
  <si>
    <t>ENSMUST00000057229.1</t>
  </si>
  <si>
    <t>ENSMUST00000058772.1</t>
  </si>
  <si>
    <t>ENSMUST00000164446.1</t>
  </si>
  <si>
    <t>ENSMUST00000078039.2</t>
  </si>
  <si>
    <t>ENSMUST00000062811.3</t>
  </si>
  <si>
    <t>ENSMUST00000078186.3</t>
  </si>
  <si>
    <t>ENSMUST00000075053.2</t>
  </si>
  <si>
    <t>ENSMUST00000086232.1</t>
  </si>
  <si>
    <t>ENSMUST00000072801.3</t>
  </si>
  <si>
    <t>ENSMUST00000086229.2</t>
  </si>
  <si>
    <t>ENSMUST00000086228.1</t>
  </si>
  <si>
    <t>ENSMUST00000094829.1</t>
  </si>
  <si>
    <t>ENSMUST00000094828.2</t>
  </si>
  <si>
    <t>ENSMUST00000094827.1</t>
  </si>
  <si>
    <t>ENSMUST00000171783.1</t>
  </si>
  <si>
    <t>ENSMUST00000053008.4</t>
  </si>
  <si>
    <t>ENSMUST00000171186.1</t>
  </si>
  <si>
    <t>ENSMUST00000181796.1</t>
  </si>
  <si>
    <t>ENSMUST00000165330.1</t>
  </si>
  <si>
    <t>ENSMUST00000098747.1</t>
  </si>
  <si>
    <t>ENSMUST00000164526.1</t>
  </si>
  <si>
    <t>ENSMUST00000168984.1</t>
  </si>
  <si>
    <t>ENSMUST00000099416.3</t>
  </si>
  <si>
    <t>ENSMUST00000175853.1</t>
  </si>
  <si>
    <t>ENSMUST00000096792.5</t>
  </si>
  <si>
    <t>ENSMUST00000029406.4</t>
  </si>
  <si>
    <t>ENSMUST00000079163.3</t>
  </si>
  <si>
    <t>ENSMUST00000166081.1</t>
  </si>
  <si>
    <t>ENSMUST00000171914.1</t>
  </si>
  <si>
    <t>ENSMUST00000171741.1</t>
  </si>
  <si>
    <t>ENSMUST00000172203.1</t>
  </si>
  <si>
    <t>ENSMUST00000168050.1</t>
  </si>
  <si>
    <t>ENSMUST00000167382.1</t>
  </si>
  <si>
    <t>ENSMUST00000167464.1</t>
  </si>
  <si>
    <t>ENSMUST00000042090.6</t>
  </si>
  <si>
    <t>ENSMUST00000167314.1</t>
  </si>
  <si>
    <t>ENSMUST00000167093.1</t>
  </si>
  <si>
    <t>ENSMUST00000164875.1</t>
  </si>
  <si>
    <t>ENSMUST00000169559.1</t>
  </si>
  <si>
    <t>ENSMUST00000092491.5</t>
  </si>
  <si>
    <t>ENSMUST00000097381.3</t>
  </si>
  <si>
    <t>ENSMUST00000170322.1</t>
  </si>
  <si>
    <t>ENSMUST00000168033.1</t>
  </si>
  <si>
    <t>ENSMUST00000168175.1</t>
  </si>
  <si>
    <t>ENSMUST00000164856.1</t>
  </si>
  <si>
    <t>ENSMUST00000171996.1</t>
  </si>
  <si>
    <t>ENSMUST00000168440.1</t>
  </si>
  <si>
    <t>ENSMUST00000095922.3</t>
  </si>
  <si>
    <t>ENSMUST00000165781.1</t>
  </si>
  <si>
    <t>ENSMUST00000094491.3</t>
  </si>
  <si>
    <t>ENSMUST00000176802.1</t>
  </si>
  <si>
    <t>ENSMUST00000053253.8</t>
  </si>
  <si>
    <t>ENSMUST00000170341.1</t>
  </si>
  <si>
    <t>ENSMUST00000167133.1</t>
  </si>
  <si>
    <t>ENSMUST00000165180.1</t>
  </si>
  <si>
    <t>ENSMUST00000171841.1</t>
  </si>
  <si>
    <t>ENSMUST00000165928.1</t>
  </si>
  <si>
    <t>ENSMUST00000073948.6</t>
  </si>
  <si>
    <t>ENSMUST00000177151.1</t>
  </si>
  <si>
    <t>ENSMUST00000172199.1</t>
  </si>
  <si>
    <t>ENSMUST00000163607.1</t>
  </si>
  <si>
    <t>ENSMUST00000170808.1</t>
  </si>
  <si>
    <t>ENSMUST00000172391.2</t>
  </si>
  <si>
    <t>ENSMUST00000075095.5</t>
  </si>
  <si>
    <t>ENSMUST00000162046.1</t>
  </si>
  <si>
    <t>ENSMUST00000032238.3</t>
  </si>
  <si>
    <t>ENSMUST00000100968.2</t>
  </si>
  <si>
    <t>ENSMUST00000086297.5</t>
  </si>
  <si>
    <t>ENSMUST00000170922.1</t>
  </si>
  <si>
    <t>ENSMUST00000176328.1</t>
  </si>
  <si>
    <t>ENSMUST00000072475.6</t>
  </si>
  <si>
    <t>ENSMUST00000075108.6</t>
  </si>
  <si>
    <t>ENSMUST00000094866.4</t>
  </si>
  <si>
    <t>ENSMUST00000165921.1</t>
  </si>
  <si>
    <t>ENSMUST00000173459.1</t>
  </si>
  <si>
    <t>ENSMUST00000169683.1</t>
  </si>
  <si>
    <t>ENSMUST00000170402.2</t>
  </si>
  <si>
    <t>ENSMUST00000072787.4</t>
  </si>
  <si>
    <t>ENSMUST00000108554.3</t>
  </si>
  <si>
    <t>ENSMUST00000174388.1</t>
  </si>
  <si>
    <t>ENSMUST00000175724.1</t>
  </si>
  <si>
    <t>ENSMUST00000169206.3</t>
  </si>
  <si>
    <t>ENSMUST00000168807.2</t>
  </si>
  <si>
    <t>ENSMUST00000086282.5</t>
  </si>
  <si>
    <t>ENSMUST00000066317.4</t>
  </si>
  <si>
    <t>ENSMUST00000166499.1</t>
  </si>
  <si>
    <t>ENSMUST00000164845.2</t>
  </si>
  <si>
    <t>ENSMUST00000171523.1</t>
  </si>
  <si>
    <t>ENSMUST00000170131.1</t>
  </si>
  <si>
    <t>ENSMUST00000165611.1</t>
  </si>
  <si>
    <t>ENSMUST00000108550.2</t>
  </si>
  <si>
    <t>ENSMUST00000177184.1</t>
  </si>
  <si>
    <t>ENSMUST00000086298.6</t>
  </si>
  <si>
    <t>ENSMUST00000094863.4</t>
  </si>
  <si>
    <t>ENSMUST00000164918.1</t>
  </si>
  <si>
    <t>ENSMUST00000170412.1</t>
  </si>
  <si>
    <t>ENSMUST00000086210.5</t>
  </si>
  <si>
    <t>ENSMUST00000172743.1</t>
  </si>
  <si>
    <t>ENSMUST00000163852.1</t>
  </si>
  <si>
    <t>ENSMUST00000165029.1</t>
  </si>
  <si>
    <t>ENSMUST00000171671.1</t>
  </si>
  <si>
    <t>ENSMUST00000168489.1</t>
  </si>
  <si>
    <t>ENSMUST00000176481.1</t>
  </si>
  <si>
    <t>ENSMUST00000166447.1</t>
  </si>
  <si>
    <t>ENSMUST00000166131.1</t>
  </si>
  <si>
    <t>ENSMUST00000169130.1</t>
  </si>
  <si>
    <t>ENSMUST00000163803.1</t>
  </si>
  <si>
    <t>ENSMUST00000044583.8</t>
  </si>
  <si>
    <t>ENSMUST00000124773.1</t>
  </si>
  <si>
    <t>ENSMUST00000168730.1</t>
  </si>
  <si>
    <t>ENSMUST00000061074.8</t>
  </si>
  <si>
    <t>ENSMUST00000171213.1</t>
  </si>
  <si>
    <t>ENSMUST00000168230.1</t>
  </si>
  <si>
    <t>ENSMUST00000172338.1</t>
  </si>
  <si>
    <t>ENSMUST00000063425.7</t>
  </si>
  <si>
    <t>ENSMUST00000077478.6</t>
  </si>
  <si>
    <t>ENSMUST00000166355.1</t>
  </si>
  <si>
    <t>ENSMUST00000167830.1</t>
  </si>
  <si>
    <t>ENSMUST00000165771.1</t>
  </si>
  <si>
    <t>ENSMUST00000164996.1</t>
  </si>
  <si>
    <t>ENSMUST00000170835.2</t>
  </si>
  <si>
    <t>ENSMUST00000164462.1</t>
  </si>
  <si>
    <t>ENSMUST00000172140.1</t>
  </si>
  <si>
    <t>ENSMUST00000165834.2</t>
  </si>
  <si>
    <t>ENSMUST00000020547.8</t>
  </si>
  <si>
    <t>ENSMUST00000170596.2</t>
  </si>
  <si>
    <t>ENSMUST00000167976.2</t>
  </si>
  <si>
    <t>ENSMUST00000094502.4</t>
  </si>
  <si>
    <t>ENSMUST00000171811.2</t>
  </si>
  <si>
    <t>ENSMUST00000170257.2</t>
  </si>
  <si>
    <t>ENSMUST00000164227.2</t>
  </si>
  <si>
    <t>ENSMUST00000022438.5</t>
  </si>
  <si>
    <t>ENSMUST00000159611.1,ENSMUST00000159734.1</t>
  </si>
  <si>
    <t>ENSMUST00000170419.1</t>
  </si>
  <si>
    <t>ENSMUST00000169805.1</t>
  </si>
  <si>
    <t>ENSMUST00000172359.1</t>
  </si>
  <si>
    <t>ENSMUST00000169686.1</t>
  </si>
  <si>
    <t>ENSMUST00000079206.6</t>
  </si>
  <si>
    <t>ENSMUST00000172190.2</t>
  </si>
  <si>
    <t>ENSMUST00000166327.1</t>
  </si>
  <si>
    <t>ENSMUST00000165692.1</t>
  </si>
  <si>
    <t>ENSMUST00000177244.1</t>
  </si>
  <si>
    <t>ENSMUST00000168710.1</t>
  </si>
  <si>
    <t>ENSMUST00000170424.1</t>
  </si>
  <si>
    <t>ENSMUST00000176107.1</t>
  </si>
  <si>
    <t>ENSMUST00000097796.2</t>
  </si>
  <si>
    <t>ENSMUST00000174598.1</t>
  </si>
  <si>
    <t>ENSMUST00000178270.1</t>
  </si>
  <si>
    <t>ENSMUST00000076713.4</t>
  </si>
  <si>
    <t>ENSMUST00000184730.1,ENSMUST00000184392.1,ENSMUST00000096285.4</t>
  </si>
  <si>
    <t>ENSMUST00000012426.2</t>
  </si>
  <si>
    <t>ENSMUST00000101486.4</t>
  </si>
  <si>
    <t>ENSMUST00000078574.5</t>
  </si>
  <si>
    <t>ENSMUST00000114520.1</t>
  </si>
  <si>
    <t>ENSMUST00000179600.1</t>
  </si>
  <si>
    <t>ENSMUST00000114503.2</t>
  </si>
  <si>
    <t>ENSMUST00000167242.1,ENSMUST00000022696.6</t>
  </si>
  <si>
    <t>ENSMUST00000073528.2</t>
  </si>
  <si>
    <t>ENSMUST00000118769.1</t>
  </si>
  <si>
    <t>ENSMUST00000077225.6</t>
  </si>
  <si>
    <t>ENSMUST00000094276.3</t>
  </si>
  <si>
    <t>ENSMUST00000082183.6</t>
  </si>
  <si>
    <t>ENSMUST00000111769.3</t>
  </si>
  <si>
    <t>ENSMUST00000095521.2</t>
  </si>
  <si>
    <t>ENSMUST00000079642.6</t>
  </si>
  <si>
    <t>ENSMUST00000079237.5</t>
  </si>
  <si>
    <t>ENSMUST00000177916.1</t>
  </si>
  <si>
    <t>ENSMUST00000109914.1</t>
  </si>
  <si>
    <t>ENSMUST00000080541.4</t>
  </si>
  <si>
    <t>ENSMUST00000107129.1</t>
  </si>
  <si>
    <t>ENSMUST00000090766.5</t>
  </si>
  <si>
    <t>ENSMUST00000111831.1</t>
  </si>
  <si>
    <t>ENSMUST00000103119.3</t>
  </si>
  <si>
    <t>ENSMUST00000085664.5</t>
  </si>
  <si>
    <t>ENSMUST00000117638.1</t>
  </si>
  <si>
    <t>ENSMUST00000108509.1</t>
  </si>
  <si>
    <t>ENSMUST00000092750.5</t>
  </si>
  <si>
    <t>ENSMUST00000168483.2</t>
  </si>
  <si>
    <t>ENSMUST00000178159.1</t>
  </si>
  <si>
    <t>ENSMUST00000080175.6</t>
  </si>
  <si>
    <t>ENSMUST00000071320.4</t>
  </si>
  <si>
    <t>ENSMUST00000105884.1</t>
  </si>
  <si>
    <t>ENSMUST00000091481.2</t>
  </si>
  <si>
    <t>ENSMUST00000074455.7</t>
  </si>
  <si>
    <t>ENSMUST00000061720.4</t>
  </si>
  <si>
    <t>ENSMUST00000076281.5</t>
  </si>
  <si>
    <t>ENSMUST00000164784.1</t>
  </si>
  <si>
    <t>ENSMUST00000059452.5</t>
  </si>
  <si>
    <t>ENSMUST00000180024.1</t>
  </si>
  <si>
    <t>ENSMUST00000180336.1</t>
  </si>
  <si>
    <t>ENSMUST00000108924.2</t>
  </si>
  <si>
    <t>ENSMUST00000082203.6</t>
  </si>
  <si>
    <t>ENSMUST00000074295.7</t>
  </si>
  <si>
    <t>ENSMUST00000091879.5</t>
  </si>
  <si>
    <t>ENSMUST00000089906.6</t>
  </si>
  <si>
    <t>ENSMUST00000008830.8</t>
  </si>
  <si>
    <t>ENSMUST00000147630.1</t>
  </si>
  <si>
    <t>ENSMUST00000065545.4</t>
  </si>
  <si>
    <t>ENSMUST00000063980.6</t>
  </si>
  <si>
    <t>ENSMUST00000172492.1</t>
  </si>
  <si>
    <t>ENSMUST00000095595.2</t>
  </si>
  <si>
    <t>ENSMUST00000094116.3</t>
  </si>
  <si>
    <t>ENSMUST00000168158.2</t>
  </si>
  <si>
    <t>ENSMUST00000131379.2</t>
  </si>
  <si>
    <t>ENSMUST00000067210.4,ENSMUST00000165848.2</t>
  </si>
  <si>
    <t>ENSMUST00000166753.1</t>
  </si>
  <si>
    <t>ENSMUST00000145237.1,ENSMUST00000141491.1,ENSMUST00000091440.2</t>
  </si>
  <si>
    <t>ENSMUST00000072662.5</t>
  </si>
  <si>
    <t>ENSMUST00000165445.2</t>
  </si>
  <si>
    <t>ENSMUST00000101388.2</t>
  </si>
  <si>
    <t>ENSMUST00000029123.2</t>
  </si>
  <si>
    <t>ENSMUST00000109697.1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</si>
</sst>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884"/>
  <sheetViews>
    <sheetView workbookViewId="0">
      <selection activeCell="D1" sqref="D1:I1048576"/>
    </sheetView>
  </sheetViews>
  <sheetFormatPr baseColWidth="10" defaultRowHeight="16" x14ac:dyDescent="0.2"/>
  <cols>
    <col min="1" max="1" width="17.33203125" bestFit="1" customWidth="1"/>
    <col min="2" max="2" width="18.5" customWidth="1"/>
    <col min="3" max="3" width="11.83203125" bestFit="1" customWidth="1"/>
    <col min="4" max="4" width="6.33203125" bestFit="1" customWidth="1"/>
    <col min="5" max="5" width="19.1640625" bestFit="1" customWidth="1"/>
    <col min="6" max="7" width="13.1640625" bestFit="1" customWidth="1"/>
    <col min="8" max="9" width="15.1640625" bestFit="1" customWidth="1"/>
  </cols>
  <sheetData>
    <row r="1" spans="1:9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tr">
        <f>"A1BG"</f>
        <v>A1BG</v>
      </c>
      <c r="B2" t="s">
        <v>9</v>
      </c>
      <c r="C2" t="s">
        <v>10</v>
      </c>
      <c r="D2" t="s">
        <v>11</v>
      </c>
      <c r="E2" t="s">
        <v>12</v>
      </c>
      <c r="F2">
        <v>58858938</v>
      </c>
      <c r="G2">
        <v>58859039</v>
      </c>
      <c r="H2">
        <v>58858938</v>
      </c>
      <c r="I2">
        <v>58859039</v>
      </c>
    </row>
    <row r="3" spans="1:9" x14ac:dyDescent="0.2">
      <c r="A3" s="1" t="str">
        <f>"A1BG"</f>
        <v>A1BG</v>
      </c>
      <c r="B3" t="s">
        <v>13</v>
      </c>
      <c r="C3" t="s">
        <v>10</v>
      </c>
      <c r="D3" t="s">
        <v>11</v>
      </c>
      <c r="E3" t="s">
        <v>12</v>
      </c>
      <c r="F3">
        <v>58864822</v>
      </c>
      <c r="G3">
        <v>58864847</v>
      </c>
      <c r="H3">
        <v>58864822</v>
      </c>
      <c r="I3">
        <v>58864847</v>
      </c>
    </row>
    <row r="4" spans="1:9" x14ac:dyDescent="0.2">
      <c r="A4" s="1" t="str">
        <f>"A1CF"</f>
        <v>A1CF</v>
      </c>
      <c r="B4" t="s">
        <v>14</v>
      </c>
      <c r="C4" t="s">
        <v>15</v>
      </c>
      <c r="D4" t="s">
        <v>11</v>
      </c>
      <c r="E4" t="s">
        <v>12</v>
      </c>
      <c r="F4">
        <v>52645379</v>
      </c>
      <c r="G4">
        <v>52645393</v>
      </c>
      <c r="H4">
        <v>52645379</v>
      </c>
      <c r="I4">
        <v>52645393</v>
      </c>
    </row>
    <row r="5" spans="1:9" x14ac:dyDescent="0.2">
      <c r="A5" s="1" t="str">
        <f>"A2M"</f>
        <v>A2M</v>
      </c>
      <c r="B5" t="s">
        <v>14</v>
      </c>
      <c r="C5" t="s">
        <v>16</v>
      </c>
      <c r="D5" t="s">
        <v>11</v>
      </c>
      <c r="E5" t="s">
        <v>12</v>
      </c>
      <c r="F5">
        <v>9268507</v>
      </c>
      <c r="G5">
        <v>9268523</v>
      </c>
      <c r="H5">
        <v>9268528</v>
      </c>
      <c r="I5">
        <v>9268542</v>
      </c>
    </row>
    <row r="6" spans="1:9" x14ac:dyDescent="0.2">
      <c r="A6" s="1" t="str">
        <f>"A2ML1"</f>
        <v>A2ML1</v>
      </c>
      <c r="B6" t="s">
        <v>14</v>
      </c>
      <c r="C6" t="s">
        <v>16</v>
      </c>
      <c r="D6" t="s">
        <v>17</v>
      </c>
      <c r="E6" t="s">
        <v>12</v>
      </c>
      <c r="F6">
        <v>8975206</v>
      </c>
      <c r="G6">
        <v>8975223</v>
      </c>
      <c r="H6">
        <v>8975144</v>
      </c>
      <c r="I6">
        <v>8975169</v>
      </c>
    </row>
    <row r="7" spans="1:9" x14ac:dyDescent="0.2">
      <c r="A7" s="1" t="str">
        <f>"A3GALT2"</f>
        <v>A3GALT2</v>
      </c>
      <c r="B7" t="s">
        <v>18</v>
      </c>
      <c r="C7" t="s">
        <v>19</v>
      </c>
      <c r="D7" t="s">
        <v>11</v>
      </c>
      <c r="E7" t="s">
        <v>20</v>
      </c>
      <c r="F7">
        <v>33786698</v>
      </c>
      <c r="G7">
        <v>33786698</v>
      </c>
      <c r="H7">
        <v>33786698</v>
      </c>
      <c r="I7">
        <v>33786698</v>
      </c>
    </row>
    <row r="8" spans="1:9" x14ac:dyDescent="0.2">
      <c r="A8" s="1" t="str">
        <f>"A4GALT"</f>
        <v>A4GALT</v>
      </c>
      <c r="B8" t="s">
        <v>14</v>
      </c>
      <c r="C8" t="s">
        <v>21</v>
      </c>
      <c r="D8" t="s">
        <v>11</v>
      </c>
      <c r="E8" t="s">
        <v>12</v>
      </c>
      <c r="F8">
        <v>43116867</v>
      </c>
      <c r="G8">
        <v>43116885</v>
      </c>
      <c r="H8">
        <v>43116819</v>
      </c>
      <c r="I8">
        <v>43116859</v>
      </c>
    </row>
    <row r="9" spans="1:9" x14ac:dyDescent="0.2">
      <c r="A9" s="1" t="str">
        <f>"A4GNT"</f>
        <v>A4GNT</v>
      </c>
      <c r="B9" t="s">
        <v>14</v>
      </c>
      <c r="C9" t="s">
        <v>22</v>
      </c>
      <c r="D9" t="s">
        <v>11</v>
      </c>
      <c r="E9" t="s">
        <v>12</v>
      </c>
      <c r="F9">
        <v>137851220</v>
      </c>
      <c r="G9">
        <v>137851236</v>
      </c>
      <c r="H9">
        <v>137851220</v>
      </c>
      <c r="I9">
        <v>137851236</v>
      </c>
    </row>
    <row r="10" spans="1:9" x14ac:dyDescent="0.2">
      <c r="A10" s="1" t="str">
        <f>"AAAS"</f>
        <v>AAAS</v>
      </c>
      <c r="B10" t="s">
        <v>14</v>
      </c>
      <c r="C10" t="s">
        <v>16</v>
      </c>
      <c r="D10" t="s">
        <v>11</v>
      </c>
      <c r="E10" t="s">
        <v>12</v>
      </c>
      <c r="F10">
        <v>53715328</v>
      </c>
      <c r="G10">
        <v>53715411</v>
      </c>
      <c r="H10">
        <v>53715027</v>
      </c>
      <c r="I10">
        <v>53715096</v>
      </c>
    </row>
    <row r="11" spans="1:9" x14ac:dyDescent="0.2">
      <c r="A11" s="1" t="str">
        <f>"AACS"</f>
        <v>AACS</v>
      </c>
      <c r="B11" t="s">
        <v>14</v>
      </c>
      <c r="C11" t="s">
        <v>16</v>
      </c>
      <c r="D11" t="s">
        <v>17</v>
      </c>
      <c r="E11" t="s">
        <v>12</v>
      </c>
      <c r="F11">
        <v>125549973</v>
      </c>
      <c r="G11">
        <v>125549995</v>
      </c>
      <c r="H11">
        <v>125549932</v>
      </c>
      <c r="I11">
        <v>125549956</v>
      </c>
    </row>
    <row r="12" spans="1:9" x14ac:dyDescent="0.2">
      <c r="A12" s="1" t="str">
        <f>"AADAC"</f>
        <v>AADAC</v>
      </c>
      <c r="B12" t="s">
        <v>14</v>
      </c>
      <c r="C12" t="s">
        <v>22</v>
      </c>
      <c r="D12" t="s">
        <v>17</v>
      </c>
      <c r="E12" t="s">
        <v>12</v>
      </c>
      <c r="F12">
        <v>151531890</v>
      </c>
      <c r="G12">
        <v>151531915</v>
      </c>
      <c r="H12">
        <v>151531810</v>
      </c>
      <c r="I12">
        <v>151531849</v>
      </c>
    </row>
    <row r="13" spans="1:9" x14ac:dyDescent="0.2">
      <c r="A13" s="1" t="str">
        <f>"AADACL2"</f>
        <v>AADACL2</v>
      </c>
      <c r="B13" t="s">
        <v>14</v>
      </c>
      <c r="C13" t="s">
        <v>22</v>
      </c>
      <c r="D13" t="s">
        <v>17</v>
      </c>
      <c r="E13" t="s">
        <v>12</v>
      </c>
      <c r="F13">
        <v>151451707</v>
      </c>
      <c r="G13">
        <v>151451722</v>
      </c>
      <c r="H13">
        <v>151451707</v>
      </c>
      <c r="I13">
        <v>151451722</v>
      </c>
    </row>
    <row r="14" spans="1:9" x14ac:dyDescent="0.2">
      <c r="A14" s="1" t="str">
        <f>"AADACL3"</f>
        <v>AADACL3</v>
      </c>
      <c r="B14" t="s">
        <v>14</v>
      </c>
      <c r="C14" t="s">
        <v>19</v>
      </c>
      <c r="D14" t="s">
        <v>17</v>
      </c>
      <c r="E14" t="s">
        <v>12</v>
      </c>
      <c r="F14">
        <v>12776111</v>
      </c>
      <c r="G14">
        <v>12776119</v>
      </c>
      <c r="H14">
        <v>12776111</v>
      </c>
      <c r="I14">
        <v>12776119</v>
      </c>
    </row>
    <row r="15" spans="1:9" x14ac:dyDescent="0.2">
      <c r="A15" s="1" t="str">
        <f>"AADACL4"</f>
        <v>AADACL4</v>
      </c>
      <c r="B15" t="s">
        <v>14</v>
      </c>
      <c r="C15" t="s">
        <v>19</v>
      </c>
      <c r="D15" t="s">
        <v>17</v>
      </c>
      <c r="E15" t="s">
        <v>12</v>
      </c>
      <c r="F15">
        <v>12704499</v>
      </c>
      <c r="G15">
        <v>12704541</v>
      </c>
      <c r="H15">
        <v>12704499</v>
      </c>
      <c r="I15">
        <v>12704541</v>
      </c>
    </row>
    <row r="16" spans="1:9" x14ac:dyDescent="0.2">
      <c r="A16" s="1" t="str">
        <f>"AADAT"</f>
        <v>AADAT</v>
      </c>
      <c r="B16" t="s">
        <v>14</v>
      </c>
      <c r="C16" t="s">
        <v>23</v>
      </c>
      <c r="D16" t="s">
        <v>11</v>
      </c>
      <c r="E16" t="s">
        <v>12</v>
      </c>
      <c r="F16">
        <v>171011323</v>
      </c>
      <c r="G16">
        <v>171011408</v>
      </c>
      <c r="H16">
        <v>171011084</v>
      </c>
      <c r="I16">
        <v>171011147</v>
      </c>
    </row>
    <row r="17" spans="1:9" x14ac:dyDescent="0.2">
      <c r="A17" s="1" t="str">
        <f>"AAED1"</f>
        <v>AAED1</v>
      </c>
      <c r="B17" t="s">
        <v>14</v>
      </c>
      <c r="C17" t="s">
        <v>24</v>
      </c>
      <c r="D17" t="s">
        <v>11</v>
      </c>
      <c r="E17" t="s">
        <v>12</v>
      </c>
      <c r="F17">
        <v>99417562</v>
      </c>
      <c r="G17">
        <v>99417609</v>
      </c>
      <c r="H17">
        <v>99417615</v>
      </c>
      <c r="I17">
        <v>99417622</v>
      </c>
    </row>
    <row r="18" spans="1:9" x14ac:dyDescent="0.2">
      <c r="A18" s="1" t="str">
        <f>"AAGAB"</f>
        <v>AAGAB</v>
      </c>
      <c r="B18" t="s">
        <v>14</v>
      </c>
      <c r="C18" t="s">
        <v>25</v>
      </c>
      <c r="D18" t="s">
        <v>11</v>
      </c>
      <c r="E18" t="s">
        <v>12</v>
      </c>
      <c r="F18">
        <v>67546963</v>
      </c>
      <c r="G18">
        <v>67547024</v>
      </c>
      <c r="H18">
        <v>67546963</v>
      </c>
      <c r="I18">
        <v>67547024</v>
      </c>
    </row>
    <row r="19" spans="1:9" x14ac:dyDescent="0.2">
      <c r="A19" s="1" t="str">
        <f>"AAK1"</f>
        <v>AAK1</v>
      </c>
      <c r="B19" t="s">
        <v>14</v>
      </c>
      <c r="C19" t="s">
        <v>26</v>
      </c>
      <c r="D19" t="s">
        <v>11</v>
      </c>
      <c r="E19" t="s">
        <v>12</v>
      </c>
      <c r="F19">
        <v>69870747</v>
      </c>
      <c r="G19">
        <v>69870812</v>
      </c>
      <c r="H19">
        <v>69870854</v>
      </c>
      <c r="I19">
        <v>69870878</v>
      </c>
    </row>
    <row r="20" spans="1:9" x14ac:dyDescent="0.2">
      <c r="A20" s="1" t="str">
        <f>"AAMDC"</f>
        <v>AAMDC</v>
      </c>
      <c r="B20" t="s">
        <v>14</v>
      </c>
      <c r="C20" t="s">
        <v>27</v>
      </c>
      <c r="D20" t="s">
        <v>17</v>
      </c>
      <c r="E20" t="s">
        <v>12</v>
      </c>
      <c r="F20">
        <v>77532171</v>
      </c>
      <c r="G20">
        <v>77532210</v>
      </c>
      <c r="H20">
        <v>77532233</v>
      </c>
      <c r="I20">
        <v>77532244</v>
      </c>
    </row>
    <row r="21" spans="1:9" x14ac:dyDescent="0.2">
      <c r="A21" s="1" t="str">
        <f>"AAMP"</f>
        <v>AAMP</v>
      </c>
      <c r="B21" t="s">
        <v>14</v>
      </c>
      <c r="C21" t="s">
        <v>26</v>
      </c>
      <c r="D21" t="s">
        <v>11</v>
      </c>
      <c r="E21" t="s">
        <v>12</v>
      </c>
      <c r="F21">
        <v>219134822</v>
      </c>
      <c r="G21">
        <v>219134898</v>
      </c>
      <c r="H21">
        <v>219134430</v>
      </c>
      <c r="I21">
        <v>219134472</v>
      </c>
    </row>
    <row r="22" spans="1:9" x14ac:dyDescent="0.2">
      <c r="A22" s="1" t="str">
        <f>"AANAT"</f>
        <v>AANAT</v>
      </c>
      <c r="B22" t="s">
        <v>14</v>
      </c>
      <c r="C22" t="s">
        <v>28</v>
      </c>
      <c r="D22" t="s">
        <v>17</v>
      </c>
      <c r="E22" t="s">
        <v>12</v>
      </c>
      <c r="F22">
        <v>74463679</v>
      </c>
      <c r="G22">
        <v>74463701</v>
      </c>
      <c r="H22">
        <v>74463711</v>
      </c>
      <c r="I22">
        <v>74463736</v>
      </c>
    </row>
    <row r="23" spans="1:9" x14ac:dyDescent="0.2">
      <c r="A23" s="1" t="str">
        <f>"AAR2"</f>
        <v>AAR2</v>
      </c>
      <c r="B23" t="s">
        <v>14</v>
      </c>
      <c r="C23" t="s">
        <v>29</v>
      </c>
      <c r="D23" t="s">
        <v>17</v>
      </c>
      <c r="E23" t="s">
        <v>12</v>
      </c>
      <c r="F23">
        <v>34824355</v>
      </c>
      <c r="G23">
        <v>34824408</v>
      </c>
      <c r="H23">
        <v>34824448</v>
      </c>
      <c r="I23">
        <v>34824459</v>
      </c>
    </row>
    <row r="24" spans="1:9" x14ac:dyDescent="0.2">
      <c r="A24" s="1" t="str">
        <f>"AARD"</f>
        <v>AARD</v>
      </c>
      <c r="B24" t="s">
        <v>14</v>
      </c>
      <c r="C24" t="s">
        <v>30</v>
      </c>
      <c r="D24" t="s">
        <v>17</v>
      </c>
      <c r="E24" t="s">
        <v>12</v>
      </c>
      <c r="F24">
        <v>117950422</v>
      </c>
      <c r="G24">
        <v>117950468</v>
      </c>
      <c r="H24">
        <v>117950745</v>
      </c>
      <c r="I24">
        <v>117950762</v>
      </c>
    </row>
    <row r="25" spans="1:9" x14ac:dyDescent="0.2">
      <c r="A25" s="1" t="str">
        <f>"AARS"</f>
        <v>AARS</v>
      </c>
      <c r="B25" t="s">
        <v>14</v>
      </c>
      <c r="C25" t="s">
        <v>31</v>
      </c>
      <c r="D25" t="s">
        <v>11</v>
      </c>
      <c r="E25" t="s">
        <v>12</v>
      </c>
      <c r="F25">
        <v>70323383</v>
      </c>
      <c r="G25">
        <v>70323421</v>
      </c>
      <c r="H25">
        <v>70323422</v>
      </c>
      <c r="I25">
        <v>70323463</v>
      </c>
    </row>
    <row r="26" spans="1:9" x14ac:dyDescent="0.2">
      <c r="A26" s="1" t="str">
        <f>"AARS2"</f>
        <v>AARS2</v>
      </c>
      <c r="B26" t="s">
        <v>14</v>
      </c>
      <c r="C26" t="s">
        <v>32</v>
      </c>
      <c r="D26" t="s">
        <v>11</v>
      </c>
      <c r="E26" t="s">
        <v>12</v>
      </c>
      <c r="F26">
        <v>44281043</v>
      </c>
      <c r="G26">
        <v>44281091</v>
      </c>
      <c r="H26">
        <v>44281043</v>
      </c>
      <c r="I26">
        <v>44281091</v>
      </c>
    </row>
    <row r="27" spans="1:9" x14ac:dyDescent="0.2">
      <c r="A27" s="1" t="str">
        <f>"AARSD1"</f>
        <v>AARSD1</v>
      </c>
      <c r="B27" t="s">
        <v>9</v>
      </c>
      <c r="C27" t="s">
        <v>28</v>
      </c>
      <c r="D27" t="s">
        <v>11</v>
      </c>
      <c r="E27" t="s">
        <v>12</v>
      </c>
      <c r="F27">
        <v>41116454</v>
      </c>
      <c r="G27">
        <v>41116497</v>
      </c>
      <c r="H27">
        <v>41116454</v>
      </c>
      <c r="I27">
        <v>41116497</v>
      </c>
    </row>
    <row r="28" spans="1:9" x14ac:dyDescent="0.2">
      <c r="A28" s="1" t="str">
        <f>"AARSD1"</f>
        <v>AARSD1</v>
      </c>
      <c r="B28" t="s">
        <v>13</v>
      </c>
      <c r="C28" t="s">
        <v>28</v>
      </c>
      <c r="D28" t="s">
        <v>11</v>
      </c>
      <c r="E28" t="s">
        <v>12</v>
      </c>
      <c r="F28">
        <v>41132088</v>
      </c>
      <c r="G28">
        <v>41132107</v>
      </c>
      <c r="H28">
        <v>41132088</v>
      </c>
      <c r="I28">
        <v>41132107</v>
      </c>
    </row>
    <row r="29" spans="1:9" x14ac:dyDescent="0.2">
      <c r="A29" s="1" t="str">
        <f>"AASDH"</f>
        <v>AASDH</v>
      </c>
      <c r="B29" t="s">
        <v>14</v>
      </c>
      <c r="C29" t="s">
        <v>23</v>
      </c>
      <c r="D29" t="s">
        <v>11</v>
      </c>
      <c r="E29" t="s">
        <v>12</v>
      </c>
      <c r="F29">
        <v>57253587</v>
      </c>
      <c r="G29">
        <v>57253670</v>
      </c>
      <c r="H29">
        <v>57253587</v>
      </c>
      <c r="I29">
        <v>57253670</v>
      </c>
    </row>
    <row r="30" spans="1:9" x14ac:dyDescent="0.2">
      <c r="A30" s="1" t="str">
        <f>"AASDHPPT"</f>
        <v>AASDHPPT</v>
      </c>
      <c r="B30" t="s">
        <v>14</v>
      </c>
      <c r="C30" t="s">
        <v>27</v>
      </c>
      <c r="D30" t="s">
        <v>17</v>
      </c>
      <c r="E30" t="s">
        <v>12</v>
      </c>
      <c r="F30">
        <v>105948366</v>
      </c>
      <c r="G30">
        <v>105948416</v>
      </c>
      <c r="H30">
        <v>105948420</v>
      </c>
      <c r="I30">
        <v>105948438</v>
      </c>
    </row>
    <row r="31" spans="1:9" x14ac:dyDescent="0.2">
      <c r="A31" s="1" t="str">
        <f>"AASS"</f>
        <v>AASS</v>
      </c>
      <c r="B31" t="s">
        <v>14</v>
      </c>
      <c r="C31" t="s">
        <v>33</v>
      </c>
      <c r="D31" t="s">
        <v>11</v>
      </c>
      <c r="E31" t="s">
        <v>12</v>
      </c>
      <c r="F31">
        <v>121784285</v>
      </c>
      <c r="G31">
        <v>121784350</v>
      </c>
      <c r="H31">
        <v>121784265</v>
      </c>
      <c r="I31">
        <v>121784276</v>
      </c>
    </row>
    <row r="32" spans="1:9" x14ac:dyDescent="0.2">
      <c r="A32" s="1" t="str">
        <f>"AATF"</f>
        <v>AATF</v>
      </c>
      <c r="B32" t="s">
        <v>14</v>
      </c>
      <c r="C32" t="s">
        <v>28</v>
      </c>
      <c r="D32" t="s">
        <v>17</v>
      </c>
      <c r="E32" t="s">
        <v>12</v>
      </c>
      <c r="F32">
        <v>35306233</v>
      </c>
      <c r="G32">
        <v>35306325</v>
      </c>
      <c r="H32">
        <v>35306379</v>
      </c>
      <c r="I32">
        <v>35306386</v>
      </c>
    </row>
    <row r="33" spans="1:9" x14ac:dyDescent="0.2">
      <c r="A33" s="1" t="str">
        <f>"AATK"</f>
        <v>AATK</v>
      </c>
      <c r="B33" t="s">
        <v>34</v>
      </c>
      <c r="C33" t="s">
        <v>28</v>
      </c>
      <c r="D33" t="s">
        <v>11</v>
      </c>
      <c r="E33" t="s">
        <v>35</v>
      </c>
      <c r="F33">
        <v>79139961</v>
      </c>
      <c r="G33">
        <v>79140050</v>
      </c>
      <c r="H33">
        <v>79139614</v>
      </c>
      <c r="I33">
        <v>79139639</v>
      </c>
    </row>
    <row r="34" spans="1:9" x14ac:dyDescent="0.2">
      <c r="A34" s="1" t="str">
        <f>"ABAT"</f>
        <v>ABAT</v>
      </c>
      <c r="B34" t="s">
        <v>9</v>
      </c>
      <c r="C34" t="s">
        <v>31</v>
      </c>
      <c r="D34" t="s">
        <v>17</v>
      </c>
      <c r="E34" t="s">
        <v>12</v>
      </c>
      <c r="F34">
        <v>8768462</v>
      </c>
      <c r="G34">
        <v>8768484</v>
      </c>
      <c r="H34">
        <v>8768462</v>
      </c>
      <c r="I34">
        <v>8768484</v>
      </c>
    </row>
    <row r="35" spans="1:9" x14ac:dyDescent="0.2">
      <c r="A35" s="1" t="str">
        <f>"ABAT"</f>
        <v>ABAT</v>
      </c>
      <c r="B35" t="s">
        <v>13</v>
      </c>
      <c r="C35" t="s">
        <v>31</v>
      </c>
      <c r="D35" t="s">
        <v>17</v>
      </c>
      <c r="E35" t="s">
        <v>12</v>
      </c>
      <c r="F35">
        <v>8807419</v>
      </c>
      <c r="G35">
        <v>8807470</v>
      </c>
      <c r="H35">
        <v>8807419</v>
      </c>
      <c r="I35">
        <v>8807470</v>
      </c>
    </row>
    <row r="36" spans="1:9" x14ac:dyDescent="0.2">
      <c r="A36" s="1" t="str">
        <f>"ABCA1"</f>
        <v>ABCA1</v>
      </c>
      <c r="B36" t="s">
        <v>14</v>
      </c>
      <c r="C36" t="s">
        <v>24</v>
      </c>
      <c r="D36" t="s">
        <v>11</v>
      </c>
      <c r="E36" t="s">
        <v>12</v>
      </c>
      <c r="F36">
        <v>107690428</v>
      </c>
      <c r="G36">
        <v>107690442</v>
      </c>
      <c r="H36">
        <v>107690382</v>
      </c>
      <c r="I36">
        <v>107690393</v>
      </c>
    </row>
    <row r="37" spans="1:9" x14ac:dyDescent="0.2">
      <c r="A37" s="1" t="str">
        <f>"ABCA10"</f>
        <v>ABCA10</v>
      </c>
      <c r="B37" t="s">
        <v>14</v>
      </c>
      <c r="C37" t="s">
        <v>28</v>
      </c>
      <c r="D37" t="s">
        <v>11</v>
      </c>
      <c r="E37" t="s">
        <v>12</v>
      </c>
      <c r="F37">
        <v>67224876</v>
      </c>
      <c r="G37">
        <v>67224912</v>
      </c>
      <c r="H37">
        <v>67224950</v>
      </c>
      <c r="I37">
        <v>67224970</v>
      </c>
    </row>
    <row r="38" spans="1:9" x14ac:dyDescent="0.2">
      <c r="A38" s="1" t="str">
        <f>"ABCA12"</f>
        <v>ABCA12</v>
      </c>
      <c r="B38" t="s">
        <v>14</v>
      </c>
      <c r="C38" t="s">
        <v>26</v>
      </c>
      <c r="D38" t="s">
        <v>11</v>
      </c>
      <c r="E38" t="s">
        <v>12</v>
      </c>
      <c r="F38">
        <v>216003325</v>
      </c>
      <c r="G38">
        <v>216003359</v>
      </c>
      <c r="H38">
        <v>216003325</v>
      </c>
      <c r="I38">
        <v>216003359</v>
      </c>
    </row>
    <row r="39" spans="1:9" x14ac:dyDescent="0.2">
      <c r="A39" s="1" t="str">
        <f>"ABCA13"</f>
        <v>ABCA13</v>
      </c>
      <c r="B39" t="s">
        <v>14</v>
      </c>
      <c r="C39" t="s">
        <v>33</v>
      </c>
      <c r="D39" t="s">
        <v>17</v>
      </c>
      <c r="E39" t="s">
        <v>12</v>
      </c>
      <c r="F39">
        <v>48211048</v>
      </c>
      <c r="G39">
        <v>48211063</v>
      </c>
      <c r="H39">
        <v>48211048</v>
      </c>
      <c r="I39">
        <v>48211063</v>
      </c>
    </row>
    <row r="40" spans="1:9" x14ac:dyDescent="0.2">
      <c r="A40" s="1" t="str">
        <f>"ABCA2"</f>
        <v>ABCA2</v>
      </c>
      <c r="B40" t="s">
        <v>14</v>
      </c>
      <c r="C40" t="s">
        <v>24</v>
      </c>
      <c r="D40" t="s">
        <v>11</v>
      </c>
      <c r="E40" t="s">
        <v>12</v>
      </c>
      <c r="F40">
        <v>139922671</v>
      </c>
      <c r="G40">
        <v>139922697</v>
      </c>
      <c r="H40">
        <v>139922631</v>
      </c>
      <c r="I40">
        <v>139922658</v>
      </c>
    </row>
    <row r="41" spans="1:9" x14ac:dyDescent="0.2">
      <c r="A41" s="1" t="str">
        <f>"ABCA3"</f>
        <v>ABCA3</v>
      </c>
      <c r="B41" t="s">
        <v>14</v>
      </c>
      <c r="C41" t="s">
        <v>31</v>
      </c>
      <c r="D41" t="s">
        <v>11</v>
      </c>
      <c r="E41" t="s">
        <v>12</v>
      </c>
      <c r="F41">
        <v>2390704</v>
      </c>
      <c r="G41">
        <v>2390762</v>
      </c>
      <c r="H41">
        <v>2390769</v>
      </c>
      <c r="I41">
        <v>2390789</v>
      </c>
    </row>
    <row r="42" spans="1:9" x14ac:dyDescent="0.2">
      <c r="A42" s="1" t="str">
        <f>"ABCA4"</f>
        <v>ABCA4</v>
      </c>
      <c r="B42" t="s">
        <v>14</v>
      </c>
      <c r="C42" t="s">
        <v>19</v>
      </c>
      <c r="D42" t="s">
        <v>11</v>
      </c>
      <c r="E42" t="s">
        <v>12</v>
      </c>
      <c r="F42">
        <v>94586651</v>
      </c>
      <c r="G42">
        <v>94586733</v>
      </c>
      <c r="H42">
        <v>94586651</v>
      </c>
      <c r="I42">
        <v>94586733</v>
      </c>
    </row>
    <row r="43" spans="1:9" x14ac:dyDescent="0.2">
      <c r="A43" s="1" t="str">
        <f>"ABCA5"</f>
        <v>ABCA5</v>
      </c>
      <c r="B43" t="s">
        <v>14</v>
      </c>
      <c r="C43" t="s">
        <v>28</v>
      </c>
      <c r="D43" t="s">
        <v>11</v>
      </c>
      <c r="E43" t="s">
        <v>12</v>
      </c>
      <c r="F43">
        <v>67323232</v>
      </c>
      <c r="G43">
        <v>67323299</v>
      </c>
      <c r="H43">
        <v>67323305</v>
      </c>
      <c r="I43">
        <v>67323331</v>
      </c>
    </row>
    <row r="44" spans="1:9" x14ac:dyDescent="0.2">
      <c r="A44" s="1" t="str">
        <f>"ABCA6"</f>
        <v>ABCA6</v>
      </c>
      <c r="B44" t="s">
        <v>14</v>
      </c>
      <c r="C44" t="s">
        <v>28</v>
      </c>
      <c r="D44" t="s">
        <v>11</v>
      </c>
      <c r="E44" t="s">
        <v>12</v>
      </c>
      <c r="F44">
        <v>67138020</v>
      </c>
      <c r="G44">
        <v>67138062</v>
      </c>
      <c r="H44">
        <v>67138066</v>
      </c>
      <c r="I44">
        <v>67138082</v>
      </c>
    </row>
    <row r="45" spans="1:9" x14ac:dyDescent="0.2">
      <c r="A45" s="1" t="str">
        <f>"ABCA7"</f>
        <v>ABCA7</v>
      </c>
      <c r="B45" t="s">
        <v>9</v>
      </c>
      <c r="C45" t="s">
        <v>10</v>
      </c>
      <c r="D45" t="s">
        <v>17</v>
      </c>
      <c r="E45" t="s">
        <v>12</v>
      </c>
      <c r="F45">
        <v>1040096</v>
      </c>
      <c r="G45">
        <v>1040161</v>
      </c>
      <c r="H45">
        <v>1040096</v>
      </c>
      <c r="I45">
        <v>1040161</v>
      </c>
    </row>
    <row r="46" spans="1:9" x14ac:dyDescent="0.2">
      <c r="A46" s="1" t="str">
        <f>"ABCA7"</f>
        <v>ABCA7</v>
      </c>
      <c r="B46" t="s">
        <v>13</v>
      </c>
      <c r="C46" t="s">
        <v>10</v>
      </c>
      <c r="D46" t="s">
        <v>17</v>
      </c>
      <c r="E46" t="s">
        <v>12</v>
      </c>
      <c r="F46">
        <v>1041212</v>
      </c>
      <c r="G46">
        <v>1041234</v>
      </c>
      <c r="H46">
        <v>1041212</v>
      </c>
      <c r="I46">
        <v>1041234</v>
      </c>
    </row>
    <row r="47" spans="1:9" x14ac:dyDescent="0.2">
      <c r="A47" s="1" t="str">
        <f>"ABCA8"</f>
        <v>ABCA8</v>
      </c>
      <c r="B47" t="s">
        <v>14</v>
      </c>
      <c r="C47" t="s">
        <v>28</v>
      </c>
      <c r="D47" t="s">
        <v>11</v>
      </c>
      <c r="E47" t="s">
        <v>12</v>
      </c>
      <c r="F47">
        <v>66951474</v>
      </c>
      <c r="G47">
        <v>66951550</v>
      </c>
      <c r="H47">
        <v>66951415</v>
      </c>
      <c r="I47">
        <v>66951429</v>
      </c>
    </row>
    <row r="48" spans="1:9" x14ac:dyDescent="0.2">
      <c r="A48" s="1" t="str">
        <f>"ABCA9"</f>
        <v>ABCA9</v>
      </c>
      <c r="B48" t="s">
        <v>14</v>
      </c>
      <c r="C48" t="s">
        <v>28</v>
      </c>
      <c r="D48" t="s">
        <v>11</v>
      </c>
      <c r="E48" t="s">
        <v>12</v>
      </c>
      <c r="F48">
        <v>67057061</v>
      </c>
      <c r="G48">
        <v>67057094</v>
      </c>
      <c r="H48">
        <v>67057114</v>
      </c>
      <c r="I48">
        <v>67057126</v>
      </c>
    </row>
    <row r="49" spans="1:9" x14ac:dyDescent="0.2">
      <c r="A49" s="1" t="str">
        <f>"ABCB1"</f>
        <v>ABCB1</v>
      </c>
      <c r="B49" t="s">
        <v>36</v>
      </c>
      <c r="C49" t="s">
        <v>33</v>
      </c>
      <c r="D49" t="s">
        <v>11</v>
      </c>
      <c r="E49" t="s">
        <v>35</v>
      </c>
      <c r="F49">
        <v>87342698</v>
      </c>
      <c r="G49">
        <v>87342705</v>
      </c>
      <c r="H49">
        <v>87342602</v>
      </c>
      <c r="I49">
        <v>87342617</v>
      </c>
    </row>
    <row r="50" spans="1:9" x14ac:dyDescent="0.2">
      <c r="A50" s="1" t="str">
        <f>"ABCB10"</f>
        <v>ABCB10</v>
      </c>
      <c r="B50" t="s">
        <v>14</v>
      </c>
      <c r="C50" t="s">
        <v>19</v>
      </c>
      <c r="D50" t="s">
        <v>11</v>
      </c>
      <c r="E50" t="s">
        <v>12</v>
      </c>
      <c r="F50">
        <v>229694406</v>
      </c>
      <c r="G50">
        <v>229694477</v>
      </c>
      <c r="H50">
        <v>229694480</v>
      </c>
      <c r="I50">
        <v>229694499</v>
      </c>
    </row>
    <row r="51" spans="1:9" x14ac:dyDescent="0.2">
      <c r="A51" s="1" t="str">
        <f>"ABCB11"</f>
        <v>ABCB11</v>
      </c>
      <c r="B51" t="s">
        <v>14</v>
      </c>
      <c r="C51" t="s">
        <v>26</v>
      </c>
      <c r="D51" t="s">
        <v>11</v>
      </c>
      <c r="E51" t="s">
        <v>12</v>
      </c>
      <c r="F51">
        <v>169887827</v>
      </c>
      <c r="G51">
        <v>169887839</v>
      </c>
      <c r="H51">
        <v>169887827</v>
      </c>
      <c r="I51">
        <v>169887839</v>
      </c>
    </row>
    <row r="52" spans="1:9" x14ac:dyDescent="0.2">
      <c r="A52" s="1" t="str">
        <f>"ABCB4"</f>
        <v>ABCB4</v>
      </c>
      <c r="B52" t="s">
        <v>14</v>
      </c>
      <c r="C52" t="s">
        <v>33</v>
      </c>
      <c r="D52" t="s">
        <v>11</v>
      </c>
      <c r="E52" t="s">
        <v>12</v>
      </c>
      <c r="F52">
        <v>87104963</v>
      </c>
      <c r="G52">
        <v>87105038</v>
      </c>
      <c r="H52">
        <v>87105153</v>
      </c>
      <c r="I52">
        <v>87105185</v>
      </c>
    </row>
    <row r="53" spans="1:9" x14ac:dyDescent="0.2">
      <c r="A53" s="1" t="str">
        <f>"ABCB5"</f>
        <v>ABCB5</v>
      </c>
      <c r="B53" t="s">
        <v>14</v>
      </c>
      <c r="C53" t="s">
        <v>33</v>
      </c>
      <c r="D53" t="s">
        <v>17</v>
      </c>
      <c r="E53" t="s">
        <v>12</v>
      </c>
      <c r="F53">
        <v>20686946</v>
      </c>
      <c r="G53">
        <v>20686958</v>
      </c>
      <c r="H53">
        <v>20687017</v>
      </c>
      <c r="I53">
        <v>20687030</v>
      </c>
    </row>
    <row r="54" spans="1:9" x14ac:dyDescent="0.2">
      <c r="A54" s="1" t="str">
        <f>"ABCB6"</f>
        <v>ABCB6</v>
      </c>
      <c r="B54" t="s">
        <v>14</v>
      </c>
      <c r="C54" t="s">
        <v>26</v>
      </c>
      <c r="D54" t="s">
        <v>11</v>
      </c>
      <c r="E54" t="s">
        <v>12</v>
      </c>
      <c r="F54">
        <v>220083671</v>
      </c>
      <c r="G54">
        <v>220083685</v>
      </c>
      <c r="H54">
        <v>220083499</v>
      </c>
      <c r="I54">
        <v>220083603</v>
      </c>
    </row>
    <row r="55" spans="1:9" x14ac:dyDescent="0.2">
      <c r="A55" s="1" t="str">
        <f>"ABCB7"</f>
        <v>ABCB7</v>
      </c>
      <c r="B55" t="s">
        <v>14</v>
      </c>
      <c r="C55" t="s">
        <v>37</v>
      </c>
      <c r="D55" t="s">
        <v>11</v>
      </c>
      <c r="E55" t="s">
        <v>12</v>
      </c>
      <c r="F55">
        <v>74376108</v>
      </c>
      <c r="G55">
        <v>74376129</v>
      </c>
      <c r="H55">
        <v>74376108</v>
      </c>
      <c r="I55">
        <v>74376129</v>
      </c>
    </row>
    <row r="56" spans="1:9" x14ac:dyDescent="0.2">
      <c r="A56" s="1" t="str">
        <f>"ABCB8"</f>
        <v>ABCB8</v>
      </c>
      <c r="B56" t="s">
        <v>14</v>
      </c>
      <c r="C56" t="s">
        <v>33</v>
      </c>
      <c r="D56" t="s">
        <v>17</v>
      </c>
      <c r="E56" t="s">
        <v>12</v>
      </c>
      <c r="F56">
        <v>150725523</v>
      </c>
      <c r="G56">
        <v>150725553</v>
      </c>
      <c r="H56">
        <v>150725556</v>
      </c>
      <c r="I56">
        <v>150725576</v>
      </c>
    </row>
    <row r="57" spans="1:9" x14ac:dyDescent="0.2">
      <c r="A57" s="1" t="str">
        <f>"ABCB9"</f>
        <v>ABCB9</v>
      </c>
      <c r="B57" t="s">
        <v>9</v>
      </c>
      <c r="C57" t="s">
        <v>16</v>
      </c>
      <c r="D57" t="s">
        <v>11</v>
      </c>
      <c r="E57" t="s">
        <v>12</v>
      </c>
      <c r="F57">
        <v>123450986</v>
      </c>
      <c r="G57">
        <v>123451027</v>
      </c>
      <c r="H57">
        <v>123450986</v>
      </c>
      <c r="I57">
        <v>123451027</v>
      </c>
    </row>
    <row r="58" spans="1:9" x14ac:dyDescent="0.2">
      <c r="A58" s="1" t="str">
        <f>"ABCB9"</f>
        <v>ABCB9</v>
      </c>
      <c r="B58" t="s">
        <v>13</v>
      </c>
      <c r="C58" t="s">
        <v>16</v>
      </c>
      <c r="D58" t="s">
        <v>11</v>
      </c>
      <c r="E58" t="s">
        <v>12</v>
      </c>
      <c r="F58">
        <v>123465764</v>
      </c>
      <c r="G58">
        <v>123465803</v>
      </c>
      <c r="H58">
        <v>123465764</v>
      </c>
      <c r="I58">
        <v>123465803</v>
      </c>
    </row>
    <row r="59" spans="1:9" x14ac:dyDescent="0.2">
      <c r="A59" s="1" t="str">
        <f>"ABCC1"</f>
        <v>ABCC1</v>
      </c>
      <c r="B59" t="s">
        <v>14</v>
      </c>
      <c r="C59" t="s">
        <v>31</v>
      </c>
      <c r="D59" t="s">
        <v>17</v>
      </c>
      <c r="E59" t="s">
        <v>12</v>
      </c>
      <c r="F59">
        <v>16043454</v>
      </c>
      <c r="G59">
        <v>16043502</v>
      </c>
      <c r="H59">
        <v>16043406</v>
      </c>
      <c r="I59">
        <v>16043423</v>
      </c>
    </row>
    <row r="60" spans="1:9" x14ac:dyDescent="0.2">
      <c r="A60" s="1" t="str">
        <f>"ABCC10"</f>
        <v>ABCC10</v>
      </c>
      <c r="B60" t="s">
        <v>14</v>
      </c>
      <c r="C60" t="s">
        <v>32</v>
      </c>
      <c r="D60" t="s">
        <v>17</v>
      </c>
      <c r="E60" t="s">
        <v>12</v>
      </c>
      <c r="F60">
        <v>43395272</v>
      </c>
      <c r="G60">
        <v>43395323</v>
      </c>
      <c r="H60">
        <v>43395577</v>
      </c>
      <c r="I60">
        <v>43395640</v>
      </c>
    </row>
    <row r="61" spans="1:9" x14ac:dyDescent="0.2">
      <c r="A61" s="1" t="str">
        <f>"ABCC11"</f>
        <v>ABCC11</v>
      </c>
      <c r="B61" t="s">
        <v>9</v>
      </c>
      <c r="C61" t="s">
        <v>31</v>
      </c>
      <c r="D61" t="s">
        <v>11</v>
      </c>
      <c r="E61" t="s">
        <v>12</v>
      </c>
      <c r="F61">
        <v>48278161</v>
      </c>
      <c r="G61">
        <v>48278175</v>
      </c>
      <c r="H61">
        <v>48278161</v>
      </c>
      <c r="I61">
        <v>48278175</v>
      </c>
    </row>
    <row r="62" spans="1:9" x14ac:dyDescent="0.2">
      <c r="A62" s="1" t="str">
        <f>"ABCC11"</f>
        <v>ABCC11</v>
      </c>
      <c r="B62" t="s">
        <v>13</v>
      </c>
      <c r="C62" t="s">
        <v>31</v>
      </c>
      <c r="D62" t="s">
        <v>11</v>
      </c>
      <c r="E62" t="s">
        <v>12</v>
      </c>
      <c r="F62">
        <v>48281444</v>
      </c>
      <c r="G62">
        <v>48281451</v>
      </c>
      <c r="H62">
        <v>48281444</v>
      </c>
      <c r="I62">
        <v>48281451</v>
      </c>
    </row>
    <row r="63" spans="1:9" x14ac:dyDescent="0.2">
      <c r="A63" s="1" t="str">
        <f>"ABCC12"</f>
        <v>ABCC12</v>
      </c>
      <c r="B63" t="s">
        <v>38</v>
      </c>
      <c r="C63" t="s">
        <v>31</v>
      </c>
      <c r="D63" t="s">
        <v>11</v>
      </c>
      <c r="E63" t="s">
        <v>20</v>
      </c>
      <c r="F63">
        <v>48180680</v>
      </c>
      <c r="G63">
        <v>48180680</v>
      </c>
      <c r="H63">
        <v>48180680</v>
      </c>
      <c r="I63">
        <v>48180680</v>
      </c>
    </row>
    <row r="64" spans="1:9" x14ac:dyDescent="0.2">
      <c r="A64" s="1" t="str">
        <f>"ABCC2"</f>
        <v>ABCC2</v>
      </c>
      <c r="B64" t="s">
        <v>14</v>
      </c>
      <c r="C64" t="s">
        <v>15</v>
      </c>
      <c r="D64" t="s">
        <v>17</v>
      </c>
      <c r="E64" t="s">
        <v>12</v>
      </c>
      <c r="F64">
        <v>101542462</v>
      </c>
      <c r="G64">
        <v>101542535</v>
      </c>
      <c r="H64">
        <v>101542384</v>
      </c>
      <c r="I64">
        <v>101542406</v>
      </c>
    </row>
    <row r="65" spans="1:9" x14ac:dyDescent="0.2">
      <c r="A65" s="1" t="str">
        <f>"ABCC3"</f>
        <v>ABCC3</v>
      </c>
      <c r="B65" t="s">
        <v>14</v>
      </c>
      <c r="C65" t="s">
        <v>28</v>
      </c>
      <c r="D65" t="s">
        <v>17</v>
      </c>
      <c r="E65" t="s">
        <v>12</v>
      </c>
      <c r="F65">
        <v>48712206</v>
      </c>
      <c r="G65">
        <v>48712285</v>
      </c>
      <c r="H65">
        <v>48712143</v>
      </c>
      <c r="I65">
        <v>48712165</v>
      </c>
    </row>
    <row r="66" spans="1:9" x14ac:dyDescent="0.2">
      <c r="A66" s="1" t="str">
        <f>"ABCC4"</f>
        <v>ABCC4</v>
      </c>
      <c r="B66" t="s">
        <v>14</v>
      </c>
      <c r="C66" t="s">
        <v>39</v>
      </c>
      <c r="D66" t="s">
        <v>11</v>
      </c>
      <c r="E66" t="s">
        <v>12</v>
      </c>
      <c r="F66">
        <v>95953664</v>
      </c>
      <c r="G66">
        <v>95953740</v>
      </c>
      <c r="H66">
        <v>95953664</v>
      </c>
      <c r="I66">
        <v>95953740</v>
      </c>
    </row>
    <row r="67" spans="1:9" x14ac:dyDescent="0.2">
      <c r="A67" s="1" t="str">
        <f>"ABCC5"</f>
        <v>ABCC5</v>
      </c>
      <c r="B67" t="s">
        <v>14</v>
      </c>
      <c r="C67" t="s">
        <v>22</v>
      </c>
      <c r="D67" t="s">
        <v>11</v>
      </c>
      <c r="E67" t="s">
        <v>12</v>
      </c>
      <c r="F67">
        <v>183735660</v>
      </c>
      <c r="G67">
        <v>183735727</v>
      </c>
      <c r="H67">
        <v>183735731</v>
      </c>
      <c r="I67">
        <v>183735746</v>
      </c>
    </row>
    <row r="68" spans="1:9" x14ac:dyDescent="0.2">
      <c r="A68" s="1" t="str">
        <f>"ABCC6"</f>
        <v>ABCC6</v>
      </c>
      <c r="B68" t="s">
        <v>40</v>
      </c>
      <c r="C68" t="s">
        <v>31</v>
      </c>
      <c r="D68" t="s">
        <v>11</v>
      </c>
      <c r="E68" t="s">
        <v>20</v>
      </c>
      <c r="F68">
        <v>16317320</v>
      </c>
      <c r="G68">
        <v>16317320</v>
      </c>
      <c r="H68">
        <v>16317320</v>
      </c>
      <c r="I68">
        <v>16317320</v>
      </c>
    </row>
    <row r="69" spans="1:9" x14ac:dyDescent="0.2">
      <c r="A69" s="1" t="str">
        <f>"ABCC8"</f>
        <v>ABCC8</v>
      </c>
      <c r="B69" t="s">
        <v>14</v>
      </c>
      <c r="C69" t="s">
        <v>27</v>
      </c>
      <c r="D69" t="s">
        <v>11</v>
      </c>
      <c r="E69" t="s">
        <v>12</v>
      </c>
      <c r="F69">
        <v>17498348</v>
      </c>
      <c r="G69">
        <v>17498431</v>
      </c>
      <c r="H69">
        <v>17498309</v>
      </c>
      <c r="I69">
        <v>17498335</v>
      </c>
    </row>
    <row r="70" spans="1:9" x14ac:dyDescent="0.2">
      <c r="A70" s="1" t="str">
        <f>"ABCC9"</f>
        <v>ABCC9</v>
      </c>
      <c r="B70" t="s">
        <v>14</v>
      </c>
      <c r="C70" t="s">
        <v>16</v>
      </c>
      <c r="D70" t="s">
        <v>11</v>
      </c>
      <c r="E70" t="s">
        <v>12</v>
      </c>
      <c r="F70">
        <v>22094350</v>
      </c>
      <c r="G70">
        <v>22094367</v>
      </c>
      <c r="H70">
        <v>22094159</v>
      </c>
      <c r="I70">
        <v>22094192</v>
      </c>
    </row>
    <row r="71" spans="1:9" x14ac:dyDescent="0.2">
      <c r="A71" s="1" t="str">
        <f>"ABCD1"</f>
        <v>ABCD1</v>
      </c>
      <c r="B71" t="s">
        <v>14</v>
      </c>
      <c r="C71" t="s">
        <v>37</v>
      </c>
      <c r="D71" t="s">
        <v>17</v>
      </c>
      <c r="E71" t="s">
        <v>12</v>
      </c>
      <c r="F71">
        <v>152990302</v>
      </c>
      <c r="G71">
        <v>152990319</v>
      </c>
      <c r="H71">
        <v>152990302</v>
      </c>
      <c r="I71">
        <v>152990319</v>
      </c>
    </row>
    <row r="72" spans="1:9" x14ac:dyDescent="0.2">
      <c r="A72" s="1" t="str">
        <f>"ABCD2"</f>
        <v>ABCD2</v>
      </c>
      <c r="B72" t="s">
        <v>14</v>
      </c>
      <c r="C72" t="s">
        <v>16</v>
      </c>
      <c r="D72" t="s">
        <v>11</v>
      </c>
      <c r="E72" t="s">
        <v>12</v>
      </c>
      <c r="F72">
        <v>40013582</v>
      </c>
      <c r="G72">
        <v>40013635</v>
      </c>
      <c r="H72">
        <v>40013771</v>
      </c>
      <c r="I72">
        <v>40013792</v>
      </c>
    </row>
    <row r="73" spans="1:9" x14ac:dyDescent="0.2">
      <c r="A73" s="1" t="str">
        <f>"ABCD3"</f>
        <v>ABCD3</v>
      </c>
      <c r="B73" t="s">
        <v>14</v>
      </c>
      <c r="C73" t="s">
        <v>19</v>
      </c>
      <c r="D73" t="s">
        <v>17</v>
      </c>
      <c r="E73" t="s">
        <v>12</v>
      </c>
      <c r="F73">
        <v>94883931</v>
      </c>
      <c r="G73">
        <v>94883980</v>
      </c>
      <c r="H73">
        <v>94883991</v>
      </c>
      <c r="I73">
        <v>94884008</v>
      </c>
    </row>
    <row r="74" spans="1:9" x14ac:dyDescent="0.2">
      <c r="A74" s="1" t="str">
        <f>"ABCD4"</f>
        <v>ABCD4</v>
      </c>
      <c r="B74" t="s">
        <v>14</v>
      </c>
      <c r="C74" t="s">
        <v>41</v>
      </c>
      <c r="D74" t="s">
        <v>11</v>
      </c>
      <c r="E74" t="s">
        <v>12</v>
      </c>
      <c r="F74">
        <v>74769653</v>
      </c>
      <c r="G74">
        <v>74769705</v>
      </c>
      <c r="H74">
        <v>74769629</v>
      </c>
      <c r="I74">
        <v>74769648</v>
      </c>
    </row>
    <row r="75" spans="1:9" x14ac:dyDescent="0.2">
      <c r="A75" s="1" t="str">
        <f>"ABCE1"</f>
        <v>ABCE1</v>
      </c>
      <c r="B75" t="s">
        <v>14</v>
      </c>
      <c r="C75" t="s">
        <v>23</v>
      </c>
      <c r="D75" t="s">
        <v>17</v>
      </c>
      <c r="E75" t="s">
        <v>12</v>
      </c>
      <c r="F75">
        <v>146019421</v>
      </c>
      <c r="G75">
        <v>146019495</v>
      </c>
      <c r="H75">
        <v>146019421</v>
      </c>
      <c r="I75">
        <v>146019495</v>
      </c>
    </row>
    <row r="76" spans="1:9" x14ac:dyDescent="0.2">
      <c r="A76" s="1" t="str">
        <f>"ABCF1"</f>
        <v>ABCF1</v>
      </c>
      <c r="B76" t="s">
        <v>9</v>
      </c>
      <c r="C76" t="s">
        <v>32</v>
      </c>
      <c r="D76" t="s">
        <v>17</v>
      </c>
      <c r="E76" t="s">
        <v>12</v>
      </c>
      <c r="F76">
        <v>30539204</v>
      </c>
      <c r="G76">
        <v>30539255</v>
      </c>
      <c r="H76">
        <v>30539204</v>
      </c>
      <c r="I76">
        <v>30539255</v>
      </c>
    </row>
    <row r="77" spans="1:9" x14ac:dyDescent="0.2">
      <c r="A77" s="1" t="str">
        <f>"ABCF1"</f>
        <v>ABCF1</v>
      </c>
      <c r="B77" t="s">
        <v>13</v>
      </c>
      <c r="C77" t="s">
        <v>32</v>
      </c>
      <c r="D77" t="s">
        <v>17</v>
      </c>
      <c r="E77" t="s">
        <v>12</v>
      </c>
      <c r="F77">
        <v>30546295</v>
      </c>
      <c r="G77">
        <v>30546319</v>
      </c>
      <c r="H77">
        <v>30546295</v>
      </c>
      <c r="I77">
        <v>30546319</v>
      </c>
    </row>
    <row r="78" spans="1:9" x14ac:dyDescent="0.2">
      <c r="A78" s="1" t="str">
        <f>"ABCF2"</f>
        <v>ABCF2</v>
      </c>
      <c r="B78" t="s">
        <v>14</v>
      </c>
      <c r="C78" t="s">
        <v>33</v>
      </c>
      <c r="D78" t="s">
        <v>11</v>
      </c>
      <c r="E78" t="s">
        <v>12</v>
      </c>
      <c r="F78">
        <v>150924271</v>
      </c>
      <c r="G78">
        <v>150924332</v>
      </c>
      <c r="H78">
        <v>150924391</v>
      </c>
      <c r="I78">
        <v>150924407</v>
      </c>
    </row>
    <row r="79" spans="1:9" x14ac:dyDescent="0.2">
      <c r="A79" s="1" t="str">
        <f>"ABCF3"</f>
        <v>ABCF3</v>
      </c>
      <c r="B79" t="s">
        <v>14</v>
      </c>
      <c r="C79" t="s">
        <v>22</v>
      </c>
      <c r="D79" t="s">
        <v>17</v>
      </c>
      <c r="E79" t="s">
        <v>12</v>
      </c>
      <c r="F79">
        <v>183903943</v>
      </c>
      <c r="G79">
        <v>183903996</v>
      </c>
      <c r="H79">
        <v>183903943</v>
      </c>
      <c r="I79">
        <v>183903996</v>
      </c>
    </row>
    <row r="80" spans="1:9" x14ac:dyDescent="0.2">
      <c r="A80" s="1" t="str">
        <f>"ABCG1"</f>
        <v>ABCG1</v>
      </c>
      <c r="B80" t="s">
        <v>14</v>
      </c>
      <c r="C80" t="s">
        <v>42</v>
      </c>
      <c r="D80" t="s">
        <v>17</v>
      </c>
      <c r="E80" t="s">
        <v>12</v>
      </c>
      <c r="F80">
        <v>43639211</v>
      </c>
      <c r="G80">
        <v>43639279</v>
      </c>
      <c r="H80">
        <v>43639281</v>
      </c>
      <c r="I80">
        <v>43639287</v>
      </c>
    </row>
    <row r="81" spans="1:9" x14ac:dyDescent="0.2">
      <c r="A81" s="1" t="str">
        <f>"ABCG2"</f>
        <v>ABCG2</v>
      </c>
      <c r="B81" t="s">
        <v>14</v>
      </c>
      <c r="C81" t="s">
        <v>23</v>
      </c>
      <c r="D81" t="s">
        <v>11</v>
      </c>
      <c r="E81" t="s">
        <v>12</v>
      </c>
      <c r="F81">
        <v>89080003</v>
      </c>
      <c r="G81">
        <v>89080075</v>
      </c>
      <c r="H81">
        <v>89079757</v>
      </c>
      <c r="I81">
        <v>89079802</v>
      </c>
    </row>
    <row r="82" spans="1:9" x14ac:dyDescent="0.2">
      <c r="A82" s="1" t="str">
        <f>"ABCG4"</f>
        <v>ABCG4</v>
      </c>
      <c r="B82" t="s">
        <v>14</v>
      </c>
      <c r="C82" t="s">
        <v>27</v>
      </c>
      <c r="D82" t="s">
        <v>17</v>
      </c>
      <c r="E82" t="s">
        <v>12</v>
      </c>
      <c r="F82">
        <v>119019738</v>
      </c>
      <c r="G82">
        <v>119019769</v>
      </c>
      <c r="H82">
        <v>119019778</v>
      </c>
      <c r="I82">
        <v>119019795</v>
      </c>
    </row>
    <row r="83" spans="1:9" x14ac:dyDescent="0.2">
      <c r="A83" s="1" t="str">
        <f>"ABCG5"</f>
        <v>ABCG5</v>
      </c>
      <c r="B83" t="s">
        <v>14</v>
      </c>
      <c r="C83" t="s">
        <v>26</v>
      </c>
      <c r="D83" t="s">
        <v>11</v>
      </c>
      <c r="E83" t="s">
        <v>12</v>
      </c>
      <c r="F83">
        <v>44065897</v>
      </c>
      <c r="G83">
        <v>44065908</v>
      </c>
      <c r="H83">
        <v>44065971</v>
      </c>
      <c r="I83">
        <v>44065983</v>
      </c>
    </row>
    <row r="84" spans="1:9" x14ac:dyDescent="0.2">
      <c r="A84" s="1" t="str">
        <f>"ABCG8"</f>
        <v>ABCG8</v>
      </c>
      <c r="B84" t="s">
        <v>14</v>
      </c>
      <c r="C84" t="s">
        <v>26</v>
      </c>
      <c r="D84" t="s">
        <v>17</v>
      </c>
      <c r="E84" t="s">
        <v>12</v>
      </c>
      <c r="F84">
        <v>44066101</v>
      </c>
      <c r="G84">
        <v>44066124</v>
      </c>
      <c r="H84">
        <v>44066101</v>
      </c>
      <c r="I84">
        <v>44066124</v>
      </c>
    </row>
    <row r="85" spans="1:9" x14ac:dyDescent="0.2">
      <c r="A85" s="1" t="str">
        <f>"ABHD1"</f>
        <v>ABHD1</v>
      </c>
      <c r="B85" t="s">
        <v>14</v>
      </c>
      <c r="C85" t="s">
        <v>26</v>
      </c>
      <c r="D85" t="s">
        <v>17</v>
      </c>
      <c r="E85" t="s">
        <v>12</v>
      </c>
      <c r="F85">
        <v>27346666</v>
      </c>
      <c r="G85">
        <v>27346722</v>
      </c>
      <c r="H85">
        <v>27346628</v>
      </c>
      <c r="I85">
        <v>27346658</v>
      </c>
    </row>
    <row r="86" spans="1:9" x14ac:dyDescent="0.2">
      <c r="A86" s="1" t="str">
        <f>"ABHD10"</f>
        <v>ABHD10</v>
      </c>
      <c r="B86" t="s">
        <v>14</v>
      </c>
      <c r="C86" t="s">
        <v>22</v>
      </c>
      <c r="D86" t="s">
        <v>17</v>
      </c>
      <c r="E86" t="s">
        <v>12</v>
      </c>
      <c r="F86">
        <v>111697843</v>
      </c>
      <c r="G86">
        <v>111697908</v>
      </c>
      <c r="H86">
        <v>111697825</v>
      </c>
      <c r="I86">
        <v>111697838</v>
      </c>
    </row>
    <row r="87" spans="1:9" x14ac:dyDescent="0.2">
      <c r="A87" s="1" t="str">
        <f>"ABHD11"</f>
        <v>ABHD11</v>
      </c>
      <c r="B87" t="s">
        <v>14</v>
      </c>
      <c r="C87" t="s">
        <v>33</v>
      </c>
      <c r="D87" t="s">
        <v>11</v>
      </c>
      <c r="E87" t="s">
        <v>12</v>
      </c>
      <c r="F87">
        <v>73153122</v>
      </c>
      <c r="G87">
        <v>73153148</v>
      </c>
      <c r="H87">
        <v>73153161</v>
      </c>
      <c r="I87">
        <v>73153177</v>
      </c>
    </row>
    <row r="88" spans="1:9" x14ac:dyDescent="0.2">
      <c r="A88" s="1" t="str">
        <f>"ABHD12"</f>
        <v>ABHD12</v>
      </c>
      <c r="B88" t="s">
        <v>14</v>
      </c>
      <c r="C88" t="s">
        <v>29</v>
      </c>
      <c r="D88" t="s">
        <v>11</v>
      </c>
      <c r="E88" t="s">
        <v>12</v>
      </c>
      <c r="F88">
        <v>25371412</v>
      </c>
      <c r="G88">
        <v>25371507</v>
      </c>
      <c r="H88">
        <v>25371412</v>
      </c>
      <c r="I88">
        <v>25371507</v>
      </c>
    </row>
    <row r="89" spans="1:9" x14ac:dyDescent="0.2">
      <c r="A89" s="1" t="str">
        <f>"ABHD12B"</f>
        <v>ABHD12B</v>
      </c>
      <c r="B89" t="s">
        <v>14</v>
      </c>
      <c r="C89" t="s">
        <v>41</v>
      </c>
      <c r="D89" t="s">
        <v>17</v>
      </c>
      <c r="E89" t="s">
        <v>12</v>
      </c>
      <c r="F89">
        <v>51338816</v>
      </c>
      <c r="G89">
        <v>51338857</v>
      </c>
      <c r="H89">
        <v>51338801</v>
      </c>
      <c r="I89">
        <v>51338814</v>
      </c>
    </row>
    <row r="90" spans="1:9" x14ac:dyDescent="0.2">
      <c r="A90" s="1" t="str">
        <f>"ABHD13"</f>
        <v>ABHD13</v>
      </c>
      <c r="B90" t="s">
        <v>14</v>
      </c>
      <c r="C90" t="s">
        <v>39</v>
      </c>
      <c r="D90" t="s">
        <v>17</v>
      </c>
      <c r="E90" t="s">
        <v>12</v>
      </c>
      <c r="F90">
        <v>108870828</v>
      </c>
      <c r="G90">
        <v>108870878</v>
      </c>
      <c r="H90">
        <v>108870714</v>
      </c>
      <c r="I90">
        <v>108870780</v>
      </c>
    </row>
    <row r="91" spans="1:9" x14ac:dyDescent="0.2">
      <c r="A91" s="1" t="str">
        <f>"ABHD14A"</f>
        <v>ABHD14A</v>
      </c>
      <c r="B91" t="s">
        <v>14</v>
      </c>
      <c r="C91" t="s">
        <v>22</v>
      </c>
      <c r="D91" t="s">
        <v>17</v>
      </c>
      <c r="E91" t="s">
        <v>12</v>
      </c>
      <c r="F91">
        <v>52009067</v>
      </c>
      <c r="G91">
        <v>52009102</v>
      </c>
      <c r="H91">
        <v>52009110</v>
      </c>
      <c r="I91">
        <v>52009147</v>
      </c>
    </row>
    <row r="92" spans="1:9" x14ac:dyDescent="0.2">
      <c r="A92" s="1" t="str">
        <f>"ABHD14B"</f>
        <v>ABHD14B</v>
      </c>
      <c r="B92" t="s">
        <v>9</v>
      </c>
      <c r="C92" t="s">
        <v>22</v>
      </c>
      <c r="D92" t="s">
        <v>11</v>
      </c>
      <c r="E92" t="s">
        <v>12</v>
      </c>
      <c r="F92">
        <v>52008016</v>
      </c>
      <c r="G92">
        <v>52008071</v>
      </c>
      <c r="H92">
        <v>52008016</v>
      </c>
      <c r="I92">
        <v>52008071</v>
      </c>
    </row>
    <row r="93" spans="1:9" x14ac:dyDescent="0.2">
      <c r="A93" s="1" t="str">
        <f>"ABHD14B"</f>
        <v>ABHD14B</v>
      </c>
      <c r="B93" t="s">
        <v>13</v>
      </c>
      <c r="C93" t="s">
        <v>22</v>
      </c>
      <c r="D93" t="s">
        <v>11</v>
      </c>
      <c r="E93" t="s">
        <v>12</v>
      </c>
      <c r="F93">
        <v>52017372</v>
      </c>
      <c r="G93">
        <v>52017389</v>
      </c>
      <c r="H93">
        <v>52017372</v>
      </c>
      <c r="I93">
        <v>52017389</v>
      </c>
    </row>
    <row r="94" spans="1:9" x14ac:dyDescent="0.2">
      <c r="A94" s="1" t="str">
        <f>"ABHD15"</f>
        <v>ABHD15</v>
      </c>
      <c r="B94" t="s">
        <v>14</v>
      </c>
      <c r="C94" t="s">
        <v>28</v>
      </c>
      <c r="D94" t="s">
        <v>11</v>
      </c>
      <c r="E94" t="s">
        <v>12</v>
      </c>
      <c r="F94">
        <v>27893990</v>
      </c>
      <c r="G94">
        <v>27894060</v>
      </c>
      <c r="H94">
        <v>27894199</v>
      </c>
      <c r="I94">
        <v>27894229</v>
      </c>
    </row>
    <row r="95" spans="1:9" x14ac:dyDescent="0.2">
      <c r="A95" s="1" t="str">
        <f>"ABHD16A"</f>
        <v>ABHD16A</v>
      </c>
      <c r="B95" t="s">
        <v>14</v>
      </c>
      <c r="C95" t="s">
        <v>32</v>
      </c>
      <c r="D95" t="s">
        <v>11</v>
      </c>
      <c r="E95" t="s">
        <v>12</v>
      </c>
      <c r="F95">
        <v>31671058</v>
      </c>
      <c r="G95">
        <v>31671142</v>
      </c>
      <c r="H95">
        <v>31670827</v>
      </c>
      <c r="I95">
        <v>31670885</v>
      </c>
    </row>
    <row r="96" spans="1:9" x14ac:dyDescent="0.2">
      <c r="A96" s="1" t="str">
        <f>"ABHD16B"</f>
        <v>ABHD16B</v>
      </c>
      <c r="B96" t="s">
        <v>14</v>
      </c>
      <c r="C96" t="s">
        <v>29</v>
      </c>
      <c r="D96" t="s">
        <v>17</v>
      </c>
      <c r="E96" t="s">
        <v>12</v>
      </c>
      <c r="F96">
        <v>62492833</v>
      </c>
      <c r="G96">
        <v>62492840</v>
      </c>
      <c r="H96">
        <v>62493025</v>
      </c>
      <c r="I96">
        <v>62493043</v>
      </c>
    </row>
    <row r="97" spans="1:9" x14ac:dyDescent="0.2">
      <c r="A97" s="1" t="str">
        <f>"ABHD17A"</f>
        <v>ABHD17A</v>
      </c>
      <c r="B97" t="s">
        <v>14</v>
      </c>
      <c r="C97" t="s">
        <v>10</v>
      </c>
      <c r="D97" t="s">
        <v>11</v>
      </c>
      <c r="E97" t="s">
        <v>12</v>
      </c>
      <c r="F97">
        <v>1885483</v>
      </c>
      <c r="G97">
        <v>1885507</v>
      </c>
      <c r="H97">
        <v>1885511</v>
      </c>
      <c r="I97">
        <v>1885526</v>
      </c>
    </row>
    <row r="98" spans="1:9" x14ac:dyDescent="0.2">
      <c r="A98" s="1" t="str">
        <f>"ABHD17B"</f>
        <v>ABHD17B</v>
      </c>
      <c r="B98" t="s">
        <v>14</v>
      </c>
      <c r="C98" t="s">
        <v>24</v>
      </c>
      <c r="D98" t="s">
        <v>11</v>
      </c>
      <c r="E98" t="s">
        <v>12</v>
      </c>
      <c r="F98">
        <v>74526099</v>
      </c>
      <c r="G98">
        <v>74526124</v>
      </c>
      <c r="H98">
        <v>74526141</v>
      </c>
      <c r="I98">
        <v>74526156</v>
      </c>
    </row>
    <row r="99" spans="1:9" x14ac:dyDescent="0.2">
      <c r="A99" s="1" t="str">
        <f>"ABHD17C"</f>
        <v>ABHD17C</v>
      </c>
      <c r="B99" t="s">
        <v>14</v>
      </c>
      <c r="C99" t="s">
        <v>25</v>
      </c>
      <c r="D99" t="s">
        <v>17</v>
      </c>
      <c r="E99" t="s">
        <v>12</v>
      </c>
      <c r="F99">
        <v>80987617</v>
      </c>
      <c r="G99">
        <v>80987720</v>
      </c>
      <c r="H99">
        <v>80987617</v>
      </c>
      <c r="I99">
        <v>80987720</v>
      </c>
    </row>
    <row r="100" spans="1:9" x14ac:dyDescent="0.2">
      <c r="A100" s="1" t="str">
        <f>"ABHD2"</f>
        <v>ABHD2</v>
      </c>
      <c r="B100" t="s">
        <v>14</v>
      </c>
      <c r="C100" t="s">
        <v>25</v>
      </c>
      <c r="D100" t="s">
        <v>17</v>
      </c>
      <c r="E100" t="s">
        <v>12</v>
      </c>
      <c r="F100">
        <v>89631647</v>
      </c>
      <c r="G100">
        <v>89631725</v>
      </c>
      <c r="H100">
        <v>89631731</v>
      </c>
      <c r="I100">
        <v>89631746</v>
      </c>
    </row>
    <row r="101" spans="1:9" x14ac:dyDescent="0.2">
      <c r="A101" s="1" t="str">
        <f>"ABHD3"</f>
        <v>ABHD3</v>
      </c>
      <c r="B101" t="s">
        <v>14</v>
      </c>
      <c r="C101" t="s">
        <v>43</v>
      </c>
      <c r="D101" t="s">
        <v>11</v>
      </c>
      <c r="E101" t="s">
        <v>12</v>
      </c>
      <c r="F101">
        <v>19284724</v>
      </c>
      <c r="G101">
        <v>19284779</v>
      </c>
      <c r="H101">
        <v>19284524</v>
      </c>
      <c r="I101">
        <v>19284529</v>
      </c>
    </row>
    <row r="102" spans="1:9" x14ac:dyDescent="0.2">
      <c r="A102" s="1" t="str">
        <f>"ABHD4"</f>
        <v>ABHD4</v>
      </c>
      <c r="B102" t="s">
        <v>14</v>
      </c>
      <c r="C102" t="s">
        <v>41</v>
      </c>
      <c r="D102" t="s">
        <v>17</v>
      </c>
      <c r="E102" t="s">
        <v>12</v>
      </c>
      <c r="F102">
        <v>23067166</v>
      </c>
      <c r="G102">
        <v>23067219</v>
      </c>
      <c r="H102">
        <v>23067151</v>
      </c>
      <c r="I102">
        <v>23067160</v>
      </c>
    </row>
    <row r="103" spans="1:9" x14ac:dyDescent="0.2">
      <c r="A103" s="1" t="str">
        <f>"ABHD5"</f>
        <v>ABHD5</v>
      </c>
      <c r="B103" t="s">
        <v>14</v>
      </c>
      <c r="C103" t="s">
        <v>22</v>
      </c>
      <c r="D103" t="s">
        <v>17</v>
      </c>
      <c r="E103" t="s">
        <v>12</v>
      </c>
      <c r="F103">
        <v>43732420</v>
      </c>
      <c r="G103">
        <v>43732436</v>
      </c>
      <c r="H103">
        <v>43732373</v>
      </c>
      <c r="I103">
        <v>43732408</v>
      </c>
    </row>
    <row r="104" spans="1:9" x14ac:dyDescent="0.2">
      <c r="A104" s="1" t="str">
        <f>"ABHD6"</f>
        <v>ABHD6</v>
      </c>
      <c r="B104" t="s">
        <v>14</v>
      </c>
      <c r="C104" t="s">
        <v>22</v>
      </c>
      <c r="D104" t="s">
        <v>17</v>
      </c>
      <c r="E104" t="s">
        <v>12</v>
      </c>
      <c r="F104">
        <v>58223500</v>
      </c>
      <c r="G104">
        <v>58223573</v>
      </c>
      <c r="H104">
        <v>58223285</v>
      </c>
      <c r="I104">
        <v>58223315</v>
      </c>
    </row>
    <row r="105" spans="1:9" x14ac:dyDescent="0.2">
      <c r="A105" s="1" t="str">
        <f>"ABHD8"</f>
        <v>ABHD8</v>
      </c>
      <c r="B105" t="s">
        <v>14</v>
      </c>
      <c r="C105" t="s">
        <v>10</v>
      </c>
      <c r="D105" t="s">
        <v>11</v>
      </c>
      <c r="E105" t="s">
        <v>12</v>
      </c>
      <c r="F105">
        <v>17414179</v>
      </c>
      <c r="G105">
        <v>17414249</v>
      </c>
      <c r="H105">
        <v>17414127</v>
      </c>
      <c r="I105">
        <v>17414154</v>
      </c>
    </row>
    <row r="106" spans="1:9" x14ac:dyDescent="0.2">
      <c r="A106" s="1" t="str">
        <f>"ABI1"</f>
        <v>ABI1</v>
      </c>
      <c r="B106" t="s">
        <v>14</v>
      </c>
      <c r="C106" t="s">
        <v>15</v>
      </c>
      <c r="D106" t="s">
        <v>11</v>
      </c>
      <c r="E106" t="s">
        <v>12</v>
      </c>
      <c r="F106">
        <v>27149851</v>
      </c>
      <c r="G106">
        <v>27149898</v>
      </c>
      <c r="H106">
        <v>27149817</v>
      </c>
      <c r="I106">
        <v>27149850</v>
      </c>
    </row>
    <row r="107" spans="1:9" x14ac:dyDescent="0.2">
      <c r="A107" s="1" t="str">
        <f>"ABI2"</f>
        <v>ABI2</v>
      </c>
      <c r="B107" t="s">
        <v>14</v>
      </c>
      <c r="C107" t="s">
        <v>26</v>
      </c>
      <c r="D107" t="s">
        <v>17</v>
      </c>
      <c r="E107" t="s">
        <v>12</v>
      </c>
      <c r="F107">
        <v>204192989</v>
      </c>
      <c r="G107">
        <v>204193038</v>
      </c>
      <c r="H107">
        <v>204193101</v>
      </c>
      <c r="I107">
        <v>204193128</v>
      </c>
    </row>
    <row r="108" spans="1:9" x14ac:dyDescent="0.2">
      <c r="A108" s="1" t="str">
        <f>"ABI3"</f>
        <v>ABI3</v>
      </c>
      <c r="B108" t="s">
        <v>14</v>
      </c>
      <c r="C108" t="s">
        <v>28</v>
      </c>
      <c r="D108" t="s">
        <v>17</v>
      </c>
      <c r="E108" t="s">
        <v>12</v>
      </c>
      <c r="F108">
        <v>47288061</v>
      </c>
      <c r="G108">
        <v>47288080</v>
      </c>
      <c r="H108">
        <v>47287749</v>
      </c>
      <c r="I108">
        <v>47287777</v>
      </c>
    </row>
    <row r="109" spans="1:9" x14ac:dyDescent="0.2">
      <c r="A109" s="1" t="str">
        <f>"ABI3BP"</f>
        <v>ABI3BP</v>
      </c>
      <c r="B109" t="s">
        <v>14</v>
      </c>
      <c r="C109" t="s">
        <v>22</v>
      </c>
      <c r="D109" t="s">
        <v>11</v>
      </c>
      <c r="E109" t="s">
        <v>12</v>
      </c>
      <c r="F109">
        <v>100712253</v>
      </c>
      <c r="G109">
        <v>100712274</v>
      </c>
      <c r="H109">
        <v>100712292</v>
      </c>
      <c r="I109">
        <v>100712338</v>
      </c>
    </row>
    <row r="110" spans="1:9" x14ac:dyDescent="0.2">
      <c r="A110" s="1" t="str">
        <f>"ABL1"</f>
        <v>ABL1</v>
      </c>
      <c r="B110" t="s">
        <v>44</v>
      </c>
      <c r="C110" t="s">
        <v>24</v>
      </c>
      <c r="D110" t="s">
        <v>17</v>
      </c>
      <c r="E110" t="s">
        <v>35</v>
      </c>
      <c r="F110">
        <v>133589177</v>
      </c>
      <c r="G110">
        <v>133589193</v>
      </c>
      <c r="H110">
        <v>133589300</v>
      </c>
      <c r="I110">
        <v>133589336</v>
      </c>
    </row>
    <row r="111" spans="1:9" x14ac:dyDescent="0.2">
      <c r="A111" s="1" t="str">
        <f>"ABL2"</f>
        <v>ABL2</v>
      </c>
      <c r="B111" t="s">
        <v>9</v>
      </c>
      <c r="C111" t="s">
        <v>19</v>
      </c>
      <c r="D111" t="s">
        <v>11</v>
      </c>
      <c r="E111" t="s">
        <v>12</v>
      </c>
      <c r="F111">
        <v>179112189</v>
      </c>
      <c r="G111">
        <v>179112219</v>
      </c>
      <c r="H111">
        <v>179112189</v>
      </c>
      <c r="I111">
        <v>179112219</v>
      </c>
    </row>
    <row r="112" spans="1:9" x14ac:dyDescent="0.2">
      <c r="A112" s="1" t="str">
        <f>"ABL2"</f>
        <v>ABL2</v>
      </c>
      <c r="B112" t="s">
        <v>13</v>
      </c>
      <c r="C112" t="s">
        <v>19</v>
      </c>
      <c r="D112" t="s">
        <v>11</v>
      </c>
      <c r="E112" t="s">
        <v>12</v>
      </c>
      <c r="F112">
        <v>179198806</v>
      </c>
      <c r="G112">
        <v>179198832</v>
      </c>
      <c r="H112">
        <v>179198806</v>
      </c>
      <c r="I112">
        <v>179198832</v>
      </c>
    </row>
    <row r="113" spans="1:9" x14ac:dyDescent="0.2">
      <c r="A113" s="1" t="str">
        <f>"ABLIM1"</f>
        <v>ABLIM1</v>
      </c>
      <c r="B113" t="s">
        <v>45</v>
      </c>
      <c r="C113" t="s">
        <v>15</v>
      </c>
      <c r="D113" t="s">
        <v>11</v>
      </c>
      <c r="E113" t="s">
        <v>35</v>
      </c>
      <c r="F113">
        <v>116418066</v>
      </c>
      <c r="G113">
        <v>116418075</v>
      </c>
      <c r="H113">
        <v>116417910</v>
      </c>
      <c r="I113">
        <v>116417911</v>
      </c>
    </row>
    <row r="114" spans="1:9" x14ac:dyDescent="0.2">
      <c r="A114" s="1" t="str">
        <f>"ABLIM2"</f>
        <v>ABLIM2</v>
      </c>
      <c r="B114" t="s">
        <v>14</v>
      </c>
      <c r="C114" t="s">
        <v>23</v>
      </c>
      <c r="D114" t="s">
        <v>11</v>
      </c>
      <c r="E114" t="s">
        <v>12</v>
      </c>
      <c r="F114">
        <v>8160512</v>
      </c>
      <c r="G114">
        <v>8160582</v>
      </c>
      <c r="H114">
        <v>8160512</v>
      </c>
      <c r="I114">
        <v>8160582</v>
      </c>
    </row>
    <row r="115" spans="1:9" x14ac:dyDescent="0.2">
      <c r="A115" s="1" t="str">
        <f>"ABLIM3"</f>
        <v>ABLIM3</v>
      </c>
      <c r="B115" t="s">
        <v>14</v>
      </c>
      <c r="C115" t="s">
        <v>46</v>
      </c>
      <c r="D115" t="s">
        <v>17</v>
      </c>
      <c r="E115" t="s">
        <v>12</v>
      </c>
      <c r="F115">
        <v>148521047</v>
      </c>
      <c r="G115">
        <v>148521076</v>
      </c>
      <c r="H115">
        <v>148521286</v>
      </c>
      <c r="I115">
        <v>148521377</v>
      </c>
    </row>
    <row r="116" spans="1:9" x14ac:dyDescent="0.2">
      <c r="A116" s="1" t="str">
        <f>"ABO"</f>
        <v>ABO</v>
      </c>
      <c r="B116" t="s">
        <v>9</v>
      </c>
      <c r="C116" t="s">
        <v>24</v>
      </c>
      <c r="D116" t="s">
        <v>11</v>
      </c>
      <c r="E116" t="s">
        <v>12</v>
      </c>
      <c r="F116">
        <v>136150607</v>
      </c>
      <c r="G116">
        <v>136150648</v>
      </c>
      <c r="H116">
        <v>136150607</v>
      </c>
      <c r="I116">
        <v>136150648</v>
      </c>
    </row>
    <row r="117" spans="1:9" x14ac:dyDescent="0.2">
      <c r="A117" s="1" t="str">
        <f>"ABO"</f>
        <v>ABO</v>
      </c>
      <c r="B117" t="s">
        <v>13</v>
      </c>
      <c r="C117" t="s">
        <v>24</v>
      </c>
      <c r="D117" t="s">
        <v>11</v>
      </c>
      <c r="E117" t="s">
        <v>12</v>
      </c>
      <c r="F117">
        <v>136130909</v>
      </c>
      <c r="G117">
        <v>136130950</v>
      </c>
      <c r="H117">
        <v>136130909</v>
      </c>
      <c r="I117">
        <v>136130950</v>
      </c>
    </row>
    <row r="118" spans="1:9" x14ac:dyDescent="0.2">
      <c r="A118" s="1" t="str">
        <f>"ABR"</f>
        <v>ABR</v>
      </c>
      <c r="B118" t="s">
        <v>14</v>
      </c>
      <c r="C118" t="s">
        <v>28</v>
      </c>
      <c r="D118" t="s">
        <v>11</v>
      </c>
      <c r="E118" t="s">
        <v>12</v>
      </c>
      <c r="F118">
        <v>1083234</v>
      </c>
      <c r="G118">
        <v>1083294</v>
      </c>
      <c r="H118">
        <v>1083234</v>
      </c>
      <c r="I118">
        <v>1083294</v>
      </c>
    </row>
    <row r="119" spans="1:9" x14ac:dyDescent="0.2">
      <c r="A119" s="1" t="str">
        <f>"ABRA"</f>
        <v>ABRA</v>
      </c>
      <c r="B119" t="s">
        <v>14</v>
      </c>
      <c r="C119" t="s">
        <v>30</v>
      </c>
      <c r="D119" t="s">
        <v>11</v>
      </c>
      <c r="E119" t="s">
        <v>12</v>
      </c>
      <c r="F119">
        <v>107782463</v>
      </c>
      <c r="G119">
        <v>107782479</v>
      </c>
      <c r="H119">
        <v>107782452</v>
      </c>
      <c r="I119">
        <v>107782461</v>
      </c>
    </row>
    <row r="120" spans="1:9" x14ac:dyDescent="0.2">
      <c r="A120" s="1" t="str">
        <f>"ABRACL"</f>
        <v>ABRACL</v>
      </c>
      <c r="B120" t="s">
        <v>14</v>
      </c>
      <c r="C120" t="s">
        <v>32</v>
      </c>
      <c r="D120" t="s">
        <v>17</v>
      </c>
      <c r="E120" t="s">
        <v>12</v>
      </c>
      <c r="F120">
        <v>139349817</v>
      </c>
      <c r="G120">
        <v>139349899</v>
      </c>
      <c r="H120">
        <v>139349903</v>
      </c>
      <c r="I120">
        <v>139349944</v>
      </c>
    </row>
    <row r="121" spans="1:9" x14ac:dyDescent="0.2">
      <c r="A121" s="1" t="str">
        <f>"ABT1"</f>
        <v>ABT1</v>
      </c>
      <c r="B121" t="s">
        <v>14</v>
      </c>
      <c r="C121" t="s">
        <v>32</v>
      </c>
      <c r="D121" t="s">
        <v>17</v>
      </c>
      <c r="E121" t="s">
        <v>12</v>
      </c>
      <c r="F121">
        <v>26597155</v>
      </c>
      <c r="G121">
        <v>26597213</v>
      </c>
      <c r="H121">
        <v>26597363</v>
      </c>
      <c r="I121">
        <v>26597406</v>
      </c>
    </row>
    <row r="122" spans="1:9" x14ac:dyDescent="0.2">
      <c r="A122" s="1" t="str">
        <f>"ABTB1"</f>
        <v>ABTB1</v>
      </c>
      <c r="B122" t="s">
        <v>14</v>
      </c>
      <c r="C122" t="s">
        <v>22</v>
      </c>
      <c r="D122" t="s">
        <v>17</v>
      </c>
      <c r="E122" t="s">
        <v>12</v>
      </c>
      <c r="F122">
        <v>127391769</v>
      </c>
      <c r="G122">
        <v>127391861</v>
      </c>
      <c r="H122">
        <v>127391769</v>
      </c>
      <c r="I122">
        <v>127391861</v>
      </c>
    </row>
    <row r="123" spans="1:9" x14ac:dyDescent="0.2">
      <c r="A123" s="1" t="str">
        <f>"ABTB2"</f>
        <v>ABTB2</v>
      </c>
      <c r="B123" t="s">
        <v>14</v>
      </c>
      <c r="C123" t="s">
        <v>27</v>
      </c>
      <c r="D123" t="s">
        <v>11</v>
      </c>
      <c r="E123" t="s">
        <v>12</v>
      </c>
      <c r="F123">
        <v>34379546</v>
      </c>
      <c r="G123">
        <v>34379563</v>
      </c>
      <c r="H123">
        <v>34379574</v>
      </c>
      <c r="I123">
        <v>34379590</v>
      </c>
    </row>
    <row r="124" spans="1:9" x14ac:dyDescent="0.2">
      <c r="A124" s="1" t="str">
        <f>"ACAA1"</f>
        <v>ACAA1</v>
      </c>
      <c r="B124" t="s">
        <v>14</v>
      </c>
      <c r="C124" t="s">
        <v>22</v>
      </c>
      <c r="D124" t="s">
        <v>11</v>
      </c>
      <c r="E124" t="s">
        <v>12</v>
      </c>
      <c r="F124">
        <v>38178534</v>
      </c>
      <c r="G124">
        <v>38178632</v>
      </c>
      <c r="H124">
        <v>38178646</v>
      </c>
      <c r="I124">
        <v>38178655</v>
      </c>
    </row>
    <row r="125" spans="1:9" x14ac:dyDescent="0.2">
      <c r="A125" s="1" t="str">
        <f>"ACAA2"</f>
        <v>ACAA2</v>
      </c>
      <c r="B125" t="s">
        <v>14</v>
      </c>
      <c r="C125" t="s">
        <v>43</v>
      </c>
      <c r="D125" t="s">
        <v>11</v>
      </c>
      <c r="E125" t="s">
        <v>12</v>
      </c>
      <c r="F125">
        <v>47339882</v>
      </c>
      <c r="G125">
        <v>47339910</v>
      </c>
      <c r="H125">
        <v>47339911</v>
      </c>
      <c r="I125">
        <v>47339949</v>
      </c>
    </row>
    <row r="126" spans="1:9" x14ac:dyDescent="0.2">
      <c r="A126" s="1" t="str">
        <f>"ACACA"</f>
        <v>ACACA</v>
      </c>
      <c r="B126" t="s">
        <v>14</v>
      </c>
      <c r="C126" t="s">
        <v>28</v>
      </c>
      <c r="D126" t="s">
        <v>11</v>
      </c>
      <c r="E126" t="s">
        <v>12</v>
      </c>
      <c r="F126">
        <v>35716019</v>
      </c>
      <c r="G126">
        <v>35716079</v>
      </c>
      <c r="H126">
        <v>35716019</v>
      </c>
      <c r="I126">
        <v>35716079</v>
      </c>
    </row>
    <row r="127" spans="1:9" x14ac:dyDescent="0.2">
      <c r="A127" s="1" t="str">
        <f>"ACACB"</f>
        <v>ACACB</v>
      </c>
      <c r="B127" t="s">
        <v>9</v>
      </c>
      <c r="C127" t="s">
        <v>16</v>
      </c>
      <c r="D127" t="s">
        <v>17</v>
      </c>
      <c r="E127" t="s">
        <v>12</v>
      </c>
      <c r="F127">
        <v>109569155</v>
      </c>
      <c r="G127">
        <v>109569172</v>
      </c>
      <c r="H127">
        <v>109569155</v>
      </c>
      <c r="I127">
        <v>109569172</v>
      </c>
    </row>
    <row r="128" spans="1:9" x14ac:dyDescent="0.2">
      <c r="A128" s="1" t="str">
        <f>"ACACB"</f>
        <v>ACACB</v>
      </c>
      <c r="B128" t="s">
        <v>13</v>
      </c>
      <c r="C128" t="s">
        <v>16</v>
      </c>
      <c r="D128" t="s">
        <v>17</v>
      </c>
      <c r="E128" t="s">
        <v>12</v>
      </c>
      <c r="F128">
        <v>109592477</v>
      </c>
      <c r="G128">
        <v>109592501</v>
      </c>
      <c r="H128">
        <v>109592477</v>
      </c>
      <c r="I128">
        <v>109592501</v>
      </c>
    </row>
    <row r="129" spans="1:9" x14ac:dyDescent="0.2">
      <c r="A129" s="1" t="str">
        <f>"ACAD10"</f>
        <v>ACAD10</v>
      </c>
      <c r="B129" t="s">
        <v>14</v>
      </c>
      <c r="C129" t="s">
        <v>16</v>
      </c>
      <c r="D129" t="s">
        <v>17</v>
      </c>
      <c r="E129" t="s">
        <v>12</v>
      </c>
      <c r="F129">
        <v>112123850</v>
      </c>
      <c r="G129">
        <v>112123913</v>
      </c>
      <c r="H129">
        <v>112123837</v>
      </c>
      <c r="I129">
        <v>112123844</v>
      </c>
    </row>
    <row r="130" spans="1:9" x14ac:dyDescent="0.2">
      <c r="A130" s="1" t="str">
        <f>"ACAD11"</f>
        <v>ACAD11</v>
      </c>
      <c r="B130" t="s">
        <v>14</v>
      </c>
      <c r="C130" t="s">
        <v>22</v>
      </c>
      <c r="D130" t="s">
        <v>11</v>
      </c>
      <c r="E130" t="s">
        <v>12</v>
      </c>
      <c r="F130">
        <v>132378636</v>
      </c>
      <c r="G130">
        <v>132378666</v>
      </c>
      <c r="H130">
        <v>132378919</v>
      </c>
      <c r="I130">
        <v>132378959</v>
      </c>
    </row>
    <row r="131" spans="1:9" x14ac:dyDescent="0.2">
      <c r="A131" s="1" t="str">
        <f>"ACAD8"</f>
        <v>ACAD8</v>
      </c>
      <c r="B131" t="s">
        <v>14</v>
      </c>
      <c r="C131" t="s">
        <v>27</v>
      </c>
      <c r="D131" t="s">
        <v>17</v>
      </c>
      <c r="E131" t="s">
        <v>12</v>
      </c>
      <c r="F131">
        <v>134123425</v>
      </c>
      <c r="G131">
        <v>134123485</v>
      </c>
      <c r="H131">
        <v>134123416</v>
      </c>
      <c r="I131">
        <v>134123421</v>
      </c>
    </row>
    <row r="132" spans="1:9" x14ac:dyDescent="0.2">
      <c r="A132" s="1" t="str">
        <f>"ACAD9"</f>
        <v>ACAD9</v>
      </c>
      <c r="B132" t="s">
        <v>14</v>
      </c>
      <c r="C132" t="s">
        <v>22</v>
      </c>
      <c r="D132" t="s">
        <v>17</v>
      </c>
      <c r="E132" t="s">
        <v>12</v>
      </c>
      <c r="F132">
        <v>128598433</v>
      </c>
      <c r="G132">
        <v>128598511</v>
      </c>
      <c r="H132">
        <v>128598433</v>
      </c>
      <c r="I132">
        <v>128598511</v>
      </c>
    </row>
    <row r="133" spans="1:9" x14ac:dyDescent="0.2">
      <c r="A133" s="1" t="str">
        <f>"ACADL"</f>
        <v>ACADL</v>
      </c>
      <c r="B133" t="s">
        <v>14</v>
      </c>
      <c r="C133" t="s">
        <v>26</v>
      </c>
      <c r="D133" t="s">
        <v>11</v>
      </c>
      <c r="E133" t="s">
        <v>12</v>
      </c>
      <c r="F133">
        <v>211090089</v>
      </c>
      <c r="G133">
        <v>211090121</v>
      </c>
      <c r="H133">
        <v>211090162</v>
      </c>
      <c r="I133">
        <v>211090179</v>
      </c>
    </row>
    <row r="134" spans="1:9" x14ac:dyDescent="0.2">
      <c r="A134" s="1" t="str">
        <f>"ACADM"</f>
        <v>ACADM</v>
      </c>
      <c r="B134" t="s">
        <v>14</v>
      </c>
      <c r="C134" t="s">
        <v>19</v>
      </c>
      <c r="D134" t="s">
        <v>17</v>
      </c>
      <c r="E134" t="s">
        <v>12</v>
      </c>
      <c r="F134">
        <v>76190357</v>
      </c>
      <c r="G134">
        <v>76190457</v>
      </c>
      <c r="H134">
        <v>76190076</v>
      </c>
      <c r="I134">
        <v>76190140</v>
      </c>
    </row>
    <row r="135" spans="1:9" x14ac:dyDescent="0.2">
      <c r="A135" s="1" t="str">
        <f>"ACADS"</f>
        <v>ACADS</v>
      </c>
      <c r="B135" t="s">
        <v>14</v>
      </c>
      <c r="C135" t="s">
        <v>16</v>
      </c>
      <c r="D135" t="s">
        <v>17</v>
      </c>
      <c r="E135" t="s">
        <v>12</v>
      </c>
      <c r="F135">
        <v>121163602</v>
      </c>
      <c r="G135">
        <v>121163682</v>
      </c>
      <c r="H135">
        <v>121163596</v>
      </c>
      <c r="I135">
        <v>121163599</v>
      </c>
    </row>
    <row r="136" spans="1:9" x14ac:dyDescent="0.2">
      <c r="A136" s="1" t="str">
        <f>"ACADSB"</f>
        <v>ACADSB</v>
      </c>
      <c r="B136" t="s">
        <v>14</v>
      </c>
      <c r="C136" t="s">
        <v>15</v>
      </c>
      <c r="D136" t="s">
        <v>17</v>
      </c>
      <c r="E136" t="s">
        <v>12</v>
      </c>
      <c r="F136">
        <v>124768482</v>
      </c>
      <c r="G136">
        <v>124768542</v>
      </c>
      <c r="H136">
        <v>124768466</v>
      </c>
      <c r="I136">
        <v>124768477</v>
      </c>
    </row>
    <row r="137" spans="1:9" x14ac:dyDescent="0.2">
      <c r="A137" s="1" t="str">
        <f>"ACADVL"</f>
        <v>ACADVL</v>
      </c>
      <c r="B137" t="s">
        <v>14</v>
      </c>
      <c r="C137" t="s">
        <v>28</v>
      </c>
      <c r="D137" t="s">
        <v>17</v>
      </c>
      <c r="E137" t="s">
        <v>12</v>
      </c>
      <c r="F137">
        <v>7123207</v>
      </c>
      <c r="G137">
        <v>7123275</v>
      </c>
      <c r="H137">
        <v>7123176</v>
      </c>
      <c r="I137">
        <v>7123205</v>
      </c>
    </row>
    <row r="138" spans="1:9" x14ac:dyDescent="0.2">
      <c r="A138" s="1" t="str">
        <f>"ACAN"</f>
        <v>ACAN</v>
      </c>
      <c r="B138" t="s">
        <v>14</v>
      </c>
      <c r="C138" t="s">
        <v>25</v>
      </c>
      <c r="D138" t="s">
        <v>17</v>
      </c>
      <c r="E138" t="s">
        <v>12</v>
      </c>
      <c r="F138">
        <v>89346657</v>
      </c>
      <c r="G138">
        <v>89346673</v>
      </c>
      <c r="H138">
        <v>89346699</v>
      </c>
      <c r="I138">
        <v>89346715</v>
      </c>
    </row>
    <row r="139" spans="1:9" x14ac:dyDescent="0.2">
      <c r="A139" s="1" t="str">
        <f>"ACAP1"</f>
        <v>ACAP1</v>
      </c>
      <c r="B139" t="s">
        <v>14</v>
      </c>
      <c r="C139" t="s">
        <v>28</v>
      </c>
      <c r="D139" t="s">
        <v>17</v>
      </c>
      <c r="E139" t="s">
        <v>12</v>
      </c>
      <c r="F139">
        <v>7239821</v>
      </c>
      <c r="G139">
        <v>7239902</v>
      </c>
      <c r="H139">
        <v>7239904</v>
      </c>
      <c r="I139">
        <v>7239915</v>
      </c>
    </row>
    <row r="140" spans="1:9" x14ac:dyDescent="0.2">
      <c r="A140" s="1" t="str">
        <f>"ACAP2"</f>
        <v>ACAP2</v>
      </c>
      <c r="B140" t="s">
        <v>14</v>
      </c>
      <c r="C140" t="s">
        <v>22</v>
      </c>
      <c r="D140" t="s">
        <v>11</v>
      </c>
      <c r="E140" t="s">
        <v>12</v>
      </c>
      <c r="F140">
        <v>195163706</v>
      </c>
      <c r="G140">
        <v>195163777</v>
      </c>
      <c r="H140">
        <v>195163803</v>
      </c>
      <c r="I140">
        <v>195163826</v>
      </c>
    </row>
    <row r="141" spans="1:9" x14ac:dyDescent="0.2">
      <c r="A141" s="1" t="str">
        <f>"ACAP3"</f>
        <v>ACAP3</v>
      </c>
      <c r="B141" t="s">
        <v>14</v>
      </c>
      <c r="C141" t="s">
        <v>19</v>
      </c>
      <c r="D141" t="s">
        <v>11</v>
      </c>
      <c r="E141" t="s">
        <v>12</v>
      </c>
      <c r="F141">
        <v>1243252</v>
      </c>
      <c r="G141">
        <v>1243318</v>
      </c>
      <c r="H141">
        <v>1243214</v>
      </c>
      <c r="I141">
        <v>1243229</v>
      </c>
    </row>
    <row r="142" spans="1:9" x14ac:dyDescent="0.2">
      <c r="A142" s="1" t="str">
        <f>"ACAT1"</f>
        <v>ACAT1</v>
      </c>
      <c r="B142" t="s">
        <v>14</v>
      </c>
      <c r="C142" t="s">
        <v>27</v>
      </c>
      <c r="D142" t="s">
        <v>17</v>
      </c>
      <c r="E142" t="s">
        <v>12</v>
      </c>
      <c r="F142">
        <v>107992284</v>
      </c>
      <c r="G142">
        <v>107992300</v>
      </c>
      <c r="H142">
        <v>107992316</v>
      </c>
      <c r="I142">
        <v>107992330</v>
      </c>
    </row>
    <row r="143" spans="1:9" x14ac:dyDescent="0.2">
      <c r="A143" s="1" t="str">
        <f>"ACAT2"</f>
        <v>ACAT2</v>
      </c>
      <c r="B143" t="s">
        <v>14</v>
      </c>
      <c r="C143" t="s">
        <v>32</v>
      </c>
      <c r="D143" t="s">
        <v>17</v>
      </c>
      <c r="E143" t="s">
        <v>12</v>
      </c>
      <c r="F143">
        <v>160183023</v>
      </c>
      <c r="G143">
        <v>160183104</v>
      </c>
      <c r="H143">
        <v>160183527</v>
      </c>
      <c r="I143">
        <v>160183598</v>
      </c>
    </row>
    <row r="144" spans="1:9" x14ac:dyDescent="0.2">
      <c r="A144" s="1" t="str">
        <f>"ACBD3"</f>
        <v>ACBD3</v>
      </c>
      <c r="B144" t="s">
        <v>14</v>
      </c>
      <c r="C144" t="s">
        <v>19</v>
      </c>
      <c r="D144" t="s">
        <v>11</v>
      </c>
      <c r="E144" t="s">
        <v>12</v>
      </c>
      <c r="F144">
        <v>226374373</v>
      </c>
      <c r="G144">
        <v>226374464</v>
      </c>
      <c r="H144">
        <v>226374114</v>
      </c>
      <c r="I144">
        <v>226374143</v>
      </c>
    </row>
    <row r="145" spans="1:9" x14ac:dyDescent="0.2">
      <c r="A145" s="1" t="str">
        <f>"ACBD4"</f>
        <v>ACBD4</v>
      </c>
      <c r="B145" t="s">
        <v>9</v>
      </c>
      <c r="C145" t="s">
        <v>28</v>
      </c>
      <c r="D145" t="s">
        <v>17</v>
      </c>
      <c r="E145" t="s">
        <v>12</v>
      </c>
      <c r="F145">
        <v>43213004</v>
      </c>
      <c r="G145">
        <v>43213086</v>
      </c>
      <c r="H145">
        <v>43213004</v>
      </c>
      <c r="I145">
        <v>43213086</v>
      </c>
    </row>
    <row r="146" spans="1:9" x14ac:dyDescent="0.2">
      <c r="A146" s="1" t="str">
        <f>"ACBD4"</f>
        <v>ACBD4</v>
      </c>
      <c r="B146" t="s">
        <v>13</v>
      </c>
      <c r="C146" t="s">
        <v>28</v>
      </c>
      <c r="D146" t="s">
        <v>17</v>
      </c>
      <c r="E146" t="s">
        <v>12</v>
      </c>
      <c r="F146">
        <v>43209974</v>
      </c>
      <c r="G146">
        <v>43210005</v>
      </c>
      <c r="H146">
        <v>43209974</v>
      </c>
      <c r="I146">
        <v>43210005</v>
      </c>
    </row>
    <row r="147" spans="1:9" x14ac:dyDescent="0.2">
      <c r="A147" s="1" t="str">
        <f>"ACBD5"</f>
        <v>ACBD5</v>
      </c>
      <c r="B147" t="s">
        <v>14</v>
      </c>
      <c r="C147" t="s">
        <v>15</v>
      </c>
      <c r="D147" t="s">
        <v>11</v>
      </c>
      <c r="E147" t="s">
        <v>12</v>
      </c>
      <c r="F147">
        <v>27529716</v>
      </c>
      <c r="G147">
        <v>27529756</v>
      </c>
      <c r="H147">
        <v>27529408</v>
      </c>
      <c r="I147">
        <v>27529427</v>
      </c>
    </row>
    <row r="148" spans="1:9" x14ac:dyDescent="0.2">
      <c r="A148" s="1" t="str">
        <f>"ACBD6"</f>
        <v>ACBD6</v>
      </c>
      <c r="B148" t="s">
        <v>14</v>
      </c>
      <c r="C148" t="s">
        <v>19</v>
      </c>
      <c r="D148" t="s">
        <v>11</v>
      </c>
      <c r="E148" t="s">
        <v>12</v>
      </c>
      <c r="F148">
        <v>180471671</v>
      </c>
      <c r="G148">
        <v>180471764</v>
      </c>
      <c r="H148">
        <v>180471947</v>
      </c>
      <c r="I148">
        <v>180472028</v>
      </c>
    </row>
    <row r="149" spans="1:9" x14ac:dyDescent="0.2">
      <c r="A149" s="1" t="str">
        <f>"ACBD7"</f>
        <v>ACBD7</v>
      </c>
      <c r="B149" t="s">
        <v>14</v>
      </c>
      <c r="C149" t="s">
        <v>15</v>
      </c>
      <c r="D149" t="s">
        <v>11</v>
      </c>
      <c r="E149" t="s">
        <v>12</v>
      </c>
      <c r="F149">
        <v>15130767</v>
      </c>
      <c r="G149">
        <v>15130782</v>
      </c>
      <c r="H149">
        <v>15130475</v>
      </c>
      <c r="I149">
        <v>15130486</v>
      </c>
    </row>
    <row r="150" spans="1:9" x14ac:dyDescent="0.2">
      <c r="A150" s="1" t="str">
        <f>"ACCS"</f>
        <v>ACCS</v>
      </c>
      <c r="B150" t="s">
        <v>14</v>
      </c>
      <c r="C150" t="s">
        <v>27</v>
      </c>
      <c r="D150" t="s">
        <v>17</v>
      </c>
      <c r="E150" t="s">
        <v>12</v>
      </c>
      <c r="F150">
        <v>44088027</v>
      </c>
      <c r="G150">
        <v>44088086</v>
      </c>
      <c r="H150">
        <v>44087862</v>
      </c>
      <c r="I150">
        <v>44087904</v>
      </c>
    </row>
    <row r="151" spans="1:9" x14ac:dyDescent="0.2">
      <c r="A151" s="1" t="str">
        <f>"ACCSL"</f>
        <v>ACCSL</v>
      </c>
      <c r="B151" t="s">
        <v>47</v>
      </c>
      <c r="C151" t="s">
        <v>27</v>
      </c>
      <c r="D151" t="s">
        <v>17</v>
      </c>
      <c r="E151" t="s">
        <v>20</v>
      </c>
      <c r="F151">
        <v>44069530</v>
      </c>
      <c r="G151">
        <v>44069530</v>
      </c>
      <c r="H151">
        <v>44069530</v>
      </c>
      <c r="I151">
        <v>44069530</v>
      </c>
    </row>
    <row r="152" spans="1:9" x14ac:dyDescent="0.2">
      <c r="A152" s="1" t="str">
        <f>"ACD"</f>
        <v>ACD</v>
      </c>
      <c r="B152" t="s">
        <v>14</v>
      </c>
      <c r="C152" t="s">
        <v>31</v>
      </c>
      <c r="D152" t="s">
        <v>11</v>
      </c>
      <c r="E152" t="s">
        <v>12</v>
      </c>
      <c r="F152">
        <v>67694129</v>
      </c>
      <c r="G152">
        <v>67694182</v>
      </c>
      <c r="H152">
        <v>67694183</v>
      </c>
      <c r="I152">
        <v>67694205</v>
      </c>
    </row>
    <row r="153" spans="1:9" x14ac:dyDescent="0.2">
      <c r="A153" s="1" t="str">
        <f>"ACE"</f>
        <v>ACE</v>
      </c>
      <c r="B153" t="s">
        <v>9</v>
      </c>
      <c r="C153" t="s">
        <v>28</v>
      </c>
      <c r="D153" t="s">
        <v>17</v>
      </c>
      <c r="E153" t="s">
        <v>12</v>
      </c>
      <c r="F153">
        <v>61554413</v>
      </c>
      <c r="G153">
        <v>61554430</v>
      </c>
      <c r="H153">
        <v>61554413</v>
      </c>
      <c r="I153">
        <v>61554430</v>
      </c>
    </row>
    <row r="154" spans="1:9" x14ac:dyDescent="0.2">
      <c r="A154" s="1" t="str">
        <f>"ACE"</f>
        <v>ACE</v>
      </c>
      <c r="B154" t="s">
        <v>13</v>
      </c>
      <c r="C154" t="s">
        <v>28</v>
      </c>
      <c r="D154" t="s">
        <v>17</v>
      </c>
      <c r="E154" t="s">
        <v>12</v>
      </c>
      <c r="F154">
        <v>61562201</v>
      </c>
      <c r="G154">
        <v>61562215</v>
      </c>
      <c r="H154">
        <v>61562201</v>
      </c>
      <c r="I154">
        <v>61562215</v>
      </c>
    </row>
    <row r="155" spans="1:9" x14ac:dyDescent="0.2">
      <c r="A155" s="1" t="str">
        <f>"ACE2"</f>
        <v>ACE2</v>
      </c>
      <c r="B155" t="s">
        <v>14</v>
      </c>
      <c r="C155" t="s">
        <v>37</v>
      </c>
      <c r="D155" t="s">
        <v>11</v>
      </c>
      <c r="E155" t="s">
        <v>12</v>
      </c>
      <c r="F155">
        <v>15619060</v>
      </c>
      <c r="G155">
        <v>15619073</v>
      </c>
      <c r="H155">
        <v>15619076</v>
      </c>
      <c r="I155">
        <v>15619089</v>
      </c>
    </row>
    <row r="156" spans="1:9" x14ac:dyDescent="0.2">
      <c r="A156" s="1" t="str">
        <f>"ACER1"</f>
        <v>ACER1</v>
      </c>
      <c r="B156" t="s">
        <v>14</v>
      </c>
      <c r="C156" t="s">
        <v>10</v>
      </c>
      <c r="D156" t="s">
        <v>11</v>
      </c>
      <c r="E156" t="s">
        <v>12</v>
      </c>
      <c r="F156">
        <v>6333599</v>
      </c>
      <c r="G156">
        <v>6333612</v>
      </c>
      <c r="H156">
        <v>6333614</v>
      </c>
      <c r="I156">
        <v>6333628</v>
      </c>
    </row>
    <row r="157" spans="1:9" x14ac:dyDescent="0.2">
      <c r="A157" s="1" t="str">
        <f>"ACER2"</f>
        <v>ACER2</v>
      </c>
      <c r="B157" t="s">
        <v>14</v>
      </c>
      <c r="C157" t="s">
        <v>24</v>
      </c>
      <c r="D157" t="s">
        <v>17</v>
      </c>
      <c r="E157" t="s">
        <v>12</v>
      </c>
      <c r="F157">
        <v>19408999</v>
      </c>
      <c r="G157">
        <v>19409016</v>
      </c>
      <c r="H157">
        <v>19408936</v>
      </c>
      <c r="I157">
        <v>19408962</v>
      </c>
    </row>
    <row r="158" spans="1:9" x14ac:dyDescent="0.2">
      <c r="A158" s="1" t="str">
        <f>"ACER3"</f>
        <v>ACER3</v>
      </c>
      <c r="B158" t="s">
        <v>14</v>
      </c>
      <c r="C158" t="s">
        <v>27</v>
      </c>
      <c r="D158" t="s">
        <v>17</v>
      </c>
      <c r="E158" t="s">
        <v>12</v>
      </c>
      <c r="F158">
        <v>76571935</v>
      </c>
      <c r="G158">
        <v>76571991</v>
      </c>
      <c r="H158">
        <v>76571762</v>
      </c>
      <c r="I158">
        <v>76571794</v>
      </c>
    </row>
    <row r="159" spans="1:9" x14ac:dyDescent="0.2">
      <c r="A159" s="1" t="str">
        <f>"ACHE"</f>
        <v>ACHE</v>
      </c>
      <c r="B159" t="s">
        <v>9</v>
      </c>
      <c r="C159" t="s">
        <v>33</v>
      </c>
      <c r="D159" t="s">
        <v>11</v>
      </c>
      <c r="E159" t="s">
        <v>12</v>
      </c>
      <c r="F159">
        <v>100493499</v>
      </c>
      <c r="G159">
        <v>100493515</v>
      </c>
      <c r="H159">
        <v>100493499</v>
      </c>
      <c r="I159">
        <v>100493515</v>
      </c>
    </row>
    <row r="160" spans="1:9" x14ac:dyDescent="0.2">
      <c r="A160" s="1" t="str">
        <f>"ACHE"</f>
        <v>ACHE</v>
      </c>
      <c r="B160" t="s">
        <v>13</v>
      </c>
      <c r="C160" t="s">
        <v>33</v>
      </c>
      <c r="D160" t="s">
        <v>11</v>
      </c>
      <c r="E160" t="s">
        <v>12</v>
      </c>
      <c r="F160">
        <v>100494586</v>
      </c>
      <c r="G160">
        <v>100494624</v>
      </c>
      <c r="H160">
        <v>100494586</v>
      </c>
      <c r="I160">
        <v>100494624</v>
      </c>
    </row>
    <row r="161" spans="1:9" x14ac:dyDescent="0.2">
      <c r="A161" s="1" t="str">
        <f>"ACIN1"</f>
        <v>ACIN1</v>
      </c>
      <c r="B161" t="s">
        <v>9</v>
      </c>
      <c r="C161" t="s">
        <v>41</v>
      </c>
      <c r="D161" t="s">
        <v>11</v>
      </c>
      <c r="E161" t="s">
        <v>12</v>
      </c>
      <c r="F161">
        <v>23564320</v>
      </c>
      <c r="G161">
        <v>23564362</v>
      </c>
      <c r="H161">
        <v>23564320</v>
      </c>
      <c r="I161">
        <v>23564362</v>
      </c>
    </row>
    <row r="162" spans="1:9" x14ac:dyDescent="0.2">
      <c r="A162" s="1" t="str">
        <f>"ACIN1"</f>
        <v>ACIN1</v>
      </c>
      <c r="B162" t="s">
        <v>13</v>
      </c>
      <c r="C162" t="s">
        <v>41</v>
      </c>
      <c r="D162" t="s">
        <v>11</v>
      </c>
      <c r="E162" t="s">
        <v>12</v>
      </c>
      <c r="F162">
        <v>23540760</v>
      </c>
      <c r="G162">
        <v>23540800</v>
      </c>
      <c r="H162">
        <v>23540760</v>
      </c>
      <c r="I162">
        <v>23540800</v>
      </c>
    </row>
    <row r="163" spans="1:9" x14ac:dyDescent="0.2">
      <c r="A163" s="1" t="str">
        <f>"ACKR2"</f>
        <v>ACKR2</v>
      </c>
      <c r="B163" t="s">
        <v>14</v>
      </c>
      <c r="C163" t="s">
        <v>22</v>
      </c>
      <c r="D163" t="s">
        <v>17</v>
      </c>
      <c r="E163" t="s">
        <v>12</v>
      </c>
      <c r="F163">
        <v>42850931</v>
      </c>
      <c r="G163">
        <v>42850953</v>
      </c>
      <c r="H163">
        <v>42850959</v>
      </c>
      <c r="I163">
        <v>42850986</v>
      </c>
    </row>
    <row r="164" spans="1:9" x14ac:dyDescent="0.2">
      <c r="A164" s="1" t="str">
        <f>"ACKR3"</f>
        <v>ACKR3</v>
      </c>
      <c r="B164" t="s">
        <v>9</v>
      </c>
      <c r="C164" t="s">
        <v>26</v>
      </c>
      <c r="D164" t="s">
        <v>17</v>
      </c>
      <c r="E164" t="s">
        <v>12</v>
      </c>
      <c r="F164">
        <v>237478460</v>
      </c>
      <c r="G164">
        <v>237478475</v>
      </c>
      <c r="H164">
        <v>237478460</v>
      </c>
      <c r="I164">
        <v>237478475</v>
      </c>
    </row>
    <row r="165" spans="1:9" x14ac:dyDescent="0.2">
      <c r="A165" s="1" t="str">
        <f>"ACKR3"</f>
        <v>ACKR3</v>
      </c>
      <c r="B165" t="s">
        <v>13</v>
      </c>
      <c r="C165" t="s">
        <v>26</v>
      </c>
      <c r="D165" t="s">
        <v>17</v>
      </c>
      <c r="E165" t="s">
        <v>12</v>
      </c>
      <c r="F165">
        <v>237476419</v>
      </c>
      <c r="G165">
        <v>237476451</v>
      </c>
      <c r="H165">
        <v>237476419</v>
      </c>
      <c r="I165">
        <v>237476451</v>
      </c>
    </row>
    <row r="166" spans="1:9" x14ac:dyDescent="0.2">
      <c r="A166" s="1" t="str">
        <f>"ACKR4"</f>
        <v>ACKR4</v>
      </c>
      <c r="B166" t="s">
        <v>14</v>
      </c>
      <c r="C166" t="s">
        <v>22</v>
      </c>
      <c r="D166" t="s">
        <v>17</v>
      </c>
      <c r="E166" t="s">
        <v>12</v>
      </c>
      <c r="F166">
        <v>132316104</v>
      </c>
      <c r="G166">
        <v>132316144</v>
      </c>
      <c r="H166">
        <v>132316104</v>
      </c>
      <c r="I166">
        <v>132316144</v>
      </c>
    </row>
    <row r="167" spans="1:9" x14ac:dyDescent="0.2">
      <c r="A167" s="1" t="str">
        <f>"ACLY"</f>
        <v>ACLY</v>
      </c>
      <c r="B167" t="s">
        <v>14</v>
      </c>
      <c r="C167" t="s">
        <v>28</v>
      </c>
      <c r="D167" t="s">
        <v>11</v>
      </c>
      <c r="E167" t="s">
        <v>12</v>
      </c>
      <c r="F167">
        <v>40075197</v>
      </c>
      <c r="G167">
        <v>40075213</v>
      </c>
      <c r="H167">
        <v>40075219</v>
      </c>
      <c r="I167">
        <v>40075263</v>
      </c>
    </row>
    <row r="168" spans="1:9" x14ac:dyDescent="0.2">
      <c r="A168" s="1" t="str">
        <f>"ACMSD"</f>
        <v>ACMSD</v>
      </c>
      <c r="B168" t="s">
        <v>14</v>
      </c>
      <c r="C168" t="s">
        <v>26</v>
      </c>
      <c r="D168" t="s">
        <v>17</v>
      </c>
      <c r="E168" t="s">
        <v>12</v>
      </c>
      <c r="F168">
        <v>135596180</v>
      </c>
      <c r="G168">
        <v>135596193</v>
      </c>
      <c r="H168">
        <v>135596106</v>
      </c>
      <c r="I168">
        <v>135596137</v>
      </c>
    </row>
    <row r="169" spans="1:9" x14ac:dyDescent="0.2">
      <c r="A169" s="1" t="str">
        <f>"ACN9"</f>
        <v>ACN9</v>
      </c>
      <c r="B169" t="s">
        <v>14</v>
      </c>
      <c r="C169" t="s">
        <v>33</v>
      </c>
      <c r="D169" t="s">
        <v>17</v>
      </c>
      <c r="E169" t="s">
        <v>12</v>
      </c>
      <c r="F169">
        <v>96746988</v>
      </c>
      <c r="G169">
        <v>96747028</v>
      </c>
      <c r="H169">
        <v>96747057</v>
      </c>
      <c r="I169">
        <v>96747073</v>
      </c>
    </row>
    <row r="170" spans="1:9" x14ac:dyDescent="0.2">
      <c r="A170" s="1" t="str">
        <f>"ACO1"</f>
        <v>ACO1</v>
      </c>
      <c r="B170" t="s">
        <v>14</v>
      </c>
      <c r="C170" t="s">
        <v>24</v>
      </c>
      <c r="D170" t="s">
        <v>17</v>
      </c>
      <c r="E170" t="s">
        <v>12</v>
      </c>
      <c r="F170">
        <v>32384617</v>
      </c>
      <c r="G170">
        <v>32384709</v>
      </c>
      <c r="H170">
        <v>32384617</v>
      </c>
      <c r="I170">
        <v>32384709</v>
      </c>
    </row>
    <row r="171" spans="1:9" x14ac:dyDescent="0.2">
      <c r="A171" s="1" t="str">
        <f>"ACO2"</f>
        <v>ACO2</v>
      </c>
      <c r="B171" t="s">
        <v>14</v>
      </c>
      <c r="C171" t="s">
        <v>21</v>
      </c>
      <c r="D171" t="s">
        <v>17</v>
      </c>
      <c r="E171" t="s">
        <v>12</v>
      </c>
      <c r="F171">
        <v>41865109</v>
      </c>
      <c r="G171">
        <v>41865152</v>
      </c>
      <c r="H171">
        <v>41865109</v>
      </c>
      <c r="I171">
        <v>41865152</v>
      </c>
    </row>
    <row r="172" spans="1:9" x14ac:dyDescent="0.2">
      <c r="A172" s="1" t="str">
        <f>"ACOT1"</f>
        <v>ACOT1</v>
      </c>
      <c r="B172" t="s">
        <v>14</v>
      </c>
      <c r="C172" t="s">
        <v>41</v>
      </c>
      <c r="D172" t="s">
        <v>17</v>
      </c>
      <c r="E172" t="s">
        <v>12</v>
      </c>
      <c r="F172">
        <v>74003840</v>
      </c>
      <c r="G172">
        <v>74003852</v>
      </c>
      <c r="H172">
        <v>74004017</v>
      </c>
      <c r="I172">
        <v>74004036</v>
      </c>
    </row>
    <row r="173" spans="1:9" x14ac:dyDescent="0.2">
      <c r="A173" s="1" t="str">
        <f>"ACOT11"</f>
        <v>ACOT11</v>
      </c>
      <c r="B173" t="s">
        <v>9</v>
      </c>
      <c r="C173" t="s">
        <v>19</v>
      </c>
      <c r="D173" t="s">
        <v>17</v>
      </c>
      <c r="E173" t="s">
        <v>12</v>
      </c>
      <c r="F173">
        <v>55013889</v>
      </c>
      <c r="G173">
        <v>55013912</v>
      </c>
      <c r="H173">
        <v>55013889</v>
      </c>
      <c r="I173">
        <v>55013912</v>
      </c>
    </row>
    <row r="174" spans="1:9" x14ac:dyDescent="0.2">
      <c r="A174" s="1" t="str">
        <f>"ACOT11"</f>
        <v>ACOT11</v>
      </c>
      <c r="B174" t="s">
        <v>13</v>
      </c>
      <c r="C174" t="s">
        <v>19</v>
      </c>
      <c r="D174" t="s">
        <v>17</v>
      </c>
      <c r="E174" t="s">
        <v>12</v>
      </c>
      <c r="F174">
        <v>55007925</v>
      </c>
      <c r="G174">
        <v>55007966</v>
      </c>
      <c r="H174">
        <v>55007925</v>
      </c>
      <c r="I174">
        <v>55007966</v>
      </c>
    </row>
    <row r="175" spans="1:9" x14ac:dyDescent="0.2">
      <c r="A175" s="1" t="str">
        <f>"ACOT12"</f>
        <v>ACOT12</v>
      </c>
      <c r="B175" t="s">
        <v>14</v>
      </c>
      <c r="C175" t="s">
        <v>46</v>
      </c>
      <c r="D175" t="s">
        <v>11</v>
      </c>
      <c r="E175" t="s">
        <v>12</v>
      </c>
      <c r="F175">
        <v>80689945</v>
      </c>
      <c r="G175">
        <v>80689958</v>
      </c>
      <c r="H175">
        <v>80689983</v>
      </c>
      <c r="I175">
        <v>80689994</v>
      </c>
    </row>
    <row r="176" spans="1:9" x14ac:dyDescent="0.2">
      <c r="A176" s="1" t="str">
        <f>"ACOT13"</f>
        <v>ACOT13</v>
      </c>
      <c r="B176" t="s">
        <v>14</v>
      </c>
      <c r="C176" t="s">
        <v>32</v>
      </c>
      <c r="D176" t="s">
        <v>17</v>
      </c>
      <c r="E176" t="s">
        <v>12</v>
      </c>
      <c r="F176">
        <v>24667257</v>
      </c>
      <c r="G176">
        <v>24667365</v>
      </c>
      <c r="H176">
        <v>24667383</v>
      </c>
      <c r="I176">
        <v>24667426</v>
      </c>
    </row>
    <row r="177" spans="1:9" x14ac:dyDescent="0.2">
      <c r="A177" s="1" t="str">
        <f>"ACOT2"</f>
        <v>ACOT2</v>
      </c>
      <c r="B177" t="s">
        <v>14</v>
      </c>
      <c r="C177" t="s">
        <v>41</v>
      </c>
      <c r="D177" t="s">
        <v>17</v>
      </c>
      <c r="E177" t="s">
        <v>12</v>
      </c>
      <c r="F177">
        <v>74035970</v>
      </c>
      <c r="G177">
        <v>74036005</v>
      </c>
      <c r="H177">
        <v>74035911</v>
      </c>
      <c r="I177">
        <v>74035922</v>
      </c>
    </row>
    <row r="178" spans="1:9" x14ac:dyDescent="0.2">
      <c r="A178" s="1" t="str">
        <f>"ACOT4"</f>
        <v>ACOT4</v>
      </c>
      <c r="B178" t="s">
        <v>14</v>
      </c>
      <c r="C178" t="s">
        <v>41</v>
      </c>
      <c r="D178" t="s">
        <v>17</v>
      </c>
      <c r="E178" t="s">
        <v>12</v>
      </c>
      <c r="F178">
        <v>74058838</v>
      </c>
      <c r="G178">
        <v>74058879</v>
      </c>
      <c r="H178">
        <v>74058550</v>
      </c>
      <c r="I178">
        <v>74058592</v>
      </c>
    </row>
    <row r="179" spans="1:9" x14ac:dyDescent="0.2">
      <c r="A179" s="1" t="str">
        <f>"ACOT6"</f>
        <v>ACOT6</v>
      </c>
      <c r="B179" t="s">
        <v>14</v>
      </c>
      <c r="C179" t="s">
        <v>41</v>
      </c>
      <c r="D179" t="s">
        <v>17</v>
      </c>
      <c r="E179" t="s">
        <v>12</v>
      </c>
      <c r="F179">
        <v>74077640</v>
      </c>
      <c r="G179">
        <v>74077644</v>
      </c>
      <c r="H179">
        <v>74077640</v>
      </c>
      <c r="I179">
        <v>74077644</v>
      </c>
    </row>
    <row r="180" spans="1:9" x14ac:dyDescent="0.2">
      <c r="A180" s="1" t="str">
        <f>"ACOT7"</f>
        <v>ACOT7</v>
      </c>
      <c r="B180" t="s">
        <v>14</v>
      </c>
      <c r="C180" t="s">
        <v>19</v>
      </c>
      <c r="D180" t="s">
        <v>11</v>
      </c>
      <c r="E180" t="s">
        <v>12</v>
      </c>
      <c r="F180">
        <v>6453426</v>
      </c>
      <c r="G180">
        <v>6453447</v>
      </c>
      <c r="H180">
        <v>6453399</v>
      </c>
      <c r="I180">
        <v>6453423</v>
      </c>
    </row>
    <row r="181" spans="1:9" x14ac:dyDescent="0.2">
      <c r="A181" s="1" t="str">
        <f>"ACOT8"</f>
        <v>ACOT8</v>
      </c>
      <c r="B181" t="s">
        <v>14</v>
      </c>
      <c r="C181" t="s">
        <v>29</v>
      </c>
      <c r="D181" t="s">
        <v>11</v>
      </c>
      <c r="E181" t="s">
        <v>12</v>
      </c>
      <c r="F181">
        <v>44485992</v>
      </c>
      <c r="G181">
        <v>44486056</v>
      </c>
      <c r="H181">
        <v>44485992</v>
      </c>
      <c r="I181">
        <v>44486056</v>
      </c>
    </row>
    <row r="182" spans="1:9" x14ac:dyDescent="0.2">
      <c r="A182" s="1" t="str">
        <f>"ACOT9"</f>
        <v>ACOT9</v>
      </c>
      <c r="B182" t="s">
        <v>14</v>
      </c>
      <c r="C182" t="s">
        <v>37</v>
      </c>
      <c r="D182" t="s">
        <v>11</v>
      </c>
      <c r="E182" t="s">
        <v>12</v>
      </c>
      <c r="F182">
        <v>23761317</v>
      </c>
      <c r="G182">
        <v>23761419</v>
      </c>
      <c r="H182">
        <v>23761528</v>
      </c>
      <c r="I182">
        <v>23761541</v>
      </c>
    </row>
    <row r="183" spans="1:9" x14ac:dyDescent="0.2">
      <c r="A183" s="1" t="str">
        <f>"ACOX1"</f>
        <v>ACOX1</v>
      </c>
      <c r="B183" t="s">
        <v>14</v>
      </c>
      <c r="C183" t="s">
        <v>28</v>
      </c>
      <c r="D183" t="s">
        <v>11</v>
      </c>
      <c r="E183" t="s">
        <v>12</v>
      </c>
      <c r="F183">
        <v>73975198</v>
      </c>
      <c r="G183">
        <v>73975269</v>
      </c>
      <c r="H183">
        <v>73975461</v>
      </c>
      <c r="I183">
        <v>73975528</v>
      </c>
    </row>
    <row r="184" spans="1:9" x14ac:dyDescent="0.2">
      <c r="A184" s="1" t="str">
        <f>"ACOX2"</f>
        <v>ACOX2</v>
      </c>
      <c r="B184" t="s">
        <v>9</v>
      </c>
      <c r="C184" t="s">
        <v>22</v>
      </c>
      <c r="D184" t="s">
        <v>11</v>
      </c>
      <c r="E184" t="s">
        <v>12</v>
      </c>
      <c r="F184">
        <v>58522908</v>
      </c>
      <c r="G184">
        <v>58522935</v>
      </c>
      <c r="H184">
        <v>58522908</v>
      </c>
      <c r="I184">
        <v>58522935</v>
      </c>
    </row>
    <row r="185" spans="1:9" x14ac:dyDescent="0.2">
      <c r="A185" s="1" t="str">
        <f>"ACOX2"</f>
        <v>ACOX2</v>
      </c>
      <c r="B185" t="s">
        <v>13</v>
      </c>
      <c r="C185" t="s">
        <v>22</v>
      </c>
      <c r="D185" t="s">
        <v>11</v>
      </c>
      <c r="E185" t="s">
        <v>12</v>
      </c>
      <c r="F185">
        <v>58512482</v>
      </c>
      <c r="G185">
        <v>58512504</v>
      </c>
      <c r="H185">
        <v>58512482</v>
      </c>
      <c r="I185">
        <v>58512504</v>
      </c>
    </row>
    <row r="186" spans="1:9" x14ac:dyDescent="0.2">
      <c r="A186" s="1" t="str">
        <f>"ACOX3"</f>
        <v>ACOX3</v>
      </c>
      <c r="B186" t="s">
        <v>9</v>
      </c>
      <c r="C186" t="s">
        <v>23</v>
      </c>
      <c r="D186" t="s">
        <v>11</v>
      </c>
      <c r="E186" t="s">
        <v>12</v>
      </c>
      <c r="F186">
        <v>8430152</v>
      </c>
      <c r="G186">
        <v>8430200</v>
      </c>
      <c r="H186">
        <v>8430152</v>
      </c>
      <c r="I186">
        <v>8430200</v>
      </c>
    </row>
    <row r="187" spans="1:9" x14ac:dyDescent="0.2">
      <c r="A187" s="1" t="str">
        <f>"ACOX3"</f>
        <v>ACOX3</v>
      </c>
      <c r="B187" t="s">
        <v>13</v>
      </c>
      <c r="C187" t="s">
        <v>23</v>
      </c>
      <c r="D187" t="s">
        <v>11</v>
      </c>
      <c r="E187" t="s">
        <v>12</v>
      </c>
      <c r="F187">
        <v>8442439</v>
      </c>
      <c r="G187">
        <v>8442465</v>
      </c>
      <c r="H187">
        <v>8442439</v>
      </c>
      <c r="I187">
        <v>8442465</v>
      </c>
    </row>
    <row r="188" spans="1:9" x14ac:dyDescent="0.2">
      <c r="A188" s="1" t="str">
        <f>"ACOXL"</f>
        <v>ACOXL</v>
      </c>
      <c r="B188" t="s">
        <v>14</v>
      </c>
      <c r="C188" t="s">
        <v>26</v>
      </c>
      <c r="D188" t="s">
        <v>17</v>
      </c>
      <c r="E188" t="s">
        <v>12</v>
      </c>
      <c r="F188">
        <v>111490161</v>
      </c>
      <c r="G188">
        <v>111490216</v>
      </c>
      <c r="H188">
        <v>111490144</v>
      </c>
      <c r="I188">
        <v>111490155</v>
      </c>
    </row>
    <row r="189" spans="1:9" x14ac:dyDescent="0.2">
      <c r="A189" s="1" t="str">
        <f>"ACP1"</f>
        <v>ACP1</v>
      </c>
      <c r="B189" t="s">
        <v>14</v>
      </c>
      <c r="C189" t="s">
        <v>26</v>
      </c>
      <c r="D189" t="s">
        <v>17</v>
      </c>
      <c r="E189" t="s">
        <v>12</v>
      </c>
      <c r="F189">
        <v>264913</v>
      </c>
      <c r="G189">
        <v>264964</v>
      </c>
      <c r="H189">
        <v>264890</v>
      </c>
      <c r="I189">
        <v>264906</v>
      </c>
    </row>
    <row r="190" spans="1:9" x14ac:dyDescent="0.2">
      <c r="A190" s="1" t="str">
        <f>"ACP2"</f>
        <v>ACP2</v>
      </c>
      <c r="B190" t="s">
        <v>14</v>
      </c>
      <c r="C190" t="s">
        <v>27</v>
      </c>
      <c r="D190" t="s">
        <v>11</v>
      </c>
      <c r="E190" t="s">
        <v>12</v>
      </c>
      <c r="F190">
        <v>47270341</v>
      </c>
      <c r="G190">
        <v>47270375</v>
      </c>
      <c r="H190">
        <v>47270341</v>
      </c>
      <c r="I190">
        <v>47270375</v>
      </c>
    </row>
    <row r="191" spans="1:9" x14ac:dyDescent="0.2">
      <c r="A191" s="1" t="str">
        <f>"ACP5"</f>
        <v>ACP5</v>
      </c>
      <c r="B191" t="s">
        <v>9</v>
      </c>
      <c r="C191" t="s">
        <v>10</v>
      </c>
      <c r="D191" t="s">
        <v>11</v>
      </c>
      <c r="E191" t="s">
        <v>12</v>
      </c>
      <c r="F191">
        <v>11688452</v>
      </c>
      <c r="G191">
        <v>11688486</v>
      </c>
      <c r="H191">
        <v>11688452</v>
      </c>
      <c r="I191">
        <v>11688486</v>
      </c>
    </row>
    <row r="192" spans="1:9" x14ac:dyDescent="0.2">
      <c r="A192" s="1" t="str">
        <f>"ACP5"</f>
        <v>ACP5</v>
      </c>
      <c r="B192" t="s">
        <v>13</v>
      </c>
      <c r="C192" t="s">
        <v>10</v>
      </c>
      <c r="D192" t="s">
        <v>11</v>
      </c>
      <c r="E192" t="s">
        <v>12</v>
      </c>
      <c r="F192">
        <v>11689752</v>
      </c>
      <c r="G192">
        <v>11689799</v>
      </c>
      <c r="H192">
        <v>11689752</v>
      </c>
      <c r="I192">
        <v>11689799</v>
      </c>
    </row>
    <row r="193" spans="1:9" x14ac:dyDescent="0.2">
      <c r="A193" s="1" t="str">
        <f>"ACP6"</f>
        <v>ACP6</v>
      </c>
      <c r="B193" t="s">
        <v>14</v>
      </c>
      <c r="C193" t="s">
        <v>19</v>
      </c>
      <c r="D193" t="s">
        <v>11</v>
      </c>
      <c r="E193" t="s">
        <v>12</v>
      </c>
      <c r="F193">
        <v>147142358</v>
      </c>
      <c r="G193">
        <v>147142407</v>
      </c>
      <c r="H193">
        <v>147142557</v>
      </c>
      <c r="I193">
        <v>147142620</v>
      </c>
    </row>
    <row r="194" spans="1:9" x14ac:dyDescent="0.2">
      <c r="A194" s="1" t="str">
        <f>"ACPL2"</f>
        <v>ACPL2</v>
      </c>
      <c r="B194" t="s">
        <v>14</v>
      </c>
      <c r="C194" t="s">
        <v>22</v>
      </c>
      <c r="D194" t="s">
        <v>17</v>
      </c>
      <c r="E194" t="s">
        <v>12</v>
      </c>
      <c r="F194">
        <v>140950612</v>
      </c>
      <c r="G194">
        <v>140950736</v>
      </c>
      <c r="H194">
        <v>140950612</v>
      </c>
      <c r="I194">
        <v>140950736</v>
      </c>
    </row>
    <row r="195" spans="1:9" x14ac:dyDescent="0.2">
      <c r="A195" s="1" t="str">
        <f>"ACPP"</f>
        <v>ACPP</v>
      </c>
      <c r="B195" t="s">
        <v>14</v>
      </c>
      <c r="C195" t="s">
        <v>22</v>
      </c>
      <c r="D195" t="s">
        <v>17</v>
      </c>
      <c r="E195" t="s">
        <v>12</v>
      </c>
      <c r="F195">
        <v>132036243</v>
      </c>
      <c r="G195">
        <v>132036268</v>
      </c>
      <c r="H195">
        <v>132036271</v>
      </c>
      <c r="I195">
        <v>132036287</v>
      </c>
    </row>
    <row r="196" spans="1:9" x14ac:dyDescent="0.2">
      <c r="A196" s="1" t="str">
        <f>"ACPT"</f>
        <v>ACPT</v>
      </c>
      <c r="B196" t="s">
        <v>48</v>
      </c>
      <c r="C196" t="s">
        <v>10</v>
      </c>
      <c r="D196" t="s">
        <v>17</v>
      </c>
      <c r="E196" t="s">
        <v>20</v>
      </c>
      <c r="F196">
        <v>51293671</v>
      </c>
      <c r="G196">
        <v>51293671</v>
      </c>
      <c r="H196">
        <v>51293671</v>
      </c>
      <c r="I196">
        <v>51293671</v>
      </c>
    </row>
    <row r="197" spans="1:9" x14ac:dyDescent="0.2">
      <c r="A197" s="1" t="str">
        <f>"ACR"</f>
        <v>ACR</v>
      </c>
      <c r="B197" t="s">
        <v>14</v>
      </c>
      <c r="C197" t="s">
        <v>21</v>
      </c>
      <c r="D197" t="s">
        <v>17</v>
      </c>
      <c r="E197" t="s">
        <v>12</v>
      </c>
      <c r="F197">
        <v>51176626</v>
      </c>
      <c r="G197">
        <v>51176663</v>
      </c>
      <c r="H197">
        <v>51176673</v>
      </c>
      <c r="I197">
        <v>51176681</v>
      </c>
    </row>
    <row r="198" spans="1:9" x14ac:dyDescent="0.2">
      <c r="A198" s="1" t="str">
        <f>"ACRBP"</f>
        <v>ACRBP</v>
      </c>
      <c r="B198" t="s">
        <v>14</v>
      </c>
      <c r="C198" t="s">
        <v>16</v>
      </c>
      <c r="D198" t="s">
        <v>11</v>
      </c>
      <c r="E198" t="s">
        <v>12</v>
      </c>
      <c r="F198">
        <v>6756562</v>
      </c>
      <c r="G198">
        <v>6756607</v>
      </c>
      <c r="H198">
        <v>6756609</v>
      </c>
      <c r="I198">
        <v>6756620</v>
      </c>
    </row>
    <row r="199" spans="1:9" x14ac:dyDescent="0.2">
      <c r="A199" s="1" t="str">
        <f>"ACRC"</f>
        <v>ACRC</v>
      </c>
      <c r="B199" t="s">
        <v>14</v>
      </c>
      <c r="C199" t="s">
        <v>37</v>
      </c>
      <c r="D199" t="s">
        <v>17</v>
      </c>
      <c r="E199" t="s">
        <v>12</v>
      </c>
      <c r="F199">
        <v>70798285</v>
      </c>
      <c r="G199">
        <v>70798290</v>
      </c>
      <c r="H199">
        <v>70797858</v>
      </c>
      <c r="I199">
        <v>70797903</v>
      </c>
    </row>
    <row r="200" spans="1:9" x14ac:dyDescent="0.2">
      <c r="A200" s="1" t="str">
        <f>"ACRV1"</f>
        <v>ACRV1</v>
      </c>
      <c r="B200" t="s">
        <v>14</v>
      </c>
      <c r="C200" t="s">
        <v>27</v>
      </c>
      <c r="D200" t="s">
        <v>11</v>
      </c>
      <c r="E200" t="s">
        <v>12</v>
      </c>
      <c r="F200">
        <v>125550735</v>
      </c>
      <c r="G200">
        <v>125550747</v>
      </c>
      <c r="H200">
        <v>125550764</v>
      </c>
      <c r="I200">
        <v>125550773</v>
      </c>
    </row>
    <row r="201" spans="1:9" x14ac:dyDescent="0.2">
      <c r="A201" s="1" t="str">
        <f>"ACSBG1"</f>
        <v>ACSBG1</v>
      </c>
      <c r="B201" t="s">
        <v>14</v>
      </c>
      <c r="C201" t="s">
        <v>25</v>
      </c>
      <c r="D201" t="s">
        <v>11</v>
      </c>
      <c r="E201" t="s">
        <v>12</v>
      </c>
      <c r="F201">
        <v>78526855</v>
      </c>
      <c r="G201">
        <v>78526916</v>
      </c>
      <c r="H201">
        <v>78526855</v>
      </c>
      <c r="I201">
        <v>78526916</v>
      </c>
    </row>
    <row r="202" spans="1:9" x14ac:dyDescent="0.2">
      <c r="A202" s="1" t="str">
        <f>"ACSBG2"</f>
        <v>ACSBG2</v>
      </c>
      <c r="B202" t="s">
        <v>14</v>
      </c>
      <c r="C202" t="s">
        <v>10</v>
      </c>
      <c r="D202" t="s">
        <v>17</v>
      </c>
      <c r="E202" t="s">
        <v>12</v>
      </c>
      <c r="F202">
        <v>6135656</v>
      </c>
      <c r="G202">
        <v>6135725</v>
      </c>
      <c r="H202">
        <v>6135638</v>
      </c>
      <c r="I202">
        <v>6135645</v>
      </c>
    </row>
    <row r="203" spans="1:9" x14ac:dyDescent="0.2">
      <c r="A203" s="1" t="str">
        <f>"ACSF2"</f>
        <v>ACSF2</v>
      </c>
      <c r="B203" t="s">
        <v>14</v>
      </c>
      <c r="C203" t="s">
        <v>28</v>
      </c>
      <c r="D203" t="s">
        <v>17</v>
      </c>
      <c r="E203" t="s">
        <v>12</v>
      </c>
      <c r="F203">
        <v>48503603</v>
      </c>
      <c r="G203">
        <v>48503622</v>
      </c>
      <c r="H203">
        <v>48503571</v>
      </c>
      <c r="I203">
        <v>48503597</v>
      </c>
    </row>
    <row r="204" spans="1:9" x14ac:dyDescent="0.2">
      <c r="A204" s="1" t="str">
        <f>"ACSF3"</f>
        <v>ACSF3</v>
      </c>
      <c r="B204" t="s">
        <v>14</v>
      </c>
      <c r="C204" t="s">
        <v>31</v>
      </c>
      <c r="D204" t="s">
        <v>17</v>
      </c>
      <c r="E204" t="s">
        <v>12</v>
      </c>
      <c r="F204">
        <v>89160269</v>
      </c>
      <c r="G204">
        <v>89160349</v>
      </c>
      <c r="H204">
        <v>89160245</v>
      </c>
      <c r="I204">
        <v>89160268</v>
      </c>
    </row>
    <row r="205" spans="1:9" x14ac:dyDescent="0.2">
      <c r="A205" s="1" t="str">
        <f>"ACSL1"</f>
        <v>ACSL1</v>
      </c>
      <c r="B205" t="s">
        <v>14</v>
      </c>
      <c r="C205" t="s">
        <v>23</v>
      </c>
      <c r="D205" t="s">
        <v>11</v>
      </c>
      <c r="E205" t="s">
        <v>12</v>
      </c>
      <c r="F205">
        <v>185747114</v>
      </c>
      <c r="G205">
        <v>185747128</v>
      </c>
      <c r="H205">
        <v>185747194</v>
      </c>
      <c r="I205">
        <v>185747242</v>
      </c>
    </row>
    <row r="206" spans="1:9" x14ac:dyDescent="0.2">
      <c r="A206" s="1" t="str">
        <f>"ACSL3"</f>
        <v>ACSL3</v>
      </c>
      <c r="B206" t="s">
        <v>14</v>
      </c>
      <c r="C206" t="s">
        <v>26</v>
      </c>
      <c r="D206" t="s">
        <v>17</v>
      </c>
      <c r="E206" t="s">
        <v>12</v>
      </c>
      <c r="F206">
        <v>223725723</v>
      </c>
      <c r="G206">
        <v>223725765</v>
      </c>
      <c r="H206">
        <v>223725782</v>
      </c>
      <c r="I206">
        <v>223725795</v>
      </c>
    </row>
    <row r="207" spans="1:9" x14ac:dyDescent="0.2">
      <c r="A207" s="1" t="str">
        <f>"ACSL4"</f>
        <v>ACSL4</v>
      </c>
      <c r="B207" t="s">
        <v>14</v>
      </c>
      <c r="C207" t="s">
        <v>37</v>
      </c>
      <c r="D207" t="s">
        <v>11</v>
      </c>
      <c r="E207" t="s">
        <v>12</v>
      </c>
      <c r="F207">
        <v>108976449</v>
      </c>
      <c r="G207">
        <v>108976501</v>
      </c>
      <c r="H207">
        <v>108976410</v>
      </c>
      <c r="I207">
        <v>108976445</v>
      </c>
    </row>
    <row r="208" spans="1:9" x14ac:dyDescent="0.2">
      <c r="A208" s="1" t="str">
        <f>"ACSL5"</f>
        <v>ACSL5</v>
      </c>
      <c r="B208" t="s">
        <v>9</v>
      </c>
      <c r="C208" t="s">
        <v>15</v>
      </c>
      <c r="D208" t="s">
        <v>17</v>
      </c>
      <c r="E208" t="s">
        <v>12</v>
      </c>
      <c r="F208">
        <v>114135952</v>
      </c>
      <c r="G208">
        <v>114136022</v>
      </c>
      <c r="H208">
        <v>114135952</v>
      </c>
      <c r="I208">
        <v>114136022</v>
      </c>
    </row>
    <row r="209" spans="1:9" x14ac:dyDescent="0.2">
      <c r="A209" s="1" t="str">
        <f>"ACSL5"</f>
        <v>ACSL5</v>
      </c>
      <c r="B209" t="s">
        <v>13</v>
      </c>
      <c r="C209" t="s">
        <v>15</v>
      </c>
      <c r="D209" t="s">
        <v>17</v>
      </c>
      <c r="E209" t="s">
        <v>12</v>
      </c>
      <c r="F209">
        <v>114133905</v>
      </c>
      <c r="G209">
        <v>114133922</v>
      </c>
      <c r="H209">
        <v>114133905</v>
      </c>
      <c r="I209">
        <v>114133922</v>
      </c>
    </row>
    <row r="210" spans="1:9" x14ac:dyDescent="0.2">
      <c r="A210" s="1" t="str">
        <f>"ACSL6"</f>
        <v>ACSL6</v>
      </c>
      <c r="B210" t="s">
        <v>9</v>
      </c>
      <c r="C210" t="s">
        <v>46</v>
      </c>
      <c r="D210" t="s">
        <v>11</v>
      </c>
      <c r="E210" t="s">
        <v>12</v>
      </c>
      <c r="F210">
        <v>131347321</v>
      </c>
      <c r="G210">
        <v>131347371</v>
      </c>
      <c r="H210">
        <v>131347321</v>
      </c>
      <c r="I210">
        <v>131347371</v>
      </c>
    </row>
    <row r="211" spans="1:9" x14ac:dyDescent="0.2">
      <c r="A211" s="1" t="str">
        <f>"ACSL6"</f>
        <v>ACSL6</v>
      </c>
      <c r="B211" t="s">
        <v>13</v>
      </c>
      <c r="C211" t="s">
        <v>46</v>
      </c>
      <c r="D211" t="s">
        <v>11</v>
      </c>
      <c r="E211" t="s">
        <v>12</v>
      </c>
      <c r="F211">
        <v>131310685</v>
      </c>
      <c r="G211">
        <v>131310713</v>
      </c>
      <c r="H211">
        <v>131310685</v>
      </c>
      <c r="I211">
        <v>131310713</v>
      </c>
    </row>
    <row r="212" spans="1:9" x14ac:dyDescent="0.2">
      <c r="A212" s="1" t="str">
        <f>"ACSM1"</f>
        <v>ACSM1</v>
      </c>
      <c r="B212" t="s">
        <v>14</v>
      </c>
      <c r="C212" t="s">
        <v>31</v>
      </c>
      <c r="D212" t="s">
        <v>11</v>
      </c>
      <c r="E212" t="s">
        <v>12</v>
      </c>
      <c r="F212">
        <v>20687478</v>
      </c>
      <c r="G212">
        <v>20687488</v>
      </c>
      <c r="H212">
        <v>20687517</v>
      </c>
      <c r="I212">
        <v>20687527</v>
      </c>
    </row>
    <row r="213" spans="1:9" x14ac:dyDescent="0.2">
      <c r="A213" s="1" t="str">
        <f>"ACSM2A"</f>
        <v>ACSM2A</v>
      </c>
      <c r="B213" t="s">
        <v>14</v>
      </c>
      <c r="C213" t="s">
        <v>31</v>
      </c>
      <c r="D213" t="s">
        <v>17</v>
      </c>
      <c r="E213" t="s">
        <v>12</v>
      </c>
      <c r="F213">
        <v>20462841</v>
      </c>
      <c r="G213">
        <v>20462865</v>
      </c>
      <c r="H213">
        <v>20462841</v>
      </c>
      <c r="I213">
        <v>20462865</v>
      </c>
    </row>
    <row r="214" spans="1:9" x14ac:dyDescent="0.2">
      <c r="A214" s="1" t="str">
        <f>"ACSM2B"</f>
        <v>ACSM2B</v>
      </c>
      <c r="B214" t="s">
        <v>14</v>
      </c>
      <c r="C214" t="s">
        <v>31</v>
      </c>
      <c r="D214" t="s">
        <v>11</v>
      </c>
      <c r="E214" t="s">
        <v>12</v>
      </c>
      <c r="F214">
        <v>20587665</v>
      </c>
      <c r="G214">
        <v>20587689</v>
      </c>
      <c r="H214">
        <v>20587665</v>
      </c>
      <c r="I214">
        <v>20587689</v>
      </c>
    </row>
    <row r="215" spans="1:9" x14ac:dyDescent="0.2">
      <c r="A215" s="1" t="str">
        <f>"ACSM3"</f>
        <v>ACSM3</v>
      </c>
      <c r="B215" t="s">
        <v>14</v>
      </c>
      <c r="C215" t="s">
        <v>31</v>
      </c>
      <c r="D215" t="s">
        <v>17</v>
      </c>
      <c r="E215" t="s">
        <v>12</v>
      </c>
      <c r="F215">
        <v>20775312</v>
      </c>
      <c r="G215">
        <v>20775352</v>
      </c>
      <c r="H215">
        <v>20775358</v>
      </c>
      <c r="I215">
        <v>20775386</v>
      </c>
    </row>
    <row r="216" spans="1:9" x14ac:dyDescent="0.2">
      <c r="A216" s="1" t="str">
        <f>"ACSM4"</f>
        <v>ACSM4</v>
      </c>
      <c r="B216" t="s">
        <v>49</v>
      </c>
      <c r="C216" t="s">
        <v>16</v>
      </c>
      <c r="D216" t="s">
        <v>17</v>
      </c>
      <c r="E216" t="s">
        <v>20</v>
      </c>
      <c r="F216">
        <v>7456879</v>
      </c>
      <c r="G216">
        <v>7456879</v>
      </c>
      <c r="H216">
        <v>7456879</v>
      </c>
      <c r="I216">
        <v>7456879</v>
      </c>
    </row>
    <row r="217" spans="1:9" x14ac:dyDescent="0.2">
      <c r="A217" s="1" t="str">
        <f>"ACSM5"</f>
        <v>ACSM5</v>
      </c>
      <c r="B217" t="s">
        <v>14</v>
      </c>
      <c r="C217" t="s">
        <v>31</v>
      </c>
      <c r="D217" t="s">
        <v>17</v>
      </c>
      <c r="E217" t="s">
        <v>12</v>
      </c>
      <c r="F217">
        <v>20420849</v>
      </c>
      <c r="G217">
        <v>20420867</v>
      </c>
      <c r="H217">
        <v>20420880</v>
      </c>
      <c r="I217">
        <v>20420898</v>
      </c>
    </row>
    <row r="218" spans="1:9" x14ac:dyDescent="0.2">
      <c r="A218" s="1" t="str">
        <f>"ACSS1"</f>
        <v>ACSS1</v>
      </c>
      <c r="B218" t="s">
        <v>14</v>
      </c>
      <c r="C218" t="s">
        <v>29</v>
      </c>
      <c r="D218" t="s">
        <v>11</v>
      </c>
      <c r="E218" t="s">
        <v>12</v>
      </c>
      <c r="F218">
        <v>25038752</v>
      </c>
      <c r="G218">
        <v>25038785</v>
      </c>
      <c r="H218">
        <v>25038804</v>
      </c>
      <c r="I218">
        <v>25038816</v>
      </c>
    </row>
    <row r="219" spans="1:9" x14ac:dyDescent="0.2">
      <c r="A219" s="1" t="str">
        <f>"ACSS2"</f>
        <v>ACSS2</v>
      </c>
      <c r="B219" t="s">
        <v>14</v>
      </c>
      <c r="C219" t="s">
        <v>29</v>
      </c>
      <c r="D219" t="s">
        <v>17</v>
      </c>
      <c r="E219" t="s">
        <v>12</v>
      </c>
      <c r="F219">
        <v>33464407</v>
      </c>
      <c r="G219">
        <v>33464423</v>
      </c>
      <c r="H219">
        <v>33464368</v>
      </c>
      <c r="I219">
        <v>33464402</v>
      </c>
    </row>
    <row r="220" spans="1:9" x14ac:dyDescent="0.2">
      <c r="A220" s="1" t="str">
        <f>"ACSS3"</f>
        <v>ACSS3</v>
      </c>
      <c r="B220" t="s">
        <v>14</v>
      </c>
      <c r="C220" t="s">
        <v>16</v>
      </c>
      <c r="D220" t="s">
        <v>17</v>
      </c>
      <c r="E220" t="s">
        <v>12</v>
      </c>
      <c r="F220">
        <v>81471847</v>
      </c>
      <c r="G220">
        <v>81471877</v>
      </c>
      <c r="H220">
        <v>81471816</v>
      </c>
      <c r="I220">
        <v>81471840</v>
      </c>
    </row>
    <row r="221" spans="1:9" x14ac:dyDescent="0.2">
      <c r="A221" s="1" t="str">
        <f>"ACTA1"</f>
        <v>ACTA1</v>
      </c>
      <c r="B221" t="s">
        <v>9</v>
      </c>
      <c r="C221" t="s">
        <v>19</v>
      </c>
      <c r="D221" t="s">
        <v>11</v>
      </c>
      <c r="E221" t="s">
        <v>12</v>
      </c>
      <c r="F221">
        <v>229569834</v>
      </c>
      <c r="G221">
        <v>229569849</v>
      </c>
      <c r="H221">
        <v>229569834</v>
      </c>
      <c r="I221">
        <v>229569849</v>
      </c>
    </row>
    <row r="222" spans="1:9" x14ac:dyDescent="0.2">
      <c r="A222" s="1" t="str">
        <f>"ACTA1"</f>
        <v>ACTA1</v>
      </c>
      <c r="B222" t="s">
        <v>13</v>
      </c>
      <c r="C222" t="s">
        <v>19</v>
      </c>
      <c r="D222" t="s">
        <v>11</v>
      </c>
      <c r="E222" t="s">
        <v>12</v>
      </c>
      <c r="F222">
        <v>229568763</v>
      </c>
      <c r="G222">
        <v>229568795</v>
      </c>
      <c r="H222">
        <v>229568763</v>
      </c>
      <c r="I222">
        <v>229568795</v>
      </c>
    </row>
    <row r="223" spans="1:9" x14ac:dyDescent="0.2">
      <c r="A223" s="1" t="str">
        <f>"ACTA2"</f>
        <v>ACTA2</v>
      </c>
      <c r="B223" t="s">
        <v>9</v>
      </c>
      <c r="C223" t="s">
        <v>15</v>
      </c>
      <c r="D223" t="s">
        <v>11</v>
      </c>
      <c r="E223" t="s">
        <v>12</v>
      </c>
      <c r="F223">
        <v>90712520</v>
      </c>
      <c r="G223">
        <v>90712536</v>
      </c>
      <c r="H223">
        <v>90712520</v>
      </c>
      <c r="I223">
        <v>90712536</v>
      </c>
    </row>
    <row r="224" spans="1:9" x14ac:dyDescent="0.2">
      <c r="A224" s="1" t="str">
        <f>"ACTA2"</f>
        <v>ACTA2</v>
      </c>
      <c r="B224" t="s">
        <v>13</v>
      </c>
      <c r="C224" t="s">
        <v>15</v>
      </c>
      <c r="D224" t="s">
        <v>11</v>
      </c>
      <c r="E224" t="s">
        <v>12</v>
      </c>
      <c r="F224">
        <v>90751038</v>
      </c>
      <c r="G224">
        <v>90751131</v>
      </c>
      <c r="H224">
        <v>90751038</v>
      </c>
      <c r="I224">
        <v>90751131</v>
      </c>
    </row>
    <row r="225" spans="1:9" x14ac:dyDescent="0.2">
      <c r="A225" s="1" t="str">
        <f>"ACTB"</f>
        <v>ACTB</v>
      </c>
      <c r="B225" t="s">
        <v>14</v>
      </c>
      <c r="C225" t="s">
        <v>33</v>
      </c>
      <c r="D225" t="s">
        <v>11</v>
      </c>
      <c r="E225" t="s">
        <v>12</v>
      </c>
      <c r="F225">
        <v>5570229</v>
      </c>
      <c r="G225">
        <v>5570234</v>
      </c>
      <c r="H225">
        <v>5569255</v>
      </c>
      <c r="I225">
        <v>5569346</v>
      </c>
    </row>
    <row r="226" spans="1:9" x14ac:dyDescent="0.2">
      <c r="A226" s="1" t="str">
        <f>"ACTBL2"</f>
        <v>ACTBL2</v>
      </c>
      <c r="B226" t="s">
        <v>14</v>
      </c>
      <c r="C226" t="s">
        <v>46</v>
      </c>
      <c r="D226" t="s">
        <v>11</v>
      </c>
      <c r="E226" t="s">
        <v>12</v>
      </c>
      <c r="F226">
        <v>56778635</v>
      </c>
      <c r="G226">
        <v>56778640</v>
      </c>
      <c r="H226">
        <v>56778635</v>
      </c>
      <c r="I226">
        <v>56778640</v>
      </c>
    </row>
    <row r="227" spans="1:9" x14ac:dyDescent="0.2">
      <c r="A227" s="1" t="str">
        <f>"ACTC1"</f>
        <v>ACTC1</v>
      </c>
      <c r="B227" t="s">
        <v>14</v>
      </c>
      <c r="C227" t="s">
        <v>25</v>
      </c>
      <c r="D227" t="s">
        <v>11</v>
      </c>
      <c r="E227" t="s">
        <v>12</v>
      </c>
      <c r="F227">
        <v>35087742</v>
      </c>
      <c r="G227">
        <v>35087757</v>
      </c>
      <c r="H227">
        <v>35087070</v>
      </c>
      <c r="I227">
        <v>35087134</v>
      </c>
    </row>
    <row r="228" spans="1:9" x14ac:dyDescent="0.2">
      <c r="A228" s="1" t="str">
        <f>"ACTG1"</f>
        <v>ACTG1</v>
      </c>
      <c r="B228" t="s">
        <v>14</v>
      </c>
      <c r="C228" t="s">
        <v>28</v>
      </c>
      <c r="D228" t="s">
        <v>11</v>
      </c>
      <c r="E228" t="s">
        <v>12</v>
      </c>
      <c r="F228">
        <v>79479822</v>
      </c>
      <c r="G228">
        <v>79479830</v>
      </c>
      <c r="H228">
        <v>79479285</v>
      </c>
      <c r="I228">
        <v>79479321</v>
      </c>
    </row>
    <row r="229" spans="1:9" x14ac:dyDescent="0.2">
      <c r="A229" s="1" t="str">
        <f>"ACTG2"</f>
        <v>ACTG2</v>
      </c>
      <c r="B229" t="s">
        <v>9</v>
      </c>
      <c r="C229" t="s">
        <v>26</v>
      </c>
      <c r="D229" t="s">
        <v>17</v>
      </c>
      <c r="E229" t="s">
        <v>12</v>
      </c>
      <c r="F229">
        <v>74120126</v>
      </c>
      <c r="G229">
        <v>74120142</v>
      </c>
      <c r="H229">
        <v>74120126</v>
      </c>
      <c r="I229">
        <v>74120142</v>
      </c>
    </row>
    <row r="230" spans="1:9" x14ac:dyDescent="0.2">
      <c r="A230" s="1" t="str">
        <f>"ACTG2"</f>
        <v>ACTG2</v>
      </c>
      <c r="B230" t="s">
        <v>13</v>
      </c>
      <c r="C230" t="s">
        <v>26</v>
      </c>
      <c r="D230" t="s">
        <v>17</v>
      </c>
      <c r="E230" t="s">
        <v>12</v>
      </c>
      <c r="F230">
        <v>74128392</v>
      </c>
      <c r="G230">
        <v>74128423</v>
      </c>
      <c r="H230">
        <v>74128392</v>
      </c>
      <c r="I230">
        <v>74128423</v>
      </c>
    </row>
    <row r="231" spans="1:9" x14ac:dyDescent="0.2">
      <c r="A231" s="1" t="str">
        <f>"ACTL10"</f>
        <v>ACTL10</v>
      </c>
      <c r="B231" t="s">
        <v>14</v>
      </c>
      <c r="C231" t="s">
        <v>29</v>
      </c>
      <c r="D231" t="s">
        <v>17</v>
      </c>
      <c r="E231" t="s">
        <v>12</v>
      </c>
      <c r="F231">
        <v>32254740</v>
      </c>
      <c r="G231">
        <v>32254757</v>
      </c>
      <c r="H231">
        <v>32254286</v>
      </c>
      <c r="I231">
        <v>32254316</v>
      </c>
    </row>
    <row r="232" spans="1:9" x14ac:dyDescent="0.2">
      <c r="A232" s="1" t="str">
        <f>"ACTL6A"</f>
        <v>ACTL6A</v>
      </c>
      <c r="B232" t="s">
        <v>14</v>
      </c>
      <c r="C232" t="s">
        <v>22</v>
      </c>
      <c r="D232" t="s">
        <v>17</v>
      </c>
      <c r="E232" t="s">
        <v>12</v>
      </c>
      <c r="F232">
        <v>179280702</v>
      </c>
      <c r="G232">
        <v>179280769</v>
      </c>
      <c r="H232">
        <v>179280702</v>
      </c>
      <c r="I232">
        <v>179280769</v>
      </c>
    </row>
    <row r="233" spans="1:9" x14ac:dyDescent="0.2">
      <c r="A233" s="1" t="str">
        <f>"ACTL6B"</f>
        <v>ACTL6B</v>
      </c>
      <c r="B233" t="s">
        <v>14</v>
      </c>
      <c r="C233" t="s">
        <v>33</v>
      </c>
      <c r="D233" t="s">
        <v>11</v>
      </c>
      <c r="E233" t="s">
        <v>12</v>
      </c>
      <c r="F233">
        <v>100253993</v>
      </c>
      <c r="G233">
        <v>100254078</v>
      </c>
      <c r="H233">
        <v>100253993</v>
      </c>
      <c r="I233">
        <v>100254078</v>
      </c>
    </row>
    <row r="234" spans="1:9" x14ac:dyDescent="0.2">
      <c r="A234" s="1" t="str">
        <f>"ACTL7A"</f>
        <v>ACTL7A</v>
      </c>
      <c r="B234" t="s">
        <v>14</v>
      </c>
      <c r="C234" t="s">
        <v>24</v>
      </c>
      <c r="D234" t="s">
        <v>17</v>
      </c>
      <c r="E234" t="s">
        <v>12</v>
      </c>
      <c r="F234">
        <v>111624535</v>
      </c>
      <c r="G234">
        <v>111624567</v>
      </c>
      <c r="H234">
        <v>111624529</v>
      </c>
      <c r="I234">
        <v>111624534</v>
      </c>
    </row>
    <row r="235" spans="1:9" x14ac:dyDescent="0.2">
      <c r="A235" s="1" t="str">
        <f>"ACTL7B"</f>
        <v>ACTL7B</v>
      </c>
      <c r="B235" t="s">
        <v>14</v>
      </c>
      <c r="C235" t="s">
        <v>24</v>
      </c>
      <c r="D235" t="s">
        <v>11</v>
      </c>
      <c r="E235" t="s">
        <v>12</v>
      </c>
      <c r="F235">
        <v>111618258</v>
      </c>
      <c r="G235">
        <v>111618269</v>
      </c>
      <c r="H235">
        <v>111618258</v>
      </c>
      <c r="I235">
        <v>111618269</v>
      </c>
    </row>
    <row r="236" spans="1:9" x14ac:dyDescent="0.2">
      <c r="A236" s="1" t="str">
        <f>"ACTL8"</f>
        <v>ACTL8</v>
      </c>
      <c r="B236" t="s">
        <v>14</v>
      </c>
      <c r="C236" t="s">
        <v>19</v>
      </c>
      <c r="D236" t="s">
        <v>17</v>
      </c>
      <c r="E236" t="s">
        <v>12</v>
      </c>
      <c r="F236">
        <v>18081804</v>
      </c>
      <c r="G236">
        <v>18081883</v>
      </c>
      <c r="H236">
        <v>18081804</v>
      </c>
      <c r="I236">
        <v>18081883</v>
      </c>
    </row>
    <row r="237" spans="1:9" x14ac:dyDescent="0.2">
      <c r="A237" s="1" t="str">
        <f>"ACTL9"</f>
        <v>ACTL9</v>
      </c>
      <c r="B237" t="s">
        <v>14</v>
      </c>
      <c r="C237" t="s">
        <v>10</v>
      </c>
      <c r="D237" t="s">
        <v>11</v>
      </c>
      <c r="E237" t="s">
        <v>12</v>
      </c>
      <c r="F237">
        <v>8809139</v>
      </c>
      <c r="G237">
        <v>8809158</v>
      </c>
      <c r="H237">
        <v>8809120</v>
      </c>
      <c r="I237">
        <v>8809133</v>
      </c>
    </row>
    <row r="238" spans="1:9" x14ac:dyDescent="0.2">
      <c r="A238" s="1" t="str">
        <f>"ACTN1"</f>
        <v>ACTN1</v>
      </c>
      <c r="B238" t="s">
        <v>14</v>
      </c>
      <c r="C238" t="s">
        <v>41</v>
      </c>
      <c r="D238" t="s">
        <v>11</v>
      </c>
      <c r="E238" t="s">
        <v>12</v>
      </c>
      <c r="F238">
        <v>69445991</v>
      </c>
      <c r="G238">
        <v>69446029</v>
      </c>
      <c r="H238">
        <v>69445968</v>
      </c>
      <c r="I238">
        <v>69445984</v>
      </c>
    </row>
    <row r="239" spans="1:9" x14ac:dyDescent="0.2">
      <c r="A239" s="1" t="str">
        <f>"ACTN2"</f>
        <v>ACTN2</v>
      </c>
      <c r="B239" t="s">
        <v>14</v>
      </c>
      <c r="C239" t="s">
        <v>19</v>
      </c>
      <c r="D239" t="s">
        <v>17</v>
      </c>
      <c r="E239" t="s">
        <v>12</v>
      </c>
      <c r="F239">
        <v>236849791</v>
      </c>
      <c r="G239">
        <v>236849806</v>
      </c>
      <c r="H239">
        <v>236849791</v>
      </c>
      <c r="I239">
        <v>236849806</v>
      </c>
    </row>
    <row r="240" spans="1:9" x14ac:dyDescent="0.2">
      <c r="A240" s="1" t="str">
        <f>"ACTN3"</f>
        <v>ACTN3</v>
      </c>
      <c r="B240" t="s">
        <v>14</v>
      </c>
      <c r="C240" t="s">
        <v>27</v>
      </c>
      <c r="D240" t="s">
        <v>17</v>
      </c>
      <c r="E240" t="s">
        <v>12</v>
      </c>
      <c r="F240">
        <v>66314367</v>
      </c>
      <c r="G240">
        <v>66314384</v>
      </c>
      <c r="H240">
        <v>66313621</v>
      </c>
      <c r="I240">
        <v>66313639</v>
      </c>
    </row>
    <row r="241" spans="1:9" x14ac:dyDescent="0.2">
      <c r="A241" s="1" t="str">
        <f>"ACTN4"</f>
        <v>ACTN4</v>
      </c>
      <c r="B241" t="s">
        <v>14</v>
      </c>
      <c r="C241" t="s">
        <v>10</v>
      </c>
      <c r="D241" t="s">
        <v>17</v>
      </c>
      <c r="E241" t="s">
        <v>12</v>
      </c>
      <c r="F241">
        <v>39138271</v>
      </c>
      <c r="G241">
        <v>39138305</v>
      </c>
      <c r="H241">
        <v>39138320</v>
      </c>
      <c r="I241">
        <v>39138334</v>
      </c>
    </row>
    <row r="242" spans="1:9" x14ac:dyDescent="0.2">
      <c r="A242" s="1" t="str">
        <f>"ACTR10"</f>
        <v>ACTR10</v>
      </c>
      <c r="B242" t="s">
        <v>14</v>
      </c>
      <c r="C242" t="s">
        <v>41</v>
      </c>
      <c r="D242" t="s">
        <v>17</v>
      </c>
      <c r="E242" t="s">
        <v>12</v>
      </c>
      <c r="F242">
        <v>58666824</v>
      </c>
      <c r="G242">
        <v>58666902</v>
      </c>
      <c r="H242">
        <v>58666903</v>
      </c>
      <c r="I242">
        <v>58666926</v>
      </c>
    </row>
    <row r="243" spans="1:9" x14ac:dyDescent="0.2">
      <c r="A243" s="1" t="str">
        <f>"ACTR1A"</f>
        <v>ACTR1A</v>
      </c>
      <c r="B243" t="s">
        <v>14</v>
      </c>
      <c r="C243" t="s">
        <v>15</v>
      </c>
      <c r="D243" t="s">
        <v>11</v>
      </c>
      <c r="E243" t="s">
        <v>12</v>
      </c>
      <c r="F243">
        <v>104262460</v>
      </c>
      <c r="G243">
        <v>104262489</v>
      </c>
      <c r="H243">
        <v>104262426</v>
      </c>
      <c r="I243">
        <v>104262437</v>
      </c>
    </row>
    <row r="244" spans="1:9" x14ac:dyDescent="0.2">
      <c r="A244" s="1" t="str">
        <f>"ACTR1B"</f>
        <v>ACTR1B</v>
      </c>
      <c r="B244" t="s">
        <v>14</v>
      </c>
      <c r="C244" t="s">
        <v>26</v>
      </c>
      <c r="D244" t="s">
        <v>11</v>
      </c>
      <c r="E244" t="s">
        <v>12</v>
      </c>
      <c r="F244">
        <v>98280383</v>
      </c>
      <c r="G244">
        <v>98280514</v>
      </c>
      <c r="H244">
        <v>98280361</v>
      </c>
      <c r="I244">
        <v>98280372</v>
      </c>
    </row>
    <row r="245" spans="1:9" x14ac:dyDescent="0.2">
      <c r="A245" s="1" t="str">
        <f>"ACTR2"</f>
        <v>ACTR2</v>
      </c>
      <c r="B245" t="s">
        <v>14</v>
      </c>
      <c r="C245" t="s">
        <v>26</v>
      </c>
      <c r="D245" t="s">
        <v>17</v>
      </c>
      <c r="E245" t="s">
        <v>12</v>
      </c>
      <c r="F245">
        <v>65454926</v>
      </c>
      <c r="G245">
        <v>65454991</v>
      </c>
      <c r="H245">
        <v>65454896</v>
      </c>
      <c r="I245">
        <v>65454917</v>
      </c>
    </row>
    <row r="246" spans="1:9" x14ac:dyDescent="0.2">
      <c r="A246" s="1" t="str">
        <f>"ACTR3"</f>
        <v>ACTR3</v>
      </c>
      <c r="B246" t="s">
        <v>14</v>
      </c>
      <c r="C246" t="s">
        <v>26</v>
      </c>
      <c r="D246" t="s">
        <v>17</v>
      </c>
      <c r="E246" t="s">
        <v>12</v>
      </c>
      <c r="F246">
        <v>114647617</v>
      </c>
      <c r="G246">
        <v>114647739</v>
      </c>
      <c r="H246">
        <v>114647504</v>
      </c>
      <c r="I246">
        <v>114647557</v>
      </c>
    </row>
    <row r="247" spans="1:9" x14ac:dyDescent="0.2">
      <c r="A247" s="1" t="str">
        <f>"ACTR3B"</f>
        <v>ACTR3B</v>
      </c>
      <c r="B247" t="s">
        <v>14</v>
      </c>
      <c r="C247" t="s">
        <v>33</v>
      </c>
      <c r="D247" t="s">
        <v>17</v>
      </c>
      <c r="E247" t="s">
        <v>12</v>
      </c>
      <c r="F247">
        <v>152456829</v>
      </c>
      <c r="G247">
        <v>152456900</v>
      </c>
      <c r="H247">
        <v>152456815</v>
      </c>
      <c r="I247">
        <v>152456828</v>
      </c>
    </row>
    <row r="248" spans="1:9" x14ac:dyDescent="0.2">
      <c r="A248" s="1" t="str">
        <f>"ACTR3C"</f>
        <v>ACTR3C</v>
      </c>
      <c r="B248" t="s">
        <v>14</v>
      </c>
      <c r="C248" t="s">
        <v>33</v>
      </c>
      <c r="D248" t="s">
        <v>11</v>
      </c>
      <c r="E248" t="s">
        <v>12</v>
      </c>
      <c r="F248">
        <v>150020578</v>
      </c>
      <c r="G248">
        <v>150020682</v>
      </c>
      <c r="H248">
        <v>150020750</v>
      </c>
      <c r="I248">
        <v>150020791</v>
      </c>
    </row>
    <row r="249" spans="1:9" x14ac:dyDescent="0.2">
      <c r="A249" s="1" t="str">
        <f>"ACTR5"</f>
        <v>ACTR5</v>
      </c>
      <c r="B249" t="s">
        <v>14</v>
      </c>
      <c r="C249" t="s">
        <v>29</v>
      </c>
      <c r="D249" t="s">
        <v>17</v>
      </c>
      <c r="E249" t="s">
        <v>12</v>
      </c>
      <c r="F249">
        <v>37377090</v>
      </c>
      <c r="G249">
        <v>37377126</v>
      </c>
      <c r="H249">
        <v>37377090</v>
      </c>
      <c r="I249">
        <v>37377126</v>
      </c>
    </row>
    <row r="250" spans="1:9" x14ac:dyDescent="0.2">
      <c r="A250" s="1" t="str">
        <f>"ACTR6"</f>
        <v>ACTR6</v>
      </c>
      <c r="B250" t="s">
        <v>14</v>
      </c>
      <c r="C250" t="s">
        <v>16</v>
      </c>
      <c r="D250" t="s">
        <v>17</v>
      </c>
      <c r="E250" t="s">
        <v>12</v>
      </c>
      <c r="F250">
        <v>100594557</v>
      </c>
      <c r="G250">
        <v>100594634</v>
      </c>
      <c r="H250">
        <v>100594754</v>
      </c>
      <c r="I250">
        <v>100594758</v>
      </c>
    </row>
    <row r="251" spans="1:9" x14ac:dyDescent="0.2">
      <c r="A251" s="1" t="str">
        <f>"ACTR8"</f>
        <v>ACTR8</v>
      </c>
      <c r="B251" t="s">
        <v>14</v>
      </c>
      <c r="C251" t="s">
        <v>22</v>
      </c>
      <c r="D251" t="s">
        <v>11</v>
      </c>
      <c r="E251" t="s">
        <v>12</v>
      </c>
      <c r="F251">
        <v>53916169</v>
      </c>
      <c r="G251">
        <v>53916187</v>
      </c>
      <c r="H251">
        <v>53916202</v>
      </c>
      <c r="I251">
        <v>53916211</v>
      </c>
    </row>
    <row r="252" spans="1:9" x14ac:dyDescent="0.2">
      <c r="A252" s="1" t="str">
        <f>"ACTRT1"</f>
        <v>ACTRT1</v>
      </c>
      <c r="B252" t="s">
        <v>14</v>
      </c>
      <c r="C252" t="s">
        <v>37</v>
      </c>
      <c r="D252" t="s">
        <v>11</v>
      </c>
      <c r="E252" t="s">
        <v>12</v>
      </c>
      <c r="F252">
        <v>127186380</v>
      </c>
      <c r="G252">
        <v>127186382</v>
      </c>
      <c r="H252">
        <v>127186380</v>
      </c>
      <c r="I252">
        <v>127186382</v>
      </c>
    </row>
    <row r="253" spans="1:9" x14ac:dyDescent="0.2">
      <c r="A253" s="1" t="str">
        <f>"ACTRT2"</f>
        <v>ACTRT2</v>
      </c>
      <c r="B253" t="s">
        <v>14</v>
      </c>
      <c r="C253" t="s">
        <v>19</v>
      </c>
      <c r="D253" t="s">
        <v>17</v>
      </c>
      <c r="E253" t="s">
        <v>12</v>
      </c>
      <c r="F253">
        <v>2938044</v>
      </c>
      <c r="G253">
        <v>2938088</v>
      </c>
      <c r="H253">
        <v>2938028</v>
      </c>
      <c r="I253">
        <v>2938033</v>
      </c>
    </row>
    <row r="254" spans="1:9" x14ac:dyDescent="0.2">
      <c r="A254" s="1" t="str">
        <f>"ACTRT3"</f>
        <v>ACTRT3</v>
      </c>
      <c r="B254" t="s">
        <v>14</v>
      </c>
      <c r="C254" t="s">
        <v>22</v>
      </c>
      <c r="D254" t="s">
        <v>11</v>
      </c>
      <c r="E254" t="s">
        <v>12</v>
      </c>
      <c r="F254">
        <v>169487332</v>
      </c>
      <c r="G254">
        <v>169487360</v>
      </c>
      <c r="H254">
        <v>169487332</v>
      </c>
      <c r="I254">
        <v>169487360</v>
      </c>
    </row>
    <row r="255" spans="1:9" x14ac:dyDescent="0.2">
      <c r="A255" s="1" t="str">
        <f>"ACVR1"</f>
        <v>ACVR1</v>
      </c>
      <c r="B255" t="s">
        <v>14</v>
      </c>
      <c r="C255" t="s">
        <v>26</v>
      </c>
      <c r="D255" t="s">
        <v>11</v>
      </c>
      <c r="E255" t="s">
        <v>12</v>
      </c>
      <c r="F255">
        <v>158732561</v>
      </c>
      <c r="G255">
        <v>158732631</v>
      </c>
      <c r="H255">
        <v>158732561</v>
      </c>
      <c r="I255">
        <v>158732631</v>
      </c>
    </row>
    <row r="256" spans="1:9" x14ac:dyDescent="0.2">
      <c r="A256" s="1" t="str">
        <f>"ACVR1B"</f>
        <v>ACVR1B</v>
      </c>
      <c r="B256" t="s">
        <v>14</v>
      </c>
      <c r="C256" t="s">
        <v>16</v>
      </c>
      <c r="D256" t="s">
        <v>17</v>
      </c>
      <c r="E256" t="s">
        <v>12</v>
      </c>
      <c r="F256">
        <v>52345448</v>
      </c>
      <c r="G256">
        <v>52345532</v>
      </c>
      <c r="H256">
        <v>52345363</v>
      </c>
      <c r="I256">
        <v>52345383</v>
      </c>
    </row>
    <row r="257" spans="1:9" x14ac:dyDescent="0.2">
      <c r="A257" s="1" t="str">
        <f>"ACVR1C"</f>
        <v>ACVR1C</v>
      </c>
      <c r="B257" t="s">
        <v>14</v>
      </c>
      <c r="C257" t="s">
        <v>26</v>
      </c>
      <c r="D257" t="s">
        <v>11</v>
      </c>
      <c r="E257" t="s">
        <v>12</v>
      </c>
      <c r="F257">
        <v>158485364</v>
      </c>
      <c r="G257">
        <v>158485385</v>
      </c>
      <c r="H257">
        <v>158485387</v>
      </c>
      <c r="I257">
        <v>158485408</v>
      </c>
    </row>
    <row r="258" spans="1:9" x14ac:dyDescent="0.2">
      <c r="A258" s="1" t="str">
        <f>"ACVR2A"</f>
        <v>ACVR2A</v>
      </c>
      <c r="B258" t="s">
        <v>14</v>
      </c>
      <c r="C258" t="s">
        <v>26</v>
      </c>
      <c r="D258" t="s">
        <v>17</v>
      </c>
      <c r="E258" t="s">
        <v>12</v>
      </c>
      <c r="F258">
        <v>148602058</v>
      </c>
      <c r="G258">
        <v>148602150</v>
      </c>
      <c r="H258">
        <v>148602590</v>
      </c>
      <c r="I258">
        <v>148602604</v>
      </c>
    </row>
    <row r="259" spans="1:9" x14ac:dyDescent="0.2">
      <c r="A259" s="1" t="str">
        <f>"ACVR2B"</f>
        <v>ACVR2B</v>
      </c>
      <c r="B259" t="s">
        <v>14</v>
      </c>
      <c r="C259" t="s">
        <v>22</v>
      </c>
      <c r="D259" t="s">
        <v>17</v>
      </c>
      <c r="E259" t="s">
        <v>12</v>
      </c>
      <c r="F259">
        <v>38495333</v>
      </c>
      <c r="G259">
        <v>38495422</v>
      </c>
      <c r="H259">
        <v>38495435</v>
      </c>
      <c r="I259">
        <v>38495478</v>
      </c>
    </row>
    <row r="260" spans="1:9" x14ac:dyDescent="0.2">
      <c r="A260" s="1" t="str">
        <f>"ACVRL1"</f>
        <v>ACVRL1</v>
      </c>
      <c r="B260" t="s">
        <v>14</v>
      </c>
      <c r="C260" t="s">
        <v>16</v>
      </c>
      <c r="D260" t="s">
        <v>17</v>
      </c>
      <c r="E260" t="s">
        <v>12</v>
      </c>
      <c r="F260">
        <v>52300721</v>
      </c>
      <c r="G260">
        <v>52300741</v>
      </c>
      <c r="H260">
        <v>52301280</v>
      </c>
      <c r="I260">
        <v>52301299</v>
      </c>
    </row>
    <row r="261" spans="1:9" x14ac:dyDescent="0.2">
      <c r="A261" s="1" t="str">
        <f>"ACY1"</f>
        <v>ACY1</v>
      </c>
      <c r="B261" t="s">
        <v>14</v>
      </c>
      <c r="C261" t="s">
        <v>22</v>
      </c>
      <c r="D261" t="s">
        <v>17</v>
      </c>
      <c r="E261" t="s">
        <v>12</v>
      </c>
      <c r="F261">
        <v>52017454</v>
      </c>
      <c r="G261">
        <v>52017572</v>
      </c>
      <c r="H261">
        <v>52017283</v>
      </c>
      <c r="I261">
        <v>52017310</v>
      </c>
    </row>
    <row r="262" spans="1:9" x14ac:dyDescent="0.2">
      <c r="A262" s="1" t="str">
        <f>"ACY3"</f>
        <v>ACY3</v>
      </c>
      <c r="B262" t="s">
        <v>9</v>
      </c>
      <c r="C262" t="s">
        <v>27</v>
      </c>
      <c r="D262" t="s">
        <v>11</v>
      </c>
      <c r="E262" t="s">
        <v>12</v>
      </c>
      <c r="F262">
        <v>67418152</v>
      </c>
      <c r="G262">
        <v>67418213</v>
      </c>
      <c r="H262">
        <v>67418152</v>
      </c>
      <c r="I262">
        <v>67418213</v>
      </c>
    </row>
    <row r="263" spans="1:9" x14ac:dyDescent="0.2">
      <c r="A263" s="1" t="str">
        <f>"ACY3"</f>
        <v>ACY3</v>
      </c>
      <c r="B263" t="s">
        <v>13</v>
      </c>
      <c r="C263" t="s">
        <v>27</v>
      </c>
      <c r="D263" t="s">
        <v>11</v>
      </c>
      <c r="E263" t="s">
        <v>12</v>
      </c>
      <c r="F263">
        <v>67415020</v>
      </c>
      <c r="G263">
        <v>67415032</v>
      </c>
      <c r="H263">
        <v>67415020</v>
      </c>
      <c r="I263">
        <v>67415032</v>
      </c>
    </row>
    <row r="264" spans="1:9" x14ac:dyDescent="0.2">
      <c r="A264" s="1" t="str">
        <f>"ACYP1"</f>
        <v>ACYP1</v>
      </c>
      <c r="B264" t="s">
        <v>9</v>
      </c>
      <c r="C264" t="s">
        <v>41</v>
      </c>
      <c r="D264" t="s">
        <v>11</v>
      </c>
      <c r="E264" t="s">
        <v>12</v>
      </c>
      <c r="F264">
        <v>75530693</v>
      </c>
      <c r="G264">
        <v>75530761</v>
      </c>
      <c r="H264">
        <v>75530693</v>
      </c>
      <c r="I264">
        <v>75530761</v>
      </c>
    </row>
    <row r="265" spans="1:9" x14ac:dyDescent="0.2">
      <c r="A265" s="1" t="str">
        <f>"ACYP1"</f>
        <v>ACYP1</v>
      </c>
      <c r="B265" t="s">
        <v>13</v>
      </c>
      <c r="C265" t="s">
        <v>41</v>
      </c>
      <c r="D265" t="s">
        <v>11</v>
      </c>
      <c r="E265" t="s">
        <v>12</v>
      </c>
      <c r="F265">
        <v>75536182</v>
      </c>
      <c r="G265">
        <v>75536224</v>
      </c>
      <c r="H265">
        <v>75536182</v>
      </c>
      <c r="I265">
        <v>75536224</v>
      </c>
    </row>
    <row r="266" spans="1:9" x14ac:dyDescent="0.2">
      <c r="A266" s="1" t="str">
        <f>"ACYP2"</f>
        <v>ACYP2</v>
      </c>
      <c r="B266" t="s">
        <v>14</v>
      </c>
      <c r="C266" t="s">
        <v>26</v>
      </c>
      <c r="D266" t="s">
        <v>17</v>
      </c>
      <c r="E266" t="s">
        <v>12</v>
      </c>
      <c r="F266">
        <v>54342736</v>
      </c>
      <c r="G266">
        <v>54342786</v>
      </c>
      <c r="H266">
        <v>54342574</v>
      </c>
      <c r="I266">
        <v>54342631</v>
      </c>
    </row>
    <row r="267" spans="1:9" x14ac:dyDescent="0.2">
      <c r="A267" s="1" t="str">
        <f>"ADA"</f>
        <v>ADA</v>
      </c>
      <c r="B267" t="s">
        <v>14</v>
      </c>
      <c r="C267" t="s">
        <v>29</v>
      </c>
      <c r="D267" t="s">
        <v>11</v>
      </c>
      <c r="E267" t="s">
        <v>12</v>
      </c>
      <c r="F267">
        <v>43280325</v>
      </c>
      <c r="G267">
        <v>43280348</v>
      </c>
      <c r="H267">
        <v>43280361</v>
      </c>
      <c r="I267">
        <v>43280392</v>
      </c>
    </row>
    <row r="268" spans="1:9" x14ac:dyDescent="0.2">
      <c r="A268" s="1" t="str">
        <f>"ADAD1"</f>
        <v>ADAD1</v>
      </c>
      <c r="B268" t="s">
        <v>14</v>
      </c>
      <c r="C268" t="s">
        <v>23</v>
      </c>
      <c r="D268" t="s">
        <v>17</v>
      </c>
      <c r="E268" t="s">
        <v>12</v>
      </c>
      <c r="F268">
        <v>123300664</v>
      </c>
      <c r="G268">
        <v>123300723</v>
      </c>
      <c r="H268">
        <v>123300540</v>
      </c>
      <c r="I268">
        <v>123300559</v>
      </c>
    </row>
    <row r="269" spans="1:9" x14ac:dyDescent="0.2">
      <c r="A269" s="1" t="str">
        <f>"ADAD2"</f>
        <v>ADAD2</v>
      </c>
      <c r="B269" t="s">
        <v>14</v>
      </c>
      <c r="C269" t="s">
        <v>31</v>
      </c>
      <c r="D269" t="s">
        <v>17</v>
      </c>
      <c r="E269" t="s">
        <v>12</v>
      </c>
      <c r="F269">
        <v>84224794</v>
      </c>
      <c r="G269">
        <v>84224831</v>
      </c>
      <c r="H269">
        <v>84224757</v>
      </c>
      <c r="I269">
        <v>84224776</v>
      </c>
    </row>
    <row r="270" spans="1:9" x14ac:dyDescent="0.2">
      <c r="A270" s="1" t="str">
        <f>"ADAL"</f>
        <v>ADAL</v>
      </c>
      <c r="B270" t="s">
        <v>14</v>
      </c>
      <c r="C270" t="s">
        <v>25</v>
      </c>
      <c r="D270" t="s">
        <v>17</v>
      </c>
      <c r="E270" t="s">
        <v>12</v>
      </c>
      <c r="F270">
        <v>43622843</v>
      </c>
      <c r="G270">
        <v>43622922</v>
      </c>
      <c r="H270">
        <v>43622542</v>
      </c>
      <c r="I270">
        <v>43622581</v>
      </c>
    </row>
    <row r="271" spans="1:9" x14ac:dyDescent="0.2">
      <c r="A271" s="1" t="str">
        <f>"ADAM10"</f>
        <v>ADAM10</v>
      </c>
      <c r="B271" t="s">
        <v>14</v>
      </c>
      <c r="C271" t="s">
        <v>25</v>
      </c>
      <c r="D271" t="s">
        <v>11</v>
      </c>
      <c r="E271" t="s">
        <v>12</v>
      </c>
      <c r="F271">
        <v>59041768</v>
      </c>
      <c r="G271">
        <v>59041950</v>
      </c>
      <c r="H271">
        <v>59041954</v>
      </c>
      <c r="I271">
        <v>59042006</v>
      </c>
    </row>
    <row r="272" spans="1:9" x14ac:dyDescent="0.2">
      <c r="A272" s="1" t="str">
        <f>"ADAM11"</f>
        <v>ADAM11</v>
      </c>
      <c r="B272" t="s">
        <v>14</v>
      </c>
      <c r="C272" t="s">
        <v>28</v>
      </c>
      <c r="D272" t="s">
        <v>17</v>
      </c>
      <c r="E272" t="s">
        <v>12</v>
      </c>
      <c r="F272">
        <v>42836329</v>
      </c>
      <c r="G272">
        <v>42836389</v>
      </c>
      <c r="H272">
        <v>42836521</v>
      </c>
      <c r="I272">
        <v>42836578</v>
      </c>
    </row>
    <row r="273" spans="1:9" x14ac:dyDescent="0.2">
      <c r="A273" s="1" t="str">
        <f>"ADAM12"</f>
        <v>ADAM12</v>
      </c>
      <c r="B273" t="s">
        <v>14</v>
      </c>
      <c r="C273" t="s">
        <v>15</v>
      </c>
      <c r="D273" t="s">
        <v>11</v>
      </c>
      <c r="E273" t="s">
        <v>12</v>
      </c>
      <c r="F273">
        <v>128077034</v>
      </c>
      <c r="G273">
        <v>128077055</v>
      </c>
      <c r="H273">
        <v>128077058</v>
      </c>
      <c r="I273">
        <v>128077071</v>
      </c>
    </row>
    <row r="274" spans="1:9" x14ac:dyDescent="0.2">
      <c r="A274" s="1" t="str">
        <f>"ADAM15"</f>
        <v>ADAM15</v>
      </c>
      <c r="B274" t="s">
        <v>14</v>
      </c>
      <c r="C274" t="s">
        <v>19</v>
      </c>
      <c r="D274" t="s">
        <v>17</v>
      </c>
      <c r="E274" t="s">
        <v>12</v>
      </c>
      <c r="F274">
        <v>155023757</v>
      </c>
      <c r="G274">
        <v>155023833</v>
      </c>
      <c r="H274">
        <v>155023112</v>
      </c>
      <c r="I274">
        <v>155023150</v>
      </c>
    </row>
    <row r="275" spans="1:9" x14ac:dyDescent="0.2">
      <c r="A275" s="1" t="str">
        <f>"ADAM17"</f>
        <v>ADAM17</v>
      </c>
      <c r="B275" t="s">
        <v>14</v>
      </c>
      <c r="C275" t="s">
        <v>26</v>
      </c>
      <c r="D275" t="s">
        <v>11</v>
      </c>
      <c r="E275" t="s">
        <v>12</v>
      </c>
      <c r="F275">
        <v>9695847</v>
      </c>
      <c r="G275">
        <v>9695966</v>
      </c>
      <c r="H275">
        <v>9695971</v>
      </c>
      <c r="I275">
        <v>9695995</v>
      </c>
    </row>
    <row r="276" spans="1:9" x14ac:dyDescent="0.2">
      <c r="A276" s="1" t="str">
        <f>"ADAM18"</f>
        <v>ADAM18</v>
      </c>
      <c r="B276" t="s">
        <v>14</v>
      </c>
      <c r="C276" t="s">
        <v>30</v>
      </c>
      <c r="D276" t="s">
        <v>17</v>
      </c>
      <c r="E276" t="s">
        <v>12</v>
      </c>
      <c r="F276">
        <v>39442097</v>
      </c>
      <c r="G276">
        <v>39442117</v>
      </c>
      <c r="H276">
        <v>39442081</v>
      </c>
      <c r="I276">
        <v>39442092</v>
      </c>
    </row>
    <row r="277" spans="1:9" x14ac:dyDescent="0.2">
      <c r="A277" s="1" t="str">
        <f>"ADAM19"</f>
        <v>ADAM19</v>
      </c>
      <c r="B277" t="s">
        <v>14</v>
      </c>
      <c r="C277" t="s">
        <v>46</v>
      </c>
      <c r="D277" t="s">
        <v>11</v>
      </c>
      <c r="E277" t="s">
        <v>12</v>
      </c>
      <c r="F277">
        <v>157002775</v>
      </c>
      <c r="G277">
        <v>157002790</v>
      </c>
      <c r="H277">
        <v>157002755</v>
      </c>
      <c r="I277">
        <v>157002766</v>
      </c>
    </row>
    <row r="278" spans="1:9" x14ac:dyDescent="0.2">
      <c r="A278" s="1" t="str">
        <f>"ADAM2"</f>
        <v>ADAM2</v>
      </c>
      <c r="B278" t="s">
        <v>14</v>
      </c>
      <c r="C278" t="s">
        <v>30</v>
      </c>
      <c r="D278" t="s">
        <v>11</v>
      </c>
      <c r="E278" t="s">
        <v>12</v>
      </c>
      <c r="F278">
        <v>39695719</v>
      </c>
      <c r="G278">
        <v>39695751</v>
      </c>
      <c r="H278">
        <v>39695764</v>
      </c>
      <c r="I278">
        <v>39695778</v>
      </c>
    </row>
    <row r="279" spans="1:9" x14ac:dyDescent="0.2">
      <c r="A279" s="1" t="str">
        <f>"ADAM20"</f>
        <v>ADAM20</v>
      </c>
      <c r="B279" t="s">
        <v>14</v>
      </c>
      <c r="C279" t="s">
        <v>41</v>
      </c>
      <c r="D279" t="s">
        <v>11</v>
      </c>
      <c r="E279" t="s">
        <v>12</v>
      </c>
      <c r="F279">
        <v>71001708</v>
      </c>
      <c r="G279">
        <v>71001746</v>
      </c>
      <c r="H279">
        <v>71001708</v>
      </c>
      <c r="I279">
        <v>71001746</v>
      </c>
    </row>
    <row r="280" spans="1:9" x14ac:dyDescent="0.2">
      <c r="A280" s="1" t="str">
        <f>"ADAM21"</f>
        <v>ADAM21</v>
      </c>
      <c r="B280" t="s">
        <v>14</v>
      </c>
      <c r="C280" t="s">
        <v>41</v>
      </c>
      <c r="D280" t="s">
        <v>17</v>
      </c>
      <c r="E280" t="s">
        <v>12</v>
      </c>
      <c r="F280">
        <v>70918887</v>
      </c>
      <c r="G280">
        <v>70918913</v>
      </c>
      <c r="H280">
        <v>70918887</v>
      </c>
      <c r="I280">
        <v>70918913</v>
      </c>
    </row>
    <row r="281" spans="1:9" x14ac:dyDescent="0.2">
      <c r="A281" s="1" t="str">
        <f>"ADAM22"</f>
        <v>ADAM22</v>
      </c>
      <c r="B281" t="s">
        <v>14</v>
      </c>
      <c r="C281" t="s">
        <v>33</v>
      </c>
      <c r="D281" t="s">
        <v>17</v>
      </c>
      <c r="E281" t="s">
        <v>12</v>
      </c>
      <c r="F281">
        <v>87563557</v>
      </c>
      <c r="G281">
        <v>87563641</v>
      </c>
      <c r="H281">
        <v>87563531</v>
      </c>
      <c r="I281">
        <v>87563544</v>
      </c>
    </row>
    <row r="282" spans="1:9" x14ac:dyDescent="0.2">
      <c r="A282" s="1" t="str">
        <f>"ADAM23"</f>
        <v>ADAM23</v>
      </c>
      <c r="B282" t="s">
        <v>14</v>
      </c>
      <c r="C282" t="s">
        <v>26</v>
      </c>
      <c r="D282" t="s">
        <v>17</v>
      </c>
      <c r="E282" t="s">
        <v>12</v>
      </c>
      <c r="F282">
        <v>207308220</v>
      </c>
      <c r="G282">
        <v>207308267</v>
      </c>
      <c r="H282">
        <v>207308275</v>
      </c>
      <c r="I282">
        <v>207308295</v>
      </c>
    </row>
    <row r="283" spans="1:9" x14ac:dyDescent="0.2">
      <c r="A283" s="1" t="str">
        <f>"ADAM28"</f>
        <v>ADAM28</v>
      </c>
      <c r="B283" t="s">
        <v>14</v>
      </c>
      <c r="C283" t="s">
        <v>30</v>
      </c>
      <c r="D283" t="s">
        <v>17</v>
      </c>
      <c r="E283" t="s">
        <v>12</v>
      </c>
      <c r="F283">
        <v>24151557</v>
      </c>
      <c r="G283">
        <v>24151590</v>
      </c>
      <c r="H283">
        <v>24151592</v>
      </c>
      <c r="I283">
        <v>24151611</v>
      </c>
    </row>
    <row r="284" spans="1:9" x14ac:dyDescent="0.2">
      <c r="A284" s="1" t="str">
        <f>"ADAM29"</f>
        <v>ADAM29</v>
      </c>
      <c r="B284" t="s">
        <v>14</v>
      </c>
      <c r="C284" t="s">
        <v>23</v>
      </c>
      <c r="D284" t="s">
        <v>17</v>
      </c>
      <c r="E284" t="s">
        <v>12</v>
      </c>
      <c r="F284">
        <v>175839551</v>
      </c>
      <c r="G284">
        <v>175839567</v>
      </c>
      <c r="H284">
        <v>175839518</v>
      </c>
      <c r="I284">
        <v>175839528</v>
      </c>
    </row>
    <row r="285" spans="1:9" x14ac:dyDescent="0.2">
      <c r="A285" s="1" t="str">
        <f>"ADAM30"</f>
        <v>ADAM30</v>
      </c>
      <c r="B285" t="s">
        <v>14</v>
      </c>
      <c r="C285" t="s">
        <v>19</v>
      </c>
      <c r="D285" t="s">
        <v>11</v>
      </c>
      <c r="E285" t="s">
        <v>12</v>
      </c>
      <c r="F285">
        <v>120439126</v>
      </c>
      <c r="G285">
        <v>120439143</v>
      </c>
      <c r="H285">
        <v>120439112</v>
      </c>
      <c r="I285">
        <v>120439125</v>
      </c>
    </row>
    <row r="286" spans="1:9" x14ac:dyDescent="0.2">
      <c r="A286" s="1" t="str">
        <f>"ADAM32"</f>
        <v>ADAM32</v>
      </c>
      <c r="B286" t="s">
        <v>14</v>
      </c>
      <c r="C286" t="s">
        <v>30</v>
      </c>
      <c r="D286" t="s">
        <v>17</v>
      </c>
      <c r="E286" t="s">
        <v>12</v>
      </c>
      <c r="F286">
        <v>38965075</v>
      </c>
      <c r="G286">
        <v>38965107</v>
      </c>
      <c r="H286">
        <v>38965241</v>
      </c>
      <c r="I286">
        <v>38965290</v>
      </c>
    </row>
    <row r="287" spans="1:9" x14ac:dyDescent="0.2">
      <c r="A287" s="1" t="str">
        <f>"ADAM33"</f>
        <v>ADAM33</v>
      </c>
      <c r="B287" t="s">
        <v>14</v>
      </c>
      <c r="C287" t="s">
        <v>29</v>
      </c>
      <c r="D287" t="s">
        <v>11</v>
      </c>
      <c r="E287" t="s">
        <v>12</v>
      </c>
      <c r="F287">
        <v>3662666</v>
      </c>
      <c r="G287">
        <v>3662699</v>
      </c>
      <c r="H287">
        <v>3662645</v>
      </c>
      <c r="I287">
        <v>3662664</v>
      </c>
    </row>
    <row r="288" spans="1:9" x14ac:dyDescent="0.2">
      <c r="A288" s="1" t="str">
        <f>"ADAM7"</f>
        <v>ADAM7</v>
      </c>
      <c r="B288" t="s">
        <v>14</v>
      </c>
      <c r="C288" t="s">
        <v>30</v>
      </c>
      <c r="D288" t="s">
        <v>17</v>
      </c>
      <c r="E288" t="s">
        <v>12</v>
      </c>
      <c r="F288">
        <v>24298531</v>
      </c>
      <c r="G288">
        <v>24298551</v>
      </c>
      <c r="H288">
        <v>24298494</v>
      </c>
      <c r="I288">
        <v>24298504</v>
      </c>
    </row>
    <row r="289" spans="1:9" x14ac:dyDescent="0.2">
      <c r="A289" s="1" t="str">
        <f>"ADAM8"</f>
        <v>ADAM8</v>
      </c>
      <c r="B289" t="s">
        <v>14</v>
      </c>
      <c r="C289" t="s">
        <v>15</v>
      </c>
      <c r="D289" t="s">
        <v>11</v>
      </c>
      <c r="E289" t="s">
        <v>12</v>
      </c>
      <c r="F289">
        <v>135090360</v>
      </c>
      <c r="G289">
        <v>135090384</v>
      </c>
      <c r="H289">
        <v>135090338</v>
      </c>
      <c r="I289">
        <v>135090354</v>
      </c>
    </row>
    <row r="290" spans="1:9" x14ac:dyDescent="0.2">
      <c r="A290" s="1" t="str">
        <f>"ADAM9"</f>
        <v>ADAM9</v>
      </c>
      <c r="B290" t="s">
        <v>14</v>
      </c>
      <c r="C290" t="s">
        <v>30</v>
      </c>
      <c r="D290" t="s">
        <v>17</v>
      </c>
      <c r="E290" t="s">
        <v>12</v>
      </c>
      <c r="F290">
        <v>38854418</v>
      </c>
      <c r="G290">
        <v>38854514</v>
      </c>
      <c r="H290">
        <v>38854330</v>
      </c>
      <c r="I290">
        <v>38854342</v>
      </c>
    </row>
    <row r="291" spans="1:9" x14ac:dyDescent="0.2">
      <c r="A291" s="1" t="str">
        <f>"ADAMDEC1"</f>
        <v>ADAMDEC1</v>
      </c>
      <c r="B291" t="s">
        <v>14</v>
      </c>
      <c r="C291" t="s">
        <v>30</v>
      </c>
      <c r="D291" t="s">
        <v>17</v>
      </c>
      <c r="E291" t="s">
        <v>12</v>
      </c>
      <c r="F291">
        <v>24242010</v>
      </c>
      <c r="G291">
        <v>24242026</v>
      </c>
      <c r="H291">
        <v>24241969</v>
      </c>
      <c r="I291">
        <v>24241999</v>
      </c>
    </row>
    <row r="292" spans="1:9" x14ac:dyDescent="0.2">
      <c r="A292" s="1" t="str">
        <f>"ADAMTS1"</f>
        <v>ADAMTS1</v>
      </c>
      <c r="B292" t="s">
        <v>9</v>
      </c>
      <c r="C292" t="s">
        <v>42</v>
      </c>
      <c r="D292" t="s">
        <v>11</v>
      </c>
      <c r="E292" t="s">
        <v>12</v>
      </c>
      <c r="F292">
        <v>28217721</v>
      </c>
      <c r="G292">
        <v>28217735</v>
      </c>
      <c r="H292">
        <v>28217721</v>
      </c>
      <c r="I292">
        <v>28217735</v>
      </c>
    </row>
    <row r="293" spans="1:9" x14ac:dyDescent="0.2">
      <c r="A293" s="1" t="str">
        <f>"ADAMTS1"</f>
        <v>ADAMTS1</v>
      </c>
      <c r="B293" t="s">
        <v>13</v>
      </c>
      <c r="C293" t="s">
        <v>42</v>
      </c>
      <c r="D293" t="s">
        <v>11</v>
      </c>
      <c r="E293" t="s">
        <v>12</v>
      </c>
      <c r="F293">
        <v>28216589</v>
      </c>
      <c r="G293">
        <v>28216607</v>
      </c>
      <c r="H293">
        <v>28216589</v>
      </c>
      <c r="I293">
        <v>28216607</v>
      </c>
    </row>
    <row r="294" spans="1:9" x14ac:dyDescent="0.2">
      <c r="A294" s="1" t="str">
        <f>"ADAMTS10"</f>
        <v>ADAMTS10</v>
      </c>
      <c r="B294" t="s">
        <v>14</v>
      </c>
      <c r="C294" t="s">
        <v>10</v>
      </c>
      <c r="D294" t="s">
        <v>11</v>
      </c>
      <c r="E294" t="s">
        <v>12</v>
      </c>
      <c r="F294">
        <v>8675559</v>
      </c>
      <c r="G294">
        <v>8675612</v>
      </c>
      <c r="H294">
        <v>8675642</v>
      </c>
      <c r="I294">
        <v>8675653</v>
      </c>
    </row>
    <row r="295" spans="1:9" x14ac:dyDescent="0.2">
      <c r="A295" s="1" t="str">
        <f>"ADAMTS12"</f>
        <v>ADAMTS12</v>
      </c>
      <c r="B295" t="s">
        <v>14</v>
      </c>
      <c r="C295" t="s">
        <v>46</v>
      </c>
      <c r="D295" t="s">
        <v>11</v>
      </c>
      <c r="E295" t="s">
        <v>12</v>
      </c>
      <c r="F295">
        <v>33892081</v>
      </c>
      <c r="G295">
        <v>33892101</v>
      </c>
      <c r="H295">
        <v>33892118</v>
      </c>
      <c r="I295">
        <v>33892144</v>
      </c>
    </row>
    <row r="296" spans="1:9" x14ac:dyDescent="0.2">
      <c r="A296" s="1" t="str">
        <f>"ADAMTS13"</f>
        <v>ADAMTS13</v>
      </c>
      <c r="B296" t="s">
        <v>14</v>
      </c>
      <c r="C296" t="s">
        <v>24</v>
      </c>
      <c r="D296" t="s">
        <v>17</v>
      </c>
      <c r="E296" t="s">
        <v>12</v>
      </c>
      <c r="F296">
        <v>136287478</v>
      </c>
      <c r="G296">
        <v>136287514</v>
      </c>
      <c r="H296">
        <v>136287478</v>
      </c>
      <c r="I296">
        <v>136287514</v>
      </c>
    </row>
    <row r="297" spans="1:9" x14ac:dyDescent="0.2">
      <c r="A297" s="1" t="str">
        <f>"ADAMTS14"</f>
        <v>ADAMTS14</v>
      </c>
      <c r="B297" t="s">
        <v>14</v>
      </c>
      <c r="C297" t="s">
        <v>15</v>
      </c>
      <c r="D297" t="s">
        <v>17</v>
      </c>
      <c r="E297" t="s">
        <v>12</v>
      </c>
      <c r="F297">
        <v>72432217</v>
      </c>
      <c r="G297">
        <v>72432299</v>
      </c>
      <c r="H297">
        <v>72432217</v>
      </c>
      <c r="I297">
        <v>72432299</v>
      </c>
    </row>
    <row r="298" spans="1:9" x14ac:dyDescent="0.2">
      <c r="A298" s="1" t="str">
        <f>"ADAMTS15"</f>
        <v>ADAMTS15</v>
      </c>
      <c r="B298" t="s">
        <v>14</v>
      </c>
      <c r="C298" t="s">
        <v>27</v>
      </c>
      <c r="D298" t="s">
        <v>17</v>
      </c>
      <c r="E298" t="s">
        <v>12</v>
      </c>
      <c r="F298">
        <v>130318529</v>
      </c>
      <c r="G298">
        <v>130318547</v>
      </c>
      <c r="H298">
        <v>130318402</v>
      </c>
      <c r="I298">
        <v>130318426</v>
      </c>
    </row>
    <row r="299" spans="1:9" x14ac:dyDescent="0.2">
      <c r="A299" s="1" t="str">
        <f>"ADAMTS16"</f>
        <v>ADAMTS16</v>
      </c>
      <c r="B299" t="s">
        <v>9</v>
      </c>
      <c r="C299" t="s">
        <v>46</v>
      </c>
      <c r="D299" t="s">
        <v>17</v>
      </c>
      <c r="E299" t="s">
        <v>12</v>
      </c>
      <c r="F299">
        <v>5146295</v>
      </c>
      <c r="G299">
        <v>5146366</v>
      </c>
      <c r="H299">
        <v>5146295</v>
      </c>
      <c r="I299">
        <v>5146366</v>
      </c>
    </row>
    <row r="300" spans="1:9" x14ac:dyDescent="0.2">
      <c r="A300" s="1" t="str">
        <f>"ADAMTS16"</f>
        <v>ADAMTS16</v>
      </c>
      <c r="B300" t="s">
        <v>13</v>
      </c>
      <c r="C300" t="s">
        <v>46</v>
      </c>
      <c r="D300" t="s">
        <v>17</v>
      </c>
      <c r="E300" t="s">
        <v>12</v>
      </c>
      <c r="F300">
        <v>5140436</v>
      </c>
      <c r="G300">
        <v>5140450</v>
      </c>
      <c r="H300">
        <v>5140436</v>
      </c>
      <c r="I300">
        <v>5140450</v>
      </c>
    </row>
    <row r="301" spans="1:9" x14ac:dyDescent="0.2">
      <c r="A301" s="1" t="str">
        <f>"ADAMTS17"</f>
        <v>ADAMTS17</v>
      </c>
      <c r="B301" t="s">
        <v>14</v>
      </c>
      <c r="C301" t="s">
        <v>25</v>
      </c>
      <c r="D301" t="s">
        <v>11</v>
      </c>
      <c r="E301" t="s">
        <v>12</v>
      </c>
      <c r="F301">
        <v>100882172</v>
      </c>
      <c r="G301">
        <v>100882186</v>
      </c>
      <c r="H301">
        <v>100882191</v>
      </c>
      <c r="I301">
        <v>100882213</v>
      </c>
    </row>
    <row r="302" spans="1:9" x14ac:dyDescent="0.2">
      <c r="A302" s="1" t="str">
        <f>"ADAMTS18"</f>
        <v>ADAMTS18</v>
      </c>
      <c r="B302" t="s">
        <v>14</v>
      </c>
      <c r="C302" t="s">
        <v>31</v>
      </c>
      <c r="D302" t="s">
        <v>11</v>
      </c>
      <c r="E302" t="s">
        <v>12</v>
      </c>
      <c r="F302">
        <v>77468905</v>
      </c>
      <c r="G302">
        <v>77468944</v>
      </c>
      <c r="H302">
        <v>77468945</v>
      </c>
      <c r="I302">
        <v>77468961</v>
      </c>
    </row>
    <row r="303" spans="1:9" x14ac:dyDescent="0.2">
      <c r="A303" s="1" t="str">
        <f>"ADAMTS19"</f>
        <v>ADAMTS19</v>
      </c>
      <c r="B303" t="s">
        <v>14</v>
      </c>
      <c r="C303" t="s">
        <v>46</v>
      </c>
      <c r="D303" t="s">
        <v>17</v>
      </c>
      <c r="E303" t="s">
        <v>12</v>
      </c>
      <c r="F303">
        <v>128795972</v>
      </c>
      <c r="G303">
        <v>128796012</v>
      </c>
      <c r="H303">
        <v>128795972</v>
      </c>
      <c r="I303">
        <v>128796012</v>
      </c>
    </row>
    <row r="304" spans="1:9" x14ac:dyDescent="0.2">
      <c r="A304" s="1" t="str">
        <f>"ADAMTS2"</f>
        <v>ADAMTS2</v>
      </c>
      <c r="B304" t="s">
        <v>14</v>
      </c>
      <c r="C304" t="s">
        <v>46</v>
      </c>
      <c r="D304" t="s">
        <v>11</v>
      </c>
      <c r="E304" t="s">
        <v>12</v>
      </c>
      <c r="F304">
        <v>178772424</v>
      </c>
      <c r="G304">
        <v>178772486</v>
      </c>
      <c r="H304">
        <v>178772398</v>
      </c>
      <c r="I304">
        <v>178772420</v>
      </c>
    </row>
    <row r="305" spans="1:9" x14ac:dyDescent="0.2">
      <c r="A305" s="1" t="str">
        <f>"ADAMTS20"</f>
        <v>ADAMTS20</v>
      </c>
      <c r="B305" t="s">
        <v>14</v>
      </c>
      <c r="C305" t="s">
        <v>16</v>
      </c>
      <c r="D305" t="s">
        <v>11</v>
      </c>
      <c r="E305" t="s">
        <v>12</v>
      </c>
      <c r="F305">
        <v>43946001</v>
      </c>
      <c r="G305">
        <v>43946016</v>
      </c>
      <c r="H305">
        <v>43946001</v>
      </c>
      <c r="I305">
        <v>43946016</v>
      </c>
    </row>
    <row r="306" spans="1:9" x14ac:dyDescent="0.2">
      <c r="A306" s="1" t="str">
        <f>"ADAMTS3"</f>
        <v>ADAMTS3</v>
      </c>
      <c r="B306" t="s">
        <v>14</v>
      </c>
      <c r="C306" t="s">
        <v>23</v>
      </c>
      <c r="D306" t="s">
        <v>11</v>
      </c>
      <c r="E306" t="s">
        <v>12</v>
      </c>
      <c r="F306">
        <v>73434921</v>
      </c>
      <c r="G306">
        <v>73434961</v>
      </c>
      <c r="H306">
        <v>73434921</v>
      </c>
      <c r="I306">
        <v>73434961</v>
      </c>
    </row>
    <row r="307" spans="1:9" x14ac:dyDescent="0.2">
      <c r="A307" s="1" t="str">
        <f>"ADAMTS4"</f>
        <v>ADAMTS4</v>
      </c>
      <c r="B307" t="s">
        <v>14</v>
      </c>
      <c r="C307" t="s">
        <v>19</v>
      </c>
      <c r="D307" t="s">
        <v>11</v>
      </c>
      <c r="E307" t="s">
        <v>12</v>
      </c>
      <c r="F307">
        <v>161168834</v>
      </c>
      <c r="G307">
        <v>161168851</v>
      </c>
      <c r="H307">
        <v>161168834</v>
      </c>
      <c r="I307">
        <v>161168851</v>
      </c>
    </row>
    <row r="308" spans="1:9" x14ac:dyDescent="0.2">
      <c r="A308" s="1" t="str">
        <f>"ADAMTS5"</f>
        <v>ADAMTS5</v>
      </c>
      <c r="B308" t="s">
        <v>14</v>
      </c>
      <c r="C308" t="s">
        <v>42</v>
      </c>
      <c r="D308" t="s">
        <v>11</v>
      </c>
      <c r="E308" t="s">
        <v>12</v>
      </c>
      <c r="F308">
        <v>28339400</v>
      </c>
      <c r="G308">
        <v>28339416</v>
      </c>
      <c r="H308">
        <v>28339463</v>
      </c>
      <c r="I308">
        <v>28339474</v>
      </c>
    </row>
    <row r="309" spans="1:9" x14ac:dyDescent="0.2">
      <c r="A309" s="1" t="str">
        <f>"ADAMTS6"</f>
        <v>ADAMTS6</v>
      </c>
      <c r="B309" t="s">
        <v>14</v>
      </c>
      <c r="C309" t="s">
        <v>46</v>
      </c>
      <c r="D309" t="s">
        <v>11</v>
      </c>
      <c r="E309" t="s">
        <v>12</v>
      </c>
      <c r="F309">
        <v>64777653</v>
      </c>
      <c r="G309">
        <v>64777682</v>
      </c>
      <c r="H309">
        <v>64777685</v>
      </c>
      <c r="I309">
        <v>64777712</v>
      </c>
    </row>
    <row r="310" spans="1:9" x14ac:dyDescent="0.2">
      <c r="A310" s="1" t="str">
        <f>"ADAMTS7"</f>
        <v>ADAMTS7</v>
      </c>
      <c r="B310" t="s">
        <v>14</v>
      </c>
      <c r="C310" t="s">
        <v>25</v>
      </c>
      <c r="D310" t="s">
        <v>11</v>
      </c>
      <c r="E310" t="s">
        <v>12</v>
      </c>
      <c r="F310">
        <v>79103757</v>
      </c>
      <c r="G310">
        <v>79103815</v>
      </c>
      <c r="H310">
        <v>79103691</v>
      </c>
      <c r="I310">
        <v>79103702</v>
      </c>
    </row>
    <row r="311" spans="1:9" x14ac:dyDescent="0.2">
      <c r="A311" s="1" t="str">
        <f>"ADAMTS8"</f>
        <v>ADAMTS8</v>
      </c>
      <c r="B311" t="s">
        <v>14</v>
      </c>
      <c r="C311" t="s">
        <v>27</v>
      </c>
      <c r="D311" t="s">
        <v>11</v>
      </c>
      <c r="E311" t="s">
        <v>12</v>
      </c>
      <c r="F311">
        <v>130298500</v>
      </c>
      <c r="G311">
        <v>130298509</v>
      </c>
      <c r="H311">
        <v>130298406</v>
      </c>
      <c r="I311">
        <v>130298423</v>
      </c>
    </row>
    <row r="312" spans="1:9" x14ac:dyDescent="0.2">
      <c r="A312" s="1" t="str">
        <f>"ADAMTS9"</f>
        <v>ADAMTS9</v>
      </c>
      <c r="B312" t="s">
        <v>14</v>
      </c>
      <c r="C312" t="s">
        <v>22</v>
      </c>
      <c r="D312" t="s">
        <v>11</v>
      </c>
      <c r="E312" t="s">
        <v>12</v>
      </c>
      <c r="F312">
        <v>64673668</v>
      </c>
      <c r="G312">
        <v>64673684</v>
      </c>
      <c r="H312">
        <v>64673289</v>
      </c>
      <c r="I312">
        <v>64673335</v>
      </c>
    </row>
    <row r="313" spans="1:9" x14ac:dyDescent="0.2">
      <c r="A313" s="1" t="str">
        <f>"ADAMTSL1"</f>
        <v>ADAMTSL1</v>
      </c>
      <c r="B313" t="s">
        <v>14</v>
      </c>
      <c r="C313" t="s">
        <v>24</v>
      </c>
      <c r="D313" t="s">
        <v>17</v>
      </c>
      <c r="E313" t="s">
        <v>12</v>
      </c>
      <c r="F313">
        <v>18474125</v>
      </c>
      <c r="G313">
        <v>18474160</v>
      </c>
      <c r="H313">
        <v>18474163</v>
      </c>
      <c r="I313">
        <v>18474202</v>
      </c>
    </row>
    <row r="314" spans="1:9" x14ac:dyDescent="0.2">
      <c r="A314" s="1" t="str">
        <f>"ADAMTSL2"</f>
        <v>ADAMTSL2</v>
      </c>
      <c r="B314" t="s">
        <v>14</v>
      </c>
      <c r="C314" t="s">
        <v>24</v>
      </c>
      <c r="D314" t="s">
        <v>17</v>
      </c>
      <c r="E314" t="s">
        <v>12</v>
      </c>
      <c r="F314">
        <v>136399819</v>
      </c>
      <c r="G314">
        <v>136399835</v>
      </c>
      <c r="H314">
        <v>136399759</v>
      </c>
      <c r="I314">
        <v>136399803</v>
      </c>
    </row>
    <row r="315" spans="1:9" x14ac:dyDescent="0.2">
      <c r="A315" s="1" t="str">
        <f>"ADAMTSL3"</f>
        <v>ADAMTSL3</v>
      </c>
      <c r="B315" t="s">
        <v>14</v>
      </c>
      <c r="C315" t="s">
        <v>25</v>
      </c>
      <c r="D315" t="s">
        <v>17</v>
      </c>
      <c r="E315" t="s">
        <v>12</v>
      </c>
      <c r="F315">
        <v>84322865</v>
      </c>
      <c r="G315">
        <v>84322888</v>
      </c>
      <c r="H315">
        <v>84322865</v>
      </c>
      <c r="I315">
        <v>84322888</v>
      </c>
    </row>
    <row r="316" spans="1:9" x14ac:dyDescent="0.2">
      <c r="A316" s="1" t="str">
        <f>"ADAMTSL4"</f>
        <v>ADAMTSL4</v>
      </c>
      <c r="B316" t="s">
        <v>14</v>
      </c>
      <c r="C316" t="s">
        <v>19</v>
      </c>
      <c r="D316" t="s">
        <v>17</v>
      </c>
      <c r="E316" t="s">
        <v>12</v>
      </c>
      <c r="F316">
        <v>150521876</v>
      </c>
      <c r="G316">
        <v>150521901</v>
      </c>
      <c r="H316">
        <v>150521860</v>
      </c>
      <c r="I316">
        <v>150521871</v>
      </c>
    </row>
    <row r="317" spans="1:9" x14ac:dyDescent="0.2">
      <c r="A317" s="1" t="str">
        <f>"ADAMTSL5"</f>
        <v>ADAMTSL5</v>
      </c>
      <c r="B317" t="s">
        <v>14</v>
      </c>
      <c r="C317" t="s">
        <v>10</v>
      </c>
      <c r="D317" t="s">
        <v>11</v>
      </c>
      <c r="E317" t="s">
        <v>12</v>
      </c>
      <c r="F317">
        <v>1513002</v>
      </c>
      <c r="G317">
        <v>1513032</v>
      </c>
      <c r="H317">
        <v>1513002</v>
      </c>
      <c r="I317">
        <v>1513032</v>
      </c>
    </row>
    <row r="318" spans="1:9" x14ac:dyDescent="0.2">
      <c r="A318" s="1" t="str">
        <f>"ADAP1"</f>
        <v>ADAP1</v>
      </c>
      <c r="B318" t="s">
        <v>14</v>
      </c>
      <c r="C318" t="s">
        <v>33</v>
      </c>
      <c r="D318" t="s">
        <v>11</v>
      </c>
      <c r="E318" t="s">
        <v>12</v>
      </c>
      <c r="F318">
        <v>994302</v>
      </c>
      <c r="G318">
        <v>994329</v>
      </c>
      <c r="H318">
        <v>994226</v>
      </c>
      <c r="I318">
        <v>994246</v>
      </c>
    </row>
    <row r="319" spans="1:9" x14ac:dyDescent="0.2">
      <c r="A319" s="1" t="str">
        <f>"ADAP2"</f>
        <v>ADAP2</v>
      </c>
      <c r="B319" t="s">
        <v>14</v>
      </c>
      <c r="C319" t="s">
        <v>28</v>
      </c>
      <c r="D319" t="s">
        <v>17</v>
      </c>
      <c r="E319" t="s">
        <v>12</v>
      </c>
      <c r="F319">
        <v>29248955</v>
      </c>
      <c r="G319">
        <v>29248978</v>
      </c>
      <c r="H319">
        <v>29248955</v>
      </c>
      <c r="I319">
        <v>29248978</v>
      </c>
    </row>
    <row r="320" spans="1:9" x14ac:dyDescent="0.2">
      <c r="A320" s="1" t="str">
        <f>"ADAR"</f>
        <v>ADAR</v>
      </c>
      <c r="B320" t="s">
        <v>9</v>
      </c>
      <c r="C320" t="s">
        <v>19</v>
      </c>
      <c r="D320" t="s">
        <v>11</v>
      </c>
      <c r="E320" t="s">
        <v>12</v>
      </c>
      <c r="F320">
        <v>154580616</v>
      </c>
      <c r="G320">
        <v>154580695</v>
      </c>
      <c r="H320">
        <v>154580616</v>
      </c>
      <c r="I320">
        <v>154580695</v>
      </c>
    </row>
    <row r="321" spans="1:9" x14ac:dyDescent="0.2">
      <c r="A321" s="1" t="str">
        <f>"ADAR"</f>
        <v>ADAR</v>
      </c>
      <c r="B321" t="s">
        <v>13</v>
      </c>
      <c r="C321" t="s">
        <v>19</v>
      </c>
      <c r="D321" t="s">
        <v>11</v>
      </c>
      <c r="E321" t="s">
        <v>12</v>
      </c>
      <c r="F321">
        <v>154600421</v>
      </c>
      <c r="G321">
        <v>154600480</v>
      </c>
      <c r="H321">
        <v>154600421</v>
      </c>
      <c r="I321">
        <v>154600480</v>
      </c>
    </row>
    <row r="322" spans="1:9" x14ac:dyDescent="0.2">
      <c r="A322" s="1" t="str">
        <f>"ADARB1"</f>
        <v>ADARB1</v>
      </c>
      <c r="B322" t="s">
        <v>14</v>
      </c>
      <c r="C322" t="s">
        <v>42</v>
      </c>
      <c r="D322" t="s">
        <v>17</v>
      </c>
      <c r="E322" t="s">
        <v>12</v>
      </c>
      <c r="F322">
        <v>46494466</v>
      </c>
      <c r="G322">
        <v>46494543</v>
      </c>
      <c r="H322">
        <v>46493752</v>
      </c>
      <c r="I322">
        <v>46493757</v>
      </c>
    </row>
    <row r="323" spans="1:9" x14ac:dyDescent="0.2">
      <c r="A323" s="1" t="str">
        <f>"ADARB2"</f>
        <v>ADARB2</v>
      </c>
      <c r="B323" t="s">
        <v>50</v>
      </c>
      <c r="C323" t="s">
        <v>15</v>
      </c>
      <c r="D323" t="s">
        <v>11</v>
      </c>
      <c r="E323" t="s">
        <v>35</v>
      </c>
      <c r="F323">
        <v>1779710</v>
      </c>
      <c r="G323">
        <v>1779726</v>
      </c>
      <c r="H323">
        <v>1779501</v>
      </c>
      <c r="I323">
        <v>1779506</v>
      </c>
    </row>
    <row r="324" spans="1:9" x14ac:dyDescent="0.2">
      <c r="A324" s="1" t="str">
        <f>"ADAT1"</f>
        <v>ADAT1</v>
      </c>
      <c r="B324" t="s">
        <v>14</v>
      </c>
      <c r="C324" t="s">
        <v>31</v>
      </c>
      <c r="D324" t="s">
        <v>11</v>
      </c>
      <c r="E324" t="s">
        <v>12</v>
      </c>
      <c r="F324">
        <v>75657147</v>
      </c>
      <c r="G324">
        <v>75657199</v>
      </c>
      <c r="H324">
        <v>75657136</v>
      </c>
      <c r="I324">
        <v>75657145</v>
      </c>
    </row>
    <row r="325" spans="1:9" x14ac:dyDescent="0.2">
      <c r="A325" s="1" t="str">
        <f>"ADAT2"</f>
        <v>ADAT2</v>
      </c>
      <c r="B325" t="s">
        <v>14</v>
      </c>
      <c r="C325" t="s">
        <v>32</v>
      </c>
      <c r="D325" t="s">
        <v>11</v>
      </c>
      <c r="E325" t="s">
        <v>12</v>
      </c>
      <c r="F325">
        <v>143771799</v>
      </c>
      <c r="G325">
        <v>143771869</v>
      </c>
      <c r="H325">
        <v>143771799</v>
      </c>
      <c r="I325">
        <v>143771869</v>
      </c>
    </row>
    <row r="326" spans="1:9" x14ac:dyDescent="0.2">
      <c r="A326" s="1" t="str">
        <f>"ADAT3"</f>
        <v>ADAT3</v>
      </c>
      <c r="B326" t="s">
        <v>9</v>
      </c>
      <c r="C326" t="s">
        <v>10</v>
      </c>
      <c r="D326" t="s">
        <v>17</v>
      </c>
      <c r="E326" t="s">
        <v>12</v>
      </c>
      <c r="F326">
        <v>1905365</v>
      </c>
      <c r="G326">
        <v>1905411</v>
      </c>
      <c r="H326">
        <v>1905365</v>
      </c>
      <c r="I326">
        <v>1905411</v>
      </c>
    </row>
    <row r="327" spans="1:9" x14ac:dyDescent="0.2">
      <c r="A327" s="1" t="str">
        <f>"ADAT3"</f>
        <v>ADAT3</v>
      </c>
      <c r="B327" t="s">
        <v>13</v>
      </c>
      <c r="C327" t="s">
        <v>10</v>
      </c>
      <c r="D327" t="s">
        <v>17</v>
      </c>
      <c r="E327" t="s">
        <v>12</v>
      </c>
      <c r="F327">
        <v>1907961</v>
      </c>
      <c r="G327">
        <v>1907987</v>
      </c>
      <c r="H327">
        <v>1907961</v>
      </c>
      <c r="I327">
        <v>1907987</v>
      </c>
    </row>
    <row r="328" spans="1:9" x14ac:dyDescent="0.2">
      <c r="A328" s="1" t="str">
        <f>"ADC"</f>
        <v>ADC</v>
      </c>
      <c r="B328" t="s">
        <v>14</v>
      </c>
      <c r="C328" t="s">
        <v>19</v>
      </c>
      <c r="D328" t="s">
        <v>17</v>
      </c>
      <c r="E328" t="s">
        <v>12</v>
      </c>
      <c r="F328">
        <v>33546746</v>
      </c>
      <c r="G328">
        <v>33546769</v>
      </c>
      <c r="H328">
        <v>33546746</v>
      </c>
      <c r="I328">
        <v>33546769</v>
      </c>
    </row>
    <row r="329" spans="1:9" x14ac:dyDescent="0.2">
      <c r="A329" s="1" t="str">
        <f>"ADCK1"</f>
        <v>ADCK1</v>
      </c>
      <c r="B329" t="s">
        <v>14</v>
      </c>
      <c r="C329" t="s">
        <v>41</v>
      </c>
      <c r="D329" t="s">
        <v>17</v>
      </c>
      <c r="E329" t="s">
        <v>12</v>
      </c>
      <c r="F329">
        <v>78266436</v>
      </c>
      <c r="G329">
        <v>78266487</v>
      </c>
      <c r="H329">
        <v>78266408</v>
      </c>
      <c r="I329">
        <v>78266424</v>
      </c>
    </row>
    <row r="330" spans="1:9" x14ac:dyDescent="0.2">
      <c r="A330" s="1" t="str">
        <f>"ADCK2"</f>
        <v>ADCK2</v>
      </c>
      <c r="B330" t="s">
        <v>14</v>
      </c>
      <c r="C330" t="s">
        <v>33</v>
      </c>
      <c r="D330" t="s">
        <v>17</v>
      </c>
      <c r="E330" t="s">
        <v>12</v>
      </c>
      <c r="F330">
        <v>140372703</v>
      </c>
      <c r="G330">
        <v>140372772</v>
      </c>
      <c r="H330">
        <v>140372885</v>
      </c>
      <c r="I330">
        <v>140372932</v>
      </c>
    </row>
    <row r="331" spans="1:9" x14ac:dyDescent="0.2">
      <c r="A331" s="1" t="str">
        <f>"ADCK3"</f>
        <v>ADCK3</v>
      </c>
      <c r="B331" t="s">
        <v>14</v>
      </c>
      <c r="C331" t="s">
        <v>19</v>
      </c>
      <c r="D331" t="s">
        <v>17</v>
      </c>
      <c r="E331" t="s">
        <v>12</v>
      </c>
      <c r="F331">
        <v>227127981</v>
      </c>
      <c r="G331">
        <v>227128012</v>
      </c>
      <c r="H331">
        <v>227128015</v>
      </c>
      <c r="I331">
        <v>227128032</v>
      </c>
    </row>
    <row r="332" spans="1:9" x14ac:dyDescent="0.2">
      <c r="A332" s="1" t="str">
        <f>"ADCK4"</f>
        <v>ADCK4</v>
      </c>
      <c r="B332" t="s">
        <v>14</v>
      </c>
      <c r="C332" t="s">
        <v>10</v>
      </c>
      <c r="D332" t="s">
        <v>11</v>
      </c>
      <c r="E332" t="s">
        <v>12</v>
      </c>
      <c r="F332">
        <v>41222775</v>
      </c>
      <c r="G332">
        <v>41222807</v>
      </c>
      <c r="H332">
        <v>41222775</v>
      </c>
      <c r="I332">
        <v>41222807</v>
      </c>
    </row>
    <row r="333" spans="1:9" x14ac:dyDescent="0.2">
      <c r="A333" s="1" t="str">
        <f>"ADCK5"</f>
        <v>ADCK5</v>
      </c>
      <c r="B333" t="s">
        <v>14</v>
      </c>
      <c r="C333" t="s">
        <v>30</v>
      </c>
      <c r="D333" t="s">
        <v>17</v>
      </c>
      <c r="E333" t="s">
        <v>12</v>
      </c>
      <c r="F333">
        <v>145597713</v>
      </c>
      <c r="G333">
        <v>145597775</v>
      </c>
      <c r="H333">
        <v>145596773</v>
      </c>
      <c r="I333">
        <v>145596778</v>
      </c>
    </row>
    <row r="334" spans="1:9" x14ac:dyDescent="0.2">
      <c r="A334" s="1" t="str">
        <f>"ADCY1"</f>
        <v>ADCY1</v>
      </c>
      <c r="B334" t="s">
        <v>14</v>
      </c>
      <c r="C334" t="s">
        <v>33</v>
      </c>
      <c r="D334" t="s">
        <v>17</v>
      </c>
      <c r="E334" t="s">
        <v>12</v>
      </c>
      <c r="F334">
        <v>45613958</v>
      </c>
      <c r="G334">
        <v>45614038</v>
      </c>
      <c r="H334">
        <v>45614264</v>
      </c>
      <c r="I334">
        <v>45614317</v>
      </c>
    </row>
    <row r="335" spans="1:9" x14ac:dyDescent="0.2">
      <c r="A335" s="1" t="str">
        <f>"ADCY10"</f>
        <v>ADCY10</v>
      </c>
      <c r="B335" t="s">
        <v>14</v>
      </c>
      <c r="C335" t="s">
        <v>19</v>
      </c>
      <c r="D335" t="s">
        <v>11</v>
      </c>
      <c r="E335" t="s">
        <v>12</v>
      </c>
      <c r="F335">
        <v>167883353</v>
      </c>
      <c r="G335">
        <v>167883377</v>
      </c>
      <c r="H335">
        <v>167883334</v>
      </c>
      <c r="I335">
        <v>167883352</v>
      </c>
    </row>
    <row r="336" spans="1:9" x14ac:dyDescent="0.2">
      <c r="A336" s="1" t="str">
        <f>"ADCY2"</f>
        <v>ADCY2</v>
      </c>
      <c r="B336" t="s">
        <v>14</v>
      </c>
      <c r="C336" t="s">
        <v>46</v>
      </c>
      <c r="D336" t="s">
        <v>17</v>
      </c>
      <c r="E336" t="s">
        <v>12</v>
      </c>
      <c r="F336">
        <v>7396141</v>
      </c>
      <c r="G336">
        <v>7396324</v>
      </c>
      <c r="H336">
        <v>7396141</v>
      </c>
      <c r="I336">
        <v>7396324</v>
      </c>
    </row>
    <row r="337" spans="1:9" x14ac:dyDescent="0.2">
      <c r="A337" s="1" t="str">
        <f>"ADCY3"</f>
        <v>ADCY3</v>
      </c>
      <c r="B337" t="s">
        <v>14</v>
      </c>
      <c r="C337" t="s">
        <v>26</v>
      </c>
      <c r="D337" t="s">
        <v>11</v>
      </c>
      <c r="E337" t="s">
        <v>12</v>
      </c>
      <c r="F337">
        <v>25143048</v>
      </c>
      <c r="G337">
        <v>25143140</v>
      </c>
      <c r="H337">
        <v>25143048</v>
      </c>
      <c r="I337">
        <v>25143140</v>
      </c>
    </row>
    <row r="338" spans="1:9" x14ac:dyDescent="0.2">
      <c r="A338" s="1" t="str">
        <f>"ADCY4"</f>
        <v>ADCY4</v>
      </c>
      <c r="B338" t="s">
        <v>14</v>
      </c>
      <c r="C338" t="s">
        <v>41</v>
      </c>
      <c r="D338" t="s">
        <v>11</v>
      </c>
      <c r="E338" t="s">
        <v>12</v>
      </c>
      <c r="F338">
        <v>24804269</v>
      </c>
      <c r="G338">
        <v>24804292</v>
      </c>
      <c r="H338">
        <v>24804295</v>
      </c>
      <c r="I338">
        <v>24804306</v>
      </c>
    </row>
    <row r="339" spans="1:9" x14ac:dyDescent="0.2">
      <c r="A339" s="1" t="str">
        <f>"ADCY5"</f>
        <v>ADCY5</v>
      </c>
      <c r="B339" t="s">
        <v>14</v>
      </c>
      <c r="C339" t="s">
        <v>22</v>
      </c>
      <c r="D339" t="s">
        <v>11</v>
      </c>
      <c r="E339" t="s">
        <v>12</v>
      </c>
      <c r="F339">
        <v>123168551</v>
      </c>
      <c r="G339">
        <v>123168642</v>
      </c>
      <c r="H339">
        <v>123168551</v>
      </c>
      <c r="I339">
        <v>123168642</v>
      </c>
    </row>
    <row r="340" spans="1:9" x14ac:dyDescent="0.2">
      <c r="A340" s="1" t="str">
        <f>"ADCY6"</f>
        <v>ADCY6</v>
      </c>
      <c r="B340" t="s">
        <v>14</v>
      </c>
      <c r="C340" t="s">
        <v>16</v>
      </c>
      <c r="D340" t="s">
        <v>11</v>
      </c>
      <c r="E340" t="s">
        <v>12</v>
      </c>
      <c r="F340">
        <v>49182783</v>
      </c>
      <c r="G340">
        <v>49182886</v>
      </c>
      <c r="H340">
        <v>49182891</v>
      </c>
      <c r="I340">
        <v>49182895</v>
      </c>
    </row>
    <row r="341" spans="1:9" x14ac:dyDescent="0.2">
      <c r="A341" s="1" t="str">
        <f>"ADCY7"</f>
        <v>ADCY7</v>
      </c>
      <c r="B341" t="s">
        <v>14</v>
      </c>
      <c r="C341" t="s">
        <v>31</v>
      </c>
      <c r="D341" t="s">
        <v>17</v>
      </c>
      <c r="E341" t="s">
        <v>12</v>
      </c>
      <c r="F341">
        <v>50300440</v>
      </c>
      <c r="G341">
        <v>50300485</v>
      </c>
      <c r="H341">
        <v>50300440</v>
      </c>
      <c r="I341">
        <v>50300485</v>
      </c>
    </row>
    <row r="342" spans="1:9" x14ac:dyDescent="0.2">
      <c r="A342" s="1" t="str">
        <f>"ADCY8"</f>
        <v>ADCY8</v>
      </c>
      <c r="B342" t="s">
        <v>14</v>
      </c>
      <c r="C342" t="s">
        <v>30</v>
      </c>
      <c r="D342" t="s">
        <v>11</v>
      </c>
      <c r="E342" t="s">
        <v>12</v>
      </c>
      <c r="F342">
        <v>132053091</v>
      </c>
      <c r="G342">
        <v>132053127</v>
      </c>
      <c r="H342">
        <v>132053091</v>
      </c>
      <c r="I342">
        <v>132053127</v>
      </c>
    </row>
    <row r="343" spans="1:9" x14ac:dyDescent="0.2">
      <c r="A343" s="1" t="str">
        <f>"ADCY9"</f>
        <v>ADCY9</v>
      </c>
      <c r="B343" t="s">
        <v>14</v>
      </c>
      <c r="C343" t="s">
        <v>31</v>
      </c>
      <c r="D343" t="s">
        <v>11</v>
      </c>
      <c r="E343" t="s">
        <v>12</v>
      </c>
      <c r="F343">
        <v>4166405</v>
      </c>
      <c r="G343">
        <v>4166470</v>
      </c>
      <c r="H343">
        <v>4166475</v>
      </c>
      <c r="I343">
        <v>4166552</v>
      </c>
    </row>
    <row r="344" spans="1:9" x14ac:dyDescent="0.2">
      <c r="A344" s="1" t="str">
        <f>"ADCYAP1"</f>
        <v>ADCYAP1</v>
      </c>
      <c r="B344" t="s">
        <v>14</v>
      </c>
      <c r="C344" t="s">
        <v>43</v>
      </c>
      <c r="D344" t="s">
        <v>17</v>
      </c>
      <c r="E344" t="s">
        <v>12</v>
      </c>
      <c r="F344">
        <v>904398</v>
      </c>
      <c r="G344">
        <v>904422</v>
      </c>
      <c r="H344">
        <v>904938</v>
      </c>
      <c r="I344">
        <v>904986</v>
      </c>
    </row>
    <row r="345" spans="1:9" x14ac:dyDescent="0.2">
      <c r="A345" s="1" t="str">
        <f>"ADCYAP1R1"</f>
        <v>ADCYAP1R1</v>
      </c>
      <c r="B345" t="s">
        <v>14</v>
      </c>
      <c r="C345" t="s">
        <v>33</v>
      </c>
      <c r="D345" t="s">
        <v>17</v>
      </c>
      <c r="E345" t="s">
        <v>12</v>
      </c>
      <c r="F345">
        <v>31091911</v>
      </c>
      <c r="G345">
        <v>31091992</v>
      </c>
      <c r="H345">
        <v>31092109</v>
      </c>
      <c r="I345">
        <v>31092140</v>
      </c>
    </row>
    <row r="346" spans="1:9" x14ac:dyDescent="0.2">
      <c r="A346" s="1" t="str">
        <f>"ADD1"</f>
        <v>ADD1</v>
      </c>
      <c r="B346" t="s">
        <v>14</v>
      </c>
      <c r="C346" t="s">
        <v>23</v>
      </c>
      <c r="D346" t="s">
        <v>17</v>
      </c>
      <c r="E346" t="s">
        <v>12</v>
      </c>
      <c r="F346">
        <v>2845547</v>
      </c>
      <c r="G346">
        <v>2845654</v>
      </c>
      <c r="H346">
        <v>2845655</v>
      </c>
      <c r="I346">
        <v>2845725</v>
      </c>
    </row>
    <row r="347" spans="1:9" x14ac:dyDescent="0.2">
      <c r="A347" s="1" t="str">
        <f>"ADD2"</f>
        <v>ADD2</v>
      </c>
      <c r="B347" t="s">
        <v>14</v>
      </c>
      <c r="C347" t="s">
        <v>26</v>
      </c>
      <c r="D347" t="s">
        <v>11</v>
      </c>
      <c r="E347" t="s">
        <v>12</v>
      </c>
      <c r="F347">
        <v>70995307</v>
      </c>
      <c r="G347">
        <v>70995339</v>
      </c>
      <c r="H347">
        <v>70995350</v>
      </c>
      <c r="I347">
        <v>70995375</v>
      </c>
    </row>
    <row r="348" spans="1:9" x14ac:dyDescent="0.2">
      <c r="A348" s="1" t="str">
        <f>"ADD3"</f>
        <v>ADD3</v>
      </c>
      <c r="B348" t="s">
        <v>14</v>
      </c>
      <c r="C348" t="s">
        <v>15</v>
      </c>
      <c r="D348" t="s">
        <v>17</v>
      </c>
      <c r="E348" t="s">
        <v>12</v>
      </c>
      <c r="F348">
        <v>111767726</v>
      </c>
      <c r="G348">
        <v>111767752</v>
      </c>
      <c r="H348">
        <v>111767980</v>
      </c>
      <c r="I348">
        <v>111767995</v>
      </c>
    </row>
    <row r="349" spans="1:9" x14ac:dyDescent="0.2">
      <c r="A349" s="1" t="str">
        <f>"ADGB"</f>
        <v>ADGB</v>
      </c>
      <c r="B349" t="s">
        <v>14</v>
      </c>
      <c r="C349" t="s">
        <v>32</v>
      </c>
      <c r="D349" t="s">
        <v>17</v>
      </c>
      <c r="E349" t="s">
        <v>12</v>
      </c>
      <c r="F349">
        <v>146920116</v>
      </c>
      <c r="G349">
        <v>146920150</v>
      </c>
      <c r="H349">
        <v>146920097</v>
      </c>
      <c r="I349">
        <v>146920113</v>
      </c>
    </row>
    <row r="350" spans="1:9" x14ac:dyDescent="0.2">
      <c r="A350" s="1" t="str">
        <f>"ADH1A"</f>
        <v>ADH1A</v>
      </c>
      <c r="B350" t="s">
        <v>14</v>
      </c>
      <c r="C350" t="s">
        <v>23</v>
      </c>
      <c r="D350" t="s">
        <v>11</v>
      </c>
      <c r="E350" t="s">
        <v>12</v>
      </c>
      <c r="F350">
        <v>100212132</v>
      </c>
      <c r="G350">
        <v>100212148</v>
      </c>
      <c r="H350">
        <v>100212132</v>
      </c>
      <c r="I350">
        <v>100212148</v>
      </c>
    </row>
    <row r="351" spans="1:9" x14ac:dyDescent="0.2">
      <c r="A351" s="1" t="str">
        <f>"ADH1B"</f>
        <v>ADH1B</v>
      </c>
      <c r="B351" t="s">
        <v>14</v>
      </c>
      <c r="C351" t="s">
        <v>23</v>
      </c>
      <c r="D351" t="s">
        <v>11</v>
      </c>
      <c r="E351" t="s">
        <v>12</v>
      </c>
      <c r="F351">
        <v>100242549</v>
      </c>
      <c r="G351">
        <v>100242564</v>
      </c>
      <c r="H351">
        <v>100242534</v>
      </c>
      <c r="I351">
        <v>100242546</v>
      </c>
    </row>
    <row r="352" spans="1:9" x14ac:dyDescent="0.2">
      <c r="A352" s="1" t="str">
        <f>"ADH1C"</f>
        <v>ADH1C</v>
      </c>
      <c r="B352" t="s">
        <v>14</v>
      </c>
      <c r="C352" t="s">
        <v>23</v>
      </c>
      <c r="D352" t="s">
        <v>11</v>
      </c>
      <c r="E352" t="s">
        <v>12</v>
      </c>
      <c r="F352">
        <v>100273894</v>
      </c>
      <c r="G352">
        <v>100273908</v>
      </c>
      <c r="H352">
        <v>100273911</v>
      </c>
      <c r="I352">
        <v>100273922</v>
      </c>
    </row>
    <row r="353" spans="1:9" x14ac:dyDescent="0.2">
      <c r="A353" s="1" t="str">
        <f>"ADH4"</f>
        <v>ADH4</v>
      </c>
      <c r="B353" t="s">
        <v>14</v>
      </c>
      <c r="C353" t="s">
        <v>23</v>
      </c>
      <c r="D353" t="s">
        <v>11</v>
      </c>
      <c r="E353" t="s">
        <v>12</v>
      </c>
      <c r="F353">
        <v>100065440</v>
      </c>
      <c r="G353">
        <v>100065463</v>
      </c>
      <c r="H353">
        <v>100065421</v>
      </c>
      <c r="I353">
        <v>100065434</v>
      </c>
    </row>
    <row r="354" spans="1:9" x14ac:dyDescent="0.2">
      <c r="A354" s="1" t="str">
        <f>"ADH5"</f>
        <v>ADH5</v>
      </c>
      <c r="B354" t="s">
        <v>14</v>
      </c>
      <c r="C354" t="s">
        <v>23</v>
      </c>
      <c r="D354" t="s">
        <v>11</v>
      </c>
      <c r="E354" t="s">
        <v>12</v>
      </c>
      <c r="F354">
        <v>100009856</v>
      </c>
      <c r="G354">
        <v>100009898</v>
      </c>
      <c r="H354">
        <v>100009856</v>
      </c>
      <c r="I354">
        <v>100009898</v>
      </c>
    </row>
    <row r="355" spans="1:9" x14ac:dyDescent="0.2">
      <c r="A355" s="1" t="str">
        <f>"ADH6"</f>
        <v>ADH6</v>
      </c>
      <c r="B355" t="s">
        <v>14</v>
      </c>
      <c r="C355" t="s">
        <v>23</v>
      </c>
      <c r="D355" t="s">
        <v>11</v>
      </c>
      <c r="E355" t="s">
        <v>12</v>
      </c>
      <c r="F355">
        <v>100140393</v>
      </c>
      <c r="G355">
        <v>100140409</v>
      </c>
      <c r="H355">
        <v>100140393</v>
      </c>
      <c r="I355">
        <v>100140409</v>
      </c>
    </row>
    <row r="356" spans="1:9" x14ac:dyDescent="0.2">
      <c r="A356" s="1" t="str">
        <f>"ADH7"</f>
        <v>ADH7</v>
      </c>
      <c r="B356" t="s">
        <v>14</v>
      </c>
      <c r="C356" t="s">
        <v>23</v>
      </c>
      <c r="D356" t="s">
        <v>11</v>
      </c>
      <c r="E356" t="s">
        <v>12</v>
      </c>
      <c r="F356">
        <v>100356453</v>
      </c>
      <c r="G356">
        <v>100356521</v>
      </c>
      <c r="H356">
        <v>100356551</v>
      </c>
      <c r="I356">
        <v>100356570</v>
      </c>
    </row>
    <row r="357" spans="1:9" x14ac:dyDescent="0.2">
      <c r="A357" s="1" t="str">
        <f>"ADHFE1"</f>
        <v>ADHFE1</v>
      </c>
      <c r="B357" t="s">
        <v>14</v>
      </c>
      <c r="C357" t="s">
        <v>30</v>
      </c>
      <c r="D357" t="s">
        <v>17</v>
      </c>
      <c r="E357" t="s">
        <v>12</v>
      </c>
      <c r="F357">
        <v>67344710</v>
      </c>
      <c r="G357">
        <v>67344750</v>
      </c>
      <c r="H357">
        <v>67344710</v>
      </c>
      <c r="I357">
        <v>67344750</v>
      </c>
    </row>
    <row r="358" spans="1:9" x14ac:dyDescent="0.2">
      <c r="A358" s="1" t="str">
        <f>"ADI1"</f>
        <v>ADI1</v>
      </c>
      <c r="B358" t="s">
        <v>14</v>
      </c>
      <c r="C358" t="s">
        <v>26</v>
      </c>
      <c r="D358" t="s">
        <v>11</v>
      </c>
      <c r="E358" t="s">
        <v>12</v>
      </c>
      <c r="F358">
        <v>3523272</v>
      </c>
      <c r="G358">
        <v>3523313</v>
      </c>
      <c r="H358">
        <v>3523318</v>
      </c>
      <c r="I358">
        <v>3523334</v>
      </c>
    </row>
    <row r="359" spans="1:9" x14ac:dyDescent="0.2">
      <c r="A359" s="1" t="str">
        <f>"ADIG"</f>
        <v>ADIG</v>
      </c>
      <c r="B359" t="s">
        <v>14</v>
      </c>
      <c r="C359" t="s">
        <v>29</v>
      </c>
      <c r="D359" t="s">
        <v>17</v>
      </c>
      <c r="E359" t="s">
        <v>12</v>
      </c>
      <c r="F359">
        <v>37209820</v>
      </c>
      <c r="G359">
        <v>37209846</v>
      </c>
      <c r="H359">
        <v>37209892</v>
      </c>
      <c r="I359">
        <v>37209908</v>
      </c>
    </row>
    <row r="360" spans="1:9" x14ac:dyDescent="0.2">
      <c r="A360" s="1" t="str">
        <f>"ADIPOQ"</f>
        <v>ADIPOQ</v>
      </c>
      <c r="B360" t="s">
        <v>14</v>
      </c>
      <c r="C360" t="s">
        <v>22</v>
      </c>
      <c r="D360" t="s">
        <v>17</v>
      </c>
      <c r="E360" t="s">
        <v>12</v>
      </c>
      <c r="F360">
        <v>186560476</v>
      </c>
      <c r="G360">
        <v>186560505</v>
      </c>
      <c r="H360">
        <v>186560462</v>
      </c>
      <c r="I360">
        <v>186560473</v>
      </c>
    </row>
    <row r="361" spans="1:9" x14ac:dyDescent="0.2">
      <c r="A361" s="1" t="str">
        <f>"ADIPOR1"</f>
        <v>ADIPOR1</v>
      </c>
      <c r="B361" t="s">
        <v>14</v>
      </c>
      <c r="C361" t="s">
        <v>19</v>
      </c>
      <c r="D361" t="s">
        <v>11</v>
      </c>
      <c r="E361" t="s">
        <v>12</v>
      </c>
      <c r="F361">
        <v>202927388</v>
      </c>
      <c r="G361">
        <v>202927448</v>
      </c>
      <c r="H361">
        <v>202927458</v>
      </c>
      <c r="I361">
        <v>202927487</v>
      </c>
    </row>
    <row r="362" spans="1:9" x14ac:dyDescent="0.2">
      <c r="A362" s="1" t="str">
        <f>"ADIPOR2"</f>
        <v>ADIPOR2</v>
      </c>
      <c r="B362" t="s">
        <v>14</v>
      </c>
      <c r="C362" t="s">
        <v>16</v>
      </c>
      <c r="D362" t="s">
        <v>17</v>
      </c>
      <c r="E362" t="s">
        <v>12</v>
      </c>
      <c r="F362">
        <v>1800179</v>
      </c>
      <c r="G362">
        <v>1800250</v>
      </c>
      <c r="H362">
        <v>1800179</v>
      </c>
      <c r="I362">
        <v>1800250</v>
      </c>
    </row>
    <row r="363" spans="1:9" x14ac:dyDescent="0.2">
      <c r="A363" s="1" t="str">
        <f>"ADIRF"</f>
        <v>ADIRF</v>
      </c>
      <c r="B363" t="s">
        <v>14</v>
      </c>
      <c r="C363" t="s">
        <v>15</v>
      </c>
      <c r="D363" t="s">
        <v>17</v>
      </c>
      <c r="E363" t="s">
        <v>12</v>
      </c>
      <c r="F363">
        <v>88728230</v>
      </c>
      <c r="G363">
        <v>88728245</v>
      </c>
      <c r="H363">
        <v>88727975</v>
      </c>
      <c r="I363">
        <v>88728015</v>
      </c>
    </row>
    <row r="364" spans="1:9" x14ac:dyDescent="0.2">
      <c r="A364" s="1" t="str">
        <f>"ADK"</f>
        <v>ADK</v>
      </c>
      <c r="B364" t="s">
        <v>9</v>
      </c>
      <c r="C364" t="s">
        <v>15</v>
      </c>
      <c r="D364" t="s">
        <v>17</v>
      </c>
      <c r="E364" t="s">
        <v>12</v>
      </c>
      <c r="F364">
        <v>75936500</v>
      </c>
      <c r="G364">
        <v>75936537</v>
      </c>
      <c r="H364">
        <v>75936500</v>
      </c>
      <c r="I364">
        <v>75936537</v>
      </c>
    </row>
    <row r="365" spans="1:9" x14ac:dyDescent="0.2">
      <c r="A365" s="1" t="str">
        <f>"ADK"</f>
        <v>ADK</v>
      </c>
      <c r="B365" t="s">
        <v>13</v>
      </c>
      <c r="C365" t="s">
        <v>15</v>
      </c>
      <c r="D365" t="s">
        <v>17</v>
      </c>
      <c r="E365" t="s">
        <v>12</v>
      </c>
      <c r="F365">
        <v>75910969</v>
      </c>
      <c r="G365">
        <v>75910989</v>
      </c>
      <c r="H365">
        <v>75910969</v>
      </c>
      <c r="I365">
        <v>75910989</v>
      </c>
    </row>
    <row r="366" spans="1:9" x14ac:dyDescent="0.2">
      <c r="A366" s="1" t="str">
        <f>"ADM"</f>
        <v>ADM</v>
      </c>
      <c r="B366" t="s">
        <v>14</v>
      </c>
      <c r="C366" t="s">
        <v>27</v>
      </c>
      <c r="D366" t="s">
        <v>17</v>
      </c>
      <c r="E366" t="s">
        <v>12</v>
      </c>
      <c r="F366">
        <v>10326612</v>
      </c>
      <c r="G366">
        <v>10326630</v>
      </c>
      <c r="H366">
        <v>10327206</v>
      </c>
      <c r="I366">
        <v>10327237</v>
      </c>
    </row>
    <row r="367" spans="1:9" x14ac:dyDescent="0.2">
      <c r="A367" s="1" t="str">
        <f>"ADM2"</f>
        <v>ADM2</v>
      </c>
      <c r="B367" t="s">
        <v>14</v>
      </c>
      <c r="C367" t="s">
        <v>21</v>
      </c>
      <c r="D367" t="s">
        <v>17</v>
      </c>
      <c r="E367" t="s">
        <v>12</v>
      </c>
      <c r="F367">
        <v>50919944</v>
      </c>
      <c r="G367">
        <v>50919990</v>
      </c>
      <c r="H367">
        <v>50919995</v>
      </c>
      <c r="I367">
        <v>50920015</v>
      </c>
    </row>
    <row r="368" spans="1:9" x14ac:dyDescent="0.2">
      <c r="A368" s="1" t="str">
        <f>"ADM5"</f>
        <v>ADM5</v>
      </c>
      <c r="B368" t="s">
        <v>14</v>
      </c>
      <c r="C368" t="s">
        <v>10</v>
      </c>
      <c r="D368" t="s">
        <v>17</v>
      </c>
      <c r="E368" t="s">
        <v>12</v>
      </c>
      <c r="F368">
        <v>50191618</v>
      </c>
      <c r="G368">
        <v>50191639</v>
      </c>
      <c r="H368">
        <v>50191618</v>
      </c>
      <c r="I368">
        <v>50191639</v>
      </c>
    </row>
    <row r="369" spans="1:9" x14ac:dyDescent="0.2">
      <c r="A369" s="1" t="str">
        <f>"ADNP"</f>
        <v>ADNP</v>
      </c>
      <c r="B369" t="s">
        <v>14</v>
      </c>
      <c r="C369" t="s">
        <v>29</v>
      </c>
      <c r="D369" t="s">
        <v>11</v>
      </c>
      <c r="E369" t="s">
        <v>12</v>
      </c>
      <c r="F369">
        <v>49547910</v>
      </c>
      <c r="G369">
        <v>49547988</v>
      </c>
      <c r="H369">
        <v>49547691</v>
      </c>
      <c r="I369">
        <v>49547724</v>
      </c>
    </row>
    <row r="370" spans="1:9" x14ac:dyDescent="0.2">
      <c r="A370" s="1" t="str">
        <f>"ADNP2"</f>
        <v>ADNP2</v>
      </c>
      <c r="B370" t="s">
        <v>14</v>
      </c>
      <c r="C370" t="s">
        <v>43</v>
      </c>
      <c r="D370" t="s">
        <v>17</v>
      </c>
      <c r="E370" t="s">
        <v>12</v>
      </c>
      <c r="F370">
        <v>77867139</v>
      </c>
      <c r="G370">
        <v>77867176</v>
      </c>
      <c r="H370">
        <v>77867121</v>
      </c>
      <c r="I370">
        <v>77867138</v>
      </c>
    </row>
    <row r="371" spans="1:9" x14ac:dyDescent="0.2">
      <c r="A371" s="1" t="str">
        <f>"ADO"</f>
        <v>ADO</v>
      </c>
      <c r="B371" t="s">
        <v>14</v>
      </c>
      <c r="C371" t="s">
        <v>15</v>
      </c>
      <c r="D371" t="s">
        <v>17</v>
      </c>
      <c r="E371" t="s">
        <v>12</v>
      </c>
      <c r="F371">
        <v>64564589</v>
      </c>
      <c r="G371">
        <v>64564715</v>
      </c>
      <c r="H371">
        <v>64564469</v>
      </c>
      <c r="I371">
        <v>64564535</v>
      </c>
    </row>
    <row r="372" spans="1:9" x14ac:dyDescent="0.2">
      <c r="A372" s="1" t="str">
        <f>"ADORA1"</f>
        <v>ADORA1</v>
      </c>
      <c r="B372" t="s">
        <v>14</v>
      </c>
      <c r="C372" t="s">
        <v>19</v>
      </c>
      <c r="D372" t="s">
        <v>17</v>
      </c>
      <c r="E372" t="s">
        <v>12</v>
      </c>
      <c r="F372">
        <v>203097407</v>
      </c>
      <c r="G372">
        <v>203097476</v>
      </c>
      <c r="H372">
        <v>203096831</v>
      </c>
      <c r="I372">
        <v>203096864</v>
      </c>
    </row>
    <row r="373" spans="1:9" x14ac:dyDescent="0.2">
      <c r="A373" s="1" t="str">
        <f>"ADORA2A"</f>
        <v>ADORA2A</v>
      </c>
      <c r="B373" t="s">
        <v>14</v>
      </c>
      <c r="C373" t="s">
        <v>21</v>
      </c>
      <c r="D373" t="s">
        <v>17</v>
      </c>
      <c r="E373" t="s">
        <v>12</v>
      </c>
      <c r="F373">
        <v>24819852</v>
      </c>
      <c r="G373">
        <v>24819917</v>
      </c>
      <c r="H373">
        <v>24819591</v>
      </c>
      <c r="I373">
        <v>24819608</v>
      </c>
    </row>
    <row r="374" spans="1:9" x14ac:dyDescent="0.2">
      <c r="A374" s="1" t="str">
        <f>"ADORA2B"</f>
        <v>ADORA2B</v>
      </c>
      <c r="B374" t="s">
        <v>14</v>
      </c>
      <c r="C374" t="s">
        <v>28</v>
      </c>
      <c r="D374" t="s">
        <v>17</v>
      </c>
      <c r="E374" t="s">
        <v>12</v>
      </c>
      <c r="F374">
        <v>15848544</v>
      </c>
      <c r="G374">
        <v>15848624</v>
      </c>
      <c r="H374">
        <v>15848414</v>
      </c>
      <c r="I374">
        <v>15848452</v>
      </c>
    </row>
    <row r="375" spans="1:9" x14ac:dyDescent="0.2">
      <c r="A375" s="1" t="str">
        <f>"ADORA3"</f>
        <v>ADORA3</v>
      </c>
      <c r="B375" t="s">
        <v>9</v>
      </c>
      <c r="C375" t="s">
        <v>19</v>
      </c>
      <c r="D375" t="s">
        <v>11</v>
      </c>
      <c r="E375" t="s">
        <v>12</v>
      </c>
      <c r="F375">
        <v>112031415</v>
      </c>
      <c r="G375">
        <v>112031459</v>
      </c>
      <c r="H375">
        <v>112031415</v>
      </c>
      <c r="I375">
        <v>112031459</v>
      </c>
    </row>
    <row r="376" spans="1:9" x14ac:dyDescent="0.2">
      <c r="A376" s="1" t="str">
        <f>"ADORA3"</f>
        <v>ADORA3</v>
      </c>
      <c r="B376" t="s">
        <v>13</v>
      </c>
      <c r="C376" t="s">
        <v>19</v>
      </c>
      <c r="D376" t="s">
        <v>11</v>
      </c>
      <c r="E376" t="s">
        <v>12</v>
      </c>
      <c r="F376">
        <v>112046289</v>
      </c>
      <c r="G376">
        <v>112046341</v>
      </c>
      <c r="H376">
        <v>112046289</v>
      </c>
      <c r="I376">
        <v>112046341</v>
      </c>
    </row>
    <row r="377" spans="1:9" x14ac:dyDescent="0.2">
      <c r="A377" s="1" t="str">
        <f>"ADPGK"</f>
        <v>ADPGK</v>
      </c>
      <c r="B377" t="s">
        <v>14</v>
      </c>
      <c r="C377" t="s">
        <v>25</v>
      </c>
      <c r="D377" t="s">
        <v>11</v>
      </c>
      <c r="E377" t="s">
        <v>12</v>
      </c>
      <c r="F377">
        <v>73076030</v>
      </c>
      <c r="G377">
        <v>73076121</v>
      </c>
      <c r="H377">
        <v>73075964</v>
      </c>
      <c r="I377">
        <v>73075980</v>
      </c>
    </row>
    <row r="378" spans="1:9" x14ac:dyDescent="0.2">
      <c r="A378" s="1" t="str">
        <f>"ADPRH"</f>
        <v>ADPRH</v>
      </c>
      <c r="B378" t="s">
        <v>14</v>
      </c>
      <c r="C378" t="s">
        <v>22</v>
      </c>
      <c r="D378" t="s">
        <v>17</v>
      </c>
      <c r="E378" t="s">
        <v>12</v>
      </c>
      <c r="F378">
        <v>119298575</v>
      </c>
      <c r="G378">
        <v>119298644</v>
      </c>
      <c r="H378">
        <v>119298314</v>
      </c>
      <c r="I378">
        <v>119298392</v>
      </c>
    </row>
    <row r="379" spans="1:9" x14ac:dyDescent="0.2">
      <c r="A379" s="1" t="str">
        <f>"ADPRHL1"</f>
        <v>ADPRHL1</v>
      </c>
      <c r="B379" t="s">
        <v>9</v>
      </c>
      <c r="C379" t="s">
        <v>39</v>
      </c>
      <c r="D379" t="s">
        <v>11</v>
      </c>
      <c r="E379" t="s">
        <v>12</v>
      </c>
      <c r="F379">
        <v>114107795</v>
      </c>
      <c r="G379">
        <v>114107810</v>
      </c>
      <c r="H379">
        <v>114107795</v>
      </c>
      <c r="I379">
        <v>114107810</v>
      </c>
    </row>
    <row r="380" spans="1:9" x14ac:dyDescent="0.2">
      <c r="A380" s="1" t="str">
        <f>"ADPRHL1"</f>
        <v>ADPRHL1</v>
      </c>
      <c r="B380" t="s">
        <v>13</v>
      </c>
      <c r="C380" t="s">
        <v>39</v>
      </c>
      <c r="D380" t="s">
        <v>11</v>
      </c>
      <c r="E380" t="s">
        <v>12</v>
      </c>
      <c r="F380">
        <v>114103443</v>
      </c>
      <c r="G380">
        <v>114103479</v>
      </c>
      <c r="H380">
        <v>114103443</v>
      </c>
      <c r="I380">
        <v>114103479</v>
      </c>
    </row>
    <row r="381" spans="1:9" x14ac:dyDescent="0.2">
      <c r="A381" s="1" t="str">
        <f>"ADPRHL2"</f>
        <v>ADPRHL2</v>
      </c>
      <c r="B381" t="s">
        <v>14</v>
      </c>
      <c r="C381" t="s">
        <v>19</v>
      </c>
      <c r="D381" t="s">
        <v>17</v>
      </c>
      <c r="E381" t="s">
        <v>12</v>
      </c>
      <c r="F381">
        <v>36554470</v>
      </c>
      <c r="G381">
        <v>36554519</v>
      </c>
      <c r="H381">
        <v>36554470</v>
      </c>
      <c r="I381">
        <v>36554519</v>
      </c>
    </row>
    <row r="382" spans="1:9" x14ac:dyDescent="0.2">
      <c r="A382" s="1" t="str">
        <f>"ADPRM"</f>
        <v>ADPRM</v>
      </c>
      <c r="B382" t="s">
        <v>14</v>
      </c>
      <c r="C382" t="s">
        <v>28</v>
      </c>
      <c r="D382" t="s">
        <v>17</v>
      </c>
      <c r="E382" t="s">
        <v>12</v>
      </c>
      <c r="F382">
        <v>10600894</v>
      </c>
      <c r="G382">
        <v>10600974</v>
      </c>
      <c r="H382">
        <v>10600894</v>
      </c>
      <c r="I382">
        <v>10600974</v>
      </c>
    </row>
    <row r="383" spans="1:9" x14ac:dyDescent="0.2">
      <c r="A383" s="1" t="str">
        <f>"ADRA1A"</f>
        <v>ADRA1A</v>
      </c>
      <c r="B383" t="s">
        <v>14</v>
      </c>
      <c r="C383" t="s">
        <v>30</v>
      </c>
      <c r="D383" t="s">
        <v>11</v>
      </c>
      <c r="E383" t="s">
        <v>12</v>
      </c>
      <c r="F383">
        <v>26724784</v>
      </c>
      <c r="G383">
        <v>26724800</v>
      </c>
      <c r="H383">
        <v>26724808</v>
      </c>
      <c r="I383">
        <v>26724819</v>
      </c>
    </row>
    <row r="384" spans="1:9" x14ac:dyDescent="0.2">
      <c r="A384" s="1" t="str">
        <f>"ADRA1B"</f>
        <v>ADRA1B</v>
      </c>
      <c r="B384" t="s">
        <v>14</v>
      </c>
      <c r="C384" t="s">
        <v>46</v>
      </c>
      <c r="D384" t="s">
        <v>17</v>
      </c>
      <c r="E384" t="s">
        <v>12</v>
      </c>
      <c r="F384">
        <v>159343481</v>
      </c>
      <c r="G384">
        <v>159343528</v>
      </c>
      <c r="H384">
        <v>159343688</v>
      </c>
      <c r="I384">
        <v>159343754</v>
      </c>
    </row>
    <row r="385" spans="1:9" x14ac:dyDescent="0.2">
      <c r="A385" s="1" t="str">
        <f>"ADRA1D"</f>
        <v>ADRA1D</v>
      </c>
      <c r="B385" t="s">
        <v>14</v>
      </c>
      <c r="C385" t="s">
        <v>29</v>
      </c>
      <c r="D385" t="s">
        <v>11</v>
      </c>
      <c r="E385" t="s">
        <v>12</v>
      </c>
      <c r="F385">
        <v>4229843</v>
      </c>
      <c r="G385">
        <v>4229952</v>
      </c>
      <c r="H385">
        <v>4229240</v>
      </c>
      <c r="I385">
        <v>4229260</v>
      </c>
    </row>
    <row r="386" spans="1:9" x14ac:dyDescent="0.2">
      <c r="A386" s="1" t="str">
        <f>"ADRA2A"</f>
        <v>ADRA2A</v>
      </c>
      <c r="B386" t="s">
        <v>14</v>
      </c>
      <c r="C386" t="s">
        <v>15</v>
      </c>
      <c r="D386" t="s">
        <v>17</v>
      </c>
      <c r="E386" t="s">
        <v>12</v>
      </c>
      <c r="F386">
        <v>112836779</v>
      </c>
      <c r="G386">
        <v>112836797</v>
      </c>
      <c r="H386">
        <v>112836760</v>
      </c>
      <c r="I386">
        <v>112836771</v>
      </c>
    </row>
    <row r="387" spans="1:9" x14ac:dyDescent="0.2">
      <c r="A387" s="1" t="str">
        <f>"ADRA2B"</f>
        <v>ADRA2B</v>
      </c>
      <c r="B387" t="s">
        <v>14</v>
      </c>
      <c r="C387" t="s">
        <v>26</v>
      </c>
      <c r="D387" t="s">
        <v>11</v>
      </c>
      <c r="E387" t="s">
        <v>12</v>
      </c>
      <c r="F387">
        <v>96782304</v>
      </c>
      <c r="G387">
        <v>96782315</v>
      </c>
      <c r="H387">
        <v>96782304</v>
      </c>
      <c r="I387">
        <v>96782315</v>
      </c>
    </row>
    <row r="388" spans="1:9" x14ac:dyDescent="0.2">
      <c r="A388" s="1" t="str">
        <f>"ADRA2C"</f>
        <v>ADRA2C</v>
      </c>
      <c r="B388" t="s">
        <v>14</v>
      </c>
      <c r="C388" t="s">
        <v>23</v>
      </c>
      <c r="D388" t="s">
        <v>17</v>
      </c>
      <c r="E388" t="s">
        <v>12</v>
      </c>
      <c r="F388">
        <v>3767633</v>
      </c>
      <c r="G388">
        <v>3767648</v>
      </c>
      <c r="H388">
        <v>3768100</v>
      </c>
      <c r="I388">
        <v>3768123</v>
      </c>
    </row>
    <row r="389" spans="1:9" x14ac:dyDescent="0.2">
      <c r="A389" s="1" t="str">
        <f>"ADRB1"</f>
        <v>ADRB1</v>
      </c>
      <c r="B389" t="s">
        <v>14</v>
      </c>
      <c r="C389" t="s">
        <v>15</v>
      </c>
      <c r="D389" t="s">
        <v>17</v>
      </c>
      <c r="E389" t="s">
        <v>12</v>
      </c>
      <c r="F389">
        <v>115803618</v>
      </c>
      <c r="G389">
        <v>115803641</v>
      </c>
      <c r="H389">
        <v>115803583</v>
      </c>
      <c r="I389">
        <v>115803609</v>
      </c>
    </row>
    <row r="390" spans="1:9" x14ac:dyDescent="0.2">
      <c r="A390" s="1" t="str">
        <f>"ADRB2"</f>
        <v>ADRB2</v>
      </c>
      <c r="B390" t="s">
        <v>14</v>
      </c>
      <c r="C390" t="s">
        <v>46</v>
      </c>
      <c r="D390" t="s">
        <v>17</v>
      </c>
      <c r="E390" t="s">
        <v>12</v>
      </c>
      <c r="F390">
        <v>148206163</v>
      </c>
      <c r="G390">
        <v>148206201</v>
      </c>
      <c r="H390">
        <v>148206163</v>
      </c>
      <c r="I390">
        <v>148206201</v>
      </c>
    </row>
    <row r="391" spans="1:9" x14ac:dyDescent="0.2">
      <c r="A391" s="1" t="str">
        <f>"ADRB3"</f>
        <v>ADRB3</v>
      </c>
      <c r="B391" t="s">
        <v>14</v>
      </c>
      <c r="C391" t="s">
        <v>30</v>
      </c>
      <c r="D391" t="s">
        <v>11</v>
      </c>
      <c r="E391" t="s">
        <v>12</v>
      </c>
      <c r="F391">
        <v>37824101</v>
      </c>
      <c r="G391">
        <v>37824132</v>
      </c>
      <c r="H391">
        <v>37823243</v>
      </c>
      <c r="I391">
        <v>37823261</v>
      </c>
    </row>
    <row r="392" spans="1:9" x14ac:dyDescent="0.2">
      <c r="A392" s="1" t="str">
        <f>"ADRBK1"</f>
        <v>ADRBK1</v>
      </c>
      <c r="B392" t="s">
        <v>14</v>
      </c>
      <c r="C392" t="s">
        <v>27</v>
      </c>
      <c r="D392" t="s">
        <v>17</v>
      </c>
      <c r="E392" t="s">
        <v>12</v>
      </c>
      <c r="F392">
        <v>67033909</v>
      </c>
      <c r="G392">
        <v>67033950</v>
      </c>
      <c r="H392">
        <v>67034140</v>
      </c>
      <c r="I392">
        <v>67034180</v>
      </c>
    </row>
    <row r="393" spans="1:9" x14ac:dyDescent="0.2">
      <c r="A393" s="1" t="str">
        <f>"ADRBK2"</f>
        <v>ADRBK2</v>
      </c>
      <c r="B393" t="s">
        <v>14</v>
      </c>
      <c r="C393" t="s">
        <v>21</v>
      </c>
      <c r="D393" t="s">
        <v>17</v>
      </c>
      <c r="E393" t="s">
        <v>12</v>
      </c>
      <c r="F393">
        <v>25960595</v>
      </c>
      <c r="G393">
        <v>25960655</v>
      </c>
      <c r="H393">
        <v>25960786</v>
      </c>
      <c r="I393">
        <v>25960854</v>
      </c>
    </row>
    <row r="394" spans="1:9" x14ac:dyDescent="0.2">
      <c r="A394" s="1" t="str">
        <f>"ADRM1"</f>
        <v>ADRM1</v>
      </c>
      <c r="B394" t="s">
        <v>14</v>
      </c>
      <c r="C394" t="s">
        <v>29</v>
      </c>
      <c r="D394" t="s">
        <v>17</v>
      </c>
      <c r="E394" t="s">
        <v>12</v>
      </c>
      <c r="F394">
        <v>60878005</v>
      </c>
      <c r="G394">
        <v>60878086</v>
      </c>
      <c r="H394">
        <v>60877101</v>
      </c>
      <c r="I394">
        <v>60877143</v>
      </c>
    </row>
    <row r="395" spans="1:9" x14ac:dyDescent="0.2">
      <c r="A395" s="1" t="str">
        <f>"ADSL"</f>
        <v>ADSL</v>
      </c>
      <c r="B395" t="s">
        <v>14</v>
      </c>
      <c r="C395" t="s">
        <v>21</v>
      </c>
      <c r="D395" t="s">
        <v>17</v>
      </c>
      <c r="E395" t="s">
        <v>12</v>
      </c>
      <c r="F395">
        <v>40742512</v>
      </c>
      <c r="G395">
        <v>40742543</v>
      </c>
      <c r="H395">
        <v>40742497</v>
      </c>
      <c r="I395">
        <v>40742511</v>
      </c>
    </row>
    <row r="396" spans="1:9" x14ac:dyDescent="0.2">
      <c r="A396" s="1" t="str">
        <f>"ADSS"</f>
        <v>ADSS</v>
      </c>
      <c r="B396" t="s">
        <v>14</v>
      </c>
      <c r="C396" t="s">
        <v>19</v>
      </c>
      <c r="D396" t="s">
        <v>11</v>
      </c>
      <c r="E396" t="s">
        <v>12</v>
      </c>
      <c r="F396">
        <v>244615199</v>
      </c>
      <c r="G396">
        <v>244615238</v>
      </c>
      <c r="H396">
        <v>244615163</v>
      </c>
      <c r="I396">
        <v>244615196</v>
      </c>
    </row>
    <row r="397" spans="1:9" x14ac:dyDescent="0.2">
      <c r="A397" s="1" t="str">
        <f>"ADSSL1"</f>
        <v>ADSSL1</v>
      </c>
      <c r="B397" t="s">
        <v>14</v>
      </c>
      <c r="C397" t="s">
        <v>41</v>
      </c>
      <c r="D397" t="s">
        <v>17</v>
      </c>
      <c r="E397" t="s">
        <v>12</v>
      </c>
      <c r="F397">
        <v>105190558</v>
      </c>
      <c r="G397">
        <v>105190573</v>
      </c>
      <c r="H397">
        <v>105190530</v>
      </c>
      <c r="I397">
        <v>105190548</v>
      </c>
    </row>
    <row r="398" spans="1:9" x14ac:dyDescent="0.2">
      <c r="A398" s="1" t="str">
        <f>"ADTRP"</f>
        <v>ADTRP</v>
      </c>
      <c r="B398" t="s">
        <v>14</v>
      </c>
      <c r="C398" t="s">
        <v>32</v>
      </c>
      <c r="D398" t="s">
        <v>11</v>
      </c>
      <c r="E398" t="s">
        <v>12</v>
      </c>
      <c r="F398">
        <v>11779014</v>
      </c>
      <c r="G398">
        <v>11779065</v>
      </c>
      <c r="H398">
        <v>11779014</v>
      </c>
      <c r="I398">
        <v>11779065</v>
      </c>
    </row>
    <row r="399" spans="1:9" x14ac:dyDescent="0.2">
      <c r="A399" s="1" t="str">
        <f>"AEBP1"</f>
        <v>AEBP1</v>
      </c>
      <c r="B399" t="s">
        <v>14</v>
      </c>
      <c r="C399" t="s">
        <v>33</v>
      </c>
      <c r="D399" t="s">
        <v>17</v>
      </c>
      <c r="E399" t="s">
        <v>12</v>
      </c>
      <c r="F399">
        <v>44143925</v>
      </c>
      <c r="G399">
        <v>44143970</v>
      </c>
      <c r="H399">
        <v>44143978</v>
      </c>
      <c r="I399">
        <v>44143989</v>
      </c>
    </row>
    <row r="400" spans="1:9" x14ac:dyDescent="0.2">
      <c r="A400" s="1" t="str">
        <f>"AEBP2"</f>
        <v>AEBP2</v>
      </c>
      <c r="B400" t="s">
        <v>14</v>
      </c>
      <c r="C400" t="s">
        <v>16</v>
      </c>
      <c r="D400" t="s">
        <v>17</v>
      </c>
      <c r="E400" t="s">
        <v>12</v>
      </c>
      <c r="F400">
        <v>19592602</v>
      </c>
      <c r="G400">
        <v>19592648</v>
      </c>
      <c r="H400">
        <v>19592405</v>
      </c>
      <c r="I400">
        <v>19592492</v>
      </c>
    </row>
    <row r="401" spans="1:9" x14ac:dyDescent="0.2">
      <c r="A401" s="1" t="str">
        <f>"AEN"</f>
        <v>AEN</v>
      </c>
      <c r="B401" t="s">
        <v>14</v>
      </c>
      <c r="C401" t="s">
        <v>25</v>
      </c>
      <c r="D401" t="s">
        <v>17</v>
      </c>
      <c r="E401" t="s">
        <v>12</v>
      </c>
      <c r="F401">
        <v>89164560</v>
      </c>
      <c r="G401">
        <v>89164599</v>
      </c>
      <c r="H401">
        <v>89164520</v>
      </c>
      <c r="I401">
        <v>89164559</v>
      </c>
    </row>
    <row r="402" spans="1:9" x14ac:dyDescent="0.2">
      <c r="A402" s="1" t="str">
        <f>"AES"</f>
        <v>AES</v>
      </c>
      <c r="B402" t="s">
        <v>14</v>
      </c>
      <c r="C402" t="s">
        <v>10</v>
      </c>
      <c r="D402" t="s">
        <v>11</v>
      </c>
      <c r="E402" t="s">
        <v>12</v>
      </c>
      <c r="F402">
        <v>3062465</v>
      </c>
      <c r="G402">
        <v>3062574</v>
      </c>
      <c r="H402">
        <v>3062275</v>
      </c>
      <c r="I402">
        <v>3062375</v>
      </c>
    </row>
    <row r="403" spans="1:9" x14ac:dyDescent="0.2">
      <c r="A403" s="1" t="str">
        <f>"AFAP1"</f>
        <v>AFAP1</v>
      </c>
      <c r="B403" t="s">
        <v>14</v>
      </c>
      <c r="C403" t="s">
        <v>23</v>
      </c>
      <c r="D403" t="s">
        <v>11</v>
      </c>
      <c r="E403" t="s">
        <v>12</v>
      </c>
      <c r="F403">
        <v>7941518</v>
      </c>
      <c r="G403">
        <v>7941593</v>
      </c>
      <c r="H403">
        <v>7941440</v>
      </c>
      <c r="I403">
        <v>7941455</v>
      </c>
    </row>
    <row r="404" spans="1:9" x14ac:dyDescent="0.2">
      <c r="A404" s="1" t="str">
        <f>"AFAP1L1"</f>
        <v>AFAP1L1</v>
      </c>
      <c r="B404" t="s">
        <v>14</v>
      </c>
      <c r="C404" t="s">
        <v>46</v>
      </c>
      <c r="D404" t="s">
        <v>17</v>
      </c>
      <c r="E404" t="s">
        <v>12</v>
      </c>
      <c r="F404">
        <v>148651409</v>
      </c>
      <c r="G404">
        <v>148651467</v>
      </c>
      <c r="H404">
        <v>148651469</v>
      </c>
      <c r="I404">
        <v>148651480</v>
      </c>
    </row>
    <row r="405" spans="1:9" x14ac:dyDescent="0.2">
      <c r="A405" s="1" t="str">
        <f>"AFAP1L2"</f>
        <v>AFAP1L2</v>
      </c>
      <c r="B405" t="s">
        <v>14</v>
      </c>
      <c r="C405" t="s">
        <v>15</v>
      </c>
      <c r="D405" t="s">
        <v>11</v>
      </c>
      <c r="E405" t="s">
        <v>12</v>
      </c>
      <c r="F405">
        <v>116164244</v>
      </c>
      <c r="G405">
        <v>116164268</v>
      </c>
      <c r="H405">
        <v>116164270</v>
      </c>
      <c r="I405">
        <v>116164290</v>
      </c>
    </row>
    <row r="406" spans="1:9" x14ac:dyDescent="0.2">
      <c r="A406" s="1" t="str">
        <f>"AFF1"</f>
        <v>AFF1</v>
      </c>
      <c r="B406" t="s">
        <v>14</v>
      </c>
      <c r="C406" t="s">
        <v>23</v>
      </c>
      <c r="D406" t="s">
        <v>17</v>
      </c>
      <c r="E406" t="s">
        <v>12</v>
      </c>
      <c r="F406">
        <v>87856129</v>
      </c>
      <c r="G406">
        <v>87856186</v>
      </c>
      <c r="H406">
        <v>87856191</v>
      </c>
      <c r="I406">
        <v>87856208</v>
      </c>
    </row>
    <row r="407" spans="1:9" x14ac:dyDescent="0.2">
      <c r="A407" s="1" t="str">
        <f>"AFF2"</f>
        <v>AFF2</v>
      </c>
      <c r="B407" t="s">
        <v>14</v>
      </c>
      <c r="C407" t="s">
        <v>37</v>
      </c>
      <c r="D407" t="s">
        <v>17</v>
      </c>
      <c r="E407" t="s">
        <v>12</v>
      </c>
      <c r="F407">
        <v>147582254</v>
      </c>
      <c r="G407">
        <v>147582320</v>
      </c>
      <c r="H407">
        <v>147582188</v>
      </c>
      <c r="I407">
        <v>147582226</v>
      </c>
    </row>
    <row r="408" spans="1:9" x14ac:dyDescent="0.2">
      <c r="A408" s="1" t="str">
        <f>"AFF3"</f>
        <v>AFF3</v>
      </c>
      <c r="B408" t="s">
        <v>14</v>
      </c>
      <c r="C408" t="s">
        <v>26</v>
      </c>
      <c r="D408" t="s">
        <v>11</v>
      </c>
      <c r="E408" t="s">
        <v>12</v>
      </c>
      <c r="F408">
        <v>100759010</v>
      </c>
      <c r="G408">
        <v>100759035</v>
      </c>
      <c r="H408">
        <v>100759037</v>
      </c>
      <c r="I408">
        <v>100759058</v>
      </c>
    </row>
    <row r="409" spans="1:9" x14ac:dyDescent="0.2">
      <c r="A409" s="1" t="str">
        <f>"AFF4"</f>
        <v>AFF4</v>
      </c>
      <c r="B409" t="s">
        <v>14</v>
      </c>
      <c r="C409" t="s">
        <v>46</v>
      </c>
      <c r="D409" t="s">
        <v>11</v>
      </c>
      <c r="E409" t="s">
        <v>12</v>
      </c>
      <c r="F409">
        <v>132299313</v>
      </c>
      <c r="G409">
        <v>132299334</v>
      </c>
      <c r="H409">
        <v>132299290</v>
      </c>
      <c r="I409">
        <v>132299310</v>
      </c>
    </row>
    <row r="410" spans="1:9" x14ac:dyDescent="0.2">
      <c r="A410" s="1" t="str">
        <f>"AFG3L2"</f>
        <v>AFG3L2</v>
      </c>
      <c r="B410" t="s">
        <v>14</v>
      </c>
      <c r="C410" t="s">
        <v>43</v>
      </c>
      <c r="D410" t="s">
        <v>11</v>
      </c>
      <c r="E410" t="s">
        <v>12</v>
      </c>
      <c r="F410">
        <v>12377199</v>
      </c>
      <c r="G410">
        <v>12377263</v>
      </c>
      <c r="H410">
        <v>12377096</v>
      </c>
      <c r="I410">
        <v>12377120</v>
      </c>
    </row>
    <row r="411" spans="1:9" x14ac:dyDescent="0.2">
      <c r="A411" s="1" t="str">
        <f>"AFM"</f>
        <v>AFM</v>
      </c>
      <c r="B411" t="s">
        <v>14</v>
      </c>
      <c r="C411" t="s">
        <v>23</v>
      </c>
      <c r="D411" t="s">
        <v>17</v>
      </c>
      <c r="E411" t="s">
        <v>12</v>
      </c>
      <c r="F411">
        <v>74347454</v>
      </c>
      <c r="G411">
        <v>74347479</v>
      </c>
      <c r="H411">
        <v>74347454</v>
      </c>
      <c r="I411">
        <v>74347479</v>
      </c>
    </row>
    <row r="412" spans="1:9" x14ac:dyDescent="0.2">
      <c r="A412" s="1" t="str">
        <f>"AFMID"</f>
        <v>AFMID</v>
      </c>
      <c r="B412" t="s">
        <v>14</v>
      </c>
      <c r="C412" t="s">
        <v>28</v>
      </c>
      <c r="D412" t="s">
        <v>17</v>
      </c>
      <c r="E412" t="s">
        <v>12</v>
      </c>
      <c r="F412">
        <v>76183432</v>
      </c>
      <c r="G412">
        <v>76183451</v>
      </c>
      <c r="H412">
        <v>76183408</v>
      </c>
      <c r="I412">
        <v>76183414</v>
      </c>
    </row>
    <row r="413" spans="1:9" x14ac:dyDescent="0.2">
      <c r="A413" s="1" t="str">
        <f>"AFP"</f>
        <v>AFP</v>
      </c>
      <c r="B413" t="s">
        <v>9</v>
      </c>
      <c r="C413" t="s">
        <v>23</v>
      </c>
      <c r="D413" t="s">
        <v>17</v>
      </c>
      <c r="E413" t="s">
        <v>12</v>
      </c>
      <c r="F413">
        <v>74301931</v>
      </c>
      <c r="G413">
        <v>74301947</v>
      </c>
      <c r="H413">
        <v>74301931</v>
      </c>
      <c r="I413">
        <v>74301947</v>
      </c>
    </row>
    <row r="414" spans="1:9" x14ac:dyDescent="0.2">
      <c r="A414" s="1" t="str">
        <f>"AFP"</f>
        <v>AFP</v>
      </c>
      <c r="B414" t="s">
        <v>13</v>
      </c>
      <c r="C414" t="s">
        <v>23</v>
      </c>
      <c r="D414" t="s">
        <v>17</v>
      </c>
      <c r="E414" t="s">
        <v>12</v>
      </c>
      <c r="F414">
        <v>74316336</v>
      </c>
      <c r="G414">
        <v>74316348</v>
      </c>
      <c r="H414">
        <v>74316336</v>
      </c>
      <c r="I414">
        <v>74316348</v>
      </c>
    </row>
    <row r="415" spans="1:9" x14ac:dyDescent="0.2">
      <c r="A415" s="1" t="str">
        <f>"AFTPH"</f>
        <v>AFTPH</v>
      </c>
      <c r="B415" t="s">
        <v>14</v>
      </c>
      <c r="C415" t="s">
        <v>26</v>
      </c>
      <c r="D415" t="s">
        <v>17</v>
      </c>
      <c r="E415" t="s">
        <v>12</v>
      </c>
      <c r="F415">
        <v>64751475</v>
      </c>
      <c r="G415">
        <v>64751556</v>
      </c>
      <c r="H415">
        <v>64751433</v>
      </c>
      <c r="I415">
        <v>64751472</v>
      </c>
    </row>
    <row r="416" spans="1:9" x14ac:dyDescent="0.2">
      <c r="A416" s="1" t="str">
        <f>"AGA"</f>
        <v>AGA</v>
      </c>
      <c r="B416" t="s">
        <v>14</v>
      </c>
      <c r="C416" t="s">
        <v>23</v>
      </c>
      <c r="D416" t="s">
        <v>11</v>
      </c>
      <c r="E416" t="s">
        <v>12</v>
      </c>
      <c r="F416">
        <v>178363527</v>
      </c>
      <c r="G416">
        <v>178363572</v>
      </c>
      <c r="H416">
        <v>178363581</v>
      </c>
      <c r="I416">
        <v>178363607</v>
      </c>
    </row>
    <row r="417" spans="1:9" x14ac:dyDescent="0.2">
      <c r="A417" s="1" t="str">
        <f>"AGAP1"</f>
        <v>AGAP1</v>
      </c>
      <c r="B417" t="s">
        <v>14</v>
      </c>
      <c r="C417" t="s">
        <v>26</v>
      </c>
      <c r="D417" t="s">
        <v>17</v>
      </c>
      <c r="E417" t="s">
        <v>12</v>
      </c>
      <c r="F417">
        <v>236402669</v>
      </c>
      <c r="G417">
        <v>236402788</v>
      </c>
      <c r="H417">
        <v>236402669</v>
      </c>
      <c r="I417">
        <v>236402788</v>
      </c>
    </row>
    <row r="418" spans="1:9" x14ac:dyDescent="0.2">
      <c r="A418" s="1" t="str">
        <f>"AGAP10"</f>
        <v>AGAP10</v>
      </c>
      <c r="B418" t="s">
        <v>51</v>
      </c>
      <c r="C418" t="s">
        <v>15</v>
      </c>
      <c r="D418" t="s">
        <v>11</v>
      </c>
      <c r="E418" t="s">
        <v>20</v>
      </c>
      <c r="F418">
        <v>47239737</v>
      </c>
      <c r="G418">
        <v>47239737</v>
      </c>
      <c r="H418">
        <v>47239737</v>
      </c>
      <c r="I418">
        <v>47239737</v>
      </c>
    </row>
    <row r="419" spans="1:9" x14ac:dyDescent="0.2">
      <c r="A419" s="1" t="str">
        <f>"AGAP10"</f>
        <v>AGAP10</v>
      </c>
      <c r="B419" t="s">
        <v>52</v>
      </c>
      <c r="C419" t="s">
        <v>15</v>
      </c>
      <c r="D419" t="s">
        <v>11</v>
      </c>
      <c r="E419" t="s">
        <v>20</v>
      </c>
      <c r="F419">
        <v>47213625</v>
      </c>
      <c r="G419">
        <v>47213625</v>
      </c>
      <c r="H419">
        <v>47213625</v>
      </c>
      <c r="I419">
        <v>47213625</v>
      </c>
    </row>
    <row r="420" spans="1:9" x14ac:dyDescent="0.2">
      <c r="A420" s="1" t="str">
        <f>"AGAP11"</f>
        <v>AGAP11</v>
      </c>
      <c r="B420" t="s">
        <v>14</v>
      </c>
      <c r="C420" t="s">
        <v>15</v>
      </c>
      <c r="D420" t="s">
        <v>17</v>
      </c>
      <c r="E420" t="s">
        <v>12</v>
      </c>
      <c r="F420">
        <v>88730088</v>
      </c>
      <c r="G420">
        <v>88730132</v>
      </c>
      <c r="H420">
        <v>88730492</v>
      </c>
      <c r="I420">
        <v>88730536</v>
      </c>
    </row>
    <row r="421" spans="1:9" x14ac:dyDescent="0.2">
      <c r="A421" s="1" t="str">
        <f>"AGAP2"</f>
        <v>AGAP2</v>
      </c>
      <c r="B421" t="s">
        <v>14</v>
      </c>
      <c r="C421" t="s">
        <v>16</v>
      </c>
      <c r="D421" t="s">
        <v>11</v>
      </c>
      <c r="E421" t="s">
        <v>12</v>
      </c>
      <c r="F421">
        <v>58135903</v>
      </c>
      <c r="G421">
        <v>58135974</v>
      </c>
      <c r="H421">
        <v>58135903</v>
      </c>
      <c r="I421">
        <v>58135974</v>
      </c>
    </row>
    <row r="422" spans="1:9" x14ac:dyDescent="0.2">
      <c r="A422" s="1" t="str">
        <f>"AGAP3"</f>
        <v>AGAP3</v>
      </c>
      <c r="B422" t="s">
        <v>14</v>
      </c>
      <c r="C422" t="s">
        <v>33</v>
      </c>
      <c r="D422" t="s">
        <v>17</v>
      </c>
      <c r="E422" t="s">
        <v>12</v>
      </c>
      <c r="F422">
        <v>150783553</v>
      </c>
      <c r="G422">
        <v>150783570</v>
      </c>
      <c r="H422">
        <v>150783553</v>
      </c>
      <c r="I422">
        <v>150783570</v>
      </c>
    </row>
    <row r="423" spans="1:9" x14ac:dyDescent="0.2">
      <c r="A423" s="1" t="str">
        <f>"AGAP4"</f>
        <v>AGAP4</v>
      </c>
      <c r="B423" t="s">
        <v>53</v>
      </c>
      <c r="C423" t="s">
        <v>15</v>
      </c>
      <c r="D423" t="s">
        <v>11</v>
      </c>
      <c r="E423" t="s">
        <v>20</v>
      </c>
      <c r="F423">
        <v>46342920</v>
      </c>
      <c r="G423">
        <v>46342920</v>
      </c>
      <c r="H423">
        <v>46342920</v>
      </c>
      <c r="I423">
        <v>46342920</v>
      </c>
    </row>
    <row r="424" spans="1:9" x14ac:dyDescent="0.2">
      <c r="A424" s="1" t="str">
        <f>"AGAP5"</f>
        <v>AGAP5</v>
      </c>
      <c r="B424" t="s">
        <v>54</v>
      </c>
      <c r="C424" t="s">
        <v>15</v>
      </c>
      <c r="D424" t="s">
        <v>11</v>
      </c>
      <c r="E424" t="s">
        <v>20</v>
      </c>
      <c r="F424">
        <v>75457595</v>
      </c>
      <c r="G424">
        <v>75457595</v>
      </c>
      <c r="H424">
        <v>75457595</v>
      </c>
      <c r="I424">
        <v>75457595</v>
      </c>
    </row>
    <row r="425" spans="1:9" x14ac:dyDescent="0.2">
      <c r="A425" s="1" t="str">
        <f>"AGAP6"</f>
        <v>AGAP6</v>
      </c>
      <c r="B425" t="s">
        <v>14</v>
      </c>
      <c r="C425" t="s">
        <v>15</v>
      </c>
      <c r="D425" t="s">
        <v>17</v>
      </c>
      <c r="E425" t="s">
        <v>12</v>
      </c>
      <c r="F425">
        <v>51748127</v>
      </c>
      <c r="G425">
        <v>51748128</v>
      </c>
      <c r="H425">
        <v>51748127</v>
      </c>
      <c r="I425">
        <v>51748128</v>
      </c>
    </row>
    <row r="426" spans="1:9" x14ac:dyDescent="0.2">
      <c r="A426" s="1" t="str">
        <f>"AGAP7"</f>
        <v>AGAP7</v>
      </c>
      <c r="B426" t="s">
        <v>55</v>
      </c>
      <c r="C426" t="s">
        <v>15</v>
      </c>
      <c r="D426" t="s">
        <v>11</v>
      </c>
      <c r="E426" t="s">
        <v>20</v>
      </c>
      <c r="F426">
        <v>51486326</v>
      </c>
      <c r="G426">
        <v>51486326</v>
      </c>
      <c r="H426">
        <v>51486326</v>
      </c>
      <c r="I426">
        <v>51486326</v>
      </c>
    </row>
    <row r="427" spans="1:9" x14ac:dyDescent="0.2">
      <c r="A427" s="1" t="str">
        <f>"AGAP9"</f>
        <v>AGAP9</v>
      </c>
      <c r="B427" t="s">
        <v>56</v>
      </c>
      <c r="C427" t="s">
        <v>15</v>
      </c>
      <c r="D427" t="s">
        <v>17</v>
      </c>
      <c r="E427" t="s">
        <v>20</v>
      </c>
      <c r="F427">
        <v>48189611</v>
      </c>
      <c r="G427">
        <v>48189611</v>
      </c>
      <c r="H427">
        <v>48189611</v>
      </c>
      <c r="I427">
        <v>48189611</v>
      </c>
    </row>
    <row r="428" spans="1:9" x14ac:dyDescent="0.2">
      <c r="A428" s="1" t="str">
        <f>"AGAP9"</f>
        <v>AGAP9</v>
      </c>
      <c r="B428" t="s">
        <v>57</v>
      </c>
      <c r="C428" t="s">
        <v>15</v>
      </c>
      <c r="D428" t="s">
        <v>17</v>
      </c>
      <c r="E428" t="s">
        <v>20</v>
      </c>
      <c r="F428">
        <v>48215835</v>
      </c>
      <c r="G428">
        <v>48215835</v>
      </c>
      <c r="H428">
        <v>48215835</v>
      </c>
      <c r="I428">
        <v>48215835</v>
      </c>
    </row>
    <row r="429" spans="1:9" x14ac:dyDescent="0.2">
      <c r="A429" s="1" t="str">
        <f>"AGBL1"</f>
        <v>AGBL1</v>
      </c>
      <c r="B429" t="s">
        <v>58</v>
      </c>
      <c r="C429" t="s">
        <v>25</v>
      </c>
      <c r="D429" t="s">
        <v>17</v>
      </c>
      <c r="E429" t="s">
        <v>20</v>
      </c>
      <c r="F429">
        <v>86686952</v>
      </c>
      <c r="G429">
        <v>86686952</v>
      </c>
      <c r="H429">
        <v>86686952</v>
      </c>
      <c r="I429">
        <v>86686952</v>
      </c>
    </row>
    <row r="430" spans="1:9" x14ac:dyDescent="0.2">
      <c r="A430" s="1" t="str">
        <f>"AGBL1"</f>
        <v>AGBL1</v>
      </c>
      <c r="B430" t="s">
        <v>59</v>
      </c>
      <c r="C430" t="s">
        <v>25</v>
      </c>
      <c r="D430" t="s">
        <v>17</v>
      </c>
      <c r="E430" t="s">
        <v>20</v>
      </c>
      <c r="F430">
        <v>86685226</v>
      </c>
      <c r="G430">
        <v>86685226</v>
      </c>
      <c r="H430">
        <v>86685226</v>
      </c>
      <c r="I430">
        <v>86685226</v>
      </c>
    </row>
    <row r="431" spans="1:9" x14ac:dyDescent="0.2">
      <c r="A431" s="1" t="str">
        <f>"AGBL2"</f>
        <v>AGBL2</v>
      </c>
      <c r="B431" t="s">
        <v>14</v>
      </c>
      <c r="C431" t="s">
        <v>27</v>
      </c>
      <c r="D431" t="s">
        <v>11</v>
      </c>
      <c r="E431" t="s">
        <v>12</v>
      </c>
      <c r="F431">
        <v>47736896</v>
      </c>
      <c r="G431">
        <v>47736957</v>
      </c>
      <c r="H431">
        <v>47736850</v>
      </c>
      <c r="I431">
        <v>47736861</v>
      </c>
    </row>
    <row r="432" spans="1:9" x14ac:dyDescent="0.2">
      <c r="A432" s="1" t="str">
        <f>"AGBL3"</f>
        <v>AGBL3</v>
      </c>
      <c r="B432" t="s">
        <v>14</v>
      </c>
      <c r="C432" t="s">
        <v>33</v>
      </c>
      <c r="D432" t="s">
        <v>17</v>
      </c>
      <c r="E432" t="s">
        <v>12</v>
      </c>
      <c r="F432">
        <v>134671234</v>
      </c>
      <c r="G432">
        <v>134671324</v>
      </c>
      <c r="H432">
        <v>134671368</v>
      </c>
      <c r="I432">
        <v>134671372</v>
      </c>
    </row>
    <row r="433" spans="1:9" x14ac:dyDescent="0.2">
      <c r="A433" s="1" t="str">
        <f>"AGBL4"</f>
        <v>AGBL4</v>
      </c>
      <c r="B433" t="s">
        <v>14</v>
      </c>
      <c r="C433" t="s">
        <v>19</v>
      </c>
      <c r="D433" t="s">
        <v>11</v>
      </c>
      <c r="E433" t="s">
        <v>12</v>
      </c>
      <c r="F433">
        <v>50489547</v>
      </c>
      <c r="G433">
        <v>50489616</v>
      </c>
      <c r="H433">
        <v>50489619</v>
      </c>
      <c r="I433">
        <v>50489650</v>
      </c>
    </row>
    <row r="434" spans="1:9" x14ac:dyDescent="0.2">
      <c r="A434" s="1" t="str">
        <f>"AGBL5"</f>
        <v>AGBL5</v>
      </c>
      <c r="B434" t="s">
        <v>9</v>
      </c>
      <c r="C434" t="s">
        <v>26</v>
      </c>
      <c r="D434" t="s">
        <v>17</v>
      </c>
      <c r="E434" t="s">
        <v>12</v>
      </c>
      <c r="F434">
        <v>27274506</v>
      </c>
      <c r="G434">
        <v>27274543</v>
      </c>
      <c r="H434">
        <v>27274506</v>
      </c>
      <c r="I434">
        <v>27274543</v>
      </c>
    </row>
    <row r="435" spans="1:9" x14ac:dyDescent="0.2">
      <c r="A435" s="1" t="str">
        <f>"AGBL5"</f>
        <v>AGBL5</v>
      </c>
      <c r="B435" t="s">
        <v>13</v>
      </c>
      <c r="C435" t="s">
        <v>26</v>
      </c>
      <c r="D435" t="s">
        <v>17</v>
      </c>
      <c r="E435" t="s">
        <v>12</v>
      </c>
      <c r="F435">
        <v>27275941</v>
      </c>
      <c r="G435">
        <v>27275943</v>
      </c>
      <c r="H435">
        <v>27275941</v>
      </c>
      <c r="I435">
        <v>27275943</v>
      </c>
    </row>
    <row r="436" spans="1:9" x14ac:dyDescent="0.2">
      <c r="A436" s="1" t="str">
        <f>"AGER"</f>
        <v>AGER</v>
      </c>
      <c r="B436" t="s">
        <v>14</v>
      </c>
      <c r="C436" t="s">
        <v>32</v>
      </c>
      <c r="D436" t="s">
        <v>11</v>
      </c>
      <c r="E436" t="s">
        <v>12</v>
      </c>
      <c r="F436">
        <v>32152020</v>
      </c>
      <c r="G436">
        <v>32152040</v>
      </c>
      <c r="H436">
        <v>32152003</v>
      </c>
      <c r="I436">
        <v>32152016</v>
      </c>
    </row>
    <row r="437" spans="1:9" x14ac:dyDescent="0.2">
      <c r="A437" s="1" t="str">
        <f>"AGFG1"</f>
        <v>AGFG1</v>
      </c>
      <c r="B437" t="s">
        <v>14</v>
      </c>
      <c r="C437" t="s">
        <v>26</v>
      </c>
      <c r="D437" t="s">
        <v>17</v>
      </c>
      <c r="E437" t="s">
        <v>12</v>
      </c>
      <c r="F437">
        <v>228336849</v>
      </c>
      <c r="G437">
        <v>228336904</v>
      </c>
      <c r="H437">
        <v>228336849</v>
      </c>
      <c r="I437">
        <v>228336904</v>
      </c>
    </row>
    <row r="438" spans="1:9" x14ac:dyDescent="0.2">
      <c r="A438" s="1" t="str">
        <f>"AGFG2"</f>
        <v>AGFG2</v>
      </c>
      <c r="B438" t="s">
        <v>14</v>
      </c>
      <c r="C438" t="s">
        <v>33</v>
      </c>
      <c r="D438" t="s">
        <v>17</v>
      </c>
      <c r="E438" t="s">
        <v>12</v>
      </c>
      <c r="F438">
        <v>100136811</v>
      </c>
      <c r="G438">
        <v>100136879</v>
      </c>
      <c r="H438">
        <v>100136791</v>
      </c>
      <c r="I438">
        <v>100136806</v>
      </c>
    </row>
    <row r="439" spans="1:9" x14ac:dyDescent="0.2">
      <c r="A439" s="1" t="str">
        <f>"AGGF1"</f>
        <v>AGGF1</v>
      </c>
      <c r="B439" t="s">
        <v>14</v>
      </c>
      <c r="C439" t="s">
        <v>46</v>
      </c>
      <c r="D439" t="s">
        <v>17</v>
      </c>
      <c r="E439" t="s">
        <v>12</v>
      </c>
      <c r="F439">
        <v>76326187</v>
      </c>
      <c r="G439">
        <v>76326300</v>
      </c>
      <c r="H439">
        <v>76326304</v>
      </c>
      <c r="I439">
        <v>76326311</v>
      </c>
    </row>
    <row r="440" spans="1:9" x14ac:dyDescent="0.2">
      <c r="A440" s="1" t="str">
        <f>"AGK"</f>
        <v>AGK</v>
      </c>
      <c r="B440" t="s">
        <v>14</v>
      </c>
      <c r="C440" t="s">
        <v>33</v>
      </c>
      <c r="D440" t="s">
        <v>17</v>
      </c>
      <c r="E440" t="s">
        <v>12</v>
      </c>
      <c r="F440">
        <v>141251177</v>
      </c>
      <c r="G440">
        <v>141251240</v>
      </c>
      <c r="H440">
        <v>141251177</v>
      </c>
      <c r="I440">
        <v>141251240</v>
      </c>
    </row>
    <row r="441" spans="1:9" x14ac:dyDescent="0.2">
      <c r="A441" s="1" t="str">
        <f>"AGL"</f>
        <v>AGL</v>
      </c>
      <c r="B441" t="s">
        <v>14</v>
      </c>
      <c r="C441" t="s">
        <v>19</v>
      </c>
      <c r="D441" t="s">
        <v>17</v>
      </c>
      <c r="E441" t="s">
        <v>12</v>
      </c>
      <c r="F441">
        <v>100315613</v>
      </c>
      <c r="G441">
        <v>100315691</v>
      </c>
      <c r="H441">
        <v>100315902</v>
      </c>
      <c r="I441">
        <v>100315927</v>
      </c>
    </row>
    <row r="442" spans="1:9" x14ac:dyDescent="0.2">
      <c r="A442" s="1" t="str">
        <f>"AGMAT"</f>
        <v>AGMAT</v>
      </c>
      <c r="B442" t="s">
        <v>14</v>
      </c>
      <c r="C442" t="s">
        <v>19</v>
      </c>
      <c r="D442" t="s">
        <v>11</v>
      </c>
      <c r="E442" t="s">
        <v>12</v>
      </c>
      <c r="F442">
        <v>15911510</v>
      </c>
      <c r="G442">
        <v>15911579</v>
      </c>
      <c r="H442">
        <v>15912061</v>
      </c>
      <c r="I442">
        <v>15912077</v>
      </c>
    </row>
    <row r="443" spans="1:9" x14ac:dyDescent="0.2">
      <c r="A443" s="1" t="str">
        <f>"AGMO"</f>
        <v>AGMO</v>
      </c>
      <c r="B443" t="s">
        <v>14</v>
      </c>
      <c r="C443" t="s">
        <v>33</v>
      </c>
      <c r="D443" t="s">
        <v>11</v>
      </c>
      <c r="E443" t="s">
        <v>12</v>
      </c>
      <c r="F443">
        <v>15601595</v>
      </c>
      <c r="G443">
        <v>15601657</v>
      </c>
      <c r="H443">
        <v>15601595</v>
      </c>
      <c r="I443">
        <v>15601657</v>
      </c>
    </row>
    <row r="444" spans="1:9" x14ac:dyDescent="0.2">
      <c r="A444" s="1" t="str">
        <f>"AGO1"</f>
        <v>AGO1</v>
      </c>
      <c r="B444" t="s">
        <v>14</v>
      </c>
      <c r="C444" t="s">
        <v>19</v>
      </c>
      <c r="D444" t="s">
        <v>17</v>
      </c>
      <c r="E444" t="s">
        <v>12</v>
      </c>
      <c r="F444">
        <v>36348790</v>
      </c>
      <c r="G444">
        <v>36348822</v>
      </c>
      <c r="H444">
        <v>36348826</v>
      </c>
      <c r="I444">
        <v>36348849</v>
      </c>
    </row>
    <row r="445" spans="1:9" x14ac:dyDescent="0.2">
      <c r="A445" s="1" t="str">
        <f>"AGO2"</f>
        <v>AGO2</v>
      </c>
      <c r="B445" t="s">
        <v>14</v>
      </c>
      <c r="C445" t="s">
        <v>30</v>
      </c>
      <c r="D445" t="s">
        <v>11</v>
      </c>
      <c r="E445" t="s">
        <v>12</v>
      </c>
      <c r="F445">
        <v>141645693</v>
      </c>
      <c r="G445">
        <v>141645783</v>
      </c>
      <c r="H445">
        <v>141646015</v>
      </c>
      <c r="I445">
        <v>141646033</v>
      </c>
    </row>
    <row r="446" spans="1:9" x14ac:dyDescent="0.2">
      <c r="A446" s="1" t="str">
        <f>"AGO3"</f>
        <v>AGO3</v>
      </c>
      <c r="B446" t="s">
        <v>14</v>
      </c>
      <c r="C446" t="s">
        <v>19</v>
      </c>
      <c r="D446" t="s">
        <v>17</v>
      </c>
      <c r="E446" t="s">
        <v>12</v>
      </c>
      <c r="F446">
        <v>36396677</v>
      </c>
      <c r="G446">
        <v>36396749</v>
      </c>
      <c r="H446">
        <v>36396791</v>
      </c>
      <c r="I446">
        <v>36396878</v>
      </c>
    </row>
    <row r="447" spans="1:9" x14ac:dyDescent="0.2">
      <c r="A447" s="1" t="str">
        <f>"AGO4"</f>
        <v>AGO4</v>
      </c>
      <c r="B447" t="s">
        <v>14</v>
      </c>
      <c r="C447" t="s">
        <v>19</v>
      </c>
      <c r="D447" t="s">
        <v>17</v>
      </c>
      <c r="E447" t="s">
        <v>12</v>
      </c>
      <c r="F447">
        <v>36273576</v>
      </c>
      <c r="G447">
        <v>36273646</v>
      </c>
      <c r="H447">
        <v>36273793</v>
      </c>
      <c r="I447">
        <v>36273818</v>
      </c>
    </row>
    <row r="448" spans="1:9" x14ac:dyDescent="0.2">
      <c r="A448" s="1" t="str">
        <f>"AGPAT1"</f>
        <v>AGPAT1</v>
      </c>
      <c r="B448" t="s">
        <v>9</v>
      </c>
      <c r="C448" t="s">
        <v>32</v>
      </c>
      <c r="D448" t="s">
        <v>11</v>
      </c>
      <c r="E448" t="s">
        <v>12</v>
      </c>
      <c r="F448">
        <v>32143828</v>
      </c>
      <c r="G448">
        <v>32143921</v>
      </c>
      <c r="H448">
        <v>32143828</v>
      </c>
      <c r="I448">
        <v>32143921</v>
      </c>
    </row>
    <row r="449" spans="1:9" x14ac:dyDescent="0.2">
      <c r="A449" s="1" t="str">
        <f>"AGPAT1"</f>
        <v>AGPAT1</v>
      </c>
      <c r="B449" t="s">
        <v>13</v>
      </c>
      <c r="C449" t="s">
        <v>32</v>
      </c>
      <c r="D449" t="s">
        <v>11</v>
      </c>
      <c r="E449" t="s">
        <v>12</v>
      </c>
      <c r="F449">
        <v>32144838</v>
      </c>
      <c r="G449">
        <v>32144908</v>
      </c>
      <c r="H449">
        <v>32144838</v>
      </c>
      <c r="I449">
        <v>32144908</v>
      </c>
    </row>
    <row r="450" spans="1:9" x14ac:dyDescent="0.2">
      <c r="A450" s="1" t="str">
        <f>"AGPAT2"</f>
        <v>AGPAT2</v>
      </c>
      <c r="B450" t="s">
        <v>14</v>
      </c>
      <c r="C450" t="s">
        <v>24</v>
      </c>
      <c r="D450" t="s">
        <v>11</v>
      </c>
      <c r="E450" t="s">
        <v>12</v>
      </c>
      <c r="F450">
        <v>139581876</v>
      </c>
      <c r="G450">
        <v>139581935</v>
      </c>
      <c r="H450">
        <v>139581848</v>
      </c>
      <c r="I450">
        <v>139581873</v>
      </c>
    </row>
    <row r="451" spans="1:9" x14ac:dyDescent="0.2">
      <c r="A451" s="1" t="str">
        <f>"AGPAT3"</f>
        <v>AGPAT3</v>
      </c>
      <c r="B451" t="s">
        <v>14</v>
      </c>
      <c r="C451" t="s">
        <v>42</v>
      </c>
      <c r="D451" t="s">
        <v>17</v>
      </c>
      <c r="E451" t="s">
        <v>12</v>
      </c>
      <c r="F451">
        <v>45285082</v>
      </c>
      <c r="G451">
        <v>45285117</v>
      </c>
      <c r="H451">
        <v>45284997</v>
      </c>
      <c r="I451">
        <v>45285039</v>
      </c>
    </row>
    <row r="452" spans="1:9" x14ac:dyDescent="0.2">
      <c r="A452" s="1" t="str">
        <f>"AGPAT4"</f>
        <v>AGPAT4</v>
      </c>
      <c r="B452" t="s">
        <v>14</v>
      </c>
      <c r="C452" t="s">
        <v>32</v>
      </c>
      <c r="D452" t="s">
        <v>11</v>
      </c>
      <c r="E452" t="s">
        <v>12</v>
      </c>
      <c r="F452">
        <v>161695074</v>
      </c>
      <c r="G452">
        <v>161695112</v>
      </c>
      <c r="H452">
        <v>161695042</v>
      </c>
      <c r="I452">
        <v>161695064</v>
      </c>
    </row>
    <row r="453" spans="1:9" x14ac:dyDescent="0.2">
      <c r="A453" s="1" t="str">
        <f>"AGPAT5"</f>
        <v>AGPAT5</v>
      </c>
      <c r="B453" t="s">
        <v>14</v>
      </c>
      <c r="C453" t="s">
        <v>30</v>
      </c>
      <c r="D453" t="s">
        <v>17</v>
      </c>
      <c r="E453" t="s">
        <v>12</v>
      </c>
      <c r="F453">
        <v>6566147</v>
      </c>
      <c r="G453">
        <v>6566197</v>
      </c>
      <c r="H453">
        <v>6565854</v>
      </c>
      <c r="I453">
        <v>6565942</v>
      </c>
    </row>
    <row r="454" spans="1:9" x14ac:dyDescent="0.2">
      <c r="A454" s="1" t="str">
        <f>"AGPAT6"</f>
        <v>AGPAT6</v>
      </c>
      <c r="B454" t="s">
        <v>14</v>
      </c>
      <c r="C454" t="s">
        <v>30</v>
      </c>
      <c r="D454" t="s">
        <v>17</v>
      </c>
      <c r="E454" t="s">
        <v>12</v>
      </c>
      <c r="F454">
        <v>41435696</v>
      </c>
      <c r="G454">
        <v>41435734</v>
      </c>
      <c r="H454">
        <v>41435743</v>
      </c>
      <c r="I454">
        <v>41435781</v>
      </c>
    </row>
    <row r="455" spans="1:9" x14ac:dyDescent="0.2">
      <c r="A455" s="1" t="str">
        <f>"AGPAT9"</f>
        <v>AGPAT9</v>
      </c>
      <c r="B455" t="s">
        <v>14</v>
      </c>
      <c r="C455" t="s">
        <v>23</v>
      </c>
      <c r="D455" t="s">
        <v>17</v>
      </c>
      <c r="E455" t="s">
        <v>12</v>
      </c>
      <c r="F455">
        <v>84457414</v>
      </c>
      <c r="G455">
        <v>84457501</v>
      </c>
      <c r="H455">
        <v>84457250</v>
      </c>
      <c r="I455">
        <v>84457268</v>
      </c>
    </row>
    <row r="456" spans="1:9" x14ac:dyDescent="0.2">
      <c r="A456" s="1" t="str">
        <f>"AGPS"</f>
        <v>AGPS</v>
      </c>
      <c r="B456" t="s">
        <v>14</v>
      </c>
      <c r="C456" t="s">
        <v>26</v>
      </c>
      <c r="D456" t="s">
        <v>17</v>
      </c>
      <c r="E456" t="s">
        <v>12</v>
      </c>
      <c r="F456">
        <v>178257463</v>
      </c>
      <c r="G456">
        <v>178257523</v>
      </c>
      <c r="H456">
        <v>178257463</v>
      </c>
      <c r="I456">
        <v>178257523</v>
      </c>
    </row>
    <row r="457" spans="1:9" x14ac:dyDescent="0.2">
      <c r="A457" s="1" t="str">
        <f>"AGR2"</f>
        <v>AGR2</v>
      </c>
      <c r="B457" t="s">
        <v>14</v>
      </c>
      <c r="C457" t="s">
        <v>33</v>
      </c>
      <c r="D457" t="s">
        <v>11</v>
      </c>
      <c r="E457" t="s">
        <v>12</v>
      </c>
      <c r="F457">
        <v>16844611</v>
      </c>
      <c r="G457">
        <v>16844628</v>
      </c>
      <c r="H457">
        <v>16844611</v>
      </c>
      <c r="I457">
        <v>16844628</v>
      </c>
    </row>
    <row r="458" spans="1:9" x14ac:dyDescent="0.2">
      <c r="A458" s="1" t="str">
        <f>"AGR3"</f>
        <v>AGR3</v>
      </c>
      <c r="B458" t="s">
        <v>14</v>
      </c>
      <c r="C458" t="s">
        <v>33</v>
      </c>
      <c r="D458" t="s">
        <v>11</v>
      </c>
      <c r="E458" t="s">
        <v>12</v>
      </c>
      <c r="F458">
        <v>16921601</v>
      </c>
      <c r="G458">
        <v>16921614</v>
      </c>
      <c r="H458">
        <v>16921601</v>
      </c>
      <c r="I458">
        <v>16921614</v>
      </c>
    </row>
    <row r="459" spans="1:9" x14ac:dyDescent="0.2">
      <c r="A459" s="1" t="str">
        <f>"AGRN"</f>
        <v>AGRN</v>
      </c>
      <c r="B459" t="s">
        <v>14</v>
      </c>
      <c r="C459" t="s">
        <v>19</v>
      </c>
      <c r="D459" t="s">
        <v>17</v>
      </c>
      <c r="E459" t="s">
        <v>12</v>
      </c>
      <c r="F459">
        <v>955448</v>
      </c>
      <c r="G459">
        <v>955508</v>
      </c>
      <c r="H459">
        <v>955448</v>
      </c>
      <c r="I459">
        <v>955508</v>
      </c>
    </row>
    <row r="460" spans="1:9" x14ac:dyDescent="0.2">
      <c r="A460" s="1" t="str">
        <f>"AGRP"</f>
        <v>AGRP</v>
      </c>
      <c r="B460" t="s">
        <v>14</v>
      </c>
      <c r="C460" t="s">
        <v>31</v>
      </c>
      <c r="D460" t="s">
        <v>11</v>
      </c>
      <c r="E460" t="s">
        <v>12</v>
      </c>
      <c r="F460">
        <v>67517444</v>
      </c>
      <c r="G460">
        <v>67517455</v>
      </c>
      <c r="H460">
        <v>67517444</v>
      </c>
      <c r="I460">
        <v>67517455</v>
      </c>
    </row>
    <row r="461" spans="1:9" x14ac:dyDescent="0.2">
      <c r="A461" s="1" t="str">
        <f>"AGT"</f>
        <v>AGT</v>
      </c>
      <c r="B461" t="s">
        <v>14</v>
      </c>
      <c r="C461" t="s">
        <v>19</v>
      </c>
      <c r="D461" t="s">
        <v>11</v>
      </c>
      <c r="E461" t="s">
        <v>12</v>
      </c>
      <c r="F461">
        <v>230849858</v>
      </c>
      <c r="G461">
        <v>230849875</v>
      </c>
      <c r="H461">
        <v>230849858</v>
      </c>
      <c r="I461">
        <v>230849875</v>
      </c>
    </row>
    <row r="462" spans="1:9" x14ac:dyDescent="0.2">
      <c r="A462" s="1" t="str">
        <f>"AGTPBP1"</f>
        <v>AGTPBP1</v>
      </c>
      <c r="B462" t="s">
        <v>14</v>
      </c>
      <c r="C462" t="s">
        <v>24</v>
      </c>
      <c r="D462" t="s">
        <v>11</v>
      </c>
      <c r="E462" t="s">
        <v>12</v>
      </c>
      <c r="F462">
        <v>88356789</v>
      </c>
      <c r="G462">
        <v>88356903</v>
      </c>
      <c r="H462">
        <v>88356760</v>
      </c>
      <c r="I462">
        <v>88356765</v>
      </c>
    </row>
    <row r="463" spans="1:9" x14ac:dyDescent="0.2">
      <c r="A463" s="1" t="str">
        <f>"AGTR1"</f>
        <v>AGTR1</v>
      </c>
      <c r="B463" t="s">
        <v>14</v>
      </c>
      <c r="C463" t="s">
        <v>22</v>
      </c>
      <c r="D463" t="s">
        <v>17</v>
      </c>
      <c r="E463" t="s">
        <v>12</v>
      </c>
      <c r="F463">
        <v>148415701</v>
      </c>
      <c r="G463">
        <v>148415724</v>
      </c>
      <c r="H463">
        <v>148415628</v>
      </c>
      <c r="I463">
        <v>148415650</v>
      </c>
    </row>
    <row r="464" spans="1:9" x14ac:dyDescent="0.2">
      <c r="A464" s="1" t="str">
        <f>"AGTR2"</f>
        <v>AGTR2</v>
      </c>
      <c r="B464" t="s">
        <v>14</v>
      </c>
      <c r="C464" t="s">
        <v>37</v>
      </c>
      <c r="D464" t="s">
        <v>17</v>
      </c>
      <c r="E464" t="s">
        <v>12</v>
      </c>
      <c r="F464">
        <v>115301995</v>
      </c>
      <c r="G464">
        <v>115302005</v>
      </c>
      <c r="H464">
        <v>115301995</v>
      </c>
      <c r="I464">
        <v>115302005</v>
      </c>
    </row>
    <row r="465" spans="1:9" x14ac:dyDescent="0.2">
      <c r="A465" s="1" t="str">
        <f>"AGTRAP"</f>
        <v>AGTRAP</v>
      </c>
      <c r="B465" t="s">
        <v>14</v>
      </c>
      <c r="C465" t="s">
        <v>19</v>
      </c>
      <c r="D465" t="s">
        <v>17</v>
      </c>
      <c r="E465" t="s">
        <v>12</v>
      </c>
      <c r="F465">
        <v>11796177</v>
      </c>
      <c r="G465">
        <v>11796241</v>
      </c>
      <c r="H465">
        <v>11796146</v>
      </c>
      <c r="I465">
        <v>11796160</v>
      </c>
    </row>
    <row r="466" spans="1:9" x14ac:dyDescent="0.2">
      <c r="A466" s="1" t="str">
        <f>"AGXT"</f>
        <v>AGXT</v>
      </c>
      <c r="B466" t="s">
        <v>14</v>
      </c>
      <c r="C466" t="s">
        <v>26</v>
      </c>
      <c r="D466" t="s">
        <v>17</v>
      </c>
      <c r="E466" t="s">
        <v>12</v>
      </c>
      <c r="F466">
        <v>241808234</v>
      </c>
      <c r="G466">
        <v>241808257</v>
      </c>
      <c r="H466">
        <v>241808165</v>
      </c>
      <c r="I466">
        <v>241808178</v>
      </c>
    </row>
    <row r="467" spans="1:9" x14ac:dyDescent="0.2">
      <c r="A467" s="1" t="str">
        <f>"AGXT2"</f>
        <v>AGXT2</v>
      </c>
      <c r="B467" t="s">
        <v>14</v>
      </c>
      <c r="C467" t="s">
        <v>46</v>
      </c>
      <c r="D467" t="s">
        <v>11</v>
      </c>
      <c r="E467" t="s">
        <v>12</v>
      </c>
      <c r="F467">
        <v>35048047</v>
      </c>
      <c r="G467">
        <v>35048059</v>
      </c>
      <c r="H467">
        <v>35047976</v>
      </c>
      <c r="I467">
        <v>35047990</v>
      </c>
    </row>
    <row r="468" spans="1:9" x14ac:dyDescent="0.2">
      <c r="A468" s="1" t="str">
        <f>"AHCTF1"</f>
        <v>AHCTF1</v>
      </c>
      <c r="B468" t="s">
        <v>14</v>
      </c>
      <c r="C468" t="s">
        <v>19</v>
      </c>
      <c r="D468" t="s">
        <v>11</v>
      </c>
      <c r="E468" t="s">
        <v>12</v>
      </c>
      <c r="F468">
        <v>247095194</v>
      </c>
      <c r="G468">
        <v>247095235</v>
      </c>
      <c r="H468">
        <v>247095236</v>
      </c>
      <c r="I468">
        <v>247095283</v>
      </c>
    </row>
    <row r="469" spans="1:9" x14ac:dyDescent="0.2">
      <c r="A469" s="1" t="str">
        <f>"AHCY"</f>
        <v>AHCY</v>
      </c>
      <c r="B469" t="s">
        <v>14</v>
      </c>
      <c r="C469" t="s">
        <v>29</v>
      </c>
      <c r="D469" t="s">
        <v>11</v>
      </c>
      <c r="E469" t="s">
        <v>12</v>
      </c>
      <c r="F469">
        <v>32891151</v>
      </c>
      <c r="G469">
        <v>32891168</v>
      </c>
      <c r="H469">
        <v>32891151</v>
      </c>
      <c r="I469">
        <v>32891168</v>
      </c>
    </row>
    <row r="470" spans="1:9" x14ac:dyDescent="0.2">
      <c r="A470" s="1" t="str">
        <f>"AHCYL1"</f>
        <v>AHCYL1</v>
      </c>
      <c r="B470" t="s">
        <v>9</v>
      </c>
      <c r="C470" t="s">
        <v>19</v>
      </c>
      <c r="D470" t="s">
        <v>17</v>
      </c>
      <c r="E470" t="s">
        <v>12</v>
      </c>
      <c r="F470">
        <v>110527378</v>
      </c>
      <c r="G470">
        <v>110527471</v>
      </c>
      <c r="H470">
        <v>110527378</v>
      </c>
      <c r="I470">
        <v>110527471</v>
      </c>
    </row>
    <row r="471" spans="1:9" x14ac:dyDescent="0.2">
      <c r="A471" s="1" t="str">
        <f>"AHCYL1"</f>
        <v>AHCYL1</v>
      </c>
      <c r="B471" t="s">
        <v>13</v>
      </c>
      <c r="C471" t="s">
        <v>19</v>
      </c>
      <c r="D471" t="s">
        <v>17</v>
      </c>
      <c r="E471" t="s">
        <v>12</v>
      </c>
      <c r="F471">
        <v>110546700</v>
      </c>
      <c r="G471">
        <v>110546758</v>
      </c>
      <c r="H471">
        <v>110546700</v>
      </c>
      <c r="I471">
        <v>110546758</v>
      </c>
    </row>
    <row r="472" spans="1:9" x14ac:dyDescent="0.2">
      <c r="A472" s="1" t="str">
        <f>"AHCYL2"</f>
        <v>AHCYL2</v>
      </c>
      <c r="B472" t="s">
        <v>14</v>
      </c>
      <c r="C472" t="s">
        <v>33</v>
      </c>
      <c r="D472" t="s">
        <v>17</v>
      </c>
      <c r="E472" t="s">
        <v>12</v>
      </c>
      <c r="F472">
        <v>128864848</v>
      </c>
      <c r="G472">
        <v>128864913</v>
      </c>
      <c r="H472">
        <v>128864454</v>
      </c>
      <c r="I472">
        <v>128864488</v>
      </c>
    </row>
    <row r="473" spans="1:9" x14ac:dyDescent="0.2">
      <c r="A473" s="1" t="str">
        <f>"AHDC1"</f>
        <v>AHDC1</v>
      </c>
      <c r="B473" t="s">
        <v>14</v>
      </c>
      <c r="C473" t="s">
        <v>19</v>
      </c>
      <c r="D473" t="s">
        <v>11</v>
      </c>
      <c r="E473" t="s">
        <v>12</v>
      </c>
      <c r="F473">
        <v>27930644</v>
      </c>
      <c r="G473">
        <v>27930681</v>
      </c>
      <c r="H473">
        <v>27930687</v>
      </c>
      <c r="I473">
        <v>27930710</v>
      </c>
    </row>
    <row r="474" spans="1:9" x14ac:dyDescent="0.2">
      <c r="A474" s="1" t="str">
        <f>"AHI1"</f>
        <v>AHI1</v>
      </c>
      <c r="B474" t="s">
        <v>14</v>
      </c>
      <c r="C474" t="s">
        <v>32</v>
      </c>
      <c r="D474" t="s">
        <v>11</v>
      </c>
      <c r="E474" t="s">
        <v>12</v>
      </c>
      <c r="F474">
        <v>135818844</v>
      </c>
      <c r="G474">
        <v>135818921</v>
      </c>
      <c r="H474">
        <v>135818764</v>
      </c>
      <c r="I474">
        <v>135818793</v>
      </c>
    </row>
    <row r="475" spans="1:9" x14ac:dyDescent="0.2">
      <c r="A475" s="1" t="str">
        <f>"AHNAK"</f>
        <v>AHNAK</v>
      </c>
      <c r="B475" t="s">
        <v>9</v>
      </c>
      <c r="C475" t="s">
        <v>27</v>
      </c>
      <c r="D475" t="s">
        <v>11</v>
      </c>
      <c r="E475" t="s">
        <v>12</v>
      </c>
      <c r="F475">
        <v>62314268</v>
      </c>
      <c r="G475">
        <v>62314285</v>
      </c>
      <c r="H475">
        <v>62314268</v>
      </c>
      <c r="I475">
        <v>62314285</v>
      </c>
    </row>
    <row r="476" spans="1:9" x14ac:dyDescent="0.2">
      <c r="A476" s="1" t="str">
        <f>"AHNAK"</f>
        <v>AHNAK</v>
      </c>
      <c r="B476" t="s">
        <v>13</v>
      </c>
      <c r="C476" t="s">
        <v>27</v>
      </c>
      <c r="D476" t="s">
        <v>11</v>
      </c>
      <c r="E476" t="s">
        <v>12</v>
      </c>
      <c r="F476">
        <v>62313090</v>
      </c>
      <c r="G476">
        <v>62313169</v>
      </c>
      <c r="H476">
        <v>62313090</v>
      </c>
      <c r="I476">
        <v>62313169</v>
      </c>
    </row>
    <row r="477" spans="1:9" x14ac:dyDescent="0.2">
      <c r="A477" s="1" t="str">
        <f>"AHNAK2"</f>
        <v>AHNAK2</v>
      </c>
      <c r="B477" t="s">
        <v>9</v>
      </c>
      <c r="C477" t="s">
        <v>41</v>
      </c>
      <c r="D477" t="s">
        <v>11</v>
      </c>
      <c r="E477" t="s">
        <v>12</v>
      </c>
      <c r="F477">
        <v>105436809</v>
      </c>
      <c r="G477">
        <v>105436850</v>
      </c>
      <c r="H477">
        <v>105436809</v>
      </c>
      <c r="I477">
        <v>105436850</v>
      </c>
    </row>
    <row r="478" spans="1:9" x14ac:dyDescent="0.2">
      <c r="A478" s="1" t="str">
        <f>"AHNAK2"</f>
        <v>AHNAK2</v>
      </c>
      <c r="B478" t="s">
        <v>13</v>
      </c>
      <c r="C478" t="s">
        <v>41</v>
      </c>
      <c r="D478" t="s">
        <v>11</v>
      </c>
      <c r="E478" t="s">
        <v>12</v>
      </c>
      <c r="F478">
        <v>105444697</v>
      </c>
      <c r="G478">
        <v>105444718</v>
      </c>
      <c r="H478">
        <v>105444697</v>
      </c>
      <c r="I478">
        <v>105444718</v>
      </c>
    </row>
    <row r="479" spans="1:9" x14ac:dyDescent="0.2">
      <c r="A479" s="1" t="str">
        <f>"AHR"</f>
        <v>AHR</v>
      </c>
      <c r="B479" t="s">
        <v>14</v>
      </c>
      <c r="C479" t="s">
        <v>33</v>
      </c>
      <c r="D479" t="s">
        <v>17</v>
      </c>
      <c r="E479" t="s">
        <v>12</v>
      </c>
      <c r="F479">
        <v>17338266</v>
      </c>
      <c r="G479">
        <v>17338282</v>
      </c>
      <c r="H479">
        <v>17338239</v>
      </c>
      <c r="I479">
        <v>17338262</v>
      </c>
    </row>
    <row r="480" spans="1:9" x14ac:dyDescent="0.2">
      <c r="A480" s="1" t="str">
        <f>"AHRR"</f>
        <v>AHRR</v>
      </c>
      <c r="B480" t="s">
        <v>14</v>
      </c>
      <c r="C480" t="s">
        <v>46</v>
      </c>
      <c r="D480" t="s">
        <v>17</v>
      </c>
      <c r="E480" t="s">
        <v>12</v>
      </c>
      <c r="F480">
        <v>321810</v>
      </c>
      <c r="G480">
        <v>321877</v>
      </c>
      <c r="H480">
        <v>322733</v>
      </c>
      <c r="I480">
        <v>322758</v>
      </c>
    </row>
    <row r="481" spans="1:9" x14ac:dyDescent="0.2">
      <c r="A481" s="1" t="str">
        <f>"AHSA1"</f>
        <v>AHSA1</v>
      </c>
      <c r="B481" t="s">
        <v>14</v>
      </c>
      <c r="C481" t="s">
        <v>41</v>
      </c>
      <c r="D481" t="s">
        <v>17</v>
      </c>
      <c r="E481" t="s">
        <v>12</v>
      </c>
      <c r="F481">
        <v>77924394</v>
      </c>
      <c r="G481">
        <v>77924451</v>
      </c>
      <c r="H481">
        <v>77924458</v>
      </c>
      <c r="I481">
        <v>77924475</v>
      </c>
    </row>
    <row r="482" spans="1:9" x14ac:dyDescent="0.2">
      <c r="A482" s="1" t="str">
        <f>"AHSA2"</f>
        <v>AHSA2</v>
      </c>
      <c r="B482" t="s">
        <v>14</v>
      </c>
      <c r="C482" t="s">
        <v>26</v>
      </c>
      <c r="D482" t="s">
        <v>17</v>
      </c>
      <c r="E482" t="s">
        <v>12</v>
      </c>
      <c r="F482">
        <v>61404545</v>
      </c>
      <c r="G482">
        <v>61404621</v>
      </c>
      <c r="H482">
        <v>61404624</v>
      </c>
      <c r="I482">
        <v>61404666</v>
      </c>
    </row>
    <row r="483" spans="1:9" x14ac:dyDescent="0.2">
      <c r="A483" s="1" t="str">
        <f>"AHSG"</f>
        <v>AHSG</v>
      </c>
      <c r="B483" t="s">
        <v>14</v>
      </c>
      <c r="C483" t="s">
        <v>22</v>
      </c>
      <c r="D483" t="s">
        <v>17</v>
      </c>
      <c r="E483" t="s">
        <v>12</v>
      </c>
      <c r="F483">
        <v>186330841</v>
      </c>
      <c r="G483">
        <v>186330863</v>
      </c>
      <c r="H483">
        <v>186330841</v>
      </c>
      <c r="I483">
        <v>186330863</v>
      </c>
    </row>
    <row r="484" spans="1:9" x14ac:dyDescent="0.2">
      <c r="A484" s="1" t="str">
        <f>"AHSP"</f>
        <v>AHSP</v>
      </c>
      <c r="B484" t="s">
        <v>14</v>
      </c>
      <c r="C484" t="s">
        <v>31</v>
      </c>
      <c r="D484" t="s">
        <v>17</v>
      </c>
      <c r="E484" t="s">
        <v>12</v>
      </c>
      <c r="F484">
        <v>31539197</v>
      </c>
      <c r="G484">
        <v>31539245</v>
      </c>
      <c r="H484">
        <v>31539183</v>
      </c>
      <c r="I484">
        <v>31539194</v>
      </c>
    </row>
    <row r="485" spans="1:9" x14ac:dyDescent="0.2">
      <c r="A485" s="1" t="str">
        <f>"AICDA"</f>
        <v>AICDA</v>
      </c>
      <c r="B485" t="s">
        <v>14</v>
      </c>
      <c r="C485" t="s">
        <v>16</v>
      </c>
      <c r="D485" t="s">
        <v>11</v>
      </c>
      <c r="E485" t="s">
        <v>12</v>
      </c>
      <c r="F485">
        <v>8765446</v>
      </c>
      <c r="G485">
        <v>8765468</v>
      </c>
      <c r="H485">
        <v>8765396</v>
      </c>
      <c r="I485">
        <v>8765408</v>
      </c>
    </row>
    <row r="486" spans="1:9" x14ac:dyDescent="0.2">
      <c r="A486" s="1" t="str">
        <f>"AIDA"</f>
        <v>AIDA</v>
      </c>
      <c r="B486" t="s">
        <v>14</v>
      </c>
      <c r="C486" t="s">
        <v>19</v>
      </c>
      <c r="D486" t="s">
        <v>11</v>
      </c>
      <c r="E486" t="s">
        <v>12</v>
      </c>
      <c r="F486">
        <v>222885791</v>
      </c>
      <c r="G486">
        <v>222885851</v>
      </c>
      <c r="H486">
        <v>222886101</v>
      </c>
      <c r="I486">
        <v>222886135</v>
      </c>
    </row>
    <row r="487" spans="1:9" x14ac:dyDescent="0.2">
      <c r="A487" s="1" t="str">
        <f>"AIF1"</f>
        <v>AIF1</v>
      </c>
      <c r="B487" t="s">
        <v>14</v>
      </c>
      <c r="C487" t="s">
        <v>32</v>
      </c>
      <c r="D487" t="s">
        <v>17</v>
      </c>
      <c r="E487" t="s">
        <v>12</v>
      </c>
      <c r="F487">
        <v>31582990</v>
      </c>
      <c r="G487">
        <v>31583096</v>
      </c>
      <c r="H487">
        <v>31583787</v>
      </c>
      <c r="I487">
        <v>31583826</v>
      </c>
    </row>
    <row r="488" spans="1:9" x14ac:dyDescent="0.2">
      <c r="A488" s="1" t="str">
        <f>"AIF1L"</f>
        <v>AIF1L</v>
      </c>
      <c r="B488" t="s">
        <v>14</v>
      </c>
      <c r="C488" t="s">
        <v>24</v>
      </c>
      <c r="D488" t="s">
        <v>17</v>
      </c>
      <c r="E488" t="s">
        <v>12</v>
      </c>
      <c r="F488">
        <v>133971909</v>
      </c>
      <c r="G488">
        <v>133971927</v>
      </c>
      <c r="H488">
        <v>133971890</v>
      </c>
      <c r="I488">
        <v>133971897</v>
      </c>
    </row>
    <row r="489" spans="1:9" x14ac:dyDescent="0.2">
      <c r="A489" s="1" t="str">
        <f>"AIFM1"</f>
        <v>AIFM1</v>
      </c>
      <c r="B489" t="s">
        <v>14</v>
      </c>
      <c r="C489" t="s">
        <v>37</v>
      </c>
      <c r="D489" t="s">
        <v>11</v>
      </c>
      <c r="E489" t="s">
        <v>12</v>
      </c>
      <c r="F489">
        <v>129299673</v>
      </c>
      <c r="G489">
        <v>129299753</v>
      </c>
      <c r="H489">
        <v>129299808</v>
      </c>
      <c r="I489">
        <v>129299840</v>
      </c>
    </row>
    <row r="490" spans="1:9" x14ac:dyDescent="0.2">
      <c r="A490" s="1" t="str">
        <f>"AIFM2"</f>
        <v>AIFM2</v>
      </c>
      <c r="B490" t="s">
        <v>14</v>
      </c>
      <c r="C490" t="s">
        <v>15</v>
      </c>
      <c r="D490" t="s">
        <v>11</v>
      </c>
      <c r="E490" t="s">
        <v>12</v>
      </c>
      <c r="F490">
        <v>71892555</v>
      </c>
      <c r="G490">
        <v>71892616</v>
      </c>
      <c r="H490">
        <v>71892621</v>
      </c>
      <c r="I490">
        <v>71892640</v>
      </c>
    </row>
    <row r="491" spans="1:9" x14ac:dyDescent="0.2">
      <c r="A491" s="1" t="str">
        <f>"AIFM3"</f>
        <v>AIFM3</v>
      </c>
      <c r="B491" t="s">
        <v>9</v>
      </c>
      <c r="C491" t="s">
        <v>21</v>
      </c>
      <c r="D491" t="s">
        <v>17</v>
      </c>
      <c r="E491" t="s">
        <v>12</v>
      </c>
      <c r="F491">
        <v>21321531</v>
      </c>
      <c r="G491">
        <v>21321556</v>
      </c>
      <c r="H491">
        <v>21321531</v>
      </c>
      <c r="I491">
        <v>21321556</v>
      </c>
    </row>
    <row r="492" spans="1:9" x14ac:dyDescent="0.2">
      <c r="A492" s="1" t="str">
        <f>"AIFM3"</f>
        <v>AIFM3</v>
      </c>
      <c r="B492" t="s">
        <v>13</v>
      </c>
      <c r="C492" t="s">
        <v>21</v>
      </c>
      <c r="D492" t="s">
        <v>17</v>
      </c>
      <c r="E492" t="s">
        <v>12</v>
      </c>
      <c r="F492">
        <v>21319437</v>
      </c>
      <c r="G492">
        <v>21319465</v>
      </c>
      <c r="H492">
        <v>21319437</v>
      </c>
      <c r="I492">
        <v>21319465</v>
      </c>
    </row>
    <row r="493" spans="1:9" x14ac:dyDescent="0.2">
      <c r="A493" s="1" t="str">
        <f>"AIG1"</f>
        <v>AIG1</v>
      </c>
      <c r="B493" t="s">
        <v>14</v>
      </c>
      <c r="C493" t="s">
        <v>32</v>
      </c>
      <c r="D493" t="s">
        <v>17</v>
      </c>
      <c r="E493" t="s">
        <v>12</v>
      </c>
      <c r="F493">
        <v>143382002</v>
      </c>
      <c r="G493">
        <v>143382064</v>
      </c>
      <c r="H493">
        <v>143381796</v>
      </c>
      <c r="I493">
        <v>143381858</v>
      </c>
    </row>
    <row r="494" spans="1:9" x14ac:dyDescent="0.2">
      <c r="A494" s="1" t="str">
        <f>"AIM1"</f>
        <v>AIM1</v>
      </c>
      <c r="B494" t="s">
        <v>14</v>
      </c>
      <c r="C494" t="s">
        <v>32</v>
      </c>
      <c r="D494" t="s">
        <v>17</v>
      </c>
      <c r="E494" t="s">
        <v>12</v>
      </c>
      <c r="F494">
        <v>106960409</v>
      </c>
      <c r="G494">
        <v>106960456</v>
      </c>
      <c r="H494">
        <v>106960409</v>
      </c>
      <c r="I494">
        <v>106960456</v>
      </c>
    </row>
    <row r="495" spans="1:9" x14ac:dyDescent="0.2">
      <c r="A495" s="1" t="str">
        <f>"AIM1L"</f>
        <v>AIM1L</v>
      </c>
      <c r="B495" t="s">
        <v>9</v>
      </c>
      <c r="C495" t="s">
        <v>19</v>
      </c>
      <c r="D495" t="s">
        <v>11</v>
      </c>
      <c r="E495" t="s">
        <v>12</v>
      </c>
      <c r="F495">
        <v>26680570</v>
      </c>
      <c r="G495">
        <v>26680632</v>
      </c>
      <c r="H495">
        <v>26680570</v>
      </c>
      <c r="I495">
        <v>26680632</v>
      </c>
    </row>
    <row r="496" spans="1:9" x14ac:dyDescent="0.2">
      <c r="A496" s="1" t="str">
        <f>"AIM1L"</f>
        <v>AIM1L</v>
      </c>
      <c r="B496" t="s">
        <v>13</v>
      </c>
      <c r="C496" t="s">
        <v>19</v>
      </c>
      <c r="D496" t="s">
        <v>11</v>
      </c>
      <c r="E496" t="s">
        <v>12</v>
      </c>
      <c r="F496">
        <v>26662916</v>
      </c>
      <c r="G496">
        <v>26662951</v>
      </c>
      <c r="H496">
        <v>26662916</v>
      </c>
      <c r="I496">
        <v>26662951</v>
      </c>
    </row>
    <row r="497" spans="1:9" x14ac:dyDescent="0.2">
      <c r="A497" s="1" t="str">
        <f>"AIM2"</f>
        <v>AIM2</v>
      </c>
      <c r="B497" t="s">
        <v>14</v>
      </c>
      <c r="C497" t="s">
        <v>19</v>
      </c>
      <c r="D497" t="s">
        <v>11</v>
      </c>
      <c r="E497" t="s">
        <v>12</v>
      </c>
      <c r="F497">
        <v>159046532</v>
      </c>
      <c r="G497">
        <v>159046595</v>
      </c>
      <c r="H497">
        <v>159046617</v>
      </c>
      <c r="I497">
        <v>159046630</v>
      </c>
    </row>
    <row r="498" spans="1:9" x14ac:dyDescent="0.2">
      <c r="A498" s="1" t="str">
        <f>"AIMP1"</f>
        <v>AIMP1</v>
      </c>
      <c r="B498" t="s">
        <v>14</v>
      </c>
      <c r="C498" t="s">
        <v>23</v>
      </c>
      <c r="D498" t="s">
        <v>17</v>
      </c>
      <c r="E498" t="s">
        <v>12</v>
      </c>
      <c r="F498">
        <v>107237688</v>
      </c>
      <c r="G498">
        <v>107237717</v>
      </c>
      <c r="H498">
        <v>107237660</v>
      </c>
      <c r="I498">
        <v>107237685</v>
      </c>
    </row>
    <row r="499" spans="1:9" x14ac:dyDescent="0.2">
      <c r="A499" s="1" t="str">
        <f>"AIMP2"</f>
        <v>AIMP2</v>
      </c>
      <c r="B499" t="s">
        <v>14</v>
      </c>
      <c r="C499" t="s">
        <v>33</v>
      </c>
      <c r="D499" t="s">
        <v>17</v>
      </c>
      <c r="E499" t="s">
        <v>12</v>
      </c>
      <c r="F499">
        <v>6048856</v>
      </c>
      <c r="G499">
        <v>6048967</v>
      </c>
      <c r="H499">
        <v>6048968</v>
      </c>
      <c r="I499">
        <v>6048987</v>
      </c>
    </row>
    <row r="500" spans="1:9" x14ac:dyDescent="0.2">
      <c r="A500" s="1" t="str">
        <f>"AIP"</f>
        <v>AIP</v>
      </c>
      <c r="B500" t="s">
        <v>14</v>
      </c>
      <c r="C500" t="s">
        <v>27</v>
      </c>
      <c r="D500" t="s">
        <v>17</v>
      </c>
      <c r="E500" t="s">
        <v>12</v>
      </c>
      <c r="F500">
        <v>67250490</v>
      </c>
      <c r="G500">
        <v>67250527</v>
      </c>
      <c r="H500">
        <v>67250581</v>
      </c>
      <c r="I500">
        <v>67250627</v>
      </c>
    </row>
    <row r="501" spans="1:9" x14ac:dyDescent="0.2">
      <c r="A501" s="1" t="str">
        <f>"AIPL1"</f>
        <v>AIPL1</v>
      </c>
      <c r="B501" t="s">
        <v>14</v>
      </c>
      <c r="C501" t="s">
        <v>28</v>
      </c>
      <c r="D501" t="s">
        <v>11</v>
      </c>
      <c r="E501" t="s">
        <v>12</v>
      </c>
      <c r="F501">
        <v>6338428</v>
      </c>
      <c r="G501">
        <v>6338463</v>
      </c>
      <c r="H501">
        <v>6338479</v>
      </c>
      <c r="I501">
        <v>6338490</v>
      </c>
    </row>
    <row r="502" spans="1:9" x14ac:dyDescent="0.2">
      <c r="A502" s="1" t="str">
        <f>"AIRE"</f>
        <v>AIRE</v>
      </c>
      <c r="B502" t="s">
        <v>14</v>
      </c>
      <c r="C502" t="s">
        <v>42</v>
      </c>
      <c r="D502" t="s">
        <v>17</v>
      </c>
      <c r="E502" t="s">
        <v>12</v>
      </c>
      <c r="F502">
        <v>45705752</v>
      </c>
      <c r="G502">
        <v>45705767</v>
      </c>
      <c r="H502">
        <v>45705733</v>
      </c>
      <c r="I502">
        <v>45705743</v>
      </c>
    </row>
    <row r="503" spans="1:9" x14ac:dyDescent="0.2">
      <c r="A503" s="1" t="str">
        <f>"AJAP1"</f>
        <v>AJAP1</v>
      </c>
      <c r="B503" t="s">
        <v>14</v>
      </c>
      <c r="C503" t="s">
        <v>19</v>
      </c>
      <c r="D503" t="s">
        <v>17</v>
      </c>
      <c r="E503" t="s">
        <v>12</v>
      </c>
      <c r="F503">
        <v>4714656</v>
      </c>
      <c r="G503">
        <v>4714675</v>
      </c>
      <c r="H503">
        <v>4714828</v>
      </c>
      <c r="I503">
        <v>4714861</v>
      </c>
    </row>
    <row r="504" spans="1:9" x14ac:dyDescent="0.2">
      <c r="A504" s="1" t="str">
        <f>"AJUBA"</f>
        <v>AJUBA</v>
      </c>
      <c r="B504" t="s">
        <v>14</v>
      </c>
      <c r="C504" t="s">
        <v>41</v>
      </c>
      <c r="D504" t="s">
        <v>11</v>
      </c>
      <c r="E504" t="s">
        <v>12</v>
      </c>
      <c r="F504">
        <v>23451725</v>
      </c>
      <c r="G504">
        <v>23451742</v>
      </c>
      <c r="H504">
        <v>23451753</v>
      </c>
      <c r="I504">
        <v>23451767</v>
      </c>
    </row>
    <row r="505" spans="1:9" x14ac:dyDescent="0.2">
      <c r="A505" s="1" t="str">
        <f>"AK1"</f>
        <v>AK1</v>
      </c>
      <c r="B505" t="s">
        <v>14</v>
      </c>
      <c r="C505" t="s">
        <v>24</v>
      </c>
      <c r="D505" t="s">
        <v>11</v>
      </c>
      <c r="E505" t="s">
        <v>12</v>
      </c>
      <c r="F505">
        <v>130639944</v>
      </c>
      <c r="G505">
        <v>130639961</v>
      </c>
      <c r="H505">
        <v>130639970</v>
      </c>
      <c r="I505">
        <v>130639996</v>
      </c>
    </row>
    <row r="506" spans="1:9" x14ac:dyDescent="0.2">
      <c r="A506" s="1" t="str">
        <f>"AK2"</f>
        <v>AK2</v>
      </c>
      <c r="B506" t="s">
        <v>14</v>
      </c>
      <c r="C506" t="s">
        <v>19</v>
      </c>
      <c r="D506" t="s">
        <v>11</v>
      </c>
      <c r="E506" t="s">
        <v>12</v>
      </c>
      <c r="F506">
        <v>33502473</v>
      </c>
      <c r="G506">
        <v>33502500</v>
      </c>
      <c r="H506">
        <v>33502473</v>
      </c>
      <c r="I506">
        <v>33502500</v>
      </c>
    </row>
    <row r="507" spans="1:9" x14ac:dyDescent="0.2">
      <c r="A507" s="1" t="str">
        <f>"AK3"</f>
        <v>AK3</v>
      </c>
      <c r="B507" t="s">
        <v>14</v>
      </c>
      <c r="C507" t="s">
        <v>24</v>
      </c>
      <c r="D507" t="s">
        <v>11</v>
      </c>
      <c r="E507" t="s">
        <v>12</v>
      </c>
      <c r="F507">
        <v>4741182</v>
      </c>
      <c r="G507">
        <v>4741211</v>
      </c>
      <c r="H507">
        <v>4741217</v>
      </c>
      <c r="I507">
        <v>4741234</v>
      </c>
    </row>
    <row r="508" spans="1:9" x14ac:dyDescent="0.2">
      <c r="A508" s="1" t="str">
        <f>"AK4"</f>
        <v>AK4</v>
      </c>
      <c r="B508" t="s">
        <v>14</v>
      </c>
      <c r="C508" t="s">
        <v>19</v>
      </c>
      <c r="D508" t="s">
        <v>17</v>
      </c>
      <c r="E508" t="s">
        <v>12</v>
      </c>
      <c r="F508">
        <v>65613852</v>
      </c>
      <c r="G508">
        <v>65613892</v>
      </c>
      <c r="H508">
        <v>65613217</v>
      </c>
      <c r="I508">
        <v>65613331</v>
      </c>
    </row>
    <row r="509" spans="1:9" x14ac:dyDescent="0.2">
      <c r="A509" s="1" t="str">
        <f>"AK5"</f>
        <v>AK5</v>
      </c>
      <c r="B509" t="s">
        <v>14</v>
      </c>
      <c r="C509" t="s">
        <v>19</v>
      </c>
      <c r="D509" t="s">
        <v>17</v>
      </c>
      <c r="E509" t="s">
        <v>12</v>
      </c>
      <c r="F509">
        <v>77747656</v>
      </c>
      <c r="G509">
        <v>77747766</v>
      </c>
      <c r="H509">
        <v>77747848</v>
      </c>
      <c r="I509">
        <v>77747884</v>
      </c>
    </row>
    <row r="510" spans="1:9" x14ac:dyDescent="0.2">
      <c r="A510" s="1" t="str">
        <f>"AK7"</f>
        <v>AK7</v>
      </c>
      <c r="B510" t="s">
        <v>14</v>
      </c>
      <c r="C510" t="s">
        <v>41</v>
      </c>
      <c r="D510" t="s">
        <v>17</v>
      </c>
      <c r="E510" t="s">
        <v>12</v>
      </c>
      <c r="F510">
        <v>96858454</v>
      </c>
      <c r="G510">
        <v>96858492</v>
      </c>
      <c r="H510">
        <v>96858433</v>
      </c>
      <c r="I510">
        <v>96858453</v>
      </c>
    </row>
    <row r="511" spans="1:9" x14ac:dyDescent="0.2">
      <c r="A511" s="1" t="str">
        <f>"AK8"</f>
        <v>AK8</v>
      </c>
      <c r="B511" t="s">
        <v>14</v>
      </c>
      <c r="C511" t="s">
        <v>24</v>
      </c>
      <c r="D511" t="s">
        <v>11</v>
      </c>
      <c r="E511" t="s">
        <v>12</v>
      </c>
      <c r="F511">
        <v>135753649</v>
      </c>
      <c r="G511">
        <v>135753688</v>
      </c>
      <c r="H511">
        <v>135754375</v>
      </c>
      <c r="I511">
        <v>135754413</v>
      </c>
    </row>
    <row r="512" spans="1:9" x14ac:dyDescent="0.2">
      <c r="A512" s="1" t="str">
        <f>"AK9"</f>
        <v>AK9</v>
      </c>
      <c r="B512" t="s">
        <v>14</v>
      </c>
      <c r="C512" t="s">
        <v>32</v>
      </c>
      <c r="D512" t="s">
        <v>11</v>
      </c>
      <c r="E512" t="s">
        <v>12</v>
      </c>
      <c r="F512">
        <v>110012380</v>
      </c>
      <c r="G512">
        <v>110012410</v>
      </c>
      <c r="H512">
        <v>110012364</v>
      </c>
      <c r="I512">
        <v>110012379</v>
      </c>
    </row>
    <row r="513" spans="1:9" x14ac:dyDescent="0.2">
      <c r="A513" s="1" t="str">
        <f>"AKAP1"</f>
        <v>AKAP1</v>
      </c>
      <c r="B513" t="s">
        <v>14</v>
      </c>
      <c r="C513" t="s">
        <v>28</v>
      </c>
      <c r="D513" t="s">
        <v>17</v>
      </c>
      <c r="E513" t="s">
        <v>12</v>
      </c>
      <c r="F513">
        <v>55162595</v>
      </c>
      <c r="G513">
        <v>55162624</v>
      </c>
      <c r="H513">
        <v>55162631</v>
      </c>
      <c r="I513">
        <v>55162650</v>
      </c>
    </row>
    <row r="514" spans="1:9" x14ac:dyDescent="0.2">
      <c r="A514" s="1" t="str">
        <f>"AKAP10"</f>
        <v>AKAP10</v>
      </c>
      <c r="B514" t="s">
        <v>14</v>
      </c>
      <c r="C514" t="s">
        <v>28</v>
      </c>
      <c r="D514" t="s">
        <v>11</v>
      </c>
      <c r="E514" t="s">
        <v>12</v>
      </c>
      <c r="F514">
        <v>19881113</v>
      </c>
      <c r="G514">
        <v>19881156</v>
      </c>
      <c r="H514">
        <v>19881113</v>
      </c>
      <c r="I514">
        <v>19881156</v>
      </c>
    </row>
    <row r="515" spans="1:9" x14ac:dyDescent="0.2">
      <c r="A515" s="1" t="str">
        <f>"AKAP11"</f>
        <v>AKAP11</v>
      </c>
      <c r="B515" t="s">
        <v>14</v>
      </c>
      <c r="C515" t="s">
        <v>39</v>
      </c>
      <c r="D515" t="s">
        <v>17</v>
      </c>
      <c r="E515" t="s">
        <v>12</v>
      </c>
      <c r="F515">
        <v>42846272</v>
      </c>
      <c r="G515">
        <v>42846334</v>
      </c>
      <c r="H515">
        <v>42846149</v>
      </c>
      <c r="I515">
        <v>42846213</v>
      </c>
    </row>
    <row r="516" spans="1:9" x14ac:dyDescent="0.2">
      <c r="A516" s="1" t="str">
        <f>"AKAP12"</f>
        <v>AKAP12</v>
      </c>
      <c r="B516" t="s">
        <v>9</v>
      </c>
      <c r="C516" t="s">
        <v>32</v>
      </c>
      <c r="D516" t="s">
        <v>17</v>
      </c>
      <c r="E516" t="s">
        <v>12</v>
      </c>
      <c r="F516">
        <v>151561535</v>
      </c>
      <c r="G516">
        <v>151561551</v>
      </c>
      <c r="H516">
        <v>151561535</v>
      </c>
      <c r="I516">
        <v>151561551</v>
      </c>
    </row>
    <row r="517" spans="1:9" x14ac:dyDescent="0.2">
      <c r="A517" s="1" t="str">
        <f>"AKAP12"</f>
        <v>AKAP12</v>
      </c>
      <c r="B517" t="s">
        <v>13</v>
      </c>
      <c r="C517" t="s">
        <v>32</v>
      </c>
      <c r="D517" t="s">
        <v>17</v>
      </c>
      <c r="E517" t="s">
        <v>12</v>
      </c>
      <c r="F517">
        <v>151646800</v>
      </c>
      <c r="G517">
        <v>151646817</v>
      </c>
      <c r="H517">
        <v>151646800</v>
      </c>
      <c r="I517">
        <v>151646817</v>
      </c>
    </row>
    <row r="518" spans="1:9" x14ac:dyDescent="0.2">
      <c r="A518" s="1" t="str">
        <f>"AKAP13"</f>
        <v>AKAP13</v>
      </c>
      <c r="B518" t="s">
        <v>14</v>
      </c>
      <c r="C518" t="s">
        <v>25</v>
      </c>
      <c r="D518" t="s">
        <v>17</v>
      </c>
      <c r="E518" t="s">
        <v>12</v>
      </c>
      <c r="F518">
        <v>85923797</v>
      </c>
      <c r="G518">
        <v>85923844</v>
      </c>
      <c r="H518">
        <v>85923797</v>
      </c>
      <c r="I518">
        <v>85923844</v>
      </c>
    </row>
    <row r="519" spans="1:9" x14ac:dyDescent="0.2">
      <c r="A519" s="1" t="str">
        <f>"AKAP14"</f>
        <v>AKAP14</v>
      </c>
      <c r="B519" t="s">
        <v>14</v>
      </c>
      <c r="C519" t="s">
        <v>37</v>
      </c>
      <c r="D519" t="s">
        <v>17</v>
      </c>
      <c r="E519" t="s">
        <v>12</v>
      </c>
      <c r="F519">
        <v>119030118</v>
      </c>
      <c r="G519">
        <v>119030179</v>
      </c>
      <c r="H519">
        <v>119030118</v>
      </c>
      <c r="I519">
        <v>119030179</v>
      </c>
    </row>
    <row r="520" spans="1:9" x14ac:dyDescent="0.2">
      <c r="A520" s="1" t="str">
        <f>"AKAP17A"</f>
        <v>AKAP17A</v>
      </c>
      <c r="B520" t="s">
        <v>14</v>
      </c>
      <c r="C520" t="s">
        <v>37</v>
      </c>
      <c r="D520" t="s">
        <v>17</v>
      </c>
      <c r="E520" t="s">
        <v>12</v>
      </c>
      <c r="F520">
        <v>1710484</v>
      </c>
      <c r="G520">
        <v>1710537</v>
      </c>
      <c r="H520">
        <v>1710540</v>
      </c>
      <c r="I520">
        <v>1710558</v>
      </c>
    </row>
    <row r="521" spans="1:9" x14ac:dyDescent="0.2">
      <c r="A521" s="1" t="str">
        <f>"AKAP2"</f>
        <v>AKAP2</v>
      </c>
      <c r="B521" t="s">
        <v>14</v>
      </c>
      <c r="C521" t="s">
        <v>24</v>
      </c>
      <c r="D521" t="s">
        <v>17</v>
      </c>
      <c r="E521" t="s">
        <v>12</v>
      </c>
      <c r="F521">
        <v>112810962</v>
      </c>
      <c r="G521">
        <v>112810985</v>
      </c>
      <c r="H521">
        <v>112810987</v>
      </c>
      <c r="I521">
        <v>112811004</v>
      </c>
    </row>
    <row r="522" spans="1:9" x14ac:dyDescent="0.2">
      <c r="A522" s="1" t="str">
        <f>"AKAP3"</f>
        <v>AKAP3</v>
      </c>
      <c r="B522" t="s">
        <v>9</v>
      </c>
      <c r="C522" t="s">
        <v>16</v>
      </c>
      <c r="D522" t="s">
        <v>11</v>
      </c>
      <c r="E522" t="s">
        <v>12</v>
      </c>
      <c r="F522">
        <v>4758159</v>
      </c>
      <c r="G522">
        <v>4758232</v>
      </c>
      <c r="H522">
        <v>4758159</v>
      </c>
      <c r="I522">
        <v>4758232</v>
      </c>
    </row>
    <row r="523" spans="1:9" x14ac:dyDescent="0.2">
      <c r="A523" s="1" t="str">
        <f>"AKAP3"</f>
        <v>AKAP3</v>
      </c>
      <c r="B523" t="s">
        <v>13</v>
      </c>
      <c r="C523" t="s">
        <v>16</v>
      </c>
      <c r="D523" t="s">
        <v>11</v>
      </c>
      <c r="E523" t="s">
        <v>12</v>
      </c>
      <c r="F523">
        <v>4754318</v>
      </c>
      <c r="G523">
        <v>4754331</v>
      </c>
      <c r="H523">
        <v>4754318</v>
      </c>
      <c r="I523">
        <v>4754331</v>
      </c>
    </row>
    <row r="524" spans="1:9" x14ac:dyDescent="0.2">
      <c r="A524" s="1" t="str">
        <f>"AKAP4"</f>
        <v>AKAP4</v>
      </c>
      <c r="B524" t="s">
        <v>14</v>
      </c>
      <c r="C524" t="s">
        <v>37</v>
      </c>
      <c r="D524" t="s">
        <v>11</v>
      </c>
      <c r="E524" t="s">
        <v>12</v>
      </c>
      <c r="F524">
        <v>49965017</v>
      </c>
      <c r="G524">
        <v>49965030</v>
      </c>
      <c r="H524">
        <v>49965639</v>
      </c>
      <c r="I524">
        <v>49965662</v>
      </c>
    </row>
    <row r="525" spans="1:9" x14ac:dyDescent="0.2">
      <c r="A525" s="1" t="str">
        <f>"AKAP5"</f>
        <v>AKAP5</v>
      </c>
      <c r="B525" t="s">
        <v>14</v>
      </c>
      <c r="C525" t="s">
        <v>41</v>
      </c>
      <c r="D525" t="s">
        <v>17</v>
      </c>
      <c r="E525" t="s">
        <v>12</v>
      </c>
      <c r="F525">
        <v>64932210</v>
      </c>
      <c r="G525">
        <v>64932226</v>
      </c>
      <c r="H525">
        <v>64932186</v>
      </c>
      <c r="I525">
        <v>64932205</v>
      </c>
    </row>
    <row r="526" spans="1:9" x14ac:dyDescent="0.2">
      <c r="A526" s="1" t="str">
        <f>"AKAP6"</f>
        <v>AKAP6</v>
      </c>
      <c r="B526" t="s">
        <v>14</v>
      </c>
      <c r="C526" t="s">
        <v>41</v>
      </c>
      <c r="D526" t="s">
        <v>17</v>
      </c>
      <c r="E526" t="s">
        <v>12</v>
      </c>
      <c r="F526">
        <v>32798462</v>
      </c>
      <c r="G526">
        <v>32798539</v>
      </c>
      <c r="H526">
        <v>32798462</v>
      </c>
      <c r="I526">
        <v>32798539</v>
      </c>
    </row>
    <row r="527" spans="1:9" x14ac:dyDescent="0.2">
      <c r="A527" s="1" t="str">
        <f>"AKAP7"</f>
        <v>AKAP7</v>
      </c>
      <c r="B527" t="s">
        <v>14</v>
      </c>
      <c r="C527" t="s">
        <v>32</v>
      </c>
      <c r="D527" t="s">
        <v>17</v>
      </c>
      <c r="E527" t="s">
        <v>12</v>
      </c>
      <c r="F527">
        <v>131456549</v>
      </c>
      <c r="G527">
        <v>131456644</v>
      </c>
      <c r="H527">
        <v>131456549</v>
      </c>
      <c r="I527">
        <v>131456644</v>
      </c>
    </row>
    <row r="528" spans="1:9" x14ac:dyDescent="0.2">
      <c r="A528" s="1" t="str">
        <f>"AKAP8"</f>
        <v>AKAP8</v>
      </c>
      <c r="B528" t="s">
        <v>14</v>
      </c>
      <c r="C528" t="s">
        <v>10</v>
      </c>
      <c r="D528" t="s">
        <v>11</v>
      </c>
      <c r="E528" t="s">
        <v>12</v>
      </c>
      <c r="F528">
        <v>15490568</v>
      </c>
      <c r="G528">
        <v>15490606</v>
      </c>
      <c r="H528">
        <v>15490613</v>
      </c>
      <c r="I528">
        <v>15490632</v>
      </c>
    </row>
    <row r="529" spans="1:9" x14ac:dyDescent="0.2">
      <c r="A529" s="1" t="str">
        <f>"AKAP8L"</f>
        <v>AKAP8L</v>
      </c>
      <c r="B529" t="s">
        <v>14</v>
      </c>
      <c r="C529" t="s">
        <v>10</v>
      </c>
      <c r="D529" t="s">
        <v>11</v>
      </c>
      <c r="E529" t="s">
        <v>12</v>
      </c>
      <c r="F529">
        <v>15529790</v>
      </c>
      <c r="G529">
        <v>15529845</v>
      </c>
      <c r="H529">
        <v>15529772</v>
      </c>
      <c r="I529">
        <v>15529786</v>
      </c>
    </row>
    <row r="530" spans="1:9" x14ac:dyDescent="0.2">
      <c r="A530" s="1" t="str">
        <f>"AKAP9"</f>
        <v>AKAP9</v>
      </c>
      <c r="B530" t="s">
        <v>14</v>
      </c>
      <c r="C530" t="s">
        <v>33</v>
      </c>
      <c r="D530" t="s">
        <v>17</v>
      </c>
      <c r="E530" t="s">
        <v>12</v>
      </c>
      <c r="F530">
        <v>91570165</v>
      </c>
      <c r="G530">
        <v>91570197</v>
      </c>
      <c r="H530">
        <v>91570244</v>
      </c>
      <c r="I530">
        <v>91570266</v>
      </c>
    </row>
    <row r="531" spans="1:9" x14ac:dyDescent="0.2">
      <c r="A531" s="1" t="str">
        <f>"AKIP1"</f>
        <v>AKIP1</v>
      </c>
      <c r="B531" t="s">
        <v>14</v>
      </c>
      <c r="C531" t="s">
        <v>27</v>
      </c>
      <c r="D531" t="s">
        <v>17</v>
      </c>
      <c r="E531" t="s">
        <v>12</v>
      </c>
      <c r="F531">
        <v>8932715</v>
      </c>
      <c r="G531">
        <v>8932762</v>
      </c>
      <c r="H531">
        <v>8932654</v>
      </c>
      <c r="I531">
        <v>8932682</v>
      </c>
    </row>
    <row r="532" spans="1:9" x14ac:dyDescent="0.2">
      <c r="A532" s="1" t="str">
        <f>"AKIRIN1"</f>
        <v>AKIRIN1</v>
      </c>
      <c r="B532" t="s">
        <v>14</v>
      </c>
      <c r="C532" t="s">
        <v>19</v>
      </c>
      <c r="D532" t="s">
        <v>17</v>
      </c>
      <c r="E532" t="s">
        <v>12</v>
      </c>
      <c r="F532">
        <v>39456911</v>
      </c>
      <c r="G532">
        <v>39456986</v>
      </c>
      <c r="H532">
        <v>39457224</v>
      </c>
      <c r="I532">
        <v>39457243</v>
      </c>
    </row>
    <row r="533" spans="1:9" x14ac:dyDescent="0.2">
      <c r="A533" s="1" t="str">
        <f>"AKIRIN2"</f>
        <v>AKIRIN2</v>
      </c>
      <c r="B533" t="s">
        <v>14</v>
      </c>
      <c r="C533" t="s">
        <v>32</v>
      </c>
      <c r="D533" t="s">
        <v>11</v>
      </c>
      <c r="E533" t="s">
        <v>12</v>
      </c>
      <c r="F533">
        <v>88411939</v>
      </c>
      <c r="G533">
        <v>88412012</v>
      </c>
      <c r="H533">
        <v>88411583</v>
      </c>
      <c r="I533">
        <v>88411636</v>
      </c>
    </row>
    <row r="534" spans="1:9" x14ac:dyDescent="0.2">
      <c r="A534" s="1" t="str">
        <f>"AKNA"</f>
        <v>AKNA</v>
      </c>
      <c r="B534" t="s">
        <v>9</v>
      </c>
      <c r="C534" t="s">
        <v>24</v>
      </c>
      <c r="D534" t="s">
        <v>11</v>
      </c>
      <c r="E534" t="s">
        <v>12</v>
      </c>
      <c r="F534">
        <v>117150254</v>
      </c>
      <c r="G534">
        <v>117150271</v>
      </c>
      <c r="H534">
        <v>117150254</v>
      </c>
      <c r="I534">
        <v>117150271</v>
      </c>
    </row>
    <row r="535" spans="1:9" x14ac:dyDescent="0.2">
      <c r="A535" s="1" t="str">
        <f>"AKNA"</f>
        <v>AKNA</v>
      </c>
      <c r="B535" t="s">
        <v>13</v>
      </c>
      <c r="C535" t="s">
        <v>24</v>
      </c>
      <c r="D535" t="s">
        <v>11</v>
      </c>
      <c r="E535" t="s">
        <v>12</v>
      </c>
      <c r="F535">
        <v>117160738</v>
      </c>
      <c r="G535">
        <v>117160782</v>
      </c>
      <c r="H535">
        <v>117160738</v>
      </c>
      <c r="I535">
        <v>117160782</v>
      </c>
    </row>
    <row r="536" spans="1:9" x14ac:dyDescent="0.2">
      <c r="A536" s="1" t="str">
        <f>"AKNAD1"</f>
        <v>AKNAD1</v>
      </c>
      <c r="B536" t="s">
        <v>60</v>
      </c>
      <c r="C536" t="s">
        <v>19</v>
      </c>
      <c r="D536" t="s">
        <v>11</v>
      </c>
      <c r="E536" t="s">
        <v>20</v>
      </c>
      <c r="F536">
        <v>109399715</v>
      </c>
      <c r="G536">
        <v>109399715</v>
      </c>
      <c r="H536">
        <v>109399715</v>
      </c>
      <c r="I536">
        <v>109399715</v>
      </c>
    </row>
    <row r="537" spans="1:9" x14ac:dyDescent="0.2">
      <c r="A537" s="1" t="str">
        <f>"AKR1A1"</f>
        <v>AKR1A1</v>
      </c>
      <c r="B537" t="s">
        <v>14</v>
      </c>
      <c r="C537" t="s">
        <v>19</v>
      </c>
      <c r="D537" t="s">
        <v>17</v>
      </c>
      <c r="E537" t="s">
        <v>12</v>
      </c>
      <c r="F537">
        <v>46016465</v>
      </c>
      <c r="G537">
        <v>46016544</v>
      </c>
      <c r="H537">
        <v>46016703</v>
      </c>
      <c r="I537">
        <v>46016755</v>
      </c>
    </row>
    <row r="538" spans="1:9" x14ac:dyDescent="0.2">
      <c r="A538" s="1" t="str">
        <f>"AKR1B1"</f>
        <v>AKR1B1</v>
      </c>
      <c r="B538" t="s">
        <v>14</v>
      </c>
      <c r="C538" t="s">
        <v>33</v>
      </c>
      <c r="D538" t="s">
        <v>11</v>
      </c>
      <c r="E538" t="s">
        <v>12</v>
      </c>
      <c r="F538">
        <v>134143841</v>
      </c>
      <c r="G538">
        <v>134143924</v>
      </c>
      <c r="H538">
        <v>134143929</v>
      </c>
      <c r="I538">
        <v>134143941</v>
      </c>
    </row>
    <row r="539" spans="1:9" x14ac:dyDescent="0.2">
      <c r="A539" s="1" t="str">
        <f>"AKR1B10"</f>
        <v>AKR1B10</v>
      </c>
      <c r="B539" t="s">
        <v>14</v>
      </c>
      <c r="C539" t="s">
        <v>33</v>
      </c>
      <c r="D539" t="s">
        <v>17</v>
      </c>
      <c r="E539" t="s">
        <v>12</v>
      </c>
      <c r="F539">
        <v>134212312</v>
      </c>
      <c r="G539">
        <v>134212329</v>
      </c>
      <c r="H539">
        <v>134212296</v>
      </c>
      <c r="I539">
        <v>134212311</v>
      </c>
    </row>
    <row r="540" spans="1:9" x14ac:dyDescent="0.2">
      <c r="A540" s="1" t="str">
        <f>"AKR1B15"</f>
        <v>AKR1B15</v>
      </c>
      <c r="B540" t="s">
        <v>14</v>
      </c>
      <c r="C540" t="s">
        <v>33</v>
      </c>
      <c r="D540" t="s">
        <v>17</v>
      </c>
      <c r="E540" t="s">
        <v>12</v>
      </c>
      <c r="F540">
        <v>134233840</v>
      </c>
      <c r="G540">
        <v>134233871</v>
      </c>
      <c r="H540">
        <v>134233840</v>
      </c>
      <c r="I540">
        <v>134233871</v>
      </c>
    </row>
    <row r="541" spans="1:9" x14ac:dyDescent="0.2">
      <c r="A541" s="1" t="str">
        <f>"AKR1C1"</f>
        <v>AKR1C1</v>
      </c>
      <c r="B541" t="s">
        <v>14</v>
      </c>
      <c r="C541" t="s">
        <v>15</v>
      </c>
      <c r="D541" t="s">
        <v>17</v>
      </c>
      <c r="E541" t="s">
        <v>12</v>
      </c>
      <c r="F541">
        <v>5005598</v>
      </c>
      <c r="G541">
        <v>5005621</v>
      </c>
      <c r="H541">
        <v>5005571</v>
      </c>
      <c r="I541">
        <v>5005578</v>
      </c>
    </row>
    <row r="542" spans="1:9" x14ac:dyDescent="0.2">
      <c r="A542" s="1" t="str">
        <f>"AKR1C2"</f>
        <v>AKR1C2</v>
      </c>
      <c r="B542" t="s">
        <v>9</v>
      </c>
      <c r="C542" t="s">
        <v>15</v>
      </c>
      <c r="D542" t="s">
        <v>11</v>
      </c>
      <c r="E542" t="s">
        <v>12</v>
      </c>
      <c r="F542">
        <v>5046042</v>
      </c>
      <c r="G542">
        <v>5046058</v>
      </c>
      <c r="H542">
        <v>5046042</v>
      </c>
      <c r="I542">
        <v>5046058</v>
      </c>
    </row>
    <row r="543" spans="1:9" x14ac:dyDescent="0.2">
      <c r="A543" s="1" t="str">
        <f>"AKR1C2"</f>
        <v>AKR1C2</v>
      </c>
      <c r="B543" t="s">
        <v>13</v>
      </c>
      <c r="C543" t="s">
        <v>15</v>
      </c>
      <c r="D543" t="s">
        <v>11</v>
      </c>
      <c r="E543" t="s">
        <v>12</v>
      </c>
      <c r="F543">
        <v>5060148</v>
      </c>
      <c r="G543">
        <v>5060171</v>
      </c>
      <c r="H543">
        <v>5060148</v>
      </c>
      <c r="I543">
        <v>5060171</v>
      </c>
    </row>
    <row r="544" spans="1:9" x14ac:dyDescent="0.2">
      <c r="A544" s="1" t="str">
        <f>"AKR1C3"</f>
        <v>AKR1C3</v>
      </c>
      <c r="B544" t="s">
        <v>14</v>
      </c>
      <c r="C544" t="s">
        <v>15</v>
      </c>
      <c r="D544" t="s">
        <v>17</v>
      </c>
      <c r="E544" t="s">
        <v>12</v>
      </c>
      <c r="F544">
        <v>5136595</v>
      </c>
      <c r="G544">
        <v>5136628</v>
      </c>
      <c r="H544">
        <v>5136559</v>
      </c>
      <c r="I544">
        <v>5136591</v>
      </c>
    </row>
    <row r="545" spans="1:9" x14ac:dyDescent="0.2">
      <c r="A545" s="1" t="str">
        <f>"AKR1C4"</f>
        <v>AKR1C4</v>
      </c>
      <c r="B545" t="s">
        <v>14</v>
      </c>
      <c r="C545" t="s">
        <v>15</v>
      </c>
      <c r="D545" t="s">
        <v>17</v>
      </c>
      <c r="E545" t="s">
        <v>12</v>
      </c>
      <c r="F545">
        <v>5238793</v>
      </c>
      <c r="G545">
        <v>5238807</v>
      </c>
      <c r="H545">
        <v>5238793</v>
      </c>
      <c r="I545">
        <v>5238807</v>
      </c>
    </row>
    <row r="546" spans="1:9" x14ac:dyDescent="0.2">
      <c r="A546" s="1" t="str">
        <f>"AKR1D1"</f>
        <v>AKR1D1</v>
      </c>
      <c r="B546" t="s">
        <v>14</v>
      </c>
      <c r="C546" t="s">
        <v>33</v>
      </c>
      <c r="D546" t="s">
        <v>17</v>
      </c>
      <c r="E546" t="s">
        <v>12</v>
      </c>
      <c r="F546">
        <v>137761199</v>
      </c>
      <c r="G546">
        <v>137761219</v>
      </c>
      <c r="H546">
        <v>137761220</v>
      </c>
      <c r="I546">
        <v>137761251</v>
      </c>
    </row>
    <row r="547" spans="1:9" x14ac:dyDescent="0.2">
      <c r="A547" s="1" t="str">
        <f>"AKR1E2"</f>
        <v>AKR1E2</v>
      </c>
      <c r="B547" t="s">
        <v>14</v>
      </c>
      <c r="C547" t="s">
        <v>15</v>
      </c>
      <c r="D547" t="s">
        <v>17</v>
      </c>
      <c r="E547" t="s">
        <v>12</v>
      </c>
      <c r="F547">
        <v>4868392</v>
      </c>
      <c r="G547">
        <v>4868424</v>
      </c>
      <c r="H547">
        <v>4868362</v>
      </c>
      <c r="I547">
        <v>4868389</v>
      </c>
    </row>
    <row r="548" spans="1:9" x14ac:dyDescent="0.2">
      <c r="A548" s="1" t="str">
        <f>"AKR7A2"</f>
        <v>AKR7A2</v>
      </c>
      <c r="B548" t="s">
        <v>14</v>
      </c>
      <c r="C548" t="s">
        <v>19</v>
      </c>
      <c r="D548" t="s">
        <v>11</v>
      </c>
      <c r="E548" t="s">
        <v>12</v>
      </c>
      <c r="F548">
        <v>19638566</v>
      </c>
      <c r="G548">
        <v>19638643</v>
      </c>
      <c r="H548">
        <v>19638415</v>
      </c>
      <c r="I548">
        <v>19638441</v>
      </c>
    </row>
    <row r="549" spans="1:9" x14ac:dyDescent="0.2">
      <c r="A549" s="1" t="str">
        <f>"AKR7A3"</f>
        <v>AKR7A3</v>
      </c>
      <c r="B549" t="s">
        <v>14</v>
      </c>
      <c r="C549" t="s">
        <v>19</v>
      </c>
      <c r="D549" t="s">
        <v>11</v>
      </c>
      <c r="E549" t="s">
        <v>12</v>
      </c>
      <c r="F549">
        <v>19615301</v>
      </c>
      <c r="G549">
        <v>19615317</v>
      </c>
      <c r="H549">
        <v>19615569</v>
      </c>
      <c r="I549">
        <v>19615599</v>
      </c>
    </row>
    <row r="550" spans="1:9" x14ac:dyDescent="0.2">
      <c r="A550" s="1" t="str">
        <f>"AKT1"</f>
        <v>AKT1</v>
      </c>
      <c r="B550" t="s">
        <v>14</v>
      </c>
      <c r="C550" t="s">
        <v>41</v>
      </c>
      <c r="D550" t="s">
        <v>11</v>
      </c>
      <c r="E550" t="s">
        <v>12</v>
      </c>
      <c r="F550">
        <v>105262055</v>
      </c>
      <c r="G550">
        <v>105262107</v>
      </c>
      <c r="H550">
        <v>105262032</v>
      </c>
      <c r="I550">
        <v>105262054</v>
      </c>
    </row>
    <row r="551" spans="1:9" x14ac:dyDescent="0.2">
      <c r="A551" s="1" t="str">
        <f>"AKT1S1"</f>
        <v>AKT1S1</v>
      </c>
      <c r="B551" t="s">
        <v>14</v>
      </c>
      <c r="C551" t="s">
        <v>10</v>
      </c>
      <c r="D551" t="s">
        <v>11</v>
      </c>
      <c r="E551" t="s">
        <v>12</v>
      </c>
      <c r="F551">
        <v>50379867</v>
      </c>
      <c r="G551">
        <v>50379920</v>
      </c>
      <c r="H551">
        <v>50380541</v>
      </c>
      <c r="I551">
        <v>50380618</v>
      </c>
    </row>
    <row r="552" spans="1:9" x14ac:dyDescent="0.2">
      <c r="A552" s="1" t="str">
        <f>"AKT2"</f>
        <v>AKT2</v>
      </c>
      <c r="B552" t="s">
        <v>14</v>
      </c>
      <c r="C552" t="s">
        <v>10</v>
      </c>
      <c r="D552" t="s">
        <v>11</v>
      </c>
      <c r="E552" t="s">
        <v>12</v>
      </c>
      <c r="F552">
        <v>40791211</v>
      </c>
      <c r="G552">
        <v>40791269</v>
      </c>
      <c r="H552">
        <v>40791316</v>
      </c>
      <c r="I552">
        <v>40791359</v>
      </c>
    </row>
    <row r="553" spans="1:9" x14ac:dyDescent="0.2">
      <c r="A553" s="1" t="str">
        <f>"AKT3"</f>
        <v>AKT3</v>
      </c>
      <c r="B553" t="s">
        <v>14</v>
      </c>
      <c r="C553" t="s">
        <v>19</v>
      </c>
      <c r="D553" t="s">
        <v>11</v>
      </c>
      <c r="E553" t="s">
        <v>12</v>
      </c>
      <c r="F553">
        <v>244013519</v>
      </c>
      <c r="G553">
        <v>244013624</v>
      </c>
      <c r="H553">
        <v>244013384</v>
      </c>
      <c r="I553">
        <v>244013410</v>
      </c>
    </row>
    <row r="554" spans="1:9" x14ac:dyDescent="0.2">
      <c r="A554" s="1" t="str">
        <f>"AKTIP"</f>
        <v>AKTIP</v>
      </c>
      <c r="B554" t="s">
        <v>14</v>
      </c>
      <c r="C554" t="s">
        <v>31</v>
      </c>
      <c r="D554" t="s">
        <v>11</v>
      </c>
      <c r="E554" t="s">
        <v>12</v>
      </c>
      <c r="F554">
        <v>53537105</v>
      </c>
      <c r="G554">
        <v>53537156</v>
      </c>
      <c r="H554">
        <v>53537233</v>
      </c>
      <c r="I554">
        <v>53537252</v>
      </c>
    </row>
    <row r="555" spans="1:9" x14ac:dyDescent="0.2">
      <c r="A555" s="1" t="str">
        <f>"ALAD"</f>
        <v>ALAD</v>
      </c>
      <c r="B555" t="s">
        <v>14</v>
      </c>
      <c r="C555" t="s">
        <v>24</v>
      </c>
      <c r="D555" t="s">
        <v>11</v>
      </c>
      <c r="E555" t="s">
        <v>12</v>
      </c>
      <c r="F555">
        <v>116163529</v>
      </c>
      <c r="G555">
        <v>116163596</v>
      </c>
      <c r="H555">
        <v>116163529</v>
      </c>
      <c r="I555">
        <v>116163596</v>
      </c>
    </row>
    <row r="556" spans="1:9" x14ac:dyDescent="0.2">
      <c r="A556" s="1" t="str">
        <f>"ALAS1"</f>
        <v>ALAS1</v>
      </c>
      <c r="B556" t="s">
        <v>14</v>
      </c>
      <c r="C556" t="s">
        <v>22</v>
      </c>
      <c r="D556" t="s">
        <v>17</v>
      </c>
      <c r="E556" t="s">
        <v>12</v>
      </c>
      <c r="F556">
        <v>52232168</v>
      </c>
      <c r="G556">
        <v>52232186</v>
      </c>
      <c r="H556">
        <v>52232130</v>
      </c>
      <c r="I556">
        <v>52232155</v>
      </c>
    </row>
    <row r="557" spans="1:9" x14ac:dyDescent="0.2">
      <c r="A557" s="1" t="str">
        <f>"ALAS2"</f>
        <v>ALAS2</v>
      </c>
      <c r="B557" t="s">
        <v>14</v>
      </c>
      <c r="C557" t="s">
        <v>37</v>
      </c>
      <c r="D557" t="s">
        <v>11</v>
      </c>
      <c r="E557" t="s">
        <v>12</v>
      </c>
      <c r="F557">
        <v>55057403</v>
      </c>
      <c r="G557">
        <v>55057416</v>
      </c>
      <c r="H557">
        <v>55057403</v>
      </c>
      <c r="I557">
        <v>55057416</v>
      </c>
    </row>
    <row r="558" spans="1:9" x14ac:dyDescent="0.2">
      <c r="A558" s="1" t="str">
        <f>"ALB"</f>
        <v>ALB</v>
      </c>
      <c r="B558" t="s">
        <v>9</v>
      </c>
      <c r="C558" t="s">
        <v>23</v>
      </c>
      <c r="D558" t="s">
        <v>17</v>
      </c>
      <c r="E558" t="s">
        <v>12</v>
      </c>
      <c r="F558">
        <v>74269997</v>
      </c>
      <c r="G558">
        <v>74270013</v>
      </c>
      <c r="H558">
        <v>74269997</v>
      </c>
      <c r="I558">
        <v>74270013</v>
      </c>
    </row>
    <row r="559" spans="1:9" x14ac:dyDescent="0.2">
      <c r="A559" s="1" t="str">
        <f>"ALB"</f>
        <v>ALB</v>
      </c>
      <c r="B559" t="s">
        <v>13</v>
      </c>
      <c r="C559" t="s">
        <v>23</v>
      </c>
      <c r="D559" t="s">
        <v>17</v>
      </c>
      <c r="E559" t="s">
        <v>12</v>
      </c>
      <c r="F559">
        <v>74275073</v>
      </c>
      <c r="G559">
        <v>74275124</v>
      </c>
      <c r="H559">
        <v>74275073</v>
      </c>
      <c r="I559">
        <v>74275124</v>
      </c>
    </row>
    <row r="560" spans="1:9" x14ac:dyDescent="0.2">
      <c r="A560" s="1" t="str">
        <f>"ALCAM"</f>
        <v>ALCAM</v>
      </c>
      <c r="B560" t="s">
        <v>14</v>
      </c>
      <c r="C560" t="s">
        <v>22</v>
      </c>
      <c r="D560" t="s">
        <v>17</v>
      </c>
      <c r="E560" t="s">
        <v>12</v>
      </c>
      <c r="F560">
        <v>105085734</v>
      </c>
      <c r="G560">
        <v>105085760</v>
      </c>
      <c r="H560">
        <v>105085548</v>
      </c>
      <c r="I560">
        <v>105085584</v>
      </c>
    </row>
    <row r="561" spans="1:9" x14ac:dyDescent="0.2">
      <c r="A561" s="1" t="str">
        <f>"ALDH16A1"</f>
        <v>ALDH16A1</v>
      </c>
      <c r="B561" t="s">
        <v>14</v>
      </c>
      <c r="C561" t="s">
        <v>10</v>
      </c>
      <c r="D561" t="s">
        <v>17</v>
      </c>
      <c r="E561" t="s">
        <v>12</v>
      </c>
      <c r="F561">
        <v>49956476</v>
      </c>
      <c r="G561">
        <v>49956564</v>
      </c>
      <c r="H561">
        <v>49956476</v>
      </c>
      <c r="I561">
        <v>49956564</v>
      </c>
    </row>
    <row r="562" spans="1:9" x14ac:dyDescent="0.2">
      <c r="A562" s="1" t="str">
        <f>"ALDH18A1"</f>
        <v>ALDH18A1</v>
      </c>
      <c r="B562" t="s">
        <v>14</v>
      </c>
      <c r="C562" t="s">
        <v>15</v>
      </c>
      <c r="D562" t="s">
        <v>11</v>
      </c>
      <c r="E562" t="s">
        <v>12</v>
      </c>
      <c r="F562">
        <v>97416400</v>
      </c>
      <c r="G562">
        <v>97416512</v>
      </c>
      <c r="H562">
        <v>97416581</v>
      </c>
      <c r="I562">
        <v>97416605</v>
      </c>
    </row>
    <row r="563" spans="1:9" x14ac:dyDescent="0.2">
      <c r="A563" s="1" t="str">
        <f>"ALDH1A1"</f>
        <v>ALDH1A1</v>
      </c>
      <c r="B563" t="s">
        <v>14</v>
      </c>
      <c r="C563" t="s">
        <v>24</v>
      </c>
      <c r="D563" t="s">
        <v>11</v>
      </c>
      <c r="E563" t="s">
        <v>12</v>
      </c>
      <c r="F563">
        <v>75567962</v>
      </c>
      <c r="G563">
        <v>75567979</v>
      </c>
      <c r="H563">
        <v>75567949</v>
      </c>
      <c r="I563">
        <v>75567960</v>
      </c>
    </row>
    <row r="564" spans="1:9" x14ac:dyDescent="0.2">
      <c r="A564" s="1" t="str">
        <f>"ALDH1A2"</f>
        <v>ALDH1A2</v>
      </c>
      <c r="B564" t="s">
        <v>14</v>
      </c>
      <c r="C564" t="s">
        <v>25</v>
      </c>
      <c r="D564" t="s">
        <v>11</v>
      </c>
      <c r="E564" t="s">
        <v>12</v>
      </c>
      <c r="F564">
        <v>58357901</v>
      </c>
      <c r="G564">
        <v>58357917</v>
      </c>
      <c r="H564">
        <v>58357932</v>
      </c>
      <c r="I564">
        <v>58357943</v>
      </c>
    </row>
    <row r="565" spans="1:9" x14ac:dyDescent="0.2">
      <c r="A565" s="1" t="str">
        <f>"ALDH1A3"</f>
        <v>ALDH1A3</v>
      </c>
      <c r="B565" t="s">
        <v>9</v>
      </c>
      <c r="C565" t="s">
        <v>25</v>
      </c>
      <c r="D565" t="s">
        <v>17</v>
      </c>
      <c r="E565" t="s">
        <v>12</v>
      </c>
      <c r="F565">
        <v>101420028</v>
      </c>
      <c r="G565">
        <v>101420044</v>
      </c>
      <c r="H565">
        <v>101420028</v>
      </c>
      <c r="I565">
        <v>101420044</v>
      </c>
    </row>
    <row r="566" spans="1:9" x14ac:dyDescent="0.2">
      <c r="A566" s="1" t="str">
        <f>"ALDH1A3"</f>
        <v>ALDH1A3</v>
      </c>
      <c r="B566" t="s">
        <v>13</v>
      </c>
      <c r="C566" t="s">
        <v>25</v>
      </c>
      <c r="D566" t="s">
        <v>17</v>
      </c>
      <c r="E566" t="s">
        <v>12</v>
      </c>
      <c r="F566">
        <v>101438349</v>
      </c>
      <c r="G566">
        <v>101438359</v>
      </c>
      <c r="H566">
        <v>101438349</v>
      </c>
      <c r="I566">
        <v>101438359</v>
      </c>
    </row>
    <row r="567" spans="1:9" x14ac:dyDescent="0.2">
      <c r="A567" s="1" t="str">
        <f>"ALDH1B1"</f>
        <v>ALDH1B1</v>
      </c>
      <c r="B567" t="s">
        <v>14</v>
      </c>
      <c r="C567" t="s">
        <v>24</v>
      </c>
      <c r="D567" t="s">
        <v>17</v>
      </c>
      <c r="E567" t="s">
        <v>12</v>
      </c>
      <c r="F567">
        <v>38392691</v>
      </c>
      <c r="G567">
        <v>38392779</v>
      </c>
      <c r="H567">
        <v>38392661</v>
      </c>
      <c r="I567">
        <v>38392678</v>
      </c>
    </row>
    <row r="568" spans="1:9" x14ac:dyDescent="0.2">
      <c r="A568" s="1" t="str">
        <f>"ALDH1L1"</f>
        <v>ALDH1L1</v>
      </c>
      <c r="B568" t="s">
        <v>14</v>
      </c>
      <c r="C568" t="s">
        <v>22</v>
      </c>
      <c r="D568" t="s">
        <v>11</v>
      </c>
      <c r="E568" t="s">
        <v>12</v>
      </c>
      <c r="F568">
        <v>125899414</v>
      </c>
      <c r="G568">
        <v>125899436</v>
      </c>
      <c r="H568">
        <v>125899355</v>
      </c>
      <c r="I568">
        <v>125899406</v>
      </c>
    </row>
    <row r="569" spans="1:9" x14ac:dyDescent="0.2">
      <c r="A569" s="1" t="str">
        <f>"ALDH1L2"</f>
        <v>ALDH1L2</v>
      </c>
      <c r="B569" t="s">
        <v>14</v>
      </c>
      <c r="C569" t="s">
        <v>16</v>
      </c>
      <c r="D569" t="s">
        <v>11</v>
      </c>
      <c r="E569" t="s">
        <v>12</v>
      </c>
      <c r="F569">
        <v>105478218</v>
      </c>
      <c r="G569">
        <v>105478244</v>
      </c>
      <c r="H569">
        <v>105478339</v>
      </c>
      <c r="I569">
        <v>105478361</v>
      </c>
    </row>
    <row r="570" spans="1:9" x14ac:dyDescent="0.2">
      <c r="A570" s="1" t="str">
        <f>"ALDH2"</f>
        <v>ALDH2</v>
      </c>
      <c r="B570" t="s">
        <v>14</v>
      </c>
      <c r="C570" t="s">
        <v>16</v>
      </c>
      <c r="D570" t="s">
        <v>17</v>
      </c>
      <c r="E570" t="s">
        <v>12</v>
      </c>
      <c r="F570">
        <v>112204714</v>
      </c>
      <c r="G570">
        <v>112204781</v>
      </c>
      <c r="H570">
        <v>112204714</v>
      </c>
      <c r="I570">
        <v>112204781</v>
      </c>
    </row>
    <row r="571" spans="1:9" x14ac:dyDescent="0.2">
      <c r="A571" s="1" t="str">
        <f>"ALDH3A1"</f>
        <v>ALDH3A1</v>
      </c>
      <c r="B571" t="s">
        <v>14</v>
      </c>
      <c r="C571" t="s">
        <v>28</v>
      </c>
      <c r="D571" t="s">
        <v>11</v>
      </c>
      <c r="E571" t="s">
        <v>12</v>
      </c>
      <c r="F571">
        <v>19651598</v>
      </c>
      <c r="G571">
        <v>19651620</v>
      </c>
      <c r="H571">
        <v>19651668</v>
      </c>
      <c r="I571">
        <v>19651682</v>
      </c>
    </row>
    <row r="572" spans="1:9" x14ac:dyDescent="0.2">
      <c r="A572" s="1" t="str">
        <f>"ALDH3A2"</f>
        <v>ALDH3A2</v>
      </c>
      <c r="B572" t="s">
        <v>14</v>
      </c>
      <c r="C572" t="s">
        <v>28</v>
      </c>
      <c r="D572" t="s">
        <v>17</v>
      </c>
      <c r="E572" t="s">
        <v>12</v>
      </c>
      <c r="F572">
        <v>19552057</v>
      </c>
      <c r="G572">
        <v>19552099</v>
      </c>
      <c r="H572">
        <v>19552227</v>
      </c>
      <c r="I572">
        <v>19552278</v>
      </c>
    </row>
    <row r="573" spans="1:9" x14ac:dyDescent="0.2">
      <c r="A573" s="1" t="str">
        <f>"ALDH3B1"</f>
        <v>ALDH3B1</v>
      </c>
      <c r="B573" t="s">
        <v>14</v>
      </c>
      <c r="C573" t="s">
        <v>27</v>
      </c>
      <c r="D573" t="s">
        <v>17</v>
      </c>
      <c r="E573" t="s">
        <v>12</v>
      </c>
      <c r="F573">
        <v>67777751</v>
      </c>
      <c r="G573">
        <v>67777808</v>
      </c>
      <c r="H573">
        <v>67777809</v>
      </c>
      <c r="I573">
        <v>67777829</v>
      </c>
    </row>
    <row r="574" spans="1:9" x14ac:dyDescent="0.2">
      <c r="A574" s="1" t="str">
        <f>"ALDH3B2"</f>
        <v>ALDH3B2</v>
      </c>
      <c r="B574" t="s">
        <v>14</v>
      </c>
      <c r="C574" t="s">
        <v>27</v>
      </c>
      <c r="D574" t="s">
        <v>11</v>
      </c>
      <c r="E574" t="s">
        <v>12</v>
      </c>
      <c r="F574">
        <v>67442079</v>
      </c>
      <c r="G574">
        <v>67442102</v>
      </c>
      <c r="H574">
        <v>67442051</v>
      </c>
      <c r="I574">
        <v>67442072</v>
      </c>
    </row>
    <row r="575" spans="1:9" x14ac:dyDescent="0.2">
      <c r="A575" s="1" t="str">
        <f>"ALDH4A1"</f>
        <v>ALDH4A1</v>
      </c>
      <c r="B575" t="s">
        <v>14</v>
      </c>
      <c r="C575" t="s">
        <v>19</v>
      </c>
      <c r="D575" t="s">
        <v>11</v>
      </c>
      <c r="E575" t="s">
        <v>12</v>
      </c>
      <c r="F575">
        <v>19229014</v>
      </c>
      <c r="G575">
        <v>19229056</v>
      </c>
      <c r="H575">
        <v>19229066</v>
      </c>
      <c r="I575">
        <v>19229084</v>
      </c>
    </row>
    <row r="576" spans="1:9" x14ac:dyDescent="0.2">
      <c r="A576" s="1" t="str">
        <f>"ALDH5A1"</f>
        <v>ALDH5A1</v>
      </c>
      <c r="B576" t="s">
        <v>14</v>
      </c>
      <c r="C576" t="s">
        <v>32</v>
      </c>
      <c r="D576" t="s">
        <v>17</v>
      </c>
      <c r="E576" t="s">
        <v>12</v>
      </c>
      <c r="F576">
        <v>24495185</v>
      </c>
      <c r="G576">
        <v>24495209</v>
      </c>
      <c r="H576">
        <v>24495067</v>
      </c>
      <c r="I576">
        <v>24495096</v>
      </c>
    </row>
    <row r="577" spans="1:9" x14ac:dyDescent="0.2">
      <c r="A577" s="1" t="str">
        <f>"ALDH6A1"</f>
        <v>ALDH6A1</v>
      </c>
      <c r="B577" t="s">
        <v>14</v>
      </c>
      <c r="C577" t="s">
        <v>41</v>
      </c>
      <c r="D577" t="s">
        <v>11</v>
      </c>
      <c r="E577" t="s">
        <v>12</v>
      </c>
      <c r="F577">
        <v>74551096</v>
      </c>
      <c r="G577">
        <v>74551171</v>
      </c>
      <c r="H577">
        <v>74551172</v>
      </c>
      <c r="I577">
        <v>74551183</v>
      </c>
    </row>
    <row r="578" spans="1:9" x14ac:dyDescent="0.2">
      <c r="A578" s="1" t="str">
        <f>"ALDH7A1"</f>
        <v>ALDH7A1</v>
      </c>
      <c r="B578" t="s">
        <v>14</v>
      </c>
      <c r="C578" t="s">
        <v>46</v>
      </c>
      <c r="D578" t="s">
        <v>11</v>
      </c>
      <c r="E578" t="s">
        <v>12</v>
      </c>
      <c r="F578">
        <v>125930877</v>
      </c>
      <c r="G578">
        <v>125930919</v>
      </c>
      <c r="H578">
        <v>125930929</v>
      </c>
      <c r="I578">
        <v>125930940</v>
      </c>
    </row>
    <row r="579" spans="1:9" x14ac:dyDescent="0.2">
      <c r="A579" s="1" t="str">
        <f>"ALDH8A1"</f>
        <v>ALDH8A1</v>
      </c>
      <c r="B579" t="s">
        <v>14</v>
      </c>
      <c r="C579" t="s">
        <v>32</v>
      </c>
      <c r="D579" t="s">
        <v>11</v>
      </c>
      <c r="E579" t="s">
        <v>12</v>
      </c>
      <c r="F579">
        <v>135271219</v>
      </c>
      <c r="G579">
        <v>135271257</v>
      </c>
      <c r="H579">
        <v>135271201</v>
      </c>
      <c r="I579">
        <v>135271212</v>
      </c>
    </row>
    <row r="580" spans="1:9" x14ac:dyDescent="0.2">
      <c r="A580" s="1" t="str">
        <f>"ALDH9A1"</f>
        <v>ALDH9A1</v>
      </c>
      <c r="B580" t="s">
        <v>14</v>
      </c>
      <c r="C580" t="s">
        <v>19</v>
      </c>
      <c r="D580" t="s">
        <v>11</v>
      </c>
      <c r="E580" t="s">
        <v>12</v>
      </c>
      <c r="F580">
        <v>165667789</v>
      </c>
      <c r="G580">
        <v>165667808</v>
      </c>
      <c r="H580">
        <v>165667812</v>
      </c>
      <c r="I580">
        <v>165667841</v>
      </c>
    </row>
    <row r="581" spans="1:9" x14ac:dyDescent="0.2">
      <c r="A581" s="1" t="str">
        <f>"ALDOA"</f>
        <v>ALDOA</v>
      </c>
      <c r="B581" t="s">
        <v>14</v>
      </c>
      <c r="C581" t="s">
        <v>31</v>
      </c>
      <c r="D581" t="s">
        <v>17</v>
      </c>
      <c r="E581" t="s">
        <v>12</v>
      </c>
      <c r="F581">
        <v>30077074</v>
      </c>
      <c r="G581">
        <v>30077091</v>
      </c>
      <c r="H581">
        <v>30077100</v>
      </c>
      <c r="I581">
        <v>30077149</v>
      </c>
    </row>
    <row r="582" spans="1:9" x14ac:dyDescent="0.2">
      <c r="A582" s="1" t="str">
        <f>"ALDOB"</f>
        <v>ALDOB</v>
      </c>
      <c r="B582" t="s">
        <v>9</v>
      </c>
      <c r="C582" t="s">
        <v>24</v>
      </c>
      <c r="D582" t="s">
        <v>11</v>
      </c>
      <c r="E582" t="s">
        <v>12</v>
      </c>
      <c r="F582">
        <v>104198042</v>
      </c>
      <c r="G582">
        <v>104198062</v>
      </c>
      <c r="H582">
        <v>104198042</v>
      </c>
      <c r="I582">
        <v>104198062</v>
      </c>
    </row>
    <row r="583" spans="1:9" x14ac:dyDescent="0.2">
      <c r="A583" s="1" t="str">
        <f>"ALDOB"</f>
        <v>ALDOB</v>
      </c>
      <c r="B583" t="s">
        <v>13</v>
      </c>
      <c r="C583" t="s">
        <v>24</v>
      </c>
      <c r="D583" t="s">
        <v>11</v>
      </c>
      <c r="E583" t="s">
        <v>12</v>
      </c>
      <c r="F583">
        <v>104187850</v>
      </c>
      <c r="G583">
        <v>104187863</v>
      </c>
      <c r="H583">
        <v>104187850</v>
      </c>
      <c r="I583">
        <v>104187863</v>
      </c>
    </row>
    <row r="584" spans="1:9" x14ac:dyDescent="0.2">
      <c r="A584" s="1" t="str">
        <f>"ALDOC"</f>
        <v>ALDOC</v>
      </c>
      <c r="B584" t="s">
        <v>14</v>
      </c>
      <c r="C584" t="s">
        <v>28</v>
      </c>
      <c r="D584" t="s">
        <v>11</v>
      </c>
      <c r="E584" t="s">
        <v>12</v>
      </c>
      <c r="F584">
        <v>26903900</v>
      </c>
      <c r="G584">
        <v>26903933</v>
      </c>
      <c r="H584">
        <v>26903863</v>
      </c>
      <c r="I584">
        <v>26903893</v>
      </c>
    </row>
    <row r="585" spans="1:9" x14ac:dyDescent="0.2">
      <c r="A585" s="1" t="str">
        <f>"ALG1"</f>
        <v>ALG1</v>
      </c>
      <c r="B585" t="s">
        <v>14</v>
      </c>
      <c r="C585" t="s">
        <v>31</v>
      </c>
      <c r="D585" t="s">
        <v>17</v>
      </c>
      <c r="E585" t="s">
        <v>12</v>
      </c>
      <c r="F585">
        <v>5121814</v>
      </c>
      <c r="G585">
        <v>5121855</v>
      </c>
      <c r="H585">
        <v>5121814</v>
      </c>
      <c r="I585">
        <v>5121855</v>
      </c>
    </row>
    <row r="586" spans="1:9" x14ac:dyDescent="0.2">
      <c r="A586" s="1" t="str">
        <f>"ALG10"</f>
        <v>ALG10</v>
      </c>
      <c r="B586" t="s">
        <v>14</v>
      </c>
      <c r="C586" t="s">
        <v>16</v>
      </c>
      <c r="D586" t="s">
        <v>17</v>
      </c>
      <c r="E586" t="s">
        <v>12</v>
      </c>
      <c r="F586">
        <v>34175398</v>
      </c>
      <c r="G586">
        <v>34175438</v>
      </c>
      <c r="H586">
        <v>34175338</v>
      </c>
      <c r="I586">
        <v>34175369</v>
      </c>
    </row>
    <row r="587" spans="1:9" x14ac:dyDescent="0.2">
      <c r="A587" s="1" t="str">
        <f>"ALG10B"</f>
        <v>ALG10B</v>
      </c>
      <c r="B587" t="s">
        <v>14</v>
      </c>
      <c r="C587" t="s">
        <v>16</v>
      </c>
      <c r="D587" t="s">
        <v>17</v>
      </c>
      <c r="E587" t="s">
        <v>12</v>
      </c>
      <c r="F587">
        <v>38710555</v>
      </c>
      <c r="G587">
        <v>38710598</v>
      </c>
      <c r="H587">
        <v>38710507</v>
      </c>
      <c r="I587">
        <v>38710531</v>
      </c>
    </row>
    <row r="588" spans="1:9" x14ac:dyDescent="0.2">
      <c r="A588" s="1" t="str">
        <f>"ALG11"</f>
        <v>ALG11</v>
      </c>
      <c r="B588" t="s">
        <v>14</v>
      </c>
      <c r="C588" t="s">
        <v>39</v>
      </c>
      <c r="D588" t="s">
        <v>17</v>
      </c>
      <c r="E588" t="s">
        <v>12</v>
      </c>
      <c r="F588">
        <v>52586517</v>
      </c>
      <c r="G588">
        <v>52586559</v>
      </c>
      <c r="H588">
        <v>52586517</v>
      </c>
      <c r="I588">
        <v>52586559</v>
      </c>
    </row>
    <row r="589" spans="1:9" x14ac:dyDescent="0.2">
      <c r="A589" s="1" t="str">
        <f>"ALG12"</f>
        <v>ALG12</v>
      </c>
      <c r="B589" t="s">
        <v>14</v>
      </c>
      <c r="C589" t="s">
        <v>21</v>
      </c>
      <c r="D589" t="s">
        <v>11</v>
      </c>
      <c r="E589" t="s">
        <v>12</v>
      </c>
      <c r="F589">
        <v>50312052</v>
      </c>
      <c r="G589">
        <v>50312121</v>
      </c>
      <c r="H589">
        <v>50311935</v>
      </c>
      <c r="I589">
        <v>50311997</v>
      </c>
    </row>
    <row r="590" spans="1:9" x14ac:dyDescent="0.2">
      <c r="A590" s="1" t="str">
        <f>"ALG13"</f>
        <v>ALG13</v>
      </c>
      <c r="B590" t="s">
        <v>14</v>
      </c>
      <c r="C590" t="s">
        <v>37</v>
      </c>
      <c r="D590" t="s">
        <v>17</v>
      </c>
      <c r="E590" t="s">
        <v>12</v>
      </c>
      <c r="F590">
        <v>110924390</v>
      </c>
      <c r="G590">
        <v>110924467</v>
      </c>
      <c r="H590">
        <v>110924483</v>
      </c>
      <c r="I590">
        <v>110924500</v>
      </c>
    </row>
    <row r="591" spans="1:9" x14ac:dyDescent="0.2">
      <c r="A591" s="1" t="str">
        <f>"ALG14"</f>
        <v>ALG14</v>
      </c>
      <c r="B591" t="s">
        <v>14</v>
      </c>
      <c r="C591" t="s">
        <v>19</v>
      </c>
      <c r="D591" t="s">
        <v>11</v>
      </c>
      <c r="E591" t="s">
        <v>12</v>
      </c>
      <c r="F591">
        <v>95538436</v>
      </c>
      <c r="G591">
        <v>95538487</v>
      </c>
      <c r="H591">
        <v>95538492</v>
      </c>
      <c r="I591">
        <v>95538525</v>
      </c>
    </row>
    <row r="592" spans="1:9" x14ac:dyDescent="0.2">
      <c r="A592" s="1" t="str">
        <f>"ALG1L"</f>
        <v>ALG1L</v>
      </c>
      <c r="B592" t="s">
        <v>61</v>
      </c>
      <c r="C592" t="s">
        <v>22</v>
      </c>
      <c r="D592" t="s">
        <v>11</v>
      </c>
      <c r="E592" t="s">
        <v>20</v>
      </c>
      <c r="F592">
        <v>125655881</v>
      </c>
      <c r="G592">
        <v>125655881</v>
      </c>
      <c r="H592">
        <v>125655881</v>
      </c>
      <c r="I592">
        <v>125655881</v>
      </c>
    </row>
    <row r="593" spans="1:9" x14ac:dyDescent="0.2">
      <c r="A593" s="1" t="str">
        <f>"ALG2"</f>
        <v>ALG2</v>
      </c>
      <c r="B593" t="s">
        <v>14</v>
      </c>
      <c r="C593" t="s">
        <v>24</v>
      </c>
      <c r="D593" t="s">
        <v>11</v>
      </c>
      <c r="E593" t="s">
        <v>12</v>
      </c>
      <c r="F593">
        <v>101984184</v>
      </c>
      <c r="G593">
        <v>101984237</v>
      </c>
      <c r="H593">
        <v>101984253</v>
      </c>
      <c r="I593">
        <v>101984274</v>
      </c>
    </row>
    <row r="594" spans="1:9" x14ac:dyDescent="0.2">
      <c r="A594" s="1" t="str">
        <f>"ALG3"</f>
        <v>ALG3</v>
      </c>
      <c r="B594" t="s">
        <v>14</v>
      </c>
      <c r="C594" t="s">
        <v>22</v>
      </c>
      <c r="D594" t="s">
        <v>11</v>
      </c>
      <c r="E594" t="s">
        <v>12</v>
      </c>
      <c r="F594">
        <v>183966717</v>
      </c>
      <c r="G594">
        <v>183966764</v>
      </c>
      <c r="H594">
        <v>183967296</v>
      </c>
      <c r="I594">
        <v>183967359</v>
      </c>
    </row>
    <row r="595" spans="1:9" x14ac:dyDescent="0.2">
      <c r="A595" s="1" t="str">
        <f>"ALG5"</f>
        <v>ALG5</v>
      </c>
      <c r="B595" t="s">
        <v>14</v>
      </c>
      <c r="C595" t="s">
        <v>39</v>
      </c>
      <c r="D595" t="s">
        <v>11</v>
      </c>
      <c r="E595" t="s">
        <v>12</v>
      </c>
      <c r="F595">
        <v>37573432</v>
      </c>
      <c r="G595">
        <v>37573502</v>
      </c>
      <c r="H595">
        <v>37573432</v>
      </c>
      <c r="I595">
        <v>37573502</v>
      </c>
    </row>
    <row r="596" spans="1:9" x14ac:dyDescent="0.2">
      <c r="A596" s="1" t="str">
        <f>"ALG6"</f>
        <v>ALG6</v>
      </c>
      <c r="B596" t="s">
        <v>14</v>
      </c>
      <c r="C596" t="s">
        <v>19</v>
      </c>
      <c r="D596" t="s">
        <v>17</v>
      </c>
      <c r="E596" t="s">
        <v>12</v>
      </c>
      <c r="F596">
        <v>63833290</v>
      </c>
      <c r="G596">
        <v>63833338</v>
      </c>
      <c r="H596">
        <v>63833275</v>
      </c>
      <c r="I596">
        <v>63833282</v>
      </c>
    </row>
    <row r="597" spans="1:9" x14ac:dyDescent="0.2">
      <c r="A597" s="1" t="str">
        <f>"ALG8"</f>
        <v>ALG8</v>
      </c>
      <c r="B597" t="s">
        <v>14</v>
      </c>
      <c r="C597" t="s">
        <v>27</v>
      </c>
      <c r="D597" t="s">
        <v>11</v>
      </c>
      <c r="E597" t="s">
        <v>12</v>
      </c>
      <c r="F597">
        <v>77850629</v>
      </c>
      <c r="G597">
        <v>77850686</v>
      </c>
      <c r="H597">
        <v>77850629</v>
      </c>
      <c r="I597">
        <v>77850686</v>
      </c>
    </row>
    <row r="598" spans="1:9" x14ac:dyDescent="0.2">
      <c r="A598" s="1" t="str">
        <f>"ALG9"</f>
        <v>ALG9</v>
      </c>
      <c r="B598" t="s">
        <v>14</v>
      </c>
      <c r="C598" t="s">
        <v>27</v>
      </c>
      <c r="D598" t="s">
        <v>11</v>
      </c>
      <c r="E598" t="s">
        <v>12</v>
      </c>
      <c r="F598">
        <v>111742254</v>
      </c>
      <c r="G598">
        <v>111742290</v>
      </c>
      <c r="H598">
        <v>111742208</v>
      </c>
      <c r="I598">
        <v>111742246</v>
      </c>
    </row>
    <row r="599" spans="1:9" x14ac:dyDescent="0.2">
      <c r="A599" s="1" t="str">
        <f>"ALK"</f>
        <v>ALK</v>
      </c>
      <c r="B599" t="s">
        <v>14</v>
      </c>
      <c r="C599" t="s">
        <v>26</v>
      </c>
      <c r="D599" t="s">
        <v>11</v>
      </c>
      <c r="E599" t="s">
        <v>12</v>
      </c>
      <c r="F599">
        <v>30144445</v>
      </c>
      <c r="G599">
        <v>30144457</v>
      </c>
      <c r="H599">
        <v>30144471</v>
      </c>
      <c r="I599">
        <v>30144482</v>
      </c>
    </row>
    <row r="600" spans="1:9" x14ac:dyDescent="0.2">
      <c r="A600" s="1" t="str">
        <f>"ALKBH1"</f>
        <v>ALKBH1</v>
      </c>
      <c r="B600" t="s">
        <v>14</v>
      </c>
      <c r="C600" t="s">
        <v>41</v>
      </c>
      <c r="D600" t="s">
        <v>11</v>
      </c>
      <c r="E600" t="s">
        <v>12</v>
      </c>
      <c r="F600">
        <v>78174344</v>
      </c>
      <c r="G600">
        <v>78174381</v>
      </c>
      <c r="H600">
        <v>78174252</v>
      </c>
      <c r="I600">
        <v>78174259</v>
      </c>
    </row>
    <row r="601" spans="1:9" x14ac:dyDescent="0.2">
      <c r="A601" s="1" t="str">
        <f>"ALKBH2"</f>
        <v>ALKBH2</v>
      </c>
      <c r="B601" t="s">
        <v>14</v>
      </c>
      <c r="C601" t="s">
        <v>16</v>
      </c>
      <c r="D601" t="s">
        <v>11</v>
      </c>
      <c r="E601" t="s">
        <v>12</v>
      </c>
      <c r="F601">
        <v>109531264</v>
      </c>
      <c r="G601">
        <v>109531300</v>
      </c>
      <c r="H601">
        <v>109531229</v>
      </c>
      <c r="I601">
        <v>109531260</v>
      </c>
    </row>
    <row r="602" spans="1:9" x14ac:dyDescent="0.2">
      <c r="A602" s="1" t="str">
        <f>"ALKBH3"</f>
        <v>ALKBH3</v>
      </c>
      <c r="B602" t="s">
        <v>14</v>
      </c>
      <c r="C602" t="s">
        <v>27</v>
      </c>
      <c r="D602" t="s">
        <v>17</v>
      </c>
      <c r="E602" t="s">
        <v>12</v>
      </c>
      <c r="F602">
        <v>43902373</v>
      </c>
      <c r="G602">
        <v>43902416</v>
      </c>
      <c r="H602">
        <v>43902373</v>
      </c>
      <c r="I602">
        <v>43902416</v>
      </c>
    </row>
    <row r="603" spans="1:9" x14ac:dyDescent="0.2">
      <c r="A603" s="1" t="str">
        <f>"ALKBH4"</f>
        <v>ALKBH4</v>
      </c>
      <c r="B603" t="s">
        <v>14</v>
      </c>
      <c r="C603" t="s">
        <v>33</v>
      </c>
      <c r="D603" t="s">
        <v>11</v>
      </c>
      <c r="E603" t="s">
        <v>12</v>
      </c>
      <c r="F603">
        <v>102105289</v>
      </c>
      <c r="G603">
        <v>102105319</v>
      </c>
      <c r="H603">
        <v>102105225</v>
      </c>
      <c r="I603">
        <v>102105246</v>
      </c>
    </row>
    <row r="604" spans="1:9" x14ac:dyDescent="0.2">
      <c r="A604" s="1" t="str">
        <f>"ALKBH5"</f>
        <v>ALKBH5</v>
      </c>
      <c r="B604" t="s">
        <v>14</v>
      </c>
      <c r="C604" t="s">
        <v>28</v>
      </c>
      <c r="D604" t="s">
        <v>17</v>
      </c>
      <c r="E604" t="s">
        <v>12</v>
      </c>
      <c r="F604">
        <v>18087117</v>
      </c>
      <c r="G604">
        <v>18087163</v>
      </c>
      <c r="H604">
        <v>18086785</v>
      </c>
      <c r="I604">
        <v>18086831</v>
      </c>
    </row>
    <row r="605" spans="1:9" x14ac:dyDescent="0.2">
      <c r="A605" s="1" t="str">
        <f>"ALKBH6"</f>
        <v>ALKBH6</v>
      </c>
      <c r="B605" t="s">
        <v>14</v>
      </c>
      <c r="C605" t="s">
        <v>10</v>
      </c>
      <c r="D605" t="s">
        <v>11</v>
      </c>
      <c r="E605" t="s">
        <v>12</v>
      </c>
      <c r="F605">
        <v>36505098</v>
      </c>
      <c r="G605">
        <v>36505132</v>
      </c>
      <c r="H605">
        <v>36505143</v>
      </c>
      <c r="I605">
        <v>36505161</v>
      </c>
    </row>
    <row r="606" spans="1:9" x14ac:dyDescent="0.2">
      <c r="A606" s="1" t="str">
        <f>"ALKBH7"</f>
        <v>ALKBH7</v>
      </c>
      <c r="B606" t="s">
        <v>14</v>
      </c>
      <c r="C606" t="s">
        <v>10</v>
      </c>
      <c r="D606" t="s">
        <v>17</v>
      </c>
      <c r="E606" t="s">
        <v>12</v>
      </c>
      <c r="F606">
        <v>6372795</v>
      </c>
      <c r="G606">
        <v>6372826</v>
      </c>
      <c r="H606">
        <v>6372795</v>
      </c>
      <c r="I606">
        <v>6372826</v>
      </c>
    </row>
    <row r="607" spans="1:9" x14ac:dyDescent="0.2">
      <c r="A607" s="1" t="str">
        <f>"ALKBH8"</f>
        <v>ALKBH8</v>
      </c>
      <c r="B607" t="s">
        <v>14</v>
      </c>
      <c r="C607" t="s">
        <v>27</v>
      </c>
      <c r="D607" t="s">
        <v>11</v>
      </c>
      <c r="E607" t="s">
        <v>12</v>
      </c>
      <c r="F607">
        <v>107436443</v>
      </c>
      <c r="G607">
        <v>107436472</v>
      </c>
      <c r="H607">
        <v>107436427</v>
      </c>
      <c r="I607">
        <v>107436436</v>
      </c>
    </row>
    <row r="608" spans="1:9" x14ac:dyDescent="0.2">
      <c r="A608" s="1" t="str">
        <f>"ALLC"</f>
        <v>ALLC</v>
      </c>
      <c r="B608" t="s">
        <v>14</v>
      </c>
      <c r="C608" t="s">
        <v>26</v>
      </c>
      <c r="D608" t="s">
        <v>17</v>
      </c>
      <c r="E608" t="s">
        <v>12</v>
      </c>
      <c r="F608">
        <v>3705785</v>
      </c>
      <c r="G608">
        <v>3705806</v>
      </c>
      <c r="H608">
        <v>3705785</v>
      </c>
      <c r="I608">
        <v>3705806</v>
      </c>
    </row>
    <row r="609" spans="1:9" x14ac:dyDescent="0.2">
      <c r="A609" s="1" t="str">
        <f>"ALMS1"</f>
        <v>ALMS1</v>
      </c>
      <c r="B609" t="s">
        <v>14</v>
      </c>
      <c r="C609" t="s">
        <v>26</v>
      </c>
      <c r="D609" t="s">
        <v>17</v>
      </c>
      <c r="E609" t="s">
        <v>12</v>
      </c>
      <c r="F609">
        <v>73612938</v>
      </c>
      <c r="G609">
        <v>73612993</v>
      </c>
      <c r="H609">
        <v>73613142</v>
      </c>
      <c r="I609">
        <v>73613180</v>
      </c>
    </row>
    <row r="610" spans="1:9" x14ac:dyDescent="0.2">
      <c r="A610" s="1" t="str">
        <f>"ALOX12"</f>
        <v>ALOX12</v>
      </c>
      <c r="B610" t="s">
        <v>14</v>
      </c>
      <c r="C610" t="s">
        <v>28</v>
      </c>
      <c r="D610" t="s">
        <v>17</v>
      </c>
      <c r="E610" t="s">
        <v>12</v>
      </c>
      <c r="F610">
        <v>6899366</v>
      </c>
      <c r="G610">
        <v>6899371</v>
      </c>
      <c r="H610">
        <v>6900201</v>
      </c>
      <c r="I610">
        <v>6900220</v>
      </c>
    </row>
    <row r="611" spans="1:9" x14ac:dyDescent="0.2">
      <c r="A611" s="1" t="str">
        <f>"ALOX12B"</f>
        <v>ALOX12B</v>
      </c>
      <c r="B611" t="s">
        <v>14</v>
      </c>
      <c r="C611" t="s">
        <v>28</v>
      </c>
      <c r="D611" t="s">
        <v>11</v>
      </c>
      <c r="E611" t="s">
        <v>12</v>
      </c>
      <c r="F611">
        <v>7991027</v>
      </c>
      <c r="G611">
        <v>7991040</v>
      </c>
      <c r="H611">
        <v>7991075</v>
      </c>
      <c r="I611">
        <v>7991086</v>
      </c>
    </row>
    <row r="612" spans="1:9" x14ac:dyDescent="0.2">
      <c r="A612" s="1" t="str">
        <f>"ALOX15"</f>
        <v>ALOX15</v>
      </c>
      <c r="B612" t="s">
        <v>14</v>
      </c>
      <c r="C612" t="s">
        <v>28</v>
      </c>
      <c r="D612" t="s">
        <v>11</v>
      </c>
      <c r="E612" t="s">
        <v>12</v>
      </c>
      <c r="F612">
        <v>4544965</v>
      </c>
      <c r="G612">
        <v>4544979</v>
      </c>
      <c r="H612">
        <v>4545275</v>
      </c>
      <c r="I612">
        <v>4545318</v>
      </c>
    </row>
    <row r="613" spans="1:9" x14ac:dyDescent="0.2">
      <c r="A613" s="1" t="str">
        <f>"ALOX15B"</f>
        <v>ALOX15B</v>
      </c>
      <c r="B613" t="s">
        <v>14</v>
      </c>
      <c r="C613" t="s">
        <v>28</v>
      </c>
      <c r="D613" t="s">
        <v>17</v>
      </c>
      <c r="E613" t="s">
        <v>12</v>
      </c>
      <c r="F613">
        <v>7942368</v>
      </c>
      <c r="G613">
        <v>7942385</v>
      </c>
      <c r="H613">
        <v>7942424</v>
      </c>
      <c r="I613">
        <v>7942429</v>
      </c>
    </row>
    <row r="614" spans="1:9" x14ac:dyDescent="0.2">
      <c r="A614" s="1" t="str">
        <f>"ALOX5"</f>
        <v>ALOX5</v>
      </c>
      <c r="B614" t="s">
        <v>14</v>
      </c>
      <c r="C614" t="s">
        <v>15</v>
      </c>
      <c r="D614" t="s">
        <v>17</v>
      </c>
      <c r="E614" t="s">
        <v>12</v>
      </c>
      <c r="F614">
        <v>45869652</v>
      </c>
      <c r="G614">
        <v>45869680</v>
      </c>
      <c r="H614">
        <v>45869615</v>
      </c>
      <c r="I614">
        <v>45869647</v>
      </c>
    </row>
    <row r="615" spans="1:9" x14ac:dyDescent="0.2">
      <c r="A615" s="1" t="str">
        <f>"ALOX5AP"</f>
        <v>ALOX5AP</v>
      </c>
      <c r="B615" t="s">
        <v>14</v>
      </c>
      <c r="C615" t="s">
        <v>39</v>
      </c>
      <c r="D615" t="s">
        <v>17</v>
      </c>
      <c r="E615" t="s">
        <v>12</v>
      </c>
      <c r="F615">
        <v>31309660</v>
      </c>
      <c r="G615">
        <v>31309726</v>
      </c>
      <c r="H615">
        <v>31309660</v>
      </c>
      <c r="I615">
        <v>31309726</v>
      </c>
    </row>
    <row r="616" spans="1:9" x14ac:dyDescent="0.2">
      <c r="A616" s="1" t="str">
        <f>"ALOXE3"</f>
        <v>ALOXE3</v>
      </c>
      <c r="B616" t="s">
        <v>14</v>
      </c>
      <c r="C616" t="s">
        <v>28</v>
      </c>
      <c r="D616" t="s">
        <v>11</v>
      </c>
      <c r="E616" t="s">
        <v>12</v>
      </c>
      <c r="F616">
        <v>8021493</v>
      </c>
      <c r="G616">
        <v>8021531</v>
      </c>
      <c r="H616">
        <v>8021789</v>
      </c>
      <c r="I616">
        <v>8021833</v>
      </c>
    </row>
    <row r="617" spans="1:9" x14ac:dyDescent="0.2">
      <c r="A617" s="1" t="str">
        <f>"ALPI"</f>
        <v>ALPI</v>
      </c>
      <c r="B617" t="s">
        <v>14</v>
      </c>
      <c r="C617" t="s">
        <v>26</v>
      </c>
      <c r="D617" t="s">
        <v>17</v>
      </c>
      <c r="E617" t="s">
        <v>12</v>
      </c>
      <c r="F617">
        <v>233320855</v>
      </c>
      <c r="G617">
        <v>233320886</v>
      </c>
      <c r="H617">
        <v>233320827</v>
      </c>
      <c r="I617">
        <v>233320853</v>
      </c>
    </row>
    <row r="618" spans="1:9" x14ac:dyDescent="0.2">
      <c r="A618" s="1" t="str">
        <f>"ALPK1"</f>
        <v>ALPK1</v>
      </c>
      <c r="B618" t="s">
        <v>14</v>
      </c>
      <c r="C618" t="s">
        <v>23</v>
      </c>
      <c r="D618" t="s">
        <v>17</v>
      </c>
      <c r="E618" t="s">
        <v>12</v>
      </c>
      <c r="F618">
        <v>113218497</v>
      </c>
      <c r="G618">
        <v>113218567</v>
      </c>
      <c r="H618">
        <v>113218568</v>
      </c>
      <c r="I618">
        <v>113218578</v>
      </c>
    </row>
    <row r="619" spans="1:9" x14ac:dyDescent="0.2">
      <c r="A619" s="1" t="str">
        <f>"ALPK2"</f>
        <v>ALPK2</v>
      </c>
      <c r="B619" t="s">
        <v>62</v>
      </c>
      <c r="C619" t="s">
        <v>43</v>
      </c>
      <c r="D619" t="s">
        <v>11</v>
      </c>
      <c r="E619" t="s">
        <v>35</v>
      </c>
      <c r="F619">
        <v>56296299</v>
      </c>
      <c r="G619">
        <v>56296306</v>
      </c>
      <c r="H619">
        <v>56296157</v>
      </c>
      <c r="I619">
        <v>56296169</v>
      </c>
    </row>
    <row r="620" spans="1:9" x14ac:dyDescent="0.2">
      <c r="A620" s="1" t="str">
        <f>"ALPK3"</f>
        <v>ALPK3</v>
      </c>
      <c r="B620" t="s">
        <v>14</v>
      </c>
      <c r="C620" t="s">
        <v>25</v>
      </c>
      <c r="D620" t="s">
        <v>17</v>
      </c>
      <c r="E620" t="s">
        <v>12</v>
      </c>
      <c r="F620">
        <v>85360377</v>
      </c>
      <c r="G620">
        <v>85360410</v>
      </c>
      <c r="H620">
        <v>85360377</v>
      </c>
      <c r="I620">
        <v>85360410</v>
      </c>
    </row>
    <row r="621" spans="1:9" x14ac:dyDescent="0.2">
      <c r="A621" s="1" t="str">
        <f>"ALPL"</f>
        <v>ALPL</v>
      </c>
      <c r="B621" t="s">
        <v>9</v>
      </c>
      <c r="C621" t="s">
        <v>19</v>
      </c>
      <c r="D621" t="s">
        <v>17</v>
      </c>
      <c r="E621" t="s">
        <v>12</v>
      </c>
      <c r="F621">
        <v>21835908</v>
      </c>
      <c r="G621">
        <v>21835926</v>
      </c>
      <c r="H621">
        <v>21835908</v>
      </c>
      <c r="I621">
        <v>21835926</v>
      </c>
    </row>
    <row r="622" spans="1:9" x14ac:dyDescent="0.2">
      <c r="A622" s="1" t="str">
        <f>"ALPL"</f>
        <v>ALPL</v>
      </c>
      <c r="B622" t="s">
        <v>13</v>
      </c>
      <c r="C622" t="s">
        <v>19</v>
      </c>
      <c r="D622" t="s">
        <v>17</v>
      </c>
      <c r="E622" t="s">
        <v>12</v>
      </c>
      <c r="F622">
        <v>21877753</v>
      </c>
      <c r="G622">
        <v>21877788</v>
      </c>
      <c r="H622">
        <v>21877753</v>
      </c>
      <c r="I622">
        <v>21877788</v>
      </c>
    </row>
    <row r="623" spans="1:9" x14ac:dyDescent="0.2">
      <c r="A623" s="1" t="str">
        <f>"ALPP"</f>
        <v>ALPP</v>
      </c>
      <c r="B623" t="s">
        <v>14</v>
      </c>
      <c r="C623" t="s">
        <v>26</v>
      </c>
      <c r="D623" t="s">
        <v>17</v>
      </c>
      <c r="E623" t="s">
        <v>12</v>
      </c>
      <c r="F623">
        <v>233243453</v>
      </c>
      <c r="G623">
        <v>233243468</v>
      </c>
      <c r="H623">
        <v>233243424</v>
      </c>
      <c r="I623">
        <v>233243433</v>
      </c>
    </row>
    <row r="624" spans="1:9" x14ac:dyDescent="0.2">
      <c r="A624" s="1" t="str">
        <f>"ALPPL2"</f>
        <v>ALPPL2</v>
      </c>
      <c r="B624" t="s">
        <v>14</v>
      </c>
      <c r="C624" t="s">
        <v>26</v>
      </c>
      <c r="D624" t="s">
        <v>17</v>
      </c>
      <c r="E624" t="s">
        <v>12</v>
      </c>
      <c r="F624">
        <v>233271546</v>
      </c>
      <c r="G624">
        <v>233271559</v>
      </c>
      <c r="H624">
        <v>233271546</v>
      </c>
      <c r="I624">
        <v>233271559</v>
      </c>
    </row>
    <row r="625" spans="1:9" x14ac:dyDescent="0.2">
      <c r="A625" s="1" t="str">
        <f>"ALS2"</f>
        <v>ALS2</v>
      </c>
      <c r="B625" t="s">
        <v>14</v>
      </c>
      <c r="C625" t="s">
        <v>26</v>
      </c>
      <c r="D625" t="s">
        <v>11</v>
      </c>
      <c r="E625" t="s">
        <v>12</v>
      </c>
      <c r="F625">
        <v>202645612</v>
      </c>
      <c r="G625">
        <v>202645693</v>
      </c>
      <c r="H625">
        <v>202645785</v>
      </c>
      <c r="I625">
        <v>202645796</v>
      </c>
    </row>
    <row r="626" spans="1:9" x14ac:dyDescent="0.2">
      <c r="A626" s="1" t="str">
        <f>"ALS2CL"</f>
        <v>ALS2CL</v>
      </c>
      <c r="B626" t="s">
        <v>14</v>
      </c>
      <c r="C626" t="s">
        <v>22</v>
      </c>
      <c r="D626" t="s">
        <v>11</v>
      </c>
      <c r="E626" t="s">
        <v>12</v>
      </c>
      <c r="F626">
        <v>46735155</v>
      </c>
      <c r="G626">
        <v>46735208</v>
      </c>
      <c r="H626">
        <v>46735132</v>
      </c>
      <c r="I626">
        <v>46735149</v>
      </c>
    </row>
    <row r="627" spans="1:9" x14ac:dyDescent="0.2">
      <c r="A627" s="1" t="str">
        <f>"ALS2CR11"</f>
        <v>ALS2CR11</v>
      </c>
      <c r="B627" t="s">
        <v>14</v>
      </c>
      <c r="C627" t="s">
        <v>26</v>
      </c>
      <c r="D627" t="s">
        <v>11</v>
      </c>
      <c r="E627" t="s">
        <v>12</v>
      </c>
      <c r="F627">
        <v>202483867</v>
      </c>
      <c r="G627">
        <v>202483908</v>
      </c>
      <c r="H627">
        <v>202483867</v>
      </c>
      <c r="I627">
        <v>202483908</v>
      </c>
    </row>
    <row r="628" spans="1:9" x14ac:dyDescent="0.2">
      <c r="A628" s="1" t="str">
        <f>"ALS2CR12"</f>
        <v>ALS2CR12</v>
      </c>
      <c r="B628" t="s">
        <v>14</v>
      </c>
      <c r="C628" t="s">
        <v>26</v>
      </c>
      <c r="D628" t="s">
        <v>11</v>
      </c>
      <c r="E628" t="s">
        <v>12</v>
      </c>
      <c r="F628">
        <v>202222054</v>
      </c>
      <c r="G628">
        <v>202222084</v>
      </c>
      <c r="H628">
        <v>202222054</v>
      </c>
      <c r="I628">
        <v>202222084</v>
      </c>
    </row>
    <row r="629" spans="1:9" x14ac:dyDescent="0.2">
      <c r="A629" s="1" t="str">
        <f>"ALX1"</f>
        <v>ALX1</v>
      </c>
      <c r="B629" t="s">
        <v>14</v>
      </c>
      <c r="C629" t="s">
        <v>16</v>
      </c>
      <c r="D629" t="s">
        <v>17</v>
      </c>
      <c r="E629" t="s">
        <v>12</v>
      </c>
      <c r="F629">
        <v>85673977</v>
      </c>
      <c r="G629">
        <v>85674015</v>
      </c>
      <c r="H629">
        <v>85673868</v>
      </c>
      <c r="I629">
        <v>85673881</v>
      </c>
    </row>
    <row r="630" spans="1:9" x14ac:dyDescent="0.2">
      <c r="A630" s="1" t="str">
        <f>"ALX3"</f>
        <v>ALX3</v>
      </c>
      <c r="B630" t="s">
        <v>14</v>
      </c>
      <c r="C630" t="s">
        <v>19</v>
      </c>
      <c r="D630" t="s">
        <v>11</v>
      </c>
      <c r="E630" t="s">
        <v>12</v>
      </c>
      <c r="F630">
        <v>110613238</v>
      </c>
      <c r="G630">
        <v>110613272</v>
      </c>
      <c r="H630">
        <v>110613276</v>
      </c>
      <c r="I630">
        <v>110613299</v>
      </c>
    </row>
    <row r="631" spans="1:9" x14ac:dyDescent="0.2">
      <c r="A631" s="1" t="str">
        <f>"ALX4"</f>
        <v>ALX4</v>
      </c>
      <c r="B631" t="s">
        <v>14</v>
      </c>
      <c r="C631" t="s">
        <v>27</v>
      </c>
      <c r="D631" t="s">
        <v>11</v>
      </c>
      <c r="E631" t="s">
        <v>12</v>
      </c>
      <c r="F631">
        <v>44331576</v>
      </c>
      <c r="G631">
        <v>44331650</v>
      </c>
      <c r="H631">
        <v>44331679</v>
      </c>
      <c r="I631">
        <v>44331702</v>
      </c>
    </row>
    <row r="632" spans="1:9" x14ac:dyDescent="0.2">
      <c r="A632" s="1" t="str">
        <f>"ALYREF"</f>
        <v>ALYREF</v>
      </c>
      <c r="B632" t="s">
        <v>14</v>
      </c>
      <c r="C632" t="s">
        <v>28</v>
      </c>
      <c r="D632" t="s">
        <v>11</v>
      </c>
      <c r="E632" t="s">
        <v>12</v>
      </c>
      <c r="F632">
        <v>79849438</v>
      </c>
      <c r="G632">
        <v>79849493</v>
      </c>
      <c r="H632">
        <v>79849633</v>
      </c>
      <c r="I632">
        <v>79849639</v>
      </c>
    </row>
    <row r="633" spans="1:9" x14ac:dyDescent="0.2">
      <c r="A633" s="1" t="str">
        <f>"AMACR"</f>
        <v>AMACR</v>
      </c>
      <c r="B633" t="s">
        <v>14</v>
      </c>
      <c r="C633" t="s">
        <v>46</v>
      </c>
      <c r="D633" t="s">
        <v>11</v>
      </c>
      <c r="E633" t="s">
        <v>12</v>
      </c>
      <c r="F633">
        <v>34008130</v>
      </c>
      <c r="G633">
        <v>34008171</v>
      </c>
      <c r="H633">
        <v>34008179</v>
      </c>
      <c r="I633">
        <v>34008215</v>
      </c>
    </row>
    <row r="634" spans="1:9" x14ac:dyDescent="0.2">
      <c r="A634" s="1" t="str">
        <f>"AMBN"</f>
        <v>AMBN</v>
      </c>
      <c r="B634" t="s">
        <v>14</v>
      </c>
      <c r="C634" t="s">
        <v>23</v>
      </c>
      <c r="D634" t="s">
        <v>17</v>
      </c>
      <c r="E634" t="s">
        <v>12</v>
      </c>
      <c r="F634">
        <v>71457970</v>
      </c>
      <c r="G634">
        <v>71457974</v>
      </c>
      <c r="H634">
        <v>71458027</v>
      </c>
      <c r="I634">
        <v>71458056</v>
      </c>
    </row>
    <row r="635" spans="1:9" x14ac:dyDescent="0.2">
      <c r="A635" s="1" t="str">
        <f>"AMBP"</f>
        <v>AMBP</v>
      </c>
      <c r="B635" t="s">
        <v>14</v>
      </c>
      <c r="C635" t="s">
        <v>24</v>
      </c>
      <c r="D635" t="s">
        <v>11</v>
      </c>
      <c r="E635" t="s">
        <v>12</v>
      </c>
      <c r="F635">
        <v>116840569</v>
      </c>
      <c r="G635">
        <v>116840588</v>
      </c>
      <c r="H635">
        <v>116840569</v>
      </c>
      <c r="I635">
        <v>116840588</v>
      </c>
    </row>
    <row r="636" spans="1:9" x14ac:dyDescent="0.2">
      <c r="A636" s="1" t="str">
        <f>"AMBRA1"</f>
        <v>AMBRA1</v>
      </c>
      <c r="B636" t="s">
        <v>14</v>
      </c>
      <c r="C636" t="s">
        <v>27</v>
      </c>
      <c r="D636" t="s">
        <v>11</v>
      </c>
      <c r="E636" t="s">
        <v>12</v>
      </c>
      <c r="F636">
        <v>46615557</v>
      </c>
      <c r="G636">
        <v>46615608</v>
      </c>
      <c r="H636">
        <v>46615557</v>
      </c>
      <c r="I636">
        <v>46615608</v>
      </c>
    </row>
    <row r="637" spans="1:9" x14ac:dyDescent="0.2">
      <c r="A637" s="1" t="str">
        <f>"AMD1"</f>
        <v>AMD1</v>
      </c>
      <c r="B637" t="s">
        <v>14</v>
      </c>
      <c r="C637" t="s">
        <v>32</v>
      </c>
      <c r="D637" t="s">
        <v>17</v>
      </c>
      <c r="E637" t="s">
        <v>12</v>
      </c>
      <c r="F637">
        <v>111195979</v>
      </c>
      <c r="G637">
        <v>111195994</v>
      </c>
      <c r="H637">
        <v>111195979</v>
      </c>
      <c r="I637">
        <v>111195994</v>
      </c>
    </row>
    <row r="638" spans="1:9" x14ac:dyDescent="0.2">
      <c r="A638" s="1" t="str">
        <f>"AMDHD1"</f>
        <v>AMDHD1</v>
      </c>
      <c r="B638" t="s">
        <v>14</v>
      </c>
      <c r="C638" t="s">
        <v>16</v>
      </c>
      <c r="D638" t="s">
        <v>17</v>
      </c>
      <c r="E638" t="s">
        <v>12</v>
      </c>
      <c r="F638">
        <v>96337097</v>
      </c>
      <c r="G638">
        <v>96337126</v>
      </c>
      <c r="H638">
        <v>96337061</v>
      </c>
      <c r="I638">
        <v>96337078</v>
      </c>
    </row>
    <row r="639" spans="1:9" x14ac:dyDescent="0.2">
      <c r="A639" s="1" t="str">
        <f>"AMDHD2"</f>
        <v>AMDHD2</v>
      </c>
      <c r="B639" t="s">
        <v>14</v>
      </c>
      <c r="C639" t="s">
        <v>31</v>
      </c>
      <c r="D639" t="s">
        <v>17</v>
      </c>
      <c r="E639" t="s">
        <v>12</v>
      </c>
      <c r="F639">
        <v>2570340</v>
      </c>
      <c r="G639">
        <v>2570423</v>
      </c>
      <c r="H639">
        <v>2570340</v>
      </c>
      <c r="I639">
        <v>2570423</v>
      </c>
    </row>
    <row r="640" spans="1:9" x14ac:dyDescent="0.2">
      <c r="A640" s="1" t="str">
        <f>"AMELX"</f>
        <v>AMELX</v>
      </c>
      <c r="B640" t="s">
        <v>14</v>
      </c>
      <c r="C640" t="s">
        <v>37</v>
      </c>
      <c r="D640" t="s">
        <v>17</v>
      </c>
      <c r="E640" t="s">
        <v>12</v>
      </c>
      <c r="F640">
        <v>11311531</v>
      </c>
      <c r="G640">
        <v>11311536</v>
      </c>
      <c r="H640">
        <v>11311531</v>
      </c>
      <c r="I640">
        <v>11311536</v>
      </c>
    </row>
    <row r="641" spans="1:9" x14ac:dyDescent="0.2">
      <c r="A641" s="1" t="str">
        <f>"AMELY"</f>
        <v>AMELY</v>
      </c>
      <c r="B641" t="s">
        <v>14</v>
      </c>
      <c r="C641" t="s">
        <v>63</v>
      </c>
      <c r="D641" t="s">
        <v>11</v>
      </c>
      <c r="E641" t="s">
        <v>12</v>
      </c>
      <c r="F641">
        <v>6742067</v>
      </c>
      <c r="G641">
        <v>6742068</v>
      </c>
      <c r="H641">
        <v>6742067</v>
      </c>
      <c r="I641">
        <v>6742068</v>
      </c>
    </row>
    <row r="642" spans="1:9" x14ac:dyDescent="0.2">
      <c r="A642" s="1" t="str">
        <f>"AMER1"</f>
        <v>AMER1</v>
      </c>
      <c r="B642" t="s">
        <v>14</v>
      </c>
      <c r="C642" t="s">
        <v>37</v>
      </c>
      <c r="D642" t="s">
        <v>11</v>
      </c>
      <c r="E642" t="s">
        <v>12</v>
      </c>
      <c r="F642">
        <v>63425561</v>
      </c>
      <c r="G642">
        <v>63425602</v>
      </c>
      <c r="H642">
        <v>63425606</v>
      </c>
      <c r="I642">
        <v>63425626</v>
      </c>
    </row>
    <row r="643" spans="1:9" x14ac:dyDescent="0.2">
      <c r="A643" s="1" t="str">
        <f>"AMER2"</f>
        <v>AMER2</v>
      </c>
      <c r="B643" t="s">
        <v>14</v>
      </c>
      <c r="C643" t="s">
        <v>39</v>
      </c>
      <c r="D643" t="s">
        <v>11</v>
      </c>
      <c r="E643" t="s">
        <v>12</v>
      </c>
      <c r="F643">
        <v>25745685</v>
      </c>
      <c r="G643">
        <v>25745777</v>
      </c>
      <c r="H643">
        <v>25746416</v>
      </c>
      <c r="I643">
        <v>25746433</v>
      </c>
    </row>
    <row r="644" spans="1:9" x14ac:dyDescent="0.2">
      <c r="A644" s="1" t="str">
        <f>"AMER3"</f>
        <v>AMER3</v>
      </c>
      <c r="B644" t="s">
        <v>14</v>
      </c>
      <c r="C644" t="s">
        <v>26</v>
      </c>
      <c r="D644" t="s">
        <v>17</v>
      </c>
      <c r="E644" t="s">
        <v>12</v>
      </c>
      <c r="F644">
        <v>131513104</v>
      </c>
      <c r="G644">
        <v>131513119</v>
      </c>
      <c r="H644">
        <v>131513872</v>
      </c>
      <c r="I644">
        <v>131513922</v>
      </c>
    </row>
    <row r="645" spans="1:9" x14ac:dyDescent="0.2">
      <c r="A645" s="1" t="str">
        <f>"AMFR"</f>
        <v>AMFR</v>
      </c>
      <c r="B645" t="s">
        <v>14</v>
      </c>
      <c r="C645" t="s">
        <v>31</v>
      </c>
      <c r="D645" t="s">
        <v>11</v>
      </c>
      <c r="E645" t="s">
        <v>12</v>
      </c>
      <c r="F645">
        <v>56459354</v>
      </c>
      <c r="G645">
        <v>56459471</v>
      </c>
      <c r="H645">
        <v>56459336</v>
      </c>
      <c r="I645">
        <v>56459350</v>
      </c>
    </row>
    <row r="646" spans="1:9" x14ac:dyDescent="0.2">
      <c r="A646" s="1" t="str">
        <f>"AMH"</f>
        <v>AMH</v>
      </c>
      <c r="B646" t="s">
        <v>14</v>
      </c>
      <c r="C646" t="s">
        <v>10</v>
      </c>
      <c r="D646" t="s">
        <v>17</v>
      </c>
      <c r="E646" t="s">
        <v>12</v>
      </c>
      <c r="F646">
        <v>2248602</v>
      </c>
      <c r="G646">
        <v>2248624</v>
      </c>
      <c r="H646">
        <v>2248602</v>
      </c>
      <c r="I646">
        <v>2248624</v>
      </c>
    </row>
    <row r="647" spans="1:9" x14ac:dyDescent="0.2">
      <c r="A647" s="1" t="str">
        <f>"AMHR2"</f>
        <v>AMHR2</v>
      </c>
      <c r="B647" t="s">
        <v>14</v>
      </c>
      <c r="C647" t="s">
        <v>16</v>
      </c>
      <c r="D647" t="s">
        <v>17</v>
      </c>
      <c r="E647" t="s">
        <v>12</v>
      </c>
      <c r="F647">
        <v>53818855</v>
      </c>
      <c r="G647">
        <v>53818919</v>
      </c>
      <c r="H647">
        <v>53818855</v>
      </c>
      <c r="I647">
        <v>53818919</v>
      </c>
    </row>
    <row r="648" spans="1:9" x14ac:dyDescent="0.2">
      <c r="A648" s="1" t="str">
        <f>"AMICA1"</f>
        <v>AMICA1</v>
      </c>
      <c r="B648" t="s">
        <v>14</v>
      </c>
      <c r="C648" t="s">
        <v>27</v>
      </c>
      <c r="D648" t="s">
        <v>11</v>
      </c>
      <c r="E648" t="s">
        <v>12</v>
      </c>
      <c r="F648">
        <v>118095718</v>
      </c>
      <c r="G648">
        <v>118095753</v>
      </c>
      <c r="H648">
        <v>118095756</v>
      </c>
      <c r="I648">
        <v>118095798</v>
      </c>
    </row>
    <row r="649" spans="1:9" x14ac:dyDescent="0.2">
      <c r="A649" s="1" t="str">
        <f>"AMIGO1"</f>
        <v>AMIGO1</v>
      </c>
      <c r="B649" t="s">
        <v>14</v>
      </c>
      <c r="C649" t="s">
        <v>19</v>
      </c>
      <c r="D649" t="s">
        <v>11</v>
      </c>
      <c r="E649" t="s">
        <v>12</v>
      </c>
      <c r="F649">
        <v>110052302</v>
      </c>
      <c r="G649">
        <v>110052380</v>
      </c>
      <c r="H649">
        <v>110052281</v>
      </c>
      <c r="I649">
        <v>110052299</v>
      </c>
    </row>
    <row r="650" spans="1:9" x14ac:dyDescent="0.2">
      <c r="A650" s="1" t="str">
        <f>"AMIGO2"</f>
        <v>AMIGO2</v>
      </c>
      <c r="B650" t="s">
        <v>14</v>
      </c>
      <c r="C650" t="s">
        <v>16</v>
      </c>
      <c r="D650" t="s">
        <v>11</v>
      </c>
      <c r="E650" t="s">
        <v>12</v>
      </c>
      <c r="F650">
        <v>47473707</v>
      </c>
      <c r="G650">
        <v>47473757</v>
      </c>
      <c r="H650">
        <v>47473298</v>
      </c>
      <c r="I650">
        <v>47473334</v>
      </c>
    </row>
    <row r="651" spans="1:9" x14ac:dyDescent="0.2">
      <c r="A651" s="1" t="str">
        <f>"AMIGO3"</f>
        <v>AMIGO3</v>
      </c>
      <c r="B651" t="s">
        <v>9</v>
      </c>
      <c r="C651" t="s">
        <v>22</v>
      </c>
      <c r="D651" t="s">
        <v>11</v>
      </c>
      <c r="E651" t="s">
        <v>12</v>
      </c>
      <c r="F651">
        <v>49761337</v>
      </c>
      <c r="G651">
        <v>49761421</v>
      </c>
      <c r="H651">
        <v>49761337</v>
      </c>
      <c r="I651">
        <v>49761421</v>
      </c>
    </row>
    <row r="652" spans="1:9" x14ac:dyDescent="0.2">
      <c r="A652" s="1" t="str">
        <f>"AMIGO3"</f>
        <v>AMIGO3</v>
      </c>
      <c r="B652" t="s">
        <v>13</v>
      </c>
      <c r="C652" t="s">
        <v>22</v>
      </c>
      <c r="D652" t="s">
        <v>11</v>
      </c>
      <c r="E652" t="s">
        <v>12</v>
      </c>
      <c r="F652">
        <v>49757101</v>
      </c>
      <c r="G652">
        <v>49757125</v>
      </c>
      <c r="H652">
        <v>49757101</v>
      </c>
      <c r="I652">
        <v>49757125</v>
      </c>
    </row>
    <row r="653" spans="1:9" x14ac:dyDescent="0.2">
      <c r="A653" s="1" t="str">
        <f>"AMMECR1"</f>
        <v>AMMECR1</v>
      </c>
      <c r="B653" t="s">
        <v>14</v>
      </c>
      <c r="C653" t="s">
        <v>37</v>
      </c>
      <c r="D653" t="s">
        <v>11</v>
      </c>
      <c r="E653" t="s">
        <v>12</v>
      </c>
      <c r="F653">
        <v>109561294</v>
      </c>
      <c r="G653">
        <v>109561382</v>
      </c>
      <c r="H653">
        <v>109561251</v>
      </c>
      <c r="I653">
        <v>109561262</v>
      </c>
    </row>
    <row r="654" spans="1:9" x14ac:dyDescent="0.2">
      <c r="A654" s="1" t="str">
        <f>"AMMECR1L"</f>
        <v>AMMECR1L</v>
      </c>
      <c r="B654" t="s">
        <v>14</v>
      </c>
      <c r="C654" t="s">
        <v>26</v>
      </c>
      <c r="D654" t="s">
        <v>11</v>
      </c>
      <c r="E654" t="s">
        <v>12</v>
      </c>
      <c r="F654">
        <v>128643529</v>
      </c>
      <c r="G654">
        <v>128643566</v>
      </c>
      <c r="H654">
        <v>128643529</v>
      </c>
      <c r="I654">
        <v>128643566</v>
      </c>
    </row>
    <row r="655" spans="1:9" x14ac:dyDescent="0.2">
      <c r="A655" s="1" t="str">
        <f>"AMN"</f>
        <v>AMN</v>
      </c>
      <c r="B655" t="s">
        <v>9</v>
      </c>
      <c r="C655" t="s">
        <v>41</v>
      </c>
      <c r="D655" t="s">
        <v>17</v>
      </c>
      <c r="E655" t="s">
        <v>12</v>
      </c>
      <c r="F655">
        <v>103388976</v>
      </c>
      <c r="G655">
        <v>103389025</v>
      </c>
      <c r="H655">
        <v>103388976</v>
      </c>
      <c r="I655">
        <v>103389025</v>
      </c>
    </row>
    <row r="656" spans="1:9" x14ac:dyDescent="0.2">
      <c r="A656" s="1" t="str">
        <f>"AMN"</f>
        <v>AMN</v>
      </c>
      <c r="B656" t="s">
        <v>13</v>
      </c>
      <c r="C656" t="s">
        <v>41</v>
      </c>
      <c r="D656" t="s">
        <v>17</v>
      </c>
      <c r="E656" t="s">
        <v>12</v>
      </c>
      <c r="F656">
        <v>103394963</v>
      </c>
      <c r="G656">
        <v>103395021</v>
      </c>
      <c r="H656">
        <v>103394963</v>
      </c>
      <c r="I656">
        <v>103395021</v>
      </c>
    </row>
    <row r="657" spans="1:9" x14ac:dyDescent="0.2">
      <c r="A657" s="1" t="str">
        <f>"AMN1"</f>
        <v>AMN1</v>
      </c>
      <c r="B657" t="s">
        <v>14</v>
      </c>
      <c r="C657" t="s">
        <v>16</v>
      </c>
      <c r="D657" t="s">
        <v>11</v>
      </c>
      <c r="E657" t="s">
        <v>12</v>
      </c>
      <c r="F657">
        <v>31881948</v>
      </c>
      <c r="G657">
        <v>31881965</v>
      </c>
      <c r="H657">
        <v>31881976</v>
      </c>
      <c r="I657">
        <v>31882021</v>
      </c>
    </row>
    <row r="658" spans="1:9" x14ac:dyDescent="0.2">
      <c r="A658" s="1" t="str">
        <f>"AMOT"</f>
        <v>AMOT</v>
      </c>
      <c r="B658" t="s">
        <v>14</v>
      </c>
      <c r="C658" t="s">
        <v>37</v>
      </c>
      <c r="D658" t="s">
        <v>11</v>
      </c>
      <c r="E658" t="s">
        <v>12</v>
      </c>
      <c r="F658">
        <v>112084045</v>
      </c>
      <c r="G658">
        <v>112084071</v>
      </c>
      <c r="H658">
        <v>112084099</v>
      </c>
      <c r="I658">
        <v>112084131</v>
      </c>
    </row>
    <row r="659" spans="1:9" x14ac:dyDescent="0.2">
      <c r="A659" s="1" t="str">
        <f>"AMOTL1"</f>
        <v>AMOTL1</v>
      </c>
      <c r="B659" t="s">
        <v>14</v>
      </c>
      <c r="C659" t="s">
        <v>27</v>
      </c>
      <c r="D659" t="s">
        <v>17</v>
      </c>
      <c r="E659" t="s">
        <v>12</v>
      </c>
      <c r="F659">
        <v>94501497</v>
      </c>
      <c r="G659">
        <v>94501577</v>
      </c>
      <c r="H659">
        <v>94501497</v>
      </c>
      <c r="I659">
        <v>94501577</v>
      </c>
    </row>
    <row r="660" spans="1:9" x14ac:dyDescent="0.2">
      <c r="A660" s="1" t="str">
        <f>"AMOTL2"</f>
        <v>AMOTL2</v>
      </c>
      <c r="B660" t="s">
        <v>14</v>
      </c>
      <c r="C660" t="s">
        <v>22</v>
      </c>
      <c r="D660" t="s">
        <v>11</v>
      </c>
      <c r="E660" t="s">
        <v>12</v>
      </c>
      <c r="F660">
        <v>134093275</v>
      </c>
      <c r="G660">
        <v>134093299</v>
      </c>
      <c r="H660">
        <v>134093314</v>
      </c>
      <c r="I660">
        <v>134093380</v>
      </c>
    </row>
    <row r="661" spans="1:9" x14ac:dyDescent="0.2">
      <c r="A661" s="1" t="str">
        <f>"AMPD1"</f>
        <v>AMPD1</v>
      </c>
      <c r="B661" t="s">
        <v>14</v>
      </c>
      <c r="C661" t="s">
        <v>19</v>
      </c>
      <c r="D661" t="s">
        <v>11</v>
      </c>
      <c r="E661" t="s">
        <v>12</v>
      </c>
      <c r="F661">
        <v>115238154</v>
      </c>
      <c r="G661">
        <v>115238174</v>
      </c>
      <c r="H661">
        <v>115238140</v>
      </c>
      <c r="I661">
        <v>115238153</v>
      </c>
    </row>
    <row r="662" spans="1:9" x14ac:dyDescent="0.2">
      <c r="A662" s="1" t="str">
        <f>"AMPD2"</f>
        <v>AMPD2</v>
      </c>
      <c r="B662" t="s">
        <v>9</v>
      </c>
      <c r="C662" t="s">
        <v>19</v>
      </c>
      <c r="D662" t="s">
        <v>17</v>
      </c>
      <c r="E662" t="s">
        <v>12</v>
      </c>
      <c r="F662">
        <v>110162448</v>
      </c>
      <c r="G662">
        <v>110162517</v>
      </c>
      <c r="H662">
        <v>110162448</v>
      </c>
      <c r="I662">
        <v>110162517</v>
      </c>
    </row>
    <row r="663" spans="1:9" x14ac:dyDescent="0.2">
      <c r="A663" s="1" t="str">
        <f>"AMPD2"</f>
        <v>AMPD2</v>
      </c>
      <c r="B663" t="s">
        <v>13</v>
      </c>
      <c r="C663" t="s">
        <v>19</v>
      </c>
      <c r="D663" t="s">
        <v>17</v>
      </c>
      <c r="E663" t="s">
        <v>12</v>
      </c>
      <c r="F663">
        <v>110163709</v>
      </c>
      <c r="G663">
        <v>110163782</v>
      </c>
      <c r="H663">
        <v>110163709</v>
      </c>
      <c r="I663">
        <v>110163782</v>
      </c>
    </row>
    <row r="664" spans="1:9" x14ac:dyDescent="0.2">
      <c r="A664" s="1" t="str">
        <f>"AMPD3"</f>
        <v>AMPD3</v>
      </c>
      <c r="B664" t="s">
        <v>14</v>
      </c>
      <c r="C664" t="s">
        <v>27</v>
      </c>
      <c r="D664" t="s">
        <v>17</v>
      </c>
      <c r="E664" t="s">
        <v>12</v>
      </c>
      <c r="F664">
        <v>10476786</v>
      </c>
      <c r="G664">
        <v>10476831</v>
      </c>
      <c r="H664">
        <v>10477593</v>
      </c>
      <c r="I664">
        <v>10477619</v>
      </c>
    </row>
    <row r="665" spans="1:9" x14ac:dyDescent="0.2">
      <c r="A665" s="1" t="str">
        <f>"AMPH"</f>
        <v>AMPH</v>
      </c>
      <c r="B665" t="s">
        <v>14</v>
      </c>
      <c r="C665" t="s">
        <v>33</v>
      </c>
      <c r="D665" t="s">
        <v>11</v>
      </c>
      <c r="E665" t="s">
        <v>12</v>
      </c>
      <c r="F665">
        <v>38670957</v>
      </c>
      <c r="G665">
        <v>38671039</v>
      </c>
      <c r="H665">
        <v>38671098</v>
      </c>
      <c r="I665">
        <v>38671112</v>
      </c>
    </row>
    <row r="666" spans="1:9" x14ac:dyDescent="0.2">
      <c r="A666" s="1" t="str">
        <f>"AMT"</f>
        <v>AMT</v>
      </c>
      <c r="B666" t="s">
        <v>14</v>
      </c>
      <c r="C666" t="s">
        <v>22</v>
      </c>
      <c r="D666" t="s">
        <v>11</v>
      </c>
      <c r="E666" t="s">
        <v>12</v>
      </c>
      <c r="F666">
        <v>49459878</v>
      </c>
      <c r="G666">
        <v>49459912</v>
      </c>
      <c r="H666">
        <v>49459914</v>
      </c>
      <c r="I666">
        <v>49459925</v>
      </c>
    </row>
    <row r="667" spans="1:9" x14ac:dyDescent="0.2">
      <c r="A667" s="1" t="str">
        <f>"AMTN"</f>
        <v>AMTN</v>
      </c>
      <c r="B667" t="s">
        <v>14</v>
      </c>
      <c r="C667" t="s">
        <v>23</v>
      </c>
      <c r="D667" t="s">
        <v>17</v>
      </c>
      <c r="E667" t="s">
        <v>12</v>
      </c>
      <c r="F667">
        <v>71384280</v>
      </c>
      <c r="G667">
        <v>71384295</v>
      </c>
      <c r="H667">
        <v>71384300</v>
      </c>
      <c r="I667">
        <v>71384314</v>
      </c>
    </row>
    <row r="668" spans="1:9" x14ac:dyDescent="0.2">
      <c r="A668" s="1" t="str">
        <f>"AMY1A"</f>
        <v>AMY1A</v>
      </c>
      <c r="B668" t="s">
        <v>64</v>
      </c>
      <c r="C668" t="s">
        <v>19</v>
      </c>
      <c r="D668" t="s">
        <v>17</v>
      </c>
      <c r="E668" t="s">
        <v>20</v>
      </c>
      <c r="F668">
        <v>104198376</v>
      </c>
      <c r="G668">
        <v>104198376</v>
      </c>
      <c r="H668">
        <v>104198376</v>
      </c>
      <c r="I668">
        <v>104198376</v>
      </c>
    </row>
    <row r="669" spans="1:9" x14ac:dyDescent="0.2">
      <c r="A669" s="1" t="str">
        <f>"AMY1B"</f>
        <v>AMY1B</v>
      </c>
      <c r="B669" t="s">
        <v>65</v>
      </c>
      <c r="C669" t="s">
        <v>19</v>
      </c>
      <c r="D669" t="s">
        <v>11</v>
      </c>
      <c r="E669" t="s">
        <v>20</v>
      </c>
      <c r="F669">
        <v>104238993</v>
      </c>
      <c r="G669">
        <v>104238993</v>
      </c>
      <c r="H669">
        <v>104238993</v>
      </c>
      <c r="I669">
        <v>104238993</v>
      </c>
    </row>
    <row r="670" spans="1:9" x14ac:dyDescent="0.2">
      <c r="A670" s="1" t="str">
        <f>"AMY1C"</f>
        <v>AMY1C</v>
      </c>
      <c r="B670" t="s">
        <v>66</v>
      </c>
      <c r="C670" t="s">
        <v>19</v>
      </c>
      <c r="D670" t="s">
        <v>17</v>
      </c>
      <c r="E670" t="s">
        <v>20</v>
      </c>
      <c r="F670">
        <v>104293027</v>
      </c>
      <c r="G670">
        <v>104293027</v>
      </c>
      <c r="H670">
        <v>104293027</v>
      </c>
      <c r="I670">
        <v>104293027</v>
      </c>
    </row>
    <row r="671" spans="1:9" x14ac:dyDescent="0.2">
      <c r="A671" s="1" t="str">
        <f>"AMY2A"</f>
        <v>AMY2A</v>
      </c>
      <c r="B671" t="s">
        <v>14</v>
      </c>
      <c r="C671" t="s">
        <v>19</v>
      </c>
      <c r="D671" t="s">
        <v>17</v>
      </c>
      <c r="E671" t="s">
        <v>12</v>
      </c>
      <c r="F671">
        <v>104159538</v>
      </c>
      <c r="G671">
        <v>104159544</v>
      </c>
      <c r="H671">
        <v>104159538</v>
      </c>
      <c r="I671">
        <v>104159544</v>
      </c>
    </row>
    <row r="672" spans="1:9" x14ac:dyDescent="0.2">
      <c r="A672" s="1" t="str">
        <f>"AMY2B"</f>
        <v>AMY2B</v>
      </c>
      <c r="B672" t="s">
        <v>14</v>
      </c>
      <c r="C672" t="s">
        <v>19</v>
      </c>
      <c r="D672" t="s">
        <v>17</v>
      </c>
      <c r="E672" t="s">
        <v>12</v>
      </c>
      <c r="F672">
        <v>104104405</v>
      </c>
      <c r="G672">
        <v>104104433</v>
      </c>
      <c r="H672">
        <v>104104405</v>
      </c>
      <c r="I672">
        <v>104104433</v>
      </c>
    </row>
    <row r="673" spans="1:9" x14ac:dyDescent="0.2">
      <c r="A673" s="1" t="str">
        <f>"AMZ1"</f>
        <v>AMZ1</v>
      </c>
      <c r="B673" t="s">
        <v>14</v>
      </c>
      <c r="C673" t="s">
        <v>33</v>
      </c>
      <c r="D673" t="s">
        <v>17</v>
      </c>
      <c r="E673" t="s">
        <v>12</v>
      </c>
      <c r="F673">
        <v>2727817</v>
      </c>
      <c r="G673">
        <v>2727881</v>
      </c>
      <c r="H673">
        <v>2727817</v>
      </c>
      <c r="I673">
        <v>2727881</v>
      </c>
    </row>
    <row r="674" spans="1:9" x14ac:dyDescent="0.2">
      <c r="A674" s="1" t="str">
        <f>"AMZ2"</f>
        <v>AMZ2</v>
      </c>
      <c r="B674" t="s">
        <v>14</v>
      </c>
      <c r="C674" t="s">
        <v>28</v>
      </c>
      <c r="D674" t="s">
        <v>17</v>
      </c>
      <c r="E674" t="s">
        <v>12</v>
      </c>
      <c r="F674">
        <v>66244154</v>
      </c>
      <c r="G674">
        <v>66244268</v>
      </c>
      <c r="H674">
        <v>66244154</v>
      </c>
      <c r="I674">
        <v>66244268</v>
      </c>
    </row>
    <row r="675" spans="1:9" x14ac:dyDescent="0.2">
      <c r="A675" s="1" t="str">
        <f>"ANAPC1"</f>
        <v>ANAPC1</v>
      </c>
      <c r="B675" t="s">
        <v>14</v>
      </c>
      <c r="C675" t="s">
        <v>26</v>
      </c>
      <c r="D675" t="s">
        <v>11</v>
      </c>
      <c r="E675" t="s">
        <v>12</v>
      </c>
      <c r="F675">
        <v>112641724</v>
      </c>
      <c r="G675">
        <v>112641781</v>
      </c>
      <c r="H675">
        <v>112641696</v>
      </c>
      <c r="I675">
        <v>112641723</v>
      </c>
    </row>
    <row r="676" spans="1:9" x14ac:dyDescent="0.2">
      <c r="A676" s="1" t="str">
        <f>"ANAPC10"</f>
        <v>ANAPC10</v>
      </c>
      <c r="B676" t="s">
        <v>14</v>
      </c>
      <c r="C676" t="s">
        <v>23</v>
      </c>
      <c r="D676" t="s">
        <v>11</v>
      </c>
      <c r="E676" t="s">
        <v>12</v>
      </c>
      <c r="F676">
        <v>146019335</v>
      </c>
      <c r="G676">
        <v>146019377</v>
      </c>
      <c r="H676">
        <v>146019296</v>
      </c>
      <c r="I676">
        <v>146019330</v>
      </c>
    </row>
    <row r="677" spans="1:9" x14ac:dyDescent="0.2">
      <c r="A677" s="1" t="str">
        <f>"ANAPC11"</f>
        <v>ANAPC11</v>
      </c>
      <c r="B677" t="s">
        <v>14</v>
      </c>
      <c r="C677" t="s">
        <v>28</v>
      </c>
      <c r="D677" t="s">
        <v>17</v>
      </c>
      <c r="E677" t="s">
        <v>12</v>
      </c>
      <c r="F677">
        <v>79849591</v>
      </c>
      <c r="G677">
        <v>79849644</v>
      </c>
      <c r="H677">
        <v>79849655</v>
      </c>
      <c r="I677">
        <v>79849674</v>
      </c>
    </row>
    <row r="678" spans="1:9" x14ac:dyDescent="0.2">
      <c r="A678" s="1" t="str">
        <f>"ANAPC13"</f>
        <v>ANAPC13</v>
      </c>
      <c r="B678" t="s">
        <v>14</v>
      </c>
      <c r="C678" t="s">
        <v>22</v>
      </c>
      <c r="D678" t="s">
        <v>11</v>
      </c>
      <c r="E678" t="s">
        <v>12</v>
      </c>
      <c r="F678">
        <v>134204815</v>
      </c>
      <c r="G678">
        <v>134204839</v>
      </c>
      <c r="H678">
        <v>134204539</v>
      </c>
      <c r="I678">
        <v>134204590</v>
      </c>
    </row>
    <row r="679" spans="1:9" x14ac:dyDescent="0.2">
      <c r="A679" s="1" t="str">
        <f>"ANAPC15"</f>
        <v>ANAPC15</v>
      </c>
      <c r="B679" t="s">
        <v>14</v>
      </c>
      <c r="C679" t="s">
        <v>27</v>
      </c>
      <c r="D679" t="s">
        <v>11</v>
      </c>
      <c r="E679" t="s">
        <v>12</v>
      </c>
      <c r="F679">
        <v>71823715</v>
      </c>
      <c r="G679">
        <v>71823792</v>
      </c>
      <c r="H679">
        <v>71823796</v>
      </c>
      <c r="I679">
        <v>71823826</v>
      </c>
    </row>
    <row r="680" spans="1:9" x14ac:dyDescent="0.2">
      <c r="A680" s="1" t="str">
        <f>"ANAPC16"</f>
        <v>ANAPC16</v>
      </c>
      <c r="B680" t="s">
        <v>14</v>
      </c>
      <c r="C680" t="s">
        <v>15</v>
      </c>
      <c r="D680" t="s">
        <v>17</v>
      </c>
      <c r="E680" t="s">
        <v>12</v>
      </c>
      <c r="F680">
        <v>73975742</v>
      </c>
      <c r="G680">
        <v>73975830</v>
      </c>
      <c r="H680">
        <v>73975742</v>
      </c>
      <c r="I680">
        <v>73975830</v>
      </c>
    </row>
    <row r="681" spans="1:9" x14ac:dyDescent="0.2">
      <c r="A681" s="1" t="str">
        <f>"ANAPC2"</f>
        <v>ANAPC2</v>
      </c>
      <c r="B681" t="s">
        <v>14</v>
      </c>
      <c r="C681" t="s">
        <v>24</v>
      </c>
      <c r="D681" t="s">
        <v>11</v>
      </c>
      <c r="E681" t="s">
        <v>12</v>
      </c>
      <c r="F681">
        <v>140082983</v>
      </c>
      <c r="G681">
        <v>140083046</v>
      </c>
      <c r="H681">
        <v>140083058</v>
      </c>
      <c r="I681">
        <v>140083069</v>
      </c>
    </row>
    <row r="682" spans="1:9" x14ac:dyDescent="0.2">
      <c r="A682" s="1" t="str">
        <f>"ANAPC4"</f>
        <v>ANAPC4</v>
      </c>
      <c r="B682" t="s">
        <v>14</v>
      </c>
      <c r="C682" t="s">
        <v>23</v>
      </c>
      <c r="D682" t="s">
        <v>17</v>
      </c>
      <c r="E682" t="s">
        <v>12</v>
      </c>
      <c r="F682">
        <v>25378826</v>
      </c>
      <c r="G682">
        <v>25378906</v>
      </c>
      <c r="H682">
        <v>25378912</v>
      </c>
      <c r="I682">
        <v>25378948</v>
      </c>
    </row>
    <row r="683" spans="1:9" x14ac:dyDescent="0.2">
      <c r="A683" s="1" t="str">
        <f>"ANAPC5"</f>
        <v>ANAPC5</v>
      </c>
      <c r="B683" t="s">
        <v>14</v>
      </c>
      <c r="C683" t="s">
        <v>16</v>
      </c>
      <c r="D683" t="s">
        <v>11</v>
      </c>
      <c r="E683" t="s">
        <v>12</v>
      </c>
      <c r="F683">
        <v>121790204</v>
      </c>
      <c r="G683">
        <v>121790230</v>
      </c>
      <c r="H683">
        <v>121790187</v>
      </c>
      <c r="I683">
        <v>121790201</v>
      </c>
    </row>
    <row r="684" spans="1:9" x14ac:dyDescent="0.2">
      <c r="A684" s="1" t="str">
        <f>"ANAPC7"</f>
        <v>ANAPC7</v>
      </c>
      <c r="B684" t="s">
        <v>14</v>
      </c>
      <c r="C684" t="s">
        <v>16</v>
      </c>
      <c r="D684" t="s">
        <v>11</v>
      </c>
      <c r="E684" t="s">
        <v>12</v>
      </c>
      <c r="F684">
        <v>110841462</v>
      </c>
      <c r="G684">
        <v>110841540</v>
      </c>
      <c r="H684">
        <v>110841441</v>
      </c>
      <c r="I684">
        <v>110841452</v>
      </c>
    </row>
    <row r="685" spans="1:9" x14ac:dyDescent="0.2">
      <c r="A685" s="1" t="str">
        <f>"ANG"</f>
        <v>ANG</v>
      </c>
      <c r="B685" t="s">
        <v>14</v>
      </c>
      <c r="C685" t="s">
        <v>41</v>
      </c>
      <c r="D685" t="s">
        <v>17</v>
      </c>
      <c r="E685" t="s">
        <v>12</v>
      </c>
      <c r="F685">
        <v>21152706</v>
      </c>
      <c r="G685">
        <v>21152783</v>
      </c>
      <c r="H685">
        <v>21152706</v>
      </c>
      <c r="I685">
        <v>21152783</v>
      </c>
    </row>
    <row r="686" spans="1:9" x14ac:dyDescent="0.2">
      <c r="A686" s="1" t="str">
        <f>"ANGEL1"</f>
        <v>ANGEL1</v>
      </c>
      <c r="B686" t="s">
        <v>14</v>
      </c>
      <c r="C686" t="s">
        <v>41</v>
      </c>
      <c r="D686" t="s">
        <v>11</v>
      </c>
      <c r="E686" t="s">
        <v>12</v>
      </c>
      <c r="F686">
        <v>77279153</v>
      </c>
      <c r="G686">
        <v>77279245</v>
      </c>
      <c r="H686">
        <v>77279276</v>
      </c>
      <c r="I686">
        <v>77279291</v>
      </c>
    </row>
    <row r="687" spans="1:9" x14ac:dyDescent="0.2">
      <c r="A687" s="1" t="str">
        <f>"ANGEL2"</f>
        <v>ANGEL2</v>
      </c>
      <c r="B687" t="s">
        <v>14</v>
      </c>
      <c r="C687" t="s">
        <v>19</v>
      </c>
      <c r="D687" t="s">
        <v>11</v>
      </c>
      <c r="E687" t="s">
        <v>12</v>
      </c>
      <c r="F687">
        <v>213188772</v>
      </c>
      <c r="G687">
        <v>213188856</v>
      </c>
      <c r="H687">
        <v>213189181</v>
      </c>
      <c r="I687">
        <v>213189219</v>
      </c>
    </row>
    <row r="688" spans="1:9" x14ac:dyDescent="0.2">
      <c r="A688" s="1" t="str">
        <f>"ANGPT1"</f>
        <v>ANGPT1</v>
      </c>
      <c r="B688" t="s">
        <v>14</v>
      </c>
      <c r="C688" t="s">
        <v>30</v>
      </c>
      <c r="D688" t="s">
        <v>11</v>
      </c>
      <c r="E688" t="s">
        <v>12</v>
      </c>
      <c r="F688">
        <v>108510137</v>
      </c>
      <c r="G688">
        <v>108510152</v>
      </c>
      <c r="H688">
        <v>108510137</v>
      </c>
      <c r="I688">
        <v>108510152</v>
      </c>
    </row>
    <row r="689" spans="1:9" x14ac:dyDescent="0.2">
      <c r="A689" s="1" t="str">
        <f>"ANGPT2"</f>
        <v>ANGPT2</v>
      </c>
      <c r="B689" t="s">
        <v>14</v>
      </c>
      <c r="C689" t="s">
        <v>30</v>
      </c>
      <c r="D689" t="s">
        <v>11</v>
      </c>
      <c r="E689" t="s">
        <v>12</v>
      </c>
      <c r="F689">
        <v>6420759</v>
      </c>
      <c r="G689">
        <v>6420775</v>
      </c>
      <c r="H689">
        <v>6420791</v>
      </c>
      <c r="I689">
        <v>6420805</v>
      </c>
    </row>
    <row r="690" spans="1:9" x14ac:dyDescent="0.2">
      <c r="A690" s="1" t="str">
        <f>"ANGPT4"</f>
        <v>ANGPT4</v>
      </c>
      <c r="B690" t="s">
        <v>14</v>
      </c>
      <c r="C690" t="s">
        <v>29</v>
      </c>
      <c r="D690" t="s">
        <v>11</v>
      </c>
      <c r="E690" t="s">
        <v>12</v>
      </c>
      <c r="F690">
        <v>896975</v>
      </c>
      <c r="G690">
        <v>896978</v>
      </c>
      <c r="H690">
        <v>896975</v>
      </c>
      <c r="I690">
        <v>896978</v>
      </c>
    </row>
    <row r="691" spans="1:9" x14ac:dyDescent="0.2">
      <c r="A691" s="1" t="str">
        <f>"ANGPTL1"</f>
        <v>ANGPTL1</v>
      </c>
      <c r="B691" t="s">
        <v>14</v>
      </c>
      <c r="C691" t="s">
        <v>19</v>
      </c>
      <c r="D691" t="s">
        <v>11</v>
      </c>
      <c r="E691" t="s">
        <v>12</v>
      </c>
      <c r="F691">
        <v>178840195</v>
      </c>
      <c r="G691">
        <v>178840230</v>
      </c>
      <c r="H691">
        <v>178840163</v>
      </c>
      <c r="I691">
        <v>178840184</v>
      </c>
    </row>
    <row r="692" spans="1:9" x14ac:dyDescent="0.2">
      <c r="A692" s="1" t="str">
        <f>"ANGPTL2"</f>
        <v>ANGPTL2</v>
      </c>
      <c r="B692" t="s">
        <v>14</v>
      </c>
      <c r="C692" t="s">
        <v>24</v>
      </c>
      <c r="D692" t="s">
        <v>11</v>
      </c>
      <c r="E692" t="s">
        <v>12</v>
      </c>
      <c r="F692">
        <v>129884902</v>
      </c>
      <c r="G692">
        <v>129884922</v>
      </c>
      <c r="H692">
        <v>129884944</v>
      </c>
      <c r="I692">
        <v>129884979</v>
      </c>
    </row>
    <row r="693" spans="1:9" x14ac:dyDescent="0.2">
      <c r="A693" s="1" t="str">
        <f>"ANGPTL3"</f>
        <v>ANGPTL3</v>
      </c>
      <c r="B693" t="s">
        <v>14</v>
      </c>
      <c r="C693" t="s">
        <v>19</v>
      </c>
      <c r="D693" t="s">
        <v>17</v>
      </c>
      <c r="E693" t="s">
        <v>12</v>
      </c>
      <c r="F693">
        <v>63063181</v>
      </c>
      <c r="G693">
        <v>63063198</v>
      </c>
      <c r="H693">
        <v>63063152</v>
      </c>
      <c r="I693">
        <v>63063163</v>
      </c>
    </row>
    <row r="694" spans="1:9" x14ac:dyDescent="0.2">
      <c r="A694" s="1" t="str">
        <f>"ANGPTL4"</f>
        <v>ANGPTL4</v>
      </c>
      <c r="B694" t="s">
        <v>14</v>
      </c>
      <c r="C694" t="s">
        <v>10</v>
      </c>
      <c r="D694" t="s">
        <v>17</v>
      </c>
      <c r="E694" t="s">
        <v>12</v>
      </c>
      <c r="F694">
        <v>8429031</v>
      </c>
      <c r="G694">
        <v>8429048</v>
      </c>
      <c r="H694">
        <v>8429251</v>
      </c>
      <c r="I694">
        <v>8429258</v>
      </c>
    </row>
    <row r="695" spans="1:9" x14ac:dyDescent="0.2">
      <c r="A695" s="1" t="str">
        <f>"ANGPTL5"</f>
        <v>ANGPTL5</v>
      </c>
      <c r="B695" t="s">
        <v>14</v>
      </c>
      <c r="C695" t="s">
        <v>27</v>
      </c>
      <c r="D695" t="s">
        <v>11</v>
      </c>
      <c r="E695" t="s">
        <v>12</v>
      </c>
      <c r="F695">
        <v>101778684</v>
      </c>
      <c r="G695">
        <v>101778703</v>
      </c>
      <c r="H695">
        <v>101778706</v>
      </c>
      <c r="I695">
        <v>101778715</v>
      </c>
    </row>
    <row r="696" spans="1:9" x14ac:dyDescent="0.2">
      <c r="A696" s="1" t="str">
        <f>"ANGPTL6"</f>
        <v>ANGPTL6</v>
      </c>
      <c r="B696" t="s">
        <v>14</v>
      </c>
      <c r="C696" t="s">
        <v>10</v>
      </c>
      <c r="D696" t="s">
        <v>11</v>
      </c>
      <c r="E696" t="s">
        <v>12</v>
      </c>
      <c r="F696">
        <v>10213615</v>
      </c>
      <c r="G696">
        <v>10213632</v>
      </c>
      <c r="H696">
        <v>10213345</v>
      </c>
      <c r="I696">
        <v>10213360</v>
      </c>
    </row>
    <row r="697" spans="1:9" x14ac:dyDescent="0.2">
      <c r="A697" s="1" t="str">
        <f>"ANGPTL7"</f>
        <v>ANGPTL7</v>
      </c>
      <c r="B697" t="s">
        <v>14</v>
      </c>
      <c r="C697" t="s">
        <v>19</v>
      </c>
      <c r="D697" t="s">
        <v>17</v>
      </c>
      <c r="E697" t="s">
        <v>12</v>
      </c>
      <c r="F697">
        <v>11249404</v>
      </c>
      <c r="G697">
        <v>11249419</v>
      </c>
      <c r="H697">
        <v>11249404</v>
      </c>
      <c r="I697">
        <v>11249419</v>
      </c>
    </row>
    <row r="698" spans="1:9" x14ac:dyDescent="0.2">
      <c r="A698" s="1" t="str">
        <f>"ANHX"</f>
        <v>ANHX</v>
      </c>
      <c r="B698" t="s">
        <v>14</v>
      </c>
      <c r="C698" t="s">
        <v>16</v>
      </c>
      <c r="D698" t="s">
        <v>11</v>
      </c>
      <c r="E698" t="s">
        <v>67</v>
      </c>
      <c r="F698">
        <v>133812460</v>
      </c>
      <c r="G698">
        <v>133812466</v>
      </c>
      <c r="H698">
        <v>133812443</v>
      </c>
      <c r="I698">
        <v>133812446</v>
      </c>
    </row>
    <row r="699" spans="1:9" x14ac:dyDescent="0.2">
      <c r="A699" s="1" t="str">
        <f>"ANK1"</f>
        <v>ANK1</v>
      </c>
      <c r="B699" t="s">
        <v>14</v>
      </c>
      <c r="C699" t="s">
        <v>30</v>
      </c>
      <c r="D699" t="s">
        <v>11</v>
      </c>
      <c r="E699" t="s">
        <v>12</v>
      </c>
      <c r="F699">
        <v>41655107</v>
      </c>
      <c r="G699">
        <v>41655159</v>
      </c>
      <c r="H699">
        <v>41655107</v>
      </c>
      <c r="I699">
        <v>41655159</v>
      </c>
    </row>
    <row r="700" spans="1:9" x14ac:dyDescent="0.2">
      <c r="A700" s="1" t="str">
        <f>"ANK2"</f>
        <v>ANK2</v>
      </c>
      <c r="B700" t="s">
        <v>68</v>
      </c>
      <c r="C700" t="s">
        <v>23</v>
      </c>
      <c r="D700" t="s">
        <v>17</v>
      </c>
      <c r="E700" t="s">
        <v>20</v>
      </c>
      <c r="F700">
        <v>113970884</v>
      </c>
      <c r="G700">
        <v>113970884</v>
      </c>
      <c r="H700">
        <v>113970884</v>
      </c>
      <c r="I700">
        <v>113970884</v>
      </c>
    </row>
    <row r="701" spans="1:9" x14ac:dyDescent="0.2">
      <c r="A701" s="1" t="str">
        <f>"ANK3"</f>
        <v>ANK3</v>
      </c>
      <c r="B701" t="s">
        <v>14</v>
      </c>
      <c r="C701" t="s">
        <v>15</v>
      </c>
      <c r="D701" t="s">
        <v>11</v>
      </c>
      <c r="E701" t="s">
        <v>12</v>
      </c>
      <c r="F701">
        <v>62149542</v>
      </c>
      <c r="G701">
        <v>62149590</v>
      </c>
      <c r="H701">
        <v>62149542</v>
      </c>
      <c r="I701">
        <v>62149590</v>
      </c>
    </row>
    <row r="702" spans="1:9" x14ac:dyDescent="0.2">
      <c r="A702" s="1" t="str">
        <f>"ANKAR"</f>
        <v>ANKAR</v>
      </c>
      <c r="B702" t="s">
        <v>14</v>
      </c>
      <c r="C702" t="s">
        <v>26</v>
      </c>
      <c r="D702" t="s">
        <v>17</v>
      </c>
      <c r="E702" t="s">
        <v>12</v>
      </c>
      <c r="F702">
        <v>190539388</v>
      </c>
      <c r="G702">
        <v>190539431</v>
      </c>
      <c r="H702">
        <v>190539207</v>
      </c>
      <c r="I702">
        <v>190539252</v>
      </c>
    </row>
    <row r="703" spans="1:9" x14ac:dyDescent="0.2">
      <c r="A703" s="1" t="str">
        <f>"ANKDD1A"</f>
        <v>ANKDD1A</v>
      </c>
      <c r="B703" t="s">
        <v>14</v>
      </c>
      <c r="C703" t="s">
        <v>25</v>
      </c>
      <c r="D703" t="s">
        <v>17</v>
      </c>
      <c r="E703" t="s">
        <v>12</v>
      </c>
      <c r="F703">
        <v>65204075</v>
      </c>
      <c r="G703">
        <v>65204119</v>
      </c>
      <c r="H703">
        <v>65204122</v>
      </c>
      <c r="I703">
        <v>65204131</v>
      </c>
    </row>
    <row r="704" spans="1:9" x14ac:dyDescent="0.2">
      <c r="A704" s="1" t="str">
        <f>"ANKDD1B"</f>
        <v>ANKDD1B</v>
      </c>
      <c r="B704" t="s">
        <v>14</v>
      </c>
      <c r="C704" t="s">
        <v>46</v>
      </c>
      <c r="D704" t="s">
        <v>17</v>
      </c>
      <c r="E704" t="s">
        <v>12</v>
      </c>
      <c r="F704">
        <v>74907290</v>
      </c>
      <c r="G704">
        <v>74907311</v>
      </c>
      <c r="H704">
        <v>74907268</v>
      </c>
      <c r="I704">
        <v>74907282</v>
      </c>
    </row>
    <row r="705" spans="1:9" x14ac:dyDescent="0.2">
      <c r="A705" s="1" t="str">
        <f>"ANKEF1"</f>
        <v>ANKEF1</v>
      </c>
      <c r="B705" t="s">
        <v>14</v>
      </c>
      <c r="C705" t="s">
        <v>29</v>
      </c>
      <c r="D705" t="s">
        <v>17</v>
      </c>
      <c r="E705" t="s">
        <v>12</v>
      </c>
      <c r="F705">
        <v>10015678</v>
      </c>
      <c r="G705">
        <v>10015766</v>
      </c>
      <c r="H705">
        <v>10015612</v>
      </c>
      <c r="I705">
        <v>10015675</v>
      </c>
    </row>
    <row r="706" spans="1:9" x14ac:dyDescent="0.2">
      <c r="A706" s="1" t="str">
        <f>"ANKFN1"</f>
        <v>ANKFN1</v>
      </c>
      <c r="B706" t="s">
        <v>14</v>
      </c>
      <c r="C706" t="s">
        <v>28</v>
      </c>
      <c r="D706" t="s">
        <v>17</v>
      </c>
      <c r="E706" t="s">
        <v>12</v>
      </c>
      <c r="F706">
        <v>54230819</v>
      </c>
      <c r="G706">
        <v>54230848</v>
      </c>
      <c r="H706">
        <v>54230819</v>
      </c>
      <c r="I706">
        <v>54230848</v>
      </c>
    </row>
    <row r="707" spans="1:9" x14ac:dyDescent="0.2">
      <c r="A707" s="1" t="str">
        <f>"ANKFY1"</f>
        <v>ANKFY1</v>
      </c>
      <c r="B707" t="s">
        <v>14</v>
      </c>
      <c r="C707" t="s">
        <v>28</v>
      </c>
      <c r="D707" t="s">
        <v>11</v>
      </c>
      <c r="E707" t="s">
        <v>12</v>
      </c>
      <c r="F707">
        <v>4167244</v>
      </c>
      <c r="G707">
        <v>4167281</v>
      </c>
      <c r="H707">
        <v>4167244</v>
      </c>
      <c r="I707">
        <v>4167281</v>
      </c>
    </row>
    <row r="708" spans="1:9" x14ac:dyDescent="0.2">
      <c r="A708" s="1" t="str">
        <f>"ANKH"</f>
        <v>ANKH</v>
      </c>
      <c r="B708" t="s">
        <v>14</v>
      </c>
      <c r="C708" t="s">
        <v>46</v>
      </c>
      <c r="D708" t="s">
        <v>11</v>
      </c>
      <c r="E708" t="s">
        <v>12</v>
      </c>
      <c r="F708">
        <v>14871866</v>
      </c>
      <c r="G708">
        <v>14871916</v>
      </c>
      <c r="H708">
        <v>14871825</v>
      </c>
      <c r="I708">
        <v>14871857</v>
      </c>
    </row>
    <row r="709" spans="1:9" x14ac:dyDescent="0.2">
      <c r="A709" s="1" t="str">
        <f>"ANKHD1"</f>
        <v>ANKHD1</v>
      </c>
      <c r="B709" t="s">
        <v>14</v>
      </c>
      <c r="C709" t="s">
        <v>46</v>
      </c>
      <c r="D709" t="s">
        <v>17</v>
      </c>
      <c r="E709" t="s">
        <v>12</v>
      </c>
      <c r="F709">
        <v>139781393</v>
      </c>
      <c r="G709">
        <v>139781435</v>
      </c>
      <c r="H709">
        <v>139781445</v>
      </c>
      <c r="I709">
        <v>139781487</v>
      </c>
    </row>
    <row r="710" spans="1:9" x14ac:dyDescent="0.2">
      <c r="A710" s="1" t="str">
        <f>"ANKHD1-EIF4EBP3"</f>
        <v>ANKHD1-EIF4EBP3</v>
      </c>
      <c r="B710" t="s">
        <v>14</v>
      </c>
      <c r="C710" t="s">
        <v>46</v>
      </c>
      <c r="D710" t="s">
        <v>17</v>
      </c>
      <c r="E710" t="s">
        <v>12</v>
      </c>
      <c r="F710">
        <v>139781393</v>
      </c>
      <c r="G710">
        <v>139781435</v>
      </c>
      <c r="H710">
        <v>139781445</v>
      </c>
      <c r="I710">
        <v>139781487</v>
      </c>
    </row>
    <row r="711" spans="1:9" x14ac:dyDescent="0.2">
      <c r="A711" s="1" t="str">
        <f>"ANKIB1"</f>
        <v>ANKIB1</v>
      </c>
      <c r="B711" t="s">
        <v>14</v>
      </c>
      <c r="C711" t="s">
        <v>33</v>
      </c>
      <c r="D711" t="s">
        <v>17</v>
      </c>
      <c r="E711" t="s">
        <v>12</v>
      </c>
      <c r="F711">
        <v>91875273</v>
      </c>
      <c r="G711">
        <v>91875344</v>
      </c>
      <c r="H711">
        <v>91875508</v>
      </c>
      <c r="I711">
        <v>91875559</v>
      </c>
    </row>
    <row r="712" spans="1:9" x14ac:dyDescent="0.2">
      <c r="A712" s="1" t="str">
        <f>"ANKK1"</f>
        <v>ANKK1</v>
      </c>
      <c r="B712" t="s">
        <v>14</v>
      </c>
      <c r="C712" t="s">
        <v>27</v>
      </c>
      <c r="D712" t="s">
        <v>17</v>
      </c>
      <c r="E712" t="s">
        <v>12</v>
      </c>
      <c r="F712">
        <v>113258495</v>
      </c>
      <c r="G712">
        <v>113258506</v>
      </c>
      <c r="H712">
        <v>113258526</v>
      </c>
      <c r="I712">
        <v>113258533</v>
      </c>
    </row>
    <row r="713" spans="1:9" x14ac:dyDescent="0.2">
      <c r="A713" s="1" t="str">
        <f>"ANKLE1"</f>
        <v>ANKLE1</v>
      </c>
      <c r="B713" t="s">
        <v>14</v>
      </c>
      <c r="C713" t="s">
        <v>10</v>
      </c>
      <c r="D713" t="s">
        <v>17</v>
      </c>
      <c r="E713" t="s">
        <v>12</v>
      </c>
      <c r="F713">
        <v>17392672</v>
      </c>
      <c r="G713">
        <v>17392735</v>
      </c>
      <c r="H713">
        <v>17392467</v>
      </c>
      <c r="I713">
        <v>17392509</v>
      </c>
    </row>
    <row r="714" spans="1:9" x14ac:dyDescent="0.2">
      <c r="A714" s="1" t="str">
        <f>"ANKLE2"</f>
        <v>ANKLE2</v>
      </c>
      <c r="B714" t="s">
        <v>14</v>
      </c>
      <c r="C714" t="s">
        <v>16</v>
      </c>
      <c r="D714" t="s">
        <v>11</v>
      </c>
      <c r="E714" t="s">
        <v>12</v>
      </c>
      <c r="F714">
        <v>133338379</v>
      </c>
      <c r="G714">
        <v>133338425</v>
      </c>
      <c r="H714">
        <v>133338426</v>
      </c>
      <c r="I714">
        <v>133338437</v>
      </c>
    </row>
    <row r="715" spans="1:9" x14ac:dyDescent="0.2">
      <c r="A715" s="1" t="str">
        <f>"ANKMY1"</f>
        <v>ANKMY1</v>
      </c>
      <c r="B715" t="s">
        <v>14</v>
      </c>
      <c r="C715" t="s">
        <v>26</v>
      </c>
      <c r="D715" t="s">
        <v>11</v>
      </c>
      <c r="E715" t="s">
        <v>12</v>
      </c>
      <c r="F715">
        <v>241500447</v>
      </c>
      <c r="G715">
        <v>241500512</v>
      </c>
      <c r="H715">
        <v>241500168</v>
      </c>
      <c r="I715">
        <v>241500250</v>
      </c>
    </row>
    <row r="716" spans="1:9" x14ac:dyDescent="0.2">
      <c r="A716" s="1" t="str">
        <f>"ANKMY2"</f>
        <v>ANKMY2</v>
      </c>
      <c r="B716" t="s">
        <v>14</v>
      </c>
      <c r="C716" t="s">
        <v>33</v>
      </c>
      <c r="D716" t="s">
        <v>11</v>
      </c>
      <c r="E716" t="s">
        <v>12</v>
      </c>
      <c r="F716">
        <v>16685353</v>
      </c>
      <c r="G716">
        <v>16685419</v>
      </c>
      <c r="H716">
        <v>16685320</v>
      </c>
      <c r="I716">
        <v>16685350</v>
      </c>
    </row>
    <row r="717" spans="1:9" x14ac:dyDescent="0.2">
      <c r="A717" s="1" t="str">
        <f>"ANKRA2"</f>
        <v>ANKRA2</v>
      </c>
      <c r="B717" t="s">
        <v>14</v>
      </c>
      <c r="C717" t="s">
        <v>46</v>
      </c>
      <c r="D717" t="s">
        <v>11</v>
      </c>
      <c r="E717" t="s">
        <v>12</v>
      </c>
      <c r="F717">
        <v>72861427</v>
      </c>
      <c r="G717">
        <v>72861478</v>
      </c>
      <c r="H717">
        <v>72861175</v>
      </c>
      <c r="I717">
        <v>72861264</v>
      </c>
    </row>
    <row r="718" spans="1:9" x14ac:dyDescent="0.2">
      <c r="A718" s="1" t="str">
        <f>"ANKRD1"</f>
        <v>ANKRD1</v>
      </c>
      <c r="B718" t="s">
        <v>14</v>
      </c>
      <c r="C718" t="s">
        <v>15</v>
      </c>
      <c r="D718" t="s">
        <v>11</v>
      </c>
      <c r="E718" t="s">
        <v>12</v>
      </c>
      <c r="F718">
        <v>92680836</v>
      </c>
      <c r="G718">
        <v>92680853</v>
      </c>
      <c r="H718">
        <v>92680836</v>
      </c>
      <c r="I718">
        <v>92680853</v>
      </c>
    </row>
    <row r="719" spans="1:9" x14ac:dyDescent="0.2">
      <c r="A719" s="1" t="str">
        <f>"ANKRD10"</f>
        <v>ANKRD10</v>
      </c>
      <c r="B719" t="s">
        <v>14</v>
      </c>
      <c r="C719" t="s">
        <v>39</v>
      </c>
      <c r="D719" t="s">
        <v>11</v>
      </c>
      <c r="E719" t="s">
        <v>12</v>
      </c>
      <c r="F719">
        <v>111567353</v>
      </c>
      <c r="G719">
        <v>111567432</v>
      </c>
      <c r="H719">
        <v>111567496</v>
      </c>
      <c r="I719">
        <v>111567572</v>
      </c>
    </row>
    <row r="720" spans="1:9" x14ac:dyDescent="0.2">
      <c r="A720" s="1" t="str">
        <f>"ANKRD11"</f>
        <v>ANKRD11</v>
      </c>
      <c r="B720" t="s">
        <v>14</v>
      </c>
      <c r="C720" t="s">
        <v>31</v>
      </c>
      <c r="D720" t="s">
        <v>11</v>
      </c>
      <c r="E720" t="s">
        <v>12</v>
      </c>
      <c r="F720">
        <v>89556942</v>
      </c>
      <c r="G720">
        <v>89557020</v>
      </c>
      <c r="H720">
        <v>89556942</v>
      </c>
      <c r="I720">
        <v>89557020</v>
      </c>
    </row>
    <row r="721" spans="1:9" x14ac:dyDescent="0.2">
      <c r="A721" s="1" t="str">
        <f>"ANKRD12"</f>
        <v>ANKRD12</v>
      </c>
      <c r="B721" t="s">
        <v>14</v>
      </c>
      <c r="C721" t="s">
        <v>43</v>
      </c>
      <c r="D721" t="s">
        <v>17</v>
      </c>
      <c r="E721" t="s">
        <v>12</v>
      </c>
      <c r="F721">
        <v>9136763</v>
      </c>
      <c r="G721">
        <v>9136852</v>
      </c>
      <c r="H721">
        <v>9137049</v>
      </c>
      <c r="I721">
        <v>9137063</v>
      </c>
    </row>
    <row r="722" spans="1:9" x14ac:dyDescent="0.2">
      <c r="A722" s="1" t="str">
        <f>"ANKRD13A"</f>
        <v>ANKRD13A</v>
      </c>
      <c r="B722" t="s">
        <v>14</v>
      </c>
      <c r="C722" t="s">
        <v>16</v>
      </c>
      <c r="D722" t="s">
        <v>17</v>
      </c>
      <c r="E722" t="s">
        <v>12</v>
      </c>
      <c r="F722">
        <v>110437227</v>
      </c>
      <c r="G722">
        <v>110437248</v>
      </c>
      <c r="H722">
        <v>110436956</v>
      </c>
      <c r="I722">
        <v>110436994</v>
      </c>
    </row>
    <row r="723" spans="1:9" x14ac:dyDescent="0.2">
      <c r="A723" s="1" t="str">
        <f>"ANKRD13B"</f>
        <v>ANKRD13B</v>
      </c>
      <c r="B723" t="s">
        <v>14</v>
      </c>
      <c r="C723" t="s">
        <v>28</v>
      </c>
      <c r="D723" t="s">
        <v>17</v>
      </c>
      <c r="E723" t="s">
        <v>12</v>
      </c>
      <c r="F723">
        <v>27920137</v>
      </c>
      <c r="G723">
        <v>27920192</v>
      </c>
      <c r="H723">
        <v>27920492</v>
      </c>
      <c r="I723">
        <v>27920525</v>
      </c>
    </row>
    <row r="724" spans="1:9" x14ac:dyDescent="0.2">
      <c r="A724" s="1" t="str">
        <f>"ANKRD13C"</f>
        <v>ANKRD13C</v>
      </c>
      <c r="B724" t="s">
        <v>14</v>
      </c>
      <c r="C724" t="s">
        <v>19</v>
      </c>
      <c r="D724" t="s">
        <v>11</v>
      </c>
      <c r="E724" t="s">
        <v>12</v>
      </c>
      <c r="F724">
        <v>70820357</v>
      </c>
      <c r="G724">
        <v>70820435</v>
      </c>
      <c r="H724">
        <v>70820335</v>
      </c>
      <c r="I724">
        <v>70820346</v>
      </c>
    </row>
    <row r="725" spans="1:9" x14ac:dyDescent="0.2">
      <c r="A725" s="1" t="str">
        <f>"ANKRD13D"</f>
        <v>ANKRD13D</v>
      </c>
      <c r="B725" t="s">
        <v>14</v>
      </c>
      <c r="C725" t="s">
        <v>27</v>
      </c>
      <c r="D725" t="s">
        <v>17</v>
      </c>
      <c r="E725" t="s">
        <v>12</v>
      </c>
      <c r="F725">
        <v>67056755</v>
      </c>
      <c r="G725">
        <v>67056825</v>
      </c>
      <c r="H725">
        <v>67055986</v>
      </c>
      <c r="I725">
        <v>67056054</v>
      </c>
    </row>
    <row r="726" spans="1:9" x14ac:dyDescent="0.2">
      <c r="A726" s="1" t="str">
        <f>"ANKRD16"</f>
        <v>ANKRD16</v>
      </c>
      <c r="B726" t="s">
        <v>14</v>
      </c>
      <c r="C726" t="s">
        <v>15</v>
      </c>
      <c r="D726" t="s">
        <v>11</v>
      </c>
      <c r="E726" t="s">
        <v>12</v>
      </c>
      <c r="F726">
        <v>5931794</v>
      </c>
      <c r="G726">
        <v>5931897</v>
      </c>
      <c r="H726">
        <v>5931933</v>
      </c>
      <c r="I726">
        <v>5931951</v>
      </c>
    </row>
    <row r="727" spans="1:9" x14ac:dyDescent="0.2">
      <c r="A727" s="1" t="str">
        <f>"ANKRD17"</f>
        <v>ANKRD17</v>
      </c>
      <c r="B727" t="s">
        <v>14</v>
      </c>
      <c r="C727" t="s">
        <v>23</v>
      </c>
      <c r="D727" t="s">
        <v>11</v>
      </c>
      <c r="E727" t="s">
        <v>12</v>
      </c>
      <c r="F727">
        <v>74124504</v>
      </c>
      <c r="G727">
        <v>74124523</v>
      </c>
      <c r="H727">
        <v>74124532</v>
      </c>
      <c r="I727">
        <v>74124571</v>
      </c>
    </row>
    <row r="728" spans="1:9" x14ac:dyDescent="0.2">
      <c r="A728" s="1" t="str">
        <f>"ANKRD18A"</f>
        <v>ANKRD18A</v>
      </c>
      <c r="B728" t="s">
        <v>69</v>
      </c>
      <c r="C728" t="s">
        <v>24</v>
      </c>
      <c r="D728" t="s">
        <v>11</v>
      </c>
      <c r="E728" t="s">
        <v>20</v>
      </c>
      <c r="F728">
        <v>38577201</v>
      </c>
      <c r="G728">
        <v>38577201</v>
      </c>
      <c r="H728">
        <v>38577201</v>
      </c>
      <c r="I728">
        <v>38577201</v>
      </c>
    </row>
    <row r="729" spans="1:9" x14ac:dyDescent="0.2">
      <c r="A729" s="1" t="str">
        <f>"ANKRD18B"</f>
        <v>ANKRD18B</v>
      </c>
      <c r="B729" t="s">
        <v>14</v>
      </c>
      <c r="C729" t="s">
        <v>24</v>
      </c>
      <c r="D729" t="s">
        <v>17</v>
      </c>
      <c r="E729" t="s">
        <v>12</v>
      </c>
      <c r="F729">
        <v>33524240</v>
      </c>
      <c r="G729">
        <v>33524258</v>
      </c>
      <c r="H729">
        <v>33524240</v>
      </c>
      <c r="I729">
        <v>33524258</v>
      </c>
    </row>
    <row r="730" spans="1:9" x14ac:dyDescent="0.2">
      <c r="A730" s="1" t="str">
        <f>"ANKRD2"</f>
        <v>ANKRD2</v>
      </c>
      <c r="B730" t="s">
        <v>14</v>
      </c>
      <c r="C730" t="s">
        <v>15</v>
      </c>
      <c r="D730" t="s">
        <v>17</v>
      </c>
      <c r="E730" t="s">
        <v>12</v>
      </c>
      <c r="F730">
        <v>99332529</v>
      </c>
      <c r="G730">
        <v>99332543</v>
      </c>
      <c r="H730">
        <v>99332251</v>
      </c>
      <c r="I730">
        <v>99332281</v>
      </c>
    </row>
    <row r="731" spans="1:9" x14ac:dyDescent="0.2">
      <c r="A731" s="1" t="str">
        <f>"ANKRD20A1"</f>
        <v>ANKRD20A1</v>
      </c>
      <c r="B731" t="s">
        <v>70</v>
      </c>
      <c r="C731" t="s">
        <v>24</v>
      </c>
      <c r="D731" t="s">
        <v>17</v>
      </c>
      <c r="E731" t="s">
        <v>20</v>
      </c>
      <c r="F731">
        <v>67926760</v>
      </c>
      <c r="G731">
        <v>67926760</v>
      </c>
      <c r="H731">
        <v>67926760</v>
      </c>
      <c r="I731">
        <v>67926760</v>
      </c>
    </row>
    <row r="732" spans="1:9" x14ac:dyDescent="0.2">
      <c r="A732" s="1" t="str">
        <f>"ANKRD20A2"</f>
        <v>ANKRD20A2</v>
      </c>
      <c r="B732" t="s">
        <v>71</v>
      </c>
      <c r="C732" t="s">
        <v>24</v>
      </c>
      <c r="D732" t="s">
        <v>17</v>
      </c>
      <c r="E732" t="s">
        <v>20</v>
      </c>
      <c r="F732">
        <v>42368302</v>
      </c>
      <c r="G732">
        <v>42368302</v>
      </c>
      <c r="H732">
        <v>42368302</v>
      </c>
      <c r="I732">
        <v>42368302</v>
      </c>
    </row>
    <row r="733" spans="1:9" x14ac:dyDescent="0.2">
      <c r="A733" s="1" t="str">
        <f>"ANKRD20A3"</f>
        <v>ANKRD20A3</v>
      </c>
      <c r="B733" t="s">
        <v>72</v>
      </c>
      <c r="C733" t="s">
        <v>24</v>
      </c>
      <c r="D733" t="s">
        <v>11</v>
      </c>
      <c r="E733" t="s">
        <v>20</v>
      </c>
      <c r="F733">
        <v>43133543</v>
      </c>
      <c r="G733">
        <v>43133543</v>
      </c>
      <c r="H733">
        <v>43133543</v>
      </c>
      <c r="I733">
        <v>43133543</v>
      </c>
    </row>
    <row r="734" spans="1:9" x14ac:dyDescent="0.2">
      <c r="A734" s="1" t="str">
        <f>"ANKRD20A4"</f>
        <v>ANKRD20A4</v>
      </c>
      <c r="B734" t="s">
        <v>73</v>
      </c>
      <c r="C734" t="s">
        <v>24</v>
      </c>
      <c r="D734" t="s">
        <v>17</v>
      </c>
      <c r="E734" t="s">
        <v>20</v>
      </c>
      <c r="F734">
        <v>69381811</v>
      </c>
      <c r="G734">
        <v>69381811</v>
      </c>
      <c r="H734">
        <v>69381811</v>
      </c>
      <c r="I734">
        <v>69381811</v>
      </c>
    </row>
    <row r="735" spans="1:9" x14ac:dyDescent="0.2">
      <c r="A735" s="1" t="str">
        <f>"ANKRD22"</f>
        <v>ANKRD22</v>
      </c>
      <c r="B735" t="s">
        <v>14</v>
      </c>
      <c r="C735" t="s">
        <v>15</v>
      </c>
      <c r="D735" t="s">
        <v>11</v>
      </c>
      <c r="E735" t="s">
        <v>12</v>
      </c>
      <c r="F735">
        <v>90611566</v>
      </c>
      <c r="G735">
        <v>90611608</v>
      </c>
      <c r="H735">
        <v>90611492</v>
      </c>
      <c r="I735">
        <v>90611535</v>
      </c>
    </row>
    <row r="736" spans="1:9" x14ac:dyDescent="0.2">
      <c r="A736" s="1" t="str">
        <f>"ANKRD23"</f>
        <v>ANKRD23</v>
      </c>
      <c r="B736" t="s">
        <v>9</v>
      </c>
      <c r="C736" t="s">
        <v>26</v>
      </c>
      <c r="D736" t="s">
        <v>11</v>
      </c>
      <c r="E736" t="s">
        <v>12</v>
      </c>
      <c r="F736">
        <v>97523664</v>
      </c>
      <c r="G736">
        <v>97523706</v>
      </c>
      <c r="H736">
        <v>97523664</v>
      </c>
      <c r="I736">
        <v>97523706</v>
      </c>
    </row>
    <row r="737" spans="1:9" x14ac:dyDescent="0.2">
      <c r="A737" s="1" t="str">
        <f>"ANKRD23"</f>
        <v>ANKRD23</v>
      </c>
      <c r="B737" t="s">
        <v>13</v>
      </c>
      <c r="C737" t="s">
        <v>26</v>
      </c>
      <c r="D737" t="s">
        <v>11</v>
      </c>
      <c r="E737" t="s">
        <v>12</v>
      </c>
      <c r="F737">
        <v>97509749</v>
      </c>
      <c r="G737">
        <v>97509764</v>
      </c>
      <c r="H737">
        <v>97509749</v>
      </c>
      <c r="I737">
        <v>97509764</v>
      </c>
    </row>
    <row r="738" spans="1:9" x14ac:dyDescent="0.2">
      <c r="A738" s="1" t="str">
        <f>"ANKRD24"</f>
        <v>ANKRD24</v>
      </c>
      <c r="B738" t="s">
        <v>14</v>
      </c>
      <c r="C738" t="s">
        <v>10</v>
      </c>
      <c r="D738" t="s">
        <v>17</v>
      </c>
      <c r="E738" t="s">
        <v>12</v>
      </c>
      <c r="F738">
        <v>4198370</v>
      </c>
      <c r="G738">
        <v>4198430</v>
      </c>
      <c r="H738">
        <v>4198072</v>
      </c>
      <c r="I738">
        <v>4198095</v>
      </c>
    </row>
    <row r="739" spans="1:9" x14ac:dyDescent="0.2">
      <c r="A739" s="1" t="str">
        <f>"ANKRD26"</f>
        <v>ANKRD26</v>
      </c>
      <c r="B739" t="s">
        <v>14</v>
      </c>
      <c r="C739" t="s">
        <v>15</v>
      </c>
      <c r="D739" t="s">
        <v>11</v>
      </c>
      <c r="E739" t="s">
        <v>12</v>
      </c>
      <c r="F739">
        <v>27389392</v>
      </c>
      <c r="G739">
        <v>27389436</v>
      </c>
      <c r="H739">
        <v>27389351</v>
      </c>
      <c r="I739">
        <v>27389384</v>
      </c>
    </row>
    <row r="740" spans="1:9" x14ac:dyDescent="0.2">
      <c r="A740" s="1" t="str">
        <f>"ANKRD27"</f>
        <v>ANKRD27</v>
      </c>
      <c r="B740" t="s">
        <v>14</v>
      </c>
      <c r="C740" t="s">
        <v>10</v>
      </c>
      <c r="D740" t="s">
        <v>11</v>
      </c>
      <c r="E740" t="s">
        <v>12</v>
      </c>
      <c r="F740">
        <v>33166045</v>
      </c>
      <c r="G740">
        <v>33166113</v>
      </c>
      <c r="H740">
        <v>33165949</v>
      </c>
      <c r="I740">
        <v>33165977</v>
      </c>
    </row>
    <row r="741" spans="1:9" x14ac:dyDescent="0.2">
      <c r="A741" s="1" t="str">
        <f>"ANKRD28"</f>
        <v>ANKRD28</v>
      </c>
      <c r="B741" t="s">
        <v>14</v>
      </c>
      <c r="C741" t="s">
        <v>22</v>
      </c>
      <c r="D741" t="s">
        <v>11</v>
      </c>
      <c r="E741" t="s">
        <v>12</v>
      </c>
      <c r="F741">
        <v>15839437</v>
      </c>
      <c r="G741">
        <v>15839503</v>
      </c>
      <c r="H741">
        <v>15839395</v>
      </c>
      <c r="I741">
        <v>15839435</v>
      </c>
    </row>
    <row r="742" spans="1:9" x14ac:dyDescent="0.2">
      <c r="A742" s="1" t="str">
        <f>"ANKRD29"</f>
        <v>ANKRD29</v>
      </c>
      <c r="B742" t="s">
        <v>14</v>
      </c>
      <c r="C742" t="s">
        <v>43</v>
      </c>
      <c r="D742" t="s">
        <v>11</v>
      </c>
      <c r="E742" t="s">
        <v>12</v>
      </c>
      <c r="F742">
        <v>21242833</v>
      </c>
      <c r="G742">
        <v>21242888</v>
      </c>
      <c r="H742">
        <v>21242774</v>
      </c>
      <c r="I742">
        <v>21242828</v>
      </c>
    </row>
    <row r="743" spans="1:9" x14ac:dyDescent="0.2">
      <c r="A743" s="1" t="str">
        <f>"ANKRD30A"</f>
        <v>ANKRD30A</v>
      </c>
      <c r="B743" t="s">
        <v>14</v>
      </c>
      <c r="C743" t="s">
        <v>15</v>
      </c>
      <c r="D743" t="s">
        <v>17</v>
      </c>
      <c r="E743" t="s">
        <v>12</v>
      </c>
      <c r="F743">
        <v>37414521</v>
      </c>
      <c r="G743">
        <v>37414533</v>
      </c>
      <c r="H743">
        <v>37414521</v>
      </c>
      <c r="I743">
        <v>37414533</v>
      </c>
    </row>
    <row r="744" spans="1:9" x14ac:dyDescent="0.2">
      <c r="A744" s="1" t="str">
        <f>"ANKRD30B"</f>
        <v>ANKRD30B</v>
      </c>
      <c r="B744" t="s">
        <v>14</v>
      </c>
      <c r="C744" t="s">
        <v>43</v>
      </c>
      <c r="D744" t="s">
        <v>17</v>
      </c>
      <c r="E744" t="s">
        <v>12</v>
      </c>
      <c r="F744">
        <v>14748154</v>
      </c>
      <c r="G744">
        <v>14748191</v>
      </c>
      <c r="H744">
        <v>14748194</v>
      </c>
      <c r="I744">
        <v>14748214</v>
      </c>
    </row>
    <row r="745" spans="1:9" x14ac:dyDescent="0.2">
      <c r="A745" s="1" t="str">
        <f>"ANKRD31"</f>
        <v>ANKRD31</v>
      </c>
      <c r="B745" t="s">
        <v>14</v>
      </c>
      <c r="C745" t="s">
        <v>46</v>
      </c>
      <c r="D745" t="s">
        <v>11</v>
      </c>
      <c r="E745" t="s">
        <v>12</v>
      </c>
      <c r="F745">
        <v>74532696</v>
      </c>
      <c r="G745">
        <v>74532720</v>
      </c>
      <c r="H745">
        <v>74532722</v>
      </c>
      <c r="I745">
        <v>74532751</v>
      </c>
    </row>
    <row r="746" spans="1:9" x14ac:dyDescent="0.2">
      <c r="A746" s="1" t="str">
        <f>"ANKRD32"</f>
        <v>ANKRD32</v>
      </c>
      <c r="B746" t="s">
        <v>14</v>
      </c>
      <c r="C746" t="s">
        <v>46</v>
      </c>
      <c r="D746" t="s">
        <v>17</v>
      </c>
      <c r="E746" t="s">
        <v>12</v>
      </c>
      <c r="F746">
        <v>93954358</v>
      </c>
      <c r="G746">
        <v>93954406</v>
      </c>
      <c r="H746">
        <v>93954358</v>
      </c>
      <c r="I746">
        <v>93954406</v>
      </c>
    </row>
    <row r="747" spans="1:9" x14ac:dyDescent="0.2">
      <c r="A747" s="1" t="str">
        <f>"ANKRD33"</f>
        <v>ANKRD33</v>
      </c>
      <c r="B747" t="s">
        <v>14</v>
      </c>
      <c r="C747" t="s">
        <v>16</v>
      </c>
      <c r="D747" t="s">
        <v>17</v>
      </c>
      <c r="E747" t="s">
        <v>12</v>
      </c>
      <c r="F747">
        <v>52281872</v>
      </c>
      <c r="G747">
        <v>52281902</v>
      </c>
      <c r="H747">
        <v>52282026</v>
      </c>
      <c r="I747">
        <v>52282055</v>
      </c>
    </row>
    <row r="748" spans="1:9" x14ac:dyDescent="0.2">
      <c r="A748" s="1" t="str">
        <f>"ANKRD33B"</f>
        <v>ANKRD33B</v>
      </c>
      <c r="B748" t="s">
        <v>14</v>
      </c>
      <c r="C748" t="s">
        <v>46</v>
      </c>
      <c r="D748" t="s">
        <v>17</v>
      </c>
      <c r="E748" t="s">
        <v>12</v>
      </c>
      <c r="F748">
        <v>10564402</v>
      </c>
      <c r="G748">
        <v>10564431</v>
      </c>
      <c r="H748">
        <v>10564432</v>
      </c>
      <c r="I748">
        <v>10564451</v>
      </c>
    </row>
    <row r="749" spans="1:9" x14ac:dyDescent="0.2">
      <c r="A749" s="1" t="str">
        <f>"ANKRD34A"</f>
        <v>ANKRD34A</v>
      </c>
      <c r="B749" t="s">
        <v>9</v>
      </c>
      <c r="C749" t="s">
        <v>19</v>
      </c>
      <c r="D749" t="s">
        <v>17</v>
      </c>
      <c r="E749" t="s">
        <v>12</v>
      </c>
      <c r="F749">
        <v>145472443</v>
      </c>
      <c r="G749">
        <v>145472506</v>
      </c>
      <c r="H749">
        <v>145472443</v>
      </c>
      <c r="I749">
        <v>145472506</v>
      </c>
    </row>
    <row r="750" spans="1:9" x14ac:dyDescent="0.2">
      <c r="A750" s="1" t="str">
        <f>"ANKRD34A"</f>
        <v>ANKRD34A</v>
      </c>
      <c r="B750" t="s">
        <v>13</v>
      </c>
      <c r="C750" t="s">
        <v>19</v>
      </c>
      <c r="D750" t="s">
        <v>17</v>
      </c>
      <c r="E750" t="s">
        <v>12</v>
      </c>
      <c r="F750">
        <v>145470504</v>
      </c>
      <c r="G750">
        <v>145470522</v>
      </c>
      <c r="H750">
        <v>145470504</v>
      </c>
      <c r="I750">
        <v>145470522</v>
      </c>
    </row>
    <row r="751" spans="1:9" x14ac:dyDescent="0.2">
      <c r="A751" s="1" t="str">
        <f>"ANKRD34B"</f>
        <v>ANKRD34B</v>
      </c>
      <c r="B751" t="s">
        <v>9</v>
      </c>
      <c r="C751" t="s">
        <v>46</v>
      </c>
      <c r="D751" t="s">
        <v>11</v>
      </c>
      <c r="E751" t="s">
        <v>12</v>
      </c>
      <c r="F751">
        <v>79866054</v>
      </c>
      <c r="G751">
        <v>79866115</v>
      </c>
      <c r="H751">
        <v>79866054</v>
      </c>
      <c r="I751">
        <v>79866115</v>
      </c>
    </row>
    <row r="752" spans="1:9" x14ac:dyDescent="0.2">
      <c r="A752" s="1" t="str">
        <f>"ANKRD34B"</f>
        <v>ANKRD34B</v>
      </c>
      <c r="B752" t="s">
        <v>13</v>
      </c>
      <c r="C752" t="s">
        <v>46</v>
      </c>
      <c r="D752" t="s">
        <v>11</v>
      </c>
      <c r="E752" t="s">
        <v>12</v>
      </c>
      <c r="F752">
        <v>79864917</v>
      </c>
      <c r="G752">
        <v>79864957</v>
      </c>
      <c r="H752">
        <v>79864917</v>
      </c>
      <c r="I752">
        <v>79864957</v>
      </c>
    </row>
    <row r="753" spans="1:9" x14ac:dyDescent="0.2">
      <c r="A753" s="1" t="str">
        <f>"ANKRD34C"</f>
        <v>ANKRD34C</v>
      </c>
      <c r="B753" t="s">
        <v>14</v>
      </c>
      <c r="C753" t="s">
        <v>25</v>
      </c>
      <c r="D753" t="s">
        <v>17</v>
      </c>
      <c r="E753" t="s">
        <v>12</v>
      </c>
      <c r="F753">
        <v>79575073</v>
      </c>
      <c r="G753">
        <v>79575138</v>
      </c>
      <c r="H753">
        <v>79575053</v>
      </c>
      <c r="I753">
        <v>79575072</v>
      </c>
    </row>
    <row r="754" spans="1:9" x14ac:dyDescent="0.2">
      <c r="A754" s="1" t="str">
        <f>"ANKRD35"</f>
        <v>ANKRD35</v>
      </c>
      <c r="B754" t="s">
        <v>14</v>
      </c>
      <c r="C754" t="s">
        <v>19</v>
      </c>
      <c r="D754" t="s">
        <v>17</v>
      </c>
      <c r="E754" t="s">
        <v>12</v>
      </c>
      <c r="F754">
        <v>145562301</v>
      </c>
      <c r="G754">
        <v>145562348</v>
      </c>
      <c r="H754">
        <v>145562301</v>
      </c>
      <c r="I754">
        <v>145562348</v>
      </c>
    </row>
    <row r="755" spans="1:9" x14ac:dyDescent="0.2">
      <c r="A755" s="1" t="str">
        <f>"ANKRD36"</f>
        <v>ANKRD36</v>
      </c>
      <c r="B755" t="s">
        <v>14</v>
      </c>
      <c r="C755" t="s">
        <v>26</v>
      </c>
      <c r="D755" t="s">
        <v>17</v>
      </c>
      <c r="E755" t="s">
        <v>12</v>
      </c>
      <c r="F755">
        <v>97779338</v>
      </c>
      <c r="G755">
        <v>97779397</v>
      </c>
      <c r="H755">
        <v>97778884</v>
      </c>
      <c r="I755">
        <v>97778924</v>
      </c>
    </row>
    <row r="756" spans="1:9" x14ac:dyDescent="0.2">
      <c r="A756" s="1" t="str">
        <f>"ANKRD36C"</f>
        <v>ANKRD36C</v>
      </c>
      <c r="B756" t="s">
        <v>14</v>
      </c>
      <c r="C756" t="s">
        <v>26</v>
      </c>
      <c r="D756" t="s">
        <v>11</v>
      </c>
      <c r="E756" t="s">
        <v>67</v>
      </c>
      <c r="F756">
        <v>96657561</v>
      </c>
      <c r="G756">
        <v>96657577</v>
      </c>
      <c r="H756">
        <v>96657980</v>
      </c>
      <c r="I756">
        <v>96658026</v>
      </c>
    </row>
    <row r="757" spans="1:9" x14ac:dyDescent="0.2">
      <c r="A757" s="1" t="str">
        <f>"ANKRD37"</f>
        <v>ANKRD37</v>
      </c>
      <c r="B757" t="s">
        <v>14</v>
      </c>
      <c r="C757" t="s">
        <v>23</v>
      </c>
      <c r="D757" t="s">
        <v>17</v>
      </c>
      <c r="E757" t="s">
        <v>12</v>
      </c>
      <c r="F757">
        <v>186317988</v>
      </c>
      <c r="G757">
        <v>186318004</v>
      </c>
      <c r="H757">
        <v>186317133</v>
      </c>
      <c r="I757">
        <v>186317192</v>
      </c>
    </row>
    <row r="758" spans="1:9" x14ac:dyDescent="0.2">
      <c r="A758" s="1" t="str">
        <f>"ANKRD39"</f>
        <v>ANKRD39</v>
      </c>
      <c r="B758" t="s">
        <v>14</v>
      </c>
      <c r="C758" t="s">
        <v>26</v>
      </c>
      <c r="D758" t="s">
        <v>11</v>
      </c>
      <c r="E758" t="s">
        <v>12</v>
      </c>
      <c r="F758">
        <v>97523721</v>
      </c>
      <c r="G758">
        <v>97523790</v>
      </c>
      <c r="H758">
        <v>97523721</v>
      </c>
      <c r="I758">
        <v>97523790</v>
      </c>
    </row>
    <row r="759" spans="1:9" x14ac:dyDescent="0.2">
      <c r="A759" s="1" t="str">
        <f>"ANKRD40"</f>
        <v>ANKRD40</v>
      </c>
      <c r="B759" t="s">
        <v>14</v>
      </c>
      <c r="C759" t="s">
        <v>28</v>
      </c>
      <c r="D759" t="s">
        <v>11</v>
      </c>
      <c r="E759" t="s">
        <v>12</v>
      </c>
      <c r="F759">
        <v>48785216</v>
      </c>
      <c r="G759">
        <v>48785291</v>
      </c>
      <c r="H759">
        <v>48784989</v>
      </c>
      <c r="I759">
        <v>48785031</v>
      </c>
    </row>
    <row r="760" spans="1:9" x14ac:dyDescent="0.2">
      <c r="A760" s="1" t="str">
        <f>"ANKRD42"</f>
        <v>ANKRD42</v>
      </c>
      <c r="B760" t="s">
        <v>14</v>
      </c>
      <c r="C760" t="s">
        <v>27</v>
      </c>
      <c r="D760" t="s">
        <v>17</v>
      </c>
      <c r="E760" t="s">
        <v>12</v>
      </c>
      <c r="F760">
        <v>82904746</v>
      </c>
      <c r="G760">
        <v>82904832</v>
      </c>
      <c r="H760">
        <v>82905430</v>
      </c>
      <c r="I760">
        <v>82905482</v>
      </c>
    </row>
    <row r="761" spans="1:9" x14ac:dyDescent="0.2">
      <c r="A761" s="1" t="str">
        <f>"ANKRD44"</f>
        <v>ANKRD44</v>
      </c>
      <c r="B761" t="s">
        <v>74</v>
      </c>
      <c r="C761" t="s">
        <v>26</v>
      </c>
      <c r="D761" t="s">
        <v>11</v>
      </c>
      <c r="E761" t="s">
        <v>75</v>
      </c>
      <c r="F761">
        <v>198062849</v>
      </c>
      <c r="G761">
        <v>198062870</v>
      </c>
      <c r="H761">
        <v>198062758</v>
      </c>
      <c r="I761">
        <v>198062778</v>
      </c>
    </row>
    <row r="762" spans="1:9" x14ac:dyDescent="0.2">
      <c r="A762" s="1" t="str">
        <f>"ANKRD44"</f>
        <v>ANKRD44</v>
      </c>
      <c r="B762" t="s">
        <v>76</v>
      </c>
      <c r="C762" t="s">
        <v>26</v>
      </c>
      <c r="D762" t="s">
        <v>11</v>
      </c>
      <c r="E762" t="s">
        <v>20</v>
      </c>
      <c r="F762">
        <v>198051832</v>
      </c>
      <c r="G762">
        <v>198051832</v>
      </c>
      <c r="H762">
        <v>198051832</v>
      </c>
      <c r="I762">
        <v>198051832</v>
      </c>
    </row>
    <row r="763" spans="1:9" x14ac:dyDescent="0.2">
      <c r="A763" s="1" t="str">
        <f>"ANKRD45"</f>
        <v>ANKRD45</v>
      </c>
      <c r="B763" t="s">
        <v>14</v>
      </c>
      <c r="C763" t="s">
        <v>19</v>
      </c>
      <c r="D763" t="s">
        <v>11</v>
      </c>
      <c r="E763" t="s">
        <v>12</v>
      </c>
      <c r="F763">
        <v>173638976</v>
      </c>
      <c r="G763">
        <v>173639007</v>
      </c>
      <c r="H763">
        <v>173638976</v>
      </c>
      <c r="I763">
        <v>173639007</v>
      </c>
    </row>
    <row r="764" spans="1:9" x14ac:dyDescent="0.2">
      <c r="A764" s="1" t="str">
        <f>"ANKRD46"</f>
        <v>ANKRD46</v>
      </c>
      <c r="B764" t="s">
        <v>14</v>
      </c>
      <c r="C764" t="s">
        <v>30</v>
      </c>
      <c r="D764" t="s">
        <v>11</v>
      </c>
      <c r="E764" t="s">
        <v>12</v>
      </c>
      <c r="F764">
        <v>101571964</v>
      </c>
      <c r="G764">
        <v>101572017</v>
      </c>
      <c r="H764">
        <v>101571942</v>
      </c>
      <c r="I764">
        <v>101571951</v>
      </c>
    </row>
    <row r="765" spans="1:9" x14ac:dyDescent="0.2">
      <c r="A765" s="1" t="str">
        <f>"ANKRD49"</f>
        <v>ANKRD49</v>
      </c>
      <c r="B765" t="s">
        <v>14</v>
      </c>
      <c r="C765" t="s">
        <v>27</v>
      </c>
      <c r="D765" t="s">
        <v>17</v>
      </c>
      <c r="E765" t="s">
        <v>12</v>
      </c>
      <c r="F765">
        <v>94227129</v>
      </c>
      <c r="G765">
        <v>94227182</v>
      </c>
      <c r="H765">
        <v>94226750</v>
      </c>
      <c r="I765">
        <v>94226759</v>
      </c>
    </row>
    <row r="766" spans="1:9" x14ac:dyDescent="0.2">
      <c r="A766" s="1" t="str">
        <f>"ANKRD50"</f>
        <v>ANKRD50</v>
      </c>
      <c r="B766" t="s">
        <v>14</v>
      </c>
      <c r="C766" t="s">
        <v>23</v>
      </c>
      <c r="D766" t="s">
        <v>11</v>
      </c>
      <c r="E766" t="s">
        <v>12</v>
      </c>
      <c r="F766">
        <v>125633876</v>
      </c>
      <c r="G766">
        <v>125633897</v>
      </c>
      <c r="H766">
        <v>125633851</v>
      </c>
      <c r="I766">
        <v>125633862</v>
      </c>
    </row>
    <row r="767" spans="1:9" x14ac:dyDescent="0.2">
      <c r="A767" s="1" t="str">
        <f>"ANKRD52"</f>
        <v>ANKRD52</v>
      </c>
      <c r="B767" t="s">
        <v>14</v>
      </c>
      <c r="C767" t="s">
        <v>16</v>
      </c>
      <c r="D767" t="s">
        <v>11</v>
      </c>
      <c r="E767" t="s">
        <v>12</v>
      </c>
      <c r="F767">
        <v>56652111</v>
      </c>
      <c r="G767">
        <v>56652183</v>
      </c>
      <c r="H767">
        <v>56652451</v>
      </c>
      <c r="I767">
        <v>56652482</v>
      </c>
    </row>
    <row r="768" spans="1:9" x14ac:dyDescent="0.2">
      <c r="A768" s="1" t="str">
        <f>"ANKRD53"</f>
        <v>ANKRD53</v>
      </c>
      <c r="B768" t="s">
        <v>14</v>
      </c>
      <c r="C768" t="s">
        <v>26</v>
      </c>
      <c r="D768" t="s">
        <v>17</v>
      </c>
      <c r="E768" t="s">
        <v>12</v>
      </c>
      <c r="F768">
        <v>71205754</v>
      </c>
      <c r="G768">
        <v>71205772</v>
      </c>
      <c r="H768">
        <v>71206034</v>
      </c>
      <c r="I768">
        <v>71206048</v>
      </c>
    </row>
    <row r="769" spans="1:9" x14ac:dyDescent="0.2">
      <c r="A769" s="1" t="str">
        <f>"ANKRD54"</f>
        <v>ANKRD54</v>
      </c>
      <c r="B769" t="s">
        <v>14</v>
      </c>
      <c r="C769" t="s">
        <v>21</v>
      </c>
      <c r="D769" t="s">
        <v>11</v>
      </c>
      <c r="E769" t="s">
        <v>12</v>
      </c>
      <c r="F769">
        <v>38240316</v>
      </c>
      <c r="G769">
        <v>38240349</v>
      </c>
      <c r="H769">
        <v>38240412</v>
      </c>
      <c r="I769">
        <v>38240425</v>
      </c>
    </row>
    <row r="770" spans="1:9" x14ac:dyDescent="0.2">
      <c r="A770" s="1" t="str">
        <f>"ANKRD55"</f>
        <v>ANKRD55</v>
      </c>
      <c r="B770" t="s">
        <v>77</v>
      </c>
      <c r="C770" t="s">
        <v>46</v>
      </c>
      <c r="D770" t="s">
        <v>11</v>
      </c>
      <c r="E770" t="s">
        <v>35</v>
      </c>
      <c r="F770">
        <v>55529232</v>
      </c>
      <c r="G770">
        <v>55529240</v>
      </c>
      <c r="H770">
        <v>55529115</v>
      </c>
      <c r="I770">
        <v>55529168</v>
      </c>
    </row>
    <row r="771" spans="1:9" x14ac:dyDescent="0.2">
      <c r="A771" s="1" t="str">
        <f>"ANKRD6"</f>
        <v>ANKRD6</v>
      </c>
      <c r="B771" t="s">
        <v>14</v>
      </c>
      <c r="C771" t="s">
        <v>32</v>
      </c>
      <c r="D771" t="s">
        <v>17</v>
      </c>
      <c r="E771" t="s">
        <v>12</v>
      </c>
      <c r="F771">
        <v>90142884</v>
      </c>
      <c r="G771">
        <v>90142936</v>
      </c>
      <c r="H771">
        <v>90142846</v>
      </c>
      <c r="I771">
        <v>90142879</v>
      </c>
    </row>
    <row r="772" spans="1:9" x14ac:dyDescent="0.2">
      <c r="A772" s="1" t="str">
        <f>"ANKRD60"</f>
        <v>ANKRD60</v>
      </c>
      <c r="B772" t="s">
        <v>78</v>
      </c>
      <c r="C772" t="s">
        <v>29</v>
      </c>
      <c r="D772" t="s">
        <v>11</v>
      </c>
      <c r="E772" t="s">
        <v>75</v>
      </c>
      <c r="F772">
        <v>56803594</v>
      </c>
      <c r="G772">
        <v>56803610</v>
      </c>
      <c r="H772">
        <v>56803513</v>
      </c>
      <c r="I772">
        <v>56803515</v>
      </c>
    </row>
    <row r="773" spans="1:9" x14ac:dyDescent="0.2">
      <c r="A773" s="1" t="str">
        <f>"ANKRD61"</f>
        <v>ANKRD61</v>
      </c>
      <c r="B773" t="s">
        <v>14</v>
      </c>
      <c r="C773" t="s">
        <v>33</v>
      </c>
      <c r="D773" t="s">
        <v>17</v>
      </c>
      <c r="E773" t="s">
        <v>12</v>
      </c>
      <c r="F773">
        <v>6070944</v>
      </c>
      <c r="G773">
        <v>6070947</v>
      </c>
      <c r="H773">
        <v>6070969</v>
      </c>
      <c r="I773">
        <v>6070970</v>
      </c>
    </row>
    <row r="774" spans="1:9" x14ac:dyDescent="0.2">
      <c r="A774" s="1" t="str">
        <f>"ANKRD62"</f>
        <v>ANKRD62</v>
      </c>
      <c r="B774" t="s">
        <v>14</v>
      </c>
      <c r="C774" t="s">
        <v>43</v>
      </c>
      <c r="D774" t="s">
        <v>17</v>
      </c>
      <c r="E774" t="s">
        <v>12</v>
      </c>
      <c r="F774">
        <v>12094029</v>
      </c>
      <c r="G774">
        <v>12094030</v>
      </c>
      <c r="H774">
        <v>12094029</v>
      </c>
      <c r="I774">
        <v>12094030</v>
      </c>
    </row>
    <row r="775" spans="1:9" x14ac:dyDescent="0.2">
      <c r="A775" s="1" t="str">
        <f>"ANKRD63"</f>
        <v>ANKRD63</v>
      </c>
      <c r="B775" t="s">
        <v>14</v>
      </c>
      <c r="C775" t="s">
        <v>25</v>
      </c>
      <c r="D775" t="s">
        <v>11</v>
      </c>
      <c r="E775" t="s">
        <v>12</v>
      </c>
      <c r="F775">
        <v>40575229</v>
      </c>
      <c r="G775">
        <v>40575271</v>
      </c>
      <c r="H775">
        <v>40575229</v>
      </c>
      <c r="I775">
        <v>40575271</v>
      </c>
    </row>
    <row r="776" spans="1:9" x14ac:dyDescent="0.2">
      <c r="A776" s="1" t="str">
        <f>"ANKRD65"</f>
        <v>ANKRD65</v>
      </c>
      <c r="B776" t="s">
        <v>9</v>
      </c>
      <c r="C776" t="s">
        <v>19</v>
      </c>
      <c r="D776" t="s">
        <v>11</v>
      </c>
      <c r="E776" t="s">
        <v>12</v>
      </c>
      <c r="F776">
        <v>1356628</v>
      </c>
      <c r="G776">
        <v>1356678</v>
      </c>
      <c r="H776">
        <v>1356628</v>
      </c>
      <c r="I776">
        <v>1356678</v>
      </c>
    </row>
    <row r="777" spans="1:9" x14ac:dyDescent="0.2">
      <c r="A777" s="1" t="str">
        <f>"ANKRD65"</f>
        <v>ANKRD65</v>
      </c>
      <c r="B777" t="s">
        <v>13</v>
      </c>
      <c r="C777" t="s">
        <v>19</v>
      </c>
      <c r="D777" t="s">
        <v>11</v>
      </c>
      <c r="E777" t="s">
        <v>12</v>
      </c>
      <c r="F777">
        <v>1355490</v>
      </c>
      <c r="G777">
        <v>1355533</v>
      </c>
      <c r="H777">
        <v>1355490</v>
      </c>
      <c r="I777">
        <v>1355533</v>
      </c>
    </row>
    <row r="778" spans="1:9" x14ac:dyDescent="0.2">
      <c r="A778" s="1" t="str">
        <f>"ANKRD66"</f>
        <v>ANKRD66</v>
      </c>
      <c r="B778" t="s">
        <v>14</v>
      </c>
      <c r="C778" t="s">
        <v>32</v>
      </c>
      <c r="D778" t="s">
        <v>17</v>
      </c>
      <c r="E778" t="s">
        <v>67</v>
      </c>
      <c r="F778">
        <v>46714658</v>
      </c>
      <c r="G778">
        <v>46714677</v>
      </c>
      <c r="H778">
        <v>46714680</v>
      </c>
      <c r="I778">
        <v>46714685</v>
      </c>
    </row>
    <row r="779" spans="1:9" x14ac:dyDescent="0.2">
      <c r="A779" s="1" t="str">
        <f>"ANKRD7"</f>
        <v>ANKRD7</v>
      </c>
      <c r="B779" t="s">
        <v>9</v>
      </c>
      <c r="C779" t="s">
        <v>33</v>
      </c>
      <c r="D779" t="s">
        <v>17</v>
      </c>
      <c r="E779" t="s">
        <v>12</v>
      </c>
      <c r="F779">
        <v>117864708</v>
      </c>
      <c r="G779">
        <v>117864798</v>
      </c>
      <c r="H779">
        <v>117864708</v>
      </c>
      <c r="I779">
        <v>117864798</v>
      </c>
    </row>
    <row r="780" spans="1:9" x14ac:dyDescent="0.2">
      <c r="A780" s="1" t="str">
        <f>"ANKRD7"</f>
        <v>ANKRD7</v>
      </c>
      <c r="B780" t="s">
        <v>13</v>
      </c>
      <c r="C780" t="s">
        <v>33</v>
      </c>
      <c r="D780" t="s">
        <v>17</v>
      </c>
      <c r="E780" t="s">
        <v>12</v>
      </c>
      <c r="F780">
        <v>117854687</v>
      </c>
      <c r="G780">
        <v>117854731</v>
      </c>
      <c r="H780">
        <v>117854687</v>
      </c>
      <c r="I780">
        <v>117854731</v>
      </c>
    </row>
    <row r="781" spans="1:9" x14ac:dyDescent="0.2">
      <c r="A781" s="1" t="str">
        <f>"ANKRD9"</f>
        <v>ANKRD9</v>
      </c>
      <c r="B781" t="s">
        <v>14</v>
      </c>
      <c r="C781" t="s">
        <v>41</v>
      </c>
      <c r="D781" t="s">
        <v>11</v>
      </c>
      <c r="E781" t="s">
        <v>12</v>
      </c>
      <c r="F781">
        <v>102976048</v>
      </c>
      <c r="G781">
        <v>102976088</v>
      </c>
      <c r="H781">
        <v>102976091</v>
      </c>
      <c r="I781">
        <v>102976133</v>
      </c>
    </row>
    <row r="782" spans="1:9" x14ac:dyDescent="0.2">
      <c r="A782" s="1" t="str">
        <f>"ANKS1A"</f>
        <v>ANKS1A</v>
      </c>
      <c r="B782" t="s">
        <v>14</v>
      </c>
      <c r="C782" t="s">
        <v>32</v>
      </c>
      <c r="D782" t="s">
        <v>17</v>
      </c>
      <c r="E782" t="s">
        <v>12</v>
      </c>
      <c r="F782">
        <v>34857019</v>
      </c>
      <c r="G782">
        <v>34857117</v>
      </c>
      <c r="H782">
        <v>34857019</v>
      </c>
      <c r="I782">
        <v>34857117</v>
      </c>
    </row>
    <row r="783" spans="1:9" x14ac:dyDescent="0.2">
      <c r="A783" s="1" t="str">
        <f>"ANKS1B"</f>
        <v>ANKS1B</v>
      </c>
      <c r="B783" t="s">
        <v>79</v>
      </c>
      <c r="C783" t="s">
        <v>16</v>
      </c>
      <c r="D783" t="s">
        <v>11</v>
      </c>
      <c r="E783" t="s">
        <v>35</v>
      </c>
      <c r="F783">
        <v>100378171</v>
      </c>
      <c r="G783">
        <v>100378182</v>
      </c>
      <c r="H783">
        <v>100377850</v>
      </c>
      <c r="I783">
        <v>100377866</v>
      </c>
    </row>
    <row r="784" spans="1:9" x14ac:dyDescent="0.2">
      <c r="A784" s="1" t="str">
        <f>"ANKS3"</f>
        <v>ANKS3</v>
      </c>
      <c r="B784" t="s">
        <v>14</v>
      </c>
      <c r="C784" t="s">
        <v>31</v>
      </c>
      <c r="D784" t="s">
        <v>11</v>
      </c>
      <c r="E784" t="s">
        <v>12</v>
      </c>
      <c r="F784">
        <v>4784224</v>
      </c>
      <c r="G784">
        <v>4784281</v>
      </c>
      <c r="H784">
        <v>4784182</v>
      </c>
      <c r="I784">
        <v>4784211</v>
      </c>
    </row>
    <row r="785" spans="1:9" x14ac:dyDescent="0.2">
      <c r="A785" s="1" t="str">
        <f>"ANKS4B"</f>
        <v>ANKS4B</v>
      </c>
      <c r="B785" t="s">
        <v>14</v>
      </c>
      <c r="C785" t="s">
        <v>31</v>
      </c>
      <c r="D785" t="s">
        <v>17</v>
      </c>
      <c r="E785" t="s">
        <v>12</v>
      </c>
      <c r="F785">
        <v>21244993</v>
      </c>
      <c r="G785">
        <v>21245042</v>
      </c>
      <c r="H785">
        <v>21244967</v>
      </c>
      <c r="I785">
        <v>21244970</v>
      </c>
    </row>
    <row r="786" spans="1:9" x14ac:dyDescent="0.2">
      <c r="A786" s="1" t="str">
        <f>"ANKS6"</f>
        <v>ANKS6</v>
      </c>
      <c r="B786" t="s">
        <v>14</v>
      </c>
      <c r="C786" t="s">
        <v>24</v>
      </c>
      <c r="D786" t="s">
        <v>11</v>
      </c>
      <c r="E786" t="s">
        <v>12</v>
      </c>
      <c r="F786">
        <v>101558777</v>
      </c>
      <c r="G786">
        <v>101558844</v>
      </c>
      <c r="H786">
        <v>101558732</v>
      </c>
      <c r="I786">
        <v>101558752</v>
      </c>
    </row>
    <row r="787" spans="1:9" x14ac:dyDescent="0.2">
      <c r="A787" s="1" t="str">
        <f>"ANKUB1"</f>
        <v>ANKUB1</v>
      </c>
      <c r="B787" t="s">
        <v>80</v>
      </c>
      <c r="C787" t="s">
        <v>22</v>
      </c>
      <c r="D787" t="s">
        <v>11</v>
      </c>
      <c r="E787" t="s">
        <v>35</v>
      </c>
      <c r="F787">
        <v>149510650</v>
      </c>
      <c r="G787">
        <v>149510653</v>
      </c>
      <c r="H787">
        <v>149510635</v>
      </c>
      <c r="I787">
        <v>149510646</v>
      </c>
    </row>
    <row r="788" spans="1:9" x14ac:dyDescent="0.2">
      <c r="A788" s="1" t="str">
        <f>"ANKZF1"</f>
        <v>ANKZF1</v>
      </c>
      <c r="B788" t="s">
        <v>14</v>
      </c>
      <c r="C788" t="s">
        <v>26</v>
      </c>
      <c r="D788" t="s">
        <v>17</v>
      </c>
      <c r="E788" t="s">
        <v>12</v>
      </c>
      <c r="F788">
        <v>220094514</v>
      </c>
      <c r="G788">
        <v>220094599</v>
      </c>
      <c r="H788">
        <v>220094500</v>
      </c>
      <c r="I788">
        <v>220094510</v>
      </c>
    </row>
    <row r="789" spans="1:9" x14ac:dyDescent="0.2">
      <c r="A789" s="1" t="str">
        <f>"ANLN"</f>
        <v>ANLN</v>
      </c>
      <c r="B789" t="s">
        <v>14</v>
      </c>
      <c r="C789" t="s">
        <v>33</v>
      </c>
      <c r="D789" t="s">
        <v>17</v>
      </c>
      <c r="E789" t="s">
        <v>12</v>
      </c>
      <c r="F789">
        <v>36429461</v>
      </c>
      <c r="G789">
        <v>36429486</v>
      </c>
      <c r="H789">
        <v>36429424</v>
      </c>
      <c r="I789">
        <v>36429459</v>
      </c>
    </row>
    <row r="790" spans="1:9" x14ac:dyDescent="0.2">
      <c r="A790" s="1" t="str">
        <f>"ANO1"</f>
        <v>ANO1</v>
      </c>
      <c r="B790" t="s">
        <v>14</v>
      </c>
      <c r="C790" t="s">
        <v>27</v>
      </c>
      <c r="D790" t="s">
        <v>17</v>
      </c>
      <c r="E790" t="s">
        <v>12</v>
      </c>
      <c r="F790">
        <v>69924397</v>
      </c>
      <c r="G790">
        <v>69924449</v>
      </c>
      <c r="H790">
        <v>69924639</v>
      </c>
      <c r="I790">
        <v>69924655</v>
      </c>
    </row>
    <row r="791" spans="1:9" x14ac:dyDescent="0.2">
      <c r="A791" s="1" t="str">
        <f>"ANO10"</f>
        <v>ANO10</v>
      </c>
      <c r="B791" t="s">
        <v>14</v>
      </c>
      <c r="C791" t="s">
        <v>22</v>
      </c>
      <c r="D791" t="s">
        <v>11</v>
      </c>
      <c r="E791" t="s">
        <v>12</v>
      </c>
      <c r="F791">
        <v>43663420</v>
      </c>
      <c r="G791">
        <v>43663511</v>
      </c>
      <c r="H791">
        <v>43663519</v>
      </c>
      <c r="I791">
        <v>43663542</v>
      </c>
    </row>
    <row r="792" spans="1:9" x14ac:dyDescent="0.2">
      <c r="A792" s="1" t="str">
        <f>"ANO2"</f>
        <v>ANO2</v>
      </c>
      <c r="B792" t="s">
        <v>14</v>
      </c>
      <c r="C792" t="s">
        <v>16</v>
      </c>
      <c r="D792" t="s">
        <v>11</v>
      </c>
      <c r="E792" t="s">
        <v>12</v>
      </c>
      <c r="F792">
        <v>6054385</v>
      </c>
      <c r="G792">
        <v>6054412</v>
      </c>
      <c r="H792">
        <v>6054419</v>
      </c>
      <c r="I792">
        <v>6054430</v>
      </c>
    </row>
    <row r="793" spans="1:9" x14ac:dyDescent="0.2">
      <c r="A793" s="1" t="str">
        <f>"ANO3"</f>
        <v>ANO3</v>
      </c>
      <c r="B793" t="s">
        <v>14</v>
      </c>
      <c r="C793" t="s">
        <v>27</v>
      </c>
      <c r="D793" t="s">
        <v>17</v>
      </c>
      <c r="E793" t="s">
        <v>12</v>
      </c>
      <c r="F793">
        <v>26353664</v>
      </c>
      <c r="G793">
        <v>26353734</v>
      </c>
      <c r="H793">
        <v>26353664</v>
      </c>
      <c r="I793">
        <v>26353734</v>
      </c>
    </row>
    <row r="794" spans="1:9" x14ac:dyDescent="0.2">
      <c r="A794" s="1" t="str">
        <f>"ANO4"</f>
        <v>ANO4</v>
      </c>
      <c r="B794" t="s">
        <v>14</v>
      </c>
      <c r="C794" t="s">
        <v>16</v>
      </c>
      <c r="D794" t="s">
        <v>17</v>
      </c>
      <c r="E794" t="s">
        <v>12</v>
      </c>
      <c r="F794">
        <v>101188670</v>
      </c>
      <c r="G794">
        <v>101188704</v>
      </c>
      <c r="H794">
        <v>101188377</v>
      </c>
      <c r="I794">
        <v>101188411</v>
      </c>
    </row>
    <row r="795" spans="1:9" x14ac:dyDescent="0.2">
      <c r="A795" s="1" t="str">
        <f>"ANO5"</f>
        <v>ANO5</v>
      </c>
      <c r="B795" t="s">
        <v>14</v>
      </c>
      <c r="C795" t="s">
        <v>27</v>
      </c>
      <c r="D795" t="s">
        <v>17</v>
      </c>
      <c r="E795" t="s">
        <v>12</v>
      </c>
      <c r="F795">
        <v>22214569</v>
      </c>
      <c r="G795">
        <v>22214642</v>
      </c>
      <c r="H795">
        <v>22214708</v>
      </c>
      <c r="I795">
        <v>22214730</v>
      </c>
    </row>
    <row r="796" spans="1:9" x14ac:dyDescent="0.2">
      <c r="A796" s="1" t="str">
        <f>"ANO6"</f>
        <v>ANO6</v>
      </c>
      <c r="B796" t="s">
        <v>14</v>
      </c>
      <c r="C796" t="s">
        <v>16</v>
      </c>
      <c r="D796" t="s">
        <v>17</v>
      </c>
      <c r="E796" t="s">
        <v>12</v>
      </c>
      <c r="F796">
        <v>45609862</v>
      </c>
      <c r="G796">
        <v>45609886</v>
      </c>
      <c r="H796">
        <v>45609893</v>
      </c>
      <c r="I796">
        <v>45609909</v>
      </c>
    </row>
    <row r="797" spans="1:9" x14ac:dyDescent="0.2">
      <c r="A797" s="1" t="str">
        <f>"ANO7"</f>
        <v>ANO7</v>
      </c>
      <c r="B797" t="s">
        <v>14</v>
      </c>
      <c r="C797" t="s">
        <v>26</v>
      </c>
      <c r="D797" t="s">
        <v>17</v>
      </c>
      <c r="E797" t="s">
        <v>12</v>
      </c>
      <c r="F797">
        <v>242157650</v>
      </c>
      <c r="G797">
        <v>242157711</v>
      </c>
      <c r="H797">
        <v>242157610</v>
      </c>
      <c r="I797">
        <v>242157628</v>
      </c>
    </row>
    <row r="798" spans="1:9" x14ac:dyDescent="0.2">
      <c r="A798" s="1" t="str">
        <f>"ANO8"</f>
        <v>ANO8</v>
      </c>
      <c r="B798" t="s">
        <v>14</v>
      </c>
      <c r="C798" t="s">
        <v>10</v>
      </c>
      <c r="D798" t="s">
        <v>11</v>
      </c>
      <c r="E798" t="s">
        <v>12</v>
      </c>
      <c r="F798">
        <v>17445541</v>
      </c>
      <c r="G798">
        <v>17445602</v>
      </c>
      <c r="H798">
        <v>17445613</v>
      </c>
      <c r="I798">
        <v>17445648</v>
      </c>
    </row>
    <row r="799" spans="1:9" x14ac:dyDescent="0.2">
      <c r="A799" s="1" t="str">
        <f>"ANO9"</f>
        <v>ANO9</v>
      </c>
      <c r="B799" t="s">
        <v>14</v>
      </c>
      <c r="C799" t="s">
        <v>27</v>
      </c>
      <c r="D799" t="s">
        <v>11</v>
      </c>
      <c r="E799" t="s">
        <v>12</v>
      </c>
      <c r="F799">
        <v>441964</v>
      </c>
      <c r="G799">
        <v>442029</v>
      </c>
      <c r="H799">
        <v>441952</v>
      </c>
      <c r="I799">
        <v>441963</v>
      </c>
    </row>
    <row r="800" spans="1:9" x14ac:dyDescent="0.2">
      <c r="A800" s="1" t="str">
        <f>"ANP32A"</f>
        <v>ANP32A</v>
      </c>
      <c r="B800" t="s">
        <v>14</v>
      </c>
      <c r="C800" t="s">
        <v>25</v>
      </c>
      <c r="D800" t="s">
        <v>11</v>
      </c>
      <c r="E800" t="s">
        <v>12</v>
      </c>
      <c r="F800">
        <v>69113218</v>
      </c>
      <c r="G800">
        <v>69113250</v>
      </c>
      <c r="H800">
        <v>69113172</v>
      </c>
      <c r="I800">
        <v>69113196</v>
      </c>
    </row>
    <row r="801" spans="1:9" x14ac:dyDescent="0.2">
      <c r="A801" s="1" t="str">
        <f>"ANP32B"</f>
        <v>ANP32B</v>
      </c>
      <c r="B801" t="s">
        <v>14</v>
      </c>
      <c r="C801" t="s">
        <v>24</v>
      </c>
      <c r="D801" t="s">
        <v>17</v>
      </c>
      <c r="E801" t="s">
        <v>12</v>
      </c>
      <c r="F801">
        <v>100745615</v>
      </c>
      <c r="G801">
        <v>100745648</v>
      </c>
      <c r="H801">
        <v>100745598</v>
      </c>
      <c r="I801">
        <v>100745609</v>
      </c>
    </row>
    <row r="802" spans="1:9" x14ac:dyDescent="0.2">
      <c r="A802" s="1" t="str">
        <f>"ANP32D"</f>
        <v>ANP32D</v>
      </c>
      <c r="B802" t="s">
        <v>14</v>
      </c>
      <c r="C802" t="s">
        <v>16</v>
      </c>
      <c r="D802" t="s">
        <v>17</v>
      </c>
      <c r="E802" t="s">
        <v>12</v>
      </c>
      <c r="F802">
        <v>48866340</v>
      </c>
      <c r="G802">
        <v>48866343</v>
      </c>
      <c r="H802">
        <v>48866340</v>
      </c>
      <c r="I802">
        <v>48866343</v>
      </c>
    </row>
    <row r="803" spans="1:9" x14ac:dyDescent="0.2">
      <c r="A803" s="1" t="str">
        <f>"ANP32E"</f>
        <v>ANP32E</v>
      </c>
      <c r="B803" t="s">
        <v>14</v>
      </c>
      <c r="C803" t="s">
        <v>19</v>
      </c>
      <c r="D803" t="s">
        <v>11</v>
      </c>
      <c r="E803" t="s">
        <v>12</v>
      </c>
      <c r="F803">
        <v>150208451</v>
      </c>
      <c r="G803">
        <v>150208467</v>
      </c>
      <c r="H803">
        <v>150208363</v>
      </c>
      <c r="I803">
        <v>150208386</v>
      </c>
    </row>
    <row r="804" spans="1:9" x14ac:dyDescent="0.2">
      <c r="A804" s="1" t="str">
        <f>"ANPEP"</f>
        <v>ANPEP</v>
      </c>
      <c r="B804" t="s">
        <v>9</v>
      </c>
      <c r="C804" t="s">
        <v>25</v>
      </c>
      <c r="D804" t="s">
        <v>11</v>
      </c>
      <c r="E804" t="s">
        <v>12</v>
      </c>
      <c r="F804">
        <v>90358048</v>
      </c>
      <c r="G804">
        <v>90358103</v>
      </c>
      <c r="H804">
        <v>90358048</v>
      </c>
      <c r="I804">
        <v>90358103</v>
      </c>
    </row>
    <row r="805" spans="1:9" x14ac:dyDescent="0.2">
      <c r="A805" s="1" t="str">
        <f>"ANPEP"</f>
        <v>ANPEP</v>
      </c>
      <c r="B805" t="s">
        <v>13</v>
      </c>
      <c r="C805" t="s">
        <v>25</v>
      </c>
      <c r="D805" t="s">
        <v>11</v>
      </c>
      <c r="E805" t="s">
        <v>12</v>
      </c>
      <c r="F805">
        <v>90349838</v>
      </c>
      <c r="G805">
        <v>90349880</v>
      </c>
      <c r="H805">
        <v>90349838</v>
      </c>
      <c r="I805">
        <v>90349880</v>
      </c>
    </row>
    <row r="806" spans="1:9" x14ac:dyDescent="0.2">
      <c r="A806" s="1" t="str">
        <f>"ANTXR1"</f>
        <v>ANTXR1</v>
      </c>
      <c r="B806" t="s">
        <v>14</v>
      </c>
      <c r="C806" t="s">
        <v>26</v>
      </c>
      <c r="D806" t="s">
        <v>17</v>
      </c>
      <c r="E806" t="s">
        <v>12</v>
      </c>
      <c r="F806">
        <v>69240302</v>
      </c>
      <c r="G806">
        <v>69240332</v>
      </c>
      <c r="H806">
        <v>69240469</v>
      </c>
      <c r="I806">
        <v>69240508</v>
      </c>
    </row>
    <row r="807" spans="1:9" x14ac:dyDescent="0.2">
      <c r="A807" s="1" t="str">
        <f>"ANTXR2"</f>
        <v>ANTXR2</v>
      </c>
      <c r="B807" t="s">
        <v>14</v>
      </c>
      <c r="C807" t="s">
        <v>23</v>
      </c>
      <c r="D807" t="s">
        <v>11</v>
      </c>
      <c r="E807" t="s">
        <v>12</v>
      </c>
      <c r="F807">
        <v>80994351</v>
      </c>
      <c r="G807">
        <v>80994402</v>
      </c>
      <c r="H807">
        <v>80994210</v>
      </c>
      <c r="I807">
        <v>80994284</v>
      </c>
    </row>
    <row r="808" spans="1:9" x14ac:dyDescent="0.2">
      <c r="A808" s="1" t="str">
        <f>"ANXA1"</f>
        <v>ANXA1</v>
      </c>
      <c r="B808" t="s">
        <v>14</v>
      </c>
      <c r="C808" t="s">
        <v>24</v>
      </c>
      <c r="D808" t="s">
        <v>17</v>
      </c>
      <c r="E808" t="s">
        <v>12</v>
      </c>
      <c r="F808">
        <v>75766763</v>
      </c>
      <c r="G808">
        <v>75766789</v>
      </c>
      <c r="H808">
        <v>75766755</v>
      </c>
      <c r="I808">
        <v>75766762</v>
      </c>
    </row>
    <row r="809" spans="1:9" x14ac:dyDescent="0.2">
      <c r="A809" s="1" t="str">
        <f>"ANXA10"</f>
        <v>ANXA10</v>
      </c>
      <c r="B809" t="s">
        <v>14</v>
      </c>
      <c r="C809" t="s">
        <v>23</v>
      </c>
      <c r="D809" t="s">
        <v>17</v>
      </c>
      <c r="E809" t="s">
        <v>12</v>
      </c>
      <c r="F809">
        <v>169013681</v>
      </c>
      <c r="G809">
        <v>169013697</v>
      </c>
      <c r="H809">
        <v>169013681</v>
      </c>
      <c r="I809">
        <v>169013697</v>
      </c>
    </row>
    <row r="810" spans="1:9" x14ac:dyDescent="0.2">
      <c r="A810" s="1" t="str">
        <f>"ANXA11"</f>
        <v>ANXA11</v>
      </c>
      <c r="B810" t="s">
        <v>14</v>
      </c>
      <c r="C810" t="s">
        <v>15</v>
      </c>
      <c r="D810" t="s">
        <v>11</v>
      </c>
      <c r="E810" t="s">
        <v>12</v>
      </c>
      <c r="F810">
        <v>81965277</v>
      </c>
      <c r="G810">
        <v>81965306</v>
      </c>
      <c r="H810">
        <v>81965307</v>
      </c>
      <c r="I810">
        <v>81965351</v>
      </c>
    </row>
    <row r="811" spans="1:9" x14ac:dyDescent="0.2">
      <c r="A811" s="1" t="str">
        <f>"ANXA13"</f>
        <v>ANXA13</v>
      </c>
      <c r="B811" t="s">
        <v>14</v>
      </c>
      <c r="C811" t="s">
        <v>30</v>
      </c>
      <c r="D811" t="s">
        <v>11</v>
      </c>
      <c r="E811" t="s">
        <v>12</v>
      </c>
      <c r="F811">
        <v>124749609</v>
      </c>
      <c r="G811">
        <v>124749658</v>
      </c>
      <c r="H811">
        <v>124749609</v>
      </c>
      <c r="I811">
        <v>124749658</v>
      </c>
    </row>
    <row r="812" spans="1:9" x14ac:dyDescent="0.2">
      <c r="A812" s="1" t="str">
        <f>"ANXA2"</f>
        <v>ANXA2</v>
      </c>
      <c r="B812" t="s">
        <v>14</v>
      </c>
      <c r="C812" t="s">
        <v>25</v>
      </c>
      <c r="D812" t="s">
        <v>11</v>
      </c>
      <c r="E812" t="s">
        <v>12</v>
      </c>
      <c r="F812">
        <v>60690178</v>
      </c>
      <c r="G812">
        <v>60690192</v>
      </c>
      <c r="H812">
        <v>60690178</v>
      </c>
      <c r="I812">
        <v>60690192</v>
      </c>
    </row>
    <row r="813" spans="1:9" x14ac:dyDescent="0.2">
      <c r="A813" s="1" t="str">
        <f>"ANXA2R"</f>
        <v>ANXA2R</v>
      </c>
      <c r="B813" t="s">
        <v>14</v>
      </c>
      <c r="C813" t="s">
        <v>46</v>
      </c>
      <c r="D813" t="s">
        <v>11</v>
      </c>
      <c r="E813" t="s">
        <v>12</v>
      </c>
      <c r="F813">
        <v>43040412</v>
      </c>
      <c r="G813">
        <v>43040434</v>
      </c>
      <c r="H813">
        <v>43040442</v>
      </c>
      <c r="I813">
        <v>43040486</v>
      </c>
    </row>
    <row r="814" spans="1:9" x14ac:dyDescent="0.2">
      <c r="A814" s="1" t="str">
        <f>"ANXA3"</f>
        <v>ANXA3</v>
      </c>
      <c r="B814" t="s">
        <v>14</v>
      </c>
      <c r="C814" t="s">
        <v>23</v>
      </c>
      <c r="D814" t="s">
        <v>17</v>
      </c>
      <c r="E814" t="s">
        <v>12</v>
      </c>
      <c r="F814">
        <v>79472888</v>
      </c>
      <c r="G814">
        <v>79472970</v>
      </c>
      <c r="H814">
        <v>79472975</v>
      </c>
      <c r="I814">
        <v>79472986</v>
      </c>
    </row>
    <row r="815" spans="1:9" x14ac:dyDescent="0.2">
      <c r="A815" s="1" t="str">
        <f>"ANXA4"</f>
        <v>ANXA4</v>
      </c>
      <c r="B815" t="s">
        <v>14</v>
      </c>
      <c r="C815" t="s">
        <v>26</v>
      </c>
      <c r="D815" t="s">
        <v>17</v>
      </c>
      <c r="E815" t="s">
        <v>12</v>
      </c>
      <c r="F815">
        <v>69969257</v>
      </c>
      <c r="G815">
        <v>69969273</v>
      </c>
      <c r="H815">
        <v>69969227</v>
      </c>
      <c r="I815">
        <v>69969243</v>
      </c>
    </row>
    <row r="816" spans="1:9" x14ac:dyDescent="0.2">
      <c r="A816" s="1" t="str">
        <f>"ANXA5"</f>
        <v>ANXA5</v>
      </c>
      <c r="B816" t="s">
        <v>14</v>
      </c>
      <c r="C816" t="s">
        <v>23</v>
      </c>
      <c r="D816" t="s">
        <v>11</v>
      </c>
      <c r="E816" t="s">
        <v>12</v>
      </c>
      <c r="F816">
        <v>122618095</v>
      </c>
      <c r="G816">
        <v>122618161</v>
      </c>
      <c r="H816">
        <v>122617754</v>
      </c>
      <c r="I816">
        <v>122617792</v>
      </c>
    </row>
    <row r="817" spans="1:9" x14ac:dyDescent="0.2">
      <c r="A817" s="1" t="str">
        <f>"ANXA6"</f>
        <v>ANXA6</v>
      </c>
      <c r="B817" t="s">
        <v>14</v>
      </c>
      <c r="C817" t="s">
        <v>46</v>
      </c>
      <c r="D817" t="s">
        <v>11</v>
      </c>
      <c r="E817" t="s">
        <v>12</v>
      </c>
      <c r="F817">
        <v>150537279</v>
      </c>
      <c r="G817">
        <v>150537378</v>
      </c>
      <c r="H817">
        <v>150537262</v>
      </c>
      <c r="I817">
        <v>150537273</v>
      </c>
    </row>
    <row r="818" spans="1:9" x14ac:dyDescent="0.2">
      <c r="A818" s="1" t="str">
        <f>"ANXA7"</f>
        <v>ANXA7</v>
      </c>
      <c r="B818" t="s">
        <v>14</v>
      </c>
      <c r="C818" t="s">
        <v>15</v>
      </c>
      <c r="D818" t="s">
        <v>11</v>
      </c>
      <c r="E818" t="s">
        <v>12</v>
      </c>
      <c r="F818">
        <v>75173785</v>
      </c>
      <c r="G818">
        <v>75173844</v>
      </c>
      <c r="H818">
        <v>75173785</v>
      </c>
      <c r="I818">
        <v>75173844</v>
      </c>
    </row>
    <row r="819" spans="1:9" x14ac:dyDescent="0.2">
      <c r="A819" s="1" t="str">
        <f>"ANXA8"</f>
        <v>ANXA8</v>
      </c>
      <c r="B819" t="s">
        <v>14</v>
      </c>
      <c r="C819" t="s">
        <v>15</v>
      </c>
      <c r="D819" t="s">
        <v>17</v>
      </c>
      <c r="E819" t="s">
        <v>12</v>
      </c>
      <c r="F819">
        <v>48255246</v>
      </c>
      <c r="G819">
        <v>48255275</v>
      </c>
      <c r="H819">
        <v>48255246</v>
      </c>
      <c r="I819">
        <v>48255275</v>
      </c>
    </row>
    <row r="820" spans="1:9" x14ac:dyDescent="0.2">
      <c r="A820" s="1" t="str">
        <f>"ANXA8L1"</f>
        <v>ANXA8L1</v>
      </c>
      <c r="B820" t="s">
        <v>81</v>
      </c>
      <c r="C820" t="s">
        <v>15</v>
      </c>
      <c r="D820" t="s">
        <v>11</v>
      </c>
      <c r="E820" t="s">
        <v>20</v>
      </c>
      <c r="F820">
        <v>47174039</v>
      </c>
      <c r="G820">
        <v>47174039</v>
      </c>
      <c r="H820">
        <v>47174039</v>
      </c>
      <c r="I820">
        <v>47174039</v>
      </c>
    </row>
    <row r="821" spans="1:9" x14ac:dyDescent="0.2">
      <c r="A821" s="1" t="str">
        <f>"ANXA9"</f>
        <v>ANXA9</v>
      </c>
      <c r="B821" t="s">
        <v>14</v>
      </c>
      <c r="C821" t="s">
        <v>19</v>
      </c>
      <c r="D821" t="s">
        <v>17</v>
      </c>
      <c r="E821" t="s">
        <v>12</v>
      </c>
      <c r="F821">
        <v>150954745</v>
      </c>
      <c r="G821">
        <v>150954805</v>
      </c>
      <c r="H821">
        <v>150954548</v>
      </c>
      <c r="I821">
        <v>150954561</v>
      </c>
    </row>
    <row r="822" spans="1:9" x14ac:dyDescent="0.2">
      <c r="A822" s="1" t="str">
        <f>"AOAH"</f>
        <v>AOAH</v>
      </c>
      <c r="B822" t="s">
        <v>14</v>
      </c>
      <c r="C822" t="s">
        <v>33</v>
      </c>
      <c r="D822" t="s">
        <v>11</v>
      </c>
      <c r="E822" t="s">
        <v>12</v>
      </c>
      <c r="F822">
        <v>36764004</v>
      </c>
      <c r="G822">
        <v>36764059</v>
      </c>
      <c r="H822">
        <v>36764062</v>
      </c>
      <c r="I822">
        <v>36764124</v>
      </c>
    </row>
    <row r="823" spans="1:9" x14ac:dyDescent="0.2">
      <c r="A823" s="1" t="str">
        <f>"AOC1"</f>
        <v>AOC1</v>
      </c>
      <c r="B823" t="s">
        <v>9</v>
      </c>
      <c r="C823" t="s">
        <v>33</v>
      </c>
      <c r="D823" t="s">
        <v>17</v>
      </c>
      <c r="E823" t="s">
        <v>12</v>
      </c>
      <c r="F823">
        <v>150549595</v>
      </c>
      <c r="G823">
        <v>150549614</v>
      </c>
      <c r="H823">
        <v>150549595</v>
      </c>
      <c r="I823">
        <v>150549614</v>
      </c>
    </row>
    <row r="824" spans="1:9" x14ac:dyDescent="0.2">
      <c r="A824" s="1" t="str">
        <f>"AOC1"</f>
        <v>AOC1</v>
      </c>
      <c r="B824" t="s">
        <v>13</v>
      </c>
      <c r="C824" t="s">
        <v>33</v>
      </c>
      <c r="D824" t="s">
        <v>17</v>
      </c>
      <c r="E824" t="s">
        <v>12</v>
      </c>
      <c r="F824">
        <v>150553614</v>
      </c>
      <c r="G824">
        <v>150553634</v>
      </c>
      <c r="H824">
        <v>150553614</v>
      </c>
      <c r="I824">
        <v>150553634</v>
      </c>
    </row>
    <row r="825" spans="1:9" x14ac:dyDescent="0.2">
      <c r="A825" s="1" t="str">
        <f>"AOC2"</f>
        <v>AOC2</v>
      </c>
      <c r="B825" t="s">
        <v>14</v>
      </c>
      <c r="C825" t="s">
        <v>28</v>
      </c>
      <c r="D825" t="s">
        <v>17</v>
      </c>
      <c r="E825" t="s">
        <v>12</v>
      </c>
      <c r="F825">
        <v>40996590</v>
      </c>
      <c r="G825">
        <v>40996604</v>
      </c>
      <c r="H825">
        <v>40996590</v>
      </c>
      <c r="I825">
        <v>40996604</v>
      </c>
    </row>
    <row r="826" spans="1:9" x14ac:dyDescent="0.2">
      <c r="A826" s="1" t="str">
        <f>"AOC3"</f>
        <v>AOC3</v>
      </c>
      <c r="B826" t="s">
        <v>14</v>
      </c>
      <c r="C826" t="s">
        <v>28</v>
      </c>
      <c r="D826" t="s">
        <v>17</v>
      </c>
      <c r="E826" t="s">
        <v>12</v>
      </c>
      <c r="F826">
        <v>41003166</v>
      </c>
      <c r="G826">
        <v>41003270</v>
      </c>
      <c r="H826">
        <v>41003273</v>
      </c>
      <c r="I826">
        <v>41003300</v>
      </c>
    </row>
    <row r="827" spans="1:9" x14ac:dyDescent="0.2">
      <c r="A827" s="1" t="str">
        <f>"AOX1"</f>
        <v>AOX1</v>
      </c>
      <c r="B827" t="s">
        <v>9</v>
      </c>
      <c r="C827" t="s">
        <v>26</v>
      </c>
      <c r="D827" t="s">
        <v>17</v>
      </c>
      <c r="E827" t="s">
        <v>12</v>
      </c>
      <c r="F827">
        <v>201450712</v>
      </c>
      <c r="G827">
        <v>201450817</v>
      </c>
      <c r="H827">
        <v>201450712</v>
      </c>
      <c r="I827">
        <v>201450817</v>
      </c>
    </row>
    <row r="828" spans="1:9" x14ac:dyDescent="0.2">
      <c r="A828" s="1" t="str">
        <f>"AOX1"</f>
        <v>AOX1</v>
      </c>
      <c r="B828" t="s">
        <v>13</v>
      </c>
      <c r="C828" t="s">
        <v>26</v>
      </c>
      <c r="D828" t="s">
        <v>17</v>
      </c>
      <c r="E828" t="s">
        <v>12</v>
      </c>
      <c r="F828">
        <v>201473952</v>
      </c>
      <c r="G828">
        <v>201473998</v>
      </c>
      <c r="H828">
        <v>201473952</v>
      </c>
      <c r="I828">
        <v>201473998</v>
      </c>
    </row>
    <row r="829" spans="1:9" x14ac:dyDescent="0.2">
      <c r="A829" s="1" t="str">
        <f>"AP1AR"</f>
        <v>AP1AR</v>
      </c>
      <c r="B829" t="s">
        <v>14</v>
      </c>
      <c r="C829" t="s">
        <v>23</v>
      </c>
      <c r="D829" t="s">
        <v>17</v>
      </c>
      <c r="E829" t="s">
        <v>12</v>
      </c>
      <c r="F829">
        <v>113152913</v>
      </c>
      <c r="G829">
        <v>113152974</v>
      </c>
      <c r="H829">
        <v>113152881</v>
      </c>
      <c r="I829">
        <v>113152912</v>
      </c>
    </row>
    <row r="830" spans="1:9" x14ac:dyDescent="0.2">
      <c r="A830" s="1" t="str">
        <f>"AP1B1"</f>
        <v>AP1B1</v>
      </c>
      <c r="B830" t="s">
        <v>14</v>
      </c>
      <c r="C830" t="s">
        <v>21</v>
      </c>
      <c r="D830" t="s">
        <v>11</v>
      </c>
      <c r="E830" t="s">
        <v>12</v>
      </c>
      <c r="F830">
        <v>29784519</v>
      </c>
      <c r="G830">
        <v>29784576</v>
      </c>
      <c r="H830">
        <v>29784498</v>
      </c>
      <c r="I830">
        <v>29784514</v>
      </c>
    </row>
    <row r="831" spans="1:9" x14ac:dyDescent="0.2">
      <c r="A831" s="1" t="str">
        <f>"AP1G1"</f>
        <v>AP1G1</v>
      </c>
      <c r="B831" t="s">
        <v>14</v>
      </c>
      <c r="C831" t="s">
        <v>31</v>
      </c>
      <c r="D831" t="s">
        <v>11</v>
      </c>
      <c r="E831" t="s">
        <v>12</v>
      </c>
      <c r="F831">
        <v>71842706</v>
      </c>
      <c r="G831">
        <v>71842750</v>
      </c>
      <c r="H831">
        <v>71842952</v>
      </c>
      <c r="I831">
        <v>71843016</v>
      </c>
    </row>
    <row r="832" spans="1:9" x14ac:dyDescent="0.2">
      <c r="A832" s="1" t="str">
        <f>"AP1G2"</f>
        <v>AP1G2</v>
      </c>
      <c r="B832" t="s">
        <v>14</v>
      </c>
      <c r="C832" t="s">
        <v>41</v>
      </c>
      <c r="D832" t="s">
        <v>11</v>
      </c>
      <c r="E832" t="s">
        <v>12</v>
      </c>
      <c r="F832">
        <v>24036943</v>
      </c>
      <c r="G832">
        <v>24037025</v>
      </c>
      <c r="H832">
        <v>24036698</v>
      </c>
      <c r="I832">
        <v>24036729</v>
      </c>
    </row>
    <row r="833" spans="1:9" x14ac:dyDescent="0.2">
      <c r="A833" s="1" t="str">
        <f>"AP1M1"</f>
        <v>AP1M1</v>
      </c>
      <c r="B833" t="s">
        <v>14</v>
      </c>
      <c r="C833" t="s">
        <v>10</v>
      </c>
      <c r="D833" t="s">
        <v>17</v>
      </c>
      <c r="E833" t="s">
        <v>12</v>
      </c>
      <c r="F833">
        <v>16308711</v>
      </c>
      <c r="G833">
        <v>16308786</v>
      </c>
      <c r="H833">
        <v>16308659</v>
      </c>
      <c r="I833">
        <v>16308670</v>
      </c>
    </row>
    <row r="834" spans="1:9" x14ac:dyDescent="0.2">
      <c r="A834" s="1" t="str">
        <f>"AP1M2"</f>
        <v>AP1M2</v>
      </c>
      <c r="B834" t="s">
        <v>14</v>
      </c>
      <c r="C834" t="s">
        <v>10</v>
      </c>
      <c r="D834" t="s">
        <v>11</v>
      </c>
      <c r="E834" t="s">
        <v>12</v>
      </c>
      <c r="F834">
        <v>10697917</v>
      </c>
      <c r="G834">
        <v>10697993</v>
      </c>
      <c r="H834">
        <v>10697917</v>
      </c>
      <c r="I834">
        <v>10697993</v>
      </c>
    </row>
    <row r="835" spans="1:9" x14ac:dyDescent="0.2">
      <c r="A835" s="1" t="str">
        <f>"AP1S1"</f>
        <v>AP1S1</v>
      </c>
      <c r="B835" t="s">
        <v>14</v>
      </c>
      <c r="C835" t="s">
        <v>33</v>
      </c>
      <c r="D835" t="s">
        <v>17</v>
      </c>
      <c r="E835" t="s">
        <v>12</v>
      </c>
      <c r="F835">
        <v>100797726</v>
      </c>
      <c r="G835">
        <v>100797779</v>
      </c>
      <c r="H835">
        <v>100797688</v>
      </c>
      <c r="I835">
        <v>100797708</v>
      </c>
    </row>
    <row r="836" spans="1:9" x14ac:dyDescent="0.2">
      <c r="A836" s="1" t="str">
        <f>"AP1S2"</f>
        <v>AP1S2</v>
      </c>
      <c r="B836" t="s">
        <v>14</v>
      </c>
      <c r="C836" t="s">
        <v>37</v>
      </c>
      <c r="D836" t="s">
        <v>11</v>
      </c>
      <c r="E836" t="s">
        <v>12</v>
      </c>
      <c r="F836">
        <v>15872914</v>
      </c>
      <c r="G836">
        <v>15872980</v>
      </c>
      <c r="H836">
        <v>15872862</v>
      </c>
      <c r="I836">
        <v>15872882</v>
      </c>
    </row>
    <row r="837" spans="1:9" x14ac:dyDescent="0.2">
      <c r="A837" s="1" t="str">
        <f>"AP1S3"</f>
        <v>AP1S3</v>
      </c>
      <c r="B837" t="s">
        <v>14</v>
      </c>
      <c r="C837" t="s">
        <v>26</v>
      </c>
      <c r="D837" t="s">
        <v>11</v>
      </c>
      <c r="E837" t="s">
        <v>12</v>
      </c>
      <c r="F837">
        <v>224702270</v>
      </c>
      <c r="G837">
        <v>224702326</v>
      </c>
      <c r="H837">
        <v>224702243</v>
      </c>
      <c r="I837">
        <v>224702256</v>
      </c>
    </row>
    <row r="838" spans="1:9" x14ac:dyDescent="0.2">
      <c r="A838" s="1" t="str">
        <f>"AP2A1"</f>
        <v>AP2A1</v>
      </c>
      <c r="B838" t="s">
        <v>14</v>
      </c>
      <c r="C838" t="s">
        <v>10</v>
      </c>
      <c r="D838" t="s">
        <v>17</v>
      </c>
      <c r="E838" t="s">
        <v>12</v>
      </c>
      <c r="F838">
        <v>50270219</v>
      </c>
      <c r="G838">
        <v>50270319</v>
      </c>
      <c r="H838">
        <v>50270219</v>
      </c>
      <c r="I838">
        <v>50270319</v>
      </c>
    </row>
    <row r="839" spans="1:9" x14ac:dyDescent="0.2">
      <c r="A839" s="1" t="str">
        <f>"AP2A2"</f>
        <v>AP2A2</v>
      </c>
      <c r="B839" t="s">
        <v>14</v>
      </c>
      <c r="C839" t="s">
        <v>27</v>
      </c>
      <c r="D839" t="s">
        <v>17</v>
      </c>
      <c r="E839" t="s">
        <v>12</v>
      </c>
      <c r="F839">
        <v>925824</v>
      </c>
      <c r="G839">
        <v>925976</v>
      </c>
      <c r="H839">
        <v>926053</v>
      </c>
      <c r="I839">
        <v>926060</v>
      </c>
    </row>
    <row r="840" spans="1:9" x14ac:dyDescent="0.2">
      <c r="A840" s="1" t="str">
        <f>"AP2B1"</f>
        <v>AP2B1</v>
      </c>
      <c r="B840" t="s">
        <v>14</v>
      </c>
      <c r="C840" t="s">
        <v>28</v>
      </c>
      <c r="D840" t="s">
        <v>17</v>
      </c>
      <c r="E840" t="s">
        <v>12</v>
      </c>
      <c r="F840">
        <v>33914276</v>
      </c>
      <c r="G840">
        <v>33914385</v>
      </c>
      <c r="H840">
        <v>33914460</v>
      </c>
      <c r="I840">
        <v>33914536</v>
      </c>
    </row>
    <row r="841" spans="1:9" x14ac:dyDescent="0.2">
      <c r="A841" s="1" t="str">
        <f>"AP2M1"</f>
        <v>AP2M1</v>
      </c>
      <c r="B841" t="s">
        <v>9</v>
      </c>
      <c r="C841" t="s">
        <v>22</v>
      </c>
      <c r="D841" t="s">
        <v>17</v>
      </c>
      <c r="E841" t="s">
        <v>12</v>
      </c>
      <c r="F841">
        <v>183892635</v>
      </c>
      <c r="G841">
        <v>183892706</v>
      </c>
      <c r="H841">
        <v>183892635</v>
      </c>
      <c r="I841">
        <v>183892706</v>
      </c>
    </row>
    <row r="842" spans="1:9" x14ac:dyDescent="0.2">
      <c r="A842" s="1" t="str">
        <f>"AP2M1"</f>
        <v>AP2M1</v>
      </c>
      <c r="B842" t="s">
        <v>13</v>
      </c>
      <c r="C842" t="s">
        <v>22</v>
      </c>
      <c r="D842" t="s">
        <v>17</v>
      </c>
      <c r="E842" t="s">
        <v>12</v>
      </c>
      <c r="F842">
        <v>183894655</v>
      </c>
      <c r="G842">
        <v>183894669</v>
      </c>
      <c r="H842">
        <v>183894655</v>
      </c>
      <c r="I842">
        <v>183894669</v>
      </c>
    </row>
    <row r="843" spans="1:9" x14ac:dyDescent="0.2">
      <c r="A843" s="1" t="str">
        <f>"AP2S1"</f>
        <v>AP2S1</v>
      </c>
      <c r="B843" t="s">
        <v>14</v>
      </c>
      <c r="C843" t="s">
        <v>10</v>
      </c>
      <c r="D843" t="s">
        <v>11</v>
      </c>
      <c r="E843" t="s">
        <v>12</v>
      </c>
      <c r="F843">
        <v>47354082</v>
      </c>
      <c r="G843">
        <v>47354132</v>
      </c>
      <c r="H843">
        <v>47354061</v>
      </c>
      <c r="I843">
        <v>47354076</v>
      </c>
    </row>
    <row r="844" spans="1:9" x14ac:dyDescent="0.2">
      <c r="A844" s="1" t="str">
        <f>"AP3B1"</f>
        <v>AP3B1</v>
      </c>
      <c r="B844" t="s">
        <v>14</v>
      </c>
      <c r="C844" t="s">
        <v>46</v>
      </c>
      <c r="D844" t="s">
        <v>11</v>
      </c>
      <c r="E844" t="s">
        <v>12</v>
      </c>
      <c r="F844">
        <v>77590480</v>
      </c>
      <c r="G844">
        <v>77590557</v>
      </c>
      <c r="H844">
        <v>77590445</v>
      </c>
      <c r="I844">
        <v>77590462</v>
      </c>
    </row>
    <row r="845" spans="1:9" x14ac:dyDescent="0.2">
      <c r="A845" s="1" t="str">
        <f>"AP3B2"</f>
        <v>AP3B2</v>
      </c>
      <c r="B845" t="s">
        <v>14</v>
      </c>
      <c r="C845" t="s">
        <v>25</v>
      </c>
      <c r="D845" t="s">
        <v>11</v>
      </c>
      <c r="E845" t="s">
        <v>12</v>
      </c>
      <c r="F845">
        <v>83378614</v>
      </c>
      <c r="G845">
        <v>83378634</v>
      </c>
      <c r="H845">
        <v>83378638</v>
      </c>
      <c r="I845">
        <v>83378694</v>
      </c>
    </row>
    <row r="846" spans="1:9" x14ac:dyDescent="0.2">
      <c r="A846" s="1" t="str">
        <f>"AP3D1"</f>
        <v>AP3D1</v>
      </c>
      <c r="B846" t="s">
        <v>14</v>
      </c>
      <c r="C846" t="s">
        <v>10</v>
      </c>
      <c r="D846" t="s">
        <v>11</v>
      </c>
      <c r="E846" t="s">
        <v>12</v>
      </c>
      <c r="F846">
        <v>2151523</v>
      </c>
      <c r="G846">
        <v>2151585</v>
      </c>
      <c r="H846">
        <v>2151343</v>
      </c>
      <c r="I846">
        <v>2151369</v>
      </c>
    </row>
    <row r="847" spans="1:9" x14ac:dyDescent="0.2">
      <c r="A847" s="1" t="str">
        <f>"AP3M1"</f>
        <v>AP3M1</v>
      </c>
      <c r="B847" t="s">
        <v>14</v>
      </c>
      <c r="C847" t="s">
        <v>15</v>
      </c>
      <c r="D847" t="s">
        <v>11</v>
      </c>
      <c r="E847" t="s">
        <v>12</v>
      </c>
      <c r="F847">
        <v>75910539</v>
      </c>
      <c r="G847">
        <v>75910609</v>
      </c>
      <c r="H847">
        <v>75910789</v>
      </c>
      <c r="I847">
        <v>75910804</v>
      </c>
    </row>
    <row r="848" spans="1:9" x14ac:dyDescent="0.2">
      <c r="A848" s="1" t="str">
        <f>"AP3M2"</f>
        <v>AP3M2</v>
      </c>
      <c r="B848" t="s">
        <v>14</v>
      </c>
      <c r="C848" t="s">
        <v>30</v>
      </c>
      <c r="D848" t="s">
        <v>17</v>
      </c>
      <c r="E848" t="s">
        <v>12</v>
      </c>
      <c r="F848">
        <v>42010529</v>
      </c>
      <c r="G848">
        <v>42010620</v>
      </c>
      <c r="H848">
        <v>42010622</v>
      </c>
      <c r="I848">
        <v>42010635</v>
      </c>
    </row>
    <row r="849" spans="1:9" x14ac:dyDescent="0.2">
      <c r="A849" s="1" t="str">
        <f>"AP3S1"</f>
        <v>AP3S1</v>
      </c>
      <c r="B849" t="s">
        <v>14</v>
      </c>
      <c r="C849" t="s">
        <v>46</v>
      </c>
      <c r="D849" t="s">
        <v>17</v>
      </c>
      <c r="E849" t="s">
        <v>12</v>
      </c>
      <c r="F849">
        <v>115177575</v>
      </c>
      <c r="G849">
        <v>115177711</v>
      </c>
      <c r="H849">
        <v>115177284</v>
      </c>
      <c r="I849">
        <v>115177343</v>
      </c>
    </row>
    <row r="850" spans="1:9" x14ac:dyDescent="0.2">
      <c r="A850" s="1" t="str">
        <f>"AP3S2"</f>
        <v>AP3S2</v>
      </c>
      <c r="B850" t="s">
        <v>14</v>
      </c>
      <c r="C850" t="s">
        <v>25</v>
      </c>
      <c r="D850" t="s">
        <v>11</v>
      </c>
      <c r="E850" t="s">
        <v>12</v>
      </c>
      <c r="F850">
        <v>90437195</v>
      </c>
      <c r="G850">
        <v>90437261</v>
      </c>
      <c r="H850">
        <v>90437164</v>
      </c>
      <c r="I850">
        <v>90437175</v>
      </c>
    </row>
    <row r="851" spans="1:9" x14ac:dyDescent="0.2">
      <c r="A851" s="1" t="str">
        <f>"AP4B1"</f>
        <v>AP4B1</v>
      </c>
      <c r="B851" t="s">
        <v>14</v>
      </c>
      <c r="C851" t="s">
        <v>19</v>
      </c>
      <c r="D851" t="s">
        <v>11</v>
      </c>
      <c r="E851" t="s">
        <v>12</v>
      </c>
      <c r="F851">
        <v>114447412</v>
      </c>
      <c r="G851">
        <v>114447530</v>
      </c>
      <c r="H851">
        <v>114447643</v>
      </c>
      <c r="I851">
        <v>114447660</v>
      </c>
    </row>
    <row r="852" spans="1:9" x14ac:dyDescent="0.2">
      <c r="A852" s="1" t="str">
        <f>"AP4E1"</f>
        <v>AP4E1</v>
      </c>
      <c r="B852" t="s">
        <v>14</v>
      </c>
      <c r="C852" t="s">
        <v>25</v>
      </c>
      <c r="D852" t="s">
        <v>17</v>
      </c>
      <c r="E852" t="s">
        <v>12</v>
      </c>
      <c r="F852">
        <v>51200871</v>
      </c>
      <c r="G852">
        <v>51200932</v>
      </c>
      <c r="H852">
        <v>51200859</v>
      </c>
      <c r="I852">
        <v>51200870</v>
      </c>
    </row>
    <row r="853" spans="1:9" x14ac:dyDescent="0.2">
      <c r="A853" s="1" t="str">
        <f>"AP4M1"</f>
        <v>AP4M1</v>
      </c>
      <c r="B853" t="s">
        <v>14</v>
      </c>
      <c r="C853" t="s">
        <v>33</v>
      </c>
      <c r="D853" t="s">
        <v>17</v>
      </c>
      <c r="E853" t="s">
        <v>12</v>
      </c>
      <c r="F853">
        <v>99699280</v>
      </c>
      <c r="G853">
        <v>99699335</v>
      </c>
      <c r="H853">
        <v>99699255</v>
      </c>
      <c r="I853">
        <v>99699279</v>
      </c>
    </row>
    <row r="854" spans="1:9" x14ac:dyDescent="0.2">
      <c r="A854" s="1" t="str">
        <f>"AP4S1"</f>
        <v>AP4S1</v>
      </c>
      <c r="B854" t="s">
        <v>14</v>
      </c>
      <c r="C854" t="s">
        <v>41</v>
      </c>
      <c r="D854" t="s">
        <v>17</v>
      </c>
      <c r="E854" t="s">
        <v>12</v>
      </c>
      <c r="F854">
        <v>31494841</v>
      </c>
      <c r="G854">
        <v>31494869</v>
      </c>
      <c r="H854">
        <v>31494679</v>
      </c>
      <c r="I854">
        <v>31494726</v>
      </c>
    </row>
    <row r="855" spans="1:9" x14ac:dyDescent="0.2">
      <c r="A855" s="1" t="str">
        <f>"AP5B1"</f>
        <v>AP5B1</v>
      </c>
      <c r="B855" t="s">
        <v>14</v>
      </c>
      <c r="C855" t="s">
        <v>27</v>
      </c>
      <c r="D855" t="s">
        <v>11</v>
      </c>
      <c r="E855" t="s">
        <v>12</v>
      </c>
      <c r="F855">
        <v>65548265</v>
      </c>
      <c r="G855">
        <v>65548292</v>
      </c>
      <c r="H855">
        <v>65548265</v>
      </c>
      <c r="I855">
        <v>65548292</v>
      </c>
    </row>
    <row r="856" spans="1:9" x14ac:dyDescent="0.2">
      <c r="A856" s="1" t="str">
        <f>"AP5M1"</f>
        <v>AP5M1</v>
      </c>
      <c r="B856" t="s">
        <v>14</v>
      </c>
      <c r="C856" t="s">
        <v>41</v>
      </c>
      <c r="D856" t="s">
        <v>17</v>
      </c>
      <c r="E856" t="s">
        <v>12</v>
      </c>
      <c r="F856">
        <v>57735725</v>
      </c>
      <c r="G856">
        <v>57735836</v>
      </c>
      <c r="H856">
        <v>57735681</v>
      </c>
      <c r="I856">
        <v>57735696</v>
      </c>
    </row>
    <row r="857" spans="1:9" x14ac:dyDescent="0.2">
      <c r="A857" s="1" t="str">
        <f>"AP5S1"</f>
        <v>AP5S1</v>
      </c>
      <c r="B857" t="s">
        <v>14</v>
      </c>
      <c r="C857" t="s">
        <v>29</v>
      </c>
      <c r="D857" t="s">
        <v>17</v>
      </c>
      <c r="E857" t="s">
        <v>12</v>
      </c>
      <c r="F857">
        <v>3801162</v>
      </c>
      <c r="G857">
        <v>3801209</v>
      </c>
      <c r="H857">
        <v>3801453</v>
      </c>
      <c r="I857">
        <v>3801519</v>
      </c>
    </row>
    <row r="858" spans="1:9" x14ac:dyDescent="0.2">
      <c r="A858" s="1" t="str">
        <f>"AP5Z1"</f>
        <v>AP5Z1</v>
      </c>
      <c r="B858" t="s">
        <v>14</v>
      </c>
      <c r="C858" t="s">
        <v>33</v>
      </c>
      <c r="D858" t="s">
        <v>17</v>
      </c>
      <c r="E858" t="s">
        <v>12</v>
      </c>
      <c r="F858">
        <v>4815238</v>
      </c>
      <c r="G858">
        <v>4815327</v>
      </c>
      <c r="H858">
        <v>4814754</v>
      </c>
      <c r="I858">
        <v>4814762</v>
      </c>
    </row>
    <row r="859" spans="1:9" x14ac:dyDescent="0.2">
      <c r="A859" s="1" t="str">
        <f>"APAF1"</f>
        <v>APAF1</v>
      </c>
      <c r="B859" t="s">
        <v>14</v>
      </c>
      <c r="C859" t="s">
        <v>16</v>
      </c>
      <c r="D859" t="s">
        <v>17</v>
      </c>
      <c r="E859" t="s">
        <v>12</v>
      </c>
      <c r="F859">
        <v>99038998</v>
      </c>
      <c r="G859">
        <v>99039076</v>
      </c>
      <c r="H859">
        <v>99038931</v>
      </c>
      <c r="I859">
        <v>99038954</v>
      </c>
    </row>
    <row r="860" spans="1:9" x14ac:dyDescent="0.2">
      <c r="A860" s="1" t="str">
        <f>"APBA1"</f>
        <v>APBA1</v>
      </c>
      <c r="B860" t="s">
        <v>14</v>
      </c>
      <c r="C860" t="s">
        <v>24</v>
      </c>
      <c r="D860" t="s">
        <v>11</v>
      </c>
      <c r="E860" t="s">
        <v>12</v>
      </c>
      <c r="F860">
        <v>72287256</v>
      </c>
      <c r="G860">
        <v>72287308</v>
      </c>
      <c r="H860">
        <v>72287234</v>
      </c>
      <c r="I860">
        <v>72287255</v>
      </c>
    </row>
    <row r="861" spans="1:9" x14ac:dyDescent="0.2">
      <c r="A861" s="1" t="str">
        <f>"APBA2"</f>
        <v>APBA2</v>
      </c>
      <c r="B861" t="s">
        <v>14</v>
      </c>
      <c r="C861" t="s">
        <v>25</v>
      </c>
      <c r="D861" t="s">
        <v>17</v>
      </c>
      <c r="E861" t="s">
        <v>12</v>
      </c>
      <c r="F861">
        <v>29131270</v>
      </c>
      <c r="G861">
        <v>29131360</v>
      </c>
      <c r="H861">
        <v>29131103</v>
      </c>
      <c r="I861">
        <v>29131186</v>
      </c>
    </row>
    <row r="862" spans="1:9" x14ac:dyDescent="0.2">
      <c r="A862" s="1" t="str">
        <f>"APBA3"</f>
        <v>APBA3</v>
      </c>
      <c r="B862" t="s">
        <v>14</v>
      </c>
      <c r="C862" t="s">
        <v>10</v>
      </c>
      <c r="D862" t="s">
        <v>11</v>
      </c>
      <c r="E862" t="s">
        <v>12</v>
      </c>
      <c r="F862">
        <v>3761618</v>
      </c>
      <c r="G862">
        <v>3761648</v>
      </c>
      <c r="H862">
        <v>3761673</v>
      </c>
      <c r="I862">
        <v>3761703</v>
      </c>
    </row>
    <row r="863" spans="1:9" x14ac:dyDescent="0.2">
      <c r="A863" s="1" t="str">
        <f>"APBB1"</f>
        <v>APBB1</v>
      </c>
      <c r="B863" t="s">
        <v>14</v>
      </c>
      <c r="C863" t="s">
        <v>27</v>
      </c>
      <c r="D863" t="s">
        <v>11</v>
      </c>
      <c r="E863" t="s">
        <v>12</v>
      </c>
      <c r="F863">
        <v>6440283</v>
      </c>
      <c r="G863">
        <v>6440345</v>
      </c>
      <c r="H863">
        <v>6440671</v>
      </c>
      <c r="I863">
        <v>6440692</v>
      </c>
    </row>
    <row r="864" spans="1:9" x14ac:dyDescent="0.2">
      <c r="A864" s="1" t="str">
        <f>"APBB1IP"</f>
        <v>APBB1IP</v>
      </c>
      <c r="B864" t="s">
        <v>14</v>
      </c>
      <c r="C864" t="s">
        <v>15</v>
      </c>
      <c r="D864" t="s">
        <v>17</v>
      </c>
      <c r="E864" t="s">
        <v>12</v>
      </c>
      <c r="F864">
        <v>26727246</v>
      </c>
      <c r="G864">
        <v>26727322</v>
      </c>
      <c r="H864">
        <v>26727647</v>
      </c>
      <c r="I864">
        <v>26727722</v>
      </c>
    </row>
    <row r="865" spans="1:9" x14ac:dyDescent="0.2">
      <c r="A865" s="1" t="str">
        <f>"APBB2"</f>
        <v>APBB2</v>
      </c>
      <c r="B865" t="s">
        <v>14</v>
      </c>
      <c r="C865" t="s">
        <v>23</v>
      </c>
      <c r="D865" t="s">
        <v>11</v>
      </c>
      <c r="E865" t="s">
        <v>12</v>
      </c>
      <c r="F865">
        <v>41216492</v>
      </c>
      <c r="G865">
        <v>41216550</v>
      </c>
      <c r="H865">
        <v>41216552</v>
      </c>
      <c r="I865">
        <v>41216567</v>
      </c>
    </row>
    <row r="866" spans="1:9" x14ac:dyDescent="0.2">
      <c r="A866" s="1" t="str">
        <f>"APBB3"</f>
        <v>APBB3</v>
      </c>
      <c r="B866" t="s">
        <v>14</v>
      </c>
      <c r="C866" t="s">
        <v>46</v>
      </c>
      <c r="D866" t="s">
        <v>11</v>
      </c>
      <c r="E866" t="s">
        <v>12</v>
      </c>
      <c r="F866">
        <v>139943886</v>
      </c>
      <c r="G866">
        <v>139943967</v>
      </c>
      <c r="H866">
        <v>139944134</v>
      </c>
      <c r="I866">
        <v>139944191</v>
      </c>
    </row>
    <row r="867" spans="1:9" x14ac:dyDescent="0.2">
      <c r="A867" s="1" t="str">
        <f>"APC"</f>
        <v>APC</v>
      </c>
      <c r="B867" t="s">
        <v>9</v>
      </c>
      <c r="C867" t="s">
        <v>46</v>
      </c>
      <c r="D867" t="s">
        <v>17</v>
      </c>
      <c r="E867" t="s">
        <v>12</v>
      </c>
      <c r="F867">
        <v>112073544</v>
      </c>
      <c r="G867">
        <v>112073596</v>
      </c>
      <c r="H867">
        <v>112073544</v>
      </c>
      <c r="I867">
        <v>112073596</v>
      </c>
    </row>
    <row r="868" spans="1:9" x14ac:dyDescent="0.2">
      <c r="A868" s="1" t="str">
        <f>"APC"</f>
        <v>APC</v>
      </c>
      <c r="B868" t="s">
        <v>13</v>
      </c>
      <c r="C868" t="s">
        <v>46</v>
      </c>
      <c r="D868" t="s">
        <v>17</v>
      </c>
      <c r="E868" t="s">
        <v>12</v>
      </c>
      <c r="F868">
        <v>112043186</v>
      </c>
      <c r="G868">
        <v>112043225</v>
      </c>
      <c r="H868">
        <v>112043186</v>
      </c>
      <c r="I868">
        <v>112043225</v>
      </c>
    </row>
    <row r="869" spans="1:9" x14ac:dyDescent="0.2">
      <c r="A869" s="1" t="str">
        <f>"APC2"</f>
        <v>APC2</v>
      </c>
      <c r="B869" t="s">
        <v>9</v>
      </c>
      <c r="C869" t="s">
        <v>10</v>
      </c>
      <c r="D869" t="s">
        <v>17</v>
      </c>
      <c r="E869" t="s">
        <v>12</v>
      </c>
      <c r="F869">
        <v>1450112</v>
      </c>
      <c r="G869">
        <v>1450187</v>
      </c>
      <c r="H869">
        <v>1450112</v>
      </c>
      <c r="I869">
        <v>1450187</v>
      </c>
    </row>
    <row r="870" spans="1:9" x14ac:dyDescent="0.2">
      <c r="A870" s="1" t="str">
        <f>"APC2"</f>
        <v>APC2</v>
      </c>
      <c r="B870" t="s">
        <v>13</v>
      </c>
      <c r="C870" t="s">
        <v>10</v>
      </c>
      <c r="D870" t="s">
        <v>17</v>
      </c>
      <c r="E870" t="s">
        <v>12</v>
      </c>
      <c r="F870">
        <v>1446214</v>
      </c>
      <c r="G870">
        <v>1446299</v>
      </c>
      <c r="H870">
        <v>1446214</v>
      </c>
      <c r="I870">
        <v>1446299</v>
      </c>
    </row>
    <row r="871" spans="1:9" x14ac:dyDescent="0.2">
      <c r="A871" s="1" t="str">
        <f>"APCDD1"</f>
        <v>APCDD1</v>
      </c>
      <c r="B871" t="s">
        <v>14</v>
      </c>
      <c r="C871" t="s">
        <v>43</v>
      </c>
      <c r="D871" t="s">
        <v>17</v>
      </c>
      <c r="E871" t="s">
        <v>12</v>
      </c>
      <c r="F871">
        <v>10454594</v>
      </c>
      <c r="G871">
        <v>10454645</v>
      </c>
      <c r="H871">
        <v>10454647</v>
      </c>
      <c r="I871">
        <v>10454682</v>
      </c>
    </row>
    <row r="872" spans="1:9" x14ac:dyDescent="0.2">
      <c r="A872" s="1" t="str">
        <f>"APCDD1L"</f>
        <v>APCDD1L</v>
      </c>
      <c r="B872" t="s">
        <v>14</v>
      </c>
      <c r="C872" t="s">
        <v>29</v>
      </c>
      <c r="D872" t="s">
        <v>11</v>
      </c>
      <c r="E872" t="s">
        <v>12</v>
      </c>
      <c r="F872">
        <v>57090438</v>
      </c>
      <c r="G872">
        <v>57090462</v>
      </c>
      <c r="H872">
        <v>57089934</v>
      </c>
      <c r="I872">
        <v>57089974</v>
      </c>
    </row>
    <row r="873" spans="1:9" x14ac:dyDescent="0.2">
      <c r="A873" s="1" t="str">
        <f>"APCS"</f>
        <v>APCS</v>
      </c>
      <c r="B873" t="s">
        <v>14</v>
      </c>
      <c r="C873" t="s">
        <v>19</v>
      </c>
      <c r="D873" t="s">
        <v>17</v>
      </c>
      <c r="E873" t="s">
        <v>12</v>
      </c>
      <c r="F873">
        <v>159557607</v>
      </c>
      <c r="G873">
        <v>159557625</v>
      </c>
      <c r="H873">
        <v>159557607</v>
      </c>
      <c r="I873">
        <v>159557625</v>
      </c>
    </row>
    <row r="874" spans="1:9" x14ac:dyDescent="0.2">
      <c r="A874" s="1" t="str">
        <f>"APEH"</f>
        <v>APEH</v>
      </c>
      <c r="B874" t="s">
        <v>14</v>
      </c>
      <c r="C874" t="s">
        <v>22</v>
      </c>
      <c r="D874" t="s">
        <v>17</v>
      </c>
      <c r="E874" t="s">
        <v>12</v>
      </c>
      <c r="F874">
        <v>49711777</v>
      </c>
      <c r="G874">
        <v>49711834</v>
      </c>
      <c r="H874">
        <v>49711391</v>
      </c>
      <c r="I874">
        <v>49711456</v>
      </c>
    </row>
    <row r="875" spans="1:9" x14ac:dyDescent="0.2">
      <c r="A875" s="1" t="str">
        <f>"APEX1"</f>
        <v>APEX1</v>
      </c>
      <c r="B875" t="s">
        <v>14</v>
      </c>
      <c r="C875" t="s">
        <v>41</v>
      </c>
      <c r="D875" t="s">
        <v>17</v>
      </c>
      <c r="E875" t="s">
        <v>12</v>
      </c>
      <c r="F875">
        <v>20923369</v>
      </c>
      <c r="G875">
        <v>20923418</v>
      </c>
      <c r="H875">
        <v>20923369</v>
      </c>
      <c r="I875">
        <v>20923418</v>
      </c>
    </row>
    <row r="876" spans="1:9" x14ac:dyDescent="0.2">
      <c r="A876" s="1" t="str">
        <f>"APEX2"</f>
        <v>APEX2</v>
      </c>
      <c r="B876" t="s">
        <v>14</v>
      </c>
      <c r="C876" t="s">
        <v>37</v>
      </c>
      <c r="D876" t="s">
        <v>17</v>
      </c>
      <c r="E876" t="s">
        <v>12</v>
      </c>
      <c r="F876">
        <v>55026763</v>
      </c>
      <c r="G876">
        <v>55026831</v>
      </c>
      <c r="H876">
        <v>55026840</v>
      </c>
      <c r="I876">
        <v>55026854</v>
      </c>
    </row>
    <row r="877" spans="1:9" x14ac:dyDescent="0.2">
      <c r="A877" s="1" t="str">
        <f>"APH1A"</f>
        <v>APH1A</v>
      </c>
      <c r="B877" t="s">
        <v>14</v>
      </c>
      <c r="C877" t="s">
        <v>19</v>
      </c>
      <c r="D877" t="s">
        <v>11</v>
      </c>
      <c r="E877" t="s">
        <v>12</v>
      </c>
      <c r="F877">
        <v>150241341</v>
      </c>
      <c r="G877">
        <v>150241433</v>
      </c>
      <c r="H877">
        <v>150241322</v>
      </c>
      <c r="I877">
        <v>150241335</v>
      </c>
    </row>
    <row r="878" spans="1:9" x14ac:dyDescent="0.2">
      <c r="A878" s="1" t="str">
        <f>"APH1B"</f>
        <v>APH1B</v>
      </c>
      <c r="B878" t="s">
        <v>14</v>
      </c>
      <c r="C878" t="s">
        <v>25</v>
      </c>
      <c r="D878" t="s">
        <v>17</v>
      </c>
      <c r="E878" t="s">
        <v>12</v>
      </c>
      <c r="F878">
        <v>63569785</v>
      </c>
      <c r="G878">
        <v>63569824</v>
      </c>
      <c r="H878">
        <v>63569731</v>
      </c>
      <c r="I878">
        <v>63569783</v>
      </c>
    </row>
    <row r="879" spans="1:9" x14ac:dyDescent="0.2">
      <c r="A879" s="1" t="str">
        <f>"API5"</f>
        <v>API5</v>
      </c>
      <c r="B879" t="s">
        <v>14</v>
      </c>
      <c r="C879" t="s">
        <v>27</v>
      </c>
      <c r="D879" t="s">
        <v>17</v>
      </c>
      <c r="E879" t="s">
        <v>12</v>
      </c>
      <c r="F879">
        <v>43333513</v>
      </c>
      <c r="G879">
        <v>43333608</v>
      </c>
      <c r="H879">
        <v>43333513</v>
      </c>
      <c r="I879">
        <v>43333608</v>
      </c>
    </row>
    <row r="880" spans="1:9" x14ac:dyDescent="0.2">
      <c r="A880" s="1" t="str">
        <f>"APIP"</f>
        <v>APIP</v>
      </c>
      <c r="B880" t="s">
        <v>14</v>
      </c>
      <c r="C880" t="s">
        <v>27</v>
      </c>
      <c r="D880" t="s">
        <v>11</v>
      </c>
      <c r="E880" t="s">
        <v>12</v>
      </c>
      <c r="F880">
        <v>34937858</v>
      </c>
      <c r="G880">
        <v>34937944</v>
      </c>
      <c r="H880">
        <v>34938039</v>
      </c>
      <c r="I880">
        <v>34938050</v>
      </c>
    </row>
    <row r="881" spans="1:9" x14ac:dyDescent="0.2">
      <c r="A881" s="1" t="str">
        <f>"APITD1"</f>
        <v>APITD1</v>
      </c>
      <c r="B881" t="s">
        <v>14</v>
      </c>
      <c r="C881" t="s">
        <v>19</v>
      </c>
      <c r="D881" t="s">
        <v>17</v>
      </c>
      <c r="E881" t="s">
        <v>12</v>
      </c>
      <c r="F881">
        <v>10490779</v>
      </c>
      <c r="G881">
        <v>10490839</v>
      </c>
      <c r="H881">
        <v>10490477</v>
      </c>
      <c r="I881">
        <v>10490553</v>
      </c>
    </row>
    <row r="882" spans="1:9" x14ac:dyDescent="0.2">
      <c r="A882" s="1" t="str">
        <f>"APITD1-CORT"</f>
        <v>APITD1-CORT</v>
      </c>
      <c r="B882" t="s">
        <v>14</v>
      </c>
      <c r="C882" t="s">
        <v>19</v>
      </c>
      <c r="D882" t="s">
        <v>17</v>
      </c>
      <c r="E882" t="s">
        <v>12</v>
      </c>
      <c r="F882">
        <v>10490779</v>
      </c>
      <c r="G882">
        <v>10490839</v>
      </c>
      <c r="H882">
        <v>10490477</v>
      </c>
      <c r="I882">
        <v>10490553</v>
      </c>
    </row>
    <row r="883" spans="1:9" x14ac:dyDescent="0.2">
      <c r="A883" s="1" t="str">
        <f>"APLF"</f>
        <v>APLF</v>
      </c>
      <c r="B883" t="s">
        <v>14</v>
      </c>
      <c r="C883" t="s">
        <v>26</v>
      </c>
      <c r="D883" t="s">
        <v>17</v>
      </c>
      <c r="E883" t="s">
        <v>12</v>
      </c>
      <c r="F883">
        <v>68694678</v>
      </c>
      <c r="G883">
        <v>68694734</v>
      </c>
      <c r="H883">
        <v>68694743</v>
      </c>
      <c r="I883">
        <v>68694779</v>
      </c>
    </row>
    <row r="884" spans="1:9" x14ac:dyDescent="0.2">
      <c r="A884" s="1" t="str">
        <f>"APLN"</f>
        <v>APLN</v>
      </c>
      <c r="B884" t="s">
        <v>14</v>
      </c>
      <c r="C884" t="s">
        <v>37</v>
      </c>
      <c r="D884" t="s">
        <v>11</v>
      </c>
      <c r="E884" t="s">
        <v>12</v>
      </c>
      <c r="F884">
        <v>128788923</v>
      </c>
      <c r="G884">
        <v>128788942</v>
      </c>
      <c r="H884">
        <v>128788923</v>
      </c>
      <c r="I884">
        <v>128788942</v>
      </c>
    </row>
    <row r="885" spans="1:9" x14ac:dyDescent="0.2">
      <c r="A885" s="1" t="str">
        <f>"APLNR"</f>
        <v>APLNR</v>
      </c>
      <c r="B885" t="s">
        <v>14</v>
      </c>
      <c r="C885" t="s">
        <v>27</v>
      </c>
      <c r="D885" t="s">
        <v>11</v>
      </c>
      <c r="E885" t="s">
        <v>12</v>
      </c>
      <c r="F885">
        <v>57004658</v>
      </c>
      <c r="G885">
        <v>57004739</v>
      </c>
      <c r="H885">
        <v>57004745</v>
      </c>
      <c r="I885">
        <v>57004772</v>
      </c>
    </row>
    <row r="886" spans="1:9" x14ac:dyDescent="0.2">
      <c r="A886" s="1" t="str">
        <f>"APLP1"</f>
        <v>APLP1</v>
      </c>
      <c r="B886" t="s">
        <v>14</v>
      </c>
      <c r="C886" t="s">
        <v>10</v>
      </c>
      <c r="D886" t="s">
        <v>17</v>
      </c>
      <c r="E886" t="s">
        <v>12</v>
      </c>
      <c r="F886">
        <v>36359420</v>
      </c>
      <c r="G886">
        <v>36359486</v>
      </c>
      <c r="H886">
        <v>36359487</v>
      </c>
      <c r="I886">
        <v>36359515</v>
      </c>
    </row>
    <row r="887" spans="1:9" x14ac:dyDescent="0.2">
      <c r="A887" s="1" t="str">
        <f>"APLP2"</f>
        <v>APLP2</v>
      </c>
      <c r="B887" t="s">
        <v>14</v>
      </c>
      <c r="C887" t="s">
        <v>27</v>
      </c>
      <c r="D887" t="s">
        <v>17</v>
      </c>
      <c r="E887" t="s">
        <v>12</v>
      </c>
      <c r="F887">
        <v>129939779</v>
      </c>
      <c r="G887">
        <v>129939801</v>
      </c>
      <c r="H887">
        <v>129939812</v>
      </c>
      <c r="I887">
        <v>129939817</v>
      </c>
    </row>
    <row r="888" spans="1:9" x14ac:dyDescent="0.2">
      <c r="A888" s="1" t="str">
        <f>"APMAP"</f>
        <v>APMAP</v>
      </c>
      <c r="B888" t="s">
        <v>14</v>
      </c>
      <c r="C888" t="s">
        <v>29</v>
      </c>
      <c r="D888" t="s">
        <v>11</v>
      </c>
      <c r="E888" t="s">
        <v>12</v>
      </c>
      <c r="F888">
        <v>24973318</v>
      </c>
      <c r="G888">
        <v>24973394</v>
      </c>
      <c r="H888">
        <v>24973318</v>
      </c>
      <c r="I888">
        <v>24973394</v>
      </c>
    </row>
    <row r="889" spans="1:9" x14ac:dyDescent="0.2">
      <c r="A889" s="1" t="str">
        <f>"APOA1"</f>
        <v>APOA1</v>
      </c>
      <c r="B889" t="s">
        <v>14</v>
      </c>
      <c r="C889" t="s">
        <v>27</v>
      </c>
      <c r="D889" t="s">
        <v>11</v>
      </c>
      <c r="E889" t="s">
        <v>12</v>
      </c>
      <c r="F889">
        <v>116708330</v>
      </c>
      <c r="G889">
        <v>116708347</v>
      </c>
      <c r="H889">
        <v>116708366</v>
      </c>
      <c r="I889">
        <v>116708380</v>
      </c>
    </row>
    <row r="890" spans="1:9" x14ac:dyDescent="0.2">
      <c r="A890" s="1" t="str">
        <f>"APOA1BP"</f>
        <v>APOA1BP</v>
      </c>
      <c r="B890" t="s">
        <v>14</v>
      </c>
      <c r="C890" t="s">
        <v>19</v>
      </c>
      <c r="D890" t="s">
        <v>17</v>
      </c>
      <c r="E890" t="s">
        <v>12</v>
      </c>
      <c r="F890">
        <v>156561533</v>
      </c>
      <c r="G890">
        <v>156561613</v>
      </c>
      <c r="H890">
        <v>156561667</v>
      </c>
      <c r="I890">
        <v>156561672</v>
      </c>
    </row>
    <row r="891" spans="1:9" x14ac:dyDescent="0.2">
      <c r="A891" s="1" t="str">
        <f>"APOA2"</f>
        <v>APOA2</v>
      </c>
      <c r="B891" t="s">
        <v>14</v>
      </c>
      <c r="C891" t="s">
        <v>19</v>
      </c>
      <c r="D891" t="s">
        <v>11</v>
      </c>
      <c r="E891" t="s">
        <v>12</v>
      </c>
      <c r="F891">
        <v>161193408</v>
      </c>
      <c r="G891">
        <v>161193424</v>
      </c>
      <c r="H891">
        <v>161193408</v>
      </c>
      <c r="I891">
        <v>161193424</v>
      </c>
    </row>
    <row r="892" spans="1:9" x14ac:dyDescent="0.2">
      <c r="A892" s="1" t="str">
        <f>"APOA4"</f>
        <v>APOA4</v>
      </c>
      <c r="B892" t="s">
        <v>14</v>
      </c>
      <c r="C892" t="s">
        <v>27</v>
      </c>
      <c r="D892" t="s">
        <v>11</v>
      </c>
      <c r="E892" t="s">
        <v>12</v>
      </c>
      <c r="F892">
        <v>116694009</v>
      </c>
      <c r="G892">
        <v>116694029</v>
      </c>
      <c r="H892">
        <v>116693484</v>
      </c>
      <c r="I892">
        <v>116693496</v>
      </c>
    </row>
    <row r="893" spans="1:9" x14ac:dyDescent="0.2">
      <c r="A893" s="1" t="str">
        <f>"APOA5"</f>
        <v>APOA5</v>
      </c>
      <c r="B893" t="s">
        <v>14</v>
      </c>
      <c r="C893" t="s">
        <v>27</v>
      </c>
      <c r="D893" t="s">
        <v>11</v>
      </c>
      <c r="E893" t="s">
        <v>12</v>
      </c>
      <c r="F893">
        <v>116662593</v>
      </c>
      <c r="G893">
        <v>116662620</v>
      </c>
      <c r="H893">
        <v>116663129</v>
      </c>
      <c r="I893">
        <v>116663141</v>
      </c>
    </row>
    <row r="894" spans="1:9" x14ac:dyDescent="0.2">
      <c r="A894" s="1" t="str">
        <f>"APOB"</f>
        <v>APOB</v>
      </c>
      <c r="B894" t="s">
        <v>14</v>
      </c>
      <c r="C894" t="s">
        <v>26</v>
      </c>
      <c r="D894" t="s">
        <v>11</v>
      </c>
      <c r="E894" t="s">
        <v>12</v>
      </c>
      <c r="F894">
        <v>21266935</v>
      </c>
      <c r="G894">
        <v>21266951</v>
      </c>
      <c r="H894">
        <v>21266816</v>
      </c>
      <c r="I894">
        <v>21266849</v>
      </c>
    </row>
    <row r="895" spans="1:9" x14ac:dyDescent="0.2">
      <c r="A895" s="1" t="str">
        <f>"APOBEC1"</f>
        <v>APOBEC1</v>
      </c>
      <c r="B895" t="s">
        <v>14</v>
      </c>
      <c r="C895" t="s">
        <v>16</v>
      </c>
      <c r="D895" t="s">
        <v>11</v>
      </c>
      <c r="E895" t="s">
        <v>12</v>
      </c>
      <c r="F895">
        <v>7818474</v>
      </c>
      <c r="G895">
        <v>7818487</v>
      </c>
      <c r="H895">
        <v>7818491</v>
      </c>
      <c r="I895">
        <v>7818523</v>
      </c>
    </row>
    <row r="896" spans="1:9" x14ac:dyDescent="0.2">
      <c r="A896" s="1" t="str">
        <f>"APOBEC2"</f>
        <v>APOBEC2</v>
      </c>
      <c r="B896" t="s">
        <v>14</v>
      </c>
      <c r="C896" t="s">
        <v>32</v>
      </c>
      <c r="D896" t="s">
        <v>17</v>
      </c>
      <c r="E896" t="s">
        <v>12</v>
      </c>
      <c r="F896">
        <v>41020934</v>
      </c>
      <c r="G896">
        <v>41020948</v>
      </c>
      <c r="H896">
        <v>41021054</v>
      </c>
      <c r="I896">
        <v>41021067</v>
      </c>
    </row>
    <row r="897" spans="1:9" x14ac:dyDescent="0.2">
      <c r="A897" s="1" t="str">
        <f>"APOBEC3A"</f>
        <v>APOBEC3A</v>
      </c>
      <c r="B897" t="s">
        <v>14</v>
      </c>
      <c r="C897" t="s">
        <v>21</v>
      </c>
      <c r="D897" t="s">
        <v>17</v>
      </c>
      <c r="E897" t="s">
        <v>12</v>
      </c>
      <c r="F897">
        <v>39353606</v>
      </c>
      <c r="G897">
        <v>39353623</v>
      </c>
      <c r="H897">
        <v>39353606</v>
      </c>
      <c r="I897">
        <v>39353623</v>
      </c>
    </row>
    <row r="898" spans="1:9" x14ac:dyDescent="0.2">
      <c r="A898" s="1" t="str">
        <f>"APOBEC3B"</f>
        <v>APOBEC3B</v>
      </c>
      <c r="B898" t="s">
        <v>14</v>
      </c>
      <c r="C898" t="s">
        <v>21</v>
      </c>
      <c r="D898" t="s">
        <v>17</v>
      </c>
      <c r="E898" t="s">
        <v>12</v>
      </c>
      <c r="F898">
        <v>39378375</v>
      </c>
      <c r="G898">
        <v>39378428</v>
      </c>
      <c r="H898">
        <v>39378346</v>
      </c>
      <c r="I898">
        <v>39378366</v>
      </c>
    </row>
    <row r="899" spans="1:9" x14ac:dyDescent="0.2">
      <c r="A899" s="1" t="str">
        <f>"APOBEC3C"</f>
        <v>APOBEC3C</v>
      </c>
      <c r="B899" t="s">
        <v>14</v>
      </c>
      <c r="C899" t="s">
        <v>21</v>
      </c>
      <c r="D899" t="s">
        <v>17</v>
      </c>
      <c r="E899" t="s">
        <v>12</v>
      </c>
      <c r="F899">
        <v>39410254</v>
      </c>
      <c r="G899">
        <v>39410273</v>
      </c>
      <c r="H899">
        <v>39410287</v>
      </c>
      <c r="I899">
        <v>39410302</v>
      </c>
    </row>
    <row r="900" spans="1:9" x14ac:dyDescent="0.2">
      <c r="A900" s="1" t="str">
        <f>"APOBEC3D"</f>
        <v>APOBEC3D</v>
      </c>
      <c r="B900" t="s">
        <v>14</v>
      </c>
      <c r="C900" t="s">
        <v>21</v>
      </c>
      <c r="D900" t="s">
        <v>17</v>
      </c>
      <c r="E900" t="s">
        <v>67</v>
      </c>
      <c r="F900">
        <v>39410254</v>
      </c>
      <c r="G900">
        <v>39410273</v>
      </c>
      <c r="H900">
        <v>39410287</v>
      </c>
      <c r="I900">
        <v>39410302</v>
      </c>
    </row>
    <row r="901" spans="1:9" x14ac:dyDescent="0.2">
      <c r="A901" s="1" t="str">
        <f>"APOBEC3F"</f>
        <v>APOBEC3F</v>
      </c>
      <c r="B901" t="s">
        <v>14</v>
      </c>
      <c r="C901" t="s">
        <v>21</v>
      </c>
      <c r="D901" t="s">
        <v>17</v>
      </c>
      <c r="E901" t="s">
        <v>12</v>
      </c>
      <c r="F901">
        <v>39436868</v>
      </c>
      <c r="G901">
        <v>39436890</v>
      </c>
      <c r="H901">
        <v>39436868</v>
      </c>
      <c r="I901">
        <v>39436890</v>
      </c>
    </row>
    <row r="902" spans="1:9" x14ac:dyDescent="0.2">
      <c r="A902" s="1" t="str">
        <f>"APOBEC3G"</f>
        <v>APOBEC3G</v>
      </c>
      <c r="B902" t="s">
        <v>14</v>
      </c>
      <c r="C902" t="s">
        <v>21</v>
      </c>
      <c r="D902" t="s">
        <v>17</v>
      </c>
      <c r="E902" t="s">
        <v>12</v>
      </c>
      <c r="F902">
        <v>39473269</v>
      </c>
      <c r="G902">
        <v>39473296</v>
      </c>
      <c r="H902">
        <v>39473269</v>
      </c>
      <c r="I902">
        <v>39473296</v>
      </c>
    </row>
    <row r="903" spans="1:9" x14ac:dyDescent="0.2">
      <c r="A903" s="1" t="str">
        <f>"APOBEC3H"</f>
        <v>APOBEC3H</v>
      </c>
      <c r="B903" t="s">
        <v>14</v>
      </c>
      <c r="C903" t="s">
        <v>21</v>
      </c>
      <c r="D903" t="s">
        <v>17</v>
      </c>
      <c r="E903" t="s">
        <v>12</v>
      </c>
      <c r="F903">
        <v>39493268</v>
      </c>
      <c r="G903">
        <v>39493317</v>
      </c>
      <c r="H903">
        <v>39493235</v>
      </c>
      <c r="I903">
        <v>39493261</v>
      </c>
    </row>
    <row r="904" spans="1:9" x14ac:dyDescent="0.2">
      <c r="A904" s="1" t="str">
        <f>"APOBEC4"</f>
        <v>APOBEC4</v>
      </c>
      <c r="B904" t="s">
        <v>14</v>
      </c>
      <c r="C904" t="s">
        <v>19</v>
      </c>
      <c r="D904" t="s">
        <v>11</v>
      </c>
      <c r="E904" t="s">
        <v>12</v>
      </c>
      <c r="F904">
        <v>183622442</v>
      </c>
      <c r="G904">
        <v>183622457</v>
      </c>
      <c r="H904">
        <v>183622423</v>
      </c>
      <c r="I904">
        <v>183622434</v>
      </c>
    </row>
    <row r="905" spans="1:9" x14ac:dyDescent="0.2">
      <c r="A905" s="1" t="str">
        <f>"APOBR"</f>
        <v>APOBR</v>
      </c>
      <c r="B905" t="s">
        <v>9</v>
      </c>
      <c r="C905" t="s">
        <v>31</v>
      </c>
      <c r="D905" t="s">
        <v>17</v>
      </c>
      <c r="E905" t="s">
        <v>12</v>
      </c>
      <c r="F905">
        <v>28505955</v>
      </c>
      <c r="G905">
        <v>28506001</v>
      </c>
      <c r="H905">
        <v>28505955</v>
      </c>
      <c r="I905">
        <v>28506001</v>
      </c>
    </row>
    <row r="906" spans="1:9" x14ac:dyDescent="0.2">
      <c r="A906" s="1" t="str">
        <f>"APOBR"</f>
        <v>APOBR</v>
      </c>
      <c r="B906" t="s">
        <v>13</v>
      </c>
      <c r="C906" t="s">
        <v>31</v>
      </c>
      <c r="D906" t="s">
        <v>17</v>
      </c>
      <c r="E906" t="s">
        <v>12</v>
      </c>
      <c r="F906">
        <v>28508394</v>
      </c>
      <c r="G906">
        <v>28508405</v>
      </c>
      <c r="H906">
        <v>28508394</v>
      </c>
      <c r="I906">
        <v>28508405</v>
      </c>
    </row>
    <row r="907" spans="1:9" x14ac:dyDescent="0.2">
      <c r="A907" s="1" t="str">
        <f>"APOC1"</f>
        <v>APOC1</v>
      </c>
      <c r="B907" t="s">
        <v>14</v>
      </c>
      <c r="C907" t="s">
        <v>10</v>
      </c>
      <c r="D907" t="s">
        <v>17</v>
      </c>
      <c r="E907" t="s">
        <v>12</v>
      </c>
      <c r="F907">
        <v>45417574</v>
      </c>
      <c r="G907">
        <v>45417589</v>
      </c>
      <c r="H907">
        <v>45417848</v>
      </c>
      <c r="I907">
        <v>45417869</v>
      </c>
    </row>
    <row r="908" spans="1:9" x14ac:dyDescent="0.2">
      <c r="A908" s="1" t="str">
        <f>"APOC2"</f>
        <v>APOC2</v>
      </c>
      <c r="B908" t="s">
        <v>14</v>
      </c>
      <c r="C908" t="s">
        <v>10</v>
      </c>
      <c r="D908" t="s">
        <v>17</v>
      </c>
      <c r="E908" t="s">
        <v>12</v>
      </c>
      <c r="F908">
        <v>45449301</v>
      </c>
      <c r="G908">
        <v>45449313</v>
      </c>
      <c r="H908">
        <v>45449266</v>
      </c>
      <c r="I908">
        <v>45449297</v>
      </c>
    </row>
    <row r="909" spans="1:9" x14ac:dyDescent="0.2">
      <c r="A909" s="1" t="str">
        <f>"APOC3"</f>
        <v>APOC3</v>
      </c>
      <c r="B909" t="s">
        <v>14</v>
      </c>
      <c r="C909" t="s">
        <v>27</v>
      </c>
      <c r="D909" t="s">
        <v>17</v>
      </c>
      <c r="E909" t="s">
        <v>12</v>
      </c>
      <c r="F909">
        <v>116700614</v>
      </c>
      <c r="G909">
        <v>116700631</v>
      </c>
      <c r="H909">
        <v>116700600</v>
      </c>
      <c r="I909">
        <v>116700613</v>
      </c>
    </row>
    <row r="910" spans="1:9" x14ac:dyDescent="0.2">
      <c r="A910" s="1" t="str">
        <f>"APOC4"</f>
        <v>APOC4</v>
      </c>
      <c r="B910" t="s">
        <v>14</v>
      </c>
      <c r="C910" t="s">
        <v>10</v>
      </c>
      <c r="D910" t="s">
        <v>17</v>
      </c>
      <c r="E910" t="s">
        <v>12</v>
      </c>
      <c r="F910">
        <v>45445491</v>
      </c>
      <c r="G910">
        <v>45445511</v>
      </c>
      <c r="H910">
        <v>45445524</v>
      </c>
      <c r="I910">
        <v>45445537</v>
      </c>
    </row>
    <row r="911" spans="1:9" x14ac:dyDescent="0.2">
      <c r="A911" s="1" t="str">
        <f>"APOD"</f>
        <v>APOD</v>
      </c>
      <c r="B911" t="s">
        <v>14</v>
      </c>
      <c r="C911" t="s">
        <v>22</v>
      </c>
      <c r="D911" t="s">
        <v>11</v>
      </c>
      <c r="E911" t="s">
        <v>12</v>
      </c>
      <c r="F911">
        <v>195310802</v>
      </c>
      <c r="G911">
        <v>195310818</v>
      </c>
      <c r="H911">
        <v>195310831</v>
      </c>
      <c r="I911">
        <v>195310845</v>
      </c>
    </row>
    <row r="912" spans="1:9" x14ac:dyDescent="0.2">
      <c r="A912" s="1" t="str">
        <f>"APOE"</f>
        <v>APOE</v>
      </c>
      <c r="B912" t="s">
        <v>14</v>
      </c>
      <c r="C912" t="s">
        <v>10</v>
      </c>
      <c r="D912" t="s">
        <v>17</v>
      </c>
      <c r="E912" t="s">
        <v>12</v>
      </c>
      <c r="F912">
        <v>45409042</v>
      </c>
      <c r="G912">
        <v>45409061</v>
      </c>
      <c r="H912">
        <v>45409042</v>
      </c>
      <c r="I912">
        <v>45409061</v>
      </c>
    </row>
    <row r="913" spans="1:9" x14ac:dyDescent="0.2">
      <c r="A913" s="1" t="str">
        <f>"APOF"</f>
        <v>APOF</v>
      </c>
      <c r="B913" t="s">
        <v>14</v>
      </c>
      <c r="C913" t="s">
        <v>16</v>
      </c>
      <c r="D913" t="s">
        <v>11</v>
      </c>
      <c r="E913" t="s">
        <v>12</v>
      </c>
      <c r="F913">
        <v>56756553</v>
      </c>
      <c r="G913">
        <v>56756620</v>
      </c>
      <c r="H913">
        <v>56756635</v>
      </c>
      <c r="I913">
        <v>56756646</v>
      </c>
    </row>
    <row r="914" spans="1:9" x14ac:dyDescent="0.2">
      <c r="A914" s="1" t="str">
        <f>"APOH"</f>
        <v>APOH</v>
      </c>
      <c r="B914" t="s">
        <v>9</v>
      </c>
      <c r="C914" t="s">
        <v>28</v>
      </c>
      <c r="D914" t="s">
        <v>11</v>
      </c>
      <c r="E914" t="s">
        <v>12</v>
      </c>
      <c r="F914">
        <v>64225508</v>
      </c>
      <c r="G914">
        <v>64225539</v>
      </c>
      <c r="H914">
        <v>64225508</v>
      </c>
      <c r="I914">
        <v>64225539</v>
      </c>
    </row>
    <row r="915" spans="1:9" x14ac:dyDescent="0.2">
      <c r="A915" s="1" t="str">
        <f>"APOH"</f>
        <v>APOH</v>
      </c>
      <c r="B915" t="s">
        <v>13</v>
      </c>
      <c r="C915" t="s">
        <v>28</v>
      </c>
      <c r="D915" t="s">
        <v>11</v>
      </c>
      <c r="E915" t="s">
        <v>12</v>
      </c>
      <c r="F915">
        <v>64224174</v>
      </c>
      <c r="G915">
        <v>64224204</v>
      </c>
      <c r="H915">
        <v>64224174</v>
      </c>
      <c r="I915">
        <v>64224204</v>
      </c>
    </row>
    <row r="916" spans="1:9" x14ac:dyDescent="0.2">
      <c r="A916" s="1" t="str">
        <f>"APOL1"</f>
        <v>APOL1</v>
      </c>
      <c r="B916" t="s">
        <v>14</v>
      </c>
      <c r="C916" t="s">
        <v>21</v>
      </c>
      <c r="D916" t="s">
        <v>17</v>
      </c>
      <c r="E916" t="s">
        <v>12</v>
      </c>
      <c r="F916">
        <v>36649170</v>
      </c>
      <c r="G916">
        <v>36649187</v>
      </c>
      <c r="H916">
        <v>36649118</v>
      </c>
      <c r="I916">
        <v>36649164</v>
      </c>
    </row>
    <row r="917" spans="1:9" x14ac:dyDescent="0.2">
      <c r="A917" s="1" t="str">
        <f>"APOL2"</f>
        <v>APOL2</v>
      </c>
      <c r="B917" t="s">
        <v>14</v>
      </c>
      <c r="C917" t="s">
        <v>21</v>
      </c>
      <c r="D917" t="s">
        <v>11</v>
      </c>
      <c r="E917" t="s">
        <v>12</v>
      </c>
      <c r="F917">
        <v>36635563</v>
      </c>
      <c r="G917">
        <v>36635581</v>
      </c>
      <c r="H917">
        <v>36635598</v>
      </c>
      <c r="I917">
        <v>36635639</v>
      </c>
    </row>
    <row r="918" spans="1:9" x14ac:dyDescent="0.2">
      <c r="A918" s="1" t="str">
        <f>"APOL3"</f>
        <v>APOL3</v>
      </c>
      <c r="B918" t="s">
        <v>14</v>
      </c>
      <c r="C918" t="s">
        <v>21</v>
      </c>
      <c r="D918" t="s">
        <v>11</v>
      </c>
      <c r="E918" t="s">
        <v>12</v>
      </c>
      <c r="F918">
        <v>36556793</v>
      </c>
      <c r="G918">
        <v>36556811</v>
      </c>
      <c r="H918">
        <v>36556821</v>
      </c>
      <c r="I918">
        <v>36556864</v>
      </c>
    </row>
    <row r="919" spans="1:9" x14ac:dyDescent="0.2">
      <c r="A919" s="1" t="str">
        <f>"APOL4"</f>
        <v>APOL4</v>
      </c>
      <c r="B919" t="s">
        <v>14</v>
      </c>
      <c r="C919" t="s">
        <v>21</v>
      </c>
      <c r="D919" t="s">
        <v>11</v>
      </c>
      <c r="E919" t="s">
        <v>12</v>
      </c>
      <c r="F919">
        <v>36597844</v>
      </c>
      <c r="G919">
        <v>36597885</v>
      </c>
      <c r="H919">
        <v>36597895</v>
      </c>
      <c r="I919">
        <v>36597917</v>
      </c>
    </row>
    <row r="920" spans="1:9" x14ac:dyDescent="0.2">
      <c r="A920" s="1" t="str">
        <f>"APOL5"</f>
        <v>APOL5</v>
      </c>
      <c r="B920" t="s">
        <v>82</v>
      </c>
      <c r="C920" t="s">
        <v>21</v>
      </c>
      <c r="D920" t="s">
        <v>17</v>
      </c>
      <c r="E920" t="s">
        <v>20</v>
      </c>
      <c r="F920">
        <v>36113918</v>
      </c>
      <c r="G920">
        <v>36113918</v>
      </c>
      <c r="H920">
        <v>36113918</v>
      </c>
      <c r="I920">
        <v>36113918</v>
      </c>
    </row>
    <row r="921" spans="1:9" x14ac:dyDescent="0.2">
      <c r="A921" s="1" t="str">
        <f>"APOL6"</f>
        <v>APOL6</v>
      </c>
      <c r="B921" t="s">
        <v>14</v>
      </c>
      <c r="C921" t="s">
        <v>21</v>
      </c>
      <c r="D921" t="s">
        <v>17</v>
      </c>
      <c r="E921" t="s">
        <v>12</v>
      </c>
      <c r="F921">
        <v>36044517</v>
      </c>
      <c r="G921">
        <v>36044582</v>
      </c>
      <c r="H921">
        <v>36044485</v>
      </c>
      <c r="I921">
        <v>36044505</v>
      </c>
    </row>
    <row r="922" spans="1:9" x14ac:dyDescent="0.2">
      <c r="A922" s="1" t="str">
        <f>"APOLD1"</f>
        <v>APOLD1</v>
      </c>
      <c r="B922" t="s">
        <v>14</v>
      </c>
      <c r="C922" t="s">
        <v>16</v>
      </c>
      <c r="D922" t="s">
        <v>17</v>
      </c>
      <c r="E922" t="s">
        <v>12</v>
      </c>
      <c r="F922">
        <v>12938586</v>
      </c>
      <c r="G922">
        <v>12938600</v>
      </c>
      <c r="H922">
        <v>12938586</v>
      </c>
      <c r="I922">
        <v>12938600</v>
      </c>
    </row>
    <row r="923" spans="1:9" x14ac:dyDescent="0.2">
      <c r="A923" s="1" t="str">
        <f>"APOM"</f>
        <v>APOM</v>
      </c>
      <c r="B923" t="s">
        <v>14</v>
      </c>
      <c r="C923" t="s">
        <v>32</v>
      </c>
      <c r="D923" t="s">
        <v>17</v>
      </c>
      <c r="E923" t="s">
        <v>12</v>
      </c>
      <c r="F923">
        <v>31620191</v>
      </c>
      <c r="G923">
        <v>31620238</v>
      </c>
      <c r="H923">
        <v>31620191</v>
      </c>
      <c r="I923">
        <v>31620238</v>
      </c>
    </row>
    <row r="924" spans="1:9" x14ac:dyDescent="0.2">
      <c r="A924" s="1" t="str">
        <f>"APOO"</f>
        <v>APOO</v>
      </c>
      <c r="B924" t="s">
        <v>14</v>
      </c>
      <c r="C924" t="s">
        <v>37</v>
      </c>
      <c r="D924" t="s">
        <v>11</v>
      </c>
      <c r="E924" t="s">
        <v>12</v>
      </c>
      <c r="F924">
        <v>23926004</v>
      </c>
      <c r="G924">
        <v>23926072</v>
      </c>
      <c r="H924">
        <v>23925830</v>
      </c>
      <c r="I924">
        <v>23925856</v>
      </c>
    </row>
    <row r="925" spans="1:9" x14ac:dyDescent="0.2">
      <c r="A925" s="1" t="str">
        <f>"APOOL"</f>
        <v>APOOL</v>
      </c>
      <c r="B925" t="s">
        <v>14</v>
      </c>
      <c r="C925" t="s">
        <v>37</v>
      </c>
      <c r="D925" t="s">
        <v>17</v>
      </c>
      <c r="E925" t="s">
        <v>12</v>
      </c>
      <c r="F925">
        <v>84258868</v>
      </c>
      <c r="G925">
        <v>84258915</v>
      </c>
      <c r="H925">
        <v>84258868</v>
      </c>
      <c r="I925">
        <v>84258915</v>
      </c>
    </row>
    <row r="926" spans="1:9" x14ac:dyDescent="0.2">
      <c r="A926" s="1" t="str">
        <f>"APOPT1"</f>
        <v>APOPT1</v>
      </c>
      <c r="B926" t="s">
        <v>14</v>
      </c>
      <c r="C926" t="s">
        <v>41</v>
      </c>
      <c r="D926" t="s">
        <v>17</v>
      </c>
      <c r="E926" t="s">
        <v>12</v>
      </c>
      <c r="F926">
        <v>104029278</v>
      </c>
      <c r="G926">
        <v>104029344</v>
      </c>
      <c r="H926">
        <v>104029519</v>
      </c>
      <c r="I926">
        <v>104029555</v>
      </c>
    </row>
    <row r="927" spans="1:9" x14ac:dyDescent="0.2">
      <c r="A927" s="1" t="str">
        <f>"APP"</f>
        <v>APP</v>
      </c>
      <c r="B927" t="s">
        <v>14</v>
      </c>
      <c r="C927" t="s">
        <v>42</v>
      </c>
      <c r="D927" t="s">
        <v>11</v>
      </c>
      <c r="E927" t="s">
        <v>12</v>
      </c>
      <c r="F927">
        <v>27543073</v>
      </c>
      <c r="G927">
        <v>27543094</v>
      </c>
      <c r="H927">
        <v>27543073</v>
      </c>
      <c r="I927">
        <v>27543094</v>
      </c>
    </row>
    <row r="928" spans="1:9" x14ac:dyDescent="0.2">
      <c r="A928" s="1" t="str">
        <f>"APPBP2"</f>
        <v>APPBP2</v>
      </c>
      <c r="B928" t="s">
        <v>14</v>
      </c>
      <c r="C928" t="s">
        <v>28</v>
      </c>
      <c r="D928" t="s">
        <v>11</v>
      </c>
      <c r="E928" t="s">
        <v>12</v>
      </c>
      <c r="F928">
        <v>58603568</v>
      </c>
      <c r="G928">
        <v>58603610</v>
      </c>
      <c r="H928">
        <v>58603528</v>
      </c>
      <c r="I928">
        <v>58603566</v>
      </c>
    </row>
    <row r="929" spans="1:9" x14ac:dyDescent="0.2">
      <c r="A929" s="1" t="str">
        <f>"APPL1"</f>
        <v>APPL1</v>
      </c>
      <c r="B929" t="s">
        <v>14</v>
      </c>
      <c r="C929" t="s">
        <v>22</v>
      </c>
      <c r="D929" t="s">
        <v>17</v>
      </c>
      <c r="E929" t="s">
        <v>12</v>
      </c>
      <c r="F929">
        <v>57261743</v>
      </c>
      <c r="G929">
        <v>57261824</v>
      </c>
      <c r="H929">
        <v>57261860</v>
      </c>
      <c r="I929">
        <v>57261907</v>
      </c>
    </row>
    <row r="930" spans="1:9" x14ac:dyDescent="0.2">
      <c r="A930" s="1" t="str">
        <f>"APPL2"</f>
        <v>APPL2</v>
      </c>
      <c r="B930" t="s">
        <v>14</v>
      </c>
      <c r="C930" t="s">
        <v>16</v>
      </c>
      <c r="D930" t="s">
        <v>11</v>
      </c>
      <c r="E930" t="s">
        <v>12</v>
      </c>
      <c r="F930">
        <v>105629852</v>
      </c>
      <c r="G930">
        <v>105629969</v>
      </c>
      <c r="H930">
        <v>105629982</v>
      </c>
      <c r="I930">
        <v>105630010</v>
      </c>
    </row>
    <row r="931" spans="1:9" x14ac:dyDescent="0.2">
      <c r="A931" s="1" t="str">
        <f>"APRT"</f>
        <v>APRT</v>
      </c>
      <c r="B931" t="s">
        <v>14</v>
      </c>
      <c r="C931" t="s">
        <v>31</v>
      </c>
      <c r="D931" t="s">
        <v>11</v>
      </c>
      <c r="E931" t="s">
        <v>12</v>
      </c>
      <c r="F931">
        <v>88878309</v>
      </c>
      <c r="G931">
        <v>88878362</v>
      </c>
      <c r="H931">
        <v>88878570</v>
      </c>
      <c r="I931">
        <v>88878582</v>
      </c>
    </row>
    <row r="932" spans="1:9" x14ac:dyDescent="0.2">
      <c r="A932" s="1" t="str">
        <f>"APTX"</f>
        <v>APTX</v>
      </c>
      <c r="B932" t="s">
        <v>9</v>
      </c>
      <c r="C932" t="s">
        <v>24</v>
      </c>
      <c r="D932" t="s">
        <v>11</v>
      </c>
      <c r="E932" t="s">
        <v>12</v>
      </c>
      <c r="F932">
        <v>33001567</v>
      </c>
      <c r="G932">
        <v>33001644</v>
      </c>
      <c r="H932">
        <v>33001567</v>
      </c>
      <c r="I932">
        <v>33001644</v>
      </c>
    </row>
    <row r="933" spans="1:9" x14ac:dyDescent="0.2">
      <c r="A933" s="1" t="str">
        <f>"APTX"</f>
        <v>APTX</v>
      </c>
      <c r="B933" t="s">
        <v>13</v>
      </c>
      <c r="C933" t="s">
        <v>24</v>
      </c>
      <c r="D933" t="s">
        <v>11</v>
      </c>
      <c r="E933" t="s">
        <v>12</v>
      </c>
      <c r="F933">
        <v>33025086</v>
      </c>
      <c r="G933">
        <v>33025145</v>
      </c>
      <c r="H933">
        <v>33025086</v>
      </c>
      <c r="I933">
        <v>33025145</v>
      </c>
    </row>
    <row r="934" spans="1:9" x14ac:dyDescent="0.2">
      <c r="A934" s="1" t="str">
        <f>"AQP1"</f>
        <v>AQP1</v>
      </c>
      <c r="B934" t="s">
        <v>83</v>
      </c>
      <c r="C934" t="s">
        <v>33</v>
      </c>
      <c r="D934" t="s">
        <v>17</v>
      </c>
      <c r="E934" t="s">
        <v>20</v>
      </c>
      <c r="F934">
        <v>30893009</v>
      </c>
      <c r="G934">
        <v>30893009</v>
      </c>
      <c r="H934">
        <v>30893009</v>
      </c>
      <c r="I934">
        <v>30893009</v>
      </c>
    </row>
    <row r="935" spans="1:9" x14ac:dyDescent="0.2">
      <c r="A935" s="1" t="str">
        <f>"AQP10"</f>
        <v>AQP10</v>
      </c>
      <c r="B935" t="s">
        <v>14</v>
      </c>
      <c r="C935" t="s">
        <v>19</v>
      </c>
      <c r="D935" t="s">
        <v>17</v>
      </c>
      <c r="E935" t="s">
        <v>12</v>
      </c>
      <c r="F935">
        <v>154293552</v>
      </c>
      <c r="G935">
        <v>154293576</v>
      </c>
      <c r="H935">
        <v>154293584</v>
      </c>
      <c r="I935">
        <v>154293598</v>
      </c>
    </row>
    <row r="936" spans="1:9" x14ac:dyDescent="0.2">
      <c r="A936" s="1" t="str">
        <f>"AQP11"</f>
        <v>AQP11</v>
      </c>
      <c r="B936" t="s">
        <v>14</v>
      </c>
      <c r="C936" t="s">
        <v>27</v>
      </c>
      <c r="D936" t="s">
        <v>17</v>
      </c>
      <c r="E936" t="s">
        <v>12</v>
      </c>
      <c r="F936">
        <v>77300973</v>
      </c>
      <c r="G936">
        <v>77301027</v>
      </c>
      <c r="H936">
        <v>77300669</v>
      </c>
      <c r="I936">
        <v>77300714</v>
      </c>
    </row>
    <row r="937" spans="1:9" x14ac:dyDescent="0.2">
      <c r="A937" s="1" t="str">
        <f>"AQP12A"</f>
        <v>AQP12A</v>
      </c>
      <c r="B937" t="s">
        <v>14</v>
      </c>
      <c r="C937" t="s">
        <v>26</v>
      </c>
      <c r="D937" t="s">
        <v>17</v>
      </c>
      <c r="E937" t="s">
        <v>12</v>
      </c>
      <c r="F937">
        <v>241631278</v>
      </c>
      <c r="G937">
        <v>241631294</v>
      </c>
      <c r="H937">
        <v>241631365</v>
      </c>
      <c r="I937">
        <v>241631371</v>
      </c>
    </row>
    <row r="938" spans="1:9" x14ac:dyDescent="0.2">
      <c r="A938" s="1" t="str">
        <f>"AQP12B"</f>
        <v>AQP12B</v>
      </c>
      <c r="B938" t="s">
        <v>14</v>
      </c>
      <c r="C938" t="s">
        <v>26</v>
      </c>
      <c r="D938" t="s">
        <v>11</v>
      </c>
      <c r="E938" t="s">
        <v>12</v>
      </c>
      <c r="F938">
        <v>241622278</v>
      </c>
      <c r="G938">
        <v>241622327</v>
      </c>
      <c r="H938">
        <v>241622213</v>
      </c>
      <c r="I938">
        <v>241622218</v>
      </c>
    </row>
    <row r="939" spans="1:9" x14ac:dyDescent="0.2">
      <c r="A939" s="1" t="str">
        <f>"AQP2"</f>
        <v>AQP2</v>
      </c>
      <c r="B939" t="s">
        <v>14</v>
      </c>
      <c r="C939" t="s">
        <v>16</v>
      </c>
      <c r="D939" t="s">
        <v>17</v>
      </c>
      <c r="E939" t="s">
        <v>12</v>
      </c>
      <c r="F939">
        <v>50344516</v>
      </c>
      <c r="G939">
        <v>50344532</v>
      </c>
      <c r="H939">
        <v>50344516</v>
      </c>
      <c r="I939">
        <v>50344532</v>
      </c>
    </row>
    <row r="940" spans="1:9" x14ac:dyDescent="0.2">
      <c r="A940" s="1" t="str">
        <f>"AQP3"</f>
        <v>AQP3</v>
      </c>
      <c r="B940" t="s">
        <v>9</v>
      </c>
      <c r="C940" t="s">
        <v>24</v>
      </c>
      <c r="D940" t="s">
        <v>11</v>
      </c>
      <c r="E940" t="s">
        <v>12</v>
      </c>
      <c r="F940">
        <v>33447584</v>
      </c>
      <c r="G940">
        <v>33447600</v>
      </c>
      <c r="H940">
        <v>33447584</v>
      </c>
      <c r="I940">
        <v>33447600</v>
      </c>
    </row>
    <row r="941" spans="1:9" x14ac:dyDescent="0.2">
      <c r="A941" s="1" t="str">
        <f>"AQP3"</f>
        <v>AQP3</v>
      </c>
      <c r="B941" t="s">
        <v>13</v>
      </c>
      <c r="C941" t="s">
        <v>24</v>
      </c>
      <c r="D941" t="s">
        <v>11</v>
      </c>
      <c r="E941" t="s">
        <v>12</v>
      </c>
      <c r="F941">
        <v>33443052</v>
      </c>
      <c r="G941">
        <v>33443089</v>
      </c>
      <c r="H941">
        <v>33443052</v>
      </c>
      <c r="I941">
        <v>33443089</v>
      </c>
    </row>
    <row r="942" spans="1:9" x14ac:dyDescent="0.2">
      <c r="A942" s="1" t="str">
        <f>"AQP4"</f>
        <v>AQP4</v>
      </c>
      <c r="B942" t="s">
        <v>14</v>
      </c>
      <c r="C942" t="s">
        <v>43</v>
      </c>
      <c r="D942" t="s">
        <v>11</v>
      </c>
      <c r="E942" t="s">
        <v>12</v>
      </c>
      <c r="F942">
        <v>24445664</v>
      </c>
      <c r="G942">
        <v>24445679</v>
      </c>
      <c r="H942">
        <v>24445696</v>
      </c>
      <c r="I942">
        <v>24445727</v>
      </c>
    </row>
    <row r="943" spans="1:9" x14ac:dyDescent="0.2">
      <c r="A943" s="1" t="str">
        <f>"AQP5"</f>
        <v>AQP5</v>
      </c>
      <c r="B943" t="s">
        <v>14</v>
      </c>
      <c r="C943" t="s">
        <v>16</v>
      </c>
      <c r="D943" t="s">
        <v>17</v>
      </c>
      <c r="E943" t="s">
        <v>12</v>
      </c>
      <c r="F943">
        <v>50355647</v>
      </c>
      <c r="G943">
        <v>50355661</v>
      </c>
      <c r="H943">
        <v>50355708</v>
      </c>
      <c r="I943">
        <v>50355745</v>
      </c>
    </row>
    <row r="944" spans="1:9" x14ac:dyDescent="0.2">
      <c r="A944" s="1" t="str">
        <f>"AQP6"</f>
        <v>AQP6</v>
      </c>
      <c r="B944" t="s">
        <v>14</v>
      </c>
      <c r="C944" t="s">
        <v>16</v>
      </c>
      <c r="D944" t="s">
        <v>17</v>
      </c>
      <c r="E944" t="s">
        <v>12</v>
      </c>
      <c r="F944">
        <v>50366760</v>
      </c>
      <c r="G944">
        <v>50366775</v>
      </c>
      <c r="H944">
        <v>50366760</v>
      </c>
      <c r="I944">
        <v>50366775</v>
      </c>
    </row>
    <row r="945" spans="1:9" x14ac:dyDescent="0.2">
      <c r="A945" s="1" t="str">
        <f>"AQP7"</f>
        <v>AQP7</v>
      </c>
      <c r="B945" t="s">
        <v>14</v>
      </c>
      <c r="C945" t="s">
        <v>24</v>
      </c>
      <c r="D945" t="s">
        <v>11</v>
      </c>
      <c r="E945" t="s">
        <v>12</v>
      </c>
      <c r="F945">
        <v>33402539</v>
      </c>
      <c r="G945">
        <v>33402569</v>
      </c>
      <c r="H945">
        <v>33402447</v>
      </c>
      <c r="I945">
        <v>33402471</v>
      </c>
    </row>
    <row r="946" spans="1:9" x14ac:dyDescent="0.2">
      <c r="A946" s="1" t="str">
        <f>"AQP8"</f>
        <v>AQP8</v>
      </c>
      <c r="B946" t="s">
        <v>14</v>
      </c>
      <c r="C946" t="s">
        <v>31</v>
      </c>
      <c r="D946" t="s">
        <v>17</v>
      </c>
      <c r="E946" t="s">
        <v>12</v>
      </c>
      <c r="F946">
        <v>25228264</v>
      </c>
      <c r="G946">
        <v>25228273</v>
      </c>
      <c r="H946">
        <v>25228360</v>
      </c>
      <c r="I946">
        <v>25228370</v>
      </c>
    </row>
    <row r="947" spans="1:9" x14ac:dyDescent="0.2">
      <c r="A947" s="1" t="str">
        <f>"AQP9"</f>
        <v>AQP9</v>
      </c>
      <c r="B947" t="s">
        <v>14</v>
      </c>
      <c r="C947" t="s">
        <v>25</v>
      </c>
      <c r="D947" t="s">
        <v>17</v>
      </c>
      <c r="E947" t="s">
        <v>12</v>
      </c>
      <c r="F947">
        <v>58430567</v>
      </c>
      <c r="G947">
        <v>58430589</v>
      </c>
      <c r="H947">
        <v>58430524</v>
      </c>
      <c r="I947">
        <v>58430546</v>
      </c>
    </row>
    <row r="948" spans="1:9" x14ac:dyDescent="0.2">
      <c r="A948" s="1" t="str">
        <f>"AQPEP"</f>
        <v>AQPEP</v>
      </c>
      <c r="B948" t="s">
        <v>14</v>
      </c>
      <c r="C948" t="s">
        <v>46</v>
      </c>
      <c r="D948" t="s">
        <v>17</v>
      </c>
      <c r="E948" t="s">
        <v>12</v>
      </c>
      <c r="F948">
        <v>115298165</v>
      </c>
      <c r="G948">
        <v>115298178</v>
      </c>
      <c r="H948">
        <v>115298145</v>
      </c>
      <c r="I948">
        <v>115298156</v>
      </c>
    </row>
    <row r="949" spans="1:9" x14ac:dyDescent="0.2">
      <c r="A949" s="1" t="str">
        <f>"AQR"</f>
        <v>AQR</v>
      </c>
      <c r="B949" t="s">
        <v>14</v>
      </c>
      <c r="C949" t="s">
        <v>25</v>
      </c>
      <c r="D949" t="s">
        <v>11</v>
      </c>
      <c r="E949" t="s">
        <v>12</v>
      </c>
      <c r="F949">
        <v>35261889</v>
      </c>
      <c r="G949">
        <v>35261969</v>
      </c>
      <c r="H949">
        <v>35261996</v>
      </c>
      <c r="I949">
        <v>35262022</v>
      </c>
    </row>
    <row r="950" spans="1:9" x14ac:dyDescent="0.2">
      <c r="A950" s="1" t="str">
        <f>"AR"</f>
        <v>AR</v>
      </c>
      <c r="B950" t="s">
        <v>14</v>
      </c>
      <c r="C950" t="s">
        <v>37</v>
      </c>
      <c r="D950" t="s">
        <v>17</v>
      </c>
      <c r="E950" t="s">
        <v>12</v>
      </c>
      <c r="F950">
        <v>66763856</v>
      </c>
      <c r="G950">
        <v>66763896</v>
      </c>
      <c r="H950">
        <v>66763815</v>
      </c>
      <c r="I950">
        <v>66763854</v>
      </c>
    </row>
    <row r="951" spans="1:9" x14ac:dyDescent="0.2">
      <c r="A951" s="1" t="str">
        <f>"ARAF"</f>
        <v>ARAF</v>
      </c>
      <c r="B951" t="s">
        <v>14</v>
      </c>
      <c r="C951" t="s">
        <v>37</v>
      </c>
      <c r="D951" t="s">
        <v>17</v>
      </c>
      <c r="E951" t="s">
        <v>12</v>
      </c>
      <c r="F951">
        <v>47420578</v>
      </c>
      <c r="G951">
        <v>47420613</v>
      </c>
      <c r="H951">
        <v>47420578</v>
      </c>
      <c r="I951">
        <v>47420613</v>
      </c>
    </row>
    <row r="952" spans="1:9" x14ac:dyDescent="0.2">
      <c r="A952" s="1" t="str">
        <f>"ARAP1"</f>
        <v>ARAP1</v>
      </c>
      <c r="B952" t="s">
        <v>9</v>
      </c>
      <c r="C952" t="s">
        <v>27</v>
      </c>
      <c r="D952" t="s">
        <v>11</v>
      </c>
      <c r="E952" t="s">
        <v>12</v>
      </c>
      <c r="F952">
        <v>72433346</v>
      </c>
      <c r="G952">
        <v>72433409</v>
      </c>
      <c r="H952">
        <v>72433346</v>
      </c>
      <c r="I952">
        <v>72433409</v>
      </c>
    </row>
    <row r="953" spans="1:9" x14ac:dyDescent="0.2">
      <c r="A953" s="1" t="str">
        <f>"ARAP1"</f>
        <v>ARAP1</v>
      </c>
      <c r="B953" t="s">
        <v>13</v>
      </c>
      <c r="C953" t="s">
        <v>27</v>
      </c>
      <c r="D953" t="s">
        <v>11</v>
      </c>
      <c r="E953" t="s">
        <v>12</v>
      </c>
      <c r="F953">
        <v>72463421</v>
      </c>
      <c r="G953">
        <v>72463482</v>
      </c>
      <c r="H953">
        <v>72463421</v>
      </c>
      <c r="I953">
        <v>72463482</v>
      </c>
    </row>
    <row r="954" spans="1:9" x14ac:dyDescent="0.2">
      <c r="A954" s="1" t="str">
        <f>"ARAP2"</f>
        <v>ARAP2</v>
      </c>
      <c r="B954" t="s">
        <v>14</v>
      </c>
      <c r="C954" t="s">
        <v>23</v>
      </c>
      <c r="D954" t="s">
        <v>11</v>
      </c>
      <c r="E954" t="s">
        <v>12</v>
      </c>
      <c r="F954">
        <v>36246060</v>
      </c>
      <c r="G954">
        <v>36246167</v>
      </c>
      <c r="H954">
        <v>36246391</v>
      </c>
      <c r="I954">
        <v>36246453</v>
      </c>
    </row>
    <row r="955" spans="1:9" x14ac:dyDescent="0.2">
      <c r="A955" s="1" t="str">
        <f>"ARAP3"</f>
        <v>ARAP3</v>
      </c>
      <c r="B955" t="s">
        <v>14</v>
      </c>
      <c r="C955" t="s">
        <v>46</v>
      </c>
      <c r="D955" t="s">
        <v>11</v>
      </c>
      <c r="E955" t="s">
        <v>12</v>
      </c>
      <c r="F955">
        <v>141061777</v>
      </c>
      <c r="G955">
        <v>141061813</v>
      </c>
      <c r="H955">
        <v>141061759</v>
      </c>
      <c r="I955">
        <v>141061776</v>
      </c>
    </row>
    <row r="956" spans="1:9" x14ac:dyDescent="0.2">
      <c r="A956" s="1" t="str">
        <f>"ARC"</f>
        <v>ARC</v>
      </c>
      <c r="B956" t="s">
        <v>14</v>
      </c>
      <c r="C956" t="s">
        <v>30</v>
      </c>
      <c r="D956" t="s">
        <v>11</v>
      </c>
      <c r="E956" t="s">
        <v>12</v>
      </c>
      <c r="F956">
        <v>143695830</v>
      </c>
      <c r="G956">
        <v>143695845</v>
      </c>
      <c r="H956">
        <v>143695830</v>
      </c>
      <c r="I956">
        <v>143695845</v>
      </c>
    </row>
    <row r="957" spans="1:9" x14ac:dyDescent="0.2">
      <c r="A957" s="1" t="str">
        <f>"ARCN1"</f>
        <v>ARCN1</v>
      </c>
      <c r="B957" t="s">
        <v>14</v>
      </c>
      <c r="C957" t="s">
        <v>27</v>
      </c>
      <c r="D957" t="s">
        <v>17</v>
      </c>
      <c r="E957" t="s">
        <v>12</v>
      </c>
      <c r="F957">
        <v>118443098</v>
      </c>
      <c r="G957">
        <v>118443146</v>
      </c>
      <c r="H957">
        <v>118443098</v>
      </c>
      <c r="I957">
        <v>118443146</v>
      </c>
    </row>
    <row r="958" spans="1:9" x14ac:dyDescent="0.2">
      <c r="A958" s="1" t="str">
        <f>"AREG"</f>
        <v>AREG</v>
      </c>
      <c r="B958" t="s">
        <v>14</v>
      </c>
      <c r="C958" t="s">
        <v>23</v>
      </c>
      <c r="D958" t="s">
        <v>17</v>
      </c>
      <c r="E958" t="s">
        <v>12</v>
      </c>
      <c r="F958">
        <v>75311061</v>
      </c>
      <c r="G958">
        <v>75311078</v>
      </c>
      <c r="H958">
        <v>75311061</v>
      </c>
      <c r="I958">
        <v>75311078</v>
      </c>
    </row>
    <row r="959" spans="1:9" x14ac:dyDescent="0.2">
      <c r="A959" s="1" t="str">
        <f>"AREL1"</f>
        <v>AREL1</v>
      </c>
      <c r="B959" t="s">
        <v>14</v>
      </c>
      <c r="C959" t="s">
        <v>41</v>
      </c>
      <c r="D959" t="s">
        <v>11</v>
      </c>
      <c r="E959" t="s">
        <v>12</v>
      </c>
      <c r="F959">
        <v>75179774</v>
      </c>
      <c r="G959">
        <v>75179816</v>
      </c>
      <c r="H959">
        <v>75179774</v>
      </c>
      <c r="I959">
        <v>75179816</v>
      </c>
    </row>
    <row r="960" spans="1:9" x14ac:dyDescent="0.2">
      <c r="A960" s="1" t="str">
        <f>"ARF1"</f>
        <v>ARF1</v>
      </c>
      <c r="B960" t="s">
        <v>14</v>
      </c>
      <c r="C960" t="s">
        <v>19</v>
      </c>
      <c r="D960" t="s">
        <v>17</v>
      </c>
      <c r="E960" t="s">
        <v>12</v>
      </c>
      <c r="F960">
        <v>228270392</v>
      </c>
      <c r="G960">
        <v>228270437</v>
      </c>
      <c r="H960">
        <v>228270784</v>
      </c>
      <c r="I960">
        <v>228270847</v>
      </c>
    </row>
    <row r="961" spans="1:9" x14ac:dyDescent="0.2">
      <c r="A961" s="1" t="str">
        <f>"ARF3"</f>
        <v>ARF3</v>
      </c>
      <c r="B961" t="s">
        <v>14</v>
      </c>
      <c r="C961" t="s">
        <v>16</v>
      </c>
      <c r="D961" t="s">
        <v>11</v>
      </c>
      <c r="E961" t="s">
        <v>12</v>
      </c>
      <c r="F961">
        <v>49351229</v>
      </c>
      <c r="G961">
        <v>49351282</v>
      </c>
      <c r="H961">
        <v>49351191</v>
      </c>
      <c r="I961">
        <v>49351222</v>
      </c>
    </row>
    <row r="962" spans="1:9" x14ac:dyDescent="0.2">
      <c r="A962" s="1" t="str">
        <f>"ARF4"</f>
        <v>ARF4</v>
      </c>
      <c r="B962" t="s">
        <v>14</v>
      </c>
      <c r="C962" t="s">
        <v>22</v>
      </c>
      <c r="D962" t="s">
        <v>11</v>
      </c>
      <c r="E962" t="s">
        <v>12</v>
      </c>
      <c r="F962">
        <v>57583064</v>
      </c>
      <c r="G962">
        <v>57583079</v>
      </c>
      <c r="H962">
        <v>57583085</v>
      </c>
      <c r="I962">
        <v>57583121</v>
      </c>
    </row>
    <row r="963" spans="1:9" x14ac:dyDescent="0.2">
      <c r="A963" s="1" t="str">
        <f>"ARF5"</f>
        <v>ARF5</v>
      </c>
      <c r="B963" t="s">
        <v>9</v>
      </c>
      <c r="C963" t="s">
        <v>33</v>
      </c>
      <c r="D963" t="s">
        <v>17</v>
      </c>
      <c r="E963" t="s">
        <v>12</v>
      </c>
      <c r="F963">
        <v>127228409</v>
      </c>
      <c r="G963">
        <v>127228507</v>
      </c>
      <c r="H963">
        <v>127228409</v>
      </c>
      <c r="I963">
        <v>127228507</v>
      </c>
    </row>
    <row r="964" spans="1:9" x14ac:dyDescent="0.2">
      <c r="A964" s="1" t="str">
        <f>"ARF5"</f>
        <v>ARF5</v>
      </c>
      <c r="B964" t="s">
        <v>13</v>
      </c>
      <c r="C964" t="s">
        <v>33</v>
      </c>
      <c r="D964" t="s">
        <v>17</v>
      </c>
      <c r="E964" t="s">
        <v>12</v>
      </c>
      <c r="F964">
        <v>127229590</v>
      </c>
      <c r="G964">
        <v>127229619</v>
      </c>
      <c r="H964">
        <v>127229590</v>
      </c>
      <c r="I964">
        <v>127229619</v>
      </c>
    </row>
    <row r="965" spans="1:9" x14ac:dyDescent="0.2">
      <c r="A965" s="1" t="str">
        <f>"ARF6"</f>
        <v>ARF6</v>
      </c>
      <c r="B965" t="s">
        <v>9</v>
      </c>
      <c r="C965" t="s">
        <v>41</v>
      </c>
      <c r="D965" t="s">
        <v>17</v>
      </c>
      <c r="E965" t="s">
        <v>12</v>
      </c>
      <c r="F965">
        <v>50359773</v>
      </c>
      <c r="G965">
        <v>50359850</v>
      </c>
      <c r="H965">
        <v>50359773</v>
      </c>
      <c r="I965">
        <v>50359850</v>
      </c>
    </row>
    <row r="966" spans="1:9" x14ac:dyDescent="0.2">
      <c r="A966" s="1" t="str">
        <f>"ARF6"</f>
        <v>ARF6</v>
      </c>
      <c r="B966" t="s">
        <v>13</v>
      </c>
      <c r="C966" t="s">
        <v>41</v>
      </c>
      <c r="D966" t="s">
        <v>17</v>
      </c>
      <c r="E966" t="s">
        <v>12</v>
      </c>
      <c r="F966">
        <v>50361192</v>
      </c>
      <c r="G966">
        <v>50361198</v>
      </c>
      <c r="H966">
        <v>50361192</v>
      </c>
      <c r="I966">
        <v>50361198</v>
      </c>
    </row>
    <row r="967" spans="1:9" x14ac:dyDescent="0.2">
      <c r="A967" s="1" t="str">
        <f>"ARFGAP1"</f>
        <v>ARFGAP1</v>
      </c>
      <c r="B967" t="s">
        <v>14</v>
      </c>
      <c r="C967" t="s">
        <v>29</v>
      </c>
      <c r="D967" t="s">
        <v>17</v>
      </c>
      <c r="E967" t="s">
        <v>12</v>
      </c>
      <c r="F967">
        <v>61904141</v>
      </c>
      <c r="G967">
        <v>61904192</v>
      </c>
      <c r="H967">
        <v>61904199</v>
      </c>
      <c r="I967">
        <v>61904215</v>
      </c>
    </row>
    <row r="968" spans="1:9" x14ac:dyDescent="0.2">
      <c r="A968" s="1" t="str">
        <f>"ARFGAP2"</f>
        <v>ARFGAP2</v>
      </c>
      <c r="B968" t="s">
        <v>14</v>
      </c>
      <c r="C968" t="s">
        <v>27</v>
      </c>
      <c r="D968" t="s">
        <v>11</v>
      </c>
      <c r="E968" t="s">
        <v>12</v>
      </c>
      <c r="F968">
        <v>47198402</v>
      </c>
      <c r="G968">
        <v>47198448</v>
      </c>
      <c r="H968">
        <v>47198402</v>
      </c>
      <c r="I968">
        <v>47198448</v>
      </c>
    </row>
    <row r="969" spans="1:9" x14ac:dyDescent="0.2">
      <c r="A969" s="1" t="str">
        <f>"ARFGAP3"</f>
        <v>ARFGAP3</v>
      </c>
      <c r="B969" t="s">
        <v>14</v>
      </c>
      <c r="C969" t="s">
        <v>21</v>
      </c>
      <c r="D969" t="s">
        <v>11</v>
      </c>
      <c r="E969" t="s">
        <v>12</v>
      </c>
      <c r="F969">
        <v>43253189</v>
      </c>
      <c r="G969">
        <v>43253317</v>
      </c>
      <c r="H969">
        <v>43253189</v>
      </c>
      <c r="I969">
        <v>43253317</v>
      </c>
    </row>
    <row r="970" spans="1:9" x14ac:dyDescent="0.2">
      <c r="A970" s="1" t="str">
        <f>"ARFGEF1"</f>
        <v>ARFGEF1</v>
      </c>
      <c r="B970" t="s">
        <v>14</v>
      </c>
      <c r="C970" t="s">
        <v>30</v>
      </c>
      <c r="D970" t="s">
        <v>11</v>
      </c>
      <c r="E970" t="s">
        <v>12</v>
      </c>
      <c r="F970">
        <v>68256003</v>
      </c>
      <c r="G970">
        <v>68256034</v>
      </c>
      <c r="H970">
        <v>68255564</v>
      </c>
      <c r="I970">
        <v>68255643</v>
      </c>
    </row>
    <row r="971" spans="1:9" x14ac:dyDescent="0.2">
      <c r="A971" s="1" t="str">
        <f>"ARFGEF2"</f>
        <v>ARFGEF2</v>
      </c>
      <c r="B971" t="s">
        <v>14</v>
      </c>
      <c r="C971" t="s">
        <v>29</v>
      </c>
      <c r="D971" t="s">
        <v>17</v>
      </c>
      <c r="E971" t="s">
        <v>12</v>
      </c>
      <c r="F971">
        <v>47538238</v>
      </c>
      <c r="G971">
        <v>47538278</v>
      </c>
      <c r="H971">
        <v>47538291</v>
      </c>
      <c r="I971">
        <v>47538305</v>
      </c>
    </row>
    <row r="972" spans="1:9" x14ac:dyDescent="0.2">
      <c r="A972" s="1" t="str">
        <f>"ARFIP1"</f>
        <v>ARFIP1</v>
      </c>
      <c r="B972" t="s">
        <v>14</v>
      </c>
      <c r="C972" t="s">
        <v>23</v>
      </c>
      <c r="D972" t="s">
        <v>17</v>
      </c>
      <c r="E972" t="s">
        <v>12</v>
      </c>
      <c r="F972">
        <v>153701081</v>
      </c>
      <c r="G972">
        <v>153701164</v>
      </c>
      <c r="H972">
        <v>153701081</v>
      </c>
      <c r="I972">
        <v>153701164</v>
      </c>
    </row>
    <row r="973" spans="1:9" x14ac:dyDescent="0.2">
      <c r="A973" s="1" t="str">
        <f>"ARFIP2"</f>
        <v>ARFIP2</v>
      </c>
      <c r="B973" t="s">
        <v>14</v>
      </c>
      <c r="C973" t="s">
        <v>27</v>
      </c>
      <c r="D973" t="s">
        <v>11</v>
      </c>
      <c r="E973" t="s">
        <v>12</v>
      </c>
      <c r="F973">
        <v>6502534</v>
      </c>
      <c r="G973">
        <v>6502579</v>
      </c>
      <c r="H973">
        <v>6502580</v>
      </c>
      <c r="I973">
        <v>6502592</v>
      </c>
    </row>
    <row r="974" spans="1:9" x14ac:dyDescent="0.2">
      <c r="A974" s="1" t="str">
        <f>"ARFRP1"</f>
        <v>ARFRP1</v>
      </c>
      <c r="B974" t="s">
        <v>14</v>
      </c>
      <c r="C974" t="s">
        <v>29</v>
      </c>
      <c r="D974" t="s">
        <v>11</v>
      </c>
      <c r="E974" t="s">
        <v>12</v>
      </c>
      <c r="F974">
        <v>62339212</v>
      </c>
      <c r="G974">
        <v>62339290</v>
      </c>
      <c r="H974">
        <v>62339315</v>
      </c>
      <c r="I974">
        <v>62339375</v>
      </c>
    </row>
    <row r="975" spans="1:9" x14ac:dyDescent="0.2">
      <c r="A975" s="1" t="str">
        <f>"ARG1"</f>
        <v>ARG1</v>
      </c>
      <c r="B975" t="s">
        <v>14</v>
      </c>
      <c r="C975" t="s">
        <v>32</v>
      </c>
      <c r="D975" t="s">
        <v>17</v>
      </c>
      <c r="E975" t="s">
        <v>12</v>
      </c>
      <c r="F975">
        <v>131894359</v>
      </c>
      <c r="G975">
        <v>131894378</v>
      </c>
      <c r="H975">
        <v>131894309</v>
      </c>
      <c r="I975">
        <v>131894310</v>
      </c>
    </row>
    <row r="976" spans="1:9" x14ac:dyDescent="0.2">
      <c r="A976" s="1" t="str">
        <f>"ARG2"</f>
        <v>ARG2</v>
      </c>
      <c r="B976" t="s">
        <v>14</v>
      </c>
      <c r="C976" t="s">
        <v>41</v>
      </c>
      <c r="D976" t="s">
        <v>17</v>
      </c>
      <c r="E976" t="s">
        <v>12</v>
      </c>
      <c r="F976">
        <v>68086629</v>
      </c>
      <c r="G976">
        <v>68086644</v>
      </c>
      <c r="H976">
        <v>68086586</v>
      </c>
      <c r="I976">
        <v>68086595</v>
      </c>
    </row>
    <row r="977" spans="1:9" x14ac:dyDescent="0.2">
      <c r="A977" s="1" t="str">
        <f>"ARGFX"</f>
        <v>ARGFX</v>
      </c>
      <c r="B977" t="s">
        <v>14</v>
      </c>
      <c r="C977" t="s">
        <v>22</v>
      </c>
      <c r="D977" t="s">
        <v>17</v>
      </c>
      <c r="E977" t="s">
        <v>12</v>
      </c>
      <c r="F977">
        <v>121286771</v>
      </c>
      <c r="G977">
        <v>121286805</v>
      </c>
      <c r="H977">
        <v>121286771</v>
      </c>
      <c r="I977">
        <v>121286805</v>
      </c>
    </row>
    <row r="978" spans="1:9" x14ac:dyDescent="0.2">
      <c r="A978" s="1" t="str">
        <f>"ARGLU1"</f>
        <v>ARGLU1</v>
      </c>
      <c r="B978" t="s">
        <v>14</v>
      </c>
      <c r="C978" t="s">
        <v>39</v>
      </c>
      <c r="D978" t="s">
        <v>11</v>
      </c>
      <c r="E978" t="s">
        <v>12</v>
      </c>
      <c r="F978">
        <v>107220455</v>
      </c>
      <c r="G978">
        <v>107220517</v>
      </c>
      <c r="H978">
        <v>107220455</v>
      </c>
      <c r="I978">
        <v>107220517</v>
      </c>
    </row>
    <row r="979" spans="1:9" x14ac:dyDescent="0.2">
      <c r="A979" s="1" t="str">
        <f>"ARHGAP1"</f>
        <v>ARHGAP1</v>
      </c>
      <c r="B979" t="s">
        <v>14</v>
      </c>
      <c r="C979" t="s">
        <v>27</v>
      </c>
      <c r="D979" t="s">
        <v>11</v>
      </c>
      <c r="E979" t="s">
        <v>12</v>
      </c>
      <c r="F979">
        <v>46722117</v>
      </c>
      <c r="G979">
        <v>46722183</v>
      </c>
      <c r="H979">
        <v>46722117</v>
      </c>
      <c r="I979">
        <v>46722183</v>
      </c>
    </row>
    <row r="980" spans="1:9" x14ac:dyDescent="0.2">
      <c r="A980" s="1" t="str">
        <f>"ARHGAP10"</f>
        <v>ARHGAP10</v>
      </c>
      <c r="B980" t="s">
        <v>14</v>
      </c>
      <c r="C980" t="s">
        <v>23</v>
      </c>
      <c r="D980" t="s">
        <v>17</v>
      </c>
      <c r="E980" t="s">
        <v>12</v>
      </c>
      <c r="F980">
        <v>148653221</v>
      </c>
      <c r="G980">
        <v>148653295</v>
      </c>
      <c r="H980">
        <v>148653206</v>
      </c>
      <c r="I980">
        <v>148653219</v>
      </c>
    </row>
    <row r="981" spans="1:9" x14ac:dyDescent="0.2">
      <c r="A981" s="1" t="str">
        <f>"ARHGAP11A"</f>
        <v>ARHGAP11A</v>
      </c>
      <c r="B981" t="s">
        <v>14</v>
      </c>
      <c r="C981" t="s">
        <v>25</v>
      </c>
      <c r="D981" t="s">
        <v>17</v>
      </c>
      <c r="E981" t="s">
        <v>12</v>
      </c>
      <c r="F981">
        <v>32907702</v>
      </c>
      <c r="G981">
        <v>32907729</v>
      </c>
      <c r="H981">
        <v>32908043</v>
      </c>
      <c r="I981">
        <v>32908070</v>
      </c>
    </row>
    <row r="982" spans="1:9" x14ac:dyDescent="0.2">
      <c r="A982" s="1" t="str">
        <f>"ARHGAP11B"</f>
        <v>ARHGAP11B</v>
      </c>
      <c r="B982" t="s">
        <v>14</v>
      </c>
      <c r="C982" t="s">
        <v>25</v>
      </c>
      <c r="D982" t="s">
        <v>17</v>
      </c>
      <c r="E982" t="s">
        <v>12</v>
      </c>
      <c r="F982">
        <v>30918317</v>
      </c>
      <c r="G982">
        <v>30918350</v>
      </c>
      <c r="H982">
        <v>30918262</v>
      </c>
      <c r="I982">
        <v>30918278</v>
      </c>
    </row>
    <row r="983" spans="1:9" x14ac:dyDescent="0.2">
      <c r="A983" s="1" t="str">
        <f>"ARHGAP12"</f>
        <v>ARHGAP12</v>
      </c>
      <c r="B983" t="s">
        <v>14</v>
      </c>
      <c r="C983" t="s">
        <v>15</v>
      </c>
      <c r="D983" t="s">
        <v>11</v>
      </c>
      <c r="E983" t="s">
        <v>12</v>
      </c>
      <c r="F983">
        <v>32217717</v>
      </c>
      <c r="G983">
        <v>32217781</v>
      </c>
      <c r="H983">
        <v>32217700</v>
      </c>
      <c r="I983">
        <v>32217713</v>
      </c>
    </row>
    <row r="984" spans="1:9" x14ac:dyDescent="0.2">
      <c r="A984" s="1" t="str">
        <f>"ARHGAP15"</f>
        <v>ARHGAP15</v>
      </c>
      <c r="B984" t="s">
        <v>14</v>
      </c>
      <c r="C984" t="s">
        <v>26</v>
      </c>
      <c r="D984" t="s">
        <v>17</v>
      </c>
      <c r="E984" t="s">
        <v>12</v>
      </c>
      <c r="F984">
        <v>143886949</v>
      </c>
      <c r="G984">
        <v>143886997</v>
      </c>
      <c r="H984">
        <v>143886909</v>
      </c>
      <c r="I984">
        <v>143886922</v>
      </c>
    </row>
    <row r="985" spans="1:9" x14ac:dyDescent="0.2">
      <c r="A985" s="1" t="str">
        <f>"ARHGAP17"</f>
        <v>ARHGAP17</v>
      </c>
      <c r="B985" t="s">
        <v>14</v>
      </c>
      <c r="C985" t="s">
        <v>31</v>
      </c>
      <c r="D985" t="s">
        <v>11</v>
      </c>
      <c r="E985" t="s">
        <v>12</v>
      </c>
      <c r="F985">
        <v>25026641</v>
      </c>
      <c r="G985">
        <v>25026698</v>
      </c>
      <c r="H985">
        <v>25026641</v>
      </c>
      <c r="I985">
        <v>25026698</v>
      </c>
    </row>
    <row r="986" spans="1:9" x14ac:dyDescent="0.2">
      <c r="A986" s="1" t="str">
        <f>"ARHGAP18"</f>
        <v>ARHGAP18</v>
      </c>
      <c r="B986" t="s">
        <v>14</v>
      </c>
      <c r="C986" t="s">
        <v>32</v>
      </c>
      <c r="D986" t="s">
        <v>11</v>
      </c>
      <c r="E986" t="s">
        <v>12</v>
      </c>
      <c r="F986">
        <v>130031298</v>
      </c>
      <c r="G986">
        <v>130031345</v>
      </c>
      <c r="H986">
        <v>130031358</v>
      </c>
      <c r="I986">
        <v>130031378</v>
      </c>
    </row>
    <row r="987" spans="1:9" x14ac:dyDescent="0.2">
      <c r="A987" s="1" t="str">
        <f>"ARHGAP19"</f>
        <v>ARHGAP19</v>
      </c>
      <c r="B987" t="s">
        <v>14</v>
      </c>
      <c r="C987" t="s">
        <v>15</v>
      </c>
      <c r="D987" t="s">
        <v>11</v>
      </c>
      <c r="E987" t="s">
        <v>12</v>
      </c>
      <c r="F987">
        <v>99052382</v>
      </c>
      <c r="G987">
        <v>99052413</v>
      </c>
      <c r="H987">
        <v>99052382</v>
      </c>
      <c r="I987">
        <v>99052413</v>
      </c>
    </row>
    <row r="988" spans="1:9" x14ac:dyDescent="0.2">
      <c r="A988" s="1" t="str">
        <f>"ARHGAP20"</f>
        <v>ARHGAP20</v>
      </c>
      <c r="B988" t="s">
        <v>14</v>
      </c>
      <c r="C988" t="s">
        <v>27</v>
      </c>
      <c r="D988" t="s">
        <v>11</v>
      </c>
      <c r="E988" t="s">
        <v>12</v>
      </c>
      <c r="F988">
        <v>110583123</v>
      </c>
      <c r="G988">
        <v>110583173</v>
      </c>
      <c r="H988">
        <v>110583123</v>
      </c>
      <c r="I988">
        <v>110583173</v>
      </c>
    </row>
    <row r="989" spans="1:9" x14ac:dyDescent="0.2">
      <c r="A989" s="1" t="str">
        <f>"ARHGAP21"</f>
        <v>ARHGAP21</v>
      </c>
      <c r="B989" t="s">
        <v>14</v>
      </c>
      <c r="C989" t="s">
        <v>15</v>
      </c>
      <c r="D989" t="s">
        <v>11</v>
      </c>
      <c r="E989" t="s">
        <v>12</v>
      </c>
      <c r="F989">
        <v>25012800</v>
      </c>
      <c r="G989">
        <v>25012822</v>
      </c>
      <c r="H989">
        <v>25012828</v>
      </c>
      <c r="I989">
        <v>25012860</v>
      </c>
    </row>
    <row r="990" spans="1:9" x14ac:dyDescent="0.2">
      <c r="A990" s="1" t="str">
        <f>"ARHGAP22"</f>
        <v>ARHGAP22</v>
      </c>
      <c r="B990" t="s">
        <v>14</v>
      </c>
      <c r="C990" t="s">
        <v>15</v>
      </c>
      <c r="D990" t="s">
        <v>11</v>
      </c>
      <c r="E990" t="s">
        <v>12</v>
      </c>
      <c r="F990">
        <v>49813090</v>
      </c>
      <c r="G990">
        <v>49813198</v>
      </c>
      <c r="H990">
        <v>49813090</v>
      </c>
      <c r="I990">
        <v>49813198</v>
      </c>
    </row>
    <row r="991" spans="1:9" x14ac:dyDescent="0.2">
      <c r="A991" s="1" t="str">
        <f>"ARHGAP23"</f>
        <v>ARHGAP23</v>
      </c>
      <c r="B991" t="s">
        <v>14</v>
      </c>
      <c r="C991" t="s">
        <v>28</v>
      </c>
      <c r="D991" t="s">
        <v>17</v>
      </c>
      <c r="E991" t="s">
        <v>12</v>
      </c>
      <c r="F991">
        <v>36584700</v>
      </c>
      <c r="G991">
        <v>36584724</v>
      </c>
      <c r="H991">
        <v>36584700</v>
      </c>
      <c r="I991">
        <v>36584724</v>
      </c>
    </row>
    <row r="992" spans="1:9" x14ac:dyDescent="0.2">
      <c r="A992" s="1" t="str">
        <f>"ARHGAP24"</f>
        <v>ARHGAP24</v>
      </c>
      <c r="B992" t="s">
        <v>14</v>
      </c>
      <c r="C992" t="s">
        <v>23</v>
      </c>
      <c r="D992" t="s">
        <v>17</v>
      </c>
      <c r="E992" t="s">
        <v>12</v>
      </c>
      <c r="F992">
        <v>86396284</v>
      </c>
      <c r="G992">
        <v>86396315</v>
      </c>
      <c r="H992">
        <v>86396321</v>
      </c>
      <c r="I992">
        <v>86396392</v>
      </c>
    </row>
    <row r="993" spans="1:9" x14ac:dyDescent="0.2">
      <c r="A993" s="1" t="str">
        <f>"ARHGAP25"</f>
        <v>ARHGAP25</v>
      </c>
      <c r="B993" t="s">
        <v>14</v>
      </c>
      <c r="C993" t="s">
        <v>26</v>
      </c>
      <c r="D993" t="s">
        <v>17</v>
      </c>
      <c r="E993" t="s">
        <v>12</v>
      </c>
      <c r="F993">
        <v>68961934</v>
      </c>
      <c r="G993">
        <v>68961975</v>
      </c>
      <c r="H993">
        <v>68961934</v>
      </c>
      <c r="I993">
        <v>68961975</v>
      </c>
    </row>
    <row r="994" spans="1:9" x14ac:dyDescent="0.2">
      <c r="A994" s="1" t="str">
        <f>"ARHGAP26"</f>
        <v>ARHGAP26</v>
      </c>
      <c r="B994" t="s">
        <v>14</v>
      </c>
      <c r="C994" t="s">
        <v>46</v>
      </c>
      <c r="D994" t="s">
        <v>17</v>
      </c>
      <c r="E994" t="s">
        <v>12</v>
      </c>
      <c r="F994">
        <v>142149955</v>
      </c>
      <c r="G994">
        <v>142150000</v>
      </c>
      <c r="H994">
        <v>142149932</v>
      </c>
      <c r="I994">
        <v>142149948</v>
      </c>
    </row>
    <row r="995" spans="1:9" x14ac:dyDescent="0.2">
      <c r="A995" s="1" t="str">
        <f>"ARHGAP27"</f>
        <v>ARHGAP27</v>
      </c>
      <c r="B995" t="s">
        <v>9</v>
      </c>
      <c r="C995" t="s">
        <v>28</v>
      </c>
      <c r="D995" t="s">
        <v>11</v>
      </c>
      <c r="E995" t="s">
        <v>12</v>
      </c>
      <c r="F995">
        <v>43487741</v>
      </c>
      <c r="G995">
        <v>43487772</v>
      </c>
      <c r="H995">
        <v>43487741</v>
      </c>
      <c r="I995">
        <v>43487772</v>
      </c>
    </row>
    <row r="996" spans="1:9" x14ac:dyDescent="0.2">
      <c r="A996" s="1" t="str">
        <f>"ARHGAP27"</f>
        <v>ARHGAP27</v>
      </c>
      <c r="B996" t="s">
        <v>13</v>
      </c>
      <c r="C996" t="s">
        <v>28</v>
      </c>
      <c r="D996" t="s">
        <v>11</v>
      </c>
      <c r="E996" t="s">
        <v>12</v>
      </c>
      <c r="F996">
        <v>43502987</v>
      </c>
      <c r="G996">
        <v>43503004</v>
      </c>
      <c r="H996">
        <v>43502987</v>
      </c>
      <c r="I996">
        <v>43503004</v>
      </c>
    </row>
    <row r="997" spans="1:9" x14ac:dyDescent="0.2">
      <c r="A997" s="1" t="str">
        <f>"ARHGAP28"</f>
        <v>ARHGAP28</v>
      </c>
      <c r="B997" t="s">
        <v>14</v>
      </c>
      <c r="C997" t="s">
        <v>43</v>
      </c>
      <c r="D997" t="s">
        <v>17</v>
      </c>
      <c r="E997" t="s">
        <v>12</v>
      </c>
      <c r="F997">
        <v>6729698</v>
      </c>
      <c r="G997">
        <v>6729724</v>
      </c>
      <c r="H997">
        <v>6729666</v>
      </c>
      <c r="I997">
        <v>6729693</v>
      </c>
    </row>
    <row r="998" spans="1:9" x14ac:dyDescent="0.2">
      <c r="A998" s="1" t="str">
        <f>"ARHGAP29"</f>
        <v>ARHGAP29</v>
      </c>
      <c r="B998" t="s">
        <v>14</v>
      </c>
      <c r="C998" t="s">
        <v>19</v>
      </c>
      <c r="D998" t="s">
        <v>11</v>
      </c>
      <c r="E998" t="s">
        <v>12</v>
      </c>
      <c r="F998">
        <v>94703118</v>
      </c>
      <c r="G998">
        <v>94703184</v>
      </c>
      <c r="H998">
        <v>94702998</v>
      </c>
      <c r="I998">
        <v>94703022</v>
      </c>
    </row>
    <row r="999" spans="1:9" x14ac:dyDescent="0.2">
      <c r="A999" s="1" t="str">
        <f>"ARHGAP30"</f>
        <v>ARHGAP30</v>
      </c>
      <c r="B999" t="s">
        <v>14</v>
      </c>
      <c r="C999" t="s">
        <v>19</v>
      </c>
      <c r="D999" t="s">
        <v>11</v>
      </c>
      <c r="E999" t="s">
        <v>12</v>
      </c>
      <c r="F999">
        <v>161039647</v>
      </c>
      <c r="G999">
        <v>161039744</v>
      </c>
      <c r="H999">
        <v>161039597</v>
      </c>
      <c r="I999">
        <v>161039625</v>
      </c>
    </row>
    <row r="1000" spans="1:9" x14ac:dyDescent="0.2">
      <c r="A1000" s="1" t="str">
        <f>"ARHGAP31"</f>
        <v>ARHGAP31</v>
      </c>
      <c r="B1000" t="s">
        <v>14</v>
      </c>
      <c r="C1000" t="s">
        <v>22</v>
      </c>
      <c r="D1000" t="s">
        <v>17</v>
      </c>
      <c r="E1000" t="s">
        <v>12</v>
      </c>
      <c r="F1000">
        <v>119013185</v>
      </c>
      <c r="G1000">
        <v>119013306</v>
      </c>
      <c r="H1000">
        <v>119013476</v>
      </c>
      <c r="I1000">
        <v>119013540</v>
      </c>
    </row>
    <row r="1001" spans="1:9" x14ac:dyDescent="0.2">
      <c r="A1001" s="1" t="str">
        <f>"ARHGAP32"</f>
        <v>ARHGAP32</v>
      </c>
      <c r="B1001" t="s">
        <v>84</v>
      </c>
      <c r="C1001" t="s">
        <v>27</v>
      </c>
      <c r="D1001" t="s">
        <v>11</v>
      </c>
      <c r="E1001" t="s">
        <v>35</v>
      </c>
      <c r="F1001">
        <v>129062186</v>
      </c>
      <c r="G1001">
        <v>129062232</v>
      </c>
      <c r="H1001">
        <v>129062175</v>
      </c>
      <c r="I1001">
        <v>129062184</v>
      </c>
    </row>
    <row r="1002" spans="1:9" x14ac:dyDescent="0.2">
      <c r="A1002" s="1" t="str">
        <f>"ARHGAP33"</f>
        <v>ARHGAP33</v>
      </c>
      <c r="B1002" t="s">
        <v>14</v>
      </c>
      <c r="C1002" t="s">
        <v>10</v>
      </c>
      <c r="D1002" t="s">
        <v>17</v>
      </c>
      <c r="E1002" t="s">
        <v>12</v>
      </c>
      <c r="F1002">
        <v>36266433</v>
      </c>
      <c r="G1002">
        <v>36266490</v>
      </c>
      <c r="H1002">
        <v>36266418</v>
      </c>
      <c r="I1002">
        <v>36266427</v>
      </c>
    </row>
    <row r="1003" spans="1:9" x14ac:dyDescent="0.2">
      <c r="A1003" s="1" t="str">
        <f>"ARHGAP35"</f>
        <v>ARHGAP35</v>
      </c>
      <c r="B1003" t="s">
        <v>85</v>
      </c>
      <c r="C1003" t="s">
        <v>10</v>
      </c>
      <c r="D1003" t="s">
        <v>17</v>
      </c>
      <c r="E1003" t="s">
        <v>20</v>
      </c>
      <c r="F1003">
        <v>47421932</v>
      </c>
      <c r="G1003">
        <v>47421932</v>
      </c>
      <c r="H1003">
        <v>47421932</v>
      </c>
      <c r="I1003">
        <v>47421932</v>
      </c>
    </row>
    <row r="1004" spans="1:9" x14ac:dyDescent="0.2">
      <c r="A1004" s="1" t="str">
        <f>"ARHGAP36"</f>
        <v>ARHGAP36</v>
      </c>
      <c r="B1004" t="s">
        <v>14</v>
      </c>
      <c r="C1004" t="s">
        <v>37</v>
      </c>
      <c r="D1004" t="s">
        <v>17</v>
      </c>
      <c r="E1004" t="s">
        <v>12</v>
      </c>
      <c r="F1004">
        <v>130192318</v>
      </c>
      <c r="G1004">
        <v>130192323</v>
      </c>
      <c r="H1004">
        <v>130192273</v>
      </c>
      <c r="I1004">
        <v>130192296</v>
      </c>
    </row>
    <row r="1005" spans="1:9" x14ac:dyDescent="0.2">
      <c r="A1005" s="1" t="str">
        <f>"ARHGAP39"</f>
        <v>ARHGAP39</v>
      </c>
      <c r="B1005" t="s">
        <v>14</v>
      </c>
      <c r="C1005" t="s">
        <v>30</v>
      </c>
      <c r="D1005" t="s">
        <v>11</v>
      </c>
      <c r="E1005" t="s">
        <v>12</v>
      </c>
      <c r="F1005">
        <v>145911211</v>
      </c>
      <c r="G1005">
        <v>145911239</v>
      </c>
      <c r="H1005">
        <v>145911240</v>
      </c>
      <c r="I1005">
        <v>145911259</v>
      </c>
    </row>
    <row r="1006" spans="1:9" x14ac:dyDescent="0.2">
      <c r="A1006" s="1" t="str">
        <f>"ARHGAP4"</f>
        <v>ARHGAP4</v>
      </c>
      <c r="B1006" t="s">
        <v>9</v>
      </c>
      <c r="C1006" t="s">
        <v>37</v>
      </c>
      <c r="D1006" t="s">
        <v>11</v>
      </c>
      <c r="E1006" t="s">
        <v>12</v>
      </c>
      <c r="F1006">
        <v>153200423</v>
      </c>
      <c r="G1006">
        <v>153200499</v>
      </c>
      <c r="H1006">
        <v>153200423</v>
      </c>
      <c r="I1006">
        <v>153200499</v>
      </c>
    </row>
    <row r="1007" spans="1:9" x14ac:dyDescent="0.2">
      <c r="A1007" s="1" t="str">
        <f>"ARHGAP4"</f>
        <v>ARHGAP4</v>
      </c>
      <c r="B1007" t="s">
        <v>13</v>
      </c>
      <c r="C1007" t="s">
        <v>37</v>
      </c>
      <c r="D1007" t="s">
        <v>11</v>
      </c>
      <c r="E1007" t="s">
        <v>12</v>
      </c>
      <c r="F1007">
        <v>153191709</v>
      </c>
      <c r="G1007">
        <v>153191767</v>
      </c>
      <c r="H1007">
        <v>153191709</v>
      </c>
      <c r="I1007">
        <v>153191767</v>
      </c>
    </row>
    <row r="1008" spans="1:9" x14ac:dyDescent="0.2">
      <c r="A1008" s="1" t="str">
        <f>"ARHGAP40"</f>
        <v>ARHGAP40</v>
      </c>
      <c r="B1008" t="s">
        <v>14</v>
      </c>
      <c r="C1008" t="s">
        <v>29</v>
      </c>
      <c r="D1008" t="s">
        <v>17</v>
      </c>
      <c r="E1008" t="s">
        <v>12</v>
      </c>
      <c r="F1008">
        <v>37230511</v>
      </c>
      <c r="G1008">
        <v>37230530</v>
      </c>
      <c r="H1008">
        <v>37230495</v>
      </c>
      <c r="I1008">
        <v>37230509</v>
      </c>
    </row>
    <row r="1009" spans="1:9" x14ac:dyDescent="0.2">
      <c r="A1009" s="1" t="str">
        <f>"ARHGAP42"</f>
        <v>ARHGAP42</v>
      </c>
      <c r="B1009" t="s">
        <v>14</v>
      </c>
      <c r="C1009" t="s">
        <v>27</v>
      </c>
      <c r="D1009" t="s">
        <v>17</v>
      </c>
      <c r="E1009" t="s">
        <v>12</v>
      </c>
      <c r="F1009">
        <v>100558010</v>
      </c>
      <c r="G1009">
        <v>100558029</v>
      </c>
      <c r="H1009">
        <v>100558010</v>
      </c>
      <c r="I1009">
        <v>100558029</v>
      </c>
    </row>
    <row r="1010" spans="1:9" x14ac:dyDescent="0.2">
      <c r="A1010" s="1" t="str">
        <f>"ARHGAP44"</f>
        <v>ARHGAP44</v>
      </c>
      <c r="B1010" t="s">
        <v>14</v>
      </c>
      <c r="C1010" t="s">
        <v>28</v>
      </c>
      <c r="D1010" t="s">
        <v>17</v>
      </c>
      <c r="E1010" t="s">
        <v>12</v>
      </c>
      <c r="F1010">
        <v>12692774</v>
      </c>
      <c r="G1010">
        <v>12692863</v>
      </c>
      <c r="H1010">
        <v>12693001</v>
      </c>
      <c r="I1010">
        <v>12693031</v>
      </c>
    </row>
    <row r="1011" spans="1:9" x14ac:dyDescent="0.2">
      <c r="A1011" s="1" t="str">
        <f>"ARHGAP5"</f>
        <v>ARHGAP5</v>
      </c>
      <c r="B1011" t="s">
        <v>14</v>
      </c>
      <c r="C1011" t="s">
        <v>41</v>
      </c>
      <c r="D1011" t="s">
        <v>17</v>
      </c>
      <c r="E1011" t="s">
        <v>12</v>
      </c>
      <c r="F1011">
        <v>32546145</v>
      </c>
      <c r="G1011">
        <v>32546239</v>
      </c>
      <c r="H1011">
        <v>32546485</v>
      </c>
      <c r="I1011">
        <v>32546532</v>
      </c>
    </row>
    <row r="1012" spans="1:9" x14ac:dyDescent="0.2">
      <c r="A1012" s="1" t="str">
        <f>"ARHGAP6"</f>
        <v>ARHGAP6</v>
      </c>
      <c r="B1012" t="s">
        <v>14</v>
      </c>
      <c r="C1012" t="s">
        <v>37</v>
      </c>
      <c r="D1012" t="s">
        <v>11</v>
      </c>
      <c r="E1012" t="s">
        <v>12</v>
      </c>
      <c r="F1012">
        <v>11445856</v>
      </c>
      <c r="G1012">
        <v>11445943</v>
      </c>
      <c r="H1012">
        <v>11445856</v>
      </c>
      <c r="I1012">
        <v>11445943</v>
      </c>
    </row>
    <row r="1013" spans="1:9" x14ac:dyDescent="0.2">
      <c r="A1013" s="1" t="str">
        <f>"ARHGAP8"</f>
        <v>ARHGAP8</v>
      </c>
      <c r="B1013" t="s">
        <v>9</v>
      </c>
      <c r="C1013" t="s">
        <v>21</v>
      </c>
      <c r="D1013" t="s">
        <v>17</v>
      </c>
      <c r="E1013" t="s">
        <v>12</v>
      </c>
      <c r="F1013">
        <v>45098067</v>
      </c>
      <c r="G1013">
        <v>45098143</v>
      </c>
      <c r="H1013">
        <v>45098067</v>
      </c>
      <c r="I1013">
        <v>45098143</v>
      </c>
    </row>
    <row r="1014" spans="1:9" x14ac:dyDescent="0.2">
      <c r="A1014" s="1" t="str">
        <f>"ARHGAP8"</f>
        <v>ARHGAP8</v>
      </c>
      <c r="B1014" t="s">
        <v>13</v>
      </c>
      <c r="C1014" t="s">
        <v>21</v>
      </c>
      <c r="D1014" t="s">
        <v>17</v>
      </c>
      <c r="E1014" t="s">
        <v>12</v>
      </c>
      <c r="F1014">
        <v>45148432</v>
      </c>
      <c r="G1014">
        <v>45148472</v>
      </c>
      <c r="H1014">
        <v>45148432</v>
      </c>
      <c r="I1014">
        <v>45148472</v>
      </c>
    </row>
    <row r="1015" spans="1:9" x14ac:dyDescent="0.2">
      <c r="A1015" s="1" t="str">
        <f>"ARHGAP9"</f>
        <v>ARHGAP9</v>
      </c>
      <c r="B1015" t="s">
        <v>14</v>
      </c>
      <c r="C1015" t="s">
        <v>16</v>
      </c>
      <c r="D1015" t="s">
        <v>11</v>
      </c>
      <c r="E1015" t="s">
        <v>12</v>
      </c>
      <c r="F1015">
        <v>57871620</v>
      </c>
      <c r="G1015">
        <v>57871659</v>
      </c>
      <c r="H1015">
        <v>57871620</v>
      </c>
      <c r="I1015">
        <v>57871659</v>
      </c>
    </row>
    <row r="1016" spans="1:9" x14ac:dyDescent="0.2">
      <c r="A1016" s="1" t="str">
        <f>"ARHGDIA"</f>
        <v>ARHGDIA</v>
      </c>
      <c r="B1016" t="s">
        <v>14</v>
      </c>
      <c r="C1016" t="s">
        <v>28</v>
      </c>
      <c r="D1016" t="s">
        <v>11</v>
      </c>
      <c r="E1016" t="s">
        <v>12</v>
      </c>
      <c r="F1016">
        <v>79829190</v>
      </c>
      <c r="G1016">
        <v>79829260</v>
      </c>
      <c r="H1016">
        <v>79829190</v>
      </c>
      <c r="I1016">
        <v>79829260</v>
      </c>
    </row>
    <row r="1017" spans="1:9" x14ac:dyDescent="0.2">
      <c r="A1017" s="1" t="str">
        <f>"ARHGDIB"</f>
        <v>ARHGDIB</v>
      </c>
      <c r="B1017" t="s">
        <v>14</v>
      </c>
      <c r="C1017" t="s">
        <v>16</v>
      </c>
      <c r="D1017" t="s">
        <v>11</v>
      </c>
      <c r="E1017" t="s">
        <v>12</v>
      </c>
      <c r="F1017">
        <v>15114492</v>
      </c>
      <c r="G1017">
        <v>15114565</v>
      </c>
      <c r="H1017">
        <v>15114492</v>
      </c>
      <c r="I1017">
        <v>15114565</v>
      </c>
    </row>
    <row r="1018" spans="1:9" x14ac:dyDescent="0.2">
      <c r="A1018" s="1" t="str">
        <f>"ARHGDIG"</f>
        <v>ARHGDIG</v>
      </c>
      <c r="B1018" t="s">
        <v>14</v>
      </c>
      <c r="C1018" t="s">
        <v>31</v>
      </c>
      <c r="D1018" t="s">
        <v>17</v>
      </c>
      <c r="E1018" t="s">
        <v>12</v>
      </c>
      <c r="F1018">
        <v>330581</v>
      </c>
      <c r="G1018">
        <v>330613</v>
      </c>
      <c r="H1018">
        <v>330448</v>
      </c>
      <c r="I1018">
        <v>330498</v>
      </c>
    </row>
    <row r="1019" spans="1:9" x14ac:dyDescent="0.2">
      <c r="A1019" s="1" t="str">
        <f>"ARHGEF1"</f>
        <v>ARHGEF1</v>
      </c>
      <c r="B1019" t="s">
        <v>9</v>
      </c>
      <c r="C1019" t="s">
        <v>10</v>
      </c>
      <c r="D1019" t="s">
        <v>17</v>
      </c>
      <c r="E1019" t="s">
        <v>12</v>
      </c>
      <c r="F1019">
        <v>42387240</v>
      </c>
      <c r="G1019">
        <v>42387310</v>
      </c>
      <c r="H1019">
        <v>42387240</v>
      </c>
      <c r="I1019">
        <v>42387310</v>
      </c>
    </row>
    <row r="1020" spans="1:9" x14ac:dyDescent="0.2">
      <c r="A1020" s="1" t="str">
        <f>"ARHGEF1"</f>
        <v>ARHGEF1</v>
      </c>
      <c r="B1020" t="s">
        <v>13</v>
      </c>
      <c r="C1020" t="s">
        <v>10</v>
      </c>
      <c r="D1020" t="s">
        <v>17</v>
      </c>
      <c r="E1020" t="s">
        <v>12</v>
      </c>
      <c r="F1020">
        <v>42388443</v>
      </c>
      <c r="G1020">
        <v>42388524</v>
      </c>
      <c r="H1020">
        <v>42388443</v>
      </c>
      <c r="I1020">
        <v>42388524</v>
      </c>
    </row>
    <row r="1021" spans="1:9" x14ac:dyDescent="0.2">
      <c r="A1021" s="1" t="str">
        <f>"ARHGEF10"</f>
        <v>ARHGEF10</v>
      </c>
      <c r="B1021" t="s">
        <v>14</v>
      </c>
      <c r="C1021" t="s">
        <v>30</v>
      </c>
      <c r="D1021" t="s">
        <v>17</v>
      </c>
      <c r="E1021" t="s">
        <v>12</v>
      </c>
      <c r="F1021">
        <v>1772085</v>
      </c>
      <c r="G1021">
        <v>1772129</v>
      </c>
      <c r="H1021">
        <v>1772132</v>
      </c>
      <c r="I1021">
        <v>1772140</v>
      </c>
    </row>
    <row r="1022" spans="1:9" x14ac:dyDescent="0.2">
      <c r="A1022" s="1" t="str">
        <f>"ARHGEF10L"</f>
        <v>ARHGEF10L</v>
      </c>
      <c r="B1022" t="s">
        <v>14</v>
      </c>
      <c r="C1022" t="s">
        <v>19</v>
      </c>
      <c r="D1022" t="s">
        <v>17</v>
      </c>
      <c r="E1022" t="s">
        <v>12</v>
      </c>
      <c r="F1022">
        <v>17866172</v>
      </c>
      <c r="G1022">
        <v>17866262</v>
      </c>
      <c r="H1022">
        <v>17866172</v>
      </c>
      <c r="I1022">
        <v>17866262</v>
      </c>
    </row>
    <row r="1023" spans="1:9" x14ac:dyDescent="0.2">
      <c r="A1023" s="1" t="str">
        <f>"ARHGEF11"</f>
        <v>ARHGEF11</v>
      </c>
      <c r="B1023" t="s">
        <v>14</v>
      </c>
      <c r="C1023" t="s">
        <v>19</v>
      </c>
      <c r="D1023" t="s">
        <v>11</v>
      </c>
      <c r="E1023" t="s">
        <v>12</v>
      </c>
      <c r="F1023">
        <v>157015496</v>
      </c>
      <c r="G1023">
        <v>157015586</v>
      </c>
      <c r="H1023">
        <v>157015496</v>
      </c>
      <c r="I1023">
        <v>157015586</v>
      </c>
    </row>
    <row r="1024" spans="1:9" x14ac:dyDescent="0.2">
      <c r="A1024" s="1" t="str">
        <f>"ARHGEF12"</f>
        <v>ARHGEF12</v>
      </c>
      <c r="B1024" t="s">
        <v>14</v>
      </c>
      <c r="C1024" t="s">
        <v>27</v>
      </c>
      <c r="D1024" t="s">
        <v>17</v>
      </c>
      <c r="E1024" t="s">
        <v>12</v>
      </c>
      <c r="F1024">
        <v>120207066</v>
      </c>
      <c r="G1024">
        <v>120207129</v>
      </c>
      <c r="H1024">
        <v>120207066</v>
      </c>
      <c r="I1024">
        <v>120207129</v>
      </c>
    </row>
    <row r="1025" spans="1:9" x14ac:dyDescent="0.2">
      <c r="A1025" s="1" t="str">
        <f>"ARHGEF15"</f>
        <v>ARHGEF15</v>
      </c>
      <c r="B1025" t="s">
        <v>14</v>
      </c>
      <c r="C1025" t="s">
        <v>28</v>
      </c>
      <c r="D1025" t="s">
        <v>17</v>
      </c>
      <c r="E1025" t="s">
        <v>12</v>
      </c>
      <c r="F1025">
        <v>8213539</v>
      </c>
      <c r="G1025">
        <v>8213566</v>
      </c>
      <c r="H1025">
        <v>8214130</v>
      </c>
      <c r="I1025">
        <v>8214149</v>
      </c>
    </row>
    <row r="1026" spans="1:9" x14ac:dyDescent="0.2">
      <c r="A1026" s="1" t="str">
        <f>"ARHGEF16"</f>
        <v>ARHGEF16</v>
      </c>
      <c r="B1026" t="s">
        <v>14</v>
      </c>
      <c r="C1026" t="s">
        <v>19</v>
      </c>
      <c r="D1026" t="s">
        <v>17</v>
      </c>
      <c r="E1026" t="s">
        <v>12</v>
      </c>
      <c r="F1026">
        <v>3371222</v>
      </c>
      <c r="G1026">
        <v>3371243</v>
      </c>
      <c r="H1026">
        <v>3371160</v>
      </c>
      <c r="I1026">
        <v>3371199</v>
      </c>
    </row>
    <row r="1027" spans="1:9" x14ac:dyDescent="0.2">
      <c r="A1027" s="1" t="str">
        <f>"ARHGEF17"</f>
        <v>ARHGEF17</v>
      </c>
      <c r="B1027" t="s">
        <v>14</v>
      </c>
      <c r="C1027" t="s">
        <v>27</v>
      </c>
      <c r="D1027" t="s">
        <v>17</v>
      </c>
      <c r="E1027" t="s">
        <v>12</v>
      </c>
      <c r="F1027">
        <v>73019282</v>
      </c>
      <c r="G1027">
        <v>73019355</v>
      </c>
      <c r="H1027">
        <v>73019885</v>
      </c>
      <c r="I1027">
        <v>73019951</v>
      </c>
    </row>
    <row r="1028" spans="1:9" x14ac:dyDescent="0.2">
      <c r="A1028" s="1" t="str">
        <f>"ARHGEF18"</f>
        <v>ARHGEF18</v>
      </c>
      <c r="B1028" t="s">
        <v>14</v>
      </c>
      <c r="C1028" t="s">
        <v>10</v>
      </c>
      <c r="D1028" t="s">
        <v>17</v>
      </c>
      <c r="E1028" t="s">
        <v>12</v>
      </c>
      <c r="F1028">
        <v>7459998</v>
      </c>
      <c r="G1028">
        <v>7460046</v>
      </c>
      <c r="H1028">
        <v>7460052</v>
      </c>
      <c r="I1028">
        <v>7460073</v>
      </c>
    </row>
    <row r="1029" spans="1:9" x14ac:dyDescent="0.2">
      <c r="A1029" s="1" t="str">
        <f>"ARHGEF19"</f>
        <v>ARHGEF19</v>
      </c>
      <c r="B1029" t="s">
        <v>14</v>
      </c>
      <c r="C1029" t="s">
        <v>19</v>
      </c>
      <c r="D1029" t="s">
        <v>11</v>
      </c>
      <c r="E1029" t="s">
        <v>12</v>
      </c>
      <c r="F1029">
        <v>16533494</v>
      </c>
      <c r="G1029">
        <v>16533541</v>
      </c>
      <c r="H1029">
        <v>16533494</v>
      </c>
      <c r="I1029">
        <v>16533541</v>
      </c>
    </row>
    <row r="1030" spans="1:9" x14ac:dyDescent="0.2">
      <c r="A1030" s="1" t="str">
        <f>"ARHGEF2"</f>
        <v>ARHGEF2</v>
      </c>
      <c r="B1030" t="s">
        <v>14</v>
      </c>
      <c r="C1030" t="s">
        <v>19</v>
      </c>
      <c r="D1030" t="s">
        <v>11</v>
      </c>
      <c r="E1030" t="s">
        <v>12</v>
      </c>
      <c r="F1030">
        <v>155948318</v>
      </c>
      <c r="G1030">
        <v>155948346</v>
      </c>
      <c r="H1030">
        <v>155948898</v>
      </c>
      <c r="I1030">
        <v>155948955</v>
      </c>
    </row>
    <row r="1031" spans="1:9" x14ac:dyDescent="0.2">
      <c r="A1031" s="1" t="str">
        <f>"ARHGEF25"</f>
        <v>ARHGEF25</v>
      </c>
      <c r="B1031" t="s">
        <v>14</v>
      </c>
      <c r="C1031" t="s">
        <v>16</v>
      </c>
      <c r="D1031" t="s">
        <v>17</v>
      </c>
      <c r="E1031" t="s">
        <v>12</v>
      </c>
      <c r="F1031">
        <v>58005204</v>
      </c>
      <c r="G1031">
        <v>58005235</v>
      </c>
      <c r="H1031">
        <v>58005170</v>
      </c>
      <c r="I1031">
        <v>58005192</v>
      </c>
    </row>
    <row r="1032" spans="1:9" x14ac:dyDescent="0.2">
      <c r="A1032" s="1" t="str">
        <f>"ARHGEF26"</f>
        <v>ARHGEF26</v>
      </c>
      <c r="B1032" t="s">
        <v>14</v>
      </c>
      <c r="C1032" t="s">
        <v>22</v>
      </c>
      <c r="D1032" t="s">
        <v>17</v>
      </c>
      <c r="E1032" t="s">
        <v>12</v>
      </c>
      <c r="F1032">
        <v>153839171</v>
      </c>
      <c r="G1032">
        <v>153839251</v>
      </c>
      <c r="H1032">
        <v>153839158</v>
      </c>
      <c r="I1032">
        <v>153839164</v>
      </c>
    </row>
    <row r="1033" spans="1:9" x14ac:dyDescent="0.2">
      <c r="A1033" s="1" t="str">
        <f>"ARHGEF28"</f>
        <v>ARHGEF28</v>
      </c>
      <c r="B1033" t="s">
        <v>14</v>
      </c>
      <c r="C1033" t="s">
        <v>46</v>
      </c>
      <c r="D1033" t="s">
        <v>17</v>
      </c>
      <c r="E1033" t="s">
        <v>12</v>
      </c>
      <c r="F1033">
        <v>72921991</v>
      </c>
      <c r="G1033">
        <v>72922048</v>
      </c>
      <c r="H1033">
        <v>72921991</v>
      </c>
      <c r="I1033">
        <v>72922048</v>
      </c>
    </row>
    <row r="1034" spans="1:9" x14ac:dyDescent="0.2">
      <c r="A1034" s="1" t="str">
        <f>"ARHGEF3"</f>
        <v>ARHGEF3</v>
      </c>
      <c r="B1034" t="s">
        <v>14</v>
      </c>
      <c r="C1034" t="s">
        <v>22</v>
      </c>
      <c r="D1034" t="s">
        <v>11</v>
      </c>
      <c r="E1034" t="s">
        <v>12</v>
      </c>
      <c r="F1034">
        <v>56835967</v>
      </c>
      <c r="G1034">
        <v>56835985</v>
      </c>
      <c r="H1034">
        <v>56835941</v>
      </c>
      <c r="I1034">
        <v>56835961</v>
      </c>
    </row>
    <row r="1035" spans="1:9" x14ac:dyDescent="0.2">
      <c r="A1035" s="1" t="str">
        <f>"ARHGEF33"</f>
        <v>ARHGEF33</v>
      </c>
      <c r="B1035" t="s">
        <v>86</v>
      </c>
      <c r="C1035" t="s">
        <v>26</v>
      </c>
      <c r="D1035" t="s">
        <v>17</v>
      </c>
      <c r="E1035" t="s">
        <v>20</v>
      </c>
      <c r="F1035">
        <v>39146503</v>
      </c>
      <c r="G1035">
        <v>39146503</v>
      </c>
      <c r="H1035">
        <v>39146503</v>
      </c>
      <c r="I1035">
        <v>39146503</v>
      </c>
    </row>
    <row r="1036" spans="1:9" x14ac:dyDescent="0.2">
      <c r="A1036" s="1" t="str">
        <f>"ARHGEF35"</f>
        <v>ARHGEF35</v>
      </c>
      <c r="B1036" t="s">
        <v>87</v>
      </c>
      <c r="C1036" t="s">
        <v>33</v>
      </c>
      <c r="D1036" t="s">
        <v>11</v>
      </c>
      <c r="E1036" t="s">
        <v>20</v>
      </c>
      <c r="F1036">
        <v>143892747</v>
      </c>
      <c r="G1036">
        <v>143892747</v>
      </c>
      <c r="H1036">
        <v>143892747</v>
      </c>
      <c r="I1036">
        <v>143892747</v>
      </c>
    </row>
    <row r="1037" spans="1:9" x14ac:dyDescent="0.2">
      <c r="A1037" s="1" t="str">
        <f>"ARHGEF35"</f>
        <v>ARHGEF35</v>
      </c>
      <c r="B1037" t="s">
        <v>88</v>
      </c>
      <c r="C1037" t="s">
        <v>33</v>
      </c>
      <c r="D1037" t="s">
        <v>11</v>
      </c>
      <c r="E1037" t="s">
        <v>20</v>
      </c>
      <c r="F1037">
        <v>143991229</v>
      </c>
      <c r="G1037">
        <v>143991229</v>
      </c>
      <c r="H1037">
        <v>143991229</v>
      </c>
      <c r="I1037">
        <v>143991229</v>
      </c>
    </row>
    <row r="1038" spans="1:9" x14ac:dyDescent="0.2">
      <c r="A1038" s="1" t="str">
        <f>"ARHGEF37"</f>
        <v>ARHGEF37</v>
      </c>
      <c r="B1038" t="s">
        <v>9</v>
      </c>
      <c r="C1038" t="s">
        <v>46</v>
      </c>
      <c r="D1038" t="s">
        <v>17</v>
      </c>
      <c r="E1038" t="s">
        <v>12</v>
      </c>
      <c r="F1038">
        <v>148960931</v>
      </c>
      <c r="G1038">
        <v>148961073</v>
      </c>
      <c r="H1038">
        <v>148960931</v>
      </c>
      <c r="I1038">
        <v>148961073</v>
      </c>
    </row>
    <row r="1039" spans="1:9" x14ac:dyDescent="0.2">
      <c r="A1039" s="1" t="str">
        <f>"ARHGEF37"</f>
        <v>ARHGEF37</v>
      </c>
      <c r="B1039" t="s">
        <v>13</v>
      </c>
      <c r="C1039" t="s">
        <v>46</v>
      </c>
      <c r="D1039" t="s">
        <v>17</v>
      </c>
      <c r="E1039" t="s">
        <v>12</v>
      </c>
      <c r="F1039">
        <v>148931175</v>
      </c>
      <c r="G1039">
        <v>148931196</v>
      </c>
      <c r="H1039">
        <v>148931175</v>
      </c>
      <c r="I1039">
        <v>148931196</v>
      </c>
    </row>
    <row r="1040" spans="1:9" x14ac:dyDescent="0.2">
      <c r="A1040" s="1" t="str">
        <f>"ARHGEF38"</f>
        <v>ARHGEF38</v>
      </c>
      <c r="B1040" t="s">
        <v>14</v>
      </c>
      <c r="C1040" t="s">
        <v>23</v>
      </c>
      <c r="D1040" t="s">
        <v>17</v>
      </c>
      <c r="E1040" t="s">
        <v>12</v>
      </c>
      <c r="F1040">
        <v>106473768</v>
      </c>
      <c r="G1040">
        <v>106473804</v>
      </c>
      <c r="H1040">
        <v>106473830</v>
      </c>
      <c r="I1040">
        <v>106473848</v>
      </c>
    </row>
    <row r="1041" spans="1:9" x14ac:dyDescent="0.2">
      <c r="A1041" s="1" t="str">
        <f>"ARHGEF39"</f>
        <v>ARHGEF39</v>
      </c>
      <c r="B1041" t="s">
        <v>14</v>
      </c>
      <c r="C1041" t="s">
        <v>24</v>
      </c>
      <c r="D1041" t="s">
        <v>11</v>
      </c>
      <c r="E1041" t="s">
        <v>12</v>
      </c>
      <c r="F1041">
        <v>35665165</v>
      </c>
      <c r="G1041">
        <v>35665226</v>
      </c>
      <c r="H1041">
        <v>35665145</v>
      </c>
      <c r="I1041">
        <v>35665150</v>
      </c>
    </row>
    <row r="1042" spans="1:9" x14ac:dyDescent="0.2">
      <c r="A1042" s="1" t="str">
        <f>"ARHGEF4"</f>
        <v>ARHGEF4</v>
      </c>
      <c r="B1042" t="s">
        <v>14</v>
      </c>
      <c r="C1042" t="s">
        <v>26</v>
      </c>
      <c r="D1042" t="s">
        <v>17</v>
      </c>
      <c r="E1042" t="s">
        <v>12</v>
      </c>
      <c r="F1042">
        <v>131792554</v>
      </c>
      <c r="G1042">
        <v>131792637</v>
      </c>
      <c r="H1042">
        <v>131792554</v>
      </c>
      <c r="I1042">
        <v>131792637</v>
      </c>
    </row>
    <row r="1043" spans="1:9" x14ac:dyDescent="0.2">
      <c r="A1043" s="1" t="str">
        <f>"ARHGEF40"</f>
        <v>ARHGEF40</v>
      </c>
      <c r="B1043" t="s">
        <v>14</v>
      </c>
      <c r="C1043" t="s">
        <v>41</v>
      </c>
      <c r="D1043" t="s">
        <v>17</v>
      </c>
      <c r="E1043" t="s">
        <v>12</v>
      </c>
      <c r="F1043">
        <v>21538434</v>
      </c>
      <c r="G1043">
        <v>21538469</v>
      </c>
      <c r="H1043">
        <v>21538399</v>
      </c>
      <c r="I1043">
        <v>21538424</v>
      </c>
    </row>
    <row r="1044" spans="1:9" x14ac:dyDescent="0.2">
      <c r="A1044" s="1" t="str">
        <f>"ARHGEF5"</f>
        <v>ARHGEF5</v>
      </c>
      <c r="B1044" t="s">
        <v>14</v>
      </c>
      <c r="C1044" t="s">
        <v>33</v>
      </c>
      <c r="D1044" t="s">
        <v>17</v>
      </c>
      <c r="E1044" t="s">
        <v>12</v>
      </c>
      <c r="F1044">
        <v>144052440</v>
      </c>
      <c r="G1044">
        <v>144052465</v>
      </c>
      <c r="H1044">
        <v>144052487</v>
      </c>
      <c r="I1044">
        <v>144052509</v>
      </c>
    </row>
    <row r="1045" spans="1:9" x14ac:dyDescent="0.2">
      <c r="A1045" s="1" t="str">
        <f>"ARHGEF6"</f>
        <v>ARHGEF6</v>
      </c>
      <c r="B1045" t="s">
        <v>14</v>
      </c>
      <c r="C1045" t="s">
        <v>37</v>
      </c>
      <c r="D1045" t="s">
        <v>11</v>
      </c>
      <c r="E1045" t="s">
        <v>12</v>
      </c>
      <c r="F1045">
        <v>135863036</v>
      </c>
      <c r="G1045">
        <v>135863078</v>
      </c>
      <c r="H1045">
        <v>135863036</v>
      </c>
      <c r="I1045">
        <v>135863078</v>
      </c>
    </row>
    <row r="1046" spans="1:9" x14ac:dyDescent="0.2">
      <c r="A1046" s="1" t="str">
        <f>"ARHGEF7"</f>
        <v>ARHGEF7</v>
      </c>
      <c r="B1046" t="s">
        <v>89</v>
      </c>
      <c r="C1046" t="s">
        <v>39</v>
      </c>
      <c r="D1046" t="s">
        <v>17</v>
      </c>
      <c r="E1046" t="s">
        <v>35</v>
      </c>
      <c r="F1046">
        <v>111767650</v>
      </c>
      <c r="G1046">
        <v>111767695</v>
      </c>
      <c r="H1046">
        <v>111767850</v>
      </c>
      <c r="I1046">
        <v>111767877</v>
      </c>
    </row>
    <row r="1047" spans="1:9" x14ac:dyDescent="0.2">
      <c r="A1047" s="1" t="str">
        <f>"ARHGEF9"</f>
        <v>ARHGEF9</v>
      </c>
      <c r="B1047" t="s">
        <v>14</v>
      </c>
      <c r="C1047" t="s">
        <v>37</v>
      </c>
      <c r="D1047" t="s">
        <v>11</v>
      </c>
      <c r="E1047" t="s">
        <v>12</v>
      </c>
      <c r="F1047">
        <v>62974941</v>
      </c>
      <c r="G1047">
        <v>62975010</v>
      </c>
      <c r="H1047">
        <v>62974941</v>
      </c>
      <c r="I1047">
        <v>62975010</v>
      </c>
    </row>
    <row r="1048" spans="1:9" x14ac:dyDescent="0.2">
      <c r="A1048" s="1" t="str">
        <f>"ARID1A"</f>
        <v>ARID1A</v>
      </c>
      <c r="B1048" t="s">
        <v>14</v>
      </c>
      <c r="C1048" t="s">
        <v>19</v>
      </c>
      <c r="D1048" t="s">
        <v>17</v>
      </c>
      <c r="E1048" t="s">
        <v>12</v>
      </c>
      <c r="F1048">
        <v>27022485</v>
      </c>
      <c r="G1048">
        <v>27022543</v>
      </c>
      <c r="H1048">
        <v>27022485</v>
      </c>
      <c r="I1048">
        <v>27022543</v>
      </c>
    </row>
    <row r="1049" spans="1:9" x14ac:dyDescent="0.2">
      <c r="A1049" s="1" t="str">
        <f>"ARID1B"</f>
        <v>ARID1B</v>
      </c>
      <c r="B1049" t="s">
        <v>9</v>
      </c>
      <c r="C1049" t="s">
        <v>32</v>
      </c>
      <c r="D1049" t="s">
        <v>17</v>
      </c>
      <c r="E1049" t="s">
        <v>12</v>
      </c>
      <c r="F1049">
        <v>157098775</v>
      </c>
      <c r="G1049">
        <v>157098820</v>
      </c>
      <c r="H1049">
        <v>157098775</v>
      </c>
      <c r="I1049">
        <v>157098820</v>
      </c>
    </row>
    <row r="1050" spans="1:9" x14ac:dyDescent="0.2">
      <c r="A1050" s="1" t="str">
        <f>"ARID1B"</f>
        <v>ARID1B</v>
      </c>
      <c r="B1050" t="s">
        <v>13</v>
      </c>
      <c r="C1050" t="s">
        <v>32</v>
      </c>
      <c r="D1050" t="s">
        <v>17</v>
      </c>
      <c r="E1050" t="s">
        <v>12</v>
      </c>
      <c r="F1050">
        <v>157100031</v>
      </c>
      <c r="G1050">
        <v>157100112</v>
      </c>
      <c r="H1050">
        <v>157100031</v>
      </c>
      <c r="I1050">
        <v>157100112</v>
      </c>
    </row>
    <row r="1051" spans="1:9" x14ac:dyDescent="0.2">
      <c r="A1051" s="1" t="str">
        <f>"ARID2"</f>
        <v>ARID2</v>
      </c>
      <c r="B1051" t="s">
        <v>14</v>
      </c>
      <c r="C1051" t="s">
        <v>16</v>
      </c>
      <c r="D1051" t="s">
        <v>17</v>
      </c>
      <c r="E1051" t="s">
        <v>12</v>
      </c>
      <c r="F1051">
        <v>46123464</v>
      </c>
      <c r="G1051">
        <v>46123512</v>
      </c>
      <c r="H1051">
        <v>46123464</v>
      </c>
      <c r="I1051">
        <v>46123512</v>
      </c>
    </row>
    <row r="1052" spans="1:9" x14ac:dyDescent="0.2">
      <c r="A1052" s="1" t="str">
        <f>"ARID3A"</f>
        <v>ARID3A</v>
      </c>
      <c r="B1052" t="s">
        <v>14</v>
      </c>
      <c r="C1052" t="s">
        <v>10</v>
      </c>
      <c r="D1052" t="s">
        <v>17</v>
      </c>
      <c r="E1052" t="s">
        <v>12</v>
      </c>
      <c r="F1052">
        <v>926001</v>
      </c>
      <c r="G1052">
        <v>926046</v>
      </c>
      <c r="H1052">
        <v>926055</v>
      </c>
      <c r="I1052">
        <v>926068</v>
      </c>
    </row>
    <row r="1053" spans="1:9" x14ac:dyDescent="0.2">
      <c r="A1053" s="1" t="str">
        <f>"ARID3B"</f>
        <v>ARID3B</v>
      </c>
      <c r="B1053" t="s">
        <v>14</v>
      </c>
      <c r="C1053" t="s">
        <v>25</v>
      </c>
      <c r="D1053" t="s">
        <v>17</v>
      </c>
      <c r="E1053" t="s">
        <v>12</v>
      </c>
      <c r="F1053">
        <v>74833584</v>
      </c>
      <c r="G1053">
        <v>74833626</v>
      </c>
      <c r="H1053">
        <v>74833547</v>
      </c>
      <c r="I1053">
        <v>74833567</v>
      </c>
    </row>
    <row r="1054" spans="1:9" x14ac:dyDescent="0.2">
      <c r="A1054" s="1" t="str">
        <f>"ARID3C"</f>
        <v>ARID3C</v>
      </c>
      <c r="B1054" t="s">
        <v>14</v>
      </c>
      <c r="C1054" t="s">
        <v>24</v>
      </c>
      <c r="D1054" t="s">
        <v>11</v>
      </c>
      <c r="E1054" t="s">
        <v>12</v>
      </c>
      <c r="F1054">
        <v>34628571</v>
      </c>
      <c r="G1054">
        <v>34628572</v>
      </c>
      <c r="H1054">
        <v>34628571</v>
      </c>
      <c r="I1054">
        <v>34628572</v>
      </c>
    </row>
    <row r="1055" spans="1:9" x14ac:dyDescent="0.2">
      <c r="A1055" s="1" t="str">
        <f>"ARID4A"</f>
        <v>ARID4A</v>
      </c>
      <c r="B1055" t="s">
        <v>14</v>
      </c>
      <c r="C1055" t="s">
        <v>41</v>
      </c>
      <c r="D1055" t="s">
        <v>17</v>
      </c>
      <c r="E1055" t="s">
        <v>12</v>
      </c>
      <c r="F1055">
        <v>58765217</v>
      </c>
      <c r="G1055">
        <v>58765301</v>
      </c>
      <c r="H1055">
        <v>58765217</v>
      </c>
      <c r="I1055">
        <v>58765301</v>
      </c>
    </row>
    <row r="1056" spans="1:9" x14ac:dyDescent="0.2">
      <c r="A1056" s="1" t="str">
        <f>"ARID4B"</f>
        <v>ARID4B</v>
      </c>
      <c r="B1056" t="s">
        <v>14</v>
      </c>
      <c r="C1056" t="s">
        <v>19</v>
      </c>
      <c r="D1056" t="s">
        <v>11</v>
      </c>
      <c r="E1056" t="s">
        <v>12</v>
      </c>
      <c r="F1056">
        <v>235491462</v>
      </c>
      <c r="G1056">
        <v>235491510</v>
      </c>
      <c r="H1056">
        <v>235491462</v>
      </c>
      <c r="I1056">
        <v>235491510</v>
      </c>
    </row>
    <row r="1057" spans="1:9" x14ac:dyDescent="0.2">
      <c r="A1057" s="1" t="str">
        <f>"ARID5A"</f>
        <v>ARID5A</v>
      </c>
      <c r="B1057" t="s">
        <v>14</v>
      </c>
      <c r="C1057" t="s">
        <v>26</v>
      </c>
      <c r="D1057" t="s">
        <v>17</v>
      </c>
      <c r="E1057" t="s">
        <v>12</v>
      </c>
      <c r="F1057">
        <v>97202480</v>
      </c>
      <c r="G1057">
        <v>97202499</v>
      </c>
      <c r="H1057">
        <v>97202451</v>
      </c>
      <c r="I1057">
        <v>97202462</v>
      </c>
    </row>
    <row r="1058" spans="1:9" x14ac:dyDescent="0.2">
      <c r="A1058" s="1" t="str">
        <f>"ARID5B"</f>
        <v>ARID5B</v>
      </c>
      <c r="B1058" t="s">
        <v>90</v>
      </c>
      <c r="C1058" t="s">
        <v>15</v>
      </c>
      <c r="D1058" t="s">
        <v>17</v>
      </c>
      <c r="E1058" t="s">
        <v>35</v>
      </c>
      <c r="F1058">
        <v>63660919</v>
      </c>
      <c r="G1058">
        <v>63660940</v>
      </c>
      <c r="H1058">
        <v>63661161</v>
      </c>
      <c r="I1058">
        <v>63661175</v>
      </c>
    </row>
    <row r="1059" spans="1:9" x14ac:dyDescent="0.2">
      <c r="A1059" s="1" t="str">
        <f>"ARIH1"</f>
        <v>ARIH1</v>
      </c>
      <c r="B1059" t="s">
        <v>14</v>
      </c>
      <c r="C1059" t="s">
        <v>25</v>
      </c>
      <c r="D1059" t="s">
        <v>17</v>
      </c>
      <c r="E1059" t="s">
        <v>12</v>
      </c>
      <c r="F1059">
        <v>72766651</v>
      </c>
      <c r="G1059">
        <v>72766680</v>
      </c>
      <c r="H1059">
        <v>72766701</v>
      </c>
      <c r="I1059">
        <v>72766713</v>
      </c>
    </row>
    <row r="1060" spans="1:9" x14ac:dyDescent="0.2">
      <c r="A1060" s="1" t="str">
        <f>"ARIH2"</f>
        <v>ARIH2</v>
      </c>
      <c r="B1060" t="s">
        <v>14</v>
      </c>
      <c r="C1060" t="s">
        <v>22</v>
      </c>
      <c r="D1060" t="s">
        <v>17</v>
      </c>
      <c r="E1060" t="s">
        <v>12</v>
      </c>
      <c r="F1060">
        <v>48956249</v>
      </c>
      <c r="G1060">
        <v>48956330</v>
      </c>
      <c r="H1060">
        <v>48956249</v>
      </c>
      <c r="I1060">
        <v>48956330</v>
      </c>
    </row>
    <row r="1061" spans="1:9" x14ac:dyDescent="0.2">
      <c r="A1061" s="1" t="str">
        <f>"ARIH2OS"</f>
        <v>ARIH2OS</v>
      </c>
      <c r="B1061" t="s">
        <v>14</v>
      </c>
      <c r="C1061" t="s">
        <v>22</v>
      </c>
      <c r="D1061" t="s">
        <v>11</v>
      </c>
      <c r="E1061" t="s">
        <v>12</v>
      </c>
      <c r="F1061">
        <v>48957289</v>
      </c>
      <c r="G1061">
        <v>48957305</v>
      </c>
      <c r="H1061">
        <v>48956614</v>
      </c>
      <c r="I1061">
        <v>48956619</v>
      </c>
    </row>
    <row r="1062" spans="1:9" x14ac:dyDescent="0.2">
      <c r="A1062" s="1" t="str">
        <f>"ARL1"</f>
        <v>ARL1</v>
      </c>
      <c r="B1062" t="s">
        <v>14</v>
      </c>
      <c r="C1062" t="s">
        <v>16</v>
      </c>
      <c r="D1062" t="s">
        <v>11</v>
      </c>
      <c r="E1062" t="s">
        <v>12</v>
      </c>
      <c r="F1062">
        <v>101801505</v>
      </c>
      <c r="G1062">
        <v>101801577</v>
      </c>
      <c r="H1062">
        <v>101801208</v>
      </c>
      <c r="I1062">
        <v>101801250</v>
      </c>
    </row>
    <row r="1063" spans="1:9" x14ac:dyDescent="0.2">
      <c r="A1063" s="1" t="str">
        <f>"ARL10"</f>
        <v>ARL10</v>
      </c>
      <c r="B1063" t="s">
        <v>14</v>
      </c>
      <c r="C1063" t="s">
        <v>46</v>
      </c>
      <c r="D1063" t="s">
        <v>17</v>
      </c>
      <c r="E1063" t="s">
        <v>12</v>
      </c>
      <c r="F1063">
        <v>175792459</v>
      </c>
      <c r="G1063">
        <v>175792513</v>
      </c>
      <c r="H1063">
        <v>175792515</v>
      </c>
      <c r="I1063">
        <v>175792520</v>
      </c>
    </row>
    <row r="1064" spans="1:9" x14ac:dyDescent="0.2">
      <c r="A1064" s="1" t="str">
        <f>"ARL11"</f>
        <v>ARL11</v>
      </c>
      <c r="B1064" t="s">
        <v>14</v>
      </c>
      <c r="C1064" t="s">
        <v>39</v>
      </c>
      <c r="D1064" t="s">
        <v>17</v>
      </c>
      <c r="E1064" t="s">
        <v>12</v>
      </c>
      <c r="F1064">
        <v>50202625</v>
      </c>
      <c r="G1064">
        <v>50202669</v>
      </c>
      <c r="H1064">
        <v>50202674</v>
      </c>
      <c r="I1064">
        <v>50202687</v>
      </c>
    </row>
    <row r="1065" spans="1:9" x14ac:dyDescent="0.2">
      <c r="A1065" s="1" t="str">
        <f>"ARL13A"</f>
        <v>ARL13A</v>
      </c>
      <c r="B1065" t="s">
        <v>14</v>
      </c>
      <c r="C1065" t="s">
        <v>37</v>
      </c>
      <c r="D1065" t="s">
        <v>17</v>
      </c>
      <c r="E1065" t="s">
        <v>12</v>
      </c>
      <c r="F1065">
        <v>100224676</v>
      </c>
      <c r="G1065">
        <v>100224701</v>
      </c>
      <c r="H1065">
        <v>100224676</v>
      </c>
      <c r="I1065">
        <v>100224701</v>
      </c>
    </row>
    <row r="1066" spans="1:9" x14ac:dyDescent="0.2">
      <c r="A1066" s="1" t="str">
        <f>"ARL13B"</f>
        <v>ARL13B</v>
      </c>
      <c r="B1066" t="s">
        <v>14</v>
      </c>
      <c r="C1066" t="s">
        <v>22</v>
      </c>
      <c r="D1066" t="s">
        <v>17</v>
      </c>
      <c r="E1066" t="s">
        <v>12</v>
      </c>
      <c r="F1066">
        <v>93698974</v>
      </c>
      <c r="G1066">
        <v>93699039</v>
      </c>
      <c r="H1066">
        <v>93699047</v>
      </c>
      <c r="I1066">
        <v>93699054</v>
      </c>
    </row>
    <row r="1067" spans="1:9" x14ac:dyDescent="0.2">
      <c r="A1067" s="1" t="str">
        <f>"ARL14"</f>
        <v>ARL14</v>
      </c>
      <c r="B1067" t="s">
        <v>14</v>
      </c>
      <c r="C1067" t="s">
        <v>22</v>
      </c>
      <c r="D1067" t="s">
        <v>17</v>
      </c>
      <c r="E1067" t="s">
        <v>12</v>
      </c>
      <c r="F1067">
        <v>160394940</v>
      </c>
      <c r="G1067">
        <v>160394954</v>
      </c>
      <c r="H1067">
        <v>160394961</v>
      </c>
      <c r="I1067">
        <v>160394996</v>
      </c>
    </row>
    <row r="1068" spans="1:9" x14ac:dyDescent="0.2">
      <c r="A1068" s="1" t="str">
        <f>"ARL14EP"</f>
        <v>ARL14EP</v>
      </c>
      <c r="B1068" t="s">
        <v>14</v>
      </c>
      <c r="C1068" t="s">
        <v>27</v>
      </c>
      <c r="D1068" t="s">
        <v>17</v>
      </c>
      <c r="E1068" t="s">
        <v>12</v>
      </c>
      <c r="F1068">
        <v>30344624</v>
      </c>
      <c r="G1068">
        <v>30344684</v>
      </c>
      <c r="H1068">
        <v>30344687</v>
      </c>
      <c r="I1068">
        <v>30344713</v>
      </c>
    </row>
    <row r="1069" spans="1:9" x14ac:dyDescent="0.2">
      <c r="A1069" s="1" t="str">
        <f>"ARL14EPL"</f>
        <v>ARL14EPL</v>
      </c>
      <c r="B1069" t="s">
        <v>91</v>
      </c>
      <c r="C1069" t="s">
        <v>46</v>
      </c>
      <c r="D1069" t="s">
        <v>17</v>
      </c>
      <c r="E1069" t="s">
        <v>20</v>
      </c>
      <c r="F1069">
        <v>115387162</v>
      </c>
      <c r="G1069">
        <v>115387162</v>
      </c>
      <c r="H1069">
        <v>115387162</v>
      </c>
      <c r="I1069">
        <v>115387162</v>
      </c>
    </row>
    <row r="1070" spans="1:9" x14ac:dyDescent="0.2">
      <c r="A1070" s="1" t="str">
        <f>"ARL15"</f>
        <v>ARL15</v>
      </c>
      <c r="B1070" t="s">
        <v>14</v>
      </c>
      <c r="C1070" t="s">
        <v>46</v>
      </c>
      <c r="D1070" t="s">
        <v>11</v>
      </c>
      <c r="E1070" t="s">
        <v>12</v>
      </c>
      <c r="F1070">
        <v>53606396</v>
      </c>
      <c r="G1070">
        <v>53606431</v>
      </c>
      <c r="H1070">
        <v>53606375</v>
      </c>
      <c r="I1070">
        <v>53606394</v>
      </c>
    </row>
    <row r="1071" spans="1:9" x14ac:dyDescent="0.2">
      <c r="A1071" s="1" t="str">
        <f>"ARL16"</f>
        <v>ARL16</v>
      </c>
      <c r="B1071" t="s">
        <v>14</v>
      </c>
      <c r="C1071" t="s">
        <v>28</v>
      </c>
      <c r="D1071" t="s">
        <v>11</v>
      </c>
      <c r="E1071" t="s">
        <v>12</v>
      </c>
      <c r="F1071">
        <v>79650747</v>
      </c>
      <c r="G1071">
        <v>79650810</v>
      </c>
      <c r="H1071">
        <v>79650818</v>
      </c>
      <c r="I1071">
        <v>79650829</v>
      </c>
    </row>
    <row r="1072" spans="1:9" x14ac:dyDescent="0.2">
      <c r="A1072" s="1" t="str">
        <f>"ARL17A"</f>
        <v>ARL17A</v>
      </c>
      <c r="B1072" t="s">
        <v>92</v>
      </c>
      <c r="C1072" t="s">
        <v>28</v>
      </c>
      <c r="D1072" t="s">
        <v>11</v>
      </c>
      <c r="E1072" t="s">
        <v>20</v>
      </c>
      <c r="F1072">
        <v>44657046</v>
      </c>
      <c r="G1072">
        <v>44657046</v>
      </c>
      <c r="H1072">
        <v>44657046</v>
      </c>
      <c r="I1072">
        <v>44657046</v>
      </c>
    </row>
    <row r="1073" spans="1:9" x14ac:dyDescent="0.2">
      <c r="A1073" s="1" t="str">
        <f>"ARL17B"</f>
        <v>ARL17B</v>
      </c>
      <c r="B1073" t="s">
        <v>93</v>
      </c>
      <c r="C1073" t="s">
        <v>28</v>
      </c>
      <c r="D1073" t="s">
        <v>11</v>
      </c>
      <c r="E1073" t="s">
        <v>20</v>
      </c>
      <c r="F1073">
        <v>44439122</v>
      </c>
      <c r="G1073">
        <v>44439122</v>
      </c>
      <c r="H1073">
        <v>44439122</v>
      </c>
      <c r="I1073">
        <v>44439122</v>
      </c>
    </row>
    <row r="1074" spans="1:9" x14ac:dyDescent="0.2">
      <c r="A1074" s="1" t="str">
        <f>"ARL2"</f>
        <v>ARL2</v>
      </c>
      <c r="B1074" t="s">
        <v>14</v>
      </c>
      <c r="C1074" t="s">
        <v>27</v>
      </c>
      <c r="D1074" t="s">
        <v>17</v>
      </c>
      <c r="E1074" t="s">
        <v>12</v>
      </c>
      <c r="F1074">
        <v>64781575</v>
      </c>
      <c r="G1074">
        <v>64781655</v>
      </c>
      <c r="H1074">
        <v>64781657</v>
      </c>
      <c r="I1074">
        <v>64781706</v>
      </c>
    </row>
    <row r="1075" spans="1:9" x14ac:dyDescent="0.2">
      <c r="A1075" s="1" t="str">
        <f>"ARL2BP"</f>
        <v>ARL2BP</v>
      </c>
      <c r="B1075" t="s">
        <v>14</v>
      </c>
      <c r="C1075" t="s">
        <v>31</v>
      </c>
      <c r="D1075" t="s">
        <v>17</v>
      </c>
      <c r="E1075" t="s">
        <v>12</v>
      </c>
      <c r="F1075">
        <v>57279135</v>
      </c>
      <c r="G1075">
        <v>57279180</v>
      </c>
      <c r="H1075">
        <v>57279052</v>
      </c>
      <c r="I1075">
        <v>57279099</v>
      </c>
    </row>
    <row r="1076" spans="1:9" x14ac:dyDescent="0.2">
      <c r="A1076" s="1" t="str">
        <f>"ARL3"</f>
        <v>ARL3</v>
      </c>
      <c r="B1076" t="s">
        <v>14</v>
      </c>
      <c r="C1076" t="s">
        <v>15</v>
      </c>
      <c r="D1076" t="s">
        <v>11</v>
      </c>
      <c r="E1076" t="s">
        <v>12</v>
      </c>
      <c r="F1076">
        <v>104474128</v>
      </c>
      <c r="G1076">
        <v>104474209</v>
      </c>
      <c r="H1076">
        <v>104474088</v>
      </c>
      <c r="I1076">
        <v>104474105</v>
      </c>
    </row>
    <row r="1077" spans="1:9" x14ac:dyDescent="0.2">
      <c r="A1077" s="1" t="str">
        <f>"ARL4A"</f>
        <v>ARL4A</v>
      </c>
      <c r="B1077" t="s">
        <v>14</v>
      </c>
      <c r="C1077" t="s">
        <v>33</v>
      </c>
      <c r="D1077" t="s">
        <v>17</v>
      </c>
      <c r="E1077" t="s">
        <v>12</v>
      </c>
      <c r="F1077">
        <v>12727250</v>
      </c>
      <c r="G1077">
        <v>12727265</v>
      </c>
      <c r="H1077">
        <v>12726474</v>
      </c>
      <c r="I1077">
        <v>12726542</v>
      </c>
    </row>
    <row r="1078" spans="1:9" x14ac:dyDescent="0.2">
      <c r="A1078" s="1" t="str">
        <f>"ARL4C"</f>
        <v>ARL4C</v>
      </c>
      <c r="B1078" t="s">
        <v>14</v>
      </c>
      <c r="C1078" t="s">
        <v>26</v>
      </c>
      <c r="D1078" t="s">
        <v>11</v>
      </c>
      <c r="E1078" t="s">
        <v>12</v>
      </c>
      <c r="F1078">
        <v>235405679</v>
      </c>
      <c r="G1078">
        <v>235405739</v>
      </c>
      <c r="H1078">
        <v>235405168</v>
      </c>
      <c r="I1078">
        <v>235405277</v>
      </c>
    </row>
    <row r="1079" spans="1:9" x14ac:dyDescent="0.2">
      <c r="A1079" s="1" t="str">
        <f>"ARL4D"</f>
        <v>ARL4D</v>
      </c>
      <c r="B1079" t="s">
        <v>14</v>
      </c>
      <c r="C1079" t="s">
        <v>28</v>
      </c>
      <c r="D1079" t="s">
        <v>17</v>
      </c>
      <c r="E1079" t="s">
        <v>12</v>
      </c>
      <c r="F1079">
        <v>41476352</v>
      </c>
      <c r="G1079">
        <v>41476368</v>
      </c>
      <c r="H1079">
        <v>41476454</v>
      </c>
      <c r="I1079">
        <v>41476484</v>
      </c>
    </row>
    <row r="1080" spans="1:9" x14ac:dyDescent="0.2">
      <c r="A1080" s="1" t="str">
        <f>"ARL5A"</f>
        <v>ARL5A</v>
      </c>
      <c r="B1080" t="s">
        <v>14</v>
      </c>
      <c r="C1080" t="s">
        <v>26</v>
      </c>
      <c r="D1080" t="s">
        <v>11</v>
      </c>
      <c r="E1080" t="s">
        <v>12</v>
      </c>
      <c r="F1080">
        <v>152684922</v>
      </c>
      <c r="G1080">
        <v>152684966</v>
      </c>
      <c r="H1080">
        <v>152684977</v>
      </c>
      <c r="I1080">
        <v>152685021</v>
      </c>
    </row>
    <row r="1081" spans="1:9" x14ac:dyDescent="0.2">
      <c r="A1081" s="1" t="str">
        <f>"ARL5B"</f>
        <v>ARL5B</v>
      </c>
      <c r="B1081" t="s">
        <v>14</v>
      </c>
      <c r="C1081" t="s">
        <v>15</v>
      </c>
      <c r="D1081" t="s">
        <v>17</v>
      </c>
      <c r="E1081" t="s">
        <v>12</v>
      </c>
      <c r="F1081">
        <v>18948311</v>
      </c>
      <c r="G1081">
        <v>18948417</v>
      </c>
      <c r="H1081">
        <v>18948288</v>
      </c>
      <c r="I1081">
        <v>18948305</v>
      </c>
    </row>
    <row r="1082" spans="1:9" x14ac:dyDescent="0.2">
      <c r="A1082" s="1" t="str">
        <f>"ARL5C"</f>
        <v>ARL5C</v>
      </c>
      <c r="B1082" t="s">
        <v>14</v>
      </c>
      <c r="C1082" t="s">
        <v>28</v>
      </c>
      <c r="D1082" t="s">
        <v>11</v>
      </c>
      <c r="E1082" t="s">
        <v>12</v>
      </c>
      <c r="F1082">
        <v>37322391</v>
      </c>
      <c r="G1082">
        <v>37322415</v>
      </c>
      <c r="H1082">
        <v>37322317</v>
      </c>
      <c r="I1082">
        <v>37322337</v>
      </c>
    </row>
    <row r="1083" spans="1:9" x14ac:dyDescent="0.2">
      <c r="A1083" s="1" t="str">
        <f>"ARL6"</f>
        <v>ARL6</v>
      </c>
      <c r="B1083" t="s">
        <v>14</v>
      </c>
      <c r="C1083" t="s">
        <v>22</v>
      </c>
      <c r="D1083" t="s">
        <v>17</v>
      </c>
      <c r="E1083" t="s">
        <v>12</v>
      </c>
      <c r="F1083">
        <v>97483572</v>
      </c>
      <c r="G1083">
        <v>97483644</v>
      </c>
      <c r="H1083">
        <v>97483366</v>
      </c>
      <c r="I1083">
        <v>97483422</v>
      </c>
    </row>
    <row r="1084" spans="1:9" x14ac:dyDescent="0.2">
      <c r="A1084" s="1" t="str">
        <f>"ARL6IP1"</f>
        <v>ARL6IP1</v>
      </c>
      <c r="B1084" t="s">
        <v>9</v>
      </c>
      <c r="C1084" t="s">
        <v>31</v>
      </c>
      <c r="D1084" t="s">
        <v>11</v>
      </c>
      <c r="E1084" t="s">
        <v>12</v>
      </c>
      <c r="F1084">
        <v>18812860</v>
      </c>
      <c r="G1084">
        <v>18812878</v>
      </c>
      <c r="H1084">
        <v>18812860</v>
      </c>
      <c r="I1084">
        <v>18812878</v>
      </c>
    </row>
    <row r="1085" spans="1:9" x14ac:dyDescent="0.2">
      <c r="A1085" s="1" t="str">
        <f>"ARL6IP1"</f>
        <v>ARL6IP1</v>
      </c>
      <c r="B1085" t="s">
        <v>13</v>
      </c>
      <c r="C1085" t="s">
        <v>31</v>
      </c>
      <c r="D1085" t="s">
        <v>11</v>
      </c>
      <c r="E1085" t="s">
        <v>12</v>
      </c>
      <c r="F1085">
        <v>18809321</v>
      </c>
      <c r="G1085">
        <v>18809366</v>
      </c>
      <c r="H1085">
        <v>18809321</v>
      </c>
      <c r="I1085">
        <v>18809366</v>
      </c>
    </row>
    <row r="1086" spans="1:9" x14ac:dyDescent="0.2">
      <c r="A1086" s="1" t="str">
        <f>"ARL6IP4"</f>
        <v>ARL6IP4</v>
      </c>
      <c r="B1086" t="s">
        <v>14</v>
      </c>
      <c r="C1086" t="s">
        <v>16</v>
      </c>
      <c r="D1086" t="s">
        <v>17</v>
      </c>
      <c r="E1086" t="s">
        <v>12</v>
      </c>
      <c r="F1086">
        <v>123465218</v>
      </c>
      <c r="G1086">
        <v>123465275</v>
      </c>
      <c r="H1086">
        <v>123464771</v>
      </c>
      <c r="I1086">
        <v>123464849</v>
      </c>
    </row>
    <row r="1087" spans="1:9" x14ac:dyDescent="0.2">
      <c r="A1087" s="1" t="str">
        <f>"ARL6IP5"</f>
        <v>ARL6IP5</v>
      </c>
      <c r="B1087" t="s">
        <v>14</v>
      </c>
      <c r="C1087" t="s">
        <v>22</v>
      </c>
      <c r="D1087" t="s">
        <v>17</v>
      </c>
      <c r="E1087" t="s">
        <v>12</v>
      </c>
      <c r="F1087">
        <v>69134124</v>
      </c>
      <c r="G1087">
        <v>69134200</v>
      </c>
      <c r="H1087">
        <v>69134080</v>
      </c>
      <c r="I1087">
        <v>69134101</v>
      </c>
    </row>
    <row r="1088" spans="1:9" x14ac:dyDescent="0.2">
      <c r="A1088" s="1" t="str">
        <f>"ARL6IP6"</f>
        <v>ARL6IP6</v>
      </c>
      <c r="B1088" t="s">
        <v>14</v>
      </c>
      <c r="C1088" t="s">
        <v>26</v>
      </c>
      <c r="D1088" t="s">
        <v>17</v>
      </c>
      <c r="E1088" t="s">
        <v>12</v>
      </c>
      <c r="F1088">
        <v>153575118</v>
      </c>
      <c r="G1088">
        <v>153575146</v>
      </c>
      <c r="H1088">
        <v>153575103</v>
      </c>
      <c r="I1088">
        <v>153575116</v>
      </c>
    </row>
    <row r="1089" spans="1:9" x14ac:dyDescent="0.2">
      <c r="A1089" s="1" t="str">
        <f>"ARL8A"</f>
        <v>ARL8A</v>
      </c>
      <c r="B1089" t="s">
        <v>14</v>
      </c>
      <c r="C1089" t="s">
        <v>19</v>
      </c>
      <c r="D1089" t="s">
        <v>11</v>
      </c>
      <c r="E1089" t="s">
        <v>12</v>
      </c>
      <c r="F1089">
        <v>202113805</v>
      </c>
      <c r="G1089">
        <v>202113883</v>
      </c>
      <c r="H1089">
        <v>202113767</v>
      </c>
      <c r="I1089">
        <v>202113778</v>
      </c>
    </row>
    <row r="1090" spans="1:9" x14ac:dyDescent="0.2">
      <c r="A1090" s="1" t="str">
        <f>"ARL8B"</f>
        <v>ARL8B</v>
      </c>
      <c r="B1090" t="s">
        <v>14</v>
      </c>
      <c r="C1090" t="s">
        <v>22</v>
      </c>
      <c r="D1090" t="s">
        <v>17</v>
      </c>
      <c r="E1090" t="s">
        <v>12</v>
      </c>
      <c r="F1090">
        <v>5163961</v>
      </c>
      <c r="G1090">
        <v>5164039</v>
      </c>
      <c r="H1090">
        <v>5163961</v>
      </c>
      <c r="I1090">
        <v>5164039</v>
      </c>
    </row>
    <row r="1091" spans="1:9" x14ac:dyDescent="0.2">
      <c r="A1091" s="1" t="str">
        <f>"ARL9"</f>
        <v>ARL9</v>
      </c>
      <c r="B1091" t="s">
        <v>14</v>
      </c>
      <c r="C1091" t="s">
        <v>23</v>
      </c>
      <c r="D1091" t="s">
        <v>17</v>
      </c>
      <c r="E1091" t="s">
        <v>12</v>
      </c>
      <c r="F1091">
        <v>57371587</v>
      </c>
      <c r="G1091">
        <v>57371601</v>
      </c>
      <c r="H1091">
        <v>57371453</v>
      </c>
      <c r="I1091">
        <v>57371489</v>
      </c>
    </row>
    <row r="1092" spans="1:9" x14ac:dyDescent="0.2">
      <c r="A1092" s="1" t="str">
        <f>"ARMC1"</f>
        <v>ARMC1</v>
      </c>
      <c r="B1092" t="s">
        <v>14</v>
      </c>
      <c r="C1092" t="s">
        <v>30</v>
      </c>
      <c r="D1092" t="s">
        <v>11</v>
      </c>
      <c r="E1092" t="s">
        <v>12</v>
      </c>
      <c r="F1092">
        <v>66546373</v>
      </c>
      <c r="G1092">
        <v>66546428</v>
      </c>
      <c r="H1092">
        <v>66546439</v>
      </c>
      <c r="I1092">
        <v>66546451</v>
      </c>
    </row>
    <row r="1093" spans="1:9" x14ac:dyDescent="0.2">
      <c r="A1093" s="1" t="str">
        <f>"ARMC10"</f>
        <v>ARMC10</v>
      </c>
      <c r="B1093" t="s">
        <v>14</v>
      </c>
      <c r="C1093" t="s">
        <v>33</v>
      </c>
      <c r="D1093" t="s">
        <v>17</v>
      </c>
      <c r="E1093" t="s">
        <v>12</v>
      </c>
      <c r="F1093">
        <v>102715573</v>
      </c>
      <c r="G1093">
        <v>102715623</v>
      </c>
      <c r="H1093">
        <v>102715315</v>
      </c>
      <c r="I1093">
        <v>102715380</v>
      </c>
    </row>
    <row r="1094" spans="1:9" x14ac:dyDescent="0.2">
      <c r="A1094" s="1" t="str">
        <f>"ARMC12"</f>
        <v>ARMC12</v>
      </c>
      <c r="B1094" t="s">
        <v>14</v>
      </c>
      <c r="C1094" t="s">
        <v>32</v>
      </c>
      <c r="D1094" t="s">
        <v>17</v>
      </c>
      <c r="E1094" t="s">
        <v>12</v>
      </c>
      <c r="F1094">
        <v>35704831</v>
      </c>
      <c r="G1094">
        <v>35704849</v>
      </c>
      <c r="H1094">
        <v>35704855</v>
      </c>
      <c r="I1094">
        <v>35704874</v>
      </c>
    </row>
    <row r="1095" spans="1:9" x14ac:dyDescent="0.2">
      <c r="A1095" s="1" t="str">
        <f>"ARMC2"</f>
        <v>ARMC2</v>
      </c>
      <c r="B1095" t="s">
        <v>14</v>
      </c>
      <c r="C1095" t="s">
        <v>32</v>
      </c>
      <c r="D1095" t="s">
        <v>17</v>
      </c>
      <c r="E1095" t="s">
        <v>12</v>
      </c>
      <c r="F1095">
        <v>109169591</v>
      </c>
      <c r="G1095">
        <v>109169660</v>
      </c>
      <c r="H1095">
        <v>109169666</v>
      </c>
      <c r="I1095">
        <v>109169677</v>
      </c>
    </row>
    <row r="1096" spans="1:9" x14ac:dyDescent="0.2">
      <c r="A1096" s="1" t="str">
        <f>"ARMC3"</f>
        <v>ARMC3</v>
      </c>
      <c r="B1096" t="s">
        <v>14</v>
      </c>
      <c r="C1096" t="s">
        <v>15</v>
      </c>
      <c r="D1096" t="s">
        <v>17</v>
      </c>
      <c r="E1096" t="s">
        <v>12</v>
      </c>
      <c r="F1096">
        <v>23216944</v>
      </c>
      <c r="G1096">
        <v>23217002</v>
      </c>
      <c r="H1096">
        <v>23217008</v>
      </c>
      <c r="I1096">
        <v>23217018</v>
      </c>
    </row>
    <row r="1097" spans="1:9" x14ac:dyDescent="0.2">
      <c r="A1097" s="1" t="str">
        <f>"ARMC4"</f>
        <v>ARMC4</v>
      </c>
      <c r="B1097" t="s">
        <v>14</v>
      </c>
      <c r="C1097" t="s">
        <v>15</v>
      </c>
      <c r="D1097" t="s">
        <v>11</v>
      </c>
      <c r="E1097" t="s">
        <v>12</v>
      </c>
      <c r="F1097">
        <v>28287968</v>
      </c>
      <c r="G1097">
        <v>28288010</v>
      </c>
      <c r="H1097">
        <v>28287818</v>
      </c>
      <c r="I1097">
        <v>28287850</v>
      </c>
    </row>
    <row r="1098" spans="1:9" x14ac:dyDescent="0.2">
      <c r="A1098" s="1" t="str">
        <f>"ARMC5"</f>
        <v>ARMC5</v>
      </c>
      <c r="B1098" t="s">
        <v>14</v>
      </c>
      <c r="C1098" t="s">
        <v>31</v>
      </c>
      <c r="D1098" t="s">
        <v>17</v>
      </c>
      <c r="E1098" t="s">
        <v>12</v>
      </c>
      <c r="F1098">
        <v>31470800</v>
      </c>
      <c r="G1098">
        <v>31470843</v>
      </c>
      <c r="H1098">
        <v>31470800</v>
      </c>
      <c r="I1098">
        <v>31470843</v>
      </c>
    </row>
    <row r="1099" spans="1:9" x14ac:dyDescent="0.2">
      <c r="A1099" s="1" t="str">
        <f>"ARMC6"</f>
        <v>ARMC6</v>
      </c>
      <c r="B1099" t="s">
        <v>14</v>
      </c>
      <c r="C1099" t="s">
        <v>10</v>
      </c>
      <c r="D1099" t="s">
        <v>17</v>
      </c>
      <c r="E1099" t="s">
        <v>12</v>
      </c>
      <c r="F1099">
        <v>19144386</v>
      </c>
      <c r="G1099">
        <v>19144457</v>
      </c>
      <c r="H1099">
        <v>19144666</v>
      </c>
      <c r="I1099">
        <v>19144730</v>
      </c>
    </row>
    <row r="1100" spans="1:9" x14ac:dyDescent="0.2">
      <c r="A1100" s="1" t="str">
        <f>"ARMC7"</f>
        <v>ARMC7</v>
      </c>
      <c r="B1100" t="s">
        <v>14</v>
      </c>
      <c r="C1100" t="s">
        <v>28</v>
      </c>
      <c r="D1100" t="s">
        <v>17</v>
      </c>
      <c r="E1100" t="s">
        <v>12</v>
      </c>
      <c r="F1100">
        <v>73106035</v>
      </c>
      <c r="G1100">
        <v>73106075</v>
      </c>
      <c r="H1100">
        <v>73106090</v>
      </c>
      <c r="I1100">
        <v>73106109</v>
      </c>
    </row>
    <row r="1101" spans="1:9" x14ac:dyDescent="0.2">
      <c r="A1101" s="1" t="str">
        <f>"ARMC8"</f>
        <v>ARMC8</v>
      </c>
      <c r="B1101" t="s">
        <v>14</v>
      </c>
      <c r="C1101" t="s">
        <v>22</v>
      </c>
      <c r="D1101" t="s">
        <v>17</v>
      </c>
      <c r="E1101" t="s">
        <v>12</v>
      </c>
      <c r="F1101">
        <v>137906353</v>
      </c>
      <c r="G1101">
        <v>137906402</v>
      </c>
      <c r="H1101">
        <v>137906154</v>
      </c>
      <c r="I1101">
        <v>137906191</v>
      </c>
    </row>
    <row r="1102" spans="1:9" x14ac:dyDescent="0.2">
      <c r="A1102" s="1" t="str">
        <f>"ARMC9"</f>
        <v>ARMC9</v>
      </c>
      <c r="B1102" t="s">
        <v>14</v>
      </c>
      <c r="C1102" t="s">
        <v>26</v>
      </c>
      <c r="D1102" t="s">
        <v>17</v>
      </c>
      <c r="E1102" t="s">
        <v>12</v>
      </c>
      <c r="F1102">
        <v>232063321</v>
      </c>
      <c r="G1102">
        <v>232063424</v>
      </c>
      <c r="H1102">
        <v>232063436</v>
      </c>
      <c r="I1102">
        <v>232063454</v>
      </c>
    </row>
    <row r="1103" spans="1:9" x14ac:dyDescent="0.2">
      <c r="A1103" s="1" t="str">
        <f>"ARMCX1"</f>
        <v>ARMCX1</v>
      </c>
      <c r="B1103" t="s">
        <v>14</v>
      </c>
      <c r="C1103" t="s">
        <v>37</v>
      </c>
      <c r="D1103" t="s">
        <v>17</v>
      </c>
      <c r="E1103" t="s">
        <v>12</v>
      </c>
      <c r="F1103">
        <v>100805520</v>
      </c>
      <c r="G1103">
        <v>100805555</v>
      </c>
      <c r="H1103">
        <v>100805556</v>
      </c>
      <c r="I1103">
        <v>100805571</v>
      </c>
    </row>
    <row r="1104" spans="1:9" x14ac:dyDescent="0.2">
      <c r="A1104" s="1" t="str">
        <f>"ARMCX2"</f>
        <v>ARMCX2</v>
      </c>
      <c r="B1104" t="s">
        <v>14</v>
      </c>
      <c r="C1104" t="s">
        <v>37</v>
      </c>
      <c r="D1104" t="s">
        <v>11</v>
      </c>
      <c r="E1104" t="s">
        <v>12</v>
      </c>
      <c r="F1104">
        <v>100914826</v>
      </c>
      <c r="G1104">
        <v>100914842</v>
      </c>
      <c r="H1104">
        <v>100914119</v>
      </c>
      <c r="I1104">
        <v>100914143</v>
      </c>
    </row>
    <row r="1105" spans="1:9" x14ac:dyDescent="0.2">
      <c r="A1105" s="1" t="str">
        <f>"ARMCX3"</f>
        <v>ARMCX3</v>
      </c>
      <c r="B1105" t="s">
        <v>14</v>
      </c>
      <c r="C1105" t="s">
        <v>37</v>
      </c>
      <c r="D1105" t="s">
        <v>17</v>
      </c>
      <c r="E1105" t="s">
        <v>12</v>
      </c>
      <c r="F1105">
        <v>100878112</v>
      </c>
      <c r="G1105">
        <v>100878187</v>
      </c>
      <c r="H1105">
        <v>100878105</v>
      </c>
      <c r="I1105">
        <v>100878109</v>
      </c>
    </row>
    <row r="1106" spans="1:9" x14ac:dyDescent="0.2">
      <c r="A1106" s="1" t="str">
        <f>"ARMCX4"</f>
        <v>ARMCX4</v>
      </c>
      <c r="B1106" t="s">
        <v>14</v>
      </c>
      <c r="C1106" t="s">
        <v>37</v>
      </c>
      <c r="D1106" t="s">
        <v>17</v>
      </c>
      <c r="E1106" t="s">
        <v>12</v>
      </c>
      <c r="F1106">
        <v>100740401</v>
      </c>
      <c r="G1106">
        <v>100740449</v>
      </c>
      <c r="H1106">
        <v>100740401</v>
      </c>
      <c r="I1106">
        <v>100740449</v>
      </c>
    </row>
    <row r="1107" spans="1:9" x14ac:dyDescent="0.2">
      <c r="A1107" s="1" t="str">
        <f>"ARMCX5"</f>
        <v>ARMCX5</v>
      </c>
      <c r="B1107" t="s">
        <v>14</v>
      </c>
      <c r="C1107" t="s">
        <v>37</v>
      </c>
      <c r="D1107" t="s">
        <v>17</v>
      </c>
      <c r="E1107" t="s">
        <v>12</v>
      </c>
      <c r="F1107">
        <v>101854430</v>
      </c>
      <c r="G1107">
        <v>101854480</v>
      </c>
      <c r="H1107">
        <v>101854127</v>
      </c>
      <c r="I1107">
        <v>101854140</v>
      </c>
    </row>
    <row r="1108" spans="1:9" x14ac:dyDescent="0.2">
      <c r="A1108" s="1" t="str">
        <f>"ARMCX5-GPRASP2"</f>
        <v>ARMCX5-GPRASP2</v>
      </c>
      <c r="B1108" t="s">
        <v>14</v>
      </c>
      <c r="C1108" t="s">
        <v>37</v>
      </c>
      <c r="D1108" t="s">
        <v>17</v>
      </c>
      <c r="E1108" t="s">
        <v>67</v>
      </c>
      <c r="F1108">
        <v>101854430</v>
      </c>
      <c r="G1108">
        <v>101854480</v>
      </c>
      <c r="H1108">
        <v>101854127</v>
      </c>
      <c r="I1108">
        <v>101854140</v>
      </c>
    </row>
    <row r="1109" spans="1:9" x14ac:dyDescent="0.2">
      <c r="A1109" s="1" t="str">
        <f>"ARMCX6"</f>
        <v>ARMCX6</v>
      </c>
      <c r="B1109" t="s">
        <v>14</v>
      </c>
      <c r="C1109" t="s">
        <v>37</v>
      </c>
      <c r="D1109" t="s">
        <v>11</v>
      </c>
      <c r="E1109" t="s">
        <v>12</v>
      </c>
      <c r="F1109">
        <v>100872911</v>
      </c>
      <c r="G1109">
        <v>100873001</v>
      </c>
      <c r="H1109">
        <v>100872911</v>
      </c>
      <c r="I1109">
        <v>100873001</v>
      </c>
    </row>
    <row r="1110" spans="1:9" x14ac:dyDescent="0.2">
      <c r="A1110" s="1" t="str">
        <f>"ARMS2"</f>
        <v>ARMS2</v>
      </c>
      <c r="B1110" t="s">
        <v>14</v>
      </c>
      <c r="C1110" t="s">
        <v>15</v>
      </c>
      <c r="D1110" t="s">
        <v>17</v>
      </c>
      <c r="E1110" t="s">
        <v>12</v>
      </c>
      <c r="F1110">
        <v>124214164</v>
      </c>
      <c r="G1110">
        <v>124214184</v>
      </c>
      <c r="H1110">
        <v>124214220</v>
      </c>
      <c r="I1110">
        <v>124214223</v>
      </c>
    </row>
    <row r="1111" spans="1:9" x14ac:dyDescent="0.2">
      <c r="A1111" s="1" t="str">
        <f>"ARNT"</f>
        <v>ARNT</v>
      </c>
      <c r="B1111" t="s">
        <v>14</v>
      </c>
      <c r="C1111" t="s">
        <v>19</v>
      </c>
      <c r="D1111" t="s">
        <v>11</v>
      </c>
      <c r="E1111" t="s">
        <v>12</v>
      </c>
      <c r="F1111">
        <v>150849047</v>
      </c>
      <c r="G1111">
        <v>150849082</v>
      </c>
      <c r="H1111">
        <v>150849174</v>
      </c>
      <c r="I1111">
        <v>150849200</v>
      </c>
    </row>
    <row r="1112" spans="1:9" x14ac:dyDescent="0.2">
      <c r="A1112" s="1" t="str">
        <f>"ARNT2"</f>
        <v>ARNT2</v>
      </c>
      <c r="B1112" t="s">
        <v>14</v>
      </c>
      <c r="C1112" t="s">
        <v>25</v>
      </c>
      <c r="D1112" t="s">
        <v>17</v>
      </c>
      <c r="E1112" t="s">
        <v>12</v>
      </c>
      <c r="F1112">
        <v>80696703</v>
      </c>
      <c r="G1112">
        <v>80696754</v>
      </c>
      <c r="H1112">
        <v>80696703</v>
      </c>
      <c r="I1112">
        <v>80696754</v>
      </c>
    </row>
    <row r="1113" spans="1:9" x14ac:dyDescent="0.2">
      <c r="A1113" s="1" t="str">
        <f>"ARNTL"</f>
        <v>ARNTL</v>
      </c>
      <c r="B1113" t="s">
        <v>14</v>
      </c>
      <c r="C1113" t="s">
        <v>27</v>
      </c>
      <c r="D1113" t="s">
        <v>17</v>
      </c>
      <c r="E1113" t="s">
        <v>12</v>
      </c>
      <c r="F1113">
        <v>13299319</v>
      </c>
      <c r="G1113">
        <v>13299424</v>
      </c>
      <c r="H1113">
        <v>13299319</v>
      </c>
      <c r="I1113">
        <v>13299424</v>
      </c>
    </row>
    <row r="1114" spans="1:9" x14ac:dyDescent="0.2">
      <c r="A1114" s="1" t="str">
        <f>"ARNTL2"</f>
        <v>ARNTL2</v>
      </c>
      <c r="B1114" t="s">
        <v>14</v>
      </c>
      <c r="C1114" t="s">
        <v>16</v>
      </c>
      <c r="D1114" t="s">
        <v>17</v>
      </c>
      <c r="E1114" t="s">
        <v>12</v>
      </c>
      <c r="F1114">
        <v>27485785</v>
      </c>
      <c r="G1114">
        <v>27485816</v>
      </c>
      <c r="H1114">
        <v>27485823</v>
      </c>
      <c r="I1114">
        <v>27485868</v>
      </c>
    </row>
    <row r="1115" spans="1:9" x14ac:dyDescent="0.2">
      <c r="A1115" s="1" t="str">
        <f>"ARPC1A"</f>
        <v>ARPC1A</v>
      </c>
      <c r="B1115" t="s">
        <v>14</v>
      </c>
      <c r="C1115" t="s">
        <v>33</v>
      </c>
      <c r="D1115" t="s">
        <v>17</v>
      </c>
      <c r="E1115" t="s">
        <v>12</v>
      </c>
      <c r="F1115">
        <v>98923505</v>
      </c>
      <c r="G1115">
        <v>98923566</v>
      </c>
      <c r="H1115">
        <v>98923571</v>
      </c>
      <c r="I1115">
        <v>98923582</v>
      </c>
    </row>
    <row r="1116" spans="1:9" x14ac:dyDescent="0.2">
      <c r="A1116" s="1" t="str">
        <f>"ARPC1B"</f>
        <v>ARPC1B</v>
      </c>
      <c r="B1116" t="s">
        <v>14</v>
      </c>
      <c r="C1116" t="s">
        <v>33</v>
      </c>
      <c r="D1116" t="s">
        <v>17</v>
      </c>
      <c r="E1116" t="s">
        <v>12</v>
      </c>
      <c r="F1116">
        <v>98972345</v>
      </c>
      <c r="G1116">
        <v>98972360</v>
      </c>
      <c r="H1116">
        <v>98972311</v>
      </c>
      <c r="I1116">
        <v>98972326</v>
      </c>
    </row>
    <row r="1117" spans="1:9" x14ac:dyDescent="0.2">
      <c r="A1117" s="1" t="str">
        <f>"ARPC2"</f>
        <v>ARPC2</v>
      </c>
      <c r="B1117" t="s">
        <v>9</v>
      </c>
      <c r="C1117" t="s">
        <v>26</v>
      </c>
      <c r="D1117" t="s">
        <v>17</v>
      </c>
      <c r="E1117" t="s">
        <v>12</v>
      </c>
      <c r="F1117">
        <v>219081854</v>
      </c>
      <c r="G1117">
        <v>219081931</v>
      </c>
      <c r="H1117">
        <v>219081854</v>
      </c>
      <c r="I1117">
        <v>219081931</v>
      </c>
    </row>
    <row r="1118" spans="1:9" x14ac:dyDescent="0.2">
      <c r="A1118" s="1" t="str">
        <f>"ARPC2"</f>
        <v>ARPC2</v>
      </c>
      <c r="B1118" t="s">
        <v>13</v>
      </c>
      <c r="C1118" t="s">
        <v>26</v>
      </c>
      <c r="D1118" t="s">
        <v>17</v>
      </c>
      <c r="E1118" t="s">
        <v>12</v>
      </c>
      <c r="F1118">
        <v>219103536</v>
      </c>
      <c r="G1118">
        <v>219103550</v>
      </c>
      <c r="H1118">
        <v>219103536</v>
      </c>
      <c r="I1118">
        <v>219103550</v>
      </c>
    </row>
    <row r="1119" spans="1:9" x14ac:dyDescent="0.2">
      <c r="A1119" s="1" t="str">
        <f>"ARPC3"</f>
        <v>ARPC3</v>
      </c>
      <c r="B1119" t="s">
        <v>9</v>
      </c>
      <c r="C1119" t="s">
        <v>16</v>
      </c>
      <c r="D1119" t="s">
        <v>11</v>
      </c>
      <c r="E1119" t="s">
        <v>12</v>
      </c>
      <c r="F1119">
        <v>110888103</v>
      </c>
      <c r="G1119">
        <v>110888172</v>
      </c>
      <c r="H1119">
        <v>110888103</v>
      </c>
      <c r="I1119">
        <v>110888172</v>
      </c>
    </row>
    <row r="1120" spans="1:9" x14ac:dyDescent="0.2">
      <c r="A1120" s="1" t="str">
        <f>"ARPC3"</f>
        <v>ARPC3</v>
      </c>
      <c r="B1120" t="s">
        <v>13</v>
      </c>
      <c r="C1120" t="s">
        <v>16</v>
      </c>
      <c r="D1120" t="s">
        <v>11</v>
      </c>
      <c r="E1120" t="s">
        <v>12</v>
      </c>
      <c r="F1120">
        <v>110883346</v>
      </c>
      <c r="G1120">
        <v>110883368</v>
      </c>
      <c r="H1120">
        <v>110883346</v>
      </c>
      <c r="I1120">
        <v>110883368</v>
      </c>
    </row>
    <row r="1121" spans="1:9" x14ac:dyDescent="0.2">
      <c r="A1121" s="1" t="str">
        <f>"ARPC4"</f>
        <v>ARPC4</v>
      </c>
      <c r="B1121" t="s">
        <v>14</v>
      </c>
      <c r="C1121" t="s">
        <v>22</v>
      </c>
      <c r="D1121" t="s">
        <v>17</v>
      </c>
      <c r="E1121" t="s">
        <v>12</v>
      </c>
      <c r="F1121">
        <v>9834758</v>
      </c>
      <c r="G1121">
        <v>9834791</v>
      </c>
      <c r="H1121">
        <v>9834229</v>
      </c>
      <c r="I1121">
        <v>9834260</v>
      </c>
    </row>
    <row r="1122" spans="1:9" x14ac:dyDescent="0.2">
      <c r="A1122" s="1" t="str">
        <f>"ARPC4-TTLL3"</f>
        <v>ARPC4-TTLL3</v>
      </c>
      <c r="B1122" t="s">
        <v>9</v>
      </c>
      <c r="C1122" t="s">
        <v>22</v>
      </c>
      <c r="D1122" t="s">
        <v>17</v>
      </c>
      <c r="E1122" t="s">
        <v>12</v>
      </c>
      <c r="F1122">
        <v>9834229</v>
      </c>
      <c r="G1122">
        <v>9834260</v>
      </c>
      <c r="H1122">
        <v>9834229</v>
      </c>
      <c r="I1122">
        <v>9834260</v>
      </c>
    </row>
    <row r="1123" spans="1:9" x14ac:dyDescent="0.2">
      <c r="A1123" s="1" t="str">
        <f>"ARPC4-TTLL3"</f>
        <v>ARPC4-TTLL3</v>
      </c>
      <c r="B1123" t="s">
        <v>13</v>
      </c>
      <c r="C1123" t="s">
        <v>22</v>
      </c>
      <c r="D1123" t="s">
        <v>17</v>
      </c>
      <c r="E1123" t="s">
        <v>12</v>
      </c>
      <c r="F1123">
        <v>9839335</v>
      </c>
      <c r="G1123">
        <v>9839364</v>
      </c>
      <c r="H1123">
        <v>9839335</v>
      </c>
      <c r="I1123">
        <v>9839364</v>
      </c>
    </row>
    <row r="1124" spans="1:9" x14ac:dyDescent="0.2">
      <c r="A1124" s="1" t="str">
        <f>"ARPC5"</f>
        <v>ARPC5</v>
      </c>
      <c r="B1124" t="s">
        <v>14</v>
      </c>
      <c r="C1124" t="s">
        <v>19</v>
      </c>
      <c r="D1124" t="s">
        <v>11</v>
      </c>
      <c r="E1124" t="s">
        <v>12</v>
      </c>
      <c r="F1124">
        <v>183604794</v>
      </c>
      <c r="G1124">
        <v>183604908</v>
      </c>
      <c r="H1124">
        <v>183604911</v>
      </c>
      <c r="I1124">
        <v>183604928</v>
      </c>
    </row>
    <row r="1125" spans="1:9" x14ac:dyDescent="0.2">
      <c r="A1125" s="1" t="str">
        <f>"ARPC5L"</f>
        <v>ARPC5L</v>
      </c>
      <c r="B1125" t="s">
        <v>9</v>
      </c>
      <c r="C1125" t="s">
        <v>24</v>
      </c>
      <c r="D1125" t="s">
        <v>17</v>
      </c>
      <c r="E1125" t="s">
        <v>12</v>
      </c>
      <c r="F1125">
        <v>127631399</v>
      </c>
      <c r="G1125">
        <v>127631529</v>
      </c>
      <c r="H1125">
        <v>127631399</v>
      </c>
      <c r="I1125">
        <v>127631529</v>
      </c>
    </row>
    <row r="1126" spans="1:9" x14ac:dyDescent="0.2">
      <c r="A1126" s="1" t="str">
        <f>"ARPC5L"</f>
        <v>ARPC5L</v>
      </c>
      <c r="B1126" t="s">
        <v>13</v>
      </c>
      <c r="C1126" t="s">
        <v>24</v>
      </c>
      <c r="D1126" t="s">
        <v>17</v>
      </c>
      <c r="E1126" t="s">
        <v>12</v>
      </c>
      <c r="F1126">
        <v>127624387</v>
      </c>
      <c r="G1126">
        <v>127624418</v>
      </c>
      <c r="H1126">
        <v>127624387</v>
      </c>
      <c r="I1126">
        <v>127624418</v>
      </c>
    </row>
    <row r="1127" spans="1:9" x14ac:dyDescent="0.2">
      <c r="A1127" s="1" t="str">
        <f>"ARPP19"</f>
        <v>ARPP19</v>
      </c>
      <c r="B1127" t="s">
        <v>14</v>
      </c>
      <c r="C1127" t="s">
        <v>25</v>
      </c>
      <c r="D1127" t="s">
        <v>11</v>
      </c>
      <c r="E1127" t="s">
        <v>12</v>
      </c>
      <c r="F1127">
        <v>52861157</v>
      </c>
      <c r="G1127">
        <v>52861236</v>
      </c>
      <c r="H1127">
        <v>52861323</v>
      </c>
      <c r="I1127">
        <v>52861369</v>
      </c>
    </row>
    <row r="1128" spans="1:9" x14ac:dyDescent="0.2">
      <c r="A1128" s="1" t="str">
        <f>"ARPP21"</f>
        <v>ARPP21</v>
      </c>
      <c r="B1128" t="s">
        <v>94</v>
      </c>
      <c r="C1128" t="s">
        <v>22</v>
      </c>
      <c r="D1128" t="s">
        <v>17</v>
      </c>
      <c r="E1128" t="s">
        <v>35</v>
      </c>
      <c r="F1128">
        <v>35683535</v>
      </c>
      <c r="G1128">
        <v>35683546</v>
      </c>
      <c r="H1128">
        <v>35683855</v>
      </c>
      <c r="I1128">
        <v>35683866</v>
      </c>
    </row>
    <row r="1129" spans="1:9" x14ac:dyDescent="0.2">
      <c r="A1129" s="1" t="str">
        <f>"ARR3"</f>
        <v>ARR3</v>
      </c>
      <c r="B1129" t="s">
        <v>14</v>
      </c>
      <c r="C1129" t="s">
        <v>37</v>
      </c>
      <c r="D1129" t="s">
        <v>17</v>
      </c>
      <c r="E1129" t="s">
        <v>12</v>
      </c>
      <c r="F1129">
        <v>69488174</v>
      </c>
      <c r="G1129">
        <v>69488189</v>
      </c>
      <c r="H1129">
        <v>69488092</v>
      </c>
      <c r="I1129">
        <v>69488097</v>
      </c>
    </row>
    <row r="1130" spans="1:9" x14ac:dyDescent="0.2">
      <c r="A1130" s="1" t="str">
        <f>"ARRB1"</f>
        <v>ARRB1</v>
      </c>
      <c r="B1130" t="s">
        <v>14</v>
      </c>
      <c r="C1130" t="s">
        <v>27</v>
      </c>
      <c r="D1130" t="s">
        <v>11</v>
      </c>
      <c r="E1130" t="s">
        <v>12</v>
      </c>
      <c r="F1130">
        <v>75062686</v>
      </c>
      <c r="G1130">
        <v>75062723</v>
      </c>
      <c r="H1130">
        <v>75062829</v>
      </c>
      <c r="I1130">
        <v>75062951</v>
      </c>
    </row>
    <row r="1131" spans="1:9" x14ac:dyDescent="0.2">
      <c r="A1131" s="1" t="str">
        <f>"ARRB2"</f>
        <v>ARRB2</v>
      </c>
      <c r="B1131" t="s">
        <v>14</v>
      </c>
      <c r="C1131" t="s">
        <v>28</v>
      </c>
      <c r="D1131" t="s">
        <v>17</v>
      </c>
      <c r="E1131" t="s">
        <v>12</v>
      </c>
      <c r="F1131">
        <v>4613918</v>
      </c>
      <c r="G1131">
        <v>4614000</v>
      </c>
      <c r="H1131">
        <v>4613776</v>
      </c>
      <c r="I1131">
        <v>4613792</v>
      </c>
    </row>
    <row r="1132" spans="1:9" x14ac:dyDescent="0.2">
      <c r="A1132" s="1" t="str">
        <f>"ARRDC1"</f>
        <v>ARRDC1</v>
      </c>
      <c r="B1132" t="s">
        <v>14</v>
      </c>
      <c r="C1132" t="s">
        <v>24</v>
      </c>
      <c r="D1132" t="s">
        <v>17</v>
      </c>
      <c r="E1132" t="s">
        <v>12</v>
      </c>
      <c r="F1132">
        <v>140500126</v>
      </c>
      <c r="G1132">
        <v>140500149</v>
      </c>
      <c r="H1132">
        <v>140500087</v>
      </c>
      <c r="I1132">
        <v>140500123</v>
      </c>
    </row>
    <row r="1133" spans="1:9" x14ac:dyDescent="0.2">
      <c r="A1133" s="1" t="str">
        <f>"ARRDC2"</f>
        <v>ARRDC2</v>
      </c>
      <c r="B1133" t="s">
        <v>9</v>
      </c>
      <c r="C1133" t="s">
        <v>10</v>
      </c>
      <c r="D1133" t="s">
        <v>17</v>
      </c>
      <c r="E1133" t="s">
        <v>12</v>
      </c>
      <c r="F1133">
        <v>18118972</v>
      </c>
      <c r="G1133">
        <v>18118992</v>
      </c>
      <c r="H1133">
        <v>18118972</v>
      </c>
      <c r="I1133">
        <v>18118992</v>
      </c>
    </row>
    <row r="1134" spans="1:9" x14ac:dyDescent="0.2">
      <c r="A1134" s="1" t="str">
        <f>"ARRDC2"</f>
        <v>ARRDC2</v>
      </c>
      <c r="B1134" t="s">
        <v>13</v>
      </c>
      <c r="C1134" t="s">
        <v>10</v>
      </c>
      <c r="D1134" t="s">
        <v>17</v>
      </c>
      <c r="E1134" t="s">
        <v>12</v>
      </c>
      <c r="F1134">
        <v>18111927</v>
      </c>
      <c r="G1134">
        <v>18111988</v>
      </c>
      <c r="H1134">
        <v>18111927</v>
      </c>
      <c r="I1134">
        <v>18111988</v>
      </c>
    </row>
    <row r="1135" spans="1:9" x14ac:dyDescent="0.2">
      <c r="A1135" s="1" t="str">
        <f>"ARRDC3"</f>
        <v>ARRDC3</v>
      </c>
      <c r="B1135" t="s">
        <v>14</v>
      </c>
      <c r="C1135" t="s">
        <v>46</v>
      </c>
      <c r="D1135" t="s">
        <v>11</v>
      </c>
      <c r="E1135" t="s">
        <v>12</v>
      </c>
      <c r="F1135">
        <v>90679111</v>
      </c>
      <c r="G1135">
        <v>90679143</v>
      </c>
      <c r="H1135">
        <v>90679111</v>
      </c>
      <c r="I1135">
        <v>90679143</v>
      </c>
    </row>
    <row r="1136" spans="1:9" x14ac:dyDescent="0.2">
      <c r="A1136" s="1" t="str">
        <f>"ARRDC4"</f>
        <v>ARRDC4</v>
      </c>
      <c r="B1136" t="s">
        <v>14</v>
      </c>
      <c r="C1136" t="s">
        <v>25</v>
      </c>
      <c r="D1136" t="s">
        <v>17</v>
      </c>
      <c r="E1136" t="s">
        <v>12</v>
      </c>
      <c r="F1136">
        <v>98503922</v>
      </c>
      <c r="G1136">
        <v>98503964</v>
      </c>
      <c r="H1136">
        <v>98503819</v>
      </c>
      <c r="I1136">
        <v>98503864</v>
      </c>
    </row>
    <row r="1137" spans="1:9" x14ac:dyDescent="0.2">
      <c r="A1137" s="1" t="str">
        <f>"ARRDC5"</f>
        <v>ARRDC5</v>
      </c>
      <c r="B1137" t="s">
        <v>14</v>
      </c>
      <c r="C1137" t="s">
        <v>10</v>
      </c>
      <c r="D1137" t="s">
        <v>11</v>
      </c>
      <c r="E1137" t="s">
        <v>12</v>
      </c>
      <c r="F1137">
        <v>4902897</v>
      </c>
      <c r="G1137">
        <v>4902913</v>
      </c>
      <c r="H1137">
        <v>4902877</v>
      </c>
      <c r="I1137">
        <v>4902887</v>
      </c>
    </row>
    <row r="1138" spans="1:9" x14ac:dyDescent="0.2">
      <c r="A1138" s="1" t="str">
        <f>"ARSA"</f>
        <v>ARSA</v>
      </c>
      <c r="B1138" t="s">
        <v>14</v>
      </c>
      <c r="C1138" t="s">
        <v>21</v>
      </c>
      <c r="D1138" t="s">
        <v>11</v>
      </c>
      <c r="E1138" t="s">
        <v>12</v>
      </c>
      <c r="F1138">
        <v>51066521</v>
      </c>
      <c r="G1138">
        <v>51066605</v>
      </c>
      <c r="H1138">
        <v>51066471</v>
      </c>
      <c r="I1138">
        <v>51066480</v>
      </c>
    </row>
    <row r="1139" spans="1:9" x14ac:dyDescent="0.2">
      <c r="A1139" s="1" t="str">
        <f>"ARSB"</f>
        <v>ARSB</v>
      </c>
      <c r="B1139" t="s">
        <v>14</v>
      </c>
      <c r="C1139" t="s">
        <v>46</v>
      </c>
      <c r="D1139" t="s">
        <v>11</v>
      </c>
      <c r="E1139" t="s">
        <v>12</v>
      </c>
      <c r="F1139">
        <v>78281092</v>
      </c>
      <c r="G1139">
        <v>78281154</v>
      </c>
      <c r="H1139">
        <v>78281244</v>
      </c>
      <c r="I1139">
        <v>78281285</v>
      </c>
    </row>
    <row r="1140" spans="1:9" x14ac:dyDescent="0.2">
      <c r="A1140" s="1" t="str">
        <f>"ARSD"</f>
        <v>ARSD</v>
      </c>
      <c r="B1140" t="s">
        <v>14</v>
      </c>
      <c r="C1140" t="s">
        <v>37</v>
      </c>
      <c r="D1140" t="s">
        <v>11</v>
      </c>
      <c r="E1140" t="s">
        <v>12</v>
      </c>
      <c r="F1140">
        <v>2847366</v>
      </c>
      <c r="G1140">
        <v>2847394</v>
      </c>
      <c r="H1140">
        <v>2847318</v>
      </c>
      <c r="I1140">
        <v>2847361</v>
      </c>
    </row>
    <row r="1141" spans="1:9" x14ac:dyDescent="0.2">
      <c r="A1141" s="1" t="str">
        <f>"ARSE"</f>
        <v>ARSE</v>
      </c>
      <c r="B1141" t="s">
        <v>14</v>
      </c>
      <c r="C1141" t="s">
        <v>37</v>
      </c>
      <c r="D1141" t="s">
        <v>11</v>
      </c>
      <c r="E1141" t="s">
        <v>12</v>
      </c>
      <c r="F1141">
        <v>2882296</v>
      </c>
      <c r="G1141">
        <v>2882356</v>
      </c>
      <c r="H1141">
        <v>2882369</v>
      </c>
      <c r="I1141">
        <v>2882397</v>
      </c>
    </row>
    <row r="1142" spans="1:9" x14ac:dyDescent="0.2">
      <c r="A1142" s="1" t="str">
        <f>"ARSF"</f>
        <v>ARSF</v>
      </c>
      <c r="B1142" t="s">
        <v>14</v>
      </c>
      <c r="C1142" t="s">
        <v>37</v>
      </c>
      <c r="D1142" t="s">
        <v>17</v>
      </c>
      <c r="E1142" t="s">
        <v>12</v>
      </c>
      <c r="F1142">
        <v>2984854</v>
      </c>
      <c r="G1142">
        <v>2984878</v>
      </c>
      <c r="H1142">
        <v>2984834</v>
      </c>
      <c r="I1142">
        <v>2984842</v>
      </c>
    </row>
    <row r="1143" spans="1:9" x14ac:dyDescent="0.2">
      <c r="A1143" s="1" t="str">
        <f>"ARSG"</f>
        <v>ARSG</v>
      </c>
      <c r="B1143" t="s">
        <v>95</v>
      </c>
      <c r="C1143" t="s">
        <v>28</v>
      </c>
      <c r="D1143" t="s">
        <v>17</v>
      </c>
      <c r="E1143" t="s">
        <v>75</v>
      </c>
      <c r="F1143">
        <v>66255310</v>
      </c>
      <c r="G1143">
        <v>66255334</v>
      </c>
      <c r="H1143">
        <v>66255310</v>
      </c>
      <c r="I1143">
        <v>66255334</v>
      </c>
    </row>
    <row r="1144" spans="1:9" x14ac:dyDescent="0.2">
      <c r="A1144" s="1" t="str">
        <f>"ARSH"</f>
        <v>ARSH</v>
      </c>
      <c r="B1144" t="s">
        <v>96</v>
      </c>
      <c r="C1144" t="s">
        <v>37</v>
      </c>
      <c r="D1144" t="s">
        <v>17</v>
      </c>
      <c r="E1144" t="s">
        <v>20</v>
      </c>
      <c r="F1144">
        <v>2924653</v>
      </c>
      <c r="G1144">
        <v>2924653</v>
      </c>
      <c r="H1144">
        <v>2924653</v>
      </c>
      <c r="I1144">
        <v>2924653</v>
      </c>
    </row>
    <row r="1145" spans="1:9" x14ac:dyDescent="0.2">
      <c r="A1145" s="1" t="str">
        <f>"ARSI"</f>
        <v>ARSI</v>
      </c>
      <c r="B1145" t="s">
        <v>14</v>
      </c>
      <c r="C1145" t="s">
        <v>46</v>
      </c>
      <c r="D1145" t="s">
        <v>11</v>
      </c>
      <c r="E1145" t="s">
        <v>12</v>
      </c>
      <c r="F1145">
        <v>149682447</v>
      </c>
      <c r="G1145">
        <v>149682529</v>
      </c>
      <c r="H1145">
        <v>149682447</v>
      </c>
      <c r="I1145">
        <v>149682529</v>
      </c>
    </row>
    <row r="1146" spans="1:9" x14ac:dyDescent="0.2">
      <c r="A1146" s="1" t="str">
        <f>"ARSJ"</f>
        <v>ARSJ</v>
      </c>
      <c r="B1146" t="s">
        <v>14</v>
      </c>
      <c r="C1146" t="s">
        <v>23</v>
      </c>
      <c r="D1146" t="s">
        <v>11</v>
      </c>
      <c r="E1146" t="s">
        <v>12</v>
      </c>
      <c r="F1146">
        <v>114900781</v>
      </c>
      <c r="G1146">
        <v>114900830</v>
      </c>
      <c r="H1146">
        <v>114900757</v>
      </c>
      <c r="I1146">
        <v>114900779</v>
      </c>
    </row>
    <row r="1147" spans="1:9" x14ac:dyDescent="0.2">
      <c r="A1147" s="1" t="str">
        <f>"ARSK"</f>
        <v>ARSK</v>
      </c>
      <c r="B1147" t="s">
        <v>14</v>
      </c>
      <c r="C1147" t="s">
        <v>46</v>
      </c>
      <c r="D1147" t="s">
        <v>17</v>
      </c>
      <c r="E1147" t="s">
        <v>12</v>
      </c>
      <c r="F1147">
        <v>94890840</v>
      </c>
      <c r="G1147">
        <v>94890870</v>
      </c>
      <c r="H1147">
        <v>94890789</v>
      </c>
      <c r="I1147">
        <v>94890837</v>
      </c>
    </row>
    <row r="1148" spans="1:9" x14ac:dyDescent="0.2">
      <c r="A1148" s="1" t="str">
        <f>"ART1"</f>
        <v>ART1</v>
      </c>
      <c r="B1148" t="s">
        <v>14</v>
      </c>
      <c r="C1148" t="s">
        <v>27</v>
      </c>
      <c r="D1148" t="s">
        <v>17</v>
      </c>
      <c r="E1148" t="s">
        <v>12</v>
      </c>
      <c r="F1148">
        <v>3666335</v>
      </c>
      <c r="G1148">
        <v>3666361</v>
      </c>
      <c r="H1148">
        <v>3666335</v>
      </c>
      <c r="I1148">
        <v>3666361</v>
      </c>
    </row>
    <row r="1149" spans="1:9" x14ac:dyDescent="0.2">
      <c r="A1149" s="1" t="str">
        <f>"ART3"</f>
        <v>ART3</v>
      </c>
      <c r="B1149" t="s">
        <v>9</v>
      </c>
      <c r="C1149" t="s">
        <v>23</v>
      </c>
      <c r="D1149" t="s">
        <v>17</v>
      </c>
      <c r="E1149" t="s">
        <v>12</v>
      </c>
      <c r="F1149">
        <v>76995855</v>
      </c>
      <c r="G1149">
        <v>76995874</v>
      </c>
      <c r="H1149">
        <v>76995855</v>
      </c>
      <c r="I1149">
        <v>76995874</v>
      </c>
    </row>
    <row r="1150" spans="1:9" x14ac:dyDescent="0.2">
      <c r="A1150" s="1" t="str">
        <f>"ART3"</f>
        <v>ART3</v>
      </c>
      <c r="B1150" t="s">
        <v>13</v>
      </c>
      <c r="C1150" t="s">
        <v>23</v>
      </c>
      <c r="D1150" t="s">
        <v>17</v>
      </c>
      <c r="E1150" t="s">
        <v>12</v>
      </c>
      <c r="F1150">
        <v>76932326</v>
      </c>
      <c r="G1150">
        <v>76932370</v>
      </c>
      <c r="H1150">
        <v>76932326</v>
      </c>
      <c r="I1150">
        <v>76932370</v>
      </c>
    </row>
    <row r="1151" spans="1:9" x14ac:dyDescent="0.2">
      <c r="A1151" s="1" t="str">
        <f>"ART4"</f>
        <v>ART4</v>
      </c>
      <c r="B1151" t="s">
        <v>14</v>
      </c>
      <c r="C1151" t="s">
        <v>16</v>
      </c>
      <c r="D1151" t="s">
        <v>11</v>
      </c>
      <c r="E1151" t="s">
        <v>12</v>
      </c>
      <c r="F1151">
        <v>14996355</v>
      </c>
      <c r="G1151">
        <v>14996441</v>
      </c>
      <c r="H1151">
        <v>14996451</v>
      </c>
      <c r="I1151">
        <v>14996472</v>
      </c>
    </row>
    <row r="1152" spans="1:9" x14ac:dyDescent="0.2">
      <c r="A1152" s="1" t="str">
        <f>"ART5"</f>
        <v>ART5</v>
      </c>
      <c r="B1152" t="s">
        <v>14</v>
      </c>
      <c r="C1152" t="s">
        <v>27</v>
      </c>
      <c r="D1152" t="s">
        <v>11</v>
      </c>
      <c r="E1152" t="s">
        <v>12</v>
      </c>
      <c r="F1152">
        <v>3663212</v>
      </c>
      <c r="G1152">
        <v>3663227</v>
      </c>
      <c r="H1152">
        <v>3663607</v>
      </c>
      <c r="I1152">
        <v>3663611</v>
      </c>
    </row>
    <row r="1153" spans="1:9" x14ac:dyDescent="0.2">
      <c r="A1153" s="1" t="str">
        <f>"ARTN"</f>
        <v>ARTN</v>
      </c>
      <c r="B1153" t="s">
        <v>9</v>
      </c>
      <c r="C1153" t="s">
        <v>19</v>
      </c>
      <c r="D1153" t="s">
        <v>17</v>
      </c>
      <c r="E1153" t="s">
        <v>12</v>
      </c>
      <c r="F1153">
        <v>44399399</v>
      </c>
      <c r="G1153">
        <v>44399444</v>
      </c>
      <c r="H1153">
        <v>44399399</v>
      </c>
      <c r="I1153">
        <v>44399444</v>
      </c>
    </row>
    <row r="1154" spans="1:9" x14ac:dyDescent="0.2">
      <c r="A1154" s="1" t="str">
        <f>"ARTN"</f>
        <v>ARTN</v>
      </c>
      <c r="B1154" t="s">
        <v>13</v>
      </c>
      <c r="C1154" t="s">
        <v>19</v>
      </c>
      <c r="D1154" t="s">
        <v>17</v>
      </c>
      <c r="E1154" t="s">
        <v>12</v>
      </c>
      <c r="F1154">
        <v>44401579</v>
      </c>
      <c r="G1154">
        <v>44401643</v>
      </c>
      <c r="H1154">
        <v>44401579</v>
      </c>
      <c r="I1154">
        <v>44401643</v>
      </c>
    </row>
    <row r="1155" spans="1:9" x14ac:dyDescent="0.2">
      <c r="A1155" s="1" t="str">
        <f>"ARV1"</f>
        <v>ARV1</v>
      </c>
      <c r="B1155" t="s">
        <v>14</v>
      </c>
      <c r="C1155" t="s">
        <v>19</v>
      </c>
      <c r="D1155" t="s">
        <v>17</v>
      </c>
      <c r="E1155" t="s">
        <v>12</v>
      </c>
      <c r="F1155">
        <v>231114810</v>
      </c>
      <c r="G1155">
        <v>231114854</v>
      </c>
      <c r="H1155">
        <v>231114810</v>
      </c>
      <c r="I1155">
        <v>231114854</v>
      </c>
    </row>
    <row r="1156" spans="1:9" x14ac:dyDescent="0.2">
      <c r="A1156" s="1" t="str">
        <f>"ARVCF"</f>
        <v>ARVCF</v>
      </c>
      <c r="B1156" t="s">
        <v>9</v>
      </c>
      <c r="C1156" t="s">
        <v>21</v>
      </c>
      <c r="D1156" t="s">
        <v>11</v>
      </c>
      <c r="E1156" t="s">
        <v>12</v>
      </c>
      <c r="F1156">
        <v>19974682</v>
      </c>
      <c r="G1156">
        <v>19974729</v>
      </c>
      <c r="H1156">
        <v>19974682</v>
      </c>
      <c r="I1156">
        <v>19974729</v>
      </c>
    </row>
    <row r="1157" spans="1:9" x14ac:dyDescent="0.2">
      <c r="A1157" s="1" t="str">
        <f>"ARVCF"</f>
        <v>ARVCF</v>
      </c>
      <c r="B1157" t="s">
        <v>13</v>
      </c>
      <c r="C1157" t="s">
        <v>21</v>
      </c>
      <c r="D1157" t="s">
        <v>11</v>
      </c>
      <c r="E1157" t="s">
        <v>12</v>
      </c>
      <c r="F1157">
        <v>20004330</v>
      </c>
      <c r="G1157">
        <v>20004364</v>
      </c>
      <c r="H1157">
        <v>20004330</v>
      </c>
      <c r="I1157">
        <v>20004364</v>
      </c>
    </row>
    <row r="1158" spans="1:9" x14ac:dyDescent="0.2">
      <c r="A1158" s="1" t="str">
        <f>"ARX"</f>
        <v>ARX</v>
      </c>
      <c r="B1158" t="s">
        <v>9</v>
      </c>
      <c r="C1158" t="s">
        <v>37</v>
      </c>
      <c r="D1158" t="s">
        <v>11</v>
      </c>
      <c r="E1158" t="s">
        <v>12</v>
      </c>
      <c r="F1158">
        <v>25034067</v>
      </c>
      <c r="G1158">
        <v>25034088</v>
      </c>
      <c r="H1158">
        <v>25034067</v>
      </c>
      <c r="I1158">
        <v>25034088</v>
      </c>
    </row>
    <row r="1159" spans="1:9" x14ac:dyDescent="0.2">
      <c r="A1159" s="1" t="str">
        <f>"ARX"</f>
        <v>ARX</v>
      </c>
      <c r="B1159" t="s">
        <v>13</v>
      </c>
      <c r="C1159" t="s">
        <v>37</v>
      </c>
      <c r="D1159" t="s">
        <v>11</v>
      </c>
      <c r="E1159" t="s">
        <v>12</v>
      </c>
      <c r="F1159">
        <v>25031200</v>
      </c>
      <c r="G1159">
        <v>25031220</v>
      </c>
      <c r="H1159">
        <v>25031200</v>
      </c>
      <c r="I1159">
        <v>25031220</v>
      </c>
    </row>
    <row r="1160" spans="1:9" x14ac:dyDescent="0.2">
      <c r="A1160" s="1" t="str">
        <f>"AS3MT"</f>
        <v>AS3MT</v>
      </c>
      <c r="B1160" t="s">
        <v>14</v>
      </c>
      <c r="C1160" t="s">
        <v>15</v>
      </c>
      <c r="D1160" t="s">
        <v>17</v>
      </c>
      <c r="E1160" t="s">
        <v>12</v>
      </c>
      <c r="F1160">
        <v>104629199</v>
      </c>
      <c r="G1160">
        <v>104629262</v>
      </c>
      <c r="H1160">
        <v>104629292</v>
      </c>
      <c r="I1160">
        <v>104629299</v>
      </c>
    </row>
    <row r="1161" spans="1:9" x14ac:dyDescent="0.2">
      <c r="A1161" s="1" t="str">
        <f>"ASAH1"</f>
        <v>ASAH1</v>
      </c>
      <c r="B1161" t="s">
        <v>14</v>
      </c>
      <c r="C1161" t="s">
        <v>30</v>
      </c>
      <c r="D1161" t="s">
        <v>11</v>
      </c>
      <c r="E1161" t="s">
        <v>12</v>
      </c>
      <c r="F1161">
        <v>17941575</v>
      </c>
      <c r="G1161">
        <v>17941642</v>
      </c>
      <c r="H1161">
        <v>17942432</v>
      </c>
      <c r="I1161">
        <v>17942501</v>
      </c>
    </row>
    <row r="1162" spans="1:9" x14ac:dyDescent="0.2">
      <c r="A1162" s="1" t="str">
        <f>"ASAH2"</f>
        <v>ASAH2</v>
      </c>
      <c r="B1162" t="s">
        <v>97</v>
      </c>
      <c r="C1162" t="s">
        <v>15</v>
      </c>
      <c r="D1162" t="s">
        <v>11</v>
      </c>
      <c r="E1162" t="s">
        <v>20</v>
      </c>
      <c r="F1162">
        <v>52008369</v>
      </c>
      <c r="G1162">
        <v>52008369</v>
      </c>
      <c r="H1162">
        <v>52008369</v>
      </c>
      <c r="I1162">
        <v>52008369</v>
      </c>
    </row>
    <row r="1163" spans="1:9" x14ac:dyDescent="0.2">
      <c r="A1163" s="1" t="str">
        <f>"ASAH2B"</f>
        <v>ASAH2B</v>
      </c>
      <c r="B1163" t="s">
        <v>14</v>
      </c>
      <c r="C1163" t="s">
        <v>15</v>
      </c>
      <c r="D1163" t="s">
        <v>17</v>
      </c>
      <c r="E1163" t="s">
        <v>12</v>
      </c>
      <c r="F1163">
        <v>52499682</v>
      </c>
      <c r="G1163">
        <v>52499727</v>
      </c>
      <c r="H1163">
        <v>52499562</v>
      </c>
      <c r="I1163">
        <v>52499607</v>
      </c>
    </row>
    <row r="1164" spans="1:9" x14ac:dyDescent="0.2">
      <c r="A1164" s="1" t="str">
        <f>"ASAP1"</f>
        <v>ASAP1</v>
      </c>
      <c r="B1164" t="s">
        <v>14</v>
      </c>
      <c r="C1164" t="s">
        <v>30</v>
      </c>
      <c r="D1164" t="s">
        <v>11</v>
      </c>
      <c r="E1164" t="s">
        <v>12</v>
      </c>
      <c r="F1164">
        <v>131455835</v>
      </c>
      <c r="G1164">
        <v>131455928</v>
      </c>
      <c r="H1164">
        <v>131455958</v>
      </c>
      <c r="I1164">
        <v>131456014</v>
      </c>
    </row>
    <row r="1165" spans="1:9" x14ac:dyDescent="0.2">
      <c r="A1165" s="1" t="str">
        <f>"ASAP2"</f>
        <v>ASAP2</v>
      </c>
      <c r="B1165" t="s">
        <v>14</v>
      </c>
      <c r="C1165" t="s">
        <v>26</v>
      </c>
      <c r="D1165" t="s">
        <v>17</v>
      </c>
      <c r="E1165" t="s">
        <v>12</v>
      </c>
      <c r="F1165">
        <v>9346892</v>
      </c>
      <c r="G1165">
        <v>9346948</v>
      </c>
      <c r="H1165">
        <v>9346949</v>
      </c>
      <c r="I1165">
        <v>9346975</v>
      </c>
    </row>
    <row r="1166" spans="1:9" x14ac:dyDescent="0.2">
      <c r="A1166" s="1" t="str">
        <f>"ASAP3"</f>
        <v>ASAP3</v>
      </c>
      <c r="B1166" t="s">
        <v>14</v>
      </c>
      <c r="C1166" t="s">
        <v>19</v>
      </c>
      <c r="D1166" t="s">
        <v>11</v>
      </c>
      <c r="E1166" t="s">
        <v>12</v>
      </c>
      <c r="F1166">
        <v>23810664</v>
      </c>
      <c r="G1166">
        <v>23810735</v>
      </c>
      <c r="H1166">
        <v>23810641</v>
      </c>
      <c r="I1166">
        <v>23810652</v>
      </c>
    </row>
    <row r="1167" spans="1:9" x14ac:dyDescent="0.2">
      <c r="A1167" s="1" t="str">
        <f>"ASB1"</f>
        <v>ASB1</v>
      </c>
      <c r="B1167" t="s">
        <v>14</v>
      </c>
      <c r="C1167" t="s">
        <v>26</v>
      </c>
      <c r="D1167" t="s">
        <v>17</v>
      </c>
      <c r="E1167" t="s">
        <v>12</v>
      </c>
      <c r="F1167">
        <v>239335636</v>
      </c>
      <c r="G1167">
        <v>239335715</v>
      </c>
      <c r="H1167">
        <v>239335585</v>
      </c>
      <c r="I1167">
        <v>239335633</v>
      </c>
    </row>
    <row r="1168" spans="1:9" x14ac:dyDescent="0.2">
      <c r="A1168" s="1" t="str">
        <f>"ASB10"</f>
        <v>ASB10</v>
      </c>
      <c r="B1168" t="s">
        <v>14</v>
      </c>
      <c r="C1168" t="s">
        <v>33</v>
      </c>
      <c r="D1168" t="s">
        <v>11</v>
      </c>
      <c r="E1168" t="s">
        <v>12</v>
      </c>
      <c r="F1168">
        <v>150884859</v>
      </c>
      <c r="G1168">
        <v>150884871</v>
      </c>
      <c r="H1168">
        <v>150884873</v>
      </c>
      <c r="I1168">
        <v>150884884</v>
      </c>
    </row>
    <row r="1169" spans="1:9" x14ac:dyDescent="0.2">
      <c r="A1169" s="1" t="str">
        <f>"ASB11"</f>
        <v>ASB11</v>
      </c>
      <c r="B1169" t="s">
        <v>9</v>
      </c>
      <c r="C1169" t="s">
        <v>37</v>
      </c>
      <c r="D1169" t="s">
        <v>11</v>
      </c>
      <c r="E1169" t="s">
        <v>12</v>
      </c>
      <c r="F1169">
        <v>15333736</v>
      </c>
      <c r="G1169">
        <v>15333767</v>
      </c>
      <c r="H1169">
        <v>15333736</v>
      </c>
      <c r="I1169">
        <v>15333767</v>
      </c>
    </row>
    <row r="1170" spans="1:9" x14ac:dyDescent="0.2">
      <c r="A1170" s="1" t="str">
        <f>"ASB11"</f>
        <v>ASB11</v>
      </c>
      <c r="B1170" t="s">
        <v>13</v>
      </c>
      <c r="C1170" t="s">
        <v>37</v>
      </c>
      <c r="D1170" t="s">
        <v>11</v>
      </c>
      <c r="E1170" t="s">
        <v>12</v>
      </c>
      <c r="F1170">
        <v>15332665</v>
      </c>
      <c r="G1170">
        <v>15332693</v>
      </c>
      <c r="H1170">
        <v>15332665</v>
      </c>
      <c r="I1170">
        <v>15332693</v>
      </c>
    </row>
    <row r="1171" spans="1:9" x14ac:dyDescent="0.2">
      <c r="A1171" s="1" t="str">
        <f>"ASB12"</f>
        <v>ASB12</v>
      </c>
      <c r="B1171" t="s">
        <v>98</v>
      </c>
      <c r="C1171" t="s">
        <v>37</v>
      </c>
      <c r="D1171" t="s">
        <v>11</v>
      </c>
      <c r="E1171" t="s">
        <v>20</v>
      </c>
      <c r="F1171">
        <v>63450510</v>
      </c>
      <c r="G1171">
        <v>63450510</v>
      </c>
      <c r="H1171">
        <v>63450510</v>
      </c>
      <c r="I1171">
        <v>63450510</v>
      </c>
    </row>
    <row r="1172" spans="1:9" x14ac:dyDescent="0.2">
      <c r="A1172" s="1" t="str">
        <f>"ASB12"</f>
        <v>ASB12</v>
      </c>
      <c r="B1172" t="s">
        <v>99</v>
      </c>
      <c r="C1172" t="s">
        <v>37</v>
      </c>
      <c r="D1172" t="s">
        <v>11</v>
      </c>
      <c r="E1172" t="s">
        <v>20</v>
      </c>
      <c r="F1172">
        <v>63445502</v>
      </c>
      <c r="G1172">
        <v>63445502</v>
      </c>
      <c r="H1172">
        <v>63445502</v>
      </c>
      <c r="I1172">
        <v>63445502</v>
      </c>
    </row>
    <row r="1173" spans="1:9" x14ac:dyDescent="0.2">
      <c r="A1173" s="1" t="str">
        <f>"ASB13"</f>
        <v>ASB13</v>
      </c>
      <c r="B1173" t="s">
        <v>14</v>
      </c>
      <c r="C1173" t="s">
        <v>15</v>
      </c>
      <c r="D1173" t="s">
        <v>11</v>
      </c>
      <c r="E1173" t="s">
        <v>12</v>
      </c>
      <c r="F1173">
        <v>5708515</v>
      </c>
      <c r="G1173">
        <v>5708550</v>
      </c>
      <c r="H1173">
        <v>5708551</v>
      </c>
      <c r="I1173">
        <v>5708586</v>
      </c>
    </row>
    <row r="1174" spans="1:9" x14ac:dyDescent="0.2">
      <c r="A1174" s="1" t="str">
        <f>"ASB14"</f>
        <v>ASB14</v>
      </c>
      <c r="B1174" t="s">
        <v>14</v>
      </c>
      <c r="C1174" t="s">
        <v>22</v>
      </c>
      <c r="D1174" t="s">
        <v>11</v>
      </c>
      <c r="E1174" t="s">
        <v>12</v>
      </c>
      <c r="F1174">
        <v>57326704</v>
      </c>
      <c r="G1174">
        <v>57326721</v>
      </c>
      <c r="H1174">
        <v>57326704</v>
      </c>
      <c r="I1174">
        <v>57326721</v>
      </c>
    </row>
    <row r="1175" spans="1:9" x14ac:dyDescent="0.2">
      <c r="A1175" s="1" t="str">
        <f>"ASB15"</f>
        <v>ASB15</v>
      </c>
      <c r="B1175" t="s">
        <v>14</v>
      </c>
      <c r="C1175" t="s">
        <v>33</v>
      </c>
      <c r="D1175" t="s">
        <v>17</v>
      </c>
      <c r="E1175" t="s">
        <v>12</v>
      </c>
      <c r="F1175">
        <v>123241869</v>
      </c>
      <c r="G1175">
        <v>123241880</v>
      </c>
      <c r="H1175">
        <v>123241915</v>
      </c>
      <c r="I1175">
        <v>123241927</v>
      </c>
    </row>
    <row r="1176" spans="1:9" x14ac:dyDescent="0.2">
      <c r="A1176" s="1" t="str">
        <f>"ASB16"</f>
        <v>ASB16</v>
      </c>
      <c r="B1176" t="s">
        <v>14</v>
      </c>
      <c r="C1176" t="s">
        <v>28</v>
      </c>
      <c r="D1176" t="s">
        <v>17</v>
      </c>
      <c r="E1176" t="s">
        <v>12</v>
      </c>
      <c r="F1176">
        <v>42248063</v>
      </c>
      <c r="G1176">
        <v>42248087</v>
      </c>
      <c r="H1176">
        <v>42248036</v>
      </c>
      <c r="I1176">
        <v>42248054</v>
      </c>
    </row>
    <row r="1177" spans="1:9" x14ac:dyDescent="0.2">
      <c r="A1177" s="1" t="str">
        <f>"ASB17"</f>
        <v>ASB17</v>
      </c>
      <c r="B1177" t="s">
        <v>14</v>
      </c>
      <c r="C1177" t="s">
        <v>19</v>
      </c>
      <c r="D1177" t="s">
        <v>11</v>
      </c>
      <c r="E1177" t="s">
        <v>12</v>
      </c>
      <c r="F1177">
        <v>76398077</v>
      </c>
      <c r="G1177">
        <v>76398099</v>
      </c>
      <c r="H1177">
        <v>76398077</v>
      </c>
      <c r="I1177">
        <v>76398099</v>
      </c>
    </row>
    <row r="1178" spans="1:9" x14ac:dyDescent="0.2">
      <c r="A1178" s="1" t="str">
        <f>"ASB18"</f>
        <v>ASB18</v>
      </c>
      <c r="B1178" t="s">
        <v>14</v>
      </c>
      <c r="C1178" t="s">
        <v>26</v>
      </c>
      <c r="D1178" t="s">
        <v>11</v>
      </c>
      <c r="E1178" t="s">
        <v>12</v>
      </c>
      <c r="F1178">
        <v>237173054</v>
      </c>
      <c r="G1178">
        <v>237173064</v>
      </c>
      <c r="H1178">
        <v>237173001</v>
      </c>
      <c r="I1178">
        <v>237173006</v>
      </c>
    </row>
    <row r="1179" spans="1:9" x14ac:dyDescent="0.2">
      <c r="A1179" s="1" t="str">
        <f>"ASB2"</f>
        <v>ASB2</v>
      </c>
      <c r="B1179" t="s">
        <v>14</v>
      </c>
      <c r="C1179" t="s">
        <v>41</v>
      </c>
      <c r="D1179" t="s">
        <v>11</v>
      </c>
      <c r="E1179" t="s">
        <v>12</v>
      </c>
      <c r="F1179">
        <v>94442896</v>
      </c>
      <c r="G1179">
        <v>94442930</v>
      </c>
      <c r="H1179">
        <v>94443066</v>
      </c>
      <c r="I1179">
        <v>94443092</v>
      </c>
    </row>
    <row r="1180" spans="1:9" x14ac:dyDescent="0.2">
      <c r="A1180" s="1" t="str">
        <f>"ASB3"</f>
        <v>ASB3</v>
      </c>
      <c r="B1180" t="s">
        <v>14</v>
      </c>
      <c r="C1180" t="s">
        <v>26</v>
      </c>
      <c r="D1180" t="s">
        <v>11</v>
      </c>
      <c r="E1180" t="s">
        <v>67</v>
      </c>
      <c r="F1180">
        <v>54087066</v>
      </c>
      <c r="G1180">
        <v>54087151</v>
      </c>
      <c r="H1180">
        <v>54087066</v>
      </c>
      <c r="I1180">
        <v>54087151</v>
      </c>
    </row>
    <row r="1181" spans="1:9" x14ac:dyDescent="0.2">
      <c r="A1181" s="1" t="str">
        <f>"ASB4"</f>
        <v>ASB4</v>
      </c>
      <c r="B1181" t="s">
        <v>14</v>
      </c>
      <c r="C1181" t="s">
        <v>33</v>
      </c>
      <c r="D1181" t="s">
        <v>17</v>
      </c>
      <c r="E1181" t="s">
        <v>12</v>
      </c>
      <c r="F1181">
        <v>95115246</v>
      </c>
      <c r="G1181">
        <v>95115262</v>
      </c>
      <c r="H1181">
        <v>95115174</v>
      </c>
      <c r="I1181">
        <v>95115187</v>
      </c>
    </row>
    <row r="1182" spans="1:9" x14ac:dyDescent="0.2">
      <c r="A1182" s="1" t="str">
        <f>"ASB5"</f>
        <v>ASB5</v>
      </c>
      <c r="B1182" t="s">
        <v>14</v>
      </c>
      <c r="C1182" t="s">
        <v>23</v>
      </c>
      <c r="D1182" t="s">
        <v>11</v>
      </c>
      <c r="E1182" t="s">
        <v>12</v>
      </c>
      <c r="F1182">
        <v>177190364</v>
      </c>
      <c r="G1182">
        <v>177190379</v>
      </c>
      <c r="H1182">
        <v>177190269</v>
      </c>
      <c r="I1182">
        <v>177190282</v>
      </c>
    </row>
    <row r="1183" spans="1:9" x14ac:dyDescent="0.2">
      <c r="A1183" s="1" t="str">
        <f>"ASB6"</f>
        <v>ASB6</v>
      </c>
      <c r="B1183" t="s">
        <v>14</v>
      </c>
      <c r="C1183" t="s">
        <v>24</v>
      </c>
      <c r="D1183" t="s">
        <v>11</v>
      </c>
      <c r="E1183" t="s">
        <v>12</v>
      </c>
      <c r="F1183">
        <v>132404374</v>
      </c>
      <c r="G1183">
        <v>132404450</v>
      </c>
      <c r="H1183">
        <v>132404570</v>
      </c>
      <c r="I1183">
        <v>132404590</v>
      </c>
    </row>
    <row r="1184" spans="1:9" x14ac:dyDescent="0.2">
      <c r="A1184" s="1" t="str">
        <f>"ASB7"</f>
        <v>ASB7</v>
      </c>
      <c r="B1184" t="s">
        <v>14</v>
      </c>
      <c r="C1184" t="s">
        <v>25</v>
      </c>
      <c r="D1184" t="s">
        <v>17</v>
      </c>
      <c r="E1184" t="s">
        <v>12</v>
      </c>
      <c r="F1184">
        <v>101142722</v>
      </c>
      <c r="G1184">
        <v>101142816</v>
      </c>
      <c r="H1184">
        <v>101142824</v>
      </c>
      <c r="I1184">
        <v>101142850</v>
      </c>
    </row>
    <row r="1185" spans="1:9" x14ac:dyDescent="0.2">
      <c r="A1185" s="1" t="str">
        <f>"ASB8"</f>
        <v>ASB8</v>
      </c>
      <c r="B1185" t="s">
        <v>14</v>
      </c>
      <c r="C1185" t="s">
        <v>16</v>
      </c>
      <c r="D1185" t="s">
        <v>11</v>
      </c>
      <c r="E1185" t="s">
        <v>12</v>
      </c>
      <c r="F1185">
        <v>48551261</v>
      </c>
      <c r="G1185">
        <v>48551313</v>
      </c>
      <c r="H1185">
        <v>48551336</v>
      </c>
      <c r="I1185">
        <v>48551357</v>
      </c>
    </row>
    <row r="1186" spans="1:9" x14ac:dyDescent="0.2">
      <c r="A1186" s="1" t="str">
        <f>"ASB9"</f>
        <v>ASB9</v>
      </c>
      <c r="B1186" t="s">
        <v>14</v>
      </c>
      <c r="C1186" t="s">
        <v>37</v>
      </c>
      <c r="D1186" t="s">
        <v>11</v>
      </c>
      <c r="E1186" t="s">
        <v>12</v>
      </c>
      <c r="F1186">
        <v>15288154</v>
      </c>
      <c r="G1186">
        <v>15288229</v>
      </c>
      <c r="H1186">
        <v>15288267</v>
      </c>
      <c r="I1186">
        <v>15288315</v>
      </c>
    </row>
    <row r="1187" spans="1:9" x14ac:dyDescent="0.2">
      <c r="A1187" s="1" t="str">
        <f>"ASCC1"</f>
        <v>ASCC1</v>
      </c>
      <c r="B1187" t="s">
        <v>14</v>
      </c>
      <c r="C1187" t="s">
        <v>15</v>
      </c>
      <c r="D1187" t="s">
        <v>11</v>
      </c>
      <c r="E1187" t="s">
        <v>12</v>
      </c>
      <c r="F1187">
        <v>73976025</v>
      </c>
      <c r="G1187">
        <v>73976074</v>
      </c>
      <c r="H1187">
        <v>73975657</v>
      </c>
      <c r="I1187">
        <v>73975739</v>
      </c>
    </row>
    <row r="1188" spans="1:9" x14ac:dyDescent="0.2">
      <c r="A1188" s="1" t="str">
        <f>"ASCC2"</f>
        <v>ASCC2</v>
      </c>
      <c r="B1188" t="s">
        <v>14</v>
      </c>
      <c r="C1188" t="s">
        <v>21</v>
      </c>
      <c r="D1188" t="s">
        <v>11</v>
      </c>
      <c r="E1188" t="s">
        <v>12</v>
      </c>
      <c r="F1188">
        <v>30234218</v>
      </c>
      <c r="G1188">
        <v>30234276</v>
      </c>
      <c r="H1188">
        <v>30234218</v>
      </c>
      <c r="I1188">
        <v>30234276</v>
      </c>
    </row>
    <row r="1189" spans="1:9" x14ac:dyDescent="0.2">
      <c r="A1189" s="1" t="str">
        <f>"ASCC3"</f>
        <v>ASCC3</v>
      </c>
      <c r="B1189" t="s">
        <v>14</v>
      </c>
      <c r="C1189" t="s">
        <v>32</v>
      </c>
      <c r="D1189" t="s">
        <v>11</v>
      </c>
      <c r="E1189" t="s">
        <v>12</v>
      </c>
      <c r="F1189">
        <v>101329191</v>
      </c>
      <c r="G1189">
        <v>101329272</v>
      </c>
      <c r="H1189">
        <v>101329157</v>
      </c>
      <c r="I1189">
        <v>101329190</v>
      </c>
    </row>
    <row r="1190" spans="1:9" x14ac:dyDescent="0.2">
      <c r="A1190" s="1" t="str">
        <f>"ASCL1"</f>
        <v>ASCL1</v>
      </c>
      <c r="B1190" t="s">
        <v>14</v>
      </c>
      <c r="C1190" t="s">
        <v>16</v>
      </c>
      <c r="D1190" t="s">
        <v>17</v>
      </c>
      <c r="E1190" t="s">
        <v>12</v>
      </c>
      <c r="F1190">
        <v>103351444</v>
      </c>
      <c r="G1190">
        <v>103351461</v>
      </c>
      <c r="H1190">
        <v>103351444</v>
      </c>
      <c r="I1190">
        <v>103351461</v>
      </c>
    </row>
    <row r="1191" spans="1:9" x14ac:dyDescent="0.2">
      <c r="A1191" s="1" t="str">
        <f>"ASCL2"</f>
        <v>ASCL2</v>
      </c>
      <c r="B1191" t="s">
        <v>14</v>
      </c>
      <c r="C1191" t="s">
        <v>27</v>
      </c>
      <c r="D1191" t="s">
        <v>11</v>
      </c>
      <c r="E1191" t="s">
        <v>12</v>
      </c>
      <c r="F1191">
        <v>2292226</v>
      </c>
      <c r="G1191">
        <v>2292270</v>
      </c>
      <c r="H1191">
        <v>2292226</v>
      </c>
      <c r="I1191">
        <v>2292270</v>
      </c>
    </row>
    <row r="1192" spans="1:9" x14ac:dyDescent="0.2">
      <c r="A1192" s="1" t="str">
        <f>"ASCL3"</f>
        <v>ASCL3</v>
      </c>
      <c r="B1192" t="s">
        <v>14</v>
      </c>
      <c r="C1192" t="s">
        <v>27</v>
      </c>
      <c r="D1192" t="s">
        <v>11</v>
      </c>
      <c r="E1192" t="s">
        <v>12</v>
      </c>
      <c r="F1192">
        <v>8964560</v>
      </c>
      <c r="G1192">
        <v>8964578</v>
      </c>
      <c r="H1192">
        <v>8964560</v>
      </c>
      <c r="I1192">
        <v>8964578</v>
      </c>
    </row>
    <row r="1193" spans="1:9" x14ac:dyDescent="0.2">
      <c r="A1193" s="1" t="str">
        <f>"ASCL4"</f>
        <v>ASCL4</v>
      </c>
      <c r="B1193" t="s">
        <v>100</v>
      </c>
      <c r="C1193" t="s">
        <v>16</v>
      </c>
      <c r="D1193" t="s">
        <v>17</v>
      </c>
      <c r="E1193" t="s">
        <v>20</v>
      </c>
      <c r="F1193">
        <v>108168161</v>
      </c>
      <c r="G1193">
        <v>108168161</v>
      </c>
      <c r="H1193">
        <v>108168161</v>
      </c>
      <c r="I1193">
        <v>108168161</v>
      </c>
    </row>
    <row r="1194" spans="1:9" x14ac:dyDescent="0.2">
      <c r="A1194" s="1" t="str">
        <f>"ASCL5"</f>
        <v>ASCL5</v>
      </c>
      <c r="B1194" t="s">
        <v>14</v>
      </c>
      <c r="C1194" t="s">
        <v>19</v>
      </c>
      <c r="D1194" t="s">
        <v>11</v>
      </c>
      <c r="E1194" t="s">
        <v>67</v>
      </c>
      <c r="F1194">
        <v>201096341</v>
      </c>
      <c r="G1194">
        <v>201096375</v>
      </c>
      <c r="H1194">
        <v>201096341</v>
      </c>
      <c r="I1194">
        <v>201096375</v>
      </c>
    </row>
    <row r="1195" spans="1:9" x14ac:dyDescent="0.2">
      <c r="A1195" s="1" t="str">
        <f>"ASF1A"</f>
        <v>ASF1A</v>
      </c>
      <c r="B1195" t="s">
        <v>14</v>
      </c>
      <c r="C1195" t="s">
        <v>32</v>
      </c>
      <c r="D1195" t="s">
        <v>17</v>
      </c>
      <c r="E1195" t="s">
        <v>12</v>
      </c>
      <c r="F1195">
        <v>119215308</v>
      </c>
      <c r="G1195">
        <v>119215391</v>
      </c>
      <c r="H1195">
        <v>119215448</v>
      </c>
      <c r="I1195">
        <v>119215462</v>
      </c>
    </row>
    <row r="1196" spans="1:9" x14ac:dyDescent="0.2">
      <c r="A1196" s="1" t="str">
        <f>"ASF1B"</f>
        <v>ASF1B</v>
      </c>
      <c r="B1196" t="s">
        <v>14</v>
      </c>
      <c r="C1196" t="s">
        <v>10</v>
      </c>
      <c r="D1196" t="s">
        <v>11</v>
      </c>
      <c r="E1196" t="s">
        <v>12</v>
      </c>
      <c r="F1196">
        <v>14247387</v>
      </c>
      <c r="G1196">
        <v>14247409</v>
      </c>
      <c r="H1196">
        <v>14247775</v>
      </c>
      <c r="I1196">
        <v>14247813</v>
      </c>
    </row>
    <row r="1197" spans="1:9" x14ac:dyDescent="0.2">
      <c r="A1197" s="1" t="str">
        <f>"ASGR1"</f>
        <v>ASGR1</v>
      </c>
      <c r="B1197" t="s">
        <v>14</v>
      </c>
      <c r="C1197" t="s">
        <v>28</v>
      </c>
      <c r="D1197" t="s">
        <v>11</v>
      </c>
      <c r="E1197" t="s">
        <v>12</v>
      </c>
      <c r="F1197">
        <v>7082668</v>
      </c>
      <c r="G1197">
        <v>7082725</v>
      </c>
      <c r="H1197">
        <v>7082668</v>
      </c>
      <c r="I1197">
        <v>7082725</v>
      </c>
    </row>
    <row r="1198" spans="1:9" x14ac:dyDescent="0.2">
      <c r="A1198" s="1" t="str">
        <f>"ASGR2"</f>
        <v>ASGR2</v>
      </c>
      <c r="B1198" t="s">
        <v>14</v>
      </c>
      <c r="C1198" t="s">
        <v>28</v>
      </c>
      <c r="D1198" t="s">
        <v>11</v>
      </c>
      <c r="E1198" t="s">
        <v>12</v>
      </c>
      <c r="F1198">
        <v>7017968</v>
      </c>
      <c r="G1198">
        <v>7018021</v>
      </c>
      <c r="H1198">
        <v>7018132</v>
      </c>
      <c r="I1198">
        <v>7018150</v>
      </c>
    </row>
    <row r="1199" spans="1:9" x14ac:dyDescent="0.2">
      <c r="A1199" s="1" t="str">
        <f>"ASH1L"</f>
        <v>ASH1L</v>
      </c>
      <c r="B1199" t="s">
        <v>14</v>
      </c>
      <c r="C1199" t="s">
        <v>19</v>
      </c>
      <c r="D1199" t="s">
        <v>11</v>
      </c>
      <c r="E1199" t="s">
        <v>12</v>
      </c>
      <c r="F1199">
        <v>155532531</v>
      </c>
      <c r="G1199">
        <v>155532605</v>
      </c>
      <c r="H1199">
        <v>155532531</v>
      </c>
      <c r="I1199">
        <v>155532605</v>
      </c>
    </row>
    <row r="1200" spans="1:9" x14ac:dyDescent="0.2">
      <c r="A1200" s="1" t="str">
        <f>"ASH2L"</f>
        <v>ASH2L</v>
      </c>
      <c r="B1200" t="s">
        <v>14</v>
      </c>
      <c r="C1200" t="s">
        <v>30</v>
      </c>
      <c r="D1200" t="s">
        <v>17</v>
      </c>
      <c r="E1200" t="s">
        <v>12</v>
      </c>
      <c r="F1200">
        <v>37963028</v>
      </c>
      <c r="G1200">
        <v>37963070</v>
      </c>
      <c r="H1200">
        <v>37963407</v>
      </c>
      <c r="I1200">
        <v>37963454</v>
      </c>
    </row>
    <row r="1201" spans="1:9" x14ac:dyDescent="0.2">
      <c r="A1201" s="1" t="str">
        <f>"ASIC1"</f>
        <v>ASIC1</v>
      </c>
      <c r="B1201" t="s">
        <v>14</v>
      </c>
      <c r="C1201" t="s">
        <v>16</v>
      </c>
      <c r="D1201" t="s">
        <v>17</v>
      </c>
      <c r="E1201" t="s">
        <v>12</v>
      </c>
      <c r="F1201">
        <v>50451363</v>
      </c>
      <c r="G1201">
        <v>50451429</v>
      </c>
      <c r="H1201">
        <v>50451133</v>
      </c>
      <c r="I1201">
        <v>50451188</v>
      </c>
    </row>
    <row r="1202" spans="1:9" x14ac:dyDescent="0.2">
      <c r="A1202" s="1" t="str">
        <f>"ASIC2"</f>
        <v>ASIC2</v>
      </c>
      <c r="B1202" t="s">
        <v>101</v>
      </c>
      <c r="C1202" t="s">
        <v>28</v>
      </c>
      <c r="D1202" t="s">
        <v>11</v>
      </c>
      <c r="E1202" t="s">
        <v>20</v>
      </c>
      <c r="F1202">
        <v>32484312</v>
      </c>
      <c r="G1202">
        <v>32484312</v>
      </c>
      <c r="H1202">
        <v>32484312</v>
      </c>
      <c r="I1202">
        <v>32484312</v>
      </c>
    </row>
    <row r="1203" spans="1:9" x14ac:dyDescent="0.2">
      <c r="A1203" s="1" t="str">
        <f>"ASIC3"</f>
        <v>ASIC3</v>
      </c>
      <c r="B1203" t="s">
        <v>14</v>
      </c>
      <c r="C1203" t="s">
        <v>33</v>
      </c>
      <c r="D1203" t="s">
        <v>17</v>
      </c>
      <c r="E1203" t="s">
        <v>12</v>
      </c>
      <c r="F1203">
        <v>150748288</v>
      </c>
      <c r="G1203">
        <v>150748337</v>
      </c>
      <c r="H1203">
        <v>150748269</v>
      </c>
      <c r="I1203">
        <v>150748286</v>
      </c>
    </row>
    <row r="1204" spans="1:9" x14ac:dyDescent="0.2">
      <c r="A1204" s="1" t="str">
        <f>"ASIC4"</f>
        <v>ASIC4</v>
      </c>
      <c r="B1204" t="s">
        <v>14</v>
      </c>
      <c r="C1204" t="s">
        <v>26</v>
      </c>
      <c r="D1204" t="s">
        <v>17</v>
      </c>
      <c r="E1204" t="s">
        <v>12</v>
      </c>
      <c r="F1204">
        <v>220379118</v>
      </c>
      <c r="G1204">
        <v>220379131</v>
      </c>
      <c r="H1204">
        <v>220379118</v>
      </c>
      <c r="I1204">
        <v>220379131</v>
      </c>
    </row>
    <row r="1205" spans="1:9" x14ac:dyDescent="0.2">
      <c r="A1205" s="1" t="str">
        <f>"ASIC5"</f>
        <v>ASIC5</v>
      </c>
      <c r="B1205" t="s">
        <v>14</v>
      </c>
      <c r="C1205" t="s">
        <v>23</v>
      </c>
      <c r="D1205" t="s">
        <v>11</v>
      </c>
      <c r="E1205" t="s">
        <v>12</v>
      </c>
      <c r="F1205">
        <v>156787425</v>
      </c>
      <c r="G1205">
        <v>156787429</v>
      </c>
      <c r="H1205">
        <v>156787425</v>
      </c>
      <c r="I1205">
        <v>156787429</v>
      </c>
    </row>
    <row r="1206" spans="1:9" x14ac:dyDescent="0.2">
      <c r="A1206" s="1" t="str">
        <f>"ASIP"</f>
        <v>ASIP</v>
      </c>
      <c r="B1206" t="s">
        <v>14</v>
      </c>
      <c r="C1206" t="s">
        <v>29</v>
      </c>
      <c r="D1206" t="s">
        <v>17</v>
      </c>
      <c r="E1206" t="s">
        <v>67</v>
      </c>
      <c r="F1206">
        <v>32781934</v>
      </c>
      <c r="G1206">
        <v>32781950</v>
      </c>
      <c r="H1206">
        <v>32782363</v>
      </c>
      <c r="I1206">
        <v>32782373</v>
      </c>
    </row>
    <row r="1207" spans="1:9" x14ac:dyDescent="0.2">
      <c r="A1207" s="1" t="str">
        <f>"ASL"</f>
        <v>ASL</v>
      </c>
      <c r="B1207" t="s">
        <v>14</v>
      </c>
      <c r="C1207" t="s">
        <v>33</v>
      </c>
      <c r="D1207" t="s">
        <v>17</v>
      </c>
      <c r="E1207" t="s">
        <v>12</v>
      </c>
      <c r="F1207">
        <v>65540799</v>
      </c>
      <c r="G1207">
        <v>65540829</v>
      </c>
      <c r="H1207">
        <v>65540903</v>
      </c>
      <c r="I1207">
        <v>65540930</v>
      </c>
    </row>
    <row r="1208" spans="1:9" x14ac:dyDescent="0.2">
      <c r="A1208" s="1" t="str">
        <f>"ASMT"</f>
        <v>ASMT</v>
      </c>
      <c r="B1208" t="s">
        <v>14</v>
      </c>
      <c r="C1208" t="s">
        <v>37</v>
      </c>
      <c r="D1208" t="s">
        <v>17</v>
      </c>
      <c r="E1208" t="s">
        <v>12</v>
      </c>
      <c r="F1208">
        <v>1733941</v>
      </c>
      <c r="G1208">
        <v>1733965</v>
      </c>
      <c r="H1208">
        <v>1733966</v>
      </c>
      <c r="I1208">
        <v>1733993</v>
      </c>
    </row>
    <row r="1209" spans="1:9" x14ac:dyDescent="0.2">
      <c r="A1209" s="1" t="str">
        <f>"ASMTL"</f>
        <v>ASMTL</v>
      </c>
      <c r="B1209" t="s">
        <v>14</v>
      </c>
      <c r="C1209" t="s">
        <v>37</v>
      </c>
      <c r="D1209" t="s">
        <v>11</v>
      </c>
      <c r="E1209" t="s">
        <v>12</v>
      </c>
      <c r="F1209">
        <v>1571759</v>
      </c>
      <c r="G1209">
        <v>1571808</v>
      </c>
      <c r="H1209">
        <v>1571810</v>
      </c>
      <c r="I1209">
        <v>1571833</v>
      </c>
    </row>
    <row r="1210" spans="1:9" x14ac:dyDescent="0.2">
      <c r="A1210" s="1" t="str">
        <f>"ASNA1"</f>
        <v>ASNA1</v>
      </c>
      <c r="B1210" t="s">
        <v>14</v>
      </c>
      <c r="C1210" t="s">
        <v>10</v>
      </c>
      <c r="D1210" t="s">
        <v>17</v>
      </c>
      <c r="E1210" t="s">
        <v>12</v>
      </c>
      <c r="F1210">
        <v>12848299</v>
      </c>
      <c r="G1210">
        <v>12848317</v>
      </c>
      <c r="H1210">
        <v>12848299</v>
      </c>
      <c r="I1210">
        <v>12848317</v>
      </c>
    </row>
    <row r="1211" spans="1:9" x14ac:dyDescent="0.2">
      <c r="A1211" s="1" t="str">
        <f>"ASNS"</f>
        <v>ASNS</v>
      </c>
      <c r="B1211" t="s">
        <v>14</v>
      </c>
      <c r="C1211" t="s">
        <v>33</v>
      </c>
      <c r="D1211" t="s">
        <v>11</v>
      </c>
      <c r="E1211" t="s">
        <v>12</v>
      </c>
      <c r="F1211">
        <v>97501713</v>
      </c>
      <c r="G1211">
        <v>97501727</v>
      </c>
      <c r="H1211">
        <v>97501733</v>
      </c>
      <c r="I1211">
        <v>97501794</v>
      </c>
    </row>
    <row r="1212" spans="1:9" x14ac:dyDescent="0.2">
      <c r="A1212" s="1" t="str">
        <f>"ASNSD1"</f>
        <v>ASNSD1</v>
      </c>
      <c r="B1212" t="s">
        <v>14</v>
      </c>
      <c r="C1212" t="s">
        <v>26</v>
      </c>
      <c r="D1212" t="s">
        <v>17</v>
      </c>
      <c r="E1212" t="s">
        <v>12</v>
      </c>
      <c r="F1212">
        <v>190526148</v>
      </c>
      <c r="G1212">
        <v>190526248</v>
      </c>
      <c r="H1212">
        <v>190526118</v>
      </c>
      <c r="I1212">
        <v>190526130</v>
      </c>
    </row>
    <row r="1213" spans="1:9" x14ac:dyDescent="0.2">
      <c r="A1213" s="1" t="str">
        <f>"ASPA"</f>
        <v>ASPA</v>
      </c>
      <c r="B1213" t="s">
        <v>14</v>
      </c>
      <c r="C1213" t="s">
        <v>28</v>
      </c>
      <c r="D1213" t="s">
        <v>17</v>
      </c>
      <c r="E1213" t="s">
        <v>12</v>
      </c>
      <c r="F1213">
        <v>3379284</v>
      </c>
      <c r="G1213">
        <v>3379345</v>
      </c>
      <c r="H1213">
        <v>3379272</v>
      </c>
      <c r="I1213">
        <v>3379283</v>
      </c>
    </row>
    <row r="1214" spans="1:9" x14ac:dyDescent="0.2">
      <c r="A1214" s="1" t="str">
        <f>"ASPDH"</f>
        <v>ASPDH</v>
      </c>
      <c r="B1214" t="s">
        <v>14</v>
      </c>
      <c r="C1214" t="s">
        <v>10</v>
      </c>
      <c r="D1214" t="s">
        <v>11</v>
      </c>
      <c r="E1214" t="s">
        <v>12</v>
      </c>
      <c r="F1214">
        <v>51017895</v>
      </c>
      <c r="G1214">
        <v>51017953</v>
      </c>
      <c r="H1214">
        <v>51017895</v>
      </c>
      <c r="I1214">
        <v>51017953</v>
      </c>
    </row>
    <row r="1215" spans="1:9" x14ac:dyDescent="0.2">
      <c r="A1215" s="1" t="str">
        <f>"ASPG"</f>
        <v>ASPG</v>
      </c>
      <c r="B1215" t="s">
        <v>9</v>
      </c>
      <c r="C1215" t="s">
        <v>41</v>
      </c>
      <c r="D1215" t="s">
        <v>17</v>
      </c>
      <c r="E1215" t="s">
        <v>12</v>
      </c>
      <c r="F1215">
        <v>104552030</v>
      </c>
      <c r="G1215">
        <v>104552057</v>
      </c>
      <c r="H1215">
        <v>104552030</v>
      </c>
      <c r="I1215">
        <v>104552057</v>
      </c>
    </row>
    <row r="1216" spans="1:9" x14ac:dyDescent="0.2">
      <c r="A1216" s="1" t="str">
        <f>"ASPG"</f>
        <v>ASPG</v>
      </c>
      <c r="B1216" t="s">
        <v>13</v>
      </c>
      <c r="C1216" t="s">
        <v>41</v>
      </c>
      <c r="D1216" t="s">
        <v>17</v>
      </c>
      <c r="E1216" t="s">
        <v>12</v>
      </c>
      <c r="F1216">
        <v>104571241</v>
      </c>
      <c r="G1216">
        <v>104571260</v>
      </c>
      <c r="H1216">
        <v>104571241</v>
      </c>
      <c r="I1216">
        <v>104571260</v>
      </c>
    </row>
    <row r="1217" spans="1:9" x14ac:dyDescent="0.2">
      <c r="A1217" s="1" t="str">
        <f>"ASPH"</f>
        <v>ASPH</v>
      </c>
      <c r="B1217" t="s">
        <v>14</v>
      </c>
      <c r="C1217" t="s">
        <v>30</v>
      </c>
      <c r="D1217" t="s">
        <v>11</v>
      </c>
      <c r="E1217" t="s">
        <v>12</v>
      </c>
      <c r="F1217">
        <v>62627057</v>
      </c>
      <c r="G1217">
        <v>62627159</v>
      </c>
      <c r="H1217">
        <v>62627160</v>
      </c>
      <c r="I1217">
        <v>62627178</v>
      </c>
    </row>
    <row r="1218" spans="1:9" x14ac:dyDescent="0.2">
      <c r="A1218" s="1" t="str">
        <f>"ASPHD1"</f>
        <v>ASPHD1</v>
      </c>
      <c r="B1218" t="s">
        <v>14</v>
      </c>
      <c r="C1218" t="s">
        <v>31</v>
      </c>
      <c r="D1218" t="s">
        <v>17</v>
      </c>
      <c r="E1218" t="s">
        <v>12</v>
      </c>
      <c r="F1218">
        <v>29911864</v>
      </c>
      <c r="G1218">
        <v>29911967</v>
      </c>
      <c r="H1218">
        <v>29911666</v>
      </c>
      <c r="I1218">
        <v>29911728</v>
      </c>
    </row>
    <row r="1219" spans="1:9" x14ac:dyDescent="0.2">
      <c r="A1219" s="1" t="str">
        <f>"ASPHD2"</f>
        <v>ASPHD2</v>
      </c>
      <c r="B1219" t="s">
        <v>14</v>
      </c>
      <c r="C1219" t="s">
        <v>21</v>
      </c>
      <c r="D1219" t="s">
        <v>17</v>
      </c>
      <c r="E1219" t="s">
        <v>12</v>
      </c>
      <c r="F1219">
        <v>26825213</v>
      </c>
      <c r="G1219">
        <v>26825281</v>
      </c>
      <c r="H1219">
        <v>26825290</v>
      </c>
      <c r="I1219">
        <v>26825299</v>
      </c>
    </row>
    <row r="1220" spans="1:9" x14ac:dyDescent="0.2">
      <c r="A1220" s="1" t="str">
        <f>"ASPM"</f>
        <v>ASPM</v>
      </c>
      <c r="B1220" t="s">
        <v>14</v>
      </c>
      <c r="C1220" t="s">
        <v>19</v>
      </c>
      <c r="D1220" t="s">
        <v>11</v>
      </c>
      <c r="E1220" t="s">
        <v>12</v>
      </c>
      <c r="F1220">
        <v>197115750</v>
      </c>
      <c r="G1220">
        <v>197115807</v>
      </c>
      <c r="H1220">
        <v>197115727</v>
      </c>
      <c r="I1220">
        <v>197115740</v>
      </c>
    </row>
    <row r="1221" spans="1:9" x14ac:dyDescent="0.2">
      <c r="A1221" s="1" t="str">
        <f>"ASPN"</f>
        <v>ASPN</v>
      </c>
      <c r="B1221" t="s">
        <v>14</v>
      </c>
      <c r="C1221" t="s">
        <v>24</v>
      </c>
      <c r="D1221" t="s">
        <v>11</v>
      </c>
      <c r="E1221" t="s">
        <v>12</v>
      </c>
      <c r="F1221">
        <v>95244781</v>
      </c>
      <c r="G1221">
        <v>95244796</v>
      </c>
      <c r="H1221">
        <v>95244743</v>
      </c>
      <c r="I1221">
        <v>95244777</v>
      </c>
    </row>
    <row r="1222" spans="1:9" x14ac:dyDescent="0.2">
      <c r="A1222" s="1" t="str">
        <f>"ASPRV1"</f>
        <v>ASPRV1</v>
      </c>
      <c r="B1222" t="s">
        <v>102</v>
      </c>
      <c r="C1222" t="s">
        <v>26</v>
      </c>
      <c r="D1222" t="s">
        <v>11</v>
      </c>
      <c r="E1222" t="s">
        <v>20</v>
      </c>
      <c r="F1222">
        <v>70189396</v>
      </c>
      <c r="G1222">
        <v>70189396</v>
      </c>
      <c r="H1222">
        <v>70189396</v>
      </c>
      <c r="I1222">
        <v>70189396</v>
      </c>
    </row>
    <row r="1223" spans="1:9" x14ac:dyDescent="0.2">
      <c r="A1223" s="1" t="str">
        <f>"ASPSCR1"</f>
        <v>ASPSCR1</v>
      </c>
      <c r="B1223" t="s">
        <v>14</v>
      </c>
      <c r="C1223" t="s">
        <v>28</v>
      </c>
      <c r="D1223" t="s">
        <v>17</v>
      </c>
      <c r="E1223" t="s">
        <v>12</v>
      </c>
      <c r="F1223">
        <v>79935464</v>
      </c>
      <c r="G1223">
        <v>79935524</v>
      </c>
      <c r="H1223">
        <v>79935418</v>
      </c>
      <c r="I1223">
        <v>79935431</v>
      </c>
    </row>
    <row r="1224" spans="1:9" x14ac:dyDescent="0.2">
      <c r="A1224" s="1" t="str">
        <f>"ASRGL1"</f>
        <v>ASRGL1</v>
      </c>
      <c r="B1224" t="s">
        <v>14</v>
      </c>
      <c r="C1224" t="s">
        <v>27</v>
      </c>
      <c r="D1224" t="s">
        <v>17</v>
      </c>
      <c r="E1224" t="s">
        <v>12</v>
      </c>
      <c r="F1224">
        <v>62104897</v>
      </c>
      <c r="G1224">
        <v>62104975</v>
      </c>
      <c r="H1224">
        <v>62104897</v>
      </c>
      <c r="I1224">
        <v>62104975</v>
      </c>
    </row>
    <row r="1225" spans="1:9" x14ac:dyDescent="0.2">
      <c r="A1225" s="1" t="str">
        <f>"ASS1"</f>
        <v>ASS1</v>
      </c>
      <c r="B1225" t="s">
        <v>14</v>
      </c>
      <c r="C1225" t="s">
        <v>24</v>
      </c>
      <c r="D1225" t="s">
        <v>17</v>
      </c>
      <c r="E1225" t="s">
        <v>12</v>
      </c>
      <c r="F1225">
        <v>133320339</v>
      </c>
      <c r="G1225">
        <v>133320356</v>
      </c>
      <c r="H1225">
        <v>133320301</v>
      </c>
      <c r="I1225">
        <v>133320325</v>
      </c>
    </row>
    <row r="1226" spans="1:9" x14ac:dyDescent="0.2">
      <c r="A1226" s="1" t="str">
        <f>"ASTE1"</f>
        <v>ASTE1</v>
      </c>
      <c r="B1226" t="s">
        <v>14</v>
      </c>
      <c r="C1226" t="s">
        <v>22</v>
      </c>
      <c r="D1226" t="s">
        <v>11</v>
      </c>
      <c r="E1226" t="s">
        <v>12</v>
      </c>
      <c r="F1226">
        <v>130745571</v>
      </c>
      <c r="G1226">
        <v>130745677</v>
      </c>
      <c r="H1226">
        <v>130745403</v>
      </c>
      <c r="I1226">
        <v>130745415</v>
      </c>
    </row>
    <row r="1227" spans="1:9" x14ac:dyDescent="0.2">
      <c r="A1227" s="1" t="str">
        <f>"ASTL"</f>
        <v>ASTL</v>
      </c>
      <c r="B1227" t="s">
        <v>103</v>
      </c>
      <c r="C1227" t="s">
        <v>26</v>
      </c>
      <c r="D1227" t="s">
        <v>11</v>
      </c>
      <c r="E1227" t="s">
        <v>20</v>
      </c>
      <c r="F1227">
        <v>96804174</v>
      </c>
      <c r="G1227">
        <v>96804174</v>
      </c>
      <c r="H1227">
        <v>96804174</v>
      </c>
      <c r="I1227">
        <v>96804174</v>
      </c>
    </row>
    <row r="1228" spans="1:9" x14ac:dyDescent="0.2">
      <c r="A1228" s="1" t="str">
        <f>"ASTN1"</f>
        <v>ASTN1</v>
      </c>
      <c r="B1228" t="s">
        <v>14</v>
      </c>
      <c r="C1228" t="s">
        <v>19</v>
      </c>
      <c r="D1228" t="s">
        <v>11</v>
      </c>
      <c r="E1228" t="s">
        <v>12</v>
      </c>
      <c r="F1228">
        <v>177133818</v>
      </c>
      <c r="G1228">
        <v>177133872</v>
      </c>
      <c r="H1228">
        <v>177134024</v>
      </c>
      <c r="I1228">
        <v>177134052</v>
      </c>
    </row>
    <row r="1229" spans="1:9" x14ac:dyDescent="0.2">
      <c r="A1229" s="1" t="str">
        <f>"ASTN2"</f>
        <v>ASTN2</v>
      </c>
      <c r="B1229" t="s">
        <v>14</v>
      </c>
      <c r="C1229" t="s">
        <v>24</v>
      </c>
      <c r="D1229" t="s">
        <v>11</v>
      </c>
      <c r="E1229" t="s">
        <v>12</v>
      </c>
      <c r="F1229">
        <v>120177310</v>
      </c>
      <c r="G1229">
        <v>120177341</v>
      </c>
      <c r="H1229">
        <v>120177310</v>
      </c>
      <c r="I1229">
        <v>120177341</v>
      </c>
    </row>
    <row r="1230" spans="1:9" x14ac:dyDescent="0.2">
      <c r="A1230" s="1" t="str">
        <f>"ASUN"</f>
        <v>ASUN</v>
      </c>
      <c r="B1230" t="s">
        <v>14</v>
      </c>
      <c r="C1230" t="s">
        <v>16</v>
      </c>
      <c r="D1230" t="s">
        <v>11</v>
      </c>
      <c r="E1230" t="s">
        <v>12</v>
      </c>
      <c r="F1230">
        <v>27090896</v>
      </c>
      <c r="G1230">
        <v>27090966</v>
      </c>
      <c r="H1230">
        <v>27091183</v>
      </c>
      <c r="I1230">
        <v>27091271</v>
      </c>
    </row>
    <row r="1231" spans="1:9" x14ac:dyDescent="0.2">
      <c r="A1231" s="1" t="str">
        <f>"ASXL1"</f>
        <v>ASXL1</v>
      </c>
      <c r="B1231" t="s">
        <v>14</v>
      </c>
      <c r="C1231" t="s">
        <v>29</v>
      </c>
      <c r="D1231" t="s">
        <v>17</v>
      </c>
      <c r="E1231" t="s">
        <v>12</v>
      </c>
      <c r="F1231">
        <v>30946106</v>
      </c>
      <c r="G1231">
        <v>30946168</v>
      </c>
      <c r="H1231">
        <v>30946293</v>
      </c>
      <c r="I1231">
        <v>30946340</v>
      </c>
    </row>
    <row r="1232" spans="1:9" x14ac:dyDescent="0.2">
      <c r="A1232" s="1" t="str">
        <f>"ASXL2"</f>
        <v>ASXL2</v>
      </c>
      <c r="B1232" t="s">
        <v>14</v>
      </c>
      <c r="C1232" t="s">
        <v>26</v>
      </c>
      <c r="D1232" t="s">
        <v>11</v>
      </c>
      <c r="E1232" t="s">
        <v>12</v>
      </c>
      <c r="F1232">
        <v>26101314</v>
      </c>
      <c r="G1232">
        <v>26101363</v>
      </c>
      <c r="H1232">
        <v>26101185</v>
      </c>
      <c r="I1232">
        <v>26101202</v>
      </c>
    </row>
    <row r="1233" spans="1:9" x14ac:dyDescent="0.2">
      <c r="A1233" s="1" t="str">
        <f>"ASXL3"</f>
        <v>ASXL3</v>
      </c>
      <c r="B1233" t="s">
        <v>14</v>
      </c>
      <c r="C1233" t="s">
        <v>43</v>
      </c>
      <c r="D1233" t="s">
        <v>17</v>
      </c>
      <c r="E1233" t="s">
        <v>12</v>
      </c>
      <c r="F1233">
        <v>31158177</v>
      </c>
      <c r="G1233">
        <v>31158231</v>
      </c>
      <c r="H1233">
        <v>31158557</v>
      </c>
      <c r="I1233">
        <v>31158599</v>
      </c>
    </row>
    <row r="1234" spans="1:9" x14ac:dyDescent="0.2">
      <c r="A1234" s="1" t="str">
        <f>"ASZ1"</f>
        <v>ASZ1</v>
      </c>
      <c r="B1234" t="s">
        <v>14</v>
      </c>
      <c r="C1234" t="s">
        <v>33</v>
      </c>
      <c r="D1234" t="s">
        <v>11</v>
      </c>
      <c r="E1234" t="s">
        <v>12</v>
      </c>
      <c r="F1234">
        <v>117067555</v>
      </c>
      <c r="G1234">
        <v>117067564</v>
      </c>
      <c r="H1234">
        <v>117067521</v>
      </c>
      <c r="I1234">
        <v>117067531</v>
      </c>
    </row>
    <row r="1235" spans="1:9" x14ac:dyDescent="0.2">
      <c r="A1235" s="1" t="str">
        <f>"ATAD1"</f>
        <v>ATAD1</v>
      </c>
      <c r="B1235" t="s">
        <v>14</v>
      </c>
      <c r="C1235" t="s">
        <v>15</v>
      </c>
      <c r="D1235" t="s">
        <v>11</v>
      </c>
      <c r="E1235" t="s">
        <v>12</v>
      </c>
      <c r="F1235">
        <v>89577910</v>
      </c>
      <c r="G1235">
        <v>89578010</v>
      </c>
      <c r="H1235">
        <v>89577910</v>
      </c>
      <c r="I1235">
        <v>89578010</v>
      </c>
    </row>
    <row r="1236" spans="1:9" x14ac:dyDescent="0.2">
      <c r="A1236" s="1" t="str">
        <f>"ATAD2"</f>
        <v>ATAD2</v>
      </c>
      <c r="B1236" t="s">
        <v>14</v>
      </c>
      <c r="C1236" t="s">
        <v>30</v>
      </c>
      <c r="D1236" t="s">
        <v>11</v>
      </c>
      <c r="E1236" t="s">
        <v>12</v>
      </c>
      <c r="F1236">
        <v>124408652</v>
      </c>
      <c r="G1236">
        <v>124408712</v>
      </c>
      <c r="H1236">
        <v>124408630</v>
      </c>
      <c r="I1236">
        <v>124408647</v>
      </c>
    </row>
    <row r="1237" spans="1:9" x14ac:dyDescent="0.2">
      <c r="A1237" s="1" t="str">
        <f>"ATAD2B"</f>
        <v>ATAD2B</v>
      </c>
      <c r="B1237" t="s">
        <v>14</v>
      </c>
      <c r="C1237" t="s">
        <v>26</v>
      </c>
      <c r="D1237" t="s">
        <v>11</v>
      </c>
      <c r="E1237" t="s">
        <v>12</v>
      </c>
      <c r="F1237">
        <v>24149918</v>
      </c>
      <c r="G1237">
        <v>24149974</v>
      </c>
      <c r="H1237">
        <v>24149977</v>
      </c>
      <c r="I1237">
        <v>24150007</v>
      </c>
    </row>
    <row r="1238" spans="1:9" x14ac:dyDescent="0.2">
      <c r="A1238" s="1" t="str">
        <f>"ATAD3A"</f>
        <v>ATAD3A</v>
      </c>
      <c r="B1238" t="s">
        <v>14</v>
      </c>
      <c r="C1238" t="s">
        <v>19</v>
      </c>
      <c r="D1238" t="s">
        <v>17</v>
      </c>
      <c r="E1238" t="s">
        <v>12</v>
      </c>
      <c r="F1238">
        <v>1447517</v>
      </c>
      <c r="G1238">
        <v>1447556</v>
      </c>
      <c r="H1238">
        <v>1447916</v>
      </c>
      <c r="I1238">
        <v>1447926</v>
      </c>
    </row>
    <row r="1239" spans="1:9" x14ac:dyDescent="0.2">
      <c r="A1239" s="1" t="str">
        <f>"ATAD3B"</f>
        <v>ATAD3B</v>
      </c>
      <c r="B1239" t="s">
        <v>9</v>
      </c>
      <c r="C1239" t="s">
        <v>19</v>
      </c>
      <c r="D1239" t="s">
        <v>17</v>
      </c>
      <c r="E1239" t="s">
        <v>12</v>
      </c>
      <c r="F1239">
        <v>1407133</v>
      </c>
      <c r="G1239">
        <v>1407170</v>
      </c>
      <c r="H1239">
        <v>1407133</v>
      </c>
      <c r="I1239">
        <v>1407170</v>
      </c>
    </row>
    <row r="1240" spans="1:9" x14ac:dyDescent="0.2">
      <c r="A1240" s="1" t="str">
        <f>"ATAD3B"</f>
        <v>ATAD3B</v>
      </c>
      <c r="B1240" t="s">
        <v>13</v>
      </c>
      <c r="C1240" t="s">
        <v>19</v>
      </c>
      <c r="D1240" t="s">
        <v>17</v>
      </c>
      <c r="E1240" t="s">
        <v>12</v>
      </c>
      <c r="F1240">
        <v>1413227</v>
      </c>
      <c r="G1240">
        <v>1413230</v>
      </c>
      <c r="H1240">
        <v>1413227</v>
      </c>
      <c r="I1240">
        <v>1413230</v>
      </c>
    </row>
    <row r="1241" spans="1:9" x14ac:dyDescent="0.2">
      <c r="A1241" s="1" t="str">
        <f>"ATAD3C"</f>
        <v>ATAD3C</v>
      </c>
      <c r="B1241" t="s">
        <v>14</v>
      </c>
      <c r="C1241" t="s">
        <v>19</v>
      </c>
      <c r="D1241" t="s">
        <v>17</v>
      </c>
      <c r="E1241" t="s">
        <v>12</v>
      </c>
      <c r="F1241">
        <v>1397841</v>
      </c>
      <c r="G1241">
        <v>1397862</v>
      </c>
      <c r="H1241">
        <v>1398017</v>
      </c>
      <c r="I1241">
        <v>1398040</v>
      </c>
    </row>
    <row r="1242" spans="1:9" x14ac:dyDescent="0.2">
      <c r="A1242" s="1" t="str">
        <f>"ATAD5"</f>
        <v>ATAD5</v>
      </c>
      <c r="B1242" t="s">
        <v>14</v>
      </c>
      <c r="C1242" t="s">
        <v>28</v>
      </c>
      <c r="D1242" t="s">
        <v>17</v>
      </c>
      <c r="E1242" t="s">
        <v>12</v>
      </c>
      <c r="F1242">
        <v>29158962</v>
      </c>
      <c r="G1242">
        <v>29159046</v>
      </c>
      <c r="H1242">
        <v>29159370</v>
      </c>
      <c r="I1242">
        <v>29159400</v>
      </c>
    </row>
    <row r="1243" spans="1:9" x14ac:dyDescent="0.2">
      <c r="A1243" s="1" t="str">
        <f>"ATAT1"</f>
        <v>ATAT1</v>
      </c>
      <c r="B1243" t="s">
        <v>14</v>
      </c>
      <c r="C1243" t="s">
        <v>32</v>
      </c>
      <c r="D1243" t="s">
        <v>17</v>
      </c>
      <c r="E1243" t="s">
        <v>12</v>
      </c>
      <c r="F1243">
        <v>30594622</v>
      </c>
      <c r="G1243">
        <v>30594665</v>
      </c>
      <c r="H1243">
        <v>30594669</v>
      </c>
      <c r="I1243">
        <v>30594686</v>
      </c>
    </row>
    <row r="1244" spans="1:9" x14ac:dyDescent="0.2">
      <c r="A1244" s="1" t="str">
        <f>"ATCAY"</f>
        <v>ATCAY</v>
      </c>
      <c r="B1244" t="s">
        <v>14</v>
      </c>
      <c r="C1244" t="s">
        <v>10</v>
      </c>
      <c r="D1244" t="s">
        <v>17</v>
      </c>
      <c r="E1244" t="s">
        <v>12</v>
      </c>
      <c r="F1244">
        <v>3880645</v>
      </c>
      <c r="G1244">
        <v>3880692</v>
      </c>
      <c r="H1244">
        <v>3880645</v>
      </c>
      <c r="I1244">
        <v>3880692</v>
      </c>
    </row>
    <row r="1245" spans="1:9" x14ac:dyDescent="0.2">
      <c r="A1245" s="1" t="str">
        <f>"ATE1"</f>
        <v>ATE1</v>
      </c>
      <c r="B1245" t="s">
        <v>14</v>
      </c>
      <c r="C1245" t="s">
        <v>15</v>
      </c>
      <c r="D1245" t="s">
        <v>11</v>
      </c>
      <c r="E1245" t="s">
        <v>12</v>
      </c>
      <c r="F1245">
        <v>123687497</v>
      </c>
      <c r="G1245">
        <v>123687562</v>
      </c>
      <c r="H1245">
        <v>123687943</v>
      </c>
      <c r="I1245">
        <v>123687997</v>
      </c>
    </row>
    <row r="1246" spans="1:9" x14ac:dyDescent="0.2">
      <c r="A1246" s="1" t="str">
        <f>"ATF1"</f>
        <v>ATF1</v>
      </c>
      <c r="B1246" t="s">
        <v>14</v>
      </c>
      <c r="C1246" t="s">
        <v>16</v>
      </c>
      <c r="D1246" t="s">
        <v>17</v>
      </c>
      <c r="E1246" t="s">
        <v>12</v>
      </c>
      <c r="F1246">
        <v>51157837</v>
      </c>
      <c r="G1246">
        <v>51157892</v>
      </c>
      <c r="H1246">
        <v>51157744</v>
      </c>
      <c r="I1246">
        <v>51157796</v>
      </c>
    </row>
    <row r="1247" spans="1:9" x14ac:dyDescent="0.2">
      <c r="A1247" s="1" t="str">
        <f>"ATF2"</f>
        <v>ATF2</v>
      </c>
      <c r="B1247" t="s">
        <v>14</v>
      </c>
      <c r="C1247" t="s">
        <v>26</v>
      </c>
      <c r="D1247" t="s">
        <v>11</v>
      </c>
      <c r="E1247" t="s">
        <v>12</v>
      </c>
      <c r="F1247">
        <v>176032843</v>
      </c>
      <c r="G1247">
        <v>176032941</v>
      </c>
      <c r="H1247">
        <v>176033066</v>
      </c>
      <c r="I1247">
        <v>176033087</v>
      </c>
    </row>
    <row r="1248" spans="1:9" x14ac:dyDescent="0.2">
      <c r="A1248" s="1" t="str">
        <f>"ATF3"</f>
        <v>ATF3</v>
      </c>
      <c r="B1248" t="s">
        <v>14</v>
      </c>
      <c r="C1248" t="s">
        <v>19</v>
      </c>
      <c r="D1248" t="s">
        <v>17</v>
      </c>
      <c r="E1248" t="s">
        <v>12</v>
      </c>
      <c r="F1248">
        <v>212782094</v>
      </c>
      <c r="G1248">
        <v>212782109</v>
      </c>
      <c r="H1248">
        <v>212782094</v>
      </c>
      <c r="I1248">
        <v>212782109</v>
      </c>
    </row>
    <row r="1249" spans="1:9" x14ac:dyDescent="0.2">
      <c r="A1249" s="1" t="str">
        <f>"ATF4"</f>
        <v>ATF4</v>
      </c>
      <c r="B1249" t="s">
        <v>14</v>
      </c>
      <c r="C1249" t="s">
        <v>21</v>
      </c>
      <c r="D1249" t="s">
        <v>17</v>
      </c>
      <c r="E1249" t="s">
        <v>12</v>
      </c>
      <c r="F1249">
        <v>39916558</v>
      </c>
      <c r="G1249">
        <v>39916579</v>
      </c>
      <c r="H1249">
        <v>39916243</v>
      </c>
      <c r="I1249">
        <v>39916270</v>
      </c>
    </row>
    <row r="1250" spans="1:9" x14ac:dyDescent="0.2">
      <c r="A1250" s="1" t="str">
        <f>"ATF5"</f>
        <v>ATF5</v>
      </c>
      <c r="B1250" t="s">
        <v>14</v>
      </c>
      <c r="C1250" t="s">
        <v>10</v>
      </c>
      <c r="D1250" t="s">
        <v>17</v>
      </c>
      <c r="E1250" t="s">
        <v>12</v>
      </c>
      <c r="F1250">
        <v>50432453</v>
      </c>
      <c r="G1250">
        <v>50432468</v>
      </c>
      <c r="H1250">
        <v>50432132</v>
      </c>
      <c r="I1250">
        <v>50432217</v>
      </c>
    </row>
    <row r="1251" spans="1:9" x14ac:dyDescent="0.2">
      <c r="A1251" s="1" t="str">
        <f>"ATF6"</f>
        <v>ATF6</v>
      </c>
      <c r="B1251" t="s">
        <v>14</v>
      </c>
      <c r="C1251" t="s">
        <v>19</v>
      </c>
      <c r="D1251" t="s">
        <v>17</v>
      </c>
      <c r="E1251" t="s">
        <v>12</v>
      </c>
      <c r="F1251">
        <v>161736102</v>
      </c>
      <c r="G1251">
        <v>161736123</v>
      </c>
      <c r="H1251">
        <v>161736072</v>
      </c>
      <c r="I1251">
        <v>161736093</v>
      </c>
    </row>
    <row r="1252" spans="1:9" x14ac:dyDescent="0.2">
      <c r="A1252" s="1" t="str">
        <f>"ATF6B"</f>
        <v>ATF6B</v>
      </c>
      <c r="B1252" t="s">
        <v>14</v>
      </c>
      <c r="C1252" t="s">
        <v>32</v>
      </c>
      <c r="D1252" t="s">
        <v>11</v>
      </c>
      <c r="E1252" t="s">
        <v>12</v>
      </c>
      <c r="F1252">
        <v>32095968</v>
      </c>
      <c r="G1252">
        <v>32096032</v>
      </c>
      <c r="H1252">
        <v>32095523</v>
      </c>
      <c r="I1252">
        <v>32095564</v>
      </c>
    </row>
    <row r="1253" spans="1:9" x14ac:dyDescent="0.2">
      <c r="A1253" s="1" t="str">
        <f>"ATF7"</f>
        <v>ATF7</v>
      </c>
      <c r="B1253" t="s">
        <v>14</v>
      </c>
      <c r="C1253" t="s">
        <v>16</v>
      </c>
      <c r="D1253" t="s">
        <v>11</v>
      </c>
      <c r="E1253" t="s">
        <v>12</v>
      </c>
      <c r="F1253">
        <v>54020107</v>
      </c>
      <c r="G1253">
        <v>54020196</v>
      </c>
      <c r="H1253">
        <v>54019757</v>
      </c>
      <c r="I1253">
        <v>54019804</v>
      </c>
    </row>
    <row r="1254" spans="1:9" x14ac:dyDescent="0.2">
      <c r="A1254" s="1" t="str">
        <f>"ATF7IP"</f>
        <v>ATF7IP</v>
      </c>
      <c r="B1254" t="s">
        <v>9</v>
      </c>
      <c r="C1254" t="s">
        <v>16</v>
      </c>
      <c r="D1254" t="s">
        <v>17</v>
      </c>
      <c r="E1254" t="s">
        <v>12</v>
      </c>
      <c r="F1254">
        <v>14518598</v>
      </c>
      <c r="G1254">
        <v>14518627</v>
      </c>
      <c r="H1254">
        <v>14518598</v>
      </c>
      <c r="I1254">
        <v>14518627</v>
      </c>
    </row>
    <row r="1255" spans="1:9" x14ac:dyDescent="0.2">
      <c r="A1255" s="1" t="str">
        <f>"ATF7IP"</f>
        <v>ATF7IP</v>
      </c>
      <c r="B1255" t="s">
        <v>13</v>
      </c>
      <c r="C1255" t="s">
        <v>16</v>
      </c>
      <c r="D1255" t="s">
        <v>17</v>
      </c>
      <c r="E1255" t="s">
        <v>12</v>
      </c>
      <c r="F1255">
        <v>14538205</v>
      </c>
      <c r="G1255">
        <v>14538305</v>
      </c>
      <c r="H1255">
        <v>14538205</v>
      </c>
      <c r="I1255">
        <v>14538305</v>
      </c>
    </row>
    <row r="1256" spans="1:9" x14ac:dyDescent="0.2">
      <c r="A1256" s="1" t="str">
        <f>"ATF7IP2"</f>
        <v>ATF7IP2</v>
      </c>
      <c r="B1256" t="s">
        <v>14</v>
      </c>
      <c r="C1256" t="s">
        <v>31</v>
      </c>
      <c r="D1256" t="s">
        <v>17</v>
      </c>
      <c r="E1256" t="s">
        <v>12</v>
      </c>
      <c r="F1256">
        <v>10479906</v>
      </c>
      <c r="G1256">
        <v>10479925</v>
      </c>
      <c r="H1256">
        <v>10479876</v>
      </c>
      <c r="I1256">
        <v>10479887</v>
      </c>
    </row>
    <row r="1257" spans="1:9" x14ac:dyDescent="0.2">
      <c r="A1257" s="1" t="str">
        <f>"ATG10"</f>
        <v>ATG10</v>
      </c>
      <c r="B1257" t="s">
        <v>14</v>
      </c>
      <c r="C1257" t="s">
        <v>46</v>
      </c>
      <c r="D1257" t="s">
        <v>17</v>
      </c>
      <c r="E1257" t="s">
        <v>12</v>
      </c>
      <c r="F1257">
        <v>81267834</v>
      </c>
      <c r="G1257">
        <v>81267868</v>
      </c>
      <c r="H1257">
        <v>81268063</v>
      </c>
      <c r="I1257">
        <v>81268106</v>
      </c>
    </row>
    <row r="1258" spans="1:9" x14ac:dyDescent="0.2">
      <c r="A1258" s="1" t="str">
        <f>"ATG12"</f>
        <v>ATG12</v>
      </c>
      <c r="B1258" t="s">
        <v>14</v>
      </c>
      <c r="C1258" t="s">
        <v>46</v>
      </c>
      <c r="D1258" t="s">
        <v>11</v>
      </c>
      <c r="E1258" t="s">
        <v>12</v>
      </c>
      <c r="F1258">
        <v>115177247</v>
      </c>
      <c r="G1258">
        <v>115177279</v>
      </c>
      <c r="H1258">
        <v>115177496</v>
      </c>
      <c r="I1258">
        <v>115177558</v>
      </c>
    </row>
    <row r="1259" spans="1:9" x14ac:dyDescent="0.2">
      <c r="A1259" s="1" t="str">
        <f>"ATG13"</f>
        <v>ATG13</v>
      </c>
      <c r="B1259" t="s">
        <v>14</v>
      </c>
      <c r="C1259" t="s">
        <v>27</v>
      </c>
      <c r="D1259" t="s">
        <v>17</v>
      </c>
      <c r="E1259" t="s">
        <v>12</v>
      </c>
      <c r="F1259">
        <v>46639071</v>
      </c>
      <c r="G1259">
        <v>46639140</v>
      </c>
      <c r="H1259">
        <v>46638805</v>
      </c>
      <c r="I1259">
        <v>46638882</v>
      </c>
    </row>
    <row r="1260" spans="1:9" x14ac:dyDescent="0.2">
      <c r="A1260" s="1" t="str">
        <f>"ATG14"</f>
        <v>ATG14</v>
      </c>
      <c r="B1260" t="s">
        <v>14</v>
      </c>
      <c r="C1260" t="s">
        <v>41</v>
      </c>
      <c r="D1260" t="s">
        <v>11</v>
      </c>
      <c r="E1260" t="s">
        <v>12</v>
      </c>
      <c r="F1260">
        <v>55878538</v>
      </c>
      <c r="G1260">
        <v>55878559</v>
      </c>
      <c r="H1260">
        <v>55878628</v>
      </c>
      <c r="I1260">
        <v>55878631</v>
      </c>
    </row>
    <row r="1261" spans="1:9" x14ac:dyDescent="0.2">
      <c r="A1261" s="1" t="str">
        <f>"ATG16L1"</f>
        <v>ATG16L1</v>
      </c>
      <c r="B1261" t="s">
        <v>14</v>
      </c>
      <c r="C1261" t="s">
        <v>26</v>
      </c>
      <c r="D1261" t="s">
        <v>17</v>
      </c>
      <c r="E1261" t="s">
        <v>12</v>
      </c>
      <c r="F1261">
        <v>234160287</v>
      </c>
      <c r="G1261">
        <v>234160335</v>
      </c>
      <c r="H1261">
        <v>234160340</v>
      </c>
      <c r="I1261">
        <v>234160357</v>
      </c>
    </row>
    <row r="1262" spans="1:9" x14ac:dyDescent="0.2">
      <c r="A1262" s="1" t="str">
        <f>"ATG16L2"</f>
        <v>ATG16L2</v>
      </c>
      <c r="B1262" t="s">
        <v>14</v>
      </c>
      <c r="C1262" t="s">
        <v>27</v>
      </c>
      <c r="D1262" t="s">
        <v>17</v>
      </c>
      <c r="E1262" t="s">
        <v>12</v>
      </c>
      <c r="F1262">
        <v>72525425</v>
      </c>
      <c r="G1262">
        <v>72525486</v>
      </c>
      <c r="H1262">
        <v>72525408</v>
      </c>
      <c r="I1262">
        <v>72525417</v>
      </c>
    </row>
    <row r="1263" spans="1:9" x14ac:dyDescent="0.2">
      <c r="A1263" s="1" t="str">
        <f>"ATG2A"</f>
        <v>ATG2A</v>
      </c>
      <c r="B1263" t="s">
        <v>14</v>
      </c>
      <c r="C1263" t="s">
        <v>27</v>
      </c>
      <c r="D1263" t="s">
        <v>11</v>
      </c>
      <c r="E1263" t="s">
        <v>12</v>
      </c>
      <c r="F1263">
        <v>64684672</v>
      </c>
      <c r="G1263">
        <v>64684687</v>
      </c>
      <c r="H1263">
        <v>64684541</v>
      </c>
      <c r="I1263">
        <v>64684563</v>
      </c>
    </row>
    <row r="1264" spans="1:9" x14ac:dyDescent="0.2">
      <c r="A1264" s="1" t="str">
        <f>"ATG2B"</f>
        <v>ATG2B</v>
      </c>
      <c r="B1264" t="s">
        <v>14</v>
      </c>
      <c r="C1264" t="s">
        <v>41</v>
      </c>
      <c r="D1264" t="s">
        <v>11</v>
      </c>
      <c r="E1264" t="s">
        <v>12</v>
      </c>
      <c r="F1264">
        <v>96829670</v>
      </c>
      <c r="G1264">
        <v>96829759</v>
      </c>
      <c r="H1264">
        <v>96829635</v>
      </c>
      <c r="I1264">
        <v>96829662</v>
      </c>
    </row>
    <row r="1265" spans="1:9" x14ac:dyDescent="0.2">
      <c r="A1265" s="1" t="str">
        <f>"ATG3"</f>
        <v>ATG3</v>
      </c>
      <c r="B1265" t="s">
        <v>14</v>
      </c>
      <c r="C1265" t="s">
        <v>22</v>
      </c>
      <c r="D1265" t="s">
        <v>11</v>
      </c>
      <c r="E1265" t="s">
        <v>12</v>
      </c>
      <c r="F1265">
        <v>112280709</v>
      </c>
      <c r="G1265">
        <v>112280816</v>
      </c>
      <c r="H1265">
        <v>112280466</v>
      </c>
      <c r="I1265">
        <v>112280546</v>
      </c>
    </row>
    <row r="1266" spans="1:9" x14ac:dyDescent="0.2">
      <c r="A1266" s="1" t="str">
        <f>"ATG4A"</f>
        <v>ATG4A</v>
      </c>
      <c r="B1266" t="s">
        <v>14</v>
      </c>
      <c r="C1266" t="s">
        <v>37</v>
      </c>
      <c r="D1266" t="s">
        <v>17</v>
      </c>
      <c r="E1266" t="s">
        <v>12</v>
      </c>
      <c r="F1266">
        <v>107334983</v>
      </c>
      <c r="G1266">
        <v>107335024</v>
      </c>
      <c r="H1266">
        <v>107335034</v>
      </c>
      <c r="I1266">
        <v>107335049</v>
      </c>
    </row>
    <row r="1267" spans="1:9" x14ac:dyDescent="0.2">
      <c r="A1267" s="1" t="str">
        <f>"ATG4B"</f>
        <v>ATG4B</v>
      </c>
      <c r="B1267" t="s">
        <v>14</v>
      </c>
      <c r="C1267" t="s">
        <v>26</v>
      </c>
      <c r="D1267" t="s">
        <v>17</v>
      </c>
      <c r="E1267" t="s">
        <v>12</v>
      </c>
      <c r="F1267">
        <v>242577097</v>
      </c>
      <c r="G1267">
        <v>242577116</v>
      </c>
      <c r="H1267">
        <v>242577050</v>
      </c>
      <c r="I1267">
        <v>242577074</v>
      </c>
    </row>
    <row r="1268" spans="1:9" x14ac:dyDescent="0.2">
      <c r="A1268" s="1" t="str">
        <f>"ATG4C"</f>
        <v>ATG4C</v>
      </c>
      <c r="B1268" t="s">
        <v>14</v>
      </c>
      <c r="C1268" t="s">
        <v>19</v>
      </c>
      <c r="D1268" t="s">
        <v>17</v>
      </c>
      <c r="E1268" t="s">
        <v>12</v>
      </c>
      <c r="F1268">
        <v>63249796</v>
      </c>
      <c r="G1268">
        <v>63249847</v>
      </c>
      <c r="H1268">
        <v>63249774</v>
      </c>
      <c r="I1268">
        <v>63249787</v>
      </c>
    </row>
    <row r="1269" spans="1:9" x14ac:dyDescent="0.2">
      <c r="A1269" s="1" t="str">
        <f>"ATG4D"</f>
        <v>ATG4D</v>
      </c>
      <c r="B1269" t="s">
        <v>14</v>
      </c>
      <c r="C1269" t="s">
        <v>10</v>
      </c>
      <c r="D1269" t="s">
        <v>17</v>
      </c>
      <c r="E1269" t="s">
        <v>12</v>
      </c>
      <c r="F1269">
        <v>10654561</v>
      </c>
      <c r="G1269">
        <v>10654600</v>
      </c>
      <c r="H1269">
        <v>10654284</v>
      </c>
      <c r="I1269">
        <v>10654297</v>
      </c>
    </row>
    <row r="1270" spans="1:9" x14ac:dyDescent="0.2">
      <c r="A1270" s="1" t="str">
        <f>"ATG5"</f>
        <v>ATG5</v>
      </c>
      <c r="B1270" t="s">
        <v>14</v>
      </c>
      <c r="C1270" t="s">
        <v>32</v>
      </c>
      <c r="D1270" t="s">
        <v>11</v>
      </c>
      <c r="E1270" t="s">
        <v>12</v>
      </c>
      <c r="F1270">
        <v>106773491</v>
      </c>
      <c r="G1270">
        <v>106773559</v>
      </c>
      <c r="H1270">
        <v>106773610</v>
      </c>
      <c r="I1270">
        <v>106773700</v>
      </c>
    </row>
    <row r="1271" spans="1:9" x14ac:dyDescent="0.2">
      <c r="A1271" s="1" t="str">
        <f>"ATG7"</f>
        <v>ATG7</v>
      </c>
      <c r="B1271" t="s">
        <v>14</v>
      </c>
      <c r="C1271" t="s">
        <v>22</v>
      </c>
      <c r="D1271" t="s">
        <v>17</v>
      </c>
      <c r="E1271" t="s">
        <v>12</v>
      </c>
      <c r="F1271">
        <v>11314072</v>
      </c>
      <c r="G1271">
        <v>11314098</v>
      </c>
      <c r="H1271">
        <v>11314055</v>
      </c>
      <c r="I1271">
        <v>11314071</v>
      </c>
    </row>
    <row r="1272" spans="1:9" x14ac:dyDescent="0.2">
      <c r="A1272" s="1" t="str">
        <f>"ATG9A"</f>
        <v>ATG9A</v>
      </c>
      <c r="B1272" t="s">
        <v>14</v>
      </c>
      <c r="C1272" t="s">
        <v>26</v>
      </c>
      <c r="D1272" t="s">
        <v>11</v>
      </c>
      <c r="E1272" t="s">
        <v>12</v>
      </c>
      <c r="F1272">
        <v>220094294</v>
      </c>
      <c r="G1272">
        <v>220094366</v>
      </c>
      <c r="H1272">
        <v>220094031</v>
      </c>
      <c r="I1272">
        <v>220094093</v>
      </c>
    </row>
    <row r="1273" spans="1:9" x14ac:dyDescent="0.2">
      <c r="A1273" s="1" t="str">
        <f>"ATG9B"</f>
        <v>ATG9B</v>
      </c>
      <c r="B1273" t="s">
        <v>14</v>
      </c>
      <c r="C1273" t="s">
        <v>33</v>
      </c>
      <c r="D1273" t="s">
        <v>11</v>
      </c>
      <c r="E1273" t="s">
        <v>12</v>
      </c>
      <c r="F1273">
        <v>150721570</v>
      </c>
      <c r="G1273">
        <v>150721591</v>
      </c>
      <c r="H1273">
        <v>150721570</v>
      </c>
      <c r="I1273">
        <v>150721591</v>
      </c>
    </row>
    <row r="1274" spans="1:9" x14ac:dyDescent="0.2">
      <c r="A1274" s="1" t="str">
        <f>"ATHL1"</f>
        <v>ATHL1</v>
      </c>
      <c r="B1274" t="s">
        <v>14</v>
      </c>
      <c r="C1274" t="s">
        <v>27</v>
      </c>
      <c r="D1274" t="s">
        <v>17</v>
      </c>
      <c r="E1274" t="s">
        <v>12</v>
      </c>
      <c r="F1274">
        <v>289110</v>
      </c>
      <c r="G1274">
        <v>289139</v>
      </c>
      <c r="H1274">
        <v>289155</v>
      </c>
      <c r="I1274">
        <v>289173</v>
      </c>
    </row>
    <row r="1275" spans="1:9" x14ac:dyDescent="0.2">
      <c r="A1275" s="1" t="str">
        <f>"ATIC"</f>
        <v>ATIC</v>
      </c>
      <c r="B1275" t="s">
        <v>14</v>
      </c>
      <c r="C1275" t="s">
        <v>26</v>
      </c>
      <c r="D1275" t="s">
        <v>17</v>
      </c>
      <c r="E1275" t="s">
        <v>12</v>
      </c>
      <c r="F1275">
        <v>216176761</v>
      </c>
      <c r="G1275">
        <v>216176859</v>
      </c>
      <c r="H1275">
        <v>216176684</v>
      </c>
      <c r="I1275">
        <v>216176702</v>
      </c>
    </row>
    <row r="1276" spans="1:9" x14ac:dyDescent="0.2">
      <c r="A1276" s="1" t="str">
        <f>"ATL1"</f>
        <v>ATL1</v>
      </c>
      <c r="B1276" t="s">
        <v>14</v>
      </c>
      <c r="C1276" t="s">
        <v>41</v>
      </c>
      <c r="D1276" t="s">
        <v>17</v>
      </c>
      <c r="E1276" t="s">
        <v>12</v>
      </c>
      <c r="F1276">
        <v>51026855</v>
      </c>
      <c r="G1276">
        <v>51026870</v>
      </c>
      <c r="H1276">
        <v>51026813</v>
      </c>
      <c r="I1276">
        <v>51026835</v>
      </c>
    </row>
    <row r="1277" spans="1:9" x14ac:dyDescent="0.2">
      <c r="A1277" s="1" t="str">
        <f>"ATL2"</f>
        <v>ATL2</v>
      </c>
      <c r="B1277" t="s">
        <v>14</v>
      </c>
      <c r="C1277" t="s">
        <v>26</v>
      </c>
      <c r="D1277" t="s">
        <v>11</v>
      </c>
      <c r="E1277" t="s">
        <v>12</v>
      </c>
      <c r="F1277">
        <v>38604404</v>
      </c>
      <c r="G1277">
        <v>38604436</v>
      </c>
      <c r="H1277">
        <v>38604382</v>
      </c>
      <c r="I1277">
        <v>38604391</v>
      </c>
    </row>
    <row r="1278" spans="1:9" x14ac:dyDescent="0.2">
      <c r="A1278" s="1" t="str">
        <f>"ATL3"</f>
        <v>ATL3</v>
      </c>
      <c r="B1278" t="s">
        <v>14</v>
      </c>
      <c r="C1278" t="s">
        <v>27</v>
      </c>
      <c r="D1278" t="s">
        <v>11</v>
      </c>
      <c r="E1278" t="s">
        <v>12</v>
      </c>
      <c r="F1278">
        <v>63438836</v>
      </c>
      <c r="G1278">
        <v>63438930</v>
      </c>
      <c r="H1278">
        <v>63439013</v>
      </c>
      <c r="I1278">
        <v>63439091</v>
      </c>
    </row>
    <row r="1279" spans="1:9" x14ac:dyDescent="0.2">
      <c r="A1279" s="1" t="str">
        <f>"ATM"</f>
        <v>ATM</v>
      </c>
      <c r="B1279" t="s">
        <v>14</v>
      </c>
      <c r="C1279" t="s">
        <v>27</v>
      </c>
      <c r="D1279" t="s">
        <v>17</v>
      </c>
      <c r="E1279" t="s">
        <v>12</v>
      </c>
      <c r="F1279">
        <v>108093755</v>
      </c>
      <c r="G1279">
        <v>108093832</v>
      </c>
      <c r="H1279">
        <v>108093755</v>
      </c>
      <c r="I1279">
        <v>108093832</v>
      </c>
    </row>
    <row r="1280" spans="1:9" x14ac:dyDescent="0.2">
      <c r="A1280" s="1" t="str">
        <f>"ATMIN"</f>
        <v>ATMIN</v>
      </c>
      <c r="B1280" t="s">
        <v>14</v>
      </c>
      <c r="C1280" t="s">
        <v>31</v>
      </c>
      <c r="D1280" t="s">
        <v>17</v>
      </c>
      <c r="E1280" t="s">
        <v>12</v>
      </c>
      <c r="F1280">
        <v>81069433</v>
      </c>
      <c r="G1280">
        <v>81069462</v>
      </c>
      <c r="H1280">
        <v>81069666</v>
      </c>
      <c r="I1280">
        <v>81069680</v>
      </c>
    </row>
    <row r="1281" spans="1:9" x14ac:dyDescent="0.2">
      <c r="A1281" s="1" t="str">
        <f>"ATN1"</f>
        <v>ATN1</v>
      </c>
      <c r="B1281" t="s">
        <v>14</v>
      </c>
      <c r="C1281" t="s">
        <v>16</v>
      </c>
      <c r="D1281" t="s">
        <v>17</v>
      </c>
      <c r="E1281" t="s">
        <v>12</v>
      </c>
      <c r="F1281">
        <v>7036941</v>
      </c>
      <c r="G1281">
        <v>7036986</v>
      </c>
      <c r="H1281">
        <v>7036941</v>
      </c>
      <c r="I1281">
        <v>7036986</v>
      </c>
    </row>
    <row r="1282" spans="1:9" x14ac:dyDescent="0.2">
      <c r="A1282" s="1" t="str">
        <f>"ATOH1"</f>
        <v>ATOH1</v>
      </c>
      <c r="B1282" t="s">
        <v>14</v>
      </c>
      <c r="C1282" t="s">
        <v>23</v>
      </c>
      <c r="D1282" t="s">
        <v>17</v>
      </c>
      <c r="E1282" t="s">
        <v>12</v>
      </c>
      <c r="F1282">
        <v>94749897</v>
      </c>
      <c r="G1282">
        <v>94749909</v>
      </c>
      <c r="H1282">
        <v>94750014</v>
      </c>
      <c r="I1282">
        <v>94750025</v>
      </c>
    </row>
    <row r="1283" spans="1:9" x14ac:dyDescent="0.2">
      <c r="A1283" s="1" t="str">
        <f>"ATOH7"</f>
        <v>ATOH7</v>
      </c>
      <c r="B1283" t="s">
        <v>14</v>
      </c>
      <c r="C1283" t="s">
        <v>15</v>
      </c>
      <c r="D1283" t="s">
        <v>11</v>
      </c>
      <c r="E1283" t="s">
        <v>12</v>
      </c>
      <c r="F1283">
        <v>69991865</v>
      </c>
      <c r="G1283">
        <v>69991870</v>
      </c>
      <c r="H1283">
        <v>69991865</v>
      </c>
      <c r="I1283">
        <v>69991870</v>
      </c>
    </row>
    <row r="1284" spans="1:9" x14ac:dyDescent="0.2">
      <c r="A1284" s="1" t="str">
        <f>"ATOH8"</f>
        <v>ATOH8</v>
      </c>
      <c r="B1284" t="s">
        <v>14</v>
      </c>
      <c r="C1284" t="s">
        <v>26</v>
      </c>
      <c r="D1284" t="s">
        <v>17</v>
      </c>
      <c r="E1284" t="s">
        <v>12</v>
      </c>
      <c r="F1284">
        <v>85980951</v>
      </c>
      <c r="G1284">
        <v>85981004</v>
      </c>
      <c r="H1284">
        <v>85981222</v>
      </c>
      <c r="I1284">
        <v>85981259</v>
      </c>
    </row>
    <row r="1285" spans="1:9" x14ac:dyDescent="0.2">
      <c r="A1285" s="1" t="str">
        <f>"ATOX1"</f>
        <v>ATOX1</v>
      </c>
      <c r="B1285" t="s">
        <v>14</v>
      </c>
      <c r="C1285" t="s">
        <v>46</v>
      </c>
      <c r="D1285" t="s">
        <v>11</v>
      </c>
      <c r="E1285" t="s">
        <v>12</v>
      </c>
      <c r="F1285">
        <v>151138126</v>
      </c>
      <c r="G1285">
        <v>151138199</v>
      </c>
      <c r="H1285">
        <v>151138200</v>
      </c>
      <c r="I1285">
        <v>151138211</v>
      </c>
    </row>
    <row r="1286" spans="1:9" x14ac:dyDescent="0.2">
      <c r="A1286" s="1" t="str">
        <f>"ATP10A"</f>
        <v>ATP10A</v>
      </c>
      <c r="B1286" t="s">
        <v>14</v>
      </c>
      <c r="C1286" t="s">
        <v>25</v>
      </c>
      <c r="D1286" t="s">
        <v>11</v>
      </c>
      <c r="E1286" t="s">
        <v>12</v>
      </c>
      <c r="F1286">
        <v>26108452</v>
      </c>
      <c r="G1286">
        <v>26108518</v>
      </c>
      <c r="H1286">
        <v>26108356</v>
      </c>
      <c r="I1286">
        <v>26108417</v>
      </c>
    </row>
    <row r="1287" spans="1:9" x14ac:dyDescent="0.2">
      <c r="A1287" s="1" t="str">
        <f>"ATP10B"</f>
        <v>ATP10B</v>
      </c>
      <c r="B1287" t="s">
        <v>14</v>
      </c>
      <c r="C1287" t="s">
        <v>46</v>
      </c>
      <c r="D1287" t="s">
        <v>11</v>
      </c>
      <c r="E1287" t="s">
        <v>12</v>
      </c>
      <c r="F1287">
        <v>160279207</v>
      </c>
      <c r="G1287">
        <v>160279247</v>
      </c>
      <c r="H1287">
        <v>160279139</v>
      </c>
      <c r="I1287">
        <v>160279153</v>
      </c>
    </row>
    <row r="1288" spans="1:9" x14ac:dyDescent="0.2">
      <c r="A1288" s="1" t="str">
        <f>"ATP10D"</f>
        <v>ATP10D</v>
      </c>
      <c r="B1288" t="s">
        <v>14</v>
      </c>
      <c r="C1288" t="s">
        <v>23</v>
      </c>
      <c r="D1288" t="s">
        <v>17</v>
      </c>
      <c r="E1288" t="s">
        <v>12</v>
      </c>
      <c r="F1288">
        <v>47487285</v>
      </c>
      <c r="G1288">
        <v>47487366</v>
      </c>
      <c r="H1288">
        <v>47487409</v>
      </c>
      <c r="I1288">
        <v>47487414</v>
      </c>
    </row>
    <row r="1289" spans="1:9" x14ac:dyDescent="0.2">
      <c r="A1289" s="1" t="str">
        <f>"ATP11A"</f>
        <v>ATP11A</v>
      </c>
      <c r="B1289" t="s">
        <v>14</v>
      </c>
      <c r="C1289" t="s">
        <v>39</v>
      </c>
      <c r="D1289" t="s">
        <v>17</v>
      </c>
      <c r="E1289" t="s">
        <v>12</v>
      </c>
      <c r="F1289">
        <v>113344483</v>
      </c>
      <c r="G1289">
        <v>113344540</v>
      </c>
      <c r="H1289">
        <v>113344282</v>
      </c>
      <c r="I1289">
        <v>113344337</v>
      </c>
    </row>
    <row r="1290" spans="1:9" x14ac:dyDescent="0.2">
      <c r="A1290" s="1" t="str">
        <f>"ATP11B"</f>
        <v>ATP11B</v>
      </c>
      <c r="B1290" t="s">
        <v>14</v>
      </c>
      <c r="C1290" t="s">
        <v>22</v>
      </c>
      <c r="D1290" t="s">
        <v>17</v>
      </c>
      <c r="E1290" t="s">
        <v>12</v>
      </c>
      <c r="F1290">
        <v>182511266</v>
      </c>
      <c r="G1290">
        <v>182511308</v>
      </c>
      <c r="H1290">
        <v>182511349</v>
      </c>
      <c r="I1290">
        <v>182511360</v>
      </c>
    </row>
    <row r="1291" spans="1:9" x14ac:dyDescent="0.2">
      <c r="A1291" s="1" t="str">
        <f>"ATP11C"</f>
        <v>ATP11C</v>
      </c>
      <c r="B1291" t="s">
        <v>104</v>
      </c>
      <c r="C1291" t="s">
        <v>37</v>
      </c>
      <c r="D1291" t="s">
        <v>11</v>
      </c>
      <c r="E1291" t="s">
        <v>35</v>
      </c>
      <c r="F1291">
        <v>138914394</v>
      </c>
      <c r="G1291">
        <v>138914405</v>
      </c>
      <c r="H1291">
        <v>138914368</v>
      </c>
      <c r="I1291">
        <v>138914386</v>
      </c>
    </row>
    <row r="1292" spans="1:9" x14ac:dyDescent="0.2">
      <c r="A1292" s="1" t="str">
        <f>"ATP12A"</f>
        <v>ATP12A</v>
      </c>
      <c r="B1292" t="s">
        <v>14</v>
      </c>
      <c r="C1292" t="s">
        <v>39</v>
      </c>
      <c r="D1292" t="s">
        <v>17</v>
      </c>
      <c r="E1292" t="s">
        <v>12</v>
      </c>
      <c r="F1292">
        <v>25254545</v>
      </c>
      <c r="G1292">
        <v>25254550</v>
      </c>
      <c r="H1292">
        <v>25254693</v>
      </c>
      <c r="I1292">
        <v>25254710</v>
      </c>
    </row>
    <row r="1293" spans="1:9" x14ac:dyDescent="0.2">
      <c r="A1293" s="1" t="str">
        <f>"ATP13A1"</f>
        <v>ATP13A1</v>
      </c>
      <c r="B1293" t="s">
        <v>14</v>
      </c>
      <c r="C1293" t="s">
        <v>10</v>
      </c>
      <c r="D1293" t="s">
        <v>11</v>
      </c>
      <c r="E1293" t="s">
        <v>12</v>
      </c>
      <c r="F1293">
        <v>19774473</v>
      </c>
      <c r="G1293">
        <v>19774502</v>
      </c>
      <c r="H1293">
        <v>19774473</v>
      </c>
      <c r="I1293">
        <v>19774502</v>
      </c>
    </row>
    <row r="1294" spans="1:9" x14ac:dyDescent="0.2">
      <c r="A1294" s="1" t="str">
        <f>"ATP13A2"</f>
        <v>ATP13A2</v>
      </c>
      <c r="B1294" t="s">
        <v>14</v>
      </c>
      <c r="C1294" t="s">
        <v>19</v>
      </c>
      <c r="D1294" t="s">
        <v>11</v>
      </c>
      <c r="E1294" t="s">
        <v>12</v>
      </c>
      <c r="F1294">
        <v>17338386</v>
      </c>
      <c r="G1294">
        <v>17338460</v>
      </c>
      <c r="H1294">
        <v>17338463</v>
      </c>
      <c r="I1294">
        <v>17338474</v>
      </c>
    </row>
    <row r="1295" spans="1:9" x14ac:dyDescent="0.2">
      <c r="A1295" s="1" t="str">
        <f>"ATP13A3"</f>
        <v>ATP13A3</v>
      </c>
      <c r="B1295" t="s">
        <v>14</v>
      </c>
      <c r="C1295" t="s">
        <v>22</v>
      </c>
      <c r="D1295" t="s">
        <v>11</v>
      </c>
      <c r="E1295" t="s">
        <v>12</v>
      </c>
      <c r="F1295">
        <v>194207678</v>
      </c>
      <c r="G1295">
        <v>194207787</v>
      </c>
      <c r="H1295">
        <v>194207506</v>
      </c>
      <c r="I1295">
        <v>194207622</v>
      </c>
    </row>
    <row r="1296" spans="1:9" x14ac:dyDescent="0.2">
      <c r="A1296" s="1" t="str">
        <f>"ATP13A4"</f>
        <v>ATP13A4</v>
      </c>
      <c r="B1296" t="s">
        <v>14</v>
      </c>
      <c r="C1296" t="s">
        <v>22</v>
      </c>
      <c r="D1296" t="s">
        <v>11</v>
      </c>
      <c r="E1296" t="s">
        <v>12</v>
      </c>
      <c r="F1296">
        <v>193272673</v>
      </c>
      <c r="G1296">
        <v>193272701</v>
      </c>
      <c r="H1296">
        <v>193272673</v>
      </c>
      <c r="I1296">
        <v>193272701</v>
      </c>
    </row>
    <row r="1297" spans="1:9" x14ac:dyDescent="0.2">
      <c r="A1297" s="1" t="str">
        <f>"ATP13A5"</f>
        <v>ATP13A5</v>
      </c>
      <c r="B1297" t="s">
        <v>14</v>
      </c>
      <c r="C1297" t="s">
        <v>22</v>
      </c>
      <c r="D1297" t="s">
        <v>11</v>
      </c>
      <c r="E1297" t="s">
        <v>12</v>
      </c>
      <c r="F1297">
        <v>193096536</v>
      </c>
      <c r="G1297">
        <v>193096547</v>
      </c>
      <c r="H1297">
        <v>193096600</v>
      </c>
      <c r="I1297">
        <v>193096609</v>
      </c>
    </row>
    <row r="1298" spans="1:9" x14ac:dyDescent="0.2">
      <c r="A1298" s="1" t="str">
        <f>"ATP1A1"</f>
        <v>ATP1A1</v>
      </c>
      <c r="B1298" t="s">
        <v>14</v>
      </c>
      <c r="C1298" t="s">
        <v>19</v>
      </c>
      <c r="D1298" t="s">
        <v>17</v>
      </c>
      <c r="E1298" t="s">
        <v>12</v>
      </c>
      <c r="F1298">
        <v>116915855</v>
      </c>
      <c r="G1298">
        <v>116915872</v>
      </c>
      <c r="H1298">
        <v>116915906</v>
      </c>
      <c r="I1298">
        <v>116915923</v>
      </c>
    </row>
    <row r="1299" spans="1:9" x14ac:dyDescent="0.2">
      <c r="A1299" s="1" t="str">
        <f>"ATP1A2"</f>
        <v>ATP1A2</v>
      </c>
      <c r="B1299" t="s">
        <v>9</v>
      </c>
      <c r="C1299" t="s">
        <v>19</v>
      </c>
      <c r="D1299" t="s">
        <v>17</v>
      </c>
      <c r="E1299" t="s">
        <v>12</v>
      </c>
      <c r="F1299">
        <v>160085501</v>
      </c>
      <c r="G1299">
        <v>160085562</v>
      </c>
      <c r="H1299">
        <v>160085501</v>
      </c>
      <c r="I1299">
        <v>160085562</v>
      </c>
    </row>
    <row r="1300" spans="1:9" x14ac:dyDescent="0.2">
      <c r="A1300" s="1" t="str">
        <f>"ATP1A2"</f>
        <v>ATP1A2</v>
      </c>
      <c r="B1300" t="s">
        <v>13</v>
      </c>
      <c r="C1300" t="s">
        <v>19</v>
      </c>
      <c r="D1300" t="s">
        <v>17</v>
      </c>
      <c r="E1300" t="s">
        <v>12</v>
      </c>
      <c r="F1300">
        <v>160098170</v>
      </c>
      <c r="G1300">
        <v>160098199</v>
      </c>
      <c r="H1300">
        <v>160098170</v>
      </c>
      <c r="I1300">
        <v>160098199</v>
      </c>
    </row>
    <row r="1301" spans="1:9" x14ac:dyDescent="0.2">
      <c r="A1301" s="1" t="str">
        <f>"ATP1A3"</f>
        <v>ATP1A3</v>
      </c>
      <c r="B1301" t="s">
        <v>14</v>
      </c>
      <c r="C1301" t="s">
        <v>10</v>
      </c>
      <c r="D1301" t="s">
        <v>11</v>
      </c>
      <c r="E1301" t="s">
        <v>12</v>
      </c>
      <c r="F1301">
        <v>42498369</v>
      </c>
      <c r="G1301">
        <v>42498390</v>
      </c>
      <c r="H1301">
        <v>42498345</v>
      </c>
      <c r="I1301">
        <v>42498356</v>
      </c>
    </row>
    <row r="1302" spans="1:9" x14ac:dyDescent="0.2">
      <c r="A1302" s="1" t="str">
        <f>"ATP1A4"</f>
        <v>ATP1A4</v>
      </c>
      <c r="B1302" t="s">
        <v>9</v>
      </c>
      <c r="C1302" t="s">
        <v>19</v>
      </c>
      <c r="D1302" t="s">
        <v>17</v>
      </c>
      <c r="E1302" t="s">
        <v>12</v>
      </c>
      <c r="F1302">
        <v>160147176</v>
      </c>
      <c r="G1302">
        <v>160147200</v>
      </c>
      <c r="H1302">
        <v>160147176</v>
      </c>
      <c r="I1302">
        <v>160147200</v>
      </c>
    </row>
    <row r="1303" spans="1:9" x14ac:dyDescent="0.2">
      <c r="A1303" s="1" t="str">
        <f>"ATP1A4"</f>
        <v>ATP1A4</v>
      </c>
      <c r="B1303" t="s">
        <v>13</v>
      </c>
      <c r="C1303" t="s">
        <v>19</v>
      </c>
      <c r="D1303" t="s">
        <v>17</v>
      </c>
      <c r="E1303" t="s">
        <v>12</v>
      </c>
      <c r="F1303">
        <v>160121402</v>
      </c>
      <c r="G1303">
        <v>160121413</v>
      </c>
      <c r="H1303">
        <v>160121402</v>
      </c>
      <c r="I1303">
        <v>160121413</v>
      </c>
    </row>
    <row r="1304" spans="1:9" x14ac:dyDescent="0.2">
      <c r="A1304" s="1" t="str">
        <f>"ATP1B1"</f>
        <v>ATP1B1</v>
      </c>
      <c r="B1304" t="s">
        <v>14</v>
      </c>
      <c r="C1304" t="s">
        <v>19</v>
      </c>
      <c r="D1304" t="s">
        <v>17</v>
      </c>
      <c r="E1304" t="s">
        <v>12</v>
      </c>
      <c r="F1304">
        <v>169075919</v>
      </c>
      <c r="G1304">
        <v>169075940</v>
      </c>
      <c r="H1304">
        <v>169075554</v>
      </c>
      <c r="I1304">
        <v>169075571</v>
      </c>
    </row>
    <row r="1305" spans="1:9" x14ac:dyDescent="0.2">
      <c r="A1305" s="1" t="str">
        <f>"ATP1B2"</f>
        <v>ATP1B2</v>
      </c>
      <c r="B1305" t="s">
        <v>14</v>
      </c>
      <c r="C1305" t="s">
        <v>28</v>
      </c>
      <c r="D1305" t="s">
        <v>17</v>
      </c>
      <c r="E1305" t="s">
        <v>12</v>
      </c>
      <c r="F1305">
        <v>7554234</v>
      </c>
      <c r="G1305">
        <v>7554251</v>
      </c>
      <c r="H1305">
        <v>7554234</v>
      </c>
      <c r="I1305">
        <v>7554251</v>
      </c>
    </row>
    <row r="1306" spans="1:9" x14ac:dyDescent="0.2">
      <c r="A1306" s="1" t="str">
        <f>"ATP1B3"</f>
        <v>ATP1B3</v>
      </c>
      <c r="B1306" t="s">
        <v>14</v>
      </c>
      <c r="C1306" t="s">
        <v>22</v>
      </c>
      <c r="D1306" t="s">
        <v>17</v>
      </c>
      <c r="E1306" t="s">
        <v>12</v>
      </c>
      <c r="F1306">
        <v>141595477</v>
      </c>
      <c r="G1306">
        <v>141595492</v>
      </c>
      <c r="H1306">
        <v>141594976</v>
      </c>
      <c r="I1306">
        <v>141595019</v>
      </c>
    </row>
    <row r="1307" spans="1:9" x14ac:dyDescent="0.2">
      <c r="A1307" s="1" t="str">
        <f>"ATP1B4"</f>
        <v>ATP1B4</v>
      </c>
      <c r="B1307" t="s">
        <v>14</v>
      </c>
      <c r="C1307" t="s">
        <v>37</v>
      </c>
      <c r="D1307" t="s">
        <v>17</v>
      </c>
      <c r="E1307" t="s">
        <v>12</v>
      </c>
      <c r="F1307">
        <v>119495934</v>
      </c>
      <c r="G1307">
        <v>119495950</v>
      </c>
      <c r="H1307">
        <v>119495912</v>
      </c>
      <c r="I1307">
        <v>119495921</v>
      </c>
    </row>
    <row r="1308" spans="1:9" x14ac:dyDescent="0.2">
      <c r="A1308" s="1" t="str">
        <f>"ATP2A1"</f>
        <v>ATP2A1</v>
      </c>
      <c r="B1308" t="s">
        <v>14</v>
      </c>
      <c r="C1308" t="s">
        <v>31</v>
      </c>
      <c r="D1308" t="s">
        <v>17</v>
      </c>
      <c r="E1308" t="s">
        <v>12</v>
      </c>
      <c r="F1308">
        <v>28889801</v>
      </c>
      <c r="G1308">
        <v>28889818</v>
      </c>
      <c r="H1308">
        <v>28889703</v>
      </c>
      <c r="I1308">
        <v>28889730</v>
      </c>
    </row>
    <row r="1309" spans="1:9" x14ac:dyDescent="0.2">
      <c r="A1309" s="1" t="str">
        <f>"ATP2A2"</f>
        <v>ATP2A2</v>
      </c>
      <c r="B1309" t="s">
        <v>14</v>
      </c>
      <c r="C1309" t="s">
        <v>16</v>
      </c>
      <c r="D1309" t="s">
        <v>17</v>
      </c>
      <c r="E1309" t="s">
        <v>12</v>
      </c>
      <c r="F1309">
        <v>110719036</v>
      </c>
      <c r="G1309">
        <v>110719113</v>
      </c>
      <c r="H1309">
        <v>110719114</v>
      </c>
      <c r="I1309">
        <v>110719128</v>
      </c>
    </row>
    <row r="1310" spans="1:9" x14ac:dyDescent="0.2">
      <c r="A1310" s="1" t="str">
        <f>"ATP2A3"</f>
        <v>ATP2A3</v>
      </c>
      <c r="B1310" t="s">
        <v>14</v>
      </c>
      <c r="C1310" t="s">
        <v>28</v>
      </c>
      <c r="D1310" t="s">
        <v>11</v>
      </c>
      <c r="E1310" t="s">
        <v>12</v>
      </c>
      <c r="F1310">
        <v>3867722</v>
      </c>
      <c r="G1310">
        <v>3867748</v>
      </c>
      <c r="H1310">
        <v>3867752</v>
      </c>
      <c r="I1310">
        <v>3867764</v>
      </c>
    </row>
    <row r="1311" spans="1:9" x14ac:dyDescent="0.2">
      <c r="A1311" s="1" t="str">
        <f>"ATP2B1"</f>
        <v>ATP2B1</v>
      </c>
      <c r="B1311" t="s">
        <v>14</v>
      </c>
      <c r="C1311" t="s">
        <v>16</v>
      </c>
      <c r="D1311" t="s">
        <v>11</v>
      </c>
      <c r="E1311" t="s">
        <v>12</v>
      </c>
      <c r="F1311">
        <v>90102594</v>
      </c>
      <c r="G1311">
        <v>90102647</v>
      </c>
      <c r="H1311">
        <v>90103081</v>
      </c>
      <c r="I1311">
        <v>90103155</v>
      </c>
    </row>
    <row r="1312" spans="1:9" x14ac:dyDescent="0.2">
      <c r="A1312" s="1" t="str">
        <f>"ATP2B2"</f>
        <v>ATP2B2</v>
      </c>
      <c r="B1312" t="s">
        <v>9</v>
      </c>
      <c r="C1312" t="s">
        <v>22</v>
      </c>
      <c r="D1312" t="s">
        <v>11</v>
      </c>
      <c r="E1312" t="s">
        <v>12</v>
      </c>
      <c r="F1312">
        <v>10547192</v>
      </c>
      <c r="G1312">
        <v>10547283</v>
      </c>
      <c r="H1312">
        <v>10547192</v>
      </c>
      <c r="I1312">
        <v>10547283</v>
      </c>
    </row>
    <row r="1313" spans="1:9" x14ac:dyDescent="0.2">
      <c r="A1313" s="1" t="str">
        <f>"ATP2B2"</f>
        <v>ATP2B2</v>
      </c>
      <c r="B1313" t="s">
        <v>13</v>
      </c>
      <c r="C1313" t="s">
        <v>22</v>
      </c>
      <c r="D1313" t="s">
        <v>11</v>
      </c>
      <c r="E1313" t="s">
        <v>12</v>
      </c>
      <c r="F1313">
        <v>10749774</v>
      </c>
      <c r="G1313">
        <v>10749814</v>
      </c>
      <c r="H1313">
        <v>10749774</v>
      </c>
      <c r="I1313">
        <v>10749814</v>
      </c>
    </row>
    <row r="1314" spans="1:9" x14ac:dyDescent="0.2">
      <c r="A1314" s="1" t="str">
        <f>"ATP2B3"</f>
        <v>ATP2B3</v>
      </c>
      <c r="B1314" t="s">
        <v>14</v>
      </c>
      <c r="C1314" t="s">
        <v>37</v>
      </c>
      <c r="D1314" t="s">
        <v>17</v>
      </c>
      <c r="E1314" t="s">
        <v>12</v>
      </c>
      <c r="F1314">
        <v>152783084</v>
      </c>
      <c r="G1314">
        <v>152783107</v>
      </c>
      <c r="H1314">
        <v>152783131</v>
      </c>
      <c r="I1314">
        <v>152783151</v>
      </c>
    </row>
    <row r="1315" spans="1:9" x14ac:dyDescent="0.2">
      <c r="A1315" s="1" t="str">
        <f>"ATP2B4"</f>
        <v>ATP2B4</v>
      </c>
      <c r="B1315" t="s">
        <v>14</v>
      </c>
      <c r="C1315" t="s">
        <v>19</v>
      </c>
      <c r="D1315" t="s">
        <v>17</v>
      </c>
      <c r="E1315" t="s">
        <v>12</v>
      </c>
      <c r="F1315">
        <v>203595941</v>
      </c>
      <c r="G1315">
        <v>203595970</v>
      </c>
      <c r="H1315">
        <v>203595903</v>
      </c>
      <c r="I1315">
        <v>203595934</v>
      </c>
    </row>
    <row r="1316" spans="1:9" x14ac:dyDescent="0.2">
      <c r="A1316" s="1" t="str">
        <f>"ATP2C1"</f>
        <v>ATP2C1</v>
      </c>
      <c r="B1316" t="s">
        <v>14</v>
      </c>
      <c r="C1316" t="s">
        <v>22</v>
      </c>
      <c r="D1316" t="s">
        <v>17</v>
      </c>
      <c r="E1316" t="s">
        <v>12</v>
      </c>
      <c r="F1316">
        <v>130613001</v>
      </c>
      <c r="G1316">
        <v>130613078</v>
      </c>
      <c r="H1316">
        <v>130612895</v>
      </c>
      <c r="I1316">
        <v>130612957</v>
      </c>
    </row>
    <row r="1317" spans="1:9" x14ac:dyDescent="0.2">
      <c r="A1317" s="1" t="str">
        <f>"ATP2C2"</f>
        <v>ATP2C2</v>
      </c>
      <c r="B1317" t="s">
        <v>14</v>
      </c>
      <c r="C1317" t="s">
        <v>31</v>
      </c>
      <c r="D1317" t="s">
        <v>17</v>
      </c>
      <c r="E1317" t="s">
        <v>12</v>
      </c>
      <c r="F1317">
        <v>84402098</v>
      </c>
      <c r="G1317">
        <v>84402166</v>
      </c>
      <c r="H1317">
        <v>84402082</v>
      </c>
      <c r="I1317">
        <v>84402097</v>
      </c>
    </row>
    <row r="1318" spans="1:9" x14ac:dyDescent="0.2">
      <c r="A1318" s="1" t="str">
        <f>"ATP4A"</f>
        <v>ATP4A</v>
      </c>
      <c r="B1318" t="s">
        <v>9</v>
      </c>
      <c r="C1318" t="s">
        <v>10</v>
      </c>
      <c r="D1318" t="s">
        <v>11</v>
      </c>
      <c r="E1318" t="s">
        <v>12</v>
      </c>
      <c r="F1318">
        <v>36054555</v>
      </c>
      <c r="G1318">
        <v>36054561</v>
      </c>
      <c r="H1318">
        <v>36054555</v>
      </c>
      <c r="I1318">
        <v>36054561</v>
      </c>
    </row>
    <row r="1319" spans="1:9" x14ac:dyDescent="0.2">
      <c r="A1319" s="1" t="str">
        <f>"ATP4A"</f>
        <v>ATP4A</v>
      </c>
      <c r="B1319" t="s">
        <v>13</v>
      </c>
      <c r="C1319" t="s">
        <v>10</v>
      </c>
      <c r="D1319" t="s">
        <v>11</v>
      </c>
      <c r="E1319" t="s">
        <v>12</v>
      </c>
      <c r="F1319">
        <v>36048738</v>
      </c>
      <c r="G1319">
        <v>36048751</v>
      </c>
      <c r="H1319">
        <v>36048738</v>
      </c>
      <c r="I1319">
        <v>36048751</v>
      </c>
    </row>
    <row r="1320" spans="1:9" x14ac:dyDescent="0.2">
      <c r="A1320" s="1" t="str">
        <f>"ATP4B"</f>
        <v>ATP4B</v>
      </c>
      <c r="B1320" t="s">
        <v>14</v>
      </c>
      <c r="C1320" t="s">
        <v>39</v>
      </c>
      <c r="D1320" t="s">
        <v>11</v>
      </c>
      <c r="E1320" t="s">
        <v>12</v>
      </c>
      <c r="F1320">
        <v>114312512</v>
      </c>
      <c r="G1320">
        <v>114312513</v>
      </c>
      <c r="H1320">
        <v>114312512</v>
      </c>
      <c r="I1320">
        <v>114312513</v>
      </c>
    </row>
    <row r="1321" spans="1:9" x14ac:dyDescent="0.2">
      <c r="A1321" s="1" t="str">
        <f>"ATP5A1"</f>
        <v>ATP5A1</v>
      </c>
      <c r="B1321" t="s">
        <v>9</v>
      </c>
      <c r="C1321" t="s">
        <v>43</v>
      </c>
      <c r="D1321" t="s">
        <v>11</v>
      </c>
      <c r="E1321" t="s">
        <v>12</v>
      </c>
      <c r="F1321">
        <v>43678241</v>
      </c>
      <c r="G1321">
        <v>43678268</v>
      </c>
      <c r="H1321">
        <v>43678241</v>
      </c>
      <c r="I1321">
        <v>43678268</v>
      </c>
    </row>
    <row r="1322" spans="1:9" x14ac:dyDescent="0.2">
      <c r="A1322" s="1" t="str">
        <f>"ATP5A1"</f>
        <v>ATP5A1</v>
      </c>
      <c r="B1322" t="s">
        <v>13</v>
      </c>
      <c r="C1322" t="s">
        <v>43</v>
      </c>
      <c r="D1322" t="s">
        <v>11</v>
      </c>
      <c r="E1322" t="s">
        <v>12</v>
      </c>
      <c r="F1322">
        <v>43669647</v>
      </c>
      <c r="G1322">
        <v>43669681</v>
      </c>
      <c r="H1322">
        <v>43669647</v>
      </c>
      <c r="I1322">
        <v>43669681</v>
      </c>
    </row>
    <row r="1323" spans="1:9" x14ac:dyDescent="0.2">
      <c r="A1323" s="1" t="str">
        <f>"ATP5B"</f>
        <v>ATP5B</v>
      </c>
      <c r="B1323" t="s">
        <v>14</v>
      </c>
      <c r="C1323" t="s">
        <v>16</v>
      </c>
      <c r="D1323" t="s">
        <v>11</v>
      </c>
      <c r="E1323" t="s">
        <v>12</v>
      </c>
      <c r="F1323">
        <v>57039760</v>
      </c>
      <c r="G1323">
        <v>57039778</v>
      </c>
      <c r="H1323">
        <v>57039061</v>
      </c>
      <c r="I1323">
        <v>57039096</v>
      </c>
    </row>
    <row r="1324" spans="1:9" x14ac:dyDescent="0.2">
      <c r="A1324" s="1" t="str">
        <f>"ATP5C1"</f>
        <v>ATP5C1</v>
      </c>
      <c r="B1324" t="s">
        <v>14</v>
      </c>
      <c r="C1324" t="s">
        <v>15</v>
      </c>
      <c r="D1324" t="s">
        <v>17</v>
      </c>
      <c r="E1324" t="s">
        <v>12</v>
      </c>
      <c r="F1324">
        <v>7830125</v>
      </c>
      <c r="G1324">
        <v>7830151</v>
      </c>
      <c r="H1324">
        <v>7830112</v>
      </c>
      <c r="I1324">
        <v>7830121</v>
      </c>
    </row>
    <row r="1325" spans="1:9" x14ac:dyDescent="0.2">
      <c r="A1325" s="1" t="str">
        <f>"ATP5D"</f>
        <v>ATP5D</v>
      </c>
      <c r="B1325" t="s">
        <v>14</v>
      </c>
      <c r="C1325" t="s">
        <v>10</v>
      </c>
      <c r="D1325" t="s">
        <v>17</v>
      </c>
      <c r="E1325" t="s">
        <v>12</v>
      </c>
      <c r="F1325">
        <v>1241732</v>
      </c>
      <c r="G1325">
        <v>1241837</v>
      </c>
      <c r="H1325">
        <v>1242106</v>
      </c>
      <c r="I1325">
        <v>1242121</v>
      </c>
    </row>
    <row r="1326" spans="1:9" x14ac:dyDescent="0.2">
      <c r="A1326" s="1" t="str">
        <f>"ATP5E"</f>
        <v>ATP5E</v>
      </c>
      <c r="B1326" t="s">
        <v>14</v>
      </c>
      <c r="C1326" t="s">
        <v>29</v>
      </c>
      <c r="D1326" t="s">
        <v>11</v>
      </c>
      <c r="E1326" t="s">
        <v>12</v>
      </c>
      <c r="F1326">
        <v>57607351</v>
      </c>
      <c r="G1326">
        <v>57607418</v>
      </c>
      <c r="H1326">
        <v>57607351</v>
      </c>
      <c r="I1326">
        <v>57607418</v>
      </c>
    </row>
    <row r="1327" spans="1:9" x14ac:dyDescent="0.2">
      <c r="A1327" s="1" t="str">
        <f>"ATP5F1"</f>
        <v>ATP5F1</v>
      </c>
      <c r="B1327" t="s">
        <v>14</v>
      </c>
      <c r="C1327" t="s">
        <v>19</v>
      </c>
      <c r="D1327" t="s">
        <v>17</v>
      </c>
      <c r="E1327" t="s">
        <v>12</v>
      </c>
      <c r="F1327">
        <v>111992064</v>
      </c>
      <c r="G1327">
        <v>111992142</v>
      </c>
      <c r="H1327">
        <v>111991909</v>
      </c>
      <c r="I1327">
        <v>111991947</v>
      </c>
    </row>
    <row r="1328" spans="1:9" x14ac:dyDescent="0.2">
      <c r="A1328" s="1" t="str">
        <f>"ATP5G1"</f>
        <v>ATP5G1</v>
      </c>
      <c r="B1328" t="s">
        <v>14</v>
      </c>
      <c r="C1328" t="s">
        <v>28</v>
      </c>
      <c r="D1328" t="s">
        <v>17</v>
      </c>
      <c r="E1328" t="s">
        <v>12</v>
      </c>
      <c r="F1328">
        <v>46970134</v>
      </c>
      <c r="G1328">
        <v>46970170</v>
      </c>
      <c r="H1328">
        <v>46970196</v>
      </c>
      <c r="I1328">
        <v>46970219</v>
      </c>
    </row>
    <row r="1329" spans="1:9" x14ac:dyDescent="0.2">
      <c r="A1329" s="1" t="str">
        <f>"ATP5G2"</f>
        <v>ATP5G2</v>
      </c>
      <c r="B1329" t="s">
        <v>14</v>
      </c>
      <c r="C1329" t="s">
        <v>16</v>
      </c>
      <c r="D1329" t="s">
        <v>11</v>
      </c>
      <c r="E1329" t="s">
        <v>12</v>
      </c>
      <c r="F1329">
        <v>54069856</v>
      </c>
      <c r="G1329">
        <v>54069899</v>
      </c>
      <c r="H1329">
        <v>54069856</v>
      </c>
      <c r="I1329">
        <v>54069899</v>
      </c>
    </row>
    <row r="1330" spans="1:9" x14ac:dyDescent="0.2">
      <c r="A1330" s="1" t="str">
        <f>"ATP5G3"</f>
        <v>ATP5G3</v>
      </c>
      <c r="B1330" t="s">
        <v>14</v>
      </c>
      <c r="C1330" t="s">
        <v>26</v>
      </c>
      <c r="D1330" t="s">
        <v>11</v>
      </c>
      <c r="E1330" t="s">
        <v>12</v>
      </c>
      <c r="F1330">
        <v>176046426</v>
      </c>
      <c r="G1330">
        <v>176046445</v>
      </c>
      <c r="H1330">
        <v>176046144</v>
      </c>
      <c r="I1330">
        <v>176046189</v>
      </c>
    </row>
    <row r="1331" spans="1:9" x14ac:dyDescent="0.2">
      <c r="A1331" s="1" t="str">
        <f>"ATP5H"</f>
        <v>ATP5H</v>
      </c>
      <c r="B1331" t="s">
        <v>14</v>
      </c>
      <c r="C1331" t="s">
        <v>28</v>
      </c>
      <c r="D1331" t="s">
        <v>11</v>
      </c>
      <c r="E1331" t="s">
        <v>12</v>
      </c>
      <c r="F1331">
        <v>73043046</v>
      </c>
      <c r="G1331">
        <v>73043080</v>
      </c>
      <c r="H1331">
        <v>73043568</v>
      </c>
      <c r="I1331">
        <v>73043592</v>
      </c>
    </row>
    <row r="1332" spans="1:9" x14ac:dyDescent="0.2">
      <c r="A1332" s="1" t="str">
        <f>"ATP5I"</f>
        <v>ATP5I</v>
      </c>
      <c r="B1332" t="s">
        <v>14</v>
      </c>
      <c r="C1332" t="s">
        <v>23</v>
      </c>
      <c r="D1332" t="s">
        <v>11</v>
      </c>
      <c r="E1332" t="s">
        <v>12</v>
      </c>
      <c r="F1332">
        <v>668035</v>
      </c>
      <c r="G1332">
        <v>668082</v>
      </c>
      <c r="H1332">
        <v>668108</v>
      </c>
      <c r="I1332">
        <v>668127</v>
      </c>
    </row>
    <row r="1333" spans="1:9" x14ac:dyDescent="0.2">
      <c r="A1333" s="1" t="str">
        <f>"ATP5J"</f>
        <v>ATP5J</v>
      </c>
      <c r="B1333" t="s">
        <v>14</v>
      </c>
      <c r="C1333" t="s">
        <v>42</v>
      </c>
      <c r="D1333" t="s">
        <v>11</v>
      </c>
      <c r="E1333" t="s">
        <v>12</v>
      </c>
      <c r="F1333">
        <v>27107198</v>
      </c>
      <c r="G1333">
        <v>27107227</v>
      </c>
      <c r="H1333">
        <v>27107881</v>
      </c>
      <c r="I1333">
        <v>27107973</v>
      </c>
    </row>
    <row r="1334" spans="1:9" x14ac:dyDescent="0.2">
      <c r="A1334" s="1" t="str">
        <f>"ATP5J2"</f>
        <v>ATP5J2</v>
      </c>
      <c r="B1334" t="s">
        <v>14</v>
      </c>
      <c r="C1334" t="s">
        <v>33</v>
      </c>
      <c r="D1334" t="s">
        <v>11</v>
      </c>
      <c r="E1334" t="s">
        <v>12</v>
      </c>
      <c r="F1334">
        <v>99063769</v>
      </c>
      <c r="G1334">
        <v>99063811</v>
      </c>
      <c r="H1334">
        <v>99063769</v>
      </c>
      <c r="I1334">
        <v>99063811</v>
      </c>
    </row>
    <row r="1335" spans="1:9" x14ac:dyDescent="0.2">
      <c r="A1335" s="1" t="str">
        <f>"ATP5J2-PTCD1"</f>
        <v>ATP5J2-PTCD1</v>
      </c>
      <c r="B1335" t="s">
        <v>9</v>
      </c>
      <c r="C1335" t="s">
        <v>33</v>
      </c>
      <c r="D1335" t="s">
        <v>11</v>
      </c>
      <c r="E1335" t="s">
        <v>12</v>
      </c>
      <c r="F1335">
        <v>99063769</v>
      </c>
      <c r="G1335">
        <v>99063811</v>
      </c>
      <c r="H1335">
        <v>99063769</v>
      </c>
      <c r="I1335">
        <v>99063811</v>
      </c>
    </row>
    <row r="1336" spans="1:9" x14ac:dyDescent="0.2">
      <c r="A1336" s="1" t="str">
        <f>"ATP5J2-PTCD1"</f>
        <v>ATP5J2-PTCD1</v>
      </c>
      <c r="B1336" t="s">
        <v>13</v>
      </c>
      <c r="C1336" t="s">
        <v>33</v>
      </c>
      <c r="D1336" t="s">
        <v>11</v>
      </c>
      <c r="E1336" t="s">
        <v>12</v>
      </c>
      <c r="F1336">
        <v>99036342</v>
      </c>
      <c r="G1336">
        <v>99036428</v>
      </c>
      <c r="H1336">
        <v>99036342</v>
      </c>
      <c r="I1336">
        <v>99036428</v>
      </c>
    </row>
    <row r="1337" spans="1:9" x14ac:dyDescent="0.2">
      <c r="A1337" s="1" t="str">
        <f>"ATP5L"</f>
        <v>ATP5L</v>
      </c>
      <c r="B1337" t="s">
        <v>14</v>
      </c>
      <c r="C1337" t="s">
        <v>27</v>
      </c>
      <c r="D1337" t="s">
        <v>17</v>
      </c>
      <c r="E1337" t="s">
        <v>12</v>
      </c>
      <c r="F1337">
        <v>118272314</v>
      </c>
      <c r="G1337">
        <v>118272327</v>
      </c>
      <c r="H1337">
        <v>118272328</v>
      </c>
      <c r="I1337">
        <v>118272342</v>
      </c>
    </row>
    <row r="1338" spans="1:9" x14ac:dyDescent="0.2">
      <c r="A1338" s="1" t="str">
        <f>"ATP5L2"</f>
        <v>ATP5L2</v>
      </c>
      <c r="B1338" t="s">
        <v>105</v>
      </c>
      <c r="C1338" t="s">
        <v>21</v>
      </c>
      <c r="D1338" t="s">
        <v>11</v>
      </c>
      <c r="E1338" t="s">
        <v>20</v>
      </c>
      <c r="F1338">
        <v>43036606</v>
      </c>
      <c r="G1338">
        <v>43036606</v>
      </c>
      <c r="H1338">
        <v>43036606</v>
      </c>
      <c r="I1338">
        <v>43036606</v>
      </c>
    </row>
    <row r="1339" spans="1:9" x14ac:dyDescent="0.2">
      <c r="A1339" s="1" t="str">
        <f>"ATP5O"</f>
        <v>ATP5O</v>
      </c>
      <c r="B1339" t="s">
        <v>14</v>
      </c>
      <c r="C1339" t="s">
        <v>42</v>
      </c>
      <c r="D1339" t="s">
        <v>11</v>
      </c>
      <c r="E1339" t="s">
        <v>12</v>
      </c>
      <c r="F1339">
        <v>35288066</v>
      </c>
      <c r="G1339">
        <v>35288115</v>
      </c>
      <c r="H1339">
        <v>35288118</v>
      </c>
      <c r="I1339">
        <v>35288129</v>
      </c>
    </row>
    <row r="1340" spans="1:9" x14ac:dyDescent="0.2">
      <c r="A1340" s="1" t="str">
        <f>"ATP5S"</f>
        <v>ATP5S</v>
      </c>
      <c r="B1340" t="s">
        <v>14</v>
      </c>
      <c r="C1340" t="s">
        <v>41</v>
      </c>
      <c r="D1340" t="s">
        <v>17</v>
      </c>
      <c r="E1340" t="s">
        <v>12</v>
      </c>
      <c r="F1340">
        <v>50779029</v>
      </c>
      <c r="G1340">
        <v>50779066</v>
      </c>
      <c r="H1340">
        <v>50779071</v>
      </c>
      <c r="I1340">
        <v>50779097</v>
      </c>
    </row>
    <row r="1341" spans="1:9" x14ac:dyDescent="0.2">
      <c r="A1341" s="1" t="str">
        <f>"ATP5SL"</f>
        <v>ATP5SL</v>
      </c>
      <c r="B1341" t="s">
        <v>14</v>
      </c>
      <c r="C1341" t="s">
        <v>10</v>
      </c>
      <c r="D1341" t="s">
        <v>11</v>
      </c>
      <c r="E1341" t="s">
        <v>12</v>
      </c>
      <c r="F1341">
        <v>41945804</v>
      </c>
      <c r="G1341">
        <v>41945837</v>
      </c>
      <c r="H1341">
        <v>41945433</v>
      </c>
      <c r="I1341">
        <v>41945453</v>
      </c>
    </row>
    <row r="1342" spans="1:9" x14ac:dyDescent="0.2">
      <c r="A1342" s="1" t="str">
        <f>"ATP6AP1"</f>
        <v>ATP6AP1</v>
      </c>
      <c r="B1342" t="s">
        <v>14</v>
      </c>
      <c r="C1342" t="s">
        <v>37</v>
      </c>
      <c r="D1342" t="s">
        <v>17</v>
      </c>
      <c r="E1342" t="s">
        <v>12</v>
      </c>
      <c r="F1342">
        <v>153657009</v>
      </c>
      <c r="G1342">
        <v>153657040</v>
      </c>
      <c r="H1342">
        <v>153656978</v>
      </c>
      <c r="I1342">
        <v>153657007</v>
      </c>
    </row>
    <row r="1343" spans="1:9" x14ac:dyDescent="0.2">
      <c r="A1343" s="1" t="str">
        <f>"ATP6AP1L"</f>
        <v>ATP6AP1L</v>
      </c>
      <c r="B1343" t="s">
        <v>14</v>
      </c>
      <c r="C1343" t="s">
        <v>46</v>
      </c>
      <c r="D1343" t="s">
        <v>17</v>
      </c>
      <c r="E1343" t="s">
        <v>12</v>
      </c>
      <c r="F1343">
        <v>81575605</v>
      </c>
      <c r="G1343">
        <v>81575607</v>
      </c>
      <c r="H1343">
        <v>81575605</v>
      </c>
      <c r="I1343">
        <v>81575607</v>
      </c>
    </row>
    <row r="1344" spans="1:9" x14ac:dyDescent="0.2">
      <c r="A1344" s="1" t="str">
        <f>"ATP6AP2"</f>
        <v>ATP6AP2</v>
      </c>
      <c r="B1344" t="s">
        <v>14</v>
      </c>
      <c r="C1344" t="s">
        <v>37</v>
      </c>
      <c r="D1344" t="s">
        <v>17</v>
      </c>
      <c r="E1344" t="s">
        <v>12</v>
      </c>
      <c r="F1344">
        <v>40440168</v>
      </c>
      <c r="G1344">
        <v>40440268</v>
      </c>
      <c r="H1344">
        <v>40440287</v>
      </c>
      <c r="I1344">
        <v>40440298</v>
      </c>
    </row>
    <row r="1345" spans="1:9" x14ac:dyDescent="0.2">
      <c r="A1345" s="1" t="str">
        <f>"ATP6V0A1"</f>
        <v>ATP6V0A1</v>
      </c>
      <c r="B1345" t="s">
        <v>14</v>
      </c>
      <c r="C1345" t="s">
        <v>28</v>
      </c>
      <c r="D1345" t="s">
        <v>17</v>
      </c>
      <c r="E1345" t="s">
        <v>12</v>
      </c>
      <c r="F1345">
        <v>40610873</v>
      </c>
      <c r="G1345">
        <v>40610959</v>
      </c>
      <c r="H1345">
        <v>40610873</v>
      </c>
      <c r="I1345">
        <v>40610959</v>
      </c>
    </row>
    <row r="1346" spans="1:9" x14ac:dyDescent="0.2">
      <c r="A1346" s="1" t="str">
        <f>"ATP6V0A2"</f>
        <v>ATP6V0A2</v>
      </c>
      <c r="B1346" t="s">
        <v>14</v>
      </c>
      <c r="C1346" t="s">
        <v>16</v>
      </c>
      <c r="D1346" t="s">
        <v>17</v>
      </c>
      <c r="E1346" t="s">
        <v>12</v>
      </c>
      <c r="F1346">
        <v>124196880</v>
      </c>
      <c r="G1346">
        <v>124196957</v>
      </c>
      <c r="H1346">
        <v>124197041</v>
      </c>
      <c r="I1346">
        <v>124197075</v>
      </c>
    </row>
    <row r="1347" spans="1:9" x14ac:dyDescent="0.2">
      <c r="A1347" s="1" t="str">
        <f>"ATP6V0A4"</f>
        <v>ATP6V0A4</v>
      </c>
      <c r="B1347" t="s">
        <v>9</v>
      </c>
      <c r="C1347" t="s">
        <v>33</v>
      </c>
      <c r="D1347" t="s">
        <v>11</v>
      </c>
      <c r="E1347" t="s">
        <v>12</v>
      </c>
      <c r="F1347">
        <v>138458662</v>
      </c>
      <c r="G1347">
        <v>138458715</v>
      </c>
      <c r="H1347">
        <v>138458662</v>
      </c>
      <c r="I1347">
        <v>138458715</v>
      </c>
    </row>
    <row r="1348" spans="1:9" x14ac:dyDescent="0.2">
      <c r="A1348" s="1" t="str">
        <f>"ATP6V0A4"</f>
        <v>ATP6V0A4</v>
      </c>
      <c r="B1348" t="s">
        <v>13</v>
      </c>
      <c r="C1348" t="s">
        <v>33</v>
      </c>
      <c r="D1348" t="s">
        <v>11</v>
      </c>
      <c r="E1348" t="s">
        <v>12</v>
      </c>
      <c r="F1348">
        <v>138482933</v>
      </c>
      <c r="G1348">
        <v>138482946</v>
      </c>
      <c r="H1348">
        <v>138482933</v>
      </c>
      <c r="I1348">
        <v>138482946</v>
      </c>
    </row>
    <row r="1349" spans="1:9" x14ac:dyDescent="0.2">
      <c r="A1349" s="1" t="str">
        <f>"ATP6V0B"</f>
        <v>ATP6V0B</v>
      </c>
      <c r="B1349" t="s">
        <v>14</v>
      </c>
      <c r="C1349" t="s">
        <v>19</v>
      </c>
      <c r="D1349" t="s">
        <v>17</v>
      </c>
      <c r="E1349" t="s">
        <v>12</v>
      </c>
      <c r="F1349">
        <v>44440575</v>
      </c>
      <c r="G1349">
        <v>44440646</v>
      </c>
      <c r="H1349">
        <v>44440683</v>
      </c>
      <c r="I1349">
        <v>44440690</v>
      </c>
    </row>
    <row r="1350" spans="1:9" x14ac:dyDescent="0.2">
      <c r="A1350" s="1" t="str">
        <f>"ATP6V0C"</f>
        <v>ATP6V0C</v>
      </c>
      <c r="B1350" t="s">
        <v>14</v>
      </c>
      <c r="C1350" t="s">
        <v>31</v>
      </c>
      <c r="D1350" t="s">
        <v>17</v>
      </c>
      <c r="E1350" t="s">
        <v>12</v>
      </c>
      <c r="F1350">
        <v>2563941</v>
      </c>
      <c r="G1350">
        <v>2563983</v>
      </c>
      <c r="H1350">
        <v>2563989</v>
      </c>
      <c r="I1350">
        <v>2564006</v>
      </c>
    </row>
    <row r="1351" spans="1:9" x14ac:dyDescent="0.2">
      <c r="A1351" s="1" t="str">
        <f>"ATP6V0D1"</f>
        <v>ATP6V0D1</v>
      </c>
      <c r="B1351" t="s">
        <v>14</v>
      </c>
      <c r="C1351" t="s">
        <v>31</v>
      </c>
      <c r="D1351" t="s">
        <v>11</v>
      </c>
      <c r="E1351" t="s">
        <v>12</v>
      </c>
      <c r="F1351">
        <v>67514983</v>
      </c>
      <c r="G1351">
        <v>67515130</v>
      </c>
      <c r="H1351">
        <v>67514983</v>
      </c>
      <c r="I1351">
        <v>67515130</v>
      </c>
    </row>
    <row r="1352" spans="1:9" x14ac:dyDescent="0.2">
      <c r="A1352" s="1" t="str">
        <f>"ATP6V0D2"</f>
        <v>ATP6V0D2</v>
      </c>
      <c r="B1352" t="s">
        <v>14</v>
      </c>
      <c r="C1352" t="s">
        <v>30</v>
      </c>
      <c r="D1352" t="s">
        <v>17</v>
      </c>
      <c r="E1352" t="s">
        <v>12</v>
      </c>
      <c r="F1352">
        <v>87111132</v>
      </c>
      <c r="G1352">
        <v>87111146</v>
      </c>
      <c r="H1352">
        <v>87111059</v>
      </c>
      <c r="I1352">
        <v>87111072</v>
      </c>
    </row>
    <row r="1353" spans="1:9" x14ac:dyDescent="0.2">
      <c r="A1353" s="1" t="str">
        <f>"ATP6V0E1"</f>
        <v>ATP6V0E1</v>
      </c>
      <c r="B1353" t="s">
        <v>14</v>
      </c>
      <c r="C1353" t="s">
        <v>46</v>
      </c>
      <c r="D1353" t="s">
        <v>17</v>
      </c>
      <c r="E1353" t="s">
        <v>12</v>
      </c>
      <c r="F1353">
        <v>172410757</v>
      </c>
      <c r="G1353">
        <v>172410861</v>
      </c>
      <c r="H1353">
        <v>172410916</v>
      </c>
      <c r="I1353">
        <v>172410917</v>
      </c>
    </row>
    <row r="1354" spans="1:9" x14ac:dyDescent="0.2">
      <c r="A1354" s="1" t="str">
        <f>"ATP6V0E2"</f>
        <v>ATP6V0E2</v>
      </c>
      <c r="B1354" t="s">
        <v>14</v>
      </c>
      <c r="C1354" t="s">
        <v>33</v>
      </c>
      <c r="D1354" t="s">
        <v>17</v>
      </c>
      <c r="E1354" t="s">
        <v>12</v>
      </c>
      <c r="F1354">
        <v>149571045</v>
      </c>
      <c r="G1354">
        <v>149571145</v>
      </c>
      <c r="H1354">
        <v>149571028</v>
      </c>
      <c r="I1354">
        <v>149571039</v>
      </c>
    </row>
    <row r="1355" spans="1:9" x14ac:dyDescent="0.2">
      <c r="A1355" s="1" t="str">
        <f>"ATP6V1A"</f>
        <v>ATP6V1A</v>
      </c>
      <c r="B1355" t="s">
        <v>14</v>
      </c>
      <c r="C1355" t="s">
        <v>22</v>
      </c>
      <c r="D1355" t="s">
        <v>17</v>
      </c>
      <c r="E1355" t="s">
        <v>12</v>
      </c>
      <c r="F1355">
        <v>113465869</v>
      </c>
      <c r="G1355">
        <v>113465925</v>
      </c>
      <c r="H1355">
        <v>113465869</v>
      </c>
      <c r="I1355">
        <v>113465925</v>
      </c>
    </row>
    <row r="1356" spans="1:9" x14ac:dyDescent="0.2">
      <c r="A1356" s="1" t="str">
        <f>"ATP6V1B1"</f>
        <v>ATP6V1B1</v>
      </c>
      <c r="B1356" t="s">
        <v>14</v>
      </c>
      <c r="C1356" t="s">
        <v>26</v>
      </c>
      <c r="D1356" t="s">
        <v>17</v>
      </c>
      <c r="E1356" t="s">
        <v>12</v>
      </c>
      <c r="F1356">
        <v>71162995</v>
      </c>
      <c r="G1356">
        <v>71163037</v>
      </c>
      <c r="H1356">
        <v>71163052</v>
      </c>
      <c r="I1356">
        <v>71163063</v>
      </c>
    </row>
    <row r="1357" spans="1:9" x14ac:dyDescent="0.2">
      <c r="A1357" s="1" t="str">
        <f>"ATP6V1B2"</f>
        <v>ATP6V1B2</v>
      </c>
      <c r="B1357" t="s">
        <v>14</v>
      </c>
      <c r="C1357" t="s">
        <v>30</v>
      </c>
      <c r="D1357" t="s">
        <v>17</v>
      </c>
      <c r="E1357" t="s">
        <v>12</v>
      </c>
      <c r="F1357">
        <v>20054880</v>
      </c>
      <c r="G1357">
        <v>20054915</v>
      </c>
      <c r="H1357">
        <v>20054880</v>
      </c>
      <c r="I1357">
        <v>20054915</v>
      </c>
    </row>
    <row r="1358" spans="1:9" x14ac:dyDescent="0.2">
      <c r="A1358" s="1" t="str">
        <f>"ATP6V1C1"</f>
        <v>ATP6V1C1</v>
      </c>
      <c r="B1358" t="s">
        <v>14</v>
      </c>
      <c r="C1358" t="s">
        <v>30</v>
      </c>
      <c r="D1358" t="s">
        <v>17</v>
      </c>
      <c r="E1358" t="s">
        <v>12</v>
      </c>
      <c r="F1358">
        <v>104033296</v>
      </c>
      <c r="G1358">
        <v>104033360</v>
      </c>
      <c r="H1358">
        <v>104033277</v>
      </c>
      <c r="I1358">
        <v>104033292</v>
      </c>
    </row>
    <row r="1359" spans="1:9" x14ac:dyDescent="0.2">
      <c r="A1359" s="1" t="str">
        <f>"ATP6V1C2"</f>
        <v>ATP6V1C2</v>
      </c>
      <c r="B1359" t="s">
        <v>14</v>
      </c>
      <c r="C1359" t="s">
        <v>26</v>
      </c>
      <c r="D1359" t="s">
        <v>17</v>
      </c>
      <c r="E1359" t="s">
        <v>12</v>
      </c>
      <c r="F1359">
        <v>10861749</v>
      </c>
      <c r="G1359">
        <v>10861762</v>
      </c>
      <c r="H1359">
        <v>10861777</v>
      </c>
      <c r="I1359">
        <v>10861786</v>
      </c>
    </row>
    <row r="1360" spans="1:9" x14ac:dyDescent="0.2">
      <c r="A1360" s="1" t="str">
        <f>"ATP6V1D"</f>
        <v>ATP6V1D</v>
      </c>
      <c r="B1360" t="s">
        <v>14</v>
      </c>
      <c r="C1360" t="s">
        <v>41</v>
      </c>
      <c r="D1360" t="s">
        <v>11</v>
      </c>
      <c r="E1360" t="s">
        <v>12</v>
      </c>
      <c r="F1360">
        <v>67826486</v>
      </c>
      <c r="G1360">
        <v>67826530</v>
      </c>
      <c r="H1360">
        <v>67826538</v>
      </c>
      <c r="I1360">
        <v>67826565</v>
      </c>
    </row>
    <row r="1361" spans="1:9" x14ac:dyDescent="0.2">
      <c r="A1361" s="1" t="str">
        <f>"ATP6V1E1"</f>
        <v>ATP6V1E1</v>
      </c>
      <c r="B1361" t="s">
        <v>14</v>
      </c>
      <c r="C1361" t="s">
        <v>21</v>
      </c>
      <c r="D1361" t="s">
        <v>11</v>
      </c>
      <c r="E1361" t="s">
        <v>12</v>
      </c>
      <c r="F1361">
        <v>18111502</v>
      </c>
      <c r="G1361">
        <v>18111553</v>
      </c>
      <c r="H1361">
        <v>18111474</v>
      </c>
      <c r="I1361">
        <v>18111494</v>
      </c>
    </row>
    <row r="1362" spans="1:9" x14ac:dyDescent="0.2">
      <c r="A1362" s="1" t="str">
        <f>"ATP6V1E2"</f>
        <v>ATP6V1E2</v>
      </c>
      <c r="B1362" t="s">
        <v>14</v>
      </c>
      <c r="C1362" t="s">
        <v>26</v>
      </c>
      <c r="D1362" t="s">
        <v>11</v>
      </c>
      <c r="E1362" t="s">
        <v>12</v>
      </c>
      <c r="F1362">
        <v>46769694</v>
      </c>
      <c r="G1362">
        <v>46769759</v>
      </c>
      <c r="H1362">
        <v>46769694</v>
      </c>
      <c r="I1362">
        <v>46769759</v>
      </c>
    </row>
    <row r="1363" spans="1:9" x14ac:dyDescent="0.2">
      <c r="A1363" s="1" t="str">
        <f>"ATP6V1F"</f>
        <v>ATP6V1F</v>
      </c>
      <c r="B1363" t="s">
        <v>14</v>
      </c>
      <c r="C1363" t="s">
        <v>33</v>
      </c>
      <c r="D1363" t="s">
        <v>17</v>
      </c>
      <c r="E1363" t="s">
        <v>12</v>
      </c>
      <c r="F1363">
        <v>128502895</v>
      </c>
      <c r="G1363">
        <v>128502951</v>
      </c>
      <c r="H1363">
        <v>128502871</v>
      </c>
      <c r="I1363">
        <v>128502882</v>
      </c>
    </row>
    <row r="1364" spans="1:9" x14ac:dyDescent="0.2">
      <c r="A1364" s="1" t="str">
        <f>"ATP6V1G1"</f>
        <v>ATP6V1G1</v>
      </c>
      <c r="B1364" t="s">
        <v>14</v>
      </c>
      <c r="C1364" t="s">
        <v>24</v>
      </c>
      <c r="D1364" t="s">
        <v>17</v>
      </c>
      <c r="E1364" t="s">
        <v>12</v>
      </c>
      <c r="F1364">
        <v>117350009</v>
      </c>
      <c r="G1364">
        <v>117350111</v>
      </c>
      <c r="H1364">
        <v>117349851</v>
      </c>
      <c r="I1364">
        <v>117349858</v>
      </c>
    </row>
    <row r="1365" spans="1:9" x14ac:dyDescent="0.2">
      <c r="A1365" s="1" t="str">
        <f>"ATP6V1G2"</f>
        <v>ATP6V1G2</v>
      </c>
      <c r="B1365" t="s">
        <v>14</v>
      </c>
      <c r="C1365" t="s">
        <v>32</v>
      </c>
      <c r="D1365" t="s">
        <v>11</v>
      </c>
      <c r="E1365" t="s">
        <v>12</v>
      </c>
      <c r="F1365">
        <v>31514333</v>
      </c>
      <c r="G1365">
        <v>31514407</v>
      </c>
      <c r="H1365">
        <v>31514516</v>
      </c>
      <c r="I1365">
        <v>31514521</v>
      </c>
    </row>
    <row r="1366" spans="1:9" x14ac:dyDescent="0.2">
      <c r="A1366" s="1" t="str">
        <f>"ATP6V1G3"</f>
        <v>ATP6V1G3</v>
      </c>
      <c r="B1366" t="s">
        <v>14</v>
      </c>
      <c r="C1366" t="s">
        <v>19</v>
      </c>
      <c r="D1366" t="s">
        <v>11</v>
      </c>
      <c r="E1366" t="s">
        <v>12</v>
      </c>
      <c r="F1366">
        <v>198509806</v>
      </c>
      <c r="G1366">
        <v>198509829</v>
      </c>
      <c r="H1366">
        <v>198509806</v>
      </c>
      <c r="I1366">
        <v>198509829</v>
      </c>
    </row>
    <row r="1367" spans="1:9" x14ac:dyDescent="0.2">
      <c r="A1367" s="1" t="str">
        <f>"ATP6V1H"</f>
        <v>ATP6V1H</v>
      </c>
      <c r="B1367" t="s">
        <v>14</v>
      </c>
      <c r="C1367" t="s">
        <v>30</v>
      </c>
      <c r="D1367" t="s">
        <v>11</v>
      </c>
      <c r="E1367" t="s">
        <v>12</v>
      </c>
      <c r="F1367">
        <v>54755789</v>
      </c>
      <c r="G1367">
        <v>54755876</v>
      </c>
      <c r="H1367">
        <v>54755527</v>
      </c>
      <c r="I1367">
        <v>54755539</v>
      </c>
    </row>
    <row r="1368" spans="1:9" x14ac:dyDescent="0.2">
      <c r="A1368" s="1" t="str">
        <f>"ATP7A"</f>
        <v>ATP7A</v>
      </c>
      <c r="B1368" t="s">
        <v>14</v>
      </c>
      <c r="C1368" t="s">
        <v>37</v>
      </c>
      <c r="D1368" t="s">
        <v>17</v>
      </c>
      <c r="E1368" t="s">
        <v>12</v>
      </c>
      <c r="F1368">
        <v>77166172</v>
      </c>
      <c r="G1368">
        <v>77166261</v>
      </c>
      <c r="H1368">
        <v>77166134</v>
      </c>
      <c r="I1368">
        <v>77166145</v>
      </c>
    </row>
    <row r="1369" spans="1:9" x14ac:dyDescent="0.2">
      <c r="A1369" s="1" t="str">
        <f>"ATP7B"</f>
        <v>ATP7B</v>
      </c>
      <c r="B1369" t="s">
        <v>14</v>
      </c>
      <c r="C1369" t="s">
        <v>39</v>
      </c>
      <c r="D1369" t="s">
        <v>11</v>
      </c>
      <c r="E1369" t="s">
        <v>12</v>
      </c>
      <c r="F1369">
        <v>52586111</v>
      </c>
      <c r="G1369">
        <v>52586150</v>
      </c>
      <c r="H1369">
        <v>52586111</v>
      </c>
      <c r="I1369">
        <v>52586150</v>
      </c>
    </row>
    <row r="1370" spans="1:9" x14ac:dyDescent="0.2">
      <c r="A1370" s="1" t="str">
        <f>"ATP8A1"</f>
        <v>ATP8A1</v>
      </c>
      <c r="B1370" t="s">
        <v>14</v>
      </c>
      <c r="C1370" t="s">
        <v>23</v>
      </c>
      <c r="D1370" t="s">
        <v>11</v>
      </c>
      <c r="E1370" t="s">
        <v>12</v>
      </c>
      <c r="F1370">
        <v>42659102</v>
      </c>
      <c r="G1370">
        <v>42659161</v>
      </c>
      <c r="H1370">
        <v>42659057</v>
      </c>
      <c r="I1370">
        <v>42659100</v>
      </c>
    </row>
    <row r="1371" spans="1:9" x14ac:dyDescent="0.2">
      <c r="A1371" s="1" t="str">
        <f>"ATP8A2"</f>
        <v>ATP8A2</v>
      </c>
      <c r="B1371" t="s">
        <v>14</v>
      </c>
      <c r="C1371" t="s">
        <v>39</v>
      </c>
      <c r="D1371" t="s">
        <v>17</v>
      </c>
      <c r="E1371" t="s">
        <v>12</v>
      </c>
      <c r="F1371">
        <v>25946089</v>
      </c>
      <c r="G1371">
        <v>25946194</v>
      </c>
      <c r="H1371">
        <v>25946089</v>
      </c>
      <c r="I1371">
        <v>25946194</v>
      </c>
    </row>
    <row r="1372" spans="1:9" x14ac:dyDescent="0.2">
      <c r="A1372" s="1" t="str">
        <f>"ATP8B1"</f>
        <v>ATP8B1</v>
      </c>
      <c r="B1372" t="s">
        <v>14</v>
      </c>
      <c r="C1372" t="s">
        <v>43</v>
      </c>
      <c r="D1372" t="s">
        <v>11</v>
      </c>
      <c r="E1372" t="s">
        <v>12</v>
      </c>
      <c r="F1372">
        <v>55470539</v>
      </c>
      <c r="G1372">
        <v>55470601</v>
      </c>
      <c r="H1372">
        <v>55470341</v>
      </c>
      <c r="I1372">
        <v>55470410</v>
      </c>
    </row>
    <row r="1373" spans="1:9" x14ac:dyDescent="0.2">
      <c r="A1373" s="1" t="str">
        <f>"ATP8B2"</f>
        <v>ATP8B2</v>
      </c>
      <c r="B1373" t="s">
        <v>9</v>
      </c>
      <c r="C1373" t="s">
        <v>19</v>
      </c>
      <c r="D1373" t="s">
        <v>17</v>
      </c>
      <c r="E1373" t="s">
        <v>12</v>
      </c>
      <c r="F1373">
        <v>154297988</v>
      </c>
      <c r="G1373">
        <v>154298038</v>
      </c>
      <c r="H1373">
        <v>154297988</v>
      </c>
      <c r="I1373">
        <v>154298038</v>
      </c>
    </row>
    <row r="1374" spans="1:9" x14ac:dyDescent="0.2">
      <c r="A1374" s="1" t="str">
        <f>"ATP8B2"</f>
        <v>ATP8B2</v>
      </c>
      <c r="B1374" t="s">
        <v>13</v>
      </c>
      <c r="C1374" t="s">
        <v>19</v>
      </c>
      <c r="D1374" t="s">
        <v>17</v>
      </c>
      <c r="E1374" t="s">
        <v>12</v>
      </c>
      <c r="F1374">
        <v>154301264</v>
      </c>
      <c r="G1374">
        <v>154301290</v>
      </c>
      <c r="H1374">
        <v>154301264</v>
      </c>
      <c r="I1374">
        <v>154301290</v>
      </c>
    </row>
    <row r="1375" spans="1:9" x14ac:dyDescent="0.2">
      <c r="A1375" s="1" t="str">
        <f>"ATP8B3"</f>
        <v>ATP8B3</v>
      </c>
      <c r="B1375" t="s">
        <v>14</v>
      </c>
      <c r="C1375" t="s">
        <v>10</v>
      </c>
      <c r="D1375" t="s">
        <v>11</v>
      </c>
      <c r="E1375" t="s">
        <v>12</v>
      </c>
      <c r="F1375">
        <v>1812230</v>
      </c>
      <c r="G1375">
        <v>1812295</v>
      </c>
      <c r="H1375">
        <v>1811779</v>
      </c>
      <c r="I1375">
        <v>1811811</v>
      </c>
    </row>
    <row r="1376" spans="1:9" x14ac:dyDescent="0.2">
      <c r="A1376" s="1" t="str">
        <f>"ATP8B4"</f>
        <v>ATP8B4</v>
      </c>
      <c r="B1376" t="s">
        <v>14</v>
      </c>
      <c r="C1376" t="s">
        <v>25</v>
      </c>
      <c r="D1376" t="s">
        <v>11</v>
      </c>
      <c r="E1376" t="s">
        <v>12</v>
      </c>
      <c r="F1376">
        <v>50411412</v>
      </c>
      <c r="G1376">
        <v>50411437</v>
      </c>
      <c r="H1376">
        <v>50411444</v>
      </c>
      <c r="I1376">
        <v>50411467</v>
      </c>
    </row>
    <row r="1377" spans="1:9" x14ac:dyDescent="0.2">
      <c r="A1377" s="1" t="str">
        <f>"ATP9A"</f>
        <v>ATP9A</v>
      </c>
      <c r="B1377" t="s">
        <v>14</v>
      </c>
      <c r="C1377" t="s">
        <v>29</v>
      </c>
      <c r="D1377" t="s">
        <v>11</v>
      </c>
      <c r="E1377" t="s">
        <v>12</v>
      </c>
      <c r="F1377">
        <v>50384864</v>
      </c>
      <c r="G1377">
        <v>50384943</v>
      </c>
      <c r="H1377">
        <v>50385138</v>
      </c>
      <c r="I1377">
        <v>50385206</v>
      </c>
    </row>
    <row r="1378" spans="1:9" x14ac:dyDescent="0.2">
      <c r="A1378" s="1" t="str">
        <f>"ATP9B"</f>
        <v>ATP9B</v>
      </c>
      <c r="B1378" t="s">
        <v>14</v>
      </c>
      <c r="C1378" t="s">
        <v>43</v>
      </c>
      <c r="D1378" t="s">
        <v>17</v>
      </c>
      <c r="E1378" t="s">
        <v>12</v>
      </c>
      <c r="F1378">
        <v>76829385</v>
      </c>
      <c r="G1378">
        <v>76829438</v>
      </c>
      <c r="H1378">
        <v>76829441</v>
      </c>
      <c r="I1378">
        <v>76829471</v>
      </c>
    </row>
    <row r="1379" spans="1:9" x14ac:dyDescent="0.2">
      <c r="A1379" s="1" t="str">
        <f>"ATPAF1"</f>
        <v>ATPAF1</v>
      </c>
      <c r="B1379" t="s">
        <v>14</v>
      </c>
      <c r="C1379" t="s">
        <v>19</v>
      </c>
      <c r="D1379" t="s">
        <v>11</v>
      </c>
      <c r="E1379" t="s">
        <v>12</v>
      </c>
      <c r="F1379">
        <v>47133988</v>
      </c>
      <c r="G1379">
        <v>47134051</v>
      </c>
      <c r="H1379">
        <v>47134199</v>
      </c>
      <c r="I1379">
        <v>47134253</v>
      </c>
    </row>
    <row r="1380" spans="1:9" x14ac:dyDescent="0.2">
      <c r="A1380" s="1" t="str">
        <f>"ATPAF2"</f>
        <v>ATPAF2</v>
      </c>
      <c r="B1380" t="s">
        <v>14</v>
      </c>
      <c r="C1380" t="s">
        <v>28</v>
      </c>
      <c r="D1380" t="s">
        <v>11</v>
      </c>
      <c r="E1380" t="s">
        <v>12</v>
      </c>
      <c r="F1380">
        <v>17942473</v>
      </c>
      <c r="G1380">
        <v>17942515</v>
      </c>
      <c r="H1380">
        <v>17942473</v>
      </c>
      <c r="I1380">
        <v>17942515</v>
      </c>
    </row>
    <row r="1381" spans="1:9" x14ac:dyDescent="0.2">
      <c r="A1381" s="1" t="str">
        <f>"ATPIF1"</f>
        <v>ATPIF1</v>
      </c>
      <c r="B1381" t="s">
        <v>14</v>
      </c>
      <c r="C1381" t="s">
        <v>19</v>
      </c>
      <c r="D1381" t="s">
        <v>17</v>
      </c>
      <c r="E1381" t="s">
        <v>12</v>
      </c>
      <c r="F1381">
        <v>28562617</v>
      </c>
      <c r="G1381">
        <v>28562681</v>
      </c>
      <c r="H1381">
        <v>28562601</v>
      </c>
      <c r="I1381">
        <v>28562610</v>
      </c>
    </row>
    <row r="1382" spans="1:9" x14ac:dyDescent="0.2">
      <c r="A1382" s="1" t="str">
        <f>"ATR"</f>
        <v>ATR</v>
      </c>
      <c r="B1382" t="s">
        <v>14</v>
      </c>
      <c r="C1382" t="s">
        <v>22</v>
      </c>
      <c r="D1382" t="s">
        <v>11</v>
      </c>
      <c r="E1382" t="s">
        <v>12</v>
      </c>
      <c r="F1382">
        <v>142297558</v>
      </c>
      <c r="G1382">
        <v>142297642</v>
      </c>
      <c r="H1382">
        <v>142297669</v>
      </c>
      <c r="I1382">
        <v>142297691</v>
      </c>
    </row>
    <row r="1383" spans="1:9" x14ac:dyDescent="0.2">
      <c r="A1383" s="1" t="str">
        <f>"ATRAID"</f>
        <v>ATRAID</v>
      </c>
      <c r="B1383" t="s">
        <v>14</v>
      </c>
      <c r="C1383" t="s">
        <v>26</v>
      </c>
      <c r="D1383" t="s">
        <v>17</v>
      </c>
      <c r="E1383" t="s">
        <v>12</v>
      </c>
      <c r="F1383">
        <v>27435188</v>
      </c>
      <c r="G1383">
        <v>27435240</v>
      </c>
      <c r="H1383">
        <v>27434860</v>
      </c>
      <c r="I1383">
        <v>27434964</v>
      </c>
    </row>
    <row r="1384" spans="1:9" x14ac:dyDescent="0.2">
      <c r="A1384" s="1" t="str">
        <f>"ATRIP"</f>
        <v>ATRIP</v>
      </c>
      <c r="B1384" t="s">
        <v>14</v>
      </c>
      <c r="C1384" t="s">
        <v>22</v>
      </c>
      <c r="D1384" t="s">
        <v>17</v>
      </c>
      <c r="E1384" t="s">
        <v>12</v>
      </c>
      <c r="F1384">
        <v>48488163</v>
      </c>
      <c r="G1384">
        <v>48488189</v>
      </c>
      <c r="H1384">
        <v>48488133</v>
      </c>
      <c r="I1384">
        <v>48488161</v>
      </c>
    </row>
    <row r="1385" spans="1:9" x14ac:dyDescent="0.2">
      <c r="A1385" s="1" t="str">
        <f>"ATRN"</f>
        <v>ATRN</v>
      </c>
      <c r="B1385" t="s">
        <v>14</v>
      </c>
      <c r="C1385" t="s">
        <v>29</v>
      </c>
      <c r="D1385" t="s">
        <v>17</v>
      </c>
      <c r="E1385" t="s">
        <v>12</v>
      </c>
      <c r="F1385">
        <v>3451650</v>
      </c>
      <c r="G1385">
        <v>3451729</v>
      </c>
      <c r="H1385">
        <v>3451611</v>
      </c>
      <c r="I1385">
        <v>3451625</v>
      </c>
    </row>
    <row r="1386" spans="1:9" x14ac:dyDescent="0.2">
      <c r="A1386" s="1" t="str">
        <f>"ATRNL1"</f>
        <v>ATRNL1</v>
      </c>
      <c r="B1386" t="s">
        <v>14</v>
      </c>
      <c r="C1386" t="s">
        <v>15</v>
      </c>
      <c r="D1386" t="s">
        <v>17</v>
      </c>
      <c r="E1386" t="s">
        <v>12</v>
      </c>
      <c r="F1386">
        <v>116853091</v>
      </c>
      <c r="G1386">
        <v>116853131</v>
      </c>
      <c r="H1386">
        <v>116852906</v>
      </c>
      <c r="I1386">
        <v>116852975</v>
      </c>
    </row>
    <row r="1387" spans="1:9" x14ac:dyDescent="0.2">
      <c r="A1387" s="1" t="str">
        <f>"ATRX"</f>
        <v>ATRX</v>
      </c>
      <c r="B1387" t="s">
        <v>14</v>
      </c>
      <c r="C1387" t="s">
        <v>37</v>
      </c>
      <c r="D1387" t="s">
        <v>11</v>
      </c>
      <c r="E1387" t="s">
        <v>12</v>
      </c>
      <c r="F1387">
        <v>77041685</v>
      </c>
      <c r="G1387">
        <v>77041716</v>
      </c>
      <c r="H1387">
        <v>77041657</v>
      </c>
      <c r="I1387">
        <v>77041668</v>
      </c>
    </row>
    <row r="1388" spans="1:9" x14ac:dyDescent="0.2">
      <c r="A1388" s="1" t="str">
        <f>"ATXN1"</f>
        <v>ATXN1</v>
      </c>
      <c r="B1388" t="s">
        <v>14</v>
      </c>
      <c r="C1388" t="s">
        <v>32</v>
      </c>
      <c r="D1388" t="s">
        <v>11</v>
      </c>
      <c r="E1388" t="s">
        <v>12</v>
      </c>
      <c r="F1388">
        <v>16761678</v>
      </c>
      <c r="G1388">
        <v>16761715</v>
      </c>
      <c r="H1388">
        <v>16761678</v>
      </c>
      <c r="I1388">
        <v>16761715</v>
      </c>
    </row>
    <row r="1389" spans="1:9" x14ac:dyDescent="0.2">
      <c r="A1389" s="1" t="str">
        <f>"ATXN10"</f>
        <v>ATXN10</v>
      </c>
      <c r="B1389" t="s">
        <v>14</v>
      </c>
      <c r="C1389" t="s">
        <v>21</v>
      </c>
      <c r="D1389" t="s">
        <v>17</v>
      </c>
      <c r="E1389" t="s">
        <v>12</v>
      </c>
      <c r="F1389">
        <v>46067705</v>
      </c>
      <c r="G1389">
        <v>46067771</v>
      </c>
      <c r="H1389">
        <v>46067899</v>
      </c>
      <c r="I1389">
        <v>46067939</v>
      </c>
    </row>
    <row r="1390" spans="1:9" x14ac:dyDescent="0.2">
      <c r="A1390" s="1" t="str">
        <f>"ATXN1L"</f>
        <v>ATXN1L</v>
      </c>
      <c r="B1390" t="s">
        <v>14</v>
      </c>
      <c r="C1390" t="s">
        <v>31</v>
      </c>
      <c r="D1390" t="s">
        <v>17</v>
      </c>
      <c r="E1390" t="s">
        <v>12</v>
      </c>
      <c r="F1390">
        <v>71879861</v>
      </c>
      <c r="G1390">
        <v>71879927</v>
      </c>
      <c r="H1390">
        <v>71879861</v>
      </c>
      <c r="I1390">
        <v>71879927</v>
      </c>
    </row>
    <row r="1391" spans="1:9" x14ac:dyDescent="0.2">
      <c r="A1391" s="1" t="str">
        <f>"ATXN2"</f>
        <v>ATXN2</v>
      </c>
      <c r="B1391" t="s">
        <v>14</v>
      </c>
      <c r="C1391" t="s">
        <v>16</v>
      </c>
      <c r="D1391" t="s">
        <v>11</v>
      </c>
      <c r="E1391" t="s">
        <v>12</v>
      </c>
      <c r="F1391">
        <v>112037077</v>
      </c>
      <c r="G1391">
        <v>112037130</v>
      </c>
      <c r="H1391">
        <v>112037136</v>
      </c>
      <c r="I1391">
        <v>112037151</v>
      </c>
    </row>
    <row r="1392" spans="1:9" x14ac:dyDescent="0.2">
      <c r="A1392" s="1" t="str">
        <f>"ATXN2L"</f>
        <v>ATXN2L</v>
      </c>
      <c r="B1392" t="s">
        <v>14</v>
      </c>
      <c r="C1392" t="s">
        <v>31</v>
      </c>
      <c r="D1392" t="s">
        <v>17</v>
      </c>
      <c r="E1392" t="s">
        <v>12</v>
      </c>
      <c r="F1392">
        <v>28834303</v>
      </c>
      <c r="G1392">
        <v>28834467</v>
      </c>
      <c r="H1392">
        <v>28834303</v>
      </c>
      <c r="I1392">
        <v>28834467</v>
      </c>
    </row>
    <row r="1393" spans="1:9" x14ac:dyDescent="0.2">
      <c r="A1393" s="1" t="str">
        <f>"ATXN3"</f>
        <v>ATXN3</v>
      </c>
      <c r="B1393" t="s">
        <v>14</v>
      </c>
      <c r="C1393" t="s">
        <v>41</v>
      </c>
      <c r="D1393" t="s">
        <v>11</v>
      </c>
      <c r="E1393" t="s">
        <v>12</v>
      </c>
      <c r="F1393">
        <v>92572894</v>
      </c>
      <c r="G1393">
        <v>92572942</v>
      </c>
      <c r="H1393">
        <v>92572894</v>
      </c>
      <c r="I1393">
        <v>92572942</v>
      </c>
    </row>
    <row r="1394" spans="1:9" x14ac:dyDescent="0.2">
      <c r="A1394" s="1" t="str">
        <f>"ATXN3L"</f>
        <v>ATXN3L</v>
      </c>
      <c r="B1394" t="s">
        <v>14</v>
      </c>
      <c r="C1394" t="s">
        <v>37</v>
      </c>
      <c r="D1394" t="s">
        <v>11</v>
      </c>
      <c r="E1394" t="s">
        <v>12</v>
      </c>
      <c r="F1394">
        <v>13338168</v>
      </c>
      <c r="G1394">
        <v>13338172</v>
      </c>
      <c r="H1394">
        <v>13338168</v>
      </c>
      <c r="I1394">
        <v>13338172</v>
      </c>
    </row>
    <row r="1395" spans="1:9" x14ac:dyDescent="0.2">
      <c r="A1395" s="1" t="str">
        <f>"ATXN7"</f>
        <v>ATXN7</v>
      </c>
      <c r="B1395" t="s">
        <v>106</v>
      </c>
      <c r="C1395" t="s">
        <v>22</v>
      </c>
      <c r="D1395" t="s">
        <v>17</v>
      </c>
      <c r="E1395" t="s">
        <v>35</v>
      </c>
      <c r="F1395">
        <v>63849996</v>
      </c>
      <c r="G1395">
        <v>63850034</v>
      </c>
      <c r="H1395">
        <v>63850254</v>
      </c>
      <c r="I1395">
        <v>63850265</v>
      </c>
    </row>
    <row r="1396" spans="1:9" x14ac:dyDescent="0.2">
      <c r="A1396" s="1" t="str">
        <f>"ATXN7"</f>
        <v>ATXN7</v>
      </c>
      <c r="B1396" t="s">
        <v>107</v>
      </c>
      <c r="C1396" t="s">
        <v>22</v>
      </c>
      <c r="D1396" t="s">
        <v>17</v>
      </c>
      <c r="E1396" t="s">
        <v>35</v>
      </c>
      <c r="F1396">
        <v>63898130</v>
      </c>
      <c r="G1396">
        <v>63898184</v>
      </c>
      <c r="H1396">
        <v>63898440</v>
      </c>
      <c r="I1396">
        <v>63898448</v>
      </c>
    </row>
    <row r="1397" spans="1:9" x14ac:dyDescent="0.2">
      <c r="A1397" s="1" t="str">
        <f>"ATXN7L1"</f>
        <v>ATXN7L1</v>
      </c>
      <c r="B1397" t="s">
        <v>14</v>
      </c>
      <c r="C1397" t="s">
        <v>33</v>
      </c>
      <c r="D1397" t="s">
        <v>11</v>
      </c>
      <c r="E1397" t="s">
        <v>12</v>
      </c>
      <c r="F1397">
        <v>105516925</v>
      </c>
      <c r="G1397">
        <v>105516982</v>
      </c>
      <c r="H1397">
        <v>105516925</v>
      </c>
      <c r="I1397">
        <v>105516982</v>
      </c>
    </row>
    <row r="1398" spans="1:9" x14ac:dyDescent="0.2">
      <c r="A1398" s="1" t="str">
        <f>"ATXN7L2"</f>
        <v>ATXN7L2</v>
      </c>
      <c r="B1398" t="s">
        <v>14</v>
      </c>
      <c r="C1398" t="s">
        <v>19</v>
      </c>
      <c r="D1398" t="s">
        <v>17</v>
      </c>
      <c r="E1398" t="s">
        <v>12</v>
      </c>
      <c r="F1398">
        <v>110026544</v>
      </c>
      <c r="G1398">
        <v>110026608</v>
      </c>
      <c r="H1398">
        <v>110026452</v>
      </c>
      <c r="I1398">
        <v>110026472</v>
      </c>
    </row>
    <row r="1399" spans="1:9" x14ac:dyDescent="0.2">
      <c r="A1399" s="1" t="str">
        <f>"ATXN7L3"</f>
        <v>ATXN7L3</v>
      </c>
      <c r="B1399" t="s">
        <v>14</v>
      </c>
      <c r="C1399" t="s">
        <v>28</v>
      </c>
      <c r="D1399" t="s">
        <v>11</v>
      </c>
      <c r="E1399" t="s">
        <v>12</v>
      </c>
      <c r="F1399">
        <v>42277471</v>
      </c>
      <c r="G1399">
        <v>42277515</v>
      </c>
      <c r="H1399">
        <v>42277443</v>
      </c>
      <c r="I1399">
        <v>42277460</v>
      </c>
    </row>
    <row r="1400" spans="1:9" x14ac:dyDescent="0.2">
      <c r="A1400" s="1" t="str">
        <f>"ATXN7L3B"</f>
        <v>ATXN7L3B</v>
      </c>
      <c r="B1400" t="s">
        <v>14</v>
      </c>
      <c r="C1400" t="s">
        <v>16</v>
      </c>
      <c r="D1400" t="s">
        <v>17</v>
      </c>
      <c r="E1400" t="s">
        <v>12</v>
      </c>
      <c r="F1400">
        <v>74931567</v>
      </c>
      <c r="G1400">
        <v>74931656</v>
      </c>
      <c r="H1400">
        <v>74931567</v>
      </c>
      <c r="I1400">
        <v>74931656</v>
      </c>
    </row>
    <row r="1401" spans="1:9" x14ac:dyDescent="0.2">
      <c r="A1401" s="1" t="str">
        <f>"AUH"</f>
        <v>AUH</v>
      </c>
      <c r="B1401" t="s">
        <v>14</v>
      </c>
      <c r="C1401" t="s">
        <v>24</v>
      </c>
      <c r="D1401" t="s">
        <v>11</v>
      </c>
      <c r="E1401" t="s">
        <v>12</v>
      </c>
      <c r="F1401">
        <v>94124171</v>
      </c>
      <c r="G1401">
        <v>94124214</v>
      </c>
      <c r="H1401">
        <v>94123947</v>
      </c>
      <c r="I1401">
        <v>94123976</v>
      </c>
    </row>
    <row r="1402" spans="1:9" x14ac:dyDescent="0.2">
      <c r="A1402" s="1" t="str">
        <f>"AUNIP"</f>
        <v>AUNIP</v>
      </c>
      <c r="B1402" t="s">
        <v>14</v>
      </c>
      <c r="C1402" t="s">
        <v>19</v>
      </c>
      <c r="D1402" t="s">
        <v>11</v>
      </c>
      <c r="E1402" t="s">
        <v>12</v>
      </c>
      <c r="F1402">
        <v>26185844</v>
      </c>
      <c r="G1402">
        <v>26185954</v>
      </c>
      <c r="H1402">
        <v>26185844</v>
      </c>
      <c r="I1402">
        <v>26185954</v>
      </c>
    </row>
    <row r="1403" spans="1:9" x14ac:dyDescent="0.2">
      <c r="A1403" s="1" t="str">
        <f>"AUP1"</f>
        <v>AUP1</v>
      </c>
      <c r="B1403" t="s">
        <v>14</v>
      </c>
      <c r="C1403" t="s">
        <v>26</v>
      </c>
      <c r="D1403" t="s">
        <v>11</v>
      </c>
      <c r="E1403" t="s">
        <v>12</v>
      </c>
      <c r="F1403">
        <v>74756798</v>
      </c>
      <c r="G1403">
        <v>74756847</v>
      </c>
      <c r="H1403">
        <v>74756871</v>
      </c>
      <c r="I1403">
        <v>74756882</v>
      </c>
    </row>
    <row r="1404" spans="1:9" x14ac:dyDescent="0.2">
      <c r="A1404" s="1" t="str">
        <f>"AURKA"</f>
        <v>AURKA</v>
      </c>
      <c r="B1404" t="s">
        <v>14</v>
      </c>
      <c r="C1404" t="s">
        <v>29</v>
      </c>
      <c r="D1404" t="s">
        <v>11</v>
      </c>
      <c r="E1404" t="s">
        <v>12</v>
      </c>
      <c r="F1404">
        <v>54967243</v>
      </c>
      <c r="G1404">
        <v>54967278</v>
      </c>
      <c r="H1404">
        <v>54967049</v>
      </c>
      <c r="I1404">
        <v>54967073</v>
      </c>
    </row>
    <row r="1405" spans="1:9" x14ac:dyDescent="0.2">
      <c r="A1405" s="1" t="str">
        <f>"AURKAIP1"</f>
        <v>AURKAIP1</v>
      </c>
      <c r="B1405" t="s">
        <v>14</v>
      </c>
      <c r="C1405" t="s">
        <v>19</v>
      </c>
      <c r="D1405" t="s">
        <v>11</v>
      </c>
      <c r="E1405" t="s">
        <v>12</v>
      </c>
      <c r="F1405">
        <v>1310530</v>
      </c>
      <c r="G1405">
        <v>1310603</v>
      </c>
      <c r="H1405">
        <v>1310870</v>
      </c>
      <c r="I1405">
        <v>1310920</v>
      </c>
    </row>
    <row r="1406" spans="1:9" x14ac:dyDescent="0.2">
      <c r="A1406" s="1" t="str">
        <f>"AURKB"</f>
        <v>AURKB</v>
      </c>
      <c r="B1406" t="s">
        <v>14</v>
      </c>
      <c r="C1406" t="s">
        <v>28</v>
      </c>
      <c r="D1406" t="s">
        <v>11</v>
      </c>
      <c r="E1406" t="s">
        <v>12</v>
      </c>
      <c r="F1406">
        <v>8113886</v>
      </c>
      <c r="G1406">
        <v>8113906</v>
      </c>
      <c r="H1406">
        <v>8113543</v>
      </c>
      <c r="I1406">
        <v>8113572</v>
      </c>
    </row>
    <row r="1407" spans="1:9" x14ac:dyDescent="0.2">
      <c r="A1407" s="1" t="str">
        <f>"AURKC"</f>
        <v>AURKC</v>
      </c>
      <c r="B1407" t="s">
        <v>14</v>
      </c>
      <c r="C1407" t="s">
        <v>10</v>
      </c>
      <c r="D1407" t="s">
        <v>17</v>
      </c>
      <c r="E1407" t="s">
        <v>12</v>
      </c>
      <c r="F1407">
        <v>57742433</v>
      </c>
      <c r="G1407">
        <v>57742444</v>
      </c>
      <c r="H1407">
        <v>57742385</v>
      </c>
      <c r="I1407">
        <v>57742396</v>
      </c>
    </row>
    <row r="1408" spans="1:9" x14ac:dyDescent="0.2">
      <c r="A1408" s="1" t="str">
        <f>"AUTS2"</f>
        <v>AUTS2</v>
      </c>
      <c r="B1408" t="s">
        <v>14</v>
      </c>
      <c r="C1408" t="s">
        <v>33</v>
      </c>
      <c r="D1408" t="s">
        <v>17</v>
      </c>
      <c r="E1408" t="s">
        <v>12</v>
      </c>
      <c r="F1408">
        <v>69063408</v>
      </c>
      <c r="G1408">
        <v>69063445</v>
      </c>
      <c r="H1408">
        <v>69063408</v>
      </c>
      <c r="I1408">
        <v>69063445</v>
      </c>
    </row>
    <row r="1409" spans="1:9" x14ac:dyDescent="0.2">
      <c r="A1409" s="1" t="str">
        <f>"AVEN"</f>
        <v>AVEN</v>
      </c>
      <c r="B1409" t="s">
        <v>14</v>
      </c>
      <c r="C1409" t="s">
        <v>25</v>
      </c>
      <c r="D1409" t="s">
        <v>11</v>
      </c>
      <c r="E1409" t="s">
        <v>12</v>
      </c>
      <c r="F1409">
        <v>34331243</v>
      </c>
      <c r="G1409">
        <v>34331429</v>
      </c>
      <c r="H1409">
        <v>34331243</v>
      </c>
      <c r="I1409">
        <v>34331429</v>
      </c>
    </row>
    <row r="1410" spans="1:9" x14ac:dyDescent="0.2">
      <c r="A1410" s="1" t="str">
        <f>"AVIL"</f>
        <v>AVIL</v>
      </c>
      <c r="B1410" t="s">
        <v>14</v>
      </c>
      <c r="C1410" t="s">
        <v>16</v>
      </c>
      <c r="D1410" t="s">
        <v>11</v>
      </c>
      <c r="E1410" t="s">
        <v>12</v>
      </c>
      <c r="F1410">
        <v>58212511</v>
      </c>
      <c r="G1410">
        <v>58212522</v>
      </c>
      <c r="H1410">
        <v>58212533</v>
      </c>
      <c r="I1410">
        <v>58212539</v>
      </c>
    </row>
    <row r="1411" spans="1:9" x14ac:dyDescent="0.2">
      <c r="A1411" s="1" t="str">
        <f>"AVL9"</f>
        <v>AVL9</v>
      </c>
      <c r="B1411" t="s">
        <v>14</v>
      </c>
      <c r="C1411" t="s">
        <v>33</v>
      </c>
      <c r="D1411" t="s">
        <v>17</v>
      </c>
      <c r="E1411" t="s">
        <v>12</v>
      </c>
      <c r="F1411">
        <v>32535060</v>
      </c>
      <c r="G1411">
        <v>32535215</v>
      </c>
      <c r="H1411">
        <v>32535047</v>
      </c>
      <c r="I1411">
        <v>32535058</v>
      </c>
    </row>
    <row r="1412" spans="1:9" x14ac:dyDescent="0.2">
      <c r="A1412" s="1" t="str">
        <f>"AVP"</f>
        <v>AVP</v>
      </c>
      <c r="B1412" t="s">
        <v>14</v>
      </c>
      <c r="C1412" t="s">
        <v>29</v>
      </c>
      <c r="D1412" t="s">
        <v>11</v>
      </c>
      <c r="E1412" t="s">
        <v>12</v>
      </c>
      <c r="F1412">
        <v>3065362</v>
      </c>
      <c r="G1412">
        <v>3065375</v>
      </c>
      <c r="H1412">
        <v>3065251</v>
      </c>
      <c r="I1412">
        <v>3065278</v>
      </c>
    </row>
    <row r="1413" spans="1:9" x14ac:dyDescent="0.2">
      <c r="A1413" s="1" t="str">
        <f>"AVPI1"</f>
        <v>AVPI1</v>
      </c>
      <c r="B1413" t="s">
        <v>14</v>
      </c>
      <c r="C1413" t="s">
        <v>15</v>
      </c>
      <c r="D1413" t="s">
        <v>11</v>
      </c>
      <c r="E1413" t="s">
        <v>12</v>
      </c>
      <c r="F1413">
        <v>99446965</v>
      </c>
      <c r="G1413">
        <v>99447007</v>
      </c>
      <c r="H1413">
        <v>99447024</v>
      </c>
      <c r="I1413">
        <v>99447035</v>
      </c>
    </row>
    <row r="1414" spans="1:9" x14ac:dyDescent="0.2">
      <c r="A1414" s="1" t="str">
        <f>"AVPR1A"</f>
        <v>AVPR1A</v>
      </c>
      <c r="B1414" t="s">
        <v>14</v>
      </c>
      <c r="C1414" t="s">
        <v>16</v>
      </c>
      <c r="D1414" t="s">
        <v>11</v>
      </c>
      <c r="E1414" t="s">
        <v>12</v>
      </c>
      <c r="F1414">
        <v>63544973</v>
      </c>
      <c r="G1414">
        <v>63544986</v>
      </c>
      <c r="H1414">
        <v>63544882</v>
      </c>
      <c r="I1414">
        <v>63544895</v>
      </c>
    </row>
    <row r="1415" spans="1:9" x14ac:dyDescent="0.2">
      <c r="A1415" s="1" t="str">
        <f>"AVPR1B"</f>
        <v>AVPR1B</v>
      </c>
      <c r="B1415" t="s">
        <v>14</v>
      </c>
      <c r="C1415" t="s">
        <v>19</v>
      </c>
      <c r="D1415" t="s">
        <v>17</v>
      </c>
      <c r="E1415" t="s">
        <v>12</v>
      </c>
      <c r="F1415">
        <v>206223941</v>
      </c>
      <c r="G1415">
        <v>206223944</v>
      </c>
      <c r="H1415">
        <v>206223941</v>
      </c>
      <c r="I1415">
        <v>206223944</v>
      </c>
    </row>
    <row r="1416" spans="1:9" x14ac:dyDescent="0.2">
      <c r="A1416" s="1" t="str">
        <f>"AVPR2"</f>
        <v>AVPR2</v>
      </c>
      <c r="B1416" t="s">
        <v>14</v>
      </c>
      <c r="C1416" t="s">
        <v>37</v>
      </c>
      <c r="D1416" t="s">
        <v>17</v>
      </c>
      <c r="E1416" t="s">
        <v>12</v>
      </c>
      <c r="F1416">
        <v>153170143</v>
      </c>
      <c r="G1416">
        <v>153170177</v>
      </c>
      <c r="H1416">
        <v>153170126</v>
      </c>
      <c r="I1416">
        <v>153170132</v>
      </c>
    </row>
    <row r="1417" spans="1:9" x14ac:dyDescent="0.2">
      <c r="A1417" s="1" t="str">
        <f>"AWAT1"</f>
        <v>AWAT1</v>
      </c>
      <c r="B1417" t="s">
        <v>14</v>
      </c>
      <c r="C1417" t="s">
        <v>37</v>
      </c>
      <c r="D1417" t="s">
        <v>17</v>
      </c>
      <c r="E1417" t="s">
        <v>12</v>
      </c>
      <c r="F1417">
        <v>69454468</v>
      </c>
      <c r="G1417">
        <v>69454479</v>
      </c>
      <c r="H1417">
        <v>69454439</v>
      </c>
      <c r="I1417">
        <v>69454443</v>
      </c>
    </row>
    <row r="1418" spans="1:9" x14ac:dyDescent="0.2">
      <c r="A1418" s="1" t="str">
        <f>"AWAT2"</f>
        <v>AWAT2</v>
      </c>
      <c r="B1418" t="s">
        <v>14</v>
      </c>
      <c r="C1418" t="s">
        <v>37</v>
      </c>
      <c r="D1418" t="s">
        <v>11</v>
      </c>
      <c r="E1418" t="s">
        <v>12</v>
      </c>
      <c r="F1418">
        <v>69269838</v>
      </c>
      <c r="G1418">
        <v>69269843</v>
      </c>
      <c r="H1418">
        <v>69269838</v>
      </c>
      <c r="I1418">
        <v>69269843</v>
      </c>
    </row>
    <row r="1419" spans="1:9" x14ac:dyDescent="0.2">
      <c r="A1419" s="1" t="str">
        <f>"AXDND1"</f>
        <v>AXDND1</v>
      </c>
      <c r="B1419" t="s">
        <v>14</v>
      </c>
      <c r="C1419" t="s">
        <v>19</v>
      </c>
      <c r="D1419" t="s">
        <v>17</v>
      </c>
      <c r="E1419" t="s">
        <v>12</v>
      </c>
      <c r="F1419">
        <v>179335204</v>
      </c>
      <c r="G1419">
        <v>179335224</v>
      </c>
      <c r="H1419">
        <v>179334840</v>
      </c>
      <c r="I1419">
        <v>179334870</v>
      </c>
    </row>
    <row r="1420" spans="1:9" x14ac:dyDescent="0.2">
      <c r="A1420" s="1" t="str">
        <f>"AXIN1"</f>
        <v>AXIN1</v>
      </c>
      <c r="B1420" t="s">
        <v>14</v>
      </c>
      <c r="C1420" t="s">
        <v>31</v>
      </c>
      <c r="D1420" t="s">
        <v>11</v>
      </c>
      <c r="E1420" t="s">
        <v>12</v>
      </c>
      <c r="F1420">
        <v>402639</v>
      </c>
      <c r="G1420">
        <v>402707</v>
      </c>
      <c r="H1420">
        <v>402714</v>
      </c>
      <c r="I1420">
        <v>402734</v>
      </c>
    </row>
    <row r="1421" spans="1:9" x14ac:dyDescent="0.2">
      <c r="A1421" s="1" t="str">
        <f>"AXIN2"</f>
        <v>AXIN2</v>
      </c>
      <c r="B1421" t="s">
        <v>9</v>
      </c>
      <c r="C1421" t="s">
        <v>28</v>
      </c>
      <c r="D1421" t="s">
        <v>11</v>
      </c>
      <c r="E1421" t="s">
        <v>12</v>
      </c>
      <c r="F1421">
        <v>63556428</v>
      </c>
      <c r="G1421">
        <v>63556442</v>
      </c>
      <c r="H1421">
        <v>63556428</v>
      </c>
      <c r="I1421">
        <v>63556442</v>
      </c>
    </row>
    <row r="1422" spans="1:9" x14ac:dyDescent="0.2">
      <c r="A1422" s="1" t="str">
        <f>"AXIN2"</f>
        <v>AXIN2</v>
      </c>
      <c r="B1422" t="s">
        <v>13</v>
      </c>
      <c r="C1422" t="s">
        <v>28</v>
      </c>
      <c r="D1422" t="s">
        <v>11</v>
      </c>
      <c r="E1422" t="s">
        <v>12</v>
      </c>
      <c r="F1422">
        <v>63557652</v>
      </c>
      <c r="G1422">
        <v>63557719</v>
      </c>
      <c r="H1422">
        <v>63557652</v>
      </c>
      <c r="I1422">
        <v>63557719</v>
      </c>
    </row>
    <row r="1423" spans="1:9" x14ac:dyDescent="0.2">
      <c r="A1423" s="1" t="str">
        <f>"AXL"</f>
        <v>AXL</v>
      </c>
      <c r="B1423" t="s">
        <v>14</v>
      </c>
      <c r="C1423" t="s">
        <v>10</v>
      </c>
      <c r="D1423" t="s">
        <v>17</v>
      </c>
      <c r="E1423" t="s">
        <v>12</v>
      </c>
      <c r="F1423">
        <v>41725088</v>
      </c>
      <c r="G1423">
        <v>41725137</v>
      </c>
      <c r="H1423">
        <v>41725088</v>
      </c>
      <c r="I1423">
        <v>41725137</v>
      </c>
    </row>
    <row r="1424" spans="1:9" x14ac:dyDescent="0.2">
      <c r="A1424" s="1" t="str">
        <f>"AZGP1"</f>
        <v>AZGP1</v>
      </c>
      <c r="B1424" t="s">
        <v>14</v>
      </c>
      <c r="C1424" t="s">
        <v>33</v>
      </c>
      <c r="D1424" t="s">
        <v>11</v>
      </c>
      <c r="E1424" t="s">
        <v>12</v>
      </c>
      <c r="F1424">
        <v>99573677</v>
      </c>
      <c r="G1424">
        <v>99573697</v>
      </c>
      <c r="H1424">
        <v>99573648</v>
      </c>
      <c r="I1424">
        <v>99573659</v>
      </c>
    </row>
    <row r="1425" spans="1:9" x14ac:dyDescent="0.2">
      <c r="A1425" s="1" t="str">
        <f>"AZI1"</f>
        <v>AZI1</v>
      </c>
      <c r="B1425" t="s">
        <v>14</v>
      </c>
      <c r="C1425" t="s">
        <v>28</v>
      </c>
      <c r="D1425" t="s">
        <v>11</v>
      </c>
      <c r="E1425" t="s">
        <v>12</v>
      </c>
      <c r="F1425">
        <v>79196749</v>
      </c>
      <c r="G1425">
        <v>79196794</v>
      </c>
      <c r="H1425">
        <v>79196733</v>
      </c>
      <c r="I1425">
        <v>79196744</v>
      </c>
    </row>
    <row r="1426" spans="1:9" x14ac:dyDescent="0.2">
      <c r="A1426" s="1" t="str">
        <f>"AZI2"</f>
        <v>AZI2</v>
      </c>
      <c r="B1426" t="s">
        <v>14</v>
      </c>
      <c r="C1426" t="s">
        <v>22</v>
      </c>
      <c r="D1426" t="s">
        <v>11</v>
      </c>
      <c r="E1426" t="s">
        <v>12</v>
      </c>
      <c r="F1426">
        <v>28390419</v>
      </c>
      <c r="G1426">
        <v>28390550</v>
      </c>
      <c r="H1426">
        <v>28390298</v>
      </c>
      <c r="I1426">
        <v>28390362</v>
      </c>
    </row>
    <row r="1427" spans="1:9" x14ac:dyDescent="0.2">
      <c r="A1427" s="1" t="str">
        <f>"AZIN1"</f>
        <v>AZIN1</v>
      </c>
      <c r="B1427" t="s">
        <v>14</v>
      </c>
      <c r="C1427" t="s">
        <v>30</v>
      </c>
      <c r="D1427" t="s">
        <v>11</v>
      </c>
      <c r="E1427" t="s">
        <v>12</v>
      </c>
      <c r="F1427">
        <v>103876383</v>
      </c>
      <c r="G1427">
        <v>103876399</v>
      </c>
      <c r="H1427">
        <v>103876340</v>
      </c>
      <c r="I1427">
        <v>103876351</v>
      </c>
    </row>
    <row r="1428" spans="1:9" x14ac:dyDescent="0.2">
      <c r="A1428" s="1" t="str">
        <f>"AZU1"</f>
        <v>AZU1</v>
      </c>
      <c r="B1428" t="s">
        <v>9</v>
      </c>
      <c r="C1428" t="s">
        <v>10</v>
      </c>
      <c r="D1428" t="s">
        <v>17</v>
      </c>
      <c r="E1428" t="s">
        <v>12</v>
      </c>
      <c r="F1428">
        <v>827823</v>
      </c>
      <c r="G1428">
        <v>827845</v>
      </c>
      <c r="H1428">
        <v>827823</v>
      </c>
      <c r="I1428">
        <v>827845</v>
      </c>
    </row>
    <row r="1429" spans="1:9" x14ac:dyDescent="0.2">
      <c r="A1429" s="1" t="str">
        <f>"AZU1"</f>
        <v>AZU1</v>
      </c>
      <c r="B1429" t="s">
        <v>13</v>
      </c>
      <c r="C1429" t="s">
        <v>10</v>
      </c>
      <c r="D1429" t="s">
        <v>17</v>
      </c>
      <c r="E1429" t="s">
        <v>12</v>
      </c>
      <c r="F1429">
        <v>825076</v>
      </c>
      <c r="G1429">
        <v>825090</v>
      </c>
      <c r="H1429">
        <v>825076</v>
      </c>
      <c r="I1429">
        <v>825090</v>
      </c>
    </row>
    <row r="1430" spans="1:9" x14ac:dyDescent="0.2">
      <c r="A1430" s="1" t="str">
        <f>"B2M"</f>
        <v>B2M</v>
      </c>
      <c r="B1430" t="s">
        <v>9</v>
      </c>
      <c r="C1430" t="s">
        <v>25</v>
      </c>
      <c r="D1430" t="s">
        <v>17</v>
      </c>
      <c r="E1430" t="s">
        <v>12</v>
      </c>
      <c r="F1430">
        <v>45003704</v>
      </c>
      <c r="G1430">
        <v>45003724</v>
      </c>
      <c r="H1430">
        <v>45003704</v>
      </c>
      <c r="I1430">
        <v>45003724</v>
      </c>
    </row>
    <row r="1431" spans="1:9" x14ac:dyDescent="0.2">
      <c r="A1431" s="1" t="str">
        <f>"B2M"</f>
        <v>B2M</v>
      </c>
      <c r="B1431" t="s">
        <v>13</v>
      </c>
      <c r="C1431" t="s">
        <v>25</v>
      </c>
      <c r="D1431" t="s">
        <v>17</v>
      </c>
      <c r="E1431" t="s">
        <v>12</v>
      </c>
      <c r="F1431">
        <v>45007776</v>
      </c>
      <c r="G1431">
        <v>45007836</v>
      </c>
      <c r="H1431">
        <v>45007776</v>
      </c>
      <c r="I1431">
        <v>45007836</v>
      </c>
    </row>
    <row r="1432" spans="1:9" x14ac:dyDescent="0.2">
      <c r="A1432" s="1" t="str">
        <f>"B3GALNT1"</f>
        <v>B3GALNT1</v>
      </c>
      <c r="B1432" t="s">
        <v>14</v>
      </c>
      <c r="C1432" t="s">
        <v>22</v>
      </c>
      <c r="D1432" t="s">
        <v>11</v>
      </c>
      <c r="E1432" t="s">
        <v>12</v>
      </c>
      <c r="F1432">
        <v>160823040</v>
      </c>
      <c r="G1432">
        <v>160823151</v>
      </c>
      <c r="H1432">
        <v>160822858</v>
      </c>
      <c r="I1432">
        <v>160822891</v>
      </c>
    </row>
    <row r="1433" spans="1:9" x14ac:dyDescent="0.2">
      <c r="A1433" s="1" t="str">
        <f>"B3GALNT2"</f>
        <v>B3GALNT2</v>
      </c>
      <c r="B1433" t="s">
        <v>14</v>
      </c>
      <c r="C1433" t="s">
        <v>19</v>
      </c>
      <c r="D1433" t="s">
        <v>11</v>
      </c>
      <c r="E1433" t="s">
        <v>12</v>
      </c>
      <c r="F1433">
        <v>235667716</v>
      </c>
      <c r="G1433">
        <v>235667786</v>
      </c>
      <c r="H1433">
        <v>235667681</v>
      </c>
      <c r="I1433">
        <v>235667700</v>
      </c>
    </row>
    <row r="1434" spans="1:9" x14ac:dyDescent="0.2">
      <c r="A1434" s="1" t="str">
        <f>"B3GALT1"</f>
        <v>B3GALT1</v>
      </c>
      <c r="B1434" t="s">
        <v>14</v>
      </c>
      <c r="C1434" t="s">
        <v>26</v>
      </c>
      <c r="D1434" t="s">
        <v>17</v>
      </c>
      <c r="E1434" t="s">
        <v>12</v>
      </c>
      <c r="F1434">
        <v>168725391</v>
      </c>
      <c r="G1434">
        <v>168725418</v>
      </c>
      <c r="H1434">
        <v>168725391</v>
      </c>
      <c r="I1434">
        <v>168725418</v>
      </c>
    </row>
    <row r="1435" spans="1:9" x14ac:dyDescent="0.2">
      <c r="A1435" s="1" t="str">
        <f>"B3GALT2"</f>
        <v>B3GALT2</v>
      </c>
      <c r="B1435" t="s">
        <v>14</v>
      </c>
      <c r="C1435" t="s">
        <v>19</v>
      </c>
      <c r="D1435" t="s">
        <v>11</v>
      </c>
      <c r="E1435" t="s">
        <v>12</v>
      </c>
      <c r="F1435">
        <v>193155729</v>
      </c>
      <c r="G1435">
        <v>193155757</v>
      </c>
      <c r="H1435">
        <v>193155704</v>
      </c>
      <c r="I1435">
        <v>193155715</v>
      </c>
    </row>
    <row r="1436" spans="1:9" x14ac:dyDescent="0.2">
      <c r="A1436" s="1" t="str">
        <f>"B3GALT4"</f>
        <v>B3GALT4</v>
      </c>
      <c r="B1436" t="s">
        <v>14</v>
      </c>
      <c r="C1436" t="s">
        <v>32</v>
      </c>
      <c r="D1436" t="s">
        <v>17</v>
      </c>
      <c r="E1436" t="s">
        <v>12</v>
      </c>
      <c r="F1436">
        <v>33244918</v>
      </c>
      <c r="G1436">
        <v>33244954</v>
      </c>
      <c r="H1436">
        <v>33245143</v>
      </c>
      <c r="I1436">
        <v>33245182</v>
      </c>
    </row>
    <row r="1437" spans="1:9" x14ac:dyDescent="0.2">
      <c r="A1437" s="1" t="str">
        <f>"B3GALT5"</f>
        <v>B3GALT5</v>
      </c>
      <c r="B1437" t="s">
        <v>108</v>
      </c>
      <c r="C1437" t="s">
        <v>42</v>
      </c>
      <c r="D1437" t="s">
        <v>17</v>
      </c>
      <c r="E1437" t="s">
        <v>20</v>
      </c>
      <c r="F1437">
        <v>41029703</v>
      </c>
      <c r="G1437">
        <v>41029703</v>
      </c>
      <c r="H1437">
        <v>41029703</v>
      </c>
      <c r="I1437">
        <v>41029703</v>
      </c>
    </row>
    <row r="1438" spans="1:9" x14ac:dyDescent="0.2">
      <c r="A1438" s="1" t="str">
        <f>"B3GALT5"</f>
        <v>B3GALT5</v>
      </c>
      <c r="B1438" t="s">
        <v>109</v>
      </c>
      <c r="C1438" t="s">
        <v>42</v>
      </c>
      <c r="D1438" t="s">
        <v>17</v>
      </c>
      <c r="E1438" t="s">
        <v>35</v>
      </c>
      <c r="F1438">
        <v>41029176</v>
      </c>
      <c r="G1438">
        <v>41029179</v>
      </c>
      <c r="H1438">
        <v>41029301</v>
      </c>
      <c r="I1438">
        <v>41029302</v>
      </c>
    </row>
    <row r="1439" spans="1:9" x14ac:dyDescent="0.2">
      <c r="A1439" s="1" t="str">
        <f>"B3GALT5"</f>
        <v>B3GALT5</v>
      </c>
      <c r="B1439" t="s">
        <v>110</v>
      </c>
      <c r="C1439" t="s">
        <v>42</v>
      </c>
      <c r="D1439" t="s">
        <v>17</v>
      </c>
      <c r="E1439" t="s">
        <v>35</v>
      </c>
      <c r="F1439">
        <v>40928344</v>
      </c>
      <c r="G1439">
        <v>40928357</v>
      </c>
      <c r="H1439">
        <v>40928363</v>
      </c>
      <c r="I1439">
        <v>40928372</v>
      </c>
    </row>
    <row r="1440" spans="1:9" x14ac:dyDescent="0.2">
      <c r="A1440" s="1" t="str">
        <f>"B3GALT6"</f>
        <v>B3GALT6</v>
      </c>
      <c r="B1440" t="s">
        <v>14</v>
      </c>
      <c r="C1440" t="s">
        <v>19</v>
      </c>
      <c r="D1440" t="s">
        <v>17</v>
      </c>
      <c r="E1440" t="s">
        <v>12</v>
      </c>
      <c r="F1440">
        <v>1167594</v>
      </c>
      <c r="G1440">
        <v>1167668</v>
      </c>
      <c r="H1440">
        <v>1167674</v>
      </c>
      <c r="I1440">
        <v>1167712</v>
      </c>
    </row>
    <row r="1441" spans="1:9" x14ac:dyDescent="0.2">
      <c r="A1441" s="1" t="str">
        <f>"B3GALTL"</f>
        <v>B3GALTL</v>
      </c>
      <c r="B1441" t="s">
        <v>14</v>
      </c>
      <c r="C1441" t="s">
        <v>39</v>
      </c>
      <c r="D1441" t="s">
        <v>17</v>
      </c>
      <c r="E1441" t="s">
        <v>12</v>
      </c>
      <c r="F1441">
        <v>31774096</v>
      </c>
      <c r="G1441">
        <v>31774153</v>
      </c>
      <c r="H1441">
        <v>31774158</v>
      </c>
      <c r="I1441">
        <v>31774177</v>
      </c>
    </row>
    <row r="1442" spans="1:9" x14ac:dyDescent="0.2">
      <c r="A1442" s="1" t="str">
        <f>"B3GAT1"</f>
        <v>B3GAT1</v>
      </c>
      <c r="B1442" t="s">
        <v>14</v>
      </c>
      <c r="C1442" t="s">
        <v>27</v>
      </c>
      <c r="D1442" t="s">
        <v>11</v>
      </c>
      <c r="E1442" t="s">
        <v>12</v>
      </c>
      <c r="F1442">
        <v>134282128</v>
      </c>
      <c r="G1442">
        <v>134282144</v>
      </c>
      <c r="H1442">
        <v>134282128</v>
      </c>
      <c r="I1442">
        <v>134282144</v>
      </c>
    </row>
    <row r="1443" spans="1:9" x14ac:dyDescent="0.2">
      <c r="A1443" s="1" t="str">
        <f>"B3GAT2"</f>
        <v>B3GAT2</v>
      </c>
      <c r="B1443" t="s">
        <v>14</v>
      </c>
      <c r="C1443" t="s">
        <v>32</v>
      </c>
      <c r="D1443" t="s">
        <v>11</v>
      </c>
      <c r="E1443" t="s">
        <v>12</v>
      </c>
      <c r="F1443">
        <v>71666732</v>
      </c>
      <c r="G1443">
        <v>71666769</v>
      </c>
      <c r="H1443">
        <v>71666772</v>
      </c>
      <c r="I1443">
        <v>71666793</v>
      </c>
    </row>
    <row r="1444" spans="1:9" x14ac:dyDescent="0.2">
      <c r="A1444" s="1" t="str">
        <f>"B3GAT3"</f>
        <v>B3GAT3</v>
      </c>
      <c r="B1444" t="s">
        <v>14</v>
      </c>
      <c r="C1444" t="s">
        <v>27</v>
      </c>
      <c r="D1444" t="s">
        <v>11</v>
      </c>
      <c r="E1444" t="s">
        <v>12</v>
      </c>
      <c r="F1444">
        <v>62389449</v>
      </c>
      <c r="G1444">
        <v>62389465</v>
      </c>
      <c r="H1444">
        <v>62389577</v>
      </c>
      <c r="I1444">
        <v>62389618</v>
      </c>
    </row>
    <row r="1445" spans="1:9" x14ac:dyDescent="0.2">
      <c r="A1445" s="1" t="str">
        <f>"B3GNT1"</f>
        <v>B3GNT1</v>
      </c>
      <c r="B1445" t="s">
        <v>14</v>
      </c>
      <c r="C1445" t="s">
        <v>27</v>
      </c>
      <c r="D1445" t="s">
        <v>11</v>
      </c>
      <c r="E1445" t="s">
        <v>12</v>
      </c>
      <c r="F1445">
        <v>66115032</v>
      </c>
      <c r="G1445">
        <v>66115144</v>
      </c>
      <c r="H1445">
        <v>66115008</v>
      </c>
      <c r="I1445">
        <v>66115026</v>
      </c>
    </row>
    <row r="1446" spans="1:9" x14ac:dyDescent="0.2">
      <c r="A1446" s="1" t="str">
        <f>"B3GNT2"</f>
        <v>B3GNT2</v>
      </c>
      <c r="B1446" t="s">
        <v>14</v>
      </c>
      <c r="C1446" t="s">
        <v>26</v>
      </c>
      <c r="D1446" t="s">
        <v>17</v>
      </c>
      <c r="E1446" t="s">
        <v>12</v>
      </c>
      <c r="F1446">
        <v>62423242</v>
      </c>
      <c r="G1446">
        <v>62423288</v>
      </c>
      <c r="H1446">
        <v>62423214</v>
      </c>
      <c r="I1446">
        <v>62423235</v>
      </c>
    </row>
    <row r="1447" spans="1:9" x14ac:dyDescent="0.2">
      <c r="A1447" s="1" t="str">
        <f>"B3GNT3"</f>
        <v>B3GNT3</v>
      </c>
      <c r="B1447" t="s">
        <v>14</v>
      </c>
      <c r="C1447" t="s">
        <v>10</v>
      </c>
      <c r="D1447" t="s">
        <v>17</v>
      </c>
      <c r="E1447" t="s">
        <v>12</v>
      </c>
      <c r="F1447">
        <v>17905938</v>
      </c>
      <c r="G1447">
        <v>17905980</v>
      </c>
      <c r="H1447">
        <v>17905594</v>
      </c>
      <c r="I1447">
        <v>17905645</v>
      </c>
    </row>
    <row r="1448" spans="1:9" x14ac:dyDescent="0.2">
      <c r="A1448" s="1" t="str">
        <f>"B3GNT4"</f>
        <v>B3GNT4</v>
      </c>
      <c r="B1448" t="s">
        <v>14</v>
      </c>
      <c r="C1448" t="s">
        <v>16</v>
      </c>
      <c r="D1448" t="s">
        <v>17</v>
      </c>
      <c r="E1448" t="s">
        <v>12</v>
      </c>
      <c r="F1448">
        <v>122688247</v>
      </c>
      <c r="G1448">
        <v>122688284</v>
      </c>
      <c r="H1448">
        <v>122688287</v>
      </c>
      <c r="I1448">
        <v>122688303</v>
      </c>
    </row>
    <row r="1449" spans="1:9" x14ac:dyDescent="0.2">
      <c r="A1449" s="1" t="str">
        <f>"B3GNT5"</f>
        <v>B3GNT5</v>
      </c>
      <c r="B1449" t="s">
        <v>14</v>
      </c>
      <c r="C1449" t="s">
        <v>22</v>
      </c>
      <c r="D1449" t="s">
        <v>17</v>
      </c>
      <c r="E1449" t="s">
        <v>12</v>
      </c>
      <c r="F1449">
        <v>182971063</v>
      </c>
      <c r="G1449">
        <v>182971082</v>
      </c>
      <c r="H1449">
        <v>182971018</v>
      </c>
      <c r="I1449">
        <v>182971059</v>
      </c>
    </row>
    <row r="1450" spans="1:9" x14ac:dyDescent="0.2">
      <c r="A1450" s="1" t="str">
        <f>"B3GNT6"</f>
        <v>B3GNT6</v>
      </c>
      <c r="B1450" t="s">
        <v>14</v>
      </c>
      <c r="C1450" t="s">
        <v>27</v>
      </c>
      <c r="D1450" t="s">
        <v>17</v>
      </c>
      <c r="E1450" t="s">
        <v>12</v>
      </c>
      <c r="F1450">
        <v>76745436</v>
      </c>
      <c r="G1450">
        <v>76745447</v>
      </c>
      <c r="H1450">
        <v>76745459</v>
      </c>
      <c r="I1450">
        <v>76745466</v>
      </c>
    </row>
    <row r="1451" spans="1:9" x14ac:dyDescent="0.2">
      <c r="A1451" s="1" t="str">
        <f>"B3GNT7"</f>
        <v>B3GNT7</v>
      </c>
      <c r="B1451" t="s">
        <v>14</v>
      </c>
      <c r="C1451" t="s">
        <v>26</v>
      </c>
      <c r="D1451" t="s">
        <v>17</v>
      </c>
      <c r="E1451" t="s">
        <v>12</v>
      </c>
      <c r="F1451">
        <v>232260414</v>
      </c>
      <c r="G1451">
        <v>232260436</v>
      </c>
      <c r="H1451">
        <v>232260447</v>
      </c>
      <c r="I1451">
        <v>232260474</v>
      </c>
    </row>
    <row r="1452" spans="1:9" x14ac:dyDescent="0.2">
      <c r="A1452" s="1" t="str">
        <f>"B3GNT8"</f>
        <v>B3GNT8</v>
      </c>
      <c r="B1452" t="s">
        <v>14</v>
      </c>
      <c r="C1452" t="s">
        <v>10</v>
      </c>
      <c r="D1452" t="s">
        <v>11</v>
      </c>
      <c r="E1452" t="s">
        <v>12</v>
      </c>
      <c r="F1452">
        <v>41933888</v>
      </c>
      <c r="G1452">
        <v>41933907</v>
      </c>
      <c r="H1452">
        <v>41933888</v>
      </c>
      <c r="I1452">
        <v>41933907</v>
      </c>
    </row>
    <row r="1453" spans="1:9" x14ac:dyDescent="0.2">
      <c r="A1453" s="1" t="str">
        <f>"B3GNT9"</f>
        <v>B3GNT9</v>
      </c>
      <c r="B1453" t="s">
        <v>14</v>
      </c>
      <c r="C1453" t="s">
        <v>31</v>
      </c>
      <c r="D1453" t="s">
        <v>11</v>
      </c>
      <c r="E1453" t="s">
        <v>12</v>
      </c>
      <c r="F1453">
        <v>67184854</v>
      </c>
      <c r="G1453">
        <v>67184907</v>
      </c>
      <c r="H1453">
        <v>67185137</v>
      </c>
      <c r="I1453">
        <v>67185148</v>
      </c>
    </row>
    <row r="1454" spans="1:9" x14ac:dyDescent="0.2">
      <c r="A1454" s="1" t="str">
        <f>"B3GNTL1"</f>
        <v>B3GNTL1</v>
      </c>
      <c r="B1454" t="s">
        <v>9</v>
      </c>
      <c r="C1454" t="s">
        <v>28</v>
      </c>
      <c r="D1454" t="s">
        <v>11</v>
      </c>
      <c r="E1454" t="s">
        <v>12</v>
      </c>
      <c r="F1454">
        <v>81009636</v>
      </c>
      <c r="G1454">
        <v>81009699</v>
      </c>
      <c r="H1454">
        <v>81009636</v>
      </c>
      <c r="I1454">
        <v>81009699</v>
      </c>
    </row>
    <row r="1455" spans="1:9" x14ac:dyDescent="0.2">
      <c r="A1455" s="1" t="str">
        <f>"B3GNTL1"</f>
        <v>B3GNTL1</v>
      </c>
      <c r="B1455" t="s">
        <v>13</v>
      </c>
      <c r="C1455" t="s">
        <v>28</v>
      </c>
      <c r="D1455" t="s">
        <v>11</v>
      </c>
      <c r="E1455" t="s">
        <v>12</v>
      </c>
      <c r="F1455">
        <v>81006437</v>
      </c>
      <c r="G1455">
        <v>81006497</v>
      </c>
      <c r="H1455">
        <v>81006437</v>
      </c>
      <c r="I1455">
        <v>81006497</v>
      </c>
    </row>
    <row r="1456" spans="1:9" x14ac:dyDescent="0.2">
      <c r="A1456" s="1" t="str">
        <f>"B4GALNT1"</f>
        <v>B4GALNT1</v>
      </c>
      <c r="B1456" t="s">
        <v>14</v>
      </c>
      <c r="C1456" t="s">
        <v>16</v>
      </c>
      <c r="D1456" t="s">
        <v>11</v>
      </c>
      <c r="E1456" t="s">
        <v>12</v>
      </c>
      <c r="F1456">
        <v>58026920</v>
      </c>
      <c r="G1456">
        <v>58026993</v>
      </c>
      <c r="H1456">
        <v>58026451</v>
      </c>
      <c r="I1456">
        <v>58026469</v>
      </c>
    </row>
    <row r="1457" spans="1:9" x14ac:dyDescent="0.2">
      <c r="A1457" s="1" t="str">
        <f>"B4GALNT2"</f>
        <v>B4GALNT2</v>
      </c>
      <c r="B1457" t="s">
        <v>14</v>
      </c>
      <c r="C1457" t="s">
        <v>28</v>
      </c>
      <c r="D1457" t="s">
        <v>17</v>
      </c>
      <c r="E1457" t="s">
        <v>12</v>
      </c>
      <c r="F1457">
        <v>47210125</v>
      </c>
      <c r="G1457">
        <v>47210136</v>
      </c>
      <c r="H1457">
        <v>47210085</v>
      </c>
      <c r="I1457">
        <v>47210098</v>
      </c>
    </row>
    <row r="1458" spans="1:9" x14ac:dyDescent="0.2">
      <c r="A1458" s="1" t="str">
        <f>"B4GALNT3"</f>
        <v>B4GALNT3</v>
      </c>
      <c r="B1458" t="s">
        <v>14</v>
      </c>
      <c r="C1458" t="s">
        <v>16</v>
      </c>
      <c r="D1458" t="s">
        <v>17</v>
      </c>
      <c r="E1458" t="s">
        <v>12</v>
      </c>
      <c r="F1458">
        <v>569091</v>
      </c>
      <c r="G1458">
        <v>569155</v>
      </c>
      <c r="H1458">
        <v>569287</v>
      </c>
      <c r="I1458">
        <v>569336</v>
      </c>
    </row>
    <row r="1459" spans="1:9" x14ac:dyDescent="0.2">
      <c r="A1459" s="1" t="str">
        <f>"B4GALNT4"</f>
        <v>B4GALNT4</v>
      </c>
      <c r="B1459" t="s">
        <v>14</v>
      </c>
      <c r="C1459" t="s">
        <v>27</v>
      </c>
      <c r="D1459" t="s">
        <v>17</v>
      </c>
      <c r="E1459" t="s">
        <v>12</v>
      </c>
      <c r="F1459">
        <v>369462</v>
      </c>
      <c r="G1459">
        <v>369546</v>
      </c>
      <c r="H1459">
        <v>369437</v>
      </c>
      <c r="I1459">
        <v>369446</v>
      </c>
    </row>
    <row r="1460" spans="1:9" x14ac:dyDescent="0.2">
      <c r="A1460" s="1" t="str">
        <f>"B4GALT1"</f>
        <v>B4GALT1</v>
      </c>
      <c r="B1460" t="s">
        <v>14</v>
      </c>
      <c r="C1460" t="s">
        <v>24</v>
      </c>
      <c r="D1460" t="s">
        <v>11</v>
      </c>
      <c r="E1460" t="s">
        <v>12</v>
      </c>
      <c r="F1460">
        <v>33167149</v>
      </c>
      <c r="G1460">
        <v>33167170</v>
      </c>
      <c r="H1460">
        <v>33167308</v>
      </c>
      <c r="I1460">
        <v>33167378</v>
      </c>
    </row>
    <row r="1461" spans="1:9" x14ac:dyDescent="0.2">
      <c r="A1461" s="1" t="str">
        <f>"B4GALT2"</f>
        <v>B4GALT2</v>
      </c>
      <c r="B1461" t="s">
        <v>14</v>
      </c>
      <c r="C1461" t="s">
        <v>19</v>
      </c>
      <c r="D1461" t="s">
        <v>17</v>
      </c>
      <c r="E1461" t="s">
        <v>12</v>
      </c>
      <c r="F1461">
        <v>44444865</v>
      </c>
      <c r="G1461">
        <v>44444930</v>
      </c>
      <c r="H1461">
        <v>44445643</v>
      </c>
      <c r="I1461">
        <v>44445684</v>
      </c>
    </row>
    <row r="1462" spans="1:9" x14ac:dyDescent="0.2">
      <c r="A1462" s="1" t="str">
        <f>"B4GALT3"</f>
        <v>B4GALT3</v>
      </c>
      <c r="B1462" t="s">
        <v>14</v>
      </c>
      <c r="C1462" t="s">
        <v>19</v>
      </c>
      <c r="D1462" t="s">
        <v>11</v>
      </c>
      <c r="E1462" t="s">
        <v>12</v>
      </c>
      <c r="F1462">
        <v>161147277</v>
      </c>
      <c r="G1462">
        <v>161147322</v>
      </c>
      <c r="H1462">
        <v>161147277</v>
      </c>
      <c r="I1462">
        <v>161147322</v>
      </c>
    </row>
    <row r="1463" spans="1:9" x14ac:dyDescent="0.2">
      <c r="A1463" s="1" t="str">
        <f>"B4GALT4"</f>
        <v>B4GALT4</v>
      </c>
      <c r="B1463" t="s">
        <v>14</v>
      </c>
      <c r="C1463" t="s">
        <v>22</v>
      </c>
      <c r="D1463" t="s">
        <v>11</v>
      </c>
      <c r="E1463" t="s">
        <v>12</v>
      </c>
      <c r="F1463">
        <v>118959716</v>
      </c>
      <c r="G1463">
        <v>118959732</v>
      </c>
      <c r="H1463">
        <v>118959733</v>
      </c>
      <c r="I1463">
        <v>118959766</v>
      </c>
    </row>
    <row r="1464" spans="1:9" x14ac:dyDescent="0.2">
      <c r="A1464" s="1" t="str">
        <f>"B4GALT5"</f>
        <v>B4GALT5</v>
      </c>
      <c r="B1464" t="s">
        <v>14</v>
      </c>
      <c r="C1464" t="s">
        <v>29</v>
      </c>
      <c r="D1464" t="s">
        <v>11</v>
      </c>
      <c r="E1464" t="s">
        <v>12</v>
      </c>
      <c r="F1464">
        <v>48330377</v>
      </c>
      <c r="G1464">
        <v>48330441</v>
      </c>
      <c r="H1464">
        <v>48330446</v>
      </c>
      <c r="I1464">
        <v>48330486</v>
      </c>
    </row>
    <row r="1465" spans="1:9" x14ac:dyDescent="0.2">
      <c r="A1465" s="1" t="str">
        <f>"B4GALT6"</f>
        <v>B4GALT6</v>
      </c>
      <c r="B1465" t="s">
        <v>14</v>
      </c>
      <c r="C1465" t="s">
        <v>43</v>
      </c>
      <c r="D1465" t="s">
        <v>11</v>
      </c>
      <c r="E1465" t="s">
        <v>12</v>
      </c>
      <c r="F1465">
        <v>29264511</v>
      </c>
      <c r="G1465">
        <v>29264551</v>
      </c>
      <c r="H1465">
        <v>29264669</v>
      </c>
      <c r="I1465">
        <v>29264717</v>
      </c>
    </row>
    <row r="1466" spans="1:9" x14ac:dyDescent="0.2">
      <c r="A1466" s="1" t="str">
        <f>"B4GALT7"</f>
        <v>B4GALT7</v>
      </c>
      <c r="B1466" t="s">
        <v>14</v>
      </c>
      <c r="C1466" t="s">
        <v>46</v>
      </c>
      <c r="D1466" t="s">
        <v>17</v>
      </c>
      <c r="E1466" t="s">
        <v>12</v>
      </c>
      <c r="F1466">
        <v>177027105</v>
      </c>
      <c r="G1466">
        <v>177027212</v>
      </c>
      <c r="H1466">
        <v>177027105</v>
      </c>
      <c r="I1466">
        <v>177027212</v>
      </c>
    </row>
    <row r="1467" spans="1:9" x14ac:dyDescent="0.2">
      <c r="A1467" s="1" t="str">
        <f>"B9D1"</f>
        <v>B9D1</v>
      </c>
      <c r="B1467" t="s">
        <v>14</v>
      </c>
      <c r="C1467" t="s">
        <v>28</v>
      </c>
      <c r="D1467" t="s">
        <v>11</v>
      </c>
      <c r="E1467" t="s">
        <v>12</v>
      </c>
      <c r="F1467">
        <v>19265883</v>
      </c>
      <c r="G1467">
        <v>19265958</v>
      </c>
      <c r="H1467">
        <v>19266005</v>
      </c>
      <c r="I1467">
        <v>19266044</v>
      </c>
    </row>
    <row r="1468" spans="1:9" x14ac:dyDescent="0.2">
      <c r="A1468" s="1" t="str">
        <f>"B9D2"</f>
        <v>B9D2</v>
      </c>
      <c r="B1468" t="s">
        <v>14</v>
      </c>
      <c r="C1468" t="s">
        <v>10</v>
      </c>
      <c r="D1468" t="s">
        <v>11</v>
      </c>
      <c r="E1468" t="s">
        <v>12</v>
      </c>
      <c r="F1468">
        <v>41870026</v>
      </c>
      <c r="G1468">
        <v>41870062</v>
      </c>
      <c r="H1468">
        <v>41869996</v>
      </c>
      <c r="I1468">
        <v>41870017</v>
      </c>
    </row>
    <row r="1469" spans="1:9" x14ac:dyDescent="0.2">
      <c r="A1469" s="1" t="str">
        <f>"BAALC"</f>
        <v>BAALC</v>
      </c>
      <c r="B1469" t="s">
        <v>14</v>
      </c>
      <c r="C1469" t="s">
        <v>30</v>
      </c>
      <c r="D1469" t="s">
        <v>17</v>
      </c>
      <c r="E1469" t="s">
        <v>12</v>
      </c>
      <c r="F1469">
        <v>104152922</v>
      </c>
      <c r="G1469">
        <v>104152992</v>
      </c>
      <c r="H1469">
        <v>104153060</v>
      </c>
      <c r="I1469">
        <v>104153101</v>
      </c>
    </row>
    <row r="1470" spans="1:9" x14ac:dyDescent="0.2">
      <c r="A1470" s="1" t="str">
        <f>"BAAT"</f>
        <v>BAAT</v>
      </c>
      <c r="B1470" t="s">
        <v>9</v>
      </c>
      <c r="C1470" t="s">
        <v>24</v>
      </c>
      <c r="D1470" t="s">
        <v>11</v>
      </c>
      <c r="E1470" t="s">
        <v>12</v>
      </c>
      <c r="F1470">
        <v>104147281</v>
      </c>
      <c r="G1470">
        <v>104147290</v>
      </c>
      <c r="H1470">
        <v>104147281</v>
      </c>
      <c r="I1470">
        <v>104147290</v>
      </c>
    </row>
    <row r="1471" spans="1:9" x14ac:dyDescent="0.2">
      <c r="A1471" s="1" t="str">
        <f>"BAAT"</f>
        <v>BAAT</v>
      </c>
      <c r="B1471" t="s">
        <v>13</v>
      </c>
      <c r="C1471" t="s">
        <v>24</v>
      </c>
      <c r="D1471" t="s">
        <v>11</v>
      </c>
      <c r="E1471" t="s">
        <v>12</v>
      </c>
      <c r="F1471">
        <v>104145840</v>
      </c>
      <c r="G1471">
        <v>104145854</v>
      </c>
      <c r="H1471">
        <v>104145840</v>
      </c>
      <c r="I1471">
        <v>104145854</v>
      </c>
    </row>
    <row r="1472" spans="1:9" x14ac:dyDescent="0.2">
      <c r="A1472" s="1" t="str">
        <f>"BABAM1"</f>
        <v>BABAM1</v>
      </c>
      <c r="B1472" t="s">
        <v>14</v>
      </c>
      <c r="C1472" t="s">
        <v>10</v>
      </c>
      <c r="D1472" t="s">
        <v>17</v>
      </c>
      <c r="E1472" t="s">
        <v>12</v>
      </c>
      <c r="F1472">
        <v>17378238</v>
      </c>
      <c r="G1472">
        <v>17378275</v>
      </c>
      <c r="H1472">
        <v>17378278</v>
      </c>
      <c r="I1472">
        <v>17378293</v>
      </c>
    </row>
    <row r="1473" spans="1:9" x14ac:dyDescent="0.2">
      <c r="A1473" s="1" t="str">
        <f>"BACE1"</f>
        <v>BACE1</v>
      </c>
      <c r="B1473" t="s">
        <v>14</v>
      </c>
      <c r="C1473" t="s">
        <v>27</v>
      </c>
      <c r="D1473" t="s">
        <v>11</v>
      </c>
      <c r="E1473" t="s">
        <v>12</v>
      </c>
      <c r="F1473">
        <v>117186946</v>
      </c>
      <c r="G1473">
        <v>117186981</v>
      </c>
      <c r="H1473">
        <v>117186996</v>
      </c>
      <c r="I1473">
        <v>117187007</v>
      </c>
    </row>
    <row r="1474" spans="1:9" x14ac:dyDescent="0.2">
      <c r="A1474" s="1" t="str">
        <f>"BACE2"</f>
        <v>BACE2</v>
      </c>
      <c r="B1474" t="s">
        <v>14</v>
      </c>
      <c r="C1474" t="s">
        <v>42</v>
      </c>
      <c r="D1474" t="s">
        <v>17</v>
      </c>
      <c r="E1474" t="s">
        <v>12</v>
      </c>
      <c r="F1474">
        <v>42540070</v>
      </c>
      <c r="G1474">
        <v>42540107</v>
      </c>
      <c r="H1474">
        <v>42540033</v>
      </c>
      <c r="I1474">
        <v>42540062</v>
      </c>
    </row>
    <row r="1475" spans="1:9" x14ac:dyDescent="0.2">
      <c r="A1475" s="1" t="str">
        <f>"BACH1"</f>
        <v>BACH1</v>
      </c>
      <c r="B1475" t="s">
        <v>14</v>
      </c>
      <c r="C1475" t="s">
        <v>42</v>
      </c>
      <c r="D1475" t="s">
        <v>17</v>
      </c>
      <c r="E1475" t="s">
        <v>12</v>
      </c>
      <c r="F1475">
        <v>30671235</v>
      </c>
      <c r="G1475">
        <v>30671253</v>
      </c>
      <c r="H1475">
        <v>30671690</v>
      </c>
      <c r="I1475">
        <v>30671762</v>
      </c>
    </row>
    <row r="1476" spans="1:9" x14ac:dyDescent="0.2">
      <c r="A1476" s="1" t="str">
        <f>"BACH2"</f>
        <v>BACH2</v>
      </c>
      <c r="B1476" t="s">
        <v>14</v>
      </c>
      <c r="C1476" t="s">
        <v>32</v>
      </c>
      <c r="D1476" t="s">
        <v>11</v>
      </c>
      <c r="E1476" t="s">
        <v>12</v>
      </c>
      <c r="F1476">
        <v>91006518</v>
      </c>
      <c r="G1476">
        <v>91006570</v>
      </c>
      <c r="H1476">
        <v>91006575</v>
      </c>
      <c r="I1476">
        <v>91006602</v>
      </c>
    </row>
    <row r="1477" spans="1:9" x14ac:dyDescent="0.2">
      <c r="A1477" s="1" t="str">
        <f>"BAD"</f>
        <v>BAD</v>
      </c>
      <c r="B1477" t="s">
        <v>14</v>
      </c>
      <c r="C1477" t="s">
        <v>27</v>
      </c>
      <c r="D1477" t="s">
        <v>11</v>
      </c>
      <c r="E1477" t="s">
        <v>12</v>
      </c>
      <c r="F1477">
        <v>64052114</v>
      </c>
      <c r="G1477">
        <v>64052210</v>
      </c>
      <c r="H1477">
        <v>64052094</v>
      </c>
      <c r="I1477">
        <v>64052105</v>
      </c>
    </row>
    <row r="1478" spans="1:9" x14ac:dyDescent="0.2">
      <c r="A1478" s="1" t="str">
        <f>"BAG1"</f>
        <v>BAG1</v>
      </c>
      <c r="B1478" t="s">
        <v>14</v>
      </c>
      <c r="C1478" t="s">
        <v>24</v>
      </c>
      <c r="D1478" t="s">
        <v>11</v>
      </c>
      <c r="E1478" t="s">
        <v>12</v>
      </c>
      <c r="F1478">
        <v>33264676</v>
      </c>
      <c r="G1478">
        <v>33264741</v>
      </c>
      <c r="H1478">
        <v>33264649</v>
      </c>
      <c r="I1478">
        <v>33264662</v>
      </c>
    </row>
    <row r="1479" spans="1:9" x14ac:dyDescent="0.2">
      <c r="A1479" s="1" t="str">
        <f>"BAG2"</f>
        <v>BAG2</v>
      </c>
      <c r="B1479" t="s">
        <v>14</v>
      </c>
      <c r="C1479" t="s">
        <v>32</v>
      </c>
      <c r="D1479" t="s">
        <v>17</v>
      </c>
      <c r="E1479" t="s">
        <v>12</v>
      </c>
      <c r="F1479">
        <v>57037089</v>
      </c>
      <c r="G1479">
        <v>57037146</v>
      </c>
      <c r="H1479">
        <v>57037421</v>
      </c>
      <c r="I1479">
        <v>57037481</v>
      </c>
    </row>
    <row r="1480" spans="1:9" x14ac:dyDescent="0.2">
      <c r="A1480" s="1" t="str">
        <f>"BAG3"</f>
        <v>BAG3</v>
      </c>
      <c r="B1480" t="s">
        <v>14</v>
      </c>
      <c r="C1480" t="s">
        <v>15</v>
      </c>
      <c r="D1480" t="s">
        <v>17</v>
      </c>
      <c r="E1480" t="s">
        <v>12</v>
      </c>
      <c r="F1480">
        <v>121410884</v>
      </c>
      <c r="G1480">
        <v>121410902</v>
      </c>
      <c r="H1480">
        <v>121411071</v>
      </c>
      <c r="I1480">
        <v>121411091</v>
      </c>
    </row>
    <row r="1481" spans="1:9" x14ac:dyDescent="0.2">
      <c r="A1481" s="1" t="str">
        <f>"BAG4"</f>
        <v>BAG4</v>
      </c>
      <c r="B1481" t="s">
        <v>14</v>
      </c>
      <c r="C1481" t="s">
        <v>30</v>
      </c>
      <c r="D1481" t="s">
        <v>17</v>
      </c>
      <c r="E1481" t="s">
        <v>12</v>
      </c>
      <c r="F1481">
        <v>38034321</v>
      </c>
      <c r="G1481">
        <v>38034388</v>
      </c>
      <c r="H1481">
        <v>38034301</v>
      </c>
      <c r="I1481">
        <v>38034316</v>
      </c>
    </row>
    <row r="1482" spans="1:9" x14ac:dyDescent="0.2">
      <c r="A1482" s="1" t="str">
        <f>"BAG5"</f>
        <v>BAG5</v>
      </c>
      <c r="B1482" t="s">
        <v>14</v>
      </c>
      <c r="C1482" t="s">
        <v>41</v>
      </c>
      <c r="D1482" t="s">
        <v>11</v>
      </c>
      <c r="E1482" t="s">
        <v>12</v>
      </c>
      <c r="F1482">
        <v>104028974</v>
      </c>
      <c r="G1482">
        <v>104029012</v>
      </c>
      <c r="H1482">
        <v>104028595</v>
      </c>
      <c r="I1482">
        <v>104028677</v>
      </c>
    </row>
    <row r="1483" spans="1:9" x14ac:dyDescent="0.2">
      <c r="A1483" s="1" t="str">
        <f>"BAG6"</f>
        <v>BAG6</v>
      </c>
      <c r="B1483" t="s">
        <v>14</v>
      </c>
      <c r="C1483" t="s">
        <v>32</v>
      </c>
      <c r="D1483" t="s">
        <v>11</v>
      </c>
      <c r="E1483" t="s">
        <v>12</v>
      </c>
      <c r="F1483">
        <v>31620403</v>
      </c>
      <c r="G1483">
        <v>31620445</v>
      </c>
      <c r="H1483">
        <v>31620149</v>
      </c>
      <c r="I1483">
        <v>31620196</v>
      </c>
    </row>
    <row r="1484" spans="1:9" x14ac:dyDescent="0.2">
      <c r="A1484" s="1" t="str">
        <f>"BAGE"</f>
        <v>BAGE</v>
      </c>
      <c r="B1484" t="s">
        <v>14</v>
      </c>
      <c r="C1484" t="s">
        <v>42</v>
      </c>
      <c r="D1484" t="s">
        <v>11</v>
      </c>
      <c r="E1484" t="s">
        <v>12</v>
      </c>
      <c r="F1484">
        <v>11098922</v>
      </c>
      <c r="G1484">
        <v>11098942</v>
      </c>
      <c r="H1484">
        <v>11098705</v>
      </c>
      <c r="I1484">
        <v>11098712</v>
      </c>
    </row>
    <row r="1485" spans="1:9" x14ac:dyDescent="0.2">
      <c r="A1485" s="1" t="str">
        <f>"BAGE3"</f>
        <v>BAGE3</v>
      </c>
      <c r="B1485" t="s">
        <v>14</v>
      </c>
      <c r="C1485" t="s">
        <v>42</v>
      </c>
      <c r="D1485" t="s">
        <v>11</v>
      </c>
      <c r="E1485" t="s">
        <v>12</v>
      </c>
      <c r="F1485">
        <v>11098922</v>
      </c>
      <c r="G1485">
        <v>11098942</v>
      </c>
      <c r="H1485">
        <v>11098922</v>
      </c>
      <c r="I1485">
        <v>11098942</v>
      </c>
    </row>
    <row r="1486" spans="1:9" x14ac:dyDescent="0.2">
      <c r="A1486" s="1" t="str">
        <f>"BAGE4"</f>
        <v>BAGE4</v>
      </c>
      <c r="B1486" t="s">
        <v>14</v>
      </c>
      <c r="C1486" t="s">
        <v>42</v>
      </c>
      <c r="D1486" t="s">
        <v>11</v>
      </c>
      <c r="E1486" t="s">
        <v>12</v>
      </c>
      <c r="F1486">
        <v>11098922</v>
      </c>
      <c r="G1486">
        <v>11098942</v>
      </c>
      <c r="H1486">
        <v>11098922</v>
      </c>
      <c r="I1486">
        <v>11098942</v>
      </c>
    </row>
    <row r="1487" spans="1:9" x14ac:dyDescent="0.2">
      <c r="A1487" s="1" t="str">
        <f>"BAGE5"</f>
        <v>BAGE5</v>
      </c>
      <c r="B1487" t="s">
        <v>14</v>
      </c>
      <c r="C1487" t="s">
        <v>42</v>
      </c>
      <c r="D1487" t="s">
        <v>11</v>
      </c>
      <c r="E1487" t="s">
        <v>12</v>
      </c>
      <c r="F1487">
        <v>11098922</v>
      </c>
      <c r="G1487">
        <v>11098942</v>
      </c>
      <c r="H1487">
        <v>11098922</v>
      </c>
      <c r="I1487">
        <v>11098942</v>
      </c>
    </row>
    <row r="1488" spans="1:9" x14ac:dyDescent="0.2">
      <c r="A1488" s="1" t="str">
        <f>"BAHCC1"</f>
        <v>BAHCC1</v>
      </c>
      <c r="B1488" t="s">
        <v>14</v>
      </c>
      <c r="C1488" t="s">
        <v>28</v>
      </c>
      <c r="D1488" t="s">
        <v>17</v>
      </c>
      <c r="E1488" t="s">
        <v>12</v>
      </c>
      <c r="F1488">
        <v>79373307</v>
      </c>
      <c r="G1488">
        <v>79373337</v>
      </c>
      <c r="H1488">
        <v>79373307</v>
      </c>
      <c r="I1488">
        <v>79373337</v>
      </c>
    </row>
    <row r="1489" spans="1:9" x14ac:dyDescent="0.2">
      <c r="A1489" s="1" t="str">
        <f>"BAHD1"</f>
        <v>BAHD1</v>
      </c>
      <c r="B1489" t="s">
        <v>14</v>
      </c>
      <c r="C1489" t="s">
        <v>25</v>
      </c>
      <c r="D1489" t="s">
        <v>17</v>
      </c>
      <c r="E1489" t="s">
        <v>12</v>
      </c>
      <c r="F1489">
        <v>40733088</v>
      </c>
      <c r="G1489">
        <v>40733196</v>
      </c>
      <c r="H1489">
        <v>40733329</v>
      </c>
      <c r="I1489">
        <v>40733375</v>
      </c>
    </row>
    <row r="1490" spans="1:9" x14ac:dyDescent="0.2">
      <c r="A1490" s="1" t="str">
        <f>"BAI1"</f>
        <v>BAI1</v>
      </c>
      <c r="B1490" t="s">
        <v>14</v>
      </c>
      <c r="C1490" t="s">
        <v>30</v>
      </c>
      <c r="D1490" t="s">
        <v>17</v>
      </c>
      <c r="E1490" t="s">
        <v>12</v>
      </c>
      <c r="F1490">
        <v>143531017</v>
      </c>
      <c r="G1490">
        <v>143531037</v>
      </c>
      <c r="H1490">
        <v>143531003</v>
      </c>
      <c r="I1490">
        <v>143531016</v>
      </c>
    </row>
    <row r="1491" spans="1:9" x14ac:dyDescent="0.2">
      <c r="A1491" s="1" t="str">
        <f>"BAI2"</f>
        <v>BAI2</v>
      </c>
      <c r="B1491" t="s">
        <v>14</v>
      </c>
      <c r="C1491" t="s">
        <v>19</v>
      </c>
      <c r="D1491" t="s">
        <v>11</v>
      </c>
      <c r="E1491" t="s">
        <v>12</v>
      </c>
      <c r="F1491">
        <v>32229934</v>
      </c>
      <c r="G1491">
        <v>32229976</v>
      </c>
      <c r="H1491">
        <v>32229629</v>
      </c>
      <c r="I1491">
        <v>32229692</v>
      </c>
    </row>
    <row r="1492" spans="1:9" x14ac:dyDescent="0.2">
      <c r="A1492" s="1" t="str">
        <f>"BAI3"</f>
        <v>BAI3</v>
      </c>
      <c r="B1492" t="s">
        <v>14</v>
      </c>
      <c r="C1492" t="s">
        <v>32</v>
      </c>
      <c r="D1492" t="s">
        <v>17</v>
      </c>
      <c r="E1492" t="s">
        <v>12</v>
      </c>
      <c r="F1492">
        <v>69345166</v>
      </c>
      <c r="G1492">
        <v>69345259</v>
      </c>
      <c r="H1492">
        <v>69345285</v>
      </c>
      <c r="I1492">
        <v>69345308</v>
      </c>
    </row>
    <row r="1493" spans="1:9" x14ac:dyDescent="0.2">
      <c r="A1493" s="1" t="str">
        <f>"BAIAP2"</f>
        <v>BAIAP2</v>
      </c>
      <c r="B1493" t="s">
        <v>14</v>
      </c>
      <c r="C1493" t="s">
        <v>28</v>
      </c>
      <c r="D1493" t="s">
        <v>17</v>
      </c>
      <c r="E1493" t="s">
        <v>12</v>
      </c>
      <c r="F1493">
        <v>79008940</v>
      </c>
      <c r="G1493">
        <v>79008958</v>
      </c>
      <c r="H1493">
        <v>79008940</v>
      </c>
      <c r="I1493">
        <v>79008958</v>
      </c>
    </row>
    <row r="1494" spans="1:9" x14ac:dyDescent="0.2">
      <c r="A1494" s="1" t="str">
        <f>"BAIAP2L1"</f>
        <v>BAIAP2L1</v>
      </c>
      <c r="B1494" t="s">
        <v>14</v>
      </c>
      <c r="C1494" t="s">
        <v>33</v>
      </c>
      <c r="D1494" t="s">
        <v>11</v>
      </c>
      <c r="E1494" t="s">
        <v>12</v>
      </c>
      <c r="F1494">
        <v>98030360</v>
      </c>
      <c r="G1494">
        <v>98030441</v>
      </c>
      <c r="H1494">
        <v>98030319</v>
      </c>
      <c r="I1494">
        <v>98030343</v>
      </c>
    </row>
    <row r="1495" spans="1:9" x14ac:dyDescent="0.2">
      <c r="A1495" s="1" t="str">
        <f>"BAIAP2L2"</f>
        <v>BAIAP2L2</v>
      </c>
      <c r="B1495" t="s">
        <v>9</v>
      </c>
      <c r="C1495" t="s">
        <v>21</v>
      </c>
      <c r="D1495" t="s">
        <v>11</v>
      </c>
      <c r="E1495" t="s">
        <v>12</v>
      </c>
      <c r="F1495">
        <v>38484922</v>
      </c>
      <c r="G1495">
        <v>38484993</v>
      </c>
      <c r="H1495">
        <v>38484922</v>
      </c>
      <c r="I1495">
        <v>38484993</v>
      </c>
    </row>
    <row r="1496" spans="1:9" x14ac:dyDescent="0.2">
      <c r="A1496" s="1" t="str">
        <f>"BAIAP2L2"</f>
        <v>BAIAP2L2</v>
      </c>
      <c r="B1496" t="s">
        <v>13</v>
      </c>
      <c r="C1496" t="s">
        <v>21</v>
      </c>
      <c r="D1496" t="s">
        <v>11</v>
      </c>
      <c r="E1496" t="s">
        <v>12</v>
      </c>
      <c r="F1496">
        <v>38506619</v>
      </c>
      <c r="G1496">
        <v>38506678</v>
      </c>
      <c r="H1496">
        <v>38506619</v>
      </c>
      <c r="I1496">
        <v>38506678</v>
      </c>
    </row>
    <row r="1497" spans="1:9" x14ac:dyDescent="0.2">
      <c r="A1497" s="1" t="str">
        <f>"BAIAP3"</f>
        <v>BAIAP3</v>
      </c>
      <c r="B1497" t="s">
        <v>14</v>
      </c>
      <c r="C1497" t="s">
        <v>31</v>
      </c>
      <c r="D1497" t="s">
        <v>17</v>
      </c>
      <c r="E1497" t="s">
        <v>12</v>
      </c>
      <c r="F1497">
        <v>1383632</v>
      </c>
      <c r="G1497">
        <v>1383652</v>
      </c>
      <c r="H1497">
        <v>1384498</v>
      </c>
      <c r="I1497">
        <v>1384508</v>
      </c>
    </row>
    <row r="1498" spans="1:9" x14ac:dyDescent="0.2">
      <c r="A1498" s="1" t="str">
        <f>"BAK1"</f>
        <v>BAK1</v>
      </c>
      <c r="B1498" t="s">
        <v>14</v>
      </c>
      <c r="C1498" t="s">
        <v>32</v>
      </c>
      <c r="D1498" t="s">
        <v>11</v>
      </c>
      <c r="E1498" t="s">
        <v>12</v>
      </c>
      <c r="F1498">
        <v>33548006</v>
      </c>
      <c r="G1498">
        <v>33548069</v>
      </c>
      <c r="H1498">
        <v>33547975</v>
      </c>
      <c r="I1498">
        <v>33547999</v>
      </c>
    </row>
    <row r="1499" spans="1:9" x14ac:dyDescent="0.2">
      <c r="A1499" s="1" t="str">
        <f>"BAMBI"</f>
        <v>BAMBI</v>
      </c>
      <c r="B1499" t="s">
        <v>14</v>
      </c>
      <c r="C1499" t="s">
        <v>15</v>
      </c>
      <c r="D1499" t="s">
        <v>17</v>
      </c>
      <c r="E1499" t="s">
        <v>12</v>
      </c>
      <c r="F1499">
        <v>28966443</v>
      </c>
      <c r="G1499">
        <v>28966461</v>
      </c>
      <c r="H1499">
        <v>28966416</v>
      </c>
      <c r="I1499">
        <v>28966437</v>
      </c>
    </row>
    <row r="1500" spans="1:9" x14ac:dyDescent="0.2">
      <c r="A1500" s="1" t="str">
        <f>"BANF1"</f>
        <v>BANF1</v>
      </c>
      <c r="B1500" t="s">
        <v>14</v>
      </c>
      <c r="C1500" t="s">
        <v>27</v>
      </c>
      <c r="D1500" t="s">
        <v>17</v>
      </c>
      <c r="E1500" t="s">
        <v>12</v>
      </c>
      <c r="F1500">
        <v>65769946</v>
      </c>
      <c r="G1500">
        <v>65769992</v>
      </c>
      <c r="H1500">
        <v>65769696</v>
      </c>
      <c r="I1500">
        <v>65769743</v>
      </c>
    </row>
    <row r="1501" spans="1:9" x14ac:dyDescent="0.2">
      <c r="A1501" s="1" t="str">
        <f>"BANF2"</f>
        <v>BANF2</v>
      </c>
      <c r="B1501" t="s">
        <v>14</v>
      </c>
      <c r="C1501" t="s">
        <v>29</v>
      </c>
      <c r="D1501" t="s">
        <v>17</v>
      </c>
      <c r="E1501" t="s">
        <v>12</v>
      </c>
      <c r="F1501">
        <v>17680599</v>
      </c>
      <c r="G1501">
        <v>17680621</v>
      </c>
      <c r="H1501">
        <v>17680588</v>
      </c>
      <c r="I1501">
        <v>17680597</v>
      </c>
    </row>
    <row r="1502" spans="1:9" x14ac:dyDescent="0.2">
      <c r="A1502" s="1" t="str">
        <f>"BANK1"</f>
        <v>BANK1</v>
      </c>
      <c r="B1502" t="s">
        <v>14</v>
      </c>
      <c r="C1502" t="s">
        <v>23</v>
      </c>
      <c r="D1502" t="s">
        <v>17</v>
      </c>
      <c r="E1502" t="s">
        <v>12</v>
      </c>
      <c r="F1502">
        <v>102711874</v>
      </c>
      <c r="G1502">
        <v>102711898</v>
      </c>
      <c r="H1502">
        <v>102711802</v>
      </c>
      <c r="I1502">
        <v>102711843</v>
      </c>
    </row>
    <row r="1503" spans="1:9" x14ac:dyDescent="0.2">
      <c r="A1503" s="1" t="str">
        <f>"BANP"</f>
        <v>BANP</v>
      </c>
      <c r="B1503" t="s">
        <v>14</v>
      </c>
      <c r="C1503" t="s">
        <v>31</v>
      </c>
      <c r="D1503" t="s">
        <v>17</v>
      </c>
      <c r="E1503" t="s">
        <v>12</v>
      </c>
      <c r="F1503">
        <v>87985029</v>
      </c>
      <c r="G1503">
        <v>87985096</v>
      </c>
      <c r="H1503">
        <v>87985107</v>
      </c>
      <c r="I1503">
        <v>87985129</v>
      </c>
    </row>
    <row r="1504" spans="1:9" x14ac:dyDescent="0.2">
      <c r="A1504" s="1" t="str">
        <f>"BAP1"</f>
        <v>BAP1</v>
      </c>
      <c r="B1504" t="s">
        <v>14</v>
      </c>
      <c r="C1504" t="s">
        <v>22</v>
      </c>
      <c r="D1504" t="s">
        <v>11</v>
      </c>
      <c r="E1504" t="s">
        <v>12</v>
      </c>
      <c r="F1504">
        <v>52443988</v>
      </c>
      <c r="G1504">
        <v>52444054</v>
      </c>
      <c r="H1504">
        <v>52443988</v>
      </c>
      <c r="I1504">
        <v>52444054</v>
      </c>
    </row>
    <row r="1505" spans="1:9" x14ac:dyDescent="0.2">
      <c r="A1505" s="1" t="str">
        <f>"BARD1"</f>
        <v>BARD1</v>
      </c>
      <c r="B1505" t="s">
        <v>14</v>
      </c>
      <c r="C1505" t="s">
        <v>26</v>
      </c>
      <c r="D1505" t="s">
        <v>11</v>
      </c>
      <c r="E1505" t="s">
        <v>12</v>
      </c>
      <c r="F1505">
        <v>215674374</v>
      </c>
      <c r="G1505">
        <v>215674441</v>
      </c>
      <c r="H1505">
        <v>215674360</v>
      </c>
      <c r="I1505">
        <v>215674372</v>
      </c>
    </row>
    <row r="1506" spans="1:9" x14ac:dyDescent="0.2">
      <c r="A1506" s="1" t="str">
        <f>"BARHL1"</f>
        <v>BARHL1</v>
      </c>
      <c r="B1506" t="s">
        <v>14</v>
      </c>
      <c r="C1506" t="s">
        <v>24</v>
      </c>
      <c r="D1506" t="s">
        <v>17</v>
      </c>
      <c r="E1506" t="s">
        <v>12</v>
      </c>
      <c r="F1506">
        <v>135457981</v>
      </c>
      <c r="G1506">
        <v>135458003</v>
      </c>
      <c r="H1506">
        <v>135457530</v>
      </c>
      <c r="I1506">
        <v>135457541</v>
      </c>
    </row>
    <row r="1507" spans="1:9" x14ac:dyDescent="0.2">
      <c r="A1507" s="1" t="str">
        <f>"BARHL2"</f>
        <v>BARHL2</v>
      </c>
      <c r="B1507" t="s">
        <v>14</v>
      </c>
      <c r="C1507" t="s">
        <v>19</v>
      </c>
      <c r="D1507" t="s">
        <v>11</v>
      </c>
      <c r="E1507" t="s">
        <v>12</v>
      </c>
      <c r="F1507">
        <v>91182854</v>
      </c>
      <c r="G1507">
        <v>91182860</v>
      </c>
      <c r="H1507">
        <v>91182689</v>
      </c>
      <c r="I1507">
        <v>91182698</v>
      </c>
    </row>
    <row r="1508" spans="1:9" x14ac:dyDescent="0.2">
      <c r="A1508" s="1" t="str">
        <f>"BARX1"</f>
        <v>BARX1</v>
      </c>
      <c r="B1508" t="s">
        <v>14</v>
      </c>
      <c r="C1508" t="s">
        <v>24</v>
      </c>
      <c r="D1508" t="s">
        <v>11</v>
      </c>
      <c r="E1508" t="s">
        <v>12</v>
      </c>
      <c r="F1508">
        <v>96717629</v>
      </c>
      <c r="G1508">
        <v>96717644</v>
      </c>
      <c r="H1508">
        <v>96717678</v>
      </c>
      <c r="I1508">
        <v>96717689</v>
      </c>
    </row>
    <row r="1509" spans="1:9" x14ac:dyDescent="0.2">
      <c r="A1509" s="1" t="str">
        <f>"BARX2"</f>
        <v>BARX2</v>
      </c>
      <c r="B1509" t="s">
        <v>14</v>
      </c>
      <c r="C1509" t="s">
        <v>27</v>
      </c>
      <c r="D1509" t="s">
        <v>17</v>
      </c>
      <c r="E1509" t="s">
        <v>12</v>
      </c>
      <c r="F1509">
        <v>129245526</v>
      </c>
      <c r="G1509">
        <v>129245553</v>
      </c>
      <c r="H1509">
        <v>129245736</v>
      </c>
      <c r="I1509">
        <v>129245758</v>
      </c>
    </row>
    <row r="1510" spans="1:9" x14ac:dyDescent="0.2">
      <c r="A1510" s="1" t="str">
        <f>"BASP1"</f>
        <v>BASP1</v>
      </c>
      <c r="B1510" t="s">
        <v>14</v>
      </c>
      <c r="C1510" t="s">
        <v>46</v>
      </c>
      <c r="D1510" t="s">
        <v>17</v>
      </c>
      <c r="E1510" t="s">
        <v>12</v>
      </c>
      <c r="F1510">
        <v>17217727</v>
      </c>
      <c r="G1510">
        <v>17217748</v>
      </c>
      <c r="H1510">
        <v>17217700</v>
      </c>
      <c r="I1510">
        <v>17217718</v>
      </c>
    </row>
    <row r="1511" spans="1:9" x14ac:dyDescent="0.2">
      <c r="A1511" s="1" t="str">
        <f>"BATF"</f>
        <v>BATF</v>
      </c>
      <c r="B1511" t="s">
        <v>14</v>
      </c>
      <c r="C1511" t="s">
        <v>41</v>
      </c>
      <c r="D1511" t="s">
        <v>17</v>
      </c>
      <c r="E1511" t="s">
        <v>12</v>
      </c>
      <c r="F1511">
        <v>75988771</v>
      </c>
      <c r="G1511">
        <v>75988826</v>
      </c>
      <c r="H1511">
        <v>75988831</v>
      </c>
      <c r="I1511">
        <v>75988847</v>
      </c>
    </row>
    <row r="1512" spans="1:9" x14ac:dyDescent="0.2">
      <c r="A1512" s="1" t="str">
        <f>"BATF2"</f>
        <v>BATF2</v>
      </c>
      <c r="B1512" t="s">
        <v>14</v>
      </c>
      <c r="C1512" t="s">
        <v>27</v>
      </c>
      <c r="D1512" t="s">
        <v>11</v>
      </c>
      <c r="E1512" t="s">
        <v>12</v>
      </c>
      <c r="F1512">
        <v>64764435</v>
      </c>
      <c r="G1512">
        <v>64764449</v>
      </c>
      <c r="H1512">
        <v>64764402</v>
      </c>
      <c r="I1512">
        <v>64764413</v>
      </c>
    </row>
    <row r="1513" spans="1:9" x14ac:dyDescent="0.2">
      <c r="A1513" s="1" t="str">
        <f>"BATF3"</f>
        <v>BATF3</v>
      </c>
      <c r="B1513" t="s">
        <v>14</v>
      </c>
      <c r="C1513" t="s">
        <v>19</v>
      </c>
      <c r="D1513" t="s">
        <v>11</v>
      </c>
      <c r="E1513" t="s">
        <v>12</v>
      </c>
      <c r="F1513">
        <v>212873267</v>
      </c>
      <c r="G1513">
        <v>212873332</v>
      </c>
      <c r="H1513">
        <v>212873084</v>
      </c>
      <c r="I1513">
        <v>212873137</v>
      </c>
    </row>
    <row r="1514" spans="1:9" x14ac:dyDescent="0.2">
      <c r="A1514" s="1" t="str">
        <f>"BAX"</f>
        <v>BAX</v>
      </c>
      <c r="B1514" t="s">
        <v>14</v>
      </c>
      <c r="C1514" t="s">
        <v>10</v>
      </c>
      <c r="D1514" t="s">
        <v>17</v>
      </c>
      <c r="E1514" t="s">
        <v>12</v>
      </c>
      <c r="F1514">
        <v>49458107</v>
      </c>
      <c r="G1514">
        <v>49458172</v>
      </c>
      <c r="H1514">
        <v>49458094</v>
      </c>
      <c r="I1514">
        <v>49458106</v>
      </c>
    </row>
    <row r="1515" spans="1:9" x14ac:dyDescent="0.2">
      <c r="A1515" s="1" t="str">
        <f>"BAZ1A"</f>
        <v>BAZ1A</v>
      </c>
      <c r="B1515" t="s">
        <v>14</v>
      </c>
      <c r="C1515" t="s">
        <v>41</v>
      </c>
      <c r="D1515" t="s">
        <v>11</v>
      </c>
      <c r="E1515" t="s">
        <v>12</v>
      </c>
      <c r="F1515">
        <v>35344520</v>
      </c>
      <c r="G1515">
        <v>35344552</v>
      </c>
      <c r="H1515">
        <v>35344520</v>
      </c>
      <c r="I1515">
        <v>35344552</v>
      </c>
    </row>
    <row r="1516" spans="1:9" x14ac:dyDescent="0.2">
      <c r="A1516" s="1" t="str">
        <f>"BAZ1B"</f>
        <v>BAZ1B</v>
      </c>
      <c r="B1516" t="s">
        <v>14</v>
      </c>
      <c r="C1516" t="s">
        <v>33</v>
      </c>
      <c r="D1516" t="s">
        <v>11</v>
      </c>
      <c r="E1516" t="s">
        <v>12</v>
      </c>
      <c r="F1516">
        <v>72936610</v>
      </c>
      <c r="G1516">
        <v>72936637</v>
      </c>
      <c r="H1516">
        <v>72936531</v>
      </c>
      <c r="I1516">
        <v>72936601</v>
      </c>
    </row>
    <row r="1517" spans="1:9" x14ac:dyDescent="0.2">
      <c r="A1517" s="1" t="str">
        <f>"BAZ2A"</f>
        <v>BAZ2A</v>
      </c>
      <c r="B1517" t="s">
        <v>9</v>
      </c>
      <c r="C1517" t="s">
        <v>16</v>
      </c>
      <c r="D1517" t="s">
        <v>11</v>
      </c>
      <c r="E1517" t="s">
        <v>12</v>
      </c>
      <c r="F1517">
        <v>57024075</v>
      </c>
      <c r="G1517">
        <v>57024133</v>
      </c>
      <c r="H1517">
        <v>57024075</v>
      </c>
      <c r="I1517">
        <v>57024133</v>
      </c>
    </row>
    <row r="1518" spans="1:9" x14ac:dyDescent="0.2">
      <c r="A1518" s="1" t="str">
        <f>"BAZ2A"</f>
        <v>BAZ2A</v>
      </c>
      <c r="B1518" t="s">
        <v>13</v>
      </c>
      <c r="C1518" t="s">
        <v>16</v>
      </c>
      <c r="D1518" t="s">
        <v>11</v>
      </c>
      <c r="E1518" t="s">
        <v>12</v>
      </c>
      <c r="F1518">
        <v>57030115</v>
      </c>
      <c r="G1518">
        <v>57030177</v>
      </c>
      <c r="H1518">
        <v>57030115</v>
      </c>
      <c r="I1518">
        <v>57030177</v>
      </c>
    </row>
    <row r="1519" spans="1:9" x14ac:dyDescent="0.2">
      <c r="A1519" s="1" t="str">
        <f>"BAZ2B"</f>
        <v>BAZ2B</v>
      </c>
      <c r="B1519" t="s">
        <v>14</v>
      </c>
      <c r="C1519" t="s">
        <v>26</v>
      </c>
      <c r="D1519" t="s">
        <v>11</v>
      </c>
      <c r="E1519" t="s">
        <v>12</v>
      </c>
      <c r="F1519">
        <v>160472952</v>
      </c>
      <c r="G1519">
        <v>160473077</v>
      </c>
      <c r="H1519">
        <v>160472052</v>
      </c>
      <c r="I1519">
        <v>160472083</v>
      </c>
    </row>
    <row r="1520" spans="1:9" x14ac:dyDescent="0.2">
      <c r="A1520" s="1" t="str">
        <f>"BBC3"</f>
        <v>BBC3</v>
      </c>
      <c r="B1520" t="s">
        <v>14</v>
      </c>
      <c r="C1520" t="s">
        <v>10</v>
      </c>
      <c r="D1520" t="s">
        <v>11</v>
      </c>
      <c r="E1520" t="s">
        <v>12</v>
      </c>
      <c r="F1520">
        <v>47734448</v>
      </c>
      <c r="G1520">
        <v>47734466</v>
      </c>
      <c r="H1520">
        <v>47734425</v>
      </c>
      <c r="I1520">
        <v>47734445</v>
      </c>
    </row>
    <row r="1521" spans="1:9" x14ac:dyDescent="0.2">
      <c r="A1521" s="1" t="str">
        <f>"BBIP1"</f>
        <v>BBIP1</v>
      </c>
      <c r="B1521" t="s">
        <v>14</v>
      </c>
      <c r="C1521" t="s">
        <v>15</v>
      </c>
      <c r="D1521" t="s">
        <v>11</v>
      </c>
      <c r="E1521" t="s">
        <v>12</v>
      </c>
      <c r="F1521">
        <v>112678904</v>
      </c>
      <c r="G1521">
        <v>112678964</v>
      </c>
      <c r="H1521">
        <v>112679118</v>
      </c>
      <c r="I1521">
        <v>112679129</v>
      </c>
    </row>
    <row r="1522" spans="1:9" x14ac:dyDescent="0.2">
      <c r="A1522" s="1" t="str">
        <f>"BBOX1"</f>
        <v>BBOX1</v>
      </c>
      <c r="B1522" t="s">
        <v>9</v>
      </c>
      <c r="C1522" t="s">
        <v>27</v>
      </c>
      <c r="D1522" t="s">
        <v>17</v>
      </c>
      <c r="E1522" t="s">
        <v>12</v>
      </c>
      <c r="F1522">
        <v>27076889</v>
      </c>
      <c r="G1522">
        <v>27076934</v>
      </c>
      <c r="H1522">
        <v>27076889</v>
      </c>
      <c r="I1522">
        <v>27076934</v>
      </c>
    </row>
    <row r="1523" spans="1:9" x14ac:dyDescent="0.2">
      <c r="A1523" s="1" t="str">
        <f>"BBOX1"</f>
        <v>BBOX1</v>
      </c>
      <c r="B1523" t="s">
        <v>13</v>
      </c>
      <c r="C1523" t="s">
        <v>27</v>
      </c>
      <c r="D1523" t="s">
        <v>17</v>
      </c>
      <c r="E1523" t="s">
        <v>12</v>
      </c>
      <c r="F1523">
        <v>27062933</v>
      </c>
      <c r="G1523">
        <v>27062953</v>
      </c>
      <c r="H1523">
        <v>27062933</v>
      </c>
      <c r="I1523">
        <v>27062953</v>
      </c>
    </row>
    <row r="1524" spans="1:9" x14ac:dyDescent="0.2">
      <c r="A1524" s="1" t="str">
        <f>"BBS1"</f>
        <v>BBS1</v>
      </c>
      <c r="B1524" t="s">
        <v>14</v>
      </c>
      <c r="C1524" t="s">
        <v>27</v>
      </c>
      <c r="D1524" t="s">
        <v>17</v>
      </c>
      <c r="E1524" t="s">
        <v>12</v>
      </c>
      <c r="F1524">
        <v>66278098</v>
      </c>
      <c r="G1524">
        <v>66278135</v>
      </c>
      <c r="H1524">
        <v>66278098</v>
      </c>
      <c r="I1524">
        <v>66278135</v>
      </c>
    </row>
    <row r="1525" spans="1:9" x14ac:dyDescent="0.2">
      <c r="A1525" s="1" t="str">
        <f>"BBS10"</f>
        <v>BBS10</v>
      </c>
      <c r="B1525" t="s">
        <v>14</v>
      </c>
      <c r="C1525" t="s">
        <v>16</v>
      </c>
      <c r="D1525" t="s">
        <v>11</v>
      </c>
      <c r="E1525" t="s">
        <v>12</v>
      </c>
      <c r="F1525">
        <v>76742183</v>
      </c>
      <c r="G1525">
        <v>76742227</v>
      </c>
      <c r="H1525">
        <v>76742127</v>
      </c>
      <c r="I1525">
        <v>76742147</v>
      </c>
    </row>
    <row r="1526" spans="1:9" x14ac:dyDescent="0.2">
      <c r="A1526" s="1" t="str">
        <f>"BBS12"</f>
        <v>BBS12</v>
      </c>
      <c r="B1526" t="s">
        <v>14</v>
      </c>
      <c r="C1526" t="s">
        <v>23</v>
      </c>
      <c r="D1526" t="s">
        <v>17</v>
      </c>
      <c r="E1526" t="s">
        <v>12</v>
      </c>
      <c r="F1526">
        <v>123653882</v>
      </c>
      <c r="G1526">
        <v>123653965</v>
      </c>
      <c r="H1526">
        <v>123653807</v>
      </c>
      <c r="I1526">
        <v>123653869</v>
      </c>
    </row>
    <row r="1527" spans="1:9" x14ac:dyDescent="0.2">
      <c r="A1527" s="1" t="str">
        <f>"BBS2"</f>
        <v>BBS2</v>
      </c>
      <c r="B1527" t="s">
        <v>14</v>
      </c>
      <c r="C1527" t="s">
        <v>31</v>
      </c>
      <c r="D1527" t="s">
        <v>11</v>
      </c>
      <c r="E1527" t="s">
        <v>12</v>
      </c>
      <c r="F1527">
        <v>56553882</v>
      </c>
      <c r="G1527">
        <v>56553992</v>
      </c>
      <c r="H1527">
        <v>56553994</v>
      </c>
      <c r="I1527">
        <v>56554012</v>
      </c>
    </row>
    <row r="1528" spans="1:9" x14ac:dyDescent="0.2">
      <c r="A1528" s="1" t="str">
        <f>"BBS4"</f>
        <v>BBS4</v>
      </c>
      <c r="B1528" t="s">
        <v>14</v>
      </c>
      <c r="C1528" t="s">
        <v>25</v>
      </c>
      <c r="D1528" t="s">
        <v>17</v>
      </c>
      <c r="E1528" t="s">
        <v>12</v>
      </c>
      <c r="F1528">
        <v>72978539</v>
      </c>
      <c r="G1528">
        <v>72978566</v>
      </c>
      <c r="H1528">
        <v>72978521</v>
      </c>
      <c r="I1528">
        <v>72978537</v>
      </c>
    </row>
    <row r="1529" spans="1:9" x14ac:dyDescent="0.2">
      <c r="A1529" s="1" t="str">
        <f>"BBS5"</f>
        <v>BBS5</v>
      </c>
      <c r="B1529" t="s">
        <v>14</v>
      </c>
      <c r="C1529" t="s">
        <v>26</v>
      </c>
      <c r="D1529" t="s">
        <v>17</v>
      </c>
      <c r="E1529" t="s">
        <v>12</v>
      </c>
      <c r="F1529">
        <v>170335924</v>
      </c>
      <c r="G1529">
        <v>170336039</v>
      </c>
      <c r="H1529">
        <v>170335297</v>
      </c>
      <c r="I1529">
        <v>170335305</v>
      </c>
    </row>
    <row r="1530" spans="1:9" x14ac:dyDescent="0.2">
      <c r="A1530" s="1" t="str">
        <f>"BBS7"</f>
        <v>BBS7</v>
      </c>
      <c r="B1530" t="s">
        <v>14</v>
      </c>
      <c r="C1530" t="s">
        <v>23</v>
      </c>
      <c r="D1530" t="s">
        <v>11</v>
      </c>
      <c r="E1530" t="s">
        <v>12</v>
      </c>
      <c r="F1530">
        <v>122791583</v>
      </c>
      <c r="G1530">
        <v>122791657</v>
      </c>
      <c r="H1530">
        <v>122791565</v>
      </c>
      <c r="I1530">
        <v>122791577</v>
      </c>
    </row>
    <row r="1531" spans="1:9" x14ac:dyDescent="0.2">
      <c r="A1531" s="1" t="str">
        <f>"BBS9"</f>
        <v>BBS9</v>
      </c>
      <c r="B1531" t="s">
        <v>14</v>
      </c>
      <c r="C1531" t="s">
        <v>33</v>
      </c>
      <c r="D1531" t="s">
        <v>17</v>
      </c>
      <c r="E1531" t="s">
        <v>12</v>
      </c>
      <c r="F1531">
        <v>33169142</v>
      </c>
      <c r="G1531">
        <v>33169185</v>
      </c>
      <c r="H1531">
        <v>33168919</v>
      </c>
      <c r="I1531">
        <v>33168960</v>
      </c>
    </row>
    <row r="1532" spans="1:9" x14ac:dyDescent="0.2">
      <c r="A1532" s="1" t="str">
        <f>"BBX"</f>
        <v>BBX</v>
      </c>
      <c r="B1532" t="s">
        <v>14</v>
      </c>
      <c r="C1532" t="s">
        <v>22</v>
      </c>
      <c r="D1532" t="s">
        <v>17</v>
      </c>
      <c r="E1532" t="s">
        <v>12</v>
      </c>
      <c r="F1532">
        <v>107241792</v>
      </c>
      <c r="G1532">
        <v>107241845</v>
      </c>
      <c r="H1532">
        <v>107241882</v>
      </c>
      <c r="I1532">
        <v>107241904</v>
      </c>
    </row>
    <row r="1533" spans="1:9" x14ac:dyDescent="0.2">
      <c r="A1533" s="1" t="str">
        <f>"BCAM"</f>
        <v>BCAM</v>
      </c>
      <c r="B1533" t="s">
        <v>14</v>
      </c>
      <c r="C1533" t="s">
        <v>10</v>
      </c>
      <c r="D1533" t="s">
        <v>17</v>
      </c>
      <c r="E1533" t="s">
        <v>12</v>
      </c>
      <c r="F1533">
        <v>45312347</v>
      </c>
      <c r="G1533">
        <v>45312374</v>
      </c>
      <c r="H1533">
        <v>45312310</v>
      </c>
      <c r="I1533">
        <v>45312332</v>
      </c>
    </row>
    <row r="1534" spans="1:9" x14ac:dyDescent="0.2">
      <c r="A1534" s="1" t="str">
        <f>"BCAN"</f>
        <v>BCAN</v>
      </c>
      <c r="B1534" t="s">
        <v>14</v>
      </c>
      <c r="C1534" t="s">
        <v>19</v>
      </c>
      <c r="D1534" t="s">
        <v>17</v>
      </c>
      <c r="E1534" t="s">
        <v>12</v>
      </c>
      <c r="F1534">
        <v>156611900</v>
      </c>
      <c r="G1534">
        <v>156611916</v>
      </c>
      <c r="H1534">
        <v>156611940</v>
      </c>
      <c r="I1534">
        <v>156611959</v>
      </c>
    </row>
    <row r="1535" spans="1:9" x14ac:dyDescent="0.2">
      <c r="A1535" s="1" t="str">
        <f>"BCAP29"</f>
        <v>BCAP29</v>
      </c>
      <c r="B1535" t="s">
        <v>14</v>
      </c>
      <c r="C1535" t="s">
        <v>33</v>
      </c>
      <c r="D1535" t="s">
        <v>17</v>
      </c>
      <c r="E1535" t="s">
        <v>12</v>
      </c>
      <c r="F1535">
        <v>107220660</v>
      </c>
      <c r="G1535">
        <v>107220722</v>
      </c>
      <c r="H1535">
        <v>107220434</v>
      </c>
      <c r="I1535">
        <v>107220468</v>
      </c>
    </row>
    <row r="1536" spans="1:9" x14ac:dyDescent="0.2">
      <c r="A1536" s="1" t="str">
        <f>"BCAP31"</f>
        <v>BCAP31</v>
      </c>
      <c r="B1536" t="s">
        <v>14</v>
      </c>
      <c r="C1536" t="s">
        <v>37</v>
      </c>
      <c r="D1536" t="s">
        <v>11</v>
      </c>
      <c r="E1536" t="s">
        <v>12</v>
      </c>
      <c r="F1536">
        <v>152989798</v>
      </c>
      <c r="G1536">
        <v>152989897</v>
      </c>
      <c r="H1536">
        <v>152989531</v>
      </c>
      <c r="I1536">
        <v>152989560</v>
      </c>
    </row>
    <row r="1537" spans="1:9" x14ac:dyDescent="0.2">
      <c r="A1537" s="1" t="str">
        <f>"BCAR1"</f>
        <v>BCAR1</v>
      </c>
      <c r="B1537" t="s">
        <v>9</v>
      </c>
      <c r="C1537" t="s">
        <v>31</v>
      </c>
      <c r="D1537" t="s">
        <v>11</v>
      </c>
      <c r="E1537" t="s">
        <v>12</v>
      </c>
      <c r="F1537">
        <v>75285508</v>
      </c>
      <c r="G1537">
        <v>75285580</v>
      </c>
      <c r="H1537">
        <v>75285508</v>
      </c>
      <c r="I1537">
        <v>75285580</v>
      </c>
    </row>
    <row r="1538" spans="1:9" x14ac:dyDescent="0.2">
      <c r="A1538" s="1" t="str">
        <f>"BCAR1"</f>
        <v>BCAR1</v>
      </c>
      <c r="B1538" t="s">
        <v>13</v>
      </c>
      <c r="C1538" t="s">
        <v>31</v>
      </c>
      <c r="D1538" t="s">
        <v>11</v>
      </c>
      <c r="E1538" t="s">
        <v>12</v>
      </c>
      <c r="F1538">
        <v>75299845</v>
      </c>
      <c r="G1538">
        <v>75299883</v>
      </c>
      <c r="H1538">
        <v>75299845</v>
      </c>
      <c r="I1538">
        <v>75299883</v>
      </c>
    </row>
    <row r="1539" spans="1:9" x14ac:dyDescent="0.2">
      <c r="A1539" s="1" t="str">
        <f>"BCAR3"</f>
        <v>BCAR3</v>
      </c>
      <c r="B1539" t="s">
        <v>9</v>
      </c>
      <c r="C1539" t="s">
        <v>19</v>
      </c>
      <c r="D1539" t="s">
        <v>11</v>
      </c>
      <c r="E1539" t="s">
        <v>12</v>
      </c>
      <c r="F1539">
        <v>94147385</v>
      </c>
      <c r="G1539">
        <v>94147407</v>
      </c>
      <c r="H1539">
        <v>94147385</v>
      </c>
      <c r="I1539">
        <v>94147407</v>
      </c>
    </row>
    <row r="1540" spans="1:9" x14ac:dyDescent="0.2">
      <c r="A1540" s="1" t="str">
        <f>"BCAR3"</f>
        <v>BCAR3</v>
      </c>
      <c r="B1540" t="s">
        <v>13</v>
      </c>
      <c r="C1540" t="s">
        <v>19</v>
      </c>
      <c r="D1540" t="s">
        <v>11</v>
      </c>
      <c r="E1540" t="s">
        <v>12</v>
      </c>
      <c r="F1540">
        <v>94312767</v>
      </c>
      <c r="G1540">
        <v>94312783</v>
      </c>
      <c r="H1540">
        <v>94312767</v>
      </c>
      <c r="I1540">
        <v>94312783</v>
      </c>
    </row>
    <row r="1541" spans="1:9" x14ac:dyDescent="0.2">
      <c r="A1541" s="1" t="str">
        <f>"BCAS1"</f>
        <v>BCAS1</v>
      </c>
      <c r="B1541" t="s">
        <v>111</v>
      </c>
      <c r="C1541" t="s">
        <v>29</v>
      </c>
      <c r="D1541" t="s">
        <v>11</v>
      </c>
      <c r="E1541" t="s">
        <v>35</v>
      </c>
      <c r="F1541">
        <v>52687059</v>
      </c>
      <c r="G1541">
        <v>52687143</v>
      </c>
      <c r="H1541">
        <v>52687046</v>
      </c>
      <c r="I1541">
        <v>52687058</v>
      </c>
    </row>
    <row r="1542" spans="1:9" x14ac:dyDescent="0.2">
      <c r="A1542" s="1" t="str">
        <f>"BCAS2"</f>
        <v>BCAS2</v>
      </c>
      <c r="B1542" t="s">
        <v>14</v>
      </c>
      <c r="C1542" t="s">
        <v>19</v>
      </c>
      <c r="D1542" t="s">
        <v>11</v>
      </c>
      <c r="E1542" t="s">
        <v>12</v>
      </c>
      <c r="F1542">
        <v>115124218</v>
      </c>
      <c r="G1542">
        <v>115124254</v>
      </c>
      <c r="H1542">
        <v>115124257</v>
      </c>
      <c r="I1542">
        <v>115124270</v>
      </c>
    </row>
    <row r="1543" spans="1:9" x14ac:dyDescent="0.2">
      <c r="A1543" s="1" t="str">
        <f>"BCAS3"</f>
        <v>BCAS3</v>
      </c>
      <c r="B1543" t="s">
        <v>14</v>
      </c>
      <c r="C1543" t="s">
        <v>28</v>
      </c>
      <c r="D1543" t="s">
        <v>17</v>
      </c>
      <c r="E1543" t="s">
        <v>12</v>
      </c>
      <c r="F1543">
        <v>58755184</v>
      </c>
      <c r="G1543">
        <v>58755261</v>
      </c>
      <c r="H1543">
        <v>58755169</v>
      </c>
      <c r="I1543">
        <v>58755176</v>
      </c>
    </row>
    <row r="1544" spans="1:9" x14ac:dyDescent="0.2">
      <c r="A1544" s="1" t="str">
        <f>"BCAS4"</f>
        <v>BCAS4</v>
      </c>
      <c r="B1544" t="s">
        <v>14</v>
      </c>
      <c r="C1544" t="s">
        <v>29</v>
      </c>
      <c r="D1544" t="s">
        <v>17</v>
      </c>
      <c r="E1544" t="s">
        <v>12</v>
      </c>
      <c r="F1544">
        <v>49411543</v>
      </c>
      <c r="G1544">
        <v>49411635</v>
      </c>
      <c r="H1544">
        <v>49411484</v>
      </c>
      <c r="I1544">
        <v>49411518</v>
      </c>
    </row>
    <row r="1545" spans="1:9" x14ac:dyDescent="0.2">
      <c r="A1545" s="1" t="str">
        <f>"BCAT1"</f>
        <v>BCAT1</v>
      </c>
      <c r="B1545" t="s">
        <v>14</v>
      </c>
      <c r="C1545" t="s">
        <v>16</v>
      </c>
      <c r="D1545" t="s">
        <v>11</v>
      </c>
      <c r="E1545" t="s">
        <v>12</v>
      </c>
      <c r="F1545">
        <v>25101920</v>
      </c>
      <c r="G1545">
        <v>25102077</v>
      </c>
      <c r="H1545">
        <v>25101920</v>
      </c>
      <c r="I1545">
        <v>25102077</v>
      </c>
    </row>
    <row r="1546" spans="1:9" x14ac:dyDescent="0.2">
      <c r="A1546" s="1" t="str">
        <f>"BCAT2"</f>
        <v>BCAT2</v>
      </c>
      <c r="B1546" t="s">
        <v>14</v>
      </c>
      <c r="C1546" t="s">
        <v>10</v>
      </c>
      <c r="D1546" t="s">
        <v>11</v>
      </c>
      <c r="E1546" t="s">
        <v>12</v>
      </c>
      <c r="F1546">
        <v>49314274</v>
      </c>
      <c r="G1546">
        <v>49314293</v>
      </c>
      <c r="H1546">
        <v>49314305</v>
      </c>
      <c r="I1546">
        <v>49314316</v>
      </c>
    </row>
    <row r="1547" spans="1:9" x14ac:dyDescent="0.2">
      <c r="A1547" s="1" t="str">
        <f>"BCCIP"</f>
        <v>BCCIP</v>
      </c>
      <c r="B1547" t="s">
        <v>14</v>
      </c>
      <c r="C1547" t="s">
        <v>15</v>
      </c>
      <c r="D1547" t="s">
        <v>17</v>
      </c>
      <c r="E1547" t="s">
        <v>12</v>
      </c>
      <c r="F1547">
        <v>127512106</v>
      </c>
      <c r="G1547">
        <v>127512130</v>
      </c>
      <c r="H1547">
        <v>127512106</v>
      </c>
      <c r="I1547">
        <v>127512130</v>
      </c>
    </row>
    <row r="1548" spans="1:9" x14ac:dyDescent="0.2">
      <c r="A1548" s="1" t="str">
        <f>"BCDIN3D"</f>
        <v>BCDIN3D</v>
      </c>
      <c r="B1548" t="s">
        <v>14</v>
      </c>
      <c r="C1548" t="s">
        <v>16</v>
      </c>
      <c r="D1548" t="s">
        <v>11</v>
      </c>
      <c r="E1548" t="s">
        <v>12</v>
      </c>
      <c r="F1548">
        <v>50236875</v>
      </c>
      <c r="G1548">
        <v>50236901</v>
      </c>
      <c r="H1548">
        <v>50236907</v>
      </c>
      <c r="I1548">
        <v>50236916</v>
      </c>
    </row>
    <row r="1549" spans="1:9" x14ac:dyDescent="0.2">
      <c r="A1549" s="1" t="str">
        <f>"BCHE"</f>
        <v>BCHE</v>
      </c>
      <c r="B1549" t="s">
        <v>14</v>
      </c>
      <c r="C1549" t="s">
        <v>22</v>
      </c>
      <c r="D1549" t="s">
        <v>11</v>
      </c>
      <c r="E1549" t="s">
        <v>12</v>
      </c>
      <c r="F1549">
        <v>165555200</v>
      </c>
      <c r="G1549">
        <v>165555218</v>
      </c>
      <c r="H1549">
        <v>165555164</v>
      </c>
      <c r="I1549">
        <v>165555175</v>
      </c>
    </row>
    <row r="1550" spans="1:9" x14ac:dyDescent="0.2">
      <c r="A1550" s="1" t="str">
        <f>"BCKDHA"</f>
        <v>BCKDHA</v>
      </c>
      <c r="B1550" t="s">
        <v>9</v>
      </c>
      <c r="C1550" t="s">
        <v>10</v>
      </c>
      <c r="D1550" t="s">
        <v>17</v>
      </c>
      <c r="E1550" t="s">
        <v>12</v>
      </c>
      <c r="F1550">
        <v>41903709</v>
      </c>
      <c r="G1550">
        <v>41903732</v>
      </c>
      <c r="H1550">
        <v>41903709</v>
      </c>
      <c r="I1550">
        <v>41903732</v>
      </c>
    </row>
    <row r="1551" spans="1:9" x14ac:dyDescent="0.2">
      <c r="A1551" s="1" t="str">
        <f>"BCKDHA"</f>
        <v>BCKDHA</v>
      </c>
      <c r="B1551" t="s">
        <v>13</v>
      </c>
      <c r="C1551" t="s">
        <v>10</v>
      </c>
      <c r="D1551" t="s">
        <v>17</v>
      </c>
      <c r="E1551" t="s">
        <v>12</v>
      </c>
      <c r="F1551">
        <v>41882404</v>
      </c>
      <c r="G1551">
        <v>41882445</v>
      </c>
      <c r="H1551">
        <v>41882404</v>
      </c>
      <c r="I1551">
        <v>41882445</v>
      </c>
    </row>
    <row r="1552" spans="1:9" x14ac:dyDescent="0.2">
      <c r="A1552" s="1" t="str">
        <f>"BCKDHB"</f>
        <v>BCKDHB</v>
      </c>
      <c r="B1552" t="s">
        <v>14</v>
      </c>
      <c r="C1552" t="s">
        <v>32</v>
      </c>
      <c r="D1552" t="s">
        <v>17</v>
      </c>
      <c r="E1552" t="s">
        <v>12</v>
      </c>
      <c r="F1552">
        <v>80816372</v>
      </c>
      <c r="G1552">
        <v>80816415</v>
      </c>
      <c r="H1552">
        <v>80816342</v>
      </c>
      <c r="I1552">
        <v>80816369</v>
      </c>
    </row>
    <row r="1553" spans="1:9" x14ac:dyDescent="0.2">
      <c r="A1553" s="1" t="str">
        <f>"BCKDK"</f>
        <v>BCKDK</v>
      </c>
      <c r="B1553" t="s">
        <v>14</v>
      </c>
      <c r="C1553" t="s">
        <v>31</v>
      </c>
      <c r="D1553" t="s">
        <v>17</v>
      </c>
      <c r="E1553" t="s">
        <v>12</v>
      </c>
      <c r="F1553">
        <v>31119689</v>
      </c>
      <c r="G1553">
        <v>31119774</v>
      </c>
      <c r="H1553">
        <v>31119972</v>
      </c>
      <c r="I1553">
        <v>31119994</v>
      </c>
    </row>
    <row r="1554" spans="1:9" x14ac:dyDescent="0.2">
      <c r="A1554" s="1" t="str">
        <f>"BCL10"</f>
        <v>BCL10</v>
      </c>
      <c r="B1554" t="s">
        <v>14</v>
      </c>
      <c r="C1554" t="s">
        <v>19</v>
      </c>
      <c r="D1554" t="s">
        <v>11</v>
      </c>
      <c r="E1554" t="s">
        <v>12</v>
      </c>
      <c r="F1554">
        <v>85742151</v>
      </c>
      <c r="G1554">
        <v>85742323</v>
      </c>
      <c r="H1554">
        <v>85742041</v>
      </c>
      <c r="I1554">
        <v>85742067</v>
      </c>
    </row>
    <row r="1555" spans="1:9" x14ac:dyDescent="0.2">
      <c r="A1555" s="1" t="str">
        <f>"BCL11A"</f>
        <v>BCL11A</v>
      </c>
      <c r="B1555" t="s">
        <v>14</v>
      </c>
      <c r="C1555" t="s">
        <v>26</v>
      </c>
      <c r="D1555" t="s">
        <v>11</v>
      </c>
      <c r="E1555" t="s">
        <v>12</v>
      </c>
      <c r="F1555">
        <v>60780753</v>
      </c>
      <c r="G1555">
        <v>60780800</v>
      </c>
      <c r="H1555">
        <v>60780607</v>
      </c>
      <c r="I1555">
        <v>60780624</v>
      </c>
    </row>
    <row r="1556" spans="1:9" x14ac:dyDescent="0.2">
      <c r="A1556" s="1" t="str">
        <f>"BCL11B"</f>
        <v>BCL11B</v>
      </c>
      <c r="B1556" t="s">
        <v>14</v>
      </c>
      <c r="C1556" t="s">
        <v>41</v>
      </c>
      <c r="D1556" t="s">
        <v>11</v>
      </c>
      <c r="E1556" t="s">
        <v>12</v>
      </c>
      <c r="F1556">
        <v>99738138</v>
      </c>
      <c r="G1556">
        <v>99738163</v>
      </c>
      <c r="H1556">
        <v>99738138</v>
      </c>
      <c r="I1556">
        <v>99738163</v>
      </c>
    </row>
    <row r="1557" spans="1:9" x14ac:dyDescent="0.2">
      <c r="A1557" s="1" t="str">
        <f>"BCL2"</f>
        <v>BCL2</v>
      </c>
      <c r="B1557" t="s">
        <v>14</v>
      </c>
      <c r="C1557" t="s">
        <v>43</v>
      </c>
      <c r="D1557" t="s">
        <v>11</v>
      </c>
      <c r="E1557" t="s">
        <v>12</v>
      </c>
      <c r="F1557">
        <v>60987220</v>
      </c>
      <c r="G1557">
        <v>60987386</v>
      </c>
      <c r="H1557">
        <v>60987220</v>
      </c>
      <c r="I1557">
        <v>60987386</v>
      </c>
    </row>
    <row r="1558" spans="1:9" x14ac:dyDescent="0.2">
      <c r="A1558" s="1" t="str">
        <f>"BCL2A1"</f>
        <v>BCL2A1</v>
      </c>
      <c r="B1558" t="s">
        <v>14</v>
      </c>
      <c r="C1558" t="s">
        <v>25</v>
      </c>
      <c r="D1558" t="s">
        <v>11</v>
      </c>
      <c r="E1558" t="s">
        <v>12</v>
      </c>
      <c r="F1558">
        <v>80263506</v>
      </c>
      <c r="G1558">
        <v>80263553</v>
      </c>
      <c r="H1558">
        <v>80263506</v>
      </c>
      <c r="I1558">
        <v>80263553</v>
      </c>
    </row>
    <row r="1559" spans="1:9" x14ac:dyDescent="0.2">
      <c r="A1559" s="1" t="str">
        <f>"BCL2L1"</f>
        <v>BCL2L1</v>
      </c>
      <c r="B1559" t="s">
        <v>9</v>
      </c>
      <c r="C1559" t="s">
        <v>29</v>
      </c>
      <c r="D1559" t="s">
        <v>11</v>
      </c>
      <c r="E1559" t="s">
        <v>12</v>
      </c>
      <c r="F1559">
        <v>30310656</v>
      </c>
      <c r="G1559">
        <v>30310685</v>
      </c>
      <c r="H1559">
        <v>30310656</v>
      </c>
      <c r="I1559">
        <v>30310685</v>
      </c>
    </row>
    <row r="1560" spans="1:9" x14ac:dyDescent="0.2">
      <c r="A1560" s="1" t="str">
        <f>"BCL2L1"</f>
        <v>BCL2L1</v>
      </c>
      <c r="B1560" t="s">
        <v>13</v>
      </c>
      <c r="C1560" t="s">
        <v>29</v>
      </c>
      <c r="D1560" t="s">
        <v>11</v>
      </c>
      <c r="E1560" t="s">
        <v>12</v>
      </c>
      <c r="F1560">
        <v>30311705</v>
      </c>
      <c r="G1560">
        <v>30311786</v>
      </c>
      <c r="H1560">
        <v>30311705</v>
      </c>
      <c r="I1560">
        <v>30311786</v>
      </c>
    </row>
    <row r="1561" spans="1:9" x14ac:dyDescent="0.2">
      <c r="A1561" s="1" t="str">
        <f>"BCL2L10"</f>
        <v>BCL2L10</v>
      </c>
      <c r="B1561" t="s">
        <v>14</v>
      </c>
      <c r="C1561" t="s">
        <v>25</v>
      </c>
      <c r="D1561" t="s">
        <v>11</v>
      </c>
      <c r="E1561" t="s">
        <v>12</v>
      </c>
      <c r="F1561">
        <v>52404692</v>
      </c>
      <c r="G1561">
        <v>52404723</v>
      </c>
      <c r="H1561">
        <v>52404921</v>
      </c>
      <c r="I1561">
        <v>52404940</v>
      </c>
    </row>
    <row r="1562" spans="1:9" x14ac:dyDescent="0.2">
      <c r="A1562" s="1" t="str">
        <f>"BCL2L11"</f>
        <v>BCL2L11</v>
      </c>
      <c r="B1562" t="s">
        <v>9</v>
      </c>
      <c r="C1562" t="s">
        <v>26</v>
      </c>
      <c r="D1562" t="s">
        <v>17</v>
      </c>
      <c r="E1562" t="s">
        <v>12</v>
      </c>
      <c r="F1562">
        <v>111878483</v>
      </c>
      <c r="G1562">
        <v>111878501</v>
      </c>
      <c r="H1562">
        <v>111878483</v>
      </c>
      <c r="I1562">
        <v>111878501</v>
      </c>
    </row>
    <row r="1563" spans="1:9" x14ac:dyDescent="0.2">
      <c r="A1563" s="1" t="str">
        <f>"BCL2L11"</f>
        <v>BCL2L11</v>
      </c>
      <c r="B1563" t="s">
        <v>13</v>
      </c>
      <c r="C1563" t="s">
        <v>26</v>
      </c>
      <c r="D1563" t="s">
        <v>17</v>
      </c>
      <c r="E1563" t="s">
        <v>12</v>
      </c>
      <c r="F1563">
        <v>111880242</v>
      </c>
      <c r="G1563">
        <v>111880289</v>
      </c>
      <c r="H1563">
        <v>111880242</v>
      </c>
      <c r="I1563">
        <v>111880289</v>
      </c>
    </row>
    <row r="1564" spans="1:9" x14ac:dyDescent="0.2">
      <c r="A1564" s="1" t="str">
        <f>"BCL2L12"</f>
        <v>BCL2L12</v>
      </c>
      <c r="B1564" t="s">
        <v>14</v>
      </c>
      <c r="C1564" t="s">
        <v>10</v>
      </c>
      <c r="D1564" t="s">
        <v>17</v>
      </c>
      <c r="E1564" t="s">
        <v>12</v>
      </c>
      <c r="F1564">
        <v>50169216</v>
      </c>
      <c r="G1564">
        <v>50169285</v>
      </c>
      <c r="H1564">
        <v>50169183</v>
      </c>
      <c r="I1564">
        <v>50169196</v>
      </c>
    </row>
    <row r="1565" spans="1:9" x14ac:dyDescent="0.2">
      <c r="A1565" s="1" t="str">
        <f>"BCL2L13"</f>
        <v>BCL2L13</v>
      </c>
      <c r="B1565" t="s">
        <v>14</v>
      </c>
      <c r="C1565" t="s">
        <v>21</v>
      </c>
      <c r="D1565" t="s">
        <v>17</v>
      </c>
      <c r="E1565" t="s">
        <v>12</v>
      </c>
      <c r="F1565">
        <v>18121493</v>
      </c>
      <c r="G1565">
        <v>18121535</v>
      </c>
      <c r="H1565">
        <v>18121493</v>
      </c>
      <c r="I1565">
        <v>18121535</v>
      </c>
    </row>
    <row r="1566" spans="1:9" x14ac:dyDescent="0.2">
      <c r="A1566" s="1" t="str">
        <f>"BCL2L14"</f>
        <v>BCL2L14</v>
      </c>
      <c r="B1566" t="s">
        <v>9</v>
      </c>
      <c r="C1566" t="s">
        <v>16</v>
      </c>
      <c r="D1566" t="s">
        <v>17</v>
      </c>
      <c r="E1566" t="s">
        <v>12</v>
      </c>
      <c r="F1566">
        <v>12223867</v>
      </c>
      <c r="G1566">
        <v>12223883</v>
      </c>
      <c r="H1566">
        <v>12223867</v>
      </c>
      <c r="I1566">
        <v>12223883</v>
      </c>
    </row>
    <row r="1567" spans="1:9" x14ac:dyDescent="0.2">
      <c r="A1567" s="1" t="str">
        <f>"BCL2L14"</f>
        <v>BCL2L14</v>
      </c>
      <c r="B1567" t="s">
        <v>13</v>
      </c>
      <c r="C1567" t="s">
        <v>16</v>
      </c>
      <c r="D1567" t="s">
        <v>17</v>
      </c>
      <c r="E1567" t="s">
        <v>12</v>
      </c>
      <c r="F1567">
        <v>12202785</v>
      </c>
      <c r="G1567">
        <v>12202802</v>
      </c>
      <c r="H1567">
        <v>12202785</v>
      </c>
      <c r="I1567">
        <v>12202802</v>
      </c>
    </row>
    <row r="1568" spans="1:9" x14ac:dyDescent="0.2">
      <c r="A1568" s="1" t="str">
        <f>"BCL2L15"</f>
        <v>BCL2L15</v>
      </c>
      <c r="B1568" t="s">
        <v>14</v>
      </c>
      <c r="C1568" t="s">
        <v>19</v>
      </c>
      <c r="D1568" t="s">
        <v>11</v>
      </c>
      <c r="E1568" t="s">
        <v>12</v>
      </c>
      <c r="F1568">
        <v>114430197</v>
      </c>
      <c r="G1568">
        <v>114430210</v>
      </c>
      <c r="H1568">
        <v>114430180</v>
      </c>
      <c r="I1568">
        <v>114430195</v>
      </c>
    </row>
    <row r="1569" spans="1:9" x14ac:dyDescent="0.2">
      <c r="A1569" s="1" t="str">
        <f>"BCL2L2"</f>
        <v>BCL2L2</v>
      </c>
      <c r="B1569" t="s">
        <v>14</v>
      </c>
      <c r="C1569" t="s">
        <v>41</v>
      </c>
      <c r="D1569" t="s">
        <v>17</v>
      </c>
      <c r="E1569" t="s">
        <v>12</v>
      </c>
      <c r="F1569">
        <v>23776024</v>
      </c>
      <c r="G1569">
        <v>23776105</v>
      </c>
      <c r="H1569">
        <v>23775993</v>
      </c>
      <c r="I1569">
        <v>23776000</v>
      </c>
    </row>
    <row r="1570" spans="1:9" x14ac:dyDescent="0.2">
      <c r="A1570" s="1" t="str">
        <f>"BCL2L2-PABPN1"</f>
        <v>BCL2L2-PABPN1</v>
      </c>
      <c r="B1570" t="s">
        <v>14</v>
      </c>
      <c r="C1570" t="s">
        <v>41</v>
      </c>
      <c r="D1570" t="s">
        <v>17</v>
      </c>
      <c r="E1570" t="s">
        <v>12</v>
      </c>
      <c r="F1570">
        <v>23776024</v>
      </c>
      <c r="G1570">
        <v>23776105</v>
      </c>
      <c r="H1570">
        <v>23776178</v>
      </c>
      <c r="I1570">
        <v>23776189</v>
      </c>
    </row>
    <row r="1571" spans="1:9" x14ac:dyDescent="0.2">
      <c r="A1571" s="1" t="str">
        <f>"BCL3"</f>
        <v>BCL3</v>
      </c>
      <c r="B1571" t="s">
        <v>14</v>
      </c>
      <c r="C1571" t="s">
        <v>10</v>
      </c>
      <c r="D1571" t="s">
        <v>17</v>
      </c>
      <c r="E1571" t="s">
        <v>12</v>
      </c>
      <c r="F1571">
        <v>45251943</v>
      </c>
      <c r="G1571">
        <v>45252006</v>
      </c>
      <c r="H1571">
        <v>45252008</v>
      </c>
      <c r="I1571">
        <v>45252024</v>
      </c>
    </row>
    <row r="1572" spans="1:9" x14ac:dyDescent="0.2">
      <c r="A1572" s="1" t="str">
        <f>"BCL6"</f>
        <v>BCL6</v>
      </c>
      <c r="B1572" t="s">
        <v>14</v>
      </c>
      <c r="C1572" t="s">
        <v>22</v>
      </c>
      <c r="D1572" t="s">
        <v>11</v>
      </c>
      <c r="E1572" t="s">
        <v>12</v>
      </c>
      <c r="F1572">
        <v>187463248</v>
      </c>
      <c r="G1572">
        <v>187463264</v>
      </c>
      <c r="H1572">
        <v>187463179</v>
      </c>
      <c r="I1572">
        <v>187463201</v>
      </c>
    </row>
    <row r="1573" spans="1:9" x14ac:dyDescent="0.2">
      <c r="A1573" s="1" t="str">
        <f>"BCL6B"</f>
        <v>BCL6B</v>
      </c>
      <c r="B1573" t="s">
        <v>14</v>
      </c>
      <c r="C1573" t="s">
        <v>28</v>
      </c>
      <c r="D1573" t="s">
        <v>17</v>
      </c>
      <c r="E1573" t="s">
        <v>12</v>
      </c>
      <c r="F1573">
        <v>6926362</v>
      </c>
      <c r="G1573">
        <v>6926377</v>
      </c>
      <c r="H1573">
        <v>6926381</v>
      </c>
      <c r="I1573">
        <v>6926392</v>
      </c>
    </row>
    <row r="1574" spans="1:9" x14ac:dyDescent="0.2">
      <c r="A1574" s="1" t="str">
        <f>"BCL7A"</f>
        <v>BCL7A</v>
      </c>
      <c r="B1574" t="s">
        <v>14</v>
      </c>
      <c r="C1574" t="s">
        <v>16</v>
      </c>
      <c r="D1574" t="s">
        <v>17</v>
      </c>
      <c r="E1574" t="s">
        <v>12</v>
      </c>
      <c r="F1574">
        <v>122459838</v>
      </c>
      <c r="G1574">
        <v>122459934</v>
      </c>
      <c r="H1574">
        <v>122459757</v>
      </c>
      <c r="I1574">
        <v>122459811</v>
      </c>
    </row>
    <row r="1575" spans="1:9" x14ac:dyDescent="0.2">
      <c r="A1575" s="1" t="str">
        <f>"BCL7B"</f>
        <v>BCL7B</v>
      </c>
      <c r="B1575" t="s">
        <v>14</v>
      </c>
      <c r="C1575" t="s">
        <v>33</v>
      </c>
      <c r="D1575" t="s">
        <v>11</v>
      </c>
      <c r="E1575" t="s">
        <v>12</v>
      </c>
      <c r="F1575">
        <v>72971934</v>
      </c>
      <c r="G1575">
        <v>72972057</v>
      </c>
      <c r="H1575">
        <v>72971555</v>
      </c>
      <c r="I1575">
        <v>72971572</v>
      </c>
    </row>
    <row r="1576" spans="1:9" x14ac:dyDescent="0.2">
      <c r="A1576" s="1" t="str">
        <f>"BCL7C"</f>
        <v>BCL7C</v>
      </c>
      <c r="B1576" t="s">
        <v>14</v>
      </c>
      <c r="C1576" t="s">
        <v>31</v>
      </c>
      <c r="D1576" t="s">
        <v>11</v>
      </c>
      <c r="E1576" t="s">
        <v>12</v>
      </c>
      <c r="F1576">
        <v>30905311</v>
      </c>
      <c r="G1576">
        <v>30905428</v>
      </c>
      <c r="H1576">
        <v>30905499</v>
      </c>
      <c r="I1576">
        <v>30905525</v>
      </c>
    </row>
    <row r="1577" spans="1:9" x14ac:dyDescent="0.2">
      <c r="A1577" s="1" t="str">
        <f>"BCL9"</f>
        <v>BCL9</v>
      </c>
      <c r="B1577" t="s">
        <v>14</v>
      </c>
      <c r="C1577" t="s">
        <v>19</v>
      </c>
      <c r="D1577" t="s">
        <v>17</v>
      </c>
      <c r="E1577" t="s">
        <v>12</v>
      </c>
      <c r="F1577">
        <v>147013249</v>
      </c>
      <c r="G1577">
        <v>147013329</v>
      </c>
      <c r="H1577">
        <v>147013249</v>
      </c>
      <c r="I1577">
        <v>147013329</v>
      </c>
    </row>
    <row r="1578" spans="1:9" x14ac:dyDescent="0.2">
      <c r="A1578" s="1" t="str">
        <f>"BCL9L"</f>
        <v>BCL9L</v>
      </c>
      <c r="B1578" t="s">
        <v>14</v>
      </c>
      <c r="C1578" t="s">
        <v>27</v>
      </c>
      <c r="D1578" t="s">
        <v>11</v>
      </c>
      <c r="E1578" t="s">
        <v>12</v>
      </c>
      <c r="F1578">
        <v>118796625</v>
      </c>
      <c r="G1578">
        <v>118796657</v>
      </c>
      <c r="H1578">
        <v>118796625</v>
      </c>
      <c r="I1578">
        <v>118796657</v>
      </c>
    </row>
    <row r="1579" spans="1:9" x14ac:dyDescent="0.2">
      <c r="A1579" s="1" t="str">
        <f>"BCLAF1"</f>
        <v>BCLAF1</v>
      </c>
      <c r="B1579" t="s">
        <v>14</v>
      </c>
      <c r="C1579" t="s">
        <v>32</v>
      </c>
      <c r="D1579" t="s">
        <v>11</v>
      </c>
      <c r="E1579" t="s">
        <v>12</v>
      </c>
      <c r="F1579">
        <v>136610911</v>
      </c>
      <c r="G1579">
        <v>136610990</v>
      </c>
      <c r="H1579">
        <v>136610911</v>
      </c>
      <c r="I1579">
        <v>136610990</v>
      </c>
    </row>
    <row r="1580" spans="1:9" x14ac:dyDescent="0.2">
      <c r="A1580" s="1" t="str">
        <f>"BCMO1"</f>
        <v>BCMO1</v>
      </c>
      <c r="B1580" t="s">
        <v>14</v>
      </c>
      <c r="C1580" t="s">
        <v>31</v>
      </c>
      <c r="D1580" t="s">
        <v>17</v>
      </c>
      <c r="E1580" t="s">
        <v>12</v>
      </c>
      <c r="F1580">
        <v>81272287</v>
      </c>
      <c r="G1580">
        <v>81272303</v>
      </c>
      <c r="H1580">
        <v>81272273</v>
      </c>
      <c r="I1580">
        <v>81272286</v>
      </c>
    </row>
    <row r="1581" spans="1:9" x14ac:dyDescent="0.2">
      <c r="A1581" s="1" t="str">
        <f>"BCO2"</f>
        <v>BCO2</v>
      </c>
      <c r="B1581" t="s">
        <v>14</v>
      </c>
      <c r="C1581" t="s">
        <v>27</v>
      </c>
      <c r="D1581" t="s">
        <v>17</v>
      </c>
      <c r="E1581" t="s">
        <v>12</v>
      </c>
      <c r="F1581">
        <v>112046224</v>
      </c>
      <c r="G1581">
        <v>112046245</v>
      </c>
      <c r="H1581">
        <v>112046249</v>
      </c>
      <c r="I1581">
        <v>112046273</v>
      </c>
    </row>
    <row r="1582" spans="1:9" x14ac:dyDescent="0.2">
      <c r="A1582" s="1" t="str">
        <f>"BCOR"</f>
        <v>BCOR</v>
      </c>
      <c r="B1582" t="s">
        <v>14</v>
      </c>
      <c r="C1582" t="s">
        <v>37</v>
      </c>
      <c r="D1582" t="s">
        <v>11</v>
      </c>
      <c r="E1582" t="s">
        <v>12</v>
      </c>
      <c r="F1582">
        <v>39957202</v>
      </c>
      <c r="G1582">
        <v>39957220</v>
      </c>
      <c r="H1582">
        <v>39957202</v>
      </c>
      <c r="I1582">
        <v>39957220</v>
      </c>
    </row>
    <row r="1583" spans="1:9" x14ac:dyDescent="0.2">
      <c r="A1583" s="1" t="str">
        <f>"BCORL1"</f>
        <v>BCORL1</v>
      </c>
      <c r="B1583" t="s">
        <v>14</v>
      </c>
      <c r="C1583" t="s">
        <v>37</v>
      </c>
      <c r="D1583" t="s">
        <v>17</v>
      </c>
      <c r="E1583" t="s">
        <v>12</v>
      </c>
      <c r="F1583">
        <v>129116602</v>
      </c>
      <c r="G1583">
        <v>129116624</v>
      </c>
      <c r="H1583">
        <v>129116550</v>
      </c>
      <c r="I1583">
        <v>129116562</v>
      </c>
    </row>
    <row r="1584" spans="1:9" x14ac:dyDescent="0.2">
      <c r="A1584" s="1" t="str">
        <f>"BCR"</f>
        <v>BCR</v>
      </c>
      <c r="B1584" t="s">
        <v>14</v>
      </c>
      <c r="C1584" t="s">
        <v>21</v>
      </c>
      <c r="D1584" t="s">
        <v>17</v>
      </c>
      <c r="E1584" t="s">
        <v>12</v>
      </c>
      <c r="F1584">
        <v>23522677</v>
      </c>
      <c r="G1584">
        <v>23522748</v>
      </c>
      <c r="H1584">
        <v>23522997</v>
      </c>
      <c r="I1584">
        <v>23523035</v>
      </c>
    </row>
    <row r="1585" spans="1:9" x14ac:dyDescent="0.2">
      <c r="A1585" s="1" t="str">
        <f>"BCS1L"</f>
        <v>BCS1L</v>
      </c>
      <c r="B1585" t="s">
        <v>14</v>
      </c>
      <c r="C1585" t="s">
        <v>26</v>
      </c>
      <c r="D1585" t="s">
        <v>17</v>
      </c>
      <c r="E1585" t="s">
        <v>12</v>
      </c>
      <c r="F1585">
        <v>219524398</v>
      </c>
      <c r="G1585">
        <v>219524465</v>
      </c>
      <c r="H1585">
        <v>219524473</v>
      </c>
      <c r="I1585">
        <v>219524482</v>
      </c>
    </row>
    <row r="1586" spans="1:9" x14ac:dyDescent="0.2">
      <c r="A1586" s="1" t="str">
        <f>"BDH1"</f>
        <v>BDH1</v>
      </c>
      <c r="B1586" t="s">
        <v>9</v>
      </c>
      <c r="C1586" t="s">
        <v>22</v>
      </c>
      <c r="D1586" t="s">
        <v>11</v>
      </c>
      <c r="E1586" t="s">
        <v>12</v>
      </c>
      <c r="F1586">
        <v>197282821</v>
      </c>
      <c r="G1586">
        <v>197282869</v>
      </c>
      <c r="H1586">
        <v>197282821</v>
      </c>
      <c r="I1586">
        <v>197282869</v>
      </c>
    </row>
    <row r="1587" spans="1:9" x14ac:dyDescent="0.2">
      <c r="A1587" s="1" t="str">
        <f>"BDH1"</f>
        <v>BDH1</v>
      </c>
      <c r="B1587" t="s">
        <v>13</v>
      </c>
      <c r="C1587" t="s">
        <v>22</v>
      </c>
      <c r="D1587" t="s">
        <v>11</v>
      </c>
      <c r="E1587" t="s">
        <v>12</v>
      </c>
      <c r="F1587">
        <v>197300199</v>
      </c>
      <c r="G1587">
        <v>197300219</v>
      </c>
      <c r="H1587">
        <v>197300199</v>
      </c>
      <c r="I1587">
        <v>197300219</v>
      </c>
    </row>
    <row r="1588" spans="1:9" x14ac:dyDescent="0.2">
      <c r="A1588" s="1" t="str">
        <f>"BDH2"</f>
        <v>BDH2</v>
      </c>
      <c r="B1588" t="s">
        <v>14</v>
      </c>
      <c r="C1588" t="s">
        <v>23</v>
      </c>
      <c r="D1588" t="s">
        <v>11</v>
      </c>
      <c r="E1588" t="s">
        <v>12</v>
      </c>
      <c r="F1588">
        <v>104020968</v>
      </c>
      <c r="G1588">
        <v>104020997</v>
      </c>
      <c r="H1588">
        <v>104020968</v>
      </c>
      <c r="I1588">
        <v>104020997</v>
      </c>
    </row>
    <row r="1589" spans="1:9" x14ac:dyDescent="0.2">
      <c r="A1589" s="1" t="str">
        <f>"BDKRB1"</f>
        <v>BDKRB1</v>
      </c>
      <c r="B1589" t="s">
        <v>14</v>
      </c>
      <c r="C1589" t="s">
        <v>41</v>
      </c>
      <c r="D1589" t="s">
        <v>17</v>
      </c>
      <c r="E1589" t="s">
        <v>12</v>
      </c>
      <c r="F1589">
        <v>96722539</v>
      </c>
      <c r="G1589">
        <v>96722555</v>
      </c>
      <c r="H1589">
        <v>96722539</v>
      </c>
      <c r="I1589">
        <v>96722555</v>
      </c>
    </row>
    <row r="1590" spans="1:9" x14ac:dyDescent="0.2">
      <c r="A1590" s="1" t="str">
        <f>"BDKRB2"</f>
        <v>BDKRB2</v>
      </c>
      <c r="B1590" t="s">
        <v>14</v>
      </c>
      <c r="C1590" t="s">
        <v>41</v>
      </c>
      <c r="D1590" t="s">
        <v>17</v>
      </c>
      <c r="E1590" t="s">
        <v>12</v>
      </c>
      <c r="F1590">
        <v>96671168</v>
      </c>
      <c r="G1590">
        <v>96671188</v>
      </c>
      <c r="H1590">
        <v>96671042</v>
      </c>
      <c r="I1590">
        <v>96671088</v>
      </c>
    </row>
    <row r="1591" spans="1:9" x14ac:dyDescent="0.2">
      <c r="A1591" s="1" t="str">
        <f>"BDNF"</f>
        <v>BDNF</v>
      </c>
      <c r="B1591" t="s">
        <v>14</v>
      </c>
      <c r="C1591" t="s">
        <v>27</v>
      </c>
      <c r="D1591" t="s">
        <v>11</v>
      </c>
      <c r="E1591" t="s">
        <v>12</v>
      </c>
      <c r="F1591">
        <v>27721994</v>
      </c>
      <c r="G1591">
        <v>27722008</v>
      </c>
      <c r="H1591">
        <v>27722021</v>
      </c>
      <c r="I1591">
        <v>27722038</v>
      </c>
    </row>
    <row r="1592" spans="1:9" x14ac:dyDescent="0.2">
      <c r="A1592" s="1" t="str">
        <f>"BDP1"</f>
        <v>BDP1</v>
      </c>
      <c r="B1592" t="s">
        <v>14</v>
      </c>
      <c r="C1592" t="s">
        <v>46</v>
      </c>
      <c r="D1592" t="s">
        <v>17</v>
      </c>
      <c r="E1592" t="s">
        <v>12</v>
      </c>
      <c r="F1592">
        <v>70751463</v>
      </c>
      <c r="G1592">
        <v>70751503</v>
      </c>
      <c r="H1592">
        <v>70751445</v>
      </c>
      <c r="I1592">
        <v>70751456</v>
      </c>
    </row>
    <row r="1593" spans="1:9" x14ac:dyDescent="0.2">
      <c r="A1593" s="1" t="str">
        <f>"BEAN1"</f>
        <v>BEAN1</v>
      </c>
      <c r="B1593" t="s">
        <v>14</v>
      </c>
      <c r="C1593" t="s">
        <v>31</v>
      </c>
      <c r="D1593" t="s">
        <v>17</v>
      </c>
      <c r="E1593" t="s">
        <v>12</v>
      </c>
      <c r="F1593">
        <v>66461175</v>
      </c>
      <c r="G1593">
        <v>66461230</v>
      </c>
      <c r="H1593">
        <v>66460892</v>
      </c>
      <c r="I1593">
        <v>66460912</v>
      </c>
    </row>
    <row r="1594" spans="1:9" x14ac:dyDescent="0.2">
      <c r="A1594" s="1" t="str">
        <f>"BECN1"</f>
        <v>BECN1</v>
      </c>
      <c r="B1594" t="s">
        <v>14</v>
      </c>
      <c r="C1594" t="s">
        <v>28</v>
      </c>
      <c r="D1594" t="s">
        <v>11</v>
      </c>
      <c r="E1594" t="s">
        <v>12</v>
      </c>
      <c r="F1594">
        <v>40976266</v>
      </c>
      <c r="G1594">
        <v>40976315</v>
      </c>
      <c r="H1594">
        <v>40975877</v>
      </c>
      <c r="I1594">
        <v>40975905</v>
      </c>
    </row>
    <row r="1595" spans="1:9" x14ac:dyDescent="0.2">
      <c r="A1595" s="1" t="str">
        <f>"BEGAIN"</f>
        <v>BEGAIN</v>
      </c>
      <c r="B1595" t="s">
        <v>9</v>
      </c>
      <c r="C1595" t="s">
        <v>41</v>
      </c>
      <c r="D1595" t="s">
        <v>11</v>
      </c>
      <c r="E1595" t="s">
        <v>12</v>
      </c>
      <c r="F1595">
        <v>101053739</v>
      </c>
      <c r="G1595">
        <v>101053767</v>
      </c>
      <c r="H1595">
        <v>101053739</v>
      </c>
      <c r="I1595">
        <v>101053767</v>
      </c>
    </row>
    <row r="1596" spans="1:9" x14ac:dyDescent="0.2">
      <c r="A1596" s="1" t="str">
        <f>"BEGAIN"</f>
        <v>BEGAIN</v>
      </c>
      <c r="B1596" t="s">
        <v>13</v>
      </c>
      <c r="C1596" t="s">
        <v>41</v>
      </c>
      <c r="D1596" t="s">
        <v>11</v>
      </c>
      <c r="E1596" t="s">
        <v>12</v>
      </c>
      <c r="F1596">
        <v>101014442</v>
      </c>
      <c r="G1596">
        <v>101014468</v>
      </c>
      <c r="H1596">
        <v>101014442</v>
      </c>
      <c r="I1596">
        <v>101014468</v>
      </c>
    </row>
    <row r="1597" spans="1:9" x14ac:dyDescent="0.2">
      <c r="A1597" s="1" t="str">
        <f>"BEND2"</f>
        <v>BEND2</v>
      </c>
      <c r="B1597" t="s">
        <v>14</v>
      </c>
      <c r="C1597" t="s">
        <v>37</v>
      </c>
      <c r="D1597" t="s">
        <v>11</v>
      </c>
      <c r="E1597" t="s">
        <v>12</v>
      </c>
      <c r="F1597">
        <v>18238974</v>
      </c>
      <c r="G1597">
        <v>18238984</v>
      </c>
      <c r="H1597">
        <v>18238999</v>
      </c>
      <c r="I1597">
        <v>18239008</v>
      </c>
    </row>
    <row r="1598" spans="1:9" x14ac:dyDescent="0.2">
      <c r="A1598" s="1" t="str">
        <f>"BEND3"</f>
        <v>BEND3</v>
      </c>
      <c r="B1598" t="s">
        <v>14</v>
      </c>
      <c r="C1598" t="s">
        <v>32</v>
      </c>
      <c r="D1598" t="s">
        <v>11</v>
      </c>
      <c r="E1598" t="s">
        <v>12</v>
      </c>
      <c r="F1598">
        <v>107436468</v>
      </c>
      <c r="G1598">
        <v>107436522</v>
      </c>
      <c r="H1598">
        <v>107436468</v>
      </c>
      <c r="I1598">
        <v>107436522</v>
      </c>
    </row>
    <row r="1599" spans="1:9" x14ac:dyDescent="0.2">
      <c r="A1599" s="1" t="str">
        <f>"BEND4"</f>
        <v>BEND4</v>
      </c>
      <c r="B1599" t="s">
        <v>14</v>
      </c>
      <c r="C1599" t="s">
        <v>23</v>
      </c>
      <c r="D1599" t="s">
        <v>11</v>
      </c>
      <c r="E1599" t="s">
        <v>12</v>
      </c>
      <c r="F1599">
        <v>42154300</v>
      </c>
      <c r="G1599">
        <v>42154348</v>
      </c>
      <c r="H1599">
        <v>42154395</v>
      </c>
      <c r="I1599">
        <v>42154413</v>
      </c>
    </row>
    <row r="1600" spans="1:9" x14ac:dyDescent="0.2">
      <c r="A1600" s="1" t="str">
        <f>"BEND5"</f>
        <v>BEND5</v>
      </c>
      <c r="B1600" t="s">
        <v>14</v>
      </c>
      <c r="C1600" t="s">
        <v>19</v>
      </c>
      <c r="D1600" t="s">
        <v>11</v>
      </c>
      <c r="E1600" t="s">
        <v>12</v>
      </c>
      <c r="F1600">
        <v>49242393</v>
      </c>
      <c r="G1600">
        <v>49242451</v>
      </c>
      <c r="H1600">
        <v>49242483</v>
      </c>
      <c r="I1600">
        <v>49242521</v>
      </c>
    </row>
    <row r="1601" spans="1:9" x14ac:dyDescent="0.2">
      <c r="A1601" s="1" t="str">
        <f>"BEND6"</f>
        <v>BEND6</v>
      </c>
      <c r="B1601" t="s">
        <v>14</v>
      </c>
      <c r="C1601" t="s">
        <v>32</v>
      </c>
      <c r="D1601" t="s">
        <v>17</v>
      </c>
      <c r="E1601" t="s">
        <v>12</v>
      </c>
      <c r="F1601">
        <v>56819895</v>
      </c>
      <c r="G1601">
        <v>56819957</v>
      </c>
      <c r="H1601">
        <v>56819742</v>
      </c>
      <c r="I1601">
        <v>56819772</v>
      </c>
    </row>
    <row r="1602" spans="1:9" x14ac:dyDescent="0.2">
      <c r="A1602" s="1" t="str">
        <f>"BEND7"</f>
        <v>BEND7</v>
      </c>
      <c r="B1602" t="s">
        <v>14</v>
      </c>
      <c r="C1602" t="s">
        <v>15</v>
      </c>
      <c r="D1602" t="s">
        <v>11</v>
      </c>
      <c r="E1602" t="s">
        <v>12</v>
      </c>
      <c r="F1602">
        <v>13570971</v>
      </c>
      <c r="G1602">
        <v>13571042</v>
      </c>
      <c r="H1602">
        <v>13570942</v>
      </c>
      <c r="I1602">
        <v>13570970</v>
      </c>
    </row>
    <row r="1603" spans="1:9" x14ac:dyDescent="0.2">
      <c r="A1603" s="1" t="str">
        <f>"BEST1"</f>
        <v>BEST1</v>
      </c>
      <c r="B1603" t="s">
        <v>9</v>
      </c>
      <c r="C1603" t="s">
        <v>27</v>
      </c>
      <c r="D1603" t="s">
        <v>17</v>
      </c>
      <c r="E1603" t="s">
        <v>12</v>
      </c>
      <c r="F1603">
        <v>61717816</v>
      </c>
      <c r="G1603">
        <v>61717838</v>
      </c>
      <c r="H1603">
        <v>61717816</v>
      </c>
      <c r="I1603">
        <v>61717838</v>
      </c>
    </row>
    <row r="1604" spans="1:9" x14ac:dyDescent="0.2">
      <c r="A1604" s="1" t="str">
        <f>"BEST1"</f>
        <v>BEST1</v>
      </c>
      <c r="B1604" t="s">
        <v>13</v>
      </c>
      <c r="C1604" t="s">
        <v>27</v>
      </c>
      <c r="D1604" t="s">
        <v>17</v>
      </c>
      <c r="E1604" t="s">
        <v>12</v>
      </c>
      <c r="F1604">
        <v>61722670</v>
      </c>
      <c r="G1604">
        <v>61722712</v>
      </c>
      <c r="H1604">
        <v>61722670</v>
      </c>
      <c r="I1604">
        <v>61722712</v>
      </c>
    </row>
    <row r="1605" spans="1:9" x14ac:dyDescent="0.2">
      <c r="A1605" s="1" t="str">
        <f>"BEST2"</f>
        <v>BEST2</v>
      </c>
      <c r="B1605" t="s">
        <v>14</v>
      </c>
      <c r="C1605" t="s">
        <v>10</v>
      </c>
      <c r="D1605" t="s">
        <v>17</v>
      </c>
      <c r="E1605" t="s">
        <v>12</v>
      </c>
      <c r="F1605">
        <v>12862604</v>
      </c>
      <c r="G1605">
        <v>12862625</v>
      </c>
      <c r="H1605">
        <v>12862486</v>
      </c>
      <c r="I1605">
        <v>12862519</v>
      </c>
    </row>
    <row r="1606" spans="1:9" x14ac:dyDescent="0.2">
      <c r="A1606" s="1" t="str">
        <f>"BEST3"</f>
        <v>BEST3</v>
      </c>
      <c r="B1606" t="s">
        <v>14</v>
      </c>
      <c r="C1606" t="s">
        <v>16</v>
      </c>
      <c r="D1606" t="s">
        <v>11</v>
      </c>
      <c r="E1606" t="s">
        <v>12</v>
      </c>
      <c r="F1606">
        <v>70093076</v>
      </c>
      <c r="G1606">
        <v>70093090</v>
      </c>
      <c r="H1606">
        <v>70093111</v>
      </c>
      <c r="I1606">
        <v>70093156</v>
      </c>
    </row>
    <row r="1607" spans="1:9" x14ac:dyDescent="0.2">
      <c r="A1607" s="1" t="str">
        <f>"BEST4"</f>
        <v>BEST4</v>
      </c>
      <c r="B1607" t="s">
        <v>14</v>
      </c>
      <c r="C1607" t="s">
        <v>19</v>
      </c>
      <c r="D1607" t="s">
        <v>11</v>
      </c>
      <c r="E1607" t="s">
        <v>12</v>
      </c>
      <c r="F1607">
        <v>45253840</v>
      </c>
      <c r="G1607">
        <v>45253843</v>
      </c>
      <c r="H1607">
        <v>45253840</v>
      </c>
      <c r="I1607">
        <v>45253843</v>
      </c>
    </row>
    <row r="1608" spans="1:9" x14ac:dyDescent="0.2">
      <c r="A1608" s="1" t="str">
        <f>"BET1"</f>
        <v>BET1</v>
      </c>
      <c r="B1608" t="s">
        <v>14</v>
      </c>
      <c r="C1608" t="s">
        <v>33</v>
      </c>
      <c r="D1608" t="s">
        <v>11</v>
      </c>
      <c r="E1608" t="s">
        <v>12</v>
      </c>
      <c r="F1608">
        <v>93633658</v>
      </c>
      <c r="G1608">
        <v>93633680</v>
      </c>
      <c r="H1608">
        <v>93633628</v>
      </c>
      <c r="I1608">
        <v>93633649</v>
      </c>
    </row>
    <row r="1609" spans="1:9" x14ac:dyDescent="0.2">
      <c r="A1609" s="1" t="str">
        <f>"BET1L"</f>
        <v>BET1L</v>
      </c>
      <c r="B1609" t="s">
        <v>14</v>
      </c>
      <c r="C1609" t="s">
        <v>27</v>
      </c>
      <c r="D1609" t="s">
        <v>11</v>
      </c>
      <c r="E1609" t="s">
        <v>12</v>
      </c>
      <c r="F1609">
        <v>207342</v>
      </c>
      <c r="G1609">
        <v>207414</v>
      </c>
      <c r="H1609">
        <v>207342</v>
      </c>
      <c r="I1609">
        <v>207414</v>
      </c>
    </row>
    <row r="1610" spans="1:9" x14ac:dyDescent="0.2">
      <c r="A1610" s="1" t="str">
        <f>"BEX1"</f>
        <v>BEX1</v>
      </c>
      <c r="B1610" t="s">
        <v>14</v>
      </c>
      <c r="C1610" t="s">
        <v>37</v>
      </c>
      <c r="D1610" t="s">
        <v>11</v>
      </c>
      <c r="E1610" t="s">
        <v>12</v>
      </c>
      <c r="F1610">
        <v>102319092</v>
      </c>
      <c r="G1610">
        <v>102319107</v>
      </c>
      <c r="H1610">
        <v>102318624</v>
      </c>
      <c r="I1610">
        <v>102318646</v>
      </c>
    </row>
    <row r="1611" spans="1:9" x14ac:dyDescent="0.2">
      <c r="A1611" s="1" t="str">
        <f>"BEX2"</f>
        <v>BEX2</v>
      </c>
      <c r="B1611" t="s">
        <v>14</v>
      </c>
      <c r="C1611" t="s">
        <v>37</v>
      </c>
      <c r="D1611" t="s">
        <v>11</v>
      </c>
      <c r="E1611" t="s">
        <v>12</v>
      </c>
      <c r="F1611">
        <v>102565858</v>
      </c>
      <c r="G1611">
        <v>102565929</v>
      </c>
      <c r="H1611">
        <v>102565932</v>
      </c>
      <c r="I1611">
        <v>102565943</v>
      </c>
    </row>
    <row r="1612" spans="1:9" x14ac:dyDescent="0.2">
      <c r="A1612" s="1" t="str">
        <f>"BEX4"</f>
        <v>BEX4</v>
      </c>
      <c r="B1612" t="s">
        <v>14</v>
      </c>
      <c r="C1612" t="s">
        <v>37</v>
      </c>
      <c r="D1612" t="s">
        <v>17</v>
      </c>
      <c r="E1612" t="s">
        <v>12</v>
      </c>
      <c r="F1612">
        <v>102469997</v>
      </c>
      <c r="G1612">
        <v>102470094</v>
      </c>
      <c r="H1612">
        <v>102469997</v>
      </c>
      <c r="I1612">
        <v>102470094</v>
      </c>
    </row>
    <row r="1613" spans="1:9" x14ac:dyDescent="0.2">
      <c r="A1613" s="1" t="str">
        <f>"BEX5"</f>
        <v>BEX5</v>
      </c>
      <c r="B1613" t="s">
        <v>14</v>
      </c>
      <c r="C1613" t="s">
        <v>37</v>
      </c>
      <c r="D1613" t="s">
        <v>11</v>
      </c>
      <c r="E1613" t="s">
        <v>12</v>
      </c>
      <c r="F1613">
        <v>101410900</v>
      </c>
      <c r="G1613">
        <v>101410964</v>
      </c>
      <c r="H1613">
        <v>101410735</v>
      </c>
      <c r="I1613">
        <v>101410748</v>
      </c>
    </row>
    <row r="1614" spans="1:9" x14ac:dyDescent="0.2">
      <c r="A1614" s="1" t="str">
        <f>"BFAR"</f>
        <v>BFAR</v>
      </c>
      <c r="B1614" t="s">
        <v>14</v>
      </c>
      <c r="C1614" t="s">
        <v>31</v>
      </c>
      <c r="D1614" t="s">
        <v>17</v>
      </c>
      <c r="E1614" t="s">
        <v>12</v>
      </c>
      <c r="F1614">
        <v>14726763</v>
      </c>
      <c r="G1614">
        <v>14726819</v>
      </c>
      <c r="H1614">
        <v>14726827</v>
      </c>
      <c r="I1614">
        <v>14726838</v>
      </c>
    </row>
    <row r="1615" spans="1:9" x14ac:dyDescent="0.2">
      <c r="A1615" s="1" t="str">
        <f>"BFSP1"</f>
        <v>BFSP1</v>
      </c>
      <c r="B1615" t="s">
        <v>9</v>
      </c>
      <c r="C1615" t="s">
        <v>29</v>
      </c>
      <c r="D1615" t="s">
        <v>11</v>
      </c>
      <c r="E1615" t="s">
        <v>12</v>
      </c>
      <c r="F1615">
        <v>17539456</v>
      </c>
      <c r="G1615">
        <v>17539488</v>
      </c>
      <c r="H1615">
        <v>17539456</v>
      </c>
      <c r="I1615">
        <v>17539488</v>
      </c>
    </row>
    <row r="1616" spans="1:9" x14ac:dyDescent="0.2">
      <c r="A1616" s="1" t="str">
        <f>"BFSP1"</f>
        <v>BFSP1</v>
      </c>
      <c r="B1616" t="s">
        <v>13</v>
      </c>
      <c r="C1616" t="s">
        <v>29</v>
      </c>
      <c r="D1616" t="s">
        <v>11</v>
      </c>
      <c r="E1616" t="s">
        <v>12</v>
      </c>
      <c r="F1616">
        <v>17511962</v>
      </c>
      <c r="G1616">
        <v>17512033</v>
      </c>
      <c r="H1616">
        <v>17511962</v>
      </c>
      <c r="I1616">
        <v>17512033</v>
      </c>
    </row>
    <row r="1617" spans="1:9" x14ac:dyDescent="0.2">
      <c r="A1617" s="1" t="str">
        <f>"BFSP2"</f>
        <v>BFSP2</v>
      </c>
      <c r="B1617" t="s">
        <v>14</v>
      </c>
      <c r="C1617" t="s">
        <v>22</v>
      </c>
      <c r="D1617" t="s">
        <v>17</v>
      </c>
      <c r="E1617" t="s">
        <v>12</v>
      </c>
      <c r="F1617">
        <v>133118890</v>
      </c>
      <c r="G1617">
        <v>133118925</v>
      </c>
      <c r="H1617">
        <v>133118890</v>
      </c>
      <c r="I1617">
        <v>133118925</v>
      </c>
    </row>
    <row r="1618" spans="1:9" x14ac:dyDescent="0.2">
      <c r="A1618" s="1" t="str">
        <f>"BGLAP"</f>
        <v>BGLAP</v>
      </c>
      <c r="B1618" t="s">
        <v>14</v>
      </c>
      <c r="C1618" t="s">
        <v>19</v>
      </c>
      <c r="D1618" t="s">
        <v>17</v>
      </c>
      <c r="E1618" t="s">
        <v>12</v>
      </c>
      <c r="F1618">
        <v>156182778</v>
      </c>
      <c r="G1618">
        <v>156182804</v>
      </c>
      <c r="H1618">
        <v>156182778</v>
      </c>
      <c r="I1618">
        <v>156182804</v>
      </c>
    </row>
    <row r="1619" spans="1:9" x14ac:dyDescent="0.2">
      <c r="A1619" s="1" t="str">
        <f>"BGN"</f>
        <v>BGN</v>
      </c>
      <c r="B1619" t="s">
        <v>14</v>
      </c>
      <c r="C1619" t="s">
        <v>37</v>
      </c>
      <c r="D1619" t="s">
        <v>17</v>
      </c>
      <c r="E1619" t="s">
        <v>12</v>
      </c>
      <c r="F1619">
        <v>152760428</v>
      </c>
      <c r="G1619">
        <v>152760447</v>
      </c>
      <c r="H1619">
        <v>152760428</v>
      </c>
      <c r="I1619">
        <v>152760447</v>
      </c>
    </row>
    <row r="1620" spans="1:9" x14ac:dyDescent="0.2">
      <c r="A1620" s="1" t="str">
        <f>"BHLHA15"</f>
        <v>BHLHA15</v>
      </c>
      <c r="B1620" t="s">
        <v>14</v>
      </c>
      <c r="C1620" t="s">
        <v>33</v>
      </c>
      <c r="D1620" t="s">
        <v>17</v>
      </c>
      <c r="E1620" t="s">
        <v>12</v>
      </c>
      <c r="F1620">
        <v>97840743</v>
      </c>
      <c r="G1620">
        <v>97840786</v>
      </c>
      <c r="H1620">
        <v>97840714</v>
      </c>
      <c r="I1620">
        <v>97840720</v>
      </c>
    </row>
    <row r="1621" spans="1:9" x14ac:dyDescent="0.2">
      <c r="A1621" s="1" t="str">
        <f>"BHLHA9"</f>
        <v>BHLHA9</v>
      </c>
      <c r="B1621" t="s">
        <v>14</v>
      </c>
      <c r="C1621" t="s">
        <v>28</v>
      </c>
      <c r="D1621" t="s">
        <v>17</v>
      </c>
      <c r="E1621" t="s">
        <v>12</v>
      </c>
      <c r="F1621">
        <v>1173737</v>
      </c>
      <c r="G1621">
        <v>1173741</v>
      </c>
      <c r="H1621">
        <v>1173674</v>
      </c>
      <c r="I1621">
        <v>1173675</v>
      </c>
    </row>
    <row r="1622" spans="1:9" x14ac:dyDescent="0.2">
      <c r="A1622" s="1" t="str">
        <f>"BHLHB9"</f>
        <v>BHLHB9</v>
      </c>
      <c r="B1622" t="s">
        <v>14</v>
      </c>
      <c r="C1622" t="s">
        <v>37</v>
      </c>
      <c r="D1622" t="s">
        <v>17</v>
      </c>
      <c r="E1622" t="s">
        <v>12</v>
      </c>
      <c r="F1622">
        <v>101975643</v>
      </c>
      <c r="G1622">
        <v>101975683</v>
      </c>
      <c r="H1622">
        <v>101975619</v>
      </c>
      <c r="I1622">
        <v>101975641</v>
      </c>
    </row>
    <row r="1623" spans="1:9" x14ac:dyDescent="0.2">
      <c r="A1623" s="1" t="str">
        <f>"BHLHE22"</f>
        <v>BHLHE22</v>
      </c>
      <c r="B1623" t="s">
        <v>14</v>
      </c>
      <c r="C1623" t="s">
        <v>30</v>
      </c>
      <c r="D1623" t="s">
        <v>17</v>
      </c>
      <c r="E1623" t="s">
        <v>12</v>
      </c>
      <c r="F1623">
        <v>65492915</v>
      </c>
      <c r="G1623">
        <v>65492932</v>
      </c>
      <c r="H1623">
        <v>65492756</v>
      </c>
      <c r="I1623">
        <v>65492768</v>
      </c>
    </row>
    <row r="1624" spans="1:9" x14ac:dyDescent="0.2">
      <c r="A1624" s="1" t="str">
        <f>"BHLHE23"</f>
        <v>BHLHE23</v>
      </c>
      <c r="B1624" t="s">
        <v>14</v>
      </c>
      <c r="C1624" t="s">
        <v>29</v>
      </c>
      <c r="D1624" t="s">
        <v>11</v>
      </c>
      <c r="E1624" t="s">
        <v>12</v>
      </c>
      <c r="F1624">
        <v>61638313</v>
      </c>
      <c r="G1624">
        <v>61638318</v>
      </c>
      <c r="H1624">
        <v>61638195</v>
      </c>
      <c r="I1624">
        <v>61638202</v>
      </c>
    </row>
    <row r="1625" spans="1:9" x14ac:dyDescent="0.2">
      <c r="A1625" s="1" t="str">
        <f>"BHLHE40"</f>
        <v>BHLHE40</v>
      </c>
      <c r="B1625" t="s">
        <v>14</v>
      </c>
      <c r="C1625" t="s">
        <v>22</v>
      </c>
      <c r="D1625" t="s">
        <v>17</v>
      </c>
      <c r="E1625" t="s">
        <v>12</v>
      </c>
      <c r="F1625">
        <v>5021113</v>
      </c>
      <c r="G1625">
        <v>5021180</v>
      </c>
      <c r="H1625">
        <v>5020939</v>
      </c>
      <c r="I1625">
        <v>5020952</v>
      </c>
    </row>
    <row r="1626" spans="1:9" x14ac:dyDescent="0.2">
      <c r="A1626" s="1" t="str">
        <f>"BHLHE41"</f>
        <v>BHLHE41</v>
      </c>
      <c r="B1626" t="s">
        <v>14</v>
      </c>
      <c r="C1626" t="s">
        <v>16</v>
      </c>
      <c r="D1626" t="s">
        <v>11</v>
      </c>
      <c r="E1626" t="s">
        <v>12</v>
      </c>
      <c r="F1626">
        <v>26277956</v>
      </c>
      <c r="G1626">
        <v>26277980</v>
      </c>
      <c r="H1626">
        <v>26277817</v>
      </c>
      <c r="I1626">
        <v>26277863</v>
      </c>
    </row>
    <row r="1627" spans="1:9" x14ac:dyDescent="0.2">
      <c r="A1627" s="1" t="str">
        <f>"BHMT"</f>
        <v>BHMT</v>
      </c>
      <c r="B1627" t="s">
        <v>14</v>
      </c>
      <c r="C1627" t="s">
        <v>46</v>
      </c>
      <c r="D1627" t="s">
        <v>17</v>
      </c>
      <c r="E1627" t="s">
        <v>12</v>
      </c>
      <c r="F1627">
        <v>78407625</v>
      </c>
      <c r="G1627">
        <v>78407639</v>
      </c>
      <c r="H1627">
        <v>78407625</v>
      </c>
      <c r="I1627">
        <v>78407639</v>
      </c>
    </row>
    <row r="1628" spans="1:9" x14ac:dyDescent="0.2">
      <c r="A1628" s="1" t="str">
        <f>"BHMT2"</f>
        <v>BHMT2</v>
      </c>
      <c r="B1628" t="s">
        <v>14</v>
      </c>
      <c r="C1628" t="s">
        <v>46</v>
      </c>
      <c r="D1628" t="s">
        <v>17</v>
      </c>
      <c r="E1628" t="s">
        <v>12</v>
      </c>
      <c r="F1628">
        <v>78365577</v>
      </c>
      <c r="G1628">
        <v>78365599</v>
      </c>
      <c r="H1628">
        <v>78365545</v>
      </c>
      <c r="I1628">
        <v>78365572</v>
      </c>
    </row>
    <row r="1629" spans="1:9" x14ac:dyDescent="0.2">
      <c r="A1629" s="1" t="str">
        <f>"BICC1"</f>
        <v>BICC1</v>
      </c>
      <c r="B1629" t="s">
        <v>14</v>
      </c>
      <c r="C1629" t="s">
        <v>15</v>
      </c>
      <c r="D1629" t="s">
        <v>17</v>
      </c>
      <c r="E1629" t="s">
        <v>12</v>
      </c>
      <c r="F1629">
        <v>60272624</v>
      </c>
      <c r="G1629">
        <v>60272640</v>
      </c>
      <c r="H1629">
        <v>60272814</v>
      </c>
      <c r="I1629">
        <v>60272831</v>
      </c>
    </row>
    <row r="1630" spans="1:9" x14ac:dyDescent="0.2">
      <c r="A1630" s="1" t="str">
        <f>"BICD1"</f>
        <v>BICD1</v>
      </c>
      <c r="B1630" t="s">
        <v>14</v>
      </c>
      <c r="C1630" t="s">
        <v>16</v>
      </c>
      <c r="D1630" t="s">
        <v>17</v>
      </c>
      <c r="E1630" t="s">
        <v>12</v>
      </c>
      <c r="F1630">
        <v>32259696</v>
      </c>
      <c r="G1630">
        <v>32259794</v>
      </c>
      <c r="H1630">
        <v>32259802</v>
      </c>
      <c r="I1630">
        <v>32259816</v>
      </c>
    </row>
    <row r="1631" spans="1:9" x14ac:dyDescent="0.2">
      <c r="A1631" s="1" t="str">
        <f>"BICD2"</f>
        <v>BICD2</v>
      </c>
      <c r="B1631" t="s">
        <v>14</v>
      </c>
      <c r="C1631" t="s">
        <v>24</v>
      </c>
      <c r="D1631" t="s">
        <v>11</v>
      </c>
      <c r="E1631" t="s">
        <v>12</v>
      </c>
      <c r="F1631">
        <v>95527079</v>
      </c>
      <c r="G1631">
        <v>95527148</v>
      </c>
      <c r="H1631">
        <v>95527150</v>
      </c>
      <c r="I1631">
        <v>95527166</v>
      </c>
    </row>
    <row r="1632" spans="1:9" x14ac:dyDescent="0.2">
      <c r="A1632" s="1" t="str">
        <f>"BID"</f>
        <v>BID</v>
      </c>
      <c r="B1632" t="s">
        <v>14</v>
      </c>
      <c r="C1632" t="s">
        <v>21</v>
      </c>
      <c r="D1632" t="s">
        <v>11</v>
      </c>
      <c r="E1632" t="s">
        <v>12</v>
      </c>
      <c r="F1632">
        <v>18257196</v>
      </c>
      <c r="G1632">
        <v>18257242</v>
      </c>
      <c r="H1632">
        <v>18257249</v>
      </c>
      <c r="I1632">
        <v>18257266</v>
      </c>
    </row>
    <row r="1633" spans="1:9" x14ac:dyDescent="0.2">
      <c r="A1633" s="1" t="str">
        <f>"BIK"</f>
        <v>BIK</v>
      </c>
      <c r="B1633" t="s">
        <v>14</v>
      </c>
      <c r="C1633" t="s">
        <v>21</v>
      </c>
      <c r="D1633" t="s">
        <v>17</v>
      </c>
      <c r="E1633" t="s">
        <v>12</v>
      </c>
      <c r="F1633">
        <v>43506747</v>
      </c>
      <c r="G1633">
        <v>43506762</v>
      </c>
      <c r="H1633">
        <v>43506566</v>
      </c>
      <c r="I1633">
        <v>43506571</v>
      </c>
    </row>
    <row r="1634" spans="1:9" x14ac:dyDescent="0.2">
      <c r="A1634" s="1" t="str">
        <f>"BIN1"</f>
        <v>BIN1</v>
      </c>
      <c r="B1634" t="s">
        <v>14</v>
      </c>
      <c r="C1634" t="s">
        <v>26</v>
      </c>
      <c r="D1634" t="s">
        <v>11</v>
      </c>
      <c r="E1634" t="s">
        <v>12</v>
      </c>
      <c r="F1634">
        <v>127864608</v>
      </c>
      <c r="G1634">
        <v>127864688</v>
      </c>
      <c r="H1634">
        <v>127864839</v>
      </c>
      <c r="I1634">
        <v>127864888</v>
      </c>
    </row>
    <row r="1635" spans="1:9" x14ac:dyDescent="0.2">
      <c r="A1635" s="1" t="str">
        <f>"BIN2"</f>
        <v>BIN2</v>
      </c>
      <c r="B1635" t="s">
        <v>14</v>
      </c>
      <c r="C1635" t="s">
        <v>16</v>
      </c>
      <c r="D1635" t="s">
        <v>11</v>
      </c>
      <c r="E1635" t="s">
        <v>12</v>
      </c>
      <c r="F1635">
        <v>51717875</v>
      </c>
      <c r="G1635">
        <v>51717920</v>
      </c>
      <c r="H1635">
        <v>51717922</v>
      </c>
      <c r="I1635">
        <v>51717943</v>
      </c>
    </row>
    <row r="1636" spans="1:9" x14ac:dyDescent="0.2">
      <c r="A1636" s="1" t="str">
        <f>"BIN3"</f>
        <v>BIN3</v>
      </c>
      <c r="B1636" t="s">
        <v>14</v>
      </c>
      <c r="C1636" t="s">
        <v>30</v>
      </c>
      <c r="D1636" t="s">
        <v>11</v>
      </c>
      <c r="E1636" t="s">
        <v>12</v>
      </c>
      <c r="F1636">
        <v>22526597</v>
      </c>
      <c r="G1636">
        <v>22526657</v>
      </c>
      <c r="H1636">
        <v>22526576</v>
      </c>
      <c r="I1636">
        <v>22526590</v>
      </c>
    </row>
    <row r="1637" spans="1:9" x14ac:dyDescent="0.2">
      <c r="A1637" s="1" t="str">
        <f>"BIRC2"</f>
        <v>BIRC2</v>
      </c>
      <c r="B1637" t="s">
        <v>14</v>
      </c>
      <c r="C1637" t="s">
        <v>27</v>
      </c>
      <c r="D1637" t="s">
        <v>17</v>
      </c>
      <c r="E1637" t="s">
        <v>12</v>
      </c>
      <c r="F1637">
        <v>102217936</v>
      </c>
      <c r="G1637">
        <v>102218035</v>
      </c>
      <c r="H1637">
        <v>102217936</v>
      </c>
      <c r="I1637">
        <v>102218035</v>
      </c>
    </row>
    <row r="1638" spans="1:9" x14ac:dyDescent="0.2">
      <c r="A1638" s="1" t="str">
        <f>"BIRC3"</f>
        <v>BIRC3</v>
      </c>
      <c r="B1638" t="s">
        <v>14</v>
      </c>
      <c r="C1638" t="s">
        <v>27</v>
      </c>
      <c r="D1638" t="s">
        <v>17</v>
      </c>
      <c r="E1638" t="s">
        <v>12</v>
      </c>
      <c r="F1638">
        <v>102188181</v>
      </c>
      <c r="G1638">
        <v>102188222</v>
      </c>
      <c r="H1638">
        <v>102188241</v>
      </c>
      <c r="I1638">
        <v>102188255</v>
      </c>
    </row>
    <row r="1639" spans="1:9" x14ac:dyDescent="0.2">
      <c r="A1639" s="1" t="str">
        <f>"BIRC5"</f>
        <v>BIRC5</v>
      </c>
      <c r="B1639" t="s">
        <v>14</v>
      </c>
      <c r="C1639" t="s">
        <v>28</v>
      </c>
      <c r="D1639" t="s">
        <v>17</v>
      </c>
      <c r="E1639" t="s">
        <v>12</v>
      </c>
      <c r="F1639">
        <v>76210318</v>
      </c>
      <c r="G1639">
        <v>76210366</v>
      </c>
      <c r="H1639">
        <v>76210367</v>
      </c>
      <c r="I1639">
        <v>76210385</v>
      </c>
    </row>
    <row r="1640" spans="1:9" x14ac:dyDescent="0.2">
      <c r="A1640" s="1" t="str">
        <f>"BIRC6"</f>
        <v>BIRC6</v>
      </c>
      <c r="B1640" t="s">
        <v>14</v>
      </c>
      <c r="C1640" t="s">
        <v>26</v>
      </c>
      <c r="D1640" t="s">
        <v>17</v>
      </c>
      <c r="E1640" t="s">
        <v>12</v>
      </c>
      <c r="F1640">
        <v>32582184</v>
      </c>
      <c r="G1640">
        <v>32582301</v>
      </c>
      <c r="H1640">
        <v>32582086</v>
      </c>
      <c r="I1640">
        <v>32582106</v>
      </c>
    </row>
    <row r="1641" spans="1:9" x14ac:dyDescent="0.2">
      <c r="A1641" s="1" t="str">
        <f>"BIRC7"</f>
        <v>BIRC7</v>
      </c>
      <c r="B1641" t="s">
        <v>14</v>
      </c>
      <c r="C1641" t="s">
        <v>29</v>
      </c>
      <c r="D1641" t="s">
        <v>17</v>
      </c>
      <c r="E1641" t="s">
        <v>12</v>
      </c>
      <c r="F1641">
        <v>61867250</v>
      </c>
      <c r="G1641">
        <v>61867301</v>
      </c>
      <c r="H1641">
        <v>61867235</v>
      </c>
      <c r="I1641">
        <v>61867246</v>
      </c>
    </row>
    <row r="1642" spans="1:9" x14ac:dyDescent="0.2">
      <c r="A1642" s="1" t="str">
        <f>"BIRC8"</f>
        <v>BIRC8</v>
      </c>
      <c r="B1642" t="s">
        <v>14</v>
      </c>
      <c r="C1642" t="s">
        <v>10</v>
      </c>
      <c r="D1642" t="s">
        <v>11</v>
      </c>
      <c r="E1642" t="s">
        <v>12</v>
      </c>
      <c r="F1642">
        <v>53794675</v>
      </c>
      <c r="G1642">
        <v>53794692</v>
      </c>
      <c r="H1642">
        <v>53794675</v>
      </c>
      <c r="I1642">
        <v>53794692</v>
      </c>
    </row>
    <row r="1643" spans="1:9" x14ac:dyDescent="0.2">
      <c r="A1643" s="1" t="str">
        <f>"BIVM"</f>
        <v>BIVM</v>
      </c>
      <c r="B1643" t="s">
        <v>9</v>
      </c>
      <c r="C1643" t="s">
        <v>39</v>
      </c>
      <c r="D1643" t="s">
        <v>17</v>
      </c>
      <c r="E1643" t="s">
        <v>12</v>
      </c>
      <c r="F1643">
        <v>103451454</v>
      </c>
      <c r="G1643">
        <v>103451539</v>
      </c>
      <c r="H1643">
        <v>103451454</v>
      </c>
      <c r="I1643">
        <v>103451539</v>
      </c>
    </row>
    <row r="1644" spans="1:9" x14ac:dyDescent="0.2">
      <c r="A1644" s="1" t="str">
        <f>"BIVM"</f>
        <v>BIVM</v>
      </c>
      <c r="B1644" t="s">
        <v>13</v>
      </c>
      <c r="C1644" t="s">
        <v>39</v>
      </c>
      <c r="D1644" t="s">
        <v>17</v>
      </c>
      <c r="E1644" t="s">
        <v>12</v>
      </c>
      <c r="F1644">
        <v>103452687</v>
      </c>
      <c r="G1644">
        <v>103452760</v>
      </c>
      <c r="H1644">
        <v>103452687</v>
      </c>
      <c r="I1644">
        <v>103452760</v>
      </c>
    </row>
    <row r="1645" spans="1:9" x14ac:dyDescent="0.2">
      <c r="A1645" s="1" t="str">
        <f>"BIVM-ERCC5"</f>
        <v>BIVM-ERCC5</v>
      </c>
      <c r="B1645" t="s">
        <v>112</v>
      </c>
      <c r="C1645" t="s">
        <v>39</v>
      </c>
      <c r="D1645" t="s">
        <v>17</v>
      </c>
      <c r="E1645" t="s">
        <v>20</v>
      </c>
      <c r="F1645">
        <v>103459703</v>
      </c>
      <c r="G1645">
        <v>103459703</v>
      </c>
      <c r="H1645">
        <v>103459703</v>
      </c>
      <c r="I1645">
        <v>103459703</v>
      </c>
    </row>
    <row r="1646" spans="1:9" x14ac:dyDescent="0.2">
      <c r="A1646" s="1" t="str">
        <f>"BLCAP"</f>
        <v>BLCAP</v>
      </c>
      <c r="B1646" t="s">
        <v>14</v>
      </c>
      <c r="C1646" t="s">
        <v>29</v>
      </c>
      <c r="D1646" t="s">
        <v>11</v>
      </c>
      <c r="E1646" t="s">
        <v>12</v>
      </c>
      <c r="F1646">
        <v>36156264</v>
      </c>
      <c r="G1646">
        <v>36156288</v>
      </c>
      <c r="H1646">
        <v>36156229</v>
      </c>
      <c r="I1646">
        <v>36156250</v>
      </c>
    </row>
    <row r="1647" spans="1:9" x14ac:dyDescent="0.2">
      <c r="A1647" s="1" t="str">
        <f>"BLID"</f>
        <v>BLID</v>
      </c>
      <c r="B1647" t="s">
        <v>113</v>
      </c>
      <c r="C1647" t="s">
        <v>27</v>
      </c>
      <c r="D1647" t="s">
        <v>11</v>
      </c>
      <c r="E1647" t="s">
        <v>20</v>
      </c>
      <c r="F1647">
        <v>121986922</v>
      </c>
      <c r="G1647">
        <v>121986922</v>
      </c>
      <c r="H1647">
        <v>121986922</v>
      </c>
      <c r="I1647">
        <v>121986922</v>
      </c>
    </row>
    <row r="1648" spans="1:9" x14ac:dyDescent="0.2">
      <c r="A1648" s="1" t="str">
        <f>"BLK"</f>
        <v>BLK</v>
      </c>
      <c r="B1648" t="s">
        <v>14</v>
      </c>
      <c r="C1648" t="s">
        <v>30</v>
      </c>
      <c r="D1648" t="s">
        <v>17</v>
      </c>
      <c r="E1648" t="s">
        <v>12</v>
      </c>
      <c r="F1648">
        <v>11351905</v>
      </c>
      <c r="G1648">
        <v>11351925</v>
      </c>
      <c r="H1648">
        <v>11351876</v>
      </c>
      <c r="I1648">
        <v>11351902</v>
      </c>
    </row>
    <row r="1649" spans="1:9" x14ac:dyDescent="0.2">
      <c r="A1649" s="1" t="str">
        <f>"BLM"</f>
        <v>BLM</v>
      </c>
      <c r="B1649" t="s">
        <v>14</v>
      </c>
      <c r="C1649" t="s">
        <v>25</v>
      </c>
      <c r="D1649" t="s">
        <v>17</v>
      </c>
      <c r="E1649" t="s">
        <v>12</v>
      </c>
      <c r="F1649">
        <v>91260552</v>
      </c>
      <c r="G1649">
        <v>91260644</v>
      </c>
      <c r="H1649">
        <v>91260552</v>
      </c>
      <c r="I1649">
        <v>91260644</v>
      </c>
    </row>
    <row r="1650" spans="1:9" x14ac:dyDescent="0.2">
      <c r="A1650" s="1" t="str">
        <f>"BLMH"</f>
        <v>BLMH</v>
      </c>
      <c r="B1650" t="s">
        <v>14</v>
      </c>
      <c r="C1650" t="s">
        <v>28</v>
      </c>
      <c r="D1650" t="s">
        <v>11</v>
      </c>
      <c r="E1650" t="s">
        <v>12</v>
      </c>
      <c r="F1650">
        <v>28618948</v>
      </c>
      <c r="G1650">
        <v>28619023</v>
      </c>
      <c r="H1650">
        <v>28618931</v>
      </c>
      <c r="I1650">
        <v>28618944</v>
      </c>
    </row>
    <row r="1651" spans="1:9" x14ac:dyDescent="0.2">
      <c r="A1651" s="1" t="str">
        <f>"BLNK"</f>
        <v>BLNK</v>
      </c>
      <c r="B1651" t="s">
        <v>14</v>
      </c>
      <c r="C1651" t="s">
        <v>15</v>
      </c>
      <c r="D1651" t="s">
        <v>11</v>
      </c>
      <c r="E1651" t="s">
        <v>12</v>
      </c>
      <c r="F1651">
        <v>98031265</v>
      </c>
      <c r="G1651">
        <v>98031306</v>
      </c>
      <c r="H1651">
        <v>98031310</v>
      </c>
      <c r="I1651">
        <v>98031338</v>
      </c>
    </row>
    <row r="1652" spans="1:9" x14ac:dyDescent="0.2">
      <c r="A1652" s="1" t="str">
        <f>"BLOC1S1"</f>
        <v>BLOC1S1</v>
      </c>
      <c r="B1652" t="s">
        <v>14</v>
      </c>
      <c r="C1652" t="s">
        <v>16</v>
      </c>
      <c r="D1652" t="s">
        <v>17</v>
      </c>
      <c r="E1652" t="s">
        <v>12</v>
      </c>
      <c r="F1652">
        <v>56109810</v>
      </c>
      <c r="G1652">
        <v>56109869</v>
      </c>
      <c r="H1652">
        <v>56109875</v>
      </c>
      <c r="I1652">
        <v>56109898</v>
      </c>
    </row>
    <row r="1653" spans="1:9" x14ac:dyDescent="0.2">
      <c r="A1653" s="1" t="str">
        <f>"BLOC1S2"</f>
        <v>BLOC1S2</v>
      </c>
      <c r="B1653" t="s">
        <v>14</v>
      </c>
      <c r="C1653" t="s">
        <v>15</v>
      </c>
      <c r="D1653" t="s">
        <v>11</v>
      </c>
      <c r="E1653" t="s">
        <v>12</v>
      </c>
      <c r="F1653">
        <v>102046417</v>
      </c>
      <c r="G1653">
        <v>102046465</v>
      </c>
      <c r="H1653">
        <v>102046098</v>
      </c>
      <c r="I1653">
        <v>102046122</v>
      </c>
    </row>
    <row r="1654" spans="1:9" x14ac:dyDescent="0.2">
      <c r="A1654" s="1" t="str">
        <f>"BLOC1S3"</f>
        <v>BLOC1S3</v>
      </c>
      <c r="B1654" t="s">
        <v>9</v>
      </c>
      <c r="C1654" t="s">
        <v>10</v>
      </c>
      <c r="D1654" t="s">
        <v>17</v>
      </c>
      <c r="E1654" t="s">
        <v>12</v>
      </c>
      <c r="F1654">
        <v>45681997</v>
      </c>
      <c r="G1654">
        <v>45682072</v>
      </c>
      <c r="H1654">
        <v>45681997</v>
      </c>
      <c r="I1654">
        <v>45682072</v>
      </c>
    </row>
    <row r="1655" spans="1:9" x14ac:dyDescent="0.2">
      <c r="A1655" s="1" t="str">
        <f>"BLOC1S3"</f>
        <v>BLOC1S3</v>
      </c>
      <c r="B1655" t="s">
        <v>13</v>
      </c>
      <c r="C1655" t="s">
        <v>10</v>
      </c>
      <c r="D1655" t="s">
        <v>17</v>
      </c>
      <c r="E1655" t="s">
        <v>12</v>
      </c>
      <c r="F1655">
        <v>45683516</v>
      </c>
      <c r="G1655">
        <v>45683521</v>
      </c>
      <c r="H1655">
        <v>45683516</v>
      </c>
      <c r="I1655">
        <v>45683521</v>
      </c>
    </row>
    <row r="1656" spans="1:9" x14ac:dyDescent="0.2">
      <c r="A1656" s="1" t="str">
        <f>"BLOC1S4"</f>
        <v>BLOC1S4</v>
      </c>
      <c r="B1656" t="s">
        <v>14</v>
      </c>
      <c r="C1656" t="s">
        <v>23</v>
      </c>
      <c r="D1656" t="s">
        <v>17</v>
      </c>
      <c r="E1656" t="s">
        <v>12</v>
      </c>
      <c r="F1656">
        <v>6717858</v>
      </c>
      <c r="G1656">
        <v>6717937</v>
      </c>
      <c r="H1656">
        <v>6717839</v>
      </c>
      <c r="I1656">
        <v>6717844</v>
      </c>
    </row>
    <row r="1657" spans="1:9" x14ac:dyDescent="0.2">
      <c r="A1657" s="1" t="str">
        <f>"BLOC1S5"</f>
        <v>BLOC1S5</v>
      </c>
      <c r="B1657" t="s">
        <v>14</v>
      </c>
      <c r="C1657" t="s">
        <v>32</v>
      </c>
      <c r="D1657" t="s">
        <v>11</v>
      </c>
      <c r="E1657" t="s">
        <v>12</v>
      </c>
      <c r="F1657">
        <v>8064567</v>
      </c>
      <c r="G1657">
        <v>8064652</v>
      </c>
      <c r="H1657">
        <v>8064567</v>
      </c>
      <c r="I1657">
        <v>8064652</v>
      </c>
    </row>
    <row r="1658" spans="1:9" x14ac:dyDescent="0.2">
      <c r="A1658" s="1" t="str">
        <f>"BLOC1S6"</f>
        <v>BLOC1S6</v>
      </c>
      <c r="B1658" t="s">
        <v>14</v>
      </c>
      <c r="C1658" t="s">
        <v>25</v>
      </c>
      <c r="D1658" t="s">
        <v>17</v>
      </c>
      <c r="E1658" t="s">
        <v>12</v>
      </c>
      <c r="F1658">
        <v>45879564</v>
      </c>
      <c r="G1658">
        <v>45879584</v>
      </c>
      <c r="H1658">
        <v>45879564</v>
      </c>
      <c r="I1658">
        <v>45879584</v>
      </c>
    </row>
    <row r="1659" spans="1:9" x14ac:dyDescent="0.2">
      <c r="A1659" s="1" t="str">
        <f>"BLVRA"</f>
        <v>BLVRA</v>
      </c>
      <c r="B1659" t="s">
        <v>9</v>
      </c>
      <c r="C1659" t="s">
        <v>33</v>
      </c>
      <c r="D1659" t="s">
        <v>17</v>
      </c>
      <c r="E1659" t="s">
        <v>12</v>
      </c>
      <c r="F1659">
        <v>43798270</v>
      </c>
      <c r="G1659">
        <v>43798316</v>
      </c>
      <c r="H1659">
        <v>43798270</v>
      </c>
      <c r="I1659">
        <v>43798316</v>
      </c>
    </row>
    <row r="1660" spans="1:9" x14ac:dyDescent="0.2">
      <c r="A1660" s="1" t="str">
        <f>"BLVRA"</f>
        <v>BLVRA</v>
      </c>
      <c r="B1660" t="s">
        <v>13</v>
      </c>
      <c r="C1660" t="s">
        <v>33</v>
      </c>
      <c r="D1660" t="s">
        <v>17</v>
      </c>
      <c r="E1660" t="s">
        <v>12</v>
      </c>
      <c r="F1660">
        <v>43803797</v>
      </c>
      <c r="G1660">
        <v>43803823</v>
      </c>
      <c r="H1660">
        <v>43803797</v>
      </c>
      <c r="I1660">
        <v>43803823</v>
      </c>
    </row>
    <row r="1661" spans="1:9" x14ac:dyDescent="0.2">
      <c r="A1661" s="1" t="str">
        <f>"BLVRB"</f>
        <v>BLVRB</v>
      </c>
      <c r="B1661" t="s">
        <v>14</v>
      </c>
      <c r="C1661" t="s">
        <v>10</v>
      </c>
      <c r="D1661" t="s">
        <v>11</v>
      </c>
      <c r="E1661" t="s">
        <v>12</v>
      </c>
      <c r="F1661">
        <v>40971643</v>
      </c>
      <c r="G1661">
        <v>40971664</v>
      </c>
      <c r="H1661">
        <v>40971667</v>
      </c>
      <c r="I1661">
        <v>40971722</v>
      </c>
    </row>
    <row r="1662" spans="1:9" x14ac:dyDescent="0.2">
      <c r="A1662" s="1" t="str">
        <f>"BLZF1"</f>
        <v>BLZF1</v>
      </c>
      <c r="B1662" t="s">
        <v>14</v>
      </c>
      <c r="C1662" t="s">
        <v>19</v>
      </c>
      <c r="D1662" t="s">
        <v>17</v>
      </c>
      <c r="E1662" t="s">
        <v>12</v>
      </c>
      <c r="F1662">
        <v>169337412</v>
      </c>
      <c r="G1662">
        <v>169337497</v>
      </c>
      <c r="H1662">
        <v>169337172</v>
      </c>
      <c r="I1662">
        <v>169337250</v>
      </c>
    </row>
    <row r="1663" spans="1:9" x14ac:dyDescent="0.2">
      <c r="A1663" s="1" t="str">
        <f>"BMF"</f>
        <v>BMF</v>
      </c>
      <c r="B1663" t="s">
        <v>14</v>
      </c>
      <c r="C1663" t="s">
        <v>25</v>
      </c>
      <c r="D1663" t="s">
        <v>11</v>
      </c>
      <c r="E1663" t="s">
        <v>12</v>
      </c>
      <c r="F1663">
        <v>40401062</v>
      </c>
      <c r="G1663">
        <v>40401092</v>
      </c>
      <c r="H1663">
        <v>40401104</v>
      </c>
      <c r="I1663">
        <v>40401118</v>
      </c>
    </row>
    <row r="1664" spans="1:9" x14ac:dyDescent="0.2">
      <c r="A1664" s="1" t="str">
        <f>"BMI1"</f>
        <v>BMI1</v>
      </c>
      <c r="B1664" t="s">
        <v>14</v>
      </c>
      <c r="C1664" t="s">
        <v>15</v>
      </c>
      <c r="D1664" t="s">
        <v>17</v>
      </c>
      <c r="E1664" t="s">
        <v>12</v>
      </c>
      <c r="F1664">
        <v>22609986</v>
      </c>
      <c r="G1664">
        <v>22610045</v>
      </c>
      <c r="H1664">
        <v>22610124</v>
      </c>
      <c r="I1664">
        <v>22610188</v>
      </c>
    </row>
    <row r="1665" spans="1:9" x14ac:dyDescent="0.2">
      <c r="A1665" s="1" t="str">
        <f>"BMP1"</f>
        <v>BMP1</v>
      </c>
      <c r="B1665" t="s">
        <v>14</v>
      </c>
      <c r="C1665" t="s">
        <v>30</v>
      </c>
      <c r="D1665" t="s">
        <v>17</v>
      </c>
      <c r="E1665" t="s">
        <v>12</v>
      </c>
      <c r="F1665">
        <v>22022871</v>
      </c>
      <c r="G1665">
        <v>22022923</v>
      </c>
      <c r="H1665">
        <v>22022699</v>
      </c>
      <c r="I1665">
        <v>22022730</v>
      </c>
    </row>
    <row r="1666" spans="1:9" x14ac:dyDescent="0.2">
      <c r="A1666" s="1" t="str">
        <f>"BMP10"</f>
        <v>BMP10</v>
      </c>
      <c r="B1666" t="s">
        <v>14</v>
      </c>
      <c r="C1666" t="s">
        <v>26</v>
      </c>
      <c r="D1666" t="s">
        <v>11</v>
      </c>
      <c r="E1666" t="s">
        <v>12</v>
      </c>
      <c r="F1666">
        <v>69098513</v>
      </c>
      <c r="G1666">
        <v>69098537</v>
      </c>
      <c r="H1666">
        <v>69098513</v>
      </c>
      <c r="I1666">
        <v>69098537</v>
      </c>
    </row>
    <row r="1667" spans="1:9" x14ac:dyDescent="0.2">
      <c r="A1667" s="1" t="str">
        <f>"BMP15"</f>
        <v>BMP15</v>
      </c>
      <c r="B1667" t="s">
        <v>114</v>
      </c>
      <c r="C1667" t="s">
        <v>37</v>
      </c>
      <c r="D1667" t="s">
        <v>17</v>
      </c>
      <c r="E1667" t="s">
        <v>20</v>
      </c>
      <c r="F1667">
        <v>50653783</v>
      </c>
      <c r="G1667">
        <v>50653783</v>
      </c>
      <c r="H1667">
        <v>50653783</v>
      </c>
      <c r="I1667">
        <v>50653783</v>
      </c>
    </row>
    <row r="1668" spans="1:9" x14ac:dyDescent="0.2">
      <c r="A1668" s="1" t="str">
        <f>"BMP2"</f>
        <v>BMP2</v>
      </c>
      <c r="B1668" t="s">
        <v>9</v>
      </c>
      <c r="C1668" t="s">
        <v>29</v>
      </c>
      <c r="D1668" t="s">
        <v>17</v>
      </c>
      <c r="E1668" t="s">
        <v>12</v>
      </c>
      <c r="F1668">
        <v>6748325</v>
      </c>
      <c r="G1668">
        <v>6748352</v>
      </c>
      <c r="H1668">
        <v>6748325</v>
      </c>
      <c r="I1668">
        <v>6748352</v>
      </c>
    </row>
    <row r="1669" spans="1:9" x14ac:dyDescent="0.2">
      <c r="A1669" s="1" t="str">
        <f>"BMP2"</f>
        <v>BMP2</v>
      </c>
      <c r="B1669" t="s">
        <v>13</v>
      </c>
      <c r="C1669" t="s">
        <v>29</v>
      </c>
      <c r="D1669" t="s">
        <v>17</v>
      </c>
      <c r="E1669" t="s">
        <v>12</v>
      </c>
      <c r="F1669">
        <v>6750734</v>
      </c>
      <c r="G1669">
        <v>6750779</v>
      </c>
      <c r="H1669">
        <v>6750734</v>
      </c>
      <c r="I1669">
        <v>6750779</v>
      </c>
    </row>
    <row r="1670" spans="1:9" x14ac:dyDescent="0.2">
      <c r="A1670" s="1" t="str">
        <f>"BMP2K"</f>
        <v>BMP2K</v>
      </c>
      <c r="B1670" t="s">
        <v>14</v>
      </c>
      <c r="C1670" t="s">
        <v>23</v>
      </c>
      <c r="D1670" t="s">
        <v>17</v>
      </c>
      <c r="E1670" t="s">
        <v>12</v>
      </c>
      <c r="F1670">
        <v>79697495</v>
      </c>
      <c r="G1670">
        <v>79697538</v>
      </c>
      <c r="H1670">
        <v>79697539</v>
      </c>
      <c r="I1670">
        <v>79697550</v>
      </c>
    </row>
    <row r="1671" spans="1:9" x14ac:dyDescent="0.2">
      <c r="A1671" s="1" t="str">
        <f>"BMP3"</f>
        <v>BMP3</v>
      </c>
      <c r="B1671" t="s">
        <v>14</v>
      </c>
      <c r="C1671" t="s">
        <v>23</v>
      </c>
      <c r="D1671" t="s">
        <v>17</v>
      </c>
      <c r="E1671" t="s">
        <v>12</v>
      </c>
      <c r="F1671">
        <v>81951908</v>
      </c>
      <c r="G1671">
        <v>81951935</v>
      </c>
      <c r="H1671">
        <v>81951957</v>
      </c>
      <c r="I1671">
        <v>81951988</v>
      </c>
    </row>
    <row r="1672" spans="1:9" x14ac:dyDescent="0.2">
      <c r="A1672" s="1" t="str">
        <f>"BMP4"</f>
        <v>BMP4</v>
      </c>
      <c r="B1672" t="s">
        <v>9</v>
      </c>
      <c r="C1672" t="s">
        <v>41</v>
      </c>
      <c r="D1672" t="s">
        <v>11</v>
      </c>
      <c r="E1672" t="s">
        <v>12</v>
      </c>
      <c r="F1672">
        <v>54423533</v>
      </c>
      <c r="G1672">
        <v>54423552</v>
      </c>
      <c r="H1672">
        <v>54423533</v>
      </c>
      <c r="I1672">
        <v>54423552</v>
      </c>
    </row>
    <row r="1673" spans="1:9" x14ac:dyDescent="0.2">
      <c r="A1673" s="1" t="str">
        <f>"BMP4"</f>
        <v>BMP4</v>
      </c>
      <c r="B1673" t="s">
        <v>13</v>
      </c>
      <c r="C1673" t="s">
        <v>41</v>
      </c>
      <c r="D1673" t="s">
        <v>11</v>
      </c>
      <c r="E1673" t="s">
        <v>12</v>
      </c>
      <c r="F1673">
        <v>54420100</v>
      </c>
      <c r="G1673">
        <v>54420120</v>
      </c>
      <c r="H1673">
        <v>54420100</v>
      </c>
      <c r="I1673">
        <v>54420120</v>
      </c>
    </row>
    <row r="1674" spans="1:9" x14ac:dyDescent="0.2">
      <c r="A1674" s="1" t="str">
        <f>"BMP5"</f>
        <v>BMP5</v>
      </c>
      <c r="B1674" t="s">
        <v>14</v>
      </c>
      <c r="C1674" t="s">
        <v>32</v>
      </c>
      <c r="D1674" t="s">
        <v>11</v>
      </c>
      <c r="E1674" t="s">
        <v>12</v>
      </c>
      <c r="F1674">
        <v>55740381</v>
      </c>
      <c r="G1674">
        <v>55740398</v>
      </c>
      <c r="H1674">
        <v>55740352</v>
      </c>
      <c r="I1674">
        <v>55740361</v>
      </c>
    </row>
    <row r="1675" spans="1:9" x14ac:dyDescent="0.2">
      <c r="A1675" s="1" t="str">
        <f>"BMP6"</f>
        <v>BMP6</v>
      </c>
      <c r="B1675" t="s">
        <v>14</v>
      </c>
      <c r="C1675" t="s">
        <v>32</v>
      </c>
      <c r="D1675" t="s">
        <v>17</v>
      </c>
      <c r="E1675" t="s">
        <v>12</v>
      </c>
      <c r="F1675">
        <v>7726323</v>
      </c>
      <c r="G1675">
        <v>7726348</v>
      </c>
      <c r="H1675">
        <v>7727066</v>
      </c>
      <c r="I1675">
        <v>7727114</v>
      </c>
    </row>
    <row r="1676" spans="1:9" x14ac:dyDescent="0.2">
      <c r="A1676" s="1" t="str">
        <f>"BMP7"</f>
        <v>BMP7</v>
      </c>
      <c r="B1676" t="s">
        <v>14</v>
      </c>
      <c r="C1676" t="s">
        <v>29</v>
      </c>
      <c r="D1676" t="s">
        <v>11</v>
      </c>
      <c r="E1676" t="s">
        <v>12</v>
      </c>
      <c r="F1676">
        <v>55841662</v>
      </c>
      <c r="G1676">
        <v>55841736</v>
      </c>
      <c r="H1676">
        <v>55841403</v>
      </c>
      <c r="I1676">
        <v>55841458</v>
      </c>
    </row>
    <row r="1677" spans="1:9" x14ac:dyDescent="0.2">
      <c r="A1677" s="1" t="str">
        <f>"BMP8A"</f>
        <v>BMP8A</v>
      </c>
      <c r="B1677" t="s">
        <v>14</v>
      </c>
      <c r="C1677" t="s">
        <v>19</v>
      </c>
      <c r="D1677" t="s">
        <v>17</v>
      </c>
      <c r="E1677" t="s">
        <v>12</v>
      </c>
      <c r="F1677">
        <v>39957292</v>
      </c>
      <c r="G1677">
        <v>39957334</v>
      </c>
      <c r="H1677">
        <v>39957464</v>
      </c>
      <c r="I1677">
        <v>39957480</v>
      </c>
    </row>
    <row r="1678" spans="1:9" x14ac:dyDescent="0.2">
      <c r="A1678" s="1" t="str">
        <f>"BMP8B"</f>
        <v>BMP8B</v>
      </c>
      <c r="B1678" t="s">
        <v>14</v>
      </c>
      <c r="C1678" t="s">
        <v>19</v>
      </c>
      <c r="D1678" t="s">
        <v>11</v>
      </c>
      <c r="E1678" t="s">
        <v>12</v>
      </c>
      <c r="F1678">
        <v>40254482</v>
      </c>
      <c r="G1678">
        <v>40254550</v>
      </c>
      <c r="H1678">
        <v>40254216</v>
      </c>
      <c r="I1678">
        <v>40254243</v>
      </c>
    </row>
    <row r="1679" spans="1:9" x14ac:dyDescent="0.2">
      <c r="A1679" s="1" t="str">
        <f>"BMPER"</f>
        <v>BMPER</v>
      </c>
      <c r="B1679" t="s">
        <v>14</v>
      </c>
      <c r="C1679" t="s">
        <v>33</v>
      </c>
      <c r="D1679" t="s">
        <v>17</v>
      </c>
      <c r="E1679" t="s">
        <v>12</v>
      </c>
      <c r="F1679">
        <v>33945132</v>
      </c>
      <c r="G1679">
        <v>33945160</v>
      </c>
      <c r="H1679">
        <v>33944655</v>
      </c>
      <c r="I1679">
        <v>33944706</v>
      </c>
    </row>
    <row r="1680" spans="1:9" x14ac:dyDescent="0.2">
      <c r="A1680" s="1" t="str">
        <f>"BMPR1A"</f>
        <v>BMPR1A</v>
      </c>
      <c r="B1680" t="s">
        <v>14</v>
      </c>
      <c r="C1680" t="s">
        <v>15</v>
      </c>
      <c r="D1680" t="s">
        <v>17</v>
      </c>
      <c r="E1680" t="s">
        <v>12</v>
      </c>
      <c r="F1680">
        <v>88516341</v>
      </c>
      <c r="G1680">
        <v>88516391</v>
      </c>
      <c r="H1680">
        <v>88516396</v>
      </c>
      <c r="I1680">
        <v>88516426</v>
      </c>
    </row>
    <row r="1681" spans="1:9" x14ac:dyDescent="0.2">
      <c r="A1681" s="1" t="str">
        <f>"BMPR1B"</f>
        <v>BMPR1B</v>
      </c>
      <c r="B1681" t="s">
        <v>14</v>
      </c>
      <c r="C1681" t="s">
        <v>23</v>
      </c>
      <c r="D1681" t="s">
        <v>17</v>
      </c>
      <c r="E1681" t="s">
        <v>12</v>
      </c>
      <c r="F1681">
        <v>95679072</v>
      </c>
      <c r="G1681">
        <v>95679125</v>
      </c>
      <c r="H1681">
        <v>95679072</v>
      </c>
      <c r="I1681">
        <v>95679125</v>
      </c>
    </row>
    <row r="1682" spans="1:9" x14ac:dyDescent="0.2">
      <c r="A1682" s="1" t="str">
        <f>"BMPR2"</f>
        <v>BMPR2</v>
      </c>
      <c r="B1682" t="s">
        <v>14</v>
      </c>
      <c r="C1682" t="s">
        <v>26</v>
      </c>
      <c r="D1682" t="s">
        <v>17</v>
      </c>
      <c r="E1682" t="s">
        <v>12</v>
      </c>
      <c r="F1682">
        <v>203241024</v>
      </c>
      <c r="G1682">
        <v>203241094</v>
      </c>
      <c r="H1682">
        <v>203240903</v>
      </c>
      <c r="I1682">
        <v>203240952</v>
      </c>
    </row>
    <row r="1683" spans="1:9" x14ac:dyDescent="0.2">
      <c r="A1683" s="1" t="str">
        <f>"BMS1"</f>
        <v>BMS1</v>
      </c>
      <c r="B1683" t="s">
        <v>14</v>
      </c>
      <c r="C1683" t="s">
        <v>15</v>
      </c>
      <c r="D1683" t="s">
        <v>17</v>
      </c>
      <c r="E1683" t="s">
        <v>12</v>
      </c>
      <c r="F1683">
        <v>43278217</v>
      </c>
      <c r="G1683">
        <v>43278262</v>
      </c>
      <c r="H1683">
        <v>43277919</v>
      </c>
      <c r="I1683">
        <v>43277933</v>
      </c>
    </row>
    <row r="1684" spans="1:9" x14ac:dyDescent="0.2">
      <c r="A1684" s="1" t="str">
        <f>"BMX"</f>
        <v>BMX</v>
      </c>
      <c r="B1684" t="s">
        <v>14</v>
      </c>
      <c r="C1684" t="s">
        <v>37</v>
      </c>
      <c r="D1684" t="s">
        <v>17</v>
      </c>
      <c r="E1684" t="s">
        <v>12</v>
      </c>
      <c r="F1684">
        <v>15518923</v>
      </c>
      <c r="G1684">
        <v>15518936</v>
      </c>
      <c r="H1684">
        <v>15518894</v>
      </c>
      <c r="I1684">
        <v>15518905</v>
      </c>
    </row>
    <row r="1685" spans="1:9" x14ac:dyDescent="0.2">
      <c r="A1685" s="1" t="str">
        <f>"BNC1"</f>
        <v>BNC1</v>
      </c>
      <c r="B1685" t="s">
        <v>14</v>
      </c>
      <c r="C1685" t="s">
        <v>25</v>
      </c>
      <c r="D1685" t="s">
        <v>11</v>
      </c>
      <c r="E1685" t="s">
        <v>12</v>
      </c>
      <c r="F1685">
        <v>83953397</v>
      </c>
      <c r="G1685">
        <v>83953425</v>
      </c>
      <c r="H1685">
        <v>83953373</v>
      </c>
      <c r="I1685">
        <v>83953386</v>
      </c>
    </row>
    <row r="1686" spans="1:9" x14ac:dyDescent="0.2">
      <c r="A1686" s="1" t="str">
        <f>"BNC2"</f>
        <v>BNC2</v>
      </c>
      <c r="B1686" t="s">
        <v>14</v>
      </c>
      <c r="C1686" t="s">
        <v>24</v>
      </c>
      <c r="D1686" t="s">
        <v>11</v>
      </c>
      <c r="E1686" t="s">
        <v>12</v>
      </c>
      <c r="F1686">
        <v>16870710</v>
      </c>
      <c r="G1686">
        <v>16870763</v>
      </c>
      <c r="H1686">
        <v>16870659</v>
      </c>
      <c r="I1686">
        <v>16870675</v>
      </c>
    </row>
    <row r="1687" spans="1:9" x14ac:dyDescent="0.2">
      <c r="A1687" s="1" t="str">
        <f>"BNIP1"</f>
        <v>BNIP1</v>
      </c>
      <c r="B1687" t="s">
        <v>14</v>
      </c>
      <c r="C1687" t="s">
        <v>46</v>
      </c>
      <c r="D1687" t="s">
        <v>17</v>
      </c>
      <c r="E1687" t="s">
        <v>12</v>
      </c>
      <c r="F1687">
        <v>172571516</v>
      </c>
      <c r="G1687">
        <v>172571551</v>
      </c>
      <c r="H1687">
        <v>172571516</v>
      </c>
      <c r="I1687">
        <v>172571551</v>
      </c>
    </row>
    <row r="1688" spans="1:9" x14ac:dyDescent="0.2">
      <c r="A1688" s="1" t="str">
        <f>"BNIP2"</f>
        <v>BNIP2</v>
      </c>
      <c r="B1688" t="s">
        <v>14</v>
      </c>
      <c r="C1688" t="s">
        <v>25</v>
      </c>
      <c r="D1688" t="s">
        <v>11</v>
      </c>
      <c r="E1688" t="s">
        <v>12</v>
      </c>
      <c r="F1688">
        <v>59981486</v>
      </c>
      <c r="G1688">
        <v>59981549</v>
      </c>
      <c r="H1688">
        <v>59981486</v>
      </c>
      <c r="I1688">
        <v>59981549</v>
      </c>
    </row>
    <row r="1689" spans="1:9" x14ac:dyDescent="0.2">
      <c r="A1689" s="1" t="str">
        <f>"BNIP3"</f>
        <v>BNIP3</v>
      </c>
      <c r="B1689" t="s">
        <v>14</v>
      </c>
      <c r="C1689" t="s">
        <v>15</v>
      </c>
      <c r="D1689" t="s">
        <v>11</v>
      </c>
      <c r="E1689" t="s">
        <v>12</v>
      </c>
      <c r="F1689">
        <v>133795416</v>
      </c>
      <c r="G1689">
        <v>133795436</v>
      </c>
      <c r="H1689">
        <v>133795452</v>
      </c>
      <c r="I1689">
        <v>133795495</v>
      </c>
    </row>
    <row r="1690" spans="1:9" x14ac:dyDescent="0.2">
      <c r="A1690" s="1" t="str">
        <f>"BNIP3L"</f>
        <v>BNIP3L</v>
      </c>
      <c r="B1690" t="s">
        <v>14</v>
      </c>
      <c r="C1690" t="s">
        <v>30</v>
      </c>
      <c r="D1690" t="s">
        <v>17</v>
      </c>
      <c r="E1690" t="s">
        <v>12</v>
      </c>
      <c r="F1690">
        <v>26240542</v>
      </c>
      <c r="G1690">
        <v>26240631</v>
      </c>
      <c r="H1690">
        <v>26240542</v>
      </c>
      <c r="I1690">
        <v>26240631</v>
      </c>
    </row>
    <row r="1691" spans="1:9" x14ac:dyDescent="0.2">
      <c r="A1691" s="1" t="str">
        <f>"BNIPL"</f>
        <v>BNIPL</v>
      </c>
      <c r="B1691" t="s">
        <v>14</v>
      </c>
      <c r="C1691" t="s">
        <v>19</v>
      </c>
      <c r="D1691" t="s">
        <v>17</v>
      </c>
      <c r="E1691" t="s">
        <v>12</v>
      </c>
      <c r="F1691">
        <v>151009054</v>
      </c>
      <c r="G1691">
        <v>151009113</v>
      </c>
      <c r="H1691">
        <v>151009035</v>
      </c>
      <c r="I1691">
        <v>151009050</v>
      </c>
    </row>
    <row r="1692" spans="1:9" x14ac:dyDescent="0.2">
      <c r="A1692" s="1" t="str">
        <f>"BOC"</f>
        <v>BOC</v>
      </c>
      <c r="B1692" t="s">
        <v>14</v>
      </c>
      <c r="C1692" t="s">
        <v>22</v>
      </c>
      <c r="D1692" t="s">
        <v>17</v>
      </c>
      <c r="E1692" t="s">
        <v>12</v>
      </c>
      <c r="F1692">
        <v>112930387</v>
      </c>
      <c r="G1692">
        <v>112930431</v>
      </c>
      <c r="H1692">
        <v>112930306</v>
      </c>
      <c r="I1692">
        <v>112930338</v>
      </c>
    </row>
    <row r="1693" spans="1:9" x14ac:dyDescent="0.2">
      <c r="A1693" s="1" t="str">
        <f>"BOD1"</f>
        <v>BOD1</v>
      </c>
      <c r="B1693" t="s">
        <v>14</v>
      </c>
      <c r="C1693" t="s">
        <v>46</v>
      </c>
      <c r="D1693" t="s">
        <v>11</v>
      </c>
      <c r="E1693" t="s">
        <v>12</v>
      </c>
      <c r="F1693">
        <v>173043615</v>
      </c>
      <c r="G1693">
        <v>173043688</v>
      </c>
      <c r="H1693">
        <v>173043241</v>
      </c>
      <c r="I1693">
        <v>173043251</v>
      </c>
    </row>
    <row r="1694" spans="1:9" x14ac:dyDescent="0.2">
      <c r="A1694" s="1" t="str">
        <f>"BOD1L1"</f>
        <v>BOD1L1</v>
      </c>
      <c r="B1694" t="s">
        <v>9</v>
      </c>
      <c r="C1694" t="s">
        <v>23</v>
      </c>
      <c r="D1694" t="s">
        <v>11</v>
      </c>
      <c r="E1694" t="s">
        <v>12</v>
      </c>
      <c r="F1694">
        <v>13629269</v>
      </c>
      <c r="G1694">
        <v>13629372</v>
      </c>
      <c r="H1694">
        <v>13629269</v>
      </c>
      <c r="I1694">
        <v>13629372</v>
      </c>
    </row>
    <row r="1695" spans="1:9" x14ac:dyDescent="0.2">
      <c r="A1695" s="1" t="str">
        <f>"BOD1L1"</f>
        <v>BOD1L1</v>
      </c>
      <c r="B1695" t="s">
        <v>13</v>
      </c>
      <c r="C1695" t="s">
        <v>23</v>
      </c>
      <c r="D1695" t="s">
        <v>11</v>
      </c>
      <c r="E1695" t="s">
        <v>12</v>
      </c>
      <c r="F1695">
        <v>13616142</v>
      </c>
      <c r="G1695">
        <v>13616196</v>
      </c>
      <c r="H1695">
        <v>13616142</v>
      </c>
      <c r="I1695">
        <v>13616196</v>
      </c>
    </row>
    <row r="1696" spans="1:9" x14ac:dyDescent="0.2">
      <c r="A1696" s="1" t="str">
        <f>"BOD1L2"</f>
        <v>BOD1L2</v>
      </c>
      <c r="B1696" t="s">
        <v>14</v>
      </c>
      <c r="C1696" t="s">
        <v>43</v>
      </c>
      <c r="D1696" t="s">
        <v>17</v>
      </c>
      <c r="E1696" t="s">
        <v>12</v>
      </c>
      <c r="F1696">
        <v>54814288</v>
      </c>
      <c r="G1696">
        <v>54814354</v>
      </c>
      <c r="H1696">
        <v>54814288</v>
      </c>
      <c r="I1696">
        <v>54814354</v>
      </c>
    </row>
    <row r="1697" spans="1:9" x14ac:dyDescent="0.2">
      <c r="A1697" s="1" t="str">
        <f>"BOK"</f>
        <v>BOK</v>
      </c>
      <c r="B1697" t="s">
        <v>14</v>
      </c>
      <c r="C1697" t="s">
        <v>26</v>
      </c>
      <c r="D1697" t="s">
        <v>17</v>
      </c>
      <c r="E1697" t="s">
        <v>12</v>
      </c>
      <c r="F1697">
        <v>242498138</v>
      </c>
      <c r="G1697">
        <v>242498179</v>
      </c>
      <c r="H1697">
        <v>242498138</v>
      </c>
      <c r="I1697">
        <v>242498179</v>
      </c>
    </row>
    <row r="1698" spans="1:9" x14ac:dyDescent="0.2">
      <c r="A1698" s="1" t="str">
        <f>"BOLA1"</f>
        <v>BOLA1</v>
      </c>
      <c r="B1698" t="s">
        <v>9</v>
      </c>
      <c r="C1698" t="s">
        <v>19</v>
      </c>
      <c r="D1698" t="s">
        <v>17</v>
      </c>
      <c r="E1698" t="s">
        <v>12</v>
      </c>
      <c r="F1698">
        <v>149858461</v>
      </c>
      <c r="G1698">
        <v>149858479</v>
      </c>
      <c r="H1698">
        <v>149858461</v>
      </c>
      <c r="I1698">
        <v>149858479</v>
      </c>
    </row>
    <row r="1699" spans="1:9" x14ac:dyDescent="0.2">
      <c r="A1699" s="1" t="str">
        <f>"BOLA1"</f>
        <v>BOLA1</v>
      </c>
      <c r="B1699" t="s">
        <v>13</v>
      </c>
      <c r="C1699" t="s">
        <v>19</v>
      </c>
      <c r="D1699" t="s">
        <v>17</v>
      </c>
      <c r="E1699" t="s">
        <v>12</v>
      </c>
      <c r="F1699">
        <v>149871135</v>
      </c>
      <c r="G1699">
        <v>149871169</v>
      </c>
      <c r="H1699">
        <v>149871135</v>
      </c>
      <c r="I1699">
        <v>149871169</v>
      </c>
    </row>
    <row r="1700" spans="1:9" x14ac:dyDescent="0.2">
      <c r="A1700" s="1" t="str">
        <f>"BOLA2"</f>
        <v>BOLA2</v>
      </c>
      <c r="B1700" t="s">
        <v>115</v>
      </c>
      <c r="C1700" t="s">
        <v>31</v>
      </c>
      <c r="D1700" t="s">
        <v>11</v>
      </c>
      <c r="E1700" t="s">
        <v>20</v>
      </c>
      <c r="F1700">
        <v>29466284</v>
      </c>
      <c r="G1700">
        <v>29466284</v>
      </c>
      <c r="H1700">
        <v>29466284</v>
      </c>
      <c r="I1700">
        <v>29466284</v>
      </c>
    </row>
    <row r="1701" spans="1:9" x14ac:dyDescent="0.2">
      <c r="A1701" s="1" t="str">
        <f>"BOLA2B"</f>
        <v>BOLA2B</v>
      </c>
      <c r="B1701" t="s">
        <v>116</v>
      </c>
      <c r="C1701" t="s">
        <v>31</v>
      </c>
      <c r="D1701" t="s">
        <v>11</v>
      </c>
      <c r="E1701" t="s">
        <v>20</v>
      </c>
      <c r="F1701">
        <v>30205626</v>
      </c>
      <c r="G1701">
        <v>30205626</v>
      </c>
      <c r="H1701">
        <v>30205626</v>
      </c>
      <c r="I1701">
        <v>30205626</v>
      </c>
    </row>
    <row r="1702" spans="1:9" x14ac:dyDescent="0.2">
      <c r="A1702" s="1" t="str">
        <f>"BOLA3"</f>
        <v>BOLA3</v>
      </c>
      <c r="B1702" t="s">
        <v>14</v>
      </c>
      <c r="C1702" t="s">
        <v>26</v>
      </c>
      <c r="D1702" t="s">
        <v>11</v>
      </c>
      <c r="E1702" t="s">
        <v>12</v>
      </c>
      <c r="F1702">
        <v>74374995</v>
      </c>
      <c r="G1702">
        <v>74375055</v>
      </c>
      <c r="H1702">
        <v>74375081</v>
      </c>
      <c r="I1702">
        <v>74375092</v>
      </c>
    </row>
    <row r="1703" spans="1:9" x14ac:dyDescent="0.2">
      <c r="A1703" s="1" t="str">
        <f>"BOLL"</f>
        <v>BOLL</v>
      </c>
      <c r="B1703" t="s">
        <v>14</v>
      </c>
      <c r="C1703" t="s">
        <v>26</v>
      </c>
      <c r="D1703" t="s">
        <v>11</v>
      </c>
      <c r="E1703" t="s">
        <v>12</v>
      </c>
      <c r="F1703">
        <v>198650037</v>
      </c>
      <c r="G1703">
        <v>198650050</v>
      </c>
      <c r="H1703">
        <v>198650907</v>
      </c>
      <c r="I1703">
        <v>198650936</v>
      </c>
    </row>
    <row r="1704" spans="1:9" x14ac:dyDescent="0.2">
      <c r="A1704" s="1" t="str">
        <f>"BOP1"</f>
        <v>BOP1</v>
      </c>
      <c r="B1704" t="s">
        <v>9</v>
      </c>
      <c r="C1704" t="s">
        <v>30</v>
      </c>
      <c r="D1704" t="s">
        <v>11</v>
      </c>
      <c r="E1704" t="s">
        <v>12</v>
      </c>
      <c r="F1704">
        <v>145515072</v>
      </c>
      <c r="G1704">
        <v>145515134</v>
      </c>
      <c r="H1704">
        <v>145515072</v>
      </c>
      <c r="I1704">
        <v>145515134</v>
      </c>
    </row>
    <row r="1705" spans="1:9" x14ac:dyDescent="0.2">
      <c r="A1705" s="1" t="str">
        <f>"BOP1"</f>
        <v>BOP1</v>
      </c>
      <c r="B1705" t="s">
        <v>13</v>
      </c>
      <c r="C1705" t="s">
        <v>30</v>
      </c>
      <c r="D1705" t="s">
        <v>11</v>
      </c>
      <c r="E1705" t="s">
        <v>12</v>
      </c>
      <c r="F1705">
        <v>145512869</v>
      </c>
      <c r="G1705">
        <v>145512915</v>
      </c>
      <c r="H1705">
        <v>145512869</v>
      </c>
      <c r="I1705">
        <v>145512915</v>
      </c>
    </row>
    <row r="1706" spans="1:9" x14ac:dyDescent="0.2">
      <c r="A1706" s="1" t="str">
        <f>"BORA"</f>
        <v>BORA</v>
      </c>
      <c r="B1706" t="s">
        <v>14</v>
      </c>
      <c r="C1706" t="s">
        <v>39</v>
      </c>
      <c r="D1706" t="s">
        <v>17</v>
      </c>
      <c r="E1706" t="s">
        <v>12</v>
      </c>
      <c r="F1706">
        <v>73302047</v>
      </c>
      <c r="G1706">
        <v>73302073</v>
      </c>
      <c r="H1706">
        <v>73302082</v>
      </c>
      <c r="I1706">
        <v>73302095</v>
      </c>
    </row>
    <row r="1707" spans="1:9" x14ac:dyDescent="0.2">
      <c r="A1707" s="1" t="str">
        <f>"BPGM"</f>
        <v>BPGM</v>
      </c>
      <c r="B1707" t="s">
        <v>14</v>
      </c>
      <c r="C1707" t="s">
        <v>33</v>
      </c>
      <c r="D1707" t="s">
        <v>17</v>
      </c>
      <c r="E1707" t="s">
        <v>12</v>
      </c>
      <c r="F1707">
        <v>134331597</v>
      </c>
      <c r="G1707">
        <v>134331615</v>
      </c>
      <c r="H1707">
        <v>134331550</v>
      </c>
      <c r="I1707">
        <v>134331593</v>
      </c>
    </row>
    <row r="1708" spans="1:9" x14ac:dyDescent="0.2">
      <c r="A1708" s="1" t="str">
        <f>"BPHL"</f>
        <v>BPHL</v>
      </c>
      <c r="B1708" t="s">
        <v>14</v>
      </c>
      <c r="C1708" t="s">
        <v>32</v>
      </c>
      <c r="D1708" t="s">
        <v>17</v>
      </c>
      <c r="E1708" t="s">
        <v>12</v>
      </c>
      <c r="F1708">
        <v>3118929</v>
      </c>
      <c r="G1708">
        <v>3118976</v>
      </c>
      <c r="H1708">
        <v>3118585</v>
      </c>
      <c r="I1708">
        <v>3118627</v>
      </c>
    </row>
    <row r="1709" spans="1:9" x14ac:dyDescent="0.2">
      <c r="A1709" s="1" t="str">
        <f>"BPI"</f>
        <v>BPI</v>
      </c>
      <c r="B1709" t="s">
        <v>14</v>
      </c>
      <c r="C1709" t="s">
        <v>29</v>
      </c>
      <c r="D1709" t="s">
        <v>17</v>
      </c>
      <c r="E1709" t="s">
        <v>12</v>
      </c>
      <c r="F1709">
        <v>36932583</v>
      </c>
      <c r="G1709">
        <v>36932598</v>
      </c>
      <c r="H1709">
        <v>36932551</v>
      </c>
      <c r="I1709">
        <v>36932570</v>
      </c>
    </row>
    <row r="1710" spans="1:9" x14ac:dyDescent="0.2">
      <c r="A1710" s="1" t="str">
        <f>"BPIFA1"</f>
        <v>BPIFA1</v>
      </c>
      <c r="B1710" t="s">
        <v>9</v>
      </c>
      <c r="C1710" t="s">
        <v>29</v>
      </c>
      <c r="D1710" t="s">
        <v>17</v>
      </c>
      <c r="E1710" t="s">
        <v>12</v>
      </c>
      <c r="F1710">
        <v>31823792</v>
      </c>
      <c r="G1710">
        <v>31823808</v>
      </c>
      <c r="H1710">
        <v>31823792</v>
      </c>
      <c r="I1710">
        <v>31823808</v>
      </c>
    </row>
    <row r="1711" spans="1:9" x14ac:dyDescent="0.2">
      <c r="A1711" s="1" t="str">
        <f>"BPIFA1"</f>
        <v>BPIFA1</v>
      </c>
      <c r="B1711" t="s">
        <v>13</v>
      </c>
      <c r="C1711" t="s">
        <v>29</v>
      </c>
      <c r="D1711" t="s">
        <v>17</v>
      </c>
      <c r="E1711" t="s">
        <v>12</v>
      </c>
      <c r="F1711">
        <v>31825534</v>
      </c>
      <c r="G1711">
        <v>31825538</v>
      </c>
      <c r="H1711">
        <v>31825534</v>
      </c>
      <c r="I1711">
        <v>31825538</v>
      </c>
    </row>
    <row r="1712" spans="1:9" x14ac:dyDescent="0.2">
      <c r="A1712" s="1" t="str">
        <f>"BPIFA2"</f>
        <v>BPIFA2</v>
      </c>
      <c r="B1712" t="s">
        <v>14</v>
      </c>
      <c r="C1712" t="s">
        <v>29</v>
      </c>
      <c r="D1712" t="s">
        <v>17</v>
      </c>
      <c r="E1712" t="s">
        <v>12</v>
      </c>
      <c r="F1712">
        <v>31755934</v>
      </c>
      <c r="G1712">
        <v>31755974</v>
      </c>
      <c r="H1712">
        <v>31755975</v>
      </c>
      <c r="I1712">
        <v>31755986</v>
      </c>
    </row>
    <row r="1713" spans="1:9" x14ac:dyDescent="0.2">
      <c r="A1713" s="1" t="str">
        <f>"BPIFA3"</f>
        <v>BPIFA3</v>
      </c>
      <c r="B1713" t="s">
        <v>14</v>
      </c>
      <c r="C1713" t="s">
        <v>29</v>
      </c>
      <c r="D1713" t="s">
        <v>17</v>
      </c>
      <c r="E1713" t="s">
        <v>12</v>
      </c>
      <c r="F1713">
        <v>31805131</v>
      </c>
      <c r="G1713">
        <v>31805166</v>
      </c>
      <c r="H1713">
        <v>31805116</v>
      </c>
      <c r="I1713">
        <v>31805123</v>
      </c>
    </row>
    <row r="1714" spans="1:9" x14ac:dyDescent="0.2">
      <c r="A1714" s="1" t="str">
        <f>"BPIFB1"</f>
        <v>BPIFB1</v>
      </c>
      <c r="B1714" t="s">
        <v>14</v>
      </c>
      <c r="C1714" t="s">
        <v>29</v>
      </c>
      <c r="D1714" t="s">
        <v>17</v>
      </c>
      <c r="E1714" t="s">
        <v>12</v>
      </c>
      <c r="F1714">
        <v>31871011</v>
      </c>
      <c r="G1714">
        <v>31871028</v>
      </c>
      <c r="H1714">
        <v>31870971</v>
      </c>
      <c r="I1714">
        <v>31871007</v>
      </c>
    </row>
    <row r="1715" spans="1:9" x14ac:dyDescent="0.2">
      <c r="A1715" s="1" t="str">
        <f>"BPIFB2"</f>
        <v>BPIFB2</v>
      </c>
      <c r="B1715" t="s">
        <v>14</v>
      </c>
      <c r="C1715" t="s">
        <v>29</v>
      </c>
      <c r="D1715" t="s">
        <v>17</v>
      </c>
      <c r="E1715" t="s">
        <v>12</v>
      </c>
      <c r="F1715">
        <v>31595501</v>
      </c>
      <c r="G1715">
        <v>31595519</v>
      </c>
      <c r="H1715">
        <v>31595501</v>
      </c>
      <c r="I1715">
        <v>31595519</v>
      </c>
    </row>
    <row r="1716" spans="1:9" x14ac:dyDescent="0.2">
      <c r="A1716" s="1" t="str">
        <f>"BPIFB3"</f>
        <v>BPIFB3</v>
      </c>
      <c r="B1716" t="s">
        <v>117</v>
      </c>
      <c r="C1716" t="s">
        <v>29</v>
      </c>
      <c r="D1716" t="s">
        <v>17</v>
      </c>
      <c r="E1716" t="s">
        <v>20</v>
      </c>
      <c r="F1716">
        <v>31643229</v>
      </c>
      <c r="G1716">
        <v>31643229</v>
      </c>
      <c r="H1716">
        <v>31643229</v>
      </c>
      <c r="I1716">
        <v>31643229</v>
      </c>
    </row>
    <row r="1717" spans="1:9" x14ac:dyDescent="0.2">
      <c r="A1717" s="1" t="str">
        <f>"BPIFB4"</f>
        <v>BPIFB4</v>
      </c>
      <c r="B1717" t="s">
        <v>14</v>
      </c>
      <c r="C1717" t="s">
        <v>29</v>
      </c>
      <c r="D1717" t="s">
        <v>17</v>
      </c>
      <c r="E1717" t="s">
        <v>12</v>
      </c>
      <c r="F1717">
        <v>31667446</v>
      </c>
      <c r="G1717">
        <v>31667451</v>
      </c>
      <c r="H1717">
        <v>31667446</v>
      </c>
      <c r="I1717">
        <v>31667451</v>
      </c>
    </row>
    <row r="1718" spans="1:9" x14ac:dyDescent="0.2">
      <c r="A1718" s="1" t="str">
        <f>"BPIFB6"</f>
        <v>BPIFB6</v>
      </c>
      <c r="B1718" t="s">
        <v>14</v>
      </c>
      <c r="C1718" t="s">
        <v>29</v>
      </c>
      <c r="D1718" t="s">
        <v>17</v>
      </c>
      <c r="E1718" t="s">
        <v>12</v>
      </c>
      <c r="F1718">
        <v>31611261</v>
      </c>
      <c r="G1718">
        <v>31611291</v>
      </c>
      <c r="H1718">
        <v>31611261</v>
      </c>
      <c r="I1718">
        <v>31611291</v>
      </c>
    </row>
    <row r="1719" spans="1:9" x14ac:dyDescent="0.2">
      <c r="A1719" s="1" t="str">
        <f>"BPIFC"</f>
        <v>BPIFC</v>
      </c>
      <c r="B1719" t="s">
        <v>14</v>
      </c>
      <c r="C1719" t="s">
        <v>21</v>
      </c>
      <c r="D1719" t="s">
        <v>11</v>
      </c>
      <c r="E1719" t="s">
        <v>12</v>
      </c>
      <c r="F1719">
        <v>32860427</v>
      </c>
      <c r="G1719">
        <v>32860438</v>
      </c>
      <c r="H1719">
        <v>32860415</v>
      </c>
      <c r="I1719">
        <v>32860416</v>
      </c>
    </row>
    <row r="1720" spans="1:9" x14ac:dyDescent="0.2">
      <c r="A1720" s="1" t="str">
        <f>"BPNT1"</f>
        <v>BPNT1</v>
      </c>
      <c r="B1720" t="s">
        <v>14</v>
      </c>
      <c r="C1720" t="s">
        <v>19</v>
      </c>
      <c r="D1720" t="s">
        <v>11</v>
      </c>
      <c r="E1720" t="s">
        <v>12</v>
      </c>
      <c r="F1720">
        <v>220263096</v>
      </c>
      <c r="G1720">
        <v>220263192</v>
      </c>
      <c r="H1720">
        <v>220263096</v>
      </c>
      <c r="I1720">
        <v>220263192</v>
      </c>
    </row>
    <row r="1721" spans="1:9" x14ac:dyDescent="0.2">
      <c r="A1721" s="1" t="str">
        <f>"BPTF"</f>
        <v>BPTF</v>
      </c>
      <c r="B1721" t="s">
        <v>14</v>
      </c>
      <c r="C1721" t="s">
        <v>28</v>
      </c>
      <c r="D1721" t="s">
        <v>17</v>
      </c>
      <c r="E1721" t="s">
        <v>12</v>
      </c>
      <c r="F1721">
        <v>65821603</v>
      </c>
      <c r="G1721">
        <v>65821635</v>
      </c>
      <c r="H1721">
        <v>65821636</v>
      </c>
      <c r="I1721">
        <v>65821641</v>
      </c>
    </row>
    <row r="1722" spans="1:9" x14ac:dyDescent="0.2">
      <c r="A1722" s="1" t="str">
        <f>"BPY2"</f>
        <v>BPY2</v>
      </c>
      <c r="B1722" t="s">
        <v>118</v>
      </c>
      <c r="C1722" t="s">
        <v>63</v>
      </c>
      <c r="D1722" t="s">
        <v>17</v>
      </c>
      <c r="E1722" t="s">
        <v>20</v>
      </c>
      <c r="F1722">
        <v>25130409</v>
      </c>
      <c r="G1722">
        <v>25130409</v>
      </c>
      <c r="H1722">
        <v>25130409</v>
      </c>
      <c r="I1722">
        <v>25130409</v>
      </c>
    </row>
    <row r="1723" spans="1:9" x14ac:dyDescent="0.2">
      <c r="A1723" s="1" t="str">
        <f>"BPY2B"</f>
        <v>BPY2B</v>
      </c>
      <c r="B1723" t="s">
        <v>119</v>
      </c>
      <c r="C1723" t="s">
        <v>63</v>
      </c>
      <c r="D1723" t="s">
        <v>17</v>
      </c>
      <c r="E1723" t="s">
        <v>20</v>
      </c>
      <c r="F1723">
        <v>26764150</v>
      </c>
      <c r="G1723">
        <v>26764150</v>
      </c>
      <c r="H1723">
        <v>26764150</v>
      </c>
      <c r="I1723">
        <v>26764150</v>
      </c>
    </row>
    <row r="1724" spans="1:9" x14ac:dyDescent="0.2">
      <c r="A1724" s="1" t="str">
        <f>"BPY2C"</f>
        <v>BPY2C</v>
      </c>
      <c r="B1724" t="s">
        <v>120</v>
      </c>
      <c r="C1724" t="s">
        <v>63</v>
      </c>
      <c r="D1724" t="s">
        <v>11</v>
      </c>
      <c r="E1724" t="s">
        <v>20</v>
      </c>
      <c r="F1724">
        <v>27198250</v>
      </c>
      <c r="G1724">
        <v>27198250</v>
      </c>
      <c r="H1724">
        <v>27198250</v>
      </c>
      <c r="I1724">
        <v>27198250</v>
      </c>
    </row>
    <row r="1725" spans="1:9" x14ac:dyDescent="0.2">
      <c r="A1725" s="1" t="str">
        <f>"BRAF"</f>
        <v>BRAF</v>
      </c>
      <c r="B1725" t="s">
        <v>14</v>
      </c>
      <c r="C1725" t="s">
        <v>33</v>
      </c>
      <c r="D1725" t="s">
        <v>11</v>
      </c>
      <c r="E1725" t="s">
        <v>12</v>
      </c>
      <c r="F1725">
        <v>140624699</v>
      </c>
      <c r="G1725">
        <v>140624762</v>
      </c>
      <c r="H1725">
        <v>140624499</v>
      </c>
      <c r="I1725">
        <v>140624568</v>
      </c>
    </row>
    <row r="1726" spans="1:9" x14ac:dyDescent="0.2">
      <c r="A1726" s="1" t="str">
        <f>"BRAP"</f>
        <v>BRAP</v>
      </c>
      <c r="B1726" t="s">
        <v>14</v>
      </c>
      <c r="C1726" t="s">
        <v>16</v>
      </c>
      <c r="D1726" t="s">
        <v>11</v>
      </c>
      <c r="E1726" t="s">
        <v>12</v>
      </c>
      <c r="F1726">
        <v>112123726</v>
      </c>
      <c r="G1726">
        <v>112123809</v>
      </c>
      <c r="H1726">
        <v>112123713</v>
      </c>
      <c r="I1726">
        <v>112123723</v>
      </c>
    </row>
    <row r="1727" spans="1:9" x14ac:dyDescent="0.2">
      <c r="A1727" s="1" t="str">
        <f>"BRAT1"</f>
        <v>BRAT1</v>
      </c>
      <c r="B1727" t="s">
        <v>14</v>
      </c>
      <c r="C1727" t="s">
        <v>33</v>
      </c>
      <c r="D1727" t="s">
        <v>11</v>
      </c>
      <c r="E1727" t="s">
        <v>12</v>
      </c>
      <c r="F1727">
        <v>2595129</v>
      </c>
      <c r="G1727">
        <v>2595165</v>
      </c>
      <c r="H1727">
        <v>2595112</v>
      </c>
      <c r="I1727">
        <v>2595126</v>
      </c>
    </row>
    <row r="1728" spans="1:9" x14ac:dyDescent="0.2">
      <c r="A1728" s="1" t="str">
        <f>"BRCA1"</f>
        <v>BRCA1</v>
      </c>
      <c r="B1728" t="s">
        <v>14</v>
      </c>
      <c r="C1728" t="s">
        <v>28</v>
      </c>
      <c r="D1728" t="s">
        <v>11</v>
      </c>
      <c r="E1728" t="s">
        <v>12</v>
      </c>
      <c r="F1728">
        <v>41277372</v>
      </c>
      <c r="G1728">
        <v>41277418</v>
      </c>
      <c r="H1728">
        <v>41277372</v>
      </c>
      <c r="I1728">
        <v>41277418</v>
      </c>
    </row>
    <row r="1729" spans="1:9" x14ac:dyDescent="0.2">
      <c r="A1729" s="1" t="str">
        <f>"BRCA2"</f>
        <v>BRCA2</v>
      </c>
      <c r="B1729" t="s">
        <v>14</v>
      </c>
      <c r="C1729" t="s">
        <v>39</v>
      </c>
      <c r="D1729" t="s">
        <v>17</v>
      </c>
      <c r="E1729" t="s">
        <v>12</v>
      </c>
      <c r="F1729">
        <v>32889605</v>
      </c>
      <c r="G1729">
        <v>32889653</v>
      </c>
      <c r="H1729">
        <v>32889654</v>
      </c>
      <c r="I1729">
        <v>32889678</v>
      </c>
    </row>
    <row r="1730" spans="1:9" x14ac:dyDescent="0.2">
      <c r="A1730" s="1" t="str">
        <f>"BRCC3"</f>
        <v>BRCC3</v>
      </c>
      <c r="B1730" t="s">
        <v>14</v>
      </c>
      <c r="C1730" t="s">
        <v>37</v>
      </c>
      <c r="D1730" t="s">
        <v>17</v>
      </c>
      <c r="E1730" t="s">
        <v>12</v>
      </c>
      <c r="F1730">
        <v>154299753</v>
      </c>
      <c r="G1730">
        <v>154299807</v>
      </c>
      <c r="H1730">
        <v>154299690</v>
      </c>
      <c r="I1730">
        <v>154299717</v>
      </c>
    </row>
    <row r="1731" spans="1:9" x14ac:dyDescent="0.2">
      <c r="A1731" s="1" t="str">
        <f>"BRD1"</f>
        <v>BRD1</v>
      </c>
      <c r="B1731" t="s">
        <v>14</v>
      </c>
      <c r="C1731" t="s">
        <v>21</v>
      </c>
      <c r="D1731" t="s">
        <v>11</v>
      </c>
      <c r="E1731" t="s">
        <v>12</v>
      </c>
      <c r="F1731">
        <v>50221505</v>
      </c>
      <c r="G1731">
        <v>50221527</v>
      </c>
      <c r="H1731">
        <v>50221505</v>
      </c>
      <c r="I1731">
        <v>50221527</v>
      </c>
    </row>
    <row r="1732" spans="1:9" x14ac:dyDescent="0.2">
      <c r="A1732" s="1" t="str">
        <f>"BRD2"</f>
        <v>BRD2</v>
      </c>
      <c r="B1732" t="s">
        <v>9</v>
      </c>
      <c r="C1732" t="s">
        <v>32</v>
      </c>
      <c r="D1732" t="s">
        <v>17</v>
      </c>
      <c r="E1732" t="s">
        <v>12</v>
      </c>
      <c r="F1732">
        <v>32939964</v>
      </c>
      <c r="G1732">
        <v>32939988</v>
      </c>
      <c r="H1732">
        <v>32939964</v>
      </c>
      <c r="I1732">
        <v>32939988</v>
      </c>
    </row>
    <row r="1733" spans="1:9" x14ac:dyDescent="0.2">
      <c r="A1733" s="1" t="str">
        <f>"BRD2"</f>
        <v>BRD2</v>
      </c>
      <c r="B1733" t="s">
        <v>13</v>
      </c>
      <c r="C1733" t="s">
        <v>32</v>
      </c>
      <c r="D1733" t="s">
        <v>17</v>
      </c>
      <c r="E1733" t="s">
        <v>12</v>
      </c>
      <c r="F1733">
        <v>32938692</v>
      </c>
      <c r="G1733">
        <v>32938734</v>
      </c>
      <c r="H1733">
        <v>32938692</v>
      </c>
      <c r="I1733">
        <v>32938734</v>
      </c>
    </row>
    <row r="1734" spans="1:9" x14ac:dyDescent="0.2">
      <c r="A1734" s="1" t="str">
        <f>"BRD3"</f>
        <v>BRD3</v>
      </c>
      <c r="B1734" t="s">
        <v>14</v>
      </c>
      <c r="C1734" t="s">
        <v>24</v>
      </c>
      <c r="D1734" t="s">
        <v>11</v>
      </c>
      <c r="E1734" t="s">
        <v>12</v>
      </c>
      <c r="F1734">
        <v>136933112</v>
      </c>
      <c r="G1734">
        <v>136933129</v>
      </c>
      <c r="H1734">
        <v>136933134</v>
      </c>
      <c r="I1734">
        <v>136933154</v>
      </c>
    </row>
    <row r="1735" spans="1:9" x14ac:dyDescent="0.2">
      <c r="A1735" s="1" t="str">
        <f>"BRD4"</f>
        <v>BRD4</v>
      </c>
      <c r="B1735" t="s">
        <v>121</v>
      </c>
      <c r="C1735" t="s">
        <v>10</v>
      </c>
      <c r="D1735" t="s">
        <v>11</v>
      </c>
      <c r="E1735" t="s">
        <v>75</v>
      </c>
      <c r="F1735">
        <v>15391187</v>
      </c>
      <c r="G1735">
        <v>15391234</v>
      </c>
      <c r="H1735">
        <v>15391187</v>
      </c>
      <c r="I1735">
        <v>15391234</v>
      </c>
    </row>
    <row r="1736" spans="1:9" x14ac:dyDescent="0.2">
      <c r="A1736" s="1" t="str">
        <f>"BRD7"</f>
        <v>BRD7</v>
      </c>
      <c r="B1736" t="s">
        <v>14</v>
      </c>
      <c r="C1736" t="s">
        <v>31</v>
      </c>
      <c r="D1736" t="s">
        <v>11</v>
      </c>
      <c r="E1736" t="s">
        <v>12</v>
      </c>
      <c r="F1736">
        <v>50402836</v>
      </c>
      <c r="G1736">
        <v>50402930</v>
      </c>
      <c r="H1736">
        <v>50402952</v>
      </c>
      <c r="I1736">
        <v>50402970</v>
      </c>
    </row>
    <row r="1737" spans="1:9" x14ac:dyDescent="0.2">
      <c r="A1737" s="1" t="str">
        <f>"BRD8"</f>
        <v>BRD8</v>
      </c>
      <c r="B1737" t="s">
        <v>14</v>
      </c>
      <c r="C1737" t="s">
        <v>46</v>
      </c>
      <c r="D1737" t="s">
        <v>11</v>
      </c>
      <c r="E1737" t="s">
        <v>12</v>
      </c>
      <c r="F1737">
        <v>137514306</v>
      </c>
      <c r="G1737">
        <v>137514331</v>
      </c>
      <c r="H1737">
        <v>137514333</v>
      </c>
      <c r="I1737">
        <v>137514354</v>
      </c>
    </row>
    <row r="1738" spans="1:9" x14ac:dyDescent="0.2">
      <c r="A1738" s="1" t="str">
        <f>"BRD9"</f>
        <v>BRD9</v>
      </c>
      <c r="B1738" t="s">
        <v>14</v>
      </c>
      <c r="C1738" t="s">
        <v>46</v>
      </c>
      <c r="D1738" t="s">
        <v>11</v>
      </c>
      <c r="E1738" t="s">
        <v>12</v>
      </c>
      <c r="F1738">
        <v>892880</v>
      </c>
      <c r="G1738">
        <v>892949</v>
      </c>
      <c r="H1738">
        <v>891946</v>
      </c>
      <c r="I1738">
        <v>891980</v>
      </c>
    </row>
    <row r="1739" spans="1:9" x14ac:dyDescent="0.2">
      <c r="A1739" s="1" t="str">
        <f>"BRDT"</f>
        <v>BRDT</v>
      </c>
      <c r="B1739" t="s">
        <v>14</v>
      </c>
      <c r="C1739" t="s">
        <v>19</v>
      </c>
      <c r="D1739" t="s">
        <v>17</v>
      </c>
      <c r="E1739" t="s">
        <v>12</v>
      </c>
      <c r="F1739">
        <v>92414952</v>
      </c>
      <c r="G1739">
        <v>92414965</v>
      </c>
      <c r="H1739">
        <v>92414952</v>
      </c>
      <c r="I1739">
        <v>92414965</v>
      </c>
    </row>
    <row r="1740" spans="1:9" x14ac:dyDescent="0.2">
      <c r="A1740" s="1" t="str">
        <f>"BRE"</f>
        <v>BRE</v>
      </c>
      <c r="B1740" t="s">
        <v>14</v>
      </c>
      <c r="C1740" t="s">
        <v>26</v>
      </c>
      <c r="D1740" t="s">
        <v>17</v>
      </c>
      <c r="E1740" t="s">
        <v>12</v>
      </c>
      <c r="F1740">
        <v>28113583</v>
      </c>
      <c r="G1740">
        <v>28113684</v>
      </c>
      <c r="H1740">
        <v>28113583</v>
      </c>
      <c r="I1740">
        <v>28113684</v>
      </c>
    </row>
    <row r="1741" spans="1:9" x14ac:dyDescent="0.2">
      <c r="A1741" s="1" t="str">
        <f>"BRF1"</f>
        <v>BRF1</v>
      </c>
      <c r="B1741" t="s">
        <v>14</v>
      </c>
      <c r="C1741" t="s">
        <v>41</v>
      </c>
      <c r="D1741" t="s">
        <v>11</v>
      </c>
      <c r="E1741" t="s">
        <v>12</v>
      </c>
      <c r="F1741">
        <v>105767323</v>
      </c>
      <c r="G1741">
        <v>105767359</v>
      </c>
      <c r="H1741">
        <v>105767323</v>
      </c>
      <c r="I1741">
        <v>105767359</v>
      </c>
    </row>
    <row r="1742" spans="1:9" x14ac:dyDescent="0.2">
      <c r="A1742" s="1" t="str">
        <f>"BRF2"</f>
        <v>BRF2</v>
      </c>
      <c r="B1742" t="s">
        <v>14</v>
      </c>
      <c r="C1742" t="s">
        <v>30</v>
      </c>
      <c r="D1742" t="s">
        <v>11</v>
      </c>
      <c r="E1742" t="s">
        <v>12</v>
      </c>
      <c r="F1742">
        <v>37707358</v>
      </c>
      <c r="G1742">
        <v>37707407</v>
      </c>
      <c r="H1742">
        <v>37707344</v>
      </c>
      <c r="I1742">
        <v>37707355</v>
      </c>
    </row>
    <row r="1743" spans="1:9" x14ac:dyDescent="0.2">
      <c r="A1743" s="1" t="str">
        <f>"BRI3"</f>
        <v>BRI3</v>
      </c>
      <c r="B1743" t="s">
        <v>14</v>
      </c>
      <c r="C1743" t="s">
        <v>33</v>
      </c>
      <c r="D1743" t="s">
        <v>17</v>
      </c>
      <c r="E1743" t="s">
        <v>12</v>
      </c>
      <c r="F1743">
        <v>97910981</v>
      </c>
      <c r="G1743">
        <v>97911006</v>
      </c>
      <c r="H1743">
        <v>97910962</v>
      </c>
      <c r="I1743">
        <v>97910979</v>
      </c>
    </row>
    <row r="1744" spans="1:9" x14ac:dyDescent="0.2">
      <c r="A1744" s="1" t="str">
        <f>"BRI3BP"</f>
        <v>BRI3BP</v>
      </c>
      <c r="B1744" t="s">
        <v>14</v>
      </c>
      <c r="C1744" t="s">
        <v>16</v>
      </c>
      <c r="D1744" t="s">
        <v>17</v>
      </c>
      <c r="E1744" t="s">
        <v>12</v>
      </c>
      <c r="F1744">
        <v>125478179</v>
      </c>
      <c r="G1744">
        <v>125478208</v>
      </c>
      <c r="H1744">
        <v>125478241</v>
      </c>
      <c r="I1744">
        <v>125478260</v>
      </c>
    </row>
    <row r="1745" spans="1:9" x14ac:dyDescent="0.2">
      <c r="A1745" s="1" t="str">
        <f>"BRICD5"</f>
        <v>BRICD5</v>
      </c>
      <c r="B1745" t="s">
        <v>14</v>
      </c>
      <c r="C1745" t="s">
        <v>31</v>
      </c>
      <c r="D1745" t="s">
        <v>11</v>
      </c>
      <c r="E1745" t="s">
        <v>12</v>
      </c>
      <c r="F1745">
        <v>2260850</v>
      </c>
      <c r="G1745">
        <v>2260866</v>
      </c>
      <c r="H1745">
        <v>2260850</v>
      </c>
      <c r="I1745">
        <v>2260866</v>
      </c>
    </row>
    <row r="1746" spans="1:9" x14ac:dyDescent="0.2">
      <c r="A1746" s="1" t="str">
        <f>"BRINP1"</f>
        <v>BRINP1</v>
      </c>
      <c r="B1746" t="s">
        <v>14</v>
      </c>
      <c r="C1746" t="s">
        <v>24</v>
      </c>
      <c r="D1746" t="s">
        <v>11</v>
      </c>
      <c r="E1746" t="s">
        <v>12</v>
      </c>
      <c r="F1746">
        <v>122131696</v>
      </c>
      <c r="G1746">
        <v>122131743</v>
      </c>
      <c r="H1746">
        <v>122131754</v>
      </c>
      <c r="I1746">
        <v>122131768</v>
      </c>
    </row>
    <row r="1747" spans="1:9" x14ac:dyDescent="0.2">
      <c r="A1747" s="1" t="str">
        <f>"BRINP2"</f>
        <v>BRINP2</v>
      </c>
      <c r="B1747" t="s">
        <v>14</v>
      </c>
      <c r="C1747" t="s">
        <v>19</v>
      </c>
      <c r="D1747" t="s">
        <v>17</v>
      </c>
      <c r="E1747" t="s">
        <v>12</v>
      </c>
      <c r="F1747">
        <v>177140052</v>
      </c>
      <c r="G1747">
        <v>177140086</v>
      </c>
      <c r="H1747">
        <v>177140087</v>
      </c>
      <c r="I1747">
        <v>177140105</v>
      </c>
    </row>
    <row r="1748" spans="1:9" x14ac:dyDescent="0.2">
      <c r="A1748" s="1" t="str">
        <f>"BRINP3"</f>
        <v>BRINP3</v>
      </c>
      <c r="B1748" t="s">
        <v>9</v>
      </c>
      <c r="C1748" t="s">
        <v>19</v>
      </c>
      <c r="D1748" t="s">
        <v>11</v>
      </c>
      <c r="E1748" t="s">
        <v>12</v>
      </c>
      <c r="F1748">
        <v>190446983</v>
      </c>
      <c r="G1748">
        <v>190447001</v>
      </c>
      <c r="H1748">
        <v>190446983</v>
      </c>
      <c r="I1748">
        <v>190447001</v>
      </c>
    </row>
    <row r="1749" spans="1:9" x14ac:dyDescent="0.2">
      <c r="A1749" s="1" t="str">
        <f>"BRINP3"</f>
        <v>BRINP3</v>
      </c>
      <c r="B1749" t="s">
        <v>13</v>
      </c>
      <c r="C1749" t="s">
        <v>19</v>
      </c>
      <c r="D1749" t="s">
        <v>11</v>
      </c>
      <c r="E1749" t="s">
        <v>12</v>
      </c>
      <c r="F1749">
        <v>190443933</v>
      </c>
      <c r="G1749">
        <v>190443982</v>
      </c>
      <c r="H1749">
        <v>190443933</v>
      </c>
      <c r="I1749">
        <v>190443982</v>
      </c>
    </row>
    <row r="1750" spans="1:9" x14ac:dyDescent="0.2">
      <c r="A1750" s="1" t="str">
        <f>"BRIP1"</f>
        <v>BRIP1</v>
      </c>
      <c r="B1750" t="s">
        <v>14</v>
      </c>
      <c r="C1750" t="s">
        <v>28</v>
      </c>
      <c r="D1750" t="s">
        <v>11</v>
      </c>
      <c r="E1750" t="s">
        <v>12</v>
      </c>
      <c r="F1750">
        <v>59940830</v>
      </c>
      <c r="G1750">
        <v>59940897</v>
      </c>
      <c r="H1750">
        <v>59940813</v>
      </c>
      <c r="I1750">
        <v>59940828</v>
      </c>
    </row>
    <row r="1751" spans="1:9" x14ac:dyDescent="0.2">
      <c r="A1751" s="1" t="str">
        <f>"BRIX1"</f>
        <v>BRIX1</v>
      </c>
      <c r="B1751" t="s">
        <v>14</v>
      </c>
      <c r="C1751" t="s">
        <v>46</v>
      </c>
      <c r="D1751" t="s">
        <v>17</v>
      </c>
      <c r="E1751" t="s">
        <v>12</v>
      </c>
      <c r="F1751">
        <v>34915805</v>
      </c>
      <c r="G1751">
        <v>34915847</v>
      </c>
      <c r="H1751">
        <v>34915444</v>
      </c>
      <c r="I1751">
        <v>34915461</v>
      </c>
    </row>
    <row r="1752" spans="1:9" x14ac:dyDescent="0.2">
      <c r="A1752" s="1" t="str">
        <f>"BRK1"</f>
        <v>BRK1</v>
      </c>
      <c r="B1752" t="s">
        <v>14</v>
      </c>
      <c r="C1752" t="s">
        <v>22</v>
      </c>
      <c r="D1752" t="s">
        <v>17</v>
      </c>
      <c r="E1752" t="s">
        <v>12</v>
      </c>
      <c r="F1752">
        <v>10157350</v>
      </c>
      <c r="G1752">
        <v>10157377</v>
      </c>
      <c r="H1752">
        <v>10157350</v>
      </c>
      <c r="I1752">
        <v>10157377</v>
      </c>
    </row>
    <row r="1753" spans="1:9" x14ac:dyDescent="0.2">
      <c r="A1753" s="1" t="str">
        <f>"BRMS1"</f>
        <v>BRMS1</v>
      </c>
      <c r="B1753" t="s">
        <v>14</v>
      </c>
      <c r="C1753" t="s">
        <v>27</v>
      </c>
      <c r="D1753" t="s">
        <v>11</v>
      </c>
      <c r="E1753" t="s">
        <v>12</v>
      </c>
      <c r="F1753">
        <v>66112555</v>
      </c>
      <c r="G1753">
        <v>66112601</v>
      </c>
      <c r="H1753">
        <v>66112520</v>
      </c>
      <c r="I1753">
        <v>66112534</v>
      </c>
    </row>
    <row r="1754" spans="1:9" x14ac:dyDescent="0.2">
      <c r="A1754" s="1" t="str">
        <f>"BRMS1L"</f>
        <v>BRMS1L</v>
      </c>
      <c r="B1754" t="s">
        <v>14</v>
      </c>
      <c r="C1754" t="s">
        <v>41</v>
      </c>
      <c r="D1754" t="s">
        <v>17</v>
      </c>
      <c r="E1754" t="s">
        <v>12</v>
      </c>
      <c r="F1754">
        <v>36295591</v>
      </c>
      <c r="G1754">
        <v>36295633</v>
      </c>
      <c r="H1754">
        <v>36295504</v>
      </c>
      <c r="I1754">
        <v>36295580</v>
      </c>
    </row>
    <row r="1755" spans="1:9" x14ac:dyDescent="0.2">
      <c r="A1755" s="1" t="str">
        <f>"BROX"</f>
        <v>BROX</v>
      </c>
      <c r="B1755" t="s">
        <v>14</v>
      </c>
      <c r="C1755" t="s">
        <v>19</v>
      </c>
      <c r="D1755" t="s">
        <v>17</v>
      </c>
      <c r="E1755" t="s">
        <v>12</v>
      </c>
      <c r="F1755">
        <v>222885884</v>
      </c>
      <c r="G1755">
        <v>222885916</v>
      </c>
      <c r="H1755">
        <v>222886694</v>
      </c>
      <c r="I1755">
        <v>222886742</v>
      </c>
    </row>
    <row r="1756" spans="1:9" x14ac:dyDescent="0.2">
      <c r="A1756" s="1" t="str">
        <f>"BRPF1"</f>
        <v>BRPF1</v>
      </c>
      <c r="B1756" t="s">
        <v>14</v>
      </c>
      <c r="C1756" t="s">
        <v>22</v>
      </c>
      <c r="D1756" t="s">
        <v>17</v>
      </c>
      <c r="E1756" t="s">
        <v>12</v>
      </c>
      <c r="F1756">
        <v>9773409</v>
      </c>
      <c r="G1756">
        <v>9773479</v>
      </c>
      <c r="H1756">
        <v>9773396</v>
      </c>
      <c r="I1756">
        <v>9773401</v>
      </c>
    </row>
    <row r="1757" spans="1:9" x14ac:dyDescent="0.2">
      <c r="A1757" s="1" t="str">
        <f>"BRPF3"</f>
        <v>BRPF3</v>
      </c>
      <c r="B1757" t="s">
        <v>14</v>
      </c>
      <c r="C1757" t="s">
        <v>32</v>
      </c>
      <c r="D1757" t="s">
        <v>17</v>
      </c>
      <c r="E1757" t="s">
        <v>12</v>
      </c>
      <c r="F1757">
        <v>36164487</v>
      </c>
      <c r="G1757">
        <v>36164559</v>
      </c>
      <c r="H1757">
        <v>36165133</v>
      </c>
      <c r="I1757">
        <v>36165179</v>
      </c>
    </row>
    <row r="1758" spans="1:9" x14ac:dyDescent="0.2">
      <c r="A1758" s="1" t="str">
        <f>"BRS3"</f>
        <v>BRS3</v>
      </c>
      <c r="B1758" t="s">
        <v>14</v>
      </c>
      <c r="C1758" t="s">
        <v>37</v>
      </c>
      <c r="D1758" t="s">
        <v>17</v>
      </c>
      <c r="E1758" t="s">
        <v>12</v>
      </c>
      <c r="F1758">
        <v>135570098</v>
      </c>
      <c r="G1758">
        <v>135570113</v>
      </c>
      <c r="H1758">
        <v>135570151</v>
      </c>
      <c r="I1758">
        <v>135570192</v>
      </c>
    </row>
    <row r="1759" spans="1:9" x14ac:dyDescent="0.2">
      <c r="A1759" s="1" t="str">
        <f>"BRSK1"</f>
        <v>BRSK1</v>
      </c>
      <c r="B1759" t="s">
        <v>14</v>
      </c>
      <c r="C1759" t="s">
        <v>10</v>
      </c>
      <c r="D1759" t="s">
        <v>17</v>
      </c>
      <c r="E1759" t="s">
        <v>12</v>
      </c>
      <c r="F1759">
        <v>55795351</v>
      </c>
      <c r="G1759">
        <v>55795394</v>
      </c>
      <c r="H1759">
        <v>55795460</v>
      </c>
      <c r="I1759">
        <v>55795484</v>
      </c>
    </row>
    <row r="1760" spans="1:9" x14ac:dyDescent="0.2">
      <c r="A1760" s="1" t="str">
        <f>"BRSK2"</f>
        <v>BRSK2</v>
      </c>
      <c r="B1760" t="s">
        <v>14</v>
      </c>
      <c r="C1760" t="s">
        <v>27</v>
      </c>
      <c r="D1760" t="s">
        <v>17</v>
      </c>
      <c r="E1760" t="s">
        <v>12</v>
      </c>
      <c r="F1760">
        <v>1411130</v>
      </c>
      <c r="G1760">
        <v>1411197</v>
      </c>
      <c r="H1760">
        <v>1411252</v>
      </c>
      <c r="I1760">
        <v>1411304</v>
      </c>
    </row>
    <row r="1761" spans="1:9" x14ac:dyDescent="0.2">
      <c r="A1761" s="1" t="str">
        <f>"BRWD1"</f>
        <v>BRWD1</v>
      </c>
      <c r="B1761" t="s">
        <v>14</v>
      </c>
      <c r="C1761" t="s">
        <v>42</v>
      </c>
      <c r="D1761" t="s">
        <v>11</v>
      </c>
      <c r="E1761" t="s">
        <v>12</v>
      </c>
      <c r="F1761">
        <v>40685536</v>
      </c>
      <c r="G1761">
        <v>40685591</v>
      </c>
      <c r="H1761">
        <v>40685477</v>
      </c>
      <c r="I1761">
        <v>40685488</v>
      </c>
    </row>
    <row r="1762" spans="1:9" x14ac:dyDescent="0.2">
      <c r="A1762" s="1" t="str">
        <f>"BRWD3"</f>
        <v>BRWD3</v>
      </c>
      <c r="B1762" t="s">
        <v>14</v>
      </c>
      <c r="C1762" t="s">
        <v>37</v>
      </c>
      <c r="D1762" t="s">
        <v>11</v>
      </c>
      <c r="E1762" t="s">
        <v>12</v>
      </c>
      <c r="F1762">
        <v>80065146</v>
      </c>
      <c r="G1762">
        <v>80065250</v>
      </c>
      <c r="H1762">
        <v>80065355</v>
      </c>
      <c r="I1762">
        <v>80065384</v>
      </c>
    </row>
    <row r="1763" spans="1:9" x14ac:dyDescent="0.2">
      <c r="A1763" s="1" t="str">
        <f>"BSCL2"</f>
        <v>BSCL2</v>
      </c>
      <c r="B1763" t="s">
        <v>9</v>
      </c>
      <c r="C1763" t="s">
        <v>27</v>
      </c>
      <c r="D1763" t="s">
        <v>11</v>
      </c>
      <c r="E1763" t="s">
        <v>12</v>
      </c>
      <c r="F1763">
        <v>62473706</v>
      </c>
      <c r="G1763">
        <v>62473775</v>
      </c>
      <c r="H1763">
        <v>62473706</v>
      </c>
      <c r="I1763">
        <v>62473775</v>
      </c>
    </row>
    <row r="1764" spans="1:9" x14ac:dyDescent="0.2">
      <c r="A1764" s="1" t="str">
        <f>"BSCL2"</f>
        <v>BSCL2</v>
      </c>
      <c r="B1764" t="s">
        <v>13</v>
      </c>
      <c r="C1764" t="s">
        <v>27</v>
      </c>
      <c r="D1764" t="s">
        <v>11</v>
      </c>
      <c r="E1764" t="s">
        <v>12</v>
      </c>
      <c r="F1764">
        <v>62476965</v>
      </c>
      <c r="G1764">
        <v>62477028</v>
      </c>
      <c r="H1764">
        <v>62476965</v>
      </c>
      <c r="I1764">
        <v>62477028</v>
      </c>
    </row>
    <row r="1765" spans="1:9" x14ac:dyDescent="0.2">
      <c r="A1765" s="1" t="str">
        <f>"BSDC1"</f>
        <v>BSDC1</v>
      </c>
      <c r="B1765" t="s">
        <v>14</v>
      </c>
      <c r="C1765" t="s">
        <v>19</v>
      </c>
      <c r="D1765" t="s">
        <v>11</v>
      </c>
      <c r="E1765" t="s">
        <v>12</v>
      </c>
      <c r="F1765">
        <v>32860020</v>
      </c>
      <c r="G1765">
        <v>32860050</v>
      </c>
      <c r="H1765">
        <v>32859998</v>
      </c>
      <c r="I1765">
        <v>32860009</v>
      </c>
    </row>
    <row r="1766" spans="1:9" x14ac:dyDescent="0.2">
      <c r="A1766" s="1" t="str">
        <f>"BSG"</f>
        <v>BSG</v>
      </c>
      <c r="B1766" t="s">
        <v>14</v>
      </c>
      <c r="C1766" t="s">
        <v>10</v>
      </c>
      <c r="D1766" t="s">
        <v>17</v>
      </c>
      <c r="E1766" t="s">
        <v>12</v>
      </c>
      <c r="F1766">
        <v>572587</v>
      </c>
      <c r="G1766">
        <v>572605</v>
      </c>
      <c r="H1766">
        <v>572543</v>
      </c>
      <c r="I1766">
        <v>572579</v>
      </c>
    </row>
    <row r="1767" spans="1:9" x14ac:dyDescent="0.2">
      <c r="A1767" s="1" t="str">
        <f>"BSN"</f>
        <v>BSN</v>
      </c>
      <c r="B1767" t="s">
        <v>14</v>
      </c>
      <c r="C1767" t="s">
        <v>22</v>
      </c>
      <c r="D1767" t="s">
        <v>17</v>
      </c>
      <c r="E1767" t="s">
        <v>12</v>
      </c>
      <c r="F1767">
        <v>49591881</v>
      </c>
      <c r="G1767">
        <v>49591940</v>
      </c>
      <c r="H1767">
        <v>49592030</v>
      </c>
      <c r="I1767">
        <v>49592056</v>
      </c>
    </row>
    <row r="1768" spans="1:9" x14ac:dyDescent="0.2">
      <c r="A1768" s="1" t="str">
        <f>"BSND"</f>
        <v>BSND</v>
      </c>
      <c r="B1768" t="s">
        <v>14</v>
      </c>
      <c r="C1768" t="s">
        <v>19</v>
      </c>
      <c r="D1768" t="s">
        <v>17</v>
      </c>
      <c r="E1768" t="s">
        <v>12</v>
      </c>
      <c r="F1768">
        <v>55464600</v>
      </c>
      <c r="G1768">
        <v>55464608</v>
      </c>
      <c r="H1768">
        <v>55464578</v>
      </c>
      <c r="I1768">
        <v>55464587</v>
      </c>
    </row>
    <row r="1769" spans="1:9" x14ac:dyDescent="0.2">
      <c r="A1769" s="1" t="str">
        <f>"BSPH1"</f>
        <v>BSPH1</v>
      </c>
      <c r="B1769" t="s">
        <v>14</v>
      </c>
      <c r="C1769" t="s">
        <v>10</v>
      </c>
      <c r="D1769" t="s">
        <v>11</v>
      </c>
      <c r="E1769" t="s">
        <v>12</v>
      </c>
      <c r="F1769">
        <v>48495426</v>
      </c>
      <c r="G1769">
        <v>48495444</v>
      </c>
      <c r="H1769">
        <v>48495426</v>
      </c>
      <c r="I1769">
        <v>48495444</v>
      </c>
    </row>
    <row r="1770" spans="1:9" x14ac:dyDescent="0.2">
      <c r="A1770" s="1" t="str">
        <f>"BSPRY"</f>
        <v>BSPRY</v>
      </c>
      <c r="B1770" t="s">
        <v>14</v>
      </c>
      <c r="C1770" t="s">
        <v>24</v>
      </c>
      <c r="D1770" t="s">
        <v>17</v>
      </c>
      <c r="E1770" t="s">
        <v>12</v>
      </c>
      <c r="F1770">
        <v>116111794</v>
      </c>
      <c r="G1770">
        <v>116111868</v>
      </c>
      <c r="H1770">
        <v>116111913</v>
      </c>
      <c r="I1770">
        <v>116111924</v>
      </c>
    </row>
    <row r="1771" spans="1:9" x14ac:dyDescent="0.2">
      <c r="A1771" s="1" t="str">
        <f>"BST1"</f>
        <v>BST1</v>
      </c>
      <c r="B1771" t="s">
        <v>14</v>
      </c>
      <c r="C1771" t="s">
        <v>23</v>
      </c>
      <c r="D1771" t="s">
        <v>17</v>
      </c>
      <c r="E1771" t="s">
        <v>12</v>
      </c>
      <c r="F1771">
        <v>15704679</v>
      </c>
      <c r="G1771">
        <v>15704733</v>
      </c>
      <c r="H1771">
        <v>15704734</v>
      </c>
      <c r="I1771">
        <v>15704765</v>
      </c>
    </row>
    <row r="1772" spans="1:9" x14ac:dyDescent="0.2">
      <c r="A1772" s="1" t="str">
        <f>"BST2"</f>
        <v>BST2</v>
      </c>
      <c r="B1772" t="s">
        <v>14</v>
      </c>
      <c r="C1772" t="s">
        <v>10</v>
      </c>
      <c r="D1772" t="s">
        <v>11</v>
      </c>
      <c r="E1772" t="s">
        <v>12</v>
      </c>
      <c r="F1772">
        <v>17516364</v>
      </c>
      <c r="G1772">
        <v>17516447</v>
      </c>
      <c r="H1772">
        <v>17516449</v>
      </c>
      <c r="I1772">
        <v>17516463</v>
      </c>
    </row>
    <row r="1773" spans="1:9" x14ac:dyDescent="0.2">
      <c r="A1773" s="1" t="str">
        <f>"BSX"</f>
        <v>BSX</v>
      </c>
      <c r="B1773" t="s">
        <v>14</v>
      </c>
      <c r="C1773" t="s">
        <v>27</v>
      </c>
      <c r="D1773" t="s">
        <v>11</v>
      </c>
      <c r="E1773" t="s">
        <v>12</v>
      </c>
      <c r="F1773">
        <v>122852529</v>
      </c>
      <c r="G1773">
        <v>122852549</v>
      </c>
      <c r="H1773">
        <v>122852529</v>
      </c>
      <c r="I1773">
        <v>122852549</v>
      </c>
    </row>
    <row r="1774" spans="1:9" x14ac:dyDescent="0.2">
      <c r="A1774" s="1" t="str">
        <f>"BTAF1"</f>
        <v>BTAF1</v>
      </c>
      <c r="B1774" t="s">
        <v>14</v>
      </c>
      <c r="C1774" t="s">
        <v>15</v>
      </c>
      <c r="D1774" t="s">
        <v>17</v>
      </c>
      <c r="E1774" t="s">
        <v>12</v>
      </c>
      <c r="F1774">
        <v>93683519</v>
      </c>
      <c r="G1774">
        <v>93683594</v>
      </c>
      <c r="H1774">
        <v>93683595</v>
      </c>
      <c r="I1774">
        <v>93683616</v>
      </c>
    </row>
    <row r="1775" spans="1:9" x14ac:dyDescent="0.2">
      <c r="A1775" s="1" t="str">
        <f>"BTBD1"</f>
        <v>BTBD1</v>
      </c>
      <c r="B1775" t="s">
        <v>14</v>
      </c>
      <c r="C1775" t="s">
        <v>25</v>
      </c>
      <c r="D1775" t="s">
        <v>11</v>
      </c>
      <c r="E1775" t="s">
        <v>12</v>
      </c>
      <c r="F1775">
        <v>83735952</v>
      </c>
      <c r="G1775">
        <v>83736015</v>
      </c>
      <c r="H1775">
        <v>83736091</v>
      </c>
      <c r="I1775">
        <v>83736111</v>
      </c>
    </row>
    <row r="1776" spans="1:9" x14ac:dyDescent="0.2">
      <c r="A1776" s="1" t="str">
        <f>"BTBD10"</f>
        <v>BTBD10</v>
      </c>
      <c r="B1776" t="s">
        <v>9</v>
      </c>
      <c r="C1776" t="s">
        <v>27</v>
      </c>
      <c r="D1776" t="s">
        <v>11</v>
      </c>
      <c r="E1776" t="s">
        <v>12</v>
      </c>
      <c r="F1776">
        <v>13484713</v>
      </c>
      <c r="G1776">
        <v>13484850</v>
      </c>
      <c r="H1776">
        <v>13484713</v>
      </c>
      <c r="I1776">
        <v>13484850</v>
      </c>
    </row>
    <row r="1777" spans="1:9" x14ac:dyDescent="0.2">
      <c r="A1777" s="1" t="str">
        <f>"BTBD10"</f>
        <v>BTBD10</v>
      </c>
      <c r="B1777" t="s">
        <v>13</v>
      </c>
      <c r="C1777" t="s">
        <v>27</v>
      </c>
      <c r="D1777" t="s">
        <v>11</v>
      </c>
      <c r="E1777" t="s">
        <v>12</v>
      </c>
      <c r="F1777">
        <v>13461790</v>
      </c>
      <c r="G1777">
        <v>13461821</v>
      </c>
      <c r="H1777">
        <v>13461790</v>
      </c>
      <c r="I1777">
        <v>13461821</v>
      </c>
    </row>
    <row r="1778" spans="1:9" x14ac:dyDescent="0.2">
      <c r="A1778" s="1" t="str">
        <f>"BTBD11"</f>
        <v>BTBD11</v>
      </c>
      <c r="B1778" t="s">
        <v>9</v>
      </c>
      <c r="C1778" t="s">
        <v>16</v>
      </c>
      <c r="D1778" t="s">
        <v>17</v>
      </c>
      <c r="E1778" t="s">
        <v>12</v>
      </c>
      <c r="F1778">
        <v>107712173</v>
      </c>
      <c r="G1778">
        <v>107712239</v>
      </c>
      <c r="H1778">
        <v>107712173</v>
      </c>
      <c r="I1778">
        <v>107712239</v>
      </c>
    </row>
    <row r="1779" spans="1:9" x14ac:dyDescent="0.2">
      <c r="A1779" s="1" t="str">
        <f>"BTBD11"</f>
        <v>BTBD11</v>
      </c>
      <c r="B1779" t="s">
        <v>13</v>
      </c>
      <c r="C1779" t="s">
        <v>16</v>
      </c>
      <c r="D1779" t="s">
        <v>17</v>
      </c>
      <c r="E1779" t="s">
        <v>12</v>
      </c>
      <c r="F1779">
        <v>107974917</v>
      </c>
      <c r="G1779">
        <v>107974948</v>
      </c>
      <c r="H1779">
        <v>107974917</v>
      </c>
      <c r="I1779">
        <v>107974948</v>
      </c>
    </row>
    <row r="1780" spans="1:9" x14ac:dyDescent="0.2">
      <c r="A1780" s="1" t="str">
        <f>"BTBD16"</f>
        <v>BTBD16</v>
      </c>
      <c r="B1780" t="s">
        <v>122</v>
      </c>
      <c r="C1780" t="s">
        <v>15</v>
      </c>
      <c r="D1780" t="s">
        <v>17</v>
      </c>
      <c r="E1780" t="s">
        <v>35</v>
      </c>
      <c r="F1780">
        <v>124030807</v>
      </c>
      <c r="G1780">
        <v>124030818</v>
      </c>
      <c r="H1780">
        <v>124030819</v>
      </c>
      <c r="I1780">
        <v>124030827</v>
      </c>
    </row>
    <row r="1781" spans="1:9" x14ac:dyDescent="0.2">
      <c r="A1781" s="1" t="str">
        <f>"BTBD17"</f>
        <v>BTBD17</v>
      </c>
      <c r="B1781" t="s">
        <v>14</v>
      </c>
      <c r="C1781" t="s">
        <v>28</v>
      </c>
      <c r="D1781" t="s">
        <v>11</v>
      </c>
      <c r="E1781" t="s">
        <v>12</v>
      </c>
      <c r="F1781">
        <v>72358001</v>
      </c>
      <c r="G1781">
        <v>72358047</v>
      </c>
      <c r="H1781">
        <v>72358001</v>
      </c>
      <c r="I1781">
        <v>72358047</v>
      </c>
    </row>
    <row r="1782" spans="1:9" x14ac:dyDescent="0.2">
      <c r="A1782" s="1" t="str">
        <f>"BTBD18"</f>
        <v>BTBD18</v>
      </c>
      <c r="B1782" t="s">
        <v>123</v>
      </c>
      <c r="C1782" t="s">
        <v>27</v>
      </c>
      <c r="D1782" t="s">
        <v>11</v>
      </c>
      <c r="E1782" t="s">
        <v>20</v>
      </c>
      <c r="F1782">
        <v>57519252</v>
      </c>
      <c r="G1782">
        <v>57519252</v>
      </c>
      <c r="H1782">
        <v>57519252</v>
      </c>
      <c r="I1782">
        <v>57519252</v>
      </c>
    </row>
    <row r="1783" spans="1:9" x14ac:dyDescent="0.2">
      <c r="A1783" s="1" t="str">
        <f>"BTBD18"</f>
        <v>BTBD18</v>
      </c>
      <c r="B1783" t="s">
        <v>124</v>
      </c>
      <c r="C1783" t="s">
        <v>27</v>
      </c>
      <c r="D1783" t="s">
        <v>11</v>
      </c>
      <c r="E1783" t="s">
        <v>20</v>
      </c>
      <c r="F1783">
        <v>57518847</v>
      </c>
      <c r="G1783">
        <v>57518847</v>
      </c>
      <c r="H1783">
        <v>57518847</v>
      </c>
      <c r="I1783">
        <v>57518847</v>
      </c>
    </row>
    <row r="1784" spans="1:9" x14ac:dyDescent="0.2">
      <c r="A1784" s="1" t="str">
        <f>"BTBD19"</f>
        <v>BTBD19</v>
      </c>
      <c r="B1784" t="s">
        <v>14</v>
      </c>
      <c r="C1784" t="s">
        <v>19</v>
      </c>
      <c r="D1784" t="s">
        <v>17</v>
      </c>
      <c r="E1784" t="s">
        <v>12</v>
      </c>
      <c r="F1784">
        <v>45274177</v>
      </c>
      <c r="G1784">
        <v>45274242</v>
      </c>
      <c r="H1784">
        <v>45274251</v>
      </c>
      <c r="I1784">
        <v>45274273</v>
      </c>
    </row>
    <row r="1785" spans="1:9" x14ac:dyDescent="0.2">
      <c r="A1785" s="1" t="str">
        <f>"BTBD2"</f>
        <v>BTBD2</v>
      </c>
      <c r="B1785" t="s">
        <v>14</v>
      </c>
      <c r="C1785" t="s">
        <v>10</v>
      </c>
      <c r="D1785" t="s">
        <v>11</v>
      </c>
      <c r="E1785" t="s">
        <v>12</v>
      </c>
      <c r="F1785">
        <v>2015699</v>
      </c>
      <c r="G1785">
        <v>2015748</v>
      </c>
      <c r="H1785">
        <v>2015412</v>
      </c>
      <c r="I1785">
        <v>2015457</v>
      </c>
    </row>
    <row r="1786" spans="1:9" x14ac:dyDescent="0.2">
      <c r="A1786" s="1" t="str">
        <f>"BTBD3"</f>
        <v>BTBD3</v>
      </c>
      <c r="B1786" t="s">
        <v>14</v>
      </c>
      <c r="C1786" t="s">
        <v>29</v>
      </c>
      <c r="D1786" t="s">
        <v>17</v>
      </c>
      <c r="E1786" t="s">
        <v>12</v>
      </c>
      <c r="F1786">
        <v>11871433</v>
      </c>
      <c r="G1786">
        <v>11871525</v>
      </c>
      <c r="H1786">
        <v>11871433</v>
      </c>
      <c r="I1786">
        <v>11871525</v>
      </c>
    </row>
    <row r="1787" spans="1:9" x14ac:dyDescent="0.2">
      <c r="A1787" s="1" t="str">
        <f>"BTBD6"</f>
        <v>BTBD6</v>
      </c>
      <c r="B1787" t="s">
        <v>14</v>
      </c>
      <c r="C1787" t="s">
        <v>41</v>
      </c>
      <c r="D1787" t="s">
        <v>17</v>
      </c>
      <c r="E1787" t="s">
        <v>12</v>
      </c>
      <c r="F1787">
        <v>105714856</v>
      </c>
      <c r="G1787">
        <v>105714906</v>
      </c>
      <c r="H1787">
        <v>105714910</v>
      </c>
      <c r="I1787">
        <v>105714979</v>
      </c>
    </row>
    <row r="1788" spans="1:9" x14ac:dyDescent="0.2">
      <c r="A1788" s="1" t="str">
        <f>"BTBD7"</f>
        <v>BTBD7</v>
      </c>
      <c r="B1788" t="s">
        <v>14</v>
      </c>
      <c r="C1788" t="s">
        <v>41</v>
      </c>
      <c r="D1788" t="s">
        <v>11</v>
      </c>
      <c r="E1788" t="s">
        <v>12</v>
      </c>
      <c r="F1788">
        <v>93799360</v>
      </c>
      <c r="G1788">
        <v>93799409</v>
      </c>
      <c r="H1788">
        <v>93799420</v>
      </c>
      <c r="I1788">
        <v>93799431</v>
      </c>
    </row>
    <row r="1789" spans="1:9" x14ac:dyDescent="0.2">
      <c r="A1789" s="1" t="str">
        <f>"BTBD8"</f>
        <v>BTBD8</v>
      </c>
      <c r="B1789" t="s">
        <v>14</v>
      </c>
      <c r="C1789" t="s">
        <v>19</v>
      </c>
      <c r="D1789" t="s">
        <v>17</v>
      </c>
      <c r="E1789" t="s">
        <v>12</v>
      </c>
      <c r="F1789">
        <v>92545866</v>
      </c>
      <c r="G1789">
        <v>92545917</v>
      </c>
      <c r="H1789">
        <v>92546073</v>
      </c>
      <c r="I1789">
        <v>92546110</v>
      </c>
    </row>
    <row r="1790" spans="1:9" x14ac:dyDescent="0.2">
      <c r="A1790" s="1" t="str">
        <f>"BTBD9"</f>
        <v>BTBD9</v>
      </c>
      <c r="B1790" t="s">
        <v>14</v>
      </c>
      <c r="C1790" t="s">
        <v>32</v>
      </c>
      <c r="D1790" t="s">
        <v>11</v>
      </c>
      <c r="E1790" t="s">
        <v>12</v>
      </c>
      <c r="F1790">
        <v>38607673</v>
      </c>
      <c r="G1790">
        <v>38607749</v>
      </c>
      <c r="H1790">
        <v>38607598</v>
      </c>
      <c r="I1790">
        <v>38607626</v>
      </c>
    </row>
    <row r="1791" spans="1:9" x14ac:dyDescent="0.2">
      <c r="A1791" s="1" t="str">
        <f>"BTC"</f>
        <v>BTC</v>
      </c>
      <c r="B1791" t="s">
        <v>14</v>
      </c>
      <c r="C1791" t="s">
        <v>23</v>
      </c>
      <c r="D1791" t="s">
        <v>11</v>
      </c>
      <c r="E1791" t="s">
        <v>12</v>
      </c>
      <c r="F1791">
        <v>75719725</v>
      </c>
      <c r="G1791">
        <v>75719739</v>
      </c>
      <c r="H1791">
        <v>75719725</v>
      </c>
      <c r="I1791">
        <v>75719739</v>
      </c>
    </row>
    <row r="1792" spans="1:9" x14ac:dyDescent="0.2">
      <c r="A1792" s="1" t="str">
        <f>"BTD"</f>
        <v>BTD</v>
      </c>
      <c r="B1792" t="s">
        <v>14</v>
      </c>
      <c r="C1792" t="s">
        <v>22</v>
      </c>
      <c r="D1792" t="s">
        <v>17</v>
      </c>
      <c r="E1792" t="s">
        <v>12</v>
      </c>
      <c r="F1792">
        <v>15643245</v>
      </c>
      <c r="G1792">
        <v>15643318</v>
      </c>
      <c r="H1792">
        <v>15643504</v>
      </c>
      <c r="I1792">
        <v>15643557</v>
      </c>
    </row>
    <row r="1793" spans="1:9" x14ac:dyDescent="0.2">
      <c r="A1793" s="1" t="str">
        <f>"BTF3"</f>
        <v>BTF3</v>
      </c>
      <c r="B1793" t="s">
        <v>14</v>
      </c>
      <c r="C1793" t="s">
        <v>46</v>
      </c>
      <c r="D1793" t="s">
        <v>17</v>
      </c>
      <c r="E1793" t="s">
        <v>12</v>
      </c>
      <c r="F1793">
        <v>72794245</v>
      </c>
      <c r="G1793">
        <v>72794285</v>
      </c>
      <c r="H1793">
        <v>72794564</v>
      </c>
      <c r="I1793">
        <v>72794587</v>
      </c>
    </row>
    <row r="1794" spans="1:9" x14ac:dyDescent="0.2">
      <c r="A1794" s="1" t="str">
        <f>"BTF3L4"</f>
        <v>BTF3L4</v>
      </c>
      <c r="B1794" t="s">
        <v>14</v>
      </c>
      <c r="C1794" t="s">
        <v>19</v>
      </c>
      <c r="D1794" t="s">
        <v>17</v>
      </c>
      <c r="E1794" t="s">
        <v>12</v>
      </c>
      <c r="F1794">
        <v>52521957</v>
      </c>
      <c r="G1794">
        <v>52522010</v>
      </c>
      <c r="H1794">
        <v>52521928</v>
      </c>
      <c r="I1794">
        <v>52521948</v>
      </c>
    </row>
    <row r="1795" spans="1:9" x14ac:dyDescent="0.2">
      <c r="A1795" s="1" t="str">
        <f>"BTG1"</f>
        <v>BTG1</v>
      </c>
      <c r="B1795" t="s">
        <v>14</v>
      </c>
      <c r="C1795" t="s">
        <v>16</v>
      </c>
      <c r="D1795" t="s">
        <v>11</v>
      </c>
      <c r="E1795" t="s">
        <v>12</v>
      </c>
      <c r="F1795">
        <v>92539614</v>
      </c>
      <c r="G1795">
        <v>92539630</v>
      </c>
      <c r="H1795">
        <v>92539614</v>
      </c>
      <c r="I1795">
        <v>92539630</v>
      </c>
    </row>
    <row r="1796" spans="1:9" x14ac:dyDescent="0.2">
      <c r="A1796" s="1" t="str">
        <f>"BTG2"</f>
        <v>BTG2</v>
      </c>
      <c r="B1796" t="s">
        <v>14</v>
      </c>
      <c r="C1796" t="s">
        <v>19</v>
      </c>
      <c r="D1796" t="s">
        <v>17</v>
      </c>
      <c r="E1796" t="s">
        <v>12</v>
      </c>
      <c r="F1796">
        <v>203274639</v>
      </c>
      <c r="G1796">
        <v>203274654</v>
      </c>
      <c r="H1796">
        <v>203274312</v>
      </c>
      <c r="I1796">
        <v>203274320</v>
      </c>
    </row>
    <row r="1797" spans="1:9" x14ac:dyDescent="0.2">
      <c r="A1797" s="1" t="str">
        <f>"BTG3"</f>
        <v>BTG3</v>
      </c>
      <c r="B1797" t="s">
        <v>14</v>
      </c>
      <c r="C1797" t="s">
        <v>42</v>
      </c>
      <c r="D1797" t="s">
        <v>11</v>
      </c>
      <c r="E1797" t="s">
        <v>12</v>
      </c>
      <c r="F1797">
        <v>18985158</v>
      </c>
      <c r="G1797">
        <v>18985226</v>
      </c>
      <c r="H1797">
        <v>18985230</v>
      </c>
      <c r="I1797">
        <v>18985241</v>
      </c>
    </row>
    <row r="1798" spans="1:9" x14ac:dyDescent="0.2">
      <c r="A1798" s="1" t="str">
        <f>"BTG4"</f>
        <v>BTG4</v>
      </c>
      <c r="B1798" t="s">
        <v>14</v>
      </c>
      <c r="C1798" t="s">
        <v>27</v>
      </c>
      <c r="D1798" t="s">
        <v>11</v>
      </c>
      <c r="E1798" t="s">
        <v>12</v>
      </c>
      <c r="F1798">
        <v>111383096</v>
      </c>
      <c r="G1798">
        <v>111383116</v>
      </c>
      <c r="H1798">
        <v>111383056</v>
      </c>
      <c r="I1798">
        <v>111383065</v>
      </c>
    </row>
    <row r="1799" spans="1:9" x14ac:dyDescent="0.2">
      <c r="A1799" s="1" t="str">
        <f>"BTK"</f>
        <v>BTK</v>
      </c>
      <c r="B1799" t="s">
        <v>14</v>
      </c>
      <c r="C1799" t="s">
        <v>37</v>
      </c>
      <c r="D1799" t="s">
        <v>11</v>
      </c>
      <c r="E1799" t="s">
        <v>12</v>
      </c>
      <c r="F1799">
        <v>100641155</v>
      </c>
      <c r="G1799">
        <v>100641188</v>
      </c>
      <c r="H1799">
        <v>100641155</v>
      </c>
      <c r="I1799">
        <v>100641188</v>
      </c>
    </row>
    <row r="1800" spans="1:9" x14ac:dyDescent="0.2">
      <c r="A1800" s="1" t="str">
        <f>"BTLA"</f>
        <v>BTLA</v>
      </c>
      <c r="B1800" t="s">
        <v>14</v>
      </c>
      <c r="C1800" t="s">
        <v>22</v>
      </c>
      <c r="D1800" t="s">
        <v>11</v>
      </c>
      <c r="E1800" t="s">
        <v>12</v>
      </c>
      <c r="F1800">
        <v>112218304</v>
      </c>
      <c r="G1800">
        <v>112218325</v>
      </c>
      <c r="H1800">
        <v>112218378</v>
      </c>
      <c r="I1800">
        <v>112218418</v>
      </c>
    </row>
    <row r="1801" spans="1:9" x14ac:dyDescent="0.2">
      <c r="A1801" s="1" t="str">
        <f>"BTN1A1"</f>
        <v>BTN1A1</v>
      </c>
      <c r="B1801" t="s">
        <v>125</v>
      </c>
      <c r="C1801" t="s">
        <v>32</v>
      </c>
      <c r="D1801" t="s">
        <v>17</v>
      </c>
      <c r="E1801" t="s">
        <v>20</v>
      </c>
      <c r="F1801">
        <v>26501448</v>
      </c>
      <c r="G1801">
        <v>26501448</v>
      </c>
      <c r="H1801">
        <v>26501448</v>
      </c>
      <c r="I1801">
        <v>26501448</v>
      </c>
    </row>
    <row r="1802" spans="1:9" x14ac:dyDescent="0.2">
      <c r="A1802" s="1" t="str">
        <f>"BTN2A1"</f>
        <v>BTN2A1</v>
      </c>
      <c r="B1802" t="s">
        <v>14</v>
      </c>
      <c r="C1802" t="s">
        <v>32</v>
      </c>
      <c r="D1802" t="s">
        <v>17</v>
      </c>
      <c r="E1802" t="s">
        <v>12</v>
      </c>
      <c r="F1802">
        <v>26458171</v>
      </c>
      <c r="G1802">
        <v>26458208</v>
      </c>
      <c r="H1802">
        <v>26458152</v>
      </c>
      <c r="I1802">
        <v>26458164</v>
      </c>
    </row>
    <row r="1803" spans="1:9" x14ac:dyDescent="0.2">
      <c r="A1803" s="1" t="str">
        <f>"BTN2A2"</f>
        <v>BTN2A2</v>
      </c>
      <c r="B1803" t="s">
        <v>14</v>
      </c>
      <c r="C1803" t="s">
        <v>32</v>
      </c>
      <c r="D1803" t="s">
        <v>17</v>
      </c>
      <c r="E1803" t="s">
        <v>12</v>
      </c>
      <c r="F1803">
        <v>26383318</v>
      </c>
      <c r="G1803">
        <v>26383376</v>
      </c>
      <c r="H1803">
        <v>26383404</v>
      </c>
      <c r="I1803">
        <v>26383454</v>
      </c>
    </row>
    <row r="1804" spans="1:9" x14ac:dyDescent="0.2">
      <c r="A1804" s="1" t="str">
        <f>"BTN3A1"</f>
        <v>BTN3A1</v>
      </c>
      <c r="B1804" t="s">
        <v>14</v>
      </c>
      <c r="C1804" t="s">
        <v>32</v>
      </c>
      <c r="D1804" t="s">
        <v>17</v>
      </c>
      <c r="E1804" t="s">
        <v>12</v>
      </c>
      <c r="F1804">
        <v>26402472</v>
      </c>
      <c r="G1804">
        <v>26402512</v>
      </c>
      <c r="H1804">
        <v>26402517</v>
      </c>
      <c r="I1804">
        <v>26402535</v>
      </c>
    </row>
    <row r="1805" spans="1:9" x14ac:dyDescent="0.2">
      <c r="A1805" s="1" t="str">
        <f>"BTN3A2"</f>
        <v>BTN3A2</v>
      </c>
      <c r="B1805" t="s">
        <v>14</v>
      </c>
      <c r="C1805" t="s">
        <v>32</v>
      </c>
      <c r="D1805" t="s">
        <v>17</v>
      </c>
      <c r="E1805" t="s">
        <v>12</v>
      </c>
      <c r="F1805">
        <v>26365443</v>
      </c>
      <c r="G1805">
        <v>26365493</v>
      </c>
      <c r="H1805">
        <v>26365404</v>
      </c>
      <c r="I1805">
        <v>26365440</v>
      </c>
    </row>
    <row r="1806" spans="1:9" x14ac:dyDescent="0.2">
      <c r="A1806" s="1" t="str">
        <f>"BTN3A3"</f>
        <v>BTN3A3</v>
      </c>
      <c r="B1806" t="s">
        <v>14</v>
      </c>
      <c r="C1806" t="s">
        <v>32</v>
      </c>
      <c r="D1806" t="s">
        <v>17</v>
      </c>
      <c r="E1806" t="s">
        <v>12</v>
      </c>
      <c r="F1806">
        <v>26440710</v>
      </c>
      <c r="G1806">
        <v>26440788</v>
      </c>
      <c r="H1806">
        <v>26440710</v>
      </c>
      <c r="I1806">
        <v>26440788</v>
      </c>
    </row>
    <row r="1807" spans="1:9" x14ac:dyDescent="0.2">
      <c r="A1807" s="1" t="str">
        <f>"BTNL2"</f>
        <v>BTNL2</v>
      </c>
      <c r="B1807" t="s">
        <v>14</v>
      </c>
      <c r="C1807" t="s">
        <v>32</v>
      </c>
      <c r="D1807" t="s">
        <v>11</v>
      </c>
      <c r="E1807" t="s">
        <v>12</v>
      </c>
      <c r="F1807">
        <v>32379489</v>
      </c>
      <c r="G1807">
        <v>32379490</v>
      </c>
      <c r="H1807">
        <v>32379489</v>
      </c>
      <c r="I1807">
        <v>32379490</v>
      </c>
    </row>
    <row r="1808" spans="1:9" x14ac:dyDescent="0.2">
      <c r="A1808" s="1" t="str">
        <f>"BTNL3"</f>
        <v>BTNL3</v>
      </c>
      <c r="B1808" t="s">
        <v>14</v>
      </c>
      <c r="C1808" t="s">
        <v>46</v>
      </c>
      <c r="D1808" t="s">
        <v>17</v>
      </c>
      <c r="E1808" t="s">
        <v>12</v>
      </c>
      <c r="F1808">
        <v>180415881</v>
      </c>
      <c r="G1808">
        <v>180415903</v>
      </c>
      <c r="H1808">
        <v>180415839</v>
      </c>
      <c r="I1808">
        <v>180415851</v>
      </c>
    </row>
    <row r="1809" spans="1:9" x14ac:dyDescent="0.2">
      <c r="A1809" s="1" t="str">
        <f>"BTNL8"</f>
        <v>BTNL8</v>
      </c>
      <c r="B1809" t="s">
        <v>14</v>
      </c>
      <c r="C1809" t="s">
        <v>46</v>
      </c>
      <c r="D1809" t="s">
        <v>17</v>
      </c>
      <c r="E1809" t="s">
        <v>12</v>
      </c>
      <c r="F1809">
        <v>180326145</v>
      </c>
      <c r="G1809">
        <v>180326166</v>
      </c>
      <c r="H1809">
        <v>180326100</v>
      </c>
      <c r="I1809">
        <v>180326136</v>
      </c>
    </row>
    <row r="1810" spans="1:9" x14ac:dyDescent="0.2">
      <c r="A1810" s="1" t="str">
        <f>"BTNL9"</f>
        <v>BTNL9</v>
      </c>
      <c r="B1810" t="s">
        <v>9</v>
      </c>
      <c r="C1810" t="s">
        <v>46</v>
      </c>
      <c r="D1810" t="s">
        <v>17</v>
      </c>
      <c r="E1810" t="s">
        <v>12</v>
      </c>
      <c r="F1810">
        <v>180467259</v>
      </c>
      <c r="G1810">
        <v>180467278</v>
      </c>
      <c r="H1810">
        <v>180467259</v>
      </c>
      <c r="I1810">
        <v>180467278</v>
      </c>
    </row>
    <row r="1811" spans="1:9" x14ac:dyDescent="0.2">
      <c r="A1811" s="1" t="str">
        <f>"BTNL9"</f>
        <v>BTNL9</v>
      </c>
      <c r="B1811" t="s">
        <v>13</v>
      </c>
      <c r="C1811" t="s">
        <v>46</v>
      </c>
      <c r="D1811" t="s">
        <v>17</v>
      </c>
      <c r="E1811" t="s">
        <v>12</v>
      </c>
      <c r="F1811">
        <v>180480034</v>
      </c>
      <c r="G1811">
        <v>180480083</v>
      </c>
      <c r="H1811">
        <v>180480034</v>
      </c>
      <c r="I1811">
        <v>180480083</v>
      </c>
    </row>
    <row r="1812" spans="1:9" x14ac:dyDescent="0.2">
      <c r="A1812" s="1" t="str">
        <f>"BTRC"</f>
        <v>BTRC</v>
      </c>
      <c r="B1812" t="s">
        <v>14</v>
      </c>
      <c r="C1812" t="s">
        <v>15</v>
      </c>
      <c r="D1812" t="s">
        <v>17</v>
      </c>
      <c r="E1812" t="s">
        <v>12</v>
      </c>
      <c r="F1812">
        <v>103113840</v>
      </c>
      <c r="G1812">
        <v>103113933</v>
      </c>
      <c r="H1812">
        <v>103113802</v>
      </c>
      <c r="I1812">
        <v>103113813</v>
      </c>
    </row>
    <row r="1813" spans="1:9" x14ac:dyDescent="0.2">
      <c r="A1813" s="1" t="str">
        <f>"BUB1"</f>
        <v>BUB1</v>
      </c>
      <c r="B1813" t="s">
        <v>14</v>
      </c>
      <c r="C1813" t="s">
        <v>26</v>
      </c>
      <c r="D1813" t="s">
        <v>11</v>
      </c>
      <c r="E1813" t="s">
        <v>12</v>
      </c>
      <c r="F1813">
        <v>111435630</v>
      </c>
      <c r="G1813">
        <v>111435648</v>
      </c>
      <c r="H1813">
        <v>111435630</v>
      </c>
      <c r="I1813">
        <v>111435648</v>
      </c>
    </row>
    <row r="1814" spans="1:9" x14ac:dyDescent="0.2">
      <c r="A1814" s="1" t="str">
        <f>"BUB1B"</f>
        <v>BUB1B</v>
      </c>
      <c r="B1814" t="s">
        <v>14</v>
      </c>
      <c r="C1814" t="s">
        <v>25</v>
      </c>
      <c r="D1814" t="s">
        <v>17</v>
      </c>
      <c r="E1814" t="s">
        <v>12</v>
      </c>
      <c r="F1814">
        <v>40453204</v>
      </c>
      <c r="G1814">
        <v>40453304</v>
      </c>
      <c r="H1814">
        <v>40453314</v>
      </c>
      <c r="I1814">
        <v>40453331</v>
      </c>
    </row>
    <row r="1815" spans="1:9" x14ac:dyDescent="0.2">
      <c r="A1815" s="1" t="str">
        <f>"BUB3"</f>
        <v>BUB3</v>
      </c>
      <c r="B1815" t="s">
        <v>14</v>
      </c>
      <c r="C1815" t="s">
        <v>15</v>
      </c>
      <c r="D1815" t="s">
        <v>17</v>
      </c>
      <c r="E1815" t="s">
        <v>12</v>
      </c>
      <c r="F1815">
        <v>124913880</v>
      </c>
      <c r="G1815">
        <v>124913927</v>
      </c>
      <c r="H1815">
        <v>124913930</v>
      </c>
      <c r="I1815">
        <v>124913946</v>
      </c>
    </row>
    <row r="1816" spans="1:9" x14ac:dyDescent="0.2">
      <c r="A1816" s="1" t="str">
        <f>"BUD13"</f>
        <v>BUD13</v>
      </c>
      <c r="B1816" t="s">
        <v>14</v>
      </c>
      <c r="C1816" t="s">
        <v>27</v>
      </c>
      <c r="D1816" t="s">
        <v>11</v>
      </c>
      <c r="E1816" t="s">
        <v>12</v>
      </c>
      <c r="F1816">
        <v>116643688</v>
      </c>
      <c r="G1816">
        <v>116643719</v>
      </c>
      <c r="H1816">
        <v>116643688</v>
      </c>
      <c r="I1816">
        <v>116643719</v>
      </c>
    </row>
    <row r="1817" spans="1:9" x14ac:dyDescent="0.2">
      <c r="A1817" s="1" t="str">
        <f>"BUD31"</f>
        <v>BUD31</v>
      </c>
      <c r="B1817" t="s">
        <v>14</v>
      </c>
      <c r="C1817" t="s">
        <v>33</v>
      </c>
      <c r="D1817" t="s">
        <v>17</v>
      </c>
      <c r="E1817" t="s">
        <v>12</v>
      </c>
      <c r="F1817">
        <v>99006550</v>
      </c>
      <c r="G1817">
        <v>99006600</v>
      </c>
      <c r="H1817">
        <v>99006267</v>
      </c>
      <c r="I1817">
        <v>99006293</v>
      </c>
    </row>
    <row r="1818" spans="1:9" x14ac:dyDescent="0.2">
      <c r="A1818" s="1" t="str">
        <f>"BVES"</f>
        <v>BVES</v>
      </c>
      <c r="B1818" t="s">
        <v>14</v>
      </c>
      <c r="C1818" t="s">
        <v>32</v>
      </c>
      <c r="D1818" t="s">
        <v>11</v>
      </c>
      <c r="E1818" t="s">
        <v>12</v>
      </c>
      <c r="F1818">
        <v>105585022</v>
      </c>
      <c r="G1818">
        <v>105585112</v>
      </c>
      <c r="H1818">
        <v>105584976</v>
      </c>
      <c r="I1818">
        <v>105584993</v>
      </c>
    </row>
    <row r="1819" spans="1:9" x14ac:dyDescent="0.2">
      <c r="A1819" s="1" t="str">
        <f>"BYSL"</f>
        <v>BYSL</v>
      </c>
      <c r="B1819" t="s">
        <v>14</v>
      </c>
      <c r="C1819" t="s">
        <v>32</v>
      </c>
      <c r="D1819" t="s">
        <v>17</v>
      </c>
      <c r="E1819" t="s">
        <v>12</v>
      </c>
      <c r="F1819">
        <v>41889229</v>
      </c>
      <c r="G1819">
        <v>41889246</v>
      </c>
      <c r="H1819">
        <v>41889253</v>
      </c>
      <c r="I1819">
        <v>41889264</v>
      </c>
    </row>
    <row r="1820" spans="1:9" x14ac:dyDescent="0.2">
      <c r="A1820" s="1" t="str">
        <f>"BZRAP1"</f>
        <v>BZRAP1</v>
      </c>
      <c r="B1820" t="s">
        <v>14</v>
      </c>
      <c r="C1820" t="s">
        <v>28</v>
      </c>
      <c r="D1820" t="s">
        <v>11</v>
      </c>
      <c r="E1820" t="s">
        <v>12</v>
      </c>
      <c r="F1820">
        <v>56406117</v>
      </c>
      <c r="G1820">
        <v>56406165</v>
      </c>
      <c r="H1820">
        <v>56406170</v>
      </c>
      <c r="I1820">
        <v>56406184</v>
      </c>
    </row>
    <row r="1821" spans="1:9" x14ac:dyDescent="0.2">
      <c r="A1821" s="1" t="str">
        <f>"BZW1"</f>
        <v>BZW1</v>
      </c>
      <c r="B1821" t="s">
        <v>14</v>
      </c>
      <c r="C1821" t="s">
        <v>26</v>
      </c>
      <c r="D1821" t="s">
        <v>17</v>
      </c>
      <c r="E1821" t="s">
        <v>12</v>
      </c>
      <c r="F1821">
        <v>201676600</v>
      </c>
      <c r="G1821">
        <v>201676667</v>
      </c>
      <c r="H1821">
        <v>201676256</v>
      </c>
      <c r="I1821">
        <v>201676323</v>
      </c>
    </row>
    <row r="1822" spans="1:9" x14ac:dyDescent="0.2">
      <c r="A1822" s="1" t="str">
        <f>"BZW2"</f>
        <v>BZW2</v>
      </c>
      <c r="B1822" t="s">
        <v>14</v>
      </c>
      <c r="C1822" t="s">
        <v>33</v>
      </c>
      <c r="D1822" t="s">
        <v>17</v>
      </c>
      <c r="E1822" t="s">
        <v>12</v>
      </c>
      <c r="F1822">
        <v>16685764</v>
      </c>
      <c r="G1822">
        <v>16685820</v>
      </c>
      <c r="H1822">
        <v>16685764</v>
      </c>
      <c r="I1822">
        <v>16685820</v>
      </c>
    </row>
    <row r="1823" spans="1:9" x14ac:dyDescent="0.2">
      <c r="A1823" s="1" t="str">
        <f>"C10orf10"</f>
        <v>C10orf10</v>
      </c>
      <c r="B1823" t="s">
        <v>14</v>
      </c>
      <c r="C1823" t="s">
        <v>15</v>
      </c>
      <c r="D1823" t="s">
        <v>11</v>
      </c>
      <c r="E1823" t="s">
        <v>12</v>
      </c>
      <c r="F1823">
        <v>45474250</v>
      </c>
      <c r="G1823">
        <v>45474264</v>
      </c>
      <c r="H1823">
        <v>45473374</v>
      </c>
      <c r="I1823">
        <v>45473404</v>
      </c>
    </row>
    <row r="1824" spans="1:9" x14ac:dyDescent="0.2">
      <c r="A1824" s="1" t="str">
        <f>"C10orf105"</f>
        <v>C10orf105</v>
      </c>
      <c r="B1824" t="s">
        <v>14</v>
      </c>
      <c r="C1824" t="s">
        <v>15</v>
      </c>
      <c r="D1824" t="s">
        <v>11</v>
      </c>
      <c r="E1824" t="s">
        <v>12</v>
      </c>
      <c r="F1824">
        <v>73479529</v>
      </c>
      <c r="G1824">
        <v>73479541</v>
      </c>
      <c r="H1824">
        <v>73479489</v>
      </c>
      <c r="I1824">
        <v>73479508</v>
      </c>
    </row>
    <row r="1825" spans="1:9" x14ac:dyDescent="0.2">
      <c r="A1825" s="1" t="str">
        <f>"C10orf107"</f>
        <v>C10orf107</v>
      </c>
      <c r="B1825" t="s">
        <v>14</v>
      </c>
      <c r="C1825" t="s">
        <v>15</v>
      </c>
      <c r="D1825" t="s">
        <v>17</v>
      </c>
      <c r="E1825" t="s">
        <v>12</v>
      </c>
      <c r="F1825">
        <v>63422695</v>
      </c>
      <c r="G1825">
        <v>63422725</v>
      </c>
      <c r="H1825">
        <v>63422678</v>
      </c>
      <c r="I1825">
        <v>63422694</v>
      </c>
    </row>
    <row r="1826" spans="1:9" x14ac:dyDescent="0.2">
      <c r="A1826" s="1" t="str">
        <f>"C10orf11"</f>
        <v>C10orf11</v>
      </c>
      <c r="B1826" t="s">
        <v>126</v>
      </c>
      <c r="C1826" t="s">
        <v>15</v>
      </c>
      <c r="D1826" t="s">
        <v>17</v>
      </c>
      <c r="E1826" t="s">
        <v>20</v>
      </c>
      <c r="F1826">
        <v>77542518</v>
      </c>
      <c r="G1826">
        <v>77542518</v>
      </c>
      <c r="H1826">
        <v>77542518</v>
      </c>
      <c r="I1826">
        <v>77542518</v>
      </c>
    </row>
    <row r="1827" spans="1:9" x14ac:dyDescent="0.2">
      <c r="A1827" s="1" t="str">
        <f>"C10orf111"</f>
        <v>C10orf111</v>
      </c>
      <c r="B1827" t="s">
        <v>14</v>
      </c>
      <c r="C1827" t="s">
        <v>15</v>
      </c>
      <c r="D1827" t="s">
        <v>11</v>
      </c>
      <c r="E1827" t="s">
        <v>12</v>
      </c>
      <c r="F1827">
        <v>15139614</v>
      </c>
      <c r="G1827">
        <v>15139671</v>
      </c>
      <c r="H1827">
        <v>15139313</v>
      </c>
      <c r="I1827">
        <v>15139334</v>
      </c>
    </row>
    <row r="1828" spans="1:9" x14ac:dyDescent="0.2">
      <c r="A1828" s="1" t="str">
        <f>"C10orf112"</f>
        <v>C10orf112</v>
      </c>
      <c r="B1828" t="s">
        <v>127</v>
      </c>
      <c r="C1828" t="s">
        <v>15</v>
      </c>
      <c r="D1828" t="s">
        <v>17</v>
      </c>
      <c r="E1828" t="s">
        <v>20</v>
      </c>
      <c r="F1828">
        <v>19493244</v>
      </c>
      <c r="G1828">
        <v>19493244</v>
      </c>
      <c r="H1828">
        <v>19493244</v>
      </c>
      <c r="I1828">
        <v>19493244</v>
      </c>
    </row>
    <row r="1829" spans="1:9" x14ac:dyDescent="0.2">
      <c r="A1829" s="1" t="str">
        <f>"C10orf113"</f>
        <v>C10orf113</v>
      </c>
      <c r="B1829" t="s">
        <v>128</v>
      </c>
      <c r="C1829" t="s">
        <v>15</v>
      </c>
      <c r="D1829" t="s">
        <v>11</v>
      </c>
      <c r="E1829" t="s">
        <v>20</v>
      </c>
      <c r="F1829">
        <v>21435487</v>
      </c>
      <c r="G1829">
        <v>21435487</v>
      </c>
      <c r="H1829">
        <v>21435487</v>
      </c>
      <c r="I1829">
        <v>21435487</v>
      </c>
    </row>
    <row r="1830" spans="1:9" x14ac:dyDescent="0.2">
      <c r="A1830" s="1" t="str">
        <f>"C10orf118"</f>
        <v>C10orf118</v>
      </c>
      <c r="B1830" t="s">
        <v>9</v>
      </c>
      <c r="C1830" t="s">
        <v>15</v>
      </c>
      <c r="D1830" t="s">
        <v>11</v>
      </c>
      <c r="E1830" t="s">
        <v>12</v>
      </c>
      <c r="F1830">
        <v>115933942</v>
      </c>
      <c r="G1830">
        <v>115933996</v>
      </c>
      <c r="H1830">
        <v>115933942</v>
      </c>
      <c r="I1830">
        <v>115933996</v>
      </c>
    </row>
    <row r="1831" spans="1:9" x14ac:dyDescent="0.2">
      <c r="A1831" s="1" t="str">
        <f>"C10orf118"</f>
        <v>C10orf118</v>
      </c>
      <c r="B1831" t="s">
        <v>13</v>
      </c>
      <c r="C1831" t="s">
        <v>15</v>
      </c>
      <c r="D1831" t="s">
        <v>11</v>
      </c>
      <c r="E1831" t="s">
        <v>12</v>
      </c>
      <c r="F1831">
        <v>115904361</v>
      </c>
      <c r="G1831">
        <v>115904375</v>
      </c>
      <c r="H1831">
        <v>115904361</v>
      </c>
      <c r="I1831">
        <v>115904375</v>
      </c>
    </row>
    <row r="1832" spans="1:9" x14ac:dyDescent="0.2">
      <c r="A1832" s="1" t="str">
        <f>"C10orf12"</f>
        <v>C10orf12</v>
      </c>
      <c r="B1832" t="s">
        <v>129</v>
      </c>
      <c r="C1832" t="s">
        <v>15</v>
      </c>
      <c r="D1832" t="s">
        <v>17</v>
      </c>
      <c r="E1832" t="s">
        <v>20</v>
      </c>
      <c r="F1832">
        <v>98741040</v>
      </c>
      <c r="G1832">
        <v>98741040</v>
      </c>
      <c r="H1832">
        <v>98741040</v>
      </c>
      <c r="I1832">
        <v>98741040</v>
      </c>
    </row>
    <row r="1833" spans="1:9" x14ac:dyDescent="0.2">
      <c r="A1833" s="1" t="str">
        <f>"C10orf120"</f>
        <v>C10orf120</v>
      </c>
      <c r="B1833" t="s">
        <v>14</v>
      </c>
      <c r="C1833" t="s">
        <v>15</v>
      </c>
      <c r="D1833" t="s">
        <v>11</v>
      </c>
      <c r="E1833" t="s">
        <v>12</v>
      </c>
      <c r="F1833">
        <v>124459351</v>
      </c>
      <c r="G1833">
        <v>124459369</v>
      </c>
      <c r="H1833">
        <v>124459336</v>
      </c>
      <c r="I1833">
        <v>124459345</v>
      </c>
    </row>
    <row r="1834" spans="1:9" x14ac:dyDescent="0.2">
      <c r="A1834" s="1" t="str">
        <f>"C10orf126"</f>
        <v>C10orf126</v>
      </c>
      <c r="B1834" t="s">
        <v>130</v>
      </c>
      <c r="C1834" t="s">
        <v>15</v>
      </c>
      <c r="D1834" t="s">
        <v>17</v>
      </c>
      <c r="E1834" t="s">
        <v>20</v>
      </c>
      <c r="F1834">
        <v>29135336</v>
      </c>
      <c r="G1834">
        <v>29135336</v>
      </c>
      <c r="H1834">
        <v>29135336</v>
      </c>
      <c r="I1834">
        <v>29135336</v>
      </c>
    </row>
    <row r="1835" spans="1:9" x14ac:dyDescent="0.2">
      <c r="A1835" s="1" t="str">
        <f>"C10orf128"</f>
        <v>C10orf128</v>
      </c>
      <c r="B1835" t="s">
        <v>14</v>
      </c>
      <c r="C1835" t="s">
        <v>15</v>
      </c>
      <c r="D1835" t="s">
        <v>11</v>
      </c>
      <c r="E1835" t="s">
        <v>12</v>
      </c>
      <c r="F1835">
        <v>50396425</v>
      </c>
      <c r="G1835">
        <v>50396450</v>
      </c>
      <c r="H1835">
        <v>50396384</v>
      </c>
      <c r="I1835">
        <v>50396403</v>
      </c>
    </row>
    <row r="1836" spans="1:9" x14ac:dyDescent="0.2">
      <c r="A1836" s="1" t="str">
        <f>"C10orf129"</f>
        <v>C10orf129</v>
      </c>
      <c r="B1836" t="s">
        <v>14</v>
      </c>
      <c r="C1836" t="s">
        <v>15</v>
      </c>
      <c r="D1836" t="s">
        <v>17</v>
      </c>
      <c r="E1836" t="s">
        <v>12</v>
      </c>
      <c r="F1836">
        <v>96953989</v>
      </c>
      <c r="G1836">
        <v>96953999</v>
      </c>
      <c r="H1836">
        <v>96953963</v>
      </c>
      <c r="I1836">
        <v>96953971</v>
      </c>
    </row>
    <row r="1837" spans="1:9" x14ac:dyDescent="0.2">
      <c r="A1837" s="1" t="str">
        <f>"C10orf131"</f>
        <v>C10orf131</v>
      </c>
      <c r="B1837" t="s">
        <v>14</v>
      </c>
      <c r="C1837" t="s">
        <v>15</v>
      </c>
      <c r="D1837" t="s">
        <v>17</v>
      </c>
      <c r="E1837" t="s">
        <v>12</v>
      </c>
      <c r="F1837">
        <v>97667670</v>
      </c>
      <c r="G1837">
        <v>97667701</v>
      </c>
      <c r="H1837">
        <v>97667727</v>
      </c>
      <c r="I1837">
        <v>97667736</v>
      </c>
    </row>
    <row r="1838" spans="1:9" x14ac:dyDescent="0.2">
      <c r="A1838" s="1" t="str">
        <f>"C10orf137"</f>
        <v>C10orf137</v>
      </c>
      <c r="B1838" t="s">
        <v>14</v>
      </c>
      <c r="C1838" t="s">
        <v>15</v>
      </c>
      <c r="D1838" t="s">
        <v>17</v>
      </c>
      <c r="E1838" t="s">
        <v>12</v>
      </c>
      <c r="F1838">
        <v>127408263</v>
      </c>
      <c r="G1838">
        <v>127408308</v>
      </c>
      <c r="H1838">
        <v>127408315</v>
      </c>
      <c r="I1838">
        <v>127408326</v>
      </c>
    </row>
    <row r="1839" spans="1:9" x14ac:dyDescent="0.2">
      <c r="A1839" s="1" t="str">
        <f>"C10orf2"</f>
        <v>C10orf2</v>
      </c>
      <c r="B1839" t="s">
        <v>14</v>
      </c>
      <c r="C1839" t="s">
        <v>15</v>
      </c>
      <c r="D1839" t="s">
        <v>17</v>
      </c>
      <c r="E1839" t="s">
        <v>12</v>
      </c>
      <c r="F1839">
        <v>102747286</v>
      </c>
      <c r="G1839">
        <v>102747333</v>
      </c>
      <c r="H1839">
        <v>102747336</v>
      </c>
      <c r="I1839">
        <v>102747343</v>
      </c>
    </row>
    <row r="1840" spans="1:9" x14ac:dyDescent="0.2">
      <c r="A1840" s="1" t="str">
        <f>"C10orf25"</f>
        <v>C10orf25</v>
      </c>
      <c r="B1840" t="s">
        <v>14</v>
      </c>
      <c r="C1840" t="s">
        <v>15</v>
      </c>
      <c r="D1840" t="s">
        <v>11</v>
      </c>
      <c r="E1840" t="s">
        <v>12</v>
      </c>
      <c r="F1840">
        <v>45496218</v>
      </c>
      <c r="G1840">
        <v>45496270</v>
      </c>
      <c r="H1840">
        <v>45496467</v>
      </c>
      <c r="I1840">
        <v>45496530</v>
      </c>
    </row>
    <row r="1841" spans="1:9" x14ac:dyDescent="0.2">
      <c r="A1841" s="1" t="str">
        <f>"C10orf32"</f>
        <v>C10orf32</v>
      </c>
      <c r="B1841" t="s">
        <v>14</v>
      </c>
      <c r="C1841" t="s">
        <v>15</v>
      </c>
      <c r="D1841" t="s">
        <v>17</v>
      </c>
      <c r="E1841" t="s">
        <v>12</v>
      </c>
      <c r="F1841">
        <v>104614008</v>
      </c>
      <c r="G1841">
        <v>104614042</v>
      </c>
      <c r="H1841">
        <v>104613980</v>
      </c>
      <c r="I1841">
        <v>104613989</v>
      </c>
    </row>
    <row r="1842" spans="1:9" x14ac:dyDescent="0.2">
      <c r="A1842" s="1" t="str">
        <f>"C10orf35"</f>
        <v>C10orf35</v>
      </c>
      <c r="B1842" t="s">
        <v>14</v>
      </c>
      <c r="C1842" t="s">
        <v>15</v>
      </c>
      <c r="D1842" t="s">
        <v>17</v>
      </c>
      <c r="E1842" t="s">
        <v>12</v>
      </c>
      <c r="F1842">
        <v>71389983</v>
      </c>
      <c r="G1842">
        <v>71390040</v>
      </c>
      <c r="H1842">
        <v>71390057</v>
      </c>
      <c r="I1842">
        <v>71390067</v>
      </c>
    </row>
    <row r="1843" spans="1:9" x14ac:dyDescent="0.2">
      <c r="A1843" s="1" t="str">
        <f>"C10orf53"</f>
        <v>C10orf53</v>
      </c>
      <c r="B1843" t="s">
        <v>14</v>
      </c>
      <c r="C1843" t="s">
        <v>15</v>
      </c>
      <c r="D1843" t="s">
        <v>17</v>
      </c>
      <c r="E1843" t="s">
        <v>12</v>
      </c>
      <c r="F1843">
        <v>50887683</v>
      </c>
      <c r="G1843">
        <v>50887735</v>
      </c>
      <c r="H1843">
        <v>50887683</v>
      </c>
      <c r="I1843">
        <v>50887735</v>
      </c>
    </row>
    <row r="1844" spans="1:9" x14ac:dyDescent="0.2">
      <c r="A1844" s="1" t="str">
        <f>"C10orf54"</f>
        <v>C10orf54</v>
      </c>
      <c r="B1844" t="s">
        <v>14</v>
      </c>
      <c r="C1844" t="s">
        <v>15</v>
      </c>
      <c r="D1844" t="s">
        <v>11</v>
      </c>
      <c r="E1844" t="s">
        <v>12</v>
      </c>
      <c r="F1844">
        <v>73533270</v>
      </c>
      <c r="G1844">
        <v>73533303</v>
      </c>
      <c r="H1844">
        <v>73533309</v>
      </c>
      <c r="I1844">
        <v>73533321</v>
      </c>
    </row>
    <row r="1845" spans="1:9" x14ac:dyDescent="0.2">
      <c r="A1845" s="1" t="str">
        <f>"C10orf55"</f>
        <v>C10orf55</v>
      </c>
      <c r="B1845" t="s">
        <v>14</v>
      </c>
      <c r="C1845" t="s">
        <v>15</v>
      </c>
      <c r="D1845" t="s">
        <v>11</v>
      </c>
      <c r="E1845" t="s">
        <v>12</v>
      </c>
      <c r="F1845">
        <v>75676888</v>
      </c>
      <c r="G1845">
        <v>75676908</v>
      </c>
      <c r="H1845">
        <v>75676888</v>
      </c>
      <c r="I1845">
        <v>75676908</v>
      </c>
    </row>
    <row r="1846" spans="1:9" x14ac:dyDescent="0.2">
      <c r="A1846" s="1" t="str">
        <f>"C10orf62"</f>
        <v>C10orf62</v>
      </c>
      <c r="B1846" t="s">
        <v>14</v>
      </c>
      <c r="C1846" t="s">
        <v>15</v>
      </c>
      <c r="D1846" t="s">
        <v>17</v>
      </c>
      <c r="E1846" t="s">
        <v>12</v>
      </c>
      <c r="F1846">
        <v>99349465</v>
      </c>
      <c r="G1846">
        <v>99349484</v>
      </c>
      <c r="H1846">
        <v>99349450</v>
      </c>
      <c r="I1846">
        <v>99349458</v>
      </c>
    </row>
    <row r="1847" spans="1:9" x14ac:dyDescent="0.2">
      <c r="A1847" s="1" t="str">
        <f>"C10orf67"</f>
        <v>C10orf67</v>
      </c>
      <c r="B1847" t="s">
        <v>14</v>
      </c>
      <c r="C1847" t="s">
        <v>15</v>
      </c>
      <c r="D1847" t="s">
        <v>11</v>
      </c>
      <c r="E1847" t="s">
        <v>12</v>
      </c>
      <c r="F1847">
        <v>23633589</v>
      </c>
      <c r="G1847">
        <v>23633616</v>
      </c>
      <c r="H1847">
        <v>23633720</v>
      </c>
      <c r="I1847">
        <v>23633731</v>
      </c>
    </row>
    <row r="1848" spans="1:9" x14ac:dyDescent="0.2">
      <c r="A1848" s="1" t="str">
        <f>"C10orf71"</f>
        <v>C10orf71</v>
      </c>
      <c r="B1848" t="s">
        <v>14</v>
      </c>
      <c r="C1848" t="s">
        <v>15</v>
      </c>
      <c r="D1848" t="s">
        <v>17</v>
      </c>
      <c r="E1848" t="s">
        <v>12</v>
      </c>
      <c r="F1848">
        <v>50507232</v>
      </c>
      <c r="G1848">
        <v>50507257</v>
      </c>
      <c r="H1848">
        <v>50507203</v>
      </c>
      <c r="I1848">
        <v>50507224</v>
      </c>
    </row>
    <row r="1849" spans="1:9" x14ac:dyDescent="0.2">
      <c r="A1849" s="1" t="str">
        <f>"C10orf76"</f>
        <v>C10orf76</v>
      </c>
      <c r="B1849" t="s">
        <v>14</v>
      </c>
      <c r="C1849" t="s">
        <v>15</v>
      </c>
      <c r="D1849" t="s">
        <v>11</v>
      </c>
      <c r="E1849" t="s">
        <v>12</v>
      </c>
      <c r="F1849">
        <v>103815874</v>
      </c>
      <c r="G1849">
        <v>103815953</v>
      </c>
      <c r="H1849">
        <v>103815994</v>
      </c>
      <c r="I1849">
        <v>103816012</v>
      </c>
    </row>
    <row r="1850" spans="1:9" x14ac:dyDescent="0.2">
      <c r="A1850" s="1" t="str">
        <f>"C10orf82"</f>
        <v>C10orf82</v>
      </c>
      <c r="B1850" t="s">
        <v>14</v>
      </c>
      <c r="C1850" t="s">
        <v>15</v>
      </c>
      <c r="D1850" t="s">
        <v>11</v>
      </c>
      <c r="E1850" t="s">
        <v>12</v>
      </c>
      <c r="F1850">
        <v>118429755</v>
      </c>
      <c r="G1850">
        <v>118429805</v>
      </c>
      <c r="H1850">
        <v>118429461</v>
      </c>
      <c r="I1850">
        <v>118429484</v>
      </c>
    </row>
    <row r="1851" spans="1:9" x14ac:dyDescent="0.2">
      <c r="A1851" s="1" t="str">
        <f>"C10orf88"</f>
        <v>C10orf88</v>
      </c>
      <c r="B1851" t="s">
        <v>14</v>
      </c>
      <c r="C1851" t="s">
        <v>15</v>
      </c>
      <c r="D1851" t="s">
        <v>11</v>
      </c>
      <c r="E1851" t="s">
        <v>12</v>
      </c>
      <c r="F1851">
        <v>124713698</v>
      </c>
      <c r="G1851">
        <v>124713749</v>
      </c>
      <c r="H1851">
        <v>124713764</v>
      </c>
      <c r="I1851">
        <v>124713790</v>
      </c>
    </row>
    <row r="1852" spans="1:9" x14ac:dyDescent="0.2">
      <c r="A1852" s="1" t="str">
        <f>"C10orf90"</f>
        <v>C10orf90</v>
      </c>
      <c r="B1852" t="s">
        <v>131</v>
      </c>
      <c r="C1852" t="s">
        <v>15</v>
      </c>
      <c r="D1852" t="s">
        <v>11</v>
      </c>
      <c r="E1852" t="s">
        <v>35</v>
      </c>
      <c r="F1852">
        <v>128210046</v>
      </c>
      <c r="G1852">
        <v>128210051</v>
      </c>
      <c r="H1852">
        <v>128210005</v>
      </c>
      <c r="I1852">
        <v>128210014</v>
      </c>
    </row>
    <row r="1853" spans="1:9" x14ac:dyDescent="0.2">
      <c r="A1853" s="1" t="str">
        <f>"C10orf91"</f>
        <v>C10orf91</v>
      </c>
      <c r="B1853" t="s">
        <v>14</v>
      </c>
      <c r="C1853" t="s">
        <v>15</v>
      </c>
      <c r="D1853" t="s">
        <v>17</v>
      </c>
      <c r="E1853" t="s">
        <v>12</v>
      </c>
      <c r="F1853">
        <v>134258649</v>
      </c>
      <c r="G1853">
        <v>134258668</v>
      </c>
      <c r="H1853">
        <v>134257845</v>
      </c>
      <c r="I1853">
        <v>134257857</v>
      </c>
    </row>
    <row r="1854" spans="1:9" x14ac:dyDescent="0.2">
      <c r="A1854" s="1" t="str">
        <f>"C10orf95"</f>
        <v>C10orf95</v>
      </c>
      <c r="B1854" t="s">
        <v>14</v>
      </c>
      <c r="C1854" t="s">
        <v>15</v>
      </c>
      <c r="D1854" t="s">
        <v>11</v>
      </c>
      <c r="E1854" t="s">
        <v>12</v>
      </c>
      <c r="F1854">
        <v>104211252</v>
      </c>
      <c r="G1854">
        <v>104211270</v>
      </c>
      <c r="H1854">
        <v>104211294</v>
      </c>
      <c r="I1854">
        <v>104211305</v>
      </c>
    </row>
    <row r="1855" spans="1:9" x14ac:dyDescent="0.2">
      <c r="A1855" s="1" t="str">
        <f>"C10orf99"</f>
        <v>C10orf99</v>
      </c>
      <c r="B1855" t="s">
        <v>14</v>
      </c>
      <c r="C1855" t="s">
        <v>15</v>
      </c>
      <c r="D1855" t="s">
        <v>17</v>
      </c>
      <c r="E1855" t="s">
        <v>12</v>
      </c>
      <c r="F1855">
        <v>85933549</v>
      </c>
      <c r="G1855">
        <v>85933568</v>
      </c>
      <c r="H1855">
        <v>85933549</v>
      </c>
      <c r="I1855">
        <v>85933568</v>
      </c>
    </row>
    <row r="1856" spans="1:9" x14ac:dyDescent="0.2">
      <c r="A1856" s="1" t="str">
        <f>"C11orf1"</f>
        <v>C11orf1</v>
      </c>
      <c r="B1856" t="s">
        <v>14</v>
      </c>
      <c r="C1856" t="s">
        <v>27</v>
      </c>
      <c r="D1856" t="s">
        <v>17</v>
      </c>
      <c r="E1856" t="s">
        <v>12</v>
      </c>
      <c r="F1856">
        <v>111750206</v>
      </c>
      <c r="G1856">
        <v>111750279</v>
      </c>
      <c r="H1856">
        <v>111749650</v>
      </c>
      <c r="I1856">
        <v>111749692</v>
      </c>
    </row>
    <row r="1857" spans="1:9" x14ac:dyDescent="0.2">
      <c r="A1857" s="1" t="str">
        <f>"C11orf16"</f>
        <v>C11orf16</v>
      </c>
      <c r="B1857" t="s">
        <v>14</v>
      </c>
      <c r="C1857" t="s">
        <v>27</v>
      </c>
      <c r="D1857" t="s">
        <v>11</v>
      </c>
      <c r="E1857" t="s">
        <v>12</v>
      </c>
      <c r="F1857">
        <v>8954491</v>
      </c>
      <c r="G1857">
        <v>8954499</v>
      </c>
      <c r="H1857">
        <v>8954544</v>
      </c>
      <c r="I1857">
        <v>8954554</v>
      </c>
    </row>
    <row r="1858" spans="1:9" x14ac:dyDescent="0.2">
      <c r="A1858" s="1" t="str">
        <f>"C11orf21"</f>
        <v>C11orf21</v>
      </c>
      <c r="B1858" t="s">
        <v>14</v>
      </c>
      <c r="C1858" t="s">
        <v>27</v>
      </c>
      <c r="D1858" t="s">
        <v>11</v>
      </c>
      <c r="E1858" t="s">
        <v>12</v>
      </c>
      <c r="F1858">
        <v>2323089</v>
      </c>
      <c r="G1858">
        <v>2323154</v>
      </c>
      <c r="H1858">
        <v>2323156</v>
      </c>
      <c r="I1858">
        <v>2323167</v>
      </c>
    </row>
    <row r="1859" spans="1:9" x14ac:dyDescent="0.2">
      <c r="A1859" s="1" t="str">
        <f>"C11orf24"</f>
        <v>C11orf24</v>
      </c>
      <c r="B1859" t="s">
        <v>14</v>
      </c>
      <c r="C1859" t="s">
        <v>27</v>
      </c>
      <c r="D1859" t="s">
        <v>11</v>
      </c>
      <c r="E1859" t="s">
        <v>12</v>
      </c>
      <c r="F1859">
        <v>68039364</v>
      </c>
      <c r="G1859">
        <v>68039457</v>
      </c>
      <c r="H1859">
        <v>68039458</v>
      </c>
      <c r="I1859">
        <v>68039476</v>
      </c>
    </row>
    <row r="1860" spans="1:9" x14ac:dyDescent="0.2">
      <c r="A1860" s="1" t="str">
        <f>"C11orf30"</f>
        <v>C11orf30</v>
      </c>
      <c r="B1860" t="s">
        <v>14</v>
      </c>
      <c r="C1860" t="s">
        <v>27</v>
      </c>
      <c r="D1860" t="s">
        <v>17</v>
      </c>
      <c r="E1860" t="s">
        <v>12</v>
      </c>
      <c r="F1860">
        <v>76156045</v>
      </c>
      <c r="G1860">
        <v>76156099</v>
      </c>
      <c r="H1860">
        <v>76156101</v>
      </c>
      <c r="I1860">
        <v>76156114</v>
      </c>
    </row>
    <row r="1861" spans="1:9" x14ac:dyDescent="0.2">
      <c r="A1861" s="1" t="str">
        <f>"C11orf31"</f>
        <v>C11orf31</v>
      </c>
      <c r="B1861" t="s">
        <v>14</v>
      </c>
      <c r="C1861" t="s">
        <v>27</v>
      </c>
      <c r="D1861" t="s">
        <v>17</v>
      </c>
      <c r="E1861" t="s">
        <v>12</v>
      </c>
      <c r="F1861">
        <v>57509020</v>
      </c>
      <c r="G1861">
        <v>57509067</v>
      </c>
      <c r="H1861">
        <v>57508923</v>
      </c>
      <c r="I1861">
        <v>57508970</v>
      </c>
    </row>
    <row r="1862" spans="1:9" x14ac:dyDescent="0.2">
      <c r="A1862" s="1" t="str">
        <f>"C11orf34"</f>
        <v>C11orf34</v>
      </c>
      <c r="B1862" t="s">
        <v>14</v>
      </c>
      <c r="C1862" t="s">
        <v>27</v>
      </c>
      <c r="D1862" t="s">
        <v>11</v>
      </c>
      <c r="E1862" t="s">
        <v>12</v>
      </c>
      <c r="F1862">
        <v>112131343</v>
      </c>
      <c r="G1862">
        <v>112131353</v>
      </c>
      <c r="H1862">
        <v>112131343</v>
      </c>
      <c r="I1862">
        <v>112131353</v>
      </c>
    </row>
    <row r="1863" spans="1:9" x14ac:dyDescent="0.2">
      <c r="A1863" s="1" t="str">
        <f>"C11orf35"</f>
        <v>C11orf35</v>
      </c>
      <c r="B1863" t="s">
        <v>14</v>
      </c>
      <c r="C1863" t="s">
        <v>27</v>
      </c>
      <c r="D1863" t="s">
        <v>11</v>
      </c>
      <c r="E1863" t="s">
        <v>12</v>
      </c>
      <c r="F1863">
        <v>560703</v>
      </c>
      <c r="G1863">
        <v>560743</v>
      </c>
      <c r="H1863">
        <v>560703</v>
      </c>
      <c r="I1863">
        <v>560743</v>
      </c>
    </row>
    <row r="1864" spans="1:9" x14ac:dyDescent="0.2">
      <c r="A1864" s="1" t="str">
        <f>"C11orf40"</f>
        <v>C11orf40</v>
      </c>
      <c r="B1864" t="s">
        <v>132</v>
      </c>
      <c r="C1864" t="s">
        <v>27</v>
      </c>
      <c r="D1864" t="s">
        <v>11</v>
      </c>
      <c r="E1864" t="s">
        <v>20</v>
      </c>
      <c r="F1864">
        <v>4599049</v>
      </c>
      <c r="G1864">
        <v>4599049</v>
      </c>
      <c r="H1864">
        <v>4599049</v>
      </c>
      <c r="I1864">
        <v>4599049</v>
      </c>
    </row>
    <row r="1865" spans="1:9" x14ac:dyDescent="0.2">
      <c r="A1865" s="1" t="str">
        <f>"C11orf42"</f>
        <v>C11orf42</v>
      </c>
      <c r="B1865" t="s">
        <v>14</v>
      </c>
      <c r="C1865" t="s">
        <v>27</v>
      </c>
      <c r="D1865" t="s">
        <v>17</v>
      </c>
      <c r="E1865" t="s">
        <v>12</v>
      </c>
      <c r="F1865">
        <v>6226782</v>
      </c>
      <c r="G1865">
        <v>6226791</v>
      </c>
      <c r="H1865">
        <v>6226782</v>
      </c>
      <c r="I1865">
        <v>6226791</v>
      </c>
    </row>
    <row r="1866" spans="1:9" x14ac:dyDescent="0.2">
      <c r="A1866" s="1" t="str">
        <f>"C11orf44"</f>
        <v>C11orf44</v>
      </c>
      <c r="B1866" t="s">
        <v>133</v>
      </c>
      <c r="C1866" t="s">
        <v>27</v>
      </c>
      <c r="D1866" t="s">
        <v>17</v>
      </c>
      <c r="E1866" t="s">
        <v>20</v>
      </c>
      <c r="F1866">
        <v>130542850</v>
      </c>
      <c r="G1866">
        <v>130542850</v>
      </c>
      <c r="H1866">
        <v>130542850</v>
      </c>
      <c r="I1866">
        <v>130542850</v>
      </c>
    </row>
    <row r="1867" spans="1:9" x14ac:dyDescent="0.2">
      <c r="A1867" s="1" t="str">
        <f>"C11orf45"</f>
        <v>C11orf45</v>
      </c>
      <c r="B1867" t="s">
        <v>9</v>
      </c>
      <c r="C1867" t="s">
        <v>27</v>
      </c>
      <c r="D1867" t="s">
        <v>11</v>
      </c>
      <c r="E1867" t="s">
        <v>12</v>
      </c>
      <c r="F1867">
        <v>128774561</v>
      </c>
      <c r="G1867">
        <v>128774596</v>
      </c>
      <c r="H1867">
        <v>128774561</v>
      </c>
      <c r="I1867">
        <v>128774596</v>
      </c>
    </row>
    <row r="1868" spans="1:9" x14ac:dyDescent="0.2">
      <c r="A1868" s="1" t="str">
        <f>"C11orf45"</f>
        <v>C11orf45</v>
      </c>
      <c r="B1868" t="s">
        <v>13</v>
      </c>
      <c r="C1868" t="s">
        <v>27</v>
      </c>
      <c r="D1868" t="s">
        <v>11</v>
      </c>
      <c r="E1868" t="s">
        <v>12</v>
      </c>
      <c r="F1868">
        <v>128775908</v>
      </c>
      <c r="G1868">
        <v>128775936</v>
      </c>
      <c r="H1868">
        <v>128775908</v>
      </c>
      <c r="I1868">
        <v>128775936</v>
      </c>
    </row>
    <row r="1869" spans="1:9" x14ac:dyDescent="0.2">
      <c r="A1869" s="1" t="str">
        <f>"C11orf48"</f>
        <v>C11orf48</v>
      </c>
      <c r="B1869" t="s">
        <v>9</v>
      </c>
      <c r="C1869" t="s">
        <v>27</v>
      </c>
      <c r="D1869" t="s">
        <v>11</v>
      </c>
      <c r="E1869" t="s">
        <v>12</v>
      </c>
      <c r="F1869">
        <v>62432641</v>
      </c>
      <c r="G1869">
        <v>62432709</v>
      </c>
      <c r="H1869">
        <v>62432641</v>
      </c>
      <c r="I1869">
        <v>62432709</v>
      </c>
    </row>
    <row r="1870" spans="1:9" x14ac:dyDescent="0.2">
      <c r="A1870" s="1" t="str">
        <f>"C11orf48"</f>
        <v>C11orf48</v>
      </c>
      <c r="B1870" t="s">
        <v>13</v>
      </c>
      <c r="C1870" t="s">
        <v>27</v>
      </c>
      <c r="D1870" t="s">
        <v>11</v>
      </c>
      <c r="E1870" t="s">
        <v>12</v>
      </c>
      <c r="F1870">
        <v>62439729</v>
      </c>
      <c r="G1870">
        <v>62439747</v>
      </c>
      <c r="H1870">
        <v>62439729</v>
      </c>
      <c r="I1870">
        <v>62439747</v>
      </c>
    </row>
    <row r="1871" spans="1:9" x14ac:dyDescent="0.2">
      <c r="A1871" s="1" t="str">
        <f>"C11orf49"</f>
        <v>C11orf49</v>
      </c>
      <c r="B1871" t="s">
        <v>14</v>
      </c>
      <c r="C1871" t="s">
        <v>27</v>
      </c>
      <c r="D1871" t="s">
        <v>17</v>
      </c>
      <c r="E1871" t="s">
        <v>12</v>
      </c>
      <c r="F1871">
        <v>46958264</v>
      </c>
      <c r="G1871">
        <v>46958342</v>
      </c>
      <c r="H1871">
        <v>46958345</v>
      </c>
      <c r="I1871">
        <v>46958356</v>
      </c>
    </row>
    <row r="1872" spans="1:9" x14ac:dyDescent="0.2">
      <c r="A1872" s="1" t="str">
        <f>"C11orf52"</f>
        <v>C11orf52</v>
      </c>
      <c r="B1872" t="s">
        <v>9</v>
      </c>
      <c r="C1872" t="s">
        <v>27</v>
      </c>
      <c r="D1872" t="s">
        <v>17</v>
      </c>
      <c r="E1872" t="s">
        <v>12</v>
      </c>
      <c r="F1872">
        <v>111783450</v>
      </c>
      <c r="G1872">
        <v>111783475</v>
      </c>
      <c r="H1872">
        <v>111783450</v>
      </c>
      <c r="I1872">
        <v>111783475</v>
      </c>
    </row>
    <row r="1873" spans="1:9" x14ac:dyDescent="0.2">
      <c r="A1873" s="1" t="str">
        <f>"C11orf52"</f>
        <v>C11orf52</v>
      </c>
      <c r="B1873" t="s">
        <v>13</v>
      </c>
      <c r="C1873" t="s">
        <v>27</v>
      </c>
      <c r="D1873" t="s">
        <v>17</v>
      </c>
      <c r="E1873" t="s">
        <v>12</v>
      </c>
      <c r="F1873">
        <v>111789624</v>
      </c>
      <c r="G1873">
        <v>111789673</v>
      </c>
      <c r="H1873">
        <v>111789624</v>
      </c>
      <c r="I1873">
        <v>111789673</v>
      </c>
    </row>
    <row r="1874" spans="1:9" x14ac:dyDescent="0.2">
      <c r="A1874" s="1" t="str">
        <f>"C11orf53"</f>
        <v>C11orf53</v>
      </c>
      <c r="B1874" t="s">
        <v>14</v>
      </c>
      <c r="C1874" t="s">
        <v>27</v>
      </c>
      <c r="D1874" t="s">
        <v>17</v>
      </c>
      <c r="E1874" t="s">
        <v>12</v>
      </c>
      <c r="F1874">
        <v>111154907</v>
      </c>
      <c r="G1874">
        <v>111154928</v>
      </c>
      <c r="H1874">
        <v>111154907</v>
      </c>
      <c r="I1874">
        <v>111154928</v>
      </c>
    </row>
    <row r="1875" spans="1:9" x14ac:dyDescent="0.2">
      <c r="A1875" s="1" t="str">
        <f>"C11orf54"</f>
        <v>C11orf54</v>
      </c>
      <c r="B1875" t="s">
        <v>14</v>
      </c>
      <c r="C1875" t="s">
        <v>27</v>
      </c>
      <c r="D1875" t="s">
        <v>17</v>
      </c>
      <c r="E1875" t="s">
        <v>12</v>
      </c>
      <c r="F1875">
        <v>93474786</v>
      </c>
      <c r="G1875">
        <v>93474865</v>
      </c>
      <c r="H1875">
        <v>93474760</v>
      </c>
      <c r="I1875">
        <v>93474784</v>
      </c>
    </row>
    <row r="1876" spans="1:9" x14ac:dyDescent="0.2">
      <c r="A1876" s="1" t="str">
        <f>"C11orf57"</f>
        <v>C11orf57</v>
      </c>
      <c r="B1876" t="s">
        <v>14</v>
      </c>
      <c r="C1876" t="s">
        <v>27</v>
      </c>
      <c r="D1876" t="s">
        <v>17</v>
      </c>
      <c r="E1876" t="s">
        <v>12</v>
      </c>
      <c r="F1876">
        <v>111945015</v>
      </c>
      <c r="G1876">
        <v>111945069</v>
      </c>
      <c r="H1876">
        <v>111944827</v>
      </c>
      <c r="I1876">
        <v>111944843</v>
      </c>
    </row>
    <row r="1877" spans="1:9" x14ac:dyDescent="0.2">
      <c r="A1877" s="1" t="str">
        <f>"C11orf58"</f>
        <v>C11orf58</v>
      </c>
      <c r="B1877" t="s">
        <v>14</v>
      </c>
      <c r="C1877" t="s">
        <v>27</v>
      </c>
      <c r="D1877" t="s">
        <v>17</v>
      </c>
      <c r="E1877" t="s">
        <v>12</v>
      </c>
      <c r="F1877">
        <v>16760161</v>
      </c>
      <c r="G1877">
        <v>16760231</v>
      </c>
      <c r="H1877">
        <v>16760161</v>
      </c>
      <c r="I1877">
        <v>16760231</v>
      </c>
    </row>
    <row r="1878" spans="1:9" x14ac:dyDescent="0.2">
      <c r="A1878" s="1" t="str">
        <f>"C11orf63"</f>
        <v>C11orf63</v>
      </c>
      <c r="B1878" t="s">
        <v>14</v>
      </c>
      <c r="C1878" t="s">
        <v>27</v>
      </c>
      <c r="D1878" t="s">
        <v>17</v>
      </c>
      <c r="E1878" t="s">
        <v>12</v>
      </c>
      <c r="F1878">
        <v>122753580</v>
      </c>
      <c r="G1878">
        <v>122753656</v>
      </c>
      <c r="H1878">
        <v>122753528</v>
      </c>
      <c r="I1878">
        <v>122753579</v>
      </c>
    </row>
    <row r="1879" spans="1:9" x14ac:dyDescent="0.2">
      <c r="A1879" s="1" t="str">
        <f>"C11orf65"</f>
        <v>C11orf65</v>
      </c>
      <c r="B1879" t="s">
        <v>14</v>
      </c>
      <c r="C1879" t="s">
        <v>27</v>
      </c>
      <c r="D1879" t="s">
        <v>11</v>
      </c>
      <c r="E1879" t="s">
        <v>12</v>
      </c>
      <c r="F1879">
        <v>108338218</v>
      </c>
      <c r="G1879">
        <v>108338263</v>
      </c>
      <c r="H1879">
        <v>108338193</v>
      </c>
      <c r="I1879">
        <v>108338213</v>
      </c>
    </row>
    <row r="1880" spans="1:9" x14ac:dyDescent="0.2">
      <c r="A1880" s="1" t="str">
        <f>"C11orf68"</f>
        <v>C11orf68</v>
      </c>
      <c r="B1880" t="s">
        <v>14</v>
      </c>
      <c r="C1880" t="s">
        <v>27</v>
      </c>
      <c r="D1880" t="s">
        <v>11</v>
      </c>
      <c r="E1880" t="s">
        <v>12</v>
      </c>
      <c r="F1880">
        <v>65686496</v>
      </c>
      <c r="G1880">
        <v>65686555</v>
      </c>
      <c r="H1880">
        <v>65686586</v>
      </c>
      <c r="I1880">
        <v>65686597</v>
      </c>
    </row>
    <row r="1881" spans="1:9" x14ac:dyDescent="0.2">
      <c r="A1881" s="1" t="str">
        <f>"C11orf70"</f>
        <v>C11orf70</v>
      </c>
      <c r="B1881" t="s">
        <v>14</v>
      </c>
      <c r="C1881" t="s">
        <v>27</v>
      </c>
      <c r="D1881" t="s">
        <v>17</v>
      </c>
      <c r="E1881" t="s">
        <v>12</v>
      </c>
      <c r="F1881">
        <v>101918153</v>
      </c>
      <c r="G1881">
        <v>101918198</v>
      </c>
      <c r="H1881">
        <v>101918136</v>
      </c>
      <c r="I1881">
        <v>101918145</v>
      </c>
    </row>
    <row r="1882" spans="1:9" x14ac:dyDescent="0.2">
      <c r="A1882" s="1" t="str">
        <f>"C11orf71"</f>
        <v>C11orf71</v>
      </c>
      <c r="B1882" t="s">
        <v>14</v>
      </c>
      <c r="C1882" t="s">
        <v>27</v>
      </c>
      <c r="D1882" t="s">
        <v>11</v>
      </c>
      <c r="E1882" t="s">
        <v>12</v>
      </c>
      <c r="F1882">
        <v>114271167</v>
      </c>
      <c r="G1882">
        <v>114271247</v>
      </c>
      <c r="H1882">
        <v>114271087</v>
      </c>
      <c r="I1882">
        <v>114271099</v>
      </c>
    </row>
    <row r="1883" spans="1:9" x14ac:dyDescent="0.2">
      <c r="A1883" s="1" t="str">
        <f>"C11orf73"</f>
        <v>C11orf73</v>
      </c>
      <c r="B1883" t="s">
        <v>14</v>
      </c>
      <c r="C1883" t="s">
        <v>27</v>
      </c>
      <c r="D1883" t="s">
        <v>17</v>
      </c>
      <c r="E1883" t="s">
        <v>12</v>
      </c>
      <c r="F1883">
        <v>86013299</v>
      </c>
      <c r="G1883">
        <v>86013362</v>
      </c>
      <c r="H1883">
        <v>86013257</v>
      </c>
      <c r="I1883">
        <v>86013298</v>
      </c>
    </row>
    <row r="1884" spans="1:9" x14ac:dyDescent="0.2">
      <c r="A1884" s="1" t="str">
        <f>"C11orf74"</f>
        <v>C11orf74</v>
      </c>
      <c r="B1884" t="s">
        <v>14</v>
      </c>
      <c r="C1884" t="s">
        <v>27</v>
      </c>
      <c r="D1884" t="s">
        <v>17</v>
      </c>
      <c r="E1884" t="s">
        <v>12</v>
      </c>
      <c r="F1884">
        <v>36616044</v>
      </c>
      <c r="G1884">
        <v>36616095</v>
      </c>
      <c r="H1884">
        <v>36616102</v>
      </c>
      <c r="I1884">
        <v>36616107</v>
      </c>
    </row>
    <row r="1885" spans="1:9" x14ac:dyDescent="0.2">
      <c r="A1885" s="1" t="str">
        <f>"C11orf80"</f>
        <v>C11orf80</v>
      </c>
      <c r="B1885" t="s">
        <v>14</v>
      </c>
      <c r="C1885" t="s">
        <v>27</v>
      </c>
      <c r="D1885" t="s">
        <v>17</v>
      </c>
      <c r="E1885" t="s">
        <v>12</v>
      </c>
      <c r="F1885">
        <v>66512168</v>
      </c>
      <c r="G1885">
        <v>66512277</v>
      </c>
      <c r="H1885">
        <v>66512303</v>
      </c>
      <c r="I1885">
        <v>66512359</v>
      </c>
    </row>
    <row r="1886" spans="1:9" x14ac:dyDescent="0.2">
      <c r="A1886" s="1" t="str">
        <f>"C11orf82"</f>
        <v>C11orf82</v>
      </c>
      <c r="B1886" t="s">
        <v>14</v>
      </c>
      <c r="C1886" t="s">
        <v>27</v>
      </c>
      <c r="D1886" t="s">
        <v>17</v>
      </c>
      <c r="E1886" t="s">
        <v>12</v>
      </c>
      <c r="F1886">
        <v>82612763</v>
      </c>
      <c r="G1886">
        <v>82612808</v>
      </c>
      <c r="H1886">
        <v>82612755</v>
      </c>
      <c r="I1886">
        <v>82612758</v>
      </c>
    </row>
    <row r="1887" spans="1:9" x14ac:dyDescent="0.2">
      <c r="A1887" s="1" t="str">
        <f>"C11orf83"</f>
        <v>C11orf83</v>
      </c>
      <c r="B1887" t="s">
        <v>14</v>
      </c>
      <c r="C1887" t="s">
        <v>27</v>
      </c>
      <c r="D1887" t="s">
        <v>17</v>
      </c>
      <c r="E1887" t="s">
        <v>12</v>
      </c>
      <c r="F1887">
        <v>62439136</v>
      </c>
      <c r="G1887">
        <v>62439162</v>
      </c>
      <c r="H1887">
        <v>62439176</v>
      </c>
      <c r="I1887">
        <v>62439203</v>
      </c>
    </row>
    <row r="1888" spans="1:9" x14ac:dyDescent="0.2">
      <c r="A1888" s="1" t="str">
        <f>"C11orf84"</f>
        <v>C11orf84</v>
      </c>
      <c r="B1888" t="s">
        <v>14</v>
      </c>
      <c r="C1888" t="s">
        <v>27</v>
      </c>
      <c r="D1888" t="s">
        <v>17</v>
      </c>
      <c r="E1888" t="s">
        <v>12</v>
      </c>
      <c r="F1888">
        <v>63580918</v>
      </c>
      <c r="G1888">
        <v>63580934</v>
      </c>
      <c r="H1888">
        <v>63580855</v>
      </c>
      <c r="I1888">
        <v>63580889</v>
      </c>
    </row>
    <row r="1889" spans="1:9" x14ac:dyDescent="0.2">
      <c r="A1889" s="1" t="str">
        <f>"C11orf85"</f>
        <v>C11orf85</v>
      </c>
      <c r="B1889" t="s">
        <v>14</v>
      </c>
      <c r="C1889" t="s">
        <v>27</v>
      </c>
      <c r="D1889" t="s">
        <v>11</v>
      </c>
      <c r="E1889" t="s">
        <v>12</v>
      </c>
      <c r="F1889">
        <v>64739542</v>
      </c>
      <c r="G1889">
        <v>64739583</v>
      </c>
      <c r="H1889">
        <v>64739520</v>
      </c>
      <c r="I1889">
        <v>64739536</v>
      </c>
    </row>
    <row r="1890" spans="1:9" x14ac:dyDescent="0.2">
      <c r="A1890" s="1" t="str">
        <f>"C11orf86"</f>
        <v>C11orf86</v>
      </c>
      <c r="B1890" t="s">
        <v>14</v>
      </c>
      <c r="C1890" t="s">
        <v>27</v>
      </c>
      <c r="D1890" t="s">
        <v>17</v>
      </c>
      <c r="E1890" t="s">
        <v>12</v>
      </c>
      <c r="F1890">
        <v>66742766</v>
      </c>
      <c r="G1890">
        <v>66742787</v>
      </c>
      <c r="H1890">
        <v>66742795</v>
      </c>
      <c r="I1890">
        <v>66742818</v>
      </c>
    </row>
    <row r="1891" spans="1:9" x14ac:dyDescent="0.2">
      <c r="A1891" s="1" t="str">
        <f>"C11orf87"</f>
        <v>C11orf87</v>
      </c>
      <c r="B1891" t="s">
        <v>14</v>
      </c>
      <c r="C1891" t="s">
        <v>27</v>
      </c>
      <c r="D1891" t="s">
        <v>17</v>
      </c>
      <c r="E1891" t="s">
        <v>12</v>
      </c>
      <c r="F1891">
        <v>109292899</v>
      </c>
      <c r="G1891">
        <v>109292926</v>
      </c>
      <c r="H1891">
        <v>109292881</v>
      </c>
      <c r="I1891">
        <v>109292895</v>
      </c>
    </row>
    <row r="1892" spans="1:9" x14ac:dyDescent="0.2">
      <c r="A1892" s="1" t="str">
        <f>"C11orf88"</f>
        <v>C11orf88</v>
      </c>
      <c r="B1892" t="s">
        <v>14</v>
      </c>
      <c r="C1892" t="s">
        <v>27</v>
      </c>
      <c r="D1892" t="s">
        <v>17</v>
      </c>
      <c r="E1892" t="s">
        <v>12</v>
      </c>
      <c r="F1892">
        <v>111385497</v>
      </c>
      <c r="G1892">
        <v>111385541</v>
      </c>
      <c r="H1892">
        <v>111385569</v>
      </c>
      <c r="I1892">
        <v>111385587</v>
      </c>
    </row>
    <row r="1893" spans="1:9" x14ac:dyDescent="0.2">
      <c r="A1893" s="1" t="str">
        <f>"C11orf91"</f>
        <v>C11orf91</v>
      </c>
      <c r="B1893" t="s">
        <v>14</v>
      </c>
      <c r="C1893" t="s">
        <v>27</v>
      </c>
      <c r="D1893" t="s">
        <v>11</v>
      </c>
      <c r="E1893" t="s">
        <v>12</v>
      </c>
      <c r="F1893">
        <v>33722180</v>
      </c>
      <c r="G1893">
        <v>33722201</v>
      </c>
      <c r="H1893">
        <v>33722354</v>
      </c>
      <c r="I1893">
        <v>33722379</v>
      </c>
    </row>
    <row r="1894" spans="1:9" x14ac:dyDescent="0.2">
      <c r="A1894" s="1" t="str">
        <f>"C11orf94"</f>
        <v>C11orf94</v>
      </c>
      <c r="B1894" t="s">
        <v>14</v>
      </c>
      <c r="C1894" t="s">
        <v>27</v>
      </c>
      <c r="D1894" t="s">
        <v>11</v>
      </c>
      <c r="E1894" t="s">
        <v>12</v>
      </c>
      <c r="F1894">
        <v>45928816</v>
      </c>
      <c r="G1894">
        <v>45928827</v>
      </c>
      <c r="H1894">
        <v>45928796</v>
      </c>
      <c r="I1894">
        <v>45928807</v>
      </c>
    </row>
    <row r="1895" spans="1:9" x14ac:dyDescent="0.2">
      <c r="A1895" s="1" t="str">
        <f>"C11orf95"</f>
        <v>C11orf95</v>
      </c>
      <c r="B1895" t="s">
        <v>14</v>
      </c>
      <c r="C1895" t="s">
        <v>27</v>
      </c>
      <c r="D1895" t="s">
        <v>11</v>
      </c>
      <c r="E1895" t="s">
        <v>12</v>
      </c>
      <c r="F1895">
        <v>63536222</v>
      </c>
      <c r="G1895">
        <v>63536286</v>
      </c>
      <c r="H1895">
        <v>63536011</v>
      </c>
      <c r="I1895">
        <v>63536014</v>
      </c>
    </row>
    <row r="1896" spans="1:9" x14ac:dyDescent="0.2">
      <c r="A1896" s="1" t="str">
        <f>"C11orf96"</f>
        <v>C11orf96</v>
      </c>
      <c r="B1896" t="s">
        <v>14</v>
      </c>
      <c r="C1896" t="s">
        <v>27</v>
      </c>
      <c r="D1896" t="s">
        <v>17</v>
      </c>
      <c r="E1896" t="s">
        <v>12</v>
      </c>
      <c r="F1896">
        <v>43964177</v>
      </c>
      <c r="G1896">
        <v>43964193</v>
      </c>
      <c r="H1896">
        <v>43964125</v>
      </c>
      <c r="I1896">
        <v>43964136</v>
      </c>
    </row>
    <row r="1897" spans="1:9" x14ac:dyDescent="0.2">
      <c r="A1897" s="1" t="str">
        <f>"C12orf10"</f>
        <v>C12orf10</v>
      </c>
      <c r="B1897" t="s">
        <v>14</v>
      </c>
      <c r="C1897" t="s">
        <v>16</v>
      </c>
      <c r="D1897" t="s">
        <v>17</v>
      </c>
      <c r="E1897" t="s">
        <v>12</v>
      </c>
      <c r="F1897">
        <v>53693466</v>
      </c>
      <c r="G1897">
        <v>53693537</v>
      </c>
      <c r="H1897">
        <v>53693539</v>
      </c>
      <c r="I1897">
        <v>53693557</v>
      </c>
    </row>
    <row r="1898" spans="1:9" x14ac:dyDescent="0.2">
      <c r="A1898" s="1" t="str">
        <f>"C12orf23"</f>
        <v>C12orf23</v>
      </c>
      <c r="B1898" t="s">
        <v>14</v>
      </c>
      <c r="C1898" t="s">
        <v>16</v>
      </c>
      <c r="D1898" t="s">
        <v>17</v>
      </c>
      <c r="E1898" t="s">
        <v>12</v>
      </c>
      <c r="F1898">
        <v>107349668</v>
      </c>
      <c r="G1898">
        <v>107349708</v>
      </c>
      <c r="H1898">
        <v>107349627</v>
      </c>
      <c r="I1898">
        <v>107349664</v>
      </c>
    </row>
    <row r="1899" spans="1:9" x14ac:dyDescent="0.2">
      <c r="A1899" s="1" t="str">
        <f>"C12orf29"</f>
        <v>C12orf29</v>
      </c>
      <c r="B1899" t="s">
        <v>14</v>
      </c>
      <c r="C1899" t="s">
        <v>16</v>
      </c>
      <c r="D1899" t="s">
        <v>17</v>
      </c>
      <c r="E1899" t="s">
        <v>12</v>
      </c>
      <c r="F1899">
        <v>88429302</v>
      </c>
      <c r="G1899">
        <v>88429325</v>
      </c>
      <c r="H1899">
        <v>88429270</v>
      </c>
      <c r="I1899">
        <v>88429301</v>
      </c>
    </row>
    <row r="1900" spans="1:9" x14ac:dyDescent="0.2">
      <c r="A1900" s="1" t="str">
        <f>"C12orf39"</f>
        <v>C12orf39</v>
      </c>
      <c r="B1900" t="s">
        <v>9</v>
      </c>
      <c r="C1900" t="s">
        <v>16</v>
      </c>
      <c r="D1900" t="s">
        <v>17</v>
      </c>
      <c r="E1900" t="s">
        <v>12</v>
      </c>
      <c r="F1900">
        <v>21679220</v>
      </c>
      <c r="G1900">
        <v>21679252</v>
      </c>
      <c r="H1900">
        <v>21679220</v>
      </c>
      <c r="I1900">
        <v>21679252</v>
      </c>
    </row>
    <row r="1901" spans="1:9" x14ac:dyDescent="0.2">
      <c r="A1901" s="1" t="str">
        <f>"C12orf39"</f>
        <v>C12orf39</v>
      </c>
      <c r="B1901" t="s">
        <v>13</v>
      </c>
      <c r="C1901" t="s">
        <v>16</v>
      </c>
      <c r="D1901" t="s">
        <v>17</v>
      </c>
      <c r="E1901" t="s">
        <v>12</v>
      </c>
      <c r="F1901">
        <v>21680455</v>
      </c>
      <c r="G1901">
        <v>21680478</v>
      </c>
      <c r="H1901">
        <v>21680455</v>
      </c>
      <c r="I1901">
        <v>21680478</v>
      </c>
    </row>
    <row r="1902" spans="1:9" x14ac:dyDescent="0.2">
      <c r="A1902" s="1" t="str">
        <f>"C12orf4"</f>
        <v>C12orf4</v>
      </c>
      <c r="B1902" t="s">
        <v>14</v>
      </c>
      <c r="C1902" t="s">
        <v>16</v>
      </c>
      <c r="D1902" t="s">
        <v>11</v>
      </c>
      <c r="E1902" t="s">
        <v>12</v>
      </c>
      <c r="F1902">
        <v>4647606</v>
      </c>
      <c r="G1902">
        <v>4647681</v>
      </c>
      <c r="H1902">
        <v>4647606</v>
      </c>
      <c r="I1902">
        <v>4647681</v>
      </c>
    </row>
    <row r="1903" spans="1:9" x14ac:dyDescent="0.2">
      <c r="A1903" s="1" t="str">
        <f>"C12orf40"</f>
        <v>C12orf40</v>
      </c>
      <c r="B1903" t="s">
        <v>14</v>
      </c>
      <c r="C1903" t="s">
        <v>16</v>
      </c>
      <c r="D1903" t="s">
        <v>17</v>
      </c>
      <c r="E1903" t="s">
        <v>12</v>
      </c>
      <c r="F1903">
        <v>40019980</v>
      </c>
      <c r="G1903">
        <v>40020014</v>
      </c>
      <c r="H1903">
        <v>40020016</v>
      </c>
      <c r="I1903">
        <v>40020021</v>
      </c>
    </row>
    <row r="1904" spans="1:9" x14ac:dyDescent="0.2">
      <c r="A1904" s="1" t="str">
        <f>"C12orf42"</f>
        <v>C12orf42</v>
      </c>
      <c r="B1904" t="s">
        <v>134</v>
      </c>
      <c r="C1904" t="s">
        <v>16</v>
      </c>
      <c r="D1904" t="s">
        <v>11</v>
      </c>
      <c r="E1904" t="s">
        <v>35</v>
      </c>
      <c r="F1904">
        <v>103889911</v>
      </c>
      <c r="G1904">
        <v>103889915</v>
      </c>
      <c r="H1904">
        <v>103889739</v>
      </c>
      <c r="I1904">
        <v>103889754</v>
      </c>
    </row>
    <row r="1905" spans="1:9" x14ac:dyDescent="0.2">
      <c r="A1905" s="1" t="str">
        <f>"C12orf43"</f>
        <v>C12orf43</v>
      </c>
      <c r="B1905" t="s">
        <v>14</v>
      </c>
      <c r="C1905" t="s">
        <v>16</v>
      </c>
      <c r="D1905" t="s">
        <v>11</v>
      </c>
      <c r="E1905" t="s">
        <v>12</v>
      </c>
      <c r="F1905">
        <v>121454282</v>
      </c>
      <c r="G1905">
        <v>121454304</v>
      </c>
      <c r="H1905">
        <v>121454282</v>
      </c>
      <c r="I1905">
        <v>121454304</v>
      </c>
    </row>
    <row r="1906" spans="1:9" x14ac:dyDescent="0.2">
      <c r="A1906" s="1" t="str">
        <f>"C12orf44"</f>
        <v>C12orf44</v>
      </c>
      <c r="B1906" t="s">
        <v>14</v>
      </c>
      <c r="C1906" t="s">
        <v>16</v>
      </c>
      <c r="D1906" t="s">
        <v>17</v>
      </c>
      <c r="E1906" t="s">
        <v>12</v>
      </c>
      <c r="F1906">
        <v>52463751</v>
      </c>
      <c r="G1906">
        <v>52463814</v>
      </c>
      <c r="H1906">
        <v>52463751</v>
      </c>
      <c r="I1906">
        <v>52463814</v>
      </c>
    </row>
    <row r="1907" spans="1:9" x14ac:dyDescent="0.2">
      <c r="A1907" s="1" t="str">
        <f>"C12orf45"</f>
        <v>C12orf45</v>
      </c>
      <c r="B1907" t="s">
        <v>14</v>
      </c>
      <c r="C1907" t="s">
        <v>16</v>
      </c>
      <c r="D1907" t="s">
        <v>17</v>
      </c>
      <c r="E1907" t="s">
        <v>12</v>
      </c>
      <c r="F1907">
        <v>105380073</v>
      </c>
      <c r="G1907">
        <v>105380122</v>
      </c>
      <c r="H1907">
        <v>105380073</v>
      </c>
      <c r="I1907">
        <v>105380122</v>
      </c>
    </row>
    <row r="1908" spans="1:9" x14ac:dyDescent="0.2">
      <c r="A1908" s="1" t="str">
        <f>"C12orf49"</f>
        <v>C12orf49</v>
      </c>
      <c r="B1908" t="s">
        <v>14</v>
      </c>
      <c r="C1908" t="s">
        <v>16</v>
      </c>
      <c r="D1908" t="s">
        <v>11</v>
      </c>
      <c r="E1908" t="s">
        <v>12</v>
      </c>
      <c r="F1908">
        <v>117175819</v>
      </c>
      <c r="G1908">
        <v>117175887</v>
      </c>
      <c r="H1908">
        <v>117175806</v>
      </c>
      <c r="I1908">
        <v>117175817</v>
      </c>
    </row>
    <row r="1909" spans="1:9" x14ac:dyDescent="0.2">
      <c r="A1909" s="1" t="str">
        <f>"C12orf5"</f>
        <v>C12orf5</v>
      </c>
      <c r="B1909" t="s">
        <v>14</v>
      </c>
      <c r="C1909" t="s">
        <v>16</v>
      </c>
      <c r="D1909" t="s">
        <v>17</v>
      </c>
      <c r="E1909" t="s">
        <v>12</v>
      </c>
      <c r="F1909">
        <v>4430372</v>
      </c>
      <c r="G1909">
        <v>4430429</v>
      </c>
      <c r="H1909">
        <v>4430364</v>
      </c>
      <c r="I1909">
        <v>4430371</v>
      </c>
    </row>
    <row r="1910" spans="1:9" x14ac:dyDescent="0.2">
      <c r="A1910" s="1" t="str">
        <f>"C12orf50"</f>
        <v>C12orf50</v>
      </c>
      <c r="B1910" t="s">
        <v>14</v>
      </c>
      <c r="C1910" t="s">
        <v>16</v>
      </c>
      <c r="D1910" t="s">
        <v>11</v>
      </c>
      <c r="E1910" t="s">
        <v>12</v>
      </c>
      <c r="F1910">
        <v>88423164</v>
      </c>
      <c r="G1910">
        <v>88423182</v>
      </c>
      <c r="H1910">
        <v>88423139</v>
      </c>
      <c r="I1910">
        <v>88423155</v>
      </c>
    </row>
    <row r="1911" spans="1:9" x14ac:dyDescent="0.2">
      <c r="A1911" s="1" t="str">
        <f>"C12orf52"</f>
        <v>C12orf52</v>
      </c>
      <c r="B1911" t="s">
        <v>14</v>
      </c>
      <c r="C1911" t="s">
        <v>16</v>
      </c>
      <c r="D1911" t="s">
        <v>17</v>
      </c>
      <c r="E1911" t="s">
        <v>12</v>
      </c>
      <c r="F1911">
        <v>113623507</v>
      </c>
      <c r="G1911">
        <v>113623540</v>
      </c>
      <c r="H1911">
        <v>113623325</v>
      </c>
      <c r="I1911">
        <v>113623373</v>
      </c>
    </row>
    <row r="1912" spans="1:9" x14ac:dyDescent="0.2">
      <c r="A1912" s="1" t="str">
        <f>"C12orf54"</f>
        <v>C12orf54</v>
      </c>
      <c r="B1912" t="s">
        <v>14</v>
      </c>
      <c r="C1912" t="s">
        <v>16</v>
      </c>
      <c r="D1912" t="s">
        <v>17</v>
      </c>
      <c r="E1912" t="s">
        <v>12</v>
      </c>
      <c r="F1912">
        <v>48876275</v>
      </c>
      <c r="G1912">
        <v>48876294</v>
      </c>
      <c r="H1912">
        <v>48876275</v>
      </c>
      <c r="I1912">
        <v>48876294</v>
      </c>
    </row>
    <row r="1913" spans="1:9" x14ac:dyDescent="0.2">
      <c r="A1913" s="1" t="str">
        <f>"C12orf55"</f>
        <v>C12orf55</v>
      </c>
      <c r="B1913" t="s">
        <v>14</v>
      </c>
      <c r="C1913" t="s">
        <v>16</v>
      </c>
      <c r="D1913" t="s">
        <v>17</v>
      </c>
      <c r="E1913" t="s">
        <v>67</v>
      </c>
      <c r="F1913">
        <v>96883347</v>
      </c>
      <c r="G1913">
        <v>96883400</v>
      </c>
      <c r="H1913">
        <v>96883418</v>
      </c>
      <c r="I1913">
        <v>96883427</v>
      </c>
    </row>
    <row r="1914" spans="1:9" x14ac:dyDescent="0.2">
      <c r="A1914" s="1" t="str">
        <f>"C12orf56"</f>
        <v>C12orf56</v>
      </c>
      <c r="B1914" t="s">
        <v>14</v>
      </c>
      <c r="C1914" t="s">
        <v>16</v>
      </c>
      <c r="D1914" t="s">
        <v>11</v>
      </c>
      <c r="E1914" t="s">
        <v>12</v>
      </c>
      <c r="F1914">
        <v>64784476</v>
      </c>
      <c r="G1914">
        <v>64784503</v>
      </c>
      <c r="H1914">
        <v>64784555</v>
      </c>
      <c r="I1914">
        <v>64784579</v>
      </c>
    </row>
    <row r="1915" spans="1:9" x14ac:dyDescent="0.2">
      <c r="A1915" s="1" t="str">
        <f>"C12orf57"</f>
        <v>C12orf57</v>
      </c>
      <c r="B1915" t="s">
        <v>14</v>
      </c>
      <c r="C1915" t="s">
        <v>16</v>
      </c>
      <c r="D1915" t="s">
        <v>17</v>
      </c>
      <c r="E1915" t="s">
        <v>12</v>
      </c>
      <c r="F1915">
        <v>7053172</v>
      </c>
      <c r="G1915">
        <v>7053197</v>
      </c>
      <c r="H1915">
        <v>7053228</v>
      </c>
      <c r="I1915">
        <v>7053260</v>
      </c>
    </row>
    <row r="1916" spans="1:9" x14ac:dyDescent="0.2">
      <c r="A1916" s="1" t="str">
        <f>"C12orf60"</f>
        <v>C12orf60</v>
      </c>
      <c r="B1916" t="s">
        <v>14</v>
      </c>
      <c r="C1916" t="s">
        <v>16</v>
      </c>
      <c r="D1916" t="s">
        <v>17</v>
      </c>
      <c r="E1916" t="s">
        <v>12</v>
      </c>
      <c r="F1916">
        <v>14956583</v>
      </c>
      <c r="G1916">
        <v>14956636</v>
      </c>
      <c r="H1916">
        <v>14956639</v>
      </c>
      <c r="I1916">
        <v>14956654</v>
      </c>
    </row>
    <row r="1917" spans="1:9" x14ac:dyDescent="0.2">
      <c r="A1917" s="1" t="str">
        <f>"C12orf61"</f>
        <v>C12orf61</v>
      </c>
      <c r="B1917" t="s">
        <v>14</v>
      </c>
      <c r="C1917" t="s">
        <v>16</v>
      </c>
      <c r="D1917" t="s">
        <v>11</v>
      </c>
      <c r="E1917" t="s">
        <v>12</v>
      </c>
      <c r="F1917">
        <v>62997510</v>
      </c>
      <c r="G1917">
        <v>62997571</v>
      </c>
      <c r="H1917">
        <v>62997197</v>
      </c>
      <c r="I1917">
        <v>62997249</v>
      </c>
    </row>
    <row r="1918" spans="1:9" x14ac:dyDescent="0.2">
      <c r="A1918" s="1" t="str">
        <f>"C12orf65"</f>
        <v>C12orf65</v>
      </c>
      <c r="B1918" t="s">
        <v>14</v>
      </c>
      <c r="C1918" t="s">
        <v>16</v>
      </c>
      <c r="D1918" t="s">
        <v>17</v>
      </c>
      <c r="E1918" t="s">
        <v>12</v>
      </c>
      <c r="F1918">
        <v>123717967</v>
      </c>
      <c r="G1918">
        <v>123718048</v>
      </c>
      <c r="H1918">
        <v>123717458</v>
      </c>
      <c r="I1918">
        <v>123717464</v>
      </c>
    </row>
    <row r="1919" spans="1:9" x14ac:dyDescent="0.2">
      <c r="A1919" s="1" t="str">
        <f>"C12orf66"</f>
        <v>C12orf66</v>
      </c>
      <c r="B1919" t="s">
        <v>14</v>
      </c>
      <c r="C1919" t="s">
        <v>16</v>
      </c>
      <c r="D1919" t="s">
        <v>11</v>
      </c>
      <c r="E1919" t="s">
        <v>12</v>
      </c>
      <c r="F1919">
        <v>64616019</v>
      </c>
      <c r="G1919">
        <v>64616082</v>
      </c>
      <c r="H1919">
        <v>64616019</v>
      </c>
      <c r="I1919">
        <v>64616082</v>
      </c>
    </row>
    <row r="1920" spans="1:9" x14ac:dyDescent="0.2">
      <c r="A1920" s="1" t="str">
        <f>"C12orf68"</f>
        <v>C12orf68</v>
      </c>
      <c r="B1920" t="s">
        <v>14</v>
      </c>
      <c r="C1920" t="s">
        <v>16</v>
      </c>
      <c r="D1920" t="s">
        <v>17</v>
      </c>
      <c r="E1920" t="s">
        <v>12</v>
      </c>
      <c r="F1920">
        <v>48577385</v>
      </c>
      <c r="G1920">
        <v>48577456</v>
      </c>
      <c r="H1920">
        <v>48577882</v>
      </c>
      <c r="I1920">
        <v>48577906</v>
      </c>
    </row>
    <row r="1921" spans="1:9" x14ac:dyDescent="0.2">
      <c r="A1921" s="1" t="str">
        <f>"C12orf71"</f>
        <v>C12orf71</v>
      </c>
      <c r="B1921" t="s">
        <v>135</v>
      </c>
      <c r="C1921" t="s">
        <v>16</v>
      </c>
      <c r="D1921" t="s">
        <v>11</v>
      </c>
      <c r="E1921" t="s">
        <v>20</v>
      </c>
      <c r="F1921">
        <v>27235446</v>
      </c>
      <c r="G1921">
        <v>27235446</v>
      </c>
      <c r="H1921">
        <v>27235446</v>
      </c>
      <c r="I1921">
        <v>27235446</v>
      </c>
    </row>
    <row r="1922" spans="1:9" x14ac:dyDescent="0.2">
      <c r="A1922" s="1" t="str">
        <f>"C12orf73"</f>
        <v>C12orf73</v>
      </c>
      <c r="B1922" t="s">
        <v>9</v>
      </c>
      <c r="C1922" t="s">
        <v>16</v>
      </c>
      <c r="D1922" t="s">
        <v>11</v>
      </c>
      <c r="E1922" t="s">
        <v>12</v>
      </c>
      <c r="F1922">
        <v>104350898</v>
      </c>
      <c r="G1922">
        <v>104351001</v>
      </c>
      <c r="H1922">
        <v>104350898</v>
      </c>
      <c r="I1922">
        <v>104351001</v>
      </c>
    </row>
    <row r="1923" spans="1:9" x14ac:dyDescent="0.2">
      <c r="A1923" s="1" t="str">
        <f>"C12orf73"</f>
        <v>C12orf73</v>
      </c>
      <c r="B1923" t="s">
        <v>13</v>
      </c>
      <c r="C1923" t="s">
        <v>16</v>
      </c>
      <c r="D1923" t="s">
        <v>11</v>
      </c>
      <c r="E1923" t="s">
        <v>12</v>
      </c>
      <c r="F1923">
        <v>104359475</v>
      </c>
      <c r="G1923">
        <v>104359513</v>
      </c>
      <c r="H1923">
        <v>104359475</v>
      </c>
      <c r="I1923">
        <v>104359513</v>
      </c>
    </row>
    <row r="1924" spans="1:9" x14ac:dyDescent="0.2">
      <c r="A1924" s="1" t="str">
        <f>"C12orf74"</f>
        <v>C12orf74</v>
      </c>
      <c r="B1924" t="s">
        <v>14</v>
      </c>
      <c r="C1924" t="s">
        <v>16</v>
      </c>
      <c r="D1924" t="s">
        <v>17</v>
      </c>
      <c r="E1924" t="s">
        <v>12</v>
      </c>
      <c r="F1924">
        <v>93096759</v>
      </c>
      <c r="G1924">
        <v>93096770</v>
      </c>
      <c r="H1924">
        <v>93096733</v>
      </c>
      <c r="I1924">
        <v>93096750</v>
      </c>
    </row>
    <row r="1925" spans="1:9" x14ac:dyDescent="0.2">
      <c r="A1925" s="1" t="str">
        <f>"C12orf75"</f>
        <v>C12orf75</v>
      </c>
      <c r="B1925" t="s">
        <v>14</v>
      </c>
      <c r="C1925" t="s">
        <v>16</v>
      </c>
      <c r="D1925" t="s">
        <v>17</v>
      </c>
      <c r="E1925" t="s">
        <v>12</v>
      </c>
      <c r="F1925">
        <v>105724444</v>
      </c>
      <c r="G1925">
        <v>105724510</v>
      </c>
      <c r="H1925">
        <v>105724613</v>
      </c>
      <c r="I1925">
        <v>105724666</v>
      </c>
    </row>
    <row r="1926" spans="1:9" x14ac:dyDescent="0.2">
      <c r="A1926" s="1" t="str">
        <f>"C12orf76"</f>
        <v>C12orf76</v>
      </c>
      <c r="B1926" t="s">
        <v>14</v>
      </c>
      <c r="C1926" t="s">
        <v>16</v>
      </c>
      <c r="D1926" t="s">
        <v>11</v>
      </c>
      <c r="E1926" t="s">
        <v>12</v>
      </c>
      <c r="F1926">
        <v>110486281</v>
      </c>
      <c r="G1926">
        <v>110486345</v>
      </c>
      <c r="H1926">
        <v>110486348</v>
      </c>
      <c r="I1926">
        <v>110486366</v>
      </c>
    </row>
    <row r="1927" spans="1:9" x14ac:dyDescent="0.2">
      <c r="A1927" s="1" t="str">
        <f>"C12orf77"</f>
        <v>C12orf77</v>
      </c>
      <c r="B1927" t="s">
        <v>14</v>
      </c>
      <c r="C1927" t="s">
        <v>16</v>
      </c>
      <c r="D1927" t="s">
        <v>11</v>
      </c>
      <c r="E1927" t="s">
        <v>12</v>
      </c>
      <c r="F1927">
        <v>25150390</v>
      </c>
      <c r="G1927">
        <v>25150403</v>
      </c>
      <c r="H1927">
        <v>25150409</v>
      </c>
      <c r="I1927">
        <v>25150430</v>
      </c>
    </row>
    <row r="1928" spans="1:9" x14ac:dyDescent="0.2">
      <c r="A1928" s="1" t="str">
        <f>"C12orf79"</f>
        <v>C12orf79</v>
      </c>
      <c r="B1928" t="s">
        <v>14</v>
      </c>
      <c r="C1928" t="s">
        <v>16</v>
      </c>
      <c r="D1928" t="s">
        <v>11</v>
      </c>
      <c r="E1928" t="s">
        <v>67</v>
      </c>
      <c r="F1928">
        <v>92536475</v>
      </c>
      <c r="G1928">
        <v>92536492</v>
      </c>
      <c r="H1928">
        <v>92536494</v>
      </c>
      <c r="I1928">
        <v>92536504</v>
      </c>
    </row>
    <row r="1929" spans="1:9" x14ac:dyDescent="0.2">
      <c r="A1929" s="1" t="str">
        <f>"C12orf80"</f>
        <v>C12orf80</v>
      </c>
      <c r="B1929" t="s">
        <v>14</v>
      </c>
      <c r="C1929" t="s">
        <v>16</v>
      </c>
      <c r="D1929" t="s">
        <v>11</v>
      </c>
      <c r="E1929" t="s">
        <v>67</v>
      </c>
      <c r="F1929">
        <v>52604495</v>
      </c>
      <c r="G1929">
        <v>52604532</v>
      </c>
      <c r="H1929">
        <v>52604495</v>
      </c>
      <c r="I1929">
        <v>52604532</v>
      </c>
    </row>
    <row r="1930" spans="1:9" x14ac:dyDescent="0.2">
      <c r="A1930" s="1" t="str">
        <f>"C13orf35"</f>
        <v>C13orf35</v>
      </c>
      <c r="B1930" t="s">
        <v>136</v>
      </c>
      <c r="C1930" t="s">
        <v>39</v>
      </c>
      <c r="D1930" t="s">
        <v>17</v>
      </c>
      <c r="E1930" t="s">
        <v>20</v>
      </c>
      <c r="F1930">
        <v>113301357</v>
      </c>
      <c r="G1930">
        <v>113301357</v>
      </c>
      <c r="H1930">
        <v>113301357</v>
      </c>
      <c r="I1930">
        <v>113301357</v>
      </c>
    </row>
    <row r="1931" spans="1:9" x14ac:dyDescent="0.2">
      <c r="A1931" s="1" t="str">
        <f>"C13orf45"</f>
        <v>C13orf45</v>
      </c>
      <c r="B1931" t="s">
        <v>14</v>
      </c>
      <c r="C1931" t="s">
        <v>39</v>
      </c>
      <c r="D1931" t="s">
        <v>17</v>
      </c>
      <c r="E1931" t="s">
        <v>67</v>
      </c>
      <c r="F1931">
        <v>76444712</v>
      </c>
      <c r="G1931">
        <v>76444721</v>
      </c>
      <c r="H1931">
        <v>76444712</v>
      </c>
      <c r="I1931">
        <v>76444721</v>
      </c>
    </row>
    <row r="1932" spans="1:9" x14ac:dyDescent="0.2">
      <c r="A1932" s="1" t="str">
        <f>"C14orf1"</f>
        <v>C14orf1</v>
      </c>
      <c r="B1932" t="s">
        <v>14</v>
      </c>
      <c r="C1932" t="s">
        <v>41</v>
      </c>
      <c r="D1932" t="s">
        <v>11</v>
      </c>
      <c r="E1932" t="s">
        <v>12</v>
      </c>
      <c r="F1932">
        <v>76127159</v>
      </c>
      <c r="G1932">
        <v>76127226</v>
      </c>
      <c r="H1932">
        <v>76127139</v>
      </c>
      <c r="I1932">
        <v>76127150</v>
      </c>
    </row>
    <row r="1933" spans="1:9" x14ac:dyDescent="0.2">
      <c r="A1933" s="1" t="str">
        <f>"C14orf105"</f>
        <v>C14orf105</v>
      </c>
      <c r="B1933" t="s">
        <v>14</v>
      </c>
      <c r="C1933" t="s">
        <v>41</v>
      </c>
      <c r="D1933" t="s">
        <v>11</v>
      </c>
      <c r="E1933" t="s">
        <v>12</v>
      </c>
      <c r="F1933">
        <v>57960545</v>
      </c>
      <c r="G1933">
        <v>57960595</v>
      </c>
      <c r="H1933">
        <v>57960456</v>
      </c>
      <c r="I1933">
        <v>57960478</v>
      </c>
    </row>
    <row r="1934" spans="1:9" x14ac:dyDescent="0.2">
      <c r="A1934" s="1" t="str">
        <f>"C14orf119"</f>
        <v>C14orf119</v>
      </c>
      <c r="B1934" t="s">
        <v>14</v>
      </c>
      <c r="C1934" t="s">
        <v>41</v>
      </c>
      <c r="D1934" t="s">
        <v>17</v>
      </c>
      <c r="E1934" t="s">
        <v>12</v>
      </c>
      <c r="F1934">
        <v>23564700</v>
      </c>
      <c r="G1934">
        <v>23564778</v>
      </c>
      <c r="H1934">
        <v>23563952</v>
      </c>
      <c r="I1934">
        <v>23563976</v>
      </c>
    </row>
    <row r="1935" spans="1:9" x14ac:dyDescent="0.2">
      <c r="A1935" s="1" t="str">
        <f>"C14orf132"</f>
        <v>C14orf132</v>
      </c>
      <c r="B1935" t="s">
        <v>14</v>
      </c>
      <c r="C1935" t="s">
        <v>41</v>
      </c>
      <c r="D1935" t="s">
        <v>17</v>
      </c>
      <c r="E1935" t="s">
        <v>12</v>
      </c>
      <c r="F1935">
        <v>96505665</v>
      </c>
      <c r="G1935">
        <v>96505721</v>
      </c>
      <c r="H1935">
        <v>96505659</v>
      </c>
      <c r="I1935">
        <v>96505664</v>
      </c>
    </row>
    <row r="1936" spans="1:9" x14ac:dyDescent="0.2">
      <c r="A1936" s="1" t="str">
        <f>"C14orf142"</f>
        <v>C14orf142</v>
      </c>
      <c r="B1936" t="s">
        <v>14</v>
      </c>
      <c r="C1936" t="s">
        <v>41</v>
      </c>
      <c r="D1936" t="s">
        <v>11</v>
      </c>
      <c r="E1936" t="s">
        <v>12</v>
      </c>
      <c r="F1936">
        <v>93673353</v>
      </c>
      <c r="G1936">
        <v>93673446</v>
      </c>
      <c r="H1936">
        <v>93673461</v>
      </c>
      <c r="I1936">
        <v>93673484</v>
      </c>
    </row>
    <row r="1937" spans="1:9" x14ac:dyDescent="0.2">
      <c r="A1937" s="1" t="str">
        <f>"C14orf159"</f>
        <v>C14orf159</v>
      </c>
      <c r="B1937" t="s">
        <v>14</v>
      </c>
      <c r="C1937" t="s">
        <v>41</v>
      </c>
      <c r="D1937" t="s">
        <v>17</v>
      </c>
      <c r="E1937" t="s">
        <v>12</v>
      </c>
      <c r="F1937">
        <v>91580397</v>
      </c>
      <c r="G1937">
        <v>91580454</v>
      </c>
      <c r="H1937">
        <v>91580708</v>
      </c>
      <c r="I1937">
        <v>91580730</v>
      </c>
    </row>
    <row r="1938" spans="1:9" x14ac:dyDescent="0.2">
      <c r="A1938" s="1" t="str">
        <f>"C14orf164"</f>
        <v>C14orf164</v>
      </c>
      <c r="B1938" t="s">
        <v>14</v>
      </c>
      <c r="C1938" t="s">
        <v>41</v>
      </c>
      <c r="D1938" t="s">
        <v>17</v>
      </c>
      <c r="E1938" t="s">
        <v>12</v>
      </c>
      <c r="F1938">
        <v>23727671</v>
      </c>
      <c r="G1938">
        <v>23727687</v>
      </c>
      <c r="H1938">
        <v>23727671</v>
      </c>
      <c r="I1938">
        <v>23727687</v>
      </c>
    </row>
    <row r="1939" spans="1:9" x14ac:dyDescent="0.2">
      <c r="A1939" s="1" t="str">
        <f>"C14orf166"</f>
        <v>C14orf166</v>
      </c>
      <c r="B1939" t="s">
        <v>14</v>
      </c>
      <c r="C1939" t="s">
        <v>41</v>
      </c>
      <c r="D1939" t="s">
        <v>17</v>
      </c>
      <c r="E1939" t="s">
        <v>12</v>
      </c>
      <c r="F1939">
        <v>52456226</v>
      </c>
      <c r="G1939">
        <v>52456320</v>
      </c>
      <c r="H1939">
        <v>52456327</v>
      </c>
      <c r="I1939">
        <v>52456344</v>
      </c>
    </row>
    <row r="1940" spans="1:9" x14ac:dyDescent="0.2">
      <c r="A1940" s="1" t="str">
        <f>"C14orf166B"</f>
        <v>C14orf166B</v>
      </c>
      <c r="B1940" t="s">
        <v>14</v>
      </c>
      <c r="C1940" t="s">
        <v>41</v>
      </c>
      <c r="D1940" t="s">
        <v>17</v>
      </c>
      <c r="E1940" t="s">
        <v>12</v>
      </c>
      <c r="F1940">
        <v>77292773</v>
      </c>
      <c r="G1940">
        <v>77292782</v>
      </c>
      <c r="H1940">
        <v>77292746</v>
      </c>
      <c r="I1940">
        <v>77292754</v>
      </c>
    </row>
    <row r="1941" spans="1:9" x14ac:dyDescent="0.2">
      <c r="A1941" s="1" t="str">
        <f>"C14orf169"</f>
        <v>C14orf169</v>
      </c>
      <c r="B1941" t="s">
        <v>14</v>
      </c>
      <c r="C1941" t="s">
        <v>41</v>
      </c>
      <c r="D1941" t="s">
        <v>17</v>
      </c>
      <c r="E1941" t="s">
        <v>12</v>
      </c>
      <c r="F1941">
        <v>73957631</v>
      </c>
      <c r="G1941">
        <v>73957708</v>
      </c>
      <c r="H1941">
        <v>73957823</v>
      </c>
      <c r="I1941">
        <v>73957870</v>
      </c>
    </row>
    <row r="1942" spans="1:9" x14ac:dyDescent="0.2">
      <c r="A1942" s="1" t="str">
        <f>"C14orf177"</f>
        <v>C14orf177</v>
      </c>
      <c r="B1942" t="s">
        <v>137</v>
      </c>
      <c r="C1942" t="s">
        <v>41</v>
      </c>
      <c r="D1942" t="s">
        <v>17</v>
      </c>
      <c r="E1942" t="s">
        <v>20</v>
      </c>
      <c r="F1942">
        <v>99177949</v>
      </c>
      <c r="G1942">
        <v>99177949</v>
      </c>
      <c r="H1942">
        <v>99177949</v>
      </c>
      <c r="I1942">
        <v>99177949</v>
      </c>
    </row>
    <row r="1943" spans="1:9" x14ac:dyDescent="0.2">
      <c r="A1943" s="1" t="str">
        <f>"C14orf178"</f>
        <v>C14orf178</v>
      </c>
      <c r="B1943" t="s">
        <v>14</v>
      </c>
      <c r="C1943" t="s">
        <v>41</v>
      </c>
      <c r="D1943" t="s">
        <v>17</v>
      </c>
      <c r="E1943" t="s">
        <v>12</v>
      </c>
      <c r="F1943">
        <v>78226880</v>
      </c>
      <c r="G1943">
        <v>78226939</v>
      </c>
      <c r="H1943">
        <v>78227105</v>
      </c>
      <c r="I1943">
        <v>78227137</v>
      </c>
    </row>
    <row r="1944" spans="1:9" x14ac:dyDescent="0.2">
      <c r="A1944" s="1" t="str">
        <f>"C14orf180"</f>
        <v>C14orf180</v>
      </c>
      <c r="B1944" t="s">
        <v>9</v>
      </c>
      <c r="C1944" t="s">
        <v>41</v>
      </c>
      <c r="D1944" t="s">
        <v>17</v>
      </c>
      <c r="E1944" t="s">
        <v>12</v>
      </c>
      <c r="F1944">
        <v>105046094</v>
      </c>
      <c r="G1944">
        <v>105046111</v>
      </c>
      <c r="H1944">
        <v>105046094</v>
      </c>
      <c r="I1944">
        <v>105046111</v>
      </c>
    </row>
    <row r="1945" spans="1:9" x14ac:dyDescent="0.2">
      <c r="A1945" s="1" t="str">
        <f>"C14orf180"</f>
        <v>C14orf180</v>
      </c>
      <c r="B1945" t="s">
        <v>13</v>
      </c>
      <c r="C1945" t="s">
        <v>41</v>
      </c>
      <c r="D1945" t="s">
        <v>17</v>
      </c>
      <c r="E1945" t="s">
        <v>12</v>
      </c>
      <c r="F1945">
        <v>105047591</v>
      </c>
      <c r="G1945">
        <v>105047605</v>
      </c>
      <c r="H1945">
        <v>105047591</v>
      </c>
      <c r="I1945">
        <v>105047605</v>
      </c>
    </row>
    <row r="1946" spans="1:9" x14ac:dyDescent="0.2">
      <c r="A1946" s="1" t="str">
        <f>"C14orf182"</f>
        <v>C14orf182</v>
      </c>
      <c r="B1946" t="s">
        <v>14</v>
      </c>
      <c r="C1946" t="s">
        <v>41</v>
      </c>
      <c r="D1946" t="s">
        <v>11</v>
      </c>
      <c r="E1946" t="s">
        <v>12</v>
      </c>
      <c r="F1946">
        <v>50459798</v>
      </c>
      <c r="G1946">
        <v>50459819</v>
      </c>
      <c r="H1946">
        <v>50459843</v>
      </c>
      <c r="I1946">
        <v>50459857</v>
      </c>
    </row>
    <row r="1947" spans="1:9" x14ac:dyDescent="0.2">
      <c r="A1947" s="1" t="str">
        <f>"C14orf183"</f>
        <v>C14orf183</v>
      </c>
      <c r="B1947" t="s">
        <v>138</v>
      </c>
      <c r="C1947" t="s">
        <v>41</v>
      </c>
      <c r="D1947" t="s">
        <v>11</v>
      </c>
      <c r="E1947" t="s">
        <v>20</v>
      </c>
      <c r="F1947">
        <v>50559360</v>
      </c>
      <c r="G1947">
        <v>50559360</v>
      </c>
      <c r="H1947">
        <v>50559360</v>
      </c>
      <c r="I1947">
        <v>50559360</v>
      </c>
    </row>
    <row r="1948" spans="1:9" x14ac:dyDescent="0.2">
      <c r="A1948" s="1" t="str">
        <f>"C14orf2"</f>
        <v>C14orf2</v>
      </c>
      <c r="B1948" t="s">
        <v>14</v>
      </c>
      <c r="C1948" t="s">
        <v>41</v>
      </c>
      <c r="D1948" t="s">
        <v>11</v>
      </c>
      <c r="E1948" t="s">
        <v>12</v>
      </c>
      <c r="F1948">
        <v>104387840</v>
      </c>
      <c r="G1948">
        <v>104387880</v>
      </c>
      <c r="H1948">
        <v>104387888</v>
      </c>
      <c r="I1948">
        <v>104387899</v>
      </c>
    </row>
    <row r="1949" spans="1:9" x14ac:dyDescent="0.2">
      <c r="A1949" s="1" t="str">
        <f>"C14orf28"</f>
        <v>C14orf28</v>
      </c>
      <c r="B1949" t="s">
        <v>14</v>
      </c>
      <c r="C1949" t="s">
        <v>41</v>
      </c>
      <c r="D1949" t="s">
        <v>17</v>
      </c>
      <c r="E1949" t="s">
        <v>12</v>
      </c>
      <c r="F1949">
        <v>45366472</v>
      </c>
      <c r="G1949">
        <v>45366514</v>
      </c>
      <c r="H1949">
        <v>45366518</v>
      </c>
      <c r="I1949">
        <v>45366552</v>
      </c>
    </row>
    <row r="1950" spans="1:9" x14ac:dyDescent="0.2">
      <c r="A1950" s="1" t="str">
        <f>"C14orf37"</f>
        <v>C14orf37</v>
      </c>
      <c r="B1950" t="s">
        <v>139</v>
      </c>
      <c r="C1950" t="s">
        <v>41</v>
      </c>
      <c r="D1950" t="s">
        <v>11</v>
      </c>
      <c r="E1950" t="s">
        <v>35</v>
      </c>
      <c r="F1950">
        <v>58618896</v>
      </c>
      <c r="G1950">
        <v>58618939</v>
      </c>
      <c r="H1950">
        <v>58618867</v>
      </c>
      <c r="I1950">
        <v>58618894</v>
      </c>
    </row>
    <row r="1951" spans="1:9" x14ac:dyDescent="0.2">
      <c r="A1951" s="1" t="str">
        <f>"C14orf39"</f>
        <v>C14orf39</v>
      </c>
      <c r="B1951" t="s">
        <v>14</v>
      </c>
      <c r="C1951" t="s">
        <v>41</v>
      </c>
      <c r="D1951" t="s">
        <v>11</v>
      </c>
      <c r="E1951" t="s">
        <v>12</v>
      </c>
      <c r="F1951">
        <v>60952739</v>
      </c>
      <c r="G1951">
        <v>60952787</v>
      </c>
      <c r="H1951">
        <v>60952789</v>
      </c>
      <c r="I1951">
        <v>60952792</v>
      </c>
    </row>
    <row r="1952" spans="1:9" x14ac:dyDescent="0.2">
      <c r="A1952" s="1" t="str">
        <f>"C14orf79"</f>
        <v>C14orf79</v>
      </c>
      <c r="B1952" t="s">
        <v>14</v>
      </c>
      <c r="C1952" t="s">
        <v>41</v>
      </c>
      <c r="D1952" t="s">
        <v>17</v>
      </c>
      <c r="E1952" t="s">
        <v>12</v>
      </c>
      <c r="F1952">
        <v>105452094</v>
      </c>
      <c r="G1952">
        <v>105452152</v>
      </c>
      <c r="H1952">
        <v>105452153</v>
      </c>
      <c r="I1952">
        <v>105452163</v>
      </c>
    </row>
    <row r="1953" spans="1:9" x14ac:dyDescent="0.2">
      <c r="A1953" s="1" t="str">
        <f>"C14orf80"</f>
        <v>C14orf80</v>
      </c>
      <c r="B1953" t="s">
        <v>14</v>
      </c>
      <c r="C1953" t="s">
        <v>41</v>
      </c>
      <c r="D1953" t="s">
        <v>17</v>
      </c>
      <c r="E1953" t="s">
        <v>12</v>
      </c>
      <c r="F1953">
        <v>105957563</v>
      </c>
      <c r="G1953">
        <v>105957663</v>
      </c>
      <c r="H1953">
        <v>105957688</v>
      </c>
      <c r="I1953">
        <v>105957707</v>
      </c>
    </row>
    <row r="1954" spans="1:9" x14ac:dyDescent="0.2">
      <c r="A1954" s="1" t="str">
        <f>"C14orf93"</f>
        <v>C14orf93</v>
      </c>
      <c r="B1954" t="s">
        <v>9</v>
      </c>
      <c r="C1954" t="s">
        <v>41</v>
      </c>
      <c r="D1954" t="s">
        <v>11</v>
      </c>
      <c r="E1954" t="s">
        <v>12</v>
      </c>
      <c r="F1954">
        <v>23479331</v>
      </c>
      <c r="G1954">
        <v>23479365</v>
      </c>
      <c r="H1954">
        <v>23479331</v>
      </c>
      <c r="I1954">
        <v>23479365</v>
      </c>
    </row>
    <row r="1955" spans="1:9" x14ac:dyDescent="0.2">
      <c r="A1955" s="1" t="str">
        <f>"C14orf93"</f>
        <v>C14orf93</v>
      </c>
      <c r="B1955" t="s">
        <v>13</v>
      </c>
      <c r="C1955" t="s">
        <v>41</v>
      </c>
      <c r="D1955" t="s">
        <v>11</v>
      </c>
      <c r="E1955" t="s">
        <v>12</v>
      </c>
      <c r="F1955">
        <v>23476347</v>
      </c>
      <c r="G1955">
        <v>23476374</v>
      </c>
      <c r="H1955">
        <v>23476347</v>
      </c>
      <c r="I1955">
        <v>23476374</v>
      </c>
    </row>
    <row r="1956" spans="1:9" x14ac:dyDescent="0.2">
      <c r="A1956" s="1" t="str">
        <f>"C15orf26"</f>
        <v>C15orf26</v>
      </c>
      <c r="B1956" t="s">
        <v>140</v>
      </c>
      <c r="C1956" t="s">
        <v>25</v>
      </c>
      <c r="D1956" t="s">
        <v>17</v>
      </c>
      <c r="E1956" t="s">
        <v>35</v>
      </c>
      <c r="F1956">
        <v>81426596</v>
      </c>
      <c r="G1956">
        <v>81426639</v>
      </c>
      <c r="H1956">
        <v>81426643</v>
      </c>
      <c r="I1956">
        <v>81426656</v>
      </c>
    </row>
    <row r="1957" spans="1:9" x14ac:dyDescent="0.2">
      <c r="A1957" s="1" t="str">
        <f>"C15orf27"</f>
        <v>C15orf27</v>
      </c>
      <c r="B1957" t="s">
        <v>14</v>
      </c>
      <c r="C1957" t="s">
        <v>25</v>
      </c>
      <c r="D1957" t="s">
        <v>17</v>
      </c>
      <c r="E1957" t="s">
        <v>12</v>
      </c>
      <c r="F1957">
        <v>76352315</v>
      </c>
      <c r="G1957">
        <v>76352332</v>
      </c>
      <c r="H1957">
        <v>76352284</v>
      </c>
      <c r="I1957">
        <v>76352306</v>
      </c>
    </row>
    <row r="1958" spans="1:9" x14ac:dyDescent="0.2">
      <c r="A1958" s="1" t="str">
        <f>"C15orf32"</f>
        <v>C15orf32</v>
      </c>
      <c r="B1958" t="s">
        <v>14</v>
      </c>
      <c r="C1958" t="s">
        <v>25</v>
      </c>
      <c r="D1958" t="s">
        <v>17</v>
      </c>
      <c r="E1958" t="s">
        <v>12</v>
      </c>
      <c r="F1958">
        <v>93014916</v>
      </c>
      <c r="G1958">
        <v>93014946</v>
      </c>
      <c r="H1958">
        <v>93014916</v>
      </c>
      <c r="I1958">
        <v>93014946</v>
      </c>
    </row>
    <row r="1959" spans="1:9" x14ac:dyDescent="0.2">
      <c r="A1959" s="1" t="str">
        <f>"C15orf38"</f>
        <v>C15orf38</v>
      </c>
      <c r="B1959" t="s">
        <v>14</v>
      </c>
      <c r="C1959" t="s">
        <v>25</v>
      </c>
      <c r="D1959" t="s">
        <v>11</v>
      </c>
      <c r="E1959" t="s">
        <v>12</v>
      </c>
      <c r="F1959">
        <v>90456156</v>
      </c>
      <c r="G1959">
        <v>90456198</v>
      </c>
      <c r="H1959">
        <v>90456152</v>
      </c>
      <c r="I1959">
        <v>90456155</v>
      </c>
    </row>
    <row r="1960" spans="1:9" x14ac:dyDescent="0.2">
      <c r="A1960" s="1" t="str">
        <f>"C15orf38-AP3S2"</f>
        <v>C15orf38-AP3S2</v>
      </c>
      <c r="B1960" t="s">
        <v>9</v>
      </c>
      <c r="C1960" t="s">
        <v>25</v>
      </c>
      <c r="D1960" t="s">
        <v>11</v>
      </c>
      <c r="E1960" t="s">
        <v>12</v>
      </c>
      <c r="F1960">
        <v>90437195</v>
      </c>
      <c r="G1960">
        <v>90437261</v>
      </c>
      <c r="H1960">
        <v>90437195</v>
      </c>
      <c r="I1960">
        <v>90437261</v>
      </c>
    </row>
    <row r="1961" spans="1:9" x14ac:dyDescent="0.2">
      <c r="A1961" s="1" t="str">
        <f>"C15orf38-AP3S2"</f>
        <v>C15orf38-AP3S2</v>
      </c>
      <c r="B1961" t="s">
        <v>13</v>
      </c>
      <c r="C1961" t="s">
        <v>25</v>
      </c>
      <c r="D1961" t="s">
        <v>11</v>
      </c>
      <c r="E1961" t="s">
        <v>12</v>
      </c>
      <c r="F1961">
        <v>90456128</v>
      </c>
      <c r="G1961">
        <v>90456151</v>
      </c>
      <c r="H1961">
        <v>90456128</v>
      </c>
      <c r="I1961">
        <v>90456151</v>
      </c>
    </row>
    <row r="1962" spans="1:9" x14ac:dyDescent="0.2">
      <c r="A1962" s="1" t="str">
        <f>"C15orf39"</f>
        <v>C15orf39</v>
      </c>
      <c r="B1962" t="s">
        <v>14</v>
      </c>
      <c r="C1962" t="s">
        <v>25</v>
      </c>
      <c r="D1962" t="s">
        <v>17</v>
      </c>
      <c r="E1962" t="s">
        <v>12</v>
      </c>
      <c r="F1962">
        <v>75494214</v>
      </c>
      <c r="G1962">
        <v>75494229</v>
      </c>
      <c r="H1962">
        <v>75494277</v>
      </c>
      <c r="I1962">
        <v>75494288</v>
      </c>
    </row>
    <row r="1963" spans="1:9" x14ac:dyDescent="0.2">
      <c r="A1963" s="1" t="str">
        <f>"C15orf40"</f>
        <v>C15orf40</v>
      </c>
      <c r="B1963" t="s">
        <v>14</v>
      </c>
      <c r="C1963" t="s">
        <v>25</v>
      </c>
      <c r="D1963" t="s">
        <v>11</v>
      </c>
      <c r="E1963" t="s">
        <v>12</v>
      </c>
      <c r="F1963">
        <v>83680325</v>
      </c>
      <c r="G1963">
        <v>83680396</v>
      </c>
      <c r="H1963">
        <v>83680463</v>
      </c>
      <c r="I1963">
        <v>83680501</v>
      </c>
    </row>
    <row r="1964" spans="1:9" x14ac:dyDescent="0.2">
      <c r="A1964" s="1" t="str">
        <f>"C15orf41"</f>
        <v>C15orf41</v>
      </c>
      <c r="B1964" t="s">
        <v>14</v>
      </c>
      <c r="C1964" t="s">
        <v>25</v>
      </c>
      <c r="D1964" t="s">
        <v>17</v>
      </c>
      <c r="E1964" t="s">
        <v>12</v>
      </c>
      <c r="F1964">
        <v>36871806</v>
      </c>
      <c r="G1964">
        <v>36871872</v>
      </c>
      <c r="H1964">
        <v>36871878</v>
      </c>
      <c r="I1964">
        <v>36871895</v>
      </c>
    </row>
    <row r="1965" spans="1:9" x14ac:dyDescent="0.2">
      <c r="A1965" s="1" t="str">
        <f>"C15orf43"</f>
        <v>C15orf43</v>
      </c>
      <c r="B1965" t="s">
        <v>14</v>
      </c>
      <c r="C1965" t="s">
        <v>25</v>
      </c>
      <c r="D1965" t="s">
        <v>17</v>
      </c>
      <c r="E1965" t="s">
        <v>12</v>
      </c>
      <c r="F1965">
        <v>45248880</v>
      </c>
      <c r="G1965">
        <v>45248926</v>
      </c>
      <c r="H1965">
        <v>45248880</v>
      </c>
      <c r="I1965">
        <v>45248926</v>
      </c>
    </row>
    <row r="1966" spans="1:9" x14ac:dyDescent="0.2">
      <c r="A1966" s="1" t="str">
        <f>"C15orf48"</f>
        <v>C15orf48</v>
      </c>
      <c r="B1966" t="s">
        <v>14</v>
      </c>
      <c r="C1966" t="s">
        <v>25</v>
      </c>
      <c r="D1966" t="s">
        <v>17</v>
      </c>
      <c r="E1966" t="s">
        <v>12</v>
      </c>
      <c r="F1966">
        <v>45722800</v>
      </c>
      <c r="G1966">
        <v>45722816</v>
      </c>
      <c r="H1966">
        <v>45722972</v>
      </c>
      <c r="I1966">
        <v>45723000</v>
      </c>
    </row>
    <row r="1967" spans="1:9" x14ac:dyDescent="0.2">
      <c r="A1967" s="1" t="str">
        <f>"C15orf52"</f>
        <v>C15orf52</v>
      </c>
      <c r="B1967" t="s">
        <v>9</v>
      </c>
      <c r="C1967" t="s">
        <v>25</v>
      </c>
      <c r="D1967" t="s">
        <v>11</v>
      </c>
      <c r="E1967" t="s">
        <v>12</v>
      </c>
      <c r="F1967">
        <v>40633101</v>
      </c>
      <c r="G1967">
        <v>40633171</v>
      </c>
      <c r="H1967">
        <v>40633101</v>
      </c>
      <c r="I1967">
        <v>40633171</v>
      </c>
    </row>
    <row r="1968" spans="1:9" x14ac:dyDescent="0.2">
      <c r="A1968" s="1" t="str">
        <f>"C15orf52"</f>
        <v>C15orf52</v>
      </c>
      <c r="B1968" t="s">
        <v>13</v>
      </c>
      <c r="C1968" t="s">
        <v>25</v>
      </c>
      <c r="D1968" t="s">
        <v>11</v>
      </c>
      <c r="E1968" t="s">
        <v>12</v>
      </c>
      <c r="F1968">
        <v>40631136</v>
      </c>
      <c r="G1968">
        <v>40631203</v>
      </c>
      <c r="H1968">
        <v>40631136</v>
      </c>
      <c r="I1968">
        <v>40631203</v>
      </c>
    </row>
    <row r="1969" spans="1:9" x14ac:dyDescent="0.2">
      <c r="A1969" s="1" t="str">
        <f>"C15orf53"</f>
        <v>C15orf53</v>
      </c>
      <c r="B1969" t="s">
        <v>14</v>
      </c>
      <c r="C1969" t="s">
        <v>25</v>
      </c>
      <c r="D1969" t="s">
        <v>17</v>
      </c>
      <c r="E1969" t="s">
        <v>12</v>
      </c>
      <c r="F1969">
        <v>38988768</v>
      </c>
      <c r="G1969">
        <v>38988793</v>
      </c>
      <c r="H1969">
        <v>38988801</v>
      </c>
      <c r="I1969">
        <v>38988810</v>
      </c>
    </row>
    <row r="1970" spans="1:9" x14ac:dyDescent="0.2">
      <c r="A1970" s="1" t="str">
        <f>"C15orf54"</f>
        <v>C15orf54</v>
      </c>
      <c r="B1970" t="s">
        <v>14</v>
      </c>
      <c r="C1970" t="s">
        <v>25</v>
      </c>
      <c r="D1970" t="s">
        <v>17</v>
      </c>
      <c r="E1970" t="s">
        <v>12</v>
      </c>
      <c r="F1970">
        <v>39542867</v>
      </c>
      <c r="G1970">
        <v>39542890</v>
      </c>
      <c r="H1970">
        <v>39542895</v>
      </c>
      <c r="I1970">
        <v>39542910</v>
      </c>
    </row>
    <row r="1971" spans="1:9" x14ac:dyDescent="0.2">
      <c r="A1971" s="1" t="str">
        <f>"C15orf56"</f>
        <v>C15orf56</v>
      </c>
      <c r="B1971" t="s">
        <v>14</v>
      </c>
      <c r="C1971" t="s">
        <v>25</v>
      </c>
      <c r="D1971" t="s">
        <v>11</v>
      </c>
      <c r="E1971" t="s">
        <v>12</v>
      </c>
      <c r="F1971">
        <v>40545169</v>
      </c>
      <c r="G1971">
        <v>40545176</v>
      </c>
      <c r="H1971">
        <v>40545154</v>
      </c>
      <c r="I1971">
        <v>40545163</v>
      </c>
    </row>
    <row r="1972" spans="1:9" x14ac:dyDescent="0.2">
      <c r="A1972" s="1" t="str">
        <f>"C15orf57"</f>
        <v>C15orf57</v>
      </c>
      <c r="B1972" t="s">
        <v>14</v>
      </c>
      <c r="C1972" t="s">
        <v>25</v>
      </c>
      <c r="D1972" t="s">
        <v>11</v>
      </c>
      <c r="E1972" t="s">
        <v>12</v>
      </c>
      <c r="F1972">
        <v>40857185</v>
      </c>
      <c r="G1972">
        <v>40857258</v>
      </c>
      <c r="H1972">
        <v>40857185</v>
      </c>
      <c r="I1972">
        <v>40857258</v>
      </c>
    </row>
    <row r="1973" spans="1:9" x14ac:dyDescent="0.2">
      <c r="A1973" s="1" t="str">
        <f>"C15orf59"</f>
        <v>C15orf59</v>
      </c>
      <c r="B1973" t="s">
        <v>14</v>
      </c>
      <c r="C1973" t="s">
        <v>25</v>
      </c>
      <c r="D1973" t="s">
        <v>11</v>
      </c>
      <c r="E1973" t="s">
        <v>12</v>
      </c>
      <c r="F1973">
        <v>74044078</v>
      </c>
      <c r="G1973">
        <v>74044097</v>
      </c>
      <c r="H1973">
        <v>74045043</v>
      </c>
      <c r="I1973">
        <v>74045050</v>
      </c>
    </row>
    <row r="1974" spans="1:9" x14ac:dyDescent="0.2">
      <c r="A1974" s="1" t="str">
        <f>"C15orf60"</f>
        <v>C15orf60</v>
      </c>
      <c r="B1974" t="s">
        <v>14</v>
      </c>
      <c r="C1974" t="s">
        <v>25</v>
      </c>
      <c r="D1974" t="s">
        <v>17</v>
      </c>
      <c r="E1974" t="s">
        <v>12</v>
      </c>
      <c r="F1974">
        <v>73735490</v>
      </c>
      <c r="G1974">
        <v>73735506</v>
      </c>
      <c r="H1974">
        <v>73735490</v>
      </c>
      <c r="I1974">
        <v>73735506</v>
      </c>
    </row>
    <row r="1975" spans="1:9" x14ac:dyDescent="0.2">
      <c r="A1975" s="1" t="str">
        <f>"C15orf61"</f>
        <v>C15orf61</v>
      </c>
      <c r="B1975" t="s">
        <v>14</v>
      </c>
      <c r="C1975" t="s">
        <v>25</v>
      </c>
      <c r="D1975" t="s">
        <v>17</v>
      </c>
      <c r="E1975" t="s">
        <v>12</v>
      </c>
      <c r="F1975">
        <v>67813494</v>
      </c>
      <c r="G1975">
        <v>67813595</v>
      </c>
      <c r="H1975">
        <v>67813442</v>
      </c>
      <c r="I1975">
        <v>67813492</v>
      </c>
    </row>
    <row r="1976" spans="1:9" x14ac:dyDescent="0.2">
      <c r="A1976" s="1" t="str">
        <f>"C15orf62"</f>
        <v>C15orf62</v>
      </c>
      <c r="B1976" t="s">
        <v>14</v>
      </c>
      <c r="C1976" t="s">
        <v>25</v>
      </c>
      <c r="D1976" t="s">
        <v>17</v>
      </c>
      <c r="E1976" t="s">
        <v>12</v>
      </c>
      <c r="F1976">
        <v>41062171</v>
      </c>
      <c r="G1976">
        <v>41062199</v>
      </c>
      <c r="H1976">
        <v>41062273</v>
      </c>
      <c r="I1976">
        <v>41062279</v>
      </c>
    </row>
    <row r="1977" spans="1:9" x14ac:dyDescent="0.2">
      <c r="A1977" s="1" t="str">
        <f>"C15orf65"</f>
        <v>C15orf65</v>
      </c>
      <c r="B1977" t="s">
        <v>14</v>
      </c>
      <c r="C1977" t="s">
        <v>25</v>
      </c>
      <c r="D1977" t="s">
        <v>17</v>
      </c>
      <c r="E1977" t="s">
        <v>12</v>
      </c>
      <c r="F1977">
        <v>55700677</v>
      </c>
      <c r="G1977">
        <v>55700738</v>
      </c>
      <c r="H1977">
        <v>55700618</v>
      </c>
      <c r="I1977">
        <v>55700652</v>
      </c>
    </row>
    <row r="1978" spans="1:9" x14ac:dyDescent="0.2">
      <c r="A1978" s="1" t="str">
        <f>"C16orf11"</f>
        <v>C16orf11</v>
      </c>
      <c r="B1978" t="s">
        <v>14</v>
      </c>
      <c r="C1978" t="s">
        <v>31</v>
      </c>
      <c r="D1978" t="s">
        <v>17</v>
      </c>
      <c r="E1978" t="s">
        <v>12</v>
      </c>
      <c r="F1978">
        <v>610407</v>
      </c>
      <c r="G1978">
        <v>610429</v>
      </c>
      <c r="H1978">
        <v>610623</v>
      </c>
      <c r="I1978">
        <v>610638</v>
      </c>
    </row>
    <row r="1979" spans="1:9" x14ac:dyDescent="0.2">
      <c r="A1979" s="1" t="str">
        <f>"C16orf13"</f>
        <v>C16orf13</v>
      </c>
      <c r="B1979" t="s">
        <v>14</v>
      </c>
      <c r="C1979" t="s">
        <v>31</v>
      </c>
      <c r="D1979" t="s">
        <v>11</v>
      </c>
      <c r="E1979" t="s">
        <v>12</v>
      </c>
      <c r="F1979">
        <v>686295</v>
      </c>
      <c r="G1979">
        <v>686374</v>
      </c>
      <c r="H1979">
        <v>686141</v>
      </c>
      <c r="I1979">
        <v>686152</v>
      </c>
    </row>
    <row r="1980" spans="1:9" x14ac:dyDescent="0.2">
      <c r="A1980" s="1" t="str">
        <f>"C16orf3"</f>
        <v>C16orf3</v>
      </c>
      <c r="B1980" t="s">
        <v>141</v>
      </c>
      <c r="C1980" t="s">
        <v>31</v>
      </c>
      <c r="D1980" t="s">
        <v>11</v>
      </c>
      <c r="E1980" t="s">
        <v>20</v>
      </c>
      <c r="F1980">
        <v>90096308</v>
      </c>
      <c r="G1980">
        <v>90096308</v>
      </c>
      <c r="H1980">
        <v>90096308</v>
      </c>
      <c r="I1980">
        <v>90096308</v>
      </c>
    </row>
    <row r="1981" spans="1:9" x14ac:dyDescent="0.2">
      <c r="A1981" s="1" t="str">
        <f>"C16orf45"</f>
        <v>C16orf45</v>
      </c>
      <c r="B1981" t="s">
        <v>14</v>
      </c>
      <c r="C1981" t="s">
        <v>31</v>
      </c>
      <c r="D1981" t="s">
        <v>17</v>
      </c>
      <c r="E1981" t="s">
        <v>12</v>
      </c>
      <c r="F1981">
        <v>15528333</v>
      </c>
      <c r="G1981">
        <v>15528385</v>
      </c>
      <c r="H1981">
        <v>15528434</v>
      </c>
      <c r="I1981">
        <v>15528458</v>
      </c>
    </row>
    <row r="1982" spans="1:9" x14ac:dyDescent="0.2">
      <c r="A1982" s="1" t="str">
        <f>"C16orf46"</f>
        <v>C16orf46</v>
      </c>
      <c r="B1982" t="s">
        <v>14</v>
      </c>
      <c r="C1982" t="s">
        <v>31</v>
      </c>
      <c r="D1982" t="s">
        <v>11</v>
      </c>
      <c r="E1982" t="s">
        <v>12</v>
      </c>
      <c r="F1982">
        <v>81110786</v>
      </c>
      <c r="G1982">
        <v>81110863</v>
      </c>
      <c r="H1982">
        <v>81110869</v>
      </c>
      <c r="I1982">
        <v>81110874</v>
      </c>
    </row>
    <row r="1983" spans="1:9" x14ac:dyDescent="0.2">
      <c r="A1983" s="1" t="str">
        <f>"C16orf47"</f>
        <v>C16orf47</v>
      </c>
      <c r="B1983" t="s">
        <v>142</v>
      </c>
      <c r="C1983" t="s">
        <v>31</v>
      </c>
      <c r="D1983" t="s">
        <v>11</v>
      </c>
      <c r="E1983" t="s">
        <v>20</v>
      </c>
      <c r="F1983">
        <v>73178345</v>
      </c>
      <c r="G1983">
        <v>73178345</v>
      </c>
      <c r="H1983">
        <v>73178345</v>
      </c>
      <c r="I1983">
        <v>73178345</v>
      </c>
    </row>
    <row r="1984" spans="1:9" x14ac:dyDescent="0.2">
      <c r="A1984" s="1" t="str">
        <f>"C16orf52"</f>
        <v>C16orf52</v>
      </c>
      <c r="B1984" t="s">
        <v>14</v>
      </c>
      <c r="C1984" t="s">
        <v>31</v>
      </c>
      <c r="D1984" t="s">
        <v>17</v>
      </c>
      <c r="E1984" t="s">
        <v>12</v>
      </c>
      <c r="F1984">
        <v>22019404</v>
      </c>
      <c r="G1984">
        <v>22019471</v>
      </c>
      <c r="H1984">
        <v>22019404</v>
      </c>
      <c r="I1984">
        <v>22019471</v>
      </c>
    </row>
    <row r="1985" spans="1:9" x14ac:dyDescent="0.2">
      <c r="A1985" s="1" t="str">
        <f>"C16orf54"</f>
        <v>C16orf54</v>
      </c>
      <c r="B1985" t="s">
        <v>14</v>
      </c>
      <c r="C1985" t="s">
        <v>31</v>
      </c>
      <c r="D1985" t="s">
        <v>11</v>
      </c>
      <c r="E1985" t="s">
        <v>12</v>
      </c>
      <c r="F1985">
        <v>29757272</v>
      </c>
      <c r="G1985">
        <v>29757347</v>
      </c>
      <c r="H1985">
        <v>29757389</v>
      </c>
      <c r="I1985">
        <v>29757400</v>
      </c>
    </row>
    <row r="1986" spans="1:9" x14ac:dyDescent="0.2">
      <c r="A1986" s="1" t="str">
        <f>"C16orf58"</f>
        <v>C16orf58</v>
      </c>
      <c r="B1986" t="s">
        <v>14</v>
      </c>
      <c r="C1986" t="s">
        <v>31</v>
      </c>
      <c r="D1986" t="s">
        <v>11</v>
      </c>
      <c r="E1986" t="s">
        <v>12</v>
      </c>
      <c r="F1986">
        <v>31519691</v>
      </c>
      <c r="G1986">
        <v>31519730</v>
      </c>
      <c r="H1986">
        <v>31519691</v>
      </c>
      <c r="I1986">
        <v>31519730</v>
      </c>
    </row>
    <row r="1987" spans="1:9" x14ac:dyDescent="0.2">
      <c r="A1987" s="1" t="str">
        <f>"C16orf59"</f>
        <v>C16orf59</v>
      </c>
      <c r="B1987" t="s">
        <v>14</v>
      </c>
      <c r="C1987" t="s">
        <v>31</v>
      </c>
      <c r="D1987" t="s">
        <v>17</v>
      </c>
      <c r="E1987" t="s">
        <v>12</v>
      </c>
      <c r="F1987">
        <v>2510094</v>
      </c>
      <c r="G1987">
        <v>2510152</v>
      </c>
      <c r="H1987">
        <v>2510094</v>
      </c>
      <c r="I1987">
        <v>2510152</v>
      </c>
    </row>
    <row r="1988" spans="1:9" x14ac:dyDescent="0.2">
      <c r="A1988" s="1" t="str">
        <f>"C16orf62"</f>
        <v>C16orf62</v>
      </c>
      <c r="B1988" t="s">
        <v>14</v>
      </c>
      <c r="C1988" t="s">
        <v>31</v>
      </c>
      <c r="D1988" t="s">
        <v>17</v>
      </c>
      <c r="E1988" t="s">
        <v>12</v>
      </c>
      <c r="F1988">
        <v>19567016</v>
      </c>
      <c r="G1988">
        <v>19567053</v>
      </c>
      <c r="H1988">
        <v>19566942</v>
      </c>
      <c r="I1988">
        <v>19566961</v>
      </c>
    </row>
    <row r="1989" spans="1:9" x14ac:dyDescent="0.2">
      <c r="A1989" s="1" t="str">
        <f>"C16orf70"</f>
        <v>C16orf70</v>
      </c>
      <c r="B1989" t="s">
        <v>14</v>
      </c>
      <c r="C1989" t="s">
        <v>31</v>
      </c>
      <c r="D1989" t="s">
        <v>17</v>
      </c>
      <c r="E1989" t="s">
        <v>12</v>
      </c>
      <c r="F1989">
        <v>67143828</v>
      </c>
      <c r="G1989">
        <v>67143873</v>
      </c>
      <c r="H1989">
        <v>67143880</v>
      </c>
      <c r="I1989">
        <v>67143906</v>
      </c>
    </row>
    <row r="1990" spans="1:9" x14ac:dyDescent="0.2">
      <c r="A1990" s="1" t="str">
        <f>"C16orf71"</f>
        <v>C16orf71</v>
      </c>
      <c r="B1990" t="s">
        <v>14</v>
      </c>
      <c r="C1990" t="s">
        <v>31</v>
      </c>
      <c r="D1990" t="s">
        <v>17</v>
      </c>
      <c r="E1990" t="s">
        <v>12</v>
      </c>
      <c r="F1990">
        <v>4784520</v>
      </c>
      <c r="G1990">
        <v>4784548</v>
      </c>
      <c r="H1990">
        <v>4784458</v>
      </c>
      <c r="I1990">
        <v>4784497</v>
      </c>
    </row>
    <row r="1991" spans="1:9" x14ac:dyDescent="0.2">
      <c r="A1991" s="1" t="str">
        <f>"C16orf72"</f>
        <v>C16orf72</v>
      </c>
      <c r="B1991" t="s">
        <v>9</v>
      </c>
      <c r="C1991" t="s">
        <v>31</v>
      </c>
      <c r="D1991" t="s">
        <v>17</v>
      </c>
      <c r="E1991" t="s">
        <v>12</v>
      </c>
      <c r="F1991">
        <v>9185450</v>
      </c>
      <c r="G1991">
        <v>9185516</v>
      </c>
      <c r="H1991">
        <v>9185450</v>
      </c>
      <c r="I1991">
        <v>9185516</v>
      </c>
    </row>
    <row r="1992" spans="1:9" x14ac:dyDescent="0.2">
      <c r="A1992" s="1" t="str">
        <f>"C16orf72"</f>
        <v>C16orf72</v>
      </c>
      <c r="B1992" t="s">
        <v>13</v>
      </c>
      <c r="C1992" t="s">
        <v>31</v>
      </c>
      <c r="D1992" t="s">
        <v>17</v>
      </c>
      <c r="E1992" t="s">
        <v>12</v>
      </c>
      <c r="F1992">
        <v>9196990</v>
      </c>
      <c r="G1992">
        <v>9197036</v>
      </c>
      <c r="H1992">
        <v>9196990</v>
      </c>
      <c r="I1992">
        <v>9197036</v>
      </c>
    </row>
    <row r="1993" spans="1:9" x14ac:dyDescent="0.2">
      <c r="A1993" s="1" t="str">
        <f>"C16orf74"</f>
        <v>C16orf74</v>
      </c>
      <c r="B1993" t="s">
        <v>14</v>
      </c>
      <c r="C1993" t="s">
        <v>31</v>
      </c>
      <c r="D1993" t="s">
        <v>11</v>
      </c>
      <c r="E1993" t="s">
        <v>12</v>
      </c>
      <c r="F1993">
        <v>85784634</v>
      </c>
      <c r="G1993">
        <v>85784714</v>
      </c>
      <c r="H1993">
        <v>85784734</v>
      </c>
      <c r="I1993">
        <v>85784749</v>
      </c>
    </row>
    <row r="1994" spans="1:9" x14ac:dyDescent="0.2">
      <c r="A1994" s="1" t="str">
        <f>"C16orf78"</f>
        <v>C16orf78</v>
      </c>
      <c r="B1994" t="s">
        <v>14</v>
      </c>
      <c r="C1994" t="s">
        <v>31</v>
      </c>
      <c r="D1994" t="s">
        <v>17</v>
      </c>
      <c r="E1994" t="s">
        <v>12</v>
      </c>
      <c r="F1994">
        <v>49407710</v>
      </c>
      <c r="G1994">
        <v>49407720</v>
      </c>
      <c r="H1994">
        <v>49407802</v>
      </c>
      <c r="I1994">
        <v>49407809</v>
      </c>
    </row>
    <row r="1995" spans="1:9" x14ac:dyDescent="0.2">
      <c r="A1995" s="1" t="str">
        <f>"C16orf80"</f>
        <v>C16orf80</v>
      </c>
      <c r="B1995" t="s">
        <v>14</v>
      </c>
      <c r="C1995" t="s">
        <v>31</v>
      </c>
      <c r="D1995" t="s">
        <v>11</v>
      </c>
      <c r="E1995" t="s">
        <v>12</v>
      </c>
      <c r="F1995">
        <v>58163211</v>
      </c>
      <c r="G1995">
        <v>58163261</v>
      </c>
      <c r="H1995">
        <v>58163262</v>
      </c>
      <c r="I1995">
        <v>58163292</v>
      </c>
    </row>
    <row r="1996" spans="1:9" x14ac:dyDescent="0.2">
      <c r="A1996" s="1" t="str">
        <f>"C16orf82"</f>
        <v>C16orf82</v>
      </c>
      <c r="B1996" t="s">
        <v>14</v>
      </c>
      <c r="C1996" t="s">
        <v>31</v>
      </c>
      <c r="D1996" t="s">
        <v>17</v>
      </c>
      <c r="E1996" t="s">
        <v>12</v>
      </c>
      <c r="F1996">
        <v>27078241</v>
      </c>
      <c r="G1996">
        <v>27078265</v>
      </c>
      <c r="H1996">
        <v>27078266</v>
      </c>
      <c r="I1996">
        <v>27078279</v>
      </c>
    </row>
    <row r="1997" spans="1:9" x14ac:dyDescent="0.2">
      <c r="A1997" s="1" t="str">
        <f>"C16orf86"</f>
        <v>C16orf86</v>
      </c>
      <c r="B1997" t="s">
        <v>14</v>
      </c>
      <c r="C1997" t="s">
        <v>31</v>
      </c>
      <c r="D1997" t="s">
        <v>17</v>
      </c>
      <c r="E1997" t="s">
        <v>12</v>
      </c>
      <c r="F1997">
        <v>67700673</v>
      </c>
      <c r="G1997">
        <v>67700774</v>
      </c>
      <c r="H1997">
        <v>67700663</v>
      </c>
      <c r="I1997">
        <v>67700671</v>
      </c>
    </row>
    <row r="1998" spans="1:9" x14ac:dyDescent="0.2">
      <c r="A1998" s="1" t="str">
        <f>"C16orf87"</f>
        <v>C16orf87</v>
      </c>
      <c r="B1998" t="s">
        <v>14</v>
      </c>
      <c r="C1998" t="s">
        <v>31</v>
      </c>
      <c r="D1998" t="s">
        <v>11</v>
      </c>
      <c r="E1998" t="s">
        <v>12</v>
      </c>
      <c r="F1998">
        <v>46865047</v>
      </c>
      <c r="G1998">
        <v>46865103</v>
      </c>
      <c r="H1998">
        <v>46865286</v>
      </c>
      <c r="I1998">
        <v>46865347</v>
      </c>
    </row>
    <row r="1999" spans="1:9" x14ac:dyDescent="0.2">
      <c r="A1999" s="1" t="str">
        <f>"C16orf89"</f>
        <v>C16orf89</v>
      </c>
      <c r="B1999" t="s">
        <v>14</v>
      </c>
      <c r="C1999" t="s">
        <v>31</v>
      </c>
      <c r="D1999" t="s">
        <v>11</v>
      </c>
      <c r="E1999" t="s">
        <v>12</v>
      </c>
      <c r="F1999">
        <v>5115913</v>
      </c>
      <c r="G1999">
        <v>5115977</v>
      </c>
      <c r="H1999">
        <v>5116025</v>
      </c>
      <c r="I1999">
        <v>5116038</v>
      </c>
    </row>
    <row r="2000" spans="1:9" x14ac:dyDescent="0.2">
      <c r="A2000" s="1" t="str">
        <f>"C16orf90"</f>
        <v>C16orf90</v>
      </c>
      <c r="B2000" t="s">
        <v>14</v>
      </c>
      <c r="C2000" t="s">
        <v>31</v>
      </c>
      <c r="D2000" t="s">
        <v>11</v>
      </c>
      <c r="E2000" t="s">
        <v>12</v>
      </c>
      <c r="F2000">
        <v>3545471</v>
      </c>
      <c r="G2000">
        <v>3545478</v>
      </c>
      <c r="H2000">
        <v>3545483</v>
      </c>
      <c r="I2000">
        <v>3545491</v>
      </c>
    </row>
    <row r="2001" spans="1:9" x14ac:dyDescent="0.2">
      <c r="A2001" s="1" t="str">
        <f>"C16orf91"</f>
        <v>C16orf91</v>
      </c>
      <c r="B2001" t="s">
        <v>14</v>
      </c>
      <c r="C2001" t="s">
        <v>31</v>
      </c>
      <c r="D2001" t="s">
        <v>11</v>
      </c>
      <c r="E2001" t="s">
        <v>12</v>
      </c>
      <c r="F2001">
        <v>1470709</v>
      </c>
      <c r="G2001">
        <v>1470768</v>
      </c>
      <c r="H2001">
        <v>1471133</v>
      </c>
      <c r="I2001">
        <v>1471168</v>
      </c>
    </row>
    <row r="2002" spans="1:9" x14ac:dyDescent="0.2">
      <c r="A2002" s="1" t="str">
        <f>"C16orf92"</f>
        <v>C16orf92</v>
      </c>
      <c r="B2002" t="s">
        <v>14</v>
      </c>
      <c r="C2002" t="s">
        <v>31</v>
      </c>
      <c r="D2002" t="s">
        <v>17</v>
      </c>
      <c r="E2002" t="s">
        <v>12</v>
      </c>
      <c r="F2002">
        <v>30034714</v>
      </c>
      <c r="G2002">
        <v>30034722</v>
      </c>
      <c r="H2002">
        <v>30034652</v>
      </c>
      <c r="I2002">
        <v>30034657</v>
      </c>
    </row>
    <row r="2003" spans="1:9" x14ac:dyDescent="0.2">
      <c r="A2003" s="1" t="str">
        <f>"C16orf93"</f>
        <v>C16orf93</v>
      </c>
      <c r="B2003" t="s">
        <v>14</v>
      </c>
      <c r="C2003" t="s">
        <v>31</v>
      </c>
      <c r="D2003" t="s">
        <v>11</v>
      </c>
      <c r="E2003" t="s">
        <v>12</v>
      </c>
      <c r="F2003">
        <v>30773372</v>
      </c>
      <c r="G2003">
        <v>30773449</v>
      </c>
      <c r="H2003">
        <v>30773372</v>
      </c>
      <c r="I2003">
        <v>30773449</v>
      </c>
    </row>
    <row r="2004" spans="1:9" x14ac:dyDescent="0.2">
      <c r="A2004" s="1" t="str">
        <f>"C16orf95"</f>
        <v>C16orf95</v>
      </c>
      <c r="B2004" t="s">
        <v>14</v>
      </c>
      <c r="C2004" t="s">
        <v>31</v>
      </c>
      <c r="D2004" t="s">
        <v>11</v>
      </c>
      <c r="E2004" t="s">
        <v>12</v>
      </c>
      <c r="F2004">
        <v>87351031</v>
      </c>
      <c r="G2004">
        <v>87351041</v>
      </c>
      <c r="H2004">
        <v>87351020</v>
      </c>
      <c r="I2004">
        <v>87351023</v>
      </c>
    </row>
    <row r="2005" spans="1:9" x14ac:dyDescent="0.2">
      <c r="A2005" s="1" t="str">
        <f>"C16orf96"</f>
        <v>C16orf96</v>
      </c>
      <c r="B2005" t="s">
        <v>14</v>
      </c>
      <c r="C2005" t="s">
        <v>31</v>
      </c>
      <c r="D2005" t="s">
        <v>17</v>
      </c>
      <c r="E2005" t="s">
        <v>12</v>
      </c>
      <c r="F2005">
        <v>4606347</v>
      </c>
      <c r="G2005">
        <v>4606358</v>
      </c>
      <c r="H2005">
        <v>4606347</v>
      </c>
      <c r="I2005">
        <v>4606358</v>
      </c>
    </row>
    <row r="2006" spans="1:9" x14ac:dyDescent="0.2">
      <c r="A2006" s="1" t="str">
        <f>"C16orf97"</f>
        <v>C16orf97</v>
      </c>
      <c r="B2006" t="s">
        <v>143</v>
      </c>
      <c r="C2006" t="s">
        <v>31</v>
      </c>
      <c r="D2006" t="s">
        <v>11</v>
      </c>
      <c r="E2006" t="s">
        <v>20</v>
      </c>
      <c r="F2006">
        <v>52107813</v>
      </c>
      <c r="G2006">
        <v>52107813</v>
      </c>
      <c r="H2006">
        <v>52107813</v>
      </c>
      <c r="I2006">
        <v>52107813</v>
      </c>
    </row>
    <row r="2007" spans="1:9" x14ac:dyDescent="0.2">
      <c r="A2007" s="1" t="str">
        <f>"C16orf97"</f>
        <v>C16orf97</v>
      </c>
      <c r="B2007" t="s">
        <v>144</v>
      </c>
      <c r="C2007" t="s">
        <v>31</v>
      </c>
      <c r="D2007" t="s">
        <v>11</v>
      </c>
      <c r="E2007" t="s">
        <v>20</v>
      </c>
      <c r="F2007">
        <v>52061282</v>
      </c>
      <c r="G2007">
        <v>52061282</v>
      </c>
      <c r="H2007">
        <v>52061282</v>
      </c>
      <c r="I2007">
        <v>52061282</v>
      </c>
    </row>
    <row r="2008" spans="1:9" x14ac:dyDescent="0.2">
      <c r="A2008" s="1" t="str">
        <f>"C16orf97"</f>
        <v>C16orf97</v>
      </c>
      <c r="B2008" t="s">
        <v>145</v>
      </c>
      <c r="C2008" t="s">
        <v>31</v>
      </c>
      <c r="D2008" t="s">
        <v>11</v>
      </c>
      <c r="E2008" t="s">
        <v>20</v>
      </c>
      <c r="F2008">
        <v>52108862</v>
      </c>
      <c r="G2008">
        <v>52108862</v>
      </c>
      <c r="H2008">
        <v>52108862</v>
      </c>
      <c r="I2008">
        <v>52108862</v>
      </c>
    </row>
    <row r="2009" spans="1:9" x14ac:dyDescent="0.2">
      <c r="A2009" s="1" t="str">
        <f>"C17orf100"</f>
        <v>C17orf100</v>
      </c>
      <c r="B2009" t="s">
        <v>14</v>
      </c>
      <c r="C2009" t="s">
        <v>28</v>
      </c>
      <c r="D2009" t="s">
        <v>17</v>
      </c>
      <c r="E2009" t="s">
        <v>12</v>
      </c>
      <c r="F2009">
        <v>6555065</v>
      </c>
      <c r="G2009">
        <v>6555097</v>
      </c>
      <c r="H2009">
        <v>6554972</v>
      </c>
      <c r="I2009">
        <v>6554995</v>
      </c>
    </row>
    <row r="2010" spans="1:9" x14ac:dyDescent="0.2">
      <c r="A2010" s="1" t="str">
        <f>"C17orf102"</f>
        <v>C17orf102</v>
      </c>
      <c r="B2010" t="s">
        <v>14</v>
      </c>
      <c r="C2010" t="s">
        <v>28</v>
      </c>
      <c r="D2010" t="s">
        <v>11</v>
      </c>
      <c r="E2010" t="s">
        <v>12</v>
      </c>
      <c r="F2010">
        <v>32906655</v>
      </c>
      <c r="G2010">
        <v>32906659</v>
      </c>
      <c r="H2010">
        <v>32906377</v>
      </c>
      <c r="I2010">
        <v>32906393</v>
      </c>
    </row>
    <row r="2011" spans="1:9" x14ac:dyDescent="0.2">
      <c r="A2011" s="1" t="str">
        <f>"C17orf103"</f>
        <v>C17orf103</v>
      </c>
      <c r="B2011" t="s">
        <v>14</v>
      </c>
      <c r="C2011" t="s">
        <v>28</v>
      </c>
      <c r="D2011" t="s">
        <v>11</v>
      </c>
      <c r="E2011" t="s">
        <v>12</v>
      </c>
      <c r="F2011">
        <v>21156710</v>
      </c>
      <c r="G2011">
        <v>21156728</v>
      </c>
      <c r="H2011">
        <v>21156738</v>
      </c>
      <c r="I2011">
        <v>21156760</v>
      </c>
    </row>
    <row r="2012" spans="1:9" x14ac:dyDescent="0.2">
      <c r="A2012" s="1" t="str">
        <f>"C17orf104"</f>
        <v>C17orf104</v>
      </c>
      <c r="B2012" t="s">
        <v>14</v>
      </c>
      <c r="C2012" t="s">
        <v>28</v>
      </c>
      <c r="D2012" t="s">
        <v>17</v>
      </c>
      <c r="E2012" t="s">
        <v>12</v>
      </c>
      <c r="F2012">
        <v>42733803</v>
      </c>
      <c r="G2012">
        <v>42733843</v>
      </c>
      <c r="H2012">
        <v>42733730</v>
      </c>
      <c r="I2012">
        <v>42733777</v>
      </c>
    </row>
    <row r="2013" spans="1:9" x14ac:dyDescent="0.2">
      <c r="A2013" s="1" t="str">
        <f>"C17orf105"</f>
        <v>C17orf105</v>
      </c>
      <c r="B2013" t="s">
        <v>14</v>
      </c>
      <c r="C2013" t="s">
        <v>28</v>
      </c>
      <c r="D2013" t="s">
        <v>17</v>
      </c>
      <c r="E2013" t="s">
        <v>12</v>
      </c>
      <c r="F2013">
        <v>41857793</v>
      </c>
      <c r="G2013">
        <v>41857814</v>
      </c>
      <c r="H2013">
        <v>41857793</v>
      </c>
      <c r="I2013">
        <v>41857814</v>
      </c>
    </row>
    <row r="2014" spans="1:9" x14ac:dyDescent="0.2">
      <c r="A2014" s="1" t="str">
        <f>"C17orf107"</f>
        <v>C17orf107</v>
      </c>
      <c r="B2014" t="s">
        <v>14</v>
      </c>
      <c r="C2014" t="s">
        <v>28</v>
      </c>
      <c r="D2014" t="s">
        <v>17</v>
      </c>
      <c r="E2014" t="s">
        <v>12</v>
      </c>
      <c r="F2014">
        <v>4802942</v>
      </c>
      <c r="G2014">
        <v>4802958</v>
      </c>
      <c r="H2014">
        <v>4802735</v>
      </c>
      <c r="I2014">
        <v>4802775</v>
      </c>
    </row>
    <row r="2015" spans="1:9" x14ac:dyDescent="0.2">
      <c r="A2015" s="1" t="str">
        <f>"C17orf112"</f>
        <v>C17orf112</v>
      </c>
      <c r="B2015" t="s">
        <v>14</v>
      </c>
      <c r="C2015" t="s">
        <v>28</v>
      </c>
      <c r="D2015" t="s">
        <v>17</v>
      </c>
      <c r="E2015" t="s">
        <v>67</v>
      </c>
      <c r="F2015">
        <v>51062861</v>
      </c>
      <c r="G2015">
        <v>51062868</v>
      </c>
      <c r="H2015">
        <v>51062861</v>
      </c>
      <c r="I2015">
        <v>51062868</v>
      </c>
    </row>
    <row r="2016" spans="1:9" x14ac:dyDescent="0.2">
      <c r="A2016" s="1" t="str">
        <f>"C17orf47"</f>
        <v>C17orf47</v>
      </c>
      <c r="B2016" t="s">
        <v>14</v>
      </c>
      <c r="C2016" t="s">
        <v>28</v>
      </c>
      <c r="D2016" t="s">
        <v>11</v>
      </c>
      <c r="E2016" t="s">
        <v>12</v>
      </c>
      <c r="F2016">
        <v>56621665</v>
      </c>
      <c r="G2016">
        <v>56621692</v>
      </c>
      <c r="H2016">
        <v>56621699</v>
      </c>
      <c r="I2016">
        <v>56621705</v>
      </c>
    </row>
    <row r="2017" spans="1:9" x14ac:dyDescent="0.2">
      <c r="A2017" s="1" t="str">
        <f>"C17orf49"</f>
        <v>C17orf49</v>
      </c>
      <c r="B2017" t="s">
        <v>9</v>
      </c>
      <c r="C2017" t="s">
        <v>28</v>
      </c>
      <c r="D2017" t="s">
        <v>17</v>
      </c>
      <c r="E2017" t="s">
        <v>12</v>
      </c>
      <c r="F2017">
        <v>6915902</v>
      </c>
      <c r="G2017">
        <v>6916008</v>
      </c>
      <c r="H2017">
        <v>6915902</v>
      </c>
      <c r="I2017">
        <v>6916008</v>
      </c>
    </row>
    <row r="2018" spans="1:9" x14ac:dyDescent="0.2">
      <c r="A2018" s="1" t="str">
        <f>"C17orf49"</f>
        <v>C17orf49</v>
      </c>
      <c r="B2018" t="s">
        <v>13</v>
      </c>
      <c r="C2018" t="s">
        <v>28</v>
      </c>
      <c r="D2018" t="s">
        <v>17</v>
      </c>
      <c r="E2018" t="s">
        <v>12</v>
      </c>
      <c r="F2018">
        <v>6918093</v>
      </c>
      <c r="G2018">
        <v>6918139</v>
      </c>
      <c r="H2018">
        <v>6918093</v>
      </c>
      <c r="I2018">
        <v>6918139</v>
      </c>
    </row>
    <row r="2019" spans="1:9" x14ac:dyDescent="0.2">
      <c r="A2019" s="1" t="str">
        <f>"C17orf50"</f>
        <v>C17orf50</v>
      </c>
      <c r="B2019" t="s">
        <v>14</v>
      </c>
      <c r="C2019" t="s">
        <v>28</v>
      </c>
      <c r="D2019" t="s">
        <v>17</v>
      </c>
      <c r="E2019" t="s">
        <v>12</v>
      </c>
      <c r="F2019">
        <v>34087888</v>
      </c>
      <c r="G2019">
        <v>34087935</v>
      </c>
      <c r="H2019">
        <v>34087880</v>
      </c>
      <c r="I2019">
        <v>34087887</v>
      </c>
    </row>
    <row r="2020" spans="1:9" x14ac:dyDescent="0.2">
      <c r="A2020" s="1" t="str">
        <f>"C17orf51"</f>
        <v>C17orf51</v>
      </c>
      <c r="B2020" t="s">
        <v>9</v>
      </c>
      <c r="C2020" t="s">
        <v>28</v>
      </c>
      <c r="D2020" t="s">
        <v>11</v>
      </c>
      <c r="E2020" t="s">
        <v>12</v>
      </c>
      <c r="F2020">
        <v>21454898</v>
      </c>
      <c r="G2020">
        <v>21454951</v>
      </c>
      <c r="H2020">
        <v>21454898</v>
      </c>
      <c r="I2020">
        <v>21454951</v>
      </c>
    </row>
    <row r="2021" spans="1:9" x14ac:dyDescent="0.2">
      <c r="A2021" s="1" t="str">
        <f>"C17orf51"</f>
        <v>C17orf51</v>
      </c>
      <c r="B2021" t="s">
        <v>13</v>
      </c>
      <c r="C2021" t="s">
        <v>28</v>
      </c>
      <c r="D2021" t="s">
        <v>11</v>
      </c>
      <c r="E2021" t="s">
        <v>12</v>
      </c>
      <c r="F2021">
        <v>21477712</v>
      </c>
      <c r="G2021">
        <v>21477749</v>
      </c>
      <c r="H2021">
        <v>21477712</v>
      </c>
      <c r="I2021">
        <v>21477749</v>
      </c>
    </row>
    <row r="2022" spans="1:9" x14ac:dyDescent="0.2">
      <c r="A2022" s="1" t="str">
        <f>"C17orf53"</f>
        <v>C17orf53</v>
      </c>
      <c r="B2022" t="s">
        <v>14</v>
      </c>
      <c r="C2022" t="s">
        <v>28</v>
      </c>
      <c r="D2022" t="s">
        <v>17</v>
      </c>
      <c r="E2022" t="s">
        <v>12</v>
      </c>
      <c r="F2022">
        <v>42219267</v>
      </c>
      <c r="G2022">
        <v>42219329</v>
      </c>
      <c r="H2022">
        <v>42219383</v>
      </c>
      <c r="I2022">
        <v>42219424</v>
      </c>
    </row>
    <row r="2023" spans="1:9" x14ac:dyDescent="0.2">
      <c r="A2023" s="1" t="str">
        <f>"C17orf58"</f>
        <v>C17orf58</v>
      </c>
      <c r="B2023" t="s">
        <v>14</v>
      </c>
      <c r="C2023" t="s">
        <v>28</v>
      </c>
      <c r="D2023" t="s">
        <v>11</v>
      </c>
      <c r="E2023" t="s">
        <v>12</v>
      </c>
      <c r="F2023">
        <v>65989623</v>
      </c>
      <c r="G2023">
        <v>65989749</v>
      </c>
      <c r="H2023">
        <v>65989775</v>
      </c>
      <c r="I2023">
        <v>65989786</v>
      </c>
    </row>
    <row r="2024" spans="1:9" x14ac:dyDescent="0.2">
      <c r="A2024" s="1" t="str">
        <f>"C17orf59"</f>
        <v>C17orf59</v>
      </c>
      <c r="B2024" t="s">
        <v>14</v>
      </c>
      <c r="C2024" t="s">
        <v>28</v>
      </c>
      <c r="D2024" t="s">
        <v>11</v>
      </c>
      <c r="E2024" t="s">
        <v>12</v>
      </c>
      <c r="F2024">
        <v>8093471</v>
      </c>
      <c r="G2024">
        <v>8093506</v>
      </c>
      <c r="H2024">
        <v>8093536</v>
      </c>
      <c r="I2024">
        <v>8093550</v>
      </c>
    </row>
    <row r="2025" spans="1:9" x14ac:dyDescent="0.2">
      <c r="A2025" s="1" t="str">
        <f>"C17orf62"</f>
        <v>C17orf62</v>
      </c>
      <c r="B2025" t="s">
        <v>14</v>
      </c>
      <c r="C2025" t="s">
        <v>28</v>
      </c>
      <c r="D2025" t="s">
        <v>11</v>
      </c>
      <c r="E2025" t="s">
        <v>12</v>
      </c>
      <c r="F2025">
        <v>80408569</v>
      </c>
      <c r="G2025">
        <v>80408657</v>
      </c>
      <c r="H2025">
        <v>80408542</v>
      </c>
      <c r="I2025">
        <v>80408551</v>
      </c>
    </row>
    <row r="2026" spans="1:9" x14ac:dyDescent="0.2">
      <c r="A2026" s="1" t="str">
        <f>"C17orf64"</f>
        <v>C17orf64</v>
      </c>
      <c r="B2026" t="s">
        <v>9</v>
      </c>
      <c r="C2026" t="s">
        <v>28</v>
      </c>
      <c r="D2026" t="s">
        <v>17</v>
      </c>
      <c r="E2026" t="s">
        <v>12</v>
      </c>
      <c r="F2026">
        <v>58499844</v>
      </c>
      <c r="G2026">
        <v>58499868</v>
      </c>
      <c r="H2026">
        <v>58499844</v>
      </c>
      <c r="I2026">
        <v>58499868</v>
      </c>
    </row>
    <row r="2027" spans="1:9" x14ac:dyDescent="0.2">
      <c r="A2027" s="1" t="str">
        <f>"C17orf64"</f>
        <v>C17orf64</v>
      </c>
      <c r="B2027" t="s">
        <v>13</v>
      </c>
      <c r="C2027" t="s">
        <v>28</v>
      </c>
      <c r="D2027" t="s">
        <v>17</v>
      </c>
      <c r="E2027" t="s">
        <v>12</v>
      </c>
      <c r="F2027">
        <v>58469901</v>
      </c>
      <c r="G2027">
        <v>58469920</v>
      </c>
      <c r="H2027">
        <v>58469901</v>
      </c>
      <c r="I2027">
        <v>58469920</v>
      </c>
    </row>
    <row r="2028" spans="1:9" x14ac:dyDescent="0.2">
      <c r="A2028" s="1" t="str">
        <f>"C17orf66"</f>
        <v>C17orf66</v>
      </c>
      <c r="B2028" t="s">
        <v>14</v>
      </c>
      <c r="C2028" t="s">
        <v>28</v>
      </c>
      <c r="D2028" t="s">
        <v>11</v>
      </c>
      <c r="E2028" t="s">
        <v>12</v>
      </c>
      <c r="F2028">
        <v>34195862</v>
      </c>
      <c r="G2028">
        <v>34195877</v>
      </c>
      <c r="H2028">
        <v>34195889</v>
      </c>
      <c r="I2028">
        <v>34195899</v>
      </c>
    </row>
    <row r="2029" spans="1:9" x14ac:dyDescent="0.2">
      <c r="A2029" s="1" t="str">
        <f>"C17orf67"</f>
        <v>C17orf67</v>
      </c>
      <c r="B2029" t="s">
        <v>14</v>
      </c>
      <c r="C2029" t="s">
        <v>28</v>
      </c>
      <c r="D2029" t="s">
        <v>11</v>
      </c>
      <c r="E2029" t="s">
        <v>12</v>
      </c>
      <c r="F2029">
        <v>54911161</v>
      </c>
      <c r="G2029">
        <v>54911244</v>
      </c>
      <c r="H2029">
        <v>54911250</v>
      </c>
      <c r="I2029">
        <v>54911288</v>
      </c>
    </row>
    <row r="2030" spans="1:9" x14ac:dyDescent="0.2">
      <c r="A2030" s="1" t="str">
        <f>"C17orf70"</f>
        <v>C17orf70</v>
      </c>
      <c r="B2030" t="s">
        <v>14</v>
      </c>
      <c r="C2030" t="s">
        <v>28</v>
      </c>
      <c r="D2030" t="s">
        <v>11</v>
      </c>
      <c r="E2030" t="s">
        <v>12</v>
      </c>
      <c r="F2030">
        <v>79519368</v>
      </c>
      <c r="G2030">
        <v>79519386</v>
      </c>
      <c r="H2030">
        <v>79519408</v>
      </c>
      <c r="I2030">
        <v>79519439</v>
      </c>
    </row>
    <row r="2031" spans="1:9" x14ac:dyDescent="0.2">
      <c r="A2031" s="1" t="str">
        <f>"C17orf72"</f>
        <v>C17orf72</v>
      </c>
      <c r="B2031" t="s">
        <v>14</v>
      </c>
      <c r="C2031" t="s">
        <v>28</v>
      </c>
      <c r="D2031" t="s">
        <v>17</v>
      </c>
      <c r="E2031" t="s">
        <v>12</v>
      </c>
      <c r="F2031">
        <v>62075703</v>
      </c>
      <c r="G2031">
        <v>62075725</v>
      </c>
      <c r="H2031">
        <v>62075947</v>
      </c>
      <c r="I2031">
        <v>62075970</v>
      </c>
    </row>
    <row r="2032" spans="1:9" x14ac:dyDescent="0.2">
      <c r="A2032" s="1" t="str">
        <f>"C17orf74"</f>
        <v>C17orf74</v>
      </c>
      <c r="B2032" t="s">
        <v>14</v>
      </c>
      <c r="C2032" t="s">
        <v>28</v>
      </c>
      <c r="D2032" t="s">
        <v>17</v>
      </c>
      <c r="E2032" t="s">
        <v>12</v>
      </c>
      <c r="F2032">
        <v>7328925</v>
      </c>
      <c r="G2032">
        <v>7328940</v>
      </c>
      <c r="H2032">
        <v>7328906</v>
      </c>
      <c r="I2032">
        <v>7328919</v>
      </c>
    </row>
    <row r="2033" spans="1:9" x14ac:dyDescent="0.2">
      <c r="A2033" s="1" t="str">
        <f>"C17orf75"</f>
        <v>C17orf75</v>
      </c>
      <c r="B2033" t="s">
        <v>14</v>
      </c>
      <c r="C2033" t="s">
        <v>28</v>
      </c>
      <c r="D2033" t="s">
        <v>11</v>
      </c>
      <c r="E2033" t="s">
        <v>12</v>
      </c>
      <c r="F2033">
        <v>30669138</v>
      </c>
      <c r="G2033">
        <v>30669205</v>
      </c>
      <c r="H2033">
        <v>30669138</v>
      </c>
      <c r="I2033">
        <v>30669205</v>
      </c>
    </row>
    <row r="2034" spans="1:9" x14ac:dyDescent="0.2">
      <c r="A2034" s="1" t="str">
        <f>"C17orf77"</f>
        <v>C17orf77</v>
      </c>
      <c r="B2034" t="s">
        <v>146</v>
      </c>
      <c r="C2034" t="s">
        <v>28</v>
      </c>
      <c r="D2034" t="s">
        <v>17</v>
      </c>
      <c r="E2034" t="s">
        <v>20</v>
      </c>
      <c r="F2034">
        <v>72586640</v>
      </c>
      <c r="G2034">
        <v>72586640</v>
      </c>
      <c r="H2034">
        <v>72586640</v>
      </c>
      <c r="I2034">
        <v>72586640</v>
      </c>
    </row>
    <row r="2035" spans="1:9" x14ac:dyDescent="0.2">
      <c r="A2035" s="1" t="str">
        <f>"C17orf77"</f>
        <v>C17orf77</v>
      </c>
      <c r="B2035" t="s">
        <v>147</v>
      </c>
      <c r="C2035" t="s">
        <v>28</v>
      </c>
      <c r="D2035" t="s">
        <v>17</v>
      </c>
      <c r="E2035" t="s">
        <v>20</v>
      </c>
      <c r="F2035">
        <v>72581056</v>
      </c>
      <c r="G2035">
        <v>72581056</v>
      </c>
      <c r="H2035">
        <v>72581056</v>
      </c>
      <c r="I2035">
        <v>72581056</v>
      </c>
    </row>
    <row r="2036" spans="1:9" x14ac:dyDescent="0.2">
      <c r="A2036" s="1" t="str">
        <f>"C17orf78"</f>
        <v>C17orf78</v>
      </c>
      <c r="B2036" t="s">
        <v>14</v>
      </c>
      <c r="C2036" t="s">
        <v>28</v>
      </c>
      <c r="D2036" t="s">
        <v>17</v>
      </c>
      <c r="E2036" t="s">
        <v>12</v>
      </c>
      <c r="F2036">
        <v>35732916</v>
      </c>
      <c r="G2036">
        <v>35732942</v>
      </c>
      <c r="H2036">
        <v>35732955</v>
      </c>
      <c r="I2036">
        <v>35732974</v>
      </c>
    </row>
    <row r="2037" spans="1:9" x14ac:dyDescent="0.2">
      <c r="A2037" s="1" t="str">
        <f>"C17orf80"</f>
        <v>C17orf80</v>
      </c>
      <c r="B2037" t="s">
        <v>14</v>
      </c>
      <c r="C2037" t="s">
        <v>28</v>
      </c>
      <c r="D2037" t="s">
        <v>17</v>
      </c>
      <c r="E2037" t="s">
        <v>12</v>
      </c>
      <c r="F2037">
        <v>71228537</v>
      </c>
      <c r="G2037">
        <v>71228604</v>
      </c>
      <c r="H2037">
        <v>71228793</v>
      </c>
      <c r="I2037">
        <v>71228838</v>
      </c>
    </row>
    <row r="2038" spans="1:9" x14ac:dyDescent="0.2">
      <c r="A2038" s="1" t="str">
        <f>"C17orf82"</f>
        <v>C17orf82</v>
      </c>
      <c r="B2038" t="s">
        <v>14</v>
      </c>
      <c r="C2038" t="s">
        <v>28</v>
      </c>
      <c r="D2038" t="s">
        <v>17</v>
      </c>
      <c r="E2038" t="s">
        <v>12</v>
      </c>
      <c r="F2038">
        <v>59489111</v>
      </c>
      <c r="G2038">
        <v>59489123</v>
      </c>
      <c r="H2038">
        <v>59489188</v>
      </c>
      <c r="I2038">
        <v>59489232</v>
      </c>
    </row>
    <row r="2039" spans="1:9" x14ac:dyDescent="0.2">
      <c r="A2039" s="1" t="str">
        <f>"C17orf85"</f>
        <v>C17orf85</v>
      </c>
      <c r="B2039" t="s">
        <v>14</v>
      </c>
      <c r="C2039" t="s">
        <v>28</v>
      </c>
      <c r="D2039" t="s">
        <v>11</v>
      </c>
      <c r="E2039" t="s">
        <v>12</v>
      </c>
      <c r="F2039">
        <v>3749515</v>
      </c>
      <c r="G2039">
        <v>3749551</v>
      </c>
      <c r="H2039">
        <v>3749515</v>
      </c>
      <c r="I2039">
        <v>3749551</v>
      </c>
    </row>
    <row r="2040" spans="1:9" x14ac:dyDescent="0.2">
      <c r="A2040" s="1" t="str">
        <f>"C17orf89"</f>
        <v>C17orf89</v>
      </c>
      <c r="B2040" t="s">
        <v>14</v>
      </c>
      <c r="C2040" t="s">
        <v>28</v>
      </c>
      <c r="D2040" t="s">
        <v>17</v>
      </c>
      <c r="E2040" t="s">
        <v>12</v>
      </c>
      <c r="F2040">
        <v>79213108</v>
      </c>
      <c r="G2040">
        <v>79213174</v>
      </c>
      <c r="H2040">
        <v>79213095</v>
      </c>
      <c r="I2040">
        <v>79213106</v>
      </c>
    </row>
    <row r="2041" spans="1:9" x14ac:dyDescent="0.2">
      <c r="A2041" s="1" t="str">
        <f>"C17orf96"</f>
        <v>C17orf96</v>
      </c>
      <c r="B2041" t="s">
        <v>14</v>
      </c>
      <c r="C2041" t="s">
        <v>28</v>
      </c>
      <c r="D2041" t="s">
        <v>11</v>
      </c>
      <c r="E2041" t="s">
        <v>12</v>
      </c>
      <c r="F2041">
        <v>36831190</v>
      </c>
      <c r="G2041">
        <v>36831217</v>
      </c>
      <c r="H2041">
        <v>36831156</v>
      </c>
      <c r="I2041">
        <v>36831186</v>
      </c>
    </row>
    <row r="2042" spans="1:9" x14ac:dyDescent="0.2">
      <c r="A2042" s="1" t="str">
        <f>"C17orf97"</f>
        <v>C17orf97</v>
      </c>
      <c r="B2042" t="s">
        <v>14</v>
      </c>
      <c r="C2042" t="s">
        <v>28</v>
      </c>
      <c r="D2042" t="s">
        <v>17</v>
      </c>
      <c r="E2042" t="s">
        <v>12</v>
      </c>
      <c r="F2042">
        <v>260097</v>
      </c>
      <c r="G2042">
        <v>260196</v>
      </c>
      <c r="H2042">
        <v>260097</v>
      </c>
      <c r="I2042">
        <v>260196</v>
      </c>
    </row>
    <row r="2043" spans="1:9" x14ac:dyDescent="0.2">
      <c r="A2043" s="1" t="str">
        <f>"C17orf98"</f>
        <v>C17orf98</v>
      </c>
      <c r="B2043" t="s">
        <v>14</v>
      </c>
      <c r="C2043" t="s">
        <v>28</v>
      </c>
      <c r="D2043" t="s">
        <v>11</v>
      </c>
      <c r="E2043" t="s">
        <v>12</v>
      </c>
      <c r="F2043">
        <v>36997659</v>
      </c>
      <c r="G2043">
        <v>36997694</v>
      </c>
      <c r="H2043">
        <v>36997717</v>
      </c>
      <c r="I2043">
        <v>36997738</v>
      </c>
    </row>
    <row r="2044" spans="1:9" x14ac:dyDescent="0.2">
      <c r="A2044" s="1" t="str">
        <f>"C17orf99"</f>
        <v>C17orf99</v>
      </c>
      <c r="B2044" t="s">
        <v>14</v>
      </c>
      <c r="C2044" t="s">
        <v>28</v>
      </c>
      <c r="D2044" t="s">
        <v>17</v>
      </c>
      <c r="E2044" t="s">
        <v>12</v>
      </c>
      <c r="F2044">
        <v>76142443</v>
      </c>
      <c r="G2044">
        <v>76142479</v>
      </c>
      <c r="H2044">
        <v>76142443</v>
      </c>
      <c r="I2044">
        <v>76142479</v>
      </c>
    </row>
    <row r="2045" spans="1:9" x14ac:dyDescent="0.2">
      <c r="A2045" s="1" t="str">
        <f>"C18orf21"</f>
        <v>C18orf21</v>
      </c>
      <c r="B2045" t="s">
        <v>14</v>
      </c>
      <c r="C2045" t="s">
        <v>43</v>
      </c>
      <c r="D2045" t="s">
        <v>17</v>
      </c>
      <c r="E2045" t="s">
        <v>12</v>
      </c>
      <c r="F2045">
        <v>33552615</v>
      </c>
      <c r="G2045">
        <v>33552665</v>
      </c>
      <c r="H2045">
        <v>33552667</v>
      </c>
      <c r="I2045">
        <v>33552684</v>
      </c>
    </row>
    <row r="2046" spans="1:9" x14ac:dyDescent="0.2">
      <c r="A2046" s="1" t="str">
        <f>"C18orf25"</f>
        <v>C18orf25</v>
      </c>
      <c r="B2046" t="s">
        <v>14</v>
      </c>
      <c r="C2046" t="s">
        <v>43</v>
      </c>
      <c r="D2046" t="s">
        <v>17</v>
      </c>
      <c r="E2046" t="s">
        <v>12</v>
      </c>
      <c r="F2046">
        <v>43754021</v>
      </c>
      <c r="G2046">
        <v>43754071</v>
      </c>
      <c r="H2046">
        <v>43753974</v>
      </c>
      <c r="I2046">
        <v>43754019</v>
      </c>
    </row>
    <row r="2047" spans="1:9" x14ac:dyDescent="0.2">
      <c r="A2047" s="1" t="str">
        <f>"C18orf32"</f>
        <v>C18orf32</v>
      </c>
      <c r="B2047" t="s">
        <v>14</v>
      </c>
      <c r="C2047" t="s">
        <v>43</v>
      </c>
      <c r="D2047" t="s">
        <v>11</v>
      </c>
      <c r="E2047" t="s">
        <v>12</v>
      </c>
      <c r="F2047">
        <v>47013586</v>
      </c>
      <c r="G2047">
        <v>47013633</v>
      </c>
      <c r="H2047">
        <v>47013564</v>
      </c>
      <c r="I2047">
        <v>47013585</v>
      </c>
    </row>
    <row r="2048" spans="1:9" x14ac:dyDescent="0.2">
      <c r="A2048" s="1" t="str">
        <f>"C18orf42"</f>
        <v>C18orf42</v>
      </c>
      <c r="B2048" t="s">
        <v>14</v>
      </c>
      <c r="C2048" t="s">
        <v>43</v>
      </c>
      <c r="D2048" t="s">
        <v>11</v>
      </c>
      <c r="E2048" t="s">
        <v>12</v>
      </c>
      <c r="F2048">
        <v>5197646</v>
      </c>
      <c r="G2048">
        <v>5197692</v>
      </c>
      <c r="H2048">
        <v>5197241</v>
      </c>
      <c r="I2048">
        <v>5197266</v>
      </c>
    </row>
    <row r="2049" spans="1:9" x14ac:dyDescent="0.2">
      <c r="A2049" s="1" t="str">
        <f>"C18orf54"</f>
        <v>C18orf54</v>
      </c>
      <c r="B2049" t="s">
        <v>14</v>
      </c>
      <c r="C2049" t="s">
        <v>43</v>
      </c>
      <c r="D2049" t="s">
        <v>17</v>
      </c>
      <c r="E2049" t="s">
        <v>12</v>
      </c>
      <c r="F2049">
        <v>51884736</v>
      </c>
      <c r="G2049">
        <v>51884786</v>
      </c>
      <c r="H2049">
        <v>51884696</v>
      </c>
      <c r="I2049">
        <v>51884706</v>
      </c>
    </row>
    <row r="2050" spans="1:9" x14ac:dyDescent="0.2">
      <c r="A2050" s="1" t="str">
        <f>"C18orf56"</f>
        <v>C18orf56</v>
      </c>
      <c r="B2050" t="s">
        <v>14</v>
      </c>
      <c r="C2050" t="s">
        <v>43</v>
      </c>
      <c r="D2050" t="s">
        <v>11</v>
      </c>
      <c r="E2050" t="s">
        <v>12</v>
      </c>
      <c r="F2050">
        <v>658244</v>
      </c>
      <c r="G2050">
        <v>658302</v>
      </c>
      <c r="H2050">
        <v>658307</v>
      </c>
      <c r="I2050">
        <v>658333</v>
      </c>
    </row>
    <row r="2051" spans="1:9" x14ac:dyDescent="0.2">
      <c r="A2051" s="1" t="str">
        <f>"C18orf63"</f>
        <v>C18orf63</v>
      </c>
      <c r="B2051" t="s">
        <v>14</v>
      </c>
      <c r="C2051" t="s">
        <v>43</v>
      </c>
      <c r="D2051" t="s">
        <v>17</v>
      </c>
      <c r="E2051" t="s">
        <v>12</v>
      </c>
      <c r="F2051">
        <v>71983027</v>
      </c>
      <c r="G2051">
        <v>71983048</v>
      </c>
      <c r="H2051">
        <v>71983058</v>
      </c>
      <c r="I2051">
        <v>71983078</v>
      </c>
    </row>
    <row r="2052" spans="1:9" x14ac:dyDescent="0.2">
      <c r="A2052" s="1" t="str">
        <f>"C18orf8"</f>
        <v>C18orf8</v>
      </c>
      <c r="B2052" t="s">
        <v>14</v>
      </c>
      <c r="C2052" t="s">
        <v>43</v>
      </c>
      <c r="D2052" t="s">
        <v>17</v>
      </c>
      <c r="E2052" t="s">
        <v>12</v>
      </c>
      <c r="F2052">
        <v>21083437</v>
      </c>
      <c r="G2052">
        <v>21083510</v>
      </c>
      <c r="H2052">
        <v>21083529</v>
      </c>
      <c r="I2052">
        <v>21083540</v>
      </c>
    </row>
    <row r="2053" spans="1:9" x14ac:dyDescent="0.2">
      <c r="A2053" s="1" t="str">
        <f>"C19orf10"</f>
        <v>C19orf10</v>
      </c>
      <c r="B2053" t="s">
        <v>14</v>
      </c>
      <c r="C2053" t="s">
        <v>10</v>
      </c>
      <c r="D2053" t="s">
        <v>11</v>
      </c>
      <c r="E2053" t="s">
        <v>12</v>
      </c>
      <c r="F2053">
        <v>4670345</v>
      </c>
      <c r="G2053">
        <v>4670382</v>
      </c>
      <c r="H2053">
        <v>4670345</v>
      </c>
      <c r="I2053">
        <v>4670382</v>
      </c>
    </row>
    <row r="2054" spans="1:9" x14ac:dyDescent="0.2">
      <c r="A2054" s="1" t="str">
        <f>"C19orf12"</f>
        <v>C19orf12</v>
      </c>
      <c r="B2054" t="s">
        <v>14</v>
      </c>
      <c r="C2054" t="s">
        <v>10</v>
      </c>
      <c r="D2054" t="s">
        <v>11</v>
      </c>
      <c r="E2054" t="s">
        <v>12</v>
      </c>
      <c r="F2054">
        <v>30206135</v>
      </c>
      <c r="G2054">
        <v>30206191</v>
      </c>
      <c r="H2054">
        <v>30206074</v>
      </c>
      <c r="I2054">
        <v>30206113</v>
      </c>
    </row>
    <row r="2055" spans="1:9" x14ac:dyDescent="0.2">
      <c r="A2055" s="1" t="str">
        <f>"C19orf18"</f>
        <v>C19orf18</v>
      </c>
      <c r="B2055" t="s">
        <v>14</v>
      </c>
      <c r="C2055" t="s">
        <v>10</v>
      </c>
      <c r="D2055" t="s">
        <v>11</v>
      </c>
      <c r="E2055" t="s">
        <v>12</v>
      </c>
      <c r="F2055">
        <v>58485895</v>
      </c>
      <c r="G2055">
        <v>58485905</v>
      </c>
      <c r="H2055">
        <v>58485877</v>
      </c>
      <c r="I2055">
        <v>58485883</v>
      </c>
    </row>
    <row r="2056" spans="1:9" x14ac:dyDescent="0.2">
      <c r="A2056" s="1" t="str">
        <f>"C19orf24"</f>
        <v>C19orf24</v>
      </c>
      <c r="B2056" t="s">
        <v>14</v>
      </c>
      <c r="C2056" t="s">
        <v>10</v>
      </c>
      <c r="D2056" t="s">
        <v>17</v>
      </c>
      <c r="E2056" t="s">
        <v>12</v>
      </c>
      <c r="F2056">
        <v>1275507</v>
      </c>
      <c r="G2056">
        <v>1275583</v>
      </c>
      <c r="H2056">
        <v>1275997</v>
      </c>
      <c r="I2056">
        <v>1276036</v>
      </c>
    </row>
    <row r="2057" spans="1:9" x14ac:dyDescent="0.2">
      <c r="A2057" s="1" t="str">
        <f>"C19orf25"</f>
        <v>C19orf25</v>
      </c>
      <c r="B2057" t="s">
        <v>14</v>
      </c>
      <c r="C2057" t="s">
        <v>10</v>
      </c>
      <c r="D2057" t="s">
        <v>11</v>
      </c>
      <c r="E2057" t="s">
        <v>12</v>
      </c>
      <c r="F2057">
        <v>1479170</v>
      </c>
      <c r="G2057">
        <v>1479223</v>
      </c>
      <c r="H2057">
        <v>1479532</v>
      </c>
      <c r="I2057">
        <v>1479564</v>
      </c>
    </row>
    <row r="2058" spans="1:9" x14ac:dyDescent="0.2">
      <c r="A2058" s="1" t="str">
        <f>"C19orf26"</f>
        <v>C19orf26</v>
      </c>
      <c r="B2058" t="s">
        <v>14</v>
      </c>
      <c r="C2058" t="s">
        <v>10</v>
      </c>
      <c r="D2058" t="s">
        <v>11</v>
      </c>
      <c r="E2058" t="s">
        <v>12</v>
      </c>
      <c r="F2058">
        <v>1237997</v>
      </c>
      <c r="G2058">
        <v>1238021</v>
      </c>
      <c r="H2058">
        <v>1237827</v>
      </c>
      <c r="I2058">
        <v>1237843</v>
      </c>
    </row>
    <row r="2059" spans="1:9" x14ac:dyDescent="0.2">
      <c r="A2059" s="1" t="str">
        <f>"C19orf33"</f>
        <v>C19orf33</v>
      </c>
      <c r="B2059" t="s">
        <v>14</v>
      </c>
      <c r="C2059" t="s">
        <v>10</v>
      </c>
      <c r="D2059" t="s">
        <v>17</v>
      </c>
      <c r="E2059" t="s">
        <v>12</v>
      </c>
      <c r="F2059">
        <v>38794829</v>
      </c>
      <c r="G2059">
        <v>38794901</v>
      </c>
      <c r="H2059">
        <v>38794797</v>
      </c>
      <c r="I2059">
        <v>38794810</v>
      </c>
    </row>
    <row r="2060" spans="1:9" x14ac:dyDescent="0.2">
      <c r="A2060" s="1" t="str">
        <f>"C19orf35"</f>
        <v>C19orf35</v>
      </c>
      <c r="B2060" t="s">
        <v>14</v>
      </c>
      <c r="C2060" t="s">
        <v>10</v>
      </c>
      <c r="D2060" t="s">
        <v>11</v>
      </c>
      <c r="E2060" t="s">
        <v>12</v>
      </c>
      <c r="F2060">
        <v>2282186</v>
      </c>
      <c r="G2060">
        <v>2282208</v>
      </c>
      <c r="H2060">
        <v>2282167</v>
      </c>
      <c r="I2060">
        <v>2282181</v>
      </c>
    </row>
    <row r="2061" spans="1:9" x14ac:dyDescent="0.2">
      <c r="A2061" s="1" t="str">
        <f>"C19orf38"</f>
        <v>C19orf38</v>
      </c>
      <c r="B2061" t="s">
        <v>14</v>
      </c>
      <c r="C2061" t="s">
        <v>10</v>
      </c>
      <c r="D2061" t="s">
        <v>17</v>
      </c>
      <c r="E2061" t="s">
        <v>12</v>
      </c>
      <c r="F2061">
        <v>10959043</v>
      </c>
      <c r="G2061">
        <v>10959111</v>
      </c>
      <c r="H2061">
        <v>10959147</v>
      </c>
      <c r="I2061">
        <v>10959176</v>
      </c>
    </row>
    <row r="2062" spans="1:9" x14ac:dyDescent="0.2">
      <c r="A2062" s="1" t="str">
        <f>"C19orf40"</f>
        <v>C19orf40</v>
      </c>
      <c r="B2062" t="s">
        <v>14</v>
      </c>
      <c r="C2062" t="s">
        <v>10</v>
      </c>
      <c r="D2062" t="s">
        <v>17</v>
      </c>
      <c r="E2062" t="s">
        <v>12</v>
      </c>
      <c r="F2062">
        <v>33463135</v>
      </c>
      <c r="G2062">
        <v>33463195</v>
      </c>
      <c r="H2062">
        <v>33463213</v>
      </c>
      <c r="I2062">
        <v>33463226</v>
      </c>
    </row>
    <row r="2063" spans="1:9" x14ac:dyDescent="0.2">
      <c r="A2063" s="1" t="str">
        <f>"C19orf43"</f>
        <v>C19orf43</v>
      </c>
      <c r="B2063" t="s">
        <v>14</v>
      </c>
      <c r="C2063" t="s">
        <v>10</v>
      </c>
      <c r="D2063" t="s">
        <v>11</v>
      </c>
      <c r="E2063" t="s">
        <v>12</v>
      </c>
      <c r="F2063">
        <v>12845467</v>
      </c>
      <c r="G2063">
        <v>12845506</v>
      </c>
      <c r="H2063">
        <v>12845550</v>
      </c>
      <c r="I2063">
        <v>12845561</v>
      </c>
    </row>
    <row r="2064" spans="1:9" x14ac:dyDescent="0.2">
      <c r="A2064" s="1" t="str">
        <f>"C19orf44"</f>
        <v>C19orf44</v>
      </c>
      <c r="B2064" t="s">
        <v>14</v>
      </c>
      <c r="C2064" t="s">
        <v>10</v>
      </c>
      <c r="D2064" t="s">
        <v>17</v>
      </c>
      <c r="E2064" t="s">
        <v>12</v>
      </c>
      <c r="F2064">
        <v>16607195</v>
      </c>
      <c r="G2064">
        <v>16607241</v>
      </c>
      <c r="H2064">
        <v>16607172</v>
      </c>
      <c r="I2064">
        <v>16607186</v>
      </c>
    </row>
    <row r="2065" spans="1:9" x14ac:dyDescent="0.2">
      <c r="A2065" s="1" t="str">
        <f>"C19orf45"</f>
        <v>C19orf45</v>
      </c>
      <c r="B2065" t="s">
        <v>9</v>
      </c>
      <c r="C2065" t="s">
        <v>10</v>
      </c>
      <c r="D2065" t="s">
        <v>17</v>
      </c>
      <c r="E2065" t="s">
        <v>12</v>
      </c>
      <c r="F2065">
        <v>7571622</v>
      </c>
      <c r="G2065">
        <v>7571641</v>
      </c>
      <c r="H2065">
        <v>7571622</v>
      </c>
      <c r="I2065">
        <v>7571641</v>
      </c>
    </row>
    <row r="2066" spans="1:9" x14ac:dyDescent="0.2">
      <c r="A2066" s="1" t="str">
        <f>"C19orf45"</f>
        <v>C19orf45</v>
      </c>
      <c r="B2066" t="s">
        <v>13</v>
      </c>
      <c r="C2066" t="s">
        <v>10</v>
      </c>
      <c r="D2066" t="s">
        <v>17</v>
      </c>
      <c r="E2066" t="s">
        <v>12</v>
      </c>
      <c r="F2066">
        <v>7566122</v>
      </c>
      <c r="G2066">
        <v>7566145</v>
      </c>
      <c r="H2066">
        <v>7566122</v>
      </c>
      <c r="I2066">
        <v>7566145</v>
      </c>
    </row>
    <row r="2067" spans="1:9" x14ac:dyDescent="0.2">
      <c r="A2067" s="1" t="str">
        <f>"C19orf47"</f>
        <v>C19orf47</v>
      </c>
      <c r="B2067" t="s">
        <v>9</v>
      </c>
      <c r="C2067" t="s">
        <v>10</v>
      </c>
      <c r="D2067" t="s">
        <v>11</v>
      </c>
      <c r="E2067" t="s">
        <v>12</v>
      </c>
      <c r="F2067">
        <v>40854281</v>
      </c>
      <c r="G2067">
        <v>40854311</v>
      </c>
      <c r="H2067">
        <v>40854281</v>
      </c>
      <c r="I2067">
        <v>40854311</v>
      </c>
    </row>
    <row r="2068" spans="1:9" x14ac:dyDescent="0.2">
      <c r="A2068" s="1" t="str">
        <f>"C19orf47"</f>
        <v>C19orf47</v>
      </c>
      <c r="B2068" t="s">
        <v>13</v>
      </c>
      <c r="C2068" t="s">
        <v>10</v>
      </c>
      <c r="D2068" t="s">
        <v>11</v>
      </c>
      <c r="E2068" t="s">
        <v>12</v>
      </c>
      <c r="F2068">
        <v>40847829</v>
      </c>
      <c r="G2068">
        <v>40847880</v>
      </c>
      <c r="H2068">
        <v>40847829</v>
      </c>
      <c r="I2068">
        <v>40847880</v>
      </c>
    </row>
    <row r="2069" spans="1:9" x14ac:dyDescent="0.2">
      <c r="A2069" s="1" t="str">
        <f>"C19orf48"</f>
        <v>C19orf48</v>
      </c>
      <c r="B2069" t="s">
        <v>14</v>
      </c>
      <c r="C2069" t="s">
        <v>10</v>
      </c>
      <c r="D2069" t="s">
        <v>11</v>
      </c>
      <c r="E2069" t="s">
        <v>12</v>
      </c>
      <c r="F2069">
        <v>51307844</v>
      </c>
      <c r="G2069">
        <v>51307859</v>
      </c>
      <c r="H2069">
        <v>51307878</v>
      </c>
      <c r="I2069">
        <v>51307886</v>
      </c>
    </row>
    <row r="2070" spans="1:9" x14ac:dyDescent="0.2">
      <c r="A2070" s="1" t="str">
        <f>"C19orf52"</f>
        <v>C19orf52</v>
      </c>
      <c r="B2070" t="s">
        <v>14</v>
      </c>
      <c r="C2070" t="s">
        <v>10</v>
      </c>
      <c r="D2070" t="s">
        <v>17</v>
      </c>
      <c r="E2070" t="s">
        <v>12</v>
      </c>
      <c r="F2070">
        <v>11039454</v>
      </c>
      <c r="G2070">
        <v>11039500</v>
      </c>
      <c r="H2070">
        <v>11039511</v>
      </c>
      <c r="I2070">
        <v>11039533</v>
      </c>
    </row>
    <row r="2071" spans="1:9" x14ac:dyDescent="0.2">
      <c r="A2071" s="1" t="str">
        <f>"C19orf53"</f>
        <v>C19orf53</v>
      </c>
      <c r="B2071" t="s">
        <v>14</v>
      </c>
      <c r="C2071" t="s">
        <v>10</v>
      </c>
      <c r="D2071" t="s">
        <v>17</v>
      </c>
      <c r="E2071" t="s">
        <v>12</v>
      </c>
      <c r="F2071">
        <v>13885252</v>
      </c>
      <c r="G2071">
        <v>13885293</v>
      </c>
      <c r="H2071">
        <v>13885252</v>
      </c>
      <c r="I2071">
        <v>13885293</v>
      </c>
    </row>
    <row r="2072" spans="1:9" x14ac:dyDescent="0.2">
      <c r="A2072" s="1" t="str">
        <f>"C19orf54"</f>
        <v>C19orf54</v>
      </c>
      <c r="B2072" t="s">
        <v>14</v>
      </c>
      <c r="C2072" t="s">
        <v>10</v>
      </c>
      <c r="D2072" t="s">
        <v>11</v>
      </c>
      <c r="E2072" t="s">
        <v>12</v>
      </c>
      <c r="F2072">
        <v>41256333</v>
      </c>
      <c r="G2072">
        <v>41256414</v>
      </c>
      <c r="H2072">
        <v>41255900</v>
      </c>
      <c r="I2072">
        <v>41255950</v>
      </c>
    </row>
    <row r="2073" spans="1:9" x14ac:dyDescent="0.2">
      <c r="A2073" s="1" t="str">
        <f>"C19orf55"</f>
        <v>C19orf55</v>
      </c>
      <c r="B2073" t="s">
        <v>14</v>
      </c>
      <c r="C2073" t="s">
        <v>10</v>
      </c>
      <c r="D2073" t="s">
        <v>17</v>
      </c>
      <c r="E2073" t="s">
        <v>12</v>
      </c>
      <c r="F2073">
        <v>36249059</v>
      </c>
      <c r="G2073">
        <v>36249102</v>
      </c>
      <c r="H2073">
        <v>36249036</v>
      </c>
      <c r="I2073">
        <v>36249045</v>
      </c>
    </row>
    <row r="2074" spans="1:9" x14ac:dyDescent="0.2">
      <c r="A2074" s="1" t="str">
        <f>"C19orf57"</f>
        <v>C19orf57</v>
      </c>
      <c r="B2074" t="s">
        <v>14</v>
      </c>
      <c r="C2074" t="s">
        <v>10</v>
      </c>
      <c r="D2074" t="s">
        <v>11</v>
      </c>
      <c r="E2074" t="s">
        <v>12</v>
      </c>
      <c r="F2074">
        <v>14016877</v>
      </c>
      <c r="G2074">
        <v>14016942</v>
      </c>
      <c r="H2074">
        <v>14016835</v>
      </c>
      <c r="I2074">
        <v>14016873</v>
      </c>
    </row>
    <row r="2075" spans="1:9" x14ac:dyDescent="0.2">
      <c r="A2075" s="1" t="str">
        <f>"C19orf59"</f>
        <v>C19orf59</v>
      </c>
      <c r="B2075" t="s">
        <v>14</v>
      </c>
      <c r="C2075" t="s">
        <v>10</v>
      </c>
      <c r="D2075" t="s">
        <v>17</v>
      </c>
      <c r="E2075" t="s">
        <v>12</v>
      </c>
      <c r="F2075">
        <v>7741968</v>
      </c>
      <c r="G2075">
        <v>7742004</v>
      </c>
      <c r="H2075">
        <v>7741941</v>
      </c>
      <c r="I2075">
        <v>7741953</v>
      </c>
    </row>
    <row r="2076" spans="1:9" x14ac:dyDescent="0.2">
      <c r="A2076" s="1" t="str">
        <f>"C19orf60"</f>
        <v>C19orf60</v>
      </c>
      <c r="B2076" t="s">
        <v>14</v>
      </c>
      <c r="C2076" t="s">
        <v>10</v>
      </c>
      <c r="D2076" t="s">
        <v>17</v>
      </c>
      <c r="E2076" t="s">
        <v>12</v>
      </c>
      <c r="F2076">
        <v>18699599</v>
      </c>
      <c r="G2076">
        <v>18699623</v>
      </c>
      <c r="H2076">
        <v>18699574</v>
      </c>
      <c r="I2076">
        <v>18699591</v>
      </c>
    </row>
    <row r="2077" spans="1:9" x14ac:dyDescent="0.2">
      <c r="A2077" s="1" t="str">
        <f>"C19orf66"</f>
        <v>C19orf66</v>
      </c>
      <c r="B2077" t="s">
        <v>14</v>
      </c>
      <c r="C2077" t="s">
        <v>10</v>
      </c>
      <c r="D2077" t="s">
        <v>17</v>
      </c>
      <c r="E2077" t="s">
        <v>12</v>
      </c>
      <c r="F2077">
        <v>10196981</v>
      </c>
      <c r="G2077">
        <v>10197034</v>
      </c>
      <c r="H2077">
        <v>10196818</v>
      </c>
      <c r="I2077">
        <v>10196852</v>
      </c>
    </row>
    <row r="2078" spans="1:9" x14ac:dyDescent="0.2">
      <c r="A2078" s="1" t="str">
        <f>"C19orf67"</f>
        <v>C19orf67</v>
      </c>
      <c r="B2078" t="s">
        <v>14</v>
      </c>
      <c r="C2078" t="s">
        <v>10</v>
      </c>
      <c r="D2078" t="s">
        <v>11</v>
      </c>
      <c r="E2078" t="s">
        <v>12</v>
      </c>
      <c r="F2078">
        <v>14196438</v>
      </c>
      <c r="G2078">
        <v>14196468</v>
      </c>
      <c r="H2078">
        <v>14196590</v>
      </c>
      <c r="I2078">
        <v>14196597</v>
      </c>
    </row>
    <row r="2079" spans="1:9" x14ac:dyDescent="0.2">
      <c r="A2079" s="1" t="str">
        <f>"C19orf68"</f>
        <v>C19orf68</v>
      </c>
      <c r="B2079" t="s">
        <v>14</v>
      </c>
      <c r="C2079" t="s">
        <v>10</v>
      </c>
      <c r="D2079" t="s">
        <v>17</v>
      </c>
      <c r="E2079" t="s">
        <v>12</v>
      </c>
      <c r="F2079">
        <v>48673912</v>
      </c>
      <c r="G2079">
        <v>48673955</v>
      </c>
      <c r="H2079">
        <v>48673960</v>
      </c>
      <c r="I2079">
        <v>48673975</v>
      </c>
    </row>
    <row r="2080" spans="1:9" x14ac:dyDescent="0.2">
      <c r="A2080" s="1" t="str">
        <f>"C19orf69"</f>
        <v>C19orf69</v>
      </c>
      <c r="B2080" t="s">
        <v>14</v>
      </c>
      <c r="C2080" t="s">
        <v>10</v>
      </c>
      <c r="D2080" t="s">
        <v>17</v>
      </c>
      <c r="E2080" t="s">
        <v>12</v>
      </c>
      <c r="F2080">
        <v>41949054</v>
      </c>
      <c r="G2080">
        <v>41949073</v>
      </c>
      <c r="H2080">
        <v>41949036</v>
      </c>
      <c r="I2080">
        <v>41949046</v>
      </c>
    </row>
    <row r="2081" spans="1:9" x14ac:dyDescent="0.2">
      <c r="A2081" s="1" t="str">
        <f>"C19orf70"</f>
        <v>C19orf70</v>
      </c>
      <c r="B2081" t="s">
        <v>14</v>
      </c>
      <c r="C2081" t="s">
        <v>10</v>
      </c>
      <c r="D2081" t="s">
        <v>11</v>
      </c>
      <c r="E2081" t="s">
        <v>12</v>
      </c>
      <c r="F2081">
        <v>5680503</v>
      </c>
      <c r="G2081">
        <v>5680541</v>
      </c>
      <c r="H2081">
        <v>5680503</v>
      </c>
      <c r="I2081">
        <v>5680541</v>
      </c>
    </row>
    <row r="2082" spans="1:9" x14ac:dyDescent="0.2">
      <c r="A2082" s="1" t="str">
        <f>"C19orf71"</f>
        <v>C19orf71</v>
      </c>
      <c r="B2082" t="s">
        <v>14</v>
      </c>
      <c r="C2082" t="s">
        <v>10</v>
      </c>
      <c r="D2082" t="s">
        <v>17</v>
      </c>
      <c r="E2082" t="s">
        <v>12</v>
      </c>
      <c r="F2082">
        <v>3539166</v>
      </c>
      <c r="G2082">
        <v>3539177</v>
      </c>
      <c r="H2082">
        <v>3539166</v>
      </c>
      <c r="I2082">
        <v>3539177</v>
      </c>
    </row>
    <row r="2083" spans="1:9" x14ac:dyDescent="0.2">
      <c r="A2083" s="1" t="str">
        <f>"C19orf73"</f>
        <v>C19orf73</v>
      </c>
      <c r="B2083" t="s">
        <v>14</v>
      </c>
      <c r="C2083" t="s">
        <v>10</v>
      </c>
      <c r="D2083" t="s">
        <v>11</v>
      </c>
      <c r="E2083" t="s">
        <v>12</v>
      </c>
      <c r="F2083">
        <v>49622348</v>
      </c>
      <c r="G2083">
        <v>49622407</v>
      </c>
      <c r="H2083">
        <v>49621982</v>
      </c>
      <c r="I2083">
        <v>49622001</v>
      </c>
    </row>
    <row r="2084" spans="1:9" x14ac:dyDescent="0.2">
      <c r="A2084" s="1" t="str">
        <f>"C19orf77"</f>
        <v>C19orf77</v>
      </c>
      <c r="B2084" t="s">
        <v>14</v>
      </c>
      <c r="C2084" t="s">
        <v>10</v>
      </c>
      <c r="D2084" t="s">
        <v>11</v>
      </c>
      <c r="E2084" t="s">
        <v>12</v>
      </c>
      <c r="F2084">
        <v>3480513</v>
      </c>
      <c r="G2084">
        <v>3480530</v>
      </c>
      <c r="H2084">
        <v>3480542</v>
      </c>
      <c r="I2084">
        <v>3480555</v>
      </c>
    </row>
    <row r="2085" spans="1:9" x14ac:dyDescent="0.2">
      <c r="A2085" s="1" t="str">
        <f>"C19orf80"</f>
        <v>C19orf80</v>
      </c>
      <c r="B2085" t="s">
        <v>14</v>
      </c>
      <c r="C2085" t="s">
        <v>10</v>
      </c>
      <c r="D2085" t="s">
        <v>17</v>
      </c>
      <c r="E2085" t="s">
        <v>12</v>
      </c>
      <c r="F2085">
        <v>11350278</v>
      </c>
      <c r="G2085">
        <v>11350302</v>
      </c>
      <c r="H2085">
        <v>11350278</v>
      </c>
      <c r="I2085">
        <v>11350302</v>
      </c>
    </row>
    <row r="2086" spans="1:9" x14ac:dyDescent="0.2">
      <c r="A2086" s="1" t="str">
        <f>"C19orf81"</f>
        <v>C19orf81</v>
      </c>
      <c r="B2086" t="s">
        <v>14</v>
      </c>
      <c r="C2086" t="s">
        <v>10</v>
      </c>
      <c r="D2086" t="s">
        <v>17</v>
      </c>
      <c r="E2086" t="s">
        <v>12</v>
      </c>
      <c r="F2086">
        <v>51161738</v>
      </c>
      <c r="G2086">
        <v>51161759</v>
      </c>
      <c r="H2086">
        <v>51161689</v>
      </c>
      <c r="I2086">
        <v>51161702</v>
      </c>
    </row>
    <row r="2087" spans="1:9" x14ac:dyDescent="0.2">
      <c r="A2087" s="1" t="str">
        <f>"C19orf82"</f>
        <v>C19orf82</v>
      </c>
      <c r="B2087" t="s">
        <v>14</v>
      </c>
      <c r="C2087" t="s">
        <v>10</v>
      </c>
      <c r="D2087" t="s">
        <v>17</v>
      </c>
      <c r="E2087" t="s">
        <v>67</v>
      </c>
      <c r="F2087">
        <v>9732210</v>
      </c>
      <c r="G2087">
        <v>9732222</v>
      </c>
      <c r="H2087">
        <v>9732210</v>
      </c>
      <c r="I2087">
        <v>9732222</v>
      </c>
    </row>
    <row r="2088" spans="1:9" x14ac:dyDescent="0.2">
      <c r="A2088" s="1" t="str">
        <f>"C1D"</f>
        <v>C1D</v>
      </c>
      <c r="B2088" t="s">
        <v>14</v>
      </c>
      <c r="C2088" t="s">
        <v>26</v>
      </c>
      <c r="D2088" t="s">
        <v>11</v>
      </c>
      <c r="E2088" t="s">
        <v>12</v>
      </c>
      <c r="F2088">
        <v>68290106</v>
      </c>
      <c r="G2088">
        <v>68290146</v>
      </c>
      <c r="H2088">
        <v>68290157</v>
      </c>
      <c r="I2088">
        <v>68290160</v>
      </c>
    </row>
    <row r="2089" spans="1:9" x14ac:dyDescent="0.2">
      <c r="A2089" s="1" t="str">
        <f>"C1GALT1"</f>
        <v>C1GALT1</v>
      </c>
      <c r="B2089" t="s">
        <v>14</v>
      </c>
      <c r="C2089" t="s">
        <v>33</v>
      </c>
      <c r="D2089" t="s">
        <v>17</v>
      </c>
      <c r="E2089" t="s">
        <v>12</v>
      </c>
      <c r="F2089">
        <v>7222233</v>
      </c>
      <c r="G2089">
        <v>7222327</v>
      </c>
      <c r="H2089">
        <v>7222157</v>
      </c>
      <c r="I2089">
        <v>7222193</v>
      </c>
    </row>
    <row r="2090" spans="1:9" x14ac:dyDescent="0.2">
      <c r="A2090" s="1" t="str">
        <f>"C1GALT1C1"</f>
        <v>C1GALT1C1</v>
      </c>
      <c r="B2090" t="s">
        <v>14</v>
      </c>
      <c r="C2090" t="s">
        <v>37</v>
      </c>
      <c r="D2090" t="s">
        <v>11</v>
      </c>
      <c r="E2090" t="s">
        <v>12</v>
      </c>
      <c r="F2090">
        <v>119763835</v>
      </c>
      <c r="G2090">
        <v>119763970</v>
      </c>
      <c r="H2090">
        <v>119763791</v>
      </c>
      <c r="I2090">
        <v>119763830</v>
      </c>
    </row>
    <row r="2091" spans="1:9" x14ac:dyDescent="0.2">
      <c r="A2091" s="1" t="str">
        <f>"C1QA"</f>
        <v>C1QA</v>
      </c>
      <c r="B2091" t="s">
        <v>14</v>
      </c>
      <c r="C2091" t="s">
        <v>19</v>
      </c>
      <c r="D2091" t="s">
        <v>17</v>
      </c>
      <c r="E2091" t="s">
        <v>12</v>
      </c>
      <c r="F2091">
        <v>22963102</v>
      </c>
      <c r="G2091">
        <v>22963132</v>
      </c>
      <c r="H2091">
        <v>22963133</v>
      </c>
      <c r="I2091">
        <v>22963149</v>
      </c>
    </row>
    <row r="2092" spans="1:9" x14ac:dyDescent="0.2">
      <c r="A2092" s="1" t="str">
        <f>"C1QB"</f>
        <v>C1QB</v>
      </c>
      <c r="B2092" t="s">
        <v>14</v>
      </c>
      <c r="C2092" t="s">
        <v>19</v>
      </c>
      <c r="D2092" t="s">
        <v>17</v>
      </c>
      <c r="E2092" t="s">
        <v>12</v>
      </c>
      <c r="F2092">
        <v>22979694</v>
      </c>
      <c r="G2092">
        <v>22979772</v>
      </c>
      <c r="H2092">
        <v>22979694</v>
      </c>
      <c r="I2092">
        <v>22979772</v>
      </c>
    </row>
    <row r="2093" spans="1:9" x14ac:dyDescent="0.2">
      <c r="A2093" s="1" t="str">
        <f>"C1QBP"</f>
        <v>C1QBP</v>
      </c>
      <c r="B2093" t="s">
        <v>14</v>
      </c>
      <c r="C2093" t="s">
        <v>28</v>
      </c>
      <c r="D2093" t="s">
        <v>11</v>
      </c>
      <c r="E2093" t="s">
        <v>12</v>
      </c>
      <c r="F2093">
        <v>5342380</v>
      </c>
      <c r="G2093">
        <v>5342503</v>
      </c>
      <c r="H2093">
        <v>5341587</v>
      </c>
      <c r="I2093">
        <v>5341592</v>
      </c>
    </row>
    <row r="2094" spans="1:9" x14ac:dyDescent="0.2">
      <c r="A2094" s="1" t="str">
        <f>"C1QC"</f>
        <v>C1QC</v>
      </c>
      <c r="B2094" t="s">
        <v>14</v>
      </c>
      <c r="C2094" t="s">
        <v>19</v>
      </c>
      <c r="D2094" t="s">
        <v>17</v>
      </c>
      <c r="E2094" t="s">
        <v>12</v>
      </c>
      <c r="F2094">
        <v>22970119</v>
      </c>
      <c r="G2094">
        <v>22970135</v>
      </c>
      <c r="H2094">
        <v>22970524</v>
      </c>
      <c r="I2094">
        <v>22970560</v>
      </c>
    </row>
    <row r="2095" spans="1:9" x14ac:dyDescent="0.2">
      <c r="A2095" s="1" t="str">
        <f>"C1QL1"</f>
        <v>C1QL1</v>
      </c>
      <c r="B2095" t="s">
        <v>14</v>
      </c>
      <c r="C2095" t="s">
        <v>28</v>
      </c>
      <c r="D2095" t="s">
        <v>11</v>
      </c>
      <c r="E2095" t="s">
        <v>12</v>
      </c>
      <c r="F2095">
        <v>43045651</v>
      </c>
      <c r="G2095">
        <v>43045694</v>
      </c>
      <c r="H2095">
        <v>43045632</v>
      </c>
      <c r="I2095">
        <v>43045649</v>
      </c>
    </row>
    <row r="2096" spans="1:9" x14ac:dyDescent="0.2">
      <c r="A2096" s="1" t="str">
        <f>"C1QL2"</f>
        <v>C1QL2</v>
      </c>
      <c r="B2096" t="s">
        <v>14</v>
      </c>
      <c r="C2096" t="s">
        <v>26</v>
      </c>
      <c r="D2096" t="s">
        <v>11</v>
      </c>
      <c r="E2096" t="s">
        <v>12</v>
      </c>
      <c r="F2096">
        <v>119916311</v>
      </c>
      <c r="G2096">
        <v>119916368</v>
      </c>
      <c r="H2096">
        <v>119916486</v>
      </c>
      <c r="I2096">
        <v>119916506</v>
      </c>
    </row>
    <row r="2097" spans="1:9" x14ac:dyDescent="0.2">
      <c r="A2097" s="1" t="str">
        <f>"C1QL3"</f>
        <v>C1QL3</v>
      </c>
      <c r="B2097" t="s">
        <v>14</v>
      </c>
      <c r="C2097" t="s">
        <v>15</v>
      </c>
      <c r="D2097" t="s">
        <v>11</v>
      </c>
      <c r="E2097" t="s">
        <v>12</v>
      </c>
      <c r="F2097">
        <v>16563818</v>
      </c>
      <c r="G2097">
        <v>16563839</v>
      </c>
      <c r="H2097">
        <v>16563870</v>
      </c>
      <c r="I2097">
        <v>16563884</v>
      </c>
    </row>
    <row r="2098" spans="1:9" x14ac:dyDescent="0.2">
      <c r="A2098" s="1" t="str">
        <f>"C1QL4"</f>
        <v>C1QL4</v>
      </c>
      <c r="B2098" t="s">
        <v>14</v>
      </c>
      <c r="C2098" t="s">
        <v>16</v>
      </c>
      <c r="D2098" t="s">
        <v>11</v>
      </c>
      <c r="E2098" t="s">
        <v>12</v>
      </c>
      <c r="F2098">
        <v>49730970</v>
      </c>
      <c r="G2098">
        <v>49731010</v>
      </c>
      <c r="H2098">
        <v>49730902</v>
      </c>
      <c r="I2098">
        <v>49730911</v>
      </c>
    </row>
    <row r="2099" spans="1:9" x14ac:dyDescent="0.2">
      <c r="A2099" s="1" t="str">
        <f>"C1QTNF1"</f>
        <v>C1QTNF1</v>
      </c>
      <c r="B2099" t="s">
        <v>14</v>
      </c>
      <c r="C2099" t="s">
        <v>28</v>
      </c>
      <c r="D2099" t="s">
        <v>17</v>
      </c>
      <c r="E2099" t="s">
        <v>12</v>
      </c>
      <c r="F2099">
        <v>77020224</v>
      </c>
      <c r="G2099">
        <v>77020262</v>
      </c>
      <c r="H2099">
        <v>77020325</v>
      </c>
      <c r="I2099">
        <v>77020348</v>
      </c>
    </row>
    <row r="2100" spans="1:9" x14ac:dyDescent="0.2">
      <c r="A2100" s="1" t="str">
        <f>"C1QTNF2"</f>
        <v>C1QTNF2</v>
      </c>
      <c r="B2100" t="s">
        <v>14</v>
      </c>
      <c r="C2100" t="s">
        <v>46</v>
      </c>
      <c r="D2100" t="s">
        <v>11</v>
      </c>
      <c r="E2100" t="s">
        <v>12</v>
      </c>
      <c r="F2100">
        <v>159797627</v>
      </c>
      <c r="G2100">
        <v>159797673</v>
      </c>
      <c r="H2100">
        <v>159797597</v>
      </c>
      <c r="I2100">
        <v>159797624</v>
      </c>
    </row>
    <row r="2101" spans="1:9" x14ac:dyDescent="0.2">
      <c r="A2101" s="1" t="str">
        <f>"C1QTNF3"</f>
        <v>C1QTNF3</v>
      </c>
      <c r="B2101" t="s">
        <v>14</v>
      </c>
      <c r="C2101" t="s">
        <v>46</v>
      </c>
      <c r="D2101" t="s">
        <v>11</v>
      </c>
      <c r="E2101" t="s">
        <v>12</v>
      </c>
      <c r="F2101">
        <v>34043310</v>
      </c>
      <c r="G2101">
        <v>34043325</v>
      </c>
      <c r="H2101">
        <v>34043331</v>
      </c>
      <c r="I2101">
        <v>34043343</v>
      </c>
    </row>
    <row r="2102" spans="1:9" x14ac:dyDescent="0.2">
      <c r="A2102" s="1" t="str">
        <f>"C1QTNF4"</f>
        <v>C1QTNF4</v>
      </c>
      <c r="B2102" t="s">
        <v>14</v>
      </c>
      <c r="C2102" t="s">
        <v>27</v>
      </c>
      <c r="D2102" t="s">
        <v>11</v>
      </c>
      <c r="E2102" t="s">
        <v>12</v>
      </c>
      <c r="F2102">
        <v>47615951</v>
      </c>
      <c r="G2102">
        <v>47615986</v>
      </c>
      <c r="H2102">
        <v>47615898</v>
      </c>
      <c r="I2102">
        <v>47615948</v>
      </c>
    </row>
    <row r="2103" spans="1:9" x14ac:dyDescent="0.2">
      <c r="A2103" s="1" t="str">
        <f>"C1QTNF5"</f>
        <v>C1QTNF5</v>
      </c>
      <c r="B2103" t="s">
        <v>9</v>
      </c>
      <c r="C2103" t="s">
        <v>27</v>
      </c>
      <c r="D2103" t="s">
        <v>11</v>
      </c>
      <c r="E2103" t="s">
        <v>12</v>
      </c>
      <c r="F2103">
        <v>119211525</v>
      </c>
      <c r="G2103">
        <v>119211614</v>
      </c>
      <c r="H2103">
        <v>119211525</v>
      </c>
      <c r="I2103">
        <v>119211614</v>
      </c>
    </row>
    <row r="2104" spans="1:9" x14ac:dyDescent="0.2">
      <c r="A2104" s="1" t="str">
        <f>"C1QTNF5"</f>
        <v>C1QTNF5</v>
      </c>
      <c r="B2104" t="s">
        <v>13</v>
      </c>
      <c r="C2104" t="s">
        <v>27</v>
      </c>
      <c r="D2104" t="s">
        <v>11</v>
      </c>
      <c r="E2104" t="s">
        <v>12</v>
      </c>
      <c r="F2104">
        <v>119217365</v>
      </c>
      <c r="G2104">
        <v>119217398</v>
      </c>
      <c r="H2104">
        <v>119217365</v>
      </c>
      <c r="I2104">
        <v>119217398</v>
      </c>
    </row>
    <row r="2105" spans="1:9" x14ac:dyDescent="0.2">
      <c r="A2105" s="1" t="str">
        <f>"C1QTNF6"</f>
        <v>C1QTNF6</v>
      </c>
      <c r="B2105" t="s">
        <v>14</v>
      </c>
      <c r="C2105" t="s">
        <v>21</v>
      </c>
      <c r="D2105" t="s">
        <v>11</v>
      </c>
      <c r="E2105" t="s">
        <v>12</v>
      </c>
      <c r="F2105">
        <v>37584273</v>
      </c>
      <c r="G2105">
        <v>37584294</v>
      </c>
      <c r="H2105">
        <v>37584321</v>
      </c>
      <c r="I2105">
        <v>37584355</v>
      </c>
    </row>
    <row r="2106" spans="1:9" x14ac:dyDescent="0.2">
      <c r="A2106" s="1" t="str">
        <f>"C1QTNF7"</f>
        <v>C1QTNF7</v>
      </c>
      <c r="B2106" t="s">
        <v>148</v>
      </c>
      <c r="C2106" t="s">
        <v>23</v>
      </c>
      <c r="D2106" t="s">
        <v>17</v>
      </c>
      <c r="E2106" t="s">
        <v>35</v>
      </c>
      <c r="F2106">
        <v>15376165</v>
      </c>
      <c r="G2106">
        <v>15376178</v>
      </c>
      <c r="H2106">
        <v>15376224</v>
      </c>
      <c r="I2106">
        <v>15376233</v>
      </c>
    </row>
    <row r="2107" spans="1:9" x14ac:dyDescent="0.2">
      <c r="A2107" s="1" t="str">
        <f>"C1QTNF7"</f>
        <v>C1QTNF7</v>
      </c>
      <c r="B2107" t="s">
        <v>149</v>
      </c>
      <c r="C2107" t="s">
        <v>23</v>
      </c>
      <c r="D2107" t="s">
        <v>17</v>
      </c>
      <c r="E2107" t="s">
        <v>75</v>
      </c>
      <c r="F2107">
        <v>15429527</v>
      </c>
      <c r="G2107">
        <v>15429528</v>
      </c>
      <c r="H2107">
        <v>15429527</v>
      </c>
      <c r="I2107">
        <v>15429528</v>
      </c>
    </row>
    <row r="2108" spans="1:9" x14ac:dyDescent="0.2">
      <c r="A2108" s="1" t="str">
        <f>"C1QTNF8"</f>
        <v>C1QTNF8</v>
      </c>
      <c r="B2108" t="s">
        <v>14</v>
      </c>
      <c r="C2108" t="s">
        <v>31</v>
      </c>
      <c r="D2108" t="s">
        <v>11</v>
      </c>
      <c r="E2108" t="s">
        <v>12</v>
      </c>
      <c r="F2108">
        <v>1146179</v>
      </c>
      <c r="G2108">
        <v>1146203</v>
      </c>
      <c r="H2108">
        <v>1146179</v>
      </c>
      <c r="I2108">
        <v>1146203</v>
      </c>
    </row>
    <row r="2109" spans="1:9" x14ac:dyDescent="0.2">
      <c r="A2109" s="1" t="str">
        <f>"C1QTNF9"</f>
        <v>C1QTNF9</v>
      </c>
      <c r="B2109" t="s">
        <v>150</v>
      </c>
      <c r="C2109" t="s">
        <v>39</v>
      </c>
      <c r="D2109" t="s">
        <v>17</v>
      </c>
      <c r="E2109" t="s">
        <v>75</v>
      </c>
      <c r="F2109">
        <v>24883703</v>
      </c>
      <c r="G2109">
        <v>24883718</v>
      </c>
      <c r="H2109">
        <v>24883703</v>
      </c>
      <c r="I2109">
        <v>24883718</v>
      </c>
    </row>
    <row r="2110" spans="1:9" x14ac:dyDescent="0.2">
      <c r="A2110" s="1" t="str">
        <f>"C1QTNF9"</f>
        <v>C1QTNF9</v>
      </c>
      <c r="B2110" t="s">
        <v>151</v>
      </c>
      <c r="C2110" t="s">
        <v>39</v>
      </c>
      <c r="D2110" t="s">
        <v>17</v>
      </c>
      <c r="E2110" t="s">
        <v>20</v>
      </c>
      <c r="F2110">
        <v>24881303</v>
      </c>
      <c r="G2110">
        <v>24881303</v>
      </c>
      <c r="H2110">
        <v>24881303</v>
      </c>
      <c r="I2110">
        <v>24881303</v>
      </c>
    </row>
    <row r="2111" spans="1:9" x14ac:dyDescent="0.2">
      <c r="A2111" s="1" t="str">
        <f>"C1QTNF9B"</f>
        <v>C1QTNF9B</v>
      </c>
      <c r="B2111" t="s">
        <v>152</v>
      </c>
      <c r="C2111" t="s">
        <v>39</v>
      </c>
      <c r="D2111" t="s">
        <v>11</v>
      </c>
      <c r="E2111" t="s">
        <v>20</v>
      </c>
      <c r="F2111">
        <v>24471193</v>
      </c>
      <c r="G2111">
        <v>24471193</v>
      </c>
      <c r="H2111">
        <v>24471193</v>
      </c>
      <c r="I2111">
        <v>24471193</v>
      </c>
    </row>
    <row r="2112" spans="1:9" x14ac:dyDescent="0.2">
      <c r="A2112" s="1" t="str">
        <f>"C1QTNF9B"</f>
        <v>C1QTNF9B</v>
      </c>
      <c r="B2112" t="s">
        <v>153</v>
      </c>
      <c r="C2112" t="s">
        <v>39</v>
      </c>
      <c r="D2112" t="s">
        <v>11</v>
      </c>
      <c r="E2112" t="s">
        <v>20</v>
      </c>
      <c r="F2112">
        <v>24476793</v>
      </c>
      <c r="G2112">
        <v>24476793</v>
      </c>
      <c r="H2112">
        <v>24476793</v>
      </c>
      <c r="I2112">
        <v>24476793</v>
      </c>
    </row>
    <row r="2113" spans="1:9" x14ac:dyDescent="0.2">
      <c r="A2113" s="1" t="str">
        <f>"C1QTNF9B-AS1"</f>
        <v>C1QTNF9B-AS1</v>
      </c>
      <c r="B2113" t="s">
        <v>14</v>
      </c>
      <c r="C2113" t="s">
        <v>39</v>
      </c>
      <c r="D2113" t="s">
        <v>17</v>
      </c>
      <c r="E2113" t="s">
        <v>12</v>
      </c>
      <c r="F2113">
        <v>24463005</v>
      </c>
      <c r="G2113">
        <v>24463017</v>
      </c>
      <c r="H2113">
        <v>24463573</v>
      </c>
      <c r="I2113">
        <v>24463635</v>
      </c>
    </row>
    <row r="2114" spans="1:9" x14ac:dyDescent="0.2">
      <c r="A2114" s="1" t="str">
        <f>"C1R"</f>
        <v>C1R</v>
      </c>
      <c r="B2114" t="s">
        <v>14</v>
      </c>
      <c r="C2114" t="s">
        <v>16</v>
      </c>
      <c r="D2114" t="s">
        <v>11</v>
      </c>
      <c r="E2114" t="s">
        <v>12</v>
      </c>
      <c r="F2114">
        <v>7245018</v>
      </c>
      <c r="G2114">
        <v>7245073</v>
      </c>
      <c r="H2114">
        <v>7245080</v>
      </c>
      <c r="I2114">
        <v>7245099</v>
      </c>
    </row>
    <row r="2115" spans="1:9" x14ac:dyDescent="0.2">
      <c r="A2115" s="1" t="str">
        <f>"C1RL"</f>
        <v>C1RL</v>
      </c>
      <c r="B2115" t="s">
        <v>14</v>
      </c>
      <c r="C2115" t="s">
        <v>16</v>
      </c>
      <c r="D2115" t="s">
        <v>11</v>
      </c>
      <c r="E2115" t="s">
        <v>12</v>
      </c>
      <c r="F2115">
        <v>7261772</v>
      </c>
      <c r="G2115">
        <v>7261874</v>
      </c>
      <c r="H2115">
        <v>7261064</v>
      </c>
      <c r="I2115">
        <v>7261122</v>
      </c>
    </row>
    <row r="2116" spans="1:9" x14ac:dyDescent="0.2">
      <c r="A2116" s="1" t="str">
        <f>"C1S"</f>
        <v>C1S</v>
      </c>
      <c r="B2116" t="s">
        <v>14</v>
      </c>
      <c r="C2116" t="s">
        <v>16</v>
      </c>
      <c r="D2116" t="s">
        <v>17</v>
      </c>
      <c r="E2116" t="s">
        <v>12</v>
      </c>
      <c r="F2116">
        <v>7167997</v>
      </c>
      <c r="G2116">
        <v>7168040</v>
      </c>
      <c r="H2116">
        <v>7168041</v>
      </c>
      <c r="I2116">
        <v>7168058</v>
      </c>
    </row>
    <row r="2117" spans="1:9" x14ac:dyDescent="0.2">
      <c r="A2117" s="1" t="str">
        <f>"C1orf100"</f>
        <v>C1orf100</v>
      </c>
      <c r="B2117" t="s">
        <v>14</v>
      </c>
      <c r="C2117" t="s">
        <v>19</v>
      </c>
      <c r="D2117" t="s">
        <v>17</v>
      </c>
      <c r="E2117" t="s">
        <v>12</v>
      </c>
      <c r="F2117">
        <v>244515930</v>
      </c>
      <c r="G2117">
        <v>244515950</v>
      </c>
      <c r="H2117">
        <v>244515930</v>
      </c>
      <c r="I2117">
        <v>244515950</v>
      </c>
    </row>
    <row r="2118" spans="1:9" x14ac:dyDescent="0.2">
      <c r="A2118" s="1" t="str">
        <f>"C1orf101"</f>
        <v>C1orf101</v>
      </c>
      <c r="B2118" t="s">
        <v>14</v>
      </c>
      <c r="C2118" t="s">
        <v>19</v>
      </c>
      <c r="D2118" t="s">
        <v>17</v>
      </c>
      <c r="E2118" t="s">
        <v>12</v>
      </c>
      <c r="F2118">
        <v>244624688</v>
      </c>
      <c r="G2118">
        <v>244624739</v>
      </c>
      <c r="H2118">
        <v>244624587</v>
      </c>
      <c r="I2118">
        <v>244624623</v>
      </c>
    </row>
    <row r="2119" spans="1:9" x14ac:dyDescent="0.2">
      <c r="A2119" s="1" t="str">
        <f>"C1orf105"</f>
        <v>C1orf105</v>
      </c>
      <c r="B2119" t="s">
        <v>154</v>
      </c>
      <c r="C2119" t="s">
        <v>19</v>
      </c>
      <c r="D2119" t="s">
        <v>17</v>
      </c>
      <c r="E2119" t="s">
        <v>35</v>
      </c>
      <c r="F2119">
        <v>172389821</v>
      </c>
      <c r="G2119">
        <v>172389833</v>
      </c>
      <c r="H2119">
        <v>172389969</v>
      </c>
      <c r="I2119">
        <v>172389970</v>
      </c>
    </row>
    <row r="2120" spans="1:9" x14ac:dyDescent="0.2">
      <c r="A2120" s="1" t="str">
        <f>"C1orf106"</f>
        <v>C1orf106</v>
      </c>
      <c r="B2120" t="s">
        <v>9</v>
      </c>
      <c r="C2120" t="s">
        <v>19</v>
      </c>
      <c r="D2120" t="s">
        <v>17</v>
      </c>
      <c r="E2120" t="s">
        <v>12</v>
      </c>
      <c r="F2120">
        <v>200864020</v>
      </c>
      <c r="G2120">
        <v>200864063</v>
      </c>
      <c r="H2120">
        <v>200864020</v>
      </c>
      <c r="I2120">
        <v>200864063</v>
      </c>
    </row>
    <row r="2121" spans="1:9" x14ac:dyDescent="0.2">
      <c r="A2121" s="1" t="str">
        <f>"C1orf106"</f>
        <v>C1orf106</v>
      </c>
      <c r="B2121" t="s">
        <v>13</v>
      </c>
      <c r="C2121" t="s">
        <v>19</v>
      </c>
      <c r="D2121" t="s">
        <v>17</v>
      </c>
      <c r="E2121" t="s">
        <v>12</v>
      </c>
      <c r="F2121">
        <v>200860649</v>
      </c>
      <c r="G2121">
        <v>200860697</v>
      </c>
      <c r="H2121">
        <v>200860649</v>
      </c>
      <c r="I2121">
        <v>200860697</v>
      </c>
    </row>
    <row r="2122" spans="1:9" x14ac:dyDescent="0.2">
      <c r="A2122" s="1" t="str">
        <f>"C1orf109"</f>
        <v>C1orf109</v>
      </c>
      <c r="B2122" t="s">
        <v>9</v>
      </c>
      <c r="C2122" t="s">
        <v>19</v>
      </c>
      <c r="D2122" t="s">
        <v>11</v>
      </c>
      <c r="E2122" t="s">
        <v>12</v>
      </c>
      <c r="F2122">
        <v>38156153</v>
      </c>
      <c r="G2122">
        <v>38156221</v>
      </c>
      <c r="H2122">
        <v>38156153</v>
      </c>
      <c r="I2122">
        <v>38156221</v>
      </c>
    </row>
    <row r="2123" spans="1:9" x14ac:dyDescent="0.2">
      <c r="A2123" s="1" t="str">
        <f>"C1orf109"</f>
        <v>C1orf109</v>
      </c>
      <c r="B2123" t="s">
        <v>13</v>
      </c>
      <c r="C2123" t="s">
        <v>19</v>
      </c>
      <c r="D2123" t="s">
        <v>11</v>
      </c>
      <c r="E2123" t="s">
        <v>12</v>
      </c>
      <c r="F2123">
        <v>38157895</v>
      </c>
      <c r="G2123">
        <v>38157953</v>
      </c>
      <c r="H2123">
        <v>38157895</v>
      </c>
      <c r="I2123">
        <v>38157953</v>
      </c>
    </row>
    <row r="2124" spans="1:9" x14ac:dyDescent="0.2">
      <c r="A2124" s="1" t="str">
        <f>"C1orf110"</f>
        <v>C1orf110</v>
      </c>
      <c r="B2124" t="s">
        <v>9</v>
      </c>
      <c r="C2124" t="s">
        <v>19</v>
      </c>
      <c r="D2124" t="s">
        <v>11</v>
      </c>
      <c r="E2124" t="s">
        <v>12</v>
      </c>
      <c r="F2124">
        <v>162825560</v>
      </c>
      <c r="G2124">
        <v>162825574</v>
      </c>
      <c r="H2124">
        <v>162825560</v>
      </c>
      <c r="I2124">
        <v>162825574</v>
      </c>
    </row>
    <row r="2125" spans="1:9" x14ac:dyDescent="0.2">
      <c r="A2125" s="1" t="str">
        <f>"C1orf110"</f>
        <v>C1orf110</v>
      </c>
      <c r="B2125" t="s">
        <v>13</v>
      </c>
      <c r="C2125" t="s">
        <v>19</v>
      </c>
      <c r="D2125" t="s">
        <v>11</v>
      </c>
      <c r="E2125" t="s">
        <v>12</v>
      </c>
      <c r="F2125">
        <v>162838597</v>
      </c>
      <c r="G2125">
        <v>162838628</v>
      </c>
      <c r="H2125">
        <v>162838597</v>
      </c>
      <c r="I2125">
        <v>162838628</v>
      </c>
    </row>
    <row r="2126" spans="1:9" x14ac:dyDescent="0.2">
      <c r="A2126" s="1" t="str">
        <f>"C1orf111"</f>
        <v>C1orf111</v>
      </c>
      <c r="B2126" t="s">
        <v>14</v>
      </c>
      <c r="C2126" t="s">
        <v>19</v>
      </c>
      <c r="D2126" t="s">
        <v>11</v>
      </c>
      <c r="E2126" t="s">
        <v>12</v>
      </c>
      <c r="F2126">
        <v>162346596</v>
      </c>
      <c r="G2126">
        <v>162346627</v>
      </c>
      <c r="H2126">
        <v>162346632</v>
      </c>
      <c r="I2126">
        <v>162346653</v>
      </c>
    </row>
    <row r="2127" spans="1:9" x14ac:dyDescent="0.2">
      <c r="A2127" s="1" t="str">
        <f>"C1orf112"</f>
        <v>C1orf112</v>
      </c>
      <c r="B2127" t="s">
        <v>14</v>
      </c>
      <c r="C2127" t="s">
        <v>19</v>
      </c>
      <c r="D2127" t="s">
        <v>17</v>
      </c>
      <c r="E2127" t="s">
        <v>12</v>
      </c>
      <c r="F2127">
        <v>169764163</v>
      </c>
      <c r="G2127">
        <v>169764240</v>
      </c>
      <c r="H2127">
        <v>169763916</v>
      </c>
      <c r="I2127">
        <v>169763930</v>
      </c>
    </row>
    <row r="2128" spans="1:9" x14ac:dyDescent="0.2">
      <c r="A2128" s="1" t="str">
        <f>"C1orf115"</f>
        <v>C1orf115</v>
      </c>
      <c r="B2128" t="s">
        <v>14</v>
      </c>
      <c r="C2128" t="s">
        <v>19</v>
      </c>
      <c r="D2128" t="s">
        <v>17</v>
      </c>
      <c r="E2128" t="s">
        <v>12</v>
      </c>
      <c r="F2128">
        <v>220863696</v>
      </c>
      <c r="G2128">
        <v>220863752</v>
      </c>
      <c r="H2128">
        <v>220863632</v>
      </c>
      <c r="I2128">
        <v>220863667</v>
      </c>
    </row>
    <row r="2129" spans="1:9" x14ac:dyDescent="0.2">
      <c r="A2129" s="1" t="str">
        <f>"C1orf116"</f>
        <v>C1orf116</v>
      </c>
      <c r="B2129" t="s">
        <v>14</v>
      </c>
      <c r="C2129" t="s">
        <v>19</v>
      </c>
      <c r="D2129" t="s">
        <v>11</v>
      </c>
      <c r="E2129" t="s">
        <v>12</v>
      </c>
      <c r="F2129">
        <v>207206020</v>
      </c>
      <c r="G2129">
        <v>207206050</v>
      </c>
      <c r="H2129">
        <v>207206095</v>
      </c>
      <c r="I2129">
        <v>207206121</v>
      </c>
    </row>
    <row r="2130" spans="1:9" x14ac:dyDescent="0.2">
      <c r="A2130" s="1" t="str">
        <f>"C1orf122"</f>
        <v>C1orf122</v>
      </c>
      <c r="B2130" t="s">
        <v>14</v>
      </c>
      <c r="C2130" t="s">
        <v>19</v>
      </c>
      <c r="D2130" t="s">
        <v>17</v>
      </c>
      <c r="E2130" t="s">
        <v>12</v>
      </c>
      <c r="F2130">
        <v>38274246</v>
      </c>
      <c r="G2130">
        <v>38274318</v>
      </c>
      <c r="H2130">
        <v>38273440</v>
      </c>
      <c r="I2130">
        <v>38273477</v>
      </c>
    </row>
    <row r="2131" spans="1:9" x14ac:dyDescent="0.2">
      <c r="A2131" s="1" t="str">
        <f>"C1orf123"</f>
        <v>C1orf123</v>
      </c>
      <c r="B2131" t="s">
        <v>14</v>
      </c>
      <c r="C2131" t="s">
        <v>19</v>
      </c>
      <c r="D2131" t="s">
        <v>11</v>
      </c>
      <c r="E2131" t="s">
        <v>12</v>
      </c>
      <c r="F2131">
        <v>53686261</v>
      </c>
      <c r="G2131">
        <v>53686329</v>
      </c>
      <c r="H2131">
        <v>53686002</v>
      </c>
      <c r="I2131">
        <v>53686044</v>
      </c>
    </row>
    <row r="2132" spans="1:9" x14ac:dyDescent="0.2">
      <c r="A2132" s="1" t="str">
        <f>"C1orf127"</f>
        <v>C1orf127</v>
      </c>
      <c r="B2132" t="s">
        <v>14</v>
      </c>
      <c r="C2132" t="s">
        <v>19</v>
      </c>
      <c r="D2132" t="s">
        <v>11</v>
      </c>
      <c r="E2132" t="s">
        <v>12</v>
      </c>
      <c r="F2132">
        <v>11024292</v>
      </c>
      <c r="G2132">
        <v>11024294</v>
      </c>
      <c r="H2132">
        <v>11024292</v>
      </c>
      <c r="I2132">
        <v>11024294</v>
      </c>
    </row>
    <row r="2133" spans="1:9" x14ac:dyDescent="0.2">
      <c r="A2133" s="1" t="str">
        <f>"C1orf131"</f>
        <v>C1orf131</v>
      </c>
      <c r="B2133" t="s">
        <v>14</v>
      </c>
      <c r="C2133" t="s">
        <v>19</v>
      </c>
      <c r="D2133" t="s">
        <v>11</v>
      </c>
      <c r="E2133" t="s">
        <v>12</v>
      </c>
      <c r="F2133">
        <v>231376867</v>
      </c>
      <c r="G2133">
        <v>231376943</v>
      </c>
      <c r="H2133">
        <v>231376867</v>
      </c>
      <c r="I2133">
        <v>231376943</v>
      </c>
    </row>
    <row r="2134" spans="1:9" x14ac:dyDescent="0.2">
      <c r="A2134" s="1" t="str">
        <f>"C1orf134"</f>
        <v>C1orf134</v>
      </c>
      <c r="B2134" t="s">
        <v>155</v>
      </c>
      <c r="C2134" t="s">
        <v>19</v>
      </c>
      <c r="D2134" t="s">
        <v>11</v>
      </c>
      <c r="E2134" t="s">
        <v>20</v>
      </c>
      <c r="F2134">
        <v>16556037</v>
      </c>
      <c r="G2134">
        <v>16556037</v>
      </c>
      <c r="H2134">
        <v>16556037</v>
      </c>
      <c r="I2134">
        <v>16556037</v>
      </c>
    </row>
    <row r="2135" spans="1:9" x14ac:dyDescent="0.2">
      <c r="A2135" s="1" t="str">
        <f>"C1orf137"</f>
        <v>C1orf137</v>
      </c>
      <c r="B2135" t="s">
        <v>156</v>
      </c>
      <c r="C2135" t="s">
        <v>19</v>
      </c>
      <c r="D2135" t="s">
        <v>17</v>
      </c>
      <c r="E2135" t="s">
        <v>20</v>
      </c>
      <c r="F2135">
        <v>117236733</v>
      </c>
      <c r="G2135">
        <v>117236733</v>
      </c>
      <c r="H2135">
        <v>117236733</v>
      </c>
      <c r="I2135">
        <v>117236733</v>
      </c>
    </row>
    <row r="2136" spans="1:9" x14ac:dyDescent="0.2">
      <c r="A2136" s="1" t="str">
        <f>"C1orf141"</f>
        <v>C1orf141</v>
      </c>
      <c r="B2136" t="s">
        <v>14</v>
      </c>
      <c r="C2136" t="s">
        <v>19</v>
      </c>
      <c r="D2136" t="s">
        <v>11</v>
      </c>
      <c r="E2136" t="s">
        <v>12</v>
      </c>
      <c r="F2136">
        <v>67600640</v>
      </c>
      <c r="G2136">
        <v>67600658</v>
      </c>
      <c r="H2136">
        <v>67600640</v>
      </c>
      <c r="I2136">
        <v>67600658</v>
      </c>
    </row>
    <row r="2137" spans="1:9" x14ac:dyDescent="0.2">
      <c r="A2137" s="1" t="str">
        <f>"C1orf146"</f>
        <v>C1orf146</v>
      </c>
      <c r="B2137" t="s">
        <v>14</v>
      </c>
      <c r="C2137" t="s">
        <v>19</v>
      </c>
      <c r="D2137" t="s">
        <v>17</v>
      </c>
      <c r="E2137" t="s">
        <v>12</v>
      </c>
      <c r="F2137">
        <v>92683467</v>
      </c>
      <c r="G2137">
        <v>92683476</v>
      </c>
      <c r="H2137">
        <v>92683568</v>
      </c>
      <c r="I2137">
        <v>92683572</v>
      </c>
    </row>
    <row r="2138" spans="1:9" x14ac:dyDescent="0.2">
      <c r="A2138" s="1" t="str">
        <f>"C1orf158"</f>
        <v>C1orf158</v>
      </c>
      <c r="B2138" t="s">
        <v>14</v>
      </c>
      <c r="C2138" t="s">
        <v>19</v>
      </c>
      <c r="D2138" t="s">
        <v>17</v>
      </c>
      <c r="E2138" t="s">
        <v>12</v>
      </c>
      <c r="F2138">
        <v>12806141</v>
      </c>
      <c r="G2138">
        <v>12806199</v>
      </c>
      <c r="H2138">
        <v>12806208</v>
      </c>
      <c r="I2138">
        <v>12806219</v>
      </c>
    </row>
    <row r="2139" spans="1:9" x14ac:dyDescent="0.2">
      <c r="A2139" s="1" t="str">
        <f>"C1orf159"</f>
        <v>C1orf159</v>
      </c>
      <c r="B2139" t="s">
        <v>14</v>
      </c>
      <c r="C2139" t="s">
        <v>19</v>
      </c>
      <c r="D2139" t="s">
        <v>11</v>
      </c>
      <c r="E2139" t="s">
        <v>12</v>
      </c>
      <c r="F2139">
        <v>1051455</v>
      </c>
      <c r="G2139">
        <v>1051495</v>
      </c>
      <c r="H2139">
        <v>1051455</v>
      </c>
      <c r="I2139">
        <v>1051495</v>
      </c>
    </row>
    <row r="2140" spans="1:9" x14ac:dyDescent="0.2">
      <c r="A2140" s="1" t="str">
        <f>"C1orf162"</f>
        <v>C1orf162</v>
      </c>
      <c r="B2140" t="s">
        <v>14</v>
      </c>
      <c r="C2140" t="s">
        <v>19</v>
      </c>
      <c r="D2140" t="s">
        <v>17</v>
      </c>
      <c r="E2140" t="s">
        <v>12</v>
      </c>
      <c r="F2140">
        <v>112016594</v>
      </c>
      <c r="G2140">
        <v>112016617</v>
      </c>
      <c r="H2140">
        <v>112016563</v>
      </c>
      <c r="I2140">
        <v>112016574</v>
      </c>
    </row>
    <row r="2141" spans="1:9" x14ac:dyDescent="0.2">
      <c r="A2141" s="1" t="str">
        <f>"C1orf167"</f>
        <v>C1orf167</v>
      </c>
      <c r="B2141" t="s">
        <v>14</v>
      </c>
      <c r="C2141" t="s">
        <v>19</v>
      </c>
      <c r="D2141" t="s">
        <v>17</v>
      </c>
      <c r="E2141" t="s">
        <v>12</v>
      </c>
      <c r="F2141">
        <v>11847842</v>
      </c>
      <c r="G2141">
        <v>11847849</v>
      </c>
      <c r="H2141">
        <v>11847903</v>
      </c>
      <c r="I2141">
        <v>11847913</v>
      </c>
    </row>
    <row r="2142" spans="1:9" x14ac:dyDescent="0.2">
      <c r="A2142" s="1" t="str">
        <f>"C1orf168"</f>
        <v>C1orf168</v>
      </c>
      <c r="B2142" t="s">
        <v>14</v>
      </c>
      <c r="C2142" t="s">
        <v>19</v>
      </c>
      <c r="D2142" t="s">
        <v>11</v>
      </c>
      <c r="E2142" t="s">
        <v>12</v>
      </c>
      <c r="F2142">
        <v>57285049</v>
      </c>
      <c r="G2142">
        <v>57285092</v>
      </c>
      <c r="H2142">
        <v>57285367</v>
      </c>
      <c r="I2142">
        <v>57285396</v>
      </c>
    </row>
    <row r="2143" spans="1:9" x14ac:dyDescent="0.2">
      <c r="A2143" s="1" t="str">
        <f>"C1orf172"</f>
        <v>C1orf172</v>
      </c>
      <c r="B2143" t="s">
        <v>14</v>
      </c>
      <c r="C2143" t="s">
        <v>19</v>
      </c>
      <c r="D2143" t="s">
        <v>11</v>
      </c>
      <c r="E2143" t="s">
        <v>12</v>
      </c>
      <c r="F2143">
        <v>27286905</v>
      </c>
      <c r="G2143">
        <v>27286966</v>
      </c>
      <c r="H2143">
        <v>27286862</v>
      </c>
      <c r="I2143">
        <v>27286885</v>
      </c>
    </row>
    <row r="2144" spans="1:9" x14ac:dyDescent="0.2">
      <c r="A2144" s="1" t="str">
        <f>"C1orf173"</f>
        <v>C1orf173</v>
      </c>
      <c r="B2144" t="s">
        <v>14</v>
      </c>
      <c r="C2144" t="s">
        <v>19</v>
      </c>
      <c r="D2144" t="s">
        <v>11</v>
      </c>
      <c r="E2144" t="s">
        <v>12</v>
      </c>
      <c r="F2144">
        <v>75139325</v>
      </c>
      <c r="G2144">
        <v>75139394</v>
      </c>
      <c r="H2144">
        <v>75139397</v>
      </c>
      <c r="I2144">
        <v>75139446</v>
      </c>
    </row>
    <row r="2145" spans="1:9" x14ac:dyDescent="0.2">
      <c r="A2145" s="1" t="str">
        <f>"C1orf174"</f>
        <v>C1orf174</v>
      </c>
      <c r="B2145" t="s">
        <v>14</v>
      </c>
      <c r="C2145" t="s">
        <v>19</v>
      </c>
      <c r="D2145" t="s">
        <v>11</v>
      </c>
      <c r="E2145" t="s">
        <v>12</v>
      </c>
      <c r="F2145">
        <v>3816779</v>
      </c>
      <c r="G2145">
        <v>3816870</v>
      </c>
      <c r="H2145">
        <v>3816779</v>
      </c>
      <c r="I2145">
        <v>3816870</v>
      </c>
    </row>
    <row r="2146" spans="1:9" x14ac:dyDescent="0.2">
      <c r="A2146" s="1" t="str">
        <f>"C1orf177"</f>
        <v>C1orf177</v>
      </c>
      <c r="B2146" t="s">
        <v>14</v>
      </c>
      <c r="C2146" t="s">
        <v>19</v>
      </c>
      <c r="D2146" t="s">
        <v>17</v>
      </c>
      <c r="E2146" t="s">
        <v>12</v>
      </c>
      <c r="F2146">
        <v>55271780</v>
      </c>
      <c r="G2146">
        <v>55271781</v>
      </c>
      <c r="H2146">
        <v>55271780</v>
      </c>
      <c r="I2146">
        <v>55271781</v>
      </c>
    </row>
    <row r="2147" spans="1:9" x14ac:dyDescent="0.2">
      <c r="A2147" s="1" t="str">
        <f>"C1orf185"</f>
        <v>C1orf185</v>
      </c>
      <c r="B2147" t="s">
        <v>14</v>
      </c>
      <c r="C2147" t="s">
        <v>19</v>
      </c>
      <c r="D2147" t="s">
        <v>17</v>
      </c>
      <c r="E2147" t="s">
        <v>12</v>
      </c>
      <c r="F2147">
        <v>51567910</v>
      </c>
      <c r="G2147">
        <v>51567921</v>
      </c>
      <c r="H2147">
        <v>51567895</v>
      </c>
      <c r="I2147">
        <v>51567904</v>
      </c>
    </row>
    <row r="2148" spans="1:9" x14ac:dyDescent="0.2">
      <c r="A2148" s="1" t="str">
        <f>"C1orf186"</f>
        <v>C1orf186</v>
      </c>
      <c r="B2148" t="s">
        <v>14</v>
      </c>
      <c r="C2148" t="s">
        <v>19</v>
      </c>
      <c r="D2148" t="s">
        <v>11</v>
      </c>
      <c r="E2148" t="s">
        <v>12</v>
      </c>
      <c r="F2148">
        <v>206288186</v>
      </c>
      <c r="G2148">
        <v>206288203</v>
      </c>
      <c r="H2148">
        <v>206288208</v>
      </c>
      <c r="I2148">
        <v>206288225</v>
      </c>
    </row>
    <row r="2149" spans="1:9" x14ac:dyDescent="0.2">
      <c r="A2149" s="1" t="str">
        <f>"C1orf189"</f>
        <v>C1orf189</v>
      </c>
      <c r="B2149" t="s">
        <v>14</v>
      </c>
      <c r="C2149" t="s">
        <v>19</v>
      </c>
      <c r="D2149" t="s">
        <v>11</v>
      </c>
      <c r="E2149" t="s">
        <v>12</v>
      </c>
      <c r="F2149">
        <v>154178803</v>
      </c>
      <c r="G2149">
        <v>154178823</v>
      </c>
      <c r="H2149">
        <v>154178803</v>
      </c>
      <c r="I2149">
        <v>154178823</v>
      </c>
    </row>
    <row r="2150" spans="1:9" x14ac:dyDescent="0.2">
      <c r="A2150" s="1" t="str">
        <f>"C1orf192"</f>
        <v>C1orf192</v>
      </c>
      <c r="B2150" t="s">
        <v>14</v>
      </c>
      <c r="C2150" t="s">
        <v>19</v>
      </c>
      <c r="D2150" t="s">
        <v>11</v>
      </c>
      <c r="E2150" t="s">
        <v>12</v>
      </c>
      <c r="F2150">
        <v>161337662</v>
      </c>
      <c r="G2150">
        <v>161337675</v>
      </c>
      <c r="H2150">
        <v>161337662</v>
      </c>
      <c r="I2150">
        <v>161337675</v>
      </c>
    </row>
    <row r="2151" spans="1:9" x14ac:dyDescent="0.2">
      <c r="A2151" s="1" t="str">
        <f>"C1orf194"</f>
        <v>C1orf194</v>
      </c>
      <c r="B2151" t="s">
        <v>9</v>
      </c>
      <c r="C2151" t="s">
        <v>19</v>
      </c>
      <c r="D2151" t="s">
        <v>11</v>
      </c>
      <c r="E2151" t="s">
        <v>12</v>
      </c>
      <c r="F2151">
        <v>109655355</v>
      </c>
      <c r="G2151">
        <v>109655374</v>
      </c>
      <c r="H2151">
        <v>109655355</v>
      </c>
      <c r="I2151">
        <v>109655374</v>
      </c>
    </row>
    <row r="2152" spans="1:9" x14ac:dyDescent="0.2">
      <c r="A2152" s="1" t="str">
        <f>"C1orf194"</f>
        <v>C1orf194</v>
      </c>
      <c r="B2152" t="s">
        <v>13</v>
      </c>
      <c r="C2152" t="s">
        <v>19</v>
      </c>
      <c r="D2152" t="s">
        <v>11</v>
      </c>
      <c r="E2152" t="s">
        <v>12</v>
      </c>
      <c r="F2152">
        <v>109656439</v>
      </c>
      <c r="G2152">
        <v>109656492</v>
      </c>
      <c r="H2152">
        <v>109656439</v>
      </c>
      <c r="I2152">
        <v>109656492</v>
      </c>
    </row>
    <row r="2153" spans="1:9" x14ac:dyDescent="0.2">
      <c r="A2153" s="1" t="str">
        <f>"C1orf195"</f>
        <v>C1orf195</v>
      </c>
      <c r="B2153" t="s">
        <v>14</v>
      </c>
      <c r="C2153" t="s">
        <v>19</v>
      </c>
      <c r="D2153" t="s">
        <v>11</v>
      </c>
      <c r="E2153" t="s">
        <v>12</v>
      </c>
      <c r="F2153">
        <v>15498138</v>
      </c>
      <c r="G2153">
        <v>15498155</v>
      </c>
      <c r="H2153">
        <v>15498138</v>
      </c>
      <c r="I2153">
        <v>15498155</v>
      </c>
    </row>
    <row r="2154" spans="1:9" x14ac:dyDescent="0.2">
      <c r="A2154" s="1" t="str">
        <f>"C1orf198"</f>
        <v>C1orf198</v>
      </c>
      <c r="B2154" t="s">
        <v>9</v>
      </c>
      <c r="C2154" t="s">
        <v>19</v>
      </c>
      <c r="D2154" t="s">
        <v>11</v>
      </c>
      <c r="E2154" t="s">
        <v>12</v>
      </c>
      <c r="F2154">
        <v>231004220</v>
      </c>
      <c r="G2154">
        <v>231004294</v>
      </c>
      <c r="H2154">
        <v>231004220</v>
      </c>
      <c r="I2154">
        <v>231004294</v>
      </c>
    </row>
    <row r="2155" spans="1:9" x14ac:dyDescent="0.2">
      <c r="A2155" s="1" t="str">
        <f>"C1orf198"</f>
        <v>C1orf198</v>
      </c>
      <c r="B2155" t="s">
        <v>13</v>
      </c>
      <c r="C2155" t="s">
        <v>19</v>
      </c>
      <c r="D2155" t="s">
        <v>11</v>
      </c>
      <c r="E2155" t="s">
        <v>12</v>
      </c>
      <c r="F2155">
        <v>231005310</v>
      </c>
      <c r="G2155">
        <v>231005347</v>
      </c>
      <c r="H2155">
        <v>231005310</v>
      </c>
      <c r="I2155">
        <v>231005347</v>
      </c>
    </row>
    <row r="2156" spans="1:9" x14ac:dyDescent="0.2">
      <c r="A2156" s="1" t="str">
        <f>"C1orf204"</f>
        <v>C1orf204</v>
      </c>
      <c r="B2156" t="s">
        <v>14</v>
      </c>
      <c r="C2156" t="s">
        <v>19</v>
      </c>
      <c r="D2156" t="s">
        <v>11</v>
      </c>
      <c r="E2156" t="s">
        <v>12</v>
      </c>
      <c r="F2156">
        <v>159824662</v>
      </c>
      <c r="G2156">
        <v>159824726</v>
      </c>
      <c r="H2156">
        <v>159824608</v>
      </c>
      <c r="I2156">
        <v>159824630</v>
      </c>
    </row>
    <row r="2157" spans="1:9" x14ac:dyDescent="0.2">
      <c r="A2157" s="1" t="str">
        <f>"C1orf21"</f>
        <v>C1orf21</v>
      </c>
      <c r="B2157" t="s">
        <v>14</v>
      </c>
      <c r="C2157" t="s">
        <v>19</v>
      </c>
      <c r="D2157" t="s">
        <v>17</v>
      </c>
      <c r="E2157" t="s">
        <v>12</v>
      </c>
      <c r="F2157">
        <v>184356112</v>
      </c>
      <c r="G2157">
        <v>184356185</v>
      </c>
      <c r="H2157">
        <v>184356231</v>
      </c>
      <c r="I2157">
        <v>184356262</v>
      </c>
    </row>
    <row r="2158" spans="1:9" x14ac:dyDescent="0.2">
      <c r="A2158" s="1" t="str">
        <f>"C1orf210"</f>
        <v>C1orf210</v>
      </c>
      <c r="B2158" t="s">
        <v>14</v>
      </c>
      <c r="C2158" t="s">
        <v>19</v>
      </c>
      <c r="D2158" t="s">
        <v>11</v>
      </c>
      <c r="E2158" t="s">
        <v>12</v>
      </c>
      <c r="F2158">
        <v>43751230</v>
      </c>
      <c r="G2158">
        <v>43751274</v>
      </c>
      <c r="H2158">
        <v>43751276</v>
      </c>
      <c r="I2158">
        <v>43751293</v>
      </c>
    </row>
    <row r="2159" spans="1:9" x14ac:dyDescent="0.2">
      <c r="A2159" s="1" t="str">
        <f>"C1orf216"</f>
        <v>C1orf216</v>
      </c>
      <c r="B2159" t="s">
        <v>14</v>
      </c>
      <c r="C2159" t="s">
        <v>19</v>
      </c>
      <c r="D2159" t="s">
        <v>11</v>
      </c>
      <c r="E2159" t="s">
        <v>12</v>
      </c>
      <c r="F2159">
        <v>36184437</v>
      </c>
      <c r="G2159">
        <v>36184514</v>
      </c>
      <c r="H2159">
        <v>36184416</v>
      </c>
      <c r="I2159">
        <v>36184436</v>
      </c>
    </row>
    <row r="2160" spans="1:9" x14ac:dyDescent="0.2">
      <c r="A2160" s="1" t="str">
        <f>"C1orf222"</f>
        <v>C1orf222</v>
      </c>
      <c r="B2160" t="s">
        <v>14</v>
      </c>
      <c r="C2160" t="s">
        <v>19</v>
      </c>
      <c r="D2160" t="s">
        <v>11</v>
      </c>
      <c r="E2160" t="s">
        <v>12</v>
      </c>
      <c r="F2160">
        <v>1935219</v>
      </c>
      <c r="G2160">
        <v>1935231</v>
      </c>
      <c r="H2160">
        <v>1935248</v>
      </c>
      <c r="I2160">
        <v>1935265</v>
      </c>
    </row>
    <row r="2161" spans="1:9" x14ac:dyDescent="0.2">
      <c r="A2161" s="1" t="str">
        <f>"C1orf226"</f>
        <v>C1orf226</v>
      </c>
      <c r="B2161" t="s">
        <v>9</v>
      </c>
      <c r="C2161" t="s">
        <v>19</v>
      </c>
      <c r="D2161" t="s">
        <v>17</v>
      </c>
      <c r="E2161" t="s">
        <v>12</v>
      </c>
      <c r="F2161">
        <v>162336686</v>
      </c>
      <c r="G2161">
        <v>162336732</v>
      </c>
      <c r="H2161">
        <v>162336686</v>
      </c>
      <c r="I2161">
        <v>162336732</v>
      </c>
    </row>
    <row r="2162" spans="1:9" x14ac:dyDescent="0.2">
      <c r="A2162" s="1" t="str">
        <f>"C1orf226"</f>
        <v>C1orf226</v>
      </c>
      <c r="B2162" t="s">
        <v>13</v>
      </c>
      <c r="C2162" t="s">
        <v>19</v>
      </c>
      <c r="D2162" t="s">
        <v>17</v>
      </c>
      <c r="E2162" t="s">
        <v>12</v>
      </c>
      <c r="F2162">
        <v>162351503</v>
      </c>
      <c r="G2162">
        <v>162351523</v>
      </c>
      <c r="H2162">
        <v>162351503</v>
      </c>
      <c r="I2162">
        <v>162351523</v>
      </c>
    </row>
    <row r="2163" spans="1:9" x14ac:dyDescent="0.2">
      <c r="A2163" s="1" t="str">
        <f>"C1orf227"</f>
        <v>C1orf227</v>
      </c>
      <c r="B2163" t="s">
        <v>14</v>
      </c>
      <c r="C2163" t="s">
        <v>19</v>
      </c>
      <c r="D2163" t="s">
        <v>11</v>
      </c>
      <c r="E2163" t="s">
        <v>12</v>
      </c>
      <c r="F2163">
        <v>213020978</v>
      </c>
      <c r="G2163">
        <v>213020991</v>
      </c>
      <c r="H2163">
        <v>213020964</v>
      </c>
      <c r="I2163">
        <v>213020972</v>
      </c>
    </row>
    <row r="2164" spans="1:9" x14ac:dyDescent="0.2">
      <c r="A2164" s="1" t="str">
        <f>"C1orf228"</f>
        <v>C1orf228</v>
      </c>
      <c r="B2164" t="s">
        <v>157</v>
      </c>
      <c r="C2164" t="s">
        <v>19</v>
      </c>
      <c r="D2164" t="s">
        <v>17</v>
      </c>
      <c r="E2164" t="s">
        <v>35</v>
      </c>
      <c r="F2164">
        <v>45140262</v>
      </c>
      <c r="G2164">
        <v>45140263</v>
      </c>
      <c r="H2164">
        <v>45140444</v>
      </c>
      <c r="I2164">
        <v>45140452</v>
      </c>
    </row>
    <row r="2165" spans="1:9" x14ac:dyDescent="0.2">
      <c r="A2165" s="1" t="str">
        <f>"C1orf229"</f>
        <v>C1orf229</v>
      </c>
      <c r="B2165" t="s">
        <v>14</v>
      </c>
      <c r="C2165" t="s">
        <v>19</v>
      </c>
      <c r="D2165" t="s">
        <v>11</v>
      </c>
      <c r="E2165" t="s">
        <v>12</v>
      </c>
      <c r="F2165">
        <v>247275527</v>
      </c>
      <c r="G2165">
        <v>247275562</v>
      </c>
      <c r="H2165">
        <v>247275527</v>
      </c>
      <c r="I2165">
        <v>247275562</v>
      </c>
    </row>
    <row r="2166" spans="1:9" x14ac:dyDescent="0.2">
      <c r="A2166" s="1" t="str">
        <f>"C1orf233"</f>
        <v>C1orf233</v>
      </c>
      <c r="B2166" t="s">
        <v>14</v>
      </c>
      <c r="C2166" t="s">
        <v>19</v>
      </c>
      <c r="D2166" t="s">
        <v>11</v>
      </c>
      <c r="E2166" t="s">
        <v>67</v>
      </c>
      <c r="F2166">
        <v>1535455</v>
      </c>
      <c r="G2166">
        <v>1535568</v>
      </c>
      <c r="H2166">
        <v>1535369</v>
      </c>
      <c r="I2166">
        <v>1535429</v>
      </c>
    </row>
    <row r="2167" spans="1:9" x14ac:dyDescent="0.2">
      <c r="A2167" s="1" t="str">
        <f>"C1orf234"</f>
        <v>C1orf234</v>
      </c>
      <c r="B2167" t="s">
        <v>14</v>
      </c>
      <c r="C2167" t="s">
        <v>19</v>
      </c>
      <c r="D2167" t="s">
        <v>11</v>
      </c>
      <c r="E2167" t="s">
        <v>67</v>
      </c>
      <c r="F2167">
        <v>23342340</v>
      </c>
      <c r="G2167">
        <v>23342349</v>
      </c>
      <c r="H2167">
        <v>23342340</v>
      </c>
      <c r="I2167">
        <v>23342349</v>
      </c>
    </row>
    <row r="2168" spans="1:9" x14ac:dyDescent="0.2">
      <c r="A2168" s="1" t="str">
        <f>"C1orf27"</f>
        <v>C1orf27</v>
      </c>
      <c r="B2168" t="s">
        <v>14</v>
      </c>
      <c r="C2168" t="s">
        <v>19</v>
      </c>
      <c r="D2168" t="s">
        <v>17</v>
      </c>
      <c r="E2168" t="s">
        <v>12</v>
      </c>
      <c r="F2168">
        <v>186344945</v>
      </c>
      <c r="G2168">
        <v>186345054</v>
      </c>
      <c r="H2168">
        <v>186344904</v>
      </c>
      <c r="I2168">
        <v>186344925</v>
      </c>
    </row>
    <row r="2169" spans="1:9" x14ac:dyDescent="0.2">
      <c r="A2169" s="1" t="str">
        <f>"C1orf35"</f>
        <v>C1orf35</v>
      </c>
      <c r="B2169" t="s">
        <v>14</v>
      </c>
      <c r="C2169" t="s">
        <v>19</v>
      </c>
      <c r="D2169" t="s">
        <v>11</v>
      </c>
      <c r="E2169" t="s">
        <v>12</v>
      </c>
      <c r="F2169">
        <v>228290951</v>
      </c>
      <c r="G2169">
        <v>228291064</v>
      </c>
      <c r="H2169">
        <v>228290745</v>
      </c>
      <c r="I2169">
        <v>228290781</v>
      </c>
    </row>
    <row r="2170" spans="1:9" x14ac:dyDescent="0.2">
      <c r="A2170" s="1" t="str">
        <f>"C1orf43"</f>
        <v>C1orf43</v>
      </c>
      <c r="B2170" t="s">
        <v>14</v>
      </c>
      <c r="C2170" t="s">
        <v>19</v>
      </c>
      <c r="D2170" t="s">
        <v>11</v>
      </c>
      <c r="E2170" t="s">
        <v>12</v>
      </c>
      <c r="F2170">
        <v>154193017</v>
      </c>
      <c r="G2170">
        <v>154193077</v>
      </c>
      <c r="H2170">
        <v>154193091</v>
      </c>
      <c r="I2170">
        <v>154193119</v>
      </c>
    </row>
    <row r="2171" spans="1:9" x14ac:dyDescent="0.2">
      <c r="A2171" s="1" t="str">
        <f>"C1orf50"</f>
        <v>C1orf50</v>
      </c>
      <c r="B2171" t="s">
        <v>14</v>
      </c>
      <c r="C2171" t="s">
        <v>19</v>
      </c>
      <c r="D2171" t="s">
        <v>17</v>
      </c>
      <c r="E2171" t="s">
        <v>12</v>
      </c>
      <c r="F2171">
        <v>43232913</v>
      </c>
      <c r="G2171">
        <v>43232982</v>
      </c>
      <c r="H2171">
        <v>43233110</v>
      </c>
      <c r="I2171">
        <v>43233119</v>
      </c>
    </row>
    <row r="2172" spans="1:9" x14ac:dyDescent="0.2">
      <c r="A2172" s="1" t="str">
        <f>"C1orf51"</f>
        <v>C1orf51</v>
      </c>
      <c r="B2172" t="s">
        <v>14</v>
      </c>
      <c r="C2172" t="s">
        <v>19</v>
      </c>
      <c r="D2172" t="s">
        <v>17</v>
      </c>
      <c r="E2172" t="s">
        <v>12</v>
      </c>
      <c r="F2172">
        <v>150254936</v>
      </c>
      <c r="G2172">
        <v>150255001</v>
      </c>
      <c r="H2172">
        <v>150255246</v>
      </c>
      <c r="I2172">
        <v>150255268</v>
      </c>
    </row>
    <row r="2173" spans="1:9" x14ac:dyDescent="0.2">
      <c r="A2173" s="1" t="str">
        <f>"C1orf52"</f>
        <v>C1orf52</v>
      </c>
      <c r="B2173" t="s">
        <v>14</v>
      </c>
      <c r="C2173" t="s">
        <v>19</v>
      </c>
      <c r="D2173" t="s">
        <v>11</v>
      </c>
      <c r="E2173" t="s">
        <v>12</v>
      </c>
      <c r="F2173">
        <v>85725317</v>
      </c>
      <c r="G2173">
        <v>85725367</v>
      </c>
      <c r="H2173">
        <v>85725317</v>
      </c>
      <c r="I2173">
        <v>85725367</v>
      </c>
    </row>
    <row r="2174" spans="1:9" x14ac:dyDescent="0.2">
      <c r="A2174" s="1" t="str">
        <f>"C1orf53"</f>
        <v>C1orf53</v>
      </c>
      <c r="B2174" t="s">
        <v>14</v>
      </c>
      <c r="C2174" t="s">
        <v>19</v>
      </c>
      <c r="D2174" t="s">
        <v>17</v>
      </c>
      <c r="E2174" t="s">
        <v>12</v>
      </c>
      <c r="F2174">
        <v>197871740</v>
      </c>
      <c r="G2174">
        <v>197871779</v>
      </c>
      <c r="H2174">
        <v>197871854</v>
      </c>
      <c r="I2174">
        <v>197871858</v>
      </c>
    </row>
    <row r="2175" spans="1:9" x14ac:dyDescent="0.2">
      <c r="A2175" s="1" t="str">
        <f>"C1orf54"</f>
        <v>C1orf54</v>
      </c>
      <c r="B2175" t="s">
        <v>14</v>
      </c>
      <c r="C2175" t="s">
        <v>19</v>
      </c>
      <c r="D2175" t="s">
        <v>17</v>
      </c>
      <c r="E2175" t="s">
        <v>12</v>
      </c>
      <c r="F2175">
        <v>150245177</v>
      </c>
      <c r="G2175">
        <v>150245214</v>
      </c>
      <c r="H2175">
        <v>150245099</v>
      </c>
      <c r="I2175">
        <v>150245136</v>
      </c>
    </row>
    <row r="2176" spans="1:9" x14ac:dyDescent="0.2">
      <c r="A2176" s="1" t="str">
        <f>"C1orf56"</f>
        <v>C1orf56</v>
      </c>
      <c r="B2176" t="s">
        <v>14</v>
      </c>
      <c r="C2176" t="s">
        <v>19</v>
      </c>
      <c r="D2176" t="s">
        <v>17</v>
      </c>
      <c r="E2176" t="s">
        <v>12</v>
      </c>
      <c r="F2176">
        <v>151020175</v>
      </c>
      <c r="G2176">
        <v>151020239</v>
      </c>
      <c r="H2176">
        <v>151020284</v>
      </c>
      <c r="I2176">
        <v>151020329</v>
      </c>
    </row>
    <row r="2177" spans="1:9" x14ac:dyDescent="0.2">
      <c r="A2177" s="1" t="str">
        <f>"C1orf61"</f>
        <v>C1orf61</v>
      </c>
      <c r="B2177" t="s">
        <v>9</v>
      </c>
      <c r="C2177" t="s">
        <v>19</v>
      </c>
      <c r="D2177" t="s">
        <v>11</v>
      </c>
      <c r="E2177" t="s">
        <v>12</v>
      </c>
      <c r="F2177">
        <v>156399211</v>
      </c>
      <c r="G2177">
        <v>156399225</v>
      </c>
      <c r="H2177">
        <v>156399211</v>
      </c>
      <c r="I2177">
        <v>156399225</v>
      </c>
    </row>
    <row r="2178" spans="1:9" x14ac:dyDescent="0.2">
      <c r="A2178" s="1" t="str">
        <f>"C1orf61"</f>
        <v>C1orf61</v>
      </c>
      <c r="B2178" t="s">
        <v>13</v>
      </c>
      <c r="C2178" t="s">
        <v>19</v>
      </c>
      <c r="D2178" t="s">
        <v>11</v>
      </c>
      <c r="E2178" t="s">
        <v>12</v>
      </c>
      <c r="F2178">
        <v>156391550</v>
      </c>
      <c r="G2178">
        <v>156391569</v>
      </c>
      <c r="H2178">
        <v>156391550</v>
      </c>
      <c r="I2178">
        <v>156391569</v>
      </c>
    </row>
    <row r="2179" spans="1:9" x14ac:dyDescent="0.2">
      <c r="A2179" s="1" t="str">
        <f>"C1orf63"</f>
        <v>C1orf63</v>
      </c>
      <c r="B2179" t="s">
        <v>14</v>
      </c>
      <c r="C2179" t="s">
        <v>19</v>
      </c>
      <c r="D2179" t="s">
        <v>11</v>
      </c>
      <c r="E2179" t="s">
        <v>12</v>
      </c>
      <c r="F2179">
        <v>25573937</v>
      </c>
      <c r="G2179">
        <v>25573953</v>
      </c>
      <c r="H2179">
        <v>25573977</v>
      </c>
      <c r="I2179">
        <v>25573981</v>
      </c>
    </row>
    <row r="2180" spans="1:9" x14ac:dyDescent="0.2">
      <c r="A2180" s="1" t="str">
        <f>"C1orf64"</f>
        <v>C1orf64</v>
      </c>
      <c r="B2180" t="s">
        <v>14</v>
      </c>
      <c r="C2180" t="s">
        <v>19</v>
      </c>
      <c r="D2180" t="s">
        <v>17</v>
      </c>
      <c r="E2180" t="s">
        <v>12</v>
      </c>
      <c r="F2180">
        <v>16330723</v>
      </c>
      <c r="G2180">
        <v>16330738</v>
      </c>
      <c r="H2180">
        <v>16330644</v>
      </c>
      <c r="I2180">
        <v>16330649</v>
      </c>
    </row>
    <row r="2181" spans="1:9" x14ac:dyDescent="0.2">
      <c r="A2181" s="1" t="str">
        <f>"C1orf65"</f>
        <v>C1orf65</v>
      </c>
      <c r="B2181" t="s">
        <v>14</v>
      </c>
      <c r="C2181" t="s">
        <v>19</v>
      </c>
      <c r="D2181" t="s">
        <v>17</v>
      </c>
      <c r="E2181" t="s">
        <v>12</v>
      </c>
      <c r="F2181">
        <v>223566743</v>
      </c>
      <c r="G2181">
        <v>223566791</v>
      </c>
      <c r="H2181">
        <v>223566712</v>
      </c>
      <c r="I2181">
        <v>223566719</v>
      </c>
    </row>
    <row r="2182" spans="1:9" x14ac:dyDescent="0.2">
      <c r="A2182" s="1" t="str">
        <f>"C1orf68"</f>
        <v>C1orf68</v>
      </c>
      <c r="B2182" t="s">
        <v>14</v>
      </c>
      <c r="C2182" t="s">
        <v>19</v>
      </c>
      <c r="D2182" t="s">
        <v>17</v>
      </c>
      <c r="E2182" t="s">
        <v>12</v>
      </c>
      <c r="F2182">
        <v>152691067</v>
      </c>
      <c r="G2182">
        <v>152691070</v>
      </c>
      <c r="H2182">
        <v>152691067</v>
      </c>
      <c r="I2182">
        <v>152691070</v>
      </c>
    </row>
    <row r="2183" spans="1:9" x14ac:dyDescent="0.2">
      <c r="A2183" s="1" t="str">
        <f>"C1orf74"</f>
        <v>C1orf74</v>
      </c>
      <c r="B2183" t="s">
        <v>14</v>
      </c>
      <c r="C2183" t="s">
        <v>19</v>
      </c>
      <c r="D2183" t="s">
        <v>11</v>
      </c>
      <c r="E2183" t="s">
        <v>12</v>
      </c>
      <c r="F2183">
        <v>209957882</v>
      </c>
      <c r="G2183">
        <v>209957913</v>
      </c>
      <c r="H2183">
        <v>209957867</v>
      </c>
      <c r="I2183">
        <v>209957881</v>
      </c>
    </row>
    <row r="2184" spans="1:9" x14ac:dyDescent="0.2">
      <c r="A2184" s="1" t="str">
        <f>"C1orf85"</f>
        <v>C1orf85</v>
      </c>
      <c r="B2184" t="s">
        <v>9</v>
      </c>
      <c r="C2184" t="s">
        <v>19</v>
      </c>
      <c r="D2184" t="s">
        <v>11</v>
      </c>
      <c r="E2184" t="s">
        <v>12</v>
      </c>
      <c r="F2184">
        <v>156265438</v>
      </c>
      <c r="G2184">
        <v>156265485</v>
      </c>
      <c r="H2184">
        <v>156265438</v>
      </c>
      <c r="I2184">
        <v>156265485</v>
      </c>
    </row>
    <row r="2185" spans="1:9" x14ac:dyDescent="0.2">
      <c r="A2185" s="1" t="str">
        <f>"C1orf85"</f>
        <v>C1orf85</v>
      </c>
      <c r="B2185" t="s">
        <v>13</v>
      </c>
      <c r="C2185" t="s">
        <v>19</v>
      </c>
      <c r="D2185" t="s">
        <v>11</v>
      </c>
      <c r="E2185" t="s">
        <v>12</v>
      </c>
      <c r="F2185">
        <v>156261272</v>
      </c>
      <c r="G2185">
        <v>156261321</v>
      </c>
      <c r="H2185">
        <v>156261272</v>
      </c>
      <c r="I2185">
        <v>156261321</v>
      </c>
    </row>
    <row r="2186" spans="1:9" x14ac:dyDescent="0.2">
      <c r="A2186" s="1" t="str">
        <f>"C1orf86"</f>
        <v>C1orf86</v>
      </c>
      <c r="B2186" t="s">
        <v>14</v>
      </c>
      <c r="C2186" t="s">
        <v>19</v>
      </c>
      <c r="D2186" t="s">
        <v>11</v>
      </c>
      <c r="E2186" t="s">
        <v>12</v>
      </c>
      <c r="F2186">
        <v>2126192</v>
      </c>
      <c r="G2186">
        <v>2126218</v>
      </c>
      <c r="H2186">
        <v>2126174</v>
      </c>
      <c r="I2186">
        <v>2126190</v>
      </c>
    </row>
    <row r="2187" spans="1:9" x14ac:dyDescent="0.2">
      <c r="A2187" s="1" t="str">
        <f>"C1orf87"</f>
        <v>C1orf87</v>
      </c>
      <c r="B2187" t="s">
        <v>14</v>
      </c>
      <c r="C2187" t="s">
        <v>19</v>
      </c>
      <c r="D2187" t="s">
        <v>11</v>
      </c>
      <c r="E2187" t="s">
        <v>12</v>
      </c>
      <c r="F2187">
        <v>60539422</v>
      </c>
      <c r="G2187">
        <v>60539447</v>
      </c>
      <c r="H2187">
        <v>60539405</v>
      </c>
      <c r="I2187">
        <v>60539418</v>
      </c>
    </row>
    <row r="2188" spans="1:9" x14ac:dyDescent="0.2">
      <c r="A2188" s="1" t="str">
        <f>"C1orf94"</f>
        <v>C1orf94</v>
      </c>
      <c r="B2188" t="s">
        <v>9</v>
      </c>
      <c r="C2188" t="s">
        <v>19</v>
      </c>
      <c r="D2188" t="s">
        <v>17</v>
      </c>
      <c r="E2188" t="s">
        <v>12</v>
      </c>
      <c r="F2188">
        <v>34642502</v>
      </c>
      <c r="G2188">
        <v>34642544</v>
      </c>
      <c r="H2188">
        <v>34642502</v>
      </c>
      <c r="I2188">
        <v>34642544</v>
      </c>
    </row>
    <row r="2189" spans="1:9" x14ac:dyDescent="0.2">
      <c r="A2189" s="1" t="str">
        <f>"C1orf94"</f>
        <v>C1orf94</v>
      </c>
      <c r="B2189" t="s">
        <v>13</v>
      </c>
      <c r="C2189" t="s">
        <v>19</v>
      </c>
      <c r="D2189" t="s">
        <v>17</v>
      </c>
      <c r="E2189" t="s">
        <v>12</v>
      </c>
      <c r="F2189">
        <v>34632610</v>
      </c>
      <c r="G2189">
        <v>34632638</v>
      </c>
      <c r="H2189">
        <v>34632610</v>
      </c>
      <c r="I2189">
        <v>34632638</v>
      </c>
    </row>
    <row r="2190" spans="1:9" x14ac:dyDescent="0.2">
      <c r="A2190" s="1" t="str">
        <f>"C1orf95"</f>
        <v>C1orf95</v>
      </c>
      <c r="B2190" t="s">
        <v>14</v>
      </c>
      <c r="C2190" t="s">
        <v>19</v>
      </c>
      <c r="D2190" t="s">
        <v>17</v>
      </c>
      <c r="E2190" t="s">
        <v>12</v>
      </c>
      <c r="F2190">
        <v>226736446</v>
      </c>
      <c r="G2190">
        <v>226736513</v>
      </c>
      <c r="H2190">
        <v>226736523</v>
      </c>
      <c r="I2190">
        <v>226736545</v>
      </c>
    </row>
    <row r="2191" spans="1:9" x14ac:dyDescent="0.2">
      <c r="A2191" s="1" t="str">
        <f>"C2"</f>
        <v>C2</v>
      </c>
      <c r="B2191" t="s">
        <v>9</v>
      </c>
      <c r="C2191" t="s">
        <v>32</v>
      </c>
      <c r="D2191" t="s">
        <v>17</v>
      </c>
      <c r="E2191" t="s">
        <v>12</v>
      </c>
      <c r="F2191">
        <v>31895480</v>
      </c>
      <c r="G2191">
        <v>31895530</v>
      </c>
      <c r="H2191">
        <v>31895480</v>
      </c>
      <c r="I2191">
        <v>31895530</v>
      </c>
    </row>
    <row r="2192" spans="1:9" x14ac:dyDescent="0.2">
      <c r="A2192" s="1" t="str">
        <f>"C2"</f>
        <v>C2</v>
      </c>
      <c r="B2192" t="s">
        <v>13</v>
      </c>
      <c r="C2192" t="s">
        <v>32</v>
      </c>
      <c r="D2192" t="s">
        <v>17</v>
      </c>
      <c r="E2192" t="s">
        <v>12</v>
      </c>
      <c r="F2192">
        <v>31865552</v>
      </c>
      <c r="G2192">
        <v>31865575</v>
      </c>
      <c r="H2192">
        <v>31865552</v>
      </c>
      <c r="I2192">
        <v>31865575</v>
      </c>
    </row>
    <row r="2193" spans="1:9" x14ac:dyDescent="0.2">
      <c r="A2193" s="1" t="str">
        <f>"C20orf112"</f>
        <v>C20orf112</v>
      </c>
      <c r="B2193" t="s">
        <v>14</v>
      </c>
      <c r="C2193" t="s">
        <v>29</v>
      </c>
      <c r="D2193" t="s">
        <v>11</v>
      </c>
      <c r="E2193" t="s">
        <v>67</v>
      </c>
      <c r="F2193">
        <v>31172823</v>
      </c>
      <c r="G2193">
        <v>31172849</v>
      </c>
      <c r="H2193">
        <v>31172850</v>
      </c>
      <c r="I2193">
        <v>31172855</v>
      </c>
    </row>
    <row r="2194" spans="1:9" x14ac:dyDescent="0.2">
      <c r="A2194" s="1" t="str">
        <f>"C20orf141"</f>
        <v>C20orf141</v>
      </c>
      <c r="B2194" t="s">
        <v>14</v>
      </c>
      <c r="C2194" t="s">
        <v>29</v>
      </c>
      <c r="D2194" t="s">
        <v>17</v>
      </c>
      <c r="E2194" t="s">
        <v>12</v>
      </c>
      <c r="F2194">
        <v>2795626</v>
      </c>
      <c r="G2194">
        <v>2795639</v>
      </c>
      <c r="H2194">
        <v>2795609</v>
      </c>
      <c r="I2194">
        <v>2795620</v>
      </c>
    </row>
    <row r="2195" spans="1:9" x14ac:dyDescent="0.2">
      <c r="A2195" s="1" t="str">
        <f>"C20orf144"</f>
        <v>C20orf144</v>
      </c>
      <c r="B2195" t="s">
        <v>14</v>
      </c>
      <c r="C2195" t="s">
        <v>29</v>
      </c>
      <c r="D2195" t="s">
        <v>17</v>
      </c>
      <c r="E2195" t="s">
        <v>12</v>
      </c>
      <c r="F2195">
        <v>32250116</v>
      </c>
      <c r="G2195">
        <v>32250134</v>
      </c>
      <c r="H2195">
        <v>32250103</v>
      </c>
      <c r="I2195">
        <v>32250112</v>
      </c>
    </row>
    <row r="2196" spans="1:9" x14ac:dyDescent="0.2">
      <c r="A2196" s="1" t="str">
        <f>"C20orf166"</f>
        <v>C20orf166</v>
      </c>
      <c r="B2196" t="s">
        <v>14</v>
      </c>
      <c r="C2196" t="s">
        <v>29</v>
      </c>
      <c r="D2196" t="s">
        <v>17</v>
      </c>
      <c r="E2196" t="s">
        <v>12</v>
      </c>
      <c r="F2196">
        <v>61147651</v>
      </c>
      <c r="G2196">
        <v>61147666</v>
      </c>
      <c r="H2196">
        <v>61147651</v>
      </c>
      <c r="I2196">
        <v>61147666</v>
      </c>
    </row>
    <row r="2197" spans="1:9" x14ac:dyDescent="0.2">
      <c r="A2197" s="1" t="str">
        <f>"C20orf173"</f>
        <v>C20orf173</v>
      </c>
      <c r="B2197" t="s">
        <v>14</v>
      </c>
      <c r="C2197" t="s">
        <v>29</v>
      </c>
      <c r="D2197" t="s">
        <v>11</v>
      </c>
      <c r="E2197" t="s">
        <v>12</v>
      </c>
      <c r="F2197">
        <v>34117447</v>
      </c>
      <c r="G2197">
        <v>34117481</v>
      </c>
      <c r="H2197">
        <v>34117511</v>
      </c>
      <c r="I2197">
        <v>34117524</v>
      </c>
    </row>
    <row r="2198" spans="1:9" x14ac:dyDescent="0.2">
      <c r="A2198" s="1" t="str">
        <f>"C20orf194"</f>
        <v>C20orf194</v>
      </c>
      <c r="B2198" t="s">
        <v>14</v>
      </c>
      <c r="C2198" t="s">
        <v>29</v>
      </c>
      <c r="D2198" t="s">
        <v>11</v>
      </c>
      <c r="E2198" t="s">
        <v>12</v>
      </c>
      <c r="F2198">
        <v>3388238</v>
      </c>
      <c r="G2198">
        <v>3388323</v>
      </c>
      <c r="H2198">
        <v>3388541</v>
      </c>
      <c r="I2198">
        <v>3388575</v>
      </c>
    </row>
    <row r="2199" spans="1:9" x14ac:dyDescent="0.2">
      <c r="A2199" s="1" t="str">
        <f>"C20orf195"</f>
        <v>C20orf195</v>
      </c>
      <c r="B2199" t="s">
        <v>14</v>
      </c>
      <c r="C2199" t="s">
        <v>29</v>
      </c>
      <c r="D2199" t="s">
        <v>17</v>
      </c>
      <c r="E2199" t="s">
        <v>12</v>
      </c>
      <c r="F2199">
        <v>62185491</v>
      </c>
      <c r="G2199">
        <v>62185539</v>
      </c>
      <c r="H2199">
        <v>62185491</v>
      </c>
      <c r="I2199">
        <v>62185539</v>
      </c>
    </row>
    <row r="2200" spans="1:9" x14ac:dyDescent="0.2">
      <c r="A2200" s="1" t="str">
        <f>"C20orf196"</f>
        <v>C20orf196</v>
      </c>
      <c r="B2200" t="s">
        <v>14</v>
      </c>
      <c r="C2200" t="s">
        <v>29</v>
      </c>
      <c r="D2200" t="s">
        <v>17</v>
      </c>
      <c r="E2200" t="s">
        <v>12</v>
      </c>
      <c r="F2200">
        <v>5731027</v>
      </c>
      <c r="G2200">
        <v>5731055</v>
      </c>
      <c r="H2200">
        <v>5731093</v>
      </c>
      <c r="I2200">
        <v>5731100</v>
      </c>
    </row>
    <row r="2201" spans="1:9" x14ac:dyDescent="0.2">
      <c r="A2201" s="1" t="str">
        <f>"C20orf197"</f>
        <v>C20orf197</v>
      </c>
      <c r="B2201" t="s">
        <v>14</v>
      </c>
      <c r="C2201" t="s">
        <v>29</v>
      </c>
      <c r="D2201" t="s">
        <v>17</v>
      </c>
      <c r="E2201" t="s">
        <v>12</v>
      </c>
      <c r="F2201">
        <v>58630972</v>
      </c>
      <c r="G2201">
        <v>58630987</v>
      </c>
      <c r="H2201">
        <v>58630972</v>
      </c>
      <c r="I2201">
        <v>58630987</v>
      </c>
    </row>
    <row r="2202" spans="1:9" x14ac:dyDescent="0.2">
      <c r="A2202" s="1" t="str">
        <f>"C20orf201"</f>
        <v>C20orf201</v>
      </c>
      <c r="B2202" t="s">
        <v>14</v>
      </c>
      <c r="C2202" t="s">
        <v>29</v>
      </c>
      <c r="D2202" t="s">
        <v>11</v>
      </c>
      <c r="E2202" t="s">
        <v>12</v>
      </c>
      <c r="F2202">
        <v>62715506</v>
      </c>
      <c r="G2202">
        <v>62715544</v>
      </c>
      <c r="H2202">
        <v>62715424</v>
      </c>
      <c r="I2202">
        <v>62715461</v>
      </c>
    </row>
    <row r="2203" spans="1:9" x14ac:dyDescent="0.2">
      <c r="A2203" s="1" t="str">
        <f>"C20orf202"</f>
        <v>C20orf202</v>
      </c>
      <c r="B2203" t="s">
        <v>14</v>
      </c>
      <c r="C2203" t="s">
        <v>29</v>
      </c>
      <c r="D2203" t="s">
        <v>17</v>
      </c>
      <c r="E2203" t="s">
        <v>12</v>
      </c>
      <c r="F2203">
        <v>1184095</v>
      </c>
      <c r="G2203">
        <v>1184105</v>
      </c>
      <c r="H2203">
        <v>1184095</v>
      </c>
      <c r="I2203">
        <v>1184105</v>
      </c>
    </row>
    <row r="2204" spans="1:9" x14ac:dyDescent="0.2">
      <c r="A2204" s="1" t="str">
        <f>"C20orf203"</f>
        <v>C20orf203</v>
      </c>
      <c r="B2204" t="s">
        <v>14</v>
      </c>
      <c r="C2204" t="s">
        <v>29</v>
      </c>
      <c r="D2204" t="s">
        <v>11</v>
      </c>
      <c r="E2204" t="s">
        <v>12</v>
      </c>
      <c r="F2204">
        <v>31239560</v>
      </c>
      <c r="G2204">
        <v>31239567</v>
      </c>
      <c r="H2204">
        <v>31239560</v>
      </c>
      <c r="I2204">
        <v>31239567</v>
      </c>
    </row>
    <row r="2205" spans="1:9" x14ac:dyDescent="0.2">
      <c r="A2205" s="1" t="str">
        <f>"C20orf24"</f>
        <v>C20orf24</v>
      </c>
      <c r="B2205" t="s">
        <v>14</v>
      </c>
      <c r="C2205" t="s">
        <v>29</v>
      </c>
      <c r="D2205" t="s">
        <v>17</v>
      </c>
      <c r="E2205" t="s">
        <v>12</v>
      </c>
      <c r="F2205">
        <v>35234137</v>
      </c>
      <c r="G2205">
        <v>35234222</v>
      </c>
      <c r="H2205">
        <v>35234223</v>
      </c>
      <c r="I2205">
        <v>35234234</v>
      </c>
    </row>
    <row r="2206" spans="1:9" x14ac:dyDescent="0.2">
      <c r="A2206" s="1" t="str">
        <f>"C20orf26"</f>
        <v>C20orf26</v>
      </c>
      <c r="B2206" t="s">
        <v>14</v>
      </c>
      <c r="C2206" t="s">
        <v>29</v>
      </c>
      <c r="D2206" t="s">
        <v>17</v>
      </c>
      <c r="E2206" t="s">
        <v>12</v>
      </c>
      <c r="F2206">
        <v>20033161</v>
      </c>
      <c r="G2206">
        <v>20033219</v>
      </c>
      <c r="H2206">
        <v>20033161</v>
      </c>
      <c r="I2206">
        <v>20033219</v>
      </c>
    </row>
    <row r="2207" spans="1:9" x14ac:dyDescent="0.2">
      <c r="A2207" s="1" t="str">
        <f>"C20orf27"</f>
        <v>C20orf27</v>
      </c>
      <c r="B2207" t="s">
        <v>14</v>
      </c>
      <c r="C2207" t="s">
        <v>29</v>
      </c>
      <c r="D2207" t="s">
        <v>11</v>
      </c>
      <c r="E2207" t="s">
        <v>12</v>
      </c>
      <c r="F2207">
        <v>3748363</v>
      </c>
      <c r="G2207">
        <v>3748408</v>
      </c>
      <c r="H2207">
        <v>3748416</v>
      </c>
      <c r="I2207">
        <v>3748427</v>
      </c>
    </row>
    <row r="2208" spans="1:9" x14ac:dyDescent="0.2">
      <c r="A2208" s="1" t="str">
        <f>"C20orf78"</f>
        <v>C20orf78</v>
      </c>
      <c r="B2208" t="s">
        <v>14</v>
      </c>
      <c r="C2208" t="s">
        <v>29</v>
      </c>
      <c r="D2208" t="s">
        <v>11</v>
      </c>
      <c r="E2208" t="s">
        <v>67</v>
      </c>
      <c r="F2208">
        <v>18810805</v>
      </c>
      <c r="G2208">
        <v>18810853</v>
      </c>
      <c r="H2208">
        <v>18810805</v>
      </c>
      <c r="I2208">
        <v>18810853</v>
      </c>
    </row>
    <row r="2209" spans="1:9" x14ac:dyDescent="0.2">
      <c r="A2209" s="1" t="str">
        <f>"C20orf85"</f>
        <v>C20orf85</v>
      </c>
      <c r="B2209" t="s">
        <v>14</v>
      </c>
      <c r="C2209" t="s">
        <v>29</v>
      </c>
      <c r="D2209" t="s">
        <v>17</v>
      </c>
      <c r="E2209" t="s">
        <v>12</v>
      </c>
      <c r="F2209">
        <v>56725952</v>
      </c>
      <c r="G2209">
        <v>56725994</v>
      </c>
      <c r="H2209">
        <v>56725995</v>
      </c>
      <c r="I2209">
        <v>56726011</v>
      </c>
    </row>
    <row r="2210" spans="1:9" x14ac:dyDescent="0.2">
      <c r="A2210" s="1" t="str">
        <f>"C20orf96"</f>
        <v>C20orf96</v>
      </c>
      <c r="B2210" t="s">
        <v>14</v>
      </c>
      <c r="C2210" t="s">
        <v>29</v>
      </c>
      <c r="D2210" t="s">
        <v>11</v>
      </c>
      <c r="E2210" t="s">
        <v>12</v>
      </c>
      <c r="F2210">
        <v>271009</v>
      </c>
      <c r="G2210">
        <v>271088</v>
      </c>
      <c r="H2210">
        <v>271347</v>
      </c>
      <c r="I2210">
        <v>271422</v>
      </c>
    </row>
    <row r="2211" spans="1:9" x14ac:dyDescent="0.2">
      <c r="A2211" s="1" t="str">
        <f>"C21orf2"</f>
        <v>C21orf2</v>
      </c>
      <c r="B2211" t="s">
        <v>14</v>
      </c>
      <c r="C2211" t="s">
        <v>42</v>
      </c>
      <c r="D2211" t="s">
        <v>11</v>
      </c>
      <c r="E2211" t="s">
        <v>12</v>
      </c>
      <c r="F2211">
        <v>45759250</v>
      </c>
      <c r="G2211">
        <v>45759299</v>
      </c>
      <c r="H2211">
        <v>45759126</v>
      </c>
      <c r="I2211">
        <v>45759186</v>
      </c>
    </row>
    <row r="2212" spans="1:9" x14ac:dyDescent="0.2">
      <c r="A2212" s="1" t="str">
        <f>"C21orf33"</f>
        <v>C21orf33</v>
      </c>
      <c r="B2212" t="s">
        <v>14</v>
      </c>
      <c r="C2212" t="s">
        <v>42</v>
      </c>
      <c r="D2212" t="s">
        <v>17</v>
      </c>
      <c r="E2212" t="s">
        <v>12</v>
      </c>
      <c r="F2212">
        <v>45553535</v>
      </c>
      <c r="G2212">
        <v>45553579</v>
      </c>
      <c r="H2212">
        <v>45553484</v>
      </c>
      <c r="I2212">
        <v>45553529</v>
      </c>
    </row>
    <row r="2213" spans="1:9" x14ac:dyDescent="0.2">
      <c r="A2213" s="1" t="str">
        <f>"C21orf58"</f>
        <v>C21orf58</v>
      </c>
      <c r="B2213" t="s">
        <v>9</v>
      </c>
      <c r="C2213" t="s">
        <v>42</v>
      </c>
      <c r="D2213" t="s">
        <v>11</v>
      </c>
      <c r="E2213" t="s">
        <v>12</v>
      </c>
      <c r="F2213">
        <v>47743719</v>
      </c>
      <c r="G2213">
        <v>47743792</v>
      </c>
      <c r="H2213">
        <v>47743719</v>
      </c>
      <c r="I2213">
        <v>47743792</v>
      </c>
    </row>
    <row r="2214" spans="1:9" x14ac:dyDescent="0.2">
      <c r="A2214" s="1" t="str">
        <f>"C21orf58"</f>
        <v>C21orf58</v>
      </c>
      <c r="B2214" t="s">
        <v>13</v>
      </c>
      <c r="C2214" t="s">
        <v>42</v>
      </c>
      <c r="D2214" t="s">
        <v>11</v>
      </c>
      <c r="E2214" t="s">
        <v>12</v>
      </c>
      <c r="F2214">
        <v>47738057</v>
      </c>
      <c r="G2214">
        <v>47738076</v>
      </c>
      <c r="H2214">
        <v>47738057</v>
      </c>
      <c r="I2214">
        <v>47738076</v>
      </c>
    </row>
    <row r="2215" spans="1:9" x14ac:dyDescent="0.2">
      <c r="A2215" s="1" t="str">
        <f>"C21orf59"</f>
        <v>C21orf59</v>
      </c>
      <c r="B2215" t="s">
        <v>14</v>
      </c>
      <c r="C2215" t="s">
        <v>42</v>
      </c>
      <c r="D2215" t="s">
        <v>11</v>
      </c>
      <c r="E2215" t="s">
        <v>12</v>
      </c>
      <c r="F2215">
        <v>33984650</v>
      </c>
      <c r="G2215">
        <v>33984726</v>
      </c>
      <c r="H2215">
        <v>33984888</v>
      </c>
      <c r="I2215">
        <v>33984903</v>
      </c>
    </row>
    <row r="2216" spans="1:9" x14ac:dyDescent="0.2">
      <c r="A2216" s="1" t="str">
        <f>"C21orf62"</f>
        <v>C21orf62</v>
      </c>
      <c r="B2216" t="s">
        <v>14</v>
      </c>
      <c r="C2216" t="s">
        <v>42</v>
      </c>
      <c r="D2216" t="s">
        <v>11</v>
      </c>
      <c r="E2216" t="s">
        <v>12</v>
      </c>
      <c r="F2216">
        <v>34185989</v>
      </c>
      <c r="G2216">
        <v>34186003</v>
      </c>
      <c r="H2216">
        <v>34186006</v>
      </c>
      <c r="I2216">
        <v>34186019</v>
      </c>
    </row>
    <row r="2217" spans="1:9" x14ac:dyDescent="0.2">
      <c r="A2217" s="1" t="str">
        <f>"C21orf91"</f>
        <v>C21orf91</v>
      </c>
      <c r="B2217" t="s">
        <v>14</v>
      </c>
      <c r="C2217" t="s">
        <v>42</v>
      </c>
      <c r="D2217" t="s">
        <v>11</v>
      </c>
      <c r="E2217" t="s">
        <v>12</v>
      </c>
      <c r="F2217">
        <v>19191661</v>
      </c>
      <c r="G2217">
        <v>19191681</v>
      </c>
      <c r="H2217">
        <v>19191685</v>
      </c>
      <c r="I2217">
        <v>19191696</v>
      </c>
    </row>
    <row r="2218" spans="1:9" x14ac:dyDescent="0.2">
      <c r="A2218" s="1" t="str">
        <f>"C22orf15"</f>
        <v>C22orf15</v>
      </c>
      <c r="B2218" t="s">
        <v>14</v>
      </c>
      <c r="C2218" t="s">
        <v>21</v>
      </c>
      <c r="D2218" t="s">
        <v>17</v>
      </c>
      <c r="E2218" t="s">
        <v>12</v>
      </c>
      <c r="F2218">
        <v>24105174</v>
      </c>
      <c r="G2218">
        <v>24105211</v>
      </c>
      <c r="H2218">
        <v>24105241</v>
      </c>
      <c r="I2218">
        <v>24105252</v>
      </c>
    </row>
    <row r="2219" spans="1:9" x14ac:dyDescent="0.2">
      <c r="A2219" s="1" t="str">
        <f>"C22orf23"</f>
        <v>C22orf23</v>
      </c>
      <c r="B2219" t="s">
        <v>14</v>
      </c>
      <c r="C2219" t="s">
        <v>21</v>
      </c>
      <c r="D2219" t="s">
        <v>11</v>
      </c>
      <c r="E2219" t="s">
        <v>12</v>
      </c>
      <c r="F2219">
        <v>38349553</v>
      </c>
      <c r="G2219">
        <v>38349633</v>
      </c>
      <c r="H2219">
        <v>38349162</v>
      </c>
      <c r="I2219">
        <v>38349178</v>
      </c>
    </row>
    <row r="2220" spans="1:9" x14ac:dyDescent="0.2">
      <c r="A2220" s="1" t="str">
        <f>"C22orf24"</f>
        <v>C22orf24</v>
      </c>
      <c r="B2220" t="s">
        <v>14</v>
      </c>
      <c r="C2220" t="s">
        <v>21</v>
      </c>
      <c r="D2220" t="s">
        <v>11</v>
      </c>
      <c r="E2220" t="s">
        <v>12</v>
      </c>
      <c r="F2220">
        <v>32341335</v>
      </c>
      <c r="G2220">
        <v>32341356</v>
      </c>
      <c r="H2220">
        <v>32341531</v>
      </c>
      <c r="I2220">
        <v>32341573</v>
      </c>
    </row>
    <row r="2221" spans="1:9" x14ac:dyDescent="0.2">
      <c r="A2221" s="1" t="str">
        <f>"C22orf26"</f>
        <v>C22orf26</v>
      </c>
      <c r="B2221" t="s">
        <v>14</v>
      </c>
      <c r="C2221" t="s">
        <v>21</v>
      </c>
      <c r="D2221" t="s">
        <v>11</v>
      </c>
      <c r="E2221" t="s">
        <v>12</v>
      </c>
      <c r="F2221">
        <v>46450073</v>
      </c>
      <c r="G2221">
        <v>46450110</v>
      </c>
      <c r="H2221">
        <v>46450046</v>
      </c>
      <c r="I2221">
        <v>46450067</v>
      </c>
    </row>
    <row r="2222" spans="1:9" x14ac:dyDescent="0.2">
      <c r="A2222" s="1" t="str">
        <f>"C22orf29"</f>
        <v>C22orf29</v>
      </c>
      <c r="B2222" t="s">
        <v>14</v>
      </c>
      <c r="C2222" t="s">
        <v>21</v>
      </c>
      <c r="D2222" t="s">
        <v>11</v>
      </c>
      <c r="E2222" t="s">
        <v>12</v>
      </c>
      <c r="F2222">
        <v>19842385</v>
      </c>
      <c r="G2222">
        <v>19842424</v>
      </c>
      <c r="H2222">
        <v>19842330</v>
      </c>
      <c r="I2222">
        <v>19842384</v>
      </c>
    </row>
    <row r="2223" spans="1:9" x14ac:dyDescent="0.2">
      <c r="A2223" s="1" t="str">
        <f>"C22orf31"</f>
        <v>C22orf31</v>
      </c>
      <c r="B2223" t="s">
        <v>14</v>
      </c>
      <c r="C2223" t="s">
        <v>21</v>
      </c>
      <c r="D2223" t="s">
        <v>11</v>
      </c>
      <c r="E2223" t="s">
        <v>12</v>
      </c>
      <c r="F2223">
        <v>29457935</v>
      </c>
      <c r="G2223">
        <v>29457957</v>
      </c>
      <c r="H2223">
        <v>29457923</v>
      </c>
      <c r="I2223">
        <v>29457927</v>
      </c>
    </row>
    <row r="2224" spans="1:9" x14ac:dyDescent="0.2">
      <c r="A2224" s="1" t="str">
        <f>"C22orf39"</f>
        <v>C22orf39</v>
      </c>
      <c r="B2224" t="s">
        <v>14</v>
      </c>
      <c r="C2224" t="s">
        <v>21</v>
      </c>
      <c r="D2224" t="s">
        <v>11</v>
      </c>
      <c r="E2224" t="s">
        <v>12</v>
      </c>
      <c r="F2224">
        <v>19435209</v>
      </c>
      <c r="G2224">
        <v>19435247</v>
      </c>
      <c r="H2224">
        <v>19435769</v>
      </c>
      <c r="I2224">
        <v>19435775</v>
      </c>
    </row>
    <row r="2225" spans="1:9" x14ac:dyDescent="0.2">
      <c r="A2225" s="1" t="str">
        <f>"C22orf42"</f>
        <v>C22orf42</v>
      </c>
      <c r="B2225" t="s">
        <v>14</v>
      </c>
      <c r="C2225" t="s">
        <v>21</v>
      </c>
      <c r="D2225" t="s">
        <v>11</v>
      </c>
      <c r="E2225" t="s">
        <v>12</v>
      </c>
      <c r="F2225">
        <v>32555284</v>
      </c>
      <c r="G2225">
        <v>32555296</v>
      </c>
      <c r="H2225">
        <v>32555284</v>
      </c>
      <c r="I2225">
        <v>32555296</v>
      </c>
    </row>
    <row r="2226" spans="1:9" x14ac:dyDescent="0.2">
      <c r="A2226" s="1" t="str">
        <f>"C22orf43"</f>
        <v>C22orf43</v>
      </c>
      <c r="B2226" t="s">
        <v>14</v>
      </c>
      <c r="C2226" t="s">
        <v>21</v>
      </c>
      <c r="D2226" t="s">
        <v>11</v>
      </c>
      <c r="E2226" t="s">
        <v>12</v>
      </c>
      <c r="F2226">
        <v>23974506</v>
      </c>
      <c r="G2226">
        <v>23974508</v>
      </c>
      <c r="H2226">
        <v>23974536</v>
      </c>
      <c r="I2226">
        <v>23974559</v>
      </c>
    </row>
    <row r="2227" spans="1:9" x14ac:dyDescent="0.2">
      <c r="A2227" s="1" t="str">
        <f>"C22orf46"</f>
        <v>C22orf46</v>
      </c>
      <c r="B2227" t="s">
        <v>14</v>
      </c>
      <c r="C2227" t="s">
        <v>21</v>
      </c>
      <c r="D2227" t="s">
        <v>17</v>
      </c>
      <c r="E2227" t="s">
        <v>12</v>
      </c>
      <c r="F2227">
        <v>42084935</v>
      </c>
      <c r="G2227">
        <v>42085000</v>
      </c>
      <c r="H2227">
        <v>42084935</v>
      </c>
      <c r="I2227">
        <v>42085000</v>
      </c>
    </row>
    <row r="2228" spans="1:9" x14ac:dyDescent="0.2">
      <c r="A2228" s="1" t="str">
        <f>"C2CD2"</f>
        <v>C2CD2</v>
      </c>
      <c r="B2228" t="s">
        <v>14</v>
      </c>
      <c r="C2228" t="s">
        <v>42</v>
      </c>
      <c r="D2228" t="s">
        <v>11</v>
      </c>
      <c r="E2228" t="s">
        <v>12</v>
      </c>
      <c r="F2228">
        <v>43374021</v>
      </c>
      <c r="G2228">
        <v>43374075</v>
      </c>
      <c r="H2228">
        <v>43374110</v>
      </c>
      <c r="I2228">
        <v>43374133</v>
      </c>
    </row>
    <row r="2229" spans="1:9" x14ac:dyDescent="0.2">
      <c r="A2229" s="1" t="str">
        <f>"C2CD2L"</f>
        <v>C2CD2L</v>
      </c>
      <c r="B2229" t="s">
        <v>9</v>
      </c>
      <c r="C2229" t="s">
        <v>27</v>
      </c>
      <c r="D2229" t="s">
        <v>17</v>
      </c>
      <c r="E2229" t="s">
        <v>12</v>
      </c>
      <c r="F2229">
        <v>118978045</v>
      </c>
      <c r="G2229">
        <v>118978139</v>
      </c>
      <c r="H2229">
        <v>118978045</v>
      </c>
      <c r="I2229">
        <v>118978139</v>
      </c>
    </row>
    <row r="2230" spans="1:9" x14ac:dyDescent="0.2">
      <c r="A2230" s="1" t="str">
        <f>"C2CD2L"</f>
        <v>C2CD2L</v>
      </c>
      <c r="B2230" t="s">
        <v>13</v>
      </c>
      <c r="C2230" t="s">
        <v>27</v>
      </c>
      <c r="D2230" t="s">
        <v>17</v>
      </c>
      <c r="E2230" t="s">
        <v>12</v>
      </c>
      <c r="F2230">
        <v>118972953</v>
      </c>
      <c r="G2230">
        <v>118972969</v>
      </c>
      <c r="H2230">
        <v>118972953</v>
      </c>
      <c r="I2230">
        <v>118972969</v>
      </c>
    </row>
    <row r="2231" spans="1:9" x14ac:dyDescent="0.2">
      <c r="A2231" s="1" t="str">
        <f>"C2CD3"</f>
        <v>C2CD3</v>
      </c>
      <c r="B2231" t="s">
        <v>14</v>
      </c>
      <c r="C2231" t="s">
        <v>27</v>
      </c>
      <c r="D2231" t="s">
        <v>11</v>
      </c>
      <c r="E2231" t="s">
        <v>12</v>
      </c>
      <c r="F2231">
        <v>73882030</v>
      </c>
      <c r="G2231">
        <v>73882051</v>
      </c>
      <c r="H2231">
        <v>73881916</v>
      </c>
      <c r="I2231">
        <v>73881938</v>
      </c>
    </row>
    <row r="2232" spans="1:9" x14ac:dyDescent="0.2">
      <c r="A2232" s="1" t="str">
        <f>"C2CD4A"</f>
        <v>C2CD4A</v>
      </c>
      <c r="B2232" t="s">
        <v>14</v>
      </c>
      <c r="C2232" t="s">
        <v>25</v>
      </c>
      <c r="D2232" t="s">
        <v>17</v>
      </c>
      <c r="E2232" t="s">
        <v>12</v>
      </c>
      <c r="F2232">
        <v>62359175</v>
      </c>
      <c r="G2232">
        <v>62359179</v>
      </c>
      <c r="H2232">
        <v>62359175</v>
      </c>
      <c r="I2232">
        <v>62359179</v>
      </c>
    </row>
    <row r="2233" spans="1:9" x14ac:dyDescent="0.2">
      <c r="A2233" s="1" t="str">
        <f>"C2CD4B"</f>
        <v>C2CD4B</v>
      </c>
      <c r="B2233" t="s">
        <v>14</v>
      </c>
      <c r="C2233" t="s">
        <v>25</v>
      </c>
      <c r="D2233" t="s">
        <v>11</v>
      </c>
      <c r="E2233" t="s">
        <v>12</v>
      </c>
      <c r="F2233">
        <v>62457480</v>
      </c>
      <c r="G2233">
        <v>62457485</v>
      </c>
      <c r="H2233">
        <v>62457249</v>
      </c>
      <c r="I2233">
        <v>62457272</v>
      </c>
    </row>
    <row r="2234" spans="1:9" x14ac:dyDescent="0.2">
      <c r="A2234" s="1" t="str">
        <f>"C2CD4C"</f>
        <v>C2CD4C</v>
      </c>
      <c r="B2234" t="s">
        <v>14</v>
      </c>
      <c r="C2234" t="s">
        <v>10</v>
      </c>
      <c r="D2234" t="s">
        <v>11</v>
      </c>
      <c r="E2234" t="s">
        <v>12</v>
      </c>
      <c r="F2234">
        <v>409134</v>
      </c>
      <c r="G2234">
        <v>409156</v>
      </c>
      <c r="H2234">
        <v>409197</v>
      </c>
      <c r="I2234">
        <v>409214</v>
      </c>
    </row>
    <row r="2235" spans="1:9" x14ac:dyDescent="0.2">
      <c r="A2235" s="1" t="str">
        <f>"C2CD4D"</f>
        <v>C2CD4D</v>
      </c>
      <c r="B2235" t="s">
        <v>14</v>
      </c>
      <c r="C2235" t="s">
        <v>19</v>
      </c>
      <c r="D2235" t="s">
        <v>11</v>
      </c>
      <c r="E2235" t="s">
        <v>12</v>
      </c>
      <c r="F2235">
        <v>151811308</v>
      </c>
      <c r="G2235">
        <v>151811319</v>
      </c>
      <c r="H2235">
        <v>151811308</v>
      </c>
      <c r="I2235">
        <v>151811319</v>
      </c>
    </row>
    <row r="2236" spans="1:9" x14ac:dyDescent="0.2">
      <c r="A2236" s="1" t="str">
        <f>"C2CD5"</f>
        <v>C2CD5</v>
      </c>
      <c r="B2236" t="s">
        <v>14</v>
      </c>
      <c r="C2236" t="s">
        <v>16</v>
      </c>
      <c r="D2236" t="s">
        <v>11</v>
      </c>
      <c r="E2236" t="s">
        <v>12</v>
      </c>
      <c r="F2236">
        <v>22697108</v>
      </c>
      <c r="G2236">
        <v>22697172</v>
      </c>
      <c r="H2236">
        <v>22697390</v>
      </c>
      <c r="I2236">
        <v>22697500</v>
      </c>
    </row>
    <row r="2237" spans="1:9" x14ac:dyDescent="0.2">
      <c r="A2237" s="1" t="str">
        <f>"C2orf15"</f>
        <v>C2orf15</v>
      </c>
      <c r="B2237" t="s">
        <v>14</v>
      </c>
      <c r="C2237" t="s">
        <v>26</v>
      </c>
      <c r="D2237" t="s">
        <v>17</v>
      </c>
      <c r="E2237" t="s">
        <v>67</v>
      </c>
      <c r="F2237">
        <v>99797636</v>
      </c>
      <c r="G2237">
        <v>99797686</v>
      </c>
      <c r="H2237">
        <v>99797636</v>
      </c>
      <c r="I2237">
        <v>99797686</v>
      </c>
    </row>
    <row r="2238" spans="1:9" x14ac:dyDescent="0.2">
      <c r="A2238" s="1" t="str">
        <f>"C2orf16"</f>
        <v>C2orf16</v>
      </c>
      <c r="B2238" t="s">
        <v>158</v>
      </c>
      <c r="C2238" t="s">
        <v>26</v>
      </c>
      <c r="D2238" t="s">
        <v>17</v>
      </c>
      <c r="E2238" t="s">
        <v>20</v>
      </c>
      <c r="F2238">
        <v>27799388</v>
      </c>
      <c r="G2238">
        <v>27799388</v>
      </c>
      <c r="H2238">
        <v>27799388</v>
      </c>
      <c r="I2238">
        <v>27799388</v>
      </c>
    </row>
    <row r="2239" spans="1:9" x14ac:dyDescent="0.2">
      <c r="A2239" s="1" t="str">
        <f>"C2orf27A"</f>
        <v>C2orf27A</v>
      </c>
      <c r="B2239" t="s">
        <v>159</v>
      </c>
      <c r="C2239" t="s">
        <v>26</v>
      </c>
      <c r="D2239" t="s">
        <v>17</v>
      </c>
      <c r="E2239" t="s">
        <v>20</v>
      </c>
      <c r="F2239">
        <v>132479947</v>
      </c>
      <c r="G2239">
        <v>132479947</v>
      </c>
      <c r="H2239">
        <v>132479947</v>
      </c>
      <c r="I2239">
        <v>132479947</v>
      </c>
    </row>
    <row r="2240" spans="1:9" x14ac:dyDescent="0.2">
      <c r="A2240" s="1" t="str">
        <f>"C2orf27B"</f>
        <v>C2orf27B</v>
      </c>
      <c r="B2240" t="s">
        <v>160</v>
      </c>
      <c r="C2240" t="s">
        <v>26</v>
      </c>
      <c r="D2240" t="s">
        <v>11</v>
      </c>
      <c r="E2240" t="s">
        <v>20</v>
      </c>
      <c r="F2240">
        <v>132559233</v>
      </c>
      <c r="G2240">
        <v>132559233</v>
      </c>
      <c r="H2240">
        <v>132559233</v>
      </c>
      <c r="I2240">
        <v>132559233</v>
      </c>
    </row>
    <row r="2241" spans="1:9" x14ac:dyDescent="0.2">
      <c r="A2241" s="1" t="str">
        <f>"C2orf40"</f>
        <v>C2orf40</v>
      </c>
      <c r="B2241" t="s">
        <v>14</v>
      </c>
      <c r="C2241" t="s">
        <v>26</v>
      </c>
      <c r="D2241" t="s">
        <v>17</v>
      </c>
      <c r="E2241" t="s">
        <v>12</v>
      </c>
      <c r="F2241">
        <v>106682135</v>
      </c>
      <c r="G2241">
        <v>106682170</v>
      </c>
      <c r="H2241">
        <v>106682103</v>
      </c>
      <c r="I2241">
        <v>106682127</v>
      </c>
    </row>
    <row r="2242" spans="1:9" x14ac:dyDescent="0.2">
      <c r="A2242" s="1" t="str">
        <f>"C2orf42"</f>
        <v>C2orf42</v>
      </c>
      <c r="B2242" t="s">
        <v>161</v>
      </c>
      <c r="C2242" t="s">
        <v>26</v>
      </c>
      <c r="D2242" t="s">
        <v>11</v>
      </c>
      <c r="E2242" t="s">
        <v>35</v>
      </c>
      <c r="F2242">
        <v>70418118</v>
      </c>
      <c r="G2242">
        <v>70418177</v>
      </c>
      <c r="H2242">
        <v>70417999</v>
      </c>
      <c r="I2242">
        <v>70418004</v>
      </c>
    </row>
    <row r="2243" spans="1:9" x14ac:dyDescent="0.2">
      <c r="A2243" s="1" t="str">
        <f>"C2orf42"</f>
        <v>C2orf42</v>
      </c>
      <c r="B2243" t="s">
        <v>162</v>
      </c>
      <c r="C2243" t="s">
        <v>26</v>
      </c>
      <c r="D2243" t="s">
        <v>11</v>
      </c>
      <c r="E2243" t="s">
        <v>20</v>
      </c>
      <c r="F2243">
        <v>70409126</v>
      </c>
      <c r="G2243">
        <v>70409126</v>
      </c>
      <c r="H2243">
        <v>70409126</v>
      </c>
      <c r="I2243">
        <v>70409126</v>
      </c>
    </row>
    <row r="2244" spans="1:9" x14ac:dyDescent="0.2">
      <c r="A2244" s="1" t="str">
        <f>"C2orf43"</f>
        <v>C2orf43</v>
      </c>
      <c r="B2244" t="s">
        <v>14</v>
      </c>
      <c r="C2244" t="s">
        <v>26</v>
      </c>
      <c r="D2244" t="s">
        <v>11</v>
      </c>
      <c r="E2244" t="s">
        <v>12</v>
      </c>
      <c r="F2244">
        <v>21022818</v>
      </c>
      <c r="G2244">
        <v>21022879</v>
      </c>
      <c r="H2244">
        <v>21022810</v>
      </c>
      <c r="I2244">
        <v>21022817</v>
      </c>
    </row>
    <row r="2245" spans="1:9" x14ac:dyDescent="0.2">
      <c r="A2245" s="1" t="str">
        <f>"C2orf44"</f>
        <v>C2orf44</v>
      </c>
      <c r="B2245" t="s">
        <v>14</v>
      </c>
      <c r="C2245" t="s">
        <v>26</v>
      </c>
      <c r="D2245" t="s">
        <v>11</v>
      </c>
      <c r="E2245" t="s">
        <v>12</v>
      </c>
      <c r="F2245">
        <v>24270245</v>
      </c>
      <c r="G2245">
        <v>24270277</v>
      </c>
      <c r="H2245">
        <v>24270217</v>
      </c>
      <c r="I2245">
        <v>24270232</v>
      </c>
    </row>
    <row r="2246" spans="1:9" x14ac:dyDescent="0.2">
      <c r="A2246" s="1" t="str">
        <f>"C2orf47"</f>
        <v>C2orf47</v>
      </c>
      <c r="B2246" t="s">
        <v>14</v>
      </c>
      <c r="C2246" t="s">
        <v>26</v>
      </c>
      <c r="D2246" t="s">
        <v>17</v>
      </c>
      <c r="E2246" t="s">
        <v>12</v>
      </c>
      <c r="F2246">
        <v>200820494</v>
      </c>
      <c r="G2246">
        <v>200820550</v>
      </c>
      <c r="H2246">
        <v>200820269</v>
      </c>
      <c r="I2246">
        <v>200820317</v>
      </c>
    </row>
    <row r="2247" spans="1:9" x14ac:dyDescent="0.2">
      <c r="A2247" s="1" t="str">
        <f>"C2orf48"</f>
        <v>C2orf48</v>
      </c>
      <c r="B2247" t="s">
        <v>14</v>
      </c>
      <c r="C2247" t="s">
        <v>26</v>
      </c>
      <c r="D2247" t="s">
        <v>17</v>
      </c>
      <c r="E2247" t="s">
        <v>12</v>
      </c>
      <c r="F2247">
        <v>10282030</v>
      </c>
      <c r="G2247">
        <v>10282031</v>
      </c>
      <c r="H2247">
        <v>10282030</v>
      </c>
      <c r="I2247">
        <v>10282031</v>
      </c>
    </row>
    <row r="2248" spans="1:9" x14ac:dyDescent="0.2">
      <c r="A2248" s="1" t="str">
        <f>"C2orf49"</f>
        <v>C2orf49</v>
      </c>
      <c r="B2248" t="s">
        <v>14</v>
      </c>
      <c r="C2248" t="s">
        <v>26</v>
      </c>
      <c r="D2248" t="s">
        <v>17</v>
      </c>
      <c r="E2248" t="s">
        <v>12</v>
      </c>
      <c r="F2248">
        <v>105953972</v>
      </c>
      <c r="G2248">
        <v>105954043</v>
      </c>
      <c r="H2248">
        <v>105953788</v>
      </c>
      <c r="I2248">
        <v>105953819</v>
      </c>
    </row>
    <row r="2249" spans="1:9" x14ac:dyDescent="0.2">
      <c r="A2249" s="1" t="str">
        <f>"C2orf50"</f>
        <v>C2orf50</v>
      </c>
      <c r="B2249" t="s">
        <v>14</v>
      </c>
      <c r="C2249" t="s">
        <v>26</v>
      </c>
      <c r="D2249" t="s">
        <v>17</v>
      </c>
      <c r="E2249" t="s">
        <v>12</v>
      </c>
      <c r="F2249">
        <v>11273174</v>
      </c>
      <c r="G2249">
        <v>11273226</v>
      </c>
      <c r="H2249">
        <v>11273246</v>
      </c>
      <c r="I2249">
        <v>11273261</v>
      </c>
    </row>
    <row r="2250" spans="1:9" x14ac:dyDescent="0.2">
      <c r="A2250" s="1" t="str">
        <f>"C2orf53"</f>
        <v>C2orf53</v>
      </c>
      <c r="B2250" t="s">
        <v>14</v>
      </c>
      <c r="C2250" t="s">
        <v>26</v>
      </c>
      <c r="D2250" t="s">
        <v>11</v>
      </c>
      <c r="E2250" t="s">
        <v>12</v>
      </c>
      <c r="F2250">
        <v>27362263</v>
      </c>
      <c r="G2250">
        <v>27362283</v>
      </c>
      <c r="H2250">
        <v>27362289</v>
      </c>
      <c r="I2250">
        <v>27362305</v>
      </c>
    </row>
    <row r="2251" spans="1:9" x14ac:dyDescent="0.2">
      <c r="A2251" s="1" t="str">
        <f>"C2orf54"</f>
        <v>C2orf54</v>
      </c>
      <c r="B2251" t="s">
        <v>14</v>
      </c>
      <c r="C2251" t="s">
        <v>26</v>
      </c>
      <c r="D2251" t="s">
        <v>11</v>
      </c>
      <c r="E2251" t="s">
        <v>12</v>
      </c>
      <c r="F2251">
        <v>241835561</v>
      </c>
      <c r="G2251">
        <v>241835575</v>
      </c>
      <c r="H2251">
        <v>241836244</v>
      </c>
      <c r="I2251">
        <v>241836276</v>
      </c>
    </row>
    <row r="2252" spans="1:9" x14ac:dyDescent="0.2">
      <c r="A2252" s="1" t="str">
        <f>"C2orf57"</f>
        <v>C2orf57</v>
      </c>
      <c r="B2252" t="s">
        <v>14</v>
      </c>
      <c r="C2252" t="s">
        <v>26</v>
      </c>
      <c r="D2252" t="s">
        <v>17</v>
      </c>
      <c r="E2252" t="s">
        <v>12</v>
      </c>
      <c r="F2252">
        <v>232457569</v>
      </c>
      <c r="G2252">
        <v>232457598</v>
      </c>
      <c r="H2252">
        <v>232457550</v>
      </c>
      <c r="I2252">
        <v>232457559</v>
      </c>
    </row>
    <row r="2253" spans="1:9" x14ac:dyDescent="0.2">
      <c r="A2253" s="1" t="str">
        <f>"C2orf61"</f>
        <v>C2orf61</v>
      </c>
      <c r="B2253" t="s">
        <v>9</v>
      </c>
      <c r="C2253" t="s">
        <v>26</v>
      </c>
      <c r="D2253" t="s">
        <v>11</v>
      </c>
      <c r="E2253" t="s">
        <v>12</v>
      </c>
      <c r="F2253">
        <v>47404070</v>
      </c>
      <c r="G2253">
        <v>47404077</v>
      </c>
      <c r="H2253">
        <v>47404070</v>
      </c>
      <c r="I2253">
        <v>47404077</v>
      </c>
    </row>
    <row r="2254" spans="1:9" x14ac:dyDescent="0.2">
      <c r="A2254" s="1" t="str">
        <f>"C2orf61"</f>
        <v>C2orf61</v>
      </c>
      <c r="B2254" t="s">
        <v>13</v>
      </c>
      <c r="C2254" t="s">
        <v>26</v>
      </c>
      <c r="D2254" t="s">
        <v>11</v>
      </c>
      <c r="E2254" t="s">
        <v>12</v>
      </c>
      <c r="F2254">
        <v>47382414</v>
      </c>
      <c r="G2254">
        <v>47382431</v>
      </c>
      <c r="H2254">
        <v>47382414</v>
      </c>
      <c r="I2254">
        <v>47382431</v>
      </c>
    </row>
    <row r="2255" spans="1:9" x14ac:dyDescent="0.2">
      <c r="A2255" s="1" t="str">
        <f>"C2orf62"</f>
        <v>C2orf62</v>
      </c>
      <c r="B2255" t="s">
        <v>14</v>
      </c>
      <c r="C2255" t="s">
        <v>26</v>
      </c>
      <c r="D2255" t="s">
        <v>17</v>
      </c>
      <c r="E2255" t="s">
        <v>12</v>
      </c>
      <c r="F2255">
        <v>219221573</v>
      </c>
      <c r="G2255">
        <v>219221610</v>
      </c>
      <c r="H2255">
        <v>219221560</v>
      </c>
      <c r="I2255">
        <v>219221570</v>
      </c>
    </row>
    <row r="2256" spans="1:9" x14ac:dyDescent="0.2">
      <c r="A2256" s="1" t="str">
        <f>"C2orf66"</f>
        <v>C2orf66</v>
      </c>
      <c r="B2256" t="s">
        <v>14</v>
      </c>
      <c r="C2256" t="s">
        <v>26</v>
      </c>
      <c r="D2256" t="s">
        <v>11</v>
      </c>
      <c r="E2256" t="s">
        <v>12</v>
      </c>
      <c r="F2256">
        <v>197674508</v>
      </c>
      <c r="G2256">
        <v>197674512</v>
      </c>
      <c r="H2256">
        <v>197674508</v>
      </c>
      <c r="I2256">
        <v>197674512</v>
      </c>
    </row>
    <row r="2257" spans="1:9" x14ac:dyDescent="0.2">
      <c r="A2257" s="1" t="str">
        <f>"C2orf68"</f>
        <v>C2orf68</v>
      </c>
      <c r="B2257" t="s">
        <v>14</v>
      </c>
      <c r="C2257" t="s">
        <v>26</v>
      </c>
      <c r="D2257" t="s">
        <v>11</v>
      </c>
      <c r="E2257" t="s">
        <v>12</v>
      </c>
      <c r="F2257">
        <v>85839146</v>
      </c>
      <c r="G2257">
        <v>85839198</v>
      </c>
      <c r="H2257">
        <v>85839146</v>
      </c>
      <c r="I2257">
        <v>85839198</v>
      </c>
    </row>
    <row r="2258" spans="1:9" x14ac:dyDescent="0.2">
      <c r="A2258" s="1" t="str">
        <f>"C2orf69"</f>
        <v>C2orf69</v>
      </c>
      <c r="B2258" t="s">
        <v>14</v>
      </c>
      <c r="C2258" t="s">
        <v>26</v>
      </c>
      <c r="D2258" t="s">
        <v>17</v>
      </c>
      <c r="E2258" t="s">
        <v>12</v>
      </c>
      <c r="F2258">
        <v>200776009</v>
      </c>
      <c r="G2258">
        <v>200776089</v>
      </c>
      <c r="H2258">
        <v>200776090</v>
      </c>
      <c r="I2258">
        <v>200776106</v>
      </c>
    </row>
    <row r="2259" spans="1:9" x14ac:dyDescent="0.2">
      <c r="A2259" s="1" t="str">
        <f>"C2orf70"</f>
        <v>C2orf70</v>
      </c>
      <c r="B2259" t="s">
        <v>14</v>
      </c>
      <c r="C2259" t="s">
        <v>26</v>
      </c>
      <c r="D2259" t="s">
        <v>17</v>
      </c>
      <c r="E2259" t="s">
        <v>12</v>
      </c>
      <c r="F2259">
        <v>26785409</v>
      </c>
      <c r="G2259">
        <v>26785477</v>
      </c>
      <c r="H2259">
        <v>26785340</v>
      </c>
      <c r="I2259">
        <v>26785365</v>
      </c>
    </row>
    <row r="2260" spans="1:9" x14ac:dyDescent="0.2">
      <c r="A2260" s="1" t="str">
        <f>"C2orf71"</f>
        <v>C2orf71</v>
      </c>
      <c r="B2260" t="s">
        <v>14</v>
      </c>
      <c r="C2260" t="s">
        <v>26</v>
      </c>
      <c r="D2260" t="s">
        <v>11</v>
      </c>
      <c r="E2260" t="s">
        <v>12</v>
      </c>
      <c r="F2260">
        <v>29297381</v>
      </c>
      <c r="G2260">
        <v>29297394</v>
      </c>
      <c r="H2260">
        <v>29297381</v>
      </c>
      <c r="I2260">
        <v>29297394</v>
      </c>
    </row>
    <row r="2261" spans="1:9" x14ac:dyDescent="0.2">
      <c r="A2261" s="1" t="str">
        <f>"C2orf72"</f>
        <v>C2orf72</v>
      </c>
      <c r="B2261" t="s">
        <v>14</v>
      </c>
      <c r="C2261" t="s">
        <v>26</v>
      </c>
      <c r="D2261" t="s">
        <v>17</v>
      </c>
      <c r="E2261" t="s">
        <v>12</v>
      </c>
      <c r="F2261">
        <v>231902216</v>
      </c>
      <c r="G2261">
        <v>231902283</v>
      </c>
      <c r="H2261">
        <v>231902193</v>
      </c>
      <c r="I2261">
        <v>231902214</v>
      </c>
    </row>
    <row r="2262" spans="1:9" x14ac:dyDescent="0.2">
      <c r="A2262" s="1" t="str">
        <f>"C2orf73"</f>
        <v>C2orf73</v>
      </c>
      <c r="B2262" t="s">
        <v>14</v>
      </c>
      <c r="C2262" t="s">
        <v>26</v>
      </c>
      <c r="D2262" t="s">
        <v>17</v>
      </c>
      <c r="E2262" t="s">
        <v>12</v>
      </c>
      <c r="F2262">
        <v>54558004</v>
      </c>
      <c r="G2262">
        <v>54558084</v>
      </c>
      <c r="H2262">
        <v>54557989</v>
      </c>
      <c r="I2262">
        <v>54557995</v>
      </c>
    </row>
    <row r="2263" spans="1:9" x14ac:dyDescent="0.2">
      <c r="A2263" s="1" t="str">
        <f>"C2orf74"</f>
        <v>C2orf74</v>
      </c>
      <c r="B2263" t="s">
        <v>14</v>
      </c>
      <c r="C2263" t="s">
        <v>26</v>
      </c>
      <c r="D2263" t="s">
        <v>17</v>
      </c>
      <c r="E2263" t="s">
        <v>12</v>
      </c>
      <c r="F2263">
        <v>61372226</v>
      </c>
      <c r="G2263">
        <v>61372273</v>
      </c>
      <c r="H2263">
        <v>61372226</v>
      </c>
      <c r="I2263">
        <v>61372273</v>
      </c>
    </row>
    <row r="2264" spans="1:9" x14ac:dyDescent="0.2">
      <c r="A2264" s="1" t="str">
        <f>"C2orf76"</f>
        <v>C2orf76</v>
      </c>
      <c r="B2264" t="s">
        <v>14</v>
      </c>
      <c r="C2264" t="s">
        <v>26</v>
      </c>
      <c r="D2264" t="s">
        <v>11</v>
      </c>
      <c r="E2264" t="s">
        <v>12</v>
      </c>
      <c r="F2264">
        <v>120124383</v>
      </c>
      <c r="G2264">
        <v>120124423</v>
      </c>
      <c r="H2264">
        <v>120124297</v>
      </c>
      <c r="I2264">
        <v>120124361</v>
      </c>
    </row>
    <row r="2265" spans="1:9" x14ac:dyDescent="0.2">
      <c r="A2265" s="1" t="str">
        <f>"C2orf78"</f>
        <v>C2orf78</v>
      </c>
      <c r="B2265" t="s">
        <v>163</v>
      </c>
      <c r="C2265" t="s">
        <v>26</v>
      </c>
      <c r="D2265" t="s">
        <v>17</v>
      </c>
      <c r="E2265" t="s">
        <v>20</v>
      </c>
      <c r="F2265">
        <v>74011315</v>
      </c>
      <c r="G2265">
        <v>74011315</v>
      </c>
      <c r="H2265">
        <v>74011315</v>
      </c>
      <c r="I2265">
        <v>74011315</v>
      </c>
    </row>
    <row r="2266" spans="1:9" x14ac:dyDescent="0.2">
      <c r="A2266" s="1" t="str">
        <f>"C2orf80"</f>
        <v>C2orf80</v>
      </c>
      <c r="B2266" t="s">
        <v>14</v>
      </c>
      <c r="C2266" t="s">
        <v>26</v>
      </c>
      <c r="D2266" t="s">
        <v>11</v>
      </c>
      <c r="E2266" t="s">
        <v>12</v>
      </c>
      <c r="F2266">
        <v>209051727</v>
      </c>
      <c r="G2266">
        <v>209051762</v>
      </c>
      <c r="H2266">
        <v>209051766</v>
      </c>
      <c r="I2266">
        <v>209051785</v>
      </c>
    </row>
    <row r="2267" spans="1:9" x14ac:dyDescent="0.2">
      <c r="A2267" s="1" t="str">
        <f>"C2orf81"</f>
        <v>C2orf81</v>
      </c>
      <c r="B2267" t="s">
        <v>9</v>
      </c>
      <c r="C2267" t="s">
        <v>26</v>
      </c>
      <c r="D2267" t="s">
        <v>11</v>
      </c>
      <c r="E2267" t="s">
        <v>12</v>
      </c>
      <c r="F2267">
        <v>74645745</v>
      </c>
      <c r="G2267">
        <v>74645765</v>
      </c>
      <c r="H2267">
        <v>74645745</v>
      </c>
      <c r="I2267">
        <v>74645765</v>
      </c>
    </row>
    <row r="2268" spans="1:9" x14ac:dyDescent="0.2">
      <c r="A2268" s="1" t="str">
        <f>"C2orf81"</f>
        <v>C2orf81</v>
      </c>
      <c r="B2268" t="s">
        <v>13</v>
      </c>
      <c r="C2268" t="s">
        <v>26</v>
      </c>
      <c r="D2268" t="s">
        <v>11</v>
      </c>
      <c r="E2268" t="s">
        <v>12</v>
      </c>
      <c r="F2268">
        <v>74648702</v>
      </c>
      <c r="G2268">
        <v>74648782</v>
      </c>
      <c r="H2268">
        <v>74648702</v>
      </c>
      <c r="I2268">
        <v>74648782</v>
      </c>
    </row>
    <row r="2269" spans="1:9" x14ac:dyDescent="0.2">
      <c r="A2269" s="1" t="str">
        <f>"C2orf82"</f>
        <v>C2orf82</v>
      </c>
      <c r="B2269" t="s">
        <v>9</v>
      </c>
      <c r="C2269" t="s">
        <v>26</v>
      </c>
      <c r="D2269" t="s">
        <v>17</v>
      </c>
      <c r="E2269" t="s">
        <v>12</v>
      </c>
      <c r="F2269">
        <v>233740519</v>
      </c>
      <c r="G2269">
        <v>233740548</v>
      </c>
      <c r="H2269">
        <v>233740519</v>
      </c>
      <c r="I2269">
        <v>233740548</v>
      </c>
    </row>
    <row r="2270" spans="1:9" x14ac:dyDescent="0.2">
      <c r="A2270" s="1" t="str">
        <f>"C2orf82"</f>
        <v>C2orf82</v>
      </c>
      <c r="B2270" t="s">
        <v>13</v>
      </c>
      <c r="C2270" t="s">
        <v>26</v>
      </c>
      <c r="D2270" t="s">
        <v>17</v>
      </c>
      <c r="E2270" t="s">
        <v>12</v>
      </c>
      <c r="F2270">
        <v>233734968</v>
      </c>
      <c r="G2270">
        <v>233734987</v>
      </c>
      <c r="H2270">
        <v>233734968</v>
      </c>
      <c r="I2270">
        <v>233734987</v>
      </c>
    </row>
    <row r="2271" spans="1:9" x14ac:dyDescent="0.2">
      <c r="A2271" s="1" t="str">
        <f>"C2orf83"</f>
        <v>C2orf83</v>
      </c>
      <c r="B2271" t="s">
        <v>14</v>
      </c>
      <c r="C2271" t="s">
        <v>26</v>
      </c>
      <c r="D2271" t="s">
        <v>11</v>
      </c>
      <c r="E2271" t="s">
        <v>12</v>
      </c>
      <c r="F2271">
        <v>228497809</v>
      </c>
      <c r="G2271">
        <v>228497853</v>
      </c>
      <c r="H2271">
        <v>228497923</v>
      </c>
      <c r="I2271">
        <v>228497945</v>
      </c>
    </row>
    <row r="2272" spans="1:9" x14ac:dyDescent="0.2">
      <c r="A2272" s="1" t="str">
        <f>"C2orf88"</f>
        <v>C2orf88</v>
      </c>
      <c r="B2272" t="s">
        <v>14</v>
      </c>
      <c r="C2272" t="s">
        <v>26</v>
      </c>
      <c r="D2272" t="s">
        <v>17</v>
      </c>
      <c r="E2272" t="s">
        <v>12</v>
      </c>
      <c r="F2272">
        <v>191045562</v>
      </c>
      <c r="G2272">
        <v>191045606</v>
      </c>
      <c r="H2272">
        <v>191045736</v>
      </c>
      <c r="I2272">
        <v>191045777</v>
      </c>
    </row>
    <row r="2273" spans="1:9" x14ac:dyDescent="0.2">
      <c r="A2273" s="1" t="str">
        <f>"C2orf91"</f>
        <v>C2orf91</v>
      </c>
      <c r="B2273" t="s">
        <v>14</v>
      </c>
      <c r="C2273" t="s">
        <v>26</v>
      </c>
      <c r="D2273" t="s">
        <v>11</v>
      </c>
      <c r="E2273" t="s">
        <v>67</v>
      </c>
      <c r="F2273">
        <v>42180940</v>
      </c>
      <c r="G2273">
        <v>42180951</v>
      </c>
      <c r="H2273">
        <v>42180980</v>
      </c>
      <c r="I2273">
        <v>42180987</v>
      </c>
    </row>
    <row r="2274" spans="1:9" x14ac:dyDescent="0.2">
      <c r="A2274" s="1" t="str">
        <f>"C3"</f>
        <v>C3</v>
      </c>
      <c r="B2274" t="s">
        <v>14</v>
      </c>
      <c r="C2274" t="s">
        <v>10</v>
      </c>
      <c r="D2274" t="s">
        <v>11</v>
      </c>
      <c r="E2274" t="s">
        <v>12</v>
      </c>
      <c r="F2274">
        <v>6720653</v>
      </c>
      <c r="G2274">
        <v>6720670</v>
      </c>
      <c r="H2274">
        <v>6720686</v>
      </c>
      <c r="I2274">
        <v>6720694</v>
      </c>
    </row>
    <row r="2275" spans="1:9" x14ac:dyDescent="0.2">
      <c r="A2275" s="1" t="str">
        <f>"C3AR1"</f>
        <v>C3AR1</v>
      </c>
      <c r="B2275" t="s">
        <v>14</v>
      </c>
      <c r="C2275" t="s">
        <v>16</v>
      </c>
      <c r="D2275" t="s">
        <v>11</v>
      </c>
      <c r="E2275" t="s">
        <v>12</v>
      </c>
      <c r="F2275">
        <v>8218926</v>
      </c>
      <c r="G2275">
        <v>8218980</v>
      </c>
      <c r="H2275">
        <v>8218926</v>
      </c>
      <c r="I2275">
        <v>8218980</v>
      </c>
    </row>
    <row r="2276" spans="1:9" x14ac:dyDescent="0.2">
      <c r="A2276" s="1" t="str">
        <f>"C3orf14"</f>
        <v>C3orf14</v>
      </c>
      <c r="B2276" t="s">
        <v>14</v>
      </c>
      <c r="C2276" t="s">
        <v>22</v>
      </c>
      <c r="D2276" t="s">
        <v>17</v>
      </c>
      <c r="E2276" t="s">
        <v>12</v>
      </c>
      <c r="F2276">
        <v>62304658</v>
      </c>
      <c r="G2276">
        <v>62304707</v>
      </c>
      <c r="H2276">
        <v>62304712</v>
      </c>
      <c r="I2276">
        <v>62304732</v>
      </c>
    </row>
    <row r="2277" spans="1:9" x14ac:dyDescent="0.2">
      <c r="A2277" s="1" t="str">
        <f>"C3orf17"</f>
        <v>C3orf17</v>
      </c>
      <c r="B2277" t="s">
        <v>14</v>
      </c>
      <c r="C2277" t="s">
        <v>22</v>
      </c>
      <c r="D2277" t="s">
        <v>11</v>
      </c>
      <c r="E2277" t="s">
        <v>12</v>
      </c>
      <c r="F2277">
        <v>112738490</v>
      </c>
      <c r="G2277">
        <v>112738533</v>
      </c>
      <c r="H2277">
        <v>112738534</v>
      </c>
      <c r="I2277">
        <v>112738541</v>
      </c>
    </row>
    <row r="2278" spans="1:9" x14ac:dyDescent="0.2">
      <c r="A2278" s="1" t="str">
        <f>"C3orf18"</f>
        <v>C3orf18</v>
      </c>
      <c r="B2278" t="s">
        <v>14</v>
      </c>
      <c r="C2278" t="s">
        <v>22</v>
      </c>
      <c r="D2278" t="s">
        <v>11</v>
      </c>
      <c r="E2278" t="s">
        <v>12</v>
      </c>
      <c r="F2278">
        <v>50605077</v>
      </c>
      <c r="G2278">
        <v>50605140</v>
      </c>
      <c r="H2278">
        <v>50605150</v>
      </c>
      <c r="I2278">
        <v>50605212</v>
      </c>
    </row>
    <row r="2279" spans="1:9" x14ac:dyDescent="0.2">
      <c r="A2279" s="1" t="str">
        <f>"C3orf20"</f>
        <v>C3orf20</v>
      </c>
      <c r="B2279" t="s">
        <v>164</v>
      </c>
      <c r="C2279" t="s">
        <v>22</v>
      </c>
      <c r="D2279" t="s">
        <v>17</v>
      </c>
      <c r="E2279" t="s">
        <v>35</v>
      </c>
      <c r="F2279">
        <v>14716625</v>
      </c>
      <c r="G2279">
        <v>14716628</v>
      </c>
      <c r="H2279">
        <v>14716634</v>
      </c>
      <c r="I2279">
        <v>14716653</v>
      </c>
    </row>
    <row r="2280" spans="1:9" x14ac:dyDescent="0.2">
      <c r="A2280" s="1" t="str">
        <f>"C3orf22"</f>
        <v>C3orf22</v>
      </c>
      <c r="B2280" t="s">
        <v>14</v>
      </c>
      <c r="C2280" t="s">
        <v>22</v>
      </c>
      <c r="D2280" t="s">
        <v>11</v>
      </c>
      <c r="E2280" t="s">
        <v>12</v>
      </c>
      <c r="F2280">
        <v>126277769</v>
      </c>
      <c r="G2280">
        <v>126277780</v>
      </c>
      <c r="H2280">
        <v>126277761</v>
      </c>
      <c r="I2280">
        <v>126277766</v>
      </c>
    </row>
    <row r="2281" spans="1:9" x14ac:dyDescent="0.2">
      <c r="A2281" s="1" t="str">
        <f>"C3orf27"</f>
        <v>C3orf27</v>
      </c>
      <c r="B2281" t="s">
        <v>165</v>
      </c>
      <c r="C2281" t="s">
        <v>22</v>
      </c>
      <c r="D2281" t="s">
        <v>11</v>
      </c>
      <c r="E2281" t="s">
        <v>20</v>
      </c>
      <c r="F2281">
        <v>128294928</v>
      </c>
      <c r="G2281">
        <v>128294928</v>
      </c>
      <c r="H2281">
        <v>128294928</v>
      </c>
      <c r="I2281">
        <v>128294928</v>
      </c>
    </row>
    <row r="2282" spans="1:9" x14ac:dyDescent="0.2">
      <c r="A2282" s="1" t="str">
        <f>"C3orf30"</f>
        <v>C3orf30</v>
      </c>
      <c r="B2282" t="s">
        <v>14</v>
      </c>
      <c r="C2282" t="s">
        <v>22</v>
      </c>
      <c r="D2282" t="s">
        <v>17</v>
      </c>
      <c r="E2282" t="s">
        <v>12</v>
      </c>
      <c r="F2282">
        <v>118865006</v>
      </c>
      <c r="G2282">
        <v>118865025</v>
      </c>
      <c r="H2282">
        <v>118864991</v>
      </c>
      <c r="I2282">
        <v>118865005</v>
      </c>
    </row>
    <row r="2283" spans="1:9" x14ac:dyDescent="0.2">
      <c r="A2283" s="1" t="str">
        <f>"C3orf33"</f>
        <v>C3orf33</v>
      </c>
      <c r="B2283" t="s">
        <v>14</v>
      </c>
      <c r="C2283" t="s">
        <v>22</v>
      </c>
      <c r="D2283" t="s">
        <v>11</v>
      </c>
      <c r="E2283" t="s">
        <v>12</v>
      </c>
      <c r="F2283">
        <v>155524049</v>
      </c>
      <c r="G2283">
        <v>155524086</v>
      </c>
      <c r="H2283">
        <v>155524236</v>
      </c>
      <c r="I2283">
        <v>155524284</v>
      </c>
    </row>
    <row r="2284" spans="1:9" x14ac:dyDescent="0.2">
      <c r="A2284" s="1" t="str">
        <f>"C3orf35"</f>
        <v>C3orf35</v>
      </c>
      <c r="B2284" t="s">
        <v>166</v>
      </c>
      <c r="C2284" t="s">
        <v>22</v>
      </c>
      <c r="D2284" t="s">
        <v>17</v>
      </c>
      <c r="E2284" t="s">
        <v>20</v>
      </c>
      <c r="F2284">
        <v>37440652</v>
      </c>
      <c r="G2284">
        <v>37440652</v>
      </c>
      <c r="H2284">
        <v>37440652</v>
      </c>
      <c r="I2284">
        <v>37440652</v>
      </c>
    </row>
    <row r="2285" spans="1:9" x14ac:dyDescent="0.2">
      <c r="A2285" s="1" t="str">
        <f>"C3orf35"</f>
        <v>C3orf35</v>
      </c>
      <c r="B2285" t="s">
        <v>167</v>
      </c>
      <c r="C2285" t="s">
        <v>22</v>
      </c>
      <c r="D2285" t="s">
        <v>17</v>
      </c>
      <c r="E2285" t="s">
        <v>20</v>
      </c>
      <c r="F2285">
        <v>37452699</v>
      </c>
      <c r="G2285">
        <v>37452699</v>
      </c>
      <c r="H2285">
        <v>37452699</v>
      </c>
      <c r="I2285">
        <v>37452699</v>
      </c>
    </row>
    <row r="2286" spans="1:9" x14ac:dyDescent="0.2">
      <c r="A2286" s="1" t="str">
        <f>"C3orf35"</f>
        <v>C3orf35</v>
      </c>
      <c r="B2286" t="s">
        <v>168</v>
      </c>
      <c r="C2286" t="s">
        <v>22</v>
      </c>
      <c r="D2286" t="s">
        <v>17</v>
      </c>
      <c r="E2286" t="s">
        <v>20</v>
      </c>
      <c r="F2286">
        <v>37427759</v>
      </c>
      <c r="G2286">
        <v>37427759</v>
      </c>
      <c r="H2286">
        <v>37427759</v>
      </c>
      <c r="I2286">
        <v>37427759</v>
      </c>
    </row>
    <row r="2287" spans="1:9" x14ac:dyDescent="0.2">
      <c r="A2287" s="1" t="str">
        <f>"C3orf35"</f>
        <v>C3orf35</v>
      </c>
      <c r="B2287" t="s">
        <v>169</v>
      </c>
      <c r="C2287" t="s">
        <v>22</v>
      </c>
      <c r="D2287" t="s">
        <v>17</v>
      </c>
      <c r="E2287" t="s">
        <v>20</v>
      </c>
      <c r="F2287">
        <v>37441061</v>
      </c>
      <c r="G2287">
        <v>37441061</v>
      </c>
      <c r="H2287">
        <v>37441061</v>
      </c>
      <c r="I2287">
        <v>37441061</v>
      </c>
    </row>
    <row r="2288" spans="1:9" x14ac:dyDescent="0.2">
      <c r="A2288" s="1" t="str">
        <f>"C3orf36"</f>
        <v>C3orf36</v>
      </c>
      <c r="B2288" t="s">
        <v>170</v>
      </c>
      <c r="C2288" t="s">
        <v>22</v>
      </c>
      <c r="D2288" t="s">
        <v>11</v>
      </c>
      <c r="E2288" t="s">
        <v>20</v>
      </c>
      <c r="F2288">
        <v>133648655</v>
      </c>
      <c r="G2288">
        <v>133648655</v>
      </c>
      <c r="H2288">
        <v>133648655</v>
      </c>
      <c r="I2288">
        <v>133648655</v>
      </c>
    </row>
    <row r="2289" spans="1:9" x14ac:dyDescent="0.2">
      <c r="A2289" s="1" t="str">
        <f>"C3orf38"</f>
        <v>C3orf38</v>
      </c>
      <c r="B2289" t="s">
        <v>14</v>
      </c>
      <c r="C2289" t="s">
        <v>22</v>
      </c>
      <c r="D2289" t="s">
        <v>17</v>
      </c>
      <c r="E2289" t="s">
        <v>12</v>
      </c>
      <c r="F2289">
        <v>88199099</v>
      </c>
      <c r="G2289">
        <v>88199154</v>
      </c>
      <c r="H2289">
        <v>88198838</v>
      </c>
      <c r="I2289">
        <v>88198925</v>
      </c>
    </row>
    <row r="2290" spans="1:9" x14ac:dyDescent="0.2">
      <c r="A2290" s="1" t="str">
        <f>"C3orf52"</f>
        <v>C3orf52</v>
      </c>
      <c r="B2290" t="s">
        <v>14</v>
      </c>
      <c r="C2290" t="s">
        <v>22</v>
      </c>
      <c r="D2290" t="s">
        <v>17</v>
      </c>
      <c r="E2290" t="s">
        <v>12</v>
      </c>
      <c r="F2290">
        <v>111805212</v>
      </c>
      <c r="G2290">
        <v>111805258</v>
      </c>
      <c r="H2290">
        <v>111805262</v>
      </c>
      <c r="I2290">
        <v>111805289</v>
      </c>
    </row>
    <row r="2291" spans="1:9" x14ac:dyDescent="0.2">
      <c r="A2291" s="1" t="str">
        <f>"C3orf55"</f>
        <v>C3orf55</v>
      </c>
      <c r="B2291" t="s">
        <v>14</v>
      </c>
      <c r="C2291" t="s">
        <v>22</v>
      </c>
      <c r="D2291" t="s">
        <v>17</v>
      </c>
      <c r="E2291" t="s">
        <v>12</v>
      </c>
      <c r="F2291">
        <v>157261116</v>
      </c>
      <c r="G2291">
        <v>157261205</v>
      </c>
      <c r="H2291">
        <v>157261093</v>
      </c>
      <c r="I2291">
        <v>157261106</v>
      </c>
    </row>
    <row r="2292" spans="1:9" x14ac:dyDescent="0.2">
      <c r="A2292" s="1" t="str">
        <f>"C3orf56"</f>
        <v>C3orf56</v>
      </c>
      <c r="B2292" t="s">
        <v>14</v>
      </c>
      <c r="C2292" t="s">
        <v>22</v>
      </c>
      <c r="D2292" t="s">
        <v>17</v>
      </c>
      <c r="E2292" t="s">
        <v>12</v>
      </c>
      <c r="F2292">
        <v>126911950</v>
      </c>
      <c r="G2292">
        <v>126911954</v>
      </c>
      <c r="H2292">
        <v>126911914</v>
      </c>
      <c r="I2292">
        <v>126911917</v>
      </c>
    </row>
    <row r="2293" spans="1:9" x14ac:dyDescent="0.2">
      <c r="A2293" s="1" t="str">
        <f>"C3orf58"</f>
        <v>C3orf58</v>
      </c>
      <c r="B2293" t="s">
        <v>14</v>
      </c>
      <c r="C2293" t="s">
        <v>22</v>
      </c>
      <c r="D2293" t="s">
        <v>17</v>
      </c>
      <c r="E2293" t="s">
        <v>12</v>
      </c>
      <c r="F2293">
        <v>143690657</v>
      </c>
      <c r="G2293">
        <v>143690675</v>
      </c>
      <c r="H2293">
        <v>143690657</v>
      </c>
      <c r="I2293">
        <v>143690675</v>
      </c>
    </row>
    <row r="2294" spans="1:9" x14ac:dyDescent="0.2">
      <c r="A2294" s="1" t="str">
        <f>"C3orf62"</f>
        <v>C3orf62</v>
      </c>
      <c r="B2294" t="s">
        <v>14</v>
      </c>
      <c r="C2294" t="s">
        <v>22</v>
      </c>
      <c r="D2294" t="s">
        <v>11</v>
      </c>
      <c r="E2294" t="s">
        <v>12</v>
      </c>
      <c r="F2294">
        <v>49314622</v>
      </c>
      <c r="G2294">
        <v>49314638</v>
      </c>
      <c r="H2294">
        <v>49314640</v>
      </c>
      <c r="I2294">
        <v>49314658</v>
      </c>
    </row>
    <row r="2295" spans="1:9" x14ac:dyDescent="0.2">
      <c r="A2295" s="1" t="str">
        <f>"C3orf67"</f>
        <v>C3orf67</v>
      </c>
      <c r="B2295" t="s">
        <v>14</v>
      </c>
      <c r="C2295" t="s">
        <v>22</v>
      </c>
      <c r="D2295" t="s">
        <v>11</v>
      </c>
      <c r="E2295" t="s">
        <v>12</v>
      </c>
      <c r="F2295">
        <v>59035673</v>
      </c>
      <c r="G2295">
        <v>59035787</v>
      </c>
      <c r="H2295">
        <v>59035622</v>
      </c>
      <c r="I2295">
        <v>59035657</v>
      </c>
    </row>
    <row r="2296" spans="1:9" x14ac:dyDescent="0.2">
      <c r="A2296" s="1" t="str">
        <f>"C3orf70"</f>
        <v>C3orf70</v>
      </c>
      <c r="B2296" t="s">
        <v>14</v>
      </c>
      <c r="C2296" t="s">
        <v>22</v>
      </c>
      <c r="D2296" t="s">
        <v>11</v>
      </c>
      <c r="E2296" t="s">
        <v>12</v>
      </c>
      <c r="F2296">
        <v>184870751</v>
      </c>
      <c r="G2296">
        <v>184870872</v>
      </c>
      <c r="H2296">
        <v>184870642</v>
      </c>
      <c r="I2296">
        <v>184870706</v>
      </c>
    </row>
    <row r="2297" spans="1:9" x14ac:dyDescent="0.2">
      <c r="A2297" s="1" t="str">
        <f>"C3orf72"</f>
        <v>C3orf72</v>
      </c>
      <c r="B2297" t="s">
        <v>14</v>
      </c>
      <c r="C2297" t="s">
        <v>22</v>
      </c>
      <c r="D2297" t="s">
        <v>17</v>
      </c>
      <c r="E2297" t="s">
        <v>12</v>
      </c>
      <c r="F2297">
        <v>138666070</v>
      </c>
      <c r="G2297">
        <v>138666100</v>
      </c>
      <c r="H2297">
        <v>138666052</v>
      </c>
      <c r="I2297">
        <v>138666066</v>
      </c>
    </row>
    <row r="2298" spans="1:9" x14ac:dyDescent="0.2">
      <c r="A2298" s="1" t="str">
        <f>"C3orf79"</f>
        <v>C3orf79</v>
      </c>
      <c r="B2298" t="s">
        <v>171</v>
      </c>
      <c r="C2298" t="s">
        <v>22</v>
      </c>
      <c r="D2298" t="s">
        <v>17</v>
      </c>
      <c r="E2298" t="s">
        <v>20</v>
      </c>
      <c r="F2298">
        <v>153202283</v>
      </c>
      <c r="G2298">
        <v>153202283</v>
      </c>
      <c r="H2298">
        <v>153202283</v>
      </c>
      <c r="I2298">
        <v>153202283</v>
      </c>
    </row>
    <row r="2299" spans="1:9" x14ac:dyDescent="0.2">
      <c r="A2299" s="1" t="str">
        <f>"C3orf80"</f>
        <v>C3orf80</v>
      </c>
      <c r="B2299" t="s">
        <v>14</v>
      </c>
      <c r="C2299" t="s">
        <v>22</v>
      </c>
      <c r="D2299" t="s">
        <v>17</v>
      </c>
      <c r="E2299" t="s">
        <v>12</v>
      </c>
      <c r="F2299">
        <v>159943565</v>
      </c>
      <c r="G2299">
        <v>159943671</v>
      </c>
      <c r="H2299">
        <v>159943362</v>
      </c>
      <c r="I2299">
        <v>159943412</v>
      </c>
    </row>
    <row r="2300" spans="1:9" x14ac:dyDescent="0.2">
      <c r="A2300" s="1" t="str">
        <f>"C3orf83"</f>
        <v>C3orf83</v>
      </c>
      <c r="B2300" t="s">
        <v>14</v>
      </c>
      <c r="C2300" t="s">
        <v>22</v>
      </c>
      <c r="D2300" t="s">
        <v>11</v>
      </c>
      <c r="E2300" t="s">
        <v>67</v>
      </c>
      <c r="F2300">
        <v>12586981</v>
      </c>
      <c r="G2300">
        <v>12587002</v>
      </c>
      <c r="H2300">
        <v>12587017</v>
      </c>
      <c r="I2300">
        <v>12587026</v>
      </c>
    </row>
    <row r="2301" spans="1:9" x14ac:dyDescent="0.2">
      <c r="A2301" s="1" t="str">
        <f>"C3orf84"</f>
        <v>C3orf84</v>
      </c>
      <c r="B2301" t="s">
        <v>14</v>
      </c>
      <c r="C2301" t="s">
        <v>22</v>
      </c>
      <c r="D2301" t="s">
        <v>11</v>
      </c>
      <c r="E2301" t="s">
        <v>67</v>
      </c>
      <c r="F2301">
        <v>49229253</v>
      </c>
      <c r="G2301">
        <v>49229268</v>
      </c>
      <c r="H2301">
        <v>49229271</v>
      </c>
      <c r="I2301">
        <v>49229280</v>
      </c>
    </row>
    <row r="2302" spans="1:9" x14ac:dyDescent="0.2">
      <c r="A2302" s="1" t="str">
        <f>"C4A"</f>
        <v>C4A</v>
      </c>
      <c r="B2302" t="s">
        <v>172</v>
      </c>
      <c r="C2302" t="s">
        <v>32</v>
      </c>
      <c r="D2302" t="s">
        <v>17</v>
      </c>
      <c r="E2302" t="s">
        <v>20</v>
      </c>
      <c r="F2302">
        <v>31949800</v>
      </c>
      <c r="G2302">
        <v>31949800</v>
      </c>
      <c r="H2302">
        <v>31949800</v>
      </c>
      <c r="I2302">
        <v>31949800</v>
      </c>
    </row>
    <row r="2303" spans="1:9" x14ac:dyDescent="0.2">
      <c r="A2303" s="1" t="str">
        <f>"C4B"</f>
        <v>C4B</v>
      </c>
      <c r="B2303" t="s">
        <v>173</v>
      </c>
      <c r="C2303" t="s">
        <v>32</v>
      </c>
      <c r="D2303" t="s">
        <v>17</v>
      </c>
      <c r="E2303" t="s">
        <v>20</v>
      </c>
      <c r="F2303">
        <v>31982538</v>
      </c>
      <c r="G2303">
        <v>31982538</v>
      </c>
      <c r="H2303">
        <v>31982538</v>
      </c>
      <c r="I2303">
        <v>31982538</v>
      </c>
    </row>
    <row r="2304" spans="1:9" x14ac:dyDescent="0.2">
      <c r="A2304" s="1" t="str">
        <f>"C4BPA"</f>
        <v>C4BPA</v>
      </c>
      <c r="B2304" t="s">
        <v>14</v>
      </c>
      <c r="C2304" t="s">
        <v>19</v>
      </c>
      <c r="D2304" t="s">
        <v>17</v>
      </c>
      <c r="E2304" t="s">
        <v>12</v>
      </c>
      <c r="F2304">
        <v>207277632</v>
      </c>
      <c r="G2304">
        <v>207277676</v>
      </c>
      <c r="H2304">
        <v>207277701</v>
      </c>
      <c r="I2304">
        <v>207277733</v>
      </c>
    </row>
    <row r="2305" spans="1:9" x14ac:dyDescent="0.2">
      <c r="A2305" s="1" t="str">
        <f>"C4BPB"</f>
        <v>C4BPB</v>
      </c>
      <c r="B2305" t="s">
        <v>14</v>
      </c>
      <c r="C2305" t="s">
        <v>19</v>
      </c>
      <c r="D2305" t="s">
        <v>17</v>
      </c>
      <c r="E2305" t="s">
        <v>12</v>
      </c>
      <c r="F2305">
        <v>207262170</v>
      </c>
      <c r="G2305">
        <v>207262212</v>
      </c>
      <c r="H2305">
        <v>207262232</v>
      </c>
      <c r="I2305">
        <v>207262254</v>
      </c>
    </row>
    <row r="2306" spans="1:9" x14ac:dyDescent="0.2">
      <c r="A2306" s="1" t="str">
        <f>"C4orf17"</f>
        <v>C4orf17</v>
      </c>
      <c r="B2306" t="s">
        <v>14</v>
      </c>
      <c r="C2306" t="s">
        <v>23</v>
      </c>
      <c r="D2306" t="s">
        <v>17</v>
      </c>
      <c r="E2306" t="s">
        <v>12</v>
      </c>
      <c r="F2306">
        <v>100432164</v>
      </c>
      <c r="G2306">
        <v>100432188</v>
      </c>
      <c r="H2306">
        <v>100432213</v>
      </c>
      <c r="I2306">
        <v>100432222</v>
      </c>
    </row>
    <row r="2307" spans="1:9" x14ac:dyDescent="0.2">
      <c r="A2307" s="1" t="str">
        <f>"C4orf19"</f>
        <v>C4orf19</v>
      </c>
      <c r="B2307" t="s">
        <v>14</v>
      </c>
      <c r="C2307" t="s">
        <v>23</v>
      </c>
      <c r="D2307" t="s">
        <v>17</v>
      </c>
      <c r="E2307" t="s">
        <v>12</v>
      </c>
      <c r="F2307">
        <v>37455536</v>
      </c>
      <c r="G2307">
        <v>37455593</v>
      </c>
      <c r="H2307">
        <v>37455594</v>
      </c>
      <c r="I2307">
        <v>37455601</v>
      </c>
    </row>
    <row r="2308" spans="1:9" x14ac:dyDescent="0.2">
      <c r="A2308" s="1" t="str">
        <f>"C4orf21"</f>
        <v>C4orf21</v>
      </c>
      <c r="B2308" t="s">
        <v>14</v>
      </c>
      <c r="C2308" t="s">
        <v>23</v>
      </c>
      <c r="D2308" t="s">
        <v>11</v>
      </c>
      <c r="E2308" t="s">
        <v>12</v>
      </c>
      <c r="F2308">
        <v>113558014</v>
      </c>
      <c r="G2308">
        <v>113558073</v>
      </c>
      <c r="H2308">
        <v>113558014</v>
      </c>
      <c r="I2308">
        <v>113558073</v>
      </c>
    </row>
    <row r="2309" spans="1:9" x14ac:dyDescent="0.2">
      <c r="A2309" s="1" t="str">
        <f>"C4orf22"</f>
        <v>C4orf22</v>
      </c>
      <c r="B2309" t="s">
        <v>14</v>
      </c>
      <c r="C2309" t="s">
        <v>23</v>
      </c>
      <c r="D2309" t="s">
        <v>17</v>
      </c>
      <c r="E2309" t="s">
        <v>12</v>
      </c>
      <c r="F2309">
        <v>81256871</v>
      </c>
      <c r="G2309">
        <v>81256921</v>
      </c>
      <c r="H2309">
        <v>81256956</v>
      </c>
      <c r="I2309">
        <v>81256964</v>
      </c>
    </row>
    <row r="2310" spans="1:9" x14ac:dyDescent="0.2">
      <c r="A2310" s="1" t="str">
        <f>"C4orf26"</f>
        <v>C4orf26</v>
      </c>
      <c r="B2310" t="s">
        <v>14</v>
      </c>
      <c r="C2310" t="s">
        <v>23</v>
      </c>
      <c r="D2310" t="s">
        <v>17</v>
      </c>
      <c r="E2310" t="s">
        <v>12</v>
      </c>
      <c r="F2310">
        <v>76481268</v>
      </c>
      <c r="G2310">
        <v>76481289</v>
      </c>
      <c r="H2310">
        <v>76481268</v>
      </c>
      <c r="I2310">
        <v>76481289</v>
      </c>
    </row>
    <row r="2311" spans="1:9" x14ac:dyDescent="0.2">
      <c r="A2311" s="1" t="str">
        <f>"C4orf27"</f>
        <v>C4orf27</v>
      </c>
      <c r="B2311" t="s">
        <v>14</v>
      </c>
      <c r="C2311" t="s">
        <v>23</v>
      </c>
      <c r="D2311" t="s">
        <v>11</v>
      </c>
      <c r="E2311" t="s">
        <v>12</v>
      </c>
      <c r="F2311">
        <v>170679024</v>
      </c>
      <c r="G2311">
        <v>170679102</v>
      </c>
      <c r="H2311">
        <v>170679110</v>
      </c>
      <c r="I2311">
        <v>170679121</v>
      </c>
    </row>
    <row r="2312" spans="1:9" x14ac:dyDescent="0.2">
      <c r="A2312" s="1" t="str">
        <f>"C4orf29"</f>
        <v>C4orf29</v>
      </c>
      <c r="B2312" t="s">
        <v>14</v>
      </c>
      <c r="C2312" t="s">
        <v>23</v>
      </c>
      <c r="D2312" t="s">
        <v>17</v>
      </c>
      <c r="E2312" t="s">
        <v>12</v>
      </c>
      <c r="F2312">
        <v>128886584</v>
      </c>
      <c r="G2312">
        <v>128886654</v>
      </c>
      <c r="H2312">
        <v>128886549</v>
      </c>
      <c r="I2312">
        <v>128886576</v>
      </c>
    </row>
    <row r="2313" spans="1:9" x14ac:dyDescent="0.2">
      <c r="A2313" s="1" t="str">
        <f>"C4orf3"</f>
        <v>C4orf3</v>
      </c>
      <c r="B2313" t="s">
        <v>14</v>
      </c>
      <c r="C2313" t="s">
        <v>23</v>
      </c>
      <c r="D2313" t="s">
        <v>11</v>
      </c>
      <c r="E2313" t="s">
        <v>12</v>
      </c>
      <c r="F2313">
        <v>120221699</v>
      </c>
      <c r="G2313">
        <v>120221820</v>
      </c>
      <c r="H2313">
        <v>120221823</v>
      </c>
      <c r="I2313">
        <v>120221840</v>
      </c>
    </row>
    <row r="2314" spans="1:9" x14ac:dyDescent="0.2">
      <c r="A2314" s="1" t="str">
        <f>"C4orf32"</f>
        <v>C4orf32</v>
      </c>
      <c r="B2314" t="s">
        <v>14</v>
      </c>
      <c r="C2314" t="s">
        <v>23</v>
      </c>
      <c r="D2314" t="s">
        <v>17</v>
      </c>
      <c r="E2314" t="s">
        <v>12</v>
      </c>
      <c r="F2314">
        <v>113066602</v>
      </c>
      <c r="G2314">
        <v>113066620</v>
      </c>
      <c r="H2314">
        <v>113066567</v>
      </c>
      <c r="I2314">
        <v>113066598</v>
      </c>
    </row>
    <row r="2315" spans="1:9" x14ac:dyDescent="0.2">
      <c r="A2315" s="1" t="str">
        <f>"C4orf33"</f>
        <v>C4orf33</v>
      </c>
      <c r="B2315" t="s">
        <v>9</v>
      </c>
      <c r="C2315" t="s">
        <v>23</v>
      </c>
      <c r="D2315" t="s">
        <v>17</v>
      </c>
      <c r="E2315" t="s">
        <v>12</v>
      </c>
      <c r="F2315">
        <v>130014836</v>
      </c>
      <c r="G2315">
        <v>130014912</v>
      </c>
      <c r="H2315">
        <v>130014836</v>
      </c>
      <c r="I2315">
        <v>130014912</v>
      </c>
    </row>
    <row r="2316" spans="1:9" x14ac:dyDescent="0.2">
      <c r="A2316" s="1" t="str">
        <f>"C4orf33"</f>
        <v>C4orf33</v>
      </c>
      <c r="B2316" t="s">
        <v>13</v>
      </c>
      <c r="C2316" t="s">
        <v>23</v>
      </c>
      <c r="D2316" t="s">
        <v>17</v>
      </c>
      <c r="E2316" t="s">
        <v>12</v>
      </c>
      <c r="F2316">
        <v>130017268</v>
      </c>
      <c r="G2316">
        <v>130017322</v>
      </c>
      <c r="H2316">
        <v>130017268</v>
      </c>
      <c r="I2316">
        <v>130017322</v>
      </c>
    </row>
    <row r="2317" spans="1:9" x14ac:dyDescent="0.2">
      <c r="A2317" s="1" t="str">
        <f>"C4orf36"</f>
        <v>C4orf36</v>
      </c>
      <c r="B2317" t="s">
        <v>9</v>
      </c>
      <c r="C2317" t="s">
        <v>23</v>
      </c>
      <c r="D2317" t="s">
        <v>11</v>
      </c>
      <c r="E2317" t="s">
        <v>12</v>
      </c>
      <c r="F2317">
        <v>87855851</v>
      </c>
      <c r="G2317">
        <v>87855903</v>
      </c>
      <c r="H2317">
        <v>87855851</v>
      </c>
      <c r="I2317">
        <v>87855903</v>
      </c>
    </row>
    <row r="2318" spans="1:9" x14ac:dyDescent="0.2">
      <c r="A2318" s="1" t="str">
        <f>"C4orf36"</f>
        <v>C4orf36</v>
      </c>
      <c r="B2318" t="s">
        <v>13</v>
      </c>
      <c r="C2318" t="s">
        <v>23</v>
      </c>
      <c r="D2318" t="s">
        <v>11</v>
      </c>
      <c r="E2318" t="s">
        <v>12</v>
      </c>
      <c r="F2318">
        <v>87857321</v>
      </c>
      <c r="G2318">
        <v>87857344</v>
      </c>
      <c r="H2318">
        <v>87857321</v>
      </c>
      <c r="I2318">
        <v>87857344</v>
      </c>
    </row>
    <row r="2319" spans="1:9" x14ac:dyDescent="0.2">
      <c r="A2319" s="1" t="str">
        <f>"C4orf40"</f>
        <v>C4orf40</v>
      </c>
      <c r="B2319" t="s">
        <v>14</v>
      </c>
      <c r="C2319" t="s">
        <v>23</v>
      </c>
      <c r="D2319" t="s">
        <v>17</v>
      </c>
      <c r="E2319" t="s">
        <v>12</v>
      </c>
      <c r="F2319">
        <v>71019946</v>
      </c>
      <c r="G2319">
        <v>71019963</v>
      </c>
      <c r="H2319">
        <v>71019903</v>
      </c>
      <c r="I2319">
        <v>71019914</v>
      </c>
    </row>
    <row r="2320" spans="1:9" x14ac:dyDescent="0.2">
      <c r="A2320" s="1" t="str">
        <f>"C4orf45"</f>
        <v>C4orf45</v>
      </c>
      <c r="B2320" t="s">
        <v>174</v>
      </c>
      <c r="C2320" t="s">
        <v>23</v>
      </c>
      <c r="D2320" t="s">
        <v>11</v>
      </c>
      <c r="E2320" t="s">
        <v>35</v>
      </c>
      <c r="F2320">
        <v>159956375</v>
      </c>
      <c r="G2320">
        <v>159956383</v>
      </c>
      <c r="H2320">
        <v>159956340</v>
      </c>
      <c r="I2320">
        <v>159956344</v>
      </c>
    </row>
    <row r="2321" spans="1:9" x14ac:dyDescent="0.2">
      <c r="A2321" s="1" t="str">
        <f>"C4orf46"</f>
        <v>C4orf46</v>
      </c>
      <c r="B2321" t="s">
        <v>14</v>
      </c>
      <c r="C2321" t="s">
        <v>23</v>
      </c>
      <c r="D2321" t="s">
        <v>11</v>
      </c>
      <c r="E2321" t="s">
        <v>12</v>
      </c>
      <c r="F2321">
        <v>159592996</v>
      </c>
      <c r="G2321">
        <v>159593059</v>
      </c>
      <c r="H2321">
        <v>159593179</v>
      </c>
      <c r="I2321">
        <v>159593220</v>
      </c>
    </row>
    <row r="2322" spans="1:9" x14ac:dyDescent="0.2">
      <c r="A2322" s="1" t="str">
        <f>"C4orf47"</f>
        <v>C4orf47</v>
      </c>
      <c r="B2322" t="s">
        <v>14</v>
      </c>
      <c r="C2322" t="s">
        <v>23</v>
      </c>
      <c r="D2322" t="s">
        <v>17</v>
      </c>
      <c r="E2322" t="s">
        <v>12</v>
      </c>
      <c r="F2322">
        <v>186347388</v>
      </c>
      <c r="G2322">
        <v>186347423</v>
      </c>
      <c r="H2322">
        <v>186347363</v>
      </c>
      <c r="I2322">
        <v>186347381</v>
      </c>
    </row>
    <row r="2323" spans="1:9" x14ac:dyDescent="0.2">
      <c r="A2323" s="1" t="str">
        <f>"C4orf48"</f>
        <v>C4orf48</v>
      </c>
      <c r="B2323" t="s">
        <v>14</v>
      </c>
      <c r="C2323" t="s">
        <v>23</v>
      </c>
      <c r="D2323" t="s">
        <v>17</v>
      </c>
      <c r="E2323" t="s">
        <v>12</v>
      </c>
      <c r="F2323">
        <v>2043709</v>
      </c>
      <c r="G2323">
        <v>2043757</v>
      </c>
      <c r="H2323">
        <v>2044115</v>
      </c>
      <c r="I2323">
        <v>2044132</v>
      </c>
    </row>
    <row r="2324" spans="1:9" x14ac:dyDescent="0.2">
      <c r="A2324" s="1" t="str">
        <f>"C4orf50"</f>
        <v>C4orf50</v>
      </c>
      <c r="B2324" t="s">
        <v>14</v>
      </c>
      <c r="C2324" t="s">
        <v>23</v>
      </c>
      <c r="D2324" t="s">
        <v>11</v>
      </c>
      <c r="E2324" t="s">
        <v>67</v>
      </c>
      <c r="F2324">
        <v>5991362</v>
      </c>
      <c r="G2324">
        <v>5991363</v>
      </c>
      <c r="H2324">
        <v>5991362</v>
      </c>
      <c r="I2324">
        <v>5991363</v>
      </c>
    </row>
    <row r="2325" spans="1:9" x14ac:dyDescent="0.2">
      <c r="A2325" s="1" t="str">
        <f>"C4orf51"</f>
        <v>C4orf51</v>
      </c>
      <c r="B2325" t="s">
        <v>14</v>
      </c>
      <c r="C2325" t="s">
        <v>23</v>
      </c>
      <c r="D2325" t="s">
        <v>17</v>
      </c>
      <c r="E2325" t="s">
        <v>12</v>
      </c>
      <c r="F2325">
        <v>146601294</v>
      </c>
      <c r="G2325">
        <v>146601301</v>
      </c>
      <c r="H2325">
        <v>146601294</v>
      </c>
      <c r="I2325">
        <v>146601301</v>
      </c>
    </row>
    <row r="2326" spans="1:9" x14ac:dyDescent="0.2">
      <c r="A2326" s="1" t="str">
        <f>"C4orf6"</f>
        <v>C4orf6</v>
      </c>
      <c r="B2326" t="s">
        <v>14</v>
      </c>
      <c r="C2326" t="s">
        <v>23</v>
      </c>
      <c r="D2326" t="s">
        <v>17</v>
      </c>
      <c r="E2326" t="s">
        <v>12</v>
      </c>
      <c r="F2326">
        <v>5527014</v>
      </c>
      <c r="G2326">
        <v>5527054</v>
      </c>
      <c r="H2326">
        <v>5527014</v>
      </c>
      <c r="I2326">
        <v>5527054</v>
      </c>
    </row>
    <row r="2327" spans="1:9" x14ac:dyDescent="0.2">
      <c r="A2327" s="1" t="str">
        <f>"C5"</f>
        <v>C5</v>
      </c>
      <c r="B2327" t="s">
        <v>14</v>
      </c>
      <c r="C2327" t="s">
        <v>24</v>
      </c>
      <c r="D2327" t="s">
        <v>11</v>
      </c>
      <c r="E2327" t="s">
        <v>12</v>
      </c>
      <c r="F2327">
        <v>123812542</v>
      </c>
      <c r="G2327">
        <v>123812560</v>
      </c>
      <c r="H2327">
        <v>123812542</v>
      </c>
      <c r="I2327">
        <v>123812560</v>
      </c>
    </row>
    <row r="2328" spans="1:9" x14ac:dyDescent="0.2">
      <c r="A2328" s="1" t="str">
        <f>"C5AR1"</f>
        <v>C5AR1</v>
      </c>
      <c r="B2328" t="s">
        <v>14</v>
      </c>
      <c r="C2328" t="s">
        <v>10</v>
      </c>
      <c r="D2328" t="s">
        <v>17</v>
      </c>
      <c r="E2328" t="s">
        <v>12</v>
      </c>
      <c r="F2328">
        <v>47813110</v>
      </c>
      <c r="G2328">
        <v>47813125</v>
      </c>
      <c r="H2328">
        <v>47813110</v>
      </c>
      <c r="I2328">
        <v>47813125</v>
      </c>
    </row>
    <row r="2329" spans="1:9" x14ac:dyDescent="0.2">
      <c r="A2329" s="1" t="str">
        <f>"C5AR2"</f>
        <v>C5AR2</v>
      </c>
      <c r="B2329" t="s">
        <v>9</v>
      </c>
      <c r="C2329" t="s">
        <v>10</v>
      </c>
      <c r="D2329" t="s">
        <v>17</v>
      </c>
      <c r="E2329" t="s">
        <v>12</v>
      </c>
      <c r="F2329">
        <v>47835425</v>
      </c>
      <c r="G2329">
        <v>47835441</v>
      </c>
      <c r="H2329">
        <v>47835425</v>
      </c>
      <c r="I2329">
        <v>47835441</v>
      </c>
    </row>
    <row r="2330" spans="1:9" x14ac:dyDescent="0.2">
      <c r="A2330" s="1" t="str">
        <f>"C5AR2"</f>
        <v>C5AR2</v>
      </c>
      <c r="B2330" t="s">
        <v>13</v>
      </c>
      <c r="C2330" t="s">
        <v>10</v>
      </c>
      <c r="D2330" t="s">
        <v>17</v>
      </c>
      <c r="E2330" t="s">
        <v>12</v>
      </c>
      <c r="F2330">
        <v>47840346</v>
      </c>
      <c r="G2330">
        <v>47840365</v>
      </c>
      <c r="H2330">
        <v>47840346</v>
      </c>
      <c r="I2330">
        <v>47840365</v>
      </c>
    </row>
    <row r="2331" spans="1:9" x14ac:dyDescent="0.2">
      <c r="A2331" s="1" t="str">
        <f>"C5orf15"</f>
        <v>C5orf15</v>
      </c>
      <c r="B2331" t="s">
        <v>14</v>
      </c>
      <c r="C2331" t="s">
        <v>46</v>
      </c>
      <c r="D2331" t="s">
        <v>11</v>
      </c>
      <c r="E2331" t="s">
        <v>12</v>
      </c>
      <c r="F2331">
        <v>133304270</v>
      </c>
      <c r="G2331">
        <v>133304329</v>
      </c>
      <c r="H2331">
        <v>133304270</v>
      </c>
      <c r="I2331">
        <v>133304329</v>
      </c>
    </row>
    <row r="2332" spans="1:9" x14ac:dyDescent="0.2">
      <c r="A2332" s="1" t="str">
        <f>"C5orf17"</f>
        <v>C5orf17</v>
      </c>
      <c r="B2332" t="s">
        <v>14</v>
      </c>
      <c r="C2332" t="s">
        <v>46</v>
      </c>
      <c r="D2332" t="s">
        <v>17</v>
      </c>
      <c r="E2332" t="s">
        <v>12</v>
      </c>
      <c r="F2332">
        <v>23951480</v>
      </c>
      <c r="G2332">
        <v>23951519</v>
      </c>
      <c r="H2332">
        <v>23951480</v>
      </c>
      <c r="I2332">
        <v>23951519</v>
      </c>
    </row>
    <row r="2333" spans="1:9" x14ac:dyDescent="0.2">
      <c r="A2333" s="1" t="str">
        <f>"C5orf20"</f>
        <v>C5orf20</v>
      </c>
      <c r="B2333" t="s">
        <v>175</v>
      </c>
      <c r="C2333" t="s">
        <v>46</v>
      </c>
      <c r="D2333" t="s">
        <v>11</v>
      </c>
      <c r="E2333" t="s">
        <v>20</v>
      </c>
      <c r="F2333">
        <v>134783037</v>
      </c>
      <c r="G2333">
        <v>134783037</v>
      </c>
      <c r="H2333">
        <v>134783037</v>
      </c>
      <c r="I2333">
        <v>134783037</v>
      </c>
    </row>
    <row r="2334" spans="1:9" x14ac:dyDescent="0.2">
      <c r="A2334" s="1" t="str">
        <f>"C5orf22"</f>
        <v>C5orf22</v>
      </c>
      <c r="B2334" t="s">
        <v>14</v>
      </c>
      <c r="C2334" t="s">
        <v>46</v>
      </c>
      <c r="D2334" t="s">
        <v>17</v>
      </c>
      <c r="E2334" t="s">
        <v>12</v>
      </c>
      <c r="F2334">
        <v>31532384</v>
      </c>
      <c r="G2334">
        <v>31532479</v>
      </c>
      <c r="H2334">
        <v>31532384</v>
      </c>
      <c r="I2334">
        <v>31532479</v>
      </c>
    </row>
    <row r="2335" spans="1:9" x14ac:dyDescent="0.2">
      <c r="A2335" s="1" t="str">
        <f>"C5orf24"</f>
        <v>C5orf24</v>
      </c>
      <c r="B2335" t="s">
        <v>14</v>
      </c>
      <c r="C2335" t="s">
        <v>46</v>
      </c>
      <c r="D2335" t="s">
        <v>17</v>
      </c>
      <c r="E2335" t="s">
        <v>12</v>
      </c>
      <c r="F2335">
        <v>134181625</v>
      </c>
      <c r="G2335">
        <v>134181713</v>
      </c>
      <c r="H2335">
        <v>134181717</v>
      </c>
      <c r="I2335">
        <v>134181752</v>
      </c>
    </row>
    <row r="2336" spans="1:9" x14ac:dyDescent="0.2">
      <c r="A2336" s="1" t="str">
        <f>"C5orf28"</f>
        <v>C5orf28</v>
      </c>
      <c r="B2336" t="s">
        <v>14</v>
      </c>
      <c r="C2336" t="s">
        <v>46</v>
      </c>
      <c r="D2336" t="s">
        <v>11</v>
      </c>
      <c r="E2336" t="s">
        <v>12</v>
      </c>
      <c r="F2336">
        <v>43483929</v>
      </c>
      <c r="G2336">
        <v>43484002</v>
      </c>
      <c r="H2336">
        <v>43484423</v>
      </c>
      <c r="I2336">
        <v>43484517</v>
      </c>
    </row>
    <row r="2337" spans="1:9" x14ac:dyDescent="0.2">
      <c r="A2337" s="1" t="str">
        <f>"C5orf30"</f>
        <v>C5orf30</v>
      </c>
      <c r="B2337" t="s">
        <v>14</v>
      </c>
      <c r="C2337" t="s">
        <v>46</v>
      </c>
      <c r="D2337" t="s">
        <v>17</v>
      </c>
      <c r="E2337" t="s">
        <v>12</v>
      </c>
      <c r="F2337">
        <v>102594449</v>
      </c>
      <c r="G2337">
        <v>102594478</v>
      </c>
      <c r="H2337">
        <v>102594418</v>
      </c>
      <c r="I2337">
        <v>102594445</v>
      </c>
    </row>
    <row r="2338" spans="1:9" x14ac:dyDescent="0.2">
      <c r="A2338" s="1" t="str">
        <f>"C5orf34"</f>
        <v>C5orf34</v>
      </c>
      <c r="B2338" t="s">
        <v>14</v>
      </c>
      <c r="C2338" t="s">
        <v>46</v>
      </c>
      <c r="D2338" t="s">
        <v>11</v>
      </c>
      <c r="E2338" t="s">
        <v>12</v>
      </c>
      <c r="F2338">
        <v>43515231</v>
      </c>
      <c r="G2338">
        <v>43515274</v>
      </c>
      <c r="H2338">
        <v>43515169</v>
      </c>
      <c r="I2338">
        <v>43515229</v>
      </c>
    </row>
    <row r="2339" spans="1:9" x14ac:dyDescent="0.2">
      <c r="A2339" s="1" t="str">
        <f>"C5orf38"</f>
        <v>C5orf38</v>
      </c>
      <c r="B2339" t="s">
        <v>14</v>
      </c>
      <c r="C2339" t="s">
        <v>46</v>
      </c>
      <c r="D2339" t="s">
        <v>17</v>
      </c>
      <c r="E2339" t="s">
        <v>12</v>
      </c>
      <c r="F2339">
        <v>2751993</v>
      </c>
      <c r="G2339">
        <v>2752042</v>
      </c>
      <c r="H2339">
        <v>2752216</v>
      </c>
      <c r="I2339">
        <v>2752257</v>
      </c>
    </row>
    <row r="2340" spans="1:9" x14ac:dyDescent="0.2">
      <c r="A2340" s="1" t="str">
        <f>"C5orf42"</f>
        <v>C5orf42</v>
      </c>
      <c r="B2340" t="s">
        <v>14</v>
      </c>
      <c r="C2340" t="s">
        <v>46</v>
      </c>
      <c r="D2340" t="s">
        <v>11</v>
      </c>
      <c r="E2340" t="s">
        <v>12</v>
      </c>
      <c r="F2340">
        <v>37249397</v>
      </c>
      <c r="G2340">
        <v>37249512</v>
      </c>
      <c r="H2340">
        <v>37249397</v>
      </c>
      <c r="I2340">
        <v>37249512</v>
      </c>
    </row>
    <row r="2341" spans="1:9" x14ac:dyDescent="0.2">
      <c r="A2341" s="1" t="str">
        <f>"C5orf45"</f>
        <v>C5orf45</v>
      </c>
      <c r="B2341" t="s">
        <v>14</v>
      </c>
      <c r="C2341" t="s">
        <v>46</v>
      </c>
      <c r="D2341" t="s">
        <v>11</v>
      </c>
      <c r="E2341" t="s">
        <v>12</v>
      </c>
      <c r="F2341">
        <v>179285785</v>
      </c>
      <c r="G2341">
        <v>179285846</v>
      </c>
      <c r="H2341">
        <v>179285848</v>
      </c>
      <c r="I2341">
        <v>179285873</v>
      </c>
    </row>
    <row r="2342" spans="1:9" x14ac:dyDescent="0.2">
      <c r="A2342" s="1" t="str">
        <f>"C5orf46"</f>
        <v>C5orf46</v>
      </c>
      <c r="B2342" t="s">
        <v>14</v>
      </c>
      <c r="C2342" t="s">
        <v>46</v>
      </c>
      <c r="D2342" t="s">
        <v>11</v>
      </c>
      <c r="E2342" t="s">
        <v>12</v>
      </c>
      <c r="F2342">
        <v>147286093</v>
      </c>
      <c r="G2342">
        <v>147286107</v>
      </c>
      <c r="H2342">
        <v>147286093</v>
      </c>
      <c r="I2342">
        <v>147286107</v>
      </c>
    </row>
    <row r="2343" spans="1:9" x14ac:dyDescent="0.2">
      <c r="A2343" s="1" t="str">
        <f>"C5orf47"</f>
        <v>C5orf47</v>
      </c>
      <c r="B2343" t="s">
        <v>14</v>
      </c>
      <c r="C2343" t="s">
        <v>46</v>
      </c>
      <c r="D2343" t="s">
        <v>17</v>
      </c>
      <c r="E2343" t="s">
        <v>12</v>
      </c>
      <c r="F2343">
        <v>173416192</v>
      </c>
      <c r="G2343">
        <v>173416223</v>
      </c>
      <c r="H2343">
        <v>173416163</v>
      </c>
      <c r="I2343">
        <v>173416187</v>
      </c>
    </row>
    <row r="2344" spans="1:9" x14ac:dyDescent="0.2">
      <c r="A2344" s="1" t="str">
        <f>"C5orf48"</f>
        <v>C5orf48</v>
      </c>
      <c r="B2344" t="s">
        <v>14</v>
      </c>
      <c r="C2344" t="s">
        <v>46</v>
      </c>
      <c r="D2344" t="s">
        <v>17</v>
      </c>
      <c r="E2344" t="s">
        <v>12</v>
      </c>
      <c r="F2344">
        <v>125967372</v>
      </c>
      <c r="G2344">
        <v>125967417</v>
      </c>
      <c r="H2344">
        <v>125967372</v>
      </c>
      <c r="I2344">
        <v>125967417</v>
      </c>
    </row>
    <row r="2345" spans="1:9" x14ac:dyDescent="0.2">
      <c r="A2345" s="1" t="str">
        <f>"C5orf49"</f>
        <v>C5orf49</v>
      </c>
      <c r="B2345" t="s">
        <v>14</v>
      </c>
      <c r="C2345" t="s">
        <v>46</v>
      </c>
      <c r="D2345" t="s">
        <v>11</v>
      </c>
      <c r="E2345" t="s">
        <v>12</v>
      </c>
      <c r="F2345">
        <v>7851192</v>
      </c>
      <c r="G2345">
        <v>7851256</v>
      </c>
      <c r="H2345">
        <v>7851260</v>
      </c>
      <c r="I2345">
        <v>7851277</v>
      </c>
    </row>
    <row r="2346" spans="1:9" x14ac:dyDescent="0.2">
      <c r="A2346" s="1" t="str">
        <f>"C5orf50"</f>
        <v>C5orf50</v>
      </c>
      <c r="B2346" t="s">
        <v>14</v>
      </c>
      <c r="C2346" t="s">
        <v>46</v>
      </c>
      <c r="D2346" t="s">
        <v>17</v>
      </c>
      <c r="E2346" t="s">
        <v>12</v>
      </c>
      <c r="F2346">
        <v>171212867</v>
      </c>
      <c r="G2346">
        <v>171212872</v>
      </c>
      <c r="H2346">
        <v>171212867</v>
      </c>
      <c r="I2346">
        <v>171212872</v>
      </c>
    </row>
    <row r="2347" spans="1:9" x14ac:dyDescent="0.2">
      <c r="A2347" s="1" t="str">
        <f>"C5orf51"</f>
        <v>C5orf51</v>
      </c>
      <c r="B2347" t="s">
        <v>14</v>
      </c>
      <c r="C2347" t="s">
        <v>46</v>
      </c>
      <c r="D2347" t="s">
        <v>17</v>
      </c>
      <c r="E2347" t="s">
        <v>12</v>
      </c>
      <c r="F2347">
        <v>41904431</v>
      </c>
      <c r="G2347">
        <v>41904469</v>
      </c>
      <c r="H2347">
        <v>41904431</v>
      </c>
      <c r="I2347">
        <v>41904469</v>
      </c>
    </row>
    <row r="2348" spans="1:9" x14ac:dyDescent="0.2">
      <c r="A2348" s="1" t="str">
        <f>"C5orf52"</f>
        <v>C5orf52</v>
      </c>
      <c r="B2348" t="s">
        <v>14</v>
      </c>
      <c r="C2348" t="s">
        <v>46</v>
      </c>
      <c r="D2348" t="s">
        <v>17</v>
      </c>
      <c r="E2348" t="s">
        <v>12</v>
      </c>
      <c r="F2348">
        <v>157098534</v>
      </c>
      <c r="G2348">
        <v>157098561</v>
      </c>
      <c r="H2348">
        <v>157098584</v>
      </c>
      <c r="I2348">
        <v>157098594</v>
      </c>
    </row>
    <row r="2349" spans="1:9" x14ac:dyDescent="0.2">
      <c r="A2349" s="1" t="str">
        <f>"C5orf54"</f>
        <v>C5orf54</v>
      </c>
      <c r="B2349" t="s">
        <v>14</v>
      </c>
      <c r="C2349" t="s">
        <v>46</v>
      </c>
      <c r="D2349" t="s">
        <v>11</v>
      </c>
      <c r="E2349" t="s">
        <v>12</v>
      </c>
      <c r="F2349">
        <v>159827033</v>
      </c>
      <c r="G2349">
        <v>159827070</v>
      </c>
      <c r="H2349">
        <v>159827073</v>
      </c>
      <c r="I2349">
        <v>159827097</v>
      </c>
    </row>
    <row r="2350" spans="1:9" x14ac:dyDescent="0.2">
      <c r="A2350" s="1" t="str">
        <f>"C5orf55"</f>
        <v>C5orf55</v>
      </c>
      <c r="B2350" t="s">
        <v>14</v>
      </c>
      <c r="C2350" t="s">
        <v>46</v>
      </c>
      <c r="D2350" t="s">
        <v>11</v>
      </c>
      <c r="E2350" t="s">
        <v>12</v>
      </c>
      <c r="F2350">
        <v>443205</v>
      </c>
      <c r="G2350">
        <v>443234</v>
      </c>
      <c r="H2350">
        <v>443239</v>
      </c>
      <c r="I2350">
        <v>443254</v>
      </c>
    </row>
    <row r="2351" spans="1:9" x14ac:dyDescent="0.2">
      <c r="A2351" s="1" t="str">
        <f>"C5orf58"</f>
        <v>C5orf58</v>
      </c>
      <c r="B2351" t="s">
        <v>14</v>
      </c>
      <c r="C2351" t="s">
        <v>46</v>
      </c>
      <c r="D2351" t="s">
        <v>17</v>
      </c>
      <c r="E2351" t="s">
        <v>12</v>
      </c>
      <c r="F2351">
        <v>169659955</v>
      </c>
      <c r="G2351">
        <v>169659994</v>
      </c>
      <c r="H2351">
        <v>169660006</v>
      </c>
      <c r="I2351">
        <v>169660016</v>
      </c>
    </row>
    <row r="2352" spans="1:9" x14ac:dyDescent="0.2">
      <c r="A2352" s="1" t="str">
        <f>"C5orf60"</f>
        <v>C5orf60</v>
      </c>
      <c r="B2352" t="s">
        <v>14</v>
      </c>
      <c r="C2352" t="s">
        <v>46</v>
      </c>
      <c r="D2352" t="s">
        <v>11</v>
      </c>
      <c r="E2352" t="s">
        <v>12</v>
      </c>
      <c r="F2352">
        <v>179072006</v>
      </c>
      <c r="G2352">
        <v>179072008</v>
      </c>
      <c r="H2352">
        <v>179072006</v>
      </c>
      <c r="I2352">
        <v>179072008</v>
      </c>
    </row>
    <row r="2353" spans="1:9" x14ac:dyDescent="0.2">
      <c r="A2353" s="1" t="str">
        <f>"C5orf63"</f>
        <v>C5orf63</v>
      </c>
      <c r="B2353" t="s">
        <v>14</v>
      </c>
      <c r="C2353" t="s">
        <v>46</v>
      </c>
      <c r="D2353" t="s">
        <v>11</v>
      </c>
      <c r="E2353" t="s">
        <v>12</v>
      </c>
      <c r="F2353">
        <v>126409162</v>
      </c>
      <c r="G2353">
        <v>126409200</v>
      </c>
      <c r="H2353">
        <v>126409162</v>
      </c>
      <c r="I2353">
        <v>126409200</v>
      </c>
    </row>
    <row r="2354" spans="1:9" x14ac:dyDescent="0.2">
      <c r="A2354" s="1" t="str">
        <f>"C5orf64"</f>
        <v>C5orf64</v>
      </c>
      <c r="B2354" t="s">
        <v>14</v>
      </c>
      <c r="C2354" t="s">
        <v>46</v>
      </c>
      <c r="D2354" t="s">
        <v>17</v>
      </c>
      <c r="E2354" t="s">
        <v>12</v>
      </c>
      <c r="F2354">
        <v>60933579</v>
      </c>
      <c r="G2354">
        <v>60933613</v>
      </c>
      <c r="H2354">
        <v>60933616</v>
      </c>
      <c r="I2354">
        <v>60933628</v>
      </c>
    </row>
    <row r="2355" spans="1:9" x14ac:dyDescent="0.2">
      <c r="A2355" s="1" t="str">
        <f>"C6"</f>
        <v>C6</v>
      </c>
      <c r="B2355" t="s">
        <v>14</v>
      </c>
      <c r="C2355" t="s">
        <v>46</v>
      </c>
      <c r="D2355" t="s">
        <v>11</v>
      </c>
      <c r="E2355" t="s">
        <v>12</v>
      </c>
      <c r="F2355">
        <v>41213607</v>
      </c>
      <c r="G2355">
        <v>41213649</v>
      </c>
      <c r="H2355">
        <v>41213584</v>
      </c>
      <c r="I2355">
        <v>41213598</v>
      </c>
    </row>
    <row r="2356" spans="1:9" x14ac:dyDescent="0.2">
      <c r="A2356" s="1" t="str">
        <f>"C6orf1"</f>
        <v>C6orf1</v>
      </c>
      <c r="B2356" t="s">
        <v>14</v>
      </c>
      <c r="C2356" t="s">
        <v>32</v>
      </c>
      <c r="D2356" t="s">
        <v>11</v>
      </c>
      <c r="E2356" t="s">
        <v>12</v>
      </c>
      <c r="F2356">
        <v>34216771</v>
      </c>
      <c r="G2356">
        <v>34216856</v>
      </c>
      <c r="H2356">
        <v>34216887</v>
      </c>
      <c r="I2356">
        <v>34216890</v>
      </c>
    </row>
    <row r="2357" spans="1:9" x14ac:dyDescent="0.2">
      <c r="A2357" s="1" t="str">
        <f>"C6orf10"</f>
        <v>C6orf10</v>
      </c>
      <c r="B2357" t="s">
        <v>14</v>
      </c>
      <c r="C2357" t="s">
        <v>32</v>
      </c>
      <c r="D2357" t="s">
        <v>11</v>
      </c>
      <c r="E2357" t="s">
        <v>12</v>
      </c>
      <c r="F2357">
        <v>32339671</v>
      </c>
      <c r="G2357">
        <v>32339685</v>
      </c>
      <c r="H2357">
        <v>32339686</v>
      </c>
      <c r="I2357">
        <v>32339696</v>
      </c>
    </row>
    <row r="2358" spans="1:9" x14ac:dyDescent="0.2">
      <c r="A2358" s="1" t="str">
        <f>"C6orf106"</f>
        <v>C6orf106</v>
      </c>
      <c r="B2358" t="s">
        <v>14</v>
      </c>
      <c r="C2358" t="s">
        <v>32</v>
      </c>
      <c r="D2358" t="s">
        <v>11</v>
      </c>
      <c r="E2358" t="s">
        <v>12</v>
      </c>
      <c r="F2358">
        <v>34664511</v>
      </c>
      <c r="G2358">
        <v>34664568</v>
      </c>
      <c r="H2358">
        <v>34664612</v>
      </c>
      <c r="I2358">
        <v>34664642</v>
      </c>
    </row>
    <row r="2359" spans="1:9" x14ac:dyDescent="0.2">
      <c r="A2359" s="1" t="str">
        <f>"C6orf118"</f>
        <v>C6orf118</v>
      </c>
      <c r="B2359" t="s">
        <v>14</v>
      </c>
      <c r="C2359" t="s">
        <v>32</v>
      </c>
      <c r="D2359" t="s">
        <v>11</v>
      </c>
      <c r="E2359" t="s">
        <v>12</v>
      </c>
      <c r="F2359">
        <v>165723088</v>
      </c>
      <c r="G2359">
        <v>165723119</v>
      </c>
      <c r="H2359">
        <v>165723088</v>
      </c>
      <c r="I2359">
        <v>165723119</v>
      </c>
    </row>
    <row r="2360" spans="1:9" x14ac:dyDescent="0.2">
      <c r="A2360" s="1" t="str">
        <f>"C6orf120"</f>
        <v>C6orf120</v>
      </c>
      <c r="B2360" t="s">
        <v>14</v>
      </c>
      <c r="C2360" t="s">
        <v>32</v>
      </c>
      <c r="D2360" t="s">
        <v>17</v>
      </c>
      <c r="E2360" t="s">
        <v>12</v>
      </c>
      <c r="F2360">
        <v>170102210</v>
      </c>
      <c r="G2360">
        <v>170102275</v>
      </c>
      <c r="H2360">
        <v>170102282</v>
      </c>
      <c r="I2360">
        <v>170102300</v>
      </c>
    </row>
    <row r="2361" spans="1:9" x14ac:dyDescent="0.2">
      <c r="A2361" s="1" t="str">
        <f>"C6orf132"</f>
        <v>C6orf132</v>
      </c>
      <c r="B2361" t="s">
        <v>14</v>
      </c>
      <c r="C2361" t="s">
        <v>32</v>
      </c>
      <c r="D2361" t="s">
        <v>11</v>
      </c>
      <c r="E2361" t="s">
        <v>12</v>
      </c>
      <c r="F2361">
        <v>42110342</v>
      </c>
      <c r="G2361">
        <v>42110365</v>
      </c>
      <c r="H2361">
        <v>42110758</v>
      </c>
      <c r="I2361">
        <v>42110801</v>
      </c>
    </row>
    <row r="2362" spans="1:9" x14ac:dyDescent="0.2">
      <c r="A2362" s="1" t="str">
        <f>"C6orf136"</f>
        <v>C6orf136</v>
      </c>
      <c r="B2362" t="s">
        <v>14</v>
      </c>
      <c r="C2362" t="s">
        <v>32</v>
      </c>
      <c r="D2362" t="s">
        <v>17</v>
      </c>
      <c r="E2362" t="s">
        <v>12</v>
      </c>
      <c r="F2362">
        <v>30614886</v>
      </c>
      <c r="G2362">
        <v>30614957</v>
      </c>
      <c r="H2362">
        <v>30614779</v>
      </c>
      <c r="I2362">
        <v>30614848</v>
      </c>
    </row>
    <row r="2363" spans="1:9" x14ac:dyDescent="0.2">
      <c r="A2363" s="1" t="str">
        <f>"C6orf141"</f>
        <v>C6orf141</v>
      </c>
      <c r="B2363" t="s">
        <v>14</v>
      </c>
      <c r="C2363" t="s">
        <v>32</v>
      </c>
      <c r="D2363" t="s">
        <v>17</v>
      </c>
      <c r="E2363" t="s">
        <v>12</v>
      </c>
      <c r="F2363">
        <v>49518363</v>
      </c>
      <c r="G2363">
        <v>49518426</v>
      </c>
      <c r="H2363">
        <v>49518435</v>
      </c>
      <c r="I2363">
        <v>49518454</v>
      </c>
    </row>
    <row r="2364" spans="1:9" x14ac:dyDescent="0.2">
      <c r="A2364" s="1" t="str">
        <f>"C6orf15"</f>
        <v>C6orf15</v>
      </c>
      <c r="B2364" t="s">
        <v>14</v>
      </c>
      <c r="C2364" t="s">
        <v>32</v>
      </c>
      <c r="D2364" t="s">
        <v>11</v>
      </c>
      <c r="E2364" t="s">
        <v>12</v>
      </c>
      <c r="F2364">
        <v>31080343</v>
      </c>
      <c r="G2364">
        <v>31080359</v>
      </c>
      <c r="H2364">
        <v>31080343</v>
      </c>
      <c r="I2364">
        <v>31080359</v>
      </c>
    </row>
    <row r="2365" spans="1:9" x14ac:dyDescent="0.2">
      <c r="A2365" s="1" t="str">
        <f>"C6orf163"</f>
        <v>C6orf163</v>
      </c>
      <c r="B2365" t="s">
        <v>14</v>
      </c>
      <c r="C2365" t="s">
        <v>32</v>
      </c>
      <c r="D2365" t="s">
        <v>17</v>
      </c>
      <c r="E2365" t="s">
        <v>12</v>
      </c>
      <c r="F2365">
        <v>88054530</v>
      </c>
      <c r="G2365">
        <v>88054544</v>
      </c>
      <c r="H2365">
        <v>88054615</v>
      </c>
      <c r="I2365">
        <v>88054623</v>
      </c>
    </row>
    <row r="2366" spans="1:9" x14ac:dyDescent="0.2">
      <c r="A2366" s="1" t="str">
        <f>"C6orf165"</f>
        <v>C6orf165</v>
      </c>
      <c r="B2366" t="s">
        <v>14</v>
      </c>
      <c r="C2366" t="s">
        <v>32</v>
      </c>
      <c r="D2366" t="s">
        <v>17</v>
      </c>
      <c r="E2366" t="s">
        <v>12</v>
      </c>
      <c r="F2366">
        <v>88117683</v>
      </c>
      <c r="G2366">
        <v>88117751</v>
      </c>
      <c r="H2366">
        <v>88117683</v>
      </c>
      <c r="I2366">
        <v>88117751</v>
      </c>
    </row>
    <row r="2367" spans="1:9" x14ac:dyDescent="0.2">
      <c r="A2367" s="1" t="str">
        <f>"C6orf183"</f>
        <v>C6orf183</v>
      </c>
      <c r="B2367" t="s">
        <v>176</v>
      </c>
      <c r="C2367" t="s">
        <v>32</v>
      </c>
      <c r="D2367" t="s">
        <v>17</v>
      </c>
      <c r="E2367" t="s">
        <v>20</v>
      </c>
      <c r="F2367">
        <v>109487035</v>
      </c>
      <c r="G2367">
        <v>109487035</v>
      </c>
      <c r="H2367">
        <v>109487035</v>
      </c>
      <c r="I2367">
        <v>109487035</v>
      </c>
    </row>
    <row r="2368" spans="1:9" x14ac:dyDescent="0.2">
      <c r="A2368" s="1" t="str">
        <f>"C6orf195"</f>
        <v>C6orf195</v>
      </c>
      <c r="B2368" t="s">
        <v>14</v>
      </c>
      <c r="C2368" t="s">
        <v>32</v>
      </c>
      <c r="D2368" t="s">
        <v>11</v>
      </c>
      <c r="E2368" t="s">
        <v>12</v>
      </c>
      <c r="F2368">
        <v>2634820</v>
      </c>
      <c r="G2368">
        <v>2634844</v>
      </c>
      <c r="H2368">
        <v>2634848</v>
      </c>
      <c r="I2368">
        <v>2634866</v>
      </c>
    </row>
    <row r="2369" spans="1:9" x14ac:dyDescent="0.2">
      <c r="A2369" s="1" t="str">
        <f>"C6orf201"</f>
        <v>C6orf201</v>
      </c>
      <c r="B2369" t="s">
        <v>9</v>
      </c>
      <c r="C2369" t="s">
        <v>32</v>
      </c>
      <c r="D2369" t="s">
        <v>17</v>
      </c>
      <c r="E2369" t="s">
        <v>12</v>
      </c>
      <c r="F2369">
        <v>4087664</v>
      </c>
      <c r="G2369">
        <v>4087683</v>
      </c>
      <c r="H2369">
        <v>4087664</v>
      </c>
      <c r="I2369">
        <v>4087683</v>
      </c>
    </row>
    <row r="2370" spans="1:9" x14ac:dyDescent="0.2">
      <c r="A2370" s="1" t="str">
        <f>"C6orf201"</f>
        <v>C6orf201</v>
      </c>
      <c r="B2370" t="s">
        <v>13</v>
      </c>
      <c r="C2370" t="s">
        <v>32</v>
      </c>
      <c r="D2370" t="s">
        <v>17</v>
      </c>
      <c r="E2370" t="s">
        <v>12</v>
      </c>
      <c r="F2370">
        <v>4079437</v>
      </c>
      <c r="G2370">
        <v>4079448</v>
      </c>
      <c r="H2370">
        <v>4079437</v>
      </c>
      <c r="I2370">
        <v>4079448</v>
      </c>
    </row>
    <row r="2371" spans="1:9" x14ac:dyDescent="0.2">
      <c r="A2371" s="1" t="str">
        <f>"C6orf203"</f>
        <v>C6orf203</v>
      </c>
      <c r="B2371" t="s">
        <v>14</v>
      </c>
      <c r="C2371" t="s">
        <v>32</v>
      </c>
      <c r="D2371" t="s">
        <v>17</v>
      </c>
      <c r="E2371" t="s">
        <v>12</v>
      </c>
      <c r="F2371">
        <v>107349392</v>
      </c>
      <c r="G2371">
        <v>107349461</v>
      </c>
      <c r="H2371">
        <v>107349550</v>
      </c>
      <c r="I2371">
        <v>107349583</v>
      </c>
    </row>
    <row r="2372" spans="1:9" x14ac:dyDescent="0.2">
      <c r="A2372" s="1" t="str">
        <f>"C6orf211"</f>
        <v>C6orf211</v>
      </c>
      <c r="B2372" t="s">
        <v>14</v>
      </c>
      <c r="C2372" t="s">
        <v>32</v>
      </c>
      <c r="D2372" t="s">
        <v>17</v>
      </c>
      <c r="E2372" t="s">
        <v>12</v>
      </c>
      <c r="F2372">
        <v>151773583</v>
      </c>
      <c r="G2372">
        <v>151773677</v>
      </c>
      <c r="H2372">
        <v>151773430</v>
      </c>
      <c r="I2372">
        <v>151773498</v>
      </c>
    </row>
    <row r="2373" spans="1:9" x14ac:dyDescent="0.2">
      <c r="A2373" s="1" t="str">
        <f>"C6orf222"</f>
        <v>C6orf222</v>
      </c>
      <c r="B2373" t="s">
        <v>14</v>
      </c>
      <c r="C2373" t="s">
        <v>32</v>
      </c>
      <c r="D2373" t="s">
        <v>11</v>
      </c>
      <c r="E2373" t="s">
        <v>12</v>
      </c>
      <c r="F2373">
        <v>36304660</v>
      </c>
      <c r="G2373">
        <v>36304666</v>
      </c>
      <c r="H2373">
        <v>36304660</v>
      </c>
      <c r="I2373">
        <v>36304666</v>
      </c>
    </row>
    <row r="2374" spans="1:9" x14ac:dyDescent="0.2">
      <c r="A2374" s="1" t="str">
        <f>"C6orf223"</f>
        <v>C6orf223</v>
      </c>
      <c r="B2374" t="s">
        <v>14</v>
      </c>
      <c r="C2374" t="s">
        <v>32</v>
      </c>
      <c r="D2374" t="s">
        <v>17</v>
      </c>
      <c r="E2374" t="s">
        <v>12</v>
      </c>
      <c r="F2374">
        <v>43968306</v>
      </c>
      <c r="G2374">
        <v>43968377</v>
      </c>
      <c r="H2374">
        <v>43968387</v>
      </c>
      <c r="I2374">
        <v>43968410</v>
      </c>
    </row>
    <row r="2375" spans="1:9" x14ac:dyDescent="0.2">
      <c r="A2375" s="1" t="str">
        <f>"C6orf226"</f>
        <v>C6orf226</v>
      </c>
      <c r="B2375" t="s">
        <v>14</v>
      </c>
      <c r="C2375" t="s">
        <v>32</v>
      </c>
      <c r="D2375" t="s">
        <v>11</v>
      </c>
      <c r="E2375" t="s">
        <v>12</v>
      </c>
      <c r="F2375">
        <v>42858534</v>
      </c>
      <c r="G2375">
        <v>42858595</v>
      </c>
      <c r="H2375">
        <v>42858534</v>
      </c>
      <c r="I2375">
        <v>42858595</v>
      </c>
    </row>
    <row r="2376" spans="1:9" x14ac:dyDescent="0.2">
      <c r="A2376" s="1" t="str">
        <f>"C6orf25"</f>
        <v>C6orf25</v>
      </c>
      <c r="B2376" t="s">
        <v>14</v>
      </c>
      <c r="C2376" t="s">
        <v>32</v>
      </c>
      <c r="D2376" t="s">
        <v>17</v>
      </c>
      <c r="E2376" t="s">
        <v>12</v>
      </c>
      <c r="F2376">
        <v>31691141</v>
      </c>
      <c r="G2376">
        <v>31691162</v>
      </c>
      <c r="H2376">
        <v>31691141</v>
      </c>
      <c r="I2376">
        <v>31691162</v>
      </c>
    </row>
    <row r="2377" spans="1:9" x14ac:dyDescent="0.2">
      <c r="A2377" s="1" t="str">
        <f>"C6orf47"</f>
        <v>C6orf47</v>
      </c>
      <c r="B2377" t="s">
        <v>14</v>
      </c>
      <c r="C2377" t="s">
        <v>32</v>
      </c>
      <c r="D2377" t="s">
        <v>11</v>
      </c>
      <c r="E2377" t="s">
        <v>12</v>
      </c>
      <c r="F2377">
        <v>31628512</v>
      </c>
      <c r="G2377">
        <v>31628566</v>
      </c>
      <c r="H2377">
        <v>31628512</v>
      </c>
      <c r="I2377">
        <v>31628566</v>
      </c>
    </row>
    <row r="2378" spans="1:9" x14ac:dyDescent="0.2">
      <c r="A2378" s="1" t="str">
        <f>"C6orf48"</f>
        <v>C6orf48</v>
      </c>
      <c r="B2378" t="s">
        <v>14</v>
      </c>
      <c r="C2378" t="s">
        <v>32</v>
      </c>
      <c r="D2378" t="s">
        <v>17</v>
      </c>
      <c r="E2378" t="s">
        <v>12</v>
      </c>
      <c r="F2378">
        <v>31802687</v>
      </c>
      <c r="G2378">
        <v>31802705</v>
      </c>
      <c r="H2378">
        <v>31802364</v>
      </c>
      <c r="I2378">
        <v>31802419</v>
      </c>
    </row>
    <row r="2379" spans="1:9" x14ac:dyDescent="0.2">
      <c r="A2379" s="1" t="str">
        <f>"C6orf52"</f>
        <v>C6orf52</v>
      </c>
      <c r="B2379" t="s">
        <v>14</v>
      </c>
      <c r="C2379" t="s">
        <v>32</v>
      </c>
      <c r="D2379" t="s">
        <v>11</v>
      </c>
      <c r="E2379" t="s">
        <v>12</v>
      </c>
      <c r="F2379">
        <v>10694816</v>
      </c>
      <c r="G2379">
        <v>10694876</v>
      </c>
      <c r="H2379">
        <v>10694797</v>
      </c>
      <c r="I2379">
        <v>10694810</v>
      </c>
    </row>
    <row r="2380" spans="1:9" x14ac:dyDescent="0.2">
      <c r="A2380" s="1" t="str">
        <f>"C6orf57"</f>
        <v>C6orf57</v>
      </c>
      <c r="B2380" t="s">
        <v>14</v>
      </c>
      <c r="C2380" t="s">
        <v>32</v>
      </c>
      <c r="D2380" t="s">
        <v>17</v>
      </c>
      <c r="E2380" t="s">
        <v>12</v>
      </c>
      <c r="F2380">
        <v>71276596</v>
      </c>
      <c r="G2380">
        <v>71276649</v>
      </c>
      <c r="H2380">
        <v>71276596</v>
      </c>
      <c r="I2380">
        <v>71276649</v>
      </c>
    </row>
    <row r="2381" spans="1:9" x14ac:dyDescent="0.2">
      <c r="A2381" s="1" t="str">
        <f>"C6orf58"</f>
        <v>C6orf58</v>
      </c>
      <c r="B2381" t="s">
        <v>14</v>
      </c>
      <c r="C2381" t="s">
        <v>32</v>
      </c>
      <c r="D2381" t="s">
        <v>17</v>
      </c>
      <c r="E2381" t="s">
        <v>12</v>
      </c>
      <c r="F2381">
        <v>127898312</v>
      </c>
      <c r="G2381">
        <v>127898326</v>
      </c>
      <c r="H2381">
        <v>127898312</v>
      </c>
      <c r="I2381">
        <v>127898326</v>
      </c>
    </row>
    <row r="2382" spans="1:9" x14ac:dyDescent="0.2">
      <c r="A2382" s="1" t="str">
        <f>"C6orf62"</f>
        <v>C6orf62</v>
      </c>
      <c r="B2382" t="s">
        <v>9</v>
      </c>
      <c r="C2382" t="s">
        <v>32</v>
      </c>
      <c r="D2382" t="s">
        <v>11</v>
      </c>
      <c r="E2382" t="s">
        <v>12</v>
      </c>
      <c r="F2382">
        <v>24721054</v>
      </c>
      <c r="G2382">
        <v>24721074</v>
      </c>
      <c r="H2382">
        <v>24721054</v>
      </c>
      <c r="I2382">
        <v>24721074</v>
      </c>
    </row>
    <row r="2383" spans="1:9" x14ac:dyDescent="0.2">
      <c r="A2383" s="1" t="str">
        <f>"C6orf62"</f>
        <v>C6orf62</v>
      </c>
      <c r="B2383" t="s">
        <v>13</v>
      </c>
      <c r="C2383" t="s">
        <v>32</v>
      </c>
      <c r="D2383" t="s">
        <v>11</v>
      </c>
      <c r="E2383" t="s">
        <v>12</v>
      </c>
      <c r="F2383">
        <v>24719375</v>
      </c>
      <c r="G2383">
        <v>24719391</v>
      </c>
      <c r="H2383">
        <v>24719375</v>
      </c>
      <c r="I2383">
        <v>24719391</v>
      </c>
    </row>
    <row r="2384" spans="1:9" x14ac:dyDescent="0.2">
      <c r="A2384" s="1" t="str">
        <f>"C6orf7"</f>
        <v>C6orf7</v>
      </c>
      <c r="B2384" t="s">
        <v>177</v>
      </c>
      <c r="C2384" t="s">
        <v>32</v>
      </c>
      <c r="D2384" t="s">
        <v>11</v>
      </c>
      <c r="E2384" t="s">
        <v>20</v>
      </c>
      <c r="F2384">
        <v>80580136</v>
      </c>
      <c r="G2384">
        <v>80580136</v>
      </c>
      <c r="H2384">
        <v>80580136</v>
      </c>
      <c r="I2384">
        <v>80580136</v>
      </c>
    </row>
    <row r="2385" spans="1:9" x14ac:dyDescent="0.2">
      <c r="A2385" s="1" t="str">
        <f>"C6orf89"</f>
        <v>C6orf89</v>
      </c>
      <c r="B2385" t="s">
        <v>14</v>
      </c>
      <c r="C2385" t="s">
        <v>32</v>
      </c>
      <c r="D2385" t="s">
        <v>17</v>
      </c>
      <c r="E2385" t="s">
        <v>12</v>
      </c>
      <c r="F2385">
        <v>36853720</v>
      </c>
      <c r="G2385">
        <v>36853764</v>
      </c>
      <c r="H2385">
        <v>36853607</v>
      </c>
      <c r="I2385">
        <v>36853635</v>
      </c>
    </row>
    <row r="2386" spans="1:9" x14ac:dyDescent="0.2">
      <c r="A2386" s="1" t="str">
        <f>"C6orf99"</f>
        <v>C6orf99</v>
      </c>
      <c r="B2386" t="s">
        <v>14</v>
      </c>
      <c r="C2386" t="s">
        <v>32</v>
      </c>
      <c r="D2386" t="s">
        <v>17</v>
      </c>
      <c r="E2386" t="s">
        <v>12</v>
      </c>
      <c r="F2386">
        <v>159291054</v>
      </c>
      <c r="G2386">
        <v>159291067</v>
      </c>
      <c r="H2386">
        <v>159291007</v>
      </c>
      <c r="I2386">
        <v>159291024</v>
      </c>
    </row>
    <row r="2387" spans="1:9" x14ac:dyDescent="0.2">
      <c r="A2387" s="1" t="str">
        <f>"C7"</f>
        <v>C7</v>
      </c>
      <c r="B2387" t="s">
        <v>14</v>
      </c>
      <c r="C2387" t="s">
        <v>46</v>
      </c>
      <c r="D2387" t="s">
        <v>17</v>
      </c>
      <c r="E2387" t="s">
        <v>12</v>
      </c>
      <c r="F2387">
        <v>40909592</v>
      </c>
      <c r="G2387">
        <v>40909608</v>
      </c>
      <c r="H2387">
        <v>40909592</v>
      </c>
      <c r="I2387">
        <v>40909608</v>
      </c>
    </row>
    <row r="2388" spans="1:9" x14ac:dyDescent="0.2">
      <c r="A2388" s="1" t="str">
        <f>"C7orf10"</f>
        <v>C7orf10</v>
      </c>
      <c r="B2388" t="s">
        <v>14</v>
      </c>
      <c r="C2388" t="s">
        <v>33</v>
      </c>
      <c r="D2388" t="s">
        <v>17</v>
      </c>
      <c r="E2388" t="s">
        <v>12</v>
      </c>
      <c r="F2388">
        <v>40174565</v>
      </c>
      <c r="G2388">
        <v>40174621</v>
      </c>
      <c r="H2388">
        <v>40174565</v>
      </c>
      <c r="I2388">
        <v>40174621</v>
      </c>
    </row>
    <row r="2389" spans="1:9" x14ac:dyDescent="0.2">
      <c r="A2389" s="1" t="str">
        <f>"C7orf25"</f>
        <v>C7orf25</v>
      </c>
      <c r="B2389" t="s">
        <v>14</v>
      </c>
      <c r="C2389" t="s">
        <v>33</v>
      </c>
      <c r="D2389" t="s">
        <v>11</v>
      </c>
      <c r="E2389" t="s">
        <v>12</v>
      </c>
      <c r="F2389">
        <v>42951606</v>
      </c>
      <c r="G2389">
        <v>42951694</v>
      </c>
      <c r="H2389">
        <v>42951529</v>
      </c>
      <c r="I2389">
        <v>42951567</v>
      </c>
    </row>
    <row r="2390" spans="1:9" x14ac:dyDescent="0.2">
      <c r="A2390" s="1" t="str">
        <f>"C7orf26"</f>
        <v>C7orf26</v>
      </c>
      <c r="B2390" t="s">
        <v>14</v>
      </c>
      <c r="C2390" t="s">
        <v>33</v>
      </c>
      <c r="D2390" t="s">
        <v>17</v>
      </c>
      <c r="E2390" t="s">
        <v>12</v>
      </c>
      <c r="F2390">
        <v>6629621</v>
      </c>
      <c r="G2390">
        <v>6629668</v>
      </c>
      <c r="H2390">
        <v>6629895</v>
      </c>
      <c r="I2390">
        <v>6629947</v>
      </c>
    </row>
    <row r="2391" spans="1:9" x14ac:dyDescent="0.2">
      <c r="A2391" s="1" t="str">
        <f>"C7orf31"</f>
        <v>C7orf31</v>
      </c>
      <c r="B2391" t="s">
        <v>14</v>
      </c>
      <c r="C2391" t="s">
        <v>33</v>
      </c>
      <c r="D2391" t="s">
        <v>11</v>
      </c>
      <c r="E2391" t="s">
        <v>12</v>
      </c>
      <c r="F2391">
        <v>25219897</v>
      </c>
      <c r="G2391">
        <v>25220004</v>
      </c>
      <c r="H2391">
        <v>25219700</v>
      </c>
      <c r="I2391">
        <v>25219741</v>
      </c>
    </row>
    <row r="2392" spans="1:9" x14ac:dyDescent="0.2">
      <c r="A2392" s="1" t="str">
        <f>"C7orf33"</f>
        <v>C7orf33</v>
      </c>
      <c r="B2392" t="s">
        <v>14</v>
      </c>
      <c r="C2392" t="s">
        <v>33</v>
      </c>
      <c r="D2392" t="s">
        <v>17</v>
      </c>
      <c r="E2392" t="s">
        <v>12</v>
      </c>
      <c r="F2392">
        <v>148287852</v>
      </c>
      <c r="G2392">
        <v>148287863</v>
      </c>
      <c r="H2392">
        <v>148287852</v>
      </c>
      <c r="I2392">
        <v>148287863</v>
      </c>
    </row>
    <row r="2393" spans="1:9" x14ac:dyDescent="0.2">
      <c r="A2393" s="1" t="str">
        <f>"C7orf34"</f>
        <v>C7orf34</v>
      </c>
      <c r="B2393" t="s">
        <v>14</v>
      </c>
      <c r="C2393" t="s">
        <v>33</v>
      </c>
      <c r="D2393" t="s">
        <v>17</v>
      </c>
      <c r="E2393" t="s">
        <v>12</v>
      </c>
      <c r="F2393">
        <v>142636616</v>
      </c>
      <c r="G2393">
        <v>142636632</v>
      </c>
      <c r="H2393">
        <v>142636563</v>
      </c>
      <c r="I2393">
        <v>142636569</v>
      </c>
    </row>
    <row r="2394" spans="1:9" x14ac:dyDescent="0.2">
      <c r="A2394" s="1" t="str">
        <f>"C7orf41"</f>
        <v>C7orf41</v>
      </c>
      <c r="B2394" t="s">
        <v>14</v>
      </c>
      <c r="C2394" t="s">
        <v>33</v>
      </c>
      <c r="D2394" t="s">
        <v>17</v>
      </c>
      <c r="E2394" t="s">
        <v>12</v>
      </c>
      <c r="F2394">
        <v>30174574</v>
      </c>
      <c r="G2394">
        <v>30174655</v>
      </c>
      <c r="H2394">
        <v>30174430</v>
      </c>
      <c r="I2394">
        <v>30174441</v>
      </c>
    </row>
    <row r="2395" spans="1:9" x14ac:dyDescent="0.2">
      <c r="A2395" s="1" t="str">
        <f>"C7orf43"</f>
        <v>C7orf43</v>
      </c>
      <c r="B2395" t="s">
        <v>14</v>
      </c>
      <c r="C2395" t="s">
        <v>33</v>
      </c>
      <c r="D2395" t="s">
        <v>11</v>
      </c>
      <c r="E2395" t="s">
        <v>12</v>
      </c>
      <c r="F2395">
        <v>99756293</v>
      </c>
      <c r="G2395">
        <v>99756360</v>
      </c>
      <c r="H2395">
        <v>99756127</v>
      </c>
      <c r="I2395">
        <v>99756137</v>
      </c>
    </row>
    <row r="2396" spans="1:9" x14ac:dyDescent="0.2">
      <c r="A2396" s="1" t="str">
        <f>"C7orf49"</f>
        <v>C7orf49</v>
      </c>
      <c r="B2396" t="s">
        <v>14</v>
      </c>
      <c r="C2396" t="s">
        <v>33</v>
      </c>
      <c r="D2396" t="s">
        <v>11</v>
      </c>
      <c r="E2396" t="s">
        <v>12</v>
      </c>
      <c r="F2396">
        <v>134855402</v>
      </c>
      <c r="G2396">
        <v>134855514</v>
      </c>
      <c r="H2396">
        <v>134855517</v>
      </c>
      <c r="I2396">
        <v>134855538</v>
      </c>
    </row>
    <row r="2397" spans="1:9" x14ac:dyDescent="0.2">
      <c r="A2397" s="1" t="str">
        <f>"C7orf50"</f>
        <v>C7orf50</v>
      </c>
      <c r="B2397" t="s">
        <v>178</v>
      </c>
      <c r="C2397" t="s">
        <v>33</v>
      </c>
      <c r="D2397" t="s">
        <v>11</v>
      </c>
      <c r="E2397" t="s">
        <v>35</v>
      </c>
      <c r="F2397">
        <v>1177874</v>
      </c>
      <c r="G2397">
        <v>1177936</v>
      </c>
      <c r="H2397">
        <v>1177688</v>
      </c>
      <c r="I2397">
        <v>1177729</v>
      </c>
    </row>
    <row r="2398" spans="1:9" x14ac:dyDescent="0.2">
      <c r="A2398" s="1" t="str">
        <f>"C7orf55"</f>
        <v>C7orf55</v>
      </c>
      <c r="B2398" t="s">
        <v>14</v>
      </c>
      <c r="C2398" t="s">
        <v>33</v>
      </c>
      <c r="D2398" t="s">
        <v>17</v>
      </c>
      <c r="E2398" t="s">
        <v>12</v>
      </c>
      <c r="F2398">
        <v>139025204</v>
      </c>
      <c r="G2398">
        <v>139025245</v>
      </c>
      <c r="H2398">
        <v>139025875</v>
      </c>
      <c r="I2398">
        <v>139025904</v>
      </c>
    </row>
    <row r="2399" spans="1:9" x14ac:dyDescent="0.2">
      <c r="A2399" s="1" t="str">
        <f>"C7orf55-LUC7L2"</f>
        <v>C7orf55-LUC7L2</v>
      </c>
      <c r="B2399" t="s">
        <v>14</v>
      </c>
      <c r="C2399" t="s">
        <v>33</v>
      </c>
      <c r="D2399" t="s">
        <v>17</v>
      </c>
      <c r="E2399" t="s">
        <v>67</v>
      </c>
      <c r="F2399">
        <v>139044621</v>
      </c>
      <c r="G2399">
        <v>139044725</v>
      </c>
      <c r="H2399">
        <v>139044621</v>
      </c>
      <c r="I2399">
        <v>139044725</v>
      </c>
    </row>
    <row r="2400" spans="1:9" x14ac:dyDescent="0.2">
      <c r="A2400" s="1" t="str">
        <f>"C7orf57"</f>
        <v>C7orf57</v>
      </c>
      <c r="B2400" t="s">
        <v>14</v>
      </c>
      <c r="C2400" t="s">
        <v>33</v>
      </c>
      <c r="D2400" t="s">
        <v>17</v>
      </c>
      <c r="E2400" t="s">
        <v>12</v>
      </c>
      <c r="F2400">
        <v>48075131</v>
      </c>
      <c r="G2400">
        <v>48075151</v>
      </c>
      <c r="H2400">
        <v>48075159</v>
      </c>
      <c r="I2400">
        <v>48075177</v>
      </c>
    </row>
    <row r="2401" spans="1:9" x14ac:dyDescent="0.2">
      <c r="A2401" s="1" t="str">
        <f>"C7orf60"</f>
        <v>C7orf60</v>
      </c>
      <c r="B2401" t="s">
        <v>14</v>
      </c>
      <c r="C2401" t="s">
        <v>33</v>
      </c>
      <c r="D2401" t="s">
        <v>11</v>
      </c>
      <c r="E2401" t="s">
        <v>12</v>
      </c>
      <c r="F2401">
        <v>112579869</v>
      </c>
      <c r="G2401">
        <v>112579947</v>
      </c>
      <c r="H2401">
        <v>112579828</v>
      </c>
      <c r="I2401">
        <v>112579854</v>
      </c>
    </row>
    <row r="2402" spans="1:9" x14ac:dyDescent="0.2">
      <c r="A2402" s="1" t="str">
        <f>"C7orf61"</f>
        <v>C7orf61</v>
      </c>
      <c r="B2402" t="s">
        <v>14</v>
      </c>
      <c r="C2402" t="s">
        <v>33</v>
      </c>
      <c r="D2402" t="s">
        <v>11</v>
      </c>
      <c r="E2402" t="s">
        <v>12</v>
      </c>
      <c r="F2402">
        <v>100061869</v>
      </c>
      <c r="G2402">
        <v>100061900</v>
      </c>
      <c r="H2402">
        <v>100061843</v>
      </c>
      <c r="I2402">
        <v>100061852</v>
      </c>
    </row>
    <row r="2403" spans="1:9" x14ac:dyDescent="0.2">
      <c r="A2403" s="1" t="str">
        <f>"C7orf62"</f>
        <v>C7orf62</v>
      </c>
      <c r="B2403" t="s">
        <v>14</v>
      </c>
      <c r="C2403" t="s">
        <v>33</v>
      </c>
      <c r="D2403" t="s">
        <v>11</v>
      </c>
      <c r="E2403" t="s">
        <v>12</v>
      </c>
      <c r="F2403">
        <v>88425025</v>
      </c>
      <c r="G2403">
        <v>88425046</v>
      </c>
      <c r="H2403">
        <v>88425048</v>
      </c>
      <c r="I2403">
        <v>88425054</v>
      </c>
    </row>
    <row r="2404" spans="1:9" x14ac:dyDescent="0.2">
      <c r="A2404" s="1" t="str">
        <f>"C7orf63"</f>
        <v>C7orf63</v>
      </c>
      <c r="B2404" t="s">
        <v>14</v>
      </c>
      <c r="C2404" t="s">
        <v>33</v>
      </c>
      <c r="D2404" t="s">
        <v>17</v>
      </c>
      <c r="E2404" t="s">
        <v>12</v>
      </c>
      <c r="F2404">
        <v>89874495</v>
      </c>
      <c r="G2404">
        <v>89874514</v>
      </c>
      <c r="H2404">
        <v>89874483</v>
      </c>
      <c r="I2404">
        <v>89874493</v>
      </c>
    </row>
    <row r="2405" spans="1:9" x14ac:dyDescent="0.2">
      <c r="A2405" s="1" t="str">
        <f>"C7orf65"</f>
        <v>C7orf65</v>
      </c>
      <c r="B2405" t="s">
        <v>179</v>
      </c>
      <c r="C2405" t="s">
        <v>33</v>
      </c>
      <c r="D2405" t="s">
        <v>17</v>
      </c>
      <c r="E2405" t="s">
        <v>20</v>
      </c>
      <c r="F2405">
        <v>47694841</v>
      </c>
      <c r="G2405">
        <v>47694841</v>
      </c>
      <c r="H2405">
        <v>47694841</v>
      </c>
      <c r="I2405">
        <v>47694841</v>
      </c>
    </row>
    <row r="2406" spans="1:9" x14ac:dyDescent="0.2">
      <c r="A2406" s="1" t="str">
        <f>"C7orf66"</f>
        <v>C7orf66</v>
      </c>
      <c r="B2406" t="s">
        <v>180</v>
      </c>
      <c r="C2406" t="s">
        <v>33</v>
      </c>
      <c r="D2406" t="s">
        <v>11</v>
      </c>
      <c r="E2406" t="s">
        <v>20</v>
      </c>
      <c r="F2406">
        <v>108524643</v>
      </c>
      <c r="G2406">
        <v>108524643</v>
      </c>
      <c r="H2406">
        <v>108524643</v>
      </c>
      <c r="I2406">
        <v>108524643</v>
      </c>
    </row>
    <row r="2407" spans="1:9" x14ac:dyDescent="0.2">
      <c r="A2407" s="1" t="str">
        <f>"C7orf69"</f>
        <v>C7orf69</v>
      </c>
      <c r="B2407" t="s">
        <v>14</v>
      </c>
      <c r="C2407" t="s">
        <v>33</v>
      </c>
      <c r="D2407" t="s">
        <v>17</v>
      </c>
      <c r="E2407" t="s">
        <v>12</v>
      </c>
      <c r="F2407">
        <v>47834908</v>
      </c>
      <c r="G2407">
        <v>47834933</v>
      </c>
      <c r="H2407">
        <v>47834880</v>
      </c>
      <c r="I2407">
        <v>47834900</v>
      </c>
    </row>
    <row r="2408" spans="1:9" x14ac:dyDescent="0.2">
      <c r="A2408" s="1" t="str">
        <f>"C7orf71"</f>
        <v>C7orf71</v>
      </c>
      <c r="B2408" t="s">
        <v>14</v>
      </c>
      <c r="C2408" t="s">
        <v>33</v>
      </c>
      <c r="D2408" t="s">
        <v>17</v>
      </c>
      <c r="E2408" t="s">
        <v>12</v>
      </c>
      <c r="F2408">
        <v>26677973</v>
      </c>
      <c r="G2408">
        <v>26677981</v>
      </c>
      <c r="H2408">
        <v>26677973</v>
      </c>
      <c r="I2408">
        <v>26677981</v>
      </c>
    </row>
    <row r="2409" spans="1:9" x14ac:dyDescent="0.2">
      <c r="A2409" s="1" t="str">
        <f>"C7orf72"</f>
        <v>C7orf72</v>
      </c>
      <c r="B2409" t="s">
        <v>14</v>
      </c>
      <c r="C2409" t="s">
        <v>33</v>
      </c>
      <c r="D2409" t="s">
        <v>17</v>
      </c>
      <c r="E2409" t="s">
        <v>12</v>
      </c>
      <c r="F2409">
        <v>50135433</v>
      </c>
      <c r="G2409">
        <v>50135483</v>
      </c>
      <c r="H2409">
        <v>50135433</v>
      </c>
      <c r="I2409">
        <v>50135483</v>
      </c>
    </row>
    <row r="2410" spans="1:9" x14ac:dyDescent="0.2">
      <c r="A2410" s="1" t="str">
        <f>"C7orf73"</f>
        <v>C7orf73</v>
      </c>
      <c r="B2410" t="s">
        <v>14</v>
      </c>
      <c r="C2410" t="s">
        <v>33</v>
      </c>
      <c r="D2410" t="s">
        <v>17</v>
      </c>
      <c r="E2410" t="s">
        <v>12</v>
      </c>
      <c r="F2410">
        <v>135347215</v>
      </c>
      <c r="G2410">
        <v>135347296</v>
      </c>
      <c r="H2410">
        <v>135347215</v>
      </c>
      <c r="I2410">
        <v>135347296</v>
      </c>
    </row>
    <row r="2411" spans="1:9" x14ac:dyDescent="0.2">
      <c r="A2411" s="1" t="str">
        <f>"C7orf76"</f>
        <v>C7orf76</v>
      </c>
      <c r="B2411" t="s">
        <v>181</v>
      </c>
      <c r="C2411" t="s">
        <v>33</v>
      </c>
      <c r="D2411" t="s">
        <v>11</v>
      </c>
      <c r="E2411" t="s">
        <v>20</v>
      </c>
      <c r="F2411">
        <v>96132834</v>
      </c>
      <c r="G2411">
        <v>96132834</v>
      </c>
      <c r="H2411">
        <v>96132834</v>
      </c>
      <c r="I2411">
        <v>96132834</v>
      </c>
    </row>
    <row r="2412" spans="1:9" x14ac:dyDescent="0.2">
      <c r="A2412" s="1" t="str">
        <f>"C8A"</f>
        <v>C8A</v>
      </c>
      <c r="B2412" t="s">
        <v>14</v>
      </c>
      <c r="C2412" t="s">
        <v>19</v>
      </c>
      <c r="D2412" t="s">
        <v>17</v>
      </c>
      <c r="E2412" t="s">
        <v>12</v>
      </c>
      <c r="F2412">
        <v>57320437</v>
      </c>
      <c r="G2412">
        <v>57320479</v>
      </c>
      <c r="H2412">
        <v>57320495</v>
      </c>
      <c r="I2412">
        <v>57320514</v>
      </c>
    </row>
    <row r="2413" spans="1:9" x14ac:dyDescent="0.2">
      <c r="A2413" s="1" t="str">
        <f>"C8B"</f>
        <v>C8B</v>
      </c>
      <c r="B2413" t="s">
        <v>14</v>
      </c>
      <c r="C2413" t="s">
        <v>19</v>
      </c>
      <c r="D2413" t="s">
        <v>11</v>
      </c>
      <c r="E2413" t="s">
        <v>12</v>
      </c>
      <c r="F2413">
        <v>57431679</v>
      </c>
      <c r="G2413">
        <v>57431696</v>
      </c>
      <c r="H2413">
        <v>57431679</v>
      </c>
      <c r="I2413">
        <v>57431696</v>
      </c>
    </row>
    <row r="2414" spans="1:9" x14ac:dyDescent="0.2">
      <c r="A2414" s="1" t="str">
        <f>"C8G"</f>
        <v>C8G</v>
      </c>
      <c r="B2414" t="s">
        <v>14</v>
      </c>
      <c r="C2414" t="s">
        <v>24</v>
      </c>
      <c r="D2414" t="s">
        <v>17</v>
      </c>
      <c r="E2414" t="s">
        <v>12</v>
      </c>
      <c r="F2414">
        <v>139839686</v>
      </c>
      <c r="G2414">
        <v>139839707</v>
      </c>
      <c r="H2414">
        <v>139839725</v>
      </c>
      <c r="I2414">
        <v>139839752</v>
      </c>
    </row>
    <row r="2415" spans="1:9" x14ac:dyDescent="0.2">
      <c r="A2415" s="1" t="str">
        <f>"C8orf22"</f>
        <v>C8orf22</v>
      </c>
      <c r="B2415" t="s">
        <v>14</v>
      </c>
      <c r="C2415" t="s">
        <v>30</v>
      </c>
      <c r="D2415" t="s">
        <v>17</v>
      </c>
      <c r="E2415" t="s">
        <v>12</v>
      </c>
      <c r="F2415">
        <v>49984894</v>
      </c>
      <c r="G2415">
        <v>49984911</v>
      </c>
      <c r="H2415">
        <v>49984894</v>
      </c>
      <c r="I2415">
        <v>49984911</v>
      </c>
    </row>
    <row r="2416" spans="1:9" x14ac:dyDescent="0.2">
      <c r="A2416" s="1" t="str">
        <f>"C8orf31"</f>
        <v>C8orf31</v>
      </c>
      <c r="B2416" t="s">
        <v>14</v>
      </c>
      <c r="C2416" t="s">
        <v>30</v>
      </c>
      <c r="D2416" t="s">
        <v>17</v>
      </c>
      <c r="E2416" t="s">
        <v>12</v>
      </c>
      <c r="F2416">
        <v>144120648</v>
      </c>
      <c r="G2416">
        <v>144120707</v>
      </c>
      <c r="H2416">
        <v>144120648</v>
      </c>
      <c r="I2416">
        <v>144120707</v>
      </c>
    </row>
    <row r="2417" spans="1:9" x14ac:dyDescent="0.2">
      <c r="A2417" s="1" t="str">
        <f>"C8orf33"</f>
        <v>C8orf33</v>
      </c>
      <c r="B2417" t="s">
        <v>14</v>
      </c>
      <c r="C2417" t="s">
        <v>30</v>
      </c>
      <c r="D2417" t="s">
        <v>17</v>
      </c>
      <c r="E2417" t="s">
        <v>12</v>
      </c>
      <c r="F2417">
        <v>146277833</v>
      </c>
      <c r="G2417">
        <v>146277878</v>
      </c>
      <c r="H2417">
        <v>146277816</v>
      </c>
      <c r="I2417">
        <v>146277832</v>
      </c>
    </row>
    <row r="2418" spans="1:9" x14ac:dyDescent="0.2">
      <c r="A2418" s="1" t="str">
        <f>"C8orf34"</f>
        <v>C8orf34</v>
      </c>
      <c r="B2418" t="s">
        <v>14</v>
      </c>
      <c r="C2418" t="s">
        <v>30</v>
      </c>
      <c r="D2418" t="s">
        <v>17</v>
      </c>
      <c r="E2418" t="s">
        <v>12</v>
      </c>
      <c r="F2418">
        <v>69243165</v>
      </c>
      <c r="G2418">
        <v>69243213</v>
      </c>
      <c r="H2418">
        <v>69243002</v>
      </c>
      <c r="I2418">
        <v>69243020</v>
      </c>
    </row>
    <row r="2419" spans="1:9" x14ac:dyDescent="0.2">
      <c r="A2419" s="1" t="str">
        <f>"C8orf37"</f>
        <v>C8orf37</v>
      </c>
      <c r="B2419" t="s">
        <v>14</v>
      </c>
      <c r="C2419" t="s">
        <v>30</v>
      </c>
      <c r="D2419" t="s">
        <v>11</v>
      </c>
      <c r="E2419" t="s">
        <v>12</v>
      </c>
      <c r="F2419">
        <v>96281419</v>
      </c>
      <c r="G2419">
        <v>96281444</v>
      </c>
      <c r="H2419">
        <v>96281627</v>
      </c>
      <c r="I2419">
        <v>96281658</v>
      </c>
    </row>
    <row r="2420" spans="1:9" x14ac:dyDescent="0.2">
      <c r="A2420" s="1" t="str">
        <f>"C8orf4"</f>
        <v>C8orf4</v>
      </c>
      <c r="B2420" t="s">
        <v>14</v>
      </c>
      <c r="C2420" t="s">
        <v>30</v>
      </c>
      <c r="D2420" t="s">
        <v>17</v>
      </c>
      <c r="E2420" t="s">
        <v>12</v>
      </c>
      <c r="F2420">
        <v>40010994</v>
      </c>
      <c r="G2420">
        <v>40011008</v>
      </c>
      <c r="H2420">
        <v>40010994</v>
      </c>
      <c r="I2420">
        <v>40011008</v>
      </c>
    </row>
    <row r="2421" spans="1:9" x14ac:dyDescent="0.2">
      <c r="A2421" s="1" t="str">
        <f>"C8orf44"</f>
        <v>C8orf44</v>
      </c>
      <c r="B2421" t="s">
        <v>14</v>
      </c>
      <c r="C2421" t="s">
        <v>30</v>
      </c>
      <c r="D2421" t="s">
        <v>17</v>
      </c>
      <c r="E2421" t="s">
        <v>12</v>
      </c>
      <c r="F2421">
        <v>67579807</v>
      </c>
      <c r="G2421">
        <v>67579860</v>
      </c>
      <c r="H2421">
        <v>67579787</v>
      </c>
      <c r="I2421">
        <v>67579803</v>
      </c>
    </row>
    <row r="2422" spans="1:9" x14ac:dyDescent="0.2">
      <c r="A2422" s="1" t="str">
        <f>"C8orf44-SGK3"</f>
        <v>C8orf44-SGK3</v>
      </c>
      <c r="B2422" t="s">
        <v>14</v>
      </c>
      <c r="C2422" t="s">
        <v>30</v>
      </c>
      <c r="D2422" t="s">
        <v>17</v>
      </c>
      <c r="E2422" t="s">
        <v>67</v>
      </c>
      <c r="F2422">
        <v>67579807</v>
      </c>
      <c r="G2422">
        <v>67579860</v>
      </c>
      <c r="H2422">
        <v>67579787</v>
      </c>
      <c r="I2422">
        <v>67579803</v>
      </c>
    </row>
    <row r="2423" spans="1:9" x14ac:dyDescent="0.2">
      <c r="A2423" s="1" t="str">
        <f>"C8orf46"</f>
        <v>C8orf46</v>
      </c>
      <c r="B2423" t="s">
        <v>14</v>
      </c>
      <c r="C2423" t="s">
        <v>30</v>
      </c>
      <c r="D2423" t="s">
        <v>17</v>
      </c>
      <c r="E2423" t="s">
        <v>12</v>
      </c>
      <c r="F2423">
        <v>67405794</v>
      </c>
      <c r="G2423">
        <v>67405806</v>
      </c>
      <c r="H2423">
        <v>67405771</v>
      </c>
      <c r="I2423">
        <v>67405789</v>
      </c>
    </row>
    <row r="2424" spans="1:9" x14ac:dyDescent="0.2">
      <c r="A2424" s="1" t="str">
        <f>"C8orf47"</f>
        <v>C8orf47</v>
      </c>
      <c r="B2424" t="s">
        <v>14</v>
      </c>
      <c r="C2424" t="s">
        <v>30</v>
      </c>
      <c r="D2424" t="s">
        <v>17</v>
      </c>
      <c r="E2424" t="s">
        <v>12</v>
      </c>
      <c r="F2424">
        <v>99076787</v>
      </c>
      <c r="G2424">
        <v>99076809</v>
      </c>
      <c r="H2424">
        <v>99076820</v>
      </c>
      <c r="I2424">
        <v>99076848</v>
      </c>
    </row>
    <row r="2425" spans="1:9" x14ac:dyDescent="0.2">
      <c r="A2425" s="1" t="str">
        <f>"C8orf48"</f>
        <v>C8orf48</v>
      </c>
      <c r="B2425" t="s">
        <v>14</v>
      </c>
      <c r="C2425" t="s">
        <v>30</v>
      </c>
      <c r="D2425" t="s">
        <v>17</v>
      </c>
      <c r="E2425" t="s">
        <v>12</v>
      </c>
      <c r="F2425">
        <v>13424363</v>
      </c>
      <c r="G2425">
        <v>13424417</v>
      </c>
      <c r="H2425">
        <v>13424348</v>
      </c>
      <c r="I2425">
        <v>13424357</v>
      </c>
    </row>
    <row r="2426" spans="1:9" x14ac:dyDescent="0.2">
      <c r="A2426" s="1" t="str">
        <f>"C8orf58"</f>
        <v>C8orf58</v>
      </c>
      <c r="B2426" t="s">
        <v>14</v>
      </c>
      <c r="C2426" t="s">
        <v>30</v>
      </c>
      <c r="D2426" t="s">
        <v>17</v>
      </c>
      <c r="E2426" t="s">
        <v>12</v>
      </c>
      <c r="F2426">
        <v>22457127</v>
      </c>
      <c r="G2426">
        <v>22457185</v>
      </c>
      <c r="H2426">
        <v>22457100</v>
      </c>
      <c r="I2426">
        <v>22457119</v>
      </c>
    </row>
    <row r="2427" spans="1:9" x14ac:dyDescent="0.2">
      <c r="A2427" s="1" t="str">
        <f>"C8orf59"</f>
        <v>C8orf59</v>
      </c>
      <c r="B2427" t="s">
        <v>14</v>
      </c>
      <c r="C2427" t="s">
        <v>30</v>
      </c>
      <c r="D2427" t="s">
        <v>11</v>
      </c>
      <c r="E2427" t="s">
        <v>12</v>
      </c>
      <c r="F2427">
        <v>86132569</v>
      </c>
      <c r="G2427">
        <v>86132625</v>
      </c>
      <c r="H2427">
        <v>86132569</v>
      </c>
      <c r="I2427">
        <v>86132625</v>
      </c>
    </row>
    <row r="2428" spans="1:9" x14ac:dyDescent="0.2">
      <c r="A2428" s="1" t="str">
        <f>"C8orf74"</f>
        <v>C8orf74</v>
      </c>
      <c r="B2428" t="s">
        <v>14</v>
      </c>
      <c r="C2428" t="s">
        <v>30</v>
      </c>
      <c r="D2428" t="s">
        <v>17</v>
      </c>
      <c r="E2428" t="s">
        <v>12</v>
      </c>
      <c r="F2428">
        <v>10530155</v>
      </c>
      <c r="G2428">
        <v>10530168</v>
      </c>
      <c r="H2428">
        <v>10530133</v>
      </c>
      <c r="I2428">
        <v>10530143</v>
      </c>
    </row>
    <row r="2429" spans="1:9" x14ac:dyDescent="0.2">
      <c r="A2429" s="1" t="str">
        <f>"C8orf76"</f>
        <v>C8orf76</v>
      </c>
      <c r="B2429" t="s">
        <v>14</v>
      </c>
      <c r="C2429" t="s">
        <v>30</v>
      </c>
      <c r="D2429" t="s">
        <v>11</v>
      </c>
      <c r="E2429" t="s">
        <v>12</v>
      </c>
      <c r="F2429">
        <v>124253576</v>
      </c>
      <c r="G2429">
        <v>124253624</v>
      </c>
      <c r="H2429">
        <v>124253576</v>
      </c>
      <c r="I2429">
        <v>124253624</v>
      </c>
    </row>
    <row r="2430" spans="1:9" x14ac:dyDescent="0.2">
      <c r="A2430" s="1" t="str">
        <f>"C8orf82"</f>
        <v>C8orf82</v>
      </c>
      <c r="B2430" t="s">
        <v>14</v>
      </c>
      <c r="C2430" t="s">
        <v>30</v>
      </c>
      <c r="D2430" t="s">
        <v>11</v>
      </c>
      <c r="E2430" t="s">
        <v>12</v>
      </c>
      <c r="F2430">
        <v>145754428</v>
      </c>
      <c r="G2430">
        <v>145754502</v>
      </c>
      <c r="H2430">
        <v>145754315</v>
      </c>
      <c r="I2430">
        <v>145754340</v>
      </c>
    </row>
    <row r="2431" spans="1:9" x14ac:dyDescent="0.2">
      <c r="A2431" s="1" t="str">
        <f>"C8orf86"</f>
        <v>C8orf86</v>
      </c>
      <c r="B2431" t="s">
        <v>14</v>
      </c>
      <c r="C2431" t="s">
        <v>30</v>
      </c>
      <c r="D2431" t="s">
        <v>11</v>
      </c>
      <c r="E2431" t="s">
        <v>12</v>
      </c>
      <c r="F2431">
        <v>38386542</v>
      </c>
      <c r="G2431">
        <v>38386555</v>
      </c>
      <c r="H2431">
        <v>38386542</v>
      </c>
      <c r="I2431">
        <v>38386555</v>
      </c>
    </row>
    <row r="2432" spans="1:9" x14ac:dyDescent="0.2">
      <c r="A2432" s="1" t="str">
        <f>"C8orf87"</f>
        <v>C8orf87</v>
      </c>
      <c r="B2432" t="s">
        <v>14</v>
      </c>
      <c r="C2432" t="s">
        <v>30</v>
      </c>
      <c r="D2432" t="s">
        <v>11</v>
      </c>
      <c r="E2432" t="s">
        <v>67</v>
      </c>
      <c r="F2432">
        <v>94179020</v>
      </c>
      <c r="G2432">
        <v>94179058</v>
      </c>
      <c r="H2432">
        <v>94179020</v>
      </c>
      <c r="I2432">
        <v>94179058</v>
      </c>
    </row>
    <row r="2433" spans="1:9" x14ac:dyDescent="0.2">
      <c r="A2433" s="1" t="str">
        <f>"C9"</f>
        <v>C9</v>
      </c>
      <c r="B2433" t="s">
        <v>182</v>
      </c>
      <c r="C2433" t="s">
        <v>46</v>
      </c>
      <c r="D2433" t="s">
        <v>11</v>
      </c>
      <c r="E2433" t="s">
        <v>20</v>
      </c>
      <c r="F2433">
        <v>39364661</v>
      </c>
      <c r="G2433">
        <v>39364661</v>
      </c>
      <c r="H2433">
        <v>39364661</v>
      </c>
      <c r="I2433">
        <v>39364661</v>
      </c>
    </row>
    <row r="2434" spans="1:9" x14ac:dyDescent="0.2">
      <c r="A2434" s="1" t="str">
        <f>"C9orf106"</f>
        <v>C9orf106</v>
      </c>
      <c r="B2434" t="s">
        <v>14</v>
      </c>
      <c r="C2434" t="s">
        <v>24</v>
      </c>
      <c r="D2434" t="s">
        <v>17</v>
      </c>
      <c r="E2434" t="s">
        <v>12</v>
      </c>
      <c r="F2434">
        <v>132083251</v>
      </c>
      <c r="G2434">
        <v>132083302</v>
      </c>
      <c r="H2434">
        <v>132083251</v>
      </c>
      <c r="I2434">
        <v>132083302</v>
      </c>
    </row>
    <row r="2435" spans="1:9" x14ac:dyDescent="0.2">
      <c r="A2435" s="1" t="str">
        <f>"C9orf114"</f>
        <v>C9orf114</v>
      </c>
      <c r="B2435" t="s">
        <v>14</v>
      </c>
      <c r="C2435" t="s">
        <v>24</v>
      </c>
      <c r="D2435" t="s">
        <v>11</v>
      </c>
      <c r="E2435" t="s">
        <v>12</v>
      </c>
      <c r="F2435">
        <v>131592058</v>
      </c>
      <c r="G2435">
        <v>131592100</v>
      </c>
      <c r="H2435">
        <v>131592058</v>
      </c>
      <c r="I2435">
        <v>131592100</v>
      </c>
    </row>
    <row r="2436" spans="1:9" x14ac:dyDescent="0.2">
      <c r="A2436" s="1" t="str">
        <f>"C9orf116"</f>
        <v>C9orf116</v>
      </c>
      <c r="B2436" t="s">
        <v>14</v>
      </c>
      <c r="C2436" t="s">
        <v>24</v>
      </c>
      <c r="D2436" t="s">
        <v>11</v>
      </c>
      <c r="E2436" t="s">
        <v>12</v>
      </c>
      <c r="F2436">
        <v>138391692</v>
      </c>
      <c r="G2436">
        <v>138391741</v>
      </c>
      <c r="H2436">
        <v>138392382</v>
      </c>
      <c r="I2436">
        <v>138392409</v>
      </c>
    </row>
    <row r="2437" spans="1:9" x14ac:dyDescent="0.2">
      <c r="A2437" s="1" t="str">
        <f>"C9orf117"</f>
        <v>C9orf117</v>
      </c>
      <c r="B2437" t="s">
        <v>14</v>
      </c>
      <c r="C2437" t="s">
        <v>24</v>
      </c>
      <c r="D2437" t="s">
        <v>17</v>
      </c>
      <c r="E2437" t="s">
        <v>12</v>
      </c>
      <c r="F2437">
        <v>130469257</v>
      </c>
      <c r="G2437">
        <v>130469288</v>
      </c>
      <c r="H2437">
        <v>130469295</v>
      </c>
      <c r="I2437">
        <v>130469308</v>
      </c>
    </row>
    <row r="2438" spans="1:9" x14ac:dyDescent="0.2">
      <c r="A2438" s="1" t="str">
        <f>"C9orf129"</f>
        <v>C9orf129</v>
      </c>
      <c r="B2438" t="s">
        <v>14</v>
      </c>
      <c r="C2438" t="s">
        <v>24</v>
      </c>
      <c r="D2438" t="s">
        <v>11</v>
      </c>
      <c r="E2438" t="s">
        <v>12</v>
      </c>
      <c r="F2438">
        <v>96108572</v>
      </c>
      <c r="G2438">
        <v>96108629</v>
      </c>
      <c r="H2438">
        <v>96108794</v>
      </c>
      <c r="I2438">
        <v>96108817</v>
      </c>
    </row>
    <row r="2439" spans="1:9" x14ac:dyDescent="0.2">
      <c r="A2439" s="1" t="str">
        <f>"C9orf131"</f>
        <v>C9orf131</v>
      </c>
      <c r="B2439" t="s">
        <v>14</v>
      </c>
      <c r="C2439" t="s">
        <v>24</v>
      </c>
      <c r="D2439" t="s">
        <v>17</v>
      </c>
      <c r="E2439" t="s">
        <v>12</v>
      </c>
      <c r="F2439">
        <v>35042222</v>
      </c>
      <c r="G2439">
        <v>35042266</v>
      </c>
      <c r="H2439">
        <v>35042222</v>
      </c>
      <c r="I2439">
        <v>35042266</v>
      </c>
    </row>
    <row r="2440" spans="1:9" x14ac:dyDescent="0.2">
      <c r="A2440" s="1" t="str">
        <f>"C9orf135"</f>
        <v>C9orf135</v>
      </c>
      <c r="B2440" t="s">
        <v>14</v>
      </c>
      <c r="C2440" t="s">
        <v>24</v>
      </c>
      <c r="D2440" t="s">
        <v>17</v>
      </c>
      <c r="E2440" t="s">
        <v>12</v>
      </c>
      <c r="F2440">
        <v>72435715</v>
      </c>
      <c r="G2440">
        <v>72435739</v>
      </c>
      <c r="H2440">
        <v>72435749</v>
      </c>
      <c r="I2440">
        <v>72435764</v>
      </c>
    </row>
    <row r="2441" spans="1:9" x14ac:dyDescent="0.2">
      <c r="A2441" s="1" t="str">
        <f>"C9orf139"</f>
        <v>C9orf139</v>
      </c>
      <c r="B2441" t="s">
        <v>14</v>
      </c>
      <c r="C2441" t="s">
        <v>24</v>
      </c>
      <c r="D2441" t="s">
        <v>17</v>
      </c>
      <c r="E2441" t="s">
        <v>12</v>
      </c>
      <c r="F2441">
        <v>139927647</v>
      </c>
      <c r="G2441">
        <v>139927660</v>
      </c>
      <c r="H2441">
        <v>139927627</v>
      </c>
      <c r="I2441">
        <v>139927639</v>
      </c>
    </row>
    <row r="2442" spans="1:9" x14ac:dyDescent="0.2">
      <c r="A2442" s="1" t="str">
        <f>"C9orf142"</f>
        <v>C9orf142</v>
      </c>
      <c r="B2442" t="s">
        <v>14</v>
      </c>
      <c r="C2442" t="s">
        <v>24</v>
      </c>
      <c r="D2442" t="s">
        <v>17</v>
      </c>
      <c r="E2442" t="s">
        <v>12</v>
      </c>
      <c r="F2442">
        <v>139886846</v>
      </c>
      <c r="G2442">
        <v>139886912</v>
      </c>
      <c r="H2442">
        <v>139887213</v>
      </c>
      <c r="I2442">
        <v>139887255</v>
      </c>
    </row>
    <row r="2443" spans="1:9" x14ac:dyDescent="0.2">
      <c r="A2443" s="1" t="str">
        <f>"C9orf152"</f>
        <v>C9orf152</v>
      </c>
      <c r="B2443" t="s">
        <v>14</v>
      </c>
      <c r="C2443" t="s">
        <v>24</v>
      </c>
      <c r="D2443" t="s">
        <v>11</v>
      </c>
      <c r="E2443" t="s">
        <v>12</v>
      </c>
      <c r="F2443">
        <v>112969793</v>
      </c>
      <c r="G2443">
        <v>112969842</v>
      </c>
      <c r="H2443">
        <v>112970436</v>
      </c>
      <c r="I2443">
        <v>112970458</v>
      </c>
    </row>
    <row r="2444" spans="1:9" x14ac:dyDescent="0.2">
      <c r="A2444" s="1" t="str">
        <f>"C9orf153"</f>
        <v>C9orf153</v>
      </c>
      <c r="B2444" t="s">
        <v>14</v>
      </c>
      <c r="C2444" t="s">
        <v>24</v>
      </c>
      <c r="D2444" t="s">
        <v>11</v>
      </c>
      <c r="E2444" t="s">
        <v>12</v>
      </c>
      <c r="F2444">
        <v>88874566</v>
      </c>
      <c r="G2444">
        <v>88874577</v>
      </c>
      <c r="H2444">
        <v>88874591</v>
      </c>
      <c r="I2444">
        <v>88874598</v>
      </c>
    </row>
    <row r="2445" spans="1:9" x14ac:dyDescent="0.2">
      <c r="A2445" s="1" t="str">
        <f>"C9orf156"</f>
        <v>C9orf156</v>
      </c>
      <c r="B2445" t="s">
        <v>14</v>
      </c>
      <c r="C2445" t="s">
        <v>24</v>
      </c>
      <c r="D2445" t="s">
        <v>11</v>
      </c>
      <c r="E2445" t="s">
        <v>12</v>
      </c>
      <c r="F2445">
        <v>100684772</v>
      </c>
      <c r="G2445">
        <v>100684816</v>
      </c>
      <c r="H2445">
        <v>100684750</v>
      </c>
      <c r="I2445">
        <v>100684759</v>
      </c>
    </row>
    <row r="2446" spans="1:9" x14ac:dyDescent="0.2">
      <c r="A2446" s="1" t="str">
        <f>"C9orf16"</f>
        <v>C9orf16</v>
      </c>
      <c r="B2446" t="s">
        <v>14</v>
      </c>
      <c r="C2446" t="s">
        <v>24</v>
      </c>
      <c r="D2446" t="s">
        <v>17</v>
      </c>
      <c r="E2446" t="s">
        <v>12</v>
      </c>
      <c r="F2446">
        <v>130922565</v>
      </c>
      <c r="G2446">
        <v>130922635</v>
      </c>
      <c r="H2446">
        <v>130922537</v>
      </c>
      <c r="I2446">
        <v>130922560</v>
      </c>
    </row>
    <row r="2447" spans="1:9" x14ac:dyDescent="0.2">
      <c r="A2447" s="1" t="str">
        <f>"C9orf163"</f>
        <v>C9orf163</v>
      </c>
      <c r="B2447" t="s">
        <v>14</v>
      </c>
      <c r="C2447" t="s">
        <v>24</v>
      </c>
      <c r="D2447" t="s">
        <v>17</v>
      </c>
      <c r="E2447" t="s">
        <v>12</v>
      </c>
      <c r="F2447">
        <v>139377969</v>
      </c>
      <c r="G2447">
        <v>139377982</v>
      </c>
      <c r="H2447">
        <v>139378325</v>
      </c>
      <c r="I2447">
        <v>139378371</v>
      </c>
    </row>
    <row r="2448" spans="1:9" x14ac:dyDescent="0.2">
      <c r="A2448" s="1" t="str">
        <f>"C9orf169"</f>
        <v>C9orf169</v>
      </c>
      <c r="B2448" t="s">
        <v>14</v>
      </c>
      <c r="C2448" t="s">
        <v>24</v>
      </c>
      <c r="D2448" t="s">
        <v>17</v>
      </c>
      <c r="E2448" t="s">
        <v>12</v>
      </c>
      <c r="F2448">
        <v>140119618</v>
      </c>
      <c r="G2448">
        <v>140119635</v>
      </c>
      <c r="H2448">
        <v>140119608</v>
      </c>
      <c r="I2448">
        <v>140119616</v>
      </c>
    </row>
    <row r="2449" spans="1:9" x14ac:dyDescent="0.2">
      <c r="A2449" s="1" t="str">
        <f>"C9orf170"</f>
        <v>C9orf170</v>
      </c>
      <c r="B2449" t="s">
        <v>14</v>
      </c>
      <c r="C2449" t="s">
        <v>24</v>
      </c>
      <c r="D2449" t="s">
        <v>17</v>
      </c>
      <c r="E2449" t="s">
        <v>12</v>
      </c>
      <c r="F2449">
        <v>89763449</v>
      </c>
      <c r="G2449">
        <v>89763474</v>
      </c>
      <c r="H2449">
        <v>89763449</v>
      </c>
      <c r="I2449">
        <v>89763474</v>
      </c>
    </row>
    <row r="2450" spans="1:9" x14ac:dyDescent="0.2">
      <c r="A2450" s="1" t="str">
        <f>"C9orf171"</f>
        <v>C9orf171</v>
      </c>
      <c r="B2450" t="s">
        <v>14</v>
      </c>
      <c r="C2450" t="s">
        <v>24</v>
      </c>
      <c r="D2450" t="s">
        <v>17</v>
      </c>
      <c r="E2450" t="s">
        <v>12</v>
      </c>
      <c r="F2450">
        <v>135285579</v>
      </c>
      <c r="G2450">
        <v>135285613</v>
      </c>
      <c r="H2450">
        <v>135285391</v>
      </c>
      <c r="I2450">
        <v>135285430</v>
      </c>
    </row>
    <row r="2451" spans="1:9" x14ac:dyDescent="0.2">
      <c r="A2451" s="1" t="str">
        <f>"C9orf172"</f>
        <v>C9orf172</v>
      </c>
      <c r="B2451" t="s">
        <v>14</v>
      </c>
      <c r="C2451" t="s">
        <v>24</v>
      </c>
      <c r="D2451" t="s">
        <v>17</v>
      </c>
      <c r="E2451" t="s">
        <v>12</v>
      </c>
      <c r="F2451">
        <v>139738396</v>
      </c>
      <c r="G2451">
        <v>139738399</v>
      </c>
      <c r="H2451">
        <v>139738396</v>
      </c>
      <c r="I2451">
        <v>139738399</v>
      </c>
    </row>
    <row r="2452" spans="1:9" x14ac:dyDescent="0.2">
      <c r="A2452" s="1" t="str">
        <f>"C9orf173"</f>
        <v>C9orf173</v>
      </c>
      <c r="B2452" t="s">
        <v>14</v>
      </c>
      <c r="C2452" t="s">
        <v>24</v>
      </c>
      <c r="D2452" t="s">
        <v>17</v>
      </c>
      <c r="E2452" t="s">
        <v>12</v>
      </c>
      <c r="F2452">
        <v>140145724</v>
      </c>
      <c r="G2452">
        <v>140145765</v>
      </c>
      <c r="H2452">
        <v>140145769</v>
      </c>
      <c r="I2452">
        <v>140145777</v>
      </c>
    </row>
    <row r="2453" spans="1:9" x14ac:dyDescent="0.2">
      <c r="A2453" s="1" t="str">
        <f>"C9orf24"</f>
        <v>C9orf24</v>
      </c>
      <c r="B2453" t="s">
        <v>14</v>
      </c>
      <c r="C2453" t="s">
        <v>24</v>
      </c>
      <c r="D2453" t="s">
        <v>11</v>
      </c>
      <c r="E2453" t="s">
        <v>12</v>
      </c>
      <c r="F2453">
        <v>34381538</v>
      </c>
      <c r="G2453">
        <v>34381602</v>
      </c>
      <c r="H2453">
        <v>34380781</v>
      </c>
      <c r="I2453">
        <v>34380829</v>
      </c>
    </row>
    <row r="2454" spans="1:9" x14ac:dyDescent="0.2">
      <c r="A2454" s="1" t="str">
        <f>"C9orf3"</f>
        <v>C9orf3</v>
      </c>
      <c r="B2454" t="s">
        <v>183</v>
      </c>
      <c r="C2454" t="s">
        <v>24</v>
      </c>
      <c r="D2454" t="s">
        <v>17</v>
      </c>
      <c r="E2454" t="s">
        <v>20</v>
      </c>
      <c r="F2454">
        <v>97522065</v>
      </c>
      <c r="G2454">
        <v>97522065</v>
      </c>
      <c r="H2454">
        <v>97522065</v>
      </c>
      <c r="I2454">
        <v>97522065</v>
      </c>
    </row>
    <row r="2455" spans="1:9" x14ac:dyDescent="0.2">
      <c r="A2455" s="1" t="str">
        <f>"C9orf37"</f>
        <v>C9orf37</v>
      </c>
      <c r="B2455" t="s">
        <v>14</v>
      </c>
      <c r="C2455" t="s">
        <v>24</v>
      </c>
      <c r="D2455" t="s">
        <v>11</v>
      </c>
      <c r="E2455" t="s">
        <v>12</v>
      </c>
      <c r="F2455">
        <v>140513231</v>
      </c>
      <c r="G2455">
        <v>140513337</v>
      </c>
      <c r="H2455">
        <v>140513046</v>
      </c>
      <c r="I2455">
        <v>140513094</v>
      </c>
    </row>
    <row r="2456" spans="1:9" x14ac:dyDescent="0.2">
      <c r="A2456" s="1" t="str">
        <f>"C9orf40"</f>
        <v>C9orf40</v>
      </c>
      <c r="B2456" t="s">
        <v>14</v>
      </c>
      <c r="C2456" t="s">
        <v>24</v>
      </c>
      <c r="D2456" t="s">
        <v>11</v>
      </c>
      <c r="E2456" t="s">
        <v>12</v>
      </c>
      <c r="F2456">
        <v>77567743</v>
      </c>
      <c r="G2456">
        <v>77567817</v>
      </c>
      <c r="H2456">
        <v>77567820</v>
      </c>
      <c r="I2456">
        <v>77567837</v>
      </c>
    </row>
    <row r="2457" spans="1:9" x14ac:dyDescent="0.2">
      <c r="A2457" s="1" t="str">
        <f>"C9orf41"</f>
        <v>C9orf41</v>
      </c>
      <c r="B2457" t="s">
        <v>14</v>
      </c>
      <c r="C2457" t="s">
        <v>24</v>
      </c>
      <c r="D2457" t="s">
        <v>11</v>
      </c>
      <c r="E2457" t="s">
        <v>12</v>
      </c>
      <c r="F2457">
        <v>77643190</v>
      </c>
      <c r="G2457">
        <v>77643246</v>
      </c>
      <c r="H2457">
        <v>77643307</v>
      </c>
      <c r="I2457">
        <v>77643366</v>
      </c>
    </row>
    <row r="2458" spans="1:9" x14ac:dyDescent="0.2">
      <c r="A2458" s="1" t="str">
        <f>"C9orf43"</f>
        <v>C9orf43</v>
      </c>
      <c r="B2458" t="s">
        <v>14</v>
      </c>
      <c r="C2458" t="s">
        <v>24</v>
      </c>
      <c r="D2458" t="s">
        <v>17</v>
      </c>
      <c r="E2458" t="s">
        <v>12</v>
      </c>
      <c r="F2458">
        <v>116173000</v>
      </c>
      <c r="G2458">
        <v>116173033</v>
      </c>
      <c r="H2458">
        <v>116173084</v>
      </c>
      <c r="I2458">
        <v>116173104</v>
      </c>
    </row>
    <row r="2459" spans="1:9" x14ac:dyDescent="0.2">
      <c r="A2459" s="1" t="str">
        <f>"C9orf47"</f>
        <v>C9orf47</v>
      </c>
      <c r="B2459" t="s">
        <v>14</v>
      </c>
      <c r="C2459" t="s">
        <v>24</v>
      </c>
      <c r="D2459" t="s">
        <v>17</v>
      </c>
      <c r="E2459" t="s">
        <v>12</v>
      </c>
      <c r="F2459">
        <v>91605755</v>
      </c>
      <c r="G2459">
        <v>91605788</v>
      </c>
      <c r="H2459">
        <v>91605755</v>
      </c>
      <c r="I2459">
        <v>91605788</v>
      </c>
    </row>
    <row r="2460" spans="1:9" x14ac:dyDescent="0.2">
      <c r="A2460" s="1" t="str">
        <f>"C9orf50"</f>
        <v>C9orf50</v>
      </c>
      <c r="B2460" t="s">
        <v>14</v>
      </c>
      <c r="C2460" t="s">
        <v>24</v>
      </c>
      <c r="D2460" t="s">
        <v>11</v>
      </c>
      <c r="E2460" t="s">
        <v>12</v>
      </c>
      <c r="F2460">
        <v>132383011</v>
      </c>
      <c r="G2460">
        <v>132383014</v>
      </c>
      <c r="H2460">
        <v>132383011</v>
      </c>
      <c r="I2460">
        <v>132383014</v>
      </c>
    </row>
    <row r="2461" spans="1:9" x14ac:dyDescent="0.2">
      <c r="A2461" s="1" t="str">
        <f>"C9orf57"</f>
        <v>C9orf57</v>
      </c>
      <c r="B2461" t="s">
        <v>14</v>
      </c>
      <c r="C2461" t="s">
        <v>24</v>
      </c>
      <c r="D2461" t="s">
        <v>11</v>
      </c>
      <c r="E2461" t="s">
        <v>12</v>
      </c>
      <c r="F2461">
        <v>74675483</v>
      </c>
      <c r="G2461">
        <v>74675502</v>
      </c>
      <c r="H2461">
        <v>74675522</v>
      </c>
      <c r="I2461">
        <v>74675533</v>
      </c>
    </row>
    <row r="2462" spans="1:9" x14ac:dyDescent="0.2">
      <c r="A2462" s="1" t="str">
        <f>"C9orf62"</f>
        <v>C9orf62</v>
      </c>
      <c r="B2462" t="s">
        <v>184</v>
      </c>
      <c r="C2462" t="s">
        <v>24</v>
      </c>
      <c r="D2462" t="s">
        <v>17</v>
      </c>
      <c r="E2462" t="s">
        <v>20</v>
      </c>
      <c r="F2462">
        <v>138235094</v>
      </c>
      <c r="G2462">
        <v>138235094</v>
      </c>
      <c r="H2462">
        <v>138235094</v>
      </c>
      <c r="I2462">
        <v>138235094</v>
      </c>
    </row>
    <row r="2463" spans="1:9" x14ac:dyDescent="0.2">
      <c r="A2463" s="1" t="str">
        <f>"C9orf64"</f>
        <v>C9orf64</v>
      </c>
      <c r="B2463" t="s">
        <v>14</v>
      </c>
      <c r="C2463" t="s">
        <v>24</v>
      </c>
      <c r="D2463" t="s">
        <v>11</v>
      </c>
      <c r="E2463" t="s">
        <v>12</v>
      </c>
      <c r="F2463">
        <v>86571641</v>
      </c>
      <c r="G2463">
        <v>86571680</v>
      </c>
      <c r="H2463">
        <v>86571628</v>
      </c>
      <c r="I2463">
        <v>86571639</v>
      </c>
    </row>
    <row r="2464" spans="1:9" x14ac:dyDescent="0.2">
      <c r="A2464" s="1" t="str">
        <f>"C9orf66"</f>
        <v>C9orf66</v>
      </c>
      <c r="B2464" t="s">
        <v>14</v>
      </c>
      <c r="C2464" t="s">
        <v>24</v>
      </c>
      <c r="D2464" t="s">
        <v>11</v>
      </c>
      <c r="E2464" t="s">
        <v>12</v>
      </c>
      <c r="F2464">
        <v>215744</v>
      </c>
      <c r="G2464">
        <v>215755</v>
      </c>
      <c r="H2464">
        <v>215539</v>
      </c>
      <c r="I2464">
        <v>215546</v>
      </c>
    </row>
    <row r="2465" spans="1:9" x14ac:dyDescent="0.2">
      <c r="A2465" s="1" t="str">
        <f>"C9orf69"</f>
        <v>C9orf69</v>
      </c>
      <c r="B2465" t="s">
        <v>14</v>
      </c>
      <c r="C2465" t="s">
        <v>24</v>
      </c>
      <c r="D2465" t="s">
        <v>11</v>
      </c>
      <c r="E2465" t="s">
        <v>12</v>
      </c>
      <c r="F2465">
        <v>139010696</v>
      </c>
      <c r="G2465">
        <v>139010764</v>
      </c>
      <c r="H2465">
        <v>139010649</v>
      </c>
      <c r="I2465">
        <v>139010689</v>
      </c>
    </row>
    <row r="2466" spans="1:9" x14ac:dyDescent="0.2">
      <c r="A2466" s="1" t="str">
        <f>"C9orf72"</f>
        <v>C9orf72</v>
      </c>
      <c r="B2466" t="s">
        <v>14</v>
      </c>
      <c r="C2466" t="s">
        <v>24</v>
      </c>
      <c r="D2466" t="s">
        <v>11</v>
      </c>
      <c r="E2466" t="s">
        <v>12</v>
      </c>
      <c r="F2466">
        <v>27573392</v>
      </c>
      <c r="G2466">
        <v>27573451</v>
      </c>
      <c r="H2466">
        <v>27573452</v>
      </c>
      <c r="I2466">
        <v>27573497</v>
      </c>
    </row>
    <row r="2467" spans="1:9" x14ac:dyDescent="0.2">
      <c r="A2467" s="1" t="str">
        <f>"C9orf78"</f>
        <v>C9orf78</v>
      </c>
      <c r="B2467" t="s">
        <v>14</v>
      </c>
      <c r="C2467" t="s">
        <v>24</v>
      </c>
      <c r="D2467" t="s">
        <v>11</v>
      </c>
      <c r="E2467" t="s">
        <v>12</v>
      </c>
      <c r="F2467">
        <v>132597529</v>
      </c>
      <c r="G2467">
        <v>132597575</v>
      </c>
      <c r="H2467">
        <v>132597511</v>
      </c>
      <c r="I2467">
        <v>132597528</v>
      </c>
    </row>
    <row r="2468" spans="1:9" x14ac:dyDescent="0.2">
      <c r="A2468" s="1" t="str">
        <f>"C9orf84"</f>
        <v>C9orf84</v>
      </c>
      <c r="B2468" t="s">
        <v>14</v>
      </c>
      <c r="C2468" t="s">
        <v>24</v>
      </c>
      <c r="D2468" t="s">
        <v>11</v>
      </c>
      <c r="E2468" t="s">
        <v>12</v>
      </c>
      <c r="F2468">
        <v>114557207</v>
      </c>
      <c r="G2468">
        <v>114557230</v>
      </c>
      <c r="H2468">
        <v>114557207</v>
      </c>
      <c r="I2468">
        <v>114557230</v>
      </c>
    </row>
    <row r="2469" spans="1:9" x14ac:dyDescent="0.2">
      <c r="A2469" s="1" t="str">
        <f>"C9orf85"</f>
        <v>C9orf85</v>
      </c>
      <c r="B2469" t="s">
        <v>14</v>
      </c>
      <c r="C2469" t="s">
        <v>24</v>
      </c>
      <c r="D2469" t="s">
        <v>17</v>
      </c>
      <c r="E2469" t="s">
        <v>12</v>
      </c>
      <c r="F2469">
        <v>74526532</v>
      </c>
      <c r="G2469">
        <v>74526573</v>
      </c>
      <c r="H2469">
        <v>74526591</v>
      </c>
      <c r="I2469">
        <v>74526621</v>
      </c>
    </row>
    <row r="2470" spans="1:9" x14ac:dyDescent="0.2">
      <c r="A2470" s="1" t="str">
        <f>"C9orf89"</f>
        <v>C9orf89</v>
      </c>
      <c r="B2470" t="s">
        <v>14</v>
      </c>
      <c r="C2470" t="s">
        <v>24</v>
      </c>
      <c r="D2470" t="s">
        <v>17</v>
      </c>
      <c r="E2470" t="s">
        <v>12</v>
      </c>
      <c r="F2470">
        <v>95858485</v>
      </c>
      <c r="G2470">
        <v>95858567</v>
      </c>
      <c r="H2470">
        <v>95858434</v>
      </c>
      <c r="I2470">
        <v>95858468</v>
      </c>
    </row>
    <row r="2471" spans="1:9" x14ac:dyDescent="0.2">
      <c r="A2471" s="1" t="str">
        <f>"C9orf9"</f>
        <v>C9orf9</v>
      </c>
      <c r="B2471" t="s">
        <v>14</v>
      </c>
      <c r="C2471" t="s">
        <v>24</v>
      </c>
      <c r="D2471" t="s">
        <v>17</v>
      </c>
      <c r="E2471" t="s">
        <v>12</v>
      </c>
      <c r="F2471">
        <v>135753701</v>
      </c>
      <c r="G2471">
        <v>135753741</v>
      </c>
      <c r="H2471">
        <v>135753744</v>
      </c>
      <c r="I2471">
        <v>135753765</v>
      </c>
    </row>
    <row r="2472" spans="1:9" x14ac:dyDescent="0.2">
      <c r="A2472" s="1" t="str">
        <f>"C9orf91"</f>
        <v>C9orf91</v>
      </c>
      <c r="B2472" t="s">
        <v>14</v>
      </c>
      <c r="C2472" t="s">
        <v>24</v>
      </c>
      <c r="D2472" t="s">
        <v>17</v>
      </c>
      <c r="E2472" t="s">
        <v>12</v>
      </c>
      <c r="F2472">
        <v>117373544</v>
      </c>
      <c r="G2472">
        <v>117373645</v>
      </c>
      <c r="H2472">
        <v>117373695</v>
      </c>
      <c r="I2472">
        <v>117373752</v>
      </c>
    </row>
    <row r="2473" spans="1:9" x14ac:dyDescent="0.2">
      <c r="A2473" s="1" t="str">
        <f>"C9orf92"</f>
        <v>C9orf92</v>
      </c>
      <c r="B2473" t="s">
        <v>185</v>
      </c>
      <c r="C2473" t="s">
        <v>24</v>
      </c>
      <c r="D2473" t="s">
        <v>11</v>
      </c>
      <c r="E2473" t="s">
        <v>20</v>
      </c>
      <c r="F2473">
        <v>16253111</v>
      </c>
      <c r="G2473">
        <v>16253111</v>
      </c>
      <c r="H2473">
        <v>16253111</v>
      </c>
      <c r="I2473">
        <v>16253111</v>
      </c>
    </row>
    <row r="2474" spans="1:9" x14ac:dyDescent="0.2">
      <c r="A2474" s="1" t="str">
        <f>"C9orf92"</f>
        <v>C9orf92</v>
      </c>
      <c r="B2474" t="s">
        <v>186</v>
      </c>
      <c r="C2474" t="s">
        <v>24</v>
      </c>
      <c r="D2474" t="s">
        <v>11</v>
      </c>
      <c r="E2474" t="s">
        <v>20</v>
      </c>
      <c r="F2474">
        <v>16276310</v>
      </c>
      <c r="G2474">
        <v>16276310</v>
      </c>
      <c r="H2474">
        <v>16276310</v>
      </c>
      <c r="I2474">
        <v>16276310</v>
      </c>
    </row>
    <row r="2475" spans="1:9" x14ac:dyDescent="0.2">
      <c r="A2475" s="1" t="str">
        <f>"C9orf96"</f>
        <v>C9orf96</v>
      </c>
      <c r="B2475" t="s">
        <v>14</v>
      </c>
      <c r="C2475" t="s">
        <v>24</v>
      </c>
      <c r="D2475" t="s">
        <v>17</v>
      </c>
      <c r="E2475" t="s">
        <v>12</v>
      </c>
      <c r="F2475">
        <v>136243210</v>
      </c>
      <c r="G2475">
        <v>136243245</v>
      </c>
      <c r="H2475">
        <v>136243302</v>
      </c>
      <c r="I2475">
        <v>136243319</v>
      </c>
    </row>
    <row r="2476" spans="1:9" x14ac:dyDescent="0.2">
      <c r="A2476" s="1" t="str">
        <f>"CA1"</f>
        <v>CA1</v>
      </c>
      <c r="B2476" t="s">
        <v>14</v>
      </c>
      <c r="C2476" t="s">
        <v>30</v>
      </c>
      <c r="D2476" t="s">
        <v>11</v>
      </c>
      <c r="E2476" t="s">
        <v>12</v>
      </c>
      <c r="F2476">
        <v>86290333</v>
      </c>
      <c r="G2476">
        <v>86290348</v>
      </c>
      <c r="H2476">
        <v>86290333</v>
      </c>
      <c r="I2476">
        <v>86290348</v>
      </c>
    </row>
    <row r="2477" spans="1:9" x14ac:dyDescent="0.2">
      <c r="A2477" s="1" t="str">
        <f>"CA10"</f>
        <v>CA10</v>
      </c>
      <c r="B2477" t="s">
        <v>14</v>
      </c>
      <c r="C2477" t="s">
        <v>28</v>
      </c>
      <c r="D2477" t="s">
        <v>11</v>
      </c>
      <c r="E2477" t="s">
        <v>12</v>
      </c>
      <c r="F2477">
        <v>50236039</v>
      </c>
      <c r="G2477">
        <v>50236085</v>
      </c>
      <c r="H2477">
        <v>50235645</v>
      </c>
      <c r="I2477">
        <v>50235676</v>
      </c>
    </row>
    <row r="2478" spans="1:9" x14ac:dyDescent="0.2">
      <c r="A2478" s="1" t="str">
        <f>"CA11"</f>
        <v>CA11</v>
      </c>
      <c r="B2478" t="s">
        <v>14</v>
      </c>
      <c r="C2478" t="s">
        <v>10</v>
      </c>
      <c r="D2478" t="s">
        <v>11</v>
      </c>
      <c r="E2478" t="s">
        <v>12</v>
      </c>
      <c r="F2478">
        <v>49149268</v>
      </c>
      <c r="G2478">
        <v>49149357</v>
      </c>
      <c r="H2478">
        <v>49149405</v>
      </c>
      <c r="I2478">
        <v>49149459</v>
      </c>
    </row>
    <row r="2479" spans="1:9" x14ac:dyDescent="0.2">
      <c r="A2479" s="1" t="str">
        <f>"CA12"</f>
        <v>CA12</v>
      </c>
      <c r="B2479" t="s">
        <v>14</v>
      </c>
      <c r="C2479" t="s">
        <v>25</v>
      </c>
      <c r="D2479" t="s">
        <v>11</v>
      </c>
      <c r="E2479" t="s">
        <v>12</v>
      </c>
      <c r="F2479">
        <v>63674037</v>
      </c>
      <c r="G2479">
        <v>63674053</v>
      </c>
      <c r="H2479">
        <v>63674218</v>
      </c>
      <c r="I2479">
        <v>63674322</v>
      </c>
    </row>
    <row r="2480" spans="1:9" x14ac:dyDescent="0.2">
      <c r="A2480" s="1" t="str">
        <f>"CA13"</f>
        <v>CA13</v>
      </c>
      <c r="B2480" t="s">
        <v>14</v>
      </c>
      <c r="C2480" t="s">
        <v>30</v>
      </c>
      <c r="D2480" t="s">
        <v>17</v>
      </c>
      <c r="E2480" t="s">
        <v>12</v>
      </c>
      <c r="F2480">
        <v>86157699</v>
      </c>
      <c r="G2480">
        <v>86157750</v>
      </c>
      <c r="H2480">
        <v>86157988</v>
      </c>
      <c r="I2480">
        <v>86158048</v>
      </c>
    </row>
    <row r="2481" spans="1:9" x14ac:dyDescent="0.2">
      <c r="A2481" s="1" t="str">
        <f>"CA14"</f>
        <v>CA14</v>
      </c>
      <c r="B2481" t="s">
        <v>14</v>
      </c>
      <c r="C2481" t="s">
        <v>19</v>
      </c>
      <c r="D2481" t="s">
        <v>17</v>
      </c>
      <c r="E2481" t="s">
        <v>12</v>
      </c>
      <c r="F2481">
        <v>150230431</v>
      </c>
      <c r="G2481">
        <v>150230501</v>
      </c>
      <c r="H2481">
        <v>150230247</v>
      </c>
      <c r="I2481">
        <v>150230279</v>
      </c>
    </row>
    <row r="2482" spans="1:9" x14ac:dyDescent="0.2">
      <c r="A2482" s="1" t="str">
        <f>"CA2"</f>
        <v>CA2</v>
      </c>
      <c r="B2482" t="s">
        <v>14</v>
      </c>
      <c r="C2482" t="s">
        <v>30</v>
      </c>
      <c r="D2482" t="s">
        <v>17</v>
      </c>
      <c r="E2482" t="s">
        <v>12</v>
      </c>
      <c r="F2482">
        <v>86376226</v>
      </c>
      <c r="G2482">
        <v>86376243</v>
      </c>
      <c r="H2482">
        <v>86376226</v>
      </c>
      <c r="I2482">
        <v>86376243</v>
      </c>
    </row>
    <row r="2483" spans="1:9" x14ac:dyDescent="0.2">
      <c r="A2483" s="1" t="str">
        <f>"CA3"</f>
        <v>CA3</v>
      </c>
      <c r="B2483" t="s">
        <v>14</v>
      </c>
      <c r="C2483" t="s">
        <v>30</v>
      </c>
      <c r="D2483" t="s">
        <v>17</v>
      </c>
      <c r="E2483" t="s">
        <v>12</v>
      </c>
      <c r="F2483">
        <v>86351078</v>
      </c>
      <c r="G2483">
        <v>86351094</v>
      </c>
      <c r="H2483">
        <v>86351078</v>
      </c>
      <c r="I2483">
        <v>86351094</v>
      </c>
    </row>
    <row r="2484" spans="1:9" x14ac:dyDescent="0.2">
      <c r="A2484" s="1" t="str">
        <f>"CA4"</f>
        <v>CA4</v>
      </c>
      <c r="B2484" t="s">
        <v>14</v>
      </c>
      <c r="C2484" t="s">
        <v>28</v>
      </c>
      <c r="D2484" t="s">
        <v>17</v>
      </c>
      <c r="E2484" t="s">
        <v>12</v>
      </c>
      <c r="F2484">
        <v>58227325</v>
      </c>
      <c r="G2484">
        <v>58227341</v>
      </c>
      <c r="H2484">
        <v>58227287</v>
      </c>
      <c r="I2484">
        <v>58227313</v>
      </c>
    </row>
    <row r="2485" spans="1:9" x14ac:dyDescent="0.2">
      <c r="A2485" s="1" t="str">
        <f>"CA5A"</f>
        <v>CA5A</v>
      </c>
      <c r="B2485" t="s">
        <v>14</v>
      </c>
      <c r="C2485" t="s">
        <v>31</v>
      </c>
      <c r="D2485" t="s">
        <v>11</v>
      </c>
      <c r="E2485" t="s">
        <v>12</v>
      </c>
      <c r="F2485">
        <v>87970084</v>
      </c>
      <c r="G2485">
        <v>87970094</v>
      </c>
      <c r="H2485">
        <v>87970084</v>
      </c>
      <c r="I2485">
        <v>87970094</v>
      </c>
    </row>
    <row r="2486" spans="1:9" x14ac:dyDescent="0.2">
      <c r="A2486" s="1" t="str">
        <f>"CA5B"</f>
        <v>CA5B</v>
      </c>
      <c r="B2486" t="s">
        <v>14</v>
      </c>
      <c r="C2486" t="s">
        <v>37</v>
      </c>
      <c r="D2486" t="s">
        <v>17</v>
      </c>
      <c r="E2486" t="s">
        <v>12</v>
      </c>
      <c r="F2486">
        <v>15756382</v>
      </c>
      <c r="G2486">
        <v>15756446</v>
      </c>
      <c r="H2486">
        <v>15756382</v>
      </c>
      <c r="I2486">
        <v>15756446</v>
      </c>
    </row>
    <row r="2487" spans="1:9" x14ac:dyDescent="0.2">
      <c r="A2487" s="1" t="str">
        <f>"CA6"</f>
        <v>CA6</v>
      </c>
      <c r="B2487" t="s">
        <v>14</v>
      </c>
      <c r="C2487" t="s">
        <v>19</v>
      </c>
      <c r="D2487" t="s">
        <v>17</v>
      </c>
      <c r="E2487" t="s">
        <v>12</v>
      </c>
      <c r="F2487">
        <v>9005917</v>
      </c>
      <c r="G2487">
        <v>9005935</v>
      </c>
      <c r="H2487">
        <v>9005917</v>
      </c>
      <c r="I2487">
        <v>9005935</v>
      </c>
    </row>
    <row r="2488" spans="1:9" x14ac:dyDescent="0.2">
      <c r="A2488" s="1" t="str">
        <f>"CA7"</f>
        <v>CA7</v>
      </c>
      <c r="B2488" t="s">
        <v>14</v>
      </c>
      <c r="C2488" t="s">
        <v>31</v>
      </c>
      <c r="D2488" t="s">
        <v>17</v>
      </c>
      <c r="E2488" t="s">
        <v>12</v>
      </c>
      <c r="F2488">
        <v>66878311</v>
      </c>
      <c r="G2488">
        <v>66878325</v>
      </c>
      <c r="H2488">
        <v>66878278</v>
      </c>
      <c r="I2488">
        <v>66878301</v>
      </c>
    </row>
    <row r="2489" spans="1:9" x14ac:dyDescent="0.2">
      <c r="A2489" s="1" t="str">
        <f>"CA8"</f>
        <v>CA8</v>
      </c>
      <c r="B2489" t="s">
        <v>14</v>
      </c>
      <c r="C2489" t="s">
        <v>30</v>
      </c>
      <c r="D2489" t="s">
        <v>11</v>
      </c>
      <c r="E2489" t="s">
        <v>12</v>
      </c>
      <c r="F2489">
        <v>61193947</v>
      </c>
      <c r="G2489">
        <v>61193965</v>
      </c>
      <c r="H2489">
        <v>61193767</v>
      </c>
      <c r="I2489">
        <v>61193782</v>
      </c>
    </row>
    <row r="2490" spans="1:9" x14ac:dyDescent="0.2">
      <c r="A2490" s="1" t="str">
        <f>"CA9"</f>
        <v>CA9</v>
      </c>
      <c r="B2490" t="s">
        <v>14</v>
      </c>
      <c r="C2490" t="s">
        <v>24</v>
      </c>
      <c r="D2490" t="s">
        <v>17</v>
      </c>
      <c r="E2490" t="s">
        <v>12</v>
      </c>
      <c r="F2490">
        <v>35673915</v>
      </c>
      <c r="G2490">
        <v>35673952</v>
      </c>
      <c r="H2490">
        <v>35673894</v>
      </c>
      <c r="I2490">
        <v>35673905</v>
      </c>
    </row>
    <row r="2491" spans="1:9" x14ac:dyDescent="0.2">
      <c r="A2491" s="1" t="str">
        <f>"CAAP1"</f>
        <v>CAAP1</v>
      </c>
      <c r="B2491" t="s">
        <v>14</v>
      </c>
      <c r="C2491" t="s">
        <v>24</v>
      </c>
      <c r="D2491" t="s">
        <v>11</v>
      </c>
      <c r="E2491" t="s">
        <v>12</v>
      </c>
      <c r="F2491">
        <v>26892765</v>
      </c>
      <c r="G2491">
        <v>26892822</v>
      </c>
      <c r="H2491">
        <v>26892732</v>
      </c>
      <c r="I2491">
        <v>26892764</v>
      </c>
    </row>
    <row r="2492" spans="1:9" x14ac:dyDescent="0.2">
      <c r="A2492" s="1" t="str">
        <f>"CAB39"</f>
        <v>CAB39</v>
      </c>
      <c r="B2492" t="s">
        <v>14</v>
      </c>
      <c r="C2492" t="s">
        <v>26</v>
      </c>
      <c r="D2492" t="s">
        <v>17</v>
      </c>
      <c r="E2492" t="s">
        <v>12</v>
      </c>
      <c r="F2492">
        <v>231577532</v>
      </c>
      <c r="G2492">
        <v>231577639</v>
      </c>
      <c r="H2492">
        <v>231577532</v>
      </c>
      <c r="I2492">
        <v>231577639</v>
      </c>
    </row>
    <row r="2493" spans="1:9" x14ac:dyDescent="0.2">
      <c r="A2493" s="1" t="str">
        <f>"CAB39L"</f>
        <v>CAB39L</v>
      </c>
      <c r="B2493" t="s">
        <v>9</v>
      </c>
      <c r="C2493" t="s">
        <v>39</v>
      </c>
      <c r="D2493" t="s">
        <v>11</v>
      </c>
      <c r="E2493" t="s">
        <v>12</v>
      </c>
      <c r="F2493">
        <v>50018140</v>
      </c>
      <c r="G2493">
        <v>50018212</v>
      </c>
      <c r="H2493">
        <v>50018140</v>
      </c>
      <c r="I2493">
        <v>50018212</v>
      </c>
    </row>
    <row r="2494" spans="1:9" x14ac:dyDescent="0.2">
      <c r="A2494" s="1" t="str">
        <f>"CAB39L"</f>
        <v>CAB39L</v>
      </c>
      <c r="B2494" t="s">
        <v>13</v>
      </c>
      <c r="C2494" t="s">
        <v>39</v>
      </c>
      <c r="D2494" t="s">
        <v>11</v>
      </c>
      <c r="E2494" t="s">
        <v>12</v>
      </c>
      <c r="F2494">
        <v>49975632</v>
      </c>
      <c r="G2494">
        <v>49975694</v>
      </c>
      <c r="H2494">
        <v>49975632</v>
      </c>
      <c r="I2494">
        <v>49975694</v>
      </c>
    </row>
    <row r="2495" spans="1:9" x14ac:dyDescent="0.2">
      <c r="A2495" s="1" t="str">
        <f>"CABIN1"</f>
        <v>CABIN1</v>
      </c>
      <c r="B2495" t="s">
        <v>14</v>
      </c>
      <c r="C2495" t="s">
        <v>21</v>
      </c>
      <c r="D2495" t="s">
        <v>17</v>
      </c>
      <c r="E2495" t="s">
        <v>12</v>
      </c>
      <c r="F2495">
        <v>24407847</v>
      </c>
      <c r="G2495">
        <v>24407910</v>
      </c>
      <c r="H2495">
        <v>24407776</v>
      </c>
      <c r="I2495">
        <v>24407825</v>
      </c>
    </row>
    <row r="2496" spans="1:9" x14ac:dyDescent="0.2">
      <c r="A2496" s="1" t="str">
        <f>"CABLES1"</f>
        <v>CABLES1</v>
      </c>
      <c r="B2496" t="s">
        <v>14</v>
      </c>
      <c r="C2496" t="s">
        <v>43</v>
      </c>
      <c r="D2496" t="s">
        <v>17</v>
      </c>
      <c r="E2496" t="s">
        <v>12</v>
      </c>
      <c r="F2496">
        <v>20715441</v>
      </c>
      <c r="G2496">
        <v>20715457</v>
      </c>
      <c r="H2496">
        <v>20715616</v>
      </c>
      <c r="I2496">
        <v>20715670</v>
      </c>
    </row>
    <row r="2497" spans="1:9" x14ac:dyDescent="0.2">
      <c r="A2497" s="1" t="str">
        <f>"CABLES2"</f>
        <v>CABLES2</v>
      </c>
      <c r="B2497" t="s">
        <v>14</v>
      </c>
      <c r="C2497" t="s">
        <v>29</v>
      </c>
      <c r="D2497" t="s">
        <v>11</v>
      </c>
      <c r="E2497" t="s">
        <v>12</v>
      </c>
      <c r="F2497">
        <v>60982330</v>
      </c>
      <c r="G2497">
        <v>60982375</v>
      </c>
      <c r="H2497">
        <v>60982330</v>
      </c>
      <c r="I2497">
        <v>60982375</v>
      </c>
    </row>
    <row r="2498" spans="1:9" x14ac:dyDescent="0.2">
      <c r="A2498" s="1" t="str">
        <f>"CABP1"</f>
        <v>CABP1</v>
      </c>
      <c r="B2498" t="s">
        <v>14</v>
      </c>
      <c r="C2498" t="s">
        <v>16</v>
      </c>
      <c r="D2498" t="s">
        <v>17</v>
      </c>
      <c r="E2498" t="s">
        <v>12</v>
      </c>
      <c r="F2498">
        <v>121078535</v>
      </c>
      <c r="G2498">
        <v>121078550</v>
      </c>
      <c r="H2498">
        <v>121078423</v>
      </c>
      <c r="I2498">
        <v>121078446</v>
      </c>
    </row>
    <row r="2499" spans="1:9" x14ac:dyDescent="0.2">
      <c r="A2499" s="1" t="str">
        <f>"CABP2"</f>
        <v>CABP2</v>
      </c>
      <c r="B2499" t="s">
        <v>14</v>
      </c>
      <c r="C2499" t="s">
        <v>27</v>
      </c>
      <c r="D2499" t="s">
        <v>11</v>
      </c>
      <c r="E2499" t="s">
        <v>12</v>
      </c>
      <c r="F2499">
        <v>67290913</v>
      </c>
      <c r="G2499">
        <v>67290920</v>
      </c>
      <c r="H2499">
        <v>67290913</v>
      </c>
      <c r="I2499">
        <v>67290920</v>
      </c>
    </row>
    <row r="2500" spans="1:9" x14ac:dyDescent="0.2">
      <c r="A2500" s="1" t="str">
        <f>"CABP4"</f>
        <v>CABP4</v>
      </c>
      <c r="B2500" t="s">
        <v>9</v>
      </c>
      <c r="C2500" t="s">
        <v>27</v>
      </c>
      <c r="D2500" t="s">
        <v>17</v>
      </c>
      <c r="E2500" t="s">
        <v>12</v>
      </c>
      <c r="F2500">
        <v>67219867</v>
      </c>
      <c r="G2500">
        <v>67219912</v>
      </c>
      <c r="H2500">
        <v>67219867</v>
      </c>
      <c r="I2500">
        <v>67219912</v>
      </c>
    </row>
    <row r="2501" spans="1:9" x14ac:dyDescent="0.2">
      <c r="A2501" s="1" t="str">
        <f>"CABP4"</f>
        <v>CABP4</v>
      </c>
      <c r="B2501" t="s">
        <v>13</v>
      </c>
      <c r="C2501" t="s">
        <v>27</v>
      </c>
      <c r="D2501" t="s">
        <v>17</v>
      </c>
      <c r="E2501" t="s">
        <v>12</v>
      </c>
      <c r="F2501">
        <v>67222877</v>
      </c>
      <c r="G2501">
        <v>67222887</v>
      </c>
      <c r="H2501">
        <v>67222877</v>
      </c>
      <c r="I2501">
        <v>67222887</v>
      </c>
    </row>
    <row r="2502" spans="1:9" x14ac:dyDescent="0.2">
      <c r="A2502" s="1" t="str">
        <f>"CABP5"</f>
        <v>CABP5</v>
      </c>
      <c r="B2502" t="s">
        <v>14</v>
      </c>
      <c r="C2502" t="s">
        <v>10</v>
      </c>
      <c r="D2502" t="s">
        <v>11</v>
      </c>
      <c r="E2502" t="s">
        <v>12</v>
      </c>
      <c r="F2502">
        <v>48547294</v>
      </c>
      <c r="G2502">
        <v>48547342</v>
      </c>
      <c r="H2502">
        <v>48547294</v>
      </c>
      <c r="I2502">
        <v>48547342</v>
      </c>
    </row>
    <row r="2503" spans="1:9" x14ac:dyDescent="0.2">
      <c r="A2503" s="1" t="str">
        <f>"CABP7"</f>
        <v>CABP7</v>
      </c>
      <c r="B2503" t="s">
        <v>14</v>
      </c>
      <c r="C2503" t="s">
        <v>21</v>
      </c>
      <c r="D2503" t="s">
        <v>17</v>
      </c>
      <c r="E2503" t="s">
        <v>12</v>
      </c>
      <c r="F2503">
        <v>30115986</v>
      </c>
      <c r="G2503">
        <v>30116004</v>
      </c>
      <c r="H2503">
        <v>30116273</v>
      </c>
      <c r="I2503">
        <v>30116287</v>
      </c>
    </row>
    <row r="2504" spans="1:9" x14ac:dyDescent="0.2">
      <c r="A2504" s="1" t="str">
        <f>"CABS1"</f>
        <v>CABS1</v>
      </c>
      <c r="B2504" t="s">
        <v>14</v>
      </c>
      <c r="C2504" t="s">
        <v>23</v>
      </c>
      <c r="D2504" t="s">
        <v>17</v>
      </c>
      <c r="E2504" t="s">
        <v>12</v>
      </c>
      <c r="F2504">
        <v>71200691</v>
      </c>
      <c r="G2504">
        <v>71200719</v>
      </c>
      <c r="H2504">
        <v>71200681</v>
      </c>
      <c r="I2504">
        <v>71200690</v>
      </c>
    </row>
    <row r="2505" spans="1:9" x14ac:dyDescent="0.2">
      <c r="A2505" s="1" t="str">
        <f>"CABYR"</f>
        <v>CABYR</v>
      </c>
      <c r="B2505" t="s">
        <v>14</v>
      </c>
      <c r="C2505" t="s">
        <v>43</v>
      </c>
      <c r="D2505" t="s">
        <v>17</v>
      </c>
      <c r="E2505" t="s">
        <v>12</v>
      </c>
      <c r="F2505">
        <v>21719018</v>
      </c>
      <c r="G2505">
        <v>21719033</v>
      </c>
      <c r="H2505">
        <v>21718924</v>
      </c>
      <c r="I2505">
        <v>21718963</v>
      </c>
    </row>
    <row r="2506" spans="1:9" x14ac:dyDescent="0.2">
      <c r="A2506" s="1" t="str">
        <f>"CACFD1"</f>
        <v>CACFD1</v>
      </c>
      <c r="B2506" t="s">
        <v>14</v>
      </c>
      <c r="C2506" t="s">
        <v>24</v>
      </c>
      <c r="D2506" t="s">
        <v>17</v>
      </c>
      <c r="E2506" t="s">
        <v>12</v>
      </c>
      <c r="F2506">
        <v>136325093</v>
      </c>
      <c r="G2506">
        <v>136325144</v>
      </c>
      <c r="H2506">
        <v>136325149</v>
      </c>
      <c r="I2506">
        <v>136325171</v>
      </c>
    </row>
    <row r="2507" spans="1:9" x14ac:dyDescent="0.2">
      <c r="A2507" s="1" t="str">
        <f>"CACHD1"</f>
        <v>CACHD1</v>
      </c>
      <c r="B2507" t="s">
        <v>14</v>
      </c>
      <c r="C2507" t="s">
        <v>19</v>
      </c>
      <c r="D2507" t="s">
        <v>17</v>
      </c>
      <c r="E2507" t="s">
        <v>12</v>
      </c>
      <c r="F2507">
        <v>64935909</v>
      </c>
      <c r="G2507">
        <v>64935929</v>
      </c>
      <c r="H2507">
        <v>64935909</v>
      </c>
      <c r="I2507">
        <v>64935929</v>
      </c>
    </row>
    <row r="2508" spans="1:9" x14ac:dyDescent="0.2">
      <c r="A2508" s="1" t="str">
        <f>"CACNA1A"</f>
        <v>CACNA1A</v>
      </c>
      <c r="B2508" t="s">
        <v>14</v>
      </c>
      <c r="C2508" t="s">
        <v>10</v>
      </c>
      <c r="D2508" t="s">
        <v>11</v>
      </c>
      <c r="E2508" t="s">
        <v>12</v>
      </c>
      <c r="F2508">
        <v>13617247</v>
      </c>
      <c r="G2508">
        <v>13617319</v>
      </c>
      <c r="H2508">
        <v>13617115</v>
      </c>
      <c r="I2508">
        <v>13617145</v>
      </c>
    </row>
    <row r="2509" spans="1:9" x14ac:dyDescent="0.2">
      <c r="A2509" s="1" t="str">
        <f>"CACNA1B"</f>
        <v>CACNA1B</v>
      </c>
      <c r="B2509" t="s">
        <v>14</v>
      </c>
      <c r="C2509" t="s">
        <v>24</v>
      </c>
      <c r="D2509" t="s">
        <v>17</v>
      </c>
      <c r="E2509" t="s">
        <v>12</v>
      </c>
      <c r="F2509">
        <v>140772226</v>
      </c>
      <c r="G2509">
        <v>140772240</v>
      </c>
      <c r="H2509">
        <v>140772226</v>
      </c>
      <c r="I2509">
        <v>140772240</v>
      </c>
    </row>
    <row r="2510" spans="1:9" x14ac:dyDescent="0.2">
      <c r="A2510" s="1" t="str">
        <f>"CACNA1C"</f>
        <v>CACNA1C</v>
      </c>
      <c r="B2510" t="s">
        <v>14</v>
      </c>
      <c r="C2510" t="s">
        <v>16</v>
      </c>
      <c r="D2510" t="s">
        <v>17</v>
      </c>
      <c r="E2510" t="s">
        <v>12</v>
      </c>
      <c r="F2510">
        <v>2162144</v>
      </c>
      <c r="G2510">
        <v>2162196</v>
      </c>
      <c r="H2510">
        <v>2162144</v>
      </c>
      <c r="I2510">
        <v>2162196</v>
      </c>
    </row>
    <row r="2511" spans="1:9" x14ac:dyDescent="0.2">
      <c r="A2511" s="1" t="str">
        <f>"CACNA1D"</f>
        <v>CACNA1D</v>
      </c>
      <c r="B2511" t="s">
        <v>14</v>
      </c>
      <c r="C2511" t="s">
        <v>22</v>
      </c>
      <c r="D2511" t="s">
        <v>17</v>
      </c>
      <c r="E2511" t="s">
        <v>12</v>
      </c>
      <c r="F2511">
        <v>53528659</v>
      </c>
      <c r="G2511">
        <v>53528750</v>
      </c>
      <c r="H2511">
        <v>53528618</v>
      </c>
      <c r="I2511">
        <v>53528658</v>
      </c>
    </row>
    <row r="2512" spans="1:9" x14ac:dyDescent="0.2">
      <c r="A2512" s="1" t="str">
        <f>"CACNA1E"</f>
        <v>CACNA1E</v>
      </c>
      <c r="B2512" t="s">
        <v>14</v>
      </c>
      <c r="C2512" t="s">
        <v>19</v>
      </c>
      <c r="D2512" t="s">
        <v>17</v>
      </c>
      <c r="E2512" t="s">
        <v>12</v>
      </c>
      <c r="F2512">
        <v>181451990</v>
      </c>
      <c r="G2512">
        <v>181452068</v>
      </c>
      <c r="H2512">
        <v>181452646</v>
      </c>
      <c r="I2512">
        <v>181452664</v>
      </c>
    </row>
    <row r="2513" spans="1:9" x14ac:dyDescent="0.2">
      <c r="A2513" s="1" t="str">
        <f>"CACNA1F"</f>
        <v>CACNA1F</v>
      </c>
      <c r="B2513" t="s">
        <v>14</v>
      </c>
      <c r="C2513" t="s">
        <v>37</v>
      </c>
      <c r="D2513" t="s">
        <v>11</v>
      </c>
      <c r="E2513" t="s">
        <v>12</v>
      </c>
      <c r="F2513">
        <v>49089791</v>
      </c>
      <c r="G2513">
        <v>49089807</v>
      </c>
      <c r="H2513">
        <v>49089791</v>
      </c>
      <c r="I2513">
        <v>49089807</v>
      </c>
    </row>
    <row r="2514" spans="1:9" x14ac:dyDescent="0.2">
      <c r="A2514" s="1" t="str">
        <f>"CACNA1G"</f>
        <v>CACNA1G</v>
      </c>
      <c r="B2514" t="s">
        <v>14</v>
      </c>
      <c r="C2514" t="s">
        <v>28</v>
      </c>
      <c r="D2514" t="s">
        <v>17</v>
      </c>
      <c r="E2514" t="s">
        <v>12</v>
      </c>
      <c r="F2514">
        <v>48638068</v>
      </c>
      <c r="G2514">
        <v>48638089</v>
      </c>
      <c r="H2514">
        <v>48638092</v>
      </c>
      <c r="I2514">
        <v>48638115</v>
      </c>
    </row>
    <row r="2515" spans="1:9" x14ac:dyDescent="0.2">
      <c r="A2515" s="1" t="str">
        <f>"CACNA1H"</f>
        <v>CACNA1H</v>
      </c>
      <c r="B2515" t="s">
        <v>14</v>
      </c>
      <c r="C2515" t="s">
        <v>31</v>
      </c>
      <c r="D2515" t="s">
        <v>17</v>
      </c>
      <c r="E2515" t="s">
        <v>12</v>
      </c>
      <c r="F2515">
        <v>1203098</v>
      </c>
      <c r="G2515">
        <v>1203117</v>
      </c>
      <c r="H2515">
        <v>1203127</v>
      </c>
      <c r="I2515">
        <v>1203150</v>
      </c>
    </row>
    <row r="2516" spans="1:9" x14ac:dyDescent="0.2">
      <c r="A2516" s="1" t="str">
        <f>"CACNA1I"</f>
        <v>CACNA1I</v>
      </c>
      <c r="B2516" t="s">
        <v>14</v>
      </c>
      <c r="C2516" t="s">
        <v>21</v>
      </c>
      <c r="D2516" t="s">
        <v>17</v>
      </c>
      <c r="E2516" t="s">
        <v>12</v>
      </c>
      <c r="F2516">
        <v>39966718</v>
      </c>
      <c r="G2516">
        <v>39966749</v>
      </c>
      <c r="H2516">
        <v>39966629</v>
      </c>
      <c r="I2516">
        <v>39966659</v>
      </c>
    </row>
    <row r="2517" spans="1:9" x14ac:dyDescent="0.2">
      <c r="A2517" s="1" t="str">
        <f>"CACNA1S"</f>
        <v>CACNA1S</v>
      </c>
      <c r="B2517" t="s">
        <v>14</v>
      </c>
      <c r="C2517" t="s">
        <v>19</v>
      </c>
      <c r="D2517" t="s">
        <v>11</v>
      </c>
      <c r="E2517" t="s">
        <v>12</v>
      </c>
      <c r="F2517">
        <v>201081548</v>
      </c>
      <c r="G2517">
        <v>201081569</v>
      </c>
      <c r="H2517">
        <v>201081583</v>
      </c>
      <c r="I2517">
        <v>201081592</v>
      </c>
    </row>
    <row r="2518" spans="1:9" x14ac:dyDescent="0.2">
      <c r="A2518" s="1" t="str">
        <f>"CACNA2D1"</f>
        <v>CACNA2D1</v>
      </c>
      <c r="B2518" t="s">
        <v>14</v>
      </c>
      <c r="C2518" t="s">
        <v>33</v>
      </c>
      <c r="D2518" t="s">
        <v>11</v>
      </c>
      <c r="E2518" t="s">
        <v>12</v>
      </c>
      <c r="F2518">
        <v>82073222</v>
      </c>
      <c r="G2518">
        <v>82073291</v>
      </c>
      <c r="H2518">
        <v>82073082</v>
      </c>
      <c r="I2518">
        <v>82073100</v>
      </c>
    </row>
    <row r="2519" spans="1:9" x14ac:dyDescent="0.2">
      <c r="A2519" s="1" t="str">
        <f>"CACNA2D2"</f>
        <v>CACNA2D2</v>
      </c>
      <c r="B2519" t="s">
        <v>14</v>
      </c>
      <c r="C2519" t="s">
        <v>22</v>
      </c>
      <c r="D2519" t="s">
        <v>11</v>
      </c>
      <c r="E2519" t="s">
        <v>12</v>
      </c>
      <c r="F2519">
        <v>50541057</v>
      </c>
      <c r="G2519">
        <v>50541072</v>
      </c>
      <c r="H2519">
        <v>50541108</v>
      </c>
      <c r="I2519">
        <v>50541116</v>
      </c>
    </row>
    <row r="2520" spans="1:9" x14ac:dyDescent="0.2">
      <c r="A2520" s="1" t="str">
        <f>"CACNA2D3"</f>
        <v>CACNA2D3</v>
      </c>
      <c r="B2520" t="s">
        <v>14</v>
      </c>
      <c r="C2520" t="s">
        <v>22</v>
      </c>
      <c r="D2520" t="s">
        <v>17</v>
      </c>
      <c r="E2520" t="s">
        <v>12</v>
      </c>
      <c r="F2520">
        <v>54156570</v>
      </c>
      <c r="G2520">
        <v>54156627</v>
      </c>
      <c r="H2520">
        <v>54157480</v>
      </c>
      <c r="I2520">
        <v>54157547</v>
      </c>
    </row>
    <row r="2521" spans="1:9" x14ac:dyDescent="0.2">
      <c r="A2521" s="1" t="str">
        <f>"CACNA2D4"</f>
        <v>CACNA2D4</v>
      </c>
      <c r="B2521" t="s">
        <v>187</v>
      </c>
      <c r="C2521" t="s">
        <v>16</v>
      </c>
      <c r="D2521" t="s">
        <v>11</v>
      </c>
      <c r="E2521" t="s">
        <v>35</v>
      </c>
      <c r="F2521">
        <v>2027832</v>
      </c>
      <c r="G2521">
        <v>2027849</v>
      </c>
      <c r="H2521">
        <v>2027805</v>
      </c>
      <c r="I2521">
        <v>2027827</v>
      </c>
    </row>
    <row r="2522" spans="1:9" x14ac:dyDescent="0.2">
      <c r="A2522" s="1" t="str">
        <f>"CACNA2D4"</f>
        <v>CACNA2D4</v>
      </c>
      <c r="B2522" t="s">
        <v>188</v>
      </c>
      <c r="C2522" t="s">
        <v>16</v>
      </c>
      <c r="D2522" t="s">
        <v>11</v>
      </c>
      <c r="E2522" t="s">
        <v>35</v>
      </c>
      <c r="F2522">
        <v>2027832</v>
      </c>
      <c r="G2522">
        <v>2027849</v>
      </c>
      <c r="H2522">
        <v>2027774</v>
      </c>
      <c r="I2522">
        <v>2027782</v>
      </c>
    </row>
    <row r="2523" spans="1:9" x14ac:dyDescent="0.2">
      <c r="A2523" s="1" t="str">
        <f>"CACNB1"</f>
        <v>CACNB1</v>
      </c>
      <c r="B2523" t="s">
        <v>14</v>
      </c>
      <c r="C2523" t="s">
        <v>28</v>
      </c>
      <c r="D2523" t="s">
        <v>11</v>
      </c>
      <c r="E2523" t="s">
        <v>12</v>
      </c>
      <c r="F2523">
        <v>37353856</v>
      </c>
      <c r="G2523">
        <v>37353900</v>
      </c>
      <c r="H2523">
        <v>37353907</v>
      </c>
      <c r="I2523">
        <v>37353930</v>
      </c>
    </row>
    <row r="2524" spans="1:9" x14ac:dyDescent="0.2">
      <c r="A2524" s="1" t="str">
        <f>"CACNB2"</f>
        <v>CACNB2</v>
      </c>
      <c r="B2524" t="s">
        <v>9</v>
      </c>
      <c r="C2524" t="s">
        <v>15</v>
      </c>
      <c r="D2524" t="s">
        <v>17</v>
      </c>
      <c r="E2524" t="s">
        <v>12</v>
      </c>
      <c r="F2524">
        <v>18429301</v>
      </c>
      <c r="G2524">
        <v>18429338</v>
      </c>
      <c r="H2524">
        <v>18429301</v>
      </c>
      <c r="I2524">
        <v>18429338</v>
      </c>
    </row>
    <row r="2525" spans="1:9" x14ac:dyDescent="0.2">
      <c r="A2525" s="1" t="str">
        <f>"CACNB2"</f>
        <v>CACNB2</v>
      </c>
      <c r="B2525" t="s">
        <v>13</v>
      </c>
      <c r="C2525" t="s">
        <v>15</v>
      </c>
      <c r="D2525" t="s">
        <v>17</v>
      </c>
      <c r="E2525" t="s">
        <v>12</v>
      </c>
      <c r="F2525">
        <v>18689582</v>
      </c>
      <c r="G2525">
        <v>18689627</v>
      </c>
      <c r="H2525">
        <v>18689582</v>
      </c>
      <c r="I2525">
        <v>18689627</v>
      </c>
    </row>
    <row r="2526" spans="1:9" x14ac:dyDescent="0.2">
      <c r="A2526" s="1" t="str">
        <f>"CACNB3"</f>
        <v>CACNB3</v>
      </c>
      <c r="B2526" t="s">
        <v>9</v>
      </c>
      <c r="C2526" t="s">
        <v>16</v>
      </c>
      <c r="D2526" t="s">
        <v>17</v>
      </c>
      <c r="E2526" t="s">
        <v>12</v>
      </c>
      <c r="F2526">
        <v>49212261</v>
      </c>
      <c r="G2526">
        <v>49212319</v>
      </c>
      <c r="H2526">
        <v>49212261</v>
      </c>
      <c r="I2526">
        <v>49212319</v>
      </c>
    </row>
    <row r="2527" spans="1:9" x14ac:dyDescent="0.2">
      <c r="A2527" s="1" t="str">
        <f>"CACNB3"</f>
        <v>CACNB3</v>
      </c>
      <c r="B2527" t="s">
        <v>13</v>
      </c>
      <c r="C2527" t="s">
        <v>16</v>
      </c>
      <c r="D2527" t="s">
        <v>17</v>
      </c>
      <c r="E2527" t="s">
        <v>12</v>
      </c>
      <c r="F2527">
        <v>49209348</v>
      </c>
      <c r="G2527">
        <v>49209399</v>
      </c>
      <c r="H2527">
        <v>49209348</v>
      </c>
      <c r="I2527">
        <v>49209399</v>
      </c>
    </row>
    <row r="2528" spans="1:9" x14ac:dyDescent="0.2">
      <c r="A2528" s="1" t="str">
        <f>"CACNB4"</f>
        <v>CACNB4</v>
      </c>
      <c r="B2528" t="s">
        <v>189</v>
      </c>
      <c r="C2528" t="s">
        <v>26</v>
      </c>
      <c r="D2528" t="s">
        <v>11</v>
      </c>
      <c r="E2528" t="s">
        <v>35</v>
      </c>
      <c r="F2528">
        <v>152830507</v>
      </c>
      <c r="G2528">
        <v>152830516</v>
      </c>
      <c r="H2528">
        <v>152830401</v>
      </c>
      <c r="I2528">
        <v>152830406</v>
      </c>
    </row>
    <row r="2529" spans="1:9" x14ac:dyDescent="0.2">
      <c r="A2529" s="1" t="str">
        <f>"CACNG1"</f>
        <v>CACNG1</v>
      </c>
      <c r="B2529" t="s">
        <v>14</v>
      </c>
      <c r="C2529" t="s">
        <v>28</v>
      </c>
      <c r="D2529" t="s">
        <v>17</v>
      </c>
      <c r="E2529" t="s">
        <v>12</v>
      </c>
      <c r="F2529">
        <v>65040678</v>
      </c>
      <c r="G2529">
        <v>65040733</v>
      </c>
      <c r="H2529">
        <v>65040646</v>
      </c>
      <c r="I2529">
        <v>65040675</v>
      </c>
    </row>
    <row r="2530" spans="1:9" x14ac:dyDescent="0.2">
      <c r="A2530" s="1" t="str">
        <f>"CACNG2"</f>
        <v>CACNG2</v>
      </c>
      <c r="B2530" t="s">
        <v>14</v>
      </c>
      <c r="C2530" t="s">
        <v>21</v>
      </c>
      <c r="D2530" t="s">
        <v>11</v>
      </c>
      <c r="E2530" t="s">
        <v>12</v>
      </c>
      <c r="F2530">
        <v>37099769</v>
      </c>
      <c r="G2530">
        <v>37099824</v>
      </c>
      <c r="H2530">
        <v>37099555</v>
      </c>
      <c r="I2530">
        <v>37099599</v>
      </c>
    </row>
    <row r="2531" spans="1:9" x14ac:dyDescent="0.2">
      <c r="A2531" s="1" t="str">
        <f>"CACNG3"</f>
        <v>CACNG3</v>
      </c>
      <c r="B2531" t="s">
        <v>14</v>
      </c>
      <c r="C2531" t="s">
        <v>31</v>
      </c>
      <c r="D2531" t="s">
        <v>17</v>
      </c>
      <c r="E2531" t="s">
        <v>12</v>
      </c>
      <c r="F2531">
        <v>24267672</v>
      </c>
      <c r="G2531">
        <v>24267734</v>
      </c>
      <c r="H2531">
        <v>24267634</v>
      </c>
      <c r="I2531">
        <v>24267671</v>
      </c>
    </row>
    <row r="2532" spans="1:9" x14ac:dyDescent="0.2">
      <c r="A2532" s="1" t="str">
        <f>"CACNG4"</f>
        <v>CACNG4</v>
      </c>
      <c r="B2532" t="s">
        <v>14</v>
      </c>
      <c r="C2532" t="s">
        <v>28</v>
      </c>
      <c r="D2532" t="s">
        <v>17</v>
      </c>
      <c r="E2532" t="s">
        <v>12</v>
      </c>
      <c r="F2532">
        <v>64960810</v>
      </c>
      <c r="G2532">
        <v>64960831</v>
      </c>
      <c r="H2532">
        <v>64960810</v>
      </c>
      <c r="I2532">
        <v>64960831</v>
      </c>
    </row>
    <row r="2533" spans="1:9" x14ac:dyDescent="0.2">
      <c r="A2533" s="1" t="str">
        <f>"CACNG5"</f>
        <v>CACNG5</v>
      </c>
      <c r="B2533" t="s">
        <v>14</v>
      </c>
      <c r="C2533" t="s">
        <v>28</v>
      </c>
      <c r="D2533" t="s">
        <v>17</v>
      </c>
      <c r="E2533" t="s">
        <v>12</v>
      </c>
      <c r="F2533">
        <v>64831228</v>
      </c>
      <c r="G2533">
        <v>64831243</v>
      </c>
      <c r="H2533">
        <v>64831283</v>
      </c>
      <c r="I2533">
        <v>64831324</v>
      </c>
    </row>
    <row r="2534" spans="1:9" x14ac:dyDescent="0.2">
      <c r="A2534" s="1" t="str">
        <f>"CACNG6"</f>
        <v>CACNG6</v>
      </c>
      <c r="B2534" t="s">
        <v>14</v>
      </c>
      <c r="C2534" t="s">
        <v>10</v>
      </c>
      <c r="D2534" t="s">
        <v>17</v>
      </c>
      <c r="E2534" t="s">
        <v>12</v>
      </c>
      <c r="F2534">
        <v>54495349</v>
      </c>
      <c r="G2534">
        <v>54495351</v>
      </c>
      <c r="H2534">
        <v>54495349</v>
      </c>
      <c r="I2534">
        <v>54495351</v>
      </c>
    </row>
    <row r="2535" spans="1:9" x14ac:dyDescent="0.2">
      <c r="A2535" s="1" t="str">
        <f>"CACNG7"</f>
        <v>CACNG7</v>
      </c>
      <c r="B2535" t="s">
        <v>14</v>
      </c>
      <c r="C2535" t="s">
        <v>10</v>
      </c>
      <c r="D2535" t="s">
        <v>17</v>
      </c>
      <c r="E2535" t="s">
        <v>12</v>
      </c>
      <c r="F2535">
        <v>54412517</v>
      </c>
      <c r="G2535">
        <v>54412583</v>
      </c>
      <c r="H2535">
        <v>54412655</v>
      </c>
      <c r="I2535">
        <v>54412674</v>
      </c>
    </row>
    <row r="2536" spans="1:9" x14ac:dyDescent="0.2">
      <c r="A2536" s="1" t="str">
        <f>"CACNG8"</f>
        <v>CACNG8</v>
      </c>
      <c r="B2536" t="s">
        <v>9</v>
      </c>
      <c r="C2536" t="s">
        <v>10</v>
      </c>
      <c r="D2536" t="s">
        <v>17</v>
      </c>
      <c r="E2536" t="s">
        <v>12</v>
      </c>
      <c r="F2536">
        <v>54466179</v>
      </c>
      <c r="G2536">
        <v>54466202</v>
      </c>
      <c r="H2536">
        <v>54466179</v>
      </c>
      <c r="I2536">
        <v>54466202</v>
      </c>
    </row>
    <row r="2537" spans="1:9" x14ac:dyDescent="0.2">
      <c r="A2537" s="1" t="str">
        <f>"CACNG8"</f>
        <v>CACNG8</v>
      </c>
      <c r="B2537" t="s">
        <v>13</v>
      </c>
      <c r="C2537" t="s">
        <v>10</v>
      </c>
      <c r="D2537" t="s">
        <v>17</v>
      </c>
      <c r="E2537" t="s">
        <v>12</v>
      </c>
      <c r="F2537">
        <v>54490610</v>
      </c>
      <c r="G2537">
        <v>54490624</v>
      </c>
      <c r="H2537">
        <v>54490610</v>
      </c>
      <c r="I2537">
        <v>54490624</v>
      </c>
    </row>
    <row r="2538" spans="1:9" x14ac:dyDescent="0.2">
      <c r="A2538" s="1" t="str">
        <f>"CACTIN"</f>
        <v>CACTIN</v>
      </c>
      <c r="B2538" t="s">
        <v>14</v>
      </c>
      <c r="C2538" t="s">
        <v>10</v>
      </c>
      <c r="D2538" t="s">
        <v>11</v>
      </c>
      <c r="E2538" t="s">
        <v>12</v>
      </c>
      <c r="F2538">
        <v>3626755</v>
      </c>
      <c r="G2538">
        <v>3626814</v>
      </c>
      <c r="H2538">
        <v>3626755</v>
      </c>
      <c r="I2538">
        <v>3626814</v>
      </c>
    </row>
    <row r="2539" spans="1:9" x14ac:dyDescent="0.2">
      <c r="A2539" s="1" t="str">
        <f>"CACUL1"</f>
        <v>CACUL1</v>
      </c>
      <c r="B2539" t="s">
        <v>14</v>
      </c>
      <c r="C2539" t="s">
        <v>15</v>
      </c>
      <c r="D2539" t="s">
        <v>11</v>
      </c>
      <c r="E2539" t="s">
        <v>12</v>
      </c>
      <c r="F2539">
        <v>120514468</v>
      </c>
      <c r="G2539">
        <v>120514530</v>
      </c>
      <c r="H2539">
        <v>120514433</v>
      </c>
      <c r="I2539">
        <v>120514464</v>
      </c>
    </row>
    <row r="2540" spans="1:9" x14ac:dyDescent="0.2">
      <c r="A2540" s="1" t="str">
        <f>"CACYBP"</f>
        <v>CACYBP</v>
      </c>
      <c r="B2540" t="s">
        <v>14</v>
      </c>
      <c r="C2540" t="s">
        <v>19</v>
      </c>
      <c r="D2540" t="s">
        <v>17</v>
      </c>
      <c r="E2540" t="s">
        <v>12</v>
      </c>
      <c r="F2540">
        <v>174969146</v>
      </c>
      <c r="G2540">
        <v>174969239</v>
      </c>
      <c r="H2540">
        <v>174969054</v>
      </c>
      <c r="I2540">
        <v>174969143</v>
      </c>
    </row>
    <row r="2541" spans="1:9" x14ac:dyDescent="0.2">
      <c r="A2541" s="1" t="str">
        <f>"CAD"</f>
        <v>CAD</v>
      </c>
      <c r="B2541" t="s">
        <v>14</v>
      </c>
      <c r="C2541" t="s">
        <v>26</v>
      </c>
      <c r="D2541" t="s">
        <v>17</v>
      </c>
      <c r="E2541" t="s">
        <v>12</v>
      </c>
      <c r="F2541">
        <v>27440229</v>
      </c>
      <c r="G2541">
        <v>27440280</v>
      </c>
      <c r="H2541">
        <v>27440283</v>
      </c>
      <c r="I2541">
        <v>27440327</v>
      </c>
    </row>
    <row r="2542" spans="1:9" x14ac:dyDescent="0.2">
      <c r="A2542" s="1" t="str">
        <f>"CADM1"</f>
        <v>CADM1</v>
      </c>
      <c r="B2542" t="s">
        <v>14</v>
      </c>
      <c r="C2542" t="s">
        <v>27</v>
      </c>
      <c r="D2542" t="s">
        <v>11</v>
      </c>
      <c r="E2542" t="s">
        <v>12</v>
      </c>
      <c r="F2542">
        <v>115375126</v>
      </c>
      <c r="G2542">
        <v>115375140</v>
      </c>
      <c r="H2542">
        <v>115375126</v>
      </c>
      <c r="I2542">
        <v>115375140</v>
      </c>
    </row>
    <row r="2543" spans="1:9" x14ac:dyDescent="0.2">
      <c r="A2543" s="1" t="str">
        <f>"CADM2"</f>
        <v>CADM2</v>
      </c>
      <c r="B2543" t="s">
        <v>14</v>
      </c>
      <c r="C2543" t="s">
        <v>22</v>
      </c>
      <c r="D2543" t="s">
        <v>17</v>
      </c>
      <c r="E2543" t="s">
        <v>12</v>
      </c>
      <c r="F2543">
        <v>85008089</v>
      </c>
      <c r="G2543">
        <v>85008189</v>
      </c>
      <c r="H2543">
        <v>85008089</v>
      </c>
      <c r="I2543">
        <v>85008189</v>
      </c>
    </row>
    <row r="2544" spans="1:9" x14ac:dyDescent="0.2">
      <c r="A2544" s="1" t="str">
        <f>"CADM3"</f>
        <v>CADM3</v>
      </c>
      <c r="B2544" t="s">
        <v>14</v>
      </c>
      <c r="C2544" t="s">
        <v>19</v>
      </c>
      <c r="D2544" t="s">
        <v>17</v>
      </c>
      <c r="E2544" t="s">
        <v>12</v>
      </c>
      <c r="F2544">
        <v>159141397</v>
      </c>
      <c r="G2544">
        <v>159141412</v>
      </c>
      <c r="H2544">
        <v>159141397</v>
      </c>
      <c r="I2544">
        <v>159141412</v>
      </c>
    </row>
    <row r="2545" spans="1:9" x14ac:dyDescent="0.2">
      <c r="A2545" s="1" t="str">
        <f>"CADM4"</f>
        <v>CADM4</v>
      </c>
      <c r="B2545" t="s">
        <v>14</v>
      </c>
      <c r="C2545" t="s">
        <v>10</v>
      </c>
      <c r="D2545" t="s">
        <v>11</v>
      </c>
      <c r="E2545" t="s">
        <v>12</v>
      </c>
      <c r="F2545">
        <v>44143939</v>
      </c>
      <c r="G2545">
        <v>44144010</v>
      </c>
      <c r="H2545">
        <v>44143939</v>
      </c>
      <c r="I2545">
        <v>44144010</v>
      </c>
    </row>
    <row r="2546" spans="1:9" x14ac:dyDescent="0.2">
      <c r="A2546" s="1" t="str">
        <f>"CADPS"</f>
        <v>CADPS</v>
      </c>
      <c r="B2546" t="s">
        <v>14</v>
      </c>
      <c r="C2546" t="s">
        <v>22</v>
      </c>
      <c r="D2546" t="s">
        <v>11</v>
      </c>
      <c r="E2546" t="s">
        <v>12</v>
      </c>
      <c r="F2546">
        <v>62861012</v>
      </c>
      <c r="G2546">
        <v>62861096</v>
      </c>
      <c r="H2546">
        <v>62860853</v>
      </c>
      <c r="I2546">
        <v>62860872</v>
      </c>
    </row>
    <row r="2547" spans="1:9" x14ac:dyDescent="0.2">
      <c r="A2547" s="1" t="str">
        <f>"CADPS2"</f>
        <v>CADPS2</v>
      </c>
      <c r="B2547" t="s">
        <v>14</v>
      </c>
      <c r="C2547" t="s">
        <v>33</v>
      </c>
      <c r="D2547" t="s">
        <v>11</v>
      </c>
      <c r="E2547" t="s">
        <v>12</v>
      </c>
      <c r="F2547">
        <v>122526499</v>
      </c>
      <c r="G2547">
        <v>122526524</v>
      </c>
      <c r="H2547">
        <v>122526529</v>
      </c>
      <c r="I2547">
        <v>122526589</v>
      </c>
    </row>
    <row r="2548" spans="1:9" x14ac:dyDescent="0.2">
      <c r="A2548" s="1" t="str">
        <f>"CAGE1"</f>
        <v>CAGE1</v>
      </c>
      <c r="B2548" t="s">
        <v>14</v>
      </c>
      <c r="C2548" t="s">
        <v>32</v>
      </c>
      <c r="D2548" t="s">
        <v>11</v>
      </c>
      <c r="E2548" t="s">
        <v>12</v>
      </c>
      <c r="F2548">
        <v>7389966</v>
      </c>
      <c r="G2548">
        <v>7389993</v>
      </c>
      <c r="H2548">
        <v>7389625</v>
      </c>
      <c r="I2548">
        <v>7389642</v>
      </c>
    </row>
    <row r="2549" spans="1:9" x14ac:dyDescent="0.2">
      <c r="A2549" s="1" t="str">
        <f>"CALB1"</f>
        <v>CALB1</v>
      </c>
      <c r="B2549" t="s">
        <v>14</v>
      </c>
      <c r="C2549" t="s">
        <v>30</v>
      </c>
      <c r="D2549" t="s">
        <v>11</v>
      </c>
      <c r="E2549" t="s">
        <v>12</v>
      </c>
      <c r="F2549">
        <v>91095099</v>
      </c>
      <c r="G2549">
        <v>91095113</v>
      </c>
      <c r="H2549">
        <v>91095099</v>
      </c>
      <c r="I2549">
        <v>91095113</v>
      </c>
    </row>
    <row r="2550" spans="1:9" x14ac:dyDescent="0.2">
      <c r="A2550" s="1" t="str">
        <f>"CALB2"</f>
        <v>CALB2</v>
      </c>
      <c r="B2550" t="s">
        <v>14</v>
      </c>
      <c r="C2550" t="s">
        <v>31</v>
      </c>
      <c r="D2550" t="s">
        <v>17</v>
      </c>
      <c r="E2550" t="s">
        <v>12</v>
      </c>
      <c r="F2550">
        <v>71392619</v>
      </c>
      <c r="G2550">
        <v>71392635</v>
      </c>
      <c r="H2550">
        <v>71392619</v>
      </c>
      <c r="I2550">
        <v>71392635</v>
      </c>
    </row>
    <row r="2551" spans="1:9" x14ac:dyDescent="0.2">
      <c r="A2551" s="1" t="str">
        <f>"CALCA"</f>
        <v>CALCA</v>
      </c>
      <c r="B2551" t="s">
        <v>9</v>
      </c>
      <c r="C2551" t="s">
        <v>27</v>
      </c>
      <c r="D2551" t="s">
        <v>11</v>
      </c>
      <c r="E2551" t="s">
        <v>12</v>
      </c>
      <c r="F2551">
        <v>14993888</v>
      </c>
      <c r="G2551">
        <v>14993903</v>
      </c>
      <c r="H2551">
        <v>14993888</v>
      </c>
      <c r="I2551">
        <v>14993903</v>
      </c>
    </row>
    <row r="2552" spans="1:9" x14ac:dyDescent="0.2">
      <c r="A2552" s="1" t="str">
        <f>"CALCA"</f>
        <v>CALCA</v>
      </c>
      <c r="B2552" t="s">
        <v>13</v>
      </c>
      <c r="C2552" t="s">
        <v>27</v>
      </c>
      <c r="D2552" t="s">
        <v>11</v>
      </c>
      <c r="E2552" t="s">
        <v>12</v>
      </c>
      <c r="F2552">
        <v>14992712</v>
      </c>
      <c r="G2552">
        <v>14992724</v>
      </c>
      <c r="H2552">
        <v>14992712</v>
      </c>
      <c r="I2552">
        <v>14992724</v>
      </c>
    </row>
    <row r="2553" spans="1:9" x14ac:dyDescent="0.2">
      <c r="A2553" s="1" t="str">
        <f>"CALCB"</f>
        <v>CALCB</v>
      </c>
      <c r="B2553" t="s">
        <v>14</v>
      </c>
      <c r="C2553" t="s">
        <v>27</v>
      </c>
      <c r="D2553" t="s">
        <v>17</v>
      </c>
      <c r="E2553" t="s">
        <v>12</v>
      </c>
      <c r="F2553">
        <v>15095131</v>
      </c>
      <c r="G2553">
        <v>15095148</v>
      </c>
      <c r="H2553">
        <v>15095131</v>
      </c>
      <c r="I2553">
        <v>15095148</v>
      </c>
    </row>
    <row r="2554" spans="1:9" x14ac:dyDescent="0.2">
      <c r="A2554" s="1" t="str">
        <f>"CALCOCO1"</f>
        <v>CALCOCO1</v>
      </c>
      <c r="B2554" t="s">
        <v>14</v>
      </c>
      <c r="C2554" t="s">
        <v>16</v>
      </c>
      <c r="D2554" t="s">
        <v>11</v>
      </c>
      <c r="E2554" t="s">
        <v>12</v>
      </c>
      <c r="F2554">
        <v>54121215</v>
      </c>
      <c r="G2554">
        <v>54121254</v>
      </c>
      <c r="H2554">
        <v>54121261</v>
      </c>
      <c r="I2554">
        <v>54121275</v>
      </c>
    </row>
    <row r="2555" spans="1:9" x14ac:dyDescent="0.2">
      <c r="A2555" s="1" t="str">
        <f>"CALCOCO2"</f>
        <v>CALCOCO2</v>
      </c>
      <c r="B2555" t="s">
        <v>9</v>
      </c>
      <c r="C2555" t="s">
        <v>28</v>
      </c>
      <c r="D2555" t="s">
        <v>17</v>
      </c>
      <c r="E2555" t="s">
        <v>12</v>
      </c>
      <c r="F2555">
        <v>46908385</v>
      </c>
      <c r="G2555">
        <v>46908412</v>
      </c>
      <c r="H2555">
        <v>46908385</v>
      </c>
      <c r="I2555">
        <v>46908412</v>
      </c>
    </row>
    <row r="2556" spans="1:9" x14ac:dyDescent="0.2">
      <c r="A2556" s="1" t="str">
        <f>"CALCOCO2"</f>
        <v>CALCOCO2</v>
      </c>
      <c r="B2556" t="s">
        <v>13</v>
      </c>
      <c r="C2556" t="s">
        <v>28</v>
      </c>
      <c r="D2556" t="s">
        <v>17</v>
      </c>
      <c r="E2556" t="s">
        <v>12</v>
      </c>
      <c r="F2556">
        <v>46919030</v>
      </c>
      <c r="G2556">
        <v>46919058</v>
      </c>
      <c r="H2556">
        <v>46919030</v>
      </c>
      <c r="I2556">
        <v>46919058</v>
      </c>
    </row>
    <row r="2557" spans="1:9" x14ac:dyDescent="0.2">
      <c r="A2557" s="1" t="str">
        <f>"CALCR"</f>
        <v>CALCR</v>
      </c>
      <c r="B2557" t="s">
        <v>14</v>
      </c>
      <c r="C2557" t="s">
        <v>33</v>
      </c>
      <c r="D2557" t="s">
        <v>11</v>
      </c>
      <c r="E2557" t="s">
        <v>12</v>
      </c>
      <c r="F2557">
        <v>93204033</v>
      </c>
      <c r="G2557">
        <v>93204043</v>
      </c>
      <c r="H2557">
        <v>93204048</v>
      </c>
      <c r="I2557">
        <v>93204059</v>
      </c>
    </row>
    <row r="2558" spans="1:9" x14ac:dyDescent="0.2">
      <c r="A2558" s="1" t="str">
        <f>"CALCRL"</f>
        <v>CALCRL</v>
      </c>
      <c r="B2558" t="s">
        <v>14</v>
      </c>
      <c r="C2558" t="s">
        <v>26</v>
      </c>
      <c r="D2558" t="s">
        <v>11</v>
      </c>
      <c r="E2558" t="s">
        <v>12</v>
      </c>
      <c r="F2558">
        <v>188312971</v>
      </c>
      <c r="G2558">
        <v>188312987</v>
      </c>
      <c r="H2558">
        <v>188312993</v>
      </c>
      <c r="I2558">
        <v>188313033</v>
      </c>
    </row>
    <row r="2559" spans="1:9" x14ac:dyDescent="0.2">
      <c r="A2559" s="1" t="str">
        <f>"CALD1"</f>
        <v>CALD1</v>
      </c>
      <c r="B2559" t="s">
        <v>14</v>
      </c>
      <c r="C2559" t="s">
        <v>33</v>
      </c>
      <c r="D2559" t="s">
        <v>17</v>
      </c>
      <c r="E2559" t="s">
        <v>12</v>
      </c>
      <c r="F2559">
        <v>134464377</v>
      </c>
      <c r="G2559">
        <v>134464413</v>
      </c>
      <c r="H2559">
        <v>134464377</v>
      </c>
      <c r="I2559">
        <v>134464413</v>
      </c>
    </row>
    <row r="2560" spans="1:9" x14ac:dyDescent="0.2">
      <c r="A2560" s="1" t="str">
        <f>"CALHM1"</f>
        <v>CALHM1</v>
      </c>
      <c r="B2560" t="s">
        <v>14</v>
      </c>
      <c r="C2560" t="s">
        <v>15</v>
      </c>
      <c r="D2560" t="s">
        <v>11</v>
      </c>
      <c r="E2560" t="s">
        <v>12</v>
      </c>
      <c r="F2560">
        <v>105218624</v>
      </c>
      <c r="G2560">
        <v>105218667</v>
      </c>
      <c r="H2560">
        <v>105218680</v>
      </c>
      <c r="I2560">
        <v>105218685</v>
      </c>
    </row>
    <row r="2561" spans="1:9" x14ac:dyDescent="0.2">
      <c r="A2561" s="1" t="str">
        <f>"CALHM2"</f>
        <v>CALHM2</v>
      </c>
      <c r="B2561" t="s">
        <v>14</v>
      </c>
      <c r="C2561" t="s">
        <v>15</v>
      </c>
      <c r="D2561" t="s">
        <v>11</v>
      </c>
      <c r="E2561" t="s">
        <v>12</v>
      </c>
      <c r="F2561">
        <v>105212113</v>
      </c>
      <c r="G2561">
        <v>105212139</v>
      </c>
      <c r="H2561">
        <v>105212059</v>
      </c>
      <c r="I2561">
        <v>105212110</v>
      </c>
    </row>
    <row r="2562" spans="1:9" x14ac:dyDescent="0.2">
      <c r="A2562" s="1" t="str">
        <f>"CALHM3"</f>
        <v>CALHM3</v>
      </c>
      <c r="B2562" t="s">
        <v>14</v>
      </c>
      <c r="C2562" t="s">
        <v>15</v>
      </c>
      <c r="D2562" t="s">
        <v>11</v>
      </c>
      <c r="E2562" t="s">
        <v>12</v>
      </c>
      <c r="F2562">
        <v>105238996</v>
      </c>
      <c r="G2562">
        <v>105239005</v>
      </c>
      <c r="H2562">
        <v>105238977</v>
      </c>
      <c r="I2562">
        <v>105238986</v>
      </c>
    </row>
    <row r="2563" spans="1:9" x14ac:dyDescent="0.2">
      <c r="A2563" s="1" t="str">
        <f>"CALM1"</f>
        <v>CALM1</v>
      </c>
      <c r="B2563" t="s">
        <v>14</v>
      </c>
      <c r="C2563" t="s">
        <v>41</v>
      </c>
      <c r="D2563" t="s">
        <v>17</v>
      </c>
      <c r="E2563" t="s">
        <v>12</v>
      </c>
      <c r="F2563">
        <v>90863364</v>
      </c>
      <c r="G2563">
        <v>90863382</v>
      </c>
      <c r="H2563">
        <v>90863364</v>
      </c>
      <c r="I2563">
        <v>90863382</v>
      </c>
    </row>
    <row r="2564" spans="1:9" x14ac:dyDescent="0.2">
      <c r="A2564" s="1" t="str">
        <f>"CALM2"</f>
        <v>CALM2</v>
      </c>
      <c r="B2564" t="s">
        <v>14</v>
      </c>
      <c r="C2564" t="s">
        <v>26</v>
      </c>
      <c r="D2564" t="s">
        <v>11</v>
      </c>
      <c r="E2564" t="s">
        <v>67</v>
      </c>
      <c r="F2564">
        <v>47404070</v>
      </c>
      <c r="G2564">
        <v>47404077</v>
      </c>
      <c r="H2564">
        <v>47403642</v>
      </c>
      <c r="I2564">
        <v>47403660</v>
      </c>
    </row>
    <row r="2565" spans="1:9" x14ac:dyDescent="0.2">
      <c r="A2565" s="1" t="str">
        <f>"CALM3"</f>
        <v>CALM3</v>
      </c>
      <c r="B2565" t="s">
        <v>190</v>
      </c>
      <c r="C2565" t="s">
        <v>10</v>
      </c>
      <c r="D2565" t="s">
        <v>17</v>
      </c>
      <c r="E2565" t="s">
        <v>35</v>
      </c>
      <c r="F2565">
        <v>47104494</v>
      </c>
      <c r="G2565">
        <v>47104549</v>
      </c>
      <c r="H2565">
        <v>47104553</v>
      </c>
      <c r="I2565">
        <v>47104633</v>
      </c>
    </row>
    <row r="2566" spans="1:9" x14ac:dyDescent="0.2">
      <c r="A2566" s="1" t="str">
        <f>"CALML3"</f>
        <v>CALML3</v>
      </c>
      <c r="B2566" t="s">
        <v>14</v>
      </c>
      <c r="C2566" t="s">
        <v>15</v>
      </c>
      <c r="D2566" t="s">
        <v>17</v>
      </c>
      <c r="E2566" t="s">
        <v>12</v>
      </c>
      <c r="F2566">
        <v>5566916</v>
      </c>
      <c r="G2566">
        <v>5566932</v>
      </c>
      <c r="H2566">
        <v>5566916</v>
      </c>
      <c r="I2566">
        <v>5566932</v>
      </c>
    </row>
    <row r="2567" spans="1:9" x14ac:dyDescent="0.2">
      <c r="A2567" s="1" t="str">
        <f>"CALML4"</f>
        <v>CALML4</v>
      </c>
      <c r="B2567" t="s">
        <v>14</v>
      </c>
      <c r="C2567" t="s">
        <v>25</v>
      </c>
      <c r="D2567" t="s">
        <v>11</v>
      </c>
      <c r="E2567" t="s">
        <v>12</v>
      </c>
      <c r="F2567">
        <v>68497612</v>
      </c>
      <c r="G2567">
        <v>68497653</v>
      </c>
      <c r="H2567">
        <v>68497657</v>
      </c>
      <c r="I2567">
        <v>68497677</v>
      </c>
    </row>
    <row r="2568" spans="1:9" x14ac:dyDescent="0.2">
      <c r="A2568" s="1" t="str">
        <f>"CALML5"</f>
        <v>CALML5</v>
      </c>
      <c r="B2568" t="s">
        <v>14</v>
      </c>
      <c r="C2568" t="s">
        <v>15</v>
      </c>
      <c r="D2568" t="s">
        <v>11</v>
      </c>
      <c r="E2568" t="s">
        <v>12</v>
      </c>
      <c r="F2568">
        <v>5541525</v>
      </c>
      <c r="G2568">
        <v>5541539</v>
      </c>
      <c r="H2568">
        <v>5541512</v>
      </c>
      <c r="I2568">
        <v>5541523</v>
      </c>
    </row>
    <row r="2569" spans="1:9" x14ac:dyDescent="0.2">
      <c r="A2569" s="1" t="str">
        <f>"CALML6"</f>
        <v>CALML6</v>
      </c>
      <c r="B2569" t="s">
        <v>14</v>
      </c>
      <c r="C2569" t="s">
        <v>19</v>
      </c>
      <c r="D2569" t="s">
        <v>17</v>
      </c>
      <c r="E2569" t="s">
        <v>12</v>
      </c>
      <c r="F2569">
        <v>1847104</v>
      </c>
      <c r="G2569">
        <v>1847114</v>
      </c>
      <c r="H2569">
        <v>1846739</v>
      </c>
      <c r="I2569">
        <v>1846762</v>
      </c>
    </row>
    <row r="2570" spans="1:9" x14ac:dyDescent="0.2">
      <c r="A2570" s="1" t="str">
        <f>"CALN1"</f>
        <v>CALN1</v>
      </c>
      <c r="B2570" t="s">
        <v>9</v>
      </c>
      <c r="C2570" t="s">
        <v>33</v>
      </c>
      <c r="D2570" t="s">
        <v>11</v>
      </c>
      <c r="E2570" t="s">
        <v>12</v>
      </c>
      <c r="F2570">
        <v>71802335</v>
      </c>
      <c r="G2570">
        <v>71802409</v>
      </c>
      <c r="H2570">
        <v>71802335</v>
      </c>
      <c r="I2570">
        <v>71802409</v>
      </c>
    </row>
    <row r="2571" spans="1:9" x14ac:dyDescent="0.2">
      <c r="A2571" s="1" t="str">
        <f>"CALN1"</f>
        <v>CALN1</v>
      </c>
      <c r="B2571" t="s">
        <v>13</v>
      </c>
      <c r="C2571" t="s">
        <v>33</v>
      </c>
      <c r="D2571" t="s">
        <v>11</v>
      </c>
      <c r="E2571" t="s">
        <v>12</v>
      </c>
      <c r="F2571">
        <v>71912107</v>
      </c>
      <c r="G2571">
        <v>71912157</v>
      </c>
      <c r="H2571">
        <v>71912107</v>
      </c>
      <c r="I2571">
        <v>71912157</v>
      </c>
    </row>
    <row r="2572" spans="1:9" x14ac:dyDescent="0.2">
      <c r="A2572" s="1" t="str">
        <f>"CALR"</f>
        <v>CALR</v>
      </c>
      <c r="B2572" t="s">
        <v>14</v>
      </c>
      <c r="C2572" t="s">
        <v>10</v>
      </c>
      <c r="D2572" t="s">
        <v>17</v>
      </c>
      <c r="E2572" t="s">
        <v>12</v>
      </c>
      <c r="F2572">
        <v>13049413</v>
      </c>
      <c r="G2572">
        <v>13049432</v>
      </c>
      <c r="H2572">
        <v>13050317</v>
      </c>
      <c r="I2572">
        <v>13050410</v>
      </c>
    </row>
    <row r="2573" spans="1:9" x14ac:dyDescent="0.2">
      <c r="A2573" s="1" t="str">
        <f>"CALR3"</f>
        <v>CALR3</v>
      </c>
      <c r="B2573" t="s">
        <v>191</v>
      </c>
      <c r="C2573" t="s">
        <v>10</v>
      </c>
      <c r="D2573" t="s">
        <v>11</v>
      </c>
      <c r="E2573" t="s">
        <v>35</v>
      </c>
      <c r="F2573">
        <v>16607079</v>
      </c>
      <c r="G2573">
        <v>16607090</v>
      </c>
      <c r="H2573">
        <v>16606925</v>
      </c>
      <c r="I2573">
        <v>16606940</v>
      </c>
    </row>
    <row r="2574" spans="1:9" x14ac:dyDescent="0.2">
      <c r="A2574" s="1" t="str">
        <f>"CALU"</f>
        <v>CALU</v>
      </c>
      <c r="B2574" t="s">
        <v>14</v>
      </c>
      <c r="C2574" t="s">
        <v>33</v>
      </c>
      <c r="D2574" t="s">
        <v>17</v>
      </c>
      <c r="E2574" t="s">
        <v>12</v>
      </c>
      <c r="F2574">
        <v>128379390</v>
      </c>
      <c r="G2574">
        <v>128379447</v>
      </c>
      <c r="H2574">
        <v>128379449</v>
      </c>
      <c r="I2574">
        <v>128379463</v>
      </c>
    </row>
    <row r="2575" spans="1:9" x14ac:dyDescent="0.2">
      <c r="A2575" s="1" t="str">
        <f>"CALY"</f>
        <v>CALY</v>
      </c>
      <c r="B2575" t="s">
        <v>9</v>
      </c>
      <c r="C2575" t="s">
        <v>15</v>
      </c>
      <c r="D2575" t="s">
        <v>11</v>
      </c>
      <c r="E2575" t="s">
        <v>12</v>
      </c>
      <c r="F2575">
        <v>135150367</v>
      </c>
      <c r="G2575">
        <v>135150441</v>
      </c>
      <c r="H2575">
        <v>135150367</v>
      </c>
      <c r="I2575">
        <v>135150441</v>
      </c>
    </row>
    <row r="2576" spans="1:9" x14ac:dyDescent="0.2">
      <c r="A2576" s="1" t="str">
        <f>"CALY"</f>
        <v>CALY</v>
      </c>
      <c r="B2576" t="s">
        <v>13</v>
      </c>
      <c r="C2576" t="s">
        <v>15</v>
      </c>
      <c r="D2576" t="s">
        <v>11</v>
      </c>
      <c r="E2576" t="s">
        <v>12</v>
      </c>
      <c r="F2576">
        <v>135139771</v>
      </c>
      <c r="G2576">
        <v>135139785</v>
      </c>
      <c r="H2576">
        <v>135139771</v>
      </c>
      <c r="I2576">
        <v>135139785</v>
      </c>
    </row>
    <row r="2577" spans="1:9" x14ac:dyDescent="0.2">
      <c r="A2577" s="1" t="str">
        <f>"CAMK1"</f>
        <v>CAMK1</v>
      </c>
      <c r="B2577" t="s">
        <v>14</v>
      </c>
      <c r="C2577" t="s">
        <v>22</v>
      </c>
      <c r="D2577" t="s">
        <v>11</v>
      </c>
      <c r="E2577" t="s">
        <v>12</v>
      </c>
      <c r="F2577">
        <v>9811595</v>
      </c>
      <c r="G2577">
        <v>9811666</v>
      </c>
      <c r="H2577">
        <v>9811674</v>
      </c>
      <c r="I2577">
        <v>9811686</v>
      </c>
    </row>
    <row r="2578" spans="1:9" x14ac:dyDescent="0.2">
      <c r="A2578" s="1" t="str">
        <f>"CAMK1D"</f>
        <v>CAMK1D</v>
      </c>
      <c r="B2578" t="s">
        <v>14</v>
      </c>
      <c r="C2578" t="s">
        <v>15</v>
      </c>
      <c r="D2578" t="s">
        <v>17</v>
      </c>
      <c r="E2578" t="s">
        <v>12</v>
      </c>
      <c r="F2578">
        <v>12391532</v>
      </c>
      <c r="G2578">
        <v>12391584</v>
      </c>
      <c r="H2578">
        <v>12391685</v>
      </c>
      <c r="I2578">
        <v>12391734</v>
      </c>
    </row>
    <row r="2579" spans="1:9" x14ac:dyDescent="0.2">
      <c r="A2579" s="1" t="str">
        <f>"CAMK1G"</f>
        <v>CAMK1G</v>
      </c>
      <c r="B2579" t="s">
        <v>9</v>
      </c>
      <c r="C2579" t="s">
        <v>19</v>
      </c>
      <c r="D2579" t="s">
        <v>17</v>
      </c>
      <c r="E2579" t="s">
        <v>12</v>
      </c>
      <c r="F2579">
        <v>209757051</v>
      </c>
      <c r="G2579">
        <v>209757069</v>
      </c>
      <c r="H2579">
        <v>209757051</v>
      </c>
      <c r="I2579">
        <v>209757069</v>
      </c>
    </row>
    <row r="2580" spans="1:9" x14ac:dyDescent="0.2">
      <c r="A2580" s="1" t="str">
        <f>"CAMK1G"</f>
        <v>CAMK1G</v>
      </c>
      <c r="B2580" t="s">
        <v>13</v>
      </c>
      <c r="C2580" t="s">
        <v>19</v>
      </c>
      <c r="D2580" t="s">
        <v>17</v>
      </c>
      <c r="E2580" t="s">
        <v>12</v>
      </c>
      <c r="F2580">
        <v>209781012</v>
      </c>
      <c r="G2580">
        <v>209781050</v>
      </c>
      <c r="H2580">
        <v>209781012</v>
      </c>
      <c r="I2580">
        <v>209781050</v>
      </c>
    </row>
    <row r="2581" spans="1:9" x14ac:dyDescent="0.2">
      <c r="A2581" s="1" t="str">
        <f>"CAMK2A"</f>
        <v>CAMK2A</v>
      </c>
      <c r="B2581" t="s">
        <v>14</v>
      </c>
      <c r="C2581" t="s">
        <v>46</v>
      </c>
      <c r="D2581" t="s">
        <v>11</v>
      </c>
      <c r="E2581" t="s">
        <v>12</v>
      </c>
      <c r="F2581">
        <v>149669327</v>
      </c>
      <c r="G2581">
        <v>149669355</v>
      </c>
      <c r="H2581">
        <v>149669308</v>
      </c>
      <c r="I2581">
        <v>149669323</v>
      </c>
    </row>
    <row r="2582" spans="1:9" x14ac:dyDescent="0.2">
      <c r="A2582" s="1" t="str">
        <f>"CAMK2B"</f>
        <v>CAMK2B</v>
      </c>
      <c r="B2582" t="s">
        <v>14</v>
      </c>
      <c r="C2582" t="s">
        <v>33</v>
      </c>
      <c r="D2582" t="s">
        <v>11</v>
      </c>
      <c r="E2582" t="s">
        <v>12</v>
      </c>
      <c r="F2582">
        <v>44365021</v>
      </c>
      <c r="G2582">
        <v>44365213</v>
      </c>
      <c r="H2582">
        <v>44365216</v>
      </c>
      <c r="I2582">
        <v>44365266</v>
      </c>
    </row>
    <row r="2583" spans="1:9" x14ac:dyDescent="0.2">
      <c r="A2583" s="1" t="str">
        <f>"CAMK2D"</f>
        <v>CAMK2D</v>
      </c>
      <c r="B2583" t="s">
        <v>14</v>
      </c>
      <c r="C2583" t="s">
        <v>23</v>
      </c>
      <c r="D2583" t="s">
        <v>11</v>
      </c>
      <c r="E2583" t="s">
        <v>12</v>
      </c>
      <c r="F2583">
        <v>114682880</v>
      </c>
      <c r="G2583">
        <v>114682931</v>
      </c>
      <c r="H2583">
        <v>114682326</v>
      </c>
      <c r="I2583">
        <v>114682356</v>
      </c>
    </row>
    <row r="2584" spans="1:9" x14ac:dyDescent="0.2">
      <c r="A2584" s="1" t="str">
        <f>"CAMK2G"</f>
        <v>CAMK2G</v>
      </c>
      <c r="B2584" t="s">
        <v>14</v>
      </c>
      <c r="C2584" t="s">
        <v>15</v>
      </c>
      <c r="D2584" t="s">
        <v>11</v>
      </c>
      <c r="E2584" t="s">
        <v>12</v>
      </c>
      <c r="F2584">
        <v>75634265</v>
      </c>
      <c r="G2584">
        <v>75634321</v>
      </c>
      <c r="H2584">
        <v>75634326</v>
      </c>
      <c r="I2584">
        <v>75634354</v>
      </c>
    </row>
    <row r="2585" spans="1:9" x14ac:dyDescent="0.2">
      <c r="A2585" s="1" t="str">
        <f>"CAMK2N1"</f>
        <v>CAMK2N1</v>
      </c>
      <c r="B2585" t="s">
        <v>14</v>
      </c>
      <c r="C2585" t="s">
        <v>19</v>
      </c>
      <c r="D2585" t="s">
        <v>11</v>
      </c>
      <c r="E2585" t="s">
        <v>12</v>
      </c>
      <c r="F2585">
        <v>20812690</v>
      </c>
      <c r="G2585">
        <v>20812763</v>
      </c>
      <c r="H2585">
        <v>20812690</v>
      </c>
      <c r="I2585">
        <v>20812763</v>
      </c>
    </row>
    <row r="2586" spans="1:9" x14ac:dyDescent="0.2">
      <c r="A2586" s="1" t="str">
        <f>"CAMK2N2"</f>
        <v>CAMK2N2</v>
      </c>
      <c r="B2586" t="s">
        <v>14</v>
      </c>
      <c r="C2586" t="s">
        <v>22</v>
      </c>
      <c r="D2586" t="s">
        <v>11</v>
      </c>
      <c r="E2586" t="s">
        <v>12</v>
      </c>
      <c r="F2586">
        <v>183979146</v>
      </c>
      <c r="G2586">
        <v>183979191</v>
      </c>
      <c r="H2586">
        <v>183979256</v>
      </c>
      <c r="I2586">
        <v>183979300</v>
      </c>
    </row>
    <row r="2587" spans="1:9" x14ac:dyDescent="0.2">
      <c r="A2587" s="1" t="str">
        <f>"CAMK4"</f>
        <v>CAMK4</v>
      </c>
      <c r="B2587" t="s">
        <v>14</v>
      </c>
      <c r="C2587" t="s">
        <v>46</v>
      </c>
      <c r="D2587" t="s">
        <v>17</v>
      </c>
      <c r="E2587" t="s">
        <v>12</v>
      </c>
      <c r="F2587">
        <v>110560072</v>
      </c>
      <c r="G2587">
        <v>110560106</v>
      </c>
      <c r="H2587">
        <v>110560115</v>
      </c>
      <c r="I2587">
        <v>110560134</v>
      </c>
    </row>
    <row r="2588" spans="1:9" x14ac:dyDescent="0.2">
      <c r="A2588" s="1" t="str">
        <f>"CAMKK1"</f>
        <v>CAMKK1</v>
      </c>
      <c r="B2588" t="s">
        <v>14</v>
      </c>
      <c r="C2588" t="s">
        <v>28</v>
      </c>
      <c r="D2588" t="s">
        <v>11</v>
      </c>
      <c r="E2588" t="s">
        <v>12</v>
      </c>
      <c r="F2588">
        <v>3796334</v>
      </c>
      <c r="G2588">
        <v>3796399</v>
      </c>
      <c r="H2588">
        <v>3796266</v>
      </c>
      <c r="I2588">
        <v>3796304</v>
      </c>
    </row>
    <row r="2589" spans="1:9" x14ac:dyDescent="0.2">
      <c r="A2589" s="1" t="str">
        <f>"CAMKK2"</f>
        <v>CAMKK2</v>
      </c>
      <c r="B2589" t="s">
        <v>14</v>
      </c>
      <c r="C2589" t="s">
        <v>16</v>
      </c>
      <c r="D2589" t="s">
        <v>11</v>
      </c>
      <c r="E2589" t="s">
        <v>12</v>
      </c>
      <c r="F2589">
        <v>121734496</v>
      </c>
      <c r="G2589">
        <v>121734564</v>
      </c>
      <c r="H2589">
        <v>121734496</v>
      </c>
      <c r="I2589">
        <v>121734564</v>
      </c>
    </row>
    <row r="2590" spans="1:9" x14ac:dyDescent="0.2">
      <c r="A2590" s="1" t="str">
        <f>"CAMKMT"</f>
        <v>CAMKMT</v>
      </c>
      <c r="B2590" t="s">
        <v>14</v>
      </c>
      <c r="C2590" t="s">
        <v>26</v>
      </c>
      <c r="D2590" t="s">
        <v>17</v>
      </c>
      <c r="E2590" t="s">
        <v>12</v>
      </c>
      <c r="F2590">
        <v>44589036</v>
      </c>
      <c r="G2590">
        <v>44589149</v>
      </c>
      <c r="H2590">
        <v>44589234</v>
      </c>
      <c r="I2590">
        <v>44589243</v>
      </c>
    </row>
    <row r="2591" spans="1:9" x14ac:dyDescent="0.2">
      <c r="A2591" s="1" t="str">
        <f>"CAMKV"</f>
        <v>CAMKV</v>
      </c>
      <c r="B2591" t="s">
        <v>14</v>
      </c>
      <c r="C2591" t="s">
        <v>22</v>
      </c>
      <c r="D2591" t="s">
        <v>11</v>
      </c>
      <c r="E2591" t="s">
        <v>12</v>
      </c>
      <c r="F2591">
        <v>49907323</v>
      </c>
      <c r="G2591">
        <v>49907374</v>
      </c>
      <c r="H2591">
        <v>49907323</v>
      </c>
      <c r="I2591">
        <v>49907374</v>
      </c>
    </row>
    <row r="2592" spans="1:9" x14ac:dyDescent="0.2">
      <c r="A2592" s="1" t="str">
        <f>"CAMLG"</f>
        <v>CAMLG</v>
      </c>
      <c r="B2592" t="s">
        <v>14</v>
      </c>
      <c r="C2592" t="s">
        <v>46</v>
      </c>
      <c r="D2592" t="s">
        <v>17</v>
      </c>
      <c r="E2592" t="s">
        <v>12</v>
      </c>
      <c r="F2592">
        <v>134074231</v>
      </c>
      <c r="G2592">
        <v>134074251</v>
      </c>
      <c r="H2592">
        <v>134074197</v>
      </c>
      <c r="I2592">
        <v>134074221</v>
      </c>
    </row>
    <row r="2593" spans="1:9" x14ac:dyDescent="0.2">
      <c r="A2593" s="1" t="str">
        <f>"CAMP"</f>
        <v>CAMP</v>
      </c>
      <c r="B2593" t="s">
        <v>14</v>
      </c>
      <c r="C2593" t="s">
        <v>22</v>
      </c>
      <c r="D2593" t="s">
        <v>17</v>
      </c>
      <c r="E2593" t="s">
        <v>12</v>
      </c>
      <c r="F2593">
        <v>48264976</v>
      </c>
      <c r="G2593">
        <v>48265003</v>
      </c>
      <c r="H2593">
        <v>48264928</v>
      </c>
      <c r="I2593">
        <v>48264968</v>
      </c>
    </row>
    <row r="2594" spans="1:9" x14ac:dyDescent="0.2">
      <c r="A2594" s="1" t="str">
        <f>"CAMSAP1"</f>
        <v>CAMSAP1</v>
      </c>
      <c r="B2594" t="s">
        <v>14</v>
      </c>
      <c r="C2594" t="s">
        <v>24</v>
      </c>
      <c r="D2594" t="s">
        <v>11</v>
      </c>
      <c r="E2594" t="s">
        <v>12</v>
      </c>
      <c r="F2594">
        <v>138799189</v>
      </c>
      <c r="G2594">
        <v>138799284</v>
      </c>
      <c r="H2594">
        <v>138799329</v>
      </c>
      <c r="I2594">
        <v>138799435</v>
      </c>
    </row>
    <row r="2595" spans="1:9" x14ac:dyDescent="0.2">
      <c r="A2595" s="1" t="str">
        <f>"CAMSAP2"</f>
        <v>CAMSAP2</v>
      </c>
      <c r="B2595" t="s">
        <v>14</v>
      </c>
      <c r="C2595" t="s">
        <v>19</v>
      </c>
      <c r="D2595" t="s">
        <v>17</v>
      </c>
      <c r="E2595" t="s">
        <v>12</v>
      </c>
      <c r="F2595">
        <v>200708671</v>
      </c>
      <c r="G2595">
        <v>200708744</v>
      </c>
      <c r="H2595">
        <v>200708631</v>
      </c>
      <c r="I2595">
        <v>200708664</v>
      </c>
    </row>
    <row r="2596" spans="1:9" x14ac:dyDescent="0.2">
      <c r="A2596" s="1" t="str">
        <f>"CAMSAP3"</f>
        <v>CAMSAP3</v>
      </c>
      <c r="B2596" t="s">
        <v>14</v>
      </c>
      <c r="C2596" t="s">
        <v>10</v>
      </c>
      <c r="D2596" t="s">
        <v>17</v>
      </c>
      <c r="E2596" t="s">
        <v>12</v>
      </c>
      <c r="F2596">
        <v>7660716</v>
      </c>
      <c r="G2596">
        <v>7660802</v>
      </c>
      <c r="H2596">
        <v>7660716</v>
      </c>
      <c r="I2596">
        <v>7660802</v>
      </c>
    </row>
    <row r="2597" spans="1:9" x14ac:dyDescent="0.2">
      <c r="A2597" s="1" t="str">
        <f>"CAMTA1"</f>
        <v>CAMTA1</v>
      </c>
      <c r="B2597" t="s">
        <v>14</v>
      </c>
      <c r="C2597" t="s">
        <v>19</v>
      </c>
      <c r="D2597" t="s">
        <v>17</v>
      </c>
      <c r="E2597" t="s">
        <v>12</v>
      </c>
      <c r="F2597">
        <v>6845497</v>
      </c>
      <c r="G2597">
        <v>6845561</v>
      </c>
      <c r="H2597">
        <v>6845582</v>
      </c>
      <c r="I2597">
        <v>6845591</v>
      </c>
    </row>
    <row r="2598" spans="1:9" x14ac:dyDescent="0.2">
      <c r="A2598" s="1" t="str">
        <f>"CAMTA2"</f>
        <v>CAMTA2</v>
      </c>
      <c r="B2598" t="s">
        <v>14</v>
      </c>
      <c r="C2598" t="s">
        <v>28</v>
      </c>
      <c r="D2598" t="s">
        <v>11</v>
      </c>
      <c r="E2598" t="s">
        <v>12</v>
      </c>
      <c r="F2598">
        <v>4890919</v>
      </c>
      <c r="G2598">
        <v>4890985</v>
      </c>
      <c r="H2598">
        <v>4890695</v>
      </c>
      <c r="I2598">
        <v>4890773</v>
      </c>
    </row>
    <row r="2599" spans="1:9" x14ac:dyDescent="0.2">
      <c r="A2599" s="1" t="str">
        <f>"CAND1"</f>
        <v>CAND1</v>
      </c>
      <c r="B2599" t="s">
        <v>14</v>
      </c>
      <c r="C2599" t="s">
        <v>16</v>
      </c>
      <c r="D2599" t="s">
        <v>17</v>
      </c>
      <c r="E2599" t="s">
        <v>12</v>
      </c>
      <c r="F2599">
        <v>67663108</v>
      </c>
      <c r="G2599">
        <v>67663204</v>
      </c>
      <c r="H2599">
        <v>67663376</v>
      </c>
      <c r="I2599">
        <v>67663430</v>
      </c>
    </row>
    <row r="2600" spans="1:9" x14ac:dyDescent="0.2">
      <c r="A2600" s="1" t="str">
        <f>"CAND2"</f>
        <v>CAND2</v>
      </c>
      <c r="B2600" t="s">
        <v>14</v>
      </c>
      <c r="C2600" t="s">
        <v>22</v>
      </c>
      <c r="D2600" t="s">
        <v>17</v>
      </c>
      <c r="E2600" t="s">
        <v>12</v>
      </c>
      <c r="F2600">
        <v>12838161</v>
      </c>
      <c r="G2600">
        <v>12838215</v>
      </c>
      <c r="H2600">
        <v>12838142</v>
      </c>
      <c r="I2600">
        <v>12838153</v>
      </c>
    </row>
    <row r="2601" spans="1:9" x14ac:dyDescent="0.2">
      <c r="A2601" s="1" t="str">
        <f>"CANT1"</f>
        <v>CANT1</v>
      </c>
      <c r="B2601" t="s">
        <v>14</v>
      </c>
      <c r="C2601" t="s">
        <v>28</v>
      </c>
      <c r="D2601" t="s">
        <v>11</v>
      </c>
      <c r="E2601" t="s">
        <v>12</v>
      </c>
      <c r="F2601">
        <v>77005813</v>
      </c>
      <c r="G2601">
        <v>77005856</v>
      </c>
      <c r="H2601">
        <v>77005863</v>
      </c>
      <c r="I2601">
        <v>77005882</v>
      </c>
    </row>
    <row r="2602" spans="1:9" x14ac:dyDescent="0.2">
      <c r="A2602" s="1" t="str">
        <f>"CANX"</f>
        <v>CANX</v>
      </c>
      <c r="B2602" t="s">
        <v>9</v>
      </c>
      <c r="C2602" t="s">
        <v>46</v>
      </c>
      <c r="D2602" t="s">
        <v>17</v>
      </c>
      <c r="E2602" t="s">
        <v>12</v>
      </c>
      <c r="F2602">
        <v>179125922</v>
      </c>
      <c r="G2602">
        <v>179126038</v>
      </c>
      <c r="H2602">
        <v>179125922</v>
      </c>
      <c r="I2602">
        <v>179126038</v>
      </c>
    </row>
    <row r="2603" spans="1:9" x14ac:dyDescent="0.2">
      <c r="A2603" s="1" t="str">
        <f>"CANX"</f>
        <v>CANX</v>
      </c>
      <c r="B2603" t="s">
        <v>13</v>
      </c>
      <c r="C2603" t="s">
        <v>46</v>
      </c>
      <c r="D2603" t="s">
        <v>17</v>
      </c>
      <c r="E2603" t="s">
        <v>12</v>
      </c>
      <c r="F2603">
        <v>179132668</v>
      </c>
      <c r="G2603">
        <v>179132748</v>
      </c>
      <c r="H2603">
        <v>179132668</v>
      </c>
      <c r="I2603">
        <v>179132748</v>
      </c>
    </row>
    <row r="2604" spans="1:9" x14ac:dyDescent="0.2">
      <c r="A2604" s="1" t="str">
        <f>"CAP1"</f>
        <v>CAP1</v>
      </c>
      <c r="B2604" t="s">
        <v>14</v>
      </c>
      <c r="C2604" t="s">
        <v>19</v>
      </c>
      <c r="D2604" t="s">
        <v>17</v>
      </c>
      <c r="E2604" t="s">
        <v>12</v>
      </c>
      <c r="F2604">
        <v>40506393</v>
      </c>
      <c r="G2604">
        <v>40506453</v>
      </c>
      <c r="H2604">
        <v>40506371</v>
      </c>
      <c r="I2604">
        <v>40506382</v>
      </c>
    </row>
    <row r="2605" spans="1:9" x14ac:dyDescent="0.2">
      <c r="A2605" s="1" t="str">
        <f>"CAP2"</f>
        <v>CAP2</v>
      </c>
      <c r="B2605" t="s">
        <v>14</v>
      </c>
      <c r="C2605" t="s">
        <v>32</v>
      </c>
      <c r="D2605" t="s">
        <v>17</v>
      </c>
      <c r="E2605" t="s">
        <v>12</v>
      </c>
      <c r="F2605">
        <v>17393888</v>
      </c>
      <c r="G2605">
        <v>17393954</v>
      </c>
      <c r="H2605">
        <v>17393807</v>
      </c>
      <c r="I2605">
        <v>17393833</v>
      </c>
    </row>
    <row r="2606" spans="1:9" x14ac:dyDescent="0.2">
      <c r="A2606" s="1" t="str">
        <f>"CAPG"</f>
        <v>CAPG</v>
      </c>
      <c r="B2606" t="s">
        <v>9</v>
      </c>
      <c r="C2606" t="s">
        <v>26</v>
      </c>
      <c r="D2606" t="s">
        <v>11</v>
      </c>
      <c r="E2606" t="s">
        <v>12</v>
      </c>
      <c r="F2606">
        <v>85641126</v>
      </c>
      <c r="G2606">
        <v>85641150</v>
      </c>
      <c r="H2606">
        <v>85641126</v>
      </c>
      <c r="I2606">
        <v>85641150</v>
      </c>
    </row>
    <row r="2607" spans="1:9" x14ac:dyDescent="0.2">
      <c r="A2607" s="1" t="str">
        <f>"CAPG"</f>
        <v>CAPG</v>
      </c>
      <c r="B2607" t="s">
        <v>13</v>
      </c>
      <c r="C2607" t="s">
        <v>26</v>
      </c>
      <c r="D2607" t="s">
        <v>11</v>
      </c>
      <c r="E2607" t="s">
        <v>12</v>
      </c>
      <c r="F2607">
        <v>85637459</v>
      </c>
      <c r="G2607">
        <v>85637495</v>
      </c>
      <c r="H2607">
        <v>85637459</v>
      </c>
      <c r="I2607">
        <v>85637495</v>
      </c>
    </row>
    <row r="2608" spans="1:9" x14ac:dyDescent="0.2">
      <c r="A2608" s="1" t="str">
        <f>"CAPN1"</f>
        <v>CAPN1</v>
      </c>
      <c r="B2608" t="s">
        <v>14</v>
      </c>
      <c r="C2608" t="s">
        <v>27</v>
      </c>
      <c r="D2608" t="s">
        <v>17</v>
      </c>
      <c r="E2608" t="s">
        <v>12</v>
      </c>
      <c r="F2608">
        <v>64949391</v>
      </c>
      <c r="G2608">
        <v>64949454</v>
      </c>
      <c r="H2608">
        <v>64948790</v>
      </c>
      <c r="I2608">
        <v>64948867</v>
      </c>
    </row>
    <row r="2609" spans="1:9" x14ac:dyDescent="0.2">
      <c r="A2609" s="1" t="str">
        <f>"CAPN10"</f>
        <v>CAPN10</v>
      </c>
      <c r="B2609" t="s">
        <v>14</v>
      </c>
      <c r="C2609" t="s">
        <v>26</v>
      </c>
      <c r="D2609" t="s">
        <v>17</v>
      </c>
      <c r="E2609" t="s">
        <v>12</v>
      </c>
      <c r="F2609">
        <v>241526126</v>
      </c>
      <c r="G2609">
        <v>241526188</v>
      </c>
      <c r="H2609">
        <v>241526191</v>
      </c>
      <c r="I2609">
        <v>241526206</v>
      </c>
    </row>
    <row r="2610" spans="1:9" x14ac:dyDescent="0.2">
      <c r="A2610" s="1" t="str">
        <f>"CAPN11"</f>
        <v>CAPN11</v>
      </c>
      <c r="B2610" t="s">
        <v>9</v>
      </c>
      <c r="C2610" t="s">
        <v>32</v>
      </c>
      <c r="D2610" t="s">
        <v>17</v>
      </c>
      <c r="E2610" t="s">
        <v>12</v>
      </c>
      <c r="F2610">
        <v>44126545</v>
      </c>
      <c r="G2610">
        <v>44126565</v>
      </c>
      <c r="H2610">
        <v>44126545</v>
      </c>
      <c r="I2610">
        <v>44126565</v>
      </c>
    </row>
    <row r="2611" spans="1:9" x14ac:dyDescent="0.2">
      <c r="A2611" s="1" t="str">
        <f>"CAPN11"</f>
        <v>CAPN11</v>
      </c>
      <c r="B2611" t="s">
        <v>13</v>
      </c>
      <c r="C2611" t="s">
        <v>32</v>
      </c>
      <c r="D2611" t="s">
        <v>17</v>
      </c>
      <c r="E2611" t="s">
        <v>12</v>
      </c>
      <c r="F2611">
        <v>44144336</v>
      </c>
      <c r="G2611">
        <v>44144350</v>
      </c>
      <c r="H2611">
        <v>44144336</v>
      </c>
      <c r="I2611">
        <v>44144350</v>
      </c>
    </row>
    <row r="2612" spans="1:9" x14ac:dyDescent="0.2">
      <c r="A2612" s="1" t="str">
        <f>"CAPN12"</f>
        <v>CAPN12</v>
      </c>
      <c r="B2612" t="s">
        <v>14</v>
      </c>
      <c r="C2612" t="s">
        <v>10</v>
      </c>
      <c r="D2612" t="s">
        <v>11</v>
      </c>
      <c r="E2612" t="s">
        <v>12</v>
      </c>
      <c r="F2612">
        <v>39226283</v>
      </c>
      <c r="G2612">
        <v>39226331</v>
      </c>
      <c r="H2612">
        <v>39226055</v>
      </c>
      <c r="I2612">
        <v>39226071</v>
      </c>
    </row>
    <row r="2613" spans="1:9" x14ac:dyDescent="0.2">
      <c r="A2613" s="1" t="str">
        <f>"CAPN13"</f>
        <v>CAPN13</v>
      </c>
      <c r="B2613" t="s">
        <v>9</v>
      </c>
      <c r="C2613" t="s">
        <v>26</v>
      </c>
      <c r="D2613" t="s">
        <v>11</v>
      </c>
      <c r="E2613" t="s">
        <v>12</v>
      </c>
      <c r="F2613">
        <v>31030277</v>
      </c>
      <c r="G2613">
        <v>31030317</v>
      </c>
      <c r="H2613">
        <v>31030277</v>
      </c>
      <c r="I2613">
        <v>31030317</v>
      </c>
    </row>
    <row r="2614" spans="1:9" x14ac:dyDescent="0.2">
      <c r="A2614" s="1" t="str">
        <f>"CAPN13"</f>
        <v>CAPN13</v>
      </c>
      <c r="B2614" t="s">
        <v>13</v>
      </c>
      <c r="C2614" t="s">
        <v>26</v>
      </c>
      <c r="D2614" t="s">
        <v>11</v>
      </c>
      <c r="E2614" t="s">
        <v>12</v>
      </c>
      <c r="F2614">
        <v>31043369</v>
      </c>
      <c r="G2614">
        <v>31043391</v>
      </c>
      <c r="H2614">
        <v>31043369</v>
      </c>
      <c r="I2614">
        <v>31043391</v>
      </c>
    </row>
    <row r="2615" spans="1:9" x14ac:dyDescent="0.2">
      <c r="A2615" s="1" t="str">
        <f>"CAPN14"</f>
        <v>CAPN14</v>
      </c>
      <c r="B2615" t="s">
        <v>14</v>
      </c>
      <c r="C2615" t="s">
        <v>26</v>
      </c>
      <c r="D2615" t="s">
        <v>11</v>
      </c>
      <c r="E2615" t="s">
        <v>12</v>
      </c>
      <c r="F2615">
        <v>31440377</v>
      </c>
      <c r="G2615">
        <v>31440385</v>
      </c>
      <c r="H2615">
        <v>31440377</v>
      </c>
      <c r="I2615">
        <v>31440385</v>
      </c>
    </row>
    <row r="2616" spans="1:9" x14ac:dyDescent="0.2">
      <c r="A2616" s="1" t="str">
        <f>"CAPN15"</f>
        <v>CAPN15</v>
      </c>
      <c r="B2616" t="s">
        <v>14</v>
      </c>
      <c r="C2616" t="s">
        <v>31</v>
      </c>
      <c r="D2616" t="s">
        <v>17</v>
      </c>
      <c r="E2616" t="s">
        <v>12</v>
      </c>
      <c r="F2616">
        <v>577697</v>
      </c>
      <c r="G2616">
        <v>577827</v>
      </c>
      <c r="H2616">
        <v>577835</v>
      </c>
      <c r="I2616">
        <v>577859</v>
      </c>
    </row>
    <row r="2617" spans="1:9" x14ac:dyDescent="0.2">
      <c r="A2617" s="1" t="str">
        <f>"CAPN2"</f>
        <v>CAPN2</v>
      </c>
      <c r="B2617" t="s">
        <v>14</v>
      </c>
      <c r="C2617" t="s">
        <v>19</v>
      </c>
      <c r="D2617" t="s">
        <v>17</v>
      </c>
      <c r="E2617" t="s">
        <v>12</v>
      </c>
      <c r="F2617">
        <v>223900193</v>
      </c>
      <c r="G2617">
        <v>223900249</v>
      </c>
      <c r="H2617">
        <v>223900302</v>
      </c>
      <c r="I2617">
        <v>223900328</v>
      </c>
    </row>
    <row r="2618" spans="1:9" x14ac:dyDescent="0.2">
      <c r="A2618" s="1" t="str">
        <f>"CAPN3"</f>
        <v>CAPN3</v>
      </c>
      <c r="B2618" t="s">
        <v>192</v>
      </c>
      <c r="C2618" t="s">
        <v>25</v>
      </c>
      <c r="D2618" t="s">
        <v>17</v>
      </c>
      <c r="E2618" t="s">
        <v>20</v>
      </c>
      <c r="F2618">
        <v>42651782</v>
      </c>
      <c r="G2618">
        <v>42651782</v>
      </c>
      <c r="H2618">
        <v>42651782</v>
      </c>
      <c r="I2618">
        <v>42651782</v>
      </c>
    </row>
    <row r="2619" spans="1:9" x14ac:dyDescent="0.2">
      <c r="A2619" s="1" t="str">
        <f>"CAPN5"</f>
        <v>CAPN5</v>
      </c>
      <c r="B2619" t="s">
        <v>14</v>
      </c>
      <c r="C2619" t="s">
        <v>27</v>
      </c>
      <c r="D2619" t="s">
        <v>17</v>
      </c>
      <c r="E2619" t="s">
        <v>12</v>
      </c>
      <c r="F2619">
        <v>76777995</v>
      </c>
      <c r="G2619">
        <v>76778027</v>
      </c>
      <c r="H2619">
        <v>76778033</v>
      </c>
      <c r="I2619">
        <v>76778047</v>
      </c>
    </row>
    <row r="2620" spans="1:9" x14ac:dyDescent="0.2">
      <c r="A2620" s="1" t="str">
        <f>"CAPN6"</f>
        <v>CAPN6</v>
      </c>
      <c r="B2620" t="s">
        <v>14</v>
      </c>
      <c r="C2620" t="s">
        <v>37</v>
      </c>
      <c r="D2620" t="s">
        <v>11</v>
      </c>
      <c r="E2620" t="s">
        <v>12</v>
      </c>
      <c r="F2620">
        <v>110513703</v>
      </c>
      <c r="G2620">
        <v>110513741</v>
      </c>
      <c r="H2620">
        <v>110513684</v>
      </c>
      <c r="I2620">
        <v>110513700</v>
      </c>
    </row>
    <row r="2621" spans="1:9" x14ac:dyDescent="0.2">
      <c r="A2621" s="1" t="str">
        <f>"CAPN7"</f>
        <v>CAPN7</v>
      </c>
      <c r="B2621" t="s">
        <v>14</v>
      </c>
      <c r="C2621" t="s">
        <v>22</v>
      </c>
      <c r="D2621" t="s">
        <v>17</v>
      </c>
      <c r="E2621" t="s">
        <v>12</v>
      </c>
      <c r="F2621">
        <v>15247686</v>
      </c>
      <c r="G2621">
        <v>15247784</v>
      </c>
      <c r="H2621">
        <v>15247655</v>
      </c>
      <c r="I2621">
        <v>15247666</v>
      </c>
    </row>
    <row r="2622" spans="1:9" x14ac:dyDescent="0.2">
      <c r="A2622" s="1" t="str">
        <f>"CAPN8"</f>
        <v>CAPN8</v>
      </c>
      <c r="B2622" t="s">
        <v>14</v>
      </c>
      <c r="C2622" t="s">
        <v>19</v>
      </c>
      <c r="D2622" t="s">
        <v>11</v>
      </c>
      <c r="E2622" t="s">
        <v>12</v>
      </c>
      <c r="F2622">
        <v>223853388</v>
      </c>
      <c r="G2622">
        <v>223853408</v>
      </c>
      <c r="H2622">
        <v>223853355</v>
      </c>
      <c r="I2622">
        <v>223853378</v>
      </c>
    </row>
    <row r="2623" spans="1:9" x14ac:dyDescent="0.2">
      <c r="A2623" s="1" t="str">
        <f>"CAPN9"</f>
        <v>CAPN9</v>
      </c>
      <c r="B2623" t="s">
        <v>14</v>
      </c>
      <c r="C2623" t="s">
        <v>19</v>
      </c>
      <c r="D2623" t="s">
        <v>17</v>
      </c>
      <c r="E2623" t="s">
        <v>12</v>
      </c>
      <c r="F2623">
        <v>230883128</v>
      </c>
      <c r="G2623">
        <v>230883162</v>
      </c>
      <c r="H2623">
        <v>230883185</v>
      </c>
      <c r="I2623">
        <v>230883196</v>
      </c>
    </row>
    <row r="2624" spans="1:9" x14ac:dyDescent="0.2">
      <c r="A2624" s="1" t="str">
        <f>"CAPNS1"</f>
        <v>CAPNS1</v>
      </c>
      <c r="B2624" t="s">
        <v>14</v>
      </c>
      <c r="C2624" t="s">
        <v>10</v>
      </c>
      <c r="D2624" t="s">
        <v>17</v>
      </c>
      <c r="E2624" t="s">
        <v>12</v>
      </c>
      <c r="F2624">
        <v>36630961</v>
      </c>
      <c r="G2624">
        <v>36631044</v>
      </c>
      <c r="H2624">
        <v>36631867</v>
      </c>
      <c r="I2624">
        <v>36631919</v>
      </c>
    </row>
    <row r="2625" spans="1:9" x14ac:dyDescent="0.2">
      <c r="A2625" s="1" t="str">
        <f>"CAPNS2"</f>
        <v>CAPNS2</v>
      </c>
      <c r="B2625" t="s">
        <v>14</v>
      </c>
      <c r="C2625" t="s">
        <v>31</v>
      </c>
      <c r="D2625" t="s">
        <v>17</v>
      </c>
      <c r="E2625" t="s">
        <v>12</v>
      </c>
      <c r="F2625">
        <v>55600580</v>
      </c>
      <c r="G2625">
        <v>55600632</v>
      </c>
      <c r="H2625">
        <v>55600644</v>
      </c>
      <c r="I2625">
        <v>55600645</v>
      </c>
    </row>
    <row r="2626" spans="1:9" x14ac:dyDescent="0.2">
      <c r="A2626" s="1" t="str">
        <f>"CAPRIN1"</f>
        <v>CAPRIN1</v>
      </c>
      <c r="B2626" t="s">
        <v>14</v>
      </c>
      <c r="C2626" t="s">
        <v>27</v>
      </c>
      <c r="D2626" t="s">
        <v>17</v>
      </c>
      <c r="E2626" t="s">
        <v>12</v>
      </c>
      <c r="F2626">
        <v>34073195</v>
      </c>
      <c r="G2626">
        <v>34073266</v>
      </c>
      <c r="H2626">
        <v>34073269</v>
      </c>
      <c r="I2626">
        <v>34073287</v>
      </c>
    </row>
    <row r="2627" spans="1:9" x14ac:dyDescent="0.2">
      <c r="A2627" s="1" t="str">
        <f>"CAPRIN2"</f>
        <v>CAPRIN2</v>
      </c>
      <c r="B2627" t="s">
        <v>14</v>
      </c>
      <c r="C2627" t="s">
        <v>16</v>
      </c>
      <c r="D2627" t="s">
        <v>11</v>
      </c>
      <c r="E2627" t="s">
        <v>12</v>
      </c>
      <c r="F2627">
        <v>30907862</v>
      </c>
      <c r="G2627">
        <v>30907894</v>
      </c>
      <c r="H2627">
        <v>30907700</v>
      </c>
      <c r="I2627">
        <v>30907748</v>
      </c>
    </row>
    <row r="2628" spans="1:9" x14ac:dyDescent="0.2">
      <c r="A2628" s="1" t="str">
        <f>"CAPS"</f>
        <v>CAPS</v>
      </c>
      <c r="B2628" t="s">
        <v>14</v>
      </c>
      <c r="C2628" t="s">
        <v>10</v>
      </c>
      <c r="D2628" t="s">
        <v>17</v>
      </c>
      <c r="E2628" t="s">
        <v>12</v>
      </c>
      <c r="F2628">
        <v>5914213</v>
      </c>
      <c r="G2628">
        <v>5914286</v>
      </c>
      <c r="H2628">
        <v>5914187</v>
      </c>
      <c r="I2628">
        <v>5914198</v>
      </c>
    </row>
    <row r="2629" spans="1:9" x14ac:dyDescent="0.2">
      <c r="A2629" s="1" t="str">
        <f>"CAPS2"</f>
        <v>CAPS2</v>
      </c>
      <c r="B2629" t="s">
        <v>14</v>
      </c>
      <c r="C2629" t="s">
        <v>16</v>
      </c>
      <c r="D2629" t="s">
        <v>11</v>
      </c>
      <c r="E2629" t="s">
        <v>12</v>
      </c>
      <c r="F2629">
        <v>75784669</v>
      </c>
      <c r="G2629">
        <v>75784698</v>
      </c>
      <c r="H2629">
        <v>75784669</v>
      </c>
      <c r="I2629">
        <v>75784698</v>
      </c>
    </row>
    <row r="2630" spans="1:9" x14ac:dyDescent="0.2">
      <c r="A2630" s="1" t="str">
        <f>"CAPSL"</f>
        <v>CAPSL</v>
      </c>
      <c r="B2630" t="s">
        <v>14</v>
      </c>
      <c r="C2630" t="s">
        <v>46</v>
      </c>
      <c r="D2630" t="s">
        <v>11</v>
      </c>
      <c r="E2630" t="s">
        <v>12</v>
      </c>
      <c r="F2630">
        <v>35938674</v>
      </c>
      <c r="G2630">
        <v>35938730</v>
      </c>
      <c r="H2630">
        <v>35938783</v>
      </c>
      <c r="I2630">
        <v>35938788</v>
      </c>
    </row>
    <row r="2631" spans="1:9" x14ac:dyDescent="0.2">
      <c r="A2631" s="1" t="str">
        <f>"CAPZA1"</f>
        <v>CAPZA1</v>
      </c>
      <c r="B2631" t="s">
        <v>14</v>
      </c>
      <c r="C2631" t="s">
        <v>19</v>
      </c>
      <c r="D2631" t="s">
        <v>17</v>
      </c>
      <c r="E2631" t="s">
        <v>12</v>
      </c>
      <c r="F2631">
        <v>113162434</v>
      </c>
      <c r="G2631">
        <v>113162462</v>
      </c>
      <c r="H2631">
        <v>113162400</v>
      </c>
      <c r="I2631">
        <v>113162411</v>
      </c>
    </row>
    <row r="2632" spans="1:9" x14ac:dyDescent="0.2">
      <c r="A2632" s="1" t="str">
        <f>"CAPZA2"</f>
        <v>CAPZA2</v>
      </c>
      <c r="B2632" t="s">
        <v>14</v>
      </c>
      <c r="C2632" t="s">
        <v>33</v>
      </c>
      <c r="D2632" t="s">
        <v>17</v>
      </c>
      <c r="E2632" t="s">
        <v>12</v>
      </c>
      <c r="F2632">
        <v>116502605</v>
      </c>
      <c r="G2632">
        <v>116502664</v>
      </c>
      <c r="H2632">
        <v>116502564</v>
      </c>
      <c r="I2632">
        <v>116502600</v>
      </c>
    </row>
    <row r="2633" spans="1:9" x14ac:dyDescent="0.2">
      <c r="A2633" s="1" t="str">
        <f>"CAPZA3"</f>
        <v>CAPZA3</v>
      </c>
      <c r="B2633" t="s">
        <v>14</v>
      </c>
      <c r="C2633" t="s">
        <v>16</v>
      </c>
      <c r="D2633" t="s">
        <v>17</v>
      </c>
      <c r="E2633" t="s">
        <v>12</v>
      </c>
      <c r="F2633">
        <v>18891047</v>
      </c>
      <c r="G2633">
        <v>18891066</v>
      </c>
      <c r="H2633">
        <v>18891077</v>
      </c>
      <c r="I2633">
        <v>18891088</v>
      </c>
    </row>
    <row r="2634" spans="1:9" x14ac:dyDescent="0.2">
      <c r="A2634" s="1" t="str">
        <f>"CAPZB"</f>
        <v>CAPZB</v>
      </c>
      <c r="B2634" t="s">
        <v>14</v>
      </c>
      <c r="C2634" t="s">
        <v>19</v>
      </c>
      <c r="D2634" t="s">
        <v>11</v>
      </c>
      <c r="E2634" t="s">
        <v>12</v>
      </c>
      <c r="F2634">
        <v>19811996</v>
      </c>
      <c r="G2634">
        <v>19812048</v>
      </c>
      <c r="H2634">
        <v>19811962</v>
      </c>
      <c r="I2634">
        <v>19811994</v>
      </c>
    </row>
    <row r="2635" spans="1:9" x14ac:dyDescent="0.2">
      <c r="A2635" s="1" t="str">
        <f>"CARD10"</f>
        <v>CARD10</v>
      </c>
      <c r="B2635" t="s">
        <v>14</v>
      </c>
      <c r="C2635" t="s">
        <v>21</v>
      </c>
      <c r="D2635" t="s">
        <v>11</v>
      </c>
      <c r="E2635" t="s">
        <v>12</v>
      </c>
      <c r="F2635">
        <v>37915355</v>
      </c>
      <c r="G2635">
        <v>37915435</v>
      </c>
      <c r="H2635">
        <v>37915535</v>
      </c>
      <c r="I2635">
        <v>37915550</v>
      </c>
    </row>
    <row r="2636" spans="1:9" x14ac:dyDescent="0.2">
      <c r="A2636" s="1" t="str">
        <f>"CARD11"</f>
        <v>CARD11</v>
      </c>
      <c r="B2636" t="s">
        <v>14</v>
      </c>
      <c r="C2636" t="s">
        <v>33</v>
      </c>
      <c r="D2636" t="s">
        <v>11</v>
      </c>
      <c r="E2636" t="s">
        <v>12</v>
      </c>
      <c r="F2636">
        <v>3083472</v>
      </c>
      <c r="G2636">
        <v>3083508</v>
      </c>
      <c r="H2636">
        <v>3083516</v>
      </c>
      <c r="I2636">
        <v>3083532</v>
      </c>
    </row>
    <row r="2637" spans="1:9" x14ac:dyDescent="0.2">
      <c r="A2637" s="1" t="str">
        <f>"CARD14"</f>
        <v>CARD14</v>
      </c>
      <c r="B2637" t="s">
        <v>14</v>
      </c>
      <c r="C2637" t="s">
        <v>28</v>
      </c>
      <c r="D2637" t="s">
        <v>17</v>
      </c>
      <c r="E2637" t="s">
        <v>12</v>
      </c>
      <c r="F2637">
        <v>78143818</v>
      </c>
      <c r="G2637">
        <v>78143834</v>
      </c>
      <c r="H2637">
        <v>78143851</v>
      </c>
      <c r="I2637">
        <v>78143863</v>
      </c>
    </row>
    <row r="2638" spans="1:9" x14ac:dyDescent="0.2">
      <c r="A2638" s="1" t="str">
        <f>"CARD16"</f>
        <v>CARD16</v>
      </c>
      <c r="B2638" t="s">
        <v>14</v>
      </c>
      <c r="C2638" t="s">
        <v>27</v>
      </c>
      <c r="D2638" t="s">
        <v>11</v>
      </c>
      <c r="E2638" t="s">
        <v>12</v>
      </c>
      <c r="F2638">
        <v>104916043</v>
      </c>
      <c r="G2638">
        <v>104916077</v>
      </c>
      <c r="H2638">
        <v>104916043</v>
      </c>
      <c r="I2638">
        <v>104916077</v>
      </c>
    </row>
    <row r="2639" spans="1:9" x14ac:dyDescent="0.2">
      <c r="A2639" s="1" t="str">
        <f>"CARD17"</f>
        <v>CARD17</v>
      </c>
      <c r="B2639" t="s">
        <v>14</v>
      </c>
      <c r="C2639" t="s">
        <v>27</v>
      </c>
      <c r="D2639" t="s">
        <v>11</v>
      </c>
      <c r="E2639" t="s">
        <v>12</v>
      </c>
      <c r="F2639">
        <v>104972182</v>
      </c>
      <c r="G2639">
        <v>104972190</v>
      </c>
      <c r="H2639">
        <v>104972182</v>
      </c>
      <c r="I2639">
        <v>104972190</v>
      </c>
    </row>
    <row r="2640" spans="1:9" x14ac:dyDescent="0.2">
      <c r="A2640" s="1" t="str">
        <f>"CARD18"</f>
        <v>CARD18</v>
      </c>
      <c r="B2640" t="s">
        <v>14</v>
      </c>
      <c r="C2640" t="s">
        <v>27</v>
      </c>
      <c r="D2640" t="s">
        <v>11</v>
      </c>
      <c r="E2640" t="s">
        <v>12</v>
      </c>
      <c r="F2640">
        <v>105010477</v>
      </c>
      <c r="G2640">
        <v>105010516</v>
      </c>
      <c r="H2640">
        <v>105010477</v>
      </c>
      <c r="I2640">
        <v>105010516</v>
      </c>
    </row>
    <row r="2641" spans="1:9" x14ac:dyDescent="0.2">
      <c r="A2641" s="1" t="str">
        <f>"CARD6"</f>
        <v>CARD6</v>
      </c>
      <c r="B2641" t="s">
        <v>14</v>
      </c>
      <c r="C2641" t="s">
        <v>46</v>
      </c>
      <c r="D2641" t="s">
        <v>17</v>
      </c>
      <c r="E2641" t="s">
        <v>12</v>
      </c>
      <c r="F2641">
        <v>40841446</v>
      </c>
      <c r="G2641">
        <v>40841489</v>
      </c>
      <c r="H2641">
        <v>40841276</v>
      </c>
      <c r="I2641">
        <v>40841312</v>
      </c>
    </row>
    <row r="2642" spans="1:9" x14ac:dyDescent="0.2">
      <c r="A2642" s="1" t="str">
        <f>"CARD8"</f>
        <v>CARD8</v>
      </c>
      <c r="B2642" t="s">
        <v>9</v>
      </c>
      <c r="C2642" t="s">
        <v>10</v>
      </c>
      <c r="D2642" t="s">
        <v>11</v>
      </c>
      <c r="E2642" t="s">
        <v>12</v>
      </c>
      <c r="F2642">
        <v>48753064</v>
      </c>
      <c r="G2642">
        <v>48753095</v>
      </c>
      <c r="H2642">
        <v>48753064</v>
      </c>
      <c r="I2642">
        <v>48753095</v>
      </c>
    </row>
    <row r="2643" spans="1:9" x14ac:dyDescent="0.2">
      <c r="A2643" s="1" t="str">
        <f>"CARD8"</f>
        <v>CARD8</v>
      </c>
      <c r="B2643" t="s">
        <v>13</v>
      </c>
      <c r="C2643" t="s">
        <v>10</v>
      </c>
      <c r="D2643" t="s">
        <v>11</v>
      </c>
      <c r="E2643" t="s">
        <v>12</v>
      </c>
      <c r="F2643">
        <v>48759119</v>
      </c>
      <c r="G2643">
        <v>48759194</v>
      </c>
      <c r="H2643">
        <v>48759119</v>
      </c>
      <c r="I2643">
        <v>48759194</v>
      </c>
    </row>
    <row r="2644" spans="1:9" x14ac:dyDescent="0.2">
      <c r="A2644" s="1" t="str">
        <f>"CARD9"</f>
        <v>CARD9</v>
      </c>
      <c r="B2644" t="s">
        <v>14</v>
      </c>
      <c r="C2644" t="s">
        <v>24</v>
      </c>
      <c r="D2644" t="s">
        <v>11</v>
      </c>
      <c r="E2644" t="s">
        <v>12</v>
      </c>
      <c r="F2644">
        <v>139268068</v>
      </c>
      <c r="G2644">
        <v>139268129</v>
      </c>
      <c r="H2644">
        <v>139268040</v>
      </c>
      <c r="I2644">
        <v>139268061</v>
      </c>
    </row>
    <row r="2645" spans="1:9" x14ac:dyDescent="0.2">
      <c r="A2645" s="1" t="str">
        <f>"CARF"</f>
        <v>CARF</v>
      </c>
      <c r="B2645" t="s">
        <v>14</v>
      </c>
      <c r="C2645" t="s">
        <v>26</v>
      </c>
      <c r="D2645" t="s">
        <v>17</v>
      </c>
      <c r="E2645" t="s">
        <v>12</v>
      </c>
      <c r="F2645">
        <v>203776982</v>
      </c>
      <c r="G2645">
        <v>203777014</v>
      </c>
      <c r="H2645">
        <v>203776739</v>
      </c>
      <c r="I2645">
        <v>203776752</v>
      </c>
    </row>
    <row r="2646" spans="1:9" x14ac:dyDescent="0.2">
      <c r="A2646" s="1" t="str">
        <f>"CARHSP1"</f>
        <v>CARHSP1</v>
      </c>
      <c r="B2646" t="s">
        <v>14</v>
      </c>
      <c r="C2646" t="s">
        <v>31</v>
      </c>
      <c r="D2646" t="s">
        <v>11</v>
      </c>
      <c r="E2646" t="s">
        <v>12</v>
      </c>
      <c r="F2646">
        <v>8962853</v>
      </c>
      <c r="G2646">
        <v>8962878</v>
      </c>
      <c r="H2646">
        <v>8962853</v>
      </c>
      <c r="I2646">
        <v>8962878</v>
      </c>
    </row>
    <row r="2647" spans="1:9" x14ac:dyDescent="0.2">
      <c r="A2647" s="1" t="str">
        <f>"CARKD"</f>
        <v>CARKD</v>
      </c>
      <c r="B2647" t="s">
        <v>14</v>
      </c>
      <c r="C2647" t="s">
        <v>39</v>
      </c>
      <c r="D2647" t="s">
        <v>17</v>
      </c>
      <c r="E2647" t="s">
        <v>12</v>
      </c>
      <c r="F2647">
        <v>111267866</v>
      </c>
      <c r="G2647">
        <v>111267956</v>
      </c>
      <c r="H2647">
        <v>111267969</v>
      </c>
      <c r="I2647">
        <v>111267980</v>
      </c>
    </row>
    <row r="2648" spans="1:9" x14ac:dyDescent="0.2">
      <c r="A2648" s="1" t="str">
        <f>"CARM1"</f>
        <v>CARM1</v>
      </c>
      <c r="B2648" t="s">
        <v>14</v>
      </c>
      <c r="C2648" t="s">
        <v>10</v>
      </c>
      <c r="D2648" t="s">
        <v>17</v>
      </c>
      <c r="E2648" t="s">
        <v>12</v>
      </c>
      <c r="F2648">
        <v>10982193</v>
      </c>
      <c r="G2648">
        <v>10982250</v>
      </c>
      <c r="H2648">
        <v>10982336</v>
      </c>
      <c r="I2648">
        <v>10982378</v>
      </c>
    </row>
    <row r="2649" spans="1:9" x14ac:dyDescent="0.2">
      <c r="A2649" s="1" t="str">
        <f>"CARNS1"</f>
        <v>CARNS1</v>
      </c>
      <c r="B2649" t="s">
        <v>14</v>
      </c>
      <c r="C2649" t="s">
        <v>27</v>
      </c>
      <c r="D2649" t="s">
        <v>17</v>
      </c>
      <c r="E2649" t="s">
        <v>12</v>
      </c>
      <c r="F2649">
        <v>67183141</v>
      </c>
      <c r="G2649">
        <v>67183159</v>
      </c>
      <c r="H2649">
        <v>67182776</v>
      </c>
      <c r="I2649">
        <v>67182814</v>
      </c>
    </row>
    <row r="2650" spans="1:9" x14ac:dyDescent="0.2">
      <c r="A2650" s="1" t="str">
        <f>"CARS"</f>
        <v>CARS</v>
      </c>
      <c r="B2650" t="s">
        <v>14</v>
      </c>
      <c r="C2650" t="s">
        <v>27</v>
      </c>
      <c r="D2650" t="s">
        <v>11</v>
      </c>
      <c r="E2650" t="s">
        <v>12</v>
      </c>
      <c r="F2650">
        <v>3078616</v>
      </c>
      <c r="G2650">
        <v>3078662</v>
      </c>
      <c r="H2650">
        <v>3078595</v>
      </c>
      <c r="I2650">
        <v>3078613</v>
      </c>
    </row>
    <row r="2651" spans="1:9" x14ac:dyDescent="0.2">
      <c r="A2651" s="1" t="str">
        <f>"CARS2"</f>
        <v>CARS2</v>
      </c>
      <c r="B2651" t="s">
        <v>14</v>
      </c>
      <c r="C2651" t="s">
        <v>39</v>
      </c>
      <c r="D2651" t="s">
        <v>11</v>
      </c>
      <c r="E2651" t="s">
        <v>12</v>
      </c>
      <c r="F2651">
        <v>111358426</v>
      </c>
      <c r="G2651">
        <v>111358487</v>
      </c>
      <c r="H2651">
        <v>111358488</v>
      </c>
      <c r="I2651">
        <v>111358493</v>
      </c>
    </row>
    <row r="2652" spans="1:9" x14ac:dyDescent="0.2">
      <c r="A2652" s="1" t="str">
        <f>"CARTPT"</f>
        <v>CARTPT</v>
      </c>
      <c r="B2652" t="s">
        <v>14</v>
      </c>
      <c r="C2652" t="s">
        <v>46</v>
      </c>
      <c r="D2652" t="s">
        <v>17</v>
      </c>
      <c r="E2652" t="s">
        <v>12</v>
      </c>
      <c r="F2652">
        <v>71015094</v>
      </c>
      <c r="G2652">
        <v>71015110</v>
      </c>
      <c r="H2652">
        <v>71015455</v>
      </c>
      <c r="I2652">
        <v>71015465</v>
      </c>
    </row>
    <row r="2653" spans="1:9" x14ac:dyDescent="0.2">
      <c r="A2653" s="1" t="str">
        <f>"CASC1"</f>
        <v>CASC1</v>
      </c>
      <c r="B2653" t="s">
        <v>14</v>
      </c>
      <c r="C2653" t="s">
        <v>16</v>
      </c>
      <c r="D2653" t="s">
        <v>11</v>
      </c>
      <c r="E2653" t="s">
        <v>12</v>
      </c>
      <c r="F2653">
        <v>25348007</v>
      </c>
      <c r="G2653">
        <v>25348101</v>
      </c>
      <c r="H2653">
        <v>25347925</v>
      </c>
      <c r="I2653">
        <v>25347926</v>
      </c>
    </row>
    <row r="2654" spans="1:9" x14ac:dyDescent="0.2">
      <c r="A2654" s="1" t="str">
        <f>"CASC10"</f>
        <v>CASC10</v>
      </c>
      <c r="B2654" t="s">
        <v>14</v>
      </c>
      <c r="C2654" t="s">
        <v>15</v>
      </c>
      <c r="D2654" t="s">
        <v>11</v>
      </c>
      <c r="E2654" t="s">
        <v>12</v>
      </c>
      <c r="F2654">
        <v>21786179</v>
      </c>
      <c r="G2654">
        <v>21786228</v>
      </c>
      <c r="H2654">
        <v>21786231</v>
      </c>
      <c r="I2654">
        <v>21786248</v>
      </c>
    </row>
    <row r="2655" spans="1:9" x14ac:dyDescent="0.2">
      <c r="A2655" s="1" t="str">
        <f>"CASC3"</f>
        <v>CASC3</v>
      </c>
      <c r="B2655" t="s">
        <v>14</v>
      </c>
      <c r="C2655" t="s">
        <v>28</v>
      </c>
      <c r="D2655" t="s">
        <v>17</v>
      </c>
      <c r="E2655" t="s">
        <v>12</v>
      </c>
      <c r="F2655">
        <v>38296753</v>
      </c>
      <c r="G2655">
        <v>38296803</v>
      </c>
      <c r="H2655">
        <v>38296538</v>
      </c>
      <c r="I2655">
        <v>38296558</v>
      </c>
    </row>
    <row r="2656" spans="1:9" x14ac:dyDescent="0.2">
      <c r="A2656" s="1" t="str">
        <f>"CASC4"</f>
        <v>CASC4</v>
      </c>
      <c r="B2656" t="s">
        <v>14</v>
      </c>
      <c r="C2656" t="s">
        <v>25</v>
      </c>
      <c r="D2656" t="s">
        <v>17</v>
      </c>
      <c r="E2656" t="s">
        <v>12</v>
      </c>
      <c r="F2656">
        <v>44580899</v>
      </c>
      <c r="G2656">
        <v>44580947</v>
      </c>
      <c r="H2656">
        <v>44581090</v>
      </c>
      <c r="I2656">
        <v>44581146</v>
      </c>
    </row>
    <row r="2657" spans="1:9" x14ac:dyDescent="0.2">
      <c r="A2657" s="1" t="str">
        <f>"CASC5"</f>
        <v>CASC5</v>
      </c>
      <c r="B2657" t="s">
        <v>14</v>
      </c>
      <c r="C2657" t="s">
        <v>25</v>
      </c>
      <c r="D2657" t="s">
        <v>17</v>
      </c>
      <c r="E2657" t="s">
        <v>12</v>
      </c>
      <c r="F2657">
        <v>40886439</v>
      </c>
      <c r="G2657">
        <v>40886493</v>
      </c>
      <c r="H2657">
        <v>40886199</v>
      </c>
      <c r="I2657">
        <v>40886236</v>
      </c>
    </row>
    <row r="2658" spans="1:9" x14ac:dyDescent="0.2">
      <c r="A2658" s="1" t="str">
        <f>"CASD1"</f>
        <v>CASD1</v>
      </c>
      <c r="B2658" t="s">
        <v>14</v>
      </c>
      <c r="C2658" t="s">
        <v>33</v>
      </c>
      <c r="D2658" t="s">
        <v>17</v>
      </c>
      <c r="E2658" t="s">
        <v>12</v>
      </c>
      <c r="F2658">
        <v>94139105</v>
      </c>
      <c r="G2658">
        <v>94139197</v>
      </c>
      <c r="H2658">
        <v>94139350</v>
      </c>
      <c r="I2658">
        <v>94139392</v>
      </c>
    </row>
    <row r="2659" spans="1:9" x14ac:dyDescent="0.2">
      <c r="A2659" s="1" t="str">
        <f>"CASK"</f>
        <v>CASK</v>
      </c>
      <c r="B2659" t="s">
        <v>14</v>
      </c>
      <c r="C2659" t="s">
        <v>37</v>
      </c>
      <c r="D2659" t="s">
        <v>11</v>
      </c>
      <c r="E2659" t="s">
        <v>12</v>
      </c>
      <c r="F2659">
        <v>41782683</v>
      </c>
      <c r="G2659">
        <v>41782768</v>
      </c>
      <c r="H2659">
        <v>41782800</v>
      </c>
      <c r="I2659">
        <v>41782815</v>
      </c>
    </row>
    <row r="2660" spans="1:9" x14ac:dyDescent="0.2">
      <c r="A2660" s="1" t="str">
        <f>"CASKIN1"</f>
        <v>CASKIN1</v>
      </c>
      <c r="B2660" t="s">
        <v>14</v>
      </c>
      <c r="C2660" t="s">
        <v>31</v>
      </c>
      <c r="D2660" t="s">
        <v>11</v>
      </c>
      <c r="E2660" t="s">
        <v>12</v>
      </c>
      <c r="F2660">
        <v>2246560</v>
      </c>
      <c r="G2660">
        <v>2246614</v>
      </c>
      <c r="H2660">
        <v>2246717</v>
      </c>
      <c r="I2660">
        <v>2246789</v>
      </c>
    </row>
    <row r="2661" spans="1:9" x14ac:dyDescent="0.2">
      <c r="A2661" s="1" t="str">
        <f>"CASKIN2"</f>
        <v>CASKIN2</v>
      </c>
      <c r="B2661" t="s">
        <v>14</v>
      </c>
      <c r="C2661" t="s">
        <v>28</v>
      </c>
      <c r="D2661" t="s">
        <v>11</v>
      </c>
      <c r="E2661" t="s">
        <v>12</v>
      </c>
      <c r="F2661">
        <v>73511584</v>
      </c>
      <c r="G2661">
        <v>73511629</v>
      </c>
      <c r="H2661">
        <v>73511528</v>
      </c>
      <c r="I2661">
        <v>73511563</v>
      </c>
    </row>
    <row r="2662" spans="1:9" x14ac:dyDescent="0.2">
      <c r="A2662" s="1" t="str">
        <f>"CASP1"</f>
        <v>CASP1</v>
      </c>
      <c r="B2662" t="s">
        <v>14</v>
      </c>
      <c r="C2662" t="s">
        <v>27</v>
      </c>
      <c r="D2662" t="s">
        <v>11</v>
      </c>
      <c r="E2662" t="s">
        <v>12</v>
      </c>
      <c r="F2662">
        <v>104905868</v>
      </c>
      <c r="G2662">
        <v>104905889</v>
      </c>
      <c r="H2662">
        <v>104905868</v>
      </c>
      <c r="I2662">
        <v>104905889</v>
      </c>
    </row>
    <row r="2663" spans="1:9" x14ac:dyDescent="0.2">
      <c r="A2663" s="1" t="str">
        <f>"CASP10"</f>
        <v>CASP10</v>
      </c>
      <c r="B2663" t="s">
        <v>14</v>
      </c>
      <c r="C2663" t="s">
        <v>26</v>
      </c>
      <c r="D2663" t="s">
        <v>17</v>
      </c>
      <c r="E2663" t="s">
        <v>12</v>
      </c>
      <c r="F2663">
        <v>202047843</v>
      </c>
      <c r="G2663">
        <v>202047877</v>
      </c>
      <c r="H2663">
        <v>202047828</v>
      </c>
      <c r="I2663">
        <v>202047841</v>
      </c>
    </row>
    <row r="2664" spans="1:9" x14ac:dyDescent="0.2">
      <c r="A2664" s="1" t="str">
        <f>"CASP12"</f>
        <v>CASP12</v>
      </c>
      <c r="B2664" t="s">
        <v>14</v>
      </c>
      <c r="C2664" t="s">
        <v>27</v>
      </c>
      <c r="D2664" t="s">
        <v>11</v>
      </c>
      <c r="E2664" t="s">
        <v>12</v>
      </c>
      <c r="F2664">
        <v>104769157</v>
      </c>
      <c r="G2664">
        <v>104769191</v>
      </c>
      <c r="H2664">
        <v>104769199</v>
      </c>
      <c r="I2664">
        <v>104769211</v>
      </c>
    </row>
    <row r="2665" spans="1:9" x14ac:dyDescent="0.2">
      <c r="A2665" s="1" t="str">
        <f>"CASP14"</f>
        <v>CASP14</v>
      </c>
      <c r="B2665" t="s">
        <v>14</v>
      </c>
      <c r="C2665" t="s">
        <v>10</v>
      </c>
      <c r="D2665" t="s">
        <v>17</v>
      </c>
      <c r="E2665" t="s">
        <v>12</v>
      </c>
      <c r="F2665">
        <v>15160280</v>
      </c>
      <c r="G2665">
        <v>15160296</v>
      </c>
      <c r="H2665">
        <v>15160267</v>
      </c>
      <c r="I2665">
        <v>15160278</v>
      </c>
    </row>
    <row r="2666" spans="1:9" x14ac:dyDescent="0.2">
      <c r="A2666" s="1" t="str">
        <f>"CASP16"</f>
        <v>CASP16</v>
      </c>
      <c r="B2666" t="s">
        <v>14</v>
      </c>
      <c r="C2666" t="s">
        <v>31</v>
      </c>
      <c r="D2666" t="s">
        <v>17</v>
      </c>
      <c r="E2666" t="s">
        <v>67</v>
      </c>
      <c r="F2666">
        <v>3194253</v>
      </c>
      <c r="G2666">
        <v>3194258</v>
      </c>
      <c r="H2666">
        <v>3194253</v>
      </c>
      <c r="I2666">
        <v>3194258</v>
      </c>
    </row>
    <row r="2667" spans="1:9" x14ac:dyDescent="0.2">
      <c r="A2667" s="1" t="str">
        <f>"CASP2"</f>
        <v>CASP2</v>
      </c>
      <c r="B2667" t="s">
        <v>14</v>
      </c>
      <c r="C2667" t="s">
        <v>33</v>
      </c>
      <c r="D2667" t="s">
        <v>17</v>
      </c>
      <c r="E2667" t="s">
        <v>12</v>
      </c>
      <c r="F2667">
        <v>142985467</v>
      </c>
      <c r="G2667">
        <v>142985547</v>
      </c>
      <c r="H2667">
        <v>142985427</v>
      </c>
      <c r="I2667">
        <v>142985453</v>
      </c>
    </row>
    <row r="2668" spans="1:9" x14ac:dyDescent="0.2">
      <c r="A2668" s="1" t="str">
        <f>"CASP3"</f>
        <v>CASP3</v>
      </c>
      <c r="B2668" t="s">
        <v>14</v>
      </c>
      <c r="C2668" t="s">
        <v>23</v>
      </c>
      <c r="D2668" t="s">
        <v>11</v>
      </c>
      <c r="E2668" t="s">
        <v>12</v>
      </c>
      <c r="F2668">
        <v>185570590</v>
      </c>
      <c r="G2668">
        <v>185570609</v>
      </c>
      <c r="H2668">
        <v>185570754</v>
      </c>
      <c r="I2668">
        <v>185570767</v>
      </c>
    </row>
    <row r="2669" spans="1:9" x14ac:dyDescent="0.2">
      <c r="A2669" s="1" t="str">
        <f>"CASP4"</f>
        <v>CASP4</v>
      </c>
      <c r="B2669" t="s">
        <v>9</v>
      </c>
      <c r="C2669" t="s">
        <v>27</v>
      </c>
      <c r="D2669" t="s">
        <v>11</v>
      </c>
      <c r="E2669" t="s">
        <v>12</v>
      </c>
      <c r="F2669">
        <v>104839260</v>
      </c>
      <c r="G2669">
        <v>104839327</v>
      </c>
      <c r="H2669">
        <v>104839260</v>
      </c>
      <c r="I2669">
        <v>104839327</v>
      </c>
    </row>
    <row r="2670" spans="1:9" x14ac:dyDescent="0.2">
      <c r="A2670" s="1" t="str">
        <f>"CASP4"</f>
        <v>CASP4</v>
      </c>
      <c r="B2670" t="s">
        <v>13</v>
      </c>
      <c r="C2670" t="s">
        <v>27</v>
      </c>
      <c r="D2670" t="s">
        <v>11</v>
      </c>
      <c r="E2670" t="s">
        <v>12</v>
      </c>
      <c r="F2670">
        <v>104825675</v>
      </c>
      <c r="G2670">
        <v>104825688</v>
      </c>
      <c r="H2670">
        <v>104825675</v>
      </c>
      <c r="I2670">
        <v>104825688</v>
      </c>
    </row>
    <row r="2671" spans="1:9" x14ac:dyDescent="0.2">
      <c r="A2671" s="1" t="str">
        <f>"CASP5"</f>
        <v>CASP5</v>
      </c>
      <c r="B2671" t="s">
        <v>14</v>
      </c>
      <c r="C2671" t="s">
        <v>27</v>
      </c>
      <c r="D2671" t="s">
        <v>11</v>
      </c>
      <c r="E2671" t="s">
        <v>12</v>
      </c>
      <c r="F2671">
        <v>104893886</v>
      </c>
      <c r="G2671">
        <v>104893907</v>
      </c>
      <c r="H2671">
        <v>104893886</v>
      </c>
      <c r="I2671">
        <v>104893907</v>
      </c>
    </row>
    <row r="2672" spans="1:9" x14ac:dyDescent="0.2">
      <c r="A2672" s="1" t="str">
        <f>"CASP6"</f>
        <v>CASP6</v>
      </c>
      <c r="B2672" t="s">
        <v>14</v>
      </c>
      <c r="C2672" t="s">
        <v>23</v>
      </c>
      <c r="D2672" t="s">
        <v>11</v>
      </c>
      <c r="E2672" t="s">
        <v>12</v>
      </c>
      <c r="F2672">
        <v>110624564</v>
      </c>
      <c r="G2672">
        <v>110624608</v>
      </c>
      <c r="H2672">
        <v>110624712</v>
      </c>
      <c r="I2672">
        <v>110624721</v>
      </c>
    </row>
    <row r="2673" spans="1:9" x14ac:dyDescent="0.2">
      <c r="A2673" s="1" t="str">
        <f>"CASP7"</f>
        <v>CASP7</v>
      </c>
      <c r="B2673" t="s">
        <v>14</v>
      </c>
      <c r="C2673" t="s">
        <v>15</v>
      </c>
      <c r="D2673" t="s">
        <v>17</v>
      </c>
      <c r="E2673" t="s">
        <v>12</v>
      </c>
      <c r="F2673">
        <v>115439661</v>
      </c>
      <c r="G2673">
        <v>115439681</v>
      </c>
      <c r="H2673">
        <v>115439630</v>
      </c>
      <c r="I2673">
        <v>115439660</v>
      </c>
    </row>
    <row r="2674" spans="1:9" x14ac:dyDescent="0.2">
      <c r="A2674" s="1" t="str">
        <f>"CASP8"</f>
        <v>CASP8</v>
      </c>
      <c r="B2674" t="s">
        <v>9</v>
      </c>
      <c r="C2674" t="s">
        <v>26</v>
      </c>
      <c r="D2674" t="s">
        <v>17</v>
      </c>
      <c r="E2674" t="s">
        <v>12</v>
      </c>
      <c r="F2674">
        <v>202125267</v>
      </c>
      <c r="G2674">
        <v>202125292</v>
      </c>
      <c r="H2674">
        <v>202125267</v>
      </c>
      <c r="I2674">
        <v>202125292</v>
      </c>
    </row>
    <row r="2675" spans="1:9" x14ac:dyDescent="0.2">
      <c r="A2675" s="1" t="str">
        <f>"CASP8"</f>
        <v>CASP8</v>
      </c>
      <c r="B2675" t="s">
        <v>13</v>
      </c>
      <c r="C2675" t="s">
        <v>26</v>
      </c>
      <c r="D2675" t="s">
        <v>17</v>
      </c>
      <c r="E2675" t="s">
        <v>12</v>
      </c>
      <c r="F2675">
        <v>202098175</v>
      </c>
      <c r="G2675">
        <v>202098202</v>
      </c>
      <c r="H2675">
        <v>202098175</v>
      </c>
      <c r="I2675">
        <v>202098202</v>
      </c>
    </row>
    <row r="2676" spans="1:9" x14ac:dyDescent="0.2">
      <c r="A2676" s="1" t="str">
        <f>"CASP8AP2"</f>
        <v>CASP8AP2</v>
      </c>
      <c r="B2676" t="s">
        <v>14</v>
      </c>
      <c r="C2676" t="s">
        <v>32</v>
      </c>
      <c r="D2676" t="s">
        <v>17</v>
      </c>
      <c r="E2676" t="s">
        <v>12</v>
      </c>
      <c r="F2676">
        <v>90539584</v>
      </c>
      <c r="G2676">
        <v>90539638</v>
      </c>
      <c r="H2676">
        <v>90539650</v>
      </c>
      <c r="I2676">
        <v>90539666</v>
      </c>
    </row>
    <row r="2677" spans="1:9" x14ac:dyDescent="0.2">
      <c r="A2677" s="1" t="str">
        <f>"CASP9"</f>
        <v>CASP9</v>
      </c>
      <c r="B2677" t="s">
        <v>14</v>
      </c>
      <c r="C2677" t="s">
        <v>19</v>
      </c>
      <c r="D2677" t="s">
        <v>11</v>
      </c>
      <c r="E2677" t="s">
        <v>12</v>
      </c>
      <c r="F2677">
        <v>15850676</v>
      </c>
      <c r="G2677">
        <v>15850764</v>
      </c>
      <c r="H2677">
        <v>15850839</v>
      </c>
      <c r="I2677">
        <v>15850864</v>
      </c>
    </row>
    <row r="2678" spans="1:9" x14ac:dyDescent="0.2">
      <c r="A2678" s="1" t="str">
        <f>"CASQ1"</f>
        <v>CASQ1</v>
      </c>
      <c r="B2678" t="s">
        <v>14</v>
      </c>
      <c r="C2678" t="s">
        <v>19</v>
      </c>
      <c r="D2678" t="s">
        <v>17</v>
      </c>
      <c r="E2678" t="s">
        <v>12</v>
      </c>
      <c r="F2678">
        <v>160160357</v>
      </c>
      <c r="G2678">
        <v>160160401</v>
      </c>
      <c r="H2678">
        <v>160160520</v>
      </c>
      <c r="I2678">
        <v>160160541</v>
      </c>
    </row>
    <row r="2679" spans="1:9" x14ac:dyDescent="0.2">
      <c r="A2679" s="1" t="str">
        <f>"CASQ2"</f>
        <v>CASQ2</v>
      </c>
      <c r="B2679" t="s">
        <v>14</v>
      </c>
      <c r="C2679" t="s">
        <v>19</v>
      </c>
      <c r="D2679" t="s">
        <v>11</v>
      </c>
      <c r="E2679" t="s">
        <v>12</v>
      </c>
      <c r="F2679">
        <v>116311323</v>
      </c>
      <c r="G2679">
        <v>116311346</v>
      </c>
      <c r="H2679">
        <v>116311348</v>
      </c>
      <c r="I2679">
        <v>116311360</v>
      </c>
    </row>
    <row r="2680" spans="1:9" x14ac:dyDescent="0.2">
      <c r="A2680" s="1" t="str">
        <f>"CASR"</f>
        <v>CASR</v>
      </c>
      <c r="B2680" t="s">
        <v>14</v>
      </c>
      <c r="C2680" t="s">
        <v>22</v>
      </c>
      <c r="D2680" t="s">
        <v>17</v>
      </c>
      <c r="E2680" t="s">
        <v>12</v>
      </c>
      <c r="F2680">
        <v>121902511</v>
      </c>
      <c r="G2680">
        <v>121902539</v>
      </c>
      <c r="H2680">
        <v>121902489</v>
      </c>
      <c r="I2680">
        <v>121902498</v>
      </c>
    </row>
    <row r="2681" spans="1:9" x14ac:dyDescent="0.2">
      <c r="A2681" s="1" t="str">
        <f>"CASS4"</f>
        <v>CASS4</v>
      </c>
      <c r="B2681" t="s">
        <v>14</v>
      </c>
      <c r="C2681" t="s">
        <v>29</v>
      </c>
      <c r="D2681" t="s">
        <v>17</v>
      </c>
      <c r="E2681" t="s">
        <v>12</v>
      </c>
      <c r="F2681">
        <v>54987305</v>
      </c>
      <c r="G2681">
        <v>54987337</v>
      </c>
      <c r="H2681">
        <v>54987494</v>
      </c>
      <c r="I2681">
        <v>54987512</v>
      </c>
    </row>
    <row r="2682" spans="1:9" x14ac:dyDescent="0.2">
      <c r="A2682" s="1" t="str">
        <f>"CAST"</f>
        <v>CAST</v>
      </c>
      <c r="B2682" t="s">
        <v>9</v>
      </c>
      <c r="C2682" t="s">
        <v>46</v>
      </c>
      <c r="D2682" t="s">
        <v>17</v>
      </c>
      <c r="E2682" t="s">
        <v>12</v>
      </c>
      <c r="F2682">
        <v>96038476</v>
      </c>
      <c r="G2682">
        <v>96038517</v>
      </c>
      <c r="H2682">
        <v>96038476</v>
      </c>
      <c r="I2682">
        <v>96038517</v>
      </c>
    </row>
    <row r="2683" spans="1:9" x14ac:dyDescent="0.2">
      <c r="A2683" s="1" t="str">
        <f>"CAST"</f>
        <v>CAST</v>
      </c>
      <c r="B2683" t="s">
        <v>13</v>
      </c>
      <c r="C2683" t="s">
        <v>46</v>
      </c>
      <c r="D2683" t="s">
        <v>17</v>
      </c>
      <c r="E2683" t="s">
        <v>12</v>
      </c>
      <c r="F2683">
        <v>95997918</v>
      </c>
      <c r="G2683">
        <v>95998007</v>
      </c>
      <c r="H2683">
        <v>95997918</v>
      </c>
      <c r="I2683">
        <v>95998007</v>
      </c>
    </row>
    <row r="2684" spans="1:9" x14ac:dyDescent="0.2">
      <c r="A2684" s="1" t="str">
        <f>"CASZ1"</f>
        <v>CASZ1</v>
      </c>
      <c r="B2684" t="s">
        <v>193</v>
      </c>
      <c r="C2684" t="s">
        <v>19</v>
      </c>
      <c r="D2684" t="s">
        <v>11</v>
      </c>
      <c r="E2684" t="s">
        <v>35</v>
      </c>
      <c r="F2684">
        <v>10856694</v>
      </c>
      <c r="G2684">
        <v>10856715</v>
      </c>
      <c r="H2684">
        <v>10856639</v>
      </c>
      <c r="I2684">
        <v>10856662</v>
      </c>
    </row>
    <row r="2685" spans="1:9" x14ac:dyDescent="0.2">
      <c r="A2685" s="1" t="str">
        <f>"CAT"</f>
        <v>CAT</v>
      </c>
      <c r="B2685" t="s">
        <v>9</v>
      </c>
      <c r="C2685" t="s">
        <v>27</v>
      </c>
      <c r="D2685" t="s">
        <v>17</v>
      </c>
      <c r="E2685" t="s">
        <v>12</v>
      </c>
      <c r="F2685">
        <v>34460447</v>
      </c>
      <c r="G2685">
        <v>34460561</v>
      </c>
      <c r="H2685">
        <v>34460447</v>
      </c>
      <c r="I2685">
        <v>34460561</v>
      </c>
    </row>
    <row r="2686" spans="1:9" x14ac:dyDescent="0.2">
      <c r="A2686" s="1" t="str">
        <f>"CAT"</f>
        <v>CAT</v>
      </c>
      <c r="B2686" t="s">
        <v>13</v>
      </c>
      <c r="C2686" t="s">
        <v>27</v>
      </c>
      <c r="D2686" t="s">
        <v>17</v>
      </c>
      <c r="E2686" t="s">
        <v>12</v>
      </c>
      <c r="F2686">
        <v>34478211</v>
      </c>
      <c r="G2686">
        <v>34478234</v>
      </c>
      <c r="H2686">
        <v>34478211</v>
      </c>
      <c r="I2686">
        <v>34478234</v>
      </c>
    </row>
    <row r="2687" spans="1:9" x14ac:dyDescent="0.2">
      <c r="A2687" s="1" t="str">
        <f>"CATSPER1"</f>
        <v>CATSPER1</v>
      </c>
      <c r="B2687" t="s">
        <v>14</v>
      </c>
      <c r="C2687" t="s">
        <v>27</v>
      </c>
      <c r="D2687" t="s">
        <v>11</v>
      </c>
      <c r="E2687" t="s">
        <v>12</v>
      </c>
      <c r="F2687">
        <v>65788602</v>
      </c>
      <c r="G2687">
        <v>65788644</v>
      </c>
      <c r="H2687">
        <v>65788650</v>
      </c>
      <c r="I2687">
        <v>65788665</v>
      </c>
    </row>
    <row r="2688" spans="1:9" x14ac:dyDescent="0.2">
      <c r="A2688" s="1" t="str">
        <f>"CATSPER2"</f>
        <v>CATSPER2</v>
      </c>
      <c r="B2688" t="s">
        <v>14</v>
      </c>
      <c r="C2688" t="s">
        <v>25</v>
      </c>
      <c r="D2688" t="s">
        <v>11</v>
      </c>
      <c r="E2688" t="s">
        <v>12</v>
      </c>
      <c r="F2688">
        <v>43941029</v>
      </c>
      <c r="G2688">
        <v>43941052</v>
      </c>
      <c r="H2688">
        <v>43941056</v>
      </c>
      <c r="I2688">
        <v>43941059</v>
      </c>
    </row>
    <row r="2689" spans="1:9" x14ac:dyDescent="0.2">
      <c r="A2689" s="1" t="str">
        <f>"CATSPER3"</f>
        <v>CATSPER3</v>
      </c>
      <c r="B2689" t="s">
        <v>14</v>
      </c>
      <c r="C2689" t="s">
        <v>46</v>
      </c>
      <c r="D2689" t="s">
        <v>17</v>
      </c>
      <c r="E2689" t="s">
        <v>12</v>
      </c>
      <c r="F2689">
        <v>134303591</v>
      </c>
      <c r="G2689">
        <v>134303602</v>
      </c>
      <c r="H2689">
        <v>134303572</v>
      </c>
      <c r="I2689">
        <v>134303579</v>
      </c>
    </row>
    <row r="2690" spans="1:9" x14ac:dyDescent="0.2">
      <c r="A2690" s="1" t="str">
        <f>"CATSPER4"</f>
        <v>CATSPER4</v>
      </c>
      <c r="B2690" t="s">
        <v>14</v>
      </c>
      <c r="C2690" t="s">
        <v>19</v>
      </c>
      <c r="D2690" t="s">
        <v>17</v>
      </c>
      <c r="E2690" t="s">
        <v>12</v>
      </c>
      <c r="F2690">
        <v>26517066</v>
      </c>
      <c r="G2690">
        <v>26517099</v>
      </c>
      <c r="H2690">
        <v>26517066</v>
      </c>
      <c r="I2690">
        <v>26517099</v>
      </c>
    </row>
    <row r="2691" spans="1:9" x14ac:dyDescent="0.2">
      <c r="A2691" s="1" t="str">
        <f>"CATSPERB"</f>
        <v>CATSPERB</v>
      </c>
      <c r="B2691" t="s">
        <v>14</v>
      </c>
      <c r="C2691" t="s">
        <v>41</v>
      </c>
      <c r="D2691" t="s">
        <v>11</v>
      </c>
      <c r="E2691" t="s">
        <v>12</v>
      </c>
      <c r="F2691">
        <v>92198405</v>
      </c>
      <c r="G2691">
        <v>92198417</v>
      </c>
      <c r="H2691">
        <v>92198405</v>
      </c>
      <c r="I2691">
        <v>92198417</v>
      </c>
    </row>
    <row r="2692" spans="1:9" x14ac:dyDescent="0.2">
      <c r="A2692" s="1" t="str">
        <f>"CATSPERD"</f>
        <v>CATSPERD</v>
      </c>
      <c r="B2692" t="s">
        <v>14</v>
      </c>
      <c r="C2692" t="s">
        <v>10</v>
      </c>
      <c r="D2692" t="s">
        <v>17</v>
      </c>
      <c r="E2692" t="s">
        <v>12</v>
      </c>
      <c r="F2692">
        <v>5720666</v>
      </c>
      <c r="G2692">
        <v>5720700</v>
      </c>
      <c r="H2692">
        <v>5720715</v>
      </c>
      <c r="I2692">
        <v>5720728</v>
      </c>
    </row>
    <row r="2693" spans="1:9" x14ac:dyDescent="0.2">
      <c r="A2693" s="1" t="str">
        <f>"CATSPERG"</f>
        <v>CATSPERG</v>
      </c>
      <c r="B2693" t="s">
        <v>14</v>
      </c>
      <c r="C2693" t="s">
        <v>10</v>
      </c>
      <c r="D2693" t="s">
        <v>17</v>
      </c>
      <c r="E2693" t="s">
        <v>12</v>
      </c>
      <c r="F2693">
        <v>38827075</v>
      </c>
      <c r="G2693">
        <v>38827098</v>
      </c>
      <c r="H2693">
        <v>38826477</v>
      </c>
      <c r="I2693">
        <v>38826516</v>
      </c>
    </row>
    <row r="2694" spans="1:9" x14ac:dyDescent="0.2">
      <c r="A2694" s="1" t="str">
        <f>"CAV1"</f>
        <v>CAV1</v>
      </c>
      <c r="B2694" t="s">
        <v>9</v>
      </c>
      <c r="C2694" t="s">
        <v>33</v>
      </c>
      <c r="D2694" t="s">
        <v>17</v>
      </c>
      <c r="E2694" t="s">
        <v>12</v>
      </c>
      <c r="F2694">
        <v>116166407</v>
      </c>
      <c r="G2694">
        <v>116166423</v>
      </c>
      <c r="H2694">
        <v>116166407</v>
      </c>
      <c r="I2694">
        <v>116166423</v>
      </c>
    </row>
    <row r="2695" spans="1:9" x14ac:dyDescent="0.2">
      <c r="A2695" s="1" t="str">
        <f>"CAV1"</f>
        <v>CAV1</v>
      </c>
      <c r="B2695" t="s">
        <v>13</v>
      </c>
      <c r="C2695" t="s">
        <v>33</v>
      </c>
      <c r="D2695" t="s">
        <v>17</v>
      </c>
      <c r="E2695" t="s">
        <v>12</v>
      </c>
      <c r="F2695">
        <v>116165038</v>
      </c>
      <c r="G2695">
        <v>116165071</v>
      </c>
      <c r="H2695">
        <v>116165038</v>
      </c>
      <c r="I2695">
        <v>116165071</v>
      </c>
    </row>
    <row r="2696" spans="1:9" x14ac:dyDescent="0.2">
      <c r="A2696" s="1" t="str">
        <f>"CAV2"</f>
        <v>CAV2</v>
      </c>
      <c r="B2696" t="s">
        <v>14</v>
      </c>
      <c r="C2696" t="s">
        <v>33</v>
      </c>
      <c r="D2696" t="s">
        <v>17</v>
      </c>
      <c r="E2696" t="s">
        <v>12</v>
      </c>
      <c r="F2696">
        <v>116139744</v>
      </c>
      <c r="G2696">
        <v>116139818</v>
      </c>
      <c r="H2696">
        <v>116139649</v>
      </c>
      <c r="I2696">
        <v>116139711</v>
      </c>
    </row>
    <row r="2697" spans="1:9" x14ac:dyDescent="0.2">
      <c r="A2697" s="1" t="str">
        <f>"CAV3"</f>
        <v>CAV3</v>
      </c>
      <c r="B2697" t="s">
        <v>14</v>
      </c>
      <c r="C2697" t="s">
        <v>22</v>
      </c>
      <c r="D2697" t="s">
        <v>17</v>
      </c>
      <c r="E2697" t="s">
        <v>12</v>
      </c>
      <c r="F2697">
        <v>8775466</v>
      </c>
      <c r="G2697">
        <v>8775512</v>
      </c>
      <c r="H2697">
        <v>8775466</v>
      </c>
      <c r="I2697">
        <v>8775512</v>
      </c>
    </row>
    <row r="2698" spans="1:9" x14ac:dyDescent="0.2">
      <c r="A2698" s="1" t="str">
        <f>"CBFA2T2"</f>
        <v>CBFA2T2</v>
      </c>
      <c r="B2698" t="s">
        <v>14</v>
      </c>
      <c r="C2698" t="s">
        <v>29</v>
      </c>
      <c r="D2698" t="s">
        <v>17</v>
      </c>
      <c r="E2698" t="s">
        <v>12</v>
      </c>
      <c r="F2698">
        <v>32077880</v>
      </c>
      <c r="G2698">
        <v>32077951</v>
      </c>
      <c r="H2698">
        <v>32077953</v>
      </c>
      <c r="I2698">
        <v>32077965</v>
      </c>
    </row>
    <row r="2699" spans="1:9" x14ac:dyDescent="0.2">
      <c r="A2699" s="1" t="str">
        <f>"CBFA2T3"</f>
        <v>CBFA2T3</v>
      </c>
      <c r="B2699" t="s">
        <v>9</v>
      </c>
      <c r="C2699" t="s">
        <v>31</v>
      </c>
      <c r="D2699" t="s">
        <v>11</v>
      </c>
      <c r="E2699" t="s">
        <v>12</v>
      </c>
      <c r="F2699">
        <v>89007715</v>
      </c>
      <c r="G2699">
        <v>89007772</v>
      </c>
      <c r="H2699">
        <v>89007715</v>
      </c>
      <c r="I2699">
        <v>89007772</v>
      </c>
    </row>
    <row r="2700" spans="1:9" x14ac:dyDescent="0.2">
      <c r="A2700" s="1" t="str">
        <f>"CBFA2T3"</f>
        <v>CBFA2T3</v>
      </c>
      <c r="B2700" t="s">
        <v>13</v>
      </c>
      <c r="C2700" t="s">
        <v>31</v>
      </c>
      <c r="D2700" t="s">
        <v>11</v>
      </c>
      <c r="E2700" t="s">
        <v>12</v>
      </c>
      <c r="F2700">
        <v>89043377</v>
      </c>
      <c r="G2700">
        <v>89043406</v>
      </c>
      <c r="H2700">
        <v>89043377</v>
      </c>
      <c r="I2700">
        <v>89043406</v>
      </c>
    </row>
    <row r="2701" spans="1:9" x14ac:dyDescent="0.2">
      <c r="A2701" s="1" t="str">
        <f>"CBFB"</f>
        <v>CBFB</v>
      </c>
      <c r="B2701" t="s">
        <v>14</v>
      </c>
      <c r="C2701" t="s">
        <v>31</v>
      </c>
      <c r="D2701" t="s">
        <v>17</v>
      </c>
      <c r="E2701" t="s">
        <v>12</v>
      </c>
      <c r="F2701">
        <v>67063036</v>
      </c>
      <c r="G2701">
        <v>67063088</v>
      </c>
      <c r="H2701">
        <v>67063211</v>
      </c>
      <c r="I2701">
        <v>67063240</v>
      </c>
    </row>
    <row r="2702" spans="1:9" x14ac:dyDescent="0.2">
      <c r="A2702" s="1" t="str">
        <f>"CBL"</f>
        <v>CBL</v>
      </c>
      <c r="B2702" t="s">
        <v>14</v>
      </c>
      <c r="C2702" t="s">
        <v>27</v>
      </c>
      <c r="D2702" t="s">
        <v>17</v>
      </c>
      <c r="E2702" t="s">
        <v>12</v>
      </c>
      <c r="F2702">
        <v>119077016</v>
      </c>
      <c r="G2702">
        <v>119077084</v>
      </c>
      <c r="H2702">
        <v>119076745</v>
      </c>
      <c r="I2702">
        <v>119076792</v>
      </c>
    </row>
    <row r="2703" spans="1:9" x14ac:dyDescent="0.2">
      <c r="A2703" s="1" t="str">
        <f>"CBLB"</f>
        <v>CBLB</v>
      </c>
      <c r="B2703" t="s">
        <v>14</v>
      </c>
      <c r="C2703" t="s">
        <v>22</v>
      </c>
      <c r="D2703" t="s">
        <v>11</v>
      </c>
      <c r="E2703" t="s">
        <v>12</v>
      </c>
      <c r="F2703">
        <v>105587808</v>
      </c>
      <c r="G2703">
        <v>105587874</v>
      </c>
      <c r="H2703">
        <v>105587808</v>
      </c>
      <c r="I2703">
        <v>105587874</v>
      </c>
    </row>
    <row r="2704" spans="1:9" x14ac:dyDescent="0.2">
      <c r="A2704" s="1" t="str">
        <f>"CBLC"</f>
        <v>CBLC</v>
      </c>
      <c r="B2704" t="s">
        <v>14</v>
      </c>
      <c r="C2704" t="s">
        <v>10</v>
      </c>
      <c r="D2704" t="s">
        <v>17</v>
      </c>
      <c r="E2704" t="s">
        <v>12</v>
      </c>
      <c r="F2704">
        <v>45281118</v>
      </c>
      <c r="G2704">
        <v>45281181</v>
      </c>
      <c r="H2704">
        <v>45281118</v>
      </c>
      <c r="I2704">
        <v>45281181</v>
      </c>
    </row>
    <row r="2705" spans="1:9" x14ac:dyDescent="0.2">
      <c r="A2705" s="1" t="str">
        <f>"CBLL1"</f>
        <v>CBLL1</v>
      </c>
      <c r="B2705" t="s">
        <v>14</v>
      </c>
      <c r="C2705" t="s">
        <v>33</v>
      </c>
      <c r="D2705" t="s">
        <v>17</v>
      </c>
      <c r="E2705" t="s">
        <v>12</v>
      </c>
      <c r="F2705">
        <v>107384579</v>
      </c>
      <c r="G2705">
        <v>107384604</v>
      </c>
      <c r="H2705">
        <v>107384273</v>
      </c>
      <c r="I2705">
        <v>107384317</v>
      </c>
    </row>
    <row r="2706" spans="1:9" x14ac:dyDescent="0.2">
      <c r="A2706" s="1" t="str">
        <f>"CBLN1"</f>
        <v>CBLN1</v>
      </c>
      <c r="B2706" t="s">
        <v>14</v>
      </c>
      <c r="C2706" t="s">
        <v>31</v>
      </c>
      <c r="D2706" t="s">
        <v>11</v>
      </c>
      <c r="E2706" t="s">
        <v>12</v>
      </c>
      <c r="F2706">
        <v>49315731</v>
      </c>
      <c r="G2706">
        <v>49315754</v>
      </c>
      <c r="H2706">
        <v>49315701</v>
      </c>
      <c r="I2706">
        <v>49315720</v>
      </c>
    </row>
    <row r="2707" spans="1:9" x14ac:dyDescent="0.2">
      <c r="A2707" s="1" t="str">
        <f>"CBLN2"</f>
        <v>CBLN2</v>
      </c>
      <c r="B2707" t="s">
        <v>14</v>
      </c>
      <c r="C2707" t="s">
        <v>43</v>
      </c>
      <c r="D2707" t="s">
        <v>11</v>
      </c>
      <c r="E2707" t="s">
        <v>12</v>
      </c>
      <c r="F2707">
        <v>70210764</v>
      </c>
      <c r="G2707">
        <v>70210794</v>
      </c>
      <c r="H2707">
        <v>70211559</v>
      </c>
      <c r="I2707">
        <v>70211587</v>
      </c>
    </row>
    <row r="2708" spans="1:9" x14ac:dyDescent="0.2">
      <c r="A2708" s="1" t="str">
        <f>"CBLN3"</f>
        <v>CBLN3</v>
      </c>
      <c r="B2708" t="s">
        <v>14</v>
      </c>
      <c r="C2708" t="s">
        <v>41</v>
      </c>
      <c r="D2708" t="s">
        <v>11</v>
      </c>
      <c r="E2708" t="s">
        <v>12</v>
      </c>
      <c r="F2708">
        <v>24900166</v>
      </c>
      <c r="G2708">
        <v>24900195</v>
      </c>
      <c r="H2708">
        <v>24900166</v>
      </c>
      <c r="I2708">
        <v>24900195</v>
      </c>
    </row>
    <row r="2709" spans="1:9" x14ac:dyDescent="0.2">
      <c r="A2709" s="1" t="str">
        <f>"CBLN4"</f>
        <v>CBLN4</v>
      </c>
      <c r="B2709" t="s">
        <v>14</v>
      </c>
      <c r="C2709" t="s">
        <v>29</v>
      </c>
      <c r="D2709" t="s">
        <v>11</v>
      </c>
      <c r="E2709" t="s">
        <v>12</v>
      </c>
      <c r="F2709">
        <v>54580523</v>
      </c>
      <c r="G2709">
        <v>54580585</v>
      </c>
      <c r="H2709">
        <v>54580025</v>
      </c>
      <c r="I2709">
        <v>54580041</v>
      </c>
    </row>
    <row r="2710" spans="1:9" x14ac:dyDescent="0.2">
      <c r="A2710" s="1" t="str">
        <f>"CBR1"</f>
        <v>CBR1</v>
      </c>
      <c r="B2710" t="s">
        <v>14</v>
      </c>
      <c r="C2710" t="s">
        <v>42</v>
      </c>
      <c r="D2710" t="s">
        <v>17</v>
      </c>
      <c r="E2710" t="s">
        <v>12</v>
      </c>
      <c r="F2710">
        <v>37442252</v>
      </c>
      <c r="G2710">
        <v>37442328</v>
      </c>
      <c r="H2710">
        <v>37442137</v>
      </c>
      <c r="I2710">
        <v>37442157</v>
      </c>
    </row>
    <row r="2711" spans="1:9" x14ac:dyDescent="0.2">
      <c r="A2711" s="1" t="str">
        <f>"CBR3"</f>
        <v>CBR3</v>
      </c>
      <c r="B2711" t="s">
        <v>14</v>
      </c>
      <c r="C2711" t="s">
        <v>42</v>
      </c>
      <c r="D2711" t="s">
        <v>17</v>
      </c>
      <c r="E2711" t="s">
        <v>12</v>
      </c>
      <c r="F2711">
        <v>37507369</v>
      </c>
      <c r="G2711">
        <v>37507390</v>
      </c>
      <c r="H2711">
        <v>37507339</v>
      </c>
      <c r="I2711">
        <v>37507361</v>
      </c>
    </row>
    <row r="2712" spans="1:9" x14ac:dyDescent="0.2">
      <c r="A2712" s="1" t="str">
        <f>"CBR4"</f>
        <v>CBR4</v>
      </c>
      <c r="B2712" t="s">
        <v>14</v>
      </c>
      <c r="C2712" t="s">
        <v>23</v>
      </c>
      <c r="D2712" t="s">
        <v>11</v>
      </c>
      <c r="E2712" t="s">
        <v>12</v>
      </c>
      <c r="F2712">
        <v>169931393</v>
      </c>
      <c r="G2712">
        <v>169931436</v>
      </c>
      <c r="H2712">
        <v>169931323</v>
      </c>
      <c r="I2712">
        <v>169931327</v>
      </c>
    </row>
    <row r="2713" spans="1:9" x14ac:dyDescent="0.2">
      <c r="A2713" s="1" t="str">
        <f>"CBS"</f>
        <v>CBS</v>
      </c>
      <c r="B2713" t="s">
        <v>14</v>
      </c>
      <c r="C2713" t="s">
        <v>42</v>
      </c>
      <c r="D2713" t="s">
        <v>11</v>
      </c>
      <c r="E2713" t="s">
        <v>12</v>
      </c>
      <c r="F2713">
        <v>44495919</v>
      </c>
      <c r="G2713">
        <v>44495953</v>
      </c>
      <c r="H2713">
        <v>44495967</v>
      </c>
      <c r="I2713">
        <v>44495999</v>
      </c>
    </row>
    <row r="2714" spans="1:9" x14ac:dyDescent="0.2">
      <c r="A2714" s="1" t="str">
        <f>"CBWD1"</f>
        <v>CBWD1</v>
      </c>
      <c r="B2714" t="s">
        <v>194</v>
      </c>
      <c r="C2714" t="s">
        <v>24</v>
      </c>
      <c r="D2714" t="s">
        <v>11</v>
      </c>
      <c r="E2714" t="s">
        <v>20</v>
      </c>
      <c r="F2714">
        <v>179057</v>
      </c>
      <c r="G2714">
        <v>179057</v>
      </c>
      <c r="H2714">
        <v>179057</v>
      </c>
      <c r="I2714">
        <v>179057</v>
      </c>
    </row>
    <row r="2715" spans="1:9" x14ac:dyDescent="0.2">
      <c r="A2715" s="1" t="str">
        <f>"CBWD2"</f>
        <v>CBWD2</v>
      </c>
      <c r="B2715" t="s">
        <v>14</v>
      </c>
      <c r="C2715" t="s">
        <v>26</v>
      </c>
      <c r="D2715" t="s">
        <v>17</v>
      </c>
      <c r="E2715" t="s">
        <v>12</v>
      </c>
      <c r="F2715">
        <v>114195335</v>
      </c>
      <c r="G2715">
        <v>114195350</v>
      </c>
      <c r="H2715">
        <v>114195335</v>
      </c>
      <c r="I2715">
        <v>114195350</v>
      </c>
    </row>
    <row r="2716" spans="1:9" x14ac:dyDescent="0.2">
      <c r="A2716" s="1" t="str">
        <f>"CBWD3"</f>
        <v>CBWD3</v>
      </c>
      <c r="B2716" t="s">
        <v>14</v>
      </c>
      <c r="C2716" t="s">
        <v>24</v>
      </c>
      <c r="D2716" t="s">
        <v>17</v>
      </c>
      <c r="E2716" t="s">
        <v>12</v>
      </c>
      <c r="F2716">
        <v>70856837</v>
      </c>
      <c r="G2716">
        <v>70856846</v>
      </c>
      <c r="H2716">
        <v>70856959</v>
      </c>
      <c r="I2716">
        <v>70856969</v>
      </c>
    </row>
    <row r="2717" spans="1:9" x14ac:dyDescent="0.2">
      <c r="A2717" s="1" t="str">
        <f>"CBWD5"</f>
        <v>CBWD5</v>
      </c>
      <c r="B2717" t="s">
        <v>14</v>
      </c>
      <c r="C2717" t="s">
        <v>24</v>
      </c>
      <c r="D2717" t="s">
        <v>11</v>
      </c>
      <c r="E2717" t="s">
        <v>12</v>
      </c>
      <c r="F2717">
        <v>70490086</v>
      </c>
      <c r="G2717">
        <v>70490117</v>
      </c>
      <c r="H2717">
        <v>70490086</v>
      </c>
      <c r="I2717">
        <v>70490117</v>
      </c>
    </row>
    <row r="2718" spans="1:9" x14ac:dyDescent="0.2">
      <c r="A2718" s="1" t="str">
        <f>"CBWD6"</f>
        <v>CBWD6</v>
      </c>
      <c r="B2718" t="s">
        <v>195</v>
      </c>
      <c r="C2718" t="s">
        <v>24</v>
      </c>
      <c r="D2718" t="s">
        <v>11</v>
      </c>
      <c r="E2718" t="s">
        <v>20</v>
      </c>
      <c r="F2718">
        <v>69262592</v>
      </c>
      <c r="G2718">
        <v>69262592</v>
      </c>
      <c r="H2718">
        <v>69262592</v>
      </c>
      <c r="I2718">
        <v>69262592</v>
      </c>
    </row>
    <row r="2719" spans="1:9" x14ac:dyDescent="0.2">
      <c r="A2719" s="1" t="str">
        <f>"CBWD7"</f>
        <v>CBWD7</v>
      </c>
      <c r="B2719" t="s">
        <v>196</v>
      </c>
      <c r="C2719" t="s">
        <v>24</v>
      </c>
      <c r="D2719" t="s">
        <v>17</v>
      </c>
      <c r="E2719" t="s">
        <v>20</v>
      </c>
      <c r="F2719">
        <v>42671886</v>
      </c>
      <c r="G2719">
        <v>42671886</v>
      </c>
      <c r="H2719">
        <v>42671886</v>
      </c>
      <c r="I2719">
        <v>42671886</v>
      </c>
    </row>
    <row r="2720" spans="1:9" x14ac:dyDescent="0.2">
      <c r="A2720" s="1" t="str">
        <f>"CBX1"</f>
        <v>CBX1</v>
      </c>
      <c r="B2720" t="s">
        <v>14</v>
      </c>
      <c r="C2720" t="s">
        <v>28</v>
      </c>
      <c r="D2720" t="s">
        <v>11</v>
      </c>
      <c r="E2720" t="s">
        <v>12</v>
      </c>
      <c r="F2720">
        <v>46178749</v>
      </c>
      <c r="G2720">
        <v>46178861</v>
      </c>
      <c r="H2720">
        <v>46178692</v>
      </c>
      <c r="I2720">
        <v>46178711</v>
      </c>
    </row>
    <row r="2721" spans="1:9" x14ac:dyDescent="0.2">
      <c r="A2721" s="1" t="str">
        <f>"CBX2"</f>
        <v>CBX2</v>
      </c>
      <c r="B2721" t="s">
        <v>14</v>
      </c>
      <c r="C2721" t="s">
        <v>28</v>
      </c>
      <c r="D2721" t="s">
        <v>17</v>
      </c>
      <c r="E2721" t="s">
        <v>12</v>
      </c>
      <c r="F2721">
        <v>77751933</v>
      </c>
      <c r="G2721">
        <v>77752014</v>
      </c>
      <c r="H2721">
        <v>77752017</v>
      </c>
      <c r="I2721">
        <v>77752024</v>
      </c>
    </row>
    <row r="2722" spans="1:9" x14ac:dyDescent="0.2">
      <c r="A2722" s="1" t="str">
        <f>"CBX3"</f>
        <v>CBX3</v>
      </c>
      <c r="B2722" t="s">
        <v>14</v>
      </c>
      <c r="C2722" t="s">
        <v>33</v>
      </c>
      <c r="D2722" t="s">
        <v>17</v>
      </c>
      <c r="E2722" t="s">
        <v>12</v>
      </c>
      <c r="F2722">
        <v>26241325</v>
      </c>
      <c r="G2722">
        <v>26241392</v>
      </c>
      <c r="H2722">
        <v>26241393</v>
      </c>
      <c r="I2722">
        <v>26241417</v>
      </c>
    </row>
    <row r="2723" spans="1:9" x14ac:dyDescent="0.2">
      <c r="A2723" s="1" t="str">
        <f>"CBX4"</f>
        <v>CBX4</v>
      </c>
      <c r="B2723" t="s">
        <v>14</v>
      </c>
      <c r="C2723" t="s">
        <v>28</v>
      </c>
      <c r="D2723" t="s">
        <v>11</v>
      </c>
      <c r="E2723" t="s">
        <v>12</v>
      </c>
      <c r="F2723">
        <v>77813226</v>
      </c>
      <c r="G2723">
        <v>77813249</v>
      </c>
      <c r="H2723">
        <v>77813257</v>
      </c>
      <c r="I2723">
        <v>77813290</v>
      </c>
    </row>
    <row r="2724" spans="1:9" x14ac:dyDescent="0.2">
      <c r="A2724" s="1" t="str">
        <f>"CBX5"</f>
        <v>CBX5</v>
      </c>
      <c r="B2724" t="s">
        <v>14</v>
      </c>
      <c r="C2724" t="s">
        <v>16</v>
      </c>
      <c r="D2724" t="s">
        <v>11</v>
      </c>
      <c r="E2724" t="s">
        <v>12</v>
      </c>
      <c r="F2724">
        <v>54673871</v>
      </c>
      <c r="G2724">
        <v>54673925</v>
      </c>
      <c r="H2724">
        <v>54673871</v>
      </c>
      <c r="I2724">
        <v>54673925</v>
      </c>
    </row>
    <row r="2725" spans="1:9" x14ac:dyDescent="0.2">
      <c r="A2725" s="1" t="str">
        <f>"CBX6"</f>
        <v>CBX6</v>
      </c>
      <c r="B2725" t="s">
        <v>14</v>
      </c>
      <c r="C2725" t="s">
        <v>21</v>
      </c>
      <c r="D2725" t="s">
        <v>11</v>
      </c>
      <c r="E2725" t="s">
        <v>12</v>
      </c>
      <c r="F2725">
        <v>39268192</v>
      </c>
      <c r="G2725">
        <v>39268269</v>
      </c>
      <c r="H2725">
        <v>39268272</v>
      </c>
      <c r="I2725">
        <v>39268303</v>
      </c>
    </row>
    <row r="2726" spans="1:9" x14ac:dyDescent="0.2">
      <c r="A2726" s="1" t="str">
        <f>"CBX7"</f>
        <v>CBX7</v>
      </c>
      <c r="B2726" t="s">
        <v>14</v>
      </c>
      <c r="C2726" t="s">
        <v>21</v>
      </c>
      <c r="D2726" t="s">
        <v>11</v>
      </c>
      <c r="E2726" t="s">
        <v>12</v>
      </c>
      <c r="F2726">
        <v>39548511</v>
      </c>
      <c r="G2726">
        <v>39548598</v>
      </c>
      <c r="H2726">
        <v>39548627</v>
      </c>
      <c r="I2726">
        <v>39548692</v>
      </c>
    </row>
    <row r="2727" spans="1:9" x14ac:dyDescent="0.2">
      <c r="A2727" s="1" t="str">
        <f>"CBX8"</f>
        <v>CBX8</v>
      </c>
      <c r="B2727" t="s">
        <v>14</v>
      </c>
      <c r="C2727" t="s">
        <v>28</v>
      </c>
      <c r="D2727" t="s">
        <v>11</v>
      </c>
      <c r="E2727" t="s">
        <v>12</v>
      </c>
      <c r="F2727">
        <v>77770830</v>
      </c>
      <c r="G2727">
        <v>77770884</v>
      </c>
      <c r="H2727">
        <v>77770808</v>
      </c>
      <c r="I2727">
        <v>77770817</v>
      </c>
    </row>
    <row r="2728" spans="1:9" x14ac:dyDescent="0.2">
      <c r="A2728" s="1" t="str">
        <f>"CBY1"</f>
        <v>CBY1</v>
      </c>
      <c r="B2728" t="s">
        <v>14</v>
      </c>
      <c r="C2728" t="s">
        <v>21</v>
      </c>
      <c r="D2728" t="s">
        <v>17</v>
      </c>
      <c r="E2728" t="s">
        <v>12</v>
      </c>
      <c r="F2728">
        <v>39052632</v>
      </c>
      <c r="G2728">
        <v>39052692</v>
      </c>
      <c r="H2728">
        <v>39052693</v>
      </c>
      <c r="I2728">
        <v>39052704</v>
      </c>
    </row>
    <row r="2729" spans="1:9" x14ac:dyDescent="0.2">
      <c r="A2729" s="1" t="str">
        <f>"CBY3"</f>
        <v>CBY3</v>
      </c>
      <c r="B2729" t="s">
        <v>14</v>
      </c>
      <c r="C2729" t="s">
        <v>46</v>
      </c>
      <c r="D2729" t="s">
        <v>11</v>
      </c>
      <c r="E2729" t="s">
        <v>12</v>
      </c>
      <c r="F2729">
        <v>179108026</v>
      </c>
      <c r="G2729">
        <v>179108039</v>
      </c>
      <c r="H2729">
        <v>179108026</v>
      </c>
      <c r="I2729">
        <v>179108039</v>
      </c>
    </row>
    <row r="2730" spans="1:9" x14ac:dyDescent="0.2">
      <c r="A2730" s="1" t="str">
        <f>"CC2D1A"</f>
        <v>CC2D1A</v>
      </c>
      <c r="B2730" t="s">
        <v>14</v>
      </c>
      <c r="C2730" t="s">
        <v>10</v>
      </c>
      <c r="D2730" t="s">
        <v>17</v>
      </c>
      <c r="E2730" t="s">
        <v>12</v>
      </c>
      <c r="F2730">
        <v>14017003</v>
      </c>
      <c r="G2730">
        <v>14017049</v>
      </c>
      <c r="H2730">
        <v>14017069</v>
      </c>
      <c r="I2730">
        <v>14017115</v>
      </c>
    </row>
    <row r="2731" spans="1:9" x14ac:dyDescent="0.2">
      <c r="A2731" s="1" t="str">
        <f>"CC2D1B"</f>
        <v>CC2D1B</v>
      </c>
      <c r="B2731" t="s">
        <v>14</v>
      </c>
      <c r="C2731" t="s">
        <v>19</v>
      </c>
      <c r="D2731" t="s">
        <v>11</v>
      </c>
      <c r="E2731" t="s">
        <v>12</v>
      </c>
      <c r="F2731">
        <v>52831796</v>
      </c>
      <c r="G2731">
        <v>52831882</v>
      </c>
      <c r="H2731">
        <v>52832098</v>
      </c>
      <c r="I2731">
        <v>52832139</v>
      </c>
    </row>
    <row r="2732" spans="1:9" x14ac:dyDescent="0.2">
      <c r="A2732" s="1" t="str">
        <f>"CC2D2A"</f>
        <v>CC2D2A</v>
      </c>
      <c r="B2732" t="s">
        <v>14</v>
      </c>
      <c r="C2732" t="s">
        <v>23</v>
      </c>
      <c r="D2732" t="s">
        <v>17</v>
      </c>
      <c r="E2732" t="s">
        <v>12</v>
      </c>
      <c r="F2732">
        <v>15480828</v>
      </c>
      <c r="G2732">
        <v>15480868</v>
      </c>
      <c r="H2732">
        <v>15480828</v>
      </c>
      <c r="I2732">
        <v>15480868</v>
      </c>
    </row>
    <row r="2733" spans="1:9" x14ac:dyDescent="0.2">
      <c r="A2733" s="1" t="str">
        <f>"CC2D2B"</f>
        <v>CC2D2B</v>
      </c>
      <c r="B2733" t="s">
        <v>14</v>
      </c>
      <c r="C2733" t="s">
        <v>15</v>
      </c>
      <c r="D2733" t="s">
        <v>17</v>
      </c>
      <c r="E2733" t="s">
        <v>12</v>
      </c>
      <c r="F2733">
        <v>97759521</v>
      </c>
      <c r="G2733">
        <v>97759524</v>
      </c>
      <c r="H2733">
        <v>97759521</v>
      </c>
      <c r="I2733">
        <v>97759524</v>
      </c>
    </row>
    <row r="2734" spans="1:9" x14ac:dyDescent="0.2">
      <c r="A2734" s="1" t="str">
        <f>"CCAR1"</f>
        <v>CCAR1</v>
      </c>
      <c r="B2734" t="s">
        <v>14</v>
      </c>
      <c r="C2734" t="s">
        <v>15</v>
      </c>
      <c r="D2734" t="s">
        <v>17</v>
      </c>
      <c r="E2734" t="s">
        <v>12</v>
      </c>
      <c r="F2734">
        <v>70480963</v>
      </c>
      <c r="G2734">
        <v>70481010</v>
      </c>
      <c r="H2734">
        <v>70481259</v>
      </c>
      <c r="I2734">
        <v>70481292</v>
      </c>
    </row>
    <row r="2735" spans="1:9" x14ac:dyDescent="0.2">
      <c r="A2735" s="1" t="str">
        <f>"CCAR2"</f>
        <v>CCAR2</v>
      </c>
      <c r="B2735" t="s">
        <v>14</v>
      </c>
      <c r="C2735" t="s">
        <v>30</v>
      </c>
      <c r="D2735" t="s">
        <v>17</v>
      </c>
      <c r="E2735" t="s">
        <v>12</v>
      </c>
      <c r="F2735">
        <v>22462236</v>
      </c>
      <c r="G2735">
        <v>22462330</v>
      </c>
      <c r="H2735">
        <v>22462532</v>
      </c>
      <c r="I2735">
        <v>22462597</v>
      </c>
    </row>
    <row r="2736" spans="1:9" x14ac:dyDescent="0.2">
      <c r="A2736" s="1" t="str">
        <f>"CCBE1"</f>
        <v>CCBE1</v>
      </c>
      <c r="B2736" t="s">
        <v>14</v>
      </c>
      <c r="C2736" t="s">
        <v>43</v>
      </c>
      <c r="D2736" t="s">
        <v>11</v>
      </c>
      <c r="E2736" t="s">
        <v>12</v>
      </c>
      <c r="F2736">
        <v>57364588</v>
      </c>
      <c r="G2736">
        <v>57364668</v>
      </c>
      <c r="H2736">
        <v>57364588</v>
      </c>
      <c r="I2736">
        <v>57364668</v>
      </c>
    </row>
    <row r="2737" spans="1:9" x14ac:dyDescent="0.2">
      <c r="A2737" s="1" t="str">
        <f>"CCBL1"</f>
        <v>CCBL1</v>
      </c>
      <c r="B2737" t="s">
        <v>14</v>
      </c>
      <c r="C2737" t="s">
        <v>24</v>
      </c>
      <c r="D2737" t="s">
        <v>11</v>
      </c>
      <c r="E2737" t="s">
        <v>12</v>
      </c>
      <c r="F2737">
        <v>131644202</v>
      </c>
      <c r="G2737">
        <v>131644250</v>
      </c>
      <c r="H2737">
        <v>131644306</v>
      </c>
      <c r="I2737">
        <v>131644368</v>
      </c>
    </row>
    <row r="2738" spans="1:9" x14ac:dyDescent="0.2">
      <c r="A2738" s="1" t="str">
        <f>"CCBL2"</f>
        <v>CCBL2</v>
      </c>
      <c r="B2738" t="s">
        <v>14</v>
      </c>
      <c r="C2738" t="s">
        <v>19</v>
      </c>
      <c r="D2738" t="s">
        <v>11</v>
      </c>
      <c r="E2738" t="s">
        <v>12</v>
      </c>
      <c r="F2738">
        <v>89458299</v>
      </c>
      <c r="G2738">
        <v>89458321</v>
      </c>
      <c r="H2738">
        <v>89458415</v>
      </c>
      <c r="I2738">
        <v>89458463</v>
      </c>
    </row>
    <row r="2739" spans="1:9" x14ac:dyDescent="0.2">
      <c r="A2739" s="1" t="str">
        <f>"CCDC101"</f>
        <v>CCDC101</v>
      </c>
      <c r="B2739" t="s">
        <v>14</v>
      </c>
      <c r="C2739" t="s">
        <v>31</v>
      </c>
      <c r="D2739" t="s">
        <v>17</v>
      </c>
      <c r="E2739" t="s">
        <v>12</v>
      </c>
      <c r="F2739">
        <v>28565230</v>
      </c>
      <c r="G2739">
        <v>28565257</v>
      </c>
      <c r="H2739">
        <v>28565280</v>
      </c>
      <c r="I2739">
        <v>28565328</v>
      </c>
    </row>
    <row r="2740" spans="1:9" x14ac:dyDescent="0.2">
      <c r="A2740" s="1" t="str">
        <f>"CCDC102A"</f>
        <v>CCDC102A</v>
      </c>
      <c r="B2740" t="s">
        <v>14</v>
      </c>
      <c r="C2740" t="s">
        <v>31</v>
      </c>
      <c r="D2740" t="s">
        <v>11</v>
      </c>
      <c r="E2740" t="s">
        <v>12</v>
      </c>
      <c r="F2740">
        <v>57570450</v>
      </c>
      <c r="G2740">
        <v>57570504</v>
      </c>
      <c r="H2740">
        <v>57570679</v>
      </c>
      <c r="I2740">
        <v>57570716</v>
      </c>
    </row>
    <row r="2741" spans="1:9" x14ac:dyDescent="0.2">
      <c r="A2741" s="1" t="str">
        <f>"CCDC102B"</f>
        <v>CCDC102B</v>
      </c>
      <c r="B2741" t="s">
        <v>14</v>
      </c>
      <c r="C2741" t="s">
        <v>43</v>
      </c>
      <c r="D2741" t="s">
        <v>17</v>
      </c>
      <c r="E2741" t="s">
        <v>12</v>
      </c>
      <c r="F2741">
        <v>66382428</v>
      </c>
      <c r="G2741">
        <v>66382527</v>
      </c>
      <c r="H2741">
        <v>66382428</v>
      </c>
      <c r="I2741">
        <v>66382527</v>
      </c>
    </row>
    <row r="2742" spans="1:9" x14ac:dyDescent="0.2">
      <c r="A2742" s="1" t="str">
        <f>"CCDC103"</f>
        <v>CCDC103</v>
      </c>
      <c r="B2742" t="s">
        <v>14</v>
      </c>
      <c r="C2742" t="s">
        <v>28</v>
      </c>
      <c r="D2742" t="s">
        <v>17</v>
      </c>
      <c r="E2742" t="s">
        <v>12</v>
      </c>
      <c r="F2742">
        <v>42977062</v>
      </c>
      <c r="G2742">
        <v>42977115</v>
      </c>
      <c r="H2742">
        <v>42977122</v>
      </c>
      <c r="I2742">
        <v>42977147</v>
      </c>
    </row>
    <row r="2743" spans="1:9" x14ac:dyDescent="0.2">
      <c r="A2743" s="1" t="str">
        <f>"CCDC104"</f>
        <v>CCDC104</v>
      </c>
      <c r="B2743" t="s">
        <v>14</v>
      </c>
      <c r="C2743" t="s">
        <v>26</v>
      </c>
      <c r="D2743" t="s">
        <v>17</v>
      </c>
      <c r="E2743" t="s">
        <v>12</v>
      </c>
      <c r="F2743">
        <v>55746746</v>
      </c>
      <c r="G2743">
        <v>55746872</v>
      </c>
      <c r="H2743">
        <v>55746722</v>
      </c>
      <c r="I2743">
        <v>55746739</v>
      </c>
    </row>
    <row r="2744" spans="1:9" x14ac:dyDescent="0.2">
      <c r="A2744" s="1" t="str">
        <f>"CCDC105"</f>
        <v>CCDC105</v>
      </c>
      <c r="B2744" t="s">
        <v>14</v>
      </c>
      <c r="C2744" t="s">
        <v>10</v>
      </c>
      <c r="D2744" t="s">
        <v>17</v>
      </c>
      <c r="E2744" t="s">
        <v>12</v>
      </c>
      <c r="F2744">
        <v>15121532</v>
      </c>
      <c r="G2744">
        <v>15121548</v>
      </c>
      <c r="H2744">
        <v>15121532</v>
      </c>
      <c r="I2744">
        <v>15121548</v>
      </c>
    </row>
    <row r="2745" spans="1:9" x14ac:dyDescent="0.2">
      <c r="A2745" s="1" t="str">
        <f>"CCDC106"</f>
        <v>CCDC106</v>
      </c>
      <c r="B2745" t="s">
        <v>14</v>
      </c>
      <c r="C2745" t="s">
        <v>10</v>
      </c>
      <c r="D2745" t="s">
        <v>17</v>
      </c>
      <c r="E2745" t="s">
        <v>12</v>
      </c>
      <c r="F2745">
        <v>56159565</v>
      </c>
      <c r="G2745">
        <v>56159643</v>
      </c>
      <c r="H2745">
        <v>56159565</v>
      </c>
      <c r="I2745">
        <v>56159643</v>
      </c>
    </row>
    <row r="2746" spans="1:9" x14ac:dyDescent="0.2">
      <c r="A2746" s="1" t="str">
        <f>"CCDC107"</f>
        <v>CCDC107</v>
      </c>
      <c r="B2746" t="s">
        <v>14</v>
      </c>
      <c r="C2746" t="s">
        <v>24</v>
      </c>
      <c r="D2746" t="s">
        <v>17</v>
      </c>
      <c r="E2746" t="s">
        <v>12</v>
      </c>
      <c r="F2746">
        <v>35658262</v>
      </c>
      <c r="G2746">
        <v>35658372</v>
      </c>
      <c r="H2746">
        <v>35658380</v>
      </c>
      <c r="I2746">
        <v>35658393</v>
      </c>
    </row>
    <row r="2747" spans="1:9" x14ac:dyDescent="0.2">
      <c r="A2747" s="1" t="str">
        <f>"CCDC108"</f>
        <v>CCDC108</v>
      </c>
      <c r="B2747" t="s">
        <v>14</v>
      </c>
      <c r="C2747" t="s">
        <v>26</v>
      </c>
      <c r="D2747" t="s">
        <v>11</v>
      </c>
      <c r="E2747" t="s">
        <v>12</v>
      </c>
      <c r="F2747">
        <v>219906220</v>
      </c>
      <c r="G2747">
        <v>219906250</v>
      </c>
      <c r="H2747">
        <v>219906256</v>
      </c>
      <c r="I2747">
        <v>219906261</v>
      </c>
    </row>
    <row r="2748" spans="1:9" x14ac:dyDescent="0.2">
      <c r="A2748" s="1" t="str">
        <f>"CCDC109B"</f>
        <v>CCDC109B</v>
      </c>
      <c r="B2748" t="s">
        <v>14</v>
      </c>
      <c r="C2748" t="s">
        <v>23</v>
      </c>
      <c r="D2748" t="s">
        <v>17</v>
      </c>
      <c r="E2748" t="s">
        <v>12</v>
      </c>
      <c r="F2748">
        <v>110481374</v>
      </c>
      <c r="G2748">
        <v>110481458</v>
      </c>
      <c r="H2748">
        <v>110481348</v>
      </c>
      <c r="I2748">
        <v>110481368</v>
      </c>
    </row>
    <row r="2749" spans="1:9" x14ac:dyDescent="0.2">
      <c r="A2749" s="1" t="str">
        <f>"CCDC11"</f>
        <v>CCDC11</v>
      </c>
      <c r="B2749" t="s">
        <v>14</v>
      </c>
      <c r="C2749" t="s">
        <v>43</v>
      </c>
      <c r="D2749" t="s">
        <v>11</v>
      </c>
      <c r="E2749" t="s">
        <v>12</v>
      </c>
      <c r="F2749">
        <v>47792851</v>
      </c>
      <c r="G2749">
        <v>47792911</v>
      </c>
      <c r="H2749">
        <v>47792829</v>
      </c>
      <c r="I2749">
        <v>47792849</v>
      </c>
    </row>
    <row r="2750" spans="1:9" x14ac:dyDescent="0.2">
      <c r="A2750" s="1" t="str">
        <f>"CCDC110"</f>
        <v>CCDC110</v>
      </c>
      <c r="B2750" t="s">
        <v>14</v>
      </c>
      <c r="C2750" t="s">
        <v>23</v>
      </c>
      <c r="D2750" t="s">
        <v>11</v>
      </c>
      <c r="E2750" t="s">
        <v>12</v>
      </c>
      <c r="F2750">
        <v>186392237</v>
      </c>
      <c r="G2750">
        <v>186392281</v>
      </c>
      <c r="H2750">
        <v>186392867</v>
      </c>
      <c r="I2750">
        <v>186392892</v>
      </c>
    </row>
    <row r="2751" spans="1:9" x14ac:dyDescent="0.2">
      <c r="A2751" s="1" t="str">
        <f>"CCDC112"</f>
        <v>CCDC112</v>
      </c>
      <c r="B2751" t="s">
        <v>14</v>
      </c>
      <c r="C2751" t="s">
        <v>46</v>
      </c>
      <c r="D2751" t="s">
        <v>11</v>
      </c>
      <c r="E2751" t="s">
        <v>12</v>
      </c>
      <c r="F2751">
        <v>114632307</v>
      </c>
      <c r="G2751">
        <v>114632381</v>
      </c>
      <c r="H2751">
        <v>114632307</v>
      </c>
      <c r="I2751">
        <v>114632381</v>
      </c>
    </row>
    <row r="2752" spans="1:9" x14ac:dyDescent="0.2">
      <c r="A2752" s="1" t="str">
        <f>"CCDC113"</f>
        <v>CCDC113</v>
      </c>
      <c r="B2752" t="s">
        <v>14</v>
      </c>
      <c r="C2752" t="s">
        <v>31</v>
      </c>
      <c r="D2752" t="s">
        <v>17</v>
      </c>
      <c r="E2752" t="s">
        <v>12</v>
      </c>
      <c r="F2752">
        <v>58283814</v>
      </c>
      <c r="G2752">
        <v>58283918</v>
      </c>
      <c r="H2752">
        <v>58283941</v>
      </c>
      <c r="I2752">
        <v>58283950</v>
      </c>
    </row>
    <row r="2753" spans="1:9" x14ac:dyDescent="0.2">
      <c r="A2753" s="1" t="str">
        <f>"CCDC114"</f>
        <v>CCDC114</v>
      </c>
      <c r="B2753" t="s">
        <v>9</v>
      </c>
      <c r="C2753" t="s">
        <v>10</v>
      </c>
      <c r="D2753" t="s">
        <v>11</v>
      </c>
      <c r="E2753" t="s">
        <v>12</v>
      </c>
      <c r="F2753">
        <v>48825121</v>
      </c>
      <c r="G2753">
        <v>48825168</v>
      </c>
      <c r="H2753">
        <v>48825121</v>
      </c>
      <c r="I2753">
        <v>48825168</v>
      </c>
    </row>
    <row r="2754" spans="1:9" x14ac:dyDescent="0.2">
      <c r="A2754" s="1" t="str">
        <f>"CCDC114"</f>
        <v>CCDC114</v>
      </c>
      <c r="B2754" t="s">
        <v>13</v>
      </c>
      <c r="C2754" t="s">
        <v>10</v>
      </c>
      <c r="D2754" t="s">
        <v>11</v>
      </c>
      <c r="E2754" t="s">
        <v>12</v>
      </c>
      <c r="F2754">
        <v>48824038</v>
      </c>
      <c r="G2754">
        <v>48824075</v>
      </c>
      <c r="H2754">
        <v>48824038</v>
      </c>
      <c r="I2754">
        <v>48824075</v>
      </c>
    </row>
    <row r="2755" spans="1:9" x14ac:dyDescent="0.2">
      <c r="A2755" s="1" t="str">
        <f>"CCDC115"</f>
        <v>CCDC115</v>
      </c>
      <c r="B2755" t="s">
        <v>14</v>
      </c>
      <c r="C2755" t="s">
        <v>26</v>
      </c>
      <c r="D2755" t="s">
        <v>11</v>
      </c>
      <c r="E2755" t="s">
        <v>12</v>
      </c>
      <c r="F2755">
        <v>131099693</v>
      </c>
      <c r="G2755">
        <v>131099757</v>
      </c>
      <c r="H2755">
        <v>131100211</v>
      </c>
      <c r="I2755">
        <v>131100226</v>
      </c>
    </row>
    <row r="2756" spans="1:9" x14ac:dyDescent="0.2">
      <c r="A2756" s="1" t="str">
        <f>"CCDC116"</f>
        <v>CCDC116</v>
      </c>
      <c r="B2756" t="s">
        <v>14</v>
      </c>
      <c r="C2756" t="s">
        <v>21</v>
      </c>
      <c r="D2756" t="s">
        <v>17</v>
      </c>
      <c r="E2756" t="s">
        <v>12</v>
      </c>
      <c r="F2756">
        <v>21987042</v>
      </c>
      <c r="G2756">
        <v>21987060</v>
      </c>
      <c r="H2756">
        <v>21987072</v>
      </c>
      <c r="I2756">
        <v>21987080</v>
      </c>
    </row>
    <row r="2757" spans="1:9" x14ac:dyDescent="0.2">
      <c r="A2757" s="1" t="str">
        <f>"CCDC117"</f>
        <v>CCDC117</v>
      </c>
      <c r="B2757" t="s">
        <v>14</v>
      </c>
      <c r="C2757" t="s">
        <v>21</v>
      </c>
      <c r="D2757" t="s">
        <v>17</v>
      </c>
      <c r="E2757" t="s">
        <v>12</v>
      </c>
      <c r="F2757">
        <v>29168652</v>
      </c>
      <c r="G2757">
        <v>29168770</v>
      </c>
      <c r="H2757">
        <v>29168652</v>
      </c>
      <c r="I2757">
        <v>29168770</v>
      </c>
    </row>
    <row r="2758" spans="1:9" x14ac:dyDescent="0.2">
      <c r="A2758" s="1" t="str">
        <f>"CCDC12"</f>
        <v>CCDC12</v>
      </c>
      <c r="B2758" t="s">
        <v>9</v>
      </c>
      <c r="C2758" t="s">
        <v>22</v>
      </c>
      <c r="D2758" t="s">
        <v>11</v>
      </c>
      <c r="E2758" t="s">
        <v>12</v>
      </c>
      <c r="F2758">
        <v>47018219</v>
      </c>
      <c r="G2758">
        <v>47018255</v>
      </c>
      <c r="H2758">
        <v>47018219</v>
      </c>
      <c r="I2758">
        <v>47018255</v>
      </c>
    </row>
    <row r="2759" spans="1:9" x14ac:dyDescent="0.2">
      <c r="A2759" s="1" t="str">
        <f>"CCDC12"</f>
        <v>CCDC12</v>
      </c>
      <c r="B2759" t="s">
        <v>13</v>
      </c>
      <c r="C2759" t="s">
        <v>22</v>
      </c>
      <c r="D2759" t="s">
        <v>11</v>
      </c>
      <c r="E2759" t="s">
        <v>12</v>
      </c>
      <c r="F2759">
        <v>47023475</v>
      </c>
      <c r="G2759">
        <v>47023498</v>
      </c>
      <c r="H2759">
        <v>47023475</v>
      </c>
      <c r="I2759">
        <v>47023498</v>
      </c>
    </row>
    <row r="2760" spans="1:9" x14ac:dyDescent="0.2">
      <c r="A2760" s="1" t="str">
        <f>"CCDC120"</f>
        <v>CCDC120</v>
      </c>
      <c r="B2760" t="s">
        <v>9</v>
      </c>
      <c r="C2760" t="s">
        <v>37</v>
      </c>
      <c r="D2760" t="s">
        <v>17</v>
      </c>
      <c r="E2760" t="s">
        <v>12</v>
      </c>
      <c r="F2760">
        <v>48916506</v>
      </c>
      <c r="G2760">
        <v>48916557</v>
      </c>
      <c r="H2760">
        <v>48916506</v>
      </c>
      <c r="I2760">
        <v>48916557</v>
      </c>
    </row>
    <row r="2761" spans="1:9" x14ac:dyDescent="0.2">
      <c r="A2761" s="1" t="str">
        <f>"CCDC120"</f>
        <v>CCDC120</v>
      </c>
      <c r="B2761" t="s">
        <v>13</v>
      </c>
      <c r="C2761" t="s">
        <v>37</v>
      </c>
      <c r="D2761" t="s">
        <v>17</v>
      </c>
      <c r="E2761" t="s">
        <v>12</v>
      </c>
      <c r="F2761">
        <v>48911090</v>
      </c>
      <c r="G2761">
        <v>48911113</v>
      </c>
      <c r="H2761">
        <v>48911090</v>
      </c>
      <c r="I2761">
        <v>48911113</v>
      </c>
    </row>
    <row r="2762" spans="1:9" x14ac:dyDescent="0.2">
      <c r="A2762" s="1" t="str">
        <f>"CCDC121"</f>
        <v>CCDC121</v>
      </c>
      <c r="B2762" t="s">
        <v>14</v>
      </c>
      <c r="C2762" t="s">
        <v>26</v>
      </c>
      <c r="D2762" t="s">
        <v>11</v>
      </c>
      <c r="E2762" t="s">
        <v>12</v>
      </c>
      <c r="F2762">
        <v>27851843</v>
      </c>
      <c r="G2762">
        <v>27851885</v>
      </c>
      <c r="H2762">
        <v>27851723</v>
      </c>
      <c r="I2762">
        <v>27851746</v>
      </c>
    </row>
    <row r="2763" spans="1:9" x14ac:dyDescent="0.2">
      <c r="A2763" s="1" t="str">
        <f>"CCDC122"</f>
        <v>CCDC122</v>
      </c>
      <c r="B2763" t="s">
        <v>14</v>
      </c>
      <c r="C2763" t="s">
        <v>39</v>
      </c>
      <c r="D2763" t="s">
        <v>11</v>
      </c>
      <c r="E2763" t="s">
        <v>12</v>
      </c>
      <c r="F2763">
        <v>44453833</v>
      </c>
      <c r="G2763">
        <v>44453912</v>
      </c>
      <c r="H2763">
        <v>44453833</v>
      </c>
      <c r="I2763">
        <v>44453912</v>
      </c>
    </row>
    <row r="2764" spans="1:9" x14ac:dyDescent="0.2">
      <c r="A2764" s="1" t="str">
        <f>"CCDC124"</f>
        <v>CCDC124</v>
      </c>
      <c r="B2764" t="s">
        <v>9</v>
      </c>
      <c r="C2764" t="s">
        <v>10</v>
      </c>
      <c r="D2764" t="s">
        <v>17</v>
      </c>
      <c r="E2764" t="s">
        <v>12</v>
      </c>
      <c r="F2764">
        <v>18043810</v>
      </c>
      <c r="G2764">
        <v>18043835</v>
      </c>
      <c r="H2764">
        <v>18043810</v>
      </c>
      <c r="I2764">
        <v>18043835</v>
      </c>
    </row>
    <row r="2765" spans="1:9" x14ac:dyDescent="0.2">
      <c r="A2765" s="1" t="str">
        <f>"CCDC124"</f>
        <v>CCDC124</v>
      </c>
      <c r="B2765" t="s">
        <v>13</v>
      </c>
      <c r="C2765" t="s">
        <v>10</v>
      </c>
      <c r="D2765" t="s">
        <v>17</v>
      </c>
      <c r="E2765" t="s">
        <v>12</v>
      </c>
      <c r="F2765">
        <v>18047275</v>
      </c>
      <c r="G2765">
        <v>18047300</v>
      </c>
      <c r="H2765">
        <v>18047275</v>
      </c>
      <c r="I2765">
        <v>18047300</v>
      </c>
    </row>
    <row r="2766" spans="1:9" x14ac:dyDescent="0.2">
      <c r="A2766" s="1" t="str">
        <f>"CCDC125"</f>
        <v>CCDC125</v>
      </c>
      <c r="B2766" t="s">
        <v>14</v>
      </c>
      <c r="C2766" t="s">
        <v>46</v>
      </c>
      <c r="D2766" t="s">
        <v>11</v>
      </c>
      <c r="E2766" t="s">
        <v>12</v>
      </c>
      <c r="F2766">
        <v>68628559</v>
      </c>
      <c r="G2766">
        <v>68628648</v>
      </c>
      <c r="H2766">
        <v>68628650</v>
      </c>
      <c r="I2766">
        <v>68628660</v>
      </c>
    </row>
    <row r="2767" spans="1:9" x14ac:dyDescent="0.2">
      <c r="A2767" s="1" t="str">
        <f>"CCDC126"</f>
        <v>CCDC126</v>
      </c>
      <c r="B2767" t="s">
        <v>14</v>
      </c>
      <c r="C2767" t="s">
        <v>33</v>
      </c>
      <c r="D2767" t="s">
        <v>17</v>
      </c>
      <c r="E2767" t="s">
        <v>12</v>
      </c>
      <c r="F2767">
        <v>23636992</v>
      </c>
      <c r="G2767">
        <v>23637074</v>
      </c>
      <c r="H2767">
        <v>23637335</v>
      </c>
      <c r="I2767">
        <v>23637356</v>
      </c>
    </row>
    <row r="2768" spans="1:9" x14ac:dyDescent="0.2">
      <c r="A2768" s="1" t="str">
        <f>"CCDC127"</f>
        <v>CCDC127</v>
      </c>
      <c r="B2768" t="s">
        <v>14</v>
      </c>
      <c r="C2768" t="s">
        <v>46</v>
      </c>
      <c r="D2768" t="s">
        <v>11</v>
      </c>
      <c r="E2768" t="s">
        <v>12</v>
      </c>
      <c r="F2768">
        <v>218251</v>
      </c>
      <c r="G2768">
        <v>218277</v>
      </c>
      <c r="H2768">
        <v>218251</v>
      </c>
      <c r="I2768">
        <v>218277</v>
      </c>
    </row>
    <row r="2769" spans="1:9" x14ac:dyDescent="0.2">
      <c r="A2769" s="1" t="str">
        <f>"CCDC129"</f>
        <v>CCDC129</v>
      </c>
      <c r="B2769" t="s">
        <v>14</v>
      </c>
      <c r="C2769" t="s">
        <v>33</v>
      </c>
      <c r="D2769" t="s">
        <v>17</v>
      </c>
      <c r="E2769" t="s">
        <v>12</v>
      </c>
      <c r="F2769">
        <v>31569365</v>
      </c>
      <c r="G2769">
        <v>31569379</v>
      </c>
      <c r="H2769">
        <v>31569365</v>
      </c>
      <c r="I2769">
        <v>31569379</v>
      </c>
    </row>
    <row r="2770" spans="1:9" x14ac:dyDescent="0.2">
      <c r="A2770" s="1" t="str">
        <f>"CCDC13"</f>
        <v>CCDC13</v>
      </c>
      <c r="B2770" t="s">
        <v>14</v>
      </c>
      <c r="C2770" t="s">
        <v>22</v>
      </c>
      <c r="D2770" t="s">
        <v>11</v>
      </c>
      <c r="E2770" t="s">
        <v>12</v>
      </c>
      <c r="F2770">
        <v>42814708</v>
      </c>
      <c r="G2770">
        <v>42814751</v>
      </c>
      <c r="H2770">
        <v>42814669</v>
      </c>
      <c r="I2770">
        <v>42814692</v>
      </c>
    </row>
    <row r="2771" spans="1:9" x14ac:dyDescent="0.2">
      <c r="A2771" s="1" t="str">
        <f>"CCDC130"</f>
        <v>CCDC130</v>
      </c>
      <c r="B2771" t="s">
        <v>9</v>
      </c>
      <c r="C2771" t="s">
        <v>10</v>
      </c>
      <c r="D2771" t="s">
        <v>17</v>
      </c>
      <c r="E2771" t="s">
        <v>12</v>
      </c>
      <c r="F2771">
        <v>13858701</v>
      </c>
      <c r="G2771">
        <v>13858753</v>
      </c>
      <c r="H2771">
        <v>13858701</v>
      </c>
      <c r="I2771">
        <v>13858753</v>
      </c>
    </row>
    <row r="2772" spans="1:9" x14ac:dyDescent="0.2">
      <c r="A2772" s="1" t="str">
        <f>"CCDC130"</f>
        <v>CCDC130</v>
      </c>
      <c r="B2772" t="s">
        <v>13</v>
      </c>
      <c r="C2772" t="s">
        <v>10</v>
      </c>
      <c r="D2772" t="s">
        <v>17</v>
      </c>
      <c r="E2772" t="s">
        <v>12</v>
      </c>
      <c r="F2772">
        <v>13842559</v>
      </c>
      <c r="G2772">
        <v>13842602</v>
      </c>
      <c r="H2772">
        <v>13842559</v>
      </c>
      <c r="I2772">
        <v>13842602</v>
      </c>
    </row>
    <row r="2773" spans="1:9" x14ac:dyDescent="0.2">
      <c r="A2773" s="1" t="str">
        <f>"CCDC132"</f>
        <v>CCDC132</v>
      </c>
      <c r="B2773" t="s">
        <v>14</v>
      </c>
      <c r="C2773" t="s">
        <v>33</v>
      </c>
      <c r="D2773" t="s">
        <v>17</v>
      </c>
      <c r="E2773" t="s">
        <v>12</v>
      </c>
      <c r="F2773">
        <v>92861671</v>
      </c>
      <c r="G2773">
        <v>92861707</v>
      </c>
      <c r="H2773">
        <v>92861612</v>
      </c>
      <c r="I2773">
        <v>92861627</v>
      </c>
    </row>
    <row r="2774" spans="1:9" x14ac:dyDescent="0.2">
      <c r="A2774" s="1" t="str">
        <f>"CCDC134"</f>
        <v>CCDC134</v>
      </c>
      <c r="B2774" t="s">
        <v>14</v>
      </c>
      <c r="C2774" t="s">
        <v>21</v>
      </c>
      <c r="D2774" t="s">
        <v>17</v>
      </c>
      <c r="E2774" t="s">
        <v>12</v>
      </c>
      <c r="F2774">
        <v>42196666</v>
      </c>
      <c r="G2774">
        <v>42196699</v>
      </c>
      <c r="H2774">
        <v>42196621</v>
      </c>
      <c r="I2774">
        <v>42196665</v>
      </c>
    </row>
    <row r="2775" spans="1:9" x14ac:dyDescent="0.2">
      <c r="A2775" s="1" t="str">
        <f>"CCDC135"</f>
        <v>CCDC135</v>
      </c>
      <c r="B2775" t="s">
        <v>14</v>
      </c>
      <c r="C2775" t="s">
        <v>31</v>
      </c>
      <c r="D2775" t="s">
        <v>17</v>
      </c>
      <c r="E2775" t="s">
        <v>12</v>
      </c>
      <c r="F2775">
        <v>57728701</v>
      </c>
      <c r="G2775">
        <v>57728748</v>
      </c>
      <c r="H2775">
        <v>57728701</v>
      </c>
      <c r="I2775">
        <v>57728748</v>
      </c>
    </row>
    <row r="2776" spans="1:9" x14ac:dyDescent="0.2">
      <c r="A2776" s="1" t="str">
        <f>"CCDC136"</f>
        <v>CCDC136</v>
      </c>
      <c r="B2776" t="s">
        <v>14</v>
      </c>
      <c r="C2776" t="s">
        <v>33</v>
      </c>
      <c r="D2776" t="s">
        <v>17</v>
      </c>
      <c r="E2776" t="s">
        <v>12</v>
      </c>
      <c r="F2776">
        <v>128431444</v>
      </c>
      <c r="G2776">
        <v>128431526</v>
      </c>
      <c r="H2776">
        <v>128430803</v>
      </c>
      <c r="I2776">
        <v>128430838</v>
      </c>
    </row>
    <row r="2777" spans="1:9" x14ac:dyDescent="0.2">
      <c r="A2777" s="1" t="str">
        <f>"CCDC137"</f>
        <v>CCDC137</v>
      </c>
      <c r="B2777" t="s">
        <v>14</v>
      </c>
      <c r="C2777" t="s">
        <v>28</v>
      </c>
      <c r="D2777" t="s">
        <v>17</v>
      </c>
      <c r="E2777" t="s">
        <v>12</v>
      </c>
      <c r="F2777">
        <v>79633745</v>
      </c>
      <c r="G2777">
        <v>79633796</v>
      </c>
      <c r="H2777">
        <v>79633357</v>
      </c>
      <c r="I2777">
        <v>79633379</v>
      </c>
    </row>
    <row r="2778" spans="1:9" x14ac:dyDescent="0.2">
      <c r="A2778" s="1" t="str">
        <f>"CCDC138"</f>
        <v>CCDC138</v>
      </c>
      <c r="B2778" t="s">
        <v>14</v>
      </c>
      <c r="C2778" t="s">
        <v>26</v>
      </c>
      <c r="D2778" t="s">
        <v>17</v>
      </c>
      <c r="E2778" t="s">
        <v>12</v>
      </c>
      <c r="F2778">
        <v>109403193</v>
      </c>
      <c r="G2778">
        <v>109403270</v>
      </c>
      <c r="H2778">
        <v>109402725</v>
      </c>
      <c r="I2778">
        <v>109402728</v>
      </c>
    </row>
    <row r="2779" spans="1:9" x14ac:dyDescent="0.2">
      <c r="A2779" s="1" t="str">
        <f>"CCDC14"</f>
        <v>CCDC14</v>
      </c>
      <c r="B2779" t="s">
        <v>14</v>
      </c>
      <c r="C2779" t="s">
        <v>22</v>
      </c>
      <c r="D2779" t="s">
        <v>11</v>
      </c>
      <c r="E2779" t="s">
        <v>12</v>
      </c>
      <c r="F2779">
        <v>123680047</v>
      </c>
      <c r="G2779">
        <v>123680112</v>
      </c>
      <c r="H2779">
        <v>123680217</v>
      </c>
      <c r="I2779">
        <v>123680235</v>
      </c>
    </row>
    <row r="2780" spans="1:9" x14ac:dyDescent="0.2">
      <c r="A2780" s="1" t="str">
        <f>"CCDC140"</f>
        <v>CCDC140</v>
      </c>
      <c r="B2780" t="s">
        <v>14</v>
      </c>
      <c r="C2780" t="s">
        <v>26</v>
      </c>
      <c r="D2780" t="s">
        <v>17</v>
      </c>
      <c r="E2780" t="s">
        <v>12</v>
      </c>
      <c r="F2780">
        <v>223167572</v>
      </c>
      <c r="G2780">
        <v>223167597</v>
      </c>
      <c r="H2780">
        <v>223167467</v>
      </c>
      <c r="I2780">
        <v>223167472</v>
      </c>
    </row>
    <row r="2781" spans="1:9" x14ac:dyDescent="0.2">
      <c r="A2781" s="1" t="str">
        <f>"CCDC141"</f>
        <v>CCDC141</v>
      </c>
      <c r="B2781" t="s">
        <v>14</v>
      </c>
      <c r="C2781" t="s">
        <v>26</v>
      </c>
      <c r="D2781" t="s">
        <v>11</v>
      </c>
      <c r="E2781" t="s">
        <v>12</v>
      </c>
      <c r="F2781">
        <v>179914760</v>
      </c>
      <c r="G2781">
        <v>179914884</v>
      </c>
      <c r="H2781">
        <v>179914760</v>
      </c>
      <c r="I2781">
        <v>179914884</v>
      </c>
    </row>
    <row r="2782" spans="1:9" x14ac:dyDescent="0.2">
      <c r="A2782" s="1" t="str">
        <f>"CCDC142"</f>
        <v>CCDC142</v>
      </c>
      <c r="B2782" t="s">
        <v>14</v>
      </c>
      <c r="C2782" t="s">
        <v>26</v>
      </c>
      <c r="D2782" t="s">
        <v>11</v>
      </c>
      <c r="E2782" t="s">
        <v>12</v>
      </c>
      <c r="F2782">
        <v>74710078</v>
      </c>
      <c r="G2782">
        <v>74710142</v>
      </c>
      <c r="H2782">
        <v>74710042</v>
      </c>
      <c r="I2782">
        <v>74710076</v>
      </c>
    </row>
    <row r="2783" spans="1:9" x14ac:dyDescent="0.2">
      <c r="A2783" s="1" t="str">
        <f>"CCDC144A"</f>
        <v>CCDC144A</v>
      </c>
      <c r="B2783" t="s">
        <v>14</v>
      </c>
      <c r="C2783" t="s">
        <v>28</v>
      </c>
      <c r="D2783" t="s">
        <v>17</v>
      </c>
      <c r="E2783" t="s">
        <v>12</v>
      </c>
      <c r="F2783">
        <v>16593539</v>
      </c>
      <c r="G2783">
        <v>16593579</v>
      </c>
      <c r="H2783">
        <v>16593998</v>
      </c>
      <c r="I2783">
        <v>16594005</v>
      </c>
    </row>
    <row r="2784" spans="1:9" x14ac:dyDescent="0.2">
      <c r="A2784" s="1" t="str">
        <f>"CCDC144NL"</f>
        <v>CCDC144NL</v>
      </c>
      <c r="B2784" t="s">
        <v>9</v>
      </c>
      <c r="C2784" t="s">
        <v>28</v>
      </c>
      <c r="D2784" t="s">
        <v>11</v>
      </c>
      <c r="E2784" t="s">
        <v>12</v>
      </c>
      <c r="F2784">
        <v>20771531</v>
      </c>
      <c r="G2784">
        <v>20771548</v>
      </c>
      <c r="H2784">
        <v>20771531</v>
      </c>
      <c r="I2784">
        <v>20771548</v>
      </c>
    </row>
    <row r="2785" spans="1:9" x14ac:dyDescent="0.2">
      <c r="A2785" s="1" t="str">
        <f>"CCDC144NL"</f>
        <v>CCDC144NL</v>
      </c>
      <c r="B2785" t="s">
        <v>13</v>
      </c>
      <c r="C2785" t="s">
        <v>28</v>
      </c>
      <c r="D2785" t="s">
        <v>11</v>
      </c>
      <c r="E2785" t="s">
        <v>12</v>
      </c>
      <c r="F2785">
        <v>20799456</v>
      </c>
      <c r="G2785">
        <v>20799481</v>
      </c>
      <c r="H2785">
        <v>20799456</v>
      </c>
      <c r="I2785">
        <v>20799481</v>
      </c>
    </row>
    <row r="2786" spans="1:9" x14ac:dyDescent="0.2">
      <c r="A2786" s="1" t="str">
        <f>"CCDC146"</f>
        <v>CCDC146</v>
      </c>
      <c r="B2786" t="s">
        <v>14</v>
      </c>
      <c r="C2786" t="s">
        <v>33</v>
      </c>
      <c r="D2786" t="s">
        <v>17</v>
      </c>
      <c r="E2786" t="s">
        <v>12</v>
      </c>
      <c r="F2786">
        <v>76751926</v>
      </c>
      <c r="G2786">
        <v>76751960</v>
      </c>
      <c r="H2786">
        <v>76751926</v>
      </c>
      <c r="I2786">
        <v>76751960</v>
      </c>
    </row>
    <row r="2787" spans="1:9" x14ac:dyDescent="0.2">
      <c r="A2787" s="1" t="str">
        <f>"CCDC147"</f>
        <v>CCDC147</v>
      </c>
      <c r="B2787" t="s">
        <v>14</v>
      </c>
      <c r="C2787" t="s">
        <v>15</v>
      </c>
      <c r="D2787" t="s">
        <v>17</v>
      </c>
      <c r="E2787" t="s">
        <v>12</v>
      </c>
      <c r="F2787">
        <v>106113583</v>
      </c>
      <c r="G2787">
        <v>106113597</v>
      </c>
      <c r="H2787">
        <v>106113515</v>
      </c>
      <c r="I2787">
        <v>106113527</v>
      </c>
    </row>
    <row r="2788" spans="1:9" x14ac:dyDescent="0.2">
      <c r="A2788" s="1" t="str">
        <f>"CCDC148"</f>
        <v>CCDC148</v>
      </c>
      <c r="B2788" t="s">
        <v>197</v>
      </c>
      <c r="C2788" t="s">
        <v>26</v>
      </c>
      <c r="D2788" t="s">
        <v>11</v>
      </c>
      <c r="E2788" t="s">
        <v>20</v>
      </c>
      <c r="F2788">
        <v>159237471</v>
      </c>
      <c r="G2788">
        <v>159237471</v>
      </c>
      <c r="H2788">
        <v>159237471</v>
      </c>
      <c r="I2788">
        <v>159237471</v>
      </c>
    </row>
    <row r="2789" spans="1:9" x14ac:dyDescent="0.2">
      <c r="A2789" s="1" t="str">
        <f>"CCDC149"</f>
        <v>CCDC149</v>
      </c>
      <c r="B2789" t="s">
        <v>14</v>
      </c>
      <c r="C2789" t="s">
        <v>23</v>
      </c>
      <c r="D2789" t="s">
        <v>11</v>
      </c>
      <c r="E2789" t="s">
        <v>12</v>
      </c>
      <c r="F2789">
        <v>24914581</v>
      </c>
      <c r="G2789">
        <v>24914691</v>
      </c>
      <c r="H2789">
        <v>24914511</v>
      </c>
      <c r="I2789">
        <v>24914524</v>
      </c>
    </row>
    <row r="2790" spans="1:9" x14ac:dyDescent="0.2">
      <c r="A2790" s="1" t="str">
        <f>"CCDC15"</f>
        <v>CCDC15</v>
      </c>
      <c r="B2790" t="s">
        <v>14</v>
      </c>
      <c r="C2790" t="s">
        <v>27</v>
      </c>
      <c r="D2790" t="s">
        <v>17</v>
      </c>
      <c r="E2790" t="s">
        <v>12</v>
      </c>
      <c r="F2790">
        <v>124824064</v>
      </c>
      <c r="G2790">
        <v>124824113</v>
      </c>
      <c r="H2790">
        <v>124824000</v>
      </c>
      <c r="I2790">
        <v>124824061</v>
      </c>
    </row>
    <row r="2791" spans="1:9" x14ac:dyDescent="0.2">
      <c r="A2791" s="1" t="str">
        <f>"CCDC150"</f>
        <v>CCDC150</v>
      </c>
      <c r="B2791" t="s">
        <v>14</v>
      </c>
      <c r="C2791" t="s">
        <v>26</v>
      </c>
      <c r="D2791" t="s">
        <v>17</v>
      </c>
      <c r="E2791" t="s">
        <v>12</v>
      </c>
      <c r="F2791">
        <v>197504410</v>
      </c>
      <c r="G2791">
        <v>197504471</v>
      </c>
      <c r="H2791">
        <v>197504373</v>
      </c>
      <c r="I2791">
        <v>197504397</v>
      </c>
    </row>
    <row r="2792" spans="1:9" x14ac:dyDescent="0.2">
      <c r="A2792" s="1" t="str">
        <f>"CCDC151"</f>
        <v>CCDC151</v>
      </c>
      <c r="B2792" t="s">
        <v>14</v>
      </c>
      <c r="C2792" t="s">
        <v>10</v>
      </c>
      <c r="D2792" t="s">
        <v>11</v>
      </c>
      <c r="E2792" t="s">
        <v>12</v>
      </c>
      <c r="F2792">
        <v>11545920</v>
      </c>
      <c r="G2792">
        <v>11545947</v>
      </c>
      <c r="H2792">
        <v>11545920</v>
      </c>
      <c r="I2792">
        <v>11545947</v>
      </c>
    </row>
    <row r="2793" spans="1:9" x14ac:dyDescent="0.2">
      <c r="A2793" s="1" t="str">
        <f>"CCDC152"</f>
        <v>CCDC152</v>
      </c>
      <c r="B2793" t="s">
        <v>14</v>
      </c>
      <c r="C2793" t="s">
        <v>46</v>
      </c>
      <c r="D2793" t="s">
        <v>17</v>
      </c>
      <c r="E2793" t="s">
        <v>12</v>
      </c>
      <c r="F2793">
        <v>42756913</v>
      </c>
      <c r="G2793">
        <v>42756963</v>
      </c>
      <c r="H2793">
        <v>42756913</v>
      </c>
      <c r="I2793">
        <v>42756963</v>
      </c>
    </row>
    <row r="2794" spans="1:9" x14ac:dyDescent="0.2">
      <c r="A2794" s="1" t="str">
        <f>"CCDC153"</f>
        <v>CCDC153</v>
      </c>
      <c r="B2794" t="s">
        <v>9</v>
      </c>
      <c r="C2794" t="s">
        <v>27</v>
      </c>
      <c r="D2794" t="s">
        <v>11</v>
      </c>
      <c r="E2794" t="s">
        <v>12</v>
      </c>
      <c r="F2794">
        <v>119066545</v>
      </c>
      <c r="G2794">
        <v>119066559</v>
      </c>
      <c r="H2794">
        <v>119066545</v>
      </c>
      <c r="I2794">
        <v>119066559</v>
      </c>
    </row>
    <row r="2795" spans="1:9" x14ac:dyDescent="0.2">
      <c r="A2795" s="1" t="str">
        <f>"CCDC153"</f>
        <v>CCDC153</v>
      </c>
      <c r="B2795" t="s">
        <v>13</v>
      </c>
      <c r="C2795" t="s">
        <v>27</v>
      </c>
      <c r="D2795" t="s">
        <v>11</v>
      </c>
      <c r="E2795" t="s">
        <v>12</v>
      </c>
      <c r="F2795">
        <v>119076886</v>
      </c>
      <c r="G2795">
        <v>119076904</v>
      </c>
      <c r="H2795">
        <v>119076886</v>
      </c>
      <c r="I2795">
        <v>119076904</v>
      </c>
    </row>
    <row r="2796" spans="1:9" x14ac:dyDescent="0.2">
      <c r="A2796" s="1" t="str">
        <f>"CCDC154"</f>
        <v>CCDC154</v>
      </c>
      <c r="B2796" t="s">
        <v>14</v>
      </c>
      <c r="C2796" t="s">
        <v>31</v>
      </c>
      <c r="D2796" t="s">
        <v>11</v>
      </c>
      <c r="E2796" t="s">
        <v>12</v>
      </c>
      <c r="F2796">
        <v>1494479</v>
      </c>
      <c r="G2796">
        <v>1494517</v>
      </c>
      <c r="H2796">
        <v>1494545</v>
      </c>
      <c r="I2796">
        <v>1494547</v>
      </c>
    </row>
    <row r="2797" spans="1:9" x14ac:dyDescent="0.2">
      <c r="A2797" s="1" t="str">
        <f>"CCDC155"</f>
        <v>CCDC155</v>
      </c>
      <c r="B2797" t="s">
        <v>14</v>
      </c>
      <c r="C2797" t="s">
        <v>10</v>
      </c>
      <c r="D2797" t="s">
        <v>17</v>
      </c>
      <c r="E2797" t="s">
        <v>12</v>
      </c>
      <c r="F2797">
        <v>49891533</v>
      </c>
      <c r="G2797">
        <v>49891566</v>
      </c>
      <c r="H2797">
        <v>49891500</v>
      </c>
      <c r="I2797">
        <v>49891520</v>
      </c>
    </row>
    <row r="2798" spans="1:9" x14ac:dyDescent="0.2">
      <c r="A2798" s="1" t="str">
        <f>"CCDC157"</f>
        <v>CCDC157</v>
      </c>
      <c r="B2798" t="s">
        <v>14</v>
      </c>
      <c r="C2798" t="s">
        <v>21</v>
      </c>
      <c r="D2798" t="s">
        <v>17</v>
      </c>
      <c r="E2798" t="s">
        <v>12</v>
      </c>
      <c r="F2798">
        <v>30752963</v>
      </c>
      <c r="G2798">
        <v>30753020</v>
      </c>
      <c r="H2798">
        <v>30752643</v>
      </c>
      <c r="I2798">
        <v>30752666</v>
      </c>
    </row>
    <row r="2799" spans="1:9" x14ac:dyDescent="0.2">
      <c r="A2799" s="1" t="str">
        <f>"CCDC158"</f>
        <v>CCDC158</v>
      </c>
      <c r="B2799" t="s">
        <v>14</v>
      </c>
      <c r="C2799" t="s">
        <v>23</v>
      </c>
      <c r="D2799" t="s">
        <v>11</v>
      </c>
      <c r="E2799" t="s">
        <v>12</v>
      </c>
      <c r="F2799">
        <v>77328475</v>
      </c>
      <c r="G2799">
        <v>77328524</v>
      </c>
      <c r="H2799">
        <v>77328475</v>
      </c>
      <c r="I2799">
        <v>77328524</v>
      </c>
    </row>
    <row r="2800" spans="1:9" x14ac:dyDescent="0.2">
      <c r="A2800" s="1" t="str">
        <f>"CCDC159"</f>
        <v>CCDC159</v>
      </c>
      <c r="B2800" t="s">
        <v>14</v>
      </c>
      <c r="C2800" t="s">
        <v>10</v>
      </c>
      <c r="D2800" t="s">
        <v>17</v>
      </c>
      <c r="E2800" t="s">
        <v>12</v>
      </c>
      <c r="F2800">
        <v>11457175</v>
      </c>
      <c r="G2800">
        <v>11457224</v>
      </c>
      <c r="H2800">
        <v>11457233</v>
      </c>
      <c r="I2800">
        <v>11457257</v>
      </c>
    </row>
    <row r="2801" spans="1:9" x14ac:dyDescent="0.2">
      <c r="A2801" s="1" t="str">
        <f>"CCDC160"</f>
        <v>CCDC160</v>
      </c>
      <c r="B2801" t="s">
        <v>14</v>
      </c>
      <c r="C2801" t="s">
        <v>37</v>
      </c>
      <c r="D2801" t="s">
        <v>17</v>
      </c>
      <c r="E2801" t="s">
        <v>12</v>
      </c>
      <c r="F2801">
        <v>133371199</v>
      </c>
      <c r="G2801">
        <v>133371244</v>
      </c>
      <c r="H2801">
        <v>133371199</v>
      </c>
      <c r="I2801">
        <v>133371244</v>
      </c>
    </row>
    <row r="2802" spans="1:9" x14ac:dyDescent="0.2">
      <c r="A2802" s="1" t="str">
        <f>"CCDC166"</f>
        <v>CCDC166</v>
      </c>
      <c r="B2802" t="s">
        <v>14</v>
      </c>
      <c r="C2802" t="s">
        <v>30</v>
      </c>
      <c r="D2802" t="s">
        <v>11</v>
      </c>
      <c r="E2802" t="s">
        <v>12</v>
      </c>
      <c r="F2802">
        <v>144790521</v>
      </c>
      <c r="G2802">
        <v>144790559</v>
      </c>
      <c r="H2802">
        <v>144790521</v>
      </c>
      <c r="I2802">
        <v>144790559</v>
      </c>
    </row>
    <row r="2803" spans="1:9" x14ac:dyDescent="0.2">
      <c r="A2803" s="1" t="str">
        <f>"CCDC167"</f>
        <v>CCDC167</v>
      </c>
      <c r="B2803" t="s">
        <v>14</v>
      </c>
      <c r="C2803" t="s">
        <v>32</v>
      </c>
      <c r="D2803" t="s">
        <v>11</v>
      </c>
      <c r="E2803" t="s">
        <v>12</v>
      </c>
      <c r="F2803">
        <v>37467628</v>
      </c>
      <c r="G2803">
        <v>37467705</v>
      </c>
      <c r="H2803">
        <v>37467628</v>
      </c>
      <c r="I2803">
        <v>37467705</v>
      </c>
    </row>
    <row r="2804" spans="1:9" x14ac:dyDescent="0.2">
      <c r="A2804" s="1" t="str">
        <f>"CCDC168"</f>
        <v>CCDC168</v>
      </c>
      <c r="B2804" t="s">
        <v>14</v>
      </c>
      <c r="C2804" t="s">
        <v>39</v>
      </c>
      <c r="D2804" t="s">
        <v>11</v>
      </c>
      <c r="E2804" t="s">
        <v>12</v>
      </c>
      <c r="F2804">
        <v>103411408</v>
      </c>
      <c r="G2804">
        <v>103411425</v>
      </c>
      <c r="H2804">
        <v>103411408</v>
      </c>
      <c r="I2804">
        <v>103411425</v>
      </c>
    </row>
    <row r="2805" spans="1:9" x14ac:dyDescent="0.2">
      <c r="A2805" s="1" t="str">
        <f>"CCDC169"</f>
        <v>CCDC169</v>
      </c>
      <c r="B2805" t="s">
        <v>14</v>
      </c>
      <c r="C2805" t="s">
        <v>39</v>
      </c>
      <c r="D2805" t="s">
        <v>11</v>
      </c>
      <c r="E2805" t="s">
        <v>12</v>
      </c>
      <c r="F2805">
        <v>36871902</v>
      </c>
      <c r="G2805">
        <v>36872023</v>
      </c>
      <c r="H2805">
        <v>36871884</v>
      </c>
      <c r="I2805">
        <v>36871889</v>
      </c>
    </row>
    <row r="2806" spans="1:9" x14ac:dyDescent="0.2">
      <c r="A2806" s="1" t="str">
        <f>"CCDC169-SOHLH2"</f>
        <v>CCDC169-SOHLH2</v>
      </c>
      <c r="B2806" t="s">
        <v>14</v>
      </c>
      <c r="C2806" t="s">
        <v>39</v>
      </c>
      <c r="D2806" t="s">
        <v>11</v>
      </c>
      <c r="E2806" t="s">
        <v>12</v>
      </c>
      <c r="F2806">
        <v>36871902</v>
      </c>
      <c r="G2806">
        <v>36872023</v>
      </c>
      <c r="H2806">
        <v>36871902</v>
      </c>
      <c r="I2806">
        <v>36872023</v>
      </c>
    </row>
    <row r="2807" spans="1:9" x14ac:dyDescent="0.2">
      <c r="A2807" s="1" t="str">
        <f>"CCDC17"</f>
        <v>CCDC17</v>
      </c>
      <c r="B2807" t="s">
        <v>14</v>
      </c>
      <c r="C2807" t="s">
        <v>19</v>
      </c>
      <c r="D2807" t="s">
        <v>11</v>
      </c>
      <c r="E2807" t="s">
        <v>12</v>
      </c>
      <c r="F2807">
        <v>46089718</v>
      </c>
      <c r="G2807">
        <v>46089734</v>
      </c>
      <c r="H2807">
        <v>46089703</v>
      </c>
      <c r="I2807">
        <v>46089714</v>
      </c>
    </row>
    <row r="2808" spans="1:9" x14ac:dyDescent="0.2">
      <c r="A2808" s="1" t="str">
        <f>"CCDC170"</f>
        <v>CCDC170</v>
      </c>
      <c r="B2808" t="s">
        <v>14</v>
      </c>
      <c r="C2808" t="s">
        <v>32</v>
      </c>
      <c r="D2808" t="s">
        <v>17</v>
      </c>
      <c r="E2808" t="s">
        <v>12</v>
      </c>
      <c r="F2808">
        <v>151815143</v>
      </c>
      <c r="G2808">
        <v>151815212</v>
      </c>
      <c r="H2808">
        <v>151815238</v>
      </c>
      <c r="I2808">
        <v>151815269</v>
      </c>
    </row>
    <row r="2809" spans="1:9" x14ac:dyDescent="0.2">
      <c r="A2809" s="1" t="str">
        <f>"CCDC171"</f>
        <v>CCDC171</v>
      </c>
      <c r="B2809" t="s">
        <v>14</v>
      </c>
      <c r="C2809" t="s">
        <v>24</v>
      </c>
      <c r="D2809" t="s">
        <v>17</v>
      </c>
      <c r="E2809" t="s">
        <v>12</v>
      </c>
      <c r="F2809">
        <v>15553000</v>
      </c>
      <c r="G2809">
        <v>15553054</v>
      </c>
      <c r="H2809">
        <v>15552927</v>
      </c>
      <c r="I2809">
        <v>15552978</v>
      </c>
    </row>
    <row r="2810" spans="1:9" x14ac:dyDescent="0.2">
      <c r="A2810" s="1" t="str">
        <f>"CCDC172"</f>
        <v>CCDC172</v>
      </c>
      <c r="B2810" t="s">
        <v>14</v>
      </c>
      <c r="C2810" t="s">
        <v>15</v>
      </c>
      <c r="D2810" t="s">
        <v>17</v>
      </c>
      <c r="E2810" t="s">
        <v>12</v>
      </c>
      <c r="F2810">
        <v>118083953</v>
      </c>
      <c r="G2810">
        <v>118083965</v>
      </c>
      <c r="H2810">
        <v>118083919</v>
      </c>
      <c r="I2810">
        <v>118083933</v>
      </c>
    </row>
    <row r="2811" spans="1:9" x14ac:dyDescent="0.2">
      <c r="A2811" s="1" t="str">
        <f>"CCDC173"</f>
        <v>CCDC173</v>
      </c>
      <c r="B2811" t="s">
        <v>14</v>
      </c>
      <c r="C2811" t="s">
        <v>26</v>
      </c>
      <c r="D2811" t="s">
        <v>11</v>
      </c>
      <c r="E2811" t="s">
        <v>12</v>
      </c>
      <c r="F2811">
        <v>170550877</v>
      </c>
      <c r="G2811">
        <v>170550936</v>
      </c>
      <c r="H2811">
        <v>170550842</v>
      </c>
      <c r="I2811">
        <v>170550875</v>
      </c>
    </row>
    <row r="2812" spans="1:9" x14ac:dyDescent="0.2">
      <c r="A2812" s="1" t="str">
        <f>"CCDC174"</f>
        <v>CCDC174</v>
      </c>
      <c r="B2812" t="s">
        <v>14</v>
      </c>
      <c r="C2812" t="s">
        <v>22</v>
      </c>
      <c r="D2812" t="s">
        <v>17</v>
      </c>
      <c r="E2812" t="s">
        <v>12</v>
      </c>
      <c r="F2812">
        <v>14693247</v>
      </c>
      <c r="G2812">
        <v>14693293</v>
      </c>
      <c r="H2812">
        <v>14693171</v>
      </c>
      <c r="I2812">
        <v>14693197</v>
      </c>
    </row>
    <row r="2813" spans="1:9" x14ac:dyDescent="0.2">
      <c r="A2813" s="1" t="str">
        <f>"CCDC175"</f>
        <v>CCDC175</v>
      </c>
      <c r="B2813" t="s">
        <v>14</v>
      </c>
      <c r="C2813" t="s">
        <v>41</v>
      </c>
      <c r="D2813" t="s">
        <v>11</v>
      </c>
      <c r="E2813" t="s">
        <v>12</v>
      </c>
      <c r="F2813">
        <v>60043498</v>
      </c>
      <c r="G2813">
        <v>60043512</v>
      </c>
      <c r="H2813">
        <v>60043524</v>
      </c>
      <c r="I2813">
        <v>60043535</v>
      </c>
    </row>
    <row r="2814" spans="1:9" x14ac:dyDescent="0.2">
      <c r="A2814" s="1" t="str">
        <f>"CCDC176"</f>
        <v>CCDC176</v>
      </c>
      <c r="B2814" t="s">
        <v>14</v>
      </c>
      <c r="C2814" t="s">
        <v>41</v>
      </c>
      <c r="D2814" t="s">
        <v>17</v>
      </c>
      <c r="E2814" t="s">
        <v>12</v>
      </c>
      <c r="F2814">
        <v>74486075</v>
      </c>
      <c r="G2814">
        <v>74486144</v>
      </c>
      <c r="H2814">
        <v>74486043</v>
      </c>
      <c r="I2814">
        <v>74486072</v>
      </c>
    </row>
    <row r="2815" spans="1:9" x14ac:dyDescent="0.2">
      <c r="A2815" s="1" t="str">
        <f>"CCDC177"</f>
        <v>CCDC177</v>
      </c>
      <c r="B2815" t="s">
        <v>198</v>
      </c>
      <c r="C2815" t="s">
        <v>41</v>
      </c>
      <c r="D2815" t="s">
        <v>11</v>
      </c>
      <c r="E2815" t="s">
        <v>20</v>
      </c>
      <c r="F2815">
        <v>70040338</v>
      </c>
      <c r="G2815">
        <v>70040338</v>
      </c>
      <c r="H2815">
        <v>70040338</v>
      </c>
      <c r="I2815">
        <v>70040338</v>
      </c>
    </row>
    <row r="2816" spans="1:9" x14ac:dyDescent="0.2">
      <c r="A2816" s="1" t="str">
        <f>"CCDC178"</f>
        <v>CCDC178</v>
      </c>
      <c r="B2816" t="s">
        <v>199</v>
      </c>
      <c r="C2816" t="s">
        <v>43</v>
      </c>
      <c r="D2816" t="s">
        <v>11</v>
      </c>
      <c r="E2816" t="s">
        <v>35</v>
      </c>
      <c r="F2816">
        <v>31020819</v>
      </c>
      <c r="G2816">
        <v>31020835</v>
      </c>
      <c r="H2816">
        <v>31020544</v>
      </c>
      <c r="I2816">
        <v>31020577</v>
      </c>
    </row>
    <row r="2817" spans="1:9" x14ac:dyDescent="0.2">
      <c r="A2817" s="1" t="str">
        <f>"CCDC178"</f>
        <v>CCDC178</v>
      </c>
      <c r="B2817" t="s">
        <v>200</v>
      </c>
      <c r="C2817" t="s">
        <v>43</v>
      </c>
      <c r="D2817" t="s">
        <v>11</v>
      </c>
      <c r="E2817" t="s">
        <v>20</v>
      </c>
      <c r="F2817">
        <v>31020044</v>
      </c>
      <c r="G2817">
        <v>31020044</v>
      </c>
      <c r="H2817">
        <v>31020044</v>
      </c>
      <c r="I2817">
        <v>31020044</v>
      </c>
    </row>
    <row r="2818" spans="1:9" x14ac:dyDescent="0.2">
      <c r="A2818" s="1" t="str">
        <f>"CCDC179"</f>
        <v>CCDC179</v>
      </c>
      <c r="B2818" t="s">
        <v>14</v>
      </c>
      <c r="C2818" t="s">
        <v>27</v>
      </c>
      <c r="D2818" t="s">
        <v>11</v>
      </c>
      <c r="E2818" t="s">
        <v>67</v>
      </c>
      <c r="F2818">
        <v>22882013</v>
      </c>
      <c r="G2818">
        <v>22882024</v>
      </c>
      <c r="H2818">
        <v>22882013</v>
      </c>
      <c r="I2818">
        <v>22882024</v>
      </c>
    </row>
    <row r="2819" spans="1:9" x14ac:dyDescent="0.2">
      <c r="A2819" s="1" t="str">
        <f>"CCDC18"</f>
        <v>CCDC18</v>
      </c>
      <c r="B2819" t="s">
        <v>14</v>
      </c>
      <c r="C2819" t="s">
        <v>19</v>
      </c>
      <c r="D2819" t="s">
        <v>17</v>
      </c>
      <c r="E2819" t="s">
        <v>12</v>
      </c>
      <c r="F2819">
        <v>93646238</v>
      </c>
      <c r="G2819">
        <v>93646298</v>
      </c>
      <c r="H2819">
        <v>93645466</v>
      </c>
      <c r="I2819">
        <v>93645511</v>
      </c>
    </row>
    <row r="2820" spans="1:9" x14ac:dyDescent="0.2">
      <c r="A2820" s="1" t="str">
        <f>"CCDC180"</f>
        <v>CCDC180</v>
      </c>
      <c r="B2820" t="s">
        <v>14</v>
      </c>
      <c r="C2820" t="s">
        <v>24</v>
      </c>
      <c r="D2820" t="s">
        <v>17</v>
      </c>
      <c r="E2820" t="s">
        <v>12</v>
      </c>
      <c r="F2820">
        <v>100000717</v>
      </c>
      <c r="G2820">
        <v>100000779</v>
      </c>
      <c r="H2820">
        <v>100000783</v>
      </c>
      <c r="I2820">
        <v>100000794</v>
      </c>
    </row>
    <row r="2821" spans="1:9" x14ac:dyDescent="0.2">
      <c r="A2821" s="1" t="str">
        <f>"CCDC181"</f>
        <v>CCDC181</v>
      </c>
      <c r="B2821" t="s">
        <v>14</v>
      </c>
      <c r="C2821" t="s">
        <v>19</v>
      </c>
      <c r="D2821" t="s">
        <v>11</v>
      </c>
      <c r="E2821" t="s">
        <v>12</v>
      </c>
      <c r="F2821">
        <v>169396666</v>
      </c>
      <c r="G2821">
        <v>169396719</v>
      </c>
      <c r="H2821">
        <v>169396646</v>
      </c>
      <c r="I2821">
        <v>169396660</v>
      </c>
    </row>
    <row r="2822" spans="1:9" x14ac:dyDescent="0.2">
      <c r="A2822" s="1" t="str">
        <f>"CCDC19"</f>
        <v>CCDC19</v>
      </c>
      <c r="B2822" t="s">
        <v>14</v>
      </c>
      <c r="C2822" t="s">
        <v>19</v>
      </c>
      <c r="D2822" t="s">
        <v>11</v>
      </c>
      <c r="E2822" t="s">
        <v>12</v>
      </c>
      <c r="F2822">
        <v>159895286</v>
      </c>
      <c r="G2822">
        <v>159895305</v>
      </c>
      <c r="H2822">
        <v>159895326</v>
      </c>
      <c r="I2822">
        <v>159895335</v>
      </c>
    </row>
    <row r="2823" spans="1:9" x14ac:dyDescent="0.2">
      <c r="A2823" s="1" t="str">
        <f>"CCDC22"</f>
        <v>CCDC22</v>
      </c>
      <c r="B2823" t="s">
        <v>14</v>
      </c>
      <c r="C2823" t="s">
        <v>37</v>
      </c>
      <c r="D2823" t="s">
        <v>17</v>
      </c>
      <c r="E2823" t="s">
        <v>12</v>
      </c>
      <c r="F2823">
        <v>49091948</v>
      </c>
      <c r="G2823">
        <v>49092002</v>
      </c>
      <c r="H2823">
        <v>49091920</v>
      </c>
      <c r="I2823">
        <v>49091942</v>
      </c>
    </row>
    <row r="2824" spans="1:9" x14ac:dyDescent="0.2">
      <c r="A2824" s="1" t="str">
        <f>"CCDC23"</f>
        <v>CCDC23</v>
      </c>
      <c r="B2824" t="s">
        <v>14</v>
      </c>
      <c r="C2824" t="s">
        <v>19</v>
      </c>
      <c r="D2824" t="s">
        <v>11</v>
      </c>
      <c r="E2824" t="s">
        <v>12</v>
      </c>
      <c r="F2824">
        <v>43283028</v>
      </c>
      <c r="G2824">
        <v>43283086</v>
      </c>
      <c r="H2824">
        <v>43282945</v>
      </c>
      <c r="I2824">
        <v>43283016</v>
      </c>
    </row>
    <row r="2825" spans="1:9" x14ac:dyDescent="0.2">
      <c r="A2825" s="1" t="str">
        <f>"CCDC24"</f>
        <v>CCDC24</v>
      </c>
      <c r="B2825" t="s">
        <v>14</v>
      </c>
      <c r="C2825" t="s">
        <v>19</v>
      </c>
      <c r="D2825" t="s">
        <v>17</v>
      </c>
      <c r="E2825" t="s">
        <v>12</v>
      </c>
      <c r="F2825">
        <v>44457441</v>
      </c>
      <c r="G2825">
        <v>44457511</v>
      </c>
      <c r="H2825">
        <v>44457285</v>
      </c>
      <c r="I2825">
        <v>44457333</v>
      </c>
    </row>
    <row r="2826" spans="1:9" x14ac:dyDescent="0.2">
      <c r="A2826" s="1" t="str">
        <f>"CCDC25"</f>
        <v>CCDC25</v>
      </c>
      <c r="B2826" t="s">
        <v>14</v>
      </c>
      <c r="C2826" t="s">
        <v>30</v>
      </c>
      <c r="D2826" t="s">
        <v>11</v>
      </c>
      <c r="E2826" t="s">
        <v>12</v>
      </c>
      <c r="F2826">
        <v>27630102</v>
      </c>
      <c r="G2826">
        <v>27630172</v>
      </c>
      <c r="H2826">
        <v>27630102</v>
      </c>
      <c r="I2826">
        <v>27630172</v>
      </c>
    </row>
    <row r="2827" spans="1:9" x14ac:dyDescent="0.2">
      <c r="A2827" s="1" t="str">
        <f>"CCDC27"</f>
        <v>CCDC27</v>
      </c>
      <c r="B2827" t="s">
        <v>14</v>
      </c>
      <c r="C2827" t="s">
        <v>19</v>
      </c>
      <c r="D2827" t="s">
        <v>17</v>
      </c>
      <c r="E2827" t="s">
        <v>12</v>
      </c>
      <c r="F2827">
        <v>3669006</v>
      </c>
      <c r="G2827">
        <v>3669028</v>
      </c>
      <c r="H2827">
        <v>3669006</v>
      </c>
      <c r="I2827">
        <v>3669028</v>
      </c>
    </row>
    <row r="2828" spans="1:9" x14ac:dyDescent="0.2">
      <c r="A2828" s="1" t="str">
        <f>"CCDC28A"</f>
        <v>CCDC28A</v>
      </c>
      <c r="B2828" t="s">
        <v>14</v>
      </c>
      <c r="C2828" t="s">
        <v>32</v>
      </c>
      <c r="D2828" t="s">
        <v>17</v>
      </c>
      <c r="E2828" t="s">
        <v>12</v>
      </c>
      <c r="F2828">
        <v>139094884</v>
      </c>
      <c r="G2828">
        <v>139094927</v>
      </c>
      <c r="H2828">
        <v>139094884</v>
      </c>
      <c r="I2828">
        <v>139094927</v>
      </c>
    </row>
    <row r="2829" spans="1:9" x14ac:dyDescent="0.2">
      <c r="A2829" s="1" t="str">
        <f>"CCDC28B"</f>
        <v>CCDC28B</v>
      </c>
      <c r="B2829" t="s">
        <v>9</v>
      </c>
      <c r="C2829" t="s">
        <v>19</v>
      </c>
      <c r="D2829" t="s">
        <v>17</v>
      </c>
      <c r="E2829" t="s">
        <v>12</v>
      </c>
      <c r="F2829">
        <v>32666188</v>
      </c>
      <c r="G2829">
        <v>32666274</v>
      </c>
      <c r="H2829">
        <v>32666188</v>
      </c>
      <c r="I2829">
        <v>32666274</v>
      </c>
    </row>
    <row r="2830" spans="1:9" x14ac:dyDescent="0.2">
      <c r="A2830" s="1" t="str">
        <f>"CCDC28B"</f>
        <v>CCDC28B</v>
      </c>
      <c r="B2830" t="s">
        <v>13</v>
      </c>
      <c r="C2830" t="s">
        <v>19</v>
      </c>
      <c r="D2830" t="s">
        <v>17</v>
      </c>
      <c r="E2830" t="s">
        <v>12</v>
      </c>
      <c r="F2830">
        <v>32667296</v>
      </c>
      <c r="G2830">
        <v>32667346</v>
      </c>
      <c r="H2830">
        <v>32667296</v>
      </c>
      <c r="I2830">
        <v>32667346</v>
      </c>
    </row>
    <row r="2831" spans="1:9" x14ac:dyDescent="0.2">
      <c r="A2831" s="1" t="str">
        <f>"CCDC3"</f>
        <v>CCDC3</v>
      </c>
      <c r="B2831" t="s">
        <v>14</v>
      </c>
      <c r="C2831" t="s">
        <v>15</v>
      </c>
      <c r="D2831" t="s">
        <v>11</v>
      </c>
      <c r="E2831" t="s">
        <v>12</v>
      </c>
      <c r="F2831">
        <v>13043705</v>
      </c>
      <c r="G2831">
        <v>13043720</v>
      </c>
      <c r="H2831">
        <v>13043705</v>
      </c>
      <c r="I2831">
        <v>13043720</v>
      </c>
    </row>
    <row r="2832" spans="1:9" x14ac:dyDescent="0.2">
      <c r="A2832" s="1" t="str">
        <f>"CCDC30"</f>
        <v>CCDC30</v>
      </c>
      <c r="B2832" t="s">
        <v>14</v>
      </c>
      <c r="C2832" t="s">
        <v>19</v>
      </c>
      <c r="D2832" t="s">
        <v>17</v>
      </c>
      <c r="E2832" t="s">
        <v>12</v>
      </c>
      <c r="F2832">
        <v>42928945</v>
      </c>
      <c r="G2832">
        <v>42929017</v>
      </c>
      <c r="H2832">
        <v>42928916</v>
      </c>
      <c r="I2832">
        <v>42928941</v>
      </c>
    </row>
    <row r="2833" spans="1:9" x14ac:dyDescent="0.2">
      <c r="A2833" s="1" t="str">
        <f>"CCDC33"</f>
        <v>CCDC33</v>
      </c>
      <c r="B2833" t="s">
        <v>9</v>
      </c>
      <c r="C2833" t="s">
        <v>25</v>
      </c>
      <c r="D2833" t="s">
        <v>17</v>
      </c>
      <c r="E2833" t="s">
        <v>67</v>
      </c>
      <c r="F2833">
        <v>74509530</v>
      </c>
      <c r="G2833">
        <v>74509547</v>
      </c>
      <c r="H2833">
        <v>74509530</v>
      </c>
      <c r="I2833">
        <v>74509547</v>
      </c>
    </row>
    <row r="2834" spans="1:9" x14ac:dyDescent="0.2">
      <c r="A2834" s="1" t="str">
        <f>"CCDC33"</f>
        <v>CCDC33</v>
      </c>
      <c r="B2834" t="s">
        <v>13</v>
      </c>
      <c r="C2834" t="s">
        <v>25</v>
      </c>
      <c r="D2834" t="s">
        <v>17</v>
      </c>
      <c r="E2834" t="s">
        <v>67</v>
      </c>
      <c r="F2834">
        <v>74528663</v>
      </c>
      <c r="G2834">
        <v>74528672</v>
      </c>
      <c r="H2834">
        <v>74528663</v>
      </c>
      <c r="I2834">
        <v>74528672</v>
      </c>
    </row>
    <row r="2835" spans="1:9" x14ac:dyDescent="0.2">
      <c r="A2835" s="1" t="str">
        <f>"CCDC34"</f>
        <v>CCDC34</v>
      </c>
      <c r="B2835" t="s">
        <v>14</v>
      </c>
      <c r="C2835" t="s">
        <v>27</v>
      </c>
      <c r="D2835" t="s">
        <v>11</v>
      </c>
      <c r="E2835" t="s">
        <v>12</v>
      </c>
      <c r="F2835">
        <v>27384737</v>
      </c>
      <c r="G2835">
        <v>27384801</v>
      </c>
      <c r="H2835">
        <v>27384695</v>
      </c>
      <c r="I2835">
        <v>27384718</v>
      </c>
    </row>
    <row r="2836" spans="1:9" x14ac:dyDescent="0.2">
      <c r="A2836" s="1" t="str">
        <f>"CCDC36"</f>
        <v>CCDC36</v>
      </c>
      <c r="B2836" t="s">
        <v>14</v>
      </c>
      <c r="C2836" t="s">
        <v>22</v>
      </c>
      <c r="D2836" t="s">
        <v>17</v>
      </c>
      <c r="E2836" t="s">
        <v>12</v>
      </c>
      <c r="F2836">
        <v>49236910</v>
      </c>
      <c r="G2836">
        <v>49236944</v>
      </c>
      <c r="H2836">
        <v>49236949</v>
      </c>
      <c r="I2836">
        <v>49236974</v>
      </c>
    </row>
    <row r="2837" spans="1:9" x14ac:dyDescent="0.2">
      <c r="A2837" s="1" t="str">
        <f>"CCDC37"</f>
        <v>CCDC37</v>
      </c>
      <c r="B2837" t="s">
        <v>14</v>
      </c>
      <c r="C2837" t="s">
        <v>22</v>
      </c>
      <c r="D2837" t="s">
        <v>17</v>
      </c>
      <c r="E2837" t="s">
        <v>12</v>
      </c>
      <c r="F2837">
        <v>126113734</v>
      </c>
      <c r="G2837">
        <v>126113794</v>
      </c>
      <c r="H2837">
        <v>126113734</v>
      </c>
      <c r="I2837">
        <v>126113794</v>
      </c>
    </row>
    <row r="2838" spans="1:9" x14ac:dyDescent="0.2">
      <c r="A2838" s="1" t="str">
        <f>"CCDC38"</f>
        <v>CCDC38</v>
      </c>
      <c r="B2838" t="s">
        <v>14</v>
      </c>
      <c r="C2838" t="s">
        <v>16</v>
      </c>
      <c r="D2838" t="s">
        <v>11</v>
      </c>
      <c r="E2838" t="s">
        <v>12</v>
      </c>
      <c r="F2838">
        <v>96336369</v>
      </c>
      <c r="G2838">
        <v>96336397</v>
      </c>
      <c r="H2838">
        <v>96337214</v>
      </c>
      <c r="I2838">
        <v>96337228</v>
      </c>
    </row>
    <row r="2839" spans="1:9" x14ac:dyDescent="0.2">
      <c r="A2839" s="1" t="str">
        <f>"CCDC39"</f>
        <v>CCDC39</v>
      </c>
      <c r="B2839" t="s">
        <v>201</v>
      </c>
      <c r="C2839" t="s">
        <v>22</v>
      </c>
      <c r="D2839" t="s">
        <v>11</v>
      </c>
      <c r="E2839" t="s">
        <v>35</v>
      </c>
      <c r="F2839">
        <v>180397256</v>
      </c>
      <c r="G2839">
        <v>180397301</v>
      </c>
      <c r="H2839">
        <v>180397242</v>
      </c>
      <c r="I2839">
        <v>180397251</v>
      </c>
    </row>
    <row r="2840" spans="1:9" x14ac:dyDescent="0.2">
      <c r="A2840" s="1" t="str">
        <f>"CCDC40"</f>
        <v>CCDC40</v>
      </c>
      <c r="B2840" t="s">
        <v>14</v>
      </c>
      <c r="C2840" t="s">
        <v>28</v>
      </c>
      <c r="D2840" t="s">
        <v>17</v>
      </c>
      <c r="E2840" t="s">
        <v>12</v>
      </c>
      <c r="F2840">
        <v>78010428</v>
      </c>
      <c r="G2840">
        <v>78010465</v>
      </c>
      <c r="H2840">
        <v>78010428</v>
      </c>
      <c r="I2840">
        <v>78010465</v>
      </c>
    </row>
    <row r="2841" spans="1:9" x14ac:dyDescent="0.2">
      <c r="A2841" s="1" t="str">
        <f>"CCDC41"</f>
        <v>CCDC41</v>
      </c>
      <c r="B2841" t="s">
        <v>14</v>
      </c>
      <c r="C2841" t="s">
        <v>16</v>
      </c>
      <c r="D2841" t="s">
        <v>11</v>
      </c>
      <c r="E2841" t="s">
        <v>12</v>
      </c>
      <c r="F2841">
        <v>94853631</v>
      </c>
      <c r="G2841">
        <v>94853680</v>
      </c>
      <c r="H2841">
        <v>94853716</v>
      </c>
      <c r="I2841">
        <v>94853738</v>
      </c>
    </row>
    <row r="2842" spans="1:9" x14ac:dyDescent="0.2">
      <c r="A2842" s="1" t="str">
        <f>"CCDC42"</f>
        <v>CCDC42</v>
      </c>
      <c r="B2842" t="s">
        <v>14</v>
      </c>
      <c r="C2842" t="s">
        <v>28</v>
      </c>
      <c r="D2842" t="s">
        <v>11</v>
      </c>
      <c r="E2842" t="s">
        <v>12</v>
      </c>
      <c r="F2842">
        <v>8648114</v>
      </c>
      <c r="G2842">
        <v>8648159</v>
      </c>
      <c r="H2842">
        <v>8648114</v>
      </c>
      <c r="I2842">
        <v>8648159</v>
      </c>
    </row>
    <row r="2843" spans="1:9" x14ac:dyDescent="0.2">
      <c r="A2843" s="1" t="str">
        <f>"CCDC42B"</f>
        <v>CCDC42B</v>
      </c>
      <c r="B2843" t="s">
        <v>14</v>
      </c>
      <c r="C2843" t="s">
        <v>16</v>
      </c>
      <c r="D2843" t="s">
        <v>17</v>
      </c>
      <c r="E2843" t="s">
        <v>12</v>
      </c>
      <c r="F2843">
        <v>113587513</v>
      </c>
      <c r="G2843">
        <v>113587556</v>
      </c>
      <c r="H2843">
        <v>113587558</v>
      </c>
      <c r="I2843">
        <v>113587572</v>
      </c>
    </row>
    <row r="2844" spans="1:9" x14ac:dyDescent="0.2">
      <c r="A2844" s="1" t="str">
        <f>"CCDC43"</f>
        <v>CCDC43</v>
      </c>
      <c r="B2844" t="s">
        <v>14</v>
      </c>
      <c r="C2844" t="s">
        <v>28</v>
      </c>
      <c r="D2844" t="s">
        <v>11</v>
      </c>
      <c r="E2844" t="s">
        <v>12</v>
      </c>
      <c r="F2844">
        <v>42767115</v>
      </c>
      <c r="G2844">
        <v>42767166</v>
      </c>
      <c r="H2844">
        <v>42767115</v>
      </c>
      <c r="I2844">
        <v>42767166</v>
      </c>
    </row>
    <row r="2845" spans="1:9" x14ac:dyDescent="0.2">
      <c r="A2845" s="1" t="str">
        <f>"CCDC47"</f>
        <v>CCDC47</v>
      </c>
      <c r="B2845" t="s">
        <v>14</v>
      </c>
      <c r="C2845" t="s">
        <v>28</v>
      </c>
      <c r="D2845" t="s">
        <v>11</v>
      </c>
      <c r="E2845" t="s">
        <v>12</v>
      </c>
      <c r="F2845">
        <v>61850894</v>
      </c>
      <c r="G2845">
        <v>61850986</v>
      </c>
      <c r="H2845">
        <v>61850867</v>
      </c>
      <c r="I2845">
        <v>61850882</v>
      </c>
    </row>
    <row r="2846" spans="1:9" x14ac:dyDescent="0.2">
      <c r="A2846" s="1" t="str">
        <f>"CCDC50"</f>
        <v>CCDC50</v>
      </c>
      <c r="B2846" t="s">
        <v>14</v>
      </c>
      <c r="C2846" t="s">
        <v>22</v>
      </c>
      <c r="D2846" t="s">
        <v>17</v>
      </c>
      <c r="E2846" t="s">
        <v>12</v>
      </c>
      <c r="F2846">
        <v>191047131</v>
      </c>
      <c r="G2846">
        <v>191047219</v>
      </c>
      <c r="H2846">
        <v>191047131</v>
      </c>
      <c r="I2846">
        <v>191047219</v>
      </c>
    </row>
    <row r="2847" spans="1:9" x14ac:dyDescent="0.2">
      <c r="A2847" s="1" t="str">
        <f>"CCDC51"</f>
        <v>CCDC51</v>
      </c>
      <c r="B2847" t="s">
        <v>14</v>
      </c>
      <c r="C2847" t="s">
        <v>22</v>
      </c>
      <c r="D2847" t="s">
        <v>11</v>
      </c>
      <c r="E2847" t="s">
        <v>12</v>
      </c>
      <c r="F2847">
        <v>48481434</v>
      </c>
      <c r="G2847">
        <v>48481516</v>
      </c>
      <c r="H2847">
        <v>48481518</v>
      </c>
      <c r="I2847">
        <v>48481562</v>
      </c>
    </row>
    <row r="2848" spans="1:9" x14ac:dyDescent="0.2">
      <c r="A2848" s="1" t="str">
        <f>"CCDC53"</f>
        <v>CCDC53</v>
      </c>
      <c r="B2848" t="s">
        <v>14</v>
      </c>
      <c r="C2848" t="s">
        <v>16</v>
      </c>
      <c r="D2848" t="s">
        <v>11</v>
      </c>
      <c r="E2848" t="s">
        <v>12</v>
      </c>
      <c r="F2848">
        <v>102455743</v>
      </c>
      <c r="G2848">
        <v>102455826</v>
      </c>
      <c r="H2848">
        <v>102455846</v>
      </c>
      <c r="I2848">
        <v>102455872</v>
      </c>
    </row>
    <row r="2849" spans="1:9" x14ac:dyDescent="0.2">
      <c r="A2849" s="1" t="str">
        <f>"CCDC54"</f>
        <v>CCDC54</v>
      </c>
      <c r="B2849" t="s">
        <v>14</v>
      </c>
      <c r="C2849" t="s">
        <v>22</v>
      </c>
      <c r="D2849" t="s">
        <v>17</v>
      </c>
      <c r="E2849" t="s">
        <v>12</v>
      </c>
      <c r="F2849">
        <v>107096214</v>
      </c>
      <c r="G2849">
        <v>107096236</v>
      </c>
      <c r="H2849">
        <v>107096214</v>
      </c>
      <c r="I2849">
        <v>107096236</v>
      </c>
    </row>
    <row r="2850" spans="1:9" x14ac:dyDescent="0.2">
      <c r="A2850" s="1" t="str">
        <f>"CCDC57"</f>
        <v>CCDC57</v>
      </c>
      <c r="B2850" t="s">
        <v>14</v>
      </c>
      <c r="C2850" t="s">
        <v>28</v>
      </c>
      <c r="D2850" t="s">
        <v>11</v>
      </c>
      <c r="E2850" t="s">
        <v>12</v>
      </c>
      <c r="F2850">
        <v>80170691</v>
      </c>
      <c r="G2850">
        <v>80170764</v>
      </c>
      <c r="H2850">
        <v>80170691</v>
      </c>
      <c r="I2850">
        <v>80170764</v>
      </c>
    </row>
    <row r="2851" spans="1:9" x14ac:dyDescent="0.2">
      <c r="A2851" s="1" t="str">
        <f>"CCDC58"</f>
        <v>CCDC58</v>
      </c>
      <c r="B2851" t="s">
        <v>14</v>
      </c>
      <c r="C2851" t="s">
        <v>22</v>
      </c>
      <c r="D2851" t="s">
        <v>11</v>
      </c>
      <c r="E2851" t="s">
        <v>12</v>
      </c>
      <c r="F2851">
        <v>122102065</v>
      </c>
      <c r="G2851">
        <v>122102101</v>
      </c>
      <c r="H2851">
        <v>122102055</v>
      </c>
      <c r="I2851">
        <v>122102062</v>
      </c>
    </row>
    <row r="2852" spans="1:9" x14ac:dyDescent="0.2">
      <c r="A2852" s="1" t="str">
        <f>"CCDC59"</f>
        <v>CCDC59</v>
      </c>
      <c r="B2852" t="s">
        <v>14</v>
      </c>
      <c r="C2852" t="s">
        <v>16</v>
      </c>
      <c r="D2852" t="s">
        <v>11</v>
      </c>
      <c r="E2852" t="s">
        <v>12</v>
      </c>
      <c r="F2852">
        <v>82752159</v>
      </c>
      <c r="G2852">
        <v>82752193</v>
      </c>
      <c r="H2852">
        <v>82752523</v>
      </c>
      <c r="I2852">
        <v>82752564</v>
      </c>
    </row>
    <row r="2853" spans="1:9" x14ac:dyDescent="0.2">
      <c r="A2853" s="1" t="str">
        <f>"CCDC6"</f>
        <v>CCDC6</v>
      </c>
      <c r="B2853" t="s">
        <v>14</v>
      </c>
      <c r="C2853" t="s">
        <v>15</v>
      </c>
      <c r="D2853" t="s">
        <v>11</v>
      </c>
      <c r="E2853" t="s">
        <v>12</v>
      </c>
      <c r="F2853">
        <v>61666267</v>
      </c>
      <c r="G2853">
        <v>61666345</v>
      </c>
      <c r="H2853">
        <v>61666180</v>
      </c>
      <c r="I2853">
        <v>61666222</v>
      </c>
    </row>
    <row r="2854" spans="1:9" x14ac:dyDescent="0.2">
      <c r="A2854" s="1" t="str">
        <f>"CCDC60"</f>
        <v>CCDC60</v>
      </c>
      <c r="B2854" t="s">
        <v>14</v>
      </c>
      <c r="C2854" t="s">
        <v>16</v>
      </c>
      <c r="D2854" t="s">
        <v>17</v>
      </c>
      <c r="E2854" t="s">
        <v>12</v>
      </c>
      <c r="F2854">
        <v>119772527</v>
      </c>
      <c r="G2854">
        <v>119772541</v>
      </c>
      <c r="H2854">
        <v>119772502</v>
      </c>
      <c r="I2854">
        <v>119772522</v>
      </c>
    </row>
    <row r="2855" spans="1:9" x14ac:dyDescent="0.2">
      <c r="A2855" s="1" t="str">
        <f>"CCDC61"</f>
        <v>CCDC61</v>
      </c>
      <c r="B2855" t="s">
        <v>14</v>
      </c>
      <c r="C2855" t="s">
        <v>10</v>
      </c>
      <c r="D2855" t="s">
        <v>17</v>
      </c>
      <c r="E2855" t="s">
        <v>12</v>
      </c>
      <c r="F2855">
        <v>46498704</v>
      </c>
      <c r="G2855">
        <v>46498735</v>
      </c>
      <c r="H2855">
        <v>46498751</v>
      </c>
      <c r="I2855">
        <v>46498761</v>
      </c>
    </row>
    <row r="2856" spans="1:9" x14ac:dyDescent="0.2">
      <c r="A2856" s="1" t="str">
        <f>"CCDC62"</f>
        <v>CCDC62</v>
      </c>
      <c r="B2856" t="s">
        <v>14</v>
      </c>
      <c r="C2856" t="s">
        <v>16</v>
      </c>
      <c r="D2856" t="s">
        <v>17</v>
      </c>
      <c r="E2856" t="s">
        <v>12</v>
      </c>
      <c r="F2856">
        <v>123258832</v>
      </c>
      <c r="G2856">
        <v>123258853</v>
      </c>
      <c r="H2856">
        <v>123259142</v>
      </c>
      <c r="I2856">
        <v>123259159</v>
      </c>
    </row>
    <row r="2857" spans="1:9" x14ac:dyDescent="0.2">
      <c r="A2857" s="1" t="str">
        <f>"CCDC63"</f>
        <v>CCDC63</v>
      </c>
      <c r="B2857" t="s">
        <v>14</v>
      </c>
      <c r="C2857" t="s">
        <v>16</v>
      </c>
      <c r="D2857" t="s">
        <v>17</v>
      </c>
      <c r="E2857" t="s">
        <v>12</v>
      </c>
      <c r="F2857">
        <v>111284805</v>
      </c>
      <c r="G2857">
        <v>111284822</v>
      </c>
      <c r="H2857">
        <v>111284787</v>
      </c>
      <c r="I2857">
        <v>111284794</v>
      </c>
    </row>
    <row r="2858" spans="1:9" x14ac:dyDescent="0.2">
      <c r="A2858" s="1" t="str">
        <f>"CCDC64"</f>
        <v>CCDC64</v>
      </c>
      <c r="B2858" t="s">
        <v>202</v>
      </c>
      <c r="C2858" t="s">
        <v>16</v>
      </c>
      <c r="D2858" t="s">
        <v>17</v>
      </c>
      <c r="E2858" t="s">
        <v>35</v>
      </c>
      <c r="F2858">
        <v>120427515</v>
      </c>
      <c r="G2858">
        <v>120427519</v>
      </c>
      <c r="H2858">
        <v>120427770</v>
      </c>
      <c r="I2858">
        <v>120427799</v>
      </c>
    </row>
    <row r="2859" spans="1:9" x14ac:dyDescent="0.2">
      <c r="A2859" s="1" t="str">
        <f>"CCDC64B"</f>
        <v>CCDC64B</v>
      </c>
      <c r="B2859" t="s">
        <v>14</v>
      </c>
      <c r="C2859" t="s">
        <v>31</v>
      </c>
      <c r="D2859" t="s">
        <v>11</v>
      </c>
      <c r="E2859" t="s">
        <v>12</v>
      </c>
      <c r="F2859">
        <v>3078800</v>
      </c>
      <c r="G2859">
        <v>3078819</v>
      </c>
      <c r="H2859">
        <v>3078800</v>
      </c>
      <c r="I2859">
        <v>3078819</v>
      </c>
    </row>
    <row r="2860" spans="1:9" x14ac:dyDescent="0.2">
      <c r="A2860" s="1" t="str">
        <f>"CCDC65"</f>
        <v>CCDC65</v>
      </c>
      <c r="B2860" t="s">
        <v>9</v>
      </c>
      <c r="C2860" t="s">
        <v>16</v>
      </c>
      <c r="D2860" t="s">
        <v>17</v>
      </c>
      <c r="E2860" t="s">
        <v>12</v>
      </c>
      <c r="F2860">
        <v>49297899</v>
      </c>
      <c r="G2860">
        <v>49297955</v>
      </c>
      <c r="H2860">
        <v>49297899</v>
      </c>
      <c r="I2860">
        <v>49297955</v>
      </c>
    </row>
    <row r="2861" spans="1:9" x14ac:dyDescent="0.2">
      <c r="A2861" s="1" t="str">
        <f>"CCDC65"</f>
        <v>CCDC65</v>
      </c>
      <c r="B2861" t="s">
        <v>13</v>
      </c>
      <c r="C2861" t="s">
        <v>16</v>
      </c>
      <c r="D2861" t="s">
        <v>17</v>
      </c>
      <c r="E2861" t="s">
        <v>12</v>
      </c>
      <c r="F2861">
        <v>49311920</v>
      </c>
      <c r="G2861">
        <v>49311942</v>
      </c>
      <c r="H2861">
        <v>49311920</v>
      </c>
      <c r="I2861">
        <v>49311942</v>
      </c>
    </row>
    <row r="2862" spans="1:9" x14ac:dyDescent="0.2">
      <c r="A2862" s="1" t="str">
        <f>"CCDC66"</f>
        <v>CCDC66</v>
      </c>
      <c r="B2862" t="s">
        <v>14</v>
      </c>
      <c r="C2862" t="s">
        <v>22</v>
      </c>
      <c r="D2862" t="s">
        <v>17</v>
      </c>
      <c r="E2862" t="s">
        <v>12</v>
      </c>
      <c r="F2862">
        <v>56591184</v>
      </c>
      <c r="G2862">
        <v>56591255</v>
      </c>
      <c r="H2862">
        <v>56591184</v>
      </c>
      <c r="I2862">
        <v>56591255</v>
      </c>
    </row>
    <row r="2863" spans="1:9" x14ac:dyDescent="0.2">
      <c r="A2863" s="1" t="str">
        <f>"CCDC67"</f>
        <v>CCDC67</v>
      </c>
      <c r="B2863" t="s">
        <v>14</v>
      </c>
      <c r="C2863" t="s">
        <v>27</v>
      </c>
      <c r="D2863" t="s">
        <v>17</v>
      </c>
      <c r="E2863" t="s">
        <v>12</v>
      </c>
      <c r="F2863">
        <v>93063878</v>
      </c>
      <c r="G2863">
        <v>93063910</v>
      </c>
      <c r="H2863">
        <v>93063768</v>
      </c>
      <c r="I2863">
        <v>93063802</v>
      </c>
    </row>
    <row r="2864" spans="1:9" x14ac:dyDescent="0.2">
      <c r="A2864" s="1" t="str">
        <f>"CCDC68"</f>
        <v>CCDC68</v>
      </c>
      <c r="B2864" t="s">
        <v>14</v>
      </c>
      <c r="C2864" t="s">
        <v>43</v>
      </c>
      <c r="D2864" t="s">
        <v>11</v>
      </c>
      <c r="E2864" t="s">
        <v>12</v>
      </c>
      <c r="F2864">
        <v>52626622</v>
      </c>
      <c r="G2864">
        <v>52626709</v>
      </c>
      <c r="H2864">
        <v>52626622</v>
      </c>
      <c r="I2864">
        <v>52626709</v>
      </c>
    </row>
    <row r="2865" spans="1:9" x14ac:dyDescent="0.2">
      <c r="A2865" s="1" t="str">
        <f>"CCDC69"</f>
        <v>CCDC69</v>
      </c>
      <c r="B2865" t="s">
        <v>14</v>
      </c>
      <c r="C2865" t="s">
        <v>46</v>
      </c>
      <c r="D2865" t="s">
        <v>11</v>
      </c>
      <c r="E2865" t="s">
        <v>12</v>
      </c>
      <c r="F2865">
        <v>150603630</v>
      </c>
      <c r="G2865">
        <v>150603660</v>
      </c>
      <c r="H2865">
        <v>150603679</v>
      </c>
      <c r="I2865">
        <v>150603688</v>
      </c>
    </row>
    <row r="2866" spans="1:9" x14ac:dyDescent="0.2">
      <c r="A2866" s="1" t="str">
        <f>"CCDC7"</f>
        <v>CCDC7</v>
      </c>
      <c r="B2866" t="s">
        <v>14</v>
      </c>
      <c r="C2866" t="s">
        <v>15</v>
      </c>
      <c r="D2866" t="s">
        <v>17</v>
      </c>
      <c r="E2866" t="s">
        <v>12</v>
      </c>
      <c r="F2866">
        <v>32735030</v>
      </c>
      <c r="G2866">
        <v>32735110</v>
      </c>
      <c r="H2866">
        <v>32735123</v>
      </c>
      <c r="I2866">
        <v>32735172</v>
      </c>
    </row>
    <row r="2867" spans="1:9" x14ac:dyDescent="0.2">
      <c r="A2867" s="1" t="str">
        <f>"CCDC70"</f>
        <v>CCDC70</v>
      </c>
      <c r="B2867" t="s">
        <v>14</v>
      </c>
      <c r="C2867" t="s">
        <v>39</v>
      </c>
      <c r="D2867" t="s">
        <v>17</v>
      </c>
      <c r="E2867" t="s">
        <v>12</v>
      </c>
      <c r="F2867">
        <v>52436322</v>
      </c>
      <c r="G2867">
        <v>52436337</v>
      </c>
      <c r="H2867">
        <v>52436132</v>
      </c>
      <c r="I2867">
        <v>52436148</v>
      </c>
    </row>
    <row r="2868" spans="1:9" x14ac:dyDescent="0.2">
      <c r="A2868" s="1" t="str">
        <f>"CCDC71"</f>
        <v>CCDC71</v>
      </c>
      <c r="B2868" t="s">
        <v>14</v>
      </c>
      <c r="C2868" t="s">
        <v>22</v>
      </c>
      <c r="D2868" t="s">
        <v>11</v>
      </c>
      <c r="E2868" t="s">
        <v>12</v>
      </c>
      <c r="F2868">
        <v>49203744</v>
      </c>
      <c r="G2868">
        <v>49203790</v>
      </c>
      <c r="H2868">
        <v>49203730</v>
      </c>
      <c r="I2868">
        <v>49203733</v>
      </c>
    </row>
    <row r="2869" spans="1:9" x14ac:dyDescent="0.2">
      <c r="A2869" s="1" t="str">
        <f>"CCDC71L"</f>
        <v>CCDC71L</v>
      </c>
      <c r="B2869" t="s">
        <v>14</v>
      </c>
      <c r="C2869" t="s">
        <v>33</v>
      </c>
      <c r="D2869" t="s">
        <v>11</v>
      </c>
      <c r="E2869" t="s">
        <v>12</v>
      </c>
      <c r="F2869">
        <v>106301405</v>
      </c>
      <c r="G2869">
        <v>106301484</v>
      </c>
      <c r="H2869">
        <v>106301594</v>
      </c>
      <c r="I2869">
        <v>106301612</v>
      </c>
    </row>
    <row r="2870" spans="1:9" x14ac:dyDescent="0.2">
      <c r="A2870" s="1" t="str">
        <f>"CCDC73"</f>
        <v>CCDC73</v>
      </c>
      <c r="B2870" t="s">
        <v>14</v>
      </c>
      <c r="C2870" t="s">
        <v>27</v>
      </c>
      <c r="D2870" t="s">
        <v>11</v>
      </c>
      <c r="E2870" t="s">
        <v>12</v>
      </c>
      <c r="F2870">
        <v>32816166</v>
      </c>
      <c r="G2870">
        <v>32816175</v>
      </c>
      <c r="H2870">
        <v>32816166</v>
      </c>
      <c r="I2870">
        <v>32816175</v>
      </c>
    </row>
    <row r="2871" spans="1:9" x14ac:dyDescent="0.2">
      <c r="A2871" s="1" t="str">
        <f>"CCDC74A"</f>
        <v>CCDC74A</v>
      </c>
      <c r="B2871" t="s">
        <v>14</v>
      </c>
      <c r="C2871" t="s">
        <v>26</v>
      </c>
      <c r="D2871" t="s">
        <v>17</v>
      </c>
      <c r="E2871" t="s">
        <v>12</v>
      </c>
      <c r="F2871">
        <v>132285418</v>
      </c>
      <c r="G2871">
        <v>132285445</v>
      </c>
      <c r="H2871">
        <v>132285456</v>
      </c>
      <c r="I2871">
        <v>132285472</v>
      </c>
    </row>
    <row r="2872" spans="1:9" x14ac:dyDescent="0.2">
      <c r="A2872" s="1" t="str">
        <f>"CCDC74B"</f>
        <v>CCDC74B</v>
      </c>
      <c r="B2872" t="s">
        <v>14</v>
      </c>
      <c r="C2872" t="s">
        <v>26</v>
      </c>
      <c r="D2872" t="s">
        <v>11</v>
      </c>
      <c r="E2872" t="s">
        <v>12</v>
      </c>
      <c r="F2872">
        <v>130902669</v>
      </c>
      <c r="G2872">
        <v>130902706</v>
      </c>
      <c r="H2872">
        <v>130902669</v>
      </c>
      <c r="I2872">
        <v>130902706</v>
      </c>
    </row>
    <row r="2873" spans="1:9" x14ac:dyDescent="0.2">
      <c r="A2873" s="1" t="str">
        <f>"CCDC77"</f>
        <v>CCDC77</v>
      </c>
      <c r="B2873" t="s">
        <v>9</v>
      </c>
      <c r="C2873" t="s">
        <v>16</v>
      </c>
      <c r="D2873" t="s">
        <v>17</v>
      </c>
      <c r="E2873" t="s">
        <v>12</v>
      </c>
      <c r="F2873">
        <v>510795</v>
      </c>
      <c r="G2873">
        <v>510835</v>
      </c>
      <c r="H2873">
        <v>510795</v>
      </c>
      <c r="I2873">
        <v>510835</v>
      </c>
    </row>
    <row r="2874" spans="1:9" x14ac:dyDescent="0.2">
      <c r="A2874" s="1" t="str">
        <f>"CCDC77"</f>
        <v>CCDC77</v>
      </c>
      <c r="B2874" t="s">
        <v>13</v>
      </c>
      <c r="C2874" t="s">
        <v>16</v>
      </c>
      <c r="D2874" t="s">
        <v>17</v>
      </c>
      <c r="E2874" t="s">
        <v>12</v>
      </c>
      <c r="F2874">
        <v>498500</v>
      </c>
      <c r="G2874">
        <v>498529</v>
      </c>
      <c r="H2874">
        <v>498500</v>
      </c>
      <c r="I2874">
        <v>498529</v>
      </c>
    </row>
    <row r="2875" spans="1:9" x14ac:dyDescent="0.2">
      <c r="A2875" s="1" t="str">
        <f>"CCDC78"</f>
        <v>CCDC78</v>
      </c>
      <c r="B2875" t="s">
        <v>14</v>
      </c>
      <c r="C2875" t="s">
        <v>31</v>
      </c>
      <c r="D2875" t="s">
        <v>11</v>
      </c>
      <c r="E2875" t="s">
        <v>12</v>
      </c>
      <c r="F2875">
        <v>776431</v>
      </c>
      <c r="G2875">
        <v>776465</v>
      </c>
      <c r="H2875">
        <v>776870</v>
      </c>
      <c r="I2875">
        <v>776892</v>
      </c>
    </row>
    <row r="2876" spans="1:9" x14ac:dyDescent="0.2">
      <c r="A2876" s="1" t="str">
        <f>"CCDC79"</f>
        <v>CCDC79</v>
      </c>
      <c r="B2876" t="s">
        <v>14</v>
      </c>
      <c r="C2876" t="s">
        <v>31</v>
      </c>
      <c r="D2876" t="s">
        <v>11</v>
      </c>
      <c r="E2876" t="s">
        <v>12</v>
      </c>
      <c r="F2876">
        <v>66834954</v>
      </c>
      <c r="G2876">
        <v>66835010</v>
      </c>
      <c r="H2876">
        <v>66834954</v>
      </c>
      <c r="I2876">
        <v>66835010</v>
      </c>
    </row>
    <row r="2877" spans="1:9" x14ac:dyDescent="0.2">
      <c r="A2877" s="1" t="str">
        <f>"CCDC8"</f>
        <v>CCDC8</v>
      </c>
      <c r="B2877" t="s">
        <v>14</v>
      </c>
      <c r="C2877" t="s">
        <v>10</v>
      </c>
      <c r="D2877" t="s">
        <v>11</v>
      </c>
      <c r="E2877" t="s">
        <v>12</v>
      </c>
      <c r="F2877">
        <v>46916805</v>
      </c>
      <c r="G2877">
        <v>46916852</v>
      </c>
      <c r="H2877">
        <v>46916863</v>
      </c>
      <c r="I2877">
        <v>46916874</v>
      </c>
    </row>
    <row r="2878" spans="1:9" x14ac:dyDescent="0.2">
      <c r="A2878" s="1" t="str">
        <f>"CCDC80"</f>
        <v>CCDC80</v>
      </c>
      <c r="B2878" t="s">
        <v>14</v>
      </c>
      <c r="C2878" t="s">
        <v>22</v>
      </c>
      <c r="D2878" t="s">
        <v>11</v>
      </c>
      <c r="E2878" t="s">
        <v>12</v>
      </c>
      <c r="F2878">
        <v>112359975</v>
      </c>
      <c r="G2878">
        <v>112359997</v>
      </c>
      <c r="H2878">
        <v>112359880</v>
      </c>
      <c r="I2878">
        <v>112359894</v>
      </c>
    </row>
    <row r="2879" spans="1:9" x14ac:dyDescent="0.2">
      <c r="A2879" s="1" t="str">
        <f>"CCDC81"</f>
        <v>CCDC81</v>
      </c>
      <c r="B2879" t="s">
        <v>14</v>
      </c>
      <c r="C2879" t="s">
        <v>27</v>
      </c>
      <c r="D2879" t="s">
        <v>17</v>
      </c>
      <c r="E2879" t="s">
        <v>12</v>
      </c>
      <c r="F2879">
        <v>86106208</v>
      </c>
      <c r="G2879">
        <v>86106229</v>
      </c>
      <c r="H2879">
        <v>86106304</v>
      </c>
      <c r="I2879">
        <v>86106326</v>
      </c>
    </row>
    <row r="2880" spans="1:9" x14ac:dyDescent="0.2">
      <c r="A2880" s="1" t="str">
        <f>"CCDC82"</f>
        <v>CCDC82</v>
      </c>
      <c r="B2880" t="s">
        <v>14</v>
      </c>
      <c r="C2880" t="s">
        <v>27</v>
      </c>
      <c r="D2880" t="s">
        <v>11</v>
      </c>
      <c r="E2880" t="s">
        <v>12</v>
      </c>
      <c r="F2880">
        <v>96123022</v>
      </c>
      <c r="G2880">
        <v>96123090</v>
      </c>
      <c r="H2880">
        <v>96123102</v>
      </c>
      <c r="I2880">
        <v>96123115</v>
      </c>
    </row>
    <row r="2881" spans="1:9" x14ac:dyDescent="0.2">
      <c r="A2881" s="1" t="str">
        <f>"CCDC83"</f>
        <v>CCDC83</v>
      </c>
      <c r="B2881" t="s">
        <v>14</v>
      </c>
      <c r="C2881" t="s">
        <v>27</v>
      </c>
      <c r="D2881" t="s">
        <v>17</v>
      </c>
      <c r="E2881" t="s">
        <v>12</v>
      </c>
      <c r="F2881">
        <v>85566422</v>
      </c>
      <c r="G2881">
        <v>85566455</v>
      </c>
      <c r="H2881">
        <v>85566138</v>
      </c>
      <c r="I2881">
        <v>85566155</v>
      </c>
    </row>
    <row r="2882" spans="1:9" x14ac:dyDescent="0.2">
      <c r="A2882" s="1" t="str">
        <f>"CCDC84"</f>
        <v>CCDC84</v>
      </c>
      <c r="B2882" t="s">
        <v>14</v>
      </c>
      <c r="C2882" t="s">
        <v>27</v>
      </c>
      <c r="D2882" t="s">
        <v>17</v>
      </c>
      <c r="E2882" t="s">
        <v>12</v>
      </c>
      <c r="F2882">
        <v>118868830</v>
      </c>
      <c r="G2882">
        <v>118868904</v>
      </c>
      <c r="H2882">
        <v>118868756</v>
      </c>
      <c r="I2882">
        <v>118868770</v>
      </c>
    </row>
    <row r="2883" spans="1:9" x14ac:dyDescent="0.2">
      <c r="A2883" s="1" t="str">
        <f>"CCDC85A"</f>
        <v>CCDC85A</v>
      </c>
      <c r="B2883" t="s">
        <v>14</v>
      </c>
      <c r="C2883" t="s">
        <v>26</v>
      </c>
      <c r="D2883" t="s">
        <v>17</v>
      </c>
      <c r="E2883" t="s">
        <v>12</v>
      </c>
      <c r="F2883">
        <v>56411131</v>
      </c>
      <c r="G2883">
        <v>56411187</v>
      </c>
      <c r="H2883">
        <v>56410948</v>
      </c>
      <c r="I2883">
        <v>56411039</v>
      </c>
    </row>
    <row r="2884" spans="1:9" x14ac:dyDescent="0.2">
      <c r="A2884" s="1" t="str">
        <f>"CCDC85B"</f>
        <v>CCDC85B</v>
      </c>
      <c r="B2884" t="s">
        <v>14</v>
      </c>
      <c r="C2884" t="s">
        <v>27</v>
      </c>
      <c r="D2884" t="s">
        <v>17</v>
      </c>
      <c r="E2884" t="s">
        <v>12</v>
      </c>
      <c r="F2884">
        <v>65658098</v>
      </c>
      <c r="G2884">
        <v>65658151</v>
      </c>
      <c r="H2884">
        <v>65658086</v>
      </c>
      <c r="I2884">
        <v>65658097</v>
      </c>
    </row>
    <row r="2885" spans="1:9" x14ac:dyDescent="0.2">
      <c r="A2885" s="1" t="str">
        <f>"CCDC85C"</f>
        <v>CCDC85C</v>
      </c>
      <c r="B2885" t="s">
        <v>14</v>
      </c>
      <c r="C2885" t="s">
        <v>41</v>
      </c>
      <c r="D2885" t="s">
        <v>11</v>
      </c>
      <c r="E2885" t="s">
        <v>12</v>
      </c>
      <c r="F2885">
        <v>100070508</v>
      </c>
      <c r="G2885">
        <v>100070561</v>
      </c>
      <c r="H2885">
        <v>100070458</v>
      </c>
      <c r="I2885">
        <v>100070467</v>
      </c>
    </row>
    <row r="2886" spans="1:9" x14ac:dyDescent="0.2">
      <c r="A2886" s="1" t="str">
        <f>"CCDC86"</f>
        <v>CCDC86</v>
      </c>
      <c r="B2886" t="s">
        <v>14</v>
      </c>
      <c r="C2886" t="s">
        <v>27</v>
      </c>
      <c r="D2886" t="s">
        <v>17</v>
      </c>
      <c r="E2886" t="s">
        <v>12</v>
      </c>
      <c r="F2886">
        <v>60609568</v>
      </c>
      <c r="G2886">
        <v>60609594</v>
      </c>
      <c r="H2886">
        <v>60609537</v>
      </c>
      <c r="I2886">
        <v>60609567</v>
      </c>
    </row>
    <row r="2887" spans="1:9" x14ac:dyDescent="0.2">
      <c r="A2887" s="1" t="str">
        <f>"CCDC87"</f>
        <v>CCDC87</v>
      </c>
      <c r="B2887" t="s">
        <v>14</v>
      </c>
      <c r="C2887" t="s">
        <v>27</v>
      </c>
      <c r="D2887" t="s">
        <v>11</v>
      </c>
      <c r="E2887" t="s">
        <v>12</v>
      </c>
      <c r="F2887">
        <v>66360503</v>
      </c>
      <c r="G2887">
        <v>66360546</v>
      </c>
      <c r="H2887">
        <v>66360548</v>
      </c>
      <c r="I2887">
        <v>66360564</v>
      </c>
    </row>
    <row r="2888" spans="1:9" x14ac:dyDescent="0.2">
      <c r="A2888" s="1" t="str">
        <f>"CCDC88A"</f>
        <v>CCDC88A</v>
      </c>
      <c r="B2888" t="s">
        <v>14</v>
      </c>
      <c r="C2888" t="s">
        <v>26</v>
      </c>
      <c r="D2888" t="s">
        <v>11</v>
      </c>
      <c r="E2888" t="s">
        <v>12</v>
      </c>
      <c r="F2888">
        <v>55646957</v>
      </c>
      <c r="G2888">
        <v>55647027</v>
      </c>
      <c r="H2888">
        <v>55646957</v>
      </c>
      <c r="I2888">
        <v>55647027</v>
      </c>
    </row>
    <row r="2889" spans="1:9" x14ac:dyDescent="0.2">
      <c r="A2889" s="1" t="str">
        <f>"CCDC88B"</f>
        <v>CCDC88B</v>
      </c>
      <c r="B2889" t="s">
        <v>14</v>
      </c>
      <c r="C2889" t="s">
        <v>27</v>
      </c>
      <c r="D2889" t="s">
        <v>17</v>
      </c>
      <c r="E2889" t="s">
        <v>12</v>
      </c>
      <c r="F2889">
        <v>64107663</v>
      </c>
      <c r="G2889">
        <v>64107703</v>
      </c>
      <c r="H2889">
        <v>64107705</v>
      </c>
      <c r="I2889">
        <v>64107718</v>
      </c>
    </row>
    <row r="2890" spans="1:9" x14ac:dyDescent="0.2">
      <c r="A2890" s="1" t="str">
        <f>"CCDC88C"</f>
        <v>CCDC88C</v>
      </c>
      <c r="B2890" t="s">
        <v>14</v>
      </c>
      <c r="C2890" t="s">
        <v>41</v>
      </c>
      <c r="D2890" t="s">
        <v>11</v>
      </c>
      <c r="E2890" t="s">
        <v>12</v>
      </c>
      <c r="F2890">
        <v>91884150</v>
      </c>
      <c r="G2890">
        <v>91884234</v>
      </c>
      <c r="H2890">
        <v>91884129</v>
      </c>
      <c r="I2890">
        <v>91884141</v>
      </c>
    </row>
    <row r="2891" spans="1:9" x14ac:dyDescent="0.2">
      <c r="A2891" s="1" t="str">
        <f>"CCDC89"</f>
        <v>CCDC89</v>
      </c>
      <c r="B2891" t="s">
        <v>14</v>
      </c>
      <c r="C2891" t="s">
        <v>27</v>
      </c>
      <c r="D2891" t="s">
        <v>11</v>
      </c>
      <c r="E2891" t="s">
        <v>12</v>
      </c>
      <c r="F2891">
        <v>85397167</v>
      </c>
      <c r="G2891">
        <v>85397254</v>
      </c>
      <c r="H2891">
        <v>85397167</v>
      </c>
      <c r="I2891">
        <v>85397254</v>
      </c>
    </row>
    <row r="2892" spans="1:9" x14ac:dyDescent="0.2">
      <c r="A2892" s="1" t="str">
        <f>"CCDC9"</f>
        <v>CCDC9</v>
      </c>
      <c r="B2892" t="s">
        <v>14</v>
      </c>
      <c r="C2892" t="s">
        <v>10</v>
      </c>
      <c r="D2892" t="s">
        <v>17</v>
      </c>
      <c r="E2892" t="s">
        <v>12</v>
      </c>
      <c r="F2892">
        <v>47759776</v>
      </c>
      <c r="G2892">
        <v>47759824</v>
      </c>
      <c r="H2892">
        <v>47759756</v>
      </c>
      <c r="I2892">
        <v>47759763</v>
      </c>
    </row>
    <row r="2893" spans="1:9" x14ac:dyDescent="0.2">
      <c r="A2893" s="1" t="str">
        <f>"CCDC90B"</f>
        <v>CCDC90B</v>
      </c>
      <c r="B2893" t="s">
        <v>14</v>
      </c>
      <c r="C2893" t="s">
        <v>27</v>
      </c>
      <c r="D2893" t="s">
        <v>11</v>
      </c>
      <c r="E2893" t="s">
        <v>12</v>
      </c>
      <c r="F2893">
        <v>82997013</v>
      </c>
      <c r="G2893">
        <v>82997039</v>
      </c>
      <c r="H2893">
        <v>82997371</v>
      </c>
      <c r="I2893">
        <v>82997416</v>
      </c>
    </row>
    <row r="2894" spans="1:9" x14ac:dyDescent="0.2">
      <c r="A2894" s="1" t="str">
        <f>"CCDC91"</f>
        <v>CCDC91</v>
      </c>
      <c r="B2894" t="s">
        <v>14</v>
      </c>
      <c r="C2894" t="s">
        <v>16</v>
      </c>
      <c r="D2894" t="s">
        <v>17</v>
      </c>
      <c r="E2894" t="s">
        <v>12</v>
      </c>
      <c r="F2894">
        <v>28343365</v>
      </c>
      <c r="G2894">
        <v>28343414</v>
      </c>
      <c r="H2894">
        <v>28343415</v>
      </c>
      <c r="I2894">
        <v>28343431</v>
      </c>
    </row>
    <row r="2895" spans="1:9" x14ac:dyDescent="0.2">
      <c r="A2895" s="1" t="str">
        <f>"CCDC92"</f>
        <v>CCDC92</v>
      </c>
      <c r="B2895" t="s">
        <v>14</v>
      </c>
      <c r="C2895" t="s">
        <v>16</v>
      </c>
      <c r="D2895" t="s">
        <v>11</v>
      </c>
      <c r="E2895" t="s">
        <v>12</v>
      </c>
      <c r="F2895">
        <v>124457371</v>
      </c>
      <c r="G2895">
        <v>124457387</v>
      </c>
      <c r="H2895">
        <v>124457257</v>
      </c>
      <c r="I2895">
        <v>124457306</v>
      </c>
    </row>
    <row r="2896" spans="1:9" x14ac:dyDescent="0.2">
      <c r="A2896" s="1" t="str">
        <f>"CCDC93"</f>
        <v>CCDC93</v>
      </c>
      <c r="B2896" t="s">
        <v>14</v>
      </c>
      <c r="C2896" t="s">
        <v>26</v>
      </c>
      <c r="D2896" t="s">
        <v>11</v>
      </c>
      <c r="E2896" t="s">
        <v>12</v>
      </c>
      <c r="F2896">
        <v>118771594</v>
      </c>
      <c r="G2896">
        <v>118771685</v>
      </c>
      <c r="H2896">
        <v>118771701</v>
      </c>
      <c r="I2896">
        <v>118771727</v>
      </c>
    </row>
    <row r="2897" spans="1:9" x14ac:dyDescent="0.2">
      <c r="A2897" s="1" t="str">
        <f>"CCDC94"</f>
        <v>CCDC94</v>
      </c>
      <c r="B2897" t="s">
        <v>14</v>
      </c>
      <c r="C2897" t="s">
        <v>10</v>
      </c>
      <c r="D2897" t="s">
        <v>17</v>
      </c>
      <c r="E2897" t="s">
        <v>12</v>
      </c>
      <c r="F2897">
        <v>4247070</v>
      </c>
      <c r="G2897">
        <v>4247118</v>
      </c>
      <c r="H2897">
        <v>4247052</v>
      </c>
      <c r="I2897">
        <v>4247061</v>
      </c>
    </row>
    <row r="2898" spans="1:9" x14ac:dyDescent="0.2">
      <c r="A2898" s="1" t="str">
        <f>"CCDC96"</f>
        <v>CCDC96</v>
      </c>
      <c r="B2898" t="s">
        <v>14</v>
      </c>
      <c r="C2898" t="s">
        <v>23</v>
      </c>
      <c r="D2898" t="s">
        <v>11</v>
      </c>
      <c r="E2898" t="s">
        <v>12</v>
      </c>
      <c r="F2898">
        <v>7044657</v>
      </c>
      <c r="G2898">
        <v>7044733</v>
      </c>
      <c r="H2898">
        <v>7044755</v>
      </c>
      <c r="I2898">
        <v>7044772</v>
      </c>
    </row>
    <row r="2899" spans="1:9" x14ac:dyDescent="0.2">
      <c r="A2899" s="1" t="str">
        <f>"CCDC97"</f>
        <v>CCDC97</v>
      </c>
      <c r="B2899" t="s">
        <v>14</v>
      </c>
      <c r="C2899" t="s">
        <v>10</v>
      </c>
      <c r="D2899" t="s">
        <v>17</v>
      </c>
      <c r="E2899" t="s">
        <v>12</v>
      </c>
      <c r="F2899">
        <v>41816053</v>
      </c>
      <c r="G2899">
        <v>41816178</v>
      </c>
      <c r="H2899">
        <v>41816190</v>
      </c>
      <c r="I2899">
        <v>41816200</v>
      </c>
    </row>
    <row r="2900" spans="1:9" x14ac:dyDescent="0.2">
      <c r="A2900" s="1" t="str">
        <f>"CCER1"</f>
        <v>CCER1</v>
      </c>
      <c r="B2900" t="s">
        <v>14</v>
      </c>
      <c r="C2900" t="s">
        <v>16</v>
      </c>
      <c r="D2900" t="s">
        <v>11</v>
      </c>
      <c r="E2900" t="s">
        <v>12</v>
      </c>
      <c r="F2900">
        <v>91348949</v>
      </c>
      <c r="G2900">
        <v>91348958</v>
      </c>
      <c r="H2900">
        <v>91348717</v>
      </c>
      <c r="I2900">
        <v>91348737</v>
      </c>
    </row>
    <row r="2901" spans="1:9" x14ac:dyDescent="0.2">
      <c r="A2901" s="1" t="str">
        <f>"CCHCR1"</f>
        <v>CCHCR1</v>
      </c>
      <c r="B2901" t="s">
        <v>14</v>
      </c>
      <c r="C2901" t="s">
        <v>32</v>
      </c>
      <c r="D2901" t="s">
        <v>11</v>
      </c>
      <c r="E2901" t="s">
        <v>12</v>
      </c>
      <c r="F2901">
        <v>31125921</v>
      </c>
      <c r="G2901">
        <v>31125994</v>
      </c>
      <c r="H2901">
        <v>31126004</v>
      </c>
      <c r="I2901">
        <v>31126012</v>
      </c>
    </row>
    <row r="2902" spans="1:9" x14ac:dyDescent="0.2">
      <c r="A2902" s="1" t="str">
        <f>"CCIN"</f>
        <v>CCIN</v>
      </c>
      <c r="B2902" t="s">
        <v>14</v>
      </c>
      <c r="C2902" t="s">
        <v>24</v>
      </c>
      <c r="D2902" t="s">
        <v>17</v>
      </c>
      <c r="E2902" t="s">
        <v>12</v>
      </c>
      <c r="F2902">
        <v>36169400</v>
      </c>
      <c r="G2902">
        <v>36169427</v>
      </c>
      <c r="H2902">
        <v>36169380</v>
      </c>
      <c r="I2902">
        <v>36169397</v>
      </c>
    </row>
    <row r="2903" spans="1:9" x14ac:dyDescent="0.2">
      <c r="A2903" s="1" t="str">
        <f>"CCK"</f>
        <v>CCK</v>
      </c>
      <c r="B2903" t="s">
        <v>9</v>
      </c>
      <c r="C2903" t="s">
        <v>22</v>
      </c>
      <c r="D2903" t="s">
        <v>11</v>
      </c>
      <c r="E2903" t="s">
        <v>12</v>
      </c>
      <c r="F2903">
        <v>42306248</v>
      </c>
      <c r="G2903">
        <v>42306265</v>
      </c>
      <c r="H2903">
        <v>42306248</v>
      </c>
      <c r="I2903">
        <v>42306265</v>
      </c>
    </row>
    <row r="2904" spans="1:9" x14ac:dyDescent="0.2">
      <c r="A2904" s="1" t="str">
        <f>"CCK"</f>
        <v>CCK</v>
      </c>
      <c r="B2904" t="s">
        <v>13</v>
      </c>
      <c r="C2904" t="s">
        <v>22</v>
      </c>
      <c r="D2904" t="s">
        <v>11</v>
      </c>
      <c r="E2904" t="s">
        <v>12</v>
      </c>
      <c r="F2904">
        <v>42307695</v>
      </c>
      <c r="G2904">
        <v>42307717</v>
      </c>
      <c r="H2904">
        <v>42307695</v>
      </c>
      <c r="I2904">
        <v>42307717</v>
      </c>
    </row>
    <row r="2905" spans="1:9" x14ac:dyDescent="0.2">
      <c r="A2905" s="1" t="str">
        <f>"CCKAR"</f>
        <v>CCKAR</v>
      </c>
      <c r="B2905" t="s">
        <v>14</v>
      </c>
      <c r="C2905" t="s">
        <v>23</v>
      </c>
      <c r="D2905" t="s">
        <v>11</v>
      </c>
      <c r="E2905" t="s">
        <v>12</v>
      </c>
      <c r="F2905">
        <v>26492076</v>
      </c>
      <c r="G2905">
        <v>26492113</v>
      </c>
      <c r="H2905">
        <v>26491909</v>
      </c>
      <c r="I2905">
        <v>26491918</v>
      </c>
    </row>
    <row r="2906" spans="1:9" x14ac:dyDescent="0.2">
      <c r="A2906" s="1" t="str">
        <f>"CCKBR"</f>
        <v>CCKBR</v>
      </c>
      <c r="B2906" t="s">
        <v>14</v>
      </c>
      <c r="C2906" t="s">
        <v>27</v>
      </c>
      <c r="D2906" t="s">
        <v>17</v>
      </c>
      <c r="E2906" t="s">
        <v>12</v>
      </c>
      <c r="F2906">
        <v>6281059</v>
      </c>
      <c r="G2906">
        <v>6281104</v>
      </c>
      <c r="H2906">
        <v>6280927</v>
      </c>
      <c r="I2906">
        <v>6280963</v>
      </c>
    </row>
    <row r="2907" spans="1:9" x14ac:dyDescent="0.2">
      <c r="A2907" s="1" t="str">
        <f>"CCL1"</f>
        <v>CCL1</v>
      </c>
      <c r="B2907" t="s">
        <v>14</v>
      </c>
      <c r="C2907" t="s">
        <v>28</v>
      </c>
      <c r="D2907" t="s">
        <v>11</v>
      </c>
      <c r="E2907" t="s">
        <v>12</v>
      </c>
      <c r="F2907">
        <v>32690239</v>
      </c>
      <c r="G2907">
        <v>32690259</v>
      </c>
      <c r="H2907">
        <v>32690239</v>
      </c>
      <c r="I2907">
        <v>32690259</v>
      </c>
    </row>
    <row r="2908" spans="1:9" x14ac:dyDescent="0.2">
      <c r="A2908" s="1" t="str">
        <f>"CCL11"</f>
        <v>CCL11</v>
      </c>
      <c r="B2908" t="s">
        <v>14</v>
      </c>
      <c r="C2908" t="s">
        <v>28</v>
      </c>
      <c r="D2908" t="s">
        <v>17</v>
      </c>
      <c r="E2908" t="s">
        <v>12</v>
      </c>
      <c r="F2908">
        <v>32612753</v>
      </c>
      <c r="G2908">
        <v>32612768</v>
      </c>
      <c r="H2908">
        <v>32612753</v>
      </c>
      <c r="I2908">
        <v>32612768</v>
      </c>
    </row>
    <row r="2909" spans="1:9" x14ac:dyDescent="0.2">
      <c r="A2909" s="1" t="str">
        <f>"CCL13"</f>
        <v>CCL13</v>
      </c>
      <c r="B2909" t="s">
        <v>14</v>
      </c>
      <c r="C2909" t="s">
        <v>28</v>
      </c>
      <c r="D2909" t="s">
        <v>17</v>
      </c>
      <c r="E2909" t="s">
        <v>12</v>
      </c>
      <c r="F2909">
        <v>32683491</v>
      </c>
      <c r="G2909">
        <v>32683506</v>
      </c>
      <c r="H2909">
        <v>32683456</v>
      </c>
      <c r="I2909">
        <v>32683467</v>
      </c>
    </row>
    <row r="2910" spans="1:9" x14ac:dyDescent="0.2">
      <c r="A2910" s="1" t="str">
        <f>"CCL14"</f>
        <v>CCL14</v>
      </c>
      <c r="B2910" t="s">
        <v>9</v>
      </c>
      <c r="C2910" t="s">
        <v>28</v>
      </c>
      <c r="D2910" t="s">
        <v>11</v>
      </c>
      <c r="E2910" t="s">
        <v>12</v>
      </c>
      <c r="F2910">
        <v>34313752</v>
      </c>
      <c r="G2910">
        <v>34313774</v>
      </c>
      <c r="H2910">
        <v>34313752</v>
      </c>
      <c r="I2910">
        <v>34313774</v>
      </c>
    </row>
    <row r="2911" spans="1:9" x14ac:dyDescent="0.2">
      <c r="A2911" s="1" t="str">
        <f>"CCL14"</f>
        <v>CCL14</v>
      </c>
      <c r="B2911" t="s">
        <v>13</v>
      </c>
      <c r="C2911" t="s">
        <v>28</v>
      </c>
      <c r="D2911" t="s">
        <v>11</v>
      </c>
      <c r="E2911" t="s">
        <v>12</v>
      </c>
      <c r="F2911">
        <v>34329150</v>
      </c>
      <c r="G2911">
        <v>34329165</v>
      </c>
      <c r="H2911">
        <v>34329150</v>
      </c>
      <c r="I2911">
        <v>34329165</v>
      </c>
    </row>
    <row r="2912" spans="1:9" x14ac:dyDescent="0.2">
      <c r="A2912" s="1" t="str">
        <f>"CCL15"</f>
        <v>CCL15</v>
      </c>
      <c r="B2912" t="s">
        <v>14</v>
      </c>
      <c r="C2912" t="s">
        <v>28</v>
      </c>
      <c r="D2912" t="s">
        <v>11</v>
      </c>
      <c r="E2912" t="s">
        <v>12</v>
      </c>
      <c r="F2912">
        <v>34329150</v>
      </c>
      <c r="G2912">
        <v>34329165</v>
      </c>
      <c r="H2912">
        <v>34328588</v>
      </c>
      <c r="I2912">
        <v>34328597</v>
      </c>
    </row>
    <row r="2913" spans="1:9" x14ac:dyDescent="0.2">
      <c r="A2913" s="1" t="str">
        <f>"CCL16"</f>
        <v>CCL16</v>
      </c>
      <c r="B2913" t="s">
        <v>14</v>
      </c>
      <c r="C2913" t="s">
        <v>28</v>
      </c>
      <c r="D2913" t="s">
        <v>11</v>
      </c>
      <c r="E2913" t="s">
        <v>12</v>
      </c>
      <c r="F2913">
        <v>34308524</v>
      </c>
      <c r="G2913">
        <v>34308548</v>
      </c>
      <c r="H2913">
        <v>34308490</v>
      </c>
      <c r="I2913">
        <v>34308515</v>
      </c>
    </row>
    <row r="2914" spans="1:9" x14ac:dyDescent="0.2">
      <c r="A2914" s="1" t="str">
        <f>"CCL17"</f>
        <v>CCL17</v>
      </c>
      <c r="B2914" t="s">
        <v>14</v>
      </c>
      <c r="C2914" t="s">
        <v>31</v>
      </c>
      <c r="D2914" t="s">
        <v>17</v>
      </c>
      <c r="E2914" t="s">
        <v>12</v>
      </c>
      <c r="F2914">
        <v>57447773</v>
      </c>
      <c r="G2914">
        <v>57447787</v>
      </c>
      <c r="H2914">
        <v>57447773</v>
      </c>
      <c r="I2914">
        <v>57447787</v>
      </c>
    </row>
    <row r="2915" spans="1:9" x14ac:dyDescent="0.2">
      <c r="A2915" s="1" t="str">
        <f>"CCL18"</f>
        <v>CCL18</v>
      </c>
      <c r="B2915" t="s">
        <v>14</v>
      </c>
      <c r="C2915" t="s">
        <v>28</v>
      </c>
      <c r="D2915" t="s">
        <v>17</v>
      </c>
      <c r="E2915" t="s">
        <v>12</v>
      </c>
      <c r="F2915">
        <v>34391625</v>
      </c>
      <c r="G2915">
        <v>34391638</v>
      </c>
      <c r="H2915">
        <v>34391625</v>
      </c>
      <c r="I2915">
        <v>34391638</v>
      </c>
    </row>
    <row r="2916" spans="1:9" x14ac:dyDescent="0.2">
      <c r="A2916" s="1" t="str">
        <f>"CCL19"</f>
        <v>CCL19</v>
      </c>
      <c r="B2916" t="s">
        <v>14</v>
      </c>
      <c r="C2916" t="s">
        <v>24</v>
      </c>
      <c r="D2916" t="s">
        <v>11</v>
      </c>
      <c r="E2916" t="s">
        <v>12</v>
      </c>
      <c r="F2916">
        <v>34691263</v>
      </c>
      <c r="G2916">
        <v>34691278</v>
      </c>
      <c r="H2916">
        <v>34691263</v>
      </c>
      <c r="I2916">
        <v>34691278</v>
      </c>
    </row>
    <row r="2917" spans="1:9" x14ac:dyDescent="0.2">
      <c r="A2917" s="1" t="str">
        <f>"CCL2"</f>
        <v>CCL2</v>
      </c>
      <c r="B2917" t="s">
        <v>14</v>
      </c>
      <c r="C2917" t="s">
        <v>28</v>
      </c>
      <c r="D2917" t="s">
        <v>17</v>
      </c>
      <c r="E2917" t="s">
        <v>12</v>
      </c>
      <c r="F2917">
        <v>32582293</v>
      </c>
      <c r="G2917">
        <v>32582312</v>
      </c>
      <c r="H2917">
        <v>32582293</v>
      </c>
      <c r="I2917">
        <v>32582312</v>
      </c>
    </row>
    <row r="2918" spans="1:9" x14ac:dyDescent="0.2">
      <c r="A2918" s="1" t="str">
        <f>"CCL20"</f>
        <v>CCL20</v>
      </c>
      <c r="B2918" t="s">
        <v>9</v>
      </c>
      <c r="C2918" t="s">
        <v>26</v>
      </c>
      <c r="D2918" t="s">
        <v>17</v>
      </c>
      <c r="E2918" t="s">
        <v>12</v>
      </c>
      <c r="F2918">
        <v>228678550</v>
      </c>
      <c r="G2918">
        <v>228678570</v>
      </c>
      <c r="H2918">
        <v>228678550</v>
      </c>
      <c r="I2918">
        <v>228678570</v>
      </c>
    </row>
    <row r="2919" spans="1:9" x14ac:dyDescent="0.2">
      <c r="A2919" s="1" t="str">
        <f>"CCL20"</f>
        <v>CCL20</v>
      </c>
      <c r="B2919" t="s">
        <v>13</v>
      </c>
      <c r="C2919" t="s">
        <v>26</v>
      </c>
      <c r="D2919" t="s">
        <v>17</v>
      </c>
      <c r="E2919" t="s">
        <v>12</v>
      </c>
      <c r="F2919">
        <v>228680160</v>
      </c>
      <c r="G2919">
        <v>228680220</v>
      </c>
      <c r="H2919">
        <v>228680160</v>
      </c>
      <c r="I2919">
        <v>228680220</v>
      </c>
    </row>
    <row r="2920" spans="1:9" x14ac:dyDescent="0.2">
      <c r="A2920" s="1" t="str">
        <f>"CCL21"</f>
        <v>CCL21</v>
      </c>
      <c r="B2920" t="s">
        <v>14</v>
      </c>
      <c r="C2920" t="s">
        <v>24</v>
      </c>
      <c r="D2920" t="s">
        <v>11</v>
      </c>
      <c r="E2920" t="s">
        <v>12</v>
      </c>
      <c r="F2920">
        <v>34710125</v>
      </c>
      <c r="G2920">
        <v>34710140</v>
      </c>
      <c r="H2920">
        <v>34710125</v>
      </c>
      <c r="I2920">
        <v>34710140</v>
      </c>
    </row>
    <row r="2921" spans="1:9" x14ac:dyDescent="0.2">
      <c r="A2921" s="1" t="str">
        <f>"CCL22"</f>
        <v>CCL22</v>
      </c>
      <c r="B2921" t="s">
        <v>14</v>
      </c>
      <c r="C2921" t="s">
        <v>31</v>
      </c>
      <c r="D2921" t="s">
        <v>17</v>
      </c>
      <c r="E2921" t="s">
        <v>12</v>
      </c>
      <c r="F2921">
        <v>57392687</v>
      </c>
      <c r="G2921">
        <v>57392702</v>
      </c>
      <c r="H2921">
        <v>57392687</v>
      </c>
      <c r="I2921">
        <v>57392702</v>
      </c>
    </row>
    <row r="2922" spans="1:9" x14ac:dyDescent="0.2">
      <c r="A2922" s="1" t="str">
        <f>"CCL23"</f>
        <v>CCL23</v>
      </c>
      <c r="B2922" t="s">
        <v>14</v>
      </c>
      <c r="C2922" t="s">
        <v>28</v>
      </c>
      <c r="D2922" t="s">
        <v>11</v>
      </c>
      <c r="E2922" t="s">
        <v>12</v>
      </c>
      <c r="F2922">
        <v>34345002</v>
      </c>
      <c r="G2922">
        <v>34345016</v>
      </c>
      <c r="H2922">
        <v>34344991</v>
      </c>
      <c r="I2922">
        <v>34345000</v>
      </c>
    </row>
    <row r="2923" spans="1:9" x14ac:dyDescent="0.2">
      <c r="A2923" s="1" t="str">
        <f>"CCL24"</f>
        <v>CCL24</v>
      </c>
      <c r="B2923" t="s">
        <v>14</v>
      </c>
      <c r="C2923" t="s">
        <v>33</v>
      </c>
      <c r="D2923" t="s">
        <v>11</v>
      </c>
      <c r="E2923" t="s">
        <v>12</v>
      </c>
      <c r="F2923">
        <v>75443118</v>
      </c>
      <c r="G2923">
        <v>75443130</v>
      </c>
      <c r="H2923">
        <v>75443066</v>
      </c>
      <c r="I2923">
        <v>75443080</v>
      </c>
    </row>
    <row r="2924" spans="1:9" x14ac:dyDescent="0.2">
      <c r="A2924" s="1" t="str">
        <f>"CCL25"</f>
        <v>CCL25</v>
      </c>
      <c r="B2924" t="s">
        <v>14</v>
      </c>
      <c r="C2924" t="s">
        <v>10</v>
      </c>
      <c r="D2924" t="s">
        <v>17</v>
      </c>
      <c r="E2924" t="s">
        <v>12</v>
      </c>
      <c r="F2924">
        <v>8117636</v>
      </c>
      <c r="G2924">
        <v>8117653</v>
      </c>
      <c r="H2924">
        <v>8117636</v>
      </c>
      <c r="I2924">
        <v>8117653</v>
      </c>
    </row>
    <row r="2925" spans="1:9" x14ac:dyDescent="0.2">
      <c r="A2925" s="1" t="str">
        <f>"CCL26"</f>
        <v>CCL26</v>
      </c>
      <c r="B2925" t="s">
        <v>14</v>
      </c>
      <c r="C2925" t="s">
        <v>33</v>
      </c>
      <c r="D2925" t="s">
        <v>11</v>
      </c>
      <c r="E2925" t="s">
        <v>12</v>
      </c>
      <c r="F2925">
        <v>75401513</v>
      </c>
      <c r="G2925">
        <v>75401535</v>
      </c>
      <c r="H2925">
        <v>75401494</v>
      </c>
      <c r="I2925">
        <v>75401512</v>
      </c>
    </row>
    <row r="2926" spans="1:9" x14ac:dyDescent="0.2">
      <c r="A2926" s="1" t="str">
        <f>"CCL27"</f>
        <v>CCL27</v>
      </c>
      <c r="B2926" t="s">
        <v>14</v>
      </c>
      <c r="C2926" t="s">
        <v>24</v>
      </c>
      <c r="D2926" t="s">
        <v>11</v>
      </c>
      <c r="E2926" t="s">
        <v>12</v>
      </c>
      <c r="F2926">
        <v>34662651</v>
      </c>
      <c r="G2926">
        <v>34662656</v>
      </c>
      <c r="H2926">
        <v>34662651</v>
      </c>
      <c r="I2926">
        <v>34662656</v>
      </c>
    </row>
    <row r="2927" spans="1:9" x14ac:dyDescent="0.2">
      <c r="A2927" s="1" t="str">
        <f>"CCL28"</f>
        <v>CCL28</v>
      </c>
      <c r="B2927" t="s">
        <v>14</v>
      </c>
      <c r="C2927" t="s">
        <v>46</v>
      </c>
      <c r="D2927" t="s">
        <v>11</v>
      </c>
      <c r="E2927" t="s">
        <v>12</v>
      </c>
      <c r="F2927">
        <v>43397184</v>
      </c>
      <c r="G2927">
        <v>43397286</v>
      </c>
      <c r="H2927">
        <v>43397184</v>
      </c>
      <c r="I2927">
        <v>43397286</v>
      </c>
    </row>
    <row r="2928" spans="1:9" x14ac:dyDescent="0.2">
      <c r="A2928" s="1" t="str">
        <f>"CCL3"</f>
        <v>CCL3</v>
      </c>
      <c r="B2928" t="s">
        <v>14</v>
      </c>
      <c r="C2928" t="s">
        <v>28</v>
      </c>
      <c r="D2928" t="s">
        <v>11</v>
      </c>
      <c r="E2928" t="s">
        <v>12</v>
      </c>
      <c r="F2928">
        <v>34417479</v>
      </c>
      <c r="G2928">
        <v>34417496</v>
      </c>
      <c r="H2928">
        <v>34417479</v>
      </c>
      <c r="I2928">
        <v>34417496</v>
      </c>
    </row>
    <row r="2929" spans="1:9" x14ac:dyDescent="0.2">
      <c r="A2929" s="1" t="str">
        <f>"CCL3L3"</f>
        <v>CCL3L3</v>
      </c>
      <c r="B2929" t="s">
        <v>203</v>
      </c>
      <c r="C2929" t="s">
        <v>28</v>
      </c>
      <c r="D2929" t="s">
        <v>11</v>
      </c>
      <c r="E2929" t="s">
        <v>20</v>
      </c>
      <c r="F2929">
        <v>34524156</v>
      </c>
      <c r="G2929">
        <v>34524156</v>
      </c>
      <c r="H2929">
        <v>34524156</v>
      </c>
      <c r="I2929">
        <v>34524156</v>
      </c>
    </row>
    <row r="2930" spans="1:9" x14ac:dyDescent="0.2">
      <c r="A2930" s="1" t="str">
        <f>"CCL4"</f>
        <v>CCL4</v>
      </c>
      <c r="B2930" t="s">
        <v>14</v>
      </c>
      <c r="C2930" t="s">
        <v>28</v>
      </c>
      <c r="D2930" t="s">
        <v>17</v>
      </c>
      <c r="E2930" t="s">
        <v>12</v>
      </c>
      <c r="F2930">
        <v>34431212</v>
      </c>
      <c r="G2930">
        <v>34431230</v>
      </c>
      <c r="H2930">
        <v>34431212</v>
      </c>
      <c r="I2930">
        <v>34431230</v>
      </c>
    </row>
    <row r="2931" spans="1:9" x14ac:dyDescent="0.2">
      <c r="A2931" s="1" t="str">
        <f>"CCL4L2"</f>
        <v>CCL4L2</v>
      </c>
      <c r="B2931" t="s">
        <v>204</v>
      </c>
      <c r="C2931" t="s">
        <v>28</v>
      </c>
      <c r="D2931" t="s">
        <v>17</v>
      </c>
      <c r="E2931" t="s">
        <v>20</v>
      </c>
      <c r="F2931">
        <v>34639792</v>
      </c>
      <c r="G2931">
        <v>34639792</v>
      </c>
      <c r="H2931">
        <v>34639792</v>
      </c>
      <c r="I2931">
        <v>34639792</v>
      </c>
    </row>
    <row r="2932" spans="1:9" x14ac:dyDescent="0.2">
      <c r="A2932" s="1" t="str">
        <f>"CCL5"</f>
        <v>CCL5</v>
      </c>
      <c r="B2932" t="s">
        <v>14</v>
      </c>
      <c r="C2932" t="s">
        <v>28</v>
      </c>
      <c r="D2932" t="s">
        <v>11</v>
      </c>
      <c r="E2932" t="s">
        <v>12</v>
      </c>
      <c r="F2932">
        <v>34207354</v>
      </c>
      <c r="G2932">
        <v>34207372</v>
      </c>
      <c r="H2932">
        <v>34207354</v>
      </c>
      <c r="I2932">
        <v>34207372</v>
      </c>
    </row>
    <row r="2933" spans="1:9" x14ac:dyDescent="0.2">
      <c r="A2933" s="1" t="str">
        <f>"CCL7"</f>
        <v>CCL7</v>
      </c>
      <c r="B2933" t="s">
        <v>14</v>
      </c>
      <c r="C2933" t="s">
        <v>28</v>
      </c>
      <c r="D2933" t="s">
        <v>17</v>
      </c>
      <c r="E2933" t="s">
        <v>12</v>
      </c>
      <c r="F2933">
        <v>32597232</v>
      </c>
      <c r="G2933">
        <v>32597250</v>
      </c>
      <c r="H2933">
        <v>32597232</v>
      </c>
      <c r="I2933">
        <v>32597250</v>
      </c>
    </row>
    <row r="2934" spans="1:9" x14ac:dyDescent="0.2">
      <c r="A2934" s="1" t="str">
        <f>"CCL8"</f>
        <v>CCL8</v>
      </c>
      <c r="B2934" t="s">
        <v>14</v>
      </c>
      <c r="C2934" t="s">
        <v>28</v>
      </c>
      <c r="D2934" t="s">
        <v>17</v>
      </c>
      <c r="E2934" t="s">
        <v>12</v>
      </c>
      <c r="F2934">
        <v>32646446</v>
      </c>
      <c r="G2934">
        <v>32646461</v>
      </c>
      <c r="H2934">
        <v>32646446</v>
      </c>
      <c r="I2934">
        <v>32646461</v>
      </c>
    </row>
    <row r="2935" spans="1:9" x14ac:dyDescent="0.2">
      <c r="A2935" s="1" t="str">
        <f>"CCM2"</f>
        <v>CCM2</v>
      </c>
      <c r="B2935" t="s">
        <v>14</v>
      </c>
      <c r="C2935" t="s">
        <v>33</v>
      </c>
      <c r="D2935" t="s">
        <v>17</v>
      </c>
      <c r="E2935" t="s">
        <v>12</v>
      </c>
      <c r="F2935">
        <v>45039823</v>
      </c>
      <c r="G2935">
        <v>45039871</v>
      </c>
      <c r="H2935">
        <v>45039783</v>
      </c>
      <c r="I2935">
        <v>45039821</v>
      </c>
    </row>
    <row r="2936" spans="1:9" x14ac:dyDescent="0.2">
      <c r="A2936" s="1" t="str">
        <f>"CCM2L"</f>
        <v>CCM2L</v>
      </c>
      <c r="B2936" t="s">
        <v>9</v>
      </c>
      <c r="C2936" t="s">
        <v>29</v>
      </c>
      <c r="D2936" t="s">
        <v>17</v>
      </c>
      <c r="E2936" t="s">
        <v>12</v>
      </c>
      <c r="F2936">
        <v>30606642</v>
      </c>
      <c r="G2936">
        <v>30606653</v>
      </c>
      <c r="H2936">
        <v>30606642</v>
      </c>
      <c r="I2936">
        <v>30606653</v>
      </c>
    </row>
    <row r="2937" spans="1:9" x14ac:dyDescent="0.2">
      <c r="A2937" s="1" t="str">
        <f>"CCM2L"</f>
        <v>CCM2L</v>
      </c>
      <c r="B2937" t="s">
        <v>13</v>
      </c>
      <c r="C2937" t="s">
        <v>29</v>
      </c>
      <c r="D2937" t="s">
        <v>17</v>
      </c>
      <c r="E2937" t="s">
        <v>12</v>
      </c>
      <c r="F2937">
        <v>30598231</v>
      </c>
      <c r="G2937">
        <v>30598260</v>
      </c>
      <c r="H2937">
        <v>30598231</v>
      </c>
      <c r="I2937">
        <v>30598260</v>
      </c>
    </row>
    <row r="2938" spans="1:9" x14ac:dyDescent="0.2">
      <c r="A2938" s="1" t="str">
        <f>"CCNA1"</f>
        <v>CCNA1</v>
      </c>
      <c r="B2938" t="s">
        <v>14</v>
      </c>
      <c r="C2938" t="s">
        <v>39</v>
      </c>
      <c r="D2938" t="s">
        <v>17</v>
      </c>
      <c r="E2938" t="s">
        <v>12</v>
      </c>
      <c r="F2938">
        <v>37006624</v>
      </c>
      <c r="G2938">
        <v>37006638</v>
      </c>
      <c r="H2938">
        <v>37006421</v>
      </c>
      <c r="I2938">
        <v>37006487</v>
      </c>
    </row>
    <row r="2939" spans="1:9" x14ac:dyDescent="0.2">
      <c r="A2939" s="1" t="str">
        <f>"CCNA2"</f>
        <v>CCNA2</v>
      </c>
      <c r="B2939" t="s">
        <v>14</v>
      </c>
      <c r="C2939" t="s">
        <v>23</v>
      </c>
      <c r="D2939" t="s">
        <v>11</v>
      </c>
      <c r="E2939" t="s">
        <v>12</v>
      </c>
      <c r="F2939">
        <v>122744998</v>
      </c>
      <c r="G2939">
        <v>122745093</v>
      </c>
      <c r="H2939">
        <v>122744600</v>
      </c>
      <c r="I2939">
        <v>122744630</v>
      </c>
    </row>
    <row r="2940" spans="1:9" x14ac:dyDescent="0.2">
      <c r="A2940" s="1" t="str">
        <f>"CCNB1"</f>
        <v>CCNB1</v>
      </c>
      <c r="B2940" t="s">
        <v>14</v>
      </c>
      <c r="C2940" t="s">
        <v>46</v>
      </c>
      <c r="D2940" t="s">
        <v>17</v>
      </c>
      <c r="E2940" t="s">
        <v>12</v>
      </c>
      <c r="F2940">
        <v>68462944</v>
      </c>
      <c r="G2940">
        <v>68463008</v>
      </c>
      <c r="H2940">
        <v>68463044</v>
      </c>
      <c r="I2940">
        <v>68463055</v>
      </c>
    </row>
    <row r="2941" spans="1:9" x14ac:dyDescent="0.2">
      <c r="A2941" s="1" t="str">
        <f>"CCNB1IP1"</f>
        <v>CCNB1IP1</v>
      </c>
      <c r="B2941" t="s">
        <v>14</v>
      </c>
      <c r="C2941" t="s">
        <v>41</v>
      </c>
      <c r="D2941" t="s">
        <v>11</v>
      </c>
      <c r="E2941" t="s">
        <v>12</v>
      </c>
      <c r="F2941">
        <v>20801427</v>
      </c>
      <c r="G2941">
        <v>20801456</v>
      </c>
      <c r="H2941">
        <v>20801465</v>
      </c>
      <c r="I2941">
        <v>20801476</v>
      </c>
    </row>
    <row r="2942" spans="1:9" x14ac:dyDescent="0.2">
      <c r="A2942" s="1" t="str">
        <f>"CCNB2"</f>
        <v>CCNB2</v>
      </c>
      <c r="B2942" t="s">
        <v>14</v>
      </c>
      <c r="C2942" t="s">
        <v>25</v>
      </c>
      <c r="D2942" t="s">
        <v>17</v>
      </c>
      <c r="E2942" t="s">
        <v>12</v>
      </c>
      <c r="F2942">
        <v>59397298</v>
      </c>
      <c r="G2942">
        <v>59397353</v>
      </c>
      <c r="H2942">
        <v>59397366</v>
      </c>
      <c r="I2942">
        <v>59397381</v>
      </c>
    </row>
    <row r="2943" spans="1:9" x14ac:dyDescent="0.2">
      <c r="A2943" s="1" t="str">
        <f>"CCNB3"</f>
        <v>CCNB3</v>
      </c>
      <c r="B2943" t="s">
        <v>14</v>
      </c>
      <c r="C2943" t="s">
        <v>37</v>
      </c>
      <c r="D2943" t="s">
        <v>17</v>
      </c>
      <c r="E2943" t="s">
        <v>12</v>
      </c>
      <c r="F2943">
        <v>49969405</v>
      </c>
      <c r="G2943">
        <v>49969444</v>
      </c>
      <c r="H2943">
        <v>49969405</v>
      </c>
      <c r="I2943">
        <v>49969444</v>
      </c>
    </row>
    <row r="2944" spans="1:9" x14ac:dyDescent="0.2">
      <c r="A2944" s="1" t="str">
        <f>"CCNC"</f>
        <v>CCNC</v>
      </c>
      <c r="B2944" t="s">
        <v>14</v>
      </c>
      <c r="C2944" t="s">
        <v>32</v>
      </c>
      <c r="D2944" t="s">
        <v>11</v>
      </c>
      <c r="E2944" t="s">
        <v>12</v>
      </c>
      <c r="F2944">
        <v>100016527</v>
      </c>
      <c r="G2944">
        <v>100016553</v>
      </c>
      <c r="H2944">
        <v>100016492</v>
      </c>
      <c r="I2944">
        <v>100016526</v>
      </c>
    </row>
    <row r="2945" spans="1:9" x14ac:dyDescent="0.2">
      <c r="A2945" s="1" t="str">
        <f>"CCND1"</f>
        <v>CCND1</v>
      </c>
      <c r="B2945" t="s">
        <v>9</v>
      </c>
      <c r="C2945" t="s">
        <v>27</v>
      </c>
      <c r="D2945" t="s">
        <v>17</v>
      </c>
      <c r="E2945" t="s">
        <v>12</v>
      </c>
      <c r="F2945">
        <v>69455914</v>
      </c>
      <c r="G2945">
        <v>69455932</v>
      </c>
      <c r="H2945">
        <v>69455914</v>
      </c>
      <c r="I2945">
        <v>69455932</v>
      </c>
    </row>
    <row r="2946" spans="1:9" x14ac:dyDescent="0.2">
      <c r="A2946" s="1" t="str">
        <f>"CCND1"</f>
        <v>CCND1</v>
      </c>
      <c r="B2946" t="s">
        <v>13</v>
      </c>
      <c r="C2946" t="s">
        <v>27</v>
      </c>
      <c r="D2946" t="s">
        <v>17</v>
      </c>
      <c r="E2946" t="s">
        <v>12</v>
      </c>
      <c r="F2946">
        <v>69467344</v>
      </c>
      <c r="G2946">
        <v>69467411</v>
      </c>
      <c r="H2946">
        <v>69467344</v>
      </c>
      <c r="I2946">
        <v>69467411</v>
      </c>
    </row>
    <row r="2947" spans="1:9" x14ac:dyDescent="0.2">
      <c r="A2947" s="1" t="str">
        <f>"CCND2"</f>
        <v>CCND2</v>
      </c>
      <c r="B2947" t="s">
        <v>14</v>
      </c>
      <c r="C2947" t="s">
        <v>16</v>
      </c>
      <c r="D2947" t="s">
        <v>17</v>
      </c>
      <c r="E2947" t="s">
        <v>12</v>
      </c>
      <c r="F2947">
        <v>4382917</v>
      </c>
      <c r="G2947">
        <v>4382935</v>
      </c>
      <c r="H2947">
        <v>4382956</v>
      </c>
      <c r="I2947">
        <v>4382975</v>
      </c>
    </row>
    <row r="2948" spans="1:9" x14ac:dyDescent="0.2">
      <c r="A2948" s="1" t="str">
        <f>"CCND3"</f>
        <v>CCND3</v>
      </c>
      <c r="B2948" t="s">
        <v>14</v>
      </c>
      <c r="C2948" t="s">
        <v>32</v>
      </c>
      <c r="D2948" t="s">
        <v>11</v>
      </c>
      <c r="E2948" t="s">
        <v>12</v>
      </c>
      <c r="F2948">
        <v>41909466</v>
      </c>
      <c r="G2948">
        <v>41909520</v>
      </c>
      <c r="H2948">
        <v>41909466</v>
      </c>
      <c r="I2948">
        <v>41909520</v>
      </c>
    </row>
    <row r="2949" spans="1:9" x14ac:dyDescent="0.2">
      <c r="A2949" s="1" t="str">
        <f>"CCNDBP1"</f>
        <v>CCNDBP1</v>
      </c>
      <c r="B2949" t="s">
        <v>14</v>
      </c>
      <c r="C2949" t="s">
        <v>25</v>
      </c>
      <c r="D2949" t="s">
        <v>17</v>
      </c>
      <c r="E2949" t="s">
        <v>12</v>
      </c>
      <c r="F2949">
        <v>43477580</v>
      </c>
      <c r="G2949">
        <v>43477656</v>
      </c>
      <c r="H2949">
        <v>43477664</v>
      </c>
      <c r="I2949">
        <v>43477684</v>
      </c>
    </row>
    <row r="2950" spans="1:9" x14ac:dyDescent="0.2">
      <c r="A2950" s="1" t="str">
        <f>"CCNE1"</f>
        <v>CCNE1</v>
      </c>
      <c r="B2950" t="s">
        <v>14</v>
      </c>
      <c r="C2950" t="s">
        <v>10</v>
      </c>
      <c r="D2950" t="s">
        <v>17</v>
      </c>
      <c r="E2950" t="s">
        <v>12</v>
      </c>
      <c r="F2950">
        <v>30302859</v>
      </c>
      <c r="G2950">
        <v>30302916</v>
      </c>
      <c r="H2950">
        <v>30302917</v>
      </c>
      <c r="I2950">
        <v>30302931</v>
      </c>
    </row>
    <row r="2951" spans="1:9" x14ac:dyDescent="0.2">
      <c r="A2951" s="1" t="str">
        <f>"CCNE2"</f>
        <v>CCNE2</v>
      </c>
      <c r="B2951" t="s">
        <v>14</v>
      </c>
      <c r="C2951" t="s">
        <v>30</v>
      </c>
      <c r="D2951" t="s">
        <v>11</v>
      </c>
      <c r="E2951" t="s">
        <v>12</v>
      </c>
      <c r="F2951">
        <v>95907423</v>
      </c>
      <c r="G2951">
        <v>95907435</v>
      </c>
      <c r="H2951">
        <v>95907423</v>
      </c>
      <c r="I2951">
        <v>95907435</v>
      </c>
    </row>
    <row r="2952" spans="1:9" x14ac:dyDescent="0.2">
      <c r="A2952" s="1" t="str">
        <f>"CCNF"</f>
        <v>CCNF</v>
      </c>
      <c r="B2952" t="s">
        <v>14</v>
      </c>
      <c r="C2952" t="s">
        <v>31</v>
      </c>
      <c r="D2952" t="s">
        <v>17</v>
      </c>
      <c r="E2952" t="s">
        <v>12</v>
      </c>
      <c r="F2952">
        <v>2479428</v>
      </c>
      <c r="G2952">
        <v>2479470</v>
      </c>
      <c r="H2952">
        <v>2479390</v>
      </c>
      <c r="I2952">
        <v>2479409</v>
      </c>
    </row>
    <row r="2953" spans="1:9" x14ac:dyDescent="0.2">
      <c r="A2953" s="1" t="str">
        <f>"CCNG1"</f>
        <v>CCNG1</v>
      </c>
      <c r="B2953" t="s">
        <v>14</v>
      </c>
      <c r="C2953" t="s">
        <v>46</v>
      </c>
      <c r="D2953" t="s">
        <v>17</v>
      </c>
      <c r="E2953" t="s">
        <v>12</v>
      </c>
      <c r="F2953">
        <v>162864593</v>
      </c>
      <c r="G2953">
        <v>162864618</v>
      </c>
      <c r="H2953">
        <v>162864593</v>
      </c>
      <c r="I2953">
        <v>162864618</v>
      </c>
    </row>
    <row r="2954" spans="1:9" x14ac:dyDescent="0.2">
      <c r="A2954" s="1" t="str">
        <f>"CCNG2"</f>
        <v>CCNG2</v>
      </c>
      <c r="B2954" t="s">
        <v>14</v>
      </c>
      <c r="C2954" t="s">
        <v>23</v>
      </c>
      <c r="D2954" t="s">
        <v>17</v>
      </c>
      <c r="E2954" t="s">
        <v>12</v>
      </c>
      <c r="F2954">
        <v>78078343</v>
      </c>
      <c r="G2954">
        <v>78078406</v>
      </c>
      <c r="H2954">
        <v>78078412</v>
      </c>
      <c r="I2954">
        <v>78078448</v>
      </c>
    </row>
    <row r="2955" spans="1:9" x14ac:dyDescent="0.2">
      <c r="A2955" s="1" t="str">
        <f>"CCNH"</f>
        <v>CCNH</v>
      </c>
      <c r="B2955" t="s">
        <v>14</v>
      </c>
      <c r="C2955" t="s">
        <v>46</v>
      </c>
      <c r="D2955" t="s">
        <v>11</v>
      </c>
      <c r="E2955" t="s">
        <v>12</v>
      </c>
      <c r="F2955">
        <v>86708670</v>
      </c>
      <c r="G2955">
        <v>86708766</v>
      </c>
      <c r="H2955">
        <v>86708636</v>
      </c>
      <c r="I2955">
        <v>86708665</v>
      </c>
    </row>
    <row r="2956" spans="1:9" x14ac:dyDescent="0.2">
      <c r="A2956" s="1" t="str">
        <f>"CCNI"</f>
        <v>CCNI</v>
      </c>
      <c r="B2956" t="s">
        <v>14</v>
      </c>
      <c r="C2956" t="s">
        <v>23</v>
      </c>
      <c r="D2956" t="s">
        <v>11</v>
      </c>
      <c r="E2956" t="s">
        <v>12</v>
      </c>
      <c r="F2956">
        <v>77997126</v>
      </c>
      <c r="G2956">
        <v>77997151</v>
      </c>
      <c r="H2956">
        <v>77997018</v>
      </c>
      <c r="I2956">
        <v>77997042</v>
      </c>
    </row>
    <row r="2957" spans="1:9" x14ac:dyDescent="0.2">
      <c r="A2957" s="1" t="str">
        <f>"CCNI2"</f>
        <v>CCNI2</v>
      </c>
      <c r="B2957" t="s">
        <v>14</v>
      </c>
      <c r="C2957" t="s">
        <v>46</v>
      </c>
      <c r="D2957" t="s">
        <v>17</v>
      </c>
      <c r="E2957" t="s">
        <v>12</v>
      </c>
      <c r="F2957">
        <v>132083164</v>
      </c>
      <c r="G2957">
        <v>132083173</v>
      </c>
      <c r="H2957">
        <v>132083106</v>
      </c>
      <c r="I2957">
        <v>132083124</v>
      </c>
    </row>
    <row r="2958" spans="1:9" x14ac:dyDescent="0.2">
      <c r="A2958" s="1" t="str">
        <f>"CCNJ"</f>
        <v>CCNJ</v>
      </c>
      <c r="B2958" t="s">
        <v>14</v>
      </c>
      <c r="C2958" t="s">
        <v>15</v>
      </c>
      <c r="D2958" t="s">
        <v>17</v>
      </c>
      <c r="E2958" t="s">
        <v>12</v>
      </c>
      <c r="F2958">
        <v>97803280</v>
      </c>
      <c r="G2958">
        <v>97803348</v>
      </c>
      <c r="H2958">
        <v>97804095</v>
      </c>
      <c r="I2958">
        <v>97804119</v>
      </c>
    </row>
    <row r="2959" spans="1:9" x14ac:dyDescent="0.2">
      <c r="A2959" s="1" t="str">
        <f>"CCNJL"</f>
        <v>CCNJL</v>
      </c>
      <c r="B2959" t="s">
        <v>14</v>
      </c>
      <c r="C2959" t="s">
        <v>46</v>
      </c>
      <c r="D2959" t="s">
        <v>11</v>
      </c>
      <c r="E2959" t="s">
        <v>12</v>
      </c>
      <c r="F2959">
        <v>159739532</v>
      </c>
      <c r="G2959">
        <v>159739590</v>
      </c>
      <c r="H2959">
        <v>159739592</v>
      </c>
      <c r="I2959">
        <v>159739622</v>
      </c>
    </row>
    <row r="2960" spans="1:9" x14ac:dyDescent="0.2">
      <c r="A2960" s="1" t="str">
        <f>"CCNK"</f>
        <v>CCNK</v>
      </c>
      <c r="B2960" t="s">
        <v>9</v>
      </c>
      <c r="C2960" t="s">
        <v>41</v>
      </c>
      <c r="D2960" t="s">
        <v>17</v>
      </c>
      <c r="E2960" t="s">
        <v>12</v>
      </c>
      <c r="F2960">
        <v>99947715</v>
      </c>
      <c r="G2960">
        <v>99947791</v>
      </c>
      <c r="H2960">
        <v>99947715</v>
      </c>
      <c r="I2960">
        <v>99947791</v>
      </c>
    </row>
    <row r="2961" spans="1:9" x14ac:dyDescent="0.2">
      <c r="A2961" s="1" t="str">
        <f>"CCNK"</f>
        <v>CCNK</v>
      </c>
      <c r="B2961" t="s">
        <v>13</v>
      </c>
      <c r="C2961" t="s">
        <v>41</v>
      </c>
      <c r="D2961" t="s">
        <v>17</v>
      </c>
      <c r="E2961" t="s">
        <v>12</v>
      </c>
      <c r="F2961">
        <v>99969078</v>
      </c>
      <c r="G2961">
        <v>99969151</v>
      </c>
      <c r="H2961">
        <v>99969078</v>
      </c>
      <c r="I2961">
        <v>99969151</v>
      </c>
    </row>
    <row r="2962" spans="1:9" x14ac:dyDescent="0.2">
      <c r="A2962" s="1" t="str">
        <f>"CCNL1"</f>
        <v>CCNL1</v>
      </c>
      <c r="B2962" t="s">
        <v>14</v>
      </c>
      <c r="C2962" t="s">
        <v>22</v>
      </c>
      <c r="D2962" t="s">
        <v>11</v>
      </c>
      <c r="E2962" t="s">
        <v>12</v>
      </c>
      <c r="F2962">
        <v>156877896</v>
      </c>
      <c r="G2962">
        <v>156877946</v>
      </c>
      <c r="H2962">
        <v>156877955</v>
      </c>
      <c r="I2962">
        <v>156877974</v>
      </c>
    </row>
    <row r="2963" spans="1:9" x14ac:dyDescent="0.2">
      <c r="A2963" s="1" t="str">
        <f>"CCNL2"</f>
        <v>CCNL2</v>
      </c>
      <c r="B2963" t="s">
        <v>14</v>
      </c>
      <c r="C2963" t="s">
        <v>19</v>
      </c>
      <c r="D2963" t="s">
        <v>11</v>
      </c>
      <c r="E2963" t="s">
        <v>12</v>
      </c>
      <c r="F2963">
        <v>1334685</v>
      </c>
      <c r="G2963">
        <v>1334722</v>
      </c>
      <c r="H2963">
        <v>1334685</v>
      </c>
      <c r="I2963">
        <v>1334722</v>
      </c>
    </row>
    <row r="2964" spans="1:9" x14ac:dyDescent="0.2">
      <c r="A2964" s="1" t="str">
        <f>"CCNO"</f>
        <v>CCNO</v>
      </c>
      <c r="B2964" t="s">
        <v>14</v>
      </c>
      <c r="C2964" t="s">
        <v>46</v>
      </c>
      <c r="D2964" t="s">
        <v>11</v>
      </c>
      <c r="E2964" t="s">
        <v>12</v>
      </c>
      <c r="F2964">
        <v>54529415</v>
      </c>
      <c r="G2964">
        <v>54529468</v>
      </c>
      <c r="H2964">
        <v>54529415</v>
      </c>
      <c r="I2964">
        <v>54529468</v>
      </c>
    </row>
    <row r="2965" spans="1:9" x14ac:dyDescent="0.2">
      <c r="A2965" s="1" t="str">
        <f>"CCNT1"</f>
        <v>CCNT1</v>
      </c>
      <c r="B2965" t="s">
        <v>14</v>
      </c>
      <c r="C2965" t="s">
        <v>16</v>
      </c>
      <c r="D2965" t="s">
        <v>11</v>
      </c>
      <c r="E2965" t="s">
        <v>12</v>
      </c>
      <c r="F2965">
        <v>49110458</v>
      </c>
      <c r="G2965">
        <v>49110567</v>
      </c>
      <c r="H2965">
        <v>49110613</v>
      </c>
      <c r="I2965">
        <v>49110629</v>
      </c>
    </row>
    <row r="2966" spans="1:9" x14ac:dyDescent="0.2">
      <c r="A2966" s="1" t="str">
        <f>"CCNT2"</f>
        <v>CCNT2</v>
      </c>
      <c r="B2966" t="s">
        <v>14</v>
      </c>
      <c r="C2966" t="s">
        <v>26</v>
      </c>
      <c r="D2966" t="s">
        <v>17</v>
      </c>
      <c r="E2966" t="s">
        <v>12</v>
      </c>
      <c r="F2966">
        <v>135676381</v>
      </c>
      <c r="G2966">
        <v>135676435</v>
      </c>
      <c r="H2966">
        <v>135675838</v>
      </c>
      <c r="I2966">
        <v>135675872</v>
      </c>
    </row>
    <row r="2967" spans="1:9" x14ac:dyDescent="0.2">
      <c r="A2967" s="1" t="str">
        <f>"CCNY"</f>
        <v>CCNY</v>
      </c>
      <c r="B2967" t="s">
        <v>14</v>
      </c>
      <c r="C2967" t="s">
        <v>15</v>
      </c>
      <c r="D2967" t="s">
        <v>17</v>
      </c>
      <c r="E2967" t="s">
        <v>12</v>
      </c>
      <c r="F2967">
        <v>35625414</v>
      </c>
      <c r="G2967">
        <v>35625477</v>
      </c>
      <c r="H2967">
        <v>35625548</v>
      </c>
      <c r="I2967">
        <v>35625619</v>
      </c>
    </row>
    <row r="2968" spans="1:9" x14ac:dyDescent="0.2">
      <c r="A2968" s="1" t="str">
        <f>"CCNYL1"</f>
        <v>CCNYL1</v>
      </c>
      <c r="B2968" t="s">
        <v>14</v>
      </c>
      <c r="C2968" t="s">
        <v>26</v>
      </c>
      <c r="D2968" t="s">
        <v>17</v>
      </c>
      <c r="E2968" t="s">
        <v>12</v>
      </c>
      <c r="F2968">
        <v>208576355</v>
      </c>
      <c r="G2968">
        <v>208576375</v>
      </c>
      <c r="H2968">
        <v>208576233</v>
      </c>
      <c r="I2968">
        <v>208576244</v>
      </c>
    </row>
    <row r="2969" spans="1:9" x14ac:dyDescent="0.2">
      <c r="A2969" s="1" t="str">
        <f>"CCP110"</f>
        <v>CCP110</v>
      </c>
      <c r="B2969" t="s">
        <v>14</v>
      </c>
      <c r="C2969" t="s">
        <v>31</v>
      </c>
      <c r="D2969" t="s">
        <v>17</v>
      </c>
      <c r="E2969" t="s">
        <v>12</v>
      </c>
      <c r="F2969">
        <v>19535235</v>
      </c>
      <c r="G2969">
        <v>19535286</v>
      </c>
      <c r="H2969">
        <v>19535167</v>
      </c>
      <c r="I2969">
        <v>19535231</v>
      </c>
    </row>
    <row r="2970" spans="1:9" x14ac:dyDescent="0.2">
      <c r="A2970" s="1" t="str">
        <f>"CCPG1"</f>
        <v>CCPG1</v>
      </c>
      <c r="B2970" t="s">
        <v>14</v>
      </c>
      <c r="C2970" t="s">
        <v>25</v>
      </c>
      <c r="D2970" t="s">
        <v>11</v>
      </c>
      <c r="E2970" t="s">
        <v>12</v>
      </c>
      <c r="F2970">
        <v>55700459</v>
      </c>
      <c r="G2970">
        <v>55700520</v>
      </c>
      <c r="H2970">
        <v>55700522</v>
      </c>
      <c r="I2970">
        <v>55700573</v>
      </c>
    </row>
    <row r="2971" spans="1:9" x14ac:dyDescent="0.2">
      <c r="A2971" s="1" t="str">
        <f>"CCR1"</f>
        <v>CCR1</v>
      </c>
      <c r="B2971" t="s">
        <v>14</v>
      </c>
      <c r="C2971" t="s">
        <v>22</v>
      </c>
      <c r="D2971" t="s">
        <v>11</v>
      </c>
      <c r="E2971" t="s">
        <v>12</v>
      </c>
      <c r="F2971">
        <v>46249795</v>
      </c>
      <c r="G2971">
        <v>46249837</v>
      </c>
      <c r="H2971">
        <v>46249878</v>
      </c>
      <c r="I2971">
        <v>46249905</v>
      </c>
    </row>
    <row r="2972" spans="1:9" x14ac:dyDescent="0.2">
      <c r="A2972" s="1" t="str">
        <f>"CCR10"</f>
        <v>CCR10</v>
      </c>
      <c r="B2972" t="s">
        <v>14</v>
      </c>
      <c r="C2972" t="s">
        <v>28</v>
      </c>
      <c r="D2972" t="s">
        <v>11</v>
      </c>
      <c r="E2972" t="s">
        <v>12</v>
      </c>
      <c r="F2972">
        <v>40833858</v>
      </c>
      <c r="G2972">
        <v>40833861</v>
      </c>
      <c r="H2972">
        <v>40833892</v>
      </c>
      <c r="I2972">
        <v>40833897</v>
      </c>
    </row>
    <row r="2973" spans="1:9" x14ac:dyDescent="0.2">
      <c r="A2973" s="1" t="str">
        <f>"CCR2"</f>
        <v>CCR2</v>
      </c>
      <c r="B2973" t="s">
        <v>14</v>
      </c>
      <c r="C2973" t="s">
        <v>22</v>
      </c>
      <c r="D2973" t="s">
        <v>17</v>
      </c>
      <c r="E2973" t="s">
        <v>12</v>
      </c>
      <c r="F2973">
        <v>46395579</v>
      </c>
      <c r="G2973">
        <v>46395623</v>
      </c>
      <c r="H2973">
        <v>46395344</v>
      </c>
      <c r="I2973">
        <v>46395359</v>
      </c>
    </row>
    <row r="2974" spans="1:9" x14ac:dyDescent="0.2">
      <c r="A2974" s="1" t="str">
        <f>"CCR3"</f>
        <v>CCR3</v>
      </c>
      <c r="B2974" t="s">
        <v>14</v>
      </c>
      <c r="C2974" t="s">
        <v>22</v>
      </c>
      <c r="D2974" t="s">
        <v>17</v>
      </c>
      <c r="E2974" t="s">
        <v>12</v>
      </c>
      <c r="F2974">
        <v>46283944</v>
      </c>
      <c r="G2974">
        <v>46283958</v>
      </c>
      <c r="H2974">
        <v>46283916</v>
      </c>
      <c r="I2974">
        <v>46283927</v>
      </c>
    </row>
    <row r="2975" spans="1:9" x14ac:dyDescent="0.2">
      <c r="A2975" s="1" t="str">
        <f>"CCR4"</f>
        <v>CCR4</v>
      </c>
      <c r="B2975" t="s">
        <v>14</v>
      </c>
      <c r="C2975" t="s">
        <v>22</v>
      </c>
      <c r="D2975" t="s">
        <v>17</v>
      </c>
      <c r="E2975" t="s">
        <v>12</v>
      </c>
      <c r="F2975">
        <v>32993128</v>
      </c>
      <c r="G2975">
        <v>32993144</v>
      </c>
      <c r="H2975">
        <v>32993109</v>
      </c>
      <c r="I2975">
        <v>32993124</v>
      </c>
    </row>
    <row r="2976" spans="1:9" x14ac:dyDescent="0.2">
      <c r="A2976" s="1" t="str">
        <f>"CCR5"</f>
        <v>CCR5</v>
      </c>
      <c r="B2976" t="s">
        <v>14</v>
      </c>
      <c r="C2976" t="s">
        <v>22</v>
      </c>
      <c r="D2976" t="s">
        <v>17</v>
      </c>
      <c r="E2976" t="s">
        <v>12</v>
      </c>
      <c r="F2976">
        <v>46412429</v>
      </c>
      <c r="G2976">
        <v>46412444</v>
      </c>
      <c r="H2976">
        <v>46412395</v>
      </c>
      <c r="I2976">
        <v>46412424</v>
      </c>
    </row>
    <row r="2977" spans="1:9" x14ac:dyDescent="0.2">
      <c r="A2977" s="1" t="str">
        <f>"CCR6"</f>
        <v>CCR6</v>
      </c>
      <c r="B2977" t="s">
        <v>205</v>
      </c>
      <c r="C2977" t="s">
        <v>32</v>
      </c>
      <c r="D2977" t="s">
        <v>17</v>
      </c>
      <c r="E2977" t="s">
        <v>75</v>
      </c>
      <c r="F2977">
        <v>167536230</v>
      </c>
      <c r="G2977">
        <v>167536251</v>
      </c>
      <c r="H2977">
        <v>167536230</v>
      </c>
      <c r="I2977">
        <v>167536251</v>
      </c>
    </row>
    <row r="2978" spans="1:9" x14ac:dyDescent="0.2">
      <c r="A2978" s="1" t="str">
        <f>"CCR6"</f>
        <v>CCR6</v>
      </c>
      <c r="B2978" t="s">
        <v>206</v>
      </c>
      <c r="C2978" t="s">
        <v>32</v>
      </c>
      <c r="D2978" t="s">
        <v>17</v>
      </c>
      <c r="E2978" t="s">
        <v>75</v>
      </c>
      <c r="F2978">
        <v>167525277</v>
      </c>
      <c r="G2978">
        <v>167525292</v>
      </c>
      <c r="H2978">
        <v>167525364</v>
      </c>
      <c r="I2978">
        <v>167525366</v>
      </c>
    </row>
    <row r="2979" spans="1:9" x14ac:dyDescent="0.2">
      <c r="A2979" s="1" t="str">
        <f>"CCR7"</f>
        <v>CCR7</v>
      </c>
      <c r="B2979" t="s">
        <v>9</v>
      </c>
      <c r="C2979" t="s">
        <v>28</v>
      </c>
      <c r="D2979" t="s">
        <v>11</v>
      </c>
      <c r="E2979" t="s">
        <v>12</v>
      </c>
      <c r="F2979">
        <v>38721717</v>
      </c>
      <c r="G2979">
        <v>38721730</v>
      </c>
      <c r="H2979">
        <v>38721717</v>
      </c>
      <c r="I2979">
        <v>38721730</v>
      </c>
    </row>
    <row r="2980" spans="1:9" x14ac:dyDescent="0.2">
      <c r="A2980" s="1" t="str">
        <f>"CCR7"</f>
        <v>CCR7</v>
      </c>
      <c r="B2980" t="s">
        <v>13</v>
      </c>
      <c r="C2980" t="s">
        <v>28</v>
      </c>
      <c r="D2980" t="s">
        <v>11</v>
      </c>
      <c r="E2980" t="s">
        <v>12</v>
      </c>
      <c r="F2980">
        <v>38717128</v>
      </c>
      <c r="G2980">
        <v>38717139</v>
      </c>
      <c r="H2980">
        <v>38717128</v>
      </c>
      <c r="I2980">
        <v>38717139</v>
      </c>
    </row>
    <row r="2981" spans="1:9" x14ac:dyDescent="0.2">
      <c r="A2981" s="1" t="str">
        <f>"CCR8"</f>
        <v>CCR8</v>
      </c>
      <c r="B2981" t="s">
        <v>14</v>
      </c>
      <c r="C2981" t="s">
        <v>22</v>
      </c>
      <c r="D2981" t="s">
        <v>17</v>
      </c>
      <c r="E2981" t="s">
        <v>12</v>
      </c>
      <c r="F2981">
        <v>39371213</v>
      </c>
      <c r="G2981">
        <v>39371253</v>
      </c>
      <c r="H2981">
        <v>39371191</v>
      </c>
      <c r="I2981">
        <v>39371212</v>
      </c>
    </row>
    <row r="2982" spans="1:9" x14ac:dyDescent="0.2">
      <c r="A2982" s="1" t="str">
        <f>"CCR9"</f>
        <v>CCR9</v>
      </c>
      <c r="B2982" t="s">
        <v>14</v>
      </c>
      <c r="C2982" t="s">
        <v>22</v>
      </c>
      <c r="D2982" t="s">
        <v>17</v>
      </c>
      <c r="E2982" t="s">
        <v>12</v>
      </c>
      <c r="F2982">
        <v>45928029</v>
      </c>
      <c r="G2982">
        <v>45928050</v>
      </c>
      <c r="H2982">
        <v>45927994</v>
      </c>
      <c r="I2982">
        <v>45928015</v>
      </c>
    </row>
    <row r="2983" spans="1:9" x14ac:dyDescent="0.2">
      <c r="A2983" s="1" t="str">
        <f>"CCRL2"</f>
        <v>CCRL2</v>
      </c>
      <c r="B2983" t="s">
        <v>14</v>
      </c>
      <c r="C2983" t="s">
        <v>22</v>
      </c>
      <c r="D2983" t="s">
        <v>17</v>
      </c>
      <c r="E2983" t="s">
        <v>12</v>
      </c>
      <c r="F2983">
        <v>46448742</v>
      </c>
      <c r="G2983">
        <v>46448764</v>
      </c>
      <c r="H2983">
        <v>46448648</v>
      </c>
      <c r="I2983">
        <v>46448662</v>
      </c>
    </row>
    <row r="2984" spans="1:9" x14ac:dyDescent="0.2">
      <c r="A2984" s="1" t="str">
        <f>"CCRN4L"</f>
        <v>CCRN4L</v>
      </c>
      <c r="B2984" t="s">
        <v>14</v>
      </c>
      <c r="C2984" t="s">
        <v>23</v>
      </c>
      <c r="D2984" t="s">
        <v>17</v>
      </c>
      <c r="E2984" t="s">
        <v>12</v>
      </c>
      <c r="F2984">
        <v>139936905</v>
      </c>
      <c r="G2984">
        <v>139936944</v>
      </c>
      <c r="H2984">
        <v>139937032</v>
      </c>
      <c r="I2984">
        <v>139937054</v>
      </c>
    </row>
    <row r="2985" spans="1:9" x14ac:dyDescent="0.2">
      <c r="A2985" s="1" t="str">
        <f>"CCS"</f>
        <v>CCS</v>
      </c>
      <c r="B2985" t="s">
        <v>14</v>
      </c>
      <c r="C2985" t="s">
        <v>27</v>
      </c>
      <c r="D2985" t="s">
        <v>17</v>
      </c>
      <c r="E2985" t="s">
        <v>12</v>
      </c>
      <c r="F2985">
        <v>66360642</v>
      </c>
      <c r="G2985">
        <v>66360664</v>
      </c>
      <c r="H2985">
        <v>66360665</v>
      </c>
      <c r="I2985">
        <v>66360682</v>
      </c>
    </row>
    <row r="2986" spans="1:9" x14ac:dyDescent="0.2">
      <c r="A2986" s="1" t="str">
        <f>"CCSAP"</f>
        <v>CCSAP</v>
      </c>
      <c r="B2986" t="s">
        <v>14</v>
      </c>
      <c r="C2986" t="s">
        <v>19</v>
      </c>
      <c r="D2986" t="s">
        <v>11</v>
      </c>
      <c r="E2986" t="s">
        <v>12</v>
      </c>
      <c r="F2986">
        <v>229478236</v>
      </c>
      <c r="G2986">
        <v>229478308</v>
      </c>
      <c r="H2986">
        <v>229478714</v>
      </c>
      <c r="I2986">
        <v>229478815</v>
      </c>
    </row>
    <row r="2987" spans="1:9" x14ac:dyDescent="0.2">
      <c r="A2987" s="1" t="str">
        <f>"CCSER1"</f>
        <v>CCSER1</v>
      </c>
      <c r="B2987" t="s">
        <v>14</v>
      </c>
      <c r="C2987" t="s">
        <v>23</v>
      </c>
      <c r="D2987" t="s">
        <v>17</v>
      </c>
      <c r="E2987" t="s">
        <v>12</v>
      </c>
      <c r="F2987">
        <v>91048675</v>
      </c>
      <c r="G2987">
        <v>91048696</v>
      </c>
      <c r="H2987">
        <v>91048706</v>
      </c>
      <c r="I2987">
        <v>91048741</v>
      </c>
    </row>
    <row r="2988" spans="1:9" x14ac:dyDescent="0.2">
      <c r="A2988" s="1" t="str">
        <f>"CCSER2"</f>
        <v>CCSER2</v>
      </c>
      <c r="B2988" t="s">
        <v>14</v>
      </c>
      <c r="C2988" t="s">
        <v>15</v>
      </c>
      <c r="D2988" t="s">
        <v>17</v>
      </c>
      <c r="E2988" t="s">
        <v>12</v>
      </c>
      <c r="F2988">
        <v>86088381</v>
      </c>
      <c r="G2988">
        <v>86088436</v>
      </c>
      <c r="H2988">
        <v>86088337</v>
      </c>
      <c r="I2988">
        <v>86088377</v>
      </c>
    </row>
    <row r="2989" spans="1:9" x14ac:dyDescent="0.2">
      <c r="A2989" s="1" t="str">
        <f>"CCT2"</f>
        <v>CCT2</v>
      </c>
      <c r="B2989" t="s">
        <v>14</v>
      </c>
      <c r="C2989" t="s">
        <v>16</v>
      </c>
      <c r="D2989" t="s">
        <v>17</v>
      </c>
      <c r="E2989" t="s">
        <v>12</v>
      </c>
      <c r="F2989">
        <v>69979210</v>
      </c>
      <c r="G2989">
        <v>69979252</v>
      </c>
      <c r="H2989">
        <v>69979270</v>
      </c>
      <c r="I2989">
        <v>69979281</v>
      </c>
    </row>
    <row r="2990" spans="1:9" x14ac:dyDescent="0.2">
      <c r="A2990" s="1" t="str">
        <f>"CCT3"</f>
        <v>CCT3</v>
      </c>
      <c r="B2990" t="s">
        <v>14</v>
      </c>
      <c r="C2990" t="s">
        <v>19</v>
      </c>
      <c r="D2990" t="s">
        <v>11</v>
      </c>
      <c r="E2990" t="s">
        <v>12</v>
      </c>
      <c r="F2990">
        <v>156308018</v>
      </c>
      <c r="G2990">
        <v>156308101</v>
      </c>
      <c r="H2990">
        <v>156307992</v>
      </c>
      <c r="I2990">
        <v>156308013</v>
      </c>
    </row>
    <row r="2991" spans="1:9" x14ac:dyDescent="0.2">
      <c r="A2991" s="1" t="str">
        <f>"CCT4"</f>
        <v>CCT4</v>
      </c>
      <c r="B2991" t="s">
        <v>14</v>
      </c>
      <c r="C2991" t="s">
        <v>26</v>
      </c>
      <c r="D2991" t="s">
        <v>11</v>
      </c>
      <c r="E2991" t="s">
        <v>12</v>
      </c>
      <c r="F2991">
        <v>62115725</v>
      </c>
      <c r="G2991">
        <v>62115799</v>
      </c>
      <c r="H2991">
        <v>62115706</v>
      </c>
      <c r="I2991">
        <v>62115720</v>
      </c>
    </row>
    <row r="2992" spans="1:9" x14ac:dyDescent="0.2">
      <c r="A2992" s="1" t="str">
        <f>"CCT5"</f>
        <v>CCT5</v>
      </c>
      <c r="B2992" t="s">
        <v>14</v>
      </c>
      <c r="C2992" t="s">
        <v>46</v>
      </c>
      <c r="D2992" t="s">
        <v>17</v>
      </c>
      <c r="E2992" t="s">
        <v>12</v>
      </c>
      <c r="F2992">
        <v>10250384</v>
      </c>
      <c r="G2992">
        <v>10250450</v>
      </c>
      <c r="H2992">
        <v>10250349</v>
      </c>
      <c r="I2992">
        <v>10250362</v>
      </c>
    </row>
    <row r="2993" spans="1:9" x14ac:dyDescent="0.2">
      <c r="A2993" s="1" t="str">
        <f>"CCT6A"</f>
        <v>CCT6A</v>
      </c>
      <c r="B2993" t="s">
        <v>14</v>
      </c>
      <c r="C2993" t="s">
        <v>33</v>
      </c>
      <c r="D2993" t="s">
        <v>17</v>
      </c>
      <c r="E2993" t="s">
        <v>12</v>
      </c>
      <c r="F2993">
        <v>56119449</v>
      </c>
      <c r="G2993">
        <v>56119492</v>
      </c>
      <c r="H2993">
        <v>56119495</v>
      </c>
      <c r="I2993">
        <v>56119531</v>
      </c>
    </row>
    <row r="2994" spans="1:9" x14ac:dyDescent="0.2">
      <c r="A2994" s="1" t="str">
        <f>"CCT6B"</f>
        <v>CCT6B</v>
      </c>
      <c r="B2994" t="s">
        <v>14</v>
      </c>
      <c r="C2994" t="s">
        <v>28</v>
      </c>
      <c r="D2994" t="s">
        <v>11</v>
      </c>
      <c r="E2994" t="s">
        <v>12</v>
      </c>
      <c r="F2994">
        <v>33288467</v>
      </c>
      <c r="G2994">
        <v>33288486</v>
      </c>
      <c r="H2994">
        <v>33288419</v>
      </c>
      <c r="I2994">
        <v>33288437</v>
      </c>
    </row>
    <row r="2995" spans="1:9" x14ac:dyDescent="0.2">
      <c r="A2995" s="1" t="str">
        <f>"CCT7"</f>
        <v>CCT7</v>
      </c>
      <c r="B2995" t="s">
        <v>14</v>
      </c>
      <c r="C2995" t="s">
        <v>26</v>
      </c>
      <c r="D2995" t="s">
        <v>17</v>
      </c>
      <c r="E2995" t="s">
        <v>12</v>
      </c>
      <c r="F2995">
        <v>73461410</v>
      </c>
      <c r="G2995">
        <v>73461463</v>
      </c>
      <c r="H2995">
        <v>73461388</v>
      </c>
      <c r="I2995">
        <v>73461399</v>
      </c>
    </row>
    <row r="2996" spans="1:9" x14ac:dyDescent="0.2">
      <c r="A2996" s="1" t="str">
        <f>"CCT8"</f>
        <v>CCT8</v>
      </c>
      <c r="B2996" t="s">
        <v>14</v>
      </c>
      <c r="C2996" t="s">
        <v>42</v>
      </c>
      <c r="D2996" t="s">
        <v>11</v>
      </c>
      <c r="E2996" t="s">
        <v>12</v>
      </c>
      <c r="F2996">
        <v>30445927</v>
      </c>
      <c r="G2996">
        <v>30446010</v>
      </c>
      <c r="H2996">
        <v>30445927</v>
      </c>
      <c r="I2996">
        <v>30446010</v>
      </c>
    </row>
    <row r="2997" spans="1:9" x14ac:dyDescent="0.2">
      <c r="A2997" s="1" t="str">
        <f>"CCT8L2"</f>
        <v>CCT8L2</v>
      </c>
      <c r="B2997" t="s">
        <v>207</v>
      </c>
      <c r="C2997" t="s">
        <v>21</v>
      </c>
      <c r="D2997" t="s">
        <v>11</v>
      </c>
      <c r="E2997" t="s">
        <v>20</v>
      </c>
      <c r="F2997">
        <v>17073699</v>
      </c>
      <c r="G2997">
        <v>17073699</v>
      </c>
      <c r="H2997">
        <v>17073699</v>
      </c>
      <c r="I2997">
        <v>17073699</v>
      </c>
    </row>
    <row r="2998" spans="1:9" x14ac:dyDescent="0.2">
      <c r="A2998" s="1" t="str">
        <f>"CCZ1"</f>
        <v>CCZ1</v>
      </c>
      <c r="B2998" t="s">
        <v>14</v>
      </c>
      <c r="C2998" t="s">
        <v>33</v>
      </c>
      <c r="D2998" t="s">
        <v>17</v>
      </c>
      <c r="E2998" t="s">
        <v>12</v>
      </c>
      <c r="F2998">
        <v>5938386</v>
      </c>
      <c r="G2998">
        <v>5938430</v>
      </c>
      <c r="H2998">
        <v>5938351</v>
      </c>
      <c r="I2998">
        <v>5938379</v>
      </c>
    </row>
    <row r="2999" spans="1:9" x14ac:dyDescent="0.2">
      <c r="A2999" s="1" t="str">
        <f>"CCZ1B"</f>
        <v>CCZ1B</v>
      </c>
      <c r="B2999" t="s">
        <v>208</v>
      </c>
      <c r="C2999" t="s">
        <v>33</v>
      </c>
      <c r="D2999" t="s">
        <v>11</v>
      </c>
      <c r="E2999" t="s">
        <v>20</v>
      </c>
      <c r="F2999">
        <v>6866400</v>
      </c>
      <c r="G2999">
        <v>6866400</v>
      </c>
      <c r="H2999">
        <v>6866400</v>
      </c>
      <c r="I2999">
        <v>6866400</v>
      </c>
    </row>
    <row r="3000" spans="1:9" x14ac:dyDescent="0.2">
      <c r="A3000" s="1" t="str">
        <f>"CD101"</f>
        <v>CD101</v>
      </c>
      <c r="B3000" t="s">
        <v>14</v>
      </c>
      <c r="C3000" t="s">
        <v>19</v>
      </c>
      <c r="D3000" t="s">
        <v>17</v>
      </c>
      <c r="E3000" t="s">
        <v>12</v>
      </c>
      <c r="F3000">
        <v>117544366</v>
      </c>
      <c r="G3000">
        <v>117544411</v>
      </c>
      <c r="H3000">
        <v>117544349</v>
      </c>
      <c r="I3000">
        <v>117544362</v>
      </c>
    </row>
    <row r="3001" spans="1:9" x14ac:dyDescent="0.2">
      <c r="A3001" s="1" t="str">
        <f>"CD109"</f>
        <v>CD109</v>
      </c>
      <c r="B3001" t="s">
        <v>14</v>
      </c>
      <c r="C3001" t="s">
        <v>32</v>
      </c>
      <c r="D3001" t="s">
        <v>17</v>
      </c>
      <c r="E3001" t="s">
        <v>12</v>
      </c>
      <c r="F3001">
        <v>74405870</v>
      </c>
      <c r="G3001">
        <v>74405932</v>
      </c>
      <c r="H3001">
        <v>74405539</v>
      </c>
      <c r="I3001">
        <v>74405555</v>
      </c>
    </row>
    <row r="3002" spans="1:9" x14ac:dyDescent="0.2">
      <c r="A3002" s="1" t="str">
        <f>"CD14"</f>
        <v>CD14</v>
      </c>
      <c r="B3002" t="s">
        <v>14</v>
      </c>
      <c r="C3002" t="s">
        <v>46</v>
      </c>
      <c r="D3002" t="s">
        <v>11</v>
      </c>
      <c r="E3002" t="s">
        <v>12</v>
      </c>
      <c r="F3002">
        <v>140012752</v>
      </c>
      <c r="G3002">
        <v>140012768</v>
      </c>
      <c r="H3002">
        <v>140012752</v>
      </c>
      <c r="I3002">
        <v>140012768</v>
      </c>
    </row>
    <row r="3003" spans="1:9" x14ac:dyDescent="0.2">
      <c r="A3003" s="1" t="str">
        <f>"CD151"</f>
        <v>CD151</v>
      </c>
      <c r="B3003" t="s">
        <v>14</v>
      </c>
      <c r="C3003" t="s">
        <v>27</v>
      </c>
      <c r="D3003" t="s">
        <v>17</v>
      </c>
      <c r="E3003" t="s">
        <v>12</v>
      </c>
      <c r="F3003">
        <v>832944</v>
      </c>
      <c r="G3003">
        <v>832994</v>
      </c>
      <c r="H3003">
        <v>832701</v>
      </c>
      <c r="I3003">
        <v>832778</v>
      </c>
    </row>
    <row r="3004" spans="1:9" x14ac:dyDescent="0.2">
      <c r="A3004" s="1" t="str">
        <f>"CD160"</f>
        <v>CD160</v>
      </c>
      <c r="B3004" t="s">
        <v>14</v>
      </c>
      <c r="C3004" t="s">
        <v>19</v>
      </c>
      <c r="D3004" t="s">
        <v>11</v>
      </c>
      <c r="E3004" t="s">
        <v>12</v>
      </c>
      <c r="F3004">
        <v>145715572</v>
      </c>
      <c r="G3004">
        <v>145715599</v>
      </c>
      <c r="H3004">
        <v>145715634</v>
      </c>
      <c r="I3004">
        <v>145715642</v>
      </c>
    </row>
    <row r="3005" spans="1:9" x14ac:dyDescent="0.2">
      <c r="A3005" s="1" t="str">
        <f>"CD163"</f>
        <v>CD163</v>
      </c>
      <c r="B3005" t="s">
        <v>14</v>
      </c>
      <c r="C3005" t="s">
        <v>16</v>
      </c>
      <c r="D3005" t="s">
        <v>11</v>
      </c>
      <c r="E3005" t="s">
        <v>12</v>
      </c>
      <c r="F3005">
        <v>7656357</v>
      </c>
      <c r="G3005">
        <v>7656379</v>
      </c>
      <c r="H3005">
        <v>7656345</v>
      </c>
      <c r="I3005">
        <v>7656356</v>
      </c>
    </row>
    <row r="3006" spans="1:9" x14ac:dyDescent="0.2">
      <c r="A3006" s="1" t="str">
        <f>"CD163L1"</f>
        <v>CD163L1</v>
      </c>
      <c r="B3006" t="s">
        <v>209</v>
      </c>
      <c r="C3006" t="s">
        <v>16</v>
      </c>
      <c r="D3006" t="s">
        <v>11</v>
      </c>
      <c r="E3006" t="s">
        <v>20</v>
      </c>
      <c r="F3006">
        <v>7596760</v>
      </c>
      <c r="G3006">
        <v>7596760</v>
      </c>
      <c r="H3006">
        <v>7596760</v>
      </c>
      <c r="I3006">
        <v>7596760</v>
      </c>
    </row>
    <row r="3007" spans="1:9" x14ac:dyDescent="0.2">
      <c r="A3007" s="1" t="str">
        <f>"CD164"</f>
        <v>CD164</v>
      </c>
      <c r="B3007" t="s">
        <v>14</v>
      </c>
      <c r="C3007" t="s">
        <v>32</v>
      </c>
      <c r="D3007" t="s">
        <v>11</v>
      </c>
      <c r="E3007" t="s">
        <v>12</v>
      </c>
      <c r="F3007">
        <v>109703600</v>
      </c>
      <c r="G3007">
        <v>109703621</v>
      </c>
      <c r="H3007">
        <v>109703663</v>
      </c>
      <c r="I3007">
        <v>109703681</v>
      </c>
    </row>
    <row r="3008" spans="1:9" x14ac:dyDescent="0.2">
      <c r="A3008" s="1" t="str">
        <f>"CD164L2"</f>
        <v>CD164L2</v>
      </c>
      <c r="B3008" t="s">
        <v>14</v>
      </c>
      <c r="C3008" t="s">
        <v>19</v>
      </c>
      <c r="D3008" t="s">
        <v>11</v>
      </c>
      <c r="E3008" t="s">
        <v>12</v>
      </c>
      <c r="F3008">
        <v>27709816</v>
      </c>
      <c r="G3008">
        <v>27709829</v>
      </c>
      <c r="H3008">
        <v>27709799</v>
      </c>
      <c r="I3008">
        <v>27709810</v>
      </c>
    </row>
    <row r="3009" spans="1:9" x14ac:dyDescent="0.2">
      <c r="A3009" s="1" t="str">
        <f>"CD177"</f>
        <v>CD177</v>
      </c>
      <c r="B3009" t="s">
        <v>14</v>
      </c>
      <c r="C3009" t="s">
        <v>10</v>
      </c>
      <c r="D3009" t="s">
        <v>17</v>
      </c>
      <c r="E3009" t="s">
        <v>12</v>
      </c>
      <c r="F3009">
        <v>43857831</v>
      </c>
      <c r="G3009">
        <v>43857845</v>
      </c>
      <c r="H3009">
        <v>43857831</v>
      </c>
      <c r="I3009">
        <v>43857845</v>
      </c>
    </row>
    <row r="3010" spans="1:9" x14ac:dyDescent="0.2">
      <c r="A3010" s="1" t="str">
        <f>"CD180"</f>
        <v>CD180</v>
      </c>
      <c r="B3010" t="s">
        <v>14</v>
      </c>
      <c r="C3010" t="s">
        <v>46</v>
      </c>
      <c r="D3010" t="s">
        <v>11</v>
      </c>
      <c r="E3010" t="s">
        <v>12</v>
      </c>
      <c r="F3010">
        <v>66492562</v>
      </c>
      <c r="G3010">
        <v>66492635</v>
      </c>
      <c r="H3010">
        <v>66492562</v>
      </c>
      <c r="I3010">
        <v>66492635</v>
      </c>
    </row>
    <row r="3011" spans="1:9" x14ac:dyDescent="0.2">
      <c r="A3011" s="1" t="str">
        <f>"CD19"</f>
        <v>CD19</v>
      </c>
      <c r="B3011" t="s">
        <v>14</v>
      </c>
      <c r="C3011" t="s">
        <v>31</v>
      </c>
      <c r="D3011" t="s">
        <v>17</v>
      </c>
      <c r="E3011" t="s">
        <v>12</v>
      </c>
      <c r="F3011">
        <v>28943267</v>
      </c>
      <c r="G3011">
        <v>28943316</v>
      </c>
      <c r="H3011">
        <v>28943323</v>
      </c>
      <c r="I3011">
        <v>28943354</v>
      </c>
    </row>
    <row r="3012" spans="1:9" x14ac:dyDescent="0.2">
      <c r="A3012" s="1" t="str">
        <f>"CD1A"</f>
        <v>CD1A</v>
      </c>
      <c r="B3012" t="s">
        <v>14</v>
      </c>
      <c r="C3012" t="s">
        <v>19</v>
      </c>
      <c r="D3012" t="s">
        <v>17</v>
      </c>
      <c r="E3012" t="s">
        <v>12</v>
      </c>
      <c r="F3012">
        <v>158224204</v>
      </c>
      <c r="G3012">
        <v>158224231</v>
      </c>
      <c r="H3012">
        <v>158224204</v>
      </c>
      <c r="I3012">
        <v>158224231</v>
      </c>
    </row>
    <row r="3013" spans="1:9" x14ac:dyDescent="0.2">
      <c r="A3013" s="1" t="str">
        <f>"CD1B"</f>
        <v>CD1B</v>
      </c>
      <c r="B3013" t="s">
        <v>14</v>
      </c>
      <c r="C3013" t="s">
        <v>19</v>
      </c>
      <c r="D3013" t="s">
        <v>11</v>
      </c>
      <c r="E3013" t="s">
        <v>12</v>
      </c>
      <c r="F3013">
        <v>158301312</v>
      </c>
      <c r="G3013">
        <v>158301328</v>
      </c>
      <c r="H3013">
        <v>158301222</v>
      </c>
      <c r="I3013">
        <v>158301245</v>
      </c>
    </row>
    <row r="3014" spans="1:9" x14ac:dyDescent="0.2">
      <c r="A3014" s="1" t="str">
        <f>"CD1C"</f>
        <v>CD1C</v>
      </c>
      <c r="B3014" t="s">
        <v>14</v>
      </c>
      <c r="C3014" t="s">
        <v>19</v>
      </c>
      <c r="D3014" t="s">
        <v>17</v>
      </c>
      <c r="E3014" t="s">
        <v>12</v>
      </c>
      <c r="F3014">
        <v>158259705</v>
      </c>
      <c r="G3014">
        <v>158259821</v>
      </c>
      <c r="H3014">
        <v>158259705</v>
      </c>
      <c r="I3014">
        <v>158259821</v>
      </c>
    </row>
    <row r="3015" spans="1:9" x14ac:dyDescent="0.2">
      <c r="A3015" s="1" t="str">
        <f>"CD1D"</f>
        <v>CD1D</v>
      </c>
      <c r="B3015" t="s">
        <v>14</v>
      </c>
      <c r="C3015" t="s">
        <v>19</v>
      </c>
      <c r="D3015" t="s">
        <v>17</v>
      </c>
      <c r="E3015" t="s">
        <v>12</v>
      </c>
      <c r="F3015">
        <v>158150653</v>
      </c>
      <c r="G3015">
        <v>158150699</v>
      </c>
      <c r="H3015">
        <v>158150706</v>
      </c>
      <c r="I3015">
        <v>158150732</v>
      </c>
    </row>
    <row r="3016" spans="1:9" x14ac:dyDescent="0.2">
      <c r="A3016" s="1" t="str">
        <f>"CD1E"</f>
        <v>CD1E</v>
      </c>
      <c r="B3016" t="s">
        <v>14</v>
      </c>
      <c r="C3016" t="s">
        <v>19</v>
      </c>
      <c r="D3016" t="s">
        <v>17</v>
      </c>
      <c r="E3016" t="s">
        <v>12</v>
      </c>
      <c r="F3016">
        <v>158323639</v>
      </c>
      <c r="G3016">
        <v>158323693</v>
      </c>
      <c r="H3016">
        <v>158323639</v>
      </c>
      <c r="I3016">
        <v>158323693</v>
      </c>
    </row>
    <row r="3017" spans="1:9" x14ac:dyDescent="0.2">
      <c r="A3017" s="1" t="str">
        <f>"CD2"</f>
        <v>CD2</v>
      </c>
      <c r="B3017" t="s">
        <v>14</v>
      </c>
      <c r="C3017" t="s">
        <v>19</v>
      </c>
      <c r="D3017" t="s">
        <v>17</v>
      </c>
      <c r="E3017" t="s">
        <v>12</v>
      </c>
      <c r="F3017">
        <v>117297044</v>
      </c>
      <c r="G3017">
        <v>117297099</v>
      </c>
      <c r="H3017">
        <v>117297044</v>
      </c>
      <c r="I3017">
        <v>117297099</v>
      </c>
    </row>
    <row r="3018" spans="1:9" x14ac:dyDescent="0.2">
      <c r="A3018" s="1" t="str">
        <f>"CD200"</f>
        <v>CD200</v>
      </c>
      <c r="B3018" t="s">
        <v>14</v>
      </c>
      <c r="C3018" t="s">
        <v>22</v>
      </c>
      <c r="D3018" t="s">
        <v>17</v>
      </c>
      <c r="E3018" t="s">
        <v>12</v>
      </c>
      <c r="F3018">
        <v>112051994</v>
      </c>
      <c r="G3018">
        <v>112052043</v>
      </c>
      <c r="H3018">
        <v>112051972</v>
      </c>
      <c r="I3018">
        <v>112051988</v>
      </c>
    </row>
    <row r="3019" spans="1:9" x14ac:dyDescent="0.2">
      <c r="A3019" s="1" t="str">
        <f>"CD200R1"</f>
        <v>CD200R1</v>
      </c>
      <c r="B3019" t="s">
        <v>14</v>
      </c>
      <c r="C3019" t="s">
        <v>22</v>
      </c>
      <c r="D3019" t="s">
        <v>11</v>
      </c>
      <c r="E3019" t="s">
        <v>12</v>
      </c>
      <c r="F3019">
        <v>112693865</v>
      </c>
      <c r="G3019">
        <v>112693987</v>
      </c>
      <c r="H3019">
        <v>112693802</v>
      </c>
      <c r="I3019">
        <v>112693820</v>
      </c>
    </row>
    <row r="3020" spans="1:9" x14ac:dyDescent="0.2">
      <c r="A3020" s="1" t="str">
        <f>"CD200R1L"</f>
        <v>CD200R1L</v>
      </c>
      <c r="B3020" t="s">
        <v>14</v>
      </c>
      <c r="C3020" t="s">
        <v>22</v>
      </c>
      <c r="D3020" t="s">
        <v>11</v>
      </c>
      <c r="E3020" t="s">
        <v>12</v>
      </c>
      <c r="F3020">
        <v>112565692</v>
      </c>
      <c r="G3020">
        <v>112565726</v>
      </c>
      <c r="H3020">
        <v>112565692</v>
      </c>
      <c r="I3020">
        <v>112565726</v>
      </c>
    </row>
    <row r="3021" spans="1:9" x14ac:dyDescent="0.2">
      <c r="A3021" s="1" t="str">
        <f>"CD207"</f>
        <v>CD207</v>
      </c>
      <c r="B3021" t="s">
        <v>14</v>
      </c>
      <c r="C3021" t="s">
        <v>26</v>
      </c>
      <c r="D3021" t="s">
        <v>11</v>
      </c>
      <c r="E3021" t="s">
        <v>12</v>
      </c>
      <c r="F3021">
        <v>71062938</v>
      </c>
      <c r="G3021">
        <v>71062952</v>
      </c>
      <c r="H3021">
        <v>71062938</v>
      </c>
      <c r="I3021">
        <v>71062952</v>
      </c>
    </row>
    <row r="3022" spans="1:9" x14ac:dyDescent="0.2">
      <c r="A3022" s="1" t="str">
        <f>"CD209"</f>
        <v>CD209</v>
      </c>
      <c r="B3022" t="s">
        <v>14</v>
      </c>
      <c r="C3022" t="s">
        <v>10</v>
      </c>
      <c r="D3022" t="s">
        <v>11</v>
      </c>
      <c r="E3022" t="s">
        <v>12</v>
      </c>
      <c r="F3022">
        <v>7812475</v>
      </c>
      <c r="G3022">
        <v>7812509</v>
      </c>
      <c r="H3022">
        <v>7812412</v>
      </c>
      <c r="I3022">
        <v>7812426</v>
      </c>
    </row>
    <row r="3023" spans="1:9" x14ac:dyDescent="0.2">
      <c r="A3023" s="1" t="str">
        <f>"CD22"</f>
        <v>CD22</v>
      </c>
      <c r="B3023" t="s">
        <v>14</v>
      </c>
      <c r="C3023" t="s">
        <v>10</v>
      </c>
      <c r="D3023" t="s">
        <v>17</v>
      </c>
      <c r="E3023" t="s">
        <v>12</v>
      </c>
      <c r="F3023">
        <v>35820064</v>
      </c>
      <c r="G3023">
        <v>35820097</v>
      </c>
      <c r="H3023">
        <v>35820064</v>
      </c>
      <c r="I3023">
        <v>35820097</v>
      </c>
    </row>
    <row r="3024" spans="1:9" x14ac:dyDescent="0.2">
      <c r="A3024" s="1" t="str">
        <f>"CD226"</f>
        <v>CD226</v>
      </c>
      <c r="B3024" t="s">
        <v>14</v>
      </c>
      <c r="C3024" t="s">
        <v>43</v>
      </c>
      <c r="D3024" t="s">
        <v>11</v>
      </c>
      <c r="E3024" t="s">
        <v>12</v>
      </c>
      <c r="F3024">
        <v>67615088</v>
      </c>
      <c r="G3024">
        <v>67615122</v>
      </c>
      <c r="H3024">
        <v>67615088</v>
      </c>
      <c r="I3024">
        <v>67615122</v>
      </c>
    </row>
    <row r="3025" spans="1:9" x14ac:dyDescent="0.2">
      <c r="A3025" s="1" t="str">
        <f>"CD24"</f>
        <v>CD24</v>
      </c>
      <c r="B3025" t="s">
        <v>14</v>
      </c>
      <c r="C3025" t="s">
        <v>63</v>
      </c>
      <c r="D3025" t="s">
        <v>11</v>
      </c>
      <c r="E3025" t="s">
        <v>12</v>
      </c>
      <c r="F3025">
        <v>21154670</v>
      </c>
      <c r="G3025">
        <v>21154688</v>
      </c>
      <c r="H3025">
        <v>21154670</v>
      </c>
      <c r="I3025">
        <v>21154688</v>
      </c>
    </row>
    <row r="3026" spans="1:9" x14ac:dyDescent="0.2">
      <c r="A3026" s="1" t="str">
        <f>"CD244"</f>
        <v>CD244</v>
      </c>
      <c r="B3026" t="s">
        <v>14</v>
      </c>
      <c r="C3026" t="s">
        <v>19</v>
      </c>
      <c r="D3026" t="s">
        <v>11</v>
      </c>
      <c r="E3026" t="s">
        <v>12</v>
      </c>
      <c r="F3026">
        <v>160832670</v>
      </c>
      <c r="G3026">
        <v>160832685</v>
      </c>
      <c r="H3026">
        <v>160832534</v>
      </c>
      <c r="I3026">
        <v>160832564</v>
      </c>
    </row>
    <row r="3027" spans="1:9" x14ac:dyDescent="0.2">
      <c r="A3027" s="1" t="str">
        <f>"CD247"</f>
        <v>CD247</v>
      </c>
      <c r="B3027" t="s">
        <v>14</v>
      </c>
      <c r="C3027" t="s">
        <v>19</v>
      </c>
      <c r="D3027" t="s">
        <v>11</v>
      </c>
      <c r="E3027" t="s">
        <v>12</v>
      </c>
      <c r="F3027">
        <v>167487758</v>
      </c>
      <c r="G3027">
        <v>167487792</v>
      </c>
      <c r="H3027">
        <v>167487808</v>
      </c>
      <c r="I3027">
        <v>167487836</v>
      </c>
    </row>
    <row r="3028" spans="1:9" x14ac:dyDescent="0.2">
      <c r="A3028" s="1" t="str">
        <f>"CD248"</f>
        <v>CD248</v>
      </c>
      <c r="B3028" t="s">
        <v>14</v>
      </c>
      <c r="C3028" t="s">
        <v>27</v>
      </c>
      <c r="D3028" t="s">
        <v>11</v>
      </c>
      <c r="E3028" t="s">
        <v>12</v>
      </c>
      <c r="F3028">
        <v>66084508</v>
      </c>
      <c r="G3028">
        <v>66084523</v>
      </c>
      <c r="H3028">
        <v>66084508</v>
      </c>
      <c r="I3028">
        <v>66084523</v>
      </c>
    </row>
    <row r="3029" spans="1:9" x14ac:dyDescent="0.2">
      <c r="A3029" s="1" t="str">
        <f>"CD27"</f>
        <v>CD27</v>
      </c>
      <c r="B3029" t="s">
        <v>14</v>
      </c>
      <c r="C3029" t="s">
        <v>16</v>
      </c>
      <c r="D3029" t="s">
        <v>17</v>
      </c>
      <c r="E3029" t="s">
        <v>12</v>
      </c>
      <c r="F3029">
        <v>6554098</v>
      </c>
      <c r="G3029">
        <v>6554131</v>
      </c>
      <c r="H3029">
        <v>6554146</v>
      </c>
      <c r="I3029">
        <v>6554159</v>
      </c>
    </row>
    <row r="3030" spans="1:9" x14ac:dyDescent="0.2">
      <c r="A3030" s="1" t="str">
        <f>"CD274"</f>
        <v>CD274</v>
      </c>
      <c r="B3030" t="s">
        <v>14</v>
      </c>
      <c r="C3030" t="s">
        <v>24</v>
      </c>
      <c r="D3030" t="s">
        <v>17</v>
      </c>
      <c r="E3030" t="s">
        <v>12</v>
      </c>
      <c r="F3030">
        <v>5450534</v>
      </c>
      <c r="G3030">
        <v>5450551</v>
      </c>
      <c r="H3030">
        <v>5450534</v>
      </c>
      <c r="I3030">
        <v>5450551</v>
      </c>
    </row>
    <row r="3031" spans="1:9" x14ac:dyDescent="0.2">
      <c r="A3031" s="1" t="str">
        <f>"CD276"</f>
        <v>CD276</v>
      </c>
      <c r="B3031" t="s">
        <v>14</v>
      </c>
      <c r="C3031" t="s">
        <v>25</v>
      </c>
      <c r="D3031" t="s">
        <v>17</v>
      </c>
      <c r="E3031" t="s">
        <v>12</v>
      </c>
      <c r="F3031">
        <v>73976715</v>
      </c>
      <c r="G3031">
        <v>73976760</v>
      </c>
      <c r="H3031">
        <v>73976545</v>
      </c>
      <c r="I3031">
        <v>73976624</v>
      </c>
    </row>
    <row r="3032" spans="1:9" x14ac:dyDescent="0.2">
      <c r="A3032" s="1" t="str">
        <f>"CD28"</f>
        <v>CD28</v>
      </c>
      <c r="B3032" t="s">
        <v>14</v>
      </c>
      <c r="C3032" t="s">
        <v>26</v>
      </c>
      <c r="D3032" t="s">
        <v>17</v>
      </c>
      <c r="E3032" t="s">
        <v>12</v>
      </c>
      <c r="F3032">
        <v>204571337</v>
      </c>
      <c r="G3032">
        <v>204571370</v>
      </c>
      <c r="H3032">
        <v>204571337</v>
      </c>
      <c r="I3032">
        <v>204571370</v>
      </c>
    </row>
    <row r="3033" spans="1:9" x14ac:dyDescent="0.2">
      <c r="A3033" s="1" t="str">
        <f>"CD2AP"</f>
        <v>CD2AP</v>
      </c>
      <c r="B3033" t="s">
        <v>14</v>
      </c>
      <c r="C3033" t="s">
        <v>32</v>
      </c>
      <c r="D3033" t="s">
        <v>17</v>
      </c>
      <c r="E3033" t="s">
        <v>12</v>
      </c>
      <c r="F3033">
        <v>47445467</v>
      </c>
      <c r="G3033">
        <v>47445536</v>
      </c>
      <c r="H3033">
        <v>47445877</v>
      </c>
      <c r="I3033">
        <v>47445960</v>
      </c>
    </row>
    <row r="3034" spans="1:9" x14ac:dyDescent="0.2">
      <c r="A3034" s="1" t="str">
        <f>"CD2BP2"</f>
        <v>CD2BP2</v>
      </c>
      <c r="B3034" t="s">
        <v>14</v>
      </c>
      <c r="C3034" t="s">
        <v>31</v>
      </c>
      <c r="D3034" t="s">
        <v>11</v>
      </c>
      <c r="E3034" t="s">
        <v>12</v>
      </c>
      <c r="F3034">
        <v>30366549</v>
      </c>
      <c r="G3034">
        <v>30366641</v>
      </c>
      <c r="H3034">
        <v>30366672</v>
      </c>
      <c r="I3034">
        <v>30366688</v>
      </c>
    </row>
    <row r="3035" spans="1:9" x14ac:dyDescent="0.2">
      <c r="A3035" s="1" t="str">
        <f>"CD300A"</f>
        <v>CD300A</v>
      </c>
      <c r="B3035" t="s">
        <v>14</v>
      </c>
      <c r="C3035" t="s">
        <v>28</v>
      </c>
      <c r="D3035" t="s">
        <v>17</v>
      </c>
      <c r="E3035" t="s">
        <v>12</v>
      </c>
      <c r="F3035">
        <v>72462766</v>
      </c>
      <c r="G3035">
        <v>72462831</v>
      </c>
      <c r="H3035">
        <v>72462766</v>
      </c>
      <c r="I3035">
        <v>72462831</v>
      </c>
    </row>
    <row r="3036" spans="1:9" x14ac:dyDescent="0.2">
      <c r="A3036" s="1" t="str">
        <f>"CD300C"</f>
        <v>CD300C</v>
      </c>
      <c r="B3036" t="s">
        <v>14</v>
      </c>
      <c r="C3036" t="s">
        <v>28</v>
      </c>
      <c r="D3036" t="s">
        <v>11</v>
      </c>
      <c r="E3036" t="s">
        <v>12</v>
      </c>
      <c r="F3036">
        <v>72542222</v>
      </c>
      <c r="G3036">
        <v>72542264</v>
      </c>
      <c r="H3036">
        <v>72542163</v>
      </c>
      <c r="I3036">
        <v>72542182</v>
      </c>
    </row>
    <row r="3037" spans="1:9" x14ac:dyDescent="0.2">
      <c r="A3037" s="1" t="str">
        <f>"CD300E"</f>
        <v>CD300E</v>
      </c>
      <c r="B3037" t="s">
        <v>14</v>
      </c>
      <c r="C3037" t="s">
        <v>28</v>
      </c>
      <c r="D3037" t="s">
        <v>11</v>
      </c>
      <c r="E3037" t="s">
        <v>12</v>
      </c>
      <c r="F3037">
        <v>72619869</v>
      </c>
      <c r="G3037">
        <v>72619883</v>
      </c>
      <c r="H3037">
        <v>72619783</v>
      </c>
      <c r="I3037">
        <v>72619802</v>
      </c>
    </row>
    <row r="3038" spans="1:9" x14ac:dyDescent="0.2">
      <c r="A3038" s="1" t="str">
        <f>"CD300LB"</f>
        <v>CD300LB</v>
      </c>
      <c r="B3038" t="s">
        <v>14</v>
      </c>
      <c r="C3038" t="s">
        <v>28</v>
      </c>
      <c r="D3038" t="s">
        <v>11</v>
      </c>
      <c r="E3038" t="s">
        <v>12</v>
      </c>
      <c r="F3038">
        <v>72527606</v>
      </c>
      <c r="G3038">
        <v>72527620</v>
      </c>
      <c r="H3038">
        <v>72527563</v>
      </c>
      <c r="I3038">
        <v>72527585</v>
      </c>
    </row>
    <row r="3039" spans="1:9" x14ac:dyDescent="0.2">
      <c r="A3039" s="1" t="str">
        <f>"CD300LD"</f>
        <v>CD300LD</v>
      </c>
      <c r="B3039" t="s">
        <v>14</v>
      </c>
      <c r="C3039" t="s">
        <v>28</v>
      </c>
      <c r="D3039" t="s">
        <v>11</v>
      </c>
      <c r="E3039" t="s">
        <v>12</v>
      </c>
      <c r="F3039">
        <v>72588395</v>
      </c>
      <c r="G3039">
        <v>72588417</v>
      </c>
      <c r="H3039">
        <v>72588375</v>
      </c>
      <c r="I3039">
        <v>72588387</v>
      </c>
    </row>
    <row r="3040" spans="1:9" x14ac:dyDescent="0.2">
      <c r="A3040" s="1" t="str">
        <f>"CD300LF"</f>
        <v>CD300LF</v>
      </c>
      <c r="B3040" t="s">
        <v>14</v>
      </c>
      <c r="C3040" t="s">
        <v>28</v>
      </c>
      <c r="D3040" t="s">
        <v>11</v>
      </c>
      <c r="E3040" t="s">
        <v>12</v>
      </c>
      <c r="F3040">
        <v>72709050</v>
      </c>
      <c r="G3040">
        <v>72709113</v>
      </c>
      <c r="H3040">
        <v>72709134</v>
      </c>
      <c r="I3040">
        <v>72709145</v>
      </c>
    </row>
    <row r="3041" spans="1:9" x14ac:dyDescent="0.2">
      <c r="A3041" s="1" t="str">
        <f>"CD300LG"</f>
        <v>CD300LG</v>
      </c>
      <c r="B3041" t="s">
        <v>14</v>
      </c>
      <c r="C3041" t="s">
        <v>28</v>
      </c>
      <c r="D3041" t="s">
        <v>17</v>
      </c>
      <c r="E3041" t="s">
        <v>12</v>
      </c>
      <c r="F3041">
        <v>41924536</v>
      </c>
      <c r="G3041">
        <v>41924550</v>
      </c>
      <c r="H3041">
        <v>41924511</v>
      </c>
      <c r="I3041">
        <v>41924520</v>
      </c>
    </row>
    <row r="3042" spans="1:9" x14ac:dyDescent="0.2">
      <c r="A3042" s="1" t="str">
        <f>"CD302"</f>
        <v>CD302</v>
      </c>
      <c r="B3042" t="s">
        <v>14</v>
      </c>
      <c r="C3042" t="s">
        <v>26</v>
      </c>
      <c r="D3042" t="s">
        <v>11</v>
      </c>
      <c r="E3042" t="s">
        <v>12</v>
      </c>
      <c r="F3042">
        <v>160654706</v>
      </c>
      <c r="G3042">
        <v>160654744</v>
      </c>
      <c r="H3042">
        <v>160654745</v>
      </c>
      <c r="I3042">
        <v>160654764</v>
      </c>
    </row>
    <row r="3043" spans="1:9" x14ac:dyDescent="0.2">
      <c r="A3043" s="1" t="str">
        <f>"CD320"</f>
        <v>CD320</v>
      </c>
      <c r="B3043" t="s">
        <v>14</v>
      </c>
      <c r="C3043" t="s">
        <v>10</v>
      </c>
      <c r="D3043" t="s">
        <v>11</v>
      </c>
      <c r="E3043" t="s">
        <v>12</v>
      </c>
      <c r="F3043">
        <v>8373173</v>
      </c>
      <c r="G3043">
        <v>8373263</v>
      </c>
      <c r="H3043">
        <v>8373173</v>
      </c>
      <c r="I3043">
        <v>8373263</v>
      </c>
    </row>
    <row r="3044" spans="1:9" x14ac:dyDescent="0.2">
      <c r="A3044" s="1" t="str">
        <f>"CD33"</f>
        <v>CD33</v>
      </c>
      <c r="B3044" t="s">
        <v>14</v>
      </c>
      <c r="C3044" t="s">
        <v>10</v>
      </c>
      <c r="D3044" t="s">
        <v>17</v>
      </c>
      <c r="E3044" t="s">
        <v>12</v>
      </c>
      <c r="F3044">
        <v>51728316</v>
      </c>
      <c r="G3044">
        <v>51728376</v>
      </c>
      <c r="H3044">
        <v>51729072</v>
      </c>
      <c r="I3044">
        <v>51729075</v>
      </c>
    </row>
    <row r="3045" spans="1:9" x14ac:dyDescent="0.2">
      <c r="A3045" s="1" t="str">
        <f>"CD34"</f>
        <v>CD34</v>
      </c>
      <c r="B3045" t="s">
        <v>14</v>
      </c>
      <c r="C3045" t="s">
        <v>19</v>
      </c>
      <c r="D3045" t="s">
        <v>11</v>
      </c>
      <c r="E3045" t="s">
        <v>12</v>
      </c>
      <c r="F3045">
        <v>208084387</v>
      </c>
      <c r="G3045">
        <v>208084511</v>
      </c>
      <c r="H3045">
        <v>208084668</v>
      </c>
      <c r="I3045">
        <v>208084701</v>
      </c>
    </row>
    <row r="3046" spans="1:9" x14ac:dyDescent="0.2">
      <c r="A3046" s="1" t="str">
        <f>"CD36"</f>
        <v>CD36</v>
      </c>
      <c r="B3046" t="s">
        <v>14</v>
      </c>
      <c r="C3046" t="s">
        <v>33</v>
      </c>
      <c r="D3046" t="s">
        <v>17</v>
      </c>
      <c r="E3046" t="s">
        <v>12</v>
      </c>
      <c r="F3046">
        <v>80267949</v>
      </c>
      <c r="G3046">
        <v>80267966</v>
      </c>
      <c r="H3046">
        <v>80267973</v>
      </c>
      <c r="I3046">
        <v>80267989</v>
      </c>
    </row>
    <row r="3047" spans="1:9" x14ac:dyDescent="0.2">
      <c r="A3047" s="1" t="str">
        <f>"CD37"</f>
        <v>CD37</v>
      </c>
      <c r="B3047" t="s">
        <v>14</v>
      </c>
      <c r="C3047" t="s">
        <v>10</v>
      </c>
      <c r="D3047" t="s">
        <v>17</v>
      </c>
      <c r="E3047" t="s">
        <v>12</v>
      </c>
      <c r="F3047">
        <v>49838656</v>
      </c>
      <c r="G3047">
        <v>49838736</v>
      </c>
      <c r="H3047">
        <v>49838428</v>
      </c>
      <c r="I3047">
        <v>49838451</v>
      </c>
    </row>
    <row r="3048" spans="1:9" x14ac:dyDescent="0.2">
      <c r="A3048" s="1" t="str">
        <f>"CD38"</f>
        <v>CD38</v>
      </c>
      <c r="B3048" t="s">
        <v>14</v>
      </c>
      <c r="C3048" t="s">
        <v>23</v>
      </c>
      <c r="D3048" t="s">
        <v>17</v>
      </c>
      <c r="E3048" t="s">
        <v>12</v>
      </c>
      <c r="F3048">
        <v>15779943</v>
      </c>
      <c r="G3048">
        <v>15779982</v>
      </c>
      <c r="H3048">
        <v>15780000</v>
      </c>
      <c r="I3048">
        <v>15780011</v>
      </c>
    </row>
    <row r="3049" spans="1:9" x14ac:dyDescent="0.2">
      <c r="A3049" s="1" t="str">
        <f>"CD3D"</f>
        <v>CD3D</v>
      </c>
      <c r="B3049" t="s">
        <v>14</v>
      </c>
      <c r="C3049" t="s">
        <v>27</v>
      </c>
      <c r="D3049" t="s">
        <v>11</v>
      </c>
      <c r="E3049" t="s">
        <v>12</v>
      </c>
      <c r="F3049">
        <v>118213360</v>
      </c>
      <c r="G3049">
        <v>118213405</v>
      </c>
      <c r="H3049">
        <v>118213331</v>
      </c>
      <c r="I3049">
        <v>118213357</v>
      </c>
    </row>
    <row r="3050" spans="1:9" x14ac:dyDescent="0.2">
      <c r="A3050" s="1" t="str">
        <f>"CD3E"</f>
        <v>CD3E</v>
      </c>
      <c r="B3050" t="s">
        <v>14</v>
      </c>
      <c r="C3050" t="s">
        <v>27</v>
      </c>
      <c r="D3050" t="s">
        <v>17</v>
      </c>
      <c r="E3050" t="s">
        <v>12</v>
      </c>
      <c r="F3050">
        <v>118175436</v>
      </c>
      <c r="G3050">
        <v>118175470</v>
      </c>
      <c r="H3050">
        <v>118175415</v>
      </c>
      <c r="I3050">
        <v>118175432</v>
      </c>
    </row>
    <row r="3051" spans="1:9" x14ac:dyDescent="0.2">
      <c r="A3051" s="1" t="str">
        <f>"CD3EAP"</f>
        <v>CD3EAP</v>
      </c>
      <c r="B3051" t="s">
        <v>14</v>
      </c>
      <c r="C3051" t="s">
        <v>10</v>
      </c>
      <c r="D3051" t="s">
        <v>17</v>
      </c>
      <c r="E3051" t="s">
        <v>12</v>
      </c>
      <c r="F3051">
        <v>45909893</v>
      </c>
      <c r="G3051">
        <v>45909918</v>
      </c>
      <c r="H3051">
        <v>45909381</v>
      </c>
      <c r="I3051">
        <v>45909415</v>
      </c>
    </row>
    <row r="3052" spans="1:9" x14ac:dyDescent="0.2">
      <c r="A3052" s="1" t="str">
        <f>"CD3G"</f>
        <v>CD3G</v>
      </c>
      <c r="B3052" t="s">
        <v>14</v>
      </c>
      <c r="C3052" t="s">
        <v>27</v>
      </c>
      <c r="D3052" t="s">
        <v>17</v>
      </c>
      <c r="E3052" t="s">
        <v>12</v>
      </c>
      <c r="F3052">
        <v>118215036</v>
      </c>
      <c r="G3052">
        <v>118215085</v>
      </c>
      <c r="H3052">
        <v>118215089</v>
      </c>
      <c r="I3052">
        <v>118215134</v>
      </c>
    </row>
    <row r="3053" spans="1:9" x14ac:dyDescent="0.2">
      <c r="A3053" s="1" t="str">
        <f>"CD4"</f>
        <v>CD4</v>
      </c>
      <c r="B3053" t="s">
        <v>14</v>
      </c>
      <c r="C3053" t="s">
        <v>16</v>
      </c>
      <c r="D3053" t="s">
        <v>17</v>
      </c>
      <c r="E3053" t="s">
        <v>12</v>
      </c>
      <c r="F3053">
        <v>6898674</v>
      </c>
      <c r="G3053">
        <v>6898739</v>
      </c>
      <c r="H3053">
        <v>6898749</v>
      </c>
      <c r="I3053">
        <v>6898763</v>
      </c>
    </row>
    <row r="3054" spans="1:9" x14ac:dyDescent="0.2">
      <c r="A3054" s="1" t="str">
        <f>"CD40"</f>
        <v>CD40</v>
      </c>
      <c r="B3054" t="s">
        <v>14</v>
      </c>
      <c r="C3054" t="s">
        <v>29</v>
      </c>
      <c r="D3054" t="s">
        <v>17</v>
      </c>
      <c r="E3054" t="s">
        <v>12</v>
      </c>
      <c r="F3054">
        <v>44746939</v>
      </c>
      <c r="G3054">
        <v>44746962</v>
      </c>
      <c r="H3054">
        <v>44746917</v>
      </c>
      <c r="I3054">
        <v>44746933</v>
      </c>
    </row>
    <row r="3055" spans="1:9" x14ac:dyDescent="0.2">
      <c r="A3055" s="1" t="str">
        <f>"CD40LG"</f>
        <v>CD40LG</v>
      </c>
      <c r="B3055" t="s">
        <v>14</v>
      </c>
      <c r="C3055" t="s">
        <v>37</v>
      </c>
      <c r="D3055" t="s">
        <v>17</v>
      </c>
      <c r="E3055" t="s">
        <v>12</v>
      </c>
      <c r="F3055">
        <v>135730297</v>
      </c>
      <c r="G3055">
        <v>135730350</v>
      </c>
      <c r="H3055">
        <v>135730373</v>
      </c>
      <c r="I3055">
        <v>135730399</v>
      </c>
    </row>
    <row r="3056" spans="1:9" x14ac:dyDescent="0.2">
      <c r="A3056" s="1" t="str">
        <f>"CD44"</f>
        <v>CD44</v>
      </c>
      <c r="B3056" t="s">
        <v>14</v>
      </c>
      <c r="C3056" t="s">
        <v>27</v>
      </c>
      <c r="D3056" t="s">
        <v>17</v>
      </c>
      <c r="E3056" t="s">
        <v>12</v>
      </c>
      <c r="F3056">
        <v>35160709</v>
      </c>
      <c r="G3056">
        <v>35160726</v>
      </c>
      <c r="H3056">
        <v>35160709</v>
      </c>
      <c r="I3056">
        <v>35160726</v>
      </c>
    </row>
    <row r="3057" spans="1:9" x14ac:dyDescent="0.2">
      <c r="A3057" s="1" t="str">
        <f>"CD46"</f>
        <v>CD46</v>
      </c>
      <c r="B3057" t="s">
        <v>14</v>
      </c>
      <c r="C3057" t="s">
        <v>19</v>
      </c>
      <c r="D3057" t="s">
        <v>17</v>
      </c>
      <c r="E3057" t="s">
        <v>12</v>
      </c>
      <c r="F3057">
        <v>207925391</v>
      </c>
      <c r="G3057">
        <v>207925466</v>
      </c>
      <c r="H3057">
        <v>207925504</v>
      </c>
      <c r="I3057">
        <v>207925513</v>
      </c>
    </row>
    <row r="3058" spans="1:9" x14ac:dyDescent="0.2">
      <c r="A3058" s="1" t="str">
        <f>"CD47"</f>
        <v>CD47</v>
      </c>
      <c r="B3058" t="s">
        <v>14</v>
      </c>
      <c r="C3058" t="s">
        <v>22</v>
      </c>
      <c r="D3058" t="s">
        <v>11</v>
      </c>
      <c r="E3058" t="s">
        <v>12</v>
      </c>
      <c r="F3058">
        <v>107809816</v>
      </c>
      <c r="G3058">
        <v>107809885</v>
      </c>
      <c r="H3058">
        <v>107809886</v>
      </c>
      <c r="I3058">
        <v>107809910</v>
      </c>
    </row>
    <row r="3059" spans="1:9" x14ac:dyDescent="0.2">
      <c r="A3059" s="1" t="str">
        <f>"CD48"</f>
        <v>CD48</v>
      </c>
      <c r="B3059" t="s">
        <v>14</v>
      </c>
      <c r="C3059" t="s">
        <v>19</v>
      </c>
      <c r="D3059" t="s">
        <v>11</v>
      </c>
      <c r="E3059" t="s">
        <v>12</v>
      </c>
      <c r="F3059">
        <v>160681597</v>
      </c>
      <c r="G3059">
        <v>160681619</v>
      </c>
      <c r="H3059">
        <v>160681573</v>
      </c>
      <c r="I3059">
        <v>160681587</v>
      </c>
    </row>
    <row r="3060" spans="1:9" x14ac:dyDescent="0.2">
      <c r="A3060" s="1" t="str">
        <f>"CD5"</f>
        <v>CD5</v>
      </c>
      <c r="B3060" t="s">
        <v>14</v>
      </c>
      <c r="C3060" t="s">
        <v>27</v>
      </c>
      <c r="D3060" t="s">
        <v>17</v>
      </c>
      <c r="E3060" t="s">
        <v>12</v>
      </c>
      <c r="F3060">
        <v>60869937</v>
      </c>
      <c r="G3060">
        <v>60869979</v>
      </c>
      <c r="H3060">
        <v>60869980</v>
      </c>
      <c r="I3060">
        <v>60869987</v>
      </c>
    </row>
    <row r="3061" spans="1:9" x14ac:dyDescent="0.2">
      <c r="A3061" s="1" t="str">
        <f>"CD52"</f>
        <v>CD52</v>
      </c>
      <c r="B3061" t="s">
        <v>14</v>
      </c>
      <c r="C3061" t="s">
        <v>19</v>
      </c>
      <c r="D3061" t="s">
        <v>17</v>
      </c>
      <c r="E3061" t="s">
        <v>12</v>
      </c>
      <c r="F3061">
        <v>26644441</v>
      </c>
      <c r="G3061">
        <v>26644455</v>
      </c>
      <c r="H3061">
        <v>26644414</v>
      </c>
      <c r="I3061">
        <v>26644426</v>
      </c>
    </row>
    <row r="3062" spans="1:9" x14ac:dyDescent="0.2">
      <c r="A3062" s="1" t="str">
        <f>"CD53"</f>
        <v>CD53</v>
      </c>
      <c r="B3062" t="s">
        <v>14</v>
      </c>
      <c r="C3062" t="s">
        <v>19</v>
      </c>
      <c r="D3062" t="s">
        <v>17</v>
      </c>
      <c r="E3062" t="s">
        <v>12</v>
      </c>
      <c r="F3062">
        <v>111415757</v>
      </c>
      <c r="G3062">
        <v>111415779</v>
      </c>
      <c r="H3062">
        <v>111415786</v>
      </c>
      <c r="I3062">
        <v>111415804</v>
      </c>
    </row>
    <row r="3063" spans="1:9" x14ac:dyDescent="0.2">
      <c r="A3063" s="1" t="str">
        <f>"CD55"</f>
        <v>CD55</v>
      </c>
      <c r="B3063" t="s">
        <v>14</v>
      </c>
      <c r="C3063" t="s">
        <v>19</v>
      </c>
      <c r="D3063" t="s">
        <v>17</v>
      </c>
      <c r="E3063" t="s">
        <v>12</v>
      </c>
      <c r="F3063">
        <v>207495013</v>
      </c>
      <c r="G3063">
        <v>207495037</v>
      </c>
      <c r="H3063">
        <v>207495719</v>
      </c>
      <c r="I3063">
        <v>207495761</v>
      </c>
    </row>
    <row r="3064" spans="1:9" x14ac:dyDescent="0.2">
      <c r="A3064" s="1" t="str">
        <f>"CD58"</f>
        <v>CD58</v>
      </c>
      <c r="B3064" t="s">
        <v>14</v>
      </c>
      <c r="C3064" t="s">
        <v>19</v>
      </c>
      <c r="D3064" t="s">
        <v>11</v>
      </c>
      <c r="E3064" t="s">
        <v>12</v>
      </c>
      <c r="F3064">
        <v>117113596</v>
      </c>
      <c r="G3064">
        <v>117113682</v>
      </c>
      <c r="H3064">
        <v>117113596</v>
      </c>
      <c r="I3064">
        <v>117113682</v>
      </c>
    </row>
    <row r="3065" spans="1:9" x14ac:dyDescent="0.2">
      <c r="A3065" s="1" t="str">
        <f>"CD59"</f>
        <v>CD59</v>
      </c>
      <c r="B3065" t="s">
        <v>9</v>
      </c>
      <c r="C3065" t="s">
        <v>27</v>
      </c>
      <c r="D3065" t="s">
        <v>11</v>
      </c>
      <c r="E3065" t="s">
        <v>12</v>
      </c>
      <c r="F3065">
        <v>33757950</v>
      </c>
      <c r="G3065">
        <v>33757983</v>
      </c>
      <c r="H3065">
        <v>33757950</v>
      </c>
      <c r="I3065">
        <v>33757983</v>
      </c>
    </row>
    <row r="3066" spans="1:9" x14ac:dyDescent="0.2">
      <c r="A3066" s="1" t="str">
        <f>"CD59"</f>
        <v>CD59</v>
      </c>
      <c r="B3066" t="s">
        <v>13</v>
      </c>
      <c r="C3066" t="s">
        <v>27</v>
      </c>
      <c r="D3066" t="s">
        <v>11</v>
      </c>
      <c r="E3066" t="s">
        <v>12</v>
      </c>
      <c r="F3066">
        <v>33728094</v>
      </c>
      <c r="G3066">
        <v>33728098</v>
      </c>
      <c r="H3066">
        <v>33728094</v>
      </c>
      <c r="I3066">
        <v>33728098</v>
      </c>
    </row>
    <row r="3067" spans="1:9" x14ac:dyDescent="0.2">
      <c r="A3067" s="1" t="str">
        <f>"CD5L"</f>
        <v>CD5L</v>
      </c>
      <c r="B3067" t="s">
        <v>14</v>
      </c>
      <c r="C3067" t="s">
        <v>19</v>
      </c>
      <c r="D3067" t="s">
        <v>11</v>
      </c>
      <c r="E3067" t="s">
        <v>12</v>
      </c>
      <c r="F3067">
        <v>157811590</v>
      </c>
      <c r="G3067">
        <v>157811604</v>
      </c>
      <c r="H3067">
        <v>157811563</v>
      </c>
      <c r="I3067">
        <v>157811585</v>
      </c>
    </row>
    <row r="3068" spans="1:9" x14ac:dyDescent="0.2">
      <c r="A3068" s="1" t="str">
        <f>"CD6"</f>
        <v>CD6</v>
      </c>
      <c r="B3068" t="s">
        <v>14</v>
      </c>
      <c r="C3068" t="s">
        <v>27</v>
      </c>
      <c r="D3068" t="s">
        <v>17</v>
      </c>
      <c r="E3068" t="s">
        <v>12</v>
      </c>
      <c r="F3068">
        <v>60739140</v>
      </c>
      <c r="G3068">
        <v>60739243</v>
      </c>
      <c r="H3068">
        <v>60739122</v>
      </c>
      <c r="I3068">
        <v>60739137</v>
      </c>
    </row>
    <row r="3069" spans="1:9" x14ac:dyDescent="0.2">
      <c r="A3069" s="1" t="str">
        <f>"CD63"</f>
        <v>CD63</v>
      </c>
      <c r="B3069" t="s">
        <v>14</v>
      </c>
      <c r="C3069" t="s">
        <v>16</v>
      </c>
      <c r="D3069" t="s">
        <v>11</v>
      </c>
      <c r="E3069" t="s">
        <v>12</v>
      </c>
      <c r="F3069">
        <v>56122781</v>
      </c>
      <c r="G3069">
        <v>56122804</v>
      </c>
      <c r="H3069">
        <v>56122124</v>
      </c>
      <c r="I3069">
        <v>56122175</v>
      </c>
    </row>
    <row r="3070" spans="1:9" x14ac:dyDescent="0.2">
      <c r="A3070" s="1" t="str">
        <f>"CD68"</f>
        <v>CD68</v>
      </c>
      <c r="B3070" t="s">
        <v>14</v>
      </c>
      <c r="C3070" t="s">
        <v>28</v>
      </c>
      <c r="D3070" t="s">
        <v>17</v>
      </c>
      <c r="E3070" t="s">
        <v>12</v>
      </c>
      <c r="F3070">
        <v>7482899</v>
      </c>
      <c r="G3070">
        <v>7482979</v>
      </c>
      <c r="H3070">
        <v>7482899</v>
      </c>
      <c r="I3070">
        <v>7482979</v>
      </c>
    </row>
    <row r="3071" spans="1:9" x14ac:dyDescent="0.2">
      <c r="A3071" s="1" t="str">
        <f>"CD69"</f>
        <v>CD69</v>
      </c>
      <c r="B3071" t="s">
        <v>14</v>
      </c>
      <c r="C3071" t="s">
        <v>16</v>
      </c>
      <c r="D3071" t="s">
        <v>11</v>
      </c>
      <c r="E3071" t="s">
        <v>12</v>
      </c>
      <c r="F3071">
        <v>9913489</v>
      </c>
      <c r="G3071">
        <v>9913506</v>
      </c>
      <c r="H3071">
        <v>9913489</v>
      </c>
      <c r="I3071">
        <v>9913506</v>
      </c>
    </row>
    <row r="3072" spans="1:9" x14ac:dyDescent="0.2">
      <c r="A3072" s="1" t="str">
        <f>"CD7"</f>
        <v>CD7</v>
      </c>
      <c r="B3072" t="s">
        <v>14</v>
      </c>
      <c r="C3072" t="s">
        <v>28</v>
      </c>
      <c r="D3072" t="s">
        <v>11</v>
      </c>
      <c r="E3072" t="s">
        <v>12</v>
      </c>
      <c r="F3072">
        <v>80275417</v>
      </c>
      <c r="G3072">
        <v>80275463</v>
      </c>
      <c r="H3072">
        <v>80275466</v>
      </c>
      <c r="I3072">
        <v>80275501</v>
      </c>
    </row>
    <row r="3073" spans="1:9" x14ac:dyDescent="0.2">
      <c r="A3073" s="1" t="str">
        <f>"CD70"</f>
        <v>CD70</v>
      </c>
      <c r="B3073" t="s">
        <v>14</v>
      </c>
      <c r="C3073" t="s">
        <v>10</v>
      </c>
      <c r="D3073" t="s">
        <v>11</v>
      </c>
      <c r="E3073" t="s">
        <v>12</v>
      </c>
      <c r="F3073">
        <v>6591113</v>
      </c>
      <c r="G3073">
        <v>6591172</v>
      </c>
      <c r="H3073">
        <v>6591068</v>
      </c>
      <c r="I3073">
        <v>6591101</v>
      </c>
    </row>
    <row r="3074" spans="1:9" x14ac:dyDescent="0.2">
      <c r="A3074" s="1" t="str">
        <f>"CD72"</f>
        <v>CD72</v>
      </c>
      <c r="B3074" t="s">
        <v>9</v>
      </c>
      <c r="C3074" t="s">
        <v>24</v>
      </c>
      <c r="D3074" t="s">
        <v>11</v>
      </c>
      <c r="E3074" t="s">
        <v>12</v>
      </c>
      <c r="F3074">
        <v>35618364</v>
      </c>
      <c r="G3074">
        <v>35618415</v>
      </c>
      <c r="H3074">
        <v>35618364</v>
      </c>
      <c r="I3074">
        <v>35618415</v>
      </c>
    </row>
    <row r="3075" spans="1:9" x14ac:dyDescent="0.2">
      <c r="A3075" s="1" t="str">
        <f>"CD72"</f>
        <v>CD72</v>
      </c>
      <c r="B3075" t="s">
        <v>13</v>
      </c>
      <c r="C3075" t="s">
        <v>24</v>
      </c>
      <c r="D3075" t="s">
        <v>11</v>
      </c>
      <c r="E3075" t="s">
        <v>12</v>
      </c>
      <c r="F3075">
        <v>35646816</v>
      </c>
      <c r="G3075">
        <v>35646861</v>
      </c>
      <c r="H3075">
        <v>35646816</v>
      </c>
      <c r="I3075">
        <v>35646861</v>
      </c>
    </row>
    <row r="3076" spans="1:9" x14ac:dyDescent="0.2">
      <c r="A3076" s="1" t="str">
        <f>"CD74"</f>
        <v>CD74</v>
      </c>
      <c r="B3076" t="s">
        <v>14</v>
      </c>
      <c r="C3076" t="s">
        <v>46</v>
      </c>
      <c r="D3076" t="s">
        <v>11</v>
      </c>
      <c r="E3076" t="s">
        <v>12</v>
      </c>
      <c r="F3076">
        <v>149792306</v>
      </c>
      <c r="G3076">
        <v>149792326</v>
      </c>
      <c r="H3076">
        <v>149792306</v>
      </c>
      <c r="I3076">
        <v>149792326</v>
      </c>
    </row>
    <row r="3077" spans="1:9" x14ac:dyDescent="0.2">
      <c r="A3077" s="1" t="str">
        <f>"CD79A"</f>
        <v>CD79A</v>
      </c>
      <c r="B3077" t="s">
        <v>14</v>
      </c>
      <c r="C3077" t="s">
        <v>10</v>
      </c>
      <c r="D3077" t="s">
        <v>17</v>
      </c>
      <c r="E3077" t="s">
        <v>12</v>
      </c>
      <c r="F3077">
        <v>42381337</v>
      </c>
      <c r="G3077">
        <v>42381360</v>
      </c>
      <c r="H3077">
        <v>42381337</v>
      </c>
      <c r="I3077">
        <v>42381360</v>
      </c>
    </row>
    <row r="3078" spans="1:9" x14ac:dyDescent="0.2">
      <c r="A3078" s="1" t="str">
        <f>"CD79B"</f>
        <v>CD79B</v>
      </c>
      <c r="B3078" t="s">
        <v>14</v>
      </c>
      <c r="C3078" t="s">
        <v>28</v>
      </c>
      <c r="D3078" t="s">
        <v>11</v>
      </c>
      <c r="E3078" t="s">
        <v>12</v>
      </c>
      <c r="F3078">
        <v>62009667</v>
      </c>
      <c r="G3078">
        <v>62009701</v>
      </c>
      <c r="H3078">
        <v>62009702</v>
      </c>
      <c r="I3078">
        <v>62009717</v>
      </c>
    </row>
    <row r="3079" spans="1:9" x14ac:dyDescent="0.2">
      <c r="A3079" s="1" t="str">
        <f>"CD80"</f>
        <v>CD80</v>
      </c>
      <c r="B3079" t="s">
        <v>14</v>
      </c>
      <c r="C3079" t="s">
        <v>22</v>
      </c>
      <c r="D3079" t="s">
        <v>11</v>
      </c>
      <c r="E3079" t="s">
        <v>12</v>
      </c>
      <c r="F3079">
        <v>119278446</v>
      </c>
      <c r="G3079">
        <v>119278477</v>
      </c>
      <c r="H3079">
        <v>119278446</v>
      </c>
      <c r="I3079">
        <v>119278477</v>
      </c>
    </row>
    <row r="3080" spans="1:9" x14ac:dyDescent="0.2">
      <c r="A3080" s="1" t="str">
        <f>"CD81"</f>
        <v>CD81</v>
      </c>
      <c r="B3080" t="s">
        <v>9</v>
      </c>
      <c r="C3080" t="s">
        <v>27</v>
      </c>
      <c r="D3080" t="s">
        <v>17</v>
      </c>
      <c r="E3080" t="s">
        <v>12</v>
      </c>
      <c r="F3080">
        <v>2398533</v>
      </c>
      <c r="G3080">
        <v>2398551</v>
      </c>
      <c r="H3080">
        <v>2398533</v>
      </c>
      <c r="I3080">
        <v>2398551</v>
      </c>
    </row>
    <row r="3081" spans="1:9" x14ac:dyDescent="0.2">
      <c r="A3081" s="1" t="str">
        <f>"CD81"</f>
        <v>CD81</v>
      </c>
      <c r="B3081" t="s">
        <v>13</v>
      </c>
      <c r="C3081" t="s">
        <v>27</v>
      </c>
      <c r="D3081" t="s">
        <v>17</v>
      </c>
      <c r="E3081" t="s">
        <v>12</v>
      </c>
      <c r="F3081">
        <v>2411660</v>
      </c>
      <c r="G3081">
        <v>2411697</v>
      </c>
      <c r="H3081">
        <v>2411660</v>
      </c>
      <c r="I3081">
        <v>2411697</v>
      </c>
    </row>
    <row r="3082" spans="1:9" x14ac:dyDescent="0.2">
      <c r="A3082" s="1" t="str">
        <f>"CD82"</f>
        <v>CD82</v>
      </c>
      <c r="B3082" t="s">
        <v>14</v>
      </c>
      <c r="C3082" t="s">
        <v>27</v>
      </c>
      <c r="D3082" t="s">
        <v>17</v>
      </c>
      <c r="E3082" t="s">
        <v>12</v>
      </c>
      <c r="F3082">
        <v>44587206</v>
      </c>
      <c r="G3082">
        <v>44587242</v>
      </c>
      <c r="H3082">
        <v>44587181</v>
      </c>
      <c r="I3082">
        <v>44587196</v>
      </c>
    </row>
    <row r="3083" spans="1:9" x14ac:dyDescent="0.2">
      <c r="A3083" s="1" t="str">
        <f>"CD83"</f>
        <v>CD83</v>
      </c>
      <c r="B3083" t="s">
        <v>14</v>
      </c>
      <c r="C3083" t="s">
        <v>32</v>
      </c>
      <c r="D3083" t="s">
        <v>17</v>
      </c>
      <c r="E3083" t="s">
        <v>12</v>
      </c>
      <c r="F3083">
        <v>14117995</v>
      </c>
      <c r="G3083">
        <v>14118012</v>
      </c>
      <c r="H3083">
        <v>14117995</v>
      </c>
      <c r="I3083">
        <v>14118012</v>
      </c>
    </row>
    <row r="3084" spans="1:9" x14ac:dyDescent="0.2">
      <c r="A3084" s="1" t="str">
        <f>"CD84"</f>
        <v>CD84</v>
      </c>
      <c r="B3084" t="s">
        <v>14</v>
      </c>
      <c r="C3084" t="s">
        <v>19</v>
      </c>
      <c r="D3084" t="s">
        <v>11</v>
      </c>
      <c r="E3084" t="s">
        <v>12</v>
      </c>
      <c r="F3084">
        <v>160549235</v>
      </c>
      <c r="G3084">
        <v>160549303</v>
      </c>
      <c r="H3084">
        <v>160549235</v>
      </c>
      <c r="I3084">
        <v>160549303</v>
      </c>
    </row>
    <row r="3085" spans="1:9" x14ac:dyDescent="0.2">
      <c r="A3085" s="1" t="str">
        <f>"CD86"</f>
        <v>CD86</v>
      </c>
      <c r="B3085" t="s">
        <v>9</v>
      </c>
      <c r="C3085" t="s">
        <v>22</v>
      </c>
      <c r="D3085" t="s">
        <v>17</v>
      </c>
      <c r="E3085" t="s">
        <v>12</v>
      </c>
      <c r="F3085">
        <v>121774202</v>
      </c>
      <c r="G3085">
        <v>121774222</v>
      </c>
      <c r="H3085">
        <v>121774202</v>
      </c>
      <c r="I3085">
        <v>121774222</v>
      </c>
    </row>
    <row r="3086" spans="1:9" x14ac:dyDescent="0.2">
      <c r="A3086" s="1" t="str">
        <f>"CD86"</f>
        <v>CD86</v>
      </c>
      <c r="B3086" t="s">
        <v>13</v>
      </c>
      <c r="C3086" t="s">
        <v>22</v>
      </c>
      <c r="D3086" t="s">
        <v>17</v>
      </c>
      <c r="E3086" t="s">
        <v>12</v>
      </c>
      <c r="F3086">
        <v>121796697</v>
      </c>
      <c r="G3086">
        <v>121796747</v>
      </c>
      <c r="H3086">
        <v>121796697</v>
      </c>
      <c r="I3086">
        <v>121796747</v>
      </c>
    </row>
    <row r="3087" spans="1:9" x14ac:dyDescent="0.2">
      <c r="A3087" s="1" t="str">
        <f>"CD8A"</f>
        <v>CD8A</v>
      </c>
      <c r="B3087" t="s">
        <v>14</v>
      </c>
      <c r="C3087" t="s">
        <v>26</v>
      </c>
      <c r="D3087" t="s">
        <v>11</v>
      </c>
      <c r="E3087" t="s">
        <v>12</v>
      </c>
      <c r="F3087">
        <v>87017985</v>
      </c>
      <c r="G3087">
        <v>87018050</v>
      </c>
      <c r="H3087">
        <v>87018060</v>
      </c>
      <c r="I3087">
        <v>87018074</v>
      </c>
    </row>
    <row r="3088" spans="1:9" x14ac:dyDescent="0.2">
      <c r="A3088" s="1" t="str">
        <f>"CD8B"</f>
        <v>CD8B</v>
      </c>
      <c r="B3088" t="s">
        <v>14</v>
      </c>
      <c r="C3088" t="s">
        <v>26</v>
      </c>
      <c r="D3088" t="s">
        <v>11</v>
      </c>
      <c r="E3088" t="s">
        <v>12</v>
      </c>
      <c r="F3088">
        <v>87088995</v>
      </c>
      <c r="G3088">
        <v>87089018</v>
      </c>
      <c r="H3088">
        <v>87089099</v>
      </c>
      <c r="I3088">
        <v>87089100</v>
      </c>
    </row>
    <row r="3089" spans="1:9" x14ac:dyDescent="0.2">
      <c r="A3089" s="1" t="str">
        <f>"CD9"</f>
        <v>CD9</v>
      </c>
      <c r="B3089" t="s">
        <v>14</v>
      </c>
      <c r="C3089" t="s">
        <v>16</v>
      </c>
      <c r="D3089" t="s">
        <v>17</v>
      </c>
      <c r="E3089" t="s">
        <v>12</v>
      </c>
      <c r="F3089">
        <v>6309517</v>
      </c>
      <c r="G3089">
        <v>6309575</v>
      </c>
      <c r="H3089">
        <v>6309493</v>
      </c>
      <c r="I3089">
        <v>6309505</v>
      </c>
    </row>
    <row r="3090" spans="1:9" x14ac:dyDescent="0.2">
      <c r="A3090" s="1" t="str">
        <f>"CD93"</f>
        <v>CD93</v>
      </c>
      <c r="B3090" t="s">
        <v>14</v>
      </c>
      <c r="C3090" t="s">
        <v>29</v>
      </c>
      <c r="D3090" t="s">
        <v>11</v>
      </c>
      <c r="E3090" t="s">
        <v>12</v>
      </c>
      <c r="F3090">
        <v>23066953</v>
      </c>
      <c r="G3090">
        <v>23066974</v>
      </c>
      <c r="H3090">
        <v>23067005</v>
      </c>
      <c r="I3090">
        <v>23067021</v>
      </c>
    </row>
    <row r="3091" spans="1:9" x14ac:dyDescent="0.2">
      <c r="A3091" s="1" t="str">
        <f>"CD96"</f>
        <v>CD96</v>
      </c>
      <c r="B3091" t="s">
        <v>14</v>
      </c>
      <c r="C3091" t="s">
        <v>22</v>
      </c>
      <c r="D3091" t="s">
        <v>17</v>
      </c>
      <c r="E3091" t="s">
        <v>12</v>
      </c>
      <c r="F3091">
        <v>111261025</v>
      </c>
      <c r="G3091">
        <v>111261070</v>
      </c>
      <c r="H3091">
        <v>111260980</v>
      </c>
      <c r="I3091">
        <v>111261016</v>
      </c>
    </row>
    <row r="3092" spans="1:9" x14ac:dyDescent="0.2">
      <c r="A3092" s="1" t="str">
        <f>"CD97"</f>
        <v>CD97</v>
      </c>
      <c r="B3092" t="s">
        <v>14</v>
      </c>
      <c r="C3092" t="s">
        <v>10</v>
      </c>
      <c r="D3092" t="s">
        <v>17</v>
      </c>
      <c r="E3092" t="s">
        <v>12</v>
      </c>
      <c r="F3092">
        <v>14492247</v>
      </c>
      <c r="G3092">
        <v>14492264</v>
      </c>
      <c r="H3092">
        <v>14492217</v>
      </c>
      <c r="I3092">
        <v>14492241</v>
      </c>
    </row>
    <row r="3093" spans="1:9" x14ac:dyDescent="0.2">
      <c r="A3093" s="1" t="str">
        <f>"CD99"</f>
        <v>CD99</v>
      </c>
      <c r="B3093" t="s">
        <v>14</v>
      </c>
      <c r="C3093" t="s">
        <v>37</v>
      </c>
      <c r="D3093" t="s">
        <v>17</v>
      </c>
      <c r="E3093" t="s">
        <v>12</v>
      </c>
      <c r="F3093">
        <v>2609356</v>
      </c>
      <c r="G3093">
        <v>2609383</v>
      </c>
      <c r="H3093">
        <v>2609325</v>
      </c>
      <c r="I3093">
        <v>2609345</v>
      </c>
    </row>
    <row r="3094" spans="1:9" x14ac:dyDescent="0.2">
      <c r="A3094" s="1" t="str">
        <f>"CD99L2"</f>
        <v>CD99L2</v>
      </c>
      <c r="B3094" t="s">
        <v>14</v>
      </c>
      <c r="C3094" t="s">
        <v>37</v>
      </c>
      <c r="D3094" t="s">
        <v>11</v>
      </c>
      <c r="E3094" t="s">
        <v>12</v>
      </c>
      <c r="F3094">
        <v>150067069</v>
      </c>
      <c r="G3094">
        <v>150067165</v>
      </c>
      <c r="H3094">
        <v>150067173</v>
      </c>
      <c r="I3094">
        <v>150067189</v>
      </c>
    </row>
    <row r="3095" spans="1:9" x14ac:dyDescent="0.2">
      <c r="A3095" s="1" t="str">
        <f>"CDA"</f>
        <v>CDA</v>
      </c>
      <c r="B3095" t="s">
        <v>14</v>
      </c>
      <c r="C3095" t="s">
        <v>19</v>
      </c>
      <c r="D3095" t="s">
        <v>17</v>
      </c>
      <c r="E3095" t="s">
        <v>12</v>
      </c>
      <c r="F3095">
        <v>20915530</v>
      </c>
      <c r="G3095">
        <v>20915635</v>
      </c>
      <c r="H3095">
        <v>20915409</v>
      </c>
      <c r="I3095">
        <v>20915492</v>
      </c>
    </row>
    <row r="3096" spans="1:9" x14ac:dyDescent="0.2">
      <c r="A3096" s="1" t="str">
        <f>"CDADC1"</f>
        <v>CDADC1</v>
      </c>
      <c r="B3096" t="s">
        <v>14</v>
      </c>
      <c r="C3096" t="s">
        <v>39</v>
      </c>
      <c r="D3096" t="s">
        <v>17</v>
      </c>
      <c r="E3096" t="s">
        <v>12</v>
      </c>
      <c r="F3096">
        <v>49822041</v>
      </c>
      <c r="G3096">
        <v>49822086</v>
      </c>
      <c r="H3096">
        <v>49822189</v>
      </c>
      <c r="I3096">
        <v>49822227</v>
      </c>
    </row>
    <row r="3097" spans="1:9" x14ac:dyDescent="0.2">
      <c r="A3097" s="1" t="str">
        <f>"CDAN1"</f>
        <v>CDAN1</v>
      </c>
      <c r="B3097" t="s">
        <v>14</v>
      </c>
      <c r="C3097" t="s">
        <v>25</v>
      </c>
      <c r="D3097" t="s">
        <v>11</v>
      </c>
      <c r="E3097" t="s">
        <v>12</v>
      </c>
      <c r="F3097">
        <v>43029304</v>
      </c>
      <c r="G3097">
        <v>43029333</v>
      </c>
      <c r="H3097">
        <v>43029304</v>
      </c>
      <c r="I3097">
        <v>43029333</v>
      </c>
    </row>
    <row r="3098" spans="1:9" x14ac:dyDescent="0.2">
      <c r="A3098" s="1" t="str">
        <f>"CDC123"</f>
        <v>CDC123</v>
      </c>
      <c r="B3098" t="s">
        <v>14</v>
      </c>
      <c r="C3098" t="s">
        <v>15</v>
      </c>
      <c r="D3098" t="s">
        <v>17</v>
      </c>
      <c r="E3098" t="s">
        <v>12</v>
      </c>
      <c r="F3098">
        <v>12238171</v>
      </c>
      <c r="G3098">
        <v>12238241</v>
      </c>
      <c r="H3098">
        <v>12237924</v>
      </c>
      <c r="I3098">
        <v>12237982</v>
      </c>
    </row>
    <row r="3099" spans="1:9" x14ac:dyDescent="0.2">
      <c r="A3099" s="1" t="str">
        <f>"CDC14A"</f>
        <v>CDC14A</v>
      </c>
      <c r="B3099" t="s">
        <v>14</v>
      </c>
      <c r="C3099" t="s">
        <v>19</v>
      </c>
      <c r="D3099" t="s">
        <v>17</v>
      </c>
      <c r="E3099" t="s">
        <v>12</v>
      </c>
      <c r="F3099">
        <v>100818009</v>
      </c>
      <c r="G3099">
        <v>100818072</v>
      </c>
      <c r="H3099">
        <v>100818080</v>
      </c>
      <c r="I3099">
        <v>100818094</v>
      </c>
    </row>
    <row r="3100" spans="1:9" x14ac:dyDescent="0.2">
      <c r="A3100" s="1" t="str">
        <f>"CDC14B"</f>
        <v>CDC14B</v>
      </c>
      <c r="B3100" t="s">
        <v>14</v>
      </c>
      <c r="C3100" t="s">
        <v>24</v>
      </c>
      <c r="D3100" t="s">
        <v>11</v>
      </c>
      <c r="E3100" t="s">
        <v>12</v>
      </c>
      <c r="F3100">
        <v>99381745</v>
      </c>
      <c r="G3100">
        <v>99381850</v>
      </c>
      <c r="H3100">
        <v>99382065</v>
      </c>
      <c r="I3100">
        <v>99382151</v>
      </c>
    </row>
    <row r="3101" spans="1:9" x14ac:dyDescent="0.2">
      <c r="A3101" s="1" t="str">
        <f>"CDC16"</f>
        <v>CDC16</v>
      </c>
      <c r="B3101" t="s">
        <v>14</v>
      </c>
      <c r="C3101" t="s">
        <v>39</v>
      </c>
      <c r="D3101" t="s">
        <v>17</v>
      </c>
      <c r="E3101" t="s">
        <v>12</v>
      </c>
      <c r="F3101">
        <v>115000384</v>
      </c>
      <c r="G3101">
        <v>115000458</v>
      </c>
      <c r="H3101">
        <v>115000339</v>
      </c>
      <c r="I3101">
        <v>115000380</v>
      </c>
    </row>
    <row r="3102" spans="1:9" x14ac:dyDescent="0.2">
      <c r="A3102" s="1" t="str">
        <f>"CDC20"</f>
        <v>CDC20</v>
      </c>
      <c r="B3102" t="s">
        <v>14</v>
      </c>
      <c r="C3102" t="s">
        <v>19</v>
      </c>
      <c r="D3102" t="s">
        <v>17</v>
      </c>
      <c r="E3102" t="s">
        <v>12</v>
      </c>
      <c r="F3102">
        <v>43824639</v>
      </c>
      <c r="G3102">
        <v>43824659</v>
      </c>
      <c r="H3102">
        <v>43824577</v>
      </c>
      <c r="I3102">
        <v>43824636</v>
      </c>
    </row>
    <row r="3103" spans="1:9" x14ac:dyDescent="0.2">
      <c r="A3103" s="1" t="str">
        <f>"CDC20B"</f>
        <v>CDC20B</v>
      </c>
      <c r="B3103" t="s">
        <v>14</v>
      </c>
      <c r="C3103" t="s">
        <v>46</v>
      </c>
      <c r="D3103" t="s">
        <v>11</v>
      </c>
      <c r="E3103" t="s">
        <v>12</v>
      </c>
      <c r="F3103">
        <v>54469001</v>
      </c>
      <c r="G3103">
        <v>54469028</v>
      </c>
      <c r="H3103">
        <v>54469050</v>
      </c>
      <c r="I3103">
        <v>54469064</v>
      </c>
    </row>
    <row r="3104" spans="1:9" x14ac:dyDescent="0.2">
      <c r="A3104" s="1" t="str">
        <f>"CDC23"</f>
        <v>CDC23</v>
      </c>
      <c r="B3104" t="s">
        <v>14</v>
      </c>
      <c r="C3104" t="s">
        <v>46</v>
      </c>
      <c r="D3104" t="s">
        <v>11</v>
      </c>
      <c r="E3104" t="s">
        <v>12</v>
      </c>
      <c r="F3104">
        <v>137548997</v>
      </c>
      <c r="G3104">
        <v>137549035</v>
      </c>
      <c r="H3104">
        <v>137548997</v>
      </c>
      <c r="I3104">
        <v>137549035</v>
      </c>
    </row>
    <row r="3105" spans="1:9" x14ac:dyDescent="0.2">
      <c r="A3105" s="1" t="str">
        <f>"CDC25A"</f>
        <v>CDC25A</v>
      </c>
      <c r="B3105" t="s">
        <v>14</v>
      </c>
      <c r="C3105" t="s">
        <v>22</v>
      </c>
      <c r="D3105" t="s">
        <v>11</v>
      </c>
      <c r="E3105" t="s">
        <v>12</v>
      </c>
      <c r="F3105">
        <v>48229860</v>
      </c>
      <c r="G3105">
        <v>48229918</v>
      </c>
      <c r="H3105">
        <v>48229463</v>
      </c>
      <c r="I3105">
        <v>48229503</v>
      </c>
    </row>
    <row r="3106" spans="1:9" x14ac:dyDescent="0.2">
      <c r="A3106" s="1" t="str">
        <f>"CDC25B"</f>
        <v>CDC25B</v>
      </c>
      <c r="B3106" t="s">
        <v>14</v>
      </c>
      <c r="C3106" t="s">
        <v>29</v>
      </c>
      <c r="D3106" t="s">
        <v>17</v>
      </c>
      <c r="E3106" t="s">
        <v>12</v>
      </c>
      <c r="F3106">
        <v>3776936</v>
      </c>
      <c r="G3106">
        <v>3776964</v>
      </c>
      <c r="H3106">
        <v>3776371</v>
      </c>
      <c r="I3106">
        <v>3776506</v>
      </c>
    </row>
    <row r="3107" spans="1:9" x14ac:dyDescent="0.2">
      <c r="A3107" s="1" t="str">
        <f>"CDC25C"</f>
        <v>CDC25C</v>
      </c>
      <c r="B3107" t="s">
        <v>14</v>
      </c>
      <c r="C3107" t="s">
        <v>46</v>
      </c>
      <c r="D3107" t="s">
        <v>11</v>
      </c>
      <c r="E3107" t="s">
        <v>12</v>
      </c>
      <c r="F3107">
        <v>137667459</v>
      </c>
      <c r="G3107">
        <v>137667524</v>
      </c>
      <c r="H3107">
        <v>137667526</v>
      </c>
      <c r="I3107">
        <v>137667537</v>
      </c>
    </row>
    <row r="3108" spans="1:9" x14ac:dyDescent="0.2">
      <c r="A3108" s="1" t="str">
        <f>"CDC26"</f>
        <v>CDC26</v>
      </c>
      <c r="B3108" t="s">
        <v>14</v>
      </c>
      <c r="C3108" t="s">
        <v>24</v>
      </c>
      <c r="D3108" t="s">
        <v>11</v>
      </c>
      <c r="E3108" t="s">
        <v>12</v>
      </c>
      <c r="F3108">
        <v>116037840</v>
      </c>
      <c r="G3108">
        <v>116037876</v>
      </c>
      <c r="H3108">
        <v>116037678</v>
      </c>
      <c r="I3108">
        <v>116037700</v>
      </c>
    </row>
    <row r="3109" spans="1:9" x14ac:dyDescent="0.2">
      <c r="A3109" s="1" t="str">
        <f>"CDC27"</f>
        <v>CDC27</v>
      </c>
      <c r="B3109" t="s">
        <v>14</v>
      </c>
      <c r="C3109" t="s">
        <v>28</v>
      </c>
      <c r="D3109" t="s">
        <v>11</v>
      </c>
      <c r="E3109" t="s">
        <v>12</v>
      </c>
      <c r="F3109">
        <v>45266611</v>
      </c>
      <c r="G3109">
        <v>45266683</v>
      </c>
      <c r="H3109">
        <v>45266690</v>
      </c>
      <c r="I3109">
        <v>45266709</v>
      </c>
    </row>
    <row r="3110" spans="1:9" x14ac:dyDescent="0.2">
      <c r="A3110" s="1" t="str">
        <f>"CDC34"</f>
        <v>CDC34</v>
      </c>
      <c r="B3110" t="s">
        <v>14</v>
      </c>
      <c r="C3110" t="s">
        <v>10</v>
      </c>
      <c r="D3110" t="s">
        <v>17</v>
      </c>
      <c r="E3110" t="s">
        <v>12</v>
      </c>
      <c r="F3110">
        <v>531713</v>
      </c>
      <c r="G3110">
        <v>531748</v>
      </c>
      <c r="H3110">
        <v>531750</v>
      </c>
      <c r="I3110">
        <v>531767</v>
      </c>
    </row>
    <row r="3111" spans="1:9" x14ac:dyDescent="0.2">
      <c r="A3111" s="1" t="str">
        <f>"CDC37"</f>
        <v>CDC37</v>
      </c>
      <c r="B3111" t="s">
        <v>14</v>
      </c>
      <c r="C3111" t="s">
        <v>10</v>
      </c>
      <c r="D3111" t="s">
        <v>11</v>
      </c>
      <c r="E3111" t="s">
        <v>12</v>
      </c>
      <c r="F3111">
        <v>10506712</v>
      </c>
      <c r="G3111">
        <v>10506762</v>
      </c>
      <c r="H3111">
        <v>10506712</v>
      </c>
      <c r="I3111">
        <v>10506762</v>
      </c>
    </row>
    <row r="3112" spans="1:9" x14ac:dyDescent="0.2">
      <c r="A3112" s="1" t="str">
        <f>"CDC37L1"</f>
        <v>CDC37L1</v>
      </c>
      <c r="B3112" t="s">
        <v>14</v>
      </c>
      <c r="C3112" t="s">
        <v>24</v>
      </c>
      <c r="D3112" t="s">
        <v>17</v>
      </c>
      <c r="E3112" t="s">
        <v>12</v>
      </c>
      <c r="F3112">
        <v>4679555</v>
      </c>
      <c r="G3112">
        <v>4679617</v>
      </c>
      <c r="H3112">
        <v>4679624</v>
      </c>
      <c r="I3112">
        <v>4679645</v>
      </c>
    </row>
    <row r="3113" spans="1:9" x14ac:dyDescent="0.2">
      <c r="A3113" s="1" t="str">
        <f>"CDC40"</f>
        <v>CDC40</v>
      </c>
      <c r="B3113" t="s">
        <v>14</v>
      </c>
      <c r="C3113" t="s">
        <v>32</v>
      </c>
      <c r="D3113" t="s">
        <v>17</v>
      </c>
      <c r="E3113" t="s">
        <v>12</v>
      </c>
      <c r="F3113">
        <v>110501621</v>
      </c>
      <c r="G3113">
        <v>110501639</v>
      </c>
      <c r="H3113">
        <v>110501592</v>
      </c>
      <c r="I3113">
        <v>110501614</v>
      </c>
    </row>
    <row r="3114" spans="1:9" x14ac:dyDescent="0.2">
      <c r="A3114" s="1" t="str">
        <f>"CDC42"</f>
        <v>CDC42</v>
      </c>
      <c r="B3114" t="s">
        <v>14</v>
      </c>
      <c r="C3114" t="s">
        <v>19</v>
      </c>
      <c r="D3114" t="s">
        <v>17</v>
      </c>
      <c r="E3114" t="s">
        <v>12</v>
      </c>
      <c r="F3114">
        <v>22379179</v>
      </c>
      <c r="G3114">
        <v>22379215</v>
      </c>
      <c r="H3114">
        <v>22379158</v>
      </c>
      <c r="I3114">
        <v>22379177</v>
      </c>
    </row>
    <row r="3115" spans="1:9" x14ac:dyDescent="0.2">
      <c r="A3115" s="1" t="str">
        <f>"CDC42BPA"</f>
        <v>CDC42BPA</v>
      </c>
      <c r="B3115" t="s">
        <v>14</v>
      </c>
      <c r="C3115" t="s">
        <v>19</v>
      </c>
      <c r="D3115" t="s">
        <v>11</v>
      </c>
      <c r="E3115" t="s">
        <v>12</v>
      </c>
      <c r="F3115">
        <v>227506158</v>
      </c>
      <c r="G3115">
        <v>227506212</v>
      </c>
      <c r="H3115">
        <v>227506015</v>
      </c>
      <c r="I3115">
        <v>227506075</v>
      </c>
    </row>
    <row r="3116" spans="1:9" x14ac:dyDescent="0.2">
      <c r="A3116" s="1" t="str">
        <f>"CDC42BPB"</f>
        <v>CDC42BPB</v>
      </c>
      <c r="B3116" t="s">
        <v>14</v>
      </c>
      <c r="C3116" t="s">
        <v>41</v>
      </c>
      <c r="D3116" t="s">
        <v>11</v>
      </c>
      <c r="E3116" t="s">
        <v>12</v>
      </c>
      <c r="F3116">
        <v>103523846</v>
      </c>
      <c r="G3116">
        <v>103523915</v>
      </c>
      <c r="H3116">
        <v>103523723</v>
      </c>
      <c r="I3116">
        <v>103523743</v>
      </c>
    </row>
    <row r="3117" spans="1:9" x14ac:dyDescent="0.2">
      <c r="A3117" s="1" t="str">
        <f>"CDC42BPG"</f>
        <v>CDC42BPG</v>
      </c>
      <c r="B3117" t="s">
        <v>14</v>
      </c>
      <c r="C3117" t="s">
        <v>27</v>
      </c>
      <c r="D3117" t="s">
        <v>11</v>
      </c>
      <c r="E3117" t="s">
        <v>12</v>
      </c>
      <c r="F3117">
        <v>64612118</v>
      </c>
      <c r="G3117">
        <v>64612152</v>
      </c>
      <c r="H3117">
        <v>64612199</v>
      </c>
      <c r="I3117">
        <v>64612220</v>
      </c>
    </row>
    <row r="3118" spans="1:9" x14ac:dyDescent="0.2">
      <c r="A3118" s="1" t="str">
        <f>"CDC42EP1"</f>
        <v>CDC42EP1</v>
      </c>
      <c r="B3118" t="s">
        <v>14</v>
      </c>
      <c r="C3118" t="s">
        <v>21</v>
      </c>
      <c r="D3118" t="s">
        <v>17</v>
      </c>
      <c r="E3118" t="s">
        <v>12</v>
      </c>
      <c r="F3118">
        <v>37956479</v>
      </c>
      <c r="G3118">
        <v>37956511</v>
      </c>
      <c r="H3118">
        <v>37956453</v>
      </c>
      <c r="I3118">
        <v>37956464</v>
      </c>
    </row>
    <row r="3119" spans="1:9" x14ac:dyDescent="0.2">
      <c r="A3119" s="1" t="str">
        <f>"CDC42EP2"</f>
        <v>CDC42EP2</v>
      </c>
      <c r="B3119" t="s">
        <v>14</v>
      </c>
      <c r="C3119" t="s">
        <v>27</v>
      </c>
      <c r="D3119" t="s">
        <v>17</v>
      </c>
      <c r="E3119" t="s">
        <v>12</v>
      </c>
      <c r="F3119">
        <v>65082349</v>
      </c>
      <c r="G3119">
        <v>65082378</v>
      </c>
      <c r="H3119">
        <v>65082324</v>
      </c>
      <c r="I3119">
        <v>65082344</v>
      </c>
    </row>
    <row r="3120" spans="1:9" x14ac:dyDescent="0.2">
      <c r="A3120" s="1" t="str">
        <f>"CDC42EP3"</f>
        <v>CDC42EP3</v>
      </c>
      <c r="B3120" t="s">
        <v>14</v>
      </c>
      <c r="C3120" t="s">
        <v>26</v>
      </c>
      <c r="D3120" t="s">
        <v>11</v>
      </c>
      <c r="E3120" t="s">
        <v>12</v>
      </c>
      <c r="F3120">
        <v>37898778</v>
      </c>
      <c r="G3120">
        <v>37898793</v>
      </c>
      <c r="H3120">
        <v>37898807</v>
      </c>
      <c r="I3120">
        <v>37898819</v>
      </c>
    </row>
    <row r="3121" spans="1:9" x14ac:dyDescent="0.2">
      <c r="A3121" s="1" t="str">
        <f>"CDC42EP4"</f>
        <v>CDC42EP4</v>
      </c>
      <c r="B3121" t="s">
        <v>14</v>
      </c>
      <c r="C3121" t="s">
        <v>28</v>
      </c>
      <c r="D3121" t="s">
        <v>11</v>
      </c>
      <c r="E3121" t="s">
        <v>12</v>
      </c>
      <c r="F3121">
        <v>71308119</v>
      </c>
      <c r="G3121">
        <v>71308159</v>
      </c>
      <c r="H3121">
        <v>71307213</v>
      </c>
      <c r="I3121">
        <v>71307241</v>
      </c>
    </row>
    <row r="3122" spans="1:9" x14ac:dyDescent="0.2">
      <c r="A3122" s="1" t="str">
        <f>"CDC42EP5"</f>
        <v>CDC42EP5</v>
      </c>
      <c r="B3122" t="s">
        <v>14</v>
      </c>
      <c r="C3122" t="s">
        <v>10</v>
      </c>
      <c r="D3122" t="s">
        <v>11</v>
      </c>
      <c r="E3122" t="s">
        <v>12</v>
      </c>
      <c r="F3122">
        <v>54984354</v>
      </c>
      <c r="G3122">
        <v>54984463</v>
      </c>
      <c r="H3122">
        <v>54984271</v>
      </c>
      <c r="I3122">
        <v>54984286</v>
      </c>
    </row>
    <row r="3123" spans="1:9" x14ac:dyDescent="0.2">
      <c r="A3123" s="1" t="str">
        <f>"CDC42SE1"</f>
        <v>CDC42SE1</v>
      </c>
      <c r="B3123" t="s">
        <v>14</v>
      </c>
      <c r="C3123" t="s">
        <v>19</v>
      </c>
      <c r="D3123" t="s">
        <v>11</v>
      </c>
      <c r="E3123" t="s">
        <v>12</v>
      </c>
      <c r="F3123">
        <v>151032040</v>
      </c>
      <c r="G3123">
        <v>151032115</v>
      </c>
      <c r="H3123">
        <v>151032040</v>
      </c>
      <c r="I3123">
        <v>151032115</v>
      </c>
    </row>
    <row r="3124" spans="1:9" x14ac:dyDescent="0.2">
      <c r="A3124" s="1" t="str">
        <f>"CDC42SE2"</f>
        <v>CDC42SE2</v>
      </c>
      <c r="B3124" t="s">
        <v>14</v>
      </c>
      <c r="C3124" t="s">
        <v>46</v>
      </c>
      <c r="D3124" t="s">
        <v>17</v>
      </c>
      <c r="E3124" t="s">
        <v>12</v>
      </c>
      <c r="F3124">
        <v>130599735</v>
      </c>
      <c r="G3124">
        <v>130599802</v>
      </c>
      <c r="H3124">
        <v>130599701</v>
      </c>
      <c r="I3124">
        <v>130599716</v>
      </c>
    </row>
    <row r="3125" spans="1:9" x14ac:dyDescent="0.2">
      <c r="A3125" s="1" t="str">
        <f>"CDC45"</f>
        <v>CDC45</v>
      </c>
      <c r="B3125" t="s">
        <v>14</v>
      </c>
      <c r="C3125" t="s">
        <v>21</v>
      </c>
      <c r="D3125" t="s">
        <v>17</v>
      </c>
      <c r="E3125" t="s">
        <v>12</v>
      </c>
      <c r="F3125">
        <v>19467408</v>
      </c>
      <c r="G3125">
        <v>19467480</v>
      </c>
      <c r="H3125">
        <v>19466980</v>
      </c>
      <c r="I3125">
        <v>19467003</v>
      </c>
    </row>
    <row r="3126" spans="1:9" x14ac:dyDescent="0.2">
      <c r="A3126" s="1" t="str">
        <f>"CDC5L"</f>
        <v>CDC5L</v>
      </c>
      <c r="B3126" t="s">
        <v>14</v>
      </c>
      <c r="C3126" t="s">
        <v>32</v>
      </c>
      <c r="D3126" t="s">
        <v>17</v>
      </c>
      <c r="E3126" t="s">
        <v>12</v>
      </c>
      <c r="F3126">
        <v>44355423</v>
      </c>
      <c r="G3126">
        <v>44355470</v>
      </c>
      <c r="H3126">
        <v>44355257</v>
      </c>
      <c r="I3126">
        <v>44355315</v>
      </c>
    </row>
    <row r="3127" spans="1:9" x14ac:dyDescent="0.2">
      <c r="A3127" s="1" t="str">
        <f>"CDC6"</f>
        <v>CDC6</v>
      </c>
      <c r="B3127" t="s">
        <v>14</v>
      </c>
      <c r="C3127" t="s">
        <v>28</v>
      </c>
      <c r="D3127" t="s">
        <v>17</v>
      </c>
      <c r="E3127" t="s">
        <v>12</v>
      </c>
      <c r="F3127">
        <v>38444115</v>
      </c>
      <c r="G3127">
        <v>38444194</v>
      </c>
      <c r="H3127">
        <v>38444115</v>
      </c>
      <c r="I3127">
        <v>38444194</v>
      </c>
    </row>
    <row r="3128" spans="1:9" x14ac:dyDescent="0.2">
      <c r="A3128" s="1" t="str">
        <f>"CDC7"</f>
        <v>CDC7</v>
      </c>
      <c r="B3128" t="s">
        <v>14</v>
      </c>
      <c r="C3128" t="s">
        <v>19</v>
      </c>
      <c r="D3128" t="s">
        <v>17</v>
      </c>
      <c r="E3128" t="s">
        <v>12</v>
      </c>
      <c r="F3128">
        <v>91966384</v>
      </c>
      <c r="G3128">
        <v>91966454</v>
      </c>
      <c r="H3128">
        <v>91966656</v>
      </c>
      <c r="I3128">
        <v>91966719</v>
      </c>
    </row>
    <row r="3129" spans="1:9" x14ac:dyDescent="0.2">
      <c r="A3129" s="1" t="str">
        <f>"CDC73"</f>
        <v>CDC73</v>
      </c>
      <c r="B3129" t="s">
        <v>14</v>
      </c>
      <c r="C3129" t="s">
        <v>19</v>
      </c>
      <c r="D3129" t="s">
        <v>17</v>
      </c>
      <c r="E3129" t="s">
        <v>12</v>
      </c>
      <c r="F3129">
        <v>193091080</v>
      </c>
      <c r="G3129">
        <v>193091222</v>
      </c>
      <c r="H3129">
        <v>193091236</v>
      </c>
      <c r="I3129">
        <v>193091275</v>
      </c>
    </row>
    <row r="3130" spans="1:9" x14ac:dyDescent="0.2">
      <c r="A3130" s="1" t="str">
        <f>"CDCA2"</f>
        <v>CDCA2</v>
      </c>
      <c r="B3130" t="s">
        <v>14</v>
      </c>
      <c r="C3130" t="s">
        <v>30</v>
      </c>
      <c r="D3130" t="s">
        <v>17</v>
      </c>
      <c r="E3130" t="s">
        <v>12</v>
      </c>
      <c r="F3130">
        <v>25316737</v>
      </c>
      <c r="G3130">
        <v>25316787</v>
      </c>
      <c r="H3130">
        <v>25316707</v>
      </c>
      <c r="I3130">
        <v>25316729</v>
      </c>
    </row>
    <row r="3131" spans="1:9" x14ac:dyDescent="0.2">
      <c r="A3131" s="1" t="str">
        <f>"CDCA3"</f>
        <v>CDCA3</v>
      </c>
      <c r="B3131" t="s">
        <v>14</v>
      </c>
      <c r="C3131" t="s">
        <v>16</v>
      </c>
      <c r="D3131" t="s">
        <v>11</v>
      </c>
      <c r="E3131" t="s">
        <v>12</v>
      </c>
      <c r="F3131">
        <v>6960407</v>
      </c>
      <c r="G3131">
        <v>6960464</v>
      </c>
      <c r="H3131">
        <v>6961050</v>
      </c>
      <c r="I3131">
        <v>6961096</v>
      </c>
    </row>
    <row r="3132" spans="1:9" x14ac:dyDescent="0.2">
      <c r="A3132" s="1" t="str">
        <f>"CDCA4"</f>
        <v>CDCA4</v>
      </c>
      <c r="B3132" t="s">
        <v>14</v>
      </c>
      <c r="C3132" t="s">
        <v>41</v>
      </c>
      <c r="D3132" t="s">
        <v>11</v>
      </c>
      <c r="E3132" t="s">
        <v>12</v>
      </c>
      <c r="F3132">
        <v>105487381</v>
      </c>
      <c r="G3132">
        <v>105487453</v>
      </c>
      <c r="H3132">
        <v>105487479</v>
      </c>
      <c r="I3132">
        <v>105487481</v>
      </c>
    </row>
    <row r="3133" spans="1:9" x14ac:dyDescent="0.2">
      <c r="A3133" s="1" t="str">
        <f>"CDCA5"</f>
        <v>CDCA5</v>
      </c>
      <c r="B3133" t="s">
        <v>14</v>
      </c>
      <c r="C3133" t="s">
        <v>27</v>
      </c>
      <c r="D3133" t="s">
        <v>11</v>
      </c>
      <c r="E3133" t="s">
        <v>12</v>
      </c>
      <c r="F3133">
        <v>64851496</v>
      </c>
      <c r="G3133">
        <v>64851577</v>
      </c>
      <c r="H3133">
        <v>64851819</v>
      </c>
      <c r="I3133">
        <v>64851867</v>
      </c>
    </row>
    <row r="3134" spans="1:9" x14ac:dyDescent="0.2">
      <c r="A3134" s="1" t="str">
        <f>"CDCA7"</f>
        <v>CDCA7</v>
      </c>
      <c r="B3134" t="s">
        <v>14</v>
      </c>
      <c r="C3134" t="s">
        <v>26</v>
      </c>
      <c r="D3134" t="s">
        <v>17</v>
      </c>
      <c r="E3134" t="s">
        <v>12</v>
      </c>
      <c r="F3134">
        <v>174219559</v>
      </c>
      <c r="G3134">
        <v>174219621</v>
      </c>
      <c r="H3134">
        <v>174219559</v>
      </c>
      <c r="I3134">
        <v>174219621</v>
      </c>
    </row>
    <row r="3135" spans="1:9" x14ac:dyDescent="0.2">
      <c r="A3135" s="1" t="str">
        <f>"CDCA7L"</f>
        <v>CDCA7L</v>
      </c>
      <c r="B3135" t="s">
        <v>14</v>
      </c>
      <c r="C3135" t="s">
        <v>33</v>
      </c>
      <c r="D3135" t="s">
        <v>11</v>
      </c>
      <c r="E3135" t="s">
        <v>12</v>
      </c>
      <c r="F3135">
        <v>21985489</v>
      </c>
      <c r="G3135">
        <v>21985547</v>
      </c>
      <c r="H3135">
        <v>21985489</v>
      </c>
      <c r="I3135">
        <v>21985547</v>
      </c>
    </row>
    <row r="3136" spans="1:9" x14ac:dyDescent="0.2">
      <c r="A3136" s="1" t="str">
        <f>"CDCA8"</f>
        <v>CDCA8</v>
      </c>
      <c r="B3136" t="s">
        <v>14</v>
      </c>
      <c r="C3136" t="s">
        <v>19</v>
      </c>
      <c r="D3136" t="s">
        <v>17</v>
      </c>
      <c r="E3136" t="s">
        <v>12</v>
      </c>
      <c r="F3136">
        <v>38158178</v>
      </c>
      <c r="G3136">
        <v>38158237</v>
      </c>
      <c r="H3136">
        <v>38158135</v>
      </c>
      <c r="I3136">
        <v>38158174</v>
      </c>
    </row>
    <row r="3137" spans="1:9" x14ac:dyDescent="0.2">
      <c r="A3137" s="1" t="str">
        <f>"CDCP1"</f>
        <v>CDCP1</v>
      </c>
      <c r="B3137" t="s">
        <v>14</v>
      </c>
      <c r="C3137" t="s">
        <v>22</v>
      </c>
      <c r="D3137" t="s">
        <v>11</v>
      </c>
      <c r="E3137" t="s">
        <v>12</v>
      </c>
      <c r="F3137">
        <v>45187843</v>
      </c>
      <c r="G3137">
        <v>45187907</v>
      </c>
      <c r="H3137">
        <v>45187930</v>
      </c>
      <c r="I3137">
        <v>45187949</v>
      </c>
    </row>
    <row r="3138" spans="1:9" x14ac:dyDescent="0.2">
      <c r="A3138" s="1" t="str">
        <f>"CDCP2"</f>
        <v>CDCP2</v>
      </c>
      <c r="B3138" t="s">
        <v>210</v>
      </c>
      <c r="C3138" t="s">
        <v>19</v>
      </c>
      <c r="D3138" t="s">
        <v>11</v>
      </c>
      <c r="E3138" t="s">
        <v>20</v>
      </c>
      <c r="F3138">
        <v>54619442</v>
      </c>
      <c r="G3138">
        <v>54619442</v>
      </c>
      <c r="H3138">
        <v>54619442</v>
      </c>
      <c r="I3138">
        <v>54619442</v>
      </c>
    </row>
    <row r="3139" spans="1:9" x14ac:dyDescent="0.2">
      <c r="A3139" s="1" t="str">
        <f>"CDH1"</f>
        <v>CDH1</v>
      </c>
      <c r="B3139" t="s">
        <v>14</v>
      </c>
      <c r="C3139" t="s">
        <v>31</v>
      </c>
      <c r="D3139" t="s">
        <v>17</v>
      </c>
      <c r="E3139" t="s">
        <v>12</v>
      </c>
      <c r="F3139">
        <v>68771187</v>
      </c>
      <c r="G3139">
        <v>68771201</v>
      </c>
      <c r="H3139">
        <v>68771187</v>
      </c>
      <c r="I3139">
        <v>68771201</v>
      </c>
    </row>
    <row r="3140" spans="1:9" x14ac:dyDescent="0.2">
      <c r="A3140" s="1" t="str">
        <f>"CDH10"</f>
        <v>CDH10</v>
      </c>
      <c r="B3140" t="s">
        <v>14</v>
      </c>
      <c r="C3140" t="s">
        <v>46</v>
      </c>
      <c r="D3140" t="s">
        <v>11</v>
      </c>
      <c r="E3140" t="s">
        <v>12</v>
      </c>
      <c r="F3140">
        <v>24645032</v>
      </c>
      <c r="G3140">
        <v>24645068</v>
      </c>
      <c r="H3140">
        <v>24645078</v>
      </c>
      <c r="I3140">
        <v>24645096</v>
      </c>
    </row>
    <row r="3141" spans="1:9" x14ac:dyDescent="0.2">
      <c r="A3141" s="1" t="str">
        <f>"CDH11"</f>
        <v>CDH11</v>
      </c>
      <c r="B3141" t="s">
        <v>14</v>
      </c>
      <c r="C3141" t="s">
        <v>31</v>
      </c>
      <c r="D3141" t="s">
        <v>11</v>
      </c>
      <c r="E3141" t="s">
        <v>12</v>
      </c>
      <c r="F3141">
        <v>65155959</v>
      </c>
      <c r="G3141">
        <v>65155976</v>
      </c>
      <c r="H3141">
        <v>65155979</v>
      </c>
      <c r="I3141">
        <v>65156001</v>
      </c>
    </row>
    <row r="3142" spans="1:9" x14ac:dyDescent="0.2">
      <c r="A3142" s="1" t="str">
        <f>"CDH12"</f>
        <v>CDH12</v>
      </c>
      <c r="B3142" t="s">
        <v>14</v>
      </c>
      <c r="C3142" t="s">
        <v>46</v>
      </c>
      <c r="D3142" t="s">
        <v>11</v>
      </c>
      <c r="E3142" t="s">
        <v>12</v>
      </c>
      <c r="F3142">
        <v>22853429</v>
      </c>
      <c r="G3142">
        <v>22853462</v>
      </c>
      <c r="H3142">
        <v>22853470</v>
      </c>
      <c r="I3142">
        <v>22853486</v>
      </c>
    </row>
    <row r="3143" spans="1:9" x14ac:dyDescent="0.2">
      <c r="A3143" s="1" t="str">
        <f>"CDH13"</f>
        <v>CDH13</v>
      </c>
      <c r="B3143" t="s">
        <v>14</v>
      </c>
      <c r="C3143" t="s">
        <v>31</v>
      </c>
      <c r="D3143" t="s">
        <v>17</v>
      </c>
      <c r="E3143" t="s">
        <v>12</v>
      </c>
      <c r="F3143">
        <v>82660560</v>
      </c>
      <c r="G3143">
        <v>82660585</v>
      </c>
      <c r="H3143">
        <v>82660635</v>
      </c>
      <c r="I3143">
        <v>82660650</v>
      </c>
    </row>
    <row r="3144" spans="1:9" x14ac:dyDescent="0.2">
      <c r="A3144" s="1" t="str">
        <f>"CDH15"</f>
        <v>CDH15</v>
      </c>
      <c r="B3144" t="s">
        <v>14</v>
      </c>
      <c r="C3144" t="s">
        <v>31</v>
      </c>
      <c r="D3144" t="s">
        <v>17</v>
      </c>
      <c r="E3144" t="s">
        <v>12</v>
      </c>
      <c r="F3144">
        <v>89238149</v>
      </c>
      <c r="G3144">
        <v>89238187</v>
      </c>
      <c r="H3144">
        <v>89238212</v>
      </c>
      <c r="I3144">
        <v>89238224</v>
      </c>
    </row>
    <row r="3145" spans="1:9" x14ac:dyDescent="0.2">
      <c r="A3145" s="1" t="str">
        <f>"CDH16"</f>
        <v>CDH16</v>
      </c>
      <c r="B3145" t="s">
        <v>14</v>
      </c>
      <c r="C3145" t="s">
        <v>31</v>
      </c>
      <c r="D3145" t="s">
        <v>11</v>
      </c>
      <c r="E3145" t="s">
        <v>12</v>
      </c>
      <c r="F3145">
        <v>66952742</v>
      </c>
      <c r="G3145">
        <v>66952774</v>
      </c>
      <c r="H3145">
        <v>66952781</v>
      </c>
      <c r="I3145">
        <v>66952794</v>
      </c>
    </row>
    <row r="3146" spans="1:9" x14ac:dyDescent="0.2">
      <c r="A3146" s="1" t="str">
        <f>"CDH17"</f>
        <v>CDH17</v>
      </c>
      <c r="B3146" t="s">
        <v>9</v>
      </c>
      <c r="C3146" t="s">
        <v>30</v>
      </c>
      <c r="D3146" t="s">
        <v>11</v>
      </c>
      <c r="E3146" t="s">
        <v>12</v>
      </c>
      <c r="F3146">
        <v>95220775</v>
      </c>
      <c r="G3146">
        <v>95220820</v>
      </c>
      <c r="H3146">
        <v>95220775</v>
      </c>
      <c r="I3146">
        <v>95220820</v>
      </c>
    </row>
    <row r="3147" spans="1:9" x14ac:dyDescent="0.2">
      <c r="A3147" s="1" t="str">
        <f>"CDH17"</f>
        <v>CDH17</v>
      </c>
      <c r="B3147" t="s">
        <v>13</v>
      </c>
      <c r="C3147" t="s">
        <v>30</v>
      </c>
      <c r="D3147" t="s">
        <v>11</v>
      </c>
      <c r="E3147" t="s">
        <v>12</v>
      </c>
      <c r="F3147">
        <v>95229499</v>
      </c>
      <c r="G3147">
        <v>95229513</v>
      </c>
      <c r="H3147">
        <v>95229499</v>
      </c>
      <c r="I3147">
        <v>95229513</v>
      </c>
    </row>
    <row r="3148" spans="1:9" x14ac:dyDescent="0.2">
      <c r="A3148" s="1" t="str">
        <f>"CDH18"</f>
        <v>CDH18</v>
      </c>
      <c r="B3148" t="s">
        <v>14</v>
      </c>
      <c r="C3148" t="s">
        <v>46</v>
      </c>
      <c r="D3148" t="s">
        <v>11</v>
      </c>
      <c r="E3148" t="s">
        <v>12</v>
      </c>
      <c r="F3148">
        <v>19988288</v>
      </c>
      <c r="G3148">
        <v>19988330</v>
      </c>
      <c r="H3148">
        <v>19988288</v>
      </c>
      <c r="I3148">
        <v>19988330</v>
      </c>
    </row>
    <row r="3149" spans="1:9" x14ac:dyDescent="0.2">
      <c r="A3149" s="1" t="str">
        <f>"CDH19"</f>
        <v>CDH19</v>
      </c>
      <c r="B3149" t="s">
        <v>14</v>
      </c>
      <c r="C3149" t="s">
        <v>43</v>
      </c>
      <c r="D3149" t="s">
        <v>11</v>
      </c>
      <c r="E3149" t="s">
        <v>12</v>
      </c>
      <c r="F3149">
        <v>64271316</v>
      </c>
      <c r="G3149">
        <v>64271334</v>
      </c>
      <c r="H3149">
        <v>64271363</v>
      </c>
      <c r="I3149">
        <v>64271390</v>
      </c>
    </row>
    <row r="3150" spans="1:9" x14ac:dyDescent="0.2">
      <c r="A3150" s="1" t="str">
        <f>"CDH2"</f>
        <v>CDH2</v>
      </c>
      <c r="B3150" t="s">
        <v>14</v>
      </c>
      <c r="C3150" t="s">
        <v>43</v>
      </c>
      <c r="D3150" t="s">
        <v>11</v>
      </c>
      <c r="E3150" t="s">
        <v>12</v>
      </c>
      <c r="F3150">
        <v>25757066</v>
      </c>
      <c r="G3150">
        <v>25757103</v>
      </c>
      <c r="H3150">
        <v>25757066</v>
      </c>
      <c r="I3150">
        <v>25757103</v>
      </c>
    </row>
    <row r="3151" spans="1:9" x14ac:dyDescent="0.2">
      <c r="A3151" s="1" t="str">
        <f>"CDH20"</f>
        <v>CDH20</v>
      </c>
      <c r="B3151" t="s">
        <v>14</v>
      </c>
      <c r="C3151" t="s">
        <v>43</v>
      </c>
      <c r="D3151" t="s">
        <v>17</v>
      </c>
      <c r="E3151" t="s">
        <v>12</v>
      </c>
      <c r="F3151">
        <v>59000657</v>
      </c>
      <c r="G3151">
        <v>59000672</v>
      </c>
      <c r="H3151">
        <v>59000970</v>
      </c>
      <c r="I3151">
        <v>59000984</v>
      </c>
    </row>
    <row r="3152" spans="1:9" x14ac:dyDescent="0.2">
      <c r="A3152" s="1" t="str">
        <f>"CDH22"</f>
        <v>CDH22</v>
      </c>
      <c r="B3152" t="s">
        <v>14</v>
      </c>
      <c r="C3152" t="s">
        <v>29</v>
      </c>
      <c r="D3152" t="s">
        <v>11</v>
      </c>
      <c r="E3152" t="s">
        <v>12</v>
      </c>
      <c r="F3152">
        <v>44937047</v>
      </c>
      <c r="G3152">
        <v>44937095</v>
      </c>
      <c r="H3152">
        <v>44937124</v>
      </c>
      <c r="I3152">
        <v>44937144</v>
      </c>
    </row>
    <row r="3153" spans="1:9" x14ac:dyDescent="0.2">
      <c r="A3153" s="1" t="str">
        <f>"CDH23"</f>
        <v>CDH23</v>
      </c>
      <c r="B3153" t="s">
        <v>14</v>
      </c>
      <c r="C3153" t="s">
        <v>15</v>
      </c>
      <c r="D3153" t="s">
        <v>17</v>
      </c>
      <c r="E3153" t="s">
        <v>12</v>
      </c>
      <c r="F3153">
        <v>73156664</v>
      </c>
      <c r="G3153">
        <v>73156716</v>
      </c>
      <c r="H3153">
        <v>73156664</v>
      </c>
      <c r="I3153">
        <v>73156716</v>
      </c>
    </row>
    <row r="3154" spans="1:9" x14ac:dyDescent="0.2">
      <c r="A3154" s="1" t="str">
        <f>"CDH24"</f>
        <v>CDH24</v>
      </c>
      <c r="B3154" t="s">
        <v>14</v>
      </c>
      <c r="C3154" t="s">
        <v>41</v>
      </c>
      <c r="D3154" t="s">
        <v>11</v>
      </c>
      <c r="E3154" t="s">
        <v>12</v>
      </c>
      <c r="F3154">
        <v>23526715</v>
      </c>
      <c r="G3154">
        <v>23526738</v>
      </c>
      <c r="H3154">
        <v>23526739</v>
      </c>
      <c r="I3154">
        <v>23526766</v>
      </c>
    </row>
    <row r="3155" spans="1:9" x14ac:dyDescent="0.2">
      <c r="A3155" s="1" t="str">
        <f>"CDH26"</f>
        <v>CDH26</v>
      </c>
      <c r="B3155" t="s">
        <v>211</v>
      </c>
      <c r="C3155" t="s">
        <v>29</v>
      </c>
      <c r="D3155" t="s">
        <v>17</v>
      </c>
      <c r="E3155" t="s">
        <v>35</v>
      </c>
      <c r="F3155">
        <v>58533448</v>
      </c>
      <c r="G3155">
        <v>58533453</v>
      </c>
      <c r="H3155">
        <v>58533544</v>
      </c>
      <c r="I3155">
        <v>58533549</v>
      </c>
    </row>
    <row r="3156" spans="1:9" x14ac:dyDescent="0.2">
      <c r="A3156" s="1" t="str">
        <f>"CDH3"</f>
        <v>CDH3</v>
      </c>
      <c r="B3156" t="s">
        <v>14</v>
      </c>
      <c r="C3156" t="s">
        <v>31</v>
      </c>
      <c r="D3156" t="s">
        <v>17</v>
      </c>
      <c r="E3156" t="s">
        <v>12</v>
      </c>
      <c r="F3156">
        <v>68679193</v>
      </c>
      <c r="G3156">
        <v>68679253</v>
      </c>
      <c r="H3156">
        <v>68679173</v>
      </c>
      <c r="I3156">
        <v>68679184</v>
      </c>
    </row>
    <row r="3157" spans="1:9" x14ac:dyDescent="0.2">
      <c r="A3157" s="1" t="str">
        <f>"CDH4"</f>
        <v>CDH4</v>
      </c>
      <c r="B3157" t="s">
        <v>14</v>
      </c>
      <c r="C3157" t="s">
        <v>29</v>
      </c>
      <c r="D3157" t="s">
        <v>17</v>
      </c>
      <c r="E3157" t="s">
        <v>12</v>
      </c>
      <c r="F3157">
        <v>59827263</v>
      </c>
      <c r="G3157">
        <v>59827327</v>
      </c>
      <c r="H3157">
        <v>59827263</v>
      </c>
      <c r="I3157">
        <v>59827327</v>
      </c>
    </row>
    <row r="3158" spans="1:9" x14ac:dyDescent="0.2">
      <c r="A3158" s="1" t="str">
        <f>"CDH5"</f>
        <v>CDH5</v>
      </c>
      <c r="B3158" t="s">
        <v>14</v>
      </c>
      <c r="C3158" t="s">
        <v>31</v>
      </c>
      <c r="D3158" t="s">
        <v>17</v>
      </c>
      <c r="E3158" t="s">
        <v>12</v>
      </c>
      <c r="F3158">
        <v>66400578</v>
      </c>
      <c r="G3158">
        <v>66400600</v>
      </c>
      <c r="H3158">
        <v>66400533</v>
      </c>
      <c r="I3158">
        <v>66400545</v>
      </c>
    </row>
    <row r="3159" spans="1:9" x14ac:dyDescent="0.2">
      <c r="A3159" s="1" t="str">
        <f>"CDH6"</f>
        <v>CDH6</v>
      </c>
      <c r="B3159" t="s">
        <v>14</v>
      </c>
      <c r="C3159" t="s">
        <v>46</v>
      </c>
      <c r="D3159" t="s">
        <v>17</v>
      </c>
      <c r="E3159" t="s">
        <v>12</v>
      </c>
      <c r="F3159">
        <v>31193847</v>
      </c>
      <c r="G3159">
        <v>31193887</v>
      </c>
      <c r="H3159">
        <v>31193785</v>
      </c>
      <c r="I3159">
        <v>31193810</v>
      </c>
    </row>
    <row r="3160" spans="1:9" x14ac:dyDescent="0.2">
      <c r="A3160" s="1" t="str">
        <f>"CDH7"</f>
        <v>CDH7</v>
      </c>
      <c r="B3160" t="s">
        <v>14</v>
      </c>
      <c r="C3160" t="s">
        <v>43</v>
      </c>
      <c r="D3160" t="s">
        <v>17</v>
      </c>
      <c r="E3160" t="s">
        <v>12</v>
      </c>
      <c r="F3160">
        <v>63418241</v>
      </c>
      <c r="G3160">
        <v>63418256</v>
      </c>
      <c r="H3160">
        <v>63417762</v>
      </c>
      <c r="I3160">
        <v>63417774</v>
      </c>
    </row>
    <row r="3161" spans="1:9" x14ac:dyDescent="0.2">
      <c r="A3161" s="1" t="str">
        <f>"CDH8"</f>
        <v>CDH8</v>
      </c>
      <c r="B3161" t="s">
        <v>14</v>
      </c>
      <c r="C3161" t="s">
        <v>31</v>
      </c>
      <c r="D3161" t="s">
        <v>11</v>
      </c>
      <c r="E3161" t="s">
        <v>12</v>
      </c>
      <c r="F3161">
        <v>62070317</v>
      </c>
      <c r="G3161">
        <v>62070352</v>
      </c>
      <c r="H3161">
        <v>62070191</v>
      </c>
      <c r="I3161">
        <v>62070202</v>
      </c>
    </row>
    <row r="3162" spans="1:9" x14ac:dyDescent="0.2">
      <c r="A3162" s="1" t="str">
        <f>"CDH9"</f>
        <v>CDH9</v>
      </c>
      <c r="B3162" t="s">
        <v>14</v>
      </c>
      <c r="C3162" t="s">
        <v>46</v>
      </c>
      <c r="D3162" t="s">
        <v>11</v>
      </c>
      <c r="E3162" t="s">
        <v>12</v>
      </c>
      <c r="F3162">
        <v>27038683</v>
      </c>
      <c r="G3162">
        <v>27038700</v>
      </c>
      <c r="H3162">
        <v>27038708</v>
      </c>
      <c r="I3162">
        <v>27038730</v>
      </c>
    </row>
    <row r="3163" spans="1:9" x14ac:dyDescent="0.2">
      <c r="A3163" s="1" t="str">
        <f>"CDHR1"</f>
        <v>CDHR1</v>
      </c>
      <c r="B3163" t="s">
        <v>14</v>
      </c>
      <c r="C3163" t="s">
        <v>15</v>
      </c>
      <c r="D3163" t="s">
        <v>17</v>
      </c>
      <c r="E3163" t="s">
        <v>12</v>
      </c>
      <c r="F3163">
        <v>85954282</v>
      </c>
      <c r="G3163">
        <v>85954314</v>
      </c>
      <c r="H3163">
        <v>85954377</v>
      </c>
      <c r="I3163">
        <v>85954438</v>
      </c>
    </row>
    <row r="3164" spans="1:9" x14ac:dyDescent="0.2">
      <c r="A3164" s="1" t="str">
        <f>"CDHR2"</f>
        <v>CDHR2</v>
      </c>
      <c r="B3164" t="s">
        <v>9</v>
      </c>
      <c r="C3164" t="s">
        <v>46</v>
      </c>
      <c r="D3164" t="s">
        <v>17</v>
      </c>
      <c r="E3164" t="s">
        <v>12</v>
      </c>
      <c r="F3164">
        <v>175976324</v>
      </c>
      <c r="G3164">
        <v>175976365</v>
      </c>
      <c r="H3164">
        <v>175976324</v>
      </c>
      <c r="I3164">
        <v>175976365</v>
      </c>
    </row>
    <row r="3165" spans="1:9" x14ac:dyDescent="0.2">
      <c r="A3165" s="1" t="str">
        <f>"CDHR2"</f>
        <v>CDHR2</v>
      </c>
      <c r="B3165" t="s">
        <v>13</v>
      </c>
      <c r="C3165" t="s">
        <v>46</v>
      </c>
      <c r="D3165" t="s">
        <v>17</v>
      </c>
      <c r="E3165" t="s">
        <v>12</v>
      </c>
      <c r="F3165">
        <v>175970549</v>
      </c>
      <c r="G3165">
        <v>175970590</v>
      </c>
      <c r="H3165">
        <v>175970549</v>
      </c>
      <c r="I3165">
        <v>175970590</v>
      </c>
    </row>
    <row r="3166" spans="1:9" x14ac:dyDescent="0.2">
      <c r="A3166" s="1" t="str">
        <f>"CDHR3"</f>
        <v>CDHR3</v>
      </c>
      <c r="B3166" t="s">
        <v>212</v>
      </c>
      <c r="C3166" t="s">
        <v>33</v>
      </c>
      <c r="D3166" t="s">
        <v>17</v>
      </c>
      <c r="E3166" t="s">
        <v>35</v>
      </c>
      <c r="F3166">
        <v>105603672</v>
      </c>
      <c r="G3166">
        <v>105603679</v>
      </c>
      <c r="H3166">
        <v>105603738</v>
      </c>
      <c r="I3166">
        <v>105603753</v>
      </c>
    </row>
    <row r="3167" spans="1:9" x14ac:dyDescent="0.2">
      <c r="A3167" s="1" t="str">
        <f>"CDHR4"</f>
        <v>CDHR4</v>
      </c>
      <c r="B3167" t="s">
        <v>14</v>
      </c>
      <c r="C3167" t="s">
        <v>22</v>
      </c>
      <c r="D3167" t="s">
        <v>11</v>
      </c>
      <c r="E3167" t="s">
        <v>12</v>
      </c>
      <c r="F3167">
        <v>49837254</v>
      </c>
      <c r="G3167">
        <v>49837283</v>
      </c>
      <c r="H3167">
        <v>49837284</v>
      </c>
      <c r="I3167">
        <v>49837312</v>
      </c>
    </row>
    <row r="3168" spans="1:9" x14ac:dyDescent="0.2">
      <c r="A3168" s="1" t="str">
        <f>"CDHR5"</f>
        <v>CDHR5</v>
      </c>
      <c r="B3168" t="s">
        <v>14</v>
      </c>
      <c r="C3168" t="s">
        <v>27</v>
      </c>
      <c r="D3168" t="s">
        <v>11</v>
      </c>
      <c r="E3168" t="s">
        <v>12</v>
      </c>
      <c r="F3168">
        <v>624926</v>
      </c>
      <c r="G3168">
        <v>624977</v>
      </c>
      <c r="H3168">
        <v>624926</v>
      </c>
      <c r="I3168">
        <v>624977</v>
      </c>
    </row>
    <row r="3169" spans="1:9" x14ac:dyDescent="0.2">
      <c r="A3169" s="1" t="str">
        <f>"CDIP1"</f>
        <v>CDIP1</v>
      </c>
      <c r="B3169" t="s">
        <v>14</v>
      </c>
      <c r="C3169" t="s">
        <v>31</v>
      </c>
      <c r="D3169" t="s">
        <v>11</v>
      </c>
      <c r="E3169" t="s">
        <v>12</v>
      </c>
      <c r="F3169">
        <v>4588762</v>
      </c>
      <c r="G3169">
        <v>4588800</v>
      </c>
      <c r="H3169">
        <v>4588423</v>
      </c>
      <c r="I3169">
        <v>4588453</v>
      </c>
    </row>
    <row r="3170" spans="1:9" x14ac:dyDescent="0.2">
      <c r="A3170" s="1" t="str">
        <f>"CDIPT"</f>
        <v>CDIPT</v>
      </c>
      <c r="B3170" t="s">
        <v>14</v>
      </c>
      <c r="C3170" t="s">
        <v>31</v>
      </c>
      <c r="D3170" t="s">
        <v>11</v>
      </c>
      <c r="E3170" t="s">
        <v>12</v>
      </c>
      <c r="F3170">
        <v>29874462</v>
      </c>
      <c r="G3170">
        <v>29874596</v>
      </c>
      <c r="H3170">
        <v>29874440</v>
      </c>
      <c r="I3170">
        <v>29874461</v>
      </c>
    </row>
    <row r="3171" spans="1:9" x14ac:dyDescent="0.2">
      <c r="A3171" s="1" t="str">
        <f>"CDK1"</f>
        <v>CDK1</v>
      </c>
      <c r="B3171" t="s">
        <v>14</v>
      </c>
      <c r="C3171" t="s">
        <v>15</v>
      </c>
      <c r="D3171" t="s">
        <v>17</v>
      </c>
      <c r="E3171" t="s">
        <v>12</v>
      </c>
      <c r="F3171">
        <v>62538228</v>
      </c>
      <c r="G3171">
        <v>62538244</v>
      </c>
      <c r="H3171">
        <v>62538248</v>
      </c>
      <c r="I3171">
        <v>62538260</v>
      </c>
    </row>
    <row r="3172" spans="1:9" x14ac:dyDescent="0.2">
      <c r="A3172" s="1" t="str">
        <f>"CDK10"</f>
        <v>CDK10</v>
      </c>
      <c r="B3172" t="s">
        <v>14</v>
      </c>
      <c r="C3172" t="s">
        <v>31</v>
      </c>
      <c r="D3172" t="s">
        <v>17</v>
      </c>
      <c r="E3172" t="s">
        <v>12</v>
      </c>
      <c r="F3172">
        <v>89753070</v>
      </c>
      <c r="G3172">
        <v>89753117</v>
      </c>
      <c r="H3172">
        <v>89753346</v>
      </c>
      <c r="I3172">
        <v>89753393</v>
      </c>
    </row>
    <row r="3173" spans="1:9" x14ac:dyDescent="0.2">
      <c r="A3173" s="1" t="str">
        <f>"CDK11A"</f>
        <v>CDK11A</v>
      </c>
      <c r="B3173" t="s">
        <v>14</v>
      </c>
      <c r="C3173" t="s">
        <v>19</v>
      </c>
      <c r="D3173" t="s">
        <v>11</v>
      </c>
      <c r="E3173" t="s">
        <v>12</v>
      </c>
      <c r="F3173">
        <v>1655723</v>
      </c>
      <c r="G3173">
        <v>1655803</v>
      </c>
      <c r="H3173">
        <v>1655945</v>
      </c>
      <c r="I3173">
        <v>1656010</v>
      </c>
    </row>
    <row r="3174" spans="1:9" x14ac:dyDescent="0.2">
      <c r="A3174" s="1" t="str">
        <f>"CDK11B"</f>
        <v>CDK11B</v>
      </c>
      <c r="B3174" t="s">
        <v>213</v>
      </c>
      <c r="C3174" t="s">
        <v>19</v>
      </c>
      <c r="D3174" t="s">
        <v>11</v>
      </c>
      <c r="E3174" t="s">
        <v>20</v>
      </c>
      <c r="F3174">
        <v>1588934</v>
      </c>
      <c r="G3174">
        <v>1588934</v>
      </c>
      <c r="H3174">
        <v>1588934</v>
      </c>
      <c r="I3174">
        <v>1588934</v>
      </c>
    </row>
    <row r="3175" spans="1:9" x14ac:dyDescent="0.2">
      <c r="A3175" s="1" t="str">
        <f>"CDK11B"</f>
        <v>CDK11B</v>
      </c>
      <c r="B3175" t="s">
        <v>214</v>
      </c>
      <c r="C3175" t="s">
        <v>19</v>
      </c>
      <c r="D3175" t="s">
        <v>11</v>
      </c>
      <c r="E3175" t="s">
        <v>20</v>
      </c>
      <c r="F3175">
        <v>1588713</v>
      </c>
      <c r="G3175">
        <v>1588713</v>
      </c>
      <c r="H3175">
        <v>1588713</v>
      </c>
      <c r="I3175">
        <v>1588713</v>
      </c>
    </row>
    <row r="3176" spans="1:9" x14ac:dyDescent="0.2">
      <c r="A3176" s="1" t="str">
        <f>"CDK12"</f>
        <v>CDK12</v>
      </c>
      <c r="B3176" t="s">
        <v>14</v>
      </c>
      <c r="C3176" t="s">
        <v>28</v>
      </c>
      <c r="D3176" t="s">
        <v>17</v>
      </c>
      <c r="E3176" t="s">
        <v>12</v>
      </c>
      <c r="F3176">
        <v>37617721</v>
      </c>
      <c r="G3176">
        <v>37617773</v>
      </c>
      <c r="H3176">
        <v>37618257</v>
      </c>
      <c r="I3176">
        <v>37618293</v>
      </c>
    </row>
    <row r="3177" spans="1:9" x14ac:dyDescent="0.2">
      <c r="A3177" s="1" t="str">
        <f>"CDK13"</f>
        <v>CDK13</v>
      </c>
      <c r="B3177" t="s">
        <v>14</v>
      </c>
      <c r="C3177" t="s">
        <v>33</v>
      </c>
      <c r="D3177" t="s">
        <v>17</v>
      </c>
      <c r="E3177" t="s">
        <v>12</v>
      </c>
      <c r="F3177">
        <v>39989788</v>
      </c>
      <c r="G3177">
        <v>39989876</v>
      </c>
      <c r="H3177">
        <v>39989360</v>
      </c>
      <c r="I3177">
        <v>39989418</v>
      </c>
    </row>
    <row r="3178" spans="1:9" x14ac:dyDescent="0.2">
      <c r="A3178" s="1" t="str">
        <f>"CDK14"</f>
        <v>CDK14</v>
      </c>
      <c r="B3178" t="s">
        <v>14</v>
      </c>
      <c r="C3178" t="s">
        <v>33</v>
      </c>
      <c r="D3178" t="s">
        <v>17</v>
      </c>
      <c r="E3178" t="s">
        <v>12</v>
      </c>
      <c r="F3178">
        <v>90225706</v>
      </c>
      <c r="G3178">
        <v>90225791</v>
      </c>
      <c r="H3178">
        <v>90225706</v>
      </c>
      <c r="I3178">
        <v>90225791</v>
      </c>
    </row>
    <row r="3179" spans="1:9" x14ac:dyDescent="0.2">
      <c r="A3179" s="1" t="str">
        <f>"CDK15"</f>
        <v>CDK15</v>
      </c>
      <c r="B3179" t="s">
        <v>215</v>
      </c>
      <c r="C3179" t="s">
        <v>26</v>
      </c>
      <c r="D3179" t="s">
        <v>17</v>
      </c>
      <c r="E3179" t="s">
        <v>35</v>
      </c>
      <c r="F3179">
        <v>202671250</v>
      </c>
      <c r="G3179">
        <v>202671286</v>
      </c>
      <c r="H3179">
        <v>202671413</v>
      </c>
      <c r="I3179">
        <v>202671424</v>
      </c>
    </row>
    <row r="3180" spans="1:9" x14ac:dyDescent="0.2">
      <c r="A3180" s="1" t="str">
        <f>"CDK16"</f>
        <v>CDK16</v>
      </c>
      <c r="B3180" t="s">
        <v>14</v>
      </c>
      <c r="C3180" t="s">
        <v>37</v>
      </c>
      <c r="D3180" t="s">
        <v>17</v>
      </c>
      <c r="E3180" t="s">
        <v>12</v>
      </c>
      <c r="F3180">
        <v>47078069</v>
      </c>
      <c r="G3180">
        <v>47078192</v>
      </c>
      <c r="H3180">
        <v>47077680</v>
      </c>
      <c r="I3180">
        <v>47077723</v>
      </c>
    </row>
    <row r="3181" spans="1:9" x14ac:dyDescent="0.2">
      <c r="A3181" s="1" t="str">
        <f>"CDK17"</f>
        <v>CDK17</v>
      </c>
      <c r="B3181" t="s">
        <v>14</v>
      </c>
      <c r="C3181" t="s">
        <v>16</v>
      </c>
      <c r="D3181" t="s">
        <v>11</v>
      </c>
      <c r="E3181" t="s">
        <v>12</v>
      </c>
      <c r="F3181">
        <v>96794143</v>
      </c>
      <c r="G3181">
        <v>96794264</v>
      </c>
      <c r="H3181">
        <v>96794330</v>
      </c>
      <c r="I3181">
        <v>96794375</v>
      </c>
    </row>
    <row r="3182" spans="1:9" x14ac:dyDescent="0.2">
      <c r="A3182" s="1" t="str">
        <f>"CDK18"</f>
        <v>CDK18</v>
      </c>
      <c r="B3182" t="s">
        <v>14</v>
      </c>
      <c r="C3182" t="s">
        <v>19</v>
      </c>
      <c r="D3182" t="s">
        <v>17</v>
      </c>
      <c r="E3182" t="s">
        <v>12</v>
      </c>
      <c r="F3182">
        <v>205473784</v>
      </c>
      <c r="G3182">
        <v>205473857</v>
      </c>
      <c r="H3182">
        <v>205473678</v>
      </c>
      <c r="I3182">
        <v>205473694</v>
      </c>
    </row>
    <row r="3183" spans="1:9" x14ac:dyDescent="0.2">
      <c r="A3183" s="1" t="str">
        <f>"CDK19"</f>
        <v>CDK19</v>
      </c>
      <c r="B3183" t="s">
        <v>14</v>
      </c>
      <c r="C3183" t="s">
        <v>32</v>
      </c>
      <c r="D3183" t="s">
        <v>11</v>
      </c>
      <c r="E3183" t="s">
        <v>12</v>
      </c>
      <c r="F3183">
        <v>111136611</v>
      </c>
      <c r="G3183">
        <v>111136682</v>
      </c>
      <c r="H3183">
        <v>111136558</v>
      </c>
      <c r="I3183">
        <v>111136602</v>
      </c>
    </row>
    <row r="3184" spans="1:9" x14ac:dyDescent="0.2">
      <c r="A3184" s="1" t="str">
        <f>"CDK2"</f>
        <v>CDK2</v>
      </c>
      <c r="B3184" t="s">
        <v>14</v>
      </c>
      <c r="C3184" t="s">
        <v>16</v>
      </c>
      <c r="D3184" t="s">
        <v>17</v>
      </c>
      <c r="E3184" t="s">
        <v>12</v>
      </c>
      <c r="F3184">
        <v>56360605</v>
      </c>
      <c r="G3184">
        <v>56360636</v>
      </c>
      <c r="H3184">
        <v>56360568</v>
      </c>
      <c r="I3184">
        <v>56360603</v>
      </c>
    </row>
    <row r="3185" spans="1:9" x14ac:dyDescent="0.2">
      <c r="A3185" s="1" t="str">
        <f>"CDK20"</f>
        <v>CDK20</v>
      </c>
      <c r="B3185" t="s">
        <v>14</v>
      </c>
      <c r="C3185" t="s">
        <v>24</v>
      </c>
      <c r="D3185" t="s">
        <v>11</v>
      </c>
      <c r="E3185" t="s">
        <v>12</v>
      </c>
      <c r="F3185">
        <v>90589429</v>
      </c>
      <c r="G3185">
        <v>90589488</v>
      </c>
      <c r="H3185">
        <v>90589586</v>
      </c>
      <c r="I3185">
        <v>90589628</v>
      </c>
    </row>
    <row r="3186" spans="1:9" x14ac:dyDescent="0.2">
      <c r="A3186" s="1" t="str">
        <f>"CDK2AP1"</f>
        <v>CDK2AP1</v>
      </c>
      <c r="B3186" t="s">
        <v>14</v>
      </c>
      <c r="C3186" t="s">
        <v>16</v>
      </c>
      <c r="D3186" t="s">
        <v>11</v>
      </c>
      <c r="E3186" t="s">
        <v>12</v>
      </c>
      <c r="F3186">
        <v>123756350</v>
      </c>
      <c r="G3186">
        <v>123756441</v>
      </c>
      <c r="H3186">
        <v>123756321</v>
      </c>
      <c r="I3186">
        <v>123756339</v>
      </c>
    </row>
    <row r="3187" spans="1:9" x14ac:dyDescent="0.2">
      <c r="A3187" s="1" t="str">
        <f>"CDK2AP2"</f>
        <v>CDK2AP2</v>
      </c>
      <c r="B3187" t="s">
        <v>14</v>
      </c>
      <c r="C3187" t="s">
        <v>27</v>
      </c>
      <c r="D3187" t="s">
        <v>11</v>
      </c>
      <c r="E3187" t="s">
        <v>12</v>
      </c>
      <c r="F3187">
        <v>67275623</v>
      </c>
      <c r="G3187">
        <v>67275642</v>
      </c>
      <c r="H3187">
        <v>67276100</v>
      </c>
      <c r="I3187">
        <v>67276171</v>
      </c>
    </row>
    <row r="3188" spans="1:9" x14ac:dyDescent="0.2">
      <c r="A3188" s="1" t="str">
        <f>"CDK3"</f>
        <v>CDK3</v>
      </c>
      <c r="B3188" t="s">
        <v>14</v>
      </c>
      <c r="C3188" t="s">
        <v>28</v>
      </c>
      <c r="D3188" t="s">
        <v>17</v>
      </c>
      <c r="E3188" t="s">
        <v>12</v>
      </c>
      <c r="F3188">
        <v>73975292</v>
      </c>
      <c r="G3188">
        <v>73975359</v>
      </c>
      <c r="H3188">
        <v>73975292</v>
      </c>
      <c r="I3188">
        <v>73975359</v>
      </c>
    </row>
    <row r="3189" spans="1:9" x14ac:dyDescent="0.2">
      <c r="A3189" s="1" t="str">
        <f>"CDK4"</f>
        <v>CDK4</v>
      </c>
      <c r="B3189" t="s">
        <v>14</v>
      </c>
      <c r="C3189" t="s">
        <v>16</v>
      </c>
      <c r="D3189" t="s">
        <v>11</v>
      </c>
      <c r="E3189" t="s">
        <v>12</v>
      </c>
      <c r="F3189">
        <v>58146048</v>
      </c>
      <c r="G3189">
        <v>58146118</v>
      </c>
      <c r="H3189">
        <v>58146128</v>
      </c>
      <c r="I3189">
        <v>58146169</v>
      </c>
    </row>
    <row r="3190" spans="1:9" x14ac:dyDescent="0.2">
      <c r="A3190" s="1" t="str">
        <f>"CDK5"</f>
        <v>CDK5</v>
      </c>
      <c r="B3190" t="s">
        <v>14</v>
      </c>
      <c r="C3190" t="s">
        <v>33</v>
      </c>
      <c r="D3190" t="s">
        <v>11</v>
      </c>
      <c r="E3190" t="s">
        <v>12</v>
      </c>
      <c r="F3190">
        <v>150754968</v>
      </c>
      <c r="G3190">
        <v>150755027</v>
      </c>
      <c r="H3190">
        <v>150754940</v>
      </c>
      <c r="I3190">
        <v>150754952</v>
      </c>
    </row>
    <row r="3191" spans="1:9" x14ac:dyDescent="0.2">
      <c r="A3191" s="1" t="str">
        <f>"CDK5R1"</f>
        <v>CDK5R1</v>
      </c>
      <c r="B3191" t="s">
        <v>14</v>
      </c>
      <c r="C3191" t="s">
        <v>28</v>
      </c>
      <c r="D3191" t="s">
        <v>17</v>
      </c>
      <c r="E3191" t="s">
        <v>12</v>
      </c>
      <c r="F3191">
        <v>30813576</v>
      </c>
      <c r="G3191">
        <v>30813637</v>
      </c>
      <c r="H3191">
        <v>30814114</v>
      </c>
      <c r="I3191">
        <v>30814160</v>
      </c>
    </row>
    <row r="3192" spans="1:9" x14ac:dyDescent="0.2">
      <c r="A3192" s="1" t="str">
        <f>"CDK5R2"</f>
        <v>CDK5R2</v>
      </c>
      <c r="B3192" t="s">
        <v>14</v>
      </c>
      <c r="C3192" t="s">
        <v>26</v>
      </c>
      <c r="D3192" t="s">
        <v>17</v>
      </c>
      <c r="E3192" t="s">
        <v>12</v>
      </c>
      <c r="F3192">
        <v>219824357</v>
      </c>
      <c r="G3192">
        <v>219824401</v>
      </c>
      <c r="H3192">
        <v>219824410</v>
      </c>
      <c r="I3192">
        <v>219824417</v>
      </c>
    </row>
    <row r="3193" spans="1:9" x14ac:dyDescent="0.2">
      <c r="A3193" s="1" t="str">
        <f>"CDK5RAP1"</f>
        <v>CDK5RAP1</v>
      </c>
      <c r="B3193" t="s">
        <v>9</v>
      </c>
      <c r="C3193" t="s">
        <v>29</v>
      </c>
      <c r="D3193" t="s">
        <v>11</v>
      </c>
      <c r="E3193" t="s">
        <v>12</v>
      </c>
      <c r="F3193">
        <v>31989307</v>
      </c>
      <c r="G3193">
        <v>31989346</v>
      </c>
      <c r="H3193">
        <v>31989307</v>
      </c>
      <c r="I3193">
        <v>31989346</v>
      </c>
    </row>
    <row r="3194" spans="1:9" x14ac:dyDescent="0.2">
      <c r="A3194" s="1" t="str">
        <f>"CDK5RAP1"</f>
        <v>CDK5RAP1</v>
      </c>
      <c r="B3194" t="s">
        <v>13</v>
      </c>
      <c r="C3194" t="s">
        <v>29</v>
      </c>
      <c r="D3194" t="s">
        <v>11</v>
      </c>
      <c r="E3194" t="s">
        <v>12</v>
      </c>
      <c r="F3194">
        <v>31961144</v>
      </c>
      <c r="G3194">
        <v>31961157</v>
      </c>
      <c r="H3194">
        <v>31961144</v>
      </c>
      <c r="I3194">
        <v>31961157</v>
      </c>
    </row>
    <row r="3195" spans="1:9" x14ac:dyDescent="0.2">
      <c r="A3195" s="1" t="str">
        <f>"CDK5RAP2"</f>
        <v>CDK5RAP2</v>
      </c>
      <c r="B3195" t="s">
        <v>14</v>
      </c>
      <c r="C3195" t="s">
        <v>24</v>
      </c>
      <c r="D3195" t="s">
        <v>11</v>
      </c>
      <c r="E3195" t="s">
        <v>12</v>
      </c>
      <c r="F3195">
        <v>123342415</v>
      </c>
      <c r="G3195">
        <v>123342455</v>
      </c>
      <c r="H3195">
        <v>123342415</v>
      </c>
      <c r="I3195">
        <v>123342455</v>
      </c>
    </row>
    <row r="3196" spans="1:9" x14ac:dyDescent="0.2">
      <c r="A3196" s="1" t="str">
        <f>"CDK5RAP3"</f>
        <v>CDK5RAP3</v>
      </c>
      <c r="B3196" t="s">
        <v>14</v>
      </c>
      <c r="C3196" t="s">
        <v>28</v>
      </c>
      <c r="D3196" t="s">
        <v>17</v>
      </c>
      <c r="E3196" t="s">
        <v>12</v>
      </c>
      <c r="F3196">
        <v>46048471</v>
      </c>
      <c r="G3196">
        <v>46048494</v>
      </c>
      <c r="H3196">
        <v>46048434</v>
      </c>
      <c r="I3196">
        <v>46048458</v>
      </c>
    </row>
    <row r="3197" spans="1:9" x14ac:dyDescent="0.2">
      <c r="A3197" s="1" t="str">
        <f>"CDK6"</f>
        <v>CDK6</v>
      </c>
      <c r="B3197" t="s">
        <v>9</v>
      </c>
      <c r="C3197" t="s">
        <v>33</v>
      </c>
      <c r="D3197" t="s">
        <v>11</v>
      </c>
      <c r="E3197" t="s">
        <v>12</v>
      </c>
      <c r="F3197">
        <v>92465868</v>
      </c>
      <c r="G3197">
        <v>92465922</v>
      </c>
      <c r="H3197">
        <v>92465868</v>
      </c>
      <c r="I3197">
        <v>92465922</v>
      </c>
    </row>
    <row r="3198" spans="1:9" x14ac:dyDescent="0.2">
      <c r="A3198" s="1" t="str">
        <f>"CDK6"</f>
        <v>CDK6</v>
      </c>
      <c r="B3198" t="s">
        <v>13</v>
      </c>
      <c r="C3198" t="s">
        <v>33</v>
      </c>
      <c r="D3198" t="s">
        <v>11</v>
      </c>
      <c r="E3198" t="s">
        <v>12</v>
      </c>
      <c r="F3198">
        <v>92463234</v>
      </c>
      <c r="G3198">
        <v>92463293</v>
      </c>
      <c r="H3198">
        <v>92463234</v>
      </c>
      <c r="I3198">
        <v>92463293</v>
      </c>
    </row>
    <row r="3199" spans="1:9" x14ac:dyDescent="0.2">
      <c r="A3199" s="1" t="str">
        <f>"CDK7"</f>
        <v>CDK7</v>
      </c>
      <c r="B3199" t="s">
        <v>14</v>
      </c>
      <c r="C3199" t="s">
        <v>46</v>
      </c>
      <c r="D3199" t="s">
        <v>17</v>
      </c>
      <c r="E3199" t="s">
        <v>12</v>
      </c>
      <c r="F3199">
        <v>68530697</v>
      </c>
      <c r="G3199">
        <v>68530737</v>
      </c>
      <c r="H3199">
        <v>68530762</v>
      </c>
      <c r="I3199">
        <v>68530781</v>
      </c>
    </row>
    <row r="3200" spans="1:9" x14ac:dyDescent="0.2">
      <c r="A3200" s="1" t="str">
        <f>"CDK8"</f>
        <v>CDK8</v>
      </c>
      <c r="B3200" t="s">
        <v>14</v>
      </c>
      <c r="C3200" t="s">
        <v>39</v>
      </c>
      <c r="D3200" t="s">
        <v>17</v>
      </c>
      <c r="E3200" t="s">
        <v>12</v>
      </c>
      <c r="F3200">
        <v>26828235</v>
      </c>
      <c r="G3200">
        <v>26828274</v>
      </c>
      <c r="H3200">
        <v>26828275</v>
      </c>
      <c r="I3200">
        <v>26828312</v>
      </c>
    </row>
    <row r="3201" spans="1:9" x14ac:dyDescent="0.2">
      <c r="A3201" s="1" t="str">
        <f>"CDK9"</f>
        <v>CDK9</v>
      </c>
      <c r="B3201" t="s">
        <v>14</v>
      </c>
      <c r="C3201" t="s">
        <v>24</v>
      </c>
      <c r="D3201" t="s">
        <v>17</v>
      </c>
      <c r="E3201" t="s">
        <v>12</v>
      </c>
      <c r="F3201">
        <v>130548297</v>
      </c>
      <c r="G3201">
        <v>130548382</v>
      </c>
      <c r="H3201">
        <v>130547831</v>
      </c>
      <c r="I3201">
        <v>130547866</v>
      </c>
    </row>
    <row r="3202" spans="1:9" x14ac:dyDescent="0.2">
      <c r="A3202" s="1" t="str">
        <f>"CDKAL1"</f>
        <v>CDKAL1</v>
      </c>
      <c r="B3202" t="s">
        <v>14</v>
      </c>
      <c r="C3202" t="s">
        <v>32</v>
      </c>
      <c r="D3202" t="s">
        <v>17</v>
      </c>
      <c r="E3202" t="s">
        <v>12</v>
      </c>
      <c r="F3202">
        <v>20534672</v>
      </c>
      <c r="G3202">
        <v>20534745</v>
      </c>
      <c r="H3202">
        <v>20534750</v>
      </c>
      <c r="I3202">
        <v>20534765</v>
      </c>
    </row>
    <row r="3203" spans="1:9" x14ac:dyDescent="0.2">
      <c r="A3203" s="1" t="str">
        <f>"CDKL1"</f>
        <v>CDKL1</v>
      </c>
      <c r="B3203" t="s">
        <v>14</v>
      </c>
      <c r="C3203" t="s">
        <v>41</v>
      </c>
      <c r="D3203" t="s">
        <v>11</v>
      </c>
      <c r="E3203" t="s">
        <v>12</v>
      </c>
      <c r="F3203">
        <v>50863591</v>
      </c>
      <c r="G3203">
        <v>50863645</v>
      </c>
      <c r="H3203">
        <v>50863553</v>
      </c>
      <c r="I3203">
        <v>50863570</v>
      </c>
    </row>
    <row r="3204" spans="1:9" x14ac:dyDescent="0.2">
      <c r="A3204" s="1" t="str">
        <f>"CDKL2"</f>
        <v>CDKL2</v>
      </c>
      <c r="B3204" t="s">
        <v>14</v>
      </c>
      <c r="C3204" t="s">
        <v>23</v>
      </c>
      <c r="D3204" t="s">
        <v>11</v>
      </c>
      <c r="E3204" t="s">
        <v>12</v>
      </c>
      <c r="F3204">
        <v>76555657</v>
      </c>
      <c r="G3204">
        <v>76555732</v>
      </c>
      <c r="H3204">
        <v>76555638</v>
      </c>
      <c r="I3204">
        <v>76555650</v>
      </c>
    </row>
    <row r="3205" spans="1:9" x14ac:dyDescent="0.2">
      <c r="A3205" s="1" t="str">
        <f>"CDKL3"</f>
        <v>CDKL3</v>
      </c>
      <c r="B3205" t="s">
        <v>9</v>
      </c>
      <c r="C3205" t="s">
        <v>46</v>
      </c>
      <c r="D3205" t="s">
        <v>11</v>
      </c>
      <c r="E3205" t="s">
        <v>12</v>
      </c>
      <c r="F3205">
        <v>133706714</v>
      </c>
      <c r="G3205">
        <v>133706743</v>
      </c>
      <c r="H3205">
        <v>133706714</v>
      </c>
      <c r="I3205">
        <v>133706743</v>
      </c>
    </row>
    <row r="3206" spans="1:9" x14ac:dyDescent="0.2">
      <c r="A3206" s="1" t="str">
        <f>"CDKL3"</f>
        <v>CDKL3</v>
      </c>
      <c r="B3206" t="s">
        <v>13</v>
      </c>
      <c r="C3206" t="s">
        <v>46</v>
      </c>
      <c r="D3206" t="s">
        <v>11</v>
      </c>
      <c r="E3206" t="s">
        <v>12</v>
      </c>
      <c r="F3206">
        <v>133702835</v>
      </c>
      <c r="G3206">
        <v>133702890</v>
      </c>
      <c r="H3206">
        <v>133702835</v>
      </c>
      <c r="I3206">
        <v>133702890</v>
      </c>
    </row>
    <row r="3207" spans="1:9" x14ac:dyDescent="0.2">
      <c r="A3207" s="1" t="str">
        <f>"CDKL4"</f>
        <v>CDKL4</v>
      </c>
      <c r="B3207" t="s">
        <v>216</v>
      </c>
      <c r="C3207" t="s">
        <v>26</v>
      </c>
      <c r="D3207" t="s">
        <v>11</v>
      </c>
      <c r="E3207" t="s">
        <v>20</v>
      </c>
      <c r="F3207">
        <v>39456672</v>
      </c>
      <c r="G3207">
        <v>39456672</v>
      </c>
      <c r="H3207">
        <v>39456672</v>
      </c>
      <c r="I3207">
        <v>39456672</v>
      </c>
    </row>
    <row r="3208" spans="1:9" x14ac:dyDescent="0.2">
      <c r="A3208" s="1" t="str">
        <f>"CDKL5"</f>
        <v>CDKL5</v>
      </c>
      <c r="B3208" t="s">
        <v>14</v>
      </c>
      <c r="C3208" t="s">
        <v>37</v>
      </c>
      <c r="D3208" t="s">
        <v>17</v>
      </c>
      <c r="E3208" t="s">
        <v>12</v>
      </c>
      <c r="F3208">
        <v>18443717</v>
      </c>
      <c r="G3208">
        <v>18443739</v>
      </c>
      <c r="H3208">
        <v>18443745</v>
      </c>
      <c r="I3208">
        <v>18443760</v>
      </c>
    </row>
    <row r="3209" spans="1:9" x14ac:dyDescent="0.2">
      <c r="A3209" s="1" t="str">
        <f>"CDKN1A"</f>
        <v>CDKN1A</v>
      </c>
      <c r="B3209" t="s">
        <v>14</v>
      </c>
      <c r="C3209" t="s">
        <v>32</v>
      </c>
      <c r="D3209" t="s">
        <v>17</v>
      </c>
      <c r="E3209" t="s">
        <v>12</v>
      </c>
      <c r="F3209">
        <v>36646476</v>
      </c>
      <c r="G3209">
        <v>36646498</v>
      </c>
      <c r="H3209">
        <v>36646510</v>
      </c>
      <c r="I3209">
        <v>36646519</v>
      </c>
    </row>
    <row r="3210" spans="1:9" x14ac:dyDescent="0.2">
      <c r="A3210" s="1" t="str">
        <f>"CDKN1B"</f>
        <v>CDKN1B</v>
      </c>
      <c r="B3210" t="s">
        <v>14</v>
      </c>
      <c r="C3210" t="s">
        <v>16</v>
      </c>
      <c r="D3210" t="s">
        <v>17</v>
      </c>
      <c r="E3210" t="s">
        <v>12</v>
      </c>
      <c r="F3210">
        <v>12870294</v>
      </c>
      <c r="G3210">
        <v>12870324</v>
      </c>
      <c r="H3210">
        <v>12870398</v>
      </c>
      <c r="I3210">
        <v>12870419</v>
      </c>
    </row>
    <row r="3211" spans="1:9" x14ac:dyDescent="0.2">
      <c r="A3211" s="1" t="str">
        <f>"CDKN1C"</f>
        <v>CDKN1C</v>
      </c>
      <c r="B3211" t="s">
        <v>14</v>
      </c>
      <c r="C3211" t="s">
        <v>27</v>
      </c>
      <c r="D3211" t="s">
        <v>11</v>
      </c>
      <c r="E3211" t="s">
        <v>12</v>
      </c>
      <c r="F3211">
        <v>2906995</v>
      </c>
      <c r="G3211">
        <v>2907013</v>
      </c>
      <c r="H3211">
        <v>2906995</v>
      </c>
      <c r="I3211">
        <v>2907013</v>
      </c>
    </row>
    <row r="3212" spans="1:9" x14ac:dyDescent="0.2">
      <c r="A3212" s="1" t="str">
        <f>"CDKN2A"</f>
        <v>CDKN2A</v>
      </c>
      <c r="B3212" t="s">
        <v>9</v>
      </c>
      <c r="C3212" t="s">
        <v>24</v>
      </c>
      <c r="D3212" t="s">
        <v>11</v>
      </c>
      <c r="E3212" t="s">
        <v>12</v>
      </c>
      <c r="F3212">
        <v>21994344</v>
      </c>
      <c r="G3212">
        <v>21994440</v>
      </c>
      <c r="H3212">
        <v>21994344</v>
      </c>
      <c r="I3212">
        <v>21994440</v>
      </c>
    </row>
    <row r="3213" spans="1:9" x14ac:dyDescent="0.2">
      <c r="A3213" s="1" t="str">
        <f>"CDKN2A"</f>
        <v>CDKN2A</v>
      </c>
      <c r="B3213" t="s">
        <v>13</v>
      </c>
      <c r="C3213" t="s">
        <v>24</v>
      </c>
      <c r="D3213" t="s">
        <v>11</v>
      </c>
      <c r="E3213" t="s">
        <v>12</v>
      </c>
      <c r="F3213">
        <v>21974820</v>
      </c>
      <c r="G3213">
        <v>21974906</v>
      </c>
      <c r="H3213">
        <v>21974820</v>
      </c>
      <c r="I3213">
        <v>21974906</v>
      </c>
    </row>
    <row r="3214" spans="1:9" x14ac:dyDescent="0.2">
      <c r="A3214" s="1" t="str">
        <f>"CDKN2AIP"</f>
        <v>CDKN2AIP</v>
      </c>
      <c r="B3214" t="s">
        <v>14</v>
      </c>
      <c r="C3214" t="s">
        <v>23</v>
      </c>
      <c r="D3214" t="s">
        <v>17</v>
      </c>
      <c r="E3214" t="s">
        <v>12</v>
      </c>
      <c r="F3214">
        <v>184365780</v>
      </c>
      <c r="G3214">
        <v>184365797</v>
      </c>
      <c r="H3214">
        <v>184365841</v>
      </c>
      <c r="I3214">
        <v>184365861</v>
      </c>
    </row>
    <row r="3215" spans="1:9" x14ac:dyDescent="0.2">
      <c r="A3215" s="1" t="str">
        <f>"CDKN2AIPNL"</f>
        <v>CDKN2AIPNL</v>
      </c>
      <c r="B3215" t="s">
        <v>14</v>
      </c>
      <c r="C3215" t="s">
        <v>46</v>
      </c>
      <c r="D3215" t="s">
        <v>11</v>
      </c>
      <c r="E3215" t="s">
        <v>12</v>
      </c>
      <c r="F3215">
        <v>133747551</v>
      </c>
      <c r="G3215">
        <v>133747585</v>
      </c>
      <c r="H3215">
        <v>133747589</v>
      </c>
      <c r="I3215">
        <v>133747603</v>
      </c>
    </row>
    <row r="3216" spans="1:9" x14ac:dyDescent="0.2">
      <c r="A3216" s="1" t="str">
        <f>"CDKN2B"</f>
        <v>CDKN2B</v>
      </c>
      <c r="B3216" t="s">
        <v>14</v>
      </c>
      <c r="C3216" t="s">
        <v>24</v>
      </c>
      <c r="D3216" t="s">
        <v>11</v>
      </c>
      <c r="E3216" t="s">
        <v>12</v>
      </c>
      <c r="F3216">
        <v>22009297</v>
      </c>
      <c r="G3216">
        <v>22009324</v>
      </c>
      <c r="H3216">
        <v>22009241</v>
      </c>
      <c r="I3216">
        <v>22009248</v>
      </c>
    </row>
    <row r="3217" spans="1:9" x14ac:dyDescent="0.2">
      <c r="A3217" s="1" t="str">
        <f>"CDKN2C"</f>
        <v>CDKN2C</v>
      </c>
      <c r="B3217" t="s">
        <v>9</v>
      </c>
      <c r="C3217" t="s">
        <v>19</v>
      </c>
      <c r="D3217" t="s">
        <v>17</v>
      </c>
      <c r="E3217" t="s">
        <v>12</v>
      </c>
      <c r="F3217">
        <v>51435907</v>
      </c>
      <c r="G3217">
        <v>51435948</v>
      </c>
      <c r="H3217">
        <v>51435907</v>
      </c>
      <c r="I3217">
        <v>51435948</v>
      </c>
    </row>
    <row r="3218" spans="1:9" x14ac:dyDescent="0.2">
      <c r="A3218" s="1" t="str">
        <f>"CDKN2C"</f>
        <v>CDKN2C</v>
      </c>
      <c r="B3218" t="s">
        <v>13</v>
      </c>
      <c r="C3218" t="s">
        <v>19</v>
      </c>
      <c r="D3218" t="s">
        <v>17</v>
      </c>
      <c r="E3218" t="s">
        <v>12</v>
      </c>
      <c r="F3218">
        <v>51434469</v>
      </c>
      <c r="G3218">
        <v>51434489</v>
      </c>
      <c r="H3218">
        <v>51434469</v>
      </c>
      <c r="I3218">
        <v>51434489</v>
      </c>
    </row>
    <row r="3219" spans="1:9" x14ac:dyDescent="0.2">
      <c r="A3219" s="1" t="str">
        <f>"CDKN2D"</f>
        <v>CDKN2D</v>
      </c>
      <c r="B3219" t="s">
        <v>14</v>
      </c>
      <c r="C3219" t="s">
        <v>10</v>
      </c>
      <c r="D3219" t="s">
        <v>11</v>
      </c>
      <c r="E3219" t="s">
        <v>12</v>
      </c>
      <c r="F3219">
        <v>10679644</v>
      </c>
      <c r="G3219">
        <v>10679661</v>
      </c>
      <c r="H3219">
        <v>10679441</v>
      </c>
      <c r="I3219">
        <v>10679478</v>
      </c>
    </row>
    <row r="3220" spans="1:9" x14ac:dyDescent="0.2">
      <c r="A3220" s="1" t="str">
        <f>"CDKN3"</f>
        <v>CDKN3</v>
      </c>
      <c r="B3220" t="s">
        <v>14</v>
      </c>
      <c r="C3220" t="s">
        <v>41</v>
      </c>
      <c r="D3220" t="s">
        <v>17</v>
      </c>
      <c r="E3220" t="s">
        <v>12</v>
      </c>
      <c r="F3220">
        <v>54863682</v>
      </c>
      <c r="G3220">
        <v>54863738</v>
      </c>
      <c r="H3220">
        <v>54863739</v>
      </c>
      <c r="I3220">
        <v>54863769</v>
      </c>
    </row>
    <row r="3221" spans="1:9" x14ac:dyDescent="0.2">
      <c r="A3221" s="1" t="str">
        <f>"CDNF"</f>
        <v>CDNF</v>
      </c>
      <c r="B3221" t="s">
        <v>14</v>
      </c>
      <c r="C3221" t="s">
        <v>15</v>
      </c>
      <c r="D3221" t="s">
        <v>11</v>
      </c>
      <c r="E3221" t="s">
        <v>12</v>
      </c>
      <c r="F3221">
        <v>14880002</v>
      </c>
      <c r="G3221">
        <v>14880050</v>
      </c>
      <c r="H3221">
        <v>14880053</v>
      </c>
      <c r="I3221">
        <v>14880064</v>
      </c>
    </row>
    <row r="3222" spans="1:9" x14ac:dyDescent="0.2">
      <c r="A3222" s="1" t="str">
        <f>"CDO1"</f>
        <v>CDO1</v>
      </c>
      <c r="B3222" t="s">
        <v>14</v>
      </c>
      <c r="C3222" t="s">
        <v>46</v>
      </c>
      <c r="D3222" t="s">
        <v>11</v>
      </c>
      <c r="E3222" t="s">
        <v>12</v>
      </c>
      <c r="F3222">
        <v>115152347</v>
      </c>
      <c r="G3222">
        <v>115152363</v>
      </c>
      <c r="H3222">
        <v>115152230</v>
      </c>
      <c r="I3222">
        <v>115152241</v>
      </c>
    </row>
    <row r="3223" spans="1:9" x14ac:dyDescent="0.2">
      <c r="A3223" s="1" t="str">
        <f>"CDON"</f>
        <v>CDON</v>
      </c>
      <c r="B3223" t="s">
        <v>14</v>
      </c>
      <c r="C3223" t="s">
        <v>27</v>
      </c>
      <c r="D3223" t="s">
        <v>11</v>
      </c>
      <c r="E3223" t="s">
        <v>12</v>
      </c>
      <c r="F3223">
        <v>125932685</v>
      </c>
      <c r="G3223">
        <v>125932768</v>
      </c>
      <c r="H3223">
        <v>125932685</v>
      </c>
      <c r="I3223">
        <v>125932768</v>
      </c>
    </row>
    <row r="3224" spans="1:9" x14ac:dyDescent="0.2">
      <c r="A3224" s="1" t="str">
        <f>"CDPF1"</f>
        <v>CDPF1</v>
      </c>
      <c r="B3224" t="s">
        <v>14</v>
      </c>
      <c r="C3224" t="s">
        <v>21</v>
      </c>
      <c r="D3224" t="s">
        <v>11</v>
      </c>
      <c r="E3224" t="s">
        <v>12</v>
      </c>
      <c r="F3224">
        <v>46646144</v>
      </c>
      <c r="G3224">
        <v>46646205</v>
      </c>
      <c r="H3224">
        <v>46646144</v>
      </c>
      <c r="I3224">
        <v>46646205</v>
      </c>
    </row>
    <row r="3225" spans="1:9" x14ac:dyDescent="0.2">
      <c r="A3225" s="1" t="str">
        <f>"CDR1"</f>
        <v>CDR1</v>
      </c>
      <c r="B3225" t="s">
        <v>14</v>
      </c>
      <c r="C3225" t="s">
        <v>37</v>
      </c>
      <c r="D3225" t="s">
        <v>11</v>
      </c>
      <c r="E3225" t="s">
        <v>12</v>
      </c>
      <c r="F3225">
        <v>139866699</v>
      </c>
      <c r="G3225">
        <v>139866741</v>
      </c>
      <c r="H3225">
        <v>139866580</v>
      </c>
      <c r="I3225">
        <v>139866614</v>
      </c>
    </row>
    <row r="3226" spans="1:9" x14ac:dyDescent="0.2">
      <c r="A3226" s="1" t="str">
        <f>"CDR2"</f>
        <v>CDR2</v>
      </c>
      <c r="B3226" t="s">
        <v>14</v>
      </c>
      <c r="C3226" t="s">
        <v>31</v>
      </c>
      <c r="D3226" t="s">
        <v>11</v>
      </c>
      <c r="E3226" t="s">
        <v>12</v>
      </c>
      <c r="F3226">
        <v>22385901</v>
      </c>
      <c r="G3226">
        <v>22385947</v>
      </c>
      <c r="H3226">
        <v>22385954</v>
      </c>
      <c r="I3226">
        <v>22385965</v>
      </c>
    </row>
    <row r="3227" spans="1:9" x14ac:dyDescent="0.2">
      <c r="A3227" s="1" t="str">
        <f>"CDR2L"</f>
        <v>CDR2L</v>
      </c>
      <c r="B3227" t="s">
        <v>14</v>
      </c>
      <c r="C3227" t="s">
        <v>28</v>
      </c>
      <c r="D3227" t="s">
        <v>17</v>
      </c>
      <c r="E3227" t="s">
        <v>12</v>
      </c>
      <c r="F3227">
        <v>72983674</v>
      </c>
      <c r="G3227">
        <v>72983768</v>
      </c>
      <c r="H3227">
        <v>72984111</v>
      </c>
      <c r="I3227">
        <v>72984121</v>
      </c>
    </row>
    <row r="3228" spans="1:9" x14ac:dyDescent="0.2">
      <c r="A3228" s="1" t="str">
        <f>"CDRT1"</f>
        <v>CDRT1</v>
      </c>
      <c r="B3228" t="s">
        <v>217</v>
      </c>
      <c r="C3228" t="s">
        <v>28</v>
      </c>
      <c r="D3228" t="s">
        <v>11</v>
      </c>
      <c r="E3228" t="s">
        <v>20</v>
      </c>
      <c r="F3228">
        <v>15522825</v>
      </c>
      <c r="G3228">
        <v>15522825</v>
      </c>
      <c r="H3228">
        <v>15522825</v>
      </c>
      <c r="I3228">
        <v>15522825</v>
      </c>
    </row>
    <row r="3229" spans="1:9" x14ac:dyDescent="0.2">
      <c r="A3229" s="1" t="str">
        <f>"CDRT15"</f>
        <v>CDRT15</v>
      </c>
      <c r="B3229" t="s">
        <v>14</v>
      </c>
      <c r="C3229" t="s">
        <v>28</v>
      </c>
      <c r="D3229" t="s">
        <v>11</v>
      </c>
      <c r="E3229" t="s">
        <v>12</v>
      </c>
      <c r="F3229">
        <v>14140174</v>
      </c>
      <c r="G3229">
        <v>14140179</v>
      </c>
      <c r="H3229">
        <v>14140174</v>
      </c>
      <c r="I3229">
        <v>14140179</v>
      </c>
    </row>
    <row r="3230" spans="1:9" x14ac:dyDescent="0.2">
      <c r="A3230" s="1" t="str">
        <f>"CDRT15L2"</f>
        <v>CDRT15L2</v>
      </c>
      <c r="B3230" t="s">
        <v>218</v>
      </c>
      <c r="C3230" t="s">
        <v>28</v>
      </c>
      <c r="D3230" t="s">
        <v>17</v>
      </c>
      <c r="E3230" t="s">
        <v>20</v>
      </c>
      <c r="F3230">
        <v>20483036</v>
      </c>
      <c r="G3230">
        <v>20483036</v>
      </c>
      <c r="H3230">
        <v>20483036</v>
      </c>
      <c r="I3230">
        <v>20483036</v>
      </c>
    </row>
    <row r="3231" spans="1:9" x14ac:dyDescent="0.2">
      <c r="A3231" s="1" t="str">
        <f>"CDRT4"</f>
        <v>CDRT4</v>
      </c>
      <c r="B3231" t="s">
        <v>219</v>
      </c>
      <c r="C3231" t="s">
        <v>28</v>
      </c>
      <c r="D3231" t="s">
        <v>11</v>
      </c>
      <c r="E3231" t="s">
        <v>35</v>
      </c>
      <c r="F3231">
        <v>15370915</v>
      </c>
      <c r="G3231">
        <v>15370940</v>
      </c>
      <c r="H3231">
        <v>15370906</v>
      </c>
      <c r="I3231">
        <v>15370908</v>
      </c>
    </row>
    <row r="3232" spans="1:9" x14ac:dyDescent="0.2">
      <c r="A3232" s="1" t="str">
        <f>"CDS1"</f>
        <v>CDS1</v>
      </c>
      <c r="B3232" t="s">
        <v>14</v>
      </c>
      <c r="C3232" t="s">
        <v>23</v>
      </c>
      <c r="D3232" t="s">
        <v>17</v>
      </c>
      <c r="E3232" t="s">
        <v>12</v>
      </c>
      <c r="F3232">
        <v>85504200</v>
      </c>
      <c r="G3232">
        <v>85504331</v>
      </c>
      <c r="H3232">
        <v>85504035</v>
      </c>
      <c r="I3232">
        <v>85504069</v>
      </c>
    </row>
    <row r="3233" spans="1:9" x14ac:dyDescent="0.2">
      <c r="A3233" s="1" t="str">
        <f>"CDS2"</f>
        <v>CDS2</v>
      </c>
      <c r="B3233" t="s">
        <v>14</v>
      </c>
      <c r="C3233" t="s">
        <v>29</v>
      </c>
      <c r="D3233" t="s">
        <v>17</v>
      </c>
      <c r="E3233" t="s">
        <v>12</v>
      </c>
      <c r="F3233">
        <v>5107635</v>
      </c>
      <c r="G3233">
        <v>5107705</v>
      </c>
      <c r="H3233">
        <v>5107532</v>
      </c>
      <c r="I3233">
        <v>5107622</v>
      </c>
    </row>
    <row r="3234" spans="1:9" x14ac:dyDescent="0.2">
      <c r="A3234" s="1" t="str">
        <f>"CDSN"</f>
        <v>CDSN</v>
      </c>
      <c r="B3234" t="s">
        <v>14</v>
      </c>
      <c r="C3234" t="s">
        <v>32</v>
      </c>
      <c r="D3234" t="s">
        <v>11</v>
      </c>
      <c r="E3234" t="s">
        <v>12</v>
      </c>
      <c r="F3234">
        <v>31088214</v>
      </c>
      <c r="G3234">
        <v>31088228</v>
      </c>
      <c r="H3234">
        <v>31088144</v>
      </c>
      <c r="I3234">
        <v>31088166</v>
      </c>
    </row>
    <row r="3235" spans="1:9" x14ac:dyDescent="0.2">
      <c r="A3235" s="1" t="str">
        <f>"CDT1"</f>
        <v>CDT1</v>
      </c>
      <c r="B3235" t="s">
        <v>14</v>
      </c>
      <c r="C3235" t="s">
        <v>31</v>
      </c>
      <c r="D3235" t="s">
        <v>17</v>
      </c>
      <c r="E3235" t="s">
        <v>12</v>
      </c>
      <c r="F3235">
        <v>88870184</v>
      </c>
      <c r="G3235">
        <v>88870235</v>
      </c>
      <c r="H3235">
        <v>88870946</v>
      </c>
      <c r="I3235">
        <v>88870986</v>
      </c>
    </row>
    <row r="3236" spans="1:9" x14ac:dyDescent="0.2">
      <c r="A3236" s="1" t="str">
        <f>"CDV3"</f>
        <v>CDV3</v>
      </c>
      <c r="B3236" t="s">
        <v>14</v>
      </c>
      <c r="C3236" t="s">
        <v>22</v>
      </c>
      <c r="D3236" t="s">
        <v>17</v>
      </c>
      <c r="E3236" t="s">
        <v>12</v>
      </c>
      <c r="F3236">
        <v>133292481</v>
      </c>
      <c r="G3236">
        <v>133292542</v>
      </c>
      <c r="H3236">
        <v>133292759</v>
      </c>
      <c r="I3236">
        <v>133292807</v>
      </c>
    </row>
    <row r="3237" spans="1:9" x14ac:dyDescent="0.2">
      <c r="A3237" s="1" t="str">
        <f>"CDX1"</f>
        <v>CDX1</v>
      </c>
      <c r="B3237" t="s">
        <v>14</v>
      </c>
      <c r="C3237" t="s">
        <v>46</v>
      </c>
      <c r="D3237" t="s">
        <v>17</v>
      </c>
      <c r="E3237" t="s">
        <v>12</v>
      </c>
      <c r="F3237">
        <v>149546334</v>
      </c>
      <c r="G3237">
        <v>149546364</v>
      </c>
      <c r="H3237">
        <v>149546519</v>
      </c>
      <c r="I3237">
        <v>149546569</v>
      </c>
    </row>
    <row r="3238" spans="1:9" x14ac:dyDescent="0.2">
      <c r="A3238" s="1" t="str">
        <f>"CDX2"</f>
        <v>CDX2</v>
      </c>
      <c r="B3238" t="s">
        <v>14</v>
      </c>
      <c r="C3238" t="s">
        <v>39</v>
      </c>
      <c r="D3238" t="s">
        <v>11</v>
      </c>
      <c r="E3238" t="s">
        <v>12</v>
      </c>
      <c r="F3238">
        <v>28543431</v>
      </c>
      <c r="G3238">
        <v>28543487</v>
      </c>
      <c r="H3238">
        <v>28543285</v>
      </c>
      <c r="I3238">
        <v>28543314</v>
      </c>
    </row>
    <row r="3239" spans="1:9" x14ac:dyDescent="0.2">
      <c r="A3239" s="1" t="str">
        <f>"CDX4"</f>
        <v>CDX4</v>
      </c>
      <c r="B3239" t="s">
        <v>14</v>
      </c>
      <c r="C3239" t="s">
        <v>37</v>
      </c>
      <c r="D3239" t="s">
        <v>17</v>
      </c>
      <c r="E3239" t="s">
        <v>12</v>
      </c>
      <c r="F3239">
        <v>72666884</v>
      </c>
      <c r="G3239">
        <v>72666892</v>
      </c>
      <c r="H3239">
        <v>72666884</v>
      </c>
      <c r="I3239">
        <v>72666892</v>
      </c>
    </row>
    <row r="3240" spans="1:9" x14ac:dyDescent="0.2">
      <c r="A3240" s="1" t="str">
        <f>"CDY1"</f>
        <v>CDY1</v>
      </c>
      <c r="B3240" t="s">
        <v>220</v>
      </c>
      <c r="C3240" t="s">
        <v>63</v>
      </c>
      <c r="D3240" t="s">
        <v>17</v>
      </c>
      <c r="E3240" t="s">
        <v>20</v>
      </c>
      <c r="F3240">
        <v>27768263</v>
      </c>
      <c r="G3240">
        <v>27768263</v>
      </c>
      <c r="H3240">
        <v>27768263</v>
      </c>
      <c r="I3240">
        <v>27768263</v>
      </c>
    </row>
    <row r="3241" spans="1:9" x14ac:dyDescent="0.2">
      <c r="A3241" s="1" t="str">
        <f>"CDY1B"</f>
        <v>CDY1B</v>
      </c>
      <c r="B3241" t="s">
        <v>221</v>
      </c>
      <c r="C3241" t="s">
        <v>63</v>
      </c>
      <c r="D3241" t="s">
        <v>11</v>
      </c>
      <c r="E3241" t="s">
        <v>20</v>
      </c>
      <c r="F3241">
        <v>26194165</v>
      </c>
      <c r="G3241">
        <v>26194165</v>
      </c>
      <c r="H3241">
        <v>26194165</v>
      </c>
      <c r="I3241">
        <v>26194165</v>
      </c>
    </row>
    <row r="3242" spans="1:9" x14ac:dyDescent="0.2">
      <c r="A3242" s="1" t="str">
        <f>"CDY2A"</f>
        <v>CDY2A</v>
      </c>
      <c r="B3242" t="s">
        <v>222</v>
      </c>
      <c r="C3242" t="s">
        <v>63</v>
      </c>
      <c r="D3242" t="s">
        <v>17</v>
      </c>
      <c r="E3242" t="s">
        <v>20</v>
      </c>
      <c r="F3242">
        <v>20137666</v>
      </c>
      <c r="G3242">
        <v>20137666</v>
      </c>
      <c r="H3242">
        <v>20137666</v>
      </c>
      <c r="I3242">
        <v>20137666</v>
      </c>
    </row>
    <row r="3243" spans="1:9" x14ac:dyDescent="0.2">
      <c r="A3243" s="1" t="str">
        <f>"CDY2B"</f>
        <v>CDY2B</v>
      </c>
      <c r="B3243" t="s">
        <v>223</v>
      </c>
      <c r="C3243" t="s">
        <v>63</v>
      </c>
      <c r="D3243" t="s">
        <v>11</v>
      </c>
      <c r="E3243" t="s">
        <v>20</v>
      </c>
      <c r="F3243">
        <v>19992099</v>
      </c>
      <c r="G3243">
        <v>19992099</v>
      </c>
      <c r="H3243">
        <v>19992099</v>
      </c>
      <c r="I3243">
        <v>19992099</v>
      </c>
    </row>
    <row r="3244" spans="1:9" x14ac:dyDescent="0.2">
      <c r="A3244" s="1" t="str">
        <f>"CDYL"</f>
        <v>CDYL</v>
      </c>
      <c r="B3244" t="s">
        <v>9</v>
      </c>
      <c r="C3244" t="s">
        <v>32</v>
      </c>
      <c r="D3244" t="s">
        <v>17</v>
      </c>
      <c r="E3244" t="s">
        <v>12</v>
      </c>
      <c r="F3244">
        <v>4776580</v>
      </c>
      <c r="G3244">
        <v>4776683</v>
      </c>
      <c r="H3244">
        <v>4776580</v>
      </c>
      <c r="I3244">
        <v>4776683</v>
      </c>
    </row>
    <row r="3245" spans="1:9" x14ac:dyDescent="0.2">
      <c r="A3245" s="1" t="str">
        <f>"CDYL"</f>
        <v>CDYL</v>
      </c>
      <c r="B3245" t="s">
        <v>13</v>
      </c>
      <c r="C3245" t="s">
        <v>32</v>
      </c>
      <c r="D3245" t="s">
        <v>17</v>
      </c>
      <c r="E3245" t="s">
        <v>12</v>
      </c>
      <c r="F3245">
        <v>4773257</v>
      </c>
      <c r="G3245">
        <v>4773270</v>
      </c>
      <c r="H3245">
        <v>4773257</v>
      </c>
      <c r="I3245">
        <v>4773270</v>
      </c>
    </row>
    <row r="3246" spans="1:9" x14ac:dyDescent="0.2">
      <c r="A3246" s="1" t="str">
        <f>"CDYL2"</f>
        <v>CDYL2</v>
      </c>
      <c r="B3246" t="s">
        <v>14</v>
      </c>
      <c r="C3246" t="s">
        <v>31</v>
      </c>
      <c r="D3246" t="s">
        <v>11</v>
      </c>
      <c r="E3246" t="s">
        <v>12</v>
      </c>
      <c r="F3246">
        <v>80838479</v>
      </c>
      <c r="G3246">
        <v>80838508</v>
      </c>
      <c r="H3246">
        <v>80838441</v>
      </c>
      <c r="I3246">
        <v>80838473</v>
      </c>
    </row>
    <row r="3247" spans="1:9" x14ac:dyDescent="0.2">
      <c r="A3247" s="1" t="str">
        <f>"CEACAM1"</f>
        <v>CEACAM1</v>
      </c>
      <c r="B3247" t="s">
        <v>9</v>
      </c>
      <c r="C3247" t="s">
        <v>10</v>
      </c>
      <c r="D3247" t="s">
        <v>11</v>
      </c>
      <c r="E3247" t="s">
        <v>12</v>
      </c>
      <c r="F3247">
        <v>43032604</v>
      </c>
      <c r="G3247">
        <v>43032639</v>
      </c>
      <c r="H3247">
        <v>43032604</v>
      </c>
      <c r="I3247">
        <v>43032639</v>
      </c>
    </row>
    <row r="3248" spans="1:9" x14ac:dyDescent="0.2">
      <c r="A3248" s="1" t="str">
        <f>"CEACAM1"</f>
        <v>CEACAM1</v>
      </c>
      <c r="B3248" t="s">
        <v>13</v>
      </c>
      <c r="C3248" t="s">
        <v>10</v>
      </c>
      <c r="D3248" t="s">
        <v>11</v>
      </c>
      <c r="E3248" t="s">
        <v>12</v>
      </c>
      <c r="F3248">
        <v>43025612</v>
      </c>
      <c r="G3248">
        <v>43025624</v>
      </c>
      <c r="H3248">
        <v>43025612</v>
      </c>
      <c r="I3248">
        <v>43025624</v>
      </c>
    </row>
    <row r="3249" spans="1:9" x14ac:dyDescent="0.2">
      <c r="A3249" s="1" t="str">
        <f>"CEACAM16"</f>
        <v>CEACAM16</v>
      </c>
      <c r="B3249" t="s">
        <v>224</v>
      </c>
      <c r="C3249" t="s">
        <v>10</v>
      </c>
      <c r="D3249" t="s">
        <v>17</v>
      </c>
      <c r="E3249" t="s">
        <v>20</v>
      </c>
      <c r="F3249">
        <v>45204629</v>
      </c>
      <c r="G3249">
        <v>45204629</v>
      </c>
      <c r="H3249">
        <v>45204629</v>
      </c>
      <c r="I3249">
        <v>45204629</v>
      </c>
    </row>
    <row r="3250" spans="1:9" x14ac:dyDescent="0.2">
      <c r="A3250" s="1" t="str">
        <f>"CEACAM16"</f>
        <v>CEACAM16</v>
      </c>
      <c r="B3250" t="s">
        <v>225</v>
      </c>
      <c r="C3250" t="s">
        <v>10</v>
      </c>
      <c r="D3250" t="s">
        <v>17</v>
      </c>
      <c r="E3250" t="s">
        <v>20</v>
      </c>
      <c r="F3250">
        <v>45202420</v>
      </c>
      <c r="G3250">
        <v>45202420</v>
      </c>
      <c r="H3250">
        <v>45202420</v>
      </c>
      <c r="I3250">
        <v>45202420</v>
      </c>
    </row>
    <row r="3251" spans="1:9" x14ac:dyDescent="0.2">
      <c r="A3251" s="1" t="str">
        <f>"CEACAM18"</f>
        <v>CEACAM18</v>
      </c>
      <c r="B3251" t="s">
        <v>14</v>
      </c>
      <c r="C3251" t="s">
        <v>10</v>
      </c>
      <c r="D3251" t="s">
        <v>17</v>
      </c>
      <c r="E3251" t="s">
        <v>12</v>
      </c>
      <c r="F3251">
        <v>51981787</v>
      </c>
      <c r="G3251">
        <v>51981799</v>
      </c>
      <c r="H3251">
        <v>51981787</v>
      </c>
      <c r="I3251">
        <v>51981799</v>
      </c>
    </row>
    <row r="3252" spans="1:9" x14ac:dyDescent="0.2">
      <c r="A3252" s="1" t="str">
        <f>"CEACAM19"</f>
        <v>CEACAM19</v>
      </c>
      <c r="B3252" t="s">
        <v>14</v>
      </c>
      <c r="C3252" t="s">
        <v>10</v>
      </c>
      <c r="D3252" t="s">
        <v>17</v>
      </c>
      <c r="E3252" t="s">
        <v>12</v>
      </c>
      <c r="F3252">
        <v>45175032</v>
      </c>
      <c r="G3252">
        <v>45175044</v>
      </c>
      <c r="H3252">
        <v>45175015</v>
      </c>
      <c r="I3252">
        <v>45175028</v>
      </c>
    </row>
    <row r="3253" spans="1:9" x14ac:dyDescent="0.2">
      <c r="A3253" s="1" t="str">
        <f>"CEACAM20"</f>
        <v>CEACAM20</v>
      </c>
      <c r="B3253" t="s">
        <v>14</v>
      </c>
      <c r="C3253" t="s">
        <v>10</v>
      </c>
      <c r="D3253" t="s">
        <v>11</v>
      </c>
      <c r="E3253" t="s">
        <v>12</v>
      </c>
      <c r="F3253">
        <v>45033666</v>
      </c>
      <c r="G3253">
        <v>45033705</v>
      </c>
      <c r="H3253">
        <v>45033666</v>
      </c>
      <c r="I3253">
        <v>45033705</v>
      </c>
    </row>
    <row r="3254" spans="1:9" x14ac:dyDescent="0.2">
      <c r="A3254" s="1" t="str">
        <f>"CEACAM21"</f>
        <v>CEACAM21</v>
      </c>
      <c r="B3254" t="s">
        <v>14</v>
      </c>
      <c r="C3254" t="s">
        <v>10</v>
      </c>
      <c r="D3254" t="s">
        <v>17</v>
      </c>
      <c r="E3254" t="s">
        <v>12</v>
      </c>
      <c r="F3254">
        <v>42055879</v>
      </c>
      <c r="G3254">
        <v>42055892</v>
      </c>
      <c r="H3254">
        <v>42055879</v>
      </c>
      <c r="I3254">
        <v>42055892</v>
      </c>
    </row>
    <row r="3255" spans="1:9" x14ac:dyDescent="0.2">
      <c r="A3255" s="1" t="str">
        <f>"CEACAM3"</f>
        <v>CEACAM3</v>
      </c>
      <c r="B3255" t="s">
        <v>14</v>
      </c>
      <c r="C3255" t="s">
        <v>10</v>
      </c>
      <c r="D3255" t="s">
        <v>17</v>
      </c>
      <c r="E3255" t="s">
        <v>12</v>
      </c>
      <c r="F3255">
        <v>42300512</v>
      </c>
      <c r="G3255">
        <v>42300542</v>
      </c>
      <c r="H3255">
        <v>42300548</v>
      </c>
      <c r="I3255">
        <v>42300559</v>
      </c>
    </row>
    <row r="3256" spans="1:9" x14ac:dyDescent="0.2">
      <c r="A3256" s="1" t="str">
        <f>"CEACAM4"</f>
        <v>CEACAM4</v>
      </c>
      <c r="B3256" t="s">
        <v>14</v>
      </c>
      <c r="C3256" t="s">
        <v>10</v>
      </c>
      <c r="D3256" t="s">
        <v>11</v>
      </c>
      <c r="E3256" t="s">
        <v>12</v>
      </c>
      <c r="F3256">
        <v>42133420</v>
      </c>
      <c r="G3256">
        <v>42133450</v>
      </c>
      <c r="H3256">
        <v>42133405</v>
      </c>
      <c r="I3256">
        <v>42133418</v>
      </c>
    </row>
    <row r="3257" spans="1:9" x14ac:dyDescent="0.2">
      <c r="A3257" s="1" t="str">
        <f>"CEACAM5"</f>
        <v>CEACAM5</v>
      </c>
      <c r="B3257" t="s">
        <v>14</v>
      </c>
      <c r="C3257" t="s">
        <v>10</v>
      </c>
      <c r="D3257" t="s">
        <v>17</v>
      </c>
      <c r="E3257" t="s">
        <v>12</v>
      </c>
      <c r="F3257">
        <v>42212526</v>
      </c>
      <c r="G3257">
        <v>42212575</v>
      </c>
      <c r="H3257">
        <v>42212501</v>
      </c>
      <c r="I3257">
        <v>42212521</v>
      </c>
    </row>
    <row r="3258" spans="1:9" x14ac:dyDescent="0.2">
      <c r="A3258" s="1" t="str">
        <f>"CEACAM6"</f>
        <v>CEACAM6</v>
      </c>
      <c r="B3258" t="s">
        <v>14</v>
      </c>
      <c r="C3258" t="s">
        <v>10</v>
      </c>
      <c r="D3258" t="s">
        <v>17</v>
      </c>
      <c r="E3258" t="s">
        <v>12</v>
      </c>
      <c r="F3258">
        <v>42259430</v>
      </c>
      <c r="G3258">
        <v>42259452</v>
      </c>
      <c r="H3258">
        <v>42259465</v>
      </c>
      <c r="I3258">
        <v>42259476</v>
      </c>
    </row>
    <row r="3259" spans="1:9" x14ac:dyDescent="0.2">
      <c r="A3259" s="1" t="str">
        <f>"CEACAM7"</f>
        <v>CEACAM7</v>
      </c>
      <c r="B3259" t="s">
        <v>14</v>
      </c>
      <c r="C3259" t="s">
        <v>10</v>
      </c>
      <c r="D3259" t="s">
        <v>11</v>
      </c>
      <c r="E3259" t="s">
        <v>12</v>
      </c>
      <c r="F3259">
        <v>42192189</v>
      </c>
      <c r="G3259">
        <v>42192207</v>
      </c>
      <c r="H3259">
        <v>42192156</v>
      </c>
      <c r="I3259">
        <v>42192171</v>
      </c>
    </row>
    <row r="3260" spans="1:9" x14ac:dyDescent="0.2">
      <c r="A3260" s="1" t="str">
        <f>"CEACAM8"</f>
        <v>CEACAM8</v>
      </c>
      <c r="B3260" t="s">
        <v>14</v>
      </c>
      <c r="C3260" t="s">
        <v>10</v>
      </c>
      <c r="D3260" t="s">
        <v>11</v>
      </c>
      <c r="E3260" t="s">
        <v>12</v>
      </c>
      <c r="F3260">
        <v>43099044</v>
      </c>
      <c r="G3260">
        <v>43099055</v>
      </c>
      <c r="H3260">
        <v>43099070</v>
      </c>
      <c r="I3260">
        <v>43099086</v>
      </c>
    </row>
    <row r="3261" spans="1:9" x14ac:dyDescent="0.2">
      <c r="A3261" s="1" t="str">
        <f>"CEBPA"</f>
        <v>CEBPA</v>
      </c>
      <c r="B3261" t="s">
        <v>14</v>
      </c>
      <c r="C3261" t="s">
        <v>10</v>
      </c>
      <c r="D3261" t="s">
        <v>11</v>
      </c>
      <c r="E3261" t="s">
        <v>12</v>
      </c>
      <c r="F3261">
        <v>33793430</v>
      </c>
      <c r="G3261">
        <v>33793447</v>
      </c>
      <c r="H3261">
        <v>33793619</v>
      </c>
      <c r="I3261">
        <v>33793625</v>
      </c>
    </row>
    <row r="3262" spans="1:9" x14ac:dyDescent="0.2">
      <c r="A3262" s="1" t="str">
        <f>"CEBPB"</f>
        <v>CEBPB</v>
      </c>
      <c r="B3262" t="s">
        <v>14</v>
      </c>
      <c r="C3262" t="s">
        <v>29</v>
      </c>
      <c r="D3262" t="s">
        <v>17</v>
      </c>
      <c r="E3262" t="s">
        <v>12</v>
      </c>
      <c r="F3262">
        <v>48807351</v>
      </c>
      <c r="G3262">
        <v>48807384</v>
      </c>
      <c r="H3262">
        <v>48807875</v>
      </c>
      <c r="I3262">
        <v>48807982</v>
      </c>
    </row>
    <row r="3263" spans="1:9" x14ac:dyDescent="0.2">
      <c r="A3263" s="1" t="str">
        <f>"CEBPD"</f>
        <v>CEBPD</v>
      </c>
      <c r="B3263" t="s">
        <v>14</v>
      </c>
      <c r="C3263" t="s">
        <v>30</v>
      </c>
      <c r="D3263" t="s">
        <v>11</v>
      </c>
      <c r="E3263" t="s">
        <v>12</v>
      </c>
      <c r="F3263">
        <v>48650715</v>
      </c>
      <c r="G3263">
        <v>48650735</v>
      </c>
      <c r="H3263">
        <v>48650697</v>
      </c>
      <c r="I3263">
        <v>48650708</v>
      </c>
    </row>
    <row r="3264" spans="1:9" x14ac:dyDescent="0.2">
      <c r="A3264" s="1" t="str">
        <f>"CEBPE"</f>
        <v>CEBPE</v>
      </c>
      <c r="B3264" t="s">
        <v>14</v>
      </c>
      <c r="C3264" t="s">
        <v>41</v>
      </c>
      <c r="D3264" t="s">
        <v>11</v>
      </c>
      <c r="E3264" t="s">
        <v>12</v>
      </c>
      <c r="F3264">
        <v>23588242</v>
      </c>
      <c r="G3264">
        <v>23588262</v>
      </c>
      <c r="H3264">
        <v>23588458</v>
      </c>
      <c r="I3264">
        <v>23588473</v>
      </c>
    </row>
    <row r="3265" spans="1:9" x14ac:dyDescent="0.2">
      <c r="A3265" s="1" t="str">
        <f>"CEBPG"</f>
        <v>CEBPG</v>
      </c>
      <c r="B3265" t="s">
        <v>14</v>
      </c>
      <c r="C3265" t="s">
        <v>10</v>
      </c>
      <c r="D3265" t="s">
        <v>17</v>
      </c>
      <c r="E3265" t="s">
        <v>12</v>
      </c>
      <c r="F3265">
        <v>33864600</v>
      </c>
      <c r="G3265">
        <v>33864732</v>
      </c>
      <c r="H3265">
        <v>33864571</v>
      </c>
      <c r="I3265">
        <v>33864596</v>
      </c>
    </row>
    <row r="3266" spans="1:9" x14ac:dyDescent="0.2">
      <c r="A3266" s="1" t="str">
        <f>"CEBPZ"</f>
        <v>CEBPZ</v>
      </c>
      <c r="B3266" t="s">
        <v>14</v>
      </c>
      <c r="C3266" t="s">
        <v>26</v>
      </c>
      <c r="D3266" t="s">
        <v>11</v>
      </c>
      <c r="E3266" t="s">
        <v>12</v>
      </c>
      <c r="F3266">
        <v>37458692</v>
      </c>
      <c r="G3266">
        <v>37458745</v>
      </c>
      <c r="H3266">
        <v>37458749</v>
      </c>
      <c r="I3266">
        <v>37458766</v>
      </c>
    </row>
    <row r="3267" spans="1:9" x14ac:dyDescent="0.2">
      <c r="A3267" s="1" t="str">
        <f>"CECR1"</f>
        <v>CECR1</v>
      </c>
      <c r="B3267" t="s">
        <v>9</v>
      </c>
      <c r="C3267" t="s">
        <v>21</v>
      </c>
      <c r="D3267" t="s">
        <v>11</v>
      </c>
      <c r="E3267" t="s">
        <v>12</v>
      </c>
      <c r="F3267">
        <v>17700260</v>
      </c>
      <c r="G3267">
        <v>17700331</v>
      </c>
      <c r="H3267">
        <v>17700260</v>
      </c>
      <c r="I3267">
        <v>17700331</v>
      </c>
    </row>
    <row r="3268" spans="1:9" x14ac:dyDescent="0.2">
      <c r="A3268" s="1" t="str">
        <f>"CECR1"</f>
        <v>CECR1</v>
      </c>
      <c r="B3268" t="s">
        <v>13</v>
      </c>
      <c r="C3268" t="s">
        <v>21</v>
      </c>
      <c r="D3268" t="s">
        <v>11</v>
      </c>
      <c r="E3268" t="s">
        <v>12</v>
      </c>
      <c r="F3268">
        <v>17680472</v>
      </c>
      <c r="G3268">
        <v>17680560</v>
      </c>
      <c r="H3268">
        <v>17680472</v>
      </c>
      <c r="I3268">
        <v>17680560</v>
      </c>
    </row>
    <row r="3269" spans="1:9" x14ac:dyDescent="0.2">
      <c r="A3269" s="1" t="str">
        <f>"CECR2"</f>
        <v>CECR2</v>
      </c>
      <c r="B3269" t="s">
        <v>14</v>
      </c>
      <c r="C3269" t="s">
        <v>21</v>
      </c>
      <c r="D3269" t="s">
        <v>17</v>
      </c>
      <c r="E3269" t="s">
        <v>12</v>
      </c>
      <c r="F3269">
        <v>17956618</v>
      </c>
      <c r="G3269">
        <v>17956637</v>
      </c>
      <c r="H3269">
        <v>17956618</v>
      </c>
      <c r="I3269">
        <v>17956637</v>
      </c>
    </row>
    <row r="3270" spans="1:9" x14ac:dyDescent="0.2">
      <c r="A3270" s="1" t="str">
        <f>"CECR5"</f>
        <v>CECR5</v>
      </c>
      <c r="B3270" t="s">
        <v>14</v>
      </c>
      <c r="C3270" t="s">
        <v>21</v>
      </c>
      <c r="D3270" t="s">
        <v>11</v>
      </c>
      <c r="E3270" t="s">
        <v>12</v>
      </c>
      <c r="F3270">
        <v>17640110</v>
      </c>
      <c r="G3270">
        <v>17640185</v>
      </c>
      <c r="H3270">
        <v>17640051</v>
      </c>
      <c r="I3270">
        <v>17640104</v>
      </c>
    </row>
    <row r="3271" spans="1:9" x14ac:dyDescent="0.2">
      <c r="A3271" s="1" t="str">
        <f>"CECR6"</f>
        <v>CECR6</v>
      </c>
      <c r="B3271" t="s">
        <v>14</v>
      </c>
      <c r="C3271" t="s">
        <v>21</v>
      </c>
      <c r="D3271" t="s">
        <v>11</v>
      </c>
      <c r="E3271" t="s">
        <v>12</v>
      </c>
      <c r="F3271">
        <v>17602200</v>
      </c>
      <c r="G3271">
        <v>17602265</v>
      </c>
      <c r="H3271">
        <v>17602160</v>
      </c>
      <c r="I3271">
        <v>17602175</v>
      </c>
    </row>
    <row r="3272" spans="1:9" x14ac:dyDescent="0.2">
      <c r="A3272" s="1" t="str">
        <f>"CEL"</f>
        <v>CEL</v>
      </c>
      <c r="B3272" t="s">
        <v>14</v>
      </c>
      <c r="C3272" t="s">
        <v>24</v>
      </c>
      <c r="D3272" t="s">
        <v>17</v>
      </c>
      <c r="E3272" t="s">
        <v>12</v>
      </c>
      <c r="F3272">
        <v>135939873</v>
      </c>
      <c r="G3272">
        <v>135939885</v>
      </c>
      <c r="H3272">
        <v>135939824</v>
      </c>
      <c r="I3272">
        <v>135939841</v>
      </c>
    </row>
    <row r="3273" spans="1:9" x14ac:dyDescent="0.2">
      <c r="A3273" s="1" t="str">
        <f>"CELA1"</f>
        <v>CELA1</v>
      </c>
      <c r="B3273" t="s">
        <v>226</v>
      </c>
      <c r="C3273" t="s">
        <v>16</v>
      </c>
      <c r="D3273" t="s">
        <v>11</v>
      </c>
      <c r="E3273" t="s">
        <v>20</v>
      </c>
      <c r="F3273">
        <v>51740462</v>
      </c>
      <c r="G3273">
        <v>51740462</v>
      </c>
      <c r="H3273">
        <v>51740462</v>
      </c>
      <c r="I3273">
        <v>51740462</v>
      </c>
    </row>
    <row r="3274" spans="1:9" x14ac:dyDescent="0.2">
      <c r="A3274" s="1" t="str">
        <f>"CELA2A"</f>
        <v>CELA2A</v>
      </c>
      <c r="B3274" t="s">
        <v>14</v>
      </c>
      <c r="C3274" t="s">
        <v>19</v>
      </c>
      <c r="D3274" t="s">
        <v>17</v>
      </c>
      <c r="E3274" t="s">
        <v>12</v>
      </c>
      <c r="F3274">
        <v>15783222</v>
      </c>
      <c r="G3274">
        <v>15783229</v>
      </c>
      <c r="H3274">
        <v>15783222</v>
      </c>
      <c r="I3274">
        <v>15783229</v>
      </c>
    </row>
    <row r="3275" spans="1:9" x14ac:dyDescent="0.2">
      <c r="A3275" s="1" t="str">
        <f>"CELA2B"</f>
        <v>CELA2B</v>
      </c>
      <c r="B3275" t="s">
        <v>14</v>
      </c>
      <c r="C3275" t="s">
        <v>19</v>
      </c>
      <c r="D3275" t="s">
        <v>17</v>
      </c>
      <c r="E3275" t="s">
        <v>12</v>
      </c>
      <c r="F3275">
        <v>15802594</v>
      </c>
      <c r="G3275">
        <v>15802601</v>
      </c>
      <c r="H3275">
        <v>15802594</v>
      </c>
      <c r="I3275">
        <v>15802601</v>
      </c>
    </row>
    <row r="3276" spans="1:9" x14ac:dyDescent="0.2">
      <c r="A3276" s="1" t="str">
        <f>"CELA3A"</f>
        <v>CELA3A</v>
      </c>
      <c r="B3276" t="s">
        <v>14</v>
      </c>
      <c r="C3276" t="s">
        <v>19</v>
      </c>
      <c r="D3276" t="s">
        <v>17</v>
      </c>
      <c r="E3276" t="s">
        <v>12</v>
      </c>
      <c r="F3276">
        <v>22328144</v>
      </c>
      <c r="G3276">
        <v>22328155</v>
      </c>
      <c r="H3276">
        <v>22328144</v>
      </c>
      <c r="I3276">
        <v>22328155</v>
      </c>
    </row>
    <row r="3277" spans="1:9" x14ac:dyDescent="0.2">
      <c r="A3277" s="1" t="str">
        <f>"CELA3B"</f>
        <v>CELA3B</v>
      </c>
      <c r="B3277" t="s">
        <v>14</v>
      </c>
      <c r="C3277" t="s">
        <v>19</v>
      </c>
      <c r="D3277" t="s">
        <v>17</v>
      </c>
      <c r="E3277" t="s">
        <v>12</v>
      </c>
      <c r="F3277">
        <v>22303503</v>
      </c>
      <c r="G3277">
        <v>22303521</v>
      </c>
      <c r="H3277">
        <v>22303446</v>
      </c>
      <c r="I3277">
        <v>22303464</v>
      </c>
    </row>
    <row r="3278" spans="1:9" x14ac:dyDescent="0.2">
      <c r="A3278" s="1" t="str">
        <f>"CELF1"</f>
        <v>CELF1</v>
      </c>
      <c r="B3278" t="s">
        <v>14</v>
      </c>
      <c r="C3278" t="s">
        <v>27</v>
      </c>
      <c r="D3278" t="s">
        <v>11</v>
      </c>
      <c r="E3278" t="s">
        <v>12</v>
      </c>
      <c r="F3278">
        <v>47574673</v>
      </c>
      <c r="G3278">
        <v>47574700</v>
      </c>
      <c r="H3278">
        <v>47574705</v>
      </c>
      <c r="I3278">
        <v>47574719</v>
      </c>
    </row>
    <row r="3279" spans="1:9" x14ac:dyDescent="0.2">
      <c r="A3279" s="1" t="str">
        <f>"CELF2"</f>
        <v>CELF2</v>
      </c>
      <c r="B3279" t="s">
        <v>14</v>
      </c>
      <c r="C3279" t="s">
        <v>15</v>
      </c>
      <c r="D3279" t="s">
        <v>17</v>
      </c>
      <c r="E3279" t="s">
        <v>12</v>
      </c>
      <c r="F3279">
        <v>11207438</v>
      </c>
      <c r="G3279">
        <v>11207455</v>
      </c>
      <c r="H3279">
        <v>11207051</v>
      </c>
      <c r="I3279">
        <v>11207081</v>
      </c>
    </row>
    <row r="3280" spans="1:9" x14ac:dyDescent="0.2">
      <c r="A3280" s="1" t="str">
        <f>"CELF3"</f>
        <v>CELF3</v>
      </c>
      <c r="B3280" t="s">
        <v>14</v>
      </c>
      <c r="C3280" t="s">
        <v>19</v>
      </c>
      <c r="D3280" t="s">
        <v>11</v>
      </c>
      <c r="E3280" t="s">
        <v>12</v>
      </c>
      <c r="F3280">
        <v>151689259</v>
      </c>
      <c r="G3280">
        <v>151689285</v>
      </c>
      <c r="H3280">
        <v>151689239</v>
      </c>
      <c r="I3280">
        <v>151689253</v>
      </c>
    </row>
    <row r="3281" spans="1:9" x14ac:dyDescent="0.2">
      <c r="A3281" s="1" t="str">
        <f>"CELF4"</f>
        <v>CELF4</v>
      </c>
      <c r="B3281" t="s">
        <v>14</v>
      </c>
      <c r="C3281" t="s">
        <v>43</v>
      </c>
      <c r="D3281" t="s">
        <v>11</v>
      </c>
      <c r="E3281" t="s">
        <v>12</v>
      </c>
      <c r="F3281">
        <v>35145730</v>
      </c>
      <c r="G3281">
        <v>35145817</v>
      </c>
      <c r="H3281">
        <v>35145730</v>
      </c>
      <c r="I3281">
        <v>35145817</v>
      </c>
    </row>
    <row r="3282" spans="1:9" x14ac:dyDescent="0.2">
      <c r="A3282" s="1" t="str">
        <f>"CELF5"</f>
        <v>CELF5</v>
      </c>
      <c r="B3282" t="s">
        <v>14</v>
      </c>
      <c r="C3282" t="s">
        <v>10</v>
      </c>
      <c r="D3282" t="s">
        <v>17</v>
      </c>
      <c r="E3282" t="s">
        <v>12</v>
      </c>
      <c r="F3282">
        <v>3224700</v>
      </c>
      <c r="G3282">
        <v>3224759</v>
      </c>
      <c r="H3282">
        <v>3225262</v>
      </c>
      <c r="I3282">
        <v>3225311</v>
      </c>
    </row>
    <row r="3283" spans="1:9" x14ac:dyDescent="0.2">
      <c r="A3283" s="1" t="str">
        <f>"CELF6"</f>
        <v>CELF6</v>
      </c>
      <c r="B3283" t="s">
        <v>14</v>
      </c>
      <c r="C3283" t="s">
        <v>25</v>
      </c>
      <c r="D3283" t="s">
        <v>11</v>
      </c>
      <c r="E3283" t="s">
        <v>12</v>
      </c>
      <c r="F3283">
        <v>72612470</v>
      </c>
      <c r="G3283">
        <v>72612529</v>
      </c>
      <c r="H3283">
        <v>72612470</v>
      </c>
      <c r="I3283">
        <v>72612529</v>
      </c>
    </row>
    <row r="3284" spans="1:9" x14ac:dyDescent="0.2">
      <c r="A3284" s="1" t="str">
        <f>"CELSR1"</f>
        <v>CELSR1</v>
      </c>
      <c r="B3284" t="s">
        <v>14</v>
      </c>
      <c r="C3284" t="s">
        <v>21</v>
      </c>
      <c r="D3284" t="s">
        <v>11</v>
      </c>
      <c r="E3284" t="s">
        <v>12</v>
      </c>
      <c r="F3284">
        <v>46933490</v>
      </c>
      <c r="G3284">
        <v>46933535</v>
      </c>
      <c r="H3284">
        <v>46933490</v>
      </c>
      <c r="I3284">
        <v>46933535</v>
      </c>
    </row>
    <row r="3285" spans="1:9" x14ac:dyDescent="0.2">
      <c r="A3285" s="1" t="str">
        <f>"CELSR2"</f>
        <v>CELSR2</v>
      </c>
      <c r="B3285" t="s">
        <v>9</v>
      </c>
      <c r="C3285" t="s">
        <v>19</v>
      </c>
      <c r="D3285" t="s">
        <v>17</v>
      </c>
      <c r="E3285" t="s">
        <v>12</v>
      </c>
      <c r="F3285">
        <v>109792151</v>
      </c>
      <c r="G3285">
        <v>109792170</v>
      </c>
      <c r="H3285">
        <v>109792151</v>
      </c>
      <c r="I3285">
        <v>109792170</v>
      </c>
    </row>
    <row r="3286" spans="1:9" x14ac:dyDescent="0.2">
      <c r="A3286" s="1" t="str">
        <f>"CELSR2"</f>
        <v>CELSR2</v>
      </c>
      <c r="B3286" t="s">
        <v>13</v>
      </c>
      <c r="C3286" t="s">
        <v>19</v>
      </c>
      <c r="D3286" t="s">
        <v>17</v>
      </c>
      <c r="E3286" t="s">
        <v>12</v>
      </c>
      <c r="F3286">
        <v>109806834</v>
      </c>
      <c r="G3286">
        <v>109806854</v>
      </c>
      <c r="H3286">
        <v>109806834</v>
      </c>
      <c r="I3286">
        <v>109806854</v>
      </c>
    </row>
    <row r="3287" spans="1:9" x14ac:dyDescent="0.2">
      <c r="A3287" s="1" t="str">
        <f>"CELSR3"</f>
        <v>CELSR3</v>
      </c>
      <c r="B3287" t="s">
        <v>14</v>
      </c>
      <c r="C3287" t="s">
        <v>22</v>
      </c>
      <c r="D3287" t="s">
        <v>11</v>
      </c>
      <c r="E3287" t="s">
        <v>12</v>
      </c>
      <c r="F3287">
        <v>48700310</v>
      </c>
      <c r="G3287">
        <v>48700347</v>
      </c>
      <c r="H3287">
        <v>48700434</v>
      </c>
      <c r="I3287">
        <v>48700462</v>
      </c>
    </row>
    <row r="3288" spans="1:9" x14ac:dyDescent="0.2">
      <c r="A3288" s="1" t="str">
        <f>"CEMP1"</f>
        <v>CEMP1</v>
      </c>
      <c r="B3288" t="s">
        <v>14</v>
      </c>
      <c r="C3288" t="s">
        <v>31</v>
      </c>
      <c r="D3288" t="s">
        <v>11</v>
      </c>
      <c r="E3288" t="s">
        <v>12</v>
      </c>
      <c r="F3288">
        <v>2581891</v>
      </c>
      <c r="G3288">
        <v>2581900</v>
      </c>
      <c r="H3288">
        <v>2581891</v>
      </c>
      <c r="I3288">
        <v>2581900</v>
      </c>
    </row>
    <row r="3289" spans="1:9" x14ac:dyDescent="0.2">
      <c r="A3289" s="1" t="str">
        <f>"CEND1"</f>
        <v>CEND1</v>
      </c>
      <c r="B3289" t="s">
        <v>9</v>
      </c>
      <c r="C3289" t="s">
        <v>27</v>
      </c>
      <c r="D3289" t="s">
        <v>11</v>
      </c>
      <c r="E3289" t="s">
        <v>12</v>
      </c>
      <c r="F3289">
        <v>790060</v>
      </c>
      <c r="G3289">
        <v>790127</v>
      </c>
      <c r="H3289">
        <v>790060</v>
      </c>
      <c r="I3289">
        <v>790127</v>
      </c>
    </row>
    <row r="3290" spans="1:9" x14ac:dyDescent="0.2">
      <c r="A3290" s="1" t="str">
        <f>"CEND1"</f>
        <v>CEND1</v>
      </c>
      <c r="B3290" t="s">
        <v>13</v>
      </c>
      <c r="C3290" t="s">
        <v>27</v>
      </c>
      <c r="D3290" t="s">
        <v>11</v>
      </c>
      <c r="E3290" t="s">
        <v>12</v>
      </c>
      <c r="F3290">
        <v>788634</v>
      </c>
      <c r="G3290">
        <v>788660</v>
      </c>
      <c r="H3290">
        <v>788634</v>
      </c>
      <c r="I3290">
        <v>788660</v>
      </c>
    </row>
    <row r="3291" spans="1:9" x14ac:dyDescent="0.2">
      <c r="A3291" s="1" t="str">
        <f>"CENPA"</f>
        <v>CENPA</v>
      </c>
      <c r="B3291" t="s">
        <v>9</v>
      </c>
      <c r="C3291" t="s">
        <v>26</v>
      </c>
      <c r="D3291" t="s">
        <v>17</v>
      </c>
      <c r="E3291" t="s">
        <v>12</v>
      </c>
      <c r="F3291">
        <v>26987111</v>
      </c>
      <c r="G3291">
        <v>26987210</v>
      </c>
      <c r="H3291">
        <v>26987111</v>
      </c>
      <c r="I3291">
        <v>26987210</v>
      </c>
    </row>
    <row r="3292" spans="1:9" x14ac:dyDescent="0.2">
      <c r="A3292" s="1" t="str">
        <f>"CENPA"</f>
        <v>CENPA</v>
      </c>
      <c r="B3292" t="s">
        <v>13</v>
      </c>
      <c r="C3292" t="s">
        <v>26</v>
      </c>
      <c r="D3292" t="s">
        <v>17</v>
      </c>
      <c r="E3292" t="s">
        <v>12</v>
      </c>
      <c r="F3292">
        <v>27008888</v>
      </c>
      <c r="G3292">
        <v>27008968</v>
      </c>
      <c r="H3292">
        <v>27008888</v>
      </c>
      <c r="I3292">
        <v>27008968</v>
      </c>
    </row>
    <row r="3293" spans="1:9" x14ac:dyDescent="0.2">
      <c r="A3293" s="1" t="str">
        <f>"CENPB"</f>
        <v>CENPB</v>
      </c>
      <c r="B3293" t="s">
        <v>14</v>
      </c>
      <c r="C3293" t="s">
        <v>29</v>
      </c>
      <c r="D3293" t="s">
        <v>11</v>
      </c>
      <c r="E3293" t="s">
        <v>12</v>
      </c>
      <c r="F3293">
        <v>3767324</v>
      </c>
      <c r="G3293">
        <v>3767443</v>
      </c>
      <c r="H3293">
        <v>3767004</v>
      </c>
      <c r="I3293">
        <v>3767035</v>
      </c>
    </row>
    <row r="3294" spans="1:9" x14ac:dyDescent="0.2">
      <c r="A3294" s="1" t="str">
        <f>"CENPBD1"</f>
        <v>CENPBD1</v>
      </c>
      <c r="B3294" t="s">
        <v>14</v>
      </c>
      <c r="C3294" t="s">
        <v>31</v>
      </c>
      <c r="D3294" t="s">
        <v>11</v>
      </c>
      <c r="E3294" t="s">
        <v>12</v>
      </c>
      <c r="F3294">
        <v>90038866</v>
      </c>
      <c r="G3294">
        <v>90038937</v>
      </c>
      <c r="H3294">
        <v>90039214</v>
      </c>
      <c r="I3294">
        <v>90039248</v>
      </c>
    </row>
    <row r="3295" spans="1:9" x14ac:dyDescent="0.2">
      <c r="A3295" s="1" t="str">
        <f>"CENPC"</f>
        <v>CENPC</v>
      </c>
      <c r="B3295" t="s">
        <v>14</v>
      </c>
      <c r="C3295" t="s">
        <v>23</v>
      </c>
      <c r="D3295" t="s">
        <v>11</v>
      </c>
      <c r="E3295" t="s">
        <v>12</v>
      </c>
      <c r="F3295">
        <v>68411182</v>
      </c>
      <c r="G3295">
        <v>68411240</v>
      </c>
      <c r="H3295">
        <v>68411152</v>
      </c>
      <c r="I3295">
        <v>68411174</v>
      </c>
    </row>
    <row r="3296" spans="1:9" x14ac:dyDescent="0.2">
      <c r="A3296" s="1" t="str">
        <f>"CENPE"</f>
        <v>CENPE</v>
      </c>
      <c r="B3296" t="s">
        <v>14</v>
      </c>
      <c r="C3296" t="s">
        <v>23</v>
      </c>
      <c r="D3296" t="s">
        <v>11</v>
      </c>
      <c r="E3296" t="s">
        <v>12</v>
      </c>
      <c r="F3296">
        <v>104119488</v>
      </c>
      <c r="G3296">
        <v>104119512</v>
      </c>
      <c r="H3296">
        <v>104119528</v>
      </c>
      <c r="I3296">
        <v>104119570</v>
      </c>
    </row>
    <row r="3297" spans="1:9" x14ac:dyDescent="0.2">
      <c r="A3297" s="1" t="str">
        <f>"CENPF"</f>
        <v>CENPF</v>
      </c>
      <c r="B3297" t="s">
        <v>14</v>
      </c>
      <c r="C3297" t="s">
        <v>19</v>
      </c>
      <c r="D3297" t="s">
        <v>17</v>
      </c>
      <c r="E3297" t="s">
        <v>12</v>
      </c>
      <c r="F3297">
        <v>214776516</v>
      </c>
      <c r="G3297">
        <v>214776565</v>
      </c>
      <c r="H3297">
        <v>214776570</v>
      </c>
      <c r="I3297">
        <v>214776593</v>
      </c>
    </row>
    <row r="3298" spans="1:9" x14ac:dyDescent="0.2">
      <c r="A3298" s="1" t="str">
        <f>"CENPH"</f>
        <v>CENPH</v>
      </c>
      <c r="B3298" t="s">
        <v>14</v>
      </c>
      <c r="C3298" t="s">
        <v>46</v>
      </c>
      <c r="D3298" t="s">
        <v>17</v>
      </c>
      <c r="E3298" t="s">
        <v>12</v>
      </c>
      <c r="F3298">
        <v>68485363</v>
      </c>
      <c r="G3298">
        <v>68485431</v>
      </c>
      <c r="H3298">
        <v>68485433</v>
      </c>
      <c r="I3298">
        <v>68485447</v>
      </c>
    </row>
    <row r="3299" spans="1:9" x14ac:dyDescent="0.2">
      <c r="A3299" s="1" t="str">
        <f>"CENPI"</f>
        <v>CENPI</v>
      </c>
      <c r="B3299" t="s">
        <v>14</v>
      </c>
      <c r="C3299" t="s">
        <v>37</v>
      </c>
      <c r="D3299" t="s">
        <v>17</v>
      </c>
      <c r="E3299" t="s">
        <v>12</v>
      </c>
      <c r="F3299">
        <v>100353153</v>
      </c>
      <c r="G3299">
        <v>100353207</v>
      </c>
      <c r="H3299">
        <v>100353153</v>
      </c>
      <c r="I3299">
        <v>100353207</v>
      </c>
    </row>
    <row r="3300" spans="1:9" x14ac:dyDescent="0.2">
      <c r="A3300" s="1" t="str">
        <f>"CENPJ"</f>
        <v>CENPJ</v>
      </c>
      <c r="B3300" t="s">
        <v>14</v>
      </c>
      <c r="C3300" t="s">
        <v>39</v>
      </c>
      <c r="D3300" t="s">
        <v>11</v>
      </c>
      <c r="E3300" t="s">
        <v>12</v>
      </c>
      <c r="F3300">
        <v>25496926</v>
      </c>
      <c r="G3300">
        <v>25497034</v>
      </c>
      <c r="H3300">
        <v>25496926</v>
      </c>
      <c r="I3300">
        <v>25497034</v>
      </c>
    </row>
    <row r="3301" spans="1:9" x14ac:dyDescent="0.2">
      <c r="A3301" s="1" t="str">
        <f>"CENPK"</f>
        <v>CENPK</v>
      </c>
      <c r="B3301" t="s">
        <v>14</v>
      </c>
      <c r="C3301" t="s">
        <v>46</v>
      </c>
      <c r="D3301" t="s">
        <v>11</v>
      </c>
      <c r="E3301" t="s">
        <v>12</v>
      </c>
      <c r="F3301">
        <v>64858944</v>
      </c>
      <c r="G3301">
        <v>64859002</v>
      </c>
      <c r="H3301">
        <v>64858944</v>
      </c>
      <c r="I3301">
        <v>64859002</v>
      </c>
    </row>
    <row r="3302" spans="1:9" x14ac:dyDescent="0.2">
      <c r="A3302" s="1" t="str">
        <f>"CENPL"</f>
        <v>CENPL</v>
      </c>
      <c r="B3302" t="s">
        <v>14</v>
      </c>
      <c r="C3302" t="s">
        <v>19</v>
      </c>
      <c r="D3302" t="s">
        <v>11</v>
      </c>
      <c r="E3302" t="s">
        <v>12</v>
      </c>
      <c r="F3302">
        <v>173793994</v>
      </c>
      <c r="G3302">
        <v>173794041</v>
      </c>
      <c r="H3302">
        <v>173793515</v>
      </c>
      <c r="I3302">
        <v>173793551</v>
      </c>
    </row>
    <row r="3303" spans="1:9" x14ac:dyDescent="0.2">
      <c r="A3303" s="1" t="str">
        <f>"CENPM"</f>
        <v>CENPM</v>
      </c>
      <c r="B3303" t="s">
        <v>14</v>
      </c>
      <c r="C3303" t="s">
        <v>21</v>
      </c>
      <c r="D3303" t="s">
        <v>11</v>
      </c>
      <c r="E3303" t="s">
        <v>12</v>
      </c>
      <c r="F3303">
        <v>42343117</v>
      </c>
      <c r="G3303">
        <v>42343181</v>
      </c>
      <c r="H3303">
        <v>42343092</v>
      </c>
      <c r="I3303">
        <v>42343107</v>
      </c>
    </row>
    <row r="3304" spans="1:9" x14ac:dyDescent="0.2">
      <c r="A3304" s="1" t="str">
        <f>"CENPN"</f>
        <v>CENPN</v>
      </c>
      <c r="B3304" t="s">
        <v>14</v>
      </c>
      <c r="C3304" t="s">
        <v>31</v>
      </c>
      <c r="D3304" t="s">
        <v>17</v>
      </c>
      <c r="E3304" t="s">
        <v>12</v>
      </c>
      <c r="F3304">
        <v>81040794</v>
      </c>
      <c r="G3304">
        <v>81040865</v>
      </c>
      <c r="H3304">
        <v>81040113</v>
      </c>
      <c r="I3304">
        <v>81040172</v>
      </c>
    </row>
    <row r="3305" spans="1:9" x14ac:dyDescent="0.2">
      <c r="A3305" s="1" t="str">
        <f>"CENPO"</f>
        <v>CENPO</v>
      </c>
      <c r="B3305" t="s">
        <v>14</v>
      </c>
      <c r="C3305" t="s">
        <v>26</v>
      </c>
      <c r="D3305" t="s">
        <v>17</v>
      </c>
      <c r="E3305" t="s">
        <v>12</v>
      </c>
      <c r="F3305">
        <v>25016282</v>
      </c>
      <c r="G3305">
        <v>25016339</v>
      </c>
      <c r="H3305">
        <v>25015968</v>
      </c>
      <c r="I3305">
        <v>25016029</v>
      </c>
    </row>
    <row r="3306" spans="1:9" x14ac:dyDescent="0.2">
      <c r="A3306" s="1" t="str">
        <f>"CENPP"</f>
        <v>CENPP</v>
      </c>
      <c r="B3306" t="s">
        <v>14</v>
      </c>
      <c r="C3306" t="s">
        <v>24</v>
      </c>
      <c r="D3306" t="s">
        <v>17</v>
      </c>
      <c r="E3306" t="s">
        <v>12</v>
      </c>
      <c r="F3306">
        <v>95088193</v>
      </c>
      <c r="G3306">
        <v>95088253</v>
      </c>
      <c r="H3306">
        <v>95087914</v>
      </c>
      <c r="I3306">
        <v>95087950</v>
      </c>
    </row>
    <row r="3307" spans="1:9" x14ac:dyDescent="0.2">
      <c r="A3307" s="1" t="str">
        <f>"CENPQ"</f>
        <v>CENPQ</v>
      </c>
      <c r="B3307" t="s">
        <v>14</v>
      </c>
      <c r="C3307" t="s">
        <v>32</v>
      </c>
      <c r="D3307" t="s">
        <v>17</v>
      </c>
      <c r="E3307" t="s">
        <v>12</v>
      </c>
      <c r="F3307">
        <v>49431073</v>
      </c>
      <c r="G3307">
        <v>49431135</v>
      </c>
      <c r="H3307">
        <v>49431048</v>
      </c>
      <c r="I3307">
        <v>49431059</v>
      </c>
    </row>
    <row r="3308" spans="1:9" x14ac:dyDescent="0.2">
      <c r="A3308" s="1" t="str">
        <f>"CENPT"</f>
        <v>CENPT</v>
      </c>
      <c r="B3308" t="s">
        <v>14</v>
      </c>
      <c r="C3308" t="s">
        <v>31</v>
      </c>
      <c r="D3308" t="s">
        <v>11</v>
      </c>
      <c r="E3308" t="s">
        <v>12</v>
      </c>
      <c r="F3308">
        <v>67867749</v>
      </c>
      <c r="G3308">
        <v>67867852</v>
      </c>
      <c r="H3308">
        <v>67867749</v>
      </c>
      <c r="I3308">
        <v>67867852</v>
      </c>
    </row>
    <row r="3309" spans="1:9" x14ac:dyDescent="0.2">
      <c r="A3309" s="1" t="str">
        <f>"CENPV"</f>
        <v>CENPV</v>
      </c>
      <c r="B3309" t="s">
        <v>14</v>
      </c>
      <c r="C3309" t="s">
        <v>28</v>
      </c>
      <c r="D3309" t="s">
        <v>11</v>
      </c>
      <c r="E3309" t="s">
        <v>12</v>
      </c>
      <c r="F3309">
        <v>16256718</v>
      </c>
      <c r="G3309">
        <v>16256811</v>
      </c>
      <c r="H3309">
        <v>16256718</v>
      </c>
      <c r="I3309">
        <v>16256811</v>
      </c>
    </row>
    <row r="3310" spans="1:9" x14ac:dyDescent="0.2">
      <c r="A3310" s="1" t="str">
        <f>"CENPW"</f>
        <v>CENPW</v>
      </c>
      <c r="B3310" t="s">
        <v>14</v>
      </c>
      <c r="C3310" t="s">
        <v>32</v>
      </c>
      <c r="D3310" t="s">
        <v>17</v>
      </c>
      <c r="E3310" t="s">
        <v>12</v>
      </c>
      <c r="F3310">
        <v>126661253</v>
      </c>
      <c r="G3310">
        <v>126661356</v>
      </c>
      <c r="H3310">
        <v>126661233</v>
      </c>
      <c r="I3310">
        <v>126661250</v>
      </c>
    </row>
    <row r="3311" spans="1:9" x14ac:dyDescent="0.2">
      <c r="A3311" s="1" t="str">
        <f>"CEP104"</f>
        <v>CEP104</v>
      </c>
      <c r="B3311" t="s">
        <v>14</v>
      </c>
      <c r="C3311" t="s">
        <v>19</v>
      </c>
      <c r="D3311" t="s">
        <v>11</v>
      </c>
      <c r="E3311" t="s">
        <v>12</v>
      </c>
      <c r="F3311">
        <v>3773747</v>
      </c>
      <c r="G3311">
        <v>3773793</v>
      </c>
      <c r="H3311">
        <v>3773934</v>
      </c>
      <c r="I3311">
        <v>3773965</v>
      </c>
    </row>
    <row r="3312" spans="1:9" x14ac:dyDescent="0.2">
      <c r="A3312" s="1" t="str">
        <f>"CEP112"</f>
        <v>CEP112</v>
      </c>
      <c r="B3312" t="s">
        <v>14</v>
      </c>
      <c r="C3312" t="s">
        <v>28</v>
      </c>
      <c r="D3312" t="s">
        <v>11</v>
      </c>
      <c r="E3312" t="s">
        <v>12</v>
      </c>
      <c r="F3312">
        <v>64188177</v>
      </c>
      <c r="G3312">
        <v>64188240</v>
      </c>
      <c r="H3312">
        <v>64187977</v>
      </c>
      <c r="I3312">
        <v>64188043</v>
      </c>
    </row>
    <row r="3313" spans="1:9" x14ac:dyDescent="0.2">
      <c r="A3313" s="1" t="str">
        <f>"CEP120"</f>
        <v>CEP120</v>
      </c>
      <c r="B3313" t="s">
        <v>14</v>
      </c>
      <c r="C3313" t="s">
        <v>46</v>
      </c>
      <c r="D3313" t="s">
        <v>11</v>
      </c>
      <c r="E3313" t="s">
        <v>12</v>
      </c>
      <c r="F3313">
        <v>122759032</v>
      </c>
      <c r="G3313">
        <v>122759115</v>
      </c>
      <c r="H3313">
        <v>122758994</v>
      </c>
      <c r="I3313">
        <v>122759027</v>
      </c>
    </row>
    <row r="3314" spans="1:9" x14ac:dyDescent="0.2">
      <c r="A3314" s="1" t="str">
        <f>"CEP128"</f>
        <v>CEP128</v>
      </c>
      <c r="B3314" t="s">
        <v>14</v>
      </c>
      <c r="C3314" t="s">
        <v>41</v>
      </c>
      <c r="D3314" t="s">
        <v>11</v>
      </c>
      <c r="E3314" t="s">
        <v>12</v>
      </c>
      <c r="F3314">
        <v>81408063</v>
      </c>
      <c r="G3314">
        <v>81408088</v>
      </c>
      <c r="H3314">
        <v>81408035</v>
      </c>
      <c r="I3314">
        <v>81408057</v>
      </c>
    </row>
    <row r="3315" spans="1:9" x14ac:dyDescent="0.2">
      <c r="A3315" s="1" t="str">
        <f>"CEP135"</f>
        <v>CEP135</v>
      </c>
      <c r="B3315" t="s">
        <v>14</v>
      </c>
      <c r="C3315" t="s">
        <v>23</v>
      </c>
      <c r="D3315" t="s">
        <v>17</v>
      </c>
      <c r="E3315" t="s">
        <v>12</v>
      </c>
      <c r="F3315">
        <v>56814968</v>
      </c>
      <c r="G3315">
        <v>56815018</v>
      </c>
      <c r="H3315">
        <v>56815102</v>
      </c>
      <c r="I3315">
        <v>56815127</v>
      </c>
    </row>
    <row r="3316" spans="1:9" x14ac:dyDescent="0.2">
      <c r="A3316" s="1" t="str">
        <f>"CEP152"</f>
        <v>CEP152</v>
      </c>
      <c r="B3316" t="s">
        <v>14</v>
      </c>
      <c r="C3316" t="s">
        <v>25</v>
      </c>
      <c r="D3316" t="s">
        <v>11</v>
      </c>
      <c r="E3316" t="s">
        <v>12</v>
      </c>
      <c r="F3316">
        <v>49103235</v>
      </c>
      <c r="G3316">
        <v>49103301</v>
      </c>
      <c r="H3316">
        <v>49103196</v>
      </c>
      <c r="I3316">
        <v>49103232</v>
      </c>
    </row>
    <row r="3317" spans="1:9" x14ac:dyDescent="0.2">
      <c r="A3317" s="1" t="str">
        <f>"CEP164"</f>
        <v>CEP164</v>
      </c>
      <c r="B3317" t="s">
        <v>14</v>
      </c>
      <c r="C3317" t="s">
        <v>27</v>
      </c>
      <c r="D3317" t="s">
        <v>17</v>
      </c>
      <c r="E3317" t="s">
        <v>12</v>
      </c>
      <c r="F3317">
        <v>117198852</v>
      </c>
      <c r="G3317">
        <v>117198873</v>
      </c>
      <c r="H3317">
        <v>117198545</v>
      </c>
      <c r="I3317">
        <v>117198607</v>
      </c>
    </row>
    <row r="3318" spans="1:9" x14ac:dyDescent="0.2">
      <c r="A3318" s="1" t="str">
        <f>"CEP170"</f>
        <v>CEP170</v>
      </c>
      <c r="B3318" t="s">
        <v>14</v>
      </c>
      <c r="C3318" t="s">
        <v>19</v>
      </c>
      <c r="D3318" t="s">
        <v>11</v>
      </c>
      <c r="E3318" t="s">
        <v>12</v>
      </c>
      <c r="F3318">
        <v>243418472</v>
      </c>
      <c r="G3318">
        <v>243418591</v>
      </c>
      <c r="H3318">
        <v>243418359</v>
      </c>
      <c r="I3318">
        <v>243418382</v>
      </c>
    </row>
    <row r="3319" spans="1:9" x14ac:dyDescent="0.2">
      <c r="A3319" s="1" t="str">
        <f>"CEP170B"</f>
        <v>CEP170B</v>
      </c>
      <c r="B3319" t="s">
        <v>14</v>
      </c>
      <c r="C3319" t="s">
        <v>41</v>
      </c>
      <c r="D3319" t="s">
        <v>17</v>
      </c>
      <c r="E3319" t="s">
        <v>12</v>
      </c>
      <c r="F3319">
        <v>105331596</v>
      </c>
      <c r="G3319">
        <v>105331656</v>
      </c>
      <c r="H3319">
        <v>105331596</v>
      </c>
      <c r="I3319">
        <v>105331656</v>
      </c>
    </row>
    <row r="3320" spans="1:9" x14ac:dyDescent="0.2">
      <c r="A3320" s="1" t="str">
        <f>"CEP19"</f>
        <v>CEP19</v>
      </c>
      <c r="B3320" t="s">
        <v>14</v>
      </c>
      <c r="C3320" t="s">
        <v>22</v>
      </c>
      <c r="D3320" t="s">
        <v>11</v>
      </c>
      <c r="E3320" t="s">
        <v>12</v>
      </c>
      <c r="F3320">
        <v>196439065</v>
      </c>
      <c r="G3320">
        <v>196439167</v>
      </c>
      <c r="H3320">
        <v>196439065</v>
      </c>
      <c r="I3320">
        <v>196439167</v>
      </c>
    </row>
    <row r="3321" spans="1:9" x14ac:dyDescent="0.2">
      <c r="A3321" s="1" t="str">
        <f>"CEP192"</f>
        <v>CEP192</v>
      </c>
      <c r="B3321" t="s">
        <v>14</v>
      </c>
      <c r="C3321" t="s">
        <v>43</v>
      </c>
      <c r="D3321" t="s">
        <v>17</v>
      </c>
      <c r="E3321" t="s">
        <v>12</v>
      </c>
      <c r="F3321">
        <v>12991339</v>
      </c>
      <c r="G3321">
        <v>12991393</v>
      </c>
      <c r="H3321">
        <v>12991396</v>
      </c>
      <c r="I3321">
        <v>12991420</v>
      </c>
    </row>
    <row r="3322" spans="1:9" x14ac:dyDescent="0.2">
      <c r="A3322" s="1" t="str">
        <f>"CEP250"</f>
        <v>CEP250</v>
      </c>
      <c r="B3322" t="s">
        <v>14</v>
      </c>
      <c r="C3322" t="s">
        <v>29</v>
      </c>
      <c r="D3322" t="s">
        <v>17</v>
      </c>
      <c r="E3322" t="s">
        <v>12</v>
      </c>
      <c r="F3322">
        <v>34042962</v>
      </c>
      <c r="G3322">
        <v>34043028</v>
      </c>
      <c r="H3322">
        <v>34043085</v>
      </c>
      <c r="I3322">
        <v>34043137</v>
      </c>
    </row>
    <row r="3323" spans="1:9" x14ac:dyDescent="0.2">
      <c r="A3323" s="1" t="str">
        <f>"CEP290"</f>
        <v>CEP290</v>
      </c>
      <c r="B3323" t="s">
        <v>14</v>
      </c>
      <c r="C3323" t="s">
        <v>16</v>
      </c>
      <c r="D3323" t="s">
        <v>11</v>
      </c>
      <c r="E3323" t="s">
        <v>12</v>
      </c>
      <c r="F3323">
        <v>88535842</v>
      </c>
      <c r="G3323">
        <v>88535876</v>
      </c>
      <c r="H3323">
        <v>88535830</v>
      </c>
      <c r="I3323">
        <v>88535841</v>
      </c>
    </row>
    <row r="3324" spans="1:9" x14ac:dyDescent="0.2">
      <c r="A3324" s="1" t="str">
        <f>"CEP350"</f>
        <v>CEP350</v>
      </c>
      <c r="B3324" t="s">
        <v>14</v>
      </c>
      <c r="C3324" t="s">
        <v>19</v>
      </c>
      <c r="D3324" t="s">
        <v>17</v>
      </c>
      <c r="E3324" t="s">
        <v>12</v>
      </c>
      <c r="F3324">
        <v>179923875</v>
      </c>
      <c r="G3324">
        <v>179923954</v>
      </c>
      <c r="H3324">
        <v>179923716</v>
      </c>
      <c r="I3324">
        <v>179923724</v>
      </c>
    </row>
    <row r="3325" spans="1:9" x14ac:dyDescent="0.2">
      <c r="A3325" s="1" t="str">
        <f>"CEP41"</f>
        <v>CEP41</v>
      </c>
      <c r="B3325" t="s">
        <v>14</v>
      </c>
      <c r="C3325" t="s">
        <v>33</v>
      </c>
      <c r="D3325" t="s">
        <v>11</v>
      </c>
      <c r="E3325" t="s">
        <v>12</v>
      </c>
      <c r="F3325">
        <v>130080818</v>
      </c>
      <c r="G3325">
        <v>130080908</v>
      </c>
      <c r="H3325">
        <v>130081072</v>
      </c>
      <c r="I3325">
        <v>130081100</v>
      </c>
    </row>
    <row r="3326" spans="1:9" x14ac:dyDescent="0.2">
      <c r="A3326" s="1" t="str">
        <f>"CEP44"</f>
        <v>CEP44</v>
      </c>
      <c r="B3326" t="s">
        <v>14</v>
      </c>
      <c r="C3326" t="s">
        <v>23</v>
      </c>
      <c r="D3326" t="s">
        <v>17</v>
      </c>
      <c r="E3326" t="s">
        <v>12</v>
      </c>
      <c r="F3326">
        <v>175205038</v>
      </c>
      <c r="G3326">
        <v>175205094</v>
      </c>
      <c r="H3326">
        <v>175204865</v>
      </c>
      <c r="I3326">
        <v>175204915</v>
      </c>
    </row>
    <row r="3327" spans="1:9" x14ac:dyDescent="0.2">
      <c r="A3327" s="1" t="str">
        <f>"CEP55"</f>
        <v>CEP55</v>
      </c>
      <c r="B3327" t="s">
        <v>14</v>
      </c>
      <c r="C3327" t="s">
        <v>15</v>
      </c>
      <c r="D3327" t="s">
        <v>17</v>
      </c>
      <c r="E3327" t="s">
        <v>12</v>
      </c>
      <c r="F3327">
        <v>95256356</v>
      </c>
      <c r="G3327">
        <v>95256408</v>
      </c>
      <c r="H3327">
        <v>95256421</v>
      </c>
      <c r="I3327">
        <v>95256437</v>
      </c>
    </row>
    <row r="3328" spans="1:9" x14ac:dyDescent="0.2">
      <c r="A3328" s="1" t="str">
        <f>"CEP57"</f>
        <v>CEP57</v>
      </c>
      <c r="B3328" t="s">
        <v>14</v>
      </c>
      <c r="C3328" t="s">
        <v>27</v>
      </c>
      <c r="D3328" t="s">
        <v>17</v>
      </c>
      <c r="E3328" t="s">
        <v>12</v>
      </c>
      <c r="F3328">
        <v>95523621</v>
      </c>
      <c r="G3328">
        <v>95523710</v>
      </c>
      <c r="H3328">
        <v>95523735</v>
      </c>
      <c r="I3328">
        <v>95523755</v>
      </c>
    </row>
    <row r="3329" spans="1:9" x14ac:dyDescent="0.2">
      <c r="A3329" s="1" t="str">
        <f>"CEP57L1"</f>
        <v>CEP57L1</v>
      </c>
      <c r="B3329" t="s">
        <v>14</v>
      </c>
      <c r="C3329" t="s">
        <v>32</v>
      </c>
      <c r="D3329" t="s">
        <v>17</v>
      </c>
      <c r="E3329" t="s">
        <v>12</v>
      </c>
      <c r="F3329">
        <v>109416687</v>
      </c>
      <c r="G3329">
        <v>109416722</v>
      </c>
      <c r="H3329">
        <v>109416341</v>
      </c>
      <c r="I3329">
        <v>109416393</v>
      </c>
    </row>
    <row r="3330" spans="1:9" x14ac:dyDescent="0.2">
      <c r="A3330" s="1" t="str">
        <f>"CEP63"</f>
        <v>CEP63</v>
      </c>
      <c r="B3330" t="s">
        <v>14</v>
      </c>
      <c r="C3330" t="s">
        <v>22</v>
      </c>
      <c r="D3330" t="s">
        <v>17</v>
      </c>
      <c r="E3330" t="s">
        <v>12</v>
      </c>
      <c r="F3330">
        <v>134204551</v>
      </c>
      <c r="G3330">
        <v>134204608</v>
      </c>
      <c r="H3330">
        <v>134205000</v>
      </c>
      <c r="I3330">
        <v>134205098</v>
      </c>
    </row>
    <row r="3331" spans="1:9" x14ac:dyDescent="0.2">
      <c r="A3331" s="1" t="str">
        <f>"CEP68"</f>
        <v>CEP68</v>
      </c>
      <c r="B3331" t="s">
        <v>14</v>
      </c>
      <c r="C3331" t="s">
        <v>26</v>
      </c>
      <c r="D3331" t="s">
        <v>17</v>
      </c>
      <c r="E3331" t="s">
        <v>12</v>
      </c>
      <c r="F3331">
        <v>65283529</v>
      </c>
      <c r="G3331">
        <v>65283591</v>
      </c>
      <c r="H3331">
        <v>65283517</v>
      </c>
      <c r="I3331">
        <v>65283527</v>
      </c>
    </row>
    <row r="3332" spans="1:9" x14ac:dyDescent="0.2">
      <c r="A3332" s="1" t="str">
        <f>"CEP70"</f>
        <v>CEP70</v>
      </c>
      <c r="B3332" t="s">
        <v>14</v>
      </c>
      <c r="C3332" t="s">
        <v>22</v>
      </c>
      <c r="D3332" t="s">
        <v>11</v>
      </c>
      <c r="E3332" t="s">
        <v>12</v>
      </c>
      <c r="F3332">
        <v>138313057</v>
      </c>
      <c r="G3332">
        <v>138313132</v>
      </c>
      <c r="H3332">
        <v>138313181</v>
      </c>
      <c r="I3332">
        <v>138313193</v>
      </c>
    </row>
    <row r="3333" spans="1:9" x14ac:dyDescent="0.2">
      <c r="A3333" s="1" t="str">
        <f>"CEP72"</f>
        <v>CEP72</v>
      </c>
      <c r="B3333" t="s">
        <v>14</v>
      </c>
      <c r="C3333" t="s">
        <v>46</v>
      </c>
      <c r="D3333" t="s">
        <v>17</v>
      </c>
      <c r="E3333" t="s">
        <v>12</v>
      </c>
      <c r="F3333">
        <v>612440</v>
      </c>
      <c r="G3333">
        <v>612480</v>
      </c>
      <c r="H3333">
        <v>612413</v>
      </c>
      <c r="I3333">
        <v>612424</v>
      </c>
    </row>
    <row r="3334" spans="1:9" x14ac:dyDescent="0.2">
      <c r="A3334" s="1" t="str">
        <f>"CEP76"</f>
        <v>CEP76</v>
      </c>
      <c r="B3334" t="s">
        <v>14</v>
      </c>
      <c r="C3334" t="s">
        <v>43</v>
      </c>
      <c r="D3334" t="s">
        <v>11</v>
      </c>
      <c r="E3334" t="s">
        <v>12</v>
      </c>
      <c r="F3334">
        <v>12702657</v>
      </c>
      <c r="G3334">
        <v>12702707</v>
      </c>
      <c r="H3334">
        <v>12702711</v>
      </c>
      <c r="I3334">
        <v>12702733</v>
      </c>
    </row>
    <row r="3335" spans="1:9" x14ac:dyDescent="0.2">
      <c r="A3335" s="1" t="str">
        <f>"CEP78"</f>
        <v>CEP78</v>
      </c>
      <c r="B3335" t="s">
        <v>14</v>
      </c>
      <c r="C3335" t="s">
        <v>24</v>
      </c>
      <c r="D3335" t="s">
        <v>17</v>
      </c>
      <c r="E3335" t="s">
        <v>12</v>
      </c>
      <c r="F3335">
        <v>80850952</v>
      </c>
      <c r="G3335">
        <v>80851042</v>
      </c>
      <c r="H3335">
        <v>80851044</v>
      </c>
      <c r="I3335">
        <v>80851051</v>
      </c>
    </row>
    <row r="3336" spans="1:9" x14ac:dyDescent="0.2">
      <c r="A3336" s="1" t="str">
        <f>"CEP85"</f>
        <v>CEP85</v>
      </c>
      <c r="B3336" t="s">
        <v>14</v>
      </c>
      <c r="C3336" t="s">
        <v>19</v>
      </c>
      <c r="D3336" t="s">
        <v>17</v>
      </c>
      <c r="E3336" t="s">
        <v>12</v>
      </c>
      <c r="F3336">
        <v>26560676</v>
      </c>
      <c r="G3336">
        <v>26560725</v>
      </c>
      <c r="H3336">
        <v>26560649</v>
      </c>
      <c r="I3336">
        <v>26560675</v>
      </c>
    </row>
    <row r="3337" spans="1:9" x14ac:dyDescent="0.2">
      <c r="A3337" s="1" t="str">
        <f>"CEP85L"</f>
        <v>CEP85L</v>
      </c>
      <c r="B3337" t="s">
        <v>14</v>
      </c>
      <c r="C3337" t="s">
        <v>32</v>
      </c>
      <c r="D3337" t="s">
        <v>11</v>
      </c>
      <c r="E3337" t="s">
        <v>12</v>
      </c>
      <c r="F3337">
        <v>118972685</v>
      </c>
      <c r="G3337">
        <v>118972768</v>
      </c>
      <c r="H3337">
        <v>118972685</v>
      </c>
      <c r="I3337">
        <v>118972768</v>
      </c>
    </row>
    <row r="3338" spans="1:9" x14ac:dyDescent="0.2">
      <c r="A3338" s="1" t="str">
        <f>"CEP89"</f>
        <v>CEP89</v>
      </c>
      <c r="B3338" t="s">
        <v>14</v>
      </c>
      <c r="C3338" t="s">
        <v>10</v>
      </c>
      <c r="D3338" t="s">
        <v>11</v>
      </c>
      <c r="E3338" t="s">
        <v>12</v>
      </c>
      <c r="F3338">
        <v>33462816</v>
      </c>
      <c r="G3338">
        <v>33462897</v>
      </c>
      <c r="H3338">
        <v>33462794</v>
      </c>
      <c r="I3338">
        <v>33462807</v>
      </c>
    </row>
    <row r="3339" spans="1:9" x14ac:dyDescent="0.2">
      <c r="A3339" s="1" t="str">
        <f>"CEP95"</f>
        <v>CEP95</v>
      </c>
      <c r="B3339" t="s">
        <v>14</v>
      </c>
      <c r="C3339" t="s">
        <v>28</v>
      </c>
      <c r="D3339" t="s">
        <v>17</v>
      </c>
      <c r="E3339" t="s">
        <v>12</v>
      </c>
      <c r="F3339">
        <v>62503073</v>
      </c>
      <c r="G3339">
        <v>62503143</v>
      </c>
      <c r="H3339">
        <v>62502860</v>
      </c>
      <c r="I3339">
        <v>62502933</v>
      </c>
    </row>
    <row r="3340" spans="1:9" x14ac:dyDescent="0.2">
      <c r="A3340" s="1" t="str">
        <f>"CEP97"</f>
        <v>CEP97</v>
      </c>
      <c r="B3340" t="s">
        <v>14</v>
      </c>
      <c r="C3340" t="s">
        <v>22</v>
      </c>
      <c r="D3340" t="s">
        <v>17</v>
      </c>
      <c r="E3340" t="s">
        <v>12</v>
      </c>
      <c r="F3340">
        <v>101443446</v>
      </c>
      <c r="G3340">
        <v>101443471</v>
      </c>
      <c r="H3340">
        <v>101443476</v>
      </c>
      <c r="I3340">
        <v>101443515</v>
      </c>
    </row>
    <row r="3341" spans="1:9" x14ac:dyDescent="0.2">
      <c r="A3341" s="1" t="str">
        <f>"CEPT1"</f>
        <v>CEPT1</v>
      </c>
      <c r="B3341" t="s">
        <v>14</v>
      </c>
      <c r="C3341" t="s">
        <v>19</v>
      </c>
      <c r="D3341" t="s">
        <v>17</v>
      </c>
      <c r="E3341" t="s">
        <v>12</v>
      </c>
      <c r="F3341">
        <v>111682827</v>
      </c>
      <c r="G3341">
        <v>111682882</v>
      </c>
      <c r="H3341">
        <v>111682058</v>
      </c>
      <c r="I3341">
        <v>111682130</v>
      </c>
    </row>
    <row r="3342" spans="1:9" x14ac:dyDescent="0.2">
      <c r="A3342" s="1" t="str">
        <f>"CER1"</f>
        <v>CER1</v>
      </c>
      <c r="B3342" t="s">
        <v>14</v>
      </c>
      <c r="C3342" t="s">
        <v>24</v>
      </c>
      <c r="D3342" t="s">
        <v>11</v>
      </c>
      <c r="E3342" t="s">
        <v>12</v>
      </c>
      <c r="F3342">
        <v>14722725</v>
      </c>
      <c r="G3342">
        <v>14722738</v>
      </c>
      <c r="H3342">
        <v>14722694</v>
      </c>
      <c r="I3342">
        <v>14722700</v>
      </c>
    </row>
    <row r="3343" spans="1:9" x14ac:dyDescent="0.2">
      <c r="A3343" s="1" t="str">
        <f>"CERCAM"</f>
        <v>CERCAM</v>
      </c>
      <c r="B3343" t="s">
        <v>14</v>
      </c>
      <c r="C3343" t="s">
        <v>24</v>
      </c>
      <c r="D3343" t="s">
        <v>17</v>
      </c>
      <c r="E3343" t="s">
        <v>12</v>
      </c>
      <c r="F3343">
        <v>131183111</v>
      </c>
      <c r="G3343">
        <v>131183155</v>
      </c>
      <c r="H3343">
        <v>131183111</v>
      </c>
      <c r="I3343">
        <v>131183155</v>
      </c>
    </row>
    <row r="3344" spans="1:9" x14ac:dyDescent="0.2">
      <c r="A3344" s="1" t="str">
        <f>"CERK"</f>
        <v>CERK</v>
      </c>
      <c r="B3344" t="s">
        <v>14</v>
      </c>
      <c r="C3344" t="s">
        <v>21</v>
      </c>
      <c r="D3344" t="s">
        <v>11</v>
      </c>
      <c r="E3344" t="s">
        <v>12</v>
      </c>
      <c r="F3344">
        <v>47134077</v>
      </c>
      <c r="G3344">
        <v>47134216</v>
      </c>
      <c r="H3344">
        <v>47134077</v>
      </c>
      <c r="I3344">
        <v>47134216</v>
      </c>
    </row>
    <row r="3345" spans="1:9" x14ac:dyDescent="0.2">
      <c r="A3345" s="1" t="str">
        <f>"CERKL"</f>
        <v>CERKL</v>
      </c>
      <c r="B3345" t="s">
        <v>9</v>
      </c>
      <c r="C3345" t="s">
        <v>26</v>
      </c>
      <c r="D3345" t="s">
        <v>11</v>
      </c>
      <c r="E3345" t="s">
        <v>12</v>
      </c>
      <c r="F3345">
        <v>182521823</v>
      </c>
      <c r="G3345">
        <v>182521853</v>
      </c>
      <c r="H3345">
        <v>182521823</v>
      </c>
      <c r="I3345">
        <v>182521853</v>
      </c>
    </row>
    <row r="3346" spans="1:9" x14ac:dyDescent="0.2">
      <c r="A3346" s="1" t="str">
        <f>"CERKL"</f>
        <v>CERKL</v>
      </c>
      <c r="B3346" t="s">
        <v>13</v>
      </c>
      <c r="C3346" t="s">
        <v>26</v>
      </c>
      <c r="D3346" t="s">
        <v>11</v>
      </c>
      <c r="E3346" t="s">
        <v>12</v>
      </c>
      <c r="F3346">
        <v>182545330</v>
      </c>
      <c r="G3346">
        <v>182545341</v>
      </c>
      <c r="H3346">
        <v>182545330</v>
      </c>
      <c r="I3346">
        <v>182545341</v>
      </c>
    </row>
    <row r="3347" spans="1:9" x14ac:dyDescent="0.2">
      <c r="A3347" s="1" t="str">
        <f>"CERS1"</f>
        <v>CERS1</v>
      </c>
      <c r="B3347" t="s">
        <v>14</v>
      </c>
      <c r="C3347" t="s">
        <v>10</v>
      </c>
      <c r="D3347" t="s">
        <v>11</v>
      </c>
      <c r="E3347" t="s">
        <v>12</v>
      </c>
      <c r="F3347">
        <v>19006920</v>
      </c>
      <c r="G3347">
        <v>19006972</v>
      </c>
      <c r="H3347">
        <v>19006890</v>
      </c>
      <c r="I3347">
        <v>19006919</v>
      </c>
    </row>
    <row r="3348" spans="1:9" x14ac:dyDescent="0.2">
      <c r="A3348" s="1" t="str">
        <f>"CERS2"</f>
        <v>CERS2</v>
      </c>
      <c r="B3348" t="s">
        <v>14</v>
      </c>
      <c r="C3348" t="s">
        <v>19</v>
      </c>
      <c r="D3348" t="s">
        <v>11</v>
      </c>
      <c r="E3348" t="s">
        <v>12</v>
      </c>
      <c r="F3348">
        <v>150947131</v>
      </c>
      <c r="G3348">
        <v>150947191</v>
      </c>
      <c r="H3348">
        <v>150947299</v>
      </c>
      <c r="I3348">
        <v>150947328</v>
      </c>
    </row>
    <row r="3349" spans="1:9" x14ac:dyDescent="0.2">
      <c r="A3349" s="1" t="str">
        <f>"CERS3"</f>
        <v>CERS3</v>
      </c>
      <c r="B3349" t="s">
        <v>14</v>
      </c>
      <c r="C3349" t="s">
        <v>25</v>
      </c>
      <c r="D3349" t="s">
        <v>11</v>
      </c>
      <c r="E3349" t="s">
        <v>12</v>
      </c>
      <c r="F3349">
        <v>101069113</v>
      </c>
      <c r="G3349">
        <v>101069169</v>
      </c>
      <c r="H3349">
        <v>101069113</v>
      </c>
      <c r="I3349">
        <v>101069169</v>
      </c>
    </row>
    <row r="3350" spans="1:9" x14ac:dyDescent="0.2">
      <c r="A3350" s="1" t="str">
        <f>"CERS4"</f>
        <v>CERS4</v>
      </c>
      <c r="B3350" t="s">
        <v>14</v>
      </c>
      <c r="C3350" t="s">
        <v>10</v>
      </c>
      <c r="D3350" t="s">
        <v>17</v>
      </c>
      <c r="E3350" t="s">
        <v>12</v>
      </c>
      <c r="F3350">
        <v>8274204</v>
      </c>
      <c r="G3350">
        <v>8274265</v>
      </c>
      <c r="H3350">
        <v>8274185</v>
      </c>
      <c r="I3350">
        <v>8274193</v>
      </c>
    </row>
    <row r="3351" spans="1:9" x14ac:dyDescent="0.2">
      <c r="A3351" s="1" t="str">
        <f>"CERS5"</f>
        <v>CERS5</v>
      </c>
      <c r="B3351" t="s">
        <v>14</v>
      </c>
      <c r="C3351" t="s">
        <v>16</v>
      </c>
      <c r="D3351" t="s">
        <v>11</v>
      </c>
      <c r="E3351" t="s">
        <v>12</v>
      </c>
      <c r="F3351">
        <v>50561075</v>
      </c>
      <c r="G3351">
        <v>50561180</v>
      </c>
      <c r="H3351">
        <v>50561282</v>
      </c>
      <c r="I3351">
        <v>50561310</v>
      </c>
    </row>
    <row r="3352" spans="1:9" x14ac:dyDescent="0.2">
      <c r="A3352" s="1" t="str">
        <f>"CERS6"</f>
        <v>CERS6</v>
      </c>
      <c r="B3352" t="s">
        <v>14</v>
      </c>
      <c r="C3352" t="s">
        <v>26</v>
      </c>
      <c r="D3352" t="s">
        <v>17</v>
      </c>
      <c r="E3352" t="s">
        <v>12</v>
      </c>
      <c r="F3352">
        <v>169312725</v>
      </c>
      <c r="G3352">
        <v>169312810</v>
      </c>
      <c r="H3352">
        <v>169312600</v>
      </c>
      <c r="I3352">
        <v>169312606</v>
      </c>
    </row>
    <row r="3353" spans="1:9" x14ac:dyDescent="0.2">
      <c r="A3353" s="1" t="str">
        <f>"CES1"</f>
        <v>CES1</v>
      </c>
      <c r="B3353" t="s">
        <v>14</v>
      </c>
      <c r="C3353" t="s">
        <v>31</v>
      </c>
      <c r="D3353" t="s">
        <v>11</v>
      </c>
      <c r="E3353" t="s">
        <v>12</v>
      </c>
      <c r="F3353">
        <v>55866997</v>
      </c>
      <c r="G3353">
        <v>55867041</v>
      </c>
      <c r="H3353">
        <v>55866982</v>
      </c>
      <c r="I3353">
        <v>55866993</v>
      </c>
    </row>
    <row r="3354" spans="1:9" x14ac:dyDescent="0.2">
      <c r="A3354" s="1" t="str">
        <f>"CES2"</f>
        <v>CES2</v>
      </c>
      <c r="B3354" t="s">
        <v>9</v>
      </c>
      <c r="C3354" t="s">
        <v>31</v>
      </c>
      <c r="D3354" t="s">
        <v>17</v>
      </c>
      <c r="E3354" t="s">
        <v>12</v>
      </c>
      <c r="F3354">
        <v>66968343</v>
      </c>
      <c r="G3354">
        <v>66968402</v>
      </c>
      <c r="H3354">
        <v>66968343</v>
      </c>
      <c r="I3354">
        <v>66968402</v>
      </c>
    </row>
    <row r="3355" spans="1:9" x14ac:dyDescent="0.2">
      <c r="A3355" s="1" t="str">
        <f>"CES2"</f>
        <v>CES2</v>
      </c>
      <c r="B3355" t="s">
        <v>13</v>
      </c>
      <c r="C3355" t="s">
        <v>31</v>
      </c>
      <c r="D3355" t="s">
        <v>17</v>
      </c>
      <c r="E3355" t="s">
        <v>12</v>
      </c>
      <c r="F3355">
        <v>66969445</v>
      </c>
      <c r="G3355">
        <v>66969500</v>
      </c>
      <c r="H3355">
        <v>66969445</v>
      </c>
      <c r="I3355">
        <v>66969500</v>
      </c>
    </row>
    <row r="3356" spans="1:9" x14ac:dyDescent="0.2">
      <c r="A3356" s="1" t="str">
        <f>"CES3"</f>
        <v>CES3</v>
      </c>
      <c r="B3356" t="s">
        <v>14</v>
      </c>
      <c r="C3356" t="s">
        <v>31</v>
      </c>
      <c r="D3356" t="s">
        <v>17</v>
      </c>
      <c r="E3356" t="s">
        <v>12</v>
      </c>
      <c r="F3356">
        <v>66995144</v>
      </c>
      <c r="G3356">
        <v>66995184</v>
      </c>
      <c r="H3356">
        <v>66995121</v>
      </c>
      <c r="I3356">
        <v>66995142</v>
      </c>
    </row>
    <row r="3357" spans="1:9" x14ac:dyDescent="0.2">
      <c r="A3357" s="1" t="str">
        <f>"CES4A"</f>
        <v>CES4A</v>
      </c>
      <c r="B3357" t="s">
        <v>14</v>
      </c>
      <c r="C3357" t="s">
        <v>31</v>
      </c>
      <c r="D3357" t="s">
        <v>17</v>
      </c>
      <c r="E3357" t="s">
        <v>12</v>
      </c>
      <c r="F3357">
        <v>67034418</v>
      </c>
      <c r="G3357">
        <v>67034447</v>
      </c>
      <c r="H3357">
        <v>67034466</v>
      </c>
      <c r="I3357">
        <v>67034483</v>
      </c>
    </row>
    <row r="3358" spans="1:9" x14ac:dyDescent="0.2">
      <c r="A3358" s="1" t="str">
        <f>"CES5A"</f>
        <v>CES5A</v>
      </c>
      <c r="B3358" t="s">
        <v>14</v>
      </c>
      <c r="C3358" t="s">
        <v>31</v>
      </c>
      <c r="D3358" t="s">
        <v>11</v>
      </c>
      <c r="E3358" t="s">
        <v>12</v>
      </c>
      <c r="F3358">
        <v>55909272</v>
      </c>
      <c r="G3358">
        <v>55909287</v>
      </c>
      <c r="H3358">
        <v>55909231</v>
      </c>
      <c r="I3358">
        <v>55909242</v>
      </c>
    </row>
    <row r="3359" spans="1:9" x14ac:dyDescent="0.2">
      <c r="A3359" s="1" t="str">
        <f>"CETN1"</f>
        <v>CETN1</v>
      </c>
      <c r="B3359" t="s">
        <v>14</v>
      </c>
      <c r="C3359" t="s">
        <v>43</v>
      </c>
      <c r="D3359" t="s">
        <v>17</v>
      </c>
      <c r="E3359" t="s">
        <v>12</v>
      </c>
      <c r="F3359">
        <v>580370</v>
      </c>
      <c r="G3359">
        <v>580403</v>
      </c>
      <c r="H3359">
        <v>580356</v>
      </c>
      <c r="I3359">
        <v>580363</v>
      </c>
    </row>
    <row r="3360" spans="1:9" x14ac:dyDescent="0.2">
      <c r="A3360" s="1" t="str">
        <f>"CETN2"</f>
        <v>CETN2</v>
      </c>
      <c r="B3360" t="s">
        <v>9</v>
      </c>
      <c r="C3360" t="s">
        <v>37</v>
      </c>
      <c r="D3360" t="s">
        <v>11</v>
      </c>
      <c r="E3360" t="s">
        <v>12</v>
      </c>
      <c r="F3360">
        <v>151999269</v>
      </c>
      <c r="G3360">
        <v>151999308</v>
      </c>
      <c r="H3360">
        <v>151999269</v>
      </c>
      <c r="I3360">
        <v>151999308</v>
      </c>
    </row>
    <row r="3361" spans="1:9" x14ac:dyDescent="0.2">
      <c r="A3361" s="1" t="str">
        <f>"CETN2"</f>
        <v>CETN2</v>
      </c>
      <c r="B3361" t="s">
        <v>13</v>
      </c>
      <c r="C3361" t="s">
        <v>37</v>
      </c>
      <c r="D3361" t="s">
        <v>11</v>
      </c>
      <c r="E3361" t="s">
        <v>12</v>
      </c>
      <c r="F3361">
        <v>151998189</v>
      </c>
      <c r="G3361">
        <v>151998200</v>
      </c>
      <c r="H3361">
        <v>151998189</v>
      </c>
      <c r="I3361">
        <v>151998200</v>
      </c>
    </row>
    <row r="3362" spans="1:9" x14ac:dyDescent="0.2">
      <c r="A3362" s="1" t="str">
        <f>"CETN3"</f>
        <v>CETN3</v>
      </c>
      <c r="B3362" t="s">
        <v>14</v>
      </c>
      <c r="C3362" t="s">
        <v>46</v>
      </c>
      <c r="D3362" t="s">
        <v>11</v>
      </c>
      <c r="E3362" t="s">
        <v>12</v>
      </c>
      <c r="F3362">
        <v>89705537</v>
      </c>
      <c r="G3362">
        <v>89705610</v>
      </c>
      <c r="H3362">
        <v>89705520</v>
      </c>
      <c r="I3362">
        <v>89705521</v>
      </c>
    </row>
    <row r="3363" spans="1:9" x14ac:dyDescent="0.2">
      <c r="A3363" s="1" t="str">
        <f>"CETP"</f>
        <v>CETP</v>
      </c>
      <c r="B3363" t="s">
        <v>14</v>
      </c>
      <c r="C3363" t="s">
        <v>31</v>
      </c>
      <c r="D3363" t="s">
        <v>17</v>
      </c>
      <c r="E3363" t="s">
        <v>12</v>
      </c>
      <c r="F3363">
        <v>56995854</v>
      </c>
      <c r="G3363">
        <v>56995876</v>
      </c>
      <c r="H3363">
        <v>56995833</v>
      </c>
      <c r="I3363">
        <v>56995836</v>
      </c>
    </row>
    <row r="3364" spans="1:9" x14ac:dyDescent="0.2">
      <c r="A3364" s="1" t="str">
        <f>"CFB"</f>
        <v>CFB</v>
      </c>
      <c r="B3364" t="s">
        <v>14</v>
      </c>
      <c r="C3364" t="s">
        <v>32</v>
      </c>
      <c r="D3364" t="s">
        <v>17</v>
      </c>
      <c r="E3364" t="s">
        <v>12</v>
      </c>
      <c r="F3364">
        <v>31913863</v>
      </c>
      <c r="G3364">
        <v>31913882</v>
      </c>
      <c r="H3364">
        <v>31913895</v>
      </c>
      <c r="I3364">
        <v>31913909</v>
      </c>
    </row>
    <row r="3365" spans="1:9" x14ac:dyDescent="0.2">
      <c r="A3365" s="1" t="str">
        <f>"CFC1"</f>
        <v>CFC1</v>
      </c>
      <c r="B3365" t="s">
        <v>227</v>
      </c>
      <c r="C3365" t="s">
        <v>26</v>
      </c>
      <c r="D3365" t="s">
        <v>11</v>
      </c>
      <c r="E3365" t="s">
        <v>20</v>
      </c>
      <c r="F3365">
        <v>131357122</v>
      </c>
      <c r="G3365">
        <v>131357122</v>
      </c>
      <c r="H3365">
        <v>131357122</v>
      </c>
      <c r="I3365">
        <v>131357122</v>
      </c>
    </row>
    <row r="3366" spans="1:9" x14ac:dyDescent="0.2">
      <c r="A3366" s="1" t="str">
        <f>"CFC1B"</f>
        <v>CFC1B</v>
      </c>
      <c r="B3366" t="s">
        <v>14</v>
      </c>
      <c r="C3366" t="s">
        <v>26</v>
      </c>
      <c r="D3366" t="s">
        <v>17</v>
      </c>
      <c r="E3366" t="s">
        <v>12</v>
      </c>
      <c r="F3366">
        <v>131278794</v>
      </c>
      <c r="G3366">
        <v>131278795</v>
      </c>
      <c r="H3366">
        <v>131278794</v>
      </c>
      <c r="I3366">
        <v>131278795</v>
      </c>
    </row>
    <row r="3367" spans="1:9" x14ac:dyDescent="0.2">
      <c r="A3367" s="1" t="str">
        <f>"CFD"</f>
        <v>CFD</v>
      </c>
      <c r="B3367" t="s">
        <v>14</v>
      </c>
      <c r="C3367" t="s">
        <v>10</v>
      </c>
      <c r="D3367" t="s">
        <v>17</v>
      </c>
      <c r="E3367" t="s">
        <v>12</v>
      </c>
      <c r="F3367">
        <v>859654</v>
      </c>
      <c r="G3367">
        <v>859672</v>
      </c>
      <c r="H3367">
        <v>859654</v>
      </c>
      <c r="I3367">
        <v>859672</v>
      </c>
    </row>
    <row r="3368" spans="1:9" x14ac:dyDescent="0.2">
      <c r="A3368" s="1" t="str">
        <f>"CFDP1"</f>
        <v>CFDP1</v>
      </c>
      <c r="B3368" t="s">
        <v>9</v>
      </c>
      <c r="C3368" t="s">
        <v>31</v>
      </c>
      <c r="D3368" t="s">
        <v>11</v>
      </c>
      <c r="E3368" t="s">
        <v>12</v>
      </c>
      <c r="F3368">
        <v>75467318</v>
      </c>
      <c r="G3368">
        <v>75467408</v>
      </c>
      <c r="H3368">
        <v>75467318</v>
      </c>
      <c r="I3368">
        <v>75467408</v>
      </c>
    </row>
    <row r="3369" spans="1:9" x14ac:dyDescent="0.2">
      <c r="A3369" s="1" t="str">
        <f>"CFDP1"</f>
        <v>CFDP1</v>
      </c>
      <c r="B3369" t="s">
        <v>13</v>
      </c>
      <c r="C3369" t="s">
        <v>31</v>
      </c>
      <c r="D3369" t="s">
        <v>11</v>
      </c>
      <c r="E3369" t="s">
        <v>12</v>
      </c>
      <c r="F3369">
        <v>75448582</v>
      </c>
      <c r="G3369">
        <v>75448597</v>
      </c>
      <c r="H3369">
        <v>75448582</v>
      </c>
      <c r="I3369">
        <v>75448597</v>
      </c>
    </row>
    <row r="3370" spans="1:9" x14ac:dyDescent="0.2">
      <c r="A3370" s="1" t="str">
        <f>"CFH"</f>
        <v>CFH</v>
      </c>
      <c r="B3370" t="s">
        <v>14</v>
      </c>
      <c r="C3370" t="s">
        <v>19</v>
      </c>
      <c r="D3370" t="s">
        <v>17</v>
      </c>
      <c r="E3370" t="s">
        <v>12</v>
      </c>
      <c r="F3370">
        <v>196621156</v>
      </c>
      <c r="G3370">
        <v>196621192</v>
      </c>
      <c r="H3370">
        <v>196621002</v>
      </c>
      <c r="I3370">
        <v>196621021</v>
      </c>
    </row>
    <row r="3371" spans="1:9" x14ac:dyDescent="0.2">
      <c r="A3371" s="1" t="str">
        <f>"CFHR1"</f>
        <v>CFHR1</v>
      </c>
      <c r="B3371" t="s">
        <v>14</v>
      </c>
      <c r="C3371" t="s">
        <v>19</v>
      </c>
      <c r="D3371" t="s">
        <v>17</v>
      </c>
      <c r="E3371" t="s">
        <v>12</v>
      </c>
      <c r="F3371">
        <v>196794602</v>
      </c>
      <c r="G3371">
        <v>196794603</v>
      </c>
      <c r="H3371">
        <v>196794602</v>
      </c>
      <c r="I3371">
        <v>196794603</v>
      </c>
    </row>
    <row r="3372" spans="1:9" x14ac:dyDescent="0.2">
      <c r="A3372" s="1" t="str">
        <f>"CFHR2"</f>
        <v>CFHR2</v>
      </c>
      <c r="B3372" t="s">
        <v>228</v>
      </c>
      <c r="C3372" t="s">
        <v>19</v>
      </c>
      <c r="D3372" t="s">
        <v>17</v>
      </c>
      <c r="E3372" t="s">
        <v>20</v>
      </c>
      <c r="F3372">
        <v>196912910</v>
      </c>
      <c r="G3372">
        <v>196912910</v>
      </c>
      <c r="H3372">
        <v>196912910</v>
      </c>
      <c r="I3372">
        <v>196912910</v>
      </c>
    </row>
    <row r="3373" spans="1:9" x14ac:dyDescent="0.2">
      <c r="A3373" s="1" t="str">
        <f>"CFHR2"</f>
        <v>CFHR2</v>
      </c>
      <c r="B3373" t="s">
        <v>229</v>
      </c>
      <c r="C3373" t="s">
        <v>19</v>
      </c>
      <c r="D3373" t="s">
        <v>17</v>
      </c>
      <c r="E3373" t="s">
        <v>20</v>
      </c>
      <c r="F3373">
        <v>196788897</v>
      </c>
      <c r="G3373">
        <v>196788897</v>
      </c>
      <c r="H3373">
        <v>196788897</v>
      </c>
      <c r="I3373">
        <v>196788897</v>
      </c>
    </row>
    <row r="3374" spans="1:9" x14ac:dyDescent="0.2">
      <c r="A3374" s="1" t="str">
        <f>"CFHR3"</f>
        <v>CFHR3</v>
      </c>
      <c r="B3374" t="s">
        <v>14</v>
      </c>
      <c r="C3374" t="s">
        <v>19</v>
      </c>
      <c r="D3374" t="s">
        <v>17</v>
      </c>
      <c r="E3374" t="s">
        <v>12</v>
      </c>
      <c r="F3374">
        <v>196743963</v>
      </c>
      <c r="G3374">
        <v>196743993</v>
      </c>
      <c r="H3374">
        <v>196743912</v>
      </c>
      <c r="I3374">
        <v>196743922</v>
      </c>
    </row>
    <row r="3375" spans="1:9" x14ac:dyDescent="0.2">
      <c r="A3375" s="1" t="str">
        <f>"CFHR4"</f>
        <v>CFHR4</v>
      </c>
      <c r="B3375" t="s">
        <v>14</v>
      </c>
      <c r="C3375" t="s">
        <v>19</v>
      </c>
      <c r="D3375" t="s">
        <v>17</v>
      </c>
      <c r="E3375" t="s">
        <v>12</v>
      </c>
      <c r="F3375">
        <v>196857167</v>
      </c>
      <c r="G3375">
        <v>196857188</v>
      </c>
      <c r="H3375">
        <v>196857222</v>
      </c>
      <c r="I3375">
        <v>196857223</v>
      </c>
    </row>
    <row r="3376" spans="1:9" x14ac:dyDescent="0.2">
      <c r="A3376" s="1" t="str">
        <f>"CFHR5"</f>
        <v>CFHR5</v>
      </c>
      <c r="B3376" t="s">
        <v>14</v>
      </c>
      <c r="C3376" t="s">
        <v>19</v>
      </c>
      <c r="D3376" t="s">
        <v>17</v>
      </c>
      <c r="E3376" t="s">
        <v>12</v>
      </c>
      <c r="F3376">
        <v>196946680</v>
      </c>
      <c r="G3376">
        <v>196946705</v>
      </c>
      <c r="H3376">
        <v>196946758</v>
      </c>
      <c r="I3376">
        <v>196946776</v>
      </c>
    </row>
    <row r="3377" spans="1:9" x14ac:dyDescent="0.2">
      <c r="A3377" s="1" t="str">
        <f>"CFI"</f>
        <v>CFI</v>
      </c>
      <c r="B3377" t="s">
        <v>14</v>
      </c>
      <c r="C3377" t="s">
        <v>23</v>
      </c>
      <c r="D3377" t="s">
        <v>11</v>
      </c>
      <c r="E3377" t="s">
        <v>12</v>
      </c>
      <c r="F3377">
        <v>110723142</v>
      </c>
      <c r="G3377">
        <v>110723181</v>
      </c>
      <c r="H3377">
        <v>110723252</v>
      </c>
      <c r="I3377">
        <v>110723291</v>
      </c>
    </row>
    <row r="3378" spans="1:9" x14ac:dyDescent="0.2">
      <c r="A3378" s="1" t="str">
        <f>"CFL1"</f>
        <v>CFL1</v>
      </c>
      <c r="B3378" t="s">
        <v>14</v>
      </c>
      <c r="C3378" t="s">
        <v>27</v>
      </c>
      <c r="D3378" t="s">
        <v>11</v>
      </c>
      <c r="E3378" t="s">
        <v>12</v>
      </c>
      <c r="F3378">
        <v>65625643</v>
      </c>
      <c r="G3378">
        <v>65625659</v>
      </c>
      <c r="H3378">
        <v>65625678</v>
      </c>
      <c r="I3378">
        <v>65625687</v>
      </c>
    </row>
    <row r="3379" spans="1:9" x14ac:dyDescent="0.2">
      <c r="A3379" s="1" t="str">
        <f>"CFL2"</f>
        <v>CFL2</v>
      </c>
      <c r="B3379" t="s">
        <v>14</v>
      </c>
      <c r="C3379" t="s">
        <v>41</v>
      </c>
      <c r="D3379" t="s">
        <v>11</v>
      </c>
      <c r="E3379" t="s">
        <v>12</v>
      </c>
      <c r="F3379">
        <v>35183785</v>
      </c>
      <c r="G3379">
        <v>35183826</v>
      </c>
      <c r="H3379">
        <v>35183837</v>
      </c>
      <c r="I3379">
        <v>35183867</v>
      </c>
    </row>
    <row r="3380" spans="1:9" x14ac:dyDescent="0.2">
      <c r="A3380" s="1" t="str">
        <f>"CFLAR"</f>
        <v>CFLAR</v>
      </c>
      <c r="B3380" t="s">
        <v>9</v>
      </c>
      <c r="C3380" t="s">
        <v>26</v>
      </c>
      <c r="D3380" t="s">
        <v>17</v>
      </c>
      <c r="E3380" t="s">
        <v>12</v>
      </c>
      <c r="F3380">
        <v>201980867</v>
      </c>
      <c r="G3380">
        <v>201980923</v>
      </c>
      <c r="H3380">
        <v>201980867</v>
      </c>
      <c r="I3380">
        <v>201980923</v>
      </c>
    </row>
    <row r="3381" spans="1:9" x14ac:dyDescent="0.2">
      <c r="A3381" s="1" t="str">
        <f>"CFLAR"</f>
        <v>CFLAR</v>
      </c>
      <c r="B3381" t="s">
        <v>13</v>
      </c>
      <c r="C3381" t="s">
        <v>26</v>
      </c>
      <c r="D3381" t="s">
        <v>17</v>
      </c>
      <c r="E3381" t="s">
        <v>12</v>
      </c>
      <c r="F3381">
        <v>201983381</v>
      </c>
      <c r="G3381">
        <v>201983425</v>
      </c>
      <c r="H3381">
        <v>201983381</v>
      </c>
      <c r="I3381">
        <v>201983425</v>
      </c>
    </row>
    <row r="3382" spans="1:9" x14ac:dyDescent="0.2">
      <c r="A3382" s="1" t="str">
        <f>"CFP"</f>
        <v>CFP</v>
      </c>
      <c r="B3382" t="s">
        <v>14</v>
      </c>
      <c r="C3382" t="s">
        <v>37</v>
      </c>
      <c r="D3382" t="s">
        <v>11</v>
      </c>
      <c r="E3382" t="s">
        <v>12</v>
      </c>
      <c r="F3382">
        <v>47489244</v>
      </c>
      <c r="G3382">
        <v>47489338</v>
      </c>
      <c r="H3382">
        <v>47489244</v>
      </c>
      <c r="I3382">
        <v>47489338</v>
      </c>
    </row>
    <row r="3383" spans="1:9" x14ac:dyDescent="0.2">
      <c r="A3383" s="1" t="str">
        <f>"CFTR"</f>
        <v>CFTR</v>
      </c>
      <c r="B3383" t="s">
        <v>14</v>
      </c>
      <c r="C3383" t="s">
        <v>33</v>
      </c>
      <c r="D3383" t="s">
        <v>17</v>
      </c>
      <c r="E3383" t="s">
        <v>12</v>
      </c>
      <c r="F3383">
        <v>117120070</v>
      </c>
      <c r="G3383">
        <v>117120087</v>
      </c>
      <c r="H3383">
        <v>117120070</v>
      </c>
      <c r="I3383">
        <v>117120087</v>
      </c>
    </row>
    <row r="3384" spans="1:9" x14ac:dyDescent="0.2">
      <c r="A3384" s="1" t="str">
        <f>"CGA"</f>
        <v>CGA</v>
      </c>
      <c r="B3384" t="s">
        <v>9</v>
      </c>
      <c r="C3384" t="s">
        <v>32</v>
      </c>
      <c r="D3384" t="s">
        <v>11</v>
      </c>
      <c r="E3384" t="s">
        <v>12</v>
      </c>
      <c r="F3384">
        <v>87804815</v>
      </c>
      <c r="G3384">
        <v>87804830</v>
      </c>
      <c r="H3384">
        <v>87804815</v>
      </c>
      <c r="I3384">
        <v>87804830</v>
      </c>
    </row>
    <row r="3385" spans="1:9" x14ac:dyDescent="0.2">
      <c r="A3385" s="1" t="str">
        <f>"CGA"</f>
        <v>CGA</v>
      </c>
      <c r="B3385" t="s">
        <v>13</v>
      </c>
      <c r="C3385" t="s">
        <v>32</v>
      </c>
      <c r="D3385" t="s">
        <v>11</v>
      </c>
      <c r="E3385" t="s">
        <v>12</v>
      </c>
      <c r="F3385">
        <v>87797935</v>
      </c>
      <c r="G3385">
        <v>87797943</v>
      </c>
      <c r="H3385">
        <v>87797935</v>
      </c>
      <c r="I3385">
        <v>87797943</v>
      </c>
    </row>
    <row r="3386" spans="1:9" x14ac:dyDescent="0.2">
      <c r="A3386" s="1" t="str">
        <f>"CGB"</f>
        <v>CGB</v>
      </c>
      <c r="B3386" t="s">
        <v>14</v>
      </c>
      <c r="C3386" t="s">
        <v>10</v>
      </c>
      <c r="D3386" t="s">
        <v>11</v>
      </c>
      <c r="E3386" t="s">
        <v>12</v>
      </c>
      <c r="F3386">
        <v>49540087</v>
      </c>
      <c r="G3386">
        <v>49540111</v>
      </c>
      <c r="H3386">
        <v>49540087</v>
      </c>
      <c r="I3386">
        <v>49540111</v>
      </c>
    </row>
    <row r="3387" spans="1:9" x14ac:dyDescent="0.2">
      <c r="A3387" s="1" t="str">
        <f>"CGB1"</f>
        <v>CGB1</v>
      </c>
      <c r="B3387" t="s">
        <v>14</v>
      </c>
      <c r="C3387" t="s">
        <v>10</v>
      </c>
      <c r="D3387" t="s">
        <v>11</v>
      </c>
      <c r="E3387" t="s">
        <v>12</v>
      </c>
      <c r="F3387">
        <v>49540087</v>
      </c>
      <c r="G3387">
        <v>49540111</v>
      </c>
      <c r="H3387">
        <v>49540087</v>
      </c>
      <c r="I3387">
        <v>49540111</v>
      </c>
    </row>
    <row r="3388" spans="1:9" x14ac:dyDescent="0.2">
      <c r="A3388" s="1" t="str">
        <f>"CGB2"</f>
        <v>CGB2</v>
      </c>
      <c r="B3388" t="s">
        <v>230</v>
      </c>
      <c r="C3388" t="s">
        <v>10</v>
      </c>
      <c r="D3388" t="s">
        <v>17</v>
      </c>
      <c r="E3388" t="s">
        <v>20</v>
      </c>
      <c r="F3388">
        <v>49535234</v>
      </c>
      <c r="G3388">
        <v>49535234</v>
      </c>
      <c r="H3388">
        <v>49535234</v>
      </c>
      <c r="I3388">
        <v>49535234</v>
      </c>
    </row>
    <row r="3389" spans="1:9" x14ac:dyDescent="0.2">
      <c r="A3389" s="1" t="str">
        <f>"CGB5"</f>
        <v>CGB5</v>
      </c>
      <c r="B3389" t="s">
        <v>14</v>
      </c>
      <c r="C3389" t="s">
        <v>10</v>
      </c>
      <c r="D3389" t="s">
        <v>17</v>
      </c>
      <c r="E3389" t="s">
        <v>12</v>
      </c>
      <c r="F3389">
        <v>49547099</v>
      </c>
      <c r="G3389">
        <v>49547106</v>
      </c>
      <c r="H3389">
        <v>49547099</v>
      </c>
      <c r="I3389">
        <v>49547106</v>
      </c>
    </row>
    <row r="3390" spans="1:9" x14ac:dyDescent="0.2">
      <c r="A3390" s="1" t="str">
        <f>"CGB7"</f>
        <v>CGB7</v>
      </c>
      <c r="B3390" t="s">
        <v>9</v>
      </c>
      <c r="C3390" t="s">
        <v>10</v>
      </c>
      <c r="D3390" t="s">
        <v>11</v>
      </c>
      <c r="E3390" t="s">
        <v>12</v>
      </c>
      <c r="F3390">
        <v>49568272</v>
      </c>
      <c r="G3390">
        <v>49568319</v>
      </c>
      <c r="H3390">
        <v>49568272</v>
      </c>
      <c r="I3390">
        <v>49568319</v>
      </c>
    </row>
    <row r="3391" spans="1:9" x14ac:dyDescent="0.2">
      <c r="A3391" s="1" t="str">
        <f>"CGB7"</f>
        <v>CGB7</v>
      </c>
      <c r="B3391" t="s">
        <v>13</v>
      </c>
      <c r="C3391" t="s">
        <v>10</v>
      </c>
      <c r="D3391" t="s">
        <v>11</v>
      </c>
      <c r="E3391" t="s">
        <v>12</v>
      </c>
      <c r="F3391">
        <v>49560987</v>
      </c>
      <c r="G3391">
        <v>49561011</v>
      </c>
      <c r="H3391">
        <v>49560987</v>
      </c>
      <c r="I3391">
        <v>49561011</v>
      </c>
    </row>
    <row r="3392" spans="1:9" x14ac:dyDescent="0.2">
      <c r="A3392" s="1" t="str">
        <f>"CGB8"</f>
        <v>CGB8</v>
      </c>
      <c r="B3392" t="s">
        <v>9</v>
      </c>
      <c r="C3392" t="s">
        <v>10</v>
      </c>
      <c r="D3392" t="s">
        <v>11</v>
      </c>
      <c r="E3392" t="s">
        <v>12</v>
      </c>
      <c r="F3392">
        <v>49540087</v>
      </c>
      <c r="G3392">
        <v>49540111</v>
      </c>
      <c r="H3392">
        <v>49540087</v>
      </c>
      <c r="I3392">
        <v>49540111</v>
      </c>
    </row>
    <row r="3393" spans="1:9" x14ac:dyDescent="0.2">
      <c r="A3393" s="1" t="str">
        <f>"CGB8"</f>
        <v>CGB8</v>
      </c>
      <c r="B3393" t="s">
        <v>13</v>
      </c>
      <c r="C3393" t="s">
        <v>10</v>
      </c>
      <c r="D3393" t="s">
        <v>11</v>
      </c>
      <c r="E3393" t="s">
        <v>12</v>
      </c>
      <c r="F3393">
        <v>49559472</v>
      </c>
      <c r="G3393">
        <v>49559473</v>
      </c>
      <c r="H3393">
        <v>49559472</v>
      </c>
      <c r="I3393">
        <v>49559473</v>
      </c>
    </row>
    <row r="3394" spans="1:9" x14ac:dyDescent="0.2">
      <c r="A3394" s="1" t="str">
        <f>"CGGBP1"</f>
        <v>CGGBP1</v>
      </c>
      <c r="B3394" t="s">
        <v>9</v>
      </c>
      <c r="C3394" t="s">
        <v>22</v>
      </c>
      <c r="D3394" t="s">
        <v>11</v>
      </c>
      <c r="E3394" t="s">
        <v>12</v>
      </c>
      <c r="F3394">
        <v>88108083</v>
      </c>
      <c r="G3394">
        <v>88108179</v>
      </c>
      <c r="H3394">
        <v>88108083</v>
      </c>
      <c r="I3394">
        <v>88108179</v>
      </c>
    </row>
    <row r="3395" spans="1:9" x14ac:dyDescent="0.2">
      <c r="A3395" s="1" t="str">
        <f>"CGGBP1"</f>
        <v>CGGBP1</v>
      </c>
      <c r="B3395" t="s">
        <v>13</v>
      </c>
      <c r="C3395" t="s">
        <v>22</v>
      </c>
      <c r="D3395" t="s">
        <v>11</v>
      </c>
      <c r="E3395" t="s">
        <v>12</v>
      </c>
      <c r="F3395">
        <v>88199008</v>
      </c>
      <c r="G3395">
        <v>88199035</v>
      </c>
      <c r="H3395">
        <v>88199008</v>
      </c>
      <c r="I3395">
        <v>88199035</v>
      </c>
    </row>
    <row r="3396" spans="1:9" x14ac:dyDescent="0.2">
      <c r="A3396" s="1" t="str">
        <f>"CGN"</f>
        <v>CGN</v>
      </c>
      <c r="B3396" t="s">
        <v>14</v>
      </c>
      <c r="C3396" t="s">
        <v>19</v>
      </c>
      <c r="D3396" t="s">
        <v>17</v>
      </c>
      <c r="E3396" t="s">
        <v>12</v>
      </c>
      <c r="F3396">
        <v>151483881</v>
      </c>
      <c r="G3396">
        <v>151483912</v>
      </c>
      <c r="H3396">
        <v>151483855</v>
      </c>
      <c r="I3396">
        <v>151483871</v>
      </c>
    </row>
    <row r="3397" spans="1:9" x14ac:dyDescent="0.2">
      <c r="A3397" s="1" t="str">
        <f>"CGNL1"</f>
        <v>CGNL1</v>
      </c>
      <c r="B3397" t="s">
        <v>14</v>
      </c>
      <c r="C3397" t="s">
        <v>25</v>
      </c>
      <c r="D3397" t="s">
        <v>17</v>
      </c>
      <c r="E3397" t="s">
        <v>12</v>
      </c>
      <c r="F3397">
        <v>57668695</v>
      </c>
      <c r="G3397">
        <v>57668734</v>
      </c>
      <c r="H3397">
        <v>57668666</v>
      </c>
      <c r="I3397">
        <v>57668678</v>
      </c>
    </row>
    <row r="3398" spans="1:9" x14ac:dyDescent="0.2">
      <c r="A3398" s="1" t="str">
        <f>"CGREF1"</f>
        <v>CGREF1</v>
      </c>
      <c r="B3398" t="s">
        <v>14</v>
      </c>
      <c r="C3398" t="s">
        <v>26</v>
      </c>
      <c r="D3398" t="s">
        <v>11</v>
      </c>
      <c r="E3398" t="s">
        <v>12</v>
      </c>
      <c r="F3398">
        <v>27341966</v>
      </c>
      <c r="G3398">
        <v>27342023</v>
      </c>
      <c r="H3398">
        <v>27341918</v>
      </c>
      <c r="I3398">
        <v>27341963</v>
      </c>
    </row>
    <row r="3399" spans="1:9" x14ac:dyDescent="0.2">
      <c r="A3399" s="1" t="str">
        <f>"CGRRF1"</f>
        <v>CGRRF1</v>
      </c>
      <c r="B3399" t="s">
        <v>14</v>
      </c>
      <c r="C3399" t="s">
        <v>41</v>
      </c>
      <c r="D3399" t="s">
        <v>17</v>
      </c>
      <c r="E3399" t="s">
        <v>12</v>
      </c>
      <c r="F3399">
        <v>54976603</v>
      </c>
      <c r="G3399">
        <v>54976676</v>
      </c>
      <c r="H3399">
        <v>54976575</v>
      </c>
      <c r="I3399">
        <v>54976602</v>
      </c>
    </row>
    <row r="3400" spans="1:9" x14ac:dyDescent="0.2">
      <c r="A3400" s="1" t="str">
        <f>"CH25H"</f>
        <v>CH25H</v>
      </c>
      <c r="B3400" t="s">
        <v>14</v>
      </c>
      <c r="C3400" t="s">
        <v>15</v>
      </c>
      <c r="D3400" t="s">
        <v>11</v>
      </c>
      <c r="E3400" t="s">
        <v>12</v>
      </c>
      <c r="F3400">
        <v>90967063</v>
      </c>
      <c r="G3400">
        <v>90967082</v>
      </c>
      <c r="H3400">
        <v>90967063</v>
      </c>
      <c r="I3400">
        <v>90967082</v>
      </c>
    </row>
    <row r="3401" spans="1:9" x14ac:dyDescent="0.2">
      <c r="A3401" s="1" t="str">
        <f>"CHAC1"</f>
        <v>CHAC1</v>
      </c>
      <c r="B3401" t="s">
        <v>14</v>
      </c>
      <c r="C3401" t="s">
        <v>25</v>
      </c>
      <c r="D3401" t="s">
        <v>17</v>
      </c>
      <c r="E3401" t="s">
        <v>12</v>
      </c>
      <c r="F3401">
        <v>41245661</v>
      </c>
      <c r="G3401">
        <v>41245679</v>
      </c>
      <c r="H3401">
        <v>41245167</v>
      </c>
      <c r="I3401">
        <v>41245201</v>
      </c>
    </row>
    <row r="3402" spans="1:9" x14ac:dyDescent="0.2">
      <c r="A3402" s="1" t="str">
        <f>"CHAC2"</f>
        <v>CHAC2</v>
      </c>
      <c r="B3402" t="s">
        <v>14</v>
      </c>
      <c r="C3402" t="s">
        <v>26</v>
      </c>
      <c r="D3402" t="s">
        <v>17</v>
      </c>
      <c r="E3402" t="s">
        <v>12</v>
      </c>
      <c r="F3402">
        <v>53994927</v>
      </c>
      <c r="G3402">
        <v>53994979</v>
      </c>
      <c r="H3402">
        <v>53994992</v>
      </c>
      <c r="I3402">
        <v>53995005</v>
      </c>
    </row>
    <row r="3403" spans="1:9" x14ac:dyDescent="0.2">
      <c r="A3403" s="1" t="str">
        <f>"CHAD"</f>
        <v>CHAD</v>
      </c>
      <c r="B3403" t="s">
        <v>14</v>
      </c>
      <c r="C3403" t="s">
        <v>28</v>
      </c>
      <c r="D3403" t="s">
        <v>11</v>
      </c>
      <c r="E3403" t="s">
        <v>12</v>
      </c>
      <c r="F3403">
        <v>48546232</v>
      </c>
      <c r="G3403">
        <v>48546247</v>
      </c>
      <c r="H3403">
        <v>48546324</v>
      </c>
      <c r="I3403">
        <v>48546335</v>
      </c>
    </row>
    <row r="3404" spans="1:9" x14ac:dyDescent="0.2">
      <c r="A3404" s="1" t="str">
        <f>"CHADL"</f>
        <v>CHADL</v>
      </c>
      <c r="B3404" t="s">
        <v>14</v>
      </c>
      <c r="C3404" t="s">
        <v>21</v>
      </c>
      <c r="D3404" t="s">
        <v>11</v>
      </c>
      <c r="E3404" t="s">
        <v>12</v>
      </c>
      <c r="F3404">
        <v>41636892</v>
      </c>
      <c r="G3404">
        <v>41636928</v>
      </c>
      <c r="H3404">
        <v>41636929</v>
      </c>
      <c r="I3404">
        <v>41636942</v>
      </c>
    </row>
    <row r="3405" spans="1:9" x14ac:dyDescent="0.2">
      <c r="A3405" s="1" t="str">
        <f>"CHAF1A"</f>
        <v>CHAF1A</v>
      </c>
      <c r="B3405" t="s">
        <v>14</v>
      </c>
      <c r="C3405" t="s">
        <v>10</v>
      </c>
      <c r="D3405" t="s">
        <v>17</v>
      </c>
      <c r="E3405" t="s">
        <v>12</v>
      </c>
      <c r="F3405">
        <v>4402613</v>
      </c>
      <c r="G3405">
        <v>4402658</v>
      </c>
      <c r="H3405">
        <v>4402579</v>
      </c>
      <c r="I3405">
        <v>4402606</v>
      </c>
    </row>
    <row r="3406" spans="1:9" x14ac:dyDescent="0.2">
      <c r="A3406" s="1" t="str">
        <f>"CHAF1B"</f>
        <v>CHAF1B</v>
      </c>
      <c r="B3406" t="s">
        <v>14</v>
      </c>
      <c r="C3406" t="s">
        <v>42</v>
      </c>
      <c r="D3406" t="s">
        <v>17</v>
      </c>
      <c r="E3406" t="s">
        <v>12</v>
      </c>
      <c r="F3406">
        <v>37757668</v>
      </c>
      <c r="G3406">
        <v>37757731</v>
      </c>
      <c r="H3406">
        <v>37757668</v>
      </c>
      <c r="I3406">
        <v>37757731</v>
      </c>
    </row>
    <row r="3407" spans="1:9" x14ac:dyDescent="0.2">
      <c r="A3407" s="1" t="str">
        <f>"CHAMP1"</f>
        <v>CHAMP1</v>
      </c>
      <c r="B3407" t="s">
        <v>14</v>
      </c>
      <c r="C3407" t="s">
        <v>39</v>
      </c>
      <c r="D3407" t="s">
        <v>17</v>
      </c>
      <c r="E3407" t="s">
        <v>12</v>
      </c>
      <c r="F3407">
        <v>115079949</v>
      </c>
      <c r="G3407">
        <v>115080022</v>
      </c>
      <c r="H3407">
        <v>115079801</v>
      </c>
      <c r="I3407">
        <v>115079832</v>
      </c>
    </row>
    <row r="3408" spans="1:9" x14ac:dyDescent="0.2">
      <c r="A3408" s="1" t="str">
        <f>"CHAT"</f>
        <v>CHAT</v>
      </c>
      <c r="B3408" t="s">
        <v>9</v>
      </c>
      <c r="C3408" t="s">
        <v>15</v>
      </c>
      <c r="D3408" t="s">
        <v>17</v>
      </c>
      <c r="E3408" t="s">
        <v>12</v>
      </c>
      <c r="F3408">
        <v>50822455</v>
      </c>
      <c r="G3408">
        <v>50822490</v>
      </c>
      <c r="H3408">
        <v>50822455</v>
      </c>
      <c r="I3408">
        <v>50822490</v>
      </c>
    </row>
    <row r="3409" spans="1:9" x14ac:dyDescent="0.2">
      <c r="A3409" s="1" t="str">
        <f>"CHAT"</f>
        <v>CHAT</v>
      </c>
      <c r="B3409" t="s">
        <v>13</v>
      </c>
      <c r="C3409" t="s">
        <v>15</v>
      </c>
      <c r="D3409" t="s">
        <v>17</v>
      </c>
      <c r="E3409" t="s">
        <v>12</v>
      </c>
      <c r="F3409">
        <v>50821137</v>
      </c>
      <c r="G3409">
        <v>50821149</v>
      </c>
      <c r="H3409">
        <v>50821137</v>
      </c>
      <c r="I3409">
        <v>50821149</v>
      </c>
    </row>
    <row r="3410" spans="1:9" x14ac:dyDescent="0.2">
      <c r="A3410" s="1" t="str">
        <f>"CHCHD1"</f>
        <v>CHCHD1</v>
      </c>
      <c r="B3410" t="s">
        <v>14</v>
      </c>
      <c r="C3410" t="s">
        <v>15</v>
      </c>
      <c r="D3410" t="s">
        <v>17</v>
      </c>
      <c r="E3410" t="s">
        <v>12</v>
      </c>
      <c r="F3410">
        <v>75541796</v>
      </c>
      <c r="G3410">
        <v>75541836</v>
      </c>
      <c r="H3410">
        <v>75541796</v>
      </c>
      <c r="I3410">
        <v>75541836</v>
      </c>
    </row>
    <row r="3411" spans="1:9" x14ac:dyDescent="0.2">
      <c r="A3411" s="1" t="str">
        <f>"CHCHD10"</f>
        <v>CHCHD10</v>
      </c>
      <c r="B3411" t="s">
        <v>14</v>
      </c>
      <c r="C3411" t="s">
        <v>21</v>
      </c>
      <c r="D3411" t="s">
        <v>11</v>
      </c>
      <c r="E3411" t="s">
        <v>12</v>
      </c>
      <c r="F3411">
        <v>24110108</v>
      </c>
      <c r="G3411">
        <v>24110165</v>
      </c>
      <c r="H3411">
        <v>24109745</v>
      </c>
      <c r="I3411">
        <v>24109783</v>
      </c>
    </row>
    <row r="3412" spans="1:9" x14ac:dyDescent="0.2">
      <c r="A3412" s="1" t="str">
        <f>"CHCHD2"</f>
        <v>CHCHD2</v>
      </c>
      <c r="B3412" t="s">
        <v>14</v>
      </c>
      <c r="C3412" t="s">
        <v>33</v>
      </c>
      <c r="D3412" t="s">
        <v>11</v>
      </c>
      <c r="E3412" t="s">
        <v>12</v>
      </c>
      <c r="F3412">
        <v>56174161</v>
      </c>
      <c r="G3412">
        <v>56174203</v>
      </c>
      <c r="H3412">
        <v>56174144</v>
      </c>
      <c r="I3412">
        <v>56174155</v>
      </c>
    </row>
    <row r="3413" spans="1:9" x14ac:dyDescent="0.2">
      <c r="A3413" s="1" t="str">
        <f>"CHCHD3"</f>
        <v>CHCHD3</v>
      </c>
      <c r="B3413" t="s">
        <v>14</v>
      </c>
      <c r="C3413" t="s">
        <v>33</v>
      </c>
      <c r="D3413" t="s">
        <v>11</v>
      </c>
      <c r="E3413" t="s">
        <v>12</v>
      </c>
      <c r="F3413">
        <v>132766818</v>
      </c>
      <c r="G3413">
        <v>132766873</v>
      </c>
      <c r="H3413">
        <v>132766803</v>
      </c>
      <c r="I3413">
        <v>132766817</v>
      </c>
    </row>
    <row r="3414" spans="1:9" x14ac:dyDescent="0.2">
      <c r="A3414" s="1" t="str">
        <f>"CHCHD4"</f>
        <v>CHCHD4</v>
      </c>
      <c r="B3414" t="s">
        <v>14</v>
      </c>
      <c r="C3414" t="s">
        <v>22</v>
      </c>
      <c r="D3414" t="s">
        <v>11</v>
      </c>
      <c r="E3414" t="s">
        <v>12</v>
      </c>
      <c r="F3414">
        <v>14166316</v>
      </c>
      <c r="G3414">
        <v>14166383</v>
      </c>
      <c r="H3414">
        <v>14166209</v>
      </c>
      <c r="I3414">
        <v>14166283</v>
      </c>
    </row>
    <row r="3415" spans="1:9" x14ac:dyDescent="0.2">
      <c r="A3415" s="1" t="str">
        <f>"CHCHD5"</f>
        <v>CHCHD5</v>
      </c>
      <c r="B3415" t="s">
        <v>14</v>
      </c>
      <c r="C3415" t="s">
        <v>26</v>
      </c>
      <c r="D3415" t="s">
        <v>17</v>
      </c>
      <c r="E3415" t="s">
        <v>12</v>
      </c>
      <c r="F3415">
        <v>113342163</v>
      </c>
      <c r="G3415">
        <v>113342210</v>
      </c>
      <c r="H3415">
        <v>113342011</v>
      </c>
      <c r="I3415">
        <v>113342070</v>
      </c>
    </row>
    <row r="3416" spans="1:9" x14ac:dyDescent="0.2">
      <c r="A3416" s="1" t="str">
        <f>"CHCHD6"</f>
        <v>CHCHD6</v>
      </c>
      <c r="B3416" t="s">
        <v>14</v>
      </c>
      <c r="C3416" t="s">
        <v>22</v>
      </c>
      <c r="D3416" t="s">
        <v>17</v>
      </c>
      <c r="E3416" t="s">
        <v>12</v>
      </c>
      <c r="F3416">
        <v>126423045</v>
      </c>
      <c r="G3416">
        <v>126423123</v>
      </c>
      <c r="H3416">
        <v>126423045</v>
      </c>
      <c r="I3416">
        <v>126423123</v>
      </c>
    </row>
    <row r="3417" spans="1:9" x14ac:dyDescent="0.2">
      <c r="A3417" s="1" t="str">
        <f>"CHCHD7"</f>
        <v>CHCHD7</v>
      </c>
      <c r="B3417" t="s">
        <v>14</v>
      </c>
      <c r="C3417" t="s">
        <v>30</v>
      </c>
      <c r="D3417" t="s">
        <v>17</v>
      </c>
      <c r="E3417" t="s">
        <v>12</v>
      </c>
      <c r="F3417">
        <v>57124339</v>
      </c>
      <c r="G3417">
        <v>57124355</v>
      </c>
      <c r="H3417">
        <v>57124397</v>
      </c>
      <c r="I3417">
        <v>57124413</v>
      </c>
    </row>
    <row r="3418" spans="1:9" x14ac:dyDescent="0.2">
      <c r="A3418" s="1" t="str">
        <f>"CHD1"</f>
        <v>CHD1</v>
      </c>
      <c r="B3418" t="s">
        <v>14</v>
      </c>
      <c r="C3418" t="s">
        <v>46</v>
      </c>
      <c r="D3418" t="s">
        <v>11</v>
      </c>
      <c r="E3418" t="s">
        <v>12</v>
      </c>
      <c r="F3418">
        <v>98262198</v>
      </c>
      <c r="G3418">
        <v>98262239</v>
      </c>
      <c r="H3418">
        <v>98262198</v>
      </c>
      <c r="I3418">
        <v>98262239</v>
      </c>
    </row>
    <row r="3419" spans="1:9" x14ac:dyDescent="0.2">
      <c r="A3419" s="1" t="str">
        <f>"CHD1L"</f>
        <v>CHD1L</v>
      </c>
      <c r="B3419" t="s">
        <v>14</v>
      </c>
      <c r="C3419" t="s">
        <v>19</v>
      </c>
      <c r="D3419" t="s">
        <v>17</v>
      </c>
      <c r="E3419" t="s">
        <v>12</v>
      </c>
      <c r="F3419">
        <v>146714321</v>
      </c>
      <c r="G3419">
        <v>146714420</v>
      </c>
      <c r="H3419">
        <v>146714321</v>
      </c>
      <c r="I3419">
        <v>146714420</v>
      </c>
    </row>
    <row r="3420" spans="1:9" x14ac:dyDescent="0.2">
      <c r="A3420" s="1" t="str">
        <f>"CHD2"</f>
        <v>CHD2</v>
      </c>
      <c r="B3420" t="s">
        <v>9</v>
      </c>
      <c r="C3420" t="s">
        <v>25</v>
      </c>
      <c r="D3420" t="s">
        <v>17</v>
      </c>
      <c r="E3420" t="s">
        <v>12</v>
      </c>
      <c r="F3420">
        <v>93443539</v>
      </c>
      <c r="G3420">
        <v>93443580</v>
      </c>
      <c r="H3420">
        <v>93443539</v>
      </c>
      <c r="I3420">
        <v>93443580</v>
      </c>
    </row>
    <row r="3421" spans="1:9" x14ac:dyDescent="0.2">
      <c r="A3421" s="1" t="str">
        <f>"CHD2"</f>
        <v>CHD2</v>
      </c>
      <c r="B3421" t="s">
        <v>13</v>
      </c>
      <c r="C3421" t="s">
        <v>25</v>
      </c>
      <c r="D3421" t="s">
        <v>17</v>
      </c>
      <c r="E3421" t="s">
        <v>12</v>
      </c>
      <c r="F3421">
        <v>93425910</v>
      </c>
      <c r="G3421">
        <v>93425975</v>
      </c>
      <c r="H3421">
        <v>93425910</v>
      </c>
      <c r="I3421">
        <v>93425975</v>
      </c>
    </row>
    <row r="3422" spans="1:9" x14ac:dyDescent="0.2">
      <c r="A3422" s="1" t="str">
        <f>"CHD3"</f>
        <v>CHD3</v>
      </c>
      <c r="B3422" t="s">
        <v>14</v>
      </c>
      <c r="C3422" t="s">
        <v>28</v>
      </c>
      <c r="D3422" t="s">
        <v>17</v>
      </c>
      <c r="E3422" t="s">
        <v>12</v>
      </c>
      <c r="F3422">
        <v>7788104</v>
      </c>
      <c r="G3422">
        <v>7788138</v>
      </c>
      <c r="H3422">
        <v>7788104</v>
      </c>
      <c r="I3422">
        <v>7788138</v>
      </c>
    </row>
    <row r="3423" spans="1:9" x14ac:dyDescent="0.2">
      <c r="A3423" s="1" t="str">
        <f>"CHD4"</f>
        <v>CHD4</v>
      </c>
      <c r="B3423" t="s">
        <v>14</v>
      </c>
      <c r="C3423" t="s">
        <v>16</v>
      </c>
      <c r="D3423" t="s">
        <v>11</v>
      </c>
      <c r="E3423" t="s">
        <v>12</v>
      </c>
      <c r="F3423">
        <v>6716537</v>
      </c>
      <c r="G3423">
        <v>6716557</v>
      </c>
      <c r="H3423">
        <v>6716569</v>
      </c>
      <c r="I3423">
        <v>6716581</v>
      </c>
    </row>
    <row r="3424" spans="1:9" x14ac:dyDescent="0.2">
      <c r="A3424" s="1" t="str">
        <f>"CHD5"</f>
        <v>CHD5</v>
      </c>
      <c r="B3424" t="s">
        <v>14</v>
      </c>
      <c r="C3424" t="s">
        <v>19</v>
      </c>
      <c r="D3424" t="s">
        <v>11</v>
      </c>
      <c r="E3424" t="s">
        <v>12</v>
      </c>
      <c r="F3424">
        <v>6240325</v>
      </c>
      <c r="G3424">
        <v>6240416</v>
      </c>
      <c r="H3424">
        <v>6240065</v>
      </c>
      <c r="I3424">
        <v>6240088</v>
      </c>
    </row>
    <row r="3425" spans="1:9" x14ac:dyDescent="0.2">
      <c r="A3425" s="1" t="str">
        <f>"CHD6"</f>
        <v>CHD6</v>
      </c>
      <c r="B3425" t="s">
        <v>14</v>
      </c>
      <c r="C3425" t="s">
        <v>29</v>
      </c>
      <c r="D3425" t="s">
        <v>11</v>
      </c>
      <c r="E3425" t="s">
        <v>12</v>
      </c>
      <c r="F3425">
        <v>40247002</v>
      </c>
      <c r="G3425">
        <v>40247075</v>
      </c>
      <c r="H3425">
        <v>40247002</v>
      </c>
      <c r="I3425">
        <v>40247075</v>
      </c>
    </row>
    <row r="3426" spans="1:9" x14ac:dyDescent="0.2">
      <c r="A3426" s="1" t="str">
        <f>"CHD7"</f>
        <v>CHD7</v>
      </c>
      <c r="B3426" t="s">
        <v>14</v>
      </c>
      <c r="C3426" t="s">
        <v>30</v>
      </c>
      <c r="D3426" t="s">
        <v>17</v>
      </c>
      <c r="E3426" t="s">
        <v>12</v>
      </c>
      <c r="F3426">
        <v>61591290</v>
      </c>
      <c r="G3426">
        <v>61591312</v>
      </c>
      <c r="H3426">
        <v>61591344</v>
      </c>
      <c r="I3426">
        <v>61591393</v>
      </c>
    </row>
    <row r="3427" spans="1:9" x14ac:dyDescent="0.2">
      <c r="A3427" s="1" t="str">
        <f>"CHD8"</f>
        <v>CHD8</v>
      </c>
      <c r="B3427" t="s">
        <v>9</v>
      </c>
      <c r="C3427" t="s">
        <v>41</v>
      </c>
      <c r="D3427" t="s">
        <v>11</v>
      </c>
      <c r="E3427" t="s">
        <v>12</v>
      </c>
      <c r="F3427">
        <v>21924209</v>
      </c>
      <c r="G3427">
        <v>21924297</v>
      </c>
      <c r="H3427">
        <v>21924209</v>
      </c>
      <c r="I3427">
        <v>21924297</v>
      </c>
    </row>
    <row r="3428" spans="1:9" x14ac:dyDescent="0.2">
      <c r="A3428" s="1" t="str">
        <f>"CHD8"</f>
        <v>CHD8</v>
      </c>
      <c r="B3428" t="s">
        <v>13</v>
      </c>
      <c r="C3428" t="s">
        <v>41</v>
      </c>
      <c r="D3428" t="s">
        <v>11</v>
      </c>
      <c r="E3428" t="s">
        <v>12</v>
      </c>
      <c r="F3428">
        <v>21905395</v>
      </c>
      <c r="G3428">
        <v>21905419</v>
      </c>
      <c r="H3428">
        <v>21905395</v>
      </c>
      <c r="I3428">
        <v>21905419</v>
      </c>
    </row>
    <row r="3429" spans="1:9" x14ac:dyDescent="0.2">
      <c r="A3429" s="1" t="str">
        <f>"CHD9"</f>
        <v>CHD9</v>
      </c>
      <c r="B3429" t="s">
        <v>9</v>
      </c>
      <c r="C3429" t="s">
        <v>31</v>
      </c>
      <c r="D3429" t="s">
        <v>17</v>
      </c>
      <c r="E3429" t="s">
        <v>12</v>
      </c>
      <c r="F3429">
        <v>53088885</v>
      </c>
      <c r="G3429">
        <v>53088961</v>
      </c>
      <c r="H3429">
        <v>53088885</v>
      </c>
      <c r="I3429">
        <v>53088961</v>
      </c>
    </row>
    <row r="3430" spans="1:9" x14ac:dyDescent="0.2">
      <c r="A3430" s="1" t="str">
        <f>"CHD9"</f>
        <v>CHD9</v>
      </c>
      <c r="B3430" t="s">
        <v>13</v>
      </c>
      <c r="C3430" t="s">
        <v>31</v>
      </c>
      <c r="D3430" t="s">
        <v>17</v>
      </c>
      <c r="E3430" t="s">
        <v>12</v>
      </c>
      <c r="F3430">
        <v>53164906</v>
      </c>
      <c r="G3430">
        <v>53164953</v>
      </c>
      <c r="H3430">
        <v>53164906</v>
      </c>
      <c r="I3430">
        <v>53164953</v>
      </c>
    </row>
    <row r="3431" spans="1:9" x14ac:dyDescent="0.2">
      <c r="A3431" s="1" t="str">
        <f>"CHDC2"</f>
        <v>CHDC2</v>
      </c>
      <c r="B3431" t="s">
        <v>231</v>
      </c>
      <c r="C3431" t="s">
        <v>37</v>
      </c>
      <c r="D3431" t="s">
        <v>17</v>
      </c>
      <c r="E3431" t="s">
        <v>20</v>
      </c>
      <c r="F3431">
        <v>36065052</v>
      </c>
      <c r="G3431">
        <v>36065052</v>
      </c>
      <c r="H3431">
        <v>36065052</v>
      </c>
      <c r="I3431">
        <v>36065052</v>
      </c>
    </row>
    <row r="3432" spans="1:9" x14ac:dyDescent="0.2">
      <c r="A3432" s="1" t="str">
        <f>"CHDH"</f>
        <v>CHDH</v>
      </c>
      <c r="B3432" t="s">
        <v>14</v>
      </c>
      <c r="C3432" t="s">
        <v>22</v>
      </c>
      <c r="D3432" t="s">
        <v>11</v>
      </c>
      <c r="E3432" t="s">
        <v>12</v>
      </c>
      <c r="F3432">
        <v>53880401</v>
      </c>
      <c r="G3432">
        <v>53880474</v>
      </c>
      <c r="H3432">
        <v>53880345</v>
      </c>
      <c r="I3432">
        <v>53880378</v>
      </c>
    </row>
    <row r="3433" spans="1:9" x14ac:dyDescent="0.2">
      <c r="A3433" s="1" t="str">
        <f>"CHEK1"</f>
        <v>CHEK1</v>
      </c>
      <c r="B3433" t="s">
        <v>14</v>
      </c>
      <c r="C3433" t="s">
        <v>27</v>
      </c>
      <c r="D3433" t="s">
        <v>17</v>
      </c>
      <c r="E3433" t="s">
        <v>12</v>
      </c>
      <c r="F3433">
        <v>125495862</v>
      </c>
      <c r="G3433">
        <v>125495882</v>
      </c>
      <c r="H3433">
        <v>125496218</v>
      </c>
      <c r="I3433">
        <v>125496344</v>
      </c>
    </row>
    <row r="3434" spans="1:9" x14ac:dyDescent="0.2">
      <c r="A3434" s="1" t="str">
        <f>"CHEK2"</f>
        <v>CHEK2</v>
      </c>
      <c r="B3434" t="s">
        <v>14</v>
      </c>
      <c r="C3434" t="s">
        <v>21</v>
      </c>
      <c r="D3434" t="s">
        <v>11</v>
      </c>
      <c r="E3434" t="s">
        <v>12</v>
      </c>
      <c r="F3434">
        <v>29137782</v>
      </c>
      <c r="G3434">
        <v>29137837</v>
      </c>
      <c r="H3434">
        <v>29138386</v>
      </c>
      <c r="I3434">
        <v>29138405</v>
      </c>
    </row>
    <row r="3435" spans="1:9" x14ac:dyDescent="0.2">
      <c r="A3435" s="1" t="str">
        <f>"CHERP"</f>
        <v>CHERP</v>
      </c>
      <c r="B3435" t="s">
        <v>14</v>
      </c>
      <c r="C3435" t="s">
        <v>10</v>
      </c>
      <c r="D3435" t="s">
        <v>11</v>
      </c>
      <c r="E3435" t="s">
        <v>12</v>
      </c>
      <c r="F3435">
        <v>16653226</v>
      </c>
      <c r="G3435">
        <v>16653275</v>
      </c>
      <c r="H3435">
        <v>16653325</v>
      </c>
      <c r="I3435">
        <v>16653358</v>
      </c>
    </row>
    <row r="3436" spans="1:9" x14ac:dyDescent="0.2">
      <c r="A3436" s="1" t="str">
        <f>"CHFR"</f>
        <v>CHFR</v>
      </c>
      <c r="B3436" t="s">
        <v>14</v>
      </c>
      <c r="C3436" t="s">
        <v>16</v>
      </c>
      <c r="D3436" t="s">
        <v>11</v>
      </c>
      <c r="E3436" t="s">
        <v>12</v>
      </c>
      <c r="F3436">
        <v>133464151</v>
      </c>
      <c r="G3436">
        <v>133464221</v>
      </c>
      <c r="H3436">
        <v>133464124</v>
      </c>
      <c r="I3436">
        <v>133464140</v>
      </c>
    </row>
    <row r="3437" spans="1:9" x14ac:dyDescent="0.2">
      <c r="A3437" s="1" t="str">
        <f>"CHGA"</f>
        <v>CHGA</v>
      </c>
      <c r="B3437" t="s">
        <v>14</v>
      </c>
      <c r="C3437" t="s">
        <v>41</v>
      </c>
      <c r="D3437" t="s">
        <v>17</v>
      </c>
      <c r="E3437" t="s">
        <v>12</v>
      </c>
      <c r="F3437">
        <v>93389488</v>
      </c>
      <c r="G3437">
        <v>93389501</v>
      </c>
      <c r="H3437">
        <v>93389488</v>
      </c>
      <c r="I3437">
        <v>93389501</v>
      </c>
    </row>
    <row r="3438" spans="1:9" x14ac:dyDescent="0.2">
      <c r="A3438" s="1" t="str">
        <f>"CHGB"</f>
        <v>CHGB</v>
      </c>
      <c r="B3438" t="s">
        <v>14</v>
      </c>
      <c r="C3438" t="s">
        <v>29</v>
      </c>
      <c r="D3438" t="s">
        <v>17</v>
      </c>
      <c r="E3438" t="s">
        <v>12</v>
      </c>
      <c r="F3438">
        <v>5892147</v>
      </c>
      <c r="G3438">
        <v>5892163</v>
      </c>
      <c r="H3438">
        <v>5892037</v>
      </c>
      <c r="I3438">
        <v>5892067</v>
      </c>
    </row>
    <row r="3439" spans="1:9" x14ac:dyDescent="0.2">
      <c r="A3439" s="1" t="str">
        <f>"CHI3L1"</f>
        <v>CHI3L1</v>
      </c>
      <c r="B3439" t="s">
        <v>14</v>
      </c>
      <c r="C3439" t="s">
        <v>19</v>
      </c>
      <c r="D3439" t="s">
        <v>11</v>
      </c>
      <c r="E3439" t="s">
        <v>12</v>
      </c>
      <c r="F3439">
        <v>203155823</v>
      </c>
      <c r="G3439">
        <v>203155838</v>
      </c>
      <c r="H3439">
        <v>203155868</v>
      </c>
      <c r="I3439">
        <v>203155882</v>
      </c>
    </row>
    <row r="3440" spans="1:9" x14ac:dyDescent="0.2">
      <c r="A3440" s="1" t="str">
        <f>"CHI3L2"</f>
        <v>CHI3L2</v>
      </c>
      <c r="B3440" t="s">
        <v>9</v>
      </c>
      <c r="C3440" t="s">
        <v>19</v>
      </c>
      <c r="D3440" t="s">
        <v>17</v>
      </c>
      <c r="E3440" t="s">
        <v>12</v>
      </c>
      <c r="F3440">
        <v>111770322</v>
      </c>
      <c r="G3440">
        <v>111770342</v>
      </c>
      <c r="H3440">
        <v>111770322</v>
      </c>
      <c r="I3440">
        <v>111770342</v>
      </c>
    </row>
    <row r="3441" spans="1:9" x14ac:dyDescent="0.2">
      <c r="A3441" s="1" t="str">
        <f>"CHI3L2"</f>
        <v>CHI3L2</v>
      </c>
      <c r="B3441" t="s">
        <v>13</v>
      </c>
      <c r="C3441" t="s">
        <v>19</v>
      </c>
      <c r="D3441" t="s">
        <v>17</v>
      </c>
      <c r="E3441" t="s">
        <v>12</v>
      </c>
      <c r="F3441">
        <v>111772381</v>
      </c>
      <c r="G3441">
        <v>111772415</v>
      </c>
      <c r="H3441">
        <v>111772381</v>
      </c>
      <c r="I3441">
        <v>111772415</v>
      </c>
    </row>
    <row r="3442" spans="1:9" x14ac:dyDescent="0.2">
      <c r="A3442" s="1" t="str">
        <f>"CHIA"</f>
        <v>CHIA</v>
      </c>
      <c r="B3442" t="s">
        <v>14</v>
      </c>
      <c r="C3442" t="s">
        <v>19</v>
      </c>
      <c r="D3442" t="s">
        <v>17</v>
      </c>
      <c r="E3442" t="s">
        <v>12</v>
      </c>
      <c r="F3442">
        <v>111833472</v>
      </c>
      <c r="G3442">
        <v>111833476</v>
      </c>
      <c r="H3442">
        <v>111833472</v>
      </c>
      <c r="I3442">
        <v>111833476</v>
      </c>
    </row>
    <row r="3443" spans="1:9" x14ac:dyDescent="0.2">
      <c r="A3443" s="1" t="str">
        <f>"CHIC1"</f>
        <v>CHIC1</v>
      </c>
      <c r="B3443" t="s">
        <v>14</v>
      </c>
      <c r="C3443" t="s">
        <v>37</v>
      </c>
      <c r="D3443" t="s">
        <v>17</v>
      </c>
      <c r="E3443" t="s">
        <v>12</v>
      </c>
      <c r="F3443">
        <v>72783111</v>
      </c>
      <c r="G3443">
        <v>72783137</v>
      </c>
      <c r="H3443">
        <v>72783026</v>
      </c>
      <c r="I3443">
        <v>72783049</v>
      </c>
    </row>
    <row r="3444" spans="1:9" x14ac:dyDescent="0.2">
      <c r="A3444" s="1" t="str">
        <f>"CHIC2"</f>
        <v>CHIC2</v>
      </c>
      <c r="B3444" t="s">
        <v>14</v>
      </c>
      <c r="C3444" t="s">
        <v>23</v>
      </c>
      <c r="D3444" t="s">
        <v>11</v>
      </c>
      <c r="E3444" t="s">
        <v>12</v>
      </c>
      <c r="F3444">
        <v>54930753</v>
      </c>
      <c r="G3444">
        <v>54930786</v>
      </c>
      <c r="H3444">
        <v>54930790</v>
      </c>
      <c r="I3444">
        <v>54930838</v>
      </c>
    </row>
    <row r="3445" spans="1:9" x14ac:dyDescent="0.2">
      <c r="A3445" s="1" t="str">
        <f>"CHID1"</f>
        <v>CHID1</v>
      </c>
      <c r="B3445" t="s">
        <v>14</v>
      </c>
      <c r="C3445" t="s">
        <v>27</v>
      </c>
      <c r="D3445" t="s">
        <v>11</v>
      </c>
      <c r="E3445" t="s">
        <v>12</v>
      </c>
      <c r="F3445">
        <v>910796</v>
      </c>
      <c r="G3445">
        <v>910847</v>
      </c>
      <c r="H3445">
        <v>910796</v>
      </c>
      <c r="I3445">
        <v>910847</v>
      </c>
    </row>
    <row r="3446" spans="1:9" x14ac:dyDescent="0.2">
      <c r="A3446" s="1" t="str">
        <f>"CHIT1"</f>
        <v>CHIT1</v>
      </c>
      <c r="B3446" t="s">
        <v>14</v>
      </c>
      <c r="C3446" t="s">
        <v>19</v>
      </c>
      <c r="D3446" t="s">
        <v>11</v>
      </c>
      <c r="E3446" t="s">
        <v>12</v>
      </c>
      <c r="F3446">
        <v>203198790</v>
      </c>
      <c r="G3446">
        <v>203198807</v>
      </c>
      <c r="H3446">
        <v>203198790</v>
      </c>
      <c r="I3446">
        <v>203198807</v>
      </c>
    </row>
    <row r="3447" spans="1:9" x14ac:dyDescent="0.2">
      <c r="A3447" s="1" t="str">
        <f>"CHKA"</f>
        <v>CHKA</v>
      </c>
      <c r="B3447" t="s">
        <v>14</v>
      </c>
      <c r="C3447" t="s">
        <v>27</v>
      </c>
      <c r="D3447" t="s">
        <v>11</v>
      </c>
      <c r="E3447" t="s">
        <v>12</v>
      </c>
      <c r="F3447">
        <v>67888836</v>
      </c>
      <c r="G3447">
        <v>67888869</v>
      </c>
      <c r="H3447">
        <v>67888809</v>
      </c>
      <c r="I3447">
        <v>67888832</v>
      </c>
    </row>
    <row r="3448" spans="1:9" x14ac:dyDescent="0.2">
      <c r="A3448" s="1" t="str">
        <f>"CHKB"</f>
        <v>CHKB</v>
      </c>
      <c r="B3448" t="s">
        <v>14</v>
      </c>
      <c r="C3448" t="s">
        <v>21</v>
      </c>
      <c r="D3448" t="s">
        <v>11</v>
      </c>
      <c r="E3448" t="s">
        <v>12</v>
      </c>
      <c r="F3448">
        <v>51021212</v>
      </c>
      <c r="G3448">
        <v>51021294</v>
      </c>
      <c r="H3448">
        <v>51021397</v>
      </c>
      <c r="I3448">
        <v>51021434</v>
      </c>
    </row>
    <row r="3449" spans="1:9" x14ac:dyDescent="0.2">
      <c r="A3449" s="1" t="str">
        <f>"CHL1"</f>
        <v>CHL1</v>
      </c>
      <c r="B3449" t="s">
        <v>14</v>
      </c>
      <c r="C3449" t="s">
        <v>22</v>
      </c>
      <c r="D3449" t="s">
        <v>17</v>
      </c>
      <c r="E3449" t="s">
        <v>12</v>
      </c>
      <c r="F3449">
        <v>238456</v>
      </c>
      <c r="G3449">
        <v>238502</v>
      </c>
      <c r="H3449">
        <v>238509</v>
      </c>
      <c r="I3449">
        <v>238547</v>
      </c>
    </row>
    <row r="3450" spans="1:9" x14ac:dyDescent="0.2">
      <c r="A3450" s="1" t="str">
        <f>"CHM"</f>
        <v>CHM</v>
      </c>
      <c r="B3450" t="s">
        <v>14</v>
      </c>
      <c r="C3450" t="s">
        <v>37</v>
      </c>
      <c r="D3450" t="s">
        <v>11</v>
      </c>
      <c r="E3450" t="s">
        <v>12</v>
      </c>
      <c r="F3450">
        <v>85302531</v>
      </c>
      <c r="G3450">
        <v>85302570</v>
      </c>
      <c r="H3450">
        <v>85302254</v>
      </c>
      <c r="I3450">
        <v>85302317</v>
      </c>
    </row>
    <row r="3451" spans="1:9" x14ac:dyDescent="0.2">
      <c r="A3451" s="1" t="str">
        <f>"CHML"</f>
        <v>CHML</v>
      </c>
      <c r="B3451" t="s">
        <v>14</v>
      </c>
      <c r="C3451" t="s">
        <v>19</v>
      </c>
      <c r="D3451" t="s">
        <v>11</v>
      </c>
      <c r="E3451" t="s">
        <v>12</v>
      </c>
      <c r="F3451">
        <v>241798681</v>
      </c>
      <c r="G3451">
        <v>241798692</v>
      </c>
      <c r="H3451">
        <v>241798681</v>
      </c>
      <c r="I3451">
        <v>241798692</v>
      </c>
    </row>
    <row r="3452" spans="1:9" x14ac:dyDescent="0.2">
      <c r="A3452" s="1" t="str">
        <f>"CHMP1A"</f>
        <v>CHMP1A</v>
      </c>
      <c r="B3452" t="s">
        <v>14</v>
      </c>
      <c r="C3452" t="s">
        <v>31</v>
      </c>
      <c r="D3452" t="s">
        <v>11</v>
      </c>
      <c r="E3452" t="s">
        <v>12</v>
      </c>
      <c r="F3452">
        <v>89724064</v>
      </c>
      <c r="G3452">
        <v>89724138</v>
      </c>
      <c r="H3452">
        <v>89724051</v>
      </c>
      <c r="I3452">
        <v>89724062</v>
      </c>
    </row>
    <row r="3453" spans="1:9" x14ac:dyDescent="0.2">
      <c r="A3453" s="1" t="str">
        <f>"CHMP1B"</f>
        <v>CHMP1B</v>
      </c>
      <c r="B3453" t="s">
        <v>14</v>
      </c>
      <c r="C3453" t="s">
        <v>43</v>
      </c>
      <c r="D3453" t="s">
        <v>17</v>
      </c>
      <c r="E3453" t="s">
        <v>12</v>
      </c>
      <c r="F3453">
        <v>11851403</v>
      </c>
      <c r="G3453">
        <v>11851428</v>
      </c>
      <c r="H3453">
        <v>11851433</v>
      </c>
      <c r="I3453">
        <v>11851452</v>
      </c>
    </row>
    <row r="3454" spans="1:9" x14ac:dyDescent="0.2">
      <c r="A3454" s="1" t="str">
        <f>"CHMP2A"</f>
        <v>CHMP2A</v>
      </c>
      <c r="B3454" t="s">
        <v>14</v>
      </c>
      <c r="C3454" t="s">
        <v>10</v>
      </c>
      <c r="D3454" t="s">
        <v>11</v>
      </c>
      <c r="E3454" t="s">
        <v>12</v>
      </c>
      <c r="F3454">
        <v>59066452</v>
      </c>
      <c r="G3454">
        <v>59066496</v>
      </c>
      <c r="H3454">
        <v>59066327</v>
      </c>
      <c r="I3454">
        <v>59066389</v>
      </c>
    </row>
    <row r="3455" spans="1:9" x14ac:dyDescent="0.2">
      <c r="A3455" s="1" t="str">
        <f>"CHMP2B"</f>
        <v>CHMP2B</v>
      </c>
      <c r="B3455" t="s">
        <v>14</v>
      </c>
      <c r="C3455" t="s">
        <v>22</v>
      </c>
      <c r="D3455" t="s">
        <v>17</v>
      </c>
      <c r="E3455" t="s">
        <v>12</v>
      </c>
      <c r="F3455">
        <v>87276407</v>
      </c>
      <c r="G3455">
        <v>87276493</v>
      </c>
      <c r="H3455">
        <v>87276496</v>
      </c>
      <c r="I3455">
        <v>87276507</v>
      </c>
    </row>
    <row r="3456" spans="1:9" x14ac:dyDescent="0.2">
      <c r="A3456" s="1" t="str">
        <f>"CHMP3"</f>
        <v>CHMP3</v>
      </c>
      <c r="B3456" t="s">
        <v>14</v>
      </c>
      <c r="C3456" t="s">
        <v>26</v>
      </c>
      <c r="D3456" t="s">
        <v>11</v>
      </c>
      <c r="E3456" t="s">
        <v>12</v>
      </c>
      <c r="F3456">
        <v>86790505</v>
      </c>
      <c r="G3456">
        <v>86790579</v>
      </c>
      <c r="H3456">
        <v>86790472</v>
      </c>
      <c r="I3456">
        <v>86790504</v>
      </c>
    </row>
    <row r="3457" spans="1:9" x14ac:dyDescent="0.2">
      <c r="A3457" s="1" t="str">
        <f>"CHMP4A"</f>
        <v>CHMP4A</v>
      </c>
      <c r="B3457" t="s">
        <v>9</v>
      </c>
      <c r="C3457" t="s">
        <v>41</v>
      </c>
      <c r="D3457" t="s">
        <v>11</v>
      </c>
      <c r="E3457" t="s">
        <v>12</v>
      </c>
      <c r="F3457">
        <v>24682652</v>
      </c>
      <c r="G3457">
        <v>24682705</v>
      </c>
      <c r="H3457">
        <v>24682652</v>
      </c>
      <c r="I3457">
        <v>24682705</v>
      </c>
    </row>
    <row r="3458" spans="1:9" x14ac:dyDescent="0.2">
      <c r="A3458" s="1" t="str">
        <f>"CHMP4A"</f>
        <v>CHMP4A</v>
      </c>
      <c r="B3458" t="s">
        <v>13</v>
      </c>
      <c r="C3458" t="s">
        <v>41</v>
      </c>
      <c r="D3458" t="s">
        <v>11</v>
      </c>
      <c r="E3458" t="s">
        <v>12</v>
      </c>
      <c r="F3458">
        <v>24685160</v>
      </c>
      <c r="G3458">
        <v>24685201</v>
      </c>
      <c r="H3458">
        <v>24685160</v>
      </c>
      <c r="I3458">
        <v>24685201</v>
      </c>
    </row>
    <row r="3459" spans="1:9" x14ac:dyDescent="0.2">
      <c r="A3459" s="1" t="str">
        <f>"CHMP4B"</f>
        <v>CHMP4B</v>
      </c>
      <c r="B3459" t="s">
        <v>14</v>
      </c>
      <c r="C3459" t="s">
        <v>29</v>
      </c>
      <c r="D3459" t="s">
        <v>17</v>
      </c>
      <c r="E3459" t="s">
        <v>12</v>
      </c>
      <c r="F3459">
        <v>32399093</v>
      </c>
      <c r="G3459">
        <v>32399169</v>
      </c>
      <c r="H3459">
        <v>32399231</v>
      </c>
      <c r="I3459">
        <v>32399254</v>
      </c>
    </row>
    <row r="3460" spans="1:9" x14ac:dyDescent="0.2">
      <c r="A3460" s="1" t="str">
        <f>"CHMP4C"</f>
        <v>CHMP4C</v>
      </c>
      <c r="B3460" t="s">
        <v>14</v>
      </c>
      <c r="C3460" t="s">
        <v>30</v>
      </c>
      <c r="D3460" t="s">
        <v>17</v>
      </c>
      <c r="E3460" t="s">
        <v>12</v>
      </c>
      <c r="F3460">
        <v>82644669</v>
      </c>
      <c r="G3460">
        <v>82644738</v>
      </c>
      <c r="H3460">
        <v>82644741</v>
      </c>
      <c r="I3460">
        <v>82644791</v>
      </c>
    </row>
    <row r="3461" spans="1:9" x14ac:dyDescent="0.2">
      <c r="A3461" s="1" t="str">
        <f>"CHMP5"</f>
        <v>CHMP5</v>
      </c>
      <c r="B3461" t="s">
        <v>14</v>
      </c>
      <c r="C3461" t="s">
        <v>24</v>
      </c>
      <c r="D3461" t="s">
        <v>17</v>
      </c>
      <c r="E3461" t="s">
        <v>12</v>
      </c>
      <c r="F3461">
        <v>33265011</v>
      </c>
      <c r="G3461">
        <v>33265059</v>
      </c>
      <c r="H3461">
        <v>33264861</v>
      </c>
      <c r="I3461">
        <v>33264880</v>
      </c>
    </row>
    <row r="3462" spans="1:9" x14ac:dyDescent="0.2">
      <c r="A3462" s="1" t="str">
        <f>"CHMP6"</f>
        <v>CHMP6</v>
      </c>
      <c r="B3462" t="s">
        <v>14</v>
      </c>
      <c r="C3462" t="s">
        <v>28</v>
      </c>
      <c r="D3462" t="s">
        <v>17</v>
      </c>
      <c r="E3462" t="s">
        <v>12</v>
      </c>
      <c r="F3462">
        <v>78965624</v>
      </c>
      <c r="G3462">
        <v>78965694</v>
      </c>
      <c r="H3462">
        <v>78965697</v>
      </c>
      <c r="I3462">
        <v>78965722</v>
      </c>
    </row>
    <row r="3463" spans="1:9" x14ac:dyDescent="0.2">
      <c r="A3463" s="1" t="str">
        <f>"CHMP7"</f>
        <v>CHMP7</v>
      </c>
      <c r="B3463" t="s">
        <v>14</v>
      </c>
      <c r="C3463" t="s">
        <v>30</v>
      </c>
      <c r="D3463" t="s">
        <v>17</v>
      </c>
      <c r="E3463" t="s">
        <v>12</v>
      </c>
      <c r="F3463">
        <v>23104130</v>
      </c>
      <c r="G3463">
        <v>23104184</v>
      </c>
      <c r="H3463">
        <v>23104130</v>
      </c>
      <c r="I3463">
        <v>23104184</v>
      </c>
    </row>
    <row r="3464" spans="1:9" x14ac:dyDescent="0.2">
      <c r="A3464" s="1" t="str">
        <f>"CHN1"</f>
        <v>CHN1</v>
      </c>
      <c r="B3464" t="s">
        <v>232</v>
      </c>
      <c r="C3464" t="s">
        <v>26</v>
      </c>
      <c r="D3464" t="s">
        <v>11</v>
      </c>
      <c r="E3464" t="s">
        <v>35</v>
      </c>
      <c r="F3464">
        <v>175870085</v>
      </c>
      <c r="G3464">
        <v>175870133</v>
      </c>
      <c r="H3464">
        <v>175869890</v>
      </c>
      <c r="I3464">
        <v>175869933</v>
      </c>
    </row>
    <row r="3465" spans="1:9" x14ac:dyDescent="0.2">
      <c r="A3465" s="1" t="str">
        <f>"CHN2"</f>
        <v>CHN2</v>
      </c>
      <c r="B3465" t="s">
        <v>9</v>
      </c>
      <c r="C3465" t="s">
        <v>33</v>
      </c>
      <c r="D3465" t="s">
        <v>17</v>
      </c>
      <c r="E3465" t="s">
        <v>12</v>
      </c>
      <c r="F3465">
        <v>29234375</v>
      </c>
      <c r="G3465">
        <v>29234464</v>
      </c>
      <c r="H3465">
        <v>29234375</v>
      </c>
      <c r="I3465">
        <v>29234464</v>
      </c>
    </row>
    <row r="3466" spans="1:9" x14ac:dyDescent="0.2">
      <c r="A3466" s="1" t="str">
        <f>"CHN2"</f>
        <v>CHN2</v>
      </c>
      <c r="B3466" t="s">
        <v>13</v>
      </c>
      <c r="C3466" t="s">
        <v>33</v>
      </c>
      <c r="D3466" t="s">
        <v>17</v>
      </c>
      <c r="E3466" t="s">
        <v>12</v>
      </c>
      <c r="F3466">
        <v>29186192</v>
      </c>
      <c r="G3466">
        <v>29186222</v>
      </c>
      <c r="H3466">
        <v>29186192</v>
      </c>
      <c r="I3466">
        <v>29186222</v>
      </c>
    </row>
    <row r="3467" spans="1:9" x14ac:dyDescent="0.2">
      <c r="A3467" s="1" t="str">
        <f>"CHODL"</f>
        <v>CHODL</v>
      </c>
      <c r="B3467" t="s">
        <v>14</v>
      </c>
      <c r="C3467" t="s">
        <v>42</v>
      </c>
      <c r="D3467" t="s">
        <v>17</v>
      </c>
      <c r="E3467" t="s">
        <v>12</v>
      </c>
      <c r="F3467">
        <v>19617140</v>
      </c>
      <c r="G3467">
        <v>19617156</v>
      </c>
      <c r="H3467">
        <v>19617140</v>
      </c>
      <c r="I3467">
        <v>19617156</v>
      </c>
    </row>
    <row r="3468" spans="1:9" x14ac:dyDescent="0.2">
      <c r="A3468" s="1" t="str">
        <f>"CHORDC1"</f>
        <v>CHORDC1</v>
      </c>
      <c r="B3468" t="s">
        <v>14</v>
      </c>
      <c r="C3468" t="s">
        <v>27</v>
      </c>
      <c r="D3468" t="s">
        <v>11</v>
      </c>
      <c r="E3468" t="s">
        <v>12</v>
      </c>
      <c r="F3468">
        <v>89956204</v>
      </c>
      <c r="G3468">
        <v>89956225</v>
      </c>
      <c r="H3468">
        <v>89956228</v>
      </c>
      <c r="I3468">
        <v>89956250</v>
      </c>
    </row>
    <row r="3469" spans="1:9" x14ac:dyDescent="0.2">
      <c r="A3469" s="1" t="str">
        <f>"CHP1"</f>
        <v>CHP1</v>
      </c>
      <c r="B3469" t="s">
        <v>14</v>
      </c>
      <c r="C3469" t="s">
        <v>25</v>
      </c>
      <c r="D3469" t="s">
        <v>17</v>
      </c>
      <c r="E3469" t="s">
        <v>12</v>
      </c>
      <c r="F3469">
        <v>41523417</v>
      </c>
      <c r="G3469">
        <v>41523529</v>
      </c>
      <c r="H3469">
        <v>41523335</v>
      </c>
      <c r="I3469">
        <v>41523350</v>
      </c>
    </row>
    <row r="3470" spans="1:9" x14ac:dyDescent="0.2">
      <c r="A3470" s="1" t="str">
        <f>"CHP2"</f>
        <v>CHP2</v>
      </c>
      <c r="B3470" t="s">
        <v>14</v>
      </c>
      <c r="C3470" t="s">
        <v>31</v>
      </c>
      <c r="D3470" t="s">
        <v>17</v>
      </c>
      <c r="E3470" t="s">
        <v>12</v>
      </c>
      <c r="F3470">
        <v>23766337</v>
      </c>
      <c r="G3470">
        <v>23766367</v>
      </c>
      <c r="H3470">
        <v>23766308</v>
      </c>
      <c r="I3470">
        <v>23766323</v>
      </c>
    </row>
    <row r="3471" spans="1:9" x14ac:dyDescent="0.2">
      <c r="A3471" s="1" t="str">
        <f>"CHPF"</f>
        <v>CHPF</v>
      </c>
      <c r="B3471" t="s">
        <v>14</v>
      </c>
      <c r="C3471" t="s">
        <v>26</v>
      </c>
      <c r="D3471" t="s">
        <v>11</v>
      </c>
      <c r="E3471" t="s">
        <v>12</v>
      </c>
      <c r="F3471">
        <v>220408430</v>
      </c>
      <c r="G3471">
        <v>220408555</v>
      </c>
      <c r="H3471">
        <v>220408260</v>
      </c>
      <c r="I3471">
        <v>220408340</v>
      </c>
    </row>
    <row r="3472" spans="1:9" x14ac:dyDescent="0.2">
      <c r="A3472" s="1" t="str">
        <f>"CHPF2"</f>
        <v>CHPF2</v>
      </c>
      <c r="B3472" t="s">
        <v>14</v>
      </c>
      <c r="C3472" t="s">
        <v>33</v>
      </c>
      <c r="D3472" t="s">
        <v>17</v>
      </c>
      <c r="E3472" t="s">
        <v>12</v>
      </c>
      <c r="F3472">
        <v>150929550</v>
      </c>
      <c r="G3472">
        <v>150929619</v>
      </c>
      <c r="H3472">
        <v>150929538</v>
      </c>
      <c r="I3472">
        <v>150929547</v>
      </c>
    </row>
    <row r="3473" spans="1:9" x14ac:dyDescent="0.2">
      <c r="A3473" s="1" t="str">
        <f>"CHPT1"</f>
        <v>CHPT1</v>
      </c>
      <c r="B3473" t="s">
        <v>14</v>
      </c>
      <c r="C3473" t="s">
        <v>16</v>
      </c>
      <c r="D3473" t="s">
        <v>17</v>
      </c>
      <c r="E3473" t="s">
        <v>12</v>
      </c>
      <c r="F3473">
        <v>102091400</v>
      </c>
      <c r="G3473">
        <v>102091487</v>
      </c>
      <c r="H3473">
        <v>102091273</v>
      </c>
      <c r="I3473">
        <v>102091317</v>
      </c>
    </row>
    <row r="3474" spans="1:9" x14ac:dyDescent="0.2">
      <c r="A3474" s="1" t="str">
        <f>"CHRAC1"</f>
        <v>CHRAC1</v>
      </c>
      <c r="B3474" t="s">
        <v>14</v>
      </c>
      <c r="C3474" t="s">
        <v>30</v>
      </c>
      <c r="D3474" t="s">
        <v>17</v>
      </c>
      <c r="E3474" t="s">
        <v>12</v>
      </c>
      <c r="F3474">
        <v>141521386</v>
      </c>
      <c r="G3474">
        <v>141521469</v>
      </c>
      <c r="H3474">
        <v>141521493</v>
      </c>
      <c r="I3474">
        <v>141521532</v>
      </c>
    </row>
    <row r="3475" spans="1:9" x14ac:dyDescent="0.2">
      <c r="A3475" s="1" t="str">
        <f>"CHRD"</f>
        <v>CHRD</v>
      </c>
      <c r="B3475" t="s">
        <v>14</v>
      </c>
      <c r="C3475" t="s">
        <v>22</v>
      </c>
      <c r="D3475" t="s">
        <v>17</v>
      </c>
      <c r="E3475" t="s">
        <v>12</v>
      </c>
      <c r="F3475">
        <v>184098065</v>
      </c>
      <c r="G3475">
        <v>184098119</v>
      </c>
      <c r="H3475">
        <v>184097666</v>
      </c>
      <c r="I3475">
        <v>184097703</v>
      </c>
    </row>
    <row r="3476" spans="1:9" x14ac:dyDescent="0.2">
      <c r="A3476" s="1" t="str">
        <f>"CHRDL1"</f>
        <v>CHRDL1</v>
      </c>
      <c r="B3476" t="s">
        <v>14</v>
      </c>
      <c r="C3476" t="s">
        <v>37</v>
      </c>
      <c r="D3476" t="s">
        <v>11</v>
      </c>
      <c r="E3476" t="s">
        <v>12</v>
      </c>
      <c r="F3476">
        <v>110039038</v>
      </c>
      <c r="G3476">
        <v>110039084</v>
      </c>
      <c r="H3476">
        <v>110039003</v>
      </c>
      <c r="I3476">
        <v>110039017</v>
      </c>
    </row>
    <row r="3477" spans="1:9" x14ac:dyDescent="0.2">
      <c r="A3477" s="1" t="str">
        <f>"CHRDL2"</f>
        <v>CHRDL2</v>
      </c>
      <c r="B3477" t="s">
        <v>14</v>
      </c>
      <c r="C3477" t="s">
        <v>27</v>
      </c>
      <c r="D3477" t="s">
        <v>11</v>
      </c>
      <c r="E3477" t="s">
        <v>12</v>
      </c>
      <c r="F3477">
        <v>74442461</v>
      </c>
      <c r="G3477">
        <v>74442481</v>
      </c>
      <c r="H3477">
        <v>74442489</v>
      </c>
      <c r="I3477">
        <v>74442515</v>
      </c>
    </row>
    <row r="3478" spans="1:9" x14ac:dyDescent="0.2">
      <c r="A3478" s="1" t="str">
        <f>"CHRFAM7A"</f>
        <v>CHRFAM7A</v>
      </c>
      <c r="B3478" t="s">
        <v>233</v>
      </c>
      <c r="C3478" t="s">
        <v>25</v>
      </c>
      <c r="D3478" t="s">
        <v>11</v>
      </c>
      <c r="E3478" t="s">
        <v>20</v>
      </c>
      <c r="F3478">
        <v>30685751</v>
      </c>
      <c r="G3478">
        <v>30685751</v>
      </c>
      <c r="H3478">
        <v>30685751</v>
      </c>
      <c r="I3478">
        <v>30685751</v>
      </c>
    </row>
    <row r="3479" spans="1:9" x14ac:dyDescent="0.2">
      <c r="A3479" s="1" t="str">
        <f>"CHRM1"</f>
        <v>CHRM1</v>
      </c>
      <c r="B3479" t="s">
        <v>14</v>
      </c>
      <c r="C3479" t="s">
        <v>27</v>
      </c>
      <c r="D3479" t="s">
        <v>11</v>
      </c>
      <c r="E3479" t="s">
        <v>12</v>
      </c>
      <c r="F3479">
        <v>62688789</v>
      </c>
      <c r="G3479">
        <v>62688840</v>
      </c>
      <c r="H3479">
        <v>62689046</v>
      </c>
      <c r="I3479">
        <v>62689100</v>
      </c>
    </row>
    <row r="3480" spans="1:9" x14ac:dyDescent="0.2">
      <c r="A3480" s="1" t="str">
        <f>"CHRM2"</f>
        <v>CHRM2</v>
      </c>
      <c r="B3480" t="s">
        <v>14</v>
      </c>
      <c r="C3480" t="s">
        <v>33</v>
      </c>
      <c r="D3480" t="s">
        <v>17</v>
      </c>
      <c r="E3480" t="s">
        <v>12</v>
      </c>
      <c r="F3480">
        <v>136553370</v>
      </c>
      <c r="G3480">
        <v>136553421</v>
      </c>
      <c r="H3480">
        <v>136553824</v>
      </c>
      <c r="I3480">
        <v>136553846</v>
      </c>
    </row>
    <row r="3481" spans="1:9" x14ac:dyDescent="0.2">
      <c r="A3481" s="1" t="str">
        <f>"CHRM3"</f>
        <v>CHRM3</v>
      </c>
      <c r="B3481" t="s">
        <v>234</v>
      </c>
      <c r="C3481" t="s">
        <v>19</v>
      </c>
      <c r="D3481" t="s">
        <v>17</v>
      </c>
      <c r="E3481" t="s">
        <v>20</v>
      </c>
      <c r="F3481">
        <v>239792372</v>
      </c>
      <c r="G3481">
        <v>239792372</v>
      </c>
      <c r="H3481">
        <v>239792372</v>
      </c>
      <c r="I3481">
        <v>239792372</v>
      </c>
    </row>
    <row r="3482" spans="1:9" x14ac:dyDescent="0.2">
      <c r="A3482" s="1" t="str">
        <f>"CHRM4"</f>
        <v>CHRM4</v>
      </c>
      <c r="B3482" t="s">
        <v>14</v>
      </c>
      <c r="C3482" t="s">
        <v>27</v>
      </c>
      <c r="D3482" t="s">
        <v>11</v>
      </c>
      <c r="E3482" t="s">
        <v>12</v>
      </c>
      <c r="F3482">
        <v>46408128</v>
      </c>
      <c r="G3482">
        <v>46408138</v>
      </c>
      <c r="H3482">
        <v>46408128</v>
      </c>
      <c r="I3482">
        <v>46408138</v>
      </c>
    </row>
    <row r="3483" spans="1:9" x14ac:dyDescent="0.2">
      <c r="A3483" s="1" t="str">
        <f>"CHRM5"</f>
        <v>CHRM5</v>
      </c>
      <c r="B3483" t="s">
        <v>14</v>
      </c>
      <c r="C3483" t="s">
        <v>25</v>
      </c>
      <c r="D3483" t="s">
        <v>17</v>
      </c>
      <c r="E3483" t="s">
        <v>12</v>
      </c>
      <c r="F3483">
        <v>34260686</v>
      </c>
      <c r="G3483">
        <v>34260710</v>
      </c>
      <c r="H3483">
        <v>34260686</v>
      </c>
      <c r="I3483">
        <v>34260710</v>
      </c>
    </row>
    <row r="3484" spans="1:9" x14ac:dyDescent="0.2">
      <c r="A3484" s="1" t="str">
        <f>"CHRNA1"</f>
        <v>CHRNA1</v>
      </c>
      <c r="B3484" t="s">
        <v>14</v>
      </c>
      <c r="C3484" t="s">
        <v>26</v>
      </c>
      <c r="D3484" t="s">
        <v>11</v>
      </c>
      <c r="E3484" t="s">
        <v>12</v>
      </c>
      <c r="F3484">
        <v>175629164</v>
      </c>
      <c r="G3484">
        <v>175629224</v>
      </c>
      <c r="H3484">
        <v>175629150</v>
      </c>
      <c r="I3484">
        <v>175629163</v>
      </c>
    </row>
    <row r="3485" spans="1:9" x14ac:dyDescent="0.2">
      <c r="A3485" s="1" t="str">
        <f>"CHRNA10"</f>
        <v>CHRNA10</v>
      </c>
      <c r="B3485" t="s">
        <v>235</v>
      </c>
      <c r="C3485" t="s">
        <v>27</v>
      </c>
      <c r="D3485" t="s">
        <v>11</v>
      </c>
      <c r="E3485" t="s">
        <v>20</v>
      </c>
      <c r="F3485">
        <v>3692613</v>
      </c>
      <c r="G3485">
        <v>3692613</v>
      </c>
      <c r="H3485">
        <v>3692613</v>
      </c>
      <c r="I3485">
        <v>3692613</v>
      </c>
    </row>
    <row r="3486" spans="1:9" x14ac:dyDescent="0.2">
      <c r="A3486" s="1" t="str">
        <f>"CHRNA2"</f>
        <v>CHRNA2</v>
      </c>
      <c r="B3486" t="s">
        <v>14</v>
      </c>
      <c r="C3486" t="s">
        <v>30</v>
      </c>
      <c r="D3486" t="s">
        <v>11</v>
      </c>
      <c r="E3486" t="s">
        <v>12</v>
      </c>
      <c r="F3486">
        <v>27336747</v>
      </c>
      <c r="G3486">
        <v>27336786</v>
      </c>
      <c r="H3486">
        <v>27336724</v>
      </c>
      <c r="I3486">
        <v>27336740</v>
      </c>
    </row>
    <row r="3487" spans="1:9" x14ac:dyDescent="0.2">
      <c r="A3487" s="1" t="str">
        <f>"CHRNA3"</f>
        <v>CHRNA3</v>
      </c>
      <c r="B3487" t="s">
        <v>14</v>
      </c>
      <c r="C3487" t="s">
        <v>25</v>
      </c>
      <c r="D3487" t="s">
        <v>11</v>
      </c>
      <c r="E3487" t="s">
        <v>12</v>
      </c>
      <c r="F3487">
        <v>78913306</v>
      </c>
      <c r="G3487">
        <v>78913349</v>
      </c>
      <c r="H3487">
        <v>78913485</v>
      </c>
      <c r="I3487">
        <v>78913517</v>
      </c>
    </row>
    <row r="3488" spans="1:9" x14ac:dyDescent="0.2">
      <c r="A3488" s="1" t="str">
        <f>"CHRNA4"</f>
        <v>CHRNA4</v>
      </c>
      <c r="B3488" t="s">
        <v>14</v>
      </c>
      <c r="C3488" t="s">
        <v>29</v>
      </c>
      <c r="D3488" t="s">
        <v>11</v>
      </c>
      <c r="E3488" t="s">
        <v>12</v>
      </c>
      <c r="F3488">
        <v>61992643</v>
      </c>
      <c r="G3488">
        <v>61992683</v>
      </c>
      <c r="H3488">
        <v>61992689</v>
      </c>
      <c r="I3488">
        <v>61992710</v>
      </c>
    </row>
    <row r="3489" spans="1:9" x14ac:dyDescent="0.2">
      <c r="A3489" s="1" t="str">
        <f>"CHRNA5"</f>
        <v>CHRNA5</v>
      </c>
      <c r="B3489" t="s">
        <v>14</v>
      </c>
      <c r="C3489" t="s">
        <v>25</v>
      </c>
      <c r="D3489" t="s">
        <v>17</v>
      </c>
      <c r="E3489" t="s">
        <v>12</v>
      </c>
      <c r="F3489">
        <v>78857870</v>
      </c>
      <c r="G3489">
        <v>78857897</v>
      </c>
      <c r="H3489">
        <v>78857849</v>
      </c>
      <c r="I3489">
        <v>78857869</v>
      </c>
    </row>
    <row r="3490" spans="1:9" x14ac:dyDescent="0.2">
      <c r="A3490" s="1" t="str">
        <f>"CHRNA6"</f>
        <v>CHRNA6</v>
      </c>
      <c r="B3490" t="s">
        <v>14</v>
      </c>
      <c r="C3490" t="s">
        <v>30</v>
      </c>
      <c r="D3490" t="s">
        <v>11</v>
      </c>
      <c r="E3490" t="s">
        <v>12</v>
      </c>
      <c r="F3490">
        <v>42623766</v>
      </c>
      <c r="G3490">
        <v>42623780</v>
      </c>
      <c r="H3490">
        <v>42623846</v>
      </c>
      <c r="I3490">
        <v>42623865</v>
      </c>
    </row>
    <row r="3491" spans="1:9" x14ac:dyDescent="0.2">
      <c r="A3491" s="1" t="str">
        <f>"CHRNA7"</f>
        <v>CHRNA7</v>
      </c>
      <c r="B3491" t="s">
        <v>14</v>
      </c>
      <c r="C3491" t="s">
        <v>25</v>
      </c>
      <c r="D3491" t="s">
        <v>17</v>
      </c>
      <c r="E3491" t="s">
        <v>12</v>
      </c>
      <c r="F3491">
        <v>32322709</v>
      </c>
      <c r="G3491">
        <v>32322725</v>
      </c>
      <c r="H3491">
        <v>32322685</v>
      </c>
      <c r="I3491">
        <v>32322701</v>
      </c>
    </row>
    <row r="3492" spans="1:9" x14ac:dyDescent="0.2">
      <c r="A3492" s="1" t="str">
        <f>"CHRNA9"</f>
        <v>CHRNA9</v>
      </c>
      <c r="B3492" t="s">
        <v>14</v>
      </c>
      <c r="C3492" t="s">
        <v>23</v>
      </c>
      <c r="D3492" t="s">
        <v>17</v>
      </c>
      <c r="E3492" t="s">
        <v>12</v>
      </c>
      <c r="F3492">
        <v>40337340</v>
      </c>
      <c r="G3492">
        <v>40337361</v>
      </c>
      <c r="H3492">
        <v>40337340</v>
      </c>
      <c r="I3492">
        <v>40337361</v>
      </c>
    </row>
    <row r="3493" spans="1:9" x14ac:dyDescent="0.2">
      <c r="A3493" s="1" t="str">
        <f>"CHRNB1"</f>
        <v>CHRNB1</v>
      </c>
      <c r="B3493" t="s">
        <v>14</v>
      </c>
      <c r="C3493" t="s">
        <v>28</v>
      </c>
      <c r="D3493" t="s">
        <v>17</v>
      </c>
      <c r="E3493" t="s">
        <v>12</v>
      </c>
      <c r="F3493">
        <v>7348374</v>
      </c>
      <c r="G3493">
        <v>7348435</v>
      </c>
      <c r="H3493">
        <v>7348805</v>
      </c>
      <c r="I3493">
        <v>7348866</v>
      </c>
    </row>
    <row r="3494" spans="1:9" x14ac:dyDescent="0.2">
      <c r="A3494" s="1" t="str">
        <f>"CHRNB2"</f>
        <v>CHRNB2</v>
      </c>
      <c r="B3494" t="s">
        <v>14</v>
      </c>
      <c r="C3494" t="s">
        <v>19</v>
      </c>
      <c r="D3494" t="s">
        <v>17</v>
      </c>
      <c r="E3494" t="s">
        <v>12</v>
      </c>
      <c r="F3494">
        <v>154540296</v>
      </c>
      <c r="G3494">
        <v>154540327</v>
      </c>
      <c r="H3494">
        <v>154540261</v>
      </c>
      <c r="I3494">
        <v>154540288</v>
      </c>
    </row>
    <row r="3495" spans="1:9" x14ac:dyDescent="0.2">
      <c r="A3495" s="1" t="str">
        <f>"CHRNB3"</f>
        <v>CHRNB3</v>
      </c>
      <c r="B3495" t="s">
        <v>14</v>
      </c>
      <c r="C3495" t="s">
        <v>30</v>
      </c>
      <c r="D3495" t="s">
        <v>17</v>
      </c>
      <c r="E3495" t="s">
        <v>12</v>
      </c>
      <c r="F3495">
        <v>42552503</v>
      </c>
      <c r="G3495">
        <v>42552524</v>
      </c>
      <c r="H3495">
        <v>42552483</v>
      </c>
      <c r="I3495">
        <v>42552502</v>
      </c>
    </row>
    <row r="3496" spans="1:9" x14ac:dyDescent="0.2">
      <c r="A3496" s="1" t="str">
        <f>"CHRNB4"</f>
        <v>CHRNB4</v>
      </c>
      <c r="B3496" t="s">
        <v>14</v>
      </c>
      <c r="C3496" t="s">
        <v>25</v>
      </c>
      <c r="D3496" t="s">
        <v>11</v>
      </c>
      <c r="E3496" t="s">
        <v>12</v>
      </c>
      <c r="F3496">
        <v>78933567</v>
      </c>
      <c r="G3496">
        <v>78933604</v>
      </c>
      <c r="H3496">
        <v>78933542</v>
      </c>
      <c r="I3496">
        <v>78933562</v>
      </c>
    </row>
    <row r="3497" spans="1:9" x14ac:dyDescent="0.2">
      <c r="A3497" s="1" t="str">
        <f>"CHRND"</f>
        <v>CHRND</v>
      </c>
      <c r="B3497" t="s">
        <v>14</v>
      </c>
      <c r="C3497" t="s">
        <v>26</v>
      </c>
      <c r="D3497" t="s">
        <v>17</v>
      </c>
      <c r="E3497" t="s">
        <v>12</v>
      </c>
      <c r="F3497">
        <v>233390863</v>
      </c>
      <c r="G3497">
        <v>233390878</v>
      </c>
      <c r="H3497">
        <v>233390904</v>
      </c>
      <c r="I3497">
        <v>233390920</v>
      </c>
    </row>
    <row r="3498" spans="1:9" x14ac:dyDescent="0.2">
      <c r="A3498" s="1" t="str">
        <f>"CHRNE"</f>
        <v>CHRNE</v>
      </c>
      <c r="B3498" t="s">
        <v>14</v>
      </c>
      <c r="C3498" t="s">
        <v>28</v>
      </c>
      <c r="D3498" t="s">
        <v>11</v>
      </c>
      <c r="E3498" t="s">
        <v>12</v>
      </c>
      <c r="F3498">
        <v>4806374</v>
      </c>
      <c r="G3498">
        <v>4806394</v>
      </c>
      <c r="H3498">
        <v>4806374</v>
      </c>
      <c r="I3498">
        <v>4806394</v>
      </c>
    </row>
    <row r="3499" spans="1:9" x14ac:dyDescent="0.2">
      <c r="A3499" s="1" t="str">
        <f>"CHRNG"</f>
        <v>CHRNG</v>
      </c>
      <c r="B3499" t="s">
        <v>14</v>
      </c>
      <c r="C3499" t="s">
        <v>26</v>
      </c>
      <c r="D3499" t="s">
        <v>17</v>
      </c>
      <c r="E3499" t="s">
        <v>12</v>
      </c>
      <c r="F3499">
        <v>233404429</v>
      </c>
      <c r="G3499">
        <v>233404447</v>
      </c>
      <c r="H3499">
        <v>233404395</v>
      </c>
      <c r="I3499">
        <v>233404408</v>
      </c>
    </row>
    <row r="3500" spans="1:9" x14ac:dyDescent="0.2">
      <c r="A3500" s="1" t="str">
        <f>"CHST1"</f>
        <v>CHST1</v>
      </c>
      <c r="B3500" t="s">
        <v>14</v>
      </c>
      <c r="C3500" t="s">
        <v>27</v>
      </c>
      <c r="D3500" t="s">
        <v>11</v>
      </c>
      <c r="E3500" t="s">
        <v>12</v>
      </c>
      <c r="F3500">
        <v>45687128</v>
      </c>
      <c r="G3500">
        <v>45687214</v>
      </c>
      <c r="H3500">
        <v>45687103</v>
      </c>
      <c r="I3500">
        <v>45687114</v>
      </c>
    </row>
    <row r="3501" spans="1:9" x14ac:dyDescent="0.2">
      <c r="A3501" s="1" t="str">
        <f>"CHST10"</f>
        <v>CHST10</v>
      </c>
      <c r="B3501" t="s">
        <v>14</v>
      </c>
      <c r="C3501" t="s">
        <v>26</v>
      </c>
      <c r="D3501" t="s">
        <v>11</v>
      </c>
      <c r="E3501" t="s">
        <v>12</v>
      </c>
      <c r="F3501">
        <v>101034070</v>
      </c>
      <c r="G3501">
        <v>101034147</v>
      </c>
      <c r="H3501">
        <v>101034003</v>
      </c>
      <c r="I3501">
        <v>101034046</v>
      </c>
    </row>
    <row r="3502" spans="1:9" x14ac:dyDescent="0.2">
      <c r="A3502" s="1" t="str">
        <f>"CHST11"</f>
        <v>CHST11</v>
      </c>
      <c r="B3502" t="s">
        <v>14</v>
      </c>
      <c r="C3502" t="s">
        <v>16</v>
      </c>
      <c r="D3502" t="s">
        <v>17</v>
      </c>
      <c r="E3502" t="s">
        <v>12</v>
      </c>
      <c r="F3502">
        <v>104850740</v>
      </c>
      <c r="G3502">
        <v>104850768</v>
      </c>
      <c r="H3502">
        <v>104850771</v>
      </c>
      <c r="I3502">
        <v>104850791</v>
      </c>
    </row>
    <row r="3503" spans="1:9" x14ac:dyDescent="0.2">
      <c r="A3503" s="1" t="str">
        <f>"CHST12"</f>
        <v>CHST12</v>
      </c>
      <c r="B3503" t="s">
        <v>14</v>
      </c>
      <c r="C3503" t="s">
        <v>33</v>
      </c>
      <c r="D3503" t="s">
        <v>17</v>
      </c>
      <c r="E3503" t="s">
        <v>12</v>
      </c>
      <c r="F3503">
        <v>2443202</v>
      </c>
      <c r="G3503">
        <v>2443260</v>
      </c>
      <c r="H3503">
        <v>2443181</v>
      </c>
      <c r="I3503">
        <v>2443200</v>
      </c>
    </row>
    <row r="3504" spans="1:9" x14ac:dyDescent="0.2">
      <c r="A3504" s="1" t="str">
        <f>"CHST13"</f>
        <v>CHST13</v>
      </c>
      <c r="B3504" t="s">
        <v>14</v>
      </c>
      <c r="C3504" t="s">
        <v>22</v>
      </c>
      <c r="D3504" t="s">
        <v>17</v>
      </c>
      <c r="E3504" t="s">
        <v>12</v>
      </c>
      <c r="F3504">
        <v>126242976</v>
      </c>
      <c r="G3504">
        <v>126243008</v>
      </c>
      <c r="H3504">
        <v>126243130</v>
      </c>
      <c r="I3504">
        <v>126243153</v>
      </c>
    </row>
    <row r="3505" spans="1:9" x14ac:dyDescent="0.2">
      <c r="A3505" s="1" t="str">
        <f>"CHST14"</f>
        <v>CHST14</v>
      </c>
      <c r="B3505" t="s">
        <v>14</v>
      </c>
      <c r="C3505" t="s">
        <v>25</v>
      </c>
      <c r="D3505" t="s">
        <v>17</v>
      </c>
      <c r="E3505" t="s">
        <v>12</v>
      </c>
      <c r="F3505">
        <v>40763150</v>
      </c>
      <c r="G3505">
        <v>40763253</v>
      </c>
      <c r="H3505">
        <v>40763512</v>
      </c>
      <c r="I3505">
        <v>40763555</v>
      </c>
    </row>
    <row r="3506" spans="1:9" x14ac:dyDescent="0.2">
      <c r="A3506" s="1" t="str">
        <f>"CHST15"</f>
        <v>CHST15</v>
      </c>
      <c r="B3506" t="s">
        <v>9</v>
      </c>
      <c r="C3506" t="s">
        <v>15</v>
      </c>
      <c r="D3506" t="s">
        <v>11</v>
      </c>
      <c r="E3506" t="s">
        <v>12</v>
      </c>
      <c r="F3506">
        <v>125851906</v>
      </c>
      <c r="G3506">
        <v>125851944</v>
      </c>
      <c r="H3506">
        <v>125851906</v>
      </c>
      <c r="I3506">
        <v>125851944</v>
      </c>
    </row>
    <row r="3507" spans="1:9" x14ac:dyDescent="0.2">
      <c r="A3507" s="1" t="str">
        <f>"CHST15"</f>
        <v>CHST15</v>
      </c>
      <c r="B3507" t="s">
        <v>13</v>
      </c>
      <c r="C3507" t="s">
        <v>15</v>
      </c>
      <c r="D3507" t="s">
        <v>11</v>
      </c>
      <c r="E3507" t="s">
        <v>12</v>
      </c>
      <c r="F3507">
        <v>125853048</v>
      </c>
      <c r="G3507">
        <v>125853095</v>
      </c>
      <c r="H3507">
        <v>125853048</v>
      </c>
      <c r="I3507">
        <v>125853095</v>
      </c>
    </row>
    <row r="3508" spans="1:9" x14ac:dyDescent="0.2">
      <c r="A3508" s="1" t="str">
        <f>"CHST2"</f>
        <v>CHST2</v>
      </c>
      <c r="B3508" t="s">
        <v>14</v>
      </c>
      <c r="C3508" t="s">
        <v>22</v>
      </c>
      <c r="D3508" t="s">
        <v>17</v>
      </c>
      <c r="E3508" t="s">
        <v>12</v>
      </c>
      <c r="F3508">
        <v>142838629</v>
      </c>
      <c r="G3508">
        <v>142838697</v>
      </c>
      <c r="H3508">
        <v>142838591</v>
      </c>
      <c r="I3508">
        <v>142838621</v>
      </c>
    </row>
    <row r="3509" spans="1:9" x14ac:dyDescent="0.2">
      <c r="A3509" s="1" t="str">
        <f>"CHST3"</f>
        <v>CHST3</v>
      </c>
      <c r="B3509" t="s">
        <v>14</v>
      </c>
      <c r="C3509" t="s">
        <v>15</v>
      </c>
      <c r="D3509" t="s">
        <v>17</v>
      </c>
      <c r="E3509" t="s">
        <v>12</v>
      </c>
      <c r="F3509">
        <v>73724131</v>
      </c>
      <c r="G3509">
        <v>73724206</v>
      </c>
      <c r="H3509">
        <v>73723965</v>
      </c>
      <c r="I3509">
        <v>73724042</v>
      </c>
    </row>
    <row r="3510" spans="1:9" x14ac:dyDescent="0.2">
      <c r="A3510" s="1" t="str">
        <f>"CHST4"</f>
        <v>CHST4</v>
      </c>
      <c r="B3510" t="s">
        <v>14</v>
      </c>
      <c r="C3510" t="s">
        <v>31</v>
      </c>
      <c r="D3510" t="s">
        <v>17</v>
      </c>
      <c r="E3510" t="s">
        <v>12</v>
      </c>
      <c r="F3510">
        <v>71560323</v>
      </c>
      <c r="G3510">
        <v>71560348</v>
      </c>
      <c r="H3510">
        <v>71560323</v>
      </c>
      <c r="I3510">
        <v>71560348</v>
      </c>
    </row>
    <row r="3511" spans="1:9" x14ac:dyDescent="0.2">
      <c r="A3511" s="1" t="str">
        <f>"CHST5"</f>
        <v>CHST5</v>
      </c>
      <c r="B3511" t="s">
        <v>14</v>
      </c>
      <c r="C3511" t="s">
        <v>31</v>
      </c>
      <c r="D3511" t="s">
        <v>11</v>
      </c>
      <c r="E3511" t="s">
        <v>12</v>
      </c>
      <c r="F3511">
        <v>75569257</v>
      </c>
      <c r="G3511">
        <v>75569271</v>
      </c>
      <c r="H3511">
        <v>75569072</v>
      </c>
      <c r="I3511">
        <v>75569078</v>
      </c>
    </row>
    <row r="3512" spans="1:9" x14ac:dyDescent="0.2">
      <c r="A3512" s="1" t="str">
        <f>"CHST6"</f>
        <v>CHST6</v>
      </c>
      <c r="B3512" t="s">
        <v>14</v>
      </c>
      <c r="C3512" t="s">
        <v>31</v>
      </c>
      <c r="D3512" t="s">
        <v>11</v>
      </c>
      <c r="E3512" t="s">
        <v>12</v>
      </c>
      <c r="F3512">
        <v>75529294</v>
      </c>
      <c r="G3512">
        <v>75529376</v>
      </c>
      <c r="H3512">
        <v>75529273</v>
      </c>
      <c r="I3512">
        <v>75529293</v>
      </c>
    </row>
    <row r="3513" spans="1:9" x14ac:dyDescent="0.2">
      <c r="A3513" s="1" t="str">
        <f>"CHST7"</f>
        <v>CHST7</v>
      </c>
      <c r="B3513" t="s">
        <v>14</v>
      </c>
      <c r="C3513" t="s">
        <v>37</v>
      </c>
      <c r="D3513" t="s">
        <v>17</v>
      </c>
      <c r="E3513" t="s">
        <v>12</v>
      </c>
      <c r="F3513">
        <v>46433193</v>
      </c>
      <c r="G3513">
        <v>46433237</v>
      </c>
      <c r="H3513">
        <v>46433166</v>
      </c>
      <c r="I3513">
        <v>46433188</v>
      </c>
    </row>
    <row r="3514" spans="1:9" x14ac:dyDescent="0.2">
      <c r="A3514" s="1" t="str">
        <f>"CHST8"</f>
        <v>CHST8</v>
      </c>
      <c r="B3514" t="s">
        <v>14</v>
      </c>
      <c r="C3514" t="s">
        <v>10</v>
      </c>
      <c r="D3514" t="s">
        <v>17</v>
      </c>
      <c r="E3514" t="s">
        <v>12</v>
      </c>
      <c r="F3514">
        <v>34112850</v>
      </c>
      <c r="G3514">
        <v>34112868</v>
      </c>
      <c r="H3514">
        <v>34112850</v>
      </c>
      <c r="I3514">
        <v>34112868</v>
      </c>
    </row>
    <row r="3515" spans="1:9" x14ac:dyDescent="0.2">
      <c r="A3515" s="1" t="str">
        <f>"CHST9"</f>
        <v>CHST9</v>
      </c>
      <c r="B3515" t="s">
        <v>14</v>
      </c>
      <c r="C3515" t="s">
        <v>43</v>
      </c>
      <c r="D3515" t="s">
        <v>11</v>
      </c>
      <c r="E3515" t="s">
        <v>12</v>
      </c>
      <c r="F3515">
        <v>24765248</v>
      </c>
      <c r="G3515">
        <v>24765279</v>
      </c>
      <c r="H3515">
        <v>24765287</v>
      </c>
      <c r="I3515">
        <v>24765326</v>
      </c>
    </row>
    <row r="3516" spans="1:9" x14ac:dyDescent="0.2">
      <c r="A3516" s="1" t="str">
        <f>"CHSY1"</f>
        <v>CHSY1</v>
      </c>
      <c r="B3516" t="s">
        <v>14</v>
      </c>
      <c r="C3516" t="s">
        <v>25</v>
      </c>
      <c r="D3516" t="s">
        <v>11</v>
      </c>
      <c r="E3516" t="s">
        <v>12</v>
      </c>
      <c r="F3516">
        <v>101792139</v>
      </c>
      <c r="G3516">
        <v>101792159</v>
      </c>
      <c r="H3516">
        <v>101792171</v>
      </c>
      <c r="I3516">
        <v>101792190</v>
      </c>
    </row>
    <row r="3517" spans="1:9" x14ac:dyDescent="0.2">
      <c r="A3517" s="1" t="str">
        <f>"CHSY3"</f>
        <v>CHSY3</v>
      </c>
      <c r="B3517" t="s">
        <v>14</v>
      </c>
      <c r="C3517" t="s">
        <v>46</v>
      </c>
      <c r="D3517" t="s">
        <v>17</v>
      </c>
      <c r="E3517" t="s">
        <v>12</v>
      </c>
      <c r="F3517">
        <v>129240184</v>
      </c>
      <c r="G3517">
        <v>129240238</v>
      </c>
      <c r="H3517">
        <v>129240151</v>
      </c>
      <c r="I3517">
        <v>129240182</v>
      </c>
    </row>
    <row r="3518" spans="1:9" x14ac:dyDescent="0.2">
      <c r="A3518" s="1" t="str">
        <f>"CHTF18"</f>
        <v>CHTF18</v>
      </c>
      <c r="B3518" t="s">
        <v>14</v>
      </c>
      <c r="C3518" t="s">
        <v>31</v>
      </c>
      <c r="D3518" t="s">
        <v>17</v>
      </c>
      <c r="E3518" t="s">
        <v>12</v>
      </c>
      <c r="F3518">
        <v>838634</v>
      </c>
      <c r="G3518">
        <v>838681</v>
      </c>
      <c r="H3518">
        <v>838614</v>
      </c>
      <c r="I3518">
        <v>838633</v>
      </c>
    </row>
    <row r="3519" spans="1:9" x14ac:dyDescent="0.2">
      <c r="A3519" s="1" t="str">
        <f>"CHTF8"</f>
        <v>CHTF8</v>
      </c>
      <c r="B3519" t="s">
        <v>14</v>
      </c>
      <c r="C3519" t="s">
        <v>31</v>
      </c>
      <c r="D3519" t="s">
        <v>11</v>
      </c>
      <c r="E3519" t="s">
        <v>12</v>
      </c>
      <c r="F3519">
        <v>69166460</v>
      </c>
      <c r="G3519">
        <v>69166498</v>
      </c>
      <c r="H3519">
        <v>69166031</v>
      </c>
      <c r="I3519">
        <v>69166070</v>
      </c>
    </row>
    <row r="3520" spans="1:9" x14ac:dyDescent="0.2">
      <c r="A3520" s="1" t="str">
        <f>"CHTOP"</f>
        <v>CHTOP</v>
      </c>
      <c r="B3520" t="s">
        <v>14</v>
      </c>
      <c r="C3520" t="s">
        <v>19</v>
      </c>
      <c r="D3520" t="s">
        <v>17</v>
      </c>
      <c r="E3520" t="s">
        <v>12</v>
      </c>
      <c r="F3520">
        <v>153606532</v>
      </c>
      <c r="G3520">
        <v>153606573</v>
      </c>
      <c r="H3520">
        <v>153606513</v>
      </c>
      <c r="I3520">
        <v>153606524</v>
      </c>
    </row>
    <row r="3521" spans="1:9" x14ac:dyDescent="0.2">
      <c r="A3521" s="1" t="str">
        <f>"CHUK"</f>
        <v>CHUK</v>
      </c>
      <c r="B3521" t="s">
        <v>14</v>
      </c>
      <c r="C3521" t="s">
        <v>15</v>
      </c>
      <c r="D3521" t="s">
        <v>11</v>
      </c>
      <c r="E3521" t="s">
        <v>12</v>
      </c>
      <c r="F3521">
        <v>101989315</v>
      </c>
      <c r="G3521">
        <v>101989368</v>
      </c>
      <c r="H3521">
        <v>101989315</v>
      </c>
      <c r="I3521">
        <v>101989368</v>
      </c>
    </row>
    <row r="3522" spans="1:9" x14ac:dyDescent="0.2">
      <c r="A3522" s="1" t="str">
        <f>"CHURC1"</f>
        <v>CHURC1</v>
      </c>
      <c r="B3522" t="s">
        <v>14</v>
      </c>
      <c r="C3522" t="s">
        <v>41</v>
      </c>
      <c r="D3522" t="s">
        <v>17</v>
      </c>
      <c r="E3522" t="s">
        <v>12</v>
      </c>
      <c r="F3522">
        <v>65381143</v>
      </c>
      <c r="G3522">
        <v>65381212</v>
      </c>
      <c r="H3522">
        <v>65381118</v>
      </c>
      <c r="I3522">
        <v>65381125</v>
      </c>
    </row>
    <row r="3523" spans="1:9" x14ac:dyDescent="0.2">
      <c r="A3523" s="1" t="str">
        <f>"CHURC1-FNTB"</f>
        <v>CHURC1-FNTB</v>
      </c>
      <c r="B3523" t="s">
        <v>14</v>
      </c>
      <c r="C3523" t="s">
        <v>41</v>
      </c>
      <c r="D3523" t="s">
        <v>17</v>
      </c>
      <c r="E3523" t="s">
        <v>12</v>
      </c>
      <c r="F3523">
        <v>65381143</v>
      </c>
      <c r="G3523">
        <v>65381212</v>
      </c>
      <c r="H3523">
        <v>65381143</v>
      </c>
      <c r="I3523">
        <v>65381212</v>
      </c>
    </row>
    <row r="3524" spans="1:9" x14ac:dyDescent="0.2">
      <c r="A3524" s="1" t="str">
        <f>"CIAO1"</f>
        <v>CIAO1</v>
      </c>
      <c r="B3524" t="s">
        <v>14</v>
      </c>
      <c r="C3524" t="s">
        <v>26</v>
      </c>
      <c r="D3524" t="s">
        <v>17</v>
      </c>
      <c r="E3524" t="s">
        <v>12</v>
      </c>
      <c r="F3524">
        <v>96931950</v>
      </c>
      <c r="G3524">
        <v>96932043</v>
      </c>
      <c r="H3524">
        <v>96932046</v>
      </c>
      <c r="I3524">
        <v>96932081</v>
      </c>
    </row>
    <row r="3525" spans="1:9" x14ac:dyDescent="0.2">
      <c r="A3525" s="1" t="str">
        <f>"CIAPIN1"</f>
        <v>CIAPIN1</v>
      </c>
      <c r="B3525" t="s">
        <v>14</v>
      </c>
      <c r="C3525" t="s">
        <v>31</v>
      </c>
      <c r="D3525" t="s">
        <v>11</v>
      </c>
      <c r="E3525" t="s">
        <v>12</v>
      </c>
      <c r="F3525">
        <v>57481283</v>
      </c>
      <c r="G3525">
        <v>57481327</v>
      </c>
      <c r="H3525">
        <v>57481283</v>
      </c>
      <c r="I3525">
        <v>57481327</v>
      </c>
    </row>
    <row r="3526" spans="1:9" x14ac:dyDescent="0.2">
      <c r="A3526" s="1" t="str">
        <f>"CIB1"</f>
        <v>CIB1</v>
      </c>
      <c r="B3526" t="s">
        <v>14</v>
      </c>
      <c r="C3526" t="s">
        <v>25</v>
      </c>
      <c r="D3526" t="s">
        <v>11</v>
      </c>
      <c r="E3526" t="s">
        <v>12</v>
      </c>
      <c r="F3526">
        <v>90777134</v>
      </c>
      <c r="G3526">
        <v>90777190</v>
      </c>
      <c r="H3526">
        <v>90777193</v>
      </c>
      <c r="I3526">
        <v>90777200</v>
      </c>
    </row>
    <row r="3527" spans="1:9" x14ac:dyDescent="0.2">
      <c r="A3527" s="1" t="str">
        <f>"CIB2"</f>
        <v>CIB2</v>
      </c>
      <c r="B3527" t="s">
        <v>14</v>
      </c>
      <c r="C3527" t="s">
        <v>25</v>
      </c>
      <c r="D3527" t="s">
        <v>11</v>
      </c>
      <c r="E3527" t="s">
        <v>12</v>
      </c>
      <c r="F3527">
        <v>78423776</v>
      </c>
      <c r="G3527">
        <v>78423794</v>
      </c>
      <c r="H3527">
        <v>78423705</v>
      </c>
      <c r="I3527">
        <v>78423738</v>
      </c>
    </row>
    <row r="3528" spans="1:9" x14ac:dyDescent="0.2">
      <c r="A3528" s="1" t="str">
        <f>"CIB3"</f>
        <v>CIB3</v>
      </c>
      <c r="B3528" t="s">
        <v>236</v>
      </c>
      <c r="C3528" t="s">
        <v>10</v>
      </c>
      <c r="D3528" t="s">
        <v>11</v>
      </c>
      <c r="E3528" t="s">
        <v>20</v>
      </c>
      <c r="F3528">
        <v>16284335</v>
      </c>
      <c r="G3528">
        <v>16284335</v>
      </c>
      <c r="H3528">
        <v>16284335</v>
      </c>
      <c r="I3528">
        <v>16284335</v>
      </c>
    </row>
    <row r="3529" spans="1:9" x14ac:dyDescent="0.2">
      <c r="A3529" s="1" t="str">
        <f>"CIB4"</f>
        <v>CIB4</v>
      </c>
      <c r="B3529" t="s">
        <v>14</v>
      </c>
      <c r="C3529" t="s">
        <v>26</v>
      </c>
      <c r="D3529" t="s">
        <v>11</v>
      </c>
      <c r="E3529" t="s">
        <v>12</v>
      </c>
      <c r="F3529">
        <v>26864209</v>
      </c>
      <c r="G3529">
        <v>26864225</v>
      </c>
      <c r="H3529">
        <v>26864228</v>
      </c>
      <c r="I3529">
        <v>26864237</v>
      </c>
    </row>
    <row r="3530" spans="1:9" x14ac:dyDescent="0.2">
      <c r="A3530" s="1" t="str">
        <f>"CIC"</f>
        <v>CIC</v>
      </c>
      <c r="B3530" t="s">
        <v>14</v>
      </c>
      <c r="C3530" t="s">
        <v>10</v>
      </c>
      <c r="D3530" t="s">
        <v>17</v>
      </c>
      <c r="E3530" t="s">
        <v>12</v>
      </c>
      <c r="F3530">
        <v>42788636</v>
      </c>
      <c r="G3530">
        <v>42788660</v>
      </c>
      <c r="H3530">
        <v>42788636</v>
      </c>
      <c r="I3530">
        <v>42788660</v>
      </c>
    </row>
    <row r="3531" spans="1:9" x14ac:dyDescent="0.2">
      <c r="A3531" s="1" t="str">
        <f>"CIDEA"</f>
        <v>CIDEA</v>
      </c>
      <c r="B3531" t="s">
        <v>14</v>
      </c>
      <c r="C3531" t="s">
        <v>43</v>
      </c>
      <c r="D3531" t="s">
        <v>17</v>
      </c>
      <c r="E3531" t="s">
        <v>12</v>
      </c>
      <c r="F3531">
        <v>12254353</v>
      </c>
      <c r="G3531">
        <v>12254366</v>
      </c>
      <c r="H3531">
        <v>12254319</v>
      </c>
      <c r="I3531">
        <v>12254336</v>
      </c>
    </row>
    <row r="3532" spans="1:9" x14ac:dyDescent="0.2">
      <c r="A3532" s="1" t="str">
        <f>"CIDEB"</f>
        <v>CIDEB</v>
      </c>
      <c r="B3532" t="s">
        <v>9</v>
      </c>
      <c r="C3532" t="s">
        <v>41</v>
      </c>
      <c r="D3532" t="s">
        <v>11</v>
      </c>
      <c r="E3532" t="s">
        <v>12</v>
      </c>
      <c r="F3532">
        <v>24777113</v>
      </c>
      <c r="G3532">
        <v>24777165</v>
      </c>
      <c r="H3532">
        <v>24777113</v>
      </c>
      <c r="I3532">
        <v>24777165</v>
      </c>
    </row>
    <row r="3533" spans="1:9" x14ac:dyDescent="0.2">
      <c r="A3533" s="1" t="str">
        <f>"CIDEB"</f>
        <v>CIDEB</v>
      </c>
      <c r="B3533" t="s">
        <v>13</v>
      </c>
      <c r="C3533" t="s">
        <v>41</v>
      </c>
      <c r="D3533" t="s">
        <v>11</v>
      </c>
      <c r="E3533" t="s">
        <v>12</v>
      </c>
      <c r="F3533">
        <v>24780573</v>
      </c>
      <c r="G3533">
        <v>24780647</v>
      </c>
      <c r="H3533">
        <v>24780573</v>
      </c>
      <c r="I3533">
        <v>24780647</v>
      </c>
    </row>
    <row r="3534" spans="1:9" x14ac:dyDescent="0.2">
      <c r="A3534" s="1" t="str">
        <f>"CIDEC"</f>
        <v>CIDEC</v>
      </c>
      <c r="B3534" t="s">
        <v>9</v>
      </c>
      <c r="C3534" t="s">
        <v>22</v>
      </c>
      <c r="D3534" t="s">
        <v>11</v>
      </c>
      <c r="E3534" t="s">
        <v>12</v>
      </c>
      <c r="F3534">
        <v>9921934</v>
      </c>
      <c r="G3534">
        <v>9921940</v>
      </c>
      <c r="H3534">
        <v>9921934</v>
      </c>
      <c r="I3534">
        <v>9921940</v>
      </c>
    </row>
    <row r="3535" spans="1:9" x14ac:dyDescent="0.2">
      <c r="A3535" s="1" t="str">
        <f>"CIDEC"</f>
        <v>CIDEC</v>
      </c>
      <c r="B3535" t="s">
        <v>13</v>
      </c>
      <c r="C3535" t="s">
        <v>22</v>
      </c>
      <c r="D3535" t="s">
        <v>11</v>
      </c>
      <c r="E3535" t="s">
        <v>12</v>
      </c>
      <c r="F3535">
        <v>9920487</v>
      </c>
      <c r="G3535">
        <v>9920502</v>
      </c>
      <c r="H3535">
        <v>9920487</v>
      </c>
      <c r="I3535">
        <v>9920502</v>
      </c>
    </row>
    <row r="3536" spans="1:9" x14ac:dyDescent="0.2">
      <c r="A3536" s="1" t="str">
        <f>"CIITA"</f>
        <v>CIITA</v>
      </c>
      <c r="B3536" t="s">
        <v>14</v>
      </c>
      <c r="C3536" t="s">
        <v>31</v>
      </c>
      <c r="D3536" t="s">
        <v>17</v>
      </c>
      <c r="E3536" t="s">
        <v>12</v>
      </c>
      <c r="F3536">
        <v>10971037</v>
      </c>
      <c r="G3536">
        <v>10971076</v>
      </c>
      <c r="H3536">
        <v>10971077</v>
      </c>
      <c r="I3536">
        <v>10971090</v>
      </c>
    </row>
    <row r="3537" spans="1:9" x14ac:dyDescent="0.2">
      <c r="A3537" s="1" t="str">
        <f>"CILP"</f>
        <v>CILP</v>
      </c>
      <c r="B3537" t="s">
        <v>14</v>
      </c>
      <c r="C3537" t="s">
        <v>25</v>
      </c>
      <c r="D3537" t="s">
        <v>11</v>
      </c>
      <c r="E3537" t="s">
        <v>12</v>
      </c>
      <c r="F3537">
        <v>65503801</v>
      </c>
      <c r="G3537">
        <v>65503818</v>
      </c>
      <c r="H3537">
        <v>65503801</v>
      </c>
      <c r="I3537">
        <v>65503818</v>
      </c>
    </row>
    <row r="3538" spans="1:9" x14ac:dyDescent="0.2">
      <c r="A3538" s="1" t="str">
        <f>"CILP2"</f>
        <v>CILP2</v>
      </c>
      <c r="B3538" t="s">
        <v>14</v>
      </c>
      <c r="C3538" t="s">
        <v>10</v>
      </c>
      <c r="D3538" t="s">
        <v>17</v>
      </c>
      <c r="E3538" t="s">
        <v>12</v>
      </c>
      <c r="F3538">
        <v>19649067</v>
      </c>
      <c r="G3538">
        <v>19649109</v>
      </c>
      <c r="H3538">
        <v>19649067</v>
      </c>
      <c r="I3538">
        <v>19649109</v>
      </c>
    </row>
    <row r="3539" spans="1:9" x14ac:dyDescent="0.2">
      <c r="A3539" s="1" t="str">
        <f>"CINP"</f>
        <v>CINP</v>
      </c>
      <c r="B3539" t="s">
        <v>14</v>
      </c>
      <c r="C3539" t="s">
        <v>41</v>
      </c>
      <c r="D3539" t="s">
        <v>11</v>
      </c>
      <c r="E3539" t="s">
        <v>12</v>
      </c>
      <c r="F3539">
        <v>102829199</v>
      </c>
      <c r="G3539">
        <v>102829237</v>
      </c>
      <c r="H3539">
        <v>102829690</v>
      </c>
      <c r="I3539">
        <v>102829691</v>
      </c>
    </row>
    <row r="3540" spans="1:9" x14ac:dyDescent="0.2">
      <c r="A3540" s="1" t="str">
        <f>"CIR1"</f>
        <v>CIR1</v>
      </c>
      <c r="B3540" t="s">
        <v>14</v>
      </c>
      <c r="C3540" t="s">
        <v>26</v>
      </c>
      <c r="D3540" t="s">
        <v>11</v>
      </c>
      <c r="E3540" t="s">
        <v>12</v>
      </c>
      <c r="F3540">
        <v>175260368</v>
      </c>
      <c r="G3540">
        <v>175260450</v>
      </c>
      <c r="H3540">
        <v>175260368</v>
      </c>
      <c r="I3540">
        <v>175260450</v>
      </c>
    </row>
    <row r="3541" spans="1:9" x14ac:dyDescent="0.2">
      <c r="A3541" s="1" t="str">
        <f>"CIRBP"</f>
        <v>CIRBP</v>
      </c>
      <c r="B3541" t="s">
        <v>14</v>
      </c>
      <c r="C3541" t="s">
        <v>10</v>
      </c>
      <c r="D3541" t="s">
        <v>17</v>
      </c>
      <c r="E3541" t="s">
        <v>12</v>
      </c>
      <c r="F3541">
        <v>1269324</v>
      </c>
      <c r="G3541">
        <v>1269339</v>
      </c>
      <c r="H3541">
        <v>1269324</v>
      </c>
      <c r="I3541">
        <v>1269339</v>
      </c>
    </row>
    <row r="3542" spans="1:9" x14ac:dyDescent="0.2">
      <c r="A3542" s="1" t="str">
        <f>"CIRH1A"</f>
        <v>CIRH1A</v>
      </c>
      <c r="B3542" t="s">
        <v>14</v>
      </c>
      <c r="C3542" t="s">
        <v>31</v>
      </c>
      <c r="D3542" t="s">
        <v>17</v>
      </c>
      <c r="E3542" t="s">
        <v>12</v>
      </c>
      <c r="F3542">
        <v>69166496</v>
      </c>
      <c r="G3542">
        <v>69166561</v>
      </c>
      <c r="H3542">
        <v>69166236</v>
      </c>
      <c r="I3542">
        <v>69166263</v>
      </c>
    </row>
    <row r="3543" spans="1:9" x14ac:dyDescent="0.2">
      <c r="A3543" s="1" t="str">
        <f>"CISD1"</f>
        <v>CISD1</v>
      </c>
      <c r="B3543" t="s">
        <v>14</v>
      </c>
      <c r="C3543" t="s">
        <v>15</v>
      </c>
      <c r="D3543" t="s">
        <v>17</v>
      </c>
      <c r="E3543" t="s">
        <v>12</v>
      </c>
      <c r="F3543">
        <v>60028892</v>
      </c>
      <c r="G3543">
        <v>60028975</v>
      </c>
      <c r="H3543">
        <v>60028878</v>
      </c>
      <c r="I3543">
        <v>60028891</v>
      </c>
    </row>
    <row r="3544" spans="1:9" x14ac:dyDescent="0.2">
      <c r="A3544" s="1" t="str">
        <f>"CISD2"</f>
        <v>CISD2</v>
      </c>
      <c r="B3544" t="s">
        <v>14</v>
      </c>
      <c r="C3544" t="s">
        <v>23</v>
      </c>
      <c r="D3544" t="s">
        <v>17</v>
      </c>
      <c r="E3544" t="s">
        <v>12</v>
      </c>
      <c r="F3544">
        <v>103790120</v>
      </c>
      <c r="G3544">
        <v>103790186</v>
      </c>
      <c r="H3544">
        <v>103790208</v>
      </c>
      <c r="I3544">
        <v>103790227</v>
      </c>
    </row>
    <row r="3545" spans="1:9" x14ac:dyDescent="0.2">
      <c r="A3545" s="1" t="str">
        <f>"CISD3"</f>
        <v>CISD3</v>
      </c>
      <c r="B3545" t="s">
        <v>14</v>
      </c>
      <c r="C3545" t="s">
        <v>28</v>
      </c>
      <c r="D3545" t="s">
        <v>17</v>
      </c>
      <c r="E3545" t="s">
        <v>12</v>
      </c>
      <c r="F3545">
        <v>36886554</v>
      </c>
      <c r="G3545">
        <v>36886647</v>
      </c>
      <c r="H3545">
        <v>36886478</v>
      </c>
      <c r="I3545">
        <v>36886512</v>
      </c>
    </row>
    <row r="3546" spans="1:9" x14ac:dyDescent="0.2">
      <c r="A3546" s="1" t="str">
        <f>"CISH"</f>
        <v>CISH</v>
      </c>
      <c r="B3546" t="s">
        <v>14</v>
      </c>
      <c r="C3546" t="s">
        <v>22</v>
      </c>
      <c r="D3546" t="s">
        <v>11</v>
      </c>
      <c r="E3546" t="s">
        <v>12</v>
      </c>
      <c r="F3546">
        <v>50649192</v>
      </c>
      <c r="G3546">
        <v>50649212</v>
      </c>
      <c r="H3546">
        <v>50649192</v>
      </c>
      <c r="I3546">
        <v>50649212</v>
      </c>
    </row>
    <row r="3547" spans="1:9" x14ac:dyDescent="0.2">
      <c r="A3547" s="1" t="str">
        <f>"CIT"</f>
        <v>CIT</v>
      </c>
      <c r="B3547" t="s">
        <v>14</v>
      </c>
      <c r="C3547" t="s">
        <v>16</v>
      </c>
      <c r="D3547" t="s">
        <v>11</v>
      </c>
      <c r="E3547" t="s">
        <v>12</v>
      </c>
      <c r="F3547">
        <v>120315104</v>
      </c>
      <c r="G3547">
        <v>120315145</v>
      </c>
      <c r="H3547">
        <v>120315104</v>
      </c>
      <c r="I3547">
        <v>120315145</v>
      </c>
    </row>
    <row r="3548" spans="1:9" x14ac:dyDescent="0.2">
      <c r="A3548" s="1" t="str">
        <f>"CITED1"</f>
        <v>CITED1</v>
      </c>
      <c r="B3548" t="s">
        <v>9</v>
      </c>
      <c r="C3548" t="s">
        <v>37</v>
      </c>
      <c r="D3548" t="s">
        <v>11</v>
      </c>
      <c r="E3548" t="s">
        <v>12</v>
      </c>
      <c r="F3548">
        <v>71525756</v>
      </c>
      <c r="G3548">
        <v>71525771</v>
      </c>
      <c r="H3548">
        <v>71525756</v>
      </c>
      <c r="I3548">
        <v>71525771</v>
      </c>
    </row>
    <row r="3549" spans="1:9" x14ac:dyDescent="0.2">
      <c r="A3549" s="1" t="str">
        <f>"CITED1"</f>
        <v>CITED1</v>
      </c>
      <c r="B3549" t="s">
        <v>13</v>
      </c>
      <c r="C3549" t="s">
        <v>37</v>
      </c>
      <c r="D3549" t="s">
        <v>11</v>
      </c>
      <c r="E3549" t="s">
        <v>12</v>
      </c>
      <c r="F3549">
        <v>71526999</v>
      </c>
      <c r="G3549">
        <v>71527015</v>
      </c>
      <c r="H3549">
        <v>71526999</v>
      </c>
      <c r="I3549">
        <v>71527015</v>
      </c>
    </row>
    <row r="3550" spans="1:9" x14ac:dyDescent="0.2">
      <c r="A3550" s="1" t="str">
        <f>"CITED2"</f>
        <v>CITED2</v>
      </c>
      <c r="B3550" t="s">
        <v>14</v>
      </c>
      <c r="C3550" t="s">
        <v>32</v>
      </c>
      <c r="D3550" t="s">
        <v>11</v>
      </c>
      <c r="E3550" t="s">
        <v>12</v>
      </c>
      <c r="F3550">
        <v>139695775</v>
      </c>
      <c r="G3550">
        <v>139695795</v>
      </c>
      <c r="H3550">
        <v>139694931</v>
      </c>
      <c r="I3550">
        <v>139695001</v>
      </c>
    </row>
    <row r="3551" spans="1:9" x14ac:dyDescent="0.2">
      <c r="A3551" s="1" t="str">
        <f>"CITED4"</f>
        <v>CITED4</v>
      </c>
      <c r="B3551" t="s">
        <v>14</v>
      </c>
      <c r="C3551" t="s">
        <v>19</v>
      </c>
      <c r="D3551" t="s">
        <v>11</v>
      </c>
      <c r="E3551" t="s">
        <v>12</v>
      </c>
      <c r="F3551">
        <v>41328026</v>
      </c>
      <c r="G3551">
        <v>41328043</v>
      </c>
      <c r="H3551">
        <v>41328026</v>
      </c>
      <c r="I3551">
        <v>41328043</v>
      </c>
    </row>
    <row r="3552" spans="1:9" x14ac:dyDescent="0.2">
      <c r="A3552" s="1" t="str">
        <f>"CIZ1"</f>
        <v>CIZ1</v>
      </c>
      <c r="B3552" t="s">
        <v>14</v>
      </c>
      <c r="C3552" t="s">
        <v>24</v>
      </c>
      <c r="D3552" t="s">
        <v>11</v>
      </c>
      <c r="E3552" t="s">
        <v>12</v>
      </c>
      <c r="F3552">
        <v>130953817</v>
      </c>
      <c r="G3552">
        <v>130953876</v>
      </c>
      <c r="H3552">
        <v>130954041</v>
      </c>
      <c r="I3552">
        <v>130954121</v>
      </c>
    </row>
    <row r="3553" spans="1:9" x14ac:dyDescent="0.2">
      <c r="A3553" s="1" t="str">
        <f>"CKAP2"</f>
        <v>CKAP2</v>
      </c>
      <c r="B3553" t="s">
        <v>14</v>
      </c>
      <c r="C3553" t="s">
        <v>39</v>
      </c>
      <c r="D3553" t="s">
        <v>17</v>
      </c>
      <c r="E3553" t="s">
        <v>12</v>
      </c>
      <c r="F3553">
        <v>53029568</v>
      </c>
      <c r="G3553">
        <v>53029650</v>
      </c>
      <c r="H3553">
        <v>53030110</v>
      </c>
      <c r="I3553">
        <v>53030147</v>
      </c>
    </row>
    <row r="3554" spans="1:9" x14ac:dyDescent="0.2">
      <c r="A3554" s="1" t="str">
        <f>"CKAP2L"</f>
        <v>CKAP2L</v>
      </c>
      <c r="B3554" t="s">
        <v>14</v>
      </c>
      <c r="C3554" t="s">
        <v>26</v>
      </c>
      <c r="D3554" t="s">
        <v>11</v>
      </c>
      <c r="E3554" t="s">
        <v>12</v>
      </c>
      <c r="F3554">
        <v>113522177</v>
      </c>
      <c r="G3554">
        <v>113522228</v>
      </c>
      <c r="H3554">
        <v>113522248</v>
      </c>
      <c r="I3554">
        <v>113522259</v>
      </c>
    </row>
    <row r="3555" spans="1:9" x14ac:dyDescent="0.2">
      <c r="A3555" s="1" t="str">
        <f>"CKAP4"</f>
        <v>CKAP4</v>
      </c>
      <c r="B3555" t="s">
        <v>14</v>
      </c>
      <c r="C3555" t="s">
        <v>16</v>
      </c>
      <c r="D3555" t="s">
        <v>11</v>
      </c>
      <c r="E3555" t="s">
        <v>12</v>
      </c>
      <c r="F3555">
        <v>106641728</v>
      </c>
      <c r="G3555">
        <v>106641805</v>
      </c>
      <c r="H3555">
        <v>106641692</v>
      </c>
      <c r="I3555">
        <v>106641704</v>
      </c>
    </row>
    <row r="3556" spans="1:9" x14ac:dyDescent="0.2">
      <c r="A3556" s="1" t="str">
        <f>"CKAP5"</f>
        <v>CKAP5</v>
      </c>
      <c r="B3556" t="s">
        <v>9</v>
      </c>
      <c r="C3556" t="s">
        <v>27</v>
      </c>
      <c r="D3556" t="s">
        <v>11</v>
      </c>
      <c r="E3556" t="s">
        <v>12</v>
      </c>
      <c r="F3556">
        <v>46867791</v>
      </c>
      <c r="G3556">
        <v>46867848</v>
      </c>
      <c r="H3556">
        <v>46867791</v>
      </c>
      <c r="I3556">
        <v>46867848</v>
      </c>
    </row>
    <row r="3557" spans="1:9" x14ac:dyDescent="0.2">
      <c r="A3557" s="1" t="str">
        <f>"CKAP5"</f>
        <v>CKAP5</v>
      </c>
      <c r="B3557" t="s">
        <v>13</v>
      </c>
      <c r="C3557" t="s">
        <v>27</v>
      </c>
      <c r="D3557" t="s">
        <v>11</v>
      </c>
      <c r="E3557" t="s">
        <v>12</v>
      </c>
      <c r="F3557">
        <v>46848393</v>
      </c>
      <c r="G3557">
        <v>46848439</v>
      </c>
      <c r="H3557">
        <v>46848393</v>
      </c>
      <c r="I3557">
        <v>46848439</v>
      </c>
    </row>
    <row r="3558" spans="1:9" x14ac:dyDescent="0.2">
      <c r="A3558" s="1" t="str">
        <f>"CKB"</f>
        <v>CKB</v>
      </c>
      <c r="B3558" t="s">
        <v>14</v>
      </c>
      <c r="C3558" t="s">
        <v>41</v>
      </c>
      <c r="D3558" t="s">
        <v>11</v>
      </c>
      <c r="E3558" t="s">
        <v>12</v>
      </c>
      <c r="F3558">
        <v>103989160</v>
      </c>
      <c r="G3558">
        <v>103989176</v>
      </c>
      <c r="H3558">
        <v>103988768</v>
      </c>
      <c r="I3558">
        <v>103988787</v>
      </c>
    </row>
    <row r="3559" spans="1:9" x14ac:dyDescent="0.2">
      <c r="A3559" s="1" t="str">
        <f>"CKLF"</f>
        <v>CKLF</v>
      </c>
      <c r="B3559" t="s">
        <v>14</v>
      </c>
      <c r="C3559" t="s">
        <v>31</v>
      </c>
      <c r="D3559" t="s">
        <v>17</v>
      </c>
      <c r="E3559" t="s">
        <v>12</v>
      </c>
      <c r="F3559">
        <v>66586461</v>
      </c>
      <c r="G3559">
        <v>66586567</v>
      </c>
      <c r="H3559">
        <v>66586461</v>
      </c>
      <c r="I3559">
        <v>66586567</v>
      </c>
    </row>
    <row r="3560" spans="1:9" x14ac:dyDescent="0.2">
      <c r="A3560" s="1" t="str">
        <f>"CKLF-CMTM1"</f>
        <v>CKLF-CMTM1</v>
      </c>
      <c r="B3560" t="s">
        <v>14</v>
      </c>
      <c r="C3560" t="s">
        <v>31</v>
      </c>
      <c r="D3560" t="s">
        <v>17</v>
      </c>
      <c r="E3560" t="s">
        <v>12</v>
      </c>
      <c r="F3560">
        <v>66586461</v>
      </c>
      <c r="G3560">
        <v>66586567</v>
      </c>
      <c r="H3560">
        <v>66586461</v>
      </c>
      <c r="I3560">
        <v>66586567</v>
      </c>
    </row>
    <row r="3561" spans="1:9" x14ac:dyDescent="0.2">
      <c r="A3561" s="1" t="str">
        <f>"CKM"</f>
        <v>CKM</v>
      </c>
      <c r="B3561" t="s">
        <v>9</v>
      </c>
      <c r="C3561" t="s">
        <v>10</v>
      </c>
      <c r="D3561" t="s">
        <v>11</v>
      </c>
      <c r="E3561" t="s">
        <v>12</v>
      </c>
      <c r="F3561">
        <v>45826125</v>
      </c>
      <c r="G3561">
        <v>45826141</v>
      </c>
      <c r="H3561">
        <v>45826125</v>
      </c>
      <c r="I3561">
        <v>45826141</v>
      </c>
    </row>
    <row r="3562" spans="1:9" x14ac:dyDescent="0.2">
      <c r="A3562" s="1" t="str">
        <f>"CKM"</f>
        <v>CKM</v>
      </c>
      <c r="B3562" t="s">
        <v>13</v>
      </c>
      <c r="C3562" t="s">
        <v>10</v>
      </c>
      <c r="D3562" t="s">
        <v>11</v>
      </c>
      <c r="E3562" t="s">
        <v>12</v>
      </c>
      <c r="F3562">
        <v>45822970</v>
      </c>
      <c r="G3562">
        <v>45822997</v>
      </c>
      <c r="H3562">
        <v>45822970</v>
      </c>
      <c r="I3562">
        <v>45822997</v>
      </c>
    </row>
    <row r="3563" spans="1:9" x14ac:dyDescent="0.2">
      <c r="A3563" s="1" t="str">
        <f>"CKMT1A"</f>
        <v>CKMT1A</v>
      </c>
      <c r="B3563" t="s">
        <v>237</v>
      </c>
      <c r="C3563" t="s">
        <v>25</v>
      </c>
      <c r="D3563" t="s">
        <v>17</v>
      </c>
      <c r="E3563" t="s">
        <v>20</v>
      </c>
      <c r="F3563">
        <v>43985724</v>
      </c>
      <c r="G3563">
        <v>43985724</v>
      </c>
      <c r="H3563">
        <v>43985724</v>
      </c>
      <c r="I3563">
        <v>43985724</v>
      </c>
    </row>
    <row r="3564" spans="1:9" x14ac:dyDescent="0.2">
      <c r="A3564" s="1" t="str">
        <f>"CKMT1A"</f>
        <v>CKMT1A</v>
      </c>
      <c r="B3564" t="s">
        <v>238</v>
      </c>
      <c r="C3564" t="s">
        <v>25</v>
      </c>
      <c r="D3564" t="s">
        <v>17</v>
      </c>
      <c r="E3564" t="s">
        <v>20</v>
      </c>
      <c r="F3564">
        <v>43985083</v>
      </c>
      <c r="G3564">
        <v>43985083</v>
      </c>
      <c r="H3564">
        <v>43985083</v>
      </c>
      <c r="I3564">
        <v>43985083</v>
      </c>
    </row>
    <row r="3565" spans="1:9" x14ac:dyDescent="0.2">
      <c r="A3565" s="1" t="str">
        <f>"CKMT1B"</f>
        <v>CKMT1B</v>
      </c>
      <c r="B3565" t="s">
        <v>239</v>
      </c>
      <c r="C3565" t="s">
        <v>25</v>
      </c>
      <c r="D3565" t="s">
        <v>17</v>
      </c>
      <c r="E3565" t="s">
        <v>20</v>
      </c>
      <c r="F3565">
        <v>43885251</v>
      </c>
      <c r="G3565">
        <v>43885251</v>
      </c>
      <c r="H3565">
        <v>43885251</v>
      </c>
      <c r="I3565">
        <v>43885251</v>
      </c>
    </row>
    <row r="3566" spans="1:9" x14ac:dyDescent="0.2">
      <c r="A3566" s="1" t="str">
        <f>"CKMT1B"</f>
        <v>CKMT1B</v>
      </c>
      <c r="B3566" t="s">
        <v>240</v>
      </c>
      <c r="C3566" t="s">
        <v>25</v>
      </c>
      <c r="D3566" t="s">
        <v>17</v>
      </c>
      <c r="E3566" t="s">
        <v>20</v>
      </c>
      <c r="F3566">
        <v>43886056</v>
      </c>
      <c r="G3566">
        <v>43886056</v>
      </c>
      <c r="H3566">
        <v>43886056</v>
      </c>
      <c r="I3566">
        <v>43886056</v>
      </c>
    </row>
    <row r="3567" spans="1:9" x14ac:dyDescent="0.2">
      <c r="A3567" s="1" t="str">
        <f>"CKMT2"</f>
        <v>CKMT2</v>
      </c>
      <c r="B3567" t="s">
        <v>14</v>
      </c>
      <c r="C3567" t="s">
        <v>46</v>
      </c>
      <c r="D3567" t="s">
        <v>17</v>
      </c>
      <c r="E3567" t="s">
        <v>12</v>
      </c>
      <c r="F3567">
        <v>80529134</v>
      </c>
      <c r="G3567">
        <v>80529149</v>
      </c>
      <c r="H3567">
        <v>80529134</v>
      </c>
      <c r="I3567">
        <v>80529149</v>
      </c>
    </row>
    <row r="3568" spans="1:9" x14ac:dyDescent="0.2">
      <c r="A3568" s="1" t="str">
        <f>"CKS1B"</f>
        <v>CKS1B</v>
      </c>
      <c r="B3568" t="s">
        <v>241</v>
      </c>
      <c r="C3568" t="s">
        <v>46</v>
      </c>
      <c r="D3568" t="s">
        <v>11</v>
      </c>
      <c r="E3568" t="s">
        <v>20</v>
      </c>
      <c r="F3568">
        <v>61808308</v>
      </c>
      <c r="G3568">
        <v>61808308</v>
      </c>
      <c r="H3568">
        <v>61808308</v>
      </c>
      <c r="I3568">
        <v>61808308</v>
      </c>
    </row>
    <row r="3569" spans="1:9" x14ac:dyDescent="0.2">
      <c r="A3569" s="1" t="str">
        <f>"CKS2"</f>
        <v>CKS2</v>
      </c>
      <c r="B3569" t="s">
        <v>14</v>
      </c>
      <c r="C3569" t="s">
        <v>24</v>
      </c>
      <c r="D3569" t="s">
        <v>17</v>
      </c>
      <c r="E3569" t="s">
        <v>12</v>
      </c>
      <c r="F3569">
        <v>91926103</v>
      </c>
      <c r="G3569">
        <v>91926119</v>
      </c>
      <c r="H3569">
        <v>91925774</v>
      </c>
      <c r="I3569">
        <v>91925775</v>
      </c>
    </row>
    <row r="3570" spans="1:9" x14ac:dyDescent="0.2">
      <c r="A3570" s="1" t="str">
        <f>"CLASP1"</f>
        <v>CLASP1</v>
      </c>
      <c r="B3570" t="s">
        <v>14</v>
      </c>
      <c r="C3570" t="s">
        <v>26</v>
      </c>
      <c r="D3570" t="s">
        <v>11</v>
      </c>
      <c r="E3570" t="s">
        <v>12</v>
      </c>
      <c r="F3570">
        <v>122407007</v>
      </c>
      <c r="G3570">
        <v>122407045</v>
      </c>
      <c r="H3570">
        <v>122407007</v>
      </c>
      <c r="I3570">
        <v>122407045</v>
      </c>
    </row>
    <row r="3571" spans="1:9" x14ac:dyDescent="0.2">
      <c r="A3571" s="1" t="str">
        <f>"CLASP2"</f>
        <v>CLASP2</v>
      </c>
      <c r="B3571" t="s">
        <v>9</v>
      </c>
      <c r="C3571" t="s">
        <v>22</v>
      </c>
      <c r="D3571" t="s">
        <v>11</v>
      </c>
      <c r="E3571" t="s">
        <v>12</v>
      </c>
      <c r="F3571">
        <v>33759699</v>
      </c>
      <c r="G3571">
        <v>33759754</v>
      </c>
      <c r="H3571">
        <v>33759699</v>
      </c>
      <c r="I3571">
        <v>33759754</v>
      </c>
    </row>
    <row r="3572" spans="1:9" x14ac:dyDescent="0.2">
      <c r="A3572" s="1" t="str">
        <f>"CLASP2"</f>
        <v>CLASP2</v>
      </c>
      <c r="B3572" t="s">
        <v>13</v>
      </c>
      <c r="C3572" t="s">
        <v>22</v>
      </c>
      <c r="D3572" t="s">
        <v>11</v>
      </c>
      <c r="E3572" t="s">
        <v>12</v>
      </c>
      <c r="F3572">
        <v>33700589</v>
      </c>
      <c r="G3572">
        <v>33700607</v>
      </c>
      <c r="H3572">
        <v>33700589</v>
      </c>
      <c r="I3572">
        <v>33700607</v>
      </c>
    </row>
    <row r="3573" spans="1:9" x14ac:dyDescent="0.2">
      <c r="A3573" s="1" t="str">
        <f>"CLASRP"</f>
        <v>CLASRP</v>
      </c>
      <c r="B3573" t="s">
        <v>14</v>
      </c>
      <c r="C3573" t="s">
        <v>10</v>
      </c>
      <c r="D3573" t="s">
        <v>17</v>
      </c>
      <c r="E3573" t="s">
        <v>12</v>
      </c>
      <c r="F3573">
        <v>45542295</v>
      </c>
      <c r="G3573">
        <v>45542341</v>
      </c>
      <c r="H3573">
        <v>45542798</v>
      </c>
      <c r="I3573">
        <v>45542832</v>
      </c>
    </row>
    <row r="3574" spans="1:9" x14ac:dyDescent="0.2">
      <c r="A3574" s="1" t="str">
        <f>"CLC"</f>
        <v>CLC</v>
      </c>
      <c r="B3574" t="s">
        <v>14</v>
      </c>
      <c r="C3574" t="s">
        <v>10</v>
      </c>
      <c r="D3574" t="s">
        <v>11</v>
      </c>
      <c r="E3574" t="s">
        <v>12</v>
      </c>
      <c r="F3574">
        <v>40228629</v>
      </c>
      <c r="G3574">
        <v>40228645</v>
      </c>
      <c r="H3574">
        <v>40228657</v>
      </c>
      <c r="I3574">
        <v>40228674</v>
      </c>
    </row>
    <row r="3575" spans="1:9" x14ac:dyDescent="0.2">
      <c r="A3575" s="1" t="str">
        <f>"CLCA1"</f>
        <v>CLCA1</v>
      </c>
      <c r="B3575" t="s">
        <v>14</v>
      </c>
      <c r="C3575" t="s">
        <v>19</v>
      </c>
      <c r="D3575" t="s">
        <v>17</v>
      </c>
      <c r="E3575" t="s">
        <v>12</v>
      </c>
      <c r="F3575">
        <v>86934602</v>
      </c>
      <c r="G3575">
        <v>86934620</v>
      </c>
      <c r="H3575">
        <v>86934584</v>
      </c>
      <c r="I3575">
        <v>86934598</v>
      </c>
    </row>
    <row r="3576" spans="1:9" x14ac:dyDescent="0.2">
      <c r="A3576" s="1" t="str">
        <f>"CLCA2"</f>
        <v>CLCA2</v>
      </c>
      <c r="B3576" t="s">
        <v>14</v>
      </c>
      <c r="C3576" t="s">
        <v>19</v>
      </c>
      <c r="D3576" t="s">
        <v>17</v>
      </c>
      <c r="E3576" t="s">
        <v>12</v>
      </c>
      <c r="F3576">
        <v>86889837</v>
      </c>
      <c r="G3576">
        <v>86889882</v>
      </c>
      <c r="H3576">
        <v>86889803</v>
      </c>
      <c r="I3576">
        <v>86889833</v>
      </c>
    </row>
    <row r="3577" spans="1:9" x14ac:dyDescent="0.2">
      <c r="A3577" s="1" t="str">
        <f>"CLCA4"</f>
        <v>CLCA4</v>
      </c>
      <c r="B3577" t="s">
        <v>14</v>
      </c>
      <c r="C3577" t="s">
        <v>19</v>
      </c>
      <c r="D3577" t="s">
        <v>17</v>
      </c>
      <c r="E3577" t="s">
        <v>12</v>
      </c>
      <c r="F3577">
        <v>87012753</v>
      </c>
      <c r="G3577">
        <v>87012767</v>
      </c>
      <c r="H3577">
        <v>87012899</v>
      </c>
      <c r="I3577">
        <v>87012917</v>
      </c>
    </row>
    <row r="3578" spans="1:9" x14ac:dyDescent="0.2">
      <c r="A3578" s="1" t="str">
        <f>"CLCC1"</f>
        <v>CLCC1</v>
      </c>
      <c r="B3578" t="s">
        <v>14</v>
      </c>
      <c r="C3578" t="s">
        <v>19</v>
      </c>
      <c r="D3578" t="s">
        <v>11</v>
      </c>
      <c r="E3578" t="s">
        <v>12</v>
      </c>
      <c r="F3578">
        <v>109506036</v>
      </c>
      <c r="G3578">
        <v>109506129</v>
      </c>
      <c r="H3578">
        <v>109506036</v>
      </c>
      <c r="I3578">
        <v>109506129</v>
      </c>
    </row>
    <row r="3579" spans="1:9" x14ac:dyDescent="0.2">
      <c r="A3579" s="1" t="str">
        <f>"CLCF1"</f>
        <v>CLCF1</v>
      </c>
      <c r="B3579" t="s">
        <v>14</v>
      </c>
      <c r="C3579" t="s">
        <v>27</v>
      </c>
      <c r="D3579" t="s">
        <v>11</v>
      </c>
      <c r="E3579" t="s">
        <v>12</v>
      </c>
      <c r="F3579">
        <v>67141130</v>
      </c>
      <c r="G3579">
        <v>67141148</v>
      </c>
      <c r="H3579">
        <v>67141640</v>
      </c>
      <c r="I3579">
        <v>67141651</v>
      </c>
    </row>
    <row r="3580" spans="1:9" x14ac:dyDescent="0.2">
      <c r="A3580" s="1" t="str">
        <f>"CLCN1"</f>
        <v>CLCN1</v>
      </c>
      <c r="B3580" t="s">
        <v>14</v>
      </c>
      <c r="C3580" t="s">
        <v>33</v>
      </c>
      <c r="D3580" t="s">
        <v>17</v>
      </c>
      <c r="E3580" t="s">
        <v>12</v>
      </c>
      <c r="F3580">
        <v>143013198</v>
      </c>
      <c r="G3580">
        <v>143013209</v>
      </c>
      <c r="H3580">
        <v>143013198</v>
      </c>
      <c r="I3580">
        <v>143013209</v>
      </c>
    </row>
    <row r="3581" spans="1:9" x14ac:dyDescent="0.2">
      <c r="A3581" s="1" t="str">
        <f>"CLCN2"</f>
        <v>CLCN2</v>
      </c>
      <c r="B3581" t="s">
        <v>14</v>
      </c>
      <c r="C3581" t="s">
        <v>22</v>
      </c>
      <c r="D3581" t="s">
        <v>11</v>
      </c>
      <c r="E3581" t="s">
        <v>12</v>
      </c>
      <c r="F3581">
        <v>184079382</v>
      </c>
      <c r="G3581">
        <v>184079400</v>
      </c>
      <c r="H3581">
        <v>184079428</v>
      </c>
      <c r="I3581">
        <v>184079440</v>
      </c>
    </row>
    <row r="3582" spans="1:9" x14ac:dyDescent="0.2">
      <c r="A3582" s="1" t="str">
        <f>"CLCN3"</f>
        <v>CLCN3</v>
      </c>
      <c r="B3582" t="s">
        <v>14</v>
      </c>
      <c r="C3582" t="s">
        <v>23</v>
      </c>
      <c r="D3582" t="s">
        <v>17</v>
      </c>
      <c r="E3582" t="s">
        <v>12</v>
      </c>
      <c r="F3582">
        <v>170541678</v>
      </c>
      <c r="G3582">
        <v>170541749</v>
      </c>
      <c r="H3582">
        <v>170541678</v>
      </c>
      <c r="I3582">
        <v>170541749</v>
      </c>
    </row>
    <row r="3583" spans="1:9" x14ac:dyDescent="0.2">
      <c r="A3583" s="1" t="str">
        <f>"CLCN4"</f>
        <v>CLCN4</v>
      </c>
      <c r="B3583" t="s">
        <v>9</v>
      </c>
      <c r="C3583" t="s">
        <v>37</v>
      </c>
      <c r="D3583" t="s">
        <v>17</v>
      </c>
      <c r="E3583" t="s">
        <v>12</v>
      </c>
      <c r="F3583">
        <v>10126492</v>
      </c>
      <c r="G3583">
        <v>10126562</v>
      </c>
      <c r="H3583">
        <v>10126492</v>
      </c>
      <c r="I3583">
        <v>10126562</v>
      </c>
    </row>
    <row r="3584" spans="1:9" x14ac:dyDescent="0.2">
      <c r="A3584" s="1" t="str">
        <f>"CLCN4"</f>
        <v>CLCN4</v>
      </c>
      <c r="B3584" t="s">
        <v>13</v>
      </c>
      <c r="C3584" t="s">
        <v>37</v>
      </c>
      <c r="D3584" t="s">
        <v>17</v>
      </c>
      <c r="E3584" t="s">
        <v>12</v>
      </c>
      <c r="F3584">
        <v>10124977</v>
      </c>
      <c r="G3584">
        <v>10125036</v>
      </c>
      <c r="H3584">
        <v>10124977</v>
      </c>
      <c r="I3584">
        <v>10125036</v>
      </c>
    </row>
    <row r="3585" spans="1:9" x14ac:dyDescent="0.2">
      <c r="A3585" s="1" t="str">
        <f>"CLCN5"</f>
        <v>CLCN5</v>
      </c>
      <c r="B3585" t="s">
        <v>242</v>
      </c>
      <c r="C3585" t="s">
        <v>37</v>
      </c>
      <c r="D3585" t="s">
        <v>17</v>
      </c>
      <c r="E3585" t="s">
        <v>20</v>
      </c>
      <c r="F3585">
        <v>49834155</v>
      </c>
      <c r="G3585">
        <v>49834155</v>
      </c>
      <c r="H3585">
        <v>49834155</v>
      </c>
      <c r="I3585">
        <v>49834155</v>
      </c>
    </row>
    <row r="3586" spans="1:9" x14ac:dyDescent="0.2">
      <c r="A3586" s="1" t="str">
        <f>"CLCN5"</f>
        <v>CLCN5</v>
      </c>
      <c r="B3586" t="s">
        <v>243</v>
      </c>
      <c r="C3586" t="s">
        <v>37</v>
      </c>
      <c r="D3586" t="s">
        <v>17</v>
      </c>
      <c r="E3586" t="s">
        <v>35</v>
      </c>
      <c r="F3586">
        <v>49832203</v>
      </c>
      <c r="G3586">
        <v>49832226</v>
      </c>
      <c r="H3586">
        <v>49832271</v>
      </c>
      <c r="I3586">
        <v>49832282</v>
      </c>
    </row>
    <row r="3587" spans="1:9" x14ac:dyDescent="0.2">
      <c r="A3587" s="1" t="str">
        <f>"CLCN6"</f>
        <v>CLCN6</v>
      </c>
      <c r="B3587" t="s">
        <v>14</v>
      </c>
      <c r="C3587" t="s">
        <v>19</v>
      </c>
      <c r="D3587" t="s">
        <v>17</v>
      </c>
      <c r="E3587" t="s">
        <v>12</v>
      </c>
      <c r="F3587">
        <v>11866270</v>
      </c>
      <c r="G3587">
        <v>11866314</v>
      </c>
      <c r="H3587">
        <v>11866240</v>
      </c>
      <c r="I3587">
        <v>11866267</v>
      </c>
    </row>
    <row r="3588" spans="1:9" x14ac:dyDescent="0.2">
      <c r="A3588" s="1" t="str">
        <f>"CLCN7"</f>
        <v>CLCN7</v>
      </c>
      <c r="B3588" t="s">
        <v>14</v>
      </c>
      <c r="C3588" t="s">
        <v>31</v>
      </c>
      <c r="D3588" t="s">
        <v>11</v>
      </c>
      <c r="E3588" t="s">
        <v>12</v>
      </c>
      <c r="F3588">
        <v>1525016</v>
      </c>
      <c r="G3588">
        <v>1525070</v>
      </c>
      <c r="H3588">
        <v>1524969</v>
      </c>
      <c r="I3588">
        <v>1525015</v>
      </c>
    </row>
    <row r="3589" spans="1:9" x14ac:dyDescent="0.2">
      <c r="A3589" s="1" t="str">
        <f>"CLCNKA"</f>
        <v>CLCNKA</v>
      </c>
      <c r="B3589" t="s">
        <v>9</v>
      </c>
      <c r="C3589" t="s">
        <v>19</v>
      </c>
      <c r="D3589" t="s">
        <v>17</v>
      </c>
      <c r="E3589" t="s">
        <v>12</v>
      </c>
      <c r="F3589">
        <v>16355004</v>
      </c>
      <c r="G3589">
        <v>16355024</v>
      </c>
      <c r="H3589">
        <v>16355004</v>
      </c>
      <c r="I3589">
        <v>16355024</v>
      </c>
    </row>
    <row r="3590" spans="1:9" x14ac:dyDescent="0.2">
      <c r="A3590" s="1" t="str">
        <f>"CLCNKA"</f>
        <v>CLCNKA</v>
      </c>
      <c r="B3590" t="s">
        <v>13</v>
      </c>
      <c r="C3590" t="s">
        <v>19</v>
      </c>
      <c r="D3590" t="s">
        <v>17</v>
      </c>
      <c r="E3590" t="s">
        <v>12</v>
      </c>
      <c r="F3590">
        <v>16348525</v>
      </c>
      <c r="G3590">
        <v>16348532</v>
      </c>
      <c r="H3590">
        <v>16348525</v>
      </c>
      <c r="I3590">
        <v>16348532</v>
      </c>
    </row>
    <row r="3591" spans="1:9" x14ac:dyDescent="0.2">
      <c r="A3591" s="1" t="str">
        <f>"CLCNKB"</f>
        <v>CLCNKB</v>
      </c>
      <c r="B3591" t="s">
        <v>14</v>
      </c>
      <c r="C3591" t="s">
        <v>19</v>
      </c>
      <c r="D3591" t="s">
        <v>17</v>
      </c>
      <c r="E3591" t="s">
        <v>12</v>
      </c>
      <c r="F3591">
        <v>16370271</v>
      </c>
      <c r="G3591">
        <v>16370303</v>
      </c>
      <c r="H3591">
        <v>16370322</v>
      </c>
      <c r="I3591">
        <v>16370343</v>
      </c>
    </row>
    <row r="3592" spans="1:9" x14ac:dyDescent="0.2">
      <c r="A3592" s="1" t="str">
        <f>"CLDN1"</f>
        <v>CLDN1</v>
      </c>
      <c r="B3592" t="s">
        <v>14</v>
      </c>
      <c r="C3592" t="s">
        <v>22</v>
      </c>
      <c r="D3592" t="s">
        <v>11</v>
      </c>
      <c r="E3592" t="s">
        <v>12</v>
      </c>
      <c r="F3592">
        <v>190040223</v>
      </c>
      <c r="G3592">
        <v>190040243</v>
      </c>
      <c r="H3592">
        <v>190040223</v>
      </c>
      <c r="I3592">
        <v>190040243</v>
      </c>
    </row>
    <row r="3593" spans="1:9" x14ac:dyDescent="0.2">
      <c r="A3593" s="1" t="str">
        <f>"CLDN10"</f>
        <v>CLDN10</v>
      </c>
      <c r="B3593" t="s">
        <v>14</v>
      </c>
      <c r="C3593" t="s">
        <v>39</v>
      </c>
      <c r="D3593" t="s">
        <v>17</v>
      </c>
      <c r="E3593" t="s">
        <v>12</v>
      </c>
      <c r="F3593">
        <v>96204961</v>
      </c>
      <c r="G3593">
        <v>96205001</v>
      </c>
      <c r="H3593">
        <v>96204942</v>
      </c>
      <c r="I3593">
        <v>96204953</v>
      </c>
    </row>
    <row r="3594" spans="1:9" x14ac:dyDescent="0.2">
      <c r="A3594" s="1" t="str">
        <f>"CLDN11"</f>
        <v>CLDN11</v>
      </c>
      <c r="B3594" t="s">
        <v>14</v>
      </c>
      <c r="C3594" t="s">
        <v>22</v>
      </c>
      <c r="D3594" t="s">
        <v>17</v>
      </c>
      <c r="E3594" t="s">
        <v>12</v>
      </c>
      <c r="F3594">
        <v>170136642</v>
      </c>
      <c r="G3594">
        <v>170136663</v>
      </c>
      <c r="H3594">
        <v>170136642</v>
      </c>
      <c r="I3594">
        <v>170136663</v>
      </c>
    </row>
    <row r="3595" spans="1:9" x14ac:dyDescent="0.2">
      <c r="A3595" s="1" t="str">
        <f>"CLDN12"</f>
        <v>CLDN12</v>
      </c>
      <c r="B3595" t="s">
        <v>14</v>
      </c>
      <c r="C3595" t="s">
        <v>33</v>
      </c>
      <c r="D3595" t="s">
        <v>17</v>
      </c>
      <c r="E3595" t="s">
        <v>12</v>
      </c>
      <c r="F3595">
        <v>90032735</v>
      </c>
      <c r="G3595">
        <v>90032793</v>
      </c>
      <c r="H3595">
        <v>90032796</v>
      </c>
      <c r="I3595">
        <v>90032811</v>
      </c>
    </row>
    <row r="3596" spans="1:9" x14ac:dyDescent="0.2">
      <c r="A3596" s="1" t="str">
        <f>"CLDN14"</f>
        <v>CLDN14</v>
      </c>
      <c r="B3596" t="s">
        <v>9</v>
      </c>
      <c r="C3596" t="s">
        <v>42</v>
      </c>
      <c r="D3596" t="s">
        <v>11</v>
      </c>
      <c r="E3596" t="s">
        <v>12</v>
      </c>
      <c r="F3596">
        <v>37838760</v>
      </c>
      <c r="G3596">
        <v>37838766</v>
      </c>
      <c r="H3596">
        <v>37838760</v>
      </c>
      <c r="I3596">
        <v>37838766</v>
      </c>
    </row>
    <row r="3597" spans="1:9" x14ac:dyDescent="0.2">
      <c r="A3597" s="1" t="str">
        <f>"CLDN14"</f>
        <v>CLDN14</v>
      </c>
      <c r="B3597" t="s">
        <v>13</v>
      </c>
      <c r="C3597" t="s">
        <v>42</v>
      </c>
      <c r="D3597" t="s">
        <v>11</v>
      </c>
      <c r="E3597" t="s">
        <v>12</v>
      </c>
      <c r="F3597">
        <v>37915073</v>
      </c>
      <c r="G3597">
        <v>37915087</v>
      </c>
      <c r="H3597">
        <v>37915073</v>
      </c>
      <c r="I3597">
        <v>37915087</v>
      </c>
    </row>
    <row r="3598" spans="1:9" x14ac:dyDescent="0.2">
      <c r="A3598" s="1" t="str">
        <f>"CLDN15"</f>
        <v>CLDN15</v>
      </c>
      <c r="B3598" t="s">
        <v>14</v>
      </c>
      <c r="C3598" t="s">
        <v>33</v>
      </c>
      <c r="D3598" t="s">
        <v>11</v>
      </c>
      <c r="E3598" t="s">
        <v>12</v>
      </c>
      <c r="F3598">
        <v>100881072</v>
      </c>
      <c r="G3598">
        <v>100881097</v>
      </c>
      <c r="H3598">
        <v>100881109</v>
      </c>
      <c r="I3598">
        <v>100881139</v>
      </c>
    </row>
    <row r="3599" spans="1:9" x14ac:dyDescent="0.2">
      <c r="A3599" s="1" t="str">
        <f>"CLDN16"</f>
        <v>CLDN16</v>
      </c>
      <c r="B3599" t="s">
        <v>14</v>
      </c>
      <c r="C3599" t="s">
        <v>22</v>
      </c>
      <c r="D3599" t="s">
        <v>17</v>
      </c>
      <c r="E3599" t="s">
        <v>12</v>
      </c>
      <c r="F3599">
        <v>190105935</v>
      </c>
      <c r="G3599">
        <v>190105966</v>
      </c>
      <c r="H3599">
        <v>190106022</v>
      </c>
      <c r="I3599">
        <v>190106042</v>
      </c>
    </row>
    <row r="3600" spans="1:9" x14ac:dyDescent="0.2">
      <c r="A3600" s="1" t="str">
        <f>"CLDN17"</f>
        <v>CLDN17</v>
      </c>
      <c r="B3600" t="s">
        <v>14</v>
      </c>
      <c r="C3600" t="s">
        <v>42</v>
      </c>
      <c r="D3600" t="s">
        <v>11</v>
      </c>
      <c r="E3600" t="s">
        <v>12</v>
      </c>
      <c r="F3600">
        <v>31539102</v>
      </c>
      <c r="G3600">
        <v>31539110</v>
      </c>
      <c r="H3600">
        <v>31539102</v>
      </c>
      <c r="I3600">
        <v>31539110</v>
      </c>
    </row>
    <row r="3601" spans="1:9" x14ac:dyDescent="0.2">
      <c r="A3601" s="1" t="str">
        <f>"CLDN18"</f>
        <v>CLDN18</v>
      </c>
      <c r="B3601" t="s">
        <v>9</v>
      </c>
      <c r="C3601" t="s">
        <v>22</v>
      </c>
      <c r="D3601" t="s">
        <v>17</v>
      </c>
      <c r="E3601" t="s">
        <v>12</v>
      </c>
      <c r="F3601">
        <v>137728985</v>
      </c>
      <c r="G3601">
        <v>137729022</v>
      </c>
      <c r="H3601">
        <v>137728985</v>
      </c>
      <c r="I3601">
        <v>137729022</v>
      </c>
    </row>
    <row r="3602" spans="1:9" x14ac:dyDescent="0.2">
      <c r="A3602" s="1" t="str">
        <f>"CLDN18"</f>
        <v>CLDN18</v>
      </c>
      <c r="B3602" t="s">
        <v>13</v>
      </c>
      <c r="C3602" t="s">
        <v>22</v>
      </c>
      <c r="D3602" t="s">
        <v>17</v>
      </c>
      <c r="E3602" t="s">
        <v>12</v>
      </c>
      <c r="F3602">
        <v>137717649</v>
      </c>
      <c r="G3602">
        <v>137717664</v>
      </c>
      <c r="H3602">
        <v>137717649</v>
      </c>
      <c r="I3602">
        <v>137717664</v>
      </c>
    </row>
    <row r="3603" spans="1:9" x14ac:dyDescent="0.2">
      <c r="A3603" s="1" t="str">
        <f>"CLDN19"</f>
        <v>CLDN19</v>
      </c>
      <c r="B3603" t="s">
        <v>14</v>
      </c>
      <c r="C3603" t="s">
        <v>19</v>
      </c>
      <c r="D3603" t="s">
        <v>11</v>
      </c>
      <c r="E3603" t="s">
        <v>12</v>
      </c>
      <c r="F3603">
        <v>43205891</v>
      </c>
      <c r="G3603">
        <v>43205930</v>
      </c>
      <c r="H3603">
        <v>43205948</v>
      </c>
      <c r="I3603">
        <v>43205957</v>
      </c>
    </row>
    <row r="3604" spans="1:9" x14ac:dyDescent="0.2">
      <c r="A3604" s="1" t="str">
        <f>"CLDN2"</f>
        <v>CLDN2</v>
      </c>
      <c r="B3604" t="s">
        <v>9</v>
      </c>
      <c r="C3604" t="s">
        <v>37</v>
      </c>
      <c r="D3604" t="s">
        <v>17</v>
      </c>
      <c r="E3604" t="s">
        <v>12</v>
      </c>
      <c r="F3604">
        <v>106171296</v>
      </c>
      <c r="G3604">
        <v>106171331</v>
      </c>
      <c r="H3604">
        <v>106171296</v>
      </c>
      <c r="I3604">
        <v>106171331</v>
      </c>
    </row>
    <row r="3605" spans="1:9" x14ac:dyDescent="0.2">
      <c r="A3605" s="1" t="str">
        <f>"CLDN2"</f>
        <v>CLDN2</v>
      </c>
      <c r="B3605" t="s">
        <v>13</v>
      </c>
      <c r="C3605" t="s">
        <v>37</v>
      </c>
      <c r="D3605" t="s">
        <v>17</v>
      </c>
      <c r="E3605" t="s">
        <v>12</v>
      </c>
      <c r="F3605">
        <v>106163626</v>
      </c>
      <c r="G3605">
        <v>106163638</v>
      </c>
      <c r="H3605">
        <v>106163626</v>
      </c>
      <c r="I3605">
        <v>106163638</v>
      </c>
    </row>
    <row r="3606" spans="1:9" x14ac:dyDescent="0.2">
      <c r="A3606" s="1" t="str">
        <f>"CLDN20"</f>
        <v>CLDN20</v>
      </c>
      <c r="B3606" t="s">
        <v>14</v>
      </c>
      <c r="C3606" t="s">
        <v>32</v>
      </c>
      <c r="D3606" t="s">
        <v>17</v>
      </c>
      <c r="E3606" t="s">
        <v>12</v>
      </c>
      <c r="F3606">
        <v>155584910</v>
      </c>
      <c r="G3606">
        <v>155584919</v>
      </c>
      <c r="H3606">
        <v>155584910</v>
      </c>
      <c r="I3606">
        <v>155584919</v>
      </c>
    </row>
    <row r="3607" spans="1:9" x14ac:dyDescent="0.2">
      <c r="A3607" s="1" t="str">
        <f>"CLDN22"</f>
        <v>CLDN22</v>
      </c>
      <c r="B3607" t="s">
        <v>14</v>
      </c>
      <c r="C3607" t="s">
        <v>23</v>
      </c>
      <c r="D3607" t="s">
        <v>11</v>
      </c>
      <c r="E3607" t="s">
        <v>12</v>
      </c>
      <c r="F3607">
        <v>184241420</v>
      </c>
      <c r="G3607">
        <v>184241456</v>
      </c>
      <c r="H3607">
        <v>184241420</v>
      </c>
      <c r="I3607">
        <v>184241456</v>
      </c>
    </row>
    <row r="3608" spans="1:9" x14ac:dyDescent="0.2">
      <c r="A3608" s="1" t="str">
        <f>"CLDN23"</f>
        <v>CLDN23</v>
      </c>
      <c r="B3608" t="s">
        <v>14</v>
      </c>
      <c r="C3608" t="s">
        <v>30</v>
      </c>
      <c r="D3608" t="s">
        <v>17</v>
      </c>
      <c r="E3608" t="s">
        <v>12</v>
      </c>
      <c r="F3608">
        <v>8559406</v>
      </c>
      <c r="G3608">
        <v>8559465</v>
      </c>
      <c r="H3608">
        <v>8559690</v>
      </c>
      <c r="I3608">
        <v>8559736</v>
      </c>
    </row>
    <row r="3609" spans="1:9" x14ac:dyDescent="0.2">
      <c r="A3609" s="1" t="str">
        <f>"CLDN24"</f>
        <v>CLDN24</v>
      </c>
      <c r="B3609" t="s">
        <v>244</v>
      </c>
      <c r="C3609" t="s">
        <v>23</v>
      </c>
      <c r="D3609" t="s">
        <v>11</v>
      </c>
      <c r="E3609" t="s">
        <v>20</v>
      </c>
      <c r="F3609">
        <v>184243578</v>
      </c>
      <c r="G3609">
        <v>184243578</v>
      </c>
      <c r="H3609">
        <v>184243578</v>
      </c>
      <c r="I3609">
        <v>184243578</v>
      </c>
    </row>
    <row r="3610" spans="1:9" x14ac:dyDescent="0.2">
      <c r="A3610" s="1" t="str">
        <f>"CLDN25"</f>
        <v>CLDN25</v>
      </c>
      <c r="B3610" t="s">
        <v>245</v>
      </c>
      <c r="C3610" t="s">
        <v>27</v>
      </c>
      <c r="D3610" t="s">
        <v>17</v>
      </c>
      <c r="E3610" t="s">
        <v>20</v>
      </c>
      <c r="F3610">
        <v>113650468</v>
      </c>
      <c r="G3610">
        <v>113650468</v>
      </c>
      <c r="H3610">
        <v>113650468</v>
      </c>
      <c r="I3610">
        <v>113650468</v>
      </c>
    </row>
    <row r="3611" spans="1:9" x14ac:dyDescent="0.2">
      <c r="A3611" s="1" t="str">
        <f>"CLDN3"</f>
        <v>CLDN3</v>
      </c>
      <c r="B3611" t="s">
        <v>14</v>
      </c>
      <c r="C3611" t="s">
        <v>33</v>
      </c>
      <c r="D3611" t="s">
        <v>11</v>
      </c>
      <c r="E3611" t="s">
        <v>12</v>
      </c>
      <c r="F3611">
        <v>73184588</v>
      </c>
      <c r="G3611">
        <v>73184611</v>
      </c>
      <c r="H3611">
        <v>73184529</v>
      </c>
      <c r="I3611">
        <v>73184547</v>
      </c>
    </row>
    <row r="3612" spans="1:9" x14ac:dyDescent="0.2">
      <c r="A3612" s="1" t="str">
        <f>"CLDN4"</f>
        <v>CLDN4</v>
      </c>
      <c r="B3612" t="s">
        <v>14</v>
      </c>
      <c r="C3612" t="s">
        <v>33</v>
      </c>
      <c r="D3612" t="s">
        <v>17</v>
      </c>
      <c r="E3612" t="s">
        <v>12</v>
      </c>
      <c r="F3612">
        <v>73245318</v>
      </c>
      <c r="G3612">
        <v>73245337</v>
      </c>
      <c r="H3612">
        <v>73245318</v>
      </c>
      <c r="I3612">
        <v>73245337</v>
      </c>
    </row>
    <row r="3613" spans="1:9" x14ac:dyDescent="0.2">
      <c r="A3613" s="1" t="str">
        <f>"CLDN5"</f>
        <v>CLDN5</v>
      </c>
      <c r="B3613" t="s">
        <v>14</v>
      </c>
      <c r="C3613" t="s">
        <v>21</v>
      </c>
      <c r="D3613" t="s">
        <v>11</v>
      </c>
      <c r="E3613" t="s">
        <v>12</v>
      </c>
      <c r="F3613">
        <v>19511923</v>
      </c>
      <c r="G3613">
        <v>19511939</v>
      </c>
      <c r="H3613">
        <v>19512824</v>
      </c>
      <c r="I3613">
        <v>19512885</v>
      </c>
    </row>
    <row r="3614" spans="1:9" x14ac:dyDescent="0.2">
      <c r="A3614" s="1" t="str">
        <f>"CLDN6"</f>
        <v>CLDN6</v>
      </c>
      <c r="B3614" t="s">
        <v>14</v>
      </c>
      <c r="C3614" t="s">
        <v>31</v>
      </c>
      <c r="D3614" t="s">
        <v>11</v>
      </c>
      <c r="E3614" t="s">
        <v>12</v>
      </c>
      <c r="F3614">
        <v>3068178</v>
      </c>
      <c r="G3614">
        <v>3068191</v>
      </c>
      <c r="H3614">
        <v>3068288</v>
      </c>
      <c r="I3614">
        <v>3068312</v>
      </c>
    </row>
    <row r="3615" spans="1:9" x14ac:dyDescent="0.2">
      <c r="A3615" s="1" t="str">
        <f>"CLDN7"</f>
        <v>CLDN7</v>
      </c>
      <c r="B3615" t="s">
        <v>14</v>
      </c>
      <c r="C3615" t="s">
        <v>28</v>
      </c>
      <c r="D3615" t="s">
        <v>11</v>
      </c>
      <c r="E3615" t="s">
        <v>12</v>
      </c>
      <c r="F3615">
        <v>7165787</v>
      </c>
      <c r="G3615">
        <v>7165807</v>
      </c>
      <c r="H3615">
        <v>7166500</v>
      </c>
      <c r="I3615">
        <v>7166538</v>
      </c>
    </row>
    <row r="3616" spans="1:9" x14ac:dyDescent="0.2">
      <c r="A3616" s="1" t="str">
        <f>"CLDN8"</f>
        <v>CLDN8</v>
      </c>
      <c r="B3616" t="s">
        <v>14</v>
      </c>
      <c r="C3616" t="s">
        <v>42</v>
      </c>
      <c r="D3616" t="s">
        <v>11</v>
      </c>
      <c r="E3616" t="s">
        <v>12</v>
      </c>
      <c r="F3616">
        <v>31588338</v>
      </c>
      <c r="G3616">
        <v>31588357</v>
      </c>
      <c r="H3616">
        <v>31588365</v>
      </c>
      <c r="I3616">
        <v>31588398</v>
      </c>
    </row>
    <row r="3617" spans="1:9" x14ac:dyDescent="0.2">
      <c r="A3617" s="1" t="str">
        <f>"CLDN9"</f>
        <v>CLDN9</v>
      </c>
      <c r="B3617" t="s">
        <v>14</v>
      </c>
      <c r="C3617" t="s">
        <v>31</v>
      </c>
      <c r="D3617" t="s">
        <v>17</v>
      </c>
      <c r="E3617" t="s">
        <v>12</v>
      </c>
      <c r="F3617">
        <v>3062916</v>
      </c>
      <c r="G3617">
        <v>3062930</v>
      </c>
      <c r="H3617">
        <v>3062916</v>
      </c>
      <c r="I3617">
        <v>3062930</v>
      </c>
    </row>
    <row r="3618" spans="1:9" x14ac:dyDescent="0.2">
      <c r="A3618" s="1" t="str">
        <f>"CLDND1"</f>
        <v>CLDND1</v>
      </c>
      <c r="B3618" t="s">
        <v>14</v>
      </c>
      <c r="C3618" t="s">
        <v>22</v>
      </c>
      <c r="D3618" t="s">
        <v>11</v>
      </c>
      <c r="E3618" t="s">
        <v>12</v>
      </c>
      <c r="F3618">
        <v>98241713</v>
      </c>
      <c r="G3618">
        <v>98241758</v>
      </c>
      <c r="H3618">
        <v>98241760</v>
      </c>
      <c r="I3618">
        <v>98241780</v>
      </c>
    </row>
    <row r="3619" spans="1:9" x14ac:dyDescent="0.2">
      <c r="A3619" s="1" t="str">
        <f>"CLDND2"</f>
        <v>CLDND2</v>
      </c>
      <c r="B3619" t="s">
        <v>14</v>
      </c>
      <c r="C3619" t="s">
        <v>10</v>
      </c>
      <c r="D3619" t="s">
        <v>11</v>
      </c>
      <c r="E3619" t="s">
        <v>12</v>
      </c>
      <c r="F3619">
        <v>51872234</v>
      </c>
      <c r="G3619">
        <v>51872279</v>
      </c>
      <c r="H3619">
        <v>51872234</v>
      </c>
      <c r="I3619">
        <v>51872279</v>
      </c>
    </row>
    <row r="3620" spans="1:9" x14ac:dyDescent="0.2">
      <c r="A3620" s="1" t="str">
        <f>"CLEC10A"</f>
        <v>CLEC10A</v>
      </c>
      <c r="B3620" t="s">
        <v>14</v>
      </c>
      <c r="C3620" t="s">
        <v>28</v>
      </c>
      <c r="D3620" t="s">
        <v>11</v>
      </c>
      <c r="E3620" t="s">
        <v>12</v>
      </c>
      <c r="F3620">
        <v>6983550</v>
      </c>
      <c r="G3620">
        <v>6983578</v>
      </c>
      <c r="H3620">
        <v>6983594</v>
      </c>
      <c r="I3620">
        <v>6983619</v>
      </c>
    </row>
    <row r="3621" spans="1:9" x14ac:dyDescent="0.2">
      <c r="A3621" s="1" t="str">
        <f>"CLEC11A"</f>
        <v>CLEC11A</v>
      </c>
      <c r="B3621" t="s">
        <v>14</v>
      </c>
      <c r="C3621" t="s">
        <v>10</v>
      </c>
      <c r="D3621" t="s">
        <v>17</v>
      </c>
      <c r="E3621" t="s">
        <v>12</v>
      </c>
      <c r="F3621">
        <v>51226611</v>
      </c>
      <c r="G3621">
        <v>51226634</v>
      </c>
      <c r="H3621">
        <v>51226573</v>
      </c>
      <c r="I3621">
        <v>51226607</v>
      </c>
    </row>
    <row r="3622" spans="1:9" x14ac:dyDescent="0.2">
      <c r="A3622" s="1" t="str">
        <f>"CLEC12A"</f>
        <v>CLEC12A</v>
      </c>
      <c r="B3622" t="s">
        <v>14</v>
      </c>
      <c r="C3622" t="s">
        <v>16</v>
      </c>
      <c r="D3622" t="s">
        <v>17</v>
      </c>
      <c r="E3622" t="s">
        <v>12</v>
      </c>
      <c r="F3622">
        <v>10124001</v>
      </c>
      <c r="G3622">
        <v>10124023</v>
      </c>
      <c r="H3622">
        <v>10124001</v>
      </c>
      <c r="I3622">
        <v>10124023</v>
      </c>
    </row>
    <row r="3623" spans="1:9" x14ac:dyDescent="0.2">
      <c r="A3623" s="1" t="str">
        <f>"CLEC12B"</f>
        <v>CLEC12B</v>
      </c>
      <c r="B3623" t="s">
        <v>14</v>
      </c>
      <c r="C3623" t="s">
        <v>16</v>
      </c>
      <c r="D3623" t="s">
        <v>17</v>
      </c>
      <c r="E3623" t="s">
        <v>12</v>
      </c>
      <c r="F3623">
        <v>10162715</v>
      </c>
      <c r="G3623">
        <v>10162742</v>
      </c>
      <c r="H3623">
        <v>10163377</v>
      </c>
      <c r="I3623">
        <v>10163394</v>
      </c>
    </row>
    <row r="3624" spans="1:9" x14ac:dyDescent="0.2">
      <c r="A3624" s="1" t="str">
        <f>"CLEC14A"</f>
        <v>CLEC14A</v>
      </c>
      <c r="B3624" t="s">
        <v>14</v>
      </c>
      <c r="C3624" t="s">
        <v>41</v>
      </c>
      <c r="D3624" t="s">
        <v>11</v>
      </c>
      <c r="E3624" t="s">
        <v>12</v>
      </c>
      <c r="F3624">
        <v>38725279</v>
      </c>
      <c r="G3624">
        <v>38725304</v>
      </c>
      <c r="H3624">
        <v>38725279</v>
      </c>
      <c r="I3624">
        <v>38725304</v>
      </c>
    </row>
    <row r="3625" spans="1:9" x14ac:dyDescent="0.2">
      <c r="A3625" s="1" t="str">
        <f>"CLEC16A"</f>
        <v>CLEC16A</v>
      </c>
      <c r="B3625" t="s">
        <v>14</v>
      </c>
      <c r="C3625" t="s">
        <v>31</v>
      </c>
      <c r="D3625" t="s">
        <v>17</v>
      </c>
      <c r="E3625" t="s">
        <v>12</v>
      </c>
      <c r="F3625">
        <v>11038403</v>
      </c>
      <c r="G3625">
        <v>11038492</v>
      </c>
      <c r="H3625">
        <v>11038374</v>
      </c>
      <c r="I3625">
        <v>11038392</v>
      </c>
    </row>
    <row r="3626" spans="1:9" x14ac:dyDescent="0.2">
      <c r="A3626" s="1" t="str">
        <f>"CLEC17A"</f>
        <v>CLEC17A</v>
      </c>
      <c r="B3626" t="s">
        <v>14</v>
      </c>
      <c r="C3626" t="s">
        <v>10</v>
      </c>
      <c r="D3626" t="s">
        <v>17</v>
      </c>
      <c r="E3626" t="s">
        <v>12</v>
      </c>
      <c r="F3626">
        <v>14693888</v>
      </c>
      <c r="G3626">
        <v>14693955</v>
      </c>
      <c r="H3626">
        <v>14693888</v>
      </c>
      <c r="I3626">
        <v>14693955</v>
      </c>
    </row>
    <row r="3627" spans="1:9" x14ac:dyDescent="0.2">
      <c r="A3627" s="1" t="str">
        <f>"CLEC18A"</f>
        <v>CLEC18A</v>
      </c>
      <c r="B3627" t="s">
        <v>246</v>
      </c>
      <c r="C3627" t="s">
        <v>31</v>
      </c>
      <c r="D3627" t="s">
        <v>17</v>
      </c>
      <c r="E3627" t="s">
        <v>20</v>
      </c>
      <c r="F3627">
        <v>69985108</v>
      </c>
      <c r="G3627">
        <v>69985108</v>
      </c>
      <c r="H3627">
        <v>69985108</v>
      </c>
      <c r="I3627">
        <v>69985108</v>
      </c>
    </row>
    <row r="3628" spans="1:9" x14ac:dyDescent="0.2">
      <c r="A3628" s="1" t="str">
        <f>"CLEC18A"</f>
        <v>CLEC18A</v>
      </c>
      <c r="B3628" t="s">
        <v>247</v>
      </c>
      <c r="C3628" t="s">
        <v>31</v>
      </c>
      <c r="D3628" t="s">
        <v>17</v>
      </c>
      <c r="E3628" t="s">
        <v>20</v>
      </c>
      <c r="F3628">
        <v>69984848</v>
      </c>
      <c r="G3628">
        <v>69984848</v>
      </c>
      <c r="H3628">
        <v>69984848</v>
      </c>
      <c r="I3628">
        <v>69984848</v>
      </c>
    </row>
    <row r="3629" spans="1:9" x14ac:dyDescent="0.2">
      <c r="A3629" s="1" t="str">
        <f>"CLEC18B"</f>
        <v>CLEC18B</v>
      </c>
      <c r="B3629" t="s">
        <v>14</v>
      </c>
      <c r="C3629" t="s">
        <v>31</v>
      </c>
      <c r="D3629" t="s">
        <v>11</v>
      </c>
      <c r="E3629" t="s">
        <v>12</v>
      </c>
      <c r="F3629">
        <v>74455303</v>
      </c>
      <c r="G3629">
        <v>74455305</v>
      </c>
      <c r="H3629">
        <v>74455303</v>
      </c>
      <c r="I3629">
        <v>74455305</v>
      </c>
    </row>
    <row r="3630" spans="1:9" x14ac:dyDescent="0.2">
      <c r="A3630" s="1" t="str">
        <f>"CLEC18C"</f>
        <v>CLEC18C</v>
      </c>
      <c r="B3630" t="s">
        <v>14</v>
      </c>
      <c r="C3630" t="s">
        <v>31</v>
      </c>
      <c r="D3630" t="s">
        <v>17</v>
      </c>
      <c r="E3630" t="s">
        <v>12</v>
      </c>
      <c r="F3630">
        <v>70207686</v>
      </c>
      <c r="G3630">
        <v>70207690</v>
      </c>
      <c r="H3630">
        <v>70207686</v>
      </c>
      <c r="I3630">
        <v>70207690</v>
      </c>
    </row>
    <row r="3631" spans="1:9" x14ac:dyDescent="0.2">
      <c r="A3631" s="1" t="str">
        <f>"CLEC19A"</f>
        <v>CLEC19A</v>
      </c>
      <c r="B3631" t="s">
        <v>14</v>
      </c>
      <c r="C3631" t="s">
        <v>31</v>
      </c>
      <c r="D3631" t="s">
        <v>17</v>
      </c>
      <c r="E3631" t="s">
        <v>12</v>
      </c>
      <c r="F3631">
        <v>19297074</v>
      </c>
      <c r="G3631">
        <v>19297103</v>
      </c>
      <c r="H3631">
        <v>19297047</v>
      </c>
      <c r="I3631">
        <v>19297058</v>
      </c>
    </row>
    <row r="3632" spans="1:9" x14ac:dyDescent="0.2">
      <c r="A3632" s="1" t="str">
        <f>"CLEC1A"</f>
        <v>CLEC1A</v>
      </c>
      <c r="B3632" t="s">
        <v>14</v>
      </c>
      <c r="C3632" t="s">
        <v>16</v>
      </c>
      <c r="D3632" t="s">
        <v>11</v>
      </c>
      <c r="E3632" t="s">
        <v>12</v>
      </c>
      <c r="F3632">
        <v>10251576</v>
      </c>
      <c r="G3632">
        <v>10251599</v>
      </c>
      <c r="H3632">
        <v>10251539</v>
      </c>
      <c r="I3632">
        <v>10251560</v>
      </c>
    </row>
    <row r="3633" spans="1:9" x14ac:dyDescent="0.2">
      <c r="A3633" s="1" t="str">
        <f>"CLEC1B"</f>
        <v>CLEC1B</v>
      </c>
      <c r="B3633" t="s">
        <v>14</v>
      </c>
      <c r="C3633" t="s">
        <v>16</v>
      </c>
      <c r="D3633" t="s">
        <v>11</v>
      </c>
      <c r="E3633" t="s">
        <v>12</v>
      </c>
      <c r="F3633">
        <v>10151709</v>
      </c>
      <c r="G3633">
        <v>10151754</v>
      </c>
      <c r="H3633">
        <v>10151890</v>
      </c>
      <c r="I3633">
        <v>10151911</v>
      </c>
    </row>
    <row r="3634" spans="1:9" x14ac:dyDescent="0.2">
      <c r="A3634" s="1" t="str">
        <f>"CLEC2A"</f>
        <v>CLEC2A</v>
      </c>
      <c r="B3634" t="s">
        <v>14</v>
      </c>
      <c r="C3634" t="s">
        <v>16</v>
      </c>
      <c r="D3634" t="s">
        <v>11</v>
      </c>
      <c r="E3634" t="s">
        <v>12</v>
      </c>
      <c r="F3634">
        <v>10084960</v>
      </c>
      <c r="G3634">
        <v>10084974</v>
      </c>
      <c r="H3634">
        <v>10084960</v>
      </c>
      <c r="I3634">
        <v>10084974</v>
      </c>
    </row>
    <row r="3635" spans="1:9" x14ac:dyDescent="0.2">
      <c r="A3635" s="1" t="str">
        <f>"CLEC2B"</f>
        <v>CLEC2B</v>
      </c>
      <c r="B3635" t="s">
        <v>14</v>
      </c>
      <c r="C3635" t="s">
        <v>16</v>
      </c>
      <c r="D3635" t="s">
        <v>11</v>
      </c>
      <c r="E3635" t="s">
        <v>12</v>
      </c>
      <c r="F3635">
        <v>10021944</v>
      </c>
      <c r="G3635">
        <v>10021971</v>
      </c>
      <c r="H3635">
        <v>10021972</v>
      </c>
      <c r="I3635">
        <v>10021983</v>
      </c>
    </row>
    <row r="3636" spans="1:9" x14ac:dyDescent="0.2">
      <c r="A3636" s="1" t="str">
        <f>"CLEC2D"</f>
        <v>CLEC2D</v>
      </c>
      <c r="B3636" t="s">
        <v>14</v>
      </c>
      <c r="C3636" t="s">
        <v>16</v>
      </c>
      <c r="D3636" t="s">
        <v>17</v>
      </c>
      <c r="E3636" t="s">
        <v>12</v>
      </c>
      <c r="F3636">
        <v>9822293</v>
      </c>
      <c r="G3636">
        <v>9822320</v>
      </c>
      <c r="H3636">
        <v>9822334</v>
      </c>
      <c r="I3636">
        <v>9822351</v>
      </c>
    </row>
    <row r="3637" spans="1:9" x14ac:dyDescent="0.2">
      <c r="A3637" s="1" t="str">
        <f>"CLEC2L"</f>
        <v>CLEC2L</v>
      </c>
      <c r="B3637" t="s">
        <v>14</v>
      </c>
      <c r="C3637" t="s">
        <v>33</v>
      </c>
      <c r="D3637" t="s">
        <v>17</v>
      </c>
      <c r="E3637" t="s">
        <v>12</v>
      </c>
      <c r="F3637">
        <v>139208413</v>
      </c>
      <c r="G3637">
        <v>139208505</v>
      </c>
      <c r="H3637">
        <v>139208406</v>
      </c>
      <c r="I3637">
        <v>139208412</v>
      </c>
    </row>
    <row r="3638" spans="1:9" x14ac:dyDescent="0.2">
      <c r="A3638" s="1" t="str">
        <f>"CLEC3A"</f>
        <v>CLEC3A</v>
      </c>
      <c r="B3638" t="s">
        <v>14</v>
      </c>
      <c r="C3638" t="s">
        <v>31</v>
      </c>
      <c r="D3638" t="s">
        <v>17</v>
      </c>
      <c r="E3638" t="s">
        <v>12</v>
      </c>
      <c r="F3638">
        <v>78056435</v>
      </c>
      <c r="G3638">
        <v>78056451</v>
      </c>
      <c r="H3638">
        <v>78056435</v>
      </c>
      <c r="I3638">
        <v>78056451</v>
      </c>
    </row>
    <row r="3639" spans="1:9" x14ac:dyDescent="0.2">
      <c r="A3639" s="1" t="str">
        <f>"CLEC3B"</f>
        <v>CLEC3B</v>
      </c>
      <c r="B3639" t="s">
        <v>14</v>
      </c>
      <c r="C3639" t="s">
        <v>22</v>
      </c>
      <c r="D3639" t="s">
        <v>17</v>
      </c>
      <c r="E3639" t="s">
        <v>12</v>
      </c>
      <c r="F3639">
        <v>45067788</v>
      </c>
      <c r="G3639">
        <v>45067806</v>
      </c>
      <c r="H3639">
        <v>45067739</v>
      </c>
      <c r="I3639">
        <v>45067785</v>
      </c>
    </row>
    <row r="3640" spans="1:9" x14ac:dyDescent="0.2">
      <c r="A3640" s="1" t="str">
        <f>"CLEC4A"</f>
        <v>CLEC4A</v>
      </c>
      <c r="B3640" t="s">
        <v>14</v>
      </c>
      <c r="C3640" t="s">
        <v>16</v>
      </c>
      <c r="D3640" t="s">
        <v>17</v>
      </c>
      <c r="E3640" t="s">
        <v>12</v>
      </c>
      <c r="F3640">
        <v>8276433</v>
      </c>
      <c r="G3640">
        <v>8276493</v>
      </c>
      <c r="H3640">
        <v>8276205</v>
      </c>
      <c r="I3640">
        <v>8276219</v>
      </c>
    </row>
    <row r="3641" spans="1:9" x14ac:dyDescent="0.2">
      <c r="A3641" s="1" t="str">
        <f>"CLEC4C"</f>
        <v>CLEC4C</v>
      </c>
      <c r="B3641" t="s">
        <v>14</v>
      </c>
      <c r="C3641" t="s">
        <v>16</v>
      </c>
      <c r="D3641" t="s">
        <v>11</v>
      </c>
      <c r="E3641" t="s">
        <v>12</v>
      </c>
      <c r="F3641">
        <v>7899958</v>
      </c>
      <c r="G3641">
        <v>7899984</v>
      </c>
      <c r="H3641">
        <v>7899958</v>
      </c>
      <c r="I3641">
        <v>7899984</v>
      </c>
    </row>
    <row r="3642" spans="1:9" x14ac:dyDescent="0.2">
      <c r="A3642" s="1" t="str">
        <f>"CLEC4D"</f>
        <v>CLEC4D</v>
      </c>
      <c r="B3642" t="s">
        <v>14</v>
      </c>
      <c r="C3642" t="s">
        <v>16</v>
      </c>
      <c r="D3642" t="s">
        <v>17</v>
      </c>
      <c r="E3642" t="s">
        <v>12</v>
      </c>
      <c r="F3642">
        <v>8666126</v>
      </c>
      <c r="G3642">
        <v>8666182</v>
      </c>
      <c r="H3642">
        <v>8666095</v>
      </c>
      <c r="I3642">
        <v>8666106</v>
      </c>
    </row>
    <row r="3643" spans="1:9" x14ac:dyDescent="0.2">
      <c r="A3643" s="1" t="str">
        <f>"CLEC4E"</f>
        <v>CLEC4E</v>
      </c>
      <c r="B3643" t="s">
        <v>14</v>
      </c>
      <c r="C3643" t="s">
        <v>16</v>
      </c>
      <c r="D3643" t="s">
        <v>11</v>
      </c>
      <c r="E3643" t="s">
        <v>12</v>
      </c>
      <c r="F3643">
        <v>8693475</v>
      </c>
      <c r="G3643">
        <v>8693507</v>
      </c>
      <c r="H3643">
        <v>8693539</v>
      </c>
      <c r="I3643">
        <v>8693561</v>
      </c>
    </row>
    <row r="3644" spans="1:9" x14ac:dyDescent="0.2">
      <c r="A3644" s="1" t="str">
        <f>"CLEC4F"</f>
        <v>CLEC4F</v>
      </c>
      <c r="B3644" t="s">
        <v>14</v>
      </c>
      <c r="C3644" t="s">
        <v>26</v>
      </c>
      <c r="D3644" t="s">
        <v>11</v>
      </c>
      <c r="E3644" t="s">
        <v>12</v>
      </c>
      <c r="F3644">
        <v>71047727</v>
      </c>
      <c r="G3644">
        <v>71047733</v>
      </c>
      <c r="H3644">
        <v>71047658</v>
      </c>
      <c r="I3644">
        <v>71047701</v>
      </c>
    </row>
    <row r="3645" spans="1:9" x14ac:dyDescent="0.2">
      <c r="A3645" s="1" t="str">
        <f>"CLEC4G"</f>
        <v>CLEC4G</v>
      </c>
      <c r="B3645" t="s">
        <v>14</v>
      </c>
      <c r="C3645" t="s">
        <v>10</v>
      </c>
      <c r="D3645" t="s">
        <v>11</v>
      </c>
      <c r="E3645" t="s">
        <v>12</v>
      </c>
      <c r="F3645">
        <v>7796987</v>
      </c>
      <c r="G3645">
        <v>7797002</v>
      </c>
      <c r="H3645">
        <v>7797045</v>
      </c>
      <c r="I3645">
        <v>7797065</v>
      </c>
    </row>
    <row r="3646" spans="1:9" x14ac:dyDescent="0.2">
      <c r="A3646" s="1" t="str">
        <f>"CLEC4M"</f>
        <v>CLEC4M</v>
      </c>
      <c r="B3646" t="s">
        <v>14</v>
      </c>
      <c r="C3646" t="s">
        <v>10</v>
      </c>
      <c r="D3646" t="s">
        <v>17</v>
      </c>
      <c r="E3646" t="s">
        <v>12</v>
      </c>
      <c r="F3646">
        <v>7828124</v>
      </c>
      <c r="G3646">
        <v>7828137</v>
      </c>
      <c r="H3646">
        <v>7828093</v>
      </c>
      <c r="I3646">
        <v>7828104</v>
      </c>
    </row>
    <row r="3647" spans="1:9" x14ac:dyDescent="0.2">
      <c r="A3647" s="1" t="str">
        <f>"CLEC5A"</f>
        <v>CLEC5A</v>
      </c>
      <c r="B3647" t="s">
        <v>14</v>
      </c>
      <c r="C3647" t="s">
        <v>33</v>
      </c>
      <c r="D3647" t="s">
        <v>11</v>
      </c>
      <c r="E3647" t="s">
        <v>12</v>
      </c>
      <c r="F3647">
        <v>141646726</v>
      </c>
      <c r="G3647">
        <v>141646790</v>
      </c>
      <c r="H3647">
        <v>141646795</v>
      </c>
      <c r="I3647">
        <v>141646811</v>
      </c>
    </row>
    <row r="3648" spans="1:9" x14ac:dyDescent="0.2">
      <c r="A3648" s="1" t="str">
        <f>"CLEC6A"</f>
        <v>CLEC6A</v>
      </c>
      <c r="B3648" t="s">
        <v>14</v>
      </c>
      <c r="C3648" t="s">
        <v>16</v>
      </c>
      <c r="D3648" t="s">
        <v>17</v>
      </c>
      <c r="E3648" t="s">
        <v>12</v>
      </c>
      <c r="F3648">
        <v>8608545</v>
      </c>
      <c r="G3648">
        <v>8608595</v>
      </c>
      <c r="H3648">
        <v>8608521</v>
      </c>
      <c r="I3648">
        <v>8608526</v>
      </c>
    </row>
    <row r="3649" spans="1:9" x14ac:dyDescent="0.2">
      <c r="A3649" s="1" t="str">
        <f>"CLEC7A"</f>
        <v>CLEC7A</v>
      </c>
      <c r="B3649" t="s">
        <v>14</v>
      </c>
      <c r="C3649" t="s">
        <v>16</v>
      </c>
      <c r="D3649" t="s">
        <v>11</v>
      </c>
      <c r="E3649" t="s">
        <v>12</v>
      </c>
      <c r="F3649">
        <v>10282742</v>
      </c>
      <c r="G3649">
        <v>10282817</v>
      </c>
      <c r="H3649">
        <v>10282846</v>
      </c>
      <c r="I3649">
        <v>10282863</v>
      </c>
    </row>
    <row r="3650" spans="1:9" x14ac:dyDescent="0.2">
      <c r="A3650" s="1" t="str">
        <f>"CLEC9A"</f>
        <v>CLEC9A</v>
      </c>
      <c r="B3650" t="s">
        <v>9</v>
      </c>
      <c r="C3650" t="s">
        <v>16</v>
      </c>
      <c r="D3650" t="s">
        <v>17</v>
      </c>
      <c r="E3650" t="s">
        <v>12</v>
      </c>
      <c r="F3650">
        <v>10183271</v>
      </c>
      <c r="G3650">
        <v>10183289</v>
      </c>
      <c r="H3650">
        <v>10183271</v>
      </c>
      <c r="I3650">
        <v>10183289</v>
      </c>
    </row>
    <row r="3651" spans="1:9" x14ac:dyDescent="0.2">
      <c r="A3651" s="1" t="str">
        <f>"CLEC9A"</f>
        <v>CLEC9A</v>
      </c>
      <c r="B3651" t="s">
        <v>13</v>
      </c>
      <c r="C3651" t="s">
        <v>16</v>
      </c>
      <c r="D3651" t="s">
        <v>17</v>
      </c>
      <c r="E3651" t="s">
        <v>12</v>
      </c>
      <c r="F3651">
        <v>10205306</v>
      </c>
      <c r="G3651">
        <v>10205314</v>
      </c>
      <c r="H3651">
        <v>10205306</v>
      </c>
      <c r="I3651">
        <v>10205314</v>
      </c>
    </row>
    <row r="3652" spans="1:9" x14ac:dyDescent="0.2">
      <c r="A3652" s="1" t="str">
        <f>"CLECL1"</f>
        <v>CLECL1</v>
      </c>
      <c r="B3652" t="s">
        <v>14</v>
      </c>
      <c r="C3652" t="s">
        <v>16</v>
      </c>
      <c r="D3652" t="s">
        <v>11</v>
      </c>
      <c r="E3652" t="s">
        <v>12</v>
      </c>
      <c r="F3652">
        <v>9885767</v>
      </c>
      <c r="G3652">
        <v>9885808</v>
      </c>
      <c r="H3652">
        <v>9885767</v>
      </c>
      <c r="I3652">
        <v>9885808</v>
      </c>
    </row>
    <row r="3653" spans="1:9" x14ac:dyDescent="0.2">
      <c r="A3653" s="1" t="str">
        <f>"CLGN"</f>
        <v>CLGN</v>
      </c>
      <c r="B3653" t="s">
        <v>14</v>
      </c>
      <c r="C3653" t="s">
        <v>23</v>
      </c>
      <c r="D3653" t="s">
        <v>11</v>
      </c>
      <c r="E3653" t="s">
        <v>12</v>
      </c>
      <c r="F3653">
        <v>141348789</v>
      </c>
      <c r="G3653">
        <v>141348819</v>
      </c>
      <c r="H3653">
        <v>141348763</v>
      </c>
      <c r="I3653">
        <v>141348776</v>
      </c>
    </row>
    <row r="3654" spans="1:9" x14ac:dyDescent="0.2">
      <c r="A3654" s="1" t="str">
        <f>"CLHC1"</f>
        <v>CLHC1</v>
      </c>
      <c r="B3654" t="s">
        <v>14</v>
      </c>
      <c r="C3654" t="s">
        <v>26</v>
      </c>
      <c r="D3654" t="s">
        <v>11</v>
      </c>
      <c r="E3654" t="s">
        <v>12</v>
      </c>
      <c r="F3654">
        <v>55459388</v>
      </c>
      <c r="G3654">
        <v>55459435</v>
      </c>
      <c r="H3654">
        <v>55459437</v>
      </c>
      <c r="I3654">
        <v>55459451</v>
      </c>
    </row>
    <row r="3655" spans="1:9" x14ac:dyDescent="0.2">
      <c r="A3655" s="1" t="str">
        <f>"CLIC1"</f>
        <v>CLIC1</v>
      </c>
      <c r="B3655" t="s">
        <v>14</v>
      </c>
      <c r="C3655" t="s">
        <v>32</v>
      </c>
      <c r="D3655" t="s">
        <v>11</v>
      </c>
      <c r="E3655" t="s">
        <v>12</v>
      </c>
      <c r="F3655">
        <v>31704282</v>
      </c>
      <c r="G3655">
        <v>31704327</v>
      </c>
      <c r="H3655">
        <v>31704075</v>
      </c>
      <c r="I3655">
        <v>31704106</v>
      </c>
    </row>
    <row r="3656" spans="1:9" x14ac:dyDescent="0.2">
      <c r="A3656" s="1" t="str">
        <f>"CLIC2"</f>
        <v>CLIC2</v>
      </c>
      <c r="B3656" t="s">
        <v>14</v>
      </c>
      <c r="C3656" t="s">
        <v>37</v>
      </c>
      <c r="D3656" t="s">
        <v>11</v>
      </c>
      <c r="E3656" t="s">
        <v>12</v>
      </c>
      <c r="F3656">
        <v>154563889</v>
      </c>
      <c r="G3656">
        <v>154563966</v>
      </c>
      <c r="H3656">
        <v>154563855</v>
      </c>
      <c r="I3656">
        <v>154563876</v>
      </c>
    </row>
    <row r="3657" spans="1:9" x14ac:dyDescent="0.2">
      <c r="A3657" s="1" t="str">
        <f>"CLIC3"</f>
        <v>CLIC3</v>
      </c>
      <c r="B3657" t="s">
        <v>14</v>
      </c>
      <c r="C3657" t="s">
        <v>24</v>
      </c>
      <c r="D3657" t="s">
        <v>11</v>
      </c>
      <c r="E3657" t="s">
        <v>12</v>
      </c>
      <c r="F3657">
        <v>139891007</v>
      </c>
      <c r="G3657">
        <v>139891027</v>
      </c>
      <c r="H3657">
        <v>139890151</v>
      </c>
      <c r="I3657">
        <v>139890199</v>
      </c>
    </row>
    <row r="3658" spans="1:9" x14ac:dyDescent="0.2">
      <c r="A3658" s="1" t="str">
        <f>"CLIC4"</f>
        <v>CLIC4</v>
      </c>
      <c r="B3658" t="s">
        <v>14</v>
      </c>
      <c r="C3658" t="s">
        <v>19</v>
      </c>
      <c r="D3658" t="s">
        <v>17</v>
      </c>
      <c r="E3658" t="s">
        <v>12</v>
      </c>
      <c r="F3658">
        <v>25071930</v>
      </c>
      <c r="G3658">
        <v>25071944</v>
      </c>
      <c r="H3658">
        <v>25071930</v>
      </c>
      <c r="I3658">
        <v>25071944</v>
      </c>
    </row>
    <row r="3659" spans="1:9" x14ac:dyDescent="0.2">
      <c r="A3659" s="1" t="str">
        <f>"CLIC5"</f>
        <v>CLIC5</v>
      </c>
      <c r="B3659" t="s">
        <v>14</v>
      </c>
      <c r="C3659" t="s">
        <v>32</v>
      </c>
      <c r="D3659" t="s">
        <v>11</v>
      </c>
      <c r="E3659" t="s">
        <v>12</v>
      </c>
      <c r="F3659">
        <v>45983581</v>
      </c>
      <c r="G3659">
        <v>45983603</v>
      </c>
      <c r="H3659">
        <v>45983549</v>
      </c>
      <c r="I3659">
        <v>45983578</v>
      </c>
    </row>
    <row r="3660" spans="1:9" x14ac:dyDescent="0.2">
      <c r="A3660" s="1" t="str">
        <f>"CLIC6"</f>
        <v>CLIC6</v>
      </c>
      <c r="B3660" t="s">
        <v>14</v>
      </c>
      <c r="C3660" t="s">
        <v>42</v>
      </c>
      <c r="D3660" t="s">
        <v>17</v>
      </c>
      <c r="E3660" t="s">
        <v>12</v>
      </c>
      <c r="F3660">
        <v>36041286</v>
      </c>
      <c r="G3660">
        <v>36041333</v>
      </c>
      <c r="H3660">
        <v>36041286</v>
      </c>
      <c r="I3660">
        <v>36041333</v>
      </c>
    </row>
    <row r="3661" spans="1:9" x14ac:dyDescent="0.2">
      <c r="A3661" s="1" t="str">
        <f>"CLINT1"</f>
        <v>CLINT1</v>
      </c>
      <c r="B3661" t="s">
        <v>14</v>
      </c>
      <c r="C3661" t="s">
        <v>46</v>
      </c>
      <c r="D3661" t="s">
        <v>11</v>
      </c>
      <c r="E3661" t="s">
        <v>12</v>
      </c>
      <c r="F3661">
        <v>157286104</v>
      </c>
      <c r="G3661">
        <v>157286188</v>
      </c>
      <c r="H3661">
        <v>157286087</v>
      </c>
      <c r="I3661">
        <v>157286099</v>
      </c>
    </row>
    <row r="3662" spans="1:9" x14ac:dyDescent="0.2">
      <c r="A3662" s="1" t="str">
        <f>"CLIP1"</f>
        <v>CLIP1</v>
      </c>
      <c r="B3662" t="s">
        <v>14</v>
      </c>
      <c r="C3662" t="s">
        <v>16</v>
      </c>
      <c r="D3662" t="s">
        <v>11</v>
      </c>
      <c r="E3662" t="s">
        <v>12</v>
      </c>
      <c r="F3662">
        <v>122907091</v>
      </c>
      <c r="G3662">
        <v>122907186</v>
      </c>
      <c r="H3662">
        <v>122907210</v>
      </c>
      <c r="I3662">
        <v>122907225</v>
      </c>
    </row>
    <row r="3663" spans="1:9" x14ac:dyDescent="0.2">
      <c r="A3663" s="1" t="str">
        <f>"CLIP2"</f>
        <v>CLIP2</v>
      </c>
      <c r="B3663" t="s">
        <v>14</v>
      </c>
      <c r="C3663" t="s">
        <v>33</v>
      </c>
      <c r="D3663" t="s">
        <v>17</v>
      </c>
      <c r="E3663" t="s">
        <v>12</v>
      </c>
      <c r="F3663">
        <v>73703728</v>
      </c>
      <c r="G3663">
        <v>73703807</v>
      </c>
      <c r="H3663">
        <v>73703940</v>
      </c>
      <c r="I3663">
        <v>73703987</v>
      </c>
    </row>
    <row r="3664" spans="1:9" x14ac:dyDescent="0.2">
      <c r="A3664" s="1" t="str">
        <f>"CLIP3"</f>
        <v>CLIP3</v>
      </c>
      <c r="B3664" t="s">
        <v>14</v>
      </c>
      <c r="C3664" t="s">
        <v>10</v>
      </c>
      <c r="D3664" t="s">
        <v>11</v>
      </c>
      <c r="E3664" t="s">
        <v>12</v>
      </c>
      <c r="F3664">
        <v>36523709</v>
      </c>
      <c r="G3664">
        <v>36523796</v>
      </c>
      <c r="H3664">
        <v>36523529</v>
      </c>
      <c r="I3664">
        <v>36523548</v>
      </c>
    </row>
    <row r="3665" spans="1:9" x14ac:dyDescent="0.2">
      <c r="A3665" s="1" t="str">
        <f>"CLIP4"</f>
        <v>CLIP4</v>
      </c>
      <c r="B3665" t="s">
        <v>14</v>
      </c>
      <c r="C3665" t="s">
        <v>26</v>
      </c>
      <c r="D3665" t="s">
        <v>17</v>
      </c>
      <c r="E3665" t="s">
        <v>12</v>
      </c>
      <c r="F3665">
        <v>29338236</v>
      </c>
      <c r="G3665">
        <v>29338439</v>
      </c>
      <c r="H3665">
        <v>29338236</v>
      </c>
      <c r="I3665">
        <v>29338439</v>
      </c>
    </row>
    <row r="3666" spans="1:9" x14ac:dyDescent="0.2">
      <c r="A3666" s="1" t="str">
        <f>"CLK1"</f>
        <v>CLK1</v>
      </c>
      <c r="B3666" t="s">
        <v>14</v>
      </c>
      <c r="C3666" t="s">
        <v>26</v>
      </c>
      <c r="D3666" t="s">
        <v>11</v>
      </c>
      <c r="E3666" t="s">
        <v>12</v>
      </c>
      <c r="F3666">
        <v>201729366</v>
      </c>
      <c r="G3666">
        <v>201729392</v>
      </c>
      <c r="H3666">
        <v>201729393</v>
      </c>
      <c r="I3666">
        <v>201729428</v>
      </c>
    </row>
    <row r="3667" spans="1:9" x14ac:dyDescent="0.2">
      <c r="A3667" s="1" t="str">
        <f>"CLK2"</f>
        <v>CLK2</v>
      </c>
      <c r="B3667" t="s">
        <v>14</v>
      </c>
      <c r="C3667" t="s">
        <v>19</v>
      </c>
      <c r="D3667" t="s">
        <v>11</v>
      </c>
      <c r="E3667" t="s">
        <v>12</v>
      </c>
      <c r="F3667">
        <v>155243235</v>
      </c>
      <c r="G3667">
        <v>155243304</v>
      </c>
      <c r="H3667">
        <v>155243315</v>
      </c>
      <c r="I3667">
        <v>155243320</v>
      </c>
    </row>
    <row r="3668" spans="1:9" x14ac:dyDescent="0.2">
      <c r="A3668" s="1" t="str">
        <f>"CLK3"</f>
        <v>CLK3</v>
      </c>
      <c r="B3668" t="s">
        <v>9</v>
      </c>
      <c r="C3668" t="s">
        <v>25</v>
      </c>
      <c r="D3668" t="s">
        <v>17</v>
      </c>
      <c r="E3668" t="s">
        <v>12</v>
      </c>
      <c r="F3668">
        <v>74908147</v>
      </c>
      <c r="G3668">
        <v>74908220</v>
      </c>
      <c r="H3668">
        <v>74908147</v>
      </c>
      <c r="I3668">
        <v>74908220</v>
      </c>
    </row>
    <row r="3669" spans="1:9" x14ac:dyDescent="0.2">
      <c r="A3669" s="1" t="str">
        <f>"CLK3"</f>
        <v>CLK3</v>
      </c>
      <c r="B3669" t="s">
        <v>13</v>
      </c>
      <c r="C3669" t="s">
        <v>25</v>
      </c>
      <c r="D3669" t="s">
        <v>17</v>
      </c>
      <c r="E3669" t="s">
        <v>12</v>
      </c>
      <c r="F3669">
        <v>74890824</v>
      </c>
      <c r="G3669">
        <v>74890860</v>
      </c>
      <c r="H3669">
        <v>74890824</v>
      </c>
      <c r="I3669">
        <v>74890860</v>
      </c>
    </row>
    <row r="3670" spans="1:9" x14ac:dyDescent="0.2">
      <c r="A3670" s="1" t="str">
        <f>"CLK4"</f>
        <v>CLK4</v>
      </c>
      <c r="B3670" t="s">
        <v>14</v>
      </c>
      <c r="C3670" t="s">
        <v>46</v>
      </c>
      <c r="D3670" t="s">
        <v>11</v>
      </c>
      <c r="E3670" t="s">
        <v>12</v>
      </c>
      <c r="F3670">
        <v>178054014</v>
      </c>
      <c r="G3670">
        <v>178054096</v>
      </c>
      <c r="H3670">
        <v>178054105</v>
      </c>
      <c r="I3670">
        <v>178054119</v>
      </c>
    </row>
    <row r="3671" spans="1:9" x14ac:dyDescent="0.2">
      <c r="A3671" s="1" t="str">
        <f>"CLLU1"</f>
        <v>CLLU1</v>
      </c>
      <c r="B3671" t="s">
        <v>248</v>
      </c>
      <c r="C3671" t="s">
        <v>16</v>
      </c>
      <c r="D3671" t="s">
        <v>17</v>
      </c>
      <c r="E3671" t="s">
        <v>20</v>
      </c>
      <c r="F3671">
        <v>92817734</v>
      </c>
      <c r="G3671">
        <v>92817734</v>
      </c>
      <c r="H3671">
        <v>92817734</v>
      </c>
      <c r="I3671">
        <v>92817734</v>
      </c>
    </row>
    <row r="3672" spans="1:9" x14ac:dyDescent="0.2">
      <c r="A3672" s="1" t="str">
        <f>"CLLU1OS"</f>
        <v>CLLU1OS</v>
      </c>
      <c r="B3672" t="s">
        <v>249</v>
      </c>
      <c r="C3672" t="s">
        <v>16</v>
      </c>
      <c r="D3672" t="s">
        <v>11</v>
      </c>
      <c r="E3672" t="s">
        <v>20</v>
      </c>
      <c r="F3672">
        <v>92821922</v>
      </c>
      <c r="G3672">
        <v>92821922</v>
      </c>
      <c r="H3672">
        <v>92821922</v>
      </c>
      <c r="I3672">
        <v>92821922</v>
      </c>
    </row>
    <row r="3673" spans="1:9" x14ac:dyDescent="0.2">
      <c r="A3673" s="1" t="str">
        <f>"CLMN"</f>
        <v>CLMN</v>
      </c>
      <c r="B3673" t="s">
        <v>14</v>
      </c>
      <c r="C3673" t="s">
        <v>41</v>
      </c>
      <c r="D3673" t="s">
        <v>11</v>
      </c>
      <c r="E3673" t="s">
        <v>12</v>
      </c>
      <c r="F3673">
        <v>95786200</v>
      </c>
      <c r="G3673">
        <v>95786257</v>
      </c>
      <c r="H3673">
        <v>95786176</v>
      </c>
      <c r="I3673">
        <v>95786199</v>
      </c>
    </row>
    <row r="3674" spans="1:9" x14ac:dyDescent="0.2">
      <c r="A3674" s="1" t="str">
        <f>"CLMP"</f>
        <v>CLMP</v>
      </c>
      <c r="B3674" t="s">
        <v>14</v>
      </c>
      <c r="C3674" t="s">
        <v>27</v>
      </c>
      <c r="D3674" t="s">
        <v>11</v>
      </c>
      <c r="E3674" t="s">
        <v>12</v>
      </c>
      <c r="F3674">
        <v>123065926</v>
      </c>
      <c r="G3674">
        <v>123065977</v>
      </c>
      <c r="H3674">
        <v>123066004</v>
      </c>
      <c r="I3674">
        <v>123066026</v>
      </c>
    </row>
    <row r="3675" spans="1:9" x14ac:dyDescent="0.2">
      <c r="A3675" s="1" t="str">
        <f>"CLN3"</f>
        <v>CLN3</v>
      </c>
      <c r="B3675" t="s">
        <v>14</v>
      </c>
      <c r="C3675" t="s">
        <v>31</v>
      </c>
      <c r="D3675" t="s">
        <v>11</v>
      </c>
      <c r="E3675" t="s">
        <v>12</v>
      </c>
      <c r="F3675">
        <v>28503357</v>
      </c>
      <c r="G3675">
        <v>28503409</v>
      </c>
      <c r="H3675">
        <v>28503327</v>
      </c>
      <c r="I3675">
        <v>28503356</v>
      </c>
    </row>
    <row r="3676" spans="1:9" x14ac:dyDescent="0.2">
      <c r="A3676" s="1" t="str">
        <f>"CLN5"</f>
        <v>CLN5</v>
      </c>
      <c r="B3676" t="s">
        <v>14</v>
      </c>
      <c r="C3676" t="s">
        <v>39</v>
      </c>
      <c r="D3676" t="s">
        <v>17</v>
      </c>
      <c r="E3676" t="s">
        <v>12</v>
      </c>
      <c r="F3676">
        <v>77566179</v>
      </c>
      <c r="G3676">
        <v>77566264</v>
      </c>
      <c r="H3676">
        <v>77566289</v>
      </c>
      <c r="I3676">
        <v>77566331</v>
      </c>
    </row>
    <row r="3677" spans="1:9" x14ac:dyDescent="0.2">
      <c r="A3677" s="1" t="str">
        <f>"CLN6"</f>
        <v>CLN6</v>
      </c>
      <c r="B3677" t="s">
        <v>14</v>
      </c>
      <c r="C3677" t="s">
        <v>25</v>
      </c>
      <c r="D3677" t="s">
        <v>11</v>
      </c>
      <c r="E3677" t="s">
        <v>12</v>
      </c>
      <c r="F3677">
        <v>68521996</v>
      </c>
      <c r="G3677">
        <v>68522085</v>
      </c>
      <c r="H3677">
        <v>68521972</v>
      </c>
      <c r="I3677">
        <v>68521983</v>
      </c>
    </row>
    <row r="3678" spans="1:9" x14ac:dyDescent="0.2">
      <c r="A3678" s="1" t="str">
        <f>"CLN8"</f>
        <v>CLN8</v>
      </c>
      <c r="B3678" t="s">
        <v>14</v>
      </c>
      <c r="C3678" t="s">
        <v>30</v>
      </c>
      <c r="D3678" t="s">
        <v>17</v>
      </c>
      <c r="E3678" t="s">
        <v>12</v>
      </c>
      <c r="F3678">
        <v>1711932</v>
      </c>
      <c r="G3678">
        <v>1711961</v>
      </c>
      <c r="H3678">
        <v>1711963</v>
      </c>
      <c r="I3678">
        <v>1711989</v>
      </c>
    </row>
    <row r="3679" spans="1:9" x14ac:dyDescent="0.2">
      <c r="A3679" s="1" t="str">
        <f>"CLNK"</f>
        <v>CLNK</v>
      </c>
      <c r="B3679" t="s">
        <v>14</v>
      </c>
      <c r="C3679" t="s">
        <v>23</v>
      </c>
      <c r="D3679" t="s">
        <v>11</v>
      </c>
      <c r="E3679" t="s">
        <v>12</v>
      </c>
      <c r="F3679">
        <v>10686373</v>
      </c>
      <c r="G3679">
        <v>10686397</v>
      </c>
      <c r="H3679">
        <v>10686475</v>
      </c>
      <c r="I3679">
        <v>10686490</v>
      </c>
    </row>
    <row r="3680" spans="1:9" x14ac:dyDescent="0.2">
      <c r="A3680" s="1" t="str">
        <f>"CLNS1A"</f>
        <v>CLNS1A</v>
      </c>
      <c r="B3680" t="s">
        <v>14</v>
      </c>
      <c r="C3680" t="s">
        <v>27</v>
      </c>
      <c r="D3680" t="s">
        <v>11</v>
      </c>
      <c r="E3680" t="s">
        <v>12</v>
      </c>
      <c r="F3680">
        <v>77348821</v>
      </c>
      <c r="G3680">
        <v>77348860</v>
      </c>
      <c r="H3680">
        <v>77348799</v>
      </c>
      <c r="I3680">
        <v>77348816</v>
      </c>
    </row>
    <row r="3681" spans="1:9" x14ac:dyDescent="0.2">
      <c r="A3681" s="1" t="str">
        <f>"CLOCK"</f>
        <v>CLOCK</v>
      </c>
      <c r="B3681" t="s">
        <v>14</v>
      </c>
      <c r="C3681" t="s">
        <v>23</v>
      </c>
      <c r="D3681" t="s">
        <v>11</v>
      </c>
      <c r="E3681" t="s">
        <v>12</v>
      </c>
      <c r="F3681">
        <v>56412978</v>
      </c>
      <c r="G3681">
        <v>56413003</v>
      </c>
      <c r="H3681">
        <v>56413032</v>
      </c>
      <c r="I3681">
        <v>56413056</v>
      </c>
    </row>
    <row r="3682" spans="1:9" x14ac:dyDescent="0.2">
      <c r="A3682" s="1" t="str">
        <f>"CLP1"</f>
        <v>CLP1</v>
      </c>
      <c r="B3682" t="s">
        <v>14</v>
      </c>
      <c r="C3682" t="s">
        <v>27</v>
      </c>
      <c r="D3682" t="s">
        <v>17</v>
      </c>
      <c r="E3682" t="s">
        <v>12</v>
      </c>
      <c r="F3682">
        <v>57425209</v>
      </c>
      <c r="G3682">
        <v>57425251</v>
      </c>
      <c r="H3682">
        <v>57425253</v>
      </c>
      <c r="I3682">
        <v>57425273</v>
      </c>
    </row>
    <row r="3683" spans="1:9" x14ac:dyDescent="0.2">
      <c r="A3683" s="1" t="str">
        <f>"CLPB"</f>
        <v>CLPB</v>
      </c>
      <c r="B3683" t="s">
        <v>14</v>
      </c>
      <c r="C3683" t="s">
        <v>27</v>
      </c>
      <c r="D3683" t="s">
        <v>11</v>
      </c>
      <c r="E3683" t="s">
        <v>12</v>
      </c>
      <c r="F3683">
        <v>72145527</v>
      </c>
      <c r="G3683">
        <v>72145607</v>
      </c>
      <c r="H3683">
        <v>72145648</v>
      </c>
      <c r="I3683">
        <v>72145661</v>
      </c>
    </row>
    <row r="3684" spans="1:9" x14ac:dyDescent="0.2">
      <c r="A3684" s="1" t="str">
        <f>"CLPP"</f>
        <v>CLPP</v>
      </c>
      <c r="B3684" t="s">
        <v>14</v>
      </c>
      <c r="C3684" t="s">
        <v>10</v>
      </c>
      <c r="D3684" t="s">
        <v>17</v>
      </c>
      <c r="E3684" t="s">
        <v>12</v>
      </c>
      <c r="F3684">
        <v>6361517</v>
      </c>
      <c r="G3684">
        <v>6361640</v>
      </c>
      <c r="H3684">
        <v>6361644</v>
      </c>
      <c r="I3684">
        <v>6361677</v>
      </c>
    </row>
    <row r="3685" spans="1:9" x14ac:dyDescent="0.2">
      <c r="A3685" s="1" t="str">
        <f>"CLPS"</f>
        <v>CLPS</v>
      </c>
      <c r="B3685" t="s">
        <v>14</v>
      </c>
      <c r="C3685" t="s">
        <v>32</v>
      </c>
      <c r="D3685" t="s">
        <v>11</v>
      </c>
      <c r="E3685" t="s">
        <v>12</v>
      </c>
      <c r="F3685">
        <v>35765092</v>
      </c>
      <c r="G3685">
        <v>35765107</v>
      </c>
      <c r="H3685">
        <v>35765092</v>
      </c>
      <c r="I3685">
        <v>35765107</v>
      </c>
    </row>
    <row r="3686" spans="1:9" x14ac:dyDescent="0.2">
      <c r="A3686" s="1" t="str">
        <f>"CLPSL1"</f>
        <v>CLPSL1</v>
      </c>
      <c r="B3686" t="s">
        <v>9</v>
      </c>
      <c r="C3686" t="s">
        <v>32</v>
      </c>
      <c r="D3686" t="s">
        <v>17</v>
      </c>
      <c r="E3686" t="s">
        <v>12</v>
      </c>
      <c r="F3686">
        <v>35748783</v>
      </c>
      <c r="G3686">
        <v>35748831</v>
      </c>
      <c r="H3686">
        <v>35748783</v>
      </c>
      <c r="I3686">
        <v>35748831</v>
      </c>
    </row>
    <row r="3687" spans="1:9" x14ac:dyDescent="0.2">
      <c r="A3687" s="1" t="str">
        <f>"CLPSL1"</f>
        <v>CLPSL1</v>
      </c>
      <c r="B3687" t="s">
        <v>13</v>
      </c>
      <c r="C3687" t="s">
        <v>32</v>
      </c>
      <c r="D3687" t="s">
        <v>17</v>
      </c>
      <c r="E3687" t="s">
        <v>12</v>
      </c>
      <c r="F3687">
        <v>35754575</v>
      </c>
      <c r="G3687">
        <v>35754599</v>
      </c>
      <c r="H3687">
        <v>35754575</v>
      </c>
      <c r="I3687">
        <v>35754599</v>
      </c>
    </row>
    <row r="3688" spans="1:9" x14ac:dyDescent="0.2">
      <c r="A3688" s="1" t="str">
        <f>"CLPSL2"</f>
        <v>CLPSL2</v>
      </c>
      <c r="B3688" t="s">
        <v>14</v>
      </c>
      <c r="C3688" t="s">
        <v>32</v>
      </c>
      <c r="D3688" t="s">
        <v>17</v>
      </c>
      <c r="E3688" t="s">
        <v>12</v>
      </c>
      <c r="F3688">
        <v>35744367</v>
      </c>
      <c r="G3688">
        <v>35744380</v>
      </c>
      <c r="H3688">
        <v>35744334</v>
      </c>
      <c r="I3688">
        <v>35744343</v>
      </c>
    </row>
    <row r="3689" spans="1:9" x14ac:dyDescent="0.2">
      <c r="A3689" s="1" t="str">
        <f>"CLPTM1"</f>
        <v>CLPTM1</v>
      </c>
      <c r="B3689" t="s">
        <v>14</v>
      </c>
      <c r="C3689" t="s">
        <v>10</v>
      </c>
      <c r="D3689" t="s">
        <v>17</v>
      </c>
      <c r="E3689" t="s">
        <v>12</v>
      </c>
      <c r="F3689">
        <v>45458622</v>
      </c>
      <c r="G3689">
        <v>45458657</v>
      </c>
      <c r="H3689">
        <v>45457834</v>
      </c>
      <c r="I3689">
        <v>45457865</v>
      </c>
    </row>
    <row r="3690" spans="1:9" x14ac:dyDescent="0.2">
      <c r="A3690" s="1" t="str">
        <f>"CLPTM1L"</f>
        <v>CLPTM1L</v>
      </c>
      <c r="B3690" t="s">
        <v>14</v>
      </c>
      <c r="C3690" t="s">
        <v>46</v>
      </c>
      <c r="D3690" t="s">
        <v>11</v>
      </c>
      <c r="E3690" t="s">
        <v>12</v>
      </c>
      <c r="F3690">
        <v>1345127</v>
      </c>
      <c r="G3690">
        <v>1345197</v>
      </c>
      <c r="H3690">
        <v>1345199</v>
      </c>
      <c r="I3690">
        <v>1345220</v>
      </c>
    </row>
    <row r="3691" spans="1:9" x14ac:dyDescent="0.2">
      <c r="A3691" s="1" t="str">
        <f>"CLPX"</f>
        <v>CLPX</v>
      </c>
      <c r="B3691" t="s">
        <v>14</v>
      </c>
      <c r="C3691" t="s">
        <v>25</v>
      </c>
      <c r="D3691" t="s">
        <v>11</v>
      </c>
      <c r="E3691" t="s">
        <v>12</v>
      </c>
      <c r="F3691">
        <v>65477637</v>
      </c>
      <c r="G3691">
        <v>65477701</v>
      </c>
      <c r="H3691">
        <v>65477785</v>
      </c>
      <c r="I3691">
        <v>65477794</v>
      </c>
    </row>
    <row r="3692" spans="1:9" x14ac:dyDescent="0.2">
      <c r="A3692" s="1" t="str">
        <f>"CLRN1"</f>
        <v>CLRN1</v>
      </c>
      <c r="B3692" t="s">
        <v>14</v>
      </c>
      <c r="C3692" t="s">
        <v>22</v>
      </c>
      <c r="D3692" t="s">
        <v>11</v>
      </c>
      <c r="E3692" t="s">
        <v>12</v>
      </c>
      <c r="F3692">
        <v>150690508</v>
      </c>
      <c r="G3692">
        <v>150690520</v>
      </c>
      <c r="H3692">
        <v>150690540</v>
      </c>
      <c r="I3692">
        <v>150690556</v>
      </c>
    </row>
    <row r="3693" spans="1:9" x14ac:dyDescent="0.2">
      <c r="A3693" s="1" t="str">
        <f>"CLRN2"</f>
        <v>CLRN2</v>
      </c>
      <c r="B3693" t="s">
        <v>250</v>
      </c>
      <c r="C3693" t="s">
        <v>23</v>
      </c>
      <c r="D3693" t="s">
        <v>17</v>
      </c>
      <c r="E3693" t="s">
        <v>20</v>
      </c>
      <c r="F3693">
        <v>17516787</v>
      </c>
      <c r="G3693">
        <v>17516787</v>
      </c>
      <c r="H3693">
        <v>17516787</v>
      </c>
      <c r="I3693">
        <v>17516787</v>
      </c>
    </row>
    <row r="3694" spans="1:9" x14ac:dyDescent="0.2">
      <c r="A3694" s="1" t="str">
        <f>"CLRN3"</f>
        <v>CLRN3</v>
      </c>
      <c r="B3694" t="s">
        <v>14</v>
      </c>
      <c r="C3694" t="s">
        <v>15</v>
      </c>
      <c r="D3694" t="s">
        <v>11</v>
      </c>
      <c r="E3694" t="s">
        <v>12</v>
      </c>
      <c r="F3694">
        <v>129691195</v>
      </c>
      <c r="G3694">
        <v>129691212</v>
      </c>
      <c r="H3694">
        <v>129691154</v>
      </c>
      <c r="I3694">
        <v>129691185</v>
      </c>
    </row>
    <row r="3695" spans="1:9" x14ac:dyDescent="0.2">
      <c r="A3695" s="1" t="str">
        <f>"CLSPN"</f>
        <v>CLSPN</v>
      </c>
      <c r="B3695" t="s">
        <v>14</v>
      </c>
      <c r="C3695" t="s">
        <v>19</v>
      </c>
      <c r="D3695" t="s">
        <v>11</v>
      </c>
      <c r="E3695" t="s">
        <v>12</v>
      </c>
      <c r="F3695">
        <v>36235559</v>
      </c>
      <c r="G3695">
        <v>36235600</v>
      </c>
      <c r="H3695">
        <v>36235546</v>
      </c>
      <c r="I3695">
        <v>36235557</v>
      </c>
    </row>
    <row r="3696" spans="1:9" x14ac:dyDescent="0.2">
      <c r="A3696" s="1" t="str">
        <f>"CLSTN1"</f>
        <v>CLSTN1</v>
      </c>
      <c r="B3696" t="s">
        <v>14</v>
      </c>
      <c r="C3696" t="s">
        <v>19</v>
      </c>
      <c r="D3696" t="s">
        <v>11</v>
      </c>
      <c r="E3696" t="s">
        <v>12</v>
      </c>
      <c r="F3696">
        <v>9884011</v>
      </c>
      <c r="G3696">
        <v>9884037</v>
      </c>
      <c r="H3696">
        <v>9883993</v>
      </c>
      <c r="I3696">
        <v>9884004</v>
      </c>
    </row>
    <row r="3697" spans="1:9" x14ac:dyDescent="0.2">
      <c r="A3697" s="1" t="str">
        <f>"CLSTN2"</f>
        <v>CLSTN2</v>
      </c>
      <c r="B3697" t="s">
        <v>14</v>
      </c>
      <c r="C3697" t="s">
        <v>22</v>
      </c>
      <c r="D3697" t="s">
        <v>17</v>
      </c>
      <c r="E3697" t="s">
        <v>12</v>
      </c>
      <c r="F3697">
        <v>139654018</v>
      </c>
      <c r="G3697">
        <v>139654039</v>
      </c>
      <c r="H3697">
        <v>139654000</v>
      </c>
      <c r="I3697">
        <v>139654011</v>
      </c>
    </row>
    <row r="3698" spans="1:9" x14ac:dyDescent="0.2">
      <c r="A3698" s="1" t="str">
        <f>"CLSTN3"</f>
        <v>CLSTN3</v>
      </c>
      <c r="B3698" t="s">
        <v>9</v>
      </c>
      <c r="C3698" t="s">
        <v>16</v>
      </c>
      <c r="D3698" t="s">
        <v>17</v>
      </c>
      <c r="E3698" t="s">
        <v>12</v>
      </c>
      <c r="F3698">
        <v>7282942</v>
      </c>
      <c r="G3698">
        <v>7283047</v>
      </c>
      <c r="H3698">
        <v>7282942</v>
      </c>
      <c r="I3698">
        <v>7283047</v>
      </c>
    </row>
    <row r="3699" spans="1:9" x14ac:dyDescent="0.2">
      <c r="A3699" s="1" t="str">
        <f>"CLSTN3"</f>
        <v>CLSTN3</v>
      </c>
      <c r="B3699" t="s">
        <v>13</v>
      </c>
      <c r="C3699" t="s">
        <v>16</v>
      </c>
      <c r="D3699" t="s">
        <v>17</v>
      </c>
      <c r="E3699" t="s">
        <v>12</v>
      </c>
      <c r="F3699">
        <v>7308463</v>
      </c>
      <c r="G3699">
        <v>7308481</v>
      </c>
      <c r="H3699">
        <v>7308463</v>
      </c>
      <c r="I3699">
        <v>7308481</v>
      </c>
    </row>
    <row r="3700" spans="1:9" x14ac:dyDescent="0.2">
      <c r="A3700" s="1" t="str">
        <f>"CLTA"</f>
        <v>CLTA</v>
      </c>
      <c r="B3700" t="s">
        <v>14</v>
      </c>
      <c r="C3700" t="s">
        <v>24</v>
      </c>
      <c r="D3700" t="s">
        <v>17</v>
      </c>
      <c r="E3700" t="s">
        <v>12</v>
      </c>
      <c r="F3700">
        <v>36190905</v>
      </c>
      <c r="G3700">
        <v>36190966</v>
      </c>
      <c r="H3700">
        <v>36190893</v>
      </c>
      <c r="I3700">
        <v>36190904</v>
      </c>
    </row>
    <row r="3701" spans="1:9" x14ac:dyDescent="0.2">
      <c r="A3701" s="1" t="str">
        <f>"CLTB"</f>
        <v>CLTB</v>
      </c>
      <c r="B3701" t="s">
        <v>14</v>
      </c>
      <c r="C3701" t="s">
        <v>46</v>
      </c>
      <c r="D3701" t="s">
        <v>11</v>
      </c>
      <c r="E3701" t="s">
        <v>12</v>
      </c>
      <c r="F3701">
        <v>175843524</v>
      </c>
      <c r="G3701">
        <v>175843547</v>
      </c>
      <c r="H3701">
        <v>175843552</v>
      </c>
      <c r="I3701">
        <v>175843567</v>
      </c>
    </row>
    <row r="3702" spans="1:9" x14ac:dyDescent="0.2">
      <c r="A3702" s="1" t="str">
        <f>"CLTC"</f>
        <v>CLTC</v>
      </c>
      <c r="B3702" t="s">
        <v>14</v>
      </c>
      <c r="C3702" t="s">
        <v>28</v>
      </c>
      <c r="D3702" t="s">
        <v>17</v>
      </c>
      <c r="E3702" t="s">
        <v>12</v>
      </c>
      <c r="F3702">
        <v>57697246</v>
      </c>
      <c r="G3702">
        <v>57697302</v>
      </c>
      <c r="H3702">
        <v>57697216</v>
      </c>
      <c r="I3702">
        <v>57697235</v>
      </c>
    </row>
    <row r="3703" spans="1:9" x14ac:dyDescent="0.2">
      <c r="A3703" s="1" t="str">
        <f>"CLTCL1"</f>
        <v>CLTCL1</v>
      </c>
      <c r="B3703" t="s">
        <v>14</v>
      </c>
      <c r="C3703" t="s">
        <v>21</v>
      </c>
      <c r="D3703" t="s">
        <v>11</v>
      </c>
      <c r="E3703" t="s">
        <v>12</v>
      </c>
      <c r="F3703">
        <v>19279201</v>
      </c>
      <c r="G3703">
        <v>19279268</v>
      </c>
      <c r="H3703">
        <v>19279187</v>
      </c>
      <c r="I3703">
        <v>19279192</v>
      </c>
    </row>
    <row r="3704" spans="1:9" x14ac:dyDescent="0.2">
      <c r="A3704" s="1" t="str">
        <f>"CLU"</f>
        <v>CLU</v>
      </c>
      <c r="B3704" t="s">
        <v>9</v>
      </c>
      <c r="C3704" t="s">
        <v>30</v>
      </c>
      <c r="D3704" t="s">
        <v>11</v>
      </c>
      <c r="E3704" t="s">
        <v>12</v>
      </c>
      <c r="F3704">
        <v>27472209</v>
      </c>
      <c r="G3704">
        <v>27472225</v>
      </c>
      <c r="H3704">
        <v>27472209</v>
      </c>
      <c r="I3704">
        <v>27472225</v>
      </c>
    </row>
    <row r="3705" spans="1:9" x14ac:dyDescent="0.2">
      <c r="A3705" s="1" t="str">
        <f>"CLU"</f>
        <v>CLU</v>
      </c>
      <c r="B3705" t="s">
        <v>13</v>
      </c>
      <c r="C3705" t="s">
        <v>30</v>
      </c>
      <c r="D3705" t="s">
        <v>11</v>
      </c>
      <c r="E3705" t="s">
        <v>12</v>
      </c>
      <c r="F3705">
        <v>27469196</v>
      </c>
      <c r="G3705">
        <v>27469294</v>
      </c>
      <c r="H3705">
        <v>27469196</v>
      </c>
      <c r="I3705">
        <v>27469294</v>
      </c>
    </row>
    <row r="3706" spans="1:9" x14ac:dyDescent="0.2">
      <c r="A3706" s="1" t="str">
        <f>"CLUAP1"</f>
        <v>CLUAP1</v>
      </c>
      <c r="B3706" t="s">
        <v>14</v>
      </c>
      <c r="C3706" t="s">
        <v>31</v>
      </c>
      <c r="D3706" t="s">
        <v>17</v>
      </c>
      <c r="E3706" t="s">
        <v>12</v>
      </c>
      <c r="F3706">
        <v>3550965</v>
      </c>
      <c r="G3706">
        <v>3551020</v>
      </c>
      <c r="H3706">
        <v>3551025</v>
      </c>
      <c r="I3706">
        <v>3551041</v>
      </c>
    </row>
    <row r="3707" spans="1:9" x14ac:dyDescent="0.2">
      <c r="A3707" s="1" t="str">
        <f>"CLUH"</f>
        <v>CLUH</v>
      </c>
      <c r="B3707" t="s">
        <v>14</v>
      </c>
      <c r="C3707" t="s">
        <v>28</v>
      </c>
      <c r="D3707" t="s">
        <v>11</v>
      </c>
      <c r="E3707" t="s">
        <v>12</v>
      </c>
      <c r="F3707">
        <v>2615031</v>
      </c>
      <c r="G3707">
        <v>2615084</v>
      </c>
      <c r="H3707">
        <v>2615002</v>
      </c>
      <c r="I3707">
        <v>2615027</v>
      </c>
    </row>
    <row r="3708" spans="1:9" x14ac:dyDescent="0.2">
      <c r="A3708" s="1" t="str">
        <f>"CLUL1"</f>
        <v>CLUL1</v>
      </c>
      <c r="B3708" t="s">
        <v>9</v>
      </c>
      <c r="C3708" t="s">
        <v>43</v>
      </c>
      <c r="D3708" t="s">
        <v>17</v>
      </c>
      <c r="E3708" t="s">
        <v>12</v>
      </c>
      <c r="F3708">
        <v>596982</v>
      </c>
      <c r="G3708">
        <v>597033</v>
      </c>
      <c r="H3708">
        <v>596982</v>
      </c>
      <c r="I3708">
        <v>597033</v>
      </c>
    </row>
    <row r="3709" spans="1:9" x14ac:dyDescent="0.2">
      <c r="A3709" s="1" t="str">
        <f>"CLUL1"</f>
        <v>CLUL1</v>
      </c>
      <c r="B3709" t="s">
        <v>13</v>
      </c>
      <c r="C3709" t="s">
        <v>43</v>
      </c>
      <c r="D3709" t="s">
        <v>17</v>
      </c>
      <c r="E3709" t="s">
        <v>12</v>
      </c>
      <c r="F3709">
        <v>616690</v>
      </c>
      <c r="G3709">
        <v>616703</v>
      </c>
      <c r="H3709">
        <v>616690</v>
      </c>
      <c r="I3709">
        <v>616703</v>
      </c>
    </row>
    <row r="3710" spans="1:9" x14ac:dyDescent="0.2">
      <c r="A3710" s="1" t="str">
        <f>"CLVS1"</f>
        <v>CLVS1</v>
      </c>
      <c r="B3710" t="s">
        <v>14</v>
      </c>
      <c r="C3710" t="s">
        <v>30</v>
      </c>
      <c r="D3710" t="s">
        <v>17</v>
      </c>
      <c r="E3710" t="s">
        <v>12</v>
      </c>
      <c r="F3710">
        <v>62200509</v>
      </c>
      <c r="G3710">
        <v>62200590</v>
      </c>
      <c r="H3710">
        <v>62200509</v>
      </c>
      <c r="I3710">
        <v>62200590</v>
      </c>
    </row>
    <row r="3711" spans="1:9" x14ac:dyDescent="0.2">
      <c r="A3711" s="1" t="str">
        <f>"CLVS2"</f>
        <v>CLVS2</v>
      </c>
      <c r="B3711" t="s">
        <v>14</v>
      </c>
      <c r="C3711" t="s">
        <v>32</v>
      </c>
      <c r="D3711" t="s">
        <v>17</v>
      </c>
      <c r="E3711" t="s">
        <v>12</v>
      </c>
      <c r="F3711">
        <v>123317372</v>
      </c>
      <c r="G3711">
        <v>123317398</v>
      </c>
      <c r="H3711">
        <v>123317372</v>
      </c>
      <c r="I3711">
        <v>123317398</v>
      </c>
    </row>
    <row r="3712" spans="1:9" x14ac:dyDescent="0.2">
      <c r="A3712" s="1" t="str">
        <f>"CLYBL"</f>
        <v>CLYBL</v>
      </c>
      <c r="B3712" t="s">
        <v>14</v>
      </c>
      <c r="C3712" t="s">
        <v>39</v>
      </c>
      <c r="D3712" t="s">
        <v>17</v>
      </c>
      <c r="E3712" t="s">
        <v>12</v>
      </c>
      <c r="F3712">
        <v>100258907</v>
      </c>
      <c r="G3712">
        <v>100258953</v>
      </c>
      <c r="H3712">
        <v>100258907</v>
      </c>
      <c r="I3712">
        <v>100258953</v>
      </c>
    </row>
    <row r="3713" spans="1:9" x14ac:dyDescent="0.2">
      <c r="A3713" s="1" t="str">
        <f>"CMA1"</f>
        <v>CMA1</v>
      </c>
      <c r="B3713" t="s">
        <v>14</v>
      </c>
      <c r="C3713" t="s">
        <v>41</v>
      </c>
      <c r="D3713" t="s">
        <v>11</v>
      </c>
      <c r="E3713" t="s">
        <v>12</v>
      </c>
      <c r="F3713">
        <v>24977457</v>
      </c>
      <c r="G3713">
        <v>24977477</v>
      </c>
      <c r="H3713">
        <v>24977457</v>
      </c>
      <c r="I3713">
        <v>24977477</v>
      </c>
    </row>
    <row r="3714" spans="1:9" x14ac:dyDescent="0.2">
      <c r="A3714" s="1" t="str">
        <f>"CMAS"</f>
        <v>CMAS</v>
      </c>
      <c r="B3714" t="s">
        <v>14</v>
      </c>
      <c r="C3714" t="s">
        <v>16</v>
      </c>
      <c r="D3714" t="s">
        <v>17</v>
      </c>
      <c r="E3714" t="s">
        <v>12</v>
      </c>
      <c r="F3714">
        <v>22199117</v>
      </c>
      <c r="G3714">
        <v>22199199</v>
      </c>
      <c r="H3714">
        <v>22199200</v>
      </c>
      <c r="I3714">
        <v>22199216</v>
      </c>
    </row>
    <row r="3715" spans="1:9" x14ac:dyDescent="0.2">
      <c r="A3715" s="1" t="str">
        <f>"CMBL"</f>
        <v>CMBL</v>
      </c>
      <c r="B3715" t="s">
        <v>14</v>
      </c>
      <c r="C3715" t="s">
        <v>46</v>
      </c>
      <c r="D3715" t="s">
        <v>11</v>
      </c>
      <c r="E3715" t="s">
        <v>12</v>
      </c>
      <c r="F3715">
        <v>10307933</v>
      </c>
      <c r="G3715">
        <v>10308038</v>
      </c>
      <c r="H3715">
        <v>10307874</v>
      </c>
      <c r="I3715">
        <v>10307930</v>
      </c>
    </row>
    <row r="3716" spans="1:9" x14ac:dyDescent="0.2">
      <c r="A3716" s="1" t="str">
        <f>"CMC1"</f>
        <v>CMC1</v>
      </c>
      <c r="B3716" t="s">
        <v>14</v>
      </c>
      <c r="C3716" t="s">
        <v>22</v>
      </c>
      <c r="D3716" t="s">
        <v>17</v>
      </c>
      <c r="E3716" t="s">
        <v>12</v>
      </c>
      <c r="F3716">
        <v>28283069</v>
      </c>
      <c r="G3716">
        <v>28283168</v>
      </c>
      <c r="H3716">
        <v>28283069</v>
      </c>
      <c r="I3716">
        <v>28283168</v>
      </c>
    </row>
    <row r="3717" spans="1:9" x14ac:dyDescent="0.2">
      <c r="A3717" s="1" t="str">
        <f>"CMC2"</f>
        <v>CMC2</v>
      </c>
      <c r="B3717" t="s">
        <v>14</v>
      </c>
      <c r="C3717" t="s">
        <v>31</v>
      </c>
      <c r="D3717" t="s">
        <v>11</v>
      </c>
      <c r="E3717" t="s">
        <v>12</v>
      </c>
      <c r="F3717">
        <v>81040415</v>
      </c>
      <c r="G3717">
        <v>81040498</v>
      </c>
      <c r="H3717">
        <v>81040396</v>
      </c>
      <c r="I3717">
        <v>81040407</v>
      </c>
    </row>
    <row r="3718" spans="1:9" x14ac:dyDescent="0.2">
      <c r="A3718" s="1" t="str">
        <f>"CMC4"</f>
        <v>CMC4</v>
      </c>
      <c r="B3718" t="s">
        <v>14</v>
      </c>
      <c r="C3718" t="s">
        <v>37</v>
      </c>
      <c r="D3718" t="s">
        <v>11</v>
      </c>
      <c r="E3718" t="s">
        <v>12</v>
      </c>
      <c r="F3718">
        <v>154299504</v>
      </c>
      <c r="G3718">
        <v>154299578</v>
      </c>
      <c r="H3718">
        <v>154299504</v>
      </c>
      <c r="I3718">
        <v>154299578</v>
      </c>
    </row>
    <row r="3719" spans="1:9" x14ac:dyDescent="0.2">
      <c r="A3719" s="1" t="str">
        <f>"CMIP"</f>
        <v>CMIP</v>
      </c>
      <c r="B3719" t="s">
        <v>14</v>
      </c>
      <c r="C3719" t="s">
        <v>31</v>
      </c>
      <c r="D3719" t="s">
        <v>17</v>
      </c>
      <c r="E3719" t="s">
        <v>12</v>
      </c>
      <c r="F3719">
        <v>81478558</v>
      </c>
      <c r="G3719">
        <v>81478647</v>
      </c>
      <c r="H3719">
        <v>81478558</v>
      </c>
      <c r="I3719">
        <v>81478647</v>
      </c>
    </row>
    <row r="3720" spans="1:9" x14ac:dyDescent="0.2">
      <c r="A3720" s="1" t="str">
        <f>"CMKLR1"</f>
        <v>CMKLR1</v>
      </c>
      <c r="B3720" t="s">
        <v>9</v>
      </c>
      <c r="C3720" t="s">
        <v>16</v>
      </c>
      <c r="D3720" t="s">
        <v>11</v>
      </c>
      <c r="E3720" t="s">
        <v>12</v>
      </c>
      <c r="F3720">
        <v>108733078</v>
      </c>
      <c r="G3720">
        <v>108733111</v>
      </c>
      <c r="H3720">
        <v>108733078</v>
      </c>
      <c r="I3720">
        <v>108733111</v>
      </c>
    </row>
    <row r="3721" spans="1:9" x14ac:dyDescent="0.2">
      <c r="A3721" s="1" t="str">
        <f>"CMKLR1"</f>
        <v>CMKLR1</v>
      </c>
      <c r="B3721" t="s">
        <v>13</v>
      </c>
      <c r="C3721" t="s">
        <v>16</v>
      </c>
      <c r="D3721" t="s">
        <v>11</v>
      </c>
      <c r="E3721" t="s">
        <v>12</v>
      </c>
      <c r="F3721">
        <v>108714412</v>
      </c>
      <c r="G3721">
        <v>108714446</v>
      </c>
      <c r="H3721">
        <v>108714412</v>
      </c>
      <c r="I3721">
        <v>108714446</v>
      </c>
    </row>
    <row r="3722" spans="1:9" x14ac:dyDescent="0.2">
      <c r="A3722" s="1" t="str">
        <f>"CMPK1"</f>
        <v>CMPK1</v>
      </c>
      <c r="B3722" t="s">
        <v>14</v>
      </c>
      <c r="C3722" t="s">
        <v>19</v>
      </c>
      <c r="D3722" t="s">
        <v>17</v>
      </c>
      <c r="E3722" t="s">
        <v>12</v>
      </c>
      <c r="F3722">
        <v>47799446</v>
      </c>
      <c r="G3722">
        <v>47799493</v>
      </c>
      <c r="H3722">
        <v>47799542</v>
      </c>
      <c r="I3722">
        <v>47799624</v>
      </c>
    </row>
    <row r="3723" spans="1:9" x14ac:dyDescent="0.2">
      <c r="A3723" s="1" t="str">
        <f>"CMPK2"</f>
        <v>CMPK2</v>
      </c>
      <c r="B3723" t="s">
        <v>14</v>
      </c>
      <c r="C3723" t="s">
        <v>26</v>
      </c>
      <c r="D3723" t="s">
        <v>11</v>
      </c>
      <c r="E3723" t="s">
        <v>12</v>
      </c>
      <c r="F3723">
        <v>7005785</v>
      </c>
      <c r="G3723">
        <v>7005864</v>
      </c>
      <c r="H3723">
        <v>7005572</v>
      </c>
      <c r="I3723">
        <v>7005619</v>
      </c>
    </row>
    <row r="3724" spans="1:9" x14ac:dyDescent="0.2">
      <c r="A3724" s="1" t="str">
        <f>"CMSS1"</f>
        <v>CMSS1</v>
      </c>
      <c r="B3724" t="s">
        <v>14</v>
      </c>
      <c r="C3724" t="s">
        <v>22</v>
      </c>
      <c r="D3724" t="s">
        <v>17</v>
      </c>
      <c r="E3724" t="s">
        <v>12</v>
      </c>
      <c r="F3724">
        <v>99536693</v>
      </c>
      <c r="G3724">
        <v>99536718</v>
      </c>
      <c r="H3724">
        <v>99536719</v>
      </c>
      <c r="I3724">
        <v>99536763</v>
      </c>
    </row>
    <row r="3725" spans="1:9" x14ac:dyDescent="0.2">
      <c r="A3725" s="1" t="str">
        <f>"CMTM1"</f>
        <v>CMTM1</v>
      </c>
      <c r="B3725" t="s">
        <v>14</v>
      </c>
      <c r="C3725" t="s">
        <v>31</v>
      </c>
      <c r="D3725" t="s">
        <v>17</v>
      </c>
      <c r="E3725" t="s">
        <v>12</v>
      </c>
      <c r="F3725">
        <v>66601072</v>
      </c>
      <c r="G3725">
        <v>66601079</v>
      </c>
      <c r="H3725">
        <v>66601072</v>
      </c>
      <c r="I3725">
        <v>66601079</v>
      </c>
    </row>
    <row r="3726" spans="1:9" x14ac:dyDescent="0.2">
      <c r="A3726" s="1" t="str">
        <f>"CMTM2"</f>
        <v>CMTM2</v>
      </c>
      <c r="B3726" t="s">
        <v>9</v>
      </c>
      <c r="C3726" t="s">
        <v>31</v>
      </c>
      <c r="D3726" t="s">
        <v>17</v>
      </c>
      <c r="E3726" t="s">
        <v>12</v>
      </c>
      <c r="F3726">
        <v>66613357</v>
      </c>
      <c r="G3726">
        <v>66613372</v>
      </c>
      <c r="H3726">
        <v>66613357</v>
      </c>
      <c r="I3726">
        <v>66613372</v>
      </c>
    </row>
    <row r="3727" spans="1:9" x14ac:dyDescent="0.2">
      <c r="A3727" s="1" t="str">
        <f>"CMTM2"</f>
        <v>CMTM2</v>
      </c>
      <c r="B3727" t="s">
        <v>13</v>
      </c>
      <c r="C3727" t="s">
        <v>31</v>
      </c>
      <c r="D3727" t="s">
        <v>17</v>
      </c>
      <c r="E3727" t="s">
        <v>12</v>
      </c>
      <c r="F3727">
        <v>66620833</v>
      </c>
      <c r="G3727">
        <v>66620903</v>
      </c>
      <c r="H3727">
        <v>66620833</v>
      </c>
      <c r="I3727">
        <v>66620903</v>
      </c>
    </row>
    <row r="3728" spans="1:9" x14ac:dyDescent="0.2">
      <c r="A3728" s="1" t="str">
        <f>"CMTM3"</f>
        <v>CMTM3</v>
      </c>
      <c r="B3728" t="s">
        <v>14</v>
      </c>
      <c r="C3728" t="s">
        <v>31</v>
      </c>
      <c r="D3728" t="s">
        <v>17</v>
      </c>
      <c r="E3728" t="s">
        <v>12</v>
      </c>
      <c r="F3728">
        <v>66638616</v>
      </c>
      <c r="G3728">
        <v>66638663</v>
      </c>
      <c r="H3728">
        <v>66638599</v>
      </c>
      <c r="I3728">
        <v>66638615</v>
      </c>
    </row>
    <row r="3729" spans="1:9" x14ac:dyDescent="0.2">
      <c r="A3729" s="1" t="str">
        <f>"CMTM4"</f>
        <v>CMTM4</v>
      </c>
      <c r="B3729" t="s">
        <v>14</v>
      </c>
      <c r="C3729" t="s">
        <v>31</v>
      </c>
      <c r="D3729" t="s">
        <v>11</v>
      </c>
      <c r="E3729" t="s">
        <v>12</v>
      </c>
      <c r="F3729">
        <v>66730583</v>
      </c>
      <c r="G3729">
        <v>66730689</v>
      </c>
      <c r="H3729">
        <v>66730744</v>
      </c>
      <c r="I3729">
        <v>66730759</v>
      </c>
    </row>
    <row r="3730" spans="1:9" x14ac:dyDescent="0.2">
      <c r="A3730" s="1" t="str">
        <f>"CMTM5"</f>
        <v>CMTM5</v>
      </c>
      <c r="B3730" t="s">
        <v>14</v>
      </c>
      <c r="C3730" t="s">
        <v>41</v>
      </c>
      <c r="D3730" t="s">
        <v>17</v>
      </c>
      <c r="E3730" t="s">
        <v>12</v>
      </c>
      <c r="F3730">
        <v>23846210</v>
      </c>
      <c r="G3730">
        <v>23846267</v>
      </c>
      <c r="H3730">
        <v>23846328</v>
      </c>
      <c r="I3730">
        <v>23846344</v>
      </c>
    </row>
    <row r="3731" spans="1:9" x14ac:dyDescent="0.2">
      <c r="A3731" s="1" t="str">
        <f>"CMTM6"</f>
        <v>CMTM6</v>
      </c>
      <c r="B3731" t="s">
        <v>14</v>
      </c>
      <c r="C3731" t="s">
        <v>22</v>
      </c>
      <c r="D3731" t="s">
        <v>11</v>
      </c>
      <c r="E3731" t="s">
        <v>12</v>
      </c>
      <c r="F3731">
        <v>32544275</v>
      </c>
      <c r="G3731">
        <v>32544350</v>
      </c>
      <c r="H3731">
        <v>32544275</v>
      </c>
      <c r="I3731">
        <v>32544350</v>
      </c>
    </row>
    <row r="3732" spans="1:9" x14ac:dyDescent="0.2">
      <c r="A3732" s="1" t="str">
        <f>"CMTM7"</f>
        <v>CMTM7</v>
      </c>
      <c r="B3732" t="s">
        <v>14</v>
      </c>
      <c r="C3732" t="s">
        <v>22</v>
      </c>
      <c r="D3732" t="s">
        <v>17</v>
      </c>
      <c r="E3732" t="s">
        <v>12</v>
      </c>
      <c r="F3732">
        <v>32433363</v>
      </c>
      <c r="G3732">
        <v>32433406</v>
      </c>
      <c r="H3732">
        <v>32433336</v>
      </c>
      <c r="I3732">
        <v>32433354</v>
      </c>
    </row>
    <row r="3733" spans="1:9" x14ac:dyDescent="0.2">
      <c r="A3733" s="1" t="str">
        <f>"CMTM8"</f>
        <v>CMTM8</v>
      </c>
      <c r="B3733" t="s">
        <v>14</v>
      </c>
      <c r="C3733" t="s">
        <v>22</v>
      </c>
      <c r="D3733" t="s">
        <v>17</v>
      </c>
      <c r="E3733" t="s">
        <v>12</v>
      </c>
      <c r="F3733">
        <v>32280159</v>
      </c>
      <c r="G3733">
        <v>32280237</v>
      </c>
      <c r="H3733">
        <v>32280159</v>
      </c>
      <c r="I3733">
        <v>32280237</v>
      </c>
    </row>
    <row r="3734" spans="1:9" x14ac:dyDescent="0.2">
      <c r="A3734" s="1" t="str">
        <f>"CMTR1"</f>
        <v>CMTR1</v>
      </c>
      <c r="B3734" t="s">
        <v>14</v>
      </c>
      <c r="C3734" t="s">
        <v>32</v>
      </c>
      <c r="D3734" t="s">
        <v>17</v>
      </c>
      <c r="E3734" t="s">
        <v>12</v>
      </c>
      <c r="F3734">
        <v>37400974</v>
      </c>
      <c r="G3734">
        <v>37401011</v>
      </c>
      <c r="H3734">
        <v>37401042</v>
      </c>
      <c r="I3734">
        <v>37401063</v>
      </c>
    </row>
    <row r="3735" spans="1:9" x14ac:dyDescent="0.2">
      <c r="A3735" s="1" t="str">
        <f>"CMTR2"</f>
        <v>CMTR2</v>
      </c>
      <c r="B3735" t="s">
        <v>14</v>
      </c>
      <c r="C3735" t="s">
        <v>31</v>
      </c>
      <c r="D3735" t="s">
        <v>11</v>
      </c>
      <c r="E3735" t="s">
        <v>12</v>
      </c>
      <c r="F3735">
        <v>71323271</v>
      </c>
      <c r="G3735">
        <v>71323337</v>
      </c>
      <c r="H3735">
        <v>71323196</v>
      </c>
      <c r="I3735">
        <v>71323207</v>
      </c>
    </row>
    <row r="3736" spans="1:9" x14ac:dyDescent="0.2">
      <c r="A3736" s="1" t="str">
        <f>"CMYA5"</f>
        <v>CMYA5</v>
      </c>
      <c r="B3736" t="s">
        <v>14</v>
      </c>
      <c r="C3736" t="s">
        <v>46</v>
      </c>
      <c r="D3736" t="s">
        <v>17</v>
      </c>
      <c r="E3736" t="s">
        <v>12</v>
      </c>
      <c r="F3736">
        <v>78985648</v>
      </c>
      <c r="G3736">
        <v>78985669</v>
      </c>
      <c r="H3736">
        <v>78985593</v>
      </c>
      <c r="I3736">
        <v>78985604</v>
      </c>
    </row>
    <row r="3737" spans="1:9" x14ac:dyDescent="0.2">
      <c r="A3737" s="1" t="str">
        <f>"CNBD1"</f>
        <v>CNBD1</v>
      </c>
      <c r="B3737" t="s">
        <v>14</v>
      </c>
      <c r="C3737" t="s">
        <v>30</v>
      </c>
      <c r="D3737" t="s">
        <v>17</v>
      </c>
      <c r="E3737" t="s">
        <v>12</v>
      </c>
      <c r="F3737">
        <v>87878640</v>
      </c>
      <c r="G3737">
        <v>87878652</v>
      </c>
      <c r="H3737">
        <v>87878665</v>
      </c>
      <c r="I3737">
        <v>87878674</v>
      </c>
    </row>
    <row r="3738" spans="1:9" x14ac:dyDescent="0.2">
      <c r="A3738" s="1" t="str">
        <f>"CNBD2"</f>
        <v>CNBD2</v>
      </c>
      <c r="B3738" t="s">
        <v>14</v>
      </c>
      <c r="C3738" t="s">
        <v>29</v>
      </c>
      <c r="D3738" t="s">
        <v>17</v>
      </c>
      <c r="E3738" t="s">
        <v>12</v>
      </c>
      <c r="F3738">
        <v>34556488</v>
      </c>
      <c r="G3738">
        <v>34556533</v>
      </c>
      <c r="H3738">
        <v>34556488</v>
      </c>
      <c r="I3738">
        <v>34556533</v>
      </c>
    </row>
    <row r="3739" spans="1:9" x14ac:dyDescent="0.2">
      <c r="A3739" s="1" t="str">
        <f>"CNBP"</f>
        <v>CNBP</v>
      </c>
      <c r="B3739" t="s">
        <v>14</v>
      </c>
      <c r="C3739" t="s">
        <v>22</v>
      </c>
      <c r="D3739" t="s">
        <v>11</v>
      </c>
      <c r="E3739" t="s">
        <v>12</v>
      </c>
      <c r="F3739">
        <v>128902729</v>
      </c>
      <c r="G3739">
        <v>128902746</v>
      </c>
      <c r="H3739">
        <v>128902759</v>
      </c>
      <c r="I3739">
        <v>128902770</v>
      </c>
    </row>
    <row r="3740" spans="1:9" x14ac:dyDescent="0.2">
      <c r="A3740" s="1" t="str">
        <f>"CNDP1"</f>
        <v>CNDP1</v>
      </c>
      <c r="B3740" t="s">
        <v>14</v>
      </c>
      <c r="C3740" t="s">
        <v>43</v>
      </c>
      <c r="D3740" t="s">
        <v>17</v>
      </c>
      <c r="E3740" t="s">
        <v>12</v>
      </c>
      <c r="F3740">
        <v>72201829</v>
      </c>
      <c r="G3740">
        <v>72201845</v>
      </c>
      <c r="H3740">
        <v>72201664</v>
      </c>
      <c r="I3740">
        <v>72201703</v>
      </c>
    </row>
    <row r="3741" spans="1:9" x14ac:dyDescent="0.2">
      <c r="A3741" s="1" t="str">
        <f>"CNDP2"</f>
        <v>CNDP2</v>
      </c>
      <c r="B3741" t="s">
        <v>9</v>
      </c>
      <c r="C3741" t="s">
        <v>43</v>
      </c>
      <c r="D3741" t="s">
        <v>17</v>
      </c>
      <c r="E3741" t="s">
        <v>12</v>
      </c>
      <c r="F3741">
        <v>72163536</v>
      </c>
      <c r="G3741">
        <v>72163646</v>
      </c>
      <c r="H3741">
        <v>72163536</v>
      </c>
      <c r="I3741">
        <v>72163646</v>
      </c>
    </row>
    <row r="3742" spans="1:9" x14ac:dyDescent="0.2">
      <c r="A3742" s="1" t="str">
        <f>"CNDP2"</f>
        <v>CNDP2</v>
      </c>
      <c r="B3742" t="s">
        <v>13</v>
      </c>
      <c r="C3742" t="s">
        <v>43</v>
      </c>
      <c r="D3742" t="s">
        <v>17</v>
      </c>
      <c r="E3742" t="s">
        <v>12</v>
      </c>
      <c r="F3742">
        <v>72167109</v>
      </c>
      <c r="G3742">
        <v>72167133</v>
      </c>
      <c r="H3742">
        <v>72167109</v>
      </c>
      <c r="I3742">
        <v>72167133</v>
      </c>
    </row>
    <row r="3743" spans="1:9" x14ac:dyDescent="0.2">
      <c r="A3743" s="1" t="str">
        <f>"CNEP1R1"</f>
        <v>CNEP1R1</v>
      </c>
      <c r="B3743" t="s">
        <v>14</v>
      </c>
      <c r="C3743" t="s">
        <v>31</v>
      </c>
      <c r="D3743" t="s">
        <v>17</v>
      </c>
      <c r="E3743" t="s">
        <v>12</v>
      </c>
      <c r="F3743">
        <v>50059125</v>
      </c>
      <c r="G3743">
        <v>50059180</v>
      </c>
      <c r="H3743">
        <v>50059183</v>
      </c>
      <c r="I3743">
        <v>50059199</v>
      </c>
    </row>
    <row r="3744" spans="1:9" x14ac:dyDescent="0.2">
      <c r="A3744" s="1" t="str">
        <f>"CNFN"</f>
        <v>CNFN</v>
      </c>
      <c r="B3744" t="s">
        <v>14</v>
      </c>
      <c r="C3744" t="s">
        <v>10</v>
      </c>
      <c r="D3744" t="s">
        <v>11</v>
      </c>
      <c r="E3744" t="s">
        <v>12</v>
      </c>
      <c r="F3744">
        <v>42894442</v>
      </c>
      <c r="G3744">
        <v>42894451</v>
      </c>
      <c r="H3744">
        <v>42894442</v>
      </c>
      <c r="I3744">
        <v>42894451</v>
      </c>
    </row>
    <row r="3745" spans="1:9" x14ac:dyDescent="0.2">
      <c r="A3745" s="1" t="str">
        <f>"CNGA1"</f>
        <v>CNGA1</v>
      </c>
      <c r="B3745" t="s">
        <v>14</v>
      </c>
      <c r="C3745" t="s">
        <v>23</v>
      </c>
      <c r="D3745" t="s">
        <v>11</v>
      </c>
      <c r="E3745" t="s">
        <v>12</v>
      </c>
      <c r="F3745">
        <v>48018648</v>
      </c>
      <c r="G3745">
        <v>48018676</v>
      </c>
      <c r="H3745">
        <v>48018680</v>
      </c>
      <c r="I3745">
        <v>48018704</v>
      </c>
    </row>
    <row r="3746" spans="1:9" x14ac:dyDescent="0.2">
      <c r="A3746" s="1" t="str">
        <f>"CNGA2"</f>
        <v>CNGA2</v>
      </c>
      <c r="B3746" t="s">
        <v>251</v>
      </c>
      <c r="C3746" t="s">
        <v>37</v>
      </c>
      <c r="D3746" t="s">
        <v>17</v>
      </c>
      <c r="E3746" t="s">
        <v>20</v>
      </c>
      <c r="F3746">
        <v>150906922</v>
      </c>
      <c r="G3746">
        <v>150906922</v>
      </c>
      <c r="H3746">
        <v>150906922</v>
      </c>
      <c r="I3746">
        <v>150906922</v>
      </c>
    </row>
    <row r="3747" spans="1:9" x14ac:dyDescent="0.2">
      <c r="A3747" s="1" t="str">
        <f>"CNGA3"</f>
        <v>CNGA3</v>
      </c>
      <c r="B3747" t="s">
        <v>14</v>
      </c>
      <c r="C3747" t="s">
        <v>26</v>
      </c>
      <c r="D3747" t="s">
        <v>17</v>
      </c>
      <c r="E3747" t="s">
        <v>12</v>
      </c>
      <c r="F3747">
        <v>98962946</v>
      </c>
      <c r="G3747">
        <v>98962963</v>
      </c>
      <c r="H3747">
        <v>98962946</v>
      </c>
      <c r="I3747">
        <v>98962963</v>
      </c>
    </row>
    <row r="3748" spans="1:9" x14ac:dyDescent="0.2">
      <c r="A3748" s="1" t="str">
        <f>"CNGA4"</f>
        <v>CNGA4</v>
      </c>
      <c r="B3748" t="s">
        <v>9</v>
      </c>
      <c r="C3748" t="s">
        <v>27</v>
      </c>
      <c r="D3748" t="s">
        <v>17</v>
      </c>
      <c r="E3748" t="s">
        <v>12</v>
      </c>
      <c r="F3748">
        <v>6260298</v>
      </c>
      <c r="G3748">
        <v>6260333</v>
      </c>
      <c r="H3748">
        <v>6260298</v>
      </c>
      <c r="I3748">
        <v>6260333</v>
      </c>
    </row>
    <row r="3749" spans="1:9" x14ac:dyDescent="0.2">
      <c r="A3749" s="1" t="str">
        <f>"CNGA4"</f>
        <v>CNGA4</v>
      </c>
      <c r="B3749" t="s">
        <v>13</v>
      </c>
      <c r="C3749" t="s">
        <v>27</v>
      </c>
      <c r="D3749" t="s">
        <v>17</v>
      </c>
      <c r="E3749" t="s">
        <v>12</v>
      </c>
      <c r="F3749">
        <v>6256021</v>
      </c>
      <c r="G3749">
        <v>6256032</v>
      </c>
      <c r="H3749">
        <v>6256021</v>
      </c>
      <c r="I3749">
        <v>6256032</v>
      </c>
    </row>
    <row r="3750" spans="1:9" x14ac:dyDescent="0.2">
      <c r="A3750" s="1" t="str">
        <f>"CNGB1"</f>
        <v>CNGB1</v>
      </c>
      <c r="B3750" t="s">
        <v>14</v>
      </c>
      <c r="C3750" t="s">
        <v>31</v>
      </c>
      <c r="D3750" t="s">
        <v>11</v>
      </c>
      <c r="E3750" t="s">
        <v>12</v>
      </c>
      <c r="F3750">
        <v>58004992</v>
      </c>
      <c r="G3750">
        <v>58005021</v>
      </c>
      <c r="H3750">
        <v>58005026</v>
      </c>
      <c r="I3750">
        <v>58005040</v>
      </c>
    </row>
    <row r="3751" spans="1:9" x14ac:dyDescent="0.2">
      <c r="A3751" s="1" t="str">
        <f>"CNGB3"</f>
        <v>CNGB3</v>
      </c>
      <c r="B3751" t="s">
        <v>14</v>
      </c>
      <c r="C3751" t="s">
        <v>30</v>
      </c>
      <c r="D3751" t="s">
        <v>11</v>
      </c>
      <c r="E3751" t="s">
        <v>12</v>
      </c>
      <c r="F3751">
        <v>87755854</v>
      </c>
      <c r="G3751">
        <v>87755877</v>
      </c>
      <c r="H3751">
        <v>87755878</v>
      </c>
      <c r="I3751">
        <v>87755933</v>
      </c>
    </row>
    <row r="3752" spans="1:9" x14ac:dyDescent="0.2">
      <c r="A3752" s="1" t="str">
        <f>"CNIH1"</f>
        <v>CNIH1</v>
      </c>
      <c r="B3752" t="s">
        <v>14</v>
      </c>
      <c r="C3752" t="s">
        <v>41</v>
      </c>
      <c r="D3752" t="s">
        <v>11</v>
      </c>
      <c r="E3752" t="s">
        <v>12</v>
      </c>
      <c r="F3752">
        <v>54908043</v>
      </c>
      <c r="G3752">
        <v>54908114</v>
      </c>
      <c r="H3752">
        <v>54908373</v>
      </c>
      <c r="I3752">
        <v>54908396</v>
      </c>
    </row>
    <row r="3753" spans="1:9" x14ac:dyDescent="0.2">
      <c r="A3753" s="1" t="str">
        <f>"CNIH2"</f>
        <v>CNIH2</v>
      </c>
      <c r="B3753" t="s">
        <v>9</v>
      </c>
      <c r="C3753" t="s">
        <v>27</v>
      </c>
      <c r="D3753" t="s">
        <v>17</v>
      </c>
      <c r="E3753" t="s">
        <v>12</v>
      </c>
      <c r="F3753">
        <v>66045634</v>
      </c>
      <c r="G3753">
        <v>66045710</v>
      </c>
      <c r="H3753">
        <v>66045634</v>
      </c>
      <c r="I3753">
        <v>66045710</v>
      </c>
    </row>
    <row r="3754" spans="1:9" x14ac:dyDescent="0.2">
      <c r="A3754" s="1" t="str">
        <f>"CNIH2"</f>
        <v>CNIH2</v>
      </c>
      <c r="B3754" t="s">
        <v>13</v>
      </c>
      <c r="C3754" t="s">
        <v>27</v>
      </c>
      <c r="D3754" t="s">
        <v>17</v>
      </c>
      <c r="E3754" t="s">
        <v>12</v>
      </c>
      <c r="F3754">
        <v>66050114</v>
      </c>
      <c r="G3754">
        <v>66050138</v>
      </c>
      <c r="H3754">
        <v>66050114</v>
      </c>
      <c r="I3754">
        <v>66050138</v>
      </c>
    </row>
    <row r="3755" spans="1:9" x14ac:dyDescent="0.2">
      <c r="A3755" s="1" t="str">
        <f>"CNIH3"</f>
        <v>CNIH3</v>
      </c>
      <c r="B3755" t="s">
        <v>14</v>
      </c>
      <c r="C3755" t="s">
        <v>19</v>
      </c>
      <c r="D3755" t="s">
        <v>17</v>
      </c>
      <c r="E3755" t="s">
        <v>12</v>
      </c>
      <c r="F3755">
        <v>224804004</v>
      </c>
      <c r="G3755">
        <v>224804029</v>
      </c>
      <c r="H3755">
        <v>224803809</v>
      </c>
      <c r="I3755">
        <v>224803852</v>
      </c>
    </row>
    <row r="3756" spans="1:9" x14ac:dyDescent="0.2">
      <c r="A3756" s="1" t="str">
        <f>"CNIH4"</f>
        <v>CNIH4</v>
      </c>
      <c r="B3756" t="s">
        <v>14</v>
      </c>
      <c r="C3756" t="s">
        <v>19</v>
      </c>
      <c r="D3756" t="s">
        <v>17</v>
      </c>
      <c r="E3756" t="s">
        <v>12</v>
      </c>
      <c r="F3756">
        <v>224544572</v>
      </c>
      <c r="G3756">
        <v>224544618</v>
      </c>
      <c r="H3756">
        <v>224544554</v>
      </c>
      <c r="I3756">
        <v>224544570</v>
      </c>
    </row>
    <row r="3757" spans="1:9" x14ac:dyDescent="0.2">
      <c r="A3757" s="1" t="str">
        <f>"CNKSR1"</f>
        <v>CNKSR1</v>
      </c>
      <c r="B3757" t="s">
        <v>14</v>
      </c>
      <c r="C3757" t="s">
        <v>19</v>
      </c>
      <c r="D3757" t="s">
        <v>17</v>
      </c>
      <c r="E3757" t="s">
        <v>12</v>
      </c>
      <c r="F3757">
        <v>26503974</v>
      </c>
      <c r="G3757">
        <v>26504025</v>
      </c>
      <c r="H3757">
        <v>26503974</v>
      </c>
      <c r="I3757">
        <v>26504025</v>
      </c>
    </row>
    <row r="3758" spans="1:9" x14ac:dyDescent="0.2">
      <c r="A3758" s="1" t="str">
        <f>"CNKSR2"</f>
        <v>CNKSR2</v>
      </c>
      <c r="B3758" t="s">
        <v>14</v>
      </c>
      <c r="C3758" t="s">
        <v>37</v>
      </c>
      <c r="D3758" t="s">
        <v>17</v>
      </c>
      <c r="E3758" t="s">
        <v>12</v>
      </c>
      <c r="F3758">
        <v>21392529</v>
      </c>
      <c r="G3758">
        <v>21392549</v>
      </c>
      <c r="H3758">
        <v>21392553</v>
      </c>
      <c r="I3758">
        <v>21392579</v>
      </c>
    </row>
    <row r="3759" spans="1:9" x14ac:dyDescent="0.2">
      <c r="A3759" s="1" t="str">
        <f>"CNKSR3"</f>
        <v>CNKSR3</v>
      </c>
      <c r="B3759" t="s">
        <v>14</v>
      </c>
      <c r="C3759" t="s">
        <v>32</v>
      </c>
      <c r="D3759" t="s">
        <v>11</v>
      </c>
      <c r="E3759" t="s">
        <v>12</v>
      </c>
      <c r="F3759">
        <v>154831779</v>
      </c>
      <c r="G3759">
        <v>154831801</v>
      </c>
      <c r="H3759">
        <v>154831660</v>
      </c>
      <c r="I3759">
        <v>154831728</v>
      </c>
    </row>
    <row r="3760" spans="1:9" x14ac:dyDescent="0.2">
      <c r="A3760" s="1" t="str">
        <f>"CNN1"</f>
        <v>CNN1</v>
      </c>
      <c r="B3760" t="s">
        <v>9</v>
      </c>
      <c r="C3760" t="s">
        <v>10</v>
      </c>
      <c r="D3760" t="s">
        <v>17</v>
      </c>
      <c r="E3760" t="s">
        <v>12</v>
      </c>
      <c r="F3760">
        <v>11649659</v>
      </c>
      <c r="G3760">
        <v>11649674</v>
      </c>
      <c r="H3760">
        <v>11649659</v>
      </c>
      <c r="I3760">
        <v>11649674</v>
      </c>
    </row>
    <row r="3761" spans="1:9" x14ac:dyDescent="0.2">
      <c r="A3761" s="1" t="str">
        <f>"CNN1"</f>
        <v>CNN1</v>
      </c>
      <c r="B3761" t="s">
        <v>13</v>
      </c>
      <c r="C3761" t="s">
        <v>10</v>
      </c>
      <c r="D3761" t="s">
        <v>17</v>
      </c>
      <c r="E3761" t="s">
        <v>12</v>
      </c>
      <c r="F3761">
        <v>11651942</v>
      </c>
      <c r="G3761">
        <v>11651960</v>
      </c>
      <c r="H3761">
        <v>11651942</v>
      </c>
      <c r="I3761">
        <v>11651960</v>
      </c>
    </row>
    <row r="3762" spans="1:9" x14ac:dyDescent="0.2">
      <c r="A3762" s="1" t="str">
        <f>"CNN2"</f>
        <v>CNN2</v>
      </c>
      <c r="B3762" t="s">
        <v>14</v>
      </c>
      <c r="C3762" t="s">
        <v>10</v>
      </c>
      <c r="D3762" t="s">
        <v>17</v>
      </c>
      <c r="E3762" t="s">
        <v>12</v>
      </c>
      <c r="F3762">
        <v>1026566</v>
      </c>
      <c r="G3762">
        <v>1026648</v>
      </c>
      <c r="H3762">
        <v>1026566</v>
      </c>
      <c r="I3762">
        <v>1026648</v>
      </c>
    </row>
    <row r="3763" spans="1:9" x14ac:dyDescent="0.2">
      <c r="A3763" s="1" t="str">
        <f>"CNN3"</f>
        <v>CNN3</v>
      </c>
      <c r="B3763" t="s">
        <v>14</v>
      </c>
      <c r="C3763" t="s">
        <v>19</v>
      </c>
      <c r="D3763" t="s">
        <v>11</v>
      </c>
      <c r="E3763" t="s">
        <v>12</v>
      </c>
      <c r="F3763">
        <v>95392635</v>
      </c>
      <c r="G3763">
        <v>95392704</v>
      </c>
      <c r="H3763">
        <v>95392608</v>
      </c>
      <c r="I3763">
        <v>95392629</v>
      </c>
    </row>
    <row r="3764" spans="1:9" x14ac:dyDescent="0.2">
      <c r="A3764" s="1" t="str">
        <f>"CNNM1"</f>
        <v>CNNM1</v>
      </c>
      <c r="B3764" t="s">
        <v>14</v>
      </c>
      <c r="C3764" t="s">
        <v>15</v>
      </c>
      <c r="D3764" t="s">
        <v>17</v>
      </c>
      <c r="E3764" t="s">
        <v>12</v>
      </c>
      <c r="F3764">
        <v>101089107</v>
      </c>
      <c r="G3764">
        <v>101089141</v>
      </c>
      <c r="H3764">
        <v>101088836</v>
      </c>
      <c r="I3764">
        <v>101088861</v>
      </c>
    </row>
    <row r="3765" spans="1:9" x14ac:dyDescent="0.2">
      <c r="A3765" s="1" t="str">
        <f>"CNNM2"</f>
        <v>CNNM2</v>
      </c>
      <c r="B3765" t="s">
        <v>14</v>
      </c>
      <c r="C3765" t="s">
        <v>15</v>
      </c>
      <c r="D3765" t="s">
        <v>17</v>
      </c>
      <c r="E3765" t="s">
        <v>12</v>
      </c>
      <c r="F3765">
        <v>104678032</v>
      </c>
      <c r="G3765">
        <v>104678094</v>
      </c>
      <c r="H3765">
        <v>104678290</v>
      </c>
      <c r="I3765">
        <v>104678316</v>
      </c>
    </row>
    <row r="3766" spans="1:9" x14ac:dyDescent="0.2">
      <c r="A3766" s="1" t="str">
        <f>"CNNM3"</f>
        <v>CNNM3</v>
      </c>
      <c r="B3766" t="s">
        <v>14</v>
      </c>
      <c r="C3766" t="s">
        <v>26</v>
      </c>
      <c r="D3766" t="s">
        <v>17</v>
      </c>
      <c r="E3766" t="s">
        <v>12</v>
      </c>
      <c r="F3766">
        <v>97481974</v>
      </c>
      <c r="G3766">
        <v>97482015</v>
      </c>
      <c r="H3766">
        <v>97482324</v>
      </c>
      <c r="I3766">
        <v>97482357</v>
      </c>
    </row>
    <row r="3767" spans="1:9" x14ac:dyDescent="0.2">
      <c r="A3767" s="1" t="str">
        <f>"CNNM4"</f>
        <v>CNNM4</v>
      </c>
      <c r="B3767" t="s">
        <v>14</v>
      </c>
      <c r="C3767" t="s">
        <v>26</v>
      </c>
      <c r="D3767" t="s">
        <v>17</v>
      </c>
      <c r="E3767" t="s">
        <v>12</v>
      </c>
      <c r="F3767">
        <v>97426631</v>
      </c>
      <c r="G3767">
        <v>97426649</v>
      </c>
      <c r="H3767">
        <v>97426605</v>
      </c>
      <c r="I3767">
        <v>97426616</v>
      </c>
    </row>
    <row r="3768" spans="1:9" x14ac:dyDescent="0.2">
      <c r="A3768" s="1" t="str">
        <f>"CNOT1"</f>
        <v>CNOT1</v>
      </c>
      <c r="B3768" t="s">
        <v>14</v>
      </c>
      <c r="C3768" t="s">
        <v>31</v>
      </c>
      <c r="D3768" t="s">
        <v>11</v>
      </c>
      <c r="E3768" t="s">
        <v>12</v>
      </c>
      <c r="F3768">
        <v>58663720</v>
      </c>
      <c r="G3768">
        <v>58663753</v>
      </c>
      <c r="H3768">
        <v>58663720</v>
      </c>
      <c r="I3768">
        <v>58663753</v>
      </c>
    </row>
    <row r="3769" spans="1:9" x14ac:dyDescent="0.2">
      <c r="A3769" s="1" t="str">
        <f>"CNOT10"</f>
        <v>CNOT10</v>
      </c>
      <c r="B3769" t="s">
        <v>14</v>
      </c>
      <c r="C3769" t="s">
        <v>22</v>
      </c>
      <c r="D3769" t="s">
        <v>17</v>
      </c>
      <c r="E3769" t="s">
        <v>12</v>
      </c>
      <c r="F3769">
        <v>32726669</v>
      </c>
      <c r="G3769">
        <v>32726728</v>
      </c>
      <c r="H3769">
        <v>32726774</v>
      </c>
      <c r="I3769">
        <v>32726863</v>
      </c>
    </row>
    <row r="3770" spans="1:9" x14ac:dyDescent="0.2">
      <c r="A3770" s="1" t="str">
        <f>"CNOT11"</f>
        <v>CNOT11</v>
      </c>
      <c r="B3770" t="s">
        <v>14</v>
      </c>
      <c r="C3770" t="s">
        <v>26</v>
      </c>
      <c r="D3770" t="s">
        <v>17</v>
      </c>
      <c r="E3770" t="s">
        <v>12</v>
      </c>
      <c r="F3770">
        <v>101869329</v>
      </c>
      <c r="G3770">
        <v>101869388</v>
      </c>
      <c r="H3770">
        <v>101869262</v>
      </c>
      <c r="I3770">
        <v>101869279</v>
      </c>
    </row>
    <row r="3771" spans="1:9" x14ac:dyDescent="0.2">
      <c r="A3771" s="1" t="str">
        <f>"CNOT2"</f>
        <v>CNOT2</v>
      </c>
      <c r="B3771" t="s">
        <v>14</v>
      </c>
      <c r="C3771" t="s">
        <v>16</v>
      </c>
      <c r="D3771" t="s">
        <v>17</v>
      </c>
      <c r="E3771" t="s">
        <v>12</v>
      </c>
      <c r="F3771">
        <v>70637205</v>
      </c>
      <c r="G3771">
        <v>70637233</v>
      </c>
      <c r="H3771">
        <v>70636765</v>
      </c>
      <c r="I3771">
        <v>70636817</v>
      </c>
    </row>
    <row r="3772" spans="1:9" x14ac:dyDescent="0.2">
      <c r="A3772" s="1" t="str">
        <f>"CNOT3"</f>
        <v>CNOT3</v>
      </c>
      <c r="B3772" t="s">
        <v>14</v>
      </c>
      <c r="C3772" t="s">
        <v>10</v>
      </c>
      <c r="D3772" t="s">
        <v>17</v>
      </c>
      <c r="E3772" t="s">
        <v>12</v>
      </c>
      <c r="F3772">
        <v>54641456</v>
      </c>
      <c r="G3772">
        <v>54641504</v>
      </c>
      <c r="H3772">
        <v>54641652</v>
      </c>
      <c r="I3772">
        <v>54641677</v>
      </c>
    </row>
    <row r="3773" spans="1:9" x14ac:dyDescent="0.2">
      <c r="A3773" s="1" t="str">
        <f>"CNOT4"</f>
        <v>CNOT4</v>
      </c>
      <c r="B3773" t="s">
        <v>14</v>
      </c>
      <c r="C3773" t="s">
        <v>33</v>
      </c>
      <c r="D3773" t="s">
        <v>11</v>
      </c>
      <c r="E3773" t="s">
        <v>12</v>
      </c>
      <c r="F3773">
        <v>135194822</v>
      </c>
      <c r="G3773">
        <v>135194860</v>
      </c>
      <c r="H3773">
        <v>135194822</v>
      </c>
      <c r="I3773">
        <v>135194860</v>
      </c>
    </row>
    <row r="3774" spans="1:9" x14ac:dyDescent="0.2">
      <c r="A3774" s="1" t="str">
        <f>"CNOT6"</f>
        <v>CNOT6</v>
      </c>
      <c r="B3774" t="s">
        <v>14</v>
      </c>
      <c r="C3774" t="s">
        <v>46</v>
      </c>
      <c r="D3774" t="s">
        <v>17</v>
      </c>
      <c r="E3774" t="s">
        <v>12</v>
      </c>
      <c r="F3774">
        <v>179921344</v>
      </c>
      <c r="G3774">
        <v>179921423</v>
      </c>
      <c r="H3774">
        <v>179921430</v>
      </c>
      <c r="I3774">
        <v>179921461</v>
      </c>
    </row>
    <row r="3775" spans="1:9" x14ac:dyDescent="0.2">
      <c r="A3775" s="1" t="str">
        <f>"CNOT6L"</f>
        <v>CNOT6L</v>
      </c>
      <c r="B3775" t="s">
        <v>14</v>
      </c>
      <c r="C3775" t="s">
        <v>23</v>
      </c>
      <c r="D3775" t="s">
        <v>11</v>
      </c>
      <c r="E3775" t="s">
        <v>12</v>
      </c>
      <c r="F3775">
        <v>78740511</v>
      </c>
      <c r="G3775">
        <v>78740539</v>
      </c>
      <c r="H3775">
        <v>78740483</v>
      </c>
      <c r="I3775">
        <v>78740502</v>
      </c>
    </row>
    <row r="3776" spans="1:9" x14ac:dyDescent="0.2">
      <c r="A3776" s="1" t="str">
        <f>"CNOT7"</f>
        <v>CNOT7</v>
      </c>
      <c r="B3776" t="s">
        <v>14</v>
      </c>
      <c r="C3776" t="s">
        <v>30</v>
      </c>
      <c r="D3776" t="s">
        <v>11</v>
      </c>
      <c r="E3776" t="s">
        <v>12</v>
      </c>
      <c r="F3776">
        <v>17104356</v>
      </c>
      <c r="G3776">
        <v>17104395</v>
      </c>
      <c r="H3776">
        <v>17104315</v>
      </c>
      <c r="I3776">
        <v>17104339</v>
      </c>
    </row>
    <row r="3777" spans="1:9" x14ac:dyDescent="0.2">
      <c r="A3777" s="1" t="str">
        <f>"CNOT8"</f>
        <v>CNOT8</v>
      </c>
      <c r="B3777" t="s">
        <v>14</v>
      </c>
      <c r="C3777" t="s">
        <v>46</v>
      </c>
      <c r="D3777" t="s">
        <v>17</v>
      </c>
      <c r="E3777" t="s">
        <v>12</v>
      </c>
      <c r="F3777">
        <v>154238149</v>
      </c>
      <c r="G3777">
        <v>154238267</v>
      </c>
      <c r="H3777">
        <v>154238052</v>
      </c>
      <c r="I3777">
        <v>154238091</v>
      </c>
    </row>
    <row r="3778" spans="1:9" x14ac:dyDescent="0.2">
      <c r="A3778" s="1" t="str">
        <f>"CNP"</f>
        <v>CNP</v>
      </c>
      <c r="B3778" t="s">
        <v>14</v>
      </c>
      <c r="C3778" t="s">
        <v>28</v>
      </c>
      <c r="D3778" t="s">
        <v>17</v>
      </c>
      <c r="E3778" t="s">
        <v>12</v>
      </c>
      <c r="F3778">
        <v>40118805</v>
      </c>
      <c r="G3778">
        <v>40118822</v>
      </c>
      <c r="H3778">
        <v>40118773</v>
      </c>
      <c r="I3778">
        <v>40118793</v>
      </c>
    </row>
    <row r="3779" spans="1:9" x14ac:dyDescent="0.2">
      <c r="A3779" s="1" t="str">
        <f>"CNPPD1"</f>
        <v>CNPPD1</v>
      </c>
      <c r="B3779" t="s">
        <v>9</v>
      </c>
      <c r="C3779" t="s">
        <v>26</v>
      </c>
      <c r="D3779" t="s">
        <v>11</v>
      </c>
      <c r="E3779" t="s">
        <v>12</v>
      </c>
      <c r="F3779">
        <v>220041617</v>
      </c>
      <c r="G3779">
        <v>220041708</v>
      </c>
      <c r="H3779">
        <v>220041617</v>
      </c>
      <c r="I3779">
        <v>220041708</v>
      </c>
    </row>
    <row r="3780" spans="1:9" x14ac:dyDescent="0.2">
      <c r="A3780" s="1" t="str">
        <f>"CNPPD1"</f>
        <v>CNPPD1</v>
      </c>
      <c r="B3780" t="s">
        <v>13</v>
      </c>
      <c r="C3780" t="s">
        <v>26</v>
      </c>
      <c r="D3780" t="s">
        <v>11</v>
      </c>
      <c r="E3780" t="s">
        <v>12</v>
      </c>
      <c r="F3780">
        <v>220042825</v>
      </c>
      <c r="G3780">
        <v>220042898</v>
      </c>
      <c r="H3780">
        <v>220042825</v>
      </c>
      <c r="I3780">
        <v>220042898</v>
      </c>
    </row>
    <row r="3781" spans="1:9" x14ac:dyDescent="0.2">
      <c r="A3781" s="1" t="str">
        <f>"CNPY1"</f>
        <v>CNPY1</v>
      </c>
      <c r="B3781" t="s">
        <v>14</v>
      </c>
      <c r="C3781" t="s">
        <v>33</v>
      </c>
      <c r="D3781" t="s">
        <v>11</v>
      </c>
      <c r="E3781" t="s">
        <v>12</v>
      </c>
      <c r="F3781">
        <v>155326532</v>
      </c>
      <c r="G3781">
        <v>155326573</v>
      </c>
      <c r="H3781">
        <v>155326501</v>
      </c>
      <c r="I3781">
        <v>155326502</v>
      </c>
    </row>
    <row r="3782" spans="1:9" x14ac:dyDescent="0.2">
      <c r="A3782" s="1" t="str">
        <f>"CNPY2"</f>
        <v>CNPY2</v>
      </c>
      <c r="B3782" t="s">
        <v>14</v>
      </c>
      <c r="C3782" t="s">
        <v>16</v>
      </c>
      <c r="D3782" t="s">
        <v>11</v>
      </c>
      <c r="E3782" t="s">
        <v>12</v>
      </c>
      <c r="F3782">
        <v>56709786</v>
      </c>
      <c r="G3782">
        <v>56709846</v>
      </c>
      <c r="H3782">
        <v>56709736</v>
      </c>
      <c r="I3782">
        <v>56709780</v>
      </c>
    </row>
    <row r="3783" spans="1:9" x14ac:dyDescent="0.2">
      <c r="A3783" s="1" t="str">
        <f>"CNPY3"</f>
        <v>CNPY3</v>
      </c>
      <c r="B3783" t="s">
        <v>14</v>
      </c>
      <c r="C3783" t="s">
        <v>32</v>
      </c>
      <c r="D3783" t="s">
        <v>17</v>
      </c>
      <c r="E3783" t="s">
        <v>12</v>
      </c>
      <c r="F3783">
        <v>42897180</v>
      </c>
      <c r="G3783">
        <v>42897256</v>
      </c>
      <c r="H3783">
        <v>42897180</v>
      </c>
      <c r="I3783">
        <v>42897256</v>
      </c>
    </row>
    <row r="3784" spans="1:9" x14ac:dyDescent="0.2">
      <c r="A3784" s="1" t="str">
        <f>"CNPY4"</f>
        <v>CNPY4</v>
      </c>
      <c r="B3784" t="s">
        <v>14</v>
      </c>
      <c r="C3784" t="s">
        <v>33</v>
      </c>
      <c r="D3784" t="s">
        <v>17</v>
      </c>
      <c r="E3784" t="s">
        <v>12</v>
      </c>
      <c r="F3784">
        <v>99717230</v>
      </c>
      <c r="G3784">
        <v>99717321</v>
      </c>
      <c r="H3784">
        <v>99717324</v>
      </c>
      <c r="I3784">
        <v>99717335</v>
      </c>
    </row>
    <row r="3785" spans="1:9" x14ac:dyDescent="0.2">
      <c r="A3785" s="1" t="str">
        <f>"CNR1"</f>
        <v>CNR1</v>
      </c>
      <c r="B3785" t="s">
        <v>14</v>
      </c>
      <c r="C3785" t="s">
        <v>32</v>
      </c>
      <c r="D3785" t="s">
        <v>11</v>
      </c>
      <c r="E3785" t="s">
        <v>12</v>
      </c>
      <c r="F3785">
        <v>88876058</v>
      </c>
      <c r="G3785">
        <v>88876072</v>
      </c>
      <c r="H3785">
        <v>88875654</v>
      </c>
      <c r="I3785">
        <v>88875721</v>
      </c>
    </row>
    <row r="3786" spans="1:9" x14ac:dyDescent="0.2">
      <c r="A3786" s="1" t="str">
        <f>"CNR2"</f>
        <v>CNR2</v>
      </c>
      <c r="B3786" t="s">
        <v>14</v>
      </c>
      <c r="C3786" t="s">
        <v>19</v>
      </c>
      <c r="D3786" t="s">
        <v>11</v>
      </c>
      <c r="E3786" t="s">
        <v>12</v>
      </c>
      <c r="F3786">
        <v>24239844</v>
      </c>
      <c r="G3786">
        <v>24239858</v>
      </c>
      <c r="H3786">
        <v>24239893</v>
      </c>
      <c r="I3786">
        <v>24239910</v>
      </c>
    </row>
    <row r="3787" spans="1:9" x14ac:dyDescent="0.2">
      <c r="A3787" s="1" t="str">
        <f>"CNRIP1"</f>
        <v>CNRIP1</v>
      </c>
      <c r="B3787" t="s">
        <v>14</v>
      </c>
      <c r="C3787" t="s">
        <v>26</v>
      </c>
      <c r="D3787" t="s">
        <v>11</v>
      </c>
      <c r="E3787" t="s">
        <v>12</v>
      </c>
      <c r="F3787">
        <v>68546530</v>
      </c>
      <c r="G3787">
        <v>68546631</v>
      </c>
      <c r="H3787">
        <v>68547061</v>
      </c>
      <c r="I3787">
        <v>68547135</v>
      </c>
    </row>
    <row r="3788" spans="1:9" x14ac:dyDescent="0.2">
      <c r="A3788" s="1" t="str">
        <f>"CNST"</f>
        <v>CNST</v>
      </c>
      <c r="B3788" t="s">
        <v>14</v>
      </c>
      <c r="C3788" t="s">
        <v>19</v>
      </c>
      <c r="D3788" t="s">
        <v>17</v>
      </c>
      <c r="E3788" t="s">
        <v>12</v>
      </c>
      <c r="F3788">
        <v>246729724</v>
      </c>
      <c r="G3788">
        <v>246729794</v>
      </c>
      <c r="H3788">
        <v>246729845</v>
      </c>
      <c r="I3788">
        <v>246729891</v>
      </c>
    </row>
    <row r="3789" spans="1:9" x14ac:dyDescent="0.2">
      <c r="A3789" s="1" t="str">
        <f>"CNTD1"</f>
        <v>CNTD1</v>
      </c>
      <c r="B3789" t="s">
        <v>14</v>
      </c>
      <c r="C3789" t="s">
        <v>28</v>
      </c>
      <c r="D3789" t="s">
        <v>17</v>
      </c>
      <c r="E3789" t="s">
        <v>12</v>
      </c>
      <c r="F3789">
        <v>40950797</v>
      </c>
      <c r="G3789">
        <v>40950816</v>
      </c>
      <c r="H3789">
        <v>40950779</v>
      </c>
      <c r="I3789">
        <v>40950790</v>
      </c>
    </row>
    <row r="3790" spans="1:9" x14ac:dyDescent="0.2">
      <c r="A3790" s="1" t="str">
        <f>"CNTD2"</f>
        <v>CNTD2</v>
      </c>
      <c r="B3790" t="s">
        <v>9</v>
      </c>
      <c r="C3790" t="s">
        <v>10</v>
      </c>
      <c r="D3790" t="s">
        <v>11</v>
      </c>
      <c r="E3790" t="s">
        <v>12</v>
      </c>
      <c r="F3790">
        <v>40732594</v>
      </c>
      <c r="G3790">
        <v>40732598</v>
      </c>
      <c r="H3790">
        <v>40732594</v>
      </c>
      <c r="I3790">
        <v>40732598</v>
      </c>
    </row>
    <row r="3791" spans="1:9" x14ac:dyDescent="0.2">
      <c r="A3791" s="1" t="str">
        <f>"CNTD2"</f>
        <v>CNTD2</v>
      </c>
      <c r="B3791" t="s">
        <v>13</v>
      </c>
      <c r="C3791" t="s">
        <v>10</v>
      </c>
      <c r="D3791" t="s">
        <v>11</v>
      </c>
      <c r="E3791" t="s">
        <v>12</v>
      </c>
      <c r="F3791">
        <v>40730820</v>
      </c>
      <c r="G3791">
        <v>40730844</v>
      </c>
      <c r="H3791">
        <v>40730820</v>
      </c>
      <c r="I3791">
        <v>40730844</v>
      </c>
    </row>
    <row r="3792" spans="1:9" x14ac:dyDescent="0.2">
      <c r="A3792" s="1" t="str">
        <f>"CNTF"</f>
        <v>CNTF</v>
      </c>
      <c r="B3792" t="s">
        <v>14</v>
      </c>
      <c r="C3792" t="s">
        <v>27</v>
      </c>
      <c r="D3792" t="s">
        <v>17</v>
      </c>
      <c r="E3792" t="s">
        <v>12</v>
      </c>
      <c r="F3792">
        <v>58390132</v>
      </c>
      <c r="G3792">
        <v>58390156</v>
      </c>
      <c r="H3792">
        <v>58390160</v>
      </c>
      <c r="I3792">
        <v>58390175</v>
      </c>
    </row>
    <row r="3793" spans="1:9" x14ac:dyDescent="0.2">
      <c r="A3793" s="1" t="str">
        <f>"CNTFR"</f>
        <v>CNTFR</v>
      </c>
      <c r="B3793" t="s">
        <v>14</v>
      </c>
      <c r="C3793" t="s">
        <v>24</v>
      </c>
      <c r="D3793" t="s">
        <v>11</v>
      </c>
      <c r="E3793" t="s">
        <v>12</v>
      </c>
      <c r="F3793">
        <v>34589714</v>
      </c>
      <c r="G3793">
        <v>34589729</v>
      </c>
      <c r="H3793">
        <v>34590138</v>
      </c>
      <c r="I3793">
        <v>34590168</v>
      </c>
    </row>
    <row r="3794" spans="1:9" x14ac:dyDescent="0.2">
      <c r="A3794" s="1" t="str">
        <f>"CNTLN"</f>
        <v>CNTLN</v>
      </c>
      <c r="B3794" t="s">
        <v>14</v>
      </c>
      <c r="C3794" t="s">
        <v>24</v>
      </c>
      <c r="D3794" t="s">
        <v>17</v>
      </c>
      <c r="E3794" t="s">
        <v>12</v>
      </c>
      <c r="F3794">
        <v>17135016</v>
      </c>
      <c r="G3794">
        <v>17135063</v>
      </c>
      <c r="H3794">
        <v>17134983</v>
      </c>
      <c r="I3794">
        <v>17134994</v>
      </c>
    </row>
    <row r="3795" spans="1:9" x14ac:dyDescent="0.2">
      <c r="A3795" s="1" t="str">
        <f>"CNTN1"</f>
        <v>CNTN1</v>
      </c>
      <c r="B3795" t="s">
        <v>14</v>
      </c>
      <c r="C3795" t="s">
        <v>16</v>
      </c>
      <c r="D3795" t="s">
        <v>17</v>
      </c>
      <c r="E3795" t="s">
        <v>12</v>
      </c>
      <c r="F3795">
        <v>41086215</v>
      </c>
      <c r="G3795">
        <v>41086288</v>
      </c>
      <c r="H3795">
        <v>41086215</v>
      </c>
      <c r="I3795">
        <v>41086288</v>
      </c>
    </row>
    <row r="3796" spans="1:9" x14ac:dyDescent="0.2">
      <c r="A3796" s="1" t="str">
        <f>"CNTN2"</f>
        <v>CNTN2</v>
      </c>
      <c r="B3796" t="s">
        <v>14</v>
      </c>
      <c r="C3796" t="s">
        <v>19</v>
      </c>
      <c r="D3796" t="s">
        <v>17</v>
      </c>
      <c r="E3796" t="s">
        <v>12</v>
      </c>
      <c r="F3796">
        <v>205012332</v>
      </c>
      <c r="G3796">
        <v>205012351</v>
      </c>
      <c r="H3796">
        <v>205012293</v>
      </c>
      <c r="I3796">
        <v>205012326</v>
      </c>
    </row>
    <row r="3797" spans="1:9" x14ac:dyDescent="0.2">
      <c r="A3797" s="1" t="str">
        <f>"CNTN3"</f>
        <v>CNTN3</v>
      </c>
      <c r="B3797" t="s">
        <v>252</v>
      </c>
      <c r="C3797" t="s">
        <v>22</v>
      </c>
      <c r="D3797" t="s">
        <v>11</v>
      </c>
      <c r="E3797" t="s">
        <v>20</v>
      </c>
      <c r="F3797">
        <v>74570290</v>
      </c>
      <c r="G3797">
        <v>74570290</v>
      </c>
      <c r="H3797">
        <v>74570290</v>
      </c>
      <c r="I3797">
        <v>74570290</v>
      </c>
    </row>
    <row r="3798" spans="1:9" x14ac:dyDescent="0.2">
      <c r="A3798" s="1" t="str">
        <f>"CNTN4"</f>
        <v>CNTN4</v>
      </c>
      <c r="B3798" t="s">
        <v>14</v>
      </c>
      <c r="C3798" t="s">
        <v>22</v>
      </c>
      <c r="D3798" t="s">
        <v>17</v>
      </c>
      <c r="E3798" t="s">
        <v>12</v>
      </c>
      <c r="F3798">
        <v>2140565</v>
      </c>
      <c r="G3798">
        <v>2140621</v>
      </c>
      <c r="H3798">
        <v>2140530</v>
      </c>
      <c r="I3798">
        <v>2140557</v>
      </c>
    </row>
    <row r="3799" spans="1:9" x14ac:dyDescent="0.2">
      <c r="A3799" s="1" t="str">
        <f>"CNTN5"</f>
        <v>CNTN5</v>
      </c>
      <c r="B3799" t="s">
        <v>14</v>
      </c>
      <c r="C3799" t="s">
        <v>27</v>
      </c>
      <c r="D3799" t="s">
        <v>17</v>
      </c>
      <c r="E3799" t="s">
        <v>12</v>
      </c>
      <c r="F3799">
        <v>98891735</v>
      </c>
      <c r="G3799">
        <v>98891753</v>
      </c>
      <c r="H3799">
        <v>98891671</v>
      </c>
      <c r="I3799">
        <v>98891695</v>
      </c>
    </row>
    <row r="3800" spans="1:9" x14ac:dyDescent="0.2">
      <c r="A3800" s="1" t="str">
        <f>"CNTN6"</f>
        <v>CNTN6</v>
      </c>
      <c r="B3800" t="s">
        <v>14</v>
      </c>
      <c r="C3800" t="s">
        <v>22</v>
      </c>
      <c r="D3800" t="s">
        <v>17</v>
      </c>
      <c r="E3800" t="s">
        <v>12</v>
      </c>
      <c r="F3800">
        <v>1134664</v>
      </c>
      <c r="G3800">
        <v>1134715</v>
      </c>
      <c r="H3800">
        <v>1134589</v>
      </c>
      <c r="I3800">
        <v>1134643</v>
      </c>
    </row>
    <row r="3801" spans="1:9" x14ac:dyDescent="0.2">
      <c r="A3801" s="1" t="str">
        <f>"CNTNAP1"</f>
        <v>CNTNAP1</v>
      </c>
      <c r="B3801" t="s">
        <v>14</v>
      </c>
      <c r="C3801" t="s">
        <v>28</v>
      </c>
      <c r="D3801" t="s">
        <v>17</v>
      </c>
      <c r="E3801" t="s">
        <v>12</v>
      </c>
      <c r="F3801">
        <v>40834488</v>
      </c>
      <c r="G3801">
        <v>40834577</v>
      </c>
      <c r="H3801">
        <v>40834580</v>
      </c>
      <c r="I3801">
        <v>40834633</v>
      </c>
    </row>
    <row r="3802" spans="1:9" x14ac:dyDescent="0.2">
      <c r="A3802" s="1" t="str">
        <f>"CNTNAP2"</f>
        <v>CNTNAP2</v>
      </c>
      <c r="B3802" t="s">
        <v>14</v>
      </c>
      <c r="C3802" t="s">
        <v>33</v>
      </c>
      <c r="D3802" t="s">
        <v>17</v>
      </c>
      <c r="E3802" t="s">
        <v>12</v>
      </c>
      <c r="F3802">
        <v>145813864</v>
      </c>
      <c r="G3802">
        <v>145813947</v>
      </c>
      <c r="H3802">
        <v>145813864</v>
      </c>
      <c r="I3802">
        <v>145813947</v>
      </c>
    </row>
    <row r="3803" spans="1:9" x14ac:dyDescent="0.2">
      <c r="A3803" s="1" t="str">
        <f>"CNTNAP3"</f>
        <v>CNTNAP3</v>
      </c>
      <c r="B3803" t="s">
        <v>253</v>
      </c>
      <c r="C3803" t="s">
        <v>24</v>
      </c>
      <c r="D3803" t="s">
        <v>11</v>
      </c>
      <c r="E3803" t="s">
        <v>20</v>
      </c>
      <c r="F3803">
        <v>39288134</v>
      </c>
      <c r="G3803">
        <v>39288134</v>
      </c>
      <c r="H3803">
        <v>39288134</v>
      </c>
      <c r="I3803">
        <v>39288134</v>
      </c>
    </row>
    <row r="3804" spans="1:9" x14ac:dyDescent="0.2">
      <c r="A3804" s="1" t="str">
        <f>"CNTNAP3B"</f>
        <v>CNTNAP3B</v>
      </c>
      <c r="B3804" t="s">
        <v>14</v>
      </c>
      <c r="C3804" t="s">
        <v>24</v>
      </c>
      <c r="D3804" t="s">
        <v>17</v>
      </c>
      <c r="E3804" t="s">
        <v>12</v>
      </c>
      <c r="F3804">
        <v>43684950</v>
      </c>
      <c r="G3804">
        <v>43684964</v>
      </c>
      <c r="H3804">
        <v>43685042</v>
      </c>
      <c r="I3804">
        <v>43685057</v>
      </c>
    </row>
    <row r="3805" spans="1:9" x14ac:dyDescent="0.2">
      <c r="A3805" s="1" t="str">
        <f>"CNTNAP4"</f>
        <v>CNTNAP4</v>
      </c>
      <c r="B3805" t="s">
        <v>14</v>
      </c>
      <c r="C3805" t="s">
        <v>31</v>
      </c>
      <c r="D3805" t="s">
        <v>17</v>
      </c>
      <c r="E3805" t="s">
        <v>12</v>
      </c>
      <c r="F3805">
        <v>76311291</v>
      </c>
      <c r="G3805">
        <v>76311315</v>
      </c>
      <c r="H3805">
        <v>76311254</v>
      </c>
      <c r="I3805">
        <v>76311274</v>
      </c>
    </row>
    <row r="3806" spans="1:9" x14ac:dyDescent="0.2">
      <c r="A3806" s="1" t="str">
        <f>"CNTNAP5"</f>
        <v>CNTNAP5</v>
      </c>
      <c r="B3806" t="s">
        <v>14</v>
      </c>
      <c r="C3806" t="s">
        <v>26</v>
      </c>
      <c r="D3806" t="s">
        <v>17</v>
      </c>
      <c r="E3806" t="s">
        <v>12</v>
      </c>
      <c r="F3806">
        <v>124782857</v>
      </c>
      <c r="G3806">
        <v>124782870</v>
      </c>
      <c r="H3806">
        <v>124782857</v>
      </c>
      <c r="I3806">
        <v>124782870</v>
      </c>
    </row>
    <row r="3807" spans="1:9" x14ac:dyDescent="0.2">
      <c r="A3807" s="1" t="str">
        <f>"CNTRL"</f>
        <v>CNTRL</v>
      </c>
      <c r="B3807" t="s">
        <v>14</v>
      </c>
      <c r="C3807" t="s">
        <v>24</v>
      </c>
      <c r="D3807" t="s">
        <v>17</v>
      </c>
      <c r="E3807" t="s">
        <v>12</v>
      </c>
      <c r="F3807">
        <v>123837223</v>
      </c>
      <c r="G3807">
        <v>123837250</v>
      </c>
      <c r="H3807">
        <v>123837223</v>
      </c>
      <c r="I3807">
        <v>123837250</v>
      </c>
    </row>
    <row r="3808" spans="1:9" x14ac:dyDescent="0.2">
      <c r="A3808" s="1" t="str">
        <f>"CNTROB"</f>
        <v>CNTROB</v>
      </c>
      <c r="B3808" t="s">
        <v>14</v>
      </c>
      <c r="C3808" t="s">
        <v>28</v>
      </c>
      <c r="D3808" t="s">
        <v>17</v>
      </c>
      <c r="E3808" t="s">
        <v>12</v>
      </c>
      <c r="F3808">
        <v>7835477</v>
      </c>
      <c r="G3808">
        <v>7835558</v>
      </c>
      <c r="H3808">
        <v>7835415</v>
      </c>
      <c r="I3808">
        <v>7835435</v>
      </c>
    </row>
    <row r="3809" spans="1:9" x14ac:dyDescent="0.2">
      <c r="A3809" s="1" t="str">
        <f>"COA1"</f>
        <v>COA1</v>
      </c>
      <c r="B3809" t="s">
        <v>14</v>
      </c>
      <c r="C3809" t="s">
        <v>33</v>
      </c>
      <c r="D3809" t="s">
        <v>11</v>
      </c>
      <c r="E3809" t="s">
        <v>12</v>
      </c>
      <c r="F3809">
        <v>43769066</v>
      </c>
      <c r="G3809">
        <v>43769145</v>
      </c>
      <c r="H3809">
        <v>43769056</v>
      </c>
      <c r="I3809">
        <v>43769063</v>
      </c>
    </row>
    <row r="3810" spans="1:9" x14ac:dyDescent="0.2">
      <c r="A3810" s="1" t="str">
        <f>"COA3"</f>
        <v>COA3</v>
      </c>
      <c r="B3810" t="s">
        <v>14</v>
      </c>
      <c r="C3810" t="s">
        <v>28</v>
      </c>
      <c r="D3810" t="s">
        <v>11</v>
      </c>
      <c r="E3810" t="s">
        <v>12</v>
      </c>
      <c r="F3810">
        <v>40950698</v>
      </c>
      <c r="G3810">
        <v>40950737</v>
      </c>
      <c r="H3810">
        <v>40950558</v>
      </c>
      <c r="I3810">
        <v>40950561</v>
      </c>
    </row>
    <row r="3811" spans="1:9" x14ac:dyDescent="0.2">
      <c r="A3811" s="1" t="str">
        <f>"COA4"</f>
        <v>COA4</v>
      </c>
      <c r="B3811" t="s">
        <v>14</v>
      </c>
      <c r="C3811" t="s">
        <v>27</v>
      </c>
      <c r="D3811" t="s">
        <v>11</v>
      </c>
      <c r="E3811" t="s">
        <v>12</v>
      </c>
      <c r="F3811">
        <v>73587845</v>
      </c>
      <c r="G3811">
        <v>73587936</v>
      </c>
      <c r="H3811">
        <v>73588002</v>
      </c>
      <c r="I3811">
        <v>73588027</v>
      </c>
    </row>
    <row r="3812" spans="1:9" x14ac:dyDescent="0.2">
      <c r="A3812" s="1" t="str">
        <f>"COA5"</f>
        <v>COA5</v>
      </c>
      <c r="B3812" t="s">
        <v>14</v>
      </c>
      <c r="C3812" t="s">
        <v>26</v>
      </c>
      <c r="D3812" t="s">
        <v>11</v>
      </c>
      <c r="E3812" t="s">
        <v>12</v>
      </c>
      <c r="F3812">
        <v>99224915</v>
      </c>
      <c r="G3812">
        <v>99224987</v>
      </c>
      <c r="H3812">
        <v>99224786</v>
      </c>
      <c r="I3812">
        <v>99224791</v>
      </c>
    </row>
    <row r="3813" spans="1:9" x14ac:dyDescent="0.2">
      <c r="A3813" s="1" t="str">
        <f>"COA6"</f>
        <v>COA6</v>
      </c>
      <c r="B3813" t="s">
        <v>14</v>
      </c>
      <c r="C3813" t="s">
        <v>19</v>
      </c>
      <c r="D3813" t="s">
        <v>17</v>
      </c>
      <c r="E3813" t="s">
        <v>12</v>
      </c>
      <c r="F3813">
        <v>234509223</v>
      </c>
      <c r="G3813">
        <v>234509305</v>
      </c>
      <c r="H3813">
        <v>234509186</v>
      </c>
      <c r="I3813">
        <v>234509216</v>
      </c>
    </row>
    <row r="3814" spans="1:9" x14ac:dyDescent="0.2">
      <c r="A3814" s="1" t="str">
        <f>"COASY"</f>
        <v>COASY</v>
      </c>
      <c r="B3814" t="s">
        <v>14</v>
      </c>
      <c r="C3814" t="s">
        <v>28</v>
      </c>
      <c r="D3814" t="s">
        <v>17</v>
      </c>
      <c r="E3814" t="s">
        <v>12</v>
      </c>
      <c r="F3814">
        <v>40714138</v>
      </c>
      <c r="G3814">
        <v>40714205</v>
      </c>
      <c r="H3814">
        <v>40714138</v>
      </c>
      <c r="I3814">
        <v>40714205</v>
      </c>
    </row>
    <row r="3815" spans="1:9" x14ac:dyDescent="0.2">
      <c r="A3815" s="1" t="str">
        <f>"COBL"</f>
        <v>COBL</v>
      </c>
      <c r="B3815" t="s">
        <v>14</v>
      </c>
      <c r="C3815" t="s">
        <v>33</v>
      </c>
      <c r="D3815" t="s">
        <v>11</v>
      </c>
      <c r="E3815" t="s">
        <v>12</v>
      </c>
      <c r="F3815">
        <v>51384451</v>
      </c>
      <c r="G3815">
        <v>51384522</v>
      </c>
      <c r="H3815">
        <v>51384405</v>
      </c>
      <c r="I3815">
        <v>51384420</v>
      </c>
    </row>
    <row r="3816" spans="1:9" x14ac:dyDescent="0.2">
      <c r="A3816" s="1" t="str">
        <f>"COBLL1"</f>
        <v>COBLL1</v>
      </c>
      <c r="B3816" t="s">
        <v>14</v>
      </c>
      <c r="C3816" t="s">
        <v>26</v>
      </c>
      <c r="D3816" t="s">
        <v>11</v>
      </c>
      <c r="E3816" t="s">
        <v>12</v>
      </c>
      <c r="F3816">
        <v>165698322</v>
      </c>
      <c r="G3816">
        <v>165698340</v>
      </c>
      <c r="H3816">
        <v>165697920</v>
      </c>
      <c r="I3816">
        <v>165697963</v>
      </c>
    </row>
    <row r="3817" spans="1:9" x14ac:dyDescent="0.2">
      <c r="A3817" s="1" t="str">
        <f>"COCH"</f>
        <v>COCH</v>
      </c>
      <c r="B3817" t="s">
        <v>14</v>
      </c>
      <c r="C3817" t="s">
        <v>41</v>
      </c>
      <c r="D3817" t="s">
        <v>17</v>
      </c>
      <c r="E3817" t="s">
        <v>12</v>
      </c>
      <c r="F3817">
        <v>31343747</v>
      </c>
      <c r="G3817">
        <v>31343772</v>
      </c>
      <c r="H3817">
        <v>31343703</v>
      </c>
      <c r="I3817">
        <v>31343726</v>
      </c>
    </row>
    <row r="3818" spans="1:9" x14ac:dyDescent="0.2">
      <c r="A3818" s="1" t="str">
        <f>"COG1"</f>
        <v>COG1</v>
      </c>
      <c r="B3818" t="s">
        <v>14</v>
      </c>
      <c r="C3818" t="s">
        <v>28</v>
      </c>
      <c r="D3818" t="s">
        <v>17</v>
      </c>
      <c r="E3818" t="s">
        <v>12</v>
      </c>
      <c r="F3818">
        <v>71189169</v>
      </c>
      <c r="G3818">
        <v>71189210</v>
      </c>
      <c r="H3818">
        <v>71188791</v>
      </c>
      <c r="I3818">
        <v>71188812</v>
      </c>
    </row>
    <row r="3819" spans="1:9" x14ac:dyDescent="0.2">
      <c r="A3819" s="1" t="str">
        <f>"COG2"</f>
        <v>COG2</v>
      </c>
      <c r="B3819" t="s">
        <v>14</v>
      </c>
      <c r="C3819" t="s">
        <v>19</v>
      </c>
      <c r="D3819" t="s">
        <v>17</v>
      </c>
      <c r="E3819" t="s">
        <v>12</v>
      </c>
      <c r="F3819">
        <v>230778211</v>
      </c>
      <c r="G3819">
        <v>230778276</v>
      </c>
      <c r="H3819">
        <v>230778286</v>
      </c>
      <c r="I3819">
        <v>230778297</v>
      </c>
    </row>
    <row r="3820" spans="1:9" x14ac:dyDescent="0.2">
      <c r="A3820" s="1" t="str">
        <f>"COG3"</f>
        <v>COG3</v>
      </c>
      <c r="B3820" t="s">
        <v>14</v>
      </c>
      <c r="C3820" t="s">
        <v>39</v>
      </c>
      <c r="D3820" t="s">
        <v>17</v>
      </c>
      <c r="E3820" t="s">
        <v>12</v>
      </c>
      <c r="F3820">
        <v>46039037</v>
      </c>
      <c r="G3820">
        <v>46039126</v>
      </c>
      <c r="H3820">
        <v>46039130</v>
      </c>
      <c r="I3820">
        <v>46039149</v>
      </c>
    </row>
    <row r="3821" spans="1:9" x14ac:dyDescent="0.2">
      <c r="A3821" s="1" t="str">
        <f>"COG4"</f>
        <v>COG4</v>
      </c>
      <c r="B3821" t="s">
        <v>14</v>
      </c>
      <c r="C3821" t="s">
        <v>31</v>
      </c>
      <c r="D3821" t="s">
        <v>11</v>
      </c>
      <c r="E3821" t="s">
        <v>12</v>
      </c>
      <c r="F3821">
        <v>70557430</v>
      </c>
      <c r="G3821">
        <v>70557469</v>
      </c>
      <c r="H3821">
        <v>70557417</v>
      </c>
      <c r="I3821">
        <v>70557426</v>
      </c>
    </row>
    <row r="3822" spans="1:9" x14ac:dyDescent="0.2">
      <c r="A3822" s="1" t="str">
        <f>"COG5"</f>
        <v>COG5</v>
      </c>
      <c r="B3822" t="s">
        <v>14</v>
      </c>
      <c r="C3822" t="s">
        <v>33</v>
      </c>
      <c r="D3822" t="s">
        <v>11</v>
      </c>
      <c r="E3822" t="s">
        <v>12</v>
      </c>
      <c r="F3822">
        <v>107204337</v>
      </c>
      <c r="G3822">
        <v>107204384</v>
      </c>
      <c r="H3822">
        <v>107204918</v>
      </c>
      <c r="I3822">
        <v>107204960</v>
      </c>
    </row>
    <row r="3823" spans="1:9" x14ac:dyDescent="0.2">
      <c r="A3823" s="1" t="str">
        <f>"COG6"</f>
        <v>COG6</v>
      </c>
      <c r="B3823" t="s">
        <v>14</v>
      </c>
      <c r="C3823" t="s">
        <v>39</v>
      </c>
      <c r="D3823" t="s">
        <v>17</v>
      </c>
      <c r="E3823" t="s">
        <v>12</v>
      </c>
      <c r="F3823">
        <v>40229775</v>
      </c>
      <c r="G3823">
        <v>40229869</v>
      </c>
      <c r="H3823">
        <v>40229775</v>
      </c>
      <c r="I3823">
        <v>40229869</v>
      </c>
    </row>
    <row r="3824" spans="1:9" x14ac:dyDescent="0.2">
      <c r="A3824" s="1" t="str">
        <f>"COG7"</f>
        <v>COG7</v>
      </c>
      <c r="B3824" t="s">
        <v>14</v>
      </c>
      <c r="C3824" t="s">
        <v>31</v>
      </c>
      <c r="D3824" t="s">
        <v>11</v>
      </c>
      <c r="E3824" t="s">
        <v>12</v>
      </c>
      <c r="F3824">
        <v>23464459</v>
      </c>
      <c r="G3824">
        <v>23464533</v>
      </c>
      <c r="H3824">
        <v>23464285</v>
      </c>
      <c r="I3824">
        <v>23464316</v>
      </c>
    </row>
    <row r="3825" spans="1:9" x14ac:dyDescent="0.2">
      <c r="A3825" s="1" t="str">
        <f>"COG8"</f>
        <v>COG8</v>
      </c>
      <c r="B3825" t="s">
        <v>14</v>
      </c>
      <c r="C3825" t="s">
        <v>31</v>
      </c>
      <c r="D3825" t="s">
        <v>11</v>
      </c>
      <c r="E3825" t="s">
        <v>12</v>
      </c>
      <c r="F3825">
        <v>69373450</v>
      </c>
      <c r="G3825">
        <v>69373484</v>
      </c>
      <c r="H3825">
        <v>69373126</v>
      </c>
      <c r="I3825">
        <v>69373135</v>
      </c>
    </row>
    <row r="3826" spans="1:9" x14ac:dyDescent="0.2">
      <c r="A3826" s="1" t="str">
        <f>"COIL"</f>
        <v>COIL</v>
      </c>
      <c r="B3826" t="s">
        <v>14</v>
      </c>
      <c r="C3826" t="s">
        <v>28</v>
      </c>
      <c r="D3826" t="s">
        <v>11</v>
      </c>
      <c r="E3826" t="s">
        <v>12</v>
      </c>
      <c r="F3826">
        <v>55038375</v>
      </c>
      <c r="G3826">
        <v>55038421</v>
      </c>
      <c r="H3826">
        <v>55038161</v>
      </c>
      <c r="I3826">
        <v>55038191</v>
      </c>
    </row>
    <row r="3827" spans="1:9" x14ac:dyDescent="0.2">
      <c r="A3827" s="1" t="str">
        <f>"COL10A1"</f>
        <v>COL10A1</v>
      </c>
      <c r="B3827" t="s">
        <v>14</v>
      </c>
      <c r="C3827" t="s">
        <v>32</v>
      </c>
      <c r="D3827" t="s">
        <v>11</v>
      </c>
      <c r="E3827" t="s">
        <v>12</v>
      </c>
      <c r="F3827">
        <v>116447293</v>
      </c>
      <c r="G3827">
        <v>116447325</v>
      </c>
      <c r="H3827">
        <v>116447293</v>
      </c>
      <c r="I3827">
        <v>116447325</v>
      </c>
    </row>
    <row r="3828" spans="1:9" x14ac:dyDescent="0.2">
      <c r="A3828" s="1" t="str">
        <f>"COL11A1"</f>
        <v>COL11A1</v>
      </c>
      <c r="B3828" t="s">
        <v>14</v>
      </c>
      <c r="C3828" t="s">
        <v>19</v>
      </c>
      <c r="D3828" t="s">
        <v>11</v>
      </c>
      <c r="E3828" t="s">
        <v>12</v>
      </c>
      <c r="F3828">
        <v>103574024</v>
      </c>
      <c r="G3828">
        <v>103574063</v>
      </c>
      <c r="H3828">
        <v>103574068</v>
      </c>
      <c r="I3828">
        <v>103574099</v>
      </c>
    </row>
    <row r="3829" spans="1:9" x14ac:dyDescent="0.2">
      <c r="A3829" s="1" t="str">
        <f>"COL11A2"</f>
        <v>COL11A2</v>
      </c>
      <c r="B3829" t="s">
        <v>14</v>
      </c>
      <c r="C3829" t="s">
        <v>32</v>
      </c>
      <c r="D3829" t="s">
        <v>11</v>
      </c>
      <c r="E3829" t="s">
        <v>12</v>
      </c>
      <c r="F3829">
        <v>33160233</v>
      </c>
      <c r="G3829">
        <v>33160251</v>
      </c>
      <c r="H3829">
        <v>33160233</v>
      </c>
      <c r="I3829">
        <v>33160251</v>
      </c>
    </row>
    <row r="3830" spans="1:9" x14ac:dyDescent="0.2">
      <c r="A3830" s="1" t="str">
        <f>"COL12A1"</f>
        <v>COL12A1</v>
      </c>
      <c r="B3830" t="s">
        <v>14</v>
      </c>
      <c r="C3830" t="s">
        <v>32</v>
      </c>
      <c r="D3830" t="s">
        <v>11</v>
      </c>
      <c r="E3830" t="s">
        <v>12</v>
      </c>
      <c r="F3830">
        <v>75915757</v>
      </c>
      <c r="G3830">
        <v>75915775</v>
      </c>
      <c r="H3830">
        <v>75915738</v>
      </c>
      <c r="I3830">
        <v>75915749</v>
      </c>
    </row>
    <row r="3831" spans="1:9" x14ac:dyDescent="0.2">
      <c r="A3831" s="1" t="str">
        <f>"COL13A1"</f>
        <v>COL13A1</v>
      </c>
      <c r="B3831" t="s">
        <v>14</v>
      </c>
      <c r="C3831" t="s">
        <v>15</v>
      </c>
      <c r="D3831" t="s">
        <v>17</v>
      </c>
      <c r="E3831" t="s">
        <v>12</v>
      </c>
      <c r="F3831">
        <v>71561649</v>
      </c>
      <c r="G3831">
        <v>71561703</v>
      </c>
      <c r="H3831">
        <v>71561704</v>
      </c>
      <c r="I3831">
        <v>71561747</v>
      </c>
    </row>
    <row r="3832" spans="1:9" x14ac:dyDescent="0.2">
      <c r="A3832" s="1" t="str">
        <f>"COL14A1"</f>
        <v>COL14A1</v>
      </c>
      <c r="B3832" t="s">
        <v>14</v>
      </c>
      <c r="C3832" t="s">
        <v>30</v>
      </c>
      <c r="D3832" t="s">
        <v>17</v>
      </c>
      <c r="E3832" t="s">
        <v>12</v>
      </c>
      <c r="F3832">
        <v>121137333</v>
      </c>
      <c r="G3832">
        <v>121137352</v>
      </c>
      <c r="H3832">
        <v>121137364</v>
      </c>
      <c r="I3832">
        <v>121137406</v>
      </c>
    </row>
    <row r="3833" spans="1:9" x14ac:dyDescent="0.2">
      <c r="A3833" s="1" t="str">
        <f>"COL15A1"</f>
        <v>COL15A1</v>
      </c>
      <c r="B3833" t="s">
        <v>14</v>
      </c>
      <c r="C3833" t="s">
        <v>24</v>
      </c>
      <c r="D3833" t="s">
        <v>17</v>
      </c>
      <c r="E3833" t="s">
        <v>12</v>
      </c>
      <c r="F3833">
        <v>101706180</v>
      </c>
      <c r="G3833">
        <v>101706199</v>
      </c>
      <c r="H3833">
        <v>101706200</v>
      </c>
      <c r="I3833">
        <v>101706231</v>
      </c>
    </row>
    <row r="3834" spans="1:9" x14ac:dyDescent="0.2">
      <c r="A3834" s="1" t="str">
        <f>"COL16A1"</f>
        <v>COL16A1</v>
      </c>
      <c r="B3834" t="s">
        <v>14</v>
      </c>
      <c r="C3834" t="s">
        <v>19</v>
      </c>
      <c r="D3834" t="s">
        <v>11</v>
      </c>
      <c r="E3834" t="s">
        <v>12</v>
      </c>
      <c r="F3834">
        <v>32169602</v>
      </c>
      <c r="G3834">
        <v>32169625</v>
      </c>
      <c r="H3834">
        <v>32169580</v>
      </c>
      <c r="I3834">
        <v>32169599</v>
      </c>
    </row>
    <row r="3835" spans="1:9" x14ac:dyDescent="0.2">
      <c r="A3835" s="1" t="str">
        <f>"COL17A1"</f>
        <v>COL17A1</v>
      </c>
      <c r="B3835" t="s">
        <v>14</v>
      </c>
      <c r="C3835" t="s">
        <v>15</v>
      </c>
      <c r="D3835" t="s">
        <v>11</v>
      </c>
      <c r="E3835" t="s">
        <v>12</v>
      </c>
      <c r="F3835">
        <v>105845611</v>
      </c>
      <c r="G3835">
        <v>105845645</v>
      </c>
      <c r="H3835">
        <v>105845611</v>
      </c>
      <c r="I3835">
        <v>105845645</v>
      </c>
    </row>
    <row r="3836" spans="1:9" x14ac:dyDescent="0.2">
      <c r="A3836" s="1" t="str">
        <f>"COL18A1"</f>
        <v>COL18A1</v>
      </c>
      <c r="B3836" t="s">
        <v>14</v>
      </c>
      <c r="C3836" t="s">
        <v>42</v>
      </c>
      <c r="D3836" t="s">
        <v>17</v>
      </c>
      <c r="E3836" t="s">
        <v>67</v>
      </c>
      <c r="F3836">
        <v>46875896</v>
      </c>
      <c r="G3836">
        <v>46875941</v>
      </c>
      <c r="H3836">
        <v>46875428</v>
      </c>
      <c r="I3836">
        <v>46875444</v>
      </c>
    </row>
    <row r="3837" spans="1:9" x14ac:dyDescent="0.2">
      <c r="A3837" s="1" t="str">
        <f>"COL19A1"</f>
        <v>COL19A1</v>
      </c>
      <c r="B3837" t="s">
        <v>14</v>
      </c>
      <c r="C3837" t="s">
        <v>32</v>
      </c>
      <c r="D3837" t="s">
        <v>17</v>
      </c>
      <c r="E3837" t="s">
        <v>12</v>
      </c>
      <c r="F3837">
        <v>70576438</v>
      </c>
      <c r="G3837">
        <v>70576454</v>
      </c>
      <c r="H3837">
        <v>70576457</v>
      </c>
      <c r="I3837">
        <v>70576468</v>
      </c>
    </row>
    <row r="3838" spans="1:9" x14ac:dyDescent="0.2">
      <c r="A3838" s="1" t="str">
        <f>"COL1A1"</f>
        <v>COL1A1</v>
      </c>
      <c r="B3838" t="s">
        <v>14</v>
      </c>
      <c r="C3838" t="s">
        <v>28</v>
      </c>
      <c r="D3838" t="s">
        <v>11</v>
      </c>
      <c r="E3838" t="s">
        <v>12</v>
      </c>
      <c r="F3838">
        <v>48278983</v>
      </c>
      <c r="G3838">
        <v>48278999</v>
      </c>
      <c r="H3838">
        <v>48278983</v>
      </c>
      <c r="I3838">
        <v>48278999</v>
      </c>
    </row>
    <row r="3839" spans="1:9" x14ac:dyDescent="0.2">
      <c r="A3839" s="1" t="str">
        <f>"COL1A2"</f>
        <v>COL1A2</v>
      </c>
      <c r="B3839" t="s">
        <v>14</v>
      </c>
      <c r="C3839" t="s">
        <v>33</v>
      </c>
      <c r="D3839" t="s">
        <v>17</v>
      </c>
      <c r="E3839" t="s">
        <v>12</v>
      </c>
      <c r="F3839">
        <v>94024199</v>
      </c>
      <c r="G3839">
        <v>94024213</v>
      </c>
      <c r="H3839">
        <v>94024199</v>
      </c>
      <c r="I3839">
        <v>94024213</v>
      </c>
    </row>
    <row r="3840" spans="1:9" x14ac:dyDescent="0.2">
      <c r="A3840" s="1" t="str">
        <f>"COL20A1"</f>
        <v>COL20A1</v>
      </c>
      <c r="B3840" t="s">
        <v>14</v>
      </c>
      <c r="C3840" t="s">
        <v>29</v>
      </c>
      <c r="D3840" t="s">
        <v>17</v>
      </c>
      <c r="E3840" t="s">
        <v>12</v>
      </c>
      <c r="F3840">
        <v>61924532</v>
      </c>
      <c r="G3840">
        <v>61924576</v>
      </c>
      <c r="H3840">
        <v>61924532</v>
      </c>
      <c r="I3840">
        <v>61924576</v>
      </c>
    </row>
    <row r="3841" spans="1:9" x14ac:dyDescent="0.2">
      <c r="A3841" s="1" t="str">
        <f>"COL21A1"</f>
        <v>COL21A1</v>
      </c>
      <c r="B3841" t="s">
        <v>14</v>
      </c>
      <c r="C3841" t="s">
        <v>32</v>
      </c>
      <c r="D3841" t="s">
        <v>11</v>
      </c>
      <c r="E3841" t="s">
        <v>12</v>
      </c>
      <c r="F3841">
        <v>56112323</v>
      </c>
      <c r="G3841">
        <v>56112385</v>
      </c>
      <c r="H3841">
        <v>56112246</v>
      </c>
      <c r="I3841">
        <v>56112267</v>
      </c>
    </row>
    <row r="3842" spans="1:9" x14ac:dyDescent="0.2">
      <c r="A3842" s="1" t="str">
        <f>"COL22A1"</f>
        <v>COL22A1</v>
      </c>
      <c r="B3842" t="s">
        <v>14</v>
      </c>
      <c r="C3842" t="s">
        <v>30</v>
      </c>
      <c r="D3842" t="s">
        <v>11</v>
      </c>
      <c r="E3842" t="s">
        <v>12</v>
      </c>
      <c r="F3842">
        <v>139926277</v>
      </c>
      <c r="G3842">
        <v>139926290</v>
      </c>
      <c r="H3842">
        <v>139926246</v>
      </c>
      <c r="I3842">
        <v>139926269</v>
      </c>
    </row>
    <row r="3843" spans="1:9" x14ac:dyDescent="0.2">
      <c r="A3843" s="1" t="str">
        <f>"COL23A1"</f>
        <v>COL23A1</v>
      </c>
      <c r="B3843" t="s">
        <v>14</v>
      </c>
      <c r="C3843" t="s">
        <v>46</v>
      </c>
      <c r="D3843" t="s">
        <v>11</v>
      </c>
      <c r="E3843" t="s">
        <v>12</v>
      </c>
      <c r="F3843">
        <v>178017355</v>
      </c>
      <c r="G3843">
        <v>178017412</v>
      </c>
      <c r="H3843">
        <v>178017311</v>
      </c>
      <c r="I3843">
        <v>178017348</v>
      </c>
    </row>
    <row r="3844" spans="1:9" x14ac:dyDescent="0.2">
      <c r="A3844" s="1" t="str">
        <f>"COL24A1"</f>
        <v>COL24A1</v>
      </c>
      <c r="B3844" t="s">
        <v>14</v>
      </c>
      <c r="C3844" t="s">
        <v>19</v>
      </c>
      <c r="D3844" t="s">
        <v>11</v>
      </c>
      <c r="E3844" t="s">
        <v>12</v>
      </c>
      <c r="F3844">
        <v>86622421</v>
      </c>
      <c r="G3844">
        <v>86622460</v>
      </c>
      <c r="H3844">
        <v>86622655</v>
      </c>
      <c r="I3844">
        <v>86622673</v>
      </c>
    </row>
    <row r="3845" spans="1:9" x14ac:dyDescent="0.2">
      <c r="A3845" s="1" t="str">
        <f>"COL25A1"</f>
        <v>COL25A1</v>
      </c>
      <c r="B3845" t="s">
        <v>14</v>
      </c>
      <c r="C3845" t="s">
        <v>23</v>
      </c>
      <c r="D3845" t="s">
        <v>11</v>
      </c>
      <c r="E3845" t="s">
        <v>12</v>
      </c>
      <c r="F3845">
        <v>110223806</v>
      </c>
      <c r="G3845">
        <v>110223821</v>
      </c>
      <c r="H3845">
        <v>110223865</v>
      </c>
      <c r="I3845">
        <v>110223887</v>
      </c>
    </row>
    <row r="3846" spans="1:9" x14ac:dyDescent="0.2">
      <c r="A3846" s="1" t="str">
        <f>"COL26A1"</f>
        <v>COL26A1</v>
      </c>
      <c r="B3846" t="s">
        <v>14</v>
      </c>
      <c r="C3846" t="s">
        <v>33</v>
      </c>
      <c r="D3846" t="s">
        <v>17</v>
      </c>
      <c r="E3846" t="s">
        <v>12</v>
      </c>
      <c r="F3846">
        <v>101006118</v>
      </c>
      <c r="G3846">
        <v>101006183</v>
      </c>
      <c r="H3846">
        <v>101006187</v>
      </c>
      <c r="I3846">
        <v>101006221</v>
      </c>
    </row>
    <row r="3847" spans="1:9" x14ac:dyDescent="0.2">
      <c r="A3847" s="1" t="str">
        <f>"COL27A1"</f>
        <v>COL27A1</v>
      </c>
      <c r="B3847" t="s">
        <v>14</v>
      </c>
      <c r="C3847" t="s">
        <v>24</v>
      </c>
      <c r="D3847" t="s">
        <v>17</v>
      </c>
      <c r="E3847" t="s">
        <v>12</v>
      </c>
      <c r="F3847">
        <v>116917807</v>
      </c>
      <c r="G3847">
        <v>116917831</v>
      </c>
      <c r="H3847">
        <v>116917765</v>
      </c>
      <c r="I3847">
        <v>116917795</v>
      </c>
    </row>
    <row r="3848" spans="1:9" x14ac:dyDescent="0.2">
      <c r="A3848" s="1" t="str">
        <f>"COL28A1"</f>
        <v>COL28A1</v>
      </c>
      <c r="B3848" t="s">
        <v>14</v>
      </c>
      <c r="C3848" t="s">
        <v>33</v>
      </c>
      <c r="D3848" t="s">
        <v>11</v>
      </c>
      <c r="E3848" t="s">
        <v>12</v>
      </c>
      <c r="F3848">
        <v>7575494</v>
      </c>
      <c r="G3848">
        <v>7575509</v>
      </c>
      <c r="H3848">
        <v>7575477</v>
      </c>
      <c r="I3848">
        <v>7575491</v>
      </c>
    </row>
    <row r="3849" spans="1:9" x14ac:dyDescent="0.2">
      <c r="A3849" s="1" t="str">
        <f>"COL2A1"</f>
        <v>COL2A1</v>
      </c>
      <c r="B3849" t="s">
        <v>14</v>
      </c>
      <c r="C3849" t="s">
        <v>16</v>
      </c>
      <c r="D3849" t="s">
        <v>11</v>
      </c>
      <c r="E3849" t="s">
        <v>12</v>
      </c>
      <c r="F3849">
        <v>48398250</v>
      </c>
      <c r="G3849">
        <v>48398267</v>
      </c>
      <c r="H3849">
        <v>48398282</v>
      </c>
      <c r="I3849">
        <v>48398296</v>
      </c>
    </row>
    <row r="3850" spans="1:9" x14ac:dyDescent="0.2">
      <c r="A3850" s="1" t="str">
        <f>"COL3A1"</f>
        <v>COL3A1</v>
      </c>
      <c r="B3850" t="s">
        <v>14</v>
      </c>
      <c r="C3850" t="s">
        <v>26</v>
      </c>
      <c r="D3850" t="s">
        <v>17</v>
      </c>
      <c r="E3850" t="s">
        <v>12</v>
      </c>
      <c r="F3850">
        <v>189839090</v>
      </c>
      <c r="G3850">
        <v>189839105</v>
      </c>
      <c r="H3850">
        <v>189839090</v>
      </c>
      <c r="I3850">
        <v>189839105</v>
      </c>
    </row>
    <row r="3851" spans="1:9" x14ac:dyDescent="0.2">
      <c r="A3851" s="1" t="str">
        <f>"COL4A1"</f>
        <v>COL4A1</v>
      </c>
      <c r="B3851" t="s">
        <v>14</v>
      </c>
      <c r="C3851" t="s">
        <v>39</v>
      </c>
      <c r="D3851" t="s">
        <v>11</v>
      </c>
      <c r="E3851" t="s">
        <v>12</v>
      </c>
      <c r="F3851">
        <v>110959496</v>
      </c>
      <c r="G3851">
        <v>110959511</v>
      </c>
      <c r="H3851">
        <v>110959496</v>
      </c>
      <c r="I3851">
        <v>110959511</v>
      </c>
    </row>
    <row r="3852" spans="1:9" x14ac:dyDescent="0.2">
      <c r="A3852" s="1" t="str">
        <f>"COL4A2"</f>
        <v>COL4A2</v>
      </c>
      <c r="B3852" t="s">
        <v>14</v>
      </c>
      <c r="C3852" t="s">
        <v>39</v>
      </c>
      <c r="D3852" t="s">
        <v>17</v>
      </c>
      <c r="E3852" t="s">
        <v>12</v>
      </c>
      <c r="F3852">
        <v>110959623</v>
      </c>
      <c r="G3852">
        <v>110959640</v>
      </c>
      <c r="H3852">
        <v>110959598</v>
      </c>
      <c r="I3852">
        <v>110959611</v>
      </c>
    </row>
    <row r="3853" spans="1:9" x14ac:dyDescent="0.2">
      <c r="A3853" s="1" t="str">
        <f>"COL4A3"</f>
        <v>COL4A3</v>
      </c>
      <c r="B3853" t="s">
        <v>14</v>
      </c>
      <c r="C3853" t="s">
        <v>26</v>
      </c>
      <c r="D3853" t="s">
        <v>17</v>
      </c>
      <c r="E3853" t="s">
        <v>12</v>
      </c>
      <c r="F3853">
        <v>228029332</v>
      </c>
      <c r="G3853">
        <v>228029347</v>
      </c>
      <c r="H3853">
        <v>228029332</v>
      </c>
      <c r="I3853">
        <v>228029347</v>
      </c>
    </row>
    <row r="3854" spans="1:9" x14ac:dyDescent="0.2">
      <c r="A3854" s="1" t="str">
        <f>"COL4A3BP"</f>
        <v>COL4A3BP</v>
      </c>
      <c r="B3854" t="s">
        <v>14</v>
      </c>
      <c r="C3854" t="s">
        <v>46</v>
      </c>
      <c r="D3854" t="s">
        <v>11</v>
      </c>
      <c r="E3854" t="s">
        <v>12</v>
      </c>
      <c r="F3854">
        <v>74807418</v>
      </c>
      <c r="G3854">
        <v>74807466</v>
      </c>
      <c r="H3854">
        <v>74807418</v>
      </c>
      <c r="I3854">
        <v>74807466</v>
      </c>
    </row>
    <row r="3855" spans="1:9" x14ac:dyDescent="0.2">
      <c r="A3855" s="1" t="str">
        <f>"COL4A4"</f>
        <v>COL4A4</v>
      </c>
      <c r="B3855" t="s">
        <v>14</v>
      </c>
      <c r="C3855" t="s">
        <v>26</v>
      </c>
      <c r="D3855" t="s">
        <v>11</v>
      </c>
      <c r="E3855" t="s">
        <v>12</v>
      </c>
      <c r="F3855">
        <v>228028911</v>
      </c>
      <c r="G3855">
        <v>228028932</v>
      </c>
      <c r="H3855">
        <v>228028941</v>
      </c>
      <c r="I3855">
        <v>228028957</v>
      </c>
    </row>
    <row r="3856" spans="1:9" x14ac:dyDescent="0.2">
      <c r="A3856" s="1" t="str">
        <f>"COL4A5"</f>
        <v>COL4A5</v>
      </c>
      <c r="B3856" t="s">
        <v>14</v>
      </c>
      <c r="C3856" t="s">
        <v>37</v>
      </c>
      <c r="D3856" t="s">
        <v>17</v>
      </c>
      <c r="E3856" t="s">
        <v>12</v>
      </c>
      <c r="F3856">
        <v>107683009</v>
      </c>
      <c r="G3856">
        <v>107683088</v>
      </c>
      <c r="H3856">
        <v>107683009</v>
      </c>
      <c r="I3856">
        <v>107683088</v>
      </c>
    </row>
    <row r="3857" spans="1:9" x14ac:dyDescent="0.2">
      <c r="A3857" s="1" t="str">
        <f>"COL4A6"</f>
        <v>COL4A6</v>
      </c>
      <c r="B3857" t="s">
        <v>9</v>
      </c>
      <c r="C3857" t="s">
        <v>37</v>
      </c>
      <c r="D3857" t="s">
        <v>11</v>
      </c>
      <c r="E3857" t="s">
        <v>12</v>
      </c>
      <c r="F3857">
        <v>107681633</v>
      </c>
      <c r="G3857">
        <v>107681692</v>
      </c>
      <c r="H3857">
        <v>107681633</v>
      </c>
      <c r="I3857">
        <v>107681692</v>
      </c>
    </row>
    <row r="3858" spans="1:9" x14ac:dyDescent="0.2">
      <c r="A3858" s="1" t="str">
        <f>"COL4A6"</f>
        <v>COL4A6</v>
      </c>
      <c r="B3858" t="s">
        <v>13</v>
      </c>
      <c r="C3858" t="s">
        <v>37</v>
      </c>
      <c r="D3858" t="s">
        <v>11</v>
      </c>
      <c r="E3858" t="s">
        <v>12</v>
      </c>
      <c r="F3858">
        <v>107682673</v>
      </c>
      <c r="G3858">
        <v>107682697</v>
      </c>
      <c r="H3858">
        <v>107682673</v>
      </c>
      <c r="I3858">
        <v>107682697</v>
      </c>
    </row>
    <row r="3859" spans="1:9" x14ac:dyDescent="0.2">
      <c r="A3859" s="1" t="str">
        <f>"COL5A1"</f>
        <v>COL5A1</v>
      </c>
      <c r="B3859" t="s">
        <v>14</v>
      </c>
      <c r="C3859" t="s">
        <v>24</v>
      </c>
      <c r="D3859" t="s">
        <v>17</v>
      </c>
      <c r="E3859" t="s">
        <v>12</v>
      </c>
      <c r="F3859">
        <v>137533615</v>
      </c>
      <c r="G3859">
        <v>137533660</v>
      </c>
      <c r="H3859">
        <v>137533678</v>
      </c>
      <c r="I3859">
        <v>137533693</v>
      </c>
    </row>
    <row r="3860" spans="1:9" x14ac:dyDescent="0.2">
      <c r="A3860" s="1" t="str">
        <f>"COL5A2"</f>
        <v>COL5A2</v>
      </c>
      <c r="B3860" t="s">
        <v>14</v>
      </c>
      <c r="C3860" t="s">
        <v>26</v>
      </c>
      <c r="D3860" t="s">
        <v>11</v>
      </c>
      <c r="E3860" t="s">
        <v>12</v>
      </c>
      <c r="F3860">
        <v>190044480</v>
      </c>
      <c r="G3860">
        <v>190044494</v>
      </c>
      <c r="H3860">
        <v>190044480</v>
      </c>
      <c r="I3860">
        <v>190044494</v>
      </c>
    </row>
    <row r="3861" spans="1:9" x14ac:dyDescent="0.2">
      <c r="A3861" s="1" t="str">
        <f>"COL5A3"</f>
        <v>COL5A3</v>
      </c>
      <c r="B3861" t="s">
        <v>14</v>
      </c>
      <c r="C3861" t="s">
        <v>10</v>
      </c>
      <c r="D3861" t="s">
        <v>11</v>
      </c>
      <c r="E3861" t="s">
        <v>12</v>
      </c>
      <c r="F3861">
        <v>10121168</v>
      </c>
      <c r="G3861">
        <v>10121187</v>
      </c>
      <c r="H3861">
        <v>10121144</v>
      </c>
      <c r="I3861">
        <v>10121155</v>
      </c>
    </row>
    <row r="3862" spans="1:9" x14ac:dyDescent="0.2">
      <c r="A3862" s="1" t="str">
        <f>"COL6A1"</f>
        <v>COL6A1</v>
      </c>
      <c r="B3862" t="s">
        <v>14</v>
      </c>
      <c r="C3862" t="s">
        <v>42</v>
      </c>
      <c r="D3862" t="s">
        <v>17</v>
      </c>
      <c r="E3862" t="s">
        <v>12</v>
      </c>
      <c r="F3862">
        <v>47401650</v>
      </c>
      <c r="G3862">
        <v>47401692</v>
      </c>
      <c r="H3862">
        <v>47401650</v>
      </c>
      <c r="I3862">
        <v>47401692</v>
      </c>
    </row>
    <row r="3863" spans="1:9" x14ac:dyDescent="0.2">
      <c r="A3863" s="1" t="str">
        <f>"COL6A2"</f>
        <v>COL6A2</v>
      </c>
      <c r="B3863" t="s">
        <v>14</v>
      </c>
      <c r="C3863" t="s">
        <v>42</v>
      </c>
      <c r="D3863" t="s">
        <v>17</v>
      </c>
      <c r="E3863" t="s">
        <v>12</v>
      </c>
      <c r="F3863">
        <v>47518016</v>
      </c>
      <c r="G3863">
        <v>47518071</v>
      </c>
      <c r="H3863">
        <v>47518637</v>
      </c>
      <c r="I3863">
        <v>47518688</v>
      </c>
    </row>
    <row r="3864" spans="1:9" x14ac:dyDescent="0.2">
      <c r="A3864" s="1" t="str">
        <f>"COL6A3"</f>
        <v>COL6A3</v>
      </c>
      <c r="B3864" t="s">
        <v>14</v>
      </c>
      <c r="C3864" t="s">
        <v>26</v>
      </c>
      <c r="D3864" t="s">
        <v>11</v>
      </c>
      <c r="E3864" t="s">
        <v>12</v>
      </c>
      <c r="F3864">
        <v>238322800</v>
      </c>
      <c r="G3864">
        <v>238322824</v>
      </c>
      <c r="H3864">
        <v>238322770</v>
      </c>
      <c r="I3864">
        <v>238322791</v>
      </c>
    </row>
    <row r="3865" spans="1:9" x14ac:dyDescent="0.2">
      <c r="A3865" s="1" t="str">
        <f>"COL6A5"</f>
        <v>COL6A5</v>
      </c>
      <c r="B3865" t="s">
        <v>14</v>
      </c>
      <c r="C3865" t="s">
        <v>22</v>
      </c>
      <c r="D3865" t="s">
        <v>17</v>
      </c>
      <c r="E3865" t="s">
        <v>12</v>
      </c>
      <c r="F3865">
        <v>130064510</v>
      </c>
      <c r="G3865">
        <v>130064521</v>
      </c>
      <c r="H3865">
        <v>130064510</v>
      </c>
      <c r="I3865">
        <v>130064521</v>
      </c>
    </row>
    <row r="3866" spans="1:9" x14ac:dyDescent="0.2">
      <c r="A3866" s="1" t="str">
        <f>"COL6A6"</f>
        <v>COL6A6</v>
      </c>
      <c r="B3866" t="s">
        <v>14</v>
      </c>
      <c r="C3866" t="s">
        <v>22</v>
      </c>
      <c r="D3866" t="s">
        <v>17</v>
      </c>
      <c r="E3866" t="s">
        <v>12</v>
      </c>
      <c r="F3866">
        <v>130300312</v>
      </c>
      <c r="G3866">
        <v>130300330</v>
      </c>
      <c r="H3866">
        <v>130300312</v>
      </c>
      <c r="I3866">
        <v>130300330</v>
      </c>
    </row>
    <row r="3867" spans="1:9" x14ac:dyDescent="0.2">
      <c r="A3867" s="1" t="str">
        <f>"COL7A1"</f>
        <v>COL7A1</v>
      </c>
      <c r="B3867" t="s">
        <v>14</v>
      </c>
      <c r="C3867" t="s">
        <v>22</v>
      </c>
      <c r="D3867" t="s">
        <v>11</v>
      </c>
      <c r="E3867" t="s">
        <v>12</v>
      </c>
      <c r="F3867">
        <v>48632723</v>
      </c>
      <c r="G3867">
        <v>48632770</v>
      </c>
      <c r="H3867">
        <v>48632784</v>
      </c>
      <c r="I3867">
        <v>48632795</v>
      </c>
    </row>
    <row r="3868" spans="1:9" x14ac:dyDescent="0.2">
      <c r="A3868" s="1" t="str">
        <f>"COL8A1"</f>
        <v>COL8A1</v>
      </c>
      <c r="B3868" t="s">
        <v>14</v>
      </c>
      <c r="C3868" t="s">
        <v>22</v>
      </c>
      <c r="D3868" t="s">
        <v>17</v>
      </c>
      <c r="E3868" t="s">
        <v>12</v>
      </c>
      <c r="F3868">
        <v>99357430</v>
      </c>
      <c r="G3868">
        <v>99357445</v>
      </c>
      <c r="H3868">
        <v>99357430</v>
      </c>
      <c r="I3868">
        <v>99357445</v>
      </c>
    </row>
    <row r="3869" spans="1:9" x14ac:dyDescent="0.2">
      <c r="A3869" s="1" t="str">
        <f>"COL8A2"</f>
        <v>COL8A2</v>
      </c>
      <c r="B3869" t="s">
        <v>14</v>
      </c>
      <c r="C3869" t="s">
        <v>19</v>
      </c>
      <c r="D3869" t="s">
        <v>11</v>
      </c>
      <c r="E3869" t="s">
        <v>12</v>
      </c>
      <c r="F3869">
        <v>36590804</v>
      </c>
      <c r="G3869">
        <v>36590835</v>
      </c>
      <c r="H3869">
        <v>36590788</v>
      </c>
      <c r="I3869">
        <v>36590803</v>
      </c>
    </row>
    <row r="3870" spans="1:9" x14ac:dyDescent="0.2">
      <c r="A3870" s="1" t="str">
        <f>"COL9A1"</f>
        <v>COL9A1</v>
      </c>
      <c r="B3870" t="s">
        <v>14</v>
      </c>
      <c r="C3870" t="s">
        <v>32</v>
      </c>
      <c r="D3870" t="s">
        <v>11</v>
      </c>
      <c r="E3870" t="s">
        <v>12</v>
      </c>
      <c r="F3870">
        <v>70992888</v>
      </c>
      <c r="G3870">
        <v>70992906</v>
      </c>
      <c r="H3870">
        <v>70992888</v>
      </c>
      <c r="I3870">
        <v>70992906</v>
      </c>
    </row>
    <row r="3871" spans="1:9" x14ac:dyDescent="0.2">
      <c r="A3871" s="1" t="str">
        <f>"COL9A2"</f>
        <v>COL9A2</v>
      </c>
      <c r="B3871" t="s">
        <v>9</v>
      </c>
      <c r="C3871" t="s">
        <v>19</v>
      </c>
      <c r="D3871" t="s">
        <v>11</v>
      </c>
      <c r="E3871" t="s">
        <v>12</v>
      </c>
      <c r="F3871">
        <v>40782938</v>
      </c>
      <c r="G3871">
        <v>40782974</v>
      </c>
      <c r="H3871">
        <v>40782938</v>
      </c>
      <c r="I3871">
        <v>40782974</v>
      </c>
    </row>
    <row r="3872" spans="1:9" x14ac:dyDescent="0.2">
      <c r="A3872" s="1" t="str">
        <f>"COL9A2"</f>
        <v>COL9A2</v>
      </c>
      <c r="B3872" t="s">
        <v>13</v>
      </c>
      <c r="C3872" t="s">
        <v>19</v>
      </c>
      <c r="D3872" t="s">
        <v>11</v>
      </c>
      <c r="E3872" t="s">
        <v>12</v>
      </c>
      <c r="F3872">
        <v>40781056</v>
      </c>
      <c r="G3872">
        <v>40781094</v>
      </c>
      <c r="H3872">
        <v>40781056</v>
      </c>
      <c r="I3872">
        <v>40781094</v>
      </c>
    </row>
    <row r="3873" spans="1:9" x14ac:dyDescent="0.2">
      <c r="A3873" s="1" t="str">
        <f>"COL9A3"</f>
        <v>COL9A3</v>
      </c>
      <c r="B3873" t="s">
        <v>14</v>
      </c>
      <c r="C3873" t="s">
        <v>29</v>
      </c>
      <c r="D3873" t="s">
        <v>17</v>
      </c>
      <c r="E3873" t="s">
        <v>12</v>
      </c>
      <c r="F3873">
        <v>61448376</v>
      </c>
      <c r="G3873">
        <v>61448418</v>
      </c>
      <c r="H3873">
        <v>61448777</v>
      </c>
      <c r="I3873">
        <v>61448829</v>
      </c>
    </row>
    <row r="3874" spans="1:9" x14ac:dyDescent="0.2">
      <c r="A3874" s="1" t="str">
        <f>"COLCA2"</f>
        <v>COLCA2</v>
      </c>
      <c r="B3874" t="s">
        <v>14</v>
      </c>
      <c r="C3874" t="s">
        <v>27</v>
      </c>
      <c r="D3874" t="s">
        <v>17</v>
      </c>
      <c r="E3874" t="s">
        <v>12</v>
      </c>
      <c r="F3874">
        <v>111170019</v>
      </c>
      <c r="G3874">
        <v>111170049</v>
      </c>
      <c r="H3874">
        <v>111169988</v>
      </c>
      <c r="I3874">
        <v>111170014</v>
      </c>
    </row>
    <row r="3875" spans="1:9" x14ac:dyDescent="0.2">
      <c r="A3875" s="1" t="str">
        <f>"COLEC10"</f>
        <v>COLEC10</v>
      </c>
      <c r="B3875" t="s">
        <v>14</v>
      </c>
      <c r="C3875" t="s">
        <v>30</v>
      </c>
      <c r="D3875" t="s">
        <v>17</v>
      </c>
      <c r="E3875" t="s">
        <v>12</v>
      </c>
      <c r="F3875">
        <v>120079478</v>
      </c>
      <c r="G3875">
        <v>120079499</v>
      </c>
      <c r="H3875">
        <v>120079417</v>
      </c>
      <c r="I3875">
        <v>120079436</v>
      </c>
    </row>
    <row r="3876" spans="1:9" x14ac:dyDescent="0.2">
      <c r="A3876" s="1" t="str">
        <f>"COLEC11"</f>
        <v>COLEC11</v>
      </c>
      <c r="B3876" t="s">
        <v>9</v>
      </c>
      <c r="C3876" t="s">
        <v>26</v>
      </c>
      <c r="D3876" t="s">
        <v>17</v>
      </c>
      <c r="E3876" t="s">
        <v>12</v>
      </c>
      <c r="F3876">
        <v>3642694</v>
      </c>
      <c r="G3876">
        <v>3642708</v>
      </c>
      <c r="H3876">
        <v>3642694</v>
      </c>
      <c r="I3876">
        <v>3642708</v>
      </c>
    </row>
    <row r="3877" spans="1:9" x14ac:dyDescent="0.2">
      <c r="A3877" s="1" t="str">
        <f>"COLEC11"</f>
        <v>COLEC11</v>
      </c>
      <c r="B3877" t="s">
        <v>13</v>
      </c>
      <c r="C3877" t="s">
        <v>26</v>
      </c>
      <c r="D3877" t="s">
        <v>17</v>
      </c>
      <c r="E3877" t="s">
        <v>12</v>
      </c>
      <c r="F3877">
        <v>3653236</v>
      </c>
      <c r="G3877">
        <v>3653253</v>
      </c>
      <c r="H3877">
        <v>3653236</v>
      </c>
      <c r="I3877">
        <v>3653253</v>
      </c>
    </row>
    <row r="3878" spans="1:9" x14ac:dyDescent="0.2">
      <c r="A3878" s="1" t="str">
        <f>"COLEC12"</f>
        <v>COLEC12</v>
      </c>
      <c r="B3878" t="s">
        <v>14</v>
      </c>
      <c r="C3878" t="s">
        <v>43</v>
      </c>
      <c r="D3878" t="s">
        <v>11</v>
      </c>
      <c r="E3878" t="s">
        <v>12</v>
      </c>
      <c r="F3878">
        <v>500692</v>
      </c>
      <c r="G3878">
        <v>500748</v>
      </c>
      <c r="H3878">
        <v>500634</v>
      </c>
      <c r="I3878">
        <v>500641</v>
      </c>
    </row>
    <row r="3879" spans="1:9" x14ac:dyDescent="0.2">
      <c r="A3879" s="1" t="str">
        <f>"COLGALT1"</f>
        <v>COLGALT1</v>
      </c>
      <c r="B3879" t="s">
        <v>14</v>
      </c>
      <c r="C3879" t="s">
        <v>10</v>
      </c>
      <c r="D3879" t="s">
        <v>17</v>
      </c>
      <c r="E3879" t="s">
        <v>12</v>
      </c>
      <c r="F3879">
        <v>17666424</v>
      </c>
      <c r="G3879">
        <v>17666525</v>
      </c>
      <c r="H3879">
        <v>17666424</v>
      </c>
      <c r="I3879">
        <v>17666525</v>
      </c>
    </row>
    <row r="3880" spans="1:9" x14ac:dyDescent="0.2">
      <c r="A3880" s="1" t="str">
        <f>"COLGALT2"</f>
        <v>COLGALT2</v>
      </c>
      <c r="B3880" t="s">
        <v>14</v>
      </c>
      <c r="C3880" t="s">
        <v>19</v>
      </c>
      <c r="D3880" t="s">
        <v>11</v>
      </c>
      <c r="E3880" t="s">
        <v>12</v>
      </c>
      <c r="F3880">
        <v>184006829</v>
      </c>
      <c r="G3880">
        <v>184006911</v>
      </c>
      <c r="H3880">
        <v>184006627</v>
      </c>
      <c r="I3880">
        <v>184006641</v>
      </c>
    </row>
    <row r="3881" spans="1:9" x14ac:dyDescent="0.2">
      <c r="A3881" s="1" t="str">
        <f>"COLQ"</f>
        <v>COLQ</v>
      </c>
      <c r="B3881" t="s">
        <v>14</v>
      </c>
      <c r="C3881" t="s">
        <v>22</v>
      </c>
      <c r="D3881" t="s">
        <v>11</v>
      </c>
      <c r="E3881" t="s">
        <v>12</v>
      </c>
      <c r="F3881">
        <v>15563182</v>
      </c>
      <c r="G3881">
        <v>15563227</v>
      </c>
      <c r="H3881">
        <v>15563155</v>
      </c>
      <c r="I3881">
        <v>15563181</v>
      </c>
    </row>
    <row r="3882" spans="1:9" x14ac:dyDescent="0.2">
      <c r="A3882" s="1" t="str">
        <f>"COMMD1"</f>
        <v>COMMD1</v>
      </c>
      <c r="B3882" t="s">
        <v>14</v>
      </c>
      <c r="C3882" t="s">
        <v>26</v>
      </c>
      <c r="D3882" t="s">
        <v>17</v>
      </c>
      <c r="E3882" t="s">
        <v>12</v>
      </c>
      <c r="F3882">
        <v>62132800</v>
      </c>
      <c r="G3882">
        <v>62132816</v>
      </c>
      <c r="H3882">
        <v>62132781</v>
      </c>
      <c r="I3882">
        <v>62132793</v>
      </c>
    </row>
    <row r="3883" spans="1:9" x14ac:dyDescent="0.2">
      <c r="A3883" s="1" t="str">
        <f>"COMMD10"</f>
        <v>COMMD10</v>
      </c>
      <c r="B3883" t="s">
        <v>14</v>
      </c>
      <c r="C3883" t="s">
        <v>46</v>
      </c>
      <c r="D3883" t="s">
        <v>17</v>
      </c>
      <c r="E3883" t="s">
        <v>12</v>
      </c>
      <c r="F3883">
        <v>115420690</v>
      </c>
      <c r="G3883">
        <v>115420751</v>
      </c>
      <c r="H3883">
        <v>115420667</v>
      </c>
      <c r="I3883">
        <v>115420674</v>
      </c>
    </row>
    <row r="3884" spans="1:9" x14ac:dyDescent="0.2">
      <c r="A3884" s="1" t="str">
        <f>"COMMD2"</f>
        <v>COMMD2</v>
      </c>
      <c r="B3884" t="s">
        <v>14</v>
      </c>
      <c r="C3884" t="s">
        <v>22</v>
      </c>
      <c r="D3884" t="s">
        <v>11</v>
      </c>
      <c r="E3884" t="s">
        <v>12</v>
      </c>
      <c r="F3884">
        <v>149470229</v>
      </c>
      <c r="G3884">
        <v>149470290</v>
      </c>
      <c r="H3884">
        <v>149470293</v>
      </c>
      <c r="I3884">
        <v>149470304</v>
      </c>
    </row>
    <row r="3885" spans="1:9" x14ac:dyDescent="0.2">
      <c r="A3885" s="1" t="str">
        <f>"COMMD3"</f>
        <v>COMMD3</v>
      </c>
      <c r="B3885" t="s">
        <v>14</v>
      </c>
      <c r="C3885" t="s">
        <v>15</v>
      </c>
      <c r="D3885" t="s">
        <v>17</v>
      </c>
      <c r="E3885" t="s">
        <v>12</v>
      </c>
      <c r="F3885">
        <v>22605304</v>
      </c>
      <c r="G3885">
        <v>22605372</v>
      </c>
      <c r="H3885">
        <v>22605374</v>
      </c>
      <c r="I3885">
        <v>22605387</v>
      </c>
    </row>
    <row r="3886" spans="1:9" x14ac:dyDescent="0.2">
      <c r="A3886" s="1" t="str">
        <f>"COMMD3-BMI1"</f>
        <v>COMMD3-BMI1</v>
      </c>
      <c r="B3886" t="s">
        <v>14</v>
      </c>
      <c r="C3886" t="s">
        <v>15</v>
      </c>
      <c r="D3886" t="s">
        <v>17</v>
      </c>
      <c r="E3886" t="s">
        <v>67</v>
      </c>
      <c r="F3886">
        <v>22605304</v>
      </c>
      <c r="G3886">
        <v>22605372</v>
      </c>
      <c r="H3886">
        <v>22605374</v>
      </c>
      <c r="I3886">
        <v>22605387</v>
      </c>
    </row>
    <row r="3887" spans="1:9" x14ac:dyDescent="0.2">
      <c r="A3887" s="1" t="str">
        <f>"COMMD4"</f>
        <v>COMMD4</v>
      </c>
      <c r="B3887" t="s">
        <v>14</v>
      </c>
      <c r="C3887" t="s">
        <v>25</v>
      </c>
      <c r="D3887" t="s">
        <v>17</v>
      </c>
      <c r="E3887" t="s">
        <v>12</v>
      </c>
      <c r="F3887">
        <v>75628395</v>
      </c>
      <c r="G3887">
        <v>75628414</v>
      </c>
      <c r="H3887">
        <v>75628370</v>
      </c>
      <c r="I3887">
        <v>75628382</v>
      </c>
    </row>
    <row r="3888" spans="1:9" x14ac:dyDescent="0.2">
      <c r="A3888" s="1" t="str">
        <f>"COMMD5"</f>
        <v>COMMD5</v>
      </c>
      <c r="B3888" t="s">
        <v>254</v>
      </c>
      <c r="C3888" t="s">
        <v>30</v>
      </c>
      <c r="D3888" t="s">
        <v>11</v>
      </c>
      <c r="E3888" t="s">
        <v>35</v>
      </c>
      <c r="F3888">
        <v>146078927</v>
      </c>
      <c r="G3888">
        <v>146078951</v>
      </c>
      <c r="H3888">
        <v>146078927</v>
      </c>
      <c r="I3888">
        <v>146078951</v>
      </c>
    </row>
    <row r="3889" spans="1:9" x14ac:dyDescent="0.2">
      <c r="A3889" s="1" t="str">
        <f>"COMMD6"</f>
        <v>COMMD6</v>
      </c>
      <c r="B3889" t="s">
        <v>9</v>
      </c>
      <c r="C3889" t="s">
        <v>39</v>
      </c>
      <c r="D3889" t="s">
        <v>11</v>
      </c>
      <c r="E3889" t="s">
        <v>12</v>
      </c>
      <c r="F3889">
        <v>76111945</v>
      </c>
      <c r="G3889">
        <v>76111991</v>
      </c>
      <c r="H3889">
        <v>76111945</v>
      </c>
      <c r="I3889">
        <v>76111991</v>
      </c>
    </row>
    <row r="3890" spans="1:9" x14ac:dyDescent="0.2">
      <c r="A3890" s="1" t="str">
        <f>"COMMD6"</f>
        <v>COMMD6</v>
      </c>
      <c r="B3890" t="s">
        <v>13</v>
      </c>
      <c r="C3890" t="s">
        <v>39</v>
      </c>
      <c r="D3890" t="s">
        <v>11</v>
      </c>
      <c r="E3890" t="s">
        <v>12</v>
      </c>
      <c r="F3890">
        <v>76123558</v>
      </c>
      <c r="G3890">
        <v>76123583</v>
      </c>
      <c r="H3890">
        <v>76123558</v>
      </c>
      <c r="I3890">
        <v>76123583</v>
      </c>
    </row>
    <row r="3891" spans="1:9" x14ac:dyDescent="0.2">
      <c r="A3891" s="1" t="str">
        <f>"COMMD7"</f>
        <v>COMMD7</v>
      </c>
      <c r="B3891" t="s">
        <v>14</v>
      </c>
      <c r="C3891" t="s">
        <v>29</v>
      </c>
      <c r="D3891" t="s">
        <v>11</v>
      </c>
      <c r="E3891" t="s">
        <v>12</v>
      </c>
      <c r="F3891">
        <v>31331230</v>
      </c>
      <c r="G3891">
        <v>31331314</v>
      </c>
      <c r="H3891">
        <v>31331359</v>
      </c>
      <c r="I3891">
        <v>31331433</v>
      </c>
    </row>
    <row r="3892" spans="1:9" x14ac:dyDescent="0.2">
      <c r="A3892" s="1" t="str">
        <f>"COMMD8"</f>
        <v>COMMD8</v>
      </c>
      <c r="B3892" t="s">
        <v>14</v>
      </c>
      <c r="C3892" t="s">
        <v>23</v>
      </c>
      <c r="D3892" t="s">
        <v>11</v>
      </c>
      <c r="E3892" t="s">
        <v>12</v>
      </c>
      <c r="F3892">
        <v>47465666</v>
      </c>
      <c r="G3892">
        <v>47465726</v>
      </c>
      <c r="H3892">
        <v>47465645</v>
      </c>
      <c r="I3892">
        <v>47465656</v>
      </c>
    </row>
    <row r="3893" spans="1:9" x14ac:dyDescent="0.2">
      <c r="A3893" s="1" t="str">
        <f>"COMMD9"</f>
        <v>COMMD9</v>
      </c>
      <c r="B3893" t="s">
        <v>14</v>
      </c>
      <c r="C3893" t="s">
        <v>27</v>
      </c>
      <c r="D3893" t="s">
        <v>11</v>
      </c>
      <c r="E3893" t="s">
        <v>12</v>
      </c>
      <c r="F3893">
        <v>36310958</v>
      </c>
      <c r="G3893">
        <v>36310984</v>
      </c>
      <c r="H3893">
        <v>36310958</v>
      </c>
      <c r="I3893">
        <v>36310984</v>
      </c>
    </row>
    <row r="3894" spans="1:9" x14ac:dyDescent="0.2">
      <c r="A3894" s="1" t="str">
        <f>"COMP"</f>
        <v>COMP</v>
      </c>
      <c r="B3894" t="s">
        <v>14</v>
      </c>
      <c r="C3894" t="s">
        <v>10</v>
      </c>
      <c r="D3894" t="s">
        <v>11</v>
      </c>
      <c r="E3894" t="s">
        <v>12</v>
      </c>
      <c r="F3894">
        <v>18902106</v>
      </c>
      <c r="G3894">
        <v>18902122</v>
      </c>
      <c r="H3894">
        <v>18902106</v>
      </c>
      <c r="I3894">
        <v>18902122</v>
      </c>
    </row>
    <row r="3895" spans="1:9" x14ac:dyDescent="0.2">
      <c r="A3895" s="1" t="str">
        <f>"COMT"</f>
        <v>COMT</v>
      </c>
      <c r="B3895" t="s">
        <v>14</v>
      </c>
      <c r="C3895" t="s">
        <v>21</v>
      </c>
      <c r="D3895" t="s">
        <v>17</v>
      </c>
      <c r="E3895" t="s">
        <v>12</v>
      </c>
      <c r="F3895">
        <v>19929284</v>
      </c>
      <c r="G3895">
        <v>19929333</v>
      </c>
      <c r="H3895">
        <v>19929386</v>
      </c>
      <c r="I3895">
        <v>19929400</v>
      </c>
    </row>
    <row r="3896" spans="1:9" x14ac:dyDescent="0.2">
      <c r="A3896" s="1" t="str">
        <f>"COMTD1"</f>
        <v>COMTD1</v>
      </c>
      <c r="B3896" t="s">
        <v>14</v>
      </c>
      <c r="C3896" t="s">
        <v>15</v>
      </c>
      <c r="D3896" t="s">
        <v>11</v>
      </c>
      <c r="E3896" t="s">
        <v>12</v>
      </c>
      <c r="F3896">
        <v>76995689</v>
      </c>
      <c r="G3896">
        <v>76995737</v>
      </c>
      <c r="H3896">
        <v>76995134</v>
      </c>
      <c r="I3896">
        <v>76995224</v>
      </c>
    </row>
    <row r="3897" spans="1:9" x14ac:dyDescent="0.2">
      <c r="A3897" s="1" t="str">
        <f>"COPA"</f>
        <v>COPA</v>
      </c>
      <c r="B3897" t="s">
        <v>14</v>
      </c>
      <c r="C3897" t="s">
        <v>19</v>
      </c>
      <c r="D3897" t="s">
        <v>11</v>
      </c>
      <c r="E3897" t="s">
        <v>12</v>
      </c>
      <c r="F3897">
        <v>160313025</v>
      </c>
      <c r="G3897">
        <v>160313072</v>
      </c>
      <c r="H3897">
        <v>160312998</v>
      </c>
      <c r="I3897">
        <v>160313024</v>
      </c>
    </row>
    <row r="3898" spans="1:9" x14ac:dyDescent="0.2">
      <c r="A3898" s="1" t="str">
        <f>"COPB1"</f>
        <v>COPB1</v>
      </c>
      <c r="B3898" t="s">
        <v>14</v>
      </c>
      <c r="C3898" t="s">
        <v>27</v>
      </c>
      <c r="D3898" t="s">
        <v>11</v>
      </c>
      <c r="E3898" t="s">
        <v>12</v>
      </c>
      <c r="F3898">
        <v>14521379</v>
      </c>
      <c r="G3898">
        <v>14521418</v>
      </c>
      <c r="H3898">
        <v>14521349</v>
      </c>
      <c r="I3898">
        <v>14521365</v>
      </c>
    </row>
    <row r="3899" spans="1:9" x14ac:dyDescent="0.2">
      <c r="A3899" s="1" t="str">
        <f>"COPB2"</f>
        <v>COPB2</v>
      </c>
      <c r="B3899" t="s">
        <v>14</v>
      </c>
      <c r="C3899" t="s">
        <v>22</v>
      </c>
      <c r="D3899" t="s">
        <v>11</v>
      </c>
      <c r="E3899" t="s">
        <v>12</v>
      </c>
      <c r="F3899">
        <v>139108475</v>
      </c>
      <c r="G3899">
        <v>139108518</v>
      </c>
      <c r="H3899">
        <v>139108463</v>
      </c>
      <c r="I3899">
        <v>139108474</v>
      </c>
    </row>
    <row r="3900" spans="1:9" x14ac:dyDescent="0.2">
      <c r="A3900" s="1" t="str">
        <f>"COPE"</f>
        <v>COPE</v>
      </c>
      <c r="B3900" t="s">
        <v>14</v>
      </c>
      <c r="C3900" t="s">
        <v>10</v>
      </c>
      <c r="D3900" t="s">
        <v>11</v>
      </c>
      <c r="E3900" t="s">
        <v>12</v>
      </c>
      <c r="F3900">
        <v>19030157</v>
      </c>
      <c r="G3900">
        <v>19030210</v>
      </c>
      <c r="H3900">
        <v>19030157</v>
      </c>
      <c r="I3900">
        <v>19030210</v>
      </c>
    </row>
    <row r="3901" spans="1:9" x14ac:dyDescent="0.2">
      <c r="A3901" s="1" t="str">
        <f>"COPG1"</f>
        <v>COPG1</v>
      </c>
      <c r="B3901" t="s">
        <v>9</v>
      </c>
      <c r="C3901" t="s">
        <v>22</v>
      </c>
      <c r="D3901" t="s">
        <v>17</v>
      </c>
      <c r="E3901" t="s">
        <v>12</v>
      </c>
      <c r="F3901">
        <v>128968437</v>
      </c>
      <c r="G3901">
        <v>128968505</v>
      </c>
      <c r="H3901">
        <v>128968437</v>
      </c>
      <c r="I3901">
        <v>128968505</v>
      </c>
    </row>
    <row r="3902" spans="1:9" x14ac:dyDescent="0.2">
      <c r="A3902" s="1" t="str">
        <f>"COPG1"</f>
        <v>COPG1</v>
      </c>
      <c r="B3902" t="s">
        <v>13</v>
      </c>
      <c r="C3902" t="s">
        <v>22</v>
      </c>
      <c r="D3902" t="s">
        <v>17</v>
      </c>
      <c r="E3902" t="s">
        <v>12</v>
      </c>
      <c r="F3902">
        <v>128984551</v>
      </c>
      <c r="G3902">
        <v>128984566</v>
      </c>
      <c r="H3902">
        <v>128984551</v>
      </c>
      <c r="I3902">
        <v>128984566</v>
      </c>
    </row>
    <row r="3903" spans="1:9" x14ac:dyDescent="0.2">
      <c r="A3903" s="1" t="str">
        <f>"COPG2"</f>
        <v>COPG2</v>
      </c>
      <c r="B3903" t="s">
        <v>14</v>
      </c>
      <c r="C3903" t="s">
        <v>33</v>
      </c>
      <c r="D3903" t="s">
        <v>11</v>
      </c>
      <c r="E3903" t="s">
        <v>12</v>
      </c>
      <c r="F3903">
        <v>130353553</v>
      </c>
      <c r="G3903">
        <v>130353595</v>
      </c>
      <c r="H3903">
        <v>130353553</v>
      </c>
      <c r="I3903">
        <v>130353595</v>
      </c>
    </row>
    <row r="3904" spans="1:9" x14ac:dyDescent="0.2">
      <c r="A3904" s="1" t="str">
        <f>"COPRS"</f>
        <v>COPRS</v>
      </c>
      <c r="B3904" t="s">
        <v>14</v>
      </c>
      <c r="C3904" t="s">
        <v>28</v>
      </c>
      <c r="D3904" t="s">
        <v>11</v>
      </c>
      <c r="E3904" t="s">
        <v>12</v>
      </c>
      <c r="F3904">
        <v>30186226</v>
      </c>
      <c r="G3904">
        <v>30186274</v>
      </c>
      <c r="H3904">
        <v>30186278</v>
      </c>
      <c r="I3904">
        <v>30186324</v>
      </c>
    </row>
    <row r="3905" spans="1:9" x14ac:dyDescent="0.2">
      <c r="A3905" s="1" t="str">
        <f>"COPS2"</f>
        <v>COPS2</v>
      </c>
      <c r="B3905" t="s">
        <v>14</v>
      </c>
      <c r="C3905" t="s">
        <v>25</v>
      </c>
      <c r="D3905" t="s">
        <v>11</v>
      </c>
      <c r="E3905" t="s">
        <v>12</v>
      </c>
      <c r="F3905">
        <v>49447771</v>
      </c>
      <c r="G3905">
        <v>49447822</v>
      </c>
      <c r="H3905">
        <v>49447835</v>
      </c>
      <c r="I3905">
        <v>49447845</v>
      </c>
    </row>
    <row r="3906" spans="1:9" x14ac:dyDescent="0.2">
      <c r="A3906" s="1" t="str">
        <f>"COPS3"</f>
        <v>COPS3</v>
      </c>
      <c r="B3906" t="s">
        <v>14</v>
      </c>
      <c r="C3906" t="s">
        <v>28</v>
      </c>
      <c r="D3906" t="s">
        <v>11</v>
      </c>
      <c r="E3906" t="s">
        <v>12</v>
      </c>
      <c r="F3906">
        <v>17184546</v>
      </c>
      <c r="G3906">
        <v>17184569</v>
      </c>
      <c r="H3906">
        <v>17184575</v>
      </c>
      <c r="I3906">
        <v>17184592</v>
      </c>
    </row>
    <row r="3907" spans="1:9" x14ac:dyDescent="0.2">
      <c r="A3907" s="1" t="str">
        <f>"COPS4"</f>
        <v>COPS4</v>
      </c>
      <c r="B3907" t="s">
        <v>14</v>
      </c>
      <c r="C3907" t="s">
        <v>23</v>
      </c>
      <c r="D3907" t="s">
        <v>17</v>
      </c>
      <c r="E3907" t="s">
        <v>12</v>
      </c>
      <c r="F3907">
        <v>83956312</v>
      </c>
      <c r="G3907">
        <v>83956376</v>
      </c>
      <c r="H3907">
        <v>83956260</v>
      </c>
      <c r="I3907">
        <v>83956278</v>
      </c>
    </row>
    <row r="3908" spans="1:9" x14ac:dyDescent="0.2">
      <c r="A3908" s="1" t="str">
        <f>"COPS5"</f>
        <v>COPS5</v>
      </c>
      <c r="B3908" t="s">
        <v>14</v>
      </c>
      <c r="C3908" t="s">
        <v>30</v>
      </c>
      <c r="D3908" t="s">
        <v>11</v>
      </c>
      <c r="E3908" t="s">
        <v>12</v>
      </c>
      <c r="F3908">
        <v>67974355</v>
      </c>
      <c r="G3908">
        <v>67974391</v>
      </c>
      <c r="H3908">
        <v>67974541</v>
      </c>
      <c r="I3908">
        <v>67974599</v>
      </c>
    </row>
    <row r="3909" spans="1:9" x14ac:dyDescent="0.2">
      <c r="A3909" s="1" t="str">
        <f>"COPS6"</f>
        <v>COPS6</v>
      </c>
      <c r="B3909" t="s">
        <v>14</v>
      </c>
      <c r="C3909" t="s">
        <v>33</v>
      </c>
      <c r="D3909" t="s">
        <v>17</v>
      </c>
      <c r="E3909" t="s">
        <v>12</v>
      </c>
      <c r="F3909">
        <v>99686580</v>
      </c>
      <c r="G3909">
        <v>99686620</v>
      </c>
      <c r="H3909">
        <v>99686632</v>
      </c>
      <c r="I3909">
        <v>99686645</v>
      </c>
    </row>
    <row r="3910" spans="1:9" x14ac:dyDescent="0.2">
      <c r="A3910" s="1" t="str">
        <f>"COPS7A"</f>
        <v>COPS7A</v>
      </c>
      <c r="B3910" t="s">
        <v>14</v>
      </c>
      <c r="C3910" t="s">
        <v>16</v>
      </c>
      <c r="D3910" t="s">
        <v>17</v>
      </c>
      <c r="E3910" t="s">
        <v>12</v>
      </c>
      <c r="F3910">
        <v>6833260</v>
      </c>
      <c r="G3910">
        <v>6833322</v>
      </c>
      <c r="H3910">
        <v>6833174</v>
      </c>
      <c r="I3910">
        <v>6833222</v>
      </c>
    </row>
    <row r="3911" spans="1:9" x14ac:dyDescent="0.2">
      <c r="A3911" s="1" t="str">
        <f>"COPS7B"</f>
        <v>COPS7B</v>
      </c>
      <c r="B3911" t="s">
        <v>9</v>
      </c>
      <c r="C3911" t="s">
        <v>26</v>
      </c>
      <c r="D3911" t="s">
        <v>17</v>
      </c>
      <c r="E3911" t="s">
        <v>12</v>
      </c>
      <c r="F3911">
        <v>232651136</v>
      </c>
      <c r="G3911">
        <v>232651176</v>
      </c>
      <c r="H3911">
        <v>232651136</v>
      </c>
      <c r="I3911">
        <v>232651176</v>
      </c>
    </row>
    <row r="3912" spans="1:9" x14ac:dyDescent="0.2">
      <c r="A3912" s="1" t="str">
        <f>"COPS7B"</f>
        <v>COPS7B</v>
      </c>
      <c r="B3912" t="s">
        <v>13</v>
      </c>
      <c r="C3912" t="s">
        <v>26</v>
      </c>
      <c r="D3912" t="s">
        <v>17</v>
      </c>
      <c r="E3912" t="s">
        <v>12</v>
      </c>
      <c r="F3912">
        <v>232646428</v>
      </c>
      <c r="G3912">
        <v>232646456</v>
      </c>
      <c r="H3912">
        <v>232646428</v>
      </c>
      <c r="I3912">
        <v>232646456</v>
      </c>
    </row>
    <row r="3913" spans="1:9" x14ac:dyDescent="0.2">
      <c r="A3913" s="1" t="str">
        <f>"COPS8"</f>
        <v>COPS8</v>
      </c>
      <c r="B3913" t="s">
        <v>14</v>
      </c>
      <c r="C3913" t="s">
        <v>26</v>
      </c>
      <c r="D3913" t="s">
        <v>17</v>
      </c>
      <c r="E3913" t="s">
        <v>12</v>
      </c>
      <c r="F3913">
        <v>237994519</v>
      </c>
      <c r="G3913">
        <v>237994597</v>
      </c>
      <c r="H3913">
        <v>237993954</v>
      </c>
      <c r="I3913">
        <v>237993984</v>
      </c>
    </row>
    <row r="3914" spans="1:9" x14ac:dyDescent="0.2">
      <c r="A3914" s="1" t="str">
        <f>"COPZ1"</f>
        <v>COPZ1</v>
      </c>
      <c r="B3914" t="s">
        <v>9</v>
      </c>
      <c r="C3914" t="s">
        <v>16</v>
      </c>
      <c r="D3914" t="s">
        <v>17</v>
      </c>
      <c r="E3914" t="s">
        <v>12</v>
      </c>
      <c r="F3914">
        <v>54718904</v>
      </c>
      <c r="G3914">
        <v>54718936</v>
      </c>
      <c r="H3914">
        <v>54718904</v>
      </c>
      <c r="I3914">
        <v>54718936</v>
      </c>
    </row>
    <row r="3915" spans="1:9" x14ac:dyDescent="0.2">
      <c r="A3915" s="1" t="str">
        <f>"COPZ1"</f>
        <v>COPZ1</v>
      </c>
      <c r="B3915" t="s">
        <v>13</v>
      </c>
      <c r="C3915" t="s">
        <v>16</v>
      </c>
      <c r="D3915" t="s">
        <v>17</v>
      </c>
      <c r="E3915" t="s">
        <v>12</v>
      </c>
      <c r="F3915">
        <v>54694979</v>
      </c>
      <c r="G3915">
        <v>54694993</v>
      </c>
      <c r="H3915">
        <v>54694979</v>
      </c>
      <c r="I3915">
        <v>54694993</v>
      </c>
    </row>
    <row r="3916" spans="1:9" x14ac:dyDescent="0.2">
      <c r="A3916" s="1" t="str">
        <f>"COPZ2"</f>
        <v>COPZ2</v>
      </c>
      <c r="B3916" t="s">
        <v>14</v>
      </c>
      <c r="C3916" t="s">
        <v>28</v>
      </c>
      <c r="D3916" t="s">
        <v>11</v>
      </c>
      <c r="E3916" t="s">
        <v>12</v>
      </c>
      <c r="F3916">
        <v>46115122</v>
      </c>
      <c r="G3916">
        <v>46115173</v>
      </c>
      <c r="H3916">
        <v>46115174</v>
      </c>
      <c r="I3916">
        <v>46115183</v>
      </c>
    </row>
    <row r="3917" spans="1:9" x14ac:dyDescent="0.2">
      <c r="A3917" s="1" t="str">
        <f>"COQ10A"</f>
        <v>COQ10A</v>
      </c>
      <c r="B3917" t="s">
        <v>14</v>
      </c>
      <c r="C3917" t="s">
        <v>16</v>
      </c>
      <c r="D3917" t="s">
        <v>17</v>
      </c>
      <c r="E3917" t="s">
        <v>12</v>
      </c>
      <c r="F3917">
        <v>56660633</v>
      </c>
      <c r="G3917">
        <v>56660678</v>
      </c>
      <c r="H3917">
        <v>56660719</v>
      </c>
      <c r="I3917">
        <v>56660732</v>
      </c>
    </row>
    <row r="3918" spans="1:9" x14ac:dyDescent="0.2">
      <c r="A3918" s="1" t="str">
        <f>"COQ10B"</f>
        <v>COQ10B</v>
      </c>
      <c r="B3918" t="s">
        <v>14</v>
      </c>
      <c r="C3918" t="s">
        <v>26</v>
      </c>
      <c r="D3918" t="s">
        <v>17</v>
      </c>
      <c r="E3918" t="s">
        <v>12</v>
      </c>
      <c r="F3918">
        <v>198318223</v>
      </c>
      <c r="G3918">
        <v>198318283</v>
      </c>
      <c r="H3918">
        <v>198318199</v>
      </c>
      <c r="I3918">
        <v>198318210</v>
      </c>
    </row>
    <row r="3919" spans="1:9" x14ac:dyDescent="0.2">
      <c r="A3919" s="1" t="str">
        <f>"COQ2"</f>
        <v>COQ2</v>
      </c>
      <c r="B3919" t="s">
        <v>14</v>
      </c>
      <c r="C3919" t="s">
        <v>23</v>
      </c>
      <c r="D3919" t="s">
        <v>11</v>
      </c>
      <c r="E3919" t="s">
        <v>12</v>
      </c>
      <c r="F3919">
        <v>84205905</v>
      </c>
      <c r="G3919">
        <v>84205959</v>
      </c>
      <c r="H3919">
        <v>84205905</v>
      </c>
      <c r="I3919">
        <v>84205959</v>
      </c>
    </row>
    <row r="3920" spans="1:9" x14ac:dyDescent="0.2">
      <c r="A3920" s="1" t="str">
        <f>"COQ3"</f>
        <v>COQ3</v>
      </c>
      <c r="B3920" t="s">
        <v>14</v>
      </c>
      <c r="C3920" t="s">
        <v>32</v>
      </c>
      <c r="D3920" t="s">
        <v>11</v>
      </c>
      <c r="E3920" t="s">
        <v>12</v>
      </c>
      <c r="F3920">
        <v>99842041</v>
      </c>
      <c r="G3920">
        <v>99842087</v>
      </c>
      <c r="H3920">
        <v>99842041</v>
      </c>
      <c r="I3920">
        <v>99842087</v>
      </c>
    </row>
    <row r="3921" spans="1:9" x14ac:dyDescent="0.2">
      <c r="A3921" s="1" t="str">
        <f>"COQ4"</f>
        <v>COQ4</v>
      </c>
      <c r="B3921" t="s">
        <v>14</v>
      </c>
      <c r="C3921" t="s">
        <v>24</v>
      </c>
      <c r="D3921" t="s">
        <v>17</v>
      </c>
      <c r="E3921" t="s">
        <v>12</v>
      </c>
      <c r="F3921">
        <v>131085095</v>
      </c>
      <c r="G3921">
        <v>131085140</v>
      </c>
      <c r="H3921">
        <v>131084846</v>
      </c>
      <c r="I3921">
        <v>131084907</v>
      </c>
    </row>
    <row r="3922" spans="1:9" x14ac:dyDescent="0.2">
      <c r="A3922" s="1" t="str">
        <f>"COQ5"</f>
        <v>COQ5</v>
      </c>
      <c r="B3922" t="s">
        <v>14</v>
      </c>
      <c r="C3922" t="s">
        <v>16</v>
      </c>
      <c r="D3922" t="s">
        <v>11</v>
      </c>
      <c r="E3922" t="s">
        <v>12</v>
      </c>
      <c r="F3922">
        <v>120966947</v>
      </c>
      <c r="G3922">
        <v>120966977</v>
      </c>
      <c r="H3922">
        <v>120966947</v>
      </c>
      <c r="I3922">
        <v>120966977</v>
      </c>
    </row>
    <row r="3923" spans="1:9" x14ac:dyDescent="0.2">
      <c r="A3923" s="1" t="str">
        <f>"COQ6"</f>
        <v>COQ6</v>
      </c>
      <c r="B3923" t="s">
        <v>14</v>
      </c>
      <c r="C3923" t="s">
        <v>41</v>
      </c>
      <c r="D3923" t="s">
        <v>17</v>
      </c>
      <c r="E3923" t="s">
        <v>12</v>
      </c>
      <c r="F3923">
        <v>74416989</v>
      </c>
      <c r="G3923">
        <v>74417041</v>
      </c>
      <c r="H3923">
        <v>74416975</v>
      </c>
      <c r="I3923">
        <v>74416986</v>
      </c>
    </row>
    <row r="3924" spans="1:9" x14ac:dyDescent="0.2">
      <c r="A3924" s="1" t="str">
        <f>"COQ7"</f>
        <v>COQ7</v>
      </c>
      <c r="B3924" t="s">
        <v>14</v>
      </c>
      <c r="C3924" t="s">
        <v>31</v>
      </c>
      <c r="D3924" t="s">
        <v>17</v>
      </c>
      <c r="E3924" t="s">
        <v>12</v>
      </c>
      <c r="F3924">
        <v>19078928</v>
      </c>
      <c r="G3924">
        <v>19078944</v>
      </c>
      <c r="H3924">
        <v>19078960</v>
      </c>
      <c r="I3924">
        <v>19078993</v>
      </c>
    </row>
    <row r="3925" spans="1:9" x14ac:dyDescent="0.2">
      <c r="A3925" s="1" t="str">
        <f>"COQ9"</f>
        <v>COQ9</v>
      </c>
      <c r="B3925" t="s">
        <v>14</v>
      </c>
      <c r="C3925" t="s">
        <v>31</v>
      </c>
      <c r="D3925" t="s">
        <v>17</v>
      </c>
      <c r="E3925" t="s">
        <v>12</v>
      </c>
      <c r="F3925">
        <v>57481382</v>
      </c>
      <c r="G3925">
        <v>57481420</v>
      </c>
      <c r="H3925">
        <v>57481353</v>
      </c>
      <c r="I3925">
        <v>57481364</v>
      </c>
    </row>
    <row r="3926" spans="1:9" x14ac:dyDescent="0.2">
      <c r="A3926" s="1" t="str">
        <f>"CORIN"</f>
        <v>CORIN</v>
      </c>
      <c r="B3926" t="s">
        <v>14</v>
      </c>
      <c r="C3926" t="s">
        <v>23</v>
      </c>
      <c r="D3926" t="s">
        <v>11</v>
      </c>
      <c r="E3926" t="s">
        <v>12</v>
      </c>
      <c r="F3926">
        <v>47840071</v>
      </c>
      <c r="G3926">
        <v>47840094</v>
      </c>
      <c r="H3926">
        <v>47840112</v>
      </c>
      <c r="I3926">
        <v>47840128</v>
      </c>
    </row>
    <row r="3927" spans="1:9" x14ac:dyDescent="0.2">
      <c r="A3927" s="1" t="str">
        <f>"CORO1A"</f>
        <v>CORO1A</v>
      </c>
      <c r="B3927" t="s">
        <v>14</v>
      </c>
      <c r="C3927" t="s">
        <v>31</v>
      </c>
      <c r="D3927" t="s">
        <v>17</v>
      </c>
      <c r="E3927" t="s">
        <v>12</v>
      </c>
      <c r="F3927">
        <v>30194916</v>
      </c>
      <c r="G3927">
        <v>30194955</v>
      </c>
      <c r="H3927">
        <v>30194916</v>
      </c>
      <c r="I3927">
        <v>30194955</v>
      </c>
    </row>
    <row r="3928" spans="1:9" x14ac:dyDescent="0.2">
      <c r="A3928" s="1" t="str">
        <f>"CORO1B"</f>
        <v>CORO1B</v>
      </c>
      <c r="B3928" t="s">
        <v>9</v>
      </c>
      <c r="C3928" t="s">
        <v>27</v>
      </c>
      <c r="D3928" t="s">
        <v>11</v>
      </c>
      <c r="E3928" t="s">
        <v>12</v>
      </c>
      <c r="F3928">
        <v>67210930</v>
      </c>
      <c r="G3928">
        <v>67210974</v>
      </c>
      <c r="H3928">
        <v>67210930</v>
      </c>
      <c r="I3928">
        <v>67210974</v>
      </c>
    </row>
    <row r="3929" spans="1:9" x14ac:dyDescent="0.2">
      <c r="A3929" s="1" t="str">
        <f>"CORO1B"</f>
        <v>CORO1B</v>
      </c>
      <c r="B3929" t="s">
        <v>13</v>
      </c>
      <c r="C3929" t="s">
        <v>27</v>
      </c>
      <c r="D3929" t="s">
        <v>11</v>
      </c>
      <c r="E3929" t="s">
        <v>12</v>
      </c>
      <c r="F3929">
        <v>67207655</v>
      </c>
      <c r="G3929">
        <v>67207691</v>
      </c>
      <c r="H3929">
        <v>67207655</v>
      </c>
      <c r="I3929">
        <v>67207691</v>
      </c>
    </row>
    <row r="3930" spans="1:9" x14ac:dyDescent="0.2">
      <c r="A3930" s="1" t="str">
        <f>"CORO1C"</f>
        <v>CORO1C</v>
      </c>
      <c r="B3930" t="s">
        <v>14</v>
      </c>
      <c r="C3930" t="s">
        <v>16</v>
      </c>
      <c r="D3930" t="s">
        <v>11</v>
      </c>
      <c r="E3930" t="s">
        <v>12</v>
      </c>
      <c r="F3930">
        <v>109125285</v>
      </c>
      <c r="G3930">
        <v>109125315</v>
      </c>
      <c r="H3930">
        <v>109125264</v>
      </c>
      <c r="I3930">
        <v>109125269</v>
      </c>
    </row>
    <row r="3931" spans="1:9" x14ac:dyDescent="0.2">
      <c r="A3931" s="1" t="str">
        <f>"CORO2A"</f>
        <v>CORO2A</v>
      </c>
      <c r="B3931" t="s">
        <v>14</v>
      </c>
      <c r="C3931" t="s">
        <v>24</v>
      </c>
      <c r="D3931" t="s">
        <v>11</v>
      </c>
      <c r="E3931" t="s">
        <v>12</v>
      </c>
      <c r="F3931">
        <v>100954910</v>
      </c>
      <c r="G3931">
        <v>100954953</v>
      </c>
      <c r="H3931">
        <v>100954897</v>
      </c>
      <c r="I3931">
        <v>100954909</v>
      </c>
    </row>
    <row r="3932" spans="1:9" x14ac:dyDescent="0.2">
      <c r="A3932" s="1" t="str">
        <f>"CORO2B"</f>
        <v>CORO2B</v>
      </c>
      <c r="B3932" t="s">
        <v>14</v>
      </c>
      <c r="C3932" t="s">
        <v>25</v>
      </c>
      <c r="D3932" t="s">
        <v>17</v>
      </c>
      <c r="E3932" t="s">
        <v>12</v>
      </c>
      <c r="F3932">
        <v>68871361</v>
      </c>
      <c r="G3932">
        <v>68871409</v>
      </c>
      <c r="H3932">
        <v>68871309</v>
      </c>
      <c r="I3932">
        <v>68871354</v>
      </c>
    </row>
    <row r="3933" spans="1:9" x14ac:dyDescent="0.2">
      <c r="A3933" s="1" t="str">
        <f>"CORO6"</f>
        <v>CORO6</v>
      </c>
      <c r="B3933" t="s">
        <v>14</v>
      </c>
      <c r="C3933" t="s">
        <v>28</v>
      </c>
      <c r="D3933" t="s">
        <v>11</v>
      </c>
      <c r="E3933" t="s">
        <v>12</v>
      </c>
      <c r="F3933">
        <v>27949911</v>
      </c>
      <c r="G3933">
        <v>27949940</v>
      </c>
      <c r="H3933">
        <v>27949868</v>
      </c>
      <c r="I3933">
        <v>27949894</v>
      </c>
    </row>
    <row r="3934" spans="1:9" x14ac:dyDescent="0.2">
      <c r="A3934" s="1" t="str">
        <f>"CORO7"</f>
        <v>CORO7</v>
      </c>
      <c r="B3934" t="s">
        <v>14</v>
      </c>
      <c r="C3934" t="s">
        <v>31</v>
      </c>
      <c r="D3934" t="s">
        <v>11</v>
      </c>
      <c r="E3934" t="s">
        <v>12</v>
      </c>
      <c r="F3934">
        <v>4466565</v>
      </c>
      <c r="G3934">
        <v>4466605</v>
      </c>
      <c r="H3934">
        <v>4466622</v>
      </c>
      <c r="I3934">
        <v>4466633</v>
      </c>
    </row>
    <row r="3935" spans="1:9" x14ac:dyDescent="0.2">
      <c r="A3935" s="1" t="str">
        <f>"CORO7-PAM16"</f>
        <v>CORO7-PAM16</v>
      </c>
      <c r="B3935" t="s">
        <v>14</v>
      </c>
      <c r="C3935" t="s">
        <v>31</v>
      </c>
      <c r="D3935" t="s">
        <v>11</v>
      </c>
      <c r="E3935" t="s">
        <v>67</v>
      </c>
      <c r="F3935">
        <v>4466565</v>
      </c>
      <c r="G3935">
        <v>4466605</v>
      </c>
      <c r="H3935">
        <v>4466622</v>
      </c>
      <c r="I3935">
        <v>4466633</v>
      </c>
    </row>
    <row r="3936" spans="1:9" x14ac:dyDescent="0.2">
      <c r="A3936" s="1" t="str">
        <f>"CORT"</f>
        <v>CORT</v>
      </c>
      <c r="B3936" t="s">
        <v>14</v>
      </c>
      <c r="C3936" t="s">
        <v>19</v>
      </c>
      <c r="D3936" t="s">
        <v>17</v>
      </c>
      <c r="E3936" t="s">
        <v>12</v>
      </c>
      <c r="F3936">
        <v>10510205</v>
      </c>
      <c r="G3936">
        <v>10510225</v>
      </c>
      <c r="H3936">
        <v>10510205</v>
      </c>
      <c r="I3936">
        <v>10510225</v>
      </c>
    </row>
    <row r="3937" spans="1:9" x14ac:dyDescent="0.2">
      <c r="A3937" s="1" t="str">
        <f>"COTL1"</f>
        <v>COTL1</v>
      </c>
      <c r="B3937" t="s">
        <v>14</v>
      </c>
      <c r="C3937" t="s">
        <v>31</v>
      </c>
      <c r="D3937" t="s">
        <v>11</v>
      </c>
      <c r="E3937" t="s">
        <v>12</v>
      </c>
      <c r="F3937">
        <v>84651673</v>
      </c>
      <c r="G3937">
        <v>84651691</v>
      </c>
      <c r="H3937">
        <v>84651647</v>
      </c>
      <c r="I3937">
        <v>84651667</v>
      </c>
    </row>
    <row r="3938" spans="1:9" x14ac:dyDescent="0.2">
      <c r="A3938" s="1" t="str">
        <f>"COX10"</f>
        <v>COX10</v>
      </c>
      <c r="B3938" t="s">
        <v>14</v>
      </c>
      <c r="C3938" t="s">
        <v>28</v>
      </c>
      <c r="D3938" t="s">
        <v>17</v>
      </c>
      <c r="E3938" t="s">
        <v>12</v>
      </c>
      <c r="F3938">
        <v>13972807</v>
      </c>
      <c r="G3938">
        <v>13972864</v>
      </c>
      <c r="H3938">
        <v>13972904</v>
      </c>
      <c r="I3938">
        <v>13972915</v>
      </c>
    </row>
    <row r="3939" spans="1:9" x14ac:dyDescent="0.2">
      <c r="A3939" s="1" t="str">
        <f>"COX11"</f>
        <v>COX11</v>
      </c>
      <c r="B3939" t="s">
        <v>14</v>
      </c>
      <c r="C3939" t="s">
        <v>28</v>
      </c>
      <c r="D3939" t="s">
        <v>11</v>
      </c>
      <c r="E3939" t="s">
        <v>12</v>
      </c>
      <c r="F3939">
        <v>53045998</v>
      </c>
      <c r="G3939">
        <v>53046028</v>
      </c>
      <c r="H3939">
        <v>53046033</v>
      </c>
      <c r="I3939">
        <v>53046042</v>
      </c>
    </row>
    <row r="3940" spans="1:9" x14ac:dyDescent="0.2">
      <c r="A3940" s="1" t="str">
        <f>"COX14"</f>
        <v>COX14</v>
      </c>
      <c r="B3940" t="s">
        <v>14</v>
      </c>
      <c r="C3940" t="s">
        <v>16</v>
      </c>
      <c r="D3940" t="s">
        <v>17</v>
      </c>
      <c r="E3940" t="s">
        <v>12</v>
      </c>
      <c r="F3940">
        <v>50505963</v>
      </c>
      <c r="G3940">
        <v>50506033</v>
      </c>
      <c r="H3940">
        <v>50505950</v>
      </c>
      <c r="I3940">
        <v>50505962</v>
      </c>
    </row>
    <row r="3941" spans="1:9" x14ac:dyDescent="0.2">
      <c r="A3941" s="1" t="str">
        <f>"COX15"</f>
        <v>COX15</v>
      </c>
      <c r="B3941" t="s">
        <v>14</v>
      </c>
      <c r="C3941" t="s">
        <v>15</v>
      </c>
      <c r="D3941" t="s">
        <v>11</v>
      </c>
      <c r="E3941" t="s">
        <v>12</v>
      </c>
      <c r="F3941">
        <v>101491828</v>
      </c>
      <c r="G3941">
        <v>101491900</v>
      </c>
      <c r="H3941">
        <v>101492504</v>
      </c>
      <c r="I3941">
        <v>101492530</v>
      </c>
    </row>
    <row r="3942" spans="1:9" x14ac:dyDescent="0.2">
      <c r="A3942" s="1" t="str">
        <f>"COX16"</f>
        <v>COX16</v>
      </c>
      <c r="B3942" t="s">
        <v>14</v>
      </c>
      <c r="C3942" t="s">
        <v>41</v>
      </c>
      <c r="D3942" t="s">
        <v>11</v>
      </c>
      <c r="E3942" t="s">
        <v>12</v>
      </c>
      <c r="F3942">
        <v>70826348</v>
      </c>
      <c r="G3942">
        <v>70826421</v>
      </c>
      <c r="H3942">
        <v>70826438</v>
      </c>
      <c r="I3942">
        <v>70826453</v>
      </c>
    </row>
    <row r="3943" spans="1:9" x14ac:dyDescent="0.2">
      <c r="A3943" s="1" t="str">
        <f>"COX17"</f>
        <v>COX17</v>
      </c>
      <c r="B3943" t="s">
        <v>14</v>
      </c>
      <c r="C3943" t="s">
        <v>22</v>
      </c>
      <c r="D3943" t="s">
        <v>11</v>
      </c>
      <c r="E3943" t="s">
        <v>12</v>
      </c>
      <c r="F3943">
        <v>119396220</v>
      </c>
      <c r="G3943">
        <v>119396274</v>
      </c>
      <c r="H3943">
        <v>119396102</v>
      </c>
      <c r="I3943">
        <v>119396127</v>
      </c>
    </row>
    <row r="3944" spans="1:9" x14ac:dyDescent="0.2">
      <c r="A3944" s="1" t="str">
        <f>"COX18"</f>
        <v>COX18</v>
      </c>
      <c r="B3944" t="s">
        <v>14</v>
      </c>
      <c r="C3944" t="s">
        <v>23</v>
      </c>
      <c r="D3944" t="s">
        <v>11</v>
      </c>
      <c r="E3944" t="s">
        <v>12</v>
      </c>
      <c r="F3944">
        <v>73935413</v>
      </c>
      <c r="G3944">
        <v>73935481</v>
      </c>
      <c r="H3944">
        <v>73935366</v>
      </c>
      <c r="I3944">
        <v>73935377</v>
      </c>
    </row>
    <row r="3945" spans="1:9" x14ac:dyDescent="0.2">
      <c r="A3945" s="1" t="str">
        <f>"COX19"</f>
        <v>COX19</v>
      </c>
      <c r="B3945" t="s">
        <v>14</v>
      </c>
      <c r="C3945" t="s">
        <v>33</v>
      </c>
      <c r="D3945" t="s">
        <v>11</v>
      </c>
      <c r="E3945" t="s">
        <v>12</v>
      </c>
      <c r="F3945">
        <v>1015156</v>
      </c>
      <c r="G3945">
        <v>1015193</v>
      </c>
      <c r="H3945">
        <v>1015198</v>
      </c>
      <c r="I3945">
        <v>1015218</v>
      </c>
    </row>
    <row r="3946" spans="1:9" x14ac:dyDescent="0.2">
      <c r="A3946" s="1" t="str">
        <f>"COX20"</f>
        <v>COX20</v>
      </c>
      <c r="B3946" t="s">
        <v>14</v>
      </c>
      <c r="C3946" t="s">
        <v>19</v>
      </c>
      <c r="D3946" t="s">
        <v>17</v>
      </c>
      <c r="E3946" t="s">
        <v>12</v>
      </c>
      <c r="F3946">
        <v>244998947</v>
      </c>
      <c r="G3946">
        <v>244998975</v>
      </c>
      <c r="H3946">
        <v>244998976</v>
      </c>
      <c r="I3946">
        <v>244999016</v>
      </c>
    </row>
    <row r="3947" spans="1:9" x14ac:dyDescent="0.2">
      <c r="A3947" s="1" t="str">
        <f>"COX4I1"</f>
        <v>COX4I1</v>
      </c>
      <c r="B3947" t="s">
        <v>14</v>
      </c>
      <c r="C3947" t="s">
        <v>31</v>
      </c>
      <c r="D3947" t="s">
        <v>17</v>
      </c>
      <c r="E3947" t="s">
        <v>12</v>
      </c>
      <c r="F3947">
        <v>85833274</v>
      </c>
      <c r="G3947">
        <v>85833317</v>
      </c>
      <c r="H3947">
        <v>85833320</v>
      </c>
      <c r="I3947">
        <v>85833333</v>
      </c>
    </row>
    <row r="3948" spans="1:9" x14ac:dyDescent="0.2">
      <c r="A3948" s="1" t="str">
        <f>"COX4I2"</f>
        <v>COX4I2</v>
      </c>
      <c r="B3948" t="s">
        <v>14</v>
      </c>
      <c r="C3948" t="s">
        <v>29</v>
      </c>
      <c r="D3948" t="s">
        <v>17</v>
      </c>
      <c r="E3948" t="s">
        <v>12</v>
      </c>
      <c r="F3948">
        <v>30225708</v>
      </c>
      <c r="G3948">
        <v>30225735</v>
      </c>
      <c r="H3948">
        <v>30225682</v>
      </c>
      <c r="I3948">
        <v>30225700</v>
      </c>
    </row>
    <row r="3949" spans="1:9" x14ac:dyDescent="0.2">
      <c r="A3949" s="1" t="str">
        <f>"COX5A"</f>
        <v>COX5A</v>
      </c>
      <c r="B3949" t="s">
        <v>14</v>
      </c>
      <c r="C3949" t="s">
        <v>25</v>
      </c>
      <c r="D3949" t="s">
        <v>11</v>
      </c>
      <c r="E3949" t="s">
        <v>12</v>
      </c>
      <c r="F3949">
        <v>75230368</v>
      </c>
      <c r="G3949">
        <v>75230470</v>
      </c>
      <c r="H3949">
        <v>75230478</v>
      </c>
      <c r="I3949">
        <v>75230489</v>
      </c>
    </row>
    <row r="3950" spans="1:9" x14ac:dyDescent="0.2">
      <c r="A3950" s="1" t="str">
        <f>"COX5B"</f>
        <v>COX5B</v>
      </c>
      <c r="B3950" t="s">
        <v>14</v>
      </c>
      <c r="C3950" t="s">
        <v>26</v>
      </c>
      <c r="D3950" t="s">
        <v>17</v>
      </c>
      <c r="E3950" t="s">
        <v>12</v>
      </c>
      <c r="F3950">
        <v>98262497</v>
      </c>
      <c r="G3950">
        <v>98262549</v>
      </c>
      <c r="H3950">
        <v>98262089</v>
      </c>
      <c r="I3950">
        <v>98262090</v>
      </c>
    </row>
    <row r="3951" spans="1:9" x14ac:dyDescent="0.2">
      <c r="A3951" s="1" t="str">
        <f>"COX6A1"</f>
        <v>COX6A1</v>
      </c>
      <c r="B3951" t="s">
        <v>14</v>
      </c>
      <c r="C3951" t="s">
        <v>16</v>
      </c>
      <c r="D3951" t="s">
        <v>17</v>
      </c>
      <c r="E3951" t="s">
        <v>12</v>
      </c>
      <c r="F3951">
        <v>120875910</v>
      </c>
      <c r="G3951">
        <v>120875927</v>
      </c>
      <c r="H3951">
        <v>120875887</v>
      </c>
      <c r="I3951">
        <v>120875901</v>
      </c>
    </row>
    <row r="3952" spans="1:9" x14ac:dyDescent="0.2">
      <c r="A3952" s="1" t="str">
        <f>"COX6A2"</f>
        <v>COX6A2</v>
      </c>
      <c r="B3952" t="s">
        <v>14</v>
      </c>
      <c r="C3952" t="s">
        <v>31</v>
      </c>
      <c r="D3952" t="s">
        <v>11</v>
      </c>
      <c r="E3952" t="s">
        <v>12</v>
      </c>
      <c r="F3952">
        <v>31439646</v>
      </c>
      <c r="G3952">
        <v>31439688</v>
      </c>
      <c r="H3952">
        <v>31439694</v>
      </c>
      <c r="I3952">
        <v>31439715</v>
      </c>
    </row>
    <row r="3953" spans="1:9" x14ac:dyDescent="0.2">
      <c r="A3953" s="1" t="str">
        <f>"COX6B1"</f>
        <v>COX6B1</v>
      </c>
      <c r="B3953" t="s">
        <v>14</v>
      </c>
      <c r="C3953" t="s">
        <v>10</v>
      </c>
      <c r="D3953" t="s">
        <v>17</v>
      </c>
      <c r="E3953" t="s">
        <v>12</v>
      </c>
      <c r="F3953">
        <v>36139187</v>
      </c>
      <c r="G3953">
        <v>36139266</v>
      </c>
      <c r="H3953">
        <v>36139187</v>
      </c>
      <c r="I3953">
        <v>36139266</v>
      </c>
    </row>
    <row r="3954" spans="1:9" x14ac:dyDescent="0.2">
      <c r="A3954" s="1" t="str">
        <f>"COX6B2"</f>
        <v>COX6B2</v>
      </c>
      <c r="B3954" t="s">
        <v>14</v>
      </c>
      <c r="C3954" t="s">
        <v>10</v>
      </c>
      <c r="D3954" t="s">
        <v>11</v>
      </c>
      <c r="E3954" t="s">
        <v>12</v>
      </c>
      <c r="F3954">
        <v>55866061</v>
      </c>
      <c r="G3954">
        <v>55866103</v>
      </c>
      <c r="H3954">
        <v>55866044</v>
      </c>
      <c r="I3954">
        <v>55866059</v>
      </c>
    </row>
    <row r="3955" spans="1:9" x14ac:dyDescent="0.2">
      <c r="A3955" s="1" t="str">
        <f>"COX6C"</f>
        <v>COX6C</v>
      </c>
      <c r="B3955" t="s">
        <v>14</v>
      </c>
      <c r="C3955" t="s">
        <v>30</v>
      </c>
      <c r="D3955" t="s">
        <v>11</v>
      </c>
      <c r="E3955" t="s">
        <v>12</v>
      </c>
      <c r="F3955">
        <v>100905896</v>
      </c>
      <c r="G3955">
        <v>100905920</v>
      </c>
      <c r="H3955">
        <v>100905929</v>
      </c>
      <c r="I3955">
        <v>100905948</v>
      </c>
    </row>
    <row r="3956" spans="1:9" x14ac:dyDescent="0.2">
      <c r="A3956" s="1" t="str">
        <f>"COX7A1"</f>
        <v>COX7A1</v>
      </c>
      <c r="B3956" t="s">
        <v>14</v>
      </c>
      <c r="C3956" t="s">
        <v>10</v>
      </c>
      <c r="D3956" t="s">
        <v>11</v>
      </c>
      <c r="E3956" t="s">
        <v>12</v>
      </c>
      <c r="F3956">
        <v>36643329</v>
      </c>
      <c r="G3956">
        <v>36643407</v>
      </c>
      <c r="H3956">
        <v>36643408</v>
      </c>
      <c r="I3956">
        <v>36643449</v>
      </c>
    </row>
    <row r="3957" spans="1:9" x14ac:dyDescent="0.2">
      <c r="A3957" s="1" t="str">
        <f>"COX7A2"</f>
        <v>COX7A2</v>
      </c>
      <c r="B3957" t="s">
        <v>14</v>
      </c>
      <c r="C3957" t="s">
        <v>32</v>
      </c>
      <c r="D3957" t="s">
        <v>11</v>
      </c>
      <c r="E3957" t="s">
        <v>12</v>
      </c>
      <c r="F3957">
        <v>75953484</v>
      </c>
      <c r="G3957">
        <v>75953534</v>
      </c>
      <c r="H3957">
        <v>75953424</v>
      </c>
      <c r="I3957">
        <v>75953435</v>
      </c>
    </row>
    <row r="3958" spans="1:9" x14ac:dyDescent="0.2">
      <c r="A3958" s="1" t="str">
        <f>"COX7A2L"</f>
        <v>COX7A2L</v>
      </c>
      <c r="B3958" t="s">
        <v>14</v>
      </c>
      <c r="C3958" t="s">
        <v>26</v>
      </c>
      <c r="D3958" t="s">
        <v>11</v>
      </c>
      <c r="E3958" t="s">
        <v>12</v>
      </c>
      <c r="F3958">
        <v>42588338</v>
      </c>
      <c r="G3958">
        <v>42588366</v>
      </c>
      <c r="H3958">
        <v>42588303</v>
      </c>
      <c r="I3958">
        <v>42588337</v>
      </c>
    </row>
    <row r="3959" spans="1:9" x14ac:dyDescent="0.2">
      <c r="A3959" s="1" t="str">
        <f>"COX7B"</f>
        <v>COX7B</v>
      </c>
      <c r="B3959" t="s">
        <v>14</v>
      </c>
      <c r="C3959" t="s">
        <v>37</v>
      </c>
      <c r="D3959" t="s">
        <v>17</v>
      </c>
      <c r="E3959" t="s">
        <v>12</v>
      </c>
      <c r="F3959">
        <v>77154953</v>
      </c>
      <c r="G3959">
        <v>77155012</v>
      </c>
      <c r="H3959">
        <v>77154953</v>
      </c>
      <c r="I3959">
        <v>77155012</v>
      </c>
    </row>
    <row r="3960" spans="1:9" x14ac:dyDescent="0.2">
      <c r="A3960" s="1" t="str">
        <f>"COX7B2"</f>
        <v>COX7B2</v>
      </c>
      <c r="B3960" t="s">
        <v>14</v>
      </c>
      <c r="C3960" t="s">
        <v>23</v>
      </c>
      <c r="D3960" t="s">
        <v>11</v>
      </c>
      <c r="E3960" t="s">
        <v>12</v>
      </c>
      <c r="F3960">
        <v>46911255</v>
      </c>
      <c r="G3960">
        <v>46911270</v>
      </c>
      <c r="H3960">
        <v>46911223</v>
      </c>
      <c r="I3960">
        <v>46911230</v>
      </c>
    </row>
    <row r="3961" spans="1:9" x14ac:dyDescent="0.2">
      <c r="A3961" s="1" t="str">
        <f>"COX7C"</f>
        <v>COX7C</v>
      </c>
      <c r="B3961" t="s">
        <v>14</v>
      </c>
      <c r="C3961" t="s">
        <v>46</v>
      </c>
      <c r="D3961" t="s">
        <v>17</v>
      </c>
      <c r="E3961" t="s">
        <v>12</v>
      </c>
      <c r="F3961">
        <v>85913736</v>
      </c>
      <c r="G3961">
        <v>85913769</v>
      </c>
      <c r="H3961">
        <v>85913817</v>
      </c>
      <c r="I3961">
        <v>85913830</v>
      </c>
    </row>
    <row r="3962" spans="1:9" x14ac:dyDescent="0.2">
      <c r="A3962" s="1" t="str">
        <f>"COX8A"</f>
        <v>COX8A</v>
      </c>
      <c r="B3962" t="s">
        <v>14</v>
      </c>
      <c r="C3962" t="s">
        <v>27</v>
      </c>
      <c r="D3962" t="s">
        <v>17</v>
      </c>
      <c r="E3962" t="s">
        <v>12</v>
      </c>
      <c r="F3962">
        <v>63742050</v>
      </c>
      <c r="G3962">
        <v>63742104</v>
      </c>
      <c r="H3962">
        <v>63741922</v>
      </c>
      <c r="I3962">
        <v>63741925</v>
      </c>
    </row>
    <row r="3963" spans="1:9" x14ac:dyDescent="0.2">
      <c r="A3963" s="1" t="str">
        <f>"COX8C"</f>
        <v>COX8C</v>
      </c>
      <c r="B3963" t="s">
        <v>14</v>
      </c>
      <c r="C3963" t="s">
        <v>41</v>
      </c>
      <c r="D3963" t="s">
        <v>17</v>
      </c>
      <c r="E3963" t="s">
        <v>12</v>
      </c>
      <c r="F3963">
        <v>93813510</v>
      </c>
      <c r="G3963">
        <v>93813564</v>
      </c>
      <c r="H3963">
        <v>93813640</v>
      </c>
      <c r="I3963">
        <v>93813656</v>
      </c>
    </row>
    <row r="3964" spans="1:9" x14ac:dyDescent="0.2">
      <c r="A3964" s="1" t="str">
        <f>"CP"</f>
        <v>CP</v>
      </c>
      <c r="B3964" t="s">
        <v>14</v>
      </c>
      <c r="C3964" t="s">
        <v>22</v>
      </c>
      <c r="D3964" t="s">
        <v>11</v>
      </c>
      <c r="E3964" t="s">
        <v>12</v>
      </c>
      <c r="F3964">
        <v>148939598</v>
      </c>
      <c r="G3964">
        <v>148939622</v>
      </c>
      <c r="H3964">
        <v>148939777</v>
      </c>
      <c r="I3964">
        <v>148939800</v>
      </c>
    </row>
    <row r="3965" spans="1:9" x14ac:dyDescent="0.2">
      <c r="A3965" s="1" t="str">
        <f>"CPA1"</f>
        <v>CPA1</v>
      </c>
      <c r="B3965" t="s">
        <v>14</v>
      </c>
      <c r="C3965" t="s">
        <v>33</v>
      </c>
      <c r="D3965" t="s">
        <v>17</v>
      </c>
      <c r="E3965" t="s">
        <v>12</v>
      </c>
      <c r="F3965">
        <v>130020328</v>
      </c>
      <c r="G3965">
        <v>130020345</v>
      </c>
      <c r="H3965">
        <v>130020328</v>
      </c>
      <c r="I3965">
        <v>130020345</v>
      </c>
    </row>
    <row r="3966" spans="1:9" x14ac:dyDescent="0.2">
      <c r="A3966" s="1" t="str">
        <f>"CPA2"</f>
        <v>CPA2</v>
      </c>
      <c r="B3966" t="s">
        <v>14</v>
      </c>
      <c r="C3966" t="s">
        <v>33</v>
      </c>
      <c r="D3966" t="s">
        <v>17</v>
      </c>
      <c r="E3966" t="s">
        <v>12</v>
      </c>
      <c r="F3966">
        <v>129906687</v>
      </c>
      <c r="G3966">
        <v>129906712</v>
      </c>
      <c r="H3966">
        <v>129906632</v>
      </c>
      <c r="I3966">
        <v>129906654</v>
      </c>
    </row>
    <row r="3967" spans="1:9" x14ac:dyDescent="0.2">
      <c r="A3967" s="1" t="str">
        <f>"CPA3"</f>
        <v>CPA3</v>
      </c>
      <c r="B3967" t="s">
        <v>14</v>
      </c>
      <c r="C3967" t="s">
        <v>22</v>
      </c>
      <c r="D3967" t="s">
        <v>17</v>
      </c>
      <c r="E3967" t="s">
        <v>12</v>
      </c>
      <c r="F3967">
        <v>148583075</v>
      </c>
      <c r="G3967">
        <v>148583091</v>
      </c>
      <c r="H3967">
        <v>148583075</v>
      </c>
      <c r="I3967">
        <v>148583091</v>
      </c>
    </row>
    <row r="3968" spans="1:9" x14ac:dyDescent="0.2">
      <c r="A3968" s="1" t="str">
        <f>"CPA4"</f>
        <v>CPA4</v>
      </c>
      <c r="B3968" t="s">
        <v>9</v>
      </c>
      <c r="C3968" t="s">
        <v>33</v>
      </c>
      <c r="D3968" t="s">
        <v>17</v>
      </c>
      <c r="E3968" t="s">
        <v>12</v>
      </c>
      <c r="F3968">
        <v>129932994</v>
      </c>
      <c r="G3968">
        <v>129933010</v>
      </c>
      <c r="H3968">
        <v>129932994</v>
      </c>
      <c r="I3968">
        <v>129933010</v>
      </c>
    </row>
    <row r="3969" spans="1:9" x14ac:dyDescent="0.2">
      <c r="A3969" s="1" t="str">
        <f>"CPA4"</f>
        <v>CPA4</v>
      </c>
      <c r="B3969" t="s">
        <v>13</v>
      </c>
      <c r="C3969" t="s">
        <v>33</v>
      </c>
      <c r="D3969" t="s">
        <v>17</v>
      </c>
      <c r="E3969" t="s">
        <v>12</v>
      </c>
      <c r="F3969">
        <v>129948040</v>
      </c>
      <c r="G3969">
        <v>129948044</v>
      </c>
      <c r="H3969">
        <v>129948040</v>
      </c>
      <c r="I3969">
        <v>129948044</v>
      </c>
    </row>
    <row r="3970" spans="1:9" x14ac:dyDescent="0.2">
      <c r="A3970" s="1" t="str">
        <f>"CPA5"</f>
        <v>CPA5</v>
      </c>
      <c r="B3970" t="s">
        <v>9</v>
      </c>
      <c r="C3970" t="s">
        <v>33</v>
      </c>
      <c r="D3970" t="s">
        <v>17</v>
      </c>
      <c r="E3970" t="s">
        <v>12</v>
      </c>
      <c r="F3970">
        <v>129984650</v>
      </c>
      <c r="G3970">
        <v>129984661</v>
      </c>
      <c r="H3970">
        <v>129984650</v>
      </c>
      <c r="I3970">
        <v>129984661</v>
      </c>
    </row>
    <row r="3971" spans="1:9" x14ac:dyDescent="0.2">
      <c r="A3971" s="1" t="str">
        <f>"CPA5"</f>
        <v>CPA5</v>
      </c>
      <c r="B3971" t="s">
        <v>13</v>
      </c>
      <c r="C3971" t="s">
        <v>33</v>
      </c>
      <c r="D3971" t="s">
        <v>17</v>
      </c>
      <c r="E3971" t="s">
        <v>12</v>
      </c>
      <c r="F3971">
        <v>130003254</v>
      </c>
      <c r="G3971">
        <v>130003262</v>
      </c>
      <c r="H3971">
        <v>130003254</v>
      </c>
      <c r="I3971">
        <v>130003262</v>
      </c>
    </row>
    <row r="3972" spans="1:9" x14ac:dyDescent="0.2">
      <c r="A3972" s="1" t="str">
        <f>"CPA6"</f>
        <v>CPA6</v>
      </c>
      <c r="B3972" t="s">
        <v>14</v>
      </c>
      <c r="C3972" t="s">
        <v>30</v>
      </c>
      <c r="D3972" t="s">
        <v>11</v>
      </c>
      <c r="E3972" t="s">
        <v>12</v>
      </c>
      <c r="F3972">
        <v>68658582</v>
      </c>
      <c r="G3972">
        <v>68658647</v>
      </c>
      <c r="H3972">
        <v>68658582</v>
      </c>
      <c r="I3972">
        <v>68658647</v>
      </c>
    </row>
    <row r="3973" spans="1:9" x14ac:dyDescent="0.2">
      <c r="A3973" s="1" t="str">
        <f>"CPAMD8"</f>
        <v>CPAMD8</v>
      </c>
      <c r="B3973" t="s">
        <v>255</v>
      </c>
      <c r="C3973" t="s">
        <v>10</v>
      </c>
      <c r="D3973" t="s">
        <v>11</v>
      </c>
      <c r="E3973" t="s">
        <v>35</v>
      </c>
      <c r="F3973">
        <v>17137818</v>
      </c>
      <c r="G3973">
        <v>17137819</v>
      </c>
      <c r="H3973">
        <v>17137589</v>
      </c>
      <c r="I3973">
        <v>17137595</v>
      </c>
    </row>
    <row r="3974" spans="1:9" x14ac:dyDescent="0.2">
      <c r="A3974" s="1" t="str">
        <f>"CPB1"</f>
        <v>CPB1</v>
      </c>
      <c r="B3974" t="s">
        <v>14</v>
      </c>
      <c r="C3974" t="s">
        <v>22</v>
      </c>
      <c r="D3974" t="s">
        <v>17</v>
      </c>
      <c r="E3974" t="s">
        <v>12</v>
      </c>
      <c r="F3974">
        <v>148545586</v>
      </c>
      <c r="G3974">
        <v>148545609</v>
      </c>
      <c r="H3974">
        <v>148545565</v>
      </c>
      <c r="I3974">
        <v>148545585</v>
      </c>
    </row>
    <row r="3975" spans="1:9" x14ac:dyDescent="0.2">
      <c r="A3975" s="1" t="str">
        <f>"CPB2"</f>
        <v>CPB2</v>
      </c>
      <c r="B3975" t="s">
        <v>14</v>
      </c>
      <c r="C3975" t="s">
        <v>39</v>
      </c>
      <c r="D3975" t="s">
        <v>11</v>
      </c>
      <c r="E3975" t="s">
        <v>12</v>
      </c>
      <c r="F3975">
        <v>46679144</v>
      </c>
      <c r="G3975">
        <v>46679183</v>
      </c>
      <c r="H3975">
        <v>46679185</v>
      </c>
      <c r="I3975">
        <v>46679194</v>
      </c>
    </row>
    <row r="3976" spans="1:9" x14ac:dyDescent="0.2">
      <c r="A3976" s="1" t="str">
        <f>"CPD"</f>
        <v>CPD</v>
      </c>
      <c r="B3976" t="s">
        <v>14</v>
      </c>
      <c r="C3976" t="s">
        <v>28</v>
      </c>
      <c r="D3976" t="s">
        <v>17</v>
      </c>
      <c r="E3976" t="s">
        <v>12</v>
      </c>
      <c r="F3976">
        <v>28705921</v>
      </c>
      <c r="G3976">
        <v>28706000</v>
      </c>
      <c r="H3976">
        <v>28705921</v>
      </c>
      <c r="I3976">
        <v>28706000</v>
      </c>
    </row>
    <row r="3977" spans="1:9" x14ac:dyDescent="0.2">
      <c r="A3977" s="1" t="str">
        <f>"CPE"</f>
        <v>CPE</v>
      </c>
      <c r="B3977" t="s">
        <v>14</v>
      </c>
      <c r="C3977" t="s">
        <v>23</v>
      </c>
      <c r="D3977" t="s">
        <v>17</v>
      </c>
      <c r="E3977" t="s">
        <v>12</v>
      </c>
      <c r="F3977">
        <v>166300204</v>
      </c>
      <c r="G3977">
        <v>166300240</v>
      </c>
      <c r="H3977">
        <v>166300153</v>
      </c>
      <c r="I3977">
        <v>166300168</v>
      </c>
    </row>
    <row r="3978" spans="1:9" x14ac:dyDescent="0.2">
      <c r="A3978" s="1" t="str">
        <f>"CPEB1"</f>
        <v>CPEB1</v>
      </c>
      <c r="B3978" t="s">
        <v>256</v>
      </c>
      <c r="C3978" t="s">
        <v>25</v>
      </c>
      <c r="D3978" t="s">
        <v>11</v>
      </c>
      <c r="E3978" t="s">
        <v>20</v>
      </c>
      <c r="F3978">
        <v>83297219</v>
      </c>
      <c r="G3978">
        <v>83297219</v>
      </c>
      <c r="H3978">
        <v>83297219</v>
      </c>
      <c r="I3978">
        <v>83297219</v>
      </c>
    </row>
    <row r="3979" spans="1:9" x14ac:dyDescent="0.2">
      <c r="A3979" s="1" t="str">
        <f>"CPEB1"</f>
        <v>CPEB1</v>
      </c>
      <c r="B3979" t="s">
        <v>257</v>
      </c>
      <c r="C3979" t="s">
        <v>25</v>
      </c>
      <c r="D3979" t="s">
        <v>11</v>
      </c>
      <c r="E3979" t="s">
        <v>35</v>
      </c>
      <c r="F3979">
        <v>83316820</v>
      </c>
      <c r="G3979">
        <v>83316823</v>
      </c>
      <c r="H3979">
        <v>83316711</v>
      </c>
      <c r="I3979">
        <v>83316723</v>
      </c>
    </row>
    <row r="3980" spans="1:9" x14ac:dyDescent="0.2">
      <c r="A3980" s="1" t="str">
        <f>"CPEB2"</f>
        <v>CPEB2</v>
      </c>
      <c r="B3980" t="s">
        <v>9</v>
      </c>
      <c r="C3980" t="s">
        <v>23</v>
      </c>
      <c r="D3980" t="s">
        <v>17</v>
      </c>
      <c r="E3980" t="s">
        <v>12</v>
      </c>
      <c r="F3980">
        <v>15004067</v>
      </c>
      <c r="G3980">
        <v>15004113</v>
      </c>
      <c r="H3980">
        <v>15004067</v>
      </c>
      <c r="I3980">
        <v>15004113</v>
      </c>
    </row>
    <row r="3981" spans="1:9" x14ac:dyDescent="0.2">
      <c r="A3981" s="1" t="str">
        <f>"CPEB2"</f>
        <v>CPEB2</v>
      </c>
      <c r="B3981" t="s">
        <v>13</v>
      </c>
      <c r="C3981" t="s">
        <v>23</v>
      </c>
      <c r="D3981" t="s">
        <v>17</v>
      </c>
      <c r="E3981" t="s">
        <v>12</v>
      </c>
      <c r="F3981">
        <v>15005391</v>
      </c>
      <c r="G3981">
        <v>15005489</v>
      </c>
      <c r="H3981">
        <v>15005391</v>
      </c>
      <c r="I3981">
        <v>15005489</v>
      </c>
    </row>
    <row r="3982" spans="1:9" x14ac:dyDescent="0.2">
      <c r="A3982" s="1" t="str">
        <f>"CPEB3"</f>
        <v>CPEB3</v>
      </c>
      <c r="B3982" t="s">
        <v>14</v>
      </c>
      <c r="C3982" t="s">
        <v>15</v>
      </c>
      <c r="D3982" t="s">
        <v>11</v>
      </c>
      <c r="E3982" t="s">
        <v>12</v>
      </c>
      <c r="F3982">
        <v>94050820</v>
      </c>
      <c r="G3982">
        <v>94050868</v>
      </c>
      <c r="H3982">
        <v>94050794</v>
      </c>
      <c r="I3982">
        <v>94050818</v>
      </c>
    </row>
    <row r="3983" spans="1:9" x14ac:dyDescent="0.2">
      <c r="A3983" s="1" t="str">
        <f>"CPEB4"</f>
        <v>CPEB4</v>
      </c>
      <c r="B3983" t="s">
        <v>14</v>
      </c>
      <c r="C3983" t="s">
        <v>46</v>
      </c>
      <c r="D3983" t="s">
        <v>17</v>
      </c>
      <c r="E3983" t="s">
        <v>12</v>
      </c>
      <c r="F3983">
        <v>173315338</v>
      </c>
      <c r="G3983">
        <v>173315364</v>
      </c>
      <c r="H3983">
        <v>173315315</v>
      </c>
      <c r="I3983">
        <v>173315335</v>
      </c>
    </row>
    <row r="3984" spans="1:9" x14ac:dyDescent="0.2">
      <c r="A3984" s="1" t="str">
        <f>"CPED1"</f>
        <v>CPED1</v>
      </c>
      <c r="B3984" t="s">
        <v>14</v>
      </c>
      <c r="C3984" t="s">
        <v>33</v>
      </c>
      <c r="D3984" t="s">
        <v>17</v>
      </c>
      <c r="E3984" t="s">
        <v>12</v>
      </c>
      <c r="F3984">
        <v>120628737</v>
      </c>
      <c r="G3984">
        <v>120628818</v>
      </c>
      <c r="H3984">
        <v>120628828</v>
      </c>
      <c r="I3984">
        <v>120628878</v>
      </c>
    </row>
    <row r="3985" spans="1:9" x14ac:dyDescent="0.2">
      <c r="A3985" s="1" t="str">
        <f>"CPLX1"</f>
        <v>CPLX1</v>
      </c>
      <c r="B3985" t="s">
        <v>14</v>
      </c>
      <c r="C3985" t="s">
        <v>23</v>
      </c>
      <c r="D3985" t="s">
        <v>11</v>
      </c>
      <c r="E3985" t="s">
        <v>12</v>
      </c>
      <c r="F3985">
        <v>819901</v>
      </c>
      <c r="G3985">
        <v>819962</v>
      </c>
      <c r="H3985">
        <v>819884</v>
      </c>
      <c r="I3985">
        <v>819900</v>
      </c>
    </row>
    <row r="3986" spans="1:9" x14ac:dyDescent="0.2">
      <c r="A3986" s="1" t="str">
        <f>"CPLX2"</f>
        <v>CPLX2</v>
      </c>
      <c r="B3986" t="s">
        <v>9</v>
      </c>
      <c r="C3986" t="s">
        <v>46</v>
      </c>
      <c r="D3986" t="s">
        <v>17</v>
      </c>
      <c r="E3986" t="s">
        <v>12</v>
      </c>
      <c r="F3986">
        <v>175298573</v>
      </c>
      <c r="G3986">
        <v>175298628</v>
      </c>
      <c r="H3986">
        <v>175298573</v>
      </c>
      <c r="I3986">
        <v>175298628</v>
      </c>
    </row>
    <row r="3987" spans="1:9" x14ac:dyDescent="0.2">
      <c r="A3987" s="1" t="str">
        <f>"CPLX2"</f>
        <v>CPLX2</v>
      </c>
      <c r="B3987" t="s">
        <v>13</v>
      </c>
      <c r="C3987" t="s">
        <v>46</v>
      </c>
      <c r="D3987" t="s">
        <v>17</v>
      </c>
      <c r="E3987" t="s">
        <v>12</v>
      </c>
      <c r="F3987">
        <v>175223715</v>
      </c>
      <c r="G3987">
        <v>175223753</v>
      </c>
      <c r="H3987">
        <v>175223715</v>
      </c>
      <c r="I3987">
        <v>175223753</v>
      </c>
    </row>
    <row r="3988" spans="1:9" x14ac:dyDescent="0.2">
      <c r="A3988" s="1" t="str">
        <f>"CPLX3"</f>
        <v>CPLX3</v>
      </c>
      <c r="B3988" t="s">
        <v>14</v>
      </c>
      <c r="C3988" t="s">
        <v>25</v>
      </c>
      <c r="D3988" t="s">
        <v>17</v>
      </c>
      <c r="E3988" t="s">
        <v>12</v>
      </c>
      <c r="F3988">
        <v>75118944</v>
      </c>
      <c r="G3988">
        <v>75118983</v>
      </c>
      <c r="H3988">
        <v>75118917</v>
      </c>
      <c r="I3988">
        <v>75118931</v>
      </c>
    </row>
    <row r="3989" spans="1:9" x14ac:dyDescent="0.2">
      <c r="A3989" s="1" t="str">
        <f>"CPLX4"</f>
        <v>CPLX4</v>
      </c>
      <c r="B3989" t="s">
        <v>14</v>
      </c>
      <c r="C3989" t="s">
        <v>43</v>
      </c>
      <c r="D3989" t="s">
        <v>11</v>
      </c>
      <c r="E3989" t="s">
        <v>12</v>
      </c>
      <c r="F3989">
        <v>56985818</v>
      </c>
      <c r="G3989">
        <v>56985867</v>
      </c>
      <c r="H3989">
        <v>56985798</v>
      </c>
      <c r="I3989">
        <v>56985815</v>
      </c>
    </row>
    <row r="3990" spans="1:9" x14ac:dyDescent="0.2">
      <c r="A3990" s="1" t="str">
        <f>"CPM"</f>
        <v>CPM</v>
      </c>
      <c r="B3990" t="s">
        <v>14</v>
      </c>
      <c r="C3990" t="s">
        <v>16</v>
      </c>
      <c r="D3990" t="s">
        <v>11</v>
      </c>
      <c r="E3990" t="s">
        <v>12</v>
      </c>
      <c r="F3990">
        <v>69326940</v>
      </c>
      <c r="G3990">
        <v>69326993</v>
      </c>
      <c r="H3990">
        <v>69326940</v>
      </c>
      <c r="I3990">
        <v>69326993</v>
      </c>
    </row>
    <row r="3991" spans="1:9" x14ac:dyDescent="0.2">
      <c r="A3991" s="1" t="str">
        <f>"CPN1"</f>
        <v>CPN1</v>
      </c>
      <c r="B3991" t="s">
        <v>14</v>
      </c>
      <c r="C3991" t="s">
        <v>15</v>
      </c>
      <c r="D3991" t="s">
        <v>11</v>
      </c>
      <c r="E3991" t="s">
        <v>12</v>
      </c>
      <c r="F3991">
        <v>101841588</v>
      </c>
      <c r="G3991">
        <v>101841632</v>
      </c>
      <c r="H3991">
        <v>101841398</v>
      </c>
      <c r="I3991">
        <v>101841415</v>
      </c>
    </row>
    <row r="3992" spans="1:9" x14ac:dyDescent="0.2">
      <c r="A3992" s="1" t="str">
        <f>"CPN2"</f>
        <v>CPN2</v>
      </c>
      <c r="B3992" t="s">
        <v>14</v>
      </c>
      <c r="C3992" t="s">
        <v>22</v>
      </c>
      <c r="D3992" t="s">
        <v>11</v>
      </c>
      <c r="E3992" t="s">
        <v>12</v>
      </c>
      <c r="F3992">
        <v>194072019</v>
      </c>
      <c r="G3992">
        <v>194072074</v>
      </c>
      <c r="H3992">
        <v>194072019</v>
      </c>
      <c r="I3992">
        <v>194072074</v>
      </c>
    </row>
    <row r="3993" spans="1:9" x14ac:dyDescent="0.2">
      <c r="A3993" s="1" t="str">
        <f>"CPNE1"</f>
        <v>CPNE1</v>
      </c>
      <c r="B3993" t="s">
        <v>14</v>
      </c>
      <c r="C3993" t="s">
        <v>29</v>
      </c>
      <c r="D3993" t="s">
        <v>11</v>
      </c>
      <c r="E3993" t="s">
        <v>12</v>
      </c>
      <c r="F3993">
        <v>34252809</v>
      </c>
      <c r="G3993">
        <v>34252843</v>
      </c>
      <c r="H3993">
        <v>34252847</v>
      </c>
      <c r="I3993">
        <v>34252864</v>
      </c>
    </row>
    <row r="3994" spans="1:9" x14ac:dyDescent="0.2">
      <c r="A3994" s="1" t="str">
        <f>"CPNE2"</f>
        <v>CPNE2</v>
      </c>
      <c r="B3994" t="s">
        <v>14</v>
      </c>
      <c r="C3994" t="s">
        <v>31</v>
      </c>
      <c r="D3994" t="s">
        <v>17</v>
      </c>
      <c r="E3994" t="s">
        <v>12</v>
      </c>
      <c r="F3994">
        <v>57126482</v>
      </c>
      <c r="G3994">
        <v>57126552</v>
      </c>
      <c r="H3994">
        <v>57126455</v>
      </c>
      <c r="I3994">
        <v>57126468</v>
      </c>
    </row>
    <row r="3995" spans="1:9" x14ac:dyDescent="0.2">
      <c r="A3995" s="1" t="str">
        <f>"CPNE3"</f>
        <v>CPNE3</v>
      </c>
      <c r="B3995" t="s">
        <v>14</v>
      </c>
      <c r="C3995" t="s">
        <v>30</v>
      </c>
      <c r="D3995" t="s">
        <v>17</v>
      </c>
      <c r="E3995" t="s">
        <v>12</v>
      </c>
      <c r="F3995">
        <v>87526645</v>
      </c>
      <c r="G3995">
        <v>87526711</v>
      </c>
      <c r="H3995">
        <v>87526645</v>
      </c>
      <c r="I3995">
        <v>87526711</v>
      </c>
    </row>
    <row r="3996" spans="1:9" x14ac:dyDescent="0.2">
      <c r="A3996" s="1" t="str">
        <f>"CPNE4"</f>
        <v>CPNE4</v>
      </c>
      <c r="B3996" t="s">
        <v>14</v>
      </c>
      <c r="C3996" t="s">
        <v>22</v>
      </c>
      <c r="D3996" t="s">
        <v>11</v>
      </c>
      <c r="E3996" t="s">
        <v>12</v>
      </c>
      <c r="F3996">
        <v>131753848</v>
      </c>
      <c r="G3996">
        <v>131753897</v>
      </c>
      <c r="H3996">
        <v>131753830</v>
      </c>
      <c r="I3996">
        <v>131753844</v>
      </c>
    </row>
    <row r="3997" spans="1:9" x14ac:dyDescent="0.2">
      <c r="A3997" s="1" t="str">
        <f>"CPNE5"</f>
        <v>CPNE5</v>
      </c>
      <c r="B3997" t="s">
        <v>14</v>
      </c>
      <c r="C3997" t="s">
        <v>32</v>
      </c>
      <c r="D3997" t="s">
        <v>11</v>
      </c>
      <c r="E3997" t="s">
        <v>12</v>
      </c>
      <c r="F3997">
        <v>36807762</v>
      </c>
      <c r="G3997">
        <v>36807812</v>
      </c>
      <c r="H3997">
        <v>36807762</v>
      </c>
      <c r="I3997">
        <v>36807812</v>
      </c>
    </row>
    <row r="3998" spans="1:9" x14ac:dyDescent="0.2">
      <c r="A3998" s="1" t="str">
        <f>"CPNE6"</f>
        <v>CPNE6</v>
      </c>
      <c r="B3998" t="s">
        <v>14</v>
      </c>
      <c r="C3998" t="s">
        <v>41</v>
      </c>
      <c r="D3998" t="s">
        <v>17</v>
      </c>
      <c r="E3998" t="s">
        <v>12</v>
      </c>
      <c r="F3998">
        <v>24540761</v>
      </c>
      <c r="G3998">
        <v>24540779</v>
      </c>
      <c r="H3998">
        <v>24540747</v>
      </c>
      <c r="I3998">
        <v>24540758</v>
      </c>
    </row>
    <row r="3999" spans="1:9" x14ac:dyDescent="0.2">
      <c r="A3999" s="1" t="str">
        <f>"CPNE7"</f>
        <v>CPNE7</v>
      </c>
      <c r="B3999" t="s">
        <v>14</v>
      </c>
      <c r="C3999" t="s">
        <v>31</v>
      </c>
      <c r="D3999" t="s">
        <v>17</v>
      </c>
      <c r="E3999" t="s">
        <v>12</v>
      </c>
      <c r="F3999">
        <v>89642120</v>
      </c>
      <c r="G3999">
        <v>89642202</v>
      </c>
      <c r="H3999">
        <v>89642210</v>
      </c>
      <c r="I3999">
        <v>89642235</v>
      </c>
    </row>
    <row r="4000" spans="1:9" x14ac:dyDescent="0.2">
      <c r="A4000" s="1" t="str">
        <f>"CPNE8"</f>
        <v>CPNE8</v>
      </c>
      <c r="B4000" t="s">
        <v>14</v>
      </c>
      <c r="C4000" t="s">
        <v>16</v>
      </c>
      <c r="D4000" t="s">
        <v>11</v>
      </c>
      <c r="E4000" t="s">
        <v>12</v>
      </c>
      <c r="F4000">
        <v>39299386</v>
      </c>
      <c r="G4000">
        <v>39299400</v>
      </c>
      <c r="H4000">
        <v>39299406</v>
      </c>
      <c r="I4000">
        <v>39299448</v>
      </c>
    </row>
    <row r="4001" spans="1:9" x14ac:dyDescent="0.2">
      <c r="A4001" s="1" t="str">
        <f>"CPNE9"</f>
        <v>CPNE9</v>
      </c>
      <c r="B4001" t="s">
        <v>14</v>
      </c>
      <c r="C4001" t="s">
        <v>22</v>
      </c>
      <c r="D4001" t="s">
        <v>17</v>
      </c>
      <c r="E4001" t="s">
        <v>12</v>
      </c>
      <c r="F4001">
        <v>9745510</v>
      </c>
      <c r="G4001">
        <v>9745528</v>
      </c>
      <c r="H4001">
        <v>9745487</v>
      </c>
      <c r="I4001">
        <v>9745502</v>
      </c>
    </row>
    <row r="4002" spans="1:9" x14ac:dyDescent="0.2">
      <c r="A4002" s="1" t="str">
        <f>"CPO"</f>
        <v>CPO</v>
      </c>
      <c r="B4002" t="s">
        <v>14</v>
      </c>
      <c r="C4002" t="s">
        <v>26</v>
      </c>
      <c r="D4002" t="s">
        <v>17</v>
      </c>
      <c r="E4002" t="s">
        <v>12</v>
      </c>
      <c r="F4002">
        <v>207804239</v>
      </c>
      <c r="G4002">
        <v>207804264</v>
      </c>
      <c r="H4002">
        <v>207804302</v>
      </c>
      <c r="I4002">
        <v>207804317</v>
      </c>
    </row>
    <row r="4003" spans="1:9" x14ac:dyDescent="0.2">
      <c r="A4003" s="1" t="str">
        <f>"CPOX"</f>
        <v>CPOX</v>
      </c>
      <c r="B4003" t="s">
        <v>14</v>
      </c>
      <c r="C4003" t="s">
        <v>22</v>
      </c>
      <c r="D4003" t="s">
        <v>11</v>
      </c>
      <c r="E4003" t="s">
        <v>12</v>
      </c>
      <c r="F4003">
        <v>98312434</v>
      </c>
      <c r="G4003">
        <v>98312474</v>
      </c>
      <c r="H4003">
        <v>98312500</v>
      </c>
      <c r="I4003">
        <v>98312515</v>
      </c>
    </row>
    <row r="4004" spans="1:9" x14ac:dyDescent="0.2">
      <c r="A4004" s="1" t="str">
        <f>"CPPED1"</f>
        <v>CPPED1</v>
      </c>
      <c r="B4004" t="s">
        <v>14</v>
      </c>
      <c r="C4004" t="s">
        <v>31</v>
      </c>
      <c r="D4004" t="s">
        <v>11</v>
      </c>
      <c r="E4004" t="s">
        <v>12</v>
      </c>
      <c r="F4004">
        <v>12897642</v>
      </c>
      <c r="G4004">
        <v>12897750</v>
      </c>
      <c r="H4004">
        <v>12897642</v>
      </c>
      <c r="I4004">
        <v>12897750</v>
      </c>
    </row>
    <row r="4005" spans="1:9" x14ac:dyDescent="0.2">
      <c r="A4005" s="1" t="str">
        <f>"CPQ"</f>
        <v>CPQ</v>
      </c>
      <c r="B4005" t="s">
        <v>14</v>
      </c>
      <c r="C4005" t="s">
        <v>30</v>
      </c>
      <c r="D4005" t="s">
        <v>17</v>
      </c>
      <c r="E4005" t="s">
        <v>12</v>
      </c>
      <c r="F4005">
        <v>97657531</v>
      </c>
      <c r="G4005">
        <v>97657606</v>
      </c>
      <c r="H4005">
        <v>97657449</v>
      </c>
      <c r="I4005">
        <v>97657500</v>
      </c>
    </row>
    <row r="4006" spans="1:9" x14ac:dyDescent="0.2">
      <c r="A4006" s="1" t="str">
        <f>"CPS1"</f>
        <v>CPS1</v>
      </c>
      <c r="B4006" t="s">
        <v>14</v>
      </c>
      <c r="C4006" t="s">
        <v>26</v>
      </c>
      <c r="D4006" t="s">
        <v>17</v>
      </c>
      <c r="E4006" t="s">
        <v>12</v>
      </c>
      <c r="F4006">
        <v>211421314</v>
      </c>
      <c r="G4006">
        <v>211421335</v>
      </c>
      <c r="H4006">
        <v>211421314</v>
      </c>
      <c r="I4006">
        <v>211421335</v>
      </c>
    </row>
    <row r="4007" spans="1:9" x14ac:dyDescent="0.2">
      <c r="A4007" s="1" t="str">
        <f>"CPSF1"</f>
        <v>CPSF1</v>
      </c>
      <c r="B4007" t="s">
        <v>14</v>
      </c>
      <c r="C4007" t="s">
        <v>30</v>
      </c>
      <c r="D4007" t="s">
        <v>11</v>
      </c>
      <c r="E4007" t="s">
        <v>12</v>
      </c>
      <c r="F4007">
        <v>145634666</v>
      </c>
      <c r="G4007">
        <v>145634725</v>
      </c>
      <c r="H4007">
        <v>145634731</v>
      </c>
      <c r="I4007">
        <v>145634774</v>
      </c>
    </row>
    <row r="4008" spans="1:9" x14ac:dyDescent="0.2">
      <c r="A4008" s="1" t="str">
        <f>"CPSF2"</f>
        <v>CPSF2</v>
      </c>
      <c r="B4008" t="s">
        <v>14</v>
      </c>
      <c r="C4008" t="s">
        <v>41</v>
      </c>
      <c r="D4008" t="s">
        <v>17</v>
      </c>
      <c r="E4008" t="s">
        <v>12</v>
      </c>
      <c r="F4008">
        <v>92588298</v>
      </c>
      <c r="G4008">
        <v>92588336</v>
      </c>
      <c r="H4008">
        <v>92588298</v>
      </c>
      <c r="I4008">
        <v>92588336</v>
      </c>
    </row>
    <row r="4009" spans="1:9" x14ac:dyDescent="0.2">
      <c r="A4009" s="1" t="str">
        <f>"CPSF3"</f>
        <v>CPSF3</v>
      </c>
      <c r="B4009" t="s">
        <v>14</v>
      </c>
      <c r="C4009" t="s">
        <v>26</v>
      </c>
      <c r="D4009" t="s">
        <v>17</v>
      </c>
      <c r="E4009" t="s">
        <v>12</v>
      </c>
      <c r="F4009">
        <v>9563769</v>
      </c>
      <c r="G4009">
        <v>9563832</v>
      </c>
      <c r="H4009">
        <v>9563745</v>
      </c>
      <c r="I4009">
        <v>9563768</v>
      </c>
    </row>
    <row r="4010" spans="1:9" x14ac:dyDescent="0.2">
      <c r="A4010" s="1" t="str">
        <f>"CPSF3L"</f>
        <v>CPSF3L</v>
      </c>
      <c r="B4010" t="s">
        <v>14</v>
      </c>
      <c r="C4010" t="s">
        <v>19</v>
      </c>
      <c r="D4010" t="s">
        <v>11</v>
      </c>
      <c r="E4010" t="s">
        <v>12</v>
      </c>
      <c r="F4010">
        <v>1260011</v>
      </c>
      <c r="G4010">
        <v>1260064</v>
      </c>
      <c r="H4010">
        <v>1259994</v>
      </c>
      <c r="I4010">
        <v>1260005</v>
      </c>
    </row>
    <row r="4011" spans="1:9" x14ac:dyDescent="0.2">
      <c r="A4011" s="1" t="str">
        <f>"CPSF4"</f>
        <v>CPSF4</v>
      </c>
      <c r="B4011" t="s">
        <v>14</v>
      </c>
      <c r="C4011" t="s">
        <v>33</v>
      </c>
      <c r="D4011" t="s">
        <v>17</v>
      </c>
      <c r="E4011" t="s">
        <v>12</v>
      </c>
      <c r="F4011">
        <v>99036543</v>
      </c>
      <c r="G4011">
        <v>99036603</v>
      </c>
      <c r="H4011">
        <v>99036996</v>
      </c>
      <c r="I4011">
        <v>99037071</v>
      </c>
    </row>
    <row r="4012" spans="1:9" x14ac:dyDescent="0.2">
      <c r="A4012" s="1" t="str">
        <f>"CPSF4L"</f>
        <v>CPSF4L</v>
      </c>
      <c r="B4012" t="s">
        <v>14</v>
      </c>
      <c r="C4012" t="s">
        <v>28</v>
      </c>
      <c r="D4012" t="s">
        <v>11</v>
      </c>
      <c r="E4012" t="s">
        <v>12</v>
      </c>
      <c r="F4012">
        <v>71258541</v>
      </c>
      <c r="G4012">
        <v>71258553</v>
      </c>
      <c r="H4012">
        <v>71258541</v>
      </c>
      <c r="I4012">
        <v>71258553</v>
      </c>
    </row>
    <row r="4013" spans="1:9" x14ac:dyDescent="0.2">
      <c r="A4013" s="1" t="str">
        <f>"CPSF6"</f>
        <v>CPSF6</v>
      </c>
      <c r="B4013" t="s">
        <v>14</v>
      </c>
      <c r="C4013" t="s">
        <v>16</v>
      </c>
      <c r="D4013" t="s">
        <v>17</v>
      </c>
      <c r="E4013" t="s">
        <v>12</v>
      </c>
      <c r="F4013">
        <v>69633341</v>
      </c>
      <c r="G4013">
        <v>69633366</v>
      </c>
      <c r="H4013">
        <v>69633372</v>
      </c>
      <c r="I4013">
        <v>69633390</v>
      </c>
    </row>
    <row r="4014" spans="1:9" x14ac:dyDescent="0.2">
      <c r="A4014" s="1" t="str">
        <f>"CPSF7"</f>
        <v>CPSF7</v>
      </c>
      <c r="B4014" t="s">
        <v>14</v>
      </c>
      <c r="C4014" t="s">
        <v>27</v>
      </c>
      <c r="D4014" t="s">
        <v>11</v>
      </c>
      <c r="E4014" t="s">
        <v>12</v>
      </c>
      <c r="F4014">
        <v>61197406</v>
      </c>
      <c r="G4014">
        <v>61197464</v>
      </c>
      <c r="H4014">
        <v>61197386</v>
      </c>
      <c r="I4014">
        <v>61197399</v>
      </c>
    </row>
    <row r="4015" spans="1:9" x14ac:dyDescent="0.2">
      <c r="A4015" s="1" t="str">
        <f>"CPT1A"</f>
        <v>CPT1A</v>
      </c>
      <c r="B4015" t="s">
        <v>14</v>
      </c>
      <c r="C4015" t="s">
        <v>27</v>
      </c>
      <c r="D4015" t="s">
        <v>11</v>
      </c>
      <c r="E4015" t="s">
        <v>12</v>
      </c>
      <c r="F4015">
        <v>68609300</v>
      </c>
      <c r="G4015">
        <v>68609356</v>
      </c>
      <c r="H4015">
        <v>68609377</v>
      </c>
      <c r="I4015">
        <v>68609398</v>
      </c>
    </row>
    <row r="4016" spans="1:9" x14ac:dyDescent="0.2">
      <c r="A4016" s="1" t="str">
        <f>"CPT1B"</f>
        <v>CPT1B</v>
      </c>
      <c r="B4016" t="s">
        <v>14</v>
      </c>
      <c r="C4016" t="s">
        <v>21</v>
      </c>
      <c r="D4016" t="s">
        <v>11</v>
      </c>
      <c r="E4016" t="s">
        <v>12</v>
      </c>
      <c r="F4016">
        <v>51016848</v>
      </c>
      <c r="G4016">
        <v>51016862</v>
      </c>
      <c r="H4016">
        <v>51017027</v>
      </c>
      <c r="I4016">
        <v>51017054</v>
      </c>
    </row>
    <row r="4017" spans="1:9" x14ac:dyDescent="0.2">
      <c r="A4017" s="1" t="str">
        <f>"CPT1C"</f>
        <v>CPT1C</v>
      </c>
      <c r="B4017" t="s">
        <v>14</v>
      </c>
      <c r="C4017" t="s">
        <v>10</v>
      </c>
      <c r="D4017" t="s">
        <v>17</v>
      </c>
      <c r="E4017" t="s">
        <v>12</v>
      </c>
      <c r="F4017">
        <v>50194360</v>
      </c>
      <c r="G4017">
        <v>50194403</v>
      </c>
      <c r="H4017">
        <v>50194780</v>
      </c>
      <c r="I4017">
        <v>50194819</v>
      </c>
    </row>
    <row r="4018" spans="1:9" x14ac:dyDescent="0.2">
      <c r="A4018" s="1" t="str">
        <f>"CPT2"</f>
        <v>CPT2</v>
      </c>
      <c r="B4018" t="s">
        <v>14</v>
      </c>
      <c r="C4018" t="s">
        <v>19</v>
      </c>
      <c r="D4018" t="s">
        <v>17</v>
      </c>
      <c r="E4018" t="s">
        <v>12</v>
      </c>
      <c r="F4018">
        <v>53662457</v>
      </c>
      <c r="G4018">
        <v>53662533</v>
      </c>
      <c r="H4018">
        <v>53662441</v>
      </c>
      <c r="I4018">
        <v>53662448</v>
      </c>
    </row>
    <row r="4019" spans="1:9" x14ac:dyDescent="0.2">
      <c r="A4019" s="1" t="str">
        <f>"CPVL"</f>
        <v>CPVL</v>
      </c>
      <c r="B4019" t="s">
        <v>14</v>
      </c>
      <c r="C4019" t="s">
        <v>33</v>
      </c>
      <c r="D4019" t="s">
        <v>11</v>
      </c>
      <c r="E4019" t="s">
        <v>12</v>
      </c>
      <c r="F4019">
        <v>29186008</v>
      </c>
      <c r="G4019">
        <v>29186172</v>
      </c>
      <c r="H4019">
        <v>29186008</v>
      </c>
      <c r="I4019">
        <v>29186172</v>
      </c>
    </row>
    <row r="4020" spans="1:9" x14ac:dyDescent="0.2">
      <c r="A4020" s="1" t="str">
        <f>"CPXCR1"</f>
        <v>CPXCR1</v>
      </c>
      <c r="B4020" t="s">
        <v>14</v>
      </c>
      <c r="C4020" t="s">
        <v>37</v>
      </c>
      <c r="D4020" t="s">
        <v>17</v>
      </c>
      <c r="E4020" t="s">
        <v>12</v>
      </c>
      <c r="F4020">
        <v>88002218</v>
      </c>
      <c r="G4020">
        <v>88002235</v>
      </c>
      <c r="H4020">
        <v>88002198</v>
      </c>
      <c r="I4020">
        <v>88002207</v>
      </c>
    </row>
    <row r="4021" spans="1:9" x14ac:dyDescent="0.2">
      <c r="A4021" s="1" t="str">
        <f>"CPXM1"</f>
        <v>CPXM1</v>
      </c>
      <c r="B4021" t="s">
        <v>14</v>
      </c>
      <c r="C4021" t="s">
        <v>29</v>
      </c>
      <c r="D4021" t="s">
        <v>11</v>
      </c>
      <c r="E4021" t="s">
        <v>12</v>
      </c>
      <c r="F4021">
        <v>2781222</v>
      </c>
      <c r="G4021">
        <v>2781302</v>
      </c>
      <c r="H4021">
        <v>2781356</v>
      </c>
      <c r="I4021">
        <v>2781391</v>
      </c>
    </row>
    <row r="4022" spans="1:9" x14ac:dyDescent="0.2">
      <c r="A4022" s="1" t="str">
        <f>"CPXM2"</f>
        <v>CPXM2</v>
      </c>
      <c r="B4022" t="s">
        <v>14</v>
      </c>
      <c r="C4022" t="s">
        <v>15</v>
      </c>
      <c r="D4022" t="s">
        <v>11</v>
      </c>
      <c r="E4022" t="s">
        <v>12</v>
      </c>
      <c r="F4022">
        <v>125651258</v>
      </c>
      <c r="G4022">
        <v>125651355</v>
      </c>
      <c r="H4022">
        <v>125651464</v>
      </c>
      <c r="I4022">
        <v>125651497</v>
      </c>
    </row>
    <row r="4023" spans="1:9" x14ac:dyDescent="0.2">
      <c r="A4023" s="1" t="str">
        <f>"CPZ"</f>
        <v>CPZ</v>
      </c>
      <c r="B4023" t="s">
        <v>14</v>
      </c>
      <c r="C4023" t="s">
        <v>23</v>
      </c>
      <c r="D4023" t="s">
        <v>17</v>
      </c>
      <c r="E4023" t="s">
        <v>12</v>
      </c>
      <c r="F4023">
        <v>8594477</v>
      </c>
      <c r="G4023">
        <v>8594532</v>
      </c>
      <c r="H4023">
        <v>8594364</v>
      </c>
      <c r="I4023">
        <v>8594393</v>
      </c>
    </row>
    <row r="4024" spans="1:9" x14ac:dyDescent="0.2">
      <c r="A4024" s="1" t="str">
        <f>"CR1"</f>
        <v>CR1</v>
      </c>
      <c r="B4024" t="s">
        <v>14</v>
      </c>
      <c r="C4024" t="s">
        <v>19</v>
      </c>
      <c r="D4024" t="s">
        <v>17</v>
      </c>
      <c r="E4024" t="s">
        <v>12</v>
      </c>
      <c r="F4024">
        <v>207669574</v>
      </c>
      <c r="G4024">
        <v>207669601</v>
      </c>
      <c r="H4024">
        <v>207669495</v>
      </c>
      <c r="I4024">
        <v>207669509</v>
      </c>
    </row>
    <row r="4025" spans="1:9" x14ac:dyDescent="0.2">
      <c r="A4025" s="1" t="str">
        <f>"CR1L"</f>
        <v>CR1L</v>
      </c>
      <c r="B4025" t="s">
        <v>14</v>
      </c>
      <c r="C4025" t="s">
        <v>19</v>
      </c>
      <c r="D4025" t="s">
        <v>17</v>
      </c>
      <c r="E4025" t="s">
        <v>12</v>
      </c>
      <c r="F4025">
        <v>207818460</v>
      </c>
      <c r="G4025">
        <v>207818496</v>
      </c>
      <c r="H4025">
        <v>207818460</v>
      </c>
      <c r="I4025">
        <v>207818496</v>
      </c>
    </row>
    <row r="4026" spans="1:9" x14ac:dyDescent="0.2">
      <c r="A4026" s="1" t="str">
        <f>"CR2"</f>
        <v>CR2</v>
      </c>
      <c r="B4026" t="s">
        <v>14</v>
      </c>
      <c r="C4026" t="s">
        <v>19</v>
      </c>
      <c r="D4026" t="s">
        <v>17</v>
      </c>
      <c r="E4026" t="s">
        <v>12</v>
      </c>
      <c r="F4026">
        <v>207627665</v>
      </c>
      <c r="G4026">
        <v>207627683</v>
      </c>
      <c r="H4026">
        <v>207627697</v>
      </c>
      <c r="I4026">
        <v>207627708</v>
      </c>
    </row>
    <row r="4027" spans="1:9" x14ac:dyDescent="0.2">
      <c r="A4027" s="1" t="str">
        <f>"CRABP1"</f>
        <v>CRABP1</v>
      </c>
      <c r="B4027" t="s">
        <v>14</v>
      </c>
      <c r="C4027" t="s">
        <v>25</v>
      </c>
      <c r="D4027" t="s">
        <v>17</v>
      </c>
      <c r="E4027" t="s">
        <v>12</v>
      </c>
      <c r="F4027">
        <v>78632686</v>
      </c>
      <c r="G4027">
        <v>78632701</v>
      </c>
      <c r="H4027">
        <v>78632686</v>
      </c>
      <c r="I4027">
        <v>78632701</v>
      </c>
    </row>
    <row r="4028" spans="1:9" x14ac:dyDescent="0.2">
      <c r="A4028" s="1" t="str">
        <f>"CRABP2"</f>
        <v>CRABP2</v>
      </c>
      <c r="B4028" t="s">
        <v>14</v>
      </c>
      <c r="C4028" t="s">
        <v>19</v>
      </c>
      <c r="D4028" t="s">
        <v>11</v>
      </c>
      <c r="E4028" t="s">
        <v>12</v>
      </c>
      <c r="F4028">
        <v>156675368</v>
      </c>
      <c r="G4028">
        <v>156675382</v>
      </c>
      <c r="H4028">
        <v>156675564</v>
      </c>
      <c r="I4028">
        <v>156675614</v>
      </c>
    </row>
    <row r="4029" spans="1:9" x14ac:dyDescent="0.2">
      <c r="A4029" s="1" t="str">
        <f>"CRADD"</f>
        <v>CRADD</v>
      </c>
      <c r="B4029" t="s">
        <v>14</v>
      </c>
      <c r="C4029" t="s">
        <v>16</v>
      </c>
      <c r="D4029" t="s">
        <v>17</v>
      </c>
      <c r="E4029" t="s">
        <v>12</v>
      </c>
      <c r="F4029">
        <v>94071129</v>
      </c>
      <c r="G4029">
        <v>94071163</v>
      </c>
      <c r="H4029">
        <v>94071129</v>
      </c>
      <c r="I4029">
        <v>94071163</v>
      </c>
    </row>
    <row r="4030" spans="1:9" x14ac:dyDescent="0.2">
      <c r="A4030" s="1" t="str">
        <f>"CRAMP1L"</f>
        <v>CRAMP1L</v>
      </c>
      <c r="B4030" t="s">
        <v>9</v>
      </c>
      <c r="C4030" t="s">
        <v>31</v>
      </c>
      <c r="D4030" t="s">
        <v>17</v>
      </c>
      <c r="E4030" t="s">
        <v>12</v>
      </c>
      <c r="F4030">
        <v>1662351</v>
      </c>
      <c r="G4030">
        <v>1662442</v>
      </c>
      <c r="H4030">
        <v>1662351</v>
      </c>
      <c r="I4030">
        <v>1662442</v>
      </c>
    </row>
    <row r="4031" spans="1:9" x14ac:dyDescent="0.2">
      <c r="A4031" s="1" t="str">
        <f>"CRAMP1L"</f>
        <v>CRAMP1L</v>
      </c>
      <c r="B4031" t="s">
        <v>13</v>
      </c>
      <c r="C4031" t="s">
        <v>31</v>
      </c>
      <c r="D4031" t="s">
        <v>17</v>
      </c>
      <c r="E4031" t="s">
        <v>12</v>
      </c>
      <c r="F4031">
        <v>1664146</v>
      </c>
      <c r="G4031">
        <v>1664187</v>
      </c>
      <c r="H4031">
        <v>1664146</v>
      </c>
      <c r="I4031">
        <v>1664187</v>
      </c>
    </row>
    <row r="4032" spans="1:9" x14ac:dyDescent="0.2">
      <c r="A4032" s="1" t="str">
        <f>"CRAT"</f>
        <v>CRAT</v>
      </c>
      <c r="B4032" t="s">
        <v>14</v>
      </c>
      <c r="C4032" t="s">
        <v>24</v>
      </c>
      <c r="D4032" t="s">
        <v>11</v>
      </c>
      <c r="E4032" t="s">
        <v>12</v>
      </c>
      <c r="F4032">
        <v>131872928</v>
      </c>
      <c r="G4032">
        <v>131873088</v>
      </c>
      <c r="H4032">
        <v>131872902</v>
      </c>
      <c r="I4032">
        <v>131872909</v>
      </c>
    </row>
    <row r="4033" spans="1:9" x14ac:dyDescent="0.2">
      <c r="A4033" s="1" t="str">
        <f>"CRB1"</f>
        <v>CRB1</v>
      </c>
      <c r="B4033" t="s">
        <v>258</v>
      </c>
      <c r="C4033" t="s">
        <v>19</v>
      </c>
      <c r="D4033" t="s">
        <v>17</v>
      </c>
      <c r="E4033" t="s">
        <v>35</v>
      </c>
      <c r="F4033">
        <v>197237324</v>
      </c>
      <c r="G4033">
        <v>197237332</v>
      </c>
      <c r="H4033">
        <v>197237352</v>
      </c>
      <c r="I4033">
        <v>197237414</v>
      </c>
    </row>
    <row r="4034" spans="1:9" x14ac:dyDescent="0.2">
      <c r="A4034" s="1" t="str">
        <f>"CRB2"</f>
        <v>CRB2</v>
      </c>
      <c r="B4034" t="s">
        <v>9</v>
      </c>
      <c r="C4034" t="s">
        <v>24</v>
      </c>
      <c r="D4034" t="s">
        <v>17</v>
      </c>
      <c r="E4034" t="s">
        <v>12</v>
      </c>
      <c r="F4034">
        <v>126118469</v>
      </c>
      <c r="G4034">
        <v>126118531</v>
      </c>
      <c r="H4034">
        <v>126118469</v>
      </c>
      <c r="I4034">
        <v>126118531</v>
      </c>
    </row>
    <row r="4035" spans="1:9" x14ac:dyDescent="0.2">
      <c r="A4035" s="1" t="str">
        <f>"CRB2"</f>
        <v>CRB2</v>
      </c>
      <c r="B4035" t="s">
        <v>13</v>
      </c>
      <c r="C4035" t="s">
        <v>24</v>
      </c>
      <c r="D4035" t="s">
        <v>17</v>
      </c>
      <c r="E4035" t="s">
        <v>12</v>
      </c>
      <c r="F4035">
        <v>126131055</v>
      </c>
      <c r="G4035">
        <v>126131058</v>
      </c>
      <c r="H4035">
        <v>126131055</v>
      </c>
      <c r="I4035">
        <v>126131058</v>
      </c>
    </row>
    <row r="4036" spans="1:9" x14ac:dyDescent="0.2">
      <c r="A4036" s="1" t="str">
        <f>"CRB3"</f>
        <v>CRB3</v>
      </c>
      <c r="B4036" t="s">
        <v>14</v>
      </c>
      <c r="C4036" t="s">
        <v>10</v>
      </c>
      <c r="D4036" t="s">
        <v>17</v>
      </c>
      <c r="E4036" t="s">
        <v>12</v>
      </c>
      <c r="F4036">
        <v>6464243</v>
      </c>
      <c r="G4036">
        <v>6464325</v>
      </c>
      <c r="H4036">
        <v>6464502</v>
      </c>
      <c r="I4036">
        <v>6464583</v>
      </c>
    </row>
    <row r="4037" spans="1:9" x14ac:dyDescent="0.2">
      <c r="A4037" s="1" t="str">
        <f>"CRBN"</f>
        <v>CRBN</v>
      </c>
      <c r="B4037" t="s">
        <v>14</v>
      </c>
      <c r="C4037" t="s">
        <v>22</v>
      </c>
      <c r="D4037" t="s">
        <v>11</v>
      </c>
      <c r="E4037" t="s">
        <v>12</v>
      </c>
      <c r="F4037">
        <v>3221368</v>
      </c>
      <c r="G4037">
        <v>3221391</v>
      </c>
      <c r="H4037">
        <v>3221368</v>
      </c>
      <c r="I4037">
        <v>3221391</v>
      </c>
    </row>
    <row r="4038" spans="1:9" x14ac:dyDescent="0.2">
      <c r="A4038" s="1" t="str">
        <f>"CRCP"</f>
        <v>CRCP</v>
      </c>
      <c r="B4038" t="s">
        <v>14</v>
      </c>
      <c r="C4038" t="s">
        <v>33</v>
      </c>
      <c r="D4038" t="s">
        <v>17</v>
      </c>
      <c r="E4038" t="s">
        <v>12</v>
      </c>
      <c r="F4038">
        <v>65579799</v>
      </c>
      <c r="G4038">
        <v>65579854</v>
      </c>
      <c r="H4038">
        <v>65579856</v>
      </c>
      <c r="I4038">
        <v>65579878</v>
      </c>
    </row>
    <row r="4039" spans="1:9" x14ac:dyDescent="0.2">
      <c r="A4039" s="1" t="str">
        <f>"CRCT1"</f>
        <v>CRCT1</v>
      </c>
      <c r="B4039" t="s">
        <v>14</v>
      </c>
      <c r="C4039" t="s">
        <v>19</v>
      </c>
      <c r="D4039" t="s">
        <v>17</v>
      </c>
      <c r="E4039" t="s">
        <v>12</v>
      </c>
      <c r="F4039">
        <v>152486950</v>
      </c>
      <c r="G4039">
        <v>152486964</v>
      </c>
      <c r="H4039">
        <v>152487916</v>
      </c>
      <c r="I4039">
        <v>152487926</v>
      </c>
    </row>
    <row r="4040" spans="1:9" x14ac:dyDescent="0.2">
      <c r="A4040" s="1" t="str">
        <f>"CREB1"</f>
        <v>CREB1</v>
      </c>
      <c r="B4040" t="s">
        <v>14</v>
      </c>
      <c r="C4040" t="s">
        <v>26</v>
      </c>
      <c r="D4040" t="s">
        <v>17</v>
      </c>
      <c r="E4040" t="s">
        <v>12</v>
      </c>
      <c r="F4040">
        <v>208394658</v>
      </c>
      <c r="G4040">
        <v>208394692</v>
      </c>
      <c r="H4040">
        <v>208394627</v>
      </c>
      <c r="I4040">
        <v>208394655</v>
      </c>
    </row>
    <row r="4041" spans="1:9" x14ac:dyDescent="0.2">
      <c r="A4041" s="1" t="str">
        <f>"CREB3"</f>
        <v>CREB3</v>
      </c>
      <c r="B4041" t="s">
        <v>14</v>
      </c>
      <c r="C4041" t="s">
        <v>24</v>
      </c>
      <c r="D4041" t="s">
        <v>17</v>
      </c>
      <c r="E4041" t="s">
        <v>12</v>
      </c>
      <c r="F4041">
        <v>35732592</v>
      </c>
      <c r="G4041">
        <v>35732640</v>
      </c>
      <c r="H4041">
        <v>35732647</v>
      </c>
      <c r="I4041">
        <v>35732678</v>
      </c>
    </row>
    <row r="4042" spans="1:9" x14ac:dyDescent="0.2">
      <c r="A4042" s="1" t="str">
        <f>"CREB3L1"</f>
        <v>CREB3L1</v>
      </c>
      <c r="B4042" t="s">
        <v>14</v>
      </c>
      <c r="C4042" t="s">
        <v>27</v>
      </c>
      <c r="D4042" t="s">
        <v>17</v>
      </c>
      <c r="E4042" t="s">
        <v>12</v>
      </c>
      <c r="F4042">
        <v>46299199</v>
      </c>
      <c r="G4042">
        <v>46299233</v>
      </c>
      <c r="H4042">
        <v>46299539</v>
      </c>
      <c r="I4042">
        <v>46299620</v>
      </c>
    </row>
    <row r="4043" spans="1:9" x14ac:dyDescent="0.2">
      <c r="A4043" s="1" t="str">
        <f>"CREB3L2"</f>
        <v>CREB3L2</v>
      </c>
      <c r="B4043" t="s">
        <v>14</v>
      </c>
      <c r="C4043" t="s">
        <v>33</v>
      </c>
      <c r="D4043" t="s">
        <v>11</v>
      </c>
      <c r="E4043" t="s">
        <v>12</v>
      </c>
      <c r="F4043">
        <v>137686791</v>
      </c>
      <c r="G4043">
        <v>137686821</v>
      </c>
      <c r="H4043">
        <v>137686824</v>
      </c>
      <c r="I4043">
        <v>137686865</v>
      </c>
    </row>
    <row r="4044" spans="1:9" x14ac:dyDescent="0.2">
      <c r="A4044" s="1" t="str">
        <f>"CREB3L3"</f>
        <v>CREB3L3</v>
      </c>
      <c r="B4044" t="s">
        <v>14</v>
      </c>
      <c r="C4044" t="s">
        <v>10</v>
      </c>
      <c r="D4044" t="s">
        <v>17</v>
      </c>
      <c r="E4044" t="s">
        <v>12</v>
      </c>
      <c r="F4044">
        <v>4153613</v>
      </c>
      <c r="G4044">
        <v>4153652</v>
      </c>
      <c r="H4044">
        <v>4153719</v>
      </c>
      <c r="I4044">
        <v>4153730</v>
      </c>
    </row>
    <row r="4045" spans="1:9" x14ac:dyDescent="0.2">
      <c r="A4045" s="1" t="str">
        <f>"CREB3L4"</f>
        <v>CREB3L4</v>
      </c>
      <c r="B4045" t="s">
        <v>14</v>
      </c>
      <c r="C4045" t="s">
        <v>19</v>
      </c>
      <c r="D4045" t="s">
        <v>17</v>
      </c>
      <c r="E4045" t="s">
        <v>12</v>
      </c>
      <c r="F4045">
        <v>153940354</v>
      </c>
      <c r="G4045">
        <v>153940395</v>
      </c>
      <c r="H4045">
        <v>153939955</v>
      </c>
      <c r="I4045">
        <v>153940009</v>
      </c>
    </row>
    <row r="4046" spans="1:9" x14ac:dyDescent="0.2">
      <c r="A4046" s="1" t="str">
        <f>"CREB5"</f>
        <v>CREB5</v>
      </c>
      <c r="B4046" t="s">
        <v>259</v>
      </c>
      <c r="C4046" t="s">
        <v>33</v>
      </c>
      <c r="D4046" t="s">
        <v>17</v>
      </c>
      <c r="E4046" t="s">
        <v>35</v>
      </c>
      <c r="F4046">
        <v>28452103</v>
      </c>
      <c r="G4046">
        <v>28452108</v>
      </c>
      <c r="H4046">
        <v>28452130</v>
      </c>
      <c r="I4046">
        <v>28452154</v>
      </c>
    </row>
    <row r="4047" spans="1:9" x14ac:dyDescent="0.2">
      <c r="A4047" s="1" t="str">
        <f>"CREB5"</f>
        <v>CREB5</v>
      </c>
      <c r="B4047" t="s">
        <v>260</v>
      </c>
      <c r="C4047" t="s">
        <v>33</v>
      </c>
      <c r="D4047" t="s">
        <v>17</v>
      </c>
      <c r="E4047" t="s">
        <v>20</v>
      </c>
      <c r="F4047">
        <v>28475233</v>
      </c>
      <c r="G4047">
        <v>28475233</v>
      </c>
      <c r="H4047">
        <v>28475233</v>
      </c>
      <c r="I4047">
        <v>28475233</v>
      </c>
    </row>
    <row r="4048" spans="1:9" x14ac:dyDescent="0.2">
      <c r="A4048" s="1" t="str">
        <f>"CREBBP"</f>
        <v>CREBBP</v>
      </c>
      <c r="B4048" t="s">
        <v>14</v>
      </c>
      <c r="C4048" t="s">
        <v>31</v>
      </c>
      <c r="D4048" t="s">
        <v>11</v>
      </c>
      <c r="E4048" t="s">
        <v>12</v>
      </c>
      <c r="F4048">
        <v>3930681</v>
      </c>
      <c r="G4048">
        <v>3930721</v>
      </c>
      <c r="H4048">
        <v>3930724</v>
      </c>
      <c r="I4048">
        <v>3930735</v>
      </c>
    </row>
    <row r="4049" spans="1:9" x14ac:dyDescent="0.2">
      <c r="A4049" s="1" t="str">
        <f>"CREBL2"</f>
        <v>CREBL2</v>
      </c>
      <c r="B4049" t="s">
        <v>14</v>
      </c>
      <c r="C4049" t="s">
        <v>16</v>
      </c>
      <c r="D4049" t="s">
        <v>17</v>
      </c>
      <c r="E4049" t="s">
        <v>12</v>
      </c>
      <c r="F4049">
        <v>12764773</v>
      </c>
      <c r="G4049">
        <v>12764852</v>
      </c>
      <c r="H4049">
        <v>12764947</v>
      </c>
      <c r="I4049">
        <v>12764986</v>
      </c>
    </row>
    <row r="4050" spans="1:9" x14ac:dyDescent="0.2">
      <c r="A4050" s="1" t="str">
        <f>"CREBRF"</f>
        <v>CREBRF</v>
      </c>
      <c r="B4050" t="s">
        <v>9</v>
      </c>
      <c r="C4050" t="s">
        <v>46</v>
      </c>
      <c r="D4050" t="s">
        <v>17</v>
      </c>
      <c r="E4050" t="s">
        <v>12</v>
      </c>
      <c r="F4050">
        <v>172483347</v>
      </c>
      <c r="G4050">
        <v>172483407</v>
      </c>
      <c r="H4050">
        <v>172483347</v>
      </c>
      <c r="I4050">
        <v>172483407</v>
      </c>
    </row>
    <row r="4051" spans="1:9" x14ac:dyDescent="0.2">
      <c r="A4051" s="1" t="str">
        <f>"CREBRF"</f>
        <v>CREBRF</v>
      </c>
      <c r="B4051" t="s">
        <v>13</v>
      </c>
      <c r="C4051" t="s">
        <v>46</v>
      </c>
      <c r="D4051" t="s">
        <v>17</v>
      </c>
      <c r="E4051" t="s">
        <v>12</v>
      </c>
      <c r="F4051">
        <v>172484377</v>
      </c>
      <c r="G4051">
        <v>172484418</v>
      </c>
      <c r="H4051">
        <v>172484377</v>
      </c>
      <c r="I4051">
        <v>172484418</v>
      </c>
    </row>
    <row r="4052" spans="1:9" x14ac:dyDescent="0.2">
      <c r="A4052" s="1" t="str">
        <f>"CREBZF"</f>
        <v>CREBZF</v>
      </c>
      <c r="B4052" t="s">
        <v>14</v>
      </c>
      <c r="C4052" t="s">
        <v>27</v>
      </c>
      <c r="D4052" t="s">
        <v>11</v>
      </c>
      <c r="E4052" t="s">
        <v>12</v>
      </c>
      <c r="F4052">
        <v>85376121</v>
      </c>
      <c r="G4052">
        <v>85376181</v>
      </c>
      <c r="H4052">
        <v>85376097</v>
      </c>
      <c r="I4052">
        <v>85376108</v>
      </c>
    </row>
    <row r="4053" spans="1:9" x14ac:dyDescent="0.2">
      <c r="A4053" s="1" t="str">
        <f>"CREG1"</f>
        <v>CREG1</v>
      </c>
      <c r="B4053" t="s">
        <v>14</v>
      </c>
      <c r="C4053" t="s">
        <v>19</v>
      </c>
      <c r="D4053" t="s">
        <v>11</v>
      </c>
      <c r="E4053" t="s">
        <v>12</v>
      </c>
      <c r="F4053">
        <v>167522982</v>
      </c>
      <c r="G4053">
        <v>167523017</v>
      </c>
      <c r="H4053">
        <v>167523036</v>
      </c>
      <c r="I4053">
        <v>167523047</v>
      </c>
    </row>
    <row r="4054" spans="1:9" x14ac:dyDescent="0.2">
      <c r="A4054" s="1" t="str">
        <f>"CREG2"</f>
        <v>CREG2</v>
      </c>
      <c r="B4054" t="s">
        <v>14</v>
      </c>
      <c r="C4054" t="s">
        <v>26</v>
      </c>
      <c r="D4054" t="s">
        <v>11</v>
      </c>
      <c r="E4054" t="s">
        <v>12</v>
      </c>
      <c r="F4054">
        <v>102003915</v>
      </c>
      <c r="G4054">
        <v>102003971</v>
      </c>
      <c r="H4054">
        <v>102003852</v>
      </c>
      <c r="I4054">
        <v>102003868</v>
      </c>
    </row>
    <row r="4055" spans="1:9" x14ac:dyDescent="0.2">
      <c r="A4055" s="1" t="str">
        <f>"CRELD1"</f>
        <v>CRELD1</v>
      </c>
      <c r="B4055" t="s">
        <v>14</v>
      </c>
      <c r="C4055" t="s">
        <v>22</v>
      </c>
      <c r="D4055" t="s">
        <v>17</v>
      </c>
      <c r="E4055" t="s">
        <v>12</v>
      </c>
      <c r="F4055">
        <v>9975497</v>
      </c>
      <c r="G4055">
        <v>9975553</v>
      </c>
      <c r="H4055">
        <v>9975729</v>
      </c>
      <c r="I4055">
        <v>9975769</v>
      </c>
    </row>
    <row r="4056" spans="1:9" x14ac:dyDescent="0.2">
      <c r="A4056" s="1" t="str">
        <f>"CRELD2"</f>
        <v>CRELD2</v>
      </c>
      <c r="B4056" t="s">
        <v>14</v>
      </c>
      <c r="C4056" t="s">
        <v>21</v>
      </c>
      <c r="D4056" t="s">
        <v>17</v>
      </c>
      <c r="E4056" t="s">
        <v>12</v>
      </c>
      <c r="F4056">
        <v>50312316</v>
      </c>
      <c r="G4056">
        <v>50312377</v>
      </c>
      <c r="H4056">
        <v>50312274</v>
      </c>
      <c r="I4056">
        <v>50312311</v>
      </c>
    </row>
    <row r="4057" spans="1:9" x14ac:dyDescent="0.2">
      <c r="A4057" s="1" t="str">
        <f>"CREM"</f>
        <v>CREM</v>
      </c>
      <c r="B4057" t="s">
        <v>261</v>
      </c>
      <c r="C4057" t="s">
        <v>15</v>
      </c>
      <c r="D4057" t="s">
        <v>17</v>
      </c>
      <c r="E4057" t="s">
        <v>35</v>
      </c>
      <c r="F4057">
        <v>35416223</v>
      </c>
      <c r="G4057">
        <v>35416234</v>
      </c>
      <c r="H4057">
        <v>35416223</v>
      </c>
      <c r="I4057">
        <v>35416234</v>
      </c>
    </row>
    <row r="4058" spans="1:9" x14ac:dyDescent="0.2">
      <c r="A4058" s="1" t="str">
        <f>"CRH"</f>
        <v>CRH</v>
      </c>
      <c r="B4058" t="s">
        <v>14</v>
      </c>
      <c r="C4058" t="s">
        <v>30</v>
      </c>
      <c r="D4058" t="s">
        <v>11</v>
      </c>
      <c r="E4058" t="s">
        <v>12</v>
      </c>
      <c r="F4058">
        <v>67090690</v>
      </c>
      <c r="G4058">
        <v>67090706</v>
      </c>
      <c r="H4058">
        <v>67090786</v>
      </c>
      <c r="I4058">
        <v>67090797</v>
      </c>
    </row>
    <row r="4059" spans="1:9" x14ac:dyDescent="0.2">
      <c r="A4059" s="1" t="str">
        <f>"CRHBP"</f>
        <v>CRHBP</v>
      </c>
      <c r="B4059" t="s">
        <v>14</v>
      </c>
      <c r="C4059" t="s">
        <v>46</v>
      </c>
      <c r="D4059" t="s">
        <v>17</v>
      </c>
      <c r="E4059" t="s">
        <v>12</v>
      </c>
      <c r="F4059">
        <v>76248861</v>
      </c>
      <c r="G4059">
        <v>76248877</v>
      </c>
      <c r="H4059">
        <v>76248861</v>
      </c>
      <c r="I4059">
        <v>76248877</v>
      </c>
    </row>
    <row r="4060" spans="1:9" x14ac:dyDescent="0.2">
      <c r="A4060" s="1" t="str">
        <f>"CRHR1"</f>
        <v>CRHR1</v>
      </c>
      <c r="B4060" t="s">
        <v>14</v>
      </c>
      <c r="C4060" t="s">
        <v>28</v>
      </c>
      <c r="D4060" t="s">
        <v>17</v>
      </c>
      <c r="E4060" t="s">
        <v>12</v>
      </c>
      <c r="F4060">
        <v>43861680</v>
      </c>
      <c r="G4060">
        <v>43861705</v>
      </c>
      <c r="H4060">
        <v>43861631</v>
      </c>
      <c r="I4060">
        <v>43861669</v>
      </c>
    </row>
    <row r="4061" spans="1:9" x14ac:dyDescent="0.2">
      <c r="A4061" s="1" t="str">
        <f>"CRHR2"</f>
        <v>CRHR2</v>
      </c>
      <c r="B4061" t="s">
        <v>14</v>
      </c>
      <c r="C4061" t="s">
        <v>33</v>
      </c>
      <c r="D4061" t="s">
        <v>11</v>
      </c>
      <c r="E4061" t="s">
        <v>12</v>
      </c>
      <c r="F4061">
        <v>30722089</v>
      </c>
      <c r="G4061">
        <v>30722114</v>
      </c>
      <c r="H4061">
        <v>30722064</v>
      </c>
      <c r="I4061">
        <v>30722077</v>
      </c>
    </row>
    <row r="4062" spans="1:9" x14ac:dyDescent="0.2">
      <c r="A4062" s="1" t="str">
        <f>"CRIM1"</f>
        <v>CRIM1</v>
      </c>
      <c r="B4062" t="s">
        <v>14</v>
      </c>
      <c r="C4062" t="s">
        <v>26</v>
      </c>
      <c r="D4062" t="s">
        <v>17</v>
      </c>
      <c r="E4062" t="s">
        <v>12</v>
      </c>
      <c r="F4062">
        <v>36582857</v>
      </c>
      <c r="G4062">
        <v>36582932</v>
      </c>
      <c r="H4062">
        <v>36582857</v>
      </c>
      <c r="I4062">
        <v>36582932</v>
      </c>
    </row>
    <row r="4063" spans="1:9" x14ac:dyDescent="0.2">
      <c r="A4063" s="1" t="str">
        <f>"CRIP1"</f>
        <v>CRIP1</v>
      </c>
      <c r="B4063" t="s">
        <v>14</v>
      </c>
      <c r="C4063" t="s">
        <v>41</v>
      </c>
      <c r="D4063" t="s">
        <v>17</v>
      </c>
      <c r="E4063" t="s">
        <v>12</v>
      </c>
      <c r="F4063">
        <v>105953526</v>
      </c>
      <c r="G4063">
        <v>105953541</v>
      </c>
      <c r="H4063">
        <v>105954100</v>
      </c>
      <c r="I4063">
        <v>105954148</v>
      </c>
    </row>
    <row r="4064" spans="1:9" x14ac:dyDescent="0.2">
      <c r="A4064" s="1" t="str">
        <f>"CRIP2"</f>
        <v>CRIP2</v>
      </c>
      <c r="B4064" t="s">
        <v>14</v>
      </c>
      <c r="C4064" t="s">
        <v>41</v>
      </c>
      <c r="D4064" t="s">
        <v>17</v>
      </c>
      <c r="E4064" t="s">
        <v>12</v>
      </c>
      <c r="F4064">
        <v>105941118</v>
      </c>
      <c r="G4064">
        <v>105941196</v>
      </c>
      <c r="H4064">
        <v>105940901</v>
      </c>
      <c r="I4064">
        <v>105940956</v>
      </c>
    </row>
    <row r="4065" spans="1:9" x14ac:dyDescent="0.2">
      <c r="A4065" s="1" t="str">
        <f>"CRIP3"</f>
        <v>CRIP3</v>
      </c>
      <c r="B4065" t="s">
        <v>14</v>
      </c>
      <c r="C4065" t="s">
        <v>32</v>
      </c>
      <c r="D4065" t="s">
        <v>11</v>
      </c>
      <c r="E4065" t="s">
        <v>12</v>
      </c>
      <c r="F4065">
        <v>43276547</v>
      </c>
      <c r="G4065">
        <v>43276569</v>
      </c>
      <c r="H4065">
        <v>43276577</v>
      </c>
      <c r="I4065">
        <v>43276588</v>
      </c>
    </row>
    <row r="4066" spans="1:9" x14ac:dyDescent="0.2">
      <c r="A4066" s="1" t="str">
        <f>"CRIPAK"</f>
        <v>CRIPAK</v>
      </c>
      <c r="B4066" t="s">
        <v>14</v>
      </c>
      <c r="C4066" t="s">
        <v>23</v>
      </c>
      <c r="D4066" t="s">
        <v>17</v>
      </c>
      <c r="E4066" t="s">
        <v>12</v>
      </c>
      <c r="F4066">
        <v>1385676</v>
      </c>
      <c r="G4066">
        <v>1385677</v>
      </c>
      <c r="H4066">
        <v>1385676</v>
      </c>
      <c r="I4066">
        <v>1385677</v>
      </c>
    </row>
    <row r="4067" spans="1:9" x14ac:dyDescent="0.2">
      <c r="A4067" s="1" t="str">
        <f>"CRIPT"</f>
        <v>CRIPT</v>
      </c>
      <c r="B4067" t="s">
        <v>14</v>
      </c>
      <c r="C4067" t="s">
        <v>26</v>
      </c>
      <c r="D4067" t="s">
        <v>17</v>
      </c>
      <c r="E4067" t="s">
        <v>12</v>
      </c>
      <c r="F4067">
        <v>46844319</v>
      </c>
      <c r="G4067">
        <v>46844384</v>
      </c>
      <c r="H4067">
        <v>46844204</v>
      </c>
      <c r="I4067">
        <v>46844205</v>
      </c>
    </row>
    <row r="4068" spans="1:9" x14ac:dyDescent="0.2">
      <c r="A4068" s="1" t="str">
        <f>"CRISP1"</f>
        <v>CRISP1</v>
      </c>
      <c r="B4068" t="s">
        <v>14</v>
      </c>
      <c r="C4068" t="s">
        <v>32</v>
      </c>
      <c r="D4068" t="s">
        <v>11</v>
      </c>
      <c r="E4068" t="s">
        <v>12</v>
      </c>
      <c r="F4068">
        <v>49834166</v>
      </c>
      <c r="G4068">
        <v>49834204</v>
      </c>
      <c r="H4068">
        <v>49834240</v>
      </c>
      <c r="I4068">
        <v>49834253</v>
      </c>
    </row>
    <row r="4069" spans="1:9" x14ac:dyDescent="0.2">
      <c r="A4069" s="1" t="str">
        <f>"CRISP2"</f>
        <v>CRISP2</v>
      </c>
      <c r="B4069" t="s">
        <v>14</v>
      </c>
      <c r="C4069" t="s">
        <v>32</v>
      </c>
      <c r="D4069" t="s">
        <v>11</v>
      </c>
      <c r="E4069" t="s">
        <v>12</v>
      </c>
      <c r="F4069">
        <v>49681235</v>
      </c>
      <c r="G4069">
        <v>49681273</v>
      </c>
      <c r="H4069">
        <v>49681276</v>
      </c>
      <c r="I4069">
        <v>49681307</v>
      </c>
    </row>
    <row r="4070" spans="1:9" x14ac:dyDescent="0.2">
      <c r="A4070" s="1" t="str">
        <f>"CRISP3"</f>
        <v>CRISP3</v>
      </c>
      <c r="B4070" t="s">
        <v>14</v>
      </c>
      <c r="C4070" t="s">
        <v>32</v>
      </c>
      <c r="D4070" t="s">
        <v>11</v>
      </c>
      <c r="E4070" t="s">
        <v>12</v>
      </c>
      <c r="F4070">
        <v>49712091</v>
      </c>
      <c r="G4070">
        <v>49712107</v>
      </c>
      <c r="H4070">
        <v>49712072</v>
      </c>
      <c r="I4070">
        <v>49712087</v>
      </c>
    </row>
    <row r="4071" spans="1:9" x14ac:dyDescent="0.2">
      <c r="A4071" s="1" t="str">
        <f>"CRISPLD1"</f>
        <v>CRISPLD1</v>
      </c>
      <c r="B4071" t="s">
        <v>14</v>
      </c>
      <c r="C4071" t="s">
        <v>30</v>
      </c>
      <c r="D4071" t="s">
        <v>17</v>
      </c>
      <c r="E4071" t="s">
        <v>12</v>
      </c>
      <c r="F4071">
        <v>75896731</v>
      </c>
      <c r="G4071">
        <v>75896747</v>
      </c>
      <c r="H4071">
        <v>75896849</v>
      </c>
      <c r="I4071">
        <v>75896869</v>
      </c>
    </row>
    <row r="4072" spans="1:9" x14ac:dyDescent="0.2">
      <c r="A4072" s="1" t="str">
        <f>"CRISPLD2"</f>
        <v>CRISPLD2</v>
      </c>
      <c r="B4072" t="s">
        <v>14</v>
      </c>
      <c r="C4072" t="s">
        <v>31</v>
      </c>
      <c r="D4072" t="s">
        <v>17</v>
      </c>
      <c r="E4072" t="s">
        <v>12</v>
      </c>
      <c r="F4072">
        <v>84853580</v>
      </c>
      <c r="G4072">
        <v>84853597</v>
      </c>
      <c r="H4072">
        <v>84853580</v>
      </c>
      <c r="I4072">
        <v>84853597</v>
      </c>
    </row>
    <row r="4073" spans="1:9" x14ac:dyDescent="0.2">
      <c r="A4073" s="1" t="str">
        <f>"CRK"</f>
        <v>CRK</v>
      </c>
      <c r="B4073" t="s">
        <v>14</v>
      </c>
      <c r="C4073" t="s">
        <v>28</v>
      </c>
      <c r="D4073" t="s">
        <v>11</v>
      </c>
      <c r="E4073" t="s">
        <v>12</v>
      </c>
      <c r="F4073">
        <v>1359497</v>
      </c>
      <c r="G4073">
        <v>1359553</v>
      </c>
      <c r="H4073">
        <v>1359624</v>
      </c>
      <c r="I4073">
        <v>1359664</v>
      </c>
    </row>
    <row r="4074" spans="1:9" x14ac:dyDescent="0.2">
      <c r="A4074" s="1" t="str">
        <f>"CRKL"</f>
        <v>CRKL</v>
      </c>
      <c r="B4074" t="s">
        <v>14</v>
      </c>
      <c r="C4074" t="s">
        <v>21</v>
      </c>
      <c r="D4074" t="s">
        <v>17</v>
      </c>
      <c r="E4074" t="s">
        <v>12</v>
      </c>
      <c r="F4074">
        <v>21271716</v>
      </c>
      <c r="G4074">
        <v>21271770</v>
      </c>
      <c r="H4074">
        <v>21271686</v>
      </c>
      <c r="I4074">
        <v>21271706</v>
      </c>
    </row>
    <row r="4075" spans="1:9" x14ac:dyDescent="0.2">
      <c r="A4075" s="1" t="str">
        <f>"CRLF1"</f>
        <v>CRLF1</v>
      </c>
      <c r="B4075" t="s">
        <v>14</v>
      </c>
      <c r="C4075" t="s">
        <v>10</v>
      </c>
      <c r="D4075" t="s">
        <v>11</v>
      </c>
      <c r="E4075" t="s">
        <v>12</v>
      </c>
      <c r="F4075">
        <v>18717589</v>
      </c>
      <c r="G4075">
        <v>18717616</v>
      </c>
      <c r="H4075">
        <v>18717627</v>
      </c>
      <c r="I4075">
        <v>18717638</v>
      </c>
    </row>
    <row r="4076" spans="1:9" x14ac:dyDescent="0.2">
      <c r="A4076" s="1" t="str">
        <f>"CRLF2"</f>
        <v>CRLF2</v>
      </c>
      <c r="B4076" t="s">
        <v>14</v>
      </c>
      <c r="C4076" t="s">
        <v>37</v>
      </c>
      <c r="D4076" t="s">
        <v>11</v>
      </c>
      <c r="E4076" t="s">
        <v>12</v>
      </c>
      <c r="F4076">
        <v>1331535</v>
      </c>
      <c r="G4076">
        <v>1331554</v>
      </c>
      <c r="H4076">
        <v>1331578</v>
      </c>
      <c r="I4076">
        <v>1331595</v>
      </c>
    </row>
    <row r="4077" spans="1:9" x14ac:dyDescent="0.2">
      <c r="A4077" s="1" t="str">
        <f>"CRLF3"</f>
        <v>CRLF3</v>
      </c>
      <c r="B4077" t="s">
        <v>14</v>
      </c>
      <c r="C4077" t="s">
        <v>28</v>
      </c>
      <c r="D4077" t="s">
        <v>11</v>
      </c>
      <c r="E4077" t="s">
        <v>12</v>
      </c>
      <c r="F4077">
        <v>29151686</v>
      </c>
      <c r="G4077">
        <v>29151766</v>
      </c>
      <c r="H4077">
        <v>29151797</v>
      </c>
      <c r="I4077">
        <v>29151803</v>
      </c>
    </row>
    <row r="4078" spans="1:9" x14ac:dyDescent="0.2">
      <c r="A4078" s="1" t="str">
        <f>"CRLS1"</f>
        <v>CRLS1</v>
      </c>
      <c r="B4078" t="s">
        <v>14</v>
      </c>
      <c r="C4078" t="s">
        <v>29</v>
      </c>
      <c r="D4078" t="s">
        <v>17</v>
      </c>
      <c r="E4078" t="s">
        <v>12</v>
      </c>
      <c r="F4078">
        <v>5986756</v>
      </c>
      <c r="G4078">
        <v>5986777</v>
      </c>
      <c r="H4078">
        <v>5986727</v>
      </c>
      <c r="I4078">
        <v>5986755</v>
      </c>
    </row>
    <row r="4079" spans="1:9" x14ac:dyDescent="0.2">
      <c r="A4079" s="1" t="str">
        <f>"CRMP1"</f>
        <v>CRMP1</v>
      </c>
      <c r="B4079" t="s">
        <v>9</v>
      </c>
      <c r="C4079" t="s">
        <v>23</v>
      </c>
      <c r="D4079" t="s">
        <v>11</v>
      </c>
      <c r="E4079" t="s">
        <v>12</v>
      </c>
      <c r="F4079">
        <v>5890145</v>
      </c>
      <c r="G4079">
        <v>5890234</v>
      </c>
      <c r="H4079">
        <v>5890145</v>
      </c>
      <c r="I4079">
        <v>5890234</v>
      </c>
    </row>
    <row r="4080" spans="1:9" x14ac:dyDescent="0.2">
      <c r="A4080" s="1" t="str">
        <f>"CRMP1"</f>
        <v>CRMP1</v>
      </c>
      <c r="B4080" t="s">
        <v>13</v>
      </c>
      <c r="C4080" t="s">
        <v>23</v>
      </c>
      <c r="D4080" t="s">
        <v>11</v>
      </c>
      <c r="E4080" t="s">
        <v>12</v>
      </c>
      <c r="F4080">
        <v>5894801</v>
      </c>
      <c r="G4080">
        <v>5894820</v>
      </c>
      <c r="H4080">
        <v>5894801</v>
      </c>
      <c r="I4080">
        <v>5894820</v>
      </c>
    </row>
    <row r="4081" spans="1:9" x14ac:dyDescent="0.2">
      <c r="A4081" s="1" t="str">
        <f>"CRNKL1"</f>
        <v>CRNKL1</v>
      </c>
      <c r="B4081" t="s">
        <v>14</v>
      </c>
      <c r="C4081" t="s">
        <v>29</v>
      </c>
      <c r="D4081" t="s">
        <v>11</v>
      </c>
      <c r="E4081" t="s">
        <v>12</v>
      </c>
      <c r="F4081">
        <v>20033052</v>
      </c>
      <c r="G4081">
        <v>20033136</v>
      </c>
      <c r="H4081">
        <v>20033034</v>
      </c>
      <c r="I4081">
        <v>20033050</v>
      </c>
    </row>
    <row r="4082" spans="1:9" x14ac:dyDescent="0.2">
      <c r="A4082" s="1" t="str">
        <f>"CRNN"</f>
        <v>CRNN</v>
      </c>
      <c r="B4082" t="s">
        <v>14</v>
      </c>
      <c r="C4082" t="s">
        <v>19</v>
      </c>
      <c r="D4082" t="s">
        <v>11</v>
      </c>
      <c r="E4082" t="s">
        <v>12</v>
      </c>
      <c r="F4082">
        <v>152386732</v>
      </c>
      <c r="G4082">
        <v>152386745</v>
      </c>
      <c r="H4082">
        <v>152386747</v>
      </c>
      <c r="I4082">
        <v>152386752</v>
      </c>
    </row>
    <row r="4083" spans="1:9" x14ac:dyDescent="0.2">
      <c r="A4083" s="1" t="str">
        <f>"CROCC"</f>
        <v>CROCC</v>
      </c>
      <c r="B4083" t="s">
        <v>14</v>
      </c>
      <c r="C4083" t="s">
        <v>19</v>
      </c>
      <c r="D4083" t="s">
        <v>17</v>
      </c>
      <c r="E4083" t="s">
        <v>12</v>
      </c>
      <c r="F4083">
        <v>17248418</v>
      </c>
      <c r="G4083">
        <v>17248435</v>
      </c>
      <c r="H4083">
        <v>17248401</v>
      </c>
      <c r="I4083">
        <v>17248412</v>
      </c>
    </row>
    <row r="4084" spans="1:9" x14ac:dyDescent="0.2">
      <c r="A4084" s="1" t="str">
        <f>"CROT"</f>
        <v>CROT</v>
      </c>
      <c r="B4084" t="s">
        <v>14</v>
      </c>
      <c r="C4084" t="s">
        <v>33</v>
      </c>
      <c r="D4084" t="s">
        <v>17</v>
      </c>
      <c r="E4084" t="s">
        <v>12</v>
      </c>
      <c r="F4084">
        <v>86974974</v>
      </c>
      <c r="G4084">
        <v>86975000</v>
      </c>
      <c r="H4084">
        <v>86975001</v>
      </c>
      <c r="I4084">
        <v>86975019</v>
      </c>
    </row>
    <row r="4085" spans="1:9" x14ac:dyDescent="0.2">
      <c r="A4085" s="1" t="str">
        <f>"CRP"</f>
        <v>CRP</v>
      </c>
      <c r="B4085" t="s">
        <v>14</v>
      </c>
      <c r="C4085" t="s">
        <v>19</v>
      </c>
      <c r="D4085" t="s">
        <v>11</v>
      </c>
      <c r="E4085" t="s">
        <v>12</v>
      </c>
      <c r="F4085">
        <v>159684371</v>
      </c>
      <c r="G4085">
        <v>159684385</v>
      </c>
      <c r="H4085">
        <v>159683639</v>
      </c>
      <c r="I4085">
        <v>159683649</v>
      </c>
    </row>
    <row r="4086" spans="1:9" x14ac:dyDescent="0.2">
      <c r="A4086" s="1" t="str">
        <f>"CRTAC1"</f>
        <v>CRTAC1</v>
      </c>
      <c r="B4086" t="s">
        <v>14</v>
      </c>
      <c r="C4086" t="s">
        <v>15</v>
      </c>
      <c r="D4086" t="s">
        <v>11</v>
      </c>
      <c r="E4086" t="s">
        <v>12</v>
      </c>
      <c r="F4086">
        <v>99790370</v>
      </c>
      <c r="G4086">
        <v>99790385</v>
      </c>
      <c r="H4086">
        <v>99790340</v>
      </c>
      <c r="I4086">
        <v>99790353</v>
      </c>
    </row>
    <row r="4087" spans="1:9" x14ac:dyDescent="0.2">
      <c r="A4087" s="1" t="str">
        <f>"CRTAM"</f>
        <v>CRTAM</v>
      </c>
      <c r="B4087" t="s">
        <v>14</v>
      </c>
      <c r="C4087" t="s">
        <v>27</v>
      </c>
      <c r="D4087" t="s">
        <v>17</v>
      </c>
      <c r="E4087" t="s">
        <v>12</v>
      </c>
      <c r="F4087">
        <v>122735321</v>
      </c>
      <c r="G4087">
        <v>122735348</v>
      </c>
      <c r="H4087">
        <v>122735321</v>
      </c>
      <c r="I4087">
        <v>122735348</v>
      </c>
    </row>
    <row r="4088" spans="1:9" x14ac:dyDescent="0.2">
      <c r="A4088" s="1" t="str">
        <f>"CRTAP"</f>
        <v>CRTAP</v>
      </c>
      <c r="B4088" t="s">
        <v>14</v>
      </c>
      <c r="C4088" t="s">
        <v>22</v>
      </c>
      <c r="D4088" t="s">
        <v>17</v>
      </c>
      <c r="E4088" t="s">
        <v>12</v>
      </c>
      <c r="F4088">
        <v>33155525</v>
      </c>
      <c r="G4088">
        <v>33155561</v>
      </c>
      <c r="H4088">
        <v>33155444</v>
      </c>
      <c r="I4088">
        <v>33155492</v>
      </c>
    </row>
    <row r="4089" spans="1:9" x14ac:dyDescent="0.2">
      <c r="A4089" s="1" t="str">
        <f>"CRTC1"</f>
        <v>CRTC1</v>
      </c>
      <c r="B4089" t="s">
        <v>14</v>
      </c>
      <c r="C4089" t="s">
        <v>10</v>
      </c>
      <c r="D4089" t="s">
        <v>17</v>
      </c>
      <c r="E4089" t="s">
        <v>12</v>
      </c>
      <c r="F4089">
        <v>18794470</v>
      </c>
      <c r="G4089">
        <v>18794512</v>
      </c>
      <c r="H4089">
        <v>18794397</v>
      </c>
      <c r="I4089">
        <v>18794420</v>
      </c>
    </row>
    <row r="4090" spans="1:9" x14ac:dyDescent="0.2">
      <c r="A4090" s="1" t="str">
        <f>"CRTC2"</f>
        <v>CRTC2</v>
      </c>
      <c r="B4090" t="s">
        <v>14</v>
      </c>
      <c r="C4090" t="s">
        <v>19</v>
      </c>
      <c r="D4090" t="s">
        <v>11</v>
      </c>
      <c r="E4090" t="s">
        <v>12</v>
      </c>
      <c r="F4090">
        <v>153931053</v>
      </c>
      <c r="G4090">
        <v>153931124</v>
      </c>
      <c r="H4090">
        <v>153930676</v>
      </c>
      <c r="I4090">
        <v>153930724</v>
      </c>
    </row>
    <row r="4091" spans="1:9" x14ac:dyDescent="0.2">
      <c r="A4091" s="1" t="str">
        <f>"CRTC3"</f>
        <v>CRTC3</v>
      </c>
      <c r="B4091" t="s">
        <v>14</v>
      </c>
      <c r="C4091" t="s">
        <v>25</v>
      </c>
      <c r="D4091" t="s">
        <v>17</v>
      </c>
      <c r="E4091" t="s">
        <v>12</v>
      </c>
      <c r="F4091">
        <v>91073111</v>
      </c>
      <c r="G4091">
        <v>91073191</v>
      </c>
      <c r="H4091">
        <v>91073193</v>
      </c>
      <c r="I4091">
        <v>91073213</v>
      </c>
    </row>
    <row r="4092" spans="1:9" x14ac:dyDescent="0.2">
      <c r="A4092" s="1" t="str">
        <f>"CRX"</f>
        <v>CRX</v>
      </c>
      <c r="B4092" t="s">
        <v>14</v>
      </c>
      <c r="C4092" t="s">
        <v>10</v>
      </c>
      <c r="D4092" t="s">
        <v>17</v>
      </c>
      <c r="E4092" t="s">
        <v>12</v>
      </c>
      <c r="F4092">
        <v>48325184</v>
      </c>
      <c r="G4092">
        <v>48325211</v>
      </c>
      <c r="H4092">
        <v>48325184</v>
      </c>
      <c r="I4092">
        <v>48325211</v>
      </c>
    </row>
    <row r="4093" spans="1:9" x14ac:dyDescent="0.2">
      <c r="A4093" s="1" t="str">
        <f>"CRY1"</f>
        <v>CRY1</v>
      </c>
      <c r="B4093" t="s">
        <v>14</v>
      </c>
      <c r="C4093" t="s">
        <v>16</v>
      </c>
      <c r="D4093" t="s">
        <v>11</v>
      </c>
      <c r="E4093" t="s">
        <v>12</v>
      </c>
      <c r="F4093">
        <v>107487303</v>
      </c>
      <c r="G4093">
        <v>107487335</v>
      </c>
      <c r="H4093">
        <v>107487338</v>
      </c>
      <c r="I4093">
        <v>107487358</v>
      </c>
    </row>
    <row r="4094" spans="1:9" x14ac:dyDescent="0.2">
      <c r="A4094" s="1" t="str">
        <f>"CRY2"</f>
        <v>CRY2</v>
      </c>
      <c r="B4094" t="s">
        <v>14</v>
      </c>
      <c r="C4094" t="s">
        <v>27</v>
      </c>
      <c r="D4094" t="s">
        <v>17</v>
      </c>
      <c r="E4094" t="s">
        <v>12</v>
      </c>
      <c r="F4094">
        <v>45869019</v>
      </c>
      <c r="G4094">
        <v>45869044</v>
      </c>
      <c r="H4094">
        <v>45869019</v>
      </c>
      <c r="I4094">
        <v>45869044</v>
      </c>
    </row>
    <row r="4095" spans="1:9" x14ac:dyDescent="0.2">
      <c r="A4095" s="1" t="str">
        <f>"CRYAA"</f>
        <v>CRYAA</v>
      </c>
      <c r="B4095" t="s">
        <v>9</v>
      </c>
      <c r="C4095" t="s">
        <v>42</v>
      </c>
      <c r="D4095" t="s">
        <v>17</v>
      </c>
      <c r="E4095" t="s">
        <v>12</v>
      </c>
      <c r="F4095">
        <v>44589135</v>
      </c>
      <c r="G4095">
        <v>44589151</v>
      </c>
      <c r="H4095">
        <v>44589135</v>
      </c>
      <c r="I4095">
        <v>44589151</v>
      </c>
    </row>
    <row r="4096" spans="1:9" x14ac:dyDescent="0.2">
      <c r="A4096" s="1" t="str">
        <f>"CRYAA"</f>
        <v>CRYAA</v>
      </c>
      <c r="B4096" t="s">
        <v>13</v>
      </c>
      <c r="C4096" t="s">
        <v>42</v>
      </c>
      <c r="D4096" t="s">
        <v>17</v>
      </c>
      <c r="E4096" t="s">
        <v>12</v>
      </c>
      <c r="F4096">
        <v>44590326</v>
      </c>
      <c r="G4096">
        <v>44590377</v>
      </c>
      <c r="H4096">
        <v>44590326</v>
      </c>
      <c r="I4096">
        <v>44590377</v>
      </c>
    </row>
    <row r="4097" spans="1:9" x14ac:dyDescent="0.2">
      <c r="A4097" s="1" t="str">
        <f>"CRYAB"</f>
        <v>CRYAB</v>
      </c>
      <c r="B4097" t="s">
        <v>9</v>
      </c>
      <c r="C4097" t="s">
        <v>27</v>
      </c>
      <c r="D4097" t="s">
        <v>11</v>
      </c>
      <c r="E4097" t="s">
        <v>12</v>
      </c>
      <c r="F4097">
        <v>111782484</v>
      </c>
      <c r="G4097">
        <v>111782501</v>
      </c>
      <c r="H4097">
        <v>111782484</v>
      </c>
      <c r="I4097">
        <v>111782501</v>
      </c>
    </row>
    <row r="4098" spans="1:9" x14ac:dyDescent="0.2">
      <c r="A4098" s="1" t="str">
        <f>"CRYAB"</f>
        <v>CRYAB</v>
      </c>
      <c r="B4098" t="s">
        <v>13</v>
      </c>
      <c r="C4098" t="s">
        <v>27</v>
      </c>
      <c r="D4098" t="s">
        <v>11</v>
      </c>
      <c r="E4098" t="s">
        <v>12</v>
      </c>
      <c r="F4098">
        <v>111783858</v>
      </c>
      <c r="G4098">
        <v>111783916</v>
      </c>
      <c r="H4098">
        <v>111783858</v>
      </c>
      <c r="I4098">
        <v>111783916</v>
      </c>
    </row>
    <row r="4099" spans="1:9" x14ac:dyDescent="0.2">
      <c r="A4099" s="1" t="str">
        <f>"CRYBA1"</f>
        <v>CRYBA1</v>
      </c>
      <c r="B4099" t="s">
        <v>14</v>
      </c>
      <c r="C4099" t="s">
        <v>28</v>
      </c>
      <c r="D4099" t="s">
        <v>17</v>
      </c>
      <c r="E4099" t="s">
        <v>12</v>
      </c>
      <c r="F4099">
        <v>27573875</v>
      </c>
      <c r="G4099">
        <v>27573878</v>
      </c>
      <c r="H4099">
        <v>27573875</v>
      </c>
      <c r="I4099">
        <v>27573878</v>
      </c>
    </row>
    <row r="4100" spans="1:9" x14ac:dyDescent="0.2">
      <c r="A4100" s="1" t="str">
        <f>"CRYBA2"</f>
        <v>CRYBA2</v>
      </c>
      <c r="B4100" t="s">
        <v>14</v>
      </c>
      <c r="C4100" t="s">
        <v>26</v>
      </c>
      <c r="D4100" t="s">
        <v>11</v>
      </c>
      <c r="E4100" t="s">
        <v>12</v>
      </c>
      <c r="F4100">
        <v>219858142</v>
      </c>
      <c r="G4100">
        <v>219858144</v>
      </c>
      <c r="H4100">
        <v>219857825</v>
      </c>
      <c r="I4100">
        <v>219857870</v>
      </c>
    </row>
    <row r="4101" spans="1:9" x14ac:dyDescent="0.2">
      <c r="A4101" s="1" t="str">
        <f>"CRYBA4"</f>
        <v>CRYBA4</v>
      </c>
      <c r="B4101" t="s">
        <v>14</v>
      </c>
      <c r="C4101" t="s">
        <v>21</v>
      </c>
      <c r="D4101" t="s">
        <v>17</v>
      </c>
      <c r="E4101" t="s">
        <v>12</v>
      </c>
      <c r="F4101">
        <v>27017921</v>
      </c>
      <c r="G4101">
        <v>27017928</v>
      </c>
      <c r="H4101">
        <v>27017921</v>
      </c>
      <c r="I4101">
        <v>27017928</v>
      </c>
    </row>
    <row r="4102" spans="1:9" x14ac:dyDescent="0.2">
      <c r="A4102" s="1" t="str">
        <f>"CRYBB1"</f>
        <v>CRYBB1</v>
      </c>
      <c r="B4102" t="s">
        <v>14</v>
      </c>
      <c r="C4102" t="s">
        <v>21</v>
      </c>
      <c r="D4102" t="s">
        <v>11</v>
      </c>
      <c r="E4102" t="s">
        <v>12</v>
      </c>
      <c r="F4102">
        <v>27013990</v>
      </c>
      <c r="G4102">
        <v>27013992</v>
      </c>
      <c r="H4102">
        <v>27014043</v>
      </c>
      <c r="I4102">
        <v>27014073</v>
      </c>
    </row>
    <row r="4103" spans="1:9" x14ac:dyDescent="0.2">
      <c r="A4103" s="1" t="str">
        <f>"CRYBB2"</f>
        <v>CRYBB2</v>
      </c>
      <c r="B4103" t="s">
        <v>14</v>
      </c>
      <c r="C4103" t="s">
        <v>21</v>
      </c>
      <c r="D4103" t="s">
        <v>17</v>
      </c>
      <c r="E4103" t="s">
        <v>12</v>
      </c>
      <c r="F4103">
        <v>25615600</v>
      </c>
      <c r="G4103">
        <v>25615611</v>
      </c>
      <c r="H4103">
        <v>25615600</v>
      </c>
      <c r="I4103">
        <v>25615611</v>
      </c>
    </row>
    <row r="4104" spans="1:9" x14ac:dyDescent="0.2">
      <c r="A4104" s="1" t="str">
        <f>"CRYBB3"</f>
        <v>CRYBB3</v>
      </c>
      <c r="B4104" t="s">
        <v>14</v>
      </c>
      <c r="C4104" t="s">
        <v>21</v>
      </c>
      <c r="D4104" t="s">
        <v>17</v>
      </c>
      <c r="E4104" t="s">
        <v>12</v>
      </c>
      <c r="F4104">
        <v>25595823</v>
      </c>
      <c r="G4104">
        <v>25595826</v>
      </c>
      <c r="H4104">
        <v>25595823</v>
      </c>
      <c r="I4104">
        <v>25595826</v>
      </c>
    </row>
    <row r="4105" spans="1:9" x14ac:dyDescent="0.2">
      <c r="A4105" s="1" t="str">
        <f>"CRYBG3"</f>
        <v>CRYBG3</v>
      </c>
      <c r="B4105" t="s">
        <v>262</v>
      </c>
      <c r="C4105" t="s">
        <v>22</v>
      </c>
      <c r="D4105" t="s">
        <v>17</v>
      </c>
      <c r="E4105" t="s">
        <v>20</v>
      </c>
      <c r="F4105">
        <v>97595818</v>
      </c>
      <c r="G4105">
        <v>97595818</v>
      </c>
      <c r="H4105">
        <v>97595818</v>
      </c>
      <c r="I4105">
        <v>97595818</v>
      </c>
    </row>
    <row r="4106" spans="1:9" x14ac:dyDescent="0.2">
      <c r="A4106" s="1" t="str">
        <f>"CRYGA"</f>
        <v>CRYGA</v>
      </c>
      <c r="B4106" t="s">
        <v>14</v>
      </c>
      <c r="C4106" t="s">
        <v>26</v>
      </c>
      <c r="D4106" t="s">
        <v>11</v>
      </c>
      <c r="E4106" t="s">
        <v>12</v>
      </c>
      <c r="F4106">
        <v>209028312</v>
      </c>
      <c r="G4106">
        <v>209028316</v>
      </c>
      <c r="H4106">
        <v>209028312</v>
      </c>
      <c r="I4106">
        <v>209028316</v>
      </c>
    </row>
    <row r="4107" spans="1:9" x14ac:dyDescent="0.2">
      <c r="A4107" s="1" t="str">
        <f>"CRYGB"</f>
        <v>CRYGB</v>
      </c>
      <c r="B4107" t="s">
        <v>14</v>
      </c>
      <c r="C4107" t="s">
        <v>26</v>
      </c>
      <c r="D4107" t="s">
        <v>11</v>
      </c>
      <c r="E4107" t="s">
        <v>12</v>
      </c>
      <c r="F4107">
        <v>209010874</v>
      </c>
      <c r="G4107">
        <v>209010887</v>
      </c>
      <c r="H4107">
        <v>209010807</v>
      </c>
      <c r="I4107">
        <v>209010823</v>
      </c>
    </row>
    <row r="4108" spans="1:9" x14ac:dyDescent="0.2">
      <c r="A4108" s="1" t="str">
        <f>"CRYGC"</f>
        <v>CRYGC</v>
      </c>
      <c r="B4108" t="s">
        <v>14</v>
      </c>
      <c r="C4108" t="s">
        <v>26</v>
      </c>
      <c r="D4108" t="s">
        <v>11</v>
      </c>
      <c r="E4108" t="s">
        <v>12</v>
      </c>
      <c r="F4108">
        <v>208994548</v>
      </c>
      <c r="G4108">
        <v>208994553</v>
      </c>
      <c r="H4108">
        <v>208994610</v>
      </c>
      <c r="I4108">
        <v>208994617</v>
      </c>
    </row>
    <row r="4109" spans="1:9" x14ac:dyDescent="0.2">
      <c r="A4109" s="1" t="str">
        <f>"CRYGD"</f>
        <v>CRYGD</v>
      </c>
      <c r="B4109" t="s">
        <v>14</v>
      </c>
      <c r="C4109" t="s">
        <v>26</v>
      </c>
      <c r="D4109" t="s">
        <v>11</v>
      </c>
      <c r="E4109" t="s">
        <v>12</v>
      </c>
      <c r="F4109">
        <v>208989237</v>
      </c>
      <c r="G4109">
        <v>208989255</v>
      </c>
      <c r="H4109">
        <v>208989225</v>
      </c>
      <c r="I4109">
        <v>208989233</v>
      </c>
    </row>
    <row r="4110" spans="1:9" x14ac:dyDescent="0.2">
      <c r="A4110" s="1" t="str">
        <f>"CRYGN"</f>
        <v>CRYGN</v>
      </c>
      <c r="B4110" t="s">
        <v>14</v>
      </c>
      <c r="C4110" t="s">
        <v>33</v>
      </c>
      <c r="D4110" t="s">
        <v>11</v>
      </c>
      <c r="E4110" t="s">
        <v>12</v>
      </c>
      <c r="F4110">
        <v>151137211</v>
      </c>
      <c r="G4110">
        <v>151137230</v>
      </c>
      <c r="H4110">
        <v>151137006</v>
      </c>
      <c r="I4110">
        <v>151137013</v>
      </c>
    </row>
    <row r="4111" spans="1:9" x14ac:dyDescent="0.2">
      <c r="A4111" s="1" t="str">
        <f>"CRYGS"</f>
        <v>CRYGS</v>
      </c>
      <c r="B4111" t="s">
        <v>14</v>
      </c>
      <c r="C4111" t="s">
        <v>22</v>
      </c>
      <c r="D4111" t="s">
        <v>11</v>
      </c>
      <c r="E4111" t="s">
        <v>12</v>
      </c>
      <c r="F4111">
        <v>186262166</v>
      </c>
      <c r="G4111">
        <v>186262170</v>
      </c>
      <c r="H4111">
        <v>186262166</v>
      </c>
      <c r="I4111">
        <v>186262170</v>
      </c>
    </row>
    <row r="4112" spans="1:9" x14ac:dyDescent="0.2">
      <c r="A4112" s="1" t="str">
        <f>"CRYL1"</f>
        <v>CRYL1</v>
      </c>
      <c r="B4112" t="s">
        <v>14</v>
      </c>
      <c r="C4112" t="s">
        <v>39</v>
      </c>
      <c r="D4112" t="s">
        <v>11</v>
      </c>
      <c r="E4112" t="s">
        <v>12</v>
      </c>
      <c r="F4112">
        <v>21099935</v>
      </c>
      <c r="G4112">
        <v>21100014</v>
      </c>
      <c r="H4112">
        <v>21099935</v>
      </c>
      <c r="I4112">
        <v>21100014</v>
      </c>
    </row>
    <row r="4113" spans="1:9" x14ac:dyDescent="0.2">
      <c r="A4113" s="1" t="str">
        <f>"CRYM"</f>
        <v>CRYM</v>
      </c>
      <c r="B4113" t="s">
        <v>14</v>
      </c>
      <c r="C4113" t="s">
        <v>31</v>
      </c>
      <c r="D4113" t="s">
        <v>11</v>
      </c>
      <c r="E4113" t="s">
        <v>12</v>
      </c>
      <c r="F4113">
        <v>21289603</v>
      </c>
      <c r="G4113">
        <v>21289621</v>
      </c>
      <c r="H4113">
        <v>21289627</v>
      </c>
      <c r="I4113">
        <v>21289666</v>
      </c>
    </row>
    <row r="4114" spans="1:9" x14ac:dyDescent="0.2">
      <c r="A4114" s="1" t="str">
        <f>"CRYZ"</f>
        <v>CRYZ</v>
      </c>
      <c r="B4114" t="s">
        <v>14</v>
      </c>
      <c r="C4114" t="s">
        <v>19</v>
      </c>
      <c r="D4114" t="s">
        <v>11</v>
      </c>
      <c r="E4114" t="s">
        <v>12</v>
      </c>
      <c r="F4114">
        <v>75198681</v>
      </c>
      <c r="G4114">
        <v>75198750</v>
      </c>
      <c r="H4114">
        <v>75198681</v>
      </c>
      <c r="I4114">
        <v>75198750</v>
      </c>
    </row>
    <row r="4115" spans="1:9" x14ac:dyDescent="0.2">
      <c r="A4115" s="1" t="str">
        <f>"CRYZL1"</f>
        <v>CRYZL1</v>
      </c>
      <c r="B4115" t="s">
        <v>14</v>
      </c>
      <c r="C4115" t="s">
        <v>42</v>
      </c>
      <c r="D4115" t="s">
        <v>11</v>
      </c>
      <c r="E4115" t="s">
        <v>12</v>
      </c>
      <c r="F4115">
        <v>35014031</v>
      </c>
      <c r="G4115">
        <v>35014065</v>
      </c>
      <c r="H4115">
        <v>35014031</v>
      </c>
      <c r="I4115">
        <v>35014065</v>
      </c>
    </row>
    <row r="4116" spans="1:9" x14ac:dyDescent="0.2">
      <c r="A4116" s="1" t="str">
        <f>"CS"</f>
        <v>CS</v>
      </c>
      <c r="B4116" t="s">
        <v>14</v>
      </c>
      <c r="C4116" t="s">
        <v>16</v>
      </c>
      <c r="D4116" t="s">
        <v>11</v>
      </c>
      <c r="E4116" t="s">
        <v>12</v>
      </c>
      <c r="F4116">
        <v>56694083</v>
      </c>
      <c r="G4116">
        <v>56694139</v>
      </c>
      <c r="H4116">
        <v>56694142</v>
      </c>
      <c r="I4116">
        <v>56694178</v>
      </c>
    </row>
    <row r="4117" spans="1:9" x14ac:dyDescent="0.2">
      <c r="A4117" s="1" t="str">
        <f>"CSAD"</f>
        <v>CSAD</v>
      </c>
      <c r="B4117" t="s">
        <v>14</v>
      </c>
      <c r="C4117" t="s">
        <v>16</v>
      </c>
      <c r="D4117" t="s">
        <v>11</v>
      </c>
      <c r="E4117" t="s">
        <v>12</v>
      </c>
      <c r="F4117">
        <v>53574418</v>
      </c>
      <c r="G4117">
        <v>53574448</v>
      </c>
      <c r="H4117">
        <v>53574671</v>
      </c>
      <c r="I4117">
        <v>53574721</v>
      </c>
    </row>
    <row r="4118" spans="1:9" x14ac:dyDescent="0.2">
      <c r="A4118" s="1" t="str">
        <f>"CSAG1"</f>
        <v>CSAG1</v>
      </c>
      <c r="B4118" t="s">
        <v>14</v>
      </c>
      <c r="C4118" t="s">
        <v>37</v>
      </c>
      <c r="D4118" t="s">
        <v>17</v>
      </c>
      <c r="E4118" t="s">
        <v>12</v>
      </c>
      <c r="F4118">
        <v>151903207</v>
      </c>
      <c r="G4118">
        <v>151903234</v>
      </c>
      <c r="H4118">
        <v>151903253</v>
      </c>
      <c r="I4118">
        <v>151903273</v>
      </c>
    </row>
    <row r="4119" spans="1:9" x14ac:dyDescent="0.2">
      <c r="A4119" s="1" t="str">
        <f>"CSAG2"</f>
        <v>CSAG2</v>
      </c>
      <c r="B4119" t="s">
        <v>14</v>
      </c>
      <c r="C4119" t="s">
        <v>37</v>
      </c>
      <c r="D4119" t="s">
        <v>17</v>
      </c>
      <c r="E4119" t="s">
        <v>12</v>
      </c>
      <c r="F4119">
        <v>151922421</v>
      </c>
      <c r="G4119">
        <v>151922437</v>
      </c>
      <c r="H4119">
        <v>151922421</v>
      </c>
      <c r="I4119">
        <v>151922437</v>
      </c>
    </row>
    <row r="4120" spans="1:9" x14ac:dyDescent="0.2">
      <c r="A4120" s="1" t="str">
        <f>"CSAG3"</f>
        <v>CSAG3</v>
      </c>
      <c r="B4120" t="s">
        <v>263</v>
      </c>
      <c r="C4120" t="s">
        <v>37</v>
      </c>
      <c r="D4120" t="s">
        <v>11</v>
      </c>
      <c r="E4120" t="s">
        <v>20</v>
      </c>
      <c r="F4120">
        <v>151877746</v>
      </c>
      <c r="G4120">
        <v>151877746</v>
      </c>
      <c r="H4120">
        <v>151877746</v>
      </c>
      <c r="I4120">
        <v>151877746</v>
      </c>
    </row>
    <row r="4121" spans="1:9" x14ac:dyDescent="0.2">
      <c r="A4121" s="1" t="str">
        <f>"CSAG3"</f>
        <v>CSAG3</v>
      </c>
      <c r="B4121" t="s">
        <v>264</v>
      </c>
      <c r="C4121" t="s">
        <v>37</v>
      </c>
      <c r="D4121" t="s">
        <v>11</v>
      </c>
      <c r="E4121" t="s">
        <v>20</v>
      </c>
      <c r="F4121">
        <v>151883037</v>
      </c>
      <c r="G4121">
        <v>151883037</v>
      </c>
      <c r="H4121">
        <v>151883037</v>
      </c>
      <c r="I4121">
        <v>151883037</v>
      </c>
    </row>
    <row r="4122" spans="1:9" x14ac:dyDescent="0.2">
      <c r="A4122" s="1" t="str">
        <f>"CSDC2"</f>
        <v>CSDC2</v>
      </c>
      <c r="B4122" t="s">
        <v>14</v>
      </c>
      <c r="C4122" t="s">
        <v>21</v>
      </c>
      <c r="D4122" t="s">
        <v>17</v>
      </c>
      <c r="E4122" t="s">
        <v>12</v>
      </c>
      <c r="F4122">
        <v>41957064</v>
      </c>
      <c r="G4122">
        <v>41957141</v>
      </c>
      <c r="H4122">
        <v>41956977</v>
      </c>
      <c r="I4122">
        <v>41957035</v>
      </c>
    </row>
    <row r="4123" spans="1:9" x14ac:dyDescent="0.2">
      <c r="A4123" s="1" t="str">
        <f>"CSDE1"</f>
        <v>CSDE1</v>
      </c>
      <c r="B4123" t="s">
        <v>14</v>
      </c>
      <c r="C4123" t="s">
        <v>19</v>
      </c>
      <c r="D4123" t="s">
        <v>11</v>
      </c>
      <c r="E4123" t="s">
        <v>12</v>
      </c>
      <c r="F4123">
        <v>115300592</v>
      </c>
      <c r="G4123">
        <v>115300620</v>
      </c>
      <c r="H4123">
        <v>115300579</v>
      </c>
      <c r="I4123">
        <v>115300590</v>
      </c>
    </row>
    <row r="4124" spans="1:9" x14ac:dyDescent="0.2">
      <c r="A4124" s="1" t="str">
        <f>"CSE1L"</f>
        <v>CSE1L</v>
      </c>
      <c r="B4124" t="s">
        <v>14</v>
      </c>
      <c r="C4124" t="s">
        <v>29</v>
      </c>
      <c r="D4124" t="s">
        <v>17</v>
      </c>
      <c r="E4124" t="s">
        <v>12</v>
      </c>
      <c r="F4124">
        <v>47662805</v>
      </c>
      <c r="G4124">
        <v>47662907</v>
      </c>
      <c r="H4124">
        <v>47662805</v>
      </c>
      <c r="I4124">
        <v>47662907</v>
      </c>
    </row>
    <row r="4125" spans="1:9" x14ac:dyDescent="0.2">
      <c r="A4125" s="1" t="str">
        <f>"CSF1"</f>
        <v>CSF1</v>
      </c>
      <c r="B4125" t="s">
        <v>14</v>
      </c>
      <c r="C4125" t="s">
        <v>19</v>
      </c>
      <c r="D4125" t="s">
        <v>17</v>
      </c>
      <c r="E4125" t="s">
        <v>12</v>
      </c>
      <c r="F4125">
        <v>110453462</v>
      </c>
      <c r="G4125">
        <v>110453478</v>
      </c>
      <c r="H4125">
        <v>110453427</v>
      </c>
      <c r="I4125">
        <v>110453449</v>
      </c>
    </row>
    <row r="4126" spans="1:9" x14ac:dyDescent="0.2">
      <c r="A4126" s="1" t="str">
        <f>"CSF1R"</f>
        <v>CSF1R</v>
      </c>
      <c r="B4126" t="s">
        <v>14</v>
      </c>
      <c r="C4126" t="s">
        <v>46</v>
      </c>
      <c r="D4126" t="s">
        <v>11</v>
      </c>
      <c r="E4126" t="s">
        <v>12</v>
      </c>
      <c r="F4126">
        <v>149466042</v>
      </c>
      <c r="G4126">
        <v>149466143</v>
      </c>
      <c r="H4126">
        <v>149466178</v>
      </c>
      <c r="I4126">
        <v>149466206</v>
      </c>
    </row>
    <row r="4127" spans="1:9" x14ac:dyDescent="0.2">
      <c r="A4127" s="1" t="str">
        <f>"CSF2"</f>
        <v>CSF2</v>
      </c>
      <c r="B4127" t="s">
        <v>14</v>
      </c>
      <c r="C4127" t="s">
        <v>46</v>
      </c>
      <c r="D4127" t="s">
        <v>17</v>
      </c>
      <c r="E4127" t="s">
        <v>12</v>
      </c>
      <c r="F4127">
        <v>131409476</v>
      </c>
      <c r="G4127">
        <v>131409492</v>
      </c>
      <c r="H4127">
        <v>131409476</v>
      </c>
      <c r="I4127">
        <v>131409492</v>
      </c>
    </row>
    <row r="4128" spans="1:9" x14ac:dyDescent="0.2">
      <c r="A4128" s="1" t="str">
        <f>"CSF2RA"</f>
        <v>CSF2RA</v>
      </c>
      <c r="B4128" t="s">
        <v>14</v>
      </c>
      <c r="C4128" t="s">
        <v>37</v>
      </c>
      <c r="D4128" t="s">
        <v>17</v>
      </c>
      <c r="E4128" t="s">
        <v>12</v>
      </c>
      <c r="F4128">
        <v>1387700</v>
      </c>
      <c r="G4128">
        <v>1387717</v>
      </c>
      <c r="H4128">
        <v>1387721</v>
      </c>
      <c r="I4128">
        <v>1387738</v>
      </c>
    </row>
    <row r="4129" spans="1:9" x14ac:dyDescent="0.2">
      <c r="A4129" s="1" t="str">
        <f>"CSF2RB"</f>
        <v>CSF2RB</v>
      </c>
      <c r="B4129" t="s">
        <v>14</v>
      </c>
      <c r="C4129" t="s">
        <v>21</v>
      </c>
      <c r="D4129" t="s">
        <v>17</v>
      </c>
      <c r="E4129" t="s">
        <v>12</v>
      </c>
      <c r="F4129">
        <v>37309662</v>
      </c>
      <c r="G4129">
        <v>37309694</v>
      </c>
      <c r="H4129">
        <v>37309631</v>
      </c>
      <c r="I4129">
        <v>37309642</v>
      </c>
    </row>
    <row r="4130" spans="1:9" x14ac:dyDescent="0.2">
      <c r="A4130" s="1" t="str">
        <f>"CSF3"</f>
        <v>CSF3</v>
      </c>
      <c r="B4130" t="s">
        <v>14</v>
      </c>
      <c r="C4130" t="s">
        <v>28</v>
      </c>
      <c r="D4130" t="s">
        <v>17</v>
      </c>
      <c r="E4130" t="s">
        <v>12</v>
      </c>
      <c r="F4130">
        <v>38171681</v>
      </c>
      <c r="G4130">
        <v>38171699</v>
      </c>
      <c r="H4130">
        <v>38171624</v>
      </c>
      <c r="I4130">
        <v>38171635</v>
      </c>
    </row>
    <row r="4131" spans="1:9" x14ac:dyDescent="0.2">
      <c r="A4131" s="1" t="str">
        <f>"CSF3R"</f>
        <v>CSF3R</v>
      </c>
      <c r="B4131" t="s">
        <v>14</v>
      </c>
      <c r="C4131" t="s">
        <v>19</v>
      </c>
      <c r="D4131" t="s">
        <v>11</v>
      </c>
      <c r="E4131" t="s">
        <v>12</v>
      </c>
      <c r="F4131">
        <v>36948505</v>
      </c>
      <c r="G4131">
        <v>36948540</v>
      </c>
      <c r="H4131">
        <v>36948458</v>
      </c>
      <c r="I4131">
        <v>36948479</v>
      </c>
    </row>
    <row r="4132" spans="1:9" x14ac:dyDescent="0.2">
      <c r="A4132" s="1" t="str">
        <f>"CSGALNACT1"</f>
        <v>CSGALNACT1</v>
      </c>
      <c r="B4132" t="s">
        <v>9</v>
      </c>
      <c r="C4132" t="s">
        <v>30</v>
      </c>
      <c r="D4132" t="s">
        <v>11</v>
      </c>
      <c r="E4132" t="s">
        <v>12</v>
      </c>
      <c r="F4132">
        <v>19614724</v>
      </c>
      <c r="G4132">
        <v>19614798</v>
      </c>
      <c r="H4132">
        <v>19614724</v>
      </c>
      <c r="I4132">
        <v>19614798</v>
      </c>
    </row>
    <row r="4133" spans="1:9" x14ac:dyDescent="0.2">
      <c r="A4133" s="1" t="str">
        <f>"CSGALNACT1"</f>
        <v>CSGALNACT1</v>
      </c>
      <c r="B4133" t="s">
        <v>13</v>
      </c>
      <c r="C4133" t="s">
        <v>30</v>
      </c>
      <c r="D4133" t="s">
        <v>11</v>
      </c>
      <c r="E4133" t="s">
        <v>12</v>
      </c>
      <c r="F4133">
        <v>19459708</v>
      </c>
      <c r="G4133">
        <v>19459747</v>
      </c>
      <c r="H4133">
        <v>19459708</v>
      </c>
      <c r="I4133">
        <v>19459747</v>
      </c>
    </row>
    <row r="4134" spans="1:9" x14ac:dyDescent="0.2">
      <c r="A4134" s="1" t="str">
        <f>"CSGALNACT2"</f>
        <v>CSGALNACT2</v>
      </c>
      <c r="B4134" t="s">
        <v>14</v>
      </c>
      <c r="C4134" t="s">
        <v>15</v>
      </c>
      <c r="D4134" t="s">
        <v>17</v>
      </c>
      <c r="E4134" t="s">
        <v>12</v>
      </c>
      <c r="F4134">
        <v>43633883</v>
      </c>
      <c r="G4134">
        <v>43633904</v>
      </c>
      <c r="H4134">
        <v>43633914</v>
      </c>
      <c r="I4134">
        <v>43633935</v>
      </c>
    </row>
    <row r="4135" spans="1:9" x14ac:dyDescent="0.2">
      <c r="A4135" s="1" t="str">
        <f>"CSH1"</f>
        <v>CSH1</v>
      </c>
      <c r="B4135" t="s">
        <v>14</v>
      </c>
      <c r="C4135" t="s">
        <v>28</v>
      </c>
      <c r="D4135" t="s">
        <v>11</v>
      </c>
      <c r="E4135" t="s">
        <v>12</v>
      </c>
      <c r="F4135">
        <v>61973889</v>
      </c>
      <c r="G4135">
        <v>61973921</v>
      </c>
      <c r="H4135">
        <v>61973889</v>
      </c>
      <c r="I4135">
        <v>61973921</v>
      </c>
    </row>
    <row r="4136" spans="1:9" x14ac:dyDescent="0.2">
      <c r="A4136" s="1" t="str">
        <f>"CSH2"</f>
        <v>CSH2</v>
      </c>
      <c r="B4136" t="s">
        <v>9</v>
      </c>
      <c r="C4136" t="s">
        <v>28</v>
      </c>
      <c r="D4136" t="s">
        <v>11</v>
      </c>
      <c r="E4136" t="s">
        <v>12</v>
      </c>
      <c r="F4136">
        <v>61950617</v>
      </c>
      <c r="G4136">
        <v>61950645</v>
      </c>
      <c r="H4136">
        <v>61950617</v>
      </c>
      <c r="I4136">
        <v>61950645</v>
      </c>
    </row>
    <row r="4137" spans="1:9" x14ac:dyDescent="0.2">
      <c r="A4137" s="1" t="str">
        <f>"CSH2"</f>
        <v>CSH2</v>
      </c>
      <c r="B4137" t="s">
        <v>13</v>
      </c>
      <c r="C4137" t="s">
        <v>28</v>
      </c>
      <c r="D4137" t="s">
        <v>11</v>
      </c>
      <c r="E4137" t="s">
        <v>12</v>
      </c>
      <c r="F4137">
        <v>61973988</v>
      </c>
      <c r="G4137">
        <v>61973991</v>
      </c>
      <c r="H4137">
        <v>61973988</v>
      </c>
      <c r="I4137">
        <v>61973991</v>
      </c>
    </row>
    <row r="4138" spans="1:9" x14ac:dyDescent="0.2">
      <c r="A4138" s="1" t="str">
        <f>"CSHL1"</f>
        <v>CSHL1</v>
      </c>
      <c r="B4138" t="s">
        <v>9</v>
      </c>
      <c r="C4138" t="s">
        <v>28</v>
      </c>
      <c r="D4138" t="s">
        <v>11</v>
      </c>
      <c r="E4138" t="s">
        <v>12</v>
      </c>
      <c r="F4138">
        <v>61988610</v>
      </c>
      <c r="G4138">
        <v>61988623</v>
      </c>
      <c r="H4138">
        <v>61988610</v>
      </c>
      <c r="I4138">
        <v>61988623</v>
      </c>
    </row>
    <row r="4139" spans="1:9" x14ac:dyDescent="0.2">
      <c r="A4139" s="1" t="str">
        <f>"CSHL1"</f>
        <v>CSHL1</v>
      </c>
      <c r="B4139" t="s">
        <v>13</v>
      </c>
      <c r="C4139" t="s">
        <v>28</v>
      </c>
      <c r="D4139" t="s">
        <v>11</v>
      </c>
      <c r="E4139" t="s">
        <v>12</v>
      </c>
      <c r="F4139">
        <v>61996192</v>
      </c>
      <c r="G4139">
        <v>61996199</v>
      </c>
      <c r="H4139">
        <v>61996192</v>
      </c>
      <c r="I4139">
        <v>61996199</v>
      </c>
    </row>
    <row r="4140" spans="1:9" x14ac:dyDescent="0.2">
      <c r="A4140" s="1" t="str">
        <f>"CSK"</f>
        <v>CSK</v>
      </c>
      <c r="B4140" t="s">
        <v>14</v>
      </c>
      <c r="C4140" t="s">
        <v>25</v>
      </c>
      <c r="D4140" t="s">
        <v>17</v>
      </c>
      <c r="E4140" t="s">
        <v>12</v>
      </c>
      <c r="F4140">
        <v>75074410</v>
      </c>
      <c r="G4140">
        <v>75074506</v>
      </c>
      <c r="H4140">
        <v>75074868</v>
      </c>
      <c r="I4140">
        <v>75074911</v>
      </c>
    </row>
    <row r="4141" spans="1:9" x14ac:dyDescent="0.2">
      <c r="A4141" s="1" t="str">
        <f>"CSMD1"</f>
        <v>CSMD1</v>
      </c>
      <c r="B4141" t="s">
        <v>14</v>
      </c>
      <c r="C4141" t="s">
        <v>30</v>
      </c>
      <c r="D4141" t="s">
        <v>11</v>
      </c>
      <c r="E4141" t="s">
        <v>12</v>
      </c>
      <c r="F4141">
        <v>4852276</v>
      </c>
      <c r="G4141">
        <v>4852339</v>
      </c>
      <c r="H4141">
        <v>4852550</v>
      </c>
      <c r="I4141">
        <v>4852596</v>
      </c>
    </row>
    <row r="4142" spans="1:9" x14ac:dyDescent="0.2">
      <c r="A4142" s="1" t="str">
        <f>"CSMD2"</f>
        <v>CSMD2</v>
      </c>
      <c r="B4142" t="s">
        <v>14</v>
      </c>
      <c r="C4142" t="s">
        <v>19</v>
      </c>
      <c r="D4142" t="s">
        <v>11</v>
      </c>
      <c r="E4142" t="s">
        <v>12</v>
      </c>
      <c r="F4142">
        <v>34630820</v>
      </c>
      <c r="G4142">
        <v>34630844</v>
      </c>
      <c r="H4142">
        <v>34630758</v>
      </c>
      <c r="I4142">
        <v>34630772</v>
      </c>
    </row>
    <row r="4143" spans="1:9" x14ac:dyDescent="0.2">
      <c r="A4143" s="1" t="str">
        <f>"CSMD3"</f>
        <v>CSMD3</v>
      </c>
      <c r="B4143" t="s">
        <v>14</v>
      </c>
      <c r="C4143" t="s">
        <v>30</v>
      </c>
      <c r="D4143" t="s">
        <v>11</v>
      </c>
      <c r="E4143" t="s">
        <v>12</v>
      </c>
      <c r="F4143">
        <v>114449161</v>
      </c>
      <c r="G4143">
        <v>114449175</v>
      </c>
      <c r="H4143">
        <v>114449161</v>
      </c>
      <c r="I4143">
        <v>114449175</v>
      </c>
    </row>
    <row r="4144" spans="1:9" x14ac:dyDescent="0.2">
      <c r="A4144" s="1" t="str">
        <f>"CSN1S1"</f>
        <v>CSN1S1</v>
      </c>
      <c r="B4144" t="s">
        <v>14</v>
      </c>
      <c r="C4144" t="s">
        <v>23</v>
      </c>
      <c r="D4144" t="s">
        <v>17</v>
      </c>
      <c r="E4144" t="s">
        <v>12</v>
      </c>
      <c r="F4144">
        <v>70796784</v>
      </c>
      <c r="G4144">
        <v>70796789</v>
      </c>
      <c r="H4144">
        <v>70796784</v>
      </c>
      <c r="I4144">
        <v>70796789</v>
      </c>
    </row>
    <row r="4145" spans="1:9" x14ac:dyDescent="0.2">
      <c r="A4145" s="1" t="str">
        <f>"CSN2"</f>
        <v>CSN2</v>
      </c>
      <c r="B4145" t="s">
        <v>265</v>
      </c>
      <c r="C4145" t="s">
        <v>23</v>
      </c>
      <c r="D4145" t="s">
        <v>11</v>
      </c>
      <c r="E4145" t="s">
        <v>20</v>
      </c>
      <c r="F4145">
        <v>70826724</v>
      </c>
      <c r="G4145">
        <v>70826724</v>
      </c>
      <c r="H4145">
        <v>70826724</v>
      </c>
      <c r="I4145">
        <v>70826724</v>
      </c>
    </row>
    <row r="4146" spans="1:9" x14ac:dyDescent="0.2">
      <c r="A4146" s="1" t="str">
        <f>"CSN3"</f>
        <v>CSN3</v>
      </c>
      <c r="B4146" t="s">
        <v>14</v>
      </c>
      <c r="C4146" t="s">
        <v>23</v>
      </c>
      <c r="D4146" t="s">
        <v>17</v>
      </c>
      <c r="E4146" t="s">
        <v>12</v>
      </c>
      <c r="F4146">
        <v>71108300</v>
      </c>
      <c r="G4146">
        <v>71108323</v>
      </c>
      <c r="H4146">
        <v>71108300</v>
      </c>
      <c r="I4146">
        <v>71108323</v>
      </c>
    </row>
    <row r="4147" spans="1:9" x14ac:dyDescent="0.2">
      <c r="A4147" s="1" t="str">
        <f>"CSNK1A1"</f>
        <v>CSNK1A1</v>
      </c>
      <c r="B4147" t="s">
        <v>14</v>
      </c>
      <c r="C4147" t="s">
        <v>46</v>
      </c>
      <c r="D4147" t="s">
        <v>11</v>
      </c>
      <c r="E4147" t="s">
        <v>12</v>
      </c>
      <c r="F4147">
        <v>148930978</v>
      </c>
      <c r="G4147">
        <v>148931013</v>
      </c>
      <c r="H4147">
        <v>148931031</v>
      </c>
      <c r="I4147">
        <v>148931052</v>
      </c>
    </row>
    <row r="4148" spans="1:9" x14ac:dyDescent="0.2">
      <c r="A4148" s="1" t="str">
        <f>"CSNK1A1L"</f>
        <v>CSNK1A1L</v>
      </c>
      <c r="B4148" t="s">
        <v>14</v>
      </c>
      <c r="C4148" t="s">
        <v>39</v>
      </c>
      <c r="D4148" t="s">
        <v>11</v>
      </c>
      <c r="E4148" t="s">
        <v>12</v>
      </c>
      <c r="F4148">
        <v>37678950</v>
      </c>
      <c r="G4148">
        <v>37678952</v>
      </c>
      <c r="H4148">
        <v>37679772</v>
      </c>
      <c r="I4148">
        <v>37679778</v>
      </c>
    </row>
    <row r="4149" spans="1:9" x14ac:dyDescent="0.2">
      <c r="A4149" s="1" t="str">
        <f>"CSNK1D"</f>
        <v>CSNK1D</v>
      </c>
      <c r="B4149" t="s">
        <v>14</v>
      </c>
      <c r="C4149" t="s">
        <v>28</v>
      </c>
      <c r="D4149" t="s">
        <v>11</v>
      </c>
      <c r="E4149" t="s">
        <v>12</v>
      </c>
      <c r="F4149">
        <v>80231300</v>
      </c>
      <c r="G4149">
        <v>80231319</v>
      </c>
      <c r="H4149">
        <v>80231557</v>
      </c>
      <c r="I4149">
        <v>80231598</v>
      </c>
    </row>
    <row r="4150" spans="1:9" x14ac:dyDescent="0.2">
      <c r="A4150" s="1" t="str">
        <f>"CSNK1E"</f>
        <v>CSNK1E</v>
      </c>
      <c r="B4150" t="s">
        <v>14</v>
      </c>
      <c r="C4150" t="s">
        <v>21</v>
      </c>
      <c r="D4150" t="s">
        <v>11</v>
      </c>
      <c r="E4150" t="s">
        <v>12</v>
      </c>
      <c r="F4150">
        <v>38713428</v>
      </c>
      <c r="G4150">
        <v>38713446</v>
      </c>
      <c r="H4150">
        <v>38713333</v>
      </c>
      <c r="I4150">
        <v>38713350</v>
      </c>
    </row>
    <row r="4151" spans="1:9" x14ac:dyDescent="0.2">
      <c r="A4151" s="1" t="str">
        <f>"CSNK1G1"</f>
        <v>CSNK1G1</v>
      </c>
      <c r="B4151" t="s">
        <v>14</v>
      </c>
      <c r="C4151" t="s">
        <v>25</v>
      </c>
      <c r="D4151" t="s">
        <v>11</v>
      </c>
      <c r="E4151" t="s">
        <v>12</v>
      </c>
      <c r="F4151">
        <v>64648273</v>
      </c>
      <c r="G4151">
        <v>64648382</v>
      </c>
      <c r="H4151">
        <v>64648247</v>
      </c>
      <c r="I4151">
        <v>64648267</v>
      </c>
    </row>
    <row r="4152" spans="1:9" x14ac:dyDescent="0.2">
      <c r="A4152" s="1" t="str">
        <f>"CSNK1G2"</f>
        <v>CSNK1G2</v>
      </c>
      <c r="B4152" t="s">
        <v>14</v>
      </c>
      <c r="C4152" t="s">
        <v>10</v>
      </c>
      <c r="D4152" t="s">
        <v>17</v>
      </c>
      <c r="E4152" t="s">
        <v>12</v>
      </c>
      <c r="F4152">
        <v>1941117</v>
      </c>
      <c r="G4152">
        <v>1941200</v>
      </c>
      <c r="H4152">
        <v>1941220</v>
      </c>
      <c r="I4152">
        <v>1941231</v>
      </c>
    </row>
    <row r="4153" spans="1:9" x14ac:dyDescent="0.2">
      <c r="A4153" s="1" t="str">
        <f>"CSNK1G3"</f>
        <v>CSNK1G3</v>
      </c>
      <c r="B4153" t="s">
        <v>14</v>
      </c>
      <c r="C4153" t="s">
        <v>46</v>
      </c>
      <c r="D4153" t="s">
        <v>17</v>
      </c>
      <c r="E4153" t="s">
        <v>12</v>
      </c>
      <c r="F4153">
        <v>122847908</v>
      </c>
      <c r="G4153">
        <v>122847973</v>
      </c>
      <c r="H4153">
        <v>122847864</v>
      </c>
      <c r="I4153">
        <v>122847900</v>
      </c>
    </row>
    <row r="4154" spans="1:9" x14ac:dyDescent="0.2">
      <c r="A4154" s="1" t="str">
        <f>"CSNK2A1"</f>
        <v>CSNK2A1</v>
      </c>
      <c r="B4154" t="s">
        <v>14</v>
      </c>
      <c r="C4154" t="s">
        <v>29</v>
      </c>
      <c r="D4154" t="s">
        <v>11</v>
      </c>
      <c r="E4154" t="s">
        <v>12</v>
      </c>
      <c r="F4154">
        <v>524415</v>
      </c>
      <c r="G4154">
        <v>524442</v>
      </c>
      <c r="H4154">
        <v>524362</v>
      </c>
      <c r="I4154">
        <v>524412</v>
      </c>
    </row>
    <row r="4155" spans="1:9" x14ac:dyDescent="0.2">
      <c r="A4155" s="1" t="str">
        <f>"CSNK2A2"</f>
        <v>CSNK2A2</v>
      </c>
      <c r="B4155" t="s">
        <v>14</v>
      </c>
      <c r="C4155" t="s">
        <v>31</v>
      </c>
      <c r="D4155" t="s">
        <v>11</v>
      </c>
      <c r="E4155" t="s">
        <v>12</v>
      </c>
      <c r="F4155">
        <v>58231964</v>
      </c>
      <c r="G4155">
        <v>58232078</v>
      </c>
      <c r="H4155">
        <v>58232083</v>
      </c>
      <c r="I4155">
        <v>58232108</v>
      </c>
    </row>
    <row r="4156" spans="1:9" x14ac:dyDescent="0.2">
      <c r="A4156" s="1" t="str">
        <f>"CSNK2A3"</f>
        <v>CSNK2A3</v>
      </c>
      <c r="B4156" t="s">
        <v>14</v>
      </c>
      <c r="C4156" t="s">
        <v>27</v>
      </c>
      <c r="D4156" t="s">
        <v>11</v>
      </c>
      <c r="E4156" t="s">
        <v>12</v>
      </c>
      <c r="F4156">
        <v>11374788</v>
      </c>
      <c r="G4156">
        <v>11374805</v>
      </c>
      <c r="H4156">
        <v>11374788</v>
      </c>
      <c r="I4156">
        <v>11374805</v>
      </c>
    </row>
    <row r="4157" spans="1:9" x14ac:dyDescent="0.2">
      <c r="A4157" s="1" t="str">
        <f>"CSNK2B"</f>
        <v>CSNK2B</v>
      </c>
      <c r="B4157" t="s">
        <v>14</v>
      </c>
      <c r="C4157" t="s">
        <v>32</v>
      </c>
      <c r="D4157" t="s">
        <v>17</v>
      </c>
      <c r="E4157" t="s">
        <v>12</v>
      </c>
      <c r="F4157">
        <v>31633833</v>
      </c>
      <c r="G4157">
        <v>31633901</v>
      </c>
      <c r="H4157">
        <v>31633902</v>
      </c>
      <c r="I4157">
        <v>31633919</v>
      </c>
    </row>
    <row r="4158" spans="1:9" x14ac:dyDescent="0.2">
      <c r="A4158" s="1" t="str">
        <f>"CSPG4"</f>
        <v>CSPG4</v>
      </c>
      <c r="B4158" t="s">
        <v>14</v>
      </c>
      <c r="C4158" t="s">
        <v>25</v>
      </c>
      <c r="D4158" t="s">
        <v>11</v>
      </c>
      <c r="E4158" t="s">
        <v>12</v>
      </c>
      <c r="F4158">
        <v>76005170</v>
      </c>
      <c r="G4158">
        <v>76005197</v>
      </c>
      <c r="H4158">
        <v>76005151</v>
      </c>
      <c r="I4158">
        <v>76005167</v>
      </c>
    </row>
    <row r="4159" spans="1:9" x14ac:dyDescent="0.2">
      <c r="A4159" s="1" t="str">
        <f>"CSPG5"</f>
        <v>CSPG5</v>
      </c>
      <c r="B4159" t="s">
        <v>14</v>
      </c>
      <c r="C4159" t="s">
        <v>22</v>
      </c>
      <c r="D4159" t="s">
        <v>11</v>
      </c>
      <c r="E4159" t="s">
        <v>12</v>
      </c>
      <c r="F4159">
        <v>47620323</v>
      </c>
      <c r="G4159">
        <v>47620366</v>
      </c>
      <c r="H4159">
        <v>47620292</v>
      </c>
      <c r="I4159">
        <v>47620315</v>
      </c>
    </row>
    <row r="4160" spans="1:9" x14ac:dyDescent="0.2">
      <c r="A4160" s="1" t="str">
        <f>"CSPP1"</f>
        <v>CSPP1</v>
      </c>
      <c r="B4160" t="s">
        <v>14</v>
      </c>
      <c r="C4160" t="s">
        <v>30</v>
      </c>
      <c r="D4160" t="s">
        <v>17</v>
      </c>
      <c r="E4160" t="s">
        <v>12</v>
      </c>
      <c r="F4160">
        <v>67976593</v>
      </c>
      <c r="G4160">
        <v>67976645</v>
      </c>
      <c r="H4160">
        <v>67976646</v>
      </c>
      <c r="I4160">
        <v>67976676</v>
      </c>
    </row>
    <row r="4161" spans="1:9" x14ac:dyDescent="0.2">
      <c r="A4161" s="1" t="str">
        <f>"CSRNP1"</f>
        <v>CSRNP1</v>
      </c>
      <c r="B4161" t="s">
        <v>14</v>
      </c>
      <c r="C4161" t="s">
        <v>22</v>
      </c>
      <c r="D4161" t="s">
        <v>11</v>
      </c>
      <c r="E4161" t="s">
        <v>12</v>
      </c>
      <c r="F4161">
        <v>39195075</v>
      </c>
      <c r="G4161">
        <v>39195088</v>
      </c>
      <c r="H4161">
        <v>39195037</v>
      </c>
      <c r="I4161">
        <v>39195069</v>
      </c>
    </row>
    <row r="4162" spans="1:9" x14ac:dyDescent="0.2">
      <c r="A4162" s="1" t="str">
        <f>"CSRNP2"</f>
        <v>CSRNP2</v>
      </c>
      <c r="B4162" t="s">
        <v>14</v>
      </c>
      <c r="C4162" t="s">
        <v>16</v>
      </c>
      <c r="D4162" t="s">
        <v>11</v>
      </c>
      <c r="E4162" t="s">
        <v>12</v>
      </c>
      <c r="F4162">
        <v>51477368</v>
      </c>
      <c r="G4162">
        <v>51477386</v>
      </c>
      <c r="H4162">
        <v>51477368</v>
      </c>
      <c r="I4162">
        <v>51477386</v>
      </c>
    </row>
    <row r="4163" spans="1:9" x14ac:dyDescent="0.2">
      <c r="A4163" s="1" t="str">
        <f>"CSRNP3"</f>
        <v>CSRNP3</v>
      </c>
      <c r="B4163" t="s">
        <v>9</v>
      </c>
      <c r="C4163" t="s">
        <v>26</v>
      </c>
      <c r="D4163" t="s">
        <v>17</v>
      </c>
      <c r="E4163" t="s">
        <v>12</v>
      </c>
      <c r="F4163">
        <v>166326200</v>
      </c>
      <c r="G4163">
        <v>166326216</v>
      </c>
      <c r="H4163">
        <v>166326200</v>
      </c>
      <c r="I4163">
        <v>166326216</v>
      </c>
    </row>
    <row r="4164" spans="1:9" x14ac:dyDescent="0.2">
      <c r="A4164" s="1" t="str">
        <f>"CSRNP3"</f>
        <v>CSRNP3</v>
      </c>
      <c r="B4164" t="s">
        <v>13</v>
      </c>
      <c r="C4164" t="s">
        <v>26</v>
      </c>
      <c r="D4164" t="s">
        <v>17</v>
      </c>
      <c r="E4164" t="s">
        <v>12</v>
      </c>
      <c r="F4164">
        <v>166428839</v>
      </c>
      <c r="G4164">
        <v>166428859</v>
      </c>
      <c r="H4164">
        <v>166428839</v>
      </c>
      <c r="I4164">
        <v>166428859</v>
      </c>
    </row>
    <row r="4165" spans="1:9" x14ac:dyDescent="0.2">
      <c r="A4165" s="1" t="str">
        <f>"CSRP1"</f>
        <v>CSRP1</v>
      </c>
      <c r="B4165" t="s">
        <v>14</v>
      </c>
      <c r="C4165" t="s">
        <v>19</v>
      </c>
      <c r="D4165" t="s">
        <v>11</v>
      </c>
      <c r="E4165" t="s">
        <v>12</v>
      </c>
      <c r="F4165">
        <v>201476220</v>
      </c>
      <c r="G4165">
        <v>201476260</v>
      </c>
      <c r="H4165">
        <v>201476274</v>
      </c>
      <c r="I4165">
        <v>201476288</v>
      </c>
    </row>
    <row r="4166" spans="1:9" x14ac:dyDescent="0.2">
      <c r="A4166" s="1" t="str">
        <f>"CSRP2"</f>
        <v>CSRP2</v>
      </c>
      <c r="B4166" t="s">
        <v>14</v>
      </c>
      <c r="C4166" t="s">
        <v>16</v>
      </c>
      <c r="D4166" t="s">
        <v>11</v>
      </c>
      <c r="E4166" t="s">
        <v>12</v>
      </c>
      <c r="F4166">
        <v>77272786</v>
      </c>
      <c r="G4166">
        <v>77272806</v>
      </c>
      <c r="H4166">
        <v>77272936</v>
      </c>
      <c r="I4166">
        <v>77272972</v>
      </c>
    </row>
    <row r="4167" spans="1:9" x14ac:dyDescent="0.2">
      <c r="A4167" s="1" t="str">
        <f>"CSRP2BP"</f>
        <v>CSRP2BP</v>
      </c>
      <c r="B4167" t="s">
        <v>14</v>
      </c>
      <c r="C4167" t="s">
        <v>29</v>
      </c>
      <c r="D4167" t="s">
        <v>17</v>
      </c>
      <c r="E4167" t="s">
        <v>12</v>
      </c>
      <c r="F4167">
        <v>18118486</v>
      </c>
      <c r="G4167">
        <v>18118525</v>
      </c>
      <c r="H4167">
        <v>18118529</v>
      </c>
      <c r="I4167">
        <v>18118555</v>
      </c>
    </row>
    <row r="4168" spans="1:9" x14ac:dyDescent="0.2">
      <c r="A4168" s="1" t="str">
        <f>"CSRP3"</f>
        <v>CSRP3</v>
      </c>
      <c r="B4168" t="s">
        <v>14</v>
      </c>
      <c r="C4168" t="s">
        <v>27</v>
      </c>
      <c r="D4168" t="s">
        <v>11</v>
      </c>
      <c r="E4168" t="s">
        <v>12</v>
      </c>
      <c r="F4168">
        <v>19223523</v>
      </c>
      <c r="G4168">
        <v>19223541</v>
      </c>
      <c r="H4168">
        <v>19223523</v>
      </c>
      <c r="I4168">
        <v>19223541</v>
      </c>
    </row>
    <row r="4169" spans="1:9" x14ac:dyDescent="0.2">
      <c r="A4169" s="1" t="str">
        <f>"CST1"</f>
        <v>CST1</v>
      </c>
      <c r="B4169" t="s">
        <v>14</v>
      </c>
      <c r="C4169" t="s">
        <v>29</v>
      </c>
      <c r="D4169" t="s">
        <v>11</v>
      </c>
      <c r="E4169" t="s">
        <v>12</v>
      </c>
      <c r="F4169">
        <v>23731397</v>
      </c>
      <c r="G4169">
        <v>23731434</v>
      </c>
      <c r="H4169">
        <v>23731397</v>
      </c>
      <c r="I4169">
        <v>23731434</v>
      </c>
    </row>
    <row r="4170" spans="1:9" x14ac:dyDescent="0.2">
      <c r="A4170" s="1" t="str">
        <f>"CST11"</f>
        <v>CST11</v>
      </c>
      <c r="B4170" t="s">
        <v>14</v>
      </c>
      <c r="C4170" t="s">
        <v>29</v>
      </c>
      <c r="D4170" t="s">
        <v>11</v>
      </c>
      <c r="E4170" t="s">
        <v>12</v>
      </c>
      <c r="F4170">
        <v>23433502</v>
      </c>
      <c r="G4170">
        <v>23433514</v>
      </c>
      <c r="H4170">
        <v>23433471</v>
      </c>
      <c r="I4170">
        <v>23433480</v>
      </c>
    </row>
    <row r="4171" spans="1:9" x14ac:dyDescent="0.2">
      <c r="A4171" s="1" t="str">
        <f>"CST2"</f>
        <v>CST2</v>
      </c>
      <c r="B4171" t="s">
        <v>14</v>
      </c>
      <c r="C4171" t="s">
        <v>29</v>
      </c>
      <c r="D4171" t="s">
        <v>11</v>
      </c>
      <c r="E4171" t="s">
        <v>12</v>
      </c>
      <c r="F4171">
        <v>23807358</v>
      </c>
      <c r="G4171">
        <v>23807372</v>
      </c>
      <c r="H4171">
        <v>23807358</v>
      </c>
      <c r="I4171">
        <v>23807372</v>
      </c>
    </row>
    <row r="4172" spans="1:9" x14ac:dyDescent="0.2">
      <c r="A4172" s="1" t="str">
        <f>"CST3"</f>
        <v>CST3</v>
      </c>
      <c r="B4172" t="s">
        <v>14</v>
      </c>
      <c r="C4172" t="s">
        <v>29</v>
      </c>
      <c r="D4172" t="s">
        <v>11</v>
      </c>
      <c r="E4172" t="s">
        <v>12</v>
      </c>
      <c r="F4172">
        <v>23618584</v>
      </c>
      <c r="G4172">
        <v>23618603</v>
      </c>
      <c r="H4172">
        <v>23619088</v>
      </c>
      <c r="I4172">
        <v>23619100</v>
      </c>
    </row>
    <row r="4173" spans="1:9" x14ac:dyDescent="0.2">
      <c r="A4173" s="1" t="str">
        <f>"CST4"</f>
        <v>CST4</v>
      </c>
      <c r="B4173" t="s">
        <v>14</v>
      </c>
      <c r="C4173" t="s">
        <v>29</v>
      </c>
      <c r="D4173" t="s">
        <v>11</v>
      </c>
      <c r="E4173" t="s">
        <v>12</v>
      </c>
      <c r="F4173">
        <v>23669590</v>
      </c>
      <c r="G4173">
        <v>23669615</v>
      </c>
      <c r="H4173">
        <v>23669519</v>
      </c>
      <c r="I4173">
        <v>23669536</v>
      </c>
    </row>
    <row r="4174" spans="1:9" x14ac:dyDescent="0.2">
      <c r="A4174" s="1" t="str">
        <f>"CST5"</f>
        <v>CST5</v>
      </c>
      <c r="B4174" t="s">
        <v>14</v>
      </c>
      <c r="C4174" t="s">
        <v>29</v>
      </c>
      <c r="D4174" t="s">
        <v>11</v>
      </c>
      <c r="E4174" t="s">
        <v>12</v>
      </c>
      <c r="F4174">
        <v>23860373</v>
      </c>
      <c r="G4174">
        <v>23860397</v>
      </c>
      <c r="H4174">
        <v>23860373</v>
      </c>
      <c r="I4174">
        <v>23860397</v>
      </c>
    </row>
    <row r="4175" spans="1:9" x14ac:dyDescent="0.2">
      <c r="A4175" s="1" t="str">
        <f>"CST6"</f>
        <v>CST6</v>
      </c>
      <c r="B4175" t="s">
        <v>14</v>
      </c>
      <c r="C4175" t="s">
        <v>27</v>
      </c>
      <c r="D4175" t="s">
        <v>17</v>
      </c>
      <c r="E4175" t="s">
        <v>12</v>
      </c>
      <c r="F4175">
        <v>65779425</v>
      </c>
      <c r="G4175">
        <v>65779509</v>
      </c>
      <c r="H4175">
        <v>65778943</v>
      </c>
      <c r="I4175">
        <v>65778967</v>
      </c>
    </row>
    <row r="4176" spans="1:9" x14ac:dyDescent="0.2">
      <c r="A4176" s="1" t="str">
        <f>"CST7"</f>
        <v>CST7</v>
      </c>
      <c r="B4176" t="s">
        <v>14</v>
      </c>
      <c r="C4176" t="s">
        <v>29</v>
      </c>
      <c r="D4176" t="s">
        <v>17</v>
      </c>
      <c r="E4176" t="s">
        <v>12</v>
      </c>
      <c r="F4176">
        <v>24929892</v>
      </c>
      <c r="G4176">
        <v>24929918</v>
      </c>
      <c r="H4176">
        <v>24929935</v>
      </c>
      <c r="I4176">
        <v>24929964</v>
      </c>
    </row>
    <row r="4177" spans="1:9" x14ac:dyDescent="0.2">
      <c r="A4177" s="1" t="str">
        <f>"CST8"</f>
        <v>CST8</v>
      </c>
      <c r="B4177" t="s">
        <v>14</v>
      </c>
      <c r="C4177" t="s">
        <v>29</v>
      </c>
      <c r="D4177" t="s">
        <v>17</v>
      </c>
      <c r="E4177" t="s">
        <v>12</v>
      </c>
      <c r="F4177">
        <v>23471727</v>
      </c>
      <c r="G4177">
        <v>23471757</v>
      </c>
      <c r="H4177">
        <v>23471727</v>
      </c>
      <c r="I4177">
        <v>23471757</v>
      </c>
    </row>
    <row r="4178" spans="1:9" x14ac:dyDescent="0.2">
      <c r="A4178" s="1" t="str">
        <f>"CST9"</f>
        <v>CST9</v>
      </c>
      <c r="B4178" t="s">
        <v>14</v>
      </c>
      <c r="C4178" t="s">
        <v>29</v>
      </c>
      <c r="D4178" t="s">
        <v>11</v>
      </c>
      <c r="E4178" t="s">
        <v>12</v>
      </c>
      <c r="F4178">
        <v>23586553</v>
      </c>
      <c r="G4178">
        <v>23586560</v>
      </c>
      <c r="H4178">
        <v>23586553</v>
      </c>
      <c r="I4178">
        <v>23586560</v>
      </c>
    </row>
    <row r="4179" spans="1:9" x14ac:dyDescent="0.2">
      <c r="A4179" s="1" t="str">
        <f>"CST9L"</f>
        <v>CST9L</v>
      </c>
      <c r="B4179" t="s">
        <v>14</v>
      </c>
      <c r="C4179" t="s">
        <v>29</v>
      </c>
      <c r="D4179" t="s">
        <v>11</v>
      </c>
      <c r="E4179" t="s">
        <v>12</v>
      </c>
      <c r="F4179">
        <v>23549111</v>
      </c>
      <c r="G4179">
        <v>23549126</v>
      </c>
      <c r="H4179">
        <v>23549111</v>
      </c>
      <c r="I4179">
        <v>23549126</v>
      </c>
    </row>
    <row r="4180" spans="1:9" x14ac:dyDescent="0.2">
      <c r="A4180" s="1" t="str">
        <f>"CSTA"</f>
        <v>CSTA</v>
      </c>
      <c r="B4180" t="s">
        <v>14</v>
      </c>
      <c r="C4180" t="s">
        <v>22</v>
      </c>
      <c r="D4180" t="s">
        <v>17</v>
      </c>
      <c r="E4180" t="s">
        <v>12</v>
      </c>
      <c r="F4180">
        <v>122044084</v>
      </c>
      <c r="G4180">
        <v>122044106</v>
      </c>
      <c r="H4180">
        <v>122044084</v>
      </c>
      <c r="I4180">
        <v>122044106</v>
      </c>
    </row>
    <row r="4181" spans="1:9" x14ac:dyDescent="0.2">
      <c r="A4181" s="1" t="str">
        <f>"CSTB"</f>
        <v>CSTB</v>
      </c>
      <c r="B4181" t="s">
        <v>14</v>
      </c>
      <c r="C4181" t="s">
        <v>42</v>
      </c>
      <c r="D4181" t="s">
        <v>11</v>
      </c>
      <c r="E4181" t="s">
        <v>12</v>
      </c>
      <c r="F4181">
        <v>45196166</v>
      </c>
      <c r="G4181">
        <v>45196241</v>
      </c>
      <c r="H4181">
        <v>45196166</v>
      </c>
      <c r="I4181">
        <v>45196241</v>
      </c>
    </row>
    <row r="4182" spans="1:9" x14ac:dyDescent="0.2">
      <c r="A4182" s="1" t="str">
        <f>"CSTF1"</f>
        <v>CSTF1</v>
      </c>
      <c r="B4182" t="s">
        <v>14</v>
      </c>
      <c r="C4182" t="s">
        <v>29</v>
      </c>
      <c r="D4182" t="s">
        <v>17</v>
      </c>
      <c r="E4182" t="s">
        <v>12</v>
      </c>
      <c r="F4182">
        <v>54967663</v>
      </c>
      <c r="G4182">
        <v>54967740</v>
      </c>
      <c r="H4182">
        <v>54967409</v>
      </c>
      <c r="I4182">
        <v>54967501</v>
      </c>
    </row>
    <row r="4183" spans="1:9" x14ac:dyDescent="0.2">
      <c r="A4183" s="1" t="str">
        <f>"CSTF2"</f>
        <v>CSTF2</v>
      </c>
      <c r="B4183" t="s">
        <v>14</v>
      </c>
      <c r="C4183" t="s">
        <v>37</v>
      </c>
      <c r="D4183" t="s">
        <v>17</v>
      </c>
      <c r="E4183" t="s">
        <v>12</v>
      </c>
      <c r="F4183">
        <v>100075368</v>
      </c>
      <c r="G4183">
        <v>100075407</v>
      </c>
      <c r="H4183">
        <v>100075161</v>
      </c>
      <c r="I4183">
        <v>100075165</v>
      </c>
    </row>
    <row r="4184" spans="1:9" x14ac:dyDescent="0.2">
      <c r="A4184" s="1" t="str">
        <f>"CSTF2T"</f>
        <v>CSTF2T</v>
      </c>
      <c r="B4184" t="s">
        <v>14</v>
      </c>
      <c r="C4184" t="s">
        <v>15</v>
      </c>
      <c r="D4184" t="s">
        <v>11</v>
      </c>
      <c r="E4184" t="s">
        <v>12</v>
      </c>
      <c r="F4184">
        <v>53459319</v>
      </c>
      <c r="G4184">
        <v>53459386</v>
      </c>
      <c r="H4184">
        <v>53459319</v>
      </c>
      <c r="I4184">
        <v>53459386</v>
      </c>
    </row>
    <row r="4185" spans="1:9" x14ac:dyDescent="0.2">
      <c r="A4185" s="1" t="str">
        <f>"CSTF3"</f>
        <v>CSTF3</v>
      </c>
      <c r="B4185" t="s">
        <v>14</v>
      </c>
      <c r="C4185" t="s">
        <v>27</v>
      </c>
      <c r="D4185" t="s">
        <v>11</v>
      </c>
      <c r="E4185" t="s">
        <v>12</v>
      </c>
      <c r="F4185">
        <v>33183007</v>
      </c>
      <c r="G4185">
        <v>33183046</v>
      </c>
      <c r="H4185">
        <v>33183048</v>
      </c>
      <c r="I4185">
        <v>33183070</v>
      </c>
    </row>
    <row r="4186" spans="1:9" x14ac:dyDescent="0.2">
      <c r="A4186" s="1" t="str">
        <f>"CSTL1"</f>
        <v>CSTL1</v>
      </c>
      <c r="B4186" t="s">
        <v>266</v>
      </c>
      <c r="C4186" t="s">
        <v>29</v>
      </c>
      <c r="D4186" t="s">
        <v>17</v>
      </c>
      <c r="E4186" t="s">
        <v>20</v>
      </c>
      <c r="F4186">
        <v>23420884</v>
      </c>
      <c r="G4186">
        <v>23420884</v>
      </c>
      <c r="H4186">
        <v>23420884</v>
      </c>
      <c r="I4186">
        <v>23420884</v>
      </c>
    </row>
    <row r="4187" spans="1:9" x14ac:dyDescent="0.2">
      <c r="A4187" s="1" t="str">
        <f>"CSTL1"</f>
        <v>CSTL1</v>
      </c>
      <c r="B4187" t="s">
        <v>267</v>
      </c>
      <c r="C4187" t="s">
        <v>29</v>
      </c>
      <c r="D4187" t="s">
        <v>17</v>
      </c>
      <c r="E4187" t="s">
        <v>20</v>
      </c>
      <c r="F4187">
        <v>23420321</v>
      </c>
      <c r="G4187">
        <v>23420321</v>
      </c>
      <c r="H4187">
        <v>23420321</v>
      </c>
      <c r="I4187">
        <v>23420321</v>
      </c>
    </row>
    <row r="4188" spans="1:9" x14ac:dyDescent="0.2">
      <c r="A4188" s="1" t="str">
        <f>"CT45A1"</f>
        <v>CT45A1</v>
      </c>
      <c r="B4188" t="s">
        <v>268</v>
      </c>
      <c r="C4188" t="s">
        <v>37</v>
      </c>
      <c r="D4188" t="s">
        <v>17</v>
      </c>
      <c r="E4188" t="s">
        <v>20</v>
      </c>
      <c r="F4188">
        <v>134847245</v>
      </c>
      <c r="G4188">
        <v>134847245</v>
      </c>
      <c r="H4188">
        <v>134847245</v>
      </c>
      <c r="I4188">
        <v>134847245</v>
      </c>
    </row>
    <row r="4189" spans="1:9" x14ac:dyDescent="0.2">
      <c r="A4189" s="1" t="str">
        <f>"CT45A2"</f>
        <v>CT45A2</v>
      </c>
      <c r="B4189" t="s">
        <v>269</v>
      </c>
      <c r="C4189" t="s">
        <v>37</v>
      </c>
      <c r="D4189" t="s">
        <v>17</v>
      </c>
      <c r="E4189" t="s">
        <v>20</v>
      </c>
      <c r="F4189">
        <v>134866272</v>
      </c>
      <c r="G4189">
        <v>134866272</v>
      </c>
      <c r="H4189">
        <v>134866272</v>
      </c>
      <c r="I4189">
        <v>134866272</v>
      </c>
    </row>
    <row r="4190" spans="1:9" x14ac:dyDescent="0.2">
      <c r="A4190" s="1" t="str">
        <f>"CT45A3"</f>
        <v>CT45A3</v>
      </c>
      <c r="B4190" t="s">
        <v>270</v>
      </c>
      <c r="C4190" t="s">
        <v>37</v>
      </c>
      <c r="D4190" t="s">
        <v>17</v>
      </c>
      <c r="E4190" t="s">
        <v>20</v>
      </c>
      <c r="F4190">
        <v>134883487</v>
      </c>
      <c r="G4190">
        <v>134883487</v>
      </c>
      <c r="H4190">
        <v>134883487</v>
      </c>
      <c r="I4190">
        <v>134883487</v>
      </c>
    </row>
    <row r="4191" spans="1:9" x14ac:dyDescent="0.2">
      <c r="A4191" s="1" t="str">
        <f>"CT45A3"</f>
        <v>CT45A3</v>
      </c>
      <c r="B4191" t="s">
        <v>271</v>
      </c>
      <c r="C4191" t="s">
        <v>37</v>
      </c>
      <c r="D4191" t="s">
        <v>17</v>
      </c>
      <c r="E4191" t="s">
        <v>20</v>
      </c>
      <c r="F4191">
        <v>134887232</v>
      </c>
      <c r="G4191">
        <v>134887232</v>
      </c>
      <c r="H4191">
        <v>134887232</v>
      </c>
      <c r="I4191">
        <v>134887232</v>
      </c>
    </row>
    <row r="4192" spans="1:9" x14ac:dyDescent="0.2">
      <c r="A4192" s="1" t="str">
        <f>"CT45A4"</f>
        <v>CT45A4</v>
      </c>
      <c r="B4192" t="s">
        <v>272</v>
      </c>
      <c r="C4192" t="s">
        <v>37</v>
      </c>
      <c r="D4192" t="s">
        <v>11</v>
      </c>
      <c r="E4192" t="s">
        <v>20</v>
      </c>
      <c r="F4192">
        <v>134953993</v>
      </c>
      <c r="G4192">
        <v>134953993</v>
      </c>
      <c r="H4192">
        <v>134953993</v>
      </c>
      <c r="I4192">
        <v>134953993</v>
      </c>
    </row>
    <row r="4193" spans="1:9" x14ac:dyDescent="0.2">
      <c r="A4193" s="1" t="str">
        <f>"CT45A4"</f>
        <v>CT45A4</v>
      </c>
      <c r="B4193" t="s">
        <v>273</v>
      </c>
      <c r="C4193" t="s">
        <v>37</v>
      </c>
      <c r="D4193" t="s">
        <v>11</v>
      </c>
      <c r="E4193" t="s">
        <v>20</v>
      </c>
      <c r="F4193">
        <v>134936672</v>
      </c>
      <c r="G4193">
        <v>134936672</v>
      </c>
      <c r="H4193">
        <v>134936672</v>
      </c>
      <c r="I4193">
        <v>134936672</v>
      </c>
    </row>
    <row r="4194" spans="1:9" x14ac:dyDescent="0.2">
      <c r="A4194" s="1" t="str">
        <f>"CT45A5"</f>
        <v>CT45A5</v>
      </c>
      <c r="B4194" t="s">
        <v>14</v>
      </c>
      <c r="C4194" t="s">
        <v>37</v>
      </c>
      <c r="D4194" t="s">
        <v>11</v>
      </c>
      <c r="E4194" t="s">
        <v>12</v>
      </c>
      <c r="F4194">
        <v>134975521</v>
      </c>
      <c r="G4194">
        <v>134975551</v>
      </c>
      <c r="H4194">
        <v>134975562</v>
      </c>
      <c r="I4194">
        <v>134975599</v>
      </c>
    </row>
    <row r="4195" spans="1:9" x14ac:dyDescent="0.2">
      <c r="A4195" s="1" t="str">
        <f>"CT45A6"</f>
        <v>CT45A6</v>
      </c>
      <c r="B4195" t="s">
        <v>274</v>
      </c>
      <c r="C4195" t="s">
        <v>37</v>
      </c>
      <c r="D4195" t="s">
        <v>11</v>
      </c>
      <c r="E4195" t="s">
        <v>20</v>
      </c>
      <c r="F4195">
        <v>134971181</v>
      </c>
      <c r="G4195">
        <v>134971181</v>
      </c>
      <c r="H4195">
        <v>134971181</v>
      </c>
      <c r="I4195">
        <v>134971181</v>
      </c>
    </row>
    <row r="4196" spans="1:9" x14ac:dyDescent="0.2">
      <c r="A4196" s="1" t="str">
        <f>"CT47A1"</f>
        <v>CT47A1</v>
      </c>
      <c r="B4196" t="s">
        <v>275</v>
      </c>
      <c r="C4196" t="s">
        <v>37</v>
      </c>
      <c r="D4196" t="s">
        <v>11</v>
      </c>
      <c r="E4196" t="s">
        <v>20</v>
      </c>
      <c r="F4196">
        <v>120119638</v>
      </c>
      <c r="G4196">
        <v>120119638</v>
      </c>
      <c r="H4196">
        <v>120119638</v>
      </c>
      <c r="I4196">
        <v>120119638</v>
      </c>
    </row>
    <row r="4197" spans="1:9" x14ac:dyDescent="0.2">
      <c r="A4197" s="1" t="str">
        <f>"CT47A10"</f>
        <v>CT47A10</v>
      </c>
      <c r="B4197" t="s">
        <v>276</v>
      </c>
      <c r="C4197" t="s">
        <v>37</v>
      </c>
      <c r="D4197" t="s">
        <v>11</v>
      </c>
      <c r="E4197" t="s">
        <v>20</v>
      </c>
      <c r="F4197">
        <v>120075872</v>
      </c>
      <c r="G4197">
        <v>120075872</v>
      </c>
      <c r="H4197">
        <v>120075872</v>
      </c>
      <c r="I4197">
        <v>120075872</v>
      </c>
    </row>
    <row r="4198" spans="1:9" x14ac:dyDescent="0.2">
      <c r="A4198" s="1" t="str">
        <f>"CT47A11"</f>
        <v>CT47A11</v>
      </c>
      <c r="B4198" t="s">
        <v>277</v>
      </c>
      <c r="C4198" t="s">
        <v>37</v>
      </c>
      <c r="D4198" t="s">
        <v>11</v>
      </c>
      <c r="E4198" t="s">
        <v>20</v>
      </c>
      <c r="F4198">
        <v>120071011</v>
      </c>
      <c r="G4198">
        <v>120071011</v>
      </c>
      <c r="H4198">
        <v>120071011</v>
      </c>
      <c r="I4198">
        <v>120071011</v>
      </c>
    </row>
    <row r="4199" spans="1:9" x14ac:dyDescent="0.2">
      <c r="A4199" s="1" t="str">
        <f>"CT47A12"</f>
        <v>CT47A12</v>
      </c>
      <c r="B4199" t="s">
        <v>278</v>
      </c>
      <c r="C4199" t="s">
        <v>37</v>
      </c>
      <c r="D4199" t="s">
        <v>11</v>
      </c>
      <c r="E4199" t="s">
        <v>20</v>
      </c>
      <c r="F4199">
        <v>120066150</v>
      </c>
      <c r="G4199">
        <v>120066150</v>
      </c>
      <c r="H4199">
        <v>120066150</v>
      </c>
      <c r="I4199">
        <v>120066150</v>
      </c>
    </row>
    <row r="4200" spans="1:9" x14ac:dyDescent="0.2">
      <c r="A4200" s="1" t="str">
        <f>"CT47A2"</f>
        <v>CT47A2</v>
      </c>
      <c r="B4200" t="s">
        <v>279</v>
      </c>
      <c r="C4200" t="s">
        <v>37</v>
      </c>
      <c r="D4200" t="s">
        <v>11</v>
      </c>
      <c r="E4200" t="s">
        <v>20</v>
      </c>
      <c r="F4200">
        <v>120114777</v>
      </c>
      <c r="G4200">
        <v>120114777</v>
      </c>
      <c r="H4200">
        <v>120114777</v>
      </c>
      <c r="I4200">
        <v>120114777</v>
      </c>
    </row>
    <row r="4201" spans="1:9" x14ac:dyDescent="0.2">
      <c r="A4201" s="1" t="str">
        <f>"CT47A3"</f>
        <v>CT47A3</v>
      </c>
      <c r="B4201" t="s">
        <v>280</v>
      </c>
      <c r="C4201" t="s">
        <v>37</v>
      </c>
      <c r="D4201" t="s">
        <v>11</v>
      </c>
      <c r="E4201" t="s">
        <v>20</v>
      </c>
      <c r="F4201">
        <v>120109917</v>
      </c>
      <c r="G4201">
        <v>120109917</v>
      </c>
      <c r="H4201">
        <v>120109917</v>
      </c>
      <c r="I4201">
        <v>120109917</v>
      </c>
    </row>
    <row r="4202" spans="1:9" x14ac:dyDescent="0.2">
      <c r="A4202" s="1" t="str">
        <f>"CT47A4"</f>
        <v>CT47A4</v>
      </c>
      <c r="B4202" t="s">
        <v>281</v>
      </c>
      <c r="C4202" t="s">
        <v>37</v>
      </c>
      <c r="D4202" t="s">
        <v>11</v>
      </c>
      <c r="E4202" t="s">
        <v>20</v>
      </c>
      <c r="F4202">
        <v>120105057</v>
      </c>
      <c r="G4202">
        <v>120105057</v>
      </c>
      <c r="H4202">
        <v>120105057</v>
      </c>
      <c r="I4202">
        <v>120105057</v>
      </c>
    </row>
    <row r="4203" spans="1:9" x14ac:dyDescent="0.2">
      <c r="A4203" s="1" t="str">
        <f>"CT47A5"</f>
        <v>CT47A5</v>
      </c>
      <c r="B4203" t="s">
        <v>282</v>
      </c>
      <c r="C4203" t="s">
        <v>37</v>
      </c>
      <c r="D4203" t="s">
        <v>11</v>
      </c>
      <c r="E4203" t="s">
        <v>20</v>
      </c>
      <c r="F4203">
        <v>120100197</v>
      </c>
      <c r="G4203">
        <v>120100197</v>
      </c>
      <c r="H4203">
        <v>120100197</v>
      </c>
      <c r="I4203">
        <v>120100197</v>
      </c>
    </row>
    <row r="4204" spans="1:9" x14ac:dyDescent="0.2">
      <c r="A4204" s="1" t="str">
        <f>"CT47A6"</f>
        <v>CT47A6</v>
      </c>
      <c r="B4204" t="s">
        <v>283</v>
      </c>
      <c r="C4204" t="s">
        <v>37</v>
      </c>
      <c r="D4204" t="s">
        <v>11</v>
      </c>
      <c r="E4204" t="s">
        <v>20</v>
      </c>
      <c r="F4204">
        <v>120095336</v>
      </c>
      <c r="G4204">
        <v>120095336</v>
      </c>
      <c r="H4204">
        <v>120095336</v>
      </c>
      <c r="I4204">
        <v>120095336</v>
      </c>
    </row>
    <row r="4205" spans="1:9" x14ac:dyDescent="0.2">
      <c r="A4205" s="1" t="str">
        <f>"CT47A7"</f>
        <v>CT47A7</v>
      </c>
      <c r="B4205" t="s">
        <v>284</v>
      </c>
      <c r="C4205" t="s">
        <v>37</v>
      </c>
      <c r="D4205" t="s">
        <v>11</v>
      </c>
      <c r="E4205" t="s">
        <v>20</v>
      </c>
      <c r="F4205">
        <v>120090453</v>
      </c>
      <c r="G4205">
        <v>120090453</v>
      </c>
      <c r="H4205">
        <v>120090453</v>
      </c>
      <c r="I4205">
        <v>120090453</v>
      </c>
    </row>
    <row r="4206" spans="1:9" x14ac:dyDescent="0.2">
      <c r="A4206" s="1" t="str">
        <f>"CT47A8"</f>
        <v>CT47A8</v>
      </c>
      <c r="B4206" t="s">
        <v>285</v>
      </c>
      <c r="C4206" t="s">
        <v>37</v>
      </c>
      <c r="D4206" t="s">
        <v>11</v>
      </c>
      <c r="E4206" t="s">
        <v>20</v>
      </c>
      <c r="F4206">
        <v>120085593</v>
      </c>
      <c r="G4206">
        <v>120085593</v>
      </c>
      <c r="H4206">
        <v>120085593</v>
      </c>
      <c r="I4206">
        <v>120085593</v>
      </c>
    </row>
    <row r="4207" spans="1:9" x14ac:dyDescent="0.2">
      <c r="A4207" s="1" t="str">
        <f>"CT47A9"</f>
        <v>CT47A9</v>
      </c>
      <c r="B4207" t="s">
        <v>286</v>
      </c>
      <c r="C4207" t="s">
        <v>37</v>
      </c>
      <c r="D4207" t="s">
        <v>11</v>
      </c>
      <c r="E4207" t="s">
        <v>20</v>
      </c>
      <c r="F4207">
        <v>120080732</v>
      </c>
      <c r="G4207">
        <v>120080732</v>
      </c>
      <c r="H4207">
        <v>120080732</v>
      </c>
      <c r="I4207">
        <v>120080732</v>
      </c>
    </row>
    <row r="4208" spans="1:9" x14ac:dyDescent="0.2">
      <c r="A4208" s="1" t="str">
        <f>"CT47B1"</f>
        <v>CT47B1</v>
      </c>
      <c r="B4208" t="s">
        <v>287</v>
      </c>
      <c r="C4208" t="s">
        <v>37</v>
      </c>
      <c r="D4208" t="s">
        <v>11</v>
      </c>
      <c r="E4208" t="s">
        <v>20</v>
      </c>
      <c r="F4208">
        <v>120009778</v>
      </c>
      <c r="G4208">
        <v>120009778</v>
      </c>
      <c r="H4208">
        <v>120009778</v>
      </c>
      <c r="I4208">
        <v>120009778</v>
      </c>
    </row>
    <row r="4209" spans="1:9" x14ac:dyDescent="0.2">
      <c r="A4209" s="1" t="str">
        <f>"CT62"</f>
        <v>CT62</v>
      </c>
      <c r="B4209" t="s">
        <v>14</v>
      </c>
      <c r="C4209" t="s">
        <v>25</v>
      </c>
      <c r="D4209" t="s">
        <v>11</v>
      </c>
      <c r="E4209" t="s">
        <v>12</v>
      </c>
      <c r="F4209">
        <v>71407811</v>
      </c>
      <c r="G4209">
        <v>71407827</v>
      </c>
      <c r="H4209">
        <v>71407836</v>
      </c>
      <c r="I4209">
        <v>71407846</v>
      </c>
    </row>
    <row r="4210" spans="1:9" x14ac:dyDescent="0.2">
      <c r="A4210" s="1" t="str">
        <f>"CTAG1A"</f>
        <v>CTAG1A</v>
      </c>
      <c r="B4210" t="s">
        <v>288</v>
      </c>
      <c r="C4210" t="s">
        <v>37</v>
      </c>
      <c r="D4210" t="s">
        <v>17</v>
      </c>
      <c r="E4210" t="s">
        <v>20</v>
      </c>
      <c r="F4210">
        <v>153813417</v>
      </c>
      <c r="G4210">
        <v>153813417</v>
      </c>
      <c r="H4210">
        <v>153813417</v>
      </c>
      <c r="I4210">
        <v>153813417</v>
      </c>
    </row>
    <row r="4211" spans="1:9" x14ac:dyDescent="0.2">
      <c r="A4211" s="1" t="str">
        <f>"CTAG1B"</f>
        <v>CTAG1B</v>
      </c>
      <c r="B4211" t="s">
        <v>289</v>
      </c>
      <c r="C4211" t="s">
        <v>37</v>
      </c>
      <c r="D4211" t="s">
        <v>11</v>
      </c>
      <c r="E4211" t="s">
        <v>20</v>
      </c>
      <c r="F4211">
        <v>153847521</v>
      </c>
      <c r="G4211">
        <v>153847521</v>
      </c>
      <c r="H4211">
        <v>153847521</v>
      </c>
      <c r="I4211">
        <v>153847521</v>
      </c>
    </row>
    <row r="4212" spans="1:9" x14ac:dyDescent="0.2">
      <c r="A4212" s="1" t="str">
        <f>"CTAG2"</f>
        <v>CTAG2</v>
      </c>
      <c r="B4212" t="s">
        <v>290</v>
      </c>
      <c r="C4212" t="s">
        <v>37</v>
      </c>
      <c r="D4212" t="s">
        <v>11</v>
      </c>
      <c r="E4212" t="s">
        <v>20</v>
      </c>
      <c r="F4212">
        <v>153881841</v>
      </c>
      <c r="G4212">
        <v>153881841</v>
      </c>
      <c r="H4212">
        <v>153881841</v>
      </c>
      <c r="I4212">
        <v>153881841</v>
      </c>
    </row>
    <row r="4213" spans="1:9" x14ac:dyDescent="0.2">
      <c r="A4213" s="1" t="str">
        <f>"CTAGE1"</f>
        <v>CTAGE1</v>
      </c>
      <c r="B4213" t="s">
        <v>14</v>
      </c>
      <c r="C4213" t="s">
        <v>43</v>
      </c>
      <c r="D4213" t="s">
        <v>11</v>
      </c>
      <c r="E4213" t="s">
        <v>12</v>
      </c>
      <c r="F4213">
        <v>19997911</v>
      </c>
      <c r="G4213">
        <v>19997931</v>
      </c>
      <c r="H4213">
        <v>19997874</v>
      </c>
      <c r="I4213">
        <v>19997881</v>
      </c>
    </row>
    <row r="4214" spans="1:9" x14ac:dyDescent="0.2">
      <c r="A4214" s="1" t="str">
        <f>"CTAGE15"</f>
        <v>CTAGE15</v>
      </c>
      <c r="B4214" t="s">
        <v>291</v>
      </c>
      <c r="C4214" t="s">
        <v>33</v>
      </c>
      <c r="D4214" t="s">
        <v>17</v>
      </c>
      <c r="E4214" t="s">
        <v>20</v>
      </c>
      <c r="F4214">
        <v>143268893</v>
      </c>
      <c r="G4214">
        <v>143268893</v>
      </c>
      <c r="H4214">
        <v>143268893</v>
      </c>
      <c r="I4214">
        <v>143268893</v>
      </c>
    </row>
    <row r="4215" spans="1:9" x14ac:dyDescent="0.2">
      <c r="A4215" s="1" t="str">
        <f>"CTAGE4"</f>
        <v>CTAGE4</v>
      </c>
      <c r="B4215" t="s">
        <v>292</v>
      </c>
      <c r="C4215" t="s">
        <v>33</v>
      </c>
      <c r="D4215" t="s">
        <v>17</v>
      </c>
      <c r="E4215" t="s">
        <v>20</v>
      </c>
      <c r="F4215">
        <v>143880558</v>
      </c>
      <c r="G4215">
        <v>143880558</v>
      </c>
      <c r="H4215">
        <v>143880558</v>
      </c>
      <c r="I4215">
        <v>143880558</v>
      </c>
    </row>
    <row r="4216" spans="1:9" x14ac:dyDescent="0.2">
      <c r="A4216" s="1" t="str">
        <f>"CTAGE5"</f>
        <v>CTAGE5</v>
      </c>
      <c r="B4216" t="s">
        <v>14</v>
      </c>
      <c r="C4216" t="s">
        <v>41</v>
      </c>
      <c r="D4216" t="s">
        <v>17</v>
      </c>
      <c r="E4216" t="s">
        <v>12</v>
      </c>
      <c r="F4216">
        <v>39736582</v>
      </c>
      <c r="G4216">
        <v>39736615</v>
      </c>
      <c r="H4216">
        <v>39736582</v>
      </c>
      <c r="I4216">
        <v>39736615</v>
      </c>
    </row>
    <row r="4217" spans="1:9" x14ac:dyDescent="0.2">
      <c r="A4217" s="1" t="str">
        <f>"CTAGE6"</f>
        <v>CTAGE6</v>
      </c>
      <c r="B4217" t="s">
        <v>293</v>
      </c>
      <c r="C4217" t="s">
        <v>33</v>
      </c>
      <c r="D4217" t="s">
        <v>11</v>
      </c>
      <c r="E4217" t="s">
        <v>20</v>
      </c>
      <c r="F4217">
        <v>143454788</v>
      </c>
      <c r="G4217">
        <v>143454788</v>
      </c>
      <c r="H4217">
        <v>143454788</v>
      </c>
      <c r="I4217">
        <v>143454788</v>
      </c>
    </row>
    <row r="4218" spans="1:9" x14ac:dyDescent="0.2">
      <c r="A4218" s="1" t="str">
        <f>"CTAGE8"</f>
        <v>CTAGE8</v>
      </c>
      <c r="B4218" t="s">
        <v>294</v>
      </c>
      <c r="C4218" t="s">
        <v>33</v>
      </c>
      <c r="D4218" t="s">
        <v>11</v>
      </c>
      <c r="E4218" t="s">
        <v>20</v>
      </c>
      <c r="F4218">
        <v>143966380</v>
      </c>
      <c r="G4218">
        <v>143966380</v>
      </c>
      <c r="H4218">
        <v>143966380</v>
      </c>
      <c r="I4218">
        <v>143966380</v>
      </c>
    </row>
    <row r="4219" spans="1:9" x14ac:dyDescent="0.2">
      <c r="A4219" s="1" t="str">
        <f>"CTAGE9"</f>
        <v>CTAGE9</v>
      </c>
      <c r="B4219" t="s">
        <v>295</v>
      </c>
      <c r="C4219" t="s">
        <v>32</v>
      </c>
      <c r="D4219" t="s">
        <v>11</v>
      </c>
      <c r="E4219" t="s">
        <v>20</v>
      </c>
      <c r="F4219">
        <v>132032205</v>
      </c>
      <c r="G4219">
        <v>132032205</v>
      </c>
      <c r="H4219">
        <v>132032205</v>
      </c>
      <c r="I4219">
        <v>132032205</v>
      </c>
    </row>
    <row r="4220" spans="1:9" x14ac:dyDescent="0.2">
      <c r="A4220" s="1" t="str">
        <f>"CTBP1"</f>
        <v>CTBP1</v>
      </c>
      <c r="B4220" t="s">
        <v>14</v>
      </c>
      <c r="C4220" t="s">
        <v>23</v>
      </c>
      <c r="D4220" t="s">
        <v>11</v>
      </c>
      <c r="E4220" t="s">
        <v>12</v>
      </c>
      <c r="F4220">
        <v>1242871</v>
      </c>
      <c r="G4220">
        <v>1242942</v>
      </c>
      <c r="H4220">
        <v>1242463</v>
      </c>
      <c r="I4220">
        <v>1242526</v>
      </c>
    </row>
    <row r="4221" spans="1:9" x14ac:dyDescent="0.2">
      <c r="A4221" s="1" t="str">
        <f>"CTBP2"</f>
        <v>CTBP2</v>
      </c>
      <c r="B4221" t="s">
        <v>14</v>
      </c>
      <c r="C4221" t="s">
        <v>15</v>
      </c>
      <c r="D4221" t="s">
        <v>11</v>
      </c>
      <c r="E4221" t="s">
        <v>12</v>
      </c>
      <c r="F4221">
        <v>126849588</v>
      </c>
      <c r="G4221">
        <v>126849614</v>
      </c>
      <c r="H4221">
        <v>126849085</v>
      </c>
      <c r="I4221">
        <v>126849138</v>
      </c>
    </row>
    <row r="4222" spans="1:9" x14ac:dyDescent="0.2">
      <c r="A4222" s="1" t="str">
        <f>"CTBS"</f>
        <v>CTBS</v>
      </c>
      <c r="B4222" t="s">
        <v>14</v>
      </c>
      <c r="C4222" t="s">
        <v>19</v>
      </c>
      <c r="D4222" t="s">
        <v>11</v>
      </c>
      <c r="E4222" t="s">
        <v>12</v>
      </c>
      <c r="F4222">
        <v>85040090</v>
      </c>
      <c r="G4222">
        <v>85040168</v>
      </c>
      <c r="H4222">
        <v>85040090</v>
      </c>
      <c r="I4222">
        <v>85040168</v>
      </c>
    </row>
    <row r="4223" spans="1:9" x14ac:dyDescent="0.2">
      <c r="A4223" s="1" t="str">
        <f>"CTC1"</f>
        <v>CTC1</v>
      </c>
      <c r="B4223" t="s">
        <v>14</v>
      </c>
      <c r="C4223" t="s">
        <v>28</v>
      </c>
      <c r="D4223" t="s">
        <v>11</v>
      </c>
      <c r="E4223" t="s">
        <v>12</v>
      </c>
      <c r="F4223">
        <v>8151353</v>
      </c>
      <c r="G4223">
        <v>8151381</v>
      </c>
      <c r="H4223">
        <v>8151353</v>
      </c>
      <c r="I4223">
        <v>8151381</v>
      </c>
    </row>
    <row r="4224" spans="1:9" x14ac:dyDescent="0.2">
      <c r="A4224" s="1" t="str">
        <f>"CTCF"</f>
        <v>CTCF</v>
      </c>
      <c r="B4224" t="s">
        <v>14</v>
      </c>
      <c r="C4224" t="s">
        <v>31</v>
      </c>
      <c r="D4224" t="s">
        <v>17</v>
      </c>
      <c r="E4224" t="s">
        <v>12</v>
      </c>
      <c r="F4224">
        <v>67596417</v>
      </c>
      <c r="G4224">
        <v>67596497</v>
      </c>
      <c r="H4224">
        <v>67596498</v>
      </c>
      <c r="I4224">
        <v>67596520</v>
      </c>
    </row>
    <row r="4225" spans="1:9" x14ac:dyDescent="0.2">
      <c r="A4225" s="1" t="str">
        <f>"CTCFL"</f>
        <v>CTCFL</v>
      </c>
      <c r="B4225" t="s">
        <v>14</v>
      </c>
      <c r="C4225" t="s">
        <v>29</v>
      </c>
      <c r="D4225" t="s">
        <v>11</v>
      </c>
      <c r="E4225" t="s">
        <v>12</v>
      </c>
      <c r="F4225">
        <v>56100179</v>
      </c>
      <c r="G4225">
        <v>56100208</v>
      </c>
      <c r="H4225">
        <v>56100155</v>
      </c>
      <c r="I4225">
        <v>56100163</v>
      </c>
    </row>
    <row r="4226" spans="1:9" x14ac:dyDescent="0.2">
      <c r="A4226" s="1" t="str">
        <f>"CTDNEP1"</f>
        <v>CTDNEP1</v>
      </c>
      <c r="B4226" t="s">
        <v>14</v>
      </c>
      <c r="C4226" t="s">
        <v>28</v>
      </c>
      <c r="D4226" t="s">
        <v>11</v>
      </c>
      <c r="E4226" t="s">
        <v>12</v>
      </c>
      <c r="F4226">
        <v>7155274</v>
      </c>
      <c r="G4226">
        <v>7155311</v>
      </c>
      <c r="H4226">
        <v>7155010</v>
      </c>
      <c r="I4226">
        <v>7155070</v>
      </c>
    </row>
    <row r="4227" spans="1:9" x14ac:dyDescent="0.2">
      <c r="A4227" s="1" t="str">
        <f>"CTDP1"</f>
        <v>CTDP1</v>
      </c>
      <c r="B4227" t="s">
        <v>14</v>
      </c>
      <c r="C4227" t="s">
        <v>43</v>
      </c>
      <c r="D4227" t="s">
        <v>17</v>
      </c>
      <c r="E4227" t="s">
        <v>12</v>
      </c>
      <c r="F4227">
        <v>77439775</v>
      </c>
      <c r="G4227">
        <v>77439861</v>
      </c>
      <c r="H4227">
        <v>77439863</v>
      </c>
      <c r="I4227">
        <v>77439883</v>
      </c>
    </row>
    <row r="4228" spans="1:9" x14ac:dyDescent="0.2">
      <c r="A4228" s="1" t="str">
        <f>"CTDSP1"</f>
        <v>CTDSP1</v>
      </c>
      <c r="B4228" t="s">
        <v>14</v>
      </c>
      <c r="C4228" t="s">
        <v>26</v>
      </c>
      <c r="D4228" t="s">
        <v>17</v>
      </c>
      <c r="E4228" t="s">
        <v>12</v>
      </c>
      <c r="F4228">
        <v>219264562</v>
      </c>
      <c r="G4228">
        <v>219264630</v>
      </c>
      <c r="H4228">
        <v>219264466</v>
      </c>
      <c r="I4228">
        <v>219264488</v>
      </c>
    </row>
    <row r="4229" spans="1:9" x14ac:dyDescent="0.2">
      <c r="A4229" s="1" t="str">
        <f>"CTDSP2"</f>
        <v>CTDSP2</v>
      </c>
      <c r="B4229" t="s">
        <v>14</v>
      </c>
      <c r="C4229" t="s">
        <v>16</v>
      </c>
      <c r="D4229" t="s">
        <v>11</v>
      </c>
      <c r="E4229" t="s">
        <v>12</v>
      </c>
      <c r="F4229">
        <v>58240470</v>
      </c>
      <c r="G4229">
        <v>58240521</v>
      </c>
      <c r="H4229">
        <v>58240699</v>
      </c>
      <c r="I4229">
        <v>58240759</v>
      </c>
    </row>
    <row r="4230" spans="1:9" x14ac:dyDescent="0.2">
      <c r="A4230" s="1" t="str">
        <f>"CTDSPL"</f>
        <v>CTDSPL</v>
      </c>
      <c r="B4230" t="s">
        <v>14</v>
      </c>
      <c r="C4230" t="s">
        <v>22</v>
      </c>
      <c r="D4230" t="s">
        <v>17</v>
      </c>
      <c r="E4230" t="s">
        <v>12</v>
      </c>
      <c r="F4230">
        <v>37903339</v>
      </c>
      <c r="G4230">
        <v>37903415</v>
      </c>
      <c r="H4230">
        <v>37903432</v>
      </c>
      <c r="I4230">
        <v>37903475</v>
      </c>
    </row>
    <row r="4231" spans="1:9" x14ac:dyDescent="0.2">
      <c r="A4231" s="1" t="str">
        <f>"CTDSPL2"</f>
        <v>CTDSPL2</v>
      </c>
      <c r="B4231" t="s">
        <v>14</v>
      </c>
      <c r="C4231" t="s">
        <v>25</v>
      </c>
      <c r="D4231" t="s">
        <v>17</v>
      </c>
      <c r="E4231" t="s">
        <v>12</v>
      </c>
      <c r="F4231">
        <v>44719790</v>
      </c>
      <c r="G4231">
        <v>44719848</v>
      </c>
      <c r="H4231">
        <v>44719394</v>
      </c>
      <c r="I4231">
        <v>44719419</v>
      </c>
    </row>
    <row r="4232" spans="1:9" x14ac:dyDescent="0.2">
      <c r="A4232" s="1" t="str">
        <f>"CTF1"</f>
        <v>CTF1</v>
      </c>
      <c r="B4232" t="s">
        <v>14</v>
      </c>
      <c r="C4232" t="s">
        <v>31</v>
      </c>
      <c r="D4232" t="s">
        <v>17</v>
      </c>
      <c r="E4232" t="s">
        <v>12</v>
      </c>
      <c r="F4232">
        <v>30907927</v>
      </c>
      <c r="G4232">
        <v>30907963</v>
      </c>
      <c r="H4232">
        <v>30907894</v>
      </c>
      <c r="I4232">
        <v>30907902</v>
      </c>
    </row>
    <row r="4233" spans="1:9" x14ac:dyDescent="0.2">
      <c r="A4233" s="1" t="str">
        <f>"CTGF"</f>
        <v>CTGF</v>
      </c>
      <c r="B4233" t="s">
        <v>14</v>
      </c>
      <c r="C4233" t="s">
        <v>32</v>
      </c>
      <c r="D4233" t="s">
        <v>11</v>
      </c>
      <c r="E4233" t="s">
        <v>12</v>
      </c>
      <c r="F4233">
        <v>132272504</v>
      </c>
      <c r="G4233">
        <v>132272519</v>
      </c>
      <c r="H4233">
        <v>132271998</v>
      </c>
      <c r="I4233">
        <v>132272086</v>
      </c>
    </row>
    <row r="4234" spans="1:9" x14ac:dyDescent="0.2">
      <c r="A4234" s="1" t="str">
        <f>"CTH"</f>
        <v>CTH</v>
      </c>
      <c r="B4234" t="s">
        <v>14</v>
      </c>
      <c r="C4234" t="s">
        <v>19</v>
      </c>
      <c r="D4234" t="s">
        <v>17</v>
      </c>
      <c r="E4234" t="s">
        <v>12</v>
      </c>
      <c r="F4234">
        <v>70876926</v>
      </c>
      <c r="G4234">
        <v>70876963</v>
      </c>
      <c r="H4234">
        <v>70876891</v>
      </c>
      <c r="I4234">
        <v>70876917</v>
      </c>
    </row>
    <row r="4235" spans="1:9" x14ac:dyDescent="0.2">
      <c r="A4235" s="1" t="str">
        <f>"CTHRC1"</f>
        <v>CTHRC1</v>
      </c>
      <c r="B4235" t="s">
        <v>14</v>
      </c>
      <c r="C4235" t="s">
        <v>30</v>
      </c>
      <c r="D4235" t="s">
        <v>17</v>
      </c>
      <c r="E4235" t="s">
        <v>12</v>
      </c>
      <c r="F4235">
        <v>104383759</v>
      </c>
      <c r="G4235">
        <v>104383821</v>
      </c>
      <c r="H4235">
        <v>104383728</v>
      </c>
      <c r="I4235">
        <v>104383756</v>
      </c>
    </row>
    <row r="4236" spans="1:9" x14ac:dyDescent="0.2">
      <c r="A4236" s="1" t="str">
        <f>"CTIF"</f>
        <v>CTIF</v>
      </c>
      <c r="B4236" t="s">
        <v>14</v>
      </c>
      <c r="C4236" t="s">
        <v>43</v>
      </c>
      <c r="D4236" t="s">
        <v>17</v>
      </c>
      <c r="E4236" t="s">
        <v>12</v>
      </c>
      <c r="F4236">
        <v>46065393</v>
      </c>
      <c r="G4236">
        <v>46065444</v>
      </c>
      <c r="H4236">
        <v>46065483</v>
      </c>
      <c r="I4236">
        <v>46065540</v>
      </c>
    </row>
    <row r="4237" spans="1:9" x14ac:dyDescent="0.2">
      <c r="A4237" s="1" t="str">
        <f>"CTLA4"</f>
        <v>CTLA4</v>
      </c>
      <c r="B4237" t="s">
        <v>14</v>
      </c>
      <c r="C4237" t="s">
        <v>26</v>
      </c>
      <c r="D4237" t="s">
        <v>17</v>
      </c>
      <c r="E4237" t="s">
        <v>12</v>
      </c>
      <c r="F4237">
        <v>204732487</v>
      </c>
      <c r="G4237">
        <v>204732521</v>
      </c>
      <c r="H4237">
        <v>204732580</v>
      </c>
      <c r="I4237">
        <v>204732598</v>
      </c>
    </row>
    <row r="4238" spans="1:9" x14ac:dyDescent="0.2">
      <c r="A4238" s="1" t="str">
        <f>"CTNNA1"</f>
        <v>CTNNA1</v>
      </c>
      <c r="B4238" t="s">
        <v>14</v>
      </c>
      <c r="C4238" t="s">
        <v>46</v>
      </c>
      <c r="D4238" t="s">
        <v>17</v>
      </c>
      <c r="E4238" t="s">
        <v>12</v>
      </c>
      <c r="F4238">
        <v>138089100</v>
      </c>
      <c r="G4238">
        <v>138089146</v>
      </c>
      <c r="H4238">
        <v>138089159</v>
      </c>
      <c r="I4238">
        <v>138089176</v>
      </c>
    </row>
    <row r="4239" spans="1:9" x14ac:dyDescent="0.2">
      <c r="A4239" s="1" t="str">
        <f>"CTNNA2"</f>
        <v>CTNNA2</v>
      </c>
      <c r="B4239" t="s">
        <v>14</v>
      </c>
      <c r="C4239" t="s">
        <v>26</v>
      </c>
      <c r="D4239" t="s">
        <v>17</v>
      </c>
      <c r="E4239" t="s">
        <v>12</v>
      </c>
      <c r="F4239">
        <v>79740118</v>
      </c>
      <c r="G4239">
        <v>79740210</v>
      </c>
      <c r="H4239">
        <v>79740034</v>
      </c>
      <c r="I4239">
        <v>79740086</v>
      </c>
    </row>
    <row r="4240" spans="1:9" x14ac:dyDescent="0.2">
      <c r="A4240" s="1" t="str">
        <f>"CTNNA3"</f>
        <v>CTNNA3</v>
      </c>
      <c r="B4240" t="s">
        <v>14</v>
      </c>
      <c r="C4240" t="s">
        <v>15</v>
      </c>
      <c r="D4240" t="s">
        <v>11</v>
      </c>
      <c r="E4240" t="s">
        <v>12</v>
      </c>
      <c r="F4240">
        <v>69425399</v>
      </c>
      <c r="G4240">
        <v>69425449</v>
      </c>
      <c r="H4240">
        <v>69425399</v>
      </c>
      <c r="I4240">
        <v>69425449</v>
      </c>
    </row>
    <row r="4241" spans="1:9" x14ac:dyDescent="0.2">
      <c r="A4241" s="1" t="str">
        <f>"CTNNAL1"</f>
        <v>CTNNAL1</v>
      </c>
      <c r="B4241" t="s">
        <v>14</v>
      </c>
      <c r="C4241" t="s">
        <v>24</v>
      </c>
      <c r="D4241" t="s">
        <v>11</v>
      </c>
      <c r="E4241" t="s">
        <v>12</v>
      </c>
      <c r="F4241">
        <v>111775772</v>
      </c>
      <c r="G4241">
        <v>111775831</v>
      </c>
      <c r="H4241">
        <v>111775745</v>
      </c>
      <c r="I4241">
        <v>111775757</v>
      </c>
    </row>
    <row r="4242" spans="1:9" x14ac:dyDescent="0.2">
      <c r="A4242" s="1" t="str">
        <f>"CTNNB1"</f>
        <v>CTNNB1</v>
      </c>
      <c r="B4242" t="s">
        <v>14</v>
      </c>
      <c r="C4242" t="s">
        <v>22</v>
      </c>
      <c r="D4242" t="s">
        <v>17</v>
      </c>
      <c r="E4242" t="s">
        <v>12</v>
      </c>
      <c r="F4242">
        <v>41240986</v>
      </c>
      <c r="G4242">
        <v>41241005</v>
      </c>
      <c r="H4242">
        <v>41240957</v>
      </c>
      <c r="I4242">
        <v>41240977</v>
      </c>
    </row>
    <row r="4243" spans="1:9" x14ac:dyDescent="0.2">
      <c r="A4243" s="1" t="str">
        <f>"CTNNBIP1"</f>
        <v>CTNNBIP1</v>
      </c>
      <c r="B4243" t="s">
        <v>14</v>
      </c>
      <c r="C4243" t="s">
        <v>19</v>
      </c>
      <c r="D4243" t="s">
        <v>11</v>
      </c>
      <c r="E4243" t="s">
        <v>12</v>
      </c>
      <c r="F4243">
        <v>9970227</v>
      </c>
      <c r="G4243">
        <v>9970356</v>
      </c>
      <c r="H4243">
        <v>9970383</v>
      </c>
      <c r="I4243">
        <v>9970421</v>
      </c>
    </row>
    <row r="4244" spans="1:9" x14ac:dyDescent="0.2">
      <c r="A4244" s="1" t="str">
        <f>"CTNNBL1"</f>
        <v>CTNNBL1</v>
      </c>
      <c r="B4244" t="s">
        <v>14</v>
      </c>
      <c r="C4244" t="s">
        <v>29</v>
      </c>
      <c r="D4244" t="s">
        <v>17</v>
      </c>
      <c r="E4244" t="s">
        <v>12</v>
      </c>
      <c r="F4244">
        <v>36322424</v>
      </c>
      <c r="G4244">
        <v>36322516</v>
      </c>
      <c r="H4244">
        <v>36322350</v>
      </c>
      <c r="I4244">
        <v>36322365</v>
      </c>
    </row>
    <row r="4245" spans="1:9" x14ac:dyDescent="0.2">
      <c r="A4245" s="1" t="str">
        <f>"CTNND1"</f>
        <v>CTNND1</v>
      </c>
      <c r="B4245" t="s">
        <v>14</v>
      </c>
      <c r="C4245" t="s">
        <v>27</v>
      </c>
      <c r="D4245" t="s">
        <v>17</v>
      </c>
      <c r="E4245" t="s">
        <v>12</v>
      </c>
      <c r="F4245">
        <v>57529259</v>
      </c>
      <c r="G4245">
        <v>57529338</v>
      </c>
      <c r="H4245">
        <v>57529259</v>
      </c>
      <c r="I4245">
        <v>57529338</v>
      </c>
    </row>
    <row r="4246" spans="1:9" x14ac:dyDescent="0.2">
      <c r="A4246" s="1" t="str">
        <f>"CTNND2"</f>
        <v>CTNND2</v>
      </c>
      <c r="B4246" t="s">
        <v>296</v>
      </c>
      <c r="C4246" t="s">
        <v>46</v>
      </c>
      <c r="D4246" t="s">
        <v>11</v>
      </c>
      <c r="E4246" t="s">
        <v>35</v>
      </c>
      <c r="F4246">
        <v>11904313</v>
      </c>
      <c r="G4246">
        <v>11904393</v>
      </c>
      <c r="H4246">
        <v>11903957</v>
      </c>
      <c r="I4246">
        <v>11903972</v>
      </c>
    </row>
    <row r="4247" spans="1:9" x14ac:dyDescent="0.2">
      <c r="A4247" s="1" t="str">
        <f>"CTNS"</f>
        <v>CTNS</v>
      </c>
      <c r="B4247" t="s">
        <v>14</v>
      </c>
      <c r="C4247" t="s">
        <v>28</v>
      </c>
      <c r="D4247" t="s">
        <v>17</v>
      </c>
      <c r="E4247" t="s">
        <v>12</v>
      </c>
      <c r="F4247">
        <v>3540043</v>
      </c>
      <c r="G4247">
        <v>3540065</v>
      </c>
      <c r="H4247">
        <v>3539998</v>
      </c>
      <c r="I4247">
        <v>3540036</v>
      </c>
    </row>
    <row r="4248" spans="1:9" x14ac:dyDescent="0.2">
      <c r="A4248" s="1" t="str">
        <f>"CTPS1"</f>
        <v>CTPS1</v>
      </c>
      <c r="B4248" t="s">
        <v>14</v>
      </c>
      <c r="C4248" t="s">
        <v>19</v>
      </c>
      <c r="D4248" t="s">
        <v>17</v>
      </c>
      <c r="E4248" t="s">
        <v>12</v>
      </c>
      <c r="F4248">
        <v>41445331</v>
      </c>
      <c r="G4248">
        <v>41445397</v>
      </c>
      <c r="H4248">
        <v>41445413</v>
      </c>
      <c r="I4248">
        <v>41445435</v>
      </c>
    </row>
    <row r="4249" spans="1:9" x14ac:dyDescent="0.2">
      <c r="A4249" s="1" t="str">
        <f>"CTPS2"</f>
        <v>CTPS2</v>
      </c>
      <c r="B4249" t="s">
        <v>14</v>
      </c>
      <c r="C4249" t="s">
        <v>37</v>
      </c>
      <c r="D4249" t="s">
        <v>11</v>
      </c>
      <c r="E4249" t="s">
        <v>12</v>
      </c>
      <c r="F4249">
        <v>16730688</v>
      </c>
      <c r="G4249">
        <v>16730814</v>
      </c>
      <c r="H4249">
        <v>16730984</v>
      </c>
      <c r="I4249">
        <v>16731065</v>
      </c>
    </row>
    <row r="4250" spans="1:9" x14ac:dyDescent="0.2">
      <c r="A4250" s="1" t="str">
        <f>"CTR9"</f>
        <v>CTR9</v>
      </c>
      <c r="B4250" t="s">
        <v>14</v>
      </c>
      <c r="C4250" t="s">
        <v>27</v>
      </c>
      <c r="D4250" t="s">
        <v>17</v>
      </c>
      <c r="E4250" t="s">
        <v>12</v>
      </c>
      <c r="F4250">
        <v>10772750</v>
      </c>
      <c r="G4250">
        <v>10772807</v>
      </c>
      <c r="H4250">
        <v>10772812</v>
      </c>
      <c r="I4250">
        <v>10772832</v>
      </c>
    </row>
    <row r="4251" spans="1:9" x14ac:dyDescent="0.2">
      <c r="A4251" s="1" t="str">
        <f>"CTRB1"</f>
        <v>CTRB1</v>
      </c>
      <c r="B4251" t="s">
        <v>14</v>
      </c>
      <c r="C4251" t="s">
        <v>31</v>
      </c>
      <c r="D4251" t="s">
        <v>17</v>
      </c>
      <c r="E4251" t="s">
        <v>12</v>
      </c>
      <c r="F4251">
        <v>75252878</v>
      </c>
      <c r="G4251">
        <v>75252893</v>
      </c>
      <c r="H4251">
        <v>75252747</v>
      </c>
      <c r="I4251">
        <v>75252772</v>
      </c>
    </row>
    <row r="4252" spans="1:9" x14ac:dyDescent="0.2">
      <c r="A4252" s="1" t="str">
        <f>"CTRB2"</f>
        <v>CTRB2</v>
      </c>
      <c r="B4252" t="s">
        <v>14</v>
      </c>
      <c r="C4252" t="s">
        <v>31</v>
      </c>
      <c r="D4252" t="s">
        <v>11</v>
      </c>
      <c r="E4252" t="s">
        <v>12</v>
      </c>
      <c r="F4252">
        <v>75241050</v>
      </c>
      <c r="G4252">
        <v>75241073</v>
      </c>
      <c r="H4252">
        <v>75241050</v>
      </c>
      <c r="I4252">
        <v>75241073</v>
      </c>
    </row>
    <row r="4253" spans="1:9" x14ac:dyDescent="0.2">
      <c r="A4253" s="1" t="str">
        <f>"CTRC"</f>
        <v>CTRC</v>
      </c>
      <c r="B4253" t="s">
        <v>9</v>
      </c>
      <c r="C4253" t="s">
        <v>19</v>
      </c>
      <c r="D4253" t="s">
        <v>17</v>
      </c>
      <c r="E4253" t="s">
        <v>12</v>
      </c>
      <c r="F4253">
        <v>15764931</v>
      </c>
      <c r="G4253">
        <v>15764945</v>
      </c>
      <c r="H4253">
        <v>15764931</v>
      </c>
      <c r="I4253">
        <v>15764945</v>
      </c>
    </row>
    <row r="4254" spans="1:9" x14ac:dyDescent="0.2">
      <c r="A4254" s="1" t="str">
        <f>"CTRC"</f>
        <v>CTRC</v>
      </c>
      <c r="B4254" t="s">
        <v>13</v>
      </c>
      <c r="C4254" t="s">
        <v>19</v>
      </c>
      <c r="D4254" t="s">
        <v>17</v>
      </c>
      <c r="E4254" t="s">
        <v>12</v>
      </c>
      <c r="F4254">
        <v>15766848</v>
      </c>
      <c r="G4254">
        <v>15766857</v>
      </c>
      <c r="H4254">
        <v>15766848</v>
      </c>
      <c r="I4254">
        <v>15766857</v>
      </c>
    </row>
    <row r="4255" spans="1:9" x14ac:dyDescent="0.2">
      <c r="A4255" s="1" t="str">
        <f>"CTRL"</f>
        <v>CTRL</v>
      </c>
      <c r="B4255" t="s">
        <v>14</v>
      </c>
      <c r="C4255" t="s">
        <v>31</v>
      </c>
      <c r="D4255" t="s">
        <v>11</v>
      </c>
      <c r="E4255" t="s">
        <v>12</v>
      </c>
      <c r="F4255">
        <v>67965756</v>
      </c>
      <c r="G4255">
        <v>67965771</v>
      </c>
      <c r="H4255">
        <v>67965756</v>
      </c>
      <c r="I4255">
        <v>67965771</v>
      </c>
    </row>
    <row r="4256" spans="1:9" x14ac:dyDescent="0.2">
      <c r="A4256" s="1" t="str">
        <f>"CTSA"</f>
        <v>CTSA</v>
      </c>
      <c r="B4256" t="s">
        <v>14</v>
      </c>
      <c r="C4256" t="s">
        <v>29</v>
      </c>
      <c r="D4256" t="s">
        <v>17</v>
      </c>
      <c r="E4256" t="s">
        <v>12</v>
      </c>
      <c r="F4256">
        <v>44519948</v>
      </c>
      <c r="G4256">
        <v>44519986</v>
      </c>
      <c r="H4256">
        <v>44520009</v>
      </c>
      <c r="I4256">
        <v>44520020</v>
      </c>
    </row>
    <row r="4257" spans="1:9" x14ac:dyDescent="0.2">
      <c r="A4257" s="1" t="str">
        <f>"CTSB"</f>
        <v>CTSB</v>
      </c>
      <c r="B4257" t="s">
        <v>14</v>
      </c>
      <c r="C4257" t="s">
        <v>30</v>
      </c>
      <c r="D4257" t="s">
        <v>11</v>
      </c>
      <c r="E4257" t="s">
        <v>12</v>
      </c>
      <c r="F4257">
        <v>11725589</v>
      </c>
      <c r="G4257">
        <v>11725605</v>
      </c>
      <c r="H4257">
        <v>11725589</v>
      </c>
      <c r="I4257">
        <v>11725605</v>
      </c>
    </row>
    <row r="4258" spans="1:9" x14ac:dyDescent="0.2">
      <c r="A4258" s="1" t="str">
        <f>"CTSC"</f>
        <v>CTSC</v>
      </c>
      <c r="B4258" t="s">
        <v>14</v>
      </c>
      <c r="C4258" t="s">
        <v>27</v>
      </c>
      <c r="D4258" t="s">
        <v>11</v>
      </c>
      <c r="E4258" t="s">
        <v>12</v>
      </c>
      <c r="F4258">
        <v>88070896</v>
      </c>
      <c r="G4258">
        <v>88070916</v>
      </c>
      <c r="H4258">
        <v>88070920</v>
      </c>
      <c r="I4258">
        <v>88070953</v>
      </c>
    </row>
    <row r="4259" spans="1:9" x14ac:dyDescent="0.2">
      <c r="A4259" s="1" t="str">
        <f>"CTSD"</f>
        <v>CTSD</v>
      </c>
      <c r="B4259" t="s">
        <v>14</v>
      </c>
      <c r="C4259" t="s">
        <v>27</v>
      </c>
      <c r="D4259" t="s">
        <v>11</v>
      </c>
      <c r="E4259" t="s">
        <v>12</v>
      </c>
      <c r="F4259">
        <v>1785139</v>
      </c>
      <c r="G4259">
        <v>1785163</v>
      </c>
      <c r="H4259">
        <v>1785100</v>
      </c>
      <c r="I4259">
        <v>1785113</v>
      </c>
    </row>
    <row r="4260" spans="1:9" x14ac:dyDescent="0.2">
      <c r="A4260" s="1" t="str">
        <f>"CTSE"</f>
        <v>CTSE</v>
      </c>
      <c r="B4260" t="s">
        <v>14</v>
      </c>
      <c r="C4260" t="s">
        <v>19</v>
      </c>
      <c r="D4260" t="s">
        <v>17</v>
      </c>
      <c r="E4260" t="s">
        <v>12</v>
      </c>
      <c r="F4260">
        <v>206317546</v>
      </c>
      <c r="G4260">
        <v>206317580</v>
      </c>
      <c r="H4260">
        <v>206317450</v>
      </c>
      <c r="I4260">
        <v>206317478</v>
      </c>
    </row>
    <row r="4261" spans="1:9" x14ac:dyDescent="0.2">
      <c r="A4261" s="1" t="str">
        <f>"CTSF"</f>
        <v>CTSF</v>
      </c>
      <c r="B4261" t="s">
        <v>14</v>
      </c>
      <c r="C4261" t="s">
        <v>27</v>
      </c>
      <c r="D4261" t="s">
        <v>11</v>
      </c>
      <c r="E4261" t="s">
        <v>12</v>
      </c>
      <c r="F4261">
        <v>66335995</v>
      </c>
      <c r="G4261">
        <v>66336059</v>
      </c>
      <c r="H4261">
        <v>66336060</v>
      </c>
      <c r="I4261">
        <v>66336089</v>
      </c>
    </row>
    <row r="4262" spans="1:9" x14ac:dyDescent="0.2">
      <c r="A4262" s="1" t="str">
        <f>"CTSG"</f>
        <v>CTSG</v>
      </c>
      <c r="B4262" t="s">
        <v>14</v>
      </c>
      <c r="C4262" t="s">
        <v>41</v>
      </c>
      <c r="D4262" t="s">
        <v>11</v>
      </c>
      <c r="E4262" t="s">
        <v>12</v>
      </c>
      <c r="F4262">
        <v>25045446</v>
      </c>
      <c r="G4262">
        <v>25045464</v>
      </c>
      <c r="H4262">
        <v>25045446</v>
      </c>
      <c r="I4262">
        <v>25045464</v>
      </c>
    </row>
    <row r="4263" spans="1:9" x14ac:dyDescent="0.2">
      <c r="A4263" s="1" t="str">
        <f>"CTSH"</f>
        <v>CTSH</v>
      </c>
      <c r="B4263" t="s">
        <v>14</v>
      </c>
      <c r="C4263" t="s">
        <v>25</v>
      </c>
      <c r="D4263" t="s">
        <v>11</v>
      </c>
      <c r="E4263" t="s">
        <v>12</v>
      </c>
      <c r="F4263">
        <v>79237334</v>
      </c>
      <c r="G4263">
        <v>79237406</v>
      </c>
      <c r="H4263">
        <v>79237440</v>
      </c>
      <c r="I4263">
        <v>79237445</v>
      </c>
    </row>
    <row r="4264" spans="1:9" x14ac:dyDescent="0.2">
      <c r="A4264" s="1" t="str">
        <f>"CTSK"</f>
        <v>CTSK</v>
      </c>
      <c r="B4264" t="s">
        <v>14</v>
      </c>
      <c r="C4264" t="s">
        <v>19</v>
      </c>
      <c r="D4264" t="s">
        <v>11</v>
      </c>
      <c r="E4264" t="s">
        <v>12</v>
      </c>
      <c r="F4264">
        <v>150780727</v>
      </c>
      <c r="G4264">
        <v>150780743</v>
      </c>
      <c r="H4264">
        <v>150780757</v>
      </c>
      <c r="I4264">
        <v>150780800</v>
      </c>
    </row>
    <row r="4265" spans="1:9" x14ac:dyDescent="0.2">
      <c r="A4265" s="1" t="str">
        <f>"CTSL"</f>
        <v>CTSL</v>
      </c>
      <c r="B4265" t="s">
        <v>9</v>
      </c>
      <c r="C4265" t="s">
        <v>24</v>
      </c>
      <c r="D4265" t="s">
        <v>17</v>
      </c>
      <c r="E4265" t="s">
        <v>12</v>
      </c>
      <c r="F4265">
        <v>90341025</v>
      </c>
      <c r="G4265">
        <v>90341041</v>
      </c>
      <c r="H4265">
        <v>90341025</v>
      </c>
      <c r="I4265">
        <v>90341041</v>
      </c>
    </row>
    <row r="4266" spans="1:9" x14ac:dyDescent="0.2">
      <c r="A4266" s="1" t="str">
        <f>"CTSL"</f>
        <v>CTSL</v>
      </c>
      <c r="B4266" t="s">
        <v>13</v>
      </c>
      <c r="C4266" t="s">
        <v>24</v>
      </c>
      <c r="D4266" t="s">
        <v>17</v>
      </c>
      <c r="E4266" t="s">
        <v>12</v>
      </c>
      <c r="F4266">
        <v>90342545</v>
      </c>
      <c r="G4266">
        <v>90342564</v>
      </c>
      <c r="H4266">
        <v>90342545</v>
      </c>
      <c r="I4266">
        <v>90342564</v>
      </c>
    </row>
    <row r="4267" spans="1:9" x14ac:dyDescent="0.2">
      <c r="A4267" s="1" t="str">
        <f>"CTSO"</f>
        <v>CTSO</v>
      </c>
      <c r="B4267" t="s">
        <v>14</v>
      </c>
      <c r="C4267" t="s">
        <v>23</v>
      </c>
      <c r="D4267" t="s">
        <v>11</v>
      </c>
      <c r="E4267" t="s">
        <v>12</v>
      </c>
      <c r="F4267">
        <v>156875003</v>
      </c>
      <c r="G4267">
        <v>156875074</v>
      </c>
      <c r="H4267">
        <v>156875081</v>
      </c>
      <c r="I4267">
        <v>156875092</v>
      </c>
    </row>
    <row r="4268" spans="1:9" x14ac:dyDescent="0.2">
      <c r="A4268" s="1" t="str">
        <f>"CTSS"</f>
        <v>CTSS</v>
      </c>
      <c r="B4268" t="s">
        <v>14</v>
      </c>
      <c r="C4268" t="s">
        <v>19</v>
      </c>
      <c r="D4268" t="s">
        <v>11</v>
      </c>
      <c r="E4268" t="s">
        <v>12</v>
      </c>
      <c r="F4268">
        <v>150738211</v>
      </c>
      <c r="G4268">
        <v>150738260</v>
      </c>
      <c r="H4268">
        <v>150738211</v>
      </c>
      <c r="I4268">
        <v>150738260</v>
      </c>
    </row>
    <row r="4269" spans="1:9" x14ac:dyDescent="0.2">
      <c r="A4269" s="1" t="str">
        <f>"CTSV"</f>
        <v>CTSV</v>
      </c>
      <c r="B4269" t="s">
        <v>14</v>
      </c>
      <c r="C4269" t="s">
        <v>24</v>
      </c>
      <c r="D4269" t="s">
        <v>11</v>
      </c>
      <c r="E4269" t="s">
        <v>12</v>
      </c>
      <c r="F4269">
        <v>99801414</v>
      </c>
      <c r="G4269">
        <v>99801432</v>
      </c>
      <c r="H4269">
        <v>99801891</v>
      </c>
      <c r="I4269">
        <v>99801897</v>
      </c>
    </row>
    <row r="4270" spans="1:9" x14ac:dyDescent="0.2">
      <c r="A4270" s="1" t="str">
        <f>"CTSW"</f>
        <v>CTSW</v>
      </c>
      <c r="B4270" t="s">
        <v>14</v>
      </c>
      <c r="C4270" t="s">
        <v>27</v>
      </c>
      <c r="D4270" t="s">
        <v>17</v>
      </c>
      <c r="E4270" t="s">
        <v>12</v>
      </c>
      <c r="F4270">
        <v>65647297</v>
      </c>
      <c r="G4270">
        <v>65647318</v>
      </c>
      <c r="H4270">
        <v>65647297</v>
      </c>
      <c r="I4270">
        <v>65647318</v>
      </c>
    </row>
    <row r="4271" spans="1:9" x14ac:dyDescent="0.2">
      <c r="A4271" s="1" t="str">
        <f>"CTSZ"</f>
        <v>CTSZ</v>
      </c>
      <c r="B4271" t="s">
        <v>14</v>
      </c>
      <c r="C4271" t="s">
        <v>29</v>
      </c>
      <c r="D4271" t="s">
        <v>11</v>
      </c>
      <c r="E4271" t="s">
        <v>12</v>
      </c>
      <c r="F4271">
        <v>57582296</v>
      </c>
      <c r="G4271">
        <v>57582325</v>
      </c>
      <c r="H4271">
        <v>57582326</v>
      </c>
      <c r="I4271">
        <v>57582367</v>
      </c>
    </row>
    <row r="4272" spans="1:9" x14ac:dyDescent="0.2">
      <c r="A4272" s="1" t="str">
        <f>"CTTN"</f>
        <v>CTTN</v>
      </c>
      <c r="B4272" t="s">
        <v>14</v>
      </c>
      <c r="C4272" t="s">
        <v>27</v>
      </c>
      <c r="D4272" t="s">
        <v>17</v>
      </c>
      <c r="E4272" t="s">
        <v>12</v>
      </c>
      <c r="F4272">
        <v>70244624</v>
      </c>
      <c r="G4272">
        <v>70244696</v>
      </c>
      <c r="H4272">
        <v>70244470</v>
      </c>
      <c r="I4272">
        <v>70244514</v>
      </c>
    </row>
    <row r="4273" spans="1:9" x14ac:dyDescent="0.2">
      <c r="A4273" s="1" t="str">
        <f>"CTTNBP2"</f>
        <v>CTTNBP2</v>
      </c>
      <c r="B4273" t="s">
        <v>14</v>
      </c>
      <c r="C4273" t="s">
        <v>33</v>
      </c>
      <c r="D4273" t="s">
        <v>11</v>
      </c>
      <c r="E4273" t="s">
        <v>12</v>
      </c>
      <c r="F4273">
        <v>117513474</v>
      </c>
      <c r="G4273">
        <v>117513500</v>
      </c>
      <c r="H4273">
        <v>117513540</v>
      </c>
      <c r="I4273">
        <v>117513587</v>
      </c>
    </row>
    <row r="4274" spans="1:9" x14ac:dyDescent="0.2">
      <c r="A4274" s="1" t="str">
        <f>"CTTNBP2NL"</f>
        <v>CTTNBP2NL</v>
      </c>
      <c r="B4274" t="s">
        <v>14</v>
      </c>
      <c r="C4274" t="s">
        <v>19</v>
      </c>
      <c r="D4274" t="s">
        <v>17</v>
      </c>
      <c r="E4274" t="s">
        <v>12</v>
      </c>
      <c r="F4274">
        <v>112938820</v>
      </c>
      <c r="G4274">
        <v>112938860</v>
      </c>
      <c r="H4274">
        <v>112938861</v>
      </c>
      <c r="I4274">
        <v>112938886</v>
      </c>
    </row>
    <row r="4275" spans="1:9" x14ac:dyDescent="0.2">
      <c r="A4275" s="1" t="str">
        <f>"CTU1"</f>
        <v>CTU1</v>
      </c>
      <c r="B4275" t="s">
        <v>14</v>
      </c>
      <c r="C4275" t="s">
        <v>10</v>
      </c>
      <c r="D4275" t="s">
        <v>11</v>
      </c>
      <c r="E4275" t="s">
        <v>12</v>
      </c>
      <c r="F4275">
        <v>51611623</v>
      </c>
      <c r="G4275">
        <v>51611683</v>
      </c>
      <c r="H4275">
        <v>51612096</v>
      </c>
      <c r="I4275">
        <v>51612100</v>
      </c>
    </row>
    <row r="4276" spans="1:9" x14ac:dyDescent="0.2">
      <c r="A4276" s="1" t="str">
        <f>"CTU2"</f>
        <v>CTU2</v>
      </c>
      <c r="B4276" t="s">
        <v>14</v>
      </c>
      <c r="C4276" t="s">
        <v>31</v>
      </c>
      <c r="D4276" t="s">
        <v>17</v>
      </c>
      <c r="E4276" t="s">
        <v>12</v>
      </c>
      <c r="F4276">
        <v>88772866</v>
      </c>
      <c r="G4276">
        <v>88772947</v>
      </c>
      <c r="H4276">
        <v>88772866</v>
      </c>
      <c r="I4276">
        <v>88772947</v>
      </c>
    </row>
    <row r="4277" spans="1:9" x14ac:dyDescent="0.2">
      <c r="A4277" s="1" t="str">
        <f>"CTXN1"</f>
        <v>CTXN1</v>
      </c>
      <c r="B4277" t="s">
        <v>14</v>
      </c>
      <c r="C4277" t="s">
        <v>10</v>
      </c>
      <c r="D4277" t="s">
        <v>11</v>
      </c>
      <c r="E4277" t="s">
        <v>12</v>
      </c>
      <c r="F4277">
        <v>7990991</v>
      </c>
      <c r="G4277">
        <v>7991059</v>
      </c>
      <c r="H4277">
        <v>7990991</v>
      </c>
      <c r="I4277">
        <v>7991059</v>
      </c>
    </row>
    <row r="4278" spans="1:9" x14ac:dyDescent="0.2">
      <c r="A4278" s="1" t="str">
        <f>"CTXN2"</f>
        <v>CTXN2</v>
      </c>
      <c r="B4278" t="s">
        <v>14</v>
      </c>
      <c r="C4278" t="s">
        <v>25</v>
      </c>
      <c r="D4278" t="s">
        <v>17</v>
      </c>
      <c r="E4278" t="s">
        <v>12</v>
      </c>
      <c r="F4278">
        <v>48483855</v>
      </c>
      <c r="G4278">
        <v>48483892</v>
      </c>
      <c r="H4278">
        <v>48484358</v>
      </c>
      <c r="I4278">
        <v>48484370</v>
      </c>
    </row>
    <row r="4279" spans="1:9" x14ac:dyDescent="0.2">
      <c r="A4279" s="1" t="str">
        <f>"CTXN3"</f>
        <v>CTXN3</v>
      </c>
      <c r="B4279" t="s">
        <v>14</v>
      </c>
      <c r="C4279" t="s">
        <v>46</v>
      </c>
      <c r="D4279" t="s">
        <v>17</v>
      </c>
      <c r="E4279" t="s">
        <v>12</v>
      </c>
      <c r="F4279">
        <v>126984755</v>
      </c>
      <c r="G4279">
        <v>126984787</v>
      </c>
      <c r="H4279">
        <v>126984710</v>
      </c>
      <c r="I4279">
        <v>126984752</v>
      </c>
    </row>
    <row r="4280" spans="1:9" x14ac:dyDescent="0.2">
      <c r="A4280" s="1" t="str">
        <f>"CUBN"</f>
        <v>CUBN</v>
      </c>
      <c r="B4280" t="s">
        <v>14</v>
      </c>
      <c r="C4280" t="s">
        <v>15</v>
      </c>
      <c r="D4280" t="s">
        <v>11</v>
      </c>
      <c r="E4280" t="s">
        <v>12</v>
      </c>
      <c r="F4280">
        <v>17171785</v>
      </c>
      <c r="G4280">
        <v>17171816</v>
      </c>
      <c r="H4280">
        <v>17171785</v>
      </c>
      <c r="I4280">
        <v>17171816</v>
      </c>
    </row>
    <row r="4281" spans="1:9" x14ac:dyDescent="0.2">
      <c r="A4281" s="1" t="str">
        <f>"CUEDC1"</f>
        <v>CUEDC1</v>
      </c>
      <c r="B4281" t="s">
        <v>14</v>
      </c>
      <c r="C4281" t="s">
        <v>28</v>
      </c>
      <c r="D4281" t="s">
        <v>11</v>
      </c>
      <c r="E4281" t="s">
        <v>12</v>
      </c>
      <c r="F4281">
        <v>56032757</v>
      </c>
      <c r="G4281">
        <v>56032785</v>
      </c>
      <c r="H4281">
        <v>56032696</v>
      </c>
      <c r="I4281">
        <v>56032748</v>
      </c>
    </row>
    <row r="4282" spans="1:9" x14ac:dyDescent="0.2">
      <c r="A4282" s="1" t="str">
        <f>"CUEDC2"</f>
        <v>CUEDC2</v>
      </c>
      <c r="B4282" t="s">
        <v>14</v>
      </c>
      <c r="C4282" t="s">
        <v>15</v>
      </c>
      <c r="D4282" t="s">
        <v>11</v>
      </c>
      <c r="E4282" t="s">
        <v>12</v>
      </c>
      <c r="F4282">
        <v>104192322</v>
      </c>
      <c r="G4282">
        <v>104192379</v>
      </c>
      <c r="H4282">
        <v>104192405</v>
      </c>
      <c r="I4282">
        <v>104192440</v>
      </c>
    </row>
    <row r="4283" spans="1:9" x14ac:dyDescent="0.2">
      <c r="A4283" s="1" t="str">
        <f>"CUL1"</f>
        <v>CUL1</v>
      </c>
      <c r="B4283" t="s">
        <v>14</v>
      </c>
      <c r="C4283" t="s">
        <v>33</v>
      </c>
      <c r="D4283" t="s">
        <v>17</v>
      </c>
      <c r="E4283" t="s">
        <v>12</v>
      </c>
      <c r="F4283">
        <v>148395959</v>
      </c>
      <c r="G4283">
        <v>148396039</v>
      </c>
      <c r="H4283">
        <v>148396041</v>
      </c>
      <c r="I4283">
        <v>148396059</v>
      </c>
    </row>
    <row r="4284" spans="1:9" x14ac:dyDescent="0.2">
      <c r="A4284" s="1" t="str">
        <f>"CUL2"</f>
        <v>CUL2</v>
      </c>
      <c r="B4284" t="s">
        <v>14</v>
      </c>
      <c r="C4284" t="s">
        <v>15</v>
      </c>
      <c r="D4284" t="s">
        <v>11</v>
      </c>
      <c r="E4284" t="s">
        <v>12</v>
      </c>
      <c r="F4284">
        <v>35379241</v>
      </c>
      <c r="G4284">
        <v>35379285</v>
      </c>
      <c r="H4284">
        <v>35379499</v>
      </c>
      <c r="I4284">
        <v>35379520</v>
      </c>
    </row>
    <row r="4285" spans="1:9" x14ac:dyDescent="0.2">
      <c r="A4285" s="1" t="str">
        <f>"CUL3"</f>
        <v>CUL3</v>
      </c>
      <c r="B4285" t="s">
        <v>14</v>
      </c>
      <c r="C4285" t="s">
        <v>26</v>
      </c>
      <c r="D4285" t="s">
        <v>11</v>
      </c>
      <c r="E4285" t="s">
        <v>12</v>
      </c>
      <c r="F4285">
        <v>225450013</v>
      </c>
      <c r="G4285">
        <v>225450068</v>
      </c>
      <c r="H4285">
        <v>225450100</v>
      </c>
      <c r="I4285">
        <v>225450157</v>
      </c>
    </row>
    <row r="4286" spans="1:9" x14ac:dyDescent="0.2">
      <c r="A4286" s="1" t="str">
        <f>"CUL4A"</f>
        <v>CUL4A</v>
      </c>
      <c r="B4286" t="s">
        <v>14</v>
      </c>
      <c r="C4286" t="s">
        <v>39</v>
      </c>
      <c r="D4286" t="s">
        <v>17</v>
      </c>
      <c r="E4286" t="s">
        <v>12</v>
      </c>
      <c r="F4286">
        <v>113863911</v>
      </c>
      <c r="G4286">
        <v>113863947</v>
      </c>
      <c r="H4286">
        <v>113863911</v>
      </c>
      <c r="I4286">
        <v>113863947</v>
      </c>
    </row>
    <row r="4287" spans="1:9" x14ac:dyDescent="0.2">
      <c r="A4287" s="1" t="str">
        <f>"CUL4B"</f>
        <v>CUL4B</v>
      </c>
      <c r="B4287" t="s">
        <v>14</v>
      </c>
      <c r="C4287" t="s">
        <v>37</v>
      </c>
      <c r="D4287" t="s">
        <v>11</v>
      </c>
      <c r="E4287" t="s">
        <v>12</v>
      </c>
      <c r="F4287">
        <v>119694802</v>
      </c>
      <c r="G4287">
        <v>119694826</v>
      </c>
      <c r="H4287">
        <v>119694573</v>
      </c>
      <c r="I4287">
        <v>119694611</v>
      </c>
    </row>
    <row r="4288" spans="1:9" x14ac:dyDescent="0.2">
      <c r="A4288" s="1" t="str">
        <f>"CUL5"</f>
        <v>CUL5</v>
      </c>
      <c r="B4288" t="s">
        <v>14</v>
      </c>
      <c r="C4288" t="s">
        <v>27</v>
      </c>
      <c r="D4288" t="s">
        <v>17</v>
      </c>
      <c r="E4288" t="s">
        <v>12</v>
      </c>
      <c r="F4288">
        <v>107879607</v>
      </c>
      <c r="G4288">
        <v>107879702</v>
      </c>
      <c r="H4288">
        <v>107880037</v>
      </c>
      <c r="I4288">
        <v>107880074</v>
      </c>
    </row>
    <row r="4289" spans="1:9" x14ac:dyDescent="0.2">
      <c r="A4289" s="1" t="str">
        <f>"CUL7"</f>
        <v>CUL7</v>
      </c>
      <c r="B4289" t="s">
        <v>14</v>
      </c>
      <c r="C4289" t="s">
        <v>32</v>
      </c>
      <c r="D4289" t="s">
        <v>11</v>
      </c>
      <c r="E4289" t="s">
        <v>12</v>
      </c>
      <c r="F4289">
        <v>43021528</v>
      </c>
      <c r="G4289">
        <v>43021565</v>
      </c>
      <c r="H4289">
        <v>43021570</v>
      </c>
      <c r="I4289">
        <v>43021610</v>
      </c>
    </row>
    <row r="4290" spans="1:9" x14ac:dyDescent="0.2">
      <c r="A4290" s="1" t="str">
        <f>"CUL9"</f>
        <v>CUL9</v>
      </c>
      <c r="B4290" t="s">
        <v>9</v>
      </c>
      <c r="C4290" t="s">
        <v>32</v>
      </c>
      <c r="D4290" t="s">
        <v>17</v>
      </c>
      <c r="E4290" t="s">
        <v>12</v>
      </c>
      <c r="F4290">
        <v>43149903</v>
      </c>
      <c r="G4290">
        <v>43149965</v>
      </c>
      <c r="H4290">
        <v>43149903</v>
      </c>
      <c r="I4290">
        <v>43149965</v>
      </c>
    </row>
    <row r="4291" spans="1:9" x14ac:dyDescent="0.2">
      <c r="A4291" s="1" t="str">
        <f>"CUL9"</f>
        <v>CUL9</v>
      </c>
      <c r="B4291" t="s">
        <v>13</v>
      </c>
      <c r="C4291" t="s">
        <v>32</v>
      </c>
      <c r="D4291" t="s">
        <v>17</v>
      </c>
      <c r="E4291" t="s">
        <v>12</v>
      </c>
      <c r="F4291">
        <v>43154700</v>
      </c>
      <c r="G4291">
        <v>43154713</v>
      </c>
      <c r="H4291">
        <v>43154700</v>
      </c>
      <c r="I4291">
        <v>43154713</v>
      </c>
    </row>
    <row r="4292" spans="1:9" x14ac:dyDescent="0.2">
      <c r="A4292" s="1" t="str">
        <f>"CUTA"</f>
        <v>CUTA</v>
      </c>
      <c r="B4292" t="s">
        <v>14</v>
      </c>
      <c r="C4292" t="s">
        <v>32</v>
      </c>
      <c r="D4292" t="s">
        <v>11</v>
      </c>
      <c r="E4292" t="s">
        <v>12</v>
      </c>
      <c r="F4292">
        <v>33385655</v>
      </c>
      <c r="G4292">
        <v>33385719</v>
      </c>
      <c r="H4292">
        <v>33385870</v>
      </c>
      <c r="I4292">
        <v>33385899</v>
      </c>
    </row>
    <row r="4293" spans="1:9" x14ac:dyDescent="0.2">
      <c r="A4293" s="1" t="str">
        <f>"CUTC"</f>
        <v>CUTC</v>
      </c>
      <c r="B4293" t="s">
        <v>14</v>
      </c>
      <c r="C4293" t="s">
        <v>15</v>
      </c>
      <c r="D4293" t="s">
        <v>17</v>
      </c>
      <c r="E4293" t="s">
        <v>12</v>
      </c>
      <c r="F4293">
        <v>101491968</v>
      </c>
      <c r="G4293">
        <v>101492076</v>
      </c>
      <c r="H4293">
        <v>101491968</v>
      </c>
      <c r="I4293">
        <v>101492076</v>
      </c>
    </row>
    <row r="4294" spans="1:9" x14ac:dyDescent="0.2">
      <c r="A4294" s="1" t="str">
        <f>"CUX1"</f>
        <v>CUX1</v>
      </c>
      <c r="B4294" t="s">
        <v>14</v>
      </c>
      <c r="C4294" t="s">
        <v>33</v>
      </c>
      <c r="D4294" t="s">
        <v>17</v>
      </c>
      <c r="E4294" t="s">
        <v>12</v>
      </c>
      <c r="F4294">
        <v>101459263</v>
      </c>
      <c r="G4294">
        <v>101459310</v>
      </c>
      <c r="H4294">
        <v>101459230</v>
      </c>
      <c r="I4294">
        <v>101459243</v>
      </c>
    </row>
    <row r="4295" spans="1:9" x14ac:dyDescent="0.2">
      <c r="A4295" s="1" t="str">
        <f>"CUX2"</f>
        <v>CUX2</v>
      </c>
      <c r="B4295" t="s">
        <v>14</v>
      </c>
      <c r="C4295" t="s">
        <v>16</v>
      </c>
      <c r="D4295" t="s">
        <v>17</v>
      </c>
      <c r="E4295" t="s">
        <v>12</v>
      </c>
      <c r="F4295">
        <v>111471526</v>
      </c>
      <c r="G4295">
        <v>111471541</v>
      </c>
      <c r="H4295">
        <v>111471962</v>
      </c>
      <c r="I4295">
        <v>111471975</v>
      </c>
    </row>
    <row r="4296" spans="1:9" x14ac:dyDescent="0.2">
      <c r="A4296" s="1" t="str">
        <f>"CUZD1"</f>
        <v>CUZD1</v>
      </c>
      <c r="B4296" t="s">
        <v>14</v>
      </c>
      <c r="C4296" t="s">
        <v>15</v>
      </c>
      <c r="D4296" t="s">
        <v>11</v>
      </c>
      <c r="E4296" t="s">
        <v>12</v>
      </c>
      <c r="F4296">
        <v>124605366</v>
      </c>
      <c r="G4296">
        <v>124605379</v>
      </c>
      <c r="H4296">
        <v>124605366</v>
      </c>
      <c r="I4296">
        <v>124605379</v>
      </c>
    </row>
    <row r="4297" spans="1:9" x14ac:dyDescent="0.2">
      <c r="A4297" s="1" t="str">
        <f>"CWC15"</f>
        <v>CWC15</v>
      </c>
      <c r="B4297" t="s">
        <v>14</v>
      </c>
      <c r="C4297" t="s">
        <v>27</v>
      </c>
      <c r="D4297" t="s">
        <v>11</v>
      </c>
      <c r="E4297" t="s">
        <v>12</v>
      </c>
      <c r="F4297">
        <v>94706705</v>
      </c>
      <c r="G4297">
        <v>94706746</v>
      </c>
      <c r="H4297">
        <v>94706705</v>
      </c>
      <c r="I4297">
        <v>94706746</v>
      </c>
    </row>
    <row r="4298" spans="1:9" x14ac:dyDescent="0.2">
      <c r="A4298" s="1" t="str">
        <f>"CWC22"</f>
        <v>CWC22</v>
      </c>
      <c r="B4298" t="s">
        <v>14</v>
      </c>
      <c r="C4298" t="s">
        <v>26</v>
      </c>
      <c r="D4298" t="s">
        <v>11</v>
      </c>
      <c r="E4298" t="s">
        <v>12</v>
      </c>
      <c r="F4298">
        <v>180871814</v>
      </c>
      <c r="G4298">
        <v>180871851</v>
      </c>
      <c r="H4298">
        <v>180871814</v>
      </c>
      <c r="I4298">
        <v>180871851</v>
      </c>
    </row>
    <row r="4299" spans="1:9" x14ac:dyDescent="0.2">
      <c r="A4299" s="1" t="str">
        <f>"CWC25"</f>
        <v>CWC25</v>
      </c>
      <c r="B4299" t="s">
        <v>14</v>
      </c>
      <c r="C4299" t="s">
        <v>28</v>
      </c>
      <c r="D4299" t="s">
        <v>11</v>
      </c>
      <c r="E4299" t="s">
        <v>12</v>
      </c>
      <c r="F4299">
        <v>36981556</v>
      </c>
      <c r="G4299">
        <v>36981603</v>
      </c>
      <c r="H4299">
        <v>36981545</v>
      </c>
      <c r="I4299">
        <v>36981554</v>
      </c>
    </row>
    <row r="4300" spans="1:9" x14ac:dyDescent="0.2">
      <c r="A4300" s="1" t="str">
        <f>"CWC27"</f>
        <v>CWC27</v>
      </c>
      <c r="B4300" t="s">
        <v>14</v>
      </c>
      <c r="C4300" t="s">
        <v>46</v>
      </c>
      <c r="D4300" t="s">
        <v>17</v>
      </c>
      <c r="E4300" t="s">
        <v>12</v>
      </c>
      <c r="F4300">
        <v>64064748</v>
      </c>
      <c r="G4300">
        <v>64064793</v>
      </c>
      <c r="H4300">
        <v>64064748</v>
      </c>
      <c r="I4300">
        <v>64064793</v>
      </c>
    </row>
    <row r="4301" spans="1:9" x14ac:dyDescent="0.2">
      <c r="A4301" s="1" t="str">
        <f>"CWF19L1"</f>
        <v>CWF19L1</v>
      </c>
      <c r="B4301" t="s">
        <v>14</v>
      </c>
      <c r="C4301" t="s">
        <v>15</v>
      </c>
      <c r="D4301" t="s">
        <v>11</v>
      </c>
      <c r="E4301" t="s">
        <v>12</v>
      </c>
      <c r="F4301">
        <v>102027369</v>
      </c>
      <c r="G4301">
        <v>102027418</v>
      </c>
      <c r="H4301">
        <v>102027420</v>
      </c>
      <c r="I4301">
        <v>102027442</v>
      </c>
    </row>
    <row r="4302" spans="1:9" x14ac:dyDescent="0.2">
      <c r="A4302" s="1" t="str">
        <f>"CWF19L2"</f>
        <v>CWF19L2</v>
      </c>
      <c r="B4302" t="s">
        <v>14</v>
      </c>
      <c r="C4302" t="s">
        <v>27</v>
      </c>
      <c r="D4302" t="s">
        <v>11</v>
      </c>
      <c r="E4302" t="s">
        <v>12</v>
      </c>
      <c r="F4302">
        <v>107328527</v>
      </c>
      <c r="G4302">
        <v>107328569</v>
      </c>
      <c r="H4302">
        <v>107328527</v>
      </c>
      <c r="I4302">
        <v>107328569</v>
      </c>
    </row>
    <row r="4303" spans="1:9" x14ac:dyDescent="0.2">
      <c r="A4303" s="1" t="str">
        <f>"CWH43"</f>
        <v>CWH43</v>
      </c>
      <c r="B4303" t="s">
        <v>14</v>
      </c>
      <c r="C4303" t="s">
        <v>23</v>
      </c>
      <c r="D4303" t="s">
        <v>17</v>
      </c>
      <c r="E4303" t="s">
        <v>12</v>
      </c>
      <c r="F4303">
        <v>48988285</v>
      </c>
      <c r="G4303">
        <v>48988298</v>
      </c>
      <c r="H4303">
        <v>48988301</v>
      </c>
      <c r="I4303">
        <v>48988312</v>
      </c>
    </row>
    <row r="4304" spans="1:9" x14ac:dyDescent="0.2">
      <c r="A4304" s="1" t="str">
        <f>"CX3CL1"</f>
        <v>CX3CL1</v>
      </c>
      <c r="B4304" t="s">
        <v>14</v>
      </c>
      <c r="C4304" t="s">
        <v>31</v>
      </c>
      <c r="D4304" t="s">
        <v>17</v>
      </c>
      <c r="E4304" t="s">
        <v>12</v>
      </c>
      <c r="F4304">
        <v>57406393</v>
      </c>
      <c r="G4304">
        <v>57406411</v>
      </c>
      <c r="H4304">
        <v>57406368</v>
      </c>
      <c r="I4304">
        <v>57406392</v>
      </c>
    </row>
    <row r="4305" spans="1:9" x14ac:dyDescent="0.2">
      <c r="A4305" s="1" t="str">
        <f>"CX3CR1"</f>
        <v>CX3CR1</v>
      </c>
      <c r="B4305" t="s">
        <v>14</v>
      </c>
      <c r="C4305" t="s">
        <v>22</v>
      </c>
      <c r="D4305" t="s">
        <v>11</v>
      </c>
      <c r="E4305" t="s">
        <v>12</v>
      </c>
      <c r="F4305">
        <v>39321512</v>
      </c>
      <c r="G4305">
        <v>39321533</v>
      </c>
      <c r="H4305">
        <v>39321512</v>
      </c>
      <c r="I4305">
        <v>39321533</v>
      </c>
    </row>
    <row r="4306" spans="1:9" x14ac:dyDescent="0.2">
      <c r="A4306" s="1" t="str">
        <f>"CXADR"</f>
        <v>CXADR</v>
      </c>
      <c r="B4306" t="s">
        <v>14</v>
      </c>
      <c r="C4306" t="s">
        <v>42</v>
      </c>
      <c r="D4306" t="s">
        <v>17</v>
      </c>
      <c r="E4306" t="s">
        <v>12</v>
      </c>
      <c r="F4306">
        <v>18885318</v>
      </c>
      <c r="G4306">
        <v>18885371</v>
      </c>
      <c r="H4306">
        <v>18885287</v>
      </c>
      <c r="I4306">
        <v>18885300</v>
      </c>
    </row>
    <row r="4307" spans="1:9" x14ac:dyDescent="0.2">
      <c r="A4307" s="1" t="str">
        <f>"CXCL1"</f>
        <v>CXCL1</v>
      </c>
      <c r="B4307" t="s">
        <v>14</v>
      </c>
      <c r="C4307" t="s">
        <v>23</v>
      </c>
      <c r="D4307" t="s">
        <v>17</v>
      </c>
      <c r="E4307" t="s">
        <v>12</v>
      </c>
      <c r="F4307">
        <v>74735102</v>
      </c>
      <c r="G4307">
        <v>74735117</v>
      </c>
      <c r="H4307">
        <v>74735102</v>
      </c>
      <c r="I4307">
        <v>74735117</v>
      </c>
    </row>
    <row r="4308" spans="1:9" x14ac:dyDescent="0.2">
      <c r="A4308" s="1" t="str">
        <f>"CXCL10"</f>
        <v>CXCL10</v>
      </c>
      <c r="B4308" t="s">
        <v>14</v>
      </c>
      <c r="C4308" t="s">
        <v>23</v>
      </c>
      <c r="D4308" t="s">
        <v>11</v>
      </c>
      <c r="E4308" t="s">
        <v>12</v>
      </c>
      <c r="F4308">
        <v>76944621</v>
      </c>
      <c r="G4308">
        <v>76944671</v>
      </c>
      <c r="H4308">
        <v>76944621</v>
      </c>
      <c r="I4308">
        <v>76944671</v>
      </c>
    </row>
    <row r="4309" spans="1:9" x14ac:dyDescent="0.2">
      <c r="A4309" s="1" t="str">
        <f>"CXCL11"</f>
        <v>CXCL11</v>
      </c>
      <c r="B4309" t="s">
        <v>14</v>
      </c>
      <c r="C4309" t="s">
        <v>23</v>
      </c>
      <c r="D4309" t="s">
        <v>11</v>
      </c>
      <c r="E4309" t="s">
        <v>12</v>
      </c>
      <c r="F4309">
        <v>76957214</v>
      </c>
      <c r="G4309">
        <v>76957241</v>
      </c>
      <c r="H4309">
        <v>76957214</v>
      </c>
      <c r="I4309">
        <v>76957241</v>
      </c>
    </row>
    <row r="4310" spans="1:9" x14ac:dyDescent="0.2">
      <c r="A4310" s="1" t="str">
        <f>"CXCL12"</f>
        <v>CXCL12</v>
      </c>
      <c r="B4310" t="s">
        <v>14</v>
      </c>
      <c r="C4310" t="s">
        <v>15</v>
      </c>
      <c r="D4310" t="s">
        <v>11</v>
      </c>
      <c r="E4310" t="s">
        <v>12</v>
      </c>
      <c r="F4310">
        <v>44880536</v>
      </c>
      <c r="G4310">
        <v>44880553</v>
      </c>
      <c r="H4310">
        <v>44880632</v>
      </c>
      <c r="I4310">
        <v>44880671</v>
      </c>
    </row>
    <row r="4311" spans="1:9" x14ac:dyDescent="0.2">
      <c r="A4311" s="1" t="str">
        <f>"CXCL13"</f>
        <v>CXCL13</v>
      </c>
      <c r="B4311" t="s">
        <v>297</v>
      </c>
      <c r="C4311" t="s">
        <v>23</v>
      </c>
      <c r="D4311" t="s">
        <v>17</v>
      </c>
      <c r="E4311" t="s">
        <v>20</v>
      </c>
      <c r="F4311">
        <v>78432906</v>
      </c>
      <c r="G4311">
        <v>78432906</v>
      </c>
      <c r="H4311">
        <v>78432906</v>
      </c>
      <c r="I4311">
        <v>78432906</v>
      </c>
    </row>
    <row r="4312" spans="1:9" x14ac:dyDescent="0.2">
      <c r="A4312" s="1" t="str">
        <f>"CXCL14"</f>
        <v>CXCL14</v>
      </c>
      <c r="B4312" t="s">
        <v>14</v>
      </c>
      <c r="C4312" t="s">
        <v>46</v>
      </c>
      <c r="D4312" t="s">
        <v>11</v>
      </c>
      <c r="E4312" t="s">
        <v>12</v>
      </c>
      <c r="F4312">
        <v>134914673</v>
      </c>
      <c r="G4312">
        <v>134914692</v>
      </c>
      <c r="H4312">
        <v>134914630</v>
      </c>
      <c r="I4312">
        <v>134914641</v>
      </c>
    </row>
    <row r="4313" spans="1:9" x14ac:dyDescent="0.2">
      <c r="A4313" s="1" t="str">
        <f>"CXCL16"</f>
        <v>CXCL16</v>
      </c>
      <c r="B4313" t="s">
        <v>14</v>
      </c>
      <c r="C4313" t="s">
        <v>28</v>
      </c>
      <c r="D4313" t="s">
        <v>11</v>
      </c>
      <c r="E4313" t="s">
        <v>12</v>
      </c>
      <c r="F4313">
        <v>4643161</v>
      </c>
      <c r="G4313">
        <v>4643241</v>
      </c>
      <c r="H4313">
        <v>4643045</v>
      </c>
      <c r="I4313">
        <v>4643078</v>
      </c>
    </row>
    <row r="4314" spans="1:9" x14ac:dyDescent="0.2">
      <c r="A4314" s="1" t="str">
        <f>"CXCL17"</f>
        <v>CXCL17</v>
      </c>
      <c r="B4314" t="s">
        <v>14</v>
      </c>
      <c r="C4314" t="s">
        <v>10</v>
      </c>
      <c r="D4314" t="s">
        <v>11</v>
      </c>
      <c r="E4314" t="s">
        <v>12</v>
      </c>
      <c r="F4314">
        <v>42947091</v>
      </c>
      <c r="G4314">
        <v>42947108</v>
      </c>
      <c r="H4314">
        <v>42947059</v>
      </c>
      <c r="I4314">
        <v>42947081</v>
      </c>
    </row>
    <row r="4315" spans="1:9" x14ac:dyDescent="0.2">
      <c r="A4315" s="1" t="str">
        <f>"CXCL2"</f>
        <v>CXCL2</v>
      </c>
      <c r="B4315" t="s">
        <v>14</v>
      </c>
      <c r="C4315" t="s">
        <v>23</v>
      </c>
      <c r="D4315" t="s">
        <v>11</v>
      </c>
      <c r="E4315" t="s">
        <v>12</v>
      </c>
      <c r="F4315">
        <v>74964904</v>
      </c>
      <c r="G4315">
        <v>74964919</v>
      </c>
      <c r="H4315">
        <v>74964904</v>
      </c>
      <c r="I4315">
        <v>74964919</v>
      </c>
    </row>
    <row r="4316" spans="1:9" x14ac:dyDescent="0.2">
      <c r="A4316" s="1" t="str">
        <f>"CXCL3"</f>
        <v>CXCL3</v>
      </c>
      <c r="B4316" t="s">
        <v>14</v>
      </c>
      <c r="C4316" t="s">
        <v>23</v>
      </c>
      <c r="D4316" t="s">
        <v>11</v>
      </c>
      <c r="E4316" t="s">
        <v>12</v>
      </c>
      <c r="F4316">
        <v>74904398</v>
      </c>
      <c r="G4316">
        <v>74904413</v>
      </c>
      <c r="H4316">
        <v>74904126</v>
      </c>
      <c r="I4316">
        <v>74904156</v>
      </c>
    </row>
    <row r="4317" spans="1:9" x14ac:dyDescent="0.2">
      <c r="A4317" s="1" t="str">
        <f>"CXCL5"</f>
        <v>CXCL5</v>
      </c>
      <c r="B4317" t="s">
        <v>14</v>
      </c>
      <c r="C4317" t="s">
        <v>23</v>
      </c>
      <c r="D4317" t="s">
        <v>11</v>
      </c>
      <c r="E4317" t="s">
        <v>12</v>
      </c>
      <c r="F4317">
        <v>74864386</v>
      </c>
      <c r="G4317">
        <v>74864404</v>
      </c>
      <c r="H4317">
        <v>74864386</v>
      </c>
      <c r="I4317">
        <v>74864404</v>
      </c>
    </row>
    <row r="4318" spans="1:9" x14ac:dyDescent="0.2">
      <c r="A4318" s="1" t="str">
        <f>"CXCL6"</f>
        <v>CXCL6</v>
      </c>
      <c r="B4318" t="s">
        <v>14</v>
      </c>
      <c r="C4318" t="s">
        <v>23</v>
      </c>
      <c r="D4318" t="s">
        <v>17</v>
      </c>
      <c r="E4318" t="s">
        <v>12</v>
      </c>
      <c r="F4318">
        <v>74702384</v>
      </c>
      <c r="G4318">
        <v>74702402</v>
      </c>
      <c r="H4318">
        <v>74702338</v>
      </c>
      <c r="I4318">
        <v>74702349</v>
      </c>
    </row>
    <row r="4319" spans="1:9" x14ac:dyDescent="0.2">
      <c r="A4319" s="1" t="str">
        <f>"CXCL9"</f>
        <v>CXCL9</v>
      </c>
      <c r="B4319" t="s">
        <v>14</v>
      </c>
      <c r="C4319" t="s">
        <v>23</v>
      </c>
      <c r="D4319" t="s">
        <v>11</v>
      </c>
      <c r="E4319" t="s">
        <v>12</v>
      </c>
      <c r="F4319">
        <v>76928654</v>
      </c>
      <c r="G4319">
        <v>76928668</v>
      </c>
      <c r="H4319">
        <v>76928654</v>
      </c>
      <c r="I4319">
        <v>76928668</v>
      </c>
    </row>
    <row r="4320" spans="1:9" x14ac:dyDescent="0.2">
      <c r="A4320" s="1" t="str">
        <f>"CXCR1"</f>
        <v>CXCR1</v>
      </c>
      <c r="B4320" t="s">
        <v>14</v>
      </c>
      <c r="C4320" t="s">
        <v>26</v>
      </c>
      <c r="D4320" t="s">
        <v>11</v>
      </c>
      <c r="E4320" t="s">
        <v>12</v>
      </c>
      <c r="F4320">
        <v>219031676</v>
      </c>
      <c r="G4320">
        <v>219031692</v>
      </c>
      <c r="H4320">
        <v>219031709</v>
      </c>
      <c r="I4320">
        <v>219031720</v>
      </c>
    </row>
    <row r="4321" spans="1:9" x14ac:dyDescent="0.2">
      <c r="A4321" s="1" t="str">
        <f>"CXCR2"</f>
        <v>CXCR2</v>
      </c>
      <c r="B4321" t="s">
        <v>14</v>
      </c>
      <c r="C4321" t="s">
        <v>26</v>
      </c>
      <c r="D4321" t="s">
        <v>17</v>
      </c>
      <c r="E4321" t="s">
        <v>12</v>
      </c>
      <c r="F4321">
        <v>218990761</v>
      </c>
      <c r="G4321">
        <v>218990809</v>
      </c>
      <c r="H4321">
        <v>218990761</v>
      </c>
      <c r="I4321">
        <v>218990809</v>
      </c>
    </row>
    <row r="4322" spans="1:9" x14ac:dyDescent="0.2">
      <c r="A4322" s="1" t="str">
        <f>"CXCR3"</f>
        <v>CXCR3</v>
      </c>
      <c r="B4322" t="s">
        <v>14</v>
      </c>
      <c r="C4322" t="s">
        <v>37</v>
      </c>
      <c r="D4322" t="s">
        <v>11</v>
      </c>
      <c r="E4322" t="s">
        <v>12</v>
      </c>
      <c r="F4322">
        <v>70838306</v>
      </c>
      <c r="G4322">
        <v>70838369</v>
      </c>
      <c r="H4322">
        <v>70838380</v>
      </c>
      <c r="I4322">
        <v>70838395</v>
      </c>
    </row>
    <row r="4323" spans="1:9" x14ac:dyDescent="0.2">
      <c r="A4323" s="1" t="str">
        <f>"CXCR4"</f>
        <v>CXCR4</v>
      </c>
      <c r="B4323" t="s">
        <v>14</v>
      </c>
      <c r="C4323" t="s">
        <v>26</v>
      </c>
      <c r="D4323" t="s">
        <v>11</v>
      </c>
      <c r="E4323" t="s">
        <v>12</v>
      </c>
      <c r="F4323">
        <v>136875712</v>
      </c>
      <c r="G4323">
        <v>136875725</v>
      </c>
      <c r="H4323">
        <v>136875712</v>
      </c>
      <c r="I4323">
        <v>136875725</v>
      </c>
    </row>
    <row r="4324" spans="1:9" x14ac:dyDescent="0.2">
      <c r="A4324" s="1" t="str">
        <f>"CXCR5"</f>
        <v>CXCR5</v>
      </c>
      <c r="B4324" t="s">
        <v>14</v>
      </c>
      <c r="C4324" t="s">
        <v>27</v>
      </c>
      <c r="D4324" t="s">
        <v>17</v>
      </c>
      <c r="E4324" t="s">
        <v>12</v>
      </c>
      <c r="F4324">
        <v>118754592</v>
      </c>
      <c r="G4324">
        <v>118754621</v>
      </c>
      <c r="H4324">
        <v>118754625</v>
      </c>
      <c r="I4324">
        <v>118754644</v>
      </c>
    </row>
    <row r="4325" spans="1:9" x14ac:dyDescent="0.2">
      <c r="A4325" s="1" t="str">
        <f>"CXCR6"</f>
        <v>CXCR6</v>
      </c>
      <c r="B4325" t="s">
        <v>14</v>
      </c>
      <c r="C4325" t="s">
        <v>22</v>
      </c>
      <c r="D4325" t="s">
        <v>17</v>
      </c>
      <c r="E4325" t="s">
        <v>12</v>
      </c>
      <c r="F4325">
        <v>45984947</v>
      </c>
      <c r="G4325">
        <v>45984966</v>
      </c>
      <c r="H4325">
        <v>45984947</v>
      </c>
      <c r="I4325">
        <v>45984966</v>
      </c>
    </row>
    <row r="4326" spans="1:9" x14ac:dyDescent="0.2">
      <c r="A4326" s="1" t="str">
        <f>"CXXC1"</f>
        <v>CXXC1</v>
      </c>
      <c r="B4326" t="s">
        <v>14</v>
      </c>
      <c r="C4326" t="s">
        <v>43</v>
      </c>
      <c r="D4326" t="s">
        <v>11</v>
      </c>
      <c r="E4326" t="s">
        <v>12</v>
      </c>
      <c r="F4326">
        <v>47814032</v>
      </c>
      <c r="G4326">
        <v>47814079</v>
      </c>
      <c r="H4326">
        <v>47814186</v>
      </c>
      <c r="I4326">
        <v>47814232</v>
      </c>
    </row>
    <row r="4327" spans="1:9" x14ac:dyDescent="0.2">
      <c r="A4327" s="1" t="str">
        <f>"CXXC11"</f>
        <v>CXXC11</v>
      </c>
      <c r="B4327" t="s">
        <v>14</v>
      </c>
      <c r="C4327" t="s">
        <v>26</v>
      </c>
      <c r="D4327" t="s">
        <v>17</v>
      </c>
      <c r="E4327" t="s">
        <v>12</v>
      </c>
      <c r="F4327">
        <v>242811874</v>
      </c>
      <c r="G4327">
        <v>242811904</v>
      </c>
      <c r="H4327">
        <v>242811874</v>
      </c>
      <c r="I4327">
        <v>242811904</v>
      </c>
    </row>
    <row r="4328" spans="1:9" x14ac:dyDescent="0.2">
      <c r="A4328" s="1" t="str">
        <f>"CXXC4"</f>
        <v>CXXC4</v>
      </c>
      <c r="B4328" t="s">
        <v>14</v>
      </c>
      <c r="C4328" t="s">
        <v>23</v>
      </c>
      <c r="D4328" t="s">
        <v>11</v>
      </c>
      <c r="E4328" t="s">
        <v>12</v>
      </c>
      <c r="F4328">
        <v>105416039</v>
      </c>
      <c r="G4328">
        <v>105416065</v>
      </c>
      <c r="H4328">
        <v>105416039</v>
      </c>
      <c r="I4328">
        <v>105416065</v>
      </c>
    </row>
    <row r="4329" spans="1:9" x14ac:dyDescent="0.2">
      <c r="A4329" s="1" t="str">
        <f>"CXXC5"</f>
        <v>CXXC5</v>
      </c>
      <c r="B4329" t="s">
        <v>14</v>
      </c>
      <c r="C4329" t="s">
        <v>46</v>
      </c>
      <c r="D4329" t="s">
        <v>17</v>
      </c>
      <c r="E4329" t="s">
        <v>12</v>
      </c>
      <c r="F4329">
        <v>139027923</v>
      </c>
      <c r="G4329">
        <v>139028000</v>
      </c>
      <c r="H4329">
        <v>139028516</v>
      </c>
      <c r="I4329">
        <v>139028557</v>
      </c>
    </row>
    <row r="4330" spans="1:9" x14ac:dyDescent="0.2">
      <c r="A4330" s="1" t="str">
        <f>"CXorf21"</f>
        <v>CXorf21</v>
      </c>
      <c r="B4330" t="s">
        <v>14</v>
      </c>
      <c r="C4330" t="s">
        <v>37</v>
      </c>
      <c r="D4330" t="s">
        <v>11</v>
      </c>
      <c r="E4330" t="s">
        <v>12</v>
      </c>
      <c r="F4330">
        <v>30595876</v>
      </c>
      <c r="G4330">
        <v>30595890</v>
      </c>
      <c r="H4330">
        <v>30595907</v>
      </c>
      <c r="I4330">
        <v>30595941</v>
      </c>
    </row>
    <row r="4331" spans="1:9" x14ac:dyDescent="0.2">
      <c r="A4331" s="1" t="str">
        <f>"CXorf22"</f>
        <v>CXorf22</v>
      </c>
      <c r="B4331" t="s">
        <v>14</v>
      </c>
      <c r="C4331" t="s">
        <v>37</v>
      </c>
      <c r="D4331" t="s">
        <v>17</v>
      </c>
      <c r="E4331" t="s">
        <v>12</v>
      </c>
      <c r="F4331">
        <v>35937879</v>
      </c>
      <c r="G4331">
        <v>35937902</v>
      </c>
      <c r="H4331">
        <v>35937843</v>
      </c>
      <c r="I4331">
        <v>35937868</v>
      </c>
    </row>
    <row r="4332" spans="1:9" x14ac:dyDescent="0.2">
      <c r="A4332" s="1" t="str">
        <f>"CXorf23"</f>
        <v>CXorf23</v>
      </c>
      <c r="B4332" t="s">
        <v>14</v>
      </c>
      <c r="C4332" t="s">
        <v>37</v>
      </c>
      <c r="D4332" t="s">
        <v>11</v>
      </c>
      <c r="E4332" t="s">
        <v>12</v>
      </c>
      <c r="F4332">
        <v>19983445</v>
      </c>
      <c r="G4332">
        <v>19983475</v>
      </c>
      <c r="H4332">
        <v>19983445</v>
      </c>
      <c r="I4332">
        <v>19983475</v>
      </c>
    </row>
    <row r="4333" spans="1:9" x14ac:dyDescent="0.2">
      <c r="A4333" s="1" t="str">
        <f>"CXorf27"</f>
        <v>CXorf27</v>
      </c>
      <c r="B4333" t="s">
        <v>14</v>
      </c>
      <c r="C4333" t="s">
        <v>37</v>
      </c>
      <c r="D4333" t="s">
        <v>17</v>
      </c>
      <c r="E4333" t="s">
        <v>12</v>
      </c>
      <c r="F4333">
        <v>37850026</v>
      </c>
      <c r="G4333">
        <v>37850037</v>
      </c>
      <c r="H4333">
        <v>37850026</v>
      </c>
      <c r="I4333">
        <v>37850037</v>
      </c>
    </row>
    <row r="4334" spans="1:9" x14ac:dyDescent="0.2">
      <c r="A4334" s="1" t="str">
        <f>"CXorf30"</f>
        <v>CXorf30</v>
      </c>
      <c r="B4334" t="s">
        <v>298</v>
      </c>
      <c r="C4334" t="s">
        <v>37</v>
      </c>
      <c r="D4334" t="s">
        <v>17</v>
      </c>
      <c r="E4334" t="s">
        <v>20</v>
      </c>
      <c r="F4334">
        <v>36254050</v>
      </c>
      <c r="G4334">
        <v>36254050</v>
      </c>
      <c r="H4334">
        <v>36254050</v>
      </c>
      <c r="I4334">
        <v>36254050</v>
      </c>
    </row>
    <row r="4335" spans="1:9" x14ac:dyDescent="0.2">
      <c r="A4335" s="1" t="str">
        <f>"CXorf36"</f>
        <v>CXorf36</v>
      </c>
      <c r="B4335" t="s">
        <v>14</v>
      </c>
      <c r="C4335" t="s">
        <v>37</v>
      </c>
      <c r="D4335" t="s">
        <v>11</v>
      </c>
      <c r="E4335" t="s">
        <v>12</v>
      </c>
      <c r="F4335">
        <v>45060073</v>
      </c>
      <c r="G4335">
        <v>45060131</v>
      </c>
      <c r="H4335">
        <v>45060135</v>
      </c>
      <c r="I4335">
        <v>45060149</v>
      </c>
    </row>
    <row r="4336" spans="1:9" x14ac:dyDescent="0.2">
      <c r="A4336" s="1" t="str">
        <f>"CXorf38"</f>
        <v>CXorf38</v>
      </c>
      <c r="B4336" t="s">
        <v>14</v>
      </c>
      <c r="C4336" t="s">
        <v>37</v>
      </c>
      <c r="D4336" t="s">
        <v>11</v>
      </c>
      <c r="E4336" t="s">
        <v>12</v>
      </c>
      <c r="F4336">
        <v>40506766</v>
      </c>
      <c r="G4336">
        <v>40506824</v>
      </c>
      <c r="H4336">
        <v>40506693</v>
      </c>
      <c r="I4336">
        <v>40506705</v>
      </c>
    </row>
    <row r="4337" spans="1:9" x14ac:dyDescent="0.2">
      <c r="A4337" s="1" t="str">
        <f>"CXorf40A"</f>
        <v>CXorf40A</v>
      </c>
      <c r="B4337" t="s">
        <v>14</v>
      </c>
      <c r="C4337" t="s">
        <v>37</v>
      </c>
      <c r="D4337" t="s">
        <v>17</v>
      </c>
      <c r="E4337" t="s">
        <v>12</v>
      </c>
      <c r="F4337">
        <v>148622513</v>
      </c>
      <c r="G4337">
        <v>148622612</v>
      </c>
      <c r="H4337">
        <v>148622138</v>
      </c>
      <c r="I4337">
        <v>148622191</v>
      </c>
    </row>
    <row r="4338" spans="1:9" x14ac:dyDescent="0.2">
      <c r="A4338" s="1" t="str">
        <f>"CXorf40B"</f>
        <v>CXorf40B</v>
      </c>
      <c r="B4338" t="s">
        <v>14</v>
      </c>
      <c r="C4338" t="s">
        <v>37</v>
      </c>
      <c r="D4338" t="s">
        <v>11</v>
      </c>
      <c r="E4338" t="s">
        <v>12</v>
      </c>
      <c r="F4338">
        <v>149106653</v>
      </c>
      <c r="G4338">
        <v>149106721</v>
      </c>
      <c r="H4338">
        <v>149107042</v>
      </c>
      <c r="I4338">
        <v>149107074</v>
      </c>
    </row>
    <row r="4339" spans="1:9" x14ac:dyDescent="0.2">
      <c r="A4339" s="1" t="str">
        <f>"CXorf48"</f>
        <v>CXorf48</v>
      </c>
      <c r="B4339" t="s">
        <v>14</v>
      </c>
      <c r="C4339" t="s">
        <v>37</v>
      </c>
      <c r="D4339" t="s">
        <v>11</v>
      </c>
      <c r="E4339" t="s">
        <v>12</v>
      </c>
      <c r="F4339">
        <v>134305201</v>
      </c>
      <c r="G4339">
        <v>134305237</v>
      </c>
      <c r="H4339">
        <v>134305318</v>
      </c>
      <c r="I4339">
        <v>134305325</v>
      </c>
    </row>
    <row r="4340" spans="1:9" x14ac:dyDescent="0.2">
      <c r="A4340" s="1" t="str">
        <f>"CXorf49"</f>
        <v>CXorf49</v>
      </c>
      <c r="B4340" t="s">
        <v>299</v>
      </c>
      <c r="C4340" t="s">
        <v>37</v>
      </c>
      <c r="D4340" t="s">
        <v>11</v>
      </c>
      <c r="E4340" t="s">
        <v>20</v>
      </c>
      <c r="F4340">
        <v>70936236</v>
      </c>
      <c r="G4340">
        <v>70936236</v>
      </c>
      <c r="H4340">
        <v>70936236</v>
      </c>
      <c r="I4340">
        <v>70936236</v>
      </c>
    </row>
    <row r="4341" spans="1:9" x14ac:dyDescent="0.2">
      <c r="A4341" s="1" t="str">
        <f>"CXorf49"</f>
        <v>CXorf49</v>
      </c>
      <c r="B4341" t="s">
        <v>300</v>
      </c>
      <c r="C4341" t="s">
        <v>37</v>
      </c>
      <c r="D4341" t="s">
        <v>11</v>
      </c>
      <c r="E4341" t="s">
        <v>20</v>
      </c>
      <c r="F4341">
        <v>70938134</v>
      </c>
      <c r="G4341">
        <v>70938134</v>
      </c>
      <c r="H4341">
        <v>70938134</v>
      </c>
      <c r="I4341">
        <v>70938134</v>
      </c>
    </row>
    <row r="4342" spans="1:9" x14ac:dyDescent="0.2">
      <c r="A4342" s="1" t="str">
        <f>"CXorf49B"</f>
        <v>CXorf49B</v>
      </c>
      <c r="B4342" t="s">
        <v>301</v>
      </c>
      <c r="C4342" t="s">
        <v>37</v>
      </c>
      <c r="D4342" t="s">
        <v>17</v>
      </c>
      <c r="E4342" t="s">
        <v>20</v>
      </c>
      <c r="F4342">
        <v>70985037</v>
      </c>
      <c r="G4342">
        <v>70985037</v>
      </c>
      <c r="H4342">
        <v>70985037</v>
      </c>
      <c r="I4342">
        <v>70985037</v>
      </c>
    </row>
    <row r="4343" spans="1:9" x14ac:dyDescent="0.2">
      <c r="A4343" s="1" t="str">
        <f>"CXorf49B"</f>
        <v>CXorf49B</v>
      </c>
      <c r="B4343" t="s">
        <v>302</v>
      </c>
      <c r="C4343" t="s">
        <v>37</v>
      </c>
      <c r="D4343" t="s">
        <v>17</v>
      </c>
      <c r="E4343" t="s">
        <v>20</v>
      </c>
      <c r="F4343">
        <v>70983139</v>
      </c>
      <c r="G4343">
        <v>70983139</v>
      </c>
      <c r="H4343">
        <v>70983139</v>
      </c>
      <c r="I4343">
        <v>70983139</v>
      </c>
    </row>
    <row r="4344" spans="1:9" x14ac:dyDescent="0.2">
      <c r="A4344" s="1" t="str">
        <f>"CXorf51A"</f>
        <v>CXorf51A</v>
      </c>
      <c r="B4344" t="s">
        <v>303</v>
      </c>
      <c r="C4344" t="s">
        <v>37</v>
      </c>
      <c r="D4344" t="s">
        <v>11</v>
      </c>
      <c r="E4344" t="s">
        <v>20</v>
      </c>
      <c r="F4344">
        <v>145896243</v>
      </c>
      <c r="G4344">
        <v>145896243</v>
      </c>
      <c r="H4344">
        <v>145896243</v>
      </c>
      <c r="I4344">
        <v>145896243</v>
      </c>
    </row>
    <row r="4345" spans="1:9" x14ac:dyDescent="0.2">
      <c r="A4345" s="1" t="str">
        <f>"CXorf51B"</f>
        <v>CXorf51B</v>
      </c>
      <c r="B4345" t="s">
        <v>304</v>
      </c>
      <c r="C4345" t="s">
        <v>37</v>
      </c>
      <c r="D4345" t="s">
        <v>17</v>
      </c>
      <c r="E4345" t="s">
        <v>20</v>
      </c>
      <c r="F4345">
        <v>145891301</v>
      </c>
      <c r="G4345">
        <v>145891301</v>
      </c>
      <c r="H4345">
        <v>145891301</v>
      </c>
      <c r="I4345">
        <v>145891301</v>
      </c>
    </row>
    <row r="4346" spans="1:9" x14ac:dyDescent="0.2">
      <c r="A4346" s="1" t="str">
        <f>"CXorf56"</f>
        <v>CXorf56</v>
      </c>
      <c r="B4346" t="s">
        <v>14</v>
      </c>
      <c r="C4346" t="s">
        <v>37</v>
      </c>
      <c r="D4346" t="s">
        <v>11</v>
      </c>
      <c r="E4346" t="s">
        <v>12</v>
      </c>
      <c r="F4346">
        <v>118699325</v>
      </c>
      <c r="G4346">
        <v>118699380</v>
      </c>
      <c r="H4346">
        <v>118699325</v>
      </c>
      <c r="I4346">
        <v>118699380</v>
      </c>
    </row>
    <row r="4347" spans="1:9" x14ac:dyDescent="0.2">
      <c r="A4347" s="1" t="str">
        <f>"CXorf57"</f>
        <v>CXorf57</v>
      </c>
      <c r="B4347" t="s">
        <v>14</v>
      </c>
      <c r="C4347" t="s">
        <v>37</v>
      </c>
      <c r="D4347" t="s">
        <v>17</v>
      </c>
      <c r="E4347" t="s">
        <v>12</v>
      </c>
      <c r="F4347">
        <v>105855164</v>
      </c>
      <c r="G4347">
        <v>105855218</v>
      </c>
      <c r="H4347">
        <v>105855232</v>
      </c>
      <c r="I4347">
        <v>105855255</v>
      </c>
    </row>
    <row r="4348" spans="1:9" x14ac:dyDescent="0.2">
      <c r="A4348" s="1" t="str">
        <f>"CXorf58"</f>
        <v>CXorf58</v>
      </c>
      <c r="B4348" t="s">
        <v>14</v>
      </c>
      <c r="C4348" t="s">
        <v>37</v>
      </c>
      <c r="D4348" t="s">
        <v>17</v>
      </c>
      <c r="E4348" t="s">
        <v>12</v>
      </c>
      <c r="F4348">
        <v>23926178</v>
      </c>
      <c r="G4348">
        <v>23926192</v>
      </c>
      <c r="H4348">
        <v>23926103</v>
      </c>
      <c r="I4348">
        <v>23926125</v>
      </c>
    </row>
    <row r="4349" spans="1:9" x14ac:dyDescent="0.2">
      <c r="A4349" s="1" t="str">
        <f>"CXorf61"</f>
        <v>CXorf61</v>
      </c>
      <c r="B4349" t="s">
        <v>14</v>
      </c>
      <c r="C4349" t="s">
        <v>37</v>
      </c>
      <c r="D4349" t="s">
        <v>11</v>
      </c>
      <c r="E4349" t="s">
        <v>12</v>
      </c>
      <c r="F4349">
        <v>115594126</v>
      </c>
      <c r="G4349">
        <v>115594143</v>
      </c>
      <c r="H4349">
        <v>115594160</v>
      </c>
      <c r="I4349">
        <v>115594172</v>
      </c>
    </row>
    <row r="4350" spans="1:9" x14ac:dyDescent="0.2">
      <c r="A4350" s="1" t="str">
        <f>"CXorf64"</f>
        <v>CXorf64</v>
      </c>
      <c r="B4350" t="s">
        <v>14</v>
      </c>
      <c r="C4350" t="s">
        <v>37</v>
      </c>
      <c r="D4350" t="s">
        <v>17</v>
      </c>
      <c r="E4350" t="s">
        <v>12</v>
      </c>
      <c r="F4350">
        <v>125953702</v>
      </c>
      <c r="G4350">
        <v>125953722</v>
      </c>
      <c r="H4350">
        <v>125953746</v>
      </c>
      <c r="I4350">
        <v>125953761</v>
      </c>
    </row>
    <row r="4351" spans="1:9" x14ac:dyDescent="0.2">
      <c r="A4351" s="1" t="str">
        <f>"CXorf65"</f>
        <v>CXorf65</v>
      </c>
      <c r="B4351" t="s">
        <v>14</v>
      </c>
      <c r="C4351" t="s">
        <v>37</v>
      </c>
      <c r="D4351" t="s">
        <v>11</v>
      </c>
      <c r="E4351" t="s">
        <v>12</v>
      </c>
      <c r="F4351">
        <v>70326578</v>
      </c>
      <c r="G4351">
        <v>70326599</v>
      </c>
      <c r="H4351">
        <v>70326559</v>
      </c>
      <c r="I4351">
        <v>70326566</v>
      </c>
    </row>
    <row r="4352" spans="1:9" x14ac:dyDescent="0.2">
      <c r="A4352" s="1" t="str">
        <f>"CXorf66"</f>
        <v>CXorf66</v>
      </c>
      <c r="B4352" t="s">
        <v>14</v>
      </c>
      <c r="C4352" t="s">
        <v>37</v>
      </c>
      <c r="D4352" t="s">
        <v>11</v>
      </c>
      <c r="E4352" t="s">
        <v>12</v>
      </c>
      <c r="F4352">
        <v>139047669</v>
      </c>
      <c r="G4352">
        <v>139047684</v>
      </c>
      <c r="H4352">
        <v>139047669</v>
      </c>
      <c r="I4352">
        <v>139047684</v>
      </c>
    </row>
    <row r="4353" spans="1:9" x14ac:dyDescent="0.2">
      <c r="A4353" s="1" t="str">
        <f>"CYB561"</f>
        <v>CYB561</v>
      </c>
      <c r="B4353" t="s">
        <v>14</v>
      </c>
      <c r="C4353" t="s">
        <v>28</v>
      </c>
      <c r="D4353" t="s">
        <v>11</v>
      </c>
      <c r="E4353" t="s">
        <v>12</v>
      </c>
      <c r="F4353">
        <v>61523622</v>
      </c>
      <c r="G4353">
        <v>61523734</v>
      </c>
      <c r="H4353">
        <v>61523421</v>
      </c>
      <c r="I4353">
        <v>61523459</v>
      </c>
    </row>
    <row r="4354" spans="1:9" x14ac:dyDescent="0.2">
      <c r="A4354" s="1" t="str">
        <f>"CYB561A3"</f>
        <v>CYB561A3</v>
      </c>
      <c r="B4354" t="s">
        <v>14</v>
      </c>
      <c r="C4354" t="s">
        <v>27</v>
      </c>
      <c r="D4354" t="s">
        <v>11</v>
      </c>
      <c r="E4354" t="s">
        <v>12</v>
      </c>
      <c r="F4354">
        <v>61129335</v>
      </c>
      <c r="G4354">
        <v>61129364</v>
      </c>
      <c r="H4354">
        <v>61129723</v>
      </c>
      <c r="I4354">
        <v>61129776</v>
      </c>
    </row>
    <row r="4355" spans="1:9" x14ac:dyDescent="0.2">
      <c r="A4355" s="1" t="str">
        <f>"CYB561D1"</f>
        <v>CYB561D1</v>
      </c>
      <c r="B4355" t="s">
        <v>14</v>
      </c>
      <c r="C4355" t="s">
        <v>19</v>
      </c>
      <c r="D4355" t="s">
        <v>17</v>
      </c>
      <c r="E4355" t="s">
        <v>12</v>
      </c>
      <c r="F4355">
        <v>110036699</v>
      </c>
      <c r="G4355">
        <v>110036727</v>
      </c>
      <c r="H4355">
        <v>110036728</v>
      </c>
      <c r="I4355">
        <v>110036742</v>
      </c>
    </row>
    <row r="4356" spans="1:9" x14ac:dyDescent="0.2">
      <c r="A4356" s="1" t="str">
        <f>"CYB561D2"</f>
        <v>CYB561D2</v>
      </c>
      <c r="B4356" t="s">
        <v>14</v>
      </c>
      <c r="C4356" t="s">
        <v>22</v>
      </c>
      <c r="D4356" t="s">
        <v>17</v>
      </c>
      <c r="E4356" t="s">
        <v>12</v>
      </c>
      <c r="F4356">
        <v>50388264</v>
      </c>
      <c r="G4356">
        <v>50388328</v>
      </c>
      <c r="H4356">
        <v>50388589</v>
      </c>
      <c r="I4356">
        <v>50388651</v>
      </c>
    </row>
    <row r="4357" spans="1:9" x14ac:dyDescent="0.2">
      <c r="A4357" s="1" t="str">
        <f>"CYB5A"</f>
        <v>CYB5A</v>
      </c>
      <c r="B4357" t="s">
        <v>14</v>
      </c>
      <c r="C4357" t="s">
        <v>43</v>
      </c>
      <c r="D4357" t="s">
        <v>11</v>
      </c>
      <c r="E4357" t="s">
        <v>12</v>
      </c>
      <c r="F4357">
        <v>71959159</v>
      </c>
      <c r="G4357">
        <v>71959234</v>
      </c>
      <c r="H4357">
        <v>71959140</v>
      </c>
      <c r="I4357">
        <v>71959154</v>
      </c>
    </row>
    <row r="4358" spans="1:9" x14ac:dyDescent="0.2">
      <c r="A4358" s="1" t="str">
        <f>"CYB5B"</f>
        <v>CYB5B</v>
      </c>
      <c r="B4358" t="s">
        <v>14</v>
      </c>
      <c r="C4358" t="s">
        <v>31</v>
      </c>
      <c r="D4358" t="s">
        <v>17</v>
      </c>
      <c r="E4358" t="s">
        <v>12</v>
      </c>
      <c r="F4358">
        <v>69458537</v>
      </c>
      <c r="G4358">
        <v>69458579</v>
      </c>
      <c r="H4358">
        <v>69458513</v>
      </c>
      <c r="I4358">
        <v>69458530</v>
      </c>
    </row>
    <row r="4359" spans="1:9" x14ac:dyDescent="0.2">
      <c r="A4359" s="1" t="str">
        <f>"CYB5D1"</f>
        <v>CYB5D1</v>
      </c>
      <c r="B4359" t="s">
        <v>14</v>
      </c>
      <c r="C4359" t="s">
        <v>28</v>
      </c>
      <c r="D4359" t="s">
        <v>17</v>
      </c>
      <c r="E4359" t="s">
        <v>12</v>
      </c>
      <c r="F4359">
        <v>7761306</v>
      </c>
      <c r="G4359">
        <v>7761396</v>
      </c>
      <c r="H4359">
        <v>7761013</v>
      </c>
      <c r="I4359">
        <v>7761074</v>
      </c>
    </row>
    <row r="4360" spans="1:9" x14ac:dyDescent="0.2">
      <c r="A4360" s="1" t="str">
        <f>"CYB5D2"</f>
        <v>CYB5D2</v>
      </c>
      <c r="B4360" t="s">
        <v>14</v>
      </c>
      <c r="C4360" t="s">
        <v>28</v>
      </c>
      <c r="D4360" t="s">
        <v>17</v>
      </c>
      <c r="E4360" t="s">
        <v>12</v>
      </c>
      <c r="F4360">
        <v>4046964</v>
      </c>
      <c r="G4360">
        <v>4047029</v>
      </c>
      <c r="H4360">
        <v>4046482</v>
      </c>
      <c r="I4360">
        <v>4046517</v>
      </c>
    </row>
    <row r="4361" spans="1:9" x14ac:dyDescent="0.2">
      <c r="A4361" s="1" t="str">
        <f>"CYB5R1"</f>
        <v>CYB5R1</v>
      </c>
      <c r="B4361" t="s">
        <v>14</v>
      </c>
      <c r="C4361" t="s">
        <v>19</v>
      </c>
      <c r="D4361" t="s">
        <v>11</v>
      </c>
      <c r="E4361" t="s">
        <v>12</v>
      </c>
      <c r="F4361">
        <v>202936357</v>
      </c>
      <c r="G4361">
        <v>202936392</v>
      </c>
      <c r="H4361">
        <v>202936394</v>
      </c>
      <c r="I4361">
        <v>202936405</v>
      </c>
    </row>
    <row r="4362" spans="1:9" x14ac:dyDescent="0.2">
      <c r="A4362" s="1" t="str">
        <f>"CYB5R2"</f>
        <v>CYB5R2</v>
      </c>
      <c r="B4362" t="s">
        <v>14</v>
      </c>
      <c r="C4362" t="s">
        <v>27</v>
      </c>
      <c r="D4362" t="s">
        <v>11</v>
      </c>
      <c r="E4362" t="s">
        <v>12</v>
      </c>
      <c r="F4362">
        <v>7694684</v>
      </c>
      <c r="G4362">
        <v>7694745</v>
      </c>
      <c r="H4362">
        <v>7695437</v>
      </c>
      <c r="I4362">
        <v>7695514</v>
      </c>
    </row>
    <row r="4363" spans="1:9" x14ac:dyDescent="0.2">
      <c r="A4363" s="1" t="str">
        <f>"CYB5R3"</f>
        <v>CYB5R3</v>
      </c>
      <c r="B4363" t="s">
        <v>14</v>
      </c>
      <c r="C4363" t="s">
        <v>21</v>
      </c>
      <c r="D4363" t="s">
        <v>11</v>
      </c>
      <c r="E4363" t="s">
        <v>12</v>
      </c>
      <c r="F4363">
        <v>43045336</v>
      </c>
      <c r="G4363">
        <v>43045416</v>
      </c>
      <c r="H4363">
        <v>43045336</v>
      </c>
      <c r="I4363">
        <v>43045416</v>
      </c>
    </row>
    <row r="4364" spans="1:9" x14ac:dyDescent="0.2">
      <c r="A4364" s="1" t="str">
        <f>"CYB5R4"</f>
        <v>CYB5R4</v>
      </c>
      <c r="B4364" t="s">
        <v>14</v>
      </c>
      <c r="C4364" t="s">
        <v>32</v>
      </c>
      <c r="D4364" t="s">
        <v>17</v>
      </c>
      <c r="E4364" t="s">
        <v>12</v>
      </c>
      <c r="F4364">
        <v>84569359</v>
      </c>
      <c r="G4364">
        <v>84569445</v>
      </c>
      <c r="H4364">
        <v>84569359</v>
      </c>
      <c r="I4364">
        <v>84569445</v>
      </c>
    </row>
    <row r="4365" spans="1:9" x14ac:dyDescent="0.2">
      <c r="A4365" s="1" t="str">
        <f>"CYB5RL"</f>
        <v>CYB5RL</v>
      </c>
      <c r="B4365" t="s">
        <v>14</v>
      </c>
      <c r="C4365" t="s">
        <v>19</v>
      </c>
      <c r="D4365" t="s">
        <v>11</v>
      </c>
      <c r="E4365" t="s">
        <v>12</v>
      </c>
      <c r="F4365">
        <v>54665664</v>
      </c>
      <c r="G4365">
        <v>54665713</v>
      </c>
      <c r="H4365">
        <v>54665716</v>
      </c>
      <c r="I4365">
        <v>54665727</v>
      </c>
    </row>
    <row r="4366" spans="1:9" x14ac:dyDescent="0.2">
      <c r="A4366" s="1" t="str">
        <f>"CYBA"</f>
        <v>CYBA</v>
      </c>
      <c r="B4366" t="s">
        <v>14</v>
      </c>
      <c r="C4366" t="s">
        <v>31</v>
      </c>
      <c r="D4366" t="s">
        <v>11</v>
      </c>
      <c r="E4366" t="s">
        <v>12</v>
      </c>
      <c r="F4366">
        <v>88717442</v>
      </c>
      <c r="G4366">
        <v>88717469</v>
      </c>
      <c r="H4366">
        <v>88717482</v>
      </c>
      <c r="I4366">
        <v>88717489</v>
      </c>
    </row>
    <row r="4367" spans="1:9" x14ac:dyDescent="0.2">
      <c r="A4367" s="1" t="str">
        <f>"CYBB"</f>
        <v>CYBB</v>
      </c>
      <c r="B4367" t="s">
        <v>14</v>
      </c>
      <c r="C4367" t="s">
        <v>37</v>
      </c>
      <c r="D4367" t="s">
        <v>17</v>
      </c>
      <c r="E4367" t="s">
        <v>12</v>
      </c>
      <c r="F4367">
        <v>37639302</v>
      </c>
      <c r="G4367">
        <v>37639326</v>
      </c>
      <c r="H4367">
        <v>37639279</v>
      </c>
      <c r="I4367">
        <v>37639290</v>
      </c>
    </row>
    <row r="4368" spans="1:9" x14ac:dyDescent="0.2">
      <c r="A4368" s="1" t="str">
        <f>"CYBRD1"</f>
        <v>CYBRD1</v>
      </c>
      <c r="B4368" t="s">
        <v>14</v>
      </c>
      <c r="C4368" t="s">
        <v>26</v>
      </c>
      <c r="D4368" t="s">
        <v>17</v>
      </c>
      <c r="E4368" t="s">
        <v>12</v>
      </c>
      <c r="F4368">
        <v>172378976</v>
      </c>
      <c r="G4368">
        <v>172378999</v>
      </c>
      <c r="H4368">
        <v>172379010</v>
      </c>
      <c r="I4368">
        <v>172379029</v>
      </c>
    </row>
    <row r="4369" spans="1:9" x14ac:dyDescent="0.2">
      <c r="A4369" s="1" t="str">
        <f>"CYC1"</f>
        <v>CYC1</v>
      </c>
      <c r="B4369" t="s">
        <v>14</v>
      </c>
      <c r="C4369" t="s">
        <v>30</v>
      </c>
      <c r="D4369" t="s">
        <v>17</v>
      </c>
      <c r="E4369" t="s">
        <v>12</v>
      </c>
      <c r="F4369">
        <v>145149957</v>
      </c>
      <c r="G4369">
        <v>145150006</v>
      </c>
      <c r="H4369">
        <v>145149940</v>
      </c>
      <c r="I4369">
        <v>145149951</v>
      </c>
    </row>
    <row r="4370" spans="1:9" x14ac:dyDescent="0.2">
      <c r="A4370" s="1" t="str">
        <f>"CYCS"</f>
        <v>CYCS</v>
      </c>
      <c r="B4370" t="s">
        <v>14</v>
      </c>
      <c r="C4370" t="s">
        <v>33</v>
      </c>
      <c r="D4370" t="s">
        <v>11</v>
      </c>
      <c r="E4370" t="s">
        <v>12</v>
      </c>
      <c r="F4370">
        <v>25164871</v>
      </c>
      <c r="G4370">
        <v>25164934</v>
      </c>
      <c r="H4370">
        <v>25164936</v>
      </c>
      <c r="I4370">
        <v>25164952</v>
      </c>
    </row>
    <row r="4371" spans="1:9" x14ac:dyDescent="0.2">
      <c r="A4371" s="1" t="str">
        <f>"CYFIP1"</f>
        <v>CYFIP1</v>
      </c>
      <c r="B4371" t="s">
        <v>14</v>
      </c>
      <c r="C4371" t="s">
        <v>25</v>
      </c>
      <c r="D4371" t="s">
        <v>17</v>
      </c>
      <c r="E4371" t="s">
        <v>12</v>
      </c>
      <c r="F4371">
        <v>22892677</v>
      </c>
      <c r="G4371">
        <v>22892733</v>
      </c>
      <c r="H4371">
        <v>22892745</v>
      </c>
      <c r="I4371">
        <v>22892761</v>
      </c>
    </row>
    <row r="4372" spans="1:9" x14ac:dyDescent="0.2">
      <c r="A4372" s="1" t="str">
        <f>"CYFIP2"</f>
        <v>CYFIP2</v>
      </c>
      <c r="B4372" t="s">
        <v>14</v>
      </c>
      <c r="C4372" t="s">
        <v>46</v>
      </c>
      <c r="D4372" t="s">
        <v>17</v>
      </c>
      <c r="E4372" t="s">
        <v>12</v>
      </c>
      <c r="F4372">
        <v>156693092</v>
      </c>
      <c r="G4372">
        <v>156693150</v>
      </c>
      <c r="H4372">
        <v>156693159</v>
      </c>
      <c r="I4372">
        <v>156693213</v>
      </c>
    </row>
    <row r="4373" spans="1:9" x14ac:dyDescent="0.2">
      <c r="A4373" s="1" t="str">
        <f>"CYGB"</f>
        <v>CYGB</v>
      </c>
      <c r="B4373" t="s">
        <v>14</v>
      </c>
      <c r="C4373" t="s">
        <v>28</v>
      </c>
      <c r="D4373" t="s">
        <v>11</v>
      </c>
      <c r="E4373" t="s">
        <v>12</v>
      </c>
      <c r="F4373">
        <v>74533781</v>
      </c>
      <c r="G4373">
        <v>74533800</v>
      </c>
      <c r="H4373">
        <v>74533734</v>
      </c>
      <c r="I4373">
        <v>74533758</v>
      </c>
    </row>
    <row r="4374" spans="1:9" x14ac:dyDescent="0.2">
      <c r="A4374" s="1" t="str">
        <f>"CYHR1"</f>
        <v>CYHR1</v>
      </c>
      <c r="B4374" t="s">
        <v>9</v>
      </c>
      <c r="C4374" t="s">
        <v>30</v>
      </c>
      <c r="D4374" t="s">
        <v>11</v>
      </c>
      <c r="E4374" t="s">
        <v>12</v>
      </c>
      <c r="F4374">
        <v>145688231</v>
      </c>
      <c r="G4374">
        <v>145688261</v>
      </c>
      <c r="H4374">
        <v>145688231</v>
      </c>
      <c r="I4374">
        <v>145688261</v>
      </c>
    </row>
    <row r="4375" spans="1:9" x14ac:dyDescent="0.2">
      <c r="A4375" s="1" t="str">
        <f>"CYHR1"</f>
        <v>CYHR1</v>
      </c>
      <c r="B4375" t="s">
        <v>13</v>
      </c>
      <c r="C4375" t="s">
        <v>30</v>
      </c>
      <c r="D4375" t="s">
        <v>11</v>
      </c>
      <c r="E4375" t="s">
        <v>12</v>
      </c>
      <c r="F4375">
        <v>145690724</v>
      </c>
      <c r="G4375">
        <v>145690892</v>
      </c>
      <c r="H4375">
        <v>145690724</v>
      </c>
      <c r="I4375">
        <v>145690892</v>
      </c>
    </row>
    <row r="4376" spans="1:9" x14ac:dyDescent="0.2">
      <c r="A4376" s="1" t="str">
        <f>"CYLC1"</f>
        <v>CYLC1</v>
      </c>
      <c r="B4376" t="s">
        <v>14</v>
      </c>
      <c r="C4376" t="s">
        <v>37</v>
      </c>
      <c r="D4376" t="s">
        <v>17</v>
      </c>
      <c r="E4376" t="s">
        <v>12</v>
      </c>
      <c r="F4376">
        <v>83116142</v>
      </c>
      <c r="G4376">
        <v>83116164</v>
      </c>
      <c r="H4376">
        <v>83116142</v>
      </c>
      <c r="I4376">
        <v>83116164</v>
      </c>
    </row>
    <row r="4377" spans="1:9" x14ac:dyDescent="0.2">
      <c r="A4377" s="1" t="str">
        <f>"CYLC2"</f>
        <v>CYLC2</v>
      </c>
      <c r="B4377" t="s">
        <v>14</v>
      </c>
      <c r="C4377" t="s">
        <v>24</v>
      </c>
      <c r="D4377" t="s">
        <v>17</v>
      </c>
      <c r="E4377" t="s">
        <v>12</v>
      </c>
      <c r="F4377">
        <v>105757590</v>
      </c>
      <c r="G4377">
        <v>105757636</v>
      </c>
      <c r="H4377">
        <v>105757590</v>
      </c>
      <c r="I4377">
        <v>105757636</v>
      </c>
    </row>
    <row r="4378" spans="1:9" x14ac:dyDescent="0.2">
      <c r="A4378" s="1" t="str">
        <f>"CYLD"</f>
        <v>CYLD</v>
      </c>
      <c r="B4378" t="s">
        <v>14</v>
      </c>
      <c r="C4378" t="s">
        <v>31</v>
      </c>
      <c r="D4378" t="s">
        <v>17</v>
      </c>
      <c r="E4378" t="s">
        <v>12</v>
      </c>
      <c r="F4378">
        <v>50775971</v>
      </c>
      <c r="G4378">
        <v>50776014</v>
      </c>
      <c r="H4378">
        <v>50776021</v>
      </c>
      <c r="I4378">
        <v>50776045</v>
      </c>
    </row>
    <row r="4379" spans="1:9" x14ac:dyDescent="0.2">
      <c r="A4379" s="1" t="str">
        <f>"CYP11A1"</f>
        <v>CYP11A1</v>
      </c>
      <c r="B4379" t="s">
        <v>9</v>
      </c>
      <c r="C4379" t="s">
        <v>25</v>
      </c>
      <c r="D4379" t="s">
        <v>11</v>
      </c>
      <c r="E4379" t="s">
        <v>12</v>
      </c>
      <c r="F4379">
        <v>74659978</v>
      </c>
      <c r="G4379">
        <v>74659993</v>
      </c>
      <c r="H4379">
        <v>74659978</v>
      </c>
      <c r="I4379">
        <v>74659993</v>
      </c>
    </row>
    <row r="4380" spans="1:9" x14ac:dyDescent="0.2">
      <c r="A4380" s="1" t="str">
        <f>"CYP11A1"</f>
        <v>CYP11A1</v>
      </c>
      <c r="B4380" t="s">
        <v>13</v>
      </c>
      <c r="C4380" t="s">
        <v>25</v>
      </c>
      <c r="D4380" t="s">
        <v>11</v>
      </c>
      <c r="E4380" t="s">
        <v>12</v>
      </c>
      <c r="F4380">
        <v>74658525</v>
      </c>
      <c r="G4380">
        <v>74658558</v>
      </c>
      <c r="H4380">
        <v>74658525</v>
      </c>
      <c r="I4380">
        <v>74658558</v>
      </c>
    </row>
    <row r="4381" spans="1:9" x14ac:dyDescent="0.2">
      <c r="A4381" s="1" t="str">
        <f>"CYP11B1"</f>
        <v>CYP11B1</v>
      </c>
      <c r="B4381" t="s">
        <v>9</v>
      </c>
      <c r="C4381" t="s">
        <v>30</v>
      </c>
      <c r="D4381" t="s">
        <v>11</v>
      </c>
      <c r="E4381" t="s">
        <v>12</v>
      </c>
      <c r="F4381">
        <v>143957434</v>
      </c>
      <c r="G4381">
        <v>143957468</v>
      </c>
      <c r="H4381">
        <v>143957434</v>
      </c>
      <c r="I4381">
        <v>143957468</v>
      </c>
    </row>
    <row r="4382" spans="1:9" x14ac:dyDescent="0.2">
      <c r="A4382" s="1" t="str">
        <f>"CYP11B1"</f>
        <v>CYP11B1</v>
      </c>
      <c r="B4382" t="s">
        <v>13</v>
      </c>
      <c r="C4382" t="s">
        <v>30</v>
      </c>
      <c r="D4382" t="s">
        <v>11</v>
      </c>
      <c r="E4382" t="s">
        <v>12</v>
      </c>
      <c r="F4382">
        <v>143961223</v>
      </c>
      <c r="G4382">
        <v>143961240</v>
      </c>
      <c r="H4382">
        <v>143961223</v>
      </c>
      <c r="I4382">
        <v>143961240</v>
      </c>
    </row>
    <row r="4383" spans="1:9" x14ac:dyDescent="0.2">
      <c r="A4383" s="1" t="str">
        <f>"CYP11B2"</f>
        <v>CYP11B2</v>
      </c>
      <c r="B4383" t="s">
        <v>305</v>
      </c>
      <c r="C4383" t="s">
        <v>30</v>
      </c>
      <c r="D4383" t="s">
        <v>11</v>
      </c>
      <c r="E4383" t="s">
        <v>20</v>
      </c>
      <c r="F4383">
        <v>143999258</v>
      </c>
      <c r="G4383">
        <v>143999258</v>
      </c>
      <c r="H4383">
        <v>143999258</v>
      </c>
      <c r="I4383">
        <v>143999258</v>
      </c>
    </row>
    <row r="4384" spans="1:9" x14ac:dyDescent="0.2">
      <c r="A4384" s="1" t="str">
        <f>"CYP17A1"</f>
        <v>CYP17A1</v>
      </c>
      <c r="B4384" t="s">
        <v>14</v>
      </c>
      <c r="C4384" t="s">
        <v>15</v>
      </c>
      <c r="D4384" t="s">
        <v>11</v>
      </c>
      <c r="E4384" t="s">
        <v>12</v>
      </c>
      <c r="F4384">
        <v>104597163</v>
      </c>
      <c r="G4384">
        <v>104597180</v>
      </c>
      <c r="H4384">
        <v>104597163</v>
      </c>
      <c r="I4384">
        <v>104597180</v>
      </c>
    </row>
    <row r="4385" spans="1:9" x14ac:dyDescent="0.2">
      <c r="A4385" s="1" t="str">
        <f>"CYP19A1"</f>
        <v>CYP19A1</v>
      </c>
      <c r="B4385" t="s">
        <v>9</v>
      </c>
      <c r="C4385" t="s">
        <v>25</v>
      </c>
      <c r="D4385" t="s">
        <v>11</v>
      </c>
      <c r="E4385" t="s">
        <v>12</v>
      </c>
      <c r="F4385">
        <v>51630785</v>
      </c>
      <c r="G4385">
        <v>51630804</v>
      </c>
      <c r="H4385">
        <v>51630785</v>
      </c>
      <c r="I4385">
        <v>51630804</v>
      </c>
    </row>
    <row r="4386" spans="1:9" x14ac:dyDescent="0.2">
      <c r="A4386" s="1" t="str">
        <f>"CYP19A1"</f>
        <v>CYP19A1</v>
      </c>
      <c r="B4386" t="s">
        <v>13</v>
      </c>
      <c r="C4386" t="s">
        <v>25</v>
      </c>
      <c r="D4386" t="s">
        <v>11</v>
      </c>
      <c r="E4386" t="s">
        <v>12</v>
      </c>
      <c r="F4386">
        <v>51535224</v>
      </c>
      <c r="G4386">
        <v>51535229</v>
      </c>
      <c r="H4386">
        <v>51535224</v>
      </c>
      <c r="I4386">
        <v>51535229</v>
      </c>
    </row>
    <row r="4387" spans="1:9" x14ac:dyDescent="0.2">
      <c r="A4387" s="1" t="str">
        <f>"CYP1A1"</f>
        <v>CYP1A1</v>
      </c>
      <c r="B4387" t="s">
        <v>14</v>
      </c>
      <c r="C4387" t="s">
        <v>25</v>
      </c>
      <c r="D4387" t="s">
        <v>11</v>
      </c>
      <c r="E4387" t="s">
        <v>12</v>
      </c>
      <c r="F4387">
        <v>75017862</v>
      </c>
      <c r="G4387">
        <v>75017876</v>
      </c>
      <c r="H4387">
        <v>75017862</v>
      </c>
      <c r="I4387">
        <v>75017876</v>
      </c>
    </row>
    <row r="4388" spans="1:9" x14ac:dyDescent="0.2">
      <c r="A4388" s="1" t="str">
        <f>"CYP1A2"</f>
        <v>CYP1A2</v>
      </c>
      <c r="B4388" t="s">
        <v>14</v>
      </c>
      <c r="C4388" t="s">
        <v>25</v>
      </c>
      <c r="D4388" t="s">
        <v>17</v>
      </c>
      <c r="E4388" t="s">
        <v>12</v>
      </c>
      <c r="F4388">
        <v>75041184</v>
      </c>
      <c r="G4388">
        <v>75041187</v>
      </c>
      <c r="H4388">
        <v>75041184</v>
      </c>
      <c r="I4388">
        <v>75041187</v>
      </c>
    </row>
    <row r="4389" spans="1:9" x14ac:dyDescent="0.2">
      <c r="A4389" s="1" t="str">
        <f>"CYP1B1"</f>
        <v>CYP1B1</v>
      </c>
      <c r="B4389" t="s">
        <v>14</v>
      </c>
      <c r="C4389" t="s">
        <v>26</v>
      </c>
      <c r="D4389" t="s">
        <v>11</v>
      </c>
      <c r="E4389" t="s">
        <v>12</v>
      </c>
      <c r="F4389">
        <v>38303286</v>
      </c>
      <c r="G4389">
        <v>38303301</v>
      </c>
      <c r="H4389">
        <v>38302642</v>
      </c>
      <c r="I4389">
        <v>38302683</v>
      </c>
    </row>
    <row r="4390" spans="1:9" x14ac:dyDescent="0.2">
      <c r="A4390" s="1" t="str">
        <f>"CYP20A1"</f>
        <v>CYP20A1</v>
      </c>
      <c r="B4390" t="s">
        <v>14</v>
      </c>
      <c r="C4390" t="s">
        <v>26</v>
      </c>
      <c r="D4390" t="s">
        <v>17</v>
      </c>
      <c r="E4390" t="s">
        <v>12</v>
      </c>
      <c r="F4390">
        <v>204103733</v>
      </c>
      <c r="G4390">
        <v>204103758</v>
      </c>
      <c r="H4390">
        <v>204103689</v>
      </c>
      <c r="I4390">
        <v>204103730</v>
      </c>
    </row>
    <row r="4391" spans="1:9" x14ac:dyDescent="0.2">
      <c r="A4391" s="1" t="str">
        <f>"CYP21A2"</f>
        <v>CYP21A2</v>
      </c>
      <c r="B4391" t="s">
        <v>14</v>
      </c>
      <c r="C4391" t="s">
        <v>32</v>
      </c>
      <c r="D4391" t="s">
        <v>17</v>
      </c>
      <c r="E4391" t="s">
        <v>12</v>
      </c>
      <c r="F4391">
        <v>32006191</v>
      </c>
      <c r="G4391">
        <v>32006194</v>
      </c>
      <c r="H4391">
        <v>32006082</v>
      </c>
      <c r="I4391">
        <v>32006084</v>
      </c>
    </row>
    <row r="4392" spans="1:9" x14ac:dyDescent="0.2">
      <c r="A4392" s="1" t="str">
        <f>"CYP24A1"</f>
        <v>CYP24A1</v>
      </c>
      <c r="B4392" t="s">
        <v>14</v>
      </c>
      <c r="C4392" t="s">
        <v>29</v>
      </c>
      <c r="D4392" t="s">
        <v>11</v>
      </c>
      <c r="E4392" t="s">
        <v>12</v>
      </c>
      <c r="F4392">
        <v>52790516</v>
      </c>
      <c r="G4392">
        <v>52790531</v>
      </c>
      <c r="H4392">
        <v>52790360</v>
      </c>
      <c r="I4392">
        <v>52790374</v>
      </c>
    </row>
    <row r="4393" spans="1:9" x14ac:dyDescent="0.2">
      <c r="A4393" s="1" t="str">
        <f>"CYP26A1"</f>
        <v>CYP26A1</v>
      </c>
      <c r="B4393" t="s">
        <v>14</v>
      </c>
      <c r="C4393" t="s">
        <v>15</v>
      </c>
      <c r="D4393" t="s">
        <v>17</v>
      </c>
      <c r="E4393" t="s">
        <v>12</v>
      </c>
      <c r="F4393">
        <v>94833642</v>
      </c>
      <c r="G4393">
        <v>94833655</v>
      </c>
      <c r="H4393">
        <v>94833710</v>
      </c>
      <c r="I4393">
        <v>94833721</v>
      </c>
    </row>
    <row r="4394" spans="1:9" x14ac:dyDescent="0.2">
      <c r="A4394" s="1" t="str">
        <f>"CYP26B1"</f>
        <v>CYP26B1</v>
      </c>
      <c r="B4394" t="s">
        <v>9</v>
      </c>
      <c r="C4394" t="s">
        <v>26</v>
      </c>
      <c r="D4394" t="s">
        <v>11</v>
      </c>
      <c r="E4394" t="s">
        <v>12</v>
      </c>
      <c r="F4394">
        <v>72371182</v>
      </c>
      <c r="G4394">
        <v>72371254</v>
      </c>
      <c r="H4394">
        <v>72371182</v>
      </c>
      <c r="I4394">
        <v>72371254</v>
      </c>
    </row>
    <row r="4395" spans="1:9" x14ac:dyDescent="0.2">
      <c r="A4395" s="1" t="str">
        <f>"CYP26B1"</f>
        <v>CYP26B1</v>
      </c>
      <c r="B4395" t="s">
        <v>13</v>
      </c>
      <c r="C4395" t="s">
        <v>26</v>
      </c>
      <c r="D4395" t="s">
        <v>11</v>
      </c>
      <c r="E4395" t="s">
        <v>12</v>
      </c>
      <c r="F4395">
        <v>72374878</v>
      </c>
      <c r="G4395">
        <v>72374942</v>
      </c>
      <c r="H4395">
        <v>72374878</v>
      </c>
      <c r="I4395">
        <v>72374942</v>
      </c>
    </row>
    <row r="4396" spans="1:9" x14ac:dyDescent="0.2">
      <c r="A4396" s="1" t="str">
        <f>"CYP26C1"</f>
        <v>CYP26C1</v>
      </c>
      <c r="B4396" t="s">
        <v>14</v>
      </c>
      <c r="C4396" t="s">
        <v>15</v>
      </c>
      <c r="D4396" t="s">
        <v>17</v>
      </c>
      <c r="E4396" t="s">
        <v>12</v>
      </c>
      <c r="F4396">
        <v>94822580</v>
      </c>
      <c r="G4396">
        <v>94822614</v>
      </c>
      <c r="H4396">
        <v>94822402</v>
      </c>
      <c r="I4396">
        <v>94822412</v>
      </c>
    </row>
    <row r="4397" spans="1:9" x14ac:dyDescent="0.2">
      <c r="A4397" s="1" t="str">
        <f>"CYP27A1"</f>
        <v>CYP27A1</v>
      </c>
      <c r="B4397" t="s">
        <v>14</v>
      </c>
      <c r="C4397" t="s">
        <v>26</v>
      </c>
      <c r="D4397" t="s">
        <v>17</v>
      </c>
      <c r="E4397" t="s">
        <v>12</v>
      </c>
      <c r="F4397">
        <v>219646861</v>
      </c>
      <c r="G4397">
        <v>219646879</v>
      </c>
      <c r="H4397">
        <v>219646462</v>
      </c>
      <c r="I4397">
        <v>219646498</v>
      </c>
    </row>
    <row r="4398" spans="1:9" x14ac:dyDescent="0.2">
      <c r="A4398" s="1" t="str">
        <f>"CYP27B1"</f>
        <v>CYP27B1</v>
      </c>
      <c r="B4398" t="s">
        <v>14</v>
      </c>
      <c r="C4398" t="s">
        <v>16</v>
      </c>
      <c r="D4398" t="s">
        <v>11</v>
      </c>
      <c r="E4398" t="s">
        <v>12</v>
      </c>
      <c r="F4398">
        <v>58160844</v>
      </c>
      <c r="G4398">
        <v>58160869</v>
      </c>
      <c r="H4398">
        <v>58160844</v>
      </c>
      <c r="I4398">
        <v>58160869</v>
      </c>
    </row>
    <row r="4399" spans="1:9" x14ac:dyDescent="0.2">
      <c r="A4399" s="1" t="str">
        <f>"CYP27C1"</f>
        <v>CYP27C1</v>
      </c>
      <c r="B4399" t="s">
        <v>14</v>
      </c>
      <c r="C4399" t="s">
        <v>26</v>
      </c>
      <c r="D4399" t="s">
        <v>11</v>
      </c>
      <c r="E4399" t="s">
        <v>12</v>
      </c>
      <c r="F4399">
        <v>127977869</v>
      </c>
      <c r="G4399">
        <v>127977881</v>
      </c>
      <c r="H4399">
        <v>127977869</v>
      </c>
      <c r="I4399">
        <v>127977881</v>
      </c>
    </row>
    <row r="4400" spans="1:9" x14ac:dyDescent="0.2">
      <c r="A4400" s="1" t="str">
        <f>"CYP2A13"</f>
        <v>CYP2A13</v>
      </c>
      <c r="B4400" t="s">
        <v>14</v>
      </c>
      <c r="C4400" t="s">
        <v>10</v>
      </c>
      <c r="D4400" t="s">
        <v>17</v>
      </c>
      <c r="E4400" t="s">
        <v>12</v>
      </c>
      <c r="F4400">
        <v>41594355</v>
      </c>
      <c r="G4400">
        <v>41594356</v>
      </c>
      <c r="H4400">
        <v>41594355</v>
      </c>
      <c r="I4400">
        <v>41594356</v>
      </c>
    </row>
    <row r="4401" spans="1:9" x14ac:dyDescent="0.2">
      <c r="A4401" s="1" t="str">
        <f>"CYP2A6"</f>
        <v>CYP2A6</v>
      </c>
      <c r="B4401" t="s">
        <v>14</v>
      </c>
      <c r="C4401" t="s">
        <v>10</v>
      </c>
      <c r="D4401" t="s">
        <v>11</v>
      </c>
      <c r="E4401" t="s">
        <v>12</v>
      </c>
      <c r="F4401">
        <v>41356347</v>
      </c>
      <c r="G4401">
        <v>41356353</v>
      </c>
      <c r="H4401">
        <v>41356347</v>
      </c>
      <c r="I4401">
        <v>41356353</v>
      </c>
    </row>
    <row r="4402" spans="1:9" x14ac:dyDescent="0.2">
      <c r="A4402" s="1" t="str">
        <f>"CYP2A7"</f>
        <v>CYP2A7</v>
      </c>
      <c r="B4402" t="s">
        <v>14</v>
      </c>
      <c r="C4402" t="s">
        <v>10</v>
      </c>
      <c r="D4402" t="s">
        <v>11</v>
      </c>
      <c r="E4402" t="s">
        <v>12</v>
      </c>
      <c r="F4402">
        <v>41388131</v>
      </c>
      <c r="G4402">
        <v>41388137</v>
      </c>
      <c r="H4402">
        <v>41388131</v>
      </c>
      <c r="I4402">
        <v>41388137</v>
      </c>
    </row>
    <row r="4403" spans="1:9" x14ac:dyDescent="0.2">
      <c r="A4403" s="1" t="str">
        <f>"CYP2B6"</f>
        <v>CYP2B6</v>
      </c>
      <c r="B4403" t="s">
        <v>14</v>
      </c>
      <c r="C4403" t="s">
        <v>10</v>
      </c>
      <c r="D4403" t="s">
        <v>17</v>
      </c>
      <c r="E4403" t="s">
        <v>12</v>
      </c>
      <c r="F4403">
        <v>41497178</v>
      </c>
      <c r="G4403">
        <v>41497200</v>
      </c>
      <c r="H4403">
        <v>41497155</v>
      </c>
      <c r="I4403">
        <v>41497162</v>
      </c>
    </row>
    <row r="4404" spans="1:9" x14ac:dyDescent="0.2">
      <c r="A4404" s="1" t="str">
        <f>"CYP2C18"</f>
        <v>CYP2C18</v>
      </c>
      <c r="B4404" t="s">
        <v>14</v>
      </c>
      <c r="C4404" t="s">
        <v>15</v>
      </c>
      <c r="D4404" t="s">
        <v>17</v>
      </c>
      <c r="E4404" t="s">
        <v>12</v>
      </c>
      <c r="F4404">
        <v>96443542</v>
      </c>
      <c r="G4404">
        <v>96443563</v>
      </c>
      <c r="H4404">
        <v>96443479</v>
      </c>
      <c r="I4404">
        <v>96443495</v>
      </c>
    </row>
    <row r="4405" spans="1:9" x14ac:dyDescent="0.2">
      <c r="A4405" s="1" t="str">
        <f>"CYP2C19"</f>
        <v>CYP2C19</v>
      </c>
      <c r="B4405" t="s">
        <v>14</v>
      </c>
      <c r="C4405" t="s">
        <v>15</v>
      </c>
      <c r="D4405" t="s">
        <v>17</v>
      </c>
      <c r="E4405" t="s">
        <v>12</v>
      </c>
      <c r="F4405">
        <v>96522430</v>
      </c>
      <c r="G4405">
        <v>96522444</v>
      </c>
      <c r="H4405">
        <v>96522413</v>
      </c>
      <c r="I4405">
        <v>96522424</v>
      </c>
    </row>
    <row r="4406" spans="1:9" x14ac:dyDescent="0.2">
      <c r="A4406" s="1" t="str">
        <f>"CYP2C8"</f>
        <v>CYP2C8</v>
      </c>
      <c r="B4406" t="s">
        <v>14</v>
      </c>
      <c r="C4406" t="s">
        <v>15</v>
      </c>
      <c r="D4406" t="s">
        <v>11</v>
      </c>
      <c r="E4406" t="s">
        <v>12</v>
      </c>
      <c r="F4406">
        <v>96829246</v>
      </c>
      <c r="G4406">
        <v>96829259</v>
      </c>
      <c r="H4406">
        <v>96829246</v>
      </c>
      <c r="I4406">
        <v>96829259</v>
      </c>
    </row>
    <row r="4407" spans="1:9" x14ac:dyDescent="0.2">
      <c r="A4407" s="1" t="str">
        <f>"CYP2C9"</f>
        <v>CYP2C9</v>
      </c>
      <c r="B4407" t="s">
        <v>14</v>
      </c>
      <c r="C4407" t="s">
        <v>15</v>
      </c>
      <c r="D4407" t="s">
        <v>17</v>
      </c>
      <c r="E4407" t="s">
        <v>12</v>
      </c>
      <c r="F4407">
        <v>96698406</v>
      </c>
      <c r="G4407">
        <v>96698421</v>
      </c>
      <c r="H4407">
        <v>96698406</v>
      </c>
      <c r="I4407">
        <v>96698421</v>
      </c>
    </row>
    <row r="4408" spans="1:9" x14ac:dyDescent="0.2">
      <c r="A4408" s="1" t="str">
        <f>"CYP2D6"</f>
        <v>CYP2D6</v>
      </c>
      <c r="B4408" t="s">
        <v>14</v>
      </c>
      <c r="C4408" t="s">
        <v>21</v>
      </c>
      <c r="D4408" t="s">
        <v>11</v>
      </c>
      <c r="E4408" t="s">
        <v>12</v>
      </c>
      <c r="F4408">
        <v>42526802</v>
      </c>
      <c r="G4408">
        <v>42526817</v>
      </c>
      <c r="H4408">
        <v>42526802</v>
      </c>
      <c r="I4408">
        <v>42526817</v>
      </c>
    </row>
    <row r="4409" spans="1:9" x14ac:dyDescent="0.2">
      <c r="A4409" s="1" t="str">
        <f>"CYP2E1"</f>
        <v>CYP2E1</v>
      </c>
      <c r="B4409" t="s">
        <v>14</v>
      </c>
      <c r="C4409" t="s">
        <v>15</v>
      </c>
      <c r="D4409" t="s">
        <v>17</v>
      </c>
      <c r="E4409" t="s">
        <v>12</v>
      </c>
      <c r="F4409">
        <v>135340859</v>
      </c>
      <c r="G4409">
        <v>135340874</v>
      </c>
      <c r="H4409">
        <v>135340859</v>
      </c>
      <c r="I4409">
        <v>135340874</v>
      </c>
    </row>
    <row r="4410" spans="1:9" x14ac:dyDescent="0.2">
      <c r="A4410" s="1" t="str">
        <f>"CYP2F1"</f>
        <v>CYP2F1</v>
      </c>
      <c r="B4410" t="s">
        <v>14</v>
      </c>
      <c r="C4410" t="s">
        <v>10</v>
      </c>
      <c r="D4410" t="s">
        <v>17</v>
      </c>
      <c r="E4410" t="s">
        <v>12</v>
      </c>
      <c r="F4410">
        <v>41620335</v>
      </c>
      <c r="G4410">
        <v>41620338</v>
      </c>
      <c r="H4410">
        <v>41620293</v>
      </c>
      <c r="I4410">
        <v>41620298</v>
      </c>
    </row>
    <row r="4411" spans="1:9" x14ac:dyDescent="0.2">
      <c r="A4411" s="1" t="str">
        <f>"CYP2J2"</f>
        <v>CYP2J2</v>
      </c>
      <c r="B4411" t="s">
        <v>14</v>
      </c>
      <c r="C4411" t="s">
        <v>19</v>
      </c>
      <c r="D4411" t="s">
        <v>11</v>
      </c>
      <c r="E4411" t="s">
        <v>12</v>
      </c>
      <c r="F4411">
        <v>60392397</v>
      </c>
      <c r="G4411">
        <v>60392451</v>
      </c>
      <c r="H4411">
        <v>60392452</v>
      </c>
      <c r="I4411">
        <v>60392499</v>
      </c>
    </row>
    <row r="4412" spans="1:9" x14ac:dyDescent="0.2">
      <c r="A4412" s="1" t="str">
        <f>"CYP2R1"</f>
        <v>CYP2R1</v>
      </c>
      <c r="B4412" t="s">
        <v>14</v>
      </c>
      <c r="C4412" t="s">
        <v>27</v>
      </c>
      <c r="D4412" t="s">
        <v>11</v>
      </c>
      <c r="E4412" t="s">
        <v>12</v>
      </c>
      <c r="F4412">
        <v>14913190</v>
      </c>
      <c r="G4412">
        <v>14913233</v>
      </c>
      <c r="H4412">
        <v>14913765</v>
      </c>
      <c r="I4412">
        <v>14913783</v>
      </c>
    </row>
    <row r="4413" spans="1:9" x14ac:dyDescent="0.2">
      <c r="A4413" s="1" t="str">
        <f>"CYP2S1"</f>
        <v>CYP2S1</v>
      </c>
      <c r="B4413" t="s">
        <v>14</v>
      </c>
      <c r="C4413" t="s">
        <v>10</v>
      </c>
      <c r="D4413" t="s">
        <v>17</v>
      </c>
      <c r="E4413" t="s">
        <v>12</v>
      </c>
      <c r="F4413">
        <v>41699135</v>
      </c>
      <c r="G4413">
        <v>41699159</v>
      </c>
      <c r="H4413">
        <v>41699103</v>
      </c>
      <c r="I4413">
        <v>41699129</v>
      </c>
    </row>
    <row r="4414" spans="1:9" x14ac:dyDescent="0.2">
      <c r="A4414" s="1" t="str">
        <f>"CYP2U1"</f>
        <v>CYP2U1</v>
      </c>
      <c r="B4414" t="s">
        <v>14</v>
      </c>
      <c r="C4414" t="s">
        <v>23</v>
      </c>
      <c r="D4414" t="s">
        <v>17</v>
      </c>
      <c r="E4414" t="s">
        <v>12</v>
      </c>
      <c r="F4414">
        <v>108852697</v>
      </c>
      <c r="G4414">
        <v>108852751</v>
      </c>
      <c r="H4414">
        <v>108853025</v>
      </c>
      <c r="I4414">
        <v>108853044</v>
      </c>
    </row>
    <row r="4415" spans="1:9" x14ac:dyDescent="0.2">
      <c r="A4415" s="1" t="str">
        <f>"CYP2W1"</f>
        <v>CYP2W1</v>
      </c>
      <c r="B4415" t="s">
        <v>14</v>
      </c>
      <c r="C4415" t="s">
        <v>33</v>
      </c>
      <c r="D4415" t="s">
        <v>17</v>
      </c>
      <c r="E4415" t="s">
        <v>12</v>
      </c>
      <c r="F4415">
        <v>1022811</v>
      </c>
      <c r="G4415">
        <v>1022824</v>
      </c>
      <c r="H4415">
        <v>1022973</v>
      </c>
      <c r="I4415">
        <v>1022988</v>
      </c>
    </row>
    <row r="4416" spans="1:9" x14ac:dyDescent="0.2">
      <c r="A4416" s="1" t="str">
        <f>"CYP39A1"</f>
        <v>CYP39A1</v>
      </c>
      <c r="B4416" t="s">
        <v>14</v>
      </c>
      <c r="C4416" t="s">
        <v>32</v>
      </c>
      <c r="D4416" t="s">
        <v>11</v>
      </c>
      <c r="E4416" t="s">
        <v>12</v>
      </c>
      <c r="F4416">
        <v>46620445</v>
      </c>
      <c r="G4416">
        <v>46620463</v>
      </c>
      <c r="H4416">
        <v>46620522</v>
      </c>
      <c r="I4416">
        <v>46620560</v>
      </c>
    </row>
    <row r="4417" spans="1:9" x14ac:dyDescent="0.2">
      <c r="A4417" s="1" t="str">
        <f>"CYP3A4"</f>
        <v>CYP3A4</v>
      </c>
      <c r="B4417" t="s">
        <v>14</v>
      </c>
      <c r="C4417" t="s">
        <v>33</v>
      </c>
      <c r="D4417" t="s">
        <v>11</v>
      </c>
      <c r="E4417" t="s">
        <v>12</v>
      </c>
      <c r="F4417">
        <v>99381798</v>
      </c>
      <c r="G4417">
        <v>99381813</v>
      </c>
      <c r="H4417">
        <v>99381884</v>
      </c>
      <c r="I4417">
        <v>99381915</v>
      </c>
    </row>
    <row r="4418" spans="1:9" x14ac:dyDescent="0.2">
      <c r="A4418" s="1" t="str">
        <f>"CYP3A43"</f>
        <v>CYP3A43</v>
      </c>
      <c r="B4418" t="s">
        <v>14</v>
      </c>
      <c r="C4418" t="s">
        <v>33</v>
      </c>
      <c r="D4418" t="s">
        <v>17</v>
      </c>
      <c r="E4418" t="s">
        <v>12</v>
      </c>
      <c r="F4418">
        <v>99425633</v>
      </c>
      <c r="G4418">
        <v>99425638</v>
      </c>
      <c r="H4418">
        <v>99425633</v>
      </c>
      <c r="I4418">
        <v>99425638</v>
      </c>
    </row>
    <row r="4419" spans="1:9" x14ac:dyDescent="0.2">
      <c r="A4419" s="1" t="str">
        <f>"CYP3A5"</f>
        <v>CYP3A5</v>
      </c>
      <c r="B4419" t="s">
        <v>14</v>
      </c>
      <c r="C4419" t="s">
        <v>33</v>
      </c>
      <c r="D4419" t="s">
        <v>11</v>
      </c>
      <c r="E4419" t="s">
        <v>12</v>
      </c>
      <c r="F4419">
        <v>99277610</v>
      </c>
      <c r="G4419">
        <v>99277626</v>
      </c>
      <c r="H4419">
        <v>99277610</v>
      </c>
      <c r="I4419">
        <v>99277626</v>
      </c>
    </row>
    <row r="4420" spans="1:9" x14ac:dyDescent="0.2">
      <c r="A4420" s="1" t="str">
        <f>"CYP3A7"</f>
        <v>CYP3A7</v>
      </c>
      <c r="B4420" t="s">
        <v>14</v>
      </c>
      <c r="C4420" t="s">
        <v>33</v>
      </c>
      <c r="D4420" t="s">
        <v>11</v>
      </c>
      <c r="E4420" t="s">
        <v>12</v>
      </c>
      <c r="F4420">
        <v>99332815</v>
      </c>
      <c r="G4420">
        <v>99332820</v>
      </c>
      <c r="H4420">
        <v>99332815</v>
      </c>
      <c r="I4420">
        <v>99332820</v>
      </c>
    </row>
    <row r="4421" spans="1:9" x14ac:dyDescent="0.2">
      <c r="A4421" s="1" t="str">
        <f>"CYP46A1"</f>
        <v>CYP46A1</v>
      </c>
      <c r="B4421" t="s">
        <v>14</v>
      </c>
      <c r="C4421" t="s">
        <v>41</v>
      </c>
      <c r="D4421" t="s">
        <v>17</v>
      </c>
      <c r="E4421" t="s">
        <v>12</v>
      </c>
      <c r="F4421">
        <v>100150622</v>
      </c>
      <c r="G4421">
        <v>100150689</v>
      </c>
      <c r="H4421">
        <v>100150520</v>
      </c>
      <c r="I4421">
        <v>100150531</v>
      </c>
    </row>
    <row r="4422" spans="1:9" x14ac:dyDescent="0.2">
      <c r="A4422" s="1" t="str">
        <f>"CYP4A11"</f>
        <v>CYP4A11</v>
      </c>
      <c r="B4422" t="s">
        <v>14</v>
      </c>
      <c r="C4422" t="s">
        <v>19</v>
      </c>
      <c r="D4422" t="s">
        <v>11</v>
      </c>
      <c r="E4422" t="s">
        <v>12</v>
      </c>
      <c r="F4422">
        <v>47407140</v>
      </c>
      <c r="G4422">
        <v>47407154</v>
      </c>
      <c r="H4422">
        <v>47407111</v>
      </c>
      <c r="I4422">
        <v>47407124</v>
      </c>
    </row>
    <row r="4423" spans="1:9" x14ac:dyDescent="0.2">
      <c r="A4423" s="1" t="str">
        <f>"CYP4A22"</f>
        <v>CYP4A22</v>
      </c>
      <c r="B4423" t="s">
        <v>14</v>
      </c>
      <c r="C4423" t="s">
        <v>19</v>
      </c>
      <c r="D4423" t="s">
        <v>17</v>
      </c>
      <c r="E4423" t="s">
        <v>12</v>
      </c>
      <c r="F4423">
        <v>47603109</v>
      </c>
      <c r="G4423">
        <v>47603120</v>
      </c>
      <c r="H4423">
        <v>47603155</v>
      </c>
      <c r="I4423">
        <v>47603161</v>
      </c>
    </row>
    <row r="4424" spans="1:9" x14ac:dyDescent="0.2">
      <c r="A4424" s="1" t="str">
        <f>"CYP4B1"</f>
        <v>CYP4B1</v>
      </c>
      <c r="B4424" t="s">
        <v>9</v>
      </c>
      <c r="C4424" t="s">
        <v>19</v>
      </c>
      <c r="D4424" t="s">
        <v>17</v>
      </c>
      <c r="E4424" t="s">
        <v>12</v>
      </c>
      <c r="F4424">
        <v>47264711</v>
      </c>
      <c r="G4424">
        <v>47264728</v>
      </c>
      <c r="H4424">
        <v>47264711</v>
      </c>
      <c r="I4424">
        <v>47264728</v>
      </c>
    </row>
    <row r="4425" spans="1:9" x14ac:dyDescent="0.2">
      <c r="A4425" s="1" t="str">
        <f>"CYP4B1"</f>
        <v>CYP4B1</v>
      </c>
      <c r="B4425" t="s">
        <v>13</v>
      </c>
      <c r="C4425" t="s">
        <v>19</v>
      </c>
      <c r="D4425" t="s">
        <v>17</v>
      </c>
      <c r="E4425" t="s">
        <v>12</v>
      </c>
      <c r="F4425">
        <v>47276700</v>
      </c>
      <c r="G4425">
        <v>47276720</v>
      </c>
      <c r="H4425">
        <v>47276700</v>
      </c>
      <c r="I4425">
        <v>47276720</v>
      </c>
    </row>
    <row r="4426" spans="1:9" x14ac:dyDescent="0.2">
      <c r="A4426" s="1" t="str">
        <f>"CYP4F11"</f>
        <v>CYP4F11</v>
      </c>
      <c r="B4426" t="s">
        <v>14</v>
      </c>
      <c r="C4426" t="s">
        <v>10</v>
      </c>
      <c r="D4426" t="s">
        <v>11</v>
      </c>
      <c r="E4426" t="s">
        <v>12</v>
      </c>
      <c r="F4426">
        <v>16045665</v>
      </c>
      <c r="G4426">
        <v>16045708</v>
      </c>
      <c r="H4426">
        <v>16045619</v>
      </c>
      <c r="I4426">
        <v>16045649</v>
      </c>
    </row>
    <row r="4427" spans="1:9" x14ac:dyDescent="0.2">
      <c r="A4427" s="1" t="str">
        <f>"CYP4F12"</f>
        <v>CYP4F12</v>
      </c>
      <c r="B4427" t="s">
        <v>14</v>
      </c>
      <c r="C4427" t="s">
        <v>10</v>
      </c>
      <c r="D4427" t="s">
        <v>17</v>
      </c>
      <c r="E4427" t="s">
        <v>12</v>
      </c>
      <c r="F4427">
        <v>15783879</v>
      </c>
      <c r="G4427">
        <v>15783906</v>
      </c>
      <c r="H4427">
        <v>15784346</v>
      </c>
      <c r="I4427">
        <v>15784384</v>
      </c>
    </row>
    <row r="4428" spans="1:9" x14ac:dyDescent="0.2">
      <c r="A4428" s="1" t="str">
        <f>"CYP4F2"</f>
        <v>CYP4F2</v>
      </c>
      <c r="B4428" t="s">
        <v>14</v>
      </c>
      <c r="C4428" t="s">
        <v>10</v>
      </c>
      <c r="D4428" t="s">
        <v>11</v>
      </c>
      <c r="E4428" t="s">
        <v>12</v>
      </c>
      <c r="F4428">
        <v>16008880</v>
      </c>
      <c r="G4428">
        <v>16008885</v>
      </c>
      <c r="H4428">
        <v>16008880</v>
      </c>
      <c r="I4428">
        <v>16008885</v>
      </c>
    </row>
    <row r="4429" spans="1:9" x14ac:dyDescent="0.2">
      <c r="A4429" s="1" t="str">
        <f>"CYP4F22"</f>
        <v>CYP4F22</v>
      </c>
      <c r="B4429" t="s">
        <v>14</v>
      </c>
      <c r="C4429" t="s">
        <v>10</v>
      </c>
      <c r="D4429" t="s">
        <v>17</v>
      </c>
      <c r="E4429" t="s">
        <v>12</v>
      </c>
      <c r="F4429">
        <v>15619328</v>
      </c>
      <c r="G4429">
        <v>15619352</v>
      </c>
      <c r="H4429">
        <v>15619299</v>
      </c>
      <c r="I4429">
        <v>15619308</v>
      </c>
    </row>
    <row r="4430" spans="1:9" x14ac:dyDescent="0.2">
      <c r="A4430" s="1" t="str">
        <f>"CYP4F3"</f>
        <v>CYP4F3</v>
      </c>
      <c r="B4430" t="s">
        <v>14</v>
      </c>
      <c r="C4430" t="s">
        <v>10</v>
      </c>
      <c r="D4430" t="s">
        <v>17</v>
      </c>
      <c r="E4430" t="s">
        <v>12</v>
      </c>
      <c r="F4430">
        <v>15752088</v>
      </c>
      <c r="G4430">
        <v>15752159</v>
      </c>
      <c r="H4430">
        <v>15752088</v>
      </c>
      <c r="I4430">
        <v>15752159</v>
      </c>
    </row>
    <row r="4431" spans="1:9" x14ac:dyDescent="0.2">
      <c r="A4431" s="1" t="str">
        <f>"CYP4F8"</f>
        <v>CYP4F8</v>
      </c>
      <c r="B4431" t="s">
        <v>14</v>
      </c>
      <c r="C4431" t="s">
        <v>10</v>
      </c>
      <c r="D4431" t="s">
        <v>17</v>
      </c>
      <c r="E4431" t="s">
        <v>12</v>
      </c>
      <c r="F4431">
        <v>15726022</v>
      </c>
      <c r="G4431">
        <v>15726074</v>
      </c>
      <c r="H4431">
        <v>15726266</v>
      </c>
      <c r="I4431">
        <v>15726282</v>
      </c>
    </row>
    <row r="4432" spans="1:9" x14ac:dyDescent="0.2">
      <c r="A4432" s="1" t="str">
        <f>"CYP4V2"</f>
        <v>CYP4V2</v>
      </c>
      <c r="B4432" t="s">
        <v>14</v>
      </c>
      <c r="C4432" t="s">
        <v>23</v>
      </c>
      <c r="D4432" t="s">
        <v>17</v>
      </c>
      <c r="E4432" t="s">
        <v>12</v>
      </c>
      <c r="F4432">
        <v>187112703</v>
      </c>
      <c r="G4432">
        <v>187112776</v>
      </c>
      <c r="H4432">
        <v>187112931</v>
      </c>
      <c r="I4432">
        <v>187112974</v>
      </c>
    </row>
    <row r="4433" spans="1:9" x14ac:dyDescent="0.2">
      <c r="A4433" s="1" t="str">
        <f>"CYP4X1"</f>
        <v>CYP4X1</v>
      </c>
      <c r="B4433" t="s">
        <v>14</v>
      </c>
      <c r="C4433" t="s">
        <v>19</v>
      </c>
      <c r="D4433" t="s">
        <v>17</v>
      </c>
      <c r="E4433" t="s">
        <v>12</v>
      </c>
      <c r="F4433">
        <v>47489331</v>
      </c>
      <c r="G4433">
        <v>47489374</v>
      </c>
      <c r="H4433">
        <v>47489240</v>
      </c>
      <c r="I4433">
        <v>47489254</v>
      </c>
    </row>
    <row r="4434" spans="1:9" x14ac:dyDescent="0.2">
      <c r="A4434" s="1" t="str">
        <f>"CYP4Z1"</f>
        <v>CYP4Z1</v>
      </c>
      <c r="B4434" t="s">
        <v>14</v>
      </c>
      <c r="C4434" t="s">
        <v>19</v>
      </c>
      <c r="D4434" t="s">
        <v>17</v>
      </c>
      <c r="E4434" t="s">
        <v>12</v>
      </c>
      <c r="F4434">
        <v>47532884</v>
      </c>
      <c r="G4434">
        <v>47532905</v>
      </c>
      <c r="H4434">
        <v>47532884</v>
      </c>
      <c r="I4434">
        <v>47532905</v>
      </c>
    </row>
    <row r="4435" spans="1:9" x14ac:dyDescent="0.2">
      <c r="A4435" s="1" t="str">
        <f>"CYP51A1"</f>
        <v>CYP51A1</v>
      </c>
      <c r="B4435" t="s">
        <v>14</v>
      </c>
      <c r="C4435" t="s">
        <v>33</v>
      </c>
      <c r="D4435" t="s">
        <v>11</v>
      </c>
      <c r="E4435" t="s">
        <v>12</v>
      </c>
      <c r="F4435">
        <v>91763731</v>
      </c>
      <c r="G4435">
        <v>91763808</v>
      </c>
      <c r="H4435">
        <v>91764051</v>
      </c>
      <c r="I4435">
        <v>91764101</v>
      </c>
    </row>
    <row r="4436" spans="1:9" x14ac:dyDescent="0.2">
      <c r="A4436" s="1" t="str">
        <f>"CYP7A1"</f>
        <v>CYP7A1</v>
      </c>
      <c r="B4436" t="s">
        <v>14</v>
      </c>
      <c r="C4436" t="s">
        <v>30</v>
      </c>
      <c r="D4436" t="s">
        <v>11</v>
      </c>
      <c r="E4436" t="s">
        <v>12</v>
      </c>
      <c r="F4436">
        <v>59412717</v>
      </c>
      <c r="G4436">
        <v>59412723</v>
      </c>
      <c r="H4436">
        <v>59412747</v>
      </c>
      <c r="I4436">
        <v>59412751</v>
      </c>
    </row>
    <row r="4437" spans="1:9" x14ac:dyDescent="0.2">
      <c r="A4437" s="1" t="str">
        <f>"CYP7B1"</f>
        <v>CYP7B1</v>
      </c>
      <c r="B4437" t="s">
        <v>14</v>
      </c>
      <c r="C4437" t="s">
        <v>30</v>
      </c>
      <c r="D4437" t="s">
        <v>11</v>
      </c>
      <c r="E4437" t="s">
        <v>12</v>
      </c>
      <c r="F4437">
        <v>65711281</v>
      </c>
      <c r="G4437">
        <v>65711300</v>
      </c>
      <c r="H4437">
        <v>65711204</v>
      </c>
      <c r="I4437">
        <v>65711253</v>
      </c>
    </row>
    <row r="4438" spans="1:9" x14ac:dyDescent="0.2">
      <c r="A4438" s="1" t="str">
        <f>"CYP8B1"</f>
        <v>CYP8B1</v>
      </c>
      <c r="B4438" t="s">
        <v>14</v>
      </c>
      <c r="C4438" t="s">
        <v>22</v>
      </c>
      <c r="D4438" t="s">
        <v>11</v>
      </c>
      <c r="E4438" t="s">
        <v>12</v>
      </c>
      <c r="F4438">
        <v>42917329</v>
      </c>
      <c r="G4438">
        <v>42917355</v>
      </c>
      <c r="H4438">
        <v>42917363</v>
      </c>
      <c r="I4438">
        <v>42917377</v>
      </c>
    </row>
    <row r="4439" spans="1:9" x14ac:dyDescent="0.2">
      <c r="A4439" s="1" t="str">
        <f>"CYR61"</f>
        <v>CYR61</v>
      </c>
      <c r="B4439" t="s">
        <v>14</v>
      </c>
      <c r="C4439" t="s">
        <v>19</v>
      </c>
      <c r="D4439" t="s">
        <v>17</v>
      </c>
      <c r="E4439" t="s">
        <v>12</v>
      </c>
      <c r="F4439">
        <v>86046433</v>
      </c>
      <c r="G4439">
        <v>86046453</v>
      </c>
      <c r="H4439">
        <v>86046433</v>
      </c>
      <c r="I4439">
        <v>86046453</v>
      </c>
    </row>
    <row r="4440" spans="1:9" x14ac:dyDescent="0.2">
      <c r="A4440" s="1" t="str">
        <f>"CYS1"</f>
        <v>CYS1</v>
      </c>
      <c r="B4440" t="s">
        <v>14</v>
      </c>
      <c r="C4440" t="s">
        <v>26</v>
      </c>
      <c r="D4440" t="s">
        <v>11</v>
      </c>
      <c r="E4440" t="s">
        <v>12</v>
      </c>
      <c r="F4440">
        <v>10220314</v>
      </c>
      <c r="G4440">
        <v>10220373</v>
      </c>
      <c r="H4440">
        <v>10220125</v>
      </c>
      <c r="I4440">
        <v>10220157</v>
      </c>
    </row>
    <row r="4441" spans="1:9" x14ac:dyDescent="0.2">
      <c r="A4441" s="1" t="str">
        <f>"CYSLTR1"</f>
        <v>CYSLTR1</v>
      </c>
      <c r="B4441" t="s">
        <v>14</v>
      </c>
      <c r="C4441" t="s">
        <v>37</v>
      </c>
      <c r="D4441" t="s">
        <v>11</v>
      </c>
      <c r="E4441" t="s">
        <v>12</v>
      </c>
      <c r="F4441">
        <v>77583054</v>
      </c>
      <c r="G4441">
        <v>77583100</v>
      </c>
      <c r="H4441">
        <v>77582984</v>
      </c>
      <c r="I4441">
        <v>77583010</v>
      </c>
    </row>
    <row r="4442" spans="1:9" x14ac:dyDescent="0.2">
      <c r="A4442" s="1" t="str">
        <f>"CYSLTR2"</f>
        <v>CYSLTR2</v>
      </c>
      <c r="B4442" t="s">
        <v>306</v>
      </c>
      <c r="C4442" t="s">
        <v>39</v>
      </c>
      <c r="D4442" t="s">
        <v>17</v>
      </c>
      <c r="E4442" t="s">
        <v>20</v>
      </c>
      <c r="F4442">
        <v>49280950</v>
      </c>
      <c r="G4442">
        <v>49280950</v>
      </c>
      <c r="H4442">
        <v>49280950</v>
      </c>
      <c r="I4442">
        <v>49280950</v>
      </c>
    </row>
    <row r="4443" spans="1:9" x14ac:dyDescent="0.2">
      <c r="A4443" s="1" t="str">
        <f>"CYSTM1"</f>
        <v>CYSTM1</v>
      </c>
      <c r="B4443" t="s">
        <v>14</v>
      </c>
      <c r="C4443" t="s">
        <v>46</v>
      </c>
      <c r="D4443" t="s">
        <v>17</v>
      </c>
      <c r="E4443" t="s">
        <v>12</v>
      </c>
      <c r="F4443">
        <v>139554702</v>
      </c>
      <c r="G4443">
        <v>139554787</v>
      </c>
      <c r="H4443">
        <v>139554790</v>
      </c>
      <c r="I4443">
        <v>139554807</v>
      </c>
    </row>
    <row r="4444" spans="1:9" x14ac:dyDescent="0.2">
      <c r="A4444" s="1" t="str">
        <f>"CYTH1"</f>
        <v>CYTH1</v>
      </c>
      <c r="B4444" t="s">
        <v>14</v>
      </c>
      <c r="C4444" t="s">
        <v>28</v>
      </c>
      <c r="D4444" t="s">
        <v>11</v>
      </c>
      <c r="E4444" t="s">
        <v>12</v>
      </c>
      <c r="F4444">
        <v>76778339</v>
      </c>
      <c r="G4444">
        <v>76778413</v>
      </c>
      <c r="H4444">
        <v>76778339</v>
      </c>
      <c r="I4444">
        <v>76778413</v>
      </c>
    </row>
    <row r="4445" spans="1:9" x14ac:dyDescent="0.2">
      <c r="A4445" s="1" t="str">
        <f>"CYTH2"</f>
        <v>CYTH2</v>
      </c>
      <c r="B4445" t="s">
        <v>14</v>
      </c>
      <c r="C4445" t="s">
        <v>10</v>
      </c>
      <c r="D4445" t="s">
        <v>17</v>
      </c>
      <c r="E4445" t="s">
        <v>12</v>
      </c>
      <c r="F4445">
        <v>48972612</v>
      </c>
      <c r="G4445">
        <v>48972632</v>
      </c>
      <c r="H4445">
        <v>48972580</v>
      </c>
      <c r="I4445">
        <v>48972594</v>
      </c>
    </row>
    <row r="4446" spans="1:9" x14ac:dyDescent="0.2">
      <c r="A4446" s="1" t="str">
        <f>"CYTH3"</f>
        <v>CYTH3</v>
      </c>
      <c r="B4446" t="s">
        <v>14</v>
      </c>
      <c r="C4446" t="s">
        <v>33</v>
      </c>
      <c r="D4446" t="s">
        <v>11</v>
      </c>
      <c r="E4446" t="s">
        <v>12</v>
      </c>
      <c r="F4446">
        <v>6312206</v>
      </c>
      <c r="G4446">
        <v>6312308</v>
      </c>
      <c r="H4446">
        <v>6312179</v>
      </c>
      <c r="I4446">
        <v>6312190</v>
      </c>
    </row>
    <row r="4447" spans="1:9" x14ac:dyDescent="0.2">
      <c r="A4447" s="1" t="str">
        <f>"CYTH4"</f>
        <v>CYTH4</v>
      </c>
      <c r="B4447" t="s">
        <v>14</v>
      </c>
      <c r="C4447" t="s">
        <v>21</v>
      </c>
      <c r="D4447" t="s">
        <v>17</v>
      </c>
      <c r="E4447" t="s">
        <v>12</v>
      </c>
      <c r="F4447">
        <v>37678505</v>
      </c>
      <c r="G4447">
        <v>37678563</v>
      </c>
      <c r="H4447">
        <v>37678569</v>
      </c>
      <c r="I4447">
        <v>37678602</v>
      </c>
    </row>
    <row r="4448" spans="1:9" x14ac:dyDescent="0.2">
      <c r="A4448" s="1" t="str">
        <f>"CYTIP"</f>
        <v>CYTIP</v>
      </c>
      <c r="B4448" t="s">
        <v>14</v>
      </c>
      <c r="C4448" t="s">
        <v>26</v>
      </c>
      <c r="D4448" t="s">
        <v>11</v>
      </c>
      <c r="E4448" t="s">
        <v>12</v>
      </c>
      <c r="F4448">
        <v>158300556</v>
      </c>
      <c r="G4448">
        <v>158300612</v>
      </c>
      <c r="H4448">
        <v>158300517</v>
      </c>
      <c r="I4448">
        <v>158300544</v>
      </c>
    </row>
    <row r="4449" spans="1:9" x14ac:dyDescent="0.2">
      <c r="A4449" s="1" t="str">
        <f>"CYTL1"</f>
        <v>CYTL1</v>
      </c>
      <c r="B4449" t="s">
        <v>14</v>
      </c>
      <c r="C4449" t="s">
        <v>23</v>
      </c>
      <c r="D4449" t="s">
        <v>11</v>
      </c>
      <c r="E4449" t="s">
        <v>12</v>
      </c>
      <c r="F4449">
        <v>5021176</v>
      </c>
      <c r="G4449">
        <v>5021191</v>
      </c>
      <c r="H4449">
        <v>5021176</v>
      </c>
      <c r="I4449">
        <v>5021191</v>
      </c>
    </row>
    <row r="4450" spans="1:9" x14ac:dyDescent="0.2">
      <c r="A4450" s="1" t="str">
        <f>"CYYR1"</f>
        <v>CYYR1</v>
      </c>
      <c r="B4450" t="s">
        <v>14</v>
      </c>
      <c r="C4450" t="s">
        <v>42</v>
      </c>
      <c r="D4450" t="s">
        <v>11</v>
      </c>
      <c r="E4450" t="s">
        <v>12</v>
      </c>
      <c r="F4450">
        <v>27945562</v>
      </c>
      <c r="G4450">
        <v>27945618</v>
      </c>
      <c r="H4450">
        <v>27945531</v>
      </c>
      <c r="I4450">
        <v>27945559</v>
      </c>
    </row>
    <row r="4451" spans="1:9" x14ac:dyDescent="0.2">
      <c r="A4451" s="1" t="str">
        <f>"CYorf17"</f>
        <v>CYorf17</v>
      </c>
      <c r="B4451" t="s">
        <v>307</v>
      </c>
      <c r="C4451" t="s">
        <v>63</v>
      </c>
      <c r="D4451" t="s">
        <v>11</v>
      </c>
      <c r="E4451" t="s">
        <v>20</v>
      </c>
      <c r="F4451">
        <v>23548245</v>
      </c>
      <c r="G4451">
        <v>23548245</v>
      </c>
      <c r="H4451">
        <v>23548245</v>
      </c>
      <c r="I4451">
        <v>23548245</v>
      </c>
    </row>
    <row r="4452" spans="1:9" x14ac:dyDescent="0.2">
      <c r="A4452" s="1" t="str">
        <f>"D2HGDH"</f>
        <v>D2HGDH</v>
      </c>
      <c r="B4452" t="s">
        <v>14</v>
      </c>
      <c r="C4452" t="s">
        <v>26</v>
      </c>
      <c r="D4452" t="s">
        <v>17</v>
      </c>
      <c r="E4452" t="s">
        <v>12</v>
      </c>
      <c r="F4452">
        <v>242674037</v>
      </c>
      <c r="G4452">
        <v>242674059</v>
      </c>
      <c r="H4452">
        <v>242674026</v>
      </c>
      <c r="I4452">
        <v>242674029</v>
      </c>
    </row>
    <row r="4453" spans="1:9" x14ac:dyDescent="0.2">
      <c r="A4453" s="1" t="str">
        <f>"DAAM1"</f>
        <v>DAAM1</v>
      </c>
      <c r="B4453" t="s">
        <v>14</v>
      </c>
      <c r="C4453" t="s">
        <v>41</v>
      </c>
      <c r="D4453" t="s">
        <v>17</v>
      </c>
      <c r="E4453" t="s">
        <v>12</v>
      </c>
      <c r="F4453">
        <v>59655369</v>
      </c>
      <c r="G4453">
        <v>59655458</v>
      </c>
      <c r="H4453">
        <v>59655562</v>
      </c>
      <c r="I4453">
        <v>59655603</v>
      </c>
    </row>
    <row r="4454" spans="1:9" x14ac:dyDescent="0.2">
      <c r="A4454" s="1" t="str">
        <f>"DAAM2"</f>
        <v>DAAM2</v>
      </c>
      <c r="B4454" t="s">
        <v>14</v>
      </c>
      <c r="C4454" t="s">
        <v>32</v>
      </c>
      <c r="D4454" t="s">
        <v>17</v>
      </c>
      <c r="E4454" t="s">
        <v>12</v>
      </c>
      <c r="F4454">
        <v>39760129</v>
      </c>
      <c r="G4454">
        <v>39760177</v>
      </c>
      <c r="H4454">
        <v>39760747</v>
      </c>
      <c r="I4454">
        <v>39760766</v>
      </c>
    </row>
    <row r="4455" spans="1:9" x14ac:dyDescent="0.2">
      <c r="A4455" s="1" t="str">
        <f>"DAB1"</f>
        <v>DAB1</v>
      </c>
      <c r="B4455" t="s">
        <v>308</v>
      </c>
      <c r="C4455" t="s">
        <v>19</v>
      </c>
      <c r="D4455" t="s">
        <v>11</v>
      </c>
      <c r="E4455" t="s">
        <v>35</v>
      </c>
      <c r="F4455">
        <v>58716197</v>
      </c>
      <c r="G4455">
        <v>58716227</v>
      </c>
      <c r="H4455">
        <v>58716082</v>
      </c>
      <c r="I4455">
        <v>58716087</v>
      </c>
    </row>
    <row r="4456" spans="1:9" x14ac:dyDescent="0.2">
      <c r="A4456" s="1" t="str">
        <f>"DAB1"</f>
        <v>DAB1</v>
      </c>
      <c r="B4456" t="s">
        <v>309</v>
      </c>
      <c r="C4456" t="s">
        <v>19</v>
      </c>
      <c r="D4456" t="s">
        <v>11</v>
      </c>
      <c r="E4456" t="s">
        <v>35</v>
      </c>
      <c r="F4456">
        <v>57889755</v>
      </c>
      <c r="G4456">
        <v>57889770</v>
      </c>
      <c r="H4456">
        <v>57889687</v>
      </c>
      <c r="I4456">
        <v>57889754</v>
      </c>
    </row>
    <row r="4457" spans="1:9" x14ac:dyDescent="0.2">
      <c r="A4457" s="1" t="str">
        <f>"DAB2"</f>
        <v>DAB2</v>
      </c>
      <c r="B4457" t="s">
        <v>14</v>
      </c>
      <c r="C4457" t="s">
        <v>46</v>
      </c>
      <c r="D4457" t="s">
        <v>11</v>
      </c>
      <c r="E4457" t="s">
        <v>12</v>
      </c>
      <c r="F4457">
        <v>39425068</v>
      </c>
      <c r="G4457">
        <v>39425098</v>
      </c>
      <c r="H4457">
        <v>39424961</v>
      </c>
      <c r="I4457">
        <v>39424980</v>
      </c>
    </row>
    <row r="4458" spans="1:9" x14ac:dyDescent="0.2">
      <c r="A4458" s="1" t="str">
        <f>"DAB2IP"</f>
        <v>DAB2IP</v>
      </c>
      <c r="B4458" t="s">
        <v>14</v>
      </c>
      <c r="C4458" t="s">
        <v>24</v>
      </c>
      <c r="D4458" t="s">
        <v>17</v>
      </c>
      <c r="E4458" t="s">
        <v>12</v>
      </c>
      <c r="F4458">
        <v>124413891</v>
      </c>
      <c r="G4458">
        <v>124413969</v>
      </c>
      <c r="H4458">
        <v>124413891</v>
      </c>
      <c r="I4458">
        <v>124413969</v>
      </c>
    </row>
    <row r="4459" spans="1:9" x14ac:dyDescent="0.2">
      <c r="A4459" s="1" t="str">
        <f>"DACH1"</f>
        <v>DACH1</v>
      </c>
      <c r="B4459" t="s">
        <v>14</v>
      </c>
      <c r="C4459" t="s">
        <v>39</v>
      </c>
      <c r="D4459" t="s">
        <v>11</v>
      </c>
      <c r="E4459" t="s">
        <v>12</v>
      </c>
      <c r="F4459">
        <v>72441315</v>
      </c>
      <c r="G4459">
        <v>72441454</v>
      </c>
      <c r="H4459">
        <v>72441074</v>
      </c>
      <c r="I4459">
        <v>72441172</v>
      </c>
    </row>
    <row r="4460" spans="1:9" x14ac:dyDescent="0.2">
      <c r="A4460" s="1" t="str">
        <f>"DACH2"</f>
        <v>DACH2</v>
      </c>
      <c r="B4460" t="s">
        <v>310</v>
      </c>
      <c r="C4460" t="s">
        <v>37</v>
      </c>
      <c r="D4460" t="s">
        <v>17</v>
      </c>
      <c r="E4460" t="s">
        <v>35</v>
      </c>
      <c r="F4460">
        <v>85403445</v>
      </c>
      <c r="G4460">
        <v>85403479</v>
      </c>
      <c r="H4460">
        <v>85403686</v>
      </c>
      <c r="I4460">
        <v>85403697</v>
      </c>
    </row>
    <row r="4461" spans="1:9" x14ac:dyDescent="0.2">
      <c r="A4461" s="1" t="str">
        <f>"DACT1"</f>
        <v>DACT1</v>
      </c>
      <c r="B4461" t="s">
        <v>14</v>
      </c>
      <c r="C4461" t="s">
        <v>41</v>
      </c>
      <c r="D4461" t="s">
        <v>17</v>
      </c>
      <c r="E4461" t="s">
        <v>12</v>
      </c>
      <c r="F4461">
        <v>59104664</v>
      </c>
      <c r="G4461">
        <v>59104735</v>
      </c>
      <c r="H4461">
        <v>59104584</v>
      </c>
      <c r="I4461">
        <v>59104599</v>
      </c>
    </row>
    <row r="4462" spans="1:9" x14ac:dyDescent="0.2">
      <c r="A4462" s="1" t="str">
        <f>"DACT2"</f>
        <v>DACT2</v>
      </c>
      <c r="B4462" t="s">
        <v>14</v>
      </c>
      <c r="C4462" t="s">
        <v>32</v>
      </c>
      <c r="D4462" t="s">
        <v>11</v>
      </c>
      <c r="E4462" t="s">
        <v>12</v>
      </c>
      <c r="F4462">
        <v>168720382</v>
      </c>
      <c r="G4462">
        <v>168720422</v>
      </c>
      <c r="H4462">
        <v>168720382</v>
      </c>
      <c r="I4462">
        <v>168720422</v>
      </c>
    </row>
    <row r="4463" spans="1:9" x14ac:dyDescent="0.2">
      <c r="A4463" s="1" t="str">
        <f>"DACT3"</f>
        <v>DACT3</v>
      </c>
      <c r="B4463" t="s">
        <v>14</v>
      </c>
      <c r="C4463" t="s">
        <v>10</v>
      </c>
      <c r="D4463" t="s">
        <v>11</v>
      </c>
      <c r="E4463" t="s">
        <v>12</v>
      </c>
      <c r="F4463">
        <v>47164386</v>
      </c>
      <c r="G4463">
        <v>47164456</v>
      </c>
      <c r="H4463">
        <v>47164282</v>
      </c>
      <c r="I4463">
        <v>47164340</v>
      </c>
    </row>
    <row r="4464" spans="1:9" x14ac:dyDescent="0.2">
      <c r="A4464" s="1" t="str">
        <f>"DAD1"</f>
        <v>DAD1</v>
      </c>
      <c r="B4464" t="s">
        <v>14</v>
      </c>
      <c r="C4464" t="s">
        <v>41</v>
      </c>
      <c r="D4464" t="s">
        <v>11</v>
      </c>
      <c r="E4464" t="s">
        <v>12</v>
      </c>
      <c r="F4464">
        <v>23058063</v>
      </c>
      <c r="G4464">
        <v>23058144</v>
      </c>
      <c r="H4464">
        <v>23058063</v>
      </c>
      <c r="I4464">
        <v>23058144</v>
      </c>
    </row>
    <row r="4465" spans="1:9" x14ac:dyDescent="0.2">
      <c r="A4465" s="1" t="str">
        <f>"DAG1"</f>
        <v>DAG1</v>
      </c>
      <c r="B4465" t="s">
        <v>14</v>
      </c>
      <c r="C4465" t="s">
        <v>22</v>
      </c>
      <c r="D4465" t="s">
        <v>17</v>
      </c>
      <c r="E4465" t="s">
        <v>12</v>
      </c>
      <c r="F4465">
        <v>49507674</v>
      </c>
      <c r="G4465">
        <v>49507758</v>
      </c>
      <c r="H4465">
        <v>49507559</v>
      </c>
      <c r="I4465">
        <v>49507580</v>
      </c>
    </row>
    <row r="4466" spans="1:9" x14ac:dyDescent="0.2">
      <c r="A4466" s="1" t="str">
        <f>"DAGLA"</f>
        <v>DAGLA</v>
      </c>
      <c r="B4466" t="s">
        <v>14</v>
      </c>
      <c r="C4466" t="s">
        <v>27</v>
      </c>
      <c r="D4466" t="s">
        <v>17</v>
      </c>
      <c r="E4466" t="s">
        <v>12</v>
      </c>
      <c r="F4466">
        <v>61447845</v>
      </c>
      <c r="G4466">
        <v>61447910</v>
      </c>
      <c r="H4466">
        <v>61447845</v>
      </c>
      <c r="I4466">
        <v>61447910</v>
      </c>
    </row>
    <row r="4467" spans="1:9" x14ac:dyDescent="0.2">
      <c r="A4467" s="1" t="str">
        <f>"DAGLB"</f>
        <v>DAGLB</v>
      </c>
      <c r="B4467" t="s">
        <v>311</v>
      </c>
      <c r="C4467" t="s">
        <v>33</v>
      </c>
      <c r="D4467" t="s">
        <v>11</v>
      </c>
      <c r="E4467" t="s">
        <v>35</v>
      </c>
      <c r="F4467">
        <v>6487551</v>
      </c>
      <c r="G4467">
        <v>6487622</v>
      </c>
      <c r="H4467">
        <v>6487524</v>
      </c>
      <c r="I4467">
        <v>6487540</v>
      </c>
    </row>
    <row r="4468" spans="1:9" x14ac:dyDescent="0.2">
      <c r="A4468" s="1" t="str">
        <f>"DAK"</f>
        <v>DAK</v>
      </c>
      <c r="B4468" t="s">
        <v>14</v>
      </c>
      <c r="C4468" t="s">
        <v>27</v>
      </c>
      <c r="D4468" t="s">
        <v>17</v>
      </c>
      <c r="E4468" t="s">
        <v>12</v>
      </c>
      <c r="F4468">
        <v>61100676</v>
      </c>
      <c r="G4468">
        <v>61100734</v>
      </c>
      <c r="H4468">
        <v>61100676</v>
      </c>
      <c r="I4468">
        <v>61100734</v>
      </c>
    </row>
    <row r="4469" spans="1:9" x14ac:dyDescent="0.2">
      <c r="A4469" s="1" t="str">
        <f>"DALRD3"</f>
        <v>DALRD3</v>
      </c>
      <c r="B4469" t="s">
        <v>9</v>
      </c>
      <c r="C4469" t="s">
        <v>22</v>
      </c>
      <c r="D4469" t="s">
        <v>11</v>
      </c>
      <c r="E4469" t="s">
        <v>12</v>
      </c>
      <c r="F4469">
        <v>49055991</v>
      </c>
      <c r="G4469">
        <v>49056026</v>
      </c>
      <c r="H4469">
        <v>49055991</v>
      </c>
      <c r="I4469">
        <v>49056026</v>
      </c>
    </row>
    <row r="4470" spans="1:9" x14ac:dyDescent="0.2">
      <c r="A4470" s="1" t="str">
        <f>"DALRD3"</f>
        <v>DALRD3</v>
      </c>
      <c r="B4470" t="s">
        <v>13</v>
      </c>
      <c r="C4470" t="s">
        <v>22</v>
      </c>
      <c r="D4470" t="s">
        <v>11</v>
      </c>
      <c r="E4470" t="s">
        <v>12</v>
      </c>
      <c r="F4470">
        <v>49058930</v>
      </c>
      <c r="G4470">
        <v>49058944</v>
      </c>
      <c r="H4470">
        <v>49058930</v>
      </c>
      <c r="I4470">
        <v>49058944</v>
      </c>
    </row>
    <row r="4471" spans="1:9" x14ac:dyDescent="0.2">
      <c r="A4471" s="1" t="str">
        <f>"DAND5"</f>
        <v>DAND5</v>
      </c>
      <c r="B4471" t="s">
        <v>14</v>
      </c>
      <c r="C4471" t="s">
        <v>10</v>
      </c>
      <c r="D4471" t="s">
        <v>17</v>
      </c>
      <c r="E4471" t="s">
        <v>12</v>
      </c>
      <c r="F4471">
        <v>13080654</v>
      </c>
      <c r="G4471">
        <v>13080675</v>
      </c>
      <c r="H4471">
        <v>13080383</v>
      </c>
      <c r="I4471">
        <v>13080395</v>
      </c>
    </row>
    <row r="4472" spans="1:9" x14ac:dyDescent="0.2">
      <c r="A4472" s="1" t="str">
        <f>"DAO"</f>
        <v>DAO</v>
      </c>
      <c r="B4472" t="s">
        <v>14</v>
      </c>
      <c r="C4472" t="s">
        <v>16</v>
      </c>
      <c r="D4472" t="s">
        <v>17</v>
      </c>
      <c r="E4472" t="s">
        <v>12</v>
      </c>
      <c r="F4472">
        <v>109273861</v>
      </c>
      <c r="G4472">
        <v>109273889</v>
      </c>
      <c r="H4472">
        <v>109273910</v>
      </c>
      <c r="I4472">
        <v>109273921</v>
      </c>
    </row>
    <row r="4473" spans="1:9" x14ac:dyDescent="0.2">
      <c r="A4473" s="1" t="str">
        <f>"DAOA"</f>
        <v>DAOA</v>
      </c>
      <c r="B4473" t="s">
        <v>312</v>
      </c>
      <c r="C4473" t="s">
        <v>39</v>
      </c>
      <c r="D4473" t="s">
        <v>17</v>
      </c>
      <c r="E4473" t="s">
        <v>20</v>
      </c>
      <c r="F4473">
        <v>106118604</v>
      </c>
      <c r="G4473">
        <v>106118604</v>
      </c>
      <c r="H4473">
        <v>106118604</v>
      </c>
      <c r="I4473">
        <v>106118604</v>
      </c>
    </row>
    <row r="4474" spans="1:9" x14ac:dyDescent="0.2">
      <c r="A4474" s="1" t="str">
        <f>"DAP"</f>
        <v>DAP</v>
      </c>
      <c r="B4474" t="s">
        <v>14</v>
      </c>
      <c r="C4474" t="s">
        <v>46</v>
      </c>
      <c r="D4474" t="s">
        <v>11</v>
      </c>
      <c r="E4474" t="s">
        <v>12</v>
      </c>
      <c r="F4474">
        <v>10761206</v>
      </c>
      <c r="G4474">
        <v>10761421</v>
      </c>
      <c r="H4474">
        <v>10761193</v>
      </c>
      <c r="I4474">
        <v>10761201</v>
      </c>
    </row>
    <row r="4475" spans="1:9" x14ac:dyDescent="0.2">
      <c r="A4475" s="1" t="str">
        <f>"DAP3"</f>
        <v>DAP3</v>
      </c>
      <c r="B4475" t="s">
        <v>14</v>
      </c>
      <c r="C4475" t="s">
        <v>19</v>
      </c>
      <c r="D4475" t="s">
        <v>17</v>
      </c>
      <c r="E4475" t="s">
        <v>12</v>
      </c>
      <c r="F4475">
        <v>155658865</v>
      </c>
      <c r="G4475">
        <v>155658889</v>
      </c>
      <c r="H4475">
        <v>155658865</v>
      </c>
      <c r="I4475">
        <v>155658889</v>
      </c>
    </row>
    <row r="4476" spans="1:9" x14ac:dyDescent="0.2">
      <c r="A4476" s="1" t="str">
        <f>"DAPK1"</f>
        <v>DAPK1</v>
      </c>
      <c r="B4476" t="s">
        <v>14</v>
      </c>
      <c r="C4476" t="s">
        <v>24</v>
      </c>
      <c r="D4476" t="s">
        <v>17</v>
      </c>
      <c r="E4476" t="s">
        <v>12</v>
      </c>
      <c r="F4476">
        <v>90112767</v>
      </c>
      <c r="G4476">
        <v>90112808</v>
      </c>
      <c r="H4476">
        <v>90112614</v>
      </c>
      <c r="I4476">
        <v>90112664</v>
      </c>
    </row>
    <row r="4477" spans="1:9" x14ac:dyDescent="0.2">
      <c r="A4477" s="1" t="str">
        <f>"DAPK2"</f>
        <v>DAPK2</v>
      </c>
      <c r="B4477" t="s">
        <v>14</v>
      </c>
      <c r="C4477" t="s">
        <v>25</v>
      </c>
      <c r="D4477" t="s">
        <v>11</v>
      </c>
      <c r="E4477" t="s">
        <v>12</v>
      </c>
      <c r="F4477">
        <v>64338620</v>
      </c>
      <c r="G4477">
        <v>64338703</v>
      </c>
      <c r="H4477">
        <v>64338605</v>
      </c>
      <c r="I4477">
        <v>64338618</v>
      </c>
    </row>
    <row r="4478" spans="1:9" x14ac:dyDescent="0.2">
      <c r="A4478" s="1" t="str">
        <f>"DAPK3"</f>
        <v>DAPK3</v>
      </c>
      <c r="B4478" t="s">
        <v>14</v>
      </c>
      <c r="C4478" t="s">
        <v>10</v>
      </c>
      <c r="D4478" t="s">
        <v>11</v>
      </c>
      <c r="E4478" t="s">
        <v>12</v>
      </c>
      <c r="F4478">
        <v>3971050</v>
      </c>
      <c r="G4478">
        <v>3971128</v>
      </c>
      <c r="H4478">
        <v>3971033</v>
      </c>
      <c r="I4478">
        <v>3971042</v>
      </c>
    </row>
    <row r="4479" spans="1:9" x14ac:dyDescent="0.2">
      <c r="A4479" s="1" t="str">
        <f>"DAPL1"</f>
        <v>DAPL1</v>
      </c>
      <c r="B4479" t="s">
        <v>14</v>
      </c>
      <c r="C4479" t="s">
        <v>26</v>
      </c>
      <c r="D4479" t="s">
        <v>17</v>
      </c>
      <c r="E4479" t="s">
        <v>12</v>
      </c>
      <c r="F4479">
        <v>159651821</v>
      </c>
      <c r="G4479">
        <v>159651836</v>
      </c>
      <c r="H4479">
        <v>159651821</v>
      </c>
      <c r="I4479">
        <v>159651836</v>
      </c>
    </row>
    <row r="4480" spans="1:9" x14ac:dyDescent="0.2">
      <c r="A4480" s="1" t="str">
        <f>"DAPP1"</f>
        <v>DAPP1</v>
      </c>
      <c r="B4480" t="s">
        <v>14</v>
      </c>
      <c r="C4480" t="s">
        <v>23</v>
      </c>
      <c r="D4480" t="s">
        <v>17</v>
      </c>
      <c r="E4480" t="s">
        <v>12</v>
      </c>
      <c r="F4480">
        <v>100737954</v>
      </c>
      <c r="G4480">
        <v>100738014</v>
      </c>
      <c r="H4480">
        <v>100737954</v>
      </c>
      <c r="I4480">
        <v>100738014</v>
      </c>
    </row>
    <row r="4481" spans="1:9" x14ac:dyDescent="0.2">
      <c r="A4481" s="1" t="str">
        <f>"DARC"</f>
        <v>DARC</v>
      </c>
      <c r="B4481" t="s">
        <v>14</v>
      </c>
      <c r="C4481" t="s">
        <v>19</v>
      </c>
      <c r="D4481" t="s">
        <v>17</v>
      </c>
      <c r="E4481" t="s">
        <v>12</v>
      </c>
      <c r="F4481">
        <v>159174649</v>
      </c>
      <c r="G4481">
        <v>159174700</v>
      </c>
      <c r="H4481">
        <v>159174701</v>
      </c>
      <c r="I4481">
        <v>159174727</v>
      </c>
    </row>
    <row r="4482" spans="1:9" x14ac:dyDescent="0.2">
      <c r="A4482" s="1" t="str">
        <f>"DARS"</f>
        <v>DARS</v>
      </c>
      <c r="B4482" t="s">
        <v>14</v>
      </c>
      <c r="C4482" t="s">
        <v>26</v>
      </c>
      <c r="D4482" t="s">
        <v>11</v>
      </c>
      <c r="E4482" t="s">
        <v>12</v>
      </c>
      <c r="F4482">
        <v>136743169</v>
      </c>
      <c r="G4482">
        <v>136743211</v>
      </c>
      <c r="H4482">
        <v>136743074</v>
      </c>
      <c r="I4482">
        <v>136743116</v>
      </c>
    </row>
    <row r="4483" spans="1:9" x14ac:dyDescent="0.2">
      <c r="A4483" s="1" t="str">
        <f>"DARS2"</f>
        <v>DARS2</v>
      </c>
      <c r="B4483" t="s">
        <v>14</v>
      </c>
      <c r="C4483" t="s">
        <v>19</v>
      </c>
      <c r="D4483" t="s">
        <v>17</v>
      </c>
      <c r="E4483" t="s">
        <v>12</v>
      </c>
      <c r="F4483">
        <v>173793777</v>
      </c>
      <c r="G4483">
        <v>173793829</v>
      </c>
      <c r="H4483">
        <v>173793708</v>
      </c>
      <c r="I4483">
        <v>173793739</v>
      </c>
    </row>
    <row r="4484" spans="1:9" x14ac:dyDescent="0.2">
      <c r="A4484" s="1" t="str">
        <f>"DAW1"</f>
        <v>DAW1</v>
      </c>
      <c r="B4484" t="s">
        <v>14</v>
      </c>
      <c r="C4484" t="s">
        <v>26</v>
      </c>
      <c r="D4484" t="s">
        <v>17</v>
      </c>
      <c r="E4484" t="s">
        <v>12</v>
      </c>
      <c r="F4484">
        <v>228736335</v>
      </c>
      <c r="G4484">
        <v>228736397</v>
      </c>
      <c r="H4484">
        <v>228735763</v>
      </c>
      <c r="I4484">
        <v>228735772</v>
      </c>
    </row>
    <row r="4485" spans="1:9" x14ac:dyDescent="0.2">
      <c r="A4485" s="1" t="str">
        <f>"DAXX"</f>
        <v>DAXX</v>
      </c>
      <c r="B4485" t="s">
        <v>9</v>
      </c>
      <c r="C4485" t="s">
        <v>32</v>
      </c>
      <c r="D4485" t="s">
        <v>11</v>
      </c>
      <c r="E4485" t="s">
        <v>12</v>
      </c>
      <c r="F4485">
        <v>33290673</v>
      </c>
      <c r="G4485">
        <v>33290754</v>
      </c>
      <c r="H4485">
        <v>33290673</v>
      </c>
      <c r="I4485">
        <v>33290754</v>
      </c>
    </row>
    <row r="4486" spans="1:9" x14ac:dyDescent="0.2">
      <c r="A4486" s="1" t="str">
        <f>"DAXX"</f>
        <v>DAXX</v>
      </c>
      <c r="B4486" t="s">
        <v>13</v>
      </c>
      <c r="C4486" t="s">
        <v>32</v>
      </c>
      <c r="D4486" t="s">
        <v>11</v>
      </c>
      <c r="E4486" t="s">
        <v>12</v>
      </c>
      <c r="F4486">
        <v>33288184</v>
      </c>
      <c r="G4486">
        <v>33288245</v>
      </c>
      <c r="H4486">
        <v>33288184</v>
      </c>
      <c r="I4486">
        <v>33288245</v>
      </c>
    </row>
    <row r="4487" spans="1:9" x14ac:dyDescent="0.2">
      <c r="A4487" s="1" t="str">
        <f>"DAZ1"</f>
        <v>DAZ1</v>
      </c>
      <c r="B4487" t="s">
        <v>313</v>
      </c>
      <c r="C4487" t="s">
        <v>63</v>
      </c>
      <c r="D4487" t="s">
        <v>11</v>
      </c>
      <c r="E4487" t="s">
        <v>20</v>
      </c>
      <c r="F4487">
        <v>25345154</v>
      </c>
      <c r="G4487">
        <v>25345154</v>
      </c>
      <c r="H4487">
        <v>25345154</v>
      </c>
      <c r="I4487">
        <v>25345154</v>
      </c>
    </row>
    <row r="4488" spans="1:9" x14ac:dyDescent="0.2">
      <c r="A4488" s="1" t="str">
        <f>"DAZ2"</f>
        <v>DAZ2</v>
      </c>
      <c r="B4488" t="s">
        <v>314</v>
      </c>
      <c r="C4488" t="s">
        <v>63</v>
      </c>
      <c r="D4488" t="s">
        <v>17</v>
      </c>
      <c r="E4488" t="s">
        <v>20</v>
      </c>
      <c r="F4488">
        <v>25365665</v>
      </c>
      <c r="G4488">
        <v>25365665</v>
      </c>
      <c r="H4488">
        <v>25365665</v>
      </c>
      <c r="I4488">
        <v>25365665</v>
      </c>
    </row>
    <row r="4489" spans="1:9" x14ac:dyDescent="0.2">
      <c r="A4489" s="1" t="str">
        <f>"DAZ3"</f>
        <v>DAZ3</v>
      </c>
      <c r="B4489" t="s">
        <v>315</v>
      </c>
      <c r="C4489" t="s">
        <v>63</v>
      </c>
      <c r="D4489" t="s">
        <v>11</v>
      </c>
      <c r="E4489" t="s">
        <v>20</v>
      </c>
      <c r="F4489">
        <v>26959568</v>
      </c>
      <c r="G4489">
        <v>26959568</v>
      </c>
      <c r="H4489">
        <v>26959568</v>
      </c>
      <c r="I4489">
        <v>26959568</v>
      </c>
    </row>
    <row r="4490" spans="1:9" x14ac:dyDescent="0.2">
      <c r="A4490" s="1" t="str">
        <f>"DAZ4"</f>
        <v>DAZ4</v>
      </c>
      <c r="B4490" t="s">
        <v>316</v>
      </c>
      <c r="C4490" t="s">
        <v>63</v>
      </c>
      <c r="D4490" t="s">
        <v>17</v>
      </c>
      <c r="E4490" t="s">
        <v>20</v>
      </c>
      <c r="F4490">
        <v>26980080</v>
      </c>
      <c r="G4490">
        <v>26980080</v>
      </c>
      <c r="H4490">
        <v>26980080</v>
      </c>
      <c r="I4490">
        <v>26980080</v>
      </c>
    </row>
    <row r="4491" spans="1:9" x14ac:dyDescent="0.2">
      <c r="A4491" s="1" t="str">
        <f>"DAZAP1"</f>
        <v>DAZAP1</v>
      </c>
      <c r="B4491" t="s">
        <v>14</v>
      </c>
      <c r="C4491" t="s">
        <v>10</v>
      </c>
      <c r="D4491" t="s">
        <v>17</v>
      </c>
      <c r="E4491" t="s">
        <v>12</v>
      </c>
      <c r="F4491">
        <v>1407517</v>
      </c>
      <c r="G4491">
        <v>1407601</v>
      </c>
      <c r="H4491">
        <v>1407652</v>
      </c>
      <c r="I4491">
        <v>1407673</v>
      </c>
    </row>
    <row r="4492" spans="1:9" x14ac:dyDescent="0.2">
      <c r="A4492" s="1" t="str">
        <f>"DAZAP2"</f>
        <v>DAZAP2</v>
      </c>
      <c r="B4492" t="s">
        <v>14</v>
      </c>
      <c r="C4492" t="s">
        <v>16</v>
      </c>
      <c r="D4492" t="s">
        <v>17</v>
      </c>
      <c r="E4492" t="s">
        <v>12</v>
      </c>
      <c r="F4492">
        <v>51632600</v>
      </c>
      <c r="G4492">
        <v>51632620</v>
      </c>
      <c r="H4492">
        <v>51632644</v>
      </c>
      <c r="I4492">
        <v>51632665</v>
      </c>
    </row>
    <row r="4493" spans="1:9" x14ac:dyDescent="0.2">
      <c r="A4493" s="1" t="str">
        <f>"DAZL"</f>
        <v>DAZL</v>
      </c>
      <c r="B4493" t="s">
        <v>14</v>
      </c>
      <c r="C4493" t="s">
        <v>22</v>
      </c>
      <c r="D4493" t="s">
        <v>11</v>
      </c>
      <c r="E4493" t="s">
        <v>12</v>
      </c>
      <c r="F4493">
        <v>16646923</v>
      </c>
      <c r="G4493">
        <v>16646935</v>
      </c>
      <c r="H4493">
        <v>16646949</v>
      </c>
      <c r="I4493">
        <v>16646953</v>
      </c>
    </row>
    <row r="4494" spans="1:9" x14ac:dyDescent="0.2">
      <c r="A4494" s="1" t="str">
        <f>"DBF4"</f>
        <v>DBF4</v>
      </c>
      <c r="B4494" t="s">
        <v>14</v>
      </c>
      <c r="C4494" t="s">
        <v>33</v>
      </c>
      <c r="D4494" t="s">
        <v>17</v>
      </c>
      <c r="E4494" t="s">
        <v>12</v>
      </c>
      <c r="F4494">
        <v>87505787</v>
      </c>
      <c r="G4494">
        <v>87505857</v>
      </c>
      <c r="H4494">
        <v>87505873</v>
      </c>
      <c r="I4494">
        <v>87505955</v>
      </c>
    </row>
    <row r="4495" spans="1:9" x14ac:dyDescent="0.2">
      <c r="A4495" s="1" t="str">
        <f>"DBF4B"</f>
        <v>DBF4B</v>
      </c>
      <c r="B4495" t="s">
        <v>14</v>
      </c>
      <c r="C4495" t="s">
        <v>28</v>
      </c>
      <c r="D4495" t="s">
        <v>17</v>
      </c>
      <c r="E4495" t="s">
        <v>12</v>
      </c>
      <c r="F4495">
        <v>42785988</v>
      </c>
      <c r="G4495">
        <v>42786039</v>
      </c>
      <c r="H4495">
        <v>42786051</v>
      </c>
      <c r="I4495">
        <v>42786066</v>
      </c>
    </row>
    <row r="4496" spans="1:9" x14ac:dyDescent="0.2">
      <c r="A4496" s="1" t="str">
        <f>"DBH"</f>
        <v>DBH</v>
      </c>
      <c r="B4496" t="s">
        <v>14</v>
      </c>
      <c r="C4496" t="s">
        <v>24</v>
      </c>
      <c r="D4496" t="s">
        <v>17</v>
      </c>
      <c r="E4496" t="s">
        <v>12</v>
      </c>
      <c r="F4496">
        <v>136501478</v>
      </c>
      <c r="G4496">
        <v>136501491</v>
      </c>
      <c r="H4496">
        <v>136501437</v>
      </c>
      <c r="I4496">
        <v>136501444</v>
      </c>
    </row>
    <row r="4497" spans="1:9" x14ac:dyDescent="0.2">
      <c r="A4497" s="1" t="str">
        <f>"DBI"</f>
        <v>DBI</v>
      </c>
      <c r="B4497" t="s">
        <v>9</v>
      </c>
      <c r="C4497" t="s">
        <v>26</v>
      </c>
      <c r="D4497" t="s">
        <v>17</v>
      </c>
      <c r="E4497" t="s">
        <v>12</v>
      </c>
      <c r="F4497">
        <v>120124536</v>
      </c>
      <c r="G4497">
        <v>120124581</v>
      </c>
      <c r="H4497">
        <v>120124536</v>
      </c>
      <c r="I4497">
        <v>120124581</v>
      </c>
    </row>
    <row r="4498" spans="1:9" x14ac:dyDescent="0.2">
      <c r="A4498" s="1" t="str">
        <f>"DBI"</f>
        <v>DBI</v>
      </c>
      <c r="B4498" t="s">
        <v>13</v>
      </c>
      <c r="C4498" t="s">
        <v>26</v>
      </c>
      <c r="D4498" t="s">
        <v>17</v>
      </c>
      <c r="E4498" t="s">
        <v>12</v>
      </c>
      <c r="F4498">
        <v>120125783</v>
      </c>
      <c r="G4498">
        <v>120125803</v>
      </c>
      <c r="H4498">
        <v>120125783</v>
      </c>
      <c r="I4498">
        <v>120125803</v>
      </c>
    </row>
    <row r="4499" spans="1:9" x14ac:dyDescent="0.2">
      <c r="A4499" s="1" t="str">
        <f>"DBN1"</f>
        <v>DBN1</v>
      </c>
      <c r="B4499" t="s">
        <v>14</v>
      </c>
      <c r="C4499" t="s">
        <v>46</v>
      </c>
      <c r="D4499" t="s">
        <v>11</v>
      </c>
      <c r="E4499" t="s">
        <v>12</v>
      </c>
      <c r="F4499">
        <v>176900610</v>
      </c>
      <c r="G4499">
        <v>176900662</v>
      </c>
      <c r="H4499">
        <v>176900590</v>
      </c>
      <c r="I4499">
        <v>176900601</v>
      </c>
    </row>
    <row r="4500" spans="1:9" x14ac:dyDescent="0.2">
      <c r="A4500" s="1" t="str">
        <f>"DBNDD1"</f>
        <v>DBNDD1</v>
      </c>
      <c r="B4500" t="s">
        <v>14</v>
      </c>
      <c r="C4500" t="s">
        <v>31</v>
      </c>
      <c r="D4500" t="s">
        <v>11</v>
      </c>
      <c r="E4500" t="s">
        <v>12</v>
      </c>
      <c r="F4500">
        <v>90085824</v>
      </c>
      <c r="G4500">
        <v>90085904</v>
      </c>
      <c r="H4500">
        <v>90086229</v>
      </c>
      <c r="I4500">
        <v>90086316</v>
      </c>
    </row>
    <row r="4501" spans="1:9" x14ac:dyDescent="0.2">
      <c r="A4501" s="1" t="str">
        <f>"DBNDD2"</f>
        <v>DBNDD2</v>
      </c>
      <c r="B4501" t="s">
        <v>9</v>
      </c>
      <c r="C4501" t="s">
        <v>29</v>
      </c>
      <c r="D4501" t="s">
        <v>17</v>
      </c>
      <c r="E4501" t="s">
        <v>12</v>
      </c>
      <c r="F4501">
        <v>44036900</v>
      </c>
      <c r="G4501">
        <v>44036984</v>
      </c>
      <c r="H4501">
        <v>44036900</v>
      </c>
      <c r="I4501">
        <v>44036984</v>
      </c>
    </row>
    <row r="4502" spans="1:9" x14ac:dyDescent="0.2">
      <c r="A4502" s="1" t="str">
        <f>"DBNDD2"</f>
        <v>DBNDD2</v>
      </c>
      <c r="B4502" t="s">
        <v>13</v>
      </c>
      <c r="C4502" t="s">
        <v>29</v>
      </c>
      <c r="D4502" t="s">
        <v>17</v>
      </c>
      <c r="E4502" t="s">
        <v>12</v>
      </c>
      <c r="F4502">
        <v>44035200</v>
      </c>
      <c r="G4502">
        <v>44035288</v>
      </c>
      <c r="H4502">
        <v>44035200</v>
      </c>
      <c r="I4502">
        <v>44035288</v>
      </c>
    </row>
    <row r="4503" spans="1:9" x14ac:dyDescent="0.2">
      <c r="A4503" s="1" t="str">
        <f>"DBNL"</f>
        <v>DBNL</v>
      </c>
      <c r="B4503" t="s">
        <v>14</v>
      </c>
      <c r="C4503" t="s">
        <v>33</v>
      </c>
      <c r="D4503" t="s">
        <v>17</v>
      </c>
      <c r="E4503" t="s">
        <v>12</v>
      </c>
      <c r="F4503">
        <v>44084262</v>
      </c>
      <c r="G4503">
        <v>44084332</v>
      </c>
      <c r="H4503">
        <v>44084233</v>
      </c>
      <c r="I4503">
        <v>44084244</v>
      </c>
    </row>
    <row r="4504" spans="1:9" x14ac:dyDescent="0.2">
      <c r="A4504" s="1" t="str">
        <f>"DBP"</f>
        <v>DBP</v>
      </c>
      <c r="B4504" t="s">
        <v>14</v>
      </c>
      <c r="C4504" t="s">
        <v>10</v>
      </c>
      <c r="D4504" t="s">
        <v>11</v>
      </c>
      <c r="E4504" t="s">
        <v>12</v>
      </c>
      <c r="F4504">
        <v>49140609</v>
      </c>
      <c r="G4504">
        <v>49140643</v>
      </c>
      <c r="H4504">
        <v>49140572</v>
      </c>
      <c r="I4504">
        <v>49140594</v>
      </c>
    </row>
    <row r="4505" spans="1:9" x14ac:dyDescent="0.2">
      <c r="A4505" s="1" t="str">
        <f>"DBR1"</f>
        <v>DBR1</v>
      </c>
      <c r="B4505" t="s">
        <v>14</v>
      </c>
      <c r="C4505" t="s">
        <v>22</v>
      </c>
      <c r="D4505" t="s">
        <v>11</v>
      </c>
      <c r="E4505" t="s">
        <v>12</v>
      </c>
      <c r="F4505">
        <v>137893721</v>
      </c>
      <c r="G4505">
        <v>137893795</v>
      </c>
      <c r="H4505">
        <v>137893698</v>
      </c>
      <c r="I4505">
        <v>137893710</v>
      </c>
    </row>
    <row r="4506" spans="1:9" x14ac:dyDescent="0.2">
      <c r="A4506" s="1" t="str">
        <f>"DBT"</f>
        <v>DBT</v>
      </c>
      <c r="B4506" t="s">
        <v>14</v>
      </c>
      <c r="C4506" t="s">
        <v>19</v>
      </c>
      <c r="D4506" t="s">
        <v>11</v>
      </c>
      <c r="E4506" t="s">
        <v>12</v>
      </c>
      <c r="F4506">
        <v>100715372</v>
      </c>
      <c r="G4506">
        <v>100715400</v>
      </c>
      <c r="H4506">
        <v>100715403</v>
      </c>
      <c r="I4506">
        <v>100715414</v>
      </c>
    </row>
    <row r="4507" spans="1:9" x14ac:dyDescent="0.2">
      <c r="A4507" s="1" t="str">
        <f>"DBX1"</f>
        <v>DBX1</v>
      </c>
      <c r="B4507" t="s">
        <v>14</v>
      </c>
      <c r="C4507" t="s">
        <v>27</v>
      </c>
      <c r="D4507" t="s">
        <v>11</v>
      </c>
      <c r="E4507" t="s">
        <v>12</v>
      </c>
      <c r="F4507">
        <v>20182017</v>
      </c>
      <c r="G4507">
        <v>20182023</v>
      </c>
      <c r="H4507">
        <v>20182076</v>
      </c>
      <c r="I4507">
        <v>20182108</v>
      </c>
    </row>
    <row r="4508" spans="1:9" x14ac:dyDescent="0.2">
      <c r="A4508" s="1" t="str">
        <f>"DBX2"</f>
        <v>DBX2</v>
      </c>
      <c r="B4508" t="s">
        <v>14</v>
      </c>
      <c r="C4508" t="s">
        <v>16</v>
      </c>
      <c r="D4508" t="s">
        <v>11</v>
      </c>
      <c r="E4508" t="s">
        <v>12</v>
      </c>
      <c r="F4508">
        <v>45444873</v>
      </c>
      <c r="G4508">
        <v>45444888</v>
      </c>
      <c r="H4508">
        <v>45444856</v>
      </c>
      <c r="I4508">
        <v>45444867</v>
      </c>
    </row>
    <row r="4509" spans="1:9" x14ac:dyDescent="0.2">
      <c r="A4509" s="1" t="str">
        <f>"DCAF10"</f>
        <v>DCAF10</v>
      </c>
      <c r="B4509" t="s">
        <v>14</v>
      </c>
      <c r="C4509" t="s">
        <v>24</v>
      </c>
      <c r="D4509" t="s">
        <v>17</v>
      </c>
      <c r="E4509" t="s">
        <v>12</v>
      </c>
      <c r="F4509">
        <v>37800758</v>
      </c>
      <c r="G4509">
        <v>37800822</v>
      </c>
      <c r="H4509">
        <v>37800854</v>
      </c>
      <c r="I4509">
        <v>37800881</v>
      </c>
    </row>
    <row r="4510" spans="1:9" x14ac:dyDescent="0.2">
      <c r="A4510" s="1" t="str">
        <f>"DCAF11"</f>
        <v>DCAF11</v>
      </c>
      <c r="B4510" t="s">
        <v>14</v>
      </c>
      <c r="C4510" t="s">
        <v>41</v>
      </c>
      <c r="D4510" t="s">
        <v>17</v>
      </c>
      <c r="E4510" t="s">
        <v>12</v>
      </c>
      <c r="F4510">
        <v>24583974</v>
      </c>
      <c r="G4510">
        <v>24584053</v>
      </c>
      <c r="H4510">
        <v>24584372</v>
      </c>
      <c r="I4510">
        <v>24584497</v>
      </c>
    </row>
    <row r="4511" spans="1:9" x14ac:dyDescent="0.2">
      <c r="A4511" s="1" t="str">
        <f>"DCAF12"</f>
        <v>DCAF12</v>
      </c>
      <c r="B4511" t="s">
        <v>14</v>
      </c>
      <c r="C4511" t="s">
        <v>24</v>
      </c>
      <c r="D4511" t="s">
        <v>11</v>
      </c>
      <c r="E4511" t="s">
        <v>12</v>
      </c>
      <c r="F4511">
        <v>34126659</v>
      </c>
      <c r="G4511">
        <v>34126715</v>
      </c>
      <c r="H4511">
        <v>34126624</v>
      </c>
      <c r="I4511">
        <v>34126657</v>
      </c>
    </row>
    <row r="4512" spans="1:9" x14ac:dyDescent="0.2">
      <c r="A4512" s="1" t="str">
        <f>"DCAF12L1"</f>
        <v>DCAF12L1</v>
      </c>
      <c r="B4512" t="s">
        <v>14</v>
      </c>
      <c r="C4512" t="s">
        <v>37</v>
      </c>
      <c r="D4512" t="s">
        <v>11</v>
      </c>
      <c r="E4512" t="s">
        <v>12</v>
      </c>
      <c r="F4512">
        <v>125686784</v>
      </c>
      <c r="G4512">
        <v>125686830</v>
      </c>
      <c r="H4512">
        <v>125686848</v>
      </c>
      <c r="I4512">
        <v>125686856</v>
      </c>
    </row>
    <row r="4513" spans="1:9" x14ac:dyDescent="0.2">
      <c r="A4513" s="1" t="str">
        <f>"DCAF12L2"</f>
        <v>DCAF12L2</v>
      </c>
      <c r="B4513" t="s">
        <v>14</v>
      </c>
      <c r="C4513" t="s">
        <v>37</v>
      </c>
      <c r="D4513" t="s">
        <v>11</v>
      </c>
      <c r="E4513" t="s">
        <v>12</v>
      </c>
      <c r="F4513">
        <v>125300258</v>
      </c>
      <c r="G4513">
        <v>125300284</v>
      </c>
      <c r="H4513">
        <v>125300231</v>
      </c>
      <c r="I4513">
        <v>125300245</v>
      </c>
    </row>
    <row r="4514" spans="1:9" x14ac:dyDescent="0.2">
      <c r="A4514" s="1" t="str">
        <f>"DCAF13"</f>
        <v>DCAF13</v>
      </c>
      <c r="B4514" t="s">
        <v>14</v>
      </c>
      <c r="C4514" t="s">
        <v>30</v>
      </c>
      <c r="D4514" t="s">
        <v>17</v>
      </c>
      <c r="E4514" t="s">
        <v>12</v>
      </c>
      <c r="F4514">
        <v>104427581</v>
      </c>
      <c r="G4514">
        <v>104427677</v>
      </c>
      <c r="H4514">
        <v>104426945</v>
      </c>
      <c r="I4514">
        <v>104426973</v>
      </c>
    </row>
    <row r="4515" spans="1:9" x14ac:dyDescent="0.2">
      <c r="A4515" s="1" t="str">
        <f>"DCAF15"</f>
        <v>DCAF15</v>
      </c>
      <c r="B4515" t="s">
        <v>14</v>
      </c>
      <c r="C4515" t="s">
        <v>10</v>
      </c>
      <c r="D4515" t="s">
        <v>17</v>
      </c>
      <c r="E4515" t="s">
        <v>12</v>
      </c>
      <c r="F4515">
        <v>14063313</v>
      </c>
      <c r="G4515">
        <v>14063328</v>
      </c>
      <c r="H4515">
        <v>14063278</v>
      </c>
      <c r="I4515">
        <v>14063302</v>
      </c>
    </row>
    <row r="4516" spans="1:9" x14ac:dyDescent="0.2">
      <c r="A4516" s="1" t="str">
        <f>"DCAF16"</f>
        <v>DCAF16</v>
      </c>
      <c r="B4516" t="s">
        <v>14</v>
      </c>
      <c r="C4516" t="s">
        <v>23</v>
      </c>
      <c r="D4516" t="s">
        <v>11</v>
      </c>
      <c r="E4516" t="s">
        <v>12</v>
      </c>
      <c r="F4516">
        <v>17812309</v>
      </c>
      <c r="G4516">
        <v>17812394</v>
      </c>
      <c r="H4516">
        <v>17812309</v>
      </c>
      <c r="I4516">
        <v>17812394</v>
      </c>
    </row>
    <row r="4517" spans="1:9" x14ac:dyDescent="0.2">
      <c r="A4517" s="1" t="str">
        <f>"DCAF17"</f>
        <v>DCAF17</v>
      </c>
      <c r="B4517" t="s">
        <v>14</v>
      </c>
      <c r="C4517" t="s">
        <v>26</v>
      </c>
      <c r="D4517" t="s">
        <v>17</v>
      </c>
      <c r="E4517" t="s">
        <v>12</v>
      </c>
      <c r="F4517">
        <v>172290707</v>
      </c>
      <c r="G4517">
        <v>172290764</v>
      </c>
      <c r="H4517">
        <v>172290817</v>
      </c>
      <c r="I4517">
        <v>172290845</v>
      </c>
    </row>
    <row r="4518" spans="1:9" x14ac:dyDescent="0.2">
      <c r="A4518" s="1" t="str">
        <f>"DCAF4"</f>
        <v>DCAF4</v>
      </c>
      <c r="B4518" t="s">
        <v>14</v>
      </c>
      <c r="C4518" t="s">
        <v>41</v>
      </c>
      <c r="D4518" t="s">
        <v>17</v>
      </c>
      <c r="E4518" t="s">
        <v>12</v>
      </c>
      <c r="F4518">
        <v>73393146</v>
      </c>
      <c r="G4518">
        <v>73393218</v>
      </c>
      <c r="H4518">
        <v>73393220</v>
      </c>
      <c r="I4518">
        <v>73393233</v>
      </c>
    </row>
    <row r="4519" spans="1:9" x14ac:dyDescent="0.2">
      <c r="A4519" s="1" t="str">
        <f>"DCAF4L1"</f>
        <v>DCAF4L1</v>
      </c>
      <c r="B4519" t="s">
        <v>14</v>
      </c>
      <c r="C4519" t="s">
        <v>23</v>
      </c>
      <c r="D4519" t="s">
        <v>17</v>
      </c>
      <c r="E4519" t="s">
        <v>12</v>
      </c>
      <c r="F4519">
        <v>41983767</v>
      </c>
      <c r="G4519">
        <v>41983798</v>
      </c>
      <c r="H4519">
        <v>41983767</v>
      </c>
      <c r="I4519">
        <v>41983798</v>
      </c>
    </row>
    <row r="4520" spans="1:9" x14ac:dyDescent="0.2">
      <c r="A4520" s="1" t="str">
        <f>"DCAF4L2"</f>
        <v>DCAF4L2</v>
      </c>
      <c r="B4520" t="s">
        <v>14</v>
      </c>
      <c r="C4520" t="s">
        <v>30</v>
      </c>
      <c r="D4520" t="s">
        <v>11</v>
      </c>
      <c r="E4520" t="s">
        <v>12</v>
      </c>
      <c r="F4520">
        <v>88886236</v>
      </c>
      <c r="G4520">
        <v>88886256</v>
      </c>
      <c r="H4520">
        <v>88886209</v>
      </c>
      <c r="I4520">
        <v>88886227</v>
      </c>
    </row>
    <row r="4521" spans="1:9" x14ac:dyDescent="0.2">
      <c r="A4521" s="1" t="str">
        <f>"DCAF5"</f>
        <v>DCAF5</v>
      </c>
      <c r="B4521" t="s">
        <v>14</v>
      </c>
      <c r="C4521" t="s">
        <v>41</v>
      </c>
      <c r="D4521" t="s">
        <v>11</v>
      </c>
      <c r="E4521" t="s">
        <v>12</v>
      </c>
      <c r="F4521">
        <v>69619823</v>
      </c>
      <c r="G4521">
        <v>69619879</v>
      </c>
      <c r="H4521">
        <v>69619689</v>
      </c>
      <c r="I4521">
        <v>69619749</v>
      </c>
    </row>
    <row r="4522" spans="1:9" x14ac:dyDescent="0.2">
      <c r="A4522" s="1" t="str">
        <f>"DCAF6"</f>
        <v>DCAF6</v>
      </c>
      <c r="B4522" t="s">
        <v>14</v>
      </c>
      <c r="C4522" t="s">
        <v>19</v>
      </c>
      <c r="D4522" t="s">
        <v>17</v>
      </c>
      <c r="E4522" t="s">
        <v>12</v>
      </c>
      <c r="F4522">
        <v>167905894</v>
      </c>
      <c r="G4522">
        <v>167905954</v>
      </c>
      <c r="H4522">
        <v>167906109</v>
      </c>
      <c r="I4522">
        <v>167906124</v>
      </c>
    </row>
    <row r="4523" spans="1:9" x14ac:dyDescent="0.2">
      <c r="A4523" s="1" t="str">
        <f>"DCAF7"</f>
        <v>DCAF7</v>
      </c>
      <c r="B4523" t="s">
        <v>14</v>
      </c>
      <c r="C4523" t="s">
        <v>28</v>
      </c>
      <c r="D4523" t="s">
        <v>17</v>
      </c>
      <c r="E4523" t="s">
        <v>12</v>
      </c>
      <c r="F4523">
        <v>61627814</v>
      </c>
      <c r="G4523">
        <v>61627871</v>
      </c>
      <c r="H4523">
        <v>61627916</v>
      </c>
      <c r="I4523">
        <v>61627978</v>
      </c>
    </row>
    <row r="4524" spans="1:9" x14ac:dyDescent="0.2">
      <c r="A4524" s="1" t="str">
        <f>"DCAF8"</f>
        <v>DCAF8</v>
      </c>
      <c r="B4524" t="s">
        <v>9</v>
      </c>
      <c r="C4524" t="s">
        <v>19</v>
      </c>
      <c r="D4524" t="s">
        <v>11</v>
      </c>
      <c r="E4524" t="s">
        <v>12</v>
      </c>
      <c r="F4524">
        <v>160254913</v>
      </c>
      <c r="G4524">
        <v>160254943</v>
      </c>
      <c r="H4524">
        <v>160254913</v>
      </c>
      <c r="I4524">
        <v>160254943</v>
      </c>
    </row>
    <row r="4525" spans="1:9" x14ac:dyDescent="0.2">
      <c r="A4525" s="1" t="str">
        <f>"DCAF8"</f>
        <v>DCAF8</v>
      </c>
      <c r="B4525" t="s">
        <v>13</v>
      </c>
      <c r="C4525" t="s">
        <v>19</v>
      </c>
      <c r="D4525" t="s">
        <v>11</v>
      </c>
      <c r="E4525" t="s">
        <v>12</v>
      </c>
      <c r="F4525">
        <v>160232230</v>
      </c>
      <c r="G4525">
        <v>160232284</v>
      </c>
      <c r="H4525">
        <v>160232230</v>
      </c>
      <c r="I4525">
        <v>160232284</v>
      </c>
    </row>
    <row r="4526" spans="1:9" x14ac:dyDescent="0.2">
      <c r="A4526" s="1" t="str">
        <f>"DCAF8L1"</f>
        <v>DCAF8L1</v>
      </c>
      <c r="B4526" t="s">
        <v>14</v>
      </c>
      <c r="C4526" t="s">
        <v>37</v>
      </c>
      <c r="D4526" t="s">
        <v>11</v>
      </c>
      <c r="E4526" t="s">
        <v>12</v>
      </c>
      <c r="F4526">
        <v>27999554</v>
      </c>
      <c r="G4526">
        <v>27999590</v>
      </c>
      <c r="H4526">
        <v>27999554</v>
      </c>
      <c r="I4526">
        <v>27999590</v>
      </c>
    </row>
    <row r="4527" spans="1:9" x14ac:dyDescent="0.2">
      <c r="A4527" s="1" t="str">
        <f>"DCAF8L2"</f>
        <v>DCAF8L2</v>
      </c>
      <c r="B4527" t="s">
        <v>14</v>
      </c>
      <c r="C4527" t="s">
        <v>37</v>
      </c>
      <c r="D4527" t="s">
        <v>17</v>
      </c>
      <c r="E4527" t="s">
        <v>67</v>
      </c>
      <c r="F4527">
        <v>27608445</v>
      </c>
      <c r="G4527">
        <v>27608470</v>
      </c>
      <c r="H4527">
        <v>27608490</v>
      </c>
      <c r="I4527">
        <v>27608510</v>
      </c>
    </row>
    <row r="4528" spans="1:9" x14ac:dyDescent="0.2">
      <c r="A4528" s="1" t="str">
        <f>"DCAKD"</f>
        <v>DCAKD</v>
      </c>
      <c r="B4528" t="s">
        <v>9</v>
      </c>
      <c r="C4528" t="s">
        <v>28</v>
      </c>
      <c r="D4528" t="s">
        <v>11</v>
      </c>
      <c r="E4528" t="s">
        <v>12</v>
      </c>
      <c r="F4528">
        <v>43128943</v>
      </c>
      <c r="G4528">
        <v>43129036</v>
      </c>
      <c r="H4528">
        <v>43128943</v>
      </c>
      <c r="I4528">
        <v>43129036</v>
      </c>
    </row>
    <row r="4529" spans="1:9" x14ac:dyDescent="0.2">
      <c r="A4529" s="1" t="str">
        <f>"DCAKD"</f>
        <v>DCAKD</v>
      </c>
      <c r="B4529" t="s">
        <v>13</v>
      </c>
      <c r="C4529" t="s">
        <v>28</v>
      </c>
      <c r="D4529" t="s">
        <v>11</v>
      </c>
      <c r="E4529" t="s">
        <v>12</v>
      </c>
      <c r="F4529">
        <v>43138463</v>
      </c>
      <c r="G4529">
        <v>43138505</v>
      </c>
      <c r="H4529">
        <v>43138463</v>
      </c>
      <c r="I4529">
        <v>43138505</v>
      </c>
    </row>
    <row r="4530" spans="1:9" x14ac:dyDescent="0.2">
      <c r="A4530" s="1" t="str">
        <f>"DCBLD1"</f>
        <v>DCBLD1</v>
      </c>
      <c r="B4530" t="s">
        <v>14</v>
      </c>
      <c r="C4530" t="s">
        <v>32</v>
      </c>
      <c r="D4530" t="s">
        <v>17</v>
      </c>
      <c r="E4530" t="s">
        <v>12</v>
      </c>
      <c r="F4530">
        <v>117803797</v>
      </c>
      <c r="G4530">
        <v>117803844</v>
      </c>
      <c r="H4530">
        <v>117803847</v>
      </c>
      <c r="I4530">
        <v>117803869</v>
      </c>
    </row>
    <row r="4531" spans="1:9" x14ac:dyDescent="0.2">
      <c r="A4531" s="1" t="str">
        <f>"DCBLD2"</f>
        <v>DCBLD2</v>
      </c>
      <c r="B4531" t="s">
        <v>14</v>
      </c>
      <c r="C4531" t="s">
        <v>22</v>
      </c>
      <c r="D4531" t="s">
        <v>11</v>
      </c>
      <c r="E4531" t="s">
        <v>12</v>
      </c>
      <c r="F4531">
        <v>98620500</v>
      </c>
      <c r="G4531">
        <v>98620547</v>
      </c>
      <c r="H4531">
        <v>98620500</v>
      </c>
      <c r="I4531">
        <v>98620547</v>
      </c>
    </row>
    <row r="4532" spans="1:9" x14ac:dyDescent="0.2">
      <c r="A4532" s="1" t="str">
        <f>"DCC"</f>
        <v>DCC</v>
      </c>
      <c r="B4532" t="s">
        <v>14</v>
      </c>
      <c r="C4532" t="s">
        <v>43</v>
      </c>
      <c r="D4532" t="s">
        <v>17</v>
      </c>
      <c r="E4532" t="s">
        <v>12</v>
      </c>
      <c r="F4532">
        <v>49866551</v>
      </c>
      <c r="G4532">
        <v>49866576</v>
      </c>
      <c r="H4532">
        <v>49866496</v>
      </c>
      <c r="I4532">
        <v>49866548</v>
      </c>
    </row>
    <row r="4533" spans="1:9" x14ac:dyDescent="0.2">
      <c r="A4533" s="1" t="str">
        <f>"DCD"</f>
        <v>DCD</v>
      </c>
      <c r="B4533" t="s">
        <v>14</v>
      </c>
      <c r="C4533" t="s">
        <v>16</v>
      </c>
      <c r="D4533" t="s">
        <v>11</v>
      </c>
      <c r="E4533" t="s">
        <v>12</v>
      </c>
      <c r="F4533">
        <v>55042140</v>
      </c>
      <c r="G4533">
        <v>55042153</v>
      </c>
      <c r="H4533">
        <v>55042140</v>
      </c>
      <c r="I4533">
        <v>55042153</v>
      </c>
    </row>
    <row r="4534" spans="1:9" x14ac:dyDescent="0.2">
      <c r="A4534" s="1" t="str">
        <f>"DCDC1"</f>
        <v>DCDC1</v>
      </c>
      <c r="B4534" t="s">
        <v>14</v>
      </c>
      <c r="C4534" t="s">
        <v>27</v>
      </c>
      <c r="D4534" t="s">
        <v>11</v>
      </c>
      <c r="E4534" t="s">
        <v>12</v>
      </c>
      <c r="F4534">
        <v>31391276</v>
      </c>
      <c r="G4534">
        <v>31391292</v>
      </c>
      <c r="H4534">
        <v>31391276</v>
      </c>
      <c r="I4534">
        <v>31391292</v>
      </c>
    </row>
    <row r="4535" spans="1:9" x14ac:dyDescent="0.2">
      <c r="A4535" s="1" t="str">
        <f>"DCDC2"</f>
        <v>DCDC2</v>
      </c>
      <c r="B4535" t="s">
        <v>14</v>
      </c>
      <c r="C4535" t="s">
        <v>32</v>
      </c>
      <c r="D4535" t="s">
        <v>11</v>
      </c>
      <c r="E4535" t="s">
        <v>12</v>
      </c>
      <c r="F4535">
        <v>24358146</v>
      </c>
      <c r="G4535">
        <v>24358176</v>
      </c>
      <c r="H4535">
        <v>24358264</v>
      </c>
      <c r="I4535">
        <v>24358295</v>
      </c>
    </row>
    <row r="4536" spans="1:9" x14ac:dyDescent="0.2">
      <c r="A4536" s="1" t="str">
        <f>"DCDC2B"</f>
        <v>DCDC2B</v>
      </c>
      <c r="B4536" t="s">
        <v>14</v>
      </c>
      <c r="C4536" t="s">
        <v>19</v>
      </c>
      <c r="D4536" t="s">
        <v>17</v>
      </c>
      <c r="E4536" t="s">
        <v>12</v>
      </c>
      <c r="F4536">
        <v>32674675</v>
      </c>
      <c r="G4536">
        <v>32674701</v>
      </c>
      <c r="H4536">
        <v>32674675</v>
      </c>
      <c r="I4536">
        <v>32674701</v>
      </c>
    </row>
    <row r="4537" spans="1:9" x14ac:dyDescent="0.2">
      <c r="A4537" s="1" t="str">
        <f>"DCDC2C"</f>
        <v>DCDC2C</v>
      </c>
      <c r="B4537" t="s">
        <v>14</v>
      </c>
      <c r="C4537" t="s">
        <v>26</v>
      </c>
      <c r="D4537" t="s">
        <v>17</v>
      </c>
      <c r="E4537" t="s">
        <v>12</v>
      </c>
      <c r="F4537">
        <v>3751162</v>
      </c>
      <c r="G4537">
        <v>3751169</v>
      </c>
      <c r="H4537">
        <v>3751162</v>
      </c>
      <c r="I4537">
        <v>3751169</v>
      </c>
    </row>
    <row r="4538" spans="1:9" x14ac:dyDescent="0.2">
      <c r="A4538" s="1" t="str">
        <f>"DCDC5"</f>
        <v>DCDC5</v>
      </c>
      <c r="B4538" t="s">
        <v>14</v>
      </c>
      <c r="C4538" t="s">
        <v>27</v>
      </c>
      <c r="D4538" t="s">
        <v>11</v>
      </c>
      <c r="E4538" t="s">
        <v>12</v>
      </c>
      <c r="F4538">
        <v>31014065</v>
      </c>
      <c r="G4538">
        <v>31014073</v>
      </c>
      <c r="H4538">
        <v>31014065</v>
      </c>
      <c r="I4538">
        <v>31014073</v>
      </c>
    </row>
    <row r="4539" spans="1:9" x14ac:dyDescent="0.2">
      <c r="A4539" s="1" t="str">
        <f>"DCHS1"</f>
        <v>DCHS1</v>
      </c>
      <c r="B4539" t="s">
        <v>14</v>
      </c>
      <c r="C4539" t="s">
        <v>27</v>
      </c>
      <c r="D4539" t="s">
        <v>11</v>
      </c>
      <c r="E4539" t="s">
        <v>12</v>
      </c>
      <c r="F4539">
        <v>6677018</v>
      </c>
      <c r="G4539">
        <v>6677065</v>
      </c>
      <c r="H4539">
        <v>6676953</v>
      </c>
      <c r="I4539">
        <v>6676992</v>
      </c>
    </row>
    <row r="4540" spans="1:9" x14ac:dyDescent="0.2">
      <c r="A4540" s="1" t="str">
        <f>"DCHS2"</f>
        <v>DCHS2</v>
      </c>
      <c r="B4540" t="s">
        <v>317</v>
      </c>
      <c r="C4540" t="s">
        <v>23</v>
      </c>
      <c r="D4540" t="s">
        <v>11</v>
      </c>
      <c r="E4540" t="s">
        <v>20</v>
      </c>
      <c r="F4540">
        <v>155312448</v>
      </c>
      <c r="G4540">
        <v>155312448</v>
      </c>
      <c r="H4540">
        <v>155312448</v>
      </c>
      <c r="I4540">
        <v>155312448</v>
      </c>
    </row>
    <row r="4541" spans="1:9" x14ac:dyDescent="0.2">
      <c r="A4541" s="1" t="str">
        <f>"DCK"</f>
        <v>DCK</v>
      </c>
      <c r="B4541" t="s">
        <v>14</v>
      </c>
      <c r="C4541" t="s">
        <v>23</v>
      </c>
      <c r="D4541" t="s">
        <v>17</v>
      </c>
      <c r="E4541" t="s">
        <v>12</v>
      </c>
      <c r="F4541">
        <v>71859258</v>
      </c>
      <c r="G4541">
        <v>71859372</v>
      </c>
      <c r="H4541">
        <v>71859385</v>
      </c>
      <c r="I4541">
        <v>71859407</v>
      </c>
    </row>
    <row r="4542" spans="1:9" x14ac:dyDescent="0.2">
      <c r="A4542" s="1" t="str">
        <f>"DCLK1"</f>
        <v>DCLK1</v>
      </c>
      <c r="B4542" t="s">
        <v>318</v>
      </c>
      <c r="C4542" t="s">
        <v>39</v>
      </c>
      <c r="D4542" t="s">
        <v>11</v>
      </c>
      <c r="E4542" t="s">
        <v>35</v>
      </c>
      <c r="F4542">
        <v>36705564</v>
      </c>
      <c r="G4542">
        <v>36705583</v>
      </c>
      <c r="H4542">
        <v>36705425</v>
      </c>
      <c r="I4542">
        <v>36705445</v>
      </c>
    </row>
    <row r="4543" spans="1:9" x14ac:dyDescent="0.2">
      <c r="A4543" s="1" t="str">
        <f>"DCLK2"</f>
        <v>DCLK2</v>
      </c>
      <c r="B4543" t="s">
        <v>14</v>
      </c>
      <c r="C4543" t="s">
        <v>23</v>
      </c>
      <c r="D4543" t="s">
        <v>17</v>
      </c>
      <c r="E4543" t="s">
        <v>12</v>
      </c>
      <c r="F4543">
        <v>150999578</v>
      </c>
      <c r="G4543">
        <v>150999603</v>
      </c>
      <c r="H4543">
        <v>150999439</v>
      </c>
      <c r="I4543">
        <v>150999471</v>
      </c>
    </row>
    <row r="4544" spans="1:9" x14ac:dyDescent="0.2">
      <c r="A4544" s="1" t="str">
        <f>"DCLK3"</f>
        <v>DCLK3</v>
      </c>
      <c r="B4544" t="s">
        <v>14</v>
      </c>
      <c r="C4544" t="s">
        <v>22</v>
      </c>
      <c r="D4544" t="s">
        <v>11</v>
      </c>
      <c r="E4544" t="s">
        <v>12</v>
      </c>
      <c r="F4544">
        <v>36781340</v>
      </c>
      <c r="G4544">
        <v>36781349</v>
      </c>
      <c r="H4544">
        <v>36781340</v>
      </c>
      <c r="I4544">
        <v>36781349</v>
      </c>
    </row>
    <row r="4545" spans="1:9" x14ac:dyDescent="0.2">
      <c r="A4545" s="1" t="str">
        <f>"DCLRE1A"</f>
        <v>DCLRE1A</v>
      </c>
      <c r="B4545" t="s">
        <v>14</v>
      </c>
      <c r="C4545" t="s">
        <v>15</v>
      </c>
      <c r="D4545" t="s">
        <v>11</v>
      </c>
      <c r="E4545" t="s">
        <v>12</v>
      </c>
      <c r="F4545">
        <v>115614127</v>
      </c>
      <c r="G4545">
        <v>115614176</v>
      </c>
      <c r="H4545">
        <v>115613940</v>
      </c>
      <c r="I4545">
        <v>115613959</v>
      </c>
    </row>
    <row r="4546" spans="1:9" x14ac:dyDescent="0.2">
      <c r="A4546" s="1" t="str">
        <f>"DCLRE1B"</f>
        <v>DCLRE1B</v>
      </c>
      <c r="B4546" t="s">
        <v>14</v>
      </c>
      <c r="C4546" t="s">
        <v>19</v>
      </c>
      <c r="D4546" t="s">
        <v>17</v>
      </c>
      <c r="E4546" t="s">
        <v>12</v>
      </c>
      <c r="F4546">
        <v>114447912</v>
      </c>
      <c r="G4546">
        <v>114448014</v>
      </c>
      <c r="H4546">
        <v>114448027</v>
      </c>
      <c r="I4546">
        <v>114448070</v>
      </c>
    </row>
    <row r="4547" spans="1:9" x14ac:dyDescent="0.2">
      <c r="A4547" s="1" t="str">
        <f>"DCLRE1C"</f>
        <v>DCLRE1C</v>
      </c>
      <c r="B4547" t="s">
        <v>14</v>
      </c>
      <c r="C4547" t="s">
        <v>15</v>
      </c>
      <c r="D4547" t="s">
        <v>11</v>
      </c>
      <c r="E4547" t="s">
        <v>12</v>
      </c>
      <c r="F4547">
        <v>14996023</v>
      </c>
      <c r="G4547">
        <v>14996069</v>
      </c>
      <c r="H4547">
        <v>14996070</v>
      </c>
      <c r="I4547">
        <v>14996102</v>
      </c>
    </row>
    <row r="4548" spans="1:9" x14ac:dyDescent="0.2">
      <c r="A4548" s="1" t="str">
        <f>"DCN"</f>
        <v>DCN</v>
      </c>
      <c r="B4548" t="s">
        <v>9</v>
      </c>
      <c r="C4548" t="s">
        <v>16</v>
      </c>
      <c r="D4548" t="s">
        <v>11</v>
      </c>
      <c r="E4548" t="s">
        <v>12</v>
      </c>
      <c r="F4548">
        <v>91576561</v>
      </c>
      <c r="G4548">
        <v>91576613</v>
      </c>
      <c r="H4548">
        <v>91576561</v>
      </c>
      <c r="I4548">
        <v>91576613</v>
      </c>
    </row>
    <row r="4549" spans="1:9" x14ac:dyDescent="0.2">
      <c r="A4549" s="1" t="str">
        <f>"DCN"</f>
        <v>DCN</v>
      </c>
      <c r="B4549" t="s">
        <v>13</v>
      </c>
      <c r="C4549" t="s">
        <v>16</v>
      </c>
      <c r="D4549" t="s">
        <v>11</v>
      </c>
      <c r="E4549" t="s">
        <v>12</v>
      </c>
      <c r="F4549">
        <v>91573249</v>
      </c>
      <c r="G4549">
        <v>91573308</v>
      </c>
      <c r="H4549">
        <v>91573249</v>
      </c>
      <c r="I4549">
        <v>91573308</v>
      </c>
    </row>
    <row r="4550" spans="1:9" x14ac:dyDescent="0.2">
      <c r="A4550" s="1" t="str">
        <f>"DCP1A"</f>
        <v>DCP1A</v>
      </c>
      <c r="B4550" t="s">
        <v>14</v>
      </c>
      <c r="C4550" t="s">
        <v>22</v>
      </c>
      <c r="D4550" t="s">
        <v>11</v>
      </c>
      <c r="E4550" t="s">
        <v>12</v>
      </c>
      <c r="F4550">
        <v>53381539</v>
      </c>
      <c r="G4550">
        <v>53381577</v>
      </c>
      <c r="H4550">
        <v>53381539</v>
      </c>
      <c r="I4550">
        <v>53381577</v>
      </c>
    </row>
    <row r="4551" spans="1:9" x14ac:dyDescent="0.2">
      <c r="A4551" s="1" t="str">
        <f>"DCP1B"</f>
        <v>DCP1B</v>
      </c>
      <c r="B4551" t="s">
        <v>14</v>
      </c>
      <c r="C4551" t="s">
        <v>16</v>
      </c>
      <c r="D4551" t="s">
        <v>11</v>
      </c>
      <c r="E4551" t="s">
        <v>12</v>
      </c>
      <c r="F4551">
        <v>2113583</v>
      </c>
      <c r="G4551">
        <v>2113658</v>
      </c>
      <c r="H4551">
        <v>2113693</v>
      </c>
      <c r="I4551">
        <v>2113732</v>
      </c>
    </row>
    <row r="4552" spans="1:9" x14ac:dyDescent="0.2">
      <c r="A4552" s="1" t="str">
        <f>"DCP2"</f>
        <v>DCP2</v>
      </c>
      <c r="B4552" t="s">
        <v>14</v>
      </c>
      <c r="C4552" t="s">
        <v>46</v>
      </c>
      <c r="D4552" t="s">
        <v>17</v>
      </c>
      <c r="E4552" t="s">
        <v>12</v>
      </c>
      <c r="F4552">
        <v>112312454</v>
      </c>
      <c r="G4552">
        <v>112312535</v>
      </c>
      <c r="H4552">
        <v>112312416</v>
      </c>
      <c r="I4552">
        <v>112312440</v>
      </c>
    </row>
    <row r="4553" spans="1:9" x14ac:dyDescent="0.2">
      <c r="A4553" s="1" t="str">
        <f>"DCPS"</f>
        <v>DCPS</v>
      </c>
      <c r="B4553" t="s">
        <v>14</v>
      </c>
      <c r="C4553" t="s">
        <v>27</v>
      </c>
      <c r="D4553" t="s">
        <v>17</v>
      </c>
      <c r="E4553" t="s">
        <v>12</v>
      </c>
      <c r="F4553">
        <v>126173943</v>
      </c>
      <c r="G4553">
        <v>126173969</v>
      </c>
      <c r="H4553">
        <v>126173600</v>
      </c>
      <c r="I4553">
        <v>126173622</v>
      </c>
    </row>
    <row r="4554" spans="1:9" x14ac:dyDescent="0.2">
      <c r="A4554" s="1" t="str">
        <f>"DCST1"</f>
        <v>DCST1</v>
      </c>
      <c r="B4554" t="s">
        <v>14</v>
      </c>
      <c r="C4554" t="s">
        <v>19</v>
      </c>
      <c r="D4554" t="s">
        <v>17</v>
      </c>
      <c r="E4554" t="s">
        <v>12</v>
      </c>
      <c r="F4554">
        <v>155006382</v>
      </c>
      <c r="G4554">
        <v>155006409</v>
      </c>
      <c r="H4554">
        <v>155006382</v>
      </c>
      <c r="I4554">
        <v>155006409</v>
      </c>
    </row>
    <row r="4555" spans="1:9" x14ac:dyDescent="0.2">
      <c r="A4555" s="1" t="str">
        <f>"DCST2"</f>
        <v>DCST2</v>
      </c>
      <c r="B4555" t="s">
        <v>9</v>
      </c>
      <c r="C4555" t="s">
        <v>19</v>
      </c>
      <c r="D4555" t="s">
        <v>11</v>
      </c>
      <c r="E4555" t="s">
        <v>12</v>
      </c>
      <c r="F4555">
        <v>154999202</v>
      </c>
      <c r="G4555">
        <v>154999220</v>
      </c>
      <c r="H4555">
        <v>154999202</v>
      </c>
      <c r="I4555">
        <v>154999220</v>
      </c>
    </row>
    <row r="4556" spans="1:9" x14ac:dyDescent="0.2">
      <c r="A4556" s="1" t="str">
        <f>"DCST2"</f>
        <v>DCST2</v>
      </c>
      <c r="B4556" t="s">
        <v>13</v>
      </c>
      <c r="C4556" t="s">
        <v>19</v>
      </c>
      <c r="D4556" t="s">
        <v>11</v>
      </c>
      <c r="E4556" t="s">
        <v>12</v>
      </c>
      <c r="F4556">
        <v>155006224</v>
      </c>
      <c r="G4556">
        <v>155006233</v>
      </c>
      <c r="H4556">
        <v>155006224</v>
      </c>
      <c r="I4556">
        <v>155006233</v>
      </c>
    </row>
    <row r="4557" spans="1:9" x14ac:dyDescent="0.2">
      <c r="A4557" s="1" t="str">
        <f>"DCSTAMP"</f>
        <v>DCSTAMP</v>
      </c>
      <c r="B4557" t="s">
        <v>14</v>
      </c>
      <c r="C4557" t="s">
        <v>30</v>
      </c>
      <c r="D4557" t="s">
        <v>17</v>
      </c>
      <c r="E4557" t="s">
        <v>12</v>
      </c>
      <c r="F4557">
        <v>105352050</v>
      </c>
      <c r="G4557">
        <v>105352056</v>
      </c>
      <c r="H4557">
        <v>105352050</v>
      </c>
      <c r="I4557">
        <v>105352056</v>
      </c>
    </row>
    <row r="4558" spans="1:9" x14ac:dyDescent="0.2">
      <c r="A4558" s="1" t="str">
        <f>"DCT"</f>
        <v>DCT</v>
      </c>
      <c r="B4558" t="s">
        <v>14</v>
      </c>
      <c r="C4558" t="s">
        <v>39</v>
      </c>
      <c r="D4558" t="s">
        <v>11</v>
      </c>
      <c r="E4558" t="s">
        <v>12</v>
      </c>
      <c r="F4558">
        <v>95131926</v>
      </c>
      <c r="G4558">
        <v>95131944</v>
      </c>
      <c r="H4558">
        <v>95131926</v>
      </c>
      <c r="I4558">
        <v>95131944</v>
      </c>
    </row>
    <row r="4559" spans="1:9" x14ac:dyDescent="0.2">
      <c r="A4559" s="1" t="str">
        <f>"DCTD"</f>
        <v>DCTD</v>
      </c>
      <c r="B4559" t="s">
        <v>14</v>
      </c>
      <c r="C4559" t="s">
        <v>23</v>
      </c>
      <c r="D4559" t="s">
        <v>11</v>
      </c>
      <c r="E4559" t="s">
        <v>12</v>
      </c>
      <c r="F4559">
        <v>183838482</v>
      </c>
      <c r="G4559">
        <v>183838552</v>
      </c>
      <c r="H4559">
        <v>183838600</v>
      </c>
      <c r="I4559">
        <v>183838655</v>
      </c>
    </row>
    <row r="4560" spans="1:9" x14ac:dyDescent="0.2">
      <c r="A4560" s="1" t="str">
        <f>"DCTN1"</f>
        <v>DCTN1</v>
      </c>
      <c r="B4560" t="s">
        <v>14</v>
      </c>
      <c r="C4560" t="s">
        <v>26</v>
      </c>
      <c r="D4560" t="s">
        <v>11</v>
      </c>
      <c r="E4560" t="s">
        <v>12</v>
      </c>
      <c r="F4560">
        <v>74618964</v>
      </c>
      <c r="G4560">
        <v>74619002</v>
      </c>
      <c r="H4560">
        <v>74618964</v>
      </c>
      <c r="I4560">
        <v>74619002</v>
      </c>
    </row>
    <row r="4561" spans="1:9" x14ac:dyDescent="0.2">
      <c r="A4561" s="1" t="str">
        <f>"DCTN2"</f>
        <v>DCTN2</v>
      </c>
      <c r="B4561" t="s">
        <v>14</v>
      </c>
      <c r="C4561" t="s">
        <v>16</v>
      </c>
      <c r="D4561" t="s">
        <v>11</v>
      </c>
      <c r="E4561" t="s">
        <v>12</v>
      </c>
      <c r="F4561">
        <v>57940918</v>
      </c>
      <c r="G4561">
        <v>57941002</v>
      </c>
      <c r="H4561">
        <v>57941004</v>
      </c>
      <c r="I4561">
        <v>57941022</v>
      </c>
    </row>
    <row r="4562" spans="1:9" x14ac:dyDescent="0.2">
      <c r="A4562" s="1" t="str">
        <f>"DCTN3"</f>
        <v>DCTN3</v>
      </c>
      <c r="B4562" t="s">
        <v>14</v>
      </c>
      <c r="C4562" t="s">
        <v>24</v>
      </c>
      <c r="D4562" t="s">
        <v>11</v>
      </c>
      <c r="E4562" t="s">
        <v>12</v>
      </c>
      <c r="F4562">
        <v>34620462</v>
      </c>
      <c r="G4562">
        <v>34620513</v>
      </c>
      <c r="H4562">
        <v>34620462</v>
      </c>
      <c r="I4562">
        <v>34620513</v>
      </c>
    </row>
    <row r="4563" spans="1:9" x14ac:dyDescent="0.2">
      <c r="A4563" s="1" t="str">
        <f>"DCTN4"</f>
        <v>DCTN4</v>
      </c>
      <c r="B4563" t="s">
        <v>14</v>
      </c>
      <c r="C4563" t="s">
        <v>46</v>
      </c>
      <c r="D4563" t="s">
        <v>11</v>
      </c>
      <c r="E4563" t="s">
        <v>12</v>
      </c>
      <c r="F4563">
        <v>150138551</v>
      </c>
      <c r="G4563">
        <v>150138590</v>
      </c>
      <c r="H4563">
        <v>150138246</v>
      </c>
      <c r="I4563">
        <v>150138268</v>
      </c>
    </row>
    <row r="4564" spans="1:9" x14ac:dyDescent="0.2">
      <c r="A4564" s="1" t="str">
        <f>"DCTN5"</f>
        <v>DCTN5</v>
      </c>
      <c r="B4564" t="s">
        <v>14</v>
      </c>
      <c r="C4564" t="s">
        <v>31</v>
      </c>
      <c r="D4564" t="s">
        <v>17</v>
      </c>
      <c r="E4564" t="s">
        <v>12</v>
      </c>
      <c r="F4564">
        <v>23652773</v>
      </c>
      <c r="G4564">
        <v>23652842</v>
      </c>
      <c r="H4564">
        <v>23652746</v>
      </c>
      <c r="I4564">
        <v>23652770</v>
      </c>
    </row>
    <row r="4565" spans="1:9" x14ac:dyDescent="0.2">
      <c r="A4565" s="1" t="str">
        <f>"DCTN6"</f>
        <v>DCTN6</v>
      </c>
      <c r="B4565" t="s">
        <v>14</v>
      </c>
      <c r="C4565" t="s">
        <v>30</v>
      </c>
      <c r="D4565" t="s">
        <v>17</v>
      </c>
      <c r="E4565" t="s">
        <v>12</v>
      </c>
      <c r="F4565">
        <v>30013875</v>
      </c>
      <c r="G4565">
        <v>30013900</v>
      </c>
      <c r="H4565">
        <v>30013858</v>
      </c>
      <c r="I4565">
        <v>30013872</v>
      </c>
    </row>
    <row r="4566" spans="1:9" x14ac:dyDescent="0.2">
      <c r="A4566" s="1" t="str">
        <f>"DCTPP1"</f>
        <v>DCTPP1</v>
      </c>
      <c r="B4566" t="s">
        <v>14</v>
      </c>
      <c r="C4566" t="s">
        <v>31</v>
      </c>
      <c r="D4566" t="s">
        <v>11</v>
      </c>
      <c r="E4566" t="s">
        <v>12</v>
      </c>
      <c r="F4566">
        <v>30441293</v>
      </c>
      <c r="G4566">
        <v>30441370</v>
      </c>
      <c r="H4566">
        <v>30441293</v>
      </c>
      <c r="I4566">
        <v>30441370</v>
      </c>
    </row>
    <row r="4567" spans="1:9" x14ac:dyDescent="0.2">
      <c r="A4567" s="1" t="str">
        <f>"DCUN1D1"</f>
        <v>DCUN1D1</v>
      </c>
      <c r="B4567" t="s">
        <v>14</v>
      </c>
      <c r="C4567" t="s">
        <v>22</v>
      </c>
      <c r="D4567" t="s">
        <v>11</v>
      </c>
      <c r="E4567" t="s">
        <v>12</v>
      </c>
      <c r="F4567">
        <v>182698319</v>
      </c>
      <c r="G4567">
        <v>182698341</v>
      </c>
      <c r="H4567">
        <v>182698348</v>
      </c>
      <c r="I4567">
        <v>182698368</v>
      </c>
    </row>
    <row r="4568" spans="1:9" x14ac:dyDescent="0.2">
      <c r="A4568" s="1" t="str">
        <f>"DCUN1D2"</f>
        <v>DCUN1D2</v>
      </c>
      <c r="B4568" t="s">
        <v>14</v>
      </c>
      <c r="C4568" t="s">
        <v>39</v>
      </c>
      <c r="D4568" t="s">
        <v>11</v>
      </c>
      <c r="E4568" t="s">
        <v>12</v>
      </c>
      <c r="F4568">
        <v>114144998</v>
      </c>
      <c r="G4568">
        <v>114145038</v>
      </c>
      <c r="H4568">
        <v>114145253</v>
      </c>
      <c r="I4568">
        <v>114145286</v>
      </c>
    </row>
    <row r="4569" spans="1:9" x14ac:dyDescent="0.2">
      <c r="A4569" s="1" t="str">
        <f>"DCUN1D3"</f>
        <v>DCUN1D3</v>
      </c>
      <c r="B4569" t="s">
        <v>14</v>
      </c>
      <c r="C4569" t="s">
        <v>31</v>
      </c>
      <c r="D4569" t="s">
        <v>11</v>
      </c>
      <c r="E4569" t="s">
        <v>12</v>
      </c>
      <c r="F4569">
        <v>20911641</v>
      </c>
      <c r="G4569">
        <v>20911720</v>
      </c>
      <c r="H4569">
        <v>20911616</v>
      </c>
      <c r="I4569">
        <v>20911628</v>
      </c>
    </row>
    <row r="4570" spans="1:9" x14ac:dyDescent="0.2">
      <c r="A4570" s="1" t="str">
        <f>"DCUN1D4"</f>
        <v>DCUN1D4</v>
      </c>
      <c r="B4570" t="s">
        <v>14</v>
      </c>
      <c r="C4570" t="s">
        <v>23</v>
      </c>
      <c r="D4570" t="s">
        <v>17</v>
      </c>
      <c r="E4570" t="s">
        <v>12</v>
      </c>
      <c r="F4570">
        <v>52709284</v>
      </c>
      <c r="G4570">
        <v>52709345</v>
      </c>
      <c r="H4570">
        <v>52709696</v>
      </c>
      <c r="I4570">
        <v>52709725</v>
      </c>
    </row>
    <row r="4571" spans="1:9" x14ac:dyDescent="0.2">
      <c r="A4571" s="1" t="str">
        <f>"DCUN1D5"</f>
        <v>DCUN1D5</v>
      </c>
      <c r="B4571" t="s">
        <v>14</v>
      </c>
      <c r="C4571" t="s">
        <v>27</v>
      </c>
      <c r="D4571" t="s">
        <v>11</v>
      </c>
      <c r="E4571" t="s">
        <v>12</v>
      </c>
      <c r="F4571">
        <v>102962874</v>
      </c>
      <c r="G4571">
        <v>102962927</v>
      </c>
      <c r="H4571">
        <v>102962818</v>
      </c>
      <c r="I4571">
        <v>102962842</v>
      </c>
    </row>
    <row r="4572" spans="1:9" x14ac:dyDescent="0.2">
      <c r="A4572" s="1" t="str">
        <f>"DCX"</f>
        <v>DCX</v>
      </c>
      <c r="B4572" t="s">
        <v>14</v>
      </c>
      <c r="C4572" t="s">
        <v>37</v>
      </c>
      <c r="D4572" t="s">
        <v>11</v>
      </c>
      <c r="E4572" t="s">
        <v>12</v>
      </c>
      <c r="F4572">
        <v>110655391</v>
      </c>
      <c r="G4572">
        <v>110655449</v>
      </c>
      <c r="H4572">
        <v>110655391</v>
      </c>
      <c r="I4572">
        <v>110655449</v>
      </c>
    </row>
    <row r="4573" spans="1:9" x14ac:dyDescent="0.2">
      <c r="A4573" s="1" t="str">
        <f>"DCXR"</f>
        <v>DCXR</v>
      </c>
      <c r="B4573" t="s">
        <v>14</v>
      </c>
      <c r="C4573" t="s">
        <v>28</v>
      </c>
      <c r="D4573" t="s">
        <v>11</v>
      </c>
      <c r="E4573" t="s">
        <v>12</v>
      </c>
      <c r="F4573">
        <v>79995559</v>
      </c>
      <c r="G4573">
        <v>79995584</v>
      </c>
      <c r="H4573">
        <v>79995559</v>
      </c>
      <c r="I4573">
        <v>79995584</v>
      </c>
    </row>
    <row r="4574" spans="1:9" x14ac:dyDescent="0.2">
      <c r="A4574" s="1" t="str">
        <f>"DDA1"</f>
        <v>DDA1</v>
      </c>
      <c r="B4574" t="s">
        <v>14</v>
      </c>
      <c r="C4574" t="s">
        <v>10</v>
      </c>
      <c r="D4574" t="s">
        <v>17</v>
      </c>
      <c r="E4574" t="s">
        <v>12</v>
      </c>
      <c r="F4574">
        <v>17420340</v>
      </c>
      <c r="G4574">
        <v>17420383</v>
      </c>
      <c r="H4574">
        <v>17420340</v>
      </c>
      <c r="I4574">
        <v>17420383</v>
      </c>
    </row>
    <row r="4575" spans="1:9" x14ac:dyDescent="0.2">
      <c r="A4575" s="1" t="str">
        <f>"DDAH1"</f>
        <v>DDAH1</v>
      </c>
      <c r="B4575" t="s">
        <v>14</v>
      </c>
      <c r="C4575" t="s">
        <v>19</v>
      </c>
      <c r="D4575" t="s">
        <v>11</v>
      </c>
      <c r="E4575" t="s">
        <v>12</v>
      </c>
      <c r="F4575">
        <v>85930830</v>
      </c>
      <c r="G4575">
        <v>85930858</v>
      </c>
      <c r="H4575">
        <v>85930830</v>
      </c>
      <c r="I4575">
        <v>85930858</v>
      </c>
    </row>
    <row r="4576" spans="1:9" x14ac:dyDescent="0.2">
      <c r="A4576" s="1" t="str">
        <f>"DDAH2"</f>
        <v>DDAH2</v>
      </c>
      <c r="B4576" t="s">
        <v>14</v>
      </c>
      <c r="C4576" t="s">
        <v>32</v>
      </c>
      <c r="D4576" t="s">
        <v>11</v>
      </c>
      <c r="E4576" t="s">
        <v>12</v>
      </c>
      <c r="F4576">
        <v>31697977</v>
      </c>
      <c r="G4576">
        <v>31698052</v>
      </c>
      <c r="H4576">
        <v>31697037</v>
      </c>
      <c r="I4576">
        <v>31697082</v>
      </c>
    </row>
    <row r="4577" spans="1:9" x14ac:dyDescent="0.2">
      <c r="A4577" s="1" t="str">
        <f>"DDB1"</f>
        <v>DDB1</v>
      </c>
      <c r="B4577" t="s">
        <v>9</v>
      </c>
      <c r="C4577" t="s">
        <v>27</v>
      </c>
      <c r="D4577" t="s">
        <v>11</v>
      </c>
      <c r="E4577" t="s">
        <v>12</v>
      </c>
      <c r="F4577">
        <v>61100500</v>
      </c>
      <c r="G4577">
        <v>61100672</v>
      </c>
      <c r="H4577">
        <v>61100500</v>
      </c>
      <c r="I4577">
        <v>61100672</v>
      </c>
    </row>
    <row r="4578" spans="1:9" x14ac:dyDescent="0.2">
      <c r="A4578" s="1" t="str">
        <f>"DDB1"</f>
        <v>DDB1</v>
      </c>
      <c r="B4578" t="s">
        <v>13</v>
      </c>
      <c r="C4578" t="s">
        <v>27</v>
      </c>
      <c r="D4578" t="s">
        <v>11</v>
      </c>
      <c r="E4578" t="s">
        <v>12</v>
      </c>
      <c r="F4578">
        <v>61081358</v>
      </c>
      <c r="G4578">
        <v>61081379</v>
      </c>
      <c r="H4578">
        <v>61081358</v>
      </c>
      <c r="I4578">
        <v>61081379</v>
      </c>
    </row>
    <row r="4579" spans="1:9" x14ac:dyDescent="0.2">
      <c r="A4579" s="1" t="str">
        <f>"DDB2"</f>
        <v>DDB2</v>
      </c>
      <c r="B4579" t="s">
        <v>14</v>
      </c>
      <c r="C4579" t="s">
        <v>27</v>
      </c>
      <c r="D4579" t="s">
        <v>17</v>
      </c>
      <c r="E4579" t="s">
        <v>12</v>
      </c>
      <c r="F4579">
        <v>47236584</v>
      </c>
      <c r="G4579">
        <v>47236679</v>
      </c>
      <c r="H4579">
        <v>47236489</v>
      </c>
      <c r="I4579">
        <v>47236567</v>
      </c>
    </row>
    <row r="4580" spans="1:9" x14ac:dyDescent="0.2">
      <c r="A4580" s="1" t="str">
        <f>"DDC"</f>
        <v>DDC</v>
      </c>
      <c r="B4580" t="s">
        <v>14</v>
      </c>
      <c r="C4580" t="s">
        <v>33</v>
      </c>
      <c r="D4580" t="s">
        <v>11</v>
      </c>
      <c r="E4580" t="s">
        <v>12</v>
      </c>
      <c r="F4580">
        <v>50633078</v>
      </c>
      <c r="G4580">
        <v>50633140</v>
      </c>
      <c r="H4580">
        <v>50633078</v>
      </c>
      <c r="I4580">
        <v>50633140</v>
      </c>
    </row>
    <row r="4581" spans="1:9" x14ac:dyDescent="0.2">
      <c r="A4581" s="1" t="str">
        <f>"DDHD1"</f>
        <v>DDHD1</v>
      </c>
      <c r="B4581" t="s">
        <v>14</v>
      </c>
      <c r="C4581" t="s">
        <v>41</v>
      </c>
      <c r="D4581" t="s">
        <v>11</v>
      </c>
      <c r="E4581" t="s">
        <v>12</v>
      </c>
      <c r="F4581">
        <v>53619880</v>
      </c>
      <c r="G4581">
        <v>53620056</v>
      </c>
      <c r="H4581">
        <v>53619091</v>
      </c>
      <c r="I4581">
        <v>53619109</v>
      </c>
    </row>
    <row r="4582" spans="1:9" x14ac:dyDescent="0.2">
      <c r="A4582" s="1" t="str">
        <f>"DDHD2"</f>
        <v>DDHD2</v>
      </c>
      <c r="B4582" t="s">
        <v>14</v>
      </c>
      <c r="C4582" t="s">
        <v>30</v>
      </c>
      <c r="D4582" t="s">
        <v>17</v>
      </c>
      <c r="E4582" t="s">
        <v>12</v>
      </c>
      <c r="F4582">
        <v>38089091</v>
      </c>
      <c r="G4582">
        <v>38089197</v>
      </c>
      <c r="H4582">
        <v>38089198</v>
      </c>
      <c r="I4582">
        <v>38089218</v>
      </c>
    </row>
    <row r="4583" spans="1:9" x14ac:dyDescent="0.2">
      <c r="A4583" s="1" t="str">
        <f>"DDI1"</f>
        <v>DDI1</v>
      </c>
      <c r="B4583" t="s">
        <v>14</v>
      </c>
      <c r="C4583" t="s">
        <v>27</v>
      </c>
      <c r="D4583" t="s">
        <v>17</v>
      </c>
      <c r="E4583" t="s">
        <v>12</v>
      </c>
      <c r="F4583">
        <v>103907353</v>
      </c>
      <c r="G4583">
        <v>103907371</v>
      </c>
      <c r="H4583">
        <v>103907327</v>
      </c>
      <c r="I4583">
        <v>103907344</v>
      </c>
    </row>
    <row r="4584" spans="1:9" x14ac:dyDescent="0.2">
      <c r="A4584" s="1" t="str">
        <f>"DDI2"</f>
        <v>DDI2</v>
      </c>
      <c r="B4584" t="s">
        <v>14</v>
      </c>
      <c r="C4584" t="s">
        <v>19</v>
      </c>
      <c r="D4584" t="s">
        <v>17</v>
      </c>
      <c r="E4584" t="s">
        <v>12</v>
      </c>
      <c r="F4584">
        <v>15943922</v>
      </c>
      <c r="G4584">
        <v>15943974</v>
      </c>
      <c r="H4584">
        <v>15944047</v>
      </c>
      <c r="I4584">
        <v>15944072</v>
      </c>
    </row>
    <row r="4585" spans="1:9" x14ac:dyDescent="0.2">
      <c r="A4585" s="1" t="str">
        <f>"DDIT3"</f>
        <v>DDIT3</v>
      </c>
      <c r="B4585" t="s">
        <v>14</v>
      </c>
      <c r="C4585" t="s">
        <v>16</v>
      </c>
      <c r="D4585" t="s">
        <v>11</v>
      </c>
      <c r="E4585" t="s">
        <v>12</v>
      </c>
      <c r="F4585">
        <v>57914286</v>
      </c>
      <c r="G4585">
        <v>57914304</v>
      </c>
      <c r="H4585">
        <v>57914286</v>
      </c>
      <c r="I4585">
        <v>57914304</v>
      </c>
    </row>
    <row r="4586" spans="1:9" x14ac:dyDescent="0.2">
      <c r="A4586" s="1" t="str">
        <f>"DDIT4"</f>
        <v>DDIT4</v>
      </c>
      <c r="B4586" t="s">
        <v>14</v>
      </c>
      <c r="C4586" t="s">
        <v>15</v>
      </c>
      <c r="D4586" t="s">
        <v>17</v>
      </c>
      <c r="E4586" t="s">
        <v>12</v>
      </c>
      <c r="F4586">
        <v>74033672</v>
      </c>
      <c r="G4586">
        <v>74033688</v>
      </c>
      <c r="H4586">
        <v>74033760</v>
      </c>
      <c r="I4586">
        <v>74033769</v>
      </c>
    </row>
    <row r="4587" spans="1:9" x14ac:dyDescent="0.2">
      <c r="A4587" s="1" t="str">
        <f>"DDIT4L"</f>
        <v>DDIT4L</v>
      </c>
      <c r="B4587" t="s">
        <v>14</v>
      </c>
      <c r="C4587" t="s">
        <v>23</v>
      </c>
      <c r="D4587" t="s">
        <v>11</v>
      </c>
      <c r="E4587" t="s">
        <v>12</v>
      </c>
      <c r="F4587">
        <v>101111615</v>
      </c>
      <c r="G4587">
        <v>101111632</v>
      </c>
      <c r="H4587">
        <v>101111247</v>
      </c>
      <c r="I4587">
        <v>101111264</v>
      </c>
    </row>
    <row r="4588" spans="1:9" x14ac:dyDescent="0.2">
      <c r="A4588" s="1" t="str">
        <f>"DDN"</f>
        <v>DDN</v>
      </c>
      <c r="B4588" t="s">
        <v>14</v>
      </c>
      <c r="C4588" t="s">
        <v>16</v>
      </c>
      <c r="D4588" t="s">
        <v>11</v>
      </c>
      <c r="E4588" t="s">
        <v>12</v>
      </c>
      <c r="F4588">
        <v>49393148</v>
      </c>
      <c r="G4588">
        <v>49393164</v>
      </c>
      <c r="H4588">
        <v>49393148</v>
      </c>
      <c r="I4588">
        <v>49393164</v>
      </c>
    </row>
    <row r="4589" spans="1:9" x14ac:dyDescent="0.2">
      <c r="A4589" s="1" t="str">
        <f>"DDO"</f>
        <v>DDO</v>
      </c>
      <c r="B4589" t="s">
        <v>14</v>
      </c>
      <c r="C4589" t="s">
        <v>32</v>
      </c>
      <c r="D4589" t="s">
        <v>11</v>
      </c>
      <c r="E4589" t="s">
        <v>12</v>
      </c>
      <c r="F4589">
        <v>110736742</v>
      </c>
      <c r="G4589">
        <v>110736782</v>
      </c>
      <c r="H4589">
        <v>110736735</v>
      </c>
      <c r="I4589">
        <v>110736738</v>
      </c>
    </row>
    <row r="4590" spans="1:9" x14ac:dyDescent="0.2">
      <c r="A4590" s="1" t="str">
        <f>"DDOST"</f>
        <v>DDOST</v>
      </c>
      <c r="B4590" t="s">
        <v>14</v>
      </c>
      <c r="C4590" t="s">
        <v>19</v>
      </c>
      <c r="D4590" t="s">
        <v>11</v>
      </c>
      <c r="E4590" t="s">
        <v>12</v>
      </c>
      <c r="F4590">
        <v>20987851</v>
      </c>
      <c r="G4590">
        <v>20987888</v>
      </c>
      <c r="H4590">
        <v>20987936</v>
      </c>
      <c r="I4590">
        <v>20987969</v>
      </c>
    </row>
    <row r="4591" spans="1:9" x14ac:dyDescent="0.2">
      <c r="A4591" s="1" t="str">
        <f>"DDR1"</f>
        <v>DDR1</v>
      </c>
      <c r="B4591" t="s">
        <v>9</v>
      </c>
      <c r="C4591" t="s">
        <v>32</v>
      </c>
      <c r="D4591" t="s">
        <v>17</v>
      </c>
      <c r="E4591" t="s">
        <v>12</v>
      </c>
      <c r="F4591">
        <v>30852277</v>
      </c>
      <c r="G4591">
        <v>30852364</v>
      </c>
      <c r="H4591">
        <v>30852277</v>
      </c>
      <c r="I4591">
        <v>30852364</v>
      </c>
    </row>
    <row r="4592" spans="1:9" x14ac:dyDescent="0.2">
      <c r="A4592" s="1" t="str">
        <f>"DDR1"</f>
        <v>DDR1</v>
      </c>
      <c r="B4592" t="s">
        <v>13</v>
      </c>
      <c r="C4592" t="s">
        <v>32</v>
      </c>
      <c r="D4592" t="s">
        <v>17</v>
      </c>
      <c r="E4592" t="s">
        <v>12</v>
      </c>
      <c r="F4592">
        <v>30850697</v>
      </c>
      <c r="G4592">
        <v>30850739</v>
      </c>
      <c r="H4592">
        <v>30850697</v>
      </c>
      <c r="I4592">
        <v>30850739</v>
      </c>
    </row>
    <row r="4593" spans="1:9" x14ac:dyDescent="0.2">
      <c r="A4593" s="1" t="str">
        <f>"DDR2"</f>
        <v>DDR2</v>
      </c>
      <c r="B4593" t="s">
        <v>14</v>
      </c>
      <c r="C4593" t="s">
        <v>19</v>
      </c>
      <c r="D4593" t="s">
        <v>17</v>
      </c>
      <c r="E4593" t="s">
        <v>12</v>
      </c>
      <c r="F4593">
        <v>162602244</v>
      </c>
      <c r="G4593">
        <v>162602289</v>
      </c>
      <c r="H4593">
        <v>162602212</v>
      </c>
      <c r="I4593">
        <v>162602242</v>
      </c>
    </row>
    <row r="4594" spans="1:9" x14ac:dyDescent="0.2">
      <c r="A4594" s="1" t="str">
        <f>"DDRGK1"</f>
        <v>DDRGK1</v>
      </c>
      <c r="B4594" t="s">
        <v>14</v>
      </c>
      <c r="C4594" t="s">
        <v>29</v>
      </c>
      <c r="D4594" t="s">
        <v>11</v>
      </c>
      <c r="E4594" t="s">
        <v>12</v>
      </c>
      <c r="F4594">
        <v>3185279</v>
      </c>
      <c r="G4594">
        <v>3185343</v>
      </c>
      <c r="H4594">
        <v>3185279</v>
      </c>
      <c r="I4594">
        <v>3185343</v>
      </c>
    </row>
    <row r="4595" spans="1:9" x14ac:dyDescent="0.2">
      <c r="A4595" s="1" t="str">
        <f>"DDT"</f>
        <v>DDT</v>
      </c>
      <c r="B4595" t="s">
        <v>319</v>
      </c>
      <c r="C4595" t="s">
        <v>21</v>
      </c>
      <c r="D4595" t="s">
        <v>11</v>
      </c>
      <c r="E4595" t="s">
        <v>20</v>
      </c>
      <c r="F4595">
        <v>24322018</v>
      </c>
      <c r="G4595">
        <v>24322018</v>
      </c>
      <c r="H4595">
        <v>24322018</v>
      </c>
      <c r="I4595">
        <v>24322018</v>
      </c>
    </row>
    <row r="4596" spans="1:9" x14ac:dyDescent="0.2">
      <c r="A4596" s="1" t="str">
        <f>"DDT"</f>
        <v>DDT</v>
      </c>
      <c r="B4596" t="s">
        <v>320</v>
      </c>
      <c r="C4596" t="s">
        <v>21</v>
      </c>
      <c r="D4596" t="s">
        <v>11</v>
      </c>
      <c r="E4596" t="s">
        <v>20</v>
      </c>
      <c r="F4596">
        <v>24316772</v>
      </c>
      <c r="G4596">
        <v>24316772</v>
      </c>
      <c r="H4596">
        <v>24316772</v>
      </c>
      <c r="I4596">
        <v>24316772</v>
      </c>
    </row>
    <row r="4597" spans="1:9" x14ac:dyDescent="0.2">
      <c r="A4597" s="1" t="str">
        <f>"DDTL"</f>
        <v>DDTL</v>
      </c>
      <c r="B4597" t="s">
        <v>14</v>
      </c>
      <c r="C4597" t="s">
        <v>21</v>
      </c>
      <c r="D4597" t="s">
        <v>17</v>
      </c>
      <c r="E4597" t="s">
        <v>12</v>
      </c>
      <c r="F4597">
        <v>24309086</v>
      </c>
      <c r="G4597">
        <v>24309108</v>
      </c>
      <c r="H4597">
        <v>24309050</v>
      </c>
      <c r="I4597">
        <v>24309059</v>
      </c>
    </row>
    <row r="4598" spans="1:9" x14ac:dyDescent="0.2">
      <c r="A4598" s="1" t="str">
        <f>"DDX1"</f>
        <v>DDX1</v>
      </c>
      <c r="B4598" t="s">
        <v>14</v>
      </c>
      <c r="C4598" t="s">
        <v>26</v>
      </c>
      <c r="D4598" t="s">
        <v>17</v>
      </c>
      <c r="E4598" t="s">
        <v>12</v>
      </c>
      <c r="F4598">
        <v>15731978</v>
      </c>
      <c r="G4598">
        <v>15732050</v>
      </c>
      <c r="H4598">
        <v>15731978</v>
      </c>
      <c r="I4598">
        <v>15732050</v>
      </c>
    </row>
    <row r="4599" spans="1:9" x14ac:dyDescent="0.2">
      <c r="A4599" s="1" t="str">
        <f>"DDX10"</f>
        <v>DDX10</v>
      </c>
      <c r="B4599" t="s">
        <v>14</v>
      </c>
      <c r="C4599" t="s">
        <v>27</v>
      </c>
      <c r="D4599" t="s">
        <v>17</v>
      </c>
      <c r="E4599" t="s">
        <v>12</v>
      </c>
      <c r="F4599">
        <v>108535772</v>
      </c>
      <c r="G4599">
        <v>108535841</v>
      </c>
      <c r="H4599">
        <v>108535772</v>
      </c>
      <c r="I4599">
        <v>108535841</v>
      </c>
    </row>
    <row r="4600" spans="1:9" x14ac:dyDescent="0.2">
      <c r="A4600" s="1" t="str">
        <f>"DDX11"</f>
        <v>DDX11</v>
      </c>
      <c r="B4600" t="s">
        <v>14</v>
      </c>
      <c r="C4600" t="s">
        <v>16</v>
      </c>
      <c r="D4600" t="s">
        <v>17</v>
      </c>
      <c r="E4600" t="s">
        <v>12</v>
      </c>
      <c r="F4600">
        <v>31226783</v>
      </c>
      <c r="G4600">
        <v>31226834</v>
      </c>
      <c r="H4600">
        <v>31227192</v>
      </c>
      <c r="I4600">
        <v>31227211</v>
      </c>
    </row>
    <row r="4601" spans="1:9" x14ac:dyDescent="0.2">
      <c r="A4601" s="1" t="str">
        <f>"DDX17"</f>
        <v>DDX17</v>
      </c>
      <c r="B4601" t="s">
        <v>14</v>
      </c>
      <c r="C4601" t="s">
        <v>21</v>
      </c>
      <c r="D4601" t="s">
        <v>11</v>
      </c>
      <c r="E4601" t="s">
        <v>12</v>
      </c>
      <c r="F4601">
        <v>38902300</v>
      </c>
      <c r="G4601">
        <v>38902322</v>
      </c>
      <c r="H4601">
        <v>38902325</v>
      </c>
      <c r="I4601">
        <v>38902347</v>
      </c>
    </row>
    <row r="4602" spans="1:9" x14ac:dyDescent="0.2">
      <c r="A4602" s="1" t="str">
        <f>"DDX18"</f>
        <v>DDX18</v>
      </c>
      <c r="B4602" t="s">
        <v>14</v>
      </c>
      <c r="C4602" t="s">
        <v>26</v>
      </c>
      <c r="D4602" t="s">
        <v>17</v>
      </c>
      <c r="E4602" t="s">
        <v>12</v>
      </c>
      <c r="F4602">
        <v>118572231</v>
      </c>
      <c r="G4602">
        <v>118572345</v>
      </c>
      <c r="H4602">
        <v>118572576</v>
      </c>
      <c r="I4602">
        <v>118572612</v>
      </c>
    </row>
    <row r="4603" spans="1:9" x14ac:dyDescent="0.2">
      <c r="A4603" s="1" t="str">
        <f>"DDX19A"</f>
        <v>DDX19A</v>
      </c>
      <c r="B4603" t="s">
        <v>14</v>
      </c>
      <c r="C4603" t="s">
        <v>31</v>
      </c>
      <c r="D4603" t="s">
        <v>17</v>
      </c>
      <c r="E4603" t="s">
        <v>12</v>
      </c>
      <c r="F4603">
        <v>70380764</v>
      </c>
      <c r="G4603">
        <v>70380819</v>
      </c>
      <c r="H4603">
        <v>70380764</v>
      </c>
      <c r="I4603">
        <v>70380819</v>
      </c>
    </row>
    <row r="4604" spans="1:9" x14ac:dyDescent="0.2">
      <c r="A4604" s="1" t="str">
        <f>"DDX19B"</f>
        <v>DDX19B</v>
      </c>
      <c r="B4604" t="s">
        <v>9</v>
      </c>
      <c r="C4604" t="s">
        <v>31</v>
      </c>
      <c r="D4604" t="s">
        <v>17</v>
      </c>
      <c r="E4604" t="s">
        <v>12</v>
      </c>
      <c r="F4604">
        <v>70333059</v>
      </c>
      <c r="G4604">
        <v>70333130</v>
      </c>
      <c r="H4604">
        <v>70333059</v>
      </c>
      <c r="I4604">
        <v>70333130</v>
      </c>
    </row>
    <row r="4605" spans="1:9" x14ac:dyDescent="0.2">
      <c r="A4605" s="1" t="str">
        <f>"DDX19B"</f>
        <v>DDX19B</v>
      </c>
      <c r="B4605" t="s">
        <v>13</v>
      </c>
      <c r="C4605" t="s">
        <v>31</v>
      </c>
      <c r="D4605" t="s">
        <v>17</v>
      </c>
      <c r="E4605" t="s">
        <v>12</v>
      </c>
      <c r="F4605">
        <v>70328694</v>
      </c>
      <c r="G4605">
        <v>70328745</v>
      </c>
      <c r="H4605">
        <v>70328694</v>
      </c>
      <c r="I4605">
        <v>70328745</v>
      </c>
    </row>
    <row r="4606" spans="1:9" x14ac:dyDescent="0.2">
      <c r="A4606" s="1" t="str">
        <f>"DDX20"</f>
        <v>DDX20</v>
      </c>
      <c r="B4606" t="s">
        <v>14</v>
      </c>
      <c r="C4606" t="s">
        <v>19</v>
      </c>
      <c r="D4606" t="s">
        <v>17</v>
      </c>
      <c r="E4606" t="s">
        <v>12</v>
      </c>
      <c r="F4606">
        <v>112298514</v>
      </c>
      <c r="G4606">
        <v>112298550</v>
      </c>
      <c r="H4606">
        <v>112298290</v>
      </c>
      <c r="I4606">
        <v>112298395</v>
      </c>
    </row>
    <row r="4607" spans="1:9" x14ac:dyDescent="0.2">
      <c r="A4607" s="1" t="str">
        <f>"DDX21"</f>
        <v>DDX21</v>
      </c>
      <c r="B4607" t="s">
        <v>14</v>
      </c>
      <c r="C4607" t="s">
        <v>15</v>
      </c>
      <c r="D4607" t="s">
        <v>17</v>
      </c>
      <c r="E4607" t="s">
        <v>12</v>
      </c>
      <c r="F4607">
        <v>70715914</v>
      </c>
      <c r="G4607">
        <v>70715943</v>
      </c>
      <c r="H4607">
        <v>70715944</v>
      </c>
      <c r="I4607">
        <v>70715955</v>
      </c>
    </row>
    <row r="4608" spans="1:9" x14ac:dyDescent="0.2">
      <c r="A4608" s="1" t="str">
        <f>"DDX23"</f>
        <v>DDX23</v>
      </c>
      <c r="B4608" t="s">
        <v>14</v>
      </c>
      <c r="C4608" t="s">
        <v>16</v>
      </c>
      <c r="D4608" t="s">
        <v>11</v>
      </c>
      <c r="E4608" t="s">
        <v>12</v>
      </c>
      <c r="F4608">
        <v>49245916</v>
      </c>
      <c r="G4608">
        <v>49245932</v>
      </c>
      <c r="H4608">
        <v>49245936</v>
      </c>
      <c r="I4608">
        <v>49245955</v>
      </c>
    </row>
    <row r="4609" spans="1:9" x14ac:dyDescent="0.2">
      <c r="A4609" s="1" t="str">
        <f>"DDX24"</f>
        <v>DDX24</v>
      </c>
      <c r="B4609" t="s">
        <v>14</v>
      </c>
      <c r="C4609" t="s">
        <v>41</v>
      </c>
      <c r="D4609" t="s">
        <v>11</v>
      </c>
      <c r="E4609" t="s">
        <v>12</v>
      </c>
      <c r="F4609">
        <v>94547541</v>
      </c>
      <c r="G4609">
        <v>94547562</v>
      </c>
      <c r="H4609">
        <v>94547495</v>
      </c>
      <c r="I4609">
        <v>94547508</v>
      </c>
    </row>
    <row r="4610" spans="1:9" x14ac:dyDescent="0.2">
      <c r="A4610" s="1" t="str">
        <f>"DDX25"</f>
        <v>DDX25</v>
      </c>
      <c r="B4610" t="s">
        <v>9</v>
      </c>
      <c r="C4610" t="s">
        <v>27</v>
      </c>
      <c r="D4610" t="s">
        <v>17</v>
      </c>
      <c r="E4610" t="s">
        <v>12</v>
      </c>
      <c r="F4610">
        <v>125774362</v>
      </c>
      <c r="G4610">
        <v>125774414</v>
      </c>
      <c r="H4610">
        <v>125774362</v>
      </c>
      <c r="I4610">
        <v>125774414</v>
      </c>
    </row>
    <row r="4611" spans="1:9" x14ac:dyDescent="0.2">
      <c r="A4611" s="1" t="str">
        <f>"DDX25"</f>
        <v>DDX25</v>
      </c>
      <c r="B4611" t="s">
        <v>13</v>
      </c>
      <c r="C4611" t="s">
        <v>27</v>
      </c>
      <c r="D4611" t="s">
        <v>17</v>
      </c>
      <c r="E4611" t="s">
        <v>12</v>
      </c>
      <c r="F4611">
        <v>125773216</v>
      </c>
      <c r="G4611">
        <v>125773228</v>
      </c>
      <c r="H4611">
        <v>125773216</v>
      </c>
      <c r="I4611">
        <v>125773228</v>
      </c>
    </row>
    <row r="4612" spans="1:9" x14ac:dyDescent="0.2">
      <c r="A4612" s="1" t="str">
        <f>"DDX26B"</f>
        <v>DDX26B</v>
      </c>
      <c r="B4612" t="s">
        <v>14</v>
      </c>
      <c r="C4612" t="s">
        <v>37</v>
      </c>
      <c r="D4612" t="s">
        <v>17</v>
      </c>
      <c r="E4612" t="s">
        <v>12</v>
      </c>
      <c r="F4612">
        <v>134654540</v>
      </c>
      <c r="G4612">
        <v>134654591</v>
      </c>
      <c r="H4612">
        <v>134654690</v>
      </c>
      <c r="I4612">
        <v>134654751</v>
      </c>
    </row>
    <row r="4613" spans="1:9" x14ac:dyDescent="0.2">
      <c r="A4613" s="1" t="str">
        <f>"DDX27"</f>
        <v>DDX27</v>
      </c>
      <c r="B4613" t="s">
        <v>14</v>
      </c>
      <c r="C4613" t="s">
        <v>29</v>
      </c>
      <c r="D4613" t="s">
        <v>17</v>
      </c>
      <c r="E4613" t="s">
        <v>12</v>
      </c>
      <c r="F4613">
        <v>47835930</v>
      </c>
      <c r="G4613">
        <v>47835988</v>
      </c>
      <c r="H4613">
        <v>47835887</v>
      </c>
      <c r="I4613">
        <v>47835920</v>
      </c>
    </row>
    <row r="4614" spans="1:9" x14ac:dyDescent="0.2">
      <c r="A4614" s="1" t="str">
        <f>"DDX28"</f>
        <v>DDX28</v>
      </c>
      <c r="B4614" t="s">
        <v>14</v>
      </c>
      <c r="C4614" t="s">
        <v>31</v>
      </c>
      <c r="D4614" t="s">
        <v>11</v>
      </c>
      <c r="E4614" t="s">
        <v>12</v>
      </c>
      <c r="F4614">
        <v>68057104</v>
      </c>
      <c r="G4614">
        <v>68057146</v>
      </c>
      <c r="H4614">
        <v>68057104</v>
      </c>
      <c r="I4614">
        <v>68057146</v>
      </c>
    </row>
    <row r="4615" spans="1:9" x14ac:dyDescent="0.2">
      <c r="A4615" s="1" t="str">
        <f>"DDX31"</f>
        <v>DDX31</v>
      </c>
      <c r="B4615" t="s">
        <v>14</v>
      </c>
      <c r="C4615" t="s">
        <v>24</v>
      </c>
      <c r="D4615" t="s">
        <v>11</v>
      </c>
      <c r="E4615" t="s">
        <v>12</v>
      </c>
      <c r="F4615">
        <v>135545356</v>
      </c>
      <c r="G4615">
        <v>135545378</v>
      </c>
      <c r="H4615">
        <v>135545380</v>
      </c>
      <c r="I4615">
        <v>135545419</v>
      </c>
    </row>
    <row r="4616" spans="1:9" x14ac:dyDescent="0.2">
      <c r="A4616" s="1" t="str">
        <f>"DDX39A"</f>
        <v>DDX39A</v>
      </c>
      <c r="B4616" t="s">
        <v>14</v>
      </c>
      <c r="C4616" t="s">
        <v>10</v>
      </c>
      <c r="D4616" t="s">
        <v>11</v>
      </c>
      <c r="E4616" t="s">
        <v>12</v>
      </c>
      <c r="F4616">
        <v>14530143</v>
      </c>
      <c r="G4616">
        <v>14530177</v>
      </c>
      <c r="H4616">
        <v>14530112</v>
      </c>
      <c r="I4616">
        <v>14530140</v>
      </c>
    </row>
    <row r="4617" spans="1:9" x14ac:dyDescent="0.2">
      <c r="A4617" s="1" t="str">
        <f>"DDX39B"</f>
        <v>DDX39B</v>
      </c>
      <c r="B4617" t="s">
        <v>14</v>
      </c>
      <c r="C4617" t="s">
        <v>32</v>
      </c>
      <c r="D4617" t="s">
        <v>11</v>
      </c>
      <c r="E4617" t="s">
        <v>12</v>
      </c>
      <c r="F4617">
        <v>31509759</v>
      </c>
      <c r="G4617">
        <v>31509788</v>
      </c>
      <c r="H4617">
        <v>31509515</v>
      </c>
      <c r="I4617">
        <v>31509544</v>
      </c>
    </row>
    <row r="4618" spans="1:9" x14ac:dyDescent="0.2">
      <c r="A4618" s="1" t="str">
        <f>"DDX3X"</f>
        <v>DDX3X</v>
      </c>
      <c r="B4618" t="s">
        <v>14</v>
      </c>
      <c r="C4618" t="s">
        <v>37</v>
      </c>
      <c r="D4618" t="s">
        <v>17</v>
      </c>
      <c r="E4618" t="s">
        <v>12</v>
      </c>
      <c r="F4618">
        <v>41193407</v>
      </c>
      <c r="G4618">
        <v>41193422</v>
      </c>
      <c r="H4618">
        <v>41193158</v>
      </c>
      <c r="I4618">
        <v>41193193</v>
      </c>
    </row>
    <row r="4619" spans="1:9" x14ac:dyDescent="0.2">
      <c r="A4619" s="1" t="str">
        <f>"DDX3Y"</f>
        <v>DDX3Y</v>
      </c>
      <c r="B4619" t="s">
        <v>14</v>
      </c>
      <c r="C4619" t="s">
        <v>63</v>
      </c>
      <c r="D4619" t="s">
        <v>17</v>
      </c>
      <c r="E4619" t="s">
        <v>12</v>
      </c>
      <c r="F4619">
        <v>15016771</v>
      </c>
      <c r="G4619">
        <v>15016801</v>
      </c>
      <c r="H4619">
        <v>15016725</v>
      </c>
      <c r="I4619">
        <v>15016769</v>
      </c>
    </row>
    <row r="4620" spans="1:9" x14ac:dyDescent="0.2">
      <c r="A4620" s="1" t="str">
        <f>"DDX4"</f>
        <v>DDX4</v>
      </c>
      <c r="B4620" t="s">
        <v>14</v>
      </c>
      <c r="C4620" t="s">
        <v>46</v>
      </c>
      <c r="D4620" t="s">
        <v>17</v>
      </c>
      <c r="E4620" t="s">
        <v>12</v>
      </c>
      <c r="F4620">
        <v>55033872</v>
      </c>
      <c r="G4620">
        <v>55033896</v>
      </c>
      <c r="H4620">
        <v>55033853</v>
      </c>
      <c r="I4620">
        <v>55033870</v>
      </c>
    </row>
    <row r="4621" spans="1:9" x14ac:dyDescent="0.2">
      <c r="A4621" s="1" t="str">
        <f>"DDX41"</f>
        <v>DDX41</v>
      </c>
      <c r="B4621" t="s">
        <v>14</v>
      </c>
      <c r="C4621" t="s">
        <v>46</v>
      </c>
      <c r="D4621" t="s">
        <v>11</v>
      </c>
      <c r="E4621" t="s">
        <v>12</v>
      </c>
      <c r="F4621">
        <v>176943944</v>
      </c>
      <c r="G4621">
        <v>176943976</v>
      </c>
      <c r="H4621">
        <v>176943936</v>
      </c>
      <c r="I4621">
        <v>176943943</v>
      </c>
    </row>
    <row r="4622" spans="1:9" x14ac:dyDescent="0.2">
      <c r="A4622" s="1" t="str">
        <f>"DDX42"</f>
        <v>DDX42</v>
      </c>
      <c r="B4622" t="s">
        <v>14</v>
      </c>
      <c r="C4622" t="s">
        <v>28</v>
      </c>
      <c r="D4622" t="s">
        <v>17</v>
      </c>
      <c r="E4622" t="s">
        <v>12</v>
      </c>
      <c r="F4622">
        <v>61851504</v>
      </c>
      <c r="G4622">
        <v>61851570</v>
      </c>
      <c r="H4622">
        <v>61851504</v>
      </c>
      <c r="I4622">
        <v>61851570</v>
      </c>
    </row>
    <row r="4623" spans="1:9" x14ac:dyDescent="0.2">
      <c r="A4623" s="1" t="str">
        <f>"DDX43"</f>
        <v>DDX43</v>
      </c>
      <c r="B4623" t="s">
        <v>14</v>
      </c>
      <c r="C4623" t="s">
        <v>32</v>
      </c>
      <c r="D4623" t="s">
        <v>17</v>
      </c>
      <c r="E4623" t="s">
        <v>12</v>
      </c>
      <c r="F4623">
        <v>74104542</v>
      </c>
      <c r="G4623">
        <v>74104559</v>
      </c>
      <c r="H4623">
        <v>74104566</v>
      </c>
      <c r="I4623">
        <v>74104590</v>
      </c>
    </row>
    <row r="4624" spans="1:9" x14ac:dyDescent="0.2">
      <c r="A4624" s="1" t="str">
        <f>"DDX46"</f>
        <v>DDX46</v>
      </c>
      <c r="B4624" t="s">
        <v>9</v>
      </c>
      <c r="C4624" t="s">
        <v>46</v>
      </c>
      <c r="D4624" t="s">
        <v>17</v>
      </c>
      <c r="E4624" t="s">
        <v>12</v>
      </c>
      <c r="F4624">
        <v>134094461</v>
      </c>
      <c r="G4624">
        <v>134094489</v>
      </c>
      <c r="H4624">
        <v>134094461</v>
      </c>
      <c r="I4624">
        <v>134094489</v>
      </c>
    </row>
    <row r="4625" spans="1:9" x14ac:dyDescent="0.2">
      <c r="A4625" s="1" t="str">
        <f>"DDX46"</f>
        <v>DDX46</v>
      </c>
      <c r="B4625" t="s">
        <v>13</v>
      </c>
      <c r="C4625" t="s">
        <v>46</v>
      </c>
      <c r="D4625" t="s">
        <v>17</v>
      </c>
      <c r="E4625" t="s">
        <v>12</v>
      </c>
      <c r="F4625">
        <v>134109381</v>
      </c>
      <c r="G4625">
        <v>134109412</v>
      </c>
      <c r="H4625">
        <v>134109381</v>
      </c>
      <c r="I4625">
        <v>134109412</v>
      </c>
    </row>
    <row r="4626" spans="1:9" x14ac:dyDescent="0.2">
      <c r="A4626" s="1" t="str">
        <f>"DDX47"</f>
        <v>DDX47</v>
      </c>
      <c r="B4626" t="s">
        <v>14</v>
      </c>
      <c r="C4626" t="s">
        <v>16</v>
      </c>
      <c r="D4626" t="s">
        <v>17</v>
      </c>
      <c r="E4626" t="s">
        <v>12</v>
      </c>
      <c r="F4626">
        <v>12966271</v>
      </c>
      <c r="G4626">
        <v>12966302</v>
      </c>
      <c r="H4626">
        <v>12966317</v>
      </c>
      <c r="I4626">
        <v>12966330</v>
      </c>
    </row>
    <row r="4627" spans="1:9" x14ac:dyDescent="0.2">
      <c r="A4627" s="1" t="str">
        <f>"DDX49"</f>
        <v>DDX49</v>
      </c>
      <c r="B4627" t="s">
        <v>14</v>
      </c>
      <c r="C4627" t="s">
        <v>10</v>
      </c>
      <c r="D4627" t="s">
        <v>17</v>
      </c>
      <c r="E4627" t="s">
        <v>12</v>
      </c>
      <c r="F4627">
        <v>19030497</v>
      </c>
      <c r="G4627">
        <v>19030554</v>
      </c>
      <c r="H4627">
        <v>19030478</v>
      </c>
      <c r="I4627">
        <v>19030489</v>
      </c>
    </row>
    <row r="4628" spans="1:9" x14ac:dyDescent="0.2">
      <c r="A4628" s="1" t="str">
        <f>"DDX5"</f>
        <v>DDX5</v>
      </c>
      <c r="B4628" t="s">
        <v>14</v>
      </c>
      <c r="C4628" t="s">
        <v>28</v>
      </c>
      <c r="D4628" t="s">
        <v>11</v>
      </c>
      <c r="E4628" t="s">
        <v>12</v>
      </c>
      <c r="F4628">
        <v>62502399</v>
      </c>
      <c r="G4628">
        <v>62502411</v>
      </c>
      <c r="H4628">
        <v>62502399</v>
      </c>
      <c r="I4628">
        <v>62502411</v>
      </c>
    </row>
    <row r="4629" spans="1:9" x14ac:dyDescent="0.2">
      <c r="A4629" s="1" t="str">
        <f>"DDX50"</f>
        <v>DDX50</v>
      </c>
      <c r="B4629" t="s">
        <v>14</v>
      </c>
      <c r="C4629" t="s">
        <v>15</v>
      </c>
      <c r="D4629" t="s">
        <v>17</v>
      </c>
      <c r="E4629" t="s">
        <v>12</v>
      </c>
      <c r="F4629">
        <v>70661014</v>
      </c>
      <c r="G4629">
        <v>70661090</v>
      </c>
      <c r="H4629">
        <v>70660612</v>
      </c>
      <c r="I4629">
        <v>70660634</v>
      </c>
    </row>
    <row r="4630" spans="1:9" x14ac:dyDescent="0.2">
      <c r="A4630" s="1" t="str">
        <f>"DDX51"</f>
        <v>DDX51</v>
      </c>
      <c r="B4630" t="s">
        <v>14</v>
      </c>
      <c r="C4630" t="s">
        <v>16</v>
      </c>
      <c r="D4630" t="s">
        <v>11</v>
      </c>
      <c r="E4630" t="s">
        <v>12</v>
      </c>
      <c r="F4630">
        <v>132628847</v>
      </c>
      <c r="G4630">
        <v>132628890</v>
      </c>
      <c r="H4630">
        <v>132628891</v>
      </c>
      <c r="I4630">
        <v>132628902</v>
      </c>
    </row>
    <row r="4631" spans="1:9" x14ac:dyDescent="0.2">
      <c r="A4631" s="1" t="str">
        <f>"DDX52"</f>
        <v>DDX52</v>
      </c>
      <c r="B4631" t="s">
        <v>14</v>
      </c>
      <c r="C4631" t="s">
        <v>28</v>
      </c>
      <c r="D4631" t="s">
        <v>11</v>
      </c>
      <c r="E4631" t="s">
        <v>12</v>
      </c>
      <c r="F4631">
        <v>36003454</v>
      </c>
      <c r="G4631">
        <v>36003482</v>
      </c>
      <c r="H4631">
        <v>36003487</v>
      </c>
      <c r="I4631">
        <v>36003498</v>
      </c>
    </row>
    <row r="4632" spans="1:9" x14ac:dyDescent="0.2">
      <c r="A4632" s="1" t="str">
        <f>"DDX53"</f>
        <v>DDX53</v>
      </c>
      <c r="B4632" t="s">
        <v>14</v>
      </c>
      <c r="C4632" t="s">
        <v>37</v>
      </c>
      <c r="D4632" t="s">
        <v>17</v>
      </c>
      <c r="E4632" t="s">
        <v>12</v>
      </c>
      <c r="F4632">
        <v>23018058</v>
      </c>
      <c r="G4632">
        <v>23018082</v>
      </c>
      <c r="H4632">
        <v>23018043</v>
      </c>
      <c r="I4632">
        <v>23018048</v>
      </c>
    </row>
    <row r="4633" spans="1:9" x14ac:dyDescent="0.2">
      <c r="A4633" s="1" t="str">
        <f>"DDX54"</f>
        <v>DDX54</v>
      </c>
      <c r="B4633" t="s">
        <v>9</v>
      </c>
      <c r="C4633" t="s">
        <v>16</v>
      </c>
      <c r="D4633" t="s">
        <v>11</v>
      </c>
      <c r="E4633" t="s">
        <v>12</v>
      </c>
      <c r="F4633">
        <v>113623252</v>
      </c>
      <c r="G4633">
        <v>113623300</v>
      </c>
      <c r="H4633">
        <v>113623252</v>
      </c>
      <c r="I4633">
        <v>113623300</v>
      </c>
    </row>
    <row r="4634" spans="1:9" x14ac:dyDescent="0.2">
      <c r="A4634" s="1" t="str">
        <f>"DDX54"</f>
        <v>DDX54</v>
      </c>
      <c r="B4634" t="s">
        <v>13</v>
      </c>
      <c r="C4634" t="s">
        <v>16</v>
      </c>
      <c r="D4634" t="s">
        <v>11</v>
      </c>
      <c r="E4634" t="s">
        <v>12</v>
      </c>
      <c r="F4634">
        <v>113599241</v>
      </c>
      <c r="G4634">
        <v>113599257</v>
      </c>
      <c r="H4634">
        <v>113599241</v>
      </c>
      <c r="I4634">
        <v>113599257</v>
      </c>
    </row>
    <row r="4635" spans="1:9" x14ac:dyDescent="0.2">
      <c r="A4635" s="1" t="str">
        <f>"DDX55"</f>
        <v>DDX55</v>
      </c>
      <c r="B4635" t="s">
        <v>14</v>
      </c>
      <c r="C4635" t="s">
        <v>16</v>
      </c>
      <c r="D4635" t="s">
        <v>17</v>
      </c>
      <c r="E4635" t="s">
        <v>12</v>
      </c>
      <c r="F4635">
        <v>124086632</v>
      </c>
      <c r="G4635">
        <v>124086701</v>
      </c>
      <c r="H4635">
        <v>124086704</v>
      </c>
      <c r="I4635">
        <v>124086715</v>
      </c>
    </row>
    <row r="4636" spans="1:9" x14ac:dyDescent="0.2">
      <c r="A4636" s="1" t="str">
        <f>"DDX56"</f>
        <v>DDX56</v>
      </c>
      <c r="B4636" t="s">
        <v>14</v>
      </c>
      <c r="C4636" t="s">
        <v>33</v>
      </c>
      <c r="D4636" t="s">
        <v>11</v>
      </c>
      <c r="E4636" t="s">
        <v>12</v>
      </c>
      <c r="F4636">
        <v>44613494</v>
      </c>
      <c r="G4636">
        <v>44613534</v>
      </c>
      <c r="H4636">
        <v>44613494</v>
      </c>
      <c r="I4636">
        <v>44613534</v>
      </c>
    </row>
    <row r="4637" spans="1:9" x14ac:dyDescent="0.2">
      <c r="A4637" s="1" t="str">
        <f>"DDX58"</f>
        <v>DDX58</v>
      </c>
      <c r="B4637" t="s">
        <v>14</v>
      </c>
      <c r="C4637" t="s">
        <v>24</v>
      </c>
      <c r="D4637" t="s">
        <v>11</v>
      </c>
      <c r="E4637" t="s">
        <v>12</v>
      </c>
      <c r="F4637">
        <v>32526184</v>
      </c>
      <c r="G4637">
        <v>32526261</v>
      </c>
      <c r="H4637">
        <v>32526299</v>
      </c>
      <c r="I4637">
        <v>32526346</v>
      </c>
    </row>
    <row r="4638" spans="1:9" x14ac:dyDescent="0.2">
      <c r="A4638" s="1" t="str">
        <f>"DDX59"</f>
        <v>DDX59</v>
      </c>
      <c r="B4638" t="s">
        <v>14</v>
      </c>
      <c r="C4638" t="s">
        <v>19</v>
      </c>
      <c r="D4638" t="s">
        <v>11</v>
      </c>
      <c r="E4638" t="s">
        <v>12</v>
      </c>
      <c r="F4638">
        <v>200638964</v>
      </c>
      <c r="G4638">
        <v>200639102</v>
      </c>
      <c r="H4638">
        <v>200639103</v>
      </c>
      <c r="I4638">
        <v>200639128</v>
      </c>
    </row>
    <row r="4639" spans="1:9" x14ac:dyDescent="0.2">
      <c r="A4639" s="1" t="str">
        <f>"DDX6"</f>
        <v>DDX6</v>
      </c>
      <c r="B4639" t="s">
        <v>14</v>
      </c>
      <c r="C4639" t="s">
        <v>27</v>
      </c>
      <c r="D4639" t="s">
        <v>11</v>
      </c>
      <c r="E4639" t="s">
        <v>12</v>
      </c>
      <c r="F4639">
        <v>118661828</v>
      </c>
      <c r="G4639">
        <v>118661886</v>
      </c>
      <c r="H4639">
        <v>118661828</v>
      </c>
      <c r="I4639">
        <v>118661886</v>
      </c>
    </row>
    <row r="4640" spans="1:9" x14ac:dyDescent="0.2">
      <c r="A4640" s="1" t="str">
        <f>"DDX60"</f>
        <v>DDX60</v>
      </c>
      <c r="B4640" t="s">
        <v>14</v>
      </c>
      <c r="C4640" t="s">
        <v>23</v>
      </c>
      <c r="D4640" t="s">
        <v>11</v>
      </c>
      <c r="E4640" t="s">
        <v>12</v>
      </c>
      <c r="F4640">
        <v>169239921</v>
      </c>
      <c r="G4640">
        <v>169239972</v>
      </c>
      <c r="H4640">
        <v>169239894</v>
      </c>
      <c r="I4640">
        <v>169239913</v>
      </c>
    </row>
    <row r="4641" spans="1:9" x14ac:dyDescent="0.2">
      <c r="A4641" s="1" t="str">
        <f>"DDX60L"</f>
        <v>DDX60L</v>
      </c>
      <c r="B4641" t="s">
        <v>14</v>
      </c>
      <c r="C4641" t="s">
        <v>23</v>
      </c>
      <c r="D4641" t="s">
        <v>11</v>
      </c>
      <c r="E4641" t="s">
        <v>12</v>
      </c>
      <c r="F4641">
        <v>169401630</v>
      </c>
      <c r="G4641">
        <v>169401649</v>
      </c>
      <c r="H4641">
        <v>169401630</v>
      </c>
      <c r="I4641">
        <v>169401649</v>
      </c>
    </row>
    <row r="4642" spans="1:9" x14ac:dyDescent="0.2">
      <c r="A4642" s="1" t="str">
        <f>"DEAF1"</f>
        <v>DEAF1</v>
      </c>
      <c r="B4642" t="s">
        <v>14</v>
      </c>
      <c r="C4642" t="s">
        <v>27</v>
      </c>
      <c r="D4642" t="s">
        <v>11</v>
      </c>
      <c r="E4642" t="s">
        <v>12</v>
      </c>
      <c r="F4642">
        <v>695006</v>
      </c>
      <c r="G4642">
        <v>695074</v>
      </c>
      <c r="H4642">
        <v>695215</v>
      </c>
      <c r="I4642">
        <v>695231</v>
      </c>
    </row>
    <row r="4643" spans="1:9" x14ac:dyDescent="0.2">
      <c r="A4643" s="1" t="str">
        <f>"DEC1"</f>
        <v>DEC1</v>
      </c>
      <c r="B4643" t="s">
        <v>321</v>
      </c>
      <c r="C4643" t="s">
        <v>24</v>
      </c>
      <c r="D4643" t="s">
        <v>17</v>
      </c>
      <c r="E4643" t="s">
        <v>20</v>
      </c>
      <c r="F4643">
        <v>117904096</v>
      </c>
      <c r="G4643">
        <v>117904096</v>
      </c>
      <c r="H4643">
        <v>117904096</v>
      </c>
      <c r="I4643">
        <v>117904096</v>
      </c>
    </row>
    <row r="4644" spans="1:9" x14ac:dyDescent="0.2">
      <c r="A4644" s="1" t="str">
        <f>"DECR1"</f>
        <v>DECR1</v>
      </c>
      <c r="B4644" t="s">
        <v>14</v>
      </c>
      <c r="C4644" t="s">
        <v>30</v>
      </c>
      <c r="D4644" t="s">
        <v>17</v>
      </c>
      <c r="E4644" t="s">
        <v>12</v>
      </c>
      <c r="F4644">
        <v>91013676</v>
      </c>
      <c r="G4644">
        <v>91013717</v>
      </c>
      <c r="H4644">
        <v>91013577</v>
      </c>
      <c r="I4644">
        <v>91013611</v>
      </c>
    </row>
    <row r="4645" spans="1:9" x14ac:dyDescent="0.2">
      <c r="A4645" s="1" t="str">
        <f>"DECR2"</f>
        <v>DECR2</v>
      </c>
      <c r="B4645" t="s">
        <v>14</v>
      </c>
      <c r="C4645" t="s">
        <v>31</v>
      </c>
      <c r="D4645" t="s">
        <v>17</v>
      </c>
      <c r="E4645" t="s">
        <v>12</v>
      </c>
      <c r="F4645">
        <v>451853</v>
      </c>
      <c r="G4645">
        <v>451917</v>
      </c>
      <c r="H4645">
        <v>451923</v>
      </c>
      <c r="I4645">
        <v>451951</v>
      </c>
    </row>
    <row r="4646" spans="1:9" x14ac:dyDescent="0.2">
      <c r="A4646" s="1" t="str">
        <f>"DEDD"</f>
        <v>DEDD</v>
      </c>
      <c r="B4646" t="s">
        <v>14</v>
      </c>
      <c r="C4646" t="s">
        <v>19</v>
      </c>
      <c r="D4646" t="s">
        <v>11</v>
      </c>
      <c r="E4646" t="s">
        <v>12</v>
      </c>
      <c r="F4646">
        <v>161102367</v>
      </c>
      <c r="G4646">
        <v>161102413</v>
      </c>
      <c r="H4646">
        <v>161102421</v>
      </c>
      <c r="I4646">
        <v>161102476</v>
      </c>
    </row>
    <row r="4647" spans="1:9" x14ac:dyDescent="0.2">
      <c r="A4647" s="1" t="str">
        <f>"DEDD2"</f>
        <v>DEDD2</v>
      </c>
      <c r="B4647" t="s">
        <v>9</v>
      </c>
      <c r="C4647" t="s">
        <v>10</v>
      </c>
      <c r="D4647" t="s">
        <v>11</v>
      </c>
      <c r="E4647" t="s">
        <v>12</v>
      </c>
      <c r="F4647">
        <v>42721819</v>
      </c>
      <c r="G4647">
        <v>42721883</v>
      </c>
      <c r="H4647">
        <v>42721819</v>
      </c>
      <c r="I4647">
        <v>42721883</v>
      </c>
    </row>
    <row r="4648" spans="1:9" x14ac:dyDescent="0.2">
      <c r="A4648" s="1" t="str">
        <f>"DEDD2"</f>
        <v>DEDD2</v>
      </c>
      <c r="B4648" t="s">
        <v>13</v>
      </c>
      <c r="C4648" t="s">
        <v>10</v>
      </c>
      <c r="D4648" t="s">
        <v>11</v>
      </c>
      <c r="E4648" t="s">
        <v>12</v>
      </c>
      <c r="F4648">
        <v>42724261</v>
      </c>
      <c r="G4648">
        <v>42724297</v>
      </c>
      <c r="H4648">
        <v>42724261</v>
      </c>
      <c r="I4648">
        <v>42724297</v>
      </c>
    </row>
    <row r="4649" spans="1:9" x14ac:dyDescent="0.2">
      <c r="A4649" s="1" t="str">
        <f>"DEF6"</f>
        <v>DEF6</v>
      </c>
      <c r="B4649" t="s">
        <v>14</v>
      </c>
      <c r="C4649" t="s">
        <v>32</v>
      </c>
      <c r="D4649" t="s">
        <v>17</v>
      </c>
      <c r="E4649" t="s">
        <v>12</v>
      </c>
      <c r="F4649">
        <v>35265586</v>
      </c>
      <c r="G4649">
        <v>35265641</v>
      </c>
      <c r="H4649">
        <v>35265652</v>
      </c>
      <c r="I4649">
        <v>35265663</v>
      </c>
    </row>
    <row r="4650" spans="1:9" x14ac:dyDescent="0.2">
      <c r="A4650" s="1" t="str">
        <f>"DEF8"</f>
        <v>DEF8</v>
      </c>
      <c r="B4650" t="s">
        <v>14</v>
      </c>
      <c r="C4650" t="s">
        <v>31</v>
      </c>
      <c r="D4650" t="s">
        <v>17</v>
      </c>
      <c r="E4650" t="s">
        <v>12</v>
      </c>
      <c r="F4650">
        <v>90015139</v>
      </c>
      <c r="G4650">
        <v>90015208</v>
      </c>
      <c r="H4650">
        <v>90015139</v>
      </c>
      <c r="I4650">
        <v>90015208</v>
      </c>
    </row>
    <row r="4651" spans="1:9" x14ac:dyDescent="0.2">
      <c r="A4651" s="1" t="str">
        <f>"DEFA1"</f>
        <v>DEFA1</v>
      </c>
      <c r="B4651" t="s">
        <v>322</v>
      </c>
      <c r="C4651" t="s">
        <v>30</v>
      </c>
      <c r="D4651" t="s">
        <v>11</v>
      </c>
      <c r="E4651" t="s">
        <v>20</v>
      </c>
      <c r="F4651">
        <v>6836155</v>
      </c>
      <c r="G4651">
        <v>6836155</v>
      </c>
      <c r="H4651">
        <v>6836155</v>
      </c>
      <c r="I4651">
        <v>6836155</v>
      </c>
    </row>
    <row r="4652" spans="1:9" x14ac:dyDescent="0.2">
      <c r="A4652" s="1" t="str">
        <f>"DEFA1"</f>
        <v>DEFA1</v>
      </c>
      <c r="B4652" t="s">
        <v>323</v>
      </c>
      <c r="C4652" t="s">
        <v>30</v>
      </c>
      <c r="D4652" t="s">
        <v>11</v>
      </c>
      <c r="E4652" t="s">
        <v>20</v>
      </c>
      <c r="F4652">
        <v>6837601</v>
      </c>
      <c r="G4652">
        <v>6837601</v>
      </c>
      <c r="H4652">
        <v>6837601</v>
      </c>
      <c r="I4652">
        <v>6837601</v>
      </c>
    </row>
    <row r="4653" spans="1:9" x14ac:dyDescent="0.2">
      <c r="A4653" s="1" t="str">
        <f>"DEFA1B"</f>
        <v>DEFA1B</v>
      </c>
      <c r="B4653" t="s">
        <v>14</v>
      </c>
      <c r="C4653" t="s">
        <v>30</v>
      </c>
      <c r="D4653" t="s">
        <v>11</v>
      </c>
      <c r="E4653" t="s">
        <v>12</v>
      </c>
      <c r="F4653">
        <v>6875818</v>
      </c>
      <c r="G4653">
        <v>6875822</v>
      </c>
      <c r="H4653">
        <v>6875818</v>
      </c>
      <c r="I4653">
        <v>6875822</v>
      </c>
    </row>
    <row r="4654" spans="1:9" x14ac:dyDescent="0.2">
      <c r="A4654" s="1" t="str">
        <f>"DEFA3"</f>
        <v>DEFA3</v>
      </c>
      <c r="B4654" t="s">
        <v>14</v>
      </c>
      <c r="C4654" t="s">
        <v>30</v>
      </c>
      <c r="D4654" t="s">
        <v>11</v>
      </c>
      <c r="E4654" t="s">
        <v>12</v>
      </c>
      <c r="F4654">
        <v>6875818</v>
      </c>
      <c r="G4654">
        <v>6875822</v>
      </c>
      <c r="H4654">
        <v>6875818</v>
      </c>
      <c r="I4654">
        <v>6875822</v>
      </c>
    </row>
    <row r="4655" spans="1:9" x14ac:dyDescent="0.2">
      <c r="A4655" s="1" t="str">
        <f>"DEFA4"</f>
        <v>DEFA4</v>
      </c>
      <c r="B4655" t="s">
        <v>14</v>
      </c>
      <c r="C4655" t="s">
        <v>30</v>
      </c>
      <c r="D4655" t="s">
        <v>11</v>
      </c>
      <c r="E4655" t="s">
        <v>12</v>
      </c>
      <c r="F4655">
        <v>6795823</v>
      </c>
      <c r="G4655">
        <v>6795843</v>
      </c>
      <c r="H4655">
        <v>6795823</v>
      </c>
      <c r="I4655">
        <v>6795843</v>
      </c>
    </row>
    <row r="4656" spans="1:9" x14ac:dyDescent="0.2">
      <c r="A4656" s="1" t="str">
        <f>"DEFA5"</f>
        <v>DEFA5</v>
      </c>
      <c r="B4656" t="s">
        <v>14</v>
      </c>
      <c r="C4656" t="s">
        <v>30</v>
      </c>
      <c r="D4656" t="s">
        <v>11</v>
      </c>
      <c r="E4656" t="s">
        <v>12</v>
      </c>
      <c r="F4656">
        <v>6914251</v>
      </c>
      <c r="G4656">
        <v>6914268</v>
      </c>
      <c r="H4656">
        <v>6914251</v>
      </c>
      <c r="I4656">
        <v>6914268</v>
      </c>
    </row>
    <row r="4657" spans="1:9" x14ac:dyDescent="0.2">
      <c r="A4657" s="1" t="str">
        <f>"DEFA6"</f>
        <v>DEFA6</v>
      </c>
      <c r="B4657" t="s">
        <v>14</v>
      </c>
      <c r="C4657" t="s">
        <v>30</v>
      </c>
      <c r="D4657" t="s">
        <v>11</v>
      </c>
      <c r="E4657" t="s">
        <v>12</v>
      </c>
      <c r="F4657">
        <v>6783588</v>
      </c>
      <c r="G4657">
        <v>6783605</v>
      </c>
      <c r="H4657">
        <v>6783588</v>
      </c>
      <c r="I4657">
        <v>6783605</v>
      </c>
    </row>
    <row r="4658" spans="1:9" x14ac:dyDescent="0.2">
      <c r="A4658" s="1" t="str">
        <f>"DEFB1"</f>
        <v>DEFB1</v>
      </c>
      <c r="B4658" t="s">
        <v>14</v>
      </c>
      <c r="C4658" t="s">
        <v>30</v>
      </c>
      <c r="D4658" t="s">
        <v>11</v>
      </c>
      <c r="E4658" t="s">
        <v>12</v>
      </c>
      <c r="F4658">
        <v>6735451</v>
      </c>
      <c r="G4658">
        <v>6735465</v>
      </c>
      <c r="H4658">
        <v>6735451</v>
      </c>
      <c r="I4658">
        <v>6735465</v>
      </c>
    </row>
    <row r="4659" spans="1:9" x14ac:dyDescent="0.2">
      <c r="A4659" s="1" t="str">
        <f>"DEFB103A"</f>
        <v>DEFB103A</v>
      </c>
      <c r="B4659" t="s">
        <v>14</v>
      </c>
      <c r="C4659" t="s">
        <v>30</v>
      </c>
      <c r="D4659" t="s">
        <v>17</v>
      </c>
      <c r="E4659" t="s">
        <v>67</v>
      </c>
      <c r="F4659">
        <v>7738908</v>
      </c>
      <c r="G4659">
        <v>7738914</v>
      </c>
      <c r="H4659">
        <v>7738908</v>
      </c>
      <c r="I4659">
        <v>7738914</v>
      </c>
    </row>
    <row r="4660" spans="1:9" x14ac:dyDescent="0.2">
      <c r="A4660" s="1" t="str">
        <f>"DEFB103B"</f>
        <v>DEFB103B</v>
      </c>
      <c r="B4660" t="s">
        <v>324</v>
      </c>
      <c r="C4660" t="s">
        <v>30</v>
      </c>
      <c r="D4660" t="s">
        <v>11</v>
      </c>
      <c r="E4660" t="s">
        <v>20</v>
      </c>
      <c r="F4660">
        <v>7287869</v>
      </c>
      <c r="G4660">
        <v>7287869</v>
      </c>
      <c r="H4660">
        <v>7287869</v>
      </c>
      <c r="I4660">
        <v>7287869</v>
      </c>
    </row>
    <row r="4661" spans="1:9" x14ac:dyDescent="0.2">
      <c r="A4661" s="1" t="str">
        <f>"DEFB104A"</f>
        <v>DEFB104A</v>
      </c>
      <c r="B4661" t="s">
        <v>325</v>
      </c>
      <c r="C4661" t="s">
        <v>30</v>
      </c>
      <c r="D4661" t="s">
        <v>17</v>
      </c>
      <c r="E4661" t="s">
        <v>20</v>
      </c>
      <c r="F4661">
        <v>7693992</v>
      </c>
      <c r="G4661">
        <v>7693992</v>
      </c>
      <c r="H4661">
        <v>7693992</v>
      </c>
      <c r="I4661">
        <v>7693992</v>
      </c>
    </row>
    <row r="4662" spans="1:9" x14ac:dyDescent="0.2">
      <c r="A4662" s="1" t="str">
        <f>"DEFB104B"</f>
        <v>DEFB104B</v>
      </c>
      <c r="B4662" t="s">
        <v>326</v>
      </c>
      <c r="C4662" t="s">
        <v>30</v>
      </c>
      <c r="D4662" t="s">
        <v>11</v>
      </c>
      <c r="E4662" t="s">
        <v>20</v>
      </c>
      <c r="F4662">
        <v>7332603</v>
      </c>
      <c r="G4662">
        <v>7332603</v>
      </c>
      <c r="H4662">
        <v>7332603</v>
      </c>
      <c r="I4662">
        <v>7332603</v>
      </c>
    </row>
    <row r="4663" spans="1:9" x14ac:dyDescent="0.2">
      <c r="A4663" s="1" t="str">
        <f>"DEFB105A"</f>
        <v>DEFB105A</v>
      </c>
      <c r="B4663" t="s">
        <v>327</v>
      </c>
      <c r="C4663" t="s">
        <v>30</v>
      </c>
      <c r="D4663" t="s">
        <v>11</v>
      </c>
      <c r="E4663" t="s">
        <v>20</v>
      </c>
      <c r="F4663">
        <v>7681410</v>
      </c>
      <c r="G4663">
        <v>7681410</v>
      </c>
      <c r="H4663">
        <v>7681410</v>
      </c>
      <c r="I4663">
        <v>7681410</v>
      </c>
    </row>
    <row r="4664" spans="1:9" x14ac:dyDescent="0.2">
      <c r="A4664" s="1" t="str">
        <f>"DEFB105B"</f>
        <v>DEFB105B</v>
      </c>
      <c r="B4664" t="s">
        <v>328</v>
      </c>
      <c r="C4664" t="s">
        <v>30</v>
      </c>
      <c r="D4664" t="s">
        <v>17</v>
      </c>
      <c r="E4664" t="s">
        <v>20</v>
      </c>
      <c r="F4664">
        <v>7345190</v>
      </c>
      <c r="G4664">
        <v>7345190</v>
      </c>
      <c r="H4664">
        <v>7345190</v>
      </c>
      <c r="I4664">
        <v>7345190</v>
      </c>
    </row>
    <row r="4665" spans="1:9" x14ac:dyDescent="0.2">
      <c r="A4665" s="1" t="str">
        <f>"DEFB106A"</f>
        <v>DEFB106A</v>
      </c>
      <c r="B4665" t="s">
        <v>329</v>
      </c>
      <c r="C4665" t="s">
        <v>30</v>
      </c>
      <c r="D4665" t="s">
        <v>17</v>
      </c>
      <c r="E4665" t="s">
        <v>20</v>
      </c>
      <c r="F4665">
        <v>7682693</v>
      </c>
      <c r="G4665">
        <v>7682693</v>
      </c>
      <c r="H4665">
        <v>7682693</v>
      </c>
      <c r="I4665">
        <v>7682693</v>
      </c>
    </row>
    <row r="4666" spans="1:9" x14ac:dyDescent="0.2">
      <c r="A4666" s="1" t="str">
        <f>"DEFB106B"</f>
        <v>DEFB106B</v>
      </c>
      <c r="B4666" t="s">
        <v>330</v>
      </c>
      <c r="C4666" t="s">
        <v>30</v>
      </c>
      <c r="D4666" t="s">
        <v>11</v>
      </c>
      <c r="E4666" t="s">
        <v>20</v>
      </c>
      <c r="F4666">
        <v>7343921</v>
      </c>
      <c r="G4666">
        <v>7343921</v>
      </c>
      <c r="H4666">
        <v>7343921</v>
      </c>
      <c r="I4666">
        <v>7343921</v>
      </c>
    </row>
    <row r="4667" spans="1:9" x14ac:dyDescent="0.2">
      <c r="A4667" s="1" t="str">
        <f>"DEFB107A"</f>
        <v>DEFB107A</v>
      </c>
      <c r="B4667" t="s">
        <v>331</v>
      </c>
      <c r="C4667" t="s">
        <v>30</v>
      </c>
      <c r="D4667" t="s">
        <v>11</v>
      </c>
      <c r="E4667" t="s">
        <v>20</v>
      </c>
      <c r="F4667">
        <v>7673237</v>
      </c>
      <c r="G4667">
        <v>7673237</v>
      </c>
      <c r="H4667">
        <v>7673237</v>
      </c>
      <c r="I4667">
        <v>7673237</v>
      </c>
    </row>
    <row r="4668" spans="1:9" x14ac:dyDescent="0.2">
      <c r="A4668" s="1" t="str">
        <f>"DEFB107B"</f>
        <v>DEFB107B</v>
      </c>
      <c r="B4668" t="s">
        <v>332</v>
      </c>
      <c r="C4668" t="s">
        <v>30</v>
      </c>
      <c r="D4668" t="s">
        <v>17</v>
      </c>
      <c r="E4668" t="s">
        <v>20</v>
      </c>
      <c r="F4668">
        <v>7353367</v>
      </c>
      <c r="G4668">
        <v>7353367</v>
      </c>
      <c r="H4668">
        <v>7353367</v>
      </c>
      <c r="I4668">
        <v>7353367</v>
      </c>
    </row>
    <row r="4669" spans="1:9" x14ac:dyDescent="0.2">
      <c r="A4669" s="1" t="str">
        <f>"DEFB108B"</f>
        <v>DEFB108B</v>
      </c>
      <c r="B4669" t="s">
        <v>333</v>
      </c>
      <c r="C4669" t="s">
        <v>27</v>
      </c>
      <c r="D4669" t="s">
        <v>17</v>
      </c>
      <c r="E4669" t="s">
        <v>20</v>
      </c>
      <c r="F4669">
        <v>71544245</v>
      </c>
      <c r="G4669">
        <v>71544245</v>
      </c>
      <c r="H4669">
        <v>71544245</v>
      </c>
      <c r="I4669">
        <v>71544245</v>
      </c>
    </row>
    <row r="4670" spans="1:9" x14ac:dyDescent="0.2">
      <c r="A4670" s="1" t="str">
        <f>"DEFB110"</f>
        <v>DEFB110</v>
      </c>
      <c r="B4670" t="s">
        <v>14</v>
      </c>
      <c r="C4670" t="s">
        <v>32</v>
      </c>
      <c r="D4670" t="s">
        <v>11</v>
      </c>
      <c r="E4670" t="s">
        <v>12</v>
      </c>
      <c r="F4670">
        <v>49989700</v>
      </c>
      <c r="G4670">
        <v>49989711</v>
      </c>
      <c r="H4670">
        <v>49989700</v>
      </c>
      <c r="I4670">
        <v>49989711</v>
      </c>
    </row>
    <row r="4671" spans="1:9" x14ac:dyDescent="0.2">
      <c r="A4671" s="1" t="str">
        <f>"DEFB112"</f>
        <v>DEFB112</v>
      </c>
      <c r="B4671" t="s">
        <v>334</v>
      </c>
      <c r="C4671" t="s">
        <v>32</v>
      </c>
      <c r="D4671" t="s">
        <v>11</v>
      </c>
      <c r="E4671" t="s">
        <v>20</v>
      </c>
      <c r="F4671">
        <v>50016363</v>
      </c>
      <c r="G4671">
        <v>50016363</v>
      </c>
      <c r="H4671">
        <v>50016363</v>
      </c>
      <c r="I4671">
        <v>50016363</v>
      </c>
    </row>
    <row r="4672" spans="1:9" x14ac:dyDescent="0.2">
      <c r="A4672" s="1" t="str">
        <f>"DEFB113"</f>
        <v>DEFB113</v>
      </c>
      <c r="B4672" t="s">
        <v>335</v>
      </c>
      <c r="C4672" t="s">
        <v>32</v>
      </c>
      <c r="D4672" t="s">
        <v>11</v>
      </c>
      <c r="E4672" t="s">
        <v>20</v>
      </c>
      <c r="F4672">
        <v>49937337</v>
      </c>
      <c r="G4672">
        <v>49937337</v>
      </c>
      <c r="H4672">
        <v>49937337</v>
      </c>
      <c r="I4672">
        <v>49937337</v>
      </c>
    </row>
    <row r="4673" spans="1:9" x14ac:dyDescent="0.2">
      <c r="A4673" s="1" t="str">
        <f>"DEFB114"</f>
        <v>DEFB114</v>
      </c>
      <c r="B4673" t="s">
        <v>14</v>
      </c>
      <c r="C4673" t="s">
        <v>32</v>
      </c>
      <c r="D4673" t="s">
        <v>11</v>
      </c>
      <c r="E4673" t="s">
        <v>12</v>
      </c>
      <c r="F4673">
        <v>49931873</v>
      </c>
      <c r="G4673">
        <v>49931879</v>
      </c>
      <c r="H4673">
        <v>49931922</v>
      </c>
      <c r="I4673">
        <v>49931923</v>
      </c>
    </row>
    <row r="4674" spans="1:9" x14ac:dyDescent="0.2">
      <c r="A4674" s="1" t="str">
        <f>"DEFB115"</f>
        <v>DEFB115</v>
      </c>
      <c r="B4674" t="s">
        <v>336</v>
      </c>
      <c r="C4674" t="s">
        <v>29</v>
      </c>
      <c r="D4674" t="s">
        <v>17</v>
      </c>
      <c r="E4674" t="s">
        <v>20</v>
      </c>
      <c r="F4674">
        <v>29845466</v>
      </c>
      <c r="G4674">
        <v>29845466</v>
      </c>
      <c r="H4674">
        <v>29845466</v>
      </c>
      <c r="I4674">
        <v>29845466</v>
      </c>
    </row>
    <row r="4675" spans="1:9" x14ac:dyDescent="0.2">
      <c r="A4675" s="1" t="str">
        <f>"DEFB116"</f>
        <v>DEFB116</v>
      </c>
      <c r="B4675" t="s">
        <v>14</v>
      </c>
      <c r="C4675" t="s">
        <v>29</v>
      </c>
      <c r="D4675" t="s">
        <v>11</v>
      </c>
      <c r="E4675" t="s">
        <v>12</v>
      </c>
      <c r="F4675">
        <v>29896400</v>
      </c>
      <c r="G4675">
        <v>29896401</v>
      </c>
      <c r="H4675">
        <v>29896400</v>
      </c>
      <c r="I4675">
        <v>29896401</v>
      </c>
    </row>
    <row r="4676" spans="1:9" x14ac:dyDescent="0.2">
      <c r="A4676" s="1" t="str">
        <f>"DEFB118"</f>
        <v>DEFB118</v>
      </c>
      <c r="B4676" t="s">
        <v>14</v>
      </c>
      <c r="C4676" t="s">
        <v>29</v>
      </c>
      <c r="D4676" t="s">
        <v>17</v>
      </c>
      <c r="E4676" t="s">
        <v>12</v>
      </c>
      <c r="F4676">
        <v>29956369</v>
      </c>
      <c r="G4676">
        <v>29956413</v>
      </c>
      <c r="H4676">
        <v>29956369</v>
      </c>
      <c r="I4676">
        <v>29956413</v>
      </c>
    </row>
    <row r="4677" spans="1:9" x14ac:dyDescent="0.2">
      <c r="A4677" s="1" t="str">
        <f>"DEFB119"</f>
        <v>DEFB119</v>
      </c>
      <c r="B4677" t="s">
        <v>14</v>
      </c>
      <c r="C4677" t="s">
        <v>29</v>
      </c>
      <c r="D4677" t="s">
        <v>11</v>
      </c>
      <c r="E4677" t="s">
        <v>12</v>
      </c>
      <c r="F4677">
        <v>29978325</v>
      </c>
      <c r="G4677">
        <v>29978354</v>
      </c>
      <c r="H4677">
        <v>29978383</v>
      </c>
      <c r="I4677">
        <v>29978400</v>
      </c>
    </row>
    <row r="4678" spans="1:9" x14ac:dyDescent="0.2">
      <c r="A4678" s="1" t="str">
        <f>"DEFB121"</f>
        <v>DEFB121</v>
      </c>
      <c r="B4678" t="s">
        <v>14</v>
      </c>
      <c r="C4678" t="s">
        <v>29</v>
      </c>
      <c r="D4678" t="s">
        <v>11</v>
      </c>
      <c r="E4678" t="s">
        <v>12</v>
      </c>
      <c r="F4678">
        <v>29994007</v>
      </c>
      <c r="G4678">
        <v>29994020</v>
      </c>
      <c r="H4678">
        <v>29993985</v>
      </c>
      <c r="I4678">
        <v>29993999</v>
      </c>
    </row>
    <row r="4679" spans="1:9" x14ac:dyDescent="0.2">
      <c r="A4679" s="1" t="str">
        <f>"DEFB123"</f>
        <v>DEFB123</v>
      </c>
      <c r="B4679" t="s">
        <v>14</v>
      </c>
      <c r="C4679" t="s">
        <v>29</v>
      </c>
      <c r="D4679" t="s">
        <v>17</v>
      </c>
      <c r="E4679" t="s">
        <v>12</v>
      </c>
      <c r="F4679">
        <v>30028429</v>
      </c>
      <c r="G4679">
        <v>30028457</v>
      </c>
      <c r="H4679">
        <v>30028429</v>
      </c>
      <c r="I4679">
        <v>30028457</v>
      </c>
    </row>
    <row r="4680" spans="1:9" x14ac:dyDescent="0.2">
      <c r="A4680" s="1" t="str">
        <f>"DEFB124"</f>
        <v>DEFB124</v>
      </c>
      <c r="B4680" t="s">
        <v>14</v>
      </c>
      <c r="C4680" t="s">
        <v>29</v>
      </c>
      <c r="D4680" t="s">
        <v>11</v>
      </c>
      <c r="E4680" t="s">
        <v>12</v>
      </c>
      <c r="F4680">
        <v>30060876</v>
      </c>
      <c r="G4680">
        <v>30060907</v>
      </c>
      <c r="H4680">
        <v>30060957</v>
      </c>
      <c r="I4680">
        <v>30060967</v>
      </c>
    </row>
    <row r="4681" spans="1:9" x14ac:dyDescent="0.2">
      <c r="A4681" s="1" t="str">
        <f>"DEFB125"</f>
        <v>DEFB125</v>
      </c>
      <c r="B4681" t="s">
        <v>14</v>
      </c>
      <c r="C4681" t="s">
        <v>29</v>
      </c>
      <c r="D4681" t="s">
        <v>17</v>
      </c>
      <c r="E4681" t="s">
        <v>12</v>
      </c>
      <c r="F4681">
        <v>68306</v>
      </c>
      <c r="G4681">
        <v>68318</v>
      </c>
      <c r="H4681">
        <v>68295</v>
      </c>
      <c r="I4681">
        <v>68305</v>
      </c>
    </row>
    <row r="4682" spans="1:9" x14ac:dyDescent="0.2">
      <c r="A4682" s="1" t="str">
        <f>"DEFB126"</f>
        <v>DEFB126</v>
      </c>
      <c r="B4682" t="s">
        <v>14</v>
      </c>
      <c r="C4682" t="s">
        <v>29</v>
      </c>
      <c r="D4682" t="s">
        <v>17</v>
      </c>
      <c r="E4682" t="s">
        <v>12</v>
      </c>
      <c r="F4682">
        <v>123216</v>
      </c>
      <c r="G4682">
        <v>123241</v>
      </c>
      <c r="H4682">
        <v>123193</v>
      </c>
      <c r="I4682">
        <v>123198</v>
      </c>
    </row>
    <row r="4683" spans="1:9" x14ac:dyDescent="0.2">
      <c r="A4683" s="1" t="str">
        <f>"DEFB127"</f>
        <v>DEFB127</v>
      </c>
      <c r="B4683" t="s">
        <v>14</v>
      </c>
      <c r="C4683" t="s">
        <v>29</v>
      </c>
      <c r="D4683" t="s">
        <v>17</v>
      </c>
      <c r="E4683" t="s">
        <v>12</v>
      </c>
      <c r="F4683">
        <v>138089</v>
      </c>
      <c r="G4683">
        <v>138102</v>
      </c>
      <c r="H4683">
        <v>138128</v>
      </c>
      <c r="I4683">
        <v>138140</v>
      </c>
    </row>
    <row r="4684" spans="1:9" x14ac:dyDescent="0.2">
      <c r="A4684" s="1" t="str">
        <f>"DEFB128"</f>
        <v>DEFB128</v>
      </c>
      <c r="B4684" t="s">
        <v>14</v>
      </c>
      <c r="C4684" t="s">
        <v>29</v>
      </c>
      <c r="D4684" t="s">
        <v>11</v>
      </c>
      <c r="E4684" t="s">
        <v>12</v>
      </c>
      <c r="F4684">
        <v>170344</v>
      </c>
      <c r="G4684">
        <v>170356</v>
      </c>
      <c r="H4684">
        <v>170317</v>
      </c>
      <c r="I4684">
        <v>170326</v>
      </c>
    </row>
    <row r="4685" spans="1:9" x14ac:dyDescent="0.2">
      <c r="A4685" s="1" t="str">
        <f>"DEFB129"</f>
        <v>DEFB129</v>
      </c>
      <c r="B4685" t="s">
        <v>14</v>
      </c>
      <c r="C4685" t="s">
        <v>29</v>
      </c>
      <c r="D4685" t="s">
        <v>17</v>
      </c>
      <c r="E4685" t="s">
        <v>12</v>
      </c>
      <c r="F4685">
        <v>207892</v>
      </c>
      <c r="G4685">
        <v>207905</v>
      </c>
      <c r="H4685">
        <v>207892</v>
      </c>
      <c r="I4685">
        <v>207905</v>
      </c>
    </row>
    <row r="4686" spans="1:9" x14ac:dyDescent="0.2">
      <c r="A4686" s="1" t="str">
        <f>"DEFB130"</f>
        <v>DEFB130</v>
      </c>
      <c r="B4686" t="s">
        <v>337</v>
      </c>
      <c r="C4686" t="s">
        <v>30</v>
      </c>
      <c r="D4686" t="s">
        <v>11</v>
      </c>
      <c r="E4686" t="s">
        <v>20</v>
      </c>
      <c r="F4686">
        <v>12175824</v>
      </c>
      <c r="G4686">
        <v>12175824</v>
      </c>
      <c r="H4686">
        <v>12175824</v>
      </c>
      <c r="I4686">
        <v>12175824</v>
      </c>
    </row>
    <row r="4687" spans="1:9" x14ac:dyDescent="0.2">
      <c r="A4687" s="1" t="str">
        <f>"DEFB131"</f>
        <v>DEFB131</v>
      </c>
      <c r="B4687" t="s">
        <v>14</v>
      </c>
      <c r="C4687" t="s">
        <v>23</v>
      </c>
      <c r="D4687" t="s">
        <v>17</v>
      </c>
      <c r="E4687" t="s">
        <v>12</v>
      </c>
      <c r="F4687">
        <v>9446133</v>
      </c>
      <c r="G4687">
        <v>9446145</v>
      </c>
      <c r="H4687">
        <v>9446133</v>
      </c>
      <c r="I4687">
        <v>9446145</v>
      </c>
    </row>
    <row r="4688" spans="1:9" x14ac:dyDescent="0.2">
      <c r="A4688" s="1" t="str">
        <f>"DEFB132"</f>
        <v>DEFB132</v>
      </c>
      <c r="B4688" t="s">
        <v>14</v>
      </c>
      <c r="C4688" t="s">
        <v>29</v>
      </c>
      <c r="D4688" t="s">
        <v>17</v>
      </c>
      <c r="E4688" t="s">
        <v>12</v>
      </c>
      <c r="F4688">
        <v>238357</v>
      </c>
      <c r="G4688">
        <v>238374</v>
      </c>
      <c r="H4688">
        <v>238357</v>
      </c>
      <c r="I4688">
        <v>238374</v>
      </c>
    </row>
    <row r="4689" spans="1:9" x14ac:dyDescent="0.2">
      <c r="A4689" s="1" t="str">
        <f>"DEFB133"</f>
        <v>DEFB133</v>
      </c>
      <c r="B4689" t="s">
        <v>338</v>
      </c>
      <c r="C4689" t="s">
        <v>32</v>
      </c>
      <c r="D4689" t="s">
        <v>11</v>
      </c>
      <c r="E4689" t="s">
        <v>20</v>
      </c>
      <c r="F4689">
        <v>49917156</v>
      </c>
      <c r="G4689">
        <v>49917156</v>
      </c>
      <c r="H4689">
        <v>49917156</v>
      </c>
      <c r="I4689">
        <v>49917156</v>
      </c>
    </row>
    <row r="4690" spans="1:9" x14ac:dyDescent="0.2">
      <c r="A4690" s="1" t="str">
        <f>"DEFB134"</f>
        <v>DEFB134</v>
      </c>
      <c r="B4690" t="s">
        <v>14</v>
      </c>
      <c r="C4690" t="s">
        <v>30</v>
      </c>
      <c r="D4690" t="s">
        <v>11</v>
      </c>
      <c r="E4690" t="s">
        <v>12</v>
      </c>
      <c r="F4690">
        <v>11853819</v>
      </c>
      <c r="G4690">
        <v>11853827</v>
      </c>
      <c r="H4690">
        <v>11853819</v>
      </c>
      <c r="I4690">
        <v>11853827</v>
      </c>
    </row>
    <row r="4691" spans="1:9" x14ac:dyDescent="0.2">
      <c r="A4691" s="1" t="str">
        <f>"DEFB135"</f>
        <v>DEFB135</v>
      </c>
      <c r="B4691" t="s">
        <v>14</v>
      </c>
      <c r="C4691" t="s">
        <v>30</v>
      </c>
      <c r="D4691" t="s">
        <v>17</v>
      </c>
      <c r="E4691" t="s">
        <v>12</v>
      </c>
      <c r="F4691">
        <v>11839760</v>
      </c>
      <c r="G4691">
        <v>11839774</v>
      </c>
      <c r="H4691">
        <v>11839799</v>
      </c>
      <c r="I4691">
        <v>11839803</v>
      </c>
    </row>
    <row r="4692" spans="1:9" x14ac:dyDescent="0.2">
      <c r="A4692" s="1" t="str">
        <f>"DEFB136"</f>
        <v>DEFB136</v>
      </c>
      <c r="B4692" t="s">
        <v>339</v>
      </c>
      <c r="C4692" t="s">
        <v>30</v>
      </c>
      <c r="D4692" t="s">
        <v>11</v>
      </c>
      <c r="E4692" t="s">
        <v>20</v>
      </c>
      <c r="F4692">
        <v>11832107</v>
      </c>
      <c r="G4692">
        <v>11832107</v>
      </c>
      <c r="H4692">
        <v>11832107</v>
      </c>
      <c r="I4692">
        <v>11832107</v>
      </c>
    </row>
    <row r="4693" spans="1:9" x14ac:dyDescent="0.2">
      <c r="A4693" s="1" t="str">
        <f>"DEFB4A"</f>
        <v>DEFB4A</v>
      </c>
      <c r="B4693" t="s">
        <v>14</v>
      </c>
      <c r="C4693" t="s">
        <v>30</v>
      </c>
      <c r="D4693" t="s">
        <v>17</v>
      </c>
      <c r="E4693" t="s">
        <v>12</v>
      </c>
      <c r="F4693">
        <v>7752197</v>
      </c>
      <c r="G4693">
        <v>7752201</v>
      </c>
      <c r="H4693">
        <v>7752197</v>
      </c>
      <c r="I4693">
        <v>7752201</v>
      </c>
    </row>
    <row r="4694" spans="1:9" x14ac:dyDescent="0.2">
      <c r="A4694" s="1" t="str">
        <f>"DEFB4B"</f>
        <v>DEFB4B</v>
      </c>
      <c r="B4694" t="s">
        <v>340</v>
      </c>
      <c r="C4694" t="s">
        <v>30</v>
      </c>
      <c r="D4694" t="s">
        <v>11</v>
      </c>
      <c r="E4694" t="s">
        <v>20</v>
      </c>
      <c r="F4694">
        <v>7274384</v>
      </c>
      <c r="G4694">
        <v>7274384</v>
      </c>
      <c r="H4694">
        <v>7274384</v>
      </c>
      <c r="I4694">
        <v>7274384</v>
      </c>
    </row>
    <row r="4695" spans="1:9" x14ac:dyDescent="0.2">
      <c r="A4695" s="1" t="str">
        <f>"DEGS1"</f>
        <v>DEGS1</v>
      </c>
      <c r="B4695" t="s">
        <v>14</v>
      </c>
      <c r="C4695" t="s">
        <v>19</v>
      </c>
      <c r="D4695" t="s">
        <v>17</v>
      </c>
      <c r="E4695" t="s">
        <v>12</v>
      </c>
      <c r="F4695">
        <v>224370900</v>
      </c>
      <c r="G4695">
        <v>224370951</v>
      </c>
      <c r="H4695">
        <v>224371372</v>
      </c>
      <c r="I4695">
        <v>224371396</v>
      </c>
    </row>
    <row r="4696" spans="1:9" x14ac:dyDescent="0.2">
      <c r="A4696" s="1" t="str">
        <f>"DEGS2"</f>
        <v>DEGS2</v>
      </c>
      <c r="B4696" t="s">
        <v>14</v>
      </c>
      <c r="C4696" t="s">
        <v>41</v>
      </c>
      <c r="D4696" t="s">
        <v>11</v>
      </c>
      <c r="E4696" t="s">
        <v>12</v>
      </c>
      <c r="F4696">
        <v>100625961</v>
      </c>
      <c r="G4696">
        <v>100625988</v>
      </c>
      <c r="H4696">
        <v>100625991</v>
      </c>
      <c r="I4696">
        <v>100626025</v>
      </c>
    </row>
    <row r="4697" spans="1:9" x14ac:dyDescent="0.2">
      <c r="A4697" s="1" t="str">
        <f>"DEK"</f>
        <v>DEK</v>
      </c>
      <c r="B4697" t="s">
        <v>14</v>
      </c>
      <c r="C4697" t="s">
        <v>32</v>
      </c>
      <c r="D4697" t="s">
        <v>11</v>
      </c>
      <c r="E4697" t="s">
        <v>12</v>
      </c>
      <c r="F4697">
        <v>18264706</v>
      </c>
      <c r="G4697">
        <v>18264794</v>
      </c>
      <c r="H4697">
        <v>18264406</v>
      </c>
      <c r="I4697">
        <v>18264490</v>
      </c>
    </row>
    <row r="4698" spans="1:9" x14ac:dyDescent="0.2">
      <c r="A4698" s="1" t="str">
        <f>"DENND1A"</f>
        <v>DENND1A</v>
      </c>
      <c r="B4698" t="s">
        <v>14</v>
      </c>
      <c r="C4698" t="s">
        <v>24</v>
      </c>
      <c r="D4698" t="s">
        <v>11</v>
      </c>
      <c r="E4698" t="s">
        <v>12</v>
      </c>
      <c r="F4698">
        <v>126692386</v>
      </c>
      <c r="G4698">
        <v>126692430</v>
      </c>
      <c r="H4698">
        <v>126692219</v>
      </c>
      <c r="I4698">
        <v>126692274</v>
      </c>
    </row>
    <row r="4699" spans="1:9" x14ac:dyDescent="0.2">
      <c r="A4699" s="1" t="str">
        <f>"DENND1B"</f>
        <v>DENND1B</v>
      </c>
      <c r="B4699" t="s">
        <v>14</v>
      </c>
      <c r="C4699" t="s">
        <v>19</v>
      </c>
      <c r="D4699" t="s">
        <v>11</v>
      </c>
      <c r="E4699" t="s">
        <v>12</v>
      </c>
      <c r="F4699">
        <v>197744563</v>
      </c>
      <c r="G4699">
        <v>197744642</v>
      </c>
      <c r="H4699">
        <v>197744390</v>
      </c>
      <c r="I4699">
        <v>197744468</v>
      </c>
    </row>
    <row r="4700" spans="1:9" x14ac:dyDescent="0.2">
      <c r="A4700" s="1" t="str">
        <f>"DENND1C"</f>
        <v>DENND1C</v>
      </c>
      <c r="B4700" t="s">
        <v>14</v>
      </c>
      <c r="C4700" t="s">
        <v>10</v>
      </c>
      <c r="D4700" t="s">
        <v>11</v>
      </c>
      <c r="E4700" t="s">
        <v>12</v>
      </c>
      <c r="F4700">
        <v>6481776</v>
      </c>
      <c r="G4700">
        <v>6481815</v>
      </c>
      <c r="H4700">
        <v>6481759</v>
      </c>
      <c r="I4700">
        <v>6481771</v>
      </c>
    </row>
    <row r="4701" spans="1:9" x14ac:dyDescent="0.2">
      <c r="A4701" s="1" t="str">
        <f>"DENND2A"</f>
        <v>DENND2A</v>
      </c>
      <c r="B4701" t="s">
        <v>14</v>
      </c>
      <c r="C4701" t="s">
        <v>33</v>
      </c>
      <c r="D4701" t="s">
        <v>11</v>
      </c>
      <c r="E4701" t="s">
        <v>12</v>
      </c>
      <c r="F4701">
        <v>140340600</v>
      </c>
      <c r="G4701">
        <v>140340622</v>
      </c>
      <c r="H4701">
        <v>140340159</v>
      </c>
      <c r="I4701">
        <v>140340169</v>
      </c>
    </row>
    <row r="4702" spans="1:9" x14ac:dyDescent="0.2">
      <c r="A4702" s="1" t="str">
        <f>"DENND2C"</f>
        <v>DENND2C</v>
      </c>
      <c r="B4702" t="s">
        <v>14</v>
      </c>
      <c r="C4702" t="s">
        <v>19</v>
      </c>
      <c r="D4702" t="s">
        <v>11</v>
      </c>
      <c r="E4702" t="s">
        <v>12</v>
      </c>
      <c r="F4702">
        <v>115212640</v>
      </c>
      <c r="G4702">
        <v>115212681</v>
      </c>
      <c r="H4702">
        <v>115212619</v>
      </c>
      <c r="I4702">
        <v>115212636</v>
      </c>
    </row>
    <row r="4703" spans="1:9" x14ac:dyDescent="0.2">
      <c r="A4703" s="1" t="str">
        <f>"DENND2D"</f>
        <v>DENND2D</v>
      </c>
      <c r="B4703" t="s">
        <v>9</v>
      </c>
      <c r="C4703" t="s">
        <v>19</v>
      </c>
      <c r="D4703" t="s">
        <v>11</v>
      </c>
      <c r="E4703" t="s">
        <v>12</v>
      </c>
      <c r="F4703">
        <v>111743254</v>
      </c>
      <c r="G4703">
        <v>111743276</v>
      </c>
      <c r="H4703">
        <v>111743254</v>
      </c>
      <c r="I4703">
        <v>111743276</v>
      </c>
    </row>
    <row r="4704" spans="1:9" x14ac:dyDescent="0.2">
      <c r="A4704" s="1" t="str">
        <f>"DENND2D"</f>
        <v>DENND2D</v>
      </c>
      <c r="B4704" t="s">
        <v>13</v>
      </c>
      <c r="C4704" t="s">
        <v>19</v>
      </c>
      <c r="D4704" t="s">
        <v>11</v>
      </c>
      <c r="E4704" t="s">
        <v>12</v>
      </c>
      <c r="F4704">
        <v>111747111</v>
      </c>
      <c r="G4704">
        <v>111747226</v>
      </c>
      <c r="H4704">
        <v>111747111</v>
      </c>
      <c r="I4704">
        <v>111747226</v>
      </c>
    </row>
    <row r="4705" spans="1:9" x14ac:dyDescent="0.2">
      <c r="A4705" s="1" t="str">
        <f>"DENND3"</f>
        <v>DENND3</v>
      </c>
      <c r="B4705" t="s">
        <v>14</v>
      </c>
      <c r="C4705" t="s">
        <v>30</v>
      </c>
      <c r="D4705" t="s">
        <v>17</v>
      </c>
      <c r="E4705" t="s">
        <v>12</v>
      </c>
      <c r="F4705">
        <v>142138713</v>
      </c>
      <c r="G4705">
        <v>142138796</v>
      </c>
      <c r="H4705">
        <v>142138680</v>
      </c>
      <c r="I4705">
        <v>142138708</v>
      </c>
    </row>
    <row r="4706" spans="1:9" x14ac:dyDescent="0.2">
      <c r="A4706" s="1" t="str">
        <f>"DENND4A"</f>
        <v>DENND4A</v>
      </c>
      <c r="B4706" t="s">
        <v>14</v>
      </c>
      <c r="C4706" t="s">
        <v>25</v>
      </c>
      <c r="D4706" t="s">
        <v>11</v>
      </c>
      <c r="E4706" t="s">
        <v>12</v>
      </c>
      <c r="F4706">
        <v>66084428</v>
      </c>
      <c r="G4706">
        <v>66084478</v>
      </c>
      <c r="H4706">
        <v>66084621</v>
      </c>
      <c r="I4706">
        <v>66084645</v>
      </c>
    </row>
    <row r="4707" spans="1:9" x14ac:dyDescent="0.2">
      <c r="A4707" s="1" t="str">
        <f>"DENND4B"</f>
        <v>DENND4B</v>
      </c>
      <c r="B4707" t="s">
        <v>9</v>
      </c>
      <c r="C4707" t="s">
        <v>19</v>
      </c>
      <c r="D4707" t="s">
        <v>11</v>
      </c>
      <c r="E4707" t="s">
        <v>12</v>
      </c>
      <c r="F4707">
        <v>153917700</v>
      </c>
      <c r="G4707">
        <v>153917766</v>
      </c>
      <c r="H4707">
        <v>153917700</v>
      </c>
      <c r="I4707">
        <v>153917766</v>
      </c>
    </row>
    <row r="4708" spans="1:9" x14ac:dyDescent="0.2">
      <c r="A4708" s="1" t="str">
        <f>"DENND4B"</f>
        <v>DENND4B</v>
      </c>
      <c r="B4708" t="s">
        <v>13</v>
      </c>
      <c r="C4708" t="s">
        <v>19</v>
      </c>
      <c r="D4708" t="s">
        <v>11</v>
      </c>
      <c r="E4708" t="s">
        <v>12</v>
      </c>
      <c r="F4708">
        <v>153919128</v>
      </c>
      <c r="G4708">
        <v>153919225</v>
      </c>
      <c r="H4708">
        <v>153919128</v>
      </c>
      <c r="I4708">
        <v>153919225</v>
      </c>
    </row>
    <row r="4709" spans="1:9" x14ac:dyDescent="0.2">
      <c r="A4709" s="1" t="str">
        <f>"DENND4C"</f>
        <v>DENND4C</v>
      </c>
      <c r="B4709" t="s">
        <v>341</v>
      </c>
      <c r="C4709" t="s">
        <v>24</v>
      </c>
      <c r="D4709" t="s">
        <v>17</v>
      </c>
      <c r="E4709" t="s">
        <v>35</v>
      </c>
      <c r="F4709">
        <v>19230402</v>
      </c>
      <c r="G4709">
        <v>19230424</v>
      </c>
      <c r="H4709">
        <v>19230548</v>
      </c>
      <c r="I4709">
        <v>19230598</v>
      </c>
    </row>
    <row r="4710" spans="1:9" x14ac:dyDescent="0.2">
      <c r="A4710" s="1" t="str">
        <f>"DENND5A"</f>
        <v>DENND5A</v>
      </c>
      <c r="B4710" t="s">
        <v>14</v>
      </c>
      <c r="C4710" t="s">
        <v>27</v>
      </c>
      <c r="D4710" t="s">
        <v>11</v>
      </c>
      <c r="E4710" t="s">
        <v>12</v>
      </c>
      <c r="F4710">
        <v>9286848</v>
      </c>
      <c r="G4710">
        <v>9286920</v>
      </c>
      <c r="H4710">
        <v>9286921</v>
      </c>
      <c r="I4710">
        <v>9286935</v>
      </c>
    </row>
    <row r="4711" spans="1:9" x14ac:dyDescent="0.2">
      <c r="A4711" s="1" t="str">
        <f>"DENND5B"</f>
        <v>DENND5B</v>
      </c>
      <c r="B4711" t="s">
        <v>14</v>
      </c>
      <c r="C4711" t="s">
        <v>16</v>
      </c>
      <c r="D4711" t="s">
        <v>11</v>
      </c>
      <c r="E4711" t="s">
        <v>12</v>
      </c>
      <c r="F4711">
        <v>31743901</v>
      </c>
      <c r="G4711">
        <v>31743956</v>
      </c>
      <c r="H4711">
        <v>31744063</v>
      </c>
      <c r="I4711">
        <v>31744080</v>
      </c>
    </row>
    <row r="4712" spans="1:9" x14ac:dyDescent="0.2">
      <c r="A4712" s="1" t="str">
        <f>"DENND6A"</f>
        <v>DENND6A</v>
      </c>
      <c r="B4712" t="s">
        <v>14</v>
      </c>
      <c r="C4712" t="s">
        <v>22</v>
      </c>
      <c r="D4712" t="s">
        <v>11</v>
      </c>
      <c r="E4712" t="s">
        <v>12</v>
      </c>
      <c r="F4712">
        <v>57678772</v>
      </c>
      <c r="G4712">
        <v>57678838</v>
      </c>
      <c r="H4712">
        <v>57678703</v>
      </c>
      <c r="I4712">
        <v>57678712</v>
      </c>
    </row>
    <row r="4713" spans="1:9" x14ac:dyDescent="0.2">
      <c r="A4713" s="1" t="str">
        <f>"DENND6B"</f>
        <v>DENND6B</v>
      </c>
      <c r="B4713" t="s">
        <v>14</v>
      </c>
      <c r="C4713" t="s">
        <v>21</v>
      </c>
      <c r="D4713" t="s">
        <v>11</v>
      </c>
      <c r="E4713" t="s">
        <v>12</v>
      </c>
      <c r="F4713">
        <v>50765355</v>
      </c>
      <c r="G4713">
        <v>50765456</v>
      </c>
      <c r="H4713">
        <v>50765502</v>
      </c>
      <c r="I4713">
        <v>50765528</v>
      </c>
    </row>
    <row r="4714" spans="1:9" x14ac:dyDescent="0.2">
      <c r="A4714" s="1" t="str">
        <f>"DENR"</f>
        <v>DENR</v>
      </c>
      <c r="B4714" t="s">
        <v>14</v>
      </c>
      <c r="C4714" t="s">
        <v>16</v>
      </c>
      <c r="D4714" t="s">
        <v>17</v>
      </c>
      <c r="E4714" t="s">
        <v>12</v>
      </c>
      <c r="F4714">
        <v>123237361</v>
      </c>
      <c r="G4714">
        <v>123237407</v>
      </c>
      <c r="H4714">
        <v>123237414</v>
      </c>
      <c r="I4714">
        <v>123237437</v>
      </c>
    </row>
    <row r="4715" spans="1:9" x14ac:dyDescent="0.2">
      <c r="A4715" s="1" t="str">
        <f>"DEPDC1"</f>
        <v>DEPDC1</v>
      </c>
      <c r="B4715" t="s">
        <v>14</v>
      </c>
      <c r="C4715" t="s">
        <v>19</v>
      </c>
      <c r="D4715" t="s">
        <v>11</v>
      </c>
      <c r="E4715" t="s">
        <v>12</v>
      </c>
      <c r="F4715">
        <v>68962744</v>
      </c>
      <c r="G4715">
        <v>68962772</v>
      </c>
      <c r="H4715">
        <v>68962719</v>
      </c>
      <c r="I4715">
        <v>68962736</v>
      </c>
    </row>
    <row r="4716" spans="1:9" x14ac:dyDescent="0.2">
      <c r="A4716" s="1" t="str">
        <f>"DEPDC1B"</f>
        <v>DEPDC1B</v>
      </c>
      <c r="B4716" t="s">
        <v>14</v>
      </c>
      <c r="C4716" t="s">
        <v>46</v>
      </c>
      <c r="D4716" t="s">
        <v>11</v>
      </c>
      <c r="E4716" t="s">
        <v>12</v>
      </c>
      <c r="F4716">
        <v>59995921</v>
      </c>
      <c r="G4716">
        <v>59996000</v>
      </c>
      <c r="H4716">
        <v>59996013</v>
      </c>
      <c r="I4716">
        <v>59996026</v>
      </c>
    </row>
    <row r="4717" spans="1:9" x14ac:dyDescent="0.2">
      <c r="A4717" s="1" t="str">
        <f>"DEPDC4"</f>
        <v>DEPDC4</v>
      </c>
      <c r="B4717" t="s">
        <v>14</v>
      </c>
      <c r="C4717" t="s">
        <v>16</v>
      </c>
      <c r="D4717" t="s">
        <v>11</v>
      </c>
      <c r="E4717" t="s">
        <v>12</v>
      </c>
      <c r="F4717">
        <v>100660823</v>
      </c>
      <c r="G4717">
        <v>100660865</v>
      </c>
      <c r="H4717">
        <v>100660772</v>
      </c>
      <c r="I4717">
        <v>100660787</v>
      </c>
    </row>
    <row r="4718" spans="1:9" x14ac:dyDescent="0.2">
      <c r="A4718" s="1" t="str">
        <f>"DEPDC5"</f>
        <v>DEPDC5</v>
      </c>
      <c r="B4718" t="s">
        <v>14</v>
      </c>
      <c r="C4718" t="s">
        <v>21</v>
      </c>
      <c r="D4718" t="s">
        <v>17</v>
      </c>
      <c r="E4718" t="s">
        <v>12</v>
      </c>
      <c r="F4718">
        <v>32149927</v>
      </c>
      <c r="G4718">
        <v>32150081</v>
      </c>
      <c r="H4718">
        <v>32149927</v>
      </c>
      <c r="I4718">
        <v>32150081</v>
      </c>
    </row>
    <row r="4719" spans="1:9" x14ac:dyDescent="0.2">
      <c r="A4719" s="1" t="str">
        <f>"DEPDC7"</f>
        <v>DEPDC7</v>
      </c>
      <c r="B4719" t="s">
        <v>14</v>
      </c>
      <c r="C4719" t="s">
        <v>27</v>
      </c>
      <c r="D4719" t="s">
        <v>17</v>
      </c>
      <c r="E4719" t="s">
        <v>12</v>
      </c>
      <c r="F4719">
        <v>33037416</v>
      </c>
      <c r="G4719">
        <v>33037470</v>
      </c>
      <c r="H4719">
        <v>33037401</v>
      </c>
      <c r="I4719">
        <v>33037412</v>
      </c>
    </row>
    <row r="4720" spans="1:9" x14ac:dyDescent="0.2">
      <c r="A4720" s="1" t="str">
        <f>"DEPTOR"</f>
        <v>DEPTOR</v>
      </c>
      <c r="B4720" t="s">
        <v>14</v>
      </c>
      <c r="C4720" t="s">
        <v>30</v>
      </c>
      <c r="D4720" t="s">
        <v>17</v>
      </c>
      <c r="E4720" t="s">
        <v>12</v>
      </c>
      <c r="F4720">
        <v>120885949</v>
      </c>
      <c r="G4720">
        <v>120885976</v>
      </c>
      <c r="H4720">
        <v>120886006</v>
      </c>
      <c r="I4720">
        <v>120886025</v>
      </c>
    </row>
    <row r="4721" spans="1:9" x14ac:dyDescent="0.2">
      <c r="A4721" s="1" t="str">
        <f>"DERA"</f>
        <v>DERA</v>
      </c>
      <c r="B4721" t="s">
        <v>14</v>
      </c>
      <c r="C4721" t="s">
        <v>16</v>
      </c>
      <c r="D4721" t="s">
        <v>17</v>
      </c>
      <c r="E4721" t="s">
        <v>12</v>
      </c>
      <c r="F4721">
        <v>16064258</v>
      </c>
      <c r="G4721">
        <v>16064308</v>
      </c>
      <c r="H4721">
        <v>16064246</v>
      </c>
      <c r="I4721">
        <v>16064257</v>
      </c>
    </row>
    <row r="4722" spans="1:9" x14ac:dyDescent="0.2">
      <c r="A4722" s="1" t="str">
        <f>"DERL1"</f>
        <v>DERL1</v>
      </c>
      <c r="B4722" t="s">
        <v>14</v>
      </c>
      <c r="C4722" t="s">
        <v>30</v>
      </c>
      <c r="D4722" t="s">
        <v>11</v>
      </c>
      <c r="E4722" t="s">
        <v>12</v>
      </c>
      <c r="F4722">
        <v>124054484</v>
      </c>
      <c r="G4722">
        <v>124054565</v>
      </c>
      <c r="H4722">
        <v>124054569</v>
      </c>
      <c r="I4722">
        <v>124054584</v>
      </c>
    </row>
    <row r="4723" spans="1:9" x14ac:dyDescent="0.2">
      <c r="A4723" s="1" t="str">
        <f>"DERL2"</f>
        <v>DERL2</v>
      </c>
      <c r="B4723" t="s">
        <v>14</v>
      </c>
      <c r="C4723" t="s">
        <v>28</v>
      </c>
      <c r="D4723" t="s">
        <v>11</v>
      </c>
      <c r="E4723" t="s">
        <v>12</v>
      </c>
      <c r="F4723">
        <v>5389477</v>
      </c>
      <c r="G4723">
        <v>5389514</v>
      </c>
      <c r="H4723">
        <v>5389546</v>
      </c>
      <c r="I4723">
        <v>5389570</v>
      </c>
    </row>
    <row r="4724" spans="1:9" x14ac:dyDescent="0.2">
      <c r="A4724" s="1" t="str">
        <f>"DERL3"</f>
        <v>DERL3</v>
      </c>
      <c r="B4724" t="s">
        <v>14</v>
      </c>
      <c r="C4724" t="s">
        <v>21</v>
      </c>
      <c r="D4724" t="s">
        <v>11</v>
      </c>
      <c r="E4724" t="s">
        <v>12</v>
      </c>
      <c r="F4724">
        <v>24181174</v>
      </c>
      <c r="G4724">
        <v>24181200</v>
      </c>
      <c r="H4724">
        <v>24181201</v>
      </c>
      <c r="I4724">
        <v>24181229</v>
      </c>
    </row>
    <row r="4725" spans="1:9" x14ac:dyDescent="0.2">
      <c r="A4725" s="1" t="str">
        <f>"DES"</f>
        <v>DES</v>
      </c>
      <c r="B4725" t="s">
        <v>9</v>
      </c>
      <c r="C4725" t="s">
        <v>26</v>
      </c>
      <c r="D4725" t="s">
        <v>17</v>
      </c>
      <c r="E4725" t="s">
        <v>12</v>
      </c>
      <c r="F4725">
        <v>220283091</v>
      </c>
      <c r="G4725">
        <v>220283108</v>
      </c>
      <c r="H4725">
        <v>220283091</v>
      </c>
      <c r="I4725">
        <v>220283108</v>
      </c>
    </row>
    <row r="4726" spans="1:9" x14ac:dyDescent="0.2">
      <c r="A4726" s="1" t="str">
        <f>"DES"</f>
        <v>DES</v>
      </c>
      <c r="B4726" t="s">
        <v>13</v>
      </c>
      <c r="C4726" t="s">
        <v>26</v>
      </c>
      <c r="D4726" t="s">
        <v>17</v>
      </c>
      <c r="E4726" t="s">
        <v>12</v>
      </c>
      <c r="F4726">
        <v>220284788</v>
      </c>
      <c r="G4726">
        <v>220284812</v>
      </c>
      <c r="H4726">
        <v>220284788</v>
      </c>
      <c r="I4726">
        <v>220284812</v>
      </c>
    </row>
    <row r="4727" spans="1:9" x14ac:dyDescent="0.2">
      <c r="A4727" s="1" t="str">
        <f>"DESI1"</f>
        <v>DESI1</v>
      </c>
      <c r="B4727" t="s">
        <v>14</v>
      </c>
      <c r="C4727" t="s">
        <v>21</v>
      </c>
      <c r="D4727" t="s">
        <v>11</v>
      </c>
      <c r="E4727" t="s">
        <v>12</v>
      </c>
      <c r="F4727">
        <v>42017021</v>
      </c>
      <c r="G4727">
        <v>42017098</v>
      </c>
      <c r="H4727">
        <v>42017021</v>
      </c>
      <c r="I4727">
        <v>42017098</v>
      </c>
    </row>
    <row r="4728" spans="1:9" x14ac:dyDescent="0.2">
      <c r="A4728" s="1" t="str">
        <f>"DESI2"</f>
        <v>DESI2</v>
      </c>
      <c r="B4728" t="s">
        <v>14</v>
      </c>
      <c r="C4728" t="s">
        <v>19</v>
      </c>
      <c r="D4728" t="s">
        <v>17</v>
      </c>
      <c r="E4728" t="s">
        <v>12</v>
      </c>
      <c r="F4728">
        <v>244816371</v>
      </c>
      <c r="G4728">
        <v>244816443</v>
      </c>
      <c r="H4728">
        <v>244816467</v>
      </c>
      <c r="I4728">
        <v>244816478</v>
      </c>
    </row>
    <row r="4729" spans="1:9" x14ac:dyDescent="0.2">
      <c r="A4729" s="1" t="str">
        <f>"DET1"</f>
        <v>DET1</v>
      </c>
      <c r="B4729" t="s">
        <v>14</v>
      </c>
      <c r="C4729" t="s">
        <v>25</v>
      </c>
      <c r="D4729" t="s">
        <v>11</v>
      </c>
      <c r="E4729" t="s">
        <v>12</v>
      </c>
      <c r="F4729">
        <v>89089860</v>
      </c>
      <c r="G4729">
        <v>89089918</v>
      </c>
      <c r="H4729">
        <v>89089557</v>
      </c>
      <c r="I4729">
        <v>89089611</v>
      </c>
    </row>
    <row r="4730" spans="1:9" x14ac:dyDescent="0.2">
      <c r="A4730" s="1" t="str">
        <f>"DEXI"</f>
        <v>DEXI</v>
      </c>
      <c r="B4730" t="s">
        <v>14</v>
      </c>
      <c r="C4730" t="s">
        <v>31</v>
      </c>
      <c r="D4730" t="s">
        <v>11</v>
      </c>
      <c r="E4730" t="s">
        <v>12</v>
      </c>
      <c r="F4730">
        <v>11036300</v>
      </c>
      <c r="G4730">
        <v>11036342</v>
      </c>
      <c r="H4730">
        <v>11036353</v>
      </c>
      <c r="I4730">
        <v>11036364</v>
      </c>
    </row>
    <row r="4731" spans="1:9" x14ac:dyDescent="0.2">
      <c r="A4731" s="1" t="str">
        <f>"DFFA"</f>
        <v>DFFA</v>
      </c>
      <c r="B4731" t="s">
        <v>14</v>
      </c>
      <c r="C4731" t="s">
        <v>19</v>
      </c>
      <c r="D4731" t="s">
        <v>11</v>
      </c>
      <c r="E4731" t="s">
        <v>12</v>
      </c>
      <c r="F4731">
        <v>10532531</v>
      </c>
      <c r="G4731">
        <v>10532594</v>
      </c>
      <c r="H4731">
        <v>10532595</v>
      </c>
      <c r="I4731">
        <v>10532623</v>
      </c>
    </row>
    <row r="4732" spans="1:9" x14ac:dyDescent="0.2">
      <c r="A4732" s="1" t="str">
        <f>"DFFB"</f>
        <v>DFFB</v>
      </c>
      <c r="B4732" t="s">
        <v>14</v>
      </c>
      <c r="C4732" t="s">
        <v>19</v>
      </c>
      <c r="D4732" t="s">
        <v>17</v>
      </c>
      <c r="E4732" t="s">
        <v>12</v>
      </c>
      <c r="F4732">
        <v>3774016</v>
      </c>
      <c r="G4732">
        <v>3774056</v>
      </c>
      <c r="H4732">
        <v>3773825</v>
      </c>
      <c r="I4732">
        <v>3773855</v>
      </c>
    </row>
    <row r="4733" spans="1:9" x14ac:dyDescent="0.2">
      <c r="A4733" s="1" t="str">
        <f>"DFNA5"</f>
        <v>DFNA5</v>
      </c>
      <c r="B4733" t="s">
        <v>14</v>
      </c>
      <c r="C4733" t="s">
        <v>33</v>
      </c>
      <c r="D4733" t="s">
        <v>11</v>
      </c>
      <c r="E4733" t="s">
        <v>12</v>
      </c>
      <c r="F4733">
        <v>24797032</v>
      </c>
      <c r="G4733">
        <v>24797090</v>
      </c>
      <c r="H4733">
        <v>24797546</v>
      </c>
      <c r="I4733">
        <v>24797611</v>
      </c>
    </row>
    <row r="4734" spans="1:9" x14ac:dyDescent="0.2">
      <c r="A4734" s="1" t="str">
        <f>"DFNB31"</f>
        <v>DFNB31</v>
      </c>
      <c r="B4734" t="s">
        <v>14</v>
      </c>
      <c r="C4734" t="s">
        <v>24</v>
      </c>
      <c r="D4734" t="s">
        <v>11</v>
      </c>
      <c r="E4734" t="s">
        <v>12</v>
      </c>
      <c r="F4734">
        <v>117267741</v>
      </c>
      <c r="G4734">
        <v>117267810</v>
      </c>
      <c r="H4734">
        <v>117267717</v>
      </c>
      <c r="I4734">
        <v>117267738</v>
      </c>
    </row>
    <row r="4735" spans="1:9" x14ac:dyDescent="0.2">
      <c r="A4735" s="1" t="str">
        <f>"DFNB59"</f>
        <v>DFNB59</v>
      </c>
      <c r="B4735" t="s">
        <v>14</v>
      </c>
      <c r="C4735" t="s">
        <v>26</v>
      </c>
      <c r="D4735" t="s">
        <v>17</v>
      </c>
      <c r="E4735" t="s">
        <v>12</v>
      </c>
      <c r="F4735">
        <v>179316075</v>
      </c>
      <c r="G4735">
        <v>179316114</v>
      </c>
      <c r="H4735">
        <v>179316126</v>
      </c>
      <c r="I4735">
        <v>179316154</v>
      </c>
    </row>
    <row r="4736" spans="1:9" x14ac:dyDescent="0.2">
      <c r="A4736" s="1" t="str">
        <f>"DGAT1"</f>
        <v>DGAT1</v>
      </c>
      <c r="B4736" t="s">
        <v>14</v>
      </c>
      <c r="C4736" t="s">
        <v>30</v>
      </c>
      <c r="D4736" t="s">
        <v>11</v>
      </c>
      <c r="E4736" t="s">
        <v>12</v>
      </c>
      <c r="F4736">
        <v>145550505</v>
      </c>
      <c r="G4736">
        <v>145550523</v>
      </c>
      <c r="H4736">
        <v>145550542</v>
      </c>
      <c r="I4736">
        <v>145550561</v>
      </c>
    </row>
    <row r="4737" spans="1:9" x14ac:dyDescent="0.2">
      <c r="A4737" s="1" t="str">
        <f>"DGAT2"</f>
        <v>DGAT2</v>
      </c>
      <c r="B4737" t="s">
        <v>14</v>
      </c>
      <c r="C4737" t="s">
        <v>27</v>
      </c>
      <c r="D4737" t="s">
        <v>17</v>
      </c>
      <c r="E4737" t="s">
        <v>12</v>
      </c>
      <c r="F4737">
        <v>75479814</v>
      </c>
      <c r="G4737">
        <v>75479833</v>
      </c>
      <c r="H4737">
        <v>75479781</v>
      </c>
      <c r="I4737">
        <v>75479808</v>
      </c>
    </row>
    <row r="4738" spans="1:9" x14ac:dyDescent="0.2">
      <c r="A4738" s="1" t="str">
        <f>"DGAT2L6"</f>
        <v>DGAT2L6</v>
      </c>
      <c r="B4738" t="s">
        <v>14</v>
      </c>
      <c r="C4738" t="s">
        <v>37</v>
      </c>
      <c r="D4738" t="s">
        <v>17</v>
      </c>
      <c r="E4738" t="s">
        <v>12</v>
      </c>
      <c r="F4738">
        <v>69397315</v>
      </c>
      <c r="G4738">
        <v>69397351</v>
      </c>
      <c r="H4738">
        <v>69397387</v>
      </c>
      <c r="I4738">
        <v>69397405</v>
      </c>
    </row>
    <row r="4739" spans="1:9" x14ac:dyDescent="0.2">
      <c r="A4739" s="1" t="str">
        <f>"DGCR14"</f>
        <v>DGCR14</v>
      </c>
      <c r="B4739" t="s">
        <v>14</v>
      </c>
      <c r="C4739" t="s">
        <v>21</v>
      </c>
      <c r="D4739" t="s">
        <v>11</v>
      </c>
      <c r="E4739" t="s">
        <v>12</v>
      </c>
      <c r="F4739">
        <v>19132154</v>
      </c>
      <c r="G4739">
        <v>19132199</v>
      </c>
      <c r="H4739">
        <v>19132209</v>
      </c>
      <c r="I4739">
        <v>19132218</v>
      </c>
    </row>
    <row r="4740" spans="1:9" x14ac:dyDescent="0.2">
      <c r="A4740" s="1" t="str">
        <f>"DGCR2"</f>
        <v>DGCR2</v>
      </c>
      <c r="B4740" t="s">
        <v>14</v>
      </c>
      <c r="C4740" t="s">
        <v>21</v>
      </c>
      <c r="D4740" t="s">
        <v>11</v>
      </c>
      <c r="E4740" t="s">
        <v>12</v>
      </c>
      <c r="F4740">
        <v>19109901</v>
      </c>
      <c r="G4740">
        <v>19109951</v>
      </c>
      <c r="H4740">
        <v>19109901</v>
      </c>
      <c r="I4740">
        <v>19109951</v>
      </c>
    </row>
    <row r="4741" spans="1:9" x14ac:dyDescent="0.2">
      <c r="A4741" s="1" t="str">
        <f>"DGCR6"</f>
        <v>DGCR6</v>
      </c>
      <c r="B4741" t="s">
        <v>14</v>
      </c>
      <c r="C4741" t="s">
        <v>21</v>
      </c>
      <c r="D4741" t="s">
        <v>17</v>
      </c>
      <c r="E4741" t="s">
        <v>12</v>
      </c>
      <c r="F4741">
        <v>18893816</v>
      </c>
      <c r="G4741">
        <v>18893866</v>
      </c>
      <c r="H4741">
        <v>18893790</v>
      </c>
      <c r="I4741">
        <v>18893804</v>
      </c>
    </row>
    <row r="4742" spans="1:9" x14ac:dyDescent="0.2">
      <c r="A4742" s="1" t="str">
        <f>"DGCR6L"</f>
        <v>DGCR6L</v>
      </c>
      <c r="B4742" t="s">
        <v>14</v>
      </c>
      <c r="C4742" t="s">
        <v>21</v>
      </c>
      <c r="D4742" t="s">
        <v>11</v>
      </c>
      <c r="E4742" t="s">
        <v>12</v>
      </c>
      <c r="F4742">
        <v>20307537</v>
      </c>
      <c r="G4742">
        <v>20307590</v>
      </c>
      <c r="H4742">
        <v>20307537</v>
      </c>
      <c r="I4742">
        <v>20307590</v>
      </c>
    </row>
    <row r="4743" spans="1:9" x14ac:dyDescent="0.2">
      <c r="A4743" s="1" t="str">
        <f>"DGCR8"</f>
        <v>DGCR8</v>
      </c>
      <c r="B4743" t="s">
        <v>14</v>
      </c>
      <c r="C4743" t="s">
        <v>21</v>
      </c>
      <c r="D4743" t="s">
        <v>17</v>
      </c>
      <c r="E4743" t="s">
        <v>12</v>
      </c>
      <c r="F4743">
        <v>20067738</v>
      </c>
      <c r="G4743">
        <v>20067771</v>
      </c>
      <c r="H4743">
        <v>20067795</v>
      </c>
      <c r="I4743">
        <v>20067826</v>
      </c>
    </row>
    <row r="4744" spans="1:9" x14ac:dyDescent="0.2">
      <c r="A4744" s="1" t="str">
        <f>"DGKA"</f>
        <v>DGKA</v>
      </c>
      <c r="B4744" t="s">
        <v>14</v>
      </c>
      <c r="C4744" t="s">
        <v>16</v>
      </c>
      <c r="D4744" t="s">
        <v>17</v>
      </c>
      <c r="E4744" t="s">
        <v>12</v>
      </c>
      <c r="F4744">
        <v>56325827</v>
      </c>
      <c r="G4744">
        <v>56325884</v>
      </c>
      <c r="H4744">
        <v>56324933</v>
      </c>
      <c r="I4744">
        <v>56324982</v>
      </c>
    </row>
    <row r="4745" spans="1:9" x14ac:dyDescent="0.2">
      <c r="A4745" s="1" t="str">
        <f>"DGKB"</f>
        <v>DGKB</v>
      </c>
      <c r="B4745" t="s">
        <v>14</v>
      </c>
      <c r="C4745" t="s">
        <v>33</v>
      </c>
      <c r="D4745" t="s">
        <v>11</v>
      </c>
      <c r="E4745" t="s">
        <v>12</v>
      </c>
      <c r="F4745">
        <v>14942944</v>
      </c>
      <c r="G4745">
        <v>14942997</v>
      </c>
      <c r="H4745">
        <v>14942368</v>
      </c>
      <c r="I4745">
        <v>14942382</v>
      </c>
    </row>
    <row r="4746" spans="1:9" x14ac:dyDescent="0.2">
      <c r="A4746" s="1" t="str">
        <f>"DGKD"</f>
        <v>DGKD</v>
      </c>
      <c r="B4746" t="s">
        <v>14</v>
      </c>
      <c r="C4746" t="s">
        <v>26</v>
      </c>
      <c r="D4746" t="s">
        <v>17</v>
      </c>
      <c r="E4746" t="s">
        <v>12</v>
      </c>
      <c r="F4746">
        <v>234263120</v>
      </c>
      <c r="G4746">
        <v>234263174</v>
      </c>
      <c r="H4746">
        <v>234263120</v>
      </c>
      <c r="I4746">
        <v>234263174</v>
      </c>
    </row>
    <row r="4747" spans="1:9" x14ac:dyDescent="0.2">
      <c r="A4747" s="1" t="str">
        <f>"DGKE"</f>
        <v>DGKE</v>
      </c>
      <c r="B4747" t="s">
        <v>14</v>
      </c>
      <c r="C4747" t="s">
        <v>28</v>
      </c>
      <c r="D4747" t="s">
        <v>17</v>
      </c>
      <c r="E4747" t="s">
        <v>12</v>
      </c>
      <c r="F4747">
        <v>54911444</v>
      </c>
      <c r="G4747">
        <v>54911564</v>
      </c>
      <c r="H4747">
        <v>54912129</v>
      </c>
      <c r="I4747">
        <v>54912147</v>
      </c>
    </row>
    <row r="4748" spans="1:9" x14ac:dyDescent="0.2">
      <c r="A4748" s="1" t="str">
        <f>"DGKG"</f>
        <v>DGKG</v>
      </c>
      <c r="B4748" t="s">
        <v>14</v>
      </c>
      <c r="C4748" t="s">
        <v>22</v>
      </c>
      <c r="D4748" t="s">
        <v>11</v>
      </c>
      <c r="E4748" t="s">
        <v>12</v>
      </c>
      <c r="F4748">
        <v>186080012</v>
      </c>
      <c r="G4748">
        <v>186080030</v>
      </c>
      <c r="H4748">
        <v>186080012</v>
      </c>
      <c r="I4748">
        <v>186080030</v>
      </c>
    </row>
    <row r="4749" spans="1:9" x14ac:dyDescent="0.2">
      <c r="A4749" s="1" t="str">
        <f>"DGKH"</f>
        <v>DGKH</v>
      </c>
      <c r="B4749" t="s">
        <v>9</v>
      </c>
      <c r="C4749" t="s">
        <v>39</v>
      </c>
      <c r="D4749" t="s">
        <v>17</v>
      </c>
      <c r="E4749" t="s">
        <v>12</v>
      </c>
      <c r="F4749">
        <v>42622781</v>
      </c>
      <c r="G4749">
        <v>42622787</v>
      </c>
      <c r="H4749">
        <v>42622781</v>
      </c>
      <c r="I4749">
        <v>42622787</v>
      </c>
    </row>
    <row r="4750" spans="1:9" x14ac:dyDescent="0.2">
      <c r="A4750" s="1" t="str">
        <f>"DGKH"</f>
        <v>DGKH</v>
      </c>
      <c r="B4750" t="s">
        <v>13</v>
      </c>
      <c r="C4750" t="s">
        <v>39</v>
      </c>
      <c r="D4750" t="s">
        <v>17</v>
      </c>
      <c r="E4750" t="s">
        <v>12</v>
      </c>
      <c r="F4750">
        <v>42614200</v>
      </c>
      <c r="G4750">
        <v>42614212</v>
      </c>
      <c r="H4750">
        <v>42614200</v>
      </c>
      <c r="I4750">
        <v>42614212</v>
      </c>
    </row>
    <row r="4751" spans="1:9" x14ac:dyDescent="0.2">
      <c r="A4751" s="1" t="str">
        <f>"DGKI"</f>
        <v>DGKI</v>
      </c>
      <c r="B4751" t="s">
        <v>14</v>
      </c>
      <c r="C4751" t="s">
        <v>33</v>
      </c>
      <c r="D4751" t="s">
        <v>11</v>
      </c>
      <c r="E4751" t="s">
        <v>12</v>
      </c>
      <c r="F4751">
        <v>137531572</v>
      </c>
      <c r="G4751">
        <v>137531593</v>
      </c>
      <c r="H4751">
        <v>137531606</v>
      </c>
      <c r="I4751">
        <v>137531640</v>
      </c>
    </row>
    <row r="4752" spans="1:9" x14ac:dyDescent="0.2">
      <c r="A4752" s="1" t="str">
        <f>"DGKK"</f>
        <v>DGKK</v>
      </c>
      <c r="B4752" t="s">
        <v>14</v>
      </c>
      <c r="C4752" t="s">
        <v>37</v>
      </c>
      <c r="D4752" t="s">
        <v>11</v>
      </c>
      <c r="E4752" t="s">
        <v>12</v>
      </c>
      <c r="F4752">
        <v>50213818</v>
      </c>
      <c r="G4752">
        <v>50213829</v>
      </c>
      <c r="H4752">
        <v>50213698</v>
      </c>
      <c r="I4752">
        <v>50213712</v>
      </c>
    </row>
    <row r="4753" spans="1:9" x14ac:dyDescent="0.2">
      <c r="A4753" s="1" t="str">
        <f>"DGKQ"</f>
        <v>DGKQ</v>
      </c>
      <c r="B4753" t="s">
        <v>9</v>
      </c>
      <c r="C4753" t="s">
        <v>23</v>
      </c>
      <c r="D4753" t="s">
        <v>11</v>
      </c>
      <c r="E4753" t="s">
        <v>12</v>
      </c>
      <c r="F4753">
        <v>967326</v>
      </c>
      <c r="G4753">
        <v>967378</v>
      </c>
      <c r="H4753">
        <v>967326</v>
      </c>
      <c r="I4753">
        <v>967378</v>
      </c>
    </row>
    <row r="4754" spans="1:9" x14ac:dyDescent="0.2">
      <c r="A4754" s="1" t="str">
        <f>"DGKQ"</f>
        <v>DGKQ</v>
      </c>
      <c r="B4754" t="s">
        <v>13</v>
      </c>
      <c r="C4754" t="s">
        <v>23</v>
      </c>
      <c r="D4754" t="s">
        <v>11</v>
      </c>
      <c r="E4754" t="s">
        <v>12</v>
      </c>
      <c r="F4754">
        <v>980690</v>
      </c>
      <c r="G4754">
        <v>980738</v>
      </c>
      <c r="H4754">
        <v>980690</v>
      </c>
      <c r="I4754">
        <v>980738</v>
      </c>
    </row>
    <row r="4755" spans="1:9" x14ac:dyDescent="0.2">
      <c r="A4755" s="1" t="str">
        <f>"DGKZ"</f>
        <v>DGKZ</v>
      </c>
      <c r="B4755" t="s">
        <v>14</v>
      </c>
      <c r="C4755" t="s">
        <v>27</v>
      </c>
      <c r="D4755" t="s">
        <v>17</v>
      </c>
      <c r="E4755" t="s">
        <v>12</v>
      </c>
      <c r="F4755">
        <v>46368975</v>
      </c>
      <c r="G4755">
        <v>46369050</v>
      </c>
      <c r="H4755">
        <v>46369077</v>
      </c>
      <c r="I4755">
        <v>46369114</v>
      </c>
    </row>
    <row r="4756" spans="1:9" x14ac:dyDescent="0.2">
      <c r="A4756" s="1" t="str">
        <f>"DGUOK"</f>
        <v>DGUOK</v>
      </c>
      <c r="B4756" t="s">
        <v>14</v>
      </c>
      <c r="C4756" t="s">
        <v>26</v>
      </c>
      <c r="D4756" t="s">
        <v>17</v>
      </c>
      <c r="E4756" t="s">
        <v>12</v>
      </c>
      <c r="F4756">
        <v>74153986</v>
      </c>
      <c r="G4756">
        <v>74154029</v>
      </c>
      <c r="H4756">
        <v>74154032</v>
      </c>
      <c r="I4756">
        <v>74154067</v>
      </c>
    </row>
    <row r="4757" spans="1:9" x14ac:dyDescent="0.2">
      <c r="A4757" s="1" t="str">
        <f>"DHCR24"</f>
        <v>DHCR24</v>
      </c>
      <c r="B4757" t="s">
        <v>14</v>
      </c>
      <c r="C4757" t="s">
        <v>19</v>
      </c>
      <c r="D4757" t="s">
        <v>11</v>
      </c>
      <c r="E4757" t="s">
        <v>12</v>
      </c>
      <c r="F4757">
        <v>55352834</v>
      </c>
      <c r="G4757">
        <v>55352876</v>
      </c>
      <c r="H4757">
        <v>55352834</v>
      </c>
      <c r="I4757">
        <v>55352876</v>
      </c>
    </row>
    <row r="4758" spans="1:9" x14ac:dyDescent="0.2">
      <c r="A4758" s="1" t="str">
        <f>"DHCR7"</f>
        <v>DHCR7</v>
      </c>
      <c r="B4758" t="s">
        <v>14</v>
      </c>
      <c r="C4758" t="s">
        <v>27</v>
      </c>
      <c r="D4758" t="s">
        <v>11</v>
      </c>
      <c r="E4758" t="s">
        <v>12</v>
      </c>
      <c r="F4758">
        <v>71159380</v>
      </c>
      <c r="G4758">
        <v>71159449</v>
      </c>
      <c r="H4758">
        <v>71159458</v>
      </c>
      <c r="I4758">
        <v>71159469</v>
      </c>
    </row>
    <row r="4759" spans="1:9" x14ac:dyDescent="0.2">
      <c r="A4759" s="1" t="str">
        <f>"DHDDS"</f>
        <v>DHDDS</v>
      </c>
      <c r="B4759" t="s">
        <v>14</v>
      </c>
      <c r="C4759" t="s">
        <v>19</v>
      </c>
      <c r="D4759" t="s">
        <v>17</v>
      </c>
      <c r="E4759" t="s">
        <v>12</v>
      </c>
      <c r="F4759">
        <v>26758790</v>
      </c>
      <c r="G4759">
        <v>26758847</v>
      </c>
      <c r="H4759">
        <v>26758849</v>
      </c>
      <c r="I4759">
        <v>26758899</v>
      </c>
    </row>
    <row r="4760" spans="1:9" x14ac:dyDescent="0.2">
      <c r="A4760" s="1" t="str">
        <f>"DHDH"</f>
        <v>DHDH</v>
      </c>
      <c r="B4760" t="s">
        <v>14</v>
      </c>
      <c r="C4760" t="s">
        <v>10</v>
      </c>
      <c r="D4760" t="s">
        <v>17</v>
      </c>
      <c r="E4760" t="s">
        <v>12</v>
      </c>
      <c r="F4760">
        <v>49436936</v>
      </c>
      <c r="G4760">
        <v>49436971</v>
      </c>
      <c r="H4760">
        <v>49436904</v>
      </c>
      <c r="I4760">
        <v>49436935</v>
      </c>
    </row>
    <row r="4761" spans="1:9" x14ac:dyDescent="0.2">
      <c r="A4761" s="1" t="str">
        <f>"DHFR"</f>
        <v>DHFR</v>
      </c>
      <c r="B4761" t="s">
        <v>14</v>
      </c>
      <c r="C4761" t="s">
        <v>46</v>
      </c>
      <c r="D4761" t="s">
        <v>11</v>
      </c>
      <c r="E4761" t="s">
        <v>12</v>
      </c>
      <c r="F4761">
        <v>79950775</v>
      </c>
      <c r="G4761">
        <v>79950821</v>
      </c>
      <c r="H4761">
        <v>79950752</v>
      </c>
      <c r="I4761">
        <v>79950762</v>
      </c>
    </row>
    <row r="4762" spans="1:9" x14ac:dyDescent="0.2">
      <c r="A4762" s="1" t="str">
        <f>"DHFRL1"</f>
        <v>DHFRL1</v>
      </c>
      <c r="B4762" t="s">
        <v>14</v>
      </c>
      <c r="C4762" t="s">
        <v>22</v>
      </c>
      <c r="D4762" t="s">
        <v>11</v>
      </c>
      <c r="E4762" t="s">
        <v>12</v>
      </c>
      <c r="F4762">
        <v>93781750</v>
      </c>
      <c r="G4762">
        <v>93781778</v>
      </c>
      <c r="H4762">
        <v>93781726</v>
      </c>
      <c r="I4762">
        <v>93781749</v>
      </c>
    </row>
    <row r="4763" spans="1:9" x14ac:dyDescent="0.2">
      <c r="A4763" s="1" t="str">
        <f>"DHH"</f>
        <v>DHH</v>
      </c>
      <c r="B4763" t="s">
        <v>14</v>
      </c>
      <c r="C4763" t="s">
        <v>16</v>
      </c>
      <c r="D4763" t="s">
        <v>11</v>
      </c>
      <c r="E4763" t="s">
        <v>12</v>
      </c>
      <c r="F4763">
        <v>49488573</v>
      </c>
      <c r="G4763">
        <v>49488590</v>
      </c>
      <c r="H4763">
        <v>49488554</v>
      </c>
      <c r="I4763">
        <v>49488568</v>
      </c>
    </row>
    <row r="4764" spans="1:9" x14ac:dyDescent="0.2">
      <c r="A4764" s="1" t="str">
        <f>"DHODH"</f>
        <v>DHODH</v>
      </c>
      <c r="B4764" t="s">
        <v>9</v>
      </c>
      <c r="C4764" t="s">
        <v>31</v>
      </c>
      <c r="D4764" t="s">
        <v>17</v>
      </c>
      <c r="E4764" t="s">
        <v>12</v>
      </c>
      <c r="F4764">
        <v>72042636</v>
      </c>
      <c r="G4764">
        <v>72042660</v>
      </c>
      <c r="H4764">
        <v>72042636</v>
      </c>
      <c r="I4764">
        <v>72042660</v>
      </c>
    </row>
    <row r="4765" spans="1:9" x14ac:dyDescent="0.2">
      <c r="A4765" s="1" t="str">
        <f>"DHODH"</f>
        <v>DHODH</v>
      </c>
      <c r="B4765" t="s">
        <v>13</v>
      </c>
      <c r="C4765" t="s">
        <v>31</v>
      </c>
      <c r="D4765" t="s">
        <v>17</v>
      </c>
      <c r="E4765" t="s">
        <v>12</v>
      </c>
      <c r="F4765">
        <v>72049626</v>
      </c>
      <c r="G4765">
        <v>72049650</v>
      </c>
      <c r="H4765">
        <v>72049626</v>
      </c>
      <c r="I4765">
        <v>72049650</v>
      </c>
    </row>
    <row r="4766" spans="1:9" x14ac:dyDescent="0.2">
      <c r="A4766" s="1" t="str">
        <f>"DHPS"</f>
        <v>DHPS</v>
      </c>
      <c r="B4766" t="s">
        <v>14</v>
      </c>
      <c r="C4766" t="s">
        <v>10</v>
      </c>
      <c r="D4766" t="s">
        <v>11</v>
      </c>
      <c r="E4766" t="s">
        <v>12</v>
      </c>
      <c r="F4766">
        <v>12792654</v>
      </c>
      <c r="G4766">
        <v>12792703</v>
      </c>
      <c r="H4766">
        <v>12792632</v>
      </c>
      <c r="I4766">
        <v>12792650</v>
      </c>
    </row>
    <row r="4767" spans="1:9" x14ac:dyDescent="0.2">
      <c r="A4767" s="1" t="str">
        <f>"DHRS1"</f>
        <v>DHRS1</v>
      </c>
      <c r="B4767" t="s">
        <v>14</v>
      </c>
      <c r="C4767" t="s">
        <v>41</v>
      </c>
      <c r="D4767" t="s">
        <v>11</v>
      </c>
      <c r="E4767" t="s">
        <v>12</v>
      </c>
      <c r="F4767">
        <v>24768913</v>
      </c>
      <c r="G4767">
        <v>24769000</v>
      </c>
      <c r="H4767">
        <v>24768885</v>
      </c>
      <c r="I4767">
        <v>24768907</v>
      </c>
    </row>
    <row r="4768" spans="1:9" x14ac:dyDescent="0.2">
      <c r="A4768" s="1" t="str">
        <f>"DHRS11"</f>
        <v>DHRS11</v>
      </c>
      <c r="B4768" t="s">
        <v>14</v>
      </c>
      <c r="C4768" t="s">
        <v>28</v>
      </c>
      <c r="D4768" t="s">
        <v>17</v>
      </c>
      <c r="E4768" t="s">
        <v>12</v>
      </c>
      <c r="F4768">
        <v>34948274</v>
      </c>
      <c r="G4768">
        <v>34948357</v>
      </c>
      <c r="H4768">
        <v>34948238</v>
      </c>
      <c r="I4768">
        <v>34948249</v>
      </c>
    </row>
    <row r="4769" spans="1:9" x14ac:dyDescent="0.2">
      <c r="A4769" s="1" t="str">
        <f>"DHRS12"</f>
        <v>DHRS12</v>
      </c>
      <c r="B4769" t="s">
        <v>14</v>
      </c>
      <c r="C4769" t="s">
        <v>39</v>
      </c>
      <c r="D4769" t="s">
        <v>11</v>
      </c>
      <c r="E4769" t="s">
        <v>12</v>
      </c>
      <c r="F4769">
        <v>52378281</v>
      </c>
      <c r="G4769">
        <v>52378315</v>
      </c>
      <c r="H4769">
        <v>52378231</v>
      </c>
      <c r="I4769">
        <v>52378277</v>
      </c>
    </row>
    <row r="4770" spans="1:9" x14ac:dyDescent="0.2">
      <c r="A4770" s="1" t="str">
        <f>"DHRS13"</f>
        <v>DHRS13</v>
      </c>
      <c r="B4770" t="s">
        <v>14</v>
      </c>
      <c r="C4770" t="s">
        <v>28</v>
      </c>
      <c r="D4770" t="s">
        <v>11</v>
      </c>
      <c r="E4770" t="s">
        <v>12</v>
      </c>
      <c r="F4770">
        <v>27229948</v>
      </c>
      <c r="G4770">
        <v>27229996</v>
      </c>
      <c r="H4770">
        <v>27230035</v>
      </c>
      <c r="I4770">
        <v>27230105</v>
      </c>
    </row>
    <row r="4771" spans="1:9" x14ac:dyDescent="0.2">
      <c r="A4771" s="1" t="str">
        <f>"DHRS2"</f>
        <v>DHRS2</v>
      </c>
      <c r="B4771" t="s">
        <v>14</v>
      </c>
      <c r="C4771" t="s">
        <v>41</v>
      </c>
      <c r="D4771" t="s">
        <v>17</v>
      </c>
      <c r="E4771" t="s">
        <v>12</v>
      </c>
      <c r="F4771">
        <v>24105566</v>
      </c>
      <c r="G4771">
        <v>24105579</v>
      </c>
      <c r="H4771">
        <v>24105566</v>
      </c>
      <c r="I4771">
        <v>24105579</v>
      </c>
    </row>
    <row r="4772" spans="1:9" x14ac:dyDescent="0.2">
      <c r="A4772" s="1" t="str">
        <f>"DHRS3"</f>
        <v>DHRS3</v>
      </c>
      <c r="B4772" t="s">
        <v>14</v>
      </c>
      <c r="C4772" t="s">
        <v>19</v>
      </c>
      <c r="D4772" t="s">
        <v>11</v>
      </c>
      <c r="E4772" t="s">
        <v>12</v>
      </c>
      <c r="F4772">
        <v>12678204</v>
      </c>
      <c r="G4772">
        <v>12678238</v>
      </c>
      <c r="H4772">
        <v>12677781</v>
      </c>
      <c r="I4772">
        <v>12677800</v>
      </c>
    </row>
    <row r="4773" spans="1:9" x14ac:dyDescent="0.2">
      <c r="A4773" s="1" t="str">
        <f>"DHRS4"</f>
        <v>DHRS4</v>
      </c>
      <c r="B4773" t="s">
        <v>14</v>
      </c>
      <c r="C4773" t="s">
        <v>41</v>
      </c>
      <c r="D4773" t="s">
        <v>17</v>
      </c>
      <c r="E4773" t="s">
        <v>12</v>
      </c>
      <c r="F4773">
        <v>24422938</v>
      </c>
      <c r="G4773">
        <v>24422986</v>
      </c>
      <c r="H4773">
        <v>24422793</v>
      </c>
      <c r="I4773">
        <v>24422823</v>
      </c>
    </row>
    <row r="4774" spans="1:9" x14ac:dyDescent="0.2">
      <c r="A4774" s="1" t="str">
        <f>"DHRS4L1"</f>
        <v>DHRS4L1</v>
      </c>
      <c r="B4774" t="s">
        <v>14</v>
      </c>
      <c r="C4774" t="s">
        <v>41</v>
      </c>
      <c r="D4774" t="s">
        <v>17</v>
      </c>
      <c r="E4774" t="s">
        <v>12</v>
      </c>
      <c r="F4774">
        <v>24505640</v>
      </c>
      <c r="G4774">
        <v>24505664</v>
      </c>
      <c r="H4774">
        <v>24505686</v>
      </c>
      <c r="I4774">
        <v>24505735</v>
      </c>
    </row>
    <row r="4775" spans="1:9" x14ac:dyDescent="0.2">
      <c r="A4775" s="1" t="str">
        <f>"DHRS4L2"</f>
        <v>DHRS4L2</v>
      </c>
      <c r="B4775" t="s">
        <v>342</v>
      </c>
      <c r="C4775" t="s">
        <v>41</v>
      </c>
      <c r="D4775" t="s">
        <v>17</v>
      </c>
      <c r="E4775" t="s">
        <v>35</v>
      </c>
      <c r="F4775">
        <v>24458021</v>
      </c>
      <c r="G4775">
        <v>24458046</v>
      </c>
      <c r="H4775">
        <v>24458123</v>
      </c>
      <c r="I4775">
        <v>24458144</v>
      </c>
    </row>
    <row r="4776" spans="1:9" x14ac:dyDescent="0.2">
      <c r="A4776" s="1" t="str">
        <f>"DHRS7"</f>
        <v>DHRS7</v>
      </c>
      <c r="B4776" t="s">
        <v>14</v>
      </c>
      <c r="C4776" t="s">
        <v>41</v>
      </c>
      <c r="D4776" t="s">
        <v>11</v>
      </c>
      <c r="E4776" t="s">
        <v>12</v>
      </c>
      <c r="F4776">
        <v>60632081</v>
      </c>
      <c r="G4776">
        <v>60632143</v>
      </c>
      <c r="H4776">
        <v>60632043</v>
      </c>
      <c r="I4776">
        <v>60632073</v>
      </c>
    </row>
    <row r="4777" spans="1:9" x14ac:dyDescent="0.2">
      <c r="A4777" s="1" t="str">
        <f>"DHRS7B"</f>
        <v>DHRS7B</v>
      </c>
      <c r="B4777" t="s">
        <v>14</v>
      </c>
      <c r="C4777" t="s">
        <v>28</v>
      </c>
      <c r="D4777" t="s">
        <v>17</v>
      </c>
      <c r="E4777" t="s">
        <v>12</v>
      </c>
      <c r="F4777">
        <v>21030260</v>
      </c>
      <c r="G4777">
        <v>21030286</v>
      </c>
      <c r="H4777">
        <v>21030235</v>
      </c>
      <c r="I4777">
        <v>21030258</v>
      </c>
    </row>
    <row r="4778" spans="1:9" x14ac:dyDescent="0.2">
      <c r="A4778" s="1" t="str">
        <f>"DHRS7C"</f>
        <v>DHRS7C</v>
      </c>
      <c r="B4778" t="s">
        <v>14</v>
      </c>
      <c r="C4778" t="s">
        <v>28</v>
      </c>
      <c r="D4778" t="s">
        <v>11</v>
      </c>
      <c r="E4778" t="s">
        <v>12</v>
      </c>
      <c r="F4778">
        <v>9694903</v>
      </c>
      <c r="G4778">
        <v>9694910</v>
      </c>
      <c r="H4778">
        <v>9694903</v>
      </c>
      <c r="I4778">
        <v>9694910</v>
      </c>
    </row>
    <row r="4779" spans="1:9" x14ac:dyDescent="0.2">
      <c r="A4779" s="1" t="str">
        <f>"DHRS9"</f>
        <v>DHRS9</v>
      </c>
      <c r="B4779" t="s">
        <v>14</v>
      </c>
      <c r="C4779" t="s">
        <v>26</v>
      </c>
      <c r="D4779" t="s">
        <v>17</v>
      </c>
      <c r="E4779" t="s">
        <v>12</v>
      </c>
      <c r="F4779">
        <v>169926047</v>
      </c>
      <c r="G4779">
        <v>169926084</v>
      </c>
      <c r="H4779">
        <v>169926127</v>
      </c>
      <c r="I4779">
        <v>169926143</v>
      </c>
    </row>
    <row r="4780" spans="1:9" x14ac:dyDescent="0.2">
      <c r="A4780" s="1" t="str">
        <f>"DHRSX"</f>
        <v>DHRSX</v>
      </c>
      <c r="B4780" t="s">
        <v>14</v>
      </c>
      <c r="C4780" t="s">
        <v>37</v>
      </c>
      <c r="D4780" t="s">
        <v>11</v>
      </c>
      <c r="E4780" t="s">
        <v>12</v>
      </c>
      <c r="F4780">
        <v>2418949</v>
      </c>
      <c r="G4780">
        <v>2419024</v>
      </c>
      <c r="H4780">
        <v>2418634</v>
      </c>
      <c r="I4780">
        <v>2418682</v>
      </c>
    </row>
    <row r="4781" spans="1:9" x14ac:dyDescent="0.2">
      <c r="A4781" s="1" t="str">
        <f>"DHTKD1"</f>
        <v>DHTKD1</v>
      </c>
      <c r="B4781" t="s">
        <v>14</v>
      </c>
      <c r="C4781" t="s">
        <v>15</v>
      </c>
      <c r="D4781" t="s">
        <v>17</v>
      </c>
      <c r="E4781" t="s">
        <v>12</v>
      </c>
      <c r="F4781">
        <v>12110963</v>
      </c>
      <c r="G4781">
        <v>12111034</v>
      </c>
      <c r="H4781">
        <v>12110942</v>
      </c>
      <c r="I4781">
        <v>12110962</v>
      </c>
    </row>
    <row r="4782" spans="1:9" x14ac:dyDescent="0.2">
      <c r="A4782" s="1" t="str">
        <f>"DHX15"</f>
        <v>DHX15</v>
      </c>
      <c r="B4782" t="s">
        <v>14</v>
      </c>
      <c r="C4782" t="s">
        <v>23</v>
      </c>
      <c r="D4782" t="s">
        <v>11</v>
      </c>
      <c r="E4782" t="s">
        <v>12</v>
      </c>
      <c r="F4782">
        <v>24586140</v>
      </c>
      <c r="G4782">
        <v>24586188</v>
      </c>
      <c r="H4782">
        <v>24586127</v>
      </c>
      <c r="I4782">
        <v>24586138</v>
      </c>
    </row>
    <row r="4783" spans="1:9" x14ac:dyDescent="0.2">
      <c r="A4783" s="1" t="str">
        <f>"DHX16"</f>
        <v>DHX16</v>
      </c>
      <c r="B4783" t="s">
        <v>14</v>
      </c>
      <c r="C4783" t="s">
        <v>32</v>
      </c>
      <c r="D4783" t="s">
        <v>11</v>
      </c>
      <c r="E4783" t="s">
        <v>12</v>
      </c>
      <c r="F4783">
        <v>30640761</v>
      </c>
      <c r="G4783">
        <v>30640808</v>
      </c>
      <c r="H4783">
        <v>30640823</v>
      </c>
      <c r="I4783">
        <v>30640836</v>
      </c>
    </row>
    <row r="4784" spans="1:9" x14ac:dyDescent="0.2">
      <c r="A4784" s="1" t="str">
        <f>"DHX29"</f>
        <v>DHX29</v>
      </c>
      <c r="B4784" t="s">
        <v>14</v>
      </c>
      <c r="C4784" t="s">
        <v>46</v>
      </c>
      <c r="D4784" t="s">
        <v>11</v>
      </c>
      <c r="E4784" t="s">
        <v>12</v>
      </c>
      <c r="F4784">
        <v>54603461</v>
      </c>
      <c r="G4784">
        <v>54603537</v>
      </c>
      <c r="H4784">
        <v>54603461</v>
      </c>
      <c r="I4784">
        <v>54603537</v>
      </c>
    </row>
    <row r="4785" spans="1:9" x14ac:dyDescent="0.2">
      <c r="A4785" s="1" t="str">
        <f>"DHX30"</f>
        <v>DHX30</v>
      </c>
      <c r="B4785" t="s">
        <v>9</v>
      </c>
      <c r="C4785" t="s">
        <v>22</v>
      </c>
      <c r="D4785" t="s">
        <v>17</v>
      </c>
      <c r="E4785" t="s">
        <v>12</v>
      </c>
      <c r="F4785">
        <v>47866490</v>
      </c>
      <c r="G4785">
        <v>47866534</v>
      </c>
      <c r="H4785">
        <v>47866490</v>
      </c>
      <c r="I4785">
        <v>47866534</v>
      </c>
    </row>
    <row r="4786" spans="1:9" x14ac:dyDescent="0.2">
      <c r="A4786" s="1" t="str">
        <f>"DHX30"</f>
        <v>DHX30</v>
      </c>
      <c r="B4786" t="s">
        <v>13</v>
      </c>
      <c r="C4786" t="s">
        <v>22</v>
      </c>
      <c r="D4786" t="s">
        <v>17</v>
      </c>
      <c r="E4786" t="s">
        <v>12</v>
      </c>
      <c r="F4786">
        <v>47844615</v>
      </c>
      <c r="G4786">
        <v>47844682</v>
      </c>
      <c r="H4786">
        <v>47844615</v>
      </c>
      <c r="I4786">
        <v>47844682</v>
      </c>
    </row>
    <row r="4787" spans="1:9" x14ac:dyDescent="0.2">
      <c r="A4787" s="1" t="str">
        <f>"DHX32"</f>
        <v>DHX32</v>
      </c>
      <c r="B4787" t="s">
        <v>14</v>
      </c>
      <c r="C4787" t="s">
        <v>15</v>
      </c>
      <c r="D4787" t="s">
        <v>11</v>
      </c>
      <c r="E4787" t="s">
        <v>12</v>
      </c>
      <c r="F4787">
        <v>127585004</v>
      </c>
      <c r="G4787">
        <v>127585080</v>
      </c>
      <c r="H4787">
        <v>127584981</v>
      </c>
      <c r="I4787">
        <v>127584988</v>
      </c>
    </row>
    <row r="4788" spans="1:9" x14ac:dyDescent="0.2">
      <c r="A4788" s="1" t="str">
        <f>"DHX33"</f>
        <v>DHX33</v>
      </c>
      <c r="B4788" t="s">
        <v>14</v>
      </c>
      <c r="C4788" t="s">
        <v>28</v>
      </c>
      <c r="D4788" t="s">
        <v>11</v>
      </c>
      <c r="E4788" t="s">
        <v>12</v>
      </c>
      <c r="F4788">
        <v>5372271</v>
      </c>
      <c r="G4788">
        <v>5372356</v>
      </c>
      <c r="H4788">
        <v>5372079</v>
      </c>
      <c r="I4788">
        <v>5372152</v>
      </c>
    </row>
    <row r="4789" spans="1:9" x14ac:dyDescent="0.2">
      <c r="A4789" s="1" t="str">
        <f>"DHX34"</f>
        <v>DHX34</v>
      </c>
      <c r="B4789" t="s">
        <v>14</v>
      </c>
      <c r="C4789" t="s">
        <v>10</v>
      </c>
      <c r="D4789" t="s">
        <v>17</v>
      </c>
      <c r="E4789" t="s">
        <v>12</v>
      </c>
      <c r="F4789">
        <v>47852555</v>
      </c>
      <c r="G4789">
        <v>47852584</v>
      </c>
      <c r="H4789">
        <v>47852585</v>
      </c>
      <c r="I4789">
        <v>47852617</v>
      </c>
    </row>
    <row r="4790" spans="1:9" x14ac:dyDescent="0.2">
      <c r="A4790" s="1" t="str">
        <f>"DHX35"</f>
        <v>DHX35</v>
      </c>
      <c r="B4790" t="s">
        <v>14</v>
      </c>
      <c r="C4790" t="s">
        <v>29</v>
      </c>
      <c r="D4790" t="s">
        <v>17</v>
      </c>
      <c r="E4790" t="s">
        <v>12</v>
      </c>
      <c r="F4790">
        <v>37590979</v>
      </c>
      <c r="G4790">
        <v>37591015</v>
      </c>
      <c r="H4790">
        <v>37590864</v>
      </c>
      <c r="I4790">
        <v>37590907</v>
      </c>
    </row>
    <row r="4791" spans="1:9" x14ac:dyDescent="0.2">
      <c r="A4791" s="1" t="str">
        <f>"DHX36"</f>
        <v>DHX36</v>
      </c>
      <c r="B4791" t="s">
        <v>14</v>
      </c>
      <c r="C4791" t="s">
        <v>22</v>
      </c>
      <c r="D4791" t="s">
        <v>11</v>
      </c>
      <c r="E4791" t="s">
        <v>12</v>
      </c>
      <c r="F4791">
        <v>154042235</v>
      </c>
      <c r="G4791">
        <v>154042290</v>
      </c>
      <c r="H4791">
        <v>154042214</v>
      </c>
      <c r="I4791">
        <v>154042229</v>
      </c>
    </row>
    <row r="4792" spans="1:9" x14ac:dyDescent="0.2">
      <c r="A4792" s="1" t="str">
        <f>"DHX37"</f>
        <v>DHX37</v>
      </c>
      <c r="B4792" t="s">
        <v>14</v>
      </c>
      <c r="C4792" t="s">
        <v>16</v>
      </c>
      <c r="D4792" t="s">
        <v>11</v>
      </c>
      <c r="E4792" t="s">
        <v>12</v>
      </c>
      <c r="F4792">
        <v>125473600</v>
      </c>
      <c r="G4792">
        <v>125473686</v>
      </c>
      <c r="H4792">
        <v>125473569</v>
      </c>
      <c r="I4792">
        <v>125473582</v>
      </c>
    </row>
    <row r="4793" spans="1:9" x14ac:dyDescent="0.2">
      <c r="A4793" s="1" t="str">
        <f>"DHX38"</f>
        <v>DHX38</v>
      </c>
      <c r="B4793" t="s">
        <v>14</v>
      </c>
      <c r="C4793" t="s">
        <v>31</v>
      </c>
      <c r="D4793" t="s">
        <v>17</v>
      </c>
      <c r="E4793" t="s">
        <v>12</v>
      </c>
      <c r="F4793">
        <v>72127806</v>
      </c>
      <c r="G4793">
        <v>72127838</v>
      </c>
      <c r="H4793">
        <v>72127670</v>
      </c>
      <c r="I4793">
        <v>72127755</v>
      </c>
    </row>
    <row r="4794" spans="1:9" x14ac:dyDescent="0.2">
      <c r="A4794" s="1" t="str">
        <f>"DHX40"</f>
        <v>DHX40</v>
      </c>
      <c r="B4794" t="s">
        <v>14</v>
      </c>
      <c r="C4794" t="s">
        <v>28</v>
      </c>
      <c r="D4794" t="s">
        <v>17</v>
      </c>
      <c r="E4794" t="s">
        <v>12</v>
      </c>
      <c r="F4794">
        <v>57642959</v>
      </c>
      <c r="G4794">
        <v>57643006</v>
      </c>
      <c r="H4794">
        <v>57643013</v>
      </c>
      <c r="I4794">
        <v>57643020</v>
      </c>
    </row>
    <row r="4795" spans="1:9" x14ac:dyDescent="0.2">
      <c r="A4795" s="1" t="str">
        <f>"DHX57"</f>
        <v>DHX57</v>
      </c>
      <c r="B4795" t="s">
        <v>14</v>
      </c>
      <c r="C4795" t="s">
        <v>26</v>
      </c>
      <c r="D4795" t="s">
        <v>11</v>
      </c>
      <c r="E4795" t="s">
        <v>12</v>
      </c>
      <c r="F4795">
        <v>39103014</v>
      </c>
      <c r="G4795">
        <v>39103084</v>
      </c>
      <c r="H4795">
        <v>39102991</v>
      </c>
      <c r="I4795">
        <v>39103005</v>
      </c>
    </row>
    <row r="4796" spans="1:9" x14ac:dyDescent="0.2">
      <c r="A4796" s="1" t="str">
        <f>"DHX58"</f>
        <v>DHX58</v>
      </c>
      <c r="B4796" t="s">
        <v>14</v>
      </c>
      <c r="C4796" t="s">
        <v>28</v>
      </c>
      <c r="D4796" t="s">
        <v>11</v>
      </c>
      <c r="E4796" t="s">
        <v>12</v>
      </c>
      <c r="F4796">
        <v>40264692</v>
      </c>
      <c r="G4796">
        <v>40264753</v>
      </c>
      <c r="H4796">
        <v>40264184</v>
      </c>
      <c r="I4796">
        <v>40264230</v>
      </c>
    </row>
    <row r="4797" spans="1:9" x14ac:dyDescent="0.2">
      <c r="A4797" s="1" t="str">
        <f>"DHX8"</f>
        <v>DHX8</v>
      </c>
      <c r="B4797" t="s">
        <v>14</v>
      </c>
      <c r="C4797" t="s">
        <v>28</v>
      </c>
      <c r="D4797" t="s">
        <v>17</v>
      </c>
      <c r="E4797" t="s">
        <v>12</v>
      </c>
      <c r="F4797">
        <v>41561317</v>
      </c>
      <c r="G4797">
        <v>41561396</v>
      </c>
      <c r="H4797">
        <v>41561251</v>
      </c>
      <c r="I4797">
        <v>41561254</v>
      </c>
    </row>
    <row r="4798" spans="1:9" x14ac:dyDescent="0.2">
      <c r="A4798" s="1" t="str">
        <f>"DHX9"</f>
        <v>DHX9</v>
      </c>
      <c r="B4798" t="s">
        <v>14</v>
      </c>
      <c r="C4798" t="s">
        <v>19</v>
      </c>
      <c r="D4798" t="s">
        <v>17</v>
      </c>
      <c r="E4798" t="s">
        <v>12</v>
      </c>
      <c r="F4798">
        <v>182808474</v>
      </c>
      <c r="G4798">
        <v>182808498</v>
      </c>
      <c r="H4798">
        <v>182808445</v>
      </c>
      <c r="I4798">
        <v>182808456</v>
      </c>
    </row>
    <row r="4799" spans="1:9" x14ac:dyDescent="0.2">
      <c r="A4799" s="1" t="str">
        <f>"DIABLO"</f>
        <v>DIABLO</v>
      </c>
      <c r="B4799" t="s">
        <v>14</v>
      </c>
      <c r="C4799" t="s">
        <v>16</v>
      </c>
      <c r="D4799" t="s">
        <v>11</v>
      </c>
      <c r="E4799" t="s">
        <v>12</v>
      </c>
      <c r="F4799">
        <v>122710556</v>
      </c>
      <c r="G4799">
        <v>122710607</v>
      </c>
      <c r="H4799">
        <v>122710297</v>
      </c>
      <c r="I4799">
        <v>122710325</v>
      </c>
    </row>
    <row r="4800" spans="1:9" x14ac:dyDescent="0.2">
      <c r="A4800" s="1" t="str">
        <f>"DIAPH1"</f>
        <v>DIAPH1</v>
      </c>
      <c r="B4800" t="s">
        <v>14</v>
      </c>
      <c r="C4800" t="s">
        <v>46</v>
      </c>
      <c r="D4800" t="s">
        <v>11</v>
      </c>
      <c r="E4800" t="s">
        <v>12</v>
      </c>
      <c r="F4800">
        <v>140998524</v>
      </c>
      <c r="G4800">
        <v>140998581</v>
      </c>
      <c r="H4800">
        <v>140998583</v>
      </c>
      <c r="I4800">
        <v>140998602</v>
      </c>
    </row>
    <row r="4801" spans="1:9" x14ac:dyDescent="0.2">
      <c r="A4801" s="1" t="str">
        <f>"DIAPH2"</f>
        <v>DIAPH2</v>
      </c>
      <c r="B4801" t="s">
        <v>14</v>
      </c>
      <c r="C4801" t="s">
        <v>37</v>
      </c>
      <c r="D4801" t="s">
        <v>17</v>
      </c>
      <c r="E4801" t="s">
        <v>12</v>
      </c>
      <c r="F4801">
        <v>95939800</v>
      </c>
      <c r="G4801">
        <v>95939872</v>
      </c>
      <c r="H4801">
        <v>95939742</v>
      </c>
      <c r="I4801">
        <v>95939786</v>
      </c>
    </row>
    <row r="4802" spans="1:9" x14ac:dyDescent="0.2">
      <c r="A4802" s="1" t="str">
        <f>"DIAPH3"</f>
        <v>DIAPH3</v>
      </c>
      <c r="B4802" t="s">
        <v>14</v>
      </c>
      <c r="C4802" t="s">
        <v>39</v>
      </c>
      <c r="D4802" t="s">
        <v>11</v>
      </c>
      <c r="E4802" t="s">
        <v>12</v>
      </c>
      <c r="F4802">
        <v>60738003</v>
      </c>
      <c r="G4802">
        <v>60738103</v>
      </c>
      <c r="H4802">
        <v>60737951</v>
      </c>
      <c r="I4802">
        <v>60737983</v>
      </c>
    </row>
    <row r="4803" spans="1:9" x14ac:dyDescent="0.2">
      <c r="A4803" s="1" t="str">
        <f>"DICER1"</f>
        <v>DICER1</v>
      </c>
      <c r="B4803" t="s">
        <v>14</v>
      </c>
      <c r="C4803" t="s">
        <v>41</v>
      </c>
      <c r="D4803" t="s">
        <v>11</v>
      </c>
      <c r="E4803" t="s">
        <v>12</v>
      </c>
      <c r="F4803">
        <v>95623682</v>
      </c>
      <c r="G4803">
        <v>95623775</v>
      </c>
      <c r="H4803">
        <v>95623841</v>
      </c>
      <c r="I4803">
        <v>95623883</v>
      </c>
    </row>
    <row r="4804" spans="1:9" x14ac:dyDescent="0.2">
      <c r="A4804" s="1" t="str">
        <f>"DIDO1"</f>
        <v>DIDO1</v>
      </c>
      <c r="B4804" t="s">
        <v>9</v>
      </c>
      <c r="C4804" t="s">
        <v>29</v>
      </c>
      <c r="D4804" t="s">
        <v>11</v>
      </c>
      <c r="E4804" t="s">
        <v>12</v>
      </c>
      <c r="F4804">
        <v>61557821</v>
      </c>
      <c r="G4804">
        <v>61557881</v>
      </c>
      <c r="H4804">
        <v>61557821</v>
      </c>
      <c r="I4804">
        <v>61557881</v>
      </c>
    </row>
    <row r="4805" spans="1:9" x14ac:dyDescent="0.2">
      <c r="A4805" s="1" t="str">
        <f>"DIDO1"</f>
        <v>DIDO1</v>
      </c>
      <c r="B4805" t="s">
        <v>13</v>
      </c>
      <c r="C4805" t="s">
        <v>29</v>
      </c>
      <c r="D4805" t="s">
        <v>11</v>
      </c>
      <c r="E4805" t="s">
        <v>12</v>
      </c>
      <c r="F4805">
        <v>61569227</v>
      </c>
      <c r="G4805">
        <v>61569287</v>
      </c>
      <c r="H4805">
        <v>61569227</v>
      </c>
      <c r="I4805">
        <v>61569287</v>
      </c>
    </row>
    <row r="4806" spans="1:9" x14ac:dyDescent="0.2">
      <c r="A4806" s="1" t="str">
        <f>"DIEXF"</f>
        <v>DIEXF</v>
      </c>
      <c r="B4806" t="s">
        <v>14</v>
      </c>
      <c r="C4806" t="s">
        <v>19</v>
      </c>
      <c r="D4806" t="s">
        <v>17</v>
      </c>
      <c r="E4806" t="s">
        <v>12</v>
      </c>
      <c r="F4806">
        <v>210001309</v>
      </c>
      <c r="G4806">
        <v>210001411</v>
      </c>
      <c r="H4806">
        <v>210001309</v>
      </c>
      <c r="I4806">
        <v>210001411</v>
      </c>
    </row>
    <row r="4807" spans="1:9" x14ac:dyDescent="0.2">
      <c r="A4807" s="1" t="str">
        <f>"DIMT1"</f>
        <v>DIMT1</v>
      </c>
      <c r="B4807" t="s">
        <v>14</v>
      </c>
      <c r="C4807" t="s">
        <v>46</v>
      </c>
      <c r="D4807" t="s">
        <v>11</v>
      </c>
      <c r="E4807" t="s">
        <v>12</v>
      </c>
      <c r="F4807">
        <v>61699698</v>
      </c>
      <c r="G4807">
        <v>61699744</v>
      </c>
      <c r="H4807">
        <v>61699750</v>
      </c>
      <c r="I4807">
        <v>61699761</v>
      </c>
    </row>
    <row r="4808" spans="1:9" x14ac:dyDescent="0.2">
      <c r="A4808" s="1" t="str">
        <f>"DIO1"</f>
        <v>DIO1</v>
      </c>
      <c r="B4808" t="s">
        <v>14</v>
      </c>
      <c r="C4808" t="s">
        <v>19</v>
      </c>
      <c r="D4808" t="s">
        <v>17</v>
      </c>
      <c r="E4808" t="s">
        <v>12</v>
      </c>
      <c r="F4808">
        <v>54359854</v>
      </c>
      <c r="G4808">
        <v>54359866</v>
      </c>
      <c r="H4808">
        <v>54359854</v>
      </c>
      <c r="I4808">
        <v>54359866</v>
      </c>
    </row>
    <row r="4809" spans="1:9" x14ac:dyDescent="0.2">
      <c r="A4809" s="1" t="str">
        <f>"DIO2"</f>
        <v>DIO2</v>
      </c>
      <c r="B4809" t="s">
        <v>14</v>
      </c>
      <c r="C4809" t="s">
        <v>41</v>
      </c>
      <c r="D4809" t="s">
        <v>11</v>
      </c>
      <c r="E4809" t="s">
        <v>12</v>
      </c>
      <c r="F4809">
        <v>80678512</v>
      </c>
      <c r="G4809">
        <v>80678529</v>
      </c>
      <c r="H4809">
        <v>80677613</v>
      </c>
      <c r="I4809">
        <v>80677701</v>
      </c>
    </row>
    <row r="4810" spans="1:9" x14ac:dyDescent="0.2">
      <c r="A4810" s="1" t="str">
        <f>"DIO3"</f>
        <v>DIO3</v>
      </c>
      <c r="B4810" t="s">
        <v>14</v>
      </c>
      <c r="C4810" t="s">
        <v>41</v>
      </c>
      <c r="D4810" t="s">
        <v>17</v>
      </c>
      <c r="E4810" t="s">
        <v>12</v>
      </c>
      <c r="F4810">
        <v>102027829</v>
      </c>
      <c r="G4810">
        <v>102027833</v>
      </c>
      <c r="H4810">
        <v>102027890</v>
      </c>
      <c r="I4810">
        <v>102027892</v>
      </c>
    </row>
    <row r="4811" spans="1:9" x14ac:dyDescent="0.2">
      <c r="A4811" s="1" t="str">
        <f>"DIP2A"</f>
        <v>DIP2A</v>
      </c>
      <c r="B4811" t="s">
        <v>14</v>
      </c>
      <c r="C4811" t="s">
        <v>42</v>
      </c>
      <c r="D4811" t="s">
        <v>17</v>
      </c>
      <c r="E4811" t="s">
        <v>12</v>
      </c>
      <c r="F4811">
        <v>47878757</v>
      </c>
      <c r="G4811">
        <v>47878981</v>
      </c>
      <c r="H4811">
        <v>47878757</v>
      </c>
      <c r="I4811">
        <v>47878981</v>
      </c>
    </row>
    <row r="4812" spans="1:9" x14ac:dyDescent="0.2">
      <c r="A4812" s="1" t="str">
        <f>"DIP2B"</f>
        <v>DIP2B</v>
      </c>
      <c r="B4812" t="s">
        <v>14</v>
      </c>
      <c r="C4812" t="s">
        <v>16</v>
      </c>
      <c r="D4812" t="s">
        <v>17</v>
      </c>
      <c r="E4812" t="s">
        <v>12</v>
      </c>
      <c r="F4812">
        <v>50898753</v>
      </c>
      <c r="G4812">
        <v>50898817</v>
      </c>
      <c r="H4812">
        <v>50898881</v>
      </c>
      <c r="I4812">
        <v>50898907</v>
      </c>
    </row>
    <row r="4813" spans="1:9" x14ac:dyDescent="0.2">
      <c r="A4813" s="1" t="str">
        <f>"DIP2C"</f>
        <v>DIP2C</v>
      </c>
      <c r="B4813" t="s">
        <v>14</v>
      </c>
      <c r="C4813" t="s">
        <v>15</v>
      </c>
      <c r="D4813" t="s">
        <v>11</v>
      </c>
      <c r="E4813" t="s">
        <v>12</v>
      </c>
      <c r="F4813">
        <v>735553</v>
      </c>
      <c r="G4813">
        <v>735647</v>
      </c>
      <c r="H4813">
        <v>735553</v>
      </c>
      <c r="I4813">
        <v>735647</v>
      </c>
    </row>
    <row r="4814" spans="1:9" x14ac:dyDescent="0.2">
      <c r="A4814" s="1" t="str">
        <f>"DIRAS1"</f>
        <v>DIRAS1</v>
      </c>
      <c r="B4814" t="s">
        <v>14</v>
      </c>
      <c r="C4814" t="s">
        <v>10</v>
      </c>
      <c r="D4814" t="s">
        <v>11</v>
      </c>
      <c r="E4814" t="s">
        <v>12</v>
      </c>
      <c r="F4814">
        <v>2721336</v>
      </c>
      <c r="G4814">
        <v>2721383</v>
      </c>
      <c r="H4814">
        <v>2721393</v>
      </c>
      <c r="I4814">
        <v>2721410</v>
      </c>
    </row>
    <row r="4815" spans="1:9" x14ac:dyDescent="0.2">
      <c r="A4815" s="1" t="str">
        <f>"DIRAS2"</f>
        <v>DIRAS2</v>
      </c>
      <c r="B4815" t="s">
        <v>14</v>
      </c>
      <c r="C4815" t="s">
        <v>24</v>
      </c>
      <c r="D4815" t="s">
        <v>11</v>
      </c>
      <c r="E4815" t="s">
        <v>12</v>
      </c>
      <c r="F4815">
        <v>93405073</v>
      </c>
      <c r="G4815">
        <v>93405123</v>
      </c>
      <c r="H4815">
        <v>93405136</v>
      </c>
      <c r="I4815">
        <v>93405152</v>
      </c>
    </row>
    <row r="4816" spans="1:9" x14ac:dyDescent="0.2">
      <c r="A4816" s="1" t="str">
        <f>"DIRAS3"</f>
        <v>DIRAS3</v>
      </c>
      <c r="B4816" t="s">
        <v>14</v>
      </c>
      <c r="C4816" t="s">
        <v>19</v>
      </c>
      <c r="D4816" t="s">
        <v>11</v>
      </c>
      <c r="E4816" t="s">
        <v>12</v>
      </c>
      <c r="F4816">
        <v>68516298</v>
      </c>
      <c r="G4816">
        <v>68516336</v>
      </c>
      <c r="H4816">
        <v>68516268</v>
      </c>
      <c r="I4816">
        <v>68516294</v>
      </c>
    </row>
    <row r="4817" spans="1:9" x14ac:dyDescent="0.2">
      <c r="A4817" s="1" t="str">
        <f>"DIRC1"</f>
        <v>DIRC1</v>
      </c>
      <c r="B4817" t="s">
        <v>14</v>
      </c>
      <c r="C4817" t="s">
        <v>26</v>
      </c>
      <c r="D4817" t="s">
        <v>11</v>
      </c>
      <c r="E4817" t="s">
        <v>12</v>
      </c>
      <c r="F4817">
        <v>189654840</v>
      </c>
      <c r="G4817">
        <v>189654855</v>
      </c>
      <c r="H4817">
        <v>189654770</v>
      </c>
      <c r="I4817">
        <v>189654781</v>
      </c>
    </row>
    <row r="4818" spans="1:9" x14ac:dyDescent="0.2">
      <c r="A4818" s="1" t="str">
        <f>"DIRC2"</f>
        <v>DIRC2</v>
      </c>
      <c r="B4818" t="s">
        <v>14</v>
      </c>
      <c r="C4818" t="s">
        <v>22</v>
      </c>
      <c r="D4818" t="s">
        <v>17</v>
      </c>
      <c r="E4818" t="s">
        <v>12</v>
      </c>
      <c r="F4818">
        <v>122513887</v>
      </c>
      <c r="G4818">
        <v>122513992</v>
      </c>
      <c r="H4818">
        <v>122513700</v>
      </c>
      <c r="I4818">
        <v>122513738</v>
      </c>
    </row>
    <row r="4819" spans="1:9" x14ac:dyDescent="0.2">
      <c r="A4819" s="1" t="str">
        <f>"DIS3"</f>
        <v>DIS3</v>
      </c>
      <c r="B4819" t="s">
        <v>14</v>
      </c>
      <c r="C4819" t="s">
        <v>39</v>
      </c>
      <c r="D4819" t="s">
        <v>11</v>
      </c>
      <c r="E4819" t="s">
        <v>12</v>
      </c>
      <c r="F4819">
        <v>73356009</v>
      </c>
      <c r="G4819">
        <v>73356074</v>
      </c>
      <c r="H4819">
        <v>73356076</v>
      </c>
      <c r="I4819">
        <v>73356090</v>
      </c>
    </row>
    <row r="4820" spans="1:9" x14ac:dyDescent="0.2">
      <c r="A4820" s="1" t="str">
        <f>"DIS3L"</f>
        <v>DIS3L</v>
      </c>
      <c r="B4820" t="s">
        <v>14</v>
      </c>
      <c r="C4820" t="s">
        <v>25</v>
      </c>
      <c r="D4820" t="s">
        <v>17</v>
      </c>
      <c r="E4820" t="s">
        <v>12</v>
      </c>
      <c r="F4820">
        <v>66585879</v>
      </c>
      <c r="G4820">
        <v>66585948</v>
      </c>
      <c r="H4820">
        <v>66586134</v>
      </c>
      <c r="I4820">
        <v>66586186</v>
      </c>
    </row>
    <row r="4821" spans="1:9" x14ac:dyDescent="0.2">
      <c r="A4821" s="1" t="str">
        <f>"DIS3L2"</f>
        <v>DIS3L2</v>
      </c>
      <c r="B4821" t="s">
        <v>14</v>
      </c>
      <c r="C4821" t="s">
        <v>26</v>
      </c>
      <c r="D4821" t="s">
        <v>17</v>
      </c>
      <c r="E4821" t="s">
        <v>12</v>
      </c>
      <c r="F4821">
        <v>232826412</v>
      </c>
      <c r="G4821">
        <v>232826449</v>
      </c>
      <c r="H4821">
        <v>232826211</v>
      </c>
      <c r="I4821">
        <v>232826249</v>
      </c>
    </row>
    <row r="4822" spans="1:9" x14ac:dyDescent="0.2">
      <c r="A4822" s="1" t="str">
        <f>"DISC1"</f>
        <v>DISC1</v>
      </c>
      <c r="B4822" t="s">
        <v>14</v>
      </c>
      <c r="C4822" t="s">
        <v>19</v>
      </c>
      <c r="D4822" t="s">
        <v>17</v>
      </c>
      <c r="E4822" t="s">
        <v>12</v>
      </c>
      <c r="F4822">
        <v>231762526</v>
      </c>
      <c r="G4822">
        <v>231762587</v>
      </c>
      <c r="H4822">
        <v>231762408</v>
      </c>
      <c r="I4822">
        <v>231762461</v>
      </c>
    </row>
    <row r="4823" spans="1:9" x14ac:dyDescent="0.2">
      <c r="A4823" s="1" t="str">
        <f>"DISP1"</f>
        <v>DISP1</v>
      </c>
      <c r="B4823" t="s">
        <v>343</v>
      </c>
      <c r="C4823" t="s">
        <v>19</v>
      </c>
      <c r="D4823" t="s">
        <v>17</v>
      </c>
      <c r="E4823" t="s">
        <v>35</v>
      </c>
      <c r="F4823">
        <v>223101757</v>
      </c>
      <c r="G4823">
        <v>223101776</v>
      </c>
      <c r="H4823">
        <v>223101832</v>
      </c>
      <c r="I4823">
        <v>223101847</v>
      </c>
    </row>
    <row r="4824" spans="1:9" x14ac:dyDescent="0.2">
      <c r="A4824" s="1" t="str">
        <f>"DISP2"</f>
        <v>DISP2</v>
      </c>
      <c r="B4824" t="s">
        <v>14</v>
      </c>
      <c r="C4824" t="s">
        <v>25</v>
      </c>
      <c r="D4824" t="s">
        <v>17</v>
      </c>
      <c r="E4824" t="s">
        <v>12</v>
      </c>
      <c r="F4824">
        <v>40650463</v>
      </c>
      <c r="G4824">
        <v>40650527</v>
      </c>
      <c r="H4824">
        <v>40650408</v>
      </c>
      <c r="I4824">
        <v>40650432</v>
      </c>
    </row>
    <row r="4825" spans="1:9" x14ac:dyDescent="0.2">
      <c r="A4825" s="1" t="str">
        <f>"DIXDC1"</f>
        <v>DIXDC1</v>
      </c>
      <c r="B4825" t="s">
        <v>344</v>
      </c>
      <c r="C4825" t="s">
        <v>27</v>
      </c>
      <c r="D4825" t="s">
        <v>17</v>
      </c>
      <c r="E4825" t="s">
        <v>35</v>
      </c>
      <c r="F4825">
        <v>111807863</v>
      </c>
      <c r="G4825">
        <v>111807937</v>
      </c>
      <c r="H4825">
        <v>111808119</v>
      </c>
      <c r="I4825">
        <v>111808141</v>
      </c>
    </row>
    <row r="4826" spans="1:9" x14ac:dyDescent="0.2">
      <c r="A4826" s="1" t="str">
        <f>"DKC1"</f>
        <v>DKC1</v>
      </c>
      <c r="B4826" t="s">
        <v>14</v>
      </c>
      <c r="C4826" t="s">
        <v>37</v>
      </c>
      <c r="D4826" t="s">
        <v>17</v>
      </c>
      <c r="E4826" t="s">
        <v>12</v>
      </c>
      <c r="F4826">
        <v>153991088</v>
      </c>
      <c r="G4826">
        <v>153991168</v>
      </c>
      <c r="H4826">
        <v>153991175</v>
      </c>
      <c r="I4826">
        <v>153991226</v>
      </c>
    </row>
    <row r="4827" spans="1:9" x14ac:dyDescent="0.2">
      <c r="A4827" s="1" t="str">
        <f>"DKK1"</f>
        <v>DKK1</v>
      </c>
      <c r="B4827" t="s">
        <v>14</v>
      </c>
      <c r="C4827" t="s">
        <v>15</v>
      </c>
      <c r="D4827" t="s">
        <v>17</v>
      </c>
      <c r="E4827" t="s">
        <v>12</v>
      </c>
      <c r="F4827">
        <v>54074033</v>
      </c>
      <c r="G4827">
        <v>54074050</v>
      </c>
      <c r="H4827">
        <v>54074668</v>
      </c>
      <c r="I4827">
        <v>54074716</v>
      </c>
    </row>
    <row r="4828" spans="1:9" x14ac:dyDescent="0.2">
      <c r="A4828" s="1" t="str">
        <f>"DKK2"</f>
        <v>DKK2</v>
      </c>
      <c r="B4828" t="s">
        <v>14</v>
      </c>
      <c r="C4828" t="s">
        <v>23</v>
      </c>
      <c r="D4828" t="s">
        <v>11</v>
      </c>
      <c r="E4828" t="s">
        <v>12</v>
      </c>
      <c r="F4828">
        <v>107957459</v>
      </c>
      <c r="G4828">
        <v>107957475</v>
      </c>
      <c r="H4828">
        <v>107956965</v>
      </c>
      <c r="I4828">
        <v>107956995</v>
      </c>
    </row>
    <row r="4829" spans="1:9" x14ac:dyDescent="0.2">
      <c r="A4829" s="1" t="str">
        <f>"DKK3"</f>
        <v>DKK3</v>
      </c>
      <c r="B4829" t="s">
        <v>14</v>
      </c>
      <c r="C4829" t="s">
        <v>27</v>
      </c>
      <c r="D4829" t="s">
        <v>11</v>
      </c>
      <c r="E4829" t="s">
        <v>12</v>
      </c>
      <c r="F4829">
        <v>12030131</v>
      </c>
      <c r="G4829">
        <v>12030183</v>
      </c>
      <c r="H4829">
        <v>12030847</v>
      </c>
      <c r="I4829">
        <v>12030895</v>
      </c>
    </row>
    <row r="4830" spans="1:9" x14ac:dyDescent="0.2">
      <c r="A4830" s="1" t="str">
        <f>"DKK4"</f>
        <v>DKK4</v>
      </c>
      <c r="B4830" t="s">
        <v>14</v>
      </c>
      <c r="C4830" t="s">
        <v>30</v>
      </c>
      <c r="D4830" t="s">
        <v>11</v>
      </c>
      <c r="E4830" t="s">
        <v>12</v>
      </c>
      <c r="F4830">
        <v>42234745</v>
      </c>
      <c r="G4830">
        <v>42234750</v>
      </c>
      <c r="H4830">
        <v>42234672</v>
      </c>
      <c r="I4830">
        <v>42234713</v>
      </c>
    </row>
    <row r="4831" spans="1:9" x14ac:dyDescent="0.2">
      <c r="A4831" s="1" t="str">
        <f>"DKKL1"</f>
        <v>DKKL1</v>
      </c>
      <c r="B4831" t="s">
        <v>14</v>
      </c>
      <c r="C4831" t="s">
        <v>10</v>
      </c>
      <c r="D4831" t="s">
        <v>17</v>
      </c>
      <c r="E4831" t="s">
        <v>12</v>
      </c>
      <c r="F4831">
        <v>49867088</v>
      </c>
      <c r="G4831">
        <v>49867139</v>
      </c>
      <c r="H4831">
        <v>49867142</v>
      </c>
      <c r="I4831">
        <v>49867160</v>
      </c>
    </row>
    <row r="4832" spans="1:9" x14ac:dyDescent="0.2">
      <c r="A4832" s="1" t="str">
        <f>"DLAT"</f>
        <v>DLAT</v>
      </c>
      <c r="B4832" t="s">
        <v>14</v>
      </c>
      <c r="C4832" t="s">
        <v>27</v>
      </c>
      <c r="D4832" t="s">
        <v>17</v>
      </c>
      <c r="E4832" t="s">
        <v>12</v>
      </c>
      <c r="F4832">
        <v>111896090</v>
      </c>
      <c r="G4832">
        <v>111896207</v>
      </c>
      <c r="H4832">
        <v>111896090</v>
      </c>
      <c r="I4832">
        <v>111896207</v>
      </c>
    </row>
    <row r="4833" spans="1:9" x14ac:dyDescent="0.2">
      <c r="A4833" s="1" t="str">
        <f>"DLC1"</f>
        <v>DLC1</v>
      </c>
      <c r="B4833" t="s">
        <v>14</v>
      </c>
      <c r="C4833" t="s">
        <v>30</v>
      </c>
      <c r="D4833" t="s">
        <v>11</v>
      </c>
      <c r="E4833" t="s">
        <v>12</v>
      </c>
      <c r="F4833">
        <v>12990782</v>
      </c>
      <c r="G4833">
        <v>12990807</v>
      </c>
      <c r="H4833">
        <v>12990782</v>
      </c>
      <c r="I4833">
        <v>12990807</v>
      </c>
    </row>
    <row r="4834" spans="1:9" x14ac:dyDescent="0.2">
      <c r="A4834" s="1" t="str">
        <f>"DLD"</f>
        <v>DLD</v>
      </c>
      <c r="B4834" t="s">
        <v>14</v>
      </c>
      <c r="C4834" t="s">
        <v>33</v>
      </c>
      <c r="D4834" t="s">
        <v>17</v>
      </c>
      <c r="E4834" t="s">
        <v>12</v>
      </c>
      <c r="F4834">
        <v>107531580</v>
      </c>
      <c r="G4834">
        <v>107531647</v>
      </c>
      <c r="H4834">
        <v>107531580</v>
      </c>
      <c r="I4834">
        <v>107531647</v>
      </c>
    </row>
    <row r="4835" spans="1:9" x14ac:dyDescent="0.2">
      <c r="A4835" s="1" t="str">
        <f>"DLEC1"</f>
        <v>DLEC1</v>
      </c>
      <c r="B4835" t="s">
        <v>14</v>
      </c>
      <c r="C4835" t="s">
        <v>22</v>
      </c>
      <c r="D4835" t="s">
        <v>17</v>
      </c>
      <c r="E4835" t="s">
        <v>12</v>
      </c>
      <c r="F4835">
        <v>38080691</v>
      </c>
      <c r="G4835">
        <v>38080770</v>
      </c>
      <c r="H4835">
        <v>38080675</v>
      </c>
      <c r="I4835">
        <v>38080686</v>
      </c>
    </row>
    <row r="4836" spans="1:9" x14ac:dyDescent="0.2">
      <c r="A4836" s="1" t="str">
        <f>"DLEU7"</f>
        <v>DLEU7</v>
      </c>
      <c r="B4836" t="s">
        <v>14</v>
      </c>
      <c r="C4836" t="s">
        <v>39</v>
      </c>
      <c r="D4836" t="s">
        <v>11</v>
      </c>
      <c r="E4836" t="s">
        <v>12</v>
      </c>
      <c r="F4836">
        <v>51417616</v>
      </c>
      <c r="G4836">
        <v>51417659</v>
      </c>
      <c r="H4836">
        <v>51417616</v>
      </c>
      <c r="I4836">
        <v>51417659</v>
      </c>
    </row>
    <row r="4837" spans="1:9" x14ac:dyDescent="0.2">
      <c r="A4837" s="1" t="str">
        <f>"DLG1"</f>
        <v>DLG1</v>
      </c>
      <c r="B4837" t="s">
        <v>14</v>
      </c>
      <c r="C4837" t="s">
        <v>22</v>
      </c>
      <c r="D4837" t="s">
        <v>11</v>
      </c>
      <c r="E4837" t="s">
        <v>12</v>
      </c>
      <c r="F4837">
        <v>197025449</v>
      </c>
      <c r="G4837">
        <v>197025533</v>
      </c>
      <c r="H4837">
        <v>197024965</v>
      </c>
      <c r="I4837">
        <v>197025038</v>
      </c>
    </row>
    <row r="4838" spans="1:9" x14ac:dyDescent="0.2">
      <c r="A4838" s="1" t="str">
        <f>"DLG2"</f>
        <v>DLG2</v>
      </c>
      <c r="B4838" t="s">
        <v>14</v>
      </c>
      <c r="C4838" t="s">
        <v>27</v>
      </c>
      <c r="D4838" t="s">
        <v>11</v>
      </c>
      <c r="E4838" t="s">
        <v>12</v>
      </c>
      <c r="F4838">
        <v>84028339</v>
      </c>
      <c r="G4838">
        <v>84028387</v>
      </c>
      <c r="H4838">
        <v>84028339</v>
      </c>
      <c r="I4838">
        <v>84028387</v>
      </c>
    </row>
    <row r="4839" spans="1:9" x14ac:dyDescent="0.2">
      <c r="A4839" s="1" t="str">
        <f>"DLG3"</f>
        <v>DLG3</v>
      </c>
      <c r="B4839" t="s">
        <v>9</v>
      </c>
      <c r="C4839" t="s">
        <v>37</v>
      </c>
      <c r="D4839" t="s">
        <v>17</v>
      </c>
      <c r="E4839" t="s">
        <v>12</v>
      </c>
      <c r="F4839">
        <v>69675016</v>
      </c>
      <c r="G4839">
        <v>69675034</v>
      </c>
      <c r="H4839">
        <v>69675016</v>
      </c>
      <c r="I4839">
        <v>69675034</v>
      </c>
    </row>
    <row r="4840" spans="1:9" x14ac:dyDescent="0.2">
      <c r="A4840" s="1" t="str">
        <f>"DLG3"</f>
        <v>DLG3</v>
      </c>
      <c r="B4840" t="s">
        <v>13</v>
      </c>
      <c r="C4840" t="s">
        <v>37</v>
      </c>
      <c r="D4840" t="s">
        <v>17</v>
      </c>
      <c r="E4840" t="s">
        <v>12</v>
      </c>
      <c r="F4840">
        <v>69672136</v>
      </c>
      <c r="G4840">
        <v>69672202</v>
      </c>
      <c r="H4840">
        <v>69672136</v>
      </c>
      <c r="I4840">
        <v>69672202</v>
      </c>
    </row>
    <row r="4841" spans="1:9" x14ac:dyDescent="0.2">
      <c r="A4841" s="1" t="str">
        <f>"DLG4"</f>
        <v>DLG4</v>
      </c>
      <c r="B4841" t="s">
        <v>9</v>
      </c>
      <c r="C4841" t="s">
        <v>28</v>
      </c>
      <c r="D4841" t="s">
        <v>11</v>
      </c>
      <c r="E4841" t="s">
        <v>12</v>
      </c>
      <c r="F4841">
        <v>7120906</v>
      </c>
      <c r="G4841">
        <v>7120975</v>
      </c>
      <c r="H4841">
        <v>7120906</v>
      </c>
      <c r="I4841">
        <v>7120975</v>
      </c>
    </row>
    <row r="4842" spans="1:9" x14ac:dyDescent="0.2">
      <c r="A4842" s="1" t="str">
        <f>"DLG4"</f>
        <v>DLG4</v>
      </c>
      <c r="B4842" t="s">
        <v>13</v>
      </c>
      <c r="C4842" t="s">
        <v>28</v>
      </c>
      <c r="D4842" t="s">
        <v>11</v>
      </c>
      <c r="E4842" t="s">
        <v>12</v>
      </c>
      <c r="F4842">
        <v>7108436</v>
      </c>
      <c r="G4842">
        <v>7108525</v>
      </c>
      <c r="H4842">
        <v>7108436</v>
      </c>
      <c r="I4842">
        <v>7108525</v>
      </c>
    </row>
    <row r="4843" spans="1:9" x14ac:dyDescent="0.2">
      <c r="A4843" s="1" t="str">
        <f>"DLG5"</f>
        <v>DLG5</v>
      </c>
      <c r="B4843" t="s">
        <v>14</v>
      </c>
      <c r="C4843" t="s">
        <v>15</v>
      </c>
      <c r="D4843" t="s">
        <v>11</v>
      </c>
      <c r="E4843" t="s">
        <v>12</v>
      </c>
      <c r="F4843">
        <v>79686483</v>
      </c>
      <c r="G4843">
        <v>79686527</v>
      </c>
      <c r="H4843">
        <v>79686483</v>
      </c>
      <c r="I4843">
        <v>79686527</v>
      </c>
    </row>
    <row r="4844" spans="1:9" x14ac:dyDescent="0.2">
      <c r="A4844" s="1" t="str">
        <f>"DLGAP1"</f>
        <v>DLGAP1</v>
      </c>
      <c r="B4844" t="s">
        <v>345</v>
      </c>
      <c r="C4844" t="s">
        <v>43</v>
      </c>
      <c r="D4844" t="s">
        <v>11</v>
      </c>
      <c r="E4844" t="s">
        <v>35</v>
      </c>
      <c r="F4844">
        <v>4455283</v>
      </c>
      <c r="G4844">
        <v>4455313</v>
      </c>
      <c r="H4844">
        <v>4455223</v>
      </c>
      <c r="I4844">
        <v>4455230</v>
      </c>
    </row>
    <row r="4845" spans="1:9" x14ac:dyDescent="0.2">
      <c r="A4845" s="1" t="str">
        <f>"DLGAP1"</f>
        <v>DLGAP1</v>
      </c>
      <c r="B4845" t="s">
        <v>346</v>
      </c>
      <c r="C4845" t="s">
        <v>43</v>
      </c>
      <c r="D4845" t="s">
        <v>11</v>
      </c>
      <c r="E4845" t="s">
        <v>35</v>
      </c>
      <c r="F4845">
        <v>3880051</v>
      </c>
      <c r="G4845">
        <v>3880088</v>
      </c>
      <c r="H4845">
        <v>3880022</v>
      </c>
      <c r="I4845">
        <v>3880033</v>
      </c>
    </row>
    <row r="4846" spans="1:9" x14ac:dyDescent="0.2">
      <c r="A4846" s="1" t="str">
        <f>"DLGAP2"</f>
        <v>DLGAP2</v>
      </c>
      <c r="B4846" t="s">
        <v>347</v>
      </c>
      <c r="C4846" t="s">
        <v>30</v>
      </c>
      <c r="D4846" t="s">
        <v>17</v>
      </c>
      <c r="E4846" t="s">
        <v>20</v>
      </c>
      <c r="F4846">
        <v>1449531</v>
      </c>
      <c r="G4846">
        <v>1449531</v>
      </c>
      <c r="H4846">
        <v>1449531</v>
      </c>
      <c r="I4846">
        <v>1449531</v>
      </c>
    </row>
    <row r="4847" spans="1:9" x14ac:dyDescent="0.2">
      <c r="A4847" s="1" t="str">
        <f>"DLGAP3"</f>
        <v>DLGAP3</v>
      </c>
      <c r="B4847" t="s">
        <v>14</v>
      </c>
      <c r="C4847" t="s">
        <v>19</v>
      </c>
      <c r="D4847" t="s">
        <v>11</v>
      </c>
      <c r="E4847" t="s">
        <v>12</v>
      </c>
      <c r="F4847">
        <v>35395178</v>
      </c>
      <c r="G4847">
        <v>35395265</v>
      </c>
      <c r="H4847">
        <v>35395178</v>
      </c>
      <c r="I4847">
        <v>35395265</v>
      </c>
    </row>
    <row r="4848" spans="1:9" x14ac:dyDescent="0.2">
      <c r="A4848" s="1" t="str">
        <f>"DLGAP4"</f>
        <v>DLGAP4</v>
      </c>
      <c r="B4848" t="s">
        <v>14</v>
      </c>
      <c r="C4848" t="s">
        <v>29</v>
      </c>
      <c r="D4848" t="s">
        <v>17</v>
      </c>
      <c r="E4848" t="s">
        <v>12</v>
      </c>
      <c r="F4848">
        <v>35089863</v>
      </c>
      <c r="G4848">
        <v>35089880</v>
      </c>
      <c r="H4848">
        <v>35090158</v>
      </c>
      <c r="I4848">
        <v>35090240</v>
      </c>
    </row>
    <row r="4849" spans="1:9" x14ac:dyDescent="0.2">
      <c r="A4849" s="1" t="str">
        <f>"DLGAP5"</f>
        <v>DLGAP5</v>
      </c>
      <c r="B4849" t="s">
        <v>14</v>
      </c>
      <c r="C4849" t="s">
        <v>41</v>
      </c>
      <c r="D4849" t="s">
        <v>11</v>
      </c>
      <c r="E4849" t="s">
        <v>12</v>
      </c>
      <c r="F4849">
        <v>55658252</v>
      </c>
      <c r="G4849">
        <v>55658321</v>
      </c>
      <c r="H4849">
        <v>55658323</v>
      </c>
      <c r="I4849">
        <v>55658334</v>
      </c>
    </row>
    <row r="4850" spans="1:9" x14ac:dyDescent="0.2">
      <c r="A4850" s="1" t="str">
        <f>"DLK1"</f>
        <v>DLK1</v>
      </c>
      <c r="B4850" t="s">
        <v>14</v>
      </c>
      <c r="C4850" t="s">
        <v>41</v>
      </c>
      <c r="D4850" t="s">
        <v>17</v>
      </c>
      <c r="E4850" t="s">
        <v>12</v>
      </c>
      <c r="F4850">
        <v>101193191</v>
      </c>
      <c r="G4850">
        <v>101193241</v>
      </c>
      <c r="H4850">
        <v>101193246</v>
      </c>
      <c r="I4850">
        <v>101193264</v>
      </c>
    </row>
    <row r="4851" spans="1:9" x14ac:dyDescent="0.2">
      <c r="A4851" s="1" t="str">
        <f>"DLK2"</f>
        <v>DLK2</v>
      </c>
      <c r="B4851" t="s">
        <v>14</v>
      </c>
      <c r="C4851" t="s">
        <v>32</v>
      </c>
      <c r="D4851" t="s">
        <v>11</v>
      </c>
      <c r="E4851" t="s">
        <v>12</v>
      </c>
      <c r="F4851">
        <v>43423277</v>
      </c>
      <c r="G4851">
        <v>43423304</v>
      </c>
      <c r="H4851">
        <v>43423308</v>
      </c>
      <c r="I4851">
        <v>43423355</v>
      </c>
    </row>
    <row r="4852" spans="1:9" x14ac:dyDescent="0.2">
      <c r="A4852" s="1" t="str">
        <f>"DLL1"</f>
        <v>DLL1</v>
      </c>
      <c r="B4852" t="s">
        <v>14</v>
      </c>
      <c r="C4852" t="s">
        <v>32</v>
      </c>
      <c r="D4852" t="s">
        <v>11</v>
      </c>
      <c r="E4852" t="s">
        <v>12</v>
      </c>
      <c r="F4852">
        <v>170600013</v>
      </c>
      <c r="G4852">
        <v>170600017</v>
      </c>
      <c r="H4852">
        <v>170599819</v>
      </c>
      <c r="I4852">
        <v>170599874</v>
      </c>
    </row>
    <row r="4853" spans="1:9" x14ac:dyDescent="0.2">
      <c r="A4853" s="1" t="str">
        <f>"DLL3"</f>
        <v>DLL3</v>
      </c>
      <c r="B4853" t="s">
        <v>14</v>
      </c>
      <c r="C4853" t="s">
        <v>10</v>
      </c>
      <c r="D4853" t="s">
        <v>17</v>
      </c>
      <c r="E4853" t="s">
        <v>12</v>
      </c>
      <c r="F4853">
        <v>39989580</v>
      </c>
      <c r="G4853">
        <v>39989598</v>
      </c>
      <c r="H4853">
        <v>39989545</v>
      </c>
      <c r="I4853">
        <v>39989562</v>
      </c>
    </row>
    <row r="4854" spans="1:9" x14ac:dyDescent="0.2">
      <c r="A4854" s="1" t="str">
        <f>"DLL4"</f>
        <v>DLL4</v>
      </c>
      <c r="B4854" t="s">
        <v>14</v>
      </c>
      <c r="C4854" t="s">
        <v>25</v>
      </c>
      <c r="D4854" t="s">
        <v>17</v>
      </c>
      <c r="E4854" t="s">
        <v>12</v>
      </c>
      <c r="F4854">
        <v>41221536</v>
      </c>
      <c r="G4854">
        <v>41221539</v>
      </c>
      <c r="H4854">
        <v>41221536</v>
      </c>
      <c r="I4854">
        <v>41221539</v>
      </c>
    </row>
    <row r="4855" spans="1:9" x14ac:dyDescent="0.2">
      <c r="A4855" s="1" t="str">
        <f>"DLST"</f>
        <v>DLST</v>
      </c>
      <c r="B4855" t="s">
        <v>14</v>
      </c>
      <c r="C4855" t="s">
        <v>41</v>
      </c>
      <c r="D4855" t="s">
        <v>17</v>
      </c>
      <c r="E4855" t="s">
        <v>12</v>
      </c>
      <c r="F4855">
        <v>75348600</v>
      </c>
      <c r="G4855">
        <v>75348656</v>
      </c>
      <c r="H4855">
        <v>75348592</v>
      </c>
      <c r="I4855">
        <v>75348599</v>
      </c>
    </row>
    <row r="4856" spans="1:9" x14ac:dyDescent="0.2">
      <c r="A4856" s="1" t="str">
        <f>"DLX1"</f>
        <v>DLX1</v>
      </c>
      <c r="B4856" t="s">
        <v>14</v>
      </c>
      <c r="C4856" t="s">
        <v>26</v>
      </c>
      <c r="D4856" t="s">
        <v>17</v>
      </c>
      <c r="E4856" t="s">
        <v>12</v>
      </c>
      <c r="F4856">
        <v>172949484</v>
      </c>
      <c r="G4856">
        <v>172949522</v>
      </c>
      <c r="H4856">
        <v>172950227</v>
      </c>
      <c r="I4856">
        <v>172950249</v>
      </c>
    </row>
    <row r="4857" spans="1:9" x14ac:dyDescent="0.2">
      <c r="A4857" s="1" t="str">
        <f>"DLX2"</f>
        <v>DLX2</v>
      </c>
      <c r="B4857" t="s">
        <v>14</v>
      </c>
      <c r="C4857" t="s">
        <v>26</v>
      </c>
      <c r="D4857" t="s">
        <v>11</v>
      </c>
      <c r="E4857" t="s">
        <v>12</v>
      </c>
      <c r="F4857">
        <v>172967621</v>
      </c>
      <c r="G4857">
        <v>172967637</v>
      </c>
      <c r="H4857">
        <v>172967242</v>
      </c>
      <c r="I4857">
        <v>172967265</v>
      </c>
    </row>
    <row r="4858" spans="1:9" x14ac:dyDescent="0.2">
      <c r="A4858" s="1" t="str">
        <f>"DLX3"</f>
        <v>DLX3</v>
      </c>
      <c r="B4858" t="s">
        <v>14</v>
      </c>
      <c r="C4858" t="s">
        <v>28</v>
      </c>
      <c r="D4858" t="s">
        <v>11</v>
      </c>
      <c r="E4858" t="s">
        <v>12</v>
      </c>
      <c r="F4858">
        <v>48072574</v>
      </c>
      <c r="G4858">
        <v>48072597</v>
      </c>
      <c r="H4858">
        <v>48072421</v>
      </c>
      <c r="I4858">
        <v>48072424</v>
      </c>
    </row>
    <row r="4859" spans="1:9" x14ac:dyDescent="0.2">
      <c r="A4859" s="1" t="str">
        <f>"DLX4"</f>
        <v>DLX4</v>
      </c>
      <c r="B4859" t="s">
        <v>14</v>
      </c>
      <c r="C4859" t="s">
        <v>28</v>
      </c>
      <c r="D4859" t="s">
        <v>17</v>
      </c>
      <c r="E4859" t="s">
        <v>12</v>
      </c>
      <c r="F4859">
        <v>48045917</v>
      </c>
      <c r="G4859">
        <v>48045977</v>
      </c>
      <c r="H4859">
        <v>48046543</v>
      </c>
      <c r="I4859">
        <v>48046575</v>
      </c>
    </row>
    <row r="4860" spans="1:9" x14ac:dyDescent="0.2">
      <c r="A4860" s="1" t="str">
        <f>"DLX5"</f>
        <v>DLX5</v>
      </c>
      <c r="B4860" t="s">
        <v>14</v>
      </c>
      <c r="C4860" t="s">
        <v>33</v>
      </c>
      <c r="D4860" t="s">
        <v>11</v>
      </c>
      <c r="E4860" t="s">
        <v>12</v>
      </c>
      <c r="F4860">
        <v>96654133</v>
      </c>
      <c r="G4860">
        <v>96654150</v>
      </c>
      <c r="H4860">
        <v>96654133</v>
      </c>
      <c r="I4860">
        <v>96654150</v>
      </c>
    </row>
    <row r="4861" spans="1:9" x14ac:dyDescent="0.2">
      <c r="A4861" s="1" t="str">
        <f>"DLX6"</f>
        <v>DLX6</v>
      </c>
      <c r="B4861" t="s">
        <v>14</v>
      </c>
      <c r="C4861" t="s">
        <v>33</v>
      </c>
      <c r="D4861" t="s">
        <v>17</v>
      </c>
      <c r="E4861" t="s">
        <v>12</v>
      </c>
      <c r="F4861">
        <v>96635178</v>
      </c>
      <c r="G4861">
        <v>96635181</v>
      </c>
      <c r="H4861">
        <v>96634878</v>
      </c>
      <c r="I4861">
        <v>96634900</v>
      </c>
    </row>
    <row r="4862" spans="1:9" x14ac:dyDescent="0.2">
      <c r="A4862" s="1" t="str">
        <f>"DMAP1"</f>
        <v>DMAP1</v>
      </c>
      <c r="B4862" t="s">
        <v>14</v>
      </c>
      <c r="C4862" t="s">
        <v>19</v>
      </c>
      <c r="D4862" t="s">
        <v>17</v>
      </c>
      <c r="E4862" t="s">
        <v>12</v>
      </c>
      <c r="F4862">
        <v>44679113</v>
      </c>
      <c r="G4862">
        <v>44679152</v>
      </c>
      <c r="H4862">
        <v>44679159</v>
      </c>
      <c r="I4862">
        <v>44679189</v>
      </c>
    </row>
    <row r="4863" spans="1:9" x14ac:dyDescent="0.2">
      <c r="A4863" s="1" t="str">
        <f>"DMBT1"</f>
        <v>DMBT1</v>
      </c>
      <c r="B4863" t="s">
        <v>14</v>
      </c>
      <c r="C4863" t="s">
        <v>15</v>
      </c>
      <c r="D4863" t="s">
        <v>17</v>
      </c>
      <c r="E4863" t="s">
        <v>12</v>
      </c>
      <c r="F4863">
        <v>124320267</v>
      </c>
      <c r="G4863">
        <v>124320273</v>
      </c>
      <c r="H4863">
        <v>124320156</v>
      </c>
      <c r="I4863">
        <v>124320170</v>
      </c>
    </row>
    <row r="4864" spans="1:9" x14ac:dyDescent="0.2">
      <c r="A4864" s="1" t="str">
        <f>"DMBX1"</f>
        <v>DMBX1</v>
      </c>
      <c r="B4864" t="s">
        <v>14</v>
      </c>
      <c r="C4864" t="s">
        <v>19</v>
      </c>
      <c r="D4864" t="s">
        <v>17</v>
      </c>
      <c r="E4864" t="s">
        <v>12</v>
      </c>
      <c r="F4864">
        <v>46972279</v>
      </c>
      <c r="G4864">
        <v>46972288</v>
      </c>
      <c r="H4864">
        <v>46972279</v>
      </c>
      <c r="I4864">
        <v>46972288</v>
      </c>
    </row>
    <row r="4865" spans="1:9" x14ac:dyDescent="0.2">
      <c r="A4865" s="1" t="str">
        <f>"DMC1"</f>
        <v>DMC1</v>
      </c>
      <c r="B4865" t="s">
        <v>14</v>
      </c>
      <c r="C4865" t="s">
        <v>21</v>
      </c>
      <c r="D4865" t="s">
        <v>11</v>
      </c>
      <c r="E4865" t="s">
        <v>12</v>
      </c>
      <c r="F4865">
        <v>38966172</v>
      </c>
      <c r="G4865">
        <v>38966209</v>
      </c>
      <c r="H4865">
        <v>38966123</v>
      </c>
      <c r="I4865">
        <v>38966163</v>
      </c>
    </row>
    <row r="4866" spans="1:9" x14ac:dyDescent="0.2">
      <c r="A4866" s="1" t="str">
        <f>"DMD"</f>
        <v>DMD</v>
      </c>
      <c r="B4866" t="s">
        <v>348</v>
      </c>
      <c r="C4866" t="s">
        <v>37</v>
      </c>
      <c r="D4866" t="s">
        <v>11</v>
      </c>
      <c r="E4866" t="s">
        <v>35</v>
      </c>
      <c r="F4866">
        <v>33229657</v>
      </c>
      <c r="G4866">
        <v>33229675</v>
      </c>
      <c r="H4866">
        <v>33229431</v>
      </c>
      <c r="I4866">
        <v>33229448</v>
      </c>
    </row>
    <row r="4867" spans="1:9" x14ac:dyDescent="0.2">
      <c r="A4867" s="1" t="str">
        <f>"DMGDH"</f>
        <v>DMGDH</v>
      </c>
      <c r="B4867" t="s">
        <v>349</v>
      </c>
      <c r="C4867" t="s">
        <v>46</v>
      </c>
      <c r="D4867" t="s">
        <v>11</v>
      </c>
      <c r="E4867" t="s">
        <v>35</v>
      </c>
      <c r="F4867">
        <v>78365491</v>
      </c>
      <c r="G4867">
        <v>78365508</v>
      </c>
      <c r="H4867">
        <v>78365409</v>
      </c>
      <c r="I4867">
        <v>78365431</v>
      </c>
    </row>
    <row r="4868" spans="1:9" x14ac:dyDescent="0.2">
      <c r="A4868" s="1" t="str">
        <f>"DMKN"</f>
        <v>DMKN</v>
      </c>
      <c r="B4868" t="s">
        <v>14</v>
      </c>
      <c r="C4868" t="s">
        <v>10</v>
      </c>
      <c r="D4868" t="s">
        <v>11</v>
      </c>
      <c r="E4868" t="s">
        <v>12</v>
      </c>
      <c r="F4868">
        <v>36001304</v>
      </c>
      <c r="G4868">
        <v>36001382</v>
      </c>
      <c r="H4868">
        <v>36001304</v>
      </c>
      <c r="I4868">
        <v>36001382</v>
      </c>
    </row>
    <row r="4869" spans="1:9" x14ac:dyDescent="0.2">
      <c r="A4869" s="1" t="str">
        <f>"DMP1"</f>
        <v>DMP1</v>
      </c>
      <c r="B4869" t="s">
        <v>14</v>
      </c>
      <c r="C4869" t="s">
        <v>23</v>
      </c>
      <c r="D4869" t="s">
        <v>17</v>
      </c>
      <c r="E4869" t="s">
        <v>12</v>
      </c>
      <c r="F4869">
        <v>88571429</v>
      </c>
      <c r="G4869">
        <v>88571434</v>
      </c>
      <c r="H4869">
        <v>88571429</v>
      </c>
      <c r="I4869">
        <v>88571434</v>
      </c>
    </row>
    <row r="4870" spans="1:9" x14ac:dyDescent="0.2">
      <c r="A4870" s="1" t="str">
        <f>"DMPK"</f>
        <v>DMPK</v>
      </c>
      <c r="B4870" t="s">
        <v>14</v>
      </c>
      <c r="C4870" t="s">
        <v>10</v>
      </c>
      <c r="D4870" t="s">
        <v>11</v>
      </c>
      <c r="E4870" t="s">
        <v>12</v>
      </c>
      <c r="F4870">
        <v>46285740</v>
      </c>
      <c r="G4870">
        <v>46285754</v>
      </c>
      <c r="H4870">
        <v>46285724</v>
      </c>
      <c r="I4870">
        <v>46285729</v>
      </c>
    </row>
    <row r="4871" spans="1:9" x14ac:dyDescent="0.2">
      <c r="A4871" s="1" t="str">
        <f>"DMRT1"</f>
        <v>DMRT1</v>
      </c>
      <c r="B4871" t="s">
        <v>14</v>
      </c>
      <c r="C4871" t="s">
        <v>24</v>
      </c>
      <c r="D4871" t="s">
        <v>17</v>
      </c>
      <c r="E4871" t="s">
        <v>12</v>
      </c>
      <c r="F4871">
        <v>841691</v>
      </c>
      <c r="G4871">
        <v>841702</v>
      </c>
      <c r="H4871">
        <v>841719</v>
      </c>
      <c r="I4871">
        <v>841728</v>
      </c>
    </row>
    <row r="4872" spans="1:9" x14ac:dyDescent="0.2">
      <c r="A4872" s="1" t="str">
        <f>"DMRT2"</f>
        <v>DMRT2</v>
      </c>
      <c r="B4872" t="s">
        <v>14</v>
      </c>
      <c r="C4872" t="s">
        <v>24</v>
      </c>
      <c r="D4872" t="s">
        <v>17</v>
      </c>
      <c r="E4872" t="s">
        <v>12</v>
      </c>
      <c r="F4872">
        <v>1050331</v>
      </c>
      <c r="G4872">
        <v>1050363</v>
      </c>
      <c r="H4872">
        <v>1050449</v>
      </c>
      <c r="I4872">
        <v>1050468</v>
      </c>
    </row>
    <row r="4873" spans="1:9" x14ac:dyDescent="0.2">
      <c r="A4873" s="1" t="str">
        <f>"DMRT3"</f>
        <v>DMRT3</v>
      </c>
      <c r="B4873" t="s">
        <v>14</v>
      </c>
      <c r="C4873" t="s">
        <v>24</v>
      </c>
      <c r="D4873" t="s">
        <v>17</v>
      </c>
      <c r="E4873" t="s">
        <v>12</v>
      </c>
      <c r="F4873">
        <v>976665</v>
      </c>
      <c r="G4873">
        <v>976685</v>
      </c>
      <c r="H4873">
        <v>976665</v>
      </c>
      <c r="I4873">
        <v>976685</v>
      </c>
    </row>
    <row r="4874" spans="1:9" x14ac:dyDescent="0.2">
      <c r="A4874" s="1" t="str">
        <f>"DMRTA1"</f>
        <v>DMRTA1</v>
      </c>
      <c r="B4874" t="s">
        <v>14</v>
      </c>
      <c r="C4874" t="s">
        <v>24</v>
      </c>
      <c r="D4874" t="s">
        <v>17</v>
      </c>
      <c r="E4874" t="s">
        <v>12</v>
      </c>
      <c r="F4874">
        <v>22447422</v>
      </c>
      <c r="G4874">
        <v>22447483</v>
      </c>
      <c r="H4874">
        <v>22446832</v>
      </c>
      <c r="I4874">
        <v>22446858</v>
      </c>
    </row>
    <row r="4875" spans="1:9" x14ac:dyDescent="0.2">
      <c r="A4875" s="1" t="str">
        <f>"DMRTA2"</f>
        <v>DMRTA2</v>
      </c>
      <c r="B4875" t="s">
        <v>14</v>
      </c>
      <c r="C4875" t="s">
        <v>19</v>
      </c>
      <c r="D4875" t="s">
        <v>11</v>
      </c>
      <c r="E4875" t="s">
        <v>12</v>
      </c>
      <c r="F4875">
        <v>50889103</v>
      </c>
      <c r="G4875">
        <v>50889145</v>
      </c>
      <c r="H4875">
        <v>50889155</v>
      </c>
      <c r="I4875">
        <v>50889173</v>
      </c>
    </row>
    <row r="4876" spans="1:9" x14ac:dyDescent="0.2">
      <c r="A4876" s="1" t="str">
        <f>"DMRTB1"</f>
        <v>DMRTB1</v>
      </c>
      <c r="B4876" t="s">
        <v>14</v>
      </c>
      <c r="C4876" t="s">
        <v>19</v>
      </c>
      <c r="D4876" t="s">
        <v>17</v>
      </c>
      <c r="E4876" t="s">
        <v>12</v>
      </c>
      <c r="F4876">
        <v>53925516</v>
      </c>
      <c r="G4876">
        <v>53925575</v>
      </c>
      <c r="H4876">
        <v>53925063</v>
      </c>
      <c r="I4876">
        <v>53925076</v>
      </c>
    </row>
    <row r="4877" spans="1:9" x14ac:dyDescent="0.2">
      <c r="A4877" s="1" t="str">
        <f>"DMRTC1"</f>
        <v>DMRTC1</v>
      </c>
      <c r="B4877" t="s">
        <v>350</v>
      </c>
      <c r="C4877" t="s">
        <v>37</v>
      </c>
      <c r="D4877" t="s">
        <v>11</v>
      </c>
      <c r="E4877" t="s">
        <v>20</v>
      </c>
      <c r="F4877">
        <v>72095807</v>
      </c>
      <c r="G4877">
        <v>72095807</v>
      </c>
      <c r="H4877">
        <v>72095807</v>
      </c>
      <c r="I4877">
        <v>72095807</v>
      </c>
    </row>
    <row r="4878" spans="1:9" x14ac:dyDescent="0.2">
      <c r="A4878" s="1" t="str">
        <f>"DMRTC1B"</f>
        <v>DMRTC1B</v>
      </c>
      <c r="B4878" t="s">
        <v>14</v>
      </c>
      <c r="C4878" t="s">
        <v>37</v>
      </c>
      <c r="D4878" t="s">
        <v>17</v>
      </c>
      <c r="E4878" t="s">
        <v>12</v>
      </c>
      <c r="F4878">
        <v>71996692</v>
      </c>
      <c r="G4878">
        <v>71996720</v>
      </c>
      <c r="H4878">
        <v>71996692</v>
      </c>
      <c r="I4878">
        <v>71996720</v>
      </c>
    </row>
    <row r="4879" spans="1:9" x14ac:dyDescent="0.2">
      <c r="A4879" s="1" t="str">
        <f>"DMRTC2"</f>
        <v>DMRTC2</v>
      </c>
      <c r="B4879" t="s">
        <v>14</v>
      </c>
      <c r="C4879" t="s">
        <v>10</v>
      </c>
      <c r="D4879" t="s">
        <v>17</v>
      </c>
      <c r="E4879" t="s">
        <v>12</v>
      </c>
      <c r="F4879">
        <v>42349092</v>
      </c>
      <c r="G4879">
        <v>42349121</v>
      </c>
      <c r="H4879">
        <v>42349060</v>
      </c>
      <c r="I4879">
        <v>42349071</v>
      </c>
    </row>
    <row r="4880" spans="1:9" x14ac:dyDescent="0.2">
      <c r="A4880" s="1" t="str">
        <f>"DMTF1"</f>
        <v>DMTF1</v>
      </c>
      <c r="B4880" t="s">
        <v>14</v>
      </c>
      <c r="C4880" t="s">
        <v>33</v>
      </c>
      <c r="D4880" t="s">
        <v>17</v>
      </c>
      <c r="E4880" t="s">
        <v>12</v>
      </c>
      <c r="F4880">
        <v>86781734</v>
      </c>
      <c r="G4880">
        <v>86781777</v>
      </c>
      <c r="H4880">
        <v>86781916</v>
      </c>
      <c r="I4880">
        <v>86781963</v>
      </c>
    </row>
    <row r="4881" spans="1:9" x14ac:dyDescent="0.2">
      <c r="A4881" s="1" t="str">
        <f>"DMTN"</f>
        <v>DMTN</v>
      </c>
      <c r="B4881" t="s">
        <v>9</v>
      </c>
      <c r="C4881" t="s">
        <v>30</v>
      </c>
      <c r="D4881" t="s">
        <v>17</v>
      </c>
      <c r="E4881" t="s">
        <v>12</v>
      </c>
      <c r="F4881">
        <v>21912385</v>
      </c>
      <c r="G4881">
        <v>21912474</v>
      </c>
      <c r="H4881">
        <v>21912385</v>
      </c>
      <c r="I4881">
        <v>21912474</v>
      </c>
    </row>
    <row r="4882" spans="1:9" x14ac:dyDescent="0.2">
      <c r="A4882" s="1" t="str">
        <f>"DMTN"</f>
        <v>DMTN</v>
      </c>
      <c r="B4882" t="s">
        <v>13</v>
      </c>
      <c r="C4882" t="s">
        <v>30</v>
      </c>
      <c r="D4882" t="s">
        <v>17</v>
      </c>
      <c r="E4882" t="s">
        <v>12</v>
      </c>
      <c r="F4882">
        <v>21906433</v>
      </c>
      <c r="G4882">
        <v>21906563</v>
      </c>
      <c r="H4882">
        <v>21906433</v>
      </c>
      <c r="I4882">
        <v>21906563</v>
      </c>
    </row>
    <row r="4883" spans="1:9" x14ac:dyDescent="0.2">
      <c r="A4883" s="1" t="str">
        <f>"DMWD"</f>
        <v>DMWD</v>
      </c>
      <c r="B4883" t="s">
        <v>14</v>
      </c>
      <c r="C4883" t="s">
        <v>10</v>
      </c>
      <c r="D4883" t="s">
        <v>11</v>
      </c>
      <c r="E4883" t="s">
        <v>12</v>
      </c>
      <c r="F4883">
        <v>46296063</v>
      </c>
      <c r="G4883">
        <v>46296108</v>
      </c>
      <c r="H4883">
        <v>46296011</v>
      </c>
      <c r="I4883">
        <v>46296061</v>
      </c>
    </row>
    <row r="4884" spans="1:9" x14ac:dyDescent="0.2">
      <c r="A4884" s="1" t="str">
        <f>"DMXL1"</f>
        <v>DMXL1</v>
      </c>
      <c r="B4884" t="s">
        <v>14</v>
      </c>
      <c r="C4884" t="s">
        <v>46</v>
      </c>
      <c r="D4884" t="s">
        <v>17</v>
      </c>
      <c r="E4884" t="s">
        <v>12</v>
      </c>
      <c r="F4884">
        <v>118407053</v>
      </c>
      <c r="G4884">
        <v>118407151</v>
      </c>
      <c r="H4884">
        <v>118406796</v>
      </c>
      <c r="I4884">
        <v>118406904</v>
      </c>
    </row>
    <row r="4885" spans="1:9" x14ac:dyDescent="0.2">
      <c r="A4885" s="1" t="str">
        <f>"DMXL2"</f>
        <v>DMXL2</v>
      </c>
      <c r="B4885" t="s">
        <v>14</v>
      </c>
      <c r="C4885" t="s">
        <v>25</v>
      </c>
      <c r="D4885" t="s">
        <v>11</v>
      </c>
      <c r="E4885" t="s">
        <v>12</v>
      </c>
      <c r="F4885">
        <v>51914922</v>
      </c>
      <c r="G4885">
        <v>51914993</v>
      </c>
      <c r="H4885">
        <v>51914996</v>
      </c>
      <c r="I4885">
        <v>51915035</v>
      </c>
    </row>
    <row r="4886" spans="1:9" x14ac:dyDescent="0.2">
      <c r="A4886" s="1" t="str">
        <f>"DNA2"</f>
        <v>DNA2</v>
      </c>
      <c r="B4886" t="s">
        <v>14</v>
      </c>
      <c r="C4886" t="s">
        <v>15</v>
      </c>
      <c r="D4886" t="s">
        <v>11</v>
      </c>
      <c r="E4886" t="s">
        <v>12</v>
      </c>
      <c r="F4886">
        <v>70231639</v>
      </c>
      <c r="G4886">
        <v>70231735</v>
      </c>
      <c r="H4886">
        <v>70231737</v>
      </c>
      <c r="I4886">
        <v>70231742</v>
      </c>
    </row>
    <row r="4887" spans="1:9" x14ac:dyDescent="0.2">
      <c r="A4887" s="1" t="str">
        <f>"DNAAF1"</f>
        <v>DNAAF1</v>
      </c>
      <c r="B4887" t="s">
        <v>14</v>
      </c>
      <c r="C4887" t="s">
        <v>31</v>
      </c>
      <c r="D4887" t="s">
        <v>17</v>
      </c>
      <c r="E4887" t="s">
        <v>12</v>
      </c>
      <c r="F4887">
        <v>84178874</v>
      </c>
      <c r="G4887">
        <v>84178931</v>
      </c>
      <c r="H4887">
        <v>84178863</v>
      </c>
      <c r="I4887">
        <v>84178871</v>
      </c>
    </row>
    <row r="4888" spans="1:9" x14ac:dyDescent="0.2">
      <c r="A4888" s="1" t="str">
        <f>"DNAAF2"</f>
        <v>DNAAF2</v>
      </c>
      <c r="B4888" t="s">
        <v>14</v>
      </c>
      <c r="C4888" t="s">
        <v>41</v>
      </c>
      <c r="D4888" t="s">
        <v>11</v>
      </c>
      <c r="E4888" t="s">
        <v>12</v>
      </c>
      <c r="F4888">
        <v>50100665</v>
      </c>
      <c r="G4888">
        <v>50100741</v>
      </c>
      <c r="H4888">
        <v>50100989</v>
      </c>
      <c r="I4888">
        <v>50101052</v>
      </c>
    </row>
    <row r="4889" spans="1:9" x14ac:dyDescent="0.2">
      <c r="A4889" s="1" t="str">
        <f>"DNAAF3"</f>
        <v>DNAAF3</v>
      </c>
      <c r="B4889" t="s">
        <v>9</v>
      </c>
      <c r="C4889" t="s">
        <v>10</v>
      </c>
      <c r="D4889" t="s">
        <v>11</v>
      </c>
      <c r="E4889" t="s">
        <v>12</v>
      </c>
      <c r="F4889">
        <v>55677933</v>
      </c>
      <c r="G4889">
        <v>55677989</v>
      </c>
      <c r="H4889">
        <v>55677933</v>
      </c>
      <c r="I4889">
        <v>55677989</v>
      </c>
    </row>
    <row r="4890" spans="1:9" x14ac:dyDescent="0.2">
      <c r="A4890" s="1" t="str">
        <f>"DNAAF3"</f>
        <v>DNAAF3</v>
      </c>
      <c r="B4890" t="s">
        <v>13</v>
      </c>
      <c r="C4890" t="s">
        <v>10</v>
      </c>
      <c r="D4890" t="s">
        <v>11</v>
      </c>
      <c r="E4890" t="s">
        <v>12</v>
      </c>
      <c r="F4890">
        <v>55672037</v>
      </c>
      <c r="G4890">
        <v>55672079</v>
      </c>
      <c r="H4890">
        <v>55672037</v>
      </c>
      <c r="I4890">
        <v>55672079</v>
      </c>
    </row>
    <row r="4891" spans="1:9" x14ac:dyDescent="0.2">
      <c r="A4891" s="1" t="str">
        <f>"DNAH1"</f>
        <v>DNAH1</v>
      </c>
      <c r="B4891" t="s">
        <v>14</v>
      </c>
      <c r="C4891" t="s">
        <v>22</v>
      </c>
      <c r="D4891" t="s">
        <v>17</v>
      </c>
      <c r="E4891" t="s">
        <v>12</v>
      </c>
      <c r="F4891">
        <v>52351872</v>
      </c>
      <c r="G4891">
        <v>52351896</v>
      </c>
      <c r="H4891">
        <v>52351860</v>
      </c>
      <c r="I4891">
        <v>52351871</v>
      </c>
    </row>
    <row r="4892" spans="1:9" x14ac:dyDescent="0.2">
      <c r="A4892" s="1" t="str">
        <f>"DNAH10"</f>
        <v>DNAH10</v>
      </c>
      <c r="B4892" t="s">
        <v>14</v>
      </c>
      <c r="C4892" t="s">
        <v>16</v>
      </c>
      <c r="D4892" t="s">
        <v>17</v>
      </c>
      <c r="E4892" t="s">
        <v>12</v>
      </c>
      <c r="F4892">
        <v>124246842</v>
      </c>
      <c r="G4892">
        <v>124246883</v>
      </c>
      <c r="H4892">
        <v>124246842</v>
      </c>
      <c r="I4892">
        <v>124246883</v>
      </c>
    </row>
    <row r="4893" spans="1:9" x14ac:dyDescent="0.2">
      <c r="A4893" s="1" t="str">
        <f>"DNAH11"</f>
        <v>DNAH11</v>
      </c>
      <c r="B4893" t="s">
        <v>14</v>
      </c>
      <c r="C4893" t="s">
        <v>33</v>
      </c>
      <c r="D4893" t="s">
        <v>17</v>
      </c>
      <c r="E4893" t="s">
        <v>12</v>
      </c>
      <c r="F4893">
        <v>21582638</v>
      </c>
      <c r="G4893">
        <v>21582685</v>
      </c>
      <c r="H4893">
        <v>21582691</v>
      </c>
      <c r="I4893">
        <v>21582701</v>
      </c>
    </row>
    <row r="4894" spans="1:9" x14ac:dyDescent="0.2">
      <c r="A4894" s="1" t="str">
        <f>"DNAH12"</f>
        <v>DNAH12</v>
      </c>
      <c r="B4894" t="s">
        <v>14</v>
      </c>
      <c r="C4894" t="s">
        <v>22</v>
      </c>
      <c r="D4894" t="s">
        <v>11</v>
      </c>
      <c r="E4894" t="s">
        <v>12</v>
      </c>
      <c r="F4894">
        <v>57530051</v>
      </c>
      <c r="G4894">
        <v>57530090</v>
      </c>
      <c r="H4894">
        <v>57530107</v>
      </c>
      <c r="I4894">
        <v>57530118</v>
      </c>
    </row>
    <row r="4895" spans="1:9" x14ac:dyDescent="0.2">
      <c r="A4895" s="1" t="str">
        <f>"DNAH14"</f>
        <v>DNAH14</v>
      </c>
      <c r="B4895" t="s">
        <v>14</v>
      </c>
      <c r="C4895" t="s">
        <v>19</v>
      </c>
      <c r="D4895" t="s">
        <v>17</v>
      </c>
      <c r="E4895" t="s">
        <v>12</v>
      </c>
      <c r="F4895">
        <v>225117350</v>
      </c>
      <c r="G4895">
        <v>225117409</v>
      </c>
      <c r="H4895">
        <v>225117431</v>
      </c>
      <c r="I4895">
        <v>225117458</v>
      </c>
    </row>
    <row r="4896" spans="1:9" x14ac:dyDescent="0.2">
      <c r="A4896" s="1" t="str">
        <f>"DNAH17"</f>
        <v>DNAH17</v>
      </c>
      <c r="B4896" t="s">
        <v>351</v>
      </c>
      <c r="C4896" t="s">
        <v>28</v>
      </c>
      <c r="D4896" t="s">
        <v>11</v>
      </c>
      <c r="E4896" t="s">
        <v>35</v>
      </c>
      <c r="F4896">
        <v>76573511</v>
      </c>
      <c r="G4896">
        <v>76573515</v>
      </c>
      <c r="H4896">
        <v>76573374</v>
      </c>
      <c r="I4896">
        <v>76573376</v>
      </c>
    </row>
    <row r="4897" spans="1:9" x14ac:dyDescent="0.2">
      <c r="A4897" s="1" t="str">
        <f>"DNAH2"</f>
        <v>DNAH2</v>
      </c>
      <c r="B4897" t="s">
        <v>14</v>
      </c>
      <c r="C4897" t="s">
        <v>28</v>
      </c>
      <c r="D4897" t="s">
        <v>17</v>
      </c>
      <c r="E4897" t="s">
        <v>12</v>
      </c>
      <c r="F4897">
        <v>7621045</v>
      </c>
      <c r="G4897">
        <v>7621069</v>
      </c>
      <c r="H4897">
        <v>7621045</v>
      </c>
      <c r="I4897">
        <v>7621069</v>
      </c>
    </row>
    <row r="4898" spans="1:9" x14ac:dyDescent="0.2">
      <c r="A4898" s="1" t="str">
        <f>"DNAH3"</f>
        <v>DNAH3</v>
      </c>
      <c r="B4898" t="s">
        <v>14</v>
      </c>
      <c r="C4898" t="s">
        <v>31</v>
      </c>
      <c r="D4898" t="s">
        <v>11</v>
      </c>
      <c r="E4898" t="s">
        <v>12</v>
      </c>
      <c r="F4898">
        <v>21162129</v>
      </c>
      <c r="G4898">
        <v>21162178</v>
      </c>
      <c r="H4898">
        <v>21162180</v>
      </c>
      <c r="I4898">
        <v>21162189</v>
      </c>
    </row>
    <row r="4899" spans="1:9" x14ac:dyDescent="0.2">
      <c r="A4899" s="1" t="str">
        <f>"DNAH5"</f>
        <v>DNAH5</v>
      </c>
      <c r="B4899" t="s">
        <v>352</v>
      </c>
      <c r="C4899" t="s">
        <v>46</v>
      </c>
      <c r="D4899" t="s">
        <v>11</v>
      </c>
      <c r="E4899" t="s">
        <v>75</v>
      </c>
      <c r="F4899">
        <v>13944778</v>
      </c>
      <c r="G4899">
        <v>13944783</v>
      </c>
      <c r="H4899">
        <v>13944778</v>
      </c>
      <c r="I4899">
        <v>13944783</v>
      </c>
    </row>
    <row r="4900" spans="1:9" x14ac:dyDescent="0.2">
      <c r="A4900" s="1" t="str">
        <f>"DNAH6"</f>
        <v>DNAH6</v>
      </c>
      <c r="B4900" t="s">
        <v>14</v>
      </c>
      <c r="C4900" t="s">
        <v>26</v>
      </c>
      <c r="D4900" t="s">
        <v>17</v>
      </c>
      <c r="E4900" t="s">
        <v>12</v>
      </c>
      <c r="F4900">
        <v>84743562</v>
      </c>
      <c r="G4900">
        <v>84743651</v>
      </c>
      <c r="H4900">
        <v>84743654</v>
      </c>
      <c r="I4900">
        <v>84743668</v>
      </c>
    </row>
    <row r="4901" spans="1:9" x14ac:dyDescent="0.2">
      <c r="A4901" s="1" t="str">
        <f>"DNAH7"</f>
        <v>DNAH7</v>
      </c>
      <c r="B4901" t="s">
        <v>14</v>
      </c>
      <c r="C4901" t="s">
        <v>26</v>
      </c>
      <c r="D4901" t="s">
        <v>11</v>
      </c>
      <c r="E4901" t="s">
        <v>12</v>
      </c>
      <c r="F4901">
        <v>196933548</v>
      </c>
      <c r="G4901">
        <v>196933601</v>
      </c>
      <c r="H4901">
        <v>196933530</v>
      </c>
      <c r="I4901">
        <v>196933540</v>
      </c>
    </row>
    <row r="4902" spans="1:9" x14ac:dyDescent="0.2">
      <c r="A4902" s="1" t="str">
        <f>"DNAH8"</f>
        <v>DNAH8</v>
      </c>
      <c r="B4902" t="s">
        <v>9</v>
      </c>
      <c r="C4902" t="s">
        <v>32</v>
      </c>
      <c r="D4902" t="s">
        <v>17</v>
      </c>
      <c r="E4902" t="s">
        <v>12</v>
      </c>
      <c r="F4902">
        <v>38690668</v>
      </c>
      <c r="G4902">
        <v>38690714</v>
      </c>
      <c r="H4902">
        <v>38690668</v>
      </c>
      <c r="I4902">
        <v>38690714</v>
      </c>
    </row>
    <row r="4903" spans="1:9" x14ac:dyDescent="0.2">
      <c r="A4903" s="1" t="str">
        <f>"DNAH8"</f>
        <v>DNAH8</v>
      </c>
      <c r="B4903" t="s">
        <v>13</v>
      </c>
      <c r="C4903" t="s">
        <v>32</v>
      </c>
      <c r="D4903" t="s">
        <v>17</v>
      </c>
      <c r="E4903" t="s">
        <v>12</v>
      </c>
      <c r="F4903">
        <v>38683064</v>
      </c>
      <c r="G4903">
        <v>38683092</v>
      </c>
      <c r="H4903">
        <v>38683064</v>
      </c>
      <c r="I4903">
        <v>38683092</v>
      </c>
    </row>
    <row r="4904" spans="1:9" x14ac:dyDescent="0.2">
      <c r="A4904" s="1" t="str">
        <f>"DNAH9"</f>
        <v>DNAH9</v>
      </c>
      <c r="B4904" t="s">
        <v>14</v>
      </c>
      <c r="C4904" t="s">
        <v>28</v>
      </c>
      <c r="D4904" t="s">
        <v>17</v>
      </c>
      <c r="E4904" t="s">
        <v>12</v>
      </c>
      <c r="F4904">
        <v>11501773</v>
      </c>
      <c r="G4904">
        <v>11501806</v>
      </c>
      <c r="H4904">
        <v>11501822</v>
      </c>
      <c r="I4904">
        <v>11501834</v>
      </c>
    </row>
    <row r="4905" spans="1:9" x14ac:dyDescent="0.2">
      <c r="A4905" s="1" t="str">
        <f>"DNAI1"</f>
        <v>DNAI1</v>
      </c>
      <c r="B4905" t="s">
        <v>14</v>
      </c>
      <c r="C4905" t="s">
        <v>24</v>
      </c>
      <c r="D4905" t="s">
        <v>17</v>
      </c>
      <c r="E4905" t="s">
        <v>12</v>
      </c>
      <c r="F4905">
        <v>34458771</v>
      </c>
      <c r="G4905">
        <v>34458850</v>
      </c>
      <c r="H4905">
        <v>34458851</v>
      </c>
      <c r="I4905">
        <v>34458908</v>
      </c>
    </row>
    <row r="4906" spans="1:9" x14ac:dyDescent="0.2">
      <c r="A4906" s="1" t="str">
        <f>"DNAI2"</f>
        <v>DNAI2</v>
      </c>
      <c r="B4906" t="s">
        <v>14</v>
      </c>
      <c r="C4906" t="s">
        <v>28</v>
      </c>
      <c r="D4906" t="s">
        <v>17</v>
      </c>
      <c r="E4906" t="s">
        <v>12</v>
      </c>
      <c r="F4906">
        <v>72270380</v>
      </c>
      <c r="G4906">
        <v>72270420</v>
      </c>
      <c r="H4906">
        <v>72270431</v>
      </c>
      <c r="I4906">
        <v>72270456</v>
      </c>
    </row>
    <row r="4907" spans="1:9" x14ac:dyDescent="0.2">
      <c r="A4907" s="1" t="str">
        <f>"DNAJA1"</f>
        <v>DNAJA1</v>
      </c>
      <c r="B4907" t="s">
        <v>9</v>
      </c>
      <c r="C4907" t="s">
        <v>24</v>
      </c>
      <c r="D4907" t="s">
        <v>17</v>
      </c>
      <c r="E4907" t="s">
        <v>12</v>
      </c>
      <c r="F4907">
        <v>33025263</v>
      </c>
      <c r="G4907">
        <v>33025279</v>
      </c>
      <c r="H4907">
        <v>33025263</v>
      </c>
      <c r="I4907">
        <v>33025279</v>
      </c>
    </row>
    <row r="4908" spans="1:9" x14ac:dyDescent="0.2">
      <c r="A4908" s="1" t="str">
        <f>"DNAJA1"</f>
        <v>DNAJA1</v>
      </c>
      <c r="B4908" t="s">
        <v>13</v>
      </c>
      <c r="C4908" t="s">
        <v>24</v>
      </c>
      <c r="D4908" t="s">
        <v>17</v>
      </c>
      <c r="E4908" t="s">
        <v>12</v>
      </c>
      <c r="F4908">
        <v>33026855</v>
      </c>
      <c r="G4908">
        <v>33026873</v>
      </c>
      <c r="H4908">
        <v>33026855</v>
      </c>
      <c r="I4908">
        <v>33026873</v>
      </c>
    </row>
    <row r="4909" spans="1:9" x14ac:dyDescent="0.2">
      <c r="A4909" s="1" t="str">
        <f>"DNAJA2"</f>
        <v>DNAJA2</v>
      </c>
      <c r="B4909" t="s">
        <v>14</v>
      </c>
      <c r="C4909" t="s">
        <v>31</v>
      </c>
      <c r="D4909" t="s">
        <v>11</v>
      </c>
      <c r="E4909" t="s">
        <v>12</v>
      </c>
      <c r="F4909">
        <v>47007545</v>
      </c>
      <c r="G4909">
        <v>47007620</v>
      </c>
      <c r="H4909">
        <v>47007545</v>
      </c>
      <c r="I4909">
        <v>47007620</v>
      </c>
    </row>
    <row r="4910" spans="1:9" x14ac:dyDescent="0.2">
      <c r="A4910" s="1" t="str">
        <f>"DNAJA3"</f>
        <v>DNAJA3</v>
      </c>
      <c r="B4910" t="s">
        <v>14</v>
      </c>
      <c r="C4910" t="s">
        <v>31</v>
      </c>
      <c r="D4910" t="s">
        <v>17</v>
      </c>
      <c r="E4910" t="s">
        <v>12</v>
      </c>
      <c r="F4910">
        <v>4475853</v>
      </c>
      <c r="G4910">
        <v>4475887</v>
      </c>
      <c r="H4910">
        <v>4475401</v>
      </c>
      <c r="I4910">
        <v>4475402</v>
      </c>
    </row>
    <row r="4911" spans="1:9" x14ac:dyDescent="0.2">
      <c r="A4911" s="1" t="str">
        <f>"DNAJA4"</f>
        <v>DNAJA4</v>
      </c>
      <c r="B4911" t="s">
        <v>14</v>
      </c>
      <c r="C4911" t="s">
        <v>25</v>
      </c>
      <c r="D4911" t="s">
        <v>17</v>
      </c>
      <c r="E4911" t="s">
        <v>12</v>
      </c>
      <c r="F4911">
        <v>78556809</v>
      </c>
      <c r="G4911">
        <v>78556913</v>
      </c>
      <c r="H4911">
        <v>78556480</v>
      </c>
      <c r="I4911">
        <v>78556510</v>
      </c>
    </row>
    <row r="4912" spans="1:9" x14ac:dyDescent="0.2">
      <c r="A4912" s="1" t="str">
        <f>"DNAJB1"</f>
        <v>DNAJB1</v>
      </c>
      <c r="B4912" t="s">
        <v>14</v>
      </c>
      <c r="C4912" t="s">
        <v>10</v>
      </c>
      <c r="D4912" t="s">
        <v>11</v>
      </c>
      <c r="E4912" t="s">
        <v>12</v>
      </c>
      <c r="F4912">
        <v>14629195</v>
      </c>
      <c r="G4912">
        <v>14629216</v>
      </c>
      <c r="H4912">
        <v>14629224</v>
      </c>
      <c r="I4912">
        <v>14629262</v>
      </c>
    </row>
    <row r="4913" spans="1:9" x14ac:dyDescent="0.2">
      <c r="A4913" s="1" t="str">
        <f>"DNAJB11"</f>
        <v>DNAJB11</v>
      </c>
      <c r="B4913" t="s">
        <v>14</v>
      </c>
      <c r="C4913" t="s">
        <v>22</v>
      </c>
      <c r="D4913" t="s">
        <v>17</v>
      </c>
      <c r="E4913" t="s">
        <v>12</v>
      </c>
      <c r="F4913">
        <v>186288454</v>
      </c>
      <c r="G4913">
        <v>186288535</v>
      </c>
      <c r="H4913">
        <v>186288454</v>
      </c>
      <c r="I4913">
        <v>186288535</v>
      </c>
    </row>
    <row r="4914" spans="1:9" x14ac:dyDescent="0.2">
      <c r="A4914" s="1" t="str">
        <f>"DNAJB12"</f>
        <v>DNAJB12</v>
      </c>
      <c r="B4914" t="s">
        <v>14</v>
      </c>
      <c r="C4914" t="s">
        <v>15</v>
      </c>
      <c r="D4914" t="s">
        <v>11</v>
      </c>
      <c r="E4914" t="s">
        <v>12</v>
      </c>
      <c r="F4914">
        <v>74114654</v>
      </c>
      <c r="G4914">
        <v>74114694</v>
      </c>
      <c r="H4914">
        <v>74114714</v>
      </c>
      <c r="I4914">
        <v>74114757</v>
      </c>
    </row>
    <row r="4915" spans="1:9" x14ac:dyDescent="0.2">
      <c r="A4915" s="1" t="str">
        <f>"DNAJB13"</f>
        <v>DNAJB13</v>
      </c>
      <c r="B4915" t="s">
        <v>14</v>
      </c>
      <c r="C4915" t="s">
        <v>27</v>
      </c>
      <c r="D4915" t="s">
        <v>17</v>
      </c>
      <c r="E4915" t="s">
        <v>12</v>
      </c>
      <c r="F4915">
        <v>73662028</v>
      </c>
      <c r="G4915">
        <v>73662100</v>
      </c>
      <c r="H4915">
        <v>73662028</v>
      </c>
      <c r="I4915">
        <v>73662100</v>
      </c>
    </row>
    <row r="4916" spans="1:9" x14ac:dyDescent="0.2">
      <c r="A4916" s="1" t="str">
        <f>"DNAJB14"</f>
        <v>DNAJB14</v>
      </c>
      <c r="B4916" t="s">
        <v>14</v>
      </c>
      <c r="C4916" t="s">
        <v>23</v>
      </c>
      <c r="D4916" t="s">
        <v>11</v>
      </c>
      <c r="E4916" t="s">
        <v>12</v>
      </c>
      <c r="F4916">
        <v>100867736</v>
      </c>
      <c r="G4916">
        <v>100867782</v>
      </c>
      <c r="H4916">
        <v>100867825</v>
      </c>
      <c r="I4916">
        <v>100867863</v>
      </c>
    </row>
    <row r="4917" spans="1:9" x14ac:dyDescent="0.2">
      <c r="A4917" s="1" t="str">
        <f>"DNAJB2"</f>
        <v>DNAJB2</v>
      </c>
      <c r="B4917" t="s">
        <v>14</v>
      </c>
      <c r="C4917" t="s">
        <v>26</v>
      </c>
      <c r="D4917" t="s">
        <v>17</v>
      </c>
      <c r="E4917" t="s">
        <v>12</v>
      </c>
      <c r="F4917">
        <v>220144052</v>
      </c>
      <c r="G4917">
        <v>220144128</v>
      </c>
      <c r="H4917">
        <v>220144130</v>
      </c>
      <c r="I4917">
        <v>220144157</v>
      </c>
    </row>
    <row r="4918" spans="1:9" x14ac:dyDescent="0.2">
      <c r="A4918" s="1" t="str">
        <f>"DNAJB4"</f>
        <v>DNAJB4</v>
      </c>
      <c r="B4918" t="s">
        <v>14</v>
      </c>
      <c r="C4918" t="s">
        <v>19</v>
      </c>
      <c r="D4918" t="s">
        <v>17</v>
      </c>
      <c r="E4918" t="s">
        <v>12</v>
      </c>
      <c r="F4918">
        <v>78470614</v>
      </c>
      <c r="G4918">
        <v>78470635</v>
      </c>
      <c r="H4918">
        <v>78470588</v>
      </c>
      <c r="I4918">
        <v>78470611</v>
      </c>
    </row>
    <row r="4919" spans="1:9" x14ac:dyDescent="0.2">
      <c r="A4919" s="1" t="str">
        <f>"DNAJB5"</f>
        <v>DNAJB5</v>
      </c>
      <c r="B4919" t="s">
        <v>9</v>
      </c>
      <c r="C4919" t="s">
        <v>24</v>
      </c>
      <c r="D4919" t="s">
        <v>17</v>
      </c>
      <c r="E4919" t="s">
        <v>12</v>
      </c>
      <c r="F4919">
        <v>34989685</v>
      </c>
      <c r="G4919">
        <v>34989748</v>
      </c>
      <c r="H4919">
        <v>34989685</v>
      </c>
      <c r="I4919">
        <v>34989748</v>
      </c>
    </row>
    <row r="4920" spans="1:9" x14ac:dyDescent="0.2">
      <c r="A4920" s="1" t="str">
        <f>"DNAJB5"</f>
        <v>DNAJB5</v>
      </c>
      <c r="B4920" t="s">
        <v>13</v>
      </c>
      <c r="C4920" t="s">
        <v>24</v>
      </c>
      <c r="D4920" t="s">
        <v>17</v>
      </c>
      <c r="E4920" t="s">
        <v>12</v>
      </c>
      <c r="F4920">
        <v>34992846</v>
      </c>
      <c r="G4920">
        <v>34992863</v>
      </c>
      <c r="H4920">
        <v>34992846</v>
      </c>
      <c r="I4920">
        <v>34992863</v>
      </c>
    </row>
    <row r="4921" spans="1:9" x14ac:dyDescent="0.2">
      <c r="A4921" s="1" t="str">
        <f>"DNAJB6"</f>
        <v>DNAJB6</v>
      </c>
      <c r="B4921" t="s">
        <v>14</v>
      </c>
      <c r="C4921" t="s">
        <v>33</v>
      </c>
      <c r="D4921" t="s">
        <v>17</v>
      </c>
      <c r="E4921" t="s">
        <v>12</v>
      </c>
      <c r="F4921">
        <v>157129682</v>
      </c>
      <c r="G4921">
        <v>157129725</v>
      </c>
      <c r="H4921">
        <v>157129738</v>
      </c>
      <c r="I4921">
        <v>157129760</v>
      </c>
    </row>
    <row r="4922" spans="1:9" x14ac:dyDescent="0.2">
      <c r="A4922" s="1" t="str">
        <f>"DNAJB7"</f>
        <v>DNAJB7</v>
      </c>
      <c r="B4922" t="s">
        <v>14</v>
      </c>
      <c r="C4922" t="s">
        <v>21</v>
      </c>
      <c r="D4922" t="s">
        <v>11</v>
      </c>
      <c r="E4922" t="s">
        <v>12</v>
      </c>
      <c r="F4922">
        <v>41258074</v>
      </c>
      <c r="G4922">
        <v>41258123</v>
      </c>
      <c r="H4922">
        <v>41258074</v>
      </c>
      <c r="I4922">
        <v>41258123</v>
      </c>
    </row>
    <row r="4923" spans="1:9" x14ac:dyDescent="0.2">
      <c r="A4923" s="1" t="str">
        <f>"DNAJB8"</f>
        <v>DNAJB8</v>
      </c>
      <c r="B4923" t="s">
        <v>14</v>
      </c>
      <c r="C4923" t="s">
        <v>22</v>
      </c>
      <c r="D4923" t="s">
        <v>11</v>
      </c>
      <c r="E4923" t="s">
        <v>12</v>
      </c>
      <c r="F4923">
        <v>128182316</v>
      </c>
      <c r="G4923">
        <v>128182336</v>
      </c>
      <c r="H4923">
        <v>128182346</v>
      </c>
      <c r="I4923">
        <v>128182348</v>
      </c>
    </row>
    <row r="4924" spans="1:9" x14ac:dyDescent="0.2">
      <c r="A4924" s="1" t="str">
        <f>"DNAJB9"</f>
        <v>DNAJB9</v>
      </c>
      <c r="B4924" t="s">
        <v>14</v>
      </c>
      <c r="C4924" t="s">
        <v>33</v>
      </c>
      <c r="D4924" t="s">
        <v>17</v>
      </c>
      <c r="E4924" t="s">
        <v>12</v>
      </c>
      <c r="F4924">
        <v>108210276</v>
      </c>
      <c r="G4924">
        <v>108210374</v>
      </c>
      <c r="H4924">
        <v>108210387</v>
      </c>
      <c r="I4924">
        <v>108210423</v>
      </c>
    </row>
    <row r="4925" spans="1:9" x14ac:dyDescent="0.2">
      <c r="A4925" s="1" t="str">
        <f>"DNAJC1"</f>
        <v>DNAJC1</v>
      </c>
      <c r="B4925" t="s">
        <v>14</v>
      </c>
      <c r="C4925" t="s">
        <v>15</v>
      </c>
      <c r="D4925" t="s">
        <v>11</v>
      </c>
      <c r="E4925" t="s">
        <v>12</v>
      </c>
      <c r="F4925">
        <v>22292613</v>
      </c>
      <c r="G4925">
        <v>22292674</v>
      </c>
      <c r="H4925">
        <v>22292591</v>
      </c>
      <c r="I4925">
        <v>22292606</v>
      </c>
    </row>
    <row r="4926" spans="1:9" x14ac:dyDescent="0.2">
      <c r="A4926" s="1" t="str">
        <f>"DNAJC10"</f>
        <v>DNAJC10</v>
      </c>
      <c r="B4926" t="s">
        <v>14</v>
      </c>
      <c r="C4926" t="s">
        <v>26</v>
      </c>
      <c r="D4926" t="s">
        <v>17</v>
      </c>
      <c r="E4926" t="s">
        <v>12</v>
      </c>
      <c r="F4926">
        <v>183580954</v>
      </c>
      <c r="G4926">
        <v>183581049</v>
      </c>
      <c r="H4926">
        <v>183580954</v>
      </c>
      <c r="I4926">
        <v>183581049</v>
      </c>
    </row>
    <row r="4927" spans="1:9" x14ac:dyDescent="0.2">
      <c r="A4927" s="1" t="str">
        <f>"DNAJC11"</f>
        <v>DNAJC11</v>
      </c>
      <c r="B4927" t="s">
        <v>14</v>
      </c>
      <c r="C4927" t="s">
        <v>19</v>
      </c>
      <c r="D4927" t="s">
        <v>11</v>
      </c>
      <c r="E4927" t="s">
        <v>12</v>
      </c>
      <c r="F4927">
        <v>6761855</v>
      </c>
      <c r="G4927">
        <v>6761892</v>
      </c>
      <c r="H4927">
        <v>6761840</v>
      </c>
      <c r="I4927">
        <v>6761851</v>
      </c>
    </row>
    <row r="4928" spans="1:9" x14ac:dyDescent="0.2">
      <c r="A4928" s="1" t="str">
        <f>"DNAJC12"</f>
        <v>DNAJC12</v>
      </c>
      <c r="B4928" t="s">
        <v>14</v>
      </c>
      <c r="C4928" t="s">
        <v>15</v>
      </c>
      <c r="D4928" t="s">
        <v>11</v>
      </c>
      <c r="E4928" t="s">
        <v>12</v>
      </c>
      <c r="F4928">
        <v>69597886</v>
      </c>
      <c r="G4928">
        <v>69597910</v>
      </c>
      <c r="H4928">
        <v>69597810</v>
      </c>
      <c r="I4928">
        <v>69597827</v>
      </c>
    </row>
    <row r="4929" spans="1:9" x14ac:dyDescent="0.2">
      <c r="A4929" s="1" t="str">
        <f>"DNAJC13"</f>
        <v>DNAJC13</v>
      </c>
      <c r="B4929" t="s">
        <v>14</v>
      </c>
      <c r="C4929" t="s">
        <v>22</v>
      </c>
      <c r="D4929" t="s">
        <v>17</v>
      </c>
      <c r="E4929" t="s">
        <v>12</v>
      </c>
      <c r="F4929">
        <v>132136331</v>
      </c>
      <c r="G4929">
        <v>132136378</v>
      </c>
      <c r="H4929">
        <v>132136530</v>
      </c>
      <c r="I4929">
        <v>132136551</v>
      </c>
    </row>
    <row r="4930" spans="1:9" x14ac:dyDescent="0.2">
      <c r="A4930" s="1" t="str">
        <f>"DNAJC14"</f>
        <v>DNAJC14</v>
      </c>
      <c r="B4930" t="s">
        <v>14</v>
      </c>
      <c r="C4930" t="s">
        <v>16</v>
      </c>
      <c r="D4930" t="s">
        <v>11</v>
      </c>
      <c r="E4930" t="s">
        <v>12</v>
      </c>
      <c r="F4930">
        <v>56223309</v>
      </c>
      <c r="G4930">
        <v>56223362</v>
      </c>
      <c r="H4930">
        <v>56223363</v>
      </c>
      <c r="I4930">
        <v>56223390</v>
      </c>
    </row>
    <row r="4931" spans="1:9" x14ac:dyDescent="0.2">
      <c r="A4931" s="1" t="str">
        <f>"DNAJC15"</f>
        <v>DNAJC15</v>
      </c>
      <c r="B4931" t="s">
        <v>14</v>
      </c>
      <c r="C4931" t="s">
        <v>39</v>
      </c>
      <c r="D4931" t="s">
        <v>17</v>
      </c>
      <c r="E4931" t="s">
        <v>12</v>
      </c>
      <c r="F4931">
        <v>43597714</v>
      </c>
      <c r="G4931">
        <v>43597774</v>
      </c>
      <c r="H4931">
        <v>43597504</v>
      </c>
      <c r="I4931">
        <v>43597523</v>
      </c>
    </row>
    <row r="4932" spans="1:9" x14ac:dyDescent="0.2">
      <c r="A4932" s="1" t="str">
        <f>"DNAJC16"</f>
        <v>DNAJC16</v>
      </c>
      <c r="B4932" t="s">
        <v>14</v>
      </c>
      <c r="C4932" t="s">
        <v>19</v>
      </c>
      <c r="D4932" t="s">
        <v>17</v>
      </c>
      <c r="E4932" t="s">
        <v>12</v>
      </c>
      <c r="F4932">
        <v>15853325</v>
      </c>
      <c r="G4932">
        <v>15853413</v>
      </c>
      <c r="H4932">
        <v>15853325</v>
      </c>
      <c r="I4932">
        <v>15853413</v>
      </c>
    </row>
    <row r="4933" spans="1:9" x14ac:dyDescent="0.2">
      <c r="A4933" s="1" t="str">
        <f>"DNAJC17"</f>
        <v>DNAJC17</v>
      </c>
      <c r="B4933" t="s">
        <v>14</v>
      </c>
      <c r="C4933" t="s">
        <v>25</v>
      </c>
      <c r="D4933" t="s">
        <v>11</v>
      </c>
      <c r="E4933" t="s">
        <v>12</v>
      </c>
      <c r="F4933">
        <v>41099648</v>
      </c>
      <c r="G4933">
        <v>41099683</v>
      </c>
      <c r="H4933">
        <v>41099648</v>
      </c>
      <c r="I4933">
        <v>41099683</v>
      </c>
    </row>
    <row r="4934" spans="1:9" x14ac:dyDescent="0.2">
      <c r="A4934" s="1" t="str">
        <f>"DNAJC18"</f>
        <v>DNAJC18</v>
      </c>
      <c r="B4934" t="s">
        <v>14</v>
      </c>
      <c r="C4934" t="s">
        <v>46</v>
      </c>
      <c r="D4934" t="s">
        <v>11</v>
      </c>
      <c r="E4934" t="s">
        <v>12</v>
      </c>
      <c r="F4934">
        <v>138775177</v>
      </c>
      <c r="G4934">
        <v>138775220</v>
      </c>
      <c r="H4934">
        <v>138775135</v>
      </c>
      <c r="I4934">
        <v>138775172</v>
      </c>
    </row>
    <row r="4935" spans="1:9" x14ac:dyDescent="0.2">
      <c r="A4935" s="1" t="str">
        <f>"DNAJC19"</f>
        <v>DNAJC19</v>
      </c>
      <c r="B4935" t="s">
        <v>14</v>
      </c>
      <c r="C4935" t="s">
        <v>22</v>
      </c>
      <c r="D4935" t="s">
        <v>11</v>
      </c>
      <c r="E4935" t="s">
        <v>12</v>
      </c>
      <c r="F4935">
        <v>180707466</v>
      </c>
      <c r="G4935">
        <v>180707564</v>
      </c>
      <c r="H4935">
        <v>180707436</v>
      </c>
      <c r="I4935">
        <v>180707451</v>
      </c>
    </row>
    <row r="4936" spans="1:9" x14ac:dyDescent="0.2">
      <c r="A4936" s="1" t="str">
        <f>"DNAJC2"</f>
        <v>DNAJC2</v>
      </c>
      <c r="B4936" t="s">
        <v>14</v>
      </c>
      <c r="C4936" t="s">
        <v>33</v>
      </c>
      <c r="D4936" t="s">
        <v>11</v>
      </c>
      <c r="E4936" t="s">
        <v>12</v>
      </c>
      <c r="F4936">
        <v>102985160</v>
      </c>
      <c r="G4936">
        <v>102985273</v>
      </c>
      <c r="H4936">
        <v>102985288</v>
      </c>
      <c r="I4936">
        <v>102985310</v>
      </c>
    </row>
    <row r="4937" spans="1:9" x14ac:dyDescent="0.2">
      <c r="A4937" s="1" t="str">
        <f>"DNAJC21"</f>
        <v>DNAJC21</v>
      </c>
      <c r="B4937" t="s">
        <v>14</v>
      </c>
      <c r="C4937" t="s">
        <v>46</v>
      </c>
      <c r="D4937" t="s">
        <v>17</v>
      </c>
      <c r="E4937" t="s">
        <v>12</v>
      </c>
      <c r="F4937">
        <v>34929677</v>
      </c>
      <c r="G4937">
        <v>34929789</v>
      </c>
      <c r="H4937">
        <v>34929629</v>
      </c>
      <c r="I4937">
        <v>34929671</v>
      </c>
    </row>
    <row r="4938" spans="1:9" x14ac:dyDescent="0.2">
      <c r="A4938" s="1" t="str">
        <f>"DNAJC22"</f>
        <v>DNAJC22</v>
      </c>
      <c r="B4938" t="s">
        <v>14</v>
      </c>
      <c r="C4938" t="s">
        <v>16</v>
      </c>
      <c r="D4938" t="s">
        <v>17</v>
      </c>
      <c r="E4938" t="s">
        <v>12</v>
      </c>
      <c r="F4938">
        <v>49740705</v>
      </c>
      <c r="G4938">
        <v>49740721</v>
      </c>
      <c r="H4938">
        <v>49740668</v>
      </c>
      <c r="I4938">
        <v>49740676</v>
      </c>
    </row>
    <row r="4939" spans="1:9" x14ac:dyDescent="0.2">
      <c r="A4939" s="1" t="str">
        <f>"DNAJC24"</f>
        <v>DNAJC24</v>
      </c>
      <c r="B4939" t="s">
        <v>14</v>
      </c>
      <c r="C4939" t="s">
        <v>27</v>
      </c>
      <c r="D4939" t="s">
        <v>17</v>
      </c>
      <c r="E4939" t="s">
        <v>12</v>
      </c>
      <c r="F4939">
        <v>31391381</v>
      </c>
      <c r="G4939">
        <v>31391426</v>
      </c>
      <c r="H4939">
        <v>31391364</v>
      </c>
      <c r="I4939">
        <v>31391379</v>
      </c>
    </row>
    <row r="4940" spans="1:9" x14ac:dyDescent="0.2">
      <c r="A4940" s="1" t="str">
        <f>"DNAJC25"</f>
        <v>DNAJC25</v>
      </c>
      <c r="B4940" t="s">
        <v>14</v>
      </c>
      <c r="C4940" t="s">
        <v>24</v>
      </c>
      <c r="D4940" t="s">
        <v>17</v>
      </c>
      <c r="E4940" t="s">
        <v>12</v>
      </c>
      <c r="F4940">
        <v>114393581</v>
      </c>
      <c r="G4940">
        <v>114393633</v>
      </c>
      <c r="H4940">
        <v>114393634</v>
      </c>
      <c r="I4940">
        <v>114393656</v>
      </c>
    </row>
    <row r="4941" spans="1:9" x14ac:dyDescent="0.2">
      <c r="A4941" s="1" t="str">
        <f>"DNAJC25-GNG10"</f>
        <v>DNAJC25-GNG10</v>
      </c>
      <c r="B4941" t="s">
        <v>14</v>
      </c>
      <c r="C4941" t="s">
        <v>24</v>
      </c>
      <c r="D4941" t="s">
        <v>17</v>
      </c>
      <c r="E4941" t="s">
        <v>12</v>
      </c>
      <c r="F4941">
        <v>114393581</v>
      </c>
      <c r="G4941">
        <v>114393633</v>
      </c>
      <c r="H4941">
        <v>114393634</v>
      </c>
      <c r="I4941">
        <v>114393656</v>
      </c>
    </row>
    <row r="4942" spans="1:9" x14ac:dyDescent="0.2">
      <c r="A4942" s="1" t="str">
        <f>"DNAJC27"</f>
        <v>DNAJC27</v>
      </c>
      <c r="B4942" t="s">
        <v>14</v>
      </c>
      <c r="C4942" t="s">
        <v>26</v>
      </c>
      <c r="D4942" t="s">
        <v>11</v>
      </c>
      <c r="E4942" t="s">
        <v>12</v>
      </c>
      <c r="F4942">
        <v>25194769</v>
      </c>
      <c r="G4942">
        <v>25194848</v>
      </c>
      <c r="H4942">
        <v>25194902</v>
      </c>
      <c r="I4942">
        <v>25194958</v>
      </c>
    </row>
    <row r="4943" spans="1:9" x14ac:dyDescent="0.2">
      <c r="A4943" s="1" t="str">
        <f>"DNAJC28"</f>
        <v>DNAJC28</v>
      </c>
      <c r="B4943" t="s">
        <v>14</v>
      </c>
      <c r="C4943" t="s">
        <v>42</v>
      </c>
      <c r="D4943" t="s">
        <v>11</v>
      </c>
      <c r="E4943" t="s">
        <v>12</v>
      </c>
      <c r="F4943">
        <v>34864006</v>
      </c>
      <c r="G4943">
        <v>34864060</v>
      </c>
      <c r="H4943">
        <v>34863693</v>
      </c>
      <c r="I4943">
        <v>34863713</v>
      </c>
    </row>
    <row r="4944" spans="1:9" x14ac:dyDescent="0.2">
      <c r="A4944" s="1" t="str">
        <f>"DNAJC3"</f>
        <v>DNAJC3</v>
      </c>
      <c r="B4944" t="s">
        <v>14</v>
      </c>
      <c r="C4944" t="s">
        <v>39</v>
      </c>
      <c r="D4944" t="s">
        <v>17</v>
      </c>
      <c r="E4944" t="s">
        <v>12</v>
      </c>
      <c r="F4944">
        <v>96329381</v>
      </c>
      <c r="G4944">
        <v>96329416</v>
      </c>
      <c r="H4944">
        <v>96329361</v>
      </c>
      <c r="I4944">
        <v>96329380</v>
      </c>
    </row>
    <row r="4945" spans="1:9" x14ac:dyDescent="0.2">
      <c r="A4945" s="1" t="str">
        <f>"DNAJC30"</f>
        <v>DNAJC30</v>
      </c>
      <c r="B4945" t="s">
        <v>14</v>
      </c>
      <c r="C4945" t="s">
        <v>33</v>
      </c>
      <c r="D4945" t="s">
        <v>11</v>
      </c>
      <c r="E4945" t="s">
        <v>12</v>
      </c>
      <c r="F4945">
        <v>73097741</v>
      </c>
      <c r="G4945">
        <v>73097789</v>
      </c>
      <c r="H4945">
        <v>73097291</v>
      </c>
      <c r="I4945">
        <v>73097296</v>
      </c>
    </row>
    <row r="4946" spans="1:9" x14ac:dyDescent="0.2">
      <c r="A4946" s="1" t="str">
        <f>"DNAJC4"</f>
        <v>DNAJC4</v>
      </c>
      <c r="B4946" t="s">
        <v>14</v>
      </c>
      <c r="C4946" t="s">
        <v>27</v>
      </c>
      <c r="D4946" t="s">
        <v>17</v>
      </c>
      <c r="E4946" t="s">
        <v>12</v>
      </c>
      <c r="F4946">
        <v>63998006</v>
      </c>
      <c r="G4946">
        <v>63998044</v>
      </c>
      <c r="H4946">
        <v>63997941</v>
      </c>
      <c r="I4946">
        <v>63997963</v>
      </c>
    </row>
    <row r="4947" spans="1:9" x14ac:dyDescent="0.2">
      <c r="A4947" s="1" t="str">
        <f>"DNAJC5"</f>
        <v>DNAJC5</v>
      </c>
      <c r="B4947" t="s">
        <v>14</v>
      </c>
      <c r="C4947" t="s">
        <v>29</v>
      </c>
      <c r="D4947" t="s">
        <v>17</v>
      </c>
      <c r="E4947" t="s">
        <v>12</v>
      </c>
      <c r="F4947">
        <v>62526467</v>
      </c>
      <c r="G4947">
        <v>62526540</v>
      </c>
      <c r="H4947">
        <v>62526441</v>
      </c>
      <c r="I4947">
        <v>62526462</v>
      </c>
    </row>
    <row r="4948" spans="1:9" x14ac:dyDescent="0.2">
      <c r="A4948" s="1" t="str">
        <f>"DNAJC5B"</f>
        <v>DNAJC5B</v>
      </c>
      <c r="B4948" t="s">
        <v>9</v>
      </c>
      <c r="C4948" t="s">
        <v>30</v>
      </c>
      <c r="D4948" t="s">
        <v>17</v>
      </c>
      <c r="E4948" t="s">
        <v>12</v>
      </c>
      <c r="F4948">
        <v>66933779</v>
      </c>
      <c r="G4948">
        <v>66933800</v>
      </c>
      <c r="H4948">
        <v>66933779</v>
      </c>
      <c r="I4948">
        <v>66933800</v>
      </c>
    </row>
    <row r="4949" spans="1:9" x14ac:dyDescent="0.2">
      <c r="A4949" s="1" t="str">
        <f>"DNAJC5B"</f>
        <v>DNAJC5B</v>
      </c>
      <c r="B4949" t="s">
        <v>13</v>
      </c>
      <c r="C4949" t="s">
        <v>30</v>
      </c>
      <c r="D4949" t="s">
        <v>17</v>
      </c>
      <c r="E4949" t="s">
        <v>12</v>
      </c>
      <c r="F4949">
        <v>66955817</v>
      </c>
      <c r="G4949">
        <v>66955844</v>
      </c>
      <c r="H4949">
        <v>66955817</v>
      </c>
      <c r="I4949">
        <v>66955844</v>
      </c>
    </row>
    <row r="4950" spans="1:9" x14ac:dyDescent="0.2">
      <c r="A4950" s="1" t="str">
        <f>"DNAJC5G"</f>
        <v>DNAJC5G</v>
      </c>
      <c r="B4950" t="s">
        <v>14</v>
      </c>
      <c r="C4950" t="s">
        <v>26</v>
      </c>
      <c r="D4950" t="s">
        <v>17</v>
      </c>
      <c r="E4950" t="s">
        <v>12</v>
      </c>
      <c r="F4950">
        <v>27498297</v>
      </c>
      <c r="G4950">
        <v>27498318</v>
      </c>
      <c r="H4950">
        <v>27498319</v>
      </c>
      <c r="I4950">
        <v>27498323</v>
      </c>
    </row>
    <row r="4951" spans="1:9" x14ac:dyDescent="0.2">
      <c r="A4951" s="1" t="str">
        <f>"DNAJC6"</f>
        <v>DNAJC6</v>
      </c>
      <c r="B4951" t="s">
        <v>14</v>
      </c>
      <c r="C4951" t="s">
        <v>19</v>
      </c>
      <c r="D4951" t="s">
        <v>17</v>
      </c>
      <c r="E4951" t="s">
        <v>12</v>
      </c>
      <c r="F4951">
        <v>65720089</v>
      </c>
      <c r="G4951">
        <v>65720155</v>
      </c>
      <c r="H4951">
        <v>65720089</v>
      </c>
      <c r="I4951">
        <v>65720155</v>
      </c>
    </row>
    <row r="4952" spans="1:9" x14ac:dyDescent="0.2">
      <c r="A4952" s="1" t="str">
        <f>"DNAJC7"</f>
        <v>DNAJC7</v>
      </c>
      <c r="B4952" t="s">
        <v>14</v>
      </c>
      <c r="C4952" t="s">
        <v>28</v>
      </c>
      <c r="D4952" t="s">
        <v>11</v>
      </c>
      <c r="E4952" t="s">
        <v>12</v>
      </c>
      <c r="F4952">
        <v>40169429</v>
      </c>
      <c r="G4952">
        <v>40169484</v>
      </c>
      <c r="H4952">
        <v>40169161</v>
      </c>
      <c r="I4952">
        <v>40169187</v>
      </c>
    </row>
    <row r="4953" spans="1:9" x14ac:dyDescent="0.2">
      <c r="A4953" s="1" t="str">
        <f>"DNAJC8"</f>
        <v>DNAJC8</v>
      </c>
      <c r="B4953" t="s">
        <v>14</v>
      </c>
      <c r="C4953" t="s">
        <v>19</v>
      </c>
      <c r="D4953" t="s">
        <v>11</v>
      </c>
      <c r="E4953" t="s">
        <v>12</v>
      </c>
      <c r="F4953">
        <v>28559502</v>
      </c>
      <c r="G4953">
        <v>28559570</v>
      </c>
      <c r="H4953">
        <v>28559478</v>
      </c>
      <c r="I4953">
        <v>28559490</v>
      </c>
    </row>
    <row r="4954" spans="1:9" x14ac:dyDescent="0.2">
      <c r="A4954" s="1" t="str">
        <f>"DNAJC9"</f>
        <v>DNAJC9</v>
      </c>
      <c r="B4954" t="s">
        <v>14</v>
      </c>
      <c r="C4954" t="s">
        <v>15</v>
      </c>
      <c r="D4954" t="s">
        <v>11</v>
      </c>
      <c r="E4954" t="s">
        <v>12</v>
      </c>
      <c r="F4954">
        <v>75006999</v>
      </c>
      <c r="G4954">
        <v>75007077</v>
      </c>
      <c r="H4954">
        <v>75006966</v>
      </c>
      <c r="I4954">
        <v>75006977</v>
      </c>
    </row>
    <row r="4955" spans="1:9" x14ac:dyDescent="0.2">
      <c r="A4955" s="1" t="str">
        <f>"DNAL1"</f>
        <v>DNAL1</v>
      </c>
      <c r="B4955" t="s">
        <v>14</v>
      </c>
      <c r="C4955" t="s">
        <v>41</v>
      </c>
      <c r="D4955" t="s">
        <v>17</v>
      </c>
      <c r="E4955" t="s">
        <v>12</v>
      </c>
      <c r="F4955">
        <v>74111671</v>
      </c>
      <c r="G4955">
        <v>74111730</v>
      </c>
      <c r="H4955">
        <v>74111343</v>
      </c>
      <c r="I4955">
        <v>74111345</v>
      </c>
    </row>
    <row r="4956" spans="1:9" x14ac:dyDescent="0.2">
      <c r="A4956" s="1" t="str">
        <f>"DNAL4"</f>
        <v>DNAL4</v>
      </c>
      <c r="B4956" t="s">
        <v>9</v>
      </c>
      <c r="C4956" t="s">
        <v>21</v>
      </c>
      <c r="D4956" t="s">
        <v>11</v>
      </c>
      <c r="E4956" t="s">
        <v>12</v>
      </c>
      <c r="F4956">
        <v>39190116</v>
      </c>
      <c r="G4956">
        <v>39190185</v>
      </c>
      <c r="H4956">
        <v>39190116</v>
      </c>
      <c r="I4956">
        <v>39190185</v>
      </c>
    </row>
    <row r="4957" spans="1:9" x14ac:dyDescent="0.2">
      <c r="A4957" s="1" t="str">
        <f>"DNAL4"</f>
        <v>DNAL4</v>
      </c>
      <c r="B4957" t="s">
        <v>13</v>
      </c>
      <c r="C4957" t="s">
        <v>21</v>
      </c>
      <c r="D4957" t="s">
        <v>11</v>
      </c>
      <c r="E4957" t="s">
        <v>12</v>
      </c>
      <c r="F4957">
        <v>39178758</v>
      </c>
      <c r="G4957">
        <v>39178776</v>
      </c>
      <c r="H4957">
        <v>39178758</v>
      </c>
      <c r="I4957">
        <v>39178776</v>
      </c>
    </row>
    <row r="4958" spans="1:9" x14ac:dyDescent="0.2">
      <c r="A4958" s="1" t="str">
        <f>"DNALI1"</f>
        <v>DNALI1</v>
      </c>
      <c r="B4958" t="s">
        <v>14</v>
      </c>
      <c r="C4958" t="s">
        <v>19</v>
      </c>
      <c r="D4958" t="s">
        <v>17</v>
      </c>
      <c r="E4958" t="s">
        <v>12</v>
      </c>
      <c r="F4958">
        <v>38022513</v>
      </c>
      <c r="G4958">
        <v>38022571</v>
      </c>
      <c r="H4958">
        <v>38022572</v>
      </c>
      <c r="I4958">
        <v>38022613</v>
      </c>
    </row>
    <row r="4959" spans="1:9" x14ac:dyDescent="0.2">
      <c r="A4959" s="1" t="str">
        <f>"DNASE1"</f>
        <v>DNASE1</v>
      </c>
      <c r="B4959" t="s">
        <v>14</v>
      </c>
      <c r="C4959" t="s">
        <v>31</v>
      </c>
      <c r="D4959" t="s">
        <v>17</v>
      </c>
      <c r="E4959" t="s">
        <v>12</v>
      </c>
      <c r="F4959">
        <v>3704800</v>
      </c>
      <c r="G4959">
        <v>3704816</v>
      </c>
      <c r="H4959">
        <v>3704684</v>
      </c>
      <c r="I4959">
        <v>3704697</v>
      </c>
    </row>
    <row r="4960" spans="1:9" x14ac:dyDescent="0.2">
      <c r="A4960" s="1" t="str">
        <f>"DNASE1L1"</f>
        <v>DNASE1L1</v>
      </c>
      <c r="B4960" t="s">
        <v>9</v>
      </c>
      <c r="C4960" t="s">
        <v>37</v>
      </c>
      <c r="D4960" t="s">
        <v>11</v>
      </c>
      <c r="E4960" t="s">
        <v>12</v>
      </c>
      <c r="F4960">
        <v>153637534</v>
      </c>
      <c r="G4960">
        <v>153637567</v>
      </c>
      <c r="H4960">
        <v>153637534</v>
      </c>
      <c r="I4960">
        <v>153637567</v>
      </c>
    </row>
    <row r="4961" spans="1:9" x14ac:dyDescent="0.2">
      <c r="A4961" s="1" t="str">
        <f>"DNASE1L1"</f>
        <v>DNASE1L1</v>
      </c>
      <c r="B4961" t="s">
        <v>13</v>
      </c>
      <c r="C4961" t="s">
        <v>37</v>
      </c>
      <c r="D4961" t="s">
        <v>11</v>
      </c>
      <c r="E4961" t="s">
        <v>12</v>
      </c>
      <c r="F4961">
        <v>153640421</v>
      </c>
      <c r="G4961">
        <v>153640456</v>
      </c>
      <c r="H4961">
        <v>153640421</v>
      </c>
      <c r="I4961">
        <v>153640456</v>
      </c>
    </row>
    <row r="4962" spans="1:9" x14ac:dyDescent="0.2">
      <c r="A4962" s="1" t="str">
        <f>"DNASE1L2"</f>
        <v>DNASE1L2</v>
      </c>
      <c r="B4962" t="s">
        <v>14</v>
      </c>
      <c r="C4962" t="s">
        <v>31</v>
      </c>
      <c r="D4962" t="s">
        <v>17</v>
      </c>
      <c r="E4962" t="s">
        <v>12</v>
      </c>
      <c r="F4962">
        <v>2286444</v>
      </c>
      <c r="G4962">
        <v>2286451</v>
      </c>
      <c r="H4962">
        <v>2286444</v>
      </c>
      <c r="I4962">
        <v>2286451</v>
      </c>
    </row>
    <row r="4963" spans="1:9" x14ac:dyDescent="0.2">
      <c r="A4963" s="1" t="str">
        <f>"DNASE1L3"</f>
        <v>DNASE1L3</v>
      </c>
      <c r="B4963" t="s">
        <v>14</v>
      </c>
      <c r="C4963" t="s">
        <v>22</v>
      </c>
      <c r="D4963" t="s">
        <v>11</v>
      </c>
      <c r="E4963" t="s">
        <v>12</v>
      </c>
      <c r="F4963">
        <v>58196688</v>
      </c>
      <c r="G4963">
        <v>58196706</v>
      </c>
      <c r="H4963">
        <v>58196639</v>
      </c>
      <c r="I4963">
        <v>58196653</v>
      </c>
    </row>
    <row r="4964" spans="1:9" x14ac:dyDescent="0.2">
      <c r="A4964" s="1" t="str">
        <f>"DNASE2"</f>
        <v>DNASE2</v>
      </c>
      <c r="B4964" t="s">
        <v>14</v>
      </c>
      <c r="C4964" t="s">
        <v>10</v>
      </c>
      <c r="D4964" t="s">
        <v>11</v>
      </c>
      <c r="E4964" t="s">
        <v>12</v>
      </c>
      <c r="F4964">
        <v>12992274</v>
      </c>
      <c r="G4964">
        <v>12992332</v>
      </c>
      <c r="H4964">
        <v>12992244</v>
      </c>
      <c r="I4964">
        <v>12992272</v>
      </c>
    </row>
    <row r="4965" spans="1:9" x14ac:dyDescent="0.2">
      <c r="A4965" s="1" t="str">
        <f>"DNASE2B"</f>
        <v>DNASE2B</v>
      </c>
      <c r="B4965" t="s">
        <v>14</v>
      </c>
      <c r="C4965" t="s">
        <v>19</v>
      </c>
      <c r="D4965" t="s">
        <v>17</v>
      </c>
      <c r="E4965" t="s">
        <v>12</v>
      </c>
      <c r="F4965">
        <v>84874085</v>
      </c>
      <c r="G4965">
        <v>84874144</v>
      </c>
      <c r="H4965">
        <v>84873943</v>
      </c>
      <c r="I4965">
        <v>84873958</v>
      </c>
    </row>
    <row r="4966" spans="1:9" x14ac:dyDescent="0.2">
      <c r="A4966" s="1" t="str">
        <f>"DND1"</f>
        <v>DND1</v>
      </c>
      <c r="B4966" t="s">
        <v>14</v>
      </c>
      <c r="C4966" t="s">
        <v>46</v>
      </c>
      <c r="D4966" t="s">
        <v>11</v>
      </c>
      <c r="E4966" t="s">
        <v>12</v>
      </c>
      <c r="F4966">
        <v>140053152</v>
      </c>
      <c r="G4966">
        <v>140053174</v>
      </c>
      <c r="H4966">
        <v>140053130</v>
      </c>
      <c r="I4966">
        <v>140053138</v>
      </c>
    </row>
    <row r="4967" spans="1:9" x14ac:dyDescent="0.2">
      <c r="A4967" s="1" t="str">
        <f>"DNER"</f>
        <v>DNER</v>
      </c>
      <c r="B4967" t="s">
        <v>14</v>
      </c>
      <c r="C4967" t="s">
        <v>26</v>
      </c>
      <c r="D4967" t="s">
        <v>11</v>
      </c>
      <c r="E4967" t="s">
        <v>12</v>
      </c>
      <c r="F4967">
        <v>230579185</v>
      </c>
      <c r="G4967">
        <v>230579302</v>
      </c>
      <c r="H4967">
        <v>230579185</v>
      </c>
      <c r="I4967">
        <v>230579302</v>
      </c>
    </row>
    <row r="4968" spans="1:9" x14ac:dyDescent="0.2">
      <c r="A4968" s="1" t="str">
        <f>"DNHD1"</f>
        <v>DNHD1</v>
      </c>
      <c r="B4968" t="s">
        <v>14</v>
      </c>
      <c r="C4968" t="s">
        <v>27</v>
      </c>
      <c r="D4968" t="s">
        <v>17</v>
      </c>
      <c r="E4968" t="s">
        <v>12</v>
      </c>
      <c r="F4968">
        <v>6518503</v>
      </c>
      <c r="G4968">
        <v>6518531</v>
      </c>
      <c r="H4968">
        <v>6518503</v>
      </c>
      <c r="I4968">
        <v>6518531</v>
      </c>
    </row>
    <row r="4969" spans="1:9" x14ac:dyDescent="0.2">
      <c r="A4969" s="1" t="str">
        <f>"DNLZ"</f>
        <v>DNLZ</v>
      </c>
      <c r="B4969" t="s">
        <v>14</v>
      </c>
      <c r="C4969" t="s">
        <v>24</v>
      </c>
      <c r="D4969" t="s">
        <v>11</v>
      </c>
      <c r="E4969" t="s">
        <v>12</v>
      </c>
      <c r="F4969">
        <v>139258159</v>
      </c>
      <c r="G4969">
        <v>139258201</v>
      </c>
      <c r="H4969">
        <v>139258216</v>
      </c>
      <c r="I4969">
        <v>139258228</v>
      </c>
    </row>
    <row r="4970" spans="1:9" x14ac:dyDescent="0.2">
      <c r="A4970" s="1" t="str">
        <f>"DNM1"</f>
        <v>DNM1</v>
      </c>
      <c r="B4970" t="s">
        <v>14</v>
      </c>
      <c r="C4970" t="s">
        <v>24</v>
      </c>
      <c r="D4970" t="s">
        <v>17</v>
      </c>
      <c r="E4970" t="s">
        <v>12</v>
      </c>
      <c r="F4970">
        <v>130965651</v>
      </c>
      <c r="G4970">
        <v>130965665</v>
      </c>
      <c r="H4970">
        <v>130965677</v>
      </c>
      <c r="I4970">
        <v>130965700</v>
      </c>
    </row>
    <row r="4971" spans="1:9" x14ac:dyDescent="0.2">
      <c r="A4971" s="1" t="str">
        <f>"DNM1L"</f>
        <v>DNM1L</v>
      </c>
      <c r="B4971" t="s">
        <v>14</v>
      </c>
      <c r="C4971" t="s">
        <v>16</v>
      </c>
      <c r="D4971" t="s">
        <v>17</v>
      </c>
      <c r="E4971" t="s">
        <v>12</v>
      </c>
      <c r="F4971">
        <v>32832203</v>
      </c>
      <c r="G4971">
        <v>32832263</v>
      </c>
      <c r="H4971">
        <v>32832182</v>
      </c>
      <c r="I4971">
        <v>32832196</v>
      </c>
    </row>
    <row r="4972" spans="1:9" x14ac:dyDescent="0.2">
      <c r="A4972" s="1" t="str">
        <f>"DNM2"</f>
        <v>DNM2</v>
      </c>
      <c r="B4972" t="s">
        <v>14</v>
      </c>
      <c r="C4972" t="s">
        <v>10</v>
      </c>
      <c r="D4972" t="s">
        <v>17</v>
      </c>
      <c r="E4972" t="s">
        <v>12</v>
      </c>
      <c r="F4972">
        <v>10828724</v>
      </c>
      <c r="G4972">
        <v>10828779</v>
      </c>
      <c r="H4972">
        <v>10828795</v>
      </c>
      <c r="I4972">
        <v>10828806</v>
      </c>
    </row>
    <row r="4973" spans="1:9" x14ac:dyDescent="0.2">
      <c r="A4973" s="1" t="str">
        <f>"DNM3"</f>
        <v>DNM3</v>
      </c>
      <c r="B4973" t="s">
        <v>14</v>
      </c>
      <c r="C4973" t="s">
        <v>19</v>
      </c>
      <c r="D4973" t="s">
        <v>17</v>
      </c>
      <c r="E4973" t="s">
        <v>12</v>
      </c>
      <c r="F4973">
        <v>171810606</v>
      </c>
      <c r="G4973">
        <v>171810649</v>
      </c>
      <c r="H4973">
        <v>171810650</v>
      </c>
      <c r="I4973">
        <v>171810697</v>
      </c>
    </row>
    <row r="4974" spans="1:9" x14ac:dyDescent="0.2">
      <c r="A4974" s="1" t="str">
        <f>"DNMBP"</f>
        <v>DNMBP</v>
      </c>
      <c r="B4974" t="s">
        <v>14</v>
      </c>
      <c r="C4974" t="s">
        <v>15</v>
      </c>
      <c r="D4974" t="s">
        <v>11</v>
      </c>
      <c r="E4974" t="s">
        <v>12</v>
      </c>
      <c r="F4974">
        <v>101769617</v>
      </c>
      <c r="G4974">
        <v>101769716</v>
      </c>
      <c r="H4974">
        <v>101769617</v>
      </c>
      <c r="I4974">
        <v>101769716</v>
      </c>
    </row>
    <row r="4975" spans="1:9" x14ac:dyDescent="0.2">
      <c r="A4975" s="1" t="str">
        <f>"DNMT1"</f>
        <v>DNMT1</v>
      </c>
      <c r="B4975" t="s">
        <v>14</v>
      </c>
      <c r="C4975" t="s">
        <v>10</v>
      </c>
      <c r="D4975" t="s">
        <v>11</v>
      </c>
      <c r="E4975" t="s">
        <v>12</v>
      </c>
      <c r="F4975">
        <v>10305581</v>
      </c>
      <c r="G4975">
        <v>10305646</v>
      </c>
      <c r="H4975">
        <v>10305752</v>
      </c>
      <c r="I4975">
        <v>10305792</v>
      </c>
    </row>
    <row r="4976" spans="1:9" x14ac:dyDescent="0.2">
      <c r="A4976" s="1" t="str">
        <f>"DNMT3A"</f>
        <v>DNMT3A</v>
      </c>
      <c r="B4976" t="s">
        <v>353</v>
      </c>
      <c r="C4976" t="s">
        <v>26</v>
      </c>
      <c r="D4976" t="s">
        <v>11</v>
      </c>
      <c r="E4976" t="s">
        <v>35</v>
      </c>
      <c r="F4976">
        <v>25475248</v>
      </c>
      <c r="G4976">
        <v>25475269</v>
      </c>
      <c r="H4976">
        <v>25474962</v>
      </c>
      <c r="I4976">
        <v>25475002</v>
      </c>
    </row>
    <row r="4977" spans="1:9" x14ac:dyDescent="0.2">
      <c r="A4977" s="1" t="str">
        <f>"DNMT3B"</f>
        <v>DNMT3B</v>
      </c>
      <c r="B4977" t="s">
        <v>9</v>
      </c>
      <c r="C4977" t="s">
        <v>29</v>
      </c>
      <c r="D4977" t="s">
        <v>17</v>
      </c>
      <c r="E4977" t="s">
        <v>12</v>
      </c>
      <c r="F4977">
        <v>31350184</v>
      </c>
      <c r="G4977">
        <v>31350200</v>
      </c>
      <c r="H4977">
        <v>31350184</v>
      </c>
      <c r="I4977">
        <v>31350200</v>
      </c>
    </row>
    <row r="4978" spans="1:9" x14ac:dyDescent="0.2">
      <c r="A4978" s="1" t="str">
        <f>"DNMT3B"</f>
        <v>DNMT3B</v>
      </c>
      <c r="B4978" t="s">
        <v>13</v>
      </c>
      <c r="C4978" t="s">
        <v>29</v>
      </c>
      <c r="D4978" t="s">
        <v>17</v>
      </c>
      <c r="E4978" t="s">
        <v>12</v>
      </c>
      <c r="F4978">
        <v>31368212</v>
      </c>
      <c r="G4978">
        <v>31368235</v>
      </c>
      <c r="H4978">
        <v>31368212</v>
      </c>
      <c r="I4978">
        <v>31368235</v>
      </c>
    </row>
    <row r="4979" spans="1:9" x14ac:dyDescent="0.2">
      <c r="A4979" s="1" t="str">
        <f>"DNMT3L"</f>
        <v>DNMT3L</v>
      </c>
      <c r="B4979" t="s">
        <v>14</v>
      </c>
      <c r="C4979" t="s">
        <v>42</v>
      </c>
      <c r="D4979" t="s">
        <v>11</v>
      </c>
      <c r="E4979" t="s">
        <v>12</v>
      </c>
      <c r="F4979">
        <v>45681774</v>
      </c>
      <c r="G4979">
        <v>45681821</v>
      </c>
      <c r="H4979">
        <v>45681737</v>
      </c>
      <c r="I4979">
        <v>45681760</v>
      </c>
    </row>
    <row r="4980" spans="1:9" x14ac:dyDescent="0.2">
      <c r="A4980" s="1" t="str">
        <f>"DNPEP"</f>
        <v>DNPEP</v>
      </c>
      <c r="B4980" t="s">
        <v>14</v>
      </c>
      <c r="C4980" t="s">
        <v>26</v>
      </c>
      <c r="D4980" t="s">
        <v>11</v>
      </c>
      <c r="E4980" t="s">
        <v>12</v>
      </c>
      <c r="F4980">
        <v>220252603</v>
      </c>
      <c r="G4980">
        <v>220252666</v>
      </c>
      <c r="H4980">
        <v>220252507</v>
      </c>
      <c r="I4980">
        <v>220252524</v>
      </c>
    </row>
    <row r="4981" spans="1:9" x14ac:dyDescent="0.2">
      <c r="A4981" s="1" t="str">
        <f>"DNPH1"</f>
        <v>DNPH1</v>
      </c>
      <c r="B4981" t="s">
        <v>14</v>
      </c>
      <c r="C4981" t="s">
        <v>32</v>
      </c>
      <c r="D4981" t="s">
        <v>11</v>
      </c>
      <c r="E4981" t="s">
        <v>12</v>
      </c>
      <c r="F4981">
        <v>43197189</v>
      </c>
      <c r="G4981">
        <v>43197228</v>
      </c>
      <c r="H4981">
        <v>43197189</v>
      </c>
      <c r="I4981">
        <v>43197228</v>
      </c>
    </row>
    <row r="4982" spans="1:9" x14ac:dyDescent="0.2">
      <c r="A4982" s="1" t="str">
        <f>"DNTT"</f>
        <v>DNTT</v>
      </c>
      <c r="B4982" t="s">
        <v>14</v>
      </c>
      <c r="C4982" t="s">
        <v>15</v>
      </c>
      <c r="D4982" t="s">
        <v>17</v>
      </c>
      <c r="E4982" t="s">
        <v>12</v>
      </c>
      <c r="F4982">
        <v>98064181</v>
      </c>
      <c r="G4982">
        <v>98064237</v>
      </c>
      <c r="H4982">
        <v>98064238</v>
      </c>
      <c r="I4982">
        <v>98064252</v>
      </c>
    </row>
    <row r="4983" spans="1:9" x14ac:dyDescent="0.2">
      <c r="A4983" s="1" t="str">
        <f>"DNTTIP1"</f>
        <v>DNTTIP1</v>
      </c>
      <c r="B4983" t="s">
        <v>14</v>
      </c>
      <c r="C4983" t="s">
        <v>29</v>
      </c>
      <c r="D4983" t="s">
        <v>17</v>
      </c>
      <c r="E4983" t="s">
        <v>12</v>
      </c>
      <c r="F4983">
        <v>44420570</v>
      </c>
      <c r="G4983">
        <v>44420616</v>
      </c>
      <c r="H4983">
        <v>44420617</v>
      </c>
      <c r="I4983">
        <v>44420658</v>
      </c>
    </row>
    <row r="4984" spans="1:9" x14ac:dyDescent="0.2">
      <c r="A4984" s="1" t="str">
        <f>"DNTTIP2"</f>
        <v>DNTTIP2</v>
      </c>
      <c r="B4984" t="s">
        <v>14</v>
      </c>
      <c r="C4984" t="s">
        <v>19</v>
      </c>
      <c r="D4984" t="s">
        <v>11</v>
      </c>
      <c r="E4984" t="s">
        <v>12</v>
      </c>
      <c r="F4984">
        <v>94344686</v>
      </c>
      <c r="G4984">
        <v>94344748</v>
      </c>
      <c r="H4984">
        <v>94344754</v>
      </c>
      <c r="I4984">
        <v>94344768</v>
      </c>
    </row>
    <row r="4985" spans="1:9" x14ac:dyDescent="0.2">
      <c r="A4985" s="1" t="str">
        <f>"DOC2A"</f>
        <v>DOC2A</v>
      </c>
      <c r="B4985" t="s">
        <v>9</v>
      </c>
      <c r="C4985" t="s">
        <v>31</v>
      </c>
      <c r="D4985" t="s">
        <v>11</v>
      </c>
      <c r="E4985" t="s">
        <v>12</v>
      </c>
      <c r="F4985">
        <v>30022293</v>
      </c>
      <c r="G4985">
        <v>30022353</v>
      </c>
      <c r="H4985">
        <v>30022293</v>
      </c>
      <c r="I4985">
        <v>30022353</v>
      </c>
    </row>
    <row r="4986" spans="1:9" x14ac:dyDescent="0.2">
      <c r="A4986" s="1" t="str">
        <f>"DOC2A"</f>
        <v>DOC2A</v>
      </c>
      <c r="B4986" t="s">
        <v>13</v>
      </c>
      <c r="C4986" t="s">
        <v>31</v>
      </c>
      <c r="D4986" t="s">
        <v>11</v>
      </c>
      <c r="E4986" t="s">
        <v>12</v>
      </c>
      <c r="F4986">
        <v>30023615</v>
      </c>
      <c r="G4986">
        <v>30023656</v>
      </c>
      <c r="H4986">
        <v>30023615</v>
      </c>
      <c r="I4986">
        <v>30023656</v>
      </c>
    </row>
    <row r="4987" spans="1:9" x14ac:dyDescent="0.2">
      <c r="A4987" s="1" t="str">
        <f>"DOC2B"</f>
        <v>DOC2B</v>
      </c>
      <c r="B4987" t="s">
        <v>14</v>
      </c>
      <c r="C4987" t="s">
        <v>28</v>
      </c>
      <c r="D4987" t="s">
        <v>11</v>
      </c>
      <c r="E4987" t="s">
        <v>12</v>
      </c>
      <c r="F4987">
        <v>31432</v>
      </c>
      <c r="G4987">
        <v>31473</v>
      </c>
      <c r="H4987">
        <v>31404</v>
      </c>
      <c r="I4987">
        <v>31427</v>
      </c>
    </row>
    <row r="4988" spans="1:9" x14ac:dyDescent="0.2">
      <c r="A4988" s="1" t="str">
        <f>"DOCK1"</f>
        <v>DOCK1</v>
      </c>
      <c r="B4988" t="s">
        <v>14</v>
      </c>
      <c r="C4988" t="s">
        <v>15</v>
      </c>
      <c r="D4988" t="s">
        <v>17</v>
      </c>
      <c r="E4988" t="s">
        <v>12</v>
      </c>
      <c r="F4988">
        <v>128593990</v>
      </c>
      <c r="G4988">
        <v>128594029</v>
      </c>
      <c r="H4988">
        <v>128593990</v>
      </c>
      <c r="I4988">
        <v>128594029</v>
      </c>
    </row>
    <row r="4989" spans="1:9" x14ac:dyDescent="0.2">
      <c r="A4989" s="1" t="str">
        <f>"DOCK10"</f>
        <v>DOCK10</v>
      </c>
      <c r="B4989" t="s">
        <v>14</v>
      </c>
      <c r="C4989" t="s">
        <v>26</v>
      </c>
      <c r="D4989" t="s">
        <v>11</v>
      </c>
      <c r="E4989" t="s">
        <v>12</v>
      </c>
      <c r="F4989">
        <v>225907150</v>
      </c>
      <c r="G4989">
        <v>225907205</v>
      </c>
      <c r="H4989">
        <v>225907150</v>
      </c>
      <c r="I4989">
        <v>225907205</v>
      </c>
    </row>
    <row r="4990" spans="1:9" x14ac:dyDescent="0.2">
      <c r="A4990" s="1" t="str">
        <f>"DOCK11"</f>
        <v>DOCK11</v>
      </c>
      <c r="B4990" t="s">
        <v>14</v>
      </c>
      <c r="C4990" t="s">
        <v>37</v>
      </c>
      <c r="D4990" t="s">
        <v>17</v>
      </c>
      <c r="E4990" t="s">
        <v>12</v>
      </c>
      <c r="F4990">
        <v>117629766</v>
      </c>
      <c r="G4990">
        <v>117629846</v>
      </c>
      <c r="H4990">
        <v>117629766</v>
      </c>
      <c r="I4990">
        <v>117629846</v>
      </c>
    </row>
    <row r="4991" spans="1:9" x14ac:dyDescent="0.2">
      <c r="A4991" s="1" t="str">
        <f>"DOCK2"</f>
        <v>DOCK2</v>
      </c>
      <c r="B4991" t="s">
        <v>14</v>
      </c>
      <c r="C4991" t="s">
        <v>46</v>
      </c>
      <c r="D4991" t="s">
        <v>17</v>
      </c>
      <c r="E4991" t="s">
        <v>12</v>
      </c>
      <c r="F4991">
        <v>169064245</v>
      </c>
      <c r="G4991">
        <v>169064303</v>
      </c>
      <c r="H4991">
        <v>169064317</v>
      </c>
      <c r="I4991">
        <v>169064332</v>
      </c>
    </row>
    <row r="4992" spans="1:9" x14ac:dyDescent="0.2">
      <c r="A4992" s="1" t="str">
        <f>"DOCK3"</f>
        <v>DOCK3</v>
      </c>
      <c r="B4992" t="s">
        <v>14</v>
      </c>
      <c r="C4992" t="s">
        <v>22</v>
      </c>
      <c r="D4992" t="s">
        <v>17</v>
      </c>
      <c r="E4992" t="s">
        <v>12</v>
      </c>
      <c r="F4992">
        <v>50712575</v>
      </c>
      <c r="G4992">
        <v>50712636</v>
      </c>
      <c r="H4992">
        <v>50712676</v>
      </c>
      <c r="I4992">
        <v>50712703</v>
      </c>
    </row>
    <row r="4993" spans="1:9" x14ac:dyDescent="0.2">
      <c r="A4993" s="1" t="str">
        <f>"DOCK4"</f>
        <v>DOCK4</v>
      </c>
      <c r="B4993" t="s">
        <v>14</v>
      </c>
      <c r="C4993" t="s">
        <v>33</v>
      </c>
      <c r="D4993" t="s">
        <v>11</v>
      </c>
      <c r="E4993" t="s">
        <v>12</v>
      </c>
      <c r="F4993">
        <v>111846435</v>
      </c>
      <c r="G4993">
        <v>111846471</v>
      </c>
      <c r="H4993">
        <v>111846479</v>
      </c>
      <c r="I4993">
        <v>111846492</v>
      </c>
    </row>
    <row r="4994" spans="1:9" x14ac:dyDescent="0.2">
      <c r="A4994" s="1" t="str">
        <f>"DOCK5"</f>
        <v>DOCK5</v>
      </c>
      <c r="B4994" t="s">
        <v>14</v>
      </c>
      <c r="C4994" t="s">
        <v>30</v>
      </c>
      <c r="D4994" t="s">
        <v>17</v>
      </c>
      <c r="E4994" t="s">
        <v>12</v>
      </c>
      <c r="F4994">
        <v>25042192</v>
      </c>
      <c r="G4994">
        <v>25042239</v>
      </c>
      <c r="H4994">
        <v>25042268</v>
      </c>
      <c r="I4994">
        <v>25042320</v>
      </c>
    </row>
    <row r="4995" spans="1:9" x14ac:dyDescent="0.2">
      <c r="A4995" s="1" t="str">
        <f>"DOCK6"</f>
        <v>DOCK6</v>
      </c>
      <c r="B4995" t="s">
        <v>14</v>
      </c>
      <c r="C4995" t="s">
        <v>10</v>
      </c>
      <c r="D4995" t="s">
        <v>11</v>
      </c>
      <c r="E4995" t="s">
        <v>12</v>
      </c>
      <c r="F4995">
        <v>11373176</v>
      </c>
      <c r="G4995">
        <v>11373209</v>
      </c>
      <c r="H4995">
        <v>11373138</v>
      </c>
      <c r="I4995">
        <v>11373161</v>
      </c>
    </row>
    <row r="4996" spans="1:9" x14ac:dyDescent="0.2">
      <c r="A4996" s="1" t="str">
        <f>"DOCK7"</f>
        <v>DOCK7</v>
      </c>
      <c r="B4996" t="s">
        <v>14</v>
      </c>
      <c r="C4996" t="s">
        <v>19</v>
      </c>
      <c r="D4996" t="s">
        <v>11</v>
      </c>
      <c r="E4996" t="s">
        <v>12</v>
      </c>
      <c r="F4996">
        <v>63153944</v>
      </c>
      <c r="G4996">
        <v>63154110</v>
      </c>
      <c r="H4996">
        <v>63154118</v>
      </c>
      <c r="I4996">
        <v>63154140</v>
      </c>
    </row>
    <row r="4997" spans="1:9" x14ac:dyDescent="0.2">
      <c r="A4997" s="1" t="str">
        <f>"DOCK8"</f>
        <v>DOCK8</v>
      </c>
      <c r="B4997" t="s">
        <v>14</v>
      </c>
      <c r="C4997" t="s">
        <v>24</v>
      </c>
      <c r="D4997" t="s">
        <v>17</v>
      </c>
      <c r="E4997" t="s">
        <v>12</v>
      </c>
      <c r="F4997">
        <v>214842</v>
      </c>
      <c r="G4997">
        <v>214874</v>
      </c>
      <c r="H4997">
        <v>214842</v>
      </c>
      <c r="I4997">
        <v>214874</v>
      </c>
    </row>
    <row r="4998" spans="1:9" x14ac:dyDescent="0.2">
      <c r="A4998" s="1" t="str">
        <f>"DOCK9"</f>
        <v>DOCK9</v>
      </c>
      <c r="B4998" t="s">
        <v>14</v>
      </c>
      <c r="C4998" t="s">
        <v>39</v>
      </c>
      <c r="D4998" t="s">
        <v>11</v>
      </c>
      <c r="E4998" t="s">
        <v>12</v>
      </c>
      <c r="F4998">
        <v>99630233</v>
      </c>
      <c r="G4998">
        <v>99630348</v>
      </c>
      <c r="H4998">
        <v>99630233</v>
      </c>
      <c r="I4998">
        <v>99630348</v>
      </c>
    </row>
    <row r="4999" spans="1:9" x14ac:dyDescent="0.2">
      <c r="A4999" s="1" t="str">
        <f>"DOHH"</f>
        <v>DOHH</v>
      </c>
      <c r="B4999" t="s">
        <v>14</v>
      </c>
      <c r="C4999" t="s">
        <v>10</v>
      </c>
      <c r="D4999" t="s">
        <v>11</v>
      </c>
      <c r="E4999" t="s">
        <v>12</v>
      </c>
      <c r="F4999">
        <v>3500663</v>
      </c>
      <c r="G4999">
        <v>3500696</v>
      </c>
      <c r="H4999">
        <v>3500635</v>
      </c>
      <c r="I4999">
        <v>3500659</v>
      </c>
    </row>
    <row r="5000" spans="1:9" x14ac:dyDescent="0.2">
      <c r="A5000" s="1" t="str">
        <f>"DOK1"</f>
        <v>DOK1</v>
      </c>
      <c r="B5000" t="s">
        <v>14</v>
      </c>
      <c r="C5000" t="s">
        <v>26</v>
      </c>
      <c r="D5000" t="s">
        <v>17</v>
      </c>
      <c r="E5000" t="s">
        <v>12</v>
      </c>
      <c r="F5000">
        <v>74781828</v>
      </c>
      <c r="G5000">
        <v>74781898</v>
      </c>
      <c r="H5000">
        <v>74781506</v>
      </c>
      <c r="I5000">
        <v>74781519</v>
      </c>
    </row>
    <row r="5001" spans="1:9" x14ac:dyDescent="0.2">
      <c r="A5001" s="1" t="str">
        <f>"DOK2"</f>
        <v>DOK2</v>
      </c>
      <c r="B5001" t="s">
        <v>14</v>
      </c>
      <c r="C5001" t="s">
        <v>30</v>
      </c>
      <c r="D5001" t="s">
        <v>11</v>
      </c>
      <c r="E5001" t="s">
        <v>12</v>
      </c>
      <c r="F5001">
        <v>21771182</v>
      </c>
      <c r="G5001">
        <v>21771208</v>
      </c>
      <c r="H5001">
        <v>21771173</v>
      </c>
      <c r="I5001">
        <v>21771178</v>
      </c>
    </row>
    <row r="5002" spans="1:9" x14ac:dyDescent="0.2">
      <c r="A5002" s="1" t="str">
        <f>"DOK3"</f>
        <v>DOK3</v>
      </c>
      <c r="B5002" t="s">
        <v>14</v>
      </c>
      <c r="C5002" t="s">
        <v>46</v>
      </c>
      <c r="D5002" t="s">
        <v>11</v>
      </c>
      <c r="E5002" t="s">
        <v>12</v>
      </c>
      <c r="F5002">
        <v>176937351</v>
      </c>
      <c r="G5002">
        <v>176937419</v>
      </c>
      <c r="H5002">
        <v>176936817</v>
      </c>
      <c r="I5002">
        <v>176936841</v>
      </c>
    </row>
    <row r="5003" spans="1:9" x14ac:dyDescent="0.2">
      <c r="A5003" s="1" t="str">
        <f>"DOK4"</f>
        <v>DOK4</v>
      </c>
      <c r="B5003" t="s">
        <v>9</v>
      </c>
      <c r="C5003" t="s">
        <v>31</v>
      </c>
      <c r="D5003" t="s">
        <v>11</v>
      </c>
      <c r="E5003" t="s">
        <v>12</v>
      </c>
      <c r="F5003">
        <v>57520378</v>
      </c>
      <c r="G5003">
        <v>57520412</v>
      </c>
      <c r="H5003">
        <v>57520378</v>
      </c>
      <c r="I5003">
        <v>57520412</v>
      </c>
    </row>
    <row r="5004" spans="1:9" x14ac:dyDescent="0.2">
      <c r="A5004" s="1" t="str">
        <f>"DOK4"</f>
        <v>DOK4</v>
      </c>
      <c r="B5004" t="s">
        <v>13</v>
      </c>
      <c r="C5004" t="s">
        <v>31</v>
      </c>
      <c r="D5004" t="s">
        <v>11</v>
      </c>
      <c r="E5004" t="s">
        <v>12</v>
      </c>
      <c r="F5004">
        <v>57513657</v>
      </c>
      <c r="G5004">
        <v>57513683</v>
      </c>
      <c r="H5004">
        <v>57513657</v>
      </c>
      <c r="I5004">
        <v>57513683</v>
      </c>
    </row>
    <row r="5005" spans="1:9" x14ac:dyDescent="0.2">
      <c r="A5005" s="1" t="str">
        <f>"DOK5"</f>
        <v>DOK5</v>
      </c>
      <c r="B5005" t="s">
        <v>14</v>
      </c>
      <c r="C5005" t="s">
        <v>29</v>
      </c>
      <c r="D5005" t="s">
        <v>17</v>
      </c>
      <c r="E5005" t="s">
        <v>12</v>
      </c>
      <c r="F5005">
        <v>53092232</v>
      </c>
      <c r="G5005">
        <v>53092279</v>
      </c>
      <c r="H5005">
        <v>53092186</v>
      </c>
      <c r="I5005">
        <v>53092230</v>
      </c>
    </row>
    <row r="5006" spans="1:9" x14ac:dyDescent="0.2">
      <c r="A5006" s="1" t="str">
        <f>"DOK6"</f>
        <v>DOK6</v>
      </c>
      <c r="B5006" t="s">
        <v>14</v>
      </c>
      <c r="C5006" t="s">
        <v>43</v>
      </c>
      <c r="D5006" t="s">
        <v>17</v>
      </c>
      <c r="E5006" t="s">
        <v>12</v>
      </c>
      <c r="F5006">
        <v>67068087</v>
      </c>
      <c r="G5006">
        <v>67068156</v>
      </c>
      <c r="H5006">
        <v>67068228</v>
      </c>
      <c r="I5006">
        <v>67068257</v>
      </c>
    </row>
    <row r="5007" spans="1:9" x14ac:dyDescent="0.2">
      <c r="A5007" s="1" t="str">
        <f>"DOK7"</f>
        <v>DOK7</v>
      </c>
      <c r="B5007" t="s">
        <v>14</v>
      </c>
      <c r="C5007" t="s">
        <v>23</v>
      </c>
      <c r="D5007" t="s">
        <v>17</v>
      </c>
      <c r="E5007" t="s">
        <v>12</v>
      </c>
      <c r="F5007">
        <v>3465027</v>
      </c>
      <c r="G5007">
        <v>3465050</v>
      </c>
      <c r="H5007">
        <v>3465027</v>
      </c>
      <c r="I5007">
        <v>3465050</v>
      </c>
    </row>
    <row r="5008" spans="1:9" x14ac:dyDescent="0.2">
      <c r="A5008" s="1" t="str">
        <f>"DOLK"</f>
        <v>DOLK</v>
      </c>
      <c r="B5008" t="s">
        <v>14</v>
      </c>
      <c r="C5008" t="s">
        <v>24</v>
      </c>
      <c r="D5008" t="s">
        <v>11</v>
      </c>
      <c r="E5008" t="s">
        <v>12</v>
      </c>
      <c r="F5008">
        <v>131709858</v>
      </c>
      <c r="G5008">
        <v>131709919</v>
      </c>
      <c r="H5008">
        <v>131709824</v>
      </c>
      <c r="I5008">
        <v>131709841</v>
      </c>
    </row>
    <row r="5009" spans="1:9" x14ac:dyDescent="0.2">
      <c r="A5009" s="1" t="str">
        <f>"DOLPP1"</f>
        <v>DOLPP1</v>
      </c>
      <c r="B5009" t="s">
        <v>14</v>
      </c>
      <c r="C5009" t="s">
        <v>24</v>
      </c>
      <c r="D5009" t="s">
        <v>17</v>
      </c>
      <c r="E5009" t="s">
        <v>12</v>
      </c>
      <c r="F5009">
        <v>131843377</v>
      </c>
      <c r="G5009">
        <v>131843413</v>
      </c>
      <c r="H5009">
        <v>131843423</v>
      </c>
      <c r="I5009">
        <v>131843430</v>
      </c>
    </row>
    <row r="5010" spans="1:9" x14ac:dyDescent="0.2">
      <c r="A5010" s="1" t="str">
        <f>"DONSON"</f>
        <v>DONSON</v>
      </c>
      <c r="B5010" t="s">
        <v>14</v>
      </c>
      <c r="C5010" t="s">
        <v>42</v>
      </c>
      <c r="D5010" t="s">
        <v>11</v>
      </c>
      <c r="E5010" t="s">
        <v>12</v>
      </c>
      <c r="F5010">
        <v>34960948</v>
      </c>
      <c r="G5010">
        <v>34961024</v>
      </c>
      <c r="H5010">
        <v>34960930</v>
      </c>
      <c r="I5010">
        <v>34960944</v>
      </c>
    </row>
    <row r="5011" spans="1:9" x14ac:dyDescent="0.2">
      <c r="A5011" s="1" t="str">
        <f>"DOPEY1"</f>
        <v>DOPEY1</v>
      </c>
      <c r="B5011" t="s">
        <v>14</v>
      </c>
      <c r="C5011" t="s">
        <v>32</v>
      </c>
      <c r="D5011" t="s">
        <v>17</v>
      </c>
      <c r="E5011" t="s">
        <v>12</v>
      </c>
      <c r="F5011">
        <v>83777374</v>
      </c>
      <c r="G5011">
        <v>83777456</v>
      </c>
      <c r="H5011">
        <v>83777356</v>
      </c>
      <c r="I5011">
        <v>83777367</v>
      </c>
    </row>
    <row r="5012" spans="1:9" x14ac:dyDescent="0.2">
      <c r="A5012" s="1" t="str">
        <f>"DOPEY2"</f>
        <v>DOPEY2</v>
      </c>
      <c r="B5012" t="s">
        <v>14</v>
      </c>
      <c r="C5012" t="s">
        <v>42</v>
      </c>
      <c r="D5012" t="s">
        <v>17</v>
      </c>
      <c r="E5012" t="s">
        <v>12</v>
      </c>
      <c r="F5012">
        <v>37529055</v>
      </c>
      <c r="G5012">
        <v>37529133</v>
      </c>
      <c r="H5012">
        <v>37529162</v>
      </c>
      <c r="I5012">
        <v>37529173</v>
      </c>
    </row>
    <row r="5013" spans="1:9" x14ac:dyDescent="0.2">
      <c r="A5013" s="1" t="str">
        <f>"DOT1L"</f>
        <v>DOT1L</v>
      </c>
      <c r="B5013" t="s">
        <v>14</v>
      </c>
      <c r="C5013" t="s">
        <v>10</v>
      </c>
      <c r="D5013" t="s">
        <v>17</v>
      </c>
      <c r="E5013" t="s">
        <v>12</v>
      </c>
      <c r="F5013">
        <v>2163914</v>
      </c>
      <c r="G5013">
        <v>2163969</v>
      </c>
      <c r="H5013">
        <v>2164126</v>
      </c>
      <c r="I5013">
        <v>2164168</v>
      </c>
    </row>
    <row r="5014" spans="1:9" x14ac:dyDescent="0.2">
      <c r="A5014" s="1" t="str">
        <f>"DPAGT1"</f>
        <v>DPAGT1</v>
      </c>
      <c r="B5014" t="s">
        <v>14</v>
      </c>
      <c r="C5014" t="s">
        <v>27</v>
      </c>
      <c r="D5014" t="s">
        <v>11</v>
      </c>
      <c r="E5014" t="s">
        <v>12</v>
      </c>
      <c r="F5014">
        <v>118972524</v>
      </c>
      <c r="G5014">
        <v>118972571</v>
      </c>
      <c r="H5014">
        <v>118972575</v>
      </c>
      <c r="I5014">
        <v>118972599</v>
      </c>
    </row>
    <row r="5015" spans="1:9" x14ac:dyDescent="0.2">
      <c r="A5015" s="1" t="str">
        <f>"DPCD"</f>
        <v>DPCD</v>
      </c>
      <c r="B5015" t="s">
        <v>14</v>
      </c>
      <c r="C5015" t="s">
        <v>15</v>
      </c>
      <c r="D5015" t="s">
        <v>17</v>
      </c>
      <c r="E5015" t="s">
        <v>12</v>
      </c>
      <c r="F5015">
        <v>103348031</v>
      </c>
      <c r="G5015">
        <v>103348092</v>
      </c>
      <c r="H5015">
        <v>103348031</v>
      </c>
      <c r="I5015">
        <v>103348092</v>
      </c>
    </row>
    <row r="5016" spans="1:9" x14ac:dyDescent="0.2">
      <c r="A5016" s="1" t="str">
        <f>"DPCR1"</f>
        <v>DPCR1</v>
      </c>
      <c r="B5016" t="s">
        <v>14</v>
      </c>
      <c r="C5016" t="s">
        <v>32</v>
      </c>
      <c r="D5016" t="s">
        <v>17</v>
      </c>
      <c r="E5016" t="s">
        <v>12</v>
      </c>
      <c r="F5016">
        <v>30908747</v>
      </c>
      <c r="G5016">
        <v>30908757</v>
      </c>
      <c r="H5016">
        <v>30908654</v>
      </c>
      <c r="I5016">
        <v>30908673</v>
      </c>
    </row>
    <row r="5017" spans="1:9" x14ac:dyDescent="0.2">
      <c r="A5017" s="1" t="str">
        <f>"DPEP1"</f>
        <v>DPEP1</v>
      </c>
      <c r="B5017" t="s">
        <v>9</v>
      </c>
      <c r="C5017" t="s">
        <v>31</v>
      </c>
      <c r="D5017" t="s">
        <v>17</v>
      </c>
      <c r="E5017" t="s">
        <v>12</v>
      </c>
      <c r="F5017">
        <v>89696671</v>
      </c>
      <c r="G5017">
        <v>89696688</v>
      </c>
      <c r="H5017">
        <v>89696671</v>
      </c>
      <c r="I5017">
        <v>89696688</v>
      </c>
    </row>
    <row r="5018" spans="1:9" x14ac:dyDescent="0.2">
      <c r="A5018" s="1" t="str">
        <f>"DPEP1"</f>
        <v>DPEP1</v>
      </c>
      <c r="B5018" t="s">
        <v>13</v>
      </c>
      <c r="C5018" t="s">
        <v>31</v>
      </c>
      <c r="D5018" t="s">
        <v>17</v>
      </c>
      <c r="E5018" t="s">
        <v>12</v>
      </c>
      <c r="F5018">
        <v>89680039</v>
      </c>
      <c r="G5018">
        <v>89680109</v>
      </c>
      <c r="H5018">
        <v>89680039</v>
      </c>
      <c r="I5018">
        <v>89680109</v>
      </c>
    </row>
    <row r="5019" spans="1:9" x14ac:dyDescent="0.2">
      <c r="A5019" s="1" t="str">
        <f>"DPEP2"</f>
        <v>DPEP2</v>
      </c>
      <c r="B5019" t="s">
        <v>9</v>
      </c>
      <c r="C5019" t="s">
        <v>31</v>
      </c>
      <c r="D5019" t="s">
        <v>11</v>
      </c>
      <c r="E5019" t="s">
        <v>12</v>
      </c>
      <c r="F5019">
        <v>68033371</v>
      </c>
      <c r="G5019">
        <v>68033398</v>
      </c>
      <c r="H5019">
        <v>68033371</v>
      </c>
      <c r="I5019">
        <v>68033398</v>
      </c>
    </row>
    <row r="5020" spans="1:9" x14ac:dyDescent="0.2">
      <c r="A5020" s="1" t="str">
        <f>"DPEP2"</f>
        <v>DPEP2</v>
      </c>
      <c r="B5020" t="s">
        <v>13</v>
      </c>
      <c r="C5020" t="s">
        <v>31</v>
      </c>
      <c r="D5020" t="s">
        <v>11</v>
      </c>
      <c r="E5020" t="s">
        <v>12</v>
      </c>
      <c r="F5020">
        <v>68034470</v>
      </c>
      <c r="G5020">
        <v>68034496</v>
      </c>
      <c r="H5020">
        <v>68034470</v>
      </c>
      <c r="I5020">
        <v>68034496</v>
      </c>
    </row>
    <row r="5021" spans="1:9" x14ac:dyDescent="0.2">
      <c r="A5021" s="1" t="str">
        <f>"DPEP3"</f>
        <v>DPEP3</v>
      </c>
      <c r="B5021" t="s">
        <v>14</v>
      </c>
      <c r="C5021" t="s">
        <v>31</v>
      </c>
      <c r="D5021" t="s">
        <v>11</v>
      </c>
      <c r="E5021" t="s">
        <v>12</v>
      </c>
      <c r="F5021">
        <v>68014387</v>
      </c>
      <c r="G5021">
        <v>68014423</v>
      </c>
      <c r="H5021">
        <v>68014368</v>
      </c>
      <c r="I5021">
        <v>68014384</v>
      </c>
    </row>
    <row r="5022" spans="1:9" x14ac:dyDescent="0.2">
      <c r="A5022" s="1" t="str">
        <f>"DPF1"</f>
        <v>DPF1</v>
      </c>
      <c r="B5022" t="s">
        <v>9</v>
      </c>
      <c r="C5022" t="s">
        <v>10</v>
      </c>
      <c r="D5022" t="s">
        <v>11</v>
      </c>
      <c r="E5022" t="s">
        <v>12</v>
      </c>
      <c r="F5022">
        <v>38720294</v>
      </c>
      <c r="G5022">
        <v>38720348</v>
      </c>
      <c r="H5022">
        <v>38720294</v>
      </c>
      <c r="I5022">
        <v>38720348</v>
      </c>
    </row>
    <row r="5023" spans="1:9" x14ac:dyDescent="0.2">
      <c r="A5023" s="1" t="str">
        <f>"DPF1"</f>
        <v>DPF1</v>
      </c>
      <c r="B5023" t="s">
        <v>13</v>
      </c>
      <c r="C5023" t="s">
        <v>10</v>
      </c>
      <c r="D5023" t="s">
        <v>11</v>
      </c>
      <c r="E5023" t="s">
        <v>12</v>
      </c>
      <c r="F5023">
        <v>38714781</v>
      </c>
      <c r="G5023">
        <v>38714819</v>
      </c>
      <c r="H5023">
        <v>38714781</v>
      </c>
      <c r="I5023">
        <v>38714819</v>
      </c>
    </row>
    <row r="5024" spans="1:9" x14ac:dyDescent="0.2">
      <c r="A5024" s="1" t="str">
        <f>"DPF2"</f>
        <v>DPF2</v>
      </c>
      <c r="B5024" t="s">
        <v>9</v>
      </c>
      <c r="C5024" t="s">
        <v>27</v>
      </c>
      <c r="D5024" t="s">
        <v>17</v>
      </c>
      <c r="E5024" t="s">
        <v>12</v>
      </c>
      <c r="F5024">
        <v>65101305</v>
      </c>
      <c r="G5024">
        <v>65101359</v>
      </c>
      <c r="H5024">
        <v>65101305</v>
      </c>
      <c r="I5024">
        <v>65101359</v>
      </c>
    </row>
    <row r="5025" spans="1:9" x14ac:dyDescent="0.2">
      <c r="A5025" s="1" t="str">
        <f>"DPF2"</f>
        <v>DPF2</v>
      </c>
      <c r="B5025" t="s">
        <v>13</v>
      </c>
      <c r="C5025" t="s">
        <v>27</v>
      </c>
      <c r="D5025" t="s">
        <v>17</v>
      </c>
      <c r="E5025" t="s">
        <v>12</v>
      </c>
      <c r="F5025">
        <v>65108894</v>
      </c>
      <c r="G5025">
        <v>65108932</v>
      </c>
      <c r="H5025">
        <v>65108894</v>
      </c>
      <c r="I5025">
        <v>65108932</v>
      </c>
    </row>
    <row r="5026" spans="1:9" x14ac:dyDescent="0.2">
      <c r="A5026" s="1" t="str">
        <f>"DPF3"</f>
        <v>DPF3</v>
      </c>
      <c r="B5026" t="s">
        <v>14</v>
      </c>
      <c r="C5026" t="s">
        <v>41</v>
      </c>
      <c r="D5026" t="s">
        <v>11</v>
      </c>
      <c r="E5026" t="s">
        <v>12</v>
      </c>
      <c r="F5026">
        <v>73360799</v>
      </c>
      <c r="G5026">
        <v>73360817</v>
      </c>
      <c r="H5026">
        <v>73360799</v>
      </c>
      <c r="I5026">
        <v>73360817</v>
      </c>
    </row>
    <row r="5027" spans="1:9" x14ac:dyDescent="0.2">
      <c r="A5027" s="1" t="str">
        <f>"DPH1"</f>
        <v>DPH1</v>
      </c>
      <c r="B5027" t="s">
        <v>9</v>
      </c>
      <c r="C5027" t="s">
        <v>28</v>
      </c>
      <c r="D5027" t="s">
        <v>17</v>
      </c>
      <c r="E5027" t="s">
        <v>12</v>
      </c>
      <c r="F5027">
        <v>1933424</v>
      </c>
      <c r="G5027">
        <v>1933457</v>
      </c>
      <c r="H5027">
        <v>1933424</v>
      </c>
      <c r="I5027">
        <v>1933457</v>
      </c>
    </row>
    <row r="5028" spans="1:9" x14ac:dyDescent="0.2">
      <c r="A5028" s="1" t="str">
        <f>"DPH1"</f>
        <v>DPH1</v>
      </c>
      <c r="B5028" t="s">
        <v>13</v>
      </c>
      <c r="C5028" t="s">
        <v>28</v>
      </c>
      <c r="D5028" t="s">
        <v>17</v>
      </c>
      <c r="E5028" t="s">
        <v>12</v>
      </c>
      <c r="F5028">
        <v>1936810</v>
      </c>
      <c r="G5028">
        <v>1936843</v>
      </c>
      <c r="H5028">
        <v>1936810</v>
      </c>
      <c r="I5028">
        <v>1936843</v>
      </c>
    </row>
    <row r="5029" spans="1:9" x14ac:dyDescent="0.2">
      <c r="A5029" s="1" t="str">
        <f>"DPH2"</f>
        <v>DPH2</v>
      </c>
      <c r="B5029" t="s">
        <v>14</v>
      </c>
      <c r="C5029" t="s">
        <v>19</v>
      </c>
      <c r="D5029" t="s">
        <v>17</v>
      </c>
      <c r="E5029" t="s">
        <v>12</v>
      </c>
      <c r="F5029">
        <v>44435646</v>
      </c>
      <c r="G5029">
        <v>44435697</v>
      </c>
      <c r="H5029">
        <v>44435646</v>
      </c>
      <c r="I5029">
        <v>44435697</v>
      </c>
    </row>
    <row r="5030" spans="1:9" x14ac:dyDescent="0.2">
      <c r="A5030" s="1" t="str">
        <f>"DPH3"</f>
        <v>DPH3</v>
      </c>
      <c r="B5030" t="s">
        <v>14</v>
      </c>
      <c r="C5030" t="s">
        <v>22</v>
      </c>
      <c r="D5030" t="s">
        <v>11</v>
      </c>
      <c r="E5030" t="s">
        <v>12</v>
      </c>
      <c r="F5030">
        <v>16306432</v>
      </c>
      <c r="G5030">
        <v>16306491</v>
      </c>
      <c r="H5030">
        <v>16306399</v>
      </c>
      <c r="I5030">
        <v>16306429</v>
      </c>
    </row>
    <row r="5031" spans="1:9" x14ac:dyDescent="0.2">
      <c r="A5031" s="1" t="str">
        <f>"DPH5"</f>
        <v>DPH5</v>
      </c>
      <c r="B5031" t="s">
        <v>14</v>
      </c>
      <c r="C5031" t="s">
        <v>19</v>
      </c>
      <c r="D5031" t="s">
        <v>11</v>
      </c>
      <c r="E5031" t="s">
        <v>12</v>
      </c>
      <c r="F5031">
        <v>101491323</v>
      </c>
      <c r="G5031">
        <v>101491355</v>
      </c>
      <c r="H5031">
        <v>101491366</v>
      </c>
      <c r="I5031">
        <v>101491385</v>
      </c>
    </row>
    <row r="5032" spans="1:9" x14ac:dyDescent="0.2">
      <c r="A5032" s="1" t="str">
        <f>"DPH6"</f>
        <v>DPH6</v>
      </c>
      <c r="B5032" t="s">
        <v>14</v>
      </c>
      <c r="C5032" t="s">
        <v>25</v>
      </c>
      <c r="D5032" t="s">
        <v>11</v>
      </c>
      <c r="E5032" t="s">
        <v>12</v>
      </c>
      <c r="F5032">
        <v>35838348</v>
      </c>
      <c r="G5032">
        <v>35838399</v>
      </c>
      <c r="H5032">
        <v>35838407</v>
      </c>
      <c r="I5032">
        <v>35838412</v>
      </c>
    </row>
    <row r="5033" spans="1:9" x14ac:dyDescent="0.2">
      <c r="A5033" s="1" t="str">
        <f>"DPH7"</f>
        <v>DPH7</v>
      </c>
      <c r="B5033" t="s">
        <v>14</v>
      </c>
      <c r="C5033" t="s">
        <v>24</v>
      </c>
      <c r="D5033" t="s">
        <v>11</v>
      </c>
      <c r="E5033" t="s">
        <v>12</v>
      </c>
      <c r="F5033">
        <v>140473309</v>
      </c>
      <c r="G5033">
        <v>140473385</v>
      </c>
      <c r="H5033">
        <v>140473012</v>
      </c>
      <c r="I5033">
        <v>140473051</v>
      </c>
    </row>
    <row r="5034" spans="1:9" x14ac:dyDescent="0.2">
      <c r="A5034" s="1" t="str">
        <f>"DPM1"</f>
        <v>DPM1</v>
      </c>
      <c r="B5034" t="s">
        <v>14</v>
      </c>
      <c r="C5034" t="s">
        <v>29</v>
      </c>
      <c r="D5034" t="s">
        <v>11</v>
      </c>
      <c r="E5034" t="s">
        <v>12</v>
      </c>
      <c r="F5034">
        <v>49575059</v>
      </c>
      <c r="G5034">
        <v>49575077</v>
      </c>
      <c r="H5034">
        <v>49575081</v>
      </c>
      <c r="I5034">
        <v>49575092</v>
      </c>
    </row>
    <row r="5035" spans="1:9" x14ac:dyDescent="0.2">
      <c r="A5035" s="1" t="str">
        <f>"DPM2"</f>
        <v>DPM2</v>
      </c>
      <c r="B5035" t="s">
        <v>14</v>
      </c>
      <c r="C5035" t="s">
        <v>24</v>
      </c>
      <c r="D5035" t="s">
        <v>11</v>
      </c>
      <c r="E5035" t="s">
        <v>12</v>
      </c>
      <c r="F5035">
        <v>130700080</v>
      </c>
      <c r="G5035">
        <v>130700160</v>
      </c>
      <c r="H5035">
        <v>130700080</v>
      </c>
      <c r="I5035">
        <v>130700160</v>
      </c>
    </row>
    <row r="5036" spans="1:9" x14ac:dyDescent="0.2">
      <c r="A5036" s="1" t="str">
        <f>"DPM3"</f>
        <v>DPM3</v>
      </c>
      <c r="B5036" t="s">
        <v>14</v>
      </c>
      <c r="C5036" t="s">
        <v>19</v>
      </c>
      <c r="D5036" t="s">
        <v>11</v>
      </c>
      <c r="E5036" t="s">
        <v>12</v>
      </c>
      <c r="F5036">
        <v>155112994</v>
      </c>
      <c r="G5036">
        <v>155113032</v>
      </c>
      <c r="H5036">
        <v>155112542</v>
      </c>
      <c r="I5036">
        <v>155112590</v>
      </c>
    </row>
    <row r="5037" spans="1:9" x14ac:dyDescent="0.2">
      <c r="A5037" s="1" t="str">
        <f>"DPP10"</f>
        <v>DPP10</v>
      </c>
      <c r="B5037" t="s">
        <v>14</v>
      </c>
      <c r="C5037" t="s">
        <v>26</v>
      </c>
      <c r="D5037" t="s">
        <v>17</v>
      </c>
      <c r="E5037" t="s">
        <v>12</v>
      </c>
      <c r="F5037">
        <v>115919726</v>
      </c>
      <c r="G5037">
        <v>115919782</v>
      </c>
      <c r="H5037">
        <v>115919049</v>
      </c>
      <c r="I5037">
        <v>115919088</v>
      </c>
    </row>
    <row r="5038" spans="1:9" x14ac:dyDescent="0.2">
      <c r="A5038" s="1" t="str">
        <f>"DPP3"</f>
        <v>DPP3</v>
      </c>
      <c r="B5038" t="s">
        <v>14</v>
      </c>
      <c r="C5038" t="s">
        <v>27</v>
      </c>
      <c r="D5038" t="s">
        <v>17</v>
      </c>
      <c r="E5038" t="s">
        <v>12</v>
      </c>
      <c r="F5038">
        <v>66247887</v>
      </c>
      <c r="G5038">
        <v>66247916</v>
      </c>
      <c r="H5038">
        <v>66247478</v>
      </c>
      <c r="I5038">
        <v>66247503</v>
      </c>
    </row>
    <row r="5039" spans="1:9" x14ac:dyDescent="0.2">
      <c r="A5039" s="1" t="str">
        <f>"DPP4"</f>
        <v>DPP4</v>
      </c>
      <c r="B5039" t="s">
        <v>14</v>
      </c>
      <c r="C5039" t="s">
        <v>26</v>
      </c>
      <c r="D5039" t="s">
        <v>11</v>
      </c>
      <c r="E5039" t="s">
        <v>12</v>
      </c>
      <c r="F5039">
        <v>162930560</v>
      </c>
      <c r="G5039">
        <v>162930613</v>
      </c>
      <c r="H5039">
        <v>162930688</v>
      </c>
      <c r="I5039">
        <v>162930752</v>
      </c>
    </row>
    <row r="5040" spans="1:9" x14ac:dyDescent="0.2">
      <c r="A5040" s="1" t="str">
        <f>"DPP6"</f>
        <v>DPP6</v>
      </c>
      <c r="B5040" t="s">
        <v>354</v>
      </c>
      <c r="C5040" t="s">
        <v>33</v>
      </c>
      <c r="D5040" t="s">
        <v>17</v>
      </c>
      <c r="E5040" t="s">
        <v>35</v>
      </c>
      <c r="F5040">
        <v>153749701</v>
      </c>
      <c r="G5040">
        <v>153749709</v>
      </c>
      <c r="H5040">
        <v>153749854</v>
      </c>
      <c r="I5040">
        <v>153749868</v>
      </c>
    </row>
    <row r="5041" spans="1:9" x14ac:dyDescent="0.2">
      <c r="A5041" s="1" t="str">
        <f>"DPP7"</f>
        <v>DPP7</v>
      </c>
      <c r="B5041" t="s">
        <v>9</v>
      </c>
      <c r="C5041" t="s">
        <v>24</v>
      </c>
      <c r="D5041" t="s">
        <v>11</v>
      </c>
      <c r="E5041" t="s">
        <v>12</v>
      </c>
      <c r="F5041">
        <v>140009130</v>
      </c>
      <c r="G5041">
        <v>140009209</v>
      </c>
      <c r="H5041">
        <v>140009130</v>
      </c>
      <c r="I5041">
        <v>140009209</v>
      </c>
    </row>
    <row r="5042" spans="1:9" x14ac:dyDescent="0.2">
      <c r="A5042" s="1" t="str">
        <f>"DPP7"</f>
        <v>DPP7</v>
      </c>
      <c r="B5042" t="s">
        <v>13</v>
      </c>
      <c r="C5042" t="s">
        <v>24</v>
      </c>
      <c r="D5042" t="s">
        <v>11</v>
      </c>
      <c r="E5042" t="s">
        <v>12</v>
      </c>
      <c r="F5042">
        <v>140007447</v>
      </c>
      <c r="G5042">
        <v>140007469</v>
      </c>
      <c r="H5042">
        <v>140007447</v>
      </c>
      <c r="I5042">
        <v>140007469</v>
      </c>
    </row>
    <row r="5043" spans="1:9" x14ac:dyDescent="0.2">
      <c r="A5043" s="1" t="str">
        <f>"DPP8"</f>
        <v>DPP8</v>
      </c>
      <c r="B5043" t="s">
        <v>14</v>
      </c>
      <c r="C5043" t="s">
        <v>25</v>
      </c>
      <c r="D5043" t="s">
        <v>11</v>
      </c>
      <c r="E5043" t="s">
        <v>12</v>
      </c>
      <c r="F5043">
        <v>65809991</v>
      </c>
      <c r="G5043">
        <v>65810035</v>
      </c>
      <c r="H5043">
        <v>65810043</v>
      </c>
      <c r="I5043">
        <v>65810058</v>
      </c>
    </row>
    <row r="5044" spans="1:9" x14ac:dyDescent="0.2">
      <c r="A5044" s="1" t="str">
        <f>"DPP9"</f>
        <v>DPP9</v>
      </c>
      <c r="B5044" t="s">
        <v>9</v>
      </c>
      <c r="C5044" t="s">
        <v>10</v>
      </c>
      <c r="D5044" t="s">
        <v>11</v>
      </c>
      <c r="E5044" t="s">
        <v>12</v>
      </c>
      <c r="F5044">
        <v>4723761</v>
      </c>
      <c r="G5044">
        <v>4723863</v>
      </c>
      <c r="H5044">
        <v>4723761</v>
      </c>
      <c r="I5044">
        <v>4723863</v>
      </c>
    </row>
    <row r="5045" spans="1:9" x14ac:dyDescent="0.2">
      <c r="A5045" s="1" t="str">
        <f>"DPP9"</f>
        <v>DPP9</v>
      </c>
      <c r="B5045" t="s">
        <v>13</v>
      </c>
      <c r="C5045" t="s">
        <v>10</v>
      </c>
      <c r="D5045" t="s">
        <v>11</v>
      </c>
      <c r="E5045" t="s">
        <v>12</v>
      </c>
      <c r="F5045">
        <v>4695499</v>
      </c>
      <c r="G5045">
        <v>4695533</v>
      </c>
      <c r="H5045">
        <v>4695499</v>
      </c>
      <c r="I5045">
        <v>4695533</v>
      </c>
    </row>
    <row r="5046" spans="1:9" x14ac:dyDescent="0.2">
      <c r="A5046" s="1" t="str">
        <f>"DPPA2"</f>
        <v>DPPA2</v>
      </c>
      <c r="B5046" t="s">
        <v>14</v>
      </c>
      <c r="C5046" t="s">
        <v>22</v>
      </c>
      <c r="D5046" t="s">
        <v>11</v>
      </c>
      <c r="E5046" t="s">
        <v>12</v>
      </c>
      <c r="F5046">
        <v>109035342</v>
      </c>
      <c r="G5046">
        <v>109035370</v>
      </c>
      <c r="H5046">
        <v>109035256</v>
      </c>
      <c r="I5046">
        <v>109035277</v>
      </c>
    </row>
    <row r="5047" spans="1:9" x14ac:dyDescent="0.2">
      <c r="A5047" s="1" t="str">
        <f>"DPPA3"</f>
        <v>DPPA3</v>
      </c>
      <c r="B5047" t="s">
        <v>14</v>
      </c>
      <c r="C5047" t="s">
        <v>16</v>
      </c>
      <c r="D5047" t="s">
        <v>17</v>
      </c>
      <c r="E5047" t="s">
        <v>12</v>
      </c>
      <c r="F5047">
        <v>7864021</v>
      </c>
      <c r="G5047">
        <v>7864038</v>
      </c>
      <c r="H5047">
        <v>7864063</v>
      </c>
      <c r="I5047">
        <v>7864074</v>
      </c>
    </row>
    <row r="5048" spans="1:9" x14ac:dyDescent="0.2">
      <c r="A5048" s="1" t="str">
        <f>"DPPA4"</f>
        <v>DPPA4</v>
      </c>
      <c r="B5048" t="s">
        <v>14</v>
      </c>
      <c r="C5048" t="s">
        <v>22</v>
      </c>
      <c r="D5048" t="s">
        <v>11</v>
      </c>
      <c r="E5048" t="s">
        <v>12</v>
      </c>
      <c r="F5048">
        <v>109056334</v>
      </c>
      <c r="G5048">
        <v>109056384</v>
      </c>
      <c r="H5048">
        <v>109056387</v>
      </c>
      <c r="I5048">
        <v>109056400</v>
      </c>
    </row>
    <row r="5049" spans="1:9" x14ac:dyDescent="0.2">
      <c r="A5049" s="1" t="str">
        <f>"DPPA5"</f>
        <v>DPPA5</v>
      </c>
      <c r="B5049" t="s">
        <v>14</v>
      </c>
      <c r="C5049" t="s">
        <v>32</v>
      </c>
      <c r="D5049" t="s">
        <v>11</v>
      </c>
      <c r="E5049" t="s">
        <v>12</v>
      </c>
      <c r="F5049">
        <v>74063979</v>
      </c>
      <c r="G5049">
        <v>74064006</v>
      </c>
      <c r="H5049">
        <v>74063966</v>
      </c>
      <c r="I5049">
        <v>74063975</v>
      </c>
    </row>
    <row r="5050" spans="1:9" x14ac:dyDescent="0.2">
      <c r="A5050" s="1" t="str">
        <f>"DPRX"</f>
        <v>DPRX</v>
      </c>
      <c r="B5050" t="s">
        <v>355</v>
      </c>
      <c r="C5050" t="s">
        <v>10</v>
      </c>
      <c r="D5050" t="s">
        <v>17</v>
      </c>
      <c r="E5050" t="s">
        <v>20</v>
      </c>
      <c r="F5050">
        <v>54135309</v>
      </c>
      <c r="G5050">
        <v>54135309</v>
      </c>
      <c r="H5050">
        <v>54135309</v>
      </c>
      <c r="I5050">
        <v>54135309</v>
      </c>
    </row>
    <row r="5051" spans="1:9" x14ac:dyDescent="0.2">
      <c r="A5051" s="1" t="str">
        <f>"DPT"</f>
        <v>DPT</v>
      </c>
      <c r="B5051" t="s">
        <v>14</v>
      </c>
      <c r="C5051" t="s">
        <v>19</v>
      </c>
      <c r="D5051" t="s">
        <v>11</v>
      </c>
      <c r="E5051" t="s">
        <v>12</v>
      </c>
      <c r="F5051">
        <v>168698433</v>
      </c>
      <c r="G5051">
        <v>168698451</v>
      </c>
      <c r="H5051">
        <v>168698433</v>
      </c>
      <c r="I5051">
        <v>168698451</v>
      </c>
    </row>
    <row r="5052" spans="1:9" x14ac:dyDescent="0.2">
      <c r="A5052" s="1" t="str">
        <f>"DPY19L1"</f>
        <v>DPY19L1</v>
      </c>
      <c r="B5052" t="s">
        <v>356</v>
      </c>
      <c r="C5052" t="s">
        <v>33</v>
      </c>
      <c r="D5052" t="s">
        <v>11</v>
      </c>
      <c r="E5052" t="s">
        <v>20</v>
      </c>
      <c r="F5052">
        <v>35077652</v>
      </c>
      <c r="G5052">
        <v>35077652</v>
      </c>
      <c r="H5052">
        <v>35077652</v>
      </c>
      <c r="I5052">
        <v>35077652</v>
      </c>
    </row>
    <row r="5053" spans="1:9" x14ac:dyDescent="0.2">
      <c r="A5053" s="1" t="str">
        <f>"DPY19L2"</f>
        <v>DPY19L2</v>
      </c>
      <c r="B5053" t="s">
        <v>14</v>
      </c>
      <c r="C5053" t="s">
        <v>16</v>
      </c>
      <c r="D5053" t="s">
        <v>11</v>
      </c>
      <c r="E5053" t="s">
        <v>12</v>
      </c>
      <c r="F5053">
        <v>64062241</v>
      </c>
      <c r="G5053">
        <v>64062279</v>
      </c>
      <c r="H5053">
        <v>64062295</v>
      </c>
      <c r="I5053">
        <v>64062320</v>
      </c>
    </row>
    <row r="5054" spans="1:9" x14ac:dyDescent="0.2">
      <c r="A5054" s="1" t="str">
        <f>"DPY19L3"</f>
        <v>DPY19L3</v>
      </c>
      <c r="B5054" t="s">
        <v>14</v>
      </c>
      <c r="C5054" t="s">
        <v>10</v>
      </c>
      <c r="D5054" t="s">
        <v>17</v>
      </c>
      <c r="E5054" t="s">
        <v>12</v>
      </c>
      <c r="F5054">
        <v>32896665</v>
      </c>
      <c r="G5054">
        <v>32896689</v>
      </c>
      <c r="H5054">
        <v>32897009</v>
      </c>
      <c r="I5054">
        <v>32897052</v>
      </c>
    </row>
    <row r="5055" spans="1:9" x14ac:dyDescent="0.2">
      <c r="A5055" s="1" t="str">
        <f>"DPY19L4"</f>
        <v>DPY19L4</v>
      </c>
      <c r="B5055" t="s">
        <v>14</v>
      </c>
      <c r="C5055" t="s">
        <v>30</v>
      </c>
      <c r="D5055" t="s">
        <v>17</v>
      </c>
      <c r="E5055" t="s">
        <v>12</v>
      </c>
      <c r="F5055">
        <v>95732095</v>
      </c>
      <c r="G5055">
        <v>95732159</v>
      </c>
      <c r="H5055">
        <v>95732166</v>
      </c>
      <c r="I5055">
        <v>95732186</v>
      </c>
    </row>
    <row r="5056" spans="1:9" x14ac:dyDescent="0.2">
      <c r="A5056" s="1" t="str">
        <f>"DPY30"</f>
        <v>DPY30</v>
      </c>
      <c r="B5056" t="s">
        <v>14</v>
      </c>
      <c r="C5056" t="s">
        <v>26</v>
      </c>
      <c r="D5056" t="s">
        <v>11</v>
      </c>
      <c r="E5056" t="s">
        <v>12</v>
      </c>
      <c r="F5056">
        <v>32264850</v>
      </c>
      <c r="G5056">
        <v>32264901</v>
      </c>
      <c r="H5056">
        <v>32264850</v>
      </c>
      <c r="I5056">
        <v>32264901</v>
      </c>
    </row>
    <row r="5057" spans="1:9" x14ac:dyDescent="0.2">
      <c r="A5057" s="1" t="str">
        <f>"DPYD"</f>
        <v>DPYD</v>
      </c>
      <c r="B5057" t="s">
        <v>14</v>
      </c>
      <c r="C5057" t="s">
        <v>19</v>
      </c>
      <c r="D5057" t="s">
        <v>11</v>
      </c>
      <c r="E5057" t="s">
        <v>12</v>
      </c>
      <c r="F5057">
        <v>98386543</v>
      </c>
      <c r="G5057">
        <v>98386597</v>
      </c>
      <c r="H5057">
        <v>98386503</v>
      </c>
      <c r="I5057">
        <v>98386512</v>
      </c>
    </row>
    <row r="5058" spans="1:9" x14ac:dyDescent="0.2">
      <c r="A5058" s="1" t="str">
        <f>"DPYS"</f>
        <v>DPYS</v>
      </c>
      <c r="B5058" t="s">
        <v>14</v>
      </c>
      <c r="C5058" t="s">
        <v>30</v>
      </c>
      <c r="D5058" t="s">
        <v>11</v>
      </c>
      <c r="E5058" t="s">
        <v>12</v>
      </c>
      <c r="F5058">
        <v>105479270</v>
      </c>
      <c r="G5058">
        <v>105479289</v>
      </c>
      <c r="H5058">
        <v>105478959</v>
      </c>
      <c r="I5058">
        <v>105478994</v>
      </c>
    </row>
    <row r="5059" spans="1:9" x14ac:dyDescent="0.2">
      <c r="A5059" s="1" t="str">
        <f>"DPYSL2"</f>
        <v>DPYSL2</v>
      </c>
      <c r="B5059" t="s">
        <v>14</v>
      </c>
      <c r="C5059" t="s">
        <v>30</v>
      </c>
      <c r="D5059" t="s">
        <v>17</v>
      </c>
      <c r="E5059" t="s">
        <v>12</v>
      </c>
      <c r="F5059">
        <v>26435427</v>
      </c>
      <c r="G5059">
        <v>26435494</v>
      </c>
      <c r="H5059">
        <v>26435427</v>
      </c>
      <c r="I5059">
        <v>26435494</v>
      </c>
    </row>
    <row r="5060" spans="1:9" x14ac:dyDescent="0.2">
      <c r="A5060" s="1" t="str">
        <f>"DPYSL3"</f>
        <v>DPYSL3</v>
      </c>
      <c r="B5060" t="s">
        <v>14</v>
      </c>
      <c r="C5060" t="s">
        <v>46</v>
      </c>
      <c r="D5060" t="s">
        <v>11</v>
      </c>
      <c r="E5060" t="s">
        <v>12</v>
      </c>
      <c r="F5060">
        <v>146833222</v>
      </c>
      <c r="G5060">
        <v>146833261</v>
      </c>
      <c r="H5060">
        <v>146833222</v>
      </c>
      <c r="I5060">
        <v>146833261</v>
      </c>
    </row>
    <row r="5061" spans="1:9" x14ac:dyDescent="0.2">
      <c r="A5061" s="1" t="str">
        <f>"DPYSL4"</f>
        <v>DPYSL4</v>
      </c>
      <c r="B5061" t="s">
        <v>14</v>
      </c>
      <c r="C5061" t="s">
        <v>15</v>
      </c>
      <c r="D5061" t="s">
        <v>17</v>
      </c>
      <c r="E5061" t="s">
        <v>12</v>
      </c>
      <c r="F5061">
        <v>134000443</v>
      </c>
      <c r="G5061">
        <v>134000471</v>
      </c>
      <c r="H5061">
        <v>134000414</v>
      </c>
      <c r="I5061">
        <v>134000432</v>
      </c>
    </row>
    <row r="5062" spans="1:9" x14ac:dyDescent="0.2">
      <c r="A5062" s="1" t="str">
        <f>"DPYSL5"</f>
        <v>DPYSL5</v>
      </c>
      <c r="B5062" t="s">
        <v>14</v>
      </c>
      <c r="C5062" t="s">
        <v>26</v>
      </c>
      <c r="D5062" t="s">
        <v>17</v>
      </c>
      <c r="E5062" t="s">
        <v>12</v>
      </c>
      <c r="F5062">
        <v>27070964</v>
      </c>
      <c r="G5062">
        <v>27071027</v>
      </c>
      <c r="H5062">
        <v>27071045</v>
      </c>
      <c r="I5062">
        <v>27071058</v>
      </c>
    </row>
    <row r="5063" spans="1:9" x14ac:dyDescent="0.2">
      <c r="A5063" s="1" t="str">
        <f>"DQX1"</f>
        <v>DQX1</v>
      </c>
      <c r="B5063" t="s">
        <v>14</v>
      </c>
      <c r="C5063" t="s">
        <v>26</v>
      </c>
      <c r="D5063" t="s">
        <v>11</v>
      </c>
      <c r="E5063" t="s">
        <v>12</v>
      </c>
      <c r="F5063">
        <v>74753332</v>
      </c>
      <c r="G5063">
        <v>74753373</v>
      </c>
      <c r="H5063">
        <v>74753305</v>
      </c>
      <c r="I5063">
        <v>74753331</v>
      </c>
    </row>
    <row r="5064" spans="1:9" x14ac:dyDescent="0.2">
      <c r="A5064" s="1" t="str">
        <f>"DR1"</f>
        <v>DR1</v>
      </c>
      <c r="B5064" t="s">
        <v>14</v>
      </c>
      <c r="C5064" t="s">
        <v>19</v>
      </c>
      <c r="D5064" t="s">
        <v>17</v>
      </c>
      <c r="E5064" t="s">
        <v>12</v>
      </c>
      <c r="F5064">
        <v>93811438</v>
      </c>
      <c r="G5064">
        <v>93811548</v>
      </c>
      <c r="H5064">
        <v>93812261</v>
      </c>
      <c r="I5064">
        <v>93812303</v>
      </c>
    </row>
    <row r="5065" spans="1:9" x14ac:dyDescent="0.2">
      <c r="A5065" s="1" t="str">
        <f>"DRAM1"</f>
        <v>DRAM1</v>
      </c>
      <c r="B5065" t="s">
        <v>14</v>
      </c>
      <c r="C5065" t="s">
        <v>16</v>
      </c>
      <c r="D5065" t="s">
        <v>17</v>
      </c>
      <c r="E5065" t="s">
        <v>12</v>
      </c>
      <c r="F5065">
        <v>102271436</v>
      </c>
      <c r="G5065">
        <v>102271486</v>
      </c>
      <c r="H5065">
        <v>102271348</v>
      </c>
      <c r="I5065">
        <v>102271376</v>
      </c>
    </row>
    <row r="5066" spans="1:9" x14ac:dyDescent="0.2">
      <c r="A5066" s="1" t="str">
        <f>"DRAM2"</f>
        <v>DRAM2</v>
      </c>
      <c r="B5066" t="s">
        <v>14</v>
      </c>
      <c r="C5066" t="s">
        <v>19</v>
      </c>
      <c r="D5066" t="s">
        <v>11</v>
      </c>
      <c r="E5066" t="s">
        <v>12</v>
      </c>
      <c r="F5066">
        <v>111682687</v>
      </c>
      <c r="G5066">
        <v>111682734</v>
      </c>
      <c r="H5066">
        <v>111682773</v>
      </c>
      <c r="I5066">
        <v>111682790</v>
      </c>
    </row>
    <row r="5067" spans="1:9" x14ac:dyDescent="0.2">
      <c r="A5067" s="1" t="str">
        <f>"DRAP1"</f>
        <v>DRAP1</v>
      </c>
      <c r="B5067" t="s">
        <v>14</v>
      </c>
      <c r="C5067" t="s">
        <v>27</v>
      </c>
      <c r="D5067" t="s">
        <v>17</v>
      </c>
      <c r="E5067" t="s">
        <v>12</v>
      </c>
      <c r="F5067">
        <v>65686855</v>
      </c>
      <c r="G5067">
        <v>65686946</v>
      </c>
      <c r="H5067">
        <v>65686732</v>
      </c>
      <c r="I5067">
        <v>65686756</v>
      </c>
    </row>
    <row r="5068" spans="1:9" x14ac:dyDescent="0.2">
      <c r="A5068" s="1" t="str">
        <f>"DRAXIN"</f>
        <v>DRAXIN</v>
      </c>
      <c r="B5068" t="s">
        <v>14</v>
      </c>
      <c r="C5068" t="s">
        <v>19</v>
      </c>
      <c r="D5068" t="s">
        <v>17</v>
      </c>
      <c r="E5068" t="s">
        <v>12</v>
      </c>
      <c r="F5068">
        <v>11751748</v>
      </c>
      <c r="G5068">
        <v>11751798</v>
      </c>
      <c r="H5068">
        <v>11751748</v>
      </c>
      <c r="I5068">
        <v>11751798</v>
      </c>
    </row>
    <row r="5069" spans="1:9" x14ac:dyDescent="0.2">
      <c r="A5069" s="1" t="str">
        <f>"DRC1"</f>
        <v>DRC1</v>
      </c>
      <c r="B5069" t="s">
        <v>14</v>
      </c>
      <c r="C5069" t="s">
        <v>26</v>
      </c>
      <c r="D5069" t="s">
        <v>17</v>
      </c>
      <c r="E5069" t="s">
        <v>12</v>
      </c>
      <c r="F5069">
        <v>26624775</v>
      </c>
      <c r="G5069">
        <v>26624809</v>
      </c>
      <c r="H5069">
        <v>26624833</v>
      </c>
      <c r="I5069">
        <v>26624842</v>
      </c>
    </row>
    <row r="5070" spans="1:9" x14ac:dyDescent="0.2">
      <c r="A5070" s="1" t="str">
        <f>"DRD1"</f>
        <v>DRD1</v>
      </c>
      <c r="B5070" t="s">
        <v>14</v>
      </c>
      <c r="C5070" t="s">
        <v>46</v>
      </c>
      <c r="D5070" t="s">
        <v>11</v>
      </c>
      <c r="E5070" t="s">
        <v>12</v>
      </c>
      <c r="F5070">
        <v>174871136</v>
      </c>
      <c r="G5070">
        <v>174871190</v>
      </c>
      <c r="H5070">
        <v>174871136</v>
      </c>
      <c r="I5070">
        <v>174871190</v>
      </c>
    </row>
    <row r="5071" spans="1:9" x14ac:dyDescent="0.2">
      <c r="A5071" s="1" t="str">
        <f>"DRD2"</f>
        <v>DRD2</v>
      </c>
      <c r="B5071" t="s">
        <v>14</v>
      </c>
      <c r="C5071" t="s">
        <v>27</v>
      </c>
      <c r="D5071" t="s">
        <v>11</v>
      </c>
      <c r="E5071" t="s">
        <v>12</v>
      </c>
      <c r="F5071">
        <v>113346113</v>
      </c>
      <c r="G5071">
        <v>113346125</v>
      </c>
      <c r="H5071">
        <v>113346130</v>
      </c>
      <c r="I5071">
        <v>113346143</v>
      </c>
    </row>
    <row r="5072" spans="1:9" x14ac:dyDescent="0.2">
      <c r="A5072" s="1" t="str">
        <f>"DRD3"</f>
        <v>DRD3</v>
      </c>
      <c r="B5072" t="s">
        <v>14</v>
      </c>
      <c r="C5072" t="s">
        <v>22</v>
      </c>
      <c r="D5072" t="s">
        <v>11</v>
      </c>
      <c r="E5072" t="s">
        <v>12</v>
      </c>
      <c r="F5072">
        <v>113897722</v>
      </c>
      <c r="G5072">
        <v>113897754</v>
      </c>
      <c r="H5072">
        <v>113897722</v>
      </c>
      <c r="I5072">
        <v>113897754</v>
      </c>
    </row>
    <row r="5073" spans="1:9" x14ac:dyDescent="0.2">
      <c r="A5073" s="1" t="str">
        <f>"DRD4"</f>
        <v>DRD4</v>
      </c>
      <c r="B5073" t="s">
        <v>14</v>
      </c>
      <c r="C5073" t="s">
        <v>27</v>
      </c>
      <c r="D5073" t="s">
        <v>17</v>
      </c>
      <c r="E5073" t="s">
        <v>12</v>
      </c>
      <c r="F5073">
        <v>637246</v>
      </c>
      <c r="G5073">
        <v>637307</v>
      </c>
      <c r="H5073">
        <v>637426</v>
      </c>
      <c r="I5073">
        <v>637454</v>
      </c>
    </row>
    <row r="5074" spans="1:9" x14ac:dyDescent="0.2">
      <c r="A5074" s="1" t="str">
        <f>"DRD5"</f>
        <v>DRD5</v>
      </c>
      <c r="B5074" t="s">
        <v>14</v>
      </c>
      <c r="C5074" t="s">
        <v>23</v>
      </c>
      <c r="D5074" t="s">
        <v>17</v>
      </c>
      <c r="E5074" t="s">
        <v>12</v>
      </c>
      <c r="F5074">
        <v>9783252</v>
      </c>
      <c r="G5074">
        <v>9783264</v>
      </c>
      <c r="H5074">
        <v>9783416</v>
      </c>
      <c r="I5074">
        <v>9783448</v>
      </c>
    </row>
    <row r="5075" spans="1:9" x14ac:dyDescent="0.2">
      <c r="A5075" s="1" t="str">
        <f>"DRG1"</f>
        <v>DRG1</v>
      </c>
      <c r="B5075" t="s">
        <v>14</v>
      </c>
      <c r="C5075" t="s">
        <v>21</v>
      </c>
      <c r="D5075" t="s">
        <v>17</v>
      </c>
      <c r="E5075" t="s">
        <v>12</v>
      </c>
      <c r="F5075">
        <v>31795571</v>
      </c>
      <c r="G5075">
        <v>31795617</v>
      </c>
      <c r="H5075">
        <v>31795556</v>
      </c>
      <c r="I5075">
        <v>31795567</v>
      </c>
    </row>
    <row r="5076" spans="1:9" x14ac:dyDescent="0.2">
      <c r="A5076" s="1" t="str">
        <f>"DRG2"</f>
        <v>DRG2</v>
      </c>
      <c r="B5076" t="s">
        <v>14</v>
      </c>
      <c r="C5076" t="s">
        <v>28</v>
      </c>
      <c r="D5076" t="s">
        <v>17</v>
      </c>
      <c r="E5076" t="s">
        <v>12</v>
      </c>
      <c r="F5076">
        <v>17991218</v>
      </c>
      <c r="G5076">
        <v>17991320</v>
      </c>
      <c r="H5076">
        <v>17991197</v>
      </c>
      <c r="I5076">
        <v>17991208</v>
      </c>
    </row>
    <row r="5077" spans="1:9" x14ac:dyDescent="0.2">
      <c r="A5077" s="1" t="str">
        <f>"DRGX"</f>
        <v>DRGX</v>
      </c>
      <c r="B5077" t="s">
        <v>14</v>
      </c>
      <c r="C5077" t="s">
        <v>15</v>
      </c>
      <c r="D5077" t="s">
        <v>11</v>
      </c>
      <c r="E5077" t="s">
        <v>12</v>
      </c>
      <c r="F5077">
        <v>50604121</v>
      </c>
      <c r="G5077">
        <v>50604142</v>
      </c>
      <c r="H5077">
        <v>50603567</v>
      </c>
      <c r="I5077">
        <v>50603606</v>
      </c>
    </row>
    <row r="5078" spans="1:9" x14ac:dyDescent="0.2">
      <c r="A5078" s="1" t="str">
        <f>"DROSHA"</f>
        <v>DROSHA</v>
      </c>
      <c r="B5078" t="s">
        <v>14</v>
      </c>
      <c r="C5078" t="s">
        <v>46</v>
      </c>
      <c r="D5078" t="s">
        <v>11</v>
      </c>
      <c r="E5078" t="s">
        <v>12</v>
      </c>
      <c r="F5078">
        <v>31532160</v>
      </c>
      <c r="G5078">
        <v>31532221</v>
      </c>
      <c r="H5078">
        <v>31532238</v>
      </c>
      <c r="I5078">
        <v>31532249</v>
      </c>
    </row>
    <row r="5079" spans="1:9" x14ac:dyDescent="0.2">
      <c r="A5079" s="1" t="str">
        <f>"DRP2"</f>
        <v>DRP2</v>
      </c>
      <c r="B5079" t="s">
        <v>14</v>
      </c>
      <c r="C5079" t="s">
        <v>37</v>
      </c>
      <c r="D5079" t="s">
        <v>17</v>
      </c>
      <c r="E5079" t="s">
        <v>12</v>
      </c>
      <c r="F5079">
        <v>100474974</v>
      </c>
      <c r="G5079">
        <v>100475022</v>
      </c>
      <c r="H5079">
        <v>100474711</v>
      </c>
      <c r="I5079">
        <v>100474753</v>
      </c>
    </row>
    <row r="5080" spans="1:9" x14ac:dyDescent="0.2">
      <c r="A5080" s="1" t="str">
        <f>"DSC1"</f>
        <v>DSC1</v>
      </c>
      <c r="B5080" t="s">
        <v>14</v>
      </c>
      <c r="C5080" t="s">
        <v>43</v>
      </c>
      <c r="D5080" t="s">
        <v>11</v>
      </c>
      <c r="E5080" t="s">
        <v>12</v>
      </c>
      <c r="F5080">
        <v>28742652</v>
      </c>
      <c r="G5080">
        <v>28742696</v>
      </c>
      <c r="H5080">
        <v>28742813</v>
      </c>
      <c r="I5080">
        <v>28742824</v>
      </c>
    </row>
    <row r="5081" spans="1:9" x14ac:dyDescent="0.2">
      <c r="A5081" s="1" t="str">
        <f>"DSC2"</f>
        <v>DSC2</v>
      </c>
      <c r="B5081" t="s">
        <v>14</v>
      </c>
      <c r="C5081" t="s">
        <v>43</v>
      </c>
      <c r="D5081" t="s">
        <v>11</v>
      </c>
      <c r="E5081" t="s">
        <v>12</v>
      </c>
      <c r="F5081">
        <v>28682042</v>
      </c>
      <c r="G5081">
        <v>28682065</v>
      </c>
      <c r="H5081">
        <v>28682374</v>
      </c>
      <c r="I5081">
        <v>28682415</v>
      </c>
    </row>
    <row r="5082" spans="1:9" x14ac:dyDescent="0.2">
      <c r="A5082" s="1" t="str">
        <f>"DSC3"</f>
        <v>DSC3</v>
      </c>
      <c r="B5082" t="s">
        <v>14</v>
      </c>
      <c r="C5082" t="s">
        <v>43</v>
      </c>
      <c r="D5082" t="s">
        <v>11</v>
      </c>
      <c r="E5082" t="s">
        <v>12</v>
      </c>
      <c r="F5082">
        <v>28622699</v>
      </c>
      <c r="G5082">
        <v>28622725</v>
      </c>
      <c r="H5082">
        <v>28622729</v>
      </c>
      <c r="I5082">
        <v>28622751</v>
      </c>
    </row>
    <row r="5083" spans="1:9" x14ac:dyDescent="0.2">
      <c r="A5083" s="1" t="str">
        <f>"DSCAM"</f>
        <v>DSCAM</v>
      </c>
      <c r="B5083" t="s">
        <v>14</v>
      </c>
      <c r="C5083" t="s">
        <v>42</v>
      </c>
      <c r="D5083" t="s">
        <v>11</v>
      </c>
      <c r="E5083" t="s">
        <v>12</v>
      </c>
      <c r="F5083">
        <v>42219067</v>
      </c>
      <c r="G5083">
        <v>42219099</v>
      </c>
      <c r="H5083">
        <v>42219168</v>
      </c>
      <c r="I5083">
        <v>42219187</v>
      </c>
    </row>
    <row r="5084" spans="1:9" x14ac:dyDescent="0.2">
      <c r="A5084" s="1" t="str">
        <f>"DSCAML1"</f>
        <v>DSCAML1</v>
      </c>
      <c r="B5084" t="s">
        <v>9</v>
      </c>
      <c r="C5084" t="s">
        <v>27</v>
      </c>
      <c r="D5084" t="s">
        <v>11</v>
      </c>
      <c r="E5084" t="s">
        <v>12</v>
      </c>
      <c r="F5084">
        <v>117667885</v>
      </c>
      <c r="G5084">
        <v>117667949</v>
      </c>
      <c r="H5084">
        <v>117667885</v>
      </c>
      <c r="I5084">
        <v>117667949</v>
      </c>
    </row>
    <row r="5085" spans="1:9" x14ac:dyDescent="0.2">
      <c r="A5085" s="1" t="str">
        <f>"DSCAML1"</f>
        <v>DSCAML1</v>
      </c>
      <c r="B5085" t="s">
        <v>13</v>
      </c>
      <c r="C5085" t="s">
        <v>27</v>
      </c>
      <c r="D5085" t="s">
        <v>11</v>
      </c>
      <c r="E5085" t="s">
        <v>12</v>
      </c>
      <c r="F5085">
        <v>117688216</v>
      </c>
      <c r="G5085">
        <v>117688234</v>
      </c>
      <c r="H5085">
        <v>117688216</v>
      </c>
      <c r="I5085">
        <v>117688234</v>
      </c>
    </row>
    <row r="5086" spans="1:9" x14ac:dyDescent="0.2">
      <c r="A5086" s="1" t="str">
        <f>"DSCC1"</f>
        <v>DSCC1</v>
      </c>
      <c r="B5086" t="s">
        <v>14</v>
      </c>
      <c r="C5086" t="s">
        <v>30</v>
      </c>
      <c r="D5086" t="s">
        <v>11</v>
      </c>
      <c r="E5086" t="s">
        <v>12</v>
      </c>
      <c r="F5086">
        <v>120868078</v>
      </c>
      <c r="G5086">
        <v>120868182</v>
      </c>
      <c r="H5086">
        <v>120868260</v>
      </c>
      <c r="I5086">
        <v>120868277</v>
      </c>
    </row>
    <row r="5087" spans="1:9" x14ac:dyDescent="0.2">
      <c r="A5087" s="1" t="str">
        <f>"DSCR3"</f>
        <v>DSCR3</v>
      </c>
      <c r="B5087" t="s">
        <v>14</v>
      </c>
      <c r="C5087" t="s">
        <v>42</v>
      </c>
      <c r="D5087" t="s">
        <v>11</v>
      </c>
      <c r="E5087" t="s">
        <v>12</v>
      </c>
      <c r="F5087">
        <v>38639601</v>
      </c>
      <c r="G5087">
        <v>38639667</v>
      </c>
      <c r="H5087">
        <v>38639813</v>
      </c>
      <c r="I5087">
        <v>38639834</v>
      </c>
    </row>
    <row r="5088" spans="1:9" x14ac:dyDescent="0.2">
      <c r="A5088" s="1" t="str">
        <f>"DSCR4"</f>
        <v>DSCR4</v>
      </c>
      <c r="B5088" t="s">
        <v>14</v>
      </c>
      <c r="C5088" t="s">
        <v>42</v>
      </c>
      <c r="D5088" t="s">
        <v>11</v>
      </c>
      <c r="E5088" t="s">
        <v>12</v>
      </c>
      <c r="F5088">
        <v>39493435</v>
      </c>
      <c r="G5088">
        <v>39493461</v>
      </c>
      <c r="H5088">
        <v>39493435</v>
      </c>
      <c r="I5088">
        <v>39493461</v>
      </c>
    </row>
    <row r="5089" spans="1:9" x14ac:dyDescent="0.2">
      <c r="A5089" s="1" t="str">
        <f>"DSE"</f>
        <v>DSE</v>
      </c>
      <c r="B5089" t="s">
        <v>9</v>
      </c>
      <c r="C5089" t="s">
        <v>32</v>
      </c>
      <c r="D5089" t="s">
        <v>17</v>
      </c>
      <c r="E5089" t="s">
        <v>12</v>
      </c>
      <c r="F5089">
        <v>116692102</v>
      </c>
      <c r="G5089">
        <v>116692118</v>
      </c>
      <c r="H5089">
        <v>116692102</v>
      </c>
      <c r="I5089">
        <v>116692118</v>
      </c>
    </row>
    <row r="5090" spans="1:9" x14ac:dyDescent="0.2">
      <c r="A5090" s="1" t="str">
        <f>"DSE"</f>
        <v>DSE</v>
      </c>
      <c r="B5090" t="s">
        <v>13</v>
      </c>
      <c r="C5090" t="s">
        <v>32</v>
      </c>
      <c r="D5090" t="s">
        <v>17</v>
      </c>
      <c r="E5090" t="s">
        <v>12</v>
      </c>
      <c r="F5090">
        <v>116575329</v>
      </c>
      <c r="G5090">
        <v>116575390</v>
      </c>
      <c r="H5090">
        <v>116575329</v>
      </c>
      <c r="I5090">
        <v>116575390</v>
      </c>
    </row>
    <row r="5091" spans="1:9" x14ac:dyDescent="0.2">
      <c r="A5091" s="1" t="str">
        <f>"DSEL"</f>
        <v>DSEL</v>
      </c>
      <c r="B5091" t="s">
        <v>14</v>
      </c>
      <c r="C5091" t="s">
        <v>43</v>
      </c>
      <c r="D5091" t="s">
        <v>11</v>
      </c>
      <c r="E5091" t="s">
        <v>12</v>
      </c>
      <c r="F5091">
        <v>65183945</v>
      </c>
      <c r="G5091">
        <v>65184027</v>
      </c>
      <c r="H5091">
        <v>65183945</v>
      </c>
      <c r="I5091">
        <v>65184027</v>
      </c>
    </row>
    <row r="5092" spans="1:9" x14ac:dyDescent="0.2">
      <c r="A5092" s="1" t="str">
        <f>"DSG1"</f>
        <v>DSG1</v>
      </c>
      <c r="B5092" t="s">
        <v>14</v>
      </c>
      <c r="C5092" t="s">
        <v>43</v>
      </c>
      <c r="D5092" t="s">
        <v>17</v>
      </c>
      <c r="E5092" t="s">
        <v>12</v>
      </c>
      <c r="F5092">
        <v>28898107</v>
      </c>
      <c r="G5092">
        <v>28898130</v>
      </c>
      <c r="H5092">
        <v>28898087</v>
      </c>
      <c r="I5092">
        <v>28898106</v>
      </c>
    </row>
    <row r="5093" spans="1:9" x14ac:dyDescent="0.2">
      <c r="A5093" s="1" t="str">
        <f>"DSG2"</f>
        <v>DSG2</v>
      </c>
      <c r="B5093" t="s">
        <v>14</v>
      </c>
      <c r="C5093" t="s">
        <v>43</v>
      </c>
      <c r="D5093" t="s">
        <v>17</v>
      </c>
      <c r="E5093" t="s">
        <v>12</v>
      </c>
      <c r="F5093">
        <v>29078131</v>
      </c>
      <c r="G5093">
        <v>29078218</v>
      </c>
      <c r="H5093">
        <v>29077990</v>
      </c>
      <c r="I5093">
        <v>29078034</v>
      </c>
    </row>
    <row r="5094" spans="1:9" x14ac:dyDescent="0.2">
      <c r="A5094" s="1" t="str">
        <f>"DSG3"</f>
        <v>DSG3</v>
      </c>
      <c r="B5094" t="s">
        <v>14</v>
      </c>
      <c r="C5094" t="s">
        <v>43</v>
      </c>
      <c r="D5094" t="s">
        <v>17</v>
      </c>
      <c r="E5094" t="s">
        <v>12</v>
      </c>
      <c r="F5094">
        <v>29027696</v>
      </c>
      <c r="G5094">
        <v>29027774</v>
      </c>
      <c r="H5094">
        <v>29027696</v>
      </c>
      <c r="I5094">
        <v>29027774</v>
      </c>
    </row>
    <row r="5095" spans="1:9" x14ac:dyDescent="0.2">
      <c r="A5095" s="1" t="str">
        <f>"DSG4"</f>
        <v>DSG4</v>
      </c>
      <c r="B5095" t="s">
        <v>14</v>
      </c>
      <c r="C5095" t="s">
        <v>43</v>
      </c>
      <c r="D5095" t="s">
        <v>17</v>
      </c>
      <c r="E5095" t="s">
        <v>12</v>
      </c>
      <c r="F5095">
        <v>28956733</v>
      </c>
      <c r="G5095">
        <v>28956745</v>
      </c>
      <c r="H5095">
        <v>28956733</v>
      </c>
      <c r="I5095">
        <v>28956745</v>
      </c>
    </row>
    <row r="5096" spans="1:9" x14ac:dyDescent="0.2">
      <c r="A5096" s="1" t="str">
        <f>"DSN1"</f>
        <v>DSN1</v>
      </c>
      <c r="B5096" t="s">
        <v>14</v>
      </c>
      <c r="C5096" t="s">
        <v>29</v>
      </c>
      <c r="D5096" t="s">
        <v>11</v>
      </c>
      <c r="E5096" t="s">
        <v>12</v>
      </c>
      <c r="F5096">
        <v>35402135</v>
      </c>
      <c r="G5096">
        <v>35402207</v>
      </c>
      <c r="H5096">
        <v>35401980</v>
      </c>
      <c r="I5096">
        <v>35401991</v>
      </c>
    </row>
    <row r="5097" spans="1:9" x14ac:dyDescent="0.2">
      <c r="A5097" s="1" t="str">
        <f>"DSP"</f>
        <v>DSP</v>
      </c>
      <c r="B5097" t="s">
        <v>14</v>
      </c>
      <c r="C5097" t="s">
        <v>32</v>
      </c>
      <c r="D5097" t="s">
        <v>17</v>
      </c>
      <c r="E5097" t="s">
        <v>12</v>
      </c>
      <c r="F5097">
        <v>7541895</v>
      </c>
      <c r="G5097">
        <v>7541916</v>
      </c>
      <c r="H5097">
        <v>7541845</v>
      </c>
      <c r="I5097">
        <v>7541878</v>
      </c>
    </row>
    <row r="5098" spans="1:9" x14ac:dyDescent="0.2">
      <c r="A5098" s="1" t="str">
        <f>"DSPP"</f>
        <v>DSPP</v>
      </c>
      <c r="B5098" t="s">
        <v>357</v>
      </c>
      <c r="C5098" t="s">
        <v>23</v>
      </c>
      <c r="D5098" t="s">
        <v>17</v>
      </c>
      <c r="E5098" t="s">
        <v>20</v>
      </c>
      <c r="F5098">
        <v>88532027</v>
      </c>
      <c r="G5098">
        <v>88532027</v>
      </c>
      <c r="H5098">
        <v>88532027</v>
      </c>
      <c r="I5098">
        <v>88532027</v>
      </c>
    </row>
    <row r="5099" spans="1:9" x14ac:dyDescent="0.2">
      <c r="A5099" s="1" t="str">
        <f>"DSPP"</f>
        <v>DSPP</v>
      </c>
      <c r="B5099" t="s">
        <v>358</v>
      </c>
      <c r="C5099" t="s">
        <v>23</v>
      </c>
      <c r="D5099" t="s">
        <v>17</v>
      </c>
      <c r="E5099" t="s">
        <v>20</v>
      </c>
      <c r="F5099">
        <v>88529680</v>
      </c>
      <c r="G5099">
        <v>88529680</v>
      </c>
      <c r="H5099">
        <v>88529680</v>
      </c>
      <c r="I5099">
        <v>88529680</v>
      </c>
    </row>
    <row r="5100" spans="1:9" x14ac:dyDescent="0.2">
      <c r="A5100" s="1" t="str">
        <f>"DST"</f>
        <v>DST</v>
      </c>
      <c r="B5100" t="s">
        <v>359</v>
      </c>
      <c r="C5100" t="s">
        <v>32</v>
      </c>
      <c r="D5100" t="s">
        <v>11</v>
      </c>
      <c r="E5100" t="s">
        <v>35</v>
      </c>
      <c r="F5100">
        <v>56708128</v>
      </c>
      <c r="G5100">
        <v>56708144</v>
      </c>
      <c r="H5100">
        <v>56707896</v>
      </c>
      <c r="I5100">
        <v>56707902</v>
      </c>
    </row>
    <row r="5101" spans="1:9" x14ac:dyDescent="0.2">
      <c r="A5101" s="1" t="str">
        <f>"DST"</f>
        <v>DST</v>
      </c>
      <c r="B5101" t="s">
        <v>360</v>
      </c>
      <c r="C5101" t="s">
        <v>32</v>
      </c>
      <c r="D5101" t="s">
        <v>11</v>
      </c>
      <c r="E5101" t="s">
        <v>35</v>
      </c>
      <c r="F5101">
        <v>56819522</v>
      </c>
      <c r="G5101">
        <v>56819652</v>
      </c>
      <c r="H5101">
        <v>56819373</v>
      </c>
      <c r="I5101">
        <v>56819378</v>
      </c>
    </row>
    <row r="5102" spans="1:9" x14ac:dyDescent="0.2">
      <c r="A5102" s="1" t="str">
        <f>"DSTN"</f>
        <v>DSTN</v>
      </c>
      <c r="B5102" t="s">
        <v>14</v>
      </c>
      <c r="C5102" t="s">
        <v>29</v>
      </c>
      <c r="D5102" t="s">
        <v>17</v>
      </c>
      <c r="E5102" t="s">
        <v>12</v>
      </c>
      <c r="F5102">
        <v>17550691</v>
      </c>
      <c r="G5102">
        <v>17550782</v>
      </c>
      <c r="H5102">
        <v>17550786</v>
      </c>
      <c r="I5102">
        <v>17550804</v>
      </c>
    </row>
    <row r="5103" spans="1:9" x14ac:dyDescent="0.2">
      <c r="A5103" s="1" t="str">
        <f>"DSTYK"</f>
        <v>DSTYK</v>
      </c>
      <c r="B5103" t="s">
        <v>14</v>
      </c>
      <c r="C5103" t="s">
        <v>19</v>
      </c>
      <c r="D5103" t="s">
        <v>11</v>
      </c>
      <c r="E5103" t="s">
        <v>12</v>
      </c>
      <c r="F5103">
        <v>205180814</v>
      </c>
      <c r="G5103">
        <v>205180869</v>
      </c>
      <c r="H5103">
        <v>205180664</v>
      </c>
      <c r="I5103">
        <v>205180701</v>
      </c>
    </row>
    <row r="5104" spans="1:9" x14ac:dyDescent="0.2">
      <c r="A5104" s="1" t="str">
        <f>"DTD1"</f>
        <v>DTD1</v>
      </c>
      <c r="B5104" t="s">
        <v>14</v>
      </c>
      <c r="C5104" t="s">
        <v>29</v>
      </c>
      <c r="D5104" t="s">
        <v>17</v>
      </c>
      <c r="E5104" t="s">
        <v>12</v>
      </c>
      <c r="F5104">
        <v>18568684</v>
      </c>
      <c r="G5104">
        <v>18568712</v>
      </c>
      <c r="H5104">
        <v>18568619</v>
      </c>
      <c r="I5104">
        <v>18568667</v>
      </c>
    </row>
    <row r="5105" spans="1:9" x14ac:dyDescent="0.2">
      <c r="A5105" s="1" t="str">
        <f>"DTD2"</f>
        <v>DTD2</v>
      </c>
      <c r="B5105" t="s">
        <v>14</v>
      </c>
      <c r="C5105" t="s">
        <v>41</v>
      </c>
      <c r="D5105" t="s">
        <v>11</v>
      </c>
      <c r="E5105" t="s">
        <v>12</v>
      </c>
      <c r="F5105">
        <v>31926623</v>
      </c>
      <c r="G5105">
        <v>31926656</v>
      </c>
      <c r="H5105">
        <v>31926669</v>
      </c>
      <c r="I5105">
        <v>31926700</v>
      </c>
    </row>
    <row r="5106" spans="1:9" x14ac:dyDescent="0.2">
      <c r="A5106" s="1" t="str">
        <f>"DTHD1"</f>
        <v>DTHD1</v>
      </c>
      <c r="B5106" t="s">
        <v>14</v>
      </c>
      <c r="C5106" t="s">
        <v>23</v>
      </c>
      <c r="D5106" t="s">
        <v>17</v>
      </c>
      <c r="E5106" t="s">
        <v>12</v>
      </c>
      <c r="F5106">
        <v>36283213</v>
      </c>
      <c r="G5106">
        <v>36283256</v>
      </c>
      <c r="H5106">
        <v>36283259</v>
      </c>
      <c r="I5106">
        <v>36283271</v>
      </c>
    </row>
    <row r="5107" spans="1:9" x14ac:dyDescent="0.2">
      <c r="A5107" s="1" t="str">
        <f>"DTL"</f>
        <v>DTL</v>
      </c>
      <c r="B5107" t="s">
        <v>14</v>
      </c>
      <c r="C5107" t="s">
        <v>19</v>
      </c>
      <c r="D5107" t="s">
        <v>17</v>
      </c>
      <c r="E5107" t="s">
        <v>12</v>
      </c>
      <c r="F5107">
        <v>212209055</v>
      </c>
      <c r="G5107">
        <v>212209147</v>
      </c>
      <c r="H5107">
        <v>212209055</v>
      </c>
      <c r="I5107">
        <v>212209147</v>
      </c>
    </row>
    <row r="5108" spans="1:9" x14ac:dyDescent="0.2">
      <c r="A5108" s="1" t="str">
        <f>"DTNA"</f>
        <v>DTNA</v>
      </c>
      <c r="B5108" t="s">
        <v>14</v>
      </c>
      <c r="C5108" t="s">
        <v>43</v>
      </c>
      <c r="D5108" t="s">
        <v>17</v>
      </c>
      <c r="E5108" t="s">
        <v>12</v>
      </c>
      <c r="F5108">
        <v>32290218</v>
      </c>
      <c r="G5108">
        <v>32290270</v>
      </c>
      <c r="H5108">
        <v>32290218</v>
      </c>
      <c r="I5108">
        <v>32290270</v>
      </c>
    </row>
    <row r="5109" spans="1:9" x14ac:dyDescent="0.2">
      <c r="A5109" s="1" t="str">
        <f>"DTNB"</f>
        <v>DTNB</v>
      </c>
      <c r="B5109" t="s">
        <v>14</v>
      </c>
      <c r="C5109" t="s">
        <v>26</v>
      </c>
      <c r="D5109" t="s">
        <v>11</v>
      </c>
      <c r="E5109" t="s">
        <v>12</v>
      </c>
      <c r="F5109">
        <v>25896380</v>
      </c>
      <c r="G5109">
        <v>25896492</v>
      </c>
      <c r="H5109">
        <v>25896355</v>
      </c>
      <c r="I5109">
        <v>25896376</v>
      </c>
    </row>
    <row r="5110" spans="1:9" x14ac:dyDescent="0.2">
      <c r="A5110" s="1" t="str">
        <f>"DTNBP1"</f>
        <v>DTNBP1</v>
      </c>
      <c r="B5110" t="s">
        <v>14</v>
      </c>
      <c r="C5110" t="s">
        <v>32</v>
      </c>
      <c r="D5110" t="s">
        <v>11</v>
      </c>
      <c r="E5110" t="s">
        <v>12</v>
      </c>
      <c r="F5110">
        <v>15663198</v>
      </c>
      <c r="G5110">
        <v>15663301</v>
      </c>
      <c r="H5110">
        <v>15663198</v>
      </c>
      <c r="I5110">
        <v>15663301</v>
      </c>
    </row>
    <row r="5111" spans="1:9" x14ac:dyDescent="0.2">
      <c r="A5111" s="1" t="str">
        <f>"DTWD1"</f>
        <v>DTWD1</v>
      </c>
      <c r="B5111" t="s">
        <v>14</v>
      </c>
      <c r="C5111" t="s">
        <v>25</v>
      </c>
      <c r="D5111" t="s">
        <v>17</v>
      </c>
      <c r="E5111" t="s">
        <v>12</v>
      </c>
      <c r="F5111">
        <v>49913201</v>
      </c>
      <c r="G5111">
        <v>49913295</v>
      </c>
      <c r="H5111">
        <v>49913150</v>
      </c>
      <c r="I5111">
        <v>49913163</v>
      </c>
    </row>
    <row r="5112" spans="1:9" x14ac:dyDescent="0.2">
      <c r="A5112" s="1" t="str">
        <f>"DTWD2"</f>
        <v>DTWD2</v>
      </c>
      <c r="B5112" t="s">
        <v>14</v>
      </c>
      <c r="C5112" t="s">
        <v>46</v>
      </c>
      <c r="D5112" t="s">
        <v>11</v>
      </c>
      <c r="E5112" t="s">
        <v>12</v>
      </c>
      <c r="F5112">
        <v>118324200</v>
      </c>
      <c r="G5112">
        <v>118324254</v>
      </c>
      <c r="H5112">
        <v>118323876</v>
      </c>
      <c r="I5112">
        <v>118323917</v>
      </c>
    </row>
    <row r="5113" spans="1:9" x14ac:dyDescent="0.2">
      <c r="A5113" s="1" t="str">
        <f>"DTX1"</f>
        <v>DTX1</v>
      </c>
      <c r="B5113" t="s">
        <v>14</v>
      </c>
      <c r="C5113" t="s">
        <v>16</v>
      </c>
      <c r="D5113" t="s">
        <v>17</v>
      </c>
      <c r="E5113" t="s">
        <v>12</v>
      </c>
      <c r="F5113">
        <v>113494516</v>
      </c>
      <c r="G5113">
        <v>113494577</v>
      </c>
      <c r="H5113">
        <v>113494685</v>
      </c>
      <c r="I5113">
        <v>113494727</v>
      </c>
    </row>
    <row r="5114" spans="1:9" x14ac:dyDescent="0.2">
      <c r="A5114" s="1" t="str">
        <f>"DTX2"</f>
        <v>DTX2</v>
      </c>
      <c r="B5114" t="s">
        <v>14</v>
      </c>
      <c r="C5114" t="s">
        <v>33</v>
      </c>
      <c r="D5114" t="s">
        <v>17</v>
      </c>
      <c r="E5114" t="s">
        <v>12</v>
      </c>
      <c r="F5114">
        <v>76110027</v>
      </c>
      <c r="G5114">
        <v>76110046</v>
      </c>
      <c r="H5114">
        <v>76110027</v>
      </c>
      <c r="I5114">
        <v>76110046</v>
      </c>
    </row>
    <row r="5115" spans="1:9" x14ac:dyDescent="0.2">
      <c r="A5115" s="1" t="str">
        <f>"DTX3"</f>
        <v>DTX3</v>
      </c>
      <c r="B5115" t="s">
        <v>14</v>
      </c>
      <c r="C5115" t="s">
        <v>16</v>
      </c>
      <c r="D5115" t="s">
        <v>17</v>
      </c>
      <c r="E5115" t="s">
        <v>12</v>
      </c>
      <c r="F5115">
        <v>57998595</v>
      </c>
      <c r="G5115">
        <v>57998621</v>
      </c>
      <c r="H5115">
        <v>57998381</v>
      </c>
      <c r="I5115">
        <v>57998399</v>
      </c>
    </row>
    <row r="5116" spans="1:9" x14ac:dyDescent="0.2">
      <c r="A5116" s="1" t="str">
        <f>"DTX3L"</f>
        <v>DTX3L</v>
      </c>
      <c r="B5116" t="s">
        <v>14</v>
      </c>
      <c r="C5116" t="s">
        <v>22</v>
      </c>
      <c r="D5116" t="s">
        <v>17</v>
      </c>
      <c r="E5116" t="s">
        <v>12</v>
      </c>
      <c r="F5116">
        <v>122283175</v>
      </c>
      <c r="G5116">
        <v>122283273</v>
      </c>
      <c r="H5116">
        <v>122283175</v>
      </c>
      <c r="I5116">
        <v>122283273</v>
      </c>
    </row>
    <row r="5117" spans="1:9" x14ac:dyDescent="0.2">
      <c r="A5117" s="1" t="str">
        <f>"DTX4"</f>
        <v>DTX4</v>
      </c>
      <c r="B5117" t="s">
        <v>14</v>
      </c>
      <c r="C5117" t="s">
        <v>27</v>
      </c>
      <c r="D5117" t="s">
        <v>17</v>
      </c>
      <c r="E5117" t="s">
        <v>12</v>
      </c>
      <c r="F5117">
        <v>58939616</v>
      </c>
      <c r="G5117">
        <v>58939668</v>
      </c>
      <c r="H5117">
        <v>58939673</v>
      </c>
      <c r="I5117">
        <v>58939697</v>
      </c>
    </row>
    <row r="5118" spans="1:9" x14ac:dyDescent="0.2">
      <c r="A5118" s="1" t="str">
        <f>"DTYMK"</f>
        <v>DTYMK</v>
      </c>
      <c r="B5118" t="s">
        <v>14</v>
      </c>
      <c r="C5118" t="s">
        <v>26</v>
      </c>
      <c r="D5118" t="s">
        <v>11</v>
      </c>
      <c r="E5118" t="s">
        <v>12</v>
      </c>
      <c r="F5118">
        <v>242626195</v>
      </c>
      <c r="G5118">
        <v>242626243</v>
      </c>
      <c r="H5118">
        <v>242626142</v>
      </c>
      <c r="I5118">
        <v>242626151</v>
      </c>
    </row>
    <row r="5119" spans="1:9" x14ac:dyDescent="0.2">
      <c r="A5119" s="1" t="str">
        <f>"DUOX1"</f>
        <v>DUOX1</v>
      </c>
      <c r="B5119" t="s">
        <v>14</v>
      </c>
      <c r="C5119" t="s">
        <v>25</v>
      </c>
      <c r="D5119" t="s">
        <v>17</v>
      </c>
      <c r="E5119" t="s">
        <v>12</v>
      </c>
      <c r="F5119">
        <v>45422178</v>
      </c>
      <c r="G5119">
        <v>45422201</v>
      </c>
      <c r="H5119">
        <v>45422163</v>
      </c>
      <c r="I5119">
        <v>45422172</v>
      </c>
    </row>
    <row r="5120" spans="1:9" x14ac:dyDescent="0.2">
      <c r="A5120" s="1" t="str">
        <f>"DUOX2"</f>
        <v>DUOX2</v>
      </c>
      <c r="B5120" t="s">
        <v>14</v>
      </c>
      <c r="C5120" t="s">
        <v>25</v>
      </c>
      <c r="D5120" t="s">
        <v>11</v>
      </c>
      <c r="E5120" t="s">
        <v>12</v>
      </c>
      <c r="F5120">
        <v>45406348</v>
      </c>
      <c r="G5120">
        <v>45406383</v>
      </c>
      <c r="H5120">
        <v>45406385</v>
      </c>
      <c r="I5120">
        <v>45406401</v>
      </c>
    </row>
    <row r="5121" spans="1:9" x14ac:dyDescent="0.2">
      <c r="A5121" s="1" t="str">
        <f>"DUOXA1"</f>
        <v>DUOXA1</v>
      </c>
      <c r="B5121" t="s">
        <v>14</v>
      </c>
      <c r="C5121" t="s">
        <v>25</v>
      </c>
      <c r="D5121" t="s">
        <v>11</v>
      </c>
      <c r="E5121" t="s">
        <v>12</v>
      </c>
      <c r="F5121">
        <v>45422056</v>
      </c>
      <c r="G5121">
        <v>45422086</v>
      </c>
      <c r="H5121">
        <v>45422041</v>
      </c>
      <c r="I5121">
        <v>45422052</v>
      </c>
    </row>
    <row r="5122" spans="1:9" x14ac:dyDescent="0.2">
      <c r="A5122" s="1" t="str">
        <f>"DUOXA2"</f>
        <v>DUOXA2</v>
      </c>
      <c r="B5122" t="s">
        <v>14</v>
      </c>
      <c r="C5122" t="s">
        <v>25</v>
      </c>
      <c r="D5122" t="s">
        <v>17</v>
      </c>
      <c r="E5122" t="s">
        <v>12</v>
      </c>
      <c r="F5122">
        <v>45406522</v>
      </c>
      <c r="G5122">
        <v>45406525</v>
      </c>
      <c r="H5122">
        <v>45406726</v>
      </c>
      <c r="I5122">
        <v>45406773</v>
      </c>
    </row>
    <row r="5123" spans="1:9" x14ac:dyDescent="0.2">
      <c r="A5123" s="1" t="str">
        <f>"DUPD1"</f>
        <v>DUPD1</v>
      </c>
      <c r="B5123" t="s">
        <v>14</v>
      </c>
      <c r="C5123" t="s">
        <v>15</v>
      </c>
      <c r="D5123" t="s">
        <v>11</v>
      </c>
      <c r="E5123" t="s">
        <v>12</v>
      </c>
      <c r="F5123">
        <v>76818221</v>
      </c>
      <c r="G5123">
        <v>76818222</v>
      </c>
      <c r="H5123">
        <v>76818221</v>
      </c>
      <c r="I5123">
        <v>76818222</v>
      </c>
    </row>
    <row r="5124" spans="1:9" x14ac:dyDescent="0.2">
      <c r="A5124" s="1" t="str">
        <f>"DUS1L"</f>
        <v>DUS1L</v>
      </c>
      <c r="B5124" t="s">
        <v>14</v>
      </c>
      <c r="C5124" t="s">
        <v>28</v>
      </c>
      <c r="D5124" t="s">
        <v>11</v>
      </c>
      <c r="E5124" t="s">
        <v>12</v>
      </c>
      <c r="F5124">
        <v>80023662</v>
      </c>
      <c r="G5124">
        <v>80023696</v>
      </c>
      <c r="H5124">
        <v>80023542</v>
      </c>
      <c r="I5124">
        <v>80023571</v>
      </c>
    </row>
    <row r="5125" spans="1:9" x14ac:dyDescent="0.2">
      <c r="A5125" s="1" t="str">
        <f>"DUS2"</f>
        <v>DUS2</v>
      </c>
      <c r="B5125" t="s">
        <v>14</v>
      </c>
      <c r="C5125" t="s">
        <v>31</v>
      </c>
      <c r="D5125" t="s">
        <v>17</v>
      </c>
      <c r="E5125" t="s">
        <v>12</v>
      </c>
      <c r="F5125">
        <v>68057179</v>
      </c>
      <c r="G5125">
        <v>68057205</v>
      </c>
      <c r="H5125">
        <v>68057153</v>
      </c>
      <c r="I5125">
        <v>68057175</v>
      </c>
    </row>
    <row r="5126" spans="1:9" x14ac:dyDescent="0.2">
      <c r="A5126" s="1" t="str">
        <f>"DUS3L"</f>
        <v>DUS3L</v>
      </c>
      <c r="B5126" t="s">
        <v>14</v>
      </c>
      <c r="C5126" t="s">
        <v>10</v>
      </c>
      <c r="D5126" t="s">
        <v>11</v>
      </c>
      <c r="E5126" t="s">
        <v>12</v>
      </c>
      <c r="F5126">
        <v>5791166</v>
      </c>
      <c r="G5126">
        <v>5791202</v>
      </c>
      <c r="H5126">
        <v>5791215</v>
      </c>
      <c r="I5126">
        <v>5791241</v>
      </c>
    </row>
    <row r="5127" spans="1:9" x14ac:dyDescent="0.2">
      <c r="A5127" s="1" t="str">
        <f>"DUS4L"</f>
        <v>DUS4L</v>
      </c>
      <c r="B5127" t="s">
        <v>14</v>
      </c>
      <c r="C5127" t="s">
        <v>33</v>
      </c>
      <c r="D5127" t="s">
        <v>17</v>
      </c>
      <c r="E5127" t="s">
        <v>12</v>
      </c>
      <c r="F5127">
        <v>107204389</v>
      </c>
      <c r="G5127">
        <v>107204446</v>
      </c>
      <c r="H5127">
        <v>107204448</v>
      </c>
      <c r="I5127">
        <v>107204471</v>
      </c>
    </row>
    <row r="5128" spans="1:9" x14ac:dyDescent="0.2">
      <c r="A5128" s="1" t="str">
        <f>"DUSP1"</f>
        <v>DUSP1</v>
      </c>
      <c r="B5128" t="s">
        <v>14</v>
      </c>
      <c r="C5128" t="s">
        <v>46</v>
      </c>
      <c r="D5128" t="s">
        <v>11</v>
      </c>
      <c r="E5128" t="s">
        <v>12</v>
      </c>
      <c r="F5128">
        <v>172198190</v>
      </c>
      <c r="G5128">
        <v>172198206</v>
      </c>
      <c r="H5128">
        <v>172197364</v>
      </c>
      <c r="I5128">
        <v>172197376</v>
      </c>
    </row>
    <row r="5129" spans="1:9" x14ac:dyDescent="0.2">
      <c r="A5129" s="1" t="str">
        <f>"DUSP10"</f>
        <v>DUSP10</v>
      </c>
      <c r="B5129" t="s">
        <v>14</v>
      </c>
      <c r="C5129" t="s">
        <v>19</v>
      </c>
      <c r="D5129" t="s">
        <v>11</v>
      </c>
      <c r="E5129" t="s">
        <v>12</v>
      </c>
      <c r="F5129">
        <v>221915418</v>
      </c>
      <c r="G5129">
        <v>221915439</v>
      </c>
      <c r="H5129">
        <v>221915418</v>
      </c>
      <c r="I5129">
        <v>221915439</v>
      </c>
    </row>
    <row r="5130" spans="1:9" x14ac:dyDescent="0.2">
      <c r="A5130" s="1" t="str">
        <f>"DUSP11"</f>
        <v>DUSP11</v>
      </c>
      <c r="B5130" t="s">
        <v>14</v>
      </c>
      <c r="C5130" t="s">
        <v>26</v>
      </c>
      <c r="D5130" t="s">
        <v>11</v>
      </c>
      <c r="E5130" t="s">
        <v>12</v>
      </c>
      <c r="F5130">
        <v>74007193</v>
      </c>
      <c r="G5130">
        <v>74007246</v>
      </c>
      <c r="H5130">
        <v>74007169</v>
      </c>
      <c r="I5130">
        <v>74007187</v>
      </c>
    </row>
    <row r="5131" spans="1:9" x14ac:dyDescent="0.2">
      <c r="A5131" s="1" t="str">
        <f>"DUSP12"</f>
        <v>DUSP12</v>
      </c>
      <c r="B5131" t="s">
        <v>14</v>
      </c>
      <c r="C5131" t="s">
        <v>19</v>
      </c>
      <c r="D5131" t="s">
        <v>17</v>
      </c>
      <c r="E5131" t="s">
        <v>12</v>
      </c>
      <c r="F5131">
        <v>161719552</v>
      </c>
      <c r="G5131">
        <v>161719614</v>
      </c>
      <c r="H5131">
        <v>161719552</v>
      </c>
      <c r="I5131">
        <v>161719614</v>
      </c>
    </row>
    <row r="5132" spans="1:9" x14ac:dyDescent="0.2">
      <c r="A5132" s="1" t="str">
        <f>"DUSP13"</f>
        <v>DUSP13</v>
      </c>
      <c r="B5132" t="s">
        <v>14</v>
      </c>
      <c r="C5132" t="s">
        <v>15</v>
      </c>
      <c r="D5132" t="s">
        <v>11</v>
      </c>
      <c r="E5132" t="s">
        <v>12</v>
      </c>
      <c r="F5132">
        <v>76868931</v>
      </c>
      <c r="G5132">
        <v>76868980</v>
      </c>
      <c r="H5132">
        <v>76868843</v>
      </c>
      <c r="I5132">
        <v>76868862</v>
      </c>
    </row>
    <row r="5133" spans="1:9" x14ac:dyDescent="0.2">
      <c r="A5133" s="1" t="str">
        <f>"DUSP14"</f>
        <v>DUSP14</v>
      </c>
      <c r="B5133" t="s">
        <v>9</v>
      </c>
      <c r="C5133" t="s">
        <v>28</v>
      </c>
      <c r="D5133" t="s">
        <v>17</v>
      </c>
      <c r="E5133" t="s">
        <v>12</v>
      </c>
      <c r="F5133">
        <v>35849988</v>
      </c>
      <c r="G5133">
        <v>35850006</v>
      </c>
      <c r="H5133">
        <v>35849988</v>
      </c>
      <c r="I5133">
        <v>35850006</v>
      </c>
    </row>
    <row r="5134" spans="1:9" x14ac:dyDescent="0.2">
      <c r="A5134" s="1" t="str">
        <f>"DUSP14"</f>
        <v>DUSP14</v>
      </c>
      <c r="B5134" t="s">
        <v>13</v>
      </c>
      <c r="C5134" t="s">
        <v>28</v>
      </c>
      <c r="D5134" t="s">
        <v>17</v>
      </c>
      <c r="E5134" t="s">
        <v>12</v>
      </c>
      <c r="F5134">
        <v>35851633</v>
      </c>
      <c r="G5134">
        <v>35851667</v>
      </c>
      <c r="H5134">
        <v>35851633</v>
      </c>
      <c r="I5134">
        <v>35851667</v>
      </c>
    </row>
    <row r="5135" spans="1:9" x14ac:dyDescent="0.2">
      <c r="A5135" s="1" t="str">
        <f>"DUSP15"</f>
        <v>DUSP15</v>
      </c>
      <c r="B5135" t="s">
        <v>14</v>
      </c>
      <c r="C5135" t="s">
        <v>29</v>
      </c>
      <c r="D5135" t="s">
        <v>11</v>
      </c>
      <c r="E5135" t="s">
        <v>12</v>
      </c>
      <c r="F5135">
        <v>30458019</v>
      </c>
      <c r="G5135">
        <v>30458080</v>
      </c>
      <c r="H5135">
        <v>30458435</v>
      </c>
      <c r="I5135">
        <v>30458483</v>
      </c>
    </row>
    <row r="5136" spans="1:9" x14ac:dyDescent="0.2">
      <c r="A5136" s="1" t="str">
        <f>"DUSP16"</f>
        <v>DUSP16</v>
      </c>
      <c r="B5136" t="s">
        <v>14</v>
      </c>
      <c r="C5136" t="s">
        <v>16</v>
      </c>
      <c r="D5136" t="s">
        <v>11</v>
      </c>
      <c r="E5136" t="s">
        <v>12</v>
      </c>
      <c r="F5136">
        <v>12715789</v>
      </c>
      <c r="G5136">
        <v>12715806</v>
      </c>
      <c r="H5136">
        <v>12715540</v>
      </c>
      <c r="I5136">
        <v>12715580</v>
      </c>
    </row>
    <row r="5137" spans="1:9" x14ac:dyDescent="0.2">
      <c r="A5137" s="1" t="str">
        <f>"DUSP18"</f>
        <v>DUSP18</v>
      </c>
      <c r="B5137" t="s">
        <v>14</v>
      </c>
      <c r="C5137" t="s">
        <v>21</v>
      </c>
      <c r="D5137" t="s">
        <v>11</v>
      </c>
      <c r="E5137" t="s">
        <v>12</v>
      </c>
      <c r="F5137">
        <v>31063782</v>
      </c>
      <c r="G5137">
        <v>31063879</v>
      </c>
      <c r="H5137">
        <v>31063596</v>
      </c>
      <c r="I5137">
        <v>31063623</v>
      </c>
    </row>
    <row r="5138" spans="1:9" x14ac:dyDescent="0.2">
      <c r="A5138" s="1" t="str">
        <f>"DUSP19"</f>
        <v>DUSP19</v>
      </c>
      <c r="B5138" t="s">
        <v>14</v>
      </c>
      <c r="C5138" t="s">
        <v>26</v>
      </c>
      <c r="D5138" t="s">
        <v>17</v>
      </c>
      <c r="E5138" t="s">
        <v>12</v>
      </c>
      <c r="F5138">
        <v>183943464</v>
      </c>
      <c r="G5138">
        <v>183943498</v>
      </c>
      <c r="H5138">
        <v>183943499</v>
      </c>
      <c r="I5138">
        <v>183943530</v>
      </c>
    </row>
    <row r="5139" spans="1:9" x14ac:dyDescent="0.2">
      <c r="A5139" s="1" t="str">
        <f>"DUSP2"</f>
        <v>DUSP2</v>
      </c>
      <c r="B5139" t="s">
        <v>14</v>
      </c>
      <c r="C5139" t="s">
        <v>26</v>
      </c>
      <c r="D5139" t="s">
        <v>11</v>
      </c>
      <c r="E5139" t="s">
        <v>12</v>
      </c>
      <c r="F5139">
        <v>96811170</v>
      </c>
      <c r="G5139">
        <v>96811186</v>
      </c>
      <c r="H5139">
        <v>96811170</v>
      </c>
      <c r="I5139">
        <v>96811186</v>
      </c>
    </row>
    <row r="5140" spans="1:9" x14ac:dyDescent="0.2">
      <c r="A5140" s="1" t="str">
        <f>"DUSP21"</f>
        <v>DUSP21</v>
      </c>
      <c r="B5140" t="s">
        <v>14</v>
      </c>
      <c r="C5140" t="s">
        <v>37</v>
      </c>
      <c r="D5140" t="s">
        <v>17</v>
      </c>
      <c r="E5140" t="s">
        <v>12</v>
      </c>
      <c r="F5140">
        <v>44703261</v>
      </c>
      <c r="G5140">
        <v>44703273</v>
      </c>
      <c r="H5140">
        <v>44703261</v>
      </c>
      <c r="I5140">
        <v>44703273</v>
      </c>
    </row>
    <row r="5141" spans="1:9" x14ac:dyDescent="0.2">
      <c r="A5141" s="1" t="str">
        <f>"DUSP22"</f>
        <v>DUSP22</v>
      </c>
      <c r="B5141" t="s">
        <v>14</v>
      </c>
      <c r="C5141" t="s">
        <v>32</v>
      </c>
      <c r="D5141" t="s">
        <v>17</v>
      </c>
      <c r="E5141" t="s">
        <v>12</v>
      </c>
      <c r="F5141">
        <v>292459</v>
      </c>
      <c r="G5141">
        <v>292535</v>
      </c>
      <c r="H5141">
        <v>292051</v>
      </c>
      <c r="I5141">
        <v>292124</v>
      </c>
    </row>
    <row r="5142" spans="1:9" x14ac:dyDescent="0.2">
      <c r="A5142" s="1" t="str">
        <f>"DUSP23"</f>
        <v>DUSP23</v>
      </c>
      <c r="B5142" t="s">
        <v>14</v>
      </c>
      <c r="C5142" t="s">
        <v>19</v>
      </c>
      <c r="D5142" t="s">
        <v>17</v>
      </c>
      <c r="E5142" t="s">
        <v>12</v>
      </c>
      <c r="F5142">
        <v>159750720</v>
      </c>
      <c r="G5142">
        <v>159750774</v>
      </c>
      <c r="H5142">
        <v>159750776</v>
      </c>
      <c r="I5142">
        <v>159750808</v>
      </c>
    </row>
    <row r="5143" spans="1:9" x14ac:dyDescent="0.2">
      <c r="A5143" s="1" t="str">
        <f>"DUSP26"</f>
        <v>DUSP26</v>
      </c>
      <c r="B5143" t="s">
        <v>14</v>
      </c>
      <c r="C5143" t="s">
        <v>30</v>
      </c>
      <c r="D5143" t="s">
        <v>11</v>
      </c>
      <c r="E5143" t="s">
        <v>12</v>
      </c>
      <c r="F5143">
        <v>33457453</v>
      </c>
      <c r="G5143">
        <v>33457547</v>
      </c>
      <c r="H5143">
        <v>33457258</v>
      </c>
      <c r="I5143">
        <v>33457299</v>
      </c>
    </row>
    <row r="5144" spans="1:9" x14ac:dyDescent="0.2">
      <c r="A5144" s="1" t="str">
        <f>"DUSP27"</f>
        <v>DUSP27</v>
      </c>
      <c r="B5144" t="s">
        <v>14</v>
      </c>
      <c r="C5144" t="s">
        <v>19</v>
      </c>
      <c r="D5144" t="s">
        <v>17</v>
      </c>
      <c r="E5144" t="s">
        <v>12</v>
      </c>
      <c r="F5144">
        <v>167063287</v>
      </c>
      <c r="G5144">
        <v>167063325</v>
      </c>
      <c r="H5144">
        <v>167063338</v>
      </c>
      <c r="I5144">
        <v>167063351</v>
      </c>
    </row>
    <row r="5145" spans="1:9" x14ac:dyDescent="0.2">
      <c r="A5145" s="1" t="str">
        <f>"DUSP28"</f>
        <v>DUSP28</v>
      </c>
      <c r="B5145" t="s">
        <v>14</v>
      </c>
      <c r="C5145" t="s">
        <v>26</v>
      </c>
      <c r="D5145" t="s">
        <v>17</v>
      </c>
      <c r="E5145" t="s">
        <v>12</v>
      </c>
      <c r="F5145">
        <v>241499761</v>
      </c>
      <c r="G5145">
        <v>241499793</v>
      </c>
      <c r="H5145">
        <v>241499713</v>
      </c>
      <c r="I5145">
        <v>241499753</v>
      </c>
    </row>
    <row r="5146" spans="1:9" x14ac:dyDescent="0.2">
      <c r="A5146" s="1" t="str">
        <f>"DUSP3"</f>
        <v>DUSP3</v>
      </c>
      <c r="B5146" t="s">
        <v>14</v>
      </c>
      <c r="C5146" t="s">
        <v>28</v>
      </c>
      <c r="D5146" t="s">
        <v>11</v>
      </c>
      <c r="E5146" t="s">
        <v>12</v>
      </c>
      <c r="F5146">
        <v>41856305</v>
      </c>
      <c r="G5146">
        <v>41856363</v>
      </c>
      <c r="H5146">
        <v>41856284</v>
      </c>
      <c r="I5146">
        <v>41856297</v>
      </c>
    </row>
    <row r="5147" spans="1:9" x14ac:dyDescent="0.2">
      <c r="A5147" s="1" t="str">
        <f>"DUSP4"</f>
        <v>DUSP4</v>
      </c>
      <c r="B5147" t="s">
        <v>14</v>
      </c>
      <c r="C5147" t="s">
        <v>30</v>
      </c>
      <c r="D5147" t="s">
        <v>11</v>
      </c>
      <c r="E5147" t="s">
        <v>12</v>
      </c>
      <c r="F5147">
        <v>29208183</v>
      </c>
      <c r="G5147">
        <v>29208208</v>
      </c>
      <c r="H5147">
        <v>29208220</v>
      </c>
      <c r="I5147">
        <v>29208245</v>
      </c>
    </row>
    <row r="5148" spans="1:9" x14ac:dyDescent="0.2">
      <c r="A5148" s="1" t="str">
        <f>"DUSP5"</f>
        <v>DUSP5</v>
      </c>
      <c r="B5148" t="s">
        <v>14</v>
      </c>
      <c r="C5148" t="s">
        <v>15</v>
      </c>
      <c r="D5148" t="s">
        <v>17</v>
      </c>
      <c r="E5148" t="s">
        <v>12</v>
      </c>
      <c r="F5148">
        <v>112257656</v>
      </c>
      <c r="G5148">
        <v>112257671</v>
      </c>
      <c r="H5148">
        <v>112257619</v>
      </c>
      <c r="I5148">
        <v>112257634</v>
      </c>
    </row>
    <row r="5149" spans="1:9" x14ac:dyDescent="0.2">
      <c r="A5149" s="1" t="str">
        <f>"DUSP6"</f>
        <v>DUSP6</v>
      </c>
      <c r="B5149" t="s">
        <v>14</v>
      </c>
      <c r="C5149" t="s">
        <v>16</v>
      </c>
      <c r="D5149" t="s">
        <v>11</v>
      </c>
      <c r="E5149" t="s">
        <v>12</v>
      </c>
      <c r="F5149">
        <v>89746264</v>
      </c>
      <c r="G5149">
        <v>89746284</v>
      </c>
      <c r="H5149">
        <v>89746173</v>
      </c>
      <c r="I5149">
        <v>89746188</v>
      </c>
    </row>
    <row r="5150" spans="1:9" x14ac:dyDescent="0.2">
      <c r="A5150" s="1" t="str">
        <f>"DUSP7"</f>
        <v>DUSP7</v>
      </c>
      <c r="B5150" t="s">
        <v>9</v>
      </c>
      <c r="C5150" t="s">
        <v>22</v>
      </c>
      <c r="D5150" t="s">
        <v>11</v>
      </c>
      <c r="E5150" t="s">
        <v>12</v>
      </c>
      <c r="F5150">
        <v>52090569</v>
      </c>
      <c r="G5150">
        <v>52090593</v>
      </c>
      <c r="H5150">
        <v>52090569</v>
      </c>
      <c r="I5150">
        <v>52090593</v>
      </c>
    </row>
    <row r="5151" spans="1:9" x14ac:dyDescent="0.2">
      <c r="A5151" s="1" t="str">
        <f>"DUSP7"</f>
        <v>DUSP7</v>
      </c>
      <c r="B5151" t="s">
        <v>13</v>
      </c>
      <c r="C5151" t="s">
        <v>22</v>
      </c>
      <c r="D5151" t="s">
        <v>11</v>
      </c>
      <c r="E5151" t="s">
        <v>12</v>
      </c>
      <c r="F5151">
        <v>52084394</v>
      </c>
      <c r="G5151">
        <v>52084408</v>
      </c>
      <c r="H5151">
        <v>52084394</v>
      </c>
      <c r="I5151">
        <v>52084408</v>
      </c>
    </row>
    <row r="5152" spans="1:9" x14ac:dyDescent="0.2">
      <c r="A5152" s="1" t="str">
        <f>"DUSP8"</f>
        <v>DUSP8</v>
      </c>
      <c r="B5152" t="s">
        <v>14</v>
      </c>
      <c r="C5152" t="s">
        <v>27</v>
      </c>
      <c r="D5152" t="s">
        <v>11</v>
      </c>
      <c r="E5152" t="s">
        <v>12</v>
      </c>
      <c r="F5152">
        <v>1593491</v>
      </c>
      <c r="G5152">
        <v>1593527</v>
      </c>
      <c r="H5152">
        <v>1593464</v>
      </c>
      <c r="I5152">
        <v>1593483</v>
      </c>
    </row>
    <row r="5153" spans="1:9" x14ac:dyDescent="0.2">
      <c r="A5153" s="1" t="str">
        <f>"DUSP9"</f>
        <v>DUSP9</v>
      </c>
      <c r="B5153" t="s">
        <v>9</v>
      </c>
      <c r="C5153" t="s">
        <v>37</v>
      </c>
      <c r="D5153" t="s">
        <v>17</v>
      </c>
      <c r="E5153" t="s">
        <v>12</v>
      </c>
      <c r="F5153">
        <v>152912616</v>
      </c>
      <c r="G5153">
        <v>152912667</v>
      </c>
      <c r="H5153">
        <v>152912616</v>
      </c>
      <c r="I5153">
        <v>152912667</v>
      </c>
    </row>
    <row r="5154" spans="1:9" x14ac:dyDescent="0.2">
      <c r="A5154" s="1" t="str">
        <f>"DUSP9"</f>
        <v>DUSP9</v>
      </c>
      <c r="B5154" t="s">
        <v>13</v>
      </c>
      <c r="C5154" t="s">
        <v>37</v>
      </c>
      <c r="D5154" t="s">
        <v>17</v>
      </c>
      <c r="E5154" t="s">
        <v>12</v>
      </c>
      <c r="F5154">
        <v>152907882</v>
      </c>
      <c r="G5154">
        <v>152907906</v>
      </c>
      <c r="H5154">
        <v>152907882</v>
      </c>
      <c r="I5154">
        <v>152907906</v>
      </c>
    </row>
    <row r="5155" spans="1:9" x14ac:dyDescent="0.2">
      <c r="A5155" s="1" t="str">
        <f>"DUT"</f>
        <v>DUT</v>
      </c>
      <c r="B5155" t="s">
        <v>14</v>
      </c>
      <c r="C5155" t="s">
        <v>25</v>
      </c>
      <c r="D5155" t="s">
        <v>17</v>
      </c>
      <c r="E5155" t="s">
        <v>12</v>
      </c>
      <c r="F5155">
        <v>48624350</v>
      </c>
      <c r="G5155">
        <v>48624425</v>
      </c>
      <c r="H5155">
        <v>48623600</v>
      </c>
      <c r="I5155">
        <v>48623667</v>
      </c>
    </row>
    <row r="5156" spans="1:9" x14ac:dyDescent="0.2">
      <c r="A5156" s="1" t="str">
        <f>"DUX4"</f>
        <v>DUX4</v>
      </c>
      <c r="B5156" t="s">
        <v>361</v>
      </c>
      <c r="C5156" t="s">
        <v>23</v>
      </c>
      <c r="D5156" t="s">
        <v>17</v>
      </c>
      <c r="E5156" t="s">
        <v>20</v>
      </c>
      <c r="F5156">
        <v>191005566</v>
      </c>
      <c r="G5156">
        <v>191005566</v>
      </c>
      <c r="H5156">
        <v>191005566</v>
      </c>
      <c r="I5156">
        <v>191005566</v>
      </c>
    </row>
    <row r="5157" spans="1:9" x14ac:dyDescent="0.2">
      <c r="A5157" s="1" t="str">
        <f>"DUX4"</f>
        <v>DUX4</v>
      </c>
      <c r="B5157" t="s">
        <v>362</v>
      </c>
      <c r="C5157" t="s">
        <v>23</v>
      </c>
      <c r="D5157" t="s">
        <v>17</v>
      </c>
      <c r="E5157" t="s">
        <v>20</v>
      </c>
      <c r="F5157">
        <v>191005266</v>
      </c>
      <c r="G5157">
        <v>191005266</v>
      </c>
      <c r="H5157">
        <v>191005266</v>
      </c>
      <c r="I5157">
        <v>191005266</v>
      </c>
    </row>
    <row r="5158" spans="1:9" x14ac:dyDescent="0.2">
      <c r="A5158" s="1" t="str">
        <f>"DUX4L2"</f>
        <v>DUX4L2</v>
      </c>
      <c r="B5158" t="s">
        <v>363</v>
      </c>
      <c r="C5158" t="s">
        <v>23</v>
      </c>
      <c r="D5158" t="s">
        <v>17</v>
      </c>
      <c r="E5158" t="s">
        <v>20</v>
      </c>
      <c r="F5158">
        <v>191011859</v>
      </c>
      <c r="G5158">
        <v>191011859</v>
      </c>
      <c r="H5158">
        <v>191011859</v>
      </c>
      <c r="I5158">
        <v>191011859</v>
      </c>
    </row>
    <row r="5159" spans="1:9" x14ac:dyDescent="0.2">
      <c r="A5159" s="1" t="str">
        <f>"DUX4L2"</f>
        <v>DUX4L2</v>
      </c>
      <c r="B5159" t="s">
        <v>364</v>
      </c>
      <c r="C5159" t="s">
        <v>23</v>
      </c>
      <c r="D5159" t="s">
        <v>17</v>
      </c>
      <c r="E5159" t="s">
        <v>20</v>
      </c>
      <c r="F5159">
        <v>191012159</v>
      </c>
      <c r="G5159">
        <v>191012159</v>
      </c>
      <c r="H5159">
        <v>191012159</v>
      </c>
      <c r="I5159">
        <v>191012159</v>
      </c>
    </row>
    <row r="5160" spans="1:9" x14ac:dyDescent="0.2">
      <c r="A5160" s="1" t="str">
        <f>"DUX4L3"</f>
        <v>DUX4L3</v>
      </c>
      <c r="B5160" t="s">
        <v>365</v>
      </c>
      <c r="C5160" t="s">
        <v>23</v>
      </c>
      <c r="D5160" t="s">
        <v>17</v>
      </c>
      <c r="E5160" t="s">
        <v>20</v>
      </c>
      <c r="F5160">
        <v>191008559</v>
      </c>
      <c r="G5160">
        <v>191008559</v>
      </c>
      <c r="H5160">
        <v>191008559</v>
      </c>
      <c r="I5160">
        <v>191008559</v>
      </c>
    </row>
    <row r="5161" spans="1:9" x14ac:dyDescent="0.2">
      <c r="A5161" s="1" t="str">
        <f>"DUX4L3"</f>
        <v>DUX4L3</v>
      </c>
      <c r="B5161" t="s">
        <v>366</v>
      </c>
      <c r="C5161" t="s">
        <v>23</v>
      </c>
      <c r="D5161" t="s">
        <v>17</v>
      </c>
      <c r="E5161" t="s">
        <v>20</v>
      </c>
      <c r="F5161">
        <v>191008859</v>
      </c>
      <c r="G5161">
        <v>191008859</v>
      </c>
      <c r="H5161">
        <v>191008859</v>
      </c>
      <c r="I5161">
        <v>191008859</v>
      </c>
    </row>
    <row r="5162" spans="1:9" x14ac:dyDescent="0.2">
      <c r="A5162" s="1" t="str">
        <f>"DUX4L4"</f>
        <v>DUX4L4</v>
      </c>
      <c r="B5162" t="s">
        <v>367</v>
      </c>
      <c r="C5162" t="s">
        <v>23</v>
      </c>
      <c r="D5162" t="s">
        <v>17</v>
      </c>
      <c r="E5162" t="s">
        <v>20</v>
      </c>
      <c r="F5162">
        <v>191001978</v>
      </c>
      <c r="G5162">
        <v>191001978</v>
      </c>
      <c r="H5162">
        <v>191001978</v>
      </c>
      <c r="I5162">
        <v>191001978</v>
      </c>
    </row>
    <row r="5163" spans="1:9" x14ac:dyDescent="0.2">
      <c r="A5163" s="1" t="str">
        <f>"DUX4L4"</f>
        <v>DUX4L4</v>
      </c>
      <c r="B5163" t="s">
        <v>368</v>
      </c>
      <c r="C5163" t="s">
        <v>23</v>
      </c>
      <c r="D5163" t="s">
        <v>17</v>
      </c>
      <c r="E5163" t="s">
        <v>20</v>
      </c>
      <c r="F5163">
        <v>191002272</v>
      </c>
      <c r="G5163">
        <v>191002272</v>
      </c>
      <c r="H5163">
        <v>191002272</v>
      </c>
      <c r="I5163">
        <v>191002272</v>
      </c>
    </row>
    <row r="5164" spans="1:9" x14ac:dyDescent="0.2">
      <c r="A5164" s="1" t="str">
        <f>"DUX4L5"</f>
        <v>DUX4L5</v>
      </c>
      <c r="B5164" t="s">
        <v>369</v>
      </c>
      <c r="C5164" t="s">
        <v>23</v>
      </c>
      <c r="D5164" t="s">
        <v>17</v>
      </c>
      <c r="E5164" t="s">
        <v>20</v>
      </c>
      <c r="F5164">
        <v>190998672</v>
      </c>
      <c r="G5164">
        <v>190998672</v>
      </c>
      <c r="H5164">
        <v>190998672</v>
      </c>
      <c r="I5164">
        <v>190998672</v>
      </c>
    </row>
    <row r="5165" spans="1:9" x14ac:dyDescent="0.2">
      <c r="A5165" s="1" t="str">
        <f>"DUX4L5"</f>
        <v>DUX4L5</v>
      </c>
      <c r="B5165" t="s">
        <v>370</v>
      </c>
      <c r="C5165" t="s">
        <v>23</v>
      </c>
      <c r="D5165" t="s">
        <v>17</v>
      </c>
      <c r="E5165" t="s">
        <v>20</v>
      </c>
      <c r="F5165">
        <v>190998972</v>
      </c>
      <c r="G5165">
        <v>190998972</v>
      </c>
      <c r="H5165">
        <v>190998972</v>
      </c>
      <c r="I5165">
        <v>190998972</v>
      </c>
    </row>
    <row r="5166" spans="1:9" x14ac:dyDescent="0.2">
      <c r="A5166" s="1" t="str">
        <f>"DUX4L6"</f>
        <v>DUX4L6</v>
      </c>
      <c r="B5166" t="s">
        <v>371</v>
      </c>
      <c r="C5166" t="s">
        <v>23</v>
      </c>
      <c r="D5166" t="s">
        <v>17</v>
      </c>
      <c r="E5166" t="s">
        <v>20</v>
      </c>
      <c r="F5166">
        <v>190995679</v>
      </c>
      <c r="G5166">
        <v>190995679</v>
      </c>
      <c r="H5166">
        <v>190995679</v>
      </c>
      <c r="I5166">
        <v>190995679</v>
      </c>
    </row>
    <row r="5167" spans="1:9" x14ac:dyDescent="0.2">
      <c r="A5167" s="1" t="str">
        <f>"DUX4L6"</f>
        <v>DUX4L6</v>
      </c>
      <c r="B5167" t="s">
        <v>372</v>
      </c>
      <c r="C5167" t="s">
        <v>23</v>
      </c>
      <c r="D5167" t="s">
        <v>17</v>
      </c>
      <c r="E5167" t="s">
        <v>20</v>
      </c>
      <c r="F5167">
        <v>190995379</v>
      </c>
      <c r="G5167">
        <v>190995379</v>
      </c>
      <c r="H5167">
        <v>190995379</v>
      </c>
      <c r="I5167">
        <v>190995379</v>
      </c>
    </row>
    <row r="5168" spans="1:9" x14ac:dyDescent="0.2">
      <c r="A5168" s="1" t="str">
        <f>"DUX4L7"</f>
        <v>DUX4L7</v>
      </c>
      <c r="B5168" t="s">
        <v>373</v>
      </c>
      <c r="C5168" t="s">
        <v>23</v>
      </c>
      <c r="D5168" t="s">
        <v>17</v>
      </c>
      <c r="E5168" t="s">
        <v>20</v>
      </c>
      <c r="F5168">
        <v>190992086</v>
      </c>
      <c r="G5168">
        <v>190992086</v>
      </c>
      <c r="H5168">
        <v>190992086</v>
      </c>
      <c r="I5168">
        <v>190992086</v>
      </c>
    </row>
    <row r="5169" spans="1:9" x14ac:dyDescent="0.2">
      <c r="A5169" s="1" t="str">
        <f>"DUX4L7"</f>
        <v>DUX4L7</v>
      </c>
      <c r="B5169" t="s">
        <v>374</v>
      </c>
      <c r="C5169" t="s">
        <v>23</v>
      </c>
      <c r="D5169" t="s">
        <v>17</v>
      </c>
      <c r="E5169" t="s">
        <v>20</v>
      </c>
      <c r="F5169">
        <v>190992386</v>
      </c>
      <c r="G5169">
        <v>190992386</v>
      </c>
      <c r="H5169">
        <v>190992386</v>
      </c>
      <c r="I5169">
        <v>190992386</v>
      </c>
    </row>
    <row r="5170" spans="1:9" x14ac:dyDescent="0.2">
      <c r="A5170" s="1" t="str">
        <f>"DUXA"</f>
        <v>DUXA</v>
      </c>
      <c r="B5170" t="s">
        <v>375</v>
      </c>
      <c r="C5170" t="s">
        <v>10</v>
      </c>
      <c r="D5170" t="s">
        <v>11</v>
      </c>
      <c r="E5170" t="s">
        <v>20</v>
      </c>
      <c r="F5170">
        <v>57678810</v>
      </c>
      <c r="G5170">
        <v>57678810</v>
      </c>
      <c r="H5170">
        <v>57678810</v>
      </c>
      <c r="I5170">
        <v>57678810</v>
      </c>
    </row>
    <row r="5171" spans="1:9" x14ac:dyDescent="0.2">
      <c r="A5171" s="1" t="str">
        <f>"DVL1"</f>
        <v>DVL1</v>
      </c>
      <c r="B5171" t="s">
        <v>14</v>
      </c>
      <c r="C5171" t="s">
        <v>19</v>
      </c>
      <c r="D5171" t="s">
        <v>11</v>
      </c>
      <c r="E5171" t="s">
        <v>12</v>
      </c>
      <c r="F5171">
        <v>1284748</v>
      </c>
      <c r="G5171">
        <v>1284809</v>
      </c>
      <c r="H5171">
        <v>1284493</v>
      </c>
      <c r="I5171">
        <v>1284570</v>
      </c>
    </row>
    <row r="5172" spans="1:9" x14ac:dyDescent="0.2">
      <c r="A5172" s="1" t="str">
        <f>"DVL2"</f>
        <v>DVL2</v>
      </c>
      <c r="B5172" t="s">
        <v>14</v>
      </c>
      <c r="C5172" t="s">
        <v>28</v>
      </c>
      <c r="D5172" t="s">
        <v>11</v>
      </c>
      <c r="E5172" t="s">
        <v>12</v>
      </c>
      <c r="F5172">
        <v>7137786</v>
      </c>
      <c r="G5172">
        <v>7137855</v>
      </c>
      <c r="H5172">
        <v>7137786</v>
      </c>
      <c r="I5172">
        <v>7137855</v>
      </c>
    </row>
    <row r="5173" spans="1:9" x14ac:dyDescent="0.2">
      <c r="A5173" s="1" t="str">
        <f>"DVL3"</f>
        <v>DVL3</v>
      </c>
      <c r="B5173" t="s">
        <v>14</v>
      </c>
      <c r="C5173" t="s">
        <v>22</v>
      </c>
      <c r="D5173" t="s">
        <v>17</v>
      </c>
      <c r="E5173" t="s">
        <v>12</v>
      </c>
      <c r="F5173">
        <v>183873098</v>
      </c>
      <c r="G5173">
        <v>183873230</v>
      </c>
      <c r="H5173">
        <v>183873240</v>
      </c>
      <c r="I5173">
        <v>183873369</v>
      </c>
    </row>
    <row r="5174" spans="1:9" x14ac:dyDescent="0.2">
      <c r="A5174" s="1" t="str">
        <f>"DXO"</f>
        <v>DXO</v>
      </c>
      <c r="B5174" t="s">
        <v>14</v>
      </c>
      <c r="C5174" t="s">
        <v>32</v>
      </c>
      <c r="D5174" t="s">
        <v>11</v>
      </c>
      <c r="E5174" t="s">
        <v>12</v>
      </c>
      <c r="F5174">
        <v>31939734</v>
      </c>
      <c r="G5174">
        <v>31939789</v>
      </c>
      <c r="H5174">
        <v>31939975</v>
      </c>
      <c r="I5174">
        <v>31940063</v>
      </c>
    </row>
    <row r="5175" spans="1:9" x14ac:dyDescent="0.2">
      <c r="A5175" s="1" t="str">
        <f>"DYDC1"</f>
        <v>DYDC1</v>
      </c>
      <c r="B5175" t="s">
        <v>14</v>
      </c>
      <c r="C5175" t="s">
        <v>15</v>
      </c>
      <c r="D5175" t="s">
        <v>11</v>
      </c>
      <c r="E5175" t="s">
        <v>12</v>
      </c>
      <c r="F5175">
        <v>82116505</v>
      </c>
      <c r="G5175">
        <v>82116516</v>
      </c>
      <c r="H5175">
        <v>82116943</v>
      </c>
      <c r="I5175">
        <v>82116988</v>
      </c>
    </row>
    <row r="5176" spans="1:9" x14ac:dyDescent="0.2">
      <c r="A5176" s="1" t="str">
        <f>"DYDC2"</f>
        <v>DYDC2</v>
      </c>
      <c r="B5176" t="s">
        <v>14</v>
      </c>
      <c r="C5176" t="s">
        <v>15</v>
      </c>
      <c r="D5176" t="s">
        <v>17</v>
      </c>
      <c r="E5176" t="s">
        <v>12</v>
      </c>
      <c r="F5176">
        <v>82116531</v>
      </c>
      <c r="G5176">
        <v>82116550</v>
      </c>
      <c r="H5176">
        <v>82116507</v>
      </c>
      <c r="I5176">
        <v>82116528</v>
      </c>
    </row>
    <row r="5177" spans="1:9" x14ac:dyDescent="0.2">
      <c r="A5177" s="1" t="str">
        <f>"DYM"</f>
        <v>DYM</v>
      </c>
      <c r="B5177" t="s">
        <v>14</v>
      </c>
      <c r="C5177" t="s">
        <v>43</v>
      </c>
      <c r="D5177" t="s">
        <v>11</v>
      </c>
      <c r="E5177" t="s">
        <v>12</v>
      </c>
      <c r="F5177">
        <v>46987000</v>
      </c>
      <c r="G5177">
        <v>46987108</v>
      </c>
      <c r="H5177">
        <v>46987000</v>
      </c>
      <c r="I5177">
        <v>46987108</v>
      </c>
    </row>
    <row r="5178" spans="1:9" x14ac:dyDescent="0.2">
      <c r="A5178" s="1" t="str">
        <f>"DYNAP"</f>
        <v>DYNAP</v>
      </c>
      <c r="B5178" t="s">
        <v>14</v>
      </c>
      <c r="C5178" t="s">
        <v>43</v>
      </c>
      <c r="D5178" t="s">
        <v>17</v>
      </c>
      <c r="E5178" t="s">
        <v>12</v>
      </c>
      <c r="F5178">
        <v>52258473</v>
      </c>
      <c r="G5178">
        <v>52258477</v>
      </c>
      <c r="H5178">
        <v>52258377</v>
      </c>
      <c r="I5178">
        <v>52258388</v>
      </c>
    </row>
    <row r="5179" spans="1:9" x14ac:dyDescent="0.2">
      <c r="A5179" s="1" t="str">
        <f>"DYNC1H1"</f>
        <v>DYNC1H1</v>
      </c>
      <c r="B5179" t="s">
        <v>14</v>
      </c>
      <c r="C5179" t="s">
        <v>41</v>
      </c>
      <c r="D5179" t="s">
        <v>17</v>
      </c>
      <c r="E5179" t="s">
        <v>12</v>
      </c>
      <c r="F5179">
        <v>102430901</v>
      </c>
      <c r="G5179">
        <v>102430916</v>
      </c>
      <c r="H5179">
        <v>102430930</v>
      </c>
      <c r="I5179">
        <v>102430969</v>
      </c>
    </row>
    <row r="5180" spans="1:9" x14ac:dyDescent="0.2">
      <c r="A5180" s="1" t="str">
        <f>"DYNC1I1"</f>
        <v>DYNC1I1</v>
      </c>
      <c r="B5180" t="s">
        <v>14</v>
      </c>
      <c r="C5180" t="s">
        <v>33</v>
      </c>
      <c r="D5180" t="s">
        <v>17</v>
      </c>
      <c r="E5180" t="s">
        <v>12</v>
      </c>
      <c r="F5180">
        <v>95401877</v>
      </c>
      <c r="G5180">
        <v>95401948</v>
      </c>
      <c r="H5180">
        <v>95401851</v>
      </c>
      <c r="I5180">
        <v>95401876</v>
      </c>
    </row>
    <row r="5181" spans="1:9" x14ac:dyDescent="0.2">
      <c r="A5181" s="1" t="str">
        <f>"DYNC1I2"</f>
        <v>DYNC1I2</v>
      </c>
      <c r="B5181" t="s">
        <v>14</v>
      </c>
      <c r="C5181" t="s">
        <v>26</v>
      </c>
      <c r="D5181" t="s">
        <v>17</v>
      </c>
      <c r="E5181" t="s">
        <v>12</v>
      </c>
      <c r="F5181">
        <v>172544230</v>
      </c>
      <c r="G5181">
        <v>172544292</v>
      </c>
      <c r="H5181">
        <v>172543967</v>
      </c>
      <c r="I5181">
        <v>172544004</v>
      </c>
    </row>
    <row r="5182" spans="1:9" x14ac:dyDescent="0.2">
      <c r="A5182" s="1" t="str">
        <f>"DYNC1LI1"</f>
        <v>DYNC1LI1</v>
      </c>
      <c r="B5182" t="s">
        <v>14</v>
      </c>
      <c r="C5182" t="s">
        <v>22</v>
      </c>
      <c r="D5182" t="s">
        <v>11</v>
      </c>
      <c r="E5182" t="s">
        <v>12</v>
      </c>
      <c r="F5182">
        <v>32612263</v>
      </c>
      <c r="G5182">
        <v>32612356</v>
      </c>
      <c r="H5182">
        <v>32612378</v>
      </c>
      <c r="I5182">
        <v>32612389</v>
      </c>
    </row>
    <row r="5183" spans="1:9" x14ac:dyDescent="0.2">
      <c r="A5183" s="1" t="str">
        <f>"DYNC1LI2"</f>
        <v>DYNC1LI2</v>
      </c>
      <c r="B5183" t="s">
        <v>14</v>
      </c>
      <c r="C5183" t="s">
        <v>31</v>
      </c>
      <c r="D5183" t="s">
        <v>11</v>
      </c>
      <c r="E5183" t="s">
        <v>12</v>
      </c>
      <c r="F5183">
        <v>66785497</v>
      </c>
      <c r="G5183">
        <v>66785529</v>
      </c>
      <c r="H5183">
        <v>66785699</v>
      </c>
      <c r="I5183">
        <v>66785759</v>
      </c>
    </row>
    <row r="5184" spans="1:9" x14ac:dyDescent="0.2">
      <c r="A5184" s="1" t="str">
        <f>"DYNC2H1"</f>
        <v>DYNC2H1</v>
      </c>
      <c r="B5184" t="s">
        <v>14</v>
      </c>
      <c r="C5184" t="s">
        <v>27</v>
      </c>
      <c r="D5184" t="s">
        <v>17</v>
      </c>
      <c r="E5184" t="s">
        <v>12</v>
      </c>
      <c r="F5184">
        <v>102980255</v>
      </c>
      <c r="G5184">
        <v>102980304</v>
      </c>
      <c r="H5184">
        <v>102980126</v>
      </c>
      <c r="I5184">
        <v>102980199</v>
      </c>
    </row>
    <row r="5185" spans="1:9" x14ac:dyDescent="0.2">
      <c r="A5185" s="1" t="str">
        <f>"DYNC2LI1"</f>
        <v>DYNC2LI1</v>
      </c>
      <c r="B5185" t="s">
        <v>14</v>
      </c>
      <c r="C5185" t="s">
        <v>26</v>
      </c>
      <c r="D5185" t="s">
        <v>17</v>
      </c>
      <c r="E5185" t="s">
        <v>12</v>
      </c>
      <c r="F5185">
        <v>44001172</v>
      </c>
      <c r="G5185">
        <v>44001230</v>
      </c>
      <c r="H5185">
        <v>44001231</v>
      </c>
      <c r="I5185">
        <v>44001242</v>
      </c>
    </row>
    <row r="5186" spans="1:9" x14ac:dyDescent="0.2">
      <c r="A5186" s="1" t="str">
        <f>"DYNLL1"</f>
        <v>DYNLL1</v>
      </c>
      <c r="B5186" t="s">
        <v>14</v>
      </c>
      <c r="C5186" t="s">
        <v>16</v>
      </c>
      <c r="D5186" t="s">
        <v>17</v>
      </c>
      <c r="E5186" t="s">
        <v>12</v>
      </c>
      <c r="F5186">
        <v>120933905</v>
      </c>
      <c r="G5186">
        <v>120933923</v>
      </c>
      <c r="H5186">
        <v>120933878</v>
      </c>
      <c r="I5186">
        <v>120933899</v>
      </c>
    </row>
    <row r="5187" spans="1:9" x14ac:dyDescent="0.2">
      <c r="A5187" s="1" t="str">
        <f>"DYNLL2"</f>
        <v>DYNLL2</v>
      </c>
      <c r="B5187" t="s">
        <v>14</v>
      </c>
      <c r="C5187" t="s">
        <v>28</v>
      </c>
      <c r="D5187" t="s">
        <v>17</v>
      </c>
      <c r="E5187" t="s">
        <v>12</v>
      </c>
      <c r="F5187">
        <v>56160768</v>
      </c>
      <c r="G5187">
        <v>56160786</v>
      </c>
      <c r="H5187">
        <v>56160994</v>
      </c>
      <c r="I5187">
        <v>56161006</v>
      </c>
    </row>
    <row r="5188" spans="1:9" x14ac:dyDescent="0.2">
      <c r="A5188" s="1" t="str">
        <f>"DYNLRB1"</f>
        <v>DYNLRB1</v>
      </c>
      <c r="B5188" t="s">
        <v>9</v>
      </c>
      <c r="C5188" t="s">
        <v>29</v>
      </c>
      <c r="D5188" t="s">
        <v>17</v>
      </c>
      <c r="E5188" t="s">
        <v>12</v>
      </c>
      <c r="F5188">
        <v>33104199</v>
      </c>
      <c r="G5188">
        <v>33104234</v>
      </c>
      <c r="H5188">
        <v>33104199</v>
      </c>
      <c r="I5188">
        <v>33104234</v>
      </c>
    </row>
    <row r="5189" spans="1:9" x14ac:dyDescent="0.2">
      <c r="A5189" s="1" t="str">
        <f>"DYNLRB1"</f>
        <v>DYNLRB1</v>
      </c>
      <c r="B5189" t="s">
        <v>13</v>
      </c>
      <c r="C5189" t="s">
        <v>29</v>
      </c>
      <c r="D5189" t="s">
        <v>17</v>
      </c>
      <c r="E5189" t="s">
        <v>12</v>
      </c>
      <c r="F5189">
        <v>33114038</v>
      </c>
      <c r="G5189">
        <v>33114096</v>
      </c>
      <c r="H5189">
        <v>33114038</v>
      </c>
      <c r="I5189">
        <v>33114096</v>
      </c>
    </row>
    <row r="5190" spans="1:9" x14ac:dyDescent="0.2">
      <c r="A5190" s="1" t="str">
        <f>"DYNLRB2"</f>
        <v>DYNLRB2</v>
      </c>
      <c r="B5190" t="s">
        <v>14</v>
      </c>
      <c r="C5190" t="s">
        <v>31</v>
      </c>
      <c r="D5190" t="s">
        <v>17</v>
      </c>
      <c r="E5190" t="s">
        <v>12</v>
      </c>
      <c r="F5190">
        <v>80574877</v>
      </c>
      <c r="G5190">
        <v>80574927</v>
      </c>
      <c r="H5190">
        <v>80574943</v>
      </c>
      <c r="I5190">
        <v>80574957</v>
      </c>
    </row>
    <row r="5191" spans="1:9" x14ac:dyDescent="0.2">
      <c r="A5191" s="1" t="str">
        <f>"DYNLT1"</f>
        <v>DYNLT1</v>
      </c>
      <c r="B5191" t="s">
        <v>14</v>
      </c>
      <c r="C5191" t="s">
        <v>32</v>
      </c>
      <c r="D5191" t="s">
        <v>11</v>
      </c>
      <c r="E5191" t="s">
        <v>12</v>
      </c>
      <c r="F5191">
        <v>159065741</v>
      </c>
      <c r="G5191">
        <v>159065795</v>
      </c>
      <c r="H5191">
        <v>159065731</v>
      </c>
      <c r="I5191">
        <v>159065738</v>
      </c>
    </row>
    <row r="5192" spans="1:9" x14ac:dyDescent="0.2">
      <c r="A5192" s="1" t="str">
        <f>"DYNLT3"</f>
        <v>DYNLT3</v>
      </c>
      <c r="B5192" t="s">
        <v>14</v>
      </c>
      <c r="C5192" t="s">
        <v>37</v>
      </c>
      <c r="D5192" t="s">
        <v>11</v>
      </c>
      <c r="E5192" t="s">
        <v>12</v>
      </c>
      <c r="F5192">
        <v>37706772</v>
      </c>
      <c r="G5192">
        <v>37706805</v>
      </c>
      <c r="H5192">
        <v>37706815</v>
      </c>
      <c r="I5192">
        <v>37706831</v>
      </c>
    </row>
    <row r="5193" spans="1:9" x14ac:dyDescent="0.2">
      <c r="A5193" s="1" t="str">
        <f>"DYRK1A"</f>
        <v>DYRK1A</v>
      </c>
      <c r="B5193" t="s">
        <v>376</v>
      </c>
      <c r="C5193" t="s">
        <v>42</v>
      </c>
      <c r="D5193" t="s">
        <v>17</v>
      </c>
      <c r="E5193" t="s">
        <v>75</v>
      </c>
      <c r="F5193">
        <v>38792687</v>
      </c>
      <c r="G5193">
        <v>38792689</v>
      </c>
      <c r="H5193">
        <v>38792687</v>
      </c>
      <c r="I5193">
        <v>38792689</v>
      </c>
    </row>
    <row r="5194" spans="1:9" x14ac:dyDescent="0.2">
      <c r="A5194" s="1" t="str">
        <f>"DYRK1B"</f>
        <v>DYRK1B</v>
      </c>
      <c r="B5194" t="s">
        <v>14</v>
      </c>
      <c r="C5194" t="s">
        <v>10</v>
      </c>
      <c r="D5194" t="s">
        <v>11</v>
      </c>
      <c r="E5194" t="s">
        <v>12</v>
      </c>
      <c r="F5194">
        <v>40324767</v>
      </c>
      <c r="G5194">
        <v>40324816</v>
      </c>
      <c r="H5194">
        <v>40324740</v>
      </c>
      <c r="I5194">
        <v>40324751</v>
      </c>
    </row>
    <row r="5195" spans="1:9" x14ac:dyDescent="0.2">
      <c r="A5195" s="1" t="str">
        <f>"DYRK2"</f>
        <v>DYRK2</v>
      </c>
      <c r="B5195" t="s">
        <v>14</v>
      </c>
      <c r="C5195" t="s">
        <v>16</v>
      </c>
      <c r="D5195" t="s">
        <v>17</v>
      </c>
      <c r="E5195" t="s">
        <v>12</v>
      </c>
      <c r="F5195">
        <v>68042517</v>
      </c>
      <c r="G5195">
        <v>68042583</v>
      </c>
      <c r="H5195">
        <v>68042495</v>
      </c>
      <c r="I5195">
        <v>68042508</v>
      </c>
    </row>
    <row r="5196" spans="1:9" x14ac:dyDescent="0.2">
      <c r="A5196" s="1" t="str">
        <f>"DYRK3"</f>
        <v>DYRK3</v>
      </c>
      <c r="B5196" t="s">
        <v>14</v>
      </c>
      <c r="C5196" t="s">
        <v>19</v>
      </c>
      <c r="D5196" t="s">
        <v>17</v>
      </c>
      <c r="E5196" t="s">
        <v>12</v>
      </c>
      <c r="F5196">
        <v>206808868</v>
      </c>
      <c r="G5196">
        <v>206808911</v>
      </c>
      <c r="H5196">
        <v>206808918</v>
      </c>
      <c r="I5196">
        <v>206808931</v>
      </c>
    </row>
    <row r="5197" spans="1:9" x14ac:dyDescent="0.2">
      <c r="A5197" s="1" t="str">
        <f>"DYRK4"</f>
        <v>DYRK4</v>
      </c>
      <c r="B5197" t="s">
        <v>14</v>
      </c>
      <c r="C5197" t="s">
        <v>16</v>
      </c>
      <c r="D5197" t="s">
        <v>17</v>
      </c>
      <c r="E5197" t="s">
        <v>12</v>
      </c>
      <c r="F5197">
        <v>4714050</v>
      </c>
      <c r="G5197">
        <v>4714139</v>
      </c>
      <c r="H5197">
        <v>4714050</v>
      </c>
      <c r="I5197">
        <v>4714139</v>
      </c>
    </row>
    <row r="5198" spans="1:9" x14ac:dyDescent="0.2">
      <c r="A5198" s="1" t="str">
        <f>"DYSF"</f>
        <v>DYSF</v>
      </c>
      <c r="B5198" t="s">
        <v>9</v>
      </c>
      <c r="C5198" t="s">
        <v>26</v>
      </c>
      <c r="D5198" t="s">
        <v>17</v>
      </c>
      <c r="E5198" t="s">
        <v>12</v>
      </c>
      <c r="F5198">
        <v>71693812</v>
      </c>
      <c r="G5198">
        <v>71693838</v>
      </c>
      <c r="H5198">
        <v>71693812</v>
      </c>
      <c r="I5198">
        <v>71693838</v>
      </c>
    </row>
    <row r="5199" spans="1:9" x14ac:dyDescent="0.2">
      <c r="A5199" s="1" t="str">
        <f>"DYSF"</f>
        <v>DYSF</v>
      </c>
      <c r="B5199" t="s">
        <v>13</v>
      </c>
      <c r="C5199" t="s">
        <v>26</v>
      </c>
      <c r="D5199" t="s">
        <v>17</v>
      </c>
      <c r="E5199" t="s">
        <v>12</v>
      </c>
      <c r="F5199">
        <v>71680668</v>
      </c>
      <c r="G5199">
        <v>71680759</v>
      </c>
      <c r="H5199">
        <v>71680668</v>
      </c>
      <c r="I5199">
        <v>71680759</v>
      </c>
    </row>
    <row r="5200" spans="1:9" x14ac:dyDescent="0.2">
      <c r="A5200" s="1" t="str">
        <f>"DYTN"</f>
        <v>DYTN</v>
      </c>
      <c r="B5200" t="s">
        <v>377</v>
      </c>
      <c r="C5200" t="s">
        <v>26</v>
      </c>
      <c r="D5200" t="s">
        <v>11</v>
      </c>
      <c r="E5200" t="s">
        <v>20</v>
      </c>
      <c r="F5200">
        <v>207583119</v>
      </c>
      <c r="G5200">
        <v>207583119</v>
      </c>
      <c r="H5200">
        <v>207583119</v>
      </c>
      <c r="I5200">
        <v>207583119</v>
      </c>
    </row>
    <row r="5201" spans="1:9" x14ac:dyDescent="0.2">
      <c r="A5201" s="1" t="str">
        <f>"DYX1C1"</f>
        <v>DYX1C1</v>
      </c>
      <c r="B5201" t="s">
        <v>378</v>
      </c>
      <c r="C5201" t="s">
        <v>25</v>
      </c>
      <c r="D5201" t="s">
        <v>11</v>
      </c>
      <c r="E5201" t="s">
        <v>20</v>
      </c>
      <c r="F5201">
        <v>55800431</v>
      </c>
      <c r="G5201">
        <v>55800431</v>
      </c>
      <c r="H5201">
        <v>55800431</v>
      </c>
      <c r="I5201">
        <v>55800431</v>
      </c>
    </row>
    <row r="5202" spans="1:9" x14ac:dyDescent="0.2">
      <c r="A5202" s="1" t="str">
        <f>"DZANK1"</f>
        <v>DZANK1</v>
      </c>
      <c r="B5202" t="s">
        <v>14</v>
      </c>
      <c r="C5202" t="s">
        <v>29</v>
      </c>
      <c r="D5202" t="s">
        <v>11</v>
      </c>
      <c r="E5202" t="s">
        <v>12</v>
      </c>
      <c r="F5202">
        <v>18447667</v>
      </c>
      <c r="G5202">
        <v>18447700</v>
      </c>
      <c r="H5202">
        <v>18447641</v>
      </c>
      <c r="I5202">
        <v>18447658</v>
      </c>
    </row>
    <row r="5203" spans="1:9" x14ac:dyDescent="0.2">
      <c r="A5203" s="1" t="str">
        <f>"DZIP1"</f>
        <v>DZIP1</v>
      </c>
      <c r="B5203" t="s">
        <v>14</v>
      </c>
      <c r="C5203" t="s">
        <v>39</v>
      </c>
      <c r="D5203" t="s">
        <v>11</v>
      </c>
      <c r="E5203" t="s">
        <v>12</v>
      </c>
      <c r="F5203">
        <v>96296952</v>
      </c>
      <c r="G5203">
        <v>96296968</v>
      </c>
      <c r="H5203">
        <v>96296815</v>
      </c>
      <c r="I5203">
        <v>96296854</v>
      </c>
    </row>
    <row r="5204" spans="1:9" x14ac:dyDescent="0.2">
      <c r="A5204" s="1" t="str">
        <f>"DZIP1L"</f>
        <v>DZIP1L</v>
      </c>
      <c r="B5204" t="s">
        <v>14</v>
      </c>
      <c r="C5204" t="s">
        <v>22</v>
      </c>
      <c r="D5204" t="s">
        <v>11</v>
      </c>
      <c r="E5204" t="s">
        <v>12</v>
      </c>
      <c r="F5204">
        <v>137834436</v>
      </c>
      <c r="G5204">
        <v>137834489</v>
      </c>
      <c r="H5204">
        <v>137834631</v>
      </c>
      <c r="I5204">
        <v>137834666</v>
      </c>
    </row>
    <row r="5205" spans="1:9" x14ac:dyDescent="0.2">
      <c r="A5205" s="1" t="str">
        <f>"DZIP3"</f>
        <v>DZIP3</v>
      </c>
      <c r="B5205" t="s">
        <v>14</v>
      </c>
      <c r="C5205" t="s">
        <v>22</v>
      </c>
      <c r="D5205" t="s">
        <v>17</v>
      </c>
      <c r="E5205" t="s">
        <v>12</v>
      </c>
      <c r="F5205">
        <v>108308559</v>
      </c>
      <c r="G5205">
        <v>108308584</v>
      </c>
      <c r="H5205">
        <v>108308331</v>
      </c>
      <c r="I5205">
        <v>108308389</v>
      </c>
    </row>
    <row r="5206" spans="1:9" x14ac:dyDescent="0.2">
      <c r="A5206" s="1" t="str">
        <f>"E2F1"</f>
        <v>E2F1</v>
      </c>
      <c r="B5206" t="s">
        <v>14</v>
      </c>
      <c r="C5206" t="s">
        <v>29</v>
      </c>
      <c r="D5206" t="s">
        <v>11</v>
      </c>
      <c r="E5206" t="s">
        <v>12</v>
      </c>
      <c r="F5206">
        <v>32274179</v>
      </c>
      <c r="G5206">
        <v>32274213</v>
      </c>
      <c r="H5206">
        <v>32274150</v>
      </c>
      <c r="I5206">
        <v>32274166</v>
      </c>
    </row>
    <row r="5207" spans="1:9" x14ac:dyDescent="0.2">
      <c r="A5207" s="1" t="str">
        <f>"E2F2"</f>
        <v>E2F2</v>
      </c>
      <c r="B5207" t="s">
        <v>14</v>
      </c>
      <c r="C5207" t="s">
        <v>19</v>
      </c>
      <c r="D5207" t="s">
        <v>11</v>
      </c>
      <c r="E5207" t="s">
        <v>12</v>
      </c>
      <c r="F5207">
        <v>23857698</v>
      </c>
      <c r="G5207">
        <v>23857733</v>
      </c>
      <c r="H5207">
        <v>23857698</v>
      </c>
      <c r="I5207">
        <v>23857733</v>
      </c>
    </row>
    <row r="5208" spans="1:9" x14ac:dyDescent="0.2">
      <c r="A5208" s="1" t="str">
        <f>"E2F3"</f>
        <v>E2F3</v>
      </c>
      <c r="B5208" t="s">
        <v>9</v>
      </c>
      <c r="C5208" t="s">
        <v>32</v>
      </c>
      <c r="D5208" t="s">
        <v>17</v>
      </c>
      <c r="E5208" t="s">
        <v>12</v>
      </c>
      <c r="F5208">
        <v>20402102</v>
      </c>
      <c r="G5208">
        <v>20402152</v>
      </c>
      <c r="H5208">
        <v>20402102</v>
      </c>
      <c r="I5208">
        <v>20402152</v>
      </c>
    </row>
    <row r="5209" spans="1:9" x14ac:dyDescent="0.2">
      <c r="A5209" s="1" t="str">
        <f>"E2F3"</f>
        <v>E2F3</v>
      </c>
      <c r="B5209" t="s">
        <v>13</v>
      </c>
      <c r="C5209" t="s">
        <v>32</v>
      </c>
      <c r="D5209" t="s">
        <v>17</v>
      </c>
      <c r="E5209" t="s">
        <v>12</v>
      </c>
      <c r="F5209">
        <v>20403826</v>
      </c>
      <c r="G5209">
        <v>20403886</v>
      </c>
      <c r="H5209">
        <v>20403826</v>
      </c>
      <c r="I5209">
        <v>20403886</v>
      </c>
    </row>
    <row r="5210" spans="1:9" x14ac:dyDescent="0.2">
      <c r="A5210" s="1" t="str">
        <f>"E2F4"</f>
        <v>E2F4</v>
      </c>
      <c r="B5210" t="s">
        <v>14</v>
      </c>
      <c r="C5210" t="s">
        <v>31</v>
      </c>
      <c r="D5210" t="s">
        <v>17</v>
      </c>
      <c r="E5210" t="s">
        <v>12</v>
      </c>
      <c r="F5210">
        <v>67226019</v>
      </c>
      <c r="G5210">
        <v>67226127</v>
      </c>
      <c r="H5210">
        <v>67226019</v>
      </c>
      <c r="I5210">
        <v>67226127</v>
      </c>
    </row>
    <row r="5211" spans="1:9" x14ac:dyDescent="0.2">
      <c r="A5211" s="1" t="str">
        <f>"E2F5"</f>
        <v>E2F5</v>
      </c>
      <c r="B5211" t="s">
        <v>14</v>
      </c>
      <c r="C5211" t="s">
        <v>30</v>
      </c>
      <c r="D5211" t="s">
        <v>17</v>
      </c>
      <c r="E5211" t="s">
        <v>12</v>
      </c>
      <c r="F5211">
        <v>86089369</v>
      </c>
      <c r="G5211">
        <v>86089408</v>
      </c>
      <c r="H5211">
        <v>86089417</v>
      </c>
      <c r="I5211">
        <v>86089440</v>
      </c>
    </row>
    <row r="5212" spans="1:9" x14ac:dyDescent="0.2">
      <c r="A5212" s="1" t="str">
        <f>"E2F6"</f>
        <v>E2F6</v>
      </c>
      <c r="B5212" t="s">
        <v>14</v>
      </c>
      <c r="C5212" t="s">
        <v>26</v>
      </c>
      <c r="D5212" t="s">
        <v>11</v>
      </c>
      <c r="E5212" t="s">
        <v>12</v>
      </c>
      <c r="F5212">
        <v>11606283</v>
      </c>
      <c r="G5212">
        <v>11606289</v>
      </c>
      <c r="H5212">
        <v>11605992</v>
      </c>
      <c r="I5212">
        <v>11606013</v>
      </c>
    </row>
    <row r="5213" spans="1:9" x14ac:dyDescent="0.2">
      <c r="A5213" s="1" t="str">
        <f>"E2F7"</f>
        <v>E2F7</v>
      </c>
      <c r="B5213" t="s">
        <v>14</v>
      </c>
      <c r="C5213" t="s">
        <v>16</v>
      </c>
      <c r="D5213" t="s">
        <v>11</v>
      </c>
      <c r="E5213" t="s">
        <v>12</v>
      </c>
      <c r="F5213">
        <v>77459306</v>
      </c>
      <c r="G5213">
        <v>77459365</v>
      </c>
      <c r="H5213">
        <v>77459306</v>
      </c>
      <c r="I5213">
        <v>77459365</v>
      </c>
    </row>
    <row r="5214" spans="1:9" x14ac:dyDescent="0.2">
      <c r="A5214" s="1" t="str">
        <f>"E2F8"</f>
        <v>E2F8</v>
      </c>
      <c r="B5214" t="s">
        <v>14</v>
      </c>
      <c r="C5214" t="s">
        <v>27</v>
      </c>
      <c r="D5214" t="s">
        <v>11</v>
      </c>
      <c r="E5214" t="s">
        <v>12</v>
      </c>
      <c r="F5214">
        <v>19263160</v>
      </c>
      <c r="G5214">
        <v>19263176</v>
      </c>
      <c r="H5214">
        <v>19263192</v>
      </c>
      <c r="I5214">
        <v>19263222</v>
      </c>
    </row>
    <row r="5215" spans="1:9" x14ac:dyDescent="0.2">
      <c r="A5215" s="1" t="str">
        <f>"E4F1"</f>
        <v>E4F1</v>
      </c>
      <c r="B5215" t="s">
        <v>14</v>
      </c>
      <c r="C5215" t="s">
        <v>31</v>
      </c>
      <c r="D5215" t="s">
        <v>17</v>
      </c>
      <c r="E5215" t="s">
        <v>12</v>
      </c>
      <c r="F5215">
        <v>2273558</v>
      </c>
      <c r="G5215">
        <v>2273637</v>
      </c>
      <c r="H5215">
        <v>2273645</v>
      </c>
      <c r="I5215">
        <v>2273671</v>
      </c>
    </row>
    <row r="5216" spans="1:9" x14ac:dyDescent="0.2">
      <c r="A5216" s="1" t="str">
        <f>"EAF1"</f>
        <v>EAF1</v>
      </c>
      <c r="B5216" t="s">
        <v>14</v>
      </c>
      <c r="C5216" t="s">
        <v>22</v>
      </c>
      <c r="D5216" t="s">
        <v>17</v>
      </c>
      <c r="E5216" t="s">
        <v>12</v>
      </c>
      <c r="F5216">
        <v>15469058</v>
      </c>
      <c r="G5216">
        <v>15469141</v>
      </c>
      <c r="H5216">
        <v>15469168</v>
      </c>
      <c r="I5216">
        <v>15469179</v>
      </c>
    </row>
    <row r="5217" spans="1:9" x14ac:dyDescent="0.2">
      <c r="A5217" s="1" t="str">
        <f>"EAF2"</f>
        <v>EAF2</v>
      </c>
      <c r="B5217" t="s">
        <v>14</v>
      </c>
      <c r="C5217" t="s">
        <v>22</v>
      </c>
      <c r="D5217" t="s">
        <v>17</v>
      </c>
      <c r="E5217" t="s">
        <v>12</v>
      </c>
      <c r="F5217">
        <v>121554046</v>
      </c>
      <c r="G5217">
        <v>121554091</v>
      </c>
      <c r="H5217">
        <v>121554021</v>
      </c>
      <c r="I5217">
        <v>121554043</v>
      </c>
    </row>
    <row r="5218" spans="1:9" x14ac:dyDescent="0.2">
      <c r="A5218" s="1" t="str">
        <f>"EAPP"</f>
        <v>EAPP</v>
      </c>
      <c r="B5218" t="s">
        <v>14</v>
      </c>
      <c r="C5218" t="s">
        <v>41</v>
      </c>
      <c r="D5218" t="s">
        <v>11</v>
      </c>
      <c r="E5218" t="s">
        <v>12</v>
      </c>
      <c r="F5218">
        <v>35008861</v>
      </c>
      <c r="G5218">
        <v>35008951</v>
      </c>
      <c r="H5218">
        <v>35008838</v>
      </c>
      <c r="I5218">
        <v>35008849</v>
      </c>
    </row>
    <row r="5219" spans="1:9" x14ac:dyDescent="0.2">
      <c r="A5219" s="1" t="str">
        <f>"EARS2"</f>
        <v>EARS2</v>
      </c>
      <c r="B5219" t="s">
        <v>14</v>
      </c>
      <c r="C5219" t="s">
        <v>31</v>
      </c>
      <c r="D5219" t="s">
        <v>11</v>
      </c>
      <c r="E5219" t="s">
        <v>12</v>
      </c>
      <c r="F5219">
        <v>23568651</v>
      </c>
      <c r="G5219">
        <v>23568690</v>
      </c>
      <c r="H5219">
        <v>23568651</v>
      </c>
      <c r="I5219">
        <v>23568690</v>
      </c>
    </row>
    <row r="5220" spans="1:9" x14ac:dyDescent="0.2">
      <c r="A5220" s="1" t="str">
        <f>"EBAG9"</f>
        <v>EBAG9</v>
      </c>
      <c r="B5220" t="s">
        <v>14</v>
      </c>
      <c r="C5220" t="s">
        <v>30</v>
      </c>
      <c r="D5220" t="s">
        <v>17</v>
      </c>
      <c r="E5220" t="s">
        <v>12</v>
      </c>
      <c r="F5220">
        <v>110552337</v>
      </c>
      <c r="G5220">
        <v>110552423</v>
      </c>
      <c r="H5220">
        <v>110551925</v>
      </c>
      <c r="I5220">
        <v>110551975</v>
      </c>
    </row>
    <row r="5221" spans="1:9" x14ac:dyDescent="0.2">
      <c r="A5221" s="1" t="str">
        <f>"EBF1"</f>
        <v>EBF1</v>
      </c>
      <c r="B5221" t="s">
        <v>14</v>
      </c>
      <c r="C5221" t="s">
        <v>46</v>
      </c>
      <c r="D5221" t="s">
        <v>11</v>
      </c>
      <c r="E5221" t="s">
        <v>12</v>
      </c>
      <c r="F5221">
        <v>158526917</v>
      </c>
      <c r="G5221">
        <v>158526932</v>
      </c>
      <c r="H5221">
        <v>158526459</v>
      </c>
      <c r="I5221">
        <v>158526481</v>
      </c>
    </row>
    <row r="5222" spans="1:9" x14ac:dyDescent="0.2">
      <c r="A5222" s="1" t="str">
        <f>"EBF2"</f>
        <v>EBF2</v>
      </c>
      <c r="B5222" t="s">
        <v>14</v>
      </c>
      <c r="C5222" t="s">
        <v>30</v>
      </c>
      <c r="D5222" t="s">
        <v>11</v>
      </c>
      <c r="E5222" t="s">
        <v>12</v>
      </c>
      <c r="F5222">
        <v>25902876</v>
      </c>
      <c r="G5222">
        <v>25902936</v>
      </c>
      <c r="H5222">
        <v>25902697</v>
      </c>
      <c r="I5222">
        <v>25902727</v>
      </c>
    </row>
    <row r="5223" spans="1:9" x14ac:dyDescent="0.2">
      <c r="A5223" s="1" t="str">
        <f>"EBF3"</f>
        <v>EBF3</v>
      </c>
      <c r="B5223" t="s">
        <v>14</v>
      </c>
      <c r="C5223" t="s">
        <v>15</v>
      </c>
      <c r="D5223" t="s">
        <v>11</v>
      </c>
      <c r="E5223" t="s">
        <v>12</v>
      </c>
      <c r="F5223">
        <v>131762504</v>
      </c>
      <c r="G5223">
        <v>131762555</v>
      </c>
      <c r="H5223">
        <v>131762410</v>
      </c>
      <c r="I5223">
        <v>131762436</v>
      </c>
    </row>
    <row r="5224" spans="1:9" x14ac:dyDescent="0.2">
      <c r="A5224" s="1" t="str">
        <f>"EBF4"</f>
        <v>EBF4</v>
      </c>
      <c r="B5224" t="s">
        <v>14</v>
      </c>
      <c r="C5224" t="s">
        <v>29</v>
      </c>
      <c r="D5224" t="s">
        <v>17</v>
      </c>
      <c r="E5224" t="s">
        <v>12</v>
      </c>
      <c r="F5224">
        <v>2673383</v>
      </c>
      <c r="G5224">
        <v>2673441</v>
      </c>
      <c r="H5224">
        <v>2673369</v>
      </c>
      <c r="I5224">
        <v>2673382</v>
      </c>
    </row>
    <row r="5225" spans="1:9" x14ac:dyDescent="0.2">
      <c r="A5225" s="1" t="str">
        <f>"EBI3"</f>
        <v>EBI3</v>
      </c>
      <c r="B5225" t="s">
        <v>14</v>
      </c>
      <c r="C5225" t="s">
        <v>10</v>
      </c>
      <c r="D5225" t="s">
        <v>17</v>
      </c>
      <c r="E5225" t="s">
        <v>12</v>
      </c>
      <c r="F5225">
        <v>4229498</v>
      </c>
      <c r="G5225">
        <v>4229539</v>
      </c>
      <c r="H5225">
        <v>4229498</v>
      </c>
      <c r="I5225">
        <v>4229539</v>
      </c>
    </row>
    <row r="5226" spans="1:9" x14ac:dyDescent="0.2">
      <c r="A5226" s="1" t="str">
        <f>"EBLN1"</f>
        <v>EBLN1</v>
      </c>
      <c r="B5226" t="s">
        <v>379</v>
      </c>
      <c r="C5226" t="s">
        <v>15</v>
      </c>
      <c r="D5226" t="s">
        <v>11</v>
      </c>
      <c r="E5226" t="s">
        <v>20</v>
      </c>
      <c r="F5226">
        <v>22498949</v>
      </c>
      <c r="G5226">
        <v>22498949</v>
      </c>
      <c r="H5226">
        <v>22498949</v>
      </c>
      <c r="I5226">
        <v>22498949</v>
      </c>
    </row>
    <row r="5227" spans="1:9" x14ac:dyDescent="0.2">
      <c r="A5227" s="1" t="str">
        <f>"EBLN2"</f>
        <v>EBLN2</v>
      </c>
      <c r="B5227" t="s">
        <v>14</v>
      </c>
      <c r="C5227" t="s">
        <v>22</v>
      </c>
      <c r="D5227" t="s">
        <v>17</v>
      </c>
      <c r="E5227" t="s">
        <v>12</v>
      </c>
      <c r="F5227">
        <v>73110856</v>
      </c>
      <c r="G5227">
        <v>73110857</v>
      </c>
      <c r="H5227">
        <v>73110856</v>
      </c>
      <c r="I5227">
        <v>73110857</v>
      </c>
    </row>
    <row r="5228" spans="1:9" x14ac:dyDescent="0.2">
      <c r="A5228" s="1" t="str">
        <f>"EBNA1BP2"</f>
        <v>EBNA1BP2</v>
      </c>
      <c r="B5228" t="s">
        <v>14</v>
      </c>
      <c r="C5228" t="s">
        <v>19</v>
      </c>
      <c r="D5228" t="s">
        <v>11</v>
      </c>
      <c r="E5228" t="s">
        <v>12</v>
      </c>
      <c r="F5228">
        <v>43637915</v>
      </c>
      <c r="G5228">
        <v>43637998</v>
      </c>
      <c r="H5228">
        <v>43637915</v>
      </c>
      <c r="I5228">
        <v>43637998</v>
      </c>
    </row>
    <row r="5229" spans="1:9" x14ac:dyDescent="0.2">
      <c r="A5229" s="1" t="str">
        <f>"EBP"</f>
        <v>EBP</v>
      </c>
      <c r="B5229" t="s">
        <v>9</v>
      </c>
      <c r="C5229" t="s">
        <v>37</v>
      </c>
      <c r="D5229" t="s">
        <v>17</v>
      </c>
      <c r="E5229" t="s">
        <v>12</v>
      </c>
      <c r="F5229">
        <v>48382111</v>
      </c>
      <c r="G5229">
        <v>48382129</v>
      </c>
      <c r="H5229">
        <v>48382111</v>
      </c>
      <c r="I5229">
        <v>48382129</v>
      </c>
    </row>
    <row r="5230" spans="1:9" x14ac:dyDescent="0.2">
      <c r="A5230" s="1" t="str">
        <f>"EBP"</f>
        <v>EBP</v>
      </c>
      <c r="B5230" t="s">
        <v>13</v>
      </c>
      <c r="C5230" t="s">
        <v>37</v>
      </c>
      <c r="D5230" t="s">
        <v>17</v>
      </c>
      <c r="E5230" t="s">
        <v>12</v>
      </c>
      <c r="F5230">
        <v>48380205</v>
      </c>
      <c r="G5230">
        <v>48380254</v>
      </c>
      <c r="H5230">
        <v>48380205</v>
      </c>
      <c r="I5230">
        <v>48380254</v>
      </c>
    </row>
    <row r="5231" spans="1:9" x14ac:dyDescent="0.2">
      <c r="A5231" s="1" t="str">
        <f>"EBPL"</f>
        <v>EBPL</v>
      </c>
      <c r="B5231" t="s">
        <v>14</v>
      </c>
      <c r="C5231" t="s">
        <v>39</v>
      </c>
      <c r="D5231" t="s">
        <v>11</v>
      </c>
      <c r="E5231" t="s">
        <v>12</v>
      </c>
      <c r="F5231">
        <v>50265570</v>
      </c>
      <c r="G5231">
        <v>50265641</v>
      </c>
      <c r="H5231">
        <v>50265764</v>
      </c>
      <c r="I5231">
        <v>50265802</v>
      </c>
    </row>
    <row r="5232" spans="1:9" x14ac:dyDescent="0.2">
      <c r="A5232" s="1" t="str">
        <f>"ECD"</f>
        <v>ECD</v>
      </c>
      <c r="B5232" t="s">
        <v>14</v>
      </c>
      <c r="C5232" t="s">
        <v>15</v>
      </c>
      <c r="D5232" t="s">
        <v>11</v>
      </c>
      <c r="E5232" t="s">
        <v>12</v>
      </c>
      <c r="F5232">
        <v>74927719</v>
      </c>
      <c r="G5232">
        <v>74927805</v>
      </c>
      <c r="H5232">
        <v>74927810</v>
      </c>
      <c r="I5232">
        <v>74927834</v>
      </c>
    </row>
    <row r="5233" spans="1:9" x14ac:dyDescent="0.2">
      <c r="A5233" s="1" t="str">
        <f>"ECE1"</f>
        <v>ECE1</v>
      </c>
      <c r="B5233" t="s">
        <v>14</v>
      </c>
      <c r="C5233" t="s">
        <v>19</v>
      </c>
      <c r="D5233" t="s">
        <v>11</v>
      </c>
      <c r="E5233" t="s">
        <v>12</v>
      </c>
      <c r="F5233">
        <v>21671968</v>
      </c>
      <c r="G5233">
        <v>21672009</v>
      </c>
      <c r="H5233">
        <v>21671968</v>
      </c>
      <c r="I5233">
        <v>21672009</v>
      </c>
    </row>
    <row r="5234" spans="1:9" x14ac:dyDescent="0.2">
      <c r="A5234" s="1" t="str">
        <f>"ECE2"</f>
        <v>ECE2</v>
      </c>
      <c r="B5234" t="s">
        <v>14</v>
      </c>
      <c r="C5234" t="s">
        <v>22</v>
      </c>
      <c r="D5234" t="s">
        <v>17</v>
      </c>
      <c r="E5234" t="s">
        <v>12</v>
      </c>
      <c r="F5234">
        <v>183967409</v>
      </c>
      <c r="G5234">
        <v>183967497</v>
      </c>
      <c r="H5234">
        <v>183967538</v>
      </c>
      <c r="I5234">
        <v>183967558</v>
      </c>
    </row>
    <row r="5235" spans="1:9" x14ac:dyDescent="0.2">
      <c r="A5235" s="1" t="str">
        <f>"ECEL1"</f>
        <v>ECEL1</v>
      </c>
      <c r="B5235" t="s">
        <v>14</v>
      </c>
      <c r="C5235" t="s">
        <v>26</v>
      </c>
      <c r="D5235" t="s">
        <v>11</v>
      </c>
      <c r="E5235" t="s">
        <v>12</v>
      </c>
      <c r="F5235">
        <v>233352531</v>
      </c>
      <c r="G5235">
        <v>233352550</v>
      </c>
      <c r="H5235">
        <v>233352555</v>
      </c>
      <c r="I5235">
        <v>233352566</v>
      </c>
    </row>
    <row r="5236" spans="1:9" x14ac:dyDescent="0.2">
      <c r="A5236" s="1" t="str">
        <f>"ECH1"</f>
        <v>ECH1</v>
      </c>
      <c r="B5236" t="s">
        <v>14</v>
      </c>
      <c r="C5236" t="s">
        <v>10</v>
      </c>
      <c r="D5236" t="s">
        <v>11</v>
      </c>
      <c r="E5236" t="s">
        <v>12</v>
      </c>
      <c r="F5236">
        <v>39322417</v>
      </c>
      <c r="G5236">
        <v>39322452</v>
      </c>
      <c r="H5236">
        <v>39322497</v>
      </c>
      <c r="I5236">
        <v>39322508</v>
      </c>
    </row>
    <row r="5237" spans="1:9" x14ac:dyDescent="0.2">
      <c r="A5237" s="1" t="str">
        <f>"ECHDC1"</f>
        <v>ECHDC1</v>
      </c>
      <c r="B5237" t="s">
        <v>14</v>
      </c>
      <c r="C5237" t="s">
        <v>32</v>
      </c>
      <c r="D5237" t="s">
        <v>11</v>
      </c>
      <c r="E5237" t="s">
        <v>12</v>
      </c>
      <c r="F5237">
        <v>127664475</v>
      </c>
      <c r="G5237">
        <v>127664517</v>
      </c>
      <c r="H5237">
        <v>127664683</v>
      </c>
      <c r="I5237">
        <v>127664718</v>
      </c>
    </row>
    <row r="5238" spans="1:9" x14ac:dyDescent="0.2">
      <c r="A5238" s="1" t="str">
        <f>"ECHDC2"</f>
        <v>ECHDC2</v>
      </c>
      <c r="B5238" t="s">
        <v>14</v>
      </c>
      <c r="C5238" t="s">
        <v>19</v>
      </c>
      <c r="D5238" t="s">
        <v>11</v>
      </c>
      <c r="E5238" t="s">
        <v>12</v>
      </c>
      <c r="F5238">
        <v>53387386</v>
      </c>
      <c r="G5238">
        <v>53387453</v>
      </c>
      <c r="H5238">
        <v>53387352</v>
      </c>
      <c r="I5238">
        <v>53387384</v>
      </c>
    </row>
    <row r="5239" spans="1:9" x14ac:dyDescent="0.2">
      <c r="A5239" s="1" t="str">
        <f>"ECHDC3"</f>
        <v>ECHDC3</v>
      </c>
      <c r="B5239" t="s">
        <v>14</v>
      </c>
      <c r="C5239" t="s">
        <v>15</v>
      </c>
      <c r="D5239" t="s">
        <v>17</v>
      </c>
      <c r="E5239" t="s">
        <v>12</v>
      </c>
      <c r="F5239">
        <v>11784360</v>
      </c>
      <c r="G5239">
        <v>11784448</v>
      </c>
      <c r="H5239">
        <v>11784468</v>
      </c>
      <c r="I5239">
        <v>11784479</v>
      </c>
    </row>
    <row r="5240" spans="1:9" x14ac:dyDescent="0.2">
      <c r="A5240" s="1" t="str">
        <f>"ECHS1"</f>
        <v>ECHS1</v>
      </c>
      <c r="B5240" t="s">
        <v>14</v>
      </c>
      <c r="C5240" t="s">
        <v>15</v>
      </c>
      <c r="D5240" t="s">
        <v>11</v>
      </c>
      <c r="E5240" t="s">
        <v>12</v>
      </c>
      <c r="F5240">
        <v>135186836</v>
      </c>
      <c r="G5240">
        <v>135186871</v>
      </c>
      <c r="H5240">
        <v>135187183</v>
      </c>
      <c r="I5240">
        <v>135187215</v>
      </c>
    </row>
    <row r="5241" spans="1:9" x14ac:dyDescent="0.2">
      <c r="A5241" s="1" t="str">
        <f>"ECI1"</f>
        <v>ECI1</v>
      </c>
      <c r="B5241" t="s">
        <v>14</v>
      </c>
      <c r="C5241" t="s">
        <v>31</v>
      </c>
      <c r="D5241" t="s">
        <v>11</v>
      </c>
      <c r="E5241" t="s">
        <v>12</v>
      </c>
      <c r="F5241">
        <v>2301563</v>
      </c>
      <c r="G5241">
        <v>2301607</v>
      </c>
      <c r="H5241">
        <v>2301719</v>
      </c>
      <c r="I5241">
        <v>2301749</v>
      </c>
    </row>
    <row r="5242" spans="1:9" x14ac:dyDescent="0.2">
      <c r="A5242" s="1" t="str">
        <f>"ECI2"</f>
        <v>ECI2</v>
      </c>
      <c r="B5242" t="s">
        <v>14</v>
      </c>
      <c r="C5242" t="s">
        <v>32</v>
      </c>
      <c r="D5242" t="s">
        <v>11</v>
      </c>
      <c r="E5242" t="s">
        <v>12</v>
      </c>
      <c r="F5242">
        <v>4135775</v>
      </c>
      <c r="G5242">
        <v>4135822</v>
      </c>
      <c r="H5242">
        <v>4135825</v>
      </c>
      <c r="I5242">
        <v>4135836</v>
      </c>
    </row>
    <row r="5243" spans="1:9" x14ac:dyDescent="0.2">
      <c r="A5243" s="1" t="str">
        <f>"ECM1"</f>
        <v>ECM1</v>
      </c>
      <c r="B5243" t="s">
        <v>14</v>
      </c>
      <c r="C5243" t="s">
        <v>19</v>
      </c>
      <c r="D5243" t="s">
        <v>17</v>
      </c>
      <c r="E5243" t="s">
        <v>12</v>
      </c>
      <c r="F5243">
        <v>150480576</v>
      </c>
      <c r="G5243">
        <v>150480591</v>
      </c>
      <c r="H5243">
        <v>150480551</v>
      </c>
      <c r="I5243">
        <v>150480560</v>
      </c>
    </row>
    <row r="5244" spans="1:9" x14ac:dyDescent="0.2">
      <c r="A5244" s="1" t="str">
        <f>"ECM2"</f>
        <v>ECM2</v>
      </c>
      <c r="B5244" t="s">
        <v>14</v>
      </c>
      <c r="C5244" t="s">
        <v>24</v>
      </c>
      <c r="D5244" t="s">
        <v>11</v>
      </c>
      <c r="E5244" t="s">
        <v>12</v>
      </c>
      <c r="F5244">
        <v>95298256</v>
      </c>
      <c r="G5244">
        <v>95298282</v>
      </c>
      <c r="H5244">
        <v>95298314</v>
      </c>
      <c r="I5244">
        <v>95298340</v>
      </c>
    </row>
    <row r="5245" spans="1:9" x14ac:dyDescent="0.2">
      <c r="A5245" s="1" t="str">
        <f>"ECSCR"</f>
        <v>ECSCR</v>
      </c>
      <c r="B5245" t="s">
        <v>14</v>
      </c>
      <c r="C5245" t="s">
        <v>46</v>
      </c>
      <c r="D5245" t="s">
        <v>11</v>
      </c>
      <c r="E5245" t="s">
        <v>12</v>
      </c>
      <c r="F5245">
        <v>138842286</v>
      </c>
      <c r="G5245">
        <v>138842336</v>
      </c>
      <c r="H5245">
        <v>138842286</v>
      </c>
      <c r="I5245">
        <v>138842336</v>
      </c>
    </row>
    <row r="5246" spans="1:9" x14ac:dyDescent="0.2">
      <c r="A5246" s="1" t="str">
        <f>"ECSIT"</f>
        <v>ECSIT</v>
      </c>
      <c r="B5246" t="s">
        <v>14</v>
      </c>
      <c r="C5246" t="s">
        <v>10</v>
      </c>
      <c r="D5246" t="s">
        <v>11</v>
      </c>
      <c r="E5246" t="s">
        <v>12</v>
      </c>
      <c r="F5246">
        <v>11639931</v>
      </c>
      <c r="G5246">
        <v>11639974</v>
      </c>
      <c r="H5246">
        <v>11639910</v>
      </c>
      <c r="I5246">
        <v>11639924</v>
      </c>
    </row>
    <row r="5247" spans="1:9" x14ac:dyDescent="0.2">
      <c r="A5247" s="1" t="str">
        <f>"ECT2"</f>
        <v>ECT2</v>
      </c>
      <c r="B5247" t="s">
        <v>14</v>
      </c>
      <c r="C5247" t="s">
        <v>22</v>
      </c>
      <c r="D5247" t="s">
        <v>17</v>
      </c>
      <c r="E5247" t="s">
        <v>12</v>
      </c>
      <c r="F5247">
        <v>172468505</v>
      </c>
      <c r="G5247">
        <v>172468582</v>
      </c>
      <c r="H5247">
        <v>172468764</v>
      </c>
      <c r="I5247">
        <v>172468821</v>
      </c>
    </row>
    <row r="5248" spans="1:9" x14ac:dyDescent="0.2">
      <c r="A5248" s="1" t="str">
        <f>"ECT2L"</f>
        <v>ECT2L</v>
      </c>
      <c r="B5248" t="s">
        <v>14</v>
      </c>
      <c r="C5248" t="s">
        <v>32</v>
      </c>
      <c r="D5248" t="s">
        <v>17</v>
      </c>
      <c r="E5248" t="s">
        <v>12</v>
      </c>
      <c r="F5248">
        <v>139117218</v>
      </c>
      <c r="G5248">
        <v>139117235</v>
      </c>
      <c r="H5248">
        <v>139117251</v>
      </c>
      <c r="I5248">
        <v>139117273</v>
      </c>
    </row>
    <row r="5249" spans="1:9" x14ac:dyDescent="0.2">
      <c r="A5249" s="1" t="str">
        <f>"EDA"</f>
        <v>EDA</v>
      </c>
      <c r="B5249" t="s">
        <v>14</v>
      </c>
      <c r="C5249" t="s">
        <v>37</v>
      </c>
      <c r="D5249" t="s">
        <v>17</v>
      </c>
      <c r="E5249" t="s">
        <v>12</v>
      </c>
      <c r="F5249">
        <v>68835947</v>
      </c>
      <c r="G5249">
        <v>68835972</v>
      </c>
      <c r="H5249">
        <v>68835999</v>
      </c>
      <c r="I5249">
        <v>68836028</v>
      </c>
    </row>
    <row r="5250" spans="1:9" x14ac:dyDescent="0.2">
      <c r="A5250" s="1" t="str">
        <f>"EDA2R"</f>
        <v>EDA2R</v>
      </c>
      <c r="B5250" t="s">
        <v>14</v>
      </c>
      <c r="C5250" t="s">
        <v>37</v>
      </c>
      <c r="D5250" t="s">
        <v>11</v>
      </c>
      <c r="E5250" t="s">
        <v>12</v>
      </c>
      <c r="F5250">
        <v>65858903</v>
      </c>
      <c r="G5250">
        <v>65858930</v>
      </c>
      <c r="H5250">
        <v>65858865</v>
      </c>
      <c r="I5250">
        <v>65858902</v>
      </c>
    </row>
    <row r="5251" spans="1:9" x14ac:dyDescent="0.2">
      <c r="A5251" s="1" t="str">
        <f>"EDAR"</f>
        <v>EDAR</v>
      </c>
      <c r="B5251" t="s">
        <v>14</v>
      </c>
      <c r="C5251" t="s">
        <v>26</v>
      </c>
      <c r="D5251" t="s">
        <v>11</v>
      </c>
      <c r="E5251" t="s">
        <v>12</v>
      </c>
      <c r="F5251">
        <v>109605663</v>
      </c>
      <c r="G5251">
        <v>109605718</v>
      </c>
      <c r="H5251">
        <v>109605588</v>
      </c>
      <c r="I5251">
        <v>109605606</v>
      </c>
    </row>
    <row r="5252" spans="1:9" x14ac:dyDescent="0.2">
      <c r="A5252" s="1" t="str">
        <f>"EDARADD"</f>
        <v>EDARADD</v>
      </c>
      <c r="B5252" t="s">
        <v>9</v>
      </c>
      <c r="C5252" t="s">
        <v>19</v>
      </c>
      <c r="D5252" t="s">
        <v>17</v>
      </c>
      <c r="E5252" t="s">
        <v>12</v>
      </c>
      <c r="F5252">
        <v>236557623</v>
      </c>
      <c r="G5252">
        <v>236557670</v>
      </c>
      <c r="H5252">
        <v>236557623</v>
      </c>
      <c r="I5252">
        <v>236557670</v>
      </c>
    </row>
    <row r="5253" spans="1:9" x14ac:dyDescent="0.2">
      <c r="A5253" s="1" t="str">
        <f>"EDARADD"</f>
        <v>EDARADD</v>
      </c>
      <c r="B5253" t="s">
        <v>13</v>
      </c>
      <c r="C5253" t="s">
        <v>19</v>
      </c>
      <c r="D5253" t="s">
        <v>17</v>
      </c>
      <c r="E5253" t="s">
        <v>12</v>
      </c>
      <c r="F5253">
        <v>236558694</v>
      </c>
      <c r="G5253">
        <v>236558749</v>
      </c>
      <c r="H5253">
        <v>236558694</v>
      </c>
      <c r="I5253">
        <v>236558749</v>
      </c>
    </row>
    <row r="5254" spans="1:9" x14ac:dyDescent="0.2">
      <c r="A5254" s="1" t="str">
        <f>"EDC3"</f>
        <v>EDC3</v>
      </c>
      <c r="B5254" t="s">
        <v>14</v>
      </c>
      <c r="C5254" t="s">
        <v>25</v>
      </c>
      <c r="D5254" t="s">
        <v>11</v>
      </c>
      <c r="E5254" t="s">
        <v>12</v>
      </c>
      <c r="F5254">
        <v>74988329</v>
      </c>
      <c r="G5254">
        <v>74988392</v>
      </c>
      <c r="H5254">
        <v>74988288</v>
      </c>
      <c r="I5254">
        <v>74988301</v>
      </c>
    </row>
    <row r="5255" spans="1:9" x14ac:dyDescent="0.2">
      <c r="A5255" s="1" t="str">
        <f>"EDC4"</f>
        <v>EDC4</v>
      </c>
      <c r="B5255" t="s">
        <v>14</v>
      </c>
      <c r="C5255" t="s">
        <v>31</v>
      </c>
      <c r="D5255" t="s">
        <v>17</v>
      </c>
      <c r="E5255" t="s">
        <v>12</v>
      </c>
      <c r="F5255">
        <v>67906939</v>
      </c>
      <c r="G5255">
        <v>67907042</v>
      </c>
      <c r="H5255">
        <v>67906919</v>
      </c>
      <c r="I5255">
        <v>67906937</v>
      </c>
    </row>
    <row r="5256" spans="1:9" x14ac:dyDescent="0.2">
      <c r="A5256" s="1" t="str">
        <f>"EDDM3A"</f>
        <v>EDDM3A</v>
      </c>
      <c r="B5256" t="s">
        <v>14</v>
      </c>
      <c r="C5256" t="s">
        <v>41</v>
      </c>
      <c r="D5256" t="s">
        <v>17</v>
      </c>
      <c r="E5256" t="s">
        <v>12</v>
      </c>
      <c r="F5256">
        <v>21214039</v>
      </c>
      <c r="G5256">
        <v>21214057</v>
      </c>
      <c r="H5256">
        <v>21213984</v>
      </c>
      <c r="I5256">
        <v>21213993</v>
      </c>
    </row>
    <row r="5257" spans="1:9" x14ac:dyDescent="0.2">
      <c r="A5257" s="1" t="str">
        <f>"EDDM3B"</f>
        <v>EDDM3B</v>
      </c>
      <c r="B5257" t="s">
        <v>14</v>
      </c>
      <c r="C5257" t="s">
        <v>41</v>
      </c>
      <c r="D5257" t="s">
        <v>17</v>
      </c>
      <c r="E5257" t="s">
        <v>12</v>
      </c>
      <c r="F5257">
        <v>21236554</v>
      </c>
      <c r="G5257">
        <v>21236576</v>
      </c>
      <c r="H5257">
        <v>21236589</v>
      </c>
      <c r="I5257">
        <v>21236600</v>
      </c>
    </row>
    <row r="5258" spans="1:9" x14ac:dyDescent="0.2">
      <c r="A5258" s="1" t="str">
        <f>"EDEM1"</f>
        <v>EDEM1</v>
      </c>
      <c r="B5258" t="s">
        <v>14</v>
      </c>
      <c r="C5258" t="s">
        <v>22</v>
      </c>
      <c r="D5258" t="s">
        <v>17</v>
      </c>
      <c r="E5258" t="s">
        <v>12</v>
      </c>
      <c r="F5258">
        <v>5229382</v>
      </c>
      <c r="G5258">
        <v>5229408</v>
      </c>
      <c r="H5258">
        <v>5229410</v>
      </c>
      <c r="I5258">
        <v>5229426</v>
      </c>
    </row>
    <row r="5259" spans="1:9" x14ac:dyDescent="0.2">
      <c r="A5259" s="1" t="str">
        <f>"EDEM2"</f>
        <v>EDEM2</v>
      </c>
      <c r="B5259" t="s">
        <v>380</v>
      </c>
      <c r="C5259" t="s">
        <v>29</v>
      </c>
      <c r="D5259" t="s">
        <v>11</v>
      </c>
      <c r="E5259" t="s">
        <v>35</v>
      </c>
      <c r="F5259">
        <v>33735070</v>
      </c>
      <c r="G5259">
        <v>33735175</v>
      </c>
      <c r="H5259">
        <v>33735001</v>
      </c>
      <c r="I5259">
        <v>33735006</v>
      </c>
    </row>
    <row r="5260" spans="1:9" x14ac:dyDescent="0.2">
      <c r="A5260" s="1" t="str">
        <f>"EDEM3"</f>
        <v>EDEM3</v>
      </c>
      <c r="B5260" t="s">
        <v>14</v>
      </c>
      <c r="C5260" t="s">
        <v>19</v>
      </c>
      <c r="D5260" t="s">
        <v>11</v>
      </c>
      <c r="E5260" t="s">
        <v>12</v>
      </c>
      <c r="F5260">
        <v>184723942</v>
      </c>
      <c r="G5260">
        <v>184724012</v>
      </c>
      <c r="H5260">
        <v>184723910</v>
      </c>
      <c r="I5260">
        <v>184723928</v>
      </c>
    </row>
    <row r="5261" spans="1:9" x14ac:dyDescent="0.2">
      <c r="A5261" s="1" t="str">
        <f>"EDF1"</f>
        <v>EDF1</v>
      </c>
      <c r="B5261" t="s">
        <v>14</v>
      </c>
      <c r="C5261" t="s">
        <v>24</v>
      </c>
      <c r="D5261" t="s">
        <v>11</v>
      </c>
      <c r="E5261" t="s">
        <v>12</v>
      </c>
      <c r="F5261">
        <v>139760746</v>
      </c>
      <c r="G5261">
        <v>139760769</v>
      </c>
      <c r="H5261">
        <v>139760717</v>
      </c>
      <c r="I5261">
        <v>139760728</v>
      </c>
    </row>
    <row r="5262" spans="1:9" x14ac:dyDescent="0.2">
      <c r="A5262" s="1" t="str">
        <f>"EDIL3"</f>
        <v>EDIL3</v>
      </c>
      <c r="B5262" t="s">
        <v>14</v>
      </c>
      <c r="C5262" t="s">
        <v>46</v>
      </c>
      <c r="D5262" t="s">
        <v>11</v>
      </c>
      <c r="E5262" t="s">
        <v>12</v>
      </c>
      <c r="F5262">
        <v>83680689</v>
      </c>
      <c r="G5262">
        <v>83680709</v>
      </c>
      <c r="H5262">
        <v>83680603</v>
      </c>
      <c r="I5262">
        <v>83680617</v>
      </c>
    </row>
    <row r="5263" spans="1:9" x14ac:dyDescent="0.2">
      <c r="A5263" s="1" t="str">
        <f>"EDN1"</f>
        <v>EDN1</v>
      </c>
      <c r="B5263" t="s">
        <v>14</v>
      </c>
      <c r="C5263" t="s">
        <v>32</v>
      </c>
      <c r="D5263" t="s">
        <v>17</v>
      </c>
      <c r="E5263" t="s">
        <v>12</v>
      </c>
      <c r="F5263">
        <v>12290586</v>
      </c>
      <c r="G5263">
        <v>12290600</v>
      </c>
      <c r="H5263">
        <v>12290586</v>
      </c>
      <c r="I5263">
        <v>12290600</v>
      </c>
    </row>
    <row r="5264" spans="1:9" x14ac:dyDescent="0.2">
      <c r="A5264" s="1" t="str">
        <f>"EDN2"</f>
        <v>EDN2</v>
      </c>
      <c r="B5264" t="s">
        <v>14</v>
      </c>
      <c r="C5264" t="s">
        <v>19</v>
      </c>
      <c r="D5264" t="s">
        <v>11</v>
      </c>
      <c r="E5264" t="s">
        <v>12</v>
      </c>
      <c r="F5264">
        <v>41950351</v>
      </c>
      <c r="G5264">
        <v>41950357</v>
      </c>
      <c r="H5264">
        <v>41950299</v>
      </c>
      <c r="I5264">
        <v>41950307</v>
      </c>
    </row>
    <row r="5265" spans="1:9" x14ac:dyDescent="0.2">
      <c r="A5265" s="1" t="str">
        <f>"EDN3"</f>
        <v>EDN3</v>
      </c>
      <c r="B5265" t="s">
        <v>14</v>
      </c>
      <c r="C5265" t="s">
        <v>29</v>
      </c>
      <c r="D5265" t="s">
        <v>17</v>
      </c>
      <c r="E5265" t="s">
        <v>12</v>
      </c>
      <c r="F5265">
        <v>57875658</v>
      </c>
      <c r="G5265">
        <v>57875673</v>
      </c>
      <c r="H5265">
        <v>57875457</v>
      </c>
      <c r="I5265">
        <v>57875496</v>
      </c>
    </row>
    <row r="5266" spans="1:9" x14ac:dyDescent="0.2">
      <c r="A5266" s="1" t="str">
        <f>"EDNRA"</f>
        <v>EDNRA</v>
      </c>
      <c r="B5266" t="s">
        <v>14</v>
      </c>
      <c r="C5266" t="s">
        <v>23</v>
      </c>
      <c r="D5266" t="s">
        <v>17</v>
      </c>
      <c r="E5266" t="s">
        <v>12</v>
      </c>
      <c r="F5266">
        <v>148402237</v>
      </c>
      <c r="G5266">
        <v>148402276</v>
      </c>
      <c r="H5266">
        <v>148402109</v>
      </c>
      <c r="I5266">
        <v>148402132</v>
      </c>
    </row>
    <row r="5267" spans="1:9" x14ac:dyDescent="0.2">
      <c r="A5267" s="1" t="str">
        <f>"EDNRB"</f>
        <v>EDNRB</v>
      </c>
      <c r="B5267" t="s">
        <v>14</v>
      </c>
      <c r="C5267" t="s">
        <v>39</v>
      </c>
      <c r="D5267" t="s">
        <v>11</v>
      </c>
      <c r="E5267" t="s">
        <v>12</v>
      </c>
      <c r="F5267">
        <v>78492955</v>
      </c>
      <c r="G5267">
        <v>78492973</v>
      </c>
      <c r="H5267">
        <v>78492927</v>
      </c>
      <c r="I5267">
        <v>78492943</v>
      </c>
    </row>
    <row r="5268" spans="1:9" x14ac:dyDescent="0.2">
      <c r="A5268" s="1" t="str">
        <f>"EEA1"</f>
        <v>EEA1</v>
      </c>
      <c r="B5268" t="s">
        <v>14</v>
      </c>
      <c r="C5268" t="s">
        <v>16</v>
      </c>
      <c r="D5268" t="s">
        <v>11</v>
      </c>
      <c r="E5268" t="s">
        <v>12</v>
      </c>
      <c r="F5268">
        <v>93323013</v>
      </c>
      <c r="G5268">
        <v>93323112</v>
      </c>
      <c r="H5268">
        <v>93323013</v>
      </c>
      <c r="I5268">
        <v>93323112</v>
      </c>
    </row>
    <row r="5269" spans="1:9" x14ac:dyDescent="0.2">
      <c r="A5269" s="1" t="str">
        <f>"EED"</f>
        <v>EED</v>
      </c>
      <c r="B5269" t="s">
        <v>14</v>
      </c>
      <c r="C5269" t="s">
        <v>27</v>
      </c>
      <c r="D5269" t="s">
        <v>17</v>
      </c>
      <c r="E5269" t="s">
        <v>12</v>
      </c>
      <c r="F5269">
        <v>85955787</v>
      </c>
      <c r="G5269">
        <v>85955854</v>
      </c>
      <c r="H5269">
        <v>85956225</v>
      </c>
      <c r="I5269">
        <v>85956289</v>
      </c>
    </row>
    <row r="5270" spans="1:9" x14ac:dyDescent="0.2">
      <c r="A5270" s="1" t="str">
        <f>"EEF1A1"</f>
        <v>EEF1A1</v>
      </c>
      <c r="B5270" t="s">
        <v>14</v>
      </c>
      <c r="C5270" t="s">
        <v>32</v>
      </c>
      <c r="D5270" t="s">
        <v>11</v>
      </c>
      <c r="E5270" t="s">
        <v>12</v>
      </c>
      <c r="F5270">
        <v>74230741</v>
      </c>
      <c r="G5270">
        <v>74230799</v>
      </c>
      <c r="H5270">
        <v>74230741</v>
      </c>
      <c r="I5270">
        <v>74230799</v>
      </c>
    </row>
    <row r="5271" spans="1:9" x14ac:dyDescent="0.2">
      <c r="A5271" s="1" t="str">
        <f>"EEF1A2"</f>
        <v>EEF1A2</v>
      </c>
      <c r="B5271" t="s">
        <v>14</v>
      </c>
      <c r="C5271" t="s">
        <v>29</v>
      </c>
      <c r="D5271" t="s">
        <v>11</v>
      </c>
      <c r="E5271" t="s">
        <v>12</v>
      </c>
      <c r="F5271">
        <v>62130428</v>
      </c>
      <c r="G5271">
        <v>62130472</v>
      </c>
      <c r="H5271">
        <v>62130474</v>
      </c>
      <c r="I5271">
        <v>62130552</v>
      </c>
    </row>
    <row r="5272" spans="1:9" x14ac:dyDescent="0.2">
      <c r="A5272" s="1" t="str">
        <f>"EEF1B2"</f>
        <v>EEF1B2</v>
      </c>
      <c r="B5272" t="s">
        <v>14</v>
      </c>
      <c r="C5272" t="s">
        <v>26</v>
      </c>
      <c r="D5272" t="s">
        <v>17</v>
      </c>
      <c r="E5272" t="s">
        <v>12</v>
      </c>
      <c r="F5272">
        <v>207024612</v>
      </c>
      <c r="G5272">
        <v>207024634</v>
      </c>
      <c r="H5272">
        <v>207024306</v>
      </c>
      <c r="I5272">
        <v>207024392</v>
      </c>
    </row>
    <row r="5273" spans="1:9" x14ac:dyDescent="0.2">
      <c r="A5273" s="1" t="str">
        <f>"EEF1D"</f>
        <v>EEF1D</v>
      </c>
      <c r="B5273" t="s">
        <v>14</v>
      </c>
      <c r="C5273" t="s">
        <v>30</v>
      </c>
      <c r="D5273" t="s">
        <v>11</v>
      </c>
      <c r="E5273" t="s">
        <v>12</v>
      </c>
      <c r="F5273">
        <v>144679575</v>
      </c>
      <c r="G5273">
        <v>144679593</v>
      </c>
      <c r="H5273">
        <v>144679602</v>
      </c>
      <c r="I5273">
        <v>144679617</v>
      </c>
    </row>
    <row r="5274" spans="1:9" x14ac:dyDescent="0.2">
      <c r="A5274" s="1" t="str">
        <f>"EEF1E1"</f>
        <v>EEF1E1</v>
      </c>
      <c r="B5274" t="s">
        <v>14</v>
      </c>
      <c r="C5274" t="s">
        <v>32</v>
      </c>
      <c r="D5274" t="s">
        <v>11</v>
      </c>
      <c r="E5274" t="s">
        <v>12</v>
      </c>
      <c r="F5274">
        <v>8102752</v>
      </c>
      <c r="G5274">
        <v>8102806</v>
      </c>
      <c r="H5274">
        <v>8102287</v>
      </c>
      <c r="I5274">
        <v>8102304</v>
      </c>
    </row>
    <row r="5275" spans="1:9" x14ac:dyDescent="0.2">
      <c r="A5275" s="1" t="str">
        <f>"EEF1G"</f>
        <v>EEF1G</v>
      </c>
      <c r="B5275" t="s">
        <v>14</v>
      </c>
      <c r="C5275" t="s">
        <v>27</v>
      </c>
      <c r="D5275" t="s">
        <v>11</v>
      </c>
      <c r="E5275" t="s">
        <v>12</v>
      </c>
      <c r="F5275">
        <v>62341318</v>
      </c>
      <c r="G5275">
        <v>62341402</v>
      </c>
      <c r="H5275">
        <v>62341476</v>
      </c>
      <c r="I5275">
        <v>62341499</v>
      </c>
    </row>
    <row r="5276" spans="1:9" x14ac:dyDescent="0.2">
      <c r="A5276" s="1" t="str">
        <f>"EEF2"</f>
        <v>EEF2</v>
      </c>
      <c r="B5276" t="s">
        <v>9</v>
      </c>
      <c r="C5276" t="s">
        <v>10</v>
      </c>
      <c r="D5276" t="s">
        <v>11</v>
      </c>
      <c r="E5276" t="s">
        <v>12</v>
      </c>
      <c r="F5276">
        <v>3985455</v>
      </c>
      <c r="G5276">
        <v>3985465</v>
      </c>
      <c r="H5276">
        <v>3985455</v>
      </c>
      <c r="I5276">
        <v>3985465</v>
      </c>
    </row>
    <row r="5277" spans="1:9" x14ac:dyDescent="0.2">
      <c r="A5277" s="1" t="str">
        <f>"EEF2"</f>
        <v>EEF2</v>
      </c>
      <c r="B5277" t="s">
        <v>13</v>
      </c>
      <c r="C5277" t="s">
        <v>10</v>
      </c>
      <c r="D5277" t="s">
        <v>11</v>
      </c>
      <c r="E5277" t="s">
        <v>12</v>
      </c>
      <c r="F5277">
        <v>3984170</v>
      </c>
      <c r="G5277">
        <v>3984233</v>
      </c>
      <c r="H5277">
        <v>3984170</v>
      </c>
      <c r="I5277">
        <v>3984233</v>
      </c>
    </row>
    <row r="5278" spans="1:9" x14ac:dyDescent="0.2">
      <c r="A5278" s="1" t="str">
        <f>"EEF2K"</f>
        <v>EEF2K</v>
      </c>
      <c r="B5278" t="s">
        <v>14</v>
      </c>
      <c r="C5278" t="s">
        <v>31</v>
      </c>
      <c r="D5278" t="s">
        <v>17</v>
      </c>
      <c r="E5278" t="s">
        <v>12</v>
      </c>
      <c r="F5278">
        <v>22217577</v>
      </c>
      <c r="G5278">
        <v>22217667</v>
      </c>
      <c r="H5278">
        <v>22217672</v>
      </c>
      <c r="I5278">
        <v>22217679</v>
      </c>
    </row>
    <row r="5279" spans="1:9" x14ac:dyDescent="0.2">
      <c r="A5279" s="1" t="str">
        <f>"EEFSEC"</f>
        <v>EEFSEC</v>
      </c>
      <c r="B5279" t="s">
        <v>14</v>
      </c>
      <c r="C5279" t="s">
        <v>22</v>
      </c>
      <c r="D5279" t="s">
        <v>17</v>
      </c>
      <c r="E5279" t="s">
        <v>12</v>
      </c>
      <c r="F5279">
        <v>127872265</v>
      </c>
      <c r="G5279">
        <v>127872344</v>
      </c>
      <c r="H5279">
        <v>127872035</v>
      </c>
      <c r="I5279">
        <v>127872053</v>
      </c>
    </row>
    <row r="5280" spans="1:9" x14ac:dyDescent="0.2">
      <c r="A5280" s="1" t="str">
        <f>"EEPD1"</f>
        <v>EEPD1</v>
      </c>
      <c r="B5280" t="s">
        <v>14</v>
      </c>
      <c r="C5280" t="s">
        <v>33</v>
      </c>
      <c r="D5280" t="s">
        <v>17</v>
      </c>
      <c r="E5280" t="s">
        <v>12</v>
      </c>
      <c r="F5280">
        <v>36192855</v>
      </c>
      <c r="G5280">
        <v>36192883</v>
      </c>
      <c r="H5280">
        <v>36192855</v>
      </c>
      <c r="I5280">
        <v>36192883</v>
      </c>
    </row>
    <row r="5281" spans="1:9" x14ac:dyDescent="0.2">
      <c r="A5281" s="1" t="str">
        <f>"EFCAB1"</f>
        <v>EFCAB1</v>
      </c>
      <c r="B5281" t="s">
        <v>14</v>
      </c>
      <c r="C5281" t="s">
        <v>30</v>
      </c>
      <c r="D5281" t="s">
        <v>11</v>
      </c>
      <c r="E5281" t="s">
        <v>12</v>
      </c>
      <c r="F5281">
        <v>49647808</v>
      </c>
      <c r="G5281">
        <v>49647873</v>
      </c>
      <c r="H5281">
        <v>49647791</v>
      </c>
      <c r="I5281">
        <v>49647803</v>
      </c>
    </row>
    <row r="5282" spans="1:9" x14ac:dyDescent="0.2">
      <c r="A5282" s="1" t="str">
        <f>"EFCAB11"</f>
        <v>EFCAB11</v>
      </c>
      <c r="B5282" t="s">
        <v>14</v>
      </c>
      <c r="C5282" t="s">
        <v>41</v>
      </c>
      <c r="D5282" t="s">
        <v>11</v>
      </c>
      <c r="E5282" t="s">
        <v>12</v>
      </c>
      <c r="F5282">
        <v>90421056</v>
      </c>
      <c r="G5282">
        <v>90421100</v>
      </c>
      <c r="H5282">
        <v>90420862</v>
      </c>
      <c r="I5282">
        <v>90420885</v>
      </c>
    </row>
    <row r="5283" spans="1:9" x14ac:dyDescent="0.2">
      <c r="A5283" s="1" t="str">
        <f>"EFCAB12"</f>
        <v>EFCAB12</v>
      </c>
      <c r="B5283" t="s">
        <v>14</v>
      </c>
      <c r="C5283" t="s">
        <v>22</v>
      </c>
      <c r="D5283" t="s">
        <v>11</v>
      </c>
      <c r="E5283" t="s">
        <v>12</v>
      </c>
      <c r="F5283">
        <v>129147432</v>
      </c>
      <c r="G5283">
        <v>129147488</v>
      </c>
      <c r="H5283">
        <v>129147342</v>
      </c>
      <c r="I5283">
        <v>129147370</v>
      </c>
    </row>
    <row r="5284" spans="1:9" x14ac:dyDescent="0.2">
      <c r="A5284" s="1" t="str">
        <f>"EFCAB13"</f>
        <v>EFCAB13</v>
      </c>
      <c r="B5284" t="s">
        <v>14</v>
      </c>
      <c r="C5284" t="s">
        <v>28</v>
      </c>
      <c r="D5284" t="s">
        <v>17</v>
      </c>
      <c r="E5284" t="s">
        <v>12</v>
      </c>
      <c r="F5284">
        <v>45401308</v>
      </c>
      <c r="G5284">
        <v>45401364</v>
      </c>
      <c r="H5284">
        <v>45401387</v>
      </c>
      <c r="I5284">
        <v>45401394</v>
      </c>
    </row>
    <row r="5285" spans="1:9" x14ac:dyDescent="0.2">
      <c r="A5285" s="1" t="str">
        <f>"EFCAB14"</f>
        <v>EFCAB14</v>
      </c>
      <c r="B5285" t="s">
        <v>14</v>
      </c>
      <c r="C5285" t="s">
        <v>19</v>
      </c>
      <c r="D5285" t="s">
        <v>11</v>
      </c>
      <c r="E5285" t="s">
        <v>12</v>
      </c>
      <c r="F5285">
        <v>47184745</v>
      </c>
      <c r="G5285">
        <v>47184826</v>
      </c>
      <c r="H5285">
        <v>47184745</v>
      </c>
      <c r="I5285">
        <v>47184826</v>
      </c>
    </row>
    <row r="5286" spans="1:9" x14ac:dyDescent="0.2">
      <c r="A5286" s="1" t="str">
        <f>"EFCAB2"</f>
        <v>EFCAB2</v>
      </c>
      <c r="B5286" t="s">
        <v>14</v>
      </c>
      <c r="C5286" t="s">
        <v>19</v>
      </c>
      <c r="D5286" t="s">
        <v>17</v>
      </c>
      <c r="E5286" t="s">
        <v>12</v>
      </c>
      <c r="F5286">
        <v>245133673</v>
      </c>
      <c r="G5286">
        <v>245133720</v>
      </c>
      <c r="H5286">
        <v>245132972</v>
      </c>
      <c r="I5286">
        <v>245133020</v>
      </c>
    </row>
    <row r="5287" spans="1:9" x14ac:dyDescent="0.2">
      <c r="A5287" s="1" t="str">
        <f>"EFCAB3"</f>
        <v>EFCAB3</v>
      </c>
      <c r="B5287" t="s">
        <v>14</v>
      </c>
      <c r="C5287" t="s">
        <v>28</v>
      </c>
      <c r="D5287" t="s">
        <v>17</v>
      </c>
      <c r="E5287" t="s">
        <v>12</v>
      </c>
      <c r="F5287">
        <v>60457909</v>
      </c>
      <c r="G5287">
        <v>60457944</v>
      </c>
      <c r="H5287">
        <v>60457909</v>
      </c>
      <c r="I5287">
        <v>60457944</v>
      </c>
    </row>
    <row r="5288" spans="1:9" x14ac:dyDescent="0.2">
      <c r="A5288" s="1" t="str">
        <f>"EFCAB4A"</f>
        <v>EFCAB4A</v>
      </c>
      <c r="B5288" t="s">
        <v>14</v>
      </c>
      <c r="C5288" t="s">
        <v>27</v>
      </c>
      <c r="D5288" t="s">
        <v>17</v>
      </c>
      <c r="E5288" t="s">
        <v>12</v>
      </c>
      <c r="F5288">
        <v>830434</v>
      </c>
      <c r="G5288">
        <v>830484</v>
      </c>
      <c r="H5288">
        <v>830434</v>
      </c>
      <c r="I5288">
        <v>830484</v>
      </c>
    </row>
    <row r="5289" spans="1:9" x14ac:dyDescent="0.2">
      <c r="A5289" s="1" t="str">
        <f>"EFCAB4B"</f>
        <v>EFCAB4B</v>
      </c>
      <c r="B5289" t="s">
        <v>14</v>
      </c>
      <c r="C5289" t="s">
        <v>16</v>
      </c>
      <c r="D5289" t="s">
        <v>11</v>
      </c>
      <c r="E5289" t="s">
        <v>12</v>
      </c>
      <c r="F5289">
        <v>3862245</v>
      </c>
      <c r="G5289">
        <v>3862294</v>
      </c>
      <c r="H5289">
        <v>3862347</v>
      </c>
      <c r="I5289">
        <v>3862371</v>
      </c>
    </row>
    <row r="5290" spans="1:9" x14ac:dyDescent="0.2">
      <c r="A5290" s="1" t="str">
        <f>"EFCAB5"</f>
        <v>EFCAB5</v>
      </c>
      <c r="B5290" t="s">
        <v>14</v>
      </c>
      <c r="C5290" t="s">
        <v>28</v>
      </c>
      <c r="D5290" t="s">
        <v>17</v>
      </c>
      <c r="E5290" t="s">
        <v>12</v>
      </c>
      <c r="F5290">
        <v>28256866</v>
      </c>
      <c r="G5290">
        <v>28256905</v>
      </c>
      <c r="H5290">
        <v>28256910</v>
      </c>
      <c r="I5290">
        <v>28256928</v>
      </c>
    </row>
    <row r="5291" spans="1:9" x14ac:dyDescent="0.2">
      <c r="A5291" s="1" t="str">
        <f>"EFCAB6"</f>
        <v>EFCAB6</v>
      </c>
      <c r="B5291" t="s">
        <v>14</v>
      </c>
      <c r="C5291" t="s">
        <v>21</v>
      </c>
      <c r="D5291" t="s">
        <v>11</v>
      </c>
      <c r="E5291" t="s">
        <v>12</v>
      </c>
      <c r="F5291">
        <v>44208137</v>
      </c>
      <c r="G5291">
        <v>44208219</v>
      </c>
      <c r="H5291">
        <v>44208110</v>
      </c>
      <c r="I5291">
        <v>44208135</v>
      </c>
    </row>
    <row r="5292" spans="1:9" x14ac:dyDescent="0.2">
      <c r="A5292" s="1" t="str">
        <f>"EFCAB7"</f>
        <v>EFCAB7</v>
      </c>
      <c r="B5292" t="s">
        <v>14</v>
      </c>
      <c r="C5292" t="s">
        <v>19</v>
      </c>
      <c r="D5292" t="s">
        <v>17</v>
      </c>
      <c r="E5292" t="s">
        <v>12</v>
      </c>
      <c r="F5292">
        <v>63989164</v>
      </c>
      <c r="G5292">
        <v>63989229</v>
      </c>
      <c r="H5292">
        <v>63989004</v>
      </c>
      <c r="I5292">
        <v>63989077</v>
      </c>
    </row>
    <row r="5293" spans="1:9" x14ac:dyDescent="0.2">
      <c r="A5293" s="1" t="str">
        <f>"EFCAB8"</f>
        <v>EFCAB8</v>
      </c>
      <c r="B5293" t="s">
        <v>14</v>
      </c>
      <c r="C5293" t="s">
        <v>29</v>
      </c>
      <c r="D5293" t="s">
        <v>17</v>
      </c>
      <c r="E5293" t="s">
        <v>12</v>
      </c>
      <c r="F5293">
        <v>31446413</v>
      </c>
      <c r="G5293">
        <v>31446436</v>
      </c>
      <c r="H5293">
        <v>31446413</v>
      </c>
      <c r="I5293">
        <v>31446436</v>
      </c>
    </row>
    <row r="5294" spans="1:9" x14ac:dyDescent="0.2">
      <c r="A5294" s="1" t="str">
        <f>"EFCAB9"</f>
        <v>EFCAB9</v>
      </c>
      <c r="B5294" t="s">
        <v>14</v>
      </c>
      <c r="C5294" t="s">
        <v>46</v>
      </c>
      <c r="D5294" t="s">
        <v>17</v>
      </c>
      <c r="E5294" t="s">
        <v>12</v>
      </c>
      <c r="F5294">
        <v>171621140</v>
      </c>
      <c r="G5294">
        <v>171621169</v>
      </c>
      <c r="H5294">
        <v>171621140</v>
      </c>
      <c r="I5294">
        <v>171621169</v>
      </c>
    </row>
    <row r="5295" spans="1:9" x14ac:dyDescent="0.2">
      <c r="A5295" s="1" t="str">
        <f>"EFCC1"</f>
        <v>EFCC1</v>
      </c>
      <c r="B5295" t="s">
        <v>14</v>
      </c>
      <c r="C5295" t="s">
        <v>22</v>
      </c>
      <c r="D5295" t="s">
        <v>17</v>
      </c>
      <c r="E5295" t="s">
        <v>12</v>
      </c>
      <c r="F5295">
        <v>128720193</v>
      </c>
      <c r="G5295">
        <v>128720217</v>
      </c>
      <c r="H5295">
        <v>128720424</v>
      </c>
      <c r="I5295">
        <v>128720466</v>
      </c>
    </row>
    <row r="5296" spans="1:9" x14ac:dyDescent="0.2">
      <c r="A5296" s="1" t="str">
        <f>"EFEMP1"</f>
        <v>EFEMP1</v>
      </c>
      <c r="B5296" t="s">
        <v>14</v>
      </c>
      <c r="C5296" t="s">
        <v>26</v>
      </c>
      <c r="D5296" t="s">
        <v>11</v>
      </c>
      <c r="E5296" t="s">
        <v>12</v>
      </c>
      <c r="F5296">
        <v>56150910</v>
      </c>
      <c r="G5296">
        <v>56150938</v>
      </c>
      <c r="H5296">
        <v>56150883</v>
      </c>
      <c r="I5296">
        <v>56150896</v>
      </c>
    </row>
    <row r="5297" spans="1:9" x14ac:dyDescent="0.2">
      <c r="A5297" s="1" t="str">
        <f>"EFEMP2"</f>
        <v>EFEMP2</v>
      </c>
      <c r="B5297" t="s">
        <v>14</v>
      </c>
      <c r="C5297" t="s">
        <v>27</v>
      </c>
      <c r="D5297" t="s">
        <v>11</v>
      </c>
      <c r="E5297" t="s">
        <v>12</v>
      </c>
      <c r="F5297">
        <v>65640198</v>
      </c>
      <c r="G5297">
        <v>65640281</v>
      </c>
      <c r="H5297">
        <v>65640325</v>
      </c>
      <c r="I5297">
        <v>65640346</v>
      </c>
    </row>
    <row r="5298" spans="1:9" x14ac:dyDescent="0.2">
      <c r="A5298" s="1" t="str">
        <f>"EFHB"</f>
        <v>EFHB</v>
      </c>
      <c r="B5298" t="s">
        <v>14</v>
      </c>
      <c r="C5298" t="s">
        <v>22</v>
      </c>
      <c r="D5298" t="s">
        <v>11</v>
      </c>
      <c r="E5298" t="s">
        <v>12</v>
      </c>
      <c r="F5298">
        <v>19988462</v>
      </c>
      <c r="G5298">
        <v>19988489</v>
      </c>
      <c r="H5298">
        <v>19988462</v>
      </c>
      <c r="I5298">
        <v>19988489</v>
      </c>
    </row>
    <row r="5299" spans="1:9" x14ac:dyDescent="0.2">
      <c r="A5299" s="1" t="str">
        <f>"EFHC1"</f>
        <v>EFHC1</v>
      </c>
      <c r="B5299" t="s">
        <v>14</v>
      </c>
      <c r="C5299" t="s">
        <v>32</v>
      </c>
      <c r="D5299" t="s">
        <v>17</v>
      </c>
      <c r="E5299" t="s">
        <v>12</v>
      </c>
      <c r="F5299">
        <v>52285131</v>
      </c>
      <c r="G5299">
        <v>52285182</v>
      </c>
      <c r="H5299">
        <v>52285046</v>
      </c>
      <c r="I5299">
        <v>52285124</v>
      </c>
    </row>
    <row r="5300" spans="1:9" x14ac:dyDescent="0.2">
      <c r="A5300" s="1" t="str">
        <f>"EFHC2"</f>
        <v>EFHC2</v>
      </c>
      <c r="B5300" t="s">
        <v>14</v>
      </c>
      <c r="C5300" t="s">
        <v>37</v>
      </c>
      <c r="D5300" t="s">
        <v>11</v>
      </c>
      <c r="E5300" t="s">
        <v>12</v>
      </c>
      <c r="F5300">
        <v>44202857</v>
      </c>
      <c r="G5300">
        <v>44202928</v>
      </c>
      <c r="H5300">
        <v>44203082</v>
      </c>
      <c r="I5300">
        <v>44203107</v>
      </c>
    </row>
    <row r="5301" spans="1:9" x14ac:dyDescent="0.2">
      <c r="A5301" s="1" t="str">
        <f>"EFHD1"</f>
        <v>EFHD1</v>
      </c>
      <c r="B5301" t="s">
        <v>14</v>
      </c>
      <c r="C5301" t="s">
        <v>26</v>
      </c>
      <c r="D5301" t="s">
        <v>17</v>
      </c>
      <c r="E5301" t="s">
        <v>12</v>
      </c>
      <c r="F5301">
        <v>233498261</v>
      </c>
      <c r="G5301">
        <v>233498337</v>
      </c>
      <c r="H5301">
        <v>233497961</v>
      </c>
      <c r="I5301">
        <v>233497995</v>
      </c>
    </row>
    <row r="5302" spans="1:9" x14ac:dyDescent="0.2">
      <c r="A5302" s="1" t="str">
        <f>"EFHD2"</f>
        <v>EFHD2</v>
      </c>
      <c r="B5302" t="s">
        <v>14</v>
      </c>
      <c r="C5302" t="s">
        <v>19</v>
      </c>
      <c r="D5302" t="s">
        <v>17</v>
      </c>
      <c r="E5302" t="s">
        <v>12</v>
      </c>
      <c r="F5302">
        <v>15736359</v>
      </c>
      <c r="G5302">
        <v>15736463</v>
      </c>
      <c r="H5302">
        <v>15736359</v>
      </c>
      <c r="I5302">
        <v>15736463</v>
      </c>
    </row>
    <row r="5303" spans="1:9" x14ac:dyDescent="0.2">
      <c r="A5303" s="1" t="str">
        <f>"EFNA1"</f>
        <v>EFNA1</v>
      </c>
      <c r="B5303" t="s">
        <v>14</v>
      </c>
      <c r="C5303" t="s">
        <v>19</v>
      </c>
      <c r="D5303" t="s">
        <v>17</v>
      </c>
      <c r="E5303" t="s">
        <v>12</v>
      </c>
      <c r="F5303">
        <v>155100342</v>
      </c>
      <c r="G5303">
        <v>155100359</v>
      </c>
      <c r="H5303">
        <v>155100366</v>
      </c>
      <c r="I5303">
        <v>155100377</v>
      </c>
    </row>
    <row r="5304" spans="1:9" x14ac:dyDescent="0.2">
      <c r="A5304" s="1" t="str">
        <f>"EFNA2"</f>
        <v>EFNA2</v>
      </c>
      <c r="B5304" t="s">
        <v>14</v>
      </c>
      <c r="C5304" t="s">
        <v>10</v>
      </c>
      <c r="D5304" t="s">
        <v>17</v>
      </c>
      <c r="E5304" t="s">
        <v>12</v>
      </c>
      <c r="F5304">
        <v>1286097</v>
      </c>
      <c r="G5304">
        <v>1286145</v>
      </c>
      <c r="H5304">
        <v>1286055</v>
      </c>
      <c r="I5304">
        <v>1286074</v>
      </c>
    </row>
    <row r="5305" spans="1:9" x14ac:dyDescent="0.2">
      <c r="A5305" s="1" t="str">
        <f>"EFNA3"</f>
        <v>EFNA3</v>
      </c>
      <c r="B5305" t="s">
        <v>9</v>
      </c>
      <c r="C5305" t="s">
        <v>19</v>
      </c>
      <c r="D5305" t="s">
        <v>17</v>
      </c>
      <c r="E5305" t="s">
        <v>12</v>
      </c>
      <c r="F5305">
        <v>155036204</v>
      </c>
      <c r="G5305">
        <v>155036238</v>
      </c>
      <c r="H5305">
        <v>155036204</v>
      </c>
      <c r="I5305">
        <v>155036238</v>
      </c>
    </row>
    <row r="5306" spans="1:9" x14ac:dyDescent="0.2">
      <c r="A5306" s="1" t="str">
        <f>"EFNA3"</f>
        <v>EFNA3</v>
      </c>
      <c r="B5306" t="s">
        <v>13</v>
      </c>
      <c r="C5306" t="s">
        <v>19</v>
      </c>
      <c r="D5306" t="s">
        <v>17</v>
      </c>
      <c r="E5306" t="s">
        <v>12</v>
      </c>
      <c r="F5306">
        <v>155051305</v>
      </c>
      <c r="G5306">
        <v>155051367</v>
      </c>
      <c r="H5306">
        <v>155051305</v>
      </c>
      <c r="I5306">
        <v>155051367</v>
      </c>
    </row>
    <row r="5307" spans="1:9" x14ac:dyDescent="0.2">
      <c r="A5307" s="1" t="str">
        <f>"EFNA4"</f>
        <v>EFNA4</v>
      </c>
      <c r="B5307" t="s">
        <v>14</v>
      </c>
      <c r="C5307" t="s">
        <v>19</v>
      </c>
      <c r="D5307" t="s">
        <v>17</v>
      </c>
      <c r="E5307" t="s">
        <v>12</v>
      </c>
      <c r="F5307">
        <v>155036204</v>
      </c>
      <c r="G5307">
        <v>155036238</v>
      </c>
      <c r="H5307">
        <v>155036187</v>
      </c>
      <c r="I5307">
        <v>155036202</v>
      </c>
    </row>
    <row r="5308" spans="1:9" x14ac:dyDescent="0.2">
      <c r="A5308" s="1" t="str">
        <f>"EFNA5"</f>
        <v>EFNA5</v>
      </c>
      <c r="B5308" t="s">
        <v>381</v>
      </c>
      <c r="C5308" t="s">
        <v>46</v>
      </c>
      <c r="D5308" t="s">
        <v>11</v>
      </c>
      <c r="E5308" t="s">
        <v>35</v>
      </c>
      <c r="F5308">
        <v>107006785</v>
      </c>
      <c r="G5308">
        <v>107006834</v>
      </c>
      <c r="H5308">
        <v>107006390</v>
      </c>
      <c r="I5308">
        <v>107006401</v>
      </c>
    </row>
    <row r="5309" spans="1:9" x14ac:dyDescent="0.2">
      <c r="A5309" s="1" t="str">
        <f>"EFNB1"</f>
        <v>EFNB1</v>
      </c>
      <c r="B5309" t="s">
        <v>14</v>
      </c>
      <c r="C5309" t="s">
        <v>37</v>
      </c>
      <c r="D5309" t="s">
        <v>17</v>
      </c>
      <c r="E5309" t="s">
        <v>12</v>
      </c>
      <c r="F5309">
        <v>68048803</v>
      </c>
      <c r="G5309">
        <v>68048892</v>
      </c>
      <c r="H5309">
        <v>68048792</v>
      </c>
      <c r="I5309">
        <v>68048795</v>
      </c>
    </row>
    <row r="5310" spans="1:9" x14ac:dyDescent="0.2">
      <c r="A5310" s="1" t="str">
        <f>"EFNB2"</f>
        <v>EFNB2</v>
      </c>
      <c r="B5310" t="s">
        <v>14</v>
      </c>
      <c r="C5310" t="s">
        <v>39</v>
      </c>
      <c r="D5310" t="s">
        <v>11</v>
      </c>
      <c r="E5310" t="s">
        <v>12</v>
      </c>
      <c r="F5310">
        <v>107187406</v>
      </c>
      <c r="G5310">
        <v>107187424</v>
      </c>
      <c r="H5310">
        <v>107187656</v>
      </c>
      <c r="I5310">
        <v>107187670</v>
      </c>
    </row>
    <row r="5311" spans="1:9" x14ac:dyDescent="0.2">
      <c r="A5311" s="1" t="str">
        <f>"EFNB3"</f>
        <v>EFNB3</v>
      </c>
      <c r="B5311" t="s">
        <v>14</v>
      </c>
      <c r="C5311" t="s">
        <v>28</v>
      </c>
      <c r="D5311" t="s">
        <v>17</v>
      </c>
      <c r="E5311" t="s">
        <v>12</v>
      </c>
      <c r="F5311">
        <v>7608511</v>
      </c>
      <c r="G5311">
        <v>7608538</v>
      </c>
      <c r="H5311">
        <v>7608540</v>
      </c>
      <c r="I5311">
        <v>7608553</v>
      </c>
    </row>
    <row r="5312" spans="1:9" x14ac:dyDescent="0.2">
      <c r="A5312" s="1" t="str">
        <f>"EFR3A"</f>
        <v>EFR3A</v>
      </c>
      <c r="B5312" t="s">
        <v>14</v>
      </c>
      <c r="C5312" t="s">
        <v>30</v>
      </c>
      <c r="D5312" t="s">
        <v>17</v>
      </c>
      <c r="E5312" t="s">
        <v>12</v>
      </c>
      <c r="F5312">
        <v>132916318</v>
      </c>
      <c r="G5312">
        <v>132916401</v>
      </c>
      <c r="H5312">
        <v>132916452</v>
      </c>
      <c r="I5312">
        <v>132916461</v>
      </c>
    </row>
    <row r="5313" spans="1:9" x14ac:dyDescent="0.2">
      <c r="A5313" s="1" t="str">
        <f>"EFR3B"</f>
        <v>EFR3B</v>
      </c>
      <c r="B5313" t="s">
        <v>14</v>
      </c>
      <c r="C5313" t="s">
        <v>26</v>
      </c>
      <c r="D5313" t="s">
        <v>17</v>
      </c>
      <c r="E5313" t="s">
        <v>12</v>
      </c>
      <c r="F5313">
        <v>25264933</v>
      </c>
      <c r="G5313">
        <v>25264987</v>
      </c>
      <c r="H5313">
        <v>25265125</v>
      </c>
      <c r="I5313">
        <v>25265145</v>
      </c>
    </row>
    <row r="5314" spans="1:9" x14ac:dyDescent="0.2">
      <c r="A5314" s="1" t="str">
        <f>"EFS"</f>
        <v>EFS</v>
      </c>
      <c r="B5314" t="s">
        <v>14</v>
      </c>
      <c r="C5314" t="s">
        <v>41</v>
      </c>
      <c r="D5314" t="s">
        <v>11</v>
      </c>
      <c r="E5314" t="s">
        <v>12</v>
      </c>
      <c r="F5314">
        <v>23834359</v>
      </c>
      <c r="G5314">
        <v>23834393</v>
      </c>
      <c r="H5314">
        <v>23834411</v>
      </c>
      <c r="I5314">
        <v>23834432</v>
      </c>
    </row>
    <row r="5315" spans="1:9" x14ac:dyDescent="0.2">
      <c r="A5315" s="1" t="str">
        <f>"EFTUD1"</f>
        <v>EFTUD1</v>
      </c>
      <c r="B5315" t="s">
        <v>14</v>
      </c>
      <c r="C5315" t="s">
        <v>25</v>
      </c>
      <c r="D5315" t="s">
        <v>11</v>
      </c>
      <c r="E5315" t="s">
        <v>12</v>
      </c>
      <c r="F5315">
        <v>82555000</v>
      </c>
      <c r="G5315">
        <v>82555085</v>
      </c>
      <c r="H5315">
        <v>82554850</v>
      </c>
      <c r="I5315">
        <v>82554864</v>
      </c>
    </row>
    <row r="5316" spans="1:9" x14ac:dyDescent="0.2">
      <c r="A5316" s="1" t="str">
        <f>"EFTUD2"</f>
        <v>EFTUD2</v>
      </c>
      <c r="B5316" t="s">
        <v>14</v>
      </c>
      <c r="C5316" t="s">
        <v>28</v>
      </c>
      <c r="D5316" t="s">
        <v>11</v>
      </c>
      <c r="E5316" t="s">
        <v>12</v>
      </c>
      <c r="F5316">
        <v>42976758</v>
      </c>
      <c r="G5316">
        <v>42976827</v>
      </c>
      <c r="H5316">
        <v>42976985</v>
      </c>
      <c r="I5316">
        <v>42977008</v>
      </c>
    </row>
    <row r="5317" spans="1:9" x14ac:dyDescent="0.2">
      <c r="A5317" s="1" t="str">
        <f>"EGF"</f>
        <v>EGF</v>
      </c>
      <c r="B5317" t="s">
        <v>14</v>
      </c>
      <c r="C5317" t="s">
        <v>23</v>
      </c>
      <c r="D5317" t="s">
        <v>17</v>
      </c>
      <c r="E5317" t="s">
        <v>12</v>
      </c>
      <c r="F5317">
        <v>110834033</v>
      </c>
      <c r="G5317">
        <v>110834047</v>
      </c>
      <c r="H5317">
        <v>110834062</v>
      </c>
      <c r="I5317">
        <v>110834080</v>
      </c>
    </row>
    <row r="5318" spans="1:9" x14ac:dyDescent="0.2">
      <c r="A5318" s="1" t="str">
        <f>"EGFL6"</f>
        <v>EGFL6</v>
      </c>
      <c r="B5318" t="s">
        <v>14</v>
      </c>
      <c r="C5318" t="s">
        <v>37</v>
      </c>
      <c r="D5318" t="s">
        <v>17</v>
      </c>
      <c r="E5318" t="s">
        <v>12</v>
      </c>
      <c r="F5318">
        <v>13587712</v>
      </c>
      <c r="G5318">
        <v>13587750</v>
      </c>
      <c r="H5318">
        <v>13587827</v>
      </c>
      <c r="I5318">
        <v>13587848</v>
      </c>
    </row>
    <row r="5319" spans="1:9" x14ac:dyDescent="0.2">
      <c r="A5319" s="1" t="str">
        <f>"EGFL7"</f>
        <v>EGFL7</v>
      </c>
      <c r="B5319" t="s">
        <v>9</v>
      </c>
      <c r="C5319" t="s">
        <v>24</v>
      </c>
      <c r="D5319" t="s">
        <v>17</v>
      </c>
      <c r="E5319" t="s">
        <v>12</v>
      </c>
      <c r="F5319">
        <v>139557360</v>
      </c>
      <c r="G5319">
        <v>139557376</v>
      </c>
      <c r="H5319">
        <v>139557360</v>
      </c>
      <c r="I5319">
        <v>139557376</v>
      </c>
    </row>
    <row r="5320" spans="1:9" x14ac:dyDescent="0.2">
      <c r="A5320" s="1" t="str">
        <f>"EGFL7"</f>
        <v>EGFL7</v>
      </c>
      <c r="B5320" t="s">
        <v>13</v>
      </c>
      <c r="C5320" t="s">
        <v>24</v>
      </c>
      <c r="D5320" t="s">
        <v>17</v>
      </c>
      <c r="E5320" t="s">
        <v>12</v>
      </c>
      <c r="F5320">
        <v>139560197</v>
      </c>
      <c r="G5320">
        <v>139560266</v>
      </c>
      <c r="H5320">
        <v>139560197</v>
      </c>
      <c r="I5320">
        <v>139560266</v>
      </c>
    </row>
    <row r="5321" spans="1:9" x14ac:dyDescent="0.2">
      <c r="A5321" s="1" t="str">
        <f>"EGFL8"</f>
        <v>EGFL8</v>
      </c>
      <c r="B5321" t="s">
        <v>14</v>
      </c>
      <c r="C5321" t="s">
        <v>32</v>
      </c>
      <c r="D5321" t="s">
        <v>17</v>
      </c>
      <c r="E5321" t="s">
        <v>12</v>
      </c>
      <c r="F5321">
        <v>32121908</v>
      </c>
      <c r="G5321">
        <v>32121998</v>
      </c>
      <c r="H5321">
        <v>32121295</v>
      </c>
      <c r="I5321">
        <v>32121346</v>
      </c>
    </row>
    <row r="5322" spans="1:9" x14ac:dyDescent="0.2">
      <c r="A5322" s="1" t="str">
        <f>"EGFLAM"</f>
        <v>EGFLAM</v>
      </c>
      <c r="B5322" t="s">
        <v>382</v>
      </c>
      <c r="C5322" t="s">
        <v>46</v>
      </c>
      <c r="D5322" t="s">
        <v>17</v>
      </c>
      <c r="E5322" t="s">
        <v>35</v>
      </c>
      <c r="F5322">
        <v>38258322</v>
      </c>
      <c r="G5322">
        <v>38258329</v>
      </c>
      <c r="H5322">
        <v>38258654</v>
      </c>
      <c r="I5322">
        <v>38258667</v>
      </c>
    </row>
    <row r="5323" spans="1:9" x14ac:dyDescent="0.2">
      <c r="A5323" s="1" t="str">
        <f>"EGFR"</f>
        <v>EGFR</v>
      </c>
      <c r="B5323" t="s">
        <v>14</v>
      </c>
      <c r="C5323" t="s">
        <v>33</v>
      </c>
      <c r="D5323" t="s">
        <v>17</v>
      </c>
      <c r="E5323" t="s">
        <v>12</v>
      </c>
      <c r="F5323">
        <v>55086703</v>
      </c>
      <c r="G5323">
        <v>55086717</v>
      </c>
      <c r="H5323">
        <v>55086794</v>
      </c>
      <c r="I5323">
        <v>55086803</v>
      </c>
    </row>
    <row r="5324" spans="1:9" x14ac:dyDescent="0.2">
      <c r="A5324" s="1" t="str">
        <f>"EGLN1"</f>
        <v>EGLN1</v>
      </c>
      <c r="B5324" t="s">
        <v>14</v>
      </c>
      <c r="C5324" t="s">
        <v>19</v>
      </c>
      <c r="D5324" t="s">
        <v>11</v>
      </c>
      <c r="E5324" t="s">
        <v>12</v>
      </c>
      <c r="F5324">
        <v>231558007</v>
      </c>
      <c r="G5324">
        <v>231558061</v>
      </c>
      <c r="H5324">
        <v>231558071</v>
      </c>
      <c r="I5324">
        <v>231558082</v>
      </c>
    </row>
    <row r="5325" spans="1:9" x14ac:dyDescent="0.2">
      <c r="A5325" s="1" t="str">
        <f>"EGLN2"</f>
        <v>EGLN2</v>
      </c>
      <c r="B5325" t="s">
        <v>9</v>
      </c>
      <c r="C5325" t="s">
        <v>10</v>
      </c>
      <c r="D5325" t="s">
        <v>17</v>
      </c>
      <c r="E5325" t="s">
        <v>12</v>
      </c>
      <c r="F5325">
        <v>41305085</v>
      </c>
      <c r="G5325">
        <v>41305142</v>
      </c>
      <c r="H5325">
        <v>41305085</v>
      </c>
      <c r="I5325">
        <v>41305142</v>
      </c>
    </row>
    <row r="5326" spans="1:9" x14ac:dyDescent="0.2">
      <c r="A5326" s="1" t="str">
        <f>"EGLN2"</f>
        <v>EGLN2</v>
      </c>
      <c r="B5326" t="s">
        <v>13</v>
      </c>
      <c r="C5326" t="s">
        <v>10</v>
      </c>
      <c r="D5326" t="s">
        <v>17</v>
      </c>
      <c r="E5326" t="s">
        <v>12</v>
      </c>
      <c r="F5326">
        <v>41284135</v>
      </c>
      <c r="G5326">
        <v>41284211</v>
      </c>
      <c r="H5326">
        <v>41284135</v>
      </c>
      <c r="I5326">
        <v>41284211</v>
      </c>
    </row>
    <row r="5327" spans="1:9" x14ac:dyDescent="0.2">
      <c r="A5327" s="1" t="str">
        <f>"EGLN3"</f>
        <v>EGLN3</v>
      </c>
      <c r="B5327" t="s">
        <v>14</v>
      </c>
      <c r="C5327" t="s">
        <v>41</v>
      </c>
      <c r="D5327" t="s">
        <v>11</v>
      </c>
      <c r="E5327" t="s">
        <v>12</v>
      </c>
      <c r="F5327">
        <v>34420259</v>
      </c>
      <c r="G5327">
        <v>34420291</v>
      </c>
      <c r="H5327">
        <v>34420259</v>
      </c>
      <c r="I5327">
        <v>34420291</v>
      </c>
    </row>
    <row r="5328" spans="1:9" x14ac:dyDescent="0.2">
      <c r="A5328" s="1" t="str">
        <f>"EGR1"</f>
        <v>EGR1</v>
      </c>
      <c r="B5328" t="s">
        <v>9</v>
      </c>
      <c r="C5328" t="s">
        <v>46</v>
      </c>
      <c r="D5328" t="s">
        <v>17</v>
      </c>
      <c r="E5328" t="s">
        <v>12</v>
      </c>
      <c r="F5328">
        <v>137801160</v>
      </c>
      <c r="G5328">
        <v>137801176</v>
      </c>
      <c r="H5328">
        <v>137801160</v>
      </c>
      <c r="I5328">
        <v>137801176</v>
      </c>
    </row>
    <row r="5329" spans="1:9" x14ac:dyDescent="0.2">
      <c r="A5329" s="1" t="str">
        <f>"EGR1"</f>
        <v>EGR1</v>
      </c>
      <c r="B5329" t="s">
        <v>13</v>
      </c>
      <c r="C5329" t="s">
        <v>46</v>
      </c>
      <c r="D5329" t="s">
        <v>17</v>
      </c>
      <c r="E5329" t="s">
        <v>12</v>
      </c>
      <c r="F5329">
        <v>137804484</v>
      </c>
      <c r="G5329">
        <v>137804498</v>
      </c>
      <c r="H5329">
        <v>137804484</v>
      </c>
      <c r="I5329">
        <v>137804498</v>
      </c>
    </row>
    <row r="5330" spans="1:9" x14ac:dyDescent="0.2">
      <c r="A5330" s="1" t="str">
        <f>"EGR2"</f>
        <v>EGR2</v>
      </c>
      <c r="B5330" t="s">
        <v>14</v>
      </c>
      <c r="C5330" t="s">
        <v>15</v>
      </c>
      <c r="D5330" t="s">
        <v>11</v>
      </c>
      <c r="E5330" t="s">
        <v>12</v>
      </c>
      <c r="F5330">
        <v>64576105</v>
      </c>
      <c r="G5330">
        <v>64576133</v>
      </c>
      <c r="H5330">
        <v>64576035</v>
      </c>
      <c r="I5330">
        <v>64576046</v>
      </c>
    </row>
    <row r="5331" spans="1:9" x14ac:dyDescent="0.2">
      <c r="A5331" s="1" t="str">
        <f>"EGR3"</f>
        <v>EGR3</v>
      </c>
      <c r="B5331" t="s">
        <v>14</v>
      </c>
      <c r="C5331" t="s">
        <v>30</v>
      </c>
      <c r="D5331" t="s">
        <v>11</v>
      </c>
      <c r="E5331" t="s">
        <v>12</v>
      </c>
      <c r="F5331">
        <v>22550982</v>
      </c>
      <c r="G5331">
        <v>22550999</v>
      </c>
      <c r="H5331">
        <v>22550530</v>
      </c>
      <c r="I5331">
        <v>22550609</v>
      </c>
    </row>
    <row r="5332" spans="1:9" x14ac:dyDescent="0.2">
      <c r="A5332" s="1" t="str">
        <f>"EGR4"</f>
        <v>EGR4</v>
      </c>
      <c r="B5332" t="s">
        <v>14</v>
      </c>
      <c r="C5332" t="s">
        <v>26</v>
      </c>
      <c r="D5332" t="s">
        <v>11</v>
      </c>
      <c r="E5332" t="s">
        <v>12</v>
      </c>
      <c r="F5332">
        <v>73520667</v>
      </c>
      <c r="G5332">
        <v>73520683</v>
      </c>
      <c r="H5332">
        <v>73520514</v>
      </c>
      <c r="I5332">
        <v>73520536</v>
      </c>
    </row>
    <row r="5333" spans="1:9" x14ac:dyDescent="0.2">
      <c r="A5333" s="1" t="str">
        <f>"EHBP1"</f>
        <v>EHBP1</v>
      </c>
      <c r="B5333" t="s">
        <v>14</v>
      </c>
      <c r="C5333" t="s">
        <v>26</v>
      </c>
      <c r="D5333" t="s">
        <v>17</v>
      </c>
      <c r="E5333" t="s">
        <v>12</v>
      </c>
      <c r="F5333">
        <v>62932779</v>
      </c>
      <c r="G5333">
        <v>62932882</v>
      </c>
      <c r="H5333">
        <v>62932901</v>
      </c>
      <c r="I5333">
        <v>62932935</v>
      </c>
    </row>
    <row r="5334" spans="1:9" x14ac:dyDescent="0.2">
      <c r="A5334" s="1" t="str">
        <f>"EHBP1L1"</f>
        <v>EHBP1L1</v>
      </c>
      <c r="B5334" t="s">
        <v>14</v>
      </c>
      <c r="C5334" t="s">
        <v>27</v>
      </c>
      <c r="D5334" t="s">
        <v>17</v>
      </c>
      <c r="E5334" t="s">
        <v>12</v>
      </c>
      <c r="F5334">
        <v>65343494</v>
      </c>
      <c r="G5334">
        <v>65343598</v>
      </c>
      <c r="H5334">
        <v>65343290</v>
      </c>
      <c r="I5334">
        <v>65343329</v>
      </c>
    </row>
    <row r="5335" spans="1:9" x14ac:dyDescent="0.2">
      <c r="A5335" s="1" t="str">
        <f>"EHD1"</f>
        <v>EHD1</v>
      </c>
      <c r="B5335" t="s">
        <v>14</v>
      </c>
      <c r="C5335" t="s">
        <v>27</v>
      </c>
      <c r="D5335" t="s">
        <v>11</v>
      </c>
      <c r="E5335" t="s">
        <v>12</v>
      </c>
      <c r="F5335">
        <v>64646086</v>
      </c>
      <c r="G5335">
        <v>64646101</v>
      </c>
      <c r="H5335">
        <v>64645991</v>
      </c>
      <c r="I5335">
        <v>64646005</v>
      </c>
    </row>
    <row r="5336" spans="1:9" x14ac:dyDescent="0.2">
      <c r="A5336" s="1" t="str">
        <f>"EHD2"</f>
        <v>EHD2</v>
      </c>
      <c r="B5336" t="s">
        <v>14</v>
      </c>
      <c r="C5336" t="s">
        <v>10</v>
      </c>
      <c r="D5336" t="s">
        <v>17</v>
      </c>
      <c r="E5336" t="s">
        <v>12</v>
      </c>
      <c r="F5336">
        <v>48216669</v>
      </c>
      <c r="G5336">
        <v>48216685</v>
      </c>
      <c r="H5336">
        <v>48216669</v>
      </c>
      <c r="I5336">
        <v>48216685</v>
      </c>
    </row>
    <row r="5337" spans="1:9" x14ac:dyDescent="0.2">
      <c r="A5337" s="1" t="str">
        <f>"EHD3"</f>
        <v>EHD3</v>
      </c>
      <c r="B5337" t="s">
        <v>14</v>
      </c>
      <c r="C5337" t="s">
        <v>26</v>
      </c>
      <c r="D5337" t="s">
        <v>17</v>
      </c>
      <c r="E5337" t="s">
        <v>12</v>
      </c>
      <c r="F5337">
        <v>31457010</v>
      </c>
      <c r="G5337">
        <v>31457032</v>
      </c>
      <c r="H5337">
        <v>31456969</v>
      </c>
      <c r="I5337">
        <v>31457006</v>
      </c>
    </row>
    <row r="5338" spans="1:9" x14ac:dyDescent="0.2">
      <c r="A5338" s="1" t="str">
        <f>"EHD4"</f>
        <v>EHD4</v>
      </c>
      <c r="B5338" t="s">
        <v>14</v>
      </c>
      <c r="C5338" t="s">
        <v>25</v>
      </c>
      <c r="D5338" t="s">
        <v>11</v>
      </c>
      <c r="E5338" t="s">
        <v>12</v>
      </c>
      <c r="F5338">
        <v>42264702</v>
      </c>
      <c r="G5338">
        <v>42264812</v>
      </c>
      <c r="H5338">
        <v>42264819</v>
      </c>
      <c r="I5338">
        <v>42264826</v>
      </c>
    </row>
    <row r="5339" spans="1:9" x14ac:dyDescent="0.2">
      <c r="A5339" s="1" t="str">
        <f>"EHF"</f>
        <v>EHF</v>
      </c>
      <c r="B5339" t="s">
        <v>14</v>
      </c>
      <c r="C5339" t="s">
        <v>27</v>
      </c>
      <c r="D5339" t="s">
        <v>17</v>
      </c>
      <c r="E5339" t="s">
        <v>12</v>
      </c>
      <c r="F5339">
        <v>34642612</v>
      </c>
      <c r="G5339">
        <v>34642646</v>
      </c>
      <c r="H5339">
        <v>34642656</v>
      </c>
      <c r="I5339">
        <v>34642667</v>
      </c>
    </row>
    <row r="5340" spans="1:9" x14ac:dyDescent="0.2">
      <c r="A5340" s="1" t="str">
        <f>"EHHADH"</f>
        <v>EHHADH</v>
      </c>
      <c r="B5340" t="s">
        <v>14</v>
      </c>
      <c r="C5340" t="s">
        <v>22</v>
      </c>
      <c r="D5340" t="s">
        <v>11</v>
      </c>
      <c r="E5340" t="s">
        <v>12</v>
      </c>
      <c r="F5340">
        <v>184971817</v>
      </c>
      <c r="G5340">
        <v>184971844</v>
      </c>
      <c r="H5340">
        <v>184971853</v>
      </c>
      <c r="I5340">
        <v>184971871</v>
      </c>
    </row>
    <row r="5341" spans="1:9" x14ac:dyDescent="0.2">
      <c r="A5341" s="1" t="str">
        <f>"EHMT1"</f>
        <v>EHMT1</v>
      </c>
      <c r="B5341" t="s">
        <v>14</v>
      </c>
      <c r="C5341" t="s">
        <v>24</v>
      </c>
      <c r="D5341" t="s">
        <v>17</v>
      </c>
      <c r="E5341" t="s">
        <v>12</v>
      </c>
      <c r="F5341">
        <v>140513438</v>
      </c>
      <c r="G5341">
        <v>140513483</v>
      </c>
      <c r="H5341">
        <v>140513438</v>
      </c>
      <c r="I5341">
        <v>140513483</v>
      </c>
    </row>
    <row r="5342" spans="1:9" x14ac:dyDescent="0.2">
      <c r="A5342" s="1" t="str">
        <f>"EHMT2"</f>
        <v>EHMT2</v>
      </c>
      <c r="B5342" t="s">
        <v>14</v>
      </c>
      <c r="C5342" t="s">
        <v>32</v>
      </c>
      <c r="D5342" t="s">
        <v>11</v>
      </c>
      <c r="E5342" t="s">
        <v>12</v>
      </c>
      <c r="F5342">
        <v>31865452</v>
      </c>
      <c r="G5342">
        <v>31865484</v>
      </c>
      <c r="H5342">
        <v>31865338</v>
      </c>
      <c r="I5342">
        <v>31865369</v>
      </c>
    </row>
    <row r="5343" spans="1:9" x14ac:dyDescent="0.2">
      <c r="A5343" s="1" t="str">
        <f>"EI24"</f>
        <v>EI24</v>
      </c>
      <c r="B5343" t="s">
        <v>14</v>
      </c>
      <c r="C5343" t="s">
        <v>27</v>
      </c>
      <c r="D5343" t="s">
        <v>17</v>
      </c>
      <c r="E5343" t="s">
        <v>12</v>
      </c>
      <c r="F5343">
        <v>125439301</v>
      </c>
      <c r="G5343">
        <v>125439385</v>
      </c>
      <c r="H5343">
        <v>125439386</v>
      </c>
      <c r="I5343">
        <v>125439406</v>
      </c>
    </row>
    <row r="5344" spans="1:9" x14ac:dyDescent="0.2">
      <c r="A5344" s="1" t="str">
        <f>"EID1"</f>
        <v>EID1</v>
      </c>
      <c r="B5344" t="s">
        <v>14</v>
      </c>
      <c r="C5344" t="s">
        <v>25</v>
      </c>
      <c r="D5344" t="s">
        <v>17</v>
      </c>
      <c r="E5344" t="s">
        <v>12</v>
      </c>
      <c r="F5344">
        <v>49170281</v>
      </c>
      <c r="G5344">
        <v>49170365</v>
      </c>
      <c r="H5344">
        <v>49170113</v>
      </c>
      <c r="I5344">
        <v>49170133</v>
      </c>
    </row>
    <row r="5345" spans="1:9" x14ac:dyDescent="0.2">
      <c r="A5345" s="1" t="str">
        <f>"EID2"</f>
        <v>EID2</v>
      </c>
      <c r="B5345" t="s">
        <v>14</v>
      </c>
      <c r="C5345" t="s">
        <v>10</v>
      </c>
      <c r="D5345" t="s">
        <v>11</v>
      </c>
      <c r="E5345" t="s">
        <v>12</v>
      </c>
      <c r="F5345">
        <v>40030784</v>
      </c>
      <c r="G5345">
        <v>40030808</v>
      </c>
      <c r="H5345">
        <v>40030811</v>
      </c>
      <c r="I5345">
        <v>40030848</v>
      </c>
    </row>
    <row r="5346" spans="1:9" x14ac:dyDescent="0.2">
      <c r="A5346" s="1" t="str">
        <f>"EID2B"</f>
        <v>EID2B</v>
      </c>
      <c r="B5346" t="s">
        <v>14</v>
      </c>
      <c r="C5346" t="s">
        <v>10</v>
      </c>
      <c r="D5346" t="s">
        <v>11</v>
      </c>
      <c r="E5346" t="s">
        <v>12</v>
      </c>
      <c r="F5346">
        <v>40023450</v>
      </c>
      <c r="G5346">
        <v>40023497</v>
      </c>
      <c r="H5346">
        <v>40023499</v>
      </c>
      <c r="I5346">
        <v>40023517</v>
      </c>
    </row>
    <row r="5347" spans="1:9" x14ac:dyDescent="0.2">
      <c r="A5347" s="1" t="str">
        <f>"EID3"</f>
        <v>EID3</v>
      </c>
      <c r="B5347" t="s">
        <v>14</v>
      </c>
      <c r="C5347" t="s">
        <v>16</v>
      </c>
      <c r="D5347" t="s">
        <v>17</v>
      </c>
      <c r="E5347" t="s">
        <v>12</v>
      </c>
      <c r="F5347">
        <v>104697504</v>
      </c>
      <c r="G5347">
        <v>104697585</v>
      </c>
      <c r="H5347">
        <v>104697661</v>
      </c>
      <c r="I5347">
        <v>104697674</v>
      </c>
    </row>
    <row r="5348" spans="1:9" x14ac:dyDescent="0.2">
      <c r="A5348" s="1" t="str">
        <f>"EIF1"</f>
        <v>EIF1</v>
      </c>
      <c r="B5348" t="s">
        <v>14</v>
      </c>
      <c r="C5348" t="s">
        <v>28</v>
      </c>
      <c r="D5348" t="s">
        <v>17</v>
      </c>
      <c r="E5348" t="s">
        <v>12</v>
      </c>
      <c r="F5348">
        <v>39845134</v>
      </c>
      <c r="G5348">
        <v>39845142</v>
      </c>
      <c r="H5348">
        <v>39845744</v>
      </c>
      <c r="I5348">
        <v>39845808</v>
      </c>
    </row>
    <row r="5349" spans="1:9" x14ac:dyDescent="0.2">
      <c r="A5349" s="1" t="str">
        <f>"EIF1AD"</f>
        <v>EIF1AD</v>
      </c>
      <c r="B5349" t="s">
        <v>14</v>
      </c>
      <c r="C5349" t="s">
        <v>27</v>
      </c>
      <c r="D5349" t="s">
        <v>11</v>
      </c>
      <c r="E5349" t="s">
        <v>12</v>
      </c>
      <c r="F5349">
        <v>65769594</v>
      </c>
      <c r="G5349">
        <v>65769645</v>
      </c>
      <c r="H5349">
        <v>65769573</v>
      </c>
      <c r="I5349">
        <v>65769591</v>
      </c>
    </row>
    <row r="5350" spans="1:9" x14ac:dyDescent="0.2">
      <c r="A5350" s="1" t="str">
        <f>"EIF1AX"</f>
        <v>EIF1AX</v>
      </c>
      <c r="B5350" t="s">
        <v>14</v>
      </c>
      <c r="C5350" t="s">
        <v>37</v>
      </c>
      <c r="D5350" t="s">
        <v>11</v>
      </c>
      <c r="E5350" t="s">
        <v>12</v>
      </c>
      <c r="F5350">
        <v>20159934</v>
      </c>
      <c r="G5350">
        <v>20159976</v>
      </c>
      <c r="H5350">
        <v>20160070</v>
      </c>
      <c r="I5350">
        <v>20160107</v>
      </c>
    </row>
    <row r="5351" spans="1:9" x14ac:dyDescent="0.2">
      <c r="A5351" s="1" t="str">
        <f>"EIF1AY"</f>
        <v>EIF1AY</v>
      </c>
      <c r="B5351" t="s">
        <v>14</v>
      </c>
      <c r="C5351" t="s">
        <v>63</v>
      </c>
      <c r="D5351" t="s">
        <v>17</v>
      </c>
      <c r="E5351" t="s">
        <v>12</v>
      </c>
      <c r="F5351">
        <v>22737619</v>
      </c>
      <c r="G5351">
        <v>22737669</v>
      </c>
      <c r="H5351">
        <v>22737678</v>
      </c>
      <c r="I5351">
        <v>22737720</v>
      </c>
    </row>
    <row r="5352" spans="1:9" x14ac:dyDescent="0.2">
      <c r="A5352" s="1" t="str">
        <f>"EIF1B"</f>
        <v>EIF1B</v>
      </c>
      <c r="B5352" t="s">
        <v>14</v>
      </c>
      <c r="C5352" t="s">
        <v>22</v>
      </c>
      <c r="D5352" t="s">
        <v>17</v>
      </c>
      <c r="E5352" t="s">
        <v>12</v>
      </c>
      <c r="F5352">
        <v>40351169</v>
      </c>
      <c r="G5352">
        <v>40351206</v>
      </c>
      <c r="H5352">
        <v>40351254</v>
      </c>
      <c r="I5352">
        <v>40351275</v>
      </c>
    </row>
    <row r="5353" spans="1:9" x14ac:dyDescent="0.2">
      <c r="A5353" s="1" t="str">
        <f>"EIF2A"</f>
        <v>EIF2A</v>
      </c>
      <c r="B5353" t="s">
        <v>14</v>
      </c>
      <c r="C5353" t="s">
        <v>22</v>
      </c>
      <c r="D5353" t="s">
        <v>17</v>
      </c>
      <c r="E5353" t="s">
        <v>12</v>
      </c>
      <c r="F5353">
        <v>150264555</v>
      </c>
      <c r="G5353">
        <v>150264592</v>
      </c>
      <c r="H5353">
        <v>150264458</v>
      </c>
      <c r="I5353">
        <v>150264469</v>
      </c>
    </row>
    <row r="5354" spans="1:9" x14ac:dyDescent="0.2">
      <c r="A5354" s="1" t="str">
        <f>"EIF2AK1"</f>
        <v>EIF2AK1</v>
      </c>
      <c r="B5354" t="s">
        <v>14</v>
      </c>
      <c r="C5354" t="s">
        <v>33</v>
      </c>
      <c r="D5354" t="s">
        <v>11</v>
      </c>
      <c r="E5354" t="s">
        <v>12</v>
      </c>
      <c r="F5354">
        <v>6098770</v>
      </c>
      <c r="G5354">
        <v>6098813</v>
      </c>
      <c r="H5354">
        <v>6098754</v>
      </c>
      <c r="I5354">
        <v>6098768</v>
      </c>
    </row>
    <row r="5355" spans="1:9" x14ac:dyDescent="0.2">
      <c r="A5355" s="1" t="str">
        <f>"EIF2AK2"</f>
        <v>EIF2AK2</v>
      </c>
      <c r="B5355" t="s">
        <v>14</v>
      </c>
      <c r="C5355" t="s">
        <v>26</v>
      </c>
      <c r="D5355" t="s">
        <v>11</v>
      </c>
      <c r="E5355" t="s">
        <v>12</v>
      </c>
      <c r="F5355">
        <v>37384085</v>
      </c>
      <c r="G5355">
        <v>37384134</v>
      </c>
      <c r="H5355">
        <v>37384085</v>
      </c>
      <c r="I5355">
        <v>37384134</v>
      </c>
    </row>
    <row r="5356" spans="1:9" x14ac:dyDescent="0.2">
      <c r="A5356" s="1" t="str">
        <f>"EIF2AK3"</f>
        <v>EIF2AK3</v>
      </c>
      <c r="B5356" t="s">
        <v>14</v>
      </c>
      <c r="C5356" t="s">
        <v>26</v>
      </c>
      <c r="D5356" t="s">
        <v>11</v>
      </c>
      <c r="E5356" t="s">
        <v>12</v>
      </c>
      <c r="F5356">
        <v>88926924</v>
      </c>
      <c r="G5356">
        <v>88927010</v>
      </c>
      <c r="H5356">
        <v>88926889</v>
      </c>
      <c r="I5356">
        <v>88926902</v>
      </c>
    </row>
    <row r="5357" spans="1:9" x14ac:dyDescent="0.2">
      <c r="A5357" s="1" t="str">
        <f>"EIF2AK4"</f>
        <v>EIF2AK4</v>
      </c>
      <c r="B5357" t="s">
        <v>14</v>
      </c>
      <c r="C5357" t="s">
        <v>25</v>
      </c>
      <c r="D5357" t="s">
        <v>17</v>
      </c>
      <c r="E5357" t="s">
        <v>12</v>
      </c>
      <c r="F5357">
        <v>40226304</v>
      </c>
      <c r="G5357">
        <v>40226387</v>
      </c>
      <c r="H5357">
        <v>40226262</v>
      </c>
      <c r="I5357">
        <v>40226273</v>
      </c>
    </row>
    <row r="5358" spans="1:9" x14ac:dyDescent="0.2">
      <c r="A5358" s="1" t="str">
        <f>"EIF2B1"</f>
        <v>EIF2B1</v>
      </c>
      <c r="B5358" t="s">
        <v>14</v>
      </c>
      <c r="C5358" t="s">
        <v>16</v>
      </c>
      <c r="D5358" t="s">
        <v>11</v>
      </c>
      <c r="E5358" t="s">
        <v>12</v>
      </c>
      <c r="F5358">
        <v>124118175</v>
      </c>
      <c r="G5358">
        <v>124118253</v>
      </c>
      <c r="H5358">
        <v>124118296</v>
      </c>
      <c r="I5358">
        <v>124118308</v>
      </c>
    </row>
    <row r="5359" spans="1:9" x14ac:dyDescent="0.2">
      <c r="A5359" s="1" t="str">
        <f>"EIF2B2"</f>
        <v>EIF2B2</v>
      </c>
      <c r="B5359" t="s">
        <v>14</v>
      </c>
      <c r="C5359" t="s">
        <v>41</v>
      </c>
      <c r="D5359" t="s">
        <v>17</v>
      </c>
      <c r="E5359" t="s">
        <v>12</v>
      </c>
      <c r="F5359">
        <v>75469606</v>
      </c>
      <c r="G5359">
        <v>75469690</v>
      </c>
      <c r="H5359">
        <v>75469591</v>
      </c>
      <c r="I5359">
        <v>75469602</v>
      </c>
    </row>
    <row r="5360" spans="1:9" x14ac:dyDescent="0.2">
      <c r="A5360" s="1" t="str">
        <f>"EIF2B3"</f>
        <v>EIF2B3</v>
      </c>
      <c r="B5360" t="s">
        <v>14</v>
      </c>
      <c r="C5360" t="s">
        <v>19</v>
      </c>
      <c r="D5360" t="s">
        <v>11</v>
      </c>
      <c r="E5360" t="s">
        <v>12</v>
      </c>
      <c r="F5360">
        <v>45452240</v>
      </c>
      <c r="G5360">
        <v>45452287</v>
      </c>
      <c r="H5360">
        <v>45452208</v>
      </c>
      <c r="I5360">
        <v>45452219</v>
      </c>
    </row>
    <row r="5361" spans="1:9" x14ac:dyDescent="0.2">
      <c r="A5361" s="1" t="str">
        <f>"EIF2B4"</f>
        <v>EIF2B4</v>
      </c>
      <c r="B5361" t="s">
        <v>14</v>
      </c>
      <c r="C5361" t="s">
        <v>26</v>
      </c>
      <c r="D5361" t="s">
        <v>11</v>
      </c>
      <c r="E5361" t="s">
        <v>12</v>
      </c>
      <c r="F5361">
        <v>27593180</v>
      </c>
      <c r="G5361">
        <v>27593221</v>
      </c>
      <c r="H5361">
        <v>27593261</v>
      </c>
      <c r="I5361">
        <v>27593272</v>
      </c>
    </row>
    <row r="5362" spans="1:9" x14ac:dyDescent="0.2">
      <c r="A5362" s="1" t="str">
        <f>"EIF2B5"</f>
        <v>EIF2B5</v>
      </c>
      <c r="B5362" t="s">
        <v>14</v>
      </c>
      <c r="C5362" t="s">
        <v>22</v>
      </c>
      <c r="D5362" t="s">
        <v>17</v>
      </c>
      <c r="E5362" t="s">
        <v>12</v>
      </c>
      <c r="F5362">
        <v>183853132</v>
      </c>
      <c r="G5362">
        <v>183853179</v>
      </c>
      <c r="H5362">
        <v>183852789</v>
      </c>
      <c r="I5362">
        <v>183852814</v>
      </c>
    </row>
    <row r="5363" spans="1:9" x14ac:dyDescent="0.2">
      <c r="A5363" s="1" t="str">
        <f>"EIF2D"</f>
        <v>EIF2D</v>
      </c>
      <c r="B5363" t="s">
        <v>14</v>
      </c>
      <c r="C5363" t="s">
        <v>19</v>
      </c>
      <c r="D5363" t="s">
        <v>11</v>
      </c>
      <c r="E5363" t="s">
        <v>12</v>
      </c>
      <c r="F5363">
        <v>206785789</v>
      </c>
      <c r="G5363">
        <v>206785833</v>
      </c>
      <c r="H5363">
        <v>206785734</v>
      </c>
      <c r="I5363">
        <v>206785771</v>
      </c>
    </row>
    <row r="5364" spans="1:9" x14ac:dyDescent="0.2">
      <c r="A5364" s="1" t="str">
        <f>"EIF2S1"</f>
        <v>EIF2S1</v>
      </c>
      <c r="B5364" t="s">
        <v>14</v>
      </c>
      <c r="C5364" t="s">
        <v>41</v>
      </c>
      <c r="D5364" t="s">
        <v>17</v>
      </c>
      <c r="E5364" t="s">
        <v>12</v>
      </c>
      <c r="F5364">
        <v>67827022</v>
      </c>
      <c r="G5364">
        <v>67827087</v>
      </c>
      <c r="H5364">
        <v>67827096</v>
      </c>
      <c r="I5364">
        <v>67827111</v>
      </c>
    </row>
    <row r="5365" spans="1:9" x14ac:dyDescent="0.2">
      <c r="A5365" s="1" t="str">
        <f>"EIF2S2"</f>
        <v>EIF2S2</v>
      </c>
      <c r="B5365" t="s">
        <v>14</v>
      </c>
      <c r="C5365" t="s">
        <v>29</v>
      </c>
      <c r="D5365" t="s">
        <v>11</v>
      </c>
      <c r="E5365" t="s">
        <v>12</v>
      </c>
      <c r="F5365">
        <v>32700012</v>
      </c>
      <c r="G5365">
        <v>32700059</v>
      </c>
      <c r="H5365">
        <v>32700075</v>
      </c>
      <c r="I5365">
        <v>32700090</v>
      </c>
    </row>
    <row r="5366" spans="1:9" x14ac:dyDescent="0.2">
      <c r="A5366" s="1" t="str">
        <f>"EIF2S3"</f>
        <v>EIF2S3</v>
      </c>
      <c r="B5366" t="s">
        <v>14</v>
      </c>
      <c r="C5366" t="s">
        <v>37</v>
      </c>
      <c r="D5366" t="s">
        <v>17</v>
      </c>
      <c r="E5366" t="s">
        <v>12</v>
      </c>
      <c r="F5366">
        <v>24073048</v>
      </c>
      <c r="G5366">
        <v>24073087</v>
      </c>
      <c r="H5366">
        <v>24072744</v>
      </c>
      <c r="I5366">
        <v>24072791</v>
      </c>
    </row>
    <row r="5367" spans="1:9" x14ac:dyDescent="0.2">
      <c r="A5367" s="1" t="str">
        <f>"EIF3A"</f>
        <v>EIF3A</v>
      </c>
      <c r="B5367" t="s">
        <v>14</v>
      </c>
      <c r="C5367" t="s">
        <v>15</v>
      </c>
      <c r="D5367" t="s">
        <v>11</v>
      </c>
      <c r="E5367" t="s">
        <v>12</v>
      </c>
      <c r="F5367">
        <v>120840309</v>
      </c>
      <c r="G5367">
        <v>120840338</v>
      </c>
      <c r="H5367">
        <v>120840292</v>
      </c>
      <c r="I5367">
        <v>120840303</v>
      </c>
    </row>
    <row r="5368" spans="1:9" x14ac:dyDescent="0.2">
      <c r="A5368" s="1" t="str">
        <f>"EIF3B"</f>
        <v>EIF3B</v>
      </c>
      <c r="B5368" t="s">
        <v>14</v>
      </c>
      <c r="C5368" t="s">
        <v>33</v>
      </c>
      <c r="D5368" t="s">
        <v>17</v>
      </c>
      <c r="E5368" t="s">
        <v>12</v>
      </c>
      <c r="F5368">
        <v>2394445</v>
      </c>
      <c r="G5368">
        <v>2394550</v>
      </c>
      <c r="H5368">
        <v>2393714</v>
      </c>
      <c r="I5368">
        <v>2393749</v>
      </c>
    </row>
    <row r="5369" spans="1:9" x14ac:dyDescent="0.2">
      <c r="A5369" s="1" t="str">
        <f>"EIF3C"</f>
        <v>EIF3C</v>
      </c>
      <c r="B5369" t="s">
        <v>14</v>
      </c>
      <c r="C5369" t="s">
        <v>31</v>
      </c>
      <c r="D5369" t="s">
        <v>17</v>
      </c>
      <c r="E5369" t="s">
        <v>12</v>
      </c>
      <c r="F5369">
        <v>28722774</v>
      </c>
      <c r="G5369">
        <v>28722807</v>
      </c>
      <c r="H5369">
        <v>28722809</v>
      </c>
      <c r="I5369">
        <v>28722820</v>
      </c>
    </row>
    <row r="5370" spans="1:9" x14ac:dyDescent="0.2">
      <c r="A5370" s="1" t="str">
        <f>"EIF3CL"</f>
        <v>EIF3CL</v>
      </c>
      <c r="B5370" t="s">
        <v>383</v>
      </c>
      <c r="C5370" t="s">
        <v>31</v>
      </c>
      <c r="D5370" t="s">
        <v>11</v>
      </c>
      <c r="E5370" t="s">
        <v>20</v>
      </c>
      <c r="F5370">
        <v>28415174</v>
      </c>
      <c r="G5370">
        <v>28415174</v>
      </c>
      <c r="H5370">
        <v>28415174</v>
      </c>
      <c r="I5370">
        <v>28415174</v>
      </c>
    </row>
    <row r="5371" spans="1:9" x14ac:dyDescent="0.2">
      <c r="A5371" s="1" t="str">
        <f>"EIF3D"</f>
        <v>EIF3D</v>
      </c>
      <c r="B5371" t="s">
        <v>14</v>
      </c>
      <c r="C5371" t="s">
        <v>21</v>
      </c>
      <c r="D5371" t="s">
        <v>11</v>
      </c>
      <c r="E5371" t="s">
        <v>12</v>
      </c>
      <c r="F5371">
        <v>36925186</v>
      </c>
      <c r="G5371">
        <v>36925227</v>
      </c>
      <c r="H5371">
        <v>36925159</v>
      </c>
      <c r="I5371">
        <v>36925173</v>
      </c>
    </row>
    <row r="5372" spans="1:9" x14ac:dyDescent="0.2">
      <c r="A5372" s="1" t="str">
        <f>"EIF3E"</f>
        <v>EIF3E</v>
      </c>
      <c r="B5372" t="s">
        <v>14</v>
      </c>
      <c r="C5372" t="s">
        <v>30</v>
      </c>
      <c r="D5372" t="s">
        <v>11</v>
      </c>
      <c r="E5372" t="s">
        <v>12</v>
      </c>
      <c r="F5372">
        <v>109260930</v>
      </c>
      <c r="G5372">
        <v>109260958</v>
      </c>
      <c r="H5372">
        <v>109260930</v>
      </c>
      <c r="I5372">
        <v>109260958</v>
      </c>
    </row>
    <row r="5373" spans="1:9" x14ac:dyDescent="0.2">
      <c r="A5373" s="1" t="str">
        <f>"EIF3F"</f>
        <v>EIF3F</v>
      </c>
      <c r="B5373" t="s">
        <v>14</v>
      </c>
      <c r="C5373" t="s">
        <v>27</v>
      </c>
      <c r="D5373" t="s">
        <v>17</v>
      </c>
      <c r="E5373" t="s">
        <v>12</v>
      </c>
      <c r="F5373">
        <v>8008875</v>
      </c>
      <c r="G5373">
        <v>8008892</v>
      </c>
      <c r="H5373">
        <v>8008875</v>
      </c>
      <c r="I5373">
        <v>8008892</v>
      </c>
    </row>
    <row r="5374" spans="1:9" x14ac:dyDescent="0.2">
      <c r="A5374" s="1" t="str">
        <f>"EIF3G"</f>
        <v>EIF3G</v>
      </c>
      <c r="B5374" t="s">
        <v>14</v>
      </c>
      <c r="C5374" t="s">
        <v>10</v>
      </c>
      <c r="D5374" t="s">
        <v>11</v>
      </c>
      <c r="E5374" t="s">
        <v>12</v>
      </c>
      <c r="F5374">
        <v>10230565</v>
      </c>
      <c r="G5374">
        <v>10230602</v>
      </c>
      <c r="H5374">
        <v>10230544</v>
      </c>
      <c r="I5374">
        <v>10230556</v>
      </c>
    </row>
    <row r="5375" spans="1:9" x14ac:dyDescent="0.2">
      <c r="A5375" s="1" t="str">
        <f>"EIF3H"</f>
        <v>EIF3H</v>
      </c>
      <c r="B5375" t="s">
        <v>14</v>
      </c>
      <c r="C5375" t="s">
        <v>30</v>
      </c>
      <c r="D5375" t="s">
        <v>11</v>
      </c>
      <c r="E5375" t="s">
        <v>12</v>
      </c>
      <c r="F5375">
        <v>117768034</v>
      </c>
      <c r="G5375">
        <v>117768069</v>
      </c>
      <c r="H5375">
        <v>117768034</v>
      </c>
      <c r="I5375">
        <v>117768069</v>
      </c>
    </row>
    <row r="5376" spans="1:9" x14ac:dyDescent="0.2">
      <c r="A5376" s="1" t="str">
        <f>"EIF3I"</f>
        <v>EIF3I</v>
      </c>
      <c r="B5376" t="s">
        <v>14</v>
      </c>
      <c r="C5376" t="s">
        <v>19</v>
      </c>
      <c r="D5376" t="s">
        <v>17</v>
      </c>
      <c r="E5376" t="s">
        <v>12</v>
      </c>
      <c r="F5376">
        <v>32687995</v>
      </c>
      <c r="G5376">
        <v>32688014</v>
      </c>
      <c r="H5376">
        <v>32688016</v>
      </c>
      <c r="I5376">
        <v>32688027</v>
      </c>
    </row>
    <row r="5377" spans="1:9" x14ac:dyDescent="0.2">
      <c r="A5377" s="1" t="str">
        <f>"EIF3J"</f>
        <v>EIF3J</v>
      </c>
      <c r="B5377" t="s">
        <v>14</v>
      </c>
      <c r="C5377" t="s">
        <v>25</v>
      </c>
      <c r="D5377" t="s">
        <v>17</v>
      </c>
      <c r="E5377" t="s">
        <v>12</v>
      </c>
      <c r="F5377">
        <v>44829334</v>
      </c>
      <c r="G5377">
        <v>44829384</v>
      </c>
      <c r="H5377">
        <v>44829283</v>
      </c>
      <c r="I5377">
        <v>44829331</v>
      </c>
    </row>
    <row r="5378" spans="1:9" x14ac:dyDescent="0.2">
      <c r="A5378" s="1" t="str">
        <f>"EIF3K"</f>
        <v>EIF3K</v>
      </c>
      <c r="B5378" t="s">
        <v>14</v>
      </c>
      <c r="C5378" t="s">
        <v>10</v>
      </c>
      <c r="D5378" t="s">
        <v>17</v>
      </c>
      <c r="E5378" t="s">
        <v>12</v>
      </c>
      <c r="F5378">
        <v>39109817</v>
      </c>
      <c r="G5378">
        <v>39109853</v>
      </c>
      <c r="H5378">
        <v>39109858</v>
      </c>
      <c r="I5378">
        <v>39109881</v>
      </c>
    </row>
    <row r="5379" spans="1:9" x14ac:dyDescent="0.2">
      <c r="A5379" s="1" t="str">
        <f>"EIF3L"</f>
        <v>EIF3L</v>
      </c>
      <c r="B5379" t="s">
        <v>14</v>
      </c>
      <c r="C5379" t="s">
        <v>21</v>
      </c>
      <c r="D5379" t="s">
        <v>17</v>
      </c>
      <c r="E5379" t="s">
        <v>12</v>
      </c>
      <c r="F5379">
        <v>38245414</v>
      </c>
      <c r="G5379">
        <v>38245436</v>
      </c>
      <c r="H5379">
        <v>38245414</v>
      </c>
      <c r="I5379">
        <v>38245436</v>
      </c>
    </row>
    <row r="5380" spans="1:9" x14ac:dyDescent="0.2">
      <c r="A5380" s="1" t="str">
        <f>"EIF3M"</f>
        <v>EIF3M</v>
      </c>
      <c r="B5380" t="s">
        <v>14</v>
      </c>
      <c r="C5380" t="s">
        <v>27</v>
      </c>
      <c r="D5380" t="s">
        <v>17</v>
      </c>
      <c r="E5380" t="s">
        <v>12</v>
      </c>
      <c r="F5380">
        <v>32605350</v>
      </c>
      <c r="G5380">
        <v>32605410</v>
      </c>
      <c r="H5380">
        <v>32605338</v>
      </c>
      <c r="I5380">
        <v>32605349</v>
      </c>
    </row>
    <row r="5381" spans="1:9" x14ac:dyDescent="0.2">
      <c r="A5381" s="1" t="str">
        <f>"EIF4A1"</f>
        <v>EIF4A1</v>
      </c>
      <c r="B5381" t="s">
        <v>14</v>
      </c>
      <c r="C5381" t="s">
        <v>28</v>
      </c>
      <c r="D5381" t="s">
        <v>17</v>
      </c>
      <c r="E5381" t="s">
        <v>12</v>
      </c>
      <c r="F5381">
        <v>7476136</v>
      </c>
      <c r="G5381">
        <v>7476151</v>
      </c>
      <c r="H5381">
        <v>7476136</v>
      </c>
      <c r="I5381">
        <v>7476151</v>
      </c>
    </row>
    <row r="5382" spans="1:9" x14ac:dyDescent="0.2">
      <c r="A5382" s="1" t="str">
        <f>"EIF4A2"</f>
        <v>EIF4A2</v>
      </c>
      <c r="B5382" t="s">
        <v>9</v>
      </c>
      <c r="C5382" t="s">
        <v>22</v>
      </c>
      <c r="D5382" t="s">
        <v>17</v>
      </c>
      <c r="E5382" t="s">
        <v>12</v>
      </c>
      <c r="F5382">
        <v>186501357</v>
      </c>
      <c r="G5382">
        <v>186501378</v>
      </c>
      <c r="H5382">
        <v>186501357</v>
      </c>
      <c r="I5382">
        <v>186501378</v>
      </c>
    </row>
    <row r="5383" spans="1:9" x14ac:dyDescent="0.2">
      <c r="A5383" s="1" t="str">
        <f>"EIF4A2"</f>
        <v>EIF4A2</v>
      </c>
      <c r="B5383" t="s">
        <v>13</v>
      </c>
      <c r="C5383" t="s">
        <v>22</v>
      </c>
      <c r="D5383" t="s">
        <v>17</v>
      </c>
      <c r="E5383" t="s">
        <v>12</v>
      </c>
      <c r="F5383">
        <v>186502824</v>
      </c>
      <c r="G5383">
        <v>186502860</v>
      </c>
      <c r="H5383">
        <v>186502824</v>
      </c>
      <c r="I5383">
        <v>186502860</v>
      </c>
    </row>
    <row r="5384" spans="1:9" x14ac:dyDescent="0.2">
      <c r="A5384" s="1" t="str">
        <f>"EIF4A3"</f>
        <v>EIF4A3</v>
      </c>
      <c r="B5384" t="s">
        <v>14</v>
      </c>
      <c r="C5384" t="s">
        <v>28</v>
      </c>
      <c r="D5384" t="s">
        <v>11</v>
      </c>
      <c r="E5384" t="s">
        <v>12</v>
      </c>
      <c r="F5384">
        <v>78120936</v>
      </c>
      <c r="G5384">
        <v>78120992</v>
      </c>
      <c r="H5384">
        <v>78120897</v>
      </c>
      <c r="I5384">
        <v>78120913</v>
      </c>
    </row>
    <row r="5385" spans="1:9" x14ac:dyDescent="0.2">
      <c r="A5385" s="1" t="str">
        <f>"EIF4B"</f>
        <v>EIF4B</v>
      </c>
      <c r="B5385" t="s">
        <v>14</v>
      </c>
      <c r="C5385" t="s">
        <v>16</v>
      </c>
      <c r="D5385" t="s">
        <v>17</v>
      </c>
      <c r="E5385" t="s">
        <v>12</v>
      </c>
      <c r="F5385">
        <v>53400176</v>
      </c>
      <c r="G5385">
        <v>53400271</v>
      </c>
      <c r="H5385">
        <v>53400046</v>
      </c>
      <c r="I5385">
        <v>53400071</v>
      </c>
    </row>
    <row r="5386" spans="1:9" x14ac:dyDescent="0.2">
      <c r="A5386" s="1" t="str">
        <f>"EIF4E"</f>
        <v>EIF4E</v>
      </c>
      <c r="B5386" t="s">
        <v>14</v>
      </c>
      <c r="C5386" t="s">
        <v>23</v>
      </c>
      <c r="D5386" t="s">
        <v>11</v>
      </c>
      <c r="E5386" t="s">
        <v>12</v>
      </c>
      <c r="F5386">
        <v>99850268</v>
      </c>
      <c r="G5386">
        <v>99850302</v>
      </c>
      <c r="H5386">
        <v>99851024</v>
      </c>
      <c r="I5386">
        <v>99851056</v>
      </c>
    </row>
    <row r="5387" spans="1:9" x14ac:dyDescent="0.2">
      <c r="A5387" s="1" t="str">
        <f>"EIF4E1B"</f>
        <v>EIF4E1B</v>
      </c>
      <c r="B5387" t="s">
        <v>14</v>
      </c>
      <c r="C5387" t="s">
        <v>46</v>
      </c>
      <c r="D5387" t="s">
        <v>17</v>
      </c>
      <c r="E5387" t="s">
        <v>12</v>
      </c>
      <c r="F5387">
        <v>176057594</v>
      </c>
      <c r="G5387">
        <v>176057615</v>
      </c>
      <c r="H5387">
        <v>176057663</v>
      </c>
      <c r="I5387">
        <v>176057681</v>
      </c>
    </row>
    <row r="5388" spans="1:9" x14ac:dyDescent="0.2">
      <c r="A5388" s="1" t="str">
        <f>"EIF4E2"</f>
        <v>EIF4E2</v>
      </c>
      <c r="B5388" t="s">
        <v>14</v>
      </c>
      <c r="C5388" t="s">
        <v>26</v>
      </c>
      <c r="D5388" t="s">
        <v>17</v>
      </c>
      <c r="E5388" t="s">
        <v>12</v>
      </c>
      <c r="F5388">
        <v>233415363</v>
      </c>
      <c r="G5388">
        <v>233415425</v>
      </c>
      <c r="H5388">
        <v>233415769</v>
      </c>
      <c r="I5388">
        <v>233415825</v>
      </c>
    </row>
    <row r="5389" spans="1:9" x14ac:dyDescent="0.2">
      <c r="A5389" s="1" t="str">
        <f>"EIF4E3"</f>
        <v>EIF4E3</v>
      </c>
      <c r="B5389" t="s">
        <v>14</v>
      </c>
      <c r="C5389" t="s">
        <v>22</v>
      </c>
      <c r="D5389" t="s">
        <v>11</v>
      </c>
      <c r="E5389" t="s">
        <v>12</v>
      </c>
      <c r="F5389">
        <v>71774516</v>
      </c>
      <c r="G5389">
        <v>71774587</v>
      </c>
      <c r="H5389">
        <v>71774516</v>
      </c>
      <c r="I5389">
        <v>71774587</v>
      </c>
    </row>
    <row r="5390" spans="1:9" x14ac:dyDescent="0.2">
      <c r="A5390" s="1" t="str">
        <f>"EIF4EBP1"</f>
        <v>EIF4EBP1</v>
      </c>
      <c r="B5390" t="s">
        <v>14</v>
      </c>
      <c r="C5390" t="s">
        <v>30</v>
      </c>
      <c r="D5390" t="s">
        <v>17</v>
      </c>
      <c r="E5390" t="s">
        <v>12</v>
      </c>
      <c r="F5390">
        <v>37888016</v>
      </c>
      <c r="G5390">
        <v>37888092</v>
      </c>
      <c r="H5390">
        <v>37887772</v>
      </c>
      <c r="I5390">
        <v>37887791</v>
      </c>
    </row>
    <row r="5391" spans="1:9" x14ac:dyDescent="0.2">
      <c r="A5391" s="1" t="str">
        <f>"EIF4EBP2"</f>
        <v>EIF4EBP2</v>
      </c>
      <c r="B5391" t="s">
        <v>14</v>
      </c>
      <c r="C5391" t="s">
        <v>15</v>
      </c>
      <c r="D5391" t="s">
        <v>17</v>
      </c>
      <c r="E5391" t="s">
        <v>12</v>
      </c>
      <c r="F5391">
        <v>72163885</v>
      </c>
      <c r="G5391">
        <v>72163919</v>
      </c>
      <c r="H5391">
        <v>72163885</v>
      </c>
      <c r="I5391">
        <v>72163919</v>
      </c>
    </row>
    <row r="5392" spans="1:9" x14ac:dyDescent="0.2">
      <c r="A5392" s="1" t="str">
        <f>"EIF4EBP3"</f>
        <v>EIF4EBP3</v>
      </c>
      <c r="B5392" t="s">
        <v>14</v>
      </c>
      <c r="C5392" t="s">
        <v>46</v>
      </c>
      <c r="D5392" t="s">
        <v>17</v>
      </c>
      <c r="E5392" t="s">
        <v>12</v>
      </c>
      <c r="F5392">
        <v>139927213</v>
      </c>
      <c r="G5392">
        <v>139927271</v>
      </c>
      <c r="H5392">
        <v>139927293</v>
      </c>
      <c r="I5392">
        <v>139927305</v>
      </c>
    </row>
    <row r="5393" spans="1:9" x14ac:dyDescent="0.2">
      <c r="A5393" s="1" t="str">
        <f>"EIF4ENIF1"</f>
        <v>EIF4ENIF1</v>
      </c>
      <c r="B5393" t="s">
        <v>14</v>
      </c>
      <c r="C5393" t="s">
        <v>21</v>
      </c>
      <c r="D5393" t="s">
        <v>11</v>
      </c>
      <c r="E5393" t="s">
        <v>12</v>
      </c>
      <c r="F5393">
        <v>31885747</v>
      </c>
      <c r="G5393">
        <v>31885858</v>
      </c>
      <c r="H5393">
        <v>31885514</v>
      </c>
      <c r="I5393">
        <v>31885557</v>
      </c>
    </row>
    <row r="5394" spans="1:9" x14ac:dyDescent="0.2">
      <c r="A5394" s="1" t="str">
        <f>"EIF4G1"</f>
        <v>EIF4G1</v>
      </c>
      <c r="B5394" t="s">
        <v>14</v>
      </c>
      <c r="C5394" t="s">
        <v>22</v>
      </c>
      <c r="D5394" t="s">
        <v>17</v>
      </c>
      <c r="E5394" t="s">
        <v>12</v>
      </c>
      <c r="F5394">
        <v>184032313</v>
      </c>
      <c r="G5394">
        <v>184032416</v>
      </c>
      <c r="H5394">
        <v>184032919</v>
      </c>
      <c r="I5394">
        <v>184033008</v>
      </c>
    </row>
    <row r="5395" spans="1:9" x14ac:dyDescent="0.2">
      <c r="A5395" s="1" t="str">
        <f>"EIF4G2"</f>
        <v>EIF4G2</v>
      </c>
      <c r="B5395" t="s">
        <v>9</v>
      </c>
      <c r="C5395" t="s">
        <v>27</v>
      </c>
      <c r="D5395" t="s">
        <v>11</v>
      </c>
      <c r="E5395" t="s">
        <v>12</v>
      </c>
      <c r="F5395">
        <v>10830463</v>
      </c>
      <c r="G5395">
        <v>10830494</v>
      </c>
      <c r="H5395">
        <v>10830463</v>
      </c>
      <c r="I5395">
        <v>10830494</v>
      </c>
    </row>
    <row r="5396" spans="1:9" x14ac:dyDescent="0.2">
      <c r="A5396" s="1" t="str">
        <f>"EIF4G2"</f>
        <v>EIF4G2</v>
      </c>
      <c r="B5396" t="s">
        <v>13</v>
      </c>
      <c r="C5396" t="s">
        <v>27</v>
      </c>
      <c r="D5396" t="s">
        <v>11</v>
      </c>
      <c r="E5396" t="s">
        <v>12</v>
      </c>
      <c r="F5396">
        <v>10828892</v>
      </c>
      <c r="G5396">
        <v>10828935</v>
      </c>
      <c r="H5396">
        <v>10828892</v>
      </c>
      <c r="I5396">
        <v>10828935</v>
      </c>
    </row>
    <row r="5397" spans="1:9" x14ac:dyDescent="0.2">
      <c r="A5397" s="1" t="str">
        <f>"EIF4G3"</f>
        <v>EIF4G3</v>
      </c>
      <c r="B5397" t="s">
        <v>9</v>
      </c>
      <c r="C5397" t="s">
        <v>19</v>
      </c>
      <c r="D5397" t="s">
        <v>11</v>
      </c>
      <c r="E5397" t="s">
        <v>12</v>
      </c>
      <c r="F5397">
        <v>21503337</v>
      </c>
      <c r="G5397">
        <v>21503407</v>
      </c>
      <c r="H5397">
        <v>21503337</v>
      </c>
      <c r="I5397">
        <v>21503407</v>
      </c>
    </row>
    <row r="5398" spans="1:9" x14ac:dyDescent="0.2">
      <c r="A5398" s="1" t="str">
        <f>"EIF4G3"</f>
        <v>EIF4G3</v>
      </c>
      <c r="B5398" t="s">
        <v>13</v>
      </c>
      <c r="C5398" t="s">
        <v>19</v>
      </c>
      <c r="D5398" t="s">
        <v>11</v>
      </c>
      <c r="E5398" t="s">
        <v>12</v>
      </c>
      <c r="F5398">
        <v>21377447</v>
      </c>
      <c r="G5398">
        <v>21377474</v>
      </c>
      <c r="H5398">
        <v>21377447</v>
      </c>
      <c r="I5398">
        <v>21377474</v>
      </c>
    </row>
    <row r="5399" spans="1:9" x14ac:dyDescent="0.2">
      <c r="A5399" s="1" t="str">
        <f>"EIF4H"</f>
        <v>EIF4H</v>
      </c>
      <c r="B5399" t="s">
        <v>14</v>
      </c>
      <c r="C5399" t="s">
        <v>33</v>
      </c>
      <c r="D5399" t="s">
        <v>17</v>
      </c>
      <c r="E5399" t="s">
        <v>12</v>
      </c>
      <c r="F5399">
        <v>73588665</v>
      </c>
      <c r="G5399">
        <v>73588691</v>
      </c>
      <c r="H5399">
        <v>73588654</v>
      </c>
      <c r="I5399">
        <v>73588663</v>
      </c>
    </row>
    <row r="5400" spans="1:9" x14ac:dyDescent="0.2">
      <c r="A5400" s="1" t="str">
        <f>"EIF5"</f>
        <v>EIF5</v>
      </c>
      <c r="B5400" t="s">
        <v>9</v>
      </c>
      <c r="C5400" t="s">
        <v>41</v>
      </c>
      <c r="D5400" t="s">
        <v>17</v>
      </c>
      <c r="E5400" t="s">
        <v>12</v>
      </c>
      <c r="F5400">
        <v>103800513</v>
      </c>
      <c r="G5400">
        <v>103800583</v>
      </c>
      <c r="H5400">
        <v>103800513</v>
      </c>
      <c r="I5400">
        <v>103800583</v>
      </c>
    </row>
    <row r="5401" spans="1:9" x14ac:dyDescent="0.2">
      <c r="A5401" s="1" t="str">
        <f>"EIF5"</f>
        <v>EIF5</v>
      </c>
      <c r="B5401" t="s">
        <v>13</v>
      </c>
      <c r="C5401" t="s">
        <v>41</v>
      </c>
      <c r="D5401" t="s">
        <v>17</v>
      </c>
      <c r="E5401" t="s">
        <v>12</v>
      </c>
      <c r="F5401">
        <v>103803026</v>
      </c>
      <c r="G5401">
        <v>103803092</v>
      </c>
      <c r="H5401">
        <v>103803026</v>
      </c>
      <c r="I5401">
        <v>103803092</v>
      </c>
    </row>
    <row r="5402" spans="1:9" x14ac:dyDescent="0.2">
      <c r="A5402" s="1" t="str">
        <f>"EIF5A"</f>
        <v>EIF5A</v>
      </c>
      <c r="B5402" t="s">
        <v>14</v>
      </c>
      <c r="C5402" t="s">
        <v>28</v>
      </c>
      <c r="D5402" t="s">
        <v>17</v>
      </c>
      <c r="E5402" t="s">
        <v>12</v>
      </c>
      <c r="F5402">
        <v>7210921</v>
      </c>
      <c r="G5402">
        <v>7210983</v>
      </c>
      <c r="H5402">
        <v>7210898</v>
      </c>
      <c r="I5402">
        <v>7210918</v>
      </c>
    </row>
    <row r="5403" spans="1:9" x14ac:dyDescent="0.2">
      <c r="A5403" s="1" t="str">
        <f>"EIF5A2"</f>
        <v>EIF5A2</v>
      </c>
      <c r="B5403" t="s">
        <v>14</v>
      </c>
      <c r="C5403" t="s">
        <v>22</v>
      </c>
      <c r="D5403" t="s">
        <v>11</v>
      </c>
      <c r="E5403" t="s">
        <v>12</v>
      </c>
      <c r="F5403">
        <v>170626376</v>
      </c>
      <c r="G5403">
        <v>170626413</v>
      </c>
      <c r="H5403">
        <v>170626418</v>
      </c>
      <c r="I5403">
        <v>170626454</v>
      </c>
    </row>
    <row r="5404" spans="1:9" x14ac:dyDescent="0.2">
      <c r="A5404" s="1" t="str">
        <f>"EIF5AL1"</f>
        <v>EIF5AL1</v>
      </c>
      <c r="B5404" t="s">
        <v>14</v>
      </c>
      <c r="C5404" t="s">
        <v>15</v>
      </c>
      <c r="D5404" t="s">
        <v>17</v>
      </c>
      <c r="E5404" t="s">
        <v>12</v>
      </c>
      <c r="F5404">
        <v>81272287</v>
      </c>
      <c r="G5404">
        <v>81272299</v>
      </c>
      <c r="H5404">
        <v>81272287</v>
      </c>
      <c r="I5404">
        <v>81272299</v>
      </c>
    </row>
    <row r="5405" spans="1:9" x14ac:dyDescent="0.2">
      <c r="A5405" s="1" t="str">
        <f>"EIF5B"</f>
        <v>EIF5B</v>
      </c>
      <c r="B5405" t="s">
        <v>14</v>
      </c>
      <c r="C5405" t="s">
        <v>26</v>
      </c>
      <c r="D5405" t="s">
        <v>17</v>
      </c>
      <c r="E5405" t="s">
        <v>12</v>
      </c>
      <c r="F5405">
        <v>99953827</v>
      </c>
      <c r="G5405">
        <v>99953894</v>
      </c>
      <c r="H5405">
        <v>99953983</v>
      </c>
      <c r="I5405">
        <v>99954001</v>
      </c>
    </row>
    <row r="5406" spans="1:9" x14ac:dyDescent="0.2">
      <c r="A5406" s="1" t="str">
        <f>"EIF6"</f>
        <v>EIF6</v>
      </c>
      <c r="B5406" t="s">
        <v>14</v>
      </c>
      <c r="C5406" t="s">
        <v>29</v>
      </c>
      <c r="D5406" t="s">
        <v>11</v>
      </c>
      <c r="E5406" t="s">
        <v>12</v>
      </c>
      <c r="F5406">
        <v>33872548</v>
      </c>
      <c r="G5406">
        <v>33872604</v>
      </c>
      <c r="H5406">
        <v>33872284</v>
      </c>
      <c r="I5406">
        <v>33872387</v>
      </c>
    </row>
    <row r="5407" spans="1:9" x14ac:dyDescent="0.2">
      <c r="A5407" s="1" t="str">
        <f>"ELAC1"</f>
        <v>ELAC1</v>
      </c>
      <c r="B5407" t="s">
        <v>14</v>
      </c>
      <c r="C5407" t="s">
        <v>43</v>
      </c>
      <c r="D5407" t="s">
        <v>17</v>
      </c>
      <c r="E5407" t="s">
        <v>12</v>
      </c>
      <c r="F5407">
        <v>48494379</v>
      </c>
      <c r="G5407">
        <v>48494426</v>
      </c>
      <c r="H5407">
        <v>48494354</v>
      </c>
      <c r="I5407">
        <v>48494363</v>
      </c>
    </row>
    <row r="5408" spans="1:9" x14ac:dyDescent="0.2">
      <c r="A5408" s="1" t="str">
        <f>"ELAC2"</f>
        <v>ELAC2</v>
      </c>
      <c r="B5408" t="s">
        <v>14</v>
      </c>
      <c r="C5408" t="s">
        <v>28</v>
      </c>
      <c r="D5408" t="s">
        <v>11</v>
      </c>
      <c r="E5408" t="s">
        <v>12</v>
      </c>
      <c r="F5408">
        <v>12921270</v>
      </c>
      <c r="G5408">
        <v>12921359</v>
      </c>
      <c r="H5408">
        <v>12920974</v>
      </c>
      <c r="I5408">
        <v>12920987</v>
      </c>
    </row>
    <row r="5409" spans="1:9" x14ac:dyDescent="0.2">
      <c r="A5409" s="1" t="str">
        <f>"ELANE"</f>
        <v>ELANE</v>
      </c>
      <c r="B5409" t="s">
        <v>14</v>
      </c>
      <c r="C5409" t="s">
        <v>10</v>
      </c>
      <c r="D5409" t="s">
        <v>17</v>
      </c>
      <c r="E5409" t="s">
        <v>12</v>
      </c>
      <c r="F5409">
        <v>852295</v>
      </c>
      <c r="G5409">
        <v>852310</v>
      </c>
      <c r="H5409">
        <v>853278</v>
      </c>
      <c r="I5409">
        <v>853299</v>
      </c>
    </row>
    <row r="5410" spans="1:9" x14ac:dyDescent="0.2">
      <c r="A5410" s="1" t="str">
        <f>"ELAVL1"</f>
        <v>ELAVL1</v>
      </c>
      <c r="B5410" t="s">
        <v>14</v>
      </c>
      <c r="C5410" t="s">
        <v>10</v>
      </c>
      <c r="D5410" t="s">
        <v>11</v>
      </c>
      <c r="E5410" t="s">
        <v>12</v>
      </c>
      <c r="F5410">
        <v>8070474</v>
      </c>
      <c r="G5410">
        <v>8070564</v>
      </c>
      <c r="H5410">
        <v>8070474</v>
      </c>
      <c r="I5410">
        <v>8070564</v>
      </c>
    </row>
    <row r="5411" spans="1:9" x14ac:dyDescent="0.2">
      <c r="A5411" s="1" t="str">
        <f>"ELAVL2"</f>
        <v>ELAVL2</v>
      </c>
      <c r="B5411" t="s">
        <v>9</v>
      </c>
      <c r="C5411" t="s">
        <v>24</v>
      </c>
      <c r="D5411" t="s">
        <v>11</v>
      </c>
      <c r="E5411" t="s">
        <v>12</v>
      </c>
      <c r="F5411">
        <v>23826298</v>
      </c>
      <c r="G5411">
        <v>23826344</v>
      </c>
      <c r="H5411">
        <v>23826298</v>
      </c>
      <c r="I5411">
        <v>23826344</v>
      </c>
    </row>
    <row r="5412" spans="1:9" x14ac:dyDescent="0.2">
      <c r="A5412" s="1" t="str">
        <f>"ELAVL2"</f>
        <v>ELAVL2</v>
      </c>
      <c r="B5412" t="s">
        <v>13</v>
      </c>
      <c r="C5412" t="s">
        <v>24</v>
      </c>
      <c r="D5412" t="s">
        <v>11</v>
      </c>
      <c r="E5412" t="s">
        <v>12</v>
      </c>
      <c r="F5412">
        <v>23821808</v>
      </c>
      <c r="G5412">
        <v>23821827</v>
      </c>
      <c r="H5412">
        <v>23821808</v>
      </c>
      <c r="I5412">
        <v>23821827</v>
      </c>
    </row>
    <row r="5413" spans="1:9" x14ac:dyDescent="0.2">
      <c r="A5413" s="1" t="str">
        <f>"ELAVL3"</f>
        <v>ELAVL3</v>
      </c>
      <c r="B5413" t="s">
        <v>9</v>
      </c>
      <c r="C5413" t="s">
        <v>10</v>
      </c>
      <c r="D5413" t="s">
        <v>11</v>
      </c>
      <c r="E5413" t="s">
        <v>12</v>
      </c>
      <c r="F5413">
        <v>11591859</v>
      </c>
      <c r="G5413">
        <v>11591865</v>
      </c>
      <c r="H5413">
        <v>11591859</v>
      </c>
      <c r="I5413">
        <v>11591865</v>
      </c>
    </row>
    <row r="5414" spans="1:9" x14ac:dyDescent="0.2">
      <c r="A5414" s="1" t="str">
        <f>"ELAVL3"</f>
        <v>ELAVL3</v>
      </c>
      <c r="B5414" t="s">
        <v>13</v>
      </c>
      <c r="C5414" t="s">
        <v>10</v>
      </c>
      <c r="D5414" t="s">
        <v>11</v>
      </c>
      <c r="E5414" t="s">
        <v>12</v>
      </c>
      <c r="F5414">
        <v>11564569</v>
      </c>
      <c r="G5414">
        <v>11564588</v>
      </c>
      <c r="H5414">
        <v>11564569</v>
      </c>
      <c r="I5414">
        <v>11564588</v>
      </c>
    </row>
    <row r="5415" spans="1:9" x14ac:dyDescent="0.2">
      <c r="A5415" s="1" t="str">
        <f>"ELAVL4"</f>
        <v>ELAVL4</v>
      </c>
      <c r="B5415" t="s">
        <v>14</v>
      </c>
      <c r="C5415" t="s">
        <v>19</v>
      </c>
      <c r="D5415" t="s">
        <v>17</v>
      </c>
      <c r="E5415" t="s">
        <v>12</v>
      </c>
      <c r="F5415">
        <v>50574585</v>
      </c>
      <c r="G5415">
        <v>50574627</v>
      </c>
      <c r="H5415">
        <v>50575491</v>
      </c>
      <c r="I5415">
        <v>50575526</v>
      </c>
    </row>
    <row r="5416" spans="1:9" x14ac:dyDescent="0.2">
      <c r="A5416" s="1" t="str">
        <f>"ELF1"</f>
        <v>ELF1</v>
      </c>
      <c r="B5416" t="s">
        <v>14</v>
      </c>
      <c r="C5416" t="s">
        <v>39</v>
      </c>
      <c r="D5416" t="s">
        <v>11</v>
      </c>
      <c r="E5416" t="s">
        <v>12</v>
      </c>
      <c r="F5416">
        <v>41593425</v>
      </c>
      <c r="G5416">
        <v>41593480</v>
      </c>
      <c r="H5416">
        <v>41593425</v>
      </c>
      <c r="I5416">
        <v>41593480</v>
      </c>
    </row>
    <row r="5417" spans="1:9" x14ac:dyDescent="0.2">
      <c r="A5417" s="1" t="str">
        <f>"ELF2"</f>
        <v>ELF2</v>
      </c>
      <c r="B5417" t="s">
        <v>14</v>
      </c>
      <c r="C5417" t="s">
        <v>23</v>
      </c>
      <c r="D5417" t="s">
        <v>11</v>
      </c>
      <c r="E5417" t="s">
        <v>12</v>
      </c>
      <c r="F5417">
        <v>140098339</v>
      </c>
      <c r="G5417">
        <v>140098392</v>
      </c>
      <c r="H5417">
        <v>140098339</v>
      </c>
      <c r="I5417">
        <v>140098392</v>
      </c>
    </row>
    <row r="5418" spans="1:9" x14ac:dyDescent="0.2">
      <c r="A5418" s="1" t="str">
        <f>"ELF3"</f>
        <v>ELF3</v>
      </c>
      <c r="B5418" t="s">
        <v>14</v>
      </c>
      <c r="C5418" t="s">
        <v>19</v>
      </c>
      <c r="D5418" t="s">
        <v>17</v>
      </c>
      <c r="E5418" t="s">
        <v>12</v>
      </c>
      <c r="F5418">
        <v>201979743</v>
      </c>
      <c r="G5418">
        <v>201979762</v>
      </c>
      <c r="H5418">
        <v>201979703</v>
      </c>
      <c r="I5418">
        <v>201979721</v>
      </c>
    </row>
    <row r="5419" spans="1:9" x14ac:dyDescent="0.2">
      <c r="A5419" s="1" t="str">
        <f>"ELF4"</f>
        <v>ELF4</v>
      </c>
      <c r="B5419" t="s">
        <v>14</v>
      </c>
      <c r="C5419" t="s">
        <v>37</v>
      </c>
      <c r="D5419" t="s">
        <v>11</v>
      </c>
      <c r="E5419" t="s">
        <v>12</v>
      </c>
      <c r="F5419">
        <v>129244454</v>
      </c>
      <c r="G5419">
        <v>129244488</v>
      </c>
      <c r="H5419">
        <v>129244840</v>
      </c>
      <c r="I5419">
        <v>129244881</v>
      </c>
    </row>
    <row r="5420" spans="1:9" x14ac:dyDescent="0.2">
      <c r="A5420" s="1" t="str">
        <f>"ELF5"</f>
        <v>ELF5</v>
      </c>
      <c r="B5420" t="s">
        <v>14</v>
      </c>
      <c r="C5420" t="s">
        <v>27</v>
      </c>
      <c r="D5420" t="s">
        <v>11</v>
      </c>
      <c r="E5420" t="s">
        <v>12</v>
      </c>
      <c r="F5420">
        <v>34535297</v>
      </c>
      <c r="G5420">
        <v>34535317</v>
      </c>
      <c r="H5420">
        <v>34535332</v>
      </c>
      <c r="I5420">
        <v>34535347</v>
      </c>
    </row>
    <row r="5421" spans="1:9" x14ac:dyDescent="0.2">
      <c r="A5421" s="1" t="str">
        <f>"ELFN1"</f>
        <v>ELFN1</v>
      </c>
      <c r="B5421" t="s">
        <v>384</v>
      </c>
      <c r="C5421" t="s">
        <v>33</v>
      </c>
      <c r="D5421" t="s">
        <v>17</v>
      </c>
      <c r="E5421" t="s">
        <v>20</v>
      </c>
      <c r="F5421">
        <v>1727754</v>
      </c>
      <c r="G5421">
        <v>1727754</v>
      </c>
      <c r="H5421">
        <v>1727754</v>
      </c>
      <c r="I5421">
        <v>1727754</v>
      </c>
    </row>
    <row r="5422" spans="1:9" x14ac:dyDescent="0.2">
      <c r="A5422" s="1" t="str">
        <f>"ELFN1"</f>
        <v>ELFN1</v>
      </c>
      <c r="B5422" t="s">
        <v>385</v>
      </c>
      <c r="C5422" t="s">
        <v>33</v>
      </c>
      <c r="D5422" t="s">
        <v>17</v>
      </c>
      <c r="E5422" t="s">
        <v>20</v>
      </c>
      <c r="F5422">
        <v>1748797</v>
      </c>
      <c r="G5422">
        <v>1748797</v>
      </c>
      <c r="H5422">
        <v>1748797</v>
      </c>
      <c r="I5422">
        <v>1748797</v>
      </c>
    </row>
    <row r="5423" spans="1:9" x14ac:dyDescent="0.2">
      <c r="A5423" s="1" t="str">
        <f>"ELFN2"</f>
        <v>ELFN2</v>
      </c>
      <c r="B5423" t="s">
        <v>14</v>
      </c>
      <c r="C5423" t="s">
        <v>21</v>
      </c>
      <c r="D5423" t="s">
        <v>11</v>
      </c>
      <c r="E5423" t="s">
        <v>12</v>
      </c>
      <c r="F5423">
        <v>37823468</v>
      </c>
      <c r="G5423">
        <v>37823528</v>
      </c>
      <c r="H5423">
        <v>37823468</v>
      </c>
      <c r="I5423">
        <v>37823528</v>
      </c>
    </row>
    <row r="5424" spans="1:9" x14ac:dyDescent="0.2">
      <c r="A5424" s="1" t="str">
        <f>"ELK1"</f>
        <v>ELK1</v>
      </c>
      <c r="B5424" t="s">
        <v>14</v>
      </c>
      <c r="C5424" t="s">
        <v>37</v>
      </c>
      <c r="D5424" t="s">
        <v>11</v>
      </c>
      <c r="E5424" t="s">
        <v>12</v>
      </c>
      <c r="F5424">
        <v>47509928</v>
      </c>
      <c r="G5424">
        <v>47509990</v>
      </c>
      <c r="H5424">
        <v>47509994</v>
      </c>
      <c r="I5424">
        <v>47510008</v>
      </c>
    </row>
    <row r="5425" spans="1:9" x14ac:dyDescent="0.2">
      <c r="A5425" s="1" t="str">
        <f>"ELK3"</f>
        <v>ELK3</v>
      </c>
      <c r="B5425" t="s">
        <v>14</v>
      </c>
      <c r="C5425" t="s">
        <v>16</v>
      </c>
      <c r="D5425" t="s">
        <v>17</v>
      </c>
      <c r="E5425" t="s">
        <v>12</v>
      </c>
      <c r="F5425">
        <v>96588143</v>
      </c>
      <c r="G5425">
        <v>96588185</v>
      </c>
      <c r="H5425">
        <v>96588219</v>
      </c>
      <c r="I5425">
        <v>96588263</v>
      </c>
    </row>
    <row r="5426" spans="1:9" x14ac:dyDescent="0.2">
      <c r="A5426" s="1" t="str">
        <f>"ELK4"</f>
        <v>ELK4</v>
      </c>
      <c r="B5426" t="s">
        <v>14</v>
      </c>
      <c r="C5426" t="s">
        <v>19</v>
      </c>
      <c r="D5426" t="s">
        <v>11</v>
      </c>
      <c r="E5426" t="s">
        <v>12</v>
      </c>
      <c r="F5426">
        <v>205601093</v>
      </c>
      <c r="G5426">
        <v>205601158</v>
      </c>
      <c r="H5426">
        <v>205601000</v>
      </c>
      <c r="I5426">
        <v>205601055</v>
      </c>
    </row>
    <row r="5427" spans="1:9" x14ac:dyDescent="0.2">
      <c r="A5427" s="1" t="str">
        <f>"ELL"</f>
        <v>ELL</v>
      </c>
      <c r="B5427" t="s">
        <v>14</v>
      </c>
      <c r="C5427" t="s">
        <v>10</v>
      </c>
      <c r="D5427" t="s">
        <v>11</v>
      </c>
      <c r="E5427" t="s">
        <v>12</v>
      </c>
      <c r="F5427">
        <v>18632861</v>
      </c>
      <c r="G5427">
        <v>18632887</v>
      </c>
      <c r="H5427">
        <v>18632861</v>
      </c>
      <c r="I5427">
        <v>18632887</v>
      </c>
    </row>
    <row r="5428" spans="1:9" x14ac:dyDescent="0.2">
      <c r="A5428" s="1" t="str">
        <f>"ELL2"</f>
        <v>ELL2</v>
      </c>
      <c r="B5428" t="s">
        <v>14</v>
      </c>
      <c r="C5428" t="s">
        <v>46</v>
      </c>
      <c r="D5428" t="s">
        <v>11</v>
      </c>
      <c r="E5428" t="s">
        <v>12</v>
      </c>
      <c r="F5428">
        <v>95297534</v>
      </c>
      <c r="G5428">
        <v>95297563</v>
      </c>
      <c r="H5428">
        <v>95297464</v>
      </c>
      <c r="I5428">
        <v>95297507</v>
      </c>
    </row>
    <row r="5429" spans="1:9" x14ac:dyDescent="0.2">
      <c r="A5429" s="1" t="str">
        <f>"ELL3"</f>
        <v>ELL3</v>
      </c>
      <c r="B5429" t="s">
        <v>14</v>
      </c>
      <c r="C5429" t="s">
        <v>25</v>
      </c>
      <c r="D5429" t="s">
        <v>11</v>
      </c>
      <c r="E5429" t="s">
        <v>12</v>
      </c>
      <c r="F5429">
        <v>44069156</v>
      </c>
      <c r="G5429">
        <v>44069208</v>
      </c>
      <c r="H5429">
        <v>44069517</v>
      </c>
      <c r="I5429">
        <v>44069531</v>
      </c>
    </row>
    <row r="5430" spans="1:9" x14ac:dyDescent="0.2">
      <c r="A5430" s="1" t="str">
        <f>"ELMO1"</f>
        <v>ELMO1</v>
      </c>
      <c r="B5430" t="s">
        <v>14</v>
      </c>
      <c r="C5430" t="s">
        <v>33</v>
      </c>
      <c r="D5430" t="s">
        <v>11</v>
      </c>
      <c r="E5430" t="s">
        <v>12</v>
      </c>
      <c r="F5430">
        <v>37488448</v>
      </c>
      <c r="G5430">
        <v>37488517</v>
      </c>
      <c r="H5430">
        <v>37488448</v>
      </c>
      <c r="I5430">
        <v>37488517</v>
      </c>
    </row>
    <row r="5431" spans="1:9" x14ac:dyDescent="0.2">
      <c r="A5431" s="1" t="str">
        <f>"ELMO2"</f>
        <v>ELMO2</v>
      </c>
      <c r="B5431" t="s">
        <v>14</v>
      </c>
      <c r="C5431" t="s">
        <v>29</v>
      </c>
      <c r="D5431" t="s">
        <v>11</v>
      </c>
      <c r="E5431" t="s">
        <v>12</v>
      </c>
      <c r="F5431">
        <v>45035223</v>
      </c>
      <c r="G5431">
        <v>45035280</v>
      </c>
      <c r="H5431">
        <v>45035208</v>
      </c>
      <c r="I5431">
        <v>45035217</v>
      </c>
    </row>
    <row r="5432" spans="1:9" x14ac:dyDescent="0.2">
      <c r="A5432" s="1" t="str">
        <f>"ELMO3"</f>
        <v>ELMO3</v>
      </c>
      <c r="B5432" t="s">
        <v>14</v>
      </c>
      <c r="C5432" t="s">
        <v>31</v>
      </c>
      <c r="D5432" t="s">
        <v>17</v>
      </c>
      <c r="E5432" t="s">
        <v>12</v>
      </c>
      <c r="F5432">
        <v>67233007</v>
      </c>
      <c r="G5432">
        <v>67233061</v>
      </c>
      <c r="H5432">
        <v>67233007</v>
      </c>
      <c r="I5432">
        <v>67233061</v>
      </c>
    </row>
    <row r="5433" spans="1:9" x14ac:dyDescent="0.2">
      <c r="A5433" s="1" t="str">
        <f>"ELMOD1"</f>
        <v>ELMOD1</v>
      </c>
      <c r="B5433" t="s">
        <v>14</v>
      </c>
      <c r="C5433" t="s">
        <v>27</v>
      </c>
      <c r="D5433" t="s">
        <v>17</v>
      </c>
      <c r="E5433" t="s">
        <v>12</v>
      </c>
      <c r="F5433">
        <v>107461948</v>
      </c>
      <c r="G5433">
        <v>107462009</v>
      </c>
      <c r="H5433">
        <v>107461804</v>
      </c>
      <c r="I5433">
        <v>107461882</v>
      </c>
    </row>
    <row r="5434" spans="1:9" x14ac:dyDescent="0.2">
      <c r="A5434" s="1" t="str">
        <f>"ELMOD2"</f>
        <v>ELMOD2</v>
      </c>
      <c r="B5434" t="s">
        <v>14</v>
      </c>
      <c r="C5434" t="s">
        <v>23</v>
      </c>
      <c r="D5434" t="s">
        <v>17</v>
      </c>
      <c r="E5434" t="s">
        <v>12</v>
      </c>
      <c r="F5434">
        <v>141445311</v>
      </c>
      <c r="G5434">
        <v>141445332</v>
      </c>
      <c r="H5434">
        <v>141445333</v>
      </c>
      <c r="I5434">
        <v>141445362</v>
      </c>
    </row>
    <row r="5435" spans="1:9" x14ac:dyDescent="0.2">
      <c r="A5435" s="1" t="str">
        <f>"ELMOD3"</f>
        <v>ELMOD3</v>
      </c>
      <c r="B5435" t="s">
        <v>14</v>
      </c>
      <c r="C5435" t="s">
        <v>26</v>
      </c>
      <c r="D5435" t="s">
        <v>17</v>
      </c>
      <c r="E5435" t="s">
        <v>12</v>
      </c>
      <c r="F5435">
        <v>85581864</v>
      </c>
      <c r="G5435">
        <v>85581907</v>
      </c>
      <c r="H5435">
        <v>85581864</v>
      </c>
      <c r="I5435">
        <v>85581907</v>
      </c>
    </row>
    <row r="5436" spans="1:9" x14ac:dyDescent="0.2">
      <c r="A5436" s="1" t="str">
        <f>"ELMSAN1"</f>
        <v>ELMSAN1</v>
      </c>
      <c r="B5436" t="s">
        <v>9</v>
      </c>
      <c r="C5436" t="s">
        <v>41</v>
      </c>
      <c r="D5436" t="s">
        <v>11</v>
      </c>
      <c r="E5436" t="s">
        <v>12</v>
      </c>
      <c r="F5436">
        <v>74226961</v>
      </c>
      <c r="G5436">
        <v>74227020</v>
      </c>
      <c r="H5436">
        <v>74226961</v>
      </c>
      <c r="I5436">
        <v>74227020</v>
      </c>
    </row>
    <row r="5437" spans="1:9" x14ac:dyDescent="0.2">
      <c r="A5437" s="1" t="str">
        <f>"ELMSAN1"</f>
        <v>ELMSAN1</v>
      </c>
      <c r="B5437" t="s">
        <v>13</v>
      </c>
      <c r="C5437" t="s">
        <v>41</v>
      </c>
      <c r="D5437" t="s">
        <v>11</v>
      </c>
      <c r="E5437" t="s">
        <v>12</v>
      </c>
      <c r="F5437">
        <v>74253865</v>
      </c>
      <c r="G5437">
        <v>74253917</v>
      </c>
      <c r="H5437">
        <v>74253865</v>
      </c>
      <c r="I5437">
        <v>74253917</v>
      </c>
    </row>
    <row r="5438" spans="1:9" x14ac:dyDescent="0.2">
      <c r="A5438" s="1" t="str">
        <f>"ELN"</f>
        <v>ELN</v>
      </c>
      <c r="B5438" t="s">
        <v>14</v>
      </c>
      <c r="C5438" t="s">
        <v>33</v>
      </c>
      <c r="D5438" t="s">
        <v>17</v>
      </c>
      <c r="E5438" t="s">
        <v>12</v>
      </c>
      <c r="F5438">
        <v>73442494</v>
      </c>
      <c r="G5438">
        <v>73442517</v>
      </c>
      <c r="H5438">
        <v>73442422</v>
      </c>
      <c r="I5438">
        <v>73442447</v>
      </c>
    </row>
    <row r="5439" spans="1:9" x14ac:dyDescent="0.2">
      <c r="A5439" s="1" t="str">
        <f>"ELOF1"</f>
        <v>ELOF1</v>
      </c>
      <c r="B5439" t="s">
        <v>14</v>
      </c>
      <c r="C5439" t="s">
        <v>10</v>
      </c>
      <c r="D5439" t="s">
        <v>11</v>
      </c>
      <c r="E5439" t="s">
        <v>12</v>
      </c>
      <c r="F5439">
        <v>11670032</v>
      </c>
      <c r="G5439">
        <v>11670064</v>
      </c>
      <c r="H5439">
        <v>11670139</v>
      </c>
      <c r="I5439">
        <v>11670176</v>
      </c>
    </row>
    <row r="5440" spans="1:9" x14ac:dyDescent="0.2">
      <c r="A5440" s="1" t="str">
        <f>"ELOVL1"</f>
        <v>ELOVL1</v>
      </c>
      <c r="B5440" t="s">
        <v>14</v>
      </c>
      <c r="C5440" t="s">
        <v>19</v>
      </c>
      <c r="D5440" t="s">
        <v>11</v>
      </c>
      <c r="E5440" t="s">
        <v>12</v>
      </c>
      <c r="F5440">
        <v>43833628</v>
      </c>
      <c r="G5440">
        <v>43833703</v>
      </c>
      <c r="H5440">
        <v>43833263</v>
      </c>
      <c r="I5440">
        <v>43833293</v>
      </c>
    </row>
    <row r="5441" spans="1:9" x14ac:dyDescent="0.2">
      <c r="A5441" s="1" t="str">
        <f>"ELOVL2"</f>
        <v>ELOVL2</v>
      </c>
      <c r="B5441" t="s">
        <v>14</v>
      </c>
      <c r="C5441" t="s">
        <v>32</v>
      </c>
      <c r="D5441" t="s">
        <v>11</v>
      </c>
      <c r="E5441" t="s">
        <v>12</v>
      </c>
      <c r="F5441">
        <v>11044509</v>
      </c>
      <c r="G5441">
        <v>11044582</v>
      </c>
      <c r="H5441">
        <v>11044656</v>
      </c>
      <c r="I5441">
        <v>11044679</v>
      </c>
    </row>
    <row r="5442" spans="1:9" x14ac:dyDescent="0.2">
      <c r="A5442" s="1" t="str">
        <f>"ELOVL3"</f>
        <v>ELOVL3</v>
      </c>
      <c r="B5442" t="s">
        <v>14</v>
      </c>
      <c r="C5442" t="s">
        <v>15</v>
      </c>
      <c r="D5442" t="s">
        <v>17</v>
      </c>
      <c r="E5442" t="s">
        <v>12</v>
      </c>
      <c r="F5442">
        <v>103986083</v>
      </c>
      <c r="G5442">
        <v>103986113</v>
      </c>
      <c r="H5442">
        <v>103986050</v>
      </c>
      <c r="I5442">
        <v>103986062</v>
      </c>
    </row>
    <row r="5443" spans="1:9" x14ac:dyDescent="0.2">
      <c r="A5443" s="1" t="str">
        <f>"ELOVL4"</f>
        <v>ELOVL4</v>
      </c>
      <c r="B5443" t="s">
        <v>14</v>
      </c>
      <c r="C5443" t="s">
        <v>32</v>
      </c>
      <c r="D5443" t="s">
        <v>11</v>
      </c>
      <c r="E5443" t="s">
        <v>12</v>
      </c>
      <c r="F5443">
        <v>80657260</v>
      </c>
      <c r="G5443">
        <v>80657276</v>
      </c>
      <c r="H5443">
        <v>80657292</v>
      </c>
      <c r="I5443">
        <v>80657301</v>
      </c>
    </row>
    <row r="5444" spans="1:9" x14ac:dyDescent="0.2">
      <c r="A5444" s="1" t="str">
        <f>"ELOVL5"</f>
        <v>ELOVL5</v>
      </c>
      <c r="B5444" t="s">
        <v>14</v>
      </c>
      <c r="C5444" t="s">
        <v>32</v>
      </c>
      <c r="D5444" t="s">
        <v>11</v>
      </c>
      <c r="E5444" t="s">
        <v>12</v>
      </c>
      <c r="F5444">
        <v>53213700</v>
      </c>
      <c r="G5444">
        <v>53213772</v>
      </c>
      <c r="H5444">
        <v>53213780</v>
      </c>
      <c r="I5444">
        <v>53213785</v>
      </c>
    </row>
    <row r="5445" spans="1:9" x14ac:dyDescent="0.2">
      <c r="A5445" s="1" t="str">
        <f>"ELOVL6"</f>
        <v>ELOVL6</v>
      </c>
      <c r="B5445" t="s">
        <v>14</v>
      </c>
      <c r="C5445" t="s">
        <v>23</v>
      </c>
      <c r="D5445" t="s">
        <v>11</v>
      </c>
      <c r="E5445" t="s">
        <v>12</v>
      </c>
      <c r="F5445">
        <v>111119662</v>
      </c>
      <c r="G5445">
        <v>111119731</v>
      </c>
      <c r="H5445">
        <v>111119735</v>
      </c>
      <c r="I5445">
        <v>111119778</v>
      </c>
    </row>
    <row r="5446" spans="1:9" x14ac:dyDescent="0.2">
      <c r="A5446" s="1" t="str">
        <f>"ELOVL7"</f>
        <v>ELOVL7</v>
      </c>
      <c r="B5446" t="s">
        <v>14</v>
      </c>
      <c r="C5446" t="s">
        <v>46</v>
      </c>
      <c r="D5446" t="s">
        <v>11</v>
      </c>
      <c r="E5446" t="s">
        <v>12</v>
      </c>
      <c r="F5446">
        <v>60140089</v>
      </c>
      <c r="G5446">
        <v>60140118</v>
      </c>
      <c r="H5446">
        <v>60140009</v>
      </c>
      <c r="I5446">
        <v>60140050</v>
      </c>
    </row>
    <row r="5447" spans="1:9" x14ac:dyDescent="0.2">
      <c r="A5447" s="1" t="str">
        <f>"ELP2"</f>
        <v>ELP2</v>
      </c>
      <c r="B5447" t="s">
        <v>14</v>
      </c>
      <c r="C5447" t="s">
        <v>43</v>
      </c>
      <c r="D5447" t="s">
        <v>17</v>
      </c>
      <c r="E5447" t="s">
        <v>12</v>
      </c>
      <c r="F5447">
        <v>33709851</v>
      </c>
      <c r="G5447">
        <v>33709893</v>
      </c>
      <c r="H5447">
        <v>33709453</v>
      </c>
      <c r="I5447">
        <v>33709499</v>
      </c>
    </row>
    <row r="5448" spans="1:9" x14ac:dyDescent="0.2">
      <c r="A5448" s="1" t="str">
        <f>"ELP3"</f>
        <v>ELP3</v>
      </c>
      <c r="B5448" t="s">
        <v>14</v>
      </c>
      <c r="C5448" t="s">
        <v>30</v>
      </c>
      <c r="D5448" t="s">
        <v>17</v>
      </c>
      <c r="E5448" t="s">
        <v>12</v>
      </c>
      <c r="F5448">
        <v>27950629</v>
      </c>
      <c r="G5448">
        <v>27950707</v>
      </c>
      <c r="H5448">
        <v>27950349</v>
      </c>
      <c r="I5448">
        <v>27950384</v>
      </c>
    </row>
    <row r="5449" spans="1:9" x14ac:dyDescent="0.2">
      <c r="A5449" s="1" t="str">
        <f>"ELP4"</f>
        <v>ELP4</v>
      </c>
      <c r="B5449" t="s">
        <v>14</v>
      </c>
      <c r="C5449" t="s">
        <v>27</v>
      </c>
      <c r="D5449" t="s">
        <v>17</v>
      </c>
      <c r="E5449" t="s">
        <v>12</v>
      </c>
      <c r="F5449">
        <v>31531291</v>
      </c>
      <c r="G5449">
        <v>31531345</v>
      </c>
      <c r="H5449">
        <v>31531446</v>
      </c>
      <c r="I5449">
        <v>31531460</v>
      </c>
    </row>
    <row r="5450" spans="1:9" x14ac:dyDescent="0.2">
      <c r="A5450" s="1" t="str">
        <f>"ELP5"</f>
        <v>ELP5</v>
      </c>
      <c r="B5450" t="s">
        <v>14</v>
      </c>
      <c r="C5450" t="s">
        <v>28</v>
      </c>
      <c r="D5450" t="s">
        <v>17</v>
      </c>
      <c r="E5450" t="s">
        <v>12</v>
      </c>
      <c r="F5450">
        <v>7155819</v>
      </c>
      <c r="G5450">
        <v>7155895</v>
      </c>
      <c r="H5450">
        <v>7155557</v>
      </c>
      <c r="I5450">
        <v>7155637</v>
      </c>
    </row>
    <row r="5451" spans="1:9" x14ac:dyDescent="0.2">
      <c r="A5451" s="1" t="str">
        <f>"ELP6"</f>
        <v>ELP6</v>
      </c>
      <c r="B5451" t="s">
        <v>14</v>
      </c>
      <c r="C5451" t="s">
        <v>22</v>
      </c>
      <c r="D5451" t="s">
        <v>11</v>
      </c>
      <c r="E5451" t="s">
        <v>12</v>
      </c>
      <c r="F5451">
        <v>47555167</v>
      </c>
      <c r="G5451">
        <v>47555208</v>
      </c>
      <c r="H5451">
        <v>47554791</v>
      </c>
      <c r="I5451">
        <v>47554860</v>
      </c>
    </row>
    <row r="5452" spans="1:9" x14ac:dyDescent="0.2">
      <c r="A5452" s="1" t="str">
        <f>"ELSPBP1"</f>
        <v>ELSPBP1</v>
      </c>
      <c r="B5452" t="s">
        <v>14</v>
      </c>
      <c r="C5452" t="s">
        <v>10</v>
      </c>
      <c r="D5452" t="s">
        <v>17</v>
      </c>
      <c r="E5452" t="s">
        <v>12</v>
      </c>
      <c r="F5452">
        <v>48497919</v>
      </c>
      <c r="G5452">
        <v>48497949</v>
      </c>
      <c r="H5452">
        <v>48497882</v>
      </c>
      <c r="I5452">
        <v>48497895</v>
      </c>
    </row>
    <row r="5453" spans="1:9" x14ac:dyDescent="0.2">
      <c r="A5453" s="1" t="str">
        <f>"ELTD1"</f>
        <v>ELTD1</v>
      </c>
      <c r="B5453" t="s">
        <v>14</v>
      </c>
      <c r="C5453" t="s">
        <v>19</v>
      </c>
      <c r="D5453" t="s">
        <v>11</v>
      </c>
      <c r="E5453" t="s">
        <v>12</v>
      </c>
      <c r="F5453">
        <v>79472365</v>
      </c>
      <c r="G5453">
        <v>79472443</v>
      </c>
      <c r="H5453">
        <v>79472477</v>
      </c>
      <c r="I5453">
        <v>79472510</v>
      </c>
    </row>
    <row r="5454" spans="1:9" x14ac:dyDescent="0.2">
      <c r="A5454" s="1" t="str">
        <f>"EMB"</f>
        <v>EMB</v>
      </c>
      <c r="B5454" t="s">
        <v>14</v>
      </c>
      <c r="C5454" t="s">
        <v>46</v>
      </c>
      <c r="D5454" t="s">
        <v>11</v>
      </c>
      <c r="E5454" t="s">
        <v>12</v>
      </c>
      <c r="F5454">
        <v>49737078</v>
      </c>
      <c r="G5454">
        <v>49737134</v>
      </c>
      <c r="H5454">
        <v>49737190</v>
      </c>
      <c r="I5454">
        <v>49737239</v>
      </c>
    </row>
    <row r="5455" spans="1:9" x14ac:dyDescent="0.2">
      <c r="A5455" s="1" t="str">
        <f>"EMC1"</f>
        <v>EMC1</v>
      </c>
      <c r="B5455" t="s">
        <v>14</v>
      </c>
      <c r="C5455" t="s">
        <v>19</v>
      </c>
      <c r="D5455" t="s">
        <v>11</v>
      </c>
      <c r="E5455" t="s">
        <v>12</v>
      </c>
      <c r="F5455">
        <v>19578005</v>
      </c>
      <c r="G5455">
        <v>19578041</v>
      </c>
      <c r="H5455">
        <v>19578208</v>
      </c>
      <c r="I5455">
        <v>19578236</v>
      </c>
    </row>
    <row r="5456" spans="1:9" x14ac:dyDescent="0.2">
      <c r="A5456" s="1" t="str">
        <f>"EMC10"</f>
        <v>EMC10</v>
      </c>
      <c r="B5456" t="s">
        <v>14</v>
      </c>
      <c r="C5456" t="s">
        <v>10</v>
      </c>
      <c r="D5456" t="s">
        <v>17</v>
      </c>
      <c r="E5456" t="s">
        <v>12</v>
      </c>
      <c r="F5456">
        <v>50979753</v>
      </c>
      <c r="G5456">
        <v>50979801</v>
      </c>
      <c r="H5456">
        <v>50979727</v>
      </c>
      <c r="I5456">
        <v>50979749</v>
      </c>
    </row>
    <row r="5457" spans="1:9" x14ac:dyDescent="0.2">
      <c r="A5457" s="1" t="str">
        <f>"EMC2"</f>
        <v>EMC2</v>
      </c>
      <c r="B5457" t="s">
        <v>14</v>
      </c>
      <c r="C5457" t="s">
        <v>30</v>
      </c>
      <c r="D5457" t="s">
        <v>17</v>
      </c>
      <c r="E5457" t="s">
        <v>12</v>
      </c>
      <c r="F5457">
        <v>109455845</v>
      </c>
      <c r="G5457">
        <v>109455889</v>
      </c>
      <c r="H5457">
        <v>109455830</v>
      </c>
      <c r="I5457">
        <v>109455841</v>
      </c>
    </row>
    <row r="5458" spans="1:9" x14ac:dyDescent="0.2">
      <c r="A5458" s="1" t="str">
        <f>"EMC3"</f>
        <v>EMC3</v>
      </c>
      <c r="B5458" t="s">
        <v>9</v>
      </c>
      <c r="C5458" t="s">
        <v>22</v>
      </c>
      <c r="D5458" t="s">
        <v>11</v>
      </c>
      <c r="E5458" t="s">
        <v>12</v>
      </c>
      <c r="F5458">
        <v>10028471</v>
      </c>
      <c r="G5458">
        <v>10028552</v>
      </c>
      <c r="H5458">
        <v>10028471</v>
      </c>
      <c r="I5458">
        <v>10028552</v>
      </c>
    </row>
    <row r="5459" spans="1:9" x14ac:dyDescent="0.2">
      <c r="A5459" s="1" t="str">
        <f>"EMC3"</f>
        <v>EMC3</v>
      </c>
      <c r="B5459" t="s">
        <v>13</v>
      </c>
      <c r="C5459" t="s">
        <v>22</v>
      </c>
      <c r="D5459" t="s">
        <v>11</v>
      </c>
      <c r="E5459" t="s">
        <v>12</v>
      </c>
      <c r="F5459">
        <v>10052763</v>
      </c>
      <c r="G5459">
        <v>10052816</v>
      </c>
      <c r="H5459">
        <v>10052763</v>
      </c>
      <c r="I5459">
        <v>10052816</v>
      </c>
    </row>
    <row r="5460" spans="1:9" x14ac:dyDescent="0.2">
      <c r="A5460" s="1" t="str">
        <f>"EMC4"</f>
        <v>EMC4</v>
      </c>
      <c r="B5460" t="s">
        <v>14</v>
      </c>
      <c r="C5460" t="s">
        <v>25</v>
      </c>
      <c r="D5460" t="s">
        <v>17</v>
      </c>
      <c r="E5460" t="s">
        <v>12</v>
      </c>
      <c r="F5460">
        <v>34517194</v>
      </c>
      <c r="G5460">
        <v>34517246</v>
      </c>
      <c r="H5460">
        <v>34517251</v>
      </c>
      <c r="I5460">
        <v>34517276</v>
      </c>
    </row>
    <row r="5461" spans="1:9" x14ac:dyDescent="0.2">
      <c r="A5461" s="1" t="str">
        <f>"EMC6"</f>
        <v>EMC6</v>
      </c>
      <c r="B5461" t="s">
        <v>14</v>
      </c>
      <c r="C5461" t="s">
        <v>28</v>
      </c>
      <c r="D5461" t="s">
        <v>17</v>
      </c>
      <c r="E5461" t="s">
        <v>12</v>
      </c>
      <c r="F5461">
        <v>3572087</v>
      </c>
      <c r="G5461">
        <v>3572119</v>
      </c>
      <c r="H5461">
        <v>3572087</v>
      </c>
      <c r="I5461">
        <v>3572119</v>
      </c>
    </row>
    <row r="5462" spans="1:9" x14ac:dyDescent="0.2">
      <c r="A5462" s="1" t="str">
        <f>"EMC7"</f>
        <v>EMC7</v>
      </c>
      <c r="B5462" t="s">
        <v>14</v>
      </c>
      <c r="C5462" t="s">
        <v>25</v>
      </c>
      <c r="D5462" t="s">
        <v>11</v>
      </c>
      <c r="E5462" t="s">
        <v>12</v>
      </c>
      <c r="F5462">
        <v>34394040</v>
      </c>
      <c r="G5462">
        <v>34394088</v>
      </c>
      <c r="H5462">
        <v>34394119</v>
      </c>
      <c r="I5462">
        <v>34394130</v>
      </c>
    </row>
    <row r="5463" spans="1:9" x14ac:dyDescent="0.2">
      <c r="A5463" s="1" t="str">
        <f>"EMC8"</f>
        <v>EMC8</v>
      </c>
      <c r="B5463" t="s">
        <v>14</v>
      </c>
      <c r="C5463" t="s">
        <v>31</v>
      </c>
      <c r="D5463" t="s">
        <v>11</v>
      </c>
      <c r="E5463" t="s">
        <v>12</v>
      </c>
      <c r="F5463">
        <v>85833109</v>
      </c>
      <c r="G5463">
        <v>85833158</v>
      </c>
      <c r="H5463">
        <v>85833086</v>
      </c>
      <c r="I5463">
        <v>85833107</v>
      </c>
    </row>
    <row r="5464" spans="1:9" x14ac:dyDescent="0.2">
      <c r="A5464" s="1" t="str">
        <f>"EMC9"</f>
        <v>EMC9</v>
      </c>
      <c r="B5464" t="s">
        <v>14</v>
      </c>
      <c r="C5464" t="s">
        <v>41</v>
      </c>
      <c r="D5464" t="s">
        <v>11</v>
      </c>
      <c r="E5464" t="s">
        <v>12</v>
      </c>
      <c r="F5464">
        <v>24610792</v>
      </c>
      <c r="G5464">
        <v>24610834</v>
      </c>
      <c r="H5464">
        <v>24610694</v>
      </c>
      <c r="I5464">
        <v>24610724</v>
      </c>
    </row>
    <row r="5465" spans="1:9" x14ac:dyDescent="0.2">
      <c r="A5465" s="1" t="str">
        <f>"EMCN"</f>
        <v>EMCN</v>
      </c>
      <c r="B5465" t="s">
        <v>14</v>
      </c>
      <c r="C5465" t="s">
        <v>23</v>
      </c>
      <c r="D5465" t="s">
        <v>11</v>
      </c>
      <c r="E5465" t="s">
        <v>12</v>
      </c>
      <c r="F5465">
        <v>101439148</v>
      </c>
      <c r="G5465">
        <v>101439199</v>
      </c>
      <c r="H5465">
        <v>101439116</v>
      </c>
      <c r="I5465">
        <v>101439130</v>
      </c>
    </row>
    <row r="5466" spans="1:9" x14ac:dyDescent="0.2">
      <c r="A5466" s="1" t="str">
        <f>"EMD"</f>
        <v>EMD</v>
      </c>
      <c r="B5466" t="s">
        <v>14</v>
      </c>
      <c r="C5466" t="s">
        <v>37</v>
      </c>
      <c r="D5466" t="s">
        <v>17</v>
      </c>
      <c r="E5466" t="s">
        <v>12</v>
      </c>
      <c r="F5466">
        <v>153607696</v>
      </c>
      <c r="G5466">
        <v>153607786</v>
      </c>
      <c r="H5466">
        <v>153607564</v>
      </c>
      <c r="I5466">
        <v>153607693</v>
      </c>
    </row>
    <row r="5467" spans="1:9" x14ac:dyDescent="0.2">
      <c r="A5467" s="1" t="str">
        <f>"EME1"</f>
        <v>EME1</v>
      </c>
      <c r="B5467" t="s">
        <v>14</v>
      </c>
      <c r="C5467" t="s">
        <v>28</v>
      </c>
      <c r="D5467" t="s">
        <v>17</v>
      </c>
      <c r="E5467" t="s">
        <v>12</v>
      </c>
      <c r="F5467">
        <v>48450575</v>
      </c>
      <c r="G5467">
        <v>48450618</v>
      </c>
      <c r="H5467">
        <v>48450575</v>
      </c>
      <c r="I5467">
        <v>48450618</v>
      </c>
    </row>
    <row r="5468" spans="1:9" x14ac:dyDescent="0.2">
      <c r="A5468" s="1" t="str">
        <f>"EME2"</f>
        <v>EME2</v>
      </c>
      <c r="B5468" t="s">
        <v>14</v>
      </c>
      <c r="C5468" t="s">
        <v>31</v>
      </c>
      <c r="D5468" t="s">
        <v>17</v>
      </c>
      <c r="E5468" t="s">
        <v>12</v>
      </c>
      <c r="F5468">
        <v>1823181</v>
      </c>
      <c r="G5468">
        <v>1823218</v>
      </c>
      <c r="H5468">
        <v>1823181</v>
      </c>
      <c r="I5468">
        <v>1823218</v>
      </c>
    </row>
    <row r="5469" spans="1:9" x14ac:dyDescent="0.2">
      <c r="A5469" s="1" t="str">
        <f>"EMG1"</f>
        <v>EMG1</v>
      </c>
      <c r="B5469" t="s">
        <v>14</v>
      </c>
      <c r="C5469" t="s">
        <v>16</v>
      </c>
      <c r="D5469" t="s">
        <v>17</v>
      </c>
      <c r="E5469" t="s">
        <v>12</v>
      </c>
      <c r="F5469">
        <v>7080067</v>
      </c>
      <c r="G5469">
        <v>7080090</v>
      </c>
      <c r="H5469">
        <v>7079961</v>
      </c>
      <c r="I5469">
        <v>7079999</v>
      </c>
    </row>
    <row r="5470" spans="1:9" x14ac:dyDescent="0.2">
      <c r="A5470" s="1" t="str">
        <f>"EMID1"</f>
        <v>EMID1</v>
      </c>
      <c r="B5470" t="s">
        <v>14</v>
      </c>
      <c r="C5470" t="s">
        <v>21</v>
      </c>
      <c r="D5470" t="s">
        <v>17</v>
      </c>
      <c r="E5470" t="s">
        <v>12</v>
      </c>
      <c r="F5470">
        <v>29601867</v>
      </c>
      <c r="G5470">
        <v>29601951</v>
      </c>
      <c r="H5470">
        <v>29602017</v>
      </c>
      <c r="I5470">
        <v>29602028</v>
      </c>
    </row>
    <row r="5471" spans="1:9" x14ac:dyDescent="0.2">
      <c r="A5471" s="1" t="str">
        <f>"EMILIN1"</f>
        <v>EMILIN1</v>
      </c>
      <c r="B5471" t="s">
        <v>14</v>
      </c>
      <c r="C5471" t="s">
        <v>26</v>
      </c>
      <c r="D5471" t="s">
        <v>17</v>
      </c>
      <c r="E5471" t="s">
        <v>12</v>
      </c>
      <c r="F5471">
        <v>27301468</v>
      </c>
      <c r="G5471">
        <v>27301496</v>
      </c>
      <c r="H5471">
        <v>27301500</v>
      </c>
      <c r="I5471">
        <v>27301546</v>
      </c>
    </row>
    <row r="5472" spans="1:9" x14ac:dyDescent="0.2">
      <c r="A5472" s="1" t="str">
        <f>"EMILIN2"</f>
        <v>EMILIN2</v>
      </c>
      <c r="B5472" t="s">
        <v>14</v>
      </c>
      <c r="C5472" t="s">
        <v>43</v>
      </c>
      <c r="D5472" t="s">
        <v>17</v>
      </c>
      <c r="E5472" t="s">
        <v>12</v>
      </c>
      <c r="F5472">
        <v>2846972</v>
      </c>
      <c r="G5472">
        <v>2847027</v>
      </c>
      <c r="H5472">
        <v>2847074</v>
      </c>
      <c r="I5472">
        <v>2847091</v>
      </c>
    </row>
    <row r="5473" spans="1:9" x14ac:dyDescent="0.2">
      <c r="A5473" s="1" t="str">
        <f>"EMILIN3"</f>
        <v>EMILIN3</v>
      </c>
      <c r="B5473" t="s">
        <v>14</v>
      </c>
      <c r="C5473" t="s">
        <v>29</v>
      </c>
      <c r="D5473" t="s">
        <v>11</v>
      </c>
      <c r="E5473" t="s">
        <v>12</v>
      </c>
      <c r="F5473">
        <v>39995445</v>
      </c>
      <c r="G5473">
        <v>39995465</v>
      </c>
      <c r="H5473">
        <v>39995468</v>
      </c>
      <c r="I5473">
        <v>39995482</v>
      </c>
    </row>
    <row r="5474" spans="1:9" x14ac:dyDescent="0.2">
      <c r="A5474" s="1" t="str">
        <f>"EML1"</f>
        <v>EML1</v>
      </c>
      <c r="B5474" t="s">
        <v>14</v>
      </c>
      <c r="C5474" t="s">
        <v>41</v>
      </c>
      <c r="D5474" t="s">
        <v>17</v>
      </c>
      <c r="E5474" t="s">
        <v>12</v>
      </c>
      <c r="F5474">
        <v>100259712</v>
      </c>
      <c r="G5474">
        <v>100259758</v>
      </c>
      <c r="H5474">
        <v>100259686</v>
      </c>
      <c r="I5474">
        <v>100259711</v>
      </c>
    </row>
    <row r="5475" spans="1:9" x14ac:dyDescent="0.2">
      <c r="A5475" s="1" t="str">
        <f>"EML2"</f>
        <v>EML2</v>
      </c>
      <c r="B5475" t="s">
        <v>9</v>
      </c>
      <c r="C5475" t="s">
        <v>10</v>
      </c>
      <c r="D5475" t="s">
        <v>11</v>
      </c>
      <c r="E5475" t="s">
        <v>12</v>
      </c>
      <c r="F5475">
        <v>46142637</v>
      </c>
      <c r="G5475">
        <v>46142678</v>
      </c>
      <c r="H5475">
        <v>46142637</v>
      </c>
      <c r="I5475">
        <v>46142678</v>
      </c>
    </row>
    <row r="5476" spans="1:9" x14ac:dyDescent="0.2">
      <c r="A5476" s="1" t="str">
        <f>"EML2"</f>
        <v>EML2</v>
      </c>
      <c r="B5476" t="s">
        <v>13</v>
      </c>
      <c r="C5476" t="s">
        <v>10</v>
      </c>
      <c r="D5476" t="s">
        <v>11</v>
      </c>
      <c r="E5476" t="s">
        <v>12</v>
      </c>
      <c r="F5476">
        <v>46148564</v>
      </c>
      <c r="G5476">
        <v>46148629</v>
      </c>
      <c r="H5476">
        <v>46148564</v>
      </c>
      <c r="I5476">
        <v>46148629</v>
      </c>
    </row>
    <row r="5477" spans="1:9" x14ac:dyDescent="0.2">
      <c r="A5477" s="1" t="str">
        <f>"EML3"</f>
        <v>EML3</v>
      </c>
      <c r="B5477" t="s">
        <v>14</v>
      </c>
      <c r="C5477" t="s">
        <v>27</v>
      </c>
      <c r="D5477" t="s">
        <v>11</v>
      </c>
      <c r="E5477" t="s">
        <v>12</v>
      </c>
      <c r="F5477">
        <v>62380199</v>
      </c>
      <c r="G5477">
        <v>62380265</v>
      </c>
      <c r="H5477">
        <v>62379994</v>
      </c>
      <c r="I5477">
        <v>62380022</v>
      </c>
    </row>
    <row r="5478" spans="1:9" x14ac:dyDescent="0.2">
      <c r="A5478" s="1" t="str">
        <f>"EML4"</f>
        <v>EML4</v>
      </c>
      <c r="B5478" t="s">
        <v>14</v>
      </c>
      <c r="C5478" t="s">
        <v>26</v>
      </c>
      <c r="D5478" t="s">
        <v>17</v>
      </c>
      <c r="E5478" t="s">
        <v>12</v>
      </c>
      <c r="F5478">
        <v>42396472</v>
      </c>
      <c r="G5478">
        <v>42396563</v>
      </c>
      <c r="H5478">
        <v>42396574</v>
      </c>
      <c r="I5478">
        <v>42396604</v>
      </c>
    </row>
    <row r="5479" spans="1:9" x14ac:dyDescent="0.2">
      <c r="A5479" s="1" t="str">
        <f>"EML5"</f>
        <v>EML5</v>
      </c>
      <c r="B5479" t="s">
        <v>14</v>
      </c>
      <c r="C5479" t="s">
        <v>41</v>
      </c>
      <c r="D5479" t="s">
        <v>11</v>
      </c>
      <c r="E5479" t="s">
        <v>12</v>
      </c>
      <c r="F5479">
        <v>89259268</v>
      </c>
      <c r="G5479">
        <v>89259310</v>
      </c>
      <c r="H5479">
        <v>89259135</v>
      </c>
      <c r="I5479">
        <v>89259181</v>
      </c>
    </row>
    <row r="5480" spans="1:9" x14ac:dyDescent="0.2">
      <c r="A5480" s="1" t="str">
        <f>"EML6"</f>
        <v>EML6</v>
      </c>
      <c r="B5480" t="s">
        <v>14</v>
      </c>
      <c r="C5480" t="s">
        <v>26</v>
      </c>
      <c r="D5480" t="s">
        <v>17</v>
      </c>
      <c r="E5480" t="s">
        <v>12</v>
      </c>
      <c r="F5480">
        <v>54950835</v>
      </c>
      <c r="G5480">
        <v>54950868</v>
      </c>
      <c r="H5480">
        <v>54950793</v>
      </c>
      <c r="I5480">
        <v>54950815</v>
      </c>
    </row>
    <row r="5481" spans="1:9" x14ac:dyDescent="0.2">
      <c r="A5481" s="1" t="str">
        <f>"EMP1"</f>
        <v>EMP1</v>
      </c>
      <c r="B5481" t="s">
        <v>14</v>
      </c>
      <c r="C5481" t="s">
        <v>16</v>
      </c>
      <c r="D5481" t="s">
        <v>17</v>
      </c>
      <c r="E5481" t="s">
        <v>12</v>
      </c>
      <c r="F5481">
        <v>13349711</v>
      </c>
      <c r="G5481">
        <v>13349728</v>
      </c>
      <c r="H5481">
        <v>13349652</v>
      </c>
      <c r="I5481">
        <v>13349667</v>
      </c>
    </row>
    <row r="5482" spans="1:9" x14ac:dyDescent="0.2">
      <c r="A5482" s="1" t="str">
        <f>"EMP2"</f>
        <v>EMP2</v>
      </c>
      <c r="B5482" t="s">
        <v>14</v>
      </c>
      <c r="C5482" t="s">
        <v>31</v>
      </c>
      <c r="D5482" t="s">
        <v>11</v>
      </c>
      <c r="E5482" t="s">
        <v>12</v>
      </c>
      <c r="F5482">
        <v>10674434</v>
      </c>
      <c r="G5482">
        <v>10674462</v>
      </c>
      <c r="H5482">
        <v>10674528</v>
      </c>
      <c r="I5482">
        <v>10674551</v>
      </c>
    </row>
    <row r="5483" spans="1:9" x14ac:dyDescent="0.2">
      <c r="A5483" s="1" t="str">
        <f>"EMP3"</f>
        <v>EMP3</v>
      </c>
      <c r="B5483" t="s">
        <v>14</v>
      </c>
      <c r="C5483" t="s">
        <v>10</v>
      </c>
      <c r="D5483" t="s">
        <v>17</v>
      </c>
      <c r="E5483" t="s">
        <v>12</v>
      </c>
      <c r="F5483">
        <v>48828788</v>
      </c>
      <c r="G5483">
        <v>48828853</v>
      </c>
      <c r="H5483">
        <v>48828606</v>
      </c>
      <c r="I5483">
        <v>48828637</v>
      </c>
    </row>
    <row r="5484" spans="1:9" x14ac:dyDescent="0.2">
      <c r="A5484" s="1" t="str">
        <f>"EMR1"</f>
        <v>EMR1</v>
      </c>
      <c r="B5484" t="s">
        <v>14</v>
      </c>
      <c r="C5484" t="s">
        <v>10</v>
      </c>
      <c r="D5484" t="s">
        <v>17</v>
      </c>
      <c r="E5484" t="s">
        <v>12</v>
      </c>
      <c r="F5484">
        <v>6887571</v>
      </c>
      <c r="G5484">
        <v>6887610</v>
      </c>
      <c r="H5484">
        <v>6887571</v>
      </c>
      <c r="I5484">
        <v>6887610</v>
      </c>
    </row>
    <row r="5485" spans="1:9" x14ac:dyDescent="0.2">
      <c r="A5485" s="1" t="str">
        <f>"EMR2"</f>
        <v>EMR2</v>
      </c>
      <c r="B5485" t="s">
        <v>9</v>
      </c>
      <c r="C5485" t="s">
        <v>10</v>
      </c>
      <c r="D5485" t="s">
        <v>11</v>
      </c>
      <c r="E5485" t="s">
        <v>12</v>
      </c>
      <c r="F5485">
        <v>14887645</v>
      </c>
      <c r="G5485">
        <v>14887660</v>
      </c>
      <c r="H5485">
        <v>14887645</v>
      </c>
      <c r="I5485">
        <v>14887660</v>
      </c>
    </row>
    <row r="5486" spans="1:9" x14ac:dyDescent="0.2">
      <c r="A5486" s="1" t="str">
        <f>"EMR2"</f>
        <v>EMR2</v>
      </c>
      <c r="B5486" t="s">
        <v>13</v>
      </c>
      <c r="C5486" t="s">
        <v>10</v>
      </c>
      <c r="D5486" t="s">
        <v>11</v>
      </c>
      <c r="E5486" t="s">
        <v>12</v>
      </c>
      <c r="F5486">
        <v>14889364</v>
      </c>
      <c r="G5486">
        <v>14889381</v>
      </c>
      <c r="H5486">
        <v>14889364</v>
      </c>
      <c r="I5486">
        <v>14889381</v>
      </c>
    </row>
    <row r="5487" spans="1:9" x14ac:dyDescent="0.2">
      <c r="A5487" s="1" t="str">
        <f>"EMR3"</f>
        <v>EMR3</v>
      </c>
      <c r="B5487" t="s">
        <v>14</v>
      </c>
      <c r="C5487" t="s">
        <v>10</v>
      </c>
      <c r="D5487" t="s">
        <v>11</v>
      </c>
      <c r="E5487" t="s">
        <v>12</v>
      </c>
      <c r="F5487">
        <v>14785622</v>
      </c>
      <c r="G5487">
        <v>14785667</v>
      </c>
      <c r="H5487">
        <v>14785674</v>
      </c>
      <c r="I5487">
        <v>14785685</v>
      </c>
    </row>
    <row r="5488" spans="1:9" x14ac:dyDescent="0.2">
      <c r="A5488" s="1" t="str">
        <f>"EMX1"</f>
        <v>EMX1</v>
      </c>
      <c r="B5488" t="s">
        <v>9</v>
      </c>
      <c r="C5488" t="s">
        <v>26</v>
      </c>
      <c r="D5488" t="s">
        <v>17</v>
      </c>
      <c r="E5488" t="s">
        <v>12</v>
      </c>
      <c r="F5488">
        <v>73144617</v>
      </c>
      <c r="G5488">
        <v>73144654</v>
      </c>
      <c r="H5488">
        <v>73144617</v>
      </c>
      <c r="I5488">
        <v>73144654</v>
      </c>
    </row>
    <row r="5489" spans="1:9" x14ac:dyDescent="0.2">
      <c r="A5489" s="1" t="str">
        <f>"EMX1"</f>
        <v>EMX1</v>
      </c>
      <c r="B5489" t="s">
        <v>13</v>
      </c>
      <c r="C5489" t="s">
        <v>26</v>
      </c>
      <c r="D5489" t="s">
        <v>17</v>
      </c>
      <c r="E5489" t="s">
        <v>12</v>
      </c>
      <c r="F5489">
        <v>73143433</v>
      </c>
      <c r="G5489">
        <v>73143476</v>
      </c>
      <c r="H5489">
        <v>73143433</v>
      </c>
      <c r="I5489">
        <v>73143476</v>
      </c>
    </row>
    <row r="5490" spans="1:9" x14ac:dyDescent="0.2">
      <c r="A5490" s="1" t="str">
        <f>"EMX2"</f>
        <v>EMX2</v>
      </c>
      <c r="B5490" t="s">
        <v>14</v>
      </c>
      <c r="C5490" t="s">
        <v>15</v>
      </c>
      <c r="D5490" t="s">
        <v>17</v>
      </c>
      <c r="E5490" t="s">
        <v>12</v>
      </c>
      <c r="F5490">
        <v>119302232</v>
      </c>
      <c r="G5490">
        <v>119302265</v>
      </c>
      <c r="H5490">
        <v>119303078</v>
      </c>
      <c r="I5490">
        <v>119303169</v>
      </c>
    </row>
    <row r="5491" spans="1:9" x14ac:dyDescent="0.2">
      <c r="A5491" s="1" t="str">
        <f>"EN1"</f>
        <v>EN1</v>
      </c>
      <c r="B5491" t="s">
        <v>14</v>
      </c>
      <c r="C5491" t="s">
        <v>26</v>
      </c>
      <c r="D5491" t="s">
        <v>11</v>
      </c>
      <c r="E5491" t="s">
        <v>12</v>
      </c>
      <c r="F5491">
        <v>119605214</v>
      </c>
      <c r="G5491">
        <v>119605230</v>
      </c>
      <c r="H5491">
        <v>119605214</v>
      </c>
      <c r="I5491">
        <v>119605230</v>
      </c>
    </row>
    <row r="5492" spans="1:9" x14ac:dyDescent="0.2">
      <c r="A5492" s="1" t="str">
        <f>"EN2"</f>
        <v>EN2</v>
      </c>
      <c r="B5492" t="s">
        <v>14</v>
      </c>
      <c r="C5492" t="s">
        <v>33</v>
      </c>
      <c r="D5492" t="s">
        <v>17</v>
      </c>
      <c r="E5492" t="s">
        <v>12</v>
      </c>
      <c r="F5492">
        <v>155250981</v>
      </c>
      <c r="G5492">
        <v>155250985</v>
      </c>
      <c r="H5492">
        <v>155251013</v>
      </c>
      <c r="I5492">
        <v>155251014</v>
      </c>
    </row>
    <row r="5493" spans="1:9" x14ac:dyDescent="0.2">
      <c r="A5493" s="1" t="str">
        <f>"ENAH"</f>
        <v>ENAH</v>
      </c>
      <c r="B5493" t="s">
        <v>14</v>
      </c>
      <c r="C5493" t="s">
        <v>19</v>
      </c>
      <c r="D5493" t="s">
        <v>11</v>
      </c>
      <c r="E5493" t="s">
        <v>12</v>
      </c>
      <c r="F5493">
        <v>225840783</v>
      </c>
      <c r="G5493">
        <v>225840860</v>
      </c>
      <c r="H5493">
        <v>225841018</v>
      </c>
      <c r="I5493">
        <v>225841044</v>
      </c>
    </row>
    <row r="5494" spans="1:9" x14ac:dyDescent="0.2">
      <c r="A5494" s="1" t="str">
        <f>"ENAM"</f>
        <v>ENAM</v>
      </c>
      <c r="B5494" t="s">
        <v>14</v>
      </c>
      <c r="C5494" t="s">
        <v>23</v>
      </c>
      <c r="D5494" t="s">
        <v>17</v>
      </c>
      <c r="E5494" t="s">
        <v>12</v>
      </c>
      <c r="F5494">
        <v>71503422</v>
      </c>
      <c r="G5494">
        <v>71503448</v>
      </c>
      <c r="H5494">
        <v>71503422</v>
      </c>
      <c r="I5494">
        <v>71503448</v>
      </c>
    </row>
    <row r="5495" spans="1:9" x14ac:dyDescent="0.2">
      <c r="A5495" s="1" t="str">
        <f>"ENC1"</f>
        <v>ENC1</v>
      </c>
      <c r="B5495" t="s">
        <v>14</v>
      </c>
      <c r="C5495" t="s">
        <v>46</v>
      </c>
      <c r="D5495" t="s">
        <v>11</v>
      </c>
      <c r="E5495" t="s">
        <v>12</v>
      </c>
      <c r="F5495">
        <v>73936544</v>
      </c>
      <c r="G5495">
        <v>73936561</v>
      </c>
      <c r="H5495">
        <v>73936309</v>
      </c>
      <c r="I5495">
        <v>73936444</v>
      </c>
    </row>
    <row r="5496" spans="1:9" x14ac:dyDescent="0.2">
      <c r="A5496" s="1" t="str">
        <f>"ENDOD1"</f>
        <v>ENDOD1</v>
      </c>
      <c r="B5496" t="s">
        <v>14</v>
      </c>
      <c r="C5496" t="s">
        <v>27</v>
      </c>
      <c r="D5496" t="s">
        <v>17</v>
      </c>
      <c r="E5496" t="s">
        <v>12</v>
      </c>
      <c r="F5496">
        <v>94822968</v>
      </c>
      <c r="G5496">
        <v>94823042</v>
      </c>
      <c r="H5496">
        <v>94823060</v>
      </c>
      <c r="I5496">
        <v>94823069</v>
      </c>
    </row>
    <row r="5497" spans="1:9" x14ac:dyDescent="0.2">
      <c r="A5497" s="1" t="str">
        <f>"ENDOG"</f>
        <v>ENDOG</v>
      </c>
      <c r="B5497" t="s">
        <v>14</v>
      </c>
      <c r="C5497" t="s">
        <v>24</v>
      </c>
      <c r="D5497" t="s">
        <v>17</v>
      </c>
      <c r="E5497" t="s">
        <v>12</v>
      </c>
      <c r="F5497">
        <v>131580771</v>
      </c>
      <c r="G5497">
        <v>131580786</v>
      </c>
      <c r="H5497">
        <v>131580734</v>
      </c>
      <c r="I5497">
        <v>131580764</v>
      </c>
    </row>
    <row r="5498" spans="1:9" x14ac:dyDescent="0.2">
      <c r="A5498" s="1" t="str">
        <f>"ENDOU"</f>
        <v>ENDOU</v>
      </c>
      <c r="B5498" t="s">
        <v>14</v>
      </c>
      <c r="C5498" t="s">
        <v>16</v>
      </c>
      <c r="D5498" t="s">
        <v>11</v>
      </c>
      <c r="E5498" t="s">
        <v>12</v>
      </c>
      <c r="F5498">
        <v>48119266</v>
      </c>
      <c r="G5498">
        <v>48119279</v>
      </c>
      <c r="H5498">
        <v>48119301</v>
      </c>
      <c r="I5498">
        <v>48119329</v>
      </c>
    </row>
    <row r="5499" spans="1:9" x14ac:dyDescent="0.2">
      <c r="A5499" s="1" t="str">
        <f>"ENDOV"</f>
        <v>ENDOV</v>
      </c>
      <c r="B5499" t="s">
        <v>14</v>
      </c>
      <c r="C5499" t="s">
        <v>28</v>
      </c>
      <c r="D5499" t="s">
        <v>17</v>
      </c>
      <c r="E5499" t="s">
        <v>12</v>
      </c>
      <c r="F5499">
        <v>78388959</v>
      </c>
      <c r="G5499">
        <v>78388994</v>
      </c>
      <c r="H5499">
        <v>78389247</v>
      </c>
      <c r="I5499">
        <v>78389287</v>
      </c>
    </row>
    <row r="5500" spans="1:9" x14ac:dyDescent="0.2">
      <c r="A5500" s="1" t="str">
        <f>"ENG"</f>
        <v>ENG</v>
      </c>
      <c r="B5500" t="s">
        <v>14</v>
      </c>
      <c r="C5500" t="s">
        <v>24</v>
      </c>
      <c r="D5500" t="s">
        <v>11</v>
      </c>
      <c r="E5500" t="s">
        <v>12</v>
      </c>
      <c r="F5500">
        <v>130616926</v>
      </c>
      <c r="G5500">
        <v>130616944</v>
      </c>
      <c r="H5500">
        <v>130616980</v>
      </c>
      <c r="I5500">
        <v>130617005</v>
      </c>
    </row>
    <row r="5501" spans="1:9" x14ac:dyDescent="0.2">
      <c r="A5501" s="1" t="str">
        <f>"ENGASE"</f>
        <v>ENGASE</v>
      </c>
      <c r="B5501" t="s">
        <v>14</v>
      </c>
      <c r="C5501" t="s">
        <v>28</v>
      </c>
      <c r="D5501" t="s">
        <v>17</v>
      </c>
      <c r="E5501" t="s">
        <v>12</v>
      </c>
      <c r="F5501">
        <v>77070978</v>
      </c>
      <c r="G5501">
        <v>77071032</v>
      </c>
      <c r="H5501">
        <v>77070904</v>
      </c>
      <c r="I5501">
        <v>77070908</v>
      </c>
    </row>
    <row r="5502" spans="1:9" x14ac:dyDescent="0.2">
      <c r="A5502" s="1" t="str">
        <f>"ENHO"</f>
        <v>ENHO</v>
      </c>
      <c r="B5502" t="s">
        <v>14</v>
      </c>
      <c r="C5502" t="s">
        <v>24</v>
      </c>
      <c r="D5502" t="s">
        <v>11</v>
      </c>
      <c r="E5502" t="s">
        <v>12</v>
      </c>
      <c r="F5502">
        <v>34522966</v>
      </c>
      <c r="G5502">
        <v>34523007</v>
      </c>
      <c r="H5502">
        <v>34523048</v>
      </c>
      <c r="I5502">
        <v>34523079</v>
      </c>
    </row>
    <row r="5503" spans="1:9" x14ac:dyDescent="0.2">
      <c r="A5503" s="1" t="str">
        <f>"ENKD1"</f>
        <v>ENKD1</v>
      </c>
      <c r="B5503" t="s">
        <v>14</v>
      </c>
      <c r="C5503" t="s">
        <v>31</v>
      </c>
      <c r="D5503" t="s">
        <v>11</v>
      </c>
      <c r="E5503" t="s">
        <v>12</v>
      </c>
      <c r="F5503">
        <v>67700594</v>
      </c>
      <c r="G5503">
        <v>67700665</v>
      </c>
      <c r="H5503">
        <v>67700284</v>
      </c>
      <c r="I5503">
        <v>67700313</v>
      </c>
    </row>
    <row r="5504" spans="1:9" x14ac:dyDescent="0.2">
      <c r="A5504" s="1" t="str">
        <f>"ENKUR"</f>
        <v>ENKUR</v>
      </c>
      <c r="B5504" t="s">
        <v>14</v>
      </c>
      <c r="C5504" t="s">
        <v>15</v>
      </c>
      <c r="D5504" t="s">
        <v>11</v>
      </c>
      <c r="E5504" t="s">
        <v>12</v>
      </c>
      <c r="F5504">
        <v>25305011</v>
      </c>
      <c r="G5504">
        <v>25305092</v>
      </c>
      <c r="H5504">
        <v>25304967</v>
      </c>
      <c r="I5504">
        <v>25304988</v>
      </c>
    </row>
    <row r="5505" spans="1:9" x14ac:dyDescent="0.2">
      <c r="A5505" s="1" t="str">
        <f>"ENO1"</f>
        <v>ENO1</v>
      </c>
      <c r="B5505" t="s">
        <v>14</v>
      </c>
      <c r="C5505" t="s">
        <v>19</v>
      </c>
      <c r="D5505" t="s">
        <v>11</v>
      </c>
      <c r="E5505" t="s">
        <v>12</v>
      </c>
      <c r="F5505">
        <v>8938736</v>
      </c>
      <c r="G5505">
        <v>8938756</v>
      </c>
      <c r="H5505">
        <v>8938766</v>
      </c>
      <c r="I5505">
        <v>8938774</v>
      </c>
    </row>
    <row r="5506" spans="1:9" x14ac:dyDescent="0.2">
      <c r="A5506" s="1" t="str">
        <f>"ENO2"</f>
        <v>ENO2</v>
      </c>
      <c r="B5506" t="s">
        <v>14</v>
      </c>
      <c r="C5506" t="s">
        <v>16</v>
      </c>
      <c r="D5506" t="s">
        <v>17</v>
      </c>
      <c r="E5506" t="s">
        <v>12</v>
      </c>
      <c r="F5506">
        <v>7023735</v>
      </c>
      <c r="G5506">
        <v>7023765</v>
      </c>
      <c r="H5506">
        <v>7023712</v>
      </c>
      <c r="I5506">
        <v>7023727</v>
      </c>
    </row>
    <row r="5507" spans="1:9" x14ac:dyDescent="0.2">
      <c r="A5507" s="1" t="str">
        <f>"ENO3"</f>
        <v>ENO3</v>
      </c>
      <c r="B5507" t="s">
        <v>9</v>
      </c>
      <c r="C5507" t="s">
        <v>28</v>
      </c>
      <c r="D5507" t="s">
        <v>17</v>
      </c>
      <c r="E5507" t="s">
        <v>12</v>
      </c>
      <c r="F5507">
        <v>4854406</v>
      </c>
      <c r="G5507">
        <v>4854420</v>
      </c>
      <c r="H5507">
        <v>4854406</v>
      </c>
      <c r="I5507">
        <v>4854420</v>
      </c>
    </row>
    <row r="5508" spans="1:9" x14ac:dyDescent="0.2">
      <c r="A5508" s="1" t="str">
        <f>"ENO3"</f>
        <v>ENO3</v>
      </c>
      <c r="B5508" t="s">
        <v>13</v>
      </c>
      <c r="C5508" t="s">
        <v>28</v>
      </c>
      <c r="D5508" t="s">
        <v>17</v>
      </c>
      <c r="E5508" t="s">
        <v>12</v>
      </c>
      <c r="F5508">
        <v>4851632</v>
      </c>
      <c r="G5508">
        <v>4851670</v>
      </c>
      <c r="H5508">
        <v>4851632</v>
      </c>
      <c r="I5508">
        <v>4851670</v>
      </c>
    </row>
    <row r="5509" spans="1:9" x14ac:dyDescent="0.2">
      <c r="A5509" s="1" t="str">
        <f>"ENO4"</f>
        <v>ENO4</v>
      </c>
      <c r="B5509" t="s">
        <v>14</v>
      </c>
      <c r="C5509" t="s">
        <v>15</v>
      </c>
      <c r="D5509" t="s">
        <v>17</v>
      </c>
      <c r="E5509" t="s">
        <v>12</v>
      </c>
      <c r="F5509">
        <v>118608998</v>
      </c>
      <c r="G5509">
        <v>118609029</v>
      </c>
      <c r="H5509">
        <v>118609038</v>
      </c>
      <c r="I5509">
        <v>118609051</v>
      </c>
    </row>
    <row r="5510" spans="1:9" x14ac:dyDescent="0.2">
      <c r="A5510" s="1" t="str">
        <f>"ENOPH1"</f>
        <v>ENOPH1</v>
      </c>
      <c r="B5510" t="s">
        <v>14</v>
      </c>
      <c r="C5510" t="s">
        <v>23</v>
      </c>
      <c r="D5510" t="s">
        <v>17</v>
      </c>
      <c r="E5510" t="s">
        <v>12</v>
      </c>
      <c r="F5510">
        <v>83351716</v>
      </c>
      <c r="G5510">
        <v>83351786</v>
      </c>
      <c r="H5510">
        <v>83351938</v>
      </c>
      <c r="I5510">
        <v>83351981</v>
      </c>
    </row>
    <row r="5511" spans="1:9" x14ac:dyDescent="0.2">
      <c r="A5511" s="1" t="str">
        <f>"ENOSF1"</f>
        <v>ENOSF1</v>
      </c>
      <c r="B5511" t="s">
        <v>14</v>
      </c>
      <c r="C5511" t="s">
        <v>43</v>
      </c>
      <c r="D5511" t="s">
        <v>11</v>
      </c>
      <c r="E5511" t="s">
        <v>12</v>
      </c>
      <c r="F5511">
        <v>712618</v>
      </c>
      <c r="G5511">
        <v>712680</v>
      </c>
      <c r="H5511">
        <v>712596</v>
      </c>
      <c r="I5511">
        <v>712614</v>
      </c>
    </row>
    <row r="5512" spans="1:9" x14ac:dyDescent="0.2">
      <c r="A5512" s="1" t="str">
        <f>"ENOX1"</f>
        <v>ENOX1</v>
      </c>
      <c r="B5512" t="s">
        <v>14</v>
      </c>
      <c r="C5512" t="s">
        <v>39</v>
      </c>
      <c r="D5512" t="s">
        <v>11</v>
      </c>
      <c r="E5512" t="s">
        <v>12</v>
      </c>
      <c r="F5512">
        <v>44361025</v>
      </c>
      <c r="G5512">
        <v>44361052</v>
      </c>
      <c r="H5512">
        <v>44361058</v>
      </c>
      <c r="I5512">
        <v>44361095</v>
      </c>
    </row>
    <row r="5513" spans="1:9" x14ac:dyDescent="0.2">
      <c r="A5513" s="1" t="str">
        <f>"ENOX2"</f>
        <v>ENOX2</v>
      </c>
      <c r="B5513" t="s">
        <v>14</v>
      </c>
      <c r="C5513" t="s">
        <v>37</v>
      </c>
      <c r="D5513" t="s">
        <v>11</v>
      </c>
      <c r="E5513" t="s">
        <v>12</v>
      </c>
      <c r="F5513">
        <v>130037162</v>
      </c>
      <c r="G5513">
        <v>130037190</v>
      </c>
      <c r="H5513">
        <v>130037198</v>
      </c>
      <c r="I5513">
        <v>130037234</v>
      </c>
    </row>
    <row r="5514" spans="1:9" x14ac:dyDescent="0.2">
      <c r="A5514" s="1" t="str">
        <f>"ENPEP"</f>
        <v>ENPEP</v>
      </c>
      <c r="B5514" t="s">
        <v>14</v>
      </c>
      <c r="C5514" t="s">
        <v>23</v>
      </c>
      <c r="D5514" t="s">
        <v>17</v>
      </c>
      <c r="E5514" t="s">
        <v>12</v>
      </c>
      <c r="F5514">
        <v>111397303</v>
      </c>
      <c r="G5514">
        <v>111397320</v>
      </c>
      <c r="H5514">
        <v>111397365</v>
      </c>
      <c r="I5514">
        <v>111397385</v>
      </c>
    </row>
    <row r="5515" spans="1:9" x14ac:dyDescent="0.2">
      <c r="A5515" s="1" t="str">
        <f>"ENPP1"</f>
        <v>ENPP1</v>
      </c>
      <c r="B5515" t="s">
        <v>14</v>
      </c>
      <c r="C5515" t="s">
        <v>32</v>
      </c>
      <c r="D5515" t="s">
        <v>17</v>
      </c>
      <c r="E5515" t="s">
        <v>12</v>
      </c>
      <c r="F5515">
        <v>132129151</v>
      </c>
      <c r="G5515">
        <v>132129166</v>
      </c>
      <c r="H5515">
        <v>132129222</v>
      </c>
      <c r="I5515">
        <v>132129255</v>
      </c>
    </row>
    <row r="5516" spans="1:9" x14ac:dyDescent="0.2">
      <c r="A5516" s="1" t="str">
        <f>"ENPP2"</f>
        <v>ENPP2</v>
      </c>
      <c r="B5516" t="s">
        <v>14</v>
      </c>
      <c r="C5516" t="s">
        <v>30</v>
      </c>
      <c r="D5516" t="s">
        <v>11</v>
      </c>
      <c r="E5516" t="s">
        <v>12</v>
      </c>
      <c r="F5516">
        <v>120651070</v>
      </c>
      <c r="G5516">
        <v>120651091</v>
      </c>
      <c r="H5516">
        <v>120651070</v>
      </c>
      <c r="I5516">
        <v>120651091</v>
      </c>
    </row>
    <row r="5517" spans="1:9" x14ac:dyDescent="0.2">
      <c r="A5517" s="1" t="str">
        <f>"ENPP3"</f>
        <v>ENPP3</v>
      </c>
      <c r="B5517" t="s">
        <v>9</v>
      </c>
      <c r="C5517" t="s">
        <v>32</v>
      </c>
      <c r="D5517" t="s">
        <v>17</v>
      </c>
      <c r="E5517" t="s">
        <v>12</v>
      </c>
      <c r="F5517">
        <v>131958436</v>
      </c>
      <c r="G5517">
        <v>131958450</v>
      </c>
      <c r="H5517">
        <v>131958436</v>
      </c>
      <c r="I5517">
        <v>131958450</v>
      </c>
    </row>
    <row r="5518" spans="1:9" x14ac:dyDescent="0.2">
      <c r="A5518" s="1" t="str">
        <f>"ENPP3"</f>
        <v>ENPP3</v>
      </c>
      <c r="B5518" t="s">
        <v>13</v>
      </c>
      <c r="C5518" t="s">
        <v>32</v>
      </c>
      <c r="D5518" t="s">
        <v>17</v>
      </c>
      <c r="E5518" t="s">
        <v>12</v>
      </c>
      <c r="F5518">
        <v>131949567</v>
      </c>
      <c r="G5518">
        <v>131949594</v>
      </c>
      <c r="H5518">
        <v>131949567</v>
      </c>
      <c r="I5518">
        <v>131949594</v>
      </c>
    </row>
    <row r="5519" spans="1:9" x14ac:dyDescent="0.2">
      <c r="A5519" s="1" t="str">
        <f>"ENPP4"</f>
        <v>ENPP4</v>
      </c>
      <c r="B5519" t="s">
        <v>14</v>
      </c>
      <c r="C5519" t="s">
        <v>32</v>
      </c>
      <c r="D5519" t="s">
        <v>17</v>
      </c>
      <c r="E5519" t="s">
        <v>12</v>
      </c>
      <c r="F5519">
        <v>46097776</v>
      </c>
      <c r="G5519">
        <v>46097804</v>
      </c>
      <c r="H5519">
        <v>46097805</v>
      </c>
      <c r="I5519">
        <v>46097860</v>
      </c>
    </row>
    <row r="5520" spans="1:9" x14ac:dyDescent="0.2">
      <c r="A5520" s="1" t="str">
        <f>"ENPP5"</f>
        <v>ENPP5</v>
      </c>
      <c r="B5520" t="s">
        <v>14</v>
      </c>
      <c r="C5520" t="s">
        <v>32</v>
      </c>
      <c r="D5520" t="s">
        <v>11</v>
      </c>
      <c r="E5520" t="s">
        <v>12</v>
      </c>
      <c r="F5520">
        <v>46138676</v>
      </c>
      <c r="G5520">
        <v>46138726</v>
      </c>
      <c r="H5520">
        <v>46138638</v>
      </c>
      <c r="I5520">
        <v>46138659</v>
      </c>
    </row>
    <row r="5521" spans="1:9" x14ac:dyDescent="0.2">
      <c r="A5521" s="1" t="str">
        <f>"ENPP6"</f>
        <v>ENPP6</v>
      </c>
      <c r="B5521" t="s">
        <v>14</v>
      </c>
      <c r="C5521" t="s">
        <v>23</v>
      </c>
      <c r="D5521" t="s">
        <v>11</v>
      </c>
      <c r="E5521" t="s">
        <v>12</v>
      </c>
      <c r="F5521">
        <v>185139008</v>
      </c>
      <c r="G5521">
        <v>185139052</v>
      </c>
      <c r="H5521">
        <v>185139062</v>
      </c>
      <c r="I5521">
        <v>185139078</v>
      </c>
    </row>
    <row r="5522" spans="1:9" x14ac:dyDescent="0.2">
      <c r="A5522" s="1" t="str">
        <f>"ENPP7"</f>
        <v>ENPP7</v>
      </c>
      <c r="B5522" t="s">
        <v>14</v>
      </c>
      <c r="C5522" t="s">
        <v>28</v>
      </c>
      <c r="D5522" t="s">
        <v>17</v>
      </c>
      <c r="E5522" t="s">
        <v>12</v>
      </c>
      <c r="F5522">
        <v>77704870</v>
      </c>
      <c r="G5522">
        <v>77704893</v>
      </c>
      <c r="H5522">
        <v>77704870</v>
      </c>
      <c r="I5522">
        <v>77704893</v>
      </c>
    </row>
    <row r="5523" spans="1:9" x14ac:dyDescent="0.2">
      <c r="A5523" s="1" t="str">
        <f>"ENSA"</f>
        <v>ENSA</v>
      </c>
      <c r="B5523" t="s">
        <v>14</v>
      </c>
      <c r="C5523" t="s">
        <v>19</v>
      </c>
      <c r="D5523" t="s">
        <v>11</v>
      </c>
      <c r="E5523" t="s">
        <v>12</v>
      </c>
      <c r="F5523">
        <v>150602046</v>
      </c>
      <c r="G5523">
        <v>150602095</v>
      </c>
      <c r="H5523">
        <v>150601588</v>
      </c>
      <c r="I5523">
        <v>150601631</v>
      </c>
    </row>
    <row r="5524" spans="1:9" x14ac:dyDescent="0.2">
      <c r="A5524" s="1" t="str">
        <f>"ENTHD1"</f>
        <v>ENTHD1</v>
      </c>
      <c r="B5524" t="s">
        <v>14</v>
      </c>
      <c r="C5524" t="s">
        <v>21</v>
      </c>
      <c r="D5524" t="s">
        <v>11</v>
      </c>
      <c r="E5524" t="s">
        <v>12</v>
      </c>
      <c r="F5524">
        <v>40289759</v>
      </c>
      <c r="G5524">
        <v>40289771</v>
      </c>
      <c r="H5524">
        <v>40289789</v>
      </c>
      <c r="I5524">
        <v>40289795</v>
      </c>
    </row>
    <row r="5525" spans="1:9" x14ac:dyDescent="0.2">
      <c r="A5525" s="1" t="str">
        <f>"ENTHD2"</f>
        <v>ENTHD2</v>
      </c>
      <c r="B5525" t="s">
        <v>14</v>
      </c>
      <c r="C5525" t="s">
        <v>28</v>
      </c>
      <c r="D5525" t="s">
        <v>11</v>
      </c>
      <c r="E5525" t="s">
        <v>12</v>
      </c>
      <c r="F5525">
        <v>79212825</v>
      </c>
      <c r="G5525">
        <v>79212865</v>
      </c>
      <c r="H5525">
        <v>79212884</v>
      </c>
      <c r="I5525">
        <v>79212895</v>
      </c>
    </row>
    <row r="5526" spans="1:9" x14ac:dyDescent="0.2">
      <c r="A5526" s="1" t="str">
        <f>"ENTPD1"</f>
        <v>ENTPD1</v>
      </c>
      <c r="B5526" t="s">
        <v>14</v>
      </c>
      <c r="C5526" t="s">
        <v>15</v>
      </c>
      <c r="D5526" t="s">
        <v>17</v>
      </c>
      <c r="E5526" t="s">
        <v>12</v>
      </c>
      <c r="F5526">
        <v>97515907</v>
      </c>
      <c r="G5526">
        <v>97515927</v>
      </c>
      <c r="H5526">
        <v>97515494</v>
      </c>
      <c r="I5526">
        <v>97515508</v>
      </c>
    </row>
    <row r="5527" spans="1:9" x14ac:dyDescent="0.2">
      <c r="A5527" s="1" t="str">
        <f>"ENTPD2"</f>
        <v>ENTPD2</v>
      </c>
      <c r="B5527" t="s">
        <v>14</v>
      </c>
      <c r="C5527" t="s">
        <v>24</v>
      </c>
      <c r="D5527" t="s">
        <v>11</v>
      </c>
      <c r="E5527" t="s">
        <v>12</v>
      </c>
      <c r="F5527">
        <v>139948487</v>
      </c>
      <c r="G5527">
        <v>139948521</v>
      </c>
      <c r="H5527">
        <v>139948468</v>
      </c>
      <c r="I5527">
        <v>139948482</v>
      </c>
    </row>
    <row r="5528" spans="1:9" x14ac:dyDescent="0.2">
      <c r="A5528" s="1" t="str">
        <f>"ENTPD3"</f>
        <v>ENTPD3</v>
      </c>
      <c r="B5528" t="s">
        <v>14</v>
      </c>
      <c r="C5528" t="s">
        <v>22</v>
      </c>
      <c r="D5528" t="s">
        <v>17</v>
      </c>
      <c r="E5528" t="s">
        <v>12</v>
      </c>
      <c r="F5528">
        <v>40428666</v>
      </c>
      <c r="G5528">
        <v>40428732</v>
      </c>
      <c r="H5528">
        <v>40428666</v>
      </c>
      <c r="I5528">
        <v>40428732</v>
      </c>
    </row>
    <row r="5529" spans="1:9" x14ac:dyDescent="0.2">
      <c r="A5529" s="1" t="str">
        <f>"ENTPD4"</f>
        <v>ENTPD4</v>
      </c>
      <c r="B5529" t="s">
        <v>14</v>
      </c>
      <c r="C5529" t="s">
        <v>30</v>
      </c>
      <c r="D5529" t="s">
        <v>11</v>
      </c>
      <c r="E5529" t="s">
        <v>12</v>
      </c>
      <c r="F5529">
        <v>23315131</v>
      </c>
      <c r="G5529">
        <v>23315183</v>
      </c>
      <c r="H5529">
        <v>23315190</v>
      </c>
      <c r="I5529">
        <v>23315235</v>
      </c>
    </row>
    <row r="5530" spans="1:9" x14ac:dyDescent="0.2">
      <c r="A5530" s="1" t="str">
        <f>"ENTPD5"</f>
        <v>ENTPD5</v>
      </c>
      <c r="B5530" t="s">
        <v>14</v>
      </c>
      <c r="C5530" t="s">
        <v>41</v>
      </c>
      <c r="D5530" t="s">
        <v>11</v>
      </c>
      <c r="E5530" t="s">
        <v>12</v>
      </c>
      <c r="F5530">
        <v>74485960</v>
      </c>
      <c r="G5530">
        <v>74486017</v>
      </c>
      <c r="H5530">
        <v>74485960</v>
      </c>
      <c r="I5530">
        <v>74486017</v>
      </c>
    </row>
    <row r="5531" spans="1:9" x14ac:dyDescent="0.2">
      <c r="A5531" s="1" t="str">
        <f>"ENTPD6"</f>
        <v>ENTPD6</v>
      </c>
      <c r="B5531" t="s">
        <v>14</v>
      </c>
      <c r="C5531" t="s">
        <v>29</v>
      </c>
      <c r="D5531" t="s">
        <v>17</v>
      </c>
      <c r="E5531" t="s">
        <v>12</v>
      </c>
      <c r="F5531">
        <v>25176318</v>
      </c>
      <c r="G5531">
        <v>25176400</v>
      </c>
      <c r="H5531">
        <v>25176450</v>
      </c>
      <c r="I5531">
        <v>25176471</v>
      </c>
    </row>
    <row r="5532" spans="1:9" x14ac:dyDescent="0.2">
      <c r="A5532" s="1" t="str">
        <f>"ENTPD7"</f>
        <v>ENTPD7</v>
      </c>
      <c r="B5532" t="s">
        <v>14</v>
      </c>
      <c r="C5532" t="s">
        <v>15</v>
      </c>
      <c r="D5532" t="s">
        <v>17</v>
      </c>
      <c r="E5532" t="s">
        <v>12</v>
      </c>
      <c r="F5532">
        <v>101419187</v>
      </c>
      <c r="G5532">
        <v>101419313</v>
      </c>
      <c r="H5532">
        <v>101419095</v>
      </c>
      <c r="I5532">
        <v>101419106</v>
      </c>
    </row>
    <row r="5533" spans="1:9" x14ac:dyDescent="0.2">
      <c r="A5533" s="1" t="str">
        <f>"ENTPD8"</f>
        <v>ENTPD8</v>
      </c>
      <c r="B5533" t="s">
        <v>14</v>
      </c>
      <c r="C5533" t="s">
        <v>24</v>
      </c>
      <c r="D5533" t="s">
        <v>11</v>
      </c>
      <c r="E5533" t="s">
        <v>12</v>
      </c>
      <c r="F5533">
        <v>140335789</v>
      </c>
      <c r="G5533">
        <v>140335818</v>
      </c>
      <c r="H5533">
        <v>140335789</v>
      </c>
      <c r="I5533">
        <v>140335818</v>
      </c>
    </row>
    <row r="5534" spans="1:9" x14ac:dyDescent="0.2">
      <c r="A5534" s="1" t="str">
        <f>"ENY2"</f>
        <v>ENY2</v>
      </c>
      <c r="B5534" t="s">
        <v>14</v>
      </c>
      <c r="C5534" t="s">
        <v>30</v>
      </c>
      <c r="D5534" t="s">
        <v>17</v>
      </c>
      <c r="E5534" t="s">
        <v>12</v>
      </c>
      <c r="F5534">
        <v>110346546</v>
      </c>
      <c r="G5534">
        <v>110346619</v>
      </c>
      <c r="H5534">
        <v>110346546</v>
      </c>
      <c r="I5534">
        <v>110346619</v>
      </c>
    </row>
    <row r="5535" spans="1:9" x14ac:dyDescent="0.2">
      <c r="A5535" s="1" t="str">
        <f>"EOGT"</f>
        <v>EOGT</v>
      </c>
      <c r="B5535" t="s">
        <v>14</v>
      </c>
      <c r="C5535" t="s">
        <v>22</v>
      </c>
      <c r="D5535" t="s">
        <v>11</v>
      </c>
      <c r="E5535" t="s">
        <v>12</v>
      </c>
      <c r="F5535">
        <v>69062790</v>
      </c>
      <c r="G5535">
        <v>69062855</v>
      </c>
      <c r="H5535">
        <v>69062764</v>
      </c>
      <c r="I5535">
        <v>69062788</v>
      </c>
    </row>
    <row r="5536" spans="1:9" x14ac:dyDescent="0.2">
      <c r="A5536" s="1" t="str">
        <f>"EOMES"</f>
        <v>EOMES</v>
      </c>
      <c r="B5536" t="s">
        <v>14</v>
      </c>
      <c r="C5536" t="s">
        <v>22</v>
      </c>
      <c r="D5536" t="s">
        <v>11</v>
      </c>
      <c r="E5536" t="s">
        <v>12</v>
      </c>
      <c r="F5536">
        <v>27763807</v>
      </c>
      <c r="G5536">
        <v>27763822</v>
      </c>
      <c r="H5536">
        <v>27764190</v>
      </c>
      <c r="I5536">
        <v>27764208</v>
      </c>
    </row>
    <row r="5537" spans="1:9" x14ac:dyDescent="0.2">
      <c r="A5537" s="1" t="str">
        <f>"EP300"</f>
        <v>EP300</v>
      </c>
      <c r="B5537" t="s">
        <v>14</v>
      </c>
      <c r="C5537" t="s">
        <v>21</v>
      </c>
      <c r="D5537" t="s">
        <v>17</v>
      </c>
      <c r="E5537" t="s">
        <v>12</v>
      </c>
      <c r="F5537">
        <v>41487711</v>
      </c>
      <c r="G5537">
        <v>41487798</v>
      </c>
      <c r="H5537">
        <v>41488590</v>
      </c>
      <c r="I5537">
        <v>41488631</v>
      </c>
    </row>
    <row r="5538" spans="1:9" x14ac:dyDescent="0.2">
      <c r="A5538" s="1" t="str">
        <f>"EP400"</f>
        <v>EP400</v>
      </c>
      <c r="B5538" t="s">
        <v>14</v>
      </c>
      <c r="C5538" t="s">
        <v>16</v>
      </c>
      <c r="D5538" t="s">
        <v>17</v>
      </c>
      <c r="E5538" t="s">
        <v>12</v>
      </c>
      <c r="F5538">
        <v>132434439</v>
      </c>
      <c r="G5538">
        <v>132434555</v>
      </c>
      <c r="H5538">
        <v>132434439</v>
      </c>
      <c r="I5538">
        <v>132434555</v>
      </c>
    </row>
    <row r="5539" spans="1:9" x14ac:dyDescent="0.2">
      <c r="A5539" s="1" t="str">
        <f>"EPAS1"</f>
        <v>EPAS1</v>
      </c>
      <c r="B5539" t="s">
        <v>14</v>
      </c>
      <c r="C5539" t="s">
        <v>26</v>
      </c>
      <c r="D5539" t="s">
        <v>17</v>
      </c>
      <c r="E5539" t="s">
        <v>12</v>
      </c>
      <c r="F5539">
        <v>46524537</v>
      </c>
      <c r="G5539">
        <v>46524553</v>
      </c>
      <c r="H5539">
        <v>46524897</v>
      </c>
      <c r="I5539">
        <v>46524911</v>
      </c>
    </row>
    <row r="5540" spans="1:9" x14ac:dyDescent="0.2">
      <c r="A5540" s="1" t="str">
        <f>"EPB41"</f>
        <v>EPB41</v>
      </c>
      <c r="B5540" t="s">
        <v>9</v>
      </c>
      <c r="C5540" t="s">
        <v>19</v>
      </c>
      <c r="D5540" t="s">
        <v>17</v>
      </c>
      <c r="E5540" t="s">
        <v>12</v>
      </c>
      <c r="F5540">
        <v>29213584</v>
      </c>
      <c r="G5540">
        <v>29213666</v>
      </c>
      <c r="H5540">
        <v>29213584</v>
      </c>
      <c r="I5540">
        <v>29213666</v>
      </c>
    </row>
    <row r="5541" spans="1:9" x14ac:dyDescent="0.2">
      <c r="A5541" s="1" t="str">
        <f>"EPB41"</f>
        <v>EPB41</v>
      </c>
      <c r="B5541" t="s">
        <v>13</v>
      </c>
      <c r="C5541" t="s">
        <v>19</v>
      </c>
      <c r="D5541" t="s">
        <v>17</v>
      </c>
      <c r="E5541" t="s">
        <v>12</v>
      </c>
      <c r="F5541">
        <v>29241027</v>
      </c>
      <c r="G5541">
        <v>29241095</v>
      </c>
      <c r="H5541">
        <v>29241027</v>
      </c>
      <c r="I5541">
        <v>29241095</v>
      </c>
    </row>
    <row r="5542" spans="1:9" x14ac:dyDescent="0.2">
      <c r="A5542" s="1" t="str">
        <f>"EPB41L1"</f>
        <v>EPB41L1</v>
      </c>
      <c r="B5542" t="s">
        <v>14</v>
      </c>
      <c r="C5542" t="s">
        <v>29</v>
      </c>
      <c r="D5542" t="s">
        <v>17</v>
      </c>
      <c r="E5542" t="s">
        <v>12</v>
      </c>
      <c r="F5542">
        <v>34742650</v>
      </c>
      <c r="G5542">
        <v>34742678</v>
      </c>
      <c r="H5542">
        <v>34742650</v>
      </c>
      <c r="I5542">
        <v>34742678</v>
      </c>
    </row>
    <row r="5543" spans="1:9" x14ac:dyDescent="0.2">
      <c r="A5543" s="1" t="str">
        <f>"EPB41L2"</f>
        <v>EPB41L2</v>
      </c>
      <c r="B5543" t="s">
        <v>14</v>
      </c>
      <c r="C5543" t="s">
        <v>32</v>
      </c>
      <c r="D5543" t="s">
        <v>11</v>
      </c>
      <c r="E5543" t="s">
        <v>12</v>
      </c>
      <c r="F5543">
        <v>131384373</v>
      </c>
      <c r="G5543">
        <v>131384397</v>
      </c>
      <c r="H5543">
        <v>131384373</v>
      </c>
      <c r="I5543">
        <v>131384397</v>
      </c>
    </row>
    <row r="5544" spans="1:9" x14ac:dyDescent="0.2">
      <c r="A5544" s="1" t="str">
        <f>"EPB41L3"</f>
        <v>EPB41L3</v>
      </c>
      <c r="B5544" t="s">
        <v>14</v>
      </c>
      <c r="C5544" t="s">
        <v>43</v>
      </c>
      <c r="D5544" t="s">
        <v>11</v>
      </c>
      <c r="E5544" t="s">
        <v>12</v>
      </c>
      <c r="F5544">
        <v>5543988</v>
      </c>
      <c r="G5544">
        <v>5544019</v>
      </c>
      <c r="H5544">
        <v>5543988</v>
      </c>
      <c r="I5544">
        <v>5544019</v>
      </c>
    </row>
    <row r="5545" spans="1:9" x14ac:dyDescent="0.2">
      <c r="A5545" s="1" t="str">
        <f>"EPB41L4A"</f>
        <v>EPB41L4A</v>
      </c>
      <c r="B5545" t="s">
        <v>14</v>
      </c>
      <c r="C5545" t="s">
        <v>46</v>
      </c>
      <c r="D5545" t="s">
        <v>11</v>
      </c>
      <c r="E5545" t="s">
        <v>12</v>
      </c>
      <c r="F5545">
        <v>111754901</v>
      </c>
      <c r="G5545">
        <v>111754946</v>
      </c>
      <c r="H5545">
        <v>111754948</v>
      </c>
      <c r="I5545">
        <v>111754993</v>
      </c>
    </row>
    <row r="5546" spans="1:9" x14ac:dyDescent="0.2">
      <c r="A5546" s="1" t="str">
        <f>"EPB41L4B"</f>
        <v>EPB41L4B</v>
      </c>
      <c r="B5546" t="s">
        <v>14</v>
      </c>
      <c r="C5546" t="s">
        <v>24</v>
      </c>
      <c r="D5546" t="s">
        <v>11</v>
      </c>
      <c r="E5546" t="s">
        <v>12</v>
      </c>
      <c r="F5546">
        <v>112082679</v>
      </c>
      <c r="G5546">
        <v>112082743</v>
      </c>
      <c r="H5546">
        <v>112083229</v>
      </c>
      <c r="I5546">
        <v>112083348</v>
      </c>
    </row>
    <row r="5547" spans="1:9" x14ac:dyDescent="0.2">
      <c r="A5547" s="1" t="str">
        <f>"EPB41L5"</f>
        <v>EPB41L5</v>
      </c>
      <c r="B5547" t="s">
        <v>14</v>
      </c>
      <c r="C5547" t="s">
        <v>26</v>
      </c>
      <c r="D5547" t="s">
        <v>17</v>
      </c>
      <c r="E5547" t="s">
        <v>12</v>
      </c>
      <c r="F5547">
        <v>120770645</v>
      </c>
      <c r="G5547">
        <v>120770669</v>
      </c>
      <c r="H5547">
        <v>120770686</v>
      </c>
      <c r="I5547">
        <v>120770696</v>
      </c>
    </row>
    <row r="5548" spans="1:9" x14ac:dyDescent="0.2">
      <c r="A5548" s="1" t="str">
        <f>"EPB42"</f>
        <v>EPB42</v>
      </c>
      <c r="B5548" t="s">
        <v>14</v>
      </c>
      <c r="C5548" t="s">
        <v>25</v>
      </c>
      <c r="D5548" t="s">
        <v>11</v>
      </c>
      <c r="E5548" t="s">
        <v>12</v>
      </c>
      <c r="F5548">
        <v>43513187</v>
      </c>
      <c r="G5548">
        <v>43513251</v>
      </c>
      <c r="H5548">
        <v>43513152</v>
      </c>
      <c r="I5548">
        <v>43513168</v>
      </c>
    </row>
    <row r="5549" spans="1:9" x14ac:dyDescent="0.2">
      <c r="A5549" s="1" t="str">
        <f>"EPC1"</f>
        <v>EPC1</v>
      </c>
      <c r="B5549" t="s">
        <v>14</v>
      </c>
      <c r="C5549" t="s">
        <v>15</v>
      </c>
      <c r="D5549" t="s">
        <v>11</v>
      </c>
      <c r="E5549" t="s">
        <v>12</v>
      </c>
      <c r="F5549">
        <v>32636038</v>
      </c>
      <c r="G5549">
        <v>32636099</v>
      </c>
      <c r="H5549">
        <v>32636038</v>
      </c>
      <c r="I5549">
        <v>32636099</v>
      </c>
    </row>
    <row r="5550" spans="1:9" x14ac:dyDescent="0.2">
      <c r="A5550" s="1" t="str">
        <f>"EPC2"</f>
        <v>EPC2</v>
      </c>
      <c r="B5550" t="s">
        <v>14</v>
      </c>
      <c r="C5550" t="s">
        <v>26</v>
      </c>
      <c r="D5550" t="s">
        <v>17</v>
      </c>
      <c r="E5550" t="s">
        <v>12</v>
      </c>
      <c r="F5550">
        <v>149402275</v>
      </c>
      <c r="G5550">
        <v>149402341</v>
      </c>
      <c r="H5550">
        <v>149402545</v>
      </c>
      <c r="I5550">
        <v>149402605</v>
      </c>
    </row>
    <row r="5551" spans="1:9" x14ac:dyDescent="0.2">
      <c r="A5551" s="1" t="str">
        <f>"EPCAM"</f>
        <v>EPCAM</v>
      </c>
      <c r="B5551" t="s">
        <v>14</v>
      </c>
      <c r="C5551" t="s">
        <v>26</v>
      </c>
      <c r="D5551" t="s">
        <v>17</v>
      </c>
      <c r="E5551" t="s">
        <v>12</v>
      </c>
      <c r="F5551">
        <v>47596415</v>
      </c>
      <c r="G5551">
        <v>47596470</v>
      </c>
      <c r="H5551">
        <v>47596330</v>
      </c>
      <c r="I5551">
        <v>47596380</v>
      </c>
    </row>
    <row r="5552" spans="1:9" x14ac:dyDescent="0.2">
      <c r="A5552" s="1" t="str">
        <f>"EPDR1"</f>
        <v>EPDR1</v>
      </c>
      <c r="B5552" t="s">
        <v>14</v>
      </c>
      <c r="C5552" t="s">
        <v>33</v>
      </c>
      <c r="D5552" t="s">
        <v>17</v>
      </c>
      <c r="E5552" t="s">
        <v>12</v>
      </c>
      <c r="F5552">
        <v>37960204</v>
      </c>
      <c r="G5552">
        <v>37960291</v>
      </c>
      <c r="H5552">
        <v>37960204</v>
      </c>
      <c r="I5552">
        <v>37960291</v>
      </c>
    </row>
    <row r="5553" spans="1:9" x14ac:dyDescent="0.2">
      <c r="A5553" s="1" t="str">
        <f>"EPG5"</f>
        <v>EPG5</v>
      </c>
      <c r="B5553" t="s">
        <v>14</v>
      </c>
      <c r="C5553" t="s">
        <v>43</v>
      </c>
      <c r="D5553" t="s">
        <v>11</v>
      </c>
      <c r="E5553" t="s">
        <v>12</v>
      </c>
      <c r="F5553">
        <v>43547223</v>
      </c>
      <c r="G5553">
        <v>43547312</v>
      </c>
      <c r="H5553">
        <v>43547206</v>
      </c>
      <c r="I5553">
        <v>43547218</v>
      </c>
    </row>
    <row r="5554" spans="1:9" x14ac:dyDescent="0.2">
      <c r="A5554" s="1" t="str">
        <f>"EPGN"</f>
        <v>EPGN</v>
      </c>
      <c r="B5554" t="s">
        <v>14</v>
      </c>
      <c r="C5554" t="s">
        <v>23</v>
      </c>
      <c r="D5554" t="s">
        <v>17</v>
      </c>
      <c r="E5554" t="s">
        <v>12</v>
      </c>
      <c r="F5554">
        <v>75174180</v>
      </c>
      <c r="G5554">
        <v>75174196</v>
      </c>
      <c r="H5554">
        <v>75174206</v>
      </c>
      <c r="I5554">
        <v>75174226</v>
      </c>
    </row>
    <row r="5555" spans="1:9" x14ac:dyDescent="0.2">
      <c r="A5555" s="1" t="str">
        <f>"EPHA1"</f>
        <v>EPHA1</v>
      </c>
      <c r="B5555" t="s">
        <v>14</v>
      </c>
      <c r="C5555" t="s">
        <v>33</v>
      </c>
      <c r="D5555" t="s">
        <v>11</v>
      </c>
      <c r="E5555" t="s">
        <v>12</v>
      </c>
      <c r="F5555">
        <v>143105941</v>
      </c>
      <c r="G5555">
        <v>143105973</v>
      </c>
      <c r="H5555">
        <v>143105915</v>
      </c>
      <c r="I5555">
        <v>143105938</v>
      </c>
    </row>
    <row r="5556" spans="1:9" x14ac:dyDescent="0.2">
      <c r="A5556" s="1" t="str">
        <f>"EPHA10"</f>
        <v>EPHA10</v>
      </c>
      <c r="B5556" t="s">
        <v>9</v>
      </c>
      <c r="C5556" t="s">
        <v>19</v>
      </c>
      <c r="D5556" t="s">
        <v>11</v>
      </c>
      <c r="E5556" t="s">
        <v>12</v>
      </c>
      <c r="F5556">
        <v>38218882</v>
      </c>
      <c r="G5556">
        <v>38218927</v>
      </c>
      <c r="H5556">
        <v>38218882</v>
      </c>
      <c r="I5556">
        <v>38218927</v>
      </c>
    </row>
    <row r="5557" spans="1:9" x14ac:dyDescent="0.2">
      <c r="A5557" s="1" t="str">
        <f>"EPHA10"</f>
        <v>EPHA10</v>
      </c>
      <c r="B5557" t="s">
        <v>13</v>
      </c>
      <c r="C5557" t="s">
        <v>19</v>
      </c>
      <c r="D5557" t="s">
        <v>11</v>
      </c>
      <c r="E5557" t="s">
        <v>12</v>
      </c>
      <c r="F5557">
        <v>38230778</v>
      </c>
      <c r="G5557">
        <v>38230827</v>
      </c>
      <c r="H5557">
        <v>38230778</v>
      </c>
      <c r="I5557">
        <v>38230827</v>
      </c>
    </row>
    <row r="5558" spans="1:9" x14ac:dyDescent="0.2">
      <c r="A5558" s="1" t="str">
        <f>"EPHA2"</f>
        <v>EPHA2</v>
      </c>
      <c r="B5558" t="s">
        <v>14</v>
      </c>
      <c r="C5558" t="s">
        <v>19</v>
      </c>
      <c r="D5558" t="s">
        <v>11</v>
      </c>
      <c r="E5558" t="s">
        <v>12</v>
      </c>
      <c r="F5558">
        <v>16482554</v>
      </c>
      <c r="G5558">
        <v>16482576</v>
      </c>
      <c r="H5558">
        <v>16482527</v>
      </c>
      <c r="I5558">
        <v>16482546</v>
      </c>
    </row>
    <row r="5559" spans="1:9" x14ac:dyDescent="0.2">
      <c r="A5559" s="1" t="str">
        <f>"EPHA3"</f>
        <v>EPHA3</v>
      </c>
      <c r="B5559" t="s">
        <v>14</v>
      </c>
      <c r="C5559" t="s">
        <v>22</v>
      </c>
      <c r="D5559" t="s">
        <v>17</v>
      </c>
      <c r="E5559" t="s">
        <v>12</v>
      </c>
      <c r="F5559">
        <v>89156763</v>
      </c>
      <c r="G5559">
        <v>89156797</v>
      </c>
      <c r="H5559">
        <v>89156832</v>
      </c>
      <c r="I5559">
        <v>89156848</v>
      </c>
    </row>
    <row r="5560" spans="1:9" x14ac:dyDescent="0.2">
      <c r="A5560" s="1" t="str">
        <f>"EPHA4"</f>
        <v>EPHA4</v>
      </c>
      <c r="B5560" t="s">
        <v>14</v>
      </c>
      <c r="C5560" t="s">
        <v>26</v>
      </c>
      <c r="D5560" t="s">
        <v>11</v>
      </c>
      <c r="E5560" t="s">
        <v>12</v>
      </c>
      <c r="F5560">
        <v>222436988</v>
      </c>
      <c r="G5560">
        <v>222437031</v>
      </c>
      <c r="H5560">
        <v>222437049</v>
      </c>
      <c r="I5560">
        <v>222437061</v>
      </c>
    </row>
    <row r="5561" spans="1:9" x14ac:dyDescent="0.2">
      <c r="A5561" s="1" t="str">
        <f>"EPHA5"</f>
        <v>EPHA5</v>
      </c>
      <c r="B5561" t="s">
        <v>14</v>
      </c>
      <c r="C5561" t="s">
        <v>23</v>
      </c>
      <c r="D5561" t="s">
        <v>11</v>
      </c>
      <c r="E5561" t="s">
        <v>12</v>
      </c>
      <c r="F5561">
        <v>66536169</v>
      </c>
      <c r="G5561">
        <v>66536189</v>
      </c>
      <c r="H5561">
        <v>66536196</v>
      </c>
      <c r="I5561">
        <v>66536216</v>
      </c>
    </row>
    <row r="5562" spans="1:9" x14ac:dyDescent="0.2">
      <c r="A5562" s="1" t="str">
        <f>"EPHA6"</f>
        <v>EPHA6</v>
      </c>
      <c r="B5562" t="s">
        <v>14</v>
      </c>
      <c r="C5562" t="s">
        <v>22</v>
      </c>
      <c r="D5562" t="s">
        <v>17</v>
      </c>
      <c r="E5562" t="s">
        <v>12</v>
      </c>
      <c r="F5562">
        <v>96533413</v>
      </c>
      <c r="G5562">
        <v>96533443</v>
      </c>
      <c r="H5562">
        <v>96533397</v>
      </c>
      <c r="I5562">
        <v>96533411</v>
      </c>
    </row>
    <row r="5563" spans="1:9" x14ac:dyDescent="0.2">
      <c r="A5563" s="1" t="str">
        <f>"EPHA7"</f>
        <v>EPHA7</v>
      </c>
      <c r="B5563" t="s">
        <v>14</v>
      </c>
      <c r="C5563" t="s">
        <v>32</v>
      </c>
      <c r="D5563" t="s">
        <v>11</v>
      </c>
      <c r="E5563" t="s">
        <v>12</v>
      </c>
      <c r="F5563">
        <v>94129263</v>
      </c>
      <c r="G5563">
        <v>94129284</v>
      </c>
      <c r="H5563">
        <v>94129300</v>
      </c>
      <c r="I5563">
        <v>94129311</v>
      </c>
    </row>
    <row r="5564" spans="1:9" x14ac:dyDescent="0.2">
      <c r="A5564" s="1" t="str">
        <f>"EPHA8"</f>
        <v>EPHA8</v>
      </c>
      <c r="B5564" t="s">
        <v>14</v>
      </c>
      <c r="C5564" t="s">
        <v>19</v>
      </c>
      <c r="D5564" t="s">
        <v>17</v>
      </c>
      <c r="E5564" t="s">
        <v>12</v>
      </c>
      <c r="F5564">
        <v>22889953</v>
      </c>
      <c r="G5564">
        <v>22890005</v>
      </c>
      <c r="H5564">
        <v>22889953</v>
      </c>
      <c r="I5564">
        <v>22890005</v>
      </c>
    </row>
    <row r="5565" spans="1:9" x14ac:dyDescent="0.2">
      <c r="A5565" s="1" t="str">
        <f>"EPHB1"</f>
        <v>EPHB1</v>
      </c>
      <c r="B5565" t="s">
        <v>14</v>
      </c>
      <c r="C5565" t="s">
        <v>22</v>
      </c>
      <c r="D5565" t="s">
        <v>17</v>
      </c>
      <c r="E5565" t="s">
        <v>12</v>
      </c>
      <c r="F5565">
        <v>134514093</v>
      </c>
      <c r="G5565">
        <v>134514169</v>
      </c>
      <c r="H5565">
        <v>134514093</v>
      </c>
      <c r="I5565">
        <v>134514169</v>
      </c>
    </row>
    <row r="5566" spans="1:9" x14ac:dyDescent="0.2">
      <c r="A5566" s="1" t="str">
        <f>"EPHB2"</f>
        <v>EPHB2</v>
      </c>
      <c r="B5566" t="s">
        <v>14</v>
      </c>
      <c r="C5566" t="s">
        <v>19</v>
      </c>
      <c r="D5566" t="s">
        <v>17</v>
      </c>
      <c r="E5566" t="s">
        <v>12</v>
      </c>
      <c r="F5566">
        <v>23037323</v>
      </c>
      <c r="G5566">
        <v>23037338</v>
      </c>
      <c r="H5566">
        <v>23037323</v>
      </c>
      <c r="I5566">
        <v>23037338</v>
      </c>
    </row>
    <row r="5567" spans="1:9" x14ac:dyDescent="0.2">
      <c r="A5567" s="1" t="str">
        <f>"EPHB3"</f>
        <v>EPHB3</v>
      </c>
      <c r="B5567" t="s">
        <v>14</v>
      </c>
      <c r="C5567" t="s">
        <v>22</v>
      </c>
      <c r="D5567" t="s">
        <v>17</v>
      </c>
      <c r="E5567" t="s">
        <v>12</v>
      </c>
      <c r="F5567">
        <v>184279566</v>
      </c>
      <c r="G5567">
        <v>184279583</v>
      </c>
      <c r="H5567">
        <v>184279538</v>
      </c>
      <c r="I5567">
        <v>184279547</v>
      </c>
    </row>
    <row r="5568" spans="1:9" x14ac:dyDescent="0.2">
      <c r="A5568" s="1" t="str">
        <f>"EPHB4"</f>
        <v>EPHB4</v>
      </c>
      <c r="B5568" t="s">
        <v>14</v>
      </c>
      <c r="C5568" t="s">
        <v>33</v>
      </c>
      <c r="D5568" t="s">
        <v>11</v>
      </c>
      <c r="E5568" t="s">
        <v>12</v>
      </c>
      <c r="F5568">
        <v>100425130</v>
      </c>
      <c r="G5568">
        <v>100425153</v>
      </c>
      <c r="H5568">
        <v>100425087</v>
      </c>
      <c r="I5568">
        <v>100425098</v>
      </c>
    </row>
    <row r="5569" spans="1:9" x14ac:dyDescent="0.2">
      <c r="A5569" s="1" t="str">
        <f>"EPHB6"</f>
        <v>EPHB6</v>
      </c>
      <c r="B5569" t="s">
        <v>14</v>
      </c>
      <c r="C5569" t="s">
        <v>33</v>
      </c>
      <c r="D5569" t="s">
        <v>17</v>
      </c>
      <c r="E5569" t="s">
        <v>12</v>
      </c>
      <c r="F5569">
        <v>142552823</v>
      </c>
      <c r="G5569">
        <v>142552902</v>
      </c>
      <c r="H5569">
        <v>142552671</v>
      </c>
      <c r="I5569">
        <v>142552722</v>
      </c>
    </row>
    <row r="5570" spans="1:9" x14ac:dyDescent="0.2">
      <c r="A5570" s="1" t="str">
        <f>"EPHX1"</f>
        <v>EPHX1</v>
      </c>
      <c r="B5570" t="s">
        <v>14</v>
      </c>
      <c r="C5570" t="s">
        <v>19</v>
      </c>
      <c r="D5570" t="s">
        <v>17</v>
      </c>
      <c r="E5570" t="s">
        <v>12</v>
      </c>
      <c r="F5570">
        <v>225997818</v>
      </c>
      <c r="G5570">
        <v>225997834</v>
      </c>
      <c r="H5570">
        <v>225997791</v>
      </c>
      <c r="I5570">
        <v>225997802</v>
      </c>
    </row>
    <row r="5571" spans="1:9" x14ac:dyDescent="0.2">
      <c r="A5571" s="1" t="str">
        <f>"EPHX2"</f>
        <v>EPHX2</v>
      </c>
      <c r="B5571" t="s">
        <v>14</v>
      </c>
      <c r="C5571" t="s">
        <v>30</v>
      </c>
      <c r="D5571" t="s">
        <v>17</v>
      </c>
      <c r="E5571" t="s">
        <v>12</v>
      </c>
      <c r="F5571">
        <v>27348649</v>
      </c>
      <c r="G5571">
        <v>27348720</v>
      </c>
      <c r="H5571">
        <v>27348626</v>
      </c>
      <c r="I5571">
        <v>27348635</v>
      </c>
    </row>
    <row r="5572" spans="1:9" x14ac:dyDescent="0.2">
      <c r="A5572" s="1" t="str">
        <f>"EPHX3"</f>
        <v>EPHX3</v>
      </c>
      <c r="B5572" t="s">
        <v>14</v>
      </c>
      <c r="C5572" t="s">
        <v>10</v>
      </c>
      <c r="D5572" t="s">
        <v>11</v>
      </c>
      <c r="E5572" t="s">
        <v>12</v>
      </c>
      <c r="F5572">
        <v>15343191</v>
      </c>
      <c r="G5572">
        <v>15343270</v>
      </c>
      <c r="H5572">
        <v>15343191</v>
      </c>
      <c r="I5572">
        <v>15343270</v>
      </c>
    </row>
    <row r="5573" spans="1:9" x14ac:dyDescent="0.2">
      <c r="A5573" s="1" t="str">
        <f>"EPHX4"</f>
        <v>EPHX4</v>
      </c>
      <c r="B5573" t="s">
        <v>14</v>
      </c>
      <c r="C5573" t="s">
        <v>19</v>
      </c>
      <c r="D5573" t="s">
        <v>17</v>
      </c>
      <c r="E5573" t="s">
        <v>12</v>
      </c>
      <c r="F5573">
        <v>92495528</v>
      </c>
      <c r="G5573">
        <v>92495604</v>
      </c>
      <c r="H5573">
        <v>92495382</v>
      </c>
      <c r="I5573">
        <v>92495419</v>
      </c>
    </row>
    <row r="5574" spans="1:9" x14ac:dyDescent="0.2">
      <c r="A5574" s="1" t="str">
        <f>"EPM2A"</f>
        <v>EPM2A</v>
      </c>
      <c r="B5574" t="s">
        <v>14</v>
      </c>
      <c r="C5574" t="s">
        <v>32</v>
      </c>
      <c r="D5574" t="s">
        <v>11</v>
      </c>
      <c r="E5574" t="s">
        <v>12</v>
      </c>
      <c r="F5574">
        <v>146056589</v>
      </c>
      <c r="G5574">
        <v>146056646</v>
      </c>
      <c r="H5574">
        <v>146056648</v>
      </c>
      <c r="I5574">
        <v>146056679</v>
      </c>
    </row>
    <row r="5575" spans="1:9" x14ac:dyDescent="0.2">
      <c r="A5575" s="1" t="str">
        <f>"EPM2AIP1"</f>
        <v>EPM2AIP1</v>
      </c>
      <c r="B5575" t="s">
        <v>14</v>
      </c>
      <c r="C5575" t="s">
        <v>22</v>
      </c>
      <c r="D5575" t="s">
        <v>11</v>
      </c>
      <c r="E5575" t="s">
        <v>12</v>
      </c>
      <c r="F5575">
        <v>37034614</v>
      </c>
      <c r="G5575">
        <v>37034646</v>
      </c>
      <c r="H5575">
        <v>37034614</v>
      </c>
      <c r="I5575">
        <v>37034646</v>
      </c>
    </row>
    <row r="5576" spans="1:9" x14ac:dyDescent="0.2">
      <c r="A5576" s="1" t="str">
        <f>"EPN1"</f>
        <v>EPN1</v>
      </c>
      <c r="B5576" t="s">
        <v>14</v>
      </c>
      <c r="C5576" t="s">
        <v>10</v>
      </c>
      <c r="D5576" t="s">
        <v>17</v>
      </c>
      <c r="E5576" t="s">
        <v>12</v>
      </c>
      <c r="F5576">
        <v>56186557</v>
      </c>
      <c r="G5576">
        <v>56186601</v>
      </c>
      <c r="H5576">
        <v>56186606</v>
      </c>
      <c r="I5576">
        <v>56186655</v>
      </c>
    </row>
    <row r="5577" spans="1:9" x14ac:dyDescent="0.2">
      <c r="A5577" s="1" t="str">
        <f>"EPN2"</f>
        <v>EPN2</v>
      </c>
      <c r="B5577" t="s">
        <v>9</v>
      </c>
      <c r="C5577" t="s">
        <v>28</v>
      </c>
      <c r="D5577" t="s">
        <v>17</v>
      </c>
      <c r="E5577" t="s">
        <v>12</v>
      </c>
      <c r="F5577">
        <v>19140784</v>
      </c>
      <c r="G5577">
        <v>19140820</v>
      </c>
      <c r="H5577">
        <v>19140784</v>
      </c>
      <c r="I5577">
        <v>19140820</v>
      </c>
    </row>
    <row r="5578" spans="1:9" x14ac:dyDescent="0.2">
      <c r="A5578" s="1" t="str">
        <f>"EPN2"</f>
        <v>EPN2</v>
      </c>
      <c r="B5578" t="s">
        <v>13</v>
      </c>
      <c r="C5578" t="s">
        <v>28</v>
      </c>
      <c r="D5578" t="s">
        <v>17</v>
      </c>
      <c r="E5578" t="s">
        <v>12</v>
      </c>
      <c r="F5578">
        <v>19186377</v>
      </c>
      <c r="G5578">
        <v>19186397</v>
      </c>
      <c r="H5578">
        <v>19186377</v>
      </c>
      <c r="I5578">
        <v>19186397</v>
      </c>
    </row>
    <row r="5579" spans="1:9" x14ac:dyDescent="0.2">
      <c r="A5579" s="1" t="str">
        <f>"EPN3"</f>
        <v>EPN3</v>
      </c>
      <c r="B5579" t="s">
        <v>9</v>
      </c>
      <c r="C5579" t="s">
        <v>28</v>
      </c>
      <c r="D5579" t="s">
        <v>17</v>
      </c>
      <c r="E5579" t="s">
        <v>12</v>
      </c>
      <c r="F5579">
        <v>48610074</v>
      </c>
      <c r="G5579">
        <v>48610107</v>
      </c>
      <c r="H5579">
        <v>48610074</v>
      </c>
      <c r="I5579">
        <v>48610107</v>
      </c>
    </row>
    <row r="5580" spans="1:9" x14ac:dyDescent="0.2">
      <c r="A5580" s="1" t="str">
        <f>"EPN3"</f>
        <v>EPN3</v>
      </c>
      <c r="B5580" t="s">
        <v>13</v>
      </c>
      <c r="C5580" t="s">
        <v>28</v>
      </c>
      <c r="D5580" t="s">
        <v>17</v>
      </c>
      <c r="E5580" t="s">
        <v>12</v>
      </c>
      <c r="F5580">
        <v>48611955</v>
      </c>
      <c r="G5580">
        <v>48611976</v>
      </c>
      <c r="H5580">
        <v>48611955</v>
      </c>
      <c r="I5580">
        <v>48611976</v>
      </c>
    </row>
    <row r="5581" spans="1:9" x14ac:dyDescent="0.2">
      <c r="A5581" s="1" t="str">
        <f>"EPO"</f>
        <v>EPO</v>
      </c>
      <c r="B5581" t="s">
        <v>14</v>
      </c>
      <c r="C5581" t="s">
        <v>33</v>
      </c>
      <c r="D5581" t="s">
        <v>17</v>
      </c>
      <c r="E5581" t="s">
        <v>12</v>
      </c>
      <c r="F5581">
        <v>100318087</v>
      </c>
      <c r="G5581">
        <v>100318109</v>
      </c>
      <c r="H5581">
        <v>100318087</v>
      </c>
      <c r="I5581">
        <v>100318109</v>
      </c>
    </row>
    <row r="5582" spans="1:9" x14ac:dyDescent="0.2">
      <c r="A5582" s="1" t="str">
        <f>"EPOR"</f>
        <v>EPOR</v>
      </c>
      <c r="B5582" t="s">
        <v>9</v>
      </c>
      <c r="C5582" t="s">
        <v>10</v>
      </c>
      <c r="D5582" t="s">
        <v>11</v>
      </c>
      <c r="E5582" t="s">
        <v>12</v>
      </c>
      <c r="F5582">
        <v>11491892</v>
      </c>
      <c r="G5582">
        <v>11491905</v>
      </c>
      <c r="H5582">
        <v>11491892</v>
      </c>
      <c r="I5582">
        <v>11491905</v>
      </c>
    </row>
    <row r="5583" spans="1:9" x14ac:dyDescent="0.2">
      <c r="A5583" s="1" t="str">
        <f>"EPOR"</f>
        <v>EPOR</v>
      </c>
      <c r="B5583" t="s">
        <v>13</v>
      </c>
      <c r="C5583" t="s">
        <v>10</v>
      </c>
      <c r="D5583" t="s">
        <v>11</v>
      </c>
      <c r="E5583" t="s">
        <v>12</v>
      </c>
      <c r="F5583">
        <v>11494975</v>
      </c>
      <c r="G5583">
        <v>11495003</v>
      </c>
      <c r="H5583">
        <v>11494975</v>
      </c>
      <c r="I5583">
        <v>11495003</v>
      </c>
    </row>
    <row r="5584" spans="1:9" x14ac:dyDescent="0.2">
      <c r="A5584" s="1" t="str">
        <f>"EPPIN"</f>
        <v>EPPIN</v>
      </c>
      <c r="B5584" t="s">
        <v>14</v>
      </c>
      <c r="C5584" t="s">
        <v>29</v>
      </c>
      <c r="D5584" t="s">
        <v>11</v>
      </c>
      <c r="E5584" t="s">
        <v>12</v>
      </c>
      <c r="F5584">
        <v>44176013</v>
      </c>
      <c r="G5584">
        <v>44176045</v>
      </c>
      <c r="H5584">
        <v>44176060</v>
      </c>
      <c r="I5584">
        <v>44176067</v>
      </c>
    </row>
    <row r="5585" spans="1:9" x14ac:dyDescent="0.2">
      <c r="A5585" s="1" t="str">
        <f>"EPPIN-WFDC6"</f>
        <v>EPPIN-WFDC6</v>
      </c>
      <c r="B5585" t="s">
        <v>14</v>
      </c>
      <c r="C5585" t="s">
        <v>29</v>
      </c>
      <c r="D5585" t="s">
        <v>11</v>
      </c>
      <c r="E5585" t="s">
        <v>12</v>
      </c>
      <c r="F5585">
        <v>44176013</v>
      </c>
      <c r="G5585">
        <v>44176045</v>
      </c>
      <c r="H5585">
        <v>44176060</v>
      </c>
      <c r="I5585">
        <v>44176067</v>
      </c>
    </row>
    <row r="5586" spans="1:9" x14ac:dyDescent="0.2">
      <c r="A5586" s="1" t="str">
        <f>"EPPK1"</f>
        <v>EPPK1</v>
      </c>
      <c r="B5586" t="s">
        <v>14</v>
      </c>
      <c r="C5586" t="s">
        <v>30</v>
      </c>
      <c r="D5586" t="s">
        <v>11</v>
      </c>
      <c r="E5586" t="s">
        <v>12</v>
      </c>
      <c r="F5586">
        <v>144952631</v>
      </c>
      <c r="G5586">
        <v>144952636</v>
      </c>
      <c r="H5586">
        <v>144952631</v>
      </c>
      <c r="I5586">
        <v>144952636</v>
      </c>
    </row>
    <row r="5587" spans="1:9" x14ac:dyDescent="0.2">
      <c r="A5587" s="1" t="str">
        <f>"EPRS"</f>
        <v>EPRS</v>
      </c>
      <c r="B5587" t="s">
        <v>14</v>
      </c>
      <c r="C5587" t="s">
        <v>19</v>
      </c>
      <c r="D5587" t="s">
        <v>11</v>
      </c>
      <c r="E5587" t="s">
        <v>12</v>
      </c>
      <c r="F5587">
        <v>220219775</v>
      </c>
      <c r="G5587">
        <v>220219859</v>
      </c>
      <c r="H5587">
        <v>220219866</v>
      </c>
      <c r="I5587">
        <v>220219877</v>
      </c>
    </row>
    <row r="5588" spans="1:9" x14ac:dyDescent="0.2">
      <c r="A5588" s="1" t="str">
        <f>"EPS15"</f>
        <v>EPS15</v>
      </c>
      <c r="B5588" t="s">
        <v>14</v>
      </c>
      <c r="C5588" t="s">
        <v>19</v>
      </c>
      <c r="D5588" t="s">
        <v>11</v>
      </c>
      <c r="E5588" t="s">
        <v>12</v>
      </c>
      <c r="F5588">
        <v>51984908</v>
      </c>
      <c r="G5588">
        <v>51984952</v>
      </c>
      <c r="H5588">
        <v>51984908</v>
      </c>
      <c r="I5588">
        <v>51984952</v>
      </c>
    </row>
    <row r="5589" spans="1:9" x14ac:dyDescent="0.2">
      <c r="A5589" s="1" t="str">
        <f>"EPS15L1"</f>
        <v>EPS15L1</v>
      </c>
      <c r="B5589" t="s">
        <v>14</v>
      </c>
      <c r="C5589" t="s">
        <v>10</v>
      </c>
      <c r="D5589" t="s">
        <v>11</v>
      </c>
      <c r="E5589" t="s">
        <v>12</v>
      </c>
      <c r="F5589">
        <v>16582758</v>
      </c>
      <c r="G5589">
        <v>16582797</v>
      </c>
      <c r="H5589">
        <v>16582815</v>
      </c>
      <c r="I5589">
        <v>16582828</v>
      </c>
    </row>
    <row r="5590" spans="1:9" x14ac:dyDescent="0.2">
      <c r="A5590" s="1" t="str">
        <f>"EPS8"</f>
        <v>EPS8</v>
      </c>
      <c r="B5590" t="s">
        <v>14</v>
      </c>
      <c r="C5590" t="s">
        <v>16</v>
      </c>
      <c r="D5590" t="s">
        <v>11</v>
      </c>
      <c r="E5590" t="s">
        <v>12</v>
      </c>
      <c r="F5590">
        <v>15942309</v>
      </c>
      <c r="G5590">
        <v>15942330</v>
      </c>
      <c r="H5590">
        <v>15942285</v>
      </c>
      <c r="I5590">
        <v>15942296</v>
      </c>
    </row>
    <row r="5591" spans="1:9" x14ac:dyDescent="0.2">
      <c r="A5591" s="1" t="str">
        <f>"EPS8L1"</f>
        <v>EPS8L1</v>
      </c>
      <c r="B5591" t="s">
        <v>9</v>
      </c>
      <c r="C5591" t="s">
        <v>10</v>
      </c>
      <c r="D5591" t="s">
        <v>17</v>
      </c>
      <c r="E5591" t="s">
        <v>12</v>
      </c>
      <c r="F5591">
        <v>55587231</v>
      </c>
      <c r="G5591">
        <v>55587263</v>
      </c>
      <c r="H5591">
        <v>55587231</v>
      </c>
      <c r="I5591">
        <v>55587263</v>
      </c>
    </row>
    <row r="5592" spans="1:9" x14ac:dyDescent="0.2">
      <c r="A5592" s="1" t="str">
        <f>"EPS8L1"</f>
        <v>EPS8L1</v>
      </c>
      <c r="B5592" t="s">
        <v>13</v>
      </c>
      <c r="C5592" t="s">
        <v>10</v>
      </c>
      <c r="D5592" t="s">
        <v>17</v>
      </c>
      <c r="E5592" t="s">
        <v>12</v>
      </c>
      <c r="F5592">
        <v>55591743</v>
      </c>
      <c r="G5592">
        <v>55591780</v>
      </c>
      <c r="H5592">
        <v>55591743</v>
      </c>
      <c r="I5592">
        <v>55591780</v>
      </c>
    </row>
    <row r="5593" spans="1:9" x14ac:dyDescent="0.2">
      <c r="A5593" s="1" t="str">
        <f>"EPS8L2"</f>
        <v>EPS8L2</v>
      </c>
      <c r="B5593" t="s">
        <v>14</v>
      </c>
      <c r="C5593" t="s">
        <v>27</v>
      </c>
      <c r="D5593" t="s">
        <v>17</v>
      </c>
      <c r="E5593" t="s">
        <v>12</v>
      </c>
      <c r="F5593">
        <v>706219</v>
      </c>
      <c r="G5593">
        <v>706260</v>
      </c>
      <c r="H5593">
        <v>706174</v>
      </c>
      <c r="I5593">
        <v>706213</v>
      </c>
    </row>
    <row r="5594" spans="1:9" x14ac:dyDescent="0.2">
      <c r="A5594" s="1" t="str">
        <f>"EPS8L3"</f>
        <v>EPS8L3</v>
      </c>
      <c r="B5594" t="s">
        <v>14</v>
      </c>
      <c r="C5594" t="s">
        <v>19</v>
      </c>
      <c r="D5594" t="s">
        <v>11</v>
      </c>
      <c r="E5594" t="s">
        <v>12</v>
      </c>
      <c r="F5594">
        <v>110306531</v>
      </c>
      <c r="G5594">
        <v>110306553</v>
      </c>
      <c r="H5594">
        <v>110306562</v>
      </c>
      <c r="I5594">
        <v>110306582</v>
      </c>
    </row>
    <row r="5595" spans="1:9" x14ac:dyDescent="0.2">
      <c r="A5595" s="1" t="str">
        <f>"EPSTI1"</f>
        <v>EPSTI1</v>
      </c>
      <c r="B5595" t="s">
        <v>14</v>
      </c>
      <c r="C5595" t="s">
        <v>39</v>
      </c>
      <c r="D5595" t="s">
        <v>11</v>
      </c>
      <c r="E5595" t="s">
        <v>12</v>
      </c>
      <c r="F5595">
        <v>43566332</v>
      </c>
      <c r="G5595">
        <v>43566422</v>
      </c>
      <c r="H5595">
        <v>43566444</v>
      </c>
      <c r="I5595">
        <v>43566449</v>
      </c>
    </row>
    <row r="5596" spans="1:9" x14ac:dyDescent="0.2">
      <c r="A5596" s="1" t="str">
        <f>"EPT1"</f>
        <v>EPT1</v>
      </c>
      <c r="B5596" t="s">
        <v>14</v>
      </c>
      <c r="C5596" t="s">
        <v>26</v>
      </c>
      <c r="D5596" t="s">
        <v>17</v>
      </c>
      <c r="E5596" t="s">
        <v>12</v>
      </c>
      <c r="F5596">
        <v>26568965</v>
      </c>
      <c r="G5596">
        <v>26569025</v>
      </c>
      <c r="H5596">
        <v>26569028</v>
      </c>
      <c r="I5596">
        <v>26569039</v>
      </c>
    </row>
    <row r="5597" spans="1:9" x14ac:dyDescent="0.2">
      <c r="A5597" s="1" t="str">
        <f>"EPX"</f>
        <v>EPX</v>
      </c>
      <c r="B5597" t="s">
        <v>14</v>
      </c>
      <c r="C5597" t="s">
        <v>28</v>
      </c>
      <c r="D5597" t="s">
        <v>17</v>
      </c>
      <c r="E5597" t="s">
        <v>12</v>
      </c>
      <c r="F5597">
        <v>56270084</v>
      </c>
      <c r="G5597">
        <v>56270090</v>
      </c>
      <c r="H5597">
        <v>56270084</v>
      </c>
      <c r="I5597">
        <v>56270090</v>
      </c>
    </row>
    <row r="5598" spans="1:9" x14ac:dyDescent="0.2">
      <c r="A5598" s="1" t="str">
        <f>"EPYC"</f>
        <v>EPYC</v>
      </c>
      <c r="B5598" t="s">
        <v>14</v>
      </c>
      <c r="C5598" t="s">
        <v>16</v>
      </c>
      <c r="D5598" t="s">
        <v>11</v>
      </c>
      <c r="E5598" t="s">
        <v>12</v>
      </c>
      <c r="F5598">
        <v>91398742</v>
      </c>
      <c r="G5598">
        <v>91398768</v>
      </c>
      <c r="H5598">
        <v>91398742</v>
      </c>
      <c r="I5598">
        <v>91398768</v>
      </c>
    </row>
    <row r="5599" spans="1:9" x14ac:dyDescent="0.2">
      <c r="A5599" s="1" t="str">
        <f>"EQTN"</f>
        <v>EQTN</v>
      </c>
      <c r="B5599" t="s">
        <v>14</v>
      </c>
      <c r="C5599" t="s">
        <v>24</v>
      </c>
      <c r="D5599" t="s">
        <v>11</v>
      </c>
      <c r="E5599" t="s">
        <v>12</v>
      </c>
      <c r="F5599">
        <v>27297095</v>
      </c>
      <c r="G5599">
        <v>27297114</v>
      </c>
      <c r="H5599">
        <v>27297126</v>
      </c>
      <c r="I5599">
        <v>27297140</v>
      </c>
    </row>
    <row r="5600" spans="1:9" x14ac:dyDescent="0.2">
      <c r="A5600" s="1" t="str">
        <f>"ERAL1"</f>
        <v>ERAL1</v>
      </c>
      <c r="B5600" t="s">
        <v>14</v>
      </c>
      <c r="C5600" t="s">
        <v>28</v>
      </c>
      <c r="D5600" t="s">
        <v>17</v>
      </c>
      <c r="E5600" t="s">
        <v>12</v>
      </c>
      <c r="F5600">
        <v>27182021</v>
      </c>
      <c r="G5600">
        <v>27182055</v>
      </c>
      <c r="H5600">
        <v>27182021</v>
      </c>
      <c r="I5600">
        <v>27182055</v>
      </c>
    </row>
    <row r="5601" spans="1:9" x14ac:dyDescent="0.2">
      <c r="A5601" s="1" t="str">
        <f>"ERAP1"</f>
        <v>ERAP1</v>
      </c>
      <c r="B5601" t="s">
        <v>14</v>
      </c>
      <c r="C5601" t="s">
        <v>46</v>
      </c>
      <c r="D5601" t="s">
        <v>11</v>
      </c>
      <c r="E5601" t="s">
        <v>12</v>
      </c>
      <c r="F5601">
        <v>96143602</v>
      </c>
      <c r="G5601">
        <v>96143655</v>
      </c>
      <c r="H5601">
        <v>96144046</v>
      </c>
      <c r="I5601">
        <v>96144071</v>
      </c>
    </row>
    <row r="5602" spans="1:9" x14ac:dyDescent="0.2">
      <c r="A5602" s="1" t="str">
        <f>"ERAP2"</f>
        <v>ERAP2</v>
      </c>
      <c r="B5602" t="s">
        <v>14</v>
      </c>
      <c r="C5602" t="s">
        <v>46</v>
      </c>
      <c r="D5602" t="s">
        <v>17</v>
      </c>
      <c r="E5602" t="s">
        <v>12</v>
      </c>
      <c r="F5602">
        <v>96212185</v>
      </c>
      <c r="G5602">
        <v>96212210</v>
      </c>
      <c r="H5602">
        <v>96211641</v>
      </c>
      <c r="I5602">
        <v>96211676</v>
      </c>
    </row>
    <row r="5603" spans="1:9" x14ac:dyDescent="0.2">
      <c r="A5603" s="1" t="str">
        <f>"ERAS"</f>
        <v>ERAS</v>
      </c>
      <c r="B5603" t="s">
        <v>386</v>
      </c>
      <c r="C5603" t="s">
        <v>37</v>
      </c>
      <c r="D5603" t="s">
        <v>17</v>
      </c>
      <c r="E5603" t="s">
        <v>20</v>
      </c>
      <c r="F5603">
        <v>48687282</v>
      </c>
      <c r="G5603">
        <v>48687282</v>
      </c>
      <c r="H5603">
        <v>48687282</v>
      </c>
      <c r="I5603">
        <v>48687282</v>
      </c>
    </row>
    <row r="5604" spans="1:9" x14ac:dyDescent="0.2">
      <c r="A5604" s="1" t="str">
        <f>"ERBB2"</f>
        <v>ERBB2</v>
      </c>
      <c r="B5604" t="s">
        <v>14</v>
      </c>
      <c r="C5604" t="s">
        <v>28</v>
      </c>
      <c r="D5604" t="s">
        <v>17</v>
      </c>
      <c r="E5604" t="s">
        <v>12</v>
      </c>
      <c r="F5604">
        <v>37856299</v>
      </c>
      <c r="G5604">
        <v>37856329</v>
      </c>
      <c r="H5604">
        <v>37856253</v>
      </c>
      <c r="I5604">
        <v>37856296</v>
      </c>
    </row>
    <row r="5605" spans="1:9" x14ac:dyDescent="0.2">
      <c r="A5605" s="1" t="str">
        <f>"ERBB2IP"</f>
        <v>ERBB2IP</v>
      </c>
      <c r="B5605" t="s">
        <v>14</v>
      </c>
      <c r="C5605" t="s">
        <v>46</v>
      </c>
      <c r="D5605" t="s">
        <v>17</v>
      </c>
      <c r="E5605" t="s">
        <v>12</v>
      </c>
      <c r="F5605">
        <v>65222500</v>
      </c>
      <c r="G5605">
        <v>65222555</v>
      </c>
      <c r="H5605">
        <v>65222394</v>
      </c>
      <c r="I5605">
        <v>65222411</v>
      </c>
    </row>
    <row r="5606" spans="1:9" x14ac:dyDescent="0.2">
      <c r="A5606" s="1" t="str">
        <f>"ERBB3"</f>
        <v>ERBB3</v>
      </c>
      <c r="B5606" t="s">
        <v>14</v>
      </c>
      <c r="C5606" t="s">
        <v>16</v>
      </c>
      <c r="D5606" t="s">
        <v>17</v>
      </c>
      <c r="E5606" t="s">
        <v>12</v>
      </c>
      <c r="F5606">
        <v>56473939</v>
      </c>
      <c r="G5606">
        <v>56473994</v>
      </c>
      <c r="H5606">
        <v>56473883</v>
      </c>
      <c r="I5606">
        <v>56473903</v>
      </c>
    </row>
    <row r="5607" spans="1:9" x14ac:dyDescent="0.2">
      <c r="A5607" s="1" t="str">
        <f>"ERBB4"</f>
        <v>ERBB4</v>
      </c>
      <c r="B5607" t="s">
        <v>14</v>
      </c>
      <c r="C5607" t="s">
        <v>26</v>
      </c>
      <c r="D5607" t="s">
        <v>11</v>
      </c>
      <c r="E5607" t="s">
        <v>12</v>
      </c>
      <c r="F5607">
        <v>213403880</v>
      </c>
      <c r="G5607">
        <v>213403914</v>
      </c>
      <c r="H5607">
        <v>213403858</v>
      </c>
      <c r="I5607">
        <v>213403879</v>
      </c>
    </row>
    <row r="5608" spans="1:9" x14ac:dyDescent="0.2">
      <c r="A5608" s="1" t="str">
        <f>"ERC1"</f>
        <v>ERC1</v>
      </c>
      <c r="B5608" t="s">
        <v>14</v>
      </c>
      <c r="C5608" t="s">
        <v>16</v>
      </c>
      <c r="D5608" t="s">
        <v>17</v>
      </c>
      <c r="E5608" t="s">
        <v>12</v>
      </c>
      <c r="F5608">
        <v>1100370</v>
      </c>
      <c r="G5608">
        <v>1100419</v>
      </c>
      <c r="H5608">
        <v>1100423</v>
      </c>
      <c r="I5608">
        <v>1100440</v>
      </c>
    </row>
    <row r="5609" spans="1:9" x14ac:dyDescent="0.2">
      <c r="A5609" s="1" t="str">
        <f>"ERC2"</f>
        <v>ERC2</v>
      </c>
      <c r="B5609" t="s">
        <v>14</v>
      </c>
      <c r="C5609" t="s">
        <v>22</v>
      </c>
      <c r="D5609" t="s">
        <v>11</v>
      </c>
      <c r="E5609" t="s">
        <v>12</v>
      </c>
      <c r="F5609">
        <v>56502375</v>
      </c>
      <c r="G5609">
        <v>56502428</v>
      </c>
      <c r="H5609">
        <v>56502431</v>
      </c>
      <c r="I5609">
        <v>56502531</v>
      </c>
    </row>
    <row r="5610" spans="1:9" x14ac:dyDescent="0.2">
      <c r="A5610" s="1" t="str">
        <f>"ERCC1"</f>
        <v>ERCC1</v>
      </c>
      <c r="B5610" t="s">
        <v>14</v>
      </c>
      <c r="C5610" t="s">
        <v>10</v>
      </c>
      <c r="D5610" t="s">
        <v>11</v>
      </c>
      <c r="E5610" t="s">
        <v>12</v>
      </c>
      <c r="F5610">
        <v>45927126</v>
      </c>
      <c r="G5610">
        <v>45927189</v>
      </c>
      <c r="H5610">
        <v>45926739</v>
      </c>
      <c r="I5610">
        <v>45926832</v>
      </c>
    </row>
    <row r="5611" spans="1:9" x14ac:dyDescent="0.2">
      <c r="A5611" s="1" t="str">
        <f>"ERCC2"</f>
        <v>ERCC2</v>
      </c>
      <c r="B5611" t="s">
        <v>14</v>
      </c>
      <c r="C5611" t="s">
        <v>10</v>
      </c>
      <c r="D5611" t="s">
        <v>11</v>
      </c>
      <c r="E5611" t="s">
        <v>12</v>
      </c>
      <c r="F5611">
        <v>45873807</v>
      </c>
      <c r="G5611">
        <v>45873855</v>
      </c>
      <c r="H5611">
        <v>45873784</v>
      </c>
      <c r="I5611">
        <v>45873791</v>
      </c>
    </row>
    <row r="5612" spans="1:9" x14ac:dyDescent="0.2">
      <c r="A5612" s="1" t="str">
        <f>"ERCC3"</f>
        <v>ERCC3</v>
      </c>
      <c r="B5612" t="s">
        <v>14</v>
      </c>
      <c r="C5612" t="s">
        <v>26</v>
      </c>
      <c r="D5612" t="s">
        <v>11</v>
      </c>
      <c r="E5612" t="s">
        <v>12</v>
      </c>
      <c r="F5612">
        <v>128051708</v>
      </c>
      <c r="G5612">
        <v>128051748</v>
      </c>
      <c r="H5612">
        <v>128051672</v>
      </c>
      <c r="I5612">
        <v>128051688</v>
      </c>
    </row>
    <row r="5613" spans="1:9" x14ac:dyDescent="0.2">
      <c r="A5613" s="1" t="str">
        <f>"ERCC4"</f>
        <v>ERCC4</v>
      </c>
      <c r="B5613" t="s">
        <v>9</v>
      </c>
      <c r="C5613" t="s">
        <v>31</v>
      </c>
      <c r="D5613" t="s">
        <v>17</v>
      </c>
      <c r="E5613" t="s">
        <v>12</v>
      </c>
      <c r="F5613">
        <v>14013998</v>
      </c>
      <c r="G5613">
        <v>14014054</v>
      </c>
      <c r="H5613">
        <v>14013998</v>
      </c>
      <c r="I5613">
        <v>14014054</v>
      </c>
    </row>
    <row r="5614" spans="1:9" x14ac:dyDescent="0.2">
      <c r="A5614" s="1" t="str">
        <f>"ERCC4"</f>
        <v>ERCC4</v>
      </c>
      <c r="B5614" t="s">
        <v>13</v>
      </c>
      <c r="C5614" t="s">
        <v>31</v>
      </c>
      <c r="D5614" t="s">
        <v>17</v>
      </c>
      <c r="E5614" t="s">
        <v>12</v>
      </c>
      <c r="F5614">
        <v>14025872</v>
      </c>
      <c r="G5614">
        <v>14025886</v>
      </c>
      <c r="H5614">
        <v>14025872</v>
      </c>
      <c r="I5614">
        <v>14025886</v>
      </c>
    </row>
    <row r="5615" spans="1:9" x14ac:dyDescent="0.2">
      <c r="A5615" s="1" t="str">
        <f>"ERCC5"</f>
        <v>ERCC5</v>
      </c>
      <c r="B5615" t="s">
        <v>14</v>
      </c>
      <c r="C5615" t="s">
        <v>39</v>
      </c>
      <c r="D5615" t="s">
        <v>17</v>
      </c>
      <c r="E5615" t="s">
        <v>12</v>
      </c>
      <c r="F5615">
        <v>103498370</v>
      </c>
      <c r="G5615">
        <v>103498458</v>
      </c>
      <c r="H5615">
        <v>103498186</v>
      </c>
      <c r="I5615">
        <v>103498212</v>
      </c>
    </row>
    <row r="5616" spans="1:9" x14ac:dyDescent="0.2">
      <c r="A5616" s="1" t="str">
        <f>"ERCC6"</f>
        <v>ERCC6</v>
      </c>
      <c r="B5616" t="s">
        <v>14</v>
      </c>
      <c r="C5616" t="s">
        <v>15</v>
      </c>
      <c r="D5616" t="s">
        <v>11</v>
      </c>
      <c r="E5616" t="s">
        <v>12</v>
      </c>
      <c r="F5616">
        <v>50747064</v>
      </c>
      <c r="G5616">
        <v>50747124</v>
      </c>
      <c r="H5616">
        <v>50747158</v>
      </c>
      <c r="I5616">
        <v>50747175</v>
      </c>
    </row>
    <row r="5617" spans="1:9" x14ac:dyDescent="0.2">
      <c r="A5617" s="1" t="str">
        <f>"ERCC6-PGBD3"</f>
        <v>ERCC6-PGBD3</v>
      </c>
      <c r="B5617" t="s">
        <v>14</v>
      </c>
      <c r="C5617" t="s">
        <v>15</v>
      </c>
      <c r="D5617" t="s">
        <v>11</v>
      </c>
      <c r="E5617" t="s">
        <v>67</v>
      </c>
      <c r="F5617">
        <v>50747064</v>
      </c>
      <c r="G5617">
        <v>50747124</v>
      </c>
      <c r="H5617">
        <v>50747158</v>
      </c>
      <c r="I5617">
        <v>50747175</v>
      </c>
    </row>
    <row r="5618" spans="1:9" x14ac:dyDescent="0.2">
      <c r="A5618" s="1" t="str">
        <f>"ERCC6L"</f>
        <v>ERCC6L</v>
      </c>
      <c r="B5618" t="s">
        <v>14</v>
      </c>
      <c r="C5618" t="s">
        <v>37</v>
      </c>
      <c r="D5618" t="s">
        <v>11</v>
      </c>
      <c r="E5618" t="s">
        <v>12</v>
      </c>
      <c r="F5618">
        <v>71458802</v>
      </c>
      <c r="G5618">
        <v>71458891</v>
      </c>
      <c r="H5618">
        <v>71458904</v>
      </c>
      <c r="I5618">
        <v>71458909</v>
      </c>
    </row>
    <row r="5619" spans="1:9" x14ac:dyDescent="0.2">
      <c r="A5619" s="1" t="str">
        <f>"ERCC6L2"</f>
        <v>ERCC6L2</v>
      </c>
      <c r="B5619" t="s">
        <v>14</v>
      </c>
      <c r="C5619" t="s">
        <v>24</v>
      </c>
      <c r="D5619" t="s">
        <v>17</v>
      </c>
      <c r="E5619" t="s">
        <v>12</v>
      </c>
      <c r="F5619">
        <v>98637954</v>
      </c>
      <c r="G5619">
        <v>98637989</v>
      </c>
      <c r="H5619">
        <v>98638279</v>
      </c>
      <c r="I5619">
        <v>98638340</v>
      </c>
    </row>
    <row r="5620" spans="1:9" x14ac:dyDescent="0.2">
      <c r="A5620" s="1" t="str">
        <f>"ERCC8"</f>
        <v>ERCC8</v>
      </c>
      <c r="B5620" t="s">
        <v>14</v>
      </c>
      <c r="C5620" t="s">
        <v>46</v>
      </c>
      <c r="D5620" t="s">
        <v>11</v>
      </c>
      <c r="E5620" t="s">
        <v>12</v>
      </c>
      <c r="F5620">
        <v>60240858</v>
      </c>
      <c r="G5620">
        <v>60240905</v>
      </c>
      <c r="H5620">
        <v>60241256</v>
      </c>
      <c r="I5620">
        <v>60241262</v>
      </c>
    </row>
    <row r="5621" spans="1:9" x14ac:dyDescent="0.2">
      <c r="A5621" s="1" t="str">
        <f>"EREG"</f>
        <v>EREG</v>
      </c>
      <c r="B5621" t="s">
        <v>14</v>
      </c>
      <c r="C5621" t="s">
        <v>23</v>
      </c>
      <c r="D5621" t="s">
        <v>17</v>
      </c>
      <c r="E5621" t="s">
        <v>12</v>
      </c>
      <c r="F5621">
        <v>75230853</v>
      </c>
      <c r="G5621">
        <v>75230871</v>
      </c>
      <c r="H5621">
        <v>75230853</v>
      </c>
      <c r="I5621">
        <v>75230871</v>
      </c>
    </row>
    <row r="5622" spans="1:9" x14ac:dyDescent="0.2">
      <c r="A5622" s="1" t="str">
        <f>"ERF"</f>
        <v>ERF</v>
      </c>
      <c r="B5622" t="s">
        <v>14</v>
      </c>
      <c r="C5622" t="s">
        <v>10</v>
      </c>
      <c r="D5622" t="s">
        <v>11</v>
      </c>
      <c r="E5622" t="s">
        <v>12</v>
      </c>
      <c r="F5622">
        <v>42759266</v>
      </c>
      <c r="G5622">
        <v>42759290</v>
      </c>
      <c r="H5622">
        <v>42759300</v>
      </c>
      <c r="I5622">
        <v>42759324</v>
      </c>
    </row>
    <row r="5623" spans="1:9" x14ac:dyDescent="0.2">
      <c r="A5623" s="1" t="str">
        <f>"ERG"</f>
        <v>ERG</v>
      </c>
      <c r="B5623" t="s">
        <v>9</v>
      </c>
      <c r="C5623" t="s">
        <v>42</v>
      </c>
      <c r="D5623" t="s">
        <v>11</v>
      </c>
      <c r="E5623" t="s">
        <v>12</v>
      </c>
      <c r="F5623">
        <v>39870339</v>
      </c>
      <c r="G5623">
        <v>39870443</v>
      </c>
      <c r="H5623">
        <v>39870339</v>
      </c>
      <c r="I5623">
        <v>39870443</v>
      </c>
    </row>
    <row r="5624" spans="1:9" x14ac:dyDescent="0.2">
      <c r="A5624" s="1" t="str">
        <f>"ERG"</f>
        <v>ERG</v>
      </c>
      <c r="B5624" t="s">
        <v>13</v>
      </c>
      <c r="C5624" t="s">
        <v>42</v>
      </c>
      <c r="D5624" t="s">
        <v>11</v>
      </c>
      <c r="E5624" t="s">
        <v>12</v>
      </c>
      <c r="F5624">
        <v>40032884</v>
      </c>
      <c r="G5624">
        <v>40032915</v>
      </c>
      <c r="H5624">
        <v>40032884</v>
      </c>
      <c r="I5624">
        <v>40032915</v>
      </c>
    </row>
    <row r="5625" spans="1:9" x14ac:dyDescent="0.2">
      <c r="A5625" s="1" t="str">
        <f>"ERGIC1"</f>
        <v>ERGIC1</v>
      </c>
      <c r="B5625" t="s">
        <v>14</v>
      </c>
      <c r="C5625" t="s">
        <v>46</v>
      </c>
      <c r="D5625" t="s">
        <v>17</v>
      </c>
      <c r="E5625" t="s">
        <v>12</v>
      </c>
      <c r="F5625">
        <v>172261356</v>
      </c>
      <c r="G5625">
        <v>172261396</v>
      </c>
      <c r="H5625">
        <v>172261311</v>
      </c>
      <c r="I5625">
        <v>172261355</v>
      </c>
    </row>
    <row r="5626" spans="1:9" x14ac:dyDescent="0.2">
      <c r="A5626" s="1" t="str">
        <f>"ERGIC2"</f>
        <v>ERGIC2</v>
      </c>
      <c r="B5626" t="s">
        <v>14</v>
      </c>
      <c r="C5626" t="s">
        <v>16</v>
      </c>
      <c r="D5626" t="s">
        <v>11</v>
      </c>
      <c r="E5626" t="s">
        <v>12</v>
      </c>
      <c r="F5626">
        <v>29534074</v>
      </c>
      <c r="G5626">
        <v>29534127</v>
      </c>
      <c r="H5626">
        <v>29534133</v>
      </c>
      <c r="I5626">
        <v>29534144</v>
      </c>
    </row>
    <row r="5627" spans="1:9" x14ac:dyDescent="0.2">
      <c r="A5627" s="1" t="str">
        <f>"ERGIC3"</f>
        <v>ERGIC3</v>
      </c>
      <c r="B5627" t="s">
        <v>14</v>
      </c>
      <c r="C5627" t="s">
        <v>29</v>
      </c>
      <c r="D5627" t="s">
        <v>17</v>
      </c>
      <c r="E5627" t="s">
        <v>12</v>
      </c>
      <c r="F5627">
        <v>34129791</v>
      </c>
      <c r="G5627">
        <v>34129841</v>
      </c>
      <c r="H5627">
        <v>34129791</v>
      </c>
      <c r="I5627">
        <v>34129841</v>
      </c>
    </row>
    <row r="5628" spans="1:9" x14ac:dyDescent="0.2">
      <c r="A5628" s="1" t="str">
        <f>"ERH"</f>
        <v>ERH</v>
      </c>
      <c r="B5628" t="s">
        <v>14</v>
      </c>
      <c r="C5628" t="s">
        <v>41</v>
      </c>
      <c r="D5628" t="s">
        <v>11</v>
      </c>
      <c r="E5628" t="s">
        <v>12</v>
      </c>
      <c r="F5628">
        <v>69864993</v>
      </c>
      <c r="G5628">
        <v>69865056</v>
      </c>
      <c r="H5628">
        <v>69864973</v>
      </c>
      <c r="I5628">
        <v>69864987</v>
      </c>
    </row>
    <row r="5629" spans="1:9" x14ac:dyDescent="0.2">
      <c r="A5629" s="1" t="str">
        <f>"ERI1"</f>
        <v>ERI1</v>
      </c>
      <c r="B5629" t="s">
        <v>14</v>
      </c>
      <c r="C5629" t="s">
        <v>30</v>
      </c>
      <c r="D5629" t="s">
        <v>17</v>
      </c>
      <c r="E5629" t="s">
        <v>12</v>
      </c>
      <c r="F5629">
        <v>8860396</v>
      </c>
      <c r="G5629">
        <v>8860451</v>
      </c>
      <c r="H5629">
        <v>8860373</v>
      </c>
      <c r="I5629">
        <v>8860388</v>
      </c>
    </row>
    <row r="5630" spans="1:9" x14ac:dyDescent="0.2">
      <c r="A5630" s="1" t="str">
        <f>"ERI2"</f>
        <v>ERI2</v>
      </c>
      <c r="B5630" t="s">
        <v>14</v>
      </c>
      <c r="C5630" t="s">
        <v>31</v>
      </c>
      <c r="D5630" t="s">
        <v>11</v>
      </c>
      <c r="E5630" t="s">
        <v>12</v>
      </c>
      <c r="F5630">
        <v>20817753</v>
      </c>
      <c r="G5630">
        <v>20817816</v>
      </c>
      <c r="H5630">
        <v>20817753</v>
      </c>
      <c r="I5630">
        <v>20817816</v>
      </c>
    </row>
    <row r="5631" spans="1:9" x14ac:dyDescent="0.2">
      <c r="A5631" s="1" t="str">
        <f>"ERI3"</f>
        <v>ERI3</v>
      </c>
      <c r="B5631" t="s">
        <v>14</v>
      </c>
      <c r="C5631" t="s">
        <v>19</v>
      </c>
      <c r="D5631" t="s">
        <v>11</v>
      </c>
      <c r="E5631" t="s">
        <v>12</v>
      </c>
      <c r="F5631">
        <v>44820880</v>
      </c>
      <c r="G5631">
        <v>44820946</v>
      </c>
      <c r="H5631">
        <v>44820948</v>
      </c>
      <c r="I5631">
        <v>44820968</v>
      </c>
    </row>
    <row r="5632" spans="1:9" x14ac:dyDescent="0.2">
      <c r="A5632" s="1" t="str">
        <f>"ERICH1"</f>
        <v>ERICH1</v>
      </c>
      <c r="B5632" t="s">
        <v>14</v>
      </c>
      <c r="C5632" t="s">
        <v>30</v>
      </c>
      <c r="D5632" t="s">
        <v>11</v>
      </c>
      <c r="E5632" t="s">
        <v>12</v>
      </c>
      <c r="F5632">
        <v>681165</v>
      </c>
      <c r="G5632">
        <v>681241</v>
      </c>
      <c r="H5632">
        <v>681165</v>
      </c>
      <c r="I5632">
        <v>681241</v>
      </c>
    </row>
    <row r="5633" spans="1:9" x14ac:dyDescent="0.2">
      <c r="A5633" s="1" t="str">
        <f>"ERICH2"</f>
        <v>ERICH2</v>
      </c>
      <c r="B5633" t="s">
        <v>14</v>
      </c>
      <c r="C5633" t="s">
        <v>26</v>
      </c>
      <c r="D5633" t="s">
        <v>17</v>
      </c>
      <c r="E5633" t="s">
        <v>67</v>
      </c>
      <c r="F5633">
        <v>171640291</v>
      </c>
      <c r="G5633">
        <v>171640311</v>
      </c>
      <c r="H5633">
        <v>171640318</v>
      </c>
      <c r="I5633">
        <v>171640335</v>
      </c>
    </row>
    <row r="5634" spans="1:9" x14ac:dyDescent="0.2">
      <c r="A5634" s="1" t="str">
        <f>"ERLEC1"</f>
        <v>ERLEC1</v>
      </c>
      <c r="B5634" t="s">
        <v>14</v>
      </c>
      <c r="C5634" t="s">
        <v>26</v>
      </c>
      <c r="D5634" t="s">
        <v>17</v>
      </c>
      <c r="E5634" t="s">
        <v>12</v>
      </c>
      <c r="F5634">
        <v>54014168</v>
      </c>
      <c r="G5634">
        <v>54014220</v>
      </c>
      <c r="H5634">
        <v>54014270</v>
      </c>
      <c r="I5634">
        <v>54014287</v>
      </c>
    </row>
    <row r="5635" spans="1:9" x14ac:dyDescent="0.2">
      <c r="A5635" s="1" t="str">
        <f>"ERLIN1"</f>
        <v>ERLIN1</v>
      </c>
      <c r="B5635" t="s">
        <v>14</v>
      </c>
      <c r="C5635" t="s">
        <v>15</v>
      </c>
      <c r="D5635" t="s">
        <v>11</v>
      </c>
      <c r="E5635" t="s">
        <v>12</v>
      </c>
      <c r="F5635">
        <v>101945771</v>
      </c>
      <c r="G5635">
        <v>101945795</v>
      </c>
      <c r="H5635">
        <v>101945716</v>
      </c>
      <c r="I5635">
        <v>101945735</v>
      </c>
    </row>
    <row r="5636" spans="1:9" x14ac:dyDescent="0.2">
      <c r="A5636" s="1" t="str">
        <f>"ERLIN2"</f>
        <v>ERLIN2</v>
      </c>
      <c r="B5636" t="s">
        <v>14</v>
      </c>
      <c r="C5636" t="s">
        <v>30</v>
      </c>
      <c r="D5636" t="s">
        <v>17</v>
      </c>
      <c r="E5636" t="s">
        <v>12</v>
      </c>
      <c r="F5636">
        <v>37594130</v>
      </c>
      <c r="G5636">
        <v>37594169</v>
      </c>
      <c r="H5636">
        <v>37594103</v>
      </c>
      <c r="I5636">
        <v>37594125</v>
      </c>
    </row>
    <row r="5637" spans="1:9" x14ac:dyDescent="0.2">
      <c r="A5637" s="1" t="str">
        <f>"ERMAP"</f>
        <v>ERMAP</v>
      </c>
      <c r="B5637" t="s">
        <v>9</v>
      </c>
      <c r="C5637" t="s">
        <v>19</v>
      </c>
      <c r="D5637" t="s">
        <v>17</v>
      </c>
      <c r="E5637" t="s">
        <v>12</v>
      </c>
      <c r="F5637">
        <v>43282782</v>
      </c>
      <c r="G5637">
        <v>43282812</v>
      </c>
      <c r="H5637">
        <v>43282782</v>
      </c>
      <c r="I5637">
        <v>43282812</v>
      </c>
    </row>
    <row r="5638" spans="1:9" x14ac:dyDescent="0.2">
      <c r="A5638" s="1" t="str">
        <f>"ERMAP"</f>
        <v>ERMAP</v>
      </c>
      <c r="B5638" t="s">
        <v>13</v>
      </c>
      <c r="C5638" t="s">
        <v>19</v>
      </c>
      <c r="D5638" t="s">
        <v>17</v>
      </c>
      <c r="E5638" t="s">
        <v>12</v>
      </c>
      <c r="F5638">
        <v>43291220</v>
      </c>
      <c r="G5638">
        <v>43291239</v>
      </c>
      <c r="H5638">
        <v>43291220</v>
      </c>
      <c r="I5638">
        <v>43291239</v>
      </c>
    </row>
    <row r="5639" spans="1:9" x14ac:dyDescent="0.2">
      <c r="A5639" s="1" t="str">
        <f>"ERMARD"</f>
        <v>ERMARD</v>
      </c>
      <c r="B5639" t="s">
        <v>14</v>
      </c>
      <c r="C5639" t="s">
        <v>32</v>
      </c>
      <c r="D5639" t="s">
        <v>17</v>
      </c>
      <c r="E5639" t="s">
        <v>12</v>
      </c>
      <c r="F5639">
        <v>170151708</v>
      </c>
      <c r="G5639">
        <v>170151762</v>
      </c>
      <c r="H5639">
        <v>170151708</v>
      </c>
      <c r="I5639">
        <v>170151762</v>
      </c>
    </row>
    <row r="5640" spans="1:9" x14ac:dyDescent="0.2">
      <c r="A5640" s="1" t="str">
        <f>"ERMN"</f>
        <v>ERMN</v>
      </c>
      <c r="B5640" t="s">
        <v>14</v>
      </c>
      <c r="C5640" t="s">
        <v>26</v>
      </c>
      <c r="D5640" t="s">
        <v>11</v>
      </c>
      <c r="E5640" t="s">
        <v>12</v>
      </c>
      <c r="F5640">
        <v>158182322</v>
      </c>
      <c r="G5640">
        <v>158182358</v>
      </c>
      <c r="H5640">
        <v>158182255</v>
      </c>
      <c r="I5640">
        <v>158182298</v>
      </c>
    </row>
    <row r="5641" spans="1:9" x14ac:dyDescent="0.2">
      <c r="A5641" s="1" t="str">
        <f>"ERMP1"</f>
        <v>ERMP1</v>
      </c>
      <c r="B5641" t="s">
        <v>14</v>
      </c>
      <c r="C5641" t="s">
        <v>24</v>
      </c>
      <c r="D5641" t="s">
        <v>11</v>
      </c>
      <c r="E5641" t="s">
        <v>12</v>
      </c>
      <c r="F5641">
        <v>5833027</v>
      </c>
      <c r="G5641">
        <v>5833138</v>
      </c>
      <c r="H5641">
        <v>5833016</v>
      </c>
      <c r="I5641">
        <v>5833023</v>
      </c>
    </row>
    <row r="5642" spans="1:9" x14ac:dyDescent="0.2">
      <c r="A5642" s="1" t="str">
        <f>"ERN1"</f>
        <v>ERN1</v>
      </c>
      <c r="B5642" t="s">
        <v>14</v>
      </c>
      <c r="C5642" t="s">
        <v>28</v>
      </c>
      <c r="D5642" t="s">
        <v>11</v>
      </c>
      <c r="E5642" t="s">
        <v>12</v>
      </c>
      <c r="F5642">
        <v>62207487</v>
      </c>
      <c r="G5642">
        <v>62207511</v>
      </c>
      <c r="H5642">
        <v>62208051</v>
      </c>
      <c r="I5642">
        <v>62208101</v>
      </c>
    </row>
    <row r="5643" spans="1:9" x14ac:dyDescent="0.2">
      <c r="A5643" s="1" t="str">
        <f>"ERN2"</f>
        <v>ERN2</v>
      </c>
      <c r="B5643" t="s">
        <v>14</v>
      </c>
      <c r="C5643" t="s">
        <v>31</v>
      </c>
      <c r="D5643" t="s">
        <v>11</v>
      </c>
      <c r="E5643" t="s">
        <v>12</v>
      </c>
      <c r="F5643">
        <v>23724518</v>
      </c>
      <c r="G5643">
        <v>23724568</v>
      </c>
      <c r="H5643">
        <v>23724518</v>
      </c>
      <c r="I5643">
        <v>23724568</v>
      </c>
    </row>
    <row r="5644" spans="1:9" x14ac:dyDescent="0.2">
      <c r="A5644" s="1" t="str">
        <f>"ERO1L"</f>
        <v>ERO1L</v>
      </c>
      <c r="B5644" t="s">
        <v>14</v>
      </c>
      <c r="C5644" t="s">
        <v>41</v>
      </c>
      <c r="D5644" t="s">
        <v>11</v>
      </c>
      <c r="E5644" t="s">
        <v>12</v>
      </c>
      <c r="F5644">
        <v>53162361</v>
      </c>
      <c r="G5644">
        <v>53162513</v>
      </c>
      <c r="H5644">
        <v>53162600</v>
      </c>
      <c r="I5644">
        <v>53162680</v>
      </c>
    </row>
    <row r="5645" spans="1:9" x14ac:dyDescent="0.2">
      <c r="A5645" s="1" t="str">
        <f>"ERO1LB"</f>
        <v>ERO1LB</v>
      </c>
      <c r="B5645" t="s">
        <v>14</v>
      </c>
      <c r="C5645" t="s">
        <v>19</v>
      </c>
      <c r="D5645" t="s">
        <v>11</v>
      </c>
      <c r="E5645" t="s">
        <v>12</v>
      </c>
      <c r="F5645">
        <v>236445251</v>
      </c>
      <c r="G5645">
        <v>236445266</v>
      </c>
      <c r="H5645">
        <v>236445023</v>
      </c>
      <c r="I5645">
        <v>236445050</v>
      </c>
    </row>
    <row r="5646" spans="1:9" x14ac:dyDescent="0.2">
      <c r="A5646" s="1" t="str">
        <f>"ERP27"</f>
        <v>ERP27</v>
      </c>
      <c r="B5646" t="s">
        <v>14</v>
      </c>
      <c r="C5646" t="s">
        <v>16</v>
      </c>
      <c r="D5646" t="s">
        <v>11</v>
      </c>
      <c r="E5646" t="s">
        <v>12</v>
      </c>
      <c r="F5646">
        <v>15082050</v>
      </c>
      <c r="G5646">
        <v>15082081</v>
      </c>
      <c r="H5646">
        <v>15082050</v>
      </c>
      <c r="I5646">
        <v>15082081</v>
      </c>
    </row>
    <row r="5647" spans="1:9" x14ac:dyDescent="0.2">
      <c r="A5647" s="1" t="str">
        <f>"ERP29"</f>
        <v>ERP29</v>
      </c>
      <c r="B5647" t="s">
        <v>14</v>
      </c>
      <c r="C5647" t="s">
        <v>16</v>
      </c>
      <c r="D5647" t="s">
        <v>17</v>
      </c>
      <c r="E5647" t="s">
        <v>12</v>
      </c>
      <c r="F5647">
        <v>112451222</v>
      </c>
      <c r="G5647">
        <v>112451264</v>
      </c>
      <c r="H5647">
        <v>112451207</v>
      </c>
      <c r="I5647">
        <v>112451218</v>
      </c>
    </row>
    <row r="5648" spans="1:9" x14ac:dyDescent="0.2">
      <c r="A5648" s="1" t="str">
        <f>"ERP44"</f>
        <v>ERP44</v>
      </c>
      <c r="B5648" t="s">
        <v>14</v>
      </c>
      <c r="C5648" t="s">
        <v>24</v>
      </c>
      <c r="D5648" t="s">
        <v>11</v>
      </c>
      <c r="E5648" t="s">
        <v>12</v>
      </c>
      <c r="F5648">
        <v>102861267</v>
      </c>
      <c r="G5648">
        <v>102861307</v>
      </c>
      <c r="H5648">
        <v>102861267</v>
      </c>
      <c r="I5648">
        <v>102861307</v>
      </c>
    </row>
    <row r="5649" spans="1:9" x14ac:dyDescent="0.2">
      <c r="A5649" s="1" t="str">
        <f>"ERRFI1"</f>
        <v>ERRFI1</v>
      </c>
      <c r="B5649" t="s">
        <v>14</v>
      </c>
      <c r="C5649" t="s">
        <v>19</v>
      </c>
      <c r="D5649" t="s">
        <v>11</v>
      </c>
      <c r="E5649" t="s">
        <v>12</v>
      </c>
      <c r="F5649">
        <v>8086360</v>
      </c>
      <c r="G5649">
        <v>8086378</v>
      </c>
      <c r="H5649">
        <v>8086360</v>
      </c>
      <c r="I5649">
        <v>8086378</v>
      </c>
    </row>
    <row r="5650" spans="1:9" x14ac:dyDescent="0.2">
      <c r="A5650" s="1" t="str">
        <f>"ERV3-1"</f>
        <v>ERV3-1</v>
      </c>
      <c r="B5650" t="s">
        <v>14</v>
      </c>
      <c r="C5650" t="s">
        <v>33</v>
      </c>
      <c r="D5650" t="s">
        <v>11</v>
      </c>
      <c r="E5650" t="s">
        <v>12</v>
      </c>
      <c r="F5650">
        <v>64467031</v>
      </c>
      <c r="G5650">
        <v>64467043</v>
      </c>
      <c r="H5650">
        <v>64467093</v>
      </c>
      <c r="I5650">
        <v>64467104</v>
      </c>
    </row>
    <row r="5651" spans="1:9" x14ac:dyDescent="0.2">
      <c r="A5651" s="1" t="str">
        <f>"ERVFRD-1"</f>
        <v>ERVFRD-1</v>
      </c>
      <c r="B5651" t="s">
        <v>14</v>
      </c>
      <c r="C5651" t="s">
        <v>32</v>
      </c>
      <c r="D5651" t="s">
        <v>11</v>
      </c>
      <c r="E5651" t="s">
        <v>12</v>
      </c>
      <c r="F5651">
        <v>11111950</v>
      </c>
      <c r="G5651">
        <v>11111959</v>
      </c>
      <c r="H5651">
        <v>11112056</v>
      </c>
      <c r="I5651">
        <v>11112083</v>
      </c>
    </row>
    <row r="5652" spans="1:9" x14ac:dyDescent="0.2">
      <c r="A5652" s="1" t="str">
        <f>"ERVMER34-1"</f>
        <v>ERVMER34-1</v>
      </c>
      <c r="B5652" t="s">
        <v>14</v>
      </c>
      <c r="C5652" t="s">
        <v>23</v>
      </c>
      <c r="D5652" t="s">
        <v>11</v>
      </c>
      <c r="E5652" t="s">
        <v>12</v>
      </c>
      <c r="F5652">
        <v>53617584</v>
      </c>
      <c r="G5652">
        <v>53617606</v>
      </c>
      <c r="H5652">
        <v>53617798</v>
      </c>
      <c r="I5652">
        <v>53617813</v>
      </c>
    </row>
    <row r="5653" spans="1:9" x14ac:dyDescent="0.2">
      <c r="A5653" s="1" t="str">
        <f>"ERVV-1"</f>
        <v>ERVV-1</v>
      </c>
      <c r="B5653" t="s">
        <v>14</v>
      </c>
      <c r="C5653" t="s">
        <v>10</v>
      </c>
      <c r="D5653" t="s">
        <v>17</v>
      </c>
      <c r="E5653" t="s">
        <v>12</v>
      </c>
      <c r="F5653">
        <v>53517113</v>
      </c>
      <c r="G5653">
        <v>53517114</v>
      </c>
      <c r="H5653">
        <v>53517113</v>
      </c>
      <c r="I5653">
        <v>53517114</v>
      </c>
    </row>
    <row r="5654" spans="1:9" x14ac:dyDescent="0.2">
      <c r="A5654" s="1" t="str">
        <f>"ERVV-2"</f>
        <v>ERVV-2</v>
      </c>
      <c r="B5654" t="s">
        <v>14</v>
      </c>
      <c r="C5654" t="s">
        <v>10</v>
      </c>
      <c r="D5654" t="s">
        <v>17</v>
      </c>
      <c r="E5654" t="s">
        <v>12</v>
      </c>
      <c r="F5654">
        <v>53547983</v>
      </c>
      <c r="G5654">
        <v>53547999</v>
      </c>
      <c r="H5654">
        <v>53547983</v>
      </c>
      <c r="I5654">
        <v>53547999</v>
      </c>
    </row>
    <row r="5655" spans="1:9" x14ac:dyDescent="0.2">
      <c r="A5655" s="1" t="str">
        <f>"ERVW-1"</f>
        <v>ERVW-1</v>
      </c>
      <c r="B5655" t="s">
        <v>387</v>
      </c>
      <c r="C5655" t="s">
        <v>33</v>
      </c>
      <c r="D5655" t="s">
        <v>11</v>
      </c>
      <c r="E5655" t="s">
        <v>20</v>
      </c>
      <c r="F5655">
        <v>92100618</v>
      </c>
      <c r="G5655">
        <v>92100618</v>
      </c>
      <c r="H5655">
        <v>92100618</v>
      </c>
      <c r="I5655">
        <v>92100618</v>
      </c>
    </row>
    <row r="5656" spans="1:9" x14ac:dyDescent="0.2">
      <c r="A5656" s="1" t="str">
        <f>"ERVW-1"</f>
        <v>ERVW-1</v>
      </c>
      <c r="B5656" t="s">
        <v>388</v>
      </c>
      <c r="C5656" t="s">
        <v>33</v>
      </c>
      <c r="D5656" t="s">
        <v>11</v>
      </c>
      <c r="E5656" t="s">
        <v>20</v>
      </c>
      <c r="F5656">
        <v>92107228</v>
      </c>
      <c r="G5656">
        <v>92107228</v>
      </c>
      <c r="H5656">
        <v>92107228</v>
      </c>
      <c r="I5656">
        <v>92107228</v>
      </c>
    </row>
    <row r="5657" spans="1:9" x14ac:dyDescent="0.2">
      <c r="A5657" s="1" t="str">
        <f>"ESAM"</f>
        <v>ESAM</v>
      </c>
      <c r="B5657" t="s">
        <v>9</v>
      </c>
      <c r="C5657" t="s">
        <v>27</v>
      </c>
      <c r="D5657" t="s">
        <v>11</v>
      </c>
      <c r="E5657" t="s">
        <v>12</v>
      </c>
      <c r="F5657">
        <v>124632179</v>
      </c>
      <c r="G5657">
        <v>124632199</v>
      </c>
      <c r="H5657">
        <v>124632179</v>
      </c>
      <c r="I5657">
        <v>124632199</v>
      </c>
    </row>
    <row r="5658" spans="1:9" x14ac:dyDescent="0.2">
      <c r="A5658" s="1" t="str">
        <f>"ESAM"</f>
        <v>ESAM</v>
      </c>
      <c r="B5658" t="s">
        <v>13</v>
      </c>
      <c r="C5658" t="s">
        <v>27</v>
      </c>
      <c r="D5658" t="s">
        <v>11</v>
      </c>
      <c r="E5658" t="s">
        <v>12</v>
      </c>
      <c r="F5658">
        <v>124633286</v>
      </c>
      <c r="G5658">
        <v>124633290</v>
      </c>
      <c r="H5658">
        <v>124633286</v>
      </c>
      <c r="I5658">
        <v>124633290</v>
      </c>
    </row>
    <row r="5659" spans="1:9" x14ac:dyDescent="0.2">
      <c r="A5659" s="1" t="str">
        <f>"ESCO1"</f>
        <v>ESCO1</v>
      </c>
      <c r="B5659" t="s">
        <v>14</v>
      </c>
      <c r="C5659" t="s">
        <v>43</v>
      </c>
      <c r="D5659" t="s">
        <v>11</v>
      </c>
      <c r="E5659" t="s">
        <v>12</v>
      </c>
      <c r="F5659">
        <v>19180606</v>
      </c>
      <c r="G5659">
        <v>19180673</v>
      </c>
      <c r="H5659">
        <v>19180681</v>
      </c>
      <c r="I5659">
        <v>19180711</v>
      </c>
    </row>
    <row r="5660" spans="1:9" x14ac:dyDescent="0.2">
      <c r="A5660" s="1" t="str">
        <f>"ESCO2"</f>
        <v>ESCO2</v>
      </c>
      <c r="B5660" t="s">
        <v>14</v>
      </c>
      <c r="C5660" t="s">
        <v>30</v>
      </c>
      <c r="D5660" t="s">
        <v>17</v>
      </c>
      <c r="E5660" t="s">
        <v>12</v>
      </c>
      <c r="F5660">
        <v>27632047</v>
      </c>
      <c r="G5660">
        <v>27632080</v>
      </c>
      <c r="H5660">
        <v>27632083</v>
      </c>
      <c r="I5660">
        <v>27632099</v>
      </c>
    </row>
    <row r="5661" spans="1:9" x14ac:dyDescent="0.2">
      <c r="A5661" s="1" t="str">
        <f>"ESD"</f>
        <v>ESD</v>
      </c>
      <c r="B5661" t="s">
        <v>14</v>
      </c>
      <c r="C5661" t="s">
        <v>39</v>
      </c>
      <c r="D5661" t="s">
        <v>11</v>
      </c>
      <c r="E5661" t="s">
        <v>12</v>
      </c>
      <c r="F5661">
        <v>47371266</v>
      </c>
      <c r="G5661">
        <v>47371308</v>
      </c>
      <c r="H5661">
        <v>47371310</v>
      </c>
      <c r="I5661">
        <v>47371321</v>
      </c>
    </row>
    <row r="5662" spans="1:9" x14ac:dyDescent="0.2">
      <c r="A5662" s="1" t="str">
        <f>"ESF1"</f>
        <v>ESF1</v>
      </c>
      <c r="B5662" t="s">
        <v>9</v>
      </c>
      <c r="C5662" t="s">
        <v>29</v>
      </c>
      <c r="D5662" t="s">
        <v>11</v>
      </c>
      <c r="E5662" t="s">
        <v>12</v>
      </c>
      <c r="F5662">
        <v>13765526</v>
      </c>
      <c r="G5662">
        <v>13765578</v>
      </c>
      <c r="H5662">
        <v>13765526</v>
      </c>
      <c r="I5662">
        <v>13765578</v>
      </c>
    </row>
    <row r="5663" spans="1:9" x14ac:dyDescent="0.2">
      <c r="A5663" s="1" t="str">
        <f>"ESF1"</f>
        <v>ESF1</v>
      </c>
      <c r="B5663" t="s">
        <v>13</v>
      </c>
      <c r="C5663" t="s">
        <v>29</v>
      </c>
      <c r="D5663" t="s">
        <v>11</v>
      </c>
      <c r="E5663" t="s">
        <v>12</v>
      </c>
      <c r="F5663">
        <v>13763602</v>
      </c>
      <c r="G5663">
        <v>13763623</v>
      </c>
      <c r="H5663">
        <v>13763602</v>
      </c>
      <c r="I5663">
        <v>13763623</v>
      </c>
    </row>
    <row r="5664" spans="1:9" x14ac:dyDescent="0.2">
      <c r="A5664" s="1" t="str">
        <f>"ESM1"</f>
        <v>ESM1</v>
      </c>
      <c r="B5664" t="s">
        <v>14</v>
      </c>
      <c r="C5664" t="s">
        <v>46</v>
      </c>
      <c r="D5664" t="s">
        <v>11</v>
      </c>
      <c r="E5664" t="s">
        <v>12</v>
      </c>
      <c r="F5664">
        <v>54281407</v>
      </c>
      <c r="G5664">
        <v>54281429</v>
      </c>
      <c r="H5664">
        <v>54281535</v>
      </c>
      <c r="I5664">
        <v>54281547</v>
      </c>
    </row>
    <row r="5665" spans="1:9" x14ac:dyDescent="0.2">
      <c r="A5665" s="1" t="str">
        <f>"ESPL1"</f>
        <v>ESPL1</v>
      </c>
      <c r="B5665" t="s">
        <v>14</v>
      </c>
      <c r="C5665" t="s">
        <v>16</v>
      </c>
      <c r="D5665" t="s">
        <v>17</v>
      </c>
      <c r="E5665" t="s">
        <v>12</v>
      </c>
      <c r="F5665">
        <v>53662073</v>
      </c>
      <c r="G5665">
        <v>53662105</v>
      </c>
      <c r="H5665">
        <v>53662049</v>
      </c>
      <c r="I5665">
        <v>53662061</v>
      </c>
    </row>
    <row r="5666" spans="1:9" x14ac:dyDescent="0.2">
      <c r="A5666" s="1" t="str">
        <f>"ESPN"</f>
        <v>ESPN</v>
      </c>
      <c r="B5666" t="s">
        <v>9</v>
      </c>
      <c r="C5666" t="s">
        <v>19</v>
      </c>
      <c r="D5666" t="s">
        <v>17</v>
      </c>
      <c r="E5666" t="s">
        <v>12</v>
      </c>
      <c r="F5666">
        <v>6484829</v>
      </c>
      <c r="G5666">
        <v>6484843</v>
      </c>
      <c r="H5666">
        <v>6484829</v>
      </c>
      <c r="I5666">
        <v>6484843</v>
      </c>
    </row>
    <row r="5667" spans="1:9" x14ac:dyDescent="0.2">
      <c r="A5667" s="1" t="str">
        <f>"ESPN"</f>
        <v>ESPN</v>
      </c>
      <c r="B5667" t="s">
        <v>13</v>
      </c>
      <c r="C5667" t="s">
        <v>19</v>
      </c>
      <c r="D5667" t="s">
        <v>17</v>
      </c>
      <c r="E5667" t="s">
        <v>12</v>
      </c>
      <c r="F5667">
        <v>6508100</v>
      </c>
      <c r="G5667">
        <v>6508152</v>
      </c>
      <c r="H5667">
        <v>6508100</v>
      </c>
      <c r="I5667">
        <v>6508152</v>
      </c>
    </row>
    <row r="5668" spans="1:9" x14ac:dyDescent="0.2">
      <c r="A5668" s="1" t="str">
        <f>"ESPNL"</f>
        <v>ESPNL</v>
      </c>
      <c r="B5668" t="s">
        <v>9</v>
      </c>
      <c r="C5668" t="s">
        <v>26</v>
      </c>
      <c r="D5668" t="s">
        <v>17</v>
      </c>
      <c r="E5668" t="s">
        <v>12</v>
      </c>
      <c r="F5668">
        <v>239008973</v>
      </c>
      <c r="G5668">
        <v>239009011</v>
      </c>
      <c r="H5668">
        <v>239008973</v>
      </c>
      <c r="I5668">
        <v>239009011</v>
      </c>
    </row>
    <row r="5669" spans="1:9" x14ac:dyDescent="0.2">
      <c r="A5669" s="1" t="str">
        <f>"ESPNL"</f>
        <v>ESPNL</v>
      </c>
      <c r="B5669" t="s">
        <v>13</v>
      </c>
      <c r="C5669" t="s">
        <v>26</v>
      </c>
      <c r="D5669" t="s">
        <v>17</v>
      </c>
      <c r="E5669" t="s">
        <v>12</v>
      </c>
      <c r="F5669">
        <v>239036028</v>
      </c>
      <c r="G5669">
        <v>239036048</v>
      </c>
      <c r="H5669">
        <v>239036028</v>
      </c>
      <c r="I5669">
        <v>239036048</v>
      </c>
    </row>
    <row r="5670" spans="1:9" x14ac:dyDescent="0.2">
      <c r="A5670" s="1" t="str">
        <f>"ESR1"</f>
        <v>ESR1</v>
      </c>
      <c r="B5670" t="s">
        <v>9</v>
      </c>
      <c r="C5670" t="s">
        <v>32</v>
      </c>
      <c r="D5670" t="s">
        <v>17</v>
      </c>
      <c r="E5670" t="s">
        <v>12</v>
      </c>
      <c r="F5670">
        <v>152011654</v>
      </c>
      <c r="G5670">
        <v>152011682</v>
      </c>
      <c r="H5670">
        <v>152011654</v>
      </c>
      <c r="I5670">
        <v>152011682</v>
      </c>
    </row>
    <row r="5671" spans="1:9" x14ac:dyDescent="0.2">
      <c r="A5671" s="1" t="str">
        <f>"ESR1"</f>
        <v>ESR1</v>
      </c>
      <c r="B5671" t="s">
        <v>13</v>
      </c>
      <c r="C5671" t="s">
        <v>32</v>
      </c>
      <c r="D5671" t="s">
        <v>17</v>
      </c>
      <c r="E5671" t="s">
        <v>12</v>
      </c>
      <c r="F5671">
        <v>152128810</v>
      </c>
      <c r="G5671">
        <v>152128827</v>
      </c>
      <c r="H5671">
        <v>152128810</v>
      </c>
      <c r="I5671">
        <v>152128827</v>
      </c>
    </row>
    <row r="5672" spans="1:9" x14ac:dyDescent="0.2">
      <c r="A5672" s="1" t="str">
        <f>"ESR2"</f>
        <v>ESR2</v>
      </c>
      <c r="B5672" t="s">
        <v>14</v>
      </c>
      <c r="C5672" t="s">
        <v>41</v>
      </c>
      <c r="D5672" t="s">
        <v>11</v>
      </c>
      <c r="E5672" t="s">
        <v>12</v>
      </c>
      <c r="F5672">
        <v>64761083</v>
      </c>
      <c r="G5672">
        <v>64761101</v>
      </c>
      <c r="H5672">
        <v>64760984</v>
      </c>
      <c r="I5672">
        <v>64761000</v>
      </c>
    </row>
    <row r="5673" spans="1:9" x14ac:dyDescent="0.2">
      <c r="A5673" s="1" t="str">
        <f>"ESRP1"</f>
        <v>ESRP1</v>
      </c>
      <c r="B5673" t="s">
        <v>14</v>
      </c>
      <c r="C5673" t="s">
        <v>30</v>
      </c>
      <c r="D5673" t="s">
        <v>17</v>
      </c>
      <c r="E5673" t="s">
        <v>12</v>
      </c>
      <c r="F5673">
        <v>95653373</v>
      </c>
      <c r="G5673">
        <v>95653415</v>
      </c>
      <c r="H5673">
        <v>95653432</v>
      </c>
      <c r="I5673">
        <v>95653460</v>
      </c>
    </row>
    <row r="5674" spans="1:9" x14ac:dyDescent="0.2">
      <c r="A5674" s="1" t="str">
        <f>"ESRP2"</f>
        <v>ESRP2</v>
      </c>
      <c r="B5674" t="s">
        <v>14</v>
      </c>
      <c r="C5674" t="s">
        <v>31</v>
      </c>
      <c r="D5674" t="s">
        <v>11</v>
      </c>
      <c r="E5674" t="s">
        <v>12</v>
      </c>
      <c r="F5674">
        <v>68269971</v>
      </c>
      <c r="G5674">
        <v>68270059</v>
      </c>
      <c r="H5674">
        <v>68270072</v>
      </c>
      <c r="I5674">
        <v>68270086</v>
      </c>
    </row>
    <row r="5675" spans="1:9" x14ac:dyDescent="0.2">
      <c r="A5675" s="1" t="str">
        <f>"ESRRA"</f>
        <v>ESRRA</v>
      </c>
      <c r="B5675" t="s">
        <v>14</v>
      </c>
      <c r="C5675" t="s">
        <v>27</v>
      </c>
      <c r="D5675" t="s">
        <v>17</v>
      </c>
      <c r="E5675" t="s">
        <v>12</v>
      </c>
      <c r="F5675">
        <v>64073022</v>
      </c>
      <c r="G5675">
        <v>64073056</v>
      </c>
      <c r="H5675">
        <v>64072981</v>
      </c>
      <c r="I5675">
        <v>64073005</v>
      </c>
    </row>
    <row r="5676" spans="1:9" x14ac:dyDescent="0.2">
      <c r="A5676" s="1" t="str">
        <f>"ESRRB"</f>
        <v>ESRRB</v>
      </c>
      <c r="B5676" t="s">
        <v>389</v>
      </c>
      <c r="C5676" t="s">
        <v>41</v>
      </c>
      <c r="D5676" t="s">
        <v>17</v>
      </c>
      <c r="E5676" t="s">
        <v>20</v>
      </c>
      <c r="F5676">
        <v>76873880</v>
      </c>
      <c r="G5676">
        <v>76873880</v>
      </c>
      <c r="H5676">
        <v>76873880</v>
      </c>
      <c r="I5676">
        <v>76873880</v>
      </c>
    </row>
    <row r="5677" spans="1:9" x14ac:dyDescent="0.2">
      <c r="A5677" s="1" t="str">
        <f>"ESRRG"</f>
        <v>ESRRG</v>
      </c>
      <c r="B5677" t="s">
        <v>390</v>
      </c>
      <c r="C5677" t="s">
        <v>19</v>
      </c>
      <c r="D5677" t="s">
        <v>11</v>
      </c>
      <c r="E5677" t="s">
        <v>35</v>
      </c>
      <c r="F5677">
        <v>217263131</v>
      </c>
      <c r="G5677">
        <v>217263207</v>
      </c>
      <c r="H5677">
        <v>217262933</v>
      </c>
      <c r="I5677">
        <v>217262968</v>
      </c>
    </row>
    <row r="5678" spans="1:9" x14ac:dyDescent="0.2">
      <c r="A5678" s="1" t="str">
        <f>"ESRRG"</f>
        <v>ESRRG</v>
      </c>
      <c r="B5678" t="s">
        <v>391</v>
      </c>
      <c r="C5678" t="s">
        <v>19</v>
      </c>
      <c r="D5678" t="s">
        <v>11</v>
      </c>
      <c r="E5678" t="s">
        <v>20</v>
      </c>
      <c r="F5678">
        <v>216978708</v>
      </c>
      <c r="G5678">
        <v>216978708</v>
      </c>
      <c r="H5678">
        <v>216978708</v>
      </c>
      <c r="I5678">
        <v>216978708</v>
      </c>
    </row>
    <row r="5679" spans="1:9" x14ac:dyDescent="0.2">
      <c r="A5679" s="1" t="str">
        <f>"ESRRG"</f>
        <v>ESRRG</v>
      </c>
      <c r="B5679" t="s">
        <v>392</v>
      </c>
      <c r="C5679" t="s">
        <v>19</v>
      </c>
      <c r="D5679" t="s">
        <v>11</v>
      </c>
      <c r="E5679" t="s">
        <v>20</v>
      </c>
      <c r="F5679">
        <v>217113013</v>
      </c>
      <c r="G5679">
        <v>217113013</v>
      </c>
      <c r="H5679">
        <v>217113013</v>
      </c>
      <c r="I5679">
        <v>217113013</v>
      </c>
    </row>
    <row r="5680" spans="1:9" x14ac:dyDescent="0.2">
      <c r="A5680" s="1" t="str">
        <f>"ESRRG"</f>
        <v>ESRRG</v>
      </c>
      <c r="B5680" t="s">
        <v>393</v>
      </c>
      <c r="C5680" t="s">
        <v>19</v>
      </c>
      <c r="D5680" t="s">
        <v>11</v>
      </c>
      <c r="E5680" t="s">
        <v>35</v>
      </c>
      <c r="F5680">
        <v>217311125</v>
      </c>
      <c r="G5680">
        <v>217311136</v>
      </c>
      <c r="H5680">
        <v>217311025</v>
      </c>
      <c r="I5680">
        <v>217311049</v>
      </c>
    </row>
    <row r="5681" spans="1:9" x14ac:dyDescent="0.2">
      <c r="A5681" s="1" t="str">
        <f>"ESRRG"</f>
        <v>ESRRG</v>
      </c>
      <c r="B5681" t="s">
        <v>394</v>
      </c>
      <c r="C5681" t="s">
        <v>19</v>
      </c>
      <c r="D5681" t="s">
        <v>11</v>
      </c>
      <c r="E5681" t="s">
        <v>35</v>
      </c>
      <c r="F5681">
        <v>217250308</v>
      </c>
      <c r="G5681">
        <v>217250349</v>
      </c>
      <c r="H5681">
        <v>217250268</v>
      </c>
      <c r="I5681">
        <v>217250276</v>
      </c>
    </row>
    <row r="5682" spans="1:9" x14ac:dyDescent="0.2">
      <c r="A5682" s="1" t="str">
        <f>"ESX1"</f>
        <v>ESX1</v>
      </c>
      <c r="B5682" t="s">
        <v>14</v>
      </c>
      <c r="C5682" t="s">
        <v>37</v>
      </c>
      <c r="D5682" t="s">
        <v>11</v>
      </c>
      <c r="E5682" t="s">
        <v>12</v>
      </c>
      <c r="F5682">
        <v>103499602</v>
      </c>
      <c r="G5682">
        <v>103499617</v>
      </c>
      <c r="H5682">
        <v>103499660</v>
      </c>
      <c r="I5682">
        <v>103499666</v>
      </c>
    </row>
    <row r="5683" spans="1:9" x14ac:dyDescent="0.2">
      <c r="A5683" s="1" t="str">
        <f>"ESYT1"</f>
        <v>ESYT1</v>
      </c>
      <c r="B5683" t="s">
        <v>9</v>
      </c>
      <c r="C5683" t="s">
        <v>16</v>
      </c>
      <c r="D5683" t="s">
        <v>17</v>
      </c>
      <c r="E5683" t="s">
        <v>12</v>
      </c>
      <c r="F5683">
        <v>56522001</v>
      </c>
      <c r="G5683">
        <v>56522087</v>
      </c>
      <c r="H5683">
        <v>56522001</v>
      </c>
      <c r="I5683">
        <v>56522087</v>
      </c>
    </row>
    <row r="5684" spans="1:9" x14ac:dyDescent="0.2">
      <c r="A5684" s="1" t="str">
        <f>"ESYT1"</f>
        <v>ESYT1</v>
      </c>
      <c r="B5684" t="s">
        <v>13</v>
      </c>
      <c r="C5684" t="s">
        <v>16</v>
      </c>
      <c r="D5684" t="s">
        <v>17</v>
      </c>
      <c r="E5684" t="s">
        <v>12</v>
      </c>
      <c r="F5684">
        <v>56512026</v>
      </c>
      <c r="G5684">
        <v>56512064</v>
      </c>
      <c r="H5684">
        <v>56512026</v>
      </c>
      <c r="I5684">
        <v>56512064</v>
      </c>
    </row>
    <row r="5685" spans="1:9" x14ac:dyDescent="0.2">
      <c r="A5685" s="1" t="str">
        <f>"ESYT2"</f>
        <v>ESYT2</v>
      </c>
      <c r="B5685" t="s">
        <v>14</v>
      </c>
      <c r="C5685" t="s">
        <v>33</v>
      </c>
      <c r="D5685" t="s">
        <v>11</v>
      </c>
      <c r="E5685" t="s">
        <v>12</v>
      </c>
      <c r="F5685">
        <v>158622190</v>
      </c>
      <c r="G5685">
        <v>158622207</v>
      </c>
      <c r="H5685">
        <v>158622210</v>
      </c>
      <c r="I5685">
        <v>158622263</v>
      </c>
    </row>
    <row r="5686" spans="1:9" x14ac:dyDescent="0.2">
      <c r="A5686" s="1" t="str">
        <f>"ESYT3"</f>
        <v>ESYT3</v>
      </c>
      <c r="B5686" t="s">
        <v>14</v>
      </c>
      <c r="C5686" t="s">
        <v>22</v>
      </c>
      <c r="D5686" t="s">
        <v>17</v>
      </c>
      <c r="E5686" t="s">
        <v>12</v>
      </c>
      <c r="F5686">
        <v>138153451</v>
      </c>
      <c r="G5686">
        <v>138153467</v>
      </c>
      <c r="H5686">
        <v>138153411</v>
      </c>
      <c r="I5686">
        <v>138153433</v>
      </c>
    </row>
    <row r="5687" spans="1:9" x14ac:dyDescent="0.2">
      <c r="A5687" s="1" t="str">
        <f>"ETAA1"</f>
        <v>ETAA1</v>
      </c>
      <c r="B5687" t="s">
        <v>14</v>
      </c>
      <c r="C5687" t="s">
        <v>26</v>
      </c>
      <c r="D5687" t="s">
        <v>17</v>
      </c>
      <c r="E5687" t="s">
        <v>12</v>
      </c>
      <c r="F5687">
        <v>67624430</v>
      </c>
      <c r="G5687">
        <v>67624479</v>
      </c>
      <c r="H5687">
        <v>67624430</v>
      </c>
      <c r="I5687">
        <v>67624479</v>
      </c>
    </row>
    <row r="5688" spans="1:9" x14ac:dyDescent="0.2">
      <c r="A5688" s="1" t="str">
        <f>"ETF1"</f>
        <v>ETF1</v>
      </c>
      <c r="B5688" t="s">
        <v>14</v>
      </c>
      <c r="C5688" t="s">
        <v>46</v>
      </c>
      <c r="D5688" t="s">
        <v>11</v>
      </c>
      <c r="E5688" t="s">
        <v>12</v>
      </c>
      <c r="F5688">
        <v>137878887</v>
      </c>
      <c r="G5688">
        <v>137878937</v>
      </c>
      <c r="H5688">
        <v>137878846</v>
      </c>
      <c r="I5688">
        <v>137878872</v>
      </c>
    </row>
    <row r="5689" spans="1:9" x14ac:dyDescent="0.2">
      <c r="A5689" s="1" t="str">
        <f>"ETFA"</f>
        <v>ETFA</v>
      </c>
      <c r="B5689" t="s">
        <v>14</v>
      </c>
      <c r="C5689" t="s">
        <v>25</v>
      </c>
      <c r="D5689" t="s">
        <v>11</v>
      </c>
      <c r="E5689" t="s">
        <v>12</v>
      </c>
      <c r="F5689">
        <v>76603727</v>
      </c>
      <c r="G5689">
        <v>76603818</v>
      </c>
      <c r="H5689">
        <v>76603828</v>
      </c>
      <c r="I5689">
        <v>76603839</v>
      </c>
    </row>
    <row r="5690" spans="1:9" x14ac:dyDescent="0.2">
      <c r="A5690" s="1" t="str">
        <f>"ETFB"</f>
        <v>ETFB</v>
      </c>
      <c r="B5690" t="s">
        <v>9</v>
      </c>
      <c r="C5690" t="s">
        <v>10</v>
      </c>
      <c r="D5690" t="s">
        <v>11</v>
      </c>
      <c r="E5690" t="s">
        <v>12</v>
      </c>
      <c r="F5690">
        <v>51869592</v>
      </c>
      <c r="G5690">
        <v>51869650</v>
      </c>
      <c r="H5690">
        <v>51869592</v>
      </c>
      <c r="I5690">
        <v>51869650</v>
      </c>
    </row>
    <row r="5691" spans="1:9" x14ac:dyDescent="0.2">
      <c r="A5691" s="1" t="str">
        <f>"ETFB"</f>
        <v>ETFB</v>
      </c>
      <c r="B5691" t="s">
        <v>13</v>
      </c>
      <c r="C5691" t="s">
        <v>10</v>
      </c>
      <c r="D5691" t="s">
        <v>11</v>
      </c>
      <c r="E5691" t="s">
        <v>12</v>
      </c>
      <c r="F5691">
        <v>51858009</v>
      </c>
      <c r="G5691">
        <v>51858048</v>
      </c>
      <c r="H5691">
        <v>51858009</v>
      </c>
      <c r="I5691">
        <v>51858048</v>
      </c>
    </row>
    <row r="5692" spans="1:9" x14ac:dyDescent="0.2">
      <c r="A5692" s="1" t="str">
        <f>"ETFDH"</f>
        <v>ETFDH</v>
      </c>
      <c r="B5692" t="s">
        <v>14</v>
      </c>
      <c r="C5692" t="s">
        <v>23</v>
      </c>
      <c r="D5692" t="s">
        <v>17</v>
      </c>
      <c r="E5692" t="s">
        <v>12</v>
      </c>
      <c r="F5692">
        <v>159593418</v>
      </c>
      <c r="G5692">
        <v>159593517</v>
      </c>
      <c r="H5692">
        <v>159593271</v>
      </c>
      <c r="I5692">
        <v>159593295</v>
      </c>
    </row>
    <row r="5693" spans="1:9" x14ac:dyDescent="0.2">
      <c r="A5693" s="1" t="str">
        <f>"ETHE1"</f>
        <v>ETHE1</v>
      </c>
      <c r="B5693" t="s">
        <v>14</v>
      </c>
      <c r="C5693" t="s">
        <v>10</v>
      </c>
      <c r="D5693" t="s">
        <v>11</v>
      </c>
      <c r="E5693" t="s">
        <v>12</v>
      </c>
      <c r="F5693">
        <v>44031341</v>
      </c>
      <c r="G5693">
        <v>44031374</v>
      </c>
      <c r="H5693">
        <v>44031375</v>
      </c>
      <c r="I5693">
        <v>44031414</v>
      </c>
    </row>
    <row r="5694" spans="1:9" x14ac:dyDescent="0.2">
      <c r="A5694" s="1" t="str">
        <f>"ETNK1"</f>
        <v>ETNK1</v>
      </c>
      <c r="B5694" t="s">
        <v>14</v>
      </c>
      <c r="C5694" t="s">
        <v>16</v>
      </c>
      <c r="D5694" t="s">
        <v>17</v>
      </c>
      <c r="E5694" t="s">
        <v>12</v>
      </c>
      <c r="F5694">
        <v>22778072</v>
      </c>
      <c r="G5694">
        <v>22778112</v>
      </c>
      <c r="H5694">
        <v>22778116</v>
      </c>
      <c r="I5694">
        <v>22778139</v>
      </c>
    </row>
    <row r="5695" spans="1:9" x14ac:dyDescent="0.2">
      <c r="A5695" s="1" t="str">
        <f>"ETNK2"</f>
        <v>ETNK2</v>
      </c>
      <c r="B5695" t="s">
        <v>14</v>
      </c>
      <c r="C5695" t="s">
        <v>19</v>
      </c>
      <c r="D5695" t="s">
        <v>11</v>
      </c>
      <c r="E5695" t="s">
        <v>12</v>
      </c>
      <c r="F5695">
        <v>204121137</v>
      </c>
      <c r="G5695">
        <v>204121180</v>
      </c>
      <c r="H5695">
        <v>204121261</v>
      </c>
      <c r="I5695">
        <v>204121295</v>
      </c>
    </row>
    <row r="5696" spans="1:9" x14ac:dyDescent="0.2">
      <c r="A5696" s="1" t="str">
        <f>"ETNPPL"</f>
        <v>ETNPPL</v>
      </c>
      <c r="B5696" t="s">
        <v>14</v>
      </c>
      <c r="C5696" t="s">
        <v>23</v>
      </c>
      <c r="D5696" t="s">
        <v>11</v>
      </c>
      <c r="E5696" t="s">
        <v>12</v>
      </c>
      <c r="F5696">
        <v>109684198</v>
      </c>
      <c r="G5696">
        <v>109684217</v>
      </c>
      <c r="H5696">
        <v>109683772</v>
      </c>
      <c r="I5696">
        <v>109683794</v>
      </c>
    </row>
    <row r="5697" spans="1:9" x14ac:dyDescent="0.2">
      <c r="A5697" s="1" t="str">
        <f>"ETS1"</f>
        <v>ETS1</v>
      </c>
      <c r="B5697" t="s">
        <v>14</v>
      </c>
      <c r="C5697" t="s">
        <v>27</v>
      </c>
      <c r="D5697" t="s">
        <v>11</v>
      </c>
      <c r="E5697" t="s">
        <v>12</v>
      </c>
      <c r="F5697">
        <v>128392085</v>
      </c>
      <c r="G5697">
        <v>128392232</v>
      </c>
      <c r="H5697">
        <v>128392273</v>
      </c>
      <c r="I5697">
        <v>128392308</v>
      </c>
    </row>
    <row r="5698" spans="1:9" x14ac:dyDescent="0.2">
      <c r="A5698" s="1" t="str">
        <f>"ETS2"</f>
        <v>ETS2</v>
      </c>
      <c r="B5698" t="s">
        <v>14</v>
      </c>
      <c r="C5698" t="s">
        <v>42</v>
      </c>
      <c r="D5698" t="s">
        <v>17</v>
      </c>
      <c r="E5698" t="s">
        <v>12</v>
      </c>
      <c r="F5698">
        <v>40177845</v>
      </c>
      <c r="G5698">
        <v>40177863</v>
      </c>
      <c r="H5698">
        <v>40177892</v>
      </c>
      <c r="I5698">
        <v>40177903</v>
      </c>
    </row>
    <row r="5699" spans="1:9" x14ac:dyDescent="0.2">
      <c r="A5699" s="1" t="str">
        <f>"ETV1"</f>
        <v>ETV1</v>
      </c>
      <c r="B5699" t="s">
        <v>14</v>
      </c>
      <c r="C5699" t="s">
        <v>33</v>
      </c>
      <c r="D5699" t="s">
        <v>11</v>
      </c>
      <c r="E5699" t="s">
        <v>12</v>
      </c>
      <c r="F5699">
        <v>14029283</v>
      </c>
      <c r="G5699">
        <v>14029311</v>
      </c>
      <c r="H5699">
        <v>14028488</v>
      </c>
      <c r="I5699">
        <v>14028516</v>
      </c>
    </row>
    <row r="5700" spans="1:9" x14ac:dyDescent="0.2">
      <c r="A5700" s="1" t="str">
        <f>"ETV2"</f>
        <v>ETV2</v>
      </c>
      <c r="B5700" t="s">
        <v>14</v>
      </c>
      <c r="C5700" t="s">
        <v>10</v>
      </c>
      <c r="D5700" t="s">
        <v>17</v>
      </c>
      <c r="E5700" t="s">
        <v>12</v>
      </c>
      <c r="F5700">
        <v>36134528</v>
      </c>
      <c r="G5700">
        <v>36134563</v>
      </c>
      <c r="H5700">
        <v>36134501</v>
      </c>
      <c r="I5700">
        <v>36134527</v>
      </c>
    </row>
    <row r="5701" spans="1:9" x14ac:dyDescent="0.2">
      <c r="A5701" s="1" t="str">
        <f>"ETV3"</f>
        <v>ETV3</v>
      </c>
      <c r="B5701" t="s">
        <v>14</v>
      </c>
      <c r="C5701" t="s">
        <v>19</v>
      </c>
      <c r="D5701" t="s">
        <v>11</v>
      </c>
      <c r="E5701" t="s">
        <v>12</v>
      </c>
      <c r="F5701">
        <v>157108130</v>
      </c>
      <c r="G5701">
        <v>157108173</v>
      </c>
      <c r="H5701">
        <v>157108180</v>
      </c>
      <c r="I5701">
        <v>157108193</v>
      </c>
    </row>
    <row r="5702" spans="1:9" x14ac:dyDescent="0.2">
      <c r="A5702" s="1" t="str">
        <f>"ETV3L"</f>
        <v>ETV3L</v>
      </c>
      <c r="B5702" t="s">
        <v>14</v>
      </c>
      <c r="C5702" t="s">
        <v>19</v>
      </c>
      <c r="D5702" t="s">
        <v>11</v>
      </c>
      <c r="E5702" t="s">
        <v>12</v>
      </c>
      <c r="F5702">
        <v>157069590</v>
      </c>
      <c r="G5702">
        <v>157069607</v>
      </c>
      <c r="H5702">
        <v>157069495</v>
      </c>
      <c r="I5702">
        <v>157069541</v>
      </c>
    </row>
    <row r="5703" spans="1:9" x14ac:dyDescent="0.2">
      <c r="A5703" s="1" t="str">
        <f>"ETV4"</f>
        <v>ETV4</v>
      </c>
      <c r="B5703" t="s">
        <v>14</v>
      </c>
      <c r="C5703" t="s">
        <v>28</v>
      </c>
      <c r="D5703" t="s">
        <v>11</v>
      </c>
      <c r="E5703" t="s">
        <v>12</v>
      </c>
      <c r="F5703">
        <v>41623692</v>
      </c>
      <c r="G5703">
        <v>41623715</v>
      </c>
      <c r="H5703">
        <v>41622765</v>
      </c>
      <c r="I5703">
        <v>41622821</v>
      </c>
    </row>
    <row r="5704" spans="1:9" x14ac:dyDescent="0.2">
      <c r="A5704" s="1" t="str">
        <f>"ETV5"</f>
        <v>ETV5</v>
      </c>
      <c r="B5704" t="s">
        <v>14</v>
      </c>
      <c r="C5704" t="s">
        <v>22</v>
      </c>
      <c r="D5704" t="s">
        <v>11</v>
      </c>
      <c r="E5704" t="s">
        <v>12</v>
      </c>
      <c r="F5704">
        <v>185826855</v>
      </c>
      <c r="G5704">
        <v>185826911</v>
      </c>
      <c r="H5704">
        <v>185826764</v>
      </c>
      <c r="I5704">
        <v>185826803</v>
      </c>
    </row>
    <row r="5705" spans="1:9" x14ac:dyDescent="0.2">
      <c r="A5705" s="1" t="str">
        <f>"ETV6"</f>
        <v>ETV6</v>
      </c>
      <c r="B5705" t="s">
        <v>14</v>
      </c>
      <c r="C5705" t="s">
        <v>16</v>
      </c>
      <c r="D5705" t="s">
        <v>17</v>
      </c>
      <c r="E5705" t="s">
        <v>12</v>
      </c>
      <c r="F5705">
        <v>11802600</v>
      </c>
      <c r="G5705">
        <v>11802685</v>
      </c>
      <c r="H5705">
        <v>11802753</v>
      </c>
      <c r="I5705">
        <v>11802834</v>
      </c>
    </row>
    <row r="5706" spans="1:9" x14ac:dyDescent="0.2">
      <c r="A5706" s="1" t="str">
        <f>"ETV7"</f>
        <v>ETV7</v>
      </c>
      <c r="B5706" t="s">
        <v>14</v>
      </c>
      <c r="C5706" t="s">
        <v>32</v>
      </c>
      <c r="D5706" t="s">
        <v>11</v>
      </c>
      <c r="E5706" t="s">
        <v>12</v>
      </c>
      <c r="F5706">
        <v>36355431</v>
      </c>
      <c r="G5706">
        <v>36355466</v>
      </c>
      <c r="H5706">
        <v>36355513</v>
      </c>
      <c r="I5706">
        <v>36355578</v>
      </c>
    </row>
    <row r="5707" spans="1:9" x14ac:dyDescent="0.2">
      <c r="A5707" s="1" t="str">
        <f>"EVA1A"</f>
        <v>EVA1A</v>
      </c>
      <c r="B5707" t="s">
        <v>14</v>
      </c>
      <c r="C5707" t="s">
        <v>26</v>
      </c>
      <c r="D5707" t="s">
        <v>11</v>
      </c>
      <c r="E5707" t="s">
        <v>12</v>
      </c>
      <c r="F5707">
        <v>75788038</v>
      </c>
      <c r="G5707">
        <v>75788089</v>
      </c>
      <c r="H5707">
        <v>75788428</v>
      </c>
      <c r="I5707">
        <v>75788476</v>
      </c>
    </row>
    <row r="5708" spans="1:9" x14ac:dyDescent="0.2">
      <c r="A5708" s="1" t="str">
        <f>"EVA1B"</f>
        <v>EVA1B</v>
      </c>
      <c r="B5708" t="s">
        <v>14</v>
      </c>
      <c r="C5708" t="s">
        <v>19</v>
      </c>
      <c r="D5708" t="s">
        <v>11</v>
      </c>
      <c r="E5708" t="s">
        <v>12</v>
      </c>
      <c r="F5708">
        <v>36789194</v>
      </c>
      <c r="G5708">
        <v>36789256</v>
      </c>
      <c r="H5708">
        <v>36789257</v>
      </c>
      <c r="I5708">
        <v>36789268</v>
      </c>
    </row>
    <row r="5709" spans="1:9" x14ac:dyDescent="0.2">
      <c r="A5709" s="1" t="str">
        <f>"EVA1C"</f>
        <v>EVA1C</v>
      </c>
      <c r="B5709" t="s">
        <v>14</v>
      </c>
      <c r="C5709" t="s">
        <v>42</v>
      </c>
      <c r="D5709" t="s">
        <v>17</v>
      </c>
      <c r="E5709" t="s">
        <v>12</v>
      </c>
      <c r="F5709">
        <v>33784957</v>
      </c>
      <c r="G5709">
        <v>33785031</v>
      </c>
      <c r="H5709">
        <v>33784699</v>
      </c>
      <c r="I5709">
        <v>33784768</v>
      </c>
    </row>
    <row r="5710" spans="1:9" x14ac:dyDescent="0.2">
      <c r="A5710" s="1" t="str">
        <f>"EVC"</f>
        <v>EVC</v>
      </c>
      <c r="B5710" t="s">
        <v>14</v>
      </c>
      <c r="C5710" t="s">
        <v>23</v>
      </c>
      <c r="D5710" t="s">
        <v>17</v>
      </c>
      <c r="E5710" t="s">
        <v>12</v>
      </c>
      <c r="F5710">
        <v>5712898</v>
      </c>
      <c r="G5710">
        <v>5712937</v>
      </c>
      <c r="H5710">
        <v>5712942</v>
      </c>
      <c r="I5710">
        <v>5712991</v>
      </c>
    </row>
    <row r="5711" spans="1:9" x14ac:dyDescent="0.2">
      <c r="A5711" s="1" t="str">
        <f>"EVC2"</f>
        <v>EVC2</v>
      </c>
      <c r="B5711" t="s">
        <v>14</v>
      </c>
      <c r="C5711" t="s">
        <v>23</v>
      </c>
      <c r="D5711" t="s">
        <v>11</v>
      </c>
      <c r="E5711" t="s">
        <v>12</v>
      </c>
      <c r="F5711">
        <v>5710257</v>
      </c>
      <c r="G5711">
        <v>5710312</v>
      </c>
      <c r="H5711">
        <v>5710708</v>
      </c>
      <c r="I5711">
        <v>5710726</v>
      </c>
    </row>
    <row r="5712" spans="1:9" x14ac:dyDescent="0.2">
      <c r="A5712" s="1" t="str">
        <f>"EVI2A"</f>
        <v>EVI2A</v>
      </c>
      <c r="B5712" t="s">
        <v>14</v>
      </c>
      <c r="C5712" t="s">
        <v>28</v>
      </c>
      <c r="D5712" t="s">
        <v>11</v>
      </c>
      <c r="E5712" t="s">
        <v>12</v>
      </c>
      <c r="F5712">
        <v>29648586</v>
      </c>
      <c r="G5712">
        <v>29648735</v>
      </c>
      <c r="H5712">
        <v>29648761</v>
      </c>
      <c r="I5712">
        <v>29648772</v>
      </c>
    </row>
    <row r="5713" spans="1:9" x14ac:dyDescent="0.2">
      <c r="A5713" s="1" t="str">
        <f>"EVI2B"</f>
        <v>EVI2B</v>
      </c>
      <c r="B5713" t="s">
        <v>14</v>
      </c>
      <c r="C5713" t="s">
        <v>28</v>
      </c>
      <c r="D5713" t="s">
        <v>11</v>
      </c>
      <c r="E5713" t="s">
        <v>12</v>
      </c>
      <c r="F5713">
        <v>29641057</v>
      </c>
      <c r="G5713">
        <v>29641079</v>
      </c>
      <c r="H5713">
        <v>29641084</v>
      </c>
      <c r="I5713">
        <v>29641103</v>
      </c>
    </row>
    <row r="5714" spans="1:9" x14ac:dyDescent="0.2">
      <c r="A5714" s="1" t="str">
        <f>"EVI5"</f>
        <v>EVI5</v>
      </c>
      <c r="B5714" t="s">
        <v>14</v>
      </c>
      <c r="C5714" t="s">
        <v>19</v>
      </c>
      <c r="D5714" t="s">
        <v>11</v>
      </c>
      <c r="E5714" t="s">
        <v>12</v>
      </c>
      <c r="F5714">
        <v>93250620</v>
      </c>
      <c r="G5714">
        <v>93250673</v>
      </c>
      <c r="H5714">
        <v>93250591</v>
      </c>
      <c r="I5714">
        <v>93250614</v>
      </c>
    </row>
    <row r="5715" spans="1:9" x14ac:dyDescent="0.2">
      <c r="A5715" s="1" t="str">
        <f>"EVI5L"</f>
        <v>EVI5L</v>
      </c>
      <c r="B5715" t="s">
        <v>14</v>
      </c>
      <c r="C5715" t="s">
        <v>10</v>
      </c>
      <c r="D5715" t="s">
        <v>17</v>
      </c>
      <c r="E5715" t="s">
        <v>12</v>
      </c>
      <c r="F5715">
        <v>7895074</v>
      </c>
      <c r="G5715">
        <v>7895119</v>
      </c>
      <c r="H5715">
        <v>7895138</v>
      </c>
      <c r="I5715">
        <v>7895149</v>
      </c>
    </row>
    <row r="5716" spans="1:9" x14ac:dyDescent="0.2">
      <c r="A5716" s="1" t="str">
        <f>"EVL"</f>
        <v>EVL</v>
      </c>
      <c r="B5716" t="s">
        <v>9</v>
      </c>
      <c r="C5716" t="s">
        <v>41</v>
      </c>
      <c r="D5716" t="s">
        <v>17</v>
      </c>
      <c r="E5716" t="s">
        <v>12</v>
      </c>
      <c r="F5716">
        <v>100531738</v>
      </c>
      <c r="G5716">
        <v>100531766</v>
      </c>
      <c r="H5716">
        <v>100531738</v>
      </c>
      <c r="I5716">
        <v>100531766</v>
      </c>
    </row>
    <row r="5717" spans="1:9" x14ac:dyDescent="0.2">
      <c r="A5717" s="1" t="str">
        <f>"EVL"</f>
        <v>EVL</v>
      </c>
      <c r="B5717" t="s">
        <v>13</v>
      </c>
      <c r="C5717" t="s">
        <v>41</v>
      </c>
      <c r="D5717" t="s">
        <v>17</v>
      </c>
      <c r="E5717" t="s">
        <v>12</v>
      </c>
      <c r="F5717">
        <v>100438114</v>
      </c>
      <c r="G5717">
        <v>100438155</v>
      </c>
      <c r="H5717">
        <v>100438114</v>
      </c>
      <c r="I5717">
        <v>100438155</v>
      </c>
    </row>
    <row r="5718" spans="1:9" x14ac:dyDescent="0.2">
      <c r="A5718" s="1" t="str">
        <f>"EVPL"</f>
        <v>EVPL</v>
      </c>
      <c r="B5718" t="s">
        <v>14</v>
      </c>
      <c r="C5718" t="s">
        <v>28</v>
      </c>
      <c r="D5718" t="s">
        <v>11</v>
      </c>
      <c r="E5718" t="s">
        <v>12</v>
      </c>
      <c r="F5718">
        <v>74023373</v>
      </c>
      <c r="G5718">
        <v>74023426</v>
      </c>
      <c r="H5718">
        <v>74023474</v>
      </c>
      <c r="I5718">
        <v>74023551</v>
      </c>
    </row>
    <row r="5719" spans="1:9" x14ac:dyDescent="0.2">
      <c r="A5719" s="1" t="str">
        <f>"EVPLL"</f>
        <v>EVPLL</v>
      </c>
      <c r="B5719" t="s">
        <v>14</v>
      </c>
      <c r="C5719" t="s">
        <v>28</v>
      </c>
      <c r="D5719" t="s">
        <v>17</v>
      </c>
      <c r="E5719" t="s">
        <v>12</v>
      </c>
      <c r="F5719">
        <v>18281087</v>
      </c>
      <c r="G5719">
        <v>18281095</v>
      </c>
      <c r="H5719">
        <v>18281003</v>
      </c>
      <c r="I5719">
        <v>18281016</v>
      </c>
    </row>
    <row r="5720" spans="1:9" x14ac:dyDescent="0.2">
      <c r="A5720" s="1" t="str">
        <f>"EVX1"</f>
        <v>EVX1</v>
      </c>
      <c r="B5720" t="s">
        <v>14</v>
      </c>
      <c r="C5720" t="s">
        <v>33</v>
      </c>
      <c r="D5720" t="s">
        <v>17</v>
      </c>
      <c r="E5720" t="s">
        <v>12</v>
      </c>
      <c r="F5720">
        <v>27282416</v>
      </c>
      <c r="G5720">
        <v>27282426</v>
      </c>
      <c r="H5720">
        <v>27282843</v>
      </c>
      <c r="I5720">
        <v>27282878</v>
      </c>
    </row>
    <row r="5721" spans="1:9" x14ac:dyDescent="0.2">
      <c r="A5721" s="1" t="str">
        <f>"EVX2"</f>
        <v>EVX2</v>
      </c>
      <c r="B5721" t="s">
        <v>14</v>
      </c>
      <c r="C5721" t="s">
        <v>26</v>
      </c>
      <c r="D5721" t="s">
        <v>11</v>
      </c>
      <c r="E5721" t="s">
        <v>12</v>
      </c>
      <c r="F5721">
        <v>176948576</v>
      </c>
      <c r="G5721">
        <v>176948577</v>
      </c>
      <c r="H5721">
        <v>176948576</v>
      </c>
      <c r="I5721">
        <v>176948577</v>
      </c>
    </row>
    <row r="5722" spans="1:9" x14ac:dyDescent="0.2">
      <c r="A5722" s="1" t="str">
        <f>"EWSR1"</f>
        <v>EWSR1</v>
      </c>
      <c r="B5722" t="s">
        <v>14</v>
      </c>
      <c r="C5722" t="s">
        <v>21</v>
      </c>
      <c r="D5722" t="s">
        <v>17</v>
      </c>
      <c r="E5722" t="s">
        <v>12</v>
      </c>
      <c r="F5722">
        <v>29664248</v>
      </c>
      <c r="G5722">
        <v>29664294</v>
      </c>
      <c r="H5722">
        <v>29664309</v>
      </c>
      <c r="I5722">
        <v>29664322</v>
      </c>
    </row>
    <row r="5723" spans="1:9" x14ac:dyDescent="0.2">
      <c r="A5723" s="1" t="str">
        <f>"EXD1"</f>
        <v>EXD1</v>
      </c>
      <c r="B5723" t="s">
        <v>14</v>
      </c>
      <c r="C5723" t="s">
        <v>25</v>
      </c>
      <c r="D5723" t="s">
        <v>11</v>
      </c>
      <c r="E5723" t="s">
        <v>12</v>
      </c>
      <c r="F5723">
        <v>41522949</v>
      </c>
      <c r="G5723">
        <v>41522961</v>
      </c>
      <c r="H5723">
        <v>41522938</v>
      </c>
      <c r="I5723">
        <v>41522947</v>
      </c>
    </row>
    <row r="5724" spans="1:9" x14ac:dyDescent="0.2">
      <c r="A5724" s="1" t="str">
        <f>"EXD2"</f>
        <v>EXD2</v>
      </c>
      <c r="B5724" t="s">
        <v>14</v>
      </c>
      <c r="C5724" t="s">
        <v>41</v>
      </c>
      <c r="D5724" t="s">
        <v>17</v>
      </c>
      <c r="E5724" t="s">
        <v>12</v>
      </c>
      <c r="F5724">
        <v>69658194</v>
      </c>
      <c r="G5724">
        <v>69658270</v>
      </c>
      <c r="H5724">
        <v>69658480</v>
      </c>
      <c r="I5724">
        <v>69658562</v>
      </c>
    </row>
    <row r="5725" spans="1:9" x14ac:dyDescent="0.2">
      <c r="A5725" s="1" t="str">
        <f>"EXD3"</f>
        <v>EXD3</v>
      </c>
      <c r="B5725" t="s">
        <v>14</v>
      </c>
      <c r="C5725" t="s">
        <v>24</v>
      </c>
      <c r="D5725" t="s">
        <v>11</v>
      </c>
      <c r="E5725" t="s">
        <v>12</v>
      </c>
      <c r="F5725">
        <v>140317605</v>
      </c>
      <c r="G5725">
        <v>140317663</v>
      </c>
      <c r="H5725">
        <v>140317676</v>
      </c>
      <c r="I5725">
        <v>140317689</v>
      </c>
    </row>
    <row r="5726" spans="1:9" x14ac:dyDescent="0.2">
      <c r="A5726" s="1" t="str">
        <f>"EXO1"</f>
        <v>EXO1</v>
      </c>
      <c r="B5726" t="s">
        <v>14</v>
      </c>
      <c r="C5726" t="s">
        <v>19</v>
      </c>
      <c r="D5726" t="s">
        <v>17</v>
      </c>
      <c r="E5726" t="s">
        <v>12</v>
      </c>
      <c r="F5726">
        <v>242011485</v>
      </c>
      <c r="G5726">
        <v>242011542</v>
      </c>
      <c r="H5726">
        <v>242011468</v>
      </c>
      <c r="I5726">
        <v>242011480</v>
      </c>
    </row>
    <row r="5727" spans="1:9" x14ac:dyDescent="0.2">
      <c r="A5727" s="1" t="str">
        <f>"EXO5"</f>
        <v>EXO5</v>
      </c>
      <c r="B5727" t="s">
        <v>14</v>
      </c>
      <c r="C5727" t="s">
        <v>19</v>
      </c>
      <c r="D5727" t="s">
        <v>17</v>
      </c>
      <c r="E5727" t="s">
        <v>12</v>
      </c>
      <c r="F5727">
        <v>40974431</v>
      </c>
      <c r="G5727">
        <v>40974446</v>
      </c>
      <c r="H5727">
        <v>40974395</v>
      </c>
      <c r="I5727">
        <v>40974430</v>
      </c>
    </row>
    <row r="5728" spans="1:9" x14ac:dyDescent="0.2">
      <c r="A5728" s="1" t="str">
        <f>"EXOC1"</f>
        <v>EXOC1</v>
      </c>
      <c r="B5728" t="s">
        <v>14</v>
      </c>
      <c r="C5728" t="s">
        <v>23</v>
      </c>
      <c r="D5728" t="s">
        <v>17</v>
      </c>
      <c r="E5728" t="s">
        <v>12</v>
      </c>
      <c r="F5728">
        <v>56719805</v>
      </c>
      <c r="G5728">
        <v>56719963</v>
      </c>
      <c r="H5728">
        <v>56719805</v>
      </c>
      <c r="I5728">
        <v>56719963</v>
      </c>
    </row>
    <row r="5729" spans="1:9" x14ac:dyDescent="0.2">
      <c r="A5729" s="1" t="str">
        <f>"EXOC2"</f>
        <v>EXOC2</v>
      </c>
      <c r="B5729" t="s">
        <v>14</v>
      </c>
      <c r="C5729" t="s">
        <v>32</v>
      </c>
      <c r="D5729" t="s">
        <v>11</v>
      </c>
      <c r="E5729" t="s">
        <v>12</v>
      </c>
      <c r="F5729">
        <v>693074</v>
      </c>
      <c r="G5729">
        <v>693150</v>
      </c>
      <c r="H5729">
        <v>693050</v>
      </c>
      <c r="I5729">
        <v>693060</v>
      </c>
    </row>
    <row r="5730" spans="1:9" x14ac:dyDescent="0.2">
      <c r="A5730" s="1" t="str">
        <f>"EXOC3"</f>
        <v>EXOC3</v>
      </c>
      <c r="B5730" t="s">
        <v>14</v>
      </c>
      <c r="C5730" t="s">
        <v>46</v>
      </c>
      <c r="D5730" t="s">
        <v>17</v>
      </c>
      <c r="E5730" t="s">
        <v>12</v>
      </c>
      <c r="F5730">
        <v>443280</v>
      </c>
      <c r="G5730">
        <v>443314</v>
      </c>
      <c r="H5730">
        <v>443268</v>
      </c>
      <c r="I5730">
        <v>443278</v>
      </c>
    </row>
    <row r="5731" spans="1:9" x14ac:dyDescent="0.2">
      <c r="A5731" s="1" t="str">
        <f>"EXOC3L1"</f>
        <v>EXOC3L1</v>
      </c>
      <c r="B5731" t="s">
        <v>14</v>
      </c>
      <c r="C5731" t="s">
        <v>31</v>
      </c>
      <c r="D5731" t="s">
        <v>11</v>
      </c>
      <c r="E5731" t="s">
        <v>12</v>
      </c>
      <c r="F5731">
        <v>67224002</v>
      </c>
      <c r="G5731">
        <v>67224047</v>
      </c>
      <c r="H5731">
        <v>67224100</v>
      </c>
      <c r="I5731">
        <v>67224108</v>
      </c>
    </row>
    <row r="5732" spans="1:9" x14ac:dyDescent="0.2">
      <c r="A5732" s="1" t="str">
        <f>"EXOC3L2"</f>
        <v>EXOC3L2</v>
      </c>
      <c r="B5732" t="s">
        <v>9</v>
      </c>
      <c r="C5732" t="s">
        <v>10</v>
      </c>
      <c r="D5732" t="s">
        <v>11</v>
      </c>
      <c r="E5732" t="s">
        <v>12</v>
      </c>
      <c r="F5732">
        <v>45735139</v>
      </c>
      <c r="G5732">
        <v>45735159</v>
      </c>
      <c r="H5732">
        <v>45735139</v>
      </c>
      <c r="I5732">
        <v>45735159</v>
      </c>
    </row>
    <row r="5733" spans="1:9" x14ac:dyDescent="0.2">
      <c r="A5733" s="1" t="str">
        <f>"EXOC3L2"</f>
        <v>EXOC3L2</v>
      </c>
      <c r="B5733" t="s">
        <v>13</v>
      </c>
      <c r="C5733" t="s">
        <v>10</v>
      </c>
      <c r="D5733" t="s">
        <v>11</v>
      </c>
      <c r="E5733" t="s">
        <v>12</v>
      </c>
      <c r="F5733">
        <v>45721551</v>
      </c>
      <c r="G5733">
        <v>45721575</v>
      </c>
      <c r="H5733">
        <v>45721551</v>
      </c>
      <c r="I5733">
        <v>45721575</v>
      </c>
    </row>
    <row r="5734" spans="1:9" x14ac:dyDescent="0.2">
      <c r="A5734" s="1" t="str">
        <f>"EXOC3L4"</f>
        <v>EXOC3L4</v>
      </c>
      <c r="B5734" t="s">
        <v>14</v>
      </c>
      <c r="C5734" t="s">
        <v>41</v>
      </c>
      <c r="D5734" t="s">
        <v>17</v>
      </c>
      <c r="E5734" t="s">
        <v>12</v>
      </c>
      <c r="F5734">
        <v>103570474</v>
      </c>
      <c r="G5734">
        <v>103570493</v>
      </c>
      <c r="H5734">
        <v>103570474</v>
      </c>
      <c r="I5734">
        <v>103570493</v>
      </c>
    </row>
    <row r="5735" spans="1:9" x14ac:dyDescent="0.2">
      <c r="A5735" s="1" t="str">
        <f>"EXOC4"</f>
        <v>EXOC4</v>
      </c>
      <c r="B5735" t="s">
        <v>14</v>
      </c>
      <c r="C5735" t="s">
        <v>33</v>
      </c>
      <c r="D5735" t="s">
        <v>17</v>
      </c>
      <c r="E5735" t="s">
        <v>12</v>
      </c>
      <c r="F5735">
        <v>132937820</v>
      </c>
      <c r="G5735">
        <v>132937860</v>
      </c>
      <c r="H5735">
        <v>132937820</v>
      </c>
      <c r="I5735">
        <v>132937860</v>
      </c>
    </row>
    <row r="5736" spans="1:9" x14ac:dyDescent="0.2">
      <c r="A5736" s="1" t="str">
        <f>"EXOC5"</f>
        <v>EXOC5</v>
      </c>
      <c r="B5736" t="s">
        <v>14</v>
      </c>
      <c r="C5736" t="s">
        <v>41</v>
      </c>
      <c r="D5736" t="s">
        <v>11</v>
      </c>
      <c r="E5736" t="s">
        <v>12</v>
      </c>
      <c r="F5736">
        <v>57735528</v>
      </c>
      <c r="G5736">
        <v>57735639</v>
      </c>
      <c r="H5736">
        <v>57735254</v>
      </c>
      <c r="I5736">
        <v>57735273</v>
      </c>
    </row>
    <row r="5737" spans="1:9" x14ac:dyDescent="0.2">
      <c r="A5737" s="1" t="str">
        <f>"EXOC6"</f>
        <v>EXOC6</v>
      </c>
      <c r="B5737" t="s">
        <v>14</v>
      </c>
      <c r="C5737" t="s">
        <v>15</v>
      </c>
      <c r="D5737" t="s">
        <v>17</v>
      </c>
      <c r="E5737" t="s">
        <v>12</v>
      </c>
      <c r="F5737">
        <v>94608245</v>
      </c>
      <c r="G5737">
        <v>94608292</v>
      </c>
      <c r="H5737">
        <v>94608218</v>
      </c>
      <c r="I5737">
        <v>94608241</v>
      </c>
    </row>
    <row r="5738" spans="1:9" x14ac:dyDescent="0.2">
      <c r="A5738" s="1" t="str">
        <f>"EXOC6B"</f>
        <v>EXOC6B</v>
      </c>
      <c r="B5738" t="s">
        <v>14</v>
      </c>
      <c r="C5738" t="s">
        <v>26</v>
      </c>
      <c r="D5738" t="s">
        <v>11</v>
      </c>
      <c r="E5738" t="s">
        <v>12</v>
      </c>
      <c r="F5738">
        <v>73053126</v>
      </c>
      <c r="G5738">
        <v>73053184</v>
      </c>
      <c r="H5738">
        <v>73053111</v>
      </c>
      <c r="I5738">
        <v>73053125</v>
      </c>
    </row>
    <row r="5739" spans="1:9" x14ac:dyDescent="0.2">
      <c r="A5739" s="1" t="str">
        <f>"EXOC7"</f>
        <v>EXOC7</v>
      </c>
      <c r="B5739" t="s">
        <v>14</v>
      </c>
      <c r="C5739" t="s">
        <v>28</v>
      </c>
      <c r="D5739" t="s">
        <v>11</v>
      </c>
      <c r="E5739" t="s">
        <v>12</v>
      </c>
      <c r="F5739">
        <v>74099795</v>
      </c>
      <c r="G5739">
        <v>74099875</v>
      </c>
      <c r="H5739">
        <v>74099772</v>
      </c>
      <c r="I5739">
        <v>74099788</v>
      </c>
    </row>
    <row r="5740" spans="1:9" x14ac:dyDescent="0.2">
      <c r="A5740" s="1" t="str">
        <f>"EXOC8"</f>
        <v>EXOC8</v>
      </c>
      <c r="B5740" t="s">
        <v>14</v>
      </c>
      <c r="C5740" t="s">
        <v>19</v>
      </c>
      <c r="D5740" t="s">
        <v>11</v>
      </c>
      <c r="E5740" t="s">
        <v>12</v>
      </c>
      <c r="F5740">
        <v>231473578</v>
      </c>
      <c r="G5740">
        <v>231473619</v>
      </c>
      <c r="H5740">
        <v>231473624</v>
      </c>
      <c r="I5740">
        <v>231473639</v>
      </c>
    </row>
    <row r="5741" spans="1:9" x14ac:dyDescent="0.2">
      <c r="A5741" s="1" t="str">
        <f>"EXOG"</f>
        <v>EXOG</v>
      </c>
      <c r="B5741" t="s">
        <v>14</v>
      </c>
      <c r="C5741" t="s">
        <v>22</v>
      </c>
      <c r="D5741" t="s">
        <v>17</v>
      </c>
      <c r="E5741" t="s">
        <v>12</v>
      </c>
      <c r="F5741">
        <v>38537821</v>
      </c>
      <c r="G5741">
        <v>38537858</v>
      </c>
      <c r="H5741">
        <v>38537960</v>
      </c>
      <c r="I5741">
        <v>38537989</v>
      </c>
    </row>
    <row r="5742" spans="1:9" x14ac:dyDescent="0.2">
      <c r="A5742" s="1" t="str">
        <f>"EXOSC1"</f>
        <v>EXOSC1</v>
      </c>
      <c r="B5742" t="s">
        <v>14</v>
      </c>
      <c r="C5742" t="s">
        <v>15</v>
      </c>
      <c r="D5742" t="s">
        <v>11</v>
      </c>
      <c r="E5742" t="s">
        <v>12</v>
      </c>
      <c r="F5742">
        <v>99205740</v>
      </c>
      <c r="G5742">
        <v>99205779</v>
      </c>
      <c r="H5742">
        <v>99205530</v>
      </c>
      <c r="I5742">
        <v>99205578</v>
      </c>
    </row>
    <row r="5743" spans="1:9" x14ac:dyDescent="0.2">
      <c r="A5743" s="1" t="str">
        <f>"EXOSC10"</f>
        <v>EXOSC10</v>
      </c>
      <c r="B5743" t="s">
        <v>14</v>
      </c>
      <c r="C5743" t="s">
        <v>19</v>
      </c>
      <c r="D5743" t="s">
        <v>11</v>
      </c>
      <c r="E5743" t="s">
        <v>12</v>
      </c>
      <c r="F5743">
        <v>11159887</v>
      </c>
      <c r="G5743">
        <v>11159935</v>
      </c>
      <c r="H5743">
        <v>11159887</v>
      </c>
      <c r="I5743">
        <v>11159935</v>
      </c>
    </row>
    <row r="5744" spans="1:9" x14ac:dyDescent="0.2">
      <c r="A5744" s="1" t="str">
        <f>"EXOSC2"</f>
        <v>EXOSC2</v>
      </c>
      <c r="B5744" t="s">
        <v>14</v>
      </c>
      <c r="C5744" t="s">
        <v>24</v>
      </c>
      <c r="D5744" t="s">
        <v>17</v>
      </c>
      <c r="E5744" t="s">
        <v>12</v>
      </c>
      <c r="F5744">
        <v>133569143</v>
      </c>
      <c r="G5744">
        <v>133569176</v>
      </c>
      <c r="H5744">
        <v>133569264</v>
      </c>
      <c r="I5744">
        <v>133569270</v>
      </c>
    </row>
    <row r="5745" spans="1:9" x14ac:dyDescent="0.2">
      <c r="A5745" s="1" t="str">
        <f>"EXOSC3"</f>
        <v>EXOSC3</v>
      </c>
      <c r="B5745" t="s">
        <v>14</v>
      </c>
      <c r="C5745" t="s">
        <v>24</v>
      </c>
      <c r="D5745" t="s">
        <v>11</v>
      </c>
      <c r="E5745" t="s">
        <v>12</v>
      </c>
      <c r="F5745">
        <v>37785037</v>
      </c>
      <c r="G5745">
        <v>37785079</v>
      </c>
      <c r="H5745">
        <v>37785017</v>
      </c>
      <c r="I5745">
        <v>37785032</v>
      </c>
    </row>
    <row r="5746" spans="1:9" x14ac:dyDescent="0.2">
      <c r="A5746" s="1" t="str">
        <f>"EXOSC4"</f>
        <v>EXOSC4</v>
      </c>
      <c r="B5746" t="s">
        <v>14</v>
      </c>
      <c r="C5746" t="s">
        <v>30</v>
      </c>
      <c r="D5746" t="s">
        <v>17</v>
      </c>
      <c r="E5746" t="s">
        <v>12</v>
      </c>
      <c r="F5746">
        <v>145133564</v>
      </c>
      <c r="G5746">
        <v>145133613</v>
      </c>
      <c r="H5746">
        <v>145133493</v>
      </c>
      <c r="I5746">
        <v>145133550</v>
      </c>
    </row>
    <row r="5747" spans="1:9" x14ac:dyDescent="0.2">
      <c r="A5747" s="1" t="str">
        <f>"EXOSC5"</f>
        <v>EXOSC5</v>
      </c>
      <c r="B5747" t="s">
        <v>14</v>
      </c>
      <c r="C5747" t="s">
        <v>10</v>
      </c>
      <c r="D5747" t="s">
        <v>11</v>
      </c>
      <c r="E5747" t="s">
        <v>12</v>
      </c>
      <c r="F5747">
        <v>41903234</v>
      </c>
      <c r="G5747">
        <v>41903303</v>
      </c>
      <c r="H5747">
        <v>41903307</v>
      </c>
      <c r="I5747">
        <v>41903309</v>
      </c>
    </row>
    <row r="5748" spans="1:9" x14ac:dyDescent="0.2">
      <c r="A5748" s="1" t="str">
        <f>"EXOSC6"</f>
        <v>EXOSC6</v>
      </c>
      <c r="B5748" t="s">
        <v>14</v>
      </c>
      <c r="C5748" t="s">
        <v>31</v>
      </c>
      <c r="D5748" t="s">
        <v>11</v>
      </c>
      <c r="E5748" t="s">
        <v>12</v>
      </c>
      <c r="F5748">
        <v>70285797</v>
      </c>
      <c r="G5748">
        <v>70285882</v>
      </c>
      <c r="H5748">
        <v>70285763</v>
      </c>
      <c r="I5748">
        <v>70285775</v>
      </c>
    </row>
    <row r="5749" spans="1:9" x14ac:dyDescent="0.2">
      <c r="A5749" s="1" t="str">
        <f>"EXOSC7"</f>
        <v>EXOSC7</v>
      </c>
      <c r="B5749" t="s">
        <v>14</v>
      </c>
      <c r="C5749" t="s">
        <v>22</v>
      </c>
      <c r="D5749" t="s">
        <v>17</v>
      </c>
      <c r="E5749" t="s">
        <v>12</v>
      </c>
      <c r="F5749">
        <v>45017728</v>
      </c>
      <c r="G5749">
        <v>45017772</v>
      </c>
      <c r="H5749">
        <v>45017728</v>
      </c>
      <c r="I5749">
        <v>45017772</v>
      </c>
    </row>
    <row r="5750" spans="1:9" x14ac:dyDescent="0.2">
      <c r="A5750" s="1" t="str">
        <f>"EXOSC8"</f>
        <v>EXOSC8</v>
      </c>
      <c r="B5750" t="s">
        <v>14</v>
      </c>
      <c r="C5750" t="s">
        <v>39</v>
      </c>
      <c r="D5750" t="s">
        <v>17</v>
      </c>
      <c r="E5750" t="s">
        <v>12</v>
      </c>
      <c r="F5750">
        <v>37574911</v>
      </c>
      <c r="G5750">
        <v>37574937</v>
      </c>
      <c r="H5750">
        <v>37574499</v>
      </c>
      <c r="I5750">
        <v>37574523</v>
      </c>
    </row>
    <row r="5751" spans="1:9" x14ac:dyDescent="0.2">
      <c r="A5751" s="1" t="str">
        <f>"EXOSC9"</f>
        <v>EXOSC9</v>
      </c>
      <c r="B5751" t="s">
        <v>14</v>
      </c>
      <c r="C5751" t="s">
        <v>23</v>
      </c>
      <c r="D5751" t="s">
        <v>17</v>
      </c>
      <c r="E5751" t="s">
        <v>12</v>
      </c>
      <c r="F5751">
        <v>122722466</v>
      </c>
      <c r="G5751">
        <v>122722556</v>
      </c>
      <c r="H5751">
        <v>122722558</v>
      </c>
      <c r="I5751">
        <v>122722567</v>
      </c>
    </row>
    <row r="5752" spans="1:9" x14ac:dyDescent="0.2">
      <c r="A5752" s="1" t="str">
        <f>"EXPH5"</f>
        <v>EXPH5</v>
      </c>
      <c r="B5752" t="s">
        <v>14</v>
      </c>
      <c r="C5752" t="s">
        <v>27</v>
      </c>
      <c r="D5752" t="s">
        <v>11</v>
      </c>
      <c r="E5752" t="s">
        <v>12</v>
      </c>
      <c r="F5752">
        <v>108464321</v>
      </c>
      <c r="G5752">
        <v>108464380</v>
      </c>
      <c r="H5752">
        <v>108464469</v>
      </c>
      <c r="I5752">
        <v>108464507</v>
      </c>
    </row>
    <row r="5753" spans="1:9" x14ac:dyDescent="0.2">
      <c r="A5753" s="1" t="str">
        <f>"EXT1"</f>
        <v>EXT1</v>
      </c>
      <c r="B5753" t="s">
        <v>14</v>
      </c>
      <c r="C5753" t="s">
        <v>30</v>
      </c>
      <c r="D5753" t="s">
        <v>11</v>
      </c>
      <c r="E5753" t="s">
        <v>12</v>
      </c>
      <c r="F5753">
        <v>119124045</v>
      </c>
      <c r="G5753">
        <v>119124097</v>
      </c>
      <c r="H5753">
        <v>119124108</v>
      </c>
      <c r="I5753">
        <v>119124138</v>
      </c>
    </row>
    <row r="5754" spans="1:9" x14ac:dyDescent="0.2">
      <c r="A5754" s="1" t="str">
        <f>"EXT2"</f>
        <v>EXT2</v>
      </c>
      <c r="B5754" t="s">
        <v>14</v>
      </c>
      <c r="C5754" t="s">
        <v>27</v>
      </c>
      <c r="D5754" t="s">
        <v>17</v>
      </c>
      <c r="E5754" t="s">
        <v>12</v>
      </c>
      <c r="F5754">
        <v>44117219</v>
      </c>
      <c r="G5754">
        <v>44117240</v>
      </c>
      <c r="H5754">
        <v>44117206</v>
      </c>
      <c r="I5754">
        <v>44117218</v>
      </c>
    </row>
    <row r="5755" spans="1:9" x14ac:dyDescent="0.2">
      <c r="A5755" s="1" t="str">
        <f>"EXTL1"</f>
        <v>EXTL1</v>
      </c>
      <c r="B5755" t="s">
        <v>14</v>
      </c>
      <c r="C5755" t="s">
        <v>19</v>
      </c>
      <c r="D5755" t="s">
        <v>17</v>
      </c>
      <c r="E5755" t="s">
        <v>12</v>
      </c>
      <c r="F5755">
        <v>26348259</v>
      </c>
      <c r="G5755">
        <v>26348276</v>
      </c>
      <c r="H5755">
        <v>26348339</v>
      </c>
      <c r="I5755">
        <v>26348348</v>
      </c>
    </row>
    <row r="5756" spans="1:9" x14ac:dyDescent="0.2">
      <c r="A5756" s="1" t="str">
        <f>"EXTL2"</f>
        <v>EXTL2</v>
      </c>
      <c r="B5756" t="s">
        <v>14</v>
      </c>
      <c r="C5756" t="s">
        <v>19</v>
      </c>
      <c r="D5756" t="s">
        <v>11</v>
      </c>
      <c r="E5756" t="s">
        <v>12</v>
      </c>
      <c r="F5756">
        <v>101360374</v>
      </c>
      <c r="G5756">
        <v>101360419</v>
      </c>
      <c r="H5756">
        <v>101360331</v>
      </c>
      <c r="I5756">
        <v>101360373</v>
      </c>
    </row>
    <row r="5757" spans="1:9" x14ac:dyDescent="0.2">
      <c r="A5757" s="1" t="str">
        <f>"EXTL3"</f>
        <v>EXTL3</v>
      </c>
      <c r="B5757" t="s">
        <v>14</v>
      </c>
      <c r="C5757" t="s">
        <v>30</v>
      </c>
      <c r="D5757" t="s">
        <v>17</v>
      </c>
      <c r="E5757" t="s">
        <v>12</v>
      </c>
      <c r="F5757">
        <v>28559004</v>
      </c>
      <c r="G5757">
        <v>28559039</v>
      </c>
      <c r="H5757">
        <v>28559094</v>
      </c>
      <c r="I5757">
        <v>28559146</v>
      </c>
    </row>
    <row r="5758" spans="1:9" x14ac:dyDescent="0.2">
      <c r="A5758" s="1" t="str">
        <f>"EYA1"</f>
        <v>EYA1</v>
      </c>
      <c r="B5758" t="s">
        <v>9</v>
      </c>
      <c r="C5758" t="s">
        <v>30</v>
      </c>
      <c r="D5758" t="s">
        <v>11</v>
      </c>
      <c r="E5758" t="s">
        <v>12</v>
      </c>
      <c r="F5758">
        <v>72268889</v>
      </c>
      <c r="G5758">
        <v>72268955</v>
      </c>
      <c r="H5758">
        <v>72268889</v>
      </c>
      <c r="I5758">
        <v>72268955</v>
      </c>
    </row>
    <row r="5759" spans="1:9" x14ac:dyDescent="0.2">
      <c r="A5759" s="1" t="str">
        <f>"EYA1"</f>
        <v>EYA1</v>
      </c>
      <c r="B5759" t="s">
        <v>13</v>
      </c>
      <c r="C5759" t="s">
        <v>30</v>
      </c>
      <c r="D5759" t="s">
        <v>11</v>
      </c>
      <c r="E5759" t="s">
        <v>12</v>
      </c>
      <c r="F5759">
        <v>72274290</v>
      </c>
      <c r="G5759">
        <v>72274320</v>
      </c>
      <c r="H5759">
        <v>72274290</v>
      </c>
      <c r="I5759">
        <v>72274320</v>
      </c>
    </row>
    <row r="5760" spans="1:9" x14ac:dyDescent="0.2">
      <c r="A5760" s="1" t="str">
        <f>"EYA2"</f>
        <v>EYA2</v>
      </c>
      <c r="B5760" t="s">
        <v>14</v>
      </c>
      <c r="C5760" t="s">
        <v>29</v>
      </c>
      <c r="D5760" t="s">
        <v>17</v>
      </c>
      <c r="E5760" t="s">
        <v>12</v>
      </c>
      <c r="F5760">
        <v>45523463</v>
      </c>
      <c r="G5760">
        <v>45523535</v>
      </c>
      <c r="H5760">
        <v>45523227</v>
      </c>
      <c r="I5760">
        <v>45523293</v>
      </c>
    </row>
    <row r="5761" spans="1:9" x14ac:dyDescent="0.2">
      <c r="A5761" s="1" t="str">
        <f>"EYA3"</f>
        <v>EYA3</v>
      </c>
      <c r="B5761" t="s">
        <v>14</v>
      </c>
      <c r="C5761" t="s">
        <v>19</v>
      </c>
      <c r="D5761" t="s">
        <v>11</v>
      </c>
      <c r="E5761" t="s">
        <v>12</v>
      </c>
      <c r="F5761">
        <v>28415078</v>
      </c>
      <c r="G5761">
        <v>28415165</v>
      </c>
      <c r="H5761">
        <v>28415204</v>
      </c>
      <c r="I5761">
        <v>28415227</v>
      </c>
    </row>
    <row r="5762" spans="1:9" x14ac:dyDescent="0.2">
      <c r="A5762" s="1" t="str">
        <f>"EYA4"</f>
        <v>EYA4</v>
      </c>
      <c r="B5762" t="s">
        <v>14</v>
      </c>
      <c r="C5762" t="s">
        <v>32</v>
      </c>
      <c r="D5762" t="s">
        <v>17</v>
      </c>
      <c r="E5762" t="s">
        <v>12</v>
      </c>
      <c r="F5762">
        <v>133562472</v>
      </c>
      <c r="G5762">
        <v>133562530</v>
      </c>
      <c r="H5762">
        <v>133562424</v>
      </c>
      <c r="I5762">
        <v>133562450</v>
      </c>
    </row>
    <row r="5763" spans="1:9" x14ac:dyDescent="0.2">
      <c r="A5763" s="1" t="str">
        <f>"EYS"</f>
        <v>EYS</v>
      </c>
      <c r="B5763" t="s">
        <v>14</v>
      </c>
      <c r="C5763" t="s">
        <v>32</v>
      </c>
      <c r="D5763" t="s">
        <v>11</v>
      </c>
      <c r="E5763" t="s">
        <v>12</v>
      </c>
      <c r="F5763">
        <v>66417056</v>
      </c>
      <c r="G5763">
        <v>66417092</v>
      </c>
      <c r="H5763">
        <v>66417112</v>
      </c>
      <c r="I5763">
        <v>66417125</v>
      </c>
    </row>
    <row r="5764" spans="1:9" x14ac:dyDescent="0.2">
      <c r="A5764" s="1" t="str">
        <f>"EZH1"</f>
        <v>EZH1</v>
      </c>
      <c r="B5764" t="s">
        <v>14</v>
      </c>
      <c r="C5764" t="s">
        <v>28</v>
      </c>
      <c r="D5764" t="s">
        <v>11</v>
      </c>
      <c r="E5764" t="s">
        <v>12</v>
      </c>
      <c r="F5764">
        <v>40897043</v>
      </c>
      <c r="G5764">
        <v>40897087</v>
      </c>
      <c r="H5764">
        <v>40897043</v>
      </c>
      <c r="I5764">
        <v>40897087</v>
      </c>
    </row>
    <row r="5765" spans="1:9" x14ac:dyDescent="0.2">
      <c r="A5765" s="1" t="str">
        <f>"EZH2"</f>
        <v>EZH2</v>
      </c>
      <c r="B5765" t="s">
        <v>14</v>
      </c>
      <c r="C5765" t="s">
        <v>33</v>
      </c>
      <c r="D5765" t="s">
        <v>11</v>
      </c>
      <c r="E5765" t="s">
        <v>12</v>
      </c>
      <c r="F5765">
        <v>148581360</v>
      </c>
      <c r="G5765">
        <v>148581425</v>
      </c>
      <c r="H5765">
        <v>148581327</v>
      </c>
      <c r="I5765">
        <v>148581347</v>
      </c>
    </row>
    <row r="5766" spans="1:9" x14ac:dyDescent="0.2">
      <c r="A5766" s="1" t="str">
        <f>"EZR"</f>
        <v>EZR</v>
      </c>
      <c r="B5766" t="s">
        <v>9</v>
      </c>
      <c r="C5766" t="s">
        <v>32</v>
      </c>
      <c r="D5766" t="s">
        <v>11</v>
      </c>
      <c r="E5766" t="s">
        <v>12</v>
      </c>
      <c r="F5766">
        <v>159240387</v>
      </c>
      <c r="G5766">
        <v>159240414</v>
      </c>
      <c r="H5766">
        <v>159240387</v>
      </c>
      <c r="I5766">
        <v>159240414</v>
      </c>
    </row>
    <row r="5767" spans="1:9" x14ac:dyDescent="0.2">
      <c r="A5767" s="1" t="str">
        <f>"EZR"</f>
        <v>EZR</v>
      </c>
      <c r="B5767" t="s">
        <v>13</v>
      </c>
      <c r="C5767" t="s">
        <v>32</v>
      </c>
      <c r="D5767" t="s">
        <v>11</v>
      </c>
      <c r="E5767" t="s">
        <v>12</v>
      </c>
      <c r="F5767">
        <v>159239257</v>
      </c>
      <c r="G5767">
        <v>159239274</v>
      </c>
      <c r="H5767">
        <v>159239257</v>
      </c>
      <c r="I5767">
        <v>159239274</v>
      </c>
    </row>
    <row r="5768" spans="1:9" x14ac:dyDescent="0.2">
      <c r="A5768" s="1" t="str">
        <f>"F10"</f>
        <v>F10</v>
      </c>
      <c r="B5768" t="s">
        <v>14</v>
      </c>
      <c r="C5768" t="s">
        <v>39</v>
      </c>
      <c r="D5768" t="s">
        <v>17</v>
      </c>
      <c r="E5768" t="s">
        <v>12</v>
      </c>
      <c r="F5768">
        <v>113777105</v>
      </c>
      <c r="G5768">
        <v>113777170</v>
      </c>
      <c r="H5768">
        <v>113777082</v>
      </c>
      <c r="I5768">
        <v>113777087</v>
      </c>
    </row>
    <row r="5769" spans="1:9" x14ac:dyDescent="0.2">
      <c r="A5769" s="1" t="str">
        <f>"F11"</f>
        <v>F11</v>
      </c>
      <c r="B5769" t="s">
        <v>14</v>
      </c>
      <c r="C5769" t="s">
        <v>23</v>
      </c>
      <c r="D5769" t="s">
        <v>17</v>
      </c>
      <c r="E5769" t="s">
        <v>12</v>
      </c>
      <c r="F5769">
        <v>187187337</v>
      </c>
      <c r="G5769">
        <v>187187369</v>
      </c>
      <c r="H5769">
        <v>187187098</v>
      </c>
      <c r="I5769">
        <v>187187127</v>
      </c>
    </row>
    <row r="5770" spans="1:9" x14ac:dyDescent="0.2">
      <c r="A5770" s="1" t="str">
        <f>"F11R"</f>
        <v>F11R</v>
      </c>
      <c r="B5770" t="s">
        <v>9</v>
      </c>
      <c r="C5770" t="s">
        <v>19</v>
      </c>
      <c r="D5770" t="s">
        <v>11</v>
      </c>
      <c r="E5770" t="s">
        <v>12</v>
      </c>
      <c r="F5770">
        <v>160990922</v>
      </c>
      <c r="G5770">
        <v>160990949</v>
      </c>
      <c r="H5770">
        <v>160990922</v>
      </c>
      <c r="I5770">
        <v>160990949</v>
      </c>
    </row>
    <row r="5771" spans="1:9" x14ac:dyDescent="0.2">
      <c r="A5771" s="1" t="str">
        <f>"F11R"</f>
        <v>F11R</v>
      </c>
      <c r="B5771" t="s">
        <v>13</v>
      </c>
      <c r="C5771" t="s">
        <v>19</v>
      </c>
      <c r="D5771" t="s">
        <v>11</v>
      </c>
      <c r="E5771" t="s">
        <v>12</v>
      </c>
      <c r="F5771">
        <v>161008697</v>
      </c>
      <c r="G5771">
        <v>161008793</v>
      </c>
      <c r="H5771">
        <v>161008697</v>
      </c>
      <c r="I5771">
        <v>161008793</v>
      </c>
    </row>
    <row r="5772" spans="1:9" x14ac:dyDescent="0.2">
      <c r="A5772" s="1" t="str">
        <f>"F12"</f>
        <v>F12</v>
      </c>
      <c r="B5772" t="s">
        <v>9</v>
      </c>
      <c r="C5772" t="s">
        <v>46</v>
      </c>
      <c r="D5772" t="s">
        <v>11</v>
      </c>
      <c r="E5772" t="s">
        <v>12</v>
      </c>
      <c r="F5772">
        <v>176836529</v>
      </c>
      <c r="G5772">
        <v>176836573</v>
      </c>
      <c r="H5772">
        <v>176836529</v>
      </c>
      <c r="I5772">
        <v>176836573</v>
      </c>
    </row>
    <row r="5773" spans="1:9" x14ac:dyDescent="0.2">
      <c r="A5773" s="1" t="str">
        <f>"F12"</f>
        <v>F12</v>
      </c>
      <c r="B5773" t="s">
        <v>13</v>
      </c>
      <c r="C5773" t="s">
        <v>46</v>
      </c>
      <c r="D5773" t="s">
        <v>11</v>
      </c>
      <c r="E5773" t="s">
        <v>12</v>
      </c>
      <c r="F5773">
        <v>176831490</v>
      </c>
      <c r="G5773">
        <v>176831528</v>
      </c>
      <c r="H5773">
        <v>176831490</v>
      </c>
      <c r="I5773">
        <v>176831528</v>
      </c>
    </row>
    <row r="5774" spans="1:9" x14ac:dyDescent="0.2">
      <c r="A5774" s="1" t="str">
        <f>"F13A1"</f>
        <v>F13A1</v>
      </c>
      <c r="B5774" t="s">
        <v>14</v>
      </c>
      <c r="C5774" t="s">
        <v>32</v>
      </c>
      <c r="D5774" t="s">
        <v>11</v>
      </c>
      <c r="E5774" t="s">
        <v>12</v>
      </c>
      <c r="F5774">
        <v>6320887</v>
      </c>
      <c r="G5774">
        <v>6320902</v>
      </c>
      <c r="H5774">
        <v>6320887</v>
      </c>
      <c r="I5774">
        <v>6320902</v>
      </c>
    </row>
    <row r="5775" spans="1:9" x14ac:dyDescent="0.2">
      <c r="A5775" s="1" t="str">
        <f>"F13B"</f>
        <v>F13B</v>
      </c>
      <c r="B5775" t="s">
        <v>14</v>
      </c>
      <c r="C5775" t="s">
        <v>19</v>
      </c>
      <c r="D5775" t="s">
        <v>11</v>
      </c>
      <c r="E5775" t="s">
        <v>12</v>
      </c>
      <c r="F5775">
        <v>197036364</v>
      </c>
      <c r="G5775">
        <v>197036401</v>
      </c>
      <c r="H5775">
        <v>197036364</v>
      </c>
      <c r="I5775">
        <v>197036401</v>
      </c>
    </row>
    <row r="5776" spans="1:9" x14ac:dyDescent="0.2">
      <c r="A5776" s="1" t="str">
        <f>"F2"</f>
        <v>F2</v>
      </c>
      <c r="B5776" t="s">
        <v>14</v>
      </c>
      <c r="C5776" t="s">
        <v>27</v>
      </c>
      <c r="D5776" t="s">
        <v>17</v>
      </c>
      <c r="E5776" t="s">
        <v>12</v>
      </c>
      <c r="F5776">
        <v>46740744</v>
      </c>
      <c r="G5776">
        <v>46740786</v>
      </c>
      <c r="H5776">
        <v>46740744</v>
      </c>
      <c r="I5776">
        <v>46740786</v>
      </c>
    </row>
    <row r="5777" spans="1:9" x14ac:dyDescent="0.2">
      <c r="A5777" s="1" t="str">
        <f>"F2R"</f>
        <v>F2R</v>
      </c>
      <c r="B5777" t="s">
        <v>14</v>
      </c>
      <c r="C5777" t="s">
        <v>46</v>
      </c>
      <c r="D5777" t="s">
        <v>17</v>
      </c>
      <c r="E5777" t="s">
        <v>12</v>
      </c>
      <c r="F5777">
        <v>76011919</v>
      </c>
      <c r="G5777">
        <v>76012005</v>
      </c>
      <c r="H5777">
        <v>76011919</v>
      </c>
      <c r="I5777">
        <v>76012005</v>
      </c>
    </row>
    <row r="5778" spans="1:9" x14ac:dyDescent="0.2">
      <c r="A5778" s="1" t="str">
        <f>"F2RL1"</f>
        <v>F2RL1</v>
      </c>
      <c r="B5778" t="s">
        <v>14</v>
      </c>
      <c r="C5778" t="s">
        <v>46</v>
      </c>
      <c r="D5778" t="s">
        <v>17</v>
      </c>
      <c r="E5778" t="s">
        <v>12</v>
      </c>
      <c r="F5778">
        <v>76114847</v>
      </c>
      <c r="G5778">
        <v>76114867</v>
      </c>
      <c r="H5778">
        <v>76114872</v>
      </c>
      <c r="I5778">
        <v>76114892</v>
      </c>
    </row>
    <row r="5779" spans="1:9" x14ac:dyDescent="0.2">
      <c r="A5779" s="1" t="str">
        <f>"F2RL2"</f>
        <v>F2RL2</v>
      </c>
      <c r="B5779" t="s">
        <v>14</v>
      </c>
      <c r="C5779" t="s">
        <v>46</v>
      </c>
      <c r="D5779" t="s">
        <v>11</v>
      </c>
      <c r="E5779" t="s">
        <v>12</v>
      </c>
      <c r="F5779">
        <v>75919192</v>
      </c>
      <c r="G5779">
        <v>75919215</v>
      </c>
      <c r="H5779">
        <v>75919217</v>
      </c>
      <c r="I5779">
        <v>75919250</v>
      </c>
    </row>
    <row r="5780" spans="1:9" x14ac:dyDescent="0.2">
      <c r="A5780" s="1" t="str">
        <f>"F2RL3"</f>
        <v>F2RL3</v>
      </c>
      <c r="B5780" t="s">
        <v>14</v>
      </c>
      <c r="C5780" t="s">
        <v>10</v>
      </c>
      <c r="D5780" t="s">
        <v>17</v>
      </c>
      <c r="E5780" t="s">
        <v>12</v>
      </c>
      <c r="F5780">
        <v>16999802</v>
      </c>
      <c r="G5780">
        <v>16999844</v>
      </c>
      <c r="H5780">
        <v>16999902</v>
      </c>
      <c r="I5780">
        <v>16999936</v>
      </c>
    </row>
    <row r="5781" spans="1:9" x14ac:dyDescent="0.2">
      <c r="A5781" s="1" t="str">
        <f>"F3"</f>
        <v>F3</v>
      </c>
      <c r="B5781" t="s">
        <v>9</v>
      </c>
      <c r="C5781" t="s">
        <v>19</v>
      </c>
      <c r="D5781" t="s">
        <v>11</v>
      </c>
      <c r="E5781" t="s">
        <v>12</v>
      </c>
      <c r="F5781">
        <v>95007302</v>
      </c>
      <c r="G5781">
        <v>95007322</v>
      </c>
      <c r="H5781">
        <v>95007302</v>
      </c>
      <c r="I5781">
        <v>95007322</v>
      </c>
    </row>
    <row r="5782" spans="1:9" x14ac:dyDescent="0.2">
      <c r="A5782" s="1" t="str">
        <f>"F3"</f>
        <v>F3</v>
      </c>
      <c r="B5782" t="s">
        <v>13</v>
      </c>
      <c r="C5782" t="s">
        <v>19</v>
      </c>
      <c r="D5782" t="s">
        <v>11</v>
      </c>
      <c r="E5782" t="s">
        <v>12</v>
      </c>
      <c r="F5782">
        <v>94997909</v>
      </c>
      <c r="G5782">
        <v>94997940</v>
      </c>
      <c r="H5782">
        <v>94997909</v>
      </c>
      <c r="I5782">
        <v>94997940</v>
      </c>
    </row>
    <row r="5783" spans="1:9" x14ac:dyDescent="0.2">
      <c r="A5783" s="1" t="str">
        <f>"F5"</f>
        <v>F5</v>
      </c>
      <c r="B5783" t="s">
        <v>14</v>
      </c>
      <c r="C5783" t="s">
        <v>19</v>
      </c>
      <c r="D5783" t="s">
        <v>11</v>
      </c>
      <c r="E5783" t="s">
        <v>12</v>
      </c>
      <c r="F5783">
        <v>169555709</v>
      </c>
      <c r="G5783">
        <v>169555730</v>
      </c>
      <c r="H5783">
        <v>169555684</v>
      </c>
      <c r="I5783">
        <v>169555705</v>
      </c>
    </row>
    <row r="5784" spans="1:9" x14ac:dyDescent="0.2">
      <c r="A5784" s="1" t="str">
        <f>"F7"</f>
        <v>F7</v>
      </c>
      <c r="B5784" t="s">
        <v>14</v>
      </c>
      <c r="C5784" t="s">
        <v>39</v>
      </c>
      <c r="D5784" t="s">
        <v>17</v>
      </c>
      <c r="E5784" t="s">
        <v>12</v>
      </c>
      <c r="F5784">
        <v>113760098</v>
      </c>
      <c r="G5784">
        <v>113760110</v>
      </c>
      <c r="H5784">
        <v>113760134</v>
      </c>
      <c r="I5784">
        <v>113760150</v>
      </c>
    </row>
    <row r="5785" spans="1:9" x14ac:dyDescent="0.2">
      <c r="A5785" s="1" t="str">
        <f>"F8"</f>
        <v>F8</v>
      </c>
      <c r="B5785" t="s">
        <v>9</v>
      </c>
      <c r="C5785" t="s">
        <v>37</v>
      </c>
      <c r="D5785" t="s">
        <v>11</v>
      </c>
      <c r="E5785" t="s">
        <v>12</v>
      </c>
      <c r="F5785">
        <v>154250989</v>
      </c>
      <c r="G5785">
        <v>154251004</v>
      </c>
      <c r="H5785">
        <v>154250989</v>
      </c>
      <c r="I5785">
        <v>154251004</v>
      </c>
    </row>
    <row r="5786" spans="1:9" x14ac:dyDescent="0.2">
      <c r="A5786" s="1" t="str">
        <f>"F8"</f>
        <v>F8</v>
      </c>
      <c r="B5786" t="s">
        <v>13</v>
      </c>
      <c r="C5786" t="s">
        <v>37</v>
      </c>
      <c r="D5786" t="s">
        <v>11</v>
      </c>
      <c r="E5786" t="s">
        <v>12</v>
      </c>
      <c r="F5786">
        <v>154255206</v>
      </c>
      <c r="G5786">
        <v>154255230</v>
      </c>
      <c r="H5786">
        <v>154255206</v>
      </c>
      <c r="I5786">
        <v>154255230</v>
      </c>
    </row>
    <row r="5787" spans="1:9" x14ac:dyDescent="0.2">
      <c r="A5787" s="1" t="str">
        <f>"F8A1"</f>
        <v>F8A1</v>
      </c>
      <c r="B5787" t="s">
        <v>14</v>
      </c>
      <c r="C5787" t="s">
        <v>37</v>
      </c>
      <c r="D5787" t="s">
        <v>17</v>
      </c>
      <c r="E5787" t="s">
        <v>12</v>
      </c>
      <c r="F5787">
        <v>154114489</v>
      </c>
      <c r="G5787">
        <v>154114502</v>
      </c>
      <c r="H5787">
        <v>154114489</v>
      </c>
      <c r="I5787">
        <v>154114502</v>
      </c>
    </row>
    <row r="5788" spans="1:9" x14ac:dyDescent="0.2">
      <c r="A5788" s="1" t="str">
        <f>"F8A2"</f>
        <v>F8A2</v>
      </c>
      <c r="B5788" t="s">
        <v>395</v>
      </c>
      <c r="C5788" t="s">
        <v>37</v>
      </c>
      <c r="D5788" t="s">
        <v>17</v>
      </c>
      <c r="E5788" t="s">
        <v>20</v>
      </c>
      <c r="F5788">
        <v>154611748</v>
      </c>
      <c r="G5788">
        <v>154611748</v>
      </c>
      <c r="H5788">
        <v>154611748</v>
      </c>
      <c r="I5788">
        <v>154611748</v>
      </c>
    </row>
    <row r="5789" spans="1:9" x14ac:dyDescent="0.2">
      <c r="A5789" s="1" t="str">
        <f>"F8A3"</f>
        <v>F8A3</v>
      </c>
      <c r="B5789" t="s">
        <v>396</v>
      </c>
      <c r="C5789" t="s">
        <v>37</v>
      </c>
      <c r="D5789" t="s">
        <v>11</v>
      </c>
      <c r="E5789" t="s">
        <v>20</v>
      </c>
      <c r="F5789">
        <v>154688275</v>
      </c>
      <c r="G5789">
        <v>154688275</v>
      </c>
      <c r="H5789">
        <v>154688275</v>
      </c>
      <c r="I5789">
        <v>154688275</v>
      </c>
    </row>
    <row r="5790" spans="1:9" x14ac:dyDescent="0.2">
      <c r="A5790" s="1" t="str">
        <f>"F9"</f>
        <v>F9</v>
      </c>
      <c r="B5790" t="s">
        <v>14</v>
      </c>
      <c r="C5790" t="s">
        <v>37</v>
      </c>
      <c r="D5790" t="s">
        <v>17</v>
      </c>
      <c r="E5790" t="s">
        <v>12</v>
      </c>
      <c r="F5790">
        <v>138612889</v>
      </c>
      <c r="G5790">
        <v>138612935</v>
      </c>
      <c r="H5790">
        <v>138612889</v>
      </c>
      <c r="I5790">
        <v>138612935</v>
      </c>
    </row>
    <row r="5791" spans="1:9" x14ac:dyDescent="0.2">
      <c r="A5791" s="1" t="str">
        <f>"FA2H"</f>
        <v>FA2H</v>
      </c>
      <c r="B5791" t="s">
        <v>14</v>
      </c>
      <c r="C5791" t="s">
        <v>31</v>
      </c>
      <c r="D5791" t="s">
        <v>11</v>
      </c>
      <c r="E5791" t="s">
        <v>12</v>
      </c>
      <c r="F5791">
        <v>74808685</v>
      </c>
      <c r="G5791">
        <v>74808702</v>
      </c>
      <c r="H5791">
        <v>74808710</v>
      </c>
      <c r="I5791">
        <v>74808735</v>
      </c>
    </row>
    <row r="5792" spans="1:9" x14ac:dyDescent="0.2">
      <c r="A5792" s="1" t="str">
        <f>"FAAH"</f>
        <v>FAAH</v>
      </c>
      <c r="B5792" t="s">
        <v>14</v>
      </c>
      <c r="C5792" t="s">
        <v>19</v>
      </c>
      <c r="D5792" t="s">
        <v>17</v>
      </c>
      <c r="E5792" t="s">
        <v>12</v>
      </c>
      <c r="F5792">
        <v>46859957</v>
      </c>
      <c r="G5792">
        <v>46860020</v>
      </c>
      <c r="H5792">
        <v>46859933</v>
      </c>
      <c r="I5792">
        <v>46859941</v>
      </c>
    </row>
    <row r="5793" spans="1:9" x14ac:dyDescent="0.2">
      <c r="A5793" s="1" t="str">
        <f>"FAAH2"</f>
        <v>FAAH2</v>
      </c>
      <c r="B5793" t="s">
        <v>14</v>
      </c>
      <c r="C5793" t="s">
        <v>37</v>
      </c>
      <c r="D5793" t="s">
        <v>17</v>
      </c>
      <c r="E5793" t="s">
        <v>12</v>
      </c>
      <c r="F5793">
        <v>57313281</v>
      </c>
      <c r="G5793">
        <v>57313324</v>
      </c>
      <c r="H5793">
        <v>57313172</v>
      </c>
      <c r="I5793">
        <v>57313203</v>
      </c>
    </row>
    <row r="5794" spans="1:9" x14ac:dyDescent="0.2">
      <c r="A5794" s="1" t="str">
        <f>"FABP1"</f>
        <v>FABP1</v>
      </c>
      <c r="B5794" t="s">
        <v>14</v>
      </c>
      <c r="C5794" t="s">
        <v>26</v>
      </c>
      <c r="D5794" t="s">
        <v>11</v>
      </c>
      <c r="E5794" t="s">
        <v>12</v>
      </c>
      <c r="F5794">
        <v>88427571</v>
      </c>
      <c r="G5794">
        <v>88427590</v>
      </c>
      <c r="H5794">
        <v>88427571</v>
      </c>
      <c r="I5794">
        <v>88427590</v>
      </c>
    </row>
    <row r="5795" spans="1:9" x14ac:dyDescent="0.2">
      <c r="A5795" s="1" t="str">
        <f>"FABP12"</f>
        <v>FABP12</v>
      </c>
      <c r="B5795" t="s">
        <v>397</v>
      </c>
      <c r="C5795" t="s">
        <v>30</v>
      </c>
      <c r="D5795" t="s">
        <v>11</v>
      </c>
      <c r="E5795" t="s">
        <v>20</v>
      </c>
      <c r="F5795">
        <v>82443612</v>
      </c>
      <c r="G5795">
        <v>82443612</v>
      </c>
      <c r="H5795">
        <v>82443612</v>
      </c>
      <c r="I5795">
        <v>82443612</v>
      </c>
    </row>
    <row r="5796" spans="1:9" x14ac:dyDescent="0.2">
      <c r="A5796" s="1" t="str">
        <f>"FABP2"</f>
        <v>FABP2</v>
      </c>
      <c r="B5796" t="s">
        <v>14</v>
      </c>
      <c r="C5796" t="s">
        <v>23</v>
      </c>
      <c r="D5796" t="s">
        <v>11</v>
      </c>
      <c r="E5796" t="s">
        <v>12</v>
      </c>
      <c r="F5796">
        <v>120243283</v>
      </c>
      <c r="G5796">
        <v>120243299</v>
      </c>
      <c r="H5796">
        <v>120243266</v>
      </c>
      <c r="I5796">
        <v>120243277</v>
      </c>
    </row>
    <row r="5797" spans="1:9" x14ac:dyDescent="0.2">
      <c r="A5797" s="1" t="str">
        <f>"FABP3"</f>
        <v>FABP3</v>
      </c>
      <c r="B5797" t="s">
        <v>14</v>
      </c>
      <c r="C5797" t="s">
        <v>19</v>
      </c>
      <c r="D5797" t="s">
        <v>11</v>
      </c>
      <c r="E5797" t="s">
        <v>12</v>
      </c>
      <c r="F5797">
        <v>31845914</v>
      </c>
      <c r="G5797">
        <v>31845931</v>
      </c>
      <c r="H5797">
        <v>31845914</v>
      </c>
      <c r="I5797">
        <v>31845931</v>
      </c>
    </row>
    <row r="5798" spans="1:9" x14ac:dyDescent="0.2">
      <c r="A5798" s="1" t="str">
        <f>"FABP4"</f>
        <v>FABP4</v>
      </c>
      <c r="B5798" t="s">
        <v>14</v>
      </c>
      <c r="C5798" t="s">
        <v>30</v>
      </c>
      <c r="D5798" t="s">
        <v>11</v>
      </c>
      <c r="E5798" t="s">
        <v>12</v>
      </c>
      <c r="F5798">
        <v>82395461</v>
      </c>
      <c r="G5798">
        <v>82395478</v>
      </c>
      <c r="H5798">
        <v>82395461</v>
      </c>
      <c r="I5798">
        <v>82395478</v>
      </c>
    </row>
    <row r="5799" spans="1:9" x14ac:dyDescent="0.2">
      <c r="A5799" s="1" t="str">
        <f>"FABP5"</f>
        <v>FABP5</v>
      </c>
      <c r="B5799" t="s">
        <v>14</v>
      </c>
      <c r="C5799" t="s">
        <v>30</v>
      </c>
      <c r="D5799" t="s">
        <v>17</v>
      </c>
      <c r="E5799" t="s">
        <v>12</v>
      </c>
      <c r="F5799">
        <v>82192762</v>
      </c>
      <c r="G5799">
        <v>82192779</v>
      </c>
      <c r="H5799">
        <v>82192736</v>
      </c>
      <c r="I5799">
        <v>82192747</v>
      </c>
    </row>
    <row r="5800" spans="1:9" x14ac:dyDescent="0.2">
      <c r="A5800" s="1" t="str">
        <f>"FABP6"</f>
        <v>FABP6</v>
      </c>
      <c r="B5800" t="s">
        <v>14</v>
      </c>
      <c r="C5800" t="s">
        <v>46</v>
      </c>
      <c r="D5800" t="s">
        <v>17</v>
      </c>
      <c r="E5800" t="s">
        <v>12</v>
      </c>
      <c r="F5800">
        <v>159640718</v>
      </c>
      <c r="G5800">
        <v>159640772</v>
      </c>
      <c r="H5800">
        <v>159640718</v>
      </c>
      <c r="I5800">
        <v>159640772</v>
      </c>
    </row>
    <row r="5801" spans="1:9" x14ac:dyDescent="0.2">
      <c r="A5801" s="1" t="str">
        <f>"FABP7"</f>
        <v>FABP7</v>
      </c>
      <c r="B5801" t="s">
        <v>14</v>
      </c>
      <c r="C5801" t="s">
        <v>32</v>
      </c>
      <c r="D5801" t="s">
        <v>17</v>
      </c>
      <c r="E5801" t="s">
        <v>12</v>
      </c>
      <c r="F5801">
        <v>123100853</v>
      </c>
      <c r="G5801">
        <v>123100874</v>
      </c>
      <c r="H5801">
        <v>123100738</v>
      </c>
      <c r="I5801">
        <v>123100763</v>
      </c>
    </row>
    <row r="5802" spans="1:9" x14ac:dyDescent="0.2">
      <c r="A5802" s="1" t="str">
        <f>"FABP9"</f>
        <v>FABP9</v>
      </c>
      <c r="B5802" t="s">
        <v>14</v>
      </c>
      <c r="C5802" t="s">
        <v>30</v>
      </c>
      <c r="D5802" t="s">
        <v>11</v>
      </c>
      <c r="E5802" t="s">
        <v>12</v>
      </c>
      <c r="F5802">
        <v>82373809</v>
      </c>
      <c r="G5802">
        <v>82373815</v>
      </c>
      <c r="H5802">
        <v>82373809</v>
      </c>
      <c r="I5802">
        <v>82373815</v>
      </c>
    </row>
    <row r="5803" spans="1:9" x14ac:dyDescent="0.2">
      <c r="A5803" s="1" t="str">
        <f>"FADD"</f>
        <v>FADD</v>
      </c>
      <c r="B5803" t="s">
        <v>14</v>
      </c>
      <c r="C5803" t="s">
        <v>27</v>
      </c>
      <c r="D5803" t="s">
        <v>17</v>
      </c>
      <c r="E5803" t="s">
        <v>12</v>
      </c>
      <c r="F5803">
        <v>70049394</v>
      </c>
      <c r="G5803">
        <v>70049445</v>
      </c>
      <c r="H5803">
        <v>70049448</v>
      </c>
      <c r="I5803">
        <v>70049466</v>
      </c>
    </row>
    <row r="5804" spans="1:9" x14ac:dyDescent="0.2">
      <c r="A5804" s="1" t="str">
        <f>"FADS1"</f>
        <v>FADS1</v>
      </c>
      <c r="B5804" t="s">
        <v>14</v>
      </c>
      <c r="C5804" t="s">
        <v>27</v>
      </c>
      <c r="D5804" t="s">
        <v>11</v>
      </c>
      <c r="E5804" t="s">
        <v>12</v>
      </c>
      <c r="F5804">
        <v>61584319</v>
      </c>
      <c r="G5804">
        <v>61584354</v>
      </c>
      <c r="H5804">
        <v>61584295</v>
      </c>
      <c r="I5804">
        <v>61584313</v>
      </c>
    </row>
    <row r="5805" spans="1:9" x14ac:dyDescent="0.2">
      <c r="A5805" s="1" t="str">
        <f>"FADS2"</f>
        <v>FADS2</v>
      </c>
      <c r="B5805" t="s">
        <v>9</v>
      </c>
      <c r="C5805" t="s">
        <v>27</v>
      </c>
      <c r="D5805" t="s">
        <v>17</v>
      </c>
      <c r="E5805" t="s">
        <v>12</v>
      </c>
      <c r="F5805">
        <v>61595761</v>
      </c>
      <c r="G5805">
        <v>61595780</v>
      </c>
      <c r="H5805">
        <v>61595761</v>
      </c>
      <c r="I5805">
        <v>61595780</v>
      </c>
    </row>
    <row r="5806" spans="1:9" x14ac:dyDescent="0.2">
      <c r="A5806" s="1" t="str">
        <f>"FADS2"</f>
        <v>FADS2</v>
      </c>
      <c r="B5806" t="s">
        <v>13</v>
      </c>
      <c r="C5806" t="s">
        <v>27</v>
      </c>
      <c r="D5806" t="s">
        <v>17</v>
      </c>
      <c r="E5806" t="s">
        <v>12</v>
      </c>
      <c r="F5806">
        <v>61583772</v>
      </c>
      <c r="G5806">
        <v>61583837</v>
      </c>
      <c r="H5806">
        <v>61583772</v>
      </c>
      <c r="I5806">
        <v>61583837</v>
      </c>
    </row>
    <row r="5807" spans="1:9" x14ac:dyDescent="0.2">
      <c r="A5807" s="1" t="str">
        <f>"FADS3"</f>
        <v>FADS3</v>
      </c>
      <c r="B5807" t="s">
        <v>14</v>
      </c>
      <c r="C5807" t="s">
        <v>27</v>
      </c>
      <c r="D5807" t="s">
        <v>11</v>
      </c>
      <c r="E5807" t="s">
        <v>12</v>
      </c>
      <c r="F5807">
        <v>61659006</v>
      </c>
      <c r="G5807">
        <v>61659046</v>
      </c>
      <c r="H5807">
        <v>61658913</v>
      </c>
      <c r="I5807">
        <v>61658932</v>
      </c>
    </row>
    <row r="5808" spans="1:9" x14ac:dyDescent="0.2">
      <c r="A5808" s="1" t="str">
        <f>"FADS6"</f>
        <v>FADS6</v>
      </c>
      <c r="B5808" t="s">
        <v>14</v>
      </c>
      <c r="C5808" t="s">
        <v>28</v>
      </c>
      <c r="D5808" t="s">
        <v>11</v>
      </c>
      <c r="E5808" t="s">
        <v>12</v>
      </c>
      <c r="F5808">
        <v>72889725</v>
      </c>
      <c r="G5808">
        <v>72889766</v>
      </c>
      <c r="H5808">
        <v>72889902</v>
      </c>
      <c r="I5808">
        <v>72889932</v>
      </c>
    </row>
    <row r="5809" spans="1:9" x14ac:dyDescent="0.2">
      <c r="A5809" s="1" t="str">
        <f>"FAF1"</f>
        <v>FAF1</v>
      </c>
      <c r="B5809" t="s">
        <v>14</v>
      </c>
      <c r="C5809" t="s">
        <v>19</v>
      </c>
      <c r="D5809" t="s">
        <v>11</v>
      </c>
      <c r="E5809" t="s">
        <v>12</v>
      </c>
      <c r="F5809">
        <v>51425772</v>
      </c>
      <c r="G5809">
        <v>51425897</v>
      </c>
      <c r="H5809">
        <v>51425902</v>
      </c>
      <c r="I5809">
        <v>51425976</v>
      </c>
    </row>
    <row r="5810" spans="1:9" x14ac:dyDescent="0.2">
      <c r="A5810" s="1" t="str">
        <f>"FAF2"</f>
        <v>FAF2</v>
      </c>
      <c r="B5810" t="s">
        <v>14</v>
      </c>
      <c r="C5810" t="s">
        <v>46</v>
      </c>
      <c r="D5810" t="s">
        <v>17</v>
      </c>
      <c r="E5810" t="s">
        <v>12</v>
      </c>
      <c r="F5810">
        <v>175875366</v>
      </c>
      <c r="G5810">
        <v>175875408</v>
      </c>
      <c r="H5810">
        <v>175875349</v>
      </c>
      <c r="I5810">
        <v>175875361</v>
      </c>
    </row>
    <row r="5811" spans="1:9" x14ac:dyDescent="0.2">
      <c r="A5811" s="1" t="str">
        <f>"FAH"</f>
        <v>FAH</v>
      </c>
      <c r="B5811" t="s">
        <v>14</v>
      </c>
      <c r="C5811" t="s">
        <v>25</v>
      </c>
      <c r="D5811" t="s">
        <v>17</v>
      </c>
      <c r="E5811" t="s">
        <v>12</v>
      </c>
      <c r="F5811">
        <v>80445320</v>
      </c>
      <c r="G5811">
        <v>80445379</v>
      </c>
      <c r="H5811">
        <v>80445113</v>
      </c>
      <c r="I5811">
        <v>80445170</v>
      </c>
    </row>
    <row r="5812" spans="1:9" x14ac:dyDescent="0.2">
      <c r="A5812" s="1" t="str">
        <f>"FAHD1"</f>
        <v>FAHD1</v>
      </c>
      <c r="B5812" t="s">
        <v>14</v>
      </c>
      <c r="C5812" t="s">
        <v>31</v>
      </c>
      <c r="D5812" t="s">
        <v>17</v>
      </c>
      <c r="E5812" t="s">
        <v>12</v>
      </c>
      <c r="F5812">
        <v>1877204</v>
      </c>
      <c r="G5812">
        <v>1877235</v>
      </c>
      <c r="H5812">
        <v>1876936</v>
      </c>
      <c r="I5812">
        <v>1876956</v>
      </c>
    </row>
    <row r="5813" spans="1:9" x14ac:dyDescent="0.2">
      <c r="A5813" s="1" t="str">
        <f>"FAHD2A"</f>
        <v>FAHD2A</v>
      </c>
      <c r="B5813" t="s">
        <v>14</v>
      </c>
      <c r="C5813" t="s">
        <v>26</v>
      </c>
      <c r="D5813" t="s">
        <v>17</v>
      </c>
      <c r="E5813" t="s">
        <v>12</v>
      </c>
      <c r="F5813">
        <v>96068436</v>
      </c>
      <c r="G5813">
        <v>96068518</v>
      </c>
      <c r="H5813">
        <v>96068425</v>
      </c>
      <c r="I5813">
        <v>96068428</v>
      </c>
    </row>
    <row r="5814" spans="1:9" x14ac:dyDescent="0.2">
      <c r="A5814" s="1" t="str">
        <f>"FAHD2B"</f>
        <v>FAHD2B</v>
      </c>
      <c r="B5814" t="s">
        <v>14</v>
      </c>
      <c r="C5814" t="s">
        <v>26</v>
      </c>
      <c r="D5814" t="s">
        <v>11</v>
      </c>
      <c r="E5814" t="s">
        <v>12</v>
      </c>
      <c r="F5814">
        <v>97760616</v>
      </c>
      <c r="G5814">
        <v>97760637</v>
      </c>
      <c r="H5814">
        <v>97760616</v>
      </c>
      <c r="I5814">
        <v>97760637</v>
      </c>
    </row>
    <row r="5815" spans="1:9" x14ac:dyDescent="0.2">
      <c r="A5815" s="1" t="str">
        <f>"FAIM"</f>
        <v>FAIM</v>
      </c>
      <c r="B5815" t="s">
        <v>14</v>
      </c>
      <c r="C5815" t="s">
        <v>22</v>
      </c>
      <c r="D5815" t="s">
        <v>17</v>
      </c>
      <c r="E5815" t="s">
        <v>12</v>
      </c>
      <c r="F5815">
        <v>138327583</v>
      </c>
      <c r="G5815">
        <v>138327647</v>
      </c>
      <c r="H5815">
        <v>138327877</v>
      </c>
      <c r="I5815">
        <v>138327934</v>
      </c>
    </row>
    <row r="5816" spans="1:9" x14ac:dyDescent="0.2">
      <c r="A5816" s="1" t="str">
        <f>"FAIM2"</f>
        <v>FAIM2</v>
      </c>
      <c r="B5816" t="s">
        <v>14</v>
      </c>
      <c r="C5816" t="s">
        <v>16</v>
      </c>
      <c r="D5816" t="s">
        <v>11</v>
      </c>
      <c r="E5816" t="s">
        <v>12</v>
      </c>
      <c r="F5816">
        <v>50297638</v>
      </c>
      <c r="G5816">
        <v>50297691</v>
      </c>
      <c r="H5816">
        <v>50297697</v>
      </c>
      <c r="I5816">
        <v>50297724</v>
      </c>
    </row>
    <row r="5817" spans="1:9" x14ac:dyDescent="0.2">
      <c r="A5817" s="1" t="str">
        <f>"FAIM3"</f>
        <v>FAIM3</v>
      </c>
      <c r="B5817" t="s">
        <v>14</v>
      </c>
      <c r="C5817" t="s">
        <v>19</v>
      </c>
      <c r="D5817" t="s">
        <v>11</v>
      </c>
      <c r="E5817" t="s">
        <v>12</v>
      </c>
      <c r="F5817">
        <v>207095279</v>
      </c>
      <c r="G5817">
        <v>207095310</v>
      </c>
      <c r="H5817">
        <v>207095324</v>
      </c>
      <c r="I5817">
        <v>207095357</v>
      </c>
    </row>
    <row r="5818" spans="1:9" x14ac:dyDescent="0.2">
      <c r="A5818" s="1" t="str">
        <f>"FAM101A"</f>
        <v>FAM101A</v>
      </c>
      <c r="B5818" t="s">
        <v>14</v>
      </c>
      <c r="C5818" t="s">
        <v>16</v>
      </c>
      <c r="D5818" t="s">
        <v>17</v>
      </c>
      <c r="E5818" t="s">
        <v>12</v>
      </c>
      <c r="F5818">
        <v>124779630</v>
      </c>
      <c r="G5818">
        <v>124779647</v>
      </c>
      <c r="H5818">
        <v>124779765</v>
      </c>
      <c r="I5818">
        <v>124779779</v>
      </c>
    </row>
    <row r="5819" spans="1:9" x14ac:dyDescent="0.2">
      <c r="A5819" s="1" t="str">
        <f>"FAM101B"</f>
        <v>FAM101B</v>
      </c>
      <c r="B5819" t="s">
        <v>14</v>
      </c>
      <c r="C5819" t="s">
        <v>28</v>
      </c>
      <c r="D5819" t="s">
        <v>11</v>
      </c>
      <c r="E5819" t="s">
        <v>12</v>
      </c>
      <c r="F5819">
        <v>295647</v>
      </c>
      <c r="G5819">
        <v>295694</v>
      </c>
      <c r="H5819">
        <v>295647</v>
      </c>
      <c r="I5819">
        <v>295694</v>
      </c>
    </row>
    <row r="5820" spans="1:9" x14ac:dyDescent="0.2">
      <c r="A5820" s="1" t="str">
        <f>"FAM102A"</f>
        <v>FAM102A</v>
      </c>
      <c r="B5820" t="s">
        <v>14</v>
      </c>
      <c r="C5820" t="s">
        <v>24</v>
      </c>
      <c r="D5820" t="s">
        <v>11</v>
      </c>
      <c r="E5820" t="s">
        <v>12</v>
      </c>
      <c r="F5820">
        <v>130743256</v>
      </c>
      <c r="G5820">
        <v>130743286</v>
      </c>
      <c r="H5820">
        <v>130742805</v>
      </c>
      <c r="I5820">
        <v>130742821</v>
      </c>
    </row>
    <row r="5821" spans="1:9" x14ac:dyDescent="0.2">
      <c r="A5821" s="1" t="str">
        <f>"FAM102B"</f>
        <v>FAM102B</v>
      </c>
      <c r="B5821" t="s">
        <v>14</v>
      </c>
      <c r="C5821" t="s">
        <v>19</v>
      </c>
      <c r="D5821" t="s">
        <v>17</v>
      </c>
      <c r="E5821" t="s">
        <v>12</v>
      </c>
      <c r="F5821">
        <v>109102652</v>
      </c>
      <c r="G5821">
        <v>109102728</v>
      </c>
      <c r="H5821">
        <v>109102652</v>
      </c>
      <c r="I5821">
        <v>109102728</v>
      </c>
    </row>
    <row r="5822" spans="1:9" x14ac:dyDescent="0.2">
      <c r="A5822" s="1" t="str">
        <f>"FAM103A1"</f>
        <v>FAM103A1</v>
      </c>
      <c r="B5822" t="s">
        <v>14</v>
      </c>
      <c r="C5822" t="s">
        <v>25</v>
      </c>
      <c r="D5822" t="s">
        <v>17</v>
      </c>
      <c r="E5822" t="s">
        <v>12</v>
      </c>
      <c r="F5822">
        <v>83654950</v>
      </c>
      <c r="G5822">
        <v>83654978</v>
      </c>
      <c r="H5822">
        <v>83654950</v>
      </c>
      <c r="I5822">
        <v>83654978</v>
      </c>
    </row>
    <row r="5823" spans="1:9" x14ac:dyDescent="0.2">
      <c r="A5823" s="1" t="str">
        <f>"FAM104A"</f>
        <v>FAM104A</v>
      </c>
      <c r="B5823" t="s">
        <v>14</v>
      </c>
      <c r="C5823" t="s">
        <v>28</v>
      </c>
      <c r="D5823" t="s">
        <v>11</v>
      </c>
      <c r="E5823" t="s">
        <v>12</v>
      </c>
      <c r="F5823">
        <v>71228357</v>
      </c>
      <c r="G5823">
        <v>71228491</v>
      </c>
      <c r="H5823">
        <v>71228276</v>
      </c>
      <c r="I5823">
        <v>71228297</v>
      </c>
    </row>
    <row r="5824" spans="1:9" x14ac:dyDescent="0.2">
      <c r="A5824" s="1" t="str">
        <f>"FAM104B"</f>
        <v>FAM104B</v>
      </c>
      <c r="B5824" t="s">
        <v>14</v>
      </c>
      <c r="C5824" t="s">
        <v>37</v>
      </c>
      <c r="D5824" t="s">
        <v>11</v>
      </c>
      <c r="E5824" t="s">
        <v>12</v>
      </c>
      <c r="F5824">
        <v>55187588</v>
      </c>
      <c r="G5824">
        <v>55187631</v>
      </c>
      <c r="H5824">
        <v>55187531</v>
      </c>
      <c r="I5824">
        <v>55187584</v>
      </c>
    </row>
    <row r="5825" spans="1:9" x14ac:dyDescent="0.2">
      <c r="A5825" s="1" t="str">
        <f>"FAM105A"</f>
        <v>FAM105A</v>
      </c>
      <c r="B5825" t="s">
        <v>14</v>
      </c>
      <c r="C5825" t="s">
        <v>46</v>
      </c>
      <c r="D5825" t="s">
        <v>17</v>
      </c>
      <c r="E5825" t="s">
        <v>12</v>
      </c>
      <c r="F5825">
        <v>14581884</v>
      </c>
      <c r="G5825">
        <v>14581960</v>
      </c>
      <c r="H5825">
        <v>14581877</v>
      </c>
      <c r="I5825">
        <v>14581883</v>
      </c>
    </row>
    <row r="5826" spans="1:9" x14ac:dyDescent="0.2">
      <c r="A5826" s="1" t="str">
        <f>"FAM105B"</f>
        <v>FAM105B</v>
      </c>
      <c r="B5826" t="s">
        <v>14</v>
      </c>
      <c r="C5826" t="s">
        <v>46</v>
      </c>
      <c r="D5826" t="s">
        <v>17</v>
      </c>
      <c r="E5826" t="s">
        <v>12</v>
      </c>
      <c r="F5826">
        <v>14664762</v>
      </c>
      <c r="G5826">
        <v>14664868</v>
      </c>
      <c r="H5826">
        <v>14664762</v>
      </c>
      <c r="I5826">
        <v>14664868</v>
      </c>
    </row>
    <row r="5827" spans="1:9" x14ac:dyDescent="0.2">
      <c r="A5827" s="1" t="str">
        <f>"FAM107A"</f>
        <v>FAM107A</v>
      </c>
      <c r="B5827" t="s">
        <v>14</v>
      </c>
      <c r="C5827" t="s">
        <v>22</v>
      </c>
      <c r="D5827" t="s">
        <v>11</v>
      </c>
      <c r="E5827" t="s">
        <v>12</v>
      </c>
      <c r="F5827">
        <v>58563094</v>
      </c>
      <c r="G5827">
        <v>58563126</v>
      </c>
      <c r="H5827">
        <v>58563192</v>
      </c>
      <c r="I5827">
        <v>58563205</v>
      </c>
    </row>
    <row r="5828" spans="1:9" x14ac:dyDescent="0.2">
      <c r="A5828" s="1" t="str">
        <f>"FAM107B"</f>
        <v>FAM107B</v>
      </c>
      <c r="B5828" t="s">
        <v>9</v>
      </c>
      <c r="C5828" t="s">
        <v>15</v>
      </c>
      <c r="D5828" t="s">
        <v>11</v>
      </c>
      <c r="E5828" t="s">
        <v>12</v>
      </c>
      <c r="F5828">
        <v>14646391</v>
      </c>
      <c r="G5828">
        <v>14646408</v>
      </c>
      <c r="H5828">
        <v>14646391</v>
      </c>
      <c r="I5828">
        <v>14646408</v>
      </c>
    </row>
    <row r="5829" spans="1:9" x14ac:dyDescent="0.2">
      <c r="A5829" s="1" t="str">
        <f>"FAM107B"</f>
        <v>FAM107B</v>
      </c>
      <c r="B5829" t="s">
        <v>13</v>
      </c>
      <c r="C5829" t="s">
        <v>15</v>
      </c>
      <c r="D5829" t="s">
        <v>11</v>
      </c>
      <c r="E5829" t="s">
        <v>12</v>
      </c>
      <c r="F5829">
        <v>14613968</v>
      </c>
      <c r="G5829">
        <v>14614048</v>
      </c>
      <c r="H5829">
        <v>14613968</v>
      </c>
      <c r="I5829">
        <v>14614048</v>
      </c>
    </row>
    <row r="5830" spans="1:9" x14ac:dyDescent="0.2">
      <c r="A5830" s="1" t="str">
        <f>"FAM109A"</f>
        <v>FAM109A</v>
      </c>
      <c r="B5830" t="s">
        <v>14</v>
      </c>
      <c r="C5830" t="s">
        <v>16</v>
      </c>
      <c r="D5830" t="s">
        <v>11</v>
      </c>
      <c r="E5830" t="s">
        <v>12</v>
      </c>
      <c r="F5830">
        <v>111806819</v>
      </c>
      <c r="G5830">
        <v>111806888</v>
      </c>
      <c r="H5830">
        <v>111806892</v>
      </c>
      <c r="I5830">
        <v>111806909</v>
      </c>
    </row>
    <row r="5831" spans="1:9" x14ac:dyDescent="0.2">
      <c r="A5831" s="1" t="str">
        <f>"FAM109B"</f>
        <v>FAM109B</v>
      </c>
      <c r="B5831" t="s">
        <v>14</v>
      </c>
      <c r="C5831" t="s">
        <v>21</v>
      </c>
      <c r="D5831" t="s">
        <v>17</v>
      </c>
      <c r="E5831" t="s">
        <v>12</v>
      </c>
      <c r="F5831">
        <v>42470244</v>
      </c>
      <c r="G5831">
        <v>42470288</v>
      </c>
      <c r="H5831">
        <v>42470289</v>
      </c>
      <c r="I5831">
        <v>42470319</v>
      </c>
    </row>
    <row r="5832" spans="1:9" x14ac:dyDescent="0.2">
      <c r="A5832" s="1" t="str">
        <f>"FAM110A"</f>
        <v>FAM110A</v>
      </c>
      <c r="B5832" t="s">
        <v>14</v>
      </c>
      <c r="C5832" t="s">
        <v>29</v>
      </c>
      <c r="D5832" t="s">
        <v>17</v>
      </c>
      <c r="E5832" t="s">
        <v>12</v>
      </c>
      <c r="F5832">
        <v>814377</v>
      </c>
      <c r="G5832">
        <v>814452</v>
      </c>
      <c r="H5832">
        <v>814349</v>
      </c>
      <c r="I5832">
        <v>814375</v>
      </c>
    </row>
    <row r="5833" spans="1:9" x14ac:dyDescent="0.2">
      <c r="A5833" s="1" t="str">
        <f>"FAM110B"</f>
        <v>FAM110B</v>
      </c>
      <c r="B5833" t="s">
        <v>14</v>
      </c>
      <c r="C5833" t="s">
        <v>30</v>
      </c>
      <c r="D5833" t="s">
        <v>17</v>
      </c>
      <c r="E5833" t="s">
        <v>12</v>
      </c>
      <c r="F5833">
        <v>58907055</v>
      </c>
      <c r="G5833">
        <v>58907099</v>
      </c>
      <c r="H5833">
        <v>58907104</v>
      </c>
      <c r="I5833">
        <v>58907131</v>
      </c>
    </row>
    <row r="5834" spans="1:9" x14ac:dyDescent="0.2">
      <c r="A5834" s="1" t="str">
        <f>"FAM110C"</f>
        <v>FAM110C</v>
      </c>
      <c r="B5834" t="s">
        <v>14</v>
      </c>
      <c r="C5834" t="s">
        <v>26</v>
      </c>
      <c r="D5834" t="s">
        <v>11</v>
      </c>
      <c r="E5834" t="s">
        <v>12</v>
      </c>
      <c r="F5834">
        <v>46523</v>
      </c>
      <c r="G5834">
        <v>46567</v>
      </c>
      <c r="H5834">
        <v>46488</v>
      </c>
      <c r="I5834">
        <v>46511</v>
      </c>
    </row>
    <row r="5835" spans="1:9" x14ac:dyDescent="0.2">
      <c r="A5835" s="1" t="str">
        <f>"FAM110D"</f>
        <v>FAM110D</v>
      </c>
      <c r="B5835" t="s">
        <v>14</v>
      </c>
      <c r="C5835" t="s">
        <v>19</v>
      </c>
      <c r="D5835" t="s">
        <v>17</v>
      </c>
      <c r="E5835" t="s">
        <v>12</v>
      </c>
      <c r="F5835">
        <v>26485563</v>
      </c>
      <c r="G5835">
        <v>26485573</v>
      </c>
      <c r="H5835">
        <v>26485523</v>
      </c>
      <c r="I5835">
        <v>26485551</v>
      </c>
    </row>
    <row r="5836" spans="1:9" x14ac:dyDescent="0.2">
      <c r="A5836" s="1" t="str">
        <f>"FAM111A"</f>
        <v>FAM111A</v>
      </c>
      <c r="B5836" t="s">
        <v>9</v>
      </c>
      <c r="C5836" t="s">
        <v>27</v>
      </c>
      <c r="D5836" t="s">
        <v>17</v>
      </c>
      <c r="E5836" t="s">
        <v>12</v>
      </c>
      <c r="F5836">
        <v>58912240</v>
      </c>
      <c r="G5836">
        <v>58912355</v>
      </c>
      <c r="H5836">
        <v>58912240</v>
      </c>
      <c r="I5836">
        <v>58912355</v>
      </c>
    </row>
    <row r="5837" spans="1:9" x14ac:dyDescent="0.2">
      <c r="A5837" s="1" t="str">
        <f>"FAM111A"</f>
        <v>FAM111A</v>
      </c>
      <c r="B5837" t="s">
        <v>13</v>
      </c>
      <c r="C5837" t="s">
        <v>27</v>
      </c>
      <c r="D5837" t="s">
        <v>17</v>
      </c>
      <c r="E5837" t="s">
        <v>12</v>
      </c>
      <c r="F5837">
        <v>58910295</v>
      </c>
      <c r="G5837">
        <v>58910390</v>
      </c>
      <c r="H5837">
        <v>58910295</v>
      </c>
      <c r="I5837">
        <v>58910390</v>
      </c>
    </row>
    <row r="5838" spans="1:9" x14ac:dyDescent="0.2">
      <c r="A5838" s="1" t="str">
        <f>"FAM111B"</f>
        <v>FAM111B</v>
      </c>
      <c r="B5838" t="s">
        <v>14</v>
      </c>
      <c r="C5838" t="s">
        <v>27</v>
      </c>
      <c r="D5838" t="s">
        <v>17</v>
      </c>
      <c r="E5838" t="s">
        <v>12</v>
      </c>
      <c r="F5838">
        <v>58874701</v>
      </c>
      <c r="G5838">
        <v>58874717</v>
      </c>
      <c r="H5838">
        <v>58874671</v>
      </c>
      <c r="I5838">
        <v>58874686</v>
      </c>
    </row>
    <row r="5839" spans="1:9" x14ac:dyDescent="0.2">
      <c r="A5839" s="1" t="str">
        <f>"FAM114A1"</f>
        <v>FAM114A1</v>
      </c>
      <c r="B5839" t="s">
        <v>14</v>
      </c>
      <c r="C5839" t="s">
        <v>23</v>
      </c>
      <c r="D5839" t="s">
        <v>17</v>
      </c>
      <c r="E5839" t="s">
        <v>12</v>
      </c>
      <c r="F5839">
        <v>38869410</v>
      </c>
      <c r="G5839">
        <v>38869435</v>
      </c>
      <c r="H5839">
        <v>38869393</v>
      </c>
      <c r="I5839">
        <v>38869404</v>
      </c>
    </row>
    <row r="5840" spans="1:9" x14ac:dyDescent="0.2">
      <c r="A5840" s="1" t="str">
        <f>"FAM114A2"</f>
        <v>FAM114A2</v>
      </c>
      <c r="B5840" t="s">
        <v>14</v>
      </c>
      <c r="C5840" t="s">
        <v>46</v>
      </c>
      <c r="D5840" t="s">
        <v>11</v>
      </c>
      <c r="E5840" t="s">
        <v>12</v>
      </c>
      <c r="F5840">
        <v>153418407</v>
      </c>
      <c r="G5840">
        <v>153418503</v>
      </c>
      <c r="H5840">
        <v>153418407</v>
      </c>
      <c r="I5840">
        <v>153418503</v>
      </c>
    </row>
    <row r="5841" spans="1:9" x14ac:dyDescent="0.2">
      <c r="A5841" s="1" t="str">
        <f>"FAM115A"</f>
        <v>FAM115A</v>
      </c>
      <c r="B5841" t="s">
        <v>9</v>
      </c>
      <c r="C5841" t="s">
        <v>33</v>
      </c>
      <c r="D5841" t="s">
        <v>11</v>
      </c>
      <c r="E5841" t="s">
        <v>12</v>
      </c>
      <c r="F5841">
        <v>143599207</v>
      </c>
      <c r="G5841">
        <v>143599283</v>
      </c>
      <c r="H5841">
        <v>143599207</v>
      </c>
      <c r="I5841">
        <v>143599283</v>
      </c>
    </row>
    <row r="5842" spans="1:9" x14ac:dyDescent="0.2">
      <c r="A5842" s="1" t="str">
        <f>"FAM115A"</f>
        <v>FAM115A</v>
      </c>
      <c r="B5842" t="s">
        <v>13</v>
      </c>
      <c r="C5842" t="s">
        <v>33</v>
      </c>
      <c r="D5842" t="s">
        <v>11</v>
      </c>
      <c r="E5842" t="s">
        <v>12</v>
      </c>
      <c r="F5842">
        <v>143579913</v>
      </c>
      <c r="G5842">
        <v>143579971</v>
      </c>
      <c r="H5842">
        <v>143579913</v>
      </c>
      <c r="I5842">
        <v>143579971</v>
      </c>
    </row>
    <row r="5843" spans="1:9" x14ac:dyDescent="0.2">
      <c r="A5843" s="1" t="str">
        <f>"FAM115C"</f>
        <v>FAM115C</v>
      </c>
      <c r="B5843" t="s">
        <v>14</v>
      </c>
      <c r="C5843" t="s">
        <v>33</v>
      </c>
      <c r="D5843" t="s">
        <v>17</v>
      </c>
      <c r="E5843" t="s">
        <v>12</v>
      </c>
      <c r="F5843">
        <v>143318020</v>
      </c>
      <c r="G5843">
        <v>143318056</v>
      </c>
      <c r="H5843">
        <v>143318061</v>
      </c>
      <c r="I5843">
        <v>143318075</v>
      </c>
    </row>
    <row r="5844" spans="1:9" x14ac:dyDescent="0.2">
      <c r="A5844" s="1" t="str">
        <f>"FAM117A"</f>
        <v>FAM117A</v>
      </c>
      <c r="B5844" t="s">
        <v>9</v>
      </c>
      <c r="C5844" t="s">
        <v>28</v>
      </c>
      <c r="D5844" t="s">
        <v>11</v>
      </c>
      <c r="E5844" t="s">
        <v>12</v>
      </c>
      <c r="F5844">
        <v>47841485</v>
      </c>
      <c r="G5844">
        <v>47841503</v>
      </c>
      <c r="H5844">
        <v>47841485</v>
      </c>
      <c r="I5844">
        <v>47841503</v>
      </c>
    </row>
    <row r="5845" spans="1:9" x14ac:dyDescent="0.2">
      <c r="A5845" s="1" t="str">
        <f>"FAM117A"</f>
        <v>FAM117A</v>
      </c>
      <c r="B5845" t="s">
        <v>13</v>
      </c>
      <c r="C5845" t="s">
        <v>28</v>
      </c>
      <c r="D5845" t="s">
        <v>11</v>
      </c>
      <c r="E5845" t="s">
        <v>12</v>
      </c>
      <c r="F5845">
        <v>47865902</v>
      </c>
      <c r="G5845">
        <v>47865945</v>
      </c>
      <c r="H5845">
        <v>47865902</v>
      </c>
      <c r="I5845">
        <v>47865945</v>
      </c>
    </row>
    <row r="5846" spans="1:9" x14ac:dyDescent="0.2">
      <c r="A5846" s="1" t="str">
        <f>"FAM117B"</f>
        <v>FAM117B</v>
      </c>
      <c r="B5846" t="s">
        <v>14</v>
      </c>
      <c r="C5846" t="s">
        <v>26</v>
      </c>
      <c r="D5846" t="s">
        <v>17</v>
      </c>
      <c r="E5846" t="s">
        <v>12</v>
      </c>
      <c r="F5846">
        <v>203499683</v>
      </c>
      <c r="G5846">
        <v>203499748</v>
      </c>
      <c r="H5846">
        <v>203500233</v>
      </c>
      <c r="I5846">
        <v>203500296</v>
      </c>
    </row>
    <row r="5847" spans="1:9" x14ac:dyDescent="0.2">
      <c r="A5847" s="1" t="str">
        <f>"FAM118A"</f>
        <v>FAM118A</v>
      </c>
      <c r="B5847" t="s">
        <v>14</v>
      </c>
      <c r="C5847" t="s">
        <v>21</v>
      </c>
      <c r="D5847" t="s">
        <v>17</v>
      </c>
      <c r="E5847" t="s">
        <v>12</v>
      </c>
      <c r="F5847">
        <v>45705799</v>
      </c>
      <c r="G5847">
        <v>45705867</v>
      </c>
      <c r="H5847">
        <v>45705987</v>
      </c>
      <c r="I5847">
        <v>45706022</v>
      </c>
    </row>
    <row r="5848" spans="1:9" x14ac:dyDescent="0.2">
      <c r="A5848" s="1" t="str">
        <f>"FAM118B"</f>
        <v>FAM118B</v>
      </c>
      <c r="B5848" t="s">
        <v>14</v>
      </c>
      <c r="C5848" t="s">
        <v>27</v>
      </c>
      <c r="D5848" t="s">
        <v>17</v>
      </c>
      <c r="E5848" t="s">
        <v>12</v>
      </c>
      <c r="F5848">
        <v>126081662</v>
      </c>
      <c r="G5848">
        <v>126081700</v>
      </c>
      <c r="H5848">
        <v>126081642</v>
      </c>
      <c r="I5848">
        <v>126081653</v>
      </c>
    </row>
    <row r="5849" spans="1:9" x14ac:dyDescent="0.2">
      <c r="A5849" s="1" t="str">
        <f>"FAM120A"</f>
        <v>FAM120A</v>
      </c>
      <c r="B5849" t="s">
        <v>14</v>
      </c>
      <c r="C5849" t="s">
        <v>24</v>
      </c>
      <c r="D5849" t="s">
        <v>17</v>
      </c>
      <c r="E5849" t="s">
        <v>12</v>
      </c>
      <c r="F5849">
        <v>96213929</v>
      </c>
      <c r="G5849">
        <v>96213993</v>
      </c>
      <c r="H5849">
        <v>96213995</v>
      </c>
      <c r="I5849">
        <v>96214024</v>
      </c>
    </row>
    <row r="5850" spans="1:9" x14ac:dyDescent="0.2">
      <c r="A5850" s="1" t="str">
        <f>"FAM120AOS"</f>
        <v>FAM120AOS</v>
      </c>
      <c r="B5850" t="s">
        <v>14</v>
      </c>
      <c r="C5850" t="s">
        <v>24</v>
      </c>
      <c r="D5850" t="s">
        <v>11</v>
      </c>
      <c r="E5850" t="s">
        <v>12</v>
      </c>
      <c r="F5850">
        <v>96213828</v>
      </c>
      <c r="G5850">
        <v>96213901</v>
      </c>
      <c r="H5850">
        <v>96213761</v>
      </c>
      <c r="I5850">
        <v>96213820</v>
      </c>
    </row>
    <row r="5851" spans="1:9" x14ac:dyDescent="0.2">
      <c r="A5851" s="1" t="str">
        <f>"FAM120B"</f>
        <v>FAM120B</v>
      </c>
      <c r="B5851" t="s">
        <v>14</v>
      </c>
      <c r="C5851" t="s">
        <v>32</v>
      </c>
      <c r="D5851" t="s">
        <v>17</v>
      </c>
      <c r="E5851" t="s">
        <v>12</v>
      </c>
      <c r="F5851">
        <v>170615819</v>
      </c>
      <c r="G5851">
        <v>170615877</v>
      </c>
      <c r="H5851">
        <v>170615881</v>
      </c>
      <c r="I5851">
        <v>170615896</v>
      </c>
    </row>
    <row r="5852" spans="1:9" x14ac:dyDescent="0.2">
      <c r="A5852" s="1" t="str">
        <f>"FAM120C"</f>
        <v>FAM120C</v>
      </c>
      <c r="B5852" t="s">
        <v>14</v>
      </c>
      <c r="C5852" t="s">
        <v>37</v>
      </c>
      <c r="D5852" t="s">
        <v>11</v>
      </c>
      <c r="E5852" t="s">
        <v>12</v>
      </c>
      <c r="F5852">
        <v>54209640</v>
      </c>
      <c r="G5852">
        <v>54209704</v>
      </c>
      <c r="H5852">
        <v>54209973</v>
      </c>
      <c r="I5852">
        <v>54210019</v>
      </c>
    </row>
    <row r="5853" spans="1:9" x14ac:dyDescent="0.2">
      <c r="A5853" s="1" t="str">
        <f>"FAM122A"</f>
        <v>FAM122A</v>
      </c>
      <c r="B5853" t="s">
        <v>14</v>
      </c>
      <c r="C5853" t="s">
        <v>24</v>
      </c>
      <c r="D5853" t="s">
        <v>17</v>
      </c>
      <c r="E5853" t="s">
        <v>12</v>
      </c>
      <c r="F5853">
        <v>71394945</v>
      </c>
      <c r="G5853">
        <v>71394988</v>
      </c>
      <c r="H5853">
        <v>71394945</v>
      </c>
      <c r="I5853">
        <v>71394988</v>
      </c>
    </row>
    <row r="5854" spans="1:9" x14ac:dyDescent="0.2">
      <c r="A5854" s="1" t="str">
        <f>"FAM122B"</f>
        <v>FAM122B</v>
      </c>
      <c r="B5854" t="s">
        <v>14</v>
      </c>
      <c r="C5854" t="s">
        <v>37</v>
      </c>
      <c r="D5854" t="s">
        <v>11</v>
      </c>
      <c r="E5854" t="s">
        <v>12</v>
      </c>
      <c r="F5854">
        <v>133931171</v>
      </c>
      <c r="G5854">
        <v>133931269</v>
      </c>
      <c r="H5854">
        <v>133930686</v>
      </c>
      <c r="I5854">
        <v>133930836</v>
      </c>
    </row>
    <row r="5855" spans="1:9" x14ac:dyDescent="0.2">
      <c r="A5855" s="1" t="str">
        <f>"FAM122C"</f>
        <v>FAM122C</v>
      </c>
      <c r="B5855" t="s">
        <v>14</v>
      </c>
      <c r="C5855" t="s">
        <v>37</v>
      </c>
      <c r="D5855" t="s">
        <v>17</v>
      </c>
      <c r="E5855" t="s">
        <v>12</v>
      </c>
      <c r="F5855">
        <v>133941250</v>
      </c>
      <c r="G5855">
        <v>133941278</v>
      </c>
      <c r="H5855">
        <v>133941161</v>
      </c>
      <c r="I5855">
        <v>133941211</v>
      </c>
    </row>
    <row r="5856" spans="1:9" x14ac:dyDescent="0.2">
      <c r="A5856" s="1" t="str">
        <f>"FAM124A"</f>
        <v>FAM124A</v>
      </c>
      <c r="B5856" t="s">
        <v>14</v>
      </c>
      <c r="C5856" t="s">
        <v>39</v>
      </c>
      <c r="D5856" t="s">
        <v>17</v>
      </c>
      <c r="E5856" t="s">
        <v>12</v>
      </c>
      <c r="F5856">
        <v>51796497</v>
      </c>
      <c r="G5856">
        <v>51796517</v>
      </c>
      <c r="H5856">
        <v>51796528</v>
      </c>
      <c r="I5856">
        <v>51796540</v>
      </c>
    </row>
    <row r="5857" spans="1:9" x14ac:dyDescent="0.2">
      <c r="A5857" s="1" t="str">
        <f>"FAM124B"</f>
        <v>FAM124B</v>
      </c>
      <c r="B5857" t="s">
        <v>14</v>
      </c>
      <c r="C5857" t="s">
        <v>26</v>
      </c>
      <c r="D5857" t="s">
        <v>11</v>
      </c>
      <c r="E5857" t="s">
        <v>12</v>
      </c>
      <c r="F5857">
        <v>225266743</v>
      </c>
      <c r="G5857">
        <v>225266773</v>
      </c>
      <c r="H5857">
        <v>225266813</v>
      </c>
      <c r="I5857">
        <v>225266830</v>
      </c>
    </row>
    <row r="5858" spans="1:9" x14ac:dyDescent="0.2">
      <c r="A5858" s="1" t="str">
        <f>"FAM126A"</f>
        <v>FAM126A</v>
      </c>
      <c r="B5858" t="s">
        <v>14</v>
      </c>
      <c r="C5858" t="s">
        <v>33</v>
      </c>
      <c r="D5858" t="s">
        <v>11</v>
      </c>
      <c r="E5858" t="s">
        <v>12</v>
      </c>
      <c r="F5858">
        <v>23053719</v>
      </c>
      <c r="G5858">
        <v>23053767</v>
      </c>
      <c r="H5858">
        <v>23053697</v>
      </c>
      <c r="I5858">
        <v>23053715</v>
      </c>
    </row>
    <row r="5859" spans="1:9" x14ac:dyDescent="0.2">
      <c r="A5859" s="1" t="str">
        <f>"FAM126B"</f>
        <v>FAM126B</v>
      </c>
      <c r="B5859" t="s">
        <v>14</v>
      </c>
      <c r="C5859" t="s">
        <v>26</v>
      </c>
      <c r="D5859" t="s">
        <v>11</v>
      </c>
      <c r="E5859" t="s">
        <v>12</v>
      </c>
      <c r="F5859">
        <v>201936328</v>
      </c>
      <c r="G5859">
        <v>201936416</v>
      </c>
      <c r="H5859">
        <v>201936270</v>
      </c>
      <c r="I5859">
        <v>201936277</v>
      </c>
    </row>
    <row r="5860" spans="1:9" x14ac:dyDescent="0.2">
      <c r="A5860" s="1" t="str">
        <f>"FAM127A"</f>
        <v>FAM127A</v>
      </c>
      <c r="B5860" t="s">
        <v>14</v>
      </c>
      <c r="C5860" t="s">
        <v>37</v>
      </c>
      <c r="D5860" t="s">
        <v>17</v>
      </c>
      <c r="E5860" t="s">
        <v>12</v>
      </c>
      <c r="F5860">
        <v>134166376</v>
      </c>
      <c r="G5860">
        <v>134166394</v>
      </c>
      <c r="H5860">
        <v>134166360</v>
      </c>
      <c r="I5860">
        <v>134166371</v>
      </c>
    </row>
    <row r="5861" spans="1:9" x14ac:dyDescent="0.2">
      <c r="A5861" s="1" t="str">
        <f>"FAM127B"</f>
        <v>FAM127B</v>
      </c>
      <c r="B5861" t="s">
        <v>14</v>
      </c>
      <c r="C5861" t="s">
        <v>37</v>
      </c>
      <c r="D5861" t="s">
        <v>11</v>
      </c>
      <c r="E5861" t="s">
        <v>12</v>
      </c>
      <c r="F5861">
        <v>134186144</v>
      </c>
      <c r="G5861">
        <v>134186228</v>
      </c>
      <c r="H5861">
        <v>134186144</v>
      </c>
      <c r="I5861">
        <v>134186228</v>
      </c>
    </row>
    <row r="5862" spans="1:9" x14ac:dyDescent="0.2">
      <c r="A5862" s="1" t="str">
        <f>"FAM127C"</f>
        <v>FAM127C</v>
      </c>
      <c r="B5862" t="s">
        <v>14</v>
      </c>
      <c r="C5862" t="s">
        <v>37</v>
      </c>
      <c r="D5862" t="s">
        <v>11</v>
      </c>
      <c r="E5862" t="s">
        <v>12</v>
      </c>
      <c r="F5862">
        <v>134156502</v>
      </c>
      <c r="G5862">
        <v>134156577</v>
      </c>
      <c r="H5862">
        <v>134156502</v>
      </c>
      <c r="I5862">
        <v>134156577</v>
      </c>
    </row>
    <row r="5863" spans="1:9" x14ac:dyDescent="0.2">
      <c r="A5863" s="1" t="str">
        <f>"FAM129A"</f>
        <v>FAM129A</v>
      </c>
      <c r="B5863" t="s">
        <v>14</v>
      </c>
      <c r="C5863" t="s">
        <v>19</v>
      </c>
      <c r="D5863" t="s">
        <v>11</v>
      </c>
      <c r="E5863" t="s">
        <v>12</v>
      </c>
      <c r="F5863">
        <v>184943573</v>
      </c>
      <c r="G5863">
        <v>184943595</v>
      </c>
      <c r="H5863">
        <v>184943610</v>
      </c>
      <c r="I5863">
        <v>184943647</v>
      </c>
    </row>
    <row r="5864" spans="1:9" x14ac:dyDescent="0.2">
      <c r="A5864" s="1" t="str">
        <f>"FAM129B"</f>
        <v>FAM129B</v>
      </c>
      <c r="B5864" t="s">
        <v>9</v>
      </c>
      <c r="C5864" t="s">
        <v>24</v>
      </c>
      <c r="D5864" t="s">
        <v>11</v>
      </c>
      <c r="E5864" t="s">
        <v>12</v>
      </c>
      <c r="F5864">
        <v>130331297</v>
      </c>
      <c r="G5864">
        <v>130331393</v>
      </c>
      <c r="H5864">
        <v>130331297</v>
      </c>
      <c r="I5864">
        <v>130331393</v>
      </c>
    </row>
    <row r="5865" spans="1:9" x14ac:dyDescent="0.2">
      <c r="A5865" s="1" t="str">
        <f>"FAM129B"</f>
        <v>FAM129B</v>
      </c>
      <c r="B5865" t="s">
        <v>13</v>
      </c>
      <c r="C5865" t="s">
        <v>24</v>
      </c>
      <c r="D5865" t="s">
        <v>11</v>
      </c>
      <c r="E5865" t="s">
        <v>12</v>
      </c>
      <c r="F5865">
        <v>130341285</v>
      </c>
      <c r="G5865">
        <v>130341328</v>
      </c>
      <c r="H5865">
        <v>130341285</v>
      </c>
      <c r="I5865">
        <v>130341328</v>
      </c>
    </row>
    <row r="5866" spans="1:9" x14ac:dyDescent="0.2">
      <c r="A5866" s="1" t="str">
        <f>"FAM129C"</f>
        <v>FAM129C</v>
      </c>
      <c r="B5866" t="s">
        <v>14</v>
      </c>
      <c r="C5866" t="s">
        <v>10</v>
      </c>
      <c r="D5866" t="s">
        <v>17</v>
      </c>
      <c r="E5866" t="s">
        <v>12</v>
      </c>
      <c r="F5866">
        <v>17638059</v>
      </c>
      <c r="G5866">
        <v>17638105</v>
      </c>
      <c r="H5866">
        <v>17638041</v>
      </c>
      <c r="I5866">
        <v>17638055</v>
      </c>
    </row>
    <row r="5867" spans="1:9" x14ac:dyDescent="0.2">
      <c r="A5867" s="1" t="str">
        <f>"FAM131A"</f>
        <v>FAM131A</v>
      </c>
      <c r="B5867" t="s">
        <v>14</v>
      </c>
      <c r="C5867" t="s">
        <v>22</v>
      </c>
      <c r="D5867" t="s">
        <v>17</v>
      </c>
      <c r="E5867" t="s">
        <v>12</v>
      </c>
      <c r="F5867">
        <v>184053703</v>
      </c>
      <c r="G5867">
        <v>184053764</v>
      </c>
      <c r="H5867">
        <v>184053703</v>
      </c>
      <c r="I5867">
        <v>184053764</v>
      </c>
    </row>
    <row r="5868" spans="1:9" x14ac:dyDescent="0.2">
      <c r="A5868" s="1" t="str">
        <f>"FAM131B"</f>
        <v>FAM131B</v>
      </c>
      <c r="B5868" t="s">
        <v>14</v>
      </c>
      <c r="C5868" t="s">
        <v>33</v>
      </c>
      <c r="D5868" t="s">
        <v>11</v>
      </c>
      <c r="E5868" t="s">
        <v>12</v>
      </c>
      <c r="F5868">
        <v>143059780</v>
      </c>
      <c r="G5868">
        <v>143059824</v>
      </c>
      <c r="H5868">
        <v>143059780</v>
      </c>
      <c r="I5868">
        <v>143059824</v>
      </c>
    </row>
    <row r="5869" spans="1:9" x14ac:dyDescent="0.2">
      <c r="A5869" s="1" t="str">
        <f>"FAM131C"</f>
        <v>FAM131C</v>
      </c>
      <c r="B5869" t="s">
        <v>14</v>
      </c>
      <c r="C5869" t="s">
        <v>19</v>
      </c>
      <c r="D5869" t="s">
        <v>11</v>
      </c>
      <c r="E5869" t="s">
        <v>12</v>
      </c>
      <c r="F5869">
        <v>16400086</v>
      </c>
      <c r="G5869">
        <v>16400153</v>
      </c>
      <c r="H5869">
        <v>16400393</v>
      </c>
      <c r="I5869">
        <v>16400396</v>
      </c>
    </row>
    <row r="5870" spans="1:9" x14ac:dyDescent="0.2">
      <c r="A5870" s="1" t="str">
        <f>"FAM132A"</f>
        <v>FAM132A</v>
      </c>
      <c r="B5870" t="s">
        <v>14</v>
      </c>
      <c r="C5870" t="s">
        <v>19</v>
      </c>
      <c r="D5870" t="s">
        <v>11</v>
      </c>
      <c r="E5870" t="s">
        <v>12</v>
      </c>
      <c r="F5870">
        <v>1182094</v>
      </c>
      <c r="G5870">
        <v>1182111</v>
      </c>
      <c r="H5870">
        <v>1182094</v>
      </c>
      <c r="I5870">
        <v>1182111</v>
      </c>
    </row>
    <row r="5871" spans="1:9" x14ac:dyDescent="0.2">
      <c r="A5871" s="1" t="str">
        <f>"FAM132B"</f>
        <v>FAM132B</v>
      </c>
      <c r="B5871" t="s">
        <v>14</v>
      </c>
      <c r="C5871" t="s">
        <v>26</v>
      </c>
      <c r="D5871" t="s">
        <v>17</v>
      </c>
      <c r="E5871" t="s">
        <v>12</v>
      </c>
      <c r="F5871">
        <v>239067597</v>
      </c>
      <c r="G5871">
        <v>239067619</v>
      </c>
      <c r="H5871">
        <v>239067568</v>
      </c>
      <c r="I5871">
        <v>239067592</v>
      </c>
    </row>
    <row r="5872" spans="1:9" x14ac:dyDescent="0.2">
      <c r="A5872" s="1" t="str">
        <f>"FAM133A"</f>
        <v>FAM133A</v>
      </c>
      <c r="B5872" t="s">
        <v>14</v>
      </c>
      <c r="C5872" t="s">
        <v>37</v>
      </c>
      <c r="D5872" t="s">
        <v>17</v>
      </c>
      <c r="E5872" t="s">
        <v>12</v>
      </c>
      <c r="F5872">
        <v>92929222</v>
      </c>
      <c r="G5872">
        <v>92929244</v>
      </c>
      <c r="H5872">
        <v>92929192</v>
      </c>
      <c r="I5872">
        <v>92929214</v>
      </c>
    </row>
    <row r="5873" spans="1:9" x14ac:dyDescent="0.2">
      <c r="A5873" s="1" t="str">
        <f>"FAM133B"</f>
        <v>FAM133B</v>
      </c>
      <c r="B5873" t="s">
        <v>14</v>
      </c>
      <c r="C5873" t="s">
        <v>33</v>
      </c>
      <c r="D5873" t="s">
        <v>11</v>
      </c>
      <c r="E5873" t="s">
        <v>12</v>
      </c>
      <c r="F5873">
        <v>92219698</v>
      </c>
      <c r="G5873">
        <v>92219713</v>
      </c>
      <c r="H5873">
        <v>92219657</v>
      </c>
      <c r="I5873">
        <v>92219676</v>
      </c>
    </row>
    <row r="5874" spans="1:9" x14ac:dyDescent="0.2">
      <c r="A5874" s="1" t="str">
        <f>"FAM134A"</f>
        <v>FAM134A</v>
      </c>
      <c r="B5874" t="s">
        <v>14</v>
      </c>
      <c r="C5874" t="s">
        <v>26</v>
      </c>
      <c r="D5874" t="s">
        <v>17</v>
      </c>
      <c r="E5874" t="s">
        <v>12</v>
      </c>
      <c r="F5874">
        <v>220042988</v>
      </c>
      <c r="G5874">
        <v>220043011</v>
      </c>
      <c r="H5874">
        <v>220042933</v>
      </c>
      <c r="I5874">
        <v>220042985</v>
      </c>
    </row>
    <row r="5875" spans="1:9" x14ac:dyDescent="0.2">
      <c r="A5875" s="1" t="str">
        <f>"FAM134B"</f>
        <v>FAM134B</v>
      </c>
      <c r="B5875" t="s">
        <v>398</v>
      </c>
      <c r="C5875" t="s">
        <v>46</v>
      </c>
      <c r="D5875" t="s">
        <v>11</v>
      </c>
      <c r="E5875" t="s">
        <v>35</v>
      </c>
      <c r="F5875">
        <v>16509101</v>
      </c>
      <c r="G5875">
        <v>16509113</v>
      </c>
      <c r="H5875">
        <v>16508902</v>
      </c>
      <c r="I5875">
        <v>16508911</v>
      </c>
    </row>
    <row r="5876" spans="1:9" x14ac:dyDescent="0.2">
      <c r="A5876" s="1" t="str">
        <f>"FAM134C"</f>
        <v>FAM134C</v>
      </c>
      <c r="B5876" t="s">
        <v>14</v>
      </c>
      <c r="C5876" t="s">
        <v>28</v>
      </c>
      <c r="D5876" t="s">
        <v>11</v>
      </c>
      <c r="E5876" t="s">
        <v>12</v>
      </c>
      <c r="F5876">
        <v>40761375</v>
      </c>
      <c r="G5876">
        <v>40761409</v>
      </c>
      <c r="H5876">
        <v>40761350</v>
      </c>
      <c r="I5876">
        <v>40761362</v>
      </c>
    </row>
    <row r="5877" spans="1:9" x14ac:dyDescent="0.2">
      <c r="A5877" s="1" t="str">
        <f>"FAM135A"</f>
        <v>FAM135A</v>
      </c>
      <c r="B5877" t="s">
        <v>14</v>
      </c>
      <c r="C5877" t="s">
        <v>32</v>
      </c>
      <c r="D5877" t="s">
        <v>17</v>
      </c>
      <c r="E5877" t="s">
        <v>12</v>
      </c>
      <c r="F5877">
        <v>71123120</v>
      </c>
      <c r="G5877">
        <v>71123276</v>
      </c>
      <c r="H5877">
        <v>71122974</v>
      </c>
      <c r="I5877">
        <v>71123004</v>
      </c>
    </row>
    <row r="5878" spans="1:9" x14ac:dyDescent="0.2">
      <c r="A5878" s="1" t="str">
        <f>"FAM135B"</f>
        <v>FAM135B</v>
      </c>
      <c r="B5878" t="s">
        <v>14</v>
      </c>
      <c r="C5878" t="s">
        <v>30</v>
      </c>
      <c r="D5878" t="s">
        <v>11</v>
      </c>
      <c r="E5878" t="s">
        <v>12</v>
      </c>
      <c r="F5878">
        <v>139509498</v>
      </c>
      <c r="G5878">
        <v>139509510</v>
      </c>
      <c r="H5878">
        <v>139509498</v>
      </c>
      <c r="I5878">
        <v>139509510</v>
      </c>
    </row>
    <row r="5879" spans="1:9" x14ac:dyDescent="0.2">
      <c r="A5879" s="1" t="str">
        <f>"FAM136A"</f>
        <v>FAM136A</v>
      </c>
      <c r="B5879" t="s">
        <v>14</v>
      </c>
      <c r="C5879" t="s">
        <v>26</v>
      </c>
      <c r="D5879" t="s">
        <v>11</v>
      </c>
      <c r="E5879" t="s">
        <v>12</v>
      </c>
      <c r="F5879">
        <v>70529150</v>
      </c>
      <c r="G5879">
        <v>70529179</v>
      </c>
      <c r="H5879">
        <v>70529180</v>
      </c>
      <c r="I5879">
        <v>70529217</v>
      </c>
    </row>
    <row r="5880" spans="1:9" x14ac:dyDescent="0.2">
      <c r="A5880" s="1" t="str">
        <f>"FAM13A"</f>
        <v>FAM13A</v>
      </c>
      <c r="B5880" t="s">
        <v>399</v>
      </c>
      <c r="C5880" t="s">
        <v>23</v>
      </c>
      <c r="D5880" t="s">
        <v>11</v>
      </c>
      <c r="E5880" t="s">
        <v>35</v>
      </c>
      <c r="F5880">
        <v>89978299</v>
      </c>
      <c r="G5880">
        <v>89978346</v>
      </c>
      <c r="H5880">
        <v>89978276</v>
      </c>
      <c r="I5880">
        <v>89978288</v>
      </c>
    </row>
    <row r="5881" spans="1:9" x14ac:dyDescent="0.2">
      <c r="A5881" s="1" t="str">
        <f>"FAM13B"</f>
        <v>FAM13B</v>
      </c>
      <c r="B5881" t="s">
        <v>14</v>
      </c>
      <c r="C5881" t="s">
        <v>46</v>
      </c>
      <c r="D5881" t="s">
        <v>11</v>
      </c>
      <c r="E5881" t="s">
        <v>12</v>
      </c>
      <c r="F5881">
        <v>137368726</v>
      </c>
      <c r="G5881">
        <v>137368784</v>
      </c>
      <c r="H5881">
        <v>137368787</v>
      </c>
      <c r="I5881">
        <v>137368803</v>
      </c>
    </row>
    <row r="5882" spans="1:9" x14ac:dyDescent="0.2">
      <c r="A5882" s="1" t="str">
        <f>"FAM13C"</f>
        <v>FAM13C</v>
      </c>
      <c r="B5882" t="s">
        <v>14</v>
      </c>
      <c r="C5882" t="s">
        <v>15</v>
      </c>
      <c r="D5882" t="s">
        <v>11</v>
      </c>
      <c r="E5882" t="s">
        <v>12</v>
      </c>
      <c r="F5882">
        <v>61122262</v>
      </c>
      <c r="G5882">
        <v>61122358</v>
      </c>
      <c r="H5882">
        <v>61122582</v>
      </c>
      <c r="I5882">
        <v>61122593</v>
      </c>
    </row>
    <row r="5883" spans="1:9" x14ac:dyDescent="0.2">
      <c r="A5883" s="1" t="str">
        <f>"FAM149A"</f>
        <v>FAM149A</v>
      </c>
      <c r="B5883" t="s">
        <v>14</v>
      </c>
      <c r="C5883" t="s">
        <v>23</v>
      </c>
      <c r="D5883" t="s">
        <v>17</v>
      </c>
      <c r="E5883" t="s">
        <v>12</v>
      </c>
      <c r="F5883">
        <v>187065978</v>
      </c>
      <c r="G5883">
        <v>187066073</v>
      </c>
      <c r="H5883">
        <v>187065978</v>
      </c>
      <c r="I5883">
        <v>187066073</v>
      </c>
    </row>
    <row r="5884" spans="1:9" x14ac:dyDescent="0.2">
      <c r="A5884" s="1" t="str">
        <f>"FAM149B1"</f>
        <v>FAM149B1</v>
      </c>
      <c r="B5884" t="s">
        <v>14</v>
      </c>
      <c r="C5884" t="s">
        <v>15</v>
      </c>
      <c r="D5884" t="s">
        <v>17</v>
      </c>
      <c r="E5884" t="s">
        <v>12</v>
      </c>
      <c r="F5884">
        <v>74927875</v>
      </c>
      <c r="G5884">
        <v>74927881</v>
      </c>
      <c r="H5884">
        <v>74927920</v>
      </c>
      <c r="I5884">
        <v>74927957</v>
      </c>
    </row>
    <row r="5885" spans="1:9" x14ac:dyDescent="0.2">
      <c r="A5885" s="1" t="str">
        <f>"FAM150A"</f>
        <v>FAM150A</v>
      </c>
      <c r="B5885" t="s">
        <v>14</v>
      </c>
      <c r="C5885" t="s">
        <v>30</v>
      </c>
      <c r="D5885" t="s">
        <v>11</v>
      </c>
      <c r="E5885" t="s">
        <v>12</v>
      </c>
      <c r="F5885">
        <v>53477984</v>
      </c>
      <c r="G5885">
        <v>53477997</v>
      </c>
      <c r="H5885">
        <v>53478563</v>
      </c>
      <c r="I5885">
        <v>53478580</v>
      </c>
    </row>
    <row r="5886" spans="1:9" x14ac:dyDescent="0.2">
      <c r="A5886" s="1" t="str">
        <f>"FAM150B"</f>
        <v>FAM150B</v>
      </c>
      <c r="B5886" t="s">
        <v>14</v>
      </c>
      <c r="C5886" t="s">
        <v>26</v>
      </c>
      <c r="D5886" t="s">
        <v>11</v>
      </c>
      <c r="E5886" t="s">
        <v>12</v>
      </c>
      <c r="F5886">
        <v>288707</v>
      </c>
      <c r="G5886">
        <v>288714</v>
      </c>
      <c r="H5886">
        <v>288055</v>
      </c>
      <c r="I5886">
        <v>288096</v>
      </c>
    </row>
    <row r="5887" spans="1:9" x14ac:dyDescent="0.2">
      <c r="A5887" s="1" t="str">
        <f>"FAM151A"</f>
        <v>FAM151A</v>
      </c>
      <c r="B5887" t="s">
        <v>14</v>
      </c>
      <c r="C5887" t="s">
        <v>19</v>
      </c>
      <c r="D5887" t="s">
        <v>11</v>
      </c>
      <c r="E5887" t="s">
        <v>12</v>
      </c>
      <c r="F5887">
        <v>55089191</v>
      </c>
      <c r="G5887">
        <v>55089205</v>
      </c>
      <c r="H5887">
        <v>55089175</v>
      </c>
      <c r="I5887">
        <v>55089189</v>
      </c>
    </row>
    <row r="5888" spans="1:9" x14ac:dyDescent="0.2">
      <c r="A5888" s="1" t="str">
        <f>"FAM151B"</f>
        <v>FAM151B</v>
      </c>
      <c r="B5888" t="s">
        <v>14</v>
      </c>
      <c r="C5888" t="s">
        <v>46</v>
      </c>
      <c r="D5888" t="s">
        <v>17</v>
      </c>
      <c r="E5888" t="s">
        <v>12</v>
      </c>
      <c r="F5888">
        <v>79783913</v>
      </c>
      <c r="G5888">
        <v>79783946</v>
      </c>
      <c r="H5888">
        <v>79783817</v>
      </c>
      <c r="I5888">
        <v>79783842</v>
      </c>
    </row>
    <row r="5889" spans="1:9" x14ac:dyDescent="0.2">
      <c r="A5889" s="1" t="str">
        <f>"FAM153A"</f>
        <v>FAM153A</v>
      </c>
      <c r="B5889" t="s">
        <v>400</v>
      </c>
      <c r="C5889" t="s">
        <v>46</v>
      </c>
      <c r="D5889" t="s">
        <v>11</v>
      </c>
      <c r="E5889" t="s">
        <v>20</v>
      </c>
      <c r="F5889">
        <v>177209831</v>
      </c>
      <c r="G5889">
        <v>177209831</v>
      </c>
      <c r="H5889">
        <v>177209831</v>
      </c>
      <c r="I5889">
        <v>177209831</v>
      </c>
    </row>
    <row r="5890" spans="1:9" x14ac:dyDescent="0.2">
      <c r="A5890" s="1" t="str">
        <f>"FAM153A"</f>
        <v>FAM153A</v>
      </c>
      <c r="B5890" t="s">
        <v>401</v>
      </c>
      <c r="C5890" t="s">
        <v>46</v>
      </c>
      <c r="D5890" t="s">
        <v>11</v>
      </c>
      <c r="E5890" t="s">
        <v>20</v>
      </c>
      <c r="F5890">
        <v>177207654</v>
      </c>
      <c r="G5890">
        <v>177207654</v>
      </c>
      <c r="H5890">
        <v>177207654</v>
      </c>
      <c r="I5890">
        <v>177207654</v>
      </c>
    </row>
    <row r="5891" spans="1:9" x14ac:dyDescent="0.2">
      <c r="A5891" s="1" t="str">
        <f>"FAM153A"</f>
        <v>FAM153A</v>
      </c>
      <c r="B5891" t="s">
        <v>402</v>
      </c>
      <c r="C5891" t="s">
        <v>46</v>
      </c>
      <c r="D5891" t="s">
        <v>11</v>
      </c>
      <c r="E5891" t="s">
        <v>20</v>
      </c>
      <c r="F5891">
        <v>177210398</v>
      </c>
      <c r="G5891">
        <v>177210398</v>
      </c>
      <c r="H5891">
        <v>177210398</v>
      </c>
      <c r="I5891">
        <v>177210398</v>
      </c>
    </row>
    <row r="5892" spans="1:9" x14ac:dyDescent="0.2">
      <c r="A5892" s="1" t="str">
        <f>"FAM153B"</f>
        <v>FAM153B</v>
      </c>
      <c r="B5892" t="s">
        <v>14</v>
      </c>
      <c r="C5892" t="s">
        <v>46</v>
      </c>
      <c r="D5892" t="s">
        <v>17</v>
      </c>
      <c r="E5892" t="s">
        <v>12</v>
      </c>
      <c r="F5892">
        <v>175488159</v>
      </c>
      <c r="G5892">
        <v>175488185</v>
      </c>
      <c r="H5892">
        <v>175488159</v>
      </c>
      <c r="I5892">
        <v>175488185</v>
      </c>
    </row>
    <row r="5893" spans="1:9" x14ac:dyDescent="0.2">
      <c r="A5893" s="1" t="str">
        <f>"FAM154A"</f>
        <v>FAM154A</v>
      </c>
      <c r="B5893" t="s">
        <v>14</v>
      </c>
      <c r="C5893" t="s">
        <v>24</v>
      </c>
      <c r="D5893" t="s">
        <v>11</v>
      </c>
      <c r="E5893" t="s">
        <v>12</v>
      </c>
      <c r="F5893">
        <v>19033198</v>
      </c>
      <c r="G5893">
        <v>19033212</v>
      </c>
      <c r="H5893">
        <v>19033237</v>
      </c>
      <c r="I5893">
        <v>19033253</v>
      </c>
    </row>
    <row r="5894" spans="1:9" x14ac:dyDescent="0.2">
      <c r="A5894" s="1" t="str">
        <f>"FAM154B"</f>
        <v>FAM154B</v>
      </c>
      <c r="B5894" t="s">
        <v>14</v>
      </c>
      <c r="C5894" t="s">
        <v>25</v>
      </c>
      <c r="D5894" t="s">
        <v>17</v>
      </c>
      <c r="E5894" t="s">
        <v>12</v>
      </c>
      <c r="F5894">
        <v>82555125</v>
      </c>
      <c r="G5894">
        <v>82555168</v>
      </c>
      <c r="H5894">
        <v>82555169</v>
      </c>
      <c r="I5894">
        <v>82555199</v>
      </c>
    </row>
    <row r="5895" spans="1:9" x14ac:dyDescent="0.2">
      <c r="A5895" s="1" t="str">
        <f>"FAM155A"</f>
        <v>FAM155A</v>
      </c>
      <c r="B5895" t="s">
        <v>14</v>
      </c>
      <c r="C5895" t="s">
        <v>39</v>
      </c>
      <c r="D5895" t="s">
        <v>11</v>
      </c>
      <c r="E5895" t="s">
        <v>12</v>
      </c>
      <c r="F5895">
        <v>108519816</v>
      </c>
      <c r="G5895">
        <v>108519850</v>
      </c>
      <c r="H5895">
        <v>108519567</v>
      </c>
      <c r="I5895">
        <v>108519625</v>
      </c>
    </row>
    <row r="5896" spans="1:9" x14ac:dyDescent="0.2">
      <c r="A5896" s="1" t="str">
        <f>"FAM155B"</f>
        <v>FAM155B</v>
      </c>
      <c r="B5896" t="s">
        <v>403</v>
      </c>
      <c r="C5896" t="s">
        <v>37</v>
      </c>
      <c r="D5896" t="s">
        <v>17</v>
      </c>
      <c r="E5896" t="s">
        <v>20</v>
      </c>
      <c r="F5896">
        <v>68725083</v>
      </c>
      <c r="G5896">
        <v>68725083</v>
      </c>
      <c r="H5896">
        <v>68725083</v>
      </c>
      <c r="I5896">
        <v>68725083</v>
      </c>
    </row>
    <row r="5897" spans="1:9" x14ac:dyDescent="0.2">
      <c r="A5897" s="1" t="str">
        <f>"FAM156A"</f>
        <v>FAM156A</v>
      </c>
      <c r="B5897" t="s">
        <v>14</v>
      </c>
      <c r="C5897" t="s">
        <v>37</v>
      </c>
      <c r="D5897" t="s">
        <v>11</v>
      </c>
      <c r="E5897" t="s">
        <v>12</v>
      </c>
      <c r="F5897">
        <v>53024609</v>
      </c>
      <c r="G5897">
        <v>53024659</v>
      </c>
      <c r="H5897">
        <v>53024566</v>
      </c>
      <c r="I5897">
        <v>53024596</v>
      </c>
    </row>
    <row r="5898" spans="1:9" x14ac:dyDescent="0.2">
      <c r="A5898" s="1" t="str">
        <f>"FAM156B"</f>
        <v>FAM156B</v>
      </c>
      <c r="B5898" t="s">
        <v>404</v>
      </c>
      <c r="C5898" t="s">
        <v>37</v>
      </c>
      <c r="D5898" t="s">
        <v>17</v>
      </c>
      <c r="E5898" t="s">
        <v>35</v>
      </c>
      <c r="F5898">
        <v>52926321</v>
      </c>
      <c r="G5898">
        <v>52926326</v>
      </c>
      <c r="H5898">
        <v>52926362</v>
      </c>
      <c r="I5898">
        <v>52926372</v>
      </c>
    </row>
    <row r="5899" spans="1:9" x14ac:dyDescent="0.2">
      <c r="A5899" s="1" t="str">
        <f>"FAM156B"</f>
        <v>FAM156B</v>
      </c>
      <c r="B5899" t="s">
        <v>405</v>
      </c>
      <c r="C5899" t="s">
        <v>37</v>
      </c>
      <c r="D5899" t="s">
        <v>17</v>
      </c>
      <c r="E5899" t="s">
        <v>20</v>
      </c>
      <c r="F5899">
        <v>52927575</v>
      </c>
      <c r="G5899">
        <v>52927575</v>
      </c>
      <c r="H5899">
        <v>52927575</v>
      </c>
      <c r="I5899">
        <v>52927575</v>
      </c>
    </row>
    <row r="5900" spans="1:9" x14ac:dyDescent="0.2">
      <c r="A5900" s="1" t="str">
        <f>"FAM156B"</f>
        <v>FAM156B</v>
      </c>
      <c r="B5900" t="s">
        <v>406</v>
      </c>
      <c r="C5900" t="s">
        <v>37</v>
      </c>
      <c r="D5900" t="s">
        <v>17</v>
      </c>
      <c r="E5900" t="s">
        <v>35</v>
      </c>
      <c r="F5900">
        <v>52926321</v>
      </c>
      <c r="G5900">
        <v>52926326</v>
      </c>
      <c r="H5900">
        <v>52926362</v>
      </c>
      <c r="I5900">
        <v>52926372</v>
      </c>
    </row>
    <row r="5901" spans="1:9" x14ac:dyDescent="0.2">
      <c r="A5901" s="1" t="str">
        <f>"FAM156B"</f>
        <v>FAM156B</v>
      </c>
      <c r="B5901" t="s">
        <v>407</v>
      </c>
      <c r="C5901" t="s">
        <v>37</v>
      </c>
      <c r="D5901" t="s">
        <v>17</v>
      </c>
      <c r="E5901" t="s">
        <v>20</v>
      </c>
      <c r="F5901">
        <v>52920335</v>
      </c>
      <c r="G5901">
        <v>52920335</v>
      </c>
      <c r="H5901">
        <v>52920335</v>
      </c>
      <c r="I5901">
        <v>52920335</v>
      </c>
    </row>
    <row r="5902" spans="1:9" x14ac:dyDescent="0.2">
      <c r="A5902" s="1" t="str">
        <f>"FAM156B"</f>
        <v>FAM156B</v>
      </c>
      <c r="B5902" t="s">
        <v>408</v>
      </c>
      <c r="C5902" t="s">
        <v>37</v>
      </c>
      <c r="D5902" t="s">
        <v>17</v>
      </c>
      <c r="E5902" t="s">
        <v>20</v>
      </c>
      <c r="F5902">
        <v>52928408</v>
      </c>
      <c r="G5902">
        <v>52928408</v>
      </c>
      <c r="H5902">
        <v>52928408</v>
      </c>
      <c r="I5902">
        <v>52928408</v>
      </c>
    </row>
    <row r="5903" spans="1:9" x14ac:dyDescent="0.2">
      <c r="A5903" s="1" t="str">
        <f>"FAM157A"</f>
        <v>FAM157A</v>
      </c>
      <c r="B5903" t="s">
        <v>14</v>
      </c>
      <c r="C5903" t="s">
        <v>22</v>
      </c>
      <c r="D5903" t="s">
        <v>17</v>
      </c>
      <c r="E5903" t="s">
        <v>12</v>
      </c>
      <c r="F5903">
        <v>197894685</v>
      </c>
      <c r="G5903">
        <v>197894692</v>
      </c>
      <c r="H5903">
        <v>197894685</v>
      </c>
      <c r="I5903">
        <v>197894692</v>
      </c>
    </row>
    <row r="5904" spans="1:9" x14ac:dyDescent="0.2">
      <c r="A5904" s="1" t="str">
        <f>"FAM157B"</f>
        <v>FAM157B</v>
      </c>
      <c r="B5904" t="s">
        <v>14</v>
      </c>
      <c r="C5904" t="s">
        <v>24</v>
      </c>
      <c r="D5904" t="s">
        <v>17</v>
      </c>
      <c r="E5904" t="s">
        <v>12</v>
      </c>
      <c r="F5904">
        <v>141107506</v>
      </c>
      <c r="G5904">
        <v>141107522</v>
      </c>
      <c r="H5904">
        <v>141107506</v>
      </c>
      <c r="I5904">
        <v>141107522</v>
      </c>
    </row>
    <row r="5905" spans="1:9" x14ac:dyDescent="0.2">
      <c r="A5905" s="1" t="str">
        <f>"FAM159A"</f>
        <v>FAM159A</v>
      </c>
      <c r="B5905" t="s">
        <v>14</v>
      </c>
      <c r="C5905" t="s">
        <v>19</v>
      </c>
      <c r="D5905" t="s">
        <v>17</v>
      </c>
      <c r="E5905" t="s">
        <v>12</v>
      </c>
      <c r="F5905">
        <v>53098820</v>
      </c>
      <c r="G5905">
        <v>53098860</v>
      </c>
      <c r="H5905">
        <v>53098820</v>
      </c>
      <c r="I5905">
        <v>53098860</v>
      </c>
    </row>
    <row r="5906" spans="1:9" x14ac:dyDescent="0.2">
      <c r="A5906" s="1" t="str">
        <f>"FAM159B"</f>
        <v>FAM159B</v>
      </c>
      <c r="B5906" t="s">
        <v>14</v>
      </c>
      <c r="C5906" t="s">
        <v>46</v>
      </c>
      <c r="D5906" t="s">
        <v>17</v>
      </c>
      <c r="E5906" t="s">
        <v>12</v>
      </c>
      <c r="F5906">
        <v>63986324</v>
      </c>
      <c r="G5906">
        <v>63986342</v>
      </c>
      <c r="H5906">
        <v>63986233</v>
      </c>
      <c r="I5906">
        <v>63986261</v>
      </c>
    </row>
    <row r="5907" spans="1:9" x14ac:dyDescent="0.2">
      <c r="A5907" s="1" t="str">
        <f>"FAM160A1"</f>
        <v>FAM160A1</v>
      </c>
      <c r="B5907" t="s">
        <v>14</v>
      </c>
      <c r="C5907" t="s">
        <v>23</v>
      </c>
      <c r="D5907" t="s">
        <v>17</v>
      </c>
      <c r="E5907" t="s">
        <v>12</v>
      </c>
      <c r="F5907">
        <v>152330321</v>
      </c>
      <c r="G5907">
        <v>152330350</v>
      </c>
      <c r="H5907">
        <v>152330355</v>
      </c>
      <c r="I5907">
        <v>152330373</v>
      </c>
    </row>
    <row r="5908" spans="1:9" x14ac:dyDescent="0.2">
      <c r="A5908" s="1" t="str">
        <f>"FAM160A2"</f>
        <v>FAM160A2</v>
      </c>
      <c r="B5908" t="s">
        <v>14</v>
      </c>
      <c r="C5908" t="s">
        <v>27</v>
      </c>
      <c r="D5908" t="s">
        <v>11</v>
      </c>
      <c r="E5908" t="s">
        <v>12</v>
      </c>
      <c r="F5908">
        <v>6255849</v>
      </c>
      <c r="G5908">
        <v>6255882</v>
      </c>
      <c r="H5908">
        <v>6255883</v>
      </c>
      <c r="I5908">
        <v>6255894</v>
      </c>
    </row>
    <row r="5909" spans="1:9" x14ac:dyDescent="0.2">
      <c r="A5909" s="1" t="str">
        <f>"FAM160B1"</f>
        <v>FAM160B1</v>
      </c>
      <c r="B5909" t="s">
        <v>14</v>
      </c>
      <c r="C5909" t="s">
        <v>15</v>
      </c>
      <c r="D5909" t="s">
        <v>17</v>
      </c>
      <c r="E5909" t="s">
        <v>12</v>
      </c>
      <c r="F5909">
        <v>116581513</v>
      </c>
      <c r="G5909">
        <v>116581570</v>
      </c>
      <c r="H5909">
        <v>116581491</v>
      </c>
      <c r="I5909">
        <v>116581509</v>
      </c>
    </row>
    <row r="5910" spans="1:9" x14ac:dyDescent="0.2">
      <c r="A5910" s="1" t="str">
        <f>"FAM160B2"</f>
        <v>FAM160B2</v>
      </c>
      <c r="B5910" t="s">
        <v>14</v>
      </c>
      <c r="C5910" t="s">
        <v>30</v>
      </c>
      <c r="D5910" t="s">
        <v>17</v>
      </c>
      <c r="E5910" t="s">
        <v>12</v>
      </c>
      <c r="F5910">
        <v>21946681</v>
      </c>
      <c r="G5910">
        <v>21946720</v>
      </c>
      <c r="H5910">
        <v>21946651</v>
      </c>
      <c r="I5910">
        <v>21946678</v>
      </c>
    </row>
    <row r="5911" spans="1:9" x14ac:dyDescent="0.2">
      <c r="A5911" s="1" t="str">
        <f>"FAM161A"</f>
        <v>FAM161A</v>
      </c>
      <c r="B5911" t="s">
        <v>14</v>
      </c>
      <c r="C5911" t="s">
        <v>26</v>
      </c>
      <c r="D5911" t="s">
        <v>11</v>
      </c>
      <c r="E5911" t="s">
        <v>12</v>
      </c>
      <c r="F5911">
        <v>62081148</v>
      </c>
      <c r="G5911">
        <v>62081204</v>
      </c>
      <c r="H5911">
        <v>62081124</v>
      </c>
      <c r="I5911">
        <v>62081146</v>
      </c>
    </row>
    <row r="5912" spans="1:9" x14ac:dyDescent="0.2">
      <c r="A5912" s="1" t="str">
        <f>"FAM161B"</f>
        <v>FAM161B</v>
      </c>
      <c r="B5912" t="s">
        <v>14</v>
      </c>
      <c r="C5912" t="s">
        <v>41</v>
      </c>
      <c r="D5912" t="s">
        <v>11</v>
      </c>
      <c r="E5912" t="s">
        <v>12</v>
      </c>
      <c r="F5912">
        <v>74416778</v>
      </c>
      <c r="G5912">
        <v>74416827</v>
      </c>
      <c r="H5912">
        <v>74416829</v>
      </c>
      <c r="I5912">
        <v>74416851</v>
      </c>
    </row>
    <row r="5913" spans="1:9" x14ac:dyDescent="0.2">
      <c r="A5913" s="1" t="str">
        <f>"FAM162A"</f>
        <v>FAM162A</v>
      </c>
      <c r="B5913" t="s">
        <v>14</v>
      </c>
      <c r="C5913" t="s">
        <v>22</v>
      </c>
      <c r="D5913" t="s">
        <v>17</v>
      </c>
      <c r="E5913" t="s">
        <v>12</v>
      </c>
      <c r="F5913">
        <v>122103014</v>
      </c>
      <c r="G5913">
        <v>122103088</v>
      </c>
      <c r="H5913">
        <v>122103002</v>
      </c>
      <c r="I5913">
        <v>122103013</v>
      </c>
    </row>
    <row r="5914" spans="1:9" x14ac:dyDescent="0.2">
      <c r="A5914" s="1" t="str">
        <f>"FAM162B"</f>
        <v>FAM162B</v>
      </c>
      <c r="B5914" t="s">
        <v>14</v>
      </c>
      <c r="C5914" t="s">
        <v>32</v>
      </c>
      <c r="D5914" t="s">
        <v>11</v>
      </c>
      <c r="E5914" t="s">
        <v>12</v>
      </c>
      <c r="F5914">
        <v>117086829</v>
      </c>
      <c r="G5914">
        <v>117086867</v>
      </c>
      <c r="H5914">
        <v>117086873</v>
      </c>
      <c r="I5914">
        <v>117086906</v>
      </c>
    </row>
    <row r="5915" spans="1:9" x14ac:dyDescent="0.2">
      <c r="A5915" s="1" t="str">
        <f>"FAM163A"</f>
        <v>FAM163A</v>
      </c>
      <c r="B5915" t="s">
        <v>14</v>
      </c>
      <c r="C5915" t="s">
        <v>19</v>
      </c>
      <c r="D5915" t="s">
        <v>17</v>
      </c>
      <c r="E5915" t="s">
        <v>12</v>
      </c>
      <c r="F5915">
        <v>179712410</v>
      </c>
      <c r="G5915">
        <v>179712437</v>
      </c>
      <c r="H5915">
        <v>179712397</v>
      </c>
      <c r="I5915">
        <v>179712406</v>
      </c>
    </row>
    <row r="5916" spans="1:9" x14ac:dyDescent="0.2">
      <c r="A5916" s="1" t="str">
        <f>"FAM163B"</f>
        <v>FAM163B</v>
      </c>
      <c r="B5916" t="s">
        <v>9</v>
      </c>
      <c r="C5916" t="s">
        <v>24</v>
      </c>
      <c r="D5916" t="s">
        <v>11</v>
      </c>
      <c r="E5916" t="s">
        <v>12</v>
      </c>
      <c r="F5916">
        <v>136445328</v>
      </c>
      <c r="G5916">
        <v>136445340</v>
      </c>
      <c r="H5916">
        <v>136445328</v>
      </c>
      <c r="I5916">
        <v>136445340</v>
      </c>
    </row>
    <row r="5917" spans="1:9" x14ac:dyDescent="0.2">
      <c r="A5917" s="1" t="str">
        <f>"FAM163B"</f>
        <v>FAM163B</v>
      </c>
      <c r="B5917" t="s">
        <v>13</v>
      </c>
      <c r="C5917" t="s">
        <v>24</v>
      </c>
      <c r="D5917" t="s">
        <v>11</v>
      </c>
      <c r="E5917" t="s">
        <v>12</v>
      </c>
      <c r="F5917">
        <v>136451150</v>
      </c>
      <c r="G5917">
        <v>136451182</v>
      </c>
      <c r="H5917">
        <v>136451150</v>
      </c>
      <c r="I5917">
        <v>136451182</v>
      </c>
    </row>
    <row r="5918" spans="1:9" x14ac:dyDescent="0.2">
      <c r="A5918" s="1" t="str">
        <f>"FAM166A"</f>
        <v>FAM166A</v>
      </c>
      <c r="B5918" t="s">
        <v>14</v>
      </c>
      <c r="C5918" t="s">
        <v>24</v>
      </c>
      <c r="D5918" t="s">
        <v>11</v>
      </c>
      <c r="E5918" t="s">
        <v>12</v>
      </c>
      <c r="F5918">
        <v>140142181</v>
      </c>
      <c r="G5918">
        <v>140142208</v>
      </c>
      <c r="H5918">
        <v>140142239</v>
      </c>
      <c r="I5918">
        <v>140142246</v>
      </c>
    </row>
    <row r="5919" spans="1:9" x14ac:dyDescent="0.2">
      <c r="A5919" s="1" t="str">
        <f>"FAM166B"</f>
        <v>FAM166B</v>
      </c>
      <c r="B5919" t="s">
        <v>14</v>
      </c>
      <c r="C5919" t="s">
        <v>24</v>
      </c>
      <c r="D5919" t="s">
        <v>11</v>
      </c>
      <c r="E5919" t="s">
        <v>12</v>
      </c>
      <c r="F5919">
        <v>35563864</v>
      </c>
      <c r="G5919">
        <v>35563886</v>
      </c>
      <c r="H5919">
        <v>35563904</v>
      </c>
      <c r="I5919">
        <v>35563911</v>
      </c>
    </row>
    <row r="5920" spans="1:9" x14ac:dyDescent="0.2">
      <c r="A5920" s="1" t="str">
        <f>"FAM167A"</f>
        <v>FAM167A</v>
      </c>
      <c r="B5920" t="s">
        <v>9</v>
      </c>
      <c r="C5920" t="s">
        <v>30</v>
      </c>
      <c r="D5920" t="s">
        <v>11</v>
      </c>
      <c r="E5920" t="s">
        <v>12</v>
      </c>
      <c r="F5920">
        <v>11324249</v>
      </c>
      <c r="G5920">
        <v>11324270</v>
      </c>
      <c r="H5920">
        <v>11324249</v>
      </c>
      <c r="I5920">
        <v>11324270</v>
      </c>
    </row>
    <row r="5921" spans="1:9" x14ac:dyDescent="0.2">
      <c r="A5921" s="1" t="str">
        <f>"FAM167A"</f>
        <v>FAM167A</v>
      </c>
      <c r="B5921" t="s">
        <v>13</v>
      </c>
      <c r="C5921" t="s">
        <v>30</v>
      </c>
      <c r="D5921" t="s">
        <v>11</v>
      </c>
      <c r="E5921" t="s">
        <v>12</v>
      </c>
      <c r="F5921">
        <v>11332176</v>
      </c>
      <c r="G5921">
        <v>11332231</v>
      </c>
      <c r="H5921">
        <v>11332176</v>
      </c>
      <c r="I5921">
        <v>11332231</v>
      </c>
    </row>
    <row r="5922" spans="1:9" x14ac:dyDescent="0.2">
      <c r="A5922" s="1" t="str">
        <f>"FAM167B"</f>
        <v>FAM167B</v>
      </c>
      <c r="B5922" t="s">
        <v>14</v>
      </c>
      <c r="C5922" t="s">
        <v>19</v>
      </c>
      <c r="D5922" t="s">
        <v>17</v>
      </c>
      <c r="E5922" t="s">
        <v>12</v>
      </c>
      <c r="F5922">
        <v>32712815</v>
      </c>
      <c r="G5922">
        <v>32712842</v>
      </c>
      <c r="H5922">
        <v>32712845</v>
      </c>
      <c r="I5922">
        <v>32712856</v>
      </c>
    </row>
    <row r="5923" spans="1:9" x14ac:dyDescent="0.2">
      <c r="A5923" s="1" t="str">
        <f>"FAM168A"</f>
        <v>FAM168A</v>
      </c>
      <c r="B5923" t="s">
        <v>14</v>
      </c>
      <c r="C5923" t="s">
        <v>27</v>
      </c>
      <c r="D5923" t="s">
        <v>11</v>
      </c>
      <c r="E5923" t="s">
        <v>12</v>
      </c>
      <c r="F5923">
        <v>73309112</v>
      </c>
      <c r="G5923">
        <v>73309221</v>
      </c>
      <c r="H5923">
        <v>73309228</v>
      </c>
      <c r="I5923">
        <v>73309257</v>
      </c>
    </row>
    <row r="5924" spans="1:9" x14ac:dyDescent="0.2">
      <c r="A5924" s="1" t="str">
        <f>"FAM168B"</f>
        <v>FAM168B</v>
      </c>
      <c r="B5924" t="s">
        <v>14</v>
      </c>
      <c r="C5924" t="s">
        <v>26</v>
      </c>
      <c r="D5924" t="s">
        <v>11</v>
      </c>
      <c r="E5924" t="s">
        <v>12</v>
      </c>
      <c r="F5924">
        <v>131850951</v>
      </c>
      <c r="G5924">
        <v>131851065</v>
      </c>
      <c r="H5924">
        <v>131850951</v>
      </c>
      <c r="I5924">
        <v>131851065</v>
      </c>
    </row>
    <row r="5925" spans="1:9" x14ac:dyDescent="0.2">
      <c r="A5925" s="1" t="str">
        <f>"FAM169A"</f>
        <v>FAM169A</v>
      </c>
      <c r="B5925" t="s">
        <v>14</v>
      </c>
      <c r="C5925" t="s">
        <v>46</v>
      </c>
      <c r="D5925" t="s">
        <v>11</v>
      </c>
      <c r="E5925" t="s">
        <v>12</v>
      </c>
      <c r="F5925">
        <v>74162153</v>
      </c>
      <c r="G5925">
        <v>74162245</v>
      </c>
      <c r="H5925">
        <v>74162339</v>
      </c>
      <c r="I5925">
        <v>74162405</v>
      </c>
    </row>
    <row r="5926" spans="1:9" x14ac:dyDescent="0.2">
      <c r="A5926" s="1" t="str">
        <f>"FAM169B"</f>
        <v>FAM169B</v>
      </c>
      <c r="B5926" t="s">
        <v>14</v>
      </c>
      <c r="C5926" t="s">
        <v>25</v>
      </c>
      <c r="D5926" t="s">
        <v>11</v>
      </c>
      <c r="E5926" t="s">
        <v>12</v>
      </c>
      <c r="F5926">
        <v>99057551</v>
      </c>
      <c r="G5926">
        <v>99057569</v>
      </c>
      <c r="H5926">
        <v>99057551</v>
      </c>
      <c r="I5926">
        <v>99057569</v>
      </c>
    </row>
    <row r="5927" spans="1:9" x14ac:dyDescent="0.2">
      <c r="A5927" s="1" t="str">
        <f>"FAM170A"</f>
        <v>FAM170A</v>
      </c>
      <c r="B5927" t="s">
        <v>14</v>
      </c>
      <c r="C5927" t="s">
        <v>46</v>
      </c>
      <c r="D5927" t="s">
        <v>17</v>
      </c>
      <c r="E5927" t="s">
        <v>12</v>
      </c>
      <c r="F5927">
        <v>118965244</v>
      </c>
      <c r="G5927">
        <v>118965287</v>
      </c>
      <c r="H5927">
        <v>118965244</v>
      </c>
      <c r="I5927">
        <v>118965287</v>
      </c>
    </row>
    <row r="5928" spans="1:9" x14ac:dyDescent="0.2">
      <c r="A5928" s="1" t="str">
        <f>"FAM170B"</f>
        <v>FAM170B</v>
      </c>
      <c r="B5928" t="s">
        <v>14</v>
      </c>
      <c r="C5928" t="s">
        <v>15</v>
      </c>
      <c r="D5928" t="s">
        <v>11</v>
      </c>
      <c r="E5928" t="s">
        <v>12</v>
      </c>
      <c r="F5928">
        <v>50342029</v>
      </c>
      <c r="G5928">
        <v>50342066</v>
      </c>
      <c r="H5928">
        <v>50342029</v>
      </c>
      <c r="I5928">
        <v>50342066</v>
      </c>
    </row>
    <row r="5929" spans="1:9" x14ac:dyDescent="0.2">
      <c r="A5929" s="1" t="str">
        <f>"FAM171A1"</f>
        <v>FAM171A1</v>
      </c>
      <c r="B5929" t="s">
        <v>14</v>
      </c>
      <c r="C5929" t="s">
        <v>15</v>
      </c>
      <c r="D5929" t="s">
        <v>11</v>
      </c>
      <c r="E5929" t="s">
        <v>12</v>
      </c>
      <c r="F5929">
        <v>15413035</v>
      </c>
      <c r="G5929">
        <v>15413131</v>
      </c>
      <c r="H5929">
        <v>15413224</v>
      </c>
      <c r="I5929">
        <v>15413308</v>
      </c>
    </row>
    <row r="5930" spans="1:9" x14ac:dyDescent="0.2">
      <c r="A5930" s="1" t="str">
        <f>"FAM171A2"</f>
        <v>FAM171A2</v>
      </c>
      <c r="B5930" t="s">
        <v>14</v>
      </c>
      <c r="C5930" t="s">
        <v>28</v>
      </c>
      <c r="D5930" t="s">
        <v>11</v>
      </c>
      <c r="E5930" t="s">
        <v>12</v>
      </c>
      <c r="F5930">
        <v>42441204</v>
      </c>
      <c r="G5930">
        <v>42441239</v>
      </c>
      <c r="H5930">
        <v>42441184</v>
      </c>
      <c r="I5930">
        <v>42441203</v>
      </c>
    </row>
    <row r="5931" spans="1:9" x14ac:dyDescent="0.2">
      <c r="A5931" s="1" t="str">
        <f>"FAM171B"</f>
        <v>FAM171B</v>
      </c>
      <c r="B5931" t="s">
        <v>14</v>
      </c>
      <c r="C5931" t="s">
        <v>26</v>
      </c>
      <c r="D5931" t="s">
        <v>17</v>
      </c>
      <c r="E5931" t="s">
        <v>12</v>
      </c>
      <c r="F5931">
        <v>187558736</v>
      </c>
      <c r="G5931">
        <v>187558795</v>
      </c>
      <c r="H5931">
        <v>187558804</v>
      </c>
      <c r="I5931">
        <v>187558813</v>
      </c>
    </row>
    <row r="5932" spans="1:9" x14ac:dyDescent="0.2">
      <c r="A5932" s="1" t="str">
        <f>"FAM172A"</f>
        <v>FAM172A</v>
      </c>
      <c r="B5932" t="s">
        <v>14</v>
      </c>
      <c r="C5932" t="s">
        <v>46</v>
      </c>
      <c r="D5932" t="s">
        <v>11</v>
      </c>
      <c r="E5932" t="s">
        <v>12</v>
      </c>
      <c r="F5932">
        <v>93447333</v>
      </c>
      <c r="G5932">
        <v>93447386</v>
      </c>
      <c r="H5932">
        <v>93447292</v>
      </c>
      <c r="I5932">
        <v>93447322</v>
      </c>
    </row>
    <row r="5933" spans="1:9" x14ac:dyDescent="0.2">
      <c r="A5933" s="1" t="str">
        <f>"FAM173A"</f>
        <v>FAM173A</v>
      </c>
      <c r="B5933" t="s">
        <v>14</v>
      </c>
      <c r="C5933" t="s">
        <v>31</v>
      </c>
      <c r="D5933" t="s">
        <v>17</v>
      </c>
      <c r="E5933" t="s">
        <v>12</v>
      </c>
      <c r="F5933">
        <v>771136</v>
      </c>
      <c r="G5933">
        <v>771192</v>
      </c>
      <c r="H5933">
        <v>770566</v>
      </c>
      <c r="I5933">
        <v>770601</v>
      </c>
    </row>
    <row r="5934" spans="1:9" x14ac:dyDescent="0.2">
      <c r="A5934" s="1" t="str">
        <f>"FAM173B"</f>
        <v>FAM173B</v>
      </c>
      <c r="B5934" t="s">
        <v>14</v>
      </c>
      <c r="C5934" t="s">
        <v>46</v>
      </c>
      <c r="D5934" t="s">
        <v>11</v>
      </c>
      <c r="E5934" t="s">
        <v>12</v>
      </c>
      <c r="F5934">
        <v>10249990</v>
      </c>
      <c r="G5934">
        <v>10250016</v>
      </c>
      <c r="H5934">
        <v>10250293</v>
      </c>
      <c r="I5934">
        <v>10250340</v>
      </c>
    </row>
    <row r="5935" spans="1:9" x14ac:dyDescent="0.2">
      <c r="A5935" s="1" t="str">
        <f>"FAM174A"</f>
        <v>FAM174A</v>
      </c>
      <c r="B5935" t="s">
        <v>14</v>
      </c>
      <c r="C5935" t="s">
        <v>46</v>
      </c>
      <c r="D5935" t="s">
        <v>17</v>
      </c>
      <c r="E5935" t="s">
        <v>12</v>
      </c>
      <c r="F5935">
        <v>99871021</v>
      </c>
      <c r="G5935">
        <v>99871096</v>
      </c>
      <c r="H5935">
        <v>99871101</v>
      </c>
      <c r="I5935">
        <v>99871124</v>
      </c>
    </row>
    <row r="5936" spans="1:9" x14ac:dyDescent="0.2">
      <c r="A5936" s="1" t="str">
        <f>"FAM174B"</f>
        <v>FAM174B</v>
      </c>
      <c r="B5936" t="s">
        <v>14</v>
      </c>
      <c r="C5936" t="s">
        <v>25</v>
      </c>
      <c r="D5936" t="s">
        <v>11</v>
      </c>
      <c r="E5936" t="s">
        <v>12</v>
      </c>
      <c r="F5936">
        <v>93198942</v>
      </c>
      <c r="G5936">
        <v>93199035</v>
      </c>
      <c r="H5936">
        <v>93198942</v>
      </c>
      <c r="I5936">
        <v>93199035</v>
      </c>
    </row>
    <row r="5937" spans="1:9" x14ac:dyDescent="0.2">
      <c r="A5937" s="1" t="str">
        <f>"FAM175A"</f>
        <v>FAM175A</v>
      </c>
      <c r="B5937" t="s">
        <v>14</v>
      </c>
      <c r="C5937" t="s">
        <v>23</v>
      </c>
      <c r="D5937" t="s">
        <v>11</v>
      </c>
      <c r="E5937" t="s">
        <v>12</v>
      </c>
      <c r="F5937">
        <v>84406242</v>
      </c>
      <c r="G5937">
        <v>84406264</v>
      </c>
      <c r="H5937">
        <v>84406307</v>
      </c>
      <c r="I5937">
        <v>84406314</v>
      </c>
    </row>
    <row r="5938" spans="1:9" x14ac:dyDescent="0.2">
      <c r="A5938" s="1" t="str">
        <f>"FAM175B"</f>
        <v>FAM175B</v>
      </c>
      <c r="B5938" t="s">
        <v>14</v>
      </c>
      <c r="C5938" t="s">
        <v>15</v>
      </c>
      <c r="D5938" t="s">
        <v>17</v>
      </c>
      <c r="E5938" t="s">
        <v>12</v>
      </c>
      <c r="F5938">
        <v>126490369</v>
      </c>
      <c r="G5938">
        <v>126490395</v>
      </c>
      <c r="H5938">
        <v>126490369</v>
      </c>
      <c r="I5938">
        <v>126490395</v>
      </c>
    </row>
    <row r="5939" spans="1:9" x14ac:dyDescent="0.2">
      <c r="A5939" s="1" t="str">
        <f>"FAM177A1"</f>
        <v>FAM177A1</v>
      </c>
      <c r="B5939" t="s">
        <v>14</v>
      </c>
      <c r="C5939" t="s">
        <v>41</v>
      </c>
      <c r="D5939" t="s">
        <v>17</v>
      </c>
      <c r="E5939" t="s">
        <v>12</v>
      </c>
      <c r="F5939">
        <v>35515540</v>
      </c>
      <c r="G5939">
        <v>35515581</v>
      </c>
      <c r="H5939">
        <v>35515444</v>
      </c>
      <c r="I5939">
        <v>35515498</v>
      </c>
    </row>
    <row r="5940" spans="1:9" x14ac:dyDescent="0.2">
      <c r="A5940" s="1" t="str">
        <f>"FAM177B"</f>
        <v>FAM177B</v>
      </c>
      <c r="B5940" t="s">
        <v>9</v>
      </c>
      <c r="C5940" t="s">
        <v>19</v>
      </c>
      <c r="D5940" t="s">
        <v>17</v>
      </c>
      <c r="E5940" t="s">
        <v>12</v>
      </c>
      <c r="F5940">
        <v>222913009</v>
      </c>
      <c r="G5940">
        <v>222913031</v>
      </c>
      <c r="H5940">
        <v>222913009</v>
      </c>
      <c r="I5940">
        <v>222913031</v>
      </c>
    </row>
    <row r="5941" spans="1:9" x14ac:dyDescent="0.2">
      <c r="A5941" s="1" t="str">
        <f>"FAM177B"</f>
        <v>FAM177B</v>
      </c>
      <c r="B5941" t="s">
        <v>13</v>
      </c>
      <c r="C5941" t="s">
        <v>19</v>
      </c>
      <c r="D5941" t="s">
        <v>17</v>
      </c>
      <c r="E5941" t="s">
        <v>12</v>
      </c>
      <c r="F5941">
        <v>222910538</v>
      </c>
      <c r="G5941">
        <v>222910572</v>
      </c>
      <c r="H5941">
        <v>222910538</v>
      </c>
      <c r="I5941">
        <v>222910572</v>
      </c>
    </row>
    <row r="5942" spans="1:9" x14ac:dyDescent="0.2">
      <c r="A5942" s="1" t="str">
        <f>"FAM178A"</f>
        <v>FAM178A</v>
      </c>
      <c r="B5942" t="s">
        <v>14</v>
      </c>
      <c r="C5942" t="s">
        <v>15</v>
      </c>
      <c r="D5942" t="s">
        <v>17</v>
      </c>
      <c r="E5942" t="s">
        <v>12</v>
      </c>
      <c r="F5942">
        <v>102672712</v>
      </c>
      <c r="G5942">
        <v>102672734</v>
      </c>
      <c r="H5942">
        <v>102673191</v>
      </c>
      <c r="I5942">
        <v>102673218</v>
      </c>
    </row>
    <row r="5943" spans="1:9" x14ac:dyDescent="0.2">
      <c r="A5943" s="1" t="str">
        <f>"FAM178B"</f>
        <v>FAM178B</v>
      </c>
      <c r="B5943" t="s">
        <v>14</v>
      </c>
      <c r="C5943" t="s">
        <v>26</v>
      </c>
      <c r="D5943" t="s">
        <v>11</v>
      </c>
      <c r="E5943" t="s">
        <v>12</v>
      </c>
      <c r="F5943">
        <v>97652309</v>
      </c>
      <c r="G5943">
        <v>97652322</v>
      </c>
      <c r="H5943">
        <v>97652309</v>
      </c>
      <c r="I5943">
        <v>97652322</v>
      </c>
    </row>
    <row r="5944" spans="1:9" x14ac:dyDescent="0.2">
      <c r="A5944" s="1" t="str">
        <f>"FAM179A"</f>
        <v>FAM179A</v>
      </c>
      <c r="B5944" t="s">
        <v>409</v>
      </c>
      <c r="C5944" t="s">
        <v>26</v>
      </c>
      <c r="D5944" t="s">
        <v>17</v>
      </c>
      <c r="E5944" t="s">
        <v>35</v>
      </c>
      <c r="F5944">
        <v>29204161</v>
      </c>
      <c r="G5944">
        <v>29204178</v>
      </c>
      <c r="H5944">
        <v>29204234</v>
      </c>
      <c r="I5944">
        <v>29204241</v>
      </c>
    </row>
    <row r="5945" spans="1:9" x14ac:dyDescent="0.2">
      <c r="A5945" s="1" t="str">
        <f>"FAM179B"</f>
        <v>FAM179B</v>
      </c>
      <c r="B5945" t="s">
        <v>14</v>
      </c>
      <c r="C5945" t="s">
        <v>41</v>
      </c>
      <c r="D5945" t="s">
        <v>17</v>
      </c>
      <c r="E5945" t="s">
        <v>12</v>
      </c>
      <c r="F5945">
        <v>45431379</v>
      </c>
      <c r="G5945">
        <v>45431465</v>
      </c>
      <c r="H5945">
        <v>45431379</v>
      </c>
      <c r="I5945">
        <v>45431465</v>
      </c>
    </row>
    <row r="5946" spans="1:9" x14ac:dyDescent="0.2">
      <c r="A5946" s="1" t="str">
        <f>"FAM180A"</f>
        <v>FAM180A</v>
      </c>
      <c r="B5946" t="s">
        <v>14</v>
      </c>
      <c r="C5946" t="s">
        <v>33</v>
      </c>
      <c r="D5946" t="s">
        <v>11</v>
      </c>
      <c r="E5946" t="s">
        <v>12</v>
      </c>
      <c r="F5946">
        <v>135433534</v>
      </c>
      <c r="G5946">
        <v>135433568</v>
      </c>
      <c r="H5946">
        <v>135433534</v>
      </c>
      <c r="I5946">
        <v>135433568</v>
      </c>
    </row>
    <row r="5947" spans="1:9" x14ac:dyDescent="0.2">
      <c r="A5947" s="1" t="str">
        <f>"FAM180B"</f>
        <v>FAM180B</v>
      </c>
      <c r="B5947" t="s">
        <v>14</v>
      </c>
      <c r="C5947" t="s">
        <v>27</v>
      </c>
      <c r="D5947" t="s">
        <v>17</v>
      </c>
      <c r="E5947" t="s">
        <v>12</v>
      </c>
      <c r="F5947">
        <v>47608225</v>
      </c>
      <c r="G5947">
        <v>47608237</v>
      </c>
      <c r="H5947">
        <v>47608225</v>
      </c>
      <c r="I5947">
        <v>47608237</v>
      </c>
    </row>
    <row r="5948" spans="1:9" x14ac:dyDescent="0.2">
      <c r="A5948" s="1" t="str">
        <f>"FAM181A"</f>
        <v>FAM181A</v>
      </c>
      <c r="B5948" t="s">
        <v>9</v>
      </c>
      <c r="C5948" t="s">
        <v>41</v>
      </c>
      <c r="D5948" t="s">
        <v>17</v>
      </c>
      <c r="E5948" t="s">
        <v>12</v>
      </c>
      <c r="F5948">
        <v>94393670</v>
      </c>
      <c r="G5948">
        <v>94393702</v>
      </c>
      <c r="H5948">
        <v>94393670</v>
      </c>
      <c r="I5948">
        <v>94393702</v>
      </c>
    </row>
    <row r="5949" spans="1:9" x14ac:dyDescent="0.2">
      <c r="A5949" s="1" t="str">
        <f>"FAM181A"</f>
        <v>FAM181A</v>
      </c>
      <c r="B5949" t="s">
        <v>13</v>
      </c>
      <c r="C5949" t="s">
        <v>41</v>
      </c>
      <c r="D5949" t="s">
        <v>17</v>
      </c>
      <c r="E5949" t="s">
        <v>12</v>
      </c>
      <c r="F5949">
        <v>94385275</v>
      </c>
      <c r="G5949">
        <v>94385286</v>
      </c>
      <c r="H5949">
        <v>94385275</v>
      </c>
      <c r="I5949">
        <v>94385286</v>
      </c>
    </row>
    <row r="5950" spans="1:9" x14ac:dyDescent="0.2">
      <c r="A5950" s="1" t="str">
        <f>"FAM181B"</f>
        <v>FAM181B</v>
      </c>
      <c r="B5950" t="s">
        <v>14</v>
      </c>
      <c r="C5950" t="s">
        <v>27</v>
      </c>
      <c r="D5950" t="s">
        <v>11</v>
      </c>
      <c r="E5950" t="s">
        <v>12</v>
      </c>
      <c r="F5950">
        <v>82444892</v>
      </c>
      <c r="G5950">
        <v>82444912</v>
      </c>
      <c r="H5950">
        <v>82444874</v>
      </c>
      <c r="I5950">
        <v>82444886</v>
      </c>
    </row>
    <row r="5951" spans="1:9" x14ac:dyDescent="0.2">
      <c r="A5951" s="1" t="str">
        <f>"FAM183A"</f>
        <v>FAM183A</v>
      </c>
      <c r="B5951" t="s">
        <v>14</v>
      </c>
      <c r="C5951" t="s">
        <v>19</v>
      </c>
      <c r="D5951" t="s">
        <v>17</v>
      </c>
      <c r="E5951" t="s">
        <v>12</v>
      </c>
      <c r="F5951">
        <v>43613566</v>
      </c>
      <c r="G5951">
        <v>43613608</v>
      </c>
      <c r="H5951">
        <v>43613477</v>
      </c>
      <c r="I5951">
        <v>43613503</v>
      </c>
    </row>
    <row r="5952" spans="1:9" x14ac:dyDescent="0.2">
      <c r="A5952" s="1" t="str">
        <f>"FAM184A"</f>
        <v>FAM184A</v>
      </c>
      <c r="B5952" t="s">
        <v>14</v>
      </c>
      <c r="C5952" t="s">
        <v>32</v>
      </c>
      <c r="D5952" t="s">
        <v>11</v>
      </c>
      <c r="E5952" t="s">
        <v>12</v>
      </c>
      <c r="F5952">
        <v>119399805</v>
      </c>
      <c r="G5952">
        <v>119399860</v>
      </c>
      <c r="H5952">
        <v>119399919</v>
      </c>
      <c r="I5952">
        <v>119399944</v>
      </c>
    </row>
    <row r="5953" spans="1:9" x14ac:dyDescent="0.2">
      <c r="A5953" s="1" t="str">
        <f>"FAM184B"</f>
        <v>FAM184B</v>
      </c>
      <c r="B5953" t="s">
        <v>14</v>
      </c>
      <c r="C5953" t="s">
        <v>23</v>
      </c>
      <c r="D5953" t="s">
        <v>11</v>
      </c>
      <c r="E5953" t="s">
        <v>12</v>
      </c>
      <c r="F5953">
        <v>17783228</v>
      </c>
      <c r="G5953">
        <v>17783250</v>
      </c>
      <c r="H5953">
        <v>17783228</v>
      </c>
      <c r="I5953">
        <v>17783250</v>
      </c>
    </row>
    <row r="5954" spans="1:9" x14ac:dyDescent="0.2">
      <c r="A5954" s="1" t="str">
        <f>"FAM185A"</f>
        <v>FAM185A</v>
      </c>
      <c r="B5954" t="s">
        <v>14</v>
      </c>
      <c r="C5954" t="s">
        <v>33</v>
      </c>
      <c r="D5954" t="s">
        <v>17</v>
      </c>
      <c r="E5954" t="s">
        <v>12</v>
      </c>
      <c r="F5954">
        <v>102389434</v>
      </c>
      <c r="G5954">
        <v>102389497</v>
      </c>
      <c r="H5954">
        <v>102389644</v>
      </c>
      <c r="I5954">
        <v>102389677</v>
      </c>
    </row>
    <row r="5955" spans="1:9" x14ac:dyDescent="0.2">
      <c r="A5955" s="1" t="str">
        <f>"FAM186A"</f>
        <v>FAM186A</v>
      </c>
      <c r="B5955" t="s">
        <v>14</v>
      </c>
      <c r="C5955" t="s">
        <v>16</v>
      </c>
      <c r="D5955" t="s">
        <v>11</v>
      </c>
      <c r="E5955" t="s">
        <v>12</v>
      </c>
      <c r="F5955">
        <v>50790385</v>
      </c>
      <c r="G5955">
        <v>50790396</v>
      </c>
      <c r="H5955">
        <v>50790385</v>
      </c>
      <c r="I5955">
        <v>50790396</v>
      </c>
    </row>
    <row r="5956" spans="1:9" x14ac:dyDescent="0.2">
      <c r="A5956" s="1" t="str">
        <f>"FAM186B"</f>
        <v>FAM186B</v>
      </c>
      <c r="B5956" t="s">
        <v>14</v>
      </c>
      <c r="C5956" t="s">
        <v>16</v>
      </c>
      <c r="D5956" t="s">
        <v>11</v>
      </c>
      <c r="E5956" t="s">
        <v>12</v>
      </c>
      <c r="F5956">
        <v>49999389</v>
      </c>
      <c r="G5956">
        <v>49999407</v>
      </c>
      <c r="H5956">
        <v>49999417</v>
      </c>
      <c r="I5956">
        <v>49999426</v>
      </c>
    </row>
    <row r="5957" spans="1:9" x14ac:dyDescent="0.2">
      <c r="A5957" s="1" t="str">
        <f>"FAM187A"</f>
        <v>FAM187A</v>
      </c>
      <c r="B5957" t="s">
        <v>14</v>
      </c>
      <c r="C5957" t="s">
        <v>28</v>
      </c>
      <c r="D5957" t="s">
        <v>17</v>
      </c>
      <c r="E5957" t="s">
        <v>12</v>
      </c>
      <c r="F5957">
        <v>42977122</v>
      </c>
      <c r="G5957">
        <v>42977147</v>
      </c>
      <c r="H5957">
        <v>42977122</v>
      </c>
      <c r="I5957">
        <v>42977147</v>
      </c>
    </row>
    <row r="5958" spans="1:9" x14ac:dyDescent="0.2">
      <c r="A5958" s="1" t="str">
        <f>"FAM187B"</f>
        <v>FAM187B</v>
      </c>
      <c r="B5958" t="s">
        <v>14</v>
      </c>
      <c r="C5958" t="s">
        <v>10</v>
      </c>
      <c r="D5958" t="s">
        <v>11</v>
      </c>
      <c r="E5958" t="s">
        <v>12</v>
      </c>
      <c r="F5958">
        <v>35719568</v>
      </c>
      <c r="G5958">
        <v>35719596</v>
      </c>
      <c r="H5958">
        <v>35719601</v>
      </c>
      <c r="I5958">
        <v>35719608</v>
      </c>
    </row>
    <row r="5959" spans="1:9" x14ac:dyDescent="0.2">
      <c r="A5959" s="1" t="str">
        <f>"FAM188A"</f>
        <v>FAM188A</v>
      </c>
      <c r="B5959" t="s">
        <v>14</v>
      </c>
      <c r="C5959" t="s">
        <v>15</v>
      </c>
      <c r="D5959" t="s">
        <v>11</v>
      </c>
      <c r="E5959" t="s">
        <v>12</v>
      </c>
      <c r="F5959">
        <v>15902449</v>
      </c>
      <c r="G5959">
        <v>15902528</v>
      </c>
      <c r="H5959">
        <v>15902449</v>
      </c>
      <c r="I5959">
        <v>15902528</v>
      </c>
    </row>
    <row r="5960" spans="1:9" x14ac:dyDescent="0.2">
      <c r="A5960" s="1" t="str">
        <f>"FAM188B"</f>
        <v>FAM188B</v>
      </c>
      <c r="B5960" t="s">
        <v>14</v>
      </c>
      <c r="C5960" t="s">
        <v>33</v>
      </c>
      <c r="D5960" t="s">
        <v>17</v>
      </c>
      <c r="E5960" t="s">
        <v>12</v>
      </c>
      <c r="F5960">
        <v>30811004</v>
      </c>
      <c r="G5960">
        <v>30811058</v>
      </c>
      <c r="H5960">
        <v>30811004</v>
      </c>
      <c r="I5960">
        <v>30811058</v>
      </c>
    </row>
    <row r="5961" spans="1:9" x14ac:dyDescent="0.2">
      <c r="A5961" s="1" t="str">
        <f>"FAM188B2"</f>
        <v>FAM188B2</v>
      </c>
      <c r="B5961" t="s">
        <v>410</v>
      </c>
      <c r="C5961" t="s">
        <v>22</v>
      </c>
      <c r="D5961" t="s">
        <v>11</v>
      </c>
      <c r="E5961" t="s">
        <v>20</v>
      </c>
      <c r="F5961">
        <v>150612088</v>
      </c>
      <c r="G5961">
        <v>150612088</v>
      </c>
      <c r="H5961">
        <v>150612088</v>
      </c>
      <c r="I5961">
        <v>150612088</v>
      </c>
    </row>
    <row r="5962" spans="1:9" x14ac:dyDescent="0.2">
      <c r="A5962" s="1" t="str">
        <f>"FAM188B2"</f>
        <v>FAM188B2</v>
      </c>
      <c r="B5962" t="s">
        <v>411</v>
      </c>
      <c r="C5962" t="s">
        <v>22</v>
      </c>
      <c r="D5962" t="s">
        <v>11</v>
      </c>
      <c r="E5962" t="s">
        <v>20</v>
      </c>
      <c r="F5962">
        <v>150608846</v>
      </c>
      <c r="G5962">
        <v>150608846</v>
      </c>
      <c r="H5962">
        <v>150608846</v>
      </c>
      <c r="I5962">
        <v>150608846</v>
      </c>
    </row>
    <row r="5963" spans="1:9" x14ac:dyDescent="0.2">
      <c r="A5963" s="1" t="str">
        <f>"FAM189A1"</f>
        <v>FAM189A1</v>
      </c>
      <c r="B5963" t="s">
        <v>14</v>
      </c>
      <c r="C5963" t="s">
        <v>25</v>
      </c>
      <c r="D5963" t="s">
        <v>11</v>
      </c>
      <c r="E5963" t="s">
        <v>12</v>
      </c>
      <c r="F5963">
        <v>29863128</v>
      </c>
      <c r="G5963">
        <v>29863190</v>
      </c>
      <c r="H5963">
        <v>29863128</v>
      </c>
      <c r="I5963">
        <v>29863190</v>
      </c>
    </row>
    <row r="5964" spans="1:9" x14ac:dyDescent="0.2">
      <c r="A5964" s="1" t="str">
        <f>"FAM189A2"</f>
        <v>FAM189A2</v>
      </c>
      <c r="B5964" t="s">
        <v>14</v>
      </c>
      <c r="C5964" t="s">
        <v>24</v>
      </c>
      <c r="D5964" t="s">
        <v>17</v>
      </c>
      <c r="E5964" t="s">
        <v>12</v>
      </c>
      <c r="F5964">
        <v>71939482</v>
      </c>
      <c r="G5964">
        <v>71939522</v>
      </c>
      <c r="H5964">
        <v>71939482</v>
      </c>
      <c r="I5964">
        <v>71939522</v>
      </c>
    </row>
    <row r="5965" spans="1:9" x14ac:dyDescent="0.2">
      <c r="A5965" s="1" t="str">
        <f>"FAM189B"</f>
        <v>FAM189B</v>
      </c>
      <c r="B5965" t="s">
        <v>14</v>
      </c>
      <c r="C5965" t="s">
        <v>19</v>
      </c>
      <c r="D5965" t="s">
        <v>11</v>
      </c>
      <c r="E5965" t="s">
        <v>12</v>
      </c>
      <c r="F5965">
        <v>155225232</v>
      </c>
      <c r="G5965">
        <v>155225284</v>
      </c>
      <c r="H5965">
        <v>155224603</v>
      </c>
      <c r="I5965">
        <v>155224614</v>
      </c>
    </row>
    <row r="5966" spans="1:9" x14ac:dyDescent="0.2">
      <c r="A5966" s="1" t="str">
        <f>"FAM192A"</f>
        <v>FAM192A</v>
      </c>
      <c r="B5966" t="s">
        <v>14</v>
      </c>
      <c r="C5966" t="s">
        <v>31</v>
      </c>
      <c r="D5966" t="s">
        <v>11</v>
      </c>
      <c r="E5966" t="s">
        <v>12</v>
      </c>
      <c r="F5966">
        <v>57219926</v>
      </c>
      <c r="G5966">
        <v>57219964</v>
      </c>
      <c r="H5966">
        <v>57219909</v>
      </c>
      <c r="I5966">
        <v>57219923</v>
      </c>
    </row>
    <row r="5967" spans="1:9" x14ac:dyDescent="0.2">
      <c r="A5967" s="1" t="str">
        <f>"FAM193A"</f>
        <v>FAM193A</v>
      </c>
      <c r="B5967" t="s">
        <v>412</v>
      </c>
      <c r="C5967" t="s">
        <v>23</v>
      </c>
      <c r="D5967" t="s">
        <v>17</v>
      </c>
      <c r="E5967" t="s">
        <v>20</v>
      </c>
      <c r="F5967">
        <v>2627165</v>
      </c>
      <c r="G5967">
        <v>2627165</v>
      </c>
      <c r="H5967">
        <v>2627165</v>
      </c>
      <c r="I5967">
        <v>2627165</v>
      </c>
    </row>
    <row r="5968" spans="1:9" x14ac:dyDescent="0.2">
      <c r="A5968" s="1" t="str">
        <f>"FAM193B"</f>
        <v>FAM193B</v>
      </c>
      <c r="B5968" t="s">
        <v>14</v>
      </c>
      <c r="C5968" t="s">
        <v>46</v>
      </c>
      <c r="D5968" t="s">
        <v>11</v>
      </c>
      <c r="E5968" t="s">
        <v>12</v>
      </c>
      <c r="F5968">
        <v>176981546</v>
      </c>
      <c r="G5968">
        <v>176981574</v>
      </c>
      <c r="H5968">
        <v>176981417</v>
      </c>
      <c r="I5968">
        <v>176981491</v>
      </c>
    </row>
    <row r="5969" spans="1:9" x14ac:dyDescent="0.2">
      <c r="A5969" s="1" t="str">
        <f>"FAM194A"</f>
        <v>FAM194A</v>
      </c>
      <c r="B5969" t="s">
        <v>14</v>
      </c>
      <c r="C5969" t="s">
        <v>22</v>
      </c>
      <c r="D5969" t="s">
        <v>11</v>
      </c>
      <c r="E5969" t="s">
        <v>12</v>
      </c>
      <c r="F5969">
        <v>150421676</v>
      </c>
      <c r="G5969">
        <v>150421723</v>
      </c>
      <c r="H5969">
        <v>150421752</v>
      </c>
      <c r="I5969">
        <v>150421771</v>
      </c>
    </row>
    <row r="5970" spans="1:9" x14ac:dyDescent="0.2">
      <c r="A5970" s="1" t="str">
        <f>"FAM194B"</f>
        <v>FAM194B</v>
      </c>
      <c r="B5970" t="s">
        <v>14</v>
      </c>
      <c r="C5970" t="s">
        <v>39</v>
      </c>
      <c r="D5970" t="s">
        <v>11</v>
      </c>
      <c r="E5970" t="s">
        <v>12</v>
      </c>
      <c r="F5970">
        <v>46189845</v>
      </c>
      <c r="G5970">
        <v>46189876</v>
      </c>
      <c r="H5970">
        <v>46189845</v>
      </c>
      <c r="I5970">
        <v>46189876</v>
      </c>
    </row>
    <row r="5971" spans="1:9" x14ac:dyDescent="0.2">
      <c r="A5971" s="1" t="str">
        <f>"FAM195A"</f>
        <v>FAM195A</v>
      </c>
      <c r="B5971" t="s">
        <v>14</v>
      </c>
      <c r="C5971" t="s">
        <v>31</v>
      </c>
      <c r="D5971" t="s">
        <v>17</v>
      </c>
      <c r="E5971" t="s">
        <v>12</v>
      </c>
      <c r="F5971">
        <v>691792</v>
      </c>
      <c r="G5971">
        <v>691854</v>
      </c>
      <c r="H5971">
        <v>691903</v>
      </c>
      <c r="I5971">
        <v>691961</v>
      </c>
    </row>
    <row r="5972" spans="1:9" x14ac:dyDescent="0.2">
      <c r="A5972" s="1" t="str">
        <f>"FAM195B"</f>
        <v>FAM195B</v>
      </c>
      <c r="B5972" t="s">
        <v>14</v>
      </c>
      <c r="C5972" t="s">
        <v>28</v>
      </c>
      <c r="D5972" t="s">
        <v>11</v>
      </c>
      <c r="E5972" t="s">
        <v>12</v>
      </c>
      <c r="F5972">
        <v>79791135</v>
      </c>
      <c r="G5972">
        <v>79791175</v>
      </c>
      <c r="H5972">
        <v>79791135</v>
      </c>
      <c r="I5972">
        <v>79791175</v>
      </c>
    </row>
    <row r="5973" spans="1:9" x14ac:dyDescent="0.2">
      <c r="A5973" s="1" t="str">
        <f>"FAM196A"</f>
        <v>FAM196A</v>
      </c>
      <c r="B5973" t="s">
        <v>14</v>
      </c>
      <c r="C5973" t="s">
        <v>15</v>
      </c>
      <c r="D5973" t="s">
        <v>11</v>
      </c>
      <c r="E5973" t="s">
        <v>12</v>
      </c>
      <c r="F5973">
        <v>128994816</v>
      </c>
      <c r="G5973">
        <v>128994856</v>
      </c>
      <c r="H5973">
        <v>128994647</v>
      </c>
      <c r="I5973">
        <v>128994668</v>
      </c>
    </row>
    <row r="5974" spans="1:9" x14ac:dyDescent="0.2">
      <c r="A5974" s="1" t="str">
        <f>"FAM196B"</f>
        <v>FAM196B</v>
      </c>
      <c r="B5974" t="s">
        <v>14</v>
      </c>
      <c r="C5974" t="s">
        <v>46</v>
      </c>
      <c r="D5974" t="s">
        <v>11</v>
      </c>
      <c r="E5974" t="s">
        <v>12</v>
      </c>
      <c r="F5974">
        <v>169407418</v>
      </c>
      <c r="G5974">
        <v>169407473</v>
      </c>
      <c r="H5974">
        <v>169407478</v>
      </c>
      <c r="I5974">
        <v>169407511</v>
      </c>
    </row>
    <row r="5975" spans="1:9" x14ac:dyDescent="0.2">
      <c r="A5975" s="1" t="str">
        <f>"FAM197Y1"</f>
        <v>FAM197Y1</v>
      </c>
      <c r="B5975" t="s">
        <v>413</v>
      </c>
      <c r="C5975" t="s">
        <v>63</v>
      </c>
      <c r="D5975" t="s">
        <v>11</v>
      </c>
      <c r="E5975" t="s">
        <v>20</v>
      </c>
      <c r="F5975">
        <v>9384692</v>
      </c>
      <c r="G5975">
        <v>9384692</v>
      </c>
      <c r="H5975">
        <v>9384692</v>
      </c>
      <c r="I5975">
        <v>9384692</v>
      </c>
    </row>
    <row r="5976" spans="1:9" x14ac:dyDescent="0.2">
      <c r="A5976" s="1" t="str">
        <f>"FAM197Y3"</f>
        <v>FAM197Y3</v>
      </c>
      <c r="B5976" t="s">
        <v>414</v>
      </c>
      <c r="C5976" t="s">
        <v>63</v>
      </c>
      <c r="D5976" t="s">
        <v>11</v>
      </c>
      <c r="E5976" t="s">
        <v>20</v>
      </c>
      <c r="F5976">
        <v>9342549</v>
      </c>
      <c r="G5976">
        <v>9342549</v>
      </c>
      <c r="H5976">
        <v>9342549</v>
      </c>
      <c r="I5976">
        <v>9342549</v>
      </c>
    </row>
    <row r="5977" spans="1:9" x14ac:dyDescent="0.2">
      <c r="A5977" s="1" t="str">
        <f>"FAM197Y3"</f>
        <v>FAM197Y3</v>
      </c>
      <c r="B5977" t="s">
        <v>415</v>
      </c>
      <c r="C5977" t="s">
        <v>63</v>
      </c>
      <c r="D5977" t="s">
        <v>11</v>
      </c>
      <c r="E5977" t="s">
        <v>20</v>
      </c>
      <c r="F5977">
        <v>9342767</v>
      </c>
      <c r="G5977">
        <v>9342767</v>
      </c>
      <c r="H5977">
        <v>9342767</v>
      </c>
      <c r="I5977">
        <v>9342767</v>
      </c>
    </row>
    <row r="5978" spans="1:9" x14ac:dyDescent="0.2">
      <c r="A5978" s="1" t="str">
        <f>"FAM197Y6"</f>
        <v>FAM197Y6</v>
      </c>
      <c r="B5978" t="s">
        <v>416</v>
      </c>
      <c r="C5978" t="s">
        <v>63</v>
      </c>
      <c r="D5978" t="s">
        <v>11</v>
      </c>
      <c r="E5978" t="s">
        <v>20</v>
      </c>
      <c r="F5978">
        <v>9233635</v>
      </c>
      <c r="G5978">
        <v>9233635</v>
      </c>
      <c r="H5978">
        <v>9233635</v>
      </c>
      <c r="I5978">
        <v>9233635</v>
      </c>
    </row>
    <row r="5979" spans="1:9" x14ac:dyDescent="0.2">
      <c r="A5979" s="1" t="str">
        <f>"FAM197Y6"</f>
        <v>FAM197Y6</v>
      </c>
      <c r="B5979" t="s">
        <v>417</v>
      </c>
      <c r="C5979" t="s">
        <v>63</v>
      </c>
      <c r="D5979" t="s">
        <v>11</v>
      </c>
      <c r="E5979" t="s">
        <v>20</v>
      </c>
      <c r="F5979">
        <v>9233416</v>
      </c>
      <c r="G5979">
        <v>9233416</v>
      </c>
      <c r="H5979">
        <v>9233416</v>
      </c>
      <c r="I5979">
        <v>9233416</v>
      </c>
    </row>
    <row r="5980" spans="1:9" x14ac:dyDescent="0.2">
      <c r="A5980" s="1" t="str">
        <f>"FAM197Y7"</f>
        <v>FAM197Y7</v>
      </c>
      <c r="B5980" t="s">
        <v>418</v>
      </c>
      <c r="C5980" t="s">
        <v>63</v>
      </c>
      <c r="D5980" t="s">
        <v>11</v>
      </c>
      <c r="E5980" t="s">
        <v>20</v>
      </c>
      <c r="F5980">
        <v>9235046</v>
      </c>
      <c r="G5980">
        <v>9235046</v>
      </c>
      <c r="H5980">
        <v>9235046</v>
      </c>
      <c r="I5980">
        <v>9235046</v>
      </c>
    </row>
    <row r="5981" spans="1:9" x14ac:dyDescent="0.2">
      <c r="A5981" s="1" t="str">
        <f>"FAM197Y7"</f>
        <v>FAM197Y7</v>
      </c>
      <c r="B5981" t="s">
        <v>419</v>
      </c>
      <c r="C5981" t="s">
        <v>63</v>
      </c>
      <c r="D5981" t="s">
        <v>11</v>
      </c>
      <c r="E5981" t="s">
        <v>20</v>
      </c>
      <c r="F5981">
        <v>9214700</v>
      </c>
      <c r="G5981">
        <v>9214700</v>
      </c>
      <c r="H5981">
        <v>9214700</v>
      </c>
      <c r="I5981">
        <v>9214700</v>
      </c>
    </row>
    <row r="5982" spans="1:9" x14ac:dyDescent="0.2">
      <c r="A5982" s="1" t="str">
        <f>"FAM197Y7"</f>
        <v>FAM197Y7</v>
      </c>
      <c r="B5982" t="s">
        <v>420</v>
      </c>
      <c r="C5982" t="s">
        <v>63</v>
      </c>
      <c r="D5982" t="s">
        <v>11</v>
      </c>
      <c r="E5982" t="s">
        <v>20</v>
      </c>
      <c r="F5982">
        <v>9213289</v>
      </c>
      <c r="G5982">
        <v>9213289</v>
      </c>
      <c r="H5982">
        <v>9213289</v>
      </c>
      <c r="I5982">
        <v>9213289</v>
      </c>
    </row>
    <row r="5983" spans="1:9" x14ac:dyDescent="0.2">
      <c r="A5983" s="1" t="str">
        <f>"FAM197Y7"</f>
        <v>FAM197Y7</v>
      </c>
      <c r="B5983" t="s">
        <v>421</v>
      </c>
      <c r="C5983" t="s">
        <v>63</v>
      </c>
      <c r="D5983" t="s">
        <v>11</v>
      </c>
      <c r="E5983" t="s">
        <v>20</v>
      </c>
      <c r="F5983">
        <v>9213070</v>
      </c>
      <c r="G5983">
        <v>9213070</v>
      </c>
      <c r="H5983">
        <v>9213070</v>
      </c>
      <c r="I5983">
        <v>9213070</v>
      </c>
    </row>
    <row r="5984" spans="1:9" x14ac:dyDescent="0.2">
      <c r="A5984" s="1" t="str">
        <f>"FAM197Y8"</f>
        <v>FAM197Y8</v>
      </c>
      <c r="B5984" t="s">
        <v>422</v>
      </c>
      <c r="C5984" t="s">
        <v>63</v>
      </c>
      <c r="D5984" t="s">
        <v>11</v>
      </c>
      <c r="E5984" t="s">
        <v>20</v>
      </c>
      <c r="F5984">
        <v>9193009</v>
      </c>
      <c r="G5984">
        <v>9193009</v>
      </c>
      <c r="H5984">
        <v>9193009</v>
      </c>
      <c r="I5984">
        <v>9193009</v>
      </c>
    </row>
    <row r="5985" spans="1:9" x14ac:dyDescent="0.2">
      <c r="A5985" s="1" t="str">
        <f>"FAM197Y8"</f>
        <v>FAM197Y8</v>
      </c>
      <c r="B5985" t="s">
        <v>423</v>
      </c>
      <c r="C5985" t="s">
        <v>63</v>
      </c>
      <c r="D5985" t="s">
        <v>11</v>
      </c>
      <c r="E5985" t="s">
        <v>20</v>
      </c>
      <c r="F5985">
        <v>9192790</v>
      </c>
      <c r="G5985">
        <v>9192790</v>
      </c>
      <c r="H5985">
        <v>9192790</v>
      </c>
      <c r="I5985">
        <v>9192790</v>
      </c>
    </row>
    <row r="5986" spans="1:9" x14ac:dyDescent="0.2">
      <c r="A5986" s="1" t="str">
        <f>"FAM198A"</f>
        <v>FAM198A</v>
      </c>
      <c r="B5986" t="s">
        <v>14</v>
      </c>
      <c r="C5986" t="s">
        <v>22</v>
      </c>
      <c r="D5986" t="s">
        <v>17</v>
      </c>
      <c r="E5986" t="s">
        <v>12</v>
      </c>
      <c r="F5986">
        <v>43020795</v>
      </c>
      <c r="G5986">
        <v>43020851</v>
      </c>
      <c r="H5986">
        <v>43021068</v>
      </c>
      <c r="I5986">
        <v>43021106</v>
      </c>
    </row>
    <row r="5987" spans="1:9" x14ac:dyDescent="0.2">
      <c r="A5987" s="1" t="str">
        <f>"FAM198B"</f>
        <v>FAM198B</v>
      </c>
      <c r="B5987" t="s">
        <v>14</v>
      </c>
      <c r="C5987" t="s">
        <v>23</v>
      </c>
      <c r="D5987" t="s">
        <v>11</v>
      </c>
      <c r="E5987" t="s">
        <v>12</v>
      </c>
      <c r="F5987">
        <v>159093517</v>
      </c>
      <c r="G5987">
        <v>159093533</v>
      </c>
      <c r="H5987">
        <v>159094160</v>
      </c>
      <c r="I5987">
        <v>159094185</v>
      </c>
    </row>
    <row r="5988" spans="1:9" x14ac:dyDescent="0.2">
      <c r="A5988" s="1" t="str">
        <f>"FAM199X"</f>
        <v>FAM199X</v>
      </c>
      <c r="B5988" t="s">
        <v>14</v>
      </c>
      <c r="C5988" t="s">
        <v>37</v>
      </c>
      <c r="D5988" t="s">
        <v>17</v>
      </c>
      <c r="E5988" t="s">
        <v>12</v>
      </c>
      <c r="F5988">
        <v>103411189</v>
      </c>
      <c r="G5988">
        <v>103411256</v>
      </c>
      <c r="H5988">
        <v>103411118</v>
      </c>
      <c r="I5988">
        <v>103411140</v>
      </c>
    </row>
    <row r="5989" spans="1:9" x14ac:dyDescent="0.2">
      <c r="A5989" s="1" t="str">
        <f>"FAM19A1"</f>
        <v>FAM19A1</v>
      </c>
      <c r="B5989" t="s">
        <v>14</v>
      </c>
      <c r="C5989" t="s">
        <v>22</v>
      </c>
      <c r="D5989" t="s">
        <v>17</v>
      </c>
      <c r="E5989" t="s">
        <v>12</v>
      </c>
      <c r="F5989">
        <v>68053374</v>
      </c>
      <c r="G5989">
        <v>68053419</v>
      </c>
      <c r="H5989">
        <v>68053424</v>
      </c>
      <c r="I5989">
        <v>68053452</v>
      </c>
    </row>
    <row r="5990" spans="1:9" x14ac:dyDescent="0.2">
      <c r="A5990" s="1" t="str">
        <f>"FAM19A2"</f>
        <v>FAM19A2</v>
      </c>
      <c r="B5990" t="s">
        <v>9</v>
      </c>
      <c r="C5990" t="s">
        <v>16</v>
      </c>
      <c r="D5990" t="s">
        <v>11</v>
      </c>
      <c r="E5990" t="s">
        <v>12</v>
      </c>
      <c r="F5990">
        <v>62653903</v>
      </c>
      <c r="G5990">
        <v>62653959</v>
      </c>
      <c r="H5990">
        <v>62653903</v>
      </c>
      <c r="I5990">
        <v>62653959</v>
      </c>
    </row>
    <row r="5991" spans="1:9" x14ac:dyDescent="0.2">
      <c r="A5991" s="1" t="str">
        <f>"FAM19A2"</f>
        <v>FAM19A2</v>
      </c>
      <c r="B5991" t="s">
        <v>13</v>
      </c>
      <c r="C5991" t="s">
        <v>16</v>
      </c>
      <c r="D5991" t="s">
        <v>11</v>
      </c>
      <c r="E5991" t="s">
        <v>12</v>
      </c>
      <c r="F5991">
        <v>62586543</v>
      </c>
      <c r="G5991">
        <v>62586588</v>
      </c>
      <c r="H5991">
        <v>62586543</v>
      </c>
      <c r="I5991">
        <v>62586588</v>
      </c>
    </row>
    <row r="5992" spans="1:9" x14ac:dyDescent="0.2">
      <c r="A5992" s="1" t="str">
        <f>"FAM19A3"</f>
        <v>FAM19A3</v>
      </c>
      <c r="B5992" t="s">
        <v>14</v>
      </c>
      <c r="C5992" t="s">
        <v>19</v>
      </c>
      <c r="D5992" t="s">
        <v>17</v>
      </c>
      <c r="E5992" t="s">
        <v>12</v>
      </c>
      <c r="F5992">
        <v>113262959</v>
      </c>
      <c r="G5992">
        <v>113262997</v>
      </c>
      <c r="H5992">
        <v>113262932</v>
      </c>
      <c r="I5992">
        <v>113262935</v>
      </c>
    </row>
    <row r="5993" spans="1:9" x14ac:dyDescent="0.2">
      <c r="A5993" s="1" t="str">
        <f>"FAM19A4"</f>
        <v>FAM19A4</v>
      </c>
      <c r="B5993" t="s">
        <v>14</v>
      </c>
      <c r="C5993" t="s">
        <v>22</v>
      </c>
      <c r="D5993" t="s">
        <v>11</v>
      </c>
      <c r="E5993" t="s">
        <v>12</v>
      </c>
      <c r="F5993">
        <v>68981685</v>
      </c>
      <c r="G5993">
        <v>68981705</v>
      </c>
      <c r="H5993">
        <v>68981730</v>
      </c>
      <c r="I5993">
        <v>68981735</v>
      </c>
    </row>
    <row r="5994" spans="1:9" x14ac:dyDescent="0.2">
      <c r="A5994" s="1" t="str">
        <f>"FAM19A5"</f>
        <v>FAM19A5</v>
      </c>
      <c r="B5994" t="s">
        <v>424</v>
      </c>
      <c r="C5994" t="s">
        <v>21</v>
      </c>
      <c r="D5994" t="s">
        <v>17</v>
      </c>
      <c r="E5994" t="s">
        <v>35</v>
      </c>
      <c r="F5994">
        <v>48971978</v>
      </c>
      <c r="G5994">
        <v>48971979</v>
      </c>
      <c r="H5994">
        <v>48972266</v>
      </c>
      <c r="I5994">
        <v>48972269</v>
      </c>
    </row>
    <row r="5995" spans="1:9" x14ac:dyDescent="0.2">
      <c r="A5995" s="1" t="str">
        <f>"FAM200A"</f>
        <v>FAM200A</v>
      </c>
      <c r="B5995" t="s">
        <v>9</v>
      </c>
      <c r="C5995" t="s">
        <v>33</v>
      </c>
      <c r="D5995" t="s">
        <v>11</v>
      </c>
      <c r="E5995" t="s">
        <v>12</v>
      </c>
      <c r="F5995">
        <v>99149715</v>
      </c>
      <c r="G5995">
        <v>99149755</v>
      </c>
      <c r="H5995">
        <v>99149715</v>
      </c>
      <c r="I5995">
        <v>99149755</v>
      </c>
    </row>
    <row r="5996" spans="1:9" x14ac:dyDescent="0.2">
      <c r="A5996" s="1" t="str">
        <f>"FAM200A"</f>
        <v>FAM200A</v>
      </c>
      <c r="B5996" t="s">
        <v>13</v>
      </c>
      <c r="C5996" t="s">
        <v>33</v>
      </c>
      <c r="D5996" t="s">
        <v>11</v>
      </c>
      <c r="E5996" t="s">
        <v>12</v>
      </c>
      <c r="F5996">
        <v>99156107</v>
      </c>
      <c r="G5996">
        <v>99156179</v>
      </c>
      <c r="H5996">
        <v>99156107</v>
      </c>
      <c r="I5996">
        <v>99156179</v>
      </c>
    </row>
    <row r="5997" spans="1:9" x14ac:dyDescent="0.2">
      <c r="A5997" s="1" t="str">
        <f>"FAM200B"</f>
        <v>FAM200B</v>
      </c>
      <c r="B5997" t="s">
        <v>14</v>
      </c>
      <c r="C5997" t="s">
        <v>23</v>
      </c>
      <c r="D5997" t="s">
        <v>17</v>
      </c>
      <c r="E5997" t="s">
        <v>12</v>
      </c>
      <c r="F5997">
        <v>15683438</v>
      </c>
      <c r="G5997">
        <v>15683482</v>
      </c>
      <c r="H5997">
        <v>15683404</v>
      </c>
      <c r="I5997">
        <v>15683432</v>
      </c>
    </row>
    <row r="5998" spans="1:9" x14ac:dyDescent="0.2">
      <c r="A5998" s="1" t="str">
        <f>"FAM203A"</f>
        <v>FAM203A</v>
      </c>
      <c r="B5998" t="s">
        <v>425</v>
      </c>
      <c r="C5998" t="s">
        <v>30</v>
      </c>
      <c r="D5998" t="s">
        <v>17</v>
      </c>
      <c r="E5998" t="s">
        <v>20</v>
      </c>
      <c r="F5998">
        <v>145192671</v>
      </c>
      <c r="G5998">
        <v>145192671</v>
      </c>
      <c r="H5998">
        <v>145192671</v>
      </c>
      <c r="I5998">
        <v>145192671</v>
      </c>
    </row>
    <row r="5999" spans="1:9" x14ac:dyDescent="0.2">
      <c r="A5999" s="1" t="str">
        <f>"FAM203B"</f>
        <v>FAM203B</v>
      </c>
      <c r="B5999" t="s">
        <v>426</v>
      </c>
      <c r="C5999" t="s">
        <v>30</v>
      </c>
      <c r="D5999" t="s">
        <v>17</v>
      </c>
      <c r="E5999" t="s">
        <v>20</v>
      </c>
      <c r="F5999">
        <v>145437879</v>
      </c>
      <c r="G5999">
        <v>145437879</v>
      </c>
      <c r="H5999">
        <v>145437879</v>
      </c>
      <c r="I5999">
        <v>145437879</v>
      </c>
    </row>
    <row r="6000" spans="1:9" x14ac:dyDescent="0.2">
      <c r="A6000" s="1" t="str">
        <f>"FAM204A"</f>
        <v>FAM204A</v>
      </c>
      <c r="B6000" t="s">
        <v>14</v>
      </c>
      <c r="C6000" t="s">
        <v>15</v>
      </c>
      <c r="D6000" t="s">
        <v>11</v>
      </c>
      <c r="E6000" t="s">
        <v>12</v>
      </c>
      <c r="F6000">
        <v>120101804</v>
      </c>
      <c r="G6000">
        <v>120101843</v>
      </c>
      <c r="H6000">
        <v>120101779</v>
      </c>
      <c r="I6000">
        <v>120101791</v>
      </c>
    </row>
    <row r="6001" spans="1:9" x14ac:dyDescent="0.2">
      <c r="A6001" s="1" t="str">
        <f>"FAM205A"</f>
        <v>FAM205A</v>
      </c>
      <c r="B6001" t="s">
        <v>14</v>
      </c>
      <c r="C6001" t="s">
        <v>24</v>
      </c>
      <c r="D6001" t="s">
        <v>11</v>
      </c>
      <c r="E6001" t="s">
        <v>12</v>
      </c>
      <c r="F6001">
        <v>34729457</v>
      </c>
      <c r="G6001">
        <v>34729470</v>
      </c>
      <c r="H6001">
        <v>34729479</v>
      </c>
      <c r="I6001">
        <v>34729492</v>
      </c>
    </row>
    <row r="6002" spans="1:9" x14ac:dyDescent="0.2">
      <c r="A6002" s="1" t="str">
        <f>"FAM206A"</f>
        <v>FAM206A</v>
      </c>
      <c r="B6002" t="s">
        <v>14</v>
      </c>
      <c r="C6002" t="s">
        <v>24</v>
      </c>
      <c r="D6002" t="s">
        <v>17</v>
      </c>
      <c r="E6002" t="s">
        <v>12</v>
      </c>
      <c r="F6002">
        <v>111696664</v>
      </c>
      <c r="G6002">
        <v>111696786</v>
      </c>
      <c r="H6002">
        <v>111696417</v>
      </c>
      <c r="I6002">
        <v>111696450</v>
      </c>
    </row>
    <row r="6003" spans="1:9" x14ac:dyDescent="0.2">
      <c r="A6003" s="1" t="str">
        <f>"FAM207A"</f>
        <v>FAM207A</v>
      </c>
      <c r="B6003" t="s">
        <v>14</v>
      </c>
      <c r="C6003" t="s">
        <v>42</v>
      </c>
      <c r="D6003" t="s">
        <v>17</v>
      </c>
      <c r="E6003" t="s">
        <v>12</v>
      </c>
      <c r="F6003">
        <v>46359907</v>
      </c>
      <c r="G6003">
        <v>46359962</v>
      </c>
      <c r="H6003">
        <v>46359889</v>
      </c>
      <c r="I6003">
        <v>46359902</v>
      </c>
    </row>
    <row r="6004" spans="1:9" x14ac:dyDescent="0.2">
      <c r="A6004" s="1" t="str">
        <f>"FAM208A"</f>
        <v>FAM208A</v>
      </c>
      <c r="B6004" t="s">
        <v>14</v>
      </c>
      <c r="C6004" t="s">
        <v>22</v>
      </c>
      <c r="D6004" t="s">
        <v>11</v>
      </c>
      <c r="E6004" t="s">
        <v>12</v>
      </c>
      <c r="F6004">
        <v>56717246</v>
      </c>
      <c r="G6004">
        <v>56717324</v>
      </c>
      <c r="H6004">
        <v>56717086</v>
      </c>
      <c r="I6004">
        <v>56717102</v>
      </c>
    </row>
    <row r="6005" spans="1:9" x14ac:dyDescent="0.2">
      <c r="A6005" s="1" t="str">
        <f>"FAM208B"</f>
        <v>FAM208B</v>
      </c>
      <c r="B6005" t="s">
        <v>14</v>
      </c>
      <c r="C6005" t="s">
        <v>15</v>
      </c>
      <c r="D6005" t="s">
        <v>17</v>
      </c>
      <c r="E6005" t="s">
        <v>12</v>
      </c>
      <c r="F6005">
        <v>5726764</v>
      </c>
      <c r="G6005">
        <v>5726849</v>
      </c>
      <c r="H6005">
        <v>5726677</v>
      </c>
      <c r="I6005">
        <v>5726706</v>
      </c>
    </row>
    <row r="6006" spans="1:9" x14ac:dyDescent="0.2">
      <c r="A6006" s="1" t="str">
        <f>"FAM209A"</f>
        <v>FAM209A</v>
      </c>
      <c r="B6006" t="s">
        <v>14</v>
      </c>
      <c r="C6006" t="s">
        <v>29</v>
      </c>
      <c r="D6006" t="s">
        <v>17</v>
      </c>
      <c r="E6006" t="s">
        <v>12</v>
      </c>
      <c r="F6006">
        <v>55091919</v>
      </c>
      <c r="G6006">
        <v>55091934</v>
      </c>
      <c r="H6006">
        <v>55091919</v>
      </c>
      <c r="I6006">
        <v>55091934</v>
      </c>
    </row>
    <row r="6007" spans="1:9" x14ac:dyDescent="0.2">
      <c r="A6007" s="1" t="str">
        <f>"FAM209B"</f>
        <v>FAM209B</v>
      </c>
      <c r="B6007" t="s">
        <v>14</v>
      </c>
      <c r="C6007" t="s">
        <v>29</v>
      </c>
      <c r="D6007" t="s">
        <v>17</v>
      </c>
      <c r="E6007" t="s">
        <v>12</v>
      </c>
      <c r="F6007">
        <v>55099788</v>
      </c>
      <c r="G6007">
        <v>55099800</v>
      </c>
      <c r="H6007">
        <v>55099788</v>
      </c>
      <c r="I6007">
        <v>55099800</v>
      </c>
    </row>
    <row r="6008" spans="1:9" x14ac:dyDescent="0.2">
      <c r="A6008" s="1" t="str">
        <f>"FAM20A"</f>
        <v>FAM20A</v>
      </c>
      <c r="B6008" t="s">
        <v>14</v>
      </c>
      <c r="C6008" t="s">
        <v>28</v>
      </c>
      <c r="D6008" t="s">
        <v>11</v>
      </c>
      <c r="E6008" t="s">
        <v>12</v>
      </c>
      <c r="F6008">
        <v>66597499</v>
      </c>
      <c r="G6008">
        <v>66597516</v>
      </c>
      <c r="H6008">
        <v>66596702</v>
      </c>
      <c r="I6008">
        <v>66596759</v>
      </c>
    </row>
    <row r="6009" spans="1:9" x14ac:dyDescent="0.2">
      <c r="A6009" s="1" t="str">
        <f>"FAM20B"</f>
        <v>FAM20B</v>
      </c>
      <c r="B6009" t="s">
        <v>14</v>
      </c>
      <c r="C6009" t="s">
        <v>19</v>
      </c>
      <c r="D6009" t="s">
        <v>17</v>
      </c>
      <c r="E6009" t="s">
        <v>12</v>
      </c>
      <c r="F6009">
        <v>178995021</v>
      </c>
      <c r="G6009">
        <v>178995072</v>
      </c>
      <c r="H6009">
        <v>178995170</v>
      </c>
      <c r="I6009">
        <v>178995199</v>
      </c>
    </row>
    <row r="6010" spans="1:9" x14ac:dyDescent="0.2">
      <c r="A6010" s="1" t="str">
        <f>"FAM20C"</f>
        <v>FAM20C</v>
      </c>
      <c r="B6010" t="s">
        <v>14</v>
      </c>
      <c r="C6010" t="s">
        <v>33</v>
      </c>
      <c r="D6010" t="s">
        <v>17</v>
      </c>
      <c r="E6010" t="s">
        <v>12</v>
      </c>
      <c r="F6010">
        <v>192561</v>
      </c>
      <c r="G6010">
        <v>192579</v>
      </c>
      <c r="H6010">
        <v>192561</v>
      </c>
      <c r="I6010">
        <v>192579</v>
      </c>
    </row>
    <row r="6011" spans="1:9" x14ac:dyDescent="0.2">
      <c r="A6011" s="1" t="str">
        <f>"FAM210A"</f>
        <v>FAM210A</v>
      </c>
      <c r="B6011" t="s">
        <v>14</v>
      </c>
      <c r="C6011" t="s">
        <v>43</v>
      </c>
      <c r="D6011" t="s">
        <v>11</v>
      </c>
      <c r="E6011" t="s">
        <v>12</v>
      </c>
      <c r="F6011">
        <v>13726510</v>
      </c>
      <c r="G6011">
        <v>13726598</v>
      </c>
      <c r="H6011">
        <v>13726440</v>
      </c>
      <c r="I6011">
        <v>13726453</v>
      </c>
    </row>
    <row r="6012" spans="1:9" x14ac:dyDescent="0.2">
      <c r="A6012" s="1" t="str">
        <f>"FAM210B"</f>
        <v>FAM210B</v>
      </c>
      <c r="B6012" t="s">
        <v>14</v>
      </c>
      <c r="C6012" t="s">
        <v>29</v>
      </c>
      <c r="D6012" t="s">
        <v>17</v>
      </c>
      <c r="E6012" t="s">
        <v>12</v>
      </c>
      <c r="F6012">
        <v>54934001</v>
      </c>
      <c r="G6012">
        <v>54934073</v>
      </c>
      <c r="H6012">
        <v>54933913</v>
      </c>
      <c r="I6012">
        <v>54933933</v>
      </c>
    </row>
    <row r="6013" spans="1:9" x14ac:dyDescent="0.2">
      <c r="A6013" s="1" t="str">
        <f>"FAM211A"</f>
        <v>FAM211A</v>
      </c>
      <c r="B6013" t="s">
        <v>14</v>
      </c>
      <c r="C6013" t="s">
        <v>28</v>
      </c>
      <c r="D6013" t="s">
        <v>11</v>
      </c>
      <c r="E6013" t="s">
        <v>12</v>
      </c>
      <c r="F6013">
        <v>16395403</v>
      </c>
      <c r="G6013">
        <v>16395441</v>
      </c>
      <c r="H6013">
        <v>16395482</v>
      </c>
      <c r="I6013">
        <v>16395533</v>
      </c>
    </row>
    <row r="6014" spans="1:9" x14ac:dyDescent="0.2">
      <c r="A6014" s="1" t="str">
        <f>"FAM211B"</f>
        <v>FAM211B</v>
      </c>
      <c r="B6014" t="s">
        <v>14</v>
      </c>
      <c r="C6014" t="s">
        <v>21</v>
      </c>
      <c r="D6014" t="s">
        <v>11</v>
      </c>
      <c r="E6014" t="s">
        <v>12</v>
      </c>
      <c r="F6014">
        <v>24989014</v>
      </c>
      <c r="G6014">
        <v>24989057</v>
      </c>
      <c r="H6014">
        <v>24989075</v>
      </c>
      <c r="I6014">
        <v>24989086</v>
      </c>
    </row>
    <row r="6015" spans="1:9" x14ac:dyDescent="0.2">
      <c r="A6015" s="1" t="str">
        <f>"FAM212A"</f>
        <v>FAM212A</v>
      </c>
      <c r="B6015" t="s">
        <v>14</v>
      </c>
      <c r="C6015" t="s">
        <v>22</v>
      </c>
      <c r="D6015" t="s">
        <v>17</v>
      </c>
      <c r="E6015" t="s">
        <v>12</v>
      </c>
      <c r="F6015">
        <v>49840685</v>
      </c>
      <c r="G6015">
        <v>49840728</v>
      </c>
      <c r="H6015">
        <v>49840660</v>
      </c>
      <c r="I6015">
        <v>49840682</v>
      </c>
    </row>
    <row r="6016" spans="1:9" x14ac:dyDescent="0.2">
      <c r="A6016" s="1" t="str">
        <f>"FAM212B"</f>
        <v>FAM212B</v>
      </c>
      <c r="B6016" t="s">
        <v>9</v>
      </c>
      <c r="C6016" t="s">
        <v>19</v>
      </c>
      <c r="D6016" t="s">
        <v>11</v>
      </c>
      <c r="E6016" t="s">
        <v>12</v>
      </c>
      <c r="F6016">
        <v>112281978</v>
      </c>
      <c r="G6016">
        <v>112282034</v>
      </c>
      <c r="H6016">
        <v>112281978</v>
      </c>
      <c r="I6016">
        <v>112282034</v>
      </c>
    </row>
    <row r="6017" spans="1:9" x14ac:dyDescent="0.2">
      <c r="A6017" s="1" t="str">
        <f>"FAM212B"</f>
        <v>FAM212B</v>
      </c>
      <c r="B6017" t="s">
        <v>13</v>
      </c>
      <c r="C6017" t="s">
        <v>19</v>
      </c>
      <c r="D6017" t="s">
        <v>11</v>
      </c>
      <c r="E6017" t="s">
        <v>12</v>
      </c>
      <c r="F6017">
        <v>112298096</v>
      </c>
      <c r="G6017">
        <v>112298172</v>
      </c>
      <c r="H6017">
        <v>112298096</v>
      </c>
      <c r="I6017">
        <v>112298172</v>
      </c>
    </row>
    <row r="6018" spans="1:9" x14ac:dyDescent="0.2">
      <c r="A6018" s="1" t="str">
        <f>"FAM213A"</f>
        <v>FAM213A</v>
      </c>
      <c r="B6018" t="s">
        <v>9</v>
      </c>
      <c r="C6018" t="s">
        <v>15</v>
      </c>
      <c r="D6018" t="s">
        <v>17</v>
      </c>
      <c r="E6018" t="s">
        <v>12</v>
      </c>
      <c r="F6018">
        <v>82168240</v>
      </c>
      <c r="G6018">
        <v>82168322</v>
      </c>
      <c r="H6018">
        <v>82168240</v>
      </c>
      <c r="I6018">
        <v>82168322</v>
      </c>
    </row>
    <row r="6019" spans="1:9" x14ac:dyDescent="0.2">
      <c r="A6019" s="1" t="str">
        <f>"FAM213A"</f>
        <v>FAM213A</v>
      </c>
      <c r="B6019" t="s">
        <v>13</v>
      </c>
      <c r="C6019" t="s">
        <v>15</v>
      </c>
      <c r="D6019" t="s">
        <v>17</v>
      </c>
      <c r="E6019" t="s">
        <v>12</v>
      </c>
      <c r="F6019">
        <v>82173573</v>
      </c>
      <c r="G6019">
        <v>82173606</v>
      </c>
      <c r="H6019">
        <v>82173573</v>
      </c>
      <c r="I6019">
        <v>82173606</v>
      </c>
    </row>
    <row r="6020" spans="1:9" x14ac:dyDescent="0.2">
      <c r="A6020" s="1" t="str">
        <f>"FAM213B"</f>
        <v>FAM213B</v>
      </c>
      <c r="B6020" t="s">
        <v>14</v>
      </c>
      <c r="C6020" t="s">
        <v>19</v>
      </c>
      <c r="D6020" t="s">
        <v>17</v>
      </c>
      <c r="E6020" t="s">
        <v>12</v>
      </c>
      <c r="F6020">
        <v>2518202</v>
      </c>
      <c r="G6020">
        <v>2518291</v>
      </c>
      <c r="H6020">
        <v>2518488</v>
      </c>
      <c r="I6020">
        <v>2518555</v>
      </c>
    </row>
    <row r="6021" spans="1:9" x14ac:dyDescent="0.2">
      <c r="A6021" s="1" t="str">
        <f>"FAM214A"</f>
        <v>FAM214A</v>
      </c>
      <c r="B6021" t="s">
        <v>14</v>
      </c>
      <c r="C6021" t="s">
        <v>25</v>
      </c>
      <c r="D6021" t="s">
        <v>11</v>
      </c>
      <c r="E6021" t="s">
        <v>12</v>
      </c>
      <c r="F6021">
        <v>52970928</v>
      </c>
      <c r="G6021">
        <v>52970960</v>
      </c>
      <c r="H6021">
        <v>52971111</v>
      </c>
      <c r="I6021">
        <v>52971134</v>
      </c>
    </row>
    <row r="6022" spans="1:9" x14ac:dyDescent="0.2">
      <c r="A6022" s="1" t="str">
        <f>"FAM214B"</f>
        <v>FAM214B</v>
      </c>
      <c r="B6022" t="s">
        <v>9</v>
      </c>
      <c r="C6022" t="s">
        <v>24</v>
      </c>
      <c r="D6022" t="s">
        <v>11</v>
      </c>
      <c r="E6022" t="s">
        <v>12</v>
      </c>
      <c r="F6022">
        <v>35115836</v>
      </c>
      <c r="G6022">
        <v>35115891</v>
      </c>
      <c r="H6022">
        <v>35115836</v>
      </c>
      <c r="I6022">
        <v>35115891</v>
      </c>
    </row>
    <row r="6023" spans="1:9" x14ac:dyDescent="0.2">
      <c r="A6023" s="1" t="str">
        <f>"FAM214B"</f>
        <v>FAM214B</v>
      </c>
      <c r="B6023" t="s">
        <v>13</v>
      </c>
      <c r="C6023" t="s">
        <v>24</v>
      </c>
      <c r="D6023" t="s">
        <v>11</v>
      </c>
      <c r="E6023" t="s">
        <v>12</v>
      </c>
      <c r="F6023">
        <v>35111433</v>
      </c>
      <c r="G6023">
        <v>35111455</v>
      </c>
      <c r="H6023">
        <v>35111433</v>
      </c>
      <c r="I6023">
        <v>35111455</v>
      </c>
    </row>
    <row r="6024" spans="1:9" x14ac:dyDescent="0.2">
      <c r="A6024" s="1" t="str">
        <f>"FAM216A"</f>
        <v>FAM216A</v>
      </c>
      <c r="B6024" t="s">
        <v>14</v>
      </c>
      <c r="C6024" t="s">
        <v>16</v>
      </c>
      <c r="D6024" t="s">
        <v>17</v>
      </c>
      <c r="E6024" t="s">
        <v>12</v>
      </c>
      <c r="F6024">
        <v>110906613</v>
      </c>
      <c r="G6024">
        <v>110906719</v>
      </c>
      <c r="H6024">
        <v>110906209</v>
      </c>
      <c r="I6024">
        <v>110906247</v>
      </c>
    </row>
    <row r="6025" spans="1:9" x14ac:dyDescent="0.2">
      <c r="A6025" s="1" t="str">
        <f>"FAM216B"</f>
        <v>FAM216B</v>
      </c>
      <c r="B6025" t="s">
        <v>14</v>
      </c>
      <c r="C6025" t="s">
        <v>39</v>
      </c>
      <c r="D6025" t="s">
        <v>17</v>
      </c>
      <c r="E6025" t="s">
        <v>12</v>
      </c>
      <c r="F6025">
        <v>43355732</v>
      </c>
      <c r="G6025">
        <v>43355757</v>
      </c>
      <c r="H6025">
        <v>43355714</v>
      </c>
      <c r="I6025">
        <v>43355730</v>
      </c>
    </row>
    <row r="6026" spans="1:9" x14ac:dyDescent="0.2">
      <c r="A6026" s="1" t="str">
        <f>"FAM217A"</f>
        <v>FAM217A</v>
      </c>
      <c r="B6026" t="s">
        <v>14</v>
      </c>
      <c r="C6026" t="s">
        <v>32</v>
      </c>
      <c r="D6026" t="s">
        <v>11</v>
      </c>
      <c r="E6026" t="s">
        <v>12</v>
      </c>
      <c r="F6026">
        <v>4079358</v>
      </c>
      <c r="G6026">
        <v>4079375</v>
      </c>
      <c r="H6026">
        <v>4079387</v>
      </c>
      <c r="I6026">
        <v>4079396</v>
      </c>
    </row>
    <row r="6027" spans="1:9" x14ac:dyDescent="0.2">
      <c r="A6027" s="1" t="str">
        <f>"FAM217B"</f>
        <v>FAM217B</v>
      </c>
      <c r="B6027" t="s">
        <v>9</v>
      </c>
      <c r="C6027" t="s">
        <v>29</v>
      </c>
      <c r="D6027" t="s">
        <v>17</v>
      </c>
      <c r="E6027" t="s">
        <v>12</v>
      </c>
      <c r="F6027">
        <v>58515417</v>
      </c>
      <c r="G6027">
        <v>58515550</v>
      </c>
      <c r="H6027">
        <v>58515417</v>
      </c>
      <c r="I6027">
        <v>58515550</v>
      </c>
    </row>
    <row r="6028" spans="1:9" x14ac:dyDescent="0.2">
      <c r="A6028" s="1" t="str">
        <f>"FAM217B"</f>
        <v>FAM217B</v>
      </c>
      <c r="B6028" t="s">
        <v>13</v>
      </c>
      <c r="C6028" t="s">
        <v>29</v>
      </c>
      <c r="D6028" t="s">
        <v>17</v>
      </c>
      <c r="E6028" t="s">
        <v>12</v>
      </c>
      <c r="F6028">
        <v>58508817</v>
      </c>
      <c r="G6028">
        <v>58508867</v>
      </c>
      <c r="H6028">
        <v>58508817</v>
      </c>
      <c r="I6028">
        <v>58508867</v>
      </c>
    </row>
    <row r="6029" spans="1:9" x14ac:dyDescent="0.2">
      <c r="A6029" s="1" t="str">
        <f>"FAM218A"</f>
        <v>FAM218A</v>
      </c>
      <c r="B6029" t="s">
        <v>14</v>
      </c>
      <c r="C6029" t="s">
        <v>23</v>
      </c>
      <c r="D6029" t="s">
        <v>17</v>
      </c>
      <c r="E6029" t="s">
        <v>12</v>
      </c>
      <c r="F6029">
        <v>165878114</v>
      </c>
      <c r="G6029">
        <v>165878159</v>
      </c>
      <c r="H6029">
        <v>165878094</v>
      </c>
      <c r="I6029">
        <v>165878110</v>
      </c>
    </row>
    <row r="6030" spans="1:9" x14ac:dyDescent="0.2">
      <c r="A6030" s="1" t="str">
        <f>"FAM219A"</f>
        <v>FAM219A</v>
      </c>
      <c r="B6030" t="s">
        <v>14</v>
      </c>
      <c r="C6030" t="s">
        <v>24</v>
      </c>
      <c r="D6030" t="s">
        <v>11</v>
      </c>
      <c r="E6030" t="s">
        <v>12</v>
      </c>
      <c r="F6030">
        <v>34458531</v>
      </c>
      <c r="G6030">
        <v>34458582</v>
      </c>
      <c r="H6030">
        <v>34458474</v>
      </c>
      <c r="I6030">
        <v>34458492</v>
      </c>
    </row>
    <row r="6031" spans="1:9" x14ac:dyDescent="0.2">
      <c r="A6031" s="1" t="str">
        <f>"FAM219B"</f>
        <v>FAM219B</v>
      </c>
      <c r="B6031" t="s">
        <v>14</v>
      </c>
      <c r="C6031" t="s">
        <v>25</v>
      </c>
      <c r="D6031" t="s">
        <v>11</v>
      </c>
      <c r="E6031" t="s">
        <v>12</v>
      </c>
      <c r="F6031">
        <v>75199132</v>
      </c>
      <c r="G6031">
        <v>75199173</v>
      </c>
      <c r="H6031">
        <v>75199179</v>
      </c>
      <c r="I6031">
        <v>75199204</v>
      </c>
    </row>
    <row r="6032" spans="1:9" x14ac:dyDescent="0.2">
      <c r="A6032" s="1" t="str">
        <f>"FAM21A"</f>
        <v>FAM21A</v>
      </c>
      <c r="B6032" t="s">
        <v>14</v>
      </c>
      <c r="C6032" t="s">
        <v>15</v>
      </c>
      <c r="D6032" t="s">
        <v>17</v>
      </c>
      <c r="E6032" t="s">
        <v>12</v>
      </c>
      <c r="F6032">
        <v>51827705</v>
      </c>
      <c r="G6032">
        <v>51827720</v>
      </c>
      <c r="H6032">
        <v>51827705</v>
      </c>
      <c r="I6032">
        <v>51827720</v>
      </c>
    </row>
    <row r="6033" spans="1:9" x14ac:dyDescent="0.2">
      <c r="A6033" s="1" t="str">
        <f>"FAM21C"</f>
        <v>FAM21C</v>
      </c>
      <c r="B6033" t="s">
        <v>14</v>
      </c>
      <c r="C6033" t="s">
        <v>15</v>
      </c>
      <c r="D6033" t="s">
        <v>17</v>
      </c>
      <c r="E6033" t="s">
        <v>12</v>
      </c>
      <c r="F6033">
        <v>46222680</v>
      </c>
      <c r="G6033">
        <v>46222738</v>
      </c>
      <c r="H6033">
        <v>46222680</v>
      </c>
      <c r="I6033">
        <v>46222738</v>
      </c>
    </row>
    <row r="6034" spans="1:9" x14ac:dyDescent="0.2">
      <c r="A6034" s="1" t="str">
        <f>"FAM220A"</f>
        <v>FAM220A</v>
      </c>
      <c r="B6034" t="s">
        <v>14</v>
      </c>
      <c r="C6034" t="s">
        <v>33</v>
      </c>
      <c r="D6034" t="s">
        <v>11</v>
      </c>
      <c r="E6034" t="s">
        <v>12</v>
      </c>
      <c r="F6034">
        <v>6388537</v>
      </c>
      <c r="G6034">
        <v>6388611</v>
      </c>
      <c r="H6034">
        <v>6388515</v>
      </c>
      <c r="I6034">
        <v>6388531</v>
      </c>
    </row>
    <row r="6035" spans="1:9" x14ac:dyDescent="0.2">
      <c r="A6035" s="1" t="str">
        <f>"FAM221A"</f>
        <v>FAM221A</v>
      </c>
      <c r="B6035" t="s">
        <v>14</v>
      </c>
      <c r="C6035" t="s">
        <v>33</v>
      </c>
      <c r="D6035" t="s">
        <v>17</v>
      </c>
      <c r="E6035" t="s">
        <v>12</v>
      </c>
      <c r="F6035">
        <v>23719777</v>
      </c>
      <c r="G6035">
        <v>23719834</v>
      </c>
      <c r="H6035">
        <v>23719840</v>
      </c>
      <c r="I6035">
        <v>23719854</v>
      </c>
    </row>
    <row r="6036" spans="1:9" x14ac:dyDescent="0.2">
      <c r="A6036" s="1" t="str">
        <f>"FAM221B"</f>
        <v>FAM221B</v>
      </c>
      <c r="B6036" t="s">
        <v>14</v>
      </c>
      <c r="C6036" t="s">
        <v>24</v>
      </c>
      <c r="D6036" t="s">
        <v>11</v>
      </c>
      <c r="E6036" t="s">
        <v>12</v>
      </c>
      <c r="F6036">
        <v>35829092</v>
      </c>
      <c r="G6036">
        <v>35829129</v>
      </c>
      <c r="H6036">
        <v>35828723</v>
      </c>
      <c r="I6036">
        <v>35828734</v>
      </c>
    </row>
    <row r="6037" spans="1:9" x14ac:dyDescent="0.2">
      <c r="A6037" s="1" t="str">
        <f>"FAM222A"</f>
        <v>FAM222A</v>
      </c>
      <c r="B6037" t="s">
        <v>14</v>
      </c>
      <c r="C6037" t="s">
        <v>16</v>
      </c>
      <c r="D6037" t="s">
        <v>17</v>
      </c>
      <c r="E6037" t="s">
        <v>12</v>
      </c>
      <c r="F6037">
        <v>110151623</v>
      </c>
      <c r="G6037">
        <v>110151644</v>
      </c>
      <c r="H6037">
        <v>110151623</v>
      </c>
      <c r="I6037">
        <v>110151644</v>
      </c>
    </row>
    <row r="6038" spans="1:9" x14ac:dyDescent="0.2">
      <c r="A6038" s="1" t="str">
        <f>"FAM222B"</f>
        <v>FAM222B</v>
      </c>
      <c r="B6038" t="s">
        <v>9</v>
      </c>
      <c r="C6038" t="s">
        <v>28</v>
      </c>
      <c r="D6038" t="s">
        <v>11</v>
      </c>
      <c r="E6038" t="s">
        <v>12</v>
      </c>
      <c r="F6038">
        <v>27169764</v>
      </c>
      <c r="G6038">
        <v>27169846</v>
      </c>
      <c r="H6038">
        <v>27169764</v>
      </c>
      <c r="I6038">
        <v>27169846</v>
      </c>
    </row>
    <row r="6039" spans="1:9" x14ac:dyDescent="0.2">
      <c r="A6039" s="1" t="str">
        <f>"FAM222B"</f>
        <v>FAM222B</v>
      </c>
      <c r="B6039" t="s">
        <v>13</v>
      </c>
      <c r="C6039" t="s">
        <v>28</v>
      </c>
      <c r="D6039" t="s">
        <v>11</v>
      </c>
      <c r="E6039" t="s">
        <v>12</v>
      </c>
      <c r="F6039">
        <v>27139411</v>
      </c>
      <c r="G6039">
        <v>27139498</v>
      </c>
      <c r="H6039">
        <v>27139411</v>
      </c>
      <c r="I6039">
        <v>27139498</v>
      </c>
    </row>
    <row r="6040" spans="1:9" x14ac:dyDescent="0.2">
      <c r="A6040" s="1" t="str">
        <f>"FAM227A"</f>
        <v>FAM227A</v>
      </c>
      <c r="B6040" t="s">
        <v>14</v>
      </c>
      <c r="C6040" t="s">
        <v>21</v>
      </c>
      <c r="D6040" t="s">
        <v>11</v>
      </c>
      <c r="E6040" t="s">
        <v>67</v>
      </c>
      <c r="F6040">
        <v>39052381</v>
      </c>
      <c r="G6040">
        <v>39052423</v>
      </c>
      <c r="H6040">
        <v>39052359</v>
      </c>
      <c r="I6040">
        <v>39052379</v>
      </c>
    </row>
    <row r="6041" spans="1:9" x14ac:dyDescent="0.2">
      <c r="A6041" s="1" t="str">
        <f>"FAM227B"</f>
        <v>FAM227B</v>
      </c>
      <c r="B6041" t="s">
        <v>14</v>
      </c>
      <c r="C6041" t="s">
        <v>25</v>
      </c>
      <c r="D6041" t="s">
        <v>11</v>
      </c>
      <c r="E6041" t="s">
        <v>12</v>
      </c>
      <c r="F6041">
        <v>49912987</v>
      </c>
      <c r="G6041">
        <v>49913029</v>
      </c>
      <c r="H6041">
        <v>49913060</v>
      </c>
      <c r="I6041">
        <v>49913095</v>
      </c>
    </row>
    <row r="6042" spans="1:9" x14ac:dyDescent="0.2">
      <c r="A6042" s="1" t="str">
        <f>"FAM228A"</f>
        <v>FAM228A</v>
      </c>
      <c r="B6042" t="s">
        <v>14</v>
      </c>
      <c r="C6042" t="s">
        <v>26</v>
      </c>
      <c r="D6042" t="s">
        <v>17</v>
      </c>
      <c r="E6042" t="s">
        <v>12</v>
      </c>
      <c r="F6042">
        <v>24397930</v>
      </c>
      <c r="G6042">
        <v>24397967</v>
      </c>
      <c r="H6042">
        <v>24397910</v>
      </c>
      <c r="I6042">
        <v>24397927</v>
      </c>
    </row>
    <row r="6043" spans="1:9" x14ac:dyDescent="0.2">
      <c r="A6043" s="1" t="str">
        <f>"FAM228B"</f>
        <v>FAM228B</v>
      </c>
      <c r="B6043" t="s">
        <v>14</v>
      </c>
      <c r="C6043" t="s">
        <v>26</v>
      </c>
      <c r="D6043" t="s">
        <v>17</v>
      </c>
      <c r="E6043" t="s">
        <v>67</v>
      </c>
      <c r="F6043">
        <v>24346324</v>
      </c>
      <c r="G6043">
        <v>24346353</v>
      </c>
      <c r="H6043">
        <v>24346358</v>
      </c>
      <c r="I6043">
        <v>24346383</v>
      </c>
    </row>
    <row r="6044" spans="1:9" x14ac:dyDescent="0.2">
      <c r="A6044" s="1" t="str">
        <f>"FAM229A"</f>
        <v>FAM229A</v>
      </c>
      <c r="B6044" t="s">
        <v>14</v>
      </c>
      <c r="C6044" t="s">
        <v>19</v>
      </c>
      <c r="D6044" t="s">
        <v>11</v>
      </c>
      <c r="E6044" t="s">
        <v>67</v>
      </c>
      <c r="F6044">
        <v>32827682</v>
      </c>
      <c r="G6044">
        <v>32827700</v>
      </c>
      <c r="H6044">
        <v>32828122</v>
      </c>
      <c r="I6044">
        <v>32828123</v>
      </c>
    </row>
    <row r="6045" spans="1:9" x14ac:dyDescent="0.2">
      <c r="A6045" s="1" t="str">
        <f>"FAM229B"</f>
        <v>FAM229B</v>
      </c>
      <c r="B6045" t="s">
        <v>14</v>
      </c>
      <c r="C6045" t="s">
        <v>32</v>
      </c>
      <c r="D6045" t="s">
        <v>17</v>
      </c>
      <c r="E6045" t="s">
        <v>12</v>
      </c>
      <c r="F6045">
        <v>112408768</v>
      </c>
      <c r="G6045">
        <v>112408894</v>
      </c>
      <c r="H6045">
        <v>112408768</v>
      </c>
      <c r="I6045">
        <v>112408894</v>
      </c>
    </row>
    <row r="6046" spans="1:9" x14ac:dyDescent="0.2">
      <c r="A6046" s="1" t="str">
        <f>"FAM230A"</f>
        <v>FAM230A</v>
      </c>
      <c r="B6046" t="s">
        <v>427</v>
      </c>
      <c r="C6046" t="s">
        <v>21</v>
      </c>
      <c r="D6046" t="s">
        <v>17</v>
      </c>
      <c r="E6046" t="s">
        <v>20</v>
      </c>
      <c r="F6046">
        <v>20692437</v>
      </c>
      <c r="G6046">
        <v>20692437</v>
      </c>
      <c r="H6046">
        <v>20692437</v>
      </c>
      <c r="I6046">
        <v>20692437</v>
      </c>
    </row>
    <row r="6047" spans="1:9" x14ac:dyDescent="0.2">
      <c r="A6047" s="1" t="str">
        <f>"FAM24A"</f>
        <v>FAM24A</v>
      </c>
      <c r="B6047" t="s">
        <v>14</v>
      </c>
      <c r="C6047" t="s">
        <v>15</v>
      </c>
      <c r="D6047" t="s">
        <v>17</v>
      </c>
      <c r="E6047" t="s">
        <v>12</v>
      </c>
      <c r="F6047">
        <v>124670121</v>
      </c>
      <c r="G6047">
        <v>124670131</v>
      </c>
      <c r="H6047">
        <v>124670154</v>
      </c>
      <c r="I6047">
        <v>124670160</v>
      </c>
    </row>
    <row r="6048" spans="1:9" x14ac:dyDescent="0.2">
      <c r="A6048" s="1" t="str">
        <f>"FAM24B"</f>
        <v>FAM24B</v>
      </c>
      <c r="B6048" t="s">
        <v>14</v>
      </c>
      <c r="C6048" t="s">
        <v>15</v>
      </c>
      <c r="D6048" t="s">
        <v>11</v>
      </c>
      <c r="E6048" t="s">
        <v>12</v>
      </c>
      <c r="F6048">
        <v>124639062</v>
      </c>
      <c r="G6048">
        <v>124639113</v>
      </c>
      <c r="H6048">
        <v>124639117</v>
      </c>
      <c r="I6048">
        <v>124639139</v>
      </c>
    </row>
    <row r="6049" spans="1:9" x14ac:dyDescent="0.2">
      <c r="A6049" s="1" t="str">
        <f>"FAM25A"</f>
        <v>FAM25A</v>
      </c>
      <c r="B6049" t="s">
        <v>14</v>
      </c>
      <c r="C6049" t="s">
        <v>15</v>
      </c>
      <c r="D6049" t="s">
        <v>17</v>
      </c>
      <c r="E6049" t="s">
        <v>12</v>
      </c>
      <c r="F6049">
        <v>88780049</v>
      </c>
      <c r="G6049">
        <v>88780051</v>
      </c>
      <c r="H6049">
        <v>88780049</v>
      </c>
      <c r="I6049">
        <v>88780051</v>
      </c>
    </row>
    <row r="6050" spans="1:9" x14ac:dyDescent="0.2">
      <c r="A6050" s="1" t="str">
        <f>"FAM25B"</f>
        <v>FAM25B</v>
      </c>
      <c r="B6050" t="s">
        <v>428</v>
      </c>
      <c r="C6050" t="s">
        <v>15</v>
      </c>
      <c r="D6050" t="s">
        <v>11</v>
      </c>
      <c r="E6050" t="s">
        <v>20</v>
      </c>
      <c r="F6050">
        <v>47181680</v>
      </c>
      <c r="G6050">
        <v>47181680</v>
      </c>
      <c r="H6050">
        <v>47181680</v>
      </c>
      <c r="I6050">
        <v>47181680</v>
      </c>
    </row>
    <row r="6051" spans="1:9" x14ac:dyDescent="0.2">
      <c r="A6051" s="1" t="str">
        <f>"FAM25C"</f>
        <v>FAM25C</v>
      </c>
      <c r="B6051" t="s">
        <v>429</v>
      </c>
      <c r="C6051" t="s">
        <v>15</v>
      </c>
      <c r="D6051" t="s">
        <v>11</v>
      </c>
      <c r="E6051" t="s">
        <v>20</v>
      </c>
      <c r="F6051">
        <v>49207817</v>
      </c>
      <c r="G6051">
        <v>49207817</v>
      </c>
      <c r="H6051">
        <v>49207817</v>
      </c>
      <c r="I6051">
        <v>49207817</v>
      </c>
    </row>
    <row r="6052" spans="1:9" x14ac:dyDescent="0.2">
      <c r="A6052" s="1" t="str">
        <f>"FAM25D"</f>
        <v>FAM25D</v>
      </c>
      <c r="B6052" t="s">
        <v>430</v>
      </c>
      <c r="C6052" t="s">
        <v>15</v>
      </c>
      <c r="D6052" t="s">
        <v>11</v>
      </c>
      <c r="E6052" t="s">
        <v>20</v>
      </c>
      <c r="F6052">
        <v>51216405</v>
      </c>
      <c r="G6052">
        <v>51216405</v>
      </c>
      <c r="H6052">
        <v>51216405</v>
      </c>
      <c r="I6052">
        <v>51216405</v>
      </c>
    </row>
    <row r="6053" spans="1:9" x14ac:dyDescent="0.2">
      <c r="A6053" s="1" t="str">
        <f>"FAM25E"</f>
        <v>FAM25E</v>
      </c>
      <c r="B6053" t="s">
        <v>431</v>
      </c>
      <c r="C6053" t="s">
        <v>15</v>
      </c>
      <c r="D6053" t="s">
        <v>11</v>
      </c>
      <c r="E6053" t="s">
        <v>20</v>
      </c>
      <c r="F6053">
        <v>46313035</v>
      </c>
      <c r="G6053">
        <v>46313035</v>
      </c>
      <c r="H6053">
        <v>46313035</v>
      </c>
      <c r="I6053">
        <v>46313035</v>
      </c>
    </row>
    <row r="6054" spans="1:9" x14ac:dyDescent="0.2">
      <c r="A6054" s="1" t="str">
        <f>"FAM25G"</f>
        <v>FAM25G</v>
      </c>
      <c r="B6054" t="s">
        <v>432</v>
      </c>
      <c r="C6054" t="s">
        <v>15</v>
      </c>
      <c r="D6054" t="s">
        <v>17</v>
      </c>
      <c r="E6054" t="s">
        <v>20</v>
      </c>
      <c r="F6054">
        <v>48247668</v>
      </c>
      <c r="G6054">
        <v>48247668</v>
      </c>
      <c r="H6054">
        <v>48247668</v>
      </c>
      <c r="I6054">
        <v>48247668</v>
      </c>
    </row>
    <row r="6055" spans="1:9" x14ac:dyDescent="0.2">
      <c r="A6055" s="1" t="str">
        <f>"FAM26D"</f>
        <v>FAM26D</v>
      </c>
      <c r="B6055" t="s">
        <v>14</v>
      </c>
      <c r="C6055" t="s">
        <v>32</v>
      </c>
      <c r="D6055" t="s">
        <v>17</v>
      </c>
      <c r="E6055" t="s">
        <v>12</v>
      </c>
      <c r="F6055">
        <v>116850191</v>
      </c>
      <c r="G6055">
        <v>116850214</v>
      </c>
      <c r="H6055">
        <v>116850191</v>
      </c>
      <c r="I6055">
        <v>116850214</v>
      </c>
    </row>
    <row r="6056" spans="1:9" x14ac:dyDescent="0.2">
      <c r="A6056" s="1" t="str">
        <f>"FAM26E"</f>
        <v>FAM26E</v>
      </c>
      <c r="B6056" t="s">
        <v>14</v>
      </c>
      <c r="C6056" t="s">
        <v>32</v>
      </c>
      <c r="D6056" t="s">
        <v>17</v>
      </c>
      <c r="E6056" t="s">
        <v>12</v>
      </c>
      <c r="F6056">
        <v>116832823</v>
      </c>
      <c r="G6056">
        <v>116832853</v>
      </c>
      <c r="H6056">
        <v>116832789</v>
      </c>
      <c r="I6056">
        <v>116832811</v>
      </c>
    </row>
    <row r="6057" spans="1:9" x14ac:dyDescent="0.2">
      <c r="A6057" s="1" t="str">
        <f>"FAM26F"</f>
        <v>FAM26F</v>
      </c>
      <c r="B6057" t="s">
        <v>14</v>
      </c>
      <c r="C6057" t="s">
        <v>32</v>
      </c>
      <c r="D6057" t="s">
        <v>17</v>
      </c>
      <c r="E6057" t="s">
        <v>12</v>
      </c>
      <c r="F6057">
        <v>116783272</v>
      </c>
      <c r="G6057">
        <v>116783399</v>
      </c>
      <c r="H6057">
        <v>116783013</v>
      </c>
      <c r="I6057">
        <v>116783032</v>
      </c>
    </row>
    <row r="6058" spans="1:9" x14ac:dyDescent="0.2">
      <c r="A6058" s="1" t="str">
        <f>"FAM27E3"</f>
        <v>FAM27E3</v>
      </c>
      <c r="B6058" t="s">
        <v>433</v>
      </c>
      <c r="C6058" t="s">
        <v>24</v>
      </c>
      <c r="D6058" t="s">
        <v>11</v>
      </c>
      <c r="E6058" t="s">
        <v>20</v>
      </c>
      <c r="F6058">
        <v>67786623</v>
      </c>
      <c r="G6058">
        <v>67786623</v>
      </c>
      <c r="H6058">
        <v>67786623</v>
      </c>
      <c r="I6058">
        <v>67786623</v>
      </c>
    </row>
    <row r="6059" spans="1:9" x14ac:dyDescent="0.2">
      <c r="A6059" s="1" t="str">
        <f>"FAM32A"</f>
        <v>FAM32A</v>
      </c>
      <c r="B6059" t="s">
        <v>14</v>
      </c>
      <c r="C6059" t="s">
        <v>10</v>
      </c>
      <c r="D6059" t="s">
        <v>17</v>
      </c>
      <c r="E6059" t="s">
        <v>12</v>
      </c>
      <c r="F6059">
        <v>16296214</v>
      </c>
      <c r="G6059">
        <v>16296250</v>
      </c>
      <c r="H6059">
        <v>16296346</v>
      </c>
      <c r="I6059">
        <v>16296360</v>
      </c>
    </row>
    <row r="6060" spans="1:9" x14ac:dyDescent="0.2">
      <c r="A6060" s="1" t="str">
        <f>"FAM35A"</f>
        <v>FAM35A</v>
      </c>
      <c r="B6060" t="s">
        <v>14</v>
      </c>
      <c r="C6060" t="s">
        <v>15</v>
      </c>
      <c r="D6060" t="s">
        <v>17</v>
      </c>
      <c r="E6060" t="s">
        <v>12</v>
      </c>
      <c r="F6060">
        <v>88854926</v>
      </c>
      <c r="G6060">
        <v>88854985</v>
      </c>
      <c r="H6060">
        <v>88854926</v>
      </c>
      <c r="I6060">
        <v>88854985</v>
      </c>
    </row>
    <row r="6061" spans="1:9" x14ac:dyDescent="0.2">
      <c r="A6061" s="1" t="str">
        <f>"FAM3A"</f>
        <v>FAM3A</v>
      </c>
      <c r="B6061" t="s">
        <v>14</v>
      </c>
      <c r="C6061" t="s">
        <v>37</v>
      </c>
      <c r="D6061" t="s">
        <v>11</v>
      </c>
      <c r="E6061" t="s">
        <v>12</v>
      </c>
      <c r="F6061">
        <v>153744507</v>
      </c>
      <c r="G6061">
        <v>153744593</v>
      </c>
      <c r="H6061">
        <v>153744434</v>
      </c>
      <c r="I6061">
        <v>153744492</v>
      </c>
    </row>
    <row r="6062" spans="1:9" x14ac:dyDescent="0.2">
      <c r="A6062" s="1" t="str">
        <f>"FAM3B"</f>
        <v>FAM3B</v>
      </c>
      <c r="B6062" t="s">
        <v>14</v>
      </c>
      <c r="C6062" t="s">
        <v>42</v>
      </c>
      <c r="D6062" t="s">
        <v>17</v>
      </c>
      <c r="E6062" t="s">
        <v>12</v>
      </c>
      <c r="F6062">
        <v>42688686</v>
      </c>
      <c r="G6062">
        <v>42688769</v>
      </c>
      <c r="H6062">
        <v>42688657</v>
      </c>
      <c r="I6062">
        <v>42688671</v>
      </c>
    </row>
    <row r="6063" spans="1:9" x14ac:dyDescent="0.2">
      <c r="A6063" s="1" t="str">
        <f>"FAM3C"</f>
        <v>FAM3C</v>
      </c>
      <c r="B6063" t="s">
        <v>14</v>
      </c>
      <c r="C6063" t="s">
        <v>33</v>
      </c>
      <c r="D6063" t="s">
        <v>11</v>
      </c>
      <c r="E6063" t="s">
        <v>12</v>
      </c>
      <c r="F6063">
        <v>121036337</v>
      </c>
      <c r="G6063">
        <v>121036429</v>
      </c>
      <c r="H6063">
        <v>121036269</v>
      </c>
      <c r="I6063">
        <v>121036290</v>
      </c>
    </row>
    <row r="6064" spans="1:9" x14ac:dyDescent="0.2">
      <c r="A6064" s="1" t="str">
        <f>"FAM3D"</f>
        <v>FAM3D</v>
      </c>
      <c r="B6064" t="s">
        <v>9</v>
      </c>
      <c r="C6064" t="s">
        <v>22</v>
      </c>
      <c r="D6064" t="s">
        <v>11</v>
      </c>
      <c r="E6064" t="s">
        <v>12</v>
      </c>
      <c r="F6064">
        <v>58643483</v>
      </c>
      <c r="G6064">
        <v>58643499</v>
      </c>
      <c r="H6064">
        <v>58643483</v>
      </c>
      <c r="I6064">
        <v>58643499</v>
      </c>
    </row>
    <row r="6065" spans="1:9" x14ac:dyDescent="0.2">
      <c r="A6065" s="1" t="str">
        <f>"FAM3D"</f>
        <v>FAM3D</v>
      </c>
      <c r="B6065" t="s">
        <v>13</v>
      </c>
      <c r="C6065" t="s">
        <v>22</v>
      </c>
      <c r="D6065" t="s">
        <v>11</v>
      </c>
      <c r="E6065" t="s">
        <v>12</v>
      </c>
      <c r="F6065">
        <v>58652490</v>
      </c>
      <c r="G6065">
        <v>58652519</v>
      </c>
      <c r="H6065">
        <v>58652490</v>
      </c>
      <c r="I6065">
        <v>58652519</v>
      </c>
    </row>
    <row r="6066" spans="1:9" x14ac:dyDescent="0.2">
      <c r="A6066" s="1" t="str">
        <f>"FAM43A"</f>
        <v>FAM43A</v>
      </c>
      <c r="B6066" t="s">
        <v>14</v>
      </c>
      <c r="C6066" t="s">
        <v>22</v>
      </c>
      <c r="D6066" t="s">
        <v>17</v>
      </c>
      <c r="E6066" t="s">
        <v>12</v>
      </c>
      <c r="F6066">
        <v>194406603</v>
      </c>
      <c r="G6066">
        <v>194406619</v>
      </c>
      <c r="H6066">
        <v>194407145</v>
      </c>
      <c r="I6066">
        <v>194407178</v>
      </c>
    </row>
    <row r="6067" spans="1:9" x14ac:dyDescent="0.2">
      <c r="A6067" s="1" t="str">
        <f>"FAM43B"</f>
        <v>FAM43B</v>
      </c>
      <c r="B6067" t="s">
        <v>14</v>
      </c>
      <c r="C6067" t="s">
        <v>19</v>
      </c>
      <c r="D6067" t="s">
        <v>17</v>
      </c>
      <c r="E6067" t="s">
        <v>12</v>
      </c>
      <c r="F6067">
        <v>20879008</v>
      </c>
      <c r="G6067">
        <v>20879084</v>
      </c>
      <c r="H6067">
        <v>20879181</v>
      </c>
      <c r="I6067">
        <v>20879202</v>
      </c>
    </row>
    <row r="6068" spans="1:9" x14ac:dyDescent="0.2">
      <c r="A6068" s="1" t="str">
        <f>"FAM45A"</f>
        <v>FAM45A</v>
      </c>
      <c r="B6068" t="s">
        <v>14</v>
      </c>
      <c r="C6068" t="s">
        <v>15</v>
      </c>
      <c r="D6068" t="s">
        <v>17</v>
      </c>
      <c r="E6068" t="s">
        <v>12</v>
      </c>
      <c r="F6068">
        <v>120863587</v>
      </c>
      <c r="G6068">
        <v>120863631</v>
      </c>
      <c r="H6068">
        <v>120863587</v>
      </c>
      <c r="I6068">
        <v>120863631</v>
      </c>
    </row>
    <row r="6069" spans="1:9" x14ac:dyDescent="0.2">
      <c r="A6069" s="1" t="str">
        <f>"FAM46A"</f>
        <v>FAM46A</v>
      </c>
      <c r="B6069" t="s">
        <v>14</v>
      </c>
      <c r="C6069" t="s">
        <v>32</v>
      </c>
      <c r="D6069" t="s">
        <v>11</v>
      </c>
      <c r="E6069" t="s">
        <v>12</v>
      </c>
      <c r="F6069">
        <v>82462377</v>
      </c>
      <c r="G6069">
        <v>82462405</v>
      </c>
      <c r="H6069">
        <v>82462377</v>
      </c>
      <c r="I6069">
        <v>82462405</v>
      </c>
    </row>
    <row r="6070" spans="1:9" x14ac:dyDescent="0.2">
      <c r="A6070" s="1" t="str">
        <f>"FAM46B"</f>
        <v>FAM46B</v>
      </c>
      <c r="B6070" t="s">
        <v>14</v>
      </c>
      <c r="C6070" t="s">
        <v>19</v>
      </c>
      <c r="D6070" t="s">
        <v>11</v>
      </c>
      <c r="E6070" t="s">
        <v>12</v>
      </c>
      <c r="F6070">
        <v>27339317</v>
      </c>
      <c r="G6070">
        <v>27339375</v>
      </c>
      <c r="H6070">
        <v>27339441</v>
      </c>
      <c r="I6070">
        <v>27339458</v>
      </c>
    </row>
    <row r="6071" spans="1:9" x14ac:dyDescent="0.2">
      <c r="A6071" s="1" t="str">
        <f>"FAM46C"</f>
        <v>FAM46C</v>
      </c>
      <c r="B6071" t="s">
        <v>14</v>
      </c>
      <c r="C6071" t="s">
        <v>19</v>
      </c>
      <c r="D6071" t="s">
        <v>17</v>
      </c>
      <c r="E6071" t="s">
        <v>12</v>
      </c>
      <c r="F6071">
        <v>118148662</v>
      </c>
      <c r="G6071">
        <v>118148681</v>
      </c>
      <c r="H6071">
        <v>118148662</v>
      </c>
      <c r="I6071">
        <v>118148681</v>
      </c>
    </row>
    <row r="6072" spans="1:9" x14ac:dyDescent="0.2">
      <c r="A6072" s="1" t="str">
        <f>"FAM46D"</f>
        <v>FAM46D</v>
      </c>
      <c r="B6072" t="s">
        <v>14</v>
      </c>
      <c r="C6072" t="s">
        <v>37</v>
      </c>
      <c r="D6072" t="s">
        <v>17</v>
      </c>
      <c r="E6072" t="s">
        <v>12</v>
      </c>
      <c r="F6072">
        <v>79590898</v>
      </c>
      <c r="G6072">
        <v>79590917</v>
      </c>
      <c r="H6072">
        <v>79590898</v>
      </c>
      <c r="I6072">
        <v>79590917</v>
      </c>
    </row>
    <row r="6073" spans="1:9" x14ac:dyDescent="0.2">
      <c r="A6073" s="1" t="str">
        <f>"FAM47A"</f>
        <v>FAM47A</v>
      </c>
      <c r="B6073" t="s">
        <v>14</v>
      </c>
      <c r="C6073" t="s">
        <v>37</v>
      </c>
      <c r="D6073" t="s">
        <v>11</v>
      </c>
      <c r="E6073" t="s">
        <v>12</v>
      </c>
      <c r="F6073">
        <v>34150428</v>
      </c>
      <c r="G6073">
        <v>34150455</v>
      </c>
      <c r="H6073">
        <v>34150428</v>
      </c>
      <c r="I6073">
        <v>34150455</v>
      </c>
    </row>
    <row r="6074" spans="1:9" x14ac:dyDescent="0.2">
      <c r="A6074" s="1" t="str">
        <f>"FAM47B"</f>
        <v>FAM47B</v>
      </c>
      <c r="B6074" t="s">
        <v>14</v>
      </c>
      <c r="C6074" t="s">
        <v>37</v>
      </c>
      <c r="D6074" t="s">
        <v>17</v>
      </c>
      <c r="E6074" t="s">
        <v>12</v>
      </c>
      <c r="F6074">
        <v>34960907</v>
      </c>
      <c r="G6074">
        <v>34960918</v>
      </c>
      <c r="H6074">
        <v>34960907</v>
      </c>
      <c r="I6074">
        <v>34960918</v>
      </c>
    </row>
    <row r="6075" spans="1:9" x14ac:dyDescent="0.2">
      <c r="A6075" s="1" t="str">
        <f>"FAM47C"</f>
        <v>FAM47C</v>
      </c>
      <c r="B6075" t="s">
        <v>14</v>
      </c>
      <c r="C6075" t="s">
        <v>37</v>
      </c>
      <c r="D6075" t="s">
        <v>17</v>
      </c>
      <c r="E6075" t="s">
        <v>12</v>
      </c>
      <c r="F6075">
        <v>37026416</v>
      </c>
      <c r="G6075">
        <v>37026450</v>
      </c>
      <c r="H6075">
        <v>37026416</v>
      </c>
      <c r="I6075">
        <v>37026450</v>
      </c>
    </row>
    <row r="6076" spans="1:9" x14ac:dyDescent="0.2">
      <c r="A6076" s="1" t="str">
        <f>"FAM47E"</f>
        <v>FAM47E</v>
      </c>
      <c r="B6076" t="s">
        <v>14</v>
      </c>
      <c r="C6076" t="s">
        <v>23</v>
      </c>
      <c r="D6076" t="s">
        <v>17</v>
      </c>
      <c r="E6076" t="s">
        <v>12</v>
      </c>
      <c r="F6076">
        <v>77172847</v>
      </c>
      <c r="G6076">
        <v>77172897</v>
      </c>
      <c r="H6076">
        <v>77172847</v>
      </c>
      <c r="I6076">
        <v>77172897</v>
      </c>
    </row>
    <row r="6077" spans="1:9" x14ac:dyDescent="0.2">
      <c r="A6077" s="1" t="str">
        <f>"FAM47E-STBD1"</f>
        <v>FAM47E-STBD1</v>
      </c>
      <c r="B6077" t="s">
        <v>434</v>
      </c>
      <c r="C6077" t="s">
        <v>23</v>
      </c>
      <c r="D6077" t="s">
        <v>17</v>
      </c>
      <c r="E6077" t="s">
        <v>20</v>
      </c>
      <c r="F6077">
        <v>77227178</v>
      </c>
      <c r="G6077">
        <v>77227178</v>
      </c>
      <c r="H6077">
        <v>77227178</v>
      </c>
      <c r="I6077">
        <v>77227178</v>
      </c>
    </row>
    <row r="6078" spans="1:9" x14ac:dyDescent="0.2">
      <c r="A6078" s="1" t="str">
        <f>"FAM49A"</f>
        <v>FAM49A</v>
      </c>
      <c r="B6078" t="s">
        <v>14</v>
      </c>
      <c r="C6078" t="s">
        <v>26</v>
      </c>
      <c r="D6078" t="s">
        <v>11</v>
      </c>
      <c r="E6078" t="s">
        <v>12</v>
      </c>
      <c r="F6078">
        <v>16847084</v>
      </c>
      <c r="G6078">
        <v>16847110</v>
      </c>
      <c r="H6078">
        <v>16847115</v>
      </c>
      <c r="I6078">
        <v>16847139</v>
      </c>
    </row>
    <row r="6079" spans="1:9" x14ac:dyDescent="0.2">
      <c r="A6079" s="1" t="str">
        <f>"FAM49B"</f>
        <v>FAM49B</v>
      </c>
      <c r="B6079" t="s">
        <v>9</v>
      </c>
      <c r="C6079" t="s">
        <v>30</v>
      </c>
      <c r="D6079" t="s">
        <v>11</v>
      </c>
      <c r="E6079" t="s">
        <v>12</v>
      </c>
      <c r="F6079">
        <v>130951991</v>
      </c>
      <c r="G6079">
        <v>130952083</v>
      </c>
      <c r="H6079">
        <v>130951991</v>
      </c>
      <c r="I6079">
        <v>130952083</v>
      </c>
    </row>
    <row r="6080" spans="1:9" x14ac:dyDescent="0.2">
      <c r="A6080" s="1" t="str">
        <f>"FAM49B"</f>
        <v>FAM49B</v>
      </c>
      <c r="B6080" t="s">
        <v>13</v>
      </c>
      <c r="C6080" t="s">
        <v>30</v>
      </c>
      <c r="D6080" t="s">
        <v>11</v>
      </c>
      <c r="E6080" t="s">
        <v>12</v>
      </c>
      <c r="F6080">
        <v>131028782</v>
      </c>
      <c r="G6080">
        <v>131028818</v>
      </c>
      <c r="H6080">
        <v>131028782</v>
      </c>
      <c r="I6080">
        <v>131028818</v>
      </c>
    </row>
    <row r="6081" spans="1:9" x14ac:dyDescent="0.2">
      <c r="A6081" s="1" t="str">
        <f>"FAM50A"</f>
        <v>FAM50A</v>
      </c>
      <c r="B6081" t="s">
        <v>14</v>
      </c>
      <c r="C6081" t="s">
        <v>37</v>
      </c>
      <c r="D6081" t="s">
        <v>17</v>
      </c>
      <c r="E6081" t="s">
        <v>12</v>
      </c>
      <c r="F6081">
        <v>153672468</v>
      </c>
      <c r="G6081">
        <v>153672502</v>
      </c>
      <c r="H6081">
        <v>153672510</v>
      </c>
      <c r="I6081">
        <v>153672523</v>
      </c>
    </row>
    <row r="6082" spans="1:9" x14ac:dyDescent="0.2">
      <c r="A6082" s="1" t="str">
        <f>"FAM50B"</f>
        <v>FAM50B</v>
      </c>
      <c r="B6082" t="s">
        <v>14</v>
      </c>
      <c r="C6082" t="s">
        <v>32</v>
      </c>
      <c r="D6082" t="s">
        <v>17</v>
      </c>
      <c r="E6082" t="s">
        <v>12</v>
      </c>
      <c r="F6082">
        <v>3849584</v>
      </c>
      <c r="G6082">
        <v>3849631</v>
      </c>
      <c r="H6082">
        <v>3849632</v>
      </c>
      <c r="I6082">
        <v>3849663</v>
      </c>
    </row>
    <row r="6083" spans="1:9" x14ac:dyDescent="0.2">
      <c r="A6083" s="1" t="str">
        <f>"FAM53A"</f>
        <v>FAM53A</v>
      </c>
      <c r="B6083" t="s">
        <v>14</v>
      </c>
      <c r="C6083" t="s">
        <v>23</v>
      </c>
      <c r="D6083" t="s">
        <v>11</v>
      </c>
      <c r="E6083" t="s">
        <v>12</v>
      </c>
      <c r="F6083">
        <v>1686015</v>
      </c>
      <c r="G6083">
        <v>1686065</v>
      </c>
      <c r="H6083">
        <v>1686149</v>
      </c>
      <c r="I6083">
        <v>1686179</v>
      </c>
    </row>
    <row r="6084" spans="1:9" x14ac:dyDescent="0.2">
      <c r="A6084" s="1" t="str">
        <f>"FAM53B"</f>
        <v>FAM53B</v>
      </c>
      <c r="B6084" t="s">
        <v>14</v>
      </c>
      <c r="C6084" t="s">
        <v>15</v>
      </c>
      <c r="D6084" t="s">
        <v>11</v>
      </c>
      <c r="E6084" t="s">
        <v>12</v>
      </c>
      <c r="F6084">
        <v>126432849</v>
      </c>
      <c r="G6084">
        <v>126432931</v>
      </c>
      <c r="H6084">
        <v>126432932</v>
      </c>
      <c r="I6084">
        <v>126432958</v>
      </c>
    </row>
    <row r="6085" spans="1:9" x14ac:dyDescent="0.2">
      <c r="A6085" s="1" t="str">
        <f>"FAM53C"</f>
        <v>FAM53C</v>
      </c>
      <c r="B6085" t="s">
        <v>14</v>
      </c>
      <c r="C6085" t="s">
        <v>46</v>
      </c>
      <c r="D6085" t="s">
        <v>17</v>
      </c>
      <c r="E6085" t="s">
        <v>12</v>
      </c>
      <c r="F6085">
        <v>137673945</v>
      </c>
      <c r="G6085">
        <v>137673961</v>
      </c>
      <c r="H6085">
        <v>137673734</v>
      </c>
      <c r="I6085">
        <v>137673783</v>
      </c>
    </row>
    <row r="6086" spans="1:9" x14ac:dyDescent="0.2">
      <c r="A6086" s="1" t="str">
        <f>"FAM57A"</f>
        <v>FAM57A</v>
      </c>
      <c r="B6086" t="s">
        <v>14</v>
      </c>
      <c r="C6086" t="s">
        <v>28</v>
      </c>
      <c r="D6086" t="s">
        <v>17</v>
      </c>
      <c r="E6086" t="s">
        <v>12</v>
      </c>
      <c r="F6086">
        <v>635801</v>
      </c>
      <c r="G6086">
        <v>635856</v>
      </c>
      <c r="H6086">
        <v>635682</v>
      </c>
      <c r="I6086">
        <v>635768</v>
      </c>
    </row>
    <row r="6087" spans="1:9" x14ac:dyDescent="0.2">
      <c r="A6087" s="1" t="str">
        <f>"FAM57B"</f>
        <v>FAM57B</v>
      </c>
      <c r="B6087" t="s">
        <v>14</v>
      </c>
      <c r="C6087" t="s">
        <v>31</v>
      </c>
      <c r="D6087" t="s">
        <v>11</v>
      </c>
      <c r="E6087" t="s">
        <v>12</v>
      </c>
      <c r="F6087">
        <v>30042584</v>
      </c>
      <c r="G6087">
        <v>30042598</v>
      </c>
      <c r="H6087">
        <v>30042116</v>
      </c>
      <c r="I6087">
        <v>30042186</v>
      </c>
    </row>
    <row r="6088" spans="1:9" x14ac:dyDescent="0.2">
      <c r="A6088" s="1" t="str">
        <f>"FAM58A"</f>
        <v>FAM58A</v>
      </c>
      <c r="B6088" t="s">
        <v>14</v>
      </c>
      <c r="C6088" t="s">
        <v>37</v>
      </c>
      <c r="D6088" t="s">
        <v>11</v>
      </c>
      <c r="E6088" t="s">
        <v>12</v>
      </c>
      <c r="F6088">
        <v>152864577</v>
      </c>
      <c r="G6088">
        <v>152864601</v>
      </c>
      <c r="H6088">
        <v>152864604</v>
      </c>
      <c r="I6088">
        <v>152864627</v>
      </c>
    </row>
    <row r="6089" spans="1:9" x14ac:dyDescent="0.2">
      <c r="A6089" s="1" t="str">
        <f>"FAM60A"</f>
        <v>FAM60A</v>
      </c>
      <c r="B6089" t="s">
        <v>14</v>
      </c>
      <c r="C6089" t="s">
        <v>16</v>
      </c>
      <c r="D6089" t="s">
        <v>11</v>
      </c>
      <c r="E6089" t="s">
        <v>12</v>
      </c>
      <c r="F6089">
        <v>31479076</v>
      </c>
      <c r="G6089">
        <v>31479092</v>
      </c>
      <c r="H6089">
        <v>31479045</v>
      </c>
      <c r="I6089">
        <v>31479074</v>
      </c>
    </row>
    <row r="6090" spans="1:9" x14ac:dyDescent="0.2">
      <c r="A6090" s="1" t="str">
        <f>"FAM63A"</f>
        <v>FAM63A</v>
      </c>
      <c r="B6090" t="s">
        <v>14</v>
      </c>
      <c r="C6090" t="s">
        <v>19</v>
      </c>
      <c r="D6090" t="s">
        <v>11</v>
      </c>
      <c r="E6090" t="s">
        <v>12</v>
      </c>
      <c r="F6090">
        <v>150979271</v>
      </c>
      <c r="G6090">
        <v>150979329</v>
      </c>
      <c r="H6090">
        <v>150979335</v>
      </c>
      <c r="I6090">
        <v>150979384</v>
      </c>
    </row>
    <row r="6091" spans="1:9" x14ac:dyDescent="0.2">
      <c r="A6091" s="1" t="str">
        <f>"FAM63B"</f>
        <v>FAM63B</v>
      </c>
      <c r="B6091" t="s">
        <v>14</v>
      </c>
      <c r="C6091" t="s">
        <v>25</v>
      </c>
      <c r="D6091" t="s">
        <v>17</v>
      </c>
      <c r="E6091" t="s">
        <v>12</v>
      </c>
      <c r="F6091">
        <v>59063478</v>
      </c>
      <c r="G6091">
        <v>59063527</v>
      </c>
      <c r="H6091">
        <v>59063384</v>
      </c>
      <c r="I6091">
        <v>59063402</v>
      </c>
    </row>
    <row r="6092" spans="1:9" x14ac:dyDescent="0.2">
      <c r="A6092" s="1" t="str">
        <f>"FAM64A"</f>
        <v>FAM64A</v>
      </c>
      <c r="B6092" t="s">
        <v>14</v>
      </c>
      <c r="C6092" t="s">
        <v>28</v>
      </c>
      <c r="D6092" t="s">
        <v>17</v>
      </c>
      <c r="E6092" t="s">
        <v>12</v>
      </c>
      <c r="F6092">
        <v>6347764</v>
      </c>
      <c r="G6092">
        <v>6347782</v>
      </c>
      <c r="H6092">
        <v>6347729</v>
      </c>
      <c r="I6092">
        <v>6347756</v>
      </c>
    </row>
    <row r="6093" spans="1:9" x14ac:dyDescent="0.2">
      <c r="A6093" s="1" t="str">
        <f>"FAM65A"</f>
        <v>FAM65A</v>
      </c>
      <c r="B6093" t="s">
        <v>9</v>
      </c>
      <c r="C6093" t="s">
        <v>31</v>
      </c>
      <c r="D6093" t="s">
        <v>17</v>
      </c>
      <c r="E6093" t="s">
        <v>12</v>
      </c>
      <c r="F6093">
        <v>67562702</v>
      </c>
      <c r="G6093">
        <v>67562791</v>
      </c>
      <c r="H6093">
        <v>67562702</v>
      </c>
      <c r="I6093">
        <v>67562791</v>
      </c>
    </row>
    <row r="6094" spans="1:9" x14ac:dyDescent="0.2">
      <c r="A6094" s="1" t="str">
        <f>"FAM65A"</f>
        <v>FAM65A</v>
      </c>
      <c r="B6094" t="s">
        <v>13</v>
      </c>
      <c r="C6094" t="s">
        <v>31</v>
      </c>
      <c r="D6094" t="s">
        <v>17</v>
      </c>
      <c r="E6094" t="s">
        <v>12</v>
      </c>
      <c r="F6094">
        <v>67571351</v>
      </c>
      <c r="G6094">
        <v>67571409</v>
      </c>
      <c r="H6094">
        <v>67571351</v>
      </c>
      <c r="I6094">
        <v>67571409</v>
      </c>
    </row>
    <row r="6095" spans="1:9" x14ac:dyDescent="0.2">
      <c r="A6095" s="1" t="str">
        <f>"FAM65B"</f>
        <v>FAM65B</v>
      </c>
      <c r="B6095" t="s">
        <v>9</v>
      </c>
      <c r="C6095" t="s">
        <v>32</v>
      </c>
      <c r="D6095" t="s">
        <v>11</v>
      </c>
      <c r="E6095" t="s">
        <v>12</v>
      </c>
      <c r="F6095">
        <v>24936170</v>
      </c>
      <c r="G6095">
        <v>24936199</v>
      </c>
      <c r="H6095">
        <v>24936170</v>
      </c>
      <c r="I6095">
        <v>24936199</v>
      </c>
    </row>
    <row r="6096" spans="1:9" x14ac:dyDescent="0.2">
      <c r="A6096" s="1" t="str">
        <f>"FAM65B"</f>
        <v>FAM65B</v>
      </c>
      <c r="B6096" t="s">
        <v>13</v>
      </c>
      <c r="C6096" t="s">
        <v>32</v>
      </c>
      <c r="D6096" t="s">
        <v>11</v>
      </c>
      <c r="E6096" t="s">
        <v>12</v>
      </c>
      <c r="F6096">
        <v>24911257</v>
      </c>
      <c r="G6096">
        <v>24911343</v>
      </c>
      <c r="H6096">
        <v>24911257</v>
      </c>
      <c r="I6096">
        <v>24911343</v>
      </c>
    </row>
    <row r="6097" spans="1:9" x14ac:dyDescent="0.2">
      <c r="A6097" s="1" t="str">
        <f>"FAM65C"</f>
        <v>FAM65C</v>
      </c>
      <c r="B6097" t="s">
        <v>14</v>
      </c>
      <c r="C6097" t="s">
        <v>29</v>
      </c>
      <c r="D6097" t="s">
        <v>11</v>
      </c>
      <c r="E6097" t="s">
        <v>12</v>
      </c>
      <c r="F6097">
        <v>49308048</v>
      </c>
      <c r="G6097">
        <v>49308084</v>
      </c>
      <c r="H6097">
        <v>49307827</v>
      </c>
      <c r="I6097">
        <v>49307863</v>
      </c>
    </row>
    <row r="6098" spans="1:9" x14ac:dyDescent="0.2">
      <c r="A6098" s="1" t="str">
        <f>"FAM69A"</f>
        <v>FAM69A</v>
      </c>
      <c r="B6098" t="s">
        <v>14</v>
      </c>
      <c r="C6098" t="s">
        <v>19</v>
      </c>
      <c r="D6098" t="s">
        <v>11</v>
      </c>
      <c r="E6098" t="s">
        <v>12</v>
      </c>
      <c r="F6098">
        <v>93426998</v>
      </c>
      <c r="G6098">
        <v>93427056</v>
      </c>
      <c r="H6098">
        <v>93426998</v>
      </c>
      <c r="I6098">
        <v>93427056</v>
      </c>
    </row>
    <row r="6099" spans="1:9" x14ac:dyDescent="0.2">
      <c r="A6099" s="1" t="str">
        <f>"FAM69B"</f>
        <v>FAM69B</v>
      </c>
      <c r="B6099" t="s">
        <v>14</v>
      </c>
      <c r="C6099" t="s">
        <v>24</v>
      </c>
      <c r="D6099" t="s">
        <v>17</v>
      </c>
      <c r="E6099" t="s">
        <v>12</v>
      </c>
      <c r="F6099">
        <v>139606983</v>
      </c>
      <c r="G6099">
        <v>139607035</v>
      </c>
      <c r="H6099">
        <v>139606943</v>
      </c>
      <c r="I6099">
        <v>139606979</v>
      </c>
    </row>
    <row r="6100" spans="1:9" x14ac:dyDescent="0.2">
      <c r="A6100" s="1" t="str">
        <f>"FAM69C"</f>
        <v>FAM69C</v>
      </c>
      <c r="B6100" t="s">
        <v>14</v>
      </c>
      <c r="C6100" t="s">
        <v>43</v>
      </c>
      <c r="D6100" t="s">
        <v>11</v>
      </c>
      <c r="E6100" t="s">
        <v>12</v>
      </c>
      <c r="F6100">
        <v>72124537</v>
      </c>
      <c r="G6100">
        <v>72124600</v>
      </c>
      <c r="H6100">
        <v>72124500</v>
      </c>
      <c r="I6100">
        <v>72124517</v>
      </c>
    </row>
    <row r="6101" spans="1:9" x14ac:dyDescent="0.2">
      <c r="A6101" s="1" t="str">
        <f>"FAM71A"</f>
        <v>FAM71A</v>
      </c>
      <c r="B6101" t="s">
        <v>14</v>
      </c>
      <c r="C6101" t="s">
        <v>19</v>
      </c>
      <c r="D6101" t="s">
        <v>17</v>
      </c>
      <c r="E6101" t="s">
        <v>12</v>
      </c>
      <c r="F6101">
        <v>212797814</v>
      </c>
      <c r="G6101">
        <v>212797818</v>
      </c>
      <c r="H6101">
        <v>212797814</v>
      </c>
      <c r="I6101">
        <v>212797818</v>
      </c>
    </row>
    <row r="6102" spans="1:9" x14ac:dyDescent="0.2">
      <c r="A6102" s="1" t="str">
        <f>"FAM71B"</f>
        <v>FAM71B</v>
      </c>
      <c r="B6102" t="s">
        <v>14</v>
      </c>
      <c r="C6102" t="s">
        <v>46</v>
      </c>
      <c r="D6102" t="s">
        <v>11</v>
      </c>
      <c r="E6102" t="s">
        <v>12</v>
      </c>
      <c r="F6102">
        <v>156593273</v>
      </c>
      <c r="G6102">
        <v>156593276</v>
      </c>
      <c r="H6102">
        <v>156593273</v>
      </c>
      <c r="I6102">
        <v>156593276</v>
      </c>
    </row>
    <row r="6103" spans="1:9" x14ac:dyDescent="0.2">
      <c r="A6103" s="1" t="str">
        <f>"FAM71C"</f>
        <v>FAM71C</v>
      </c>
      <c r="B6103" t="s">
        <v>14</v>
      </c>
      <c r="C6103" t="s">
        <v>16</v>
      </c>
      <c r="D6103" t="s">
        <v>17</v>
      </c>
      <c r="E6103" t="s">
        <v>12</v>
      </c>
      <c r="F6103">
        <v>100041527</v>
      </c>
      <c r="G6103">
        <v>100041532</v>
      </c>
      <c r="H6103">
        <v>100041527</v>
      </c>
      <c r="I6103">
        <v>100041532</v>
      </c>
    </row>
    <row r="6104" spans="1:9" x14ac:dyDescent="0.2">
      <c r="A6104" s="1" t="str">
        <f>"FAM71D"</f>
        <v>FAM71D</v>
      </c>
      <c r="B6104" t="s">
        <v>14</v>
      </c>
      <c r="C6104" t="s">
        <v>41</v>
      </c>
      <c r="D6104" t="s">
        <v>17</v>
      </c>
      <c r="E6104" t="s">
        <v>12</v>
      </c>
      <c r="F6104">
        <v>67656142</v>
      </c>
      <c r="G6104">
        <v>67656162</v>
      </c>
      <c r="H6104">
        <v>67656044</v>
      </c>
      <c r="I6104">
        <v>67656058</v>
      </c>
    </row>
    <row r="6105" spans="1:9" x14ac:dyDescent="0.2">
      <c r="A6105" s="1" t="str">
        <f>"FAM71E1"</f>
        <v>FAM71E1</v>
      </c>
      <c r="B6105" t="s">
        <v>14</v>
      </c>
      <c r="C6105" t="s">
        <v>10</v>
      </c>
      <c r="D6105" t="s">
        <v>11</v>
      </c>
      <c r="E6105" t="s">
        <v>12</v>
      </c>
      <c r="F6105">
        <v>50979458</v>
      </c>
      <c r="G6105">
        <v>50979539</v>
      </c>
      <c r="H6105">
        <v>50979981</v>
      </c>
      <c r="I6105">
        <v>50980050</v>
      </c>
    </row>
    <row r="6106" spans="1:9" x14ac:dyDescent="0.2">
      <c r="A6106" s="1" t="str">
        <f>"FAM71E2"</f>
        <v>FAM71E2</v>
      </c>
      <c r="B6106" t="s">
        <v>9</v>
      </c>
      <c r="C6106" t="s">
        <v>10</v>
      </c>
      <c r="D6106" t="s">
        <v>11</v>
      </c>
      <c r="E6106" t="s">
        <v>12</v>
      </c>
      <c r="F6106">
        <v>55874611</v>
      </c>
      <c r="G6106">
        <v>55874633</v>
      </c>
      <c r="H6106">
        <v>55874611</v>
      </c>
      <c r="I6106">
        <v>55874633</v>
      </c>
    </row>
    <row r="6107" spans="1:9" x14ac:dyDescent="0.2">
      <c r="A6107" s="1" t="str">
        <f>"FAM71E2"</f>
        <v>FAM71E2</v>
      </c>
      <c r="B6107" t="s">
        <v>13</v>
      </c>
      <c r="C6107" t="s">
        <v>10</v>
      </c>
      <c r="D6107" t="s">
        <v>11</v>
      </c>
      <c r="E6107" t="s">
        <v>12</v>
      </c>
      <c r="F6107">
        <v>55871134</v>
      </c>
      <c r="G6107">
        <v>55871153</v>
      </c>
      <c r="H6107">
        <v>55871134</v>
      </c>
      <c r="I6107">
        <v>55871153</v>
      </c>
    </row>
    <row r="6108" spans="1:9" x14ac:dyDescent="0.2">
      <c r="A6108" s="1" t="str">
        <f>"FAM71F1"</f>
        <v>FAM71F1</v>
      </c>
      <c r="B6108" t="s">
        <v>9</v>
      </c>
      <c r="C6108" t="s">
        <v>33</v>
      </c>
      <c r="D6108" t="s">
        <v>17</v>
      </c>
      <c r="E6108" t="s">
        <v>12</v>
      </c>
      <c r="F6108">
        <v>128349106</v>
      </c>
      <c r="G6108">
        <v>128349128</v>
      </c>
      <c r="H6108">
        <v>128349106</v>
      </c>
      <c r="I6108">
        <v>128349128</v>
      </c>
    </row>
    <row r="6109" spans="1:9" x14ac:dyDescent="0.2">
      <c r="A6109" s="1" t="str">
        <f>"FAM71F1"</f>
        <v>FAM71F1</v>
      </c>
      <c r="B6109" t="s">
        <v>13</v>
      </c>
      <c r="C6109" t="s">
        <v>33</v>
      </c>
      <c r="D6109" t="s">
        <v>17</v>
      </c>
      <c r="E6109" t="s">
        <v>12</v>
      </c>
      <c r="F6109">
        <v>128355439</v>
      </c>
      <c r="G6109">
        <v>128355452</v>
      </c>
      <c r="H6109">
        <v>128355439</v>
      </c>
      <c r="I6109">
        <v>128355452</v>
      </c>
    </row>
    <row r="6110" spans="1:9" x14ac:dyDescent="0.2">
      <c r="A6110" s="1" t="str">
        <f>"FAM71F2"</f>
        <v>FAM71F2</v>
      </c>
      <c r="B6110" t="s">
        <v>14</v>
      </c>
      <c r="C6110" t="s">
        <v>33</v>
      </c>
      <c r="D6110" t="s">
        <v>17</v>
      </c>
      <c r="E6110" t="s">
        <v>12</v>
      </c>
      <c r="F6110">
        <v>128312362</v>
      </c>
      <c r="G6110">
        <v>128312371</v>
      </c>
      <c r="H6110">
        <v>128312344</v>
      </c>
      <c r="I6110">
        <v>128312346</v>
      </c>
    </row>
    <row r="6111" spans="1:9" x14ac:dyDescent="0.2">
      <c r="A6111" s="1" t="str">
        <f>"FAM72A"</f>
        <v>FAM72A</v>
      </c>
      <c r="B6111" t="s">
        <v>435</v>
      </c>
      <c r="C6111" t="s">
        <v>19</v>
      </c>
      <c r="D6111" t="s">
        <v>17</v>
      </c>
      <c r="E6111" t="s">
        <v>20</v>
      </c>
      <c r="F6111">
        <v>206138456</v>
      </c>
      <c r="G6111">
        <v>206138456</v>
      </c>
      <c r="H6111">
        <v>206138456</v>
      </c>
      <c r="I6111">
        <v>206138456</v>
      </c>
    </row>
    <row r="6112" spans="1:9" x14ac:dyDescent="0.2">
      <c r="A6112" s="1" t="str">
        <f>"FAM72B"</f>
        <v>FAM72B</v>
      </c>
      <c r="B6112" t="s">
        <v>436</v>
      </c>
      <c r="C6112" t="s">
        <v>19</v>
      </c>
      <c r="D6112" t="s">
        <v>17</v>
      </c>
      <c r="E6112" t="s">
        <v>20</v>
      </c>
      <c r="F6112">
        <v>120839004</v>
      </c>
      <c r="G6112">
        <v>120839004</v>
      </c>
      <c r="H6112">
        <v>120839004</v>
      </c>
      <c r="I6112">
        <v>120839004</v>
      </c>
    </row>
    <row r="6113" spans="1:9" x14ac:dyDescent="0.2">
      <c r="A6113" s="1" t="str">
        <f>"FAM72C"</f>
        <v>FAM72C</v>
      </c>
      <c r="B6113" t="s">
        <v>437</v>
      </c>
      <c r="C6113" t="s">
        <v>19</v>
      </c>
      <c r="D6113" t="s">
        <v>11</v>
      </c>
      <c r="E6113" t="s">
        <v>20</v>
      </c>
      <c r="F6113">
        <v>149459548</v>
      </c>
      <c r="G6113">
        <v>149459548</v>
      </c>
      <c r="H6113">
        <v>149459548</v>
      </c>
      <c r="I6113">
        <v>149459548</v>
      </c>
    </row>
    <row r="6114" spans="1:9" x14ac:dyDescent="0.2">
      <c r="A6114" s="1" t="str">
        <f>"FAM72D"</f>
        <v>FAM72D</v>
      </c>
      <c r="B6114" t="s">
        <v>438</v>
      </c>
      <c r="C6114" t="s">
        <v>19</v>
      </c>
      <c r="D6114" t="s">
        <v>11</v>
      </c>
      <c r="E6114" t="s">
        <v>20</v>
      </c>
      <c r="F6114">
        <v>143913142</v>
      </c>
      <c r="G6114">
        <v>143913142</v>
      </c>
      <c r="H6114">
        <v>143913142</v>
      </c>
      <c r="I6114">
        <v>143913142</v>
      </c>
    </row>
    <row r="6115" spans="1:9" x14ac:dyDescent="0.2">
      <c r="A6115" s="1" t="str">
        <f>"FAM73A"</f>
        <v>FAM73A</v>
      </c>
      <c r="B6115" t="s">
        <v>14</v>
      </c>
      <c r="C6115" t="s">
        <v>19</v>
      </c>
      <c r="D6115" t="s">
        <v>17</v>
      </c>
      <c r="E6115" t="s">
        <v>12</v>
      </c>
      <c r="F6115">
        <v>78245303</v>
      </c>
      <c r="G6115">
        <v>78245351</v>
      </c>
      <c r="H6115">
        <v>78245212</v>
      </c>
      <c r="I6115">
        <v>78245252</v>
      </c>
    </row>
    <row r="6116" spans="1:9" x14ac:dyDescent="0.2">
      <c r="A6116" s="1" t="str">
        <f>"FAM73B"</f>
        <v>FAM73B</v>
      </c>
      <c r="B6116" t="s">
        <v>14</v>
      </c>
      <c r="C6116" t="s">
        <v>24</v>
      </c>
      <c r="D6116" t="s">
        <v>17</v>
      </c>
      <c r="E6116" t="s">
        <v>12</v>
      </c>
      <c r="F6116">
        <v>131798918</v>
      </c>
      <c r="G6116">
        <v>131798942</v>
      </c>
      <c r="H6116">
        <v>131798893</v>
      </c>
      <c r="I6116">
        <v>131798917</v>
      </c>
    </row>
    <row r="6117" spans="1:9" x14ac:dyDescent="0.2">
      <c r="A6117" s="1" t="str">
        <f>"FAM76A"</f>
        <v>FAM76A</v>
      </c>
      <c r="B6117" t="s">
        <v>14</v>
      </c>
      <c r="C6117" t="s">
        <v>19</v>
      </c>
      <c r="D6117" t="s">
        <v>17</v>
      </c>
      <c r="E6117" t="s">
        <v>12</v>
      </c>
      <c r="F6117">
        <v>28052456</v>
      </c>
      <c r="G6117">
        <v>28052515</v>
      </c>
      <c r="H6117">
        <v>28052518</v>
      </c>
      <c r="I6117">
        <v>28052545</v>
      </c>
    </row>
    <row r="6118" spans="1:9" x14ac:dyDescent="0.2">
      <c r="A6118" s="1" t="str">
        <f>"FAM76B"</f>
        <v>FAM76B</v>
      </c>
      <c r="B6118" t="s">
        <v>14</v>
      </c>
      <c r="C6118" t="s">
        <v>27</v>
      </c>
      <c r="D6118" t="s">
        <v>11</v>
      </c>
      <c r="E6118" t="s">
        <v>12</v>
      </c>
      <c r="F6118">
        <v>95522907</v>
      </c>
      <c r="G6118">
        <v>95522989</v>
      </c>
      <c r="H6118">
        <v>95523500</v>
      </c>
      <c r="I6118">
        <v>95523580</v>
      </c>
    </row>
    <row r="6119" spans="1:9" x14ac:dyDescent="0.2">
      <c r="A6119" s="1" t="str">
        <f>"FAM78A"</f>
        <v>FAM78A</v>
      </c>
      <c r="B6119" t="s">
        <v>14</v>
      </c>
      <c r="C6119" t="s">
        <v>24</v>
      </c>
      <c r="D6119" t="s">
        <v>11</v>
      </c>
      <c r="E6119" t="s">
        <v>12</v>
      </c>
      <c r="F6119">
        <v>134152345</v>
      </c>
      <c r="G6119">
        <v>134152369</v>
      </c>
      <c r="H6119">
        <v>134152345</v>
      </c>
      <c r="I6119">
        <v>134152369</v>
      </c>
    </row>
    <row r="6120" spans="1:9" x14ac:dyDescent="0.2">
      <c r="A6120" s="1" t="str">
        <f>"FAM78B"</f>
        <v>FAM78B</v>
      </c>
      <c r="B6120" t="s">
        <v>14</v>
      </c>
      <c r="C6120" t="s">
        <v>19</v>
      </c>
      <c r="D6120" t="s">
        <v>11</v>
      </c>
      <c r="E6120" t="s">
        <v>12</v>
      </c>
      <c r="F6120">
        <v>166136210</v>
      </c>
      <c r="G6120">
        <v>166136243</v>
      </c>
      <c r="H6120">
        <v>166135970</v>
      </c>
      <c r="I6120">
        <v>166136001</v>
      </c>
    </row>
    <row r="6121" spans="1:9" x14ac:dyDescent="0.2">
      <c r="A6121" s="1" t="str">
        <f>"FAM81A"</f>
        <v>FAM81A</v>
      </c>
      <c r="B6121" t="s">
        <v>14</v>
      </c>
      <c r="C6121" t="s">
        <v>25</v>
      </c>
      <c r="D6121" t="s">
        <v>17</v>
      </c>
      <c r="E6121" t="s">
        <v>12</v>
      </c>
      <c r="F6121">
        <v>59730348</v>
      </c>
      <c r="G6121">
        <v>59730435</v>
      </c>
      <c r="H6121">
        <v>59730348</v>
      </c>
      <c r="I6121">
        <v>59730435</v>
      </c>
    </row>
    <row r="6122" spans="1:9" x14ac:dyDescent="0.2">
      <c r="A6122" s="1" t="str">
        <f>"FAM81B"</f>
        <v>FAM81B</v>
      </c>
      <c r="B6122" t="s">
        <v>14</v>
      </c>
      <c r="C6122" t="s">
        <v>46</v>
      </c>
      <c r="D6122" t="s">
        <v>17</v>
      </c>
      <c r="E6122" t="s">
        <v>12</v>
      </c>
      <c r="F6122">
        <v>94728500</v>
      </c>
      <c r="G6122">
        <v>94728543</v>
      </c>
      <c r="H6122">
        <v>94728544</v>
      </c>
      <c r="I6122">
        <v>94728554</v>
      </c>
    </row>
    <row r="6123" spans="1:9" x14ac:dyDescent="0.2">
      <c r="A6123" s="1" t="str">
        <f>"FAM83A"</f>
        <v>FAM83A</v>
      </c>
      <c r="B6123" t="s">
        <v>14</v>
      </c>
      <c r="C6123" t="s">
        <v>30</v>
      </c>
      <c r="D6123" t="s">
        <v>17</v>
      </c>
      <c r="E6123" t="s">
        <v>12</v>
      </c>
      <c r="F6123">
        <v>124194922</v>
      </c>
      <c r="G6123">
        <v>124194957</v>
      </c>
      <c r="H6123">
        <v>124194875</v>
      </c>
      <c r="I6123">
        <v>124194920</v>
      </c>
    </row>
    <row r="6124" spans="1:9" x14ac:dyDescent="0.2">
      <c r="A6124" s="1" t="str">
        <f>"FAM83B"</f>
        <v>FAM83B</v>
      </c>
      <c r="B6124" t="s">
        <v>14</v>
      </c>
      <c r="C6124" t="s">
        <v>32</v>
      </c>
      <c r="D6124" t="s">
        <v>17</v>
      </c>
      <c r="E6124" t="s">
        <v>12</v>
      </c>
      <c r="F6124">
        <v>54711533</v>
      </c>
      <c r="G6124">
        <v>54711580</v>
      </c>
      <c r="H6124">
        <v>54711509</v>
      </c>
      <c r="I6124">
        <v>54711522</v>
      </c>
    </row>
    <row r="6125" spans="1:9" x14ac:dyDescent="0.2">
      <c r="A6125" s="1" t="str">
        <f>"FAM83C"</f>
        <v>FAM83C</v>
      </c>
      <c r="B6125" t="s">
        <v>14</v>
      </c>
      <c r="C6125" t="s">
        <v>29</v>
      </c>
      <c r="D6125" t="s">
        <v>11</v>
      </c>
      <c r="E6125" t="s">
        <v>12</v>
      </c>
      <c r="F6125">
        <v>33880219</v>
      </c>
      <c r="G6125">
        <v>33880234</v>
      </c>
      <c r="H6125">
        <v>33880168</v>
      </c>
      <c r="I6125">
        <v>33880183</v>
      </c>
    </row>
    <row r="6126" spans="1:9" x14ac:dyDescent="0.2">
      <c r="A6126" s="1" t="str">
        <f>"FAM83D"</f>
        <v>FAM83D</v>
      </c>
      <c r="B6126" t="s">
        <v>14</v>
      </c>
      <c r="C6126" t="s">
        <v>29</v>
      </c>
      <c r="D6126" t="s">
        <v>17</v>
      </c>
      <c r="E6126" t="s">
        <v>12</v>
      </c>
      <c r="F6126">
        <v>37555048</v>
      </c>
      <c r="G6126">
        <v>37555067</v>
      </c>
      <c r="H6126">
        <v>37555048</v>
      </c>
      <c r="I6126">
        <v>37555067</v>
      </c>
    </row>
    <row r="6127" spans="1:9" x14ac:dyDescent="0.2">
      <c r="A6127" s="1" t="str">
        <f>"FAM83E"</f>
        <v>FAM83E</v>
      </c>
      <c r="B6127" t="s">
        <v>439</v>
      </c>
      <c r="C6127" t="s">
        <v>10</v>
      </c>
      <c r="D6127" t="s">
        <v>11</v>
      </c>
      <c r="E6127" t="s">
        <v>20</v>
      </c>
      <c r="F6127">
        <v>49116818</v>
      </c>
      <c r="G6127">
        <v>49116818</v>
      </c>
      <c r="H6127">
        <v>49116818</v>
      </c>
      <c r="I6127">
        <v>49116818</v>
      </c>
    </row>
    <row r="6128" spans="1:9" x14ac:dyDescent="0.2">
      <c r="A6128" s="1" t="str">
        <f>"FAM83F"</f>
        <v>FAM83F</v>
      </c>
      <c r="B6128" t="s">
        <v>14</v>
      </c>
      <c r="C6128" t="s">
        <v>21</v>
      </c>
      <c r="D6128" t="s">
        <v>17</v>
      </c>
      <c r="E6128" t="s">
        <v>12</v>
      </c>
      <c r="F6128">
        <v>40390930</v>
      </c>
      <c r="G6128">
        <v>40390994</v>
      </c>
      <c r="H6128">
        <v>40391231</v>
      </c>
      <c r="I6128">
        <v>40391236</v>
      </c>
    </row>
    <row r="6129" spans="1:9" x14ac:dyDescent="0.2">
      <c r="A6129" s="1" t="str">
        <f>"FAM83G"</f>
        <v>FAM83G</v>
      </c>
      <c r="B6129" t="s">
        <v>14</v>
      </c>
      <c r="C6129" t="s">
        <v>28</v>
      </c>
      <c r="D6129" t="s">
        <v>11</v>
      </c>
      <c r="E6129" t="s">
        <v>12</v>
      </c>
      <c r="F6129">
        <v>18908040</v>
      </c>
      <c r="G6129">
        <v>18908108</v>
      </c>
      <c r="H6129">
        <v>18907463</v>
      </c>
      <c r="I6129">
        <v>18907501</v>
      </c>
    </row>
    <row r="6130" spans="1:9" x14ac:dyDescent="0.2">
      <c r="A6130" s="1" t="str">
        <f>"FAM83H"</f>
        <v>FAM83H</v>
      </c>
      <c r="B6130" t="s">
        <v>14</v>
      </c>
      <c r="C6130" t="s">
        <v>30</v>
      </c>
      <c r="D6130" t="s">
        <v>11</v>
      </c>
      <c r="E6130" t="s">
        <v>12</v>
      </c>
      <c r="F6130">
        <v>144815914</v>
      </c>
      <c r="G6130">
        <v>144815961</v>
      </c>
      <c r="H6130">
        <v>144815966</v>
      </c>
      <c r="I6130">
        <v>144815986</v>
      </c>
    </row>
    <row r="6131" spans="1:9" x14ac:dyDescent="0.2">
      <c r="A6131" s="1" t="str">
        <f>"FAM84A"</f>
        <v>FAM84A</v>
      </c>
      <c r="B6131" t="s">
        <v>14</v>
      </c>
      <c r="C6131" t="s">
        <v>26</v>
      </c>
      <c r="D6131" t="s">
        <v>17</v>
      </c>
      <c r="E6131" t="s">
        <v>12</v>
      </c>
      <c r="F6131">
        <v>14772812</v>
      </c>
      <c r="G6131">
        <v>14772853</v>
      </c>
      <c r="H6131">
        <v>14772812</v>
      </c>
      <c r="I6131">
        <v>14772853</v>
      </c>
    </row>
    <row r="6132" spans="1:9" x14ac:dyDescent="0.2">
      <c r="A6132" s="1" t="str">
        <f>"FAM84B"</f>
        <v>FAM84B</v>
      </c>
      <c r="B6132" t="s">
        <v>14</v>
      </c>
      <c r="C6132" t="s">
        <v>30</v>
      </c>
      <c r="D6132" t="s">
        <v>11</v>
      </c>
      <c r="E6132" t="s">
        <v>12</v>
      </c>
      <c r="F6132">
        <v>127570603</v>
      </c>
      <c r="G6132">
        <v>127570648</v>
      </c>
      <c r="H6132">
        <v>127570706</v>
      </c>
      <c r="I6132">
        <v>127570729</v>
      </c>
    </row>
    <row r="6133" spans="1:9" x14ac:dyDescent="0.2">
      <c r="A6133" s="1" t="str">
        <f>"FAM85B"</f>
        <v>FAM85B</v>
      </c>
      <c r="B6133" t="s">
        <v>440</v>
      </c>
      <c r="C6133" t="s">
        <v>30</v>
      </c>
      <c r="D6133" t="s">
        <v>11</v>
      </c>
      <c r="E6133" t="s">
        <v>20</v>
      </c>
      <c r="F6133">
        <v>8084135</v>
      </c>
      <c r="G6133">
        <v>8084135</v>
      </c>
      <c r="H6133">
        <v>8084135</v>
      </c>
      <c r="I6133">
        <v>8084135</v>
      </c>
    </row>
    <row r="6134" spans="1:9" x14ac:dyDescent="0.2">
      <c r="A6134" s="1" t="str">
        <f>"FAM86A"</f>
        <v>FAM86A</v>
      </c>
      <c r="B6134" t="s">
        <v>14</v>
      </c>
      <c r="C6134" t="s">
        <v>31</v>
      </c>
      <c r="D6134" t="s">
        <v>11</v>
      </c>
      <c r="E6134" t="s">
        <v>12</v>
      </c>
      <c r="F6134">
        <v>5147794</v>
      </c>
      <c r="G6134">
        <v>5147797</v>
      </c>
      <c r="H6134">
        <v>5148222</v>
      </c>
      <c r="I6134">
        <v>5148239</v>
      </c>
    </row>
    <row r="6135" spans="1:9" x14ac:dyDescent="0.2">
      <c r="A6135" s="1" t="str">
        <f>"FAM86B1"</f>
        <v>FAM86B1</v>
      </c>
      <c r="B6135" t="s">
        <v>441</v>
      </c>
      <c r="C6135" t="s">
        <v>30</v>
      </c>
      <c r="D6135" t="s">
        <v>11</v>
      </c>
      <c r="E6135" t="s">
        <v>20</v>
      </c>
      <c r="F6135">
        <v>12051578</v>
      </c>
      <c r="G6135">
        <v>12051578</v>
      </c>
      <c r="H6135">
        <v>12051578</v>
      </c>
      <c r="I6135">
        <v>12051578</v>
      </c>
    </row>
    <row r="6136" spans="1:9" x14ac:dyDescent="0.2">
      <c r="A6136" s="1" t="str">
        <f>"FAM86B2"</f>
        <v>FAM86B2</v>
      </c>
      <c r="B6136" t="s">
        <v>442</v>
      </c>
      <c r="C6136" t="s">
        <v>30</v>
      </c>
      <c r="D6136" t="s">
        <v>11</v>
      </c>
      <c r="E6136" t="s">
        <v>20</v>
      </c>
      <c r="F6136">
        <v>12293851</v>
      </c>
      <c r="G6136">
        <v>12293851</v>
      </c>
      <c r="H6136">
        <v>12293851</v>
      </c>
      <c r="I6136">
        <v>12293851</v>
      </c>
    </row>
    <row r="6137" spans="1:9" x14ac:dyDescent="0.2">
      <c r="A6137" s="1" t="str">
        <f>"FAM86C1"</f>
        <v>FAM86C1</v>
      </c>
      <c r="B6137" t="s">
        <v>14</v>
      </c>
      <c r="C6137" t="s">
        <v>27</v>
      </c>
      <c r="D6137" t="s">
        <v>17</v>
      </c>
      <c r="E6137" t="s">
        <v>12</v>
      </c>
      <c r="F6137">
        <v>71498552</v>
      </c>
      <c r="G6137">
        <v>71498587</v>
      </c>
      <c r="H6137">
        <v>71498620</v>
      </c>
      <c r="I6137">
        <v>71498638</v>
      </c>
    </row>
    <row r="6138" spans="1:9" x14ac:dyDescent="0.2">
      <c r="A6138" s="1" t="str">
        <f>"FAM89A"</f>
        <v>FAM89A</v>
      </c>
      <c r="B6138" t="s">
        <v>14</v>
      </c>
      <c r="C6138" t="s">
        <v>19</v>
      </c>
      <c r="D6138" t="s">
        <v>11</v>
      </c>
      <c r="E6138" t="s">
        <v>12</v>
      </c>
      <c r="F6138">
        <v>231175964</v>
      </c>
      <c r="G6138">
        <v>231176016</v>
      </c>
      <c r="H6138">
        <v>231175945</v>
      </c>
      <c r="I6138">
        <v>231175960</v>
      </c>
    </row>
    <row r="6139" spans="1:9" x14ac:dyDescent="0.2">
      <c r="A6139" s="1" t="str">
        <f>"FAM89B"</f>
        <v>FAM89B</v>
      </c>
      <c r="B6139" t="s">
        <v>14</v>
      </c>
      <c r="C6139" t="s">
        <v>27</v>
      </c>
      <c r="D6139" t="s">
        <v>17</v>
      </c>
      <c r="E6139" t="s">
        <v>12</v>
      </c>
      <c r="F6139">
        <v>65339978</v>
      </c>
      <c r="G6139">
        <v>65340051</v>
      </c>
      <c r="H6139">
        <v>65340110</v>
      </c>
      <c r="I6139">
        <v>65340126</v>
      </c>
    </row>
    <row r="6140" spans="1:9" x14ac:dyDescent="0.2">
      <c r="A6140" s="1" t="str">
        <f>"FAM8A1"</f>
        <v>FAM8A1</v>
      </c>
      <c r="B6140" t="s">
        <v>14</v>
      </c>
      <c r="C6140" t="s">
        <v>32</v>
      </c>
      <c r="D6140" t="s">
        <v>17</v>
      </c>
      <c r="E6140" t="s">
        <v>12</v>
      </c>
      <c r="F6140">
        <v>17600576</v>
      </c>
      <c r="G6140">
        <v>17600642</v>
      </c>
      <c r="H6140">
        <v>17600504</v>
      </c>
      <c r="I6140">
        <v>17600542</v>
      </c>
    </row>
    <row r="6141" spans="1:9" x14ac:dyDescent="0.2">
      <c r="A6141" s="1" t="str">
        <f>"FAM90A1"</f>
        <v>FAM90A1</v>
      </c>
      <c r="B6141" t="s">
        <v>443</v>
      </c>
      <c r="C6141" t="s">
        <v>16</v>
      </c>
      <c r="D6141" t="s">
        <v>11</v>
      </c>
      <c r="E6141" t="s">
        <v>20</v>
      </c>
      <c r="F6141">
        <v>8380204</v>
      </c>
      <c r="G6141">
        <v>8380204</v>
      </c>
      <c r="H6141">
        <v>8380204</v>
      </c>
      <c r="I6141">
        <v>8380204</v>
      </c>
    </row>
    <row r="6142" spans="1:9" x14ac:dyDescent="0.2">
      <c r="A6142" s="1" t="str">
        <f>"FAM91A1"</f>
        <v>FAM91A1</v>
      </c>
      <c r="B6142" t="s">
        <v>14</v>
      </c>
      <c r="C6142" t="s">
        <v>30</v>
      </c>
      <c r="D6142" t="s">
        <v>17</v>
      </c>
      <c r="E6142" t="s">
        <v>12</v>
      </c>
      <c r="F6142">
        <v>124780672</v>
      </c>
      <c r="G6142">
        <v>124780764</v>
      </c>
      <c r="H6142">
        <v>124780672</v>
      </c>
      <c r="I6142">
        <v>124780764</v>
      </c>
    </row>
    <row r="6143" spans="1:9" x14ac:dyDescent="0.2">
      <c r="A6143" s="1" t="str">
        <f>"FAM92A1"</f>
        <v>FAM92A1</v>
      </c>
      <c r="B6143" t="s">
        <v>14</v>
      </c>
      <c r="C6143" t="s">
        <v>30</v>
      </c>
      <c r="D6143" t="s">
        <v>17</v>
      </c>
      <c r="E6143" t="s">
        <v>12</v>
      </c>
      <c r="F6143">
        <v>94712752</v>
      </c>
      <c r="G6143">
        <v>94712857</v>
      </c>
      <c r="H6143">
        <v>94712732</v>
      </c>
      <c r="I6143">
        <v>94712739</v>
      </c>
    </row>
    <row r="6144" spans="1:9" x14ac:dyDescent="0.2">
      <c r="A6144" s="1" t="str">
        <f>"FAM92B"</f>
        <v>FAM92B</v>
      </c>
      <c r="B6144" t="s">
        <v>14</v>
      </c>
      <c r="C6144" t="s">
        <v>31</v>
      </c>
      <c r="D6144" t="s">
        <v>11</v>
      </c>
      <c r="E6144" t="s">
        <v>12</v>
      </c>
      <c r="F6144">
        <v>85146040</v>
      </c>
      <c r="G6144">
        <v>85146092</v>
      </c>
      <c r="H6144">
        <v>85145987</v>
      </c>
      <c r="I6144">
        <v>85145989</v>
      </c>
    </row>
    <row r="6145" spans="1:9" x14ac:dyDescent="0.2">
      <c r="A6145" s="1" t="str">
        <f>"FAM96A"</f>
        <v>FAM96A</v>
      </c>
      <c r="B6145" t="s">
        <v>14</v>
      </c>
      <c r="C6145" t="s">
        <v>25</v>
      </c>
      <c r="D6145" t="s">
        <v>11</v>
      </c>
      <c r="E6145" t="s">
        <v>12</v>
      </c>
      <c r="F6145">
        <v>64385981</v>
      </c>
      <c r="G6145">
        <v>64386077</v>
      </c>
      <c r="H6145">
        <v>64386082</v>
      </c>
      <c r="I6145">
        <v>64386115</v>
      </c>
    </row>
    <row r="6146" spans="1:9" x14ac:dyDescent="0.2">
      <c r="A6146" s="1" t="str">
        <f>"FAM96B"</f>
        <v>FAM96B</v>
      </c>
      <c r="B6146" t="s">
        <v>14</v>
      </c>
      <c r="C6146" t="s">
        <v>31</v>
      </c>
      <c r="D6146" t="s">
        <v>11</v>
      </c>
      <c r="E6146" t="s">
        <v>12</v>
      </c>
      <c r="F6146">
        <v>66968272</v>
      </c>
      <c r="G6146">
        <v>66968323</v>
      </c>
      <c r="H6146">
        <v>66968326</v>
      </c>
      <c r="I6146">
        <v>66968337</v>
      </c>
    </row>
    <row r="6147" spans="1:9" x14ac:dyDescent="0.2">
      <c r="A6147" s="1" t="str">
        <f>"FAM98A"</f>
        <v>FAM98A</v>
      </c>
      <c r="B6147" t="s">
        <v>14</v>
      </c>
      <c r="C6147" t="s">
        <v>26</v>
      </c>
      <c r="D6147" t="s">
        <v>11</v>
      </c>
      <c r="E6147" t="s">
        <v>12</v>
      </c>
      <c r="F6147">
        <v>33824336</v>
      </c>
      <c r="G6147">
        <v>33824378</v>
      </c>
      <c r="H6147">
        <v>33824285</v>
      </c>
      <c r="I6147">
        <v>33824308</v>
      </c>
    </row>
    <row r="6148" spans="1:9" x14ac:dyDescent="0.2">
      <c r="A6148" s="1" t="str">
        <f>"FAM98B"</f>
        <v>FAM98B</v>
      </c>
      <c r="B6148" t="s">
        <v>14</v>
      </c>
      <c r="C6148" t="s">
        <v>25</v>
      </c>
      <c r="D6148" t="s">
        <v>17</v>
      </c>
      <c r="E6148" t="s">
        <v>12</v>
      </c>
      <c r="F6148">
        <v>38746307</v>
      </c>
      <c r="G6148">
        <v>38746388</v>
      </c>
      <c r="H6148">
        <v>38746307</v>
      </c>
      <c r="I6148">
        <v>38746388</v>
      </c>
    </row>
    <row r="6149" spans="1:9" x14ac:dyDescent="0.2">
      <c r="A6149" s="1" t="str">
        <f>"FAM98C"</f>
        <v>FAM98C</v>
      </c>
      <c r="B6149" t="s">
        <v>14</v>
      </c>
      <c r="C6149" t="s">
        <v>10</v>
      </c>
      <c r="D6149" t="s">
        <v>17</v>
      </c>
      <c r="E6149" t="s">
        <v>12</v>
      </c>
      <c r="F6149">
        <v>38893751</v>
      </c>
      <c r="G6149">
        <v>38893799</v>
      </c>
      <c r="H6149">
        <v>38893811</v>
      </c>
      <c r="I6149">
        <v>38893847</v>
      </c>
    </row>
    <row r="6150" spans="1:9" x14ac:dyDescent="0.2">
      <c r="A6150" s="1" t="str">
        <f>"FAM9A"</f>
        <v>FAM9A</v>
      </c>
      <c r="B6150" t="s">
        <v>14</v>
      </c>
      <c r="C6150" t="s">
        <v>37</v>
      </c>
      <c r="D6150" t="s">
        <v>11</v>
      </c>
      <c r="E6150" t="s">
        <v>12</v>
      </c>
      <c r="F6150">
        <v>8769395</v>
      </c>
      <c r="G6150">
        <v>8769430</v>
      </c>
      <c r="H6150">
        <v>8769395</v>
      </c>
      <c r="I6150">
        <v>8769430</v>
      </c>
    </row>
    <row r="6151" spans="1:9" x14ac:dyDescent="0.2">
      <c r="A6151" s="1" t="str">
        <f>"FAM9B"</f>
        <v>FAM9B</v>
      </c>
      <c r="B6151" t="s">
        <v>444</v>
      </c>
      <c r="C6151" t="s">
        <v>37</v>
      </c>
      <c r="D6151" t="s">
        <v>11</v>
      </c>
      <c r="E6151" t="s">
        <v>35</v>
      </c>
      <c r="F6151">
        <v>9002159</v>
      </c>
      <c r="G6151">
        <v>9002191</v>
      </c>
      <c r="H6151">
        <v>9002079</v>
      </c>
      <c r="I6151">
        <v>9002080</v>
      </c>
    </row>
    <row r="6152" spans="1:9" x14ac:dyDescent="0.2">
      <c r="A6152" s="1" t="str">
        <f>"FAM9B"</f>
        <v>FAM9B</v>
      </c>
      <c r="B6152" t="s">
        <v>445</v>
      </c>
      <c r="C6152" t="s">
        <v>37</v>
      </c>
      <c r="D6152" t="s">
        <v>11</v>
      </c>
      <c r="E6152" t="s">
        <v>20</v>
      </c>
      <c r="F6152">
        <v>9001115</v>
      </c>
      <c r="G6152">
        <v>9001115</v>
      </c>
      <c r="H6152">
        <v>9001115</v>
      </c>
      <c r="I6152">
        <v>9001115</v>
      </c>
    </row>
    <row r="6153" spans="1:9" x14ac:dyDescent="0.2">
      <c r="A6153" s="1" t="str">
        <f>"FAM9C"</f>
        <v>FAM9C</v>
      </c>
      <c r="B6153" t="s">
        <v>14</v>
      </c>
      <c r="C6153" t="s">
        <v>37</v>
      </c>
      <c r="D6153" t="s">
        <v>11</v>
      </c>
      <c r="E6153" t="s">
        <v>12</v>
      </c>
      <c r="F6153">
        <v>13062697</v>
      </c>
      <c r="G6153">
        <v>13062745</v>
      </c>
      <c r="H6153">
        <v>13062752</v>
      </c>
      <c r="I6153">
        <v>13062771</v>
      </c>
    </row>
    <row r="6154" spans="1:9" x14ac:dyDescent="0.2">
      <c r="A6154" s="1" t="str">
        <f>"FAN1"</f>
        <v>FAN1</v>
      </c>
      <c r="B6154" t="s">
        <v>14</v>
      </c>
      <c r="C6154" t="s">
        <v>25</v>
      </c>
      <c r="D6154" t="s">
        <v>17</v>
      </c>
      <c r="E6154" t="s">
        <v>12</v>
      </c>
      <c r="F6154">
        <v>31196080</v>
      </c>
      <c r="G6154">
        <v>31196136</v>
      </c>
      <c r="H6154">
        <v>31196053</v>
      </c>
      <c r="I6154">
        <v>31196074</v>
      </c>
    </row>
    <row r="6155" spans="1:9" x14ac:dyDescent="0.2">
      <c r="A6155" s="1" t="str">
        <f>"FANCA"</f>
        <v>FANCA</v>
      </c>
      <c r="B6155" t="s">
        <v>14</v>
      </c>
      <c r="C6155" t="s">
        <v>31</v>
      </c>
      <c r="D6155" t="s">
        <v>11</v>
      </c>
      <c r="E6155" t="s">
        <v>12</v>
      </c>
      <c r="F6155">
        <v>89883015</v>
      </c>
      <c r="G6155">
        <v>89883088</v>
      </c>
      <c r="H6155">
        <v>89883015</v>
      </c>
      <c r="I6155">
        <v>89883088</v>
      </c>
    </row>
    <row r="6156" spans="1:9" x14ac:dyDescent="0.2">
      <c r="A6156" s="1" t="str">
        <f>"FANCB"</f>
        <v>FANCB</v>
      </c>
      <c r="B6156" t="s">
        <v>14</v>
      </c>
      <c r="C6156" t="s">
        <v>37</v>
      </c>
      <c r="D6156" t="s">
        <v>11</v>
      </c>
      <c r="E6156" t="s">
        <v>12</v>
      </c>
      <c r="F6156">
        <v>14891150</v>
      </c>
      <c r="G6156">
        <v>14891201</v>
      </c>
      <c r="H6156">
        <v>14891206</v>
      </c>
      <c r="I6156">
        <v>14891217</v>
      </c>
    </row>
    <row r="6157" spans="1:9" x14ac:dyDescent="0.2">
      <c r="A6157" s="1" t="str">
        <f>"FANCC"</f>
        <v>FANCC</v>
      </c>
      <c r="B6157" t="s">
        <v>14</v>
      </c>
      <c r="C6157" t="s">
        <v>24</v>
      </c>
      <c r="D6157" t="s">
        <v>11</v>
      </c>
      <c r="E6157" t="s">
        <v>12</v>
      </c>
      <c r="F6157">
        <v>98079965</v>
      </c>
      <c r="G6157">
        <v>98080008</v>
      </c>
      <c r="H6157">
        <v>98079154</v>
      </c>
      <c r="I6157">
        <v>98079192</v>
      </c>
    </row>
    <row r="6158" spans="1:9" x14ac:dyDescent="0.2">
      <c r="A6158" s="1" t="str">
        <f>"FANCD2"</f>
        <v>FANCD2</v>
      </c>
      <c r="B6158" t="s">
        <v>14</v>
      </c>
      <c r="C6158" t="s">
        <v>22</v>
      </c>
      <c r="D6158" t="s">
        <v>17</v>
      </c>
      <c r="E6158" t="s">
        <v>12</v>
      </c>
      <c r="F6158">
        <v>10068095</v>
      </c>
      <c r="G6158">
        <v>10068170</v>
      </c>
      <c r="H6158">
        <v>10068074</v>
      </c>
      <c r="I6158">
        <v>10068085</v>
      </c>
    </row>
    <row r="6159" spans="1:9" x14ac:dyDescent="0.2">
      <c r="A6159" s="1" t="str">
        <f>"FANCD2OS"</f>
        <v>FANCD2OS</v>
      </c>
      <c r="B6159" t="s">
        <v>14</v>
      </c>
      <c r="C6159" t="s">
        <v>22</v>
      </c>
      <c r="D6159" t="s">
        <v>11</v>
      </c>
      <c r="E6159" t="s">
        <v>12</v>
      </c>
      <c r="F6159">
        <v>10149924</v>
      </c>
      <c r="G6159">
        <v>10149944</v>
      </c>
      <c r="H6159">
        <v>10149957</v>
      </c>
      <c r="I6159">
        <v>10149962</v>
      </c>
    </row>
    <row r="6160" spans="1:9" x14ac:dyDescent="0.2">
      <c r="A6160" s="1" t="str">
        <f>"FANCE"</f>
        <v>FANCE</v>
      </c>
      <c r="B6160" t="s">
        <v>14</v>
      </c>
      <c r="C6160" t="s">
        <v>32</v>
      </c>
      <c r="D6160" t="s">
        <v>17</v>
      </c>
      <c r="E6160" t="s">
        <v>12</v>
      </c>
      <c r="F6160">
        <v>35420091</v>
      </c>
      <c r="G6160">
        <v>35420158</v>
      </c>
      <c r="H6160">
        <v>35420161</v>
      </c>
      <c r="I6160">
        <v>35420165</v>
      </c>
    </row>
    <row r="6161" spans="1:9" x14ac:dyDescent="0.2">
      <c r="A6161" s="1" t="str">
        <f>"FANCF"</f>
        <v>FANCF</v>
      </c>
      <c r="B6161" t="s">
        <v>14</v>
      </c>
      <c r="C6161" t="s">
        <v>27</v>
      </c>
      <c r="D6161" t="s">
        <v>11</v>
      </c>
      <c r="E6161" t="s">
        <v>12</v>
      </c>
      <c r="F6161">
        <v>22647350</v>
      </c>
      <c r="G6161">
        <v>22647396</v>
      </c>
      <c r="H6161">
        <v>22647056</v>
      </c>
      <c r="I6161">
        <v>22647100</v>
      </c>
    </row>
    <row r="6162" spans="1:9" x14ac:dyDescent="0.2">
      <c r="A6162" s="1" t="str">
        <f>"FANCG"</f>
        <v>FANCG</v>
      </c>
      <c r="B6162" t="s">
        <v>14</v>
      </c>
      <c r="C6162" t="s">
        <v>24</v>
      </c>
      <c r="D6162" t="s">
        <v>11</v>
      </c>
      <c r="E6162" t="s">
        <v>12</v>
      </c>
      <c r="F6162">
        <v>35079911</v>
      </c>
      <c r="G6162">
        <v>35079946</v>
      </c>
      <c r="H6162">
        <v>35079719</v>
      </c>
      <c r="I6162">
        <v>35079761</v>
      </c>
    </row>
    <row r="6163" spans="1:9" x14ac:dyDescent="0.2">
      <c r="A6163" s="1" t="str">
        <f>"FANCI"</f>
        <v>FANCI</v>
      </c>
      <c r="B6163" t="s">
        <v>14</v>
      </c>
      <c r="C6163" t="s">
        <v>25</v>
      </c>
      <c r="D6163" t="s">
        <v>17</v>
      </c>
      <c r="E6163" t="s">
        <v>12</v>
      </c>
      <c r="F6163">
        <v>89787185</v>
      </c>
      <c r="G6163">
        <v>89787263</v>
      </c>
      <c r="H6163">
        <v>89787185</v>
      </c>
      <c r="I6163">
        <v>89787263</v>
      </c>
    </row>
    <row r="6164" spans="1:9" x14ac:dyDescent="0.2">
      <c r="A6164" s="1" t="str">
        <f>"FANCL"</f>
        <v>FANCL</v>
      </c>
      <c r="B6164" t="s">
        <v>14</v>
      </c>
      <c r="C6164" t="s">
        <v>26</v>
      </c>
      <c r="D6164" t="s">
        <v>11</v>
      </c>
      <c r="E6164" t="s">
        <v>12</v>
      </c>
      <c r="F6164">
        <v>58468447</v>
      </c>
      <c r="G6164">
        <v>58468517</v>
      </c>
      <c r="H6164">
        <v>58468447</v>
      </c>
      <c r="I6164">
        <v>58468517</v>
      </c>
    </row>
    <row r="6165" spans="1:9" x14ac:dyDescent="0.2">
      <c r="A6165" s="1" t="str">
        <f>"FANCM"</f>
        <v>FANCM</v>
      </c>
      <c r="B6165" t="s">
        <v>14</v>
      </c>
      <c r="C6165" t="s">
        <v>41</v>
      </c>
      <c r="D6165" t="s">
        <v>17</v>
      </c>
      <c r="E6165" t="s">
        <v>12</v>
      </c>
      <c r="F6165">
        <v>45605157</v>
      </c>
      <c r="G6165">
        <v>45605186</v>
      </c>
      <c r="H6165">
        <v>45605127</v>
      </c>
      <c r="I6165">
        <v>45605155</v>
      </c>
    </row>
    <row r="6166" spans="1:9" x14ac:dyDescent="0.2">
      <c r="A6166" s="1" t="str">
        <f>"FANK1"</f>
        <v>FANK1</v>
      </c>
      <c r="B6166" t="s">
        <v>14</v>
      </c>
      <c r="C6166" t="s">
        <v>15</v>
      </c>
      <c r="D6166" t="s">
        <v>17</v>
      </c>
      <c r="E6166" t="s">
        <v>12</v>
      </c>
      <c r="F6166">
        <v>127585118</v>
      </c>
      <c r="G6166">
        <v>127585175</v>
      </c>
      <c r="H6166">
        <v>127585093</v>
      </c>
      <c r="I6166">
        <v>127585114</v>
      </c>
    </row>
    <row r="6167" spans="1:9" x14ac:dyDescent="0.2">
      <c r="A6167" s="1" t="str">
        <f>"FAP"</f>
        <v>FAP</v>
      </c>
      <c r="B6167" t="s">
        <v>14</v>
      </c>
      <c r="C6167" t="s">
        <v>26</v>
      </c>
      <c r="D6167" t="s">
        <v>11</v>
      </c>
      <c r="E6167" t="s">
        <v>12</v>
      </c>
      <c r="F6167">
        <v>163099885</v>
      </c>
      <c r="G6167">
        <v>163099963</v>
      </c>
      <c r="H6167">
        <v>163099885</v>
      </c>
      <c r="I6167">
        <v>163099963</v>
      </c>
    </row>
    <row r="6168" spans="1:9" x14ac:dyDescent="0.2">
      <c r="A6168" s="1" t="str">
        <f>"FAR1"</f>
        <v>FAR1</v>
      </c>
      <c r="B6168" t="s">
        <v>14</v>
      </c>
      <c r="C6168" t="s">
        <v>27</v>
      </c>
      <c r="D6168" t="s">
        <v>17</v>
      </c>
      <c r="E6168" t="s">
        <v>12</v>
      </c>
      <c r="F6168">
        <v>13690200</v>
      </c>
      <c r="G6168">
        <v>13690244</v>
      </c>
      <c r="H6168">
        <v>13690249</v>
      </c>
      <c r="I6168">
        <v>13690274</v>
      </c>
    </row>
    <row r="6169" spans="1:9" x14ac:dyDescent="0.2">
      <c r="A6169" s="1" t="str">
        <f>"FAR2"</f>
        <v>FAR2</v>
      </c>
      <c r="B6169" t="s">
        <v>14</v>
      </c>
      <c r="C6169" t="s">
        <v>16</v>
      </c>
      <c r="D6169" t="s">
        <v>17</v>
      </c>
      <c r="E6169" t="s">
        <v>12</v>
      </c>
      <c r="F6169">
        <v>29302176</v>
      </c>
      <c r="G6169">
        <v>29302223</v>
      </c>
      <c r="H6169">
        <v>29302225</v>
      </c>
      <c r="I6169">
        <v>29302249</v>
      </c>
    </row>
    <row r="6170" spans="1:9" x14ac:dyDescent="0.2">
      <c r="A6170" s="1" t="str">
        <f>"FARP1"</f>
        <v>FARP1</v>
      </c>
      <c r="B6170" t="s">
        <v>14</v>
      </c>
      <c r="C6170" t="s">
        <v>39</v>
      </c>
      <c r="D6170" t="s">
        <v>17</v>
      </c>
      <c r="E6170" t="s">
        <v>12</v>
      </c>
      <c r="F6170">
        <v>98795339</v>
      </c>
      <c r="G6170">
        <v>98795360</v>
      </c>
      <c r="H6170">
        <v>98795361</v>
      </c>
      <c r="I6170">
        <v>98795384</v>
      </c>
    </row>
    <row r="6171" spans="1:9" x14ac:dyDescent="0.2">
      <c r="A6171" s="1" t="str">
        <f>"FARP2"</f>
        <v>FARP2</v>
      </c>
      <c r="B6171" t="s">
        <v>14</v>
      </c>
      <c r="C6171" t="s">
        <v>26</v>
      </c>
      <c r="D6171" t="s">
        <v>17</v>
      </c>
      <c r="E6171" t="s">
        <v>12</v>
      </c>
      <c r="F6171">
        <v>242295693</v>
      </c>
      <c r="G6171">
        <v>242295715</v>
      </c>
      <c r="H6171">
        <v>242295719</v>
      </c>
      <c r="I6171">
        <v>242295738</v>
      </c>
    </row>
    <row r="6172" spans="1:9" x14ac:dyDescent="0.2">
      <c r="A6172" s="1" t="str">
        <f>"FARS2"</f>
        <v>FARS2</v>
      </c>
      <c r="B6172" t="s">
        <v>14</v>
      </c>
      <c r="C6172" t="s">
        <v>32</v>
      </c>
      <c r="D6172" t="s">
        <v>17</v>
      </c>
      <c r="E6172" t="s">
        <v>12</v>
      </c>
      <c r="F6172">
        <v>5261730</v>
      </c>
      <c r="G6172">
        <v>5261795</v>
      </c>
      <c r="H6172">
        <v>5261225</v>
      </c>
      <c r="I6172">
        <v>5261270</v>
      </c>
    </row>
    <row r="6173" spans="1:9" x14ac:dyDescent="0.2">
      <c r="A6173" s="1" t="str">
        <f>"FARSA"</f>
        <v>FARSA</v>
      </c>
      <c r="B6173" t="s">
        <v>14</v>
      </c>
      <c r="C6173" t="s">
        <v>10</v>
      </c>
      <c r="D6173" t="s">
        <v>11</v>
      </c>
      <c r="E6173" t="s">
        <v>12</v>
      </c>
      <c r="F6173">
        <v>13044513</v>
      </c>
      <c r="G6173">
        <v>13044543</v>
      </c>
      <c r="H6173">
        <v>13044605</v>
      </c>
      <c r="I6173">
        <v>13044618</v>
      </c>
    </row>
    <row r="6174" spans="1:9" x14ac:dyDescent="0.2">
      <c r="A6174" s="1" t="str">
        <f>"FARSB"</f>
        <v>FARSB</v>
      </c>
      <c r="B6174" t="s">
        <v>14</v>
      </c>
      <c r="C6174" t="s">
        <v>26</v>
      </c>
      <c r="D6174" t="s">
        <v>11</v>
      </c>
      <c r="E6174" t="s">
        <v>12</v>
      </c>
      <c r="F6174">
        <v>223520786</v>
      </c>
      <c r="G6174">
        <v>223520818</v>
      </c>
      <c r="H6174">
        <v>223521085</v>
      </c>
      <c r="I6174">
        <v>223521114</v>
      </c>
    </row>
    <row r="6175" spans="1:9" x14ac:dyDescent="0.2">
      <c r="A6175" s="1" t="str">
        <f>"FAS"</f>
        <v>FAS</v>
      </c>
      <c r="B6175" t="s">
        <v>14</v>
      </c>
      <c r="C6175" t="s">
        <v>15</v>
      </c>
      <c r="D6175" t="s">
        <v>17</v>
      </c>
      <c r="E6175" t="s">
        <v>12</v>
      </c>
      <c r="F6175">
        <v>90750493</v>
      </c>
      <c r="G6175">
        <v>90750633</v>
      </c>
      <c r="H6175">
        <v>90750378</v>
      </c>
      <c r="I6175">
        <v>90750442</v>
      </c>
    </row>
    <row r="6176" spans="1:9" x14ac:dyDescent="0.2">
      <c r="A6176" s="1" t="str">
        <f>"FASLG"</f>
        <v>FASLG</v>
      </c>
      <c r="B6176" t="s">
        <v>14</v>
      </c>
      <c r="C6176" t="s">
        <v>19</v>
      </c>
      <c r="D6176" t="s">
        <v>17</v>
      </c>
      <c r="E6176" t="s">
        <v>12</v>
      </c>
      <c r="F6176">
        <v>172628236</v>
      </c>
      <c r="G6176">
        <v>172628251</v>
      </c>
      <c r="H6176">
        <v>172628135</v>
      </c>
      <c r="I6176">
        <v>172628156</v>
      </c>
    </row>
    <row r="6177" spans="1:9" x14ac:dyDescent="0.2">
      <c r="A6177" s="1" t="str">
        <f>"FASN"</f>
        <v>FASN</v>
      </c>
      <c r="B6177" t="s">
        <v>14</v>
      </c>
      <c r="C6177" t="s">
        <v>28</v>
      </c>
      <c r="D6177" t="s">
        <v>11</v>
      </c>
      <c r="E6177" t="s">
        <v>12</v>
      </c>
      <c r="F6177">
        <v>80056099</v>
      </c>
      <c r="G6177">
        <v>80056119</v>
      </c>
      <c r="H6177">
        <v>80056099</v>
      </c>
      <c r="I6177">
        <v>80056119</v>
      </c>
    </row>
    <row r="6178" spans="1:9" x14ac:dyDescent="0.2">
      <c r="A6178" s="1" t="str">
        <f>"FASTK"</f>
        <v>FASTK</v>
      </c>
      <c r="B6178" t="s">
        <v>14</v>
      </c>
      <c r="C6178" t="s">
        <v>33</v>
      </c>
      <c r="D6178" t="s">
        <v>11</v>
      </c>
      <c r="E6178" t="s">
        <v>12</v>
      </c>
      <c r="F6178">
        <v>150777874</v>
      </c>
      <c r="G6178">
        <v>150777918</v>
      </c>
      <c r="H6178">
        <v>150777920</v>
      </c>
      <c r="I6178">
        <v>150777941</v>
      </c>
    </row>
    <row r="6179" spans="1:9" x14ac:dyDescent="0.2">
      <c r="A6179" s="1" t="str">
        <f>"FASTKD1"</f>
        <v>FASTKD1</v>
      </c>
      <c r="B6179" t="s">
        <v>14</v>
      </c>
      <c r="C6179" t="s">
        <v>26</v>
      </c>
      <c r="D6179" t="s">
        <v>11</v>
      </c>
      <c r="E6179" t="s">
        <v>12</v>
      </c>
      <c r="F6179">
        <v>170430277</v>
      </c>
      <c r="G6179">
        <v>170430361</v>
      </c>
      <c r="H6179">
        <v>170430400</v>
      </c>
      <c r="I6179">
        <v>170430429</v>
      </c>
    </row>
    <row r="6180" spans="1:9" x14ac:dyDescent="0.2">
      <c r="A6180" s="1" t="str">
        <f>"FASTKD2"</f>
        <v>FASTKD2</v>
      </c>
      <c r="B6180" t="s">
        <v>14</v>
      </c>
      <c r="C6180" t="s">
        <v>26</v>
      </c>
      <c r="D6180" t="s">
        <v>17</v>
      </c>
      <c r="E6180" t="s">
        <v>12</v>
      </c>
      <c r="F6180">
        <v>207630302</v>
      </c>
      <c r="G6180">
        <v>207630347</v>
      </c>
      <c r="H6180">
        <v>207630360</v>
      </c>
      <c r="I6180">
        <v>207630371</v>
      </c>
    </row>
    <row r="6181" spans="1:9" x14ac:dyDescent="0.2">
      <c r="A6181" s="1" t="str">
        <f>"FASTKD3"</f>
        <v>FASTKD3</v>
      </c>
      <c r="B6181" t="s">
        <v>14</v>
      </c>
      <c r="C6181" t="s">
        <v>46</v>
      </c>
      <c r="D6181" t="s">
        <v>11</v>
      </c>
      <c r="E6181" t="s">
        <v>12</v>
      </c>
      <c r="F6181">
        <v>7869108</v>
      </c>
      <c r="G6181">
        <v>7869173</v>
      </c>
      <c r="H6181">
        <v>7869108</v>
      </c>
      <c r="I6181">
        <v>7869173</v>
      </c>
    </row>
    <row r="6182" spans="1:9" x14ac:dyDescent="0.2">
      <c r="A6182" s="1" t="str">
        <f>"FASTKD5"</f>
        <v>FASTKD5</v>
      </c>
      <c r="B6182" t="s">
        <v>14</v>
      </c>
      <c r="C6182" t="s">
        <v>29</v>
      </c>
      <c r="D6182" t="s">
        <v>11</v>
      </c>
      <c r="E6182" t="s">
        <v>12</v>
      </c>
      <c r="F6182">
        <v>3140490</v>
      </c>
      <c r="G6182">
        <v>3140543</v>
      </c>
      <c r="H6182">
        <v>3140490</v>
      </c>
      <c r="I6182">
        <v>3140543</v>
      </c>
    </row>
    <row r="6183" spans="1:9" x14ac:dyDescent="0.2">
      <c r="A6183" s="1" t="str">
        <f>"FAT1"</f>
        <v>FAT1</v>
      </c>
      <c r="B6183" t="s">
        <v>9</v>
      </c>
      <c r="C6183" t="s">
        <v>23</v>
      </c>
      <c r="D6183" t="s">
        <v>11</v>
      </c>
      <c r="E6183" t="s">
        <v>12</v>
      </c>
      <c r="F6183">
        <v>187647773</v>
      </c>
      <c r="G6183">
        <v>187647864</v>
      </c>
      <c r="H6183">
        <v>187647773</v>
      </c>
      <c r="I6183">
        <v>187647864</v>
      </c>
    </row>
    <row r="6184" spans="1:9" x14ac:dyDescent="0.2">
      <c r="A6184" s="1" t="str">
        <f>"FAT1"</f>
        <v>FAT1</v>
      </c>
      <c r="B6184" t="s">
        <v>13</v>
      </c>
      <c r="C6184" t="s">
        <v>23</v>
      </c>
      <c r="D6184" t="s">
        <v>11</v>
      </c>
      <c r="E6184" t="s">
        <v>12</v>
      </c>
      <c r="F6184">
        <v>187644930</v>
      </c>
      <c r="G6184">
        <v>187645017</v>
      </c>
      <c r="H6184">
        <v>187644930</v>
      </c>
      <c r="I6184">
        <v>187645017</v>
      </c>
    </row>
    <row r="6185" spans="1:9" x14ac:dyDescent="0.2">
      <c r="A6185" s="1" t="str">
        <f>"FAT2"</f>
        <v>FAT2</v>
      </c>
      <c r="B6185" t="s">
        <v>14</v>
      </c>
      <c r="C6185" t="s">
        <v>46</v>
      </c>
      <c r="D6185" t="s">
        <v>11</v>
      </c>
      <c r="E6185" t="s">
        <v>12</v>
      </c>
      <c r="F6185">
        <v>150970816</v>
      </c>
      <c r="G6185">
        <v>150970899</v>
      </c>
      <c r="H6185">
        <v>150970796</v>
      </c>
      <c r="I6185">
        <v>150970815</v>
      </c>
    </row>
    <row r="6186" spans="1:9" x14ac:dyDescent="0.2">
      <c r="A6186" s="1" t="str">
        <f>"FAT3"</f>
        <v>FAT3</v>
      </c>
      <c r="B6186" t="s">
        <v>14</v>
      </c>
      <c r="C6186" t="s">
        <v>27</v>
      </c>
      <c r="D6186" t="s">
        <v>17</v>
      </c>
      <c r="E6186" t="s">
        <v>12</v>
      </c>
      <c r="F6186">
        <v>92085373</v>
      </c>
      <c r="G6186">
        <v>92085401</v>
      </c>
      <c r="H6186">
        <v>92085373</v>
      </c>
      <c r="I6186">
        <v>92085401</v>
      </c>
    </row>
    <row r="6187" spans="1:9" x14ac:dyDescent="0.2">
      <c r="A6187" s="1" t="str">
        <f>"FAT4"</f>
        <v>FAT4</v>
      </c>
      <c r="B6187" t="s">
        <v>446</v>
      </c>
      <c r="C6187" t="s">
        <v>23</v>
      </c>
      <c r="D6187" t="s">
        <v>17</v>
      </c>
      <c r="E6187" t="s">
        <v>75</v>
      </c>
      <c r="F6187">
        <v>126237691</v>
      </c>
      <c r="G6187">
        <v>126237700</v>
      </c>
      <c r="H6187">
        <v>126237736</v>
      </c>
      <c r="I6187">
        <v>126237742</v>
      </c>
    </row>
    <row r="6188" spans="1:9" x14ac:dyDescent="0.2">
      <c r="A6188" s="1" t="str">
        <f>"FATE1"</f>
        <v>FATE1</v>
      </c>
      <c r="B6188" t="s">
        <v>14</v>
      </c>
      <c r="C6188" t="s">
        <v>37</v>
      </c>
      <c r="D6188" t="s">
        <v>17</v>
      </c>
      <c r="E6188" t="s">
        <v>12</v>
      </c>
      <c r="F6188">
        <v>150884500</v>
      </c>
      <c r="G6188">
        <v>150884518</v>
      </c>
      <c r="H6188">
        <v>150884539</v>
      </c>
      <c r="I6188">
        <v>150884578</v>
      </c>
    </row>
    <row r="6189" spans="1:9" x14ac:dyDescent="0.2">
      <c r="A6189" s="1" t="str">
        <f>"FAU"</f>
        <v>FAU</v>
      </c>
      <c r="B6189" t="s">
        <v>14</v>
      </c>
      <c r="C6189" t="s">
        <v>27</v>
      </c>
      <c r="D6189" t="s">
        <v>11</v>
      </c>
      <c r="E6189" t="s">
        <v>12</v>
      </c>
      <c r="F6189">
        <v>64889592</v>
      </c>
      <c r="G6189">
        <v>64889615</v>
      </c>
      <c r="H6189">
        <v>64889651</v>
      </c>
      <c r="I6189">
        <v>64889664</v>
      </c>
    </row>
    <row r="6190" spans="1:9" x14ac:dyDescent="0.2">
      <c r="A6190" s="1" t="str">
        <f>"FAXC"</f>
        <v>FAXC</v>
      </c>
      <c r="B6190" t="s">
        <v>14</v>
      </c>
      <c r="C6190" t="s">
        <v>32</v>
      </c>
      <c r="D6190" t="s">
        <v>11</v>
      </c>
      <c r="E6190" t="s">
        <v>12</v>
      </c>
      <c r="F6190">
        <v>99797522</v>
      </c>
      <c r="G6190">
        <v>99797572</v>
      </c>
      <c r="H6190">
        <v>99797916</v>
      </c>
      <c r="I6190">
        <v>99797958</v>
      </c>
    </row>
    <row r="6191" spans="1:9" x14ac:dyDescent="0.2">
      <c r="A6191" s="1" t="str">
        <f>"FAXDC2"</f>
        <v>FAXDC2</v>
      </c>
      <c r="B6191" t="s">
        <v>9</v>
      </c>
      <c r="C6191" t="s">
        <v>46</v>
      </c>
      <c r="D6191" t="s">
        <v>11</v>
      </c>
      <c r="E6191" t="s">
        <v>12</v>
      </c>
      <c r="F6191">
        <v>154230130</v>
      </c>
      <c r="G6191">
        <v>154230210</v>
      </c>
      <c r="H6191">
        <v>154230130</v>
      </c>
      <c r="I6191">
        <v>154230210</v>
      </c>
    </row>
    <row r="6192" spans="1:9" x14ac:dyDescent="0.2">
      <c r="A6192" s="1" t="str">
        <f>"FAXDC2"</f>
        <v>FAXDC2</v>
      </c>
      <c r="B6192" t="s">
        <v>13</v>
      </c>
      <c r="C6192" t="s">
        <v>46</v>
      </c>
      <c r="D6192" t="s">
        <v>11</v>
      </c>
      <c r="E6192" t="s">
        <v>12</v>
      </c>
      <c r="F6192">
        <v>154214538</v>
      </c>
      <c r="G6192">
        <v>154214583</v>
      </c>
      <c r="H6192">
        <v>154214538</v>
      </c>
      <c r="I6192">
        <v>154214583</v>
      </c>
    </row>
    <row r="6193" spans="1:9" x14ac:dyDescent="0.2">
      <c r="A6193" s="1" t="str">
        <f>"FBF1"</f>
        <v>FBF1</v>
      </c>
      <c r="B6193" t="s">
        <v>14</v>
      </c>
      <c r="C6193" t="s">
        <v>28</v>
      </c>
      <c r="D6193" t="s">
        <v>11</v>
      </c>
      <c r="E6193" t="s">
        <v>12</v>
      </c>
      <c r="F6193">
        <v>73937116</v>
      </c>
      <c r="G6193">
        <v>73937161</v>
      </c>
      <c r="H6193">
        <v>73937072</v>
      </c>
      <c r="I6193">
        <v>73937087</v>
      </c>
    </row>
    <row r="6194" spans="1:9" x14ac:dyDescent="0.2">
      <c r="A6194" s="1" t="str">
        <f>"FBL"</f>
        <v>FBL</v>
      </c>
      <c r="B6194" t="s">
        <v>14</v>
      </c>
      <c r="C6194" t="s">
        <v>10</v>
      </c>
      <c r="D6194" t="s">
        <v>11</v>
      </c>
      <c r="E6194" t="s">
        <v>12</v>
      </c>
      <c r="F6194">
        <v>40336972</v>
      </c>
      <c r="G6194">
        <v>40337029</v>
      </c>
      <c r="H6194">
        <v>40336956</v>
      </c>
      <c r="I6194">
        <v>40336961</v>
      </c>
    </row>
    <row r="6195" spans="1:9" x14ac:dyDescent="0.2">
      <c r="A6195" s="1" t="str">
        <f>"FBLIM1"</f>
        <v>FBLIM1</v>
      </c>
      <c r="B6195" t="s">
        <v>14</v>
      </c>
      <c r="C6195" t="s">
        <v>19</v>
      </c>
      <c r="D6195" t="s">
        <v>17</v>
      </c>
      <c r="E6195" t="s">
        <v>12</v>
      </c>
      <c r="F6195">
        <v>16085263</v>
      </c>
      <c r="G6195">
        <v>16085314</v>
      </c>
      <c r="H6195">
        <v>16084452</v>
      </c>
      <c r="I6195">
        <v>16084482</v>
      </c>
    </row>
    <row r="6196" spans="1:9" x14ac:dyDescent="0.2">
      <c r="A6196" s="1" t="str">
        <f>"FBLN1"</f>
        <v>FBLN1</v>
      </c>
      <c r="B6196" t="s">
        <v>14</v>
      </c>
      <c r="C6196" t="s">
        <v>21</v>
      </c>
      <c r="D6196" t="s">
        <v>17</v>
      </c>
      <c r="E6196" t="s">
        <v>12</v>
      </c>
      <c r="F6196">
        <v>45898754</v>
      </c>
      <c r="G6196">
        <v>45898771</v>
      </c>
      <c r="H6196">
        <v>45898754</v>
      </c>
      <c r="I6196">
        <v>45898771</v>
      </c>
    </row>
    <row r="6197" spans="1:9" x14ac:dyDescent="0.2">
      <c r="A6197" s="1" t="str">
        <f>"FBLN2"</f>
        <v>FBLN2</v>
      </c>
      <c r="B6197" t="s">
        <v>14</v>
      </c>
      <c r="C6197" t="s">
        <v>22</v>
      </c>
      <c r="D6197" t="s">
        <v>17</v>
      </c>
      <c r="E6197" t="s">
        <v>12</v>
      </c>
      <c r="F6197">
        <v>13590636</v>
      </c>
      <c r="G6197">
        <v>13590667</v>
      </c>
      <c r="H6197">
        <v>13590619</v>
      </c>
      <c r="I6197">
        <v>13590632</v>
      </c>
    </row>
    <row r="6198" spans="1:9" x14ac:dyDescent="0.2">
      <c r="A6198" s="1" t="str">
        <f>"FBLN5"</f>
        <v>FBLN5</v>
      </c>
      <c r="B6198" t="s">
        <v>14</v>
      </c>
      <c r="C6198" t="s">
        <v>41</v>
      </c>
      <c r="D6198" t="s">
        <v>11</v>
      </c>
      <c r="E6198" t="s">
        <v>12</v>
      </c>
      <c r="F6198">
        <v>92413748</v>
      </c>
      <c r="G6198">
        <v>92413762</v>
      </c>
      <c r="H6198">
        <v>92413764</v>
      </c>
      <c r="I6198">
        <v>92413794</v>
      </c>
    </row>
    <row r="6199" spans="1:9" x14ac:dyDescent="0.2">
      <c r="A6199" s="1" t="str">
        <f>"FBLN7"</f>
        <v>FBLN7</v>
      </c>
      <c r="B6199" t="s">
        <v>14</v>
      </c>
      <c r="C6199" t="s">
        <v>26</v>
      </c>
      <c r="D6199" t="s">
        <v>17</v>
      </c>
      <c r="E6199" t="s">
        <v>12</v>
      </c>
      <c r="F6199">
        <v>112895939</v>
      </c>
      <c r="G6199">
        <v>112896020</v>
      </c>
      <c r="H6199">
        <v>112895939</v>
      </c>
      <c r="I6199">
        <v>112896020</v>
      </c>
    </row>
    <row r="6200" spans="1:9" x14ac:dyDescent="0.2">
      <c r="A6200" s="1" t="str">
        <f>"FBN1"</f>
        <v>FBN1</v>
      </c>
      <c r="B6200" t="s">
        <v>14</v>
      </c>
      <c r="C6200" t="s">
        <v>25</v>
      </c>
      <c r="D6200" t="s">
        <v>11</v>
      </c>
      <c r="E6200" t="s">
        <v>12</v>
      </c>
      <c r="F6200">
        <v>48937884</v>
      </c>
      <c r="G6200">
        <v>48937933</v>
      </c>
      <c r="H6200">
        <v>48937853</v>
      </c>
      <c r="I6200">
        <v>48937881</v>
      </c>
    </row>
    <row r="6201" spans="1:9" x14ac:dyDescent="0.2">
      <c r="A6201" s="1" t="str">
        <f>"FBN2"</f>
        <v>FBN2</v>
      </c>
      <c r="B6201" t="s">
        <v>14</v>
      </c>
      <c r="C6201" t="s">
        <v>46</v>
      </c>
      <c r="D6201" t="s">
        <v>11</v>
      </c>
      <c r="E6201" t="s">
        <v>12</v>
      </c>
      <c r="F6201">
        <v>127873925</v>
      </c>
      <c r="G6201">
        <v>127873945</v>
      </c>
      <c r="H6201">
        <v>127873896</v>
      </c>
      <c r="I6201">
        <v>127873909</v>
      </c>
    </row>
    <row r="6202" spans="1:9" x14ac:dyDescent="0.2">
      <c r="A6202" s="1" t="str">
        <f>"FBN3"</f>
        <v>FBN3</v>
      </c>
      <c r="B6202" t="s">
        <v>14</v>
      </c>
      <c r="C6202" t="s">
        <v>10</v>
      </c>
      <c r="D6202" t="s">
        <v>11</v>
      </c>
      <c r="E6202" t="s">
        <v>12</v>
      </c>
      <c r="F6202">
        <v>8214429</v>
      </c>
      <c r="G6202">
        <v>8214450</v>
      </c>
      <c r="H6202">
        <v>8214429</v>
      </c>
      <c r="I6202">
        <v>8214450</v>
      </c>
    </row>
    <row r="6203" spans="1:9" x14ac:dyDescent="0.2">
      <c r="A6203" s="1" t="str">
        <f>"FBP1"</f>
        <v>FBP1</v>
      </c>
      <c r="B6203" t="s">
        <v>14</v>
      </c>
      <c r="C6203" t="s">
        <v>24</v>
      </c>
      <c r="D6203" t="s">
        <v>11</v>
      </c>
      <c r="E6203" t="s">
        <v>12</v>
      </c>
      <c r="F6203">
        <v>97401782</v>
      </c>
      <c r="G6203">
        <v>97401840</v>
      </c>
      <c r="H6203">
        <v>97402059</v>
      </c>
      <c r="I6203">
        <v>97402101</v>
      </c>
    </row>
    <row r="6204" spans="1:9" x14ac:dyDescent="0.2">
      <c r="A6204" s="1" t="str">
        <f>"FBP2"</f>
        <v>FBP2</v>
      </c>
      <c r="B6204" t="s">
        <v>14</v>
      </c>
      <c r="C6204" t="s">
        <v>24</v>
      </c>
      <c r="D6204" t="s">
        <v>11</v>
      </c>
      <c r="E6204" t="s">
        <v>12</v>
      </c>
      <c r="F6204">
        <v>97356091</v>
      </c>
      <c r="G6204">
        <v>97356111</v>
      </c>
      <c r="H6204">
        <v>97356077</v>
      </c>
      <c r="I6204">
        <v>97356088</v>
      </c>
    </row>
    <row r="6205" spans="1:9" x14ac:dyDescent="0.2">
      <c r="A6205" s="1" t="str">
        <f>"FBRS"</f>
        <v>FBRS</v>
      </c>
      <c r="B6205" t="s">
        <v>14</v>
      </c>
      <c r="C6205" t="s">
        <v>31</v>
      </c>
      <c r="D6205" t="s">
        <v>17</v>
      </c>
      <c r="E6205" t="s">
        <v>12</v>
      </c>
      <c r="F6205">
        <v>30670618</v>
      </c>
      <c r="G6205">
        <v>30670728</v>
      </c>
      <c r="H6205">
        <v>30670618</v>
      </c>
      <c r="I6205">
        <v>30670728</v>
      </c>
    </row>
    <row r="6206" spans="1:9" x14ac:dyDescent="0.2">
      <c r="A6206" s="1" t="str">
        <f>"FBRSL1"</f>
        <v>FBRSL1</v>
      </c>
      <c r="B6206" t="s">
        <v>14</v>
      </c>
      <c r="C6206" t="s">
        <v>16</v>
      </c>
      <c r="D6206" t="s">
        <v>17</v>
      </c>
      <c r="E6206" t="s">
        <v>12</v>
      </c>
      <c r="F6206">
        <v>133066726</v>
      </c>
      <c r="G6206">
        <v>133066797</v>
      </c>
      <c r="H6206">
        <v>133066726</v>
      </c>
      <c r="I6206">
        <v>133066797</v>
      </c>
    </row>
    <row r="6207" spans="1:9" x14ac:dyDescent="0.2">
      <c r="A6207" s="1" t="str">
        <f>"FBXL12"</f>
        <v>FBXL12</v>
      </c>
      <c r="B6207" t="s">
        <v>14</v>
      </c>
      <c r="C6207" t="s">
        <v>10</v>
      </c>
      <c r="D6207" t="s">
        <v>11</v>
      </c>
      <c r="E6207" t="s">
        <v>12</v>
      </c>
      <c r="F6207">
        <v>9929708</v>
      </c>
      <c r="G6207">
        <v>9929789</v>
      </c>
      <c r="H6207">
        <v>9929484</v>
      </c>
      <c r="I6207">
        <v>9929520</v>
      </c>
    </row>
    <row r="6208" spans="1:9" x14ac:dyDescent="0.2">
      <c r="A6208" s="1" t="str">
        <f>"FBXL13"</f>
        <v>FBXL13</v>
      </c>
      <c r="B6208" t="s">
        <v>14</v>
      </c>
      <c r="C6208" t="s">
        <v>33</v>
      </c>
      <c r="D6208" t="s">
        <v>11</v>
      </c>
      <c r="E6208" t="s">
        <v>12</v>
      </c>
      <c r="F6208">
        <v>102715230</v>
      </c>
      <c r="G6208">
        <v>102715258</v>
      </c>
      <c r="H6208">
        <v>102715230</v>
      </c>
      <c r="I6208">
        <v>102715258</v>
      </c>
    </row>
    <row r="6209" spans="1:9" x14ac:dyDescent="0.2">
      <c r="A6209" s="1" t="str">
        <f>"FBXL14"</f>
        <v>FBXL14</v>
      </c>
      <c r="B6209" t="s">
        <v>14</v>
      </c>
      <c r="C6209" t="s">
        <v>16</v>
      </c>
      <c r="D6209" t="s">
        <v>11</v>
      </c>
      <c r="E6209" t="s">
        <v>12</v>
      </c>
      <c r="F6209">
        <v>1703711</v>
      </c>
      <c r="G6209">
        <v>1703733</v>
      </c>
      <c r="H6209">
        <v>1703711</v>
      </c>
      <c r="I6209">
        <v>1703733</v>
      </c>
    </row>
    <row r="6210" spans="1:9" x14ac:dyDescent="0.2">
      <c r="A6210" s="1" t="str">
        <f>"FBXL15"</f>
        <v>FBXL15</v>
      </c>
      <c r="B6210" t="s">
        <v>14</v>
      </c>
      <c r="C6210" t="s">
        <v>15</v>
      </c>
      <c r="D6210" t="s">
        <v>17</v>
      </c>
      <c r="E6210" t="s">
        <v>12</v>
      </c>
      <c r="F6210">
        <v>104180580</v>
      </c>
      <c r="G6210">
        <v>104180605</v>
      </c>
      <c r="H6210">
        <v>104180857</v>
      </c>
      <c r="I6210">
        <v>104180892</v>
      </c>
    </row>
    <row r="6211" spans="1:9" x14ac:dyDescent="0.2">
      <c r="A6211" s="1" t="str">
        <f>"FBXL16"</f>
        <v>FBXL16</v>
      </c>
      <c r="B6211" t="s">
        <v>14</v>
      </c>
      <c r="C6211" t="s">
        <v>31</v>
      </c>
      <c r="D6211" t="s">
        <v>11</v>
      </c>
      <c r="E6211" t="s">
        <v>12</v>
      </c>
      <c r="F6211">
        <v>755726</v>
      </c>
      <c r="G6211">
        <v>755814</v>
      </c>
      <c r="H6211">
        <v>755819</v>
      </c>
      <c r="I6211">
        <v>755860</v>
      </c>
    </row>
    <row r="6212" spans="1:9" x14ac:dyDescent="0.2">
      <c r="A6212" s="1" t="str">
        <f>"FBXL17"</f>
        <v>FBXL17</v>
      </c>
      <c r="B6212" t="s">
        <v>14</v>
      </c>
      <c r="C6212" t="s">
        <v>46</v>
      </c>
      <c r="D6212" t="s">
        <v>11</v>
      </c>
      <c r="E6212" t="s">
        <v>12</v>
      </c>
      <c r="F6212">
        <v>107717058</v>
      </c>
      <c r="G6212">
        <v>107717155</v>
      </c>
      <c r="H6212">
        <v>107717782</v>
      </c>
      <c r="I6212">
        <v>107717805</v>
      </c>
    </row>
    <row r="6213" spans="1:9" x14ac:dyDescent="0.2">
      <c r="A6213" s="1" t="str">
        <f>"FBXL18"</f>
        <v>FBXL18</v>
      </c>
      <c r="B6213" t="s">
        <v>14</v>
      </c>
      <c r="C6213" t="s">
        <v>33</v>
      </c>
      <c r="D6213" t="s">
        <v>11</v>
      </c>
      <c r="E6213" t="s">
        <v>12</v>
      </c>
      <c r="F6213">
        <v>5553369</v>
      </c>
      <c r="G6213">
        <v>5553445</v>
      </c>
      <c r="H6213">
        <v>5553369</v>
      </c>
      <c r="I6213">
        <v>5553445</v>
      </c>
    </row>
    <row r="6214" spans="1:9" x14ac:dyDescent="0.2">
      <c r="A6214" s="1" t="str">
        <f>"FBXL19"</f>
        <v>FBXL19</v>
      </c>
      <c r="B6214" t="s">
        <v>14</v>
      </c>
      <c r="C6214" t="s">
        <v>31</v>
      </c>
      <c r="D6214" t="s">
        <v>17</v>
      </c>
      <c r="E6214" t="s">
        <v>12</v>
      </c>
      <c r="F6214">
        <v>30934890</v>
      </c>
      <c r="G6214">
        <v>30934932</v>
      </c>
      <c r="H6214">
        <v>30934890</v>
      </c>
      <c r="I6214">
        <v>30934932</v>
      </c>
    </row>
    <row r="6215" spans="1:9" x14ac:dyDescent="0.2">
      <c r="A6215" s="1" t="str">
        <f>"FBXL2"</f>
        <v>FBXL2</v>
      </c>
      <c r="B6215" t="s">
        <v>14</v>
      </c>
      <c r="C6215" t="s">
        <v>22</v>
      </c>
      <c r="D6215" t="s">
        <v>17</v>
      </c>
      <c r="E6215" t="s">
        <v>12</v>
      </c>
      <c r="F6215">
        <v>33318924</v>
      </c>
      <c r="G6215">
        <v>33318985</v>
      </c>
      <c r="H6215">
        <v>33318910</v>
      </c>
      <c r="I6215">
        <v>33318920</v>
      </c>
    </row>
    <row r="6216" spans="1:9" x14ac:dyDescent="0.2">
      <c r="A6216" s="1" t="str">
        <f>"FBXL20"</f>
        <v>FBXL20</v>
      </c>
      <c r="B6216" t="s">
        <v>14</v>
      </c>
      <c r="C6216" t="s">
        <v>28</v>
      </c>
      <c r="D6216" t="s">
        <v>11</v>
      </c>
      <c r="E6216" t="s">
        <v>12</v>
      </c>
      <c r="F6216">
        <v>37557846</v>
      </c>
      <c r="G6216">
        <v>37557920</v>
      </c>
      <c r="H6216">
        <v>37557932</v>
      </c>
      <c r="I6216">
        <v>37557937</v>
      </c>
    </row>
    <row r="6217" spans="1:9" x14ac:dyDescent="0.2">
      <c r="A6217" s="1" t="str">
        <f>"FBXL21"</f>
        <v>FBXL21</v>
      </c>
      <c r="B6217" t="s">
        <v>14</v>
      </c>
      <c r="C6217" t="s">
        <v>46</v>
      </c>
      <c r="D6217" t="s">
        <v>17</v>
      </c>
      <c r="E6217" t="s">
        <v>12</v>
      </c>
      <c r="F6217">
        <v>135266004</v>
      </c>
      <c r="G6217">
        <v>135266065</v>
      </c>
      <c r="H6217">
        <v>135266004</v>
      </c>
      <c r="I6217">
        <v>135266065</v>
      </c>
    </row>
    <row r="6218" spans="1:9" x14ac:dyDescent="0.2">
      <c r="A6218" s="1" t="str">
        <f>"FBXL22"</f>
        <v>FBXL22</v>
      </c>
      <c r="B6218" t="s">
        <v>14</v>
      </c>
      <c r="C6218" t="s">
        <v>25</v>
      </c>
      <c r="D6218" t="s">
        <v>17</v>
      </c>
      <c r="E6218" t="s">
        <v>12</v>
      </c>
      <c r="F6218">
        <v>63889577</v>
      </c>
      <c r="G6218">
        <v>63889595</v>
      </c>
      <c r="H6218">
        <v>63889603</v>
      </c>
      <c r="I6218">
        <v>63889621</v>
      </c>
    </row>
    <row r="6219" spans="1:9" x14ac:dyDescent="0.2">
      <c r="A6219" s="1" t="str">
        <f>"FBXL3"</f>
        <v>FBXL3</v>
      </c>
      <c r="B6219" t="s">
        <v>14</v>
      </c>
      <c r="C6219" t="s">
        <v>39</v>
      </c>
      <c r="D6219" t="s">
        <v>11</v>
      </c>
      <c r="E6219" t="s">
        <v>12</v>
      </c>
      <c r="F6219">
        <v>77601282</v>
      </c>
      <c r="G6219">
        <v>77601308</v>
      </c>
      <c r="H6219">
        <v>77601327</v>
      </c>
      <c r="I6219">
        <v>77601334</v>
      </c>
    </row>
    <row r="6220" spans="1:9" x14ac:dyDescent="0.2">
      <c r="A6220" s="1" t="str">
        <f>"FBXL4"</f>
        <v>FBXL4</v>
      </c>
      <c r="B6220" t="s">
        <v>14</v>
      </c>
      <c r="C6220" t="s">
        <v>32</v>
      </c>
      <c r="D6220" t="s">
        <v>11</v>
      </c>
      <c r="E6220" t="s">
        <v>12</v>
      </c>
      <c r="F6220">
        <v>99395787</v>
      </c>
      <c r="G6220">
        <v>99395878</v>
      </c>
      <c r="H6220">
        <v>99395738</v>
      </c>
      <c r="I6220">
        <v>99395756</v>
      </c>
    </row>
    <row r="6221" spans="1:9" x14ac:dyDescent="0.2">
      <c r="A6221" s="1" t="str">
        <f>"FBXL5"</f>
        <v>FBXL5</v>
      </c>
      <c r="B6221" t="s">
        <v>9</v>
      </c>
      <c r="C6221" t="s">
        <v>23</v>
      </c>
      <c r="D6221" t="s">
        <v>11</v>
      </c>
      <c r="E6221" t="s">
        <v>12</v>
      </c>
      <c r="F6221">
        <v>15656923</v>
      </c>
      <c r="G6221">
        <v>15657009</v>
      </c>
      <c r="H6221">
        <v>15656923</v>
      </c>
      <c r="I6221">
        <v>15657009</v>
      </c>
    </row>
    <row r="6222" spans="1:9" x14ac:dyDescent="0.2">
      <c r="A6222" s="1" t="str">
        <f>"FBXL5"</f>
        <v>FBXL5</v>
      </c>
      <c r="B6222" t="s">
        <v>13</v>
      </c>
      <c r="C6222" t="s">
        <v>23</v>
      </c>
      <c r="D6222" t="s">
        <v>11</v>
      </c>
      <c r="E6222" t="s">
        <v>12</v>
      </c>
      <c r="F6222">
        <v>15683118</v>
      </c>
      <c r="G6222">
        <v>15683226</v>
      </c>
      <c r="H6222">
        <v>15683118</v>
      </c>
      <c r="I6222">
        <v>15683226</v>
      </c>
    </row>
    <row r="6223" spans="1:9" x14ac:dyDescent="0.2">
      <c r="A6223" s="1" t="str">
        <f>"FBXL6"</f>
        <v>FBXL6</v>
      </c>
      <c r="B6223" t="s">
        <v>14</v>
      </c>
      <c r="C6223" t="s">
        <v>30</v>
      </c>
      <c r="D6223" t="s">
        <v>11</v>
      </c>
      <c r="E6223" t="s">
        <v>12</v>
      </c>
      <c r="F6223">
        <v>145582118</v>
      </c>
      <c r="G6223">
        <v>145582170</v>
      </c>
      <c r="H6223">
        <v>145582183</v>
      </c>
      <c r="I6223">
        <v>145582188</v>
      </c>
    </row>
    <row r="6224" spans="1:9" x14ac:dyDescent="0.2">
      <c r="A6224" s="1" t="str">
        <f>"FBXL7"</f>
        <v>FBXL7</v>
      </c>
      <c r="B6224" t="s">
        <v>14</v>
      </c>
      <c r="C6224" t="s">
        <v>46</v>
      </c>
      <c r="D6224" t="s">
        <v>17</v>
      </c>
      <c r="E6224" t="s">
        <v>12</v>
      </c>
      <c r="F6224">
        <v>15500280</v>
      </c>
      <c r="G6224">
        <v>15500312</v>
      </c>
      <c r="H6224">
        <v>15500248</v>
      </c>
      <c r="I6224">
        <v>15500261</v>
      </c>
    </row>
    <row r="6225" spans="1:9" x14ac:dyDescent="0.2">
      <c r="A6225" s="1" t="str">
        <f>"FBXL8"</f>
        <v>FBXL8</v>
      </c>
      <c r="B6225" t="s">
        <v>14</v>
      </c>
      <c r="C6225" t="s">
        <v>31</v>
      </c>
      <c r="D6225" t="s">
        <v>17</v>
      </c>
      <c r="E6225" t="s">
        <v>12</v>
      </c>
      <c r="F6225">
        <v>67193841</v>
      </c>
      <c r="G6225">
        <v>67193897</v>
      </c>
      <c r="H6225">
        <v>67193331</v>
      </c>
      <c r="I6225">
        <v>67193353</v>
      </c>
    </row>
    <row r="6226" spans="1:9" x14ac:dyDescent="0.2">
      <c r="A6226" s="1" t="str">
        <f>"FBXO10"</f>
        <v>FBXO10</v>
      </c>
      <c r="B6226" t="s">
        <v>14</v>
      </c>
      <c r="C6226" t="s">
        <v>24</v>
      </c>
      <c r="D6226" t="s">
        <v>11</v>
      </c>
      <c r="E6226" t="s">
        <v>12</v>
      </c>
      <c r="F6226">
        <v>37576333</v>
      </c>
      <c r="G6226">
        <v>37576361</v>
      </c>
      <c r="H6226">
        <v>37576288</v>
      </c>
      <c r="I6226">
        <v>37576330</v>
      </c>
    </row>
    <row r="6227" spans="1:9" x14ac:dyDescent="0.2">
      <c r="A6227" s="1" t="str">
        <f>"FBXO11"</f>
        <v>FBXO11</v>
      </c>
      <c r="B6227" t="s">
        <v>14</v>
      </c>
      <c r="C6227" t="s">
        <v>26</v>
      </c>
      <c r="D6227" t="s">
        <v>11</v>
      </c>
      <c r="E6227" t="s">
        <v>12</v>
      </c>
      <c r="F6227">
        <v>48133198</v>
      </c>
      <c r="G6227">
        <v>48133339</v>
      </c>
      <c r="H6227">
        <v>48132875</v>
      </c>
      <c r="I6227">
        <v>48132917</v>
      </c>
    </row>
    <row r="6228" spans="1:9" x14ac:dyDescent="0.2">
      <c r="A6228" s="1" t="str">
        <f>"FBXO15"</f>
        <v>FBXO15</v>
      </c>
      <c r="B6228" t="s">
        <v>14</v>
      </c>
      <c r="C6228" t="s">
        <v>43</v>
      </c>
      <c r="D6228" t="s">
        <v>11</v>
      </c>
      <c r="E6228" t="s">
        <v>12</v>
      </c>
      <c r="F6228">
        <v>71815051</v>
      </c>
      <c r="G6228">
        <v>71815080</v>
      </c>
      <c r="H6228">
        <v>71815013</v>
      </c>
      <c r="I6228">
        <v>71815043</v>
      </c>
    </row>
    <row r="6229" spans="1:9" x14ac:dyDescent="0.2">
      <c r="A6229" s="1" t="str">
        <f>"FBXO16"</f>
        <v>FBXO16</v>
      </c>
      <c r="B6229" t="s">
        <v>14</v>
      </c>
      <c r="C6229" t="s">
        <v>30</v>
      </c>
      <c r="D6229" t="s">
        <v>11</v>
      </c>
      <c r="E6229" t="s">
        <v>12</v>
      </c>
      <c r="F6229">
        <v>28347737</v>
      </c>
      <c r="G6229">
        <v>28347785</v>
      </c>
      <c r="H6229">
        <v>28347790</v>
      </c>
      <c r="I6229">
        <v>28347807</v>
      </c>
    </row>
    <row r="6230" spans="1:9" x14ac:dyDescent="0.2">
      <c r="A6230" s="1" t="str">
        <f>"FBXO17"</f>
        <v>FBXO17</v>
      </c>
      <c r="B6230" t="s">
        <v>9</v>
      </c>
      <c r="C6230" t="s">
        <v>10</v>
      </c>
      <c r="D6230" t="s">
        <v>11</v>
      </c>
      <c r="E6230" t="s">
        <v>12</v>
      </c>
      <c r="F6230">
        <v>39421377</v>
      </c>
      <c r="G6230">
        <v>39421409</v>
      </c>
      <c r="H6230">
        <v>39421377</v>
      </c>
      <c r="I6230">
        <v>39421409</v>
      </c>
    </row>
    <row r="6231" spans="1:9" x14ac:dyDescent="0.2">
      <c r="A6231" s="1" t="str">
        <f>"FBXO17"</f>
        <v>FBXO17</v>
      </c>
      <c r="B6231" t="s">
        <v>13</v>
      </c>
      <c r="C6231" t="s">
        <v>10</v>
      </c>
      <c r="D6231" t="s">
        <v>11</v>
      </c>
      <c r="E6231" t="s">
        <v>12</v>
      </c>
      <c r="F6231">
        <v>39466327</v>
      </c>
      <c r="G6231">
        <v>39466392</v>
      </c>
      <c r="H6231">
        <v>39466327</v>
      </c>
      <c r="I6231">
        <v>39466392</v>
      </c>
    </row>
    <row r="6232" spans="1:9" x14ac:dyDescent="0.2">
      <c r="A6232" s="1" t="str">
        <f>"FBXO18"</f>
        <v>FBXO18</v>
      </c>
      <c r="B6232" t="s">
        <v>14</v>
      </c>
      <c r="C6232" t="s">
        <v>15</v>
      </c>
      <c r="D6232" t="s">
        <v>17</v>
      </c>
      <c r="E6232" t="s">
        <v>12</v>
      </c>
      <c r="F6232">
        <v>5932174</v>
      </c>
      <c r="G6232">
        <v>5932236</v>
      </c>
      <c r="H6232">
        <v>5932244</v>
      </c>
      <c r="I6232">
        <v>5932253</v>
      </c>
    </row>
    <row r="6233" spans="1:9" x14ac:dyDescent="0.2">
      <c r="A6233" s="1" t="str">
        <f>"FBXO2"</f>
        <v>FBXO2</v>
      </c>
      <c r="B6233" t="s">
        <v>14</v>
      </c>
      <c r="C6233" t="s">
        <v>19</v>
      </c>
      <c r="D6233" t="s">
        <v>11</v>
      </c>
      <c r="E6233" t="s">
        <v>12</v>
      </c>
      <c r="F6233">
        <v>11714479</v>
      </c>
      <c r="G6233">
        <v>11714493</v>
      </c>
      <c r="H6233">
        <v>11714406</v>
      </c>
      <c r="I6233">
        <v>11714429</v>
      </c>
    </row>
    <row r="6234" spans="1:9" x14ac:dyDescent="0.2">
      <c r="A6234" s="1" t="str">
        <f>"FBXO21"</f>
        <v>FBXO21</v>
      </c>
      <c r="B6234" t="s">
        <v>14</v>
      </c>
      <c r="C6234" t="s">
        <v>16</v>
      </c>
      <c r="D6234" t="s">
        <v>11</v>
      </c>
      <c r="E6234" t="s">
        <v>12</v>
      </c>
      <c r="F6234">
        <v>117628253</v>
      </c>
      <c r="G6234">
        <v>117628308</v>
      </c>
      <c r="H6234">
        <v>117628333</v>
      </c>
      <c r="I6234">
        <v>117628339</v>
      </c>
    </row>
    <row r="6235" spans="1:9" x14ac:dyDescent="0.2">
      <c r="A6235" s="1" t="str">
        <f>"FBXO22"</f>
        <v>FBXO22</v>
      </c>
      <c r="B6235" t="s">
        <v>14</v>
      </c>
      <c r="C6235" t="s">
        <v>25</v>
      </c>
      <c r="D6235" t="s">
        <v>17</v>
      </c>
      <c r="E6235" t="s">
        <v>12</v>
      </c>
      <c r="F6235">
        <v>76196234</v>
      </c>
      <c r="G6235">
        <v>76196299</v>
      </c>
      <c r="H6235">
        <v>76196211</v>
      </c>
      <c r="I6235">
        <v>76196227</v>
      </c>
    </row>
    <row r="6236" spans="1:9" x14ac:dyDescent="0.2">
      <c r="A6236" s="1" t="str">
        <f>"FBXO24"</f>
        <v>FBXO24</v>
      </c>
      <c r="B6236" t="s">
        <v>14</v>
      </c>
      <c r="C6236" t="s">
        <v>33</v>
      </c>
      <c r="D6236" t="s">
        <v>17</v>
      </c>
      <c r="E6236" t="s">
        <v>12</v>
      </c>
      <c r="F6236">
        <v>100184054</v>
      </c>
      <c r="G6236">
        <v>100184085</v>
      </c>
      <c r="H6236">
        <v>100183927</v>
      </c>
      <c r="I6236">
        <v>100183957</v>
      </c>
    </row>
    <row r="6237" spans="1:9" x14ac:dyDescent="0.2">
      <c r="A6237" s="1" t="str">
        <f>"FBXO25"</f>
        <v>FBXO25</v>
      </c>
      <c r="B6237" t="s">
        <v>14</v>
      </c>
      <c r="C6237" t="s">
        <v>30</v>
      </c>
      <c r="D6237" t="s">
        <v>17</v>
      </c>
      <c r="E6237" t="s">
        <v>12</v>
      </c>
      <c r="F6237">
        <v>356942</v>
      </c>
      <c r="G6237">
        <v>356967</v>
      </c>
      <c r="H6237">
        <v>356918</v>
      </c>
      <c r="I6237">
        <v>356939</v>
      </c>
    </row>
    <row r="6238" spans="1:9" x14ac:dyDescent="0.2">
      <c r="A6238" s="1" t="str">
        <f>"FBXO27"</f>
        <v>FBXO27</v>
      </c>
      <c r="B6238" t="s">
        <v>14</v>
      </c>
      <c r="C6238" t="s">
        <v>10</v>
      </c>
      <c r="D6238" t="s">
        <v>11</v>
      </c>
      <c r="E6238" t="s">
        <v>12</v>
      </c>
      <c r="F6238">
        <v>39522891</v>
      </c>
      <c r="G6238">
        <v>39522931</v>
      </c>
      <c r="H6238">
        <v>39523169</v>
      </c>
      <c r="I6238">
        <v>39523197</v>
      </c>
    </row>
    <row r="6239" spans="1:9" x14ac:dyDescent="0.2">
      <c r="A6239" s="1" t="str">
        <f>"FBXO28"</f>
        <v>FBXO28</v>
      </c>
      <c r="B6239" t="s">
        <v>14</v>
      </c>
      <c r="C6239" t="s">
        <v>19</v>
      </c>
      <c r="D6239" t="s">
        <v>17</v>
      </c>
      <c r="E6239" t="s">
        <v>12</v>
      </c>
      <c r="F6239">
        <v>224301787</v>
      </c>
      <c r="G6239">
        <v>224301836</v>
      </c>
      <c r="H6239">
        <v>224301787</v>
      </c>
      <c r="I6239">
        <v>224301836</v>
      </c>
    </row>
    <row r="6240" spans="1:9" x14ac:dyDescent="0.2">
      <c r="A6240" s="1" t="str">
        <f>"FBXO3"</f>
        <v>FBXO3</v>
      </c>
      <c r="B6240" t="s">
        <v>9</v>
      </c>
      <c r="C6240" t="s">
        <v>27</v>
      </c>
      <c r="D6240" t="s">
        <v>11</v>
      </c>
      <c r="E6240" t="s">
        <v>12</v>
      </c>
      <c r="F6240">
        <v>33796039</v>
      </c>
      <c r="G6240">
        <v>33796077</v>
      </c>
      <c r="H6240">
        <v>33796039</v>
      </c>
      <c r="I6240">
        <v>33796077</v>
      </c>
    </row>
    <row r="6241" spans="1:9" x14ac:dyDescent="0.2">
      <c r="A6241" s="1" t="str">
        <f>"FBXO3"</f>
        <v>FBXO3</v>
      </c>
      <c r="B6241" t="s">
        <v>13</v>
      </c>
      <c r="C6241" t="s">
        <v>27</v>
      </c>
      <c r="D6241" t="s">
        <v>11</v>
      </c>
      <c r="E6241" t="s">
        <v>12</v>
      </c>
      <c r="F6241">
        <v>33774944</v>
      </c>
      <c r="G6241">
        <v>33774947</v>
      </c>
      <c r="H6241">
        <v>33774944</v>
      </c>
      <c r="I6241">
        <v>33774947</v>
      </c>
    </row>
    <row r="6242" spans="1:9" x14ac:dyDescent="0.2">
      <c r="A6242" s="1" t="str">
        <f>"FBXO30"</f>
        <v>FBXO30</v>
      </c>
      <c r="B6242" t="s">
        <v>14</v>
      </c>
      <c r="C6242" t="s">
        <v>32</v>
      </c>
      <c r="D6242" t="s">
        <v>11</v>
      </c>
      <c r="E6242" t="s">
        <v>12</v>
      </c>
      <c r="F6242">
        <v>146135880</v>
      </c>
      <c r="G6242">
        <v>146135952</v>
      </c>
      <c r="H6242">
        <v>146135852</v>
      </c>
      <c r="I6242">
        <v>146135871</v>
      </c>
    </row>
    <row r="6243" spans="1:9" x14ac:dyDescent="0.2">
      <c r="A6243" s="1" t="str">
        <f>"FBXO31"</f>
        <v>FBXO31</v>
      </c>
      <c r="B6243" t="s">
        <v>9</v>
      </c>
      <c r="C6243" t="s">
        <v>31</v>
      </c>
      <c r="D6243" t="s">
        <v>11</v>
      </c>
      <c r="E6243" t="s">
        <v>12</v>
      </c>
      <c r="F6243">
        <v>87417351</v>
      </c>
      <c r="G6243">
        <v>87417392</v>
      </c>
      <c r="H6243">
        <v>87417351</v>
      </c>
      <c r="I6243">
        <v>87417392</v>
      </c>
    </row>
    <row r="6244" spans="1:9" x14ac:dyDescent="0.2">
      <c r="A6244" s="1" t="str">
        <f>"FBXO31"</f>
        <v>FBXO31</v>
      </c>
      <c r="B6244" t="s">
        <v>13</v>
      </c>
      <c r="C6244" t="s">
        <v>31</v>
      </c>
      <c r="D6244" t="s">
        <v>11</v>
      </c>
      <c r="E6244" t="s">
        <v>12</v>
      </c>
      <c r="F6244">
        <v>87425644</v>
      </c>
      <c r="G6244">
        <v>87425738</v>
      </c>
      <c r="H6244">
        <v>87425644</v>
      </c>
      <c r="I6244">
        <v>87425738</v>
      </c>
    </row>
    <row r="6245" spans="1:9" x14ac:dyDescent="0.2">
      <c r="A6245" s="1" t="str">
        <f>"FBXO32"</f>
        <v>FBXO32</v>
      </c>
      <c r="B6245" t="s">
        <v>14</v>
      </c>
      <c r="C6245" t="s">
        <v>30</v>
      </c>
      <c r="D6245" t="s">
        <v>11</v>
      </c>
      <c r="E6245" t="s">
        <v>12</v>
      </c>
      <c r="F6245">
        <v>124553437</v>
      </c>
      <c r="G6245">
        <v>124553453</v>
      </c>
      <c r="H6245">
        <v>124553437</v>
      </c>
      <c r="I6245">
        <v>124553453</v>
      </c>
    </row>
    <row r="6246" spans="1:9" x14ac:dyDescent="0.2">
      <c r="A6246" s="1" t="str">
        <f>"FBXO33"</f>
        <v>FBXO33</v>
      </c>
      <c r="B6246" t="s">
        <v>14</v>
      </c>
      <c r="C6246" t="s">
        <v>41</v>
      </c>
      <c r="D6246" t="s">
        <v>11</v>
      </c>
      <c r="E6246" t="s">
        <v>12</v>
      </c>
      <c r="F6246">
        <v>39901360</v>
      </c>
      <c r="G6246">
        <v>39901381</v>
      </c>
      <c r="H6246">
        <v>39901618</v>
      </c>
      <c r="I6246">
        <v>39901681</v>
      </c>
    </row>
    <row r="6247" spans="1:9" x14ac:dyDescent="0.2">
      <c r="A6247" s="1" t="str">
        <f>"FBXO34"</f>
        <v>FBXO34</v>
      </c>
      <c r="B6247" t="s">
        <v>14</v>
      </c>
      <c r="C6247" t="s">
        <v>41</v>
      </c>
      <c r="D6247" t="s">
        <v>17</v>
      </c>
      <c r="E6247" t="s">
        <v>12</v>
      </c>
      <c r="F6247">
        <v>55738082</v>
      </c>
      <c r="G6247">
        <v>55738176</v>
      </c>
      <c r="H6247">
        <v>55738082</v>
      </c>
      <c r="I6247">
        <v>55738176</v>
      </c>
    </row>
    <row r="6248" spans="1:9" x14ac:dyDescent="0.2">
      <c r="A6248" s="1" t="str">
        <f>"FBXO36"</f>
        <v>FBXO36</v>
      </c>
      <c r="B6248" t="s">
        <v>14</v>
      </c>
      <c r="C6248" t="s">
        <v>26</v>
      </c>
      <c r="D6248" t="s">
        <v>17</v>
      </c>
      <c r="E6248" t="s">
        <v>12</v>
      </c>
      <c r="F6248">
        <v>230787213</v>
      </c>
      <c r="G6248">
        <v>230787227</v>
      </c>
      <c r="H6248">
        <v>230787201</v>
      </c>
      <c r="I6248">
        <v>230787212</v>
      </c>
    </row>
    <row r="6249" spans="1:9" x14ac:dyDescent="0.2">
      <c r="A6249" s="1" t="str">
        <f>"FBXO38"</f>
        <v>FBXO38</v>
      </c>
      <c r="B6249" t="s">
        <v>14</v>
      </c>
      <c r="C6249" t="s">
        <v>46</v>
      </c>
      <c r="D6249" t="s">
        <v>17</v>
      </c>
      <c r="E6249" t="s">
        <v>12</v>
      </c>
      <c r="F6249">
        <v>147763539</v>
      </c>
      <c r="G6249">
        <v>147763586</v>
      </c>
      <c r="H6249">
        <v>147763503</v>
      </c>
      <c r="I6249">
        <v>147763534</v>
      </c>
    </row>
    <row r="6250" spans="1:9" x14ac:dyDescent="0.2">
      <c r="A6250" s="1" t="str">
        <f>"FBXO39"</f>
        <v>FBXO39</v>
      </c>
      <c r="B6250" t="s">
        <v>14</v>
      </c>
      <c r="C6250" t="s">
        <v>28</v>
      </c>
      <c r="D6250" t="s">
        <v>17</v>
      </c>
      <c r="E6250" t="s">
        <v>12</v>
      </c>
      <c r="F6250">
        <v>6679528</v>
      </c>
      <c r="G6250">
        <v>6679547</v>
      </c>
      <c r="H6250">
        <v>6679528</v>
      </c>
      <c r="I6250">
        <v>6679547</v>
      </c>
    </row>
    <row r="6251" spans="1:9" x14ac:dyDescent="0.2">
      <c r="A6251" s="1" t="str">
        <f>"FBXO4"</f>
        <v>FBXO4</v>
      </c>
      <c r="B6251" t="s">
        <v>14</v>
      </c>
      <c r="C6251" t="s">
        <v>46</v>
      </c>
      <c r="D6251" t="s">
        <v>17</v>
      </c>
      <c r="E6251" t="s">
        <v>12</v>
      </c>
      <c r="F6251">
        <v>41925325</v>
      </c>
      <c r="G6251">
        <v>41925416</v>
      </c>
      <c r="H6251">
        <v>41925325</v>
      </c>
      <c r="I6251">
        <v>41925416</v>
      </c>
    </row>
    <row r="6252" spans="1:9" x14ac:dyDescent="0.2">
      <c r="A6252" s="1" t="str">
        <f>"FBXO40"</f>
        <v>FBXO40</v>
      </c>
      <c r="B6252" t="s">
        <v>14</v>
      </c>
      <c r="C6252" t="s">
        <v>22</v>
      </c>
      <c r="D6252" t="s">
        <v>17</v>
      </c>
      <c r="E6252" t="s">
        <v>12</v>
      </c>
      <c r="F6252">
        <v>121312209</v>
      </c>
      <c r="G6252">
        <v>121312244</v>
      </c>
      <c r="H6252">
        <v>121312209</v>
      </c>
      <c r="I6252">
        <v>121312244</v>
      </c>
    </row>
    <row r="6253" spans="1:9" x14ac:dyDescent="0.2">
      <c r="A6253" s="1" t="str">
        <f>"FBXO41"</f>
        <v>FBXO41</v>
      </c>
      <c r="B6253" t="s">
        <v>14</v>
      </c>
      <c r="C6253" t="s">
        <v>26</v>
      </c>
      <c r="D6253" t="s">
        <v>11</v>
      </c>
      <c r="E6253" t="s">
        <v>12</v>
      </c>
      <c r="F6253">
        <v>73511560</v>
      </c>
      <c r="G6253">
        <v>73511628</v>
      </c>
      <c r="H6253">
        <v>73511490</v>
      </c>
      <c r="I6253">
        <v>73511549</v>
      </c>
    </row>
    <row r="6254" spans="1:9" x14ac:dyDescent="0.2">
      <c r="A6254" s="1" t="str">
        <f>"FBXO42"</f>
        <v>FBXO42</v>
      </c>
      <c r="B6254" t="s">
        <v>14</v>
      </c>
      <c r="C6254" t="s">
        <v>19</v>
      </c>
      <c r="D6254" t="s">
        <v>11</v>
      </c>
      <c r="E6254" t="s">
        <v>12</v>
      </c>
      <c r="F6254">
        <v>16678914</v>
      </c>
      <c r="G6254">
        <v>16678989</v>
      </c>
      <c r="H6254">
        <v>16678914</v>
      </c>
      <c r="I6254">
        <v>16678989</v>
      </c>
    </row>
    <row r="6255" spans="1:9" x14ac:dyDescent="0.2">
      <c r="A6255" s="1" t="str">
        <f>"FBXO43"</f>
        <v>FBXO43</v>
      </c>
      <c r="B6255" t="s">
        <v>14</v>
      </c>
      <c r="C6255" t="s">
        <v>30</v>
      </c>
      <c r="D6255" t="s">
        <v>11</v>
      </c>
      <c r="E6255" t="s">
        <v>12</v>
      </c>
      <c r="F6255">
        <v>101158029</v>
      </c>
      <c r="G6255">
        <v>101158054</v>
      </c>
      <c r="H6255">
        <v>101158059</v>
      </c>
      <c r="I6255">
        <v>101158074</v>
      </c>
    </row>
    <row r="6256" spans="1:9" x14ac:dyDescent="0.2">
      <c r="A6256" s="1" t="str">
        <f>"FBXO44"</f>
        <v>FBXO44</v>
      </c>
      <c r="B6256" t="s">
        <v>14</v>
      </c>
      <c r="C6256" t="s">
        <v>19</v>
      </c>
      <c r="D6256" t="s">
        <v>17</v>
      </c>
      <c r="E6256" t="s">
        <v>12</v>
      </c>
      <c r="F6256">
        <v>11714919</v>
      </c>
      <c r="G6256">
        <v>11714976</v>
      </c>
      <c r="H6256">
        <v>11714458</v>
      </c>
      <c r="I6256">
        <v>11714482</v>
      </c>
    </row>
    <row r="6257" spans="1:9" x14ac:dyDescent="0.2">
      <c r="A6257" s="1" t="str">
        <f>"FBXO45"</f>
        <v>FBXO45</v>
      </c>
      <c r="B6257" t="s">
        <v>14</v>
      </c>
      <c r="C6257" t="s">
        <v>22</v>
      </c>
      <c r="D6257" t="s">
        <v>17</v>
      </c>
      <c r="E6257" t="s">
        <v>12</v>
      </c>
      <c r="F6257">
        <v>196295507</v>
      </c>
      <c r="G6257">
        <v>196295555</v>
      </c>
      <c r="H6257">
        <v>196295675</v>
      </c>
      <c r="I6257">
        <v>196295760</v>
      </c>
    </row>
    <row r="6258" spans="1:9" x14ac:dyDescent="0.2">
      <c r="A6258" s="1" t="str">
        <f>"FBXO46"</f>
        <v>FBXO46</v>
      </c>
      <c r="B6258" t="s">
        <v>14</v>
      </c>
      <c r="C6258" t="s">
        <v>10</v>
      </c>
      <c r="D6258" t="s">
        <v>11</v>
      </c>
      <c r="E6258" t="s">
        <v>12</v>
      </c>
      <c r="F6258">
        <v>46234119</v>
      </c>
      <c r="G6258">
        <v>46234189</v>
      </c>
      <c r="H6258">
        <v>46234119</v>
      </c>
      <c r="I6258">
        <v>46234189</v>
      </c>
    </row>
    <row r="6259" spans="1:9" x14ac:dyDescent="0.2">
      <c r="A6259" s="1" t="str">
        <f>"FBXO47"</f>
        <v>FBXO47</v>
      </c>
      <c r="B6259" t="s">
        <v>14</v>
      </c>
      <c r="C6259" t="s">
        <v>28</v>
      </c>
      <c r="D6259" t="s">
        <v>11</v>
      </c>
      <c r="E6259" t="s">
        <v>12</v>
      </c>
      <c r="F6259">
        <v>37123670</v>
      </c>
      <c r="G6259">
        <v>37123691</v>
      </c>
      <c r="H6259">
        <v>37123646</v>
      </c>
      <c r="I6259">
        <v>37123660</v>
      </c>
    </row>
    <row r="6260" spans="1:9" x14ac:dyDescent="0.2">
      <c r="A6260" s="1" t="str">
        <f>"FBXO48"</f>
        <v>FBXO48</v>
      </c>
      <c r="B6260" t="s">
        <v>14</v>
      </c>
      <c r="C6260" t="s">
        <v>26</v>
      </c>
      <c r="D6260" t="s">
        <v>11</v>
      </c>
      <c r="E6260" t="s">
        <v>12</v>
      </c>
      <c r="F6260">
        <v>68694401</v>
      </c>
      <c r="G6260">
        <v>68694434</v>
      </c>
      <c r="H6260">
        <v>68694442</v>
      </c>
      <c r="I6260">
        <v>68694467</v>
      </c>
    </row>
    <row r="6261" spans="1:9" x14ac:dyDescent="0.2">
      <c r="A6261" s="1" t="str">
        <f>"FBXO5"</f>
        <v>FBXO5</v>
      </c>
      <c r="B6261" t="s">
        <v>14</v>
      </c>
      <c r="C6261" t="s">
        <v>32</v>
      </c>
      <c r="D6261" t="s">
        <v>11</v>
      </c>
      <c r="E6261" t="s">
        <v>12</v>
      </c>
      <c r="F6261">
        <v>153304166</v>
      </c>
      <c r="G6261">
        <v>153304194</v>
      </c>
      <c r="H6261">
        <v>153304697</v>
      </c>
      <c r="I6261">
        <v>153304734</v>
      </c>
    </row>
    <row r="6262" spans="1:9" x14ac:dyDescent="0.2">
      <c r="A6262" s="1" t="str">
        <f>"FBXO6"</f>
        <v>FBXO6</v>
      </c>
      <c r="B6262" t="s">
        <v>14</v>
      </c>
      <c r="C6262" t="s">
        <v>19</v>
      </c>
      <c r="D6262" t="s">
        <v>17</v>
      </c>
      <c r="E6262" t="s">
        <v>12</v>
      </c>
      <c r="F6262">
        <v>11724249</v>
      </c>
      <c r="G6262">
        <v>11724289</v>
      </c>
      <c r="H6262">
        <v>11724167</v>
      </c>
      <c r="I6262">
        <v>11724197</v>
      </c>
    </row>
    <row r="6263" spans="1:9" x14ac:dyDescent="0.2">
      <c r="A6263" s="1" t="str">
        <f>"FBXO7"</f>
        <v>FBXO7</v>
      </c>
      <c r="B6263" t="s">
        <v>14</v>
      </c>
      <c r="C6263" t="s">
        <v>21</v>
      </c>
      <c r="D6263" t="s">
        <v>17</v>
      </c>
      <c r="E6263" t="s">
        <v>12</v>
      </c>
      <c r="F6263">
        <v>32870661</v>
      </c>
      <c r="G6263">
        <v>32870775</v>
      </c>
      <c r="H6263">
        <v>32871245</v>
      </c>
      <c r="I6263">
        <v>32871325</v>
      </c>
    </row>
    <row r="6264" spans="1:9" x14ac:dyDescent="0.2">
      <c r="A6264" s="1" t="str">
        <f>"FBXO8"</f>
        <v>FBXO8</v>
      </c>
      <c r="B6264" t="s">
        <v>9</v>
      </c>
      <c r="C6264" t="s">
        <v>23</v>
      </c>
      <c r="D6264" t="s">
        <v>11</v>
      </c>
      <c r="E6264" t="s">
        <v>12</v>
      </c>
      <c r="F6264">
        <v>175204765</v>
      </c>
      <c r="G6264">
        <v>175204843</v>
      </c>
      <c r="H6264">
        <v>175204765</v>
      </c>
      <c r="I6264">
        <v>175204843</v>
      </c>
    </row>
    <row r="6265" spans="1:9" x14ac:dyDescent="0.2">
      <c r="A6265" s="1" t="str">
        <f>"FBXO8"</f>
        <v>FBXO8</v>
      </c>
      <c r="B6265" t="s">
        <v>13</v>
      </c>
      <c r="C6265" t="s">
        <v>23</v>
      </c>
      <c r="D6265" t="s">
        <v>11</v>
      </c>
      <c r="E6265" t="s">
        <v>12</v>
      </c>
      <c r="F6265">
        <v>175184180</v>
      </c>
      <c r="G6265">
        <v>175184194</v>
      </c>
      <c r="H6265">
        <v>175184180</v>
      </c>
      <c r="I6265">
        <v>175184194</v>
      </c>
    </row>
    <row r="6266" spans="1:9" x14ac:dyDescent="0.2">
      <c r="A6266" s="1" t="str">
        <f>"FBXO9"</f>
        <v>FBXO9</v>
      </c>
      <c r="B6266" t="s">
        <v>14</v>
      </c>
      <c r="C6266" t="s">
        <v>32</v>
      </c>
      <c r="D6266" t="s">
        <v>17</v>
      </c>
      <c r="E6266" t="s">
        <v>12</v>
      </c>
      <c r="F6266">
        <v>52930183</v>
      </c>
      <c r="G6266">
        <v>52930236</v>
      </c>
      <c r="H6266">
        <v>52930237</v>
      </c>
      <c r="I6266">
        <v>52930256</v>
      </c>
    </row>
    <row r="6267" spans="1:9" x14ac:dyDescent="0.2">
      <c r="A6267" s="1" t="str">
        <f>"FBXW10"</f>
        <v>FBXW10</v>
      </c>
      <c r="B6267" t="s">
        <v>447</v>
      </c>
      <c r="C6267" t="s">
        <v>28</v>
      </c>
      <c r="D6267" t="s">
        <v>17</v>
      </c>
      <c r="E6267" t="s">
        <v>20</v>
      </c>
      <c r="F6267">
        <v>18647330</v>
      </c>
      <c r="G6267">
        <v>18647330</v>
      </c>
      <c r="H6267">
        <v>18647330</v>
      </c>
      <c r="I6267">
        <v>18647330</v>
      </c>
    </row>
    <row r="6268" spans="1:9" x14ac:dyDescent="0.2">
      <c r="A6268" s="1" t="str">
        <f>"FBXW11"</f>
        <v>FBXW11</v>
      </c>
      <c r="B6268" t="s">
        <v>14</v>
      </c>
      <c r="C6268" t="s">
        <v>46</v>
      </c>
      <c r="D6268" t="s">
        <v>11</v>
      </c>
      <c r="E6268" t="s">
        <v>12</v>
      </c>
      <c r="F6268">
        <v>171433579</v>
      </c>
      <c r="G6268">
        <v>171433660</v>
      </c>
      <c r="H6268">
        <v>171433662</v>
      </c>
      <c r="I6268">
        <v>171433686</v>
      </c>
    </row>
    <row r="6269" spans="1:9" x14ac:dyDescent="0.2">
      <c r="A6269" s="1" t="str">
        <f>"FBXW12"</f>
        <v>FBXW12</v>
      </c>
      <c r="B6269" t="s">
        <v>14</v>
      </c>
      <c r="C6269" t="s">
        <v>22</v>
      </c>
      <c r="D6269" t="s">
        <v>17</v>
      </c>
      <c r="E6269" t="s">
        <v>12</v>
      </c>
      <c r="F6269">
        <v>48413670</v>
      </c>
      <c r="G6269">
        <v>48413671</v>
      </c>
      <c r="H6269">
        <v>48413670</v>
      </c>
      <c r="I6269">
        <v>48413671</v>
      </c>
    </row>
    <row r="6270" spans="1:9" x14ac:dyDescent="0.2">
      <c r="A6270" s="1" t="str">
        <f>"FBXW2"</f>
        <v>FBXW2</v>
      </c>
      <c r="B6270" t="s">
        <v>14</v>
      </c>
      <c r="C6270" t="s">
        <v>24</v>
      </c>
      <c r="D6270" t="s">
        <v>11</v>
      </c>
      <c r="E6270" t="s">
        <v>12</v>
      </c>
      <c r="F6270">
        <v>123555655</v>
      </c>
      <c r="G6270">
        <v>123555712</v>
      </c>
      <c r="H6270">
        <v>123555536</v>
      </c>
      <c r="I6270">
        <v>123555572</v>
      </c>
    </row>
    <row r="6271" spans="1:9" x14ac:dyDescent="0.2">
      <c r="A6271" s="1" t="str">
        <f>"FBXW4"</f>
        <v>FBXW4</v>
      </c>
      <c r="B6271" t="s">
        <v>14</v>
      </c>
      <c r="C6271" t="s">
        <v>15</v>
      </c>
      <c r="D6271" t="s">
        <v>11</v>
      </c>
      <c r="E6271" t="s">
        <v>12</v>
      </c>
      <c r="F6271">
        <v>103454876</v>
      </c>
      <c r="G6271">
        <v>103454962</v>
      </c>
      <c r="H6271">
        <v>103454653</v>
      </c>
      <c r="I6271">
        <v>103454691</v>
      </c>
    </row>
    <row r="6272" spans="1:9" x14ac:dyDescent="0.2">
      <c r="A6272" s="1" t="str">
        <f>"FBXW5"</f>
        <v>FBXW5</v>
      </c>
      <c r="B6272" t="s">
        <v>14</v>
      </c>
      <c r="C6272" t="s">
        <v>24</v>
      </c>
      <c r="D6272" t="s">
        <v>11</v>
      </c>
      <c r="E6272" t="s">
        <v>12</v>
      </c>
      <c r="F6272">
        <v>139839064</v>
      </c>
      <c r="G6272">
        <v>139839147</v>
      </c>
      <c r="H6272">
        <v>139839178</v>
      </c>
      <c r="I6272">
        <v>139839204</v>
      </c>
    </row>
    <row r="6273" spans="1:9" x14ac:dyDescent="0.2">
      <c r="A6273" s="1" t="str">
        <f>"FBXW7"</f>
        <v>FBXW7</v>
      </c>
      <c r="B6273" t="s">
        <v>448</v>
      </c>
      <c r="C6273" t="s">
        <v>23</v>
      </c>
      <c r="D6273" t="s">
        <v>11</v>
      </c>
      <c r="E6273" t="s">
        <v>35</v>
      </c>
      <c r="F6273">
        <v>153457197</v>
      </c>
      <c r="G6273">
        <v>153457268</v>
      </c>
      <c r="H6273">
        <v>153457033</v>
      </c>
      <c r="I6273">
        <v>153457056</v>
      </c>
    </row>
    <row r="6274" spans="1:9" x14ac:dyDescent="0.2">
      <c r="A6274" s="1" t="str">
        <f>"FBXW7"</f>
        <v>FBXW7</v>
      </c>
      <c r="B6274" t="s">
        <v>449</v>
      </c>
      <c r="C6274" t="s">
        <v>23</v>
      </c>
      <c r="D6274" t="s">
        <v>11</v>
      </c>
      <c r="E6274" t="s">
        <v>35</v>
      </c>
      <c r="F6274">
        <v>153456321</v>
      </c>
      <c r="G6274">
        <v>153456359</v>
      </c>
      <c r="H6274">
        <v>153456180</v>
      </c>
      <c r="I6274">
        <v>153456193</v>
      </c>
    </row>
    <row r="6275" spans="1:9" x14ac:dyDescent="0.2">
      <c r="A6275" s="1" t="str">
        <f>"FBXW7"</f>
        <v>FBXW7</v>
      </c>
      <c r="B6275" t="s">
        <v>450</v>
      </c>
      <c r="C6275" t="s">
        <v>23</v>
      </c>
      <c r="D6275" t="s">
        <v>11</v>
      </c>
      <c r="E6275" t="s">
        <v>35</v>
      </c>
      <c r="F6275">
        <v>153332978</v>
      </c>
      <c r="G6275">
        <v>153332985</v>
      </c>
      <c r="H6275">
        <v>153332886</v>
      </c>
      <c r="I6275">
        <v>153332907</v>
      </c>
    </row>
    <row r="6276" spans="1:9" x14ac:dyDescent="0.2">
      <c r="A6276" s="1" t="str">
        <f>"FBXW8"</f>
        <v>FBXW8</v>
      </c>
      <c r="B6276" t="s">
        <v>14</v>
      </c>
      <c r="C6276" t="s">
        <v>16</v>
      </c>
      <c r="D6276" t="s">
        <v>17</v>
      </c>
      <c r="E6276" t="s">
        <v>12</v>
      </c>
      <c r="F6276">
        <v>117348742</v>
      </c>
      <c r="G6276">
        <v>117348822</v>
      </c>
      <c r="H6276">
        <v>117348742</v>
      </c>
      <c r="I6276">
        <v>117348822</v>
      </c>
    </row>
    <row r="6277" spans="1:9" x14ac:dyDescent="0.2">
      <c r="A6277" s="1" t="str">
        <f>"FBXW9"</f>
        <v>FBXW9</v>
      </c>
      <c r="B6277" t="s">
        <v>14</v>
      </c>
      <c r="C6277" t="s">
        <v>10</v>
      </c>
      <c r="D6277" t="s">
        <v>11</v>
      </c>
      <c r="E6277" t="s">
        <v>12</v>
      </c>
      <c r="F6277">
        <v>12807422</v>
      </c>
      <c r="G6277">
        <v>12807468</v>
      </c>
      <c r="H6277">
        <v>12807400</v>
      </c>
      <c r="I6277">
        <v>12807414</v>
      </c>
    </row>
    <row r="6278" spans="1:9" x14ac:dyDescent="0.2">
      <c r="A6278" s="1" t="str">
        <f>"FCAMR"</f>
        <v>FCAMR</v>
      </c>
      <c r="B6278" t="s">
        <v>14</v>
      </c>
      <c r="C6278" t="s">
        <v>19</v>
      </c>
      <c r="D6278" t="s">
        <v>11</v>
      </c>
      <c r="E6278" t="s">
        <v>12</v>
      </c>
      <c r="F6278">
        <v>207143802</v>
      </c>
      <c r="G6278">
        <v>207143832</v>
      </c>
      <c r="H6278">
        <v>207143858</v>
      </c>
      <c r="I6278">
        <v>207143891</v>
      </c>
    </row>
    <row r="6279" spans="1:9" x14ac:dyDescent="0.2">
      <c r="A6279" s="1" t="str">
        <f>"FCAR"</f>
        <v>FCAR</v>
      </c>
      <c r="B6279" t="s">
        <v>14</v>
      </c>
      <c r="C6279" t="s">
        <v>10</v>
      </c>
      <c r="D6279" t="s">
        <v>17</v>
      </c>
      <c r="E6279" t="s">
        <v>12</v>
      </c>
      <c r="F6279">
        <v>55385682</v>
      </c>
      <c r="G6279">
        <v>55385717</v>
      </c>
      <c r="H6279">
        <v>55385731</v>
      </c>
      <c r="I6279">
        <v>55385742</v>
      </c>
    </row>
    <row r="6280" spans="1:9" x14ac:dyDescent="0.2">
      <c r="A6280" s="1" t="str">
        <f>"FCER1A"</f>
        <v>FCER1A</v>
      </c>
      <c r="B6280" t="s">
        <v>14</v>
      </c>
      <c r="C6280" t="s">
        <v>19</v>
      </c>
      <c r="D6280" t="s">
        <v>17</v>
      </c>
      <c r="E6280" t="s">
        <v>12</v>
      </c>
      <c r="F6280">
        <v>159272111</v>
      </c>
      <c r="G6280">
        <v>159272136</v>
      </c>
      <c r="H6280">
        <v>159272111</v>
      </c>
      <c r="I6280">
        <v>159272136</v>
      </c>
    </row>
    <row r="6281" spans="1:9" x14ac:dyDescent="0.2">
      <c r="A6281" s="1" t="str">
        <f>"FCER1G"</f>
        <v>FCER1G</v>
      </c>
      <c r="B6281" t="s">
        <v>14</v>
      </c>
      <c r="C6281" t="s">
        <v>19</v>
      </c>
      <c r="D6281" t="s">
        <v>17</v>
      </c>
      <c r="E6281" t="s">
        <v>12</v>
      </c>
      <c r="F6281">
        <v>161185032</v>
      </c>
      <c r="G6281">
        <v>161185095</v>
      </c>
      <c r="H6281">
        <v>161185032</v>
      </c>
      <c r="I6281">
        <v>161185095</v>
      </c>
    </row>
    <row r="6282" spans="1:9" x14ac:dyDescent="0.2">
      <c r="A6282" s="1" t="str">
        <f>"FCER2"</f>
        <v>FCER2</v>
      </c>
      <c r="B6282" t="s">
        <v>9</v>
      </c>
      <c r="C6282" t="s">
        <v>10</v>
      </c>
      <c r="D6282" t="s">
        <v>11</v>
      </c>
      <c r="E6282" t="s">
        <v>12</v>
      </c>
      <c r="F6282">
        <v>7766991</v>
      </c>
      <c r="G6282">
        <v>7767038</v>
      </c>
      <c r="H6282">
        <v>7766991</v>
      </c>
      <c r="I6282">
        <v>7767038</v>
      </c>
    </row>
    <row r="6283" spans="1:9" x14ac:dyDescent="0.2">
      <c r="A6283" s="1" t="str">
        <f>"FCER2"</f>
        <v>FCER2</v>
      </c>
      <c r="B6283" t="s">
        <v>13</v>
      </c>
      <c r="C6283" t="s">
        <v>10</v>
      </c>
      <c r="D6283" t="s">
        <v>11</v>
      </c>
      <c r="E6283" t="s">
        <v>12</v>
      </c>
      <c r="F6283">
        <v>7764314</v>
      </c>
      <c r="G6283">
        <v>7764346</v>
      </c>
      <c r="H6283">
        <v>7764314</v>
      </c>
      <c r="I6283">
        <v>7764346</v>
      </c>
    </row>
    <row r="6284" spans="1:9" x14ac:dyDescent="0.2">
      <c r="A6284" s="1" t="str">
        <f>"FCF1"</f>
        <v>FCF1</v>
      </c>
      <c r="B6284" t="s">
        <v>14</v>
      </c>
      <c r="C6284" t="s">
        <v>41</v>
      </c>
      <c r="D6284" t="s">
        <v>17</v>
      </c>
      <c r="E6284" t="s">
        <v>12</v>
      </c>
      <c r="F6284">
        <v>75179840</v>
      </c>
      <c r="G6284">
        <v>75179906</v>
      </c>
      <c r="H6284">
        <v>75179840</v>
      </c>
      <c r="I6284">
        <v>75179906</v>
      </c>
    </row>
    <row r="6285" spans="1:9" x14ac:dyDescent="0.2">
      <c r="A6285" s="1" t="str">
        <f>"FCGBP"</f>
        <v>FCGBP</v>
      </c>
      <c r="B6285" t="s">
        <v>14</v>
      </c>
      <c r="C6285" t="s">
        <v>10</v>
      </c>
      <c r="D6285" t="s">
        <v>11</v>
      </c>
      <c r="E6285" t="s">
        <v>12</v>
      </c>
      <c r="F6285">
        <v>40440535</v>
      </c>
      <c r="G6285">
        <v>40440541</v>
      </c>
      <c r="H6285">
        <v>40440535</v>
      </c>
      <c r="I6285">
        <v>40440541</v>
      </c>
    </row>
    <row r="6286" spans="1:9" x14ac:dyDescent="0.2">
      <c r="A6286" s="1" t="str">
        <f>"FCGR1A"</f>
        <v>FCGR1A</v>
      </c>
      <c r="B6286" t="s">
        <v>14</v>
      </c>
      <c r="C6286" t="s">
        <v>19</v>
      </c>
      <c r="D6286" t="s">
        <v>17</v>
      </c>
      <c r="E6286" t="s">
        <v>12</v>
      </c>
      <c r="F6286">
        <v>149755656</v>
      </c>
      <c r="G6286">
        <v>149755657</v>
      </c>
      <c r="H6286">
        <v>149755656</v>
      </c>
      <c r="I6286">
        <v>149755657</v>
      </c>
    </row>
    <row r="6287" spans="1:9" x14ac:dyDescent="0.2">
      <c r="A6287" s="1" t="str">
        <f>"FCGR1B"</f>
        <v>FCGR1B</v>
      </c>
      <c r="B6287" t="s">
        <v>14</v>
      </c>
      <c r="C6287" t="s">
        <v>19</v>
      </c>
      <c r="D6287" t="s">
        <v>11</v>
      </c>
      <c r="E6287" t="s">
        <v>12</v>
      </c>
      <c r="F6287">
        <v>120935916</v>
      </c>
      <c r="G6287">
        <v>120935950</v>
      </c>
      <c r="H6287">
        <v>120935916</v>
      </c>
      <c r="I6287">
        <v>120935950</v>
      </c>
    </row>
    <row r="6288" spans="1:9" x14ac:dyDescent="0.2">
      <c r="A6288" s="1" t="str">
        <f>"FCGR2A"</f>
        <v>FCGR2A</v>
      </c>
      <c r="B6288" t="s">
        <v>14</v>
      </c>
      <c r="C6288" t="s">
        <v>19</v>
      </c>
      <c r="D6288" t="s">
        <v>17</v>
      </c>
      <c r="E6288" t="s">
        <v>12</v>
      </c>
      <c r="F6288">
        <v>161475240</v>
      </c>
      <c r="G6288">
        <v>161475262</v>
      </c>
      <c r="H6288">
        <v>161475208</v>
      </c>
      <c r="I6288">
        <v>161475226</v>
      </c>
    </row>
    <row r="6289" spans="1:9" x14ac:dyDescent="0.2">
      <c r="A6289" s="1" t="str">
        <f>"FCGR2B"</f>
        <v>FCGR2B</v>
      </c>
      <c r="B6289" t="s">
        <v>451</v>
      </c>
      <c r="C6289" t="s">
        <v>19</v>
      </c>
      <c r="D6289" t="s">
        <v>17</v>
      </c>
      <c r="E6289" t="s">
        <v>20</v>
      </c>
      <c r="F6289">
        <v>161632936</v>
      </c>
      <c r="G6289">
        <v>161632936</v>
      </c>
      <c r="H6289">
        <v>161632936</v>
      </c>
      <c r="I6289">
        <v>161632936</v>
      </c>
    </row>
    <row r="6290" spans="1:9" x14ac:dyDescent="0.2">
      <c r="A6290" s="1" t="str">
        <f>"FCGR2B"</f>
        <v>FCGR2B</v>
      </c>
      <c r="B6290" t="s">
        <v>452</v>
      </c>
      <c r="C6290" t="s">
        <v>19</v>
      </c>
      <c r="D6290" t="s">
        <v>17</v>
      </c>
      <c r="E6290" t="s">
        <v>20</v>
      </c>
      <c r="F6290">
        <v>161551100</v>
      </c>
      <c r="G6290">
        <v>161551100</v>
      </c>
      <c r="H6290">
        <v>161551100</v>
      </c>
      <c r="I6290">
        <v>161551100</v>
      </c>
    </row>
    <row r="6291" spans="1:9" x14ac:dyDescent="0.2">
      <c r="A6291" s="1" t="str">
        <f>"FCGR2C"</f>
        <v>FCGR2C</v>
      </c>
      <c r="B6291" t="s">
        <v>453</v>
      </c>
      <c r="C6291" t="s">
        <v>19</v>
      </c>
      <c r="D6291" t="s">
        <v>17</v>
      </c>
      <c r="E6291" t="s">
        <v>20</v>
      </c>
      <c r="F6291">
        <v>161565342</v>
      </c>
      <c r="G6291">
        <v>161565342</v>
      </c>
      <c r="H6291">
        <v>161565342</v>
      </c>
      <c r="I6291">
        <v>161565342</v>
      </c>
    </row>
    <row r="6292" spans="1:9" x14ac:dyDescent="0.2">
      <c r="A6292" s="1" t="str">
        <f>"FCGR3A"</f>
        <v>FCGR3A</v>
      </c>
      <c r="B6292" t="s">
        <v>14</v>
      </c>
      <c r="C6292" t="s">
        <v>19</v>
      </c>
      <c r="D6292" t="s">
        <v>11</v>
      </c>
      <c r="E6292" t="s">
        <v>12</v>
      </c>
      <c r="F6292">
        <v>161519583</v>
      </c>
      <c r="G6292">
        <v>161519620</v>
      </c>
      <c r="H6292">
        <v>161519583</v>
      </c>
      <c r="I6292">
        <v>161519620</v>
      </c>
    </row>
    <row r="6293" spans="1:9" x14ac:dyDescent="0.2">
      <c r="A6293" s="1" t="str">
        <f>"FCGR3B"</f>
        <v>FCGR3B</v>
      </c>
      <c r="B6293" t="s">
        <v>14</v>
      </c>
      <c r="C6293" t="s">
        <v>19</v>
      </c>
      <c r="D6293" t="s">
        <v>11</v>
      </c>
      <c r="E6293" t="s">
        <v>12</v>
      </c>
      <c r="F6293">
        <v>161600942</v>
      </c>
      <c r="G6293">
        <v>161600975</v>
      </c>
      <c r="H6293">
        <v>161600990</v>
      </c>
      <c r="I6293">
        <v>161601003</v>
      </c>
    </row>
    <row r="6294" spans="1:9" x14ac:dyDescent="0.2">
      <c r="A6294" s="1" t="str">
        <f>"FCGRT"</f>
        <v>FCGRT</v>
      </c>
      <c r="B6294" t="s">
        <v>14</v>
      </c>
      <c r="C6294" t="s">
        <v>10</v>
      </c>
      <c r="D6294" t="s">
        <v>17</v>
      </c>
      <c r="E6294" t="s">
        <v>12</v>
      </c>
      <c r="F6294">
        <v>50016446</v>
      </c>
      <c r="G6294">
        <v>50016531</v>
      </c>
      <c r="H6294">
        <v>50015870</v>
      </c>
      <c r="I6294">
        <v>50015934</v>
      </c>
    </row>
    <row r="6295" spans="1:9" x14ac:dyDescent="0.2">
      <c r="A6295" s="1" t="str">
        <f>"FCHO1"</f>
        <v>FCHO1</v>
      </c>
      <c r="B6295" t="s">
        <v>14</v>
      </c>
      <c r="C6295" t="s">
        <v>10</v>
      </c>
      <c r="D6295" t="s">
        <v>17</v>
      </c>
      <c r="E6295" t="s">
        <v>12</v>
      </c>
      <c r="F6295">
        <v>17858547</v>
      </c>
      <c r="G6295">
        <v>17858582</v>
      </c>
      <c r="H6295">
        <v>17858547</v>
      </c>
      <c r="I6295">
        <v>17858582</v>
      </c>
    </row>
    <row r="6296" spans="1:9" x14ac:dyDescent="0.2">
      <c r="A6296" s="1" t="str">
        <f>"FCHO2"</f>
        <v>FCHO2</v>
      </c>
      <c r="B6296" t="s">
        <v>14</v>
      </c>
      <c r="C6296" t="s">
        <v>46</v>
      </c>
      <c r="D6296" t="s">
        <v>17</v>
      </c>
      <c r="E6296" t="s">
        <v>12</v>
      </c>
      <c r="F6296">
        <v>72251857</v>
      </c>
      <c r="G6296">
        <v>72251908</v>
      </c>
      <c r="H6296">
        <v>72251793</v>
      </c>
      <c r="I6296">
        <v>72251825</v>
      </c>
    </row>
    <row r="6297" spans="1:9" x14ac:dyDescent="0.2">
      <c r="A6297" s="1" t="str">
        <f>"FCHSD1"</f>
        <v>FCHSD1</v>
      </c>
      <c r="B6297" t="s">
        <v>14</v>
      </c>
      <c r="C6297" t="s">
        <v>46</v>
      </c>
      <c r="D6297" t="s">
        <v>11</v>
      </c>
      <c r="E6297" t="s">
        <v>12</v>
      </c>
      <c r="F6297">
        <v>141030951</v>
      </c>
      <c r="G6297">
        <v>141030992</v>
      </c>
      <c r="H6297">
        <v>141030936</v>
      </c>
      <c r="I6297">
        <v>141030941</v>
      </c>
    </row>
    <row r="6298" spans="1:9" x14ac:dyDescent="0.2">
      <c r="A6298" s="1" t="str">
        <f>"FCHSD2"</f>
        <v>FCHSD2</v>
      </c>
      <c r="B6298" t="s">
        <v>14</v>
      </c>
      <c r="C6298" t="s">
        <v>27</v>
      </c>
      <c r="D6298" t="s">
        <v>11</v>
      </c>
      <c r="E6298" t="s">
        <v>12</v>
      </c>
      <c r="F6298">
        <v>72853267</v>
      </c>
      <c r="G6298">
        <v>72853346</v>
      </c>
      <c r="H6298">
        <v>72853103</v>
      </c>
      <c r="I6298">
        <v>72853151</v>
      </c>
    </row>
    <row r="6299" spans="1:9" x14ac:dyDescent="0.2">
      <c r="A6299" s="1" t="str">
        <f>"FCN1"</f>
        <v>FCN1</v>
      </c>
      <c r="B6299" t="s">
        <v>14</v>
      </c>
      <c r="C6299" t="s">
        <v>24</v>
      </c>
      <c r="D6299" t="s">
        <v>11</v>
      </c>
      <c r="E6299" t="s">
        <v>12</v>
      </c>
      <c r="F6299">
        <v>137809718</v>
      </c>
      <c r="G6299">
        <v>137809778</v>
      </c>
      <c r="H6299">
        <v>137809718</v>
      </c>
      <c r="I6299">
        <v>137809778</v>
      </c>
    </row>
    <row r="6300" spans="1:9" x14ac:dyDescent="0.2">
      <c r="A6300" s="1" t="str">
        <f>"FCN2"</f>
        <v>FCN2</v>
      </c>
      <c r="B6300" t="s">
        <v>14</v>
      </c>
      <c r="C6300" t="s">
        <v>24</v>
      </c>
      <c r="D6300" t="s">
        <v>17</v>
      </c>
      <c r="E6300" t="s">
        <v>12</v>
      </c>
      <c r="F6300">
        <v>137772652</v>
      </c>
      <c r="G6300">
        <v>137772663</v>
      </c>
      <c r="H6300">
        <v>137772652</v>
      </c>
      <c r="I6300">
        <v>137772663</v>
      </c>
    </row>
    <row r="6301" spans="1:9" x14ac:dyDescent="0.2">
      <c r="A6301" s="1" t="str">
        <f>"FCN3"</f>
        <v>FCN3</v>
      </c>
      <c r="B6301" t="s">
        <v>14</v>
      </c>
      <c r="C6301" t="s">
        <v>19</v>
      </c>
      <c r="D6301" t="s">
        <v>11</v>
      </c>
      <c r="E6301" t="s">
        <v>12</v>
      </c>
      <c r="F6301">
        <v>27701307</v>
      </c>
      <c r="G6301">
        <v>27701322</v>
      </c>
      <c r="H6301">
        <v>27701307</v>
      </c>
      <c r="I6301">
        <v>27701322</v>
      </c>
    </row>
    <row r="6302" spans="1:9" x14ac:dyDescent="0.2">
      <c r="A6302" s="1" t="str">
        <f>"FCRL1"</f>
        <v>FCRL1</v>
      </c>
      <c r="B6302" t="s">
        <v>14</v>
      </c>
      <c r="C6302" t="s">
        <v>19</v>
      </c>
      <c r="D6302" t="s">
        <v>11</v>
      </c>
      <c r="E6302" t="s">
        <v>12</v>
      </c>
      <c r="F6302">
        <v>157789861</v>
      </c>
      <c r="G6302">
        <v>157789887</v>
      </c>
      <c r="H6302">
        <v>157789903</v>
      </c>
      <c r="I6302">
        <v>157789919</v>
      </c>
    </row>
    <row r="6303" spans="1:9" x14ac:dyDescent="0.2">
      <c r="A6303" s="1" t="str">
        <f>"FCRL2"</f>
        <v>FCRL2</v>
      </c>
      <c r="B6303" t="s">
        <v>14</v>
      </c>
      <c r="C6303" t="s">
        <v>19</v>
      </c>
      <c r="D6303" t="s">
        <v>11</v>
      </c>
      <c r="E6303" t="s">
        <v>12</v>
      </c>
      <c r="F6303">
        <v>157746914</v>
      </c>
      <c r="G6303">
        <v>157746929</v>
      </c>
      <c r="H6303">
        <v>157747039</v>
      </c>
      <c r="I6303">
        <v>157747045</v>
      </c>
    </row>
    <row r="6304" spans="1:9" x14ac:dyDescent="0.2">
      <c r="A6304" s="1" t="str">
        <f>"FCRL3"</f>
        <v>FCRL3</v>
      </c>
      <c r="B6304" t="s">
        <v>14</v>
      </c>
      <c r="C6304" t="s">
        <v>19</v>
      </c>
      <c r="D6304" t="s">
        <v>11</v>
      </c>
      <c r="E6304" t="s">
        <v>12</v>
      </c>
      <c r="F6304">
        <v>157670537</v>
      </c>
      <c r="G6304">
        <v>157670568</v>
      </c>
      <c r="H6304">
        <v>157670686</v>
      </c>
      <c r="I6304">
        <v>157670730</v>
      </c>
    </row>
    <row r="6305" spans="1:9" x14ac:dyDescent="0.2">
      <c r="A6305" s="1" t="str">
        <f>"FCRL4"</f>
        <v>FCRL4</v>
      </c>
      <c r="B6305" t="s">
        <v>14</v>
      </c>
      <c r="C6305" t="s">
        <v>19</v>
      </c>
      <c r="D6305" t="s">
        <v>11</v>
      </c>
      <c r="E6305" t="s">
        <v>12</v>
      </c>
      <c r="F6305">
        <v>157567868</v>
      </c>
      <c r="G6305">
        <v>157567880</v>
      </c>
      <c r="H6305">
        <v>157567826</v>
      </c>
      <c r="I6305">
        <v>157567835</v>
      </c>
    </row>
    <row r="6306" spans="1:9" x14ac:dyDescent="0.2">
      <c r="A6306" s="1" t="str">
        <f>"FCRL5"</f>
        <v>FCRL5</v>
      </c>
      <c r="B6306" t="s">
        <v>14</v>
      </c>
      <c r="C6306" t="s">
        <v>19</v>
      </c>
      <c r="D6306" t="s">
        <v>11</v>
      </c>
      <c r="E6306" t="s">
        <v>12</v>
      </c>
      <c r="F6306">
        <v>157522260</v>
      </c>
      <c r="G6306">
        <v>157522315</v>
      </c>
      <c r="H6306">
        <v>157522241</v>
      </c>
      <c r="I6306">
        <v>157522244</v>
      </c>
    </row>
    <row r="6307" spans="1:9" x14ac:dyDescent="0.2">
      <c r="A6307" s="1" t="str">
        <f>"FCRL6"</f>
        <v>FCRL6</v>
      </c>
      <c r="B6307" t="s">
        <v>9</v>
      </c>
      <c r="C6307" t="s">
        <v>19</v>
      </c>
      <c r="D6307" t="s">
        <v>17</v>
      </c>
      <c r="E6307" t="s">
        <v>12</v>
      </c>
      <c r="F6307">
        <v>159770292</v>
      </c>
      <c r="G6307">
        <v>159770315</v>
      </c>
      <c r="H6307">
        <v>159770292</v>
      </c>
      <c r="I6307">
        <v>159770315</v>
      </c>
    </row>
    <row r="6308" spans="1:9" x14ac:dyDescent="0.2">
      <c r="A6308" s="1" t="str">
        <f>"FCRL6"</f>
        <v>FCRL6</v>
      </c>
      <c r="B6308" t="s">
        <v>13</v>
      </c>
      <c r="C6308" t="s">
        <v>19</v>
      </c>
      <c r="D6308" t="s">
        <v>17</v>
      </c>
      <c r="E6308" t="s">
        <v>12</v>
      </c>
      <c r="F6308">
        <v>159772121</v>
      </c>
      <c r="G6308">
        <v>159772159</v>
      </c>
      <c r="H6308">
        <v>159772121</v>
      </c>
      <c r="I6308">
        <v>159772159</v>
      </c>
    </row>
    <row r="6309" spans="1:9" x14ac:dyDescent="0.2">
      <c r="A6309" s="1" t="str">
        <f>"FCRLA"</f>
        <v>FCRLA</v>
      </c>
      <c r="B6309" t="s">
        <v>14</v>
      </c>
      <c r="C6309" t="s">
        <v>19</v>
      </c>
      <c r="D6309" t="s">
        <v>17</v>
      </c>
      <c r="E6309" t="s">
        <v>12</v>
      </c>
      <c r="F6309">
        <v>161677012</v>
      </c>
      <c r="G6309">
        <v>161677027</v>
      </c>
      <c r="H6309">
        <v>161677036</v>
      </c>
      <c r="I6309">
        <v>161677047</v>
      </c>
    </row>
    <row r="6310" spans="1:9" x14ac:dyDescent="0.2">
      <c r="A6310" s="1" t="str">
        <f>"FCRLB"</f>
        <v>FCRLB</v>
      </c>
      <c r="B6310" t="s">
        <v>9</v>
      </c>
      <c r="C6310" t="s">
        <v>19</v>
      </c>
      <c r="D6310" t="s">
        <v>17</v>
      </c>
      <c r="E6310" t="s">
        <v>12</v>
      </c>
      <c r="F6310">
        <v>161695651</v>
      </c>
      <c r="G6310">
        <v>161695671</v>
      </c>
      <c r="H6310">
        <v>161695651</v>
      </c>
      <c r="I6310">
        <v>161695671</v>
      </c>
    </row>
    <row r="6311" spans="1:9" x14ac:dyDescent="0.2">
      <c r="A6311" s="1" t="str">
        <f>"FCRLB"</f>
        <v>FCRLB</v>
      </c>
      <c r="B6311" t="s">
        <v>13</v>
      </c>
      <c r="C6311" t="s">
        <v>19</v>
      </c>
      <c r="D6311" t="s">
        <v>17</v>
      </c>
      <c r="E6311" t="s">
        <v>12</v>
      </c>
      <c r="F6311">
        <v>161692032</v>
      </c>
      <c r="G6311">
        <v>161692048</v>
      </c>
      <c r="H6311">
        <v>161692032</v>
      </c>
      <c r="I6311">
        <v>161692048</v>
      </c>
    </row>
    <row r="6312" spans="1:9" x14ac:dyDescent="0.2">
      <c r="A6312" s="1" t="str">
        <f>"FDCSP"</f>
        <v>FDCSP</v>
      </c>
      <c r="B6312" t="s">
        <v>14</v>
      </c>
      <c r="C6312" t="s">
        <v>23</v>
      </c>
      <c r="D6312" t="s">
        <v>17</v>
      </c>
      <c r="E6312" t="s">
        <v>12</v>
      </c>
      <c r="F6312">
        <v>71091833</v>
      </c>
      <c r="G6312">
        <v>71091851</v>
      </c>
      <c r="H6312">
        <v>71091833</v>
      </c>
      <c r="I6312">
        <v>71091851</v>
      </c>
    </row>
    <row r="6313" spans="1:9" x14ac:dyDescent="0.2">
      <c r="A6313" s="1" t="str">
        <f>"FDFT1"</f>
        <v>FDFT1</v>
      </c>
      <c r="B6313" t="s">
        <v>9</v>
      </c>
      <c r="C6313" t="s">
        <v>30</v>
      </c>
      <c r="D6313" t="s">
        <v>17</v>
      </c>
      <c r="E6313" t="s">
        <v>12</v>
      </c>
      <c r="F6313">
        <v>11660227</v>
      </c>
      <c r="G6313">
        <v>11660306</v>
      </c>
      <c r="H6313">
        <v>11660227</v>
      </c>
      <c r="I6313">
        <v>11660306</v>
      </c>
    </row>
    <row r="6314" spans="1:9" x14ac:dyDescent="0.2">
      <c r="A6314" s="1" t="str">
        <f>"FDFT1"</f>
        <v>FDFT1</v>
      </c>
      <c r="B6314" t="s">
        <v>13</v>
      </c>
      <c r="C6314" t="s">
        <v>30</v>
      </c>
      <c r="D6314" t="s">
        <v>17</v>
      </c>
      <c r="E6314" t="s">
        <v>12</v>
      </c>
      <c r="F6314">
        <v>11665952</v>
      </c>
      <c r="G6314">
        <v>11665983</v>
      </c>
      <c r="H6314">
        <v>11665952</v>
      </c>
      <c r="I6314">
        <v>11665983</v>
      </c>
    </row>
    <row r="6315" spans="1:9" x14ac:dyDescent="0.2">
      <c r="A6315" s="1" t="str">
        <f>"FDPS"</f>
        <v>FDPS</v>
      </c>
      <c r="B6315" t="s">
        <v>14</v>
      </c>
      <c r="C6315" t="s">
        <v>19</v>
      </c>
      <c r="D6315" t="s">
        <v>17</v>
      </c>
      <c r="E6315" t="s">
        <v>12</v>
      </c>
      <c r="F6315">
        <v>155278625</v>
      </c>
      <c r="G6315">
        <v>155278745</v>
      </c>
      <c r="H6315">
        <v>155278605</v>
      </c>
      <c r="I6315">
        <v>155278621</v>
      </c>
    </row>
    <row r="6316" spans="1:9" x14ac:dyDescent="0.2">
      <c r="A6316" s="1" t="str">
        <f>"FDX1"</f>
        <v>FDX1</v>
      </c>
      <c r="B6316" t="s">
        <v>14</v>
      </c>
      <c r="C6316" t="s">
        <v>27</v>
      </c>
      <c r="D6316" t="s">
        <v>17</v>
      </c>
      <c r="E6316" t="s">
        <v>12</v>
      </c>
      <c r="F6316">
        <v>110300622</v>
      </c>
      <c r="G6316">
        <v>110300692</v>
      </c>
      <c r="H6316">
        <v>110300868</v>
      </c>
      <c r="I6316">
        <v>110300900</v>
      </c>
    </row>
    <row r="6317" spans="1:9" x14ac:dyDescent="0.2">
      <c r="A6317" s="1" t="str">
        <f>"FDX1L"</f>
        <v>FDX1L</v>
      </c>
      <c r="B6317" t="s">
        <v>14</v>
      </c>
      <c r="C6317" t="s">
        <v>10</v>
      </c>
      <c r="D6317" t="s">
        <v>11</v>
      </c>
      <c r="E6317" t="s">
        <v>12</v>
      </c>
      <c r="F6317">
        <v>10426663</v>
      </c>
      <c r="G6317">
        <v>10426704</v>
      </c>
      <c r="H6317">
        <v>10426413</v>
      </c>
      <c r="I6317">
        <v>10426456</v>
      </c>
    </row>
    <row r="6318" spans="1:9" x14ac:dyDescent="0.2">
      <c r="A6318" s="1" t="str">
        <f>"FDXACB1"</f>
        <v>FDXACB1</v>
      </c>
      <c r="B6318" t="s">
        <v>14</v>
      </c>
      <c r="C6318" t="s">
        <v>27</v>
      </c>
      <c r="D6318" t="s">
        <v>11</v>
      </c>
      <c r="E6318" t="s">
        <v>12</v>
      </c>
      <c r="F6318">
        <v>111749878</v>
      </c>
      <c r="G6318">
        <v>111749908</v>
      </c>
      <c r="H6318">
        <v>111749787</v>
      </c>
      <c r="I6318">
        <v>111749824</v>
      </c>
    </row>
    <row r="6319" spans="1:9" x14ac:dyDescent="0.2">
      <c r="A6319" s="1" t="str">
        <f>"FDXR"</f>
        <v>FDXR</v>
      </c>
      <c r="B6319" t="s">
        <v>14</v>
      </c>
      <c r="C6319" t="s">
        <v>28</v>
      </c>
      <c r="D6319" t="s">
        <v>11</v>
      </c>
      <c r="E6319" t="s">
        <v>12</v>
      </c>
      <c r="F6319">
        <v>72869087</v>
      </c>
      <c r="G6319">
        <v>72869135</v>
      </c>
      <c r="H6319">
        <v>72869140</v>
      </c>
      <c r="I6319">
        <v>72869145</v>
      </c>
    </row>
    <row r="6320" spans="1:9" x14ac:dyDescent="0.2">
      <c r="A6320" s="1" t="str">
        <f>"FECH"</f>
        <v>FECH</v>
      </c>
      <c r="B6320" t="s">
        <v>14</v>
      </c>
      <c r="C6320" t="s">
        <v>43</v>
      </c>
      <c r="D6320" t="s">
        <v>11</v>
      </c>
      <c r="E6320" t="s">
        <v>12</v>
      </c>
      <c r="F6320">
        <v>55253900</v>
      </c>
      <c r="G6320">
        <v>55253951</v>
      </c>
      <c r="H6320">
        <v>55253830</v>
      </c>
      <c r="I6320">
        <v>55253862</v>
      </c>
    </row>
    <row r="6321" spans="1:9" x14ac:dyDescent="0.2">
      <c r="A6321" s="1" t="str">
        <f>"FEM1A"</f>
        <v>FEM1A</v>
      </c>
      <c r="B6321" t="s">
        <v>14</v>
      </c>
      <c r="C6321" t="s">
        <v>10</v>
      </c>
      <c r="D6321" t="s">
        <v>17</v>
      </c>
      <c r="E6321" t="s">
        <v>12</v>
      </c>
      <c r="F6321">
        <v>4791722</v>
      </c>
      <c r="G6321">
        <v>4791764</v>
      </c>
      <c r="H6321">
        <v>4791777</v>
      </c>
      <c r="I6321">
        <v>4791782</v>
      </c>
    </row>
    <row r="6322" spans="1:9" x14ac:dyDescent="0.2">
      <c r="A6322" s="1" t="str">
        <f>"FEM1B"</f>
        <v>FEM1B</v>
      </c>
      <c r="B6322" t="s">
        <v>14</v>
      </c>
      <c r="C6322" t="s">
        <v>25</v>
      </c>
      <c r="D6322" t="s">
        <v>17</v>
      </c>
      <c r="E6322" t="s">
        <v>12</v>
      </c>
      <c r="F6322">
        <v>68570062</v>
      </c>
      <c r="G6322">
        <v>68570147</v>
      </c>
      <c r="H6322">
        <v>68570361</v>
      </c>
      <c r="I6322">
        <v>68570475</v>
      </c>
    </row>
    <row r="6323" spans="1:9" x14ac:dyDescent="0.2">
      <c r="A6323" s="1" t="str">
        <f>"FEM1C"</f>
        <v>FEM1C</v>
      </c>
      <c r="B6323" t="s">
        <v>14</v>
      </c>
      <c r="C6323" t="s">
        <v>46</v>
      </c>
      <c r="D6323" t="s">
        <v>11</v>
      </c>
      <c r="E6323" t="s">
        <v>12</v>
      </c>
      <c r="F6323">
        <v>114880431</v>
      </c>
      <c r="G6323">
        <v>114880487</v>
      </c>
      <c r="H6323">
        <v>114880355</v>
      </c>
      <c r="I6323">
        <v>114880393</v>
      </c>
    </row>
    <row r="6324" spans="1:9" x14ac:dyDescent="0.2">
      <c r="A6324" s="1" t="str">
        <f>"FEN1"</f>
        <v>FEN1</v>
      </c>
      <c r="B6324" t="s">
        <v>14</v>
      </c>
      <c r="C6324" t="s">
        <v>27</v>
      </c>
      <c r="D6324" t="s">
        <v>17</v>
      </c>
      <c r="E6324" t="s">
        <v>12</v>
      </c>
      <c r="F6324">
        <v>61560348</v>
      </c>
      <c r="G6324">
        <v>61560419</v>
      </c>
      <c r="H6324">
        <v>61560142</v>
      </c>
      <c r="I6324">
        <v>61560168</v>
      </c>
    </row>
    <row r="6325" spans="1:9" x14ac:dyDescent="0.2">
      <c r="A6325" s="1" t="str">
        <f>"FER"</f>
        <v>FER</v>
      </c>
      <c r="B6325" t="s">
        <v>9</v>
      </c>
      <c r="C6325" t="s">
        <v>46</v>
      </c>
      <c r="D6325" t="s">
        <v>17</v>
      </c>
      <c r="E6325" t="s">
        <v>12</v>
      </c>
      <c r="F6325">
        <v>108084633</v>
      </c>
      <c r="G6325">
        <v>108084678</v>
      </c>
      <c r="H6325">
        <v>108084633</v>
      </c>
      <c r="I6325">
        <v>108084678</v>
      </c>
    </row>
    <row r="6326" spans="1:9" x14ac:dyDescent="0.2">
      <c r="A6326" s="1" t="str">
        <f>"FER"</f>
        <v>FER</v>
      </c>
      <c r="B6326" t="s">
        <v>13</v>
      </c>
      <c r="C6326" t="s">
        <v>46</v>
      </c>
      <c r="D6326" t="s">
        <v>17</v>
      </c>
      <c r="E6326" t="s">
        <v>12</v>
      </c>
      <c r="F6326">
        <v>108083581</v>
      </c>
      <c r="G6326">
        <v>108083637</v>
      </c>
      <c r="H6326">
        <v>108083581</v>
      </c>
      <c r="I6326">
        <v>108083637</v>
      </c>
    </row>
    <row r="6327" spans="1:9" x14ac:dyDescent="0.2">
      <c r="A6327" s="1" t="str">
        <f>"FER1L6"</f>
        <v>FER1L6</v>
      </c>
      <c r="B6327" t="s">
        <v>454</v>
      </c>
      <c r="C6327" t="s">
        <v>30</v>
      </c>
      <c r="D6327" t="s">
        <v>17</v>
      </c>
      <c r="E6327" t="s">
        <v>20</v>
      </c>
      <c r="F6327">
        <v>124968224</v>
      </c>
      <c r="G6327">
        <v>124968224</v>
      </c>
      <c r="H6327">
        <v>124968224</v>
      </c>
      <c r="I6327">
        <v>124968224</v>
      </c>
    </row>
    <row r="6328" spans="1:9" x14ac:dyDescent="0.2">
      <c r="A6328" s="1" t="str">
        <f>"FER1L6"</f>
        <v>FER1L6</v>
      </c>
      <c r="B6328" t="s">
        <v>455</v>
      </c>
      <c r="C6328" t="s">
        <v>30</v>
      </c>
      <c r="D6328" t="s">
        <v>17</v>
      </c>
      <c r="E6328" t="s">
        <v>20</v>
      </c>
      <c r="F6328">
        <v>124864226</v>
      </c>
      <c r="G6328">
        <v>124864226</v>
      </c>
      <c r="H6328">
        <v>124864226</v>
      </c>
      <c r="I6328">
        <v>124864226</v>
      </c>
    </row>
    <row r="6329" spans="1:9" x14ac:dyDescent="0.2">
      <c r="A6329" s="1" t="str">
        <f>"FERD3L"</f>
        <v>FERD3L</v>
      </c>
      <c r="B6329" t="s">
        <v>14</v>
      </c>
      <c r="C6329" t="s">
        <v>33</v>
      </c>
      <c r="D6329" t="s">
        <v>11</v>
      </c>
      <c r="E6329" t="s">
        <v>12</v>
      </c>
      <c r="F6329">
        <v>19185475</v>
      </c>
      <c r="G6329">
        <v>19185487</v>
      </c>
      <c r="H6329">
        <v>19185475</v>
      </c>
      <c r="I6329">
        <v>19185487</v>
      </c>
    </row>
    <row r="6330" spans="1:9" x14ac:dyDescent="0.2">
      <c r="A6330" s="1" t="str">
        <f>"FERMT1"</f>
        <v>FERMT1</v>
      </c>
      <c r="B6330" t="s">
        <v>14</v>
      </c>
      <c r="C6330" t="s">
        <v>29</v>
      </c>
      <c r="D6330" t="s">
        <v>11</v>
      </c>
      <c r="E6330" t="s">
        <v>12</v>
      </c>
      <c r="F6330">
        <v>6103666</v>
      </c>
      <c r="G6330">
        <v>6103737</v>
      </c>
      <c r="H6330">
        <v>6103666</v>
      </c>
      <c r="I6330">
        <v>6103737</v>
      </c>
    </row>
    <row r="6331" spans="1:9" x14ac:dyDescent="0.2">
      <c r="A6331" s="1" t="str">
        <f>"FERMT2"</f>
        <v>FERMT2</v>
      </c>
      <c r="B6331" t="s">
        <v>14</v>
      </c>
      <c r="C6331" t="s">
        <v>41</v>
      </c>
      <c r="D6331" t="s">
        <v>11</v>
      </c>
      <c r="E6331" t="s">
        <v>12</v>
      </c>
      <c r="F6331">
        <v>53417732</v>
      </c>
      <c r="G6331">
        <v>53417811</v>
      </c>
      <c r="H6331">
        <v>53417875</v>
      </c>
      <c r="I6331">
        <v>53417911</v>
      </c>
    </row>
    <row r="6332" spans="1:9" x14ac:dyDescent="0.2">
      <c r="A6332" s="1" t="str">
        <f>"FERMT3"</f>
        <v>FERMT3</v>
      </c>
      <c r="B6332" t="s">
        <v>9</v>
      </c>
      <c r="C6332" t="s">
        <v>27</v>
      </c>
      <c r="D6332" t="s">
        <v>17</v>
      </c>
      <c r="E6332" t="s">
        <v>12</v>
      </c>
      <c r="F6332">
        <v>63974135</v>
      </c>
      <c r="G6332">
        <v>63974214</v>
      </c>
      <c r="H6332">
        <v>63974135</v>
      </c>
      <c r="I6332">
        <v>63974214</v>
      </c>
    </row>
    <row r="6333" spans="1:9" x14ac:dyDescent="0.2">
      <c r="A6333" s="1" t="str">
        <f>"FERMT3"</f>
        <v>FERMT3</v>
      </c>
      <c r="B6333" t="s">
        <v>13</v>
      </c>
      <c r="C6333" t="s">
        <v>27</v>
      </c>
      <c r="D6333" t="s">
        <v>17</v>
      </c>
      <c r="E6333" t="s">
        <v>12</v>
      </c>
      <c r="F6333">
        <v>63975209</v>
      </c>
      <c r="G6333">
        <v>63975247</v>
      </c>
      <c r="H6333">
        <v>63975209</v>
      </c>
      <c r="I6333">
        <v>63975247</v>
      </c>
    </row>
    <row r="6334" spans="1:9" x14ac:dyDescent="0.2">
      <c r="A6334" s="1" t="str">
        <f>"FES"</f>
        <v>FES</v>
      </c>
      <c r="B6334" t="s">
        <v>14</v>
      </c>
      <c r="C6334" t="s">
        <v>25</v>
      </c>
      <c r="D6334" t="s">
        <v>17</v>
      </c>
      <c r="E6334" t="s">
        <v>12</v>
      </c>
      <c r="F6334">
        <v>91427726</v>
      </c>
      <c r="G6334">
        <v>91427741</v>
      </c>
      <c r="H6334">
        <v>91427691</v>
      </c>
      <c r="I6334">
        <v>91427711</v>
      </c>
    </row>
    <row r="6335" spans="1:9" x14ac:dyDescent="0.2">
      <c r="A6335" s="1" t="str">
        <f>"FETUB"</f>
        <v>FETUB</v>
      </c>
      <c r="B6335" t="s">
        <v>14</v>
      </c>
      <c r="C6335" t="s">
        <v>22</v>
      </c>
      <c r="D6335" t="s">
        <v>17</v>
      </c>
      <c r="E6335" t="s">
        <v>12</v>
      </c>
      <c r="F6335">
        <v>186358151</v>
      </c>
      <c r="G6335">
        <v>186358198</v>
      </c>
      <c r="H6335">
        <v>186358200</v>
      </c>
      <c r="I6335">
        <v>186358211</v>
      </c>
    </row>
    <row r="6336" spans="1:9" x14ac:dyDescent="0.2">
      <c r="A6336" s="1" t="str">
        <f>"FEV"</f>
        <v>FEV</v>
      </c>
      <c r="B6336" t="s">
        <v>14</v>
      </c>
      <c r="C6336" t="s">
        <v>26</v>
      </c>
      <c r="D6336" t="s">
        <v>11</v>
      </c>
      <c r="E6336" t="s">
        <v>12</v>
      </c>
      <c r="F6336">
        <v>219849012</v>
      </c>
      <c r="G6336">
        <v>219849065</v>
      </c>
      <c r="H6336">
        <v>219849897</v>
      </c>
      <c r="I6336">
        <v>219849928</v>
      </c>
    </row>
    <row r="6337" spans="1:9" x14ac:dyDescent="0.2">
      <c r="A6337" s="1" t="str">
        <f>"FEZ1"</f>
        <v>FEZ1</v>
      </c>
      <c r="B6337" t="s">
        <v>14</v>
      </c>
      <c r="C6337" t="s">
        <v>27</v>
      </c>
      <c r="D6337" t="s">
        <v>11</v>
      </c>
      <c r="E6337" t="s">
        <v>12</v>
      </c>
      <c r="F6337">
        <v>125366089</v>
      </c>
      <c r="G6337">
        <v>125366207</v>
      </c>
      <c r="H6337">
        <v>125366089</v>
      </c>
      <c r="I6337">
        <v>125366207</v>
      </c>
    </row>
    <row r="6338" spans="1:9" x14ac:dyDescent="0.2">
      <c r="A6338" s="1" t="str">
        <f>"FEZ2"</f>
        <v>FEZ2</v>
      </c>
      <c r="B6338" t="s">
        <v>14</v>
      </c>
      <c r="C6338" t="s">
        <v>26</v>
      </c>
      <c r="D6338" t="s">
        <v>11</v>
      </c>
      <c r="E6338" t="s">
        <v>12</v>
      </c>
      <c r="F6338">
        <v>36825281</v>
      </c>
      <c r="G6338">
        <v>36825342</v>
      </c>
      <c r="H6338">
        <v>36825248</v>
      </c>
      <c r="I6338">
        <v>36825261</v>
      </c>
    </row>
    <row r="6339" spans="1:9" x14ac:dyDescent="0.2">
      <c r="A6339" s="1" t="str">
        <f>"FEZF1"</f>
        <v>FEZF1</v>
      </c>
      <c r="B6339" t="s">
        <v>14</v>
      </c>
      <c r="C6339" t="s">
        <v>33</v>
      </c>
      <c r="D6339" t="s">
        <v>11</v>
      </c>
      <c r="E6339" t="s">
        <v>12</v>
      </c>
      <c r="F6339">
        <v>121944796</v>
      </c>
      <c r="G6339">
        <v>121944814</v>
      </c>
      <c r="H6339">
        <v>121944689</v>
      </c>
      <c r="I6339">
        <v>121944705</v>
      </c>
    </row>
    <row r="6340" spans="1:9" x14ac:dyDescent="0.2">
      <c r="A6340" s="1" t="str">
        <f>"FEZF2"</f>
        <v>FEZF2</v>
      </c>
      <c r="B6340" t="s">
        <v>14</v>
      </c>
      <c r="C6340" t="s">
        <v>22</v>
      </c>
      <c r="D6340" t="s">
        <v>11</v>
      </c>
      <c r="E6340" t="s">
        <v>12</v>
      </c>
      <c r="F6340">
        <v>62359214</v>
      </c>
      <c r="G6340">
        <v>62359232</v>
      </c>
      <c r="H6340">
        <v>62359015</v>
      </c>
      <c r="I6340">
        <v>62359037</v>
      </c>
    </row>
    <row r="6341" spans="1:9" x14ac:dyDescent="0.2">
      <c r="A6341" s="1" t="str">
        <f>"FFAR1"</f>
        <v>FFAR1</v>
      </c>
      <c r="B6341" t="s">
        <v>456</v>
      </c>
      <c r="C6341" t="s">
        <v>10</v>
      </c>
      <c r="D6341" t="s">
        <v>17</v>
      </c>
      <c r="E6341" t="s">
        <v>20</v>
      </c>
      <c r="F6341">
        <v>35842444</v>
      </c>
      <c r="G6341">
        <v>35842444</v>
      </c>
      <c r="H6341">
        <v>35842444</v>
      </c>
      <c r="I6341">
        <v>35842444</v>
      </c>
    </row>
    <row r="6342" spans="1:9" x14ac:dyDescent="0.2">
      <c r="A6342" s="1" t="str">
        <f>"FFAR2"</f>
        <v>FFAR2</v>
      </c>
      <c r="B6342" t="s">
        <v>14</v>
      </c>
      <c r="C6342" t="s">
        <v>10</v>
      </c>
      <c r="D6342" t="s">
        <v>17</v>
      </c>
      <c r="E6342" t="s">
        <v>12</v>
      </c>
      <c r="F6342">
        <v>35939154</v>
      </c>
      <c r="G6342">
        <v>35939175</v>
      </c>
      <c r="H6342">
        <v>35939154</v>
      </c>
      <c r="I6342">
        <v>35939175</v>
      </c>
    </row>
    <row r="6343" spans="1:9" x14ac:dyDescent="0.2">
      <c r="A6343" s="1" t="str">
        <f>"FFAR3"</f>
        <v>FFAR3</v>
      </c>
      <c r="B6343" t="s">
        <v>14</v>
      </c>
      <c r="C6343" t="s">
        <v>10</v>
      </c>
      <c r="D6343" t="s">
        <v>17</v>
      </c>
      <c r="E6343" t="s">
        <v>12</v>
      </c>
      <c r="F6343">
        <v>35849280</v>
      </c>
      <c r="G6343">
        <v>35849288</v>
      </c>
      <c r="H6343">
        <v>35849280</v>
      </c>
      <c r="I6343">
        <v>35849288</v>
      </c>
    </row>
    <row r="6344" spans="1:9" x14ac:dyDescent="0.2">
      <c r="A6344" s="1" t="str">
        <f>"FFAR4"</f>
        <v>FFAR4</v>
      </c>
      <c r="B6344" t="s">
        <v>14</v>
      </c>
      <c r="C6344" t="s">
        <v>15</v>
      </c>
      <c r="D6344" t="s">
        <v>17</v>
      </c>
      <c r="E6344" t="s">
        <v>12</v>
      </c>
      <c r="F6344">
        <v>95326416</v>
      </c>
      <c r="G6344">
        <v>95326454</v>
      </c>
      <c r="H6344">
        <v>95326405</v>
      </c>
      <c r="I6344">
        <v>95326415</v>
      </c>
    </row>
    <row r="6345" spans="1:9" x14ac:dyDescent="0.2">
      <c r="A6345" s="1" t="str">
        <f>"FGA"</f>
        <v>FGA</v>
      </c>
      <c r="B6345" t="s">
        <v>14</v>
      </c>
      <c r="C6345" t="s">
        <v>23</v>
      </c>
      <c r="D6345" t="s">
        <v>11</v>
      </c>
      <c r="E6345" t="s">
        <v>12</v>
      </c>
      <c r="F6345">
        <v>155511887</v>
      </c>
      <c r="G6345">
        <v>155511903</v>
      </c>
      <c r="H6345">
        <v>155511887</v>
      </c>
      <c r="I6345">
        <v>155511903</v>
      </c>
    </row>
    <row r="6346" spans="1:9" x14ac:dyDescent="0.2">
      <c r="A6346" s="1" t="str">
        <f>"FGB"</f>
        <v>FGB</v>
      </c>
      <c r="B6346" t="s">
        <v>14</v>
      </c>
      <c r="C6346" t="s">
        <v>23</v>
      </c>
      <c r="D6346" t="s">
        <v>17</v>
      </c>
      <c r="E6346" t="s">
        <v>12</v>
      </c>
      <c r="F6346">
        <v>155484155</v>
      </c>
      <c r="G6346">
        <v>155484177</v>
      </c>
      <c r="H6346">
        <v>155484103</v>
      </c>
      <c r="I6346">
        <v>155484147</v>
      </c>
    </row>
    <row r="6347" spans="1:9" x14ac:dyDescent="0.2">
      <c r="A6347" s="1" t="str">
        <f>"FGD1"</f>
        <v>FGD1</v>
      </c>
      <c r="B6347" t="s">
        <v>14</v>
      </c>
      <c r="C6347" t="s">
        <v>37</v>
      </c>
      <c r="D6347" t="s">
        <v>11</v>
      </c>
      <c r="E6347" t="s">
        <v>12</v>
      </c>
      <c r="F6347">
        <v>54522304</v>
      </c>
      <c r="G6347">
        <v>54522400</v>
      </c>
      <c r="H6347">
        <v>54522558</v>
      </c>
      <c r="I6347">
        <v>54522612</v>
      </c>
    </row>
    <row r="6348" spans="1:9" x14ac:dyDescent="0.2">
      <c r="A6348" s="1" t="str">
        <f>"FGD2"</f>
        <v>FGD2</v>
      </c>
      <c r="B6348" t="s">
        <v>14</v>
      </c>
      <c r="C6348" t="s">
        <v>32</v>
      </c>
      <c r="D6348" t="s">
        <v>17</v>
      </c>
      <c r="E6348" t="s">
        <v>12</v>
      </c>
      <c r="F6348">
        <v>36973406</v>
      </c>
      <c r="G6348">
        <v>36973438</v>
      </c>
      <c r="H6348">
        <v>36973462</v>
      </c>
      <c r="I6348">
        <v>36973468</v>
      </c>
    </row>
    <row r="6349" spans="1:9" x14ac:dyDescent="0.2">
      <c r="A6349" s="1" t="str">
        <f>"FGD3"</f>
        <v>FGD3</v>
      </c>
      <c r="B6349" t="s">
        <v>14</v>
      </c>
      <c r="C6349" t="s">
        <v>24</v>
      </c>
      <c r="D6349" t="s">
        <v>17</v>
      </c>
      <c r="E6349" t="s">
        <v>12</v>
      </c>
      <c r="F6349">
        <v>95726554</v>
      </c>
      <c r="G6349">
        <v>95726616</v>
      </c>
      <c r="H6349">
        <v>95726554</v>
      </c>
      <c r="I6349">
        <v>95726616</v>
      </c>
    </row>
    <row r="6350" spans="1:9" x14ac:dyDescent="0.2">
      <c r="A6350" s="1" t="str">
        <f>"FGD4"</f>
        <v>FGD4</v>
      </c>
      <c r="B6350" t="s">
        <v>14</v>
      </c>
      <c r="C6350" t="s">
        <v>16</v>
      </c>
      <c r="D6350" t="s">
        <v>17</v>
      </c>
      <c r="E6350" t="s">
        <v>12</v>
      </c>
      <c r="F6350">
        <v>32638897</v>
      </c>
      <c r="G6350">
        <v>32638919</v>
      </c>
      <c r="H6350">
        <v>32638897</v>
      </c>
      <c r="I6350">
        <v>32638919</v>
      </c>
    </row>
    <row r="6351" spans="1:9" x14ac:dyDescent="0.2">
      <c r="A6351" s="1" t="str">
        <f>"FGD5"</f>
        <v>FGD5</v>
      </c>
      <c r="B6351" t="s">
        <v>14</v>
      </c>
      <c r="C6351" t="s">
        <v>22</v>
      </c>
      <c r="D6351" t="s">
        <v>17</v>
      </c>
      <c r="E6351" t="s">
        <v>12</v>
      </c>
      <c r="F6351">
        <v>14860591</v>
      </c>
      <c r="G6351">
        <v>14860592</v>
      </c>
      <c r="H6351">
        <v>14860591</v>
      </c>
      <c r="I6351">
        <v>14860592</v>
      </c>
    </row>
    <row r="6352" spans="1:9" x14ac:dyDescent="0.2">
      <c r="A6352" s="1" t="str">
        <f>"FGD6"</f>
        <v>FGD6</v>
      </c>
      <c r="B6352" t="s">
        <v>14</v>
      </c>
      <c r="C6352" t="s">
        <v>16</v>
      </c>
      <c r="D6352" t="s">
        <v>11</v>
      </c>
      <c r="E6352" t="s">
        <v>12</v>
      </c>
      <c r="F6352">
        <v>95611149</v>
      </c>
      <c r="G6352">
        <v>95611249</v>
      </c>
      <c r="H6352">
        <v>95611257</v>
      </c>
      <c r="I6352">
        <v>95611365</v>
      </c>
    </row>
    <row r="6353" spans="1:9" x14ac:dyDescent="0.2">
      <c r="A6353" s="1" t="str">
        <f>"FGF1"</f>
        <v>FGF1</v>
      </c>
      <c r="B6353" t="s">
        <v>14</v>
      </c>
      <c r="C6353" t="s">
        <v>46</v>
      </c>
      <c r="D6353" t="s">
        <v>11</v>
      </c>
      <c r="E6353" t="s">
        <v>12</v>
      </c>
      <c r="F6353">
        <v>142065612</v>
      </c>
      <c r="G6353">
        <v>142065638</v>
      </c>
      <c r="H6353">
        <v>142065646</v>
      </c>
      <c r="I6353">
        <v>142065665</v>
      </c>
    </row>
    <row r="6354" spans="1:9" x14ac:dyDescent="0.2">
      <c r="A6354" s="1" t="str">
        <f>"FGF10"</f>
        <v>FGF10</v>
      </c>
      <c r="B6354" t="s">
        <v>14</v>
      </c>
      <c r="C6354" t="s">
        <v>46</v>
      </c>
      <c r="D6354" t="s">
        <v>11</v>
      </c>
      <c r="E6354" t="s">
        <v>12</v>
      </c>
      <c r="F6354">
        <v>44389509</v>
      </c>
      <c r="G6354">
        <v>44389536</v>
      </c>
      <c r="H6354">
        <v>44389796</v>
      </c>
      <c r="I6354">
        <v>44389808</v>
      </c>
    </row>
    <row r="6355" spans="1:9" x14ac:dyDescent="0.2">
      <c r="A6355" s="1" t="str">
        <f>"FGF11"</f>
        <v>FGF11</v>
      </c>
      <c r="B6355" t="s">
        <v>9</v>
      </c>
      <c r="C6355" t="s">
        <v>28</v>
      </c>
      <c r="D6355" t="s">
        <v>17</v>
      </c>
      <c r="E6355" t="s">
        <v>12</v>
      </c>
      <c r="F6355">
        <v>7341586</v>
      </c>
      <c r="G6355">
        <v>7341635</v>
      </c>
      <c r="H6355">
        <v>7341586</v>
      </c>
      <c r="I6355">
        <v>7341635</v>
      </c>
    </row>
    <row r="6356" spans="1:9" x14ac:dyDescent="0.2">
      <c r="A6356" s="1" t="str">
        <f>"FGF11"</f>
        <v>FGF11</v>
      </c>
      <c r="B6356" t="s">
        <v>13</v>
      </c>
      <c r="C6356" t="s">
        <v>28</v>
      </c>
      <c r="D6356" t="s">
        <v>17</v>
      </c>
      <c r="E6356" t="s">
        <v>12</v>
      </c>
      <c r="F6356">
        <v>7344081</v>
      </c>
      <c r="G6356">
        <v>7344105</v>
      </c>
      <c r="H6356">
        <v>7344081</v>
      </c>
      <c r="I6356">
        <v>7344105</v>
      </c>
    </row>
    <row r="6357" spans="1:9" x14ac:dyDescent="0.2">
      <c r="A6357" s="1" t="str">
        <f>"FGF12"</f>
        <v>FGF12</v>
      </c>
      <c r="B6357" t="s">
        <v>457</v>
      </c>
      <c r="C6357" t="s">
        <v>22</v>
      </c>
      <c r="D6357" t="s">
        <v>11</v>
      </c>
      <c r="E6357" t="s">
        <v>35</v>
      </c>
      <c r="F6357">
        <v>192127026</v>
      </c>
      <c r="G6357">
        <v>192127059</v>
      </c>
      <c r="H6357">
        <v>192126720</v>
      </c>
      <c r="I6357">
        <v>192126732</v>
      </c>
    </row>
    <row r="6358" spans="1:9" x14ac:dyDescent="0.2">
      <c r="A6358" s="1" t="str">
        <f>"FGF13"</f>
        <v>FGF13</v>
      </c>
      <c r="B6358" t="s">
        <v>458</v>
      </c>
      <c r="C6358" t="s">
        <v>37</v>
      </c>
      <c r="D6358" t="s">
        <v>11</v>
      </c>
      <c r="E6358" t="s">
        <v>35</v>
      </c>
      <c r="F6358">
        <v>137793826</v>
      </c>
      <c r="G6358">
        <v>137793893</v>
      </c>
      <c r="H6358">
        <v>137793808</v>
      </c>
      <c r="I6358">
        <v>137793823</v>
      </c>
    </row>
    <row r="6359" spans="1:9" x14ac:dyDescent="0.2">
      <c r="A6359" s="1" t="str">
        <f>"FGF14"</f>
        <v>FGF14</v>
      </c>
      <c r="B6359" t="s">
        <v>459</v>
      </c>
      <c r="C6359" t="s">
        <v>39</v>
      </c>
      <c r="D6359" t="s">
        <v>11</v>
      </c>
      <c r="E6359" t="s">
        <v>35</v>
      </c>
      <c r="F6359">
        <v>102569009</v>
      </c>
      <c r="G6359">
        <v>102569015</v>
      </c>
      <c r="H6359">
        <v>102568840</v>
      </c>
      <c r="I6359">
        <v>102568853</v>
      </c>
    </row>
    <row r="6360" spans="1:9" x14ac:dyDescent="0.2">
      <c r="A6360" s="1" t="str">
        <f>"FGF16"</f>
        <v>FGF16</v>
      </c>
      <c r="B6360" t="s">
        <v>460</v>
      </c>
      <c r="C6360" t="s">
        <v>37</v>
      </c>
      <c r="D6360" t="s">
        <v>17</v>
      </c>
      <c r="E6360" t="s">
        <v>20</v>
      </c>
      <c r="F6360">
        <v>76709647</v>
      </c>
      <c r="G6360">
        <v>76709647</v>
      </c>
      <c r="H6360">
        <v>76709647</v>
      </c>
      <c r="I6360">
        <v>76709647</v>
      </c>
    </row>
    <row r="6361" spans="1:9" x14ac:dyDescent="0.2">
      <c r="A6361" s="1" t="str">
        <f>"FGF17"</f>
        <v>FGF17</v>
      </c>
      <c r="B6361" t="s">
        <v>14</v>
      </c>
      <c r="C6361" t="s">
        <v>30</v>
      </c>
      <c r="D6361" t="s">
        <v>17</v>
      </c>
      <c r="E6361" t="s">
        <v>12</v>
      </c>
      <c r="F6361">
        <v>21899898</v>
      </c>
      <c r="G6361">
        <v>21899901</v>
      </c>
      <c r="H6361">
        <v>21899898</v>
      </c>
      <c r="I6361">
        <v>21899901</v>
      </c>
    </row>
    <row r="6362" spans="1:9" x14ac:dyDescent="0.2">
      <c r="A6362" s="1" t="str">
        <f>"FGF18"</f>
        <v>FGF18</v>
      </c>
      <c r="B6362" t="s">
        <v>14</v>
      </c>
      <c r="C6362" t="s">
        <v>46</v>
      </c>
      <c r="D6362" t="s">
        <v>17</v>
      </c>
      <c r="E6362" t="s">
        <v>12</v>
      </c>
      <c r="F6362">
        <v>170846640</v>
      </c>
      <c r="G6362">
        <v>170846660</v>
      </c>
      <c r="H6362">
        <v>170846687</v>
      </c>
      <c r="I6362">
        <v>170846700</v>
      </c>
    </row>
    <row r="6363" spans="1:9" x14ac:dyDescent="0.2">
      <c r="A6363" s="1" t="str">
        <f>"FGF19"</f>
        <v>FGF19</v>
      </c>
      <c r="B6363" t="s">
        <v>14</v>
      </c>
      <c r="C6363" t="s">
        <v>27</v>
      </c>
      <c r="D6363" t="s">
        <v>11</v>
      </c>
      <c r="E6363" t="s">
        <v>12</v>
      </c>
      <c r="F6363">
        <v>69518781</v>
      </c>
      <c r="G6363">
        <v>69518797</v>
      </c>
      <c r="H6363">
        <v>69518856</v>
      </c>
      <c r="I6363">
        <v>69518859</v>
      </c>
    </row>
    <row r="6364" spans="1:9" x14ac:dyDescent="0.2">
      <c r="A6364" s="1" t="str">
        <f>"FGF2"</f>
        <v>FGF2</v>
      </c>
      <c r="B6364" t="s">
        <v>14</v>
      </c>
      <c r="C6364" t="s">
        <v>23</v>
      </c>
      <c r="D6364" t="s">
        <v>17</v>
      </c>
      <c r="E6364" t="s">
        <v>12</v>
      </c>
      <c r="F6364">
        <v>123747834</v>
      </c>
      <c r="G6364">
        <v>123747839</v>
      </c>
      <c r="H6364">
        <v>123748435</v>
      </c>
      <c r="I6364">
        <v>123748456</v>
      </c>
    </row>
    <row r="6365" spans="1:9" x14ac:dyDescent="0.2">
      <c r="A6365" s="1" t="str">
        <f>"FGF20"</f>
        <v>FGF20</v>
      </c>
      <c r="B6365" t="s">
        <v>14</v>
      </c>
      <c r="C6365" t="s">
        <v>30</v>
      </c>
      <c r="D6365" t="s">
        <v>11</v>
      </c>
      <c r="E6365" t="s">
        <v>12</v>
      </c>
      <c r="F6365">
        <v>16859835</v>
      </c>
      <c r="G6365">
        <v>16859861</v>
      </c>
      <c r="H6365">
        <v>16859835</v>
      </c>
      <c r="I6365">
        <v>16859861</v>
      </c>
    </row>
    <row r="6366" spans="1:9" x14ac:dyDescent="0.2">
      <c r="A6366" s="1" t="str">
        <f>"FGF21"</f>
        <v>FGF21</v>
      </c>
      <c r="B6366" t="s">
        <v>14</v>
      </c>
      <c r="C6366" t="s">
        <v>10</v>
      </c>
      <c r="D6366" t="s">
        <v>17</v>
      </c>
      <c r="E6366" t="s">
        <v>12</v>
      </c>
      <c r="F6366">
        <v>49259325</v>
      </c>
      <c r="G6366">
        <v>49259331</v>
      </c>
      <c r="H6366">
        <v>49258775</v>
      </c>
      <c r="I6366">
        <v>49258786</v>
      </c>
    </row>
    <row r="6367" spans="1:9" x14ac:dyDescent="0.2">
      <c r="A6367" s="1" t="str">
        <f>"FGF22"</f>
        <v>FGF22</v>
      </c>
      <c r="B6367" t="s">
        <v>14</v>
      </c>
      <c r="C6367" t="s">
        <v>10</v>
      </c>
      <c r="D6367" t="s">
        <v>17</v>
      </c>
      <c r="E6367" t="s">
        <v>12</v>
      </c>
      <c r="F6367">
        <v>639869</v>
      </c>
      <c r="G6367">
        <v>639884</v>
      </c>
      <c r="H6367">
        <v>639912</v>
      </c>
      <c r="I6367">
        <v>639941</v>
      </c>
    </row>
    <row r="6368" spans="1:9" x14ac:dyDescent="0.2">
      <c r="A6368" s="1" t="str">
        <f>"FGF23"</f>
        <v>FGF23</v>
      </c>
      <c r="B6368" t="s">
        <v>14</v>
      </c>
      <c r="C6368" t="s">
        <v>16</v>
      </c>
      <c r="D6368" t="s">
        <v>11</v>
      </c>
      <c r="E6368" t="s">
        <v>12</v>
      </c>
      <c r="F6368">
        <v>4488872</v>
      </c>
      <c r="G6368">
        <v>4488879</v>
      </c>
      <c r="H6368">
        <v>4488688</v>
      </c>
      <c r="I6368">
        <v>4488695</v>
      </c>
    </row>
    <row r="6369" spans="1:9" x14ac:dyDescent="0.2">
      <c r="A6369" s="1" t="str">
        <f>"FGF3"</f>
        <v>FGF3</v>
      </c>
      <c r="B6369" t="s">
        <v>14</v>
      </c>
      <c r="C6369" t="s">
        <v>27</v>
      </c>
      <c r="D6369" t="s">
        <v>11</v>
      </c>
      <c r="E6369" t="s">
        <v>12</v>
      </c>
      <c r="F6369">
        <v>69633974</v>
      </c>
      <c r="G6369">
        <v>69633997</v>
      </c>
      <c r="H6369">
        <v>69634149</v>
      </c>
      <c r="I6369">
        <v>69634169</v>
      </c>
    </row>
    <row r="6370" spans="1:9" x14ac:dyDescent="0.2">
      <c r="A6370" s="1" t="str">
        <f>"FGF4"</f>
        <v>FGF4</v>
      </c>
      <c r="B6370" t="s">
        <v>14</v>
      </c>
      <c r="C6370" t="s">
        <v>27</v>
      </c>
      <c r="D6370" t="s">
        <v>11</v>
      </c>
      <c r="E6370" t="s">
        <v>12</v>
      </c>
      <c r="F6370">
        <v>69590101</v>
      </c>
      <c r="G6370">
        <v>69590112</v>
      </c>
      <c r="H6370">
        <v>69590190</v>
      </c>
      <c r="I6370">
        <v>69590195</v>
      </c>
    </row>
    <row r="6371" spans="1:9" x14ac:dyDescent="0.2">
      <c r="A6371" s="1" t="str">
        <f>"FGF5"</f>
        <v>FGF5</v>
      </c>
      <c r="B6371" t="s">
        <v>14</v>
      </c>
      <c r="C6371" t="s">
        <v>23</v>
      </c>
      <c r="D6371" t="s">
        <v>17</v>
      </c>
      <c r="E6371" t="s">
        <v>12</v>
      </c>
      <c r="F6371">
        <v>81187809</v>
      </c>
      <c r="G6371">
        <v>81187827</v>
      </c>
      <c r="H6371">
        <v>81187809</v>
      </c>
      <c r="I6371">
        <v>81187827</v>
      </c>
    </row>
    <row r="6372" spans="1:9" x14ac:dyDescent="0.2">
      <c r="A6372" s="1" t="str">
        <f>"FGF6"</f>
        <v>FGF6</v>
      </c>
      <c r="B6372" t="s">
        <v>14</v>
      </c>
      <c r="C6372" t="s">
        <v>16</v>
      </c>
      <c r="D6372" t="s">
        <v>11</v>
      </c>
      <c r="E6372" t="s">
        <v>12</v>
      </c>
      <c r="F6372">
        <v>4554976</v>
      </c>
      <c r="G6372">
        <v>4554982</v>
      </c>
      <c r="H6372">
        <v>4554976</v>
      </c>
      <c r="I6372">
        <v>4554982</v>
      </c>
    </row>
    <row r="6373" spans="1:9" x14ac:dyDescent="0.2">
      <c r="A6373" s="1" t="str">
        <f>"FGF7"</f>
        <v>FGF7</v>
      </c>
      <c r="B6373" t="s">
        <v>14</v>
      </c>
      <c r="C6373" t="s">
        <v>25</v>
      </c>
      <c r="D6373" t="s">
        <v>17</v>
      </c>
      <c r="E6373" t="s">
        <v>12</v>
      </c>
      <c r="F6373">
        <v>49715449</v>
      </c>
      <c r="G6373">
        <v>49715464</v>
      </c>
      <c r="H6373">
        <v>49715431</v>
      </c>
      <c r="I6373">
        <v>49715448</v>
      </c>
    </row>
    <row r="6374" spans="1:9" x14ac:dyDescent="0.2">
      <c r="A6374" s="1" t="str">
        <f>"FGF8"</f>
        <v>FGF8</v>
      </c>
      <c r="B6374" t="s">
        <v>14</v>
      </c>
      <c r="C6374" t="s">
        <v>15</v>
      </c>
      <c r="D6374" t="s">
        <v>11</v>
      </c>
      <c r="E6374" t="s">
        <v>12</v>
      </c>
      <c r="F6374">
        <v>103535862</v>
      </c>
      <c r="G6374">
        <v>103535880</v>
      </c>
      <c r="H6374">
        <v>103535882</v>
      </c>
      <c r="I6374">
        <v>103535901</v>
      </c>
    </row>
    <row r="6375" spans="1:9" x14ac:dyDescent="0.2">
      <c r="A6375" s="1" t="str">
        <f>"FGF9"</f>
        <v>FGF9</v>
      </c>
      <c r="B6375" t="s">
        <v>14</v>
      </c>
      <c r="C6375" t="s">
        <v>39</v>
      </c>
      <c r="D6375" t="s">
        <v>17</v>
      </c>
      <c r="E6375" t="s">
        <v>12</v>
      </c>
      <c r="F6375">
        <v>22245205</v>
      </c>
      <c r="G6375">
        <v>22245220</v>
      </c>
      <c r="H6375">
        <v>22245274</v>
      </c>
      <c r="I6375">
        <v>22245305</v>
      </c>
    </row>
    <row r="6376" spans="1:9" x14ac:dyDescent="0.2">
      <c r="A6376" s="1" t="str">
        <f>"FGFBP1"</f>
        <v>FGFBP1</v>
      </c>
      <c r="B6376" t="s">
        <v>14</v>
      </c>
      <c r="C6376" t="s">
        <v>23</v>
      </c>
      <c r="D6376" t="s">
        <v>11</v>
      </c>
      <c r="E6376" t="s">
        <v>12</v>
      </c>
      <c r="F6376">
        <v>15939963</v>
      </c>
      <c r="G6376">
        <v>15939978</v>
      </c>
      <c r="H6376">
        <v>15939984</v>
      </c>
      <c r="I6376">
        <v>15939995</v>
      </c>
    </row>
    <row r="6377" spans="1:9" x14ac:dyDescent="0.2">
      <c r="A6377" s="1" t="str">
        <f>"FGFBP2"</f>
        <v>FGFBP2</v>
      </c>
      <c r="B6377" t="s">
        <v>14</v>
      </c>
      <c r="C6377" t="s">
        <v>23</v>
      </c>
      <c r="D6377" t="s">
        <v>11</v>
      </c>
      <c r="E6377" t="s">
        <v>12</v>
      </c>
      <c r="F6377">
        <v>15964788</v>
      </c>
      <c r="G6377">
        <v>15964805</v>
      </c>
      <c r="H6377">
        <v>15964830</v>
      </c>
      <c r="I6377">
        <v>15964851</v>
      </c>
    </row>
    <row r="6378" spans="1:9" x14ac:dyDescent="0.2">
      <c r="A6378" s="1" t="str">
        <f>"FGFBP3"</f>
        <v>FGFBP3</v>
      </c>
      <c r="B6378" t="s">
        <v>14</v>
      </c>
      <c r="C6378" t="s">
        <v>15</v>
      </c>
      <c r="D6378" t="s">
        <v>11</v>
      </c>
      <c r="E6378" t="s">
        <v>12</v>
      </c>
      <c r="F6378">
        <v>93669233</v>
      </c>
      <c r="G6378">
        <v>93669263</v>
      </c>
      <c r="H6378">
        <v>93669221</v>
      </c>
      <c r="I6378">
        <v>93669228</v>
      </c>
    </row>
    <row r="6379" spans="1:9" x14ac:dyDescent="0.2">
      <c r="A6379" s="1" t="str">
        <f>"FGFR1"</f>
        <v>FGFR1</v>
      </c>
      <c r="B6379" t="s">
        <v>14</v>
      </c>
      <c r="C6379" t="s">
        <v>30</v>
      </c>
      <c r="D6379" t="s">
        <v>11</v>
      </c>
      <c r="E6379" t="s">
        <v>12</v>
      </c>
      <c r="F6379">
        <v>38326144</v>
      </c>
      <c r="G6379">
        <v>38326161</v>
      </c>
      <c r="H6379">
        <v>38326119</v>
      </c>
      <c r="I6379">
        <v>38326130</v>
      </c>
    </row>
    <row r="6380" spans="1:9" x14ac:dyDescent="0.2">
      <c r="A6380" s="1" t="str">
        <f>"FGFR1OP"</f>
        <v>FGFR1OP</v>
      </c>
      <c r="B6380" t="s">
        <v>14</v>
      </c>
      <c r="C6380" t="s">
        <v>32</v>
      </c>
      <c r="D6380" t="s">
        <v>17</v>
      </c>
      <c r="E6380" t="s">
        <v>12</v>
      </c>
      <c r="F6380">
        <v>167412835</v>
      </c>
      <c r="G6380">
        <v>167412899</v>
      </c>
      <c r="H6380">
        <v>167412797</v>
      </c>
      <c r="I6380">
        <v>167412815</v>
      </c>
    </row>
    <row r="6381" spans="1:9" x14ac:dyDescent="0.2">
      <c r="A6381" s="1" t="str">
        <f>"FGFR1OP2"</f>
        <v>FGFR1OP2</v>
      </c>
      <c r="B6381" t="s">
        <v>14</v>
      </c>
      <c r="C6381" t="s">
        <v>16</v>
      </c>
      <c r="D6381" t="s">
        <v>17</v>
      </c>
      <c r="E6381" t="s">
        <v>12</v>
      </c>
      <c r="F6381">
        <v>27091387</v>
      </c>
      <c r="G6381">
        <v>27091425</v>
      </c>
      <c r="H6381">
        <v>27091426</v>
      </c>
      <c r="I6381">
        <v>27091454</v>
      </c>
    </row>
    <row r="6382" spans="1:9" x14ac:dyDescent="0.2">
      <c r="A6382" s="1" t="str">
        <f>"FGFR2"</f>
        <v>FGFR2</v>
      </c>
      <c r="B6382" t="s">
        <v>14</v>
      </c>
      <c r="C6382" t="s">
        <v>15</v>
      </c>
      <c r="D6382" t="s">
        <v>11</v>
      </c>
      <c r="E6382" t="s">
        <v>12</v>
      </c>
      <c r="F6382">
        <v>123357913</v>
      </c>
      <c r="G6382">
        <v>123357975</v>
      </c>
      <c r="H6382">
        <v>123357874</v>
      </c>
      <c r="I6382">
        <v>123357895</v>
      </c>
    </row>
    <row r="6383" spans="1:9" x14ac:dyDescent="0.2">
      <c r="A6383" s="1" t="str">
        <f>"FGFR3"</f>
        <v>FGFR3</v>
      </c>
      <c r="B6383" t="s">
        <v>14</v>
      </c>
      <c r="C6383" t="s">
        <v>23</v>
      </c>
      <c r="D6383" t="s">
        <v>17</v>
      </c>
      <c r="E6383" t="s">
        <v>12</v>
      </c>
      <c r="F6383">
        <v>1795012</v>
      </c>
      <c r="G6383">
        <v>1795028</v>
      </c>
      <c r="H6383">
        <v>1795508</v>
      </c>
      <c r="I6383">
        <v>1795516</v>
      </c>
    </row>
    <row r="6384" spans="1:9" x14ac:dyDescent="0.2">
      <c r="A6384" s="1" t="str">
        <f>"FGFR4"</f>
        <v>FGFR4</v>
      </c>
      <c r="B6384" t="s">
        <v>14</v>
      </c>
      <c r="C6384" t="s">
        <v>46</v>
      </c>
      <c r="D6384" t="s">
        <v>17</v>
      </c>
      <c r="E6384" t="s">
        <v>12</v>
      </c>
      <c r="F6384">
        <v>176513895</v>
      </c>
      <c r="G6384">
        <v>176513924</v>
      </c>
      <c r="H6384">
        <v>176513868</v>
      </c>
      <c r="I6384">
        <v>176513893</v>
      </c>
    </row>
    <row r="6385" spans="1:9" x14ac:dyDescent="0.2">
      <c r="A6385" s="1" t="str">
        <f>"FGFRL1"</f>
        <v>FGFRL1</v>
      </c>
      <c r="B6385" t="s">
        <v>14</v>
      </c>
      <c r="C6385" t="s">
        <v>23</v>
      </c>
      <c r="D6385" t="s">
        <v>17</v>
      </c>
      <c r="E6385" t="s">
        <v>12</v>
      </c>
      <c r="F6385">
        <v>1005396</v>
      </c>
      <c r="G6385">
        <v>1005438</v>
      </c>
      <c r="H6385">
        <v>1005383</v>
      </c>
      <c r="I6385">
        <v>1005394</v>
      </c>
    </row>
    <row r="6386" spans="1:9" x14ac:dyDescent="0.2">
      <c r="A6386" s="1" t="str">
        <f>"FGG"</f>
        <v>FGG</v>
      </c>
      <c r="B6386" t="s">
        <v>14</v>
      </c>
      <c r="C6386" t="s">
        <v>23</v>
      </c>
      <c r="D6386" t="s">
        <v>11</v>
      </c>
      <c r="E6386" t="s">
        <v>12</v>
      </c>
      <c r="F6386">
        <v>155533798</v>
      </c>
      <c r="G6386">
        <v>155533816</v>
      </c>
      <c r="H6386">
        <v>155533277</v>
      </c>
      <c r="I6386">
        <v>155533357</v>
      </c>
    </row>
    <row r="6387" spans="1:9" x14ac:dyDescent="0.2">
      <c r="A6387" s="1" t="str">
        <f>"FGGY"</f>
        <v>FGGY</v>
      </c>
      <c r="B6387" t="s">
        <v>14</v>
      </c>
      <c r="C6387" t="s">
        <v>19</v>
      </c>
      <c r="D6387" t="s">
        <v>17</v>
      </c>
      <c r="E6387" t="s">
        <v>12</v>
      </c>
      <c r="F6387">
        <v>59762730</v>
      </c>
      <c r="G6387">
        <v>59762773</v>
      </c>
      <c r="H6387">
        <v>59762450</v>
      </c>
      <c r="I6387">
        <v>59762511</v>
      </c>
    </row>
    <row r="6388" spans="1:9" x14ac:dyDescent="0.2">
      <c r="A6388" s="1" t="str">
        <f>"FGL1"</f>
        <v>FGL1</v>
      </c>
      <c r="B6388" t="s">
        <v>14</v>
      </c>
      <c r="C6388" t="s">
        <v>30</v>
      </c>
      <c r="D6388" t="s">
        <v>11</v>
      </c>
      <c r="E6388" t="s">
        <v>12</v>
      </c>
      <c r="F6388">
        <v>17752996</v>
      </c>
      <c r="G6388">
        <v>17753048</v>
      </c>
      <c r="H6388">
        <v>17752845</v>
      </c>
      <c r="I6388">
        <v>17752864</v>
      </c>
    </row>
    <row r="6389" spans="1:9" x14ac:dyDescent="0.2">
      <c r="A6389" s="1" t="str">
        <f>"FGL2"</f>
        <v>FGL2</v>
      </c>
      <c r="B6389" t="s">
        <v>14</v>
      </c>
      <c r="C6389" t="s">
        <v>33</v>
      </c>
      <c r="D6389" t="s">
        <v>11</v>
      </c>
      <c r="E6389" t="s">
        <v>12</v>
      </c>
      <c r="F6389">
        <v>76829125</v>
      </c>
      <c r="G6389">
        <v>76829143</v>
      </c>
      <c r="H6389">
        <v>76829145</v>
      </c>
      <c r="I6389">
        <v>76829167</v>
      </c>
    </row>
    <row r="6390" spans="1:9" x14ac:dyDescent="0.2">
      <c r="A6390" s="1" t="str">
        <f>"FGR"</f>
        <v>FGR</v>
      </c>
      <c r="B6390" t="s">
        <v>14</v>
      </c>
      <c r="C6390" t="s">
        <v>19</v>
      </c>
      <c r="D6390" t="s">
        <v>11</v>
      </c>
      <c r="E6390" t="s">
        <v>12</v>
      </c>
      <c r="F6390">
        <v>27961629</v>
      </c>
      <c r="G6390">
        <v>27961665</v>
      </c>
      <c r="H6390">
        <v>27961687</v>
      </c>
      <c r="I6390">
        <v>27961704</v>
      </c>
    </row>
    <row r="6391" spans="1:9" x14ac:dyDescent="0.2">
      <c r="A6391" s="1" t="str">
        <f>"FH"</f>
        <v>FH</v>
      </c>
      <c r="B6391" t="s">
        <v>14</v>
      </c>
      <c r="C6391" t="s">
        <v>19</v>
      </c>
      <c r="D6391" t="s">
        <v>11</v>
      </c>
      <c r="E6391" t="s">
        <v>12</v>
      </c>
      <c r="F6391">
        <v>241683001</v>
      </c>
      <c r="G6391">
        <v>241683066</v>
      </c>
      <c r="H6391">
        <v>241683001</v>
      </c>
      <c r="I6391">
        <v>241683066</v>
      </c>
    </row>
    <row r="6392" spans="1:9" x14ac:dyDescent="0.2">
      <c r="A6392" s="1" t="str">
        <f>"FHAD1"</f>
        <v>FHAD1</v>
      </c>
      <c r="B6392" t="s">
        <v>14</v>
      </c>
      <c r="C6392" t="s">
        <v>19</v>
      </c>
      <c r="D6392" t="s">
        <v>17</v>
      </c>
      <c r="E6392" t="s">
        <v>12</v>
      </c>
      <c r="F6392">
        <v>15573712</v>
      </c>
      <c r="G6392">
        <v>15573753</v>
      </c>
      <c r="H6392">
        <v>15573757</v>
      </c>
      <c r="I6392">
        <v>15573785</v>
      </c>
    </row>
    <row r="6393" spans="1:9" x14ac:dyDescent="0.2">
      <c r="A6393" s="1" t="str">
        <f>"FHDC1"</f>
        <v>FHDC1</v>
      </c>
      <c r="B6393" t="s">
        <v>14</v>
      </c>
      <c r="C6393" t="s">
        <v>23</v>
      </c>
      <c r="D6393" t="s">
        <v>17</v>
      </c>
      <c r="E6393" t="s">
        <v>12</v>
      </c>
      <c r="F6393">
        <v>153857468</v>
      </c>
      <c r="G6393">
        <v>153857520</v>
      </c>
      <c r="H6393">
        <v>153857359</v>
      </c>
      <c r="I6393">
        <v>153857395</v>
      </c>
    </row>
    <row r="6394" spans="1:9" x14ac:dyDescent="0.2">
      <c r="A6394" s="1" t="str">
        <f>"FHIT"</f>
        <v>FHIT</v>
      </c>
      <c r="B6394" t="s">
        <v>14</v>
      </c>
      <c r="C6394" t="s">
        <v>22</v>
      </c>
      <c r="D6394" t="s">
        <v>11</v>
      </c>
      <c r="E6394" t="s">
        <v>12</v>
      </c>
      <c r="F6394">
        <v>61237050</v>
      </c>
      <c r="G6394">
        <v>61237140</v>
      </c>
      <c r="H6394">
        <v>61237050</v>
      </c>
      <c r="I6394">
        <v>61237140</v>
      </c>
    </row>
    <row r="6395" spans="1:9" x14ac:dyDescent="0.2">
      <c r="A6395" s="1" t="str">
        <f>"FHL1"</f>
        <v>FHL1</v>
      </c>
      <c r="B6395" t="s">
        <v>14</v>
      </c>
      <c r="C6395" t="s">
        <v>37</v>
      </c>
      <c r="D6395" t="s">
        <v>17</v>
      </c>
      <c r="E6395" t="s">
        <v>12</v>
      </c>
      <c r="F6395">
        <v>135279198</v>
      </c>
      <c r="G6395">
        <v>135279220</v>
      </c>
      <c r="H6395">
        <v>135279198</v>
      </c>
      <c r="I6395">
        <v>135279220</v>
      </c>
    </row>
    <row r="6396" spans="1:9" x14ac:dyDescent="0.2">
      <c r="A6396" s="1" t="str">
        <f>"FHL2"</f>
        <v>FHL2</v>
      </c>
      <c r="B6396" t="s">
        <v>14</v>
      </c>
      <c r="C6396" t="s">
        <v>26</v>
      </c>
      <c r="D6396" t="s">
        <v>11</v>
      </c>
      <c r="E6396" t="s">
        <v>12</v>
      </c>
      <c r="F6396">
        <v>106015491</v>
      </c>
      <c r="G6396">
        <v>106015518</v>
      </c>
      <c r="H6396">
        <v>106015472</v>
      </c>
      <c r="I6396">
        <v>106015488</v>
      </c>
    </row>
    <row r="6397" spans="1:9" x14ac:dyDescent="0.2">
      <c r="A6397" s="1" t="str">
        <f>"FHL3"</f>
        <v>FHL3</v>
      </c>
      <c r="B6397" t="s">
        <v>14</v>
      </c>
      <c r="C6397" t="s">
        <v>19</v>
      </c>
      <c r="D6397" t="s">
        <v>11</v>
      </c>
      <c r="E6397" t="s">
        <v>12</v>
      </c>
      <c r="F6397">
        <v>38471156</v>
      </c>
      <c r="G6397">
        <v>38471194</v>
      </c>
      <c r="H6397">
        <v>38471344</v>
      </c>
      <c r="I6397">
        <v>38471383</v>
      </c>
    </row>
    <row r="6398" spans="1:9" x14ac:dyDescent="0.2">
      <c r="A6398" s="1" t="str">
        <f>"FHL5"</f>
        <v>FHL5</v>
      </c>
      <c r="B6398" t="s">
        <v>14</v>
      </c>
      <c r="C6398" t="s">
        <v>32</v>
      </c>
      <c r="D6398" t="s">
        <v>17</v>
      </c>
      <c r="E6398" t="s">
        <v>12</v>
      </c>
      <c r="F6398">
        <v>97010993</v>
      </c>
      <c r="G6398">
        <v>97011021</v>
      </c>
      <c r="H6398">
        <v>97011046</v>
      </c>
      <c r="I6398">
        <v>97011069</v>
      </c>
    </row>
    <row r="6399" spans="1:9" x14ac:dyDescent="0.2">
      <c r="A6399" s="1" t="str">
        <f>"FHOD1"</f>
        <v>FHOD1</v>
      </c>
      <c r="B6399" t="s">
        <v>14</v>
      </c>
      <c r="C6399" t="s">
        <v>31</v>
      </c>
      <c r="D6399" t="s">
        <v>11</v>
      </c>
      <c r="E6399" t="s">
        <v>12</v>
      </c>
      <c r="F6399">
        <v>67281363</v>
      </c>
      <c r="G6399">
        <v>67281410</v>
      </c>
      <c r="H6399">
        <v>67281413</v>
      </c>
      <c r="I6399">
        <v>67281433</v>
      </c>
    </row>
    <row r="6400" spans="1:9" x14ac:dyDescent="0.2">
      <c r="A6400" s="1" t="str">
        <f>"FHOD3"</f>
        <v>FHOD3</v>
      </c>
      <c r="B6400" t="s">
        <v>14</v>
      </c>
      <c r="C6400" t="s">
        <v>43</v>
      </c>
      <c r="D6400" t="s">
        <v>17</v>
      </c>
      <c r="E6400" t="s">
        <v>12</v>
      </c>
      <c r="F6400">
        <v>33877654</v>
      </c>
      <c r="G6400">
        <v>33877706</v>
      </c>
      <c r="H6400">
        <v>33877654</v>
      </c>
      <c r="I6400">
        <v>33877706</v>
      </c>
    </row>
    <row r="6401" spans="1:9" x14ac:dyDescent="0.2">
      <c r="A6401" s="1" t="str">
        <f>"FIBCD1"</f>
        <v>FIBCD1</v>
      </c>
      <c r="B6401" t="s">
        <v>14</v>
      </c>
      <c r="C6401" t="s">
        <v>24</v>
      </c>
      <c r="D6401" t="s">
        <v>11</v>
      </c>
      <c r="E6401" t="s">
        <v>12</v>
      </c>
      <c r="F6401">
        <v>133814592</v>
      </c>
      <c r="G6401">
        <v>133814641</v>
      </c>
      <c r="H6401">
        <v>133814566</v>
      </c>
      <c r="I6401">
        <v>133814587</v>
      </c>
    </row>
    <row r="6402" spans="1:9" x14ac:dyDescent="0.2">
      <c r="A6402" s="1" t="str">
        <f>"FIBIN"</f>
        <v>FIBIN</v>
      </c>
      <c r="B6402" t="s">
        <v>14</v>
      </c>
      <c r="C6402" t="s">
        <v>27</v>
      </c>
      <c r="D6402" t="s">
        <v>17</v>
      </c>
      <c r="E6402" t="s">
        <v>12</v>
      </c>
      <c r="F6402">
        <v>27015649</v>
      </c>
      <c r="G6402">
        <v>27015680</v>
      </c>
      <c r="H6402">
        <v>27015697</v>
      </c>
      <c r="I6402">
        <v>27015724</v>
      </c>
    </row>
    <row r="6403" spans="1:9" x14ac:dyDescent="0.2">
      <c r="A6403" s="1" t="str">
        <f>"FIBP"</f>
        <v>FIBP</v>
      </c>
      <c r="B6403" t="s">
        <v>14</v>
      </c>
      <c r="C6403" t="s">
        <v>27</v>
      </c>
      <c r="D6403" t="s">
        <v>11</v>
      </c>
      <c r="E6403" t="s">
        <v>12</v>
      </c>
      <c r="F6403">
        <v>65655906</v>
      </c>
      <c r="G6403">
        <v>65655980</v>
      </c>
      <c r="H6403">
        <v>65655906</v>
      </c>
      <c r="I6403">
        <v>65655980</v>
      </c>
    </row>
    <row r="6404" spans="1:9" x14ac:dyDescent="0.2">
      <c r="A6404" s="1" t="str">
        <f>"FICD"</f>
        <v>FICD</v>
      </c>
      <c r="B6404" t="s">
        <v>14</v>
      </c>
      <c r="C6404" t="s">
        <v>16</v>
      </c>
      <c r="D6404" t="s">
        <v>17</v>
      </c>
      <c r="E6404" t="s">
        <v>12</v>
      </c>
      <c r="F6404">
        <v>108909040</v>
      </c>
      <c r="G6404">
        <v>108909094</v>
      </c>
      <c r="H6404">
        <v>108909040</v>
      </c>
      <c r="I6404">
        <v>108909094</v>
      </c>
    </row>
    <row r="6405" spans="1:9" x14ac:dyDescent="0.2">
      <c r="A6405" s="1" t="str">
        <f>"FIG4"</f>
        <v>FIG4</v>
      </c>
      <c r="B6405" t="s">
        <v>14</v>
      </c>
      <c r="C6405" t="s">
        <v>32</v>
      </c>
      <c r="D6405" t="s">
        <v>17</v>
      </c>
      <c r="E6405" t="s">
        <v>12</v>
      </c>
      <c r="F6405">
        <v>110012462</v>
      </c>
      <c r="G6405">
        <v>110012525</v>
      </c>
      <c r="H6405">
        <v>110012527</v>
      </c>
      <c r="I6405">
        <v>110012530</v>
      </c>
    </row>
    <row r="6406" spans="1:9" x14ac:dyDescent="0.2">
      <c r="A6406" s="1" t="str">
        <f>"FIGF"</f>
        <v>FIGF</v>
      </c>
      <c r="B6406" t="s">
        <v>14</v>
      </c>
      <c r="C6406" t="s">
        <v>37</v>
      </c>
      <c r="D6406" t="s">
        <v>11</v>
      </c>
      <c r="E6406" t="s">
        <v>12</v>
      </c>
      <c r="F6406">
        <v>15402442</v>
      </c>
      <c r="G6406">
        <v>15402487</v>
      </c>
      <c r="H6406">
        <v>15402524</v>
      </c>
      <c r="I6406">
        <v>15402540</v>
      </c>
    </row>
    <row r="6407" spans="1:9" x14ac:dyDescent="0.2">
      <c r="A6407" s="1" t="str">
        <f>"FIGLA"</f>
        <v>FIGLA</v>
      </c>
      <c r="B6407" t="s">
        <v>14</v>
      </c>
      <c r="C6407" t="s">
        <v>26</v>
      </c>
      <c r="D6407" t="s">
        <v>11</v>
      </c>
      <c r="E6407" t="s">
        <v>12</v>
      </c>
      <c r="F6407">
        <v>71017795</v>
      </c>
      <c r="G6407">
        <v>71017804</v>
      </c>
      <c r="H6407">
        <v>71017795</v>
      </c>
      <c r="I6407">
        <v>71017804</v>
      </c>
    </row>
    <row r="6408" spans="1:9" x14ac:dyDescent="0.2">
      <c r="A6408" s="1" t="str">
        <f>"FIGN"</f>
        <v>FIGN</v>
      </c>
      <c r="B6408" t="s">
        <v>14</v>
      </c>
      <c r="C6408" t="s">
        <v>26</v>
      </c>
      <c r="D6408" t="s">
        <v>11</v>
      </c>
      <c r="E6408" t="s">
        <v>12</v>
      </c>
      <c r="F6408">
        <v>164592497</v>
      </c>
      <c r="G6408">
        <v>164592573</v>
      </c>
      <c r="H6408">
        <v>164592497</v>
      </c>
      <c r="I6408">
        <v>164592573</v>
      </c>
    </row>
    <row r="6409" spans="1:9" x14ac:dyDescent="0.2">
      <c r="A6409" s="1" t="str">
        <f>"FIGNL1"</f>
        <v>FIGNL1</v>
      </c>
      <c r="B6409" t="s">
        <v>14</v>
      </c>
      <c r="C6409" t="s">
        <v>33</v>
      </c>
      <c r="D6409" t="s">
        <v>11</v>
      </c>
      <c r="E6409" t="s">
        <v>12</v>
      </c>
      <c r="F6409">
        <v>50518023</v>
      </c>
      <c r="G6409">
        <v>50518071</v>
      </c>
      <c r="H6409">
        <v>50518551</v>
      </c>
      <c r="I6409">
        <v>50518552</v>
      </c>
    </row>
    <row r="6410" spans="1:9" x14ac:dyDescent="0.2">
      <c r="A6410" s="1" t="str">
        <f>"FIGNL2"</f>
        <v>FIGNL2</v>
      </c>
      <c r="B6410" t="s">
        <v>14</v>
      </c>
      <c r="C6410" t="s">
        <v>16</v>
      </c>
      <c r="D6410" t="s">
        <v>11</v>
      </c>
      <c r="E6410" t="s">
        <v>12</v>
      </c>
      <c r="F6410">
        <v>52215689</v>
      </c>
      <c r="G6410">
        <v>52215704</v>
      </c>
      <c r="H6410">
        <v>52215689</v>
      </c>
      <c r="I6410">
        <v>52215704</v>
      </c>
    </row>
    <row r="6411" spans="1:9" x14ac:dyDescent="0.2">
      <c r="A6411" s="1" t="str">
        <f>"FILIP1"</f>
        <v>FILIP1</v>
      </c>
      <c r="B6411" t="s">
        <v>14</v>
      </c>
      <c r="C6411" t="s">
        <v>32</v>
      </c>
      <c r="D6411" t="s">
        <v>11</v>
      </c>
      <c r="E6411" t="s">
        <v>12</v>
      </c>
      <c r="F6411">
        <v>76203489</v>
      </c>
      <c r="G6411">
        <v>76203522</v>
      </c>
      <c r="H6411">
        <v>76203489</v>
      </c>
      <c r="I6411">
        <v>76203522</v>
      </c>
    </row>
    <row r="6412" spans="1:9" x14ac:dyDescent="0.2">
      <c r="A6412" s="1" t="str">
        <f>"FILIP1L"</f>
        <v>FILIP1L</v>
      </c>
      <c r="B6412" t="s">
        <v>461</v>
      </c>
      <c r="C6412" t="s">
        <v>22</v>
      </c>
      <c r="D6412" t="s">
        <v>11</v>
      </c>
      <c r="E6412" t="s">
        <v>35</v>
      </c>
      <c r="F6412">
        <v>99833422</v>
      </c>
      <c r="G6412">
        <v>99833423</v>
      </c>
      <c r="H6412">
        <v>99833172</v>
      </c>
      <c r="I6412">
        <v>99833179</v>
      </c>
    </row>
    <row r="6413" spans="1:9" x14ac:dyDescent="0.2">
      <c r="A6413" s="1" t="str">
        <f>"FIP1L1"</f>
        <v>FIP1L1</v>
      </c>
      <c r="B6413" t="s">
        <v>14</v>
      </c>
      <c r="C6413" t="s">
        <v>23</v>
      </c>
      <c r="D6413" t="s">
        <v>17</v>
      </c>
      <c r="E6413" t="s">
        <v>12</v>
      </c>
      <c r="F6413">
        <v>54243798</v>
      </c>
      <c r="G6413">
        <v>54243854</v>
      </c>
      <c r="H6413">
        <v>54243862</v>
      </c>
      <c r="I6413">
        <v>54243874</v>
      </c>
    </row>
    <row r="6414" spans="1:9" x14ac:dyDescent="0.2">
      <c r="A6414" s="1" t="str">
        <f>"FIS1"</f>
        <v>FIS1</v>
      </c>
      <c r="B6414" t="s">
        <v>9</v>
      </c>
      <c r="C6414" t="s">
        <v>33</v>
      </c>
      <c r="D6414" t="s">
        <v>11</v>
      </c>
      <c r="E6414" t="s">
        <v>12</v>
      </c>
      <c r="F6414">
        <v>100888337</v>
      </c>
      <c r="G6414">
        <v>100888377</v>
      </c>
      <c r="H6414">
        <v>100888337</v>
      </c>
      <c r="I6414">
        <v>100888377</v>
      </c>
    </row>
    <row r="6415" spans="1:9" x14ac:dyDescent="0.2">
      <c r="A6415" s="1" t="str">
        <f>"FIS1"</f>
        <v>FIS1</v>
      </c>
      <c r="B6415" t="s">
        <v>13</v>
      </c>
      <c r="C6415" t="s">
        <v>33</v>
      </c>
      <c r="D6415" t="s">
        <v>11</v>
      </c>
      <c r="E6415" t="s">
        <v>12</v>
      </c>
      <c r="F6415">
        <v>100895559</v>
      </c>
      <c r="G6415">
        <v>100895602</v>
      </c>
      <c r="H6415">
        <v>100895559</v>
      </c>
      <c r="I6415">
        <v>100895602</v>
      </c>
    </row>
    <row r="6416" spans="1:9" x14ac:dyDescent="0.2">
      <c r="A6416" s="1" t="str">
        <f>"FITM1"</f>
        <v>FITM1</v>
      </c>
      <c r="B6416" t="s">
        <v>14</v>
      </c>
      <c r="C6416" t="s">
        <v>41</v>
      </c>
      <c r="D6416" t="s">
        <v>17</v>
      </c>
      <c r="E6416" t="s">
        <v>12</v>
      </c>
      <c r="F6416">
        <v>24600819</v>
      </c>
      <c r="G6416">
        <v>24600837</v>
      </c>
      <c r="H6416">
        <v>24600819</v>
      </c>
      <c r="I6416">
        <v>24600837</v>
      </c>
    </row>
    <row r="6417" spans="1:9" x14ac:dyDescent="0.2">
      <c r="A6417" s="1" t="str">
        <f>"FITM2"</f>
        <v>FITM2</v>
      </c>
      <c r="B6417" t="s">
        <v>14</v>
      </c>
      <c r="C6417" t="s">
        <v>29</v>
      </c>
      <c r="D6417" t="s">
        <v>11</v>
      </c>
      <c r="E6417" t="s">
        <v>12</v>
      </c>
      <c r="F6417">
        <v>42939782</v>
      </c>
      <c r="G6417">
        <v>42939858</v>
      </c>
      <c r="H6417">
        <v>42939882</v>
      </c>
      <c r="I6417">
        <v>42939897</v>
      </c>
    </row>
    <row r="6418" spans="1:9" x14ac:dyDescent="0.2">
      <c r="A6418" s="1" t="str">
        <f>"FIZ1"</f>
        <v>FIZ1</v>
      </c>
      <c r="B6418" t="s">
        <v>14</v>
      </c>
      <c r="C6418" t="s">
        <v>10</v>
      </c>
      <c r="D6418" t="s">
        <v>11</v>
      </c>
      <c r="E6418" t="s">
        <v>12</v>
      </c>
      <c r="F6418">
        <v>56110859</v>
      </c>
      <c r="G6418">
        <v>56110917</v>
      </c>
      <c r="H6418">
        <v>56110830</v>
      </c>
      <c r="I6418">
        <v>56110840</v>
      </c>
    </row>
    <row r="6419" spans="1:9" x14ac:dyDescent="0.2">
      <c r="A6419" s="1" t="str">
        <f>"FJX1"</f>
        <v>FJX1</v>
      </c>
      <c r="B6419" t="s">
        <v>14</v>
      </c>
      <c r="C6419" t="s">
        <v>27</v>
      </c>
      <c r="D6419" t="s">
        <v>17</v>
      </c>
      <c r="E6419" t="s">
        <v>12</v>
      </c>
      <c r="F6419">
        <v>35639997</v>
      </c>
      <c r="G6419">
        <v>35640014</v>
      </c>
      <c r="H6419">
        <v>35639899</v>
      </c>
      <c r="I6419">
        <v>35639959</v>
      </c>
    </row>
    <row r="6420" spans="1:9" x14ac:dyDescent="0.2">
      <c r="A6420" s="1" t="str">
        <f>"FKBP10"</f>
        <v>FKBP10</v>
      </c>
      <c r="B6420" t="s">
        <v>14</v>
      </c>
      <c r="C6420" t="s">
        <v>28</v>
      </c>
      <c r="D6420" t="s">
        <v>17</v>
      </c>
      <c r="E6420" t="s">
        <v>12</v>
      </c>
      <c r="F6420">
        <v>39969232</v>
      </c>
      <c r="G6420">
        <v>39969265</v>
      </c>
      <c r="H6420">
        <v>39968926</v>
      </c>
      <c r="I6420">
        <v>39968976</v>
      </c>
    </row>
    <row r="6421" spans="1:9" x14ac:dyDescent="0.2">
      <c r="A6421" s="1" t="str">
        <f>"FKBP11"</f>
        <v>FKBP11</v>
      </c>
      <c r="B6421" t="s">
        <v>14</v>
      </c>
      <c r="C6421" t="s">
        <v>16</v>
      </c>
      <c r="D6421" t="s">
        <v>11</v>
      </c>
      <c r="E6421" t="s">
        <v>12</v>
      </c>
      <c r="F6421">
        <v>49319265</v>
      </c>
      <c r="G6421">
        <v>49319309</v>
      </c>
      <c r="H6421">
        <v>49319315</v>
      </c>
      <c r="I6421">
        <v>49319335</v>
      </c>
    </row>
    <row r="6422" spans="1:9" x14ac:dyDescent="0.2">
      <c r="A6422" s="1" t="str">
        <f>"FKBP14"</f>
        <v>FKBP14</v>
      </c>
      <c r="B6422" t="s">
        <v>14</v>
      </c>
      <c r="C6422" t="s">
        <v>33</v>
      </c>
      <c r="D6422" t="s">
        <v>11</v>
      </c>
      <c r="E6422" t="s">
        <v>12</v>
      </c>
      <c r="F6422">
        <v>30066233</v>
      </c>
      <c r="G6422">
        <v>30066332</v>
      </c>
      <c r="H6422">
        <v>30066014</v>
      </c>
      <c r="I6422">
        <v>30066070</v>
      </c>
    </row>
    <row r="6423" spans="1:9" x14ac:dyDescent="0.2">
      <c r="A6423" s="1" t="str">
        <f>"FKBP15"</f>
        <v>FKBP15</v>
      </c>
      <c r="B6423" t="s">
        <v>14</v>
      </c>
      <c r="C6423" t="s">
        <v>24</v>
      </c>
      <c r="D6423" t="s">
        <v>11</v>
      </c>
      <c r="E6423" t="s">
        <v>12</v>
      </c>
      <c r="F6423">
        <v>115983523</v>
      </c>
      <c r="G6423">
        <v>115983565</v>
      </c>
      <c r="H6423">
        <v>115983523</v>
      </c>
      <c r="I6423">
        <v>115983565</v>
      </c>
    </row>
    <row r="6424" spans="1:9" x14ac:dyDescent="0.2">
      <c r="A6424" s="1" t="str">
        <f>"FKBP1A"</f>
        <v>FKBP1A</v>
      </c>
      <c r="B6424" t="s">
        <v>14</v>
      </c>
      <c r="C6424" t="s">
        <v>29</v>
      </c>
      <c r="D6424" t="s">
        <v>11</v>
      </c>
      <c r="E6424" t="s">
        <v>12</v>
      </c>
      <c r="F6424">
        <v>1373726</v>
      </c>
      <c r="G6424">
        <v>1373774</v>
      </c>
      <c r="H6424">
        <v>1373689</v>
      </c>
      <c r="I6424">
        <v>1373709</v>
      </c>
    </row>
    <row r="6425" spans="1:9" x14ac:dyDescent="0.2">
      <c r="A6425" s="1" t="str">
        <f>"FKBP1B"</f>
        <v>FKBP1B</v>
      </c>
      <c r="B6425" t="s">
        <v>14</v>
      </c>
      <c r="C6425" t="s">
        <v>26</v>
      </c>
      <c r="D6425" t="s">
        <v>17</v>
      </c>
      <c r="E6425" t="s">
        <v>12</v>
      </c>
      <c r="F6425">
        <v>24272576</v>
      </c>
      <c r="G6425">
        <v>24272619</v>
      </c>
      <c r="H6425">
        <v>24272543</v>
      </c>
      <c r="I6425">
        <v>24272574</v>
      </c>
    </row>
    <row r="6426" spans="1:9" x14ac:dyDescent="0.2">
      <c r="A6426" s="1" t="str">
        <f>"FKBP2"</f>
        <v>FKBP2</v>
      </c>
      <c r="B6426" t="s">
        <v>14</v>
      </c>
      <c r="C6426" t="s">
        <v>27</v>
      </c>
      <c r="D6426" t="s">
        <v>17</v>
      </c>
      <c r="E6426" t="s">
        <v>12</v>
      </c>
      <c r="F6426">
        <v>64008525</v>
      </c>
      <c r="G6426">
        <v>64008585</v>
      </c>
      <c r="H6426">
        <v>64009072</v>
      </c>
      <c r="I6426">
        <v>64009137</v>
      </c>
    </row>
    <row r="6427" spans="1:9" x14ac:dyDescent="0.2">
      <c r="A6427" s="1" t="str">
        <f>"FKBP3"</f>
        <v>FKBP3</v>
      </c>
      <c r="B6427" t="s">
        <v>14</v>
      </c>
      <c r="C6427" t="s">
        <v>41</v>
      </c>
      <c r="D6427" t="s">
        <v>11</v>
      </c>
      <c r="E6427" t="s">
        <v>12</v>
      </c>
      <c r="F6427">
        <v>45603657</v>
      </c>
      <c r="G6427">
        <v>45603694</v>
      </c>
      <c r="H6427">
        <v>45603657</v>
      </c>
      <c r="I6427">
        <v>45603694</v>
      </c>
    </row>
    <row r="6428" spans="1:9" x14ac:dyDescent="0.2">
      <c r="A6428" s="1" t="str">
        <f>"FKBP4"</f>
        <v>FKBP4</v>
      </c>
      <c r="B6428" t="s">
        <v>14</v>
      </c>
      <c r="C6428" t="s">
        <v>16</v>
      </c>
      <c r="D6428" t="s">
        <v>17</v>
      </c>
      <c r="E6428" t="s">
        <v>12</v>
      </c>
      <c r="F6428">
        <v>2904127</v>
      </c>
      <c r="G6428">
        <v>2904203</v>
      </c>
      <c r="H6428">
        <v>2904102</v>
      </c>
      <c r="I6428">
        <v>2904113</v>
      </c>
    </row>
    <row r="6429" spans="1:9" x14ac:dyDescent="0.2">
      <c r="A6429" s="1" t="str">
        <f>"FKBP5"</f>
        <v>FKBP5</v>
      </c>
      <c r="B6429" t="s">
        <v>14</v>
      </c>
      <c r="C6429" t="s">
        <v>32</v>
      </c>
      <c r="D6429" t="s">
        <v>11</v>
      </c>
      <c r="E6429" t="s">
        <v>12</v>
      </c>
      <c r="F6429">
        <v>35656685</v>
      </c>
      <c r="G6429">
        <v>35656701</v>
      </c>
      <c r="H6429">
        <v>35656712</v>
      </c>
      <c r="I6429">
        <v>35656723</v>
      </c>
    </row>
    <row r="6430" spans="1:9" x14ac:dyDescent="0.2">
      <c r="A6430" s="1" t="str">
        <f>"FKBP6"</f>
        <v>FKBP6</v>
      </c>
      <c r="B6430" t="s">
        <v>14</v>
      </c>
      <c r="C6430" t="s">
        <v>33</v>
      </c>
      <c r="D6430" t="s">
        <v>17</v>
      </c>
      <c r="E6430" t="s">
        <v>12</v>
      </c>
      <c r="F6430">
        <v>72742178</v>
      </c>
      <c r="G6430">
        <v>72742198</v>
      </c>
      <c r="H6430">
        <v>72742162</v>
      </c>
      <c r="I6430">
        <v>72742171</v>
      </c>
    </row>
    <row r="6431" spans="1:9" x14ac:dyDescent="0.2">
      <c r="A6431" s="1" t="str">
        <f>"FKBP7"</f>
        <v>FKBP7</v>
      </c>
      <c r="B6431" t="s">
        <v>14</v>
      </c>
      <c r="C6431" t="s">
        <v>26</v>
      </c>
      <c r="D6431" t="s">
        <v>11</v>
      </c>
      <c r="E6431" t="s">
        <v>12</v>
      </c>
      <c r="F6431">
        <v>179343268</v>
      </c>
      <c r="G6431">
        <v>179343338</v>
      </c>
      <c r="H6431">
        <v>179343240</v>
      </c>
      <c r="I6431">
        <v>179343247</v>
      </c>
    </row>
    <row r="6432" spans="1:9" x14ac:dyDescent="0.2">
      <c r="A6432" s="1" t="str">
        <f>"FKBP8"</f>
        <v>FKBP8</v>
      </c>
      <c r="B6432" t="s">
        <v>14</v>
      </c>
      <c r="C6432" t="s">
        <v>10</v>
      </c>
      <c r="D6432" t="s">
        <v>11</v>
      </c>
      <c r="E6432" t="s">
        <v>12</v>
      </c>
      <c r="F6432">
        <v>18654366</v>
      </c>
      <c r="G6432">
        <v>18654398</v>
      </c>
      <c r="H6432">
        <v>18653862</v>
      </c>
      <c r="I6432">
        <v>18653887</v>
      </c>
    </row>
    <row r="6433" spans="1:9" x14ac:dyDescent="0.2">
      <c r="A6433" s="1" t="str">
        <f>"FKBP9"</f>
        <v>FKBP9</v>
      </c>
      <c r="B6433" t="s">
        <v>14</v>
      </c>
      <c r="C6433" t="s">
        <v>33</v>
      </c>
      <c r="D6433" t="s">
        <v>17</v>
      </c>
      <c r="E6433" t="s">
        <v>12</v>
      </c>
      <c r="F6433">
        <v>32996997</v>
      </c>
      <c r="G6433">
        <v>32997094</v>
      </c>
      <c r="H6433">
        <v>32997098</v>
      </c>
      <c r="I6433">
        <v>32997114</v>
      </c>
    </row>
    <row r="6434" spans="1:9" x14ac:dyDescent="0.2">
      <c r="A6434" s="1" t="str">
        <f>"FKBPL"</f>
        <v>FKBPL</v>
      </c>
      <c r="B6434" t="s">
        <v>14</v>
      </c>
      <c r="C6434" t="s">
        <v>32</v>
      </c>
      <c r="D6434" t="s">
        <v>11</v>
      </c>
      <c r="E6434" t="s">
        <v>12</v>
      </c>
      <c r="F6434">
        <v>32098013</v>
      </c>
      <c r="G6434">
        <v>32098071</v>
      </c>
      <c r="H6434">
        <v>32097948</v>
      </c>
      <c r="I6434">
        <v>32097966</v>
      </c>
    </row>
    <row r="6435" spans="1:9" x14ac:dyDescent="0.2">
      <c r="A6435" s="1" t="str">
        <f>"FKRP"</f>
        <v>FKRP</v>
      </c>
      <c r="B6435" t="s">
        <v>14</v>
      </c>
      <c r="C6435" t="s">
        <v>10</v>
      </c>
      <c r="D6435" t="s">
        <v>17</v>
      </c>
      <c r="E6435" t="s">
        <v>12</v>
      </c>
      <c r="F6435">
        <v>47249302</v>
      </c>
      <c r="G6435">
        <v>47249315</v>
      </c>
      <c r="H6435">
        <v>47249253</v>
      </c>
      <c r="I6435">
        <v>47249256</v>
      </c>
    </row>
    <row r="6436" spans="1:9" x14ac:dyDescent="0.2">
      <c r="A6436" s="1" t="str">
        <f>"FKTN"</f>
        <v>FKTN</v>
      </c>
      <c r="B6436" t="s">
        <v>14</v>
      </c>
      <c r="C6436" t="s">
        <v>24</v>
      </c>
      <c r="D6436" t="s">
        <v>17</v>
      </c>
      <c r="E6436" t="s">
        <v>12</v>
      </c>
      <c r="F6436">
        <v>108320392</v>
      </c>
      <c r="G6436">
        <v>108320444</v>
      </c>
      <c r="H6436">
        <v>108320392</v>
      </c>
      <c r="I6436">
        <v>108320444</v>
      </c>
    </row>
    <row r="6437" spans="1:9" x14ac:dyDescent="0.2">
      <c r="A6437" s="1" t="str">
        <f>"FLAD1"</f>
        <v>FLAD1</v>
      </c>
      <c r="B6437" t="s">
        <v>14</v>
      </c>
      <c r="C6437" t="s">
        <v>19</v>
      </c>
      <c r="D6437" t="s">
        <v>17</v>
      </c>
      <c r="E6437" t="s">
        <v>12</v>
      </c>
      <c r="F6437">
        <v>154955797</v>
      </c>
      <c r="G6437">
        <v>154955851</v>
      </c>
      <c r="H6437">
        <v>154955855</v>
      </c>
      <c r="I6437">
        <v>154955869</v>
      </c>
    </row>
    <row r="6438" spans="1:9" x14ac:dyDescent="0.2">
      <c r="A6438" s="1" t="str">
        <f>"FLCN"</f>
        <v>FLCN</v>
      </c>
      <c r="B6438" t="s">
        <v>14</v>
      </c>
      <c r="C6438" t="s">
        <v>28</v>
      </c>
      <c r="D6438" t="s">
        <v>11</v>
      </c>
      <c r="E6438" t="s">
        <v>12</v>
      </c>
      <c r="F6438">
        <v>17140436</v>
      </c>
      <c r="G6438">
        <v>17140510</v>
      </c>
      <c r="H6438">
        <v>17140639</v>
      </c>
      <c r="I6438">
        <v>17140672</v>
      </c>
    </row>
    <row r="6439" spans="1:9" x14ac:dyDescent="0.2">
      <c r="A6439" s="1" t="str">
        <f>"FLG"</f>
        <v>FLG</v>
      </c>
      <c r="B6439" t="s">
        <v>14</v>
      </c>
      <c r="C6439" t="s">
        <v>19</v>
      </c>
      <c r="D6439" t="s">
        <v>11</v>
      </c>
      <c r="E6439" t="s">
        <v>12</v>
      </c>
      <c r="F6439">
        <v>152297708</v>
      </c>
      <c r="G6439">
        <v>152297722</v>
      </c>
      <c r="H6439">
        <v>152297708</v>
      </c>
      <c r="I6439">
        <v>152297722</v>
      </c>
    </row>
    <row r="6440" spans="1:9" x14ac:dyDescent="0.2">
      <c r="A6440" s="1" t="str">
        <f>"FLG2"</f>
        <v>FLG2</v>
      </c>
      <c r="B6440" t="s">
        <v>14</v>
      </c>
      <c r="C6440" t="s">
        <v>19</v>
      </c>
      <c r="D6440" t="s">
        <v>11</v>
      </c>
      <c r="E6440" t="s">
        <v>12</v>
      </c>
      <c r="F6440">
        <v>152332480</v>
      </c>
      <c r="G6440">
        <v>152332484</v>
      </c>
      <c r="H6440">
        <v>152332480</v>
      </c>
      <c r="I6440">
        <v>152332484</v>
      </c>
    </row>
    <row r="6441" spans="1:9" x14ac:dyDescent="0.2">
      <c r="A6441" s="1" t="str">
        <f>"FLI1"</f>
        <v>FLI1</v>
      </c>
      <c r="B6441" t="s">
        <v>14</v>
      </c>
      <c r="C6441" t="s">
        <v>27</v>
      </c>
      <c r="D6441" t="s">
        <v>17</v>
      </c>
      <c r="E6441" t="s">
        <v>12</v>
      </c>
      <c r="F6441">
        <v>128563948</v>
      </c>
      <c r="G6441">
        <v>128564003</v>
      </c>
      <c r="H6441">
        <v>128563782</v>
      </c>
      <c r="I6441">
        <v>128563826</v>
      </c>
    </row>
    <row r="6442" spans="1:9" x14ac:dyDescent="0.2">
      <c r="A6442" s="1" t="str">
        <f>"FLII"</f>
        <v>FLII</v>
      </c>
      <c r="B6442" t="s">
        <v>14</v>
      </c>
      <c r="C6442" t="s">
        <v>28</v>
      </c>
      <c r="D6442" t="s">
        <v>11</v>
      </c>
      <c r="E6442" t="s">
        <v>12</v>
      </c>
      <c r="F6442">
        <v>18162004</v>
      </c>
      <c r="G6442">
        <v>18162084</v>
      </c>
      <c r="H6442">
        <v>18162004</v>
      </c>
      <c r="I6442">
        <v>18162084</v>
      </c>
    </row>
    <row r="6443" spans="1:9" x14ac:dyDescent="0.2">
      <c r="A6443" s="1" t="str">
        <f>"FLNA"</f>
        <v>FLNA</v>
      </c>
      <c r="B6443" t="s">
        <v>14</v>
      </c>
      <c r="C6443" t="s">
        <v>37</v>
      </c>
      <c r="D6443" t="s">
        <v>11</v>
      </c>
      <c r="E6443" t="s">
        <v>12</v>
      </c>
      <c r="F6443">
        <v>153599578</v>
      </c>
      <c r="G6443">
        <v>153599595</v>
      </c>
      <c r="H6443">
        <v>153599717</v>
      </c>
      <c r="I6443">
        <v>153599731</v>
      </c>
    </row>
    <row r="6444" spans="1:9" x14ac:dyDescent="0.2">
      <c r="A6444" s="1" t="str">
        <f>"FLNB"</f>
        <v>FLNB</v>
      </c>
      <c r="B6444" t="s">
        <v>14</v>
      </c>
      <c r="C6444" t="s">
        <v>22</v>
      </c>
      <c r="D6444" t="s">
        <v>17</v>
      </c>
      <c r="E6444" t="s">
        <v>12</v>
      </c>
      <c r="F6444">
        <v>57994140</v>
      </c>
      <c r="G6444">
        <v>57994156</v>
      </c>
      <c r="H6444">
        <v>57994140</v>
      </c>
      <c r="I6444">
        <v>57994156</v>
      </c>
    </row>
    <row r="6445" spans="1:9" x14ac:dyDescent="0.2">
      <c r="A6445" s="1" t="str">
        <f>"FLNC"</f>
        <v>FLNC</v>
      </c>
      <c r="B6445" t="s">
        <v>14</v>
      </c>
      <c r="C6445" t="s">
        <v>33</v>
      </c>
      <c r="D6445" t="s">
        <v>17</v>
      </c>
      <c r="E6445" t="s">
        <v>12</v>
      </c>
      <c r="F6445">
        <v>128470453</v>
      </c>
      <c r="G6445">
        <v>128470472</v>
      </c>
      <c r="H6445">
        <v>128470345</v>
      </c>
      <c r="I6445">
        <v>128470373</v>
      </c>
    </row>
    <row r="6446" spans="1:9" x14ac:dyDescent="0.2">
      <c r="A6446" s="1" t="str">
        <f>"FLOT1"</f>
        <v>FLOT1</v>
      </c>
      <c r="B6446" t="s">
        <v>14</v>
      </c>
      <c r="C6446" t="s">
        <v>32</v>
      </c>
      <c r="D6446" t="s">
        <v>11</v>
      </c>
      <c r="E6446" t="s">
        <v>12</v>
      </c>
      <c r="F6446">
        <v>30710447</v>
      </c>
      <c r="G6446">
        <v>30710473</v>
      </c>
      <c r="H6446">
        <v>30710392</v>
      </c>
      <c r="I6446">
        <v>30710433</v>
      </c>
    </row>
    <row r="6447" spans="1:9" x14ac:dyDescent="0.2">
      <c r="A6447" s="1" t="str">
        <f>"FLOT2"</f>
        <v>FLOT2</v>
      </c>
      <c r="B6447" t="s">
        <v>14</v>
      </c>
      <c r="C6447" t="s">
        <v>28</v>
      </c>
      <c r="D6447" t="s">
        <v>11</v>
      </c>
      <c r="E6447" t="s">
        <v>12</v>
      </c>
      <c r="F6447">
        <v>27224621</v>
      </c>
      <c r="G6447">
        <v>27224759</v>
      </c>
      <c r="H6447">
        <v>27224621</v>
      </c>
      <c r="I6447">
        <v>27224759</v>
      </c>
    </row>
    <row r="6448" spans="1:9" x14ac:dyDescent="0.2">
      <c r="A6448" s="1" t="str">
        <f>"FLRT1"</f>
        <v>FLRT1</v>
      </c>
      <c r="B6448" t="s">
        <v>14</v>
      </c>
      <c r="C6448" t="s">
        <v>27</v>
      </c>
      <c r="D6448" t="s">
        <v>17</v>
      </c>
      <c r="E6448" t="s">
        <v>12</v>
      </c>
      <c r="F6448">
        <v>63871093</v>
      </c>
      <c r="G6448">
        <v>63871117</v>
      </c>
      <c r="H6448">
        <v>63871093</v>
      </c>
      <c r="I6448">
        <v>63871117</v>
      </c>
    </row>
    <row r="6449" spans="1:9" x14ac:dyDescent="0.2">
      <c r="A6449" s="1" t="str">
        <f>"FLRT2"</f>
        <v>FLRT2</v>
      </c>
      <c r="B6449" t="s">
        <v>14</v>
      </c>
      <c r="C6449" t="s">
        <v>41</v>
      </c>
      <c r="D6449" t="s">
        <v>17</v>
      </c>
      <c r="E6449" t="s">
        <v>12</v>
      </c>
      <c r="F6449">
        <v>85996471</v>
      </c>
      <c r="G6449">
        <v>85996497</v>
      </c>
      <c r="H6449">
        <v>85996451</v>
      </c>
      <c r="I6449">
        <v>85996468</v>
      </c>
    </row>
    <row r="6450" spans="1:9" x14ac:dyDescent="0.2">
      <c r="A6450" s="1" t="str">
        <f>"FLRT3"</f>
        <v>FLRT3</v>
      </c>
      <c r="B6450" t="s">
        <v>14</v>
      </c>
      <c r="C6450" t="s">
        <v>29</v>
      </c>
      <c r="D6450" t="s">
        <v>11</v>
      </c>
      <c r="E6450" t="s">
        <v>12</v>
      </c>
      <c r="F6450">
        <v>14318211</v>
      </c>
      <c r="G6450">
        <v>14318232</v>
      </c>
      <c r="H6450">
        <v>14318248</v>
      </c>
      <c r="I6450">
        <v>14318264</v>
      </c>
    </row>
    <row r="6451" spans="1:9" x14ac:dyDescent="0.2">
      <c r="A6451" s="1" t="str">
        <f>"FLT1"</f>
        <v>FLT1</v>
      </c>
      <c r="B6451" t="s">
        <v>14</v>
      </c>
      <c r="C6451" t="s">
        <v>39</v>
      </c>
      <c r="D6451" t="s">
        <v>11</v>
      </c>
      <c r="E6451" t="s">
        <v>12</v>
      </c>
      <c r="F6451">
        <v>29069256</v>
      </c>
      <c r="G6451">
        <v>29069272</v>
      </c>
      <c r="H6451">
        <v>29069408</v>
      </c>
      <c r="I6451">
        <v>29069425</v>
      </c>
    </row>
    <row r="6452" spans="1:9" x14ac:dyDescent="0.2">
      <c r="A6452" s="1" t="str">
        <f>"FLT3"</f>
        <v>FLT3</v>
      </c>
      <c r="B6452" t="s">
        <v>14</v>
      </c>
      <c r="C6452" t="s">
        <v>39</v>
      </c>
      <c r="D6452" t="s">
        <v>11</v>
      </c>
      <c r="E6452" t="s">
        <v>12</v>
      </c>
      <c r="F6452">
        <v>28674693</v>
      </c>
      <c r="G6452">
        <v>28674747</v>
      </c>
      <c r="H6452">
        <v>28674876</v>
      </c>
      <c r="I6452">
        <v>28674899</v>
      </c>
    </row>
    <row r="6453" spans="1:9" x14ac:dyDescent="0.2">
      <c r="A6453" s="1" t="str">
        <f>"FLT3LG"</f>
        <v>FLT3LG</v>
      </c>
      <c r="B6453" t="s">
        <v>14</v>
      </c>
      <c r="C6453" t="s">
        <v>10</v>
      </c>
      <c r="D6453" t="s">
        <v>17</v>
      </c>
      <c r="E6453" t="s">
        <v>12</v>
      </c>
      <c r="F6453">
        <v>49977834</v>
      </c>
      <c r="G6453">
        <v>49977857</v>
      </c>
      <c r="H6453">
        <v>49977466</v>
      </c>
      <c r="I6453">
        <v>49977514</v>
      </c>
    </row>
    <row r="6454" spans="1:9" x14ac:dyDescent="0.2">
      <c r="A6454" s="1" t="str">
        <f>"FLT4"</f>
        <v>FLT4</v>
      </c>
      <c r="B6454" t="s">
        <v>14</v>
      </c>
      <c r="C6454" t="s">
        <v>46</v>
      </c>
      <c r="D6454" t="s">
        <v>11</v>
      </c>
      <c r="E6454" t="s">
        <v>12</v>
      </c>
      <c r="F6454">
        <v>180076580</v>
      </c>
      <c r="G6454">
        <v>180076605</v>
      </c>
      <c r="H6454">
        <v>180076613</v>
      </c>
      <c r="I6454">
        <v>180076634</v>
      </c>
    </row>
    <row r="6455" spans="1:9" x14ac:dyDescent="0.2">
      <c r="A6455" s="1" t="str">
        <f>"FLVCR1"</f>
        <v>FLVCR1</v>
      </c>
      <c r="B6455" t="s">
        <v>14</v>
      </c>
      <c r="C6455" t="s">
        <v>19</v>
      </c>
      <c r="D6455" t="s">
        <v>17</v>
      </c>
      <c r="E6455" t="s">
        <v>12</v>
      </c>
      <c r="F6455">
        <v>213031609</v>
      </c>
      <c r="G6455">
        <v>213031635</v>
      </c>
      <c r="H6455">
        <v>213031570</v>
      </c>
      <c r="I6455">
        <v>213031595</v>
      </c>
    </row>
    <row r="6456" spans="1:9" x14ac:dyDescent="0.2">
      <c r="A6456" s="1" t="str">
        <f>"FLVCR2"</f>
        <v>FLVCR2</v>
      </c>
      <c r="B6456" t="s">
        <v>14</v>
      </c>
      <c r="C6456" t="s">
        <v>41</v>
      </c>
      <c r="D6456" t="s">
        <v>17</v>
      </c>
      <c r="E6456" t="s">
        <v>12</v>
      </c>
      <c r="F6456">
        <v>76044934</v>
      </c>
      <c r="G6456">
        <v>76044982</v>
      </c>
      <c r="H6456">
        <v>76044983</v>
      </c>
      <c r="I6456">
        <v>76045015</v>
      </c>
    </row>
    <row r="6457" spans="1:9" x14ac:dyDescent="0.2">
      <c r="A6457" s="1" t="str">
        <f>"FLYWCH1"</f>
        <v>FLYWCH1</v>
      </c>
      <c r="B6457" t="s">
        <v>14</v>
      </c>
      <c r="C6457" t="s">
        <v>31</v>
      </c>
      <c r="D6457" t="s">
        <v>17</v>
      </c>
      <c r="E6457" t="s">
        <v>12</v>
      </c>
      <c r="F6457">
        <v>2961973</v>
      </c>
      <c r="G6457">
        <v>2962049</v>
      </c>
      <c r="H6457">
        <v>2961910</v>
      </c>
      <c r="I6457">
        <v>2961951</v>
      </c>
    </row>
    <row r="6458" spans="1:9" x14ac:dyDescent="0.2">
      <c r="A6458" s="1" t="str">
        <f>"FLYWCH2"</f>
        <v>FLYWCH2</v>
      </c>
      <c r="B6458" t="s">
        <v>14</v>
      </c>
      <c r="C6458" t="s">
        <v>31</v>
      </c>
      <c r="D6458" t="s">
        <v>17</v>
      </c>
      <c r="E6458" t="s">
        <v>12</v>
      </c>
      <c r="F6458">
        <v>2933231</v>
      </c>
      <c r="G6458">
        <v>2933309</v>
      </c>
      <c r="H6458">
        <v>2933209</v>
      </c>
      <c r="I6458">
        <v>2933224</v>
      </c>
    </row>
    <row r="6459" spans="1:9" x14ac:dyDescent="0.2">
      <c r="A6459" s="1" t="str">
        <f>"FMN1"</f>
        <v>FMN1</v>
      </c>
      <c r="B6459" t="s">
        <v>462</v>
      </c>
      <c r="C6459" t="s">
        <v>25</v>
      </c>
      <c r="D6459" t="s">
        <v>11</v>
      </c>
      <c r="E6459" t="s">
        <v>35</v>
      </c>
      <c r="F6459">
        <v>33360216</v>
      </c>
      <c r="G6459">
        <v>33360256</v>
      </c>
      <c r="H6459">
        <v>33360041</v>
      </c>
      <c r="I6459">
        <v>33360044</v>
      </c>
    </row>
    <row r="6460" spans="1:9" x14ac:dyDescent="0.2">
      <c r="A6460" s="1" t="str">
        <f>"FMN2"</f>
        <v>FMN2</v>
      </c>
      <c r="B6460" t="s">
        <v>14</v>
      </c>
      <c r="C6460" t="s">
        <v>19</v>
      </c>
      <c r="D6460" t="s">
        <v>17</v>
      </c>
      <c r="E6460" t="s">
        <v>12</v>
      </c>
      <c r="F6460">
        <v>240255166</v>
      </c>
      <c r="G6460">
        <v>240255197</v>
      </c>
      <c r="H6460">
        <v>240255217</v>
      </c>
      <c r="I6460">
        <v>240255249</v>
      </c>
    </row>
    <row r="6461" spans="1:9" x14ac:dyDescent="0.2">
      <c r="A6461" s="1" t="str">
        <f>"FMNL1"</f>
        <v>FMNL1</v>
      </c>
      <c r="B6461" t="s">
        <v>14</v>
      </c>
      <c r="C6461" t="s">
        <v>28</v>
      </c>
      <c r="D6461" t="s">
        <v>17</v>
      </c>
      <c r="E6461" t="s">
        <v>12</v>
      </c>
      <c r="F6461">
        <v>43299241</v>
      </c>
      <c r="G6461">
        <v>43299290</v>
      </c>
      <c r="H6461">
        <v>43299157</v>
      </c>
      <c r="I6461">
        <v>43299174</v>
      </c>
    </row>
    <row r="6462" spans="1:9" x14ac:dyDescent="0.2">
      <c r="A6462" s="1" t="str">
        <f>"FMNL2"</f>
        <v>FMNL2</v>
      </c>
      <c r="B6462" t="s">
        <v>14</v>
      </c>
      <c r="C6462" t="s">
        <v>26</v>
      </c>
      <c r="D6462" t="s">
        <v>17</v>
      </c>
      <c r="E6462" t="s">
        <v>12</v>
      </c>
      <c r="F6462">
        <v>153191678</v>
      </c>
      <c r="G6462">
        <v>153191697</v>
      </c>
      <c r="H6462">
        <v>153191653</v>
      </c>
      <c r="I6462">
        <v>153191669</v>
      </c>
    </row>
    <row r="6463" spans="1:9" x14ac:dyDescent="0.2">
      <c r="A6463" s="1" t="str">
        <f>"FMNL3"</f>
        <v>FMNL3</v>
      </c>
      <c r="B6463" t="s">
        <v>14</v>
      </c>
      <c r="C6463" t="s">
        <v>16</v>
      </c>
      <c r="D6463" t="s">
        <v>11</v>
      </c>
      <c r="E6463" t="s">
        <v>12</v>
      </c>
      <c r="F6463">
        <v>50101165</v>
      </c>
      <c r="G6463">
        <v>50101259</v>
      </c>
      <c r="H6463">
        <v>50101052</v>
      </c>
      <c r="I6463">
        <v>50101084</v>
      </c>
    </row>
    <row r="6464" spans="1:9" x14ac:dyDescent="0.2">
      <c r="A6464" s="1" t="str">
        <f>"FMO1"</f>
        <v>FMO1</v>
      </c>
      <c r="B6464" t="s">
        <v>14</v>
      </c>
      <c r="C6464" t="s">
        <v>19</v>
      </c>
      <c r="D6464" t="s">
        <v>17</v>
      </c>
      <c r="E6464" t="s">
        <v>12</v>
      </c>
      <c r="F6464">
        <v>171217622</v>
      </c>
      <c r="G6464">
        <v>171217676</v>
      </c>
      <c r="H6464">
        <v>171217622</v>
      </c>
      <c r="I6464">
        <v>171217676</v>
      </c>
    </row>
    <row r="6465" spans="1:9" x14ac:dyDescent="0.2">
      <c r="A6465" s="1" t="str">
        <f>"FMO2"</f>
        <v>FMO2</v>
      </c>
      <c r="B6465" t="s">
        <v>14</v>
      </c>
      <c r="C6465" t="s">
        <v>19</v>
      </c>
      <c r="D6465" t="s">
        <v>17</v>
      </c>
      <c r="E6465" t="s">
        <v>12</v>
      </c>
      <c r="F6465">
        <v>171154432</v>
      </c>
      <c r="G6465">
        <v>171154448</v>
      </c>
      <c r="H6465">
        <v>171154384</v>
      </c>
      <c r="I6465">
        <v>171154389</v>
      </c>
    </row>
    <row r="6466" spans="1:9" x14ac:dyDescent="0.2">
      <c r="A6466" s="1" t="str">
        <f>"FMO3"</f>
        <v>FMO3</v>
      </c>
      <c r="B6466" t="s">
        <v>14</v>
      </c>
      <c r="C6466" t="s">
        <v>19</v>
      </c>
      <c r="D6466" t="s">
        <v>17</v>
      </c>
      <c r="E6466" t="s">
        <v>12</v>
      </c>
      <c r="F6466">
        <v>171060033</v>
      </c>
      <c r="G6466">
        <v>171060052</v>
      </c>
      <c r="H6466">
        <v>171060033</v>
      </c>
      <c r="I6466">
        <v>171060052</v>
      </c>
    </row>
    <row r="6467" spans="1:9" x14ac:dyDescent="0.2">
      <c r="A6467" s="1" t="str">
        <f>"FMO4"</f>
        <v>FMO4</v>
      </c>
      <c r="B6467" t="s">
        <v>14</v>
      </c>
      <c r="C6467" t="s">
        <v>19</v>
      </c>
      <c r="D6467" t="s">
        <v>17</v>
      </c>
      <c r="E6467" t="s">
        <v>12</v>
      </c>
      <c r="F6467">
        <v>171283311</v>
      </c>
      <c r="G6467">
        <v>171283329</v>
      </c>
      <c r="H6467">
        <v>171283331</v>
      </c>
      <c r="I6467">
        <v>171283358</v>
      </c>
    </row>
    <row r="6468" spans="1:9" x14ac:dyDescent="0.2">
      <c r="A6468" s="1" t="str">
        <f>"FMO5"</f>
        <v>FMO5</v>
      </c>
      <c r="B6468" t="s">
        <v>14</v>
      </c>
      <c r="C6468" t="s">
        <v>19</v>
      </c>
      <c r="D6468" t="s">
        <v>11</v>
      </c>
      <c r="E6468" t="s">
        <v>12</v>
      </c>
      <c r="F6468">
        <v>146696912</v>
      </c>
      <c r="G6468">
        <v>146696974</v>
      </c>
      <c r="H6468">
        <v>146697185</v>
      </c>
      <c r="I6468">
        <v>146697233</v>
      </c>
    </row>
    <row r="6469" spans="1:9" x14ac:dyDescent="0.2">
      <c r="A6469" s="1" t="str">
        <f>"FMOD"</f>
        <v>FMOD</v>
      </c>
      <c r="B6469" t="s">
        <v>14</v>
      </c>
      <c r="C6469" t="s">
        <v>19</v>
      </c>
      <c r="D6469" t="s">
        <v>11</v>
      </c>
      <c r="E6469" t="s">
        <v>12</v>
      </c>
      <c r="F6469">
        <v>203320210</v>
      </c>
      <c r="G6469">
        <v>203320240</v>
      </c>
      <c r="H6469">
        <v>203320243</v>
      </c>
      <c r="I6469">
        <v>203320268</v>
      </c>
    </row>
    <row r="6470" spans="1:9" x14ac:dyDescent="0.2">
      <c r="A6470" s="1" t="str">
        <f>"FMR1"</f>
        <v>FMR1</v>
      </c>
      <c r="B6470" t="s">
        <v>14</v>
      </c>
      <c r="C6470" t="s">
        <v>37</v>
      </c>
      <c r="D6470" t="s">
        <v>17</v>
      </c>
      <c r="E6470" t="s">
        <v>12</v>
      </c>
      <c r="F6470">
        <v>146993449</v>
      </c>
      <c r="G6470">
        <v>146993498</v>
      </c>
      <c r="H6470">
        <v>146993428</v>
      </c>
      <c r="I6470">
        <v>146993446</v>
      </c>
    </row>
    <row r="6471" spans="1:9" x14ac:dyDescent="0.2">
      <c r="A6471" s="1" t="str">
        <f>"FMR1NB"</f>
        <v>FMR1NB</v>
      </c>
      <c r="B6471" t="s">
        <v>14</v>
      </c>
      <c r="C6471" t="s">
        <v>37</v>
      </c>
      <c r="D6471" t="s">
        <v>17</v>
      </c>
      <c r="E6471" t="s">
        <v>12</v>
      </c>
      <c r="F6471">
        <v>147062844</v>
      </c>
      <c r="G6471">
        <v>147062871</v>
      </c>
      <c r="H6471">
        <v>147062877</v>
      </c>
      <c r="I6471">
        <v>147062885</v>
      </c>
    </row>
    <row r="6472" spans="1:9" x14ac:dyDescent="0.2">
      <c r="A6472" s="1" t="str">
        <f>"FN1"</f>
        <v>FN1</v>
      </c>
      <c r="B6472" t="s">
        <v>14</v>
      </c>
      <c r="C6472" t="s">
        <v>26</v>
      </c>
      <c r="D6472" t="s">
        <v>11</v>
      </c>
      <c r="E6472" t="s">
        <v>12</v>
      </c>
      <c r="F6472">
        <v>216300784</v>
      </c>
      <c r="G6472">
        <v>216300798</v>
      </c>
      <c r="H6472">
        <v>216300784</v>
      </c>
      <c r="I6472">
        <v>216300798</v>
      </c>
    </row>
    <row r="6473" spans="1:9" x14ac:dyDescent="0.2">
      <c r="A6473" s="1" t="str">
        <f>"FN3K"</f>
        <v>FN3K</v>
      </c>
      <c r="B6473" t="s">
        <v>14</v>
      </c>
      <c r="C6473" t="s">
        <v>28</v>
      </c>
      <c r="D6473" t="s">
        <v>17</v>
      </c>
      <c r="E6473" t="s">
        <v>12</v>
      </c>
      <c r="F6473">
        <v>80693427</v>
      </c>
      <c r="G6473">
        <v>80693513</v>
      </c>
      <c r="H6473">
        <v>80693427</v>
      </c>
      <c r="I6473">
        <v>80693513</v>
      </c>
    </row>
    <row r="6474" spans="1:9" x14ac:dyDescent="0.2">
      <c r="A6474" s="1" t="str">
        <f>"FN3KRP"</f>
        <v>FN3KRP</v>
      </c>
      <c r="B6474" t="s">
        <v>14</v>
      </c>
      <c r="C6474" t="s">
        <v>28</v>
      </c>
      <c r="D6474" t="s">
        <v>17</v>
      </c>
      <c r="E6474" t="s">
        <v>12</v>
      </c>
      <c r="F6474">
        <v>80674574</v>
      </c>
      <c r="G6474">
        <v>80674634</v>
      </c>
      <c r="H6474">
        <v>80674574</v>
      </c>
      <c r="I6474">
        <v>80674634</v>
      </c>
    </row>
    <row r="6475" spans="1:9" x14ac:dyDescent="0.2">
      <c r="A6475" s="1" t="str">
        <f>"FNBP1"</f>
        <v>FNBP1</v>
      </c>
      <c r="B6475" t="s">
        <v>14</v>
      </c>
      <c r="C6475" t="s">
        <v>24</v>
      </c>
      <c r="D6475" t="s">
        <v>11</v>
      </c>
      <c r="E6475" t="s">
        <v>12</v>
      </c>
      <c r="F6475">
        <v>132805430</v>
      </c>
      <c r="G6475">
        <v>132805475</v>
      </c>
      <c r="H6475">
        <v>132805478</v>
      </c>
      <c r="I6475">
        <v>132805522</v>
      </c>
    </row>
    <row r="6476" spans="1:9" x14ac:dyDescent="0.2">
      <c r="A6476" s="1" t="str">
        <f>"FNBP1L"</f>
        <v>FNBP1L</v>
      </c>
      <c r="B6476" t="s">
        <v>14</v>
      </c>
      <c r="C6476" t="s">
        <v>19</v>
      </c>
      <c r="D6476" t="s">
        <v>17</v>
      </c>
      <c r="E6476" t="s">
        <v>12</v>
      </c>
      <c r="F6476">
        <v>93913665</v>
      </c>
      <c r="G6476">
        <v>93913705</v>
      </c>
      <c r="H6476">
        <v>93913627</v>
      </c>
      <c r="I6476">
        <v>93913659</v>
      </c>
    </row>
    <row r="6477" spans="1:9" x14ac:dyDescent="0.2">
      <c r="A6477" s="1" t="str">
        <f>"FNBP4"</f>
        <v>FNBP4</v>
      </c>
      <c r="B6477" t="s">
        <v>14</v>
      </c>
      <c r="C6477" t="s">
        <v>27</v>
      </c>
      <c r="D6477" t="s">
        <v>11</v>
      </c>
      <c r="E6477" t="s">
        <v>12</v>
      </c>
      <c r="F6477">
        <v>47788847</v>
      </c>
      <c r="G6477">
        <v>47788919</v>
      </c>
      <c r="H6477">
        <v>47788827</v>
      </c>
      <c r="I6477">
        <v>47788846</v>
      </c>
    </row>
    <row r="6478" spans="1:9" x14ac:dyDescent="0.2">
      <c r="A6478" s="1" t="str">
        <f>"FNDC1"</f>
        <v>FNDC1</v>
      </c>
      <c r="B6478" t="s">
        <v>14</v>
      </c>
      <c r="C6478" t="s">
        <v>32</v>
      </c>
      <c r="D6478" t="s">
        <v>17</v>
      </c>
      <c r="E6478" t="s">
        <v>12</v>
      </c>
      <c r="F6478">
        <v>159590423</v>
      </c>
      <c r="G6478">
        <v>159590438</v>
      </c>
      <c r="H6478">
        <v>159590222</v>
      </c>
      <c r="I6478">
        <v>159590257</v>
      </c>
    </row>
    <row r="6479" spans="1:9" x14ac:dyDescent="0.2">
      <c r="A6479" s="1" t="str">
        <f>"FNDC3A"</f>
        <v>FNDC3A</v>
      </c>
      <c r="B6479" t="s">
        <v>463</v>
      </c>
      <c r="C6479" t="s">
        <v>39</v>
      </c>
      <c r="D6479" t="s">
        <v>17</v>
      </c>
      <c r="E6479" t="s">
        <v>35</v>
      </c>
      <c r="F6479">
        <v>49549876</v>
      </c>
      <c r="G6479">
        <v>49549887</v>
      </c>
      <c r="H6479">
        <v>49550238</v>
      </c>
      <c r="I6479">
        <v>49550243</v>
      </c>
    </row>
    <row r="6480" spans="1:9" x14ac:dyDescent="0.2">
      <c r="A6480" s="1" t="str">
        <f>"FNDC3A"</f>
        <v>FNDC3A</v>
      </c>
      <c r="B6480" t="s">
        <v>464</v>
      </c>
      <c r="C6480" t="s">
        <v>39</v>
      </c>
      <c r="D6480" t="s">
        <v>17</v>
      </c>
      <c r="E6480" t="s">
        <v>35</v>
      </c>
      <c r="F6480">
        <v>49550881</v>
      </c>
      <c r="G6480">
        <v>49550897</v>
      </c>
      <c r="H6480">
        <v>49551126</v>
      </c>
      <c r="I6480">
        <v>49551142</v>
      </c>
    </row>
    <row r="6481" spans="1:9" x14ac:dyDescent="0.2">
      <c r="A6481" s="1" t="str">
        <f>"FNDC3B"</f>
        <v>FNDC3B</v>
      </c>
      <c r="B6481" t="s">
        <v>14</v>
      </c>
      <c r="C6481" t="s">
        <v>22</v>
      </c>
      <c r="D6481" t="s">
        <v>17</v>
      </c>
      <c r="E6481" t="s">
        <v>12</v>
      </c>
      <c r="F6481">
        <v>171757346</v>
      </c>
      <c r="G6481">
        <v>171757419</v>
      </c>
      <c r="H6481">
        <v>171758298</v>
      </c>
      <c r="I6481">
        <v>171758336</v>
      </c>
    </row>
    <row r="6482" spans="1:9" x14ac:dyDescent="0.2">
      <c r="A6482" s="1" t="str">
        <f>"FNDC4"</f>
        <v>FNDC4</v>
      </c>
      <c r="B6482" t="s">
        <v>14</v>
      </c>
      <c r="C6482" t="s">
        <v>26</v>
      </c>
      <c r="D6482" t="s">
        <v>11</v>
      </c>
      <c r="E6482" t="s">
        <v>12</v>
      </c>
      <c r="F6482">
        <v>27718052</v>
      </c>
      <c r="G6482">
        <v>27718127</v>
      </c>
      <c r="H6482">
        <v>27718134</v>
      </c>
      <c r="I6482">
        <v>27718144</v>
      </c>
    </row>
    <row r="6483" spans="1:9" x14ac:dyDescent="0.2">
      <c r="A6483" s="1" t="str">
        <f>"FNDC5"</f>
        <v>FNDC5</v>
      </c>
      <c r="B6483" t="s">
        <v>14</v>
      </c>
      <c r="C6483" t="s">
        <v>19</v>
      </c>
      <c r="D6483" t="s">
        <v>11</v>
      </c>
      <c r="E6483" t="s">
        <v>12</v>
      </c>
      <c r="F6483">
        <v>33336497</v>
      </c>
      <c r="G6483">
        <v>33336528</v>
      </c>
      <c r="H6483">
        <v>33336544</v>
      </c>
      <c r="I6483">
        <v>33336561</v>
      </c>
    </row>
    <row r="6484" spans="1:9" x14ac:dyDescent="0.2">
      <c r="A6484" s="1" t="str">
        <f>"FNDC7"</f>
        <v>FNDC7</v>
      </c>
      <c r="B6484" t="s">
        <v>9</v>
      </c>
      <c r="C6484" t="s">
        <v>19</v>
      </c>
      <c r="D6484" t="s">
        <v>17</v>
      </c>
      <c r="E6484" t="s">
        <v>12</v>
      </c>
      <c r="F6484">
        <v>109255524</v>
      </c>
      <c r="G6484">
        <v>109255546</v>
      </c>
      <c r="H6484">
        <v>109255524</v>
      </c>
      <c r="I6484">
        <v>109255546</v>
      </c>
    </row>
    <row r="6485" spans="1:9" x14ac:dyDescent="0.2">
      <c r="A6485" s="1" t="str">
        <f>"FNDC7"</f>
        <v>FNDC7</v>
      </c>
      <c r="B6485" t="s">
        <v>13</v>
      </c>
      <c r="C6485" t="s">
        <v>19</v>
      </c>
      <c r="D6485" t="s">
        <v>17</v>
      </c>
      <c r="E6485" t="s">
        <v>12</v>
      </c>
      <c r="F6485">
        <v>109265008</v>
      </c>
      <c r="G6485">
        <v>109265046</v>
      </c>
      <c r="H6485">
        <v>109265008</v>
      </c>
      <c r="I6485">
        <v>109265046</v>
      </c>
    </row>
    <row r="6486" spans="1:9" x14ac:dyDescent="0.2">
      <c r="A6486" s="1" t="str">
        <f>"FNDC8"</f>
        <v>FNDC8</v>
      </c>
      <c r="B6486" t="s">
        <v>14</v>
      </c>
      <c r="C6486" t="s">
        <v>28</v>
      </c>
      <c r="D6486" t="s">
        <v>17</v>
      </c>
      <c r="E6486" t="s">
        <v>12</v>
      </c>
      <c r="F6486">
        <v>33448628</v>
      </c>
      <c r="G6486">
        <v>33448656</v>
      </c>
      <c r="H6486">
        <v>33448593</v>
      </c>
      <c r="I6486">
        <v>33448602</v>
      </c>
    </row>
    <row r="6487" spans="1:9" x14ac:dyDescent="0.2">
      <c r="A6487" s="1" t="str">
        <f>"FNDC9"</f>
        <v>FNDC9</v>
      </c>
      <c r="B6487" t="s">
        <v>14</v>
      </c>
      <c r="C6487" t="s">
        <v>46</v>
      </c>
      <c r="D6487" t="s">
        <v>11</v>
      </c>
      <c r="E6487" t="s">
        <v>12</v>
      </c>
      <c r="F6487">
        <v>156772645</v>
      </c>
      <c r="G6487">
        <v>156772690</v>
      </c>
      <c r="H6487">
        <v>156772592</v>
      </c>
      <c r="I6487">
        <v>156772629</v>
      </c>
    </row>
    <row r="6488" spans="1:9" x14ac:dyDescent="0.2">
      <c r="A6488" s="1" t="str">
        <f>"FNIP1"</f>
        <v>FNIP1</v>
      </c>
      <c r="B6488" t="s">
        <v>14</v>
      </c>
      <c r="C6488" t="s">
        <v>46</v>
      </c>
      <c r="D6488" t="s">
        <v>11</v>
      </c>
      <c r="E6488" t="s">
        <v>12</v>
      </c>
      <c r="F6488">
        <v>131132658</v>
      </c>
      <c r="G6488">
        <v>131132719</v>
      </c>
      <c r="H6488">
        <v>131132637</v>
      </c>
      <c r="I6488">
        <v>131132648</v>
      </c>
    </row>
    <row r="6489" spans="1:9" x14ac:dyDescent="0.2">
      <c r="A6489" s="1" t="str">
        <f>"FNIP2"</f>
        <v>FNIP2</v>
      </c>
      <c r="B6489" t="s">
        <v>14</v>
      </c>
      <c r="C6489" t="s">
        <v>23</v>
      </c>
      <c r="D6489" t="s">
        <v>17</v>
      </c>
      <c r="E6489" t="s">
        <v>12</v>
      </c>
      <c r="F6489">
        <v>159690128</v>
      </c>
      <c r="G6489">
        <v>159690187</v>
      </c>
      <c r="H6489">
        <v>159690218</v>
      </c>
      <c r="I6489">
        <v>159690235</v>
      </c>
    </row>
    <row r="6490" spans="1:9" x14ac:dyDescent="0.2">
      <c r="A6490" s="1" t="str">
        <f>"FNTA"</f>
        <v>FNTA</v>
      </c>
      <c r="B6490" t="s">
        <v>14</v>
      </c>
      <c r="C6490" t="s">
        <v>30</v>
      </c>
      <c r="D6490" t="s">
        <v>17</v>
      </c>
      <c r="E6490" t="s">
        <v>12</v>
      </c>
      <c r="F6490">
        <v>42911454</v>
      </c>
      <c r="G6490">
        <v>42911486</v>
      </c>
      <c r="H6490">
        <v>42911552</v>
      </c>
      <c r="I6490">
        <v>42911599</v>
      </c>
    </row>
    <row r="6491" spans="1:9" x14ac:dyDescent="0.2">
      <c r="A6491" s="1" t="str">
        <f>"FNTB"</f>
        <v>FNTB</v>
      </c>
      <c r="B6491" t="s">
        <v>14</v>
      </c>
      <c r="C6491" t="s">
        <v>41</v>
      </c>
      <c r="D6491" t="s">
        <v>17</v>
      </c>
      <c r="E6491" t="s">
        <v>67</v>
      </c>
      <c r="F6491">
        <v>65381143</v>
      </c>
      <c r="G6491">
        <v>65381212</v>
      </c>
      <c r="H6491">
        <v>65381118</v>
      </c>
      <c r="I6491">
        <v>65381125</v>
      </c>
    </row>
    <row r="6492" spans="1:9" x14ac:dyDescent="0.2">
      <c r="A6492" s="1" t="str">
        <f>"FOCAD"</f>
        <v>FOCAD</v>
      </c>
      <c r="B6492" t="s">
        <v>14</v>
      </c>
      <c r="C6492" t="s">
        <v>24</v>
      </c>
      <c r="D6492" t="s">
        <v>17</v>
      </c>
      <c r="E6492" t="s">
        <v>12</v>
      </c>
      <c r="F6492">
        <v>20715310</v>
      </c>
      <c r="G6492">
        <v>20715319</v>
      </c>
      <c r="H6492">
        <v>20715310</v>
      </c>
      <c r="I6492">
        <v>20715319</v>
      </c>
    </row>
    <row r="6493" spans="1:9" x14ac:dyDescent="0.2">
      <c r="A6493" s="1" t="str">
        <f>"FOLH1"</f>
        <v>FOLH1</v>
      </c>
      <c r="B6493" t="s">
        <v>14</v>
      </c>
      <c r="C6493" t="s">
        <v>27</v>
      </c>
      <c r="D6493" t="s">
        <v>11</v>
      </c>
      <c r="E6493" t="s">
        <v>12</v>
      </c>
      <c r="F6493">
        <v>49230144</v>
      </c>
      <c r="G6493">
        <v>49230164</v>
      </c>
      <c r="H6493">
        <v>49230104</v>
      </c>
      <c r="I6493">
        <v>49230123</v>
      </c>
    </row>
    <row r="6494" spans="1:9" x14ac:dyDescent="0.2">
      <c r="A6494" s="1" t="str">
        <f>"FOLR1"</f>
        <v>FOLR1</v>
      </c>
      <c r="B6494" t="s">
        <v>14</v>
      </c>
      <c r="C6494" t="s">
        <v>27</v>
      </c>
      <c r="D6494" t="s">
        <v>17</v>
      </c>
      <c r="E6494" t="s">
        <v>12</v>
      </c>
      <c r="F6494">
        <v>71903170</v>
      </c>
      <c r="G6494">
        <v>71903192</v>
      </c>
      <c r="H6494">
        <v>71903194</v>
      </c>
      <c r="I6494">
        <v>71903219</v>
      </c>
    </row>
    <row r="6495" spans="1:9" x14ac:dyDescent="0.2">
      <c r="A6495" s="1" t="str">
        <f>"FOLR2"</f>
        <v>FOLR2</v>
      </c>
      <c r="B6495" t="s">
        <v>14</v>
      </c>
      <c r="C6495" t="s">
        <v>27</v>
      </c>
      <c r="D6495" t="s">
        <v>17</v>
      </c>
      <c r="E6495" t="s">
        <v>12</v>
      </c>
      <c r="F6495">
        <v>71927818</v>
      </c>
      <c r="G6495">
        <v>71927845</v>
      </c>
      <c r="H6495">
        <v>71927818</v>
      </c>
      <c r="I6495">
        <v>71927845</v>
      </c>
    </row>
    <row r="6496" spans="1:9" x14ac:dyDescent="0.2">
      <c r="A6496" s="1" t="str">
        <f>"FOLR3"</f>
        <v>FOLR3</v>
      </c>
      <c r="B6496" t="s">
        <v>9</v>
      </c>
      <c r="C6496" t="s">
        <v>27</v>
      </c>
      <c r="D6496" t="s">
        <v>17</v>
      </c>
      <c r="E6496" t="s">
        <v>12</v>
      </c>
      <c r="F6496">
        <v>71825886</v>
      </c>
      <c r="G6496">
        <v>71825904</v>
      </c>
      <c r="H6496">
        <v>71825886</v>
      </c>
      <c r="I6496">
        <v>71825904</v>
      </c>
    </row>
    <row r="6497" spans="1:9" x14ac:dyDescent="0.2">
      <c r="A6497" s="1" t="str">
        <f>"FOLR3"</f>
        <v>FOLR3</v>
      </c>
      <c r="B6497" t="s">
        <v>13</v>
      </c>
      <c r="C6497" t="s">
        <v>27</v>
      </c>
      <c r="D6497" t="s">
        <v>17</v>
      </c>
      <c r="E6497" t="s">
        <v>12</v>
      </c>
      <c r="F6497">
        <v>71846764</v>
      </c>
      <c r="G6497">
        <v>71846779</v>
      </c>
      <c r="H6497">
        <v>71846764</v>
      </c>
      <c r="I6497">
        <v>71846779</v>
      </c>
    </row>
    <row r="6498" spans="1:9" x14ac:dyDescent="0.2">
      <c r="A6498" s="1" t="str">
        <f>"FOLR4"</f>
        <v>FOLR4</v>
      </c>
      <c r="B6498" t="s">
        <v>465</v>
      </c>
      <c r="C6498" t="s">
        <v>27</v>
      </c>
      <c r="D6498" t="s">
        <v>17</v>
      </c>
      <c r="E6498" t="s">
        <v>20</v>
      </c>
      <c r="F6498">
        <v>94038758</v>
      </c>
      <c r="G6498">
        <v>94038758</v>
      </c>
      <c r="H6498">
        <v>94038758</v>
      </c>
      <c r="I6498">
        <v>94038758</v>
      </c>
    </row>
    <row r="6499" spans="1:9" x14ac:dyDescent="0.2">
      <c r="A6499" s="1" t="str">
        <f>"FOPNL"</f>
        <v>FOPNL</v>
      </c>
      <c r="B6499" t="s">
        <v>14</v>
      </c>
      <c r="C6499" t="s">
        <v>31</v>
      </c>
      <c r="D6499" t="s">
        <v>11</v>
      </c>
      <c r="E6499" t="s">
        <v>12</v>
      </c>
      <c r="F6499">
        <v>15982440</v>
      </c>
      <c r="G6499">
        <v>15982475</v>
      </c>
      <c r="H6499">
        <v>15982949</v>
      </c>
      <c r="I6499">
        <v>15982970</v>
      </c>
    </row>
    <row r="6500" spans="1:9" x14ac:dyDescent="0.2">
      <c r="A6500" s="1" t="str">
        <f>"FOS"</f>
        <v>FOS</v>
      </c>
      <c r="B6500" t="s">
        <v>9</v>
      </c>
      <c r="C6500" t="s">
        <v>41</v>
      </c>
      <c r="D6500" t="s">
        <v>17</v>
      </c>
      <c r="E6500" t="s">
        <v>12</v>
      </c>
      <c r="F6500">
        <v>75745523</v>
      </c>
      <c r="G6500">
        <v>75745537</v>
      </c>
      <c r="H6500">
        <v>75745523</v>
      </c>
      <c r="I6500">
        <v>75745537</v>
      </c>
    </row>
    <row r="6501" spans="1:9" x14ac:dyDescent="0.2">
      <c r="A6501" s="1" t="str">
        <f>"FOS"</f>
        <v>FOS</v>
      </c>
      <c r="B6501" t="s">
        <v>13</v>
      </c>
      <c r="C6501" t="s">
        <v>41</v>
      </c>
      <c r="D6501" t="s">
        <v>17</v>
      </c>
      <c r="E6501" t="s">
        <v>12</v>
      </c>
      <c r="F6501">
        <v>75746722</v>
      </c>
      <c r="G6501">
        <v>75746777</v>
      </c>
      <c r="H6501">
        <v>75746722</v>
      </c>
      <c r="I6501">
        <v>75746777</v>
      </c>
    </row>
    <row r="6502" spans="1:9" x14ac:dyDescent="0.2">
      <c r="A6502" s="1" t="str">
        <f>"FOSB"</f>
        <v>FOSB</v>
      </c>
      <c r="B6502" t="s">
        <v>9</v>
      </c>
      <c r="C6502" t="s">
        <v>10</v>
      </c>
      <c r="D6502" t="s">
        <v>17</v>
      </c>
      <c r="E6502" t="s">
        <v>12</v>
      </c>
      <c r="F6502">
        <v>45971246</v>
      </c>
      <c r="G6502">
        <v>45971265</v>
      </c>
      <c r="H6502">
        <v>45971246</v>
      </c>
      <c r="I6502">
        <v>45971265</v>
      </c>
    </row>
    <row r="6503" spans="1:9" x14ac:dyDescent="0.2">
      <c r="A6503" s="1" t="str">
        <f>"FOSB"</f>
        <v>FOSB</v>
      </c>
      <c r="B6503" t="s">
        <v>13</v>
      </c>
      <c r="C6503" t="s">
        <v>10</v>
      </c>
      <c r="D6503" t="s">
        <v>17</v>
      </c>
      <c r="E6503" t="s">
        <v>12</v>
      </c>
      <c r="F6503">
        <v>45972701</v>
      </c>
      <c r="G6503">
        <v>45972774</v>
      </c>
      <c r="H6503">
        <v>45972701</v>
      </c>
      <c r="I6503">
        <v>45972774</v>
      </c>
    </row>
    <row r="6504" spans="1:9" x14ac:dyDescent="0.2">
      <c r="A6504" s="1" t="str">
        <f>"FOSL1"</f>
        <v>FOSL1</v>
      </c>
      <c r="B6504" t="s">
        <v>14</v>
      </c>
      <c r="C6504" t="s">
        <v>27</v>
      </c>
      <c r="D6504" t="s">
        <v>11</v>
      </c>
      <c r="E6504" t="s">
        <v>12</v>
      </c>
      <c r="F6504">
        <v>65667846</v>
      </c>
      <c r="G6504">
        <v>65667868</v>
      </c>
      <c r="H6504">
        <v>65667884</v>
      </c>
      <c r="I6504">
        <v>65667895</v>
      </c>
    </row>
    <row r="6505" spans="1:9" x14ac:dyDescent="0.2">
      <c r="A6505" s="1" t="str">
        <f>"FOSL2"</f>
        <v>FOSL2</v>
      </c>
      <c r="B6505" t="s">
        <v>14</v>
      </c>
      <c r="C6505" t="s">
        <v>26</v>
      </c>
      <c r="D6505" t="s">
        <v>17</v>
      </c>
      <c r="E6505" t="s">
        <v>12</v>
      </c>
      <c r="F6505">
        <v>28615716</v>
      </c>
      <c r="G6505">
        <v>28615733</v>
      </c>
      <c r="H6505">
        <v>28616337</v>
      </c>
      <c r="I6505">
        <v>28616355</v>
      </c>
    </row>
    <row r="6506" spans="1:9" x14ac:dyDescent="0.2">
      <c r="A6506" s="1" t="str">
        <f>"FOXA1"</f>
        <v>FOXA1</v>
      </c>
      <c r="B6506" t="s">
        <v>14</v>
      </c>
      <c r="C6506" t="s">
        <v>41</v>
      </c>
      <c r="D6506" t="s">
        <v>11</v>
      </c>
      <c r="E6506" t="s">
        <v>12</v>
      </c>
      <c r="F6506">
        <v>38064429</v>
      </c>
      <c r="G6506">
        <v>38064486</v>
      </c>
      <c r="H6506">
        <v>38064590</v>
      </c>
      <c r="I6506">
        <v>38064606</v>
      </c>
    </row>
    <row r="6507" spans="1:9" x14ac:dyDescent="0.2">
      <c r="A6507" s="1" t="str">
        <f>"FOXA2"</f>
        <v>FOXA2</v>
      </c>
      <c r="B6507" t="s">
        <v>14</v>
      </c>
      <c r="C6507" t="s">
        <v>29</v>
      </c>
      <c r="D6507" t="s">
        <v>11</v>
      </c>
      <c r="E6507" t="s">
        <v>12</v>
      </c>
      <c r="F6507">
        <v>22564895</v>
      </c>
      <c r="G6507">
        <v>22564910</v>
      </c>
      <c r="H6507">
        <v>22565370</v>
      </c>
      <c r="I6507">
        <v>22565388</v>
      </c>
    </row>
    <row r="6508" spans="1:9" x14ac:dyDescent="0.2">
      <c r="A6508" s="1" t="str">
        <f>"FOXA3"</f>
        <v>FOXA3</v>
      </c>
      <c r="B6508" t="s">
        <v>14</v>
      </c>
      <c r="C6508" t="s">
        <v>10</v>
      </c>
      <c r="D6508" t="s">
        <v>17</v>
      </c>
      <c r="E6508" t="s">
        <v>12</v>
      </c>
      <c r="F6508">
        <v>46367576</v>
      </c>
      <c r="G6508">
        <v>46367592</v>
      </c>
      <c r="H6508">
        <v>46367556</v>
      </c>
      <c r="I6508">
        <v>46367567</v>
      </c>
    </row>
    <row r="6509" spans="1:9" x14ac:dyDescent="0.2">
      <c r="A6509" s="1" t="str">
        <f>"FOXB1"</f>
        <v>FOXB1</v>
      </c>
      <c r="B6509" t="s">
        <v>14</v>
      </c>
      <c r="C6509" t="s">
        <v>25</v>
      </c>
      <c r="D6509" t="s">
        <v>17</v>
      </c>
      <c r="E6509" t="s">
        <v>12</v>
      </c>
      <c r="F6509">
        <v>60296442</v>
      </c>
      <c r="G6509">
        <v>60296464</v>
      </c>
      <c r="H6509">
        <v>60296417</v>
      </c>
      <c r="I6509">
        <v>60296440</v>
      </c>
    </row>
    <row r="6510" spans="1:9" x14ac:dyDescent="0.2">
      <c r="A6510" s="1" t="str">
        <f>"FOXB2"</f>
        <v>FOXB2</v>
      </c>
      <c r="B6510" t="s">
        <v>466</v>
      </c>
      <c r="C6510" t="s">
        <v>24</v>
      </c>
      <c r="D6510" t="s">
        <v>17</v>
      </c>
      <c r="E6510" t="s">
        <v>20</v>
      </c>
      <c r="F6510">
        <v>79634570</v>
      </c>
      <c r="G6510">
        <v>79634570</v>
      </c>
      <c r="H6510">
        <v>79634570</v>
      </c>
      <c r="I6510">
        <v>79634570</v>
      </c>
    </row>
    <row r="6511" spans="1:9" x14ac:dyDescent="0.2">
      <c r="A6511" s="1" t="str">
        <f>"FOXC1"</f>
        <v>FOXC1</v>
      </c>
      <c r="B6511" t="s">
        <v>14</v>
      </c>
      <c r="C6511" t="s">
        <v>32</v>
      </c>
      <c r="D6511" t="s">
        <v>17</v>
      </c>
      <c r="E6511" t="s">
        <v>12</v>
      </c>
      <c r="F6511">
        <v>1610293</v>
      </c>
      <c r="G6511">
        <v>1610310</v>
      </c>
      <c r="H6511">
        <v>1610293</v>
      </c>
      <c r="I6511">
        <v>1610310</v>
      </c>
    </row>
    <row r="6512" spans="1:9" x14ac:dyDescent="0.2">
      <c r="A6512" s="1" t="str">
        <f>"FOXC2"</f>
        <v>FOXC2</v>
      </c>
      <c r="B6512" t="s">
        <v>14</v>
      </c>
      <c r="C6512" t="s">
        <v>31</v>
      </c>
      <c r="D6512" t="s">
        <v>17</v>
      </c>
      <c r="E6512" t="s">
        <v>12</v>
      </c>
      <c r="F6512">
        <v>86600426</v>
      </c>
      <c r="G6512">
        <v>86600441</v>
      </c>
      <c r="H6512">
        <v>86600870</v>
      </c>
      <c r="I6512">
        <v>86600921</v>
      </c>
    </row>
    <row r="6513" spans="1:9" x14ac:dyDescent="0.2">
      <c r="A6513" s="1" t="str">
        <f>"FOXD1"</f>
        <v>FOXD1</v>
      </c>
      <c r="B6513" t="s">
        <v>14</v>
      </c>
      <c r="C6513" t="s">
        <v>46</v>
      </c>
      <c r="D6513" t="s">
        <v>11</v>
      </c>
      <c r="E6513" t="s">
        <v>12</v>
      </c>
      <c r="F6513">
        <v>72744594</v>
      </c>
      <c r="G6513">
        <v>72744609</v>
      </c>
      <c r="H6513">
        <v>72744445</v>
      </c>
      <c r="I6513">
        <v>72744466</v>
      </c>
    </row>
    <row r="6514" spans="1:9" x14ac:dyDescent="0.2">
      <c r="A6514" s="1" t="str">
        <f>"FOXD2"</f>
        <v>FOXD2</v>
      </c>
      <c r="B6514" t="s">
        <v>14</v>
      </c>
      <c r="C6514" t="s">
        <v>19</v>
      </c>
      <c r="D6514" t="s">
        <v>17</v>
      </c>
      <c r="E6514" t="s">
        <v>12</v>
      </c>
      <c r="F6514">
        <v>47904001</v>
      </c>
      <c r="G6514">
        <v>47904008</v>
      </c>
      <c r="H6514">
        <v>47904220</v>
      </c>
      <c r="I6514">
        <v>47904233</v>
      </c>
    </row>
    <row r="6515" spans="1:9" x14ac:dyDescent="0.2">
      <c r="A6515" s="1" t="str">
        <f>"FOXD3"</f>
        <v>FOXD3</v>
      </c>
      <c r="B6515" t="s">
        <v>9</v>
      </c>
      <c r="C6515" t="s">
        <v>19</v>
      </c>
      <c r="D6515" t="s">
        <v>17</v>
      </c>
      <c r="E6515" t="s">
        <v>12</v>
      </c>
      <c r="F6515">
        <v>63788229</v>
      </c>
      <c r="G6515">
        <v>63788250</v>
      </c>
      <c r="H6515">
        <v>63788229</v>
      </c>
      <c r="I6515">
        <v>63788250</v>
      </c>
    </row>
    <row r="6516" spans="1:9" x14ac:dyDescent="0.2">
      <c r="A6516" s="1" t="str">
        <f>"FOXD3"</f>
        <v>FOXD3</v>
      </c>
      <c r="B6516" t="s">
        <v>13</v>
      </c>
      <c r="C6516" t="s">
        <v>19</v>
      </c>
      <c r="D6516" t="s">
        <v>17</v>
      </c>
      <c r="E6516" t="s">
        <v>12</v>
      </c>
      <c r="F6516">
        <v>63789445</v>
      </c>
      <c r="G6516">
        <v>63789490</v>
      </c>
      <c r="H6516">
        <v>63789445</v>
      </c>
      <c r="I6516">
        <v>63789490</v>
      </c>
    </row>
    <row r="6517" spans="1:9" x14ac:dyDescent="0.2">
      <c r="A6517" s="1" t="str">
        <f>"FOXD4"</f>
        <v>FOXD4</v>
      </c>
      <c r="B6517" t="s">
        <v>467</v>
      </c>
      <c r="C6517" t="s">
        <v>24</v>
      </c>
      <c r="D6517" t="s">
        <v>11</v>
      </c>
      <c r="E6517" t="s">
        <v>20</v>
      </c>
      <c r="F6517">
        <v>118416</v>
      </c>
      <c r="G6517">
        <v>118416</v>
      </c>
      <c r="H6517">
        <v>118416</v>
      </c>
      <c r="I6517">
        <v>118416</v>
      </c>
    </row>
    <row r="6518" spans="1:9" x14ac:dyDescent="0.2">
      <c r="A6518" s="1" t="str">
        <f>"FOXD4L1"</f>
        <v>FOXD4L1</v>
      </c>
      <c r="B6518" t="s">
        <v>468</v>
      </c>
      <c r="C6518" t="s">
        <v>26</v>
      </c>
      <c r="D6518" t="s">
        <v>17</v>
      </c>
      <c r="E6518" t="s">
        <v>20</v>
      </c>
      <c r="F6518">
        <v>114256660</v>
      </c>
      <c r="G6518">
        <v>114256660</v>
      </c>
      <c r="H6518">
        <v>114256660</v>
      </c>
      <c r="I6518">
        <v>114256660</v>
      </c>
    </row>
    <row r="6519" spans="1:9" x14ac:dyDescent="0.2">
      <c r="A6519" s="1" t="str">
        <f>"FOXD4L2"</f>
        <v>FOXD4L2</v>
      </c>
      <c r="B6519" t="s">
        <v>469</v>
      </c>
      <c r="C6519" t="s">
        <v>24</v>
      </c>
      <c r="D6519" t="s">
        <v>17</v>
      </c>
      <c r="E6519" t="s">
        <v>20</v>
      </c>
      <c r="F6519">
        <v>42717233</v>
      </c>
      <c r="G6519">
        <v>42717233</v>
      </c>
      <c r="H6519">
        <v>42717233</v>
      </c>
      <c r="I6519">
        <v>42717233</v>
      </c>
    </row>
    <row r="6520" spans="1:9" x14ac:dyDescent="0.2">
      <c r="A6520" s="1" t="str">
        <f>"FOXD4L3"</f>
        <v>FOXD4L3</v>
      </c>
      <c r="B6520" t="s">
        <v>470</v>
      </c>
      <c r="C6520" t="s">
        <v>24</v>
      </c>
      <c r="D6520" t="s">
        <v>17</v>
      </c>
      <c r="E6520" t="s">
        <v>20</v>
      </c>
      <c r="F6520">
        <v>70917275</v>
      </c>
      <c r="G6520">
        <v>70917275</v>
      </c>
      <c r="H6520">
        <v>70917275</v>
      </c>
      <c r="I6520">
        <v>70917275</v>
      </c>
    </row>
    <row r="6521" spans="1:9" x14ac:dyDescent="0.2">
      <c r="A6521" s="1" t="str">
        <f>"FOXD4L4"</f>
        <v>FOXD4L4</v>
      </c>
      <c r="B6521" t="s">
        <v>471</v>
      </c>
      <c r="C6521" t="s">
        <v>24</v>
      </c>
      <c r="D6521" t="s">
        <v>11</v>
      </c>
      <c r="E6521" t="s">
        <v>20</v>
      </c>
      <c r="F6521">
        <v>70429730</v>
      </c>
      <c r="G6521">
        <v>70429730</v>
      </c>
      <c r="H6521">
        <v>70429730</v>
      </c>
      <c r="I6521">
        <v>70429730</v>
      </c>
    </row>
    <row r="6522" spans="1:9" x14ac:dyDescent="0.2">
      <c r="A6522" s="1" t="str">
        <f>"FOXD4L5"</f>
        <v>FOXD4L5</v>
      </c>
      <c r="B6522" t="s">
        <v>472</v>
      </c>
      <c r="C6522" t="s">
        <v>24</v>
      </c>
      <c r="D6522" t="s">
        <v>11</v>
      </c>
      <c r="E6522" t="s">
        <v>20</v>
      </c>
      <c r="F6522">
        <v>70178814</v>
      </c>
      <c r="G6522">
        <v>70178814</v>
      </c>
      <c r="H6522">
        <v>70178814</v>
      </c>
      <c r="I6522">
        <v>70178814</v>
      </c>
    </row>
    <row r="6523" spans="1:9" x14ac:dyDescent="0.2">
      <c r="A6523" s="1" t="str">
        <f>"FOXD4L6"</f>
        <v>FOXD4L6</v>
      </c>
      <c r="B6523" t="s">
        <v>473</v>
      </c>
      <c r="C6523" t="s">
        <v>24</v>
      </c>
      <c r="D6523" t="s">
        <v>11</v>
      </c>
      <c r="E6523" t="s">
        <v>20</v>
      </c>
      <c r="F6523">
        <v>69202203</v>
      </c>
      <c r="G6523">
        <v>69202203</v>
      </c>
      <c r="H6523">
        <v>69202203</v>
      </c>
      <c r="I6523">
        <v>69202203</v>
      </c>
    </row>
    <row r="6524" spans="1:9" x14ac:dyDescent="0.2">
      <c r="A6524" s="1" t="str">
        <f>"FOXE1"</f>
        <v>FOXE1</v>
      </c>
      <c r="B6524" t="s">
        <v>14</v>
      </c>
      <c r="C6524" t="s">
        <v>24</v>
      </c>
      <c r="D6524" t="s">
        <v>17</v>
      </c>
      <c r="E6524" t="s">
        <v>12</v>
      </c>
      <c r="F6524">
        <v>100615499</v>
      </c>
      <c r="G6524">
        <v>100615519</v>
      </c>
      <c r="H6524">
        <v>100615499</v>
      </c>
      <c r="I6524">
        <v>100615519</v>
      </c>
    </row>
    <row r="6525" spans="1:9" x14ac:dyDescent="0.2">
      <c r="A6525" s="1" t="str">
        <f>"FOXE3"</f>
        <v>FOXE3</v>
      </c>
      <c r="B6525" t="s">
        <v>14</v>
      </c>
      <c r="C6525" t="s">
        <v>19</v>
      </c>
      <c r="D6525" t="s">
        <v>17</v>
      </c>
      <c r="E6525" t="s">
        <v>12</v>
      </c>
      <c r="F6525">
        <v>47881953</v>
      </c>
      <c r="G6525">
        <v>47881958</v>
      </c>
      <c r="H6525">
        <v>47881876</v>
      </c>
      <c r="I6525">
        <v>47881878</v>
      </c>
    </row>
    <row r="6526" spans="1:9" x14ac:dyDescent="0.2">
      <c r="A6526" s="1" t="str">
        <f>"FOXF1"</f>
        <v>FOXF1</v>
      </c>
      <c r="B6526" t="s">
        <v>14</v>
      </c>
      <c r="C6526" t="s">
        <v>31</v>
      </c>
      <c r="D6526" t="s">
        <v>17</v>
      </c>
      <c r="E6526" t="s">
        <v>12</v>
      </c>
      <c r="F6526">
        <v>86544113</v>
      </c>
      <c r="G6526">
        <v>86544145</v>
      </c>
      <c r="H6526">
        <v>86543629</v>
      </c>
      <c r="I6526">
        <v>86543658</v>
      </c>
    </row>
    <row r="6527" spans="1:9" x14ac:dyDescent="0.2">
      <c r="A6527" s="1" t="str">
        <f>"FOXF2"</f>
        <v>FOXF2</v>
      </c>
      <c r="B6527" t="s">
        <v>14</v>
      </c>
      <c r="C6527" t="s">
        <v>32</v>
      </c>
      <c r="D6527" t="s">
        <v>17</v>
      </c>
      <c r="E6527" t="s">
        <v>12</v>
      </c>
      <c r="F6527">
        <v>1389789</v>
      </c>
      <c r="G6527">
        <v>1389821</v>
      </c>
      <c r="H6527">
        <v>1389989</v>
      </c>
      <c r="I6527">
        <v>1390019</v>
      </c>
    </row>
    <row r="6528" spans="1:9" x14ac:dyDescent="0.2">
      <c r="A6528" s="1" t="str">
        <f>"FOXG1"</f>
        <v>FOXG1</v>
      </c>
      <c r="B6528" t="s">
        <v>14</v>
      </c>
      <c r="C6528" t="s">
        <v>41</v>
      </c>
      <c r="D6528" t="s">
        <v>17</v>
      </c>
      <c r="E6528" t="s">
        <v>12</v>
      </c>
      <c r="F6528">
        <v>29235961</v>
      </c>
      <c r="G6528">
        <v>29236008</v>
      </c>
      <c r="H6528">
        <v>29235961</v>
      </c>
      <c r="I6528">
        <v>29236008</v>
      </c>
    </row>
    <row r="6529" spans="1:9" x14ac:dyDescent="0.2">
      <c r="A6529" s="1" t="str">
        <f>"FOXH1"</f>
        <v>FOXH1</v>
      </c>
      <c r="B6529" t="s">
        <v>14</v>
      </c>
      <c r="C6529" t="s">
        <v>30</v>
      </c>
      <c r="D6529" t="s">
        <v>11</v>
      </c>
      <c r="E6529" t="s">
        <v>12</v>
      </c>
      <c r="F6529">
        <v>145701192</v>
      </c>
      <c r="G6529">
        <v>145701241</v>
      </c>
      <c r="H6529">
        <v>145701166</v>
      </c>
      <c r="I6529">
        <v>145701187</v>
      </c>
    </row>
    <row r="6530" spans="1:9" x14ac:dyDescent="0.2">
      <c r="A6530" s="1" t="str">
        <f>"FOXI1"</f>
        <v>FOXI1</v>
      </c>
      <c r="B6530" t="s">
        <v>14</v>
      </c>
      <c r="C6530" t="s">
        <v>46</v>
      </c>
      <c r="D6530" t="s">
        <v>17</v>
      </c>
      <c r="E6530" t="s">
        <v>12</v>
      </c>
      <c r="F6530">
        <v>169532896</v>
      </c>
      <c r="G6530">
        <v>169532904</v>
      </c>
      <c r="H6530">
        <v>169533165</v>
      </c>
      <c r="I6530">
        <v>169533180</v>
      </c>
    </row>
    <row r="6531" spans="1:9" x14ac:dyDescent="0.2">
      <c r="A6531" s="1" t="str">
        <f>"FOXI2"</f>
        <v>FOXI2</v>
      </c>
      <c r="B6531" t="s">
        <v>14</v>
      </c>
      <c r="C6531" t="s">
        <v>15</v>
      </c>
      <c r="D6531" t="s">
        <v>17</v>
      </c>
      <c r="E6531" t="s">
        <v>12</v>
      </c>
      <c r="F6531">
        <v>129535441</v>
      </c>
      <c r="G6531">
        <v>129535454</v>
      </c>
      <c r="H6531">
        <v>129535925</v>
      </c>
      <c r="I6531">
        <v>129535955</v>
      </c>
    </row>
    <row r="6532" spans="1:9" x14ac:dyDescent="0.2">
      <c r="A6532" s="1" t="str">
        <f>"FOXI3"</f>
        <v>FOXI3</v>
      </c>
      <c r="B6532" t="s">
        <v>14</v>
      </c>
      <c r="C6532" t="s">
        <v>26</v>
      </c>
      <c r="D6532" t="s">
        <v>11</v>
      </c>
      <c r="E6532" t="s">
        <v>12</v>
      </c>
      <c r="F6532">
        <v>88752207</v>
      </c>
      <c r="G6532">
        <v>88752218</v>
      </c>
      <c r="H6532">
        <v>88752231</v>
      </c>
      <c r="I6532">
        <v>88752245</v>
      </c>
    </row>
    <row r="6533" spans="1:9" x14ac:dyDescent="0.2">
      <c r="A6533" s="1" t="str">
        <f>"FOXJ1"</f>
        <v>FOXJ1</v>
      </c>
      <c r="B6533" t="s">
        <v>14</v>
      </c>
      <c r="C6533" t="s">
        <v>28</v>
      </c>
      <c r="D6533" t="s">
        <v>11</v>
      </c>
      <c r="E6533" t="s">
        <v>12</v>
      </c>
      <c r="F6533">
        <v>74137321</v>
      </c>
      <c r="G6533">
        <v>74137337</v>
      </c>
      <c r="H6533">
        <v>74137374</v>
      </c>
      <c r="I6533">
        <v>74137385</v>
      </c>
    </row>
    <row r="6534" spans="1:9" x14ac:dyDescent="0.2">
      <c r="A6534" s="1" t="str">
        <f>"FOXJ2"</f>
        <v>FOXJ2</v>
      </c>
      <c r="B6534" t="s">
        <v>14</v>
      </c>
      <c r="C6534" t="s">
        <v>16</v>
      </c>
      <c r="D6534" t="s">
        <v>17</v>
      </c>
      <c r="E6534" t="s">
        <v>12</v>
      </c>
      <c r="F6534">
        <v>8185288</v>
      </c>
      <c r="G6534">
        <v>8185339</v>
      </c>
      <c r="H6534">
        <v>8185346</v>
      </c>
      <c r="I6534">
        <v>8185360</v>
      </c>
    </row>
    <row r="6535" spans="1:9" x14ac:dyDescent="0.2">
      <c r="A6535" s="1" t="str">
        <f>"FOXJ3"</f>
        <v>FOXJ3</v>
      </c>
      <c r="B6535" t="s">
        <v>14</v>
      </c>
      <c r="C6535" t="s">
        <v>19</v>
      </c>
      <c r="D6535" t="s">
        <v>11</v>
      </c>
      <c r="E6535" t="s">
        <v>12</v>
      </c>
      <c r="F6535">
        <v>42800860</v>
      </c>
      <c r="G6535">
        <v>42800912</v>
      </c>
      <c r="H6535">
        <v>42800848</v>
      </c>
      <c r="I6535">
        <v>42800859</v>
      </c>
    </row>
    <row r="6536" spans="1:9" x14ac:dyDescent="0.2">
      <c r="A6536" s="1" t="str">
        <f>"FOXK1"</f>
        <v>FOXK1</v>
      </c>
      <c r="B6536" t="s">
        <v>14</v>
      </c>
      <c r="C6536" t="s">
        <v>33</v>
      </c>
      <c r="D6536" t="s">
        <v>17</v>
      </c>
      <c r="E6536" t="s">
        <v>12</v>
      </c>
      <c r="F6536">
        <v>4721885</v>
      </c>
      <c r="G6536">
        <v>4721945</v>
      </c>
      <c r="H6536">
        <v>4721870</v>
      </c>
      <c r="I6536">
        <v>4721878</v>
      </c>
    </row>
    <row r="6537" spans="1:9" x14ac:dyDescent="0.2">
      <c r="A6537" s="1" t="str">
        <f>"FOXK2"</f>
        <v>FOXK2</v>
      </c>
      <c r="B6537" t="s">
        <v>14</v>
      </c>
      <c r="C6537" t="s">
        <v>28</v>
      </c>
      <c r="D6537" t="s">
        <v>17</v>
      </c>
      <c r="E6537" t="s">
        <v>12</v>
      </c>
      <c r="F6537">
        <v>80477571</v>
      </c>
      <c r="G6537">
        <v>80477637</v>
      </c>
      <c r="H6537">
        <v>80477643</v>
      </c>
      <c r="I6537">
        <v>80477678</v>
      </c>
    </row>
    <row r="6538" spans="1:9" x14ac:dyDescent="0.2">
      <c r="A6538" s="1" t="str">
        <f>"FOXL1"</f>
        <v>FOXL1</v>
      </c>
      <c r="B6538" t="s">
        <v>14</v>
      </c>
      <c r="C6538" t="s">
        <v>31</v>
      </c>
      <c r="D6538" t="s">
        <v>17</v>
      </c>
      <c r="E6538" t="s">
        <v>12</v>
      </c>
      <c r="F6538">
        <v>86612320</v>
      </c>
      <c r="G6538">
        <v>86612394</v>
      </c>
      <c r="H6538">
        <v>86612149</v>
      </c>
      <c r="I6538">
        <v>86612161</v>
      </c>
    </row>
    <row r="6539" spans="1:9" x14ac:dyDescent="0.2">
      <c r="A6539" s="1" t="str">
        <f>"FOXL2"</f>
        <v>FOXL2</v>
      </c>
      <c r="B6539" t="s">
        <v>14</v>
      </c>
      <c r="C6539" t="s">
        <v>22</v>
      </c>
      <c r="D6539" t="s">
        <v>11</v>
      </c>
      <c r="E6539" t="s">
        <v>12</v>
      </c>
      <c r="F6539">
        <v>138665937</v>
      </c>
      <c r="G6539">
        <v>138665968</v>
      </c>
      <c r="H6539">
        <v>138665969</v>
      </c>
      <c r="I6539">
        <v>138665993</v>
      </c>
    </row>
    <row r="6540" spans="1:9" x14ac:dyDescent="0.2">
      <c r="A6540" s="1" t="str">
        <f>"FOXM1"</f>
        <v>FOXM1</v>
      </c>
      <c r="B6540" t="s">
        <v>14</v>
      </c>
      <c r="C6540" t="s">
        <v>16</v>
      </c>
      <c r="D6540" t="s">
        <v>11</v>
      </c>
      <c r="E6540" t="s">
        <v>12</v>
      </c>
      <c r="F6540">
        <v>2986275</v>
      </c>
      <c r="G6540">
        <v>2986363</v>
      </c>
      <c r="H6540">
        <v>2986206</v>
      </c>
      <c r="I6540">
        <v>2986258</v>
      </c>
    </row>
    <row r="6541" spans="1:9" x14ac:dyDescent="0.2">
      <c r="A6541" s="1" t="str">
        <f>"FOXN1"</f>
        <v>FOXN1</v>
      </c>
      <c r="B6541" t="s">
        <v>14</v>
      </c>
      <c r="C6541" t="s">
        <v>28</v>
      </c>
      <c r="D6541" t="s">
        <v>17</v>
      </c>
      <c r="E6541" t="s">
        <v>12</v>
      </c>
      <c r="F6541">
        <v>26833339</v>
      </c>
      <c r="G6541">
        <v>26833378</v>
      </c>
      <c r="H6541">
        <v>26833250</v>
      </c>
      <c r="I6541">
        <v>26833262</v>
      </c>
    </row>
    <row r="6542" spans="1:9" x14ac:dyDescent="0.2">
      <c r="A6542" s="1" t="str">
        <f>"FOXN2"</f>
        <v>FOXN2</v>
      </c>
      <c r="B6542" t="s">
        <v>14</v>
      </c>
      <c r="C6542" t="s">
        <v>26</v>
      </c>
      <c r="D6542" t="s">
        <v>17</v>
      </c>
      <c r="E6542" t="s">
        <v>12</v>
      </c>
      <c r="F6542">
        <v>48541789</v>
      </c>
      <c r="G6542">
        <v>48541874</v>
      </c>
      <c r="H6542">
        <v>48541496</v>
      </c>
      <c r="I6542">
        <v>48541517</v>
      </c>
    </row>
    <row r="6543" spans="1:9" x14ac:dyDescent="0.2">
      <c r="A6543" s="1" t="str">
        <f>"FOXN3"</f>
        <v>FOXN3</v>
      </c>
      <c r="B6543" t="s">
        <v>9</v>
      </c>
      <c r="C6543" t="s">
        <v>41</v>
      </c>
      <c r="D6543" t="s">
        <v>11</v>
      </c>
      <c r="E6543" t="s">
        <v>12</v>
      </c>
      <c r="F6543">
        <v>90085458</v>
      </c>
      <c r="G6543">
        <v>90085557</v>
      </c>
      <c r="H6543">
        <v>90085458</v>
      </c>
      <c r="I6543">
        <v>90085557</v>
      </c>
    </row>
    <row r="6544" spans="1:9" x14ac:dyDescent="0.2">
      <c r="A6544" s="1" t="str">
        <f>"FOXN3"</f>
        <v>FOXN3</v>
      </c>
      <c r="B6544" t="s">
        <v>13</v>
      </c>
      <c r="C6544" t="s">
        <v>41</v>
      </c>
      <c r="D6544" t="s">
        <v>11</v>
      </c>
      <c r="E6544" t="s">
        <v>12</v>
      </c>
      <c r="F6544">
        <v>89883509</v>
      </c>
      <c r="G6544">
        <v>89883587</v>
      </c>
      <c r="H6544">
        <v>89883509</v>
      </c>
      <c r="I6544">
        <v>89883587</v>
      </c>
    </row>
    <row r="6545" spans="1:9" x14ac:dyDescent="0.2">
      <c r="A6545" s="1" t="str">
        <f>"FOXN4"</f>
        <v>FOXN4</v>
      </c>
      <c r="B6545" t="s">
        <v>14</v>
      </c>
      <c r="C6545" t="s">
        <v>16</v>
      </c>
      <c r="D6545" t="s">
        <v>11</v>
      </c>
      <c r="E6545" t="s">
        <v>12</v>
      </c>
      <c r="F6545">
        <v>109747040</v>
      </c>
      <c r="G6545">
        <v>109747055</v>
      </c>
      <c r="H6545">
        <v>109747083</v>
      </c>
      <c r="I6545">
        <v>109747094</v>
      </c>
    </row>
    <row r="6546" spans="1:9" x14ac:dyDescent="0.2">
      <c r="A6546" s="1" t="str">
        <f>"FOXO1"</f>
        <v>FOXO1</v>
      </c>
      <c r="B6546" t="s">
        <v>14</v>
      </c>
      <c r="C6546" t="s">
        <v>39</v>
      </c>
      <c r="D6546" t="s">
        <v>11</v>
      </c>
      <c r="E6546" t="s">
        <v>12</v>
      </c>
      <c r="F6546">
        <v>41240737</v>
      </c>
      <c r="G6546">
        <v>41240787</v>
      </c>
      <c r="H6546">
        <v>41240717</v>
      </c>
      <c r="I6546">
        <v>41240735</v>
      </c>
    </row>
    <row r="6547" spans="1:9" x14ac:dyDescent="0.2">
      <c r="A6547" s="1" t="str">
        <f>"FOXO3"</f>
        <v>FOXO3</v>
      </c>
      <c r="B6547" t="s">
        <v>9</v>
      </c>
      <c r="C6547" t="s">
        <v>32</v>
      </c>
      <c r="D6547" t="s">
        <v>17</v>
      </c>
      <c r="E6547" t="s">
        <v>12</v>
      </c>
      <c r="F6547">
        <v>108880956</v>
      </c>
      <c r="G6547">
        <v>108881011</v>
      </c>
      <c r="H6547">
        <v>108880956</v>
      </c>
      <c r="I6547">
        <v>108881011</v>
      </c>
    </row>
    <row r="6548" spans="1:9" x14ac:dyDescent="0.2">
      <c r="A6548" s="1" t="str">
        <f>"FOXO3"</f>
        <v>FOXO3</v>
      </c>
      <c r="B6548" t="s">
        <v>13</v>
      </c>
      <c r="C6548" t="s">
        <v>32</v>
      </c>
      <c r="D6548" t="s">
        <v>17</v>
      </c>
      <c r="E6548" t="s">
        <v>12</v>
      </c>
      <c r="F6548">
        <v>108882109</v>
      </c>
      <c r="G6548">
        <v>108882173</v>
      </c>
      <c r="H6548">
        <v>108882109</v>
      </c>
      <c r="I6548">
        <v>108882173</v>
      </c>
    </row>
    <row r="6549" spans="1:9" x14ac:dyDescent="0.2">
      <c r="A6549" s="1" t="str">
        <f>"FOXO4"</f>
        <v>FOXO4</v>
      </c>
      <c r="B6549" t="s">
        <v>14</v>
      </c>
      <c r="C6549" t="s">
        <v>37</v>
      </c>
      <c r="D6549" t="s">
        <v>17</v>
      </c>
      <c r="E6549" t="s">
        <v>12</v>
      </c>
      <c r="F6549">
        <v>70315688</v>
      </c>
      <c r="G6549">
        <v>70315709</v>
      </c>
      <c r="H6549">
        <v>70316005</v>
      </c>
      <c r="I6549">
        <v>70316034</v>
      </c>
    </row>
    <row r="6550" spans="1:9" x14ac:dyDescent="0.2">
      <c r="A6550" s="1" t="str">
        <f>"FOXO6"</f>
        <v>FOXO6</v>
      </c>
      <c r="B6550" t="s">
        <v>14</v>
      </c>
      <c r="C6550" t="s">
        <v>19</v>
      </c>
      <c r="D6550" t="s">
        <v>17</v>
      </c>
      <c r="E6550" t="s">
        <v>12</v>
      </c>
      <c r="F6550">
        <v>41827095</v>
      </c>
      <c r="G6550">
        <v>41827155</v>
      </c>
      <c r="H6550">
        <v>41827562</v>
      </c>
      <c r="I6550">
        <v>41827601</v>
      </c>
    </row>
    <row r="6551" spans="1:9" x14ac:dyDescent="0.2">
      <c r="A6551" s="1" t="str">
        <f>"FOXP1"</f>
        <v>FOXP1</v>
      </c>
      <c r="B6551" t="s">
        <v>474</v>
      </c>
      <c r="C6551" t="s">
        <v>22</v>
      </c>
      <c r="D6551" t="s">
        <v>11</v>
      </c>
      <c r="E6551" t="s">
        <v>35</v>
      </c>
      <c r="F6551">
        <v>71633107</v>
      </c>
      <c r="G6551">
        <v>71633140</v>
      </c>
      <c r="H6551">
        <v>71632966</v>
      </c>
      <c r="I6551">
        <v>71632997</v>
      </c>
    </row>
    <row r="6552" spans="1:9" x14ac:dyDescent="0.2">
      <c r="A6552" s="1" t="str">
        <f>"FOXP1"</f>
        <v>FOXP1</v>
      </c>
      <c r="B6552" t="s">
        <v>475</v>
      </c>
      <c r="C6552" t="s">
        <v>22</v>
      </c>
      <c r="D6552" t="s">
        <v>11</v>
      </c>
      <c r="E6552" t="s">
        <v>20</v>
      </c>
      <c r="F6552">
        <v>71592707</v>
      </c>
      <c r="G6552">
        <v>71592707</v>
      </c>
      <c r="H6552">
        <v>71592707</v>
      </c>
      <c r="I6552">
        <v>71592707</v>
      </c>
    </row>
    <row r="6553" spans="1:9" x14ac:dyDescent="0.2">
      <c r="A6553" s="1" t="str">
        <f>"FOXP1"</f>
        <v>FOXP1</v>
      </c>
      <c r="B6553" t="s">
        <v>476</v>
      </c>
      <c r="C6553" t="s">
        <v>22</v>
      </c>
      <c r="D6553" t="s">
        <v>11</v>
      </c>
      <c r="E6553" t="s">
        <v>35</v>
      </c>
      <c r="F6553">
        <v>71632966</v>
      </c>
      <c r="G6553">
        <v>71632997</v>
      </c>
      <c r="H6553">
        <v>71632743</v>
      </c>
      <c r="I6553">
        <v>71632756</v>
      </c>
    </row>
    <row r="6554" spans="1:9" x14ac:dyDescent="0.2">
      <c r="A6554" s="1" t="str">
        <f>"FOXP1"</f>
        <v>FOXP1</v>
      </c>
      <c r="B6554" t="s">
        <v>477</v>
      </c>
      <c r="C6554" t="s">
        <v>22</v>
      </c>
      <c r="D6554" t="s">
        <v>11</v>
      </c>
      <c r="E6554" t="s">
        <v>35</v>
      </c>
      <c r="F6554">
        <v>71294334</v>
      </c>
      <c r="G6554">
        <v>71294341</v>
      </c>
      <c r="H6554">
        <v>71294197</v>
      </c>
      <c r="I6554">
        <v>71294206</v>
      </c>
    </row>
    <row r="6555" spans="1:9" x14ac:dyDescent="0.2">
      <c r="A6555" s="1" t="str">
        <f>"FOXP2"</f>
        <v>FOXP2</v>
      </c>
      <c r="B6555" t="s">
        <v>478</v>
      </c>
      <c r="C6555" t="s">
        <v>33</v>
      </c>
      <c r="D6555" t="s">
        <v>17</v>
      </c>
      <c r="E6555" t="s">
        <v>35</v>
      </c>
      <c r="F6555">
        <v>114055045</v>
      </c>
      <c r="G6555">
        <v>114055055</v>
      </c>
      <c r="H6555">
        <v>114055263</v>
      </c>
      <c r="I6555">
        <v>114055264</v>
      </c>
    </row>
    <row r="6556" spans="1:9" x14ac:dyDescent="0.2">
      <c r="A6556" s="1" t="str">
        <f>"FOXP2"</f>
        <v>FOXP2</v>
      </c>
      <c r="B6556" t="s">
        <v>479</v>
      </c>
      <c r="C6556" t="s">
        <v>33</v>
      </c>
      <c r="D6556" t="s">
        <v>17</v>
      </c>
      <c r="E6556" t="s">
        <v>20</v>
      </c>
      <c r="F6556">
        <v>114054328</v>
      </c>
      <c r="G6556">
        <v>114054328</v>
      </c>
      <c r="H6556">
        <v>114054328</v>
      </c>
      <c r="I6556">
        <v>114054328</v>
      </c>
    </row>
    <row r="6557" spans="1:9" x14ac:dyDescent="0.2">
      <c r="A6557" s="1" t="str">
        <f>"FOXP3"</f>
        <v>FOXP3</v>
      </c>
      <c r="B6557" t="s">
        <v>14</v>
      </c>
      <c r="C6557" t="s">
        <v>37</v>
      </c>
      <c r="D6557" t="s">
        <v>11</v>
      </c>
      <c r="E6557" t="s">
        <v>12</v>
      </c>
      <c r="F6557">
        <v>49121165</v>
      </c>
      <c r="G6557">
        <v>49121179</v>
      </c>
      <c r="H6557">
        <v>49121165</v>
      </c>
      <c r="I6557">
        <v>49121179</v>
      </c>
    </row>
    <row r="6558" spans="1:9" x14ac:dyDescent="0.2">
      <c r="A6558" s="1" t="str">
        <f>"FOXP4"</f>
        <v>FOXP4</v>
      </c>
      <c r="B6558" t="s">
        <v>14</v>
      </c>
      <c r="C6558" t="s">
        <v>32</v>
      </c>
      <c r="D6558" t="s">
        <v>17</v>
      </c>
      <c r="E6558" t="s">
        <v>12</v>
      </c>
      <c r="F6558">
        <v>41514078</v>
      </c>
      <c r="G6558">
        <v>41514158</v>
      </c>
      <c r="H6558">
        <v>41514305</v>
      </c>
      <c r="I6558">
        <v>41514359</v>
      </c>
    </row>
    <row r="6559" spans="1:9" x14ac:dyDescent="0.2">
      <c r="A6559" s="1" t="str">
        <f>"FOXQ1"</f>
        <v>FOXQ1</v>
      </c>
      <c r="B6559" t="s">
        <v>14</v>
      </c>
      <c r="C6559" t="s">
        <v>32</v>
      </c>
      <c r="D6559" t="s">
        <v>17</v>
      </c>
      <c r="E6559" t="s">
        <v>12</v>
      </c>
      <c r="F6559">
        <v>1312325</v>
      </c>
      <c r="G6559">
        <v>1312340</v>
      </c>
      <c r="H6559">
        <v>1312325</v>
      </c>
      <c r="I6559">
        <v>1312340</v>
      </c>
    </row>
    <row r="6560" spans="1:9" x14ac:dyDescent="0.2">
      <c r="A6560" s="1" t="str">
        <f>"FOXR1"</f>
        <v>FOXR1</v>
      </c>
      <c r="B6560" t="s">
        <v>14</v>
      </c>
      <c r="C6560" t="s">
        <v>27</v>
      </c>
      <c r="D6560" t="s">
        <v>17</v>
      </c>
      <c r="E6560" t="s">
        <v>12</v>
      </c>
      <c r="F6560">
        <v>118842467</v>
      </c>
      <c r="G6560">
        <v>118842477</v>
      </c>
      <c r="H6560">
        <v>118842454</v>
      </c>
      <c r="I6560">
        <v>118842461</v>
      </c>
    </row>
    <row r="6561" spans="1:9" x14ac:dyDescent="0.2">
      <c r="A6561" s="1" t="str">
        <f>"FOXR2"</f>
        <v>FOXR2</v>
      </c>
      <c r="B6561" t="s">
        <v>480</v>
      </c>
      <c r="C6561" t="s">
        <v>37</v>
      </c>
      <c r="D6561" t="s">
        <v>17</v>
      </c>
      <c r="E6561" t="s">
        <v>20</v>
      </c>
      <c r="F6561">
        <v>55649832</v>
      </c>
      <c r="G6561">
        <v>55649832</v>
      </c>
      <c r="H6561">
        <v>55649832</v>
      </c>
      <c r="I6561">
        <v>55649832</v>
      </c>
    </row>
    <row r="6562" spans="1:9" x14ac:dyDescent="0.2">
      <c r="A6562" s="1" t="str">
        <f>"FOXRED1"</f>
        <v>FOXRED1</v>
      </c>
      <c r="B6562" t="s">
        <v>14</v>
      </c>
      <c r="C6562" t="s">
        <v>27</v>
      </c>
      <c r="D6562" t="s">
        <v>17</v>
      </c>
      <c r="E6562" t="s">
        <v>12</v>
      </c>
      <c r="F6562">
        <v>126139005</v>
      </c>
      <c r="G6562">
        <v>126139086</v>
      </c>
      <c r="H6562">
        <v>126138988</v>
      </c>
      <c r="I6562">
        <v>126139004</v>
      </c>
    </row>
    <row r="6563" spans="1:9" x14ac:dyDescent="0.2">
      <c r="A6563" s="1" t="str">
        <f>"FOXRED2"</f>
        <v>FOXRED2</v>
      </c>
      <c r="B6563" t="s">
        <v>14</v>
      </c>
      <c r="C6563" t="s">
        <v>21</v>
      </c>
      <c r="D6563" t="s">
        <v>11</v>
      </c>
      <c r="E6563" t="s">
        <v>12</v>
      </c>
      <c r="F6563">
        <v>36903075</v>
      </c>
      <c r="G6563">
        <v>36903096</v>
      </c>
      <c r="H6563">
        <v>36903101</v>
      </c>
      <c r="I6563">
        <v>36903129</v>
      </c>
    </row>
    <row r="6564" spans="1:9" x14ac:dyDescent="0.2">
      <c r="A6564" s="1" t="str">
        <f>"FOXS1"</f>
        <v>FOXS1</v>
      </c>
      <c r="B6564" t="s">
        <v>14</v>
      </c>
      <c r="C6564" t="s">
        <v>29</v>
      </c>
      <c r="D6564" t="s">
        <v>11</v>
      </c>
      <c r="E6564" t="s">
        <v>12</v>
      </c>
      <c r="F6564">
        <v>30433396</v>
      </c>
      <c r="G6564">
        <v>30433414</v>
      </c>
      <c r="H6564">
        <v>30433431</v>
      </c>
      <c r="I6564">
        <v>30433442</v>
      </c>
    </row>
    <row r="6565" spans="1:9" x14ac:dyDescent="0.2">
      <c r="A6565" s="1" t="str">
        <f>"FPGS"</f>
        <v>FPGS</v>
      </c>
      <c r="B6565" t="s">
        <v>14</v>
      </c>
      <c r="C6565" t="s">
        <v>24</v>
      </c>
      <c r="D6565" t="s">
        <v>17</v>
      </c>
      <c r="E6565" t="s">
        <v>12</v>
      </c>
      <c r="F6565">
        <v>130565147</v>
      </c>
      <c r="G6565">
        <v>130565214</v>
      </c>
      <c r="H6565">
        <v>130565568</v>
      </c>
      <c r="I6565">
        <v>130565617</v>
      </c>
    </row>
    <row r="6566" spans="1:9" x14ac:dyDescent="0.2">
      <c r="A6566" s="1" t="str">
        <f>"FPGT"</f>
        <v>FPGT</v>
      </c>
      <c r="B6566" t="s">
        <v>14</v>
      </c>
      <c r="C6566" t="s">
        <v>19</v>
      </c>
      <c r="D6566" t="s">
        <v>17</v>
      </c>
      <c r="E6566" t="s">
        <v>12</v>
      </c>
      <c r="F6566">
        <v>74663913</v>
      </c>
      <c r="G6566">
        <v>74663984</v>
      </c>
      <c r="H6566">
        <v>74663994</v>
      </c>
      <c r="I6566">
        <v>74664005</v>
      </c>
    </row>
    <row r="6567" spans="1:9" x14ac:dyDescent="0.2">
      <c r="A6567" s="1" t="str">
        <f>"FPGT-TNNI3K"</f>
        <v>FPGT-TNNI3K</v>
      </c>
      <c r="B6567" t="s">
        <v>14</v>
      </c>
      <c r="C6567" t="s">
        <v>19</v>
      </c>
      <c r="D6567" t="s">
        <v>17</v>
      </c>
      <c r="E6567" t="s">
        <v>12</v>
      </c>
      <c r="F6567">
        <v>74663913</v>
      </c>
      <c r="G6567">
        <v>74663984</v>
      </c>
      <c r="H6567">
        <v>74663913</v>
      </c>
      <c r="I6567">
        <v>74663984</v>
      </c>
    </row>
    <row r="6568" spans="1:9" x14ac:dyDescent="0.2">
      <c r="A6568" s="1" t="str">
        <f>"FPR1"</f>
        <v>FPR1</v>
      </c>
      <c r="B6568" t="s">
        <v>14</v>
      </c>
      <c r="C6568" t="s">
        <v>10</v>
      </c>
      <c r="D6568" t="s">
        <v>11</v>
      </c>
      <c r="E6568" t="s">
        <v>12</v>
      </c>
      <c r="F6568">
        <v>52255107</v>
      </c>
      <c r="G6568">
        <v>52255151</v>
      </c>
      <c r="H6568">
        <v>52255107</v>
      </c>
      <c r="I6568">
        <v>52255151</v>
      </c>
    </row>
    <row r="6569" spans="1:9" x14ac:dyDescent="0.2">
      <c r="A6569" s="1" t="str">
        <f>"FPR2"</f>
        <v>FPR2</v>
      </c>
      <c r="B6569" t="s">
        <v>14</v>
      </c>
      <c r="C6569" t="s">
        <v>10</v>
      </c>
      <c r="D6569" t="s">
        <v>17</v>
      </c>
      <c r="E6569" t="s">
        <v>12</v>
      </c>
      <c r="F6569">
        <v>52264423</v>
      </c>
      <c r="G6569">
        <v>52264439</v>
      </c>
      <c r="H6569">
        <v>52264191</v>
      </c>
      <c r="I6569">
        <v>52264209</v>
      </c>
    </row>
    <row r="6570" spans="1:9" x14ac:dyDescent="0.2">
      <c r="A6570" s="1" t="str">
        <f>"FPR3"</f>
        <v>FPR3</v>
      </c>
      <c r="B6570" t="s">
        <v>14</v>
      </c>
      <c r="C6570" t="s">
        <v>10</v>
      </c>
      <c r="D6570" t="s">
        <v>17</v>
      </c>
      <c r="E6570" t="s">
        <v>12</v>
      </c>
      <c r="F6570">
        <v>52298399</v>
      </c>
      <c r="G6570">
        <v>52298445</v>
      </c>
      <c r="H6570">
        <v>52298383</v>
      </c>
      <c r="I6570">
        <v>52298398</v>
      </c>
    </row>
    <row r="6571" spans="1:9" x14ac:dyDescent="0.2">
      <c r="A6571" s="1" t="str">
        <f>"FRA10AC1"</f>
        <v>FRA10AC1</v>
      </c>
      <c r="B6571" t="s">
        <v>14</v>
      </c>
      <c r="C6571" t="s">
        <v>15</v>
      </c>
      <c r="D6571" t="s">
        <v>11</v>
      </c>
      <c r="E6571" t="s">
        <v>12</v>
      </c>
      <c r="F6571">
        <v>95462265</v>
      </c>
      <c r="G6571">
        <v>95462378</v>
      </c>
      <c r="H6571">
        <v>95462156</v>
      </c>
      <c r="I6571">
        <v>95462167</v>
      </c>
    </row>
    <row r="6572" spans="1:9" x14ac:dyDescent="0.2">
      <c r="A6572" s="1" t="str">
        <f>"FRAS1"</f>
        <v>FRAS1</v>
      </c>
      <c r="B6572" t="s">
        <v>14</v>
      </c>
      <c r="C6572" t="s">
        <v>23</v>
      </c>
      <c r="D6572" t="s">
        <v>17</v>
      </c>
      <c r="E6572" t="s">
        <v>12</v>
      </c>
      <c r="F6572">
        <v>78978468</v>
      </c>
      <c r="G6572">
        <v>78978516</v>
      </c>
      <c r="H6572">
        <v>78978751</v>
      </c>
      <c r="I6572">
        <v>78978764</v>
      </c>
    </row>
    <row r="6573" spans="1:9" x14ac:dyDescent="0.2">
      <c r="A6573" s="1" t="str">
        <f>"FRAT1"</f>
        <v>FRAT1</v>
      </c>
      <c r="B6573" t="s">
        <v>14</v>
      </c>
      <c r="C6573" t="s">
        <v>15</v>
      </c>
      <c r="D6573" t="s">
        <v>17</v>
      </c>
      <c r="E6573" t="s">
        <v>12</v>
      </c>
      <c r="F6573">
        <v>99079008</v>
      </c>
      <c r="G6573">
        <v>99079060</v>
      </c>
      <c r="H6573">
        <v>99079268</v>
      </c>
      <c r="I6573">
        <v>99079308</v>
      </c>
    </row>
    <row r="6574" spans="1:9" x14ac:dyDescent="0.2">
      <c r="A6574" s="1" t="str">
        <f>"FRAT2"</f>
        <v>FRAT2</v>
      </c>
      <c r="B6574" t="s">
        <v>14</v>
      </c>
      <c r="C6574" t="s">
        <v>15</v>
      </c>
      <c r="D6574" t="s">
        <v>11</v>
      </c>
      <c r="E6574" t="s">
        <v>12</v>
      </c>
      <c r="F6574">
        <v>99094458</v>
      </c>
      <c r="G6574">
        <v>99094500</v>
      </c>
      <c r="H6574">
        <v>99094236</v>
      </c>
      <c r="I6574">
        <v>99094266</v>
      </c>
    </row>
    <row r="6575" spans="1:9" x14ac:dyDescent="0.2">
      <c r="A6575" s="1" t="str">
        <f>"FREM1"</f>
        <v>FREM1</v>
      </c>
      <c r="B6575" t="s">
        <v>14</v>
      </c>
      <c r="C6575" t="s">
        <v>24</v>
      </c>
      <c r="D6575" t="s">
        <v>11</v>
      </c>
      <c r="E6575" t="s">
        <v>12</v>
      </c>
      <c r="F6575">
        <v>14909966</v>
      </c>
      <c r="G6575">
        <v>14909990</v>
      </c>
      <c r="H6575">
        <v>14910420</v>
      </c>
      <c r="I6575">
        <v>14910434</v>
      </c>
    </row>
    <row r="6576" spans="1:9" x14ac:dyDescent="0.2">
      <c r="A6576" s="1" t="str">
        <f>"FREM2"</f>
        <v>FREM2</v>
      </c>
      <c r="B6576" t="s">
        <v>14</v>
      </c>
      <c r="C6576" t="s">
        <v>39</v>
      </c>
      <c r="D6576" t="s">
        <v>17</v>
      </c>
      <c r="E6576" t="s">
        <v>12</v>
      </c>
      <c r="F6576">
        <v>39261206</v>
      </c>
      <c r="G6576">
        <v>39261220</v>
      </c>
      <c r="H6576">
        <v>39261175</v>
      </c>
      <c r="I6576">
        <v>39261197</v>
      </c>
    </row>
    <row r="6577" spans="1:9" x14ac:dyDescent="0.2">
      <c r="A6577" s="1" t="str">
        <f>"FREM3"</f>
        <v>FREM3</v>
      </c>
      <c r="B6577" t="s">
        <v>14</v>
      </c>
      <c r="C6577" t="s">
        <v>23</v>
      </c>
      <c r="D6577" t="s">
        <v>11</v>
      </c>
      <c r="E6577" t="s">
        <v>12</v>
      </c>
      <c r="F6577">
        <v>144622223</v>
      </c>
      <c r="G6577">
        <v>144622268</v>
      </c>
      <c r="H6577">
        <v>144622223</v>
      </c>
      <c r="I6577">
        <v>144622268</v>
      </c>
    </row>
    <row r="6578" spans="1:9" x14ac:dyDescent="0.2">
      <c r="A6578" s="1" t="str">
        <f>"FRG1"</f>
        <v>FRG1</v>
      </c>
      <c r="B6578" t="s">
        <v>14</v>
      </c>
      <c r="C6578" t="s">
        <v>23</v>
      </c>
      <c r="D6578" t="s">
        <v>17</v>
      </c>
      <c r="E6578" t="s">
        <v>12</v>
      </c>
      <c r="F6578">
        <v>190861993</v>
      </c>
      <c r="G6578">
        <v>190862128</v>
      </c>
      <c r="H6578">
        <v>190862132</v>
      </c>
      <c r="I6578">
        <v>190862151</v>
      </c>
    </row>
    <row r="6579" spans="1:9" x14ac:dyDescent="0.2">
      <c r="A6579" s="1" t="str">
        <f>"FRG2"</f>
        <v>FRG2</v>
      </c>
      <c r="B6579" t="s">
        <v>481</v>
      </c>
      <c r="C6579" t="s">
        <v>23</v>
      </c>
      <c r="D6579" t="s">
        <v>11</v>
      </c>
      <c r="E6579" t="s">
        <v>20</v>
      </c>
      <c r="F6579">
        <v>190948409</v>
      </c>
      <c r="G6579">
        <v>190948409</v>
      </c>
      <c r="H6579">
        <v>190948409</v>
      </c>
      <c r="I6579">
        <v>190948409</v>
      </c>
    </row>
    <row r="6580" spans="1:9" x14ac:dyDescent="0.2">
      <c r="A6580" s="1" t="str">
        <f>"FRG2B"</f>
        <v>FRG2B</v>
      </c>
      <c r="B6580" t="s">
        <v>482</v>
      </c>
      <c r="C6580" t="s">
        <v>15</v>
      </c>
      <c r="D6580" t="s">
        <v>11</v>
      </c>
      <c r="E6580" t="s">
        <v>20</v>
      </c>
      <c r="F6580">
        <v>135440296</v>
      </c>
      <c r="G6580">
        <v>135440296</v>
      </c>
      <c r="H6580">
        <v>135440296</v>
      </c>
      <c r="I6580">
        <v>135440296</v>
      </c>
    </row>
    <row r="6581" spans="1:9" x14ac:dyDescent="0.2">
      <c r="A6581" s="1" t="str">
        <f>"FRG2C"</f>
        <v>FRG2C</v>
      </c>
      <c r="B6581" t="s">
        <v>14</v>
      </c>
      <c r="C6581" t="s">
        <v>22</v>
      </c>
      <c r="D6581" t="s">
        <v>17</v>
      </c>
      <c r="E6581" t="s">
        <v>12</v>
      </c>
      <c r="F6581">
        <v>75713478</v>
      </c>
      <c r="G6581">
        <v>75713482</v>
      </c>
      <c r="H6581">
        <v>75713478</v>
      </c>
      <c r="I6581">
        <v>75713482</v>
      </c>
    </row>
    <row r="6582" spans="1:9" x14ac:dyDescent="0.2">
      <c r="A6582" s="1" t="str">
        <f>"FRK"</f>
        <v>FRK</v>
      </c>
      <c r="B6582" t="s">
        <v>14</v>
      </c>
      <c r="C6582" t="s">
        <v>32</v>
      </c>
      <c r="D6582" t="s">
        <v>11</v>
      </c>
      <c r="E6582" t="s">
        <v>12</v>
      </c>
      <c r="F6582">
        <v>116381918</v>
      </c>
      <c r="G6582">
        <v>116381977</v>
      </c>
      <c r="H6582">
        <v>116382022</v>
      </c>
      <c r="I6582">
        <v>116382062</v>
      </c>
    </row>
    <row r="6583" spans="1:9" x14ac:dyDescent="0.2">
      <c r="A6583" s="1" t="str">
        <f>"FRMD1"</f>
        <v>FRMD1</v>
      </c>
      <c r="B6583" t="s">
        <v>9</v>
      </c>
      <c r="C6583" t="s">
        <v>32</v>
      </c>
      <c r="D6583" t="s">
        <v>11</v>
      </c>
      <c r="E6583" t="s">
        <v>12</v>
      </c>
      <c r="F6583">
        <v>168479856</v>
      </c>
      <c r="G6583">
        <v>168479904</v>
      </c>
      <c r="H6583">
        <v>168479856</v>
      </c>
      <c r="I6583">
        <v>168479904</v>
      </c>
    </row>
    <row r="6584" spans="1:9" x14ac:dyDescent="0.2">
      <c r="A6584" s="1" t="str">
        <f>"FRMD1"</f>
        <v>FRMD1</v>
      </c>
      <c r="B6584" t="s">
        <v>13</v>
      </c>
      <c r="C6584" t="s">
        <v>32</v>
      </c>
      <c r="D6584" t="s">
        <v>11</v>
      </c>
      <c r="E6584" t="s">
        <v>12</v>
      </c>
      <c r="F6584">
        <v>168468082</v>
      </c>
      <c r="G6584">
        <v>168468089</v>
      </c>
      <c r="H6584">
        <v>168468082</v>
      </c>
      <c r="I6584">
        <v>168468089</v>
      </c>
    </row>
    <row r="6585" spans="1:9" x14ac:dyDescent="0.2">
      <c r="A6585" s="1" t="str">
        <f>"FRMD3"</f>
        <v>FRMD3</v>
      </c>
      <c r="B6585" t="s">
        <v>14</v>
      </c>
      <c r="C6585" t="s">
        <v>24</v>
      </c>
      <c r="D6585" t="s">
        <v>11</v>
      </c>
      <c r="E6585" t="s">
        <v>12</v>
      </c>
      <c r="F6585">
        <v>86153218</v>
      </c>
      <c r="G6585">
        <v>86153343</v>
      </c>
      <c r="H6585">
        <v>86153218</v>
      </c>
      <c r="I6585">
        <v>86153343</v>
      </c>
    </row>
    <row r="6586" spans="1:9" x14ac:dyDescent="0.2">
      <c r="A6586" s="1" t="str">
        <f>"FRMD4A"</f>
        <v>FRMD4A</v>
      </c>
      <c r="B6586" t="s">
        <v>483</v>
      </c>
      <c r="C6586" t="s">
        <v>15</v>
      </c>
      <c r="D6586" t="s">
        <v>11</v>
      </c>
      <c r="E6586" t="s">
        <v>35</v>
      </c>
      <c r="F6586">
        <v>14373015</v>
      </c>
      <c r="G6586">
        <v>14373020</v>
      </c>
      <c r="H6586">
        <v>14372715</v>
      </c>
      <c r="I6586">
        <v>14372730</v>
      </c>
    </row>
    <row r="6587" spans="1:9" x14ac:dyDescent="0.2">
      <c r="A6587" s="1" t="str">
        <f>"FRMD4A"</f>
        <v>FRMD4A</v>
      </c>
      <c r="B6587" t="s">
        <v>484</v>
      </c>
      <c r="C6587" t="s">
        <v>15</v>
      </c>
      <c r="D6587" t="s">
        <v>11</v>
      </c>
      <c r="E6587" t="s">
        <v>20</v>
      </c>
      <c r="F6587">
        <v>13900911</v>
      </c>
      <c r="G6587">
        <v>13900911</v>
      </c>
      <c r="H6587">
        <v>13900911</v>
      </c>
      <c r="I6587">
        <v>13900911</v>
      </c>
    </row>
    <row r="6588" spans="1:9" x14ac:dyDescent="0.2">
      <c r="A6588" s="1" t="str">
        <f>"FRMD4A"</f>
        <v>FRMD4A</v>
      </c>
      <c r="B6588" t="s">
        <v>485</v>
      </c>
      <c r="C6588" t="s">
        <v>15</v>
      </c>
      <c r="D6588" t="s">
        <v>11</v>
      </c>
      <c r="E6588" t="s">
        <v>75</v>
      </c>
      <c r="F6588">
        <v>14372294</v>
      </c>
      <c r="G6588">
        <v>14372306</v>
      </c>
      <c r="H6588">
        <v>14372111</v>
      </c>
      <c r="I6588">
        <v>14372125</v>
      </c>
    </row>
    <row r="6589" spans="1:9" x14ac:dyDescent="0.2">
      <c r="A6589" s="1" t="str">
        <f>"FRMD4B"</f>
        <v>FRMD4B</v>
      </c>
      <c r="B6589" t="s">
        <v>486</v>
      </c>
      <c r="C6589" t="s">
        <v>22</v>
      </c>
      <c r="D6589" t="s">
        <v>11</v>
      </c>
      <c r="E6589" t="s">
        <v>35</v>
      </c>
      <c r="F6589">
        <v>69435413</v>
      </c>
      <c r="G6589">
        <v>69435427</v>
      </c>
      <c r="H6589">
        <v>69435230</v>
      </c>
      <c r="I6589">
        <v>69435280</v>
      </c>
    </row>
    <row r="6590" spans="1:9" x14ac:dyDescent="0.2">
      <c r="A6590" s="1" t="str">
        <f>"FRMD5"</f>
        <v>FRMD5</v>
      </c>
      <c r="B6590" t="s">
        <v>14</v>
      </c>
      <c r="C6590" t="s">
        <v>25</v>
      </c>
      <c r="D6590" t="s">
        <v>11</v>
      </c>
      <c r="E6590" t="s">
        <v>12</v>
      </c>
      <c r="F6590">
        <v>44487453</v>
      </c>
      <c r="G6590">
        <v>44487476</v>
      </c>
      <c r="H6590">
        <v>44487484</v>
      </c>
      <c r="I6590">
        <v>44487492</v>
      </c>
    </row>
    <row r="6591" spans="1:9" x14ac:dyDescent="0.2">
      <c r="A6591" s="1" t="str">
        <f>"FRMD6"</f>
        <v>FRMD6</v>
      </c>
      <c r="B6591" t="s">
        <v>14</v>
      </c>
      <c r="C6591" t="s">
        <v>41</v>
      </c>
      <c r="D6591" t="s">
        <v>17</v>
      </c>
      <c r="E6591" t="s">
        <v>12</v>
      </c>
      <c r="F6591">
        <v>52118619</v>
      </c>
      <c r="G6591">
        <v>52118673</v>
      </c>
      <c r="H6591">
        <v>52118694</v>
      </c>
      <c r="I6591">
        <v>52118708</v>
      </c>
    </row>
    <row r="6592" spans="1:9" x14ac:dyDescent="0.2">
      <c r="A6592" s="1" t="str">
        <f>"FRMD7"</f>
        <v>FRMD7</v>
      </c>
      <c r="B6592" t="s">
        <v>14</v>
      </c>
      <c r="C6592" t="s">
        <v>37</v>
      </c>
      <c r="D6592" t="s">
        <v>11</v>
      </c>
      <c r="E6592" t="s">
        <v>67</v>
      </c>
      <c r="F6592">
        <v>131261904</v>
      </c>
      <c r="G6592">
        <v>131261947</v>
      </c>
      <c r="H6592">
        <v>131261904</v>
      </c>
      <c r="I6592">
        <v>131261947</v>
      </c>
    </row>
    <row r="6593" spans="1:9" x14ac:dyDescent="0.2">
      <c r="A6593" s="1" t="str">
        <f>"FRMD8"</f>
        <v>FRMD8</v>
      </c>
      <c r="B6593" t="s">
        <v>14</v>
      </c>
      <c r="C6593" t="s">
        <v>27</v>
      </c>
      <c r="D6593" t="s">
        <v>17</v>
      </c>
      <c r="E6593" t="s">
        <v>12</v>
      </c>
      <c r="F6593">
        <v>65154082</v>
      </c>
      <c r="G6593">
        <v>65154139</v>
      </c>
      <c r="H6593">
        <v>65154224</v>
      </c>
      <c r="I6593">
        <v>65154243</v>
      </c>
    </row>
    <row r="6594" spans="1:9" x14ac:dyDescent="0.2">
      <c r="A6594" s="1" t="str">
        <f>"FRMPD1"</f>
        <v>FRMPD1</v>
      </c>
      <c r="B6594" t="s">
        <v>9</v>
      </c>
      <c r="C6594" t="s">
        <v>24</v>
      </c>
      <c r="D6594" t="s">
        <v>17</v>
      </c>
      <c r="E6594" t="s">
        <v>12</v>
      </c>
      <c r="F6594">
        <v>37650945</v>
      </c>
      <c r="G6594">
        <v>37651007</v>
      </c>
      <c r="H6594">
        <v>37650945</v>
      </c>
      <c r="I6594">
        <v>37651007</v>
      </c>
    </row>
    <row r="6595" spans="1:9" x14ac:dyDescent="0.2">
      <c r="A6595" s="1" t="str">
        <f>"FRMPD1"</f>
        <v>FRMPD1</v>
      </c>
      <c r="B6595" t="s">
        <v>13</v>
      </c>
      <c r="C6595" t="s">
        <v>24</v>
      </c>
      <c r="D6595" t="s">
        <v>17</v>
      </c>
      <c r="E6595" t="s">
        <v>12</v>
      </c>
      <c r="F6595">
        <v>37667978</v>
      </c>
      <c r="G6595">
        <v>37668028</v>
      </c>
      <c r="H6595">
        <v>37667978</v>
      </c>
      <c r="I6595">
        <v>37668028</v>
      </c>
    </row>
    <row r="6596" spans="1:9" x14ac:dyDescent="0.2">
      <c r="A6596" s="1" t="str">
        <f>"FRMPD2"</f>
        <v>FRMPD2</v>
      </c>
      <c r="B6596" t="s">
        <v>14</v>
      </c>
      <c r="C6596" t="s">
        <v>15</v>
      </c>
      <c r="D6596" t="s">
        <v>11</v>
      </c>
      <c r="E6596" t="s">
        <v>12</v>
      </c>
      <c r="F6596">
        <v>49482711</v>
      </c>
      <c r="G6596">
        <v>49482753</v>
      </c>
      <c r="H6596">
        <v>49482907</v>
      </c>
      <c r="I6596">
        <v>49482923</v>
      </c>
    </row>
    <row r="6597" spans="1:9" x14ac:dyDescent="0.2">
      <c r="A6597" s="1" t="str">
        <f>"FRMPD3"</f>
        <v>FRMPD3</v>
      </c>
      <c r="B6597" t="s">
        <v>487</v>
      </c>
      <c r="C6597" t="s">
        <v>37</v>
      </c>
      <c r="D6597" t="s">
        <v>17</v>
      </c>
      <c r="E6597" t="s">
        <v>20</v>
      </c>
      <c r="F6597">
        <v>106765679</v>
      </c>
      <c r="G6597">
        <v>106765679</v>
      </c>
      <c r="H6597">
        <v>106765679</v>
      </c>
      <c r="I6597">
        <v>106765679</v>
      </c>
    </row>
    <row r="6598" spans="1:9" x14ac:dyDescent="0.2">
      <c r="A6598" s="1" t="str">
        <f>"FRMPD4"</f>
        <v>FRMPD4</v>
      </c>
      <c r="B6598" t="s">
        <v>14</v>
      </c>
      <c r="C6598" t="s">
        <v>37</v>
      </c>
      <c r="D6598" t="s">
        <v>17</v>
      </c>
      <c r="E6598" t="s">
        <v>12</v>
      </c>
      <c r="F6598">
        <v>12156829</v>
      </c>
      <c r="G6598">
        <v>12156879</v>
      </c>
      <c r="H6598">
        <v>12156582</v>
      </c>
      <c r="I6598">
        <v>12156603</v>
      </c>
    </row>
    <row r="6599" spans="1:9" x14ac:dyDescent="0.2">
      <c r="A6599" s="1" t="str">
        <f>"FRRS1"</f>
        <v>FRRS1</v>
      </c>
      <c r="B6599" t="s">
        <v>14</v>
      </c>
      <c r="C6599" t="s">
        <v>19</v>
      </c>
      <c r="D6599" t="s">
        <v>11</v>
      </c>
      <c r="E6599" t="s">
        <v>12</v>
      </c>
      <c r="F6599">
        <v>100232177</v>
      </c>
      <c r="G6599">
        <v>100232198</v>
      </c>
      <c r="H6599">
        <v>100232205</v>
      </c>
      <c r="I6599">
        <v>100232213</v>
      </c>
    </row>
    <row r="6600" spans="1:9" x14ac:dyDescent="0.2">
      <c r="A6600" s="1" t="str">
        <f>"FRRS1L"</f>
        <v>FRRS1L</v>
      </c>
      <c r="B6600" t="s">
        <v>14</v>
      </c>
      <c r="C6600" t="s">
        <v>24</v>
      </c>
      <c r="D6600" t="s">
        <v>11</v>
      </c>
      <c r="E6600" t="s">
        <v>12</v>
      </c>
      <c r="F6600">
        <v>111929441</v>
      </c>
      <c r="G6600">
        <v>111929544</v>
      </c>
      <c r="H6600">
        <v>111929441</v>
      </c>
      <c r="I6600">
        <v>111929544</v>
      </c>
    </row>
    <row r="6601" spans="1:9" x14ac:dyDescent="0.2">
      <c r="A6601" s="1" t="str">
        <f>"FRS2"</f>
        <v>FRS2</v>
      </c>
      <c r="B6601" t="s">
        <v>14</v>
      </c>
      <c r="C6601" t="s">
        <v>16</v>
      </c>
      <c r="D6601" t="s">
        <v>17</v>
      </c>
      <c r="E6601" t="s">
        <v>12</v>
      </c>
      <c r="F6601">
        <v>69864149</v>
      </c>
      <c r="G6601">
        <v>69864222</v>
      </c>
      <c r="H6601">
        <v>69864149</v>
      </c>
      <c r="I6601">
        <v>69864222</v>
      </c>
    </row>
    <row r="6602" spans="1:9" x14ac:dyDescent="0.2">
      <c r="A6602" s="1" t="str">
        <f>"FRS3"</f>
        <v>FRS3</v>
      </c>
      <c r="B6602" t="s">
        <v>14</v>
      </c>
      <c r="C6602" t="s">
        <v>32</v>
      </c>
      <c r="D6602" t="s">
        <v>11</v>
      </c>
      <c r="E6602" t="s">
        <v>12</v>
      </c>
      <c r="F6602">
        <v>41747595</v>
      </c>
      <c r="G6602">
        <v>41747652</v>
      </c>
      <c r="H6602">
        <v>41747661</v>
      </c>
      <c r="I6602">
        <v>41747677</v>
      </c>
    </row>
    <row r="6603" spans="1:9" x14ac:dyDescent="0.2">
      <c r="A6603" s="1" t="str">
        <f>"FRY"</f>
        <v>FRY</v>
      </c>
      <c r="B6603" t="s">
        <v>14</v>
      </c>
      <c r="C6603" t="s">
        <v>39</v>
      </c>
      <c r="D6603" t="s">
        <v>17</v>
      </c>
      <c r="E6603" t="s">
        <v>12</v>
      </c>
      <c r="F6603">
        <v>32605843</v>
      </c>
      <c r="G6603">
        <v>32605927</v>
      </c>
      <c r="H6603">
        <v>32605767</v>
      </c>
      <c r="I6603">
        <v>32605790</v>
      </c>
    </row>
    <row r="6604" spans="1:9" x14ac:dyDescent="0.2">
      <c r="A6604" s="1" t="str">
        <f>"FRYL"</f>
        <v>FRYL</v>
      </c>
      <c r="B6604" t="s">
        <v>14</v>
      </c>
      <c r="C6604" t="s">
        <v>23</v>
      </c>
      <c r="D6604" t="s">
        <v>11</v>
      </c>
      <c r="E6604" t="s">
        <v>12</v>
      </c>
      <c r="F6604">
        <v>48782259</v>
      </c>
      <c r="G6604">
        <v>48782335</v>
      </c>
      <c r="H6604">
        <v>48782217</v>
      </c>
      <c r="I6604">
        <v>48782228</v>
      </c>
    </row>
    <row r="6605" spans="1:9" x14ac:dyDescent="0.2">
      <c r="A6605" s="1" t="str">
        <f>"FRZB"</f>
        <v>FRZB</v>
      </c>
      <c r="B6605" t="s">
        <v>14</v>
      </c>
      <c r="C6605" t="s">
        <v>26</v>
      </c>
      <c r="D6605" t="s">
        <v>11</v>
      </c>
      <c r="E6605" t="s">
        <v>12</v>
      </c>
      <c r="F6605">
        <v>183731882</v>
      </c>
      <c r="G6605">
        <v>183731896</v>
      </c>
      <c r="H6605">
        <v>183731882</v>
      </c>
      <c r="I6605">
        <v>183731896</v>
      </c>
    </row>
    <row r="6606" spans="1:9" x14ac:dyDescent="0.2">
      <c r="A6606" s="1" t="str">
        <f>"FSBP"</f>
        <v>FSBP</v>
      </c>
      <c r="B6606" t="s">
        <v>488</v>
      </c>
      <c r="C6606" t="s">
        <v>30</v>
      </c>
      <c r="D6606" t="s">
        <v>11</v>
      </c>
      <c r="E6606" t="s">
        <v>35</v>
      </c>
      <c r="F6606">
        <v>95449322</v>
      </c>
      <c r="G6606">
        <v>95449325</v>
      </c>
      <c r="H6606">
        <v>95449155</v>
      </c>
      <c r="I6606">
        <v>95449188</v>
      </c>
    </row>
    <row r="6607" spans="1:9" x14ac:dyDescent="0.2">
      <c r="A6607" s="1" t="str">
        <f>"FSCB"</f>
        <v>FSCB</v>
      </c>
      <c r="B6607" t="s">
        <v>14</v>
      </c>
      <c r="C6607" t="s">
        <v>41</v>
      </c>
      <c r="D6607" t="s">
        <v>11</v>
      </c>
      <c r="E6607" t="s">
        <v>12</v>
      </c>
      <c r="F6607">
        <v>44976474</v>
      </c>
      <c r="G6607">
        <v>44976491</v>
      </c>
      <c r="H6607">
        <v>44976474</v>
      </c>
      <c r="I6607">
        <v>44976491</v>
      </c>
    </row>
    <row r="6608" spans="1:9" x14ac:dyDescent="0.2">
      <c r="A6608" s="1" t="str">
        <f>"FSCN1"</f>
        <v>FSCN1</v>
      </c>
      <c r="B6608" t="s">
        <v>9</v>
      </c>
      <c r="C6608" t="s">
        <v>33</v>
      </c>
      <c r="D6608" t="s">
        <v>17</v>
      </c>
      <c r="E6608" t="s">
        <v>12</v>
      </c>
      <c r="F6608">
        <v>5632436</v>
      </c>
      <c r="G6608">
        <v>5632454</v>
      </c>
      <c r="H6608">
        <v>5632436</v>
      </c>
      <c r="I6608">
        <v>5632454</v>
      </c>
    </row>
    <row r="6609" spans="1:9" x14ac:dyDescent="0.2">
      <c r="A6609" s="1" t="str">
        <f>"FSCN1"</f>
        <v>FSCN1</v>
      </c>
      <c r="B6609" t="s">
        <v>13</v>
      </c>
      <c r="C6609" t="s">
        <v>33</v>
      </c>
      <c r="D6609" t="s">
        <v>17</v>
      </c>
      <c r="E6609" t="s">
        <v>12</v>
      </c>
      <c r="F6609">
        <v>5643546</v>
      </c>
      <c r="G6609">
        <v>5643561</v>
      </c>
      <c r="H6609">
        <v>5643546</v>
      </c>
      <c r="I6609">
        <v>5643561</v>
      </c>
    </row>
    <row r="6610" spans="1:9" x14ac:dyDescent="0.2">
      <c r="A6610" s="1" t="str">
        <f>"FSCN2"</f>
        <v>FSCN2</v>
      </c>
      <c r="B6610" t="s">
        <v>14</v>
      </c>
      <c r="C6610" t="s">
        <v>28</v>
      </c>
      <c r="D6610" t="s">
        <v>17</v>
      </c>
      <c r="E6610" t="s">
        <v>12</v>
      </c>
      <c r="F6610">
        <v>79495397</v>
      </c>
      <c r="G6610">
        <v>79495408</v>
      </c>
      <c r="H6610">
        <v>79495370</v>
      </c>
      <c r="I6610">
        <v>79495377</v>
      </c>
    </row>
    <row r="6611" spans="1:9" x14ac:dyDescent="0.2">
      <c r="A6611" s="1" t="str">
        <f>"FSCN3"</f>
        <v>FSCN3</v>
      </c>
      <c r="B6611" t="s">
        <v>14</v>
      </c>
      <c r="C6611" t="s">
        <v>33</v>
      </c>
      <c r="D6611" t="s">
        <v>17</v>
      </c>
      <c r="E6611" t="s">
        <v>12</v>
      </c>
      <c r="F6611">
        <v>127233774</v>
      </c>
      <c r="G6611">
        <v>127233807</v>
      </c>
      <c r="H6611">
        <v>127233774</v>
      </c>
      <c r="I6611">
        <v>127233807</v>
      </c>
    </row>
    <row r="6612" spans="1:9" x14ac:dyDescent="0.2">
      <c r="A6612" s="1" t="str">
        <f>"FSD1"</f>
        <v>FSD1</v>
      </c>
      <c r="B6612" t="s">
        <v>14</v>
      </c>
      <c r="C6612" t="s">
        <v>10</v>
      </c>
      <c r="D6612" t="s">
        <v>17</v>
      </c>
      <c r="E6612" t="s">
        <v>12</v>
      </c>
      <c r="F6612">
        <v>4304632</v>
      </c>
      <c r="G6612">
        <v>4304680</v>
      </c>
      <c r="H6612">
        <v>4304585</v>
      </c>
      <c r="I6612">
        <v>4304627</v>
      </c>
    </row>
    <row r="6613" spans="1:9" x14ac:dyDescent="0.2">
      <c r="A6613" s="1" t="str">
        <f>"FSD1L"</f>
        <v>FSD1L</v>
      </c>
      <c r="B6613" t="s">
        <v>14</v>
      </c>
      <c r="C6613" t="s">
        <v>24</v>
      </c>
      <c r="D6613" t="s">
        <v>17</v>
      </c>
      <c r="E6613" t="s">
        <v>12</v>
      </c>
      <c r="F6613">
        <v>108210279</v>
      </c>
      <c r="G6613">
        <v>108210435</v>
      </c>
      <c r="H6613">
        <v>108210279</v>
      </c>
      <c r="I6613">
        <v>108210435</v>
      </c>
    </row>
    <row r="6614" spans="1:9" x14ac:dyDescent="0.2">
      <c r="A6614" s="1" t="str">
        <f>"FSD2"</f>
        <v>FSD2</v>
      </c>
      <c r="B6614" t="s">
        <v>14</v>
      </c>
      <c r="C6614" t="s">
        <v>25</v>
      </c>
      <c r="D6614" t="s">
        <v>11</v>
      </c>
      <c r="E6614" t="s">
        <v>12</v>
      </c>
      <c r="F6614">
        <v>83474811</v>
      </c>
      <c r="G6614">
        <v>83474826</v>
      </c>
      <c r="H6614">
        <v>83474761</v>
      </c>
      <c r="I6614">
        <v>83474775</v>
      </c>
    </row>
    <row r="6615" spans="1:9" x14ac:dyDescent="0.2">
      <c r="A6615" s="1" t="str">
        <f>"FSHB"</f>
        <v>FSHB</v>
      </c>
      <c r="B6615" t="s">
        <v>14</v>
      </c>
      <c r="C6615" t="s">
        <v>27</v>
      </c>
      <c r="D6615" t="s">
        <v>17</v>
      </c>
      <c r="E6615" t="s">
        <v>12</v>
      </c>
      <c r="F6615">
        <v>30252549</v>
      </c>
      <c r="G6615">
        <v>30252565</v>
      </c>
      <c r="H6615">
        <v>30252549</v>
      </c>
      <c r="I6615">
        <v>30252565</v>
      </c>
    </row>
    <row r="6616" spans="1:9" x14ac:dyDescent="0.2">
      <c r="A6616" s="1" t="str">
        <f>"FSHR"</f>
        <v>FSHR</v>
      </c>
      <c r="B6616" t="s">
        <v>14</v>
      </c>
      <c r="C6616" t="s">
        <v>26</v>
      </c>
      <c r="D6616" t="s">
        <v>11</v>
      </c>
      <c r="E6616" t="s">
        <v>12</v>
      </c>
      <c r="F6616">
        <v>49381646</v>
      </c>
      <c r="G6616">
        <v>49381667</v>
      </c>
      <c r="H6616">
        <v>49381628</v>
      </c>
      <c r="I6616">
        <v>49381639</v>
      </c>
    </row>
    <row r="6617" spans="1:9" x14ac:dyDescent="0.2">
      <c r="A6617" s="1" t="str">
        <f>"FSIP1"</f>
        <v>FSIP1</v>
      </c>
      <c r="B6617" t="s">
        <v>14</v>
      </c>
      <c r="C6617" t="s">
        <v>25</v>
      </c>
      <c r="D6617" t="s">
        <v>11</v>
      </c>
      <c r="E6617" t="s">
        <v>12</v>
      </c>
      <c r="F6617">
        <v>40074996</v>
      </c>
      <c r="G6617">
        <v>40075059</v>
      </c>
      <c r="H6617">
        <v>40074966</v>
      </c>
      <c r="I6617">
        <v>40074977</v>
      </c>
    </row>
    <row r="6618" spans="1:9" x14ac:dyDescent="0.2">
      <c r="A6618" s="1" t="str">
        <f>"FSIP2"</f>
        <v>FSIP2</v>
      </c>
      <c r="B6618" t="s">
        <v>9</v>
      </c>
      <c r="C6618" t="s">
        <v>26</v>
      </c>
      <c r="D6618" t="s">
        <v>17</v>
      </c>
      <c r="E6618" t="s">
        <v>12</v>
      </c>
      <c r="F6618">
        <v>186611438</v>
      </c>
      <c r="G6618">
        <v>186611463</v>
      </c>
      <c r="H6618">
        <v>186611438</v>
      </c>
      <c r="I6618">
        <v>186611463</v>
      </c>
    </row>
    <row r="6619" spans="1:9" x14ac:dyDescent="0.2">
      <c r="A6619" s="1" t="str">
        <f>"FSIP2"</f>
        <v>FSIP2</v>
      </c>
      <c r="B6619" t="s">
        <v>13</v>
      </c>
      <c r="C6619" t="s">
        <v>26</v>
      </c>
      <c r="D6619" t="s">
        <v>17</v>
      </c>
      <c r="E6619" t="s">
        <v>12</v>
      </c>
      <c r="F6619">
        <v>186603525</v>
      </c>
      <c r="G6619">
        <v>186603536</v>
      </c>
      <c r="H6619">
        <v>186603525</v>
      </c>
      <c r="I6619">
        <v>186603536</v>
      </c>
    </row>
    <row r="6620" spans="1:9" x14ac:dyDescent="0.2">
      <c r="A6620" s="1" t="str">
        <f>"FST"</f>
        <v>FST</v>
      </c>
      <c r="B6620" t="s">
        <v>14</v>
      </c>
      <c r="C6620" t="s">
        <v>46</v>
      </c>
      <c r="D6620" t="s">
        <v>17</v>
      </c>
      <c r="E6620" t="s">
        <v>12</v>
      </c>
      <c r="F6620">
        <v>52776449</v>
      </c>
      <c r="G6620">
        <v>52776465</v>
      </c>
      <c r="H6620">
        <v>52776228</v>
      </c>
      <c r="I6620">
        <v>52776245</v>
      </c>
    </row>
    <row r="6621" spans="1:9" x14ac:dyDescent="0.2">
      <c r="A6621" s="1" t="str">
        <f>"FSTL1"</f>
        <v>FSTL1</v>
      </c>
      <c r="B6621" t="s">
        <v>14</v>
      </c>
      <c r="C6621" t="s">
        <v>22</v>
      </c>
      <c r="D6621" t="s">
        <v>11</v>
      </c>
      <c r="E6621" t="s">
        <v>12</v>
      </c>
      <c r="F6621">
        <v>120169828</v>
      </c>
      <c r="G6621">
        <v>120169850</v>
      </c>
      <c r="H6621">
        <v>120169828</v>
      </c>
      <c r="I6621">
        <v>120169850</v>
      </c>
    </row>
    <row r="6622" spans="1:9" x14ac:dyDescent="0.2">
      <c r="A6622" s="1" t="str">
        <f>"FSTL3"</f>
        <v>FSTL3</v>
      </c>
      <c r="B6622" t="s">
        <v>9</v>
      </c>
      <c r="C6622" t="s">
        <v>10</v>
      </c>
      <c r="D6622" t="s">
        <v>17</v>
      </c>
      <c r="E6622" t="s">
        <v>12</v>
      </c>
      <c r="F6622">
        <v>676385</v>
      </c>
      <c r="G6622">
        <v>676403</v>
      </c>
      <c r="H6622">
        <v>676385</v>
      </c>
      <c r="I6622">
        <v>676403</v>
      </c>
    </row>
    <row r="6623" spans="1:9" x14ac:dyDescent="0.2">
      <c r="A6623" s="1" t="str">
        <f>"FSTL3"</f>
        <v>FSTL3</v>
      </c>
      <c r="B6623" t="s">
        <v>13</v>
      </c>
      <c r="C6623" t="s">
        <v>10</v>
      </c>
      <c r="D6623" t="s">
        <v>17</v>
      </c>
      <c r="E6623" t="s">
        <v>12</v>
      </c>
      <c r="F6623">
        <v>680722</v>
      </c>
      <c r="G6623">
        <v>680758</v>
      </c>
      <c r="H6623">
        <v>680722</v>
      </c>
      <c r="I6623">
        <v>680758</v>
      </c>
    </row>
    <row r="6624" spans="1:9" x14ac:dyDescent="0.2">
      <c r="A6624" s="1" t="str">
        <f>"FSTL4"</f>
        <v>FSTL4</v>
      </c>
      <c r="B6624" t="s">
        <v>14</v>
      </c>
      <c r="C6624" t="s">
        <v>46</v>
      </c>
      <c r="D6624" t="s">
        <v>11</v>
      </c>
      <c r="E6624" t="s">
        <v>12</v>
      </c>
      <c r="F6624">
        <v>132948193</v>
      </c>
      <c r="G6624">
        <v>132948209</v>
      </c>
      <c r="H6624">
        <v>132948216</v>
      </c>
      <c r="I6624">
        <v>132948237</v>
      </c>
    </row>
    <row r="6625" spans="1:9" x14ac:dyDescent="0.2">
      <c r="A6625" s="1" t="str">
        <f>"FSTL5"</f>
        <v>FSTL5</v>
      </c>
      <c r="B6625" t="s">
        <v>14</v>
      </c>
      <c r="C6625" t="s">
        <v>23</v>
      </c>
      <c r="D6625" t="s">
        <v>11</v>
      </c>
      <c r="E6625" t="s">
        <v>12</v>
      </c>
      <c r="F6625">
        <v>163085141</v>
      </c>
      <c r="G6625">
        <v>163085162</v>
      </c>
      <c r="H6625">
        <v>163085107</v>
      </c>
      <c r="I6625">
        <v>163085118</v>
      </c>
    </row>
    <row r="6626" spans="1:9" x14ac:dyDescent="0.2">
      <c r="A6626" s="1" t="str">
        <f>"FTCD"</f>
        <v>FTCD</v>
      </c>
      <c r="B6626" t="s">
        <v>9</v>
      </c>
      <c r="C6626" t="s">
        <v>42</v>
      </c>
      <c r="D6626" t="s">
        <v>11</v>
      </c>
      <c r="E6626" t="s">
        <v>12</v>
      </c>
      <c r="F6626">
        <v>47575483</v>
      </c>
      <c r="G6626">
        <v>47575499</v>
      </c>
      <c r="H6626">
        <v>47575483</v>
      </c>
      <c r="I6626">
        <v>47575499</v>
      </c>
    </row>
    <row r="6627" spans="1:9" x14ac:dyDescent="0.2">
      <c r="A6627" s="1" t="str">
        <f>"FTCD"</f>
        <v>FTCD</v>
      </c>
      <c r="B6627" t="s">
        <v>13</v>
      </c>
      <c r="C6627" t="s">
        <v>42</v>
      </c>
      <c r="D6627" t="s">
        <v>11</v>
      </c>
      <c r="E6627" t="s">
        <v>12</v>
      </c>
      <c r="F6627">
        <v>47562618</v>
      </c>
      <c r="G6627">
        <v>47562624</v>
      </c>
      <c r="H6627">
        <v>47562618</v>
      </c>
      <c r="I6627">
        <v>47562624</v>
      </c>
    </row>
    <row r="6628" spans="1:9" x14ac:dyDescent="0.2">
      <c r="A6628" s="1" t="str">
        <f>"FTH1"</f>
        <v>FTH1</v>
      </c>
      <c r="B6628" t="s">
        <v>14</v>
      </c>
      <c r="C6628" t="s">
        <v>27</v>
      </c>
      <c r="D6628" t="s">
        <v>11</v>
      </c>
      <c r="E6628" t="s">
        <v>12</v>
      </c>
      <c r="F6628">
        <v>61735103</v>
      </c>
      <c r="G6628">
        <v>61735112</v>
      </c>
      <c r="H6628">
        <v>61735029</v>
      </c>
      <c r="I6628">
        <v>61735056</v>
      </c>
    </row>
    <row r="6629" spans="1:9" x14ac:dyDescent="0.2">
      <c r="A6629" s="1" t="str">
        <f>"FTHL17"</f>
        <v>FTHL17</v>
      </c>
      <c r="B6629" t="s">
        <v>14</v>
      </c>
      <c r="C6629" t="s">
        <v>37</v>
      </c>
      <c r="D6629" t="s">
        <v>11</v>
      </c>
      <c r="E6629" t="s">
        <v>12</v>
      </c>
      <c r="F6629">
        <v>31090152</v>
      </c>
      <c r="G6629">
        <v>31090184</v>
      </c>
      <c r="H6629">
        <v>31090138</v>
      </c>
      <c r="I6629">
        <v>31090151</v>
      </c>
    </row>
    <row r="6630" spans="1:9" x14ac:dyDescent="0.2">
      <c r="A6630" s="1" t="str">
        <f>"FTL"</f>
        <v>FTL</v>
      </c>
      <c r="B6630" t="s">
        <v>14</v>
      </c>
      <c r="C6630" t="s">
        <v>10</v>
      </c>
      <c r="D6630" t="s">
        <v>17</v>
      </c>
      <c r="E6630" t="s">
        <v>12</v>
      </c>
      <c r="F6630">
        <v>49468563</v>
      </c>
      <c r="G6630">
        <v>49468567</v>
      </c>
      <c r="H6630">
        <v>49468991</v>
      </c>
      <c r="I6630">
        <v>49469047</v>
      </c>
    </row>
    <row r="6631" spans="1:9" x14ac:dyDescent="0.2">
      <c r="A6631" s="1" t="str">
        <f>"FTMT"</f>
        <v>FTMT</v>
      </c>
      <c r="B6631" t="s">
        <v>14</v>
      </c>
      <c r="C6631" t="s">
        <v>46</v>
      </c>
      <c r="D6631" t="s">
        <v>17</v>
      </c>
      <c r="E6631" t="s">
        <v>12</v>
      </c>
      <c r="F6631">
        <v>121187571</v>
      </c>
      <c r="G6631">
        <v>121187601</v>
      </c>
      <c r="H6631">
        <v>121187625</v>
      </c>
      <c r="I6631">
        <v>121187646</v>
      </c>
    </row>
    <row r="6632" spans="1:9" x14ac:dyDescent="0.2">
      <c r="A6632" s="1" t="str">
        <f>"FTO"</f>
        <v>FTO</v>
      </c>
      <c r="B6632" t="s">
        <v>14</v>
      </c>
      <c r="C6632" t="s">
        <v>31</v>
      </c>
      <c r="D6632" t="s">
        <v>17</v>
      </c>
      <c r="E6632" t="s">
        <v>12</v>
      </c>
      <c r="F6632">
        <v>53738053</v>
      </c>
      <c r="G6632">
        <v>53738094</v>
      </c>
      <c r="H6632">
        <v>53737838</v>
      </c>
      <c r="I6632">
        <v>53737882</v>
      </c>
    </row>
    <row r="6633" spans="1:9" x14ac:dyDescent="0.2">
      <c r="A6633" s="1" t="str">
        <f>"FTSJ1"</f>
        <v>FTSJ1</v>
      </c>
      <c r="B6633" t="s">
        <v>14</v>
      </c>
      <c r="C6633" t="s">
        <v>37</v>
      </c>
      <c r="D6633" t="s">
        <v>17</v>
      </c>
      <c r="E6633" t="s">
        <v>12</v>
      </c>
      <c r="F6633">
        <v>48334558</v>
      </c>
      <c r="G6633">
        <v>48334634</v>
      </c>
      <c r="H6633">
        <v>48334700</v>
      </c>
      <c r="I6633">
        <v>48334732</v>
      </c>
    </row>
    <row r="6634" spans="1:9" x14ac:dyDescent="0.2">
      <c r="A6634" s="1" t="str">
        <f>"FTSJ2"</f>
        <v>FTSJ2</v>
      </c>
      <c r="B6634" t="s">
        <v>14</v>
      </c>
      <c r="C6634" t="s">
        <v>33</v>
      </c>
      <c r="D6634" t="s">
        <v>11</v>
      </c>
      <c r="E6634" t="s">
        <v>12</v>
      </c>
      <c r="F6634">
        <v>2281802</v>
      </c>
      <c r="G6634">
        <v>2281852</v>
      </c>
      <c r="H6634">
        <v>2281678</v>
      </c>
      <c r="I6634">
        <v>2281679</v>
      </c>
    </row>
    <row r="6635" spans="1:9" x14ac:dyDescent="0.2">
      <c r="A6635" s="1" t="str">
        <f>"FTSJ3"</f>
        <v>FTSJ3</v>
      </c>
      <c r="B6635" t="s">
        <v>14</v>
      </c>
      <c r="C6635" t="s">
        <v>28</v>
      </c>
      <c r="D6635" t="s">
        <v>11</v>
      </c>
      <c r="E6635" t="s">
        <v>12</v>
      </c>
      <c r="F6635">
        <v>61904430</v>
      </c>
      <c r="G6635">
        <v>61904474</v>
      </c>
      <c r="H6635">
        <v>61904262</v>
      </c>
      <c r="I6635">
        <v>61904319</v>
      </c>
    </row>
    <row r="6636" spans="1:9" x14ac:dyDescent="0.2">
      <c r="A6636" s="1" t="str">
        <f>"FUBP1"</f>
        <v>FUBP1</v>
      </c>
      <c r="B6636" t="s">
        <v>14</v>
      </c>
      <c r="C6636" t="s">
        <v>19</v>
      </c>
      <c r="D6636" t="s">
        <v>11</v>
      </c>
      <c r="E6636" t="s">
        <v>12</v>
      </c>
      <c r="F6636">
        <v>78444738</v>
      </c>
      <c r="G6636">
        <v>78444773</v>
      </c>
      <c r="H6636">
        <v>78444778</v>
      </c>
      <c r="I6636">
        <v>78444800</v>
      </c>
    </row>
    <row r="6637" spans="1:9" x14ac:dyDescent="0.2">
      <c r="A6637" s="1" t="str">
        <f>"FUBP3"</f>
        <v>FUBP3</v>
      </c>
      <c r="B6637" t="s">
        <v>14</v>
      </c>
      <c r="C6637" t="s">
        <v>24</v>
      </c>
      <c r="D6637" t="s">
        <v>17</v>
      </c>
      <c r="E6637" t="s">
        <v>12</v>
      </c>
      <c r="F6637">
        <v>133454943</v>
      </c>
      <c r="G6637">
        <v>133455020</v>
      </c>
      <c r="H6637">
        <v>133454435</v>
      </c>
      <c r="I6637">
        <v>133454476</v>
      </c>
    </row>
    <row r="6638" spans="1:9" x14ac:dyDescent="0.2">
      <c r="A6638" s="1" t="str">
        <f>"FUCA1"</f>
        <v>FUCA1</v>
      </c>
      <c r="B6638" t="s">
        <v>14</v>
      </c>
      <c r="C6638" t="s">
        <v>19</v>
      </c>
      <c r="D6638" t="s">
        <v>11</v>
      </c>
      <c r="E6638" t="s">
        <v>12</v>
      </c>
      <c r="F6638">
        <v>24194771</v>
      </c>
      <c r="G6638">
        <v>24194851</v>
      </c>
      <c r="H6638">
        <v>24194771</v>
      </c>
      <c r="I6638">
        <v>24194851</v>
      </c>
    </row>
    <row r="6639" spans="1:9" x14ac:dyDescent="0.2">
      <c r="A6639" s="1" t="str">
        <f>"FUCA2"</f>
        <v>FUCA2</v>
      </c>
      <c r="B6639" t="s">
        <v>14</v>
      </c>
      <c r="C6639" t="s">
        <v>32</v>
      </c>
      <c r="D6639" t="s">
        <v>11</v>
      </c>
      <c r="E6639" t="s">
        <v>12</v>
      </c>
      <c r="F6639">
        <v>143832820</v>
      </c>
      <c r="G6639">
        <v>143832875</v>
      </c>
      <c r="H6639">
        <v>143832793</v>
      </c>
      <c r="I6639">
        <v>143832806</v>
      </c>
    </row>
    <row r="6640" spans="1:9" x14ac:dyDescent="0.2">
      <c r="A6640" s="1" t="str">
        <f>"FUK"</f>
        <v>FUK</v>
      </c>
      <c r="B6640" t="s">
        <v>14</v>
      </c>
      <c r="C6640" t="s">
        <v>31</v>
      </c>
      <c r="D6640" t="s">
        <v>17</v>
      </c>
      <c r="E6640" t="s">
        <v>12</v>
      </c>
      <c r="F6640">
        <v>70488480</v>
      </c>
      <c r="G6640">
        <v>70488513</v>
      </c>
      <c r="H6640">
        <v>70488480</v>
      </c>
      <c r="I6640">
        <v>70488513</v>
      </c>
    </row>
    <row r="6641" spans="1:9" x14ac:dyDescent="0.2">
      <c r="A6641" s="1" t="str">
        <f>"FUNDC1"</f>
        <v>FUNDC1</v>
      </c>
      <c r="B6641" t="s">
        <v>14</v>
      </c>
      <c r="C6641" t="s">
        <v>37</v>
      </c>
      <c r="D6641" t="s">
        <v>11</v>
      </c>
      <c r="E6641" t="s">
        <v>12</v>
      </c>
      <c r="F6641">
        <v>44402081</v>
      </c>
      <c r="G6641">
        <v>44402113</v>
      </c>
      <c r="H6641">
        <v>44402201</v>
      </c>
      <c r="I6641">
        <v>44402225</v>
      </c>
    </row>
    <row r="6642" spans="1:9" x14ac:dyDescent="0.2">
      <c r="A6642" s="1" t="str">
        <f>"FUNDC2"</f>
        <v>FUNDC2</v>
      </c>
      <c r="B6642" t="s">
        <v>14</v>
      </c>
      <c r="C6642" t="s">
        <v>37</v>
      </c>
      <c r="D6642" t="s">
        <v>17</v>
      </c>
      <c r="E6642" t="s">
        <v>12</v>
      </c>
      <c r="F6642">
        <v>154255184</v>
      </c>
      <c r="G6642">
        <v>154255199</v>
      </c>
      <c r="H6642">
        <v>154255110</v>
      </c>
      <c r="I6642">
        <v>154255124</v>
      </c>
    </row>
    <row r="6643" spans="1:9" x14ac:dyDescent="0.2">
      <c r="A6643" s="1" t="str">
        <f>"FUOM"</f>
        <v>FUOM</v>
      </c>
      <c r="B6643" t="s">
        <v>14</v>
      </c>
      <c r="C6643" t="s">
        <v>15</v>
      </c>
      <c r="D6643" t="s">
        <v>11</v>
      </c>
      <c r="E6643" t="s">
        <v>12</v>
      </c>
      <c r="F6643">
        <v>135171510</v>
      </c>
      <c r="G6643">
        <v>135171544</v>
      </c>
      <c r="H6643">
        <v>135171178</v>
      </c>
      <c r="I6643">
        <v>135171242</v>
      </c>
    </row>
    <row r="6644" spans="1:9" x14ac:dyDescent="0.2">
      <c r="A6644" s="1" t="str">
        <f>"FURIN"</f>
        <v>FURIN</v>
      </c>
      <c r="B6644" t="s">
        <v>9</v>
      </c>
      <c r="C6644" t="s">
        <v>25</v>
      </c>
      <c r="D6644" t="s">
        <v>17</v>
      </c>
      <c r="E6644" t="s">
        <v>12</v>
      </c>
      <c r="F6644">
        <v>91411810</v>
      </c>
      <c r="G6644">
        <v>91411828</v>
      </c>
      <c r="H6644">
        <v>91411810</v>
      </c>
      <c r="I6644">
        <v>91411828</v>
      </c>
    </row>
    <row r="6645" spans="1:9" x14ac:dyDescent="0.2">
      <c r="A6645" s="1" t="str">
        <f>"FURIN"</f>
        <v>FURIN</v>
      </c>
      <c r="B6645" t="s">
        <v>13</v>
      </c>
      <c r="C6645" t="s">
        <v>25</v>
      </c>
      <c r="D6645" t="s">
        <v>17</v>
      </c>
      <c r="E6645" t="s">
        <v>12</v>
      </c>
      <c r="F6645">
        <v>91418935</v>
      </c>
      <c r="G6645">
        <v>91418974</v>
      </c>
      <c r="H6645">
        <v>91418935</v>
      </c>
      <c r="I6645">
        <v>91418974</v>
      </c>
    </row>
    <row r="6646" spans="1:9" x14ac:dyDescent="0.2">
      <c r="A6646" s="1" t="str">
        <f>"FUS"</f>
        <v>FUS</v>
      </c>
      <c r="B6646" t="s">
        <v>14</v>
      </c>
      <c r="C6646" t="s">
        <v>31</v>
      </c>
      <c r="D6646" t="s">
        <v>17</v>
      </c>
      <c r="E6646" t="s">
        <v>12</v>
      </c>
      <c r="F6646">
        <v>31191456</v>
      </c>
      <c r="G6646">
        <v>31191463</v>
      </c>
      <c r="H6646">
        <v>31191456</v>
      </c>
      <c r="I6646">
        <v>31191463</v>
      </c>
    </row>
    <row r="6647" spans="1:9" x14ac:dyDescent="0.2">
      <c r="A6647" s="1" t="str">
        <f>"FUT1"</f>
        <v>FUT1</v>
      </c>
      <c r="B6647" t="s">
        <v>14</v>
      </c>
      <c r="C6647" t="s">
        <v>10</v>
      </c>
      <c r="D6647" t="s">
        <v>11</v>
      </c>
      <c r="E6647" t="s">
        <v>12</v>
      </c>
      <c r="F6647">
        <v>49255886</v>
      </c>
      <c r="G6647">
        <v>49255906</v>
      </c>
      <c r="H6647">
        <v>49255908</v>
      </c>
      <c r="I6647">
        <v>49255936</v>
      </c>
    </row>
    <row r="6648" spans="1:9" x14ac:dyDescent="0.2">
      <c r="A6648" s="1" t="str">
        <f>"FUT10"</f>
        <v>FUT10</v>
      </c>
      <c r="B6648" t="s">
        <v>14</v>
      </c>
      <c r="C6648" t="s">
        <v>30</v>
      </c>
      <c r="D6648" t="s">
        <v>11</v>
      </c>
      <c r="E6648" t="s">
        <v>12</v>
      </c>
      <c r="F6648">
        <v>33330595</v>
      </c>
      <c r="G6648">
        <v>33330689</v>
      </c>
      <c r="H6648">
        <v>33330717</v>
      </c>
      <c r="I6648">
        <v>33330728</v>
      </c>
    </row>
    <row r="6649" spans="1:9" x14ac:dyDescent="0.2">
      <c r="A6649" s="1" t="str">
        <f>"FUT11"</f>
        <v>FUT11</v>
      </c>
      <c r="B6649" t="s">
        <v>14</v>
      </c>
      <c r="C6649" t="s">
        <v>15</v>
      </c>
      <c r="D6649" t="s">
        <v>17</v>
      </c>
      <c r="E6649" t="s">
        <v>12</v>
      </c>
      <c r="F6649">
        <v>75532028</v>
      </c>
      <c r="G6649">
        <v>75532089</v>
      </c>
      <c r="H6649">
        <v>75532398</v>
      </c>
      <c r="I6649">
        <v>75532498</v>
      </c>
    </row>
    <row r="6650" spans="1:9" x14ac:dyDescent="0.2">
      <c r="A6650" s="1" t="str">
        <f>"FUT2"</f>
        <v>FUT2</v>
      </c>
      <c r="B6650" t="s">
        <v>14</v>
      </c>
      <c r="C6650" t="s">
        <v>10</v>
      </c>
      <c r="D6650" t="s">
        <v>17</v>
      </c>
      <c r="E6650" t="s">
        <v>12</v>
      </c>
      <c r="F6650">
        <v>49199209</v>
      </c>
      <c r="G6650">
        <v>49199284</v>
      </c>
      <c r="H6650">
        <v>49199209</v>
      </c>
      <c r="I6650">
        <v>49199284</v>
      </c>
    </row>
    <row r="6651" spans="1:9" x14ac:dyDescent="0.2">
      <c r="A6651" s="1" t="str">
        <f>"FUT3"</f>
        <v>FUT3</v>
      </c>
      <c r="B6651" t="s">
        <v>14</v>
      </c>
      <c r="C6651" t="s">
        <v>10</v>
      </c>
      <c r="D6651" t="s">
        <v>11</v>
      </c>
      <c r="E6651" t="s">
        <v>12</v>
      </c>
      <c r="F6651">
        <v>5851442</v>
      </c>
      <c r="G6651">
        <v>5851487</v>
      </c>
      <c r="H6651">
        <v>5851442</v>
      </c>
      <c r="I6651">
        <v>5851487</v>
      </c>
    </row>
    <row r="6652" spans="1:9" x14ac:dyDescent="0.2">
      <c r="A6652" s="1" t="str">
        <f>"FUT4"</f>
        <v>FUT4</v>
      </c>
      <c r="B6652" t="s">
        <v>14</v>
      </c>
      <c r="C6652" t="s">
        <v>27</v>
      </c>
      <c r="D6652" t="s">
        <v>17</v>
      </c>
      <c r="E6652" t="s">
        <v>12</v>
      </c>
      <c r="F6652">
        <v>94277542</v>
      </c>
      <c r="G6652">
        <v>94277569</v>
      </c>
      <c r="H6652">
        <v>94277099</v>
      </c>
      <c r="I6652">
        <v>94277123</v>
      </c>
    </row>
    <row r="6653" spans="1:9" x14ac:dyDescent="0.2">
      <c r="A6653" s="1" t="str">
        <f>"FUT5"</f>
        <v>FUT5</v>
      </c>
      <c r="B6653" t="s">
        <v>14</v>
      </c>
      <c r="C6653" t="s">
        <v>10</v>
      </c>
      <c r="D6653" t="s">
        <v>11</v>
      </c>
      <c r="E6653" t="s">
        <v>12</v>
      </c>
      <c r="F6653">
        <v>5903739</v>
      </c>
      <c r="G6653">
        <v>5903809</v>
      </c>
      <c r="H6653">
        <v>5903990</v>
      </c>
      <c r="I6653">
        <v>5904039</v>
      </c>
    </row>
    <row r="6654" spans="1:9" x14ac:dyDescent="0.2">
      <c r="A6654" s="1" t="str">
        <f>"FUT6"</f>
        <v>FUT6</v>
      </c>
      <c r="B6654" t="s">
        <v>14</v>
      </c>
      <c r="C6654" t="s">
        <v>10</v>
      </c>
      <c r="D6654" t="s">
        <v>11</v>
      </c>
      <c r="E6654" t="s">
        <v>12</v>
      </c>
      <c r="F6654">
        <v>5838768</v>
      </c>
      <c r="G6654">
        <v>5838808</v>
      </c>
      <c r="H6654">
        <v>5838734</v>
      </c>
      <c r="I6654">
        <v>5838762</v>
      </c>
    </row>
    <row r="6655" spans="1:9" x14ac:dyDescent="0.2">
      <c r="A6655" s="1" t="str">
        <f>"FUT7"</f>
        <v>FUT7</v>
      </c>
      <c r="B6655" t="s">
        <v>14</v>
      </c>
      <c r="C6655" t="s">
        <v>24</v>
      </c>
      <c r="D6655" t="s">
        <v>11</v>
      </c>
      <c r="E6655" t="s">
        <v>12</v>
      </c>
      <c r="F6655">
        <v>139926533</v>
      </c>
      <c r="G6655">
        <v>139926546</v>
      </c>
      <c r="H6655">
        <v>139926550</v>
      </c>
      <c r="I6655">
        <v>139926561</v>
      </c>
    </row>
    <row r="6656" spans="1:9" x14ac:dyDescent="0.2">
      <c r="A6656" s="1" t="str">
        <f>"FUT8"</f>
        <v>FUT8</v>
      </c>
      <c r="B6656" t="s">
        <v>14</v>
      </c>
      <c r="C6656" t="s">
        <v>41</v>
      </c>
      <c r="D6656" t="s">
        <v>17</v>
      </c>
      <c r="E6656" t="s">
        <v>12</v>
      </c>
      <c r="F6656">
        <v>65879437</v>
      </c>
      <c r="G6656">
        <v>65879538</v>
      </c>
      <c r="H6656">
        <v>65878565</v>
      </c>
      <c r="I6656">
        <v>65878632</v>
      </c>
    </row>
    <row r="6657" spans="1:9" x14ac:dyDescent="0.2">
      <c r="A6657" s="1" t="str">
        <f>"FUT9"</f>
        <v>FUT9</v>
      </c>
      <c r="B6657" t="s">
        <v>14</v>
      </c>
      <c r="C6657" t="s">
        <v>32</v>
      </c>
      <c r="D6657" t="s">
        <v>17</v>
      </c>
      <c r="E6657" t="s">
        <v>12</v>
      </c>
      <c r="F6657">
        <v>96463840</v>
      </c>
      <c r="G6657">
        <v>96463892</v>
      </c>
      <c r="H6657">
        <v>96463823</v>
      </c>
      <c r="I6657">
        <v>96463835</v>
      </c>
    </row>
    <row r="6658" spans="1:9" x14ac:dyDescent="0.2">
      <c r="A6658" s="1" t="str">
        <f>"FUZ"</f>
        <v>FUZ</v>
      </c>
      <c r="B6658" t="s">
        <v>9</v>
      </c>
      <c r="C6658" t="s">
        <v>10</v>
      </c>
      <c r="D6658" t="s">
        <v>11</v>
      </c>
      <c r="E6658" t="s">
        <v>12</v>
      </c>
      <c r="F6658">
        <v>50316517</v>
      </c>
      <c r="G6658">
        <v>50316562</v>
      </c>
      <c r="H6658">
        <v>50316517</v>
      </c>
      <c r="I6658">
        <v>50316562</v>
      </c>
    </row>
    <row r="6659" spans="1:9" x14ac:dyDescent="0.2">
      <c r="A6659" s="1" t="str">
        <f>"FUZ"</f>
        <v>FUZ</v>
      </c>
      <c r="B6659" t="s">
        <v>13</v>
      </c>
      <c r="C6659" t="s">
        <v>10</v>
      </c>
      <c r="D6659" t="s">
        <v>11</v>
      </c>
      <c r="E6659" t="s">
        <v>12</v>
      </c>
      <c r="F6659">
        <v>50312039</v>
      </c>
      <c r="G6659">
        <v>50312109</v>
      </c>
      <c r="H6659">
        <v>50312039</v>
      </c>
      <c r="I6659">
        <v>50312109</v>
      </c>
    </row>
    <row r="6660" spans="1:9" x14ac:dyDescent="0.2">
      <c r="A6660" s="1" t="str">
        <f>"FXN"</f>
        <v>FXN</v>
      </c>
      <c r="B6660" t="s">
        <v>14</v>
      </c>
      <c r="C6660" t="s">
        <v>24</v>
      </c>
      <c r="D6660" t="s">
        <v>17</v>
      </c>
      <c r="E6660" t="s">
        <v>12</v>
      </c>
      <c r="F6660">
        <v>71650645</v>
      </c>
      <c r="G6660">
        <v>71650730</v>
      </c>
      <c r="H6660">
        <v>71650967</v>
      </c>
      <c r="I6660">
        <v>71650992</v>
      </c>
    </row>
    <row r="6661" spans="1:9" x14ac:dyDescent="0.2">
      <c r="A6661" s="1" t="str">
        <f>"FXR1"</f>
        <v>FXR1</v>
      </c>
      <c r="B6661" t="s">
        <v>14</v>
      </c>
      <c r="C6661" t="s">
        <v>22</v>
      </c>
      <c r="D6661" t="s">
        <v>17</v>
      </c>
      <c r="E6661" t="s">
        <v>12</v>
      </c>
      <c r="F6661">
        <v>180630444</v>
      </c>
      <c r="G6661">
        <v>180630471</v>
      </c>
      <c r="H6661">
        <v>180630232</v>
      </c>
      <c r="I6661">
        <v>180630311</v>
      </c>
    </row>
    <row r="6662" spans="1:9" x14ac:dyDescent="0.2">
      <c r="A6662" s="1" t="str">
        <f>"FXR2"</f>
        <v>FXR2</v>
      </c>
      <c r="B6662" t="s">
        <v>14</v>
      </c>
      <c r="C6662" t="s">
        <v>28</v>
      </c>
      <c r="D6662" t="s">
        <v>11</v>
      </c>
      <c r="E6662" t="s">
        <v>12</v>
      </c>
      <c r="F6662">
        <v>7518145</v>
      </c>
      <c r="G6662">
        <v>7518234</v>
      </c>
      <c r="H6662">
        <v>7517889</v>
      </c>
      <c r="I6662">
        <v>7517911</v>
      </c>
    </row>
    <row r="6663" spans="1:9" x14ac:dyDescent="0.2">
      <c r="A6663" s="1" t="str">
        <f>"FXYD1"</f>
        <v>FXYD1</v>
      </c>
      <c r="B6663" t="s">
        <v>14</v>
      </c>
      <c r="C6663" t="s">
        <v>10</v>
      </c>
      <c r="D6663" t="s">
        <v>17</v>
      </c>
      <c r="E6663" t="s">
        <v>12</v>
      </c>
      <c r="F6663">
        <v>35629702</v>
      </c>
      <c r="G6663">
        <v>35629742</v>
      </c>
      <c r="H6663">
        <v>35629748</v>
      </c>
      <c r="I6663">
        <v>35629760</v>
      </c>
    </row>
    <row r="6664" spans="1:9" x14ac:dyDescent="0.2">
      <c r="A6664" s="1" t="str">
        <f>"FXYD2"</f>
        <v>FXYD2</v>
      </c>
      <c r="B6664" t="s">
        <v>9</v>
      </c>
      <c r="C6664" t="s">
        <v>27</v>
      </c>
      <c r="D6664" t="s">
        <v>11</v>
      </c>
      <c r="E6664" t="s">
        <v>12</v>
      </c>
      <c r="F6664">
        <v>117695449</v>
      </c>
      <c r="G6664">
        <v>117695466</v>
      </c>
      <c r="H6664">
        <v>117695449</v>
      </c>
      <c r="I6664">
        <v>117695466</v>
      </c>
    </row>
    <row r="6665" spans="1:9" x14ac:dyDescent="0.2">
      <c r="A6665" s="1" t="str">
        <f>"FXYD2"</f>
        <v>FXYD2</v>
      </c>
      <c r="B6665" t="s">
        <v>13</v>
      </c>
      <c r="C6665" t="s">
        <v>27</v>
      </c>
      <c r="D6665" t="s">
        <v>11</v>
      </c>
      <c r="E6665" t="s">
        <v>12</v>
      </c>
      <c r="F6665">
        <v>117698787</v>
      </c>
      <c r="G6665">
        <v>117698813</v>
      </c>
      <c r="H6665">
        <v>117698787</v>
      </c>
      <c r="I6665">
        <v>117698813</v>
      </c>
    </row>
    <row r="6666" spans="1:9" x14ac:dyDescent="0.2">
      <c r="A6666" s="1" t="str">
        <f>"FXYD3"</f>
        <v>FXYD3</v>
      </c>
      <c r="B6666" t="s">
        <v>14</v>
      </c>
      <c r="C6666" t="s">
        <v>10</v>
      </c>
      <c r="D6666" t="s">
        <v>17</v>
      </c>
      <c r="E6666" t="s">
        <v>12</v>
      </c>
      <c r="F6666">
        <v>35607214</v>
      </c>
      <c r="G6666">
        <v>35607234</v>
      </c>
      <c r="H6666">
        <v>35606692</v>
      </c>
      <c r="I6666">
        <v>35606769</v>
      </c>
    </row>
    <row r="6667" spans="1:9" x14ac:dyDescent="0.2">
      <c r="A6667" s="1" t="str">
        <f>"FXYD4"</f>
        <v>FXYD4</v>
      </c>
      <c r="B6667" t="s">
        <v>14</v>
      </c>
      <c r="C6667" t="s">
        <v>15</v>
      </c>
      <c r="D6667" t="s">
        <v>17</v>
      </c>
      <c r="E6667" t="s">
        <v>12</v>
      </c>
      <c r="F6667">
        <v>43867077</v>
      </c>
      <c r="G6667">
        <v>43867098</v>
      </c>
      <c r="H6667">
        <v>43867077</v>
      </c>
      <c r="I6667">
        <v>43867098</v>
      </c>
    </row>
    <row r="6668" spans="1:9" x14ac:dyDescent="0.2">
      <c r="A6668" s="1" t="str">
        <f>"FXYD5"</f>
        <v>FXYD5</v>
      </c>
      <c r="B6668" t="s">
        <v>14</v>
      </c>
      <c r="C6668" t="s">
        <v>10</v>
      </c>
      <c r="D6668" t="s">
        <v>17</v>
      </c>
      <c r="E6668" t="s">
        <v>12</v>
      </c>
      <c r="F6668">
        <v>35645618</v>
      </c>
      <c r="G6668">
        <v>35645684</v>
      </c>
      <c r="H6668">
        <v>35645618</v>
      </c>
      <c r="I6668">
        <v>35645684</v>
      </c>
    </row>
    <row r="6669" spans="1:9" x14ac:dyDescent="0.2">
      <c r="A6669" s="1" t="str">
        <f>"FXYD6"</f>
        <v>FXYD6</v>
      </c>
      <c r="B6669" t="s">
        <v>14</v>
      </c>
      <c r="C6669" t="s">
        <v>27</v>
      </c>
      <c r="D6669" t="s">
        <v>11</v>
      </c>
      <c r="E6669" t="s">
        <v>12</v>
      </c>
      <c r="F6669">
        <v>117747327</v>
      </c>
      <c r="G6669">
        <v>117747384</v>
      </c>
      <c r="H6669">
        <v>117747442</v>
      </c>
      <c r="I6669">
        <v>117747453</v>
      </c>
    </row>
    <row r="6670" spans="1:9" x14ac:dyDescent="0.2">
      <c r="A6670" s="1" t="str">
        <f>"FXYD6-FXYD2"</f>
        <v>FXYD6-FXYD2</v>
      </c>
      <c r="B6670" t="s">
        <v>14</v>
      </c>
      <c r="C6670" t="s">
        <v>27</v>
      </c>
      <c r="D6670" t="s">
        <v>11</v>
      </c>
      <c r="E6670" t="s">
        <v>67</v>
      </c>
      <c r="F6670">
        <v>117747398</v>
      </c>
      <c r="G6670">
        <v>117747409</v>
      </c>
      <c r="H6670">
        <v>117747442</v>
      </c>
      <c r="I6670">
        <v>117747453</v>
      </c>
    </row>
    <row r="6671" spans="1:9" x14ac:dyDescent="0.2">
      <c r="A6671" s="1" t="str">
        <f>"FXYD7"</f>
        <v>FXYD7</v>
      </c>
      <c r="B6671" t="s">
        <v>14</v>
      </c>
      <c r="C6671" t="s">
        <v>10</v>
      </c>
      <c r="D6671" t="s">
        <v>17</v>
      </c>
      <c r="E6671" t="s">
        <v>12</v>
      </c>
      <c r="F6671">
        <v>35634146</v>
      </c>
      <c r="G6671">
        <v>35634205</v>
      </c>
      <c r="H6671">
        <v>35633957</v>
      </c>
      <c r="I6671">
        <v>35633969</v>
      </c>
    </row>
    <row r="6672" spans="1:9" x14ac:dyDescent="0.2">
      <c r="A6672" s="1" t="str">
        <f>"FYB"</f>
        <v>FYB</v>
      </c>
      <c r="B6672" t="s">
        <v>9</v>
      </c>
      <c r="C6672" t="s">
        <v>46</v>
      </c>
      <c r="D6672" t="s">
        <v>11</v>
      </c>
      <c r="E6672" t="s">
        <v>12</v>
      </c>
      <c r="F6672">
        <v>39219641</v>
      </c>
      <c r="G6672">
        <v>39219683</v>
      </c>
      <c r="H6672">
        <v>39219641</v>
      </c>
      <c r="I6672">
        <v>39219683</v>
      </c>
    </row>
    <row r="6673" spans="1:9" x14ac:dyDescent="0.2">
      <c r="A6673" s="1" t="str">
        <f>"FYB"</f>
        <v>FYB</v>
      </c>
      <c r="B6673" t="s">
        <v>13</v>
      </c>
      <c r="C6673" t="s">
        <v>46</v>
      </c>
      <c r="D6673" t="s">
        <v>11</v>
      </c>
      <c r="E6673" t="s">
        <v>12</v>
      </c>
      <c r="F6673">
        <v>39203093</v>
      </c>
      <c r="G6673">
        <v>39203130</v>
      </c>
      <c r="H6673">
        <v>39203093</v>
      </c>
      <c r="I6673">
        <v>39203130</v>
      </c>
    </row>
    <row r="6674" spans="1:9" x14ac:dyDescent="0.2">
      <c r="A6674" s="1" t="str">
        <f>"FYCO1"</f>
        <v>FYCO1</v>
      </c>
      <c r="B6674" t="s">
        <v>14</v>
      </c>
      <c r="C6674" t="s">
        <v>22</v>
      </c>
      <c r="D6674" t="s">
        <v>11</v>
      </c>
      <c r="E6674" t="s">
        <v>12</v>
      </c>
      <c r="F6674">
        <v>46037299</v>
      </c>
      <c r="G6674">
        <v>46037337</v>
      </c>
      <c r="H6674">
        <v>46037247</v>
      </c>
      <c r="I6674">
        <v>46037258</v>
      </c>
    </row>
    <row r="6675" spans="1:9" x14ac:dyDescent="0.2">
      <c r="A6675" s="1" t="str">
        <f>"FYN"</f>
        <v>FYN</v>
      </c>
      <c r="B6675" t="s">
        <v>14</v>
      </c>
      <c r="C6675" t="s">
        <v>32</v>
      </c>
      <c r="D6675" t="s">
        <v>11</v>
      </c>
      <c r="E6675" t="s">
        <v>12</v>
      </c>
      <c r="F6675">
        <v>112194622</v>
      </c>
      <c r="G6675">
        <v>112194662</v>
      </c>
      <c r="H6675">
        <v>112194622</v>
      </c>
      <c r="I6675">
        <v>112194662</v>
      </c>
    </row>
    <row r="6676" spans="1:9" x14ac:dyDescent="0.2">
      <c r="A6676" s="1" t="str">
        <f>"FYTTD1"</f>
        <v>FYTTD1</v>
      </c>
      <c r="B6676" t="s">
        <v>14</v>
      </c>
      <c r="C6676" t="s">
        <v>22</v>
      </c>
      <c r="D6676" t="s">
        <v>17</v>
      </c>
      <c r="E6676" t="s">
        <v>12</v>
      </c>
      <c r="F6676">
        <v>197476726</v>
      </c>
      <c r="G6676">
        <v>197476844</v>
      </c>
      <c r="H6676">
        <v>197476701</v>
      </c>
      <c r="I6676">
        <v>197476721</v>
      </c>
    </row>
    <row r="6677" spans="1:9" x14ac:dyDescent="0.2">
      <c r="A6677" s="1" t="str">
        <f>"FZD1"</f>
        <v>FZD1</v>
      </c>
      <c r="B6677" t="s">
        <v>14</v>
      </c>
      <c r="C6677" t="s">
        <v>33</v>
      </c>
      <c r="D6677" t="s">
        <v>17</v>
      </c>
      <c r="E6677" t="s">
        <v>12</v>
      </c>
      <c r="F6677">
        <v>90893846</v>
      </c>
      <c r="G6677">
        <v>90893907</v>
      </c>
      <c r="H6677">
        <v>90893790</v>
      </c>
      <c r="I6677">
        <v>90893806</v>
      </c>
    </row>
    <row r="6678" spans="1:9" x14ac:dyDescent="0.2">
      <c r="A6678" s="1" t="str">
        <f>"FZD10"</f>
        <v>FZD10</v>
      </c>
      <c r="B6678" t="s">
        <v>14</v>
      </c>
      <c r="C6678" t="s">
        <v>16</v>
      </c>
      <c r="D6678" t="s">
        <v>17</v>
      </c>
      <c r="E6678" t="s">
        <v>12</v>
      </c>
      <c r="F6678">
        <v>130646999</v>
      </c>
      <c r="G6678">
        <v>130647019</v>
      </c>
      <c r="H6678">
        <v>130647116</v>
      </c>
      <c r="I6678">
        <v>130647131</v>
      </c>
    </row>
    <row r="6679" spans="1:9" x14ac:dyDescent="0.2">
      <c r="A6679" s="1" t="str">
        <f>"FZD2"</f>
        <v>FZD2</v>
      </c>
      <c r="B6679" t="s">
        <v>14</v>
      </c>
      <c r="C6679" t="s">
        <v>28</v>
      </c>
      <c r="D6679" t="s">
        <v>17</v>
      </c>
      <c r="E6679" t="s">
        <v>12</v>
      </c>
      <c r="F6679">
        <v>42634844</v>
      </c>
      <c r="G6679">
        <v>42634858</v>
      </c>
      <c r="H6679">
        <v>42634675</v>
      </c>
      <c r="I6679">
        <v>42634731</v>
      </c>
    </row>
    <row r="6680" spans="1:9" x14ac:dyDescent="0.2">
      <c r="A6680" s="1" t="str">
        <f>"FZD3"</f>
        <v>FZD3</v>
      </c>
      <c r="B6680" t="s">
        <v>14</v>
      </c>
      <c r="C6680" t="s">
        <v>30</v>
      </c>
      <c r="D6680" t="s">
        <v>17</v>
      </c>
      <c r="E6680" t="s">
        <v>12</v>
      </c>
      <c r="F6680">
        <v>28351707</v>
      </c>
      <c r="G6680">
        <v>28351781</v>
      </c>
      <c r="H6680">
        <v>28351707</v>
      </c>
      <c r="I6680">
        <v>28351781</v>
      </c>
    </row>
    <row r="6681" spans="1:9" x14ac:dyDescent="0.2">
      <c r="A6681" s="1" t="str">
        <f>"FZD4"</f>
        <v>FZD4</v>
      </c>
      <c r="B6681" t="s">
        <v>14</v>
      </c>
      <c r="C6681" t="s">
        <v>27</v>
      </c>
      <c r="D6681" t="s">
        <v>11</v>
      </c>
      <c r="E6681" t="s">
        <v>12</v>
      </c>
      <c r="F6681">
        <v>86666427</v>
      </c>
      <c r="G6681">
        <v>86666450</v>
      </c>
      <c r="H6681">
        <v>86666500</v>
      </c>
      <c r="I6681">
        <v>86666511</v>
      </c>
    </row>
    <row r="6682" spans="1:9" x14ac:dyDescent="0.2">
      <c r="A6682" s="1" t="str">
        <f>"FZD5"</f>
        <v>FZD5</v>
      </c>
      <c r="B6682" t="s">
        <v>14</v>
      </c>
      <c r="C6682" t="s">
        <v>26</v>
      </c>
      <c r="D6682" t="s">
        <v>11</v>
      </c>
      <c r="E6682" t="s">
        <v>12</v>
      </c>
      <c r="F6682">
        <v>208634613</v>
      </c>
      <c r="G6682">
        <v>208634638</v>
      </c>
      <c r="H6682">
        <v>208634399</v>
      </c>
      <c r="I6682">
        <v>208634439</v>
      </c>
    </row>
    <row r="6683" spans="1:9" x14ac:dyDescent="0.2">
      <c r="A6683" s="1" t="str">
        <f>"FZD6"</f>
        <v>FZD6</v>
      </c>
      <c r="B6683" t="s">
        <v>14</v>
      </c>
      <c r="C6683" t="s">
        <v>30</v>
      </c>
      <c r="D6683" t="s">
        <v>17</v>
      </c>
      <c r="E6683" t="s">
        <v>12</v>
      </c>
      <c r="F6683">
        <v>104311064</v>
      </c>
      <c r="G6683">
        <v>104311132</v>
      </c>
      <c r="H6683">
        <v>104311139</v>
      </c>
      <c r="I6683">
        <v>104311148</v>
      </c>
    </row>
    <row r="6684" spans="1:9" x14ac:dyDescent="0.2">
      <c r="A6684" s="1" t="str">
        <f>"FZD7"</f>
        <v>FZD7</v>
      </c>
      <c r="B6684" t="s">
        <v>14</v>
      </c>
      <c r="C6684" t="s">
        <v>26</v>
      </c>
      <c r="D6684" t="s">
        <v>17</v>
      </c>
      <c r="E6684" t="s">
        <v>12</v>
      </c>
      <c r="F6684">
        <v>202898931</v>
      </c>
      <c r="G6684">
        <v>202898960</v>
      </c>
      <c r="H6684">
        <v>202898931</v>
      </c>
      <c r="I6684">
        <v>202898960</v>
      </c>
    </row>
    <row r="6685" spans="1:9" x14ac:dyDescent="0.2">
      <c r="A6685" s="1" t="str">
        <f>"FZD8"</f>
        <v>FZD8</v>
      </c>
      <c r="B6685" t="s">
        <v>14</v>
      </c>
      <c r="C6685" t="s">
        <v>15</v>
      </c>
      <c r="D6685" t="s">
        <v>11</v>
      </c>
      <c r="E6685" t="s">
        <v>12</v>
      </c>
      <c r="F6685">
        <v>35930025</v>
      </c>
      <c r="G6685">
        <v>35930031</v>
      </c>
      <c r="H6685">
        <v>35930342</v>
      </c>
      <c r="I6685">
        <v>35930384</v>
      </c>
    </row>
    <row r="6686" spans="1:9" x14ac:dyDescent="0.2">
      <c r="A6686" s="1" t="str">
        <f>"FZD9"</f>
        <v>FZD9</v>
      </c>
      <c r="B6686" t="s">
        <v>14</v>
      </c>
      <c r="C6686" t="s">
        <v>33</v>
      </c>
      <c r="D6686" t="s">
        <v>17</v>
      </c>
      <c r="E6686" t="s">
        <v>12</v>
      </c>
      <c r="F6686">
        <v>72848092</v>
      </c>
      <c r="G6686">
        <v>72848130</v>
      </c>
      <c r="H6686">
        <v>72848371</v>
      </c>
      <c r="I6686">
        <v>72848377</v>
      </c>
    </row>
    <row r="6687" spans="1:9" x14ac:dyDescent="0.2">
      <c r="A6687" s="1" t="str">
        <f>"FZR1"</f>
        <v>FZR1</v>
      </c>
      <c r="B6687" t="s">
        <v>14</v>
      </c>
      <c r="C6687" t="s">
        <v>10</v>
      </c>
      <c r="D6687" t="s">
        <v>17</v>
      </c>
      <c r="E6687" t="s">
        <v>12</v>
      </c>
      <c r="F6687">
        <v>3506261</v>
      </c>
      <c r="G6687">
        <v>3506351</v>
      </c>
      <c r="H6687">
        <v>3506353</v>
      </c>
      <c r="I6687">
        <v>3506367</v>
      </c>
    </row>
    <row r="6688" spans="1:9" x14ac:dyDescent="0.2">
      <c r="A6688" s="1" t="str">
        <f>"G0S2"</f>
        <v>G0S2</v>
      </c>
      <c r="B6688" t="s">
        <v>14</v>
      </c>
      <c r="C6688" t="s">
        <v>19</v>
      </c>
      <c r="D6688" t="s">
        <v>17</v>
      </c>
      <c r="E6688" t="s">
        <v>12</v>
      </c>
      <c r="F6688">
        <v>209848749</v>
      </c>
      <c r="G6688">
        <v>209848764</v>
      </c>
      <c r="H6688">
        <v>209848749</v>
      </c>
      <c r="I6688">
        <v>209848764</v>
      </c>
    </row>
    <row r="6689" spans="1:9" x14ac:dyDescent="0.2">
      <c r="A6689" s="1" t="str">
        <f>"G2E3"</f>
        <v>G2E3</v>
      </c>
      <c r="B6689" t="s">
        <v>14</v>
      </c>
      <c r="C6689" t="s">
        <v>41</v>
      </c>
      <c r="D6689" t="s">
        <v>17</v>
      </c>
      <c r="E6689" t="s">
        <v>12</v>
      </c>
      <c r="F6689">
        <v>31028348</v>
      </c>
      <c r="G6689">
        <v>31028392</v>
      </c>
      <c r="H6689">
        <v>31028331</v>
      </c>
      <c r="I6689">
        <v>31028340</v>
      </c>
    </row>
    <row r="6690" spans="1:9" x14ac:dyDescent="0.2">
      <c r="A6690" s="1" t="str">
        <f>"G3BP1"</f>
        <v>G3BP1</v>
      </c>
      <c r="B6690" t="s">
        <v>14</v>
      </c>
      <c r="C6690" t="s">
        <v>46</v>
      </c>
      <c r="D6690" t="s">
        <v>17</v>
      </c>
      <c r="E6690" t="s">
        <v>12</v>
      </c>
      <c r="F6690">
        <v>151151505</v>
      </c>
      <c r="G6690">
        <v>151151523</v>
      </c>
      <c r="H6690">
        <v>151151475</v>
      </c>
      <c r="I6690">
        <v>151151496</v>
      </c>
    </row>
    <row r="6691" spans="1:9" x14ac:dyDescent="0.2">
      <c r="A6691" s="1" t="str">
        <f>"G3BP2"</f>
        <v>G3BP2</v>
      </c>
      <c r="B6691" t="s">
        <v>14</v>
      </c>
      <c r="C6691" t="s">
        <v>23</v>
      </c>
      <c r="D6691" t="s">
        <v>11</v>
      </c>
      <c r="E6691" t="s">
        <v>12</v>
      </c>
      <c r="F6691">
        <v>76598544</v>
      </c>
      <c r="G6691">
        <v>76598605</v>
      </c>
      <c r="H6691">
        <v>76598544</v>
      </c>
      <c r="I6691">
        <v>76598605</v>
      </c>
    </row>
    <row r="6692" spans="1:9" x14ac:dyDescent="0.2">
      <c r="A6692" s="1" t="str">
        <f>"G6PC"</f>
        <v>G6PC</v>
      </c>
      <c r="B6692" t="s">
        <v>14</v>
      </c>
      <c r="C6692" t="s">
        <v>28</v>
      </c>
      <c r="D6692" t="s">
        <v>17</v>
      </c>
      <c r="E6692" t="s">
        <v>12</v>
      </c>
      <c r="F6692">
        <v>41052808</v>
      </c>
      <c r="G6692">
        <v>41052826</v>
      </c>
      <c r="H6692">
        <v>41052808</v>
      </c>
      <c r="I6692">
        <v>41052826</v>
      </c>
    </row>
    <row r="6693" spans="1:9" x14ac:dyDescent="0.2">
      <c r="A6693" s="1" t="str">
        <f>"G6PC2"</f>
        <v>G6PC2</v>
      </c>
      <c r="B6693" t="s">
        <v>14</v>
      </c>
      <c r="C6693" t="s">
        <v>26</v>
      </c>
      <c r="D6693" t="s">
        <v>17</v>
      </c>
      <c r="E6693" t="s">
        <v>12</v>
      </c>
      <c r="F6693">
        <v>169757800</v>
      </c>
      <c r="G6693">
        <v>169757802</v>
      </c>
      <c r="H6693">
        <v>169757800</v>
      </c>
      <c r="I6693">
        <v>169757802</v>
      </c>
    </row>
    <row r="6694" spans="1:9" x14ac:dyDescent="0.2">
      <c r="A6694" s="1" t="str">
        <f>"G6PC3"</f>
        <v>G6PC3</v>
      </c>
      <c r="B6694" t="s">
        <v>14</v>
      </c>
      <c r="C6694" t="s">
        <v>28</v>
      </c>
      <c r="D6694" t="s">
        <v>17</v>
      </c>
      <c r="E6694" t="s">
        <v>12</v>
      </c>
      <c r="F6694">
        <v>42148225</v>
      </c>
      <c r="G6694">
        <v>42148317</v>
      </c>
      <c r="H6694">
        <v>42148097</v>
      </c>
      <c r="I6694">
        <v>42148119</v>
      </c>
    </row>
    <row r="6695" spans="1:9" x14ac:dyDescent="0.2">
      <c r="A6695" s="1" t="str">
        <f>"G6PD"</f>
        <v>G6PD</v>
      </c>
      <c r="B6695" t="s">
        <v>14</v>
      </c>
      <c r="C6695" t="s">
        <v>37</v>
      </c>
      <c r="D6695" t="s">
        <v>11</v>
      </c>
      <c r="E6695" t="s">
        <v>12</v>
      </c>
      <c r="F6695">
        <v>153775052</v>
      </c>
      <c r="G6695">
        <v>153775068</v>
      </c>
      <c r="H6695">
        <v>153775760</v>
      </c>
      <c r="I6695">
        <v>153775806</v>
      </c>
    </row>
    <row r="6696" spans="1:9" x14ac:dyDescent="0.2">
      <c r="A6696" s="1" t="str">
        <f>"GAA"</f>
        <v>GAA</v>
      </c>
      <c r="B6696" t="s">
        <v>14</v>
      </c>
      <c r="C6696" t="s">
        <v>28</v>
      </c>
      <c r="D6696" t="s">
        <v>17</v>
      </c>
      <c r="E6696" t="s">
        <v>12</v>
      </c>
      <c r="F6696">
        <v>78075361</v>
      </c>
      <c r="G6696">
        <v>78075403</v>
      </c>
      <c r="H6696">
        <v>78075324</v>
      </c>
      <c r="I6696">
        <v>78075358</v>
      </c>
    </row>
    <row r="6697" spans="1:9" x14ac:dyDescent="0.2">
      <c r="A6697" s="1" t="str">
        <f>"GAB1"</f>
        <v>GAB1</v>
      </c>
      <c r="B6697" t="s">
        <v>14</v>
      </c>
      <c r="C6697" t="s">
        <v>23</v>
      </c>
      <c r="D6697" t="s">
        <v>17</v>
      </c>
      <c r="E6697" t="s">
        <v>12</v>
      </c>
      <c r="F6697">
        <v>144258021</v>
      </c>
      <c r="G6697">
        <v>144258052</v>
      </c>
      <c r="H6697">
        <v>144258021</v>
      </c>
      <c r="I6697">
        <v>144258052</v>
      </c>
    </row>
    <row r="6698" spans="1:9" x14ac:dyDescent="0.2">
      <c r="A6698" s="1" t="str">
        <f>"GAB2"</f>
        <v>GAB2</v>
      </c>
      <c r="B6698" t="s">
        <v>14</v>
      </c>
      <c r="C6698" t="s">
        <v>27</v>
      </c>
      <c r="D6698" t="s">
        <v>11</v>
      </c>
      <c r="E6698" t="s">
        <v>12</v>
      </c>
      <c r="F6698">
        <v>78128811</v>
      </c>
      <c r="G6698">
        <v>78128916</v>
      </c>
      <c r="H6698">
        <v>78128931</v>
      </c>
      <c r="I6698">
        <v>78128940</v>
      </c>
    </row>
    <row r="6699" spans="1:9" x14ac:dyDescent="0.2">
      <c r="A6699" s="1" t="str">
        <f>"GAB3"</f>
        <v>GAB3</v>
      </c>
      <c r="B6699" t="s">
        <v>14</v>
      </c>
      <c r="C6699" t="s">
        <v>37</v>
      </c>
      <c r="D6699" t="s">
        <v>11</v>
      </c>
      <c r="E6699" t="s">
        <v>12</v>
      </c>
      <c r="F6699">
        <v>153979315</v>
      </c>
      <c r="G6699">
        <v>153979373</v>
      </c>
      <c r="H6699">
        <v>153979788</v>
      </c>
      <c r="I6699">
        <v>153979818</v>
      </c>
    </row>
    <row r="6700" spans="1:9" x14ac:dyDescent="0.2">
      <c r="A6700" s="1" t="str">
        <f>"GAB4"</f>
        <v>GAB4</v>
      </c>
      <c r="B6700" t="s">
        <v>14</v>
      </c>
      <c r="C6700" t="s">
        <v>21</v>
      </c>
      <c r="D6700" t="s">
        <v>11</v>
      </c>
      <c r="E6700" t="s">
        <v>12</v>
      </c>
      <c r="F6700">
        <v>17488882</v>
      </c>
      <c r="G6700">
        <v>17488894</v>
      </c>
      <c r="H6700">
        <v>17488895</v>
      </c>
      <c r="I6700">
        <v>17488902</v>
      </c>
    </row>
    <row r="6701" spans="1:9" x14ac:dyDescent="0.2">
      <c r="A6701" s="1" t="str">
        <f>"GABARAP"</f>
        <v>GABARAP</v>
      </c>
      <c r="B6701" t="s">
        <v>14</v>
      </c>
      <c r="C6701" t="s">
        <v>28</v>
      </c>
      <c r="D6701" t="s">
        <v>11</v>
      </c>
      <c r="E6701" t="s">
        <v>12</v>
      </c>
      <c r="F6701">
        <v>7145647</v>
      </c>
      <c r="G6701">
        <v>7145774</v>
      </c>
      <c r="H6701">
        <v>7145647</v>
      </c>
      <c r="I6701">
        <v>7145774</v>
      </c>
    </row>
    <row r="6702" spans="1:9" x14ac:dyDescent="0.2">
      <c r="A6702" s="1" t="str">
        <f>"GABARAPL1"</f>
        <v>GABARAPL1</v>
      </c>
      <c r="B6702" t="s">
        <v>14</v>
      </c>
      <c r="C6702" t="s">
        <v>16</v>
      </c>
      <c r="D6702" t="s">
        <v>17</v>
      </c>
      <c r="E6702" t="s">
        <v>12</v>
      </c>
      <c r="F6702">
        <v>10365466</v>
      </c>
      <c r="G6702">
        <v>10365547</v>
      </c>
      <c r="H6702">
        <v>10365624</v>
      </c>
      <c r="I6702">
        <v>10365644</v>
      </c>
    </row>
    <row r="6703" spans="1:9" x14ac:dyDescent="0.2">
      <c r="A6703" s="1" t="str">
        <f>"GABARAPL2"</f>
        <v>GABARAPL2</v>
      </c>
      <c r="B6703" t="s">
        <v>14</v>
      </c>
      <c r="C6703" t="s">
        <v>31</v>
      </c>
      <c r="D6703" t="s">
        <v>17</v>
      </c>
      <c r="E6703" t="s">
        <v>12</v>
      </c>
      <c r="F6703">
        <v>75600247</v>
      </c>
      <c r="G6703">
        <v>75600325</v>
      </c>
      <c r="H6703">
        <v>75599976</v>
      </c>
      <c r="I6703">
        <v>75599981</v>
      </c>
    </row>
    <row r="6704" spans="1:9" x14ac:dyDescent="0.2">
      <c r="A6704" s="1" t="str">
        <f>"GABBR1"</f>
        <v>GABBR1</v>
      </c>
      <c r="B6704" t="s">
        <v>9</v>
      </c>
      <c r="C6704" t="s">
        <v>32</v>
      </c>
      <c r="D6704" t="s">
        <v>11</v>
      </c>
      <c r="E6704" t="s">
        <v>12</v>
      </c>
      <c r="F6704">
        <v>29595779</v>
      </c>
      <c r="G6704">
        <v>29595802</v>
      </c>
      <c r="H6704">
        <v>29595779</v>
      </c>
      <c r="I6704">
        <v>29595802</v>
      </c>
    </row>
    <row r="6705" spans="1:9" x14ac:dyDescent="0.2">
      <c r="A6705" s="1" t="str">
        <f>"GABBR1"</f>
        <v>GABBR1</v>
      </c>
      <c r="B6705" t="s">
        <v>13</v>
      </c>
      <c r="C6705" t="s">
        <v>32</v>
      </c>
      <c r="D6705" t="s">
        <v>11</v>
      </c>
      <c r="E6705" t="s">
        <v>12</v>
      </c>
      <c r="F6705">
        <v>29600832</v>
      </c>
      <c r="G6705">
        <v>29600982</v>
      </c>
      <c r="H6705">
        <v>29600832</v>
      </c>
      <c r="I6705">
        <v>29600982</v>
      </c>
    </row>
    <row r="6706" spans="1:9" x14ac:dyDescent="0.2">
      <c r="A6706" s="1" t="str">
        <f>"GABBR2"</f>
        <v>GABBR2</v>
      </c>
      <c r="B6706" t="s">
        <v>14</v>
      </c>
      <c r="C6706" t="s">
        <v>24</v>
      </c>
      <c r="D6706" t="s">
        <v>11</v>
      </c>
      <c r="E6706" t="s">
        <v>12</v>
      </c>
      <c r="F6706">
        <v>101471138</v>
      </c>
      <c r="G6706">
        <v>101471256</v>
      </c>
      <c r="H6706">
        <v>101471482</v>
      </c>
      <c r="I6706">
        <v>101471522</v>
      </c>
    </row>
    <row r="6707" spans="1:9" x14ac:dyDescent="0.2">
      <c r="A6707" s="1" t="str">
        <f>"GABPA"</f>
        <v>GABPA</v>
      </c>
      <c r="B6707" t="s">
        <v>14</v>
      </c>
      <c r="C6707" t="s">
        <v>42</v>
      </c>
      <c r="D6707" t="s">
        <v>17</v>
      </c>
      <c r="E6707" t="s">
        <v>12</v>
      </c>
      <c r="F6707">
        <v>27107259</v>
      </c>
      <c r="G6707">
        <v>27107299</v>
      </c>
      <c r="H6707">
        <v>27107672</v>
      </c>
      <c r="I6707">
        <v>27107698</v>
      </c>
    </row>
    <row r="6708" spans="1:9" x14ac:dyDescent="0.2">
      <c r="A6708" s="1" t="str">
        <f>"GABPB1"</f>
        <v>GABPB1</v>
      </c>
      <c r="B6708" t="s">
        <v>14</v>
      </c>
      <c r="C6708" t="s">
        <v>25</v>
      </c>
      <c r="D6708" t="s">
        <v>11</v>
      </c>
      <c r="E6708" t="s">
        <v>12</v>
      </c>
      <c r="F6708">
        <v>50647274</v>
      </c>
      <c r="G6708">
        <v>50647336</v>
      </c>
      <c r="H6708">
        <v>50647370</v>
      </c>
      <c r="I6708">
        <v>50647405</v>
      </c>
    </row>
    <row r="6709" spans="1:9" x14ac:dyDescent="0.2">
      <c r="A6709" s="1" t="str">
        <f>"GABPB2"</f>
        <v>GABPB2</v>
      </c>
      <c r="B6709" t="s">
        <v>14</v>
      </c>
      <c r="C6709" t="s">
        <v>19</v>
      </c>
      <c r="D6709" t="s">
        <v>17</v>
      </c>
      <c r="E6709" t="s">
        <v>12</v>
      </c>
      <c r="F6709">
        <v>151043216</v>
      </c>
      <c r="G6709">
        <v>151043256</v>
      </c>
      <c r="H6709">
        <v>151043266</v>
      </c>
      <c r="I6709">
        <v>151043295</v>
      </c>
    </row>
    <row r="6710" spans="1:9" x14ac:dyDescent="0.2">
      <c r="A6710" s="1" t="str">
        <f>"GABRA1"</f>
        <v>GABRA1</v>
      </c>
      <c r="B6710" t="s">
        <v>14</v>
      </c>
      <c r="C6710" t="s">
        <v>46</v>
      </c>
      <c r="D6710" t="s">
        <v>17</v>
      </c>
      <c r="E6710" t="s">
        <v>12</v>
      </c>
      <c r="F6710">
        <v>161275148</v>
      </c>
      <c r="G6710">
        <v>161275196</v>
      </c>
      <c r="H6710">
        <v>161275148</v>
      </c>
      <c r="I6710">
        <v>161275196</v>
      </c>
    </row>
    <row r="6711" spans="1:9" x14ac:dyDescent="0.2">
      <c r="A6711" s="1" t="str">
        <f>"GABRA2"</f>
        <v>GABRA2</v>
      </c>
      <c r="B6711" t="s">
        <v>14</v>
      </c>
      <c r="C6711" t="s">
        <v>23</v>
      </c>
      <c r="D6711" t="s">
        <v>11</v>
      </c>
      <c r="E6711" t="s">
        <v>12</v>
      </c>
      <c r="F6711">
        <v>46391956</v>
      </c>
      <c r="G6711">
        <v>46392031</v>
      </c>
      <c r="H6711">
        <v>46392115</v>
      </c>
      <c r="I6711">
        <v>46392163</v>
      </c>
    </row>
    <row r="6712" spans="1:9" x14ac:dyDescent="0.2">
      <c r="A6712" s="1" t="str">
        <f>"GABRA3"</f>
        <v>GABRA3</v>
      </c>
      <c r="B6712" t="s">
        <v>14</v>
      </c>
      <c r="C6712" t="s">
        <v>37</v>
      </c>
      <c r="D6712" t="s">
        <v>11</v>
      </c>
      <c r="E6712" t="s">
        <v>12</v>
      </c>
      <c r="F6712">
        <v>151619746</v>
      </c>
      <c r="G6712">
        <v>151619815</v>
      </c>
      <c r="H6712">
        <v>151619746</v>
      </c>
      <c r="I6712">
        <v>151619815</v>
      </c>
    </row>
    <row r="6713" spans="1:9" x14ac:dyDescent="0.2">
      <c r="A6713" s="1" t="str">
        <f>"GABRA4"</f>
        <v>GABRA4</v>
      </c>
      <c r="B6713" t="s">
        <v>14</v>
      </c>
      <c r="C6713" t="s">
        <v>23</v>
      </c>
      <c r="D6713" t="s">
        <v>11</v>
      </c>
      <c r="E6713" t="s">
        <v>12</v>
      </c>
      <c r="F6713">
        <v>46995484</v>
      </c>
      <c r="G6713">
        <v>46995588</v>
      </c>
      <c r="H6713">
        <v>46995590</v>
      </c>
      <c r="I6713">
        <v>46995607</v>
      </c>
    </row>
    <row r="6714" spans="1:9" x14ac:dyDescent="0.2">
      <c r="A6714" s="1" t="str">
        <f>"GABRA5"</f>
        <v>GABRA5</v>
      </c>
      <c r="B6714" t="s">
        <v>14</v>
      </c>
      <c r="C6714" t="s">
        <v>25</v>
      </c>
      <c r="D6714" t="s">
        <v>17</v>
      </c>
      <c r="E6714" t="s">
        <v>12</v>
      </c>
      <c r="F6714">
        <v>27112194</v>
      </c>
      <c r="G6714">
        <v>27112249</v>
      </c>
      <c r="H6714">
        <v>27112311</v>
      </c>
      <c r="I6714">
        <v>27112352</v>
      </c>
    </row>
    <row r="6715" spans="1:9" x14ac:dyDescent="0.2">
      <c r="A6715" s="1" t="str">
        <f>"GABRA6"</f>
        <v>GABRA6</v>
      </c>
      <c r="B6715" t="s">
        <v>14</v>
      </c>
      <c r="C6715" t="s">
        <v>46</v>
      </c>
      <c r="D6715" t="s">
        <v>17</v>
      </c>
      <c r="E6715" t="s">
        <v>12</v>
      </c>
      <c r="F6715">
        <v>161112715</v>
      </c>
      <c r="G6715">
        <v>161112736</v>
      </c>
      <c r="H6715">
        <v>161112654</v>
      </c>
      <c r="I6715">
        <v>161112669</v>
      </c>
    </row>
    <row r="6716" spans="1:9" x14ac:dyDescent="0.2">
      <c r="A6716" s="1" t="str">
        <f>"GABRB1"</f>
        <v>GABRB1</v>
      </c>
      <c r="B6716" t="s">
        <v>14</v>
      </c>
      <c r="C6716" t="s">
        <v>23</v>
      </c>
      <c r="D6716" t="s">
        <v>17</v>
      </c>
      <c r="E6716" t="s">
        <v>12</v>
      </c>
      <c r="F6716">
        <v>47033568</v>
      </c>
      <c r="G6716">
        <v>47033603</v>
      </c>
      <c r="H6716">
        <v>47033607</v>
      </c>
      <c r="I6716">
        <v>47033625</v>
      </c>
    </row>
    <row r="6717" spans="1:9" x14ac:dyDescent="0.2">
      <c r="A6717" s="1" t="str">
        <f>"GABRB2"</f>
        <v>GABRB2</v>
      </c>
      <c r="B6717" t="s">
        <v>14</v>
      </c>
      <c r="C6717" t="s">
        <v>46</v>
      </c>
      <c r="D6717" t="s">
        <v>11</v>
      </c>
      <c r="E6717" t="s">
        <v>12</v>
      </c>
      <c r="F6717">
        <v>160973714</v>
      </c>
      <c r="G6717">
        <v>160973741</v>
      </c>
      <c r="H6717">
        <v>160973677</v>
      </c>
      <c r="I6717">
        <v>160973713</v>
      </c>
    </row>
    <row r="6718" spans="1:9" x14ac:dyDescent="0.2">
      <c r="A6718" s="1" t="str">
        <f>"GABRB3"</f>
        <v>GABRB3</v>
      </c>
      <c r="B6718" t="s">
        <v>14</v>
      </c>
      <c r="C6718" t="s">
        <v>25</v>
      </c>
      <c r="D6718" t="s">
        <v>11</v>
      </c>
      <c r="E6718" t="s">
        <v>12</v>
      </c>
      <c r="F6718">
        <v>27018175</v>
      </c>
      <c r="G6718">
        <v>27018241</v>
      </c>
      <c r="H6718">
        <v>27018175</v>
      </c>
      <c r="I6718">
        <v>27018241</v>
      </c>
    </row>
    <row r="6719" spans="1:9" x14ac:dyDescent="0.2">
      <c r="A6719" s="1" t="str">
        <f>"GABRD"</f>
        <v>GABRD</v>
      </c>
      <c r="B6719" t="s">
        <v>14</v>
      </c>
      <c r="C6719" t="s">
        <v>19</v>
      </c>
      <c r="D6719" t="s">
        <v>17</v>
      </c>
      <c r="E6719" t="s">
        <v>12</v>
      </c>
      <c r="F6719">
        <v>1950763</v>
      </c>
      <c r="G6719">
        <v>1950815</v>
      </c>
      <c r="H6719">
        <v>1950820</v>
      </c>
      <c r="I6719">
        <v>1950853</v>
      </c>
    </row>
    <row r="6720" spans="1:9" x14ac:dyDescent="0.2">
      <c r="A6720" s="1" t="str">
        <f>"GABRE"</f>
        <v>GABRE</v>
      </c>
      <c r="B6720" t="s">
        <v>14</v>
      </c>
      <c r="C6720" t="s">
        <v>37</v>
      </c>
      <c r="D6720" t="s">
        <v>11</v>
      </c>
      <c r="E6720" t="s">
        <v>12</v>
      </c>
      <c r="F6720">
        <v>151143140</v>
      </c>
      <c r="G6720">
        <v>151143160</v>
      </c>
      <c r="H6720">
        <v>151143140</v>
      </c>
      <c r="I6720">
        <v>151143160</v>
      </c>
    </row>
    <row r="6721" spans="1:9" x14ac:dyDescent="0.2">
      <c r="A6721" s="1" t="str">
        <f>"GABRG1"</f>
        <v>GABRG1</v>
      </c>
      <c r="B6721" t="s">
        <v>14</v>
      </c>
      <c r="C6721" t="s">
        <v>23</v>
      </c>
      <c r="D6721" t="s">
        <v>11</v>
      </c>
      <c r="E6721" t="s">
        <v>12</v>
      </c>
      <c r="F6721">
        <v>46126009</v>
      </c>
      <c r="G6721">
        <v>46126045</v>
      </c>
      <c r="H6721">
        <v>46126063</v>
      </c>
      <c r="I6721">
        <v>46126087</v>
      </c>
    </row>
    <row r="6722" spans="1:9" x14ac:dyDescent="0.2">
      <c r="A6722" s="1" t="str">
        <f>"GABRG2"</f>
        <v>GABRG2</v>
      </c>
      <c r="B6722" t="s">
        <v>14</v>
      </c>
      <c r="C6722" t="s">
        <v>46</v>
      </c>
      <c r="D6722" t="s">
        <v>17</v>
      </c>
      <c r="E6722" t="s">
        <v>12</v>
      </c>
      <c r="F6722">
        <v>161495038</v>
      </c>
      <c r="G6722">
        <v>161495056</v>
      </c>
      <c r="H6722">
        <v>161494996</v>
      </c>
      <c r="I6722">
        <v>161495022</v>
      </c>
    </row>
    <row r="6723" spans="1:9" x14ac:dyDescent="0.2">
      <c r="A6723" s="1" t="str">
        <f>"GABRG3"</f>
        <v>GABRG3</v>
      </c>
      <c r="B6723" t="s">
        <v>14</v>
      </c>
      <c r="C6723" t="s">
        <v>25</v>
      </c>
      <c r="D6723" t="s">
        <v>17</v>
      </c>
      <c r="E6723" t="s">
        <v>12</v>
      </c>
      <c r="F6723">
        <v>27216297</v>
      </c>
      <c r="G6723">
        <v>27216341</v>
      </c>
      <c r="H6723">
        <v>27216530</v>
      </c>
      <c r="I6723">
        <v>27216551</v>
      </c>
    </row>
    <row r="6724" spans="1:9" x14ac:dyDescent="0.2">
      <c r="A6724" s="1" t="str">
        <f>"GABRP"</f>
        <v>GABRP</v>
      </c>
      <c r="B6724" t="s">
        <v>14</v>
      </c>
      <c r="C6724" t="s">
        <v>46</v>
      </c>
      <c r="D6724" t="s">
        <v>17</v>
      </c>
      <c r="E6724" t="s">
        <v>12</v>
      </c>
      <c r="F6724">
        <v>170210721</v>
      </c>
      <c r="G6724">
        <v>170210734</v>
      </c>
      <c r="H6724">
        <v>170210721</v>
      </c>
      <c r="I6724">
        <v>170210734</v>
      </c>
    </row>
    <row r="6725" spans="1:9" x14ac:dyDescent="0.2">
      <c r="A6725" s="1" t="str">
        <f>"GABRQ"</f>
        <v>GABRQ</v>
      </c>
      <c r="B6725" t="s">
        <v>14</v>
      </c>
      <c r="C6725" t="s">
        <v>37</v>
      </c>
      <c r="D6725" t="s">
        <v>17</v>
      </c>
      <c r="E6725" t="s">
        <v>12</v>
      </c>
      <c r="F6725">
        <v>151806337</v>
      </c>
      <c r="G6725">
        <v>151806376</v>
      </c>
      <c r="H6725">
        <v>151806475</v>
      </c>
      <c r="I6725">
        <v>151806477</v>
      </c>
    </row>
    <row r="6726" spans="1:9" x14ac:dyDescent="0.2">
      <c r="A6726" s="1" t="str">
        <f>"GABRR1"</f>
        <v>GABRR1</v>
      </c>
      <c r="B6726" t="s">
        <v>14</v>
      </c>
      <c r="C6726" t="s">
        <v>32</v>
      </c>
      <c r="D6726" t="s">
        <v>11</v>
      </c>
      <c r="E6726" t="s">
        <v>12</v>
      </c>
      <c r="F6726">
        <v>89927058</v>
      </c>
      <c r="G6726">
        <v>89927085</v>
      </c>
      <c r="H6726">
        <v>89927058</v>
      </c>
      <c r="I6726">
        <v>89927085</v>
      </c>
    </row>
    <row r="6727" spans="1:9" x14ac:dyDescent="0.2">
      <c r="A6727" s="1" t="str">
        <f>"GABRR2"</f>
        <v>GABRR2</v>
      </c>
      <c r="B6727" t="s">
        <v>14</v>
      </c>
      <c r="C6727" t="s">
        <v>32</v>
      </c>
      <c r="D6727" t="s">
        <v>11</v>
      </c>
      <c r="E6727" t="s">
        <v>12</v>
      </c>
      <c r="F6727">
        <v>90025011</v>
      </c>
      <c r="G6727">
        <v>90025020</v>
      </c>
      <c r="H6727">
        <v>90024998</v>
      </c>
      <c r="I6727">
        <v>90025004</v>
      </c>
    </row>
    <row r="6728" spans="1:9" x14ac:dyDescent="0.2">
      <c r="A6728" s="1" t="str">
        <f>"GABRR3"</f>
        <v>GABRR3</v>
      </c>
      <c r="B6728" t="s">
        <v>14</v>
      </c>
      <c r="C6728" t="s">
        <v>22</v>
      </c>
      <c r="D6728" t="s">
        <v>11</v>
      </c>
      <c r="E6728" t="s">
        <v>12</v>
      </c>
      <c r="F6728">
        <v>97754140</v>
      </c>
      <c r="G6728">
        <v>97754164</v>
      </c>
      <c r="H6728">
        <v>97754180</v>
      </c>
      <c r="I6728">
        <v>97754186</v>
      </c>
    </row>
    <row r="6729" spans="1:9" x14ac:dyDescent="0.2">
      <c r="A6729" s="1" t="str">
        <f>"GAD1"</f>
        <v>GAD1</v>
      </c>
      <c r="B6729" t="s">
        <v>14</v>
      </c>
      <c r="C6729" t="s">
        <v>26</v>
      </c>
      <c r="D6729" t="s">
        <v>17</v>
      </c>
      <c r="E6729" t="s">
        <v>12</v>
      </c>
      <c r="F6729">
        <v>171673383</v>
      </c>
      <c r="G6729">
        <v>171673411</v>
      </c>
      <c r="H6729">
        <v>171673254</v>
      </c>
      <c r="I6729">
        <v>171673269</v>
      </c>
    </row>
    <row r="6730" spans="1:9" x14ac:dyDescent="0.2">
      <c r="A6730" s="1" t="str">
        <f>"GAD2"</f>
        <v>GAD2</v>
      </c>
      <c r="B6730" t="s">
        <v>14</v>
      </c>
      <c r="C6730" t="s">
        <v>15</v>
      </c>
      <c r="D6730" t="s">
        <v>17</v>
      </c>
      <c r="E6730" t="s">
        <v>12</v>
      </c>
      <c r="F6730">
        <v>26505695</v>
      </c>
      <c r="G6730">
        <v>26505714</v>
      </c>
      <c r="H6730">
        <v>26505387</v>
      </c>
      <c r="I6730">
        <v>26505457</v>
      </c>
    </row>
    <row r="6731" spans="1:9" x14ac:dyDescent="0.2">
      <c r="A6731" s="1" t="str">
        <f>"GADD45A"</f>
        <v>GADD45A</v>
      </c>
      <c r="B6731" t="s">
        <v>14</v>
      </c>
      <c r="C6731" t="s">
        <v>19</v>
      </c>
      <c r="D6731" t="s">
        <v>17</v>
      </c>
      <c r="E6731" t="s">
        <v>12</v>
      </c>
      <c r="F6731">
        <v>68150874</v>
      </c>
      <c r="G6731">
        <v>68150890</v>
      </c>
      <c r="H6731">
        <v>68150874</v>
      </c>
      <c r="I6731">
        <v>68150890</v>
      </c>
    </row>
    <row r="6732" spans="1:9" x14ac:dyDescent="0.2">
      <c r="A6732" s="1" t="str">
        <f>"GADD45B"</f>
        <v>GADD45B</v>
      </c>
      <c r="B6732" t="s">
        <v>14</v>
      </c>
      <c r="C6732" t="s">
        <v>10</v>
      </c>
      <c r="D6732" t="s">
        <v>17</v>
      </c>
      <c r="E6732" t="s">
        <v>12</v>
      </c>
      <c r="F6732">
        <v>2476116</v>
      </c>
      <c r="G6732">
        <v>2476132</v>
      </c>
      <c r="H6732">
        <v>2476116</v>
      </c>
      <c r="I6732">
        <v>2476132</v>
      </c>
    </row>
    <row r="6733" spans="1:9" x14ac:dyDescent="0.2">
      <c r="A6733" s="1" t="str">
        <f>"GADD45G"</f>
        <v>GADD45G</v>
      </c>
      <c r="B6733" t="s">
        <v>14</v>
      </c>
      <c r="C6733" t="s">
        <v>24</v>
      </c>
      <c r="D6733" t="s">
        <v>17</v>
      </c>
      <c r="E6733" t="s">
        <v>12</v>
      </c>
      <c r="F6733">
        <v>92219919</v>
      </c>
      <c r="G6733">
        <v>92219934</v>
      </c>
      <c r="H6733">
        <v>92220036</v>
      </c>
      <c r="I6733">
        <v>92220040</v>
      </c>
    </row>
    <row r="6734" spans="1:9" x14ac:dyDescent="0.2">
      <c r="A6734" s="1" t="str">
        <f>"GADD45GIP1"</f>
        <v>GADD45GIP1</v>
      </c>
      <c r="B6734" t="s">
        <v>14</v>
      </c>
      <c r="C6734" t="s">
        <v>10</v>
      </c>
      <c r="D6734" t="s">
        <v>11</v>
      </c>
      <c r="E6734" t="s">
        <v>12</v>
      </c>
      <c r="F6734">
        <v>13068012</v>
      </c>
      <c r="G6734">
        <v>13068053</v>
      </c>
      <c r="H6734">
        <v>13068012</v>
      </c>
      <c r="I6734">
        <v>13068053</v>
      </c>
    </row>
    <row r="6735" spans="1:9" x14ac:dyDescent="0.2">
      <c r="A6735" s="1" t="str">
        <f>"GADL1"</f>
        <v>GADL1</v>
      </c>
      <c r="B6735" t="s">
        <v>14</v>
      </c>
      <c r="C6735" t="s">
        <v>22</v>
      </c>
      <c r="D6735" t="s">
        <v>11</v>
      </c>
      <c r="E6735" t="s">
        <v>12</v>
      </c>
      <c r="F6735">
        <v>30936292</v>
      </c>
      <c r="G6735">
        <v>30936306</v>
      </c>
      <c r="H6735">
        <v>30936127</v>
      </c>
      <c r="I6735">
        <v>30936173</v>
      </c>
    </row>
    <row r="6736" spans="1:9" x14ac:dyDescent="0.2">
      <c r="A6736" s="1" t="str">
        <f>"GAGE1"</f>
        <v>GAGE1</v>
      </c>
      <c r="B6736" t="s">
        <v>489</v>
      </c>
      <c r="C6736" t="s">
        <v>37</v>
      </c>
      <c r="D6736" t="s">
        <v>17</v>
      </c>
      <c r="E6736" t="s">
        <v>20</v>
      </c>
      <c r="F6736">
        <v>49363664</v>
      </c>
      <c r="G6736">
        <v>49363664</v>
      </c>
      <c r="H6736">
        <v>49363664</v>
      </c>
      <c r="I6736">
        <v>49363664</v>
      </c>
    </row>
    <row r="6737" spans="1:9" x14ac:dyDescent="0.2">
      <c r="A6737" s="1" t="str">
        <f>"GAGE10"</f>
        <v>GAGE10</v>
      </c>
      <c r="B6737" t="s">
        <v>490</v>
      </c>
      <c r="C6737" t="s">
        <v>37</v>
      </c>
      <c r="D6737" t="s">
        <v>17</v>
      </c>
      <c r="E6737" t="s">
        <v>20</v>
      </c>
      <c r="F6737">
        <v>49160147</v>
      </c>
      <c r="G6737">
        <v>49160147</v>
      </c>
      <c r="H6737">
        <v>49160147</v>
      </c>
      <c r="I6737">
        <v>49160147</v>
      </c>
    </row>
    <row r="6738" spans="1:9" x14ac:dyDescent="0.2">
      <c r="A6738" s="1" t="str">
        <f>"GAGE12B"</f>
        <v>GAGE12B</v>
      </c>
      <c r="B6738" t="s">
        <v>491</v>
      </c>
      <c r="C6738" t="s">
        <v>37</v>
      </c>
      <c r="D6738" t="s">
        <v>17</v>
      </c>
      <c r="E6738" t="s">
        <v>20</v>
      </c>
      <c r="F6738">
        <v>49294471</v>
      </c>
      <c r="G6738">
        <v>49294471</v>
      </c>
      <c r="H6738">
        <v>49294471</v>
      </c>
      <c r="I6738">
        <v>49294471</v>
      </c>
    </row>
    <row r="6739" spans="1:9" x14ac:dyDescent="0.2">
      <c r="A6739" s="1" t="str">
        <f>"GAGE12C"</f>
        <v>GAGE12C</v>
      </c>
      <c r="B6739" t="s">
        <v>492</v>
      </c>
      <c r="C6739" t="s">
        <v>37</v>
      </c>
      <c r="D6739" t="s">
        <v>17</v>
      </c>
      <c r="E6739" t="s">
        <v>20</v>
      </c>
      <c r="F6739">
        <v>49296813</v>
      </c>
      <c r="G6739">
        <v>49296813</v>
      </c>
      <c r="H6739">
        <v>49296813</v>
      </c>
      <c r="I6739">
        <v>49296813</v>
      </c>
    </row>
    <row r="6740" spans="1:9" x14ac:dyDescent="0.2">
      <c r="A6740" s="1" t="str">
        <f>"GAGE12D"</f>
        <v>GAGE12D</v>
      </c>
      <c r="B6740" t="s">
        <v>493</v>
      </c>
      <c r="C6740" t="s">
        <v>37</v>
      </c>
      <c r="D6740" t="s">
        <v>17</v>
      </c>
      <c r="E6740" t="s">
        <v>20</v>
      </c>
      <c r="F6740">
        <v>49306369</v>
      </c>
      <c r="G6740">
        <v>49306369</v>
      </c>
      <c r="H6740">
        <v>49306369</v>
      </c>
      <c r="I6740">
        <v>49306369</v>
      </c>
    </row>
    <row r="6741" spans="1:9" x14ac:dyDescent="0.2">
      <c r="A6741" s="1" t="str">
        <f>"GAGE12E"</f>
        <v>GAGE12E</v>
      </c>
      <c r="B6741" t="s">
        <v>494</v>
      </c>
      <c r="C6741" t="s">
        <v>37</v>
      </c>
      <c r="D6741" t="s">
        <v>17</v>
      </c>
      <c r="E6741" t="s">
        <v>20</v>
      </c>
      <c r="F6741">
        <v>49315935</v>
      </c>
      <c r="G6741">
        <v>49315935</v>
      </c>
      <c r="H6741">
        <v>49315935</v>
      </c>
      <c r="I6741">
        <v>49315935</v>
      </c>
    </row>
    <row r="6742" spans="1:9" x14ac:dyDescent="0.2">
      <c r="A6742" s="1" t="str">
        <f>"GAGE12F"</f>
        <v>GAGE12F</v>
      </c>
      <c r="B6742" t="s">
        <v>495</v>
      </c>
      <c r="C6742" t="s">
        <v>37</v>
      </c>
      <c r="D6742" t="s">
        <v>17</v>
      </c>
      <c r="E6742" t="s">
        <v>20</v>
      </c>
      <c r="F6742">
        <v>49325478</v>
      </c>
      <c r="G6742">
        <v>49325478</v>
      </c>
      <c r="H6742">
        <v>49325478</v>
      </c>
      <c r="I6742">
        <v>49325478</v>
      </c>
    </row>
    <row r="6743" spans="1:9" x14ac:dyDescent="0.2">
      <c r="A6743" s="1" t="str">
        <f>"GAGE12G"</f>
        <v>GAGE12G</v>
      </c>
      <c r="B6743" t="s">
        <v>496</v>
      </c>
      <c r="C6743" t="s">
        <v>37</v>
      </c>
      <c r="D6743" t="s">
        <v>17</v>
      </c>
      <c r="E6743" t="s">
        <v>20</v>
      </c>
      <c r="F6743">
        <v>49335036</v>
      </c>
      <c r="G6743">
        <v>49335036</v>
      </c>
      <c r="H6743">
        <v>49335036</v>
      </c>
      <c r="I6743">
        <v>49335036</v>
      </c>
    </row>
    <row r="6744" spans="1:9" x14ac:dyDescent="0.2">
      <c r="A6744" s="1" t="str">
        <f>"GAGE12H"</f>
        <v>GAGE12H</v>
      </c>
      <c r="B6744" t="s">
        <v>497</v>
      </c>
      <c r="C6744" t="s">
        <v>37</v>
      </c>
      <c r="D6744" t="s">
        <v>17</v>
      </c>
      <c r="E6744" t="s">
        <v>20</v>
      </c>
      <c r="F6744">
        <v>49344585</v>
      </c>
      <c r="G6744">
        <v>49344585</v>
      </c>
      <c r="H6744">
        <v>49344585</v>
      </c>
      <c r="I6744">
        <v>49344585</v>
      </c>
    </row>
    <row r="6745" spans="1:9" x14ac:dyDescent="0.2">
      <c r="A6745" s="1" t="str">
        <f>"GAGE12I"</f>
        <v>GAGE12I</v>
      </c>
      <c r="B6745" t="s">
        <v>498</v>
      </c>
      <c r="C6745" t="s">
        <v>37</v>
      </c>
      <c r="D6745" t="s">
        <v>17</v>
      </c>
      <c r="E6745" t="s">
        <v>20</v>
      </c>
      <c r="F6745">
        <v>49216658</v>
      </c>
      <c r="G6745">
        <v>49216658</v>
      </c>
      <c r="H6745">
        <v>49216658</v>
      </c>
      <c r="I6745">
        <v>49216658</v>
      </c>
    </row>
    <row r="6746" spans="1:9" x14ac:dyDescent="0.2">
      <c r="A6746" s="1" t="str">
        <f>"GAGE12J"</f>
        <v>GAGE12J</v>
      </c>
      <c r="B6746" t="s">
        <v>499</v>
      </c>
      <c r="C6746" t="s">
        <v>37</v>
      </c>
      <c r="D6746" t="s">
        <v>17</v>
      </c>
      <c r="E6746" t="s">
        <v>20</v>
      </c>
      <c r="F6746">
        <v>49178535</v>
      </c>
      <c r="G6746">
        <v>49178535</v>
      </c>
      <c r="H6746">
        <v>49178535</v>
      </c>
      <c r="I6746">
        <v>49178535</v>
      </c>
    </row>
    <row r="6747" spans="1:9" x14ac:dyDescent="0.2">
      <c r="A6747" s="1" t="str">
        <f>"GAGE13"</f>
        <v>GAGE13</v>
      </c>
      <c r="B6747" t="s">
        <v>500</v>
      </c>
      <c r="C6747" t="s">
        <v>37</v>
      </c>
      <c r="D6747" t="s">
        <v>17</v>
      </c>
      <c r="E6747" t="s">
        <v>20</v>
      </c>
      <c r="F6747">
        <v>49188093</v>
      </c>
      <c r="G6747">
        <v>49188093</v>
      </c>
      <c r="H6747">
        <v>49188093</v>
      </c>
      <c r="I6747">
        <v>49188093</v>
      </c>
    </row>
    <row r="6748" spans="1:9" x14ac:dyDescent="0.2">
      <c r="A6748" s="1" t="str">
        <f>"GAGE2A"</f>
        <v>GAGE2A</v>
      </c>
      <c r="B6748" t="s">
        <v>501</v>
      </c>
      <c r="C6748" t="s">
        <v>37</v>
      </c>
      <c r="D6748" t="s">
        <v>17</v>
      </c>
      <c r="E6748" t="s">
        <v>20</v>
      </c>
      <c r="F6748">
        <v>49354131</v>
      </c>
      <c r="G6748">
        <v>49354131</v>
      </c>
      <c r="H6748">
        <v>49354131</v>
      </c>
      <c r="I6748">
        <v>49354131</v>
      </c>
    </row>
    <row r="6749" spans="1:9" x14ac:dyDescent="0.2">
      <c r="A6749" s="1" t="str">
        <f>"GAGE2B"</f>
        <v>GAGE2B</v>
      </c>
      <c r="B6749" t="s">
        <v>502</v>
      </c>
      <c r="C6749" t="s">
        <v>37</v>
      </c>
      <c r="D6749" t="s">
        <v>17</v>
      </c>
      <c r="E6749" t="s">
        <v>20</v>
      </c>
      <c r="F6749">
        <v>49235707</v>
      </c>
      <c r="G6749">
        <v>49235707</v>
      </c>
      <c r="H6749">
        <v>49235707</v>
      </c>
      <c r="I6749">
        <v>49235707</v>
      </c>
    </row>
    <row r="6750" spans="1:9" x14ac:dyDescent="0.2">
      <c r="A6750" s="1" t="str">
        <f>"GAGE2C"</f>
        <v>GAGE2C</v>
      </c>
      <c r="B6750" t="s">
        <v>503</v>
      </c>
      <c r="C6750" t="s">
        <v>37</v>
      </c>
      <c r="D6750" t="s">
        <v>17</v>
      </c>
      <c r="E6750" t="s">
        <v>20</v>
      </c>
      <c r="F6750">
        <v>49226181</v>
      </c>
      <c r="G6750">
        <v>49226181</v>
      </c>
      <c r="H6750">
        <v>49226181</v>
      </c>
      <c r="I6750">
        <v>49226181</v>
      </c>
    </row>
    <row r="6751" spans="1:9" x14ac:dyDescent="0.2">
      <c r="A6751" s="1" t="str">
        <f>"GAGE2D"</f>
        <v>GAGE2D</v>
      </c>
      <c r="B6751" t="s">
        <v>504</v>
      </c>
      <c r="C6751" t="s">
        <v>37</v>
      </c>
      <c r="D6751" t="s">
        <v>17</v>
      </c>
      <c r="E6751" t="s">
        <v>20</v>
      </c>
      <c r="F6751">
        <v>49207159</v>
      </c>
      <c r="G6751">
        <v>49207159</v>
      </c>
      <c r="H6751">
        <v>49207159</v>
      </c>
      <c r="I6751">
        <v>49207159</v>
      </c>
    </row>
    <row r="6752" spans="1:9" x14ac:dyDescent="0.2">
      <c r="A6752" s="1" t="str">
        <f>"GAGE2E"</f>
        <v>GAGE2E</v>
      </c>
      <c r="B6752" t="s">
        <v>505</v>
      </c>
      <c r="C6752" t="s">
        <v>37</v>
      </c>
      <c r="D6752" t="s">
        <v>17</v>
      </c>
      <c r="E6752" t="s">
        <v>20</v>
      </c>
      <c r="F6752">
        <v>49197606</v>
      </c>
      <c r="G6752">
        <v>49197606</v>
      </c>
      <c r="H6752">
        <v>49197606</v>
      </c>
      <c r="I6752">
        <v>49197606</v>
      </c>
    </row>
    <row r="6753" spans="1:9" x14ac:dyDescent="0.2">
      <c r="A6753" s="1" t="str">
        <f>"GAGE4"</f>
        <v>GAGE4</v>
      </c>
      <c r="B6753" t="s">
        <v>506</v>
      </c>
      <c r="C6753" t="s">
        <v>37</v>
      </c>
      <c r="D6753" t="s">
        <v>17</v>
      </c>
      <c r="E6753" t="s">
        <v>20</v>
      </c>
      <c r="F6753">
        <v>49216648</v>
      </c>
      <c r="G6753">
        <v>49216648</v>
      </c>
      <c r="H6753">
        <v>49216648</v>
      </c>
      <c r="I6753">
        <v>49216648</v>
      </c>
    </row>
    <row r="6754" spans="1:9" x14ac:dyDescent="0.2">
      <c r="A6754" s="1" t="str">
        <f>"GAGE5"</f>
        <v>GAGE5</v>
      </c>
      <c r="B6754" t="s">
        <v>507</v>
      </c>
      <c r="C6754" t="s">
        <v>37</v>
      </c>
      <c r="D6754" t="s">
        <v>17</v>
      </c>
      <c r="E6754" t="s">
        <v>20</v>
      </c>
      <c r="F6754">
        <v>49216656</v>
      </c>
      <c r="G6754">
        <v>49216656</v>
      </c>
      <c r="H6754">
        <v>49216656</v>
      </c>
      <c r="I6754">
        <v>49216656</v>
      </c>
    </row>
    <row r="6755" spans="1:9" x14ac:dyDescent="0.2">
      <c r="A6755" s="1" t="str">
        <f>"GAGE6"</f>
        <v>GAGE6</v>
      </c>
      <c r="B6755" t="s">
        <v>508</v>
      </c>
      <c r="C6755" t="s">
        <v>37</v>
      </c>
      <c r="D6755" t="s">
        <v>17</v>
      </c>
      <c r="E6755" t="s">
        <v>20</v>
      </c>
      <c r="F6755">
        <v>49325479</v>
      </c>
      <c r="G6755">
        <v>49325479</v>
      </c>
      <c r="H6755">
        <v>49325479</v>
      </c>
      <c r="I6755">
        <v>49325479</v>
      </c>
    </row>
    <row r="6756" spans="1:9" x14ac:dyDescent="0.2">
      <c r="A6756" s="1" t="str">
        <f>"GAGE7"</f>
        <v>GAGE7</v>
      </c>
      <c r="B6756" t="s">
        <v>509</v>
      </c>
      <c r="C6756" t="s">
        <v>37</v>
      </c>
      <c r="D6756" t="s">
        <v>17</v>
      </c>
      <c r="E6756" t="s">
        <v>20</v>
      </c>
      <c r="F6756">
        <v>49216677</v>
      </c>
      <c r="G6756">
        <v>49216677</v>
      </c>
      <c r="H6756">
        <v>49216677</v>
      </c>
      <c r="I6756">
        <v>49216677</v>
      </c>
    </row>
    <row r="6757" spans="1:9" x14ac:dyDescent="0.2">
      <c r="A6757" s="1" t="str">
        <f>"GAGE8"</f>
        <v>GAGE8</v>
      </c>
      <c r="B6757" t="s">
        <v>510</v>
      </c>
      <c r="C6757" t="s">
        <v>37</v>
      </c>
      <c r="D6757" t="s">
        <v>17</v>
      </c>
      <c r="E6757" t="s">
        <v>20</v>
      </c>
      <c r="F6757">
        <v>49188103</v>
      </c>
      <c r="G6757">
        <v>49188103</v>
      </c>
      <c r="H6757">
        <v>49188103</v>
      </c>
      <c r="I6757">
        <v>49188103</v>
      </c>
    </row>
    <row r="6758" spans="1:9" x14ac:dyDescent="0.2">
      <c r="A6758" s="1" t="str">
        <f>"GAK"</f>
        <v>GAK</v>
      </c>
      <c r="B6758" t="s">
        <v>14</v>
      </c>
      <c r="C6758" t="s">
        <v>23</v>
      </c>
      <c r="D6758" t="s">
        <v>11</v>
      </c>
      <c r="E6758" t="s">
        <v>12</v>
      </c>
      <c r="F6758">
        <v>926069</v>
      </c>
      <c r="G6758">
        <v>926123</v>
      </c>
      <c r="H6758">
        <v>926048</v>
      </c>
      <c r="I6758">
        <v>926066</v>
      </c>
    </row>
    <row r="6759" spans="1:9" x14ac:dyDescent="0.2">
      <c r="A6759" s="1" t="str">
        <f>"GAL"</f>
        <v>GAL</v>
      </c>
      <c r="B6759" t="s">
        <v>14</v>
      </c>
      <c r="C6759" t="s">
        <v>27</v>
      </c>
      <c r="D6759" t="s">
        <v>17</v>
      </c>
      <c r="E6759" t="s">
        <v>12</v>
      </c>
      <c r="F6759">
        <v>68452002</v>
      </c>
      <c r="G6759">
        <v>68452019</v>
      </c>
      <c r="H6759">
        <v>68451973</v>
      </c>
      <c r="I6759">
        <v>68451986</v>
      </c>
    </row>
    <row r="6760" spans="1:9" x14ac:dyDescent="0.2">
      <c r="A6760" s="1" t="str">
        <f>"GAL3ST1"</f>
        <v>GAL3ST1</v>
      </c>
      <c r="B6760" t="s">
        <v>14</v>
      </c>
      <c r="C6760" t="s">
        <v>21</v>
      </c>
      <c r="D6760" t="s">
        <v>11</v>
      </c>
      <c r="E6760" t="s">
        <v>12</v>
      </c>
      <c r="F6760">
        <v>30960879</v>
      </c>
      <c r="G6760">
        <v>30960895</v>
      </c>
      <c r="H6760">
        <v>30960879</v>
      </c>
      <c r="I6760">
        <v>30960895</v>
      </c>
    </row>
    <row r="6761" spans="1:9" x14ac:dyDescent="0.2">
      <c r="A6761" s="1" t="str">
        <f>"GAL3ST2"</f>
        <v>GAL3ST2</v>
      </c>
      <c r="B6761" t="s">
        <v>14</v>
      </c>
      <c r="C6761" t="s">
        <v>26</v>
      </c>
      <c r="D6761" t="s">
        <v>17</v>
      </c>
      <c r="E6761" t="s">
        <v>12</v>
      </c>
      <c r="F6761">
        <v>242716231</v>
      </c>
      <c r="G6761">
        <v>242716254</v>
      </c>
      <c r="H6761">
        <v>242716255</v>
      </c>
      <c r="I6761">
        <v>242716262</v>
      </c>
    </row>
    <row r="6762" spans="1:9" x14ac:dyDescent="0.2">
      <c r="A6762" s="1" t="str">
        <f>"GAL3ST3"</f>
        <v>GAL3ST3</v>
      </c>
      <c r="B6762" t="s">
        <v>14</v>
      </c>
      <c r="C6762" t="s">
        <v>27</v>
      </c>
      <c r="D6762" t="s">
        <v>11</v>
      </c>
      <c r="E6762" t="s">
        <v>12</v>
      </c>
      <c r="F6762">
        <v>65816591</v>
      </c>
      <c r="G6762">
        <v>65816654</v>
      </c>
      <c r="H6762">
        <v>65816664</v>
      </c>
      <c r="I6762">
        <v>65816675</v>
      </c>
    </row>
    <row r="6763" spans="1:9" x14ac:dyDescent="0.2">
      <c r="A6763" s="1" t="str">
        <f>"GAL3ST4"</f>
        <v>GAL3ST4</v>
      </c>
      <c r="B6763" t="s">
        <v>9</v>
      </c>
      <c r="C6763" t="s">
        <v>33</v>
      </c>
      <c r="D6763" t="s">
        <v>11</v>
      </c>
      <c r="E6763" t="s">
        <v>12</v>
      </c>
      <c r="F6763">
        <v>99766191</v>
      </c>
      <c r="G6763">
        <v>99766268</v>
      </c>
      <c r="H6763">
        <v>99766191</v>
      </c>
      <c r="I6763">
        <v>99766268</v>
      </c>
    </row>
    <row r="6764" spans="1:9" x14ac:dyDescent="0.2">
      <c r="A6764" s="1" t="str">
        <f>"GAL3ST4"</f>
        <v>GAL3ST4</v>
      </c>
      <c r="B6764" t="s">
        <v>13</v>
      </c>
      <c r="C6764" t="s">
        <v>33</v>
      </c>
      <c r="D6764" t="s">
        <v>11</v>
      </c>
      <c r="E6764" t="s">
        <v>12</v>
      </c>
      <c r="F6764">
        <v>99764796</v>
      </c>
      <c r="G6764">
        <v>99764842</v>
      </c>
      <c r="H6764">
        <v>99764796</v>
      </c>
      <c r="I6764">
        <v>99764842</v>
      </c>
    </row>
    <row r="6765" spans="1:9" x14ac:dyDescent="0.2">
      <c r="A6765" s="1" t="str">
        <f>"GALC"</f>
        <v>GALC</v>
      </c>
      <c r="B6765" t="s">
        <v>14</v>
      </c>
      <c r="C6765" t="s">
        <v>41</v>
      </c>
      <c r="D6765" t="s">
        <v>11</v>
      </c>
      <c r="E6765" t="s">
        <v>12</v>
      </c>
      <c r="F6765">
        <v>88459503</v>
      </c>
      <c r="G6765">
        <v>88459546</v>
      </c>
      <c r="H6765">
        <v>88459457</v>
      </c>
      <c r="I6765">
        <v>88459484</v>
      </c>
    </row>
    <row r="6766" spans="1:9" x14ac:dyDescent="0.2">
      <c r="A6766" s="1" t="str">
        <f>"GALE"</f>
        <v>GALE</v>
      </c>
      <c r="B6766" t="s">
        <v>14</v>
      </c>
      <c r="C6766" t="s">
        <v>19</v>
      </c>
      <c r="D6766" t="s">
        <v>11</v>
      </c>
      <c r="E6766" t="s">
        <v>12</v>
      </c>
      <c r="F6766">
        <v>24127235</v>
      </c>
      <c r="G6766">
        <v>24127253</v>
      </c>
      <c r="H6766">
        <v>24127256</v>
      </c>
      <c r="I6766">
        <v>24127275</v>
      </c>
    </row>
    <row r="6767" spans="1:9" x14ac:dyDescent="0.2">
      <c r="A6767" s="1" t="str">
        <f>"GALK1"</f>
        <v>GALK1</v>
      </c>
      <c r="B6767" t="s">
        <v>14</v>
      </c>
      <c r="C6767" t="s">
        <v>28</v>
      </c>
      <c r="D6767" t="s">
        <v>11</v>
      </c>
      <c r="E6767" t="s">
        <v>12</v>
      </c>
      <c r="F6767">
        <v>73761222</v>
      </c>
      <c r="G6767">
        <v>73761286</v>
      </c>
      <c r="H6767">
        <v>73761412</v>
      </c>
      <c r="I6767">
        <v>73761440</v>
      </c>
    </row>
    <row r="6768" spans="1:9" x14ac:dyDescent="0.2">
      <c r="A6768" s="1" t="str">
        <f>"GALK2"</f>
        <v>GALK2</v>
      </c>
      <c r="B6768" t="s">
        <v>9</v>
      </c>
      <c r="C6768" t="s">
        <v>25</v>
      </c>
      <c r="D6768" t="s">
        <v>17</v>
      </c>
      <c r="E6768" t="s">
        <v>12</v>
      </c>
      <c r="F6768">
        <v>49447947</v>
      </c>
      <c r="G6768">
        <v>49448036</v>
      </c>
      <c r="H6768">
        <v>49447947</v>
      </c>
      <c r="I6768">
        <v>49448036</v>
      </c>
    </row>
    <row r="6769" spans="1:9" x14ac:dyDescent="0.2">
      <c r="A6769" s="1" t="str">
        <f>"GALK2"</f>
        <v>GALK2</v>
      </c>
      <c r="B6769" t="s">
        <v>13</v>
      </c>
      <c r="C6769" t="s">
        <v>25</v>
      </c>
      <c r="D6769" t="s">
        <v>17</v>
      </c>
      <c r="E6769" t="s">
        <v>12</v>
      </c>
      <c r="F6769">
        <v>49462434</v>
      </c>
      <c r="G6769">
        <v>49462488</v>
      </c>
      <c r="H6769">
        <v>49462434</v>
      </c>
      <c r="I6769">
        <v>49462488</v>
      </c>
    </row>
    <row r="6770" spans="1:9" x14ac:dyDescent="0.2">
      <c r="A6770" s="1" t="str">
        <f>"GALM"</f>
        <v>GALM</v>
      </c>
      <c r="B6770" t="s">
        <v>14</v>
      </c>
      <c r="C6770" t="s">
        <v>26</v>
      </c>
      <c r="D6770" t="s">
        <v>17</v>
      </c>
      <c r="E6770" t="s">
        <v>12</v>
      </c>
      <c r="F6770">
        <v>38893208</v>
      </c>
      <c r="G6770">
        <v>38893266</v>
      </c>
      <c r="H6770">
        <v>38893208</v>
      </c>
      <c r="I6770">
        <v>38893266</v>
      </c>
    </row>
    <row r="6771" spans="1:9" x14ac:dyDescent="0.2">
      <c r="A6771" s="1" t="str">
        <f>"GALNS"</f>
        <v>GALNS</v>
      </c>
      <c r="B6771" t="s">
        <v>14</v>
      </c>
      <c r="C6771" t="s">
        <v>31</v>
      </c>
      <c r="D6771" t="s">
        <v>11</v>
      </c>
      <c r="E6771" t="s">
        <v>12</v>
      </c>
      <c r="F6771">
        <v>88923332</v>
      </c>
      <c r="G6771">
        <v>88923388</v>
      </c>
      <c r="H6771">
        <v>88923317</v>
      </c>
      <c r="I6771">
        <v>88923331</v>
      </c>
    </row>
    <row r="6772" spans="1:9" x14ac:dyDescent="0.2">
      <c r="A6772" s="1" t="str">
        <f>"GALNT1"</f>
        <v>GALNT1</v>
      </c>
      <c r="B6772" t="s">
        <v>511</v>
      </c>
      <c r="C6772" t="s">
        <v>43</v>
      </c>
      <c r="D6772" t="s">
        <v>17</v>
      </c>
      <c r="E6772" t="s">
        <v>35</v>
      </c>
      <c r="F6772">
        <v>33234597</v>
      </c>
      <c r="G6772">
        <v>33234605</v>
      </c>
      <c r="H6772">
        <v>33234597</v>
      </c>
      <c r="I6772">
        <v>33234605</v>
      </c>
    </row>
    <row r="6773" spans="1:9" x14ac:dyDescent="0.2">
      <c r="A6773" s="1" t="str">
        <f>"GALNT10"</f>
        <v>GALNT10</v>
      </c>
      <c r="B6773" t="s">
        <v>14</v>
      </c>
      <c r="C6773" t="s">
        <v>46</v>
      </c>
      <c r="D6773" t="s">
        <v>17</v>
      </c>
      <c r="E6773" t="s">
        <v>12</v>
      </c>
      <c r="F6773">
        <v>153570285</v>
      </c>
      <c r="G6773">
        <v>153570308</v>
      </c>
      <c r="H6773">
        <v>153570319</v>
      </c>
      <c r="I6773">
        <v>153570339</v>
      </c>
    </row>
    <row r="6774" spans="1:9" x14ac:dyDescent="0.2">
      <c r="A6774" s="1" t="str">
        <f>"GALNT11"</f>
        <v>GALNT11</v>
      </c>
      <c r="B6774" t="s">
        <v>14</v>
      </c>
      <c r="C6774" t="s">
        <v>33</v>
      </c>
      <c r="D6774" t="s">
        <v>17</v>
      </c>
      <c r="E6774" t="s">
        <v>12</v>
      </c>
      <c r="F6774">
        <v>151722712</v>
      </c>
      <c r="G6774">
        <v>151722873</v>
      </c>
      <c r="H6774">
        <v>151722712</v>
      </c>
      <c r="I6774">
        <v>151722873</v>
      </c>
    </row>
    <row r="6775" spans="1:9" x14ac:dyDescent="0.2">
      <c r="A6775" s="1" t="str">
        <f>"GALNT12"</f>
        <v>GALNT12</v>
      </c>
      <c r="B6775" t="s">
        <v>14</v>
      </c>
      <c r="C6775" t="s">
        <v>24</v>
      </c>
      <c r="D6775" t="s">
        <v>17</v>
      </c>
      <c r="E6775" t="s">
        <v>12</v>
      </c>
      <c r="F6775">
        <v>101569944</v>
      </c>
      <c r="G6775">
        <v>101569973</v>
      </c>
      <c r="H6775">
        <v>101569914</v>
      </c>
      <c r="I6775">
        <v>101569942</v>
      </c>
    </row>
    <row r="6776" spans="1:9" x14ac:dyDescent="0.2">
      <c r="A6776" s="1" t="str">
        <f>"GALNT13"</f>
        <v>GALNT13</v>
      </c>
      <c r="B6776" t="s">
        <v>14</v>
      </c>
      <c r="C6776" t="s">
        <v>26</v>
      </c>
      <c r="D6776" t="s">
        <v>17</v>
      </c>
      <c r="E6776" t="s">
        <v>12</v>
      </c>
      <c r="F6776">
        <v>154728427</v>
      </c>
      <c r="G6776">
        <v>154728440</v>
      </c>
      <c r="H6776">
        <v>154728214</v>
      </c>
      <c r="I6776">
        <v>154728225</v>
      </c>
    </row>
    <row r="6777" spans="1:9" x14ac:dyDescent="0.2">
      <c r="A6777" s="1" t="str">
        <f>"GALNT14"</f>
        <v>GALNT14</v>
      </c>
      <c r="B6777" t="s">
        <v>14</v>
      </c>
      <c r="C6777" t="s">
        <v>26</v>
      </c>
      <c r="D6777" t="s">
        <v>11</v>
      </c>
      <c r="E6777" t="s">
        <v>12</v>
      </c>
      <c r="F6777">
        <v>31361293</v>
      </c>
      <c r="G6777">
        <v>31361352</v>
      </c>
      <c r="H6777">
        <v>31360908</v>
      </c>
      <c r="I6777">
        <v>31361001</v>
      </c>
    </row>
    <row r="6778" spans="1:9" x14ac:dyDescent="0.2">
      <c r="A6778" s="1" t="str">
        <f>"GALNT15"</f>
        <v>GALNT15</v>
      </c>
      <c r="B6778" t="s">
        <v>14</v>
      </c>
      <c r="C6778" t="s">
        <v>22</v>
      </c>
      <c r="D6778" t="s">
        <v>17</v>
      </c>
      <c r="E6778" t="s">
        <v>12</v>
      </c>
      <c r="F6778">
        <v>16216137</v>
      </c>
      <c r="G6778">
        <v>16216203</v>
      </c>
      <c r="H6778">
        <v>16216210</v>
      </c>
      <c r="I6778">
        <v>16216221</v>
      </c>
    </row>
    <row r="6779" spans="1:9" x14ac:dyDescent="0.2">
      <c r="A6779" s="1" t="str">
        <f>"GALNT16"</f>
        <v>GALNT16</v>
      </c>
      <c r="B6779" t="s">
        <v>14</v>
      </c>
      <c r="C6779" t="s">
        <v>41</v>
      </c>
      <c r="D6779" t="s">
        <v>17</v>
      </c>
      <c r="E6779" t="s">
        <v>12</v>
      </c>
      <c r="F6779">
        <v>69726864</v>
      </c>
      <c r="G6779">
        <v>69726916</v>
      </c>
      <c r="H6779">
        <v>69726342</v>
      </c>
      <c r="I6779">
        <v>69726428</v>
      </c>
    </row>
    <row r="6780" spans="1:9" x14ac:dyDescent="0.2">
      <c r="A6780" s="1" t="str">
        <f>"GALNT18"</f>
        <v>GALNT18</v>
      </c>
      <c r="B6780" t="s">
        <v>14</v>
      </c>
      <c r="C6780" t="s">
        <v>27</v>
      </c>
      <c r="D6780" t="s">
        <v>11</v>
      </c>
      <c r="E6780" t="s">
        <v>12</v>
      </c>
      <c r="F6780">
        <v>11643540</v>
      </c>
      <c r="G6780">
        <v>11643566</v>
      </c>
      <c r="H6780">
        <v>11643587</v>
      </c>
      <c r="I6780">
        <v>11643596</v>
      </c>
    </row>
    <row r="6781" spans="1:9" x14ac:dyDescent="0.2">
      <c r="A6781" s="1" t="str">
        <f>"GALNT2"</f>
        <v>GALNT2</v>
      </c>
      <c r="B6781" t="s">
        <v>14</v>
      </c>
      <c r="C6781" t="s">
        <v>19</v>
      </c>
      <c r="D6781" t="s">
        <v>17</v>
      </c>
      <c r="E6781" t="s">
        <v>12</v>
      </c>
      <c r="F6781">
        <v>230202936</v>
      </c>
      <c r="G6781">
        <v>230203001</v>
      </c>
      <c r="H6781">
        <v>230203010</v>
      </c>
      <c r="I6781">
        <v>230203032</v>
      </c>
    </row>
    <row r="6782" spans="1:9" x14ac:dyDescent="0.2">
      <c r="A6782" s="1" t="str">
        <f>"GALNT3"</f>
        <v>GALNT3</v>
      </c>
      <c r="B6782" t="s">
        <v>14</v>
      </c>
      <c r="C6782" t="s">
        <v>26</v>
      </c>
      <c r="D6782" t="s">
        <v>11</v>
      </c>
      <c r="E6782" t="s">
        <v>12</v>
      </c>
      <c r="F6782">
        <v>166650700</v>
      </c>
      <c r="G6782">
        <v>166650816</v>
      </c>
      <c r="H6782">
        <v>166651191</v>
      </c>
      <c r="I6782">
        <v>166651213</v>
      </c>
    </row>
    <row r="6783" spans="1:9" x14ac:dyDescent="0.2">
      <c r="A6783" s="1" t="str">
        <f>"GALNT4"</f>
        <v>GALNT4</v>
      </c>
      <c r="B6783" t="s">
        <v>9</v>
      </c>
      <c r="C6783" t="s">
        <v>16</v>
      </c>
      <c r="D6783" t="s">
        <v>11</v>
      </c>
      <c r="E6783" t="s">
        <v>12</v>
      </c>
      <c r="F6783">
        <v>89919765</v>
      </c>
      <c r="G6783">
        <v>89919849</v>
      </c>
      <c r="H6783">
        <v>89919765</v>
      </c>
      <c r="I6783">
        <v>89919849</v>
      </c>
    </row>
    <row r="6784" spans="1:9" x14ac:dyDescent="0.2">
      <c r="A6784" s="1" t="str">
        <f>"GALNT4"</f>
        <v>GALNT4</v>
      </c>
      <c r="B6784" t="s">
        <v>13</v>
      </c>
      <c r="C6784" t="s">
        <v>16</v>
      </c>
      <c r="D6784" t="s">
        <v>11</v>
      </c>
      <c r="E6784" t="s">
        <v>12</v>
      </c>
      <c r="F6784">
        <v>89918522</v>
      </c>
      <c r="G6784">
        <v>89918588</v>
      </c>
      <c r="H6784">
        <v>89918522</v>
      </c>
      <c r="I6784">
        <v>89918588</v>
      </c>
    </row>
    <row r="6785" spans="1:9" x14ac:dyDescent="0.2">
      <c r="A6785" s="1" t="str">
        <f>"GALNT5"</f>
        <v>GALNT5</v>
      </c>
      <c r="B6785" t="s">
        <v>14</v>
      </c>
      <c r="C6785" t="s">
        <v>26</v>
      </c>
      <c r="D6785" t="s">
        <v>17</v>
      </c>
      <c r="E6785" t="s">
        <v>12</v>
      </c>
      <c r="F6785">
        <v>158114199</v>
      </c>
      <c r="G6785">
        <v>158114286</v>
      </c>
      <c r="H6785">
        <v>158114051</v>
      </c>
      <c r="I6785">
        <v>158114097</v>
      </c>
    </row>
    <row r="6786" spans="1:9" x14ac:dyDescent="0.2">
      <c r="A6786" s="1" t="str">
        <f>"GALNT6"</f>
        <v>GALNT6</v>
      </c>
      <c r="B6786" t="s">
        <v>14</v>
      </c>
      <c r="C6786" t="s">
        <v>16</v>
      </c>
      <c r="D6786" t="s">
        <v>11</v>
      </c>
      <c r="E6786" t="s">
        <v>12</v>
      </c>
      <c r="F6786">
        <v>51785393</v>
      </c>
      <c r="G6786">
        <v>51785469</v>
      </c>
      <c r="H6786">
        <v>51785182</v>
      </c>
      <c r="I6786">
        <v>51785197</v>
      </c>
    </row>
    <row r="6787" spans="1:9" x14ac:dyDescent="0.2">
      <c r="A6787" s="1" t="str">
        <f>"GALNT7"</f>
        <v>GALNT7</v>
      </c>
      <c r="B6787" t="s">
        <v>14</v>
      </c>
      <c r="C6787" t="s">
        <v>23</v>
      </c>
      <c r="D6787" t="s">
        <v>17</v>
      </c>
      <c r="E6787" t="s">
        <v>12</v>
      </c>
      <c r="F6787">
        <v>174089951</v>
      </c>
      <c r="G6787">
        <v>174089974</v>
      </c>
      <c r="H6787">
        <v>174089922</v>
      </c>
      <c r="I6787">
        <v>174089950</v>
      </c>
    </row>
    <row r="6788" spans="1:9" x14ac:dyDescent="0.2">
      <c r="A6788" s="1" t="str">
        <f>"GALNT8"</f>
        <v>GALNT8</v>
      </c>
      <c r="B6788" t="s">
        <v>512</v>
      </c>
      <c r="C6788" t="s">
        <v>16</v>
      </c>
      <c r="D6788" t="s">
        <v>17</v>
      </c>
      <c r="E6788" t="s">
        <v>35</v>
      </c>
      <c r="F6788">
        <v>4829402</v>
      </c>
      <c r="G6788">
        <v>4829415</v>
      </c>
      <c r="H6788">
        <v>4829671</v>
      </c>
      <c r="I6788">
        <v>4829673</v>
      </c>
    </row>
    <row r="6789" spans="1:9" x14ac:dyDescent="0.2">
      <c r="A6789" s="1" t="str">
        <f>"GALNT9"</f>
        <v>GALNT9</v>
      </c>
      <c r="B6789" t="s">
        <v>14</v>
      </c>
      <c r="C6789" t="s">
        <v>16</v>
      </c>
      <c r="D6789" t="s">
        <v>11</v>
      </c>
      <c r="E6789" t="s">
        <v>12</v>
      </c>
      <c r="F6789">
        <v>132906118</v>
      </c>
      <c r="G6789">
        <v>132906180</v>
      </c>
      <c r="H6789">
        <v>132906118</v>
      </c>
      <c r="I6789">
        <v>132906180</v>
      </c>
    </row>
    <row r="6790" spans="1:9" x14ac:dyDescent="0.2">
      <c r="A6790" s="1" t="str">
        <f>"GALNTL5"</f>
        <v>GALNTL5</v>
      </c>
      <c r="B6790" t="s">
        <v>14</v>
      </c>
      <c r="C6790" t="s">
        <v>33</v>
      </c>
      <c r="D6790" t="s">
        <v>17</v>
      </c>
      <c r="E6790" t="s">
        <v>12</v>
      </c>
      <c r="F6790">
        <v>151653525</v>
      </c>
      <c r="G6790">
        <v>151653536</v>
      </c>
      <c r="H6790">
        <v>151653525</v>
      </c>
      <c r="I6790">
        <v>151653536</v>
      </c>
    </row>
    <row r="6791" spans="1:9" x14ac:dyDescent="0.2">
      <c r="A6791" s="1" t="str">
        <f>"GALNTL6"</f>
        <v>GALNTL6</v>
      </c>
      <c r="B6791" t="s">
        <v>14</v>
      </c>
      <c r="C6791" t="s">
        <v>23</v>
      </c>
      <c r="D6791" t="s">
        <v>17</v>
      </c>
      <c r="E6791" t="s">
        <v>12</v>
      </c>
      <c r="F6791">
        <v>172734548</v>
      </c>
      <c r="G6791">
        <v>172734562</v>
      </c>
      <c r="H6791">
        <v>172734643</v>
      </c>
      <c r="I6791">
        <v>172734669</v>
      </c>
    </row>
    <row r="6792" spans="1:9" x14ac:dyDescent="0.2">
      <c r="A6792" s="1" t="str">
        <f>"GALP"</f>
        <v>GALP</v>
      </c>
      <c r="B6792" t="s">
        <v>14</v>
      </c>
      <c r="C6792" t="s">
        <v>10</v>
      </c>
      <c r="D6792" t="s">
        <v>17</v>
      </c>
      <c r="E6792" t="s">
        <v>12</v>
      </c>
      <c r="F6792">
        <v>56687374</v>
      </c>
      <c r="G6792">
        <v>56687378</v>
      </c>
      <c r="H6792">
        <v>56687374</v>
      </c>
      <c r="I6792">
        <v>56687378</v>
      </c>
    </row>
    <row r="6793" spans="1:9" x14ac:dyDescent="0.2">
      <c r="A6793" s="1" t="str">
        <f>"GALR1"</f>
        <v>GALR1</v>
      </c>
      <c r="B6793" t="s">
        <v>14</v>
      </c>
      <c r="C6793" t="s">
        <v>43</v>
      </c>
      <c r="D6793" t="s">
        <v>17</v>
      </c>
      <c r="E6793" t="s">
        <v>12</v>
      </c>
      <c r="F6793">
        <v>74961983</v>
      </c>
      <c r="G6793">
        <v>74962027</v>
      </c>
      <c r="H6793">
        <v>74961983</v>
      </c>
      <c r="I6793">
        <v>74962027</v>
      </c>
    </row>
    <row r="6794" spans="1:9" x14ac:dyDescent="0.2">
      <c r="A6794" s="1" t="str">
        <f>"GALR2"</f>
        <v>GALR2</v>
      </c>
      <c r="B6794" t="s">
        <v>14</v>
      </c>
      <c r="C6794" t="s">
        <v>28</v>
      </c>
      <c r="D6794" t="s">
        <v>17</v>
      </c>
      <c r="E6794" t="s">
        <v>12</v>
      </c>
      <c r="F6794">
        <v>74070853</v>
      </c>
      <c r="G6794">
        <v>74070868</v>
      </c>
      <c r="H6794">
        <v>74071239</v>
      </c>
      <c r="I6794">
        <v>74071274</v>
      </c>
    </row>
    <row r="6795" spans="1:9" x14ac:dyDescent="0.2">
      <c r="A6795" s="1" t="str">
        <f>"GALR3"</f>
        <v>GALR3</v>
      </c>
      <c r="B6795" t="s">
        <v>513</v>
      </c>
      <c r="C6795" t="s">
        <v>21</v>
      </c>
      <c r="D6795" t="s">
        <v>17</v>
      </c>
      <c r="E6795" t="s">
        <v>20</v>
      </c>
      <c r="F6795">
        <v>38219388</v>
      </c>
      <c r="G6795">
        <v>38219388</v>
      </c>
      <c r="H6795">
        <v>38219388</v>
      </c>
      <c r="I6795">
        <v>38219388</v>
      </c>
    </row>
    <row r="6796" spans="1:9" x14ac:dyDescent="0.2">
      <c r="A6796" s="1" t="str">
        <f>"GALT"</f>
        <v>GALT</v>
      </c>
      <c r="B6796" t="s">
        <v>14</v>
      </c>
      <c r="C6796" t="s">
        <v>24</v>
      </c>
      <c r="D6796" t="s">
        <v>17</v>
      </c>
      <c r="E6796" t="s">
        <v>12</v>
      </c>
      <c r="F6796">
        <v>34646651</v>
      </c>
      <c r="G6796">
        <v>34646689</v>
      </c>
      <c r="H6796">
        <v>34646624</v>
      </c>
      <c r="I6796">
        <v>34646649</v>
      </c>
    </row>
    <row r="6797" spans="1:9" x14ac:dyDescent="0.2">
      <c r="A6797" s="1" t="str">
        <f>"GAMT"</f>
        <v>GAMT</v>
      </c>
      <c r="B6797" t="s">
        <v>14</v>
      </c>
      <c r="C6797" t="s">
        <v>10</v>
      </c>
      <c r="D6797" t="s">
        <v>11</v>
      </c>
      <c r="E6797" t="s">
        <v>12</v>
      </c>
      <c r="F6797">
        <v>1401486</v>
      </c>
      <c r="G6797">
        <v>1401570</v>
      </c>
      <c r="H6797">
        <v>1401486</v>
      </c>
      <c r="I6797">
        <v>1401570</v>
      </c>
    </row>
    <row r="6798" spans="1:9" x14ac:dyDescent="0.2">
      <c r="A6798" s="1" t="str">
        <f>"GAN"</f>
        <v>GAN</v>
      </c>
      <c r="B6798" t="s">
        <v>14</v>
      </c>
      <c r="C6798" t="s">
        <v>31</v>
      </c>
      <c r="D6798" t="s">
        <v>17</v>
      </c>
      <c r="E6798" t="s">
        <v>12</v>
      </c>
      <c r="F6798">
        <v>81348528</v>
      </c>
      <c r="G6798">
        <v>81348578</v>
      </c>
      <c r="H6798">
        <v>81348592</v>
      </c>
      <c r="I6798">
        <v>81348606</v>
      </c>
    </row>
    <row r="6799" spans="1:9" x14ac:dyDescent="0.2">
      <c r="A6799" s="1" t="str">
        <f>"GANAB"</f>
        <v>GANAB</v>
      </c>
      <c r="B6799" t="s">
        <v>14</v>
      </c>
      <c r="C6799" t="s">
        <v>27</v>
      </c>
      <c r="D6799" t="s">
        <v>11</v>
      </c>
      <c r="E6799" t="s">
        <v>12</v>
      </c>
      <c r="F6799">
        <v>62414070</v>
      </c>
      <c r="G6799">
        <v>62414092</v>
      </c>
      <c r="H6799">
        <v>62414070</v>
      </c>
      <c r="I6799">
        <v>62414092</v>
      </c>
    </row>
    <row r="6800" spans="1:9" x14ac:dyDescent="0.2">
      <c r="A6800" s="1" t="str">
        <f>"GANC"</f>
        <v>GANC</v>
      </c>
      <c r="B6800" t="s">
        <v>14</v>
      </c>
      <c r="C6800" t="s">
        <v>25</v>
      </c>
      <c r="D6800" t="s">
        <v>17</v>
      </c>
      <c r="E6800" t="s">
        <v>12</v>
      </c>
      <c r="F6800">
        <v>42565393</v>
      </c>
      <c r="G6800">
        <v>42565455</v>
      </c>
      <c r="H6800">
        <v>42566384</v>
      </c>
      <c r="I6800">
        <v>42566475</v>
      </c>
    </row>
    <row r="6801" spans="1:9" x14ac:dyDescent="0.2">
      <c r="A6801" s="1" t="str">
        <f>"GAP43"</f>
        <v>GAP43</v>
      </c>
      <c r="B6801" t="s">
        <v>14</v>
      </c>
      <c r="C6801" t="s">
        <v>22</v>
      </c>
      <c r="D6801" t="s">
        <v>17</v>
      </c>
      <c r="E6801" t="s">
        <v>12</v>
      </c>
      <c r="F6801">
        <v>115342402</v>
      </c>
      <c r="G6801">
        <v>115342458</v>
      </c>
      <c r="H6801">
        <v>115342470</v>
      </c>
      <c r="I6801">
        <v>115342534</v>
      </c>
    </row>
    <row r="6802" spans="1:9" x14ac:dyDescent="0.2">
      <c r="A6802" s="1" t="str">
        <f>"GAPDH"</f>
        <v>GAPDH</v>
      </c>
      <c r="B6802" t="s">
        <v>9</v>
      </c>
      <c r="C6802" t="s">
        <v>16</v>
      </c>
      <c r="D6802" t="s">
        <v>17</v>
      </c>
      <c r="E6802" t="s">
        <v>12</v>
      </c>
      <c r="F6802">
        <v>6643676</v>
      </c>
      <c r="G6802">
        <v>6643693</v>
      </c>
      <c r="H6802">
        <v>6643676</v>
      </c>
      <c r="I6802">
        <v>6643693</v>
      </c>
    </row>
    <row r="6803" spans="1:9" x14ac:dyDescent="0.2">
      <c r="A6803" s="1" t="str">
        <f>"GAPDH"</f>
        <v>GAPDH</v>
      </c>
      <c r="B6803" t="s">
        <v>13</v>
      </c>
      <c r="C6803" t="s">
        <v>16</v>
      </c>
      <c r="D6803" t="s">
        <v>17</v>
      </c>
      <c r="E6803" t="s">
        <v>12</v>
      </c>
      <c r="F6803">
        <v>6647043</v>
      </c>
      <c r="G6803">
        <v>6647106</v>
      </c>
      <c r="H6803">
        <v>6647043</v>
      </c>
      <c r="I6803">
        <v>6647106</v>
      </c>
    </row>
    <row r="6804" spans="1:9" x14ac:dyDescent="0.2">
      <c r="A6804" s="1" t="str">
        <f>"GAPDHS"</f>
        <v>GAPDHS</v>
      </c>
      <c r="B6804" t="s">
        <v>14</v>
      </c>
      <c r="C6804" t="s">
        <v>10</v>
      </c>
      <c r="D6804" t="s">
        <v>17</v>
      </c>
      <c r="E6804" t="s">
        <v>12</v>
      </c>
      <c r="F6804">
        <v>36024350</v>
      </c>
      <c r="G6804">
        <v>36024363</v>
      </c>
      <c r="H6804">
        <v>36024366</v>
      </c>
      <c r="I6804">
        <v>36024390</v>
      </c>
    </row>
    <row r="6805" spans="1:9" x14ac:dyDescent="0.2">
      <c r="A6805" s="1" t="str">
        <f>"GAPT"</f>
        <v>GAPT</v>
      </c>
      <c r="B6805" t="s">
        <v>14</v>
      </c>
      <c r="C6805" t="s">
        <v>46</v>
      </c>
      <c r="D6805" t="s">
        <v>17</v>
      </c>
      <c r="E6805" t="s">
        <v>12</v>
      </c>
      <c r="F6805">
        <v>57787278</v>
      </c>
      <c r="G6805">
        <v>57787351</v>
      </c>
      <c r="H6805">
        <v>57787254</v>
      </c>
      <c r="I6805">
        <v>57787271</v>
      </c>
    </row>
    <row r="6806" spans="1:9" x14ac:dyDescent="0.2">
      <c r="A6806" s="1" t="str">
        <f>"GAPVD1"</f>
        <v>GAPVD1</v>
      </c>
      <c r="B6806" t="s">
        <v>14</v>
      </c>
      <c r="C6806" t="s">
        <v>24</v>
      </c>
      <c r="D6806" t="s">
        <v>17</v>
      </c>
      <c r="E6806" t="s">
        <v>12</v>
      </c>
      <c r="F6806">
        <v>128024067</v>
      </c>
      <c r="G6806">
        <v>128024130</v>
      </c>
      <c r="H6806">
        <v>128024067</v>
      </c>
      <c r="I6806">
        <v>128024130</v>
      </c>
    </row>
    <row r="6807" spans="1:9" x14ac:dyDescent="0.2">
      <c r="A6807" s="1" t="str">
        <f>"GAR1"</f>
        <v>GAR1</v>
      </c>
      <c r="B6807" t="s">
        <v>14</v>
      </c>
      <c r="C6807" t="s">
        <v>23</v>
      </c>
      <c r="D6807" t="s">
        <v>17</v>
      </c>
      <c r="E6807" t="s">
        <v>12</v>
      </c>
      <c r="F6807">
        <v>110736659</v>
      </c>
      <c r="G6807">
        <v>110736694</v>
      </c>
      <c r="H6807">
        <v>110736896</v>
      </c>
      <c r="I6807">
        <v>110736941</v>
      </c>
    </row>
    <row r="6808" spans="1:9" x14ac:dyDescent="0.2">
      <c r="A6808" s="1" t="str">
        <f>"GAREM"</f>
        <v>GAREM</v>
      </c>
      <c r="B6808" t="s">
        <v>14</v>
      </c>
      <c r="C6808" t="s">
        <v>43</v>
      </c>
      <c r="D6808" t="s">
        <v>11</v>
      </c>
      <c r="E6808" t="s">
        <v>12</v>
      </c>
      <c r="F6808">
        <v>30050835</v>
      </c>
      <c r="G6808">
        <v>30050856</v>
      </c>
      <c r="H6808">
        <v>30050835</v>
      </c>
      <c r="I6808">
        <v>30050856</v>
      </c>
    </row>
    <row r="6809" spans="1:9" x14ac:dyDescent="0.2">
      <c r="A6809" s="1" t="str">
        <f>"GAREML"</f>
        <v>GAREML</v>
      </c>
      <c r="B6809" t="s">
        <v>9</v>
      </c>
      <c r="C6809" t="s">
        <v>26</v>
      </c>
      <c r="D6809" t="s">
        <v>17</v>
      </c>
      <c r="E6809" t="s">
        <v>12</v>
      </c>
      <c r="F6809">
        <v>26407857</v>
      </c>
      <c r="G6809">
        <v>26407913</v>
      </c>
      <c r="H6809">
        <v>26407857</v>
      </c>
      <c r="I6809">
        <v>26407913</v>
      </c>
    </row>
    <row r="6810" spans="1:9" x14ac:dyDescent="0.2">
      <c r="A6810" s="1" t="str">
        <f>"GAREML"</f>
        <v>GAREML</v>
      </c>
      <c r="B6810" t="s">
        <v>13</v>
      </c>
      <c r="C6810" t="s">
        <v>26</v>
      </c>
      <c r="D6810" t="s">
        <v>17</v>
      </c>
      <c r="E6810" t="s">
        <v>12</v>
      </c>
      <c r="F6810">
        <v>26395939</v>
      </c>
      <c r="G6810">
        <v>26396015</v>
      </c>
      <c r="H6810">
        <v>26395939</v>
      </c>
      <c r="I6810">
        <v>26396015</v>
      </c>
    </row>
    <row r="6811" spans="1:9" x14ac:dyDescent="0.2">
      <c r="A6811" s="1" t="str">
        <f>"GARNL3"</f>
        <v>GARNL3</v>
      </c>
      <c r="B6811" t="s">
        <v>514</v>
      </c>
      <c r="C6811" t="s">
        <v>24</v>
      </c>
      <c r="D6811" t="s">
        <v>17</v>
      </c>
      <c r="E6811" t="s">
        <v>35</v>
      </c>
      <c r="F6811">
        <v>130026799</v>
      </c>
      <c r="G6811">
        <v>130026808</v>
      </c>
      <c r="H6811">
        <v>130026991</v>
      </c>
      <c r="I6811">
        <v>130026995</v>
      </c>
    </row>
    <row r="6812" spans="1:9" x14ac:dyDescent="0.2">
      <c r="A6812" s="1" t="str">
        <f>"GARS"</f>
        <v>GARS</v>
      </c>
      <c r="B6812" t="s">
        <v>14</v>
      </c>
      <c r="C6812" t="s">
        <v>33</v>
      </c>
      <c r="D6812" t="s">
        <v>17</v>
      </c>
      <c r="E6812" t="s">
        <v>12</v>
      </c>
      <c r="F6812">
        <v>30634439</v>
      </c>
      <c r="G6812">
        <v>30634572</v>
      </c>
      <c r="H6812">
        <v>30634439</v>
      </c>
      <c r="I6812">
        <v>30634572</v>
      </c>
    </row>
    <row r="6813" spans="1:9" x14ac:dyDescent="0.2">
      <c r="A6813" s="1" t="str">
        <f>"GART"</f>
        <v>GART</v>
      </c>
      <c r="B6813" t="s">
        <v>14</v>
      </c>
      <c r="C6813" t="s">
        <v>42</v>
      </c>
      <c r="D6813" t="s">
        <v>11</v>
      </c>
      <c r="E6813" t="s">
        <v>12</v>
      </c>
      <c r="F6813">
        <v>34914394</v>
      </c>
      <c r="G6813">
        <v>34914440</v>
      </c>
      <c r="H6813">
        <v>34915123</v>
      </c>
      <c r="I6813">
        <v>34915145</v>
      </c>
    </row>
    <row r="6814" spans="1:9" x14ac:dyDescent="0.2">
      <c r="A6814" s="1" t="str">
        <f>"GAS1"</f>
        <v>GAS1</v>
      </c>
      <c r="B6814" t="s">
        <v>14</v>
      </c>
      <c r="C6814" t="s">
        <v>24</v>
      </c>
      <c r="D6814" t="s">
        <v>11</v>
      </c>
      <c r="E6814" t="s">
        <v>12</v>
      </c>
      <c r="F6814">
        <v>89562411</v>
      </c>
      <c r="G6814">
        <v>89562433</v>
      </c>
      <c r="H6814">
        <v>89562411</v>
      </c>
      <c r="I6814">
        <v>89562433</v>
      </c>
    </row>
    <row r="6815" spans="1:9" x14ac:dyDescent="0.2">
      <c r="A6815" s="1" t="str">
        <f>"GAS2"</f>
        <v>GAS2</v>
      </c>
      <c r="B6815" t="s">
        <v>515</v>
      </c>
      <c r="C6815" t="s">
        <v>27</v>
      </c>
      <c r="D6815" t="s">
        <v>17</v>
      </c>
      <c r="E6815" t="s">
        <v>35</v>
      </c>
      <c r="F6815">
        <v>22689648</v>
      </c>
      <c r="G6815">
        <v>22689665</v>
      </c>
      <c r="H6815">
        <v>22689684</v>
      </c>
      <c r="I6815">
        <v>22689716</v>
      </c>
    </row>
    <row r="6816" spans="1:9" x14ac:dyDescent="0.2">
      <c r="A6816" s="1" t="str">
        <f>"GAS2"</f>
        <v>GAS2</v>
      </c>
      <c r="B6816" t="s">
        <v>516</v>
      </c>
      <c r="C6816" t="s">
        <v>27</v>
      </c>
      <c r="D6816" t="s">
        <v>17</v>
      </c>
      <c r="E6816" t="s">
        <v>35</v>
      </c>
      <c r="F6816">
        <v>22696314</v>
      </c>
      <c r="G6816">
        <v>22696332</v>
      </c>
      <c r="H6816">
        <v>22696465</v>
      </c>
      <c r="I6816">
        <v>22696478</v>
      </c>
    </row>
    <row r="6817" spans="1:9" x14ac:dyDescent="0.2">
      <c r="A6817" s="1" t="str">
        <f>"GAS2"</f>
        <v>GAS2</v>
      </c>
      <c r="B6817" t="s">
        <v>517</v>
      </c>
      <c r="C6817" t="s">
        <v>27</v>
      </c>
      <c r="D6817" t="s">
        <v>17</v>
      </c>
      <c r="E6817" t="s">
        <v>35</v>
      </c>
      <c r="F6817">
        <v>22688005</v>
      </c>
      <c r="G6817">
        <v>22688013</v>
      </c>
      <c r="H6817">
        <v>22688270</v>
      </c>
      <c r="I6817">
        <v>22688286</v>
      </c>
    </row>
    <row r="6818" spans="1:9" x14ac:dyDescent="0.2">
      <c r="A6818" s="1" t="str">
        <f>"GAS2L1"</f>
        <v>GAS2L1</v>
      </c>
      <c r="B6818" t="s">
        <v>14</v>
      </c>
      <c r="C6818" t="s">
        <v>21</v>
      </c>
      <c r="D6818" t="s">
        <v>17</v>
      </c>
      <c r="E6818" t="s">
        <v>12</v>
      </c>
      <c r="F6818">
        <v>29702996</v>
      </c>
      <c r="G6818">
        <v>29703061</v>
      </c>
      <c r="H6818">
        <v>29702634</v>
      </c>
      <c r="I6818">
        <v>29702664</v>
      </c>
    </row>
    <row r="6819" spans="1:9" x14ac:dyDescent="0.2">
      <c r="A6819" s="1" t="str">
        <f>"GAS2L2"</f>
        <v>GAS2L2</v>
      </c>
      <c r="B6819" t="s">
        <v>14</v>
      </c>
      <c r="C6819" t="s">
        <v>28</v>
      </c>
      <c r="D6819" t="s">
        <v>11</v>
      </c>
      <c r="E6819" t="s">
        <v>12</v>
      </c>
      <c r="F6819">
        <v>34080230</v>
      </c>
      <c r="G6819">
        <v>34080279</v>
      </c>
      <c r="H6819">
        <v>34080230</v>
      </c>
      <c r="I6819">
        <v>34080279</v>
      </c>
    </row>
    <row r="6820" spans="1:9" x14ac:dyDescent="0.2">
      <c r="A6820" s="1" t="str">
        <f>"GAS2L3"</f>
        <v>GAS2L3</v>
      </c>
      <c r="B6820" t="s">
        <v>14</v>
      </c>
      <c r="C6820" t="s">
        <v>16</v>
      </c>
      <c r="D6820" t="s">
        <v>17</v>
      </c>
      <c r="E6820" t="s">
        <v>12</v>
      </c>
      <c r="F6820">
        <v>100967420</v>
      </c>
      <c r="G6820">
        <v>100967502</v>
      </c>
      <c r="H6820">
        <v>100967505</v>
      </c>
      <c r="I6820">
        <v>100967523</v>
      </c>
    </row>
    <row r="6821" spans="1:9" x14ac:dyDescent="0.2">
      <c r="A6821" s="1" t="str">
        <f>"GAS6"</f>
        <v>GAS6</v>
      </c>
      <c r="B6821" t="s">
        <v>14</v>
      </c>
      <c r="C6821" t="s">
        <v>39</v>
      </c>
      <c r="D6821" t="s">
        <v>11</v>
      </c>
      <c r="E6821" t="s">
        <v>12</v>
      </c>
      <c r="F6821">
        <v>114566984</v>
      </c>
      <c r="G6821">
        <v>114567018</v>
      </c>
      <c r="H6821">
        <v>114567034</v>
      </c>
      <c r="I6821">
        <v>114567074</v>
      </c>
    </row>
    <row r="6822" spans="1:9" x14ac:dyDescent="0.2">
      <c r="A6822" s="1" t="str">
        <f>"GAS7"</f>
        <v>GAS7</v>
      </c>
      <c r="B6822" t="s">
        <v>518</v>
      </c>
      <c r="C6822" t="s">
        <v>28</v>
      </c>
      <c r="D6822" t="s">
        <v>11</v>
      </c>
      <c r="E6822" t="s">
        <v>35</v>
      </c>
      <c r="F6822">
        <v>10102055</v>
      </c>
      <c r="G6822">
        <v>10102058</v>
      </c>
      <c r="H6822">
        <v>10101812</v>
      </c>
      <c r="I6822">
        <v>10101821</v>
      </c>
    </row>
    <row r="6823" spans="1:9" x14ac:dyDescent="0.2">
      <c r="A6823" s="1" t="str">
        <f>"GAS8"</f>
        <v>GAS8</v>
      </c>
      <c r="B6823" t="s">
        <v>9</v>
      </c>
      <c r="C6823" t="s">
        <v>31</v>
      </c>
      <c r="D6823" t="s">
        <v>17</v>
      </c>
      <c r="E6823" t="s">
        <v>12</v>
      </c>
      <c r="F6823">
        <v>90089053</v>
      </c>
      <c r="G6823">
        <v>90089107</v>
      </c>
      <c r="H6823">
        <v>90089053</v>
      </c>
      <c r="I6823">
        <v>90089107</v>
      </c>
    </row>
    <row r="6824" spans="1:9" x14ac:dyDescent="0.2">
      <c r="A6824" s="1" t="str">
        <f>"GAS8"</f>
        <v>GAS8</v>
      </c>
      <c r="B6824" t="s">
        <v>13</v>
      </c>
      <c r="C6824" t="s">
        <v>31</v>
      </c>
      <c r="D6824" t="s">
        <v>17</v>
      </c>
      <c r="E6824" t="s">
        <v>12</v>
      </c>
      <c r="F6824">
        <v>90086002</v>
      </c>
      <c r="G6824">
        <v>90086077</v>
      </c>
      <c r="H6824">
        <v>90086002</v>
      </c>
      <c r="I6824">
        <v>90086077</v>
      </c>
    </row>
    <row r="6825" spans="1:9" x14ac:dyDescent="0.2">
      <c r="A6825" s="1" t="str">
        <f>"GAST"</f>
        <v>GAST</v>
      </c>
      <c r="B6825" t="s">
        <v>14</v>
      </c>
      <c r="C6825" t="s">
        <v>28</v>
      </c>
      <c r="D6825" t="s">
        <v>17</v>
      </c>
      <c r="E6825" t="s">
        <v>12</v>
      </c>
      <c r="F6825">
        <v>39868577</v>
      </c>
      <c r="G6825">
        <v>39868585</v>
      </c>
      <c r="H6825">
        <v>39868577</v>
      </c>
      <c r="I6825">
        <v>39868585</v>
      </c>
    </row>
    <row r="6826" spans="1:9" x14ac:dyDescent="0.2">
      <c r="A6826" s="1" t="str">
        <f>"GATA1"</f>
        <v>GATA1</v>
      </c>
      <c r="B6826" t="s">
        <v>14</v>
      </c>
      <c r="C6826" t="s">
        <v>37</v>
      </c>
      <c r="D6826" t="s">
        <v>17</v>
      </c>
      <c r="E6826" t="s">
        <v>12</v>
      </c>
      <c r="F6826">
        <v>48644984</v>
      </c>
      <c r="G6826">
        <v>48645005</v>
      </c>
      <c r="H6826">
        <v>48644976</v>
      </c>
      <c r="I6826">
        <v>48644983</v>
      </c>
    </row>
    <row r="6827" spans="1:9" x14ac:dyDescent="0.2">
      <c r="A6827" s="1" t="str">
        <f>"GATA2"</f>
        <v>GATA2</v>
      </c>
      <c r="B6827" t="s">
        <v>9</v>
      </c>
      <c r="C6827" t="s">
        <v>22</v>
      </c>
      <c r="D6827" t="s">
        <v>11</v>
      </c>
      <c r="E6827" t="s">
        <v>12</v>
      </c>
      <c r="F6827">
        <v>128212033</v>
      </c>
      <c r="G6827">
        <v>128212051</v>
      </c>
      <c r="H6827">
        <v>128212033</v>
      </c>
      <c r="I6827">
        <v>128212051</v>
      </c>
    </row>
    <row r="6828" spans="1:9" x14ac:dyDescent="0.2">
      <c r="A6828" s="1" t="str">
        <f>"GATA2"</f>
        <v>GATA2</v>
      </c>
      <c r="B6828" t="s">
        <v>13</v>
      </c>
      <c r="C6828" t="s">
        <v>22</v>
      </c>
      <c r="D6828" t="s">
        <v>11</v>
      </c>
      <c r="E6828" t="s">
        <v>12</v>
      </c>
      <c r="F6828">
        <v>128206762</v>
      </c>
      <c r="G6828">
        <v>128206781</v>
      </c>
      <c r="H6828">
        <v>128206762</v>
      </c>
      <c r="I6828">
        <v>128206781</v>
      </c>
    </row>
    <row r="6829" spans="1:9" x14ac:dyDescent="0.2">
      <c r="A6829" s="1" t="str">
        <f>"GATA3"</f>
        <v>GATA3</v>
      </c>
      <c r="B6829" t="s">
        <v>14</v>
      </c>
      <c r="C6829" t="s">
        <v>15</v>
      </c>
      <c r="D6829" t="s">
        <v>17</v>
      </c>
      <c r="E6829" t="s">
        <v>12</v>
      </c>
      <c r="F6829">
        <v>8096631</v>
      </c>
      <c r="G6829">
        <v>8096660</v>
      </c>
      <c r="H6829">
        <v>8096772</v>
      </c>
      <c r="I6829">
        <v>8096787</v>
      </c>
    </row>
    <row r="6830" spans="1:9" x14ac:dyDescent="0.2">
      <c r="A6830" s="1" t="str">
        <f>"GATA4"</f>
        <v>GATA4</v>
      </c>
      <c r="B6830" t="s">
        <v>14</v>
      </c>
      <c r="C6830" t="s">
        <v>30</v>
      </c>
      <c r="D6830" t="s">
        <v>17</v>
      </c>
      <c r="E6830" t="s">
        <v>12</v>
      </c>
      <c r="F6830">
        <v>11561684</v>
      </c>
      <c r="G6830">
        <v>11561751</v>
      </c>
      <c r="H6830">
        <v>11561453</v>
      </c>
      <c r="I6830">
        <v>11561466</v>
      </c>
    </row>
    <row r="6831" spans="1:9" x14ac:dyDescent="0.2">
      <c r="A6831" s="1" t="str">
        <f>"GATA5"</f>
        <v>GATA5</v>
      </c>
      <c r="B6831" t="s">
        <v>14</v>
      </c>
      <c r="C6831" t="s">
        <v>29</v>
      </c>
      <c r="D6831" t="s">
        <v>11</v>
      </c>
      <c r="E6831" t="s">
        <v>12</v>
      </c>
      <c r="F6831">
        <v>61051039</v>
      </c>
      <c r="G6831">
        <v>61051057</v>
      </c>
      <c r="H6831">
        <v>61050704</v>
      </c>
      <c r="I6831">
        <v>61050725</v>
      </c>
    </row>
    <row r="6832" spans="1:9" x14ac:dyDescent="0.2">
      <c r="A6832" s="1" t="str">
        <f>"GATA6"</f>
        <v>GATA6</v>
      </c>
      <c r="B6832" t="s">
        <v>14</v>
      </c>
      <c r="C6832" t="s">
        <v>43</v>
      </c>
      <c r="D6832" t="s">
        <v>17</v>
      </c>
      <c r="E6832" t="s">
        <v>12</v>
      </c>
      <c r="F6832">
        <v>19749541</v>
      </c>
      <c r="G6832">
        <v>19749557</v>
      </c>
      <c r="H6832">
        <v>19749386</v>
      </c>
      <c r="I6832">
        <v>19749404</v>
      </c>
    </row>
    <row r="6833" spans="1:9" x14ac:dyDescent="0.2">
      <c r="A6833" s="1" t="str">
        <f>"GATAD1"</f>
        <v>GATAD1</v>
      </c>
      <c r="B6833" t="s">
        <v>14</v>
      </c>
      <c r="C6833" t="s">
        <v>33</v>
      </c>
      <c r="D6833" t="s">
        <v>17</v>
      </c>
      <c r="E6833" t="s">
        <v>12</v>
      </c>
      <c r="F6833">
        <v>92076740</v>
      </c>
      <c r="G6833">
        <v>92076834</v>
      </c>
      <c r="H6833">
        <v>92076714</v>
      </c>
      <c r="I6833">
        <v>92076729</v>
      </c>
    </row>
    <row r="6834" spans="1:9" x14ac:dyDescent="0.2">
      <c r="A6834" s="1" t="str">
        <f>"GATAD2A"</f>
        <v>GATAD2A</v>
      </c>
      <c r="B6834" t="s">
        <v>9</v>
      </c>
      <c r="C6834" t="s">
        <v>10</v>
      </c>
      <c r="D6834" t="s">
        <v>17</v>
      </c>
      <c r="E6834" t="s">
        <v>12</v>
      </c>
      <c r="F6834">
        <v>19516561</v>
      </c>
      <c r="G6834">
        <v>19516644</v>
      </c>
      <c r="H6834">
        <v>19516561</v>
      </c>
      <c r="I6834">
        <v>19516644</v>
      </c>
    </row>
    <row r="6835" spans="1:9" x14ac:dyDescent="0.2">
      <c r="A6835" s="1" t="str">
        <f>"GATAD2A"</f>
        <v>GATAD2A</v>
      </c>
      <c r="B6835" t="s">
        <v>13</v>
      </c>
      <c r="C6835" t="s">
        <v>10</v>
      </c>
      <c r="D6835" t="s">
        <v>17</v>
      </c>
      <c r="E6835" t="s">
        <v>12</v>
      </c>
      <c r="F6835">
        <v>19496728</v>
      </c>
      <c r="G6835">
        <v>19496813</v>
      </c>
      <c r="H6835">
        <v>19496728</v>
      </c>
      <c r="I6835">
        <v>19496813</v>
      </c>
    </row>
    <row r="6836" spans="1:9" x14ac:dyDescent="0.2">
      <c r="A6836" s="1" t="str">
        <f>"GATAD2B"</f>
        <v>GATAD2B</v>
      </c>
      <c r="B6836" t="s">
        <v>14</v>
      </c>
      <c r="C6836" t="s">
        <v>19</v>
      </c>
      <c r="D6836" t="s">
        <v>11</v>
      </c>
      <c r="E6836" t="s">
        <v>12</v>
      </c>
      <c r="F6836">
        <v>153895377</v>
      </c>
      <c r="G6836">
        <v>153895465</v>
      </c>
      <c r="H6836">
        <v>153895251</v>
      </c>
      <c r="I6836">
        <v>153895342</v>
      </c>
    </row>
    <row r="6837" spans="1:9" x14ac:dyDescent="0.2">
      <c r="A6837" s="1" t="str">
        <f>"GATC"</f>
        <v>GATC</v>
      </c>
      <c r="B6837" t="s">
        <v>14</v>
      </c>
      <c r="C6837" t="s">
        <v>16</v>
      </c>
      <c r="D6837" t="s">
        <v>17</v>
      </c>
      <c r="E6837" t="s">
        <v>12</v>
      </c>
      <c r="F6837">
        <v>120884222</v>
      </c>
      <c r="G6837">
        <v>120884286</v>
      </c>
      <c r="H6837">
        <v>120884222</v>
      </c>
      <c r="I6837">
        <v>120884286</v>
      </c>
    </row>
    <row r="6838" spans="1:9" x14ac:dyDescent="0.2">
      <c r="A6838" s="1" t="str">
        <f>"GATM"</f>
        <v>GATM</v>
      </c>
      <c r="B6838" t="s">
        <v>9</v>
      </c>
      <c r="C6838" t="s">
        <v>25</v>
      </c>
      <c r="D6838" t="s">
        <v>11</v>
      </c>
      <c r="E6838" t="s">
        <v>12</v>
      </c>
      <c r="F6838">
        <v>45670735</v>
      </c>
      <c r="G6838">
        <v>45670750</v>
      </c>
      <c r="H6838">
        <v>45670735</v>
      </c>
      <c r="I6838">
        <v>45670750</v>
      </c>
    </row>
    <row r="6839" spans="1:9" x14ac:dyDescent="0.2">
      <c r="A6839" s="1" t="str">
        <f>"GATM"</f>
        <v>GATM</v>
      </c>
      <c r="B6839" t="s">
        <v>13</v>
      </c>
      <c r="C6839" t="s">
        <v>25</v>
      </c>
      <c r="D6839" t="s">
        <v>11</v>
      </c>
      <c r="E6839" t="s">
        <v>12</v>
      </c>
      <c r="F6839">
        <v>45694380</v>
      </c>
      <c r="G6839">
        <v>45694430</v>
      </c>
      <c r="H6839">
        <v>45694380</v>
      </c>
      <c r="I6839">
        <v>45694430</v>
      </c>
    </row>
    <row r="6840" spans="1:9" x14ac:dyDescent="0.2">
      <c r="A6840" s="1" t="str">
        <f>"GATS"</f>
        <v>GATS</v>
      </c>
      <c r="B6840" t="s">
        <v>14</v>
      </c>
      <c r="C6840" t="s">
        <v>33</v>
      </c>
      <c r="D6840" t="s">
        <v>11</v>
      </c>
      <c r="E6840" t="s">
        <v>67</v>
      </c>
      <c r="F6840">
        <v>99869799</v>
      </c>
      <c r="G6840">
        <v>99869848</v>
      </c>
      <c r="H6840">
        <v>99869775</v>
      </c>
      <c r="I6840">
        <v>99869786</v>
      </c>
    </row>
    <row r="6841" spans="1:9" x14ac:dyDescent="0.2">
      <c r="A6841" s="1" t="str">
        <f>"GATSL2"</f>
        <v>GATSL2</v>
      </c>
      <c r="B6841" t="s">
        <v>14</v>
      </c>
      <c r="C6841" t="s">
        <v>33</v>
      </c>
      <c r="D6841" t="s">
        <v>11</v>
      </c>
      <c r="E6841" t="s">
        <v>12</v>
      </c>
      <c r="F6841">
        <v>74867620</v>
      </c>
      <c r="G6841">
        <v>74867634</v>
      </c>
      <c r="H6841">
        <v>74867620</v>
      </c>
      <c r="I6841">
        <v>74867634</v>
      </c>
    </row>
    <row r="6842" spans="1:9" x14ac:dyDescent="0.2">
      <c r="A6842" s="1" t="str">
        <f>"GATSL3"</f>
        <v>GATSL3</v>
      </c>
      <c r="B6842" t="s">
        <v>14</v>
      </c>
      <c r="C6842" t="s">
        <v>21</v>
      </c>
      <c r="D6842" t="s">
        <v>11</v>
      </c>
      <c r="E6842" t="s">
        <v>12</v>
      </c>
      <c r="F6842">
        <v>30685484</v>
      </c>
      <c r="G6842">
        <v>30685503</v>
      </c>
      <c r="H6842">
        <v>30685505</v>
      </c>
      <c r="I6842">
        <v>30685552</v>
      </c>
    </row>
    <row r="6843" spans="1:9" x14ac:dyDescent="0.2">
      <c r="A6843" s="1" t="str">
        <f>"GBA"</f>
        <v>GBA</v>
      </c>
      <c r="B6843" t="s">
        <v>9</v>
      </c>
      <c r="C6843" t="s">
        <v>19</v>
      </c>
      <c r="D6843" t="s">
        <v>11</v>
      </c>
      <c r="E6843" t="s">
        <v>12</v>
      </c>
      <c r="F6843">
        <v>155211022</v>
      </c>
      <c r="G6843">
        <v>155211062</v>
      </c>
      <c r="H6843">
        <v>155211022</v>
      </c>
      <c r="I6843">
        <v>155211062</v>
      </c>
    </row>
    <row r="6844" spans="1:9" x14ac:dyDescent="0.2">
      <c r="A6844" s="1" t="str">
        <f>"GBA"</f>
        <v>GBA</v>
      </c>
      <c r="B6844" t="s">
        <v>13</v>
      </c>
      <c r="C6844" t="s">
        <v>19</v>
      </c>
      <c r="D6844" t="s">
        <v>11</v>
      </c>
      <c r="E6844" t="s">
        <v>12</v>
      </c>
      <c r="F6844">
        <v>155214401</v>
      </c>
      <c r="G6844">
        <v>155214431</v>
      </c>
      <c r="H6844">
        <v>155214401</v>
      </c>
      <c r="I6844">
        <v>155214431</v>
      </c>
    </row>
    <row r="6845" spans="1:9" x14ac:dyDescent="0.2">
      <c r="A6845" s="1" t="str">
        <f>"GBA2"</f>
        <v>GBA2</v>
      </c>
      <c r="B6845" t="s">
        <v>14</v>
      </c>
      <c r="C6845" t="s">
        <v>24</v>
      </c>
      <c r="D6845" t="s">
        <v>11</v>
      </c>
      <c r="E6845" t="s">
        <v>12</v>
      </c>
      <c r="F6845">
        <v>35749162</v>
      </c>
      <c r="G6845">
        <v>35749242</v>
      </c>
      <c r="H6845">
        <v>35748950</v>
      </c>
      <c r="I6845">
        <v>35749027</v>
      </c>
    </row>
    <row r="6846" spans="1:9" x14ac:dyDescent="0.2">
      <c r="A6846" s="1" t="str">
        <f>"GBA3"</f>
        <v>GBA3</v>
      </c>
      <c r="B6846" t="s">
        <v>14</v>
      </c>
      <c r="C6846" t="s">
        <v>23</v>
      </c>
      <c r="D6846" t="s">
        <v>17</v>
      </c>
      <c r="E6846" t="s">
        <v>12</v>
      </c>
      <c r="F6846">
        <v>22694543</v>
      </c>
      <c r="G6846">
        <v>22694568</v>
      </c>
      <c r="H6846">
        <v>22694573</v>
      </c>
      <c r="I6846">
        <v>22694609</v>
      </c>
    </row>
    <row r="6847" spans="1:9" x14ac:dyDescent="0.2">
      <c r="A6847" s="1" t="str">
        <f>"GBAS"</f>
        <v>GBAS</v>
      </c>
      <c r="B6847" t="s">
        <v>14</v>
      </c>
      <c r="C6847" t="s">
        <v>33</v>
      </c>
      <c r="D6847" t="s">
        <v>17</v>
      </c>
      <c r="E6847" t="s">
        <v>12</v>
      </c>
      <c r="F6847">
        <v>56032270</v>
      </c>
      <c r="G6847">
        <v>56032301</v>
      </c>
      <c r="H6847">
        <v>56032652</v>
      </c>
      <c r="I6847">
        <v>56032669</v>
      </c>
    </row>
    <row r="6848" spans="1:9" x14ac:dyDescent="0.2">
      <c r="A6848" s="1" t="str">
        <f>"GBE1"</f>
        <v>GBE1</v>
      </c>
      <c r="B6848" t="s">
        <v>14</v>
      </c>
      <c r="C6848" t="s">
        <v>22</v>
      </c>
      <c r="D6848" t="s">
        <v>11</v>
      </c>
      <c r="E6848" t="s">
        <v>12</v>
      </c>
      <c r="F6848">
        <v>81810788</v>
      </c>
      <c r="G6848">
        <v>81810811</v>
      </c>
      <c r="H6848">
        <v>81810669</v>
      </c>
      <c r="I6848">
        <v>81810700</v>
      </c>
    </row>
    <row r="6849" spans="1:9" x14ac:dyDescent="0.2">
      <c r="A6849" s="1" t="str">
        <f>"GBF1"</f>
        <v>GBF1</v>
      </c>
      <c r="B6849" t="s">
        <v>14</v>
      </c>
      <c r="C6849" t="s">
        <v>15</v>
      </c>
      <c r="D6849" t="s">
        <v>17</v>
      </c>
      <c r="E6849" t="s">
        <v>12</v>
      </c>
      <c r="F6849">
        <v>104005272</v>
      </c>
      <c r="G6849">
        <v>104005302</v>
      </c>
      <c r="H6849">
        <v>104005272</v>
      </c>
      <c r="I6849">
        <v>104005302</v>
      </c>
    </row>
    <row r="6850" spans="1:9" x14ac:dyDescent="0.2">
      <c r="A6850" s="1" t="str">
        <f>"GBGT1"</f>
        <v>GBGT1</v>
      </c>
      <c r="B6850" t="s">
        <v>14</v>
      </c>
      <c r="C6850" t="s">
        <v>24</v>
      </c>
      <c r="D6850" t="s">
        <v>11</v>
      </c>
      <c r="E6850" t="s">
        <v>12</v>
      </c>
      <c r="F6850">
        <v>136039286</v>
      </c>
      <c r="G6850">
        <v>136039307</v>
      </c>
      <c r="H6850">
        <v>136039314</v>
      </c>
      <c r="I6850">
        <v>136039369</v>
      </c>
    </row>
    <row r="6851" spans="1:9" x14ac:dyDescent="0.2">
      <c r="A6851" s="1" t="str">
        <f>"GBP1"</f>
        <v>GBP1</v>
      </c>
      <c r="B6851" t="s">
        <v>14</v>
      </c>
      <c r="C6851" t="s">
        <v>19</v>
      </c>
      <c r="D6851" t="s">
        <v>11</v>
      </c>
      <c r="E6851" t="s">
        <v>12</v>
      </c>
      <c r="F6851">
        <v>89530883</v>
      </c>
      <c r="G6851">
        <v>89530906</v>
      </c>
      <c r="H6851">
        <v>89530986</v>
      </c>
      <c r="I6851">
        <v>89531019</v>
      </c>
    </row>
    <row r="6852" spans="1:9" x14ac:dyDescent="0.2">
      <c r="A6852" s="1" t="str">
        <f>"GBP2"</f>
        <v>GBP2</v>
      </c>
      <c r="B6852" t="s">
        <v>14</v>
      </c>
      <c r="C6852" t="s">
        <v>19</v>
      </c>
      <c r="D6852" t="s">
        <v>11</v>
      </c>
      <c r="E6852" t="s">
        <v>12</v>
      </c>
      <c r="F6852">
        <v>89591749</v>
      </c>
      <c r="G6852">
        <v>89591816</v>
      </c>
      <c r="H6852">
        <v>89591749</v>
      </c>
      <c r="I6852">
        <v>89591816</v>
      </c>
    </row>
    <row r="6853" spans="1:9" x14ac:dyDescent="0.2">
      <c r="A6853" s="1" t="str">
        <f>"GBP3"</f>
        <v>GBP3</v>
      </c>
      <c r="B6853" t="s">
        <v>14</v>
      </c>
      <c r="C6853" t="s">
        <v>19</v>
      </c>
      <c r="D6853" t="s">
        <v>11</v>
      </c>
      <c r="E6853" t="s">
        <v>12</v>
      </c>
      <c r="F6853">
        <v>89488510</v>
      </c>
      <c r="G6853">
        <v>89488560</v>
      </c>
      <c r="H6853">
        <v>89488464</v>
      </c>
      <c r="I6853">
        <v>89488501</v>
      </c>
    </row>
    <row r="6854" spans="1:9" x14ac:dyDescent="0.2">
      <c r="A6854" s="1" t="str">
        <f>"GBP4"</f>
        <v>GBP4</v>
      </c>
      <c r="B6854" t="s">
        <v>14</v>
      </c>
      <c r="C6854" t="s">
        <v>19</v>
      </c>
      <c r="D6854" t="s">
        <v>11</v>
      </c>
      <c r="E6854" t="s">
        <v>12</v>
      </c>
      <c r="F6854">
        <v>89664595</v>
      </c>
      <c r="G6854">
        <v>89664636</v>
      </c>
      <c r="H6854">
        <v>89664551</v>
      </c>
      <c r="I6854">
        <v>89664594</v>
      </c>
    </row>
    <row r="6855" spans="1:9" x14ac:dyDescent="0.2">
      <c r="A6855" s="1" t="str">
        <f>"GBP5"</f>
        <v>GBP5</v>
      </c>
      <c r="B6855" t="s">
        <v>14</v>
      </c>
      <c r="C6855" t="s">
        <v>19</v>
      </c>
      <c r="D6855" t="s">
        <v>11</v>
      </c>
      <c r="E6855" t="s">
        <v>12</v>
      </c>
      <c r="F6855">
        <v>89738528</v>
      </c>
      <c r="G6855">
        <v>89738557</v>
      </c>
      <c r="H6855">
        <v>89738560</v>
      </c>
      <c r="I6855">
        <v>89738575</v>
      </c>
    </row>
    <row r="6856" spans="1:9" x14ac:dyDescent="0.2">
      <c r="A6856" s="1" t="str">
        <f>"GBP6"</f>
        <v>GBP6</v>
      </c>
      <c r="B6856" t="s">
        <v>14</v>
      </c>
      <c r="C6856" t="s">
        <v>19</v>
      </c>
      <c r="D6856" t="s">
        <v>17</v>
      </c>
      <c r="E6856" t="s">
        <v>12</v>
      </c>
      <c r="F6856">
        <v>89829610</v>
      </c>
      <c r="G6856">
        <v>89829627</v>
      </c>
      <c r="H6856">
        <v>89829425</v>
      </c>
      <c r="I6856">
        <v>89829479</v>
      </c>
    </row>
    <row r="6857" spans="1:9" x14ac:dyDescent="0.2">
      <c r="A6857" s="1" t="str">
        <f>"GBP7"</f>
        <v>GBP7</v>
      </c>
      <c r="B6857" t="s">
        <v>14</v>
      </c>
      <c r="C6857" t="s">
        <v>19</v>
      </c>
      <c r="D6857" t="s">
        <v>11</v>
      </c>
      <c r="E6857" t="s">
        <v>12</v>
      </c>
      <c r="F6857">
        <v>89641680</v>
      </c>
      <c r="G6857">
        <v>89641701</v>
      </c>
      <c r="H6857">
        <v>89641680</v>
      </c>
      <c r="I6857">
        <v>89641701</v>
      </c>
    </row>
    <row r="6858" spans="1:9" x14ac:dyDescent="0.2">
      <c r="A6858" s="1" t="str">
        <f>"GBX1"</f>
        <v>GBX1</v>
      </c>
      <c r="B6858" t="s">
        <v>9</v>
      </c>
      <c r="C6858" t="s">
        <v>33</v>
      </c>
      <c r="D6858" t="s">
        <v>11</v>
      </c>
      <c r="E6858" t="s">
        <v>12</v>
      </c>
      <c r="F6858">
        <v>150864780</v>
      </c>
      <c r="G6858">
        <v>150864785</v>
      </c>
      <c r="H6858">
        <v>150864780</v>
      </c>
      <c r="I6858">
        <v>150864785</v>
      </c>
    </row>
    <row r="6859" spans="1:9" x14ac:dyDescent="0.2">
      <c r="A6859" s="1" t="str">
        <f>"GBX1"</f>
        <v>GBX1</v>
      </c>
      <c r="B6859" t="s">
        <v>13</v>
      </c>
      <c r="C6859" t="s">
        <v>33</v>
      </c>
      <c r="D6859" t="s">
        <v>11</v>
      </c>
      <c r="E6859" t="s">
        <v>12</v>
      </c>
      <c r="F6859">
        <v>150871807</v>
      </c>
      <c r="G6859">
        <v>150871839</v>
      </c>
      <c r="H6859">
        <v>150871807</v>
      </c>
      <c r="I6859">
        <v>150871839</v>
      </c>
    </row>
    <row r="6860" spans="1:9" x14ac:dyDescent="0.2">
      <c r="A6860" s="1" t="str">
        <f>"GBX2"</f>
        <v>GBX2</v>
      </c>
      <c r="B6860" t="s">
        <v>14</v>
      </c>
      <c r="C6860" t="s">
        <v>26</v>
      </c>
      <c r="D6860" t="s">
        <v>11</v>
      </c>
      <c r="E6860" t="s">
        <v>12</v>
      </c>
      <c r="F6860">
        <v>237077022</v>
      </c>
      <c r="G6860">
        <v>237077038</v>
      </c>
      <c r="H6860">
        <v>237076992</v>
      </c>
      <c r="I6860">
        <v>237077008</v>
      </c>
    </row>
    <row r="6861" spans="1:9" x14ac:dyDescent="0.2">
      <c r="A6861" s="1" t="str">
        <f>"GC"</f>
        <v>GC</v>
      </c>
      <c r="B6861" t="s">
        <v>14</v>
      </c>
      <c r="C6861" t="s">
        <v>23</v>
      </c>
      <c r="D6861" t="s">
        <v>11</v>
      </c>
      <c r="E6861" t="s">
        <v>12</v>
      </c>
      <c r="F6861">
        <v>72649786</v>
      </c>
      <c r="G6861">
        <v>72649802</v>
      </c>
      <c r="H6861">
        <v>72649786</v>
      </c>
      <c r="I6861">
        <v>72649802</v>
      </c>
    </row>
    <row r="6862" spans="1:9" x14ac:dyDescent="0.2">
      <c r="A6862" s="1" t="str">
        <f>"GCA"</f>
        <v>GCA</v>
      </c>
      <c r="B6862" t="s">
        <v>14</v>
      </c>
      <c r="C6862" t="s">
        <v>26</v>
      </c>
      <c r="D6862" t="s">
        <v>17</v>
      </c>
      <c r="E6862" t="s">
        <v>12</v>
      </c>
      <c r="F6862">
        <v>163200618</v>
      </c>
      <c r="G6862">
        <v>163200667</v>
      </c>
      <c r="H6862">
        <v>163200696</v>
      </c>
      <c r="I6862">
        <v>163200710</v>
      </c>
    </row>
    <row r="6863" spans="1:9" x14ac:dyDescent="0.2">
      <c r="A6863" s="1" t="str">
        <f>"GCAT"</f>
        <v>GCAT</v>
      </c>
      <c r="B6863" t="s">
        <v>14</v>
      </c>
      <c r="C6863" t="s">
        <v>21</v>
      </c>
      <c r="D6863" t="s">
        <v>17</v>
      </c>
      <c r="E6863" t="s">
        <v>12</v>
      </c>
      <c r="F6863">
        <v>38203898</v>
      </c>
      <c r="G6863">
        <v>38203981</v>
      </c>
      <c r="H6863">
        <v>38203876</v>
      </c>
      <c r="I6863">
        <v>38203888</v>
      </c>
    </row>
    <row r="6864" spans="1:9" x14ac:dyDescent="0.2">
      <c r="A6864" s="1" t="str">
        <f>"GCC1"</f>
        <v>GCC1</v>
      </c>
      <c r="B6864" t="s">
        <v>14</v>
      </c>
      <c r="C6864" t="s">
        <v>33</v>
      </c>
      <c r="D6864" t="s">
        <v>11</v>
      </c>
      <c r="E6864" t="s">
        <v>12</v>
      </c>
      <c r="F6864">
        <v>127225620</v>
      </c>
      <c r="G6864">
        <v>127225679</v>
      </c>
      <c r="H6864">
        <v>127224770</v>
      </c>
      <c r="I6864">
        <v>127224779</v>
      </c>
    </row>
    <row r="6865" spans="1:9" x14ac:dyDescent="0.2">
      <c r="A6865" s="1" t="str">
        <f>"GCC2"</f>
        <v>GCC2</v>
      </c>
      <c r="B6865" t="s">
        <v>14</v>
      </c>
      <c r="C6865" t="s">
        <v>26</v>
      </c>
      <c r="D6865" t="s">
        <v>17</v>
      </c>
      <c r="E6865" t="s">
        <v>12</v>
      </c>
      <c r="F6865">
        <v>109065634</v>
      </c>
      <c r="G6865">
        <v>109065692</v>
      </c>
      <c r="H6865">
        <v>109065696</v>
      </c>
      <c r="I6865">
        <v>109065711</v>
      </c>
    </row>
    <row r="6866" spans="1:9" x14ac:dyDescent="0.2">
      <c r="A6866" s="1" t="str">
        <f>"GCDH"</f>
        <v>GCDH</v>
      </c>
      <c r="B6866" t="s">
        <v>14</v>
      </c>
      <c r="C6866" t="s">
        <v>10</v>
      </c>
      <c r="D6866" t="s">
        <v>17</v>
      </c>
      <c r="E6866" t="s">
        <v>12</v>
      </c>
      <c r="F6866">
        <v>13001965</v>
      </c>
      <c r="G6866">
        <v>13002001</v>
      </c>
      <c r="H6866">
        <v>13001965</v>
      </c>
      <c r="I6866">
        <v>13002001</v>
      </c>
    </row>
    <row r="6867" spans="1:9" x14ac:dyDescent="0.2">
      <c r="A6867" s="1" t="str">
        <f>"GCFC2"</f>
        <v>GCFC2</v>
      </c>
      <c r="B6867" t="s">
        <v>14</v>
      </c>
      <c r="C6867" t="s">
        <v>26</v>
      </c>
      <c r="D6867" t="s">
        <v>11</v>
      </c>
      <c r="E6867" t="s">
        <v>12</v>
      </c>
      <c r="F6867">
        <v>75937994</v>
      </c>
      <c r="G6867">
        <v>75938054</v>
      </c>
      <c r="H6867">
        <v>75937794</v>
      </c>
      <c r="I6867">
        <v>75937867</v>
      </c>
    </row>
    <row r="6868" spans="1:9" x14ac:dyDescent="0.2">
      <c r="A6868" s="1" t="str">
        <f>"GCG"</f>
        <v>GCG</v>
      </c>
      <c r="B6868" t="s">
        <v>9</v>
      </c>
      <c r="C6868" t="s">
        <v>26</v>
      </c>
      <c r="D6868" t="s">
        <v>11</v>
      </c>
      <c r="E6868" t="s">
        <v>12</v>
      </c>
      <c r="F6868">
        <v>163008749</v>
      </c>
      <c r="G6868">
        <v>163008765</v>
      </c>
      <c r="H6868">
        <v>163008749</v>
      </c>
      <c r="I6868">
        <v>163008765</v>
      </c>
    </row>
    <row r="6869" spans="1:9" x14ac:dyDescent="0.2">
      <c r="A6869" s="1" t="str">
        <f>"GCG"</f>
        <v>GCG</v>
      </c>
      <c r="B6869" t="s">
        <v>13</v>
      </c>
      <c r="C6869" t="s">
        <v>26</v>
      </c>
      <c r="D6869" t="s">
        <v>11</v>
      </c>
      <c r="E6869" t="s">
        <v>12</v>
      </c>
      <c r="F6869">
        <v>163003953</v>
      </c>
      <c r="G6869">
        <v>163003967</v>
      </c>
      <c r="H6869">
        <v>163003953</v>
      </c>
      <c r="I6869">
        <v>163003967</v>
      </c>
    </row>
    <row r="6870" spans="1:9" x14ac:dyDescent="0.2">
      <c r="A6870" s="1" t="str">
        <f>"GCGR"</f>
        <v>GCGR</v>
      </c>
      <c r="B6870" t="s">
        <v>14</v>
      </c>
      <c r="C6870" t="s">
        <v>28</v>
      </c>
      <c r="D6870" t="s">
        <v>17</v>
      </c>
      <c r="E6870" t="s">
        <v>12</v>
      </c>
      <c r="F6870">
        <v>79761997</v>
      </c>
      <c r="G6870">
        <v>79762034</v>
      </c>
      <c r="H6870">
        <v>79762037</v>
      </c>
      <c r="I6870">
        <v>79762050</v>
      </c>
    </row>
    <row r="6871" spans="1:9" x14ac:dyDescent="0.2">
      <c r="A6871" s="1" t="str">
        <f>"GCH1"</f>
        <v>GCH1</v>
      </c>
      <c r="B6871" t="s">
        <v>14</v>
      </c>
      <c r="C6871" t="s">
        <v>41</v>
      </c>
      <c r="D6871" t="s">
        <v>11</v>
      </c>
      <c r="E6871" t="s">
        <v>12</v>
      </c>
      <c r="F6871">
        <v>55369533</v>
      </c>
      <c r="G6871">
        <v>55369551</v>
      </c>
      <c r="H6871">
        <v>55369997</v>
      </c>
      <c r="I6871">
        <v>55370016</v>
      </c>
    </row>
    <row r="6872" spans="1:9" x14ac:dyDescent="0.2">
      <c r="A6872" s="1" t="str">
        <f>"GCHFR"</f>
        <v>GCHFR</v>
      </c>
      <c r="B6872" t="s">
        <v>14</v>
      </c>
      <c r="C6872" t="s">
        <v>25</v>
      </c>
      <c r="D6872" t="s">
        <v>17</v>
      </c>
      <c r="E6872" t="s">
        <v>12</v>
      </c>
      <c r="F6872">
        <v>41056255</v>
      </c>
      <c r="G6872">
        <v>41056308</v>
      </c>
      <c r="H6872">
        <v>41056255</v>
      </c>
      <c r="I6872">
        <v>41056308</v>
      </c>
    </row>
    <row r="6873" spans="1:9" x14ac:dyDescent="0.2">
      <c r="A6873" s="1" t="str">
        <f>"GCK"</f>
        <v>GCK</v>
      </c>
      <c r="B6873" t="s">
        <v>14</v>
      </c>
      <c r="C6873" t="s">
        <v>33</v>
      </c>
      <c r="D6873" t="s">
        <v>11</v>
      </c>
      <c r="E6873" t="s">
        <v>12</v>
      </c>
      <c r="F6873">
        <v>44229027</v>
      </c>
      <c r="G6873">
        <v>44229055</v>
      </c>
      <c r="H6873">
        <v>44229027</v>
      </c>
      <c r="I6873">
        <v>44229055</v>
      </c>
    </row>
    <row r="6874" spans="1:9" x14ac:dyDescent="0.2">
      <c r="A6874" s="1" t="str">
        <f>"GCKR"</f>
        <v>GCKR</v>
      </c>
      <c r="B6874" t="s">
        <v>14</v>
      </c>
      <c r="C6874" t="s">
        <v>26</v>
      </c>
      <c r="D6874" t="s">
        <v>17</v>
      </c>
      <c r="E6874" t="s">
        <v>12</v>
      </c>
      <c r="F6874">
        <v>27719697</v>
      </c>
      <c r="G6874">
        <v>27719723</v>
      </c>
      <c r="H6874">
        <v>27719743</v>
      </c>
      <c r="I6874">
        <v>27719756</v>
      </c>
    </row>
    <row r="6875" spans="1:9" x14ac:dyDescent="0.2">
      <c r="A6875" s="1" t="str">
        <f>"GCLC"</f>
        <v>GCLC</v>
      </c>
      <c r="B6875" t="s">
        <v>14</v>
      </c>
      <c r="C6875" t="s">
        <v>32</v>
      </c>
      <c r="D6875" t="s">
        <v>11</v>
      </c>
      <c r="E6875" t="s">
        <v>12</v>
      </c>
      <c r="F6875">
        <v>53409890</v>
      </c>
      <c r="G6875">
        <v>53409906</v>
      </c>
      <c r="H6875">
        <v>53409806</v>
      </c>
      <c r="I6875">
        <v>53409826</v>
      </c>
    </row>
    <row r="6876" spans="1:9" x14ac:dyDescent="0.2">
      <c r="A6876" s="1" t="str">
        <f>"GCLM"</f>
        <v>GCLM</v>
      </c>
      <c r="B6876" t="s">
        <v>14</v>
      </c>
      <c r="C6876" t="s">
        <v>19</v>
      </c>
      <c r="D6876" t="s">
        <v>11</v>
      </c>
      <c r="E6876" t="s">
        <v>12</v>
      </c>
      <c r="F6876">
        <v>94374946</v>
      </c>
      <c r="G6876">
        <v>94374994</v>
      </c>
      <c r="H6876">
        <v>94375003</v>
      </c>
      <c r="I6876">
        <v>94375040</v>
      </c>
    </row>
    <row r="6877" spans="1:9" x14ac:dyDescent="0.2">
      <c r="A6877" s="1" t="str">
        <f>"GCM1"</f>
        <v>GCM1</v>
      </c>
      <c r="B6877" t="s">
        <v>14</v>
      </c>
      <c r="C6877" t="s">
        <v>32</v>
      </c>
      <c r="D6877" t="s">
        <v>11</v>
      </c>
      <c r="E6877" t="s">
        <v>12</v>
      </c>
      <c r="F6877">
        <v>53013620</v>
      </c>
      <c r="G6877">
        <v>53013644</v>
      </c>
      <c r="H6877">
        <v>53013605</v>
      </c>
      <c r="I6877">
        <v>53013616</v>
      </c>
    </row>
    <row r="6878" spans="1:9" x14ac:dyDescent="0.2">
      <c r="A6878" s="1" t="str">
        <f>"GCM2"</f>
        <v>GCM2</v>
      </c>
      <c r="B6878" t="s">
        <v>14</v>
      </c>
      <c r="C6878" t="s">
        <v>32</v>
      </c>
      <c r="D6878" t="s">
        <v>11</v>
      </c>
      <c r="E6878" t="s">
        <v>12</v>
      </c>
      <c r="F6878">
        <v>10882270</v>
      </c>
      <c r="G6878">
        <v>10882274</v>
      </c>
      <c r="H6878">
        <v>10882270</v>
      </c>
      <c r="I6878">
        <v>10882274</v>
      </c>
    </row>
    <row r="6879" spans="1:9" x14ac:dyDescent="0.2">
      <c r="A6879" s="1" t="str">
        <f>"GCN1L1"</f>
        <v>GCN1L1</v>
      </c>
      <c r="B6879" t="s">
        <v>14</v>
      </c>
      <c r="C6879" t="s">
        <v>16</v>
      </c>
      <c r="D6879" t="s">
        <v>11</v>
      </c>
      <c r="E6879" t="s">
        <v>12</v>
      </c>
      <c r="F6879">
        <v>120632505</v>
      </c>
      <c r="G6879">
        <v>120632533</v>
      </c>
      <c r="H6879">
        <v>120632505</v>
      </c>
      <c r="I6879">
        <v>120632533</v>
      </c>
    </row>
    <row r="6880" spans="1:9" x14ac:dyDescent="0.2">
      <c r="A6880" s="1" t="str">
        <f>"GCNT1"</f>
        <v>GCNT1</v>
      </c>
      <c r="B6880" t="s">
        <v>14</v>
      </c>
      <c r="C6880" t="s">
        <v>24</v>
      </c>
      <c r="D6880" t="s">
        <v>17</v>
      </c>
      <c r="E6880" t="s">
        <v>12</v>
      </c>
      <c r="F6880">
        <v>79074077</v>
      </c>
      <c r="G6880">
        <v>79074150</v>
      </c>
      <c r="H6880">
        <v>79074159</v>
      </c>
      <c r="I6880">
        <v>79074170</v>
      </c>
    </row>
    <row r="6881" spans="1:9" x14ac:dyDescent="0.2">
      <c r="A6881" s="1" t="str">
        <f>"GCNT2"</f>
        <v>GCNT2</v>
      </c>
      <c r="B6881" t="s">
        <v>9</v>
      </c>
      <c r="C6881" t="s">
        <v>32</v>
      </c>
      <c r="D6881" t="s">
        <v>17</v>
      </c>
      <c r="E6881" t="s">
        <v>12</v>
      </c>
      <c r="F6881">
        <v>10528731</v>
      </c>
      <c r="G6881">
        <v>10528766</v>
      </c>
      <c r="H6881">
        <v>10528731</v>
      </c>
      <c r="I6881">
        <v>10528766</v>
      </c>
    </row>
    <row r="6882" spans="1:9" x14ac:dyDescent="0.2">
      <c r="A6882" s="1" t="str">
        <f>"GCNT2"</f>
        <v>GCNT2</v>
      </c>
      <c r="B6882" t="s">
        <v>13</v>
      </c>
      <c r="C6882" t="s">
        <v>32</v>
      </c>
      <c r="D6882" t="s">
        <v>17</v>
      </c>
      <c r="E6882" t="s">
        <v>12</v>
      </c>
      <c r="F6882">
        <v>10521574</v>
      </c>
      <c r="G6882">
        <v>10521602</v>
      </c>
      <c r="H6882">
        <v>10521574</v>
      </c>
      <c r="I6882">
        <v>10521602</v>
      </c>
    </row>
    <row r="6883" spans="1:9" x14ac:dyDescent="0.2">
      <c r="A6883" s="1" t="str">
        <f>"GCNT3"</f>
        <v>GCNT3</v>
      </c>
      <c r="B6883" t="s">
        <v>14</v>
      </c>
      <c r="C6883" t="s">
        <v>25</v>
      </c>
      <c r="D6883" t="s">
        <v>17</v>
      </c>
      <c r="E6883" t="s">
        <v>12</v>
      </c>
      <c r="F6883">
        <v>59903975</v>
      </c>
      <c r="G6883">
        <v>59903992</v>
      </c>
      <c r="H6883">
        <v>59904077</v>
      </c>
      <c r="I6883">
        <v>59904099</v>
      </c>
    </row>
    <row r="6884" spans="1:9" x14ac:dyDescent="0.2">
      <c r="A6884" s="1" t="str">
        <f>"GCNT4"</f>
        <v>GCNT4</v>
      </c>
      <c r="B6884" t="s">
        <v>14</v>
      </c>
      <c r="C6884" t="s">
        <v>46</v>
      </c>
      <c r="D6884" t="s">
        <v>11</v>
      </c>
      <c r="E6884" t="s">
        <v>12</v>
      </c>
      <c r="F6884">
        <v>74325411</v>
      </c>
      <c r="G6884">
        <v>74325423</v>
      </c>
      <c r="H6884">
        <v>74325411</v>
      </c>
      <c r="I6884">
        <v>74325423</v>
      </c>
    </row>
    <row r="6885" spans="1:9" x14ac:dyDescent="0.2">
      <c r="A6885" s="1" t="str">
        <f>"GCNT6"</f>
        <v>GCNT6</v>
      </c>
      <c r="B6885" t="s">
        <v>519</v>
      </c>
      <c r="C6885" t="s">
        <v>32</v>
      </c>
      <c r="D6885" t="s">
        <v>17</v>
      </c>
      <c r="E6885" t="s">
        <v>20</v>
      </c>
      <c r="F6885">
        <v>10633992</v>
      </c>
      <c r="G6885">
        <v>10633992</v>
      </c>
      <c r="H6885">
        <v>10633992</v>
      </c>
      <c r="I6885">
        <v>10633992</v>
      </c>
    </row>
    <row r="6886" spans="1:9" x14ac:dyDescent="0.2">
      <c r="A6886" s="1" t="str">
        <f>"GCNT7"</f>
        <v>GCNT7</v>
      </c>
      <c r="B6886" t="s">
        <v>520</v>
      </c>
      <c r="C6886" t="s">
        <v>29</v>
      </c>
      <c r="D6886" t="s">
        <v>11</v>
      </c>
      <c r="E6886" t="s">
        <v>20</v>
      </c>
      <c r="F6886">
        <v>55100980</v>
      </c>
      <c r="G6886">
        <v>55100980</v>
      </c>
      <c r="H6886">
        <v>55100980</v>
      </c>
      <c r="I6886">
        <v>55100980</v>
      </c>
    </row>
    <row r="6887" spans="1:9" x14ac:dyDescent="0.2">
      <c r="A6887" s="1" t="str">
        <f>"GCOM1"</f>
        <v>GCOM1</v>
      </c>
      <c r="B6887" t="s">
        <v>14</v>
      </c>
      <c r="C6887" t="s">
        <v>25</v>
      </c>
      <c r="D6887" t="s">
        <v>17</v>
      </c>
      <c r="E6887" t="s">
        <v>12</v>
      </c>
      <c r="F6887">
        <v>57884086</v>
      </c>
      <c r="G6887">
        <v>57884116</v>
      </c>
      <c r="H6887">
        <v>57884117</v>
      </c>
      <c r="I6887">
        <v>57884160</v>
      </c>
    </row>
    <row r="6888" spans="1:9" x14ac:dyDescent="0.2">
      <c r="A6888" s="1" t="str">
        <f>"GCSAM"</f>
        <v>GCSAM</v>
      </c>
      <c r="B6888" t="s">
        <v>14</v>
      </c>
      <c r="C6888" t="s">
        <v>22</v>
      </c>
      <c r="D6888" t="s">
        <v>11</v>
      </c>
      <c r="E6888" t="s">
        <v>12</v>
      </c>
      <c r="F6888">
        <v>111852061</v>
      </c>
      <c r="G6888">
        <v>111852127</v>
      </c>
      <c r="H6888">
        <v>111852128</v>
      </c>
      <c r="I6888">
        <v>111852139</v>
      </c>
    </row>
    <row r="6889" spans="1:9" x14ac:dyDescent="0.2">
      <c r="A6889" s="1" t="str">
        <f>"GCSAML"</f>
        <v>GCSAML</v>
      </c>
      <c r="B6889" t="s">
        <v>14</v>
      </c>
      <c r="C6889" t="s">
        <v>19</v>
      </c>
      <c r="D6889" t="s">
        <v>17</v>
      </c>
      <c r="E6889" t="s">
        <v>12</v>
      </c>
      <c r="F6889">
        <v>247712383</v>
      </c>
      <c r="G6889">
        <v>247712457</v>
      </c>
      <c r="H6889">
        <v>247712355</v>
      </c>
      <c r="I6889">
        <v>247712373</v>
      </c>
    </row>
    <row r="6890" spans="1:9" x14ac:dyDescent="0.2">
      <c r="A6890" s="1" t="str">
        <f>"GCSH"</f>
        <v>GCSH</v>
      </c>
      <c r="B6890" t="s">
        <v>14</v>
      </c>
      <c r="C6890" t="s">
        <v>31</v>
      </c>
      <c r="D6890" t="s">
        <v>11</v>
      </c>
      <c r="E6890" t="s">
        <v>12</v>
      </c>
      <c r="F6890">
        <v>81129951</v>
      </c>
      <c r="G6890">
        <v>81130034</v>
      </c>
      <c r="H6890">
        <v>81129886</v>
      </c>
      <c r="I6890">
        <v>81129900</v>
      </c>
    </row>
    <row r="6891" spans="1:9" x14ac:dyDescent="0.2">
      <c r="A6891" s="1" t="str">
        <f>"GDA"</f>
        <v>GDA</v>
      </c>
      <c r="B6891" t="s">
        <v>14</v>
      </c>
      <c r="C6891" t="s">
        <v>24</v>
      </c>
      <c r="D6891" t="s">
        <v>17</v>
      </c>
      <c r="E6891" t="s">
        <v>12</v>
      </c>
      <c r="F6891">
        <v>74764340</v>
      </c>
      <c r="G6891">
        <v>74764392</v>
      </c>
      <c r="H6891">
        <v>74764317</v>
      </c>
      <c r="I6891">
        <v>74764339</v>
      </c>
    </row>
    <row r="6892" spans="1:9" x14ac:dyDescent="0.2">
      <c r="A6892" s="1" t="str">
        <f>"GDAP1"</f>
        <v>GDAP1</v>
      </c>
      <c r="B6892" t="s">
        <v>14</v>
      </c>
      <c r="C6892" t="s">
        <v>30</v>
      </c>
      <c r="D6892" t="s">
        <v>17</v>
      </c>
      <c r="E6892" t="s">
        <v>12</v>
      </c>
      <c r="F6892">
        <v>75262629</v>
      </c>
      <c r="G6892">
        <v>75262694</v>
      </c>
      <c r="H6892">
        <v>75262612</v>
      </c>
      <c r="I6892">
        <v>75262622</v>
      </c>
    </row>
    <row r="6893" spans="1:9" x14ac:dyDescent="0.2">
      <c r="A6893" s="1" t="str">
        <f>"GDAP1L1"</f>
        <v>GDAP1L1</v>
      </c>
      <c r="B6893" t="s">
        <v>14</v>
      </c>
      <c r="C6893" t="s">
        <v>29</v>
      </c>
      <c r="D6893" t="s">
        <v>17</v>
      </c>
      <c r="E6893" t="s">
        <v>12</v>
      </c>
      <c r="F6893">
        <v>42875935</v>
      </c>
      <c r="G6893">
        <v>42875966</v>
      </c>
      <c r="H6893">
        <v>42875893</v>
      </c>
      <c r="I6893">
        <v>42875921</v>
      </c>
    </row>
    <row r="6894" spans="1:9" x14ac:dyDescent="0.2">
      <c r="A6894" s="1" t="str">
        <f>"GDAP2"</f>
        <v>GDAP2</v>
      </c>
      <c r="B6894" t="s">
        <v>14</v>
      </c>
      <c r="C6894" t="s">
        <v>19</v>
      </c>
      <c r="D6894" t="s">
        <v>11</v>
      </c>
      <c r="E6894" t="s">
        <v>12</v>
      </c>
      <c r="F6894">
        <v>118472216</v>
      </c>
      <c r="G6894">
        <v>118472262</v>
      </c>
      <c r="H6894">
        <v>118472171</v>
      </c>
      <c r="I6894">
        <v>118472215</v>
      </c>
    </row>
    <row r="6895" spans="1:9" x14ac:dyDescent="0.2">
      <c r="A6895" s="1" t="str">
        <f>"GDE1"</f>
        <v>GDE1</v>
      </c>
      <c r="B6895" t="s">
        <v>14</v>
      </c>
      <c r="C6895" t="s">
        <v>31</v>
      </c>
      <c r="D6895" t="s">
        <v>11</v>
      </c>
      <c r="E6895" t="s">
        <v>12</v>
      </c>
      <c r="F6895">
        <v>19533404</v>
      </c>
      <c r="G6895">
        <v>19533450</v>
      </c>
      <c r="H6895">
        <v>19533340</v>
      </c>
      <c r="I6895">
        <v>19533368</v>
      </c>
    </row>
    <row r="6896" spans="1:9" x14ac:dyDescent="0.2">
      <c r="A6896" s="1" t="str">
        <f>"GDF1"</f>
        <v>GDF1</v>
      </c>
      <c r="B6896" t="s">
        <v>14</v>
      </c>
      <c r="C6896" t="s">
        <v>10</v>
      </c>
      <c r="D6896" t="s">
        <v>11</v>
      </c>
      <c r="E6896" t="s">
        <v>12</v>
      </c>
      <c r="F6896">
        <v>19006920</v>
      </c>
      <c r="G6896">
        <v>19006972</v>
      </c>
      <c r="H6896">
        <v>19006890</v>
      </c>
      <c r="I6896">
        <v>19006919</v>
      </c>
    </row>
    <row r="6897" spans="1:9" x14ac:dyDescent="0.2">
      <c r="A6897" s="1" t="str">
        <f>"GDF10"</f>
        <v>GDF10</v>
      </c>
      <c r="B6897" t="s">
        <v>14</v>
      </c>
      <c r="C6897" t="s">
        <v>15</v>
      </c>
      <c r="D6897" t="s">
        <v>11</v>
      </c>
      <c r="E6897" t="s">
        <v>12</v>
      </c>
      <c r="F6897">
        <v>48439100</v>
      </c>
      <c r="G6897">
        <v>48439189</v>
      </c>
      <c r="H6897">
        <v>48438974</v>
      </c>
      <c r="I6897">
        <v>48439023</v>
      </c>
    </row>
    <row r="6898" spans="1:9" x14ac:dyDescent="0.2">
      <c r="A6898" s="1" t="str">
        <f>"GDF11"</f>
        <v>GDF11</v>
      </c>
      <c r="B6898" t="s">
        <v>14</v>
      </c>
      <c r="C6898" t="s">
        <v>16</v>
      </c>
      <c r="D6898" t="s">
        <v>17</v>
      </c>
      <c r="E6898" t="s">
        <v>12</v>
      </c>
      <c r="F6898">
        <v>56136895</v>
      </c>
      <c r="G6898">
        <v>56136911</v>
      </c>
      <c r="H6898">
        <v>56137067</v>
      </c>
      <c r="I6898">
        <v>56137114</v>
      </c>
    </row>
    <row r="6899" spans="1:9" x14ac:dyDescent="0.2">
      <c r="A6899" s="1" t="str">
        <f>"GDF15"</f>
        <v>GDF15</v>
      </c>
      <c r="B6899" t="s">
        <v>14</v>
      </c>
      <c r="C6899" t="s">
        <v>10</v>
      </c>
      <c r="D6899" t="s">
        <v>17</v>
      </c>
      <c r="E6899" t="s">
        <v>12</v>
      </c>
      <c r="F6899">
        <v>18496957</v>
      </c>
      <c r="G6899">
        <v>18496977</v>
      </c>
      <c r="H6899">
        <v>18496957</v>
      </c>
      <c r="I6899">
        <v>18496977</v>
      </c>
    </row>
    <row r="6900" spans="1:9" x14ac:dyDescent="0.2">
      <c r="A6900" s="1" t="str">
        <f>"GDF2"</f>
        <v>GDF2</v>
      </c>
      <c r="B6900" t="s">
        <v>14</v>
      </c>
      <c r="C6900" t="s">
        <v>15</v>
      </c>
      <c r="D6900" t="s">
        <v>11</v>
      </c>
      <c r="E6900" t="s">
        <v>12</v>
      </c>
      <c r="F6900">
        <v>48416447</v>
      </c>
      <c r="G6900">
        <v>48416456</v>
      </c>
      <c r="H6900">
        <v>48416902</v>
      </c>
      <c r="I6900">
        <v>48416911</v>
      </c>
    </row>
    <row r="6901" spans="1:9" x14ac:dyDescent="0.2">
      <c r="A6901" s="1" t="str">
        <f>"GDF3"</f>
        <v>GDF3</v>
      </c>
      <c r="B6901" t="s">
        <v>14</v>
      </c>
      <c r="C6901" t="s">
        <v>16</v>
      </c>
      <c r="D6901" t="s">
        <v>11</v>
      </c>
      <c r="E6901" t="s">
        <v>12</v>
      </c>
      <c r="F6901">
        <v>7848364</v>
      </c>
      <c r="G6901">
        <v>7848378</v>
      </c>
      <c r="H6901">
        <v>7848349</v>
      </c>
      <c r="I6901">
        <v>7848359</v>
      </c>
    </row>
    <row r="6902" spans="1:9" x14ac:dyDescent="0.2">
      <c r="A6902" s="1" t="str">
        <f>"GDF5"</f>
        <v>GDF5</v>
      </c>
      <c r="B6902" t="s">
        <v>14</v>
      </c>
      <c r="C6902" t="s">
        <v>29</v>
      </c>
      <c r="D6902" t="s">
        <v>11</v>
      </c>
      <c r="E6902" t="s">
        <v>12</v>
      </c>
      <c r="F6902">
        <v>34025999</v>
      </c>
      <c r="G6902">
        <v>34026045</v>
      </c>
      <c r="H6902">
        <v>34025933</v>
      </c>
      <c r="I6902">
        <v>34025963</v>
      </c>
    </row>
    <row r="6903" spans="1:9" x14ac:dyDescent="0.2">
      <c r="A6903" s="1" t="str">
        <f>"GDF6"</f>
        <v>GDF6</v>
      </c>
      <c r="B6903" t="s">
        <v>9</v>
      </c>
      <c r="C6903" t="s">
        <v>30</v>
      </c>
      <c r="D6903" t="s">
        <v>11</v>
      </c>
      <c r="E6903" t="s">
        <v>12</v>
      </c>
      <c r="F6903">
        <v>97173020</v>
      </c>
      <c r="G6903">
        <v>97173041</v>
      </c>
      <c r="H6903">
        <v>97173020</v>
      </c>
      <c r="I6903">
        <v>97173041</v>
      </c>
    </row>
    <row r="6904" spans="1:9" x14ac:dyDescent="0.2">
      <c r="A6904" s="1" t="str">
        <f>"GDF6"</f>
        <v>GDF6</v>
      </c>
      <c r="B6904" t="s">
        <v>13</v>
      </c>
      <c r="C6904" t="s">
        <v>30</v>
      </c>
      <c r="D6904" t="s">
        <v>11</v>
      </c>
      <c r="E6904" t="s">
        <v>12</v>
      </c>
      <c r="F6904">
        <v>97157046</v>
      </c>
      <c r="G6904">
        <v>97157055</v>
      </c>
      <c r="H6904">
        <v>97157046</v>
      </c>
      <c r="I6904">
        <v>97157055</v>
      </c>
    </row>
    <row r="6905" spans="1:9" x14ac:dyDescent="0.2">
      <c r="A6905" s="1" t="str">
        <f>"GDF7"</f>
        <v>GDF7</v>
      </c>
      <c r="B6905" t="s">
        <v>14</v>
      </c>
      <c r="C6905" t="s">
        <v>26</v>
      </c>
      <c r="D6905" t="s">
        <v>17</v>
      </c>
      <c r="E6905" t="s">
        <v>12</v>
      </c>
      <c r="F6905">
        <v>20866893</v>
      </c>
      <c r="G6905">
        <v>20866933</v>
      </c>
      <c r="H6905">
        <v>20866938</v>
      </c>
      <c r="I6905">
        <v>20866951</v>
      </c>
    </row>
    <row r="6906" spans="1:9" x14ac:dyDescent="0.2">
      <c r="A6906" s="1" t="str">
        <f>"GDF9"</f>
        <v>GDF9</v>
      </c>
      <c r="B6906" t="s">
        <v>14</v>
      </c>
      <c r="C6906" t="s">
        <v>46</v>
      </c>
      <c r="D6906" t="s">
        <v>11</v>
      </c>
      <c r="E6906" t="s">
        <v>12</v>
      </c>
      <c r="F6906">
        <v>132202269</v>
      </c>
      <c r="G6906">
        <v>132202282</v>
      </c>
      <c r="H6906">
        <v>132202269</v>
      </c>
      <c r="I6906">
        <v>132202282</v>
      </c>
    </row>
    <row r="6907" spans="1:9" x14ac:dyDescent="0.2">
      <c r="A6907" s="1" t="str">
        <f>"GDI1"</f>
        <v>GDI1</v>
      </c>
      <c r="B6907" t="s">
        <v>14</v>
      </c>
      <c r="C6907" t="s">
        <v>37</v>
      </c>
      <c r="D6907" t="s">
        <v>17</v>
      </c>
      <c r="E6907" t="s">
        <v>12</v>
      </c>
      <c r="F6907">
        <v>153665493</v>
      </c>
      <c r="G6907">
        <v>153665517</v>
      </c>
      <c r="H6907">
        <v>153665522</v>
      </c>
      <c r="I6907">
        <v>153665545</v>
      </c>
    </row>
    <row r="6908" spans="1:9" x14ac:dyDescent="0.2">
      <c r="A6908" s="1" t="str">
        <f>"GDI2"</f>
        <v>GDI2</v>
      </c>
      <c r="B6908" t="s">
        <v>9</v>
      </c>
      <c r="C6908" t="s">
        <v>15</v>
      </c>
      <c r="D6908" t="s">
        <v>11</v>
      </c>
      <c r="E6908" t="s">
        <v>12</v>
      </c>
      <c r="F6908">
        <v>5855382</v>
      </c>
      <c r="G6908">
        <v>5855404</v>
      </c>
      <c r="H6908">
        <v>5855382</v>
      </c>
      <c r="I6908">
        <v>5855404</v>
      </c>
    </row>
    <row r="6909" spans="1:9" x14ac:dyDescent="0.2">
      <c r="A6909" s="1" t="str">
        <f>"GDI2"</f>
        <v>GDI2</v>
      </c>
      <c r="B6909" t="s">
        <v>13</v>
      </c>
      <c r="C6909" t="s">
        <v>15</v>
      </c>
      <c r="D6909" t="s">
        <v>11</v>
      </c>
      <c r="E6909" t="s">
        <v>12</v>
      </c>
      <c r="F6909">
        <v>5827903</v>
      </c>
      <c r="G6909">
        <v>5827928</v>
      </c>
      <c r="H6909">
        <v>5827903</v>
      </c>
      <c r="I6909">
        <v>5827928</v>
      </c>
    </row>
    <row r="6910" spans="1:9" x14ac:dyDescent="0.2">
      <c r="A6910" s="1" t="str">
        <f>"GDNF"</f>
        <v>GDNF</v>
      </c>
      <c r="B6910" t="s">
        <v>14</v>
      </c>
      <c r="C6910" t="s">
        <v>46</v>
      </c>
      <c r="D6910" t="s">
        <v>11</v>
      </c>
      <c r="E6910" t="s">
        <v>12</v>
      </c>
      <c r="F6910">
        <v>37840004</v>
      </c>
      <c r="G6910">
        <v>37840017</v>
      </c>
      <c r="H6910">
        <v>37840004</v>
      </c>
      <c r="I6910">
        <v>37840017</v>
      </c>
    </row>
    <row r="6911" spans="1:9" x14ac:dyDescent="0.2">
      <c r="A6911" s="1" t="str">
        <f>"GDNF-AS1"</f>
        <v>GDNF-AS1</v>
      </c>
      <c r="B6911" t="s">
        <v>521</v>
      </c>
      <c r="C6911" t="s">
        <v>46</v>
      </c>
      <c r="D6911" t="s">
        <v>17</v>
      </c>
      <c r="E6911" t="s">
        <v>20</v>
      </c>
      <c r="F6911">
        <v>37840539</v>
      </c>
      <c r="G6911">
        <v>37840539</v>
      </c>
      <c r="H6911">
        <v>37840539</v>
      </c>
      <c r="I6911">
        <v>37840539</v>
      </c>
    </row>
    <row r="6912" spans="1:9" x14ac:dyDescent="0.2">
      <c r="A6912" s="1" t="str">
        <f>"GDNF-AS1"</f>
        <v>GDNF-AS1</v>
      </c>
      <c r="B6912" t="s">
        <v>522</v>
      </c>
      <c r="C6912" t="s">
        <v>46</v>
      </c>
      <c r="D6912" t="s">
        <v>17</v>
      </c>
      <c r="E6912" t="s">
        <v>20</v>
      </c>
      <c r="F6912">
        <v>37873526</v>
      </c>
      <c r="G6912">
        <v>37873526</v>
      </c>
      <c r="H6912">
        <v>37873526</v>
      </c>
      <c r="I6912">
        <v>37873526</v>
      </c>
    </row>
    <row r="6913" spans="1:9" x14ac:dyDescent="0.2">
      <c r="A6913" s="1" t="str">
        <f>"GDNF-AS1"</f>
        <v>GDNF-AS1</v>
      </c>
      <c r="B6913" t="s">
        <v>523</v>
      </c>
      <c r="C6913" t="s">
        <v>46</v>
      </c>
      <c r="D6913" t="s">
        <v>17</v>
      </c>
      <c r="E6913" t="s">
        <v>20</v>
      </c>
      <c r="F6913">
        <v>37870008</v>
      </c>
      <c r="G6913">
        <v>37870008</v>
      </c>
      <c r="H6913">
        <v>37870008</v>
      </c>
      <c r="I6913">
        <v>37870008</v>
      </c>
    </row>
    <row r="6914" spans="1:9" x14ac:dyDescent="0.2">
      <c r="A6914" s="1" t="str">
        <f>"GDPD1"</f>
        <v>GDPD1</v>
      </c>
      <c r="B6914" t="s">
        <v>14</v>
      </c>
      <c r="C6914" t="s">
        <v>28</v>
      </c>
      <c r="D6914" t="s">
        <v>17</v>
      </c>
      <c r="E6914" t="s">
        <v>12</v>
      </c>
      <c r="F6914">
        <v>57297807</v>
      </c>
      <c r="G6914">
        <v>57297922</v>
      </c>
      <c r="H6914">
        <v>57297924</v>
      </c>
      <c r="I6914">
        <v>57297964</v>
      </c>
    </row>
    <row r="6915" spans="1:9" x14ac:dyDescent="0.2">
      <c r="A6915" s="1" t="str">
        <f>"GDPD2"</f>
        <v>GDPD2</v>
      </c>
      <c r="B6915" t="s">
        <v>14</v>
      </c>
      <c r="C6915" t="s">
        <v>37</v>
      </c>
      <c r="D6915" t="s">
        <v>17</v>
      </c>
      <c r="E6915" t="s">
        <v>12</v>
      </c>
      <c r="F6915">
        <v>69643154</v>
      </c>
      <c r="G6915">
        <v>69643183</v>
      </c>
      <c r="H6915">
        <v>69643047</v>
      </c>
      <c r="I6915">
        <v>69643060</v>
      </c>
    </row>
    <row r="6916" spans="1:9" x14ac:dyDescent="0.2">
      <c r="A6916" s="1" t="str">
        <f>"GDPD3"</f>
        <v>GDPD3</v>
      </c>
      <c r="B6916" t="s">
        <v>14</v>
      </c>
      <c r="C6916" t="s">
        <v>31</v>
      </c>
      <c r="D6916" t="s">
        <v>11</v>
      </c>
      <c r="E6916" t="s">
        <v>12</v>
      </c>
      <c r="F6916">
        <v>30124849</v>
      </c>
      <c r="G6916">
        <v>30124867</v>
      </c>
      <c r="H6916">
        <v>30124849</v>
      </c>
      <c r="I6916">
        <v>30124867</v>
      </c>
    </row>
    <row r="6917" spans="1:9" x14ac:dyDescent="0.2">
      <c r="A6917" s="1" t="str">
        <f>"GDPD4"</f>
        <v>GDPD4</v>
      </c>
      <c r="B6917" t="s">
        <v>14</v>
      </c>
      <c r="C6917" t="s">
        <v>27</v>
      </c>
      <c r="D6917" t="s">
        <v>11</v>
      </c>
      <c r="E6917" t="s">
        <v>12</v>
      </c>
      <c r="F6917">
        <v>77012725</v>
      </c>
      <c r="G6917">
        <v>77012740</v>
      </c>
      <c r="H6917">
        <v>77012745</v>
      </c>
      <c r="I6917">
        <v>77012751</v>
      </c>
    </row>
    <row r="6918" spans="1:9" x14ac:dyDescent="0.2">
      <c r="A6918" s="1" t="str">
        <f>"GDPD5"</f>
        <v>GDPD5</v>
      </c>
      <c r="B6918" t="s">
        <v>14</v>
      </c>
      <c r="C6918" t="s">
        <v>27</v>
      </c>
      <c r="D6918" t="s">
        <v>11</v>
      </c>
      <c r="E6918" t="s">
        <v>12</v>
      </c>
      <c r="F6918">
        <v>75236902</v>
      </c>
      <c r="G6918">
        <v>75236968</v>
      </c>
      <c r="H6918">
        <v>75236970</v>
      </c>
      <c r="I6918">
        <v>75237005</v>
      </c>
    </row>
    <row r="6919" spans="1:9" x14ac:dyDescent="0.2">
      <c r="A6919" s="1" t="str">
        <f>"GDPGP1"</f>
        <v>GDPGP1</v>
      </c>
      <c r="B6919" t="s">
        <v>14</v>
      </c>
      <c r="C6919" t="s">
        <v>25</v>
      </c>
      <c r="D6919" t="s">
        <v>17</v>
      </c>
      <c r="E6919" t="s">
        <v>12</v>
      </c>
      <c r="F6919">
        <v>90777424</v>
      </c>
      <c r="G6919">
        <v>90777529</v>
      </c>
      <c r="H6919">
        <v>90777159</v>
      </c>
      <c r="I6919">
        <v>90777180</v>
      </c>
    </row>
    <row r="6920" spans="1:9" x14ac:dyDescent="0.2">
      <c r="A6920" s="1" t="str">
        <f>"GEM"</f>
        <v>GEM</v>
      </c>
      <c r="B6920" t="s">
        <v>9</v>
      </c>
      <c r="C6920" t="s">
        <v>30</v>
      </c>
      <c r="D6920" t="s">
        <v>11</v>
      </c>
      <c r="E6920" t="s">
        <v>12</v>
      </c>
      <c r="F6920">
        <v>95274536</v>
      </c>
      <c r="G6920">
        <v>95274555</v>
      </c>
      <c r="H6920">
        <v>95274536</v>
      </c>
      <c r="I6920">
        <v>95274555</v>
      </c>
    </row>
    <row r="6921" spans="1:9" x14ac:dyDescent="0.2">
      <c r="A6921" s="1" t="str">
        <f>"GEM"</f>
        <v>GEM</v>
      </c>
      <c r="B6921" t="s">
        <v>13</v>
      </c>
      <c r="C6921" t="s">
        <v>30</v>
      </c>
      <c r="D6921" t="s">
        <v>11</v>
      </c>
      <c r="E6921" t="s">
        <v>12</v>
      </c>
      <c r="F6921">
        <v>95273168</v>
      </c>
      <c r="G6921">
        <v>95273192</v>
      </c>
      <c r="H6921">
        <v>95273168</v>
      </c>
      <c r="I6921">
        <v>95273192</v>
      </c>
    </row>
    <row r="6922" spans="1:9" x14ac:dyDescent="0.2">
      <c r="A6922" s="1" t="str">
        <f>"GEMIN2"</f>
        <v>GEMIN2</v>
      </c>
      <c r="B6922" t="s">
        <v>14</v>
      </c>
      <c r="C6922" t="s">
        <v>41</v>
      </c>
      <c r="D6922" t="s">
        <v>17</v>
      </c>
      <c r="E6922" t="s">
        <v>12</v>
      </c>
      <c r="F6922">
        <v>39583493</v>
      </c>
      <c r="G6922">
        <v>39583542</v>
      </c>
      <c r="H6922">
        <v>39583471</v>
      </c>
      <c r="I6922">
        <v>39583479</v>
      </c>
    </row>
    <row r="6923" spans="1:9" x14ac:dyDescent="0.2">
      <c r="A6923" s="1" t="str">
        <f>"GEMIN4"</f>
        <v>GEMIN4</v>
      </c>
      <c r="B6923" t="s">
        <v>14</v>
      </c>
      <c r="C6923" t="s">
        <v>28</v>
      </c>
      <c r="D6923" t="s">
        <v>11</v>
      </c>
      <c r="E6923" t="s">
        <v>12</v>
      </c>
      <c r="F6923">
        <v>655489</v>
      </c>
      <c r="G6923">
        <v>655535</v>
      </c>
      <c r="H6923">
        <v>655457</v>
      </c>
      <c r="I6923">
        <v>655488</v>
      </c>
    </row>
    <row r="6924" spans="1:9" x14ac:dyDescent="0.2">
      <c r="A6924" s="1" t="str">
        <f>"GEMIN5"</f>
        <v>GEMIN5</v>
      </c>
      <c r="B6924" t="s">
        <v>14</v>
      </c>
      <c r="C6924" t="s">
        <v>46</v>
      </c>
      <c r="D6924" t="s">
        <v>11</v>
      </c>
      <c r="E6924" t="s">
        <v>12</v>
      </c>
      <c r="F6924">
        <v>154317740</v>
      </c>
      <c r="G6924">
        <v>154317787</v>
      </c>
      <c r="H6924">
        <v>154317712</v>
      </c>
      <c r="I6924">
        <v>154317733</v>
      </c>
    </row>
    <row r="6925" spans="1:9" x14ac:dyDescent="0.2">
      <c r="A6925" s="1" t="str">
        <f>"GEMIN6"</f>
        <v>GEMIN6</v>
      </c>
      <c r="B6925" t="s">
        <v>14</v>
      </c>
      <c r="C6925" t="s">
        <v>26</v>
      </c>
      <c r="D6925" t="s">
        <v>17</v>
      </c>
      <c r="E6925" t="s">
        <v>12</v>
      </c>
      <c r="F6925">
        <v>39005336</v>
      </c>
      <c r="G6925">
        <v>39005379</v>
      </c>
      <c r="H6925">
        <v>39005325</v>
      </c>
      <c r="I6925">
        <v>39005334</v>
      </c>
    </row>
    <row r="6926" spans="1:9" x14ac:dyDescent="0.2">
      <c r="A6926" s="1" t="str">
        <f>"GEMIN7"</f>
        <v>GEMIN7</v>
      </c>
      <c r="B6926" t="s">
        <v>14</v>
      </c>
      <c r="C6926" t="s">
        <v>10</v>
      </c>
      <c r="D6926" t="s">
        <v>17</v>
      </c>
      <c r="E6926" t="s">
        <v>12</v>
      </c>
      <c r="F6926">
        <v>45582497</v>
      </c>
      <c r="G6926">
        <v>45582551</v>
      </c>
      <c r="H6926">
        <v>45582563</v>
      </c>
      <c r="I6926">
        <v>45582581</v>
      </c>
    </row>
    <row r="6927" spans="1:9" x14ac:dyDescent="0.2">
      <c r="A6927" s="1" t="str">
        <f>"GEMIN8"</f>
        <v>GEMIN8</v>
      </c>
      <c r="B6927" t="s">
        <v>14</v>
      </c>
      <c r="C6927" t="s">
        <v>37</v>
      </c>
      <c r="D6927" t="s">
        <v>11</v>
      </c>
      <c r="E6927" t="s">
        <v>12</v>
      </c>
      <c r="F6927">
        <v>14047996</v>
      </c>
      <c r="G6927">
        <v>14048042</v>
      </c>
      <c r="H6927">
        <v>14047939</v>
      </c>
      <c r="I6927">
        <v>14047979</v>
      </c>
    </row>
    <row r="6928" spans="1:9" x14ac:dyDescent="0.2">
      <c r="A6928" s="1" t="str">
        <f>"GEN1"</f>
        <v>GEN1</v>
      </c>
      <c r="B6928" t="s">
        <v>14</v>
      </c>
      <c r="C6928" t="s">
        <v>26</v>
      </c>
      <c r="D6928" t="s">
        <v>17</v>
      </c>
      <c r="E6928" t="s">
        <v>12</v>
      </c>
      <c r="F6928">
        <v>17935383</v>
      </c>
      <c r="G6928">
        <v>17935439</v>
      </c>
      <c r="H6928">
        <v>17935119</v>
      </c>
      <c r="I6928">
        <v>17935146</v>
      </c>
    </row>
    <row r="6929" spans="1:9" x14ac:dyDescent="0.2">
      <c r="A6929" s="1" t="str">
        <f>"GET4"</f>
        <v>GET4</v>
      </c>
      <c r="B6929" t="s">
        <v>14</v>
      </c>
      <c r="C6929" t="s">
        <v>33</v>
      </c>
      <c r="D6929" t="s">
        <v>17</v>
      </c>
      <c r="E6929" t="s">
        <v>12</v>
      </c>
      <c r="F6929">
        <v>916210</v>
      </c>
      <c r="G6929">
        <v>916272</v>
      </c>
      <c r="H6929">
        <v>916183</v>
      </c>
      <c r="I6929">
        <v>916204</v>
      </c>
    </row>
    <row r="6930" spans="1:9" x14ac:dyDescent="0.2">
      <c r="A6930" s="1" t="str">
        <f>"GFAP"</f>
        <v>GFAP</v>
      </c>
      <c r="B6930" t="s">
        <v>9</v>
      </c>
      <c r="C6930" t="s">
        <v>28</v>
      </c>
      <c r="D6930" t="s">
        <v>11</v>
      </c>
      <c r="E6930" t="s">
        <v>12</v>
      </c>
      <c r="F6930">
        <v>42992860</v>
      </c>
      <c r="G6930">
        <v>42992875</v>
      </c>
      <c r="H6930">
        <v>42992860</v>
      </c>
      <c r="I6930">
        <v>42992875</v>
      </c>
    </row>
    <row r="6931" spans="1:9" x14ac:dyDescent="0.2">
      <c r="A6931" s="1" t="str">
        <f>"GFAP"</f>
        <v>GFAP</v>
      </c>
      <c r="B6931" t="s">
        <v>13</v>
      </c>
      <c r="C6931" t="s">
        <v>28</v>
      </c>
      <c r="D6931" t="s">
        <v>11</v>
      </c>
      <c r="E6931" t="s">
        <v>12</v>
      </c>
      <c r="F6931">
        <v>42984601</v>
      </c>
      <c r="G6931">
        <v>42984636</v>
      </c>
      <c r="H6931">
        <v>42984601</v>
      </c>
      <c r="I6931">
        <v>42984636</v>
      </c>
    </row>
    <row r="6932" spans="1:9" x14ac:dyDescent="0.2">
      <c r="A6932" s="1" t="str">
        <f>"GFER"</f>
        <v>GFER</v>
      </c>
      <c r="B6932" t="s">
        <v>14</v>
      </c>
      <c r="C6932" t="s">
        <v>31</v>
      </c>
      <c r="D6932" t="s">
        <v>17</v>
      </c>
      <c r="E6932" t="s">
        <v>12</v>
      </c>
      <c r="F6932">
        <v>2034183</v>
      </c>
      <c r="G6932">
        <v>2034223</v>
      </c>
      <c r="H6932">
        <v>2034134</v>
      </c>
      <c r="I6932">
        <v>2034145</v>
      </c>
    </row>
    <row r="6933" spans="1:9" x14ac:dyDescent="0.2">
      <c r="A6933" s="1" t="str">
        <f>"GFI1"</f>
        <v>GFI1</v>
      </c>
      <c r="B6933" t="s">
        <v>9</v>
      </c>
      <c r="C6933" t="s">
        <v>19</v>
      </c>
      <c r="D6933" t="s">
        <v>11</v>
      </c>
      <c r="E6933" t="s">
        <v>12</v>
      </c>
      <c r="F6933">
        <v>92951607</v>
      </c>
      <c r="G6933">
        <v>92951661</v>
      </c>
      <c r="H6933">
        <v>92951607</v>
      </c>
      <c r="I6933">
        <v>92951661</v>
      </c>
    </row>
    <row r="6934" spans="1:9" x14ac:dyDescent="0.2">
      <c r="A6934" s="1" t="str">
        <f>"GFI1"</f>
        <v>GFI1</v>
      </c>
      <c r="B6934" t="s">
        <v>13</v>
      </c>
      <c r="C6934" t="s">
        <v>19</v>
      </c>
      <c r="D6934" t="s">
        <v>11</v>
      </c>
      <c r="E6934" t="s">
        <v>12</v>
      </c>
      <c r="F6934">
        <v>92949331</v>
      </c>
      <c r="G6934">
        <v>92949377</v>
      </c>
      <c r="H6934">
        <v>92949331</v>
      </c>
      <c r="I6934">
        <v>92949377</v>
      </c>
    </row>
    <row r="6935" spans="1:9" x14ac:dyDescent="0.2">
      <c r="A6935" s="1" t="str">
        <f>"GFI1B"</f>
        <v>GFI1B</v>
      </c>
      <c r="B6935" t="s">
        <v>14</v>
      </c>
      <c r="C6935" t="s">
        <v>24</v>
      </c>
      <c r="D6935" t="s">
        <v>17</v>
      </c>
      <c r="E6935" t="s">
        <v>12</v>
      </c>
      <c r="F6935">
        <v>135854091</v>
      </c>
      <c r="G6935">
        <v>135854159</v>
      </c>
      <c r="H6935">
        <v>135854074</v>
      </c>
      <c r="I6935">
        <v>135854089</v>
      </c>
    </row>
    <row r="6936" spans="1:9" x14ac:dyDescent="0.2">
      <c r="A6936" s="1" t="str">
        <f>"GFM1"</f>
        <v>GFM1</v>
      </c>
      <c r="B6936" t="s">
        <v>14</v>
      </c>
      <c r="C6936" t="s">
        <v>22</v>
      </c>
      <c r="D6936" t="s">
        <v>17</v>
      </c>
      <c r="E6936" t="s">
        <v>12</v>
      </c>
      <c r="F6936">
        <v>158362299</v>
      </c>
      <c r="G6936">
        <v>158362422</v>
      </c>
      <c r="H6936">
        <v>158362424</v>
      </c>
      <c r="I6936">
        <v>158362427</v>
      </c>
    </row>
    <row r="6937" spans="1:9" x14ac:dyDescent="0.2">
      <c r="A6937" s="1" t="str">
        <f>"GFM2"</f>
        <v>GFM2</v>
      </c>
      <c r="B6937" t="s">
        <v>14</v>
      </c>
      <c r="C6937" t="s">
        <v>46</v>
      </c>
      <c r="D6937" t="s">
        <v>11</v>
      </c>
      <c r="E6937" t="s">
        <v>12</v>
      </c>
      <c r="F6937">
        <v>74062931</v>
      </c>
      <c r="G6937">
        <v>74062980</v>
      </c>
      <c r="H6937">
        <v>74062867</v>
      </c>
      <c r="I6937">
        <v>74062912</v>
      </c>
    </row>
    <row r="6938" spans="1:9" x14ac:dyDescent="0.2">
      <c r="A6938" s="1" t="str">
        <f>"GFOD1"</f>
        <v>GFOD1</v>
      </c>
      <c r="B6938" t="s">
        <v>14</v>
      </c>
      <c r="C6938" t="s">
        <v>32</v>
      </c>
      <c r="D6938" t="s">
        <v>11</v>
      </c>
      <c r="E6938" t="s">
        <v>12</v>
      </c>
      <c r="F6938">
        <v>13487825</v>
      </c>
      <c r="G6938">
        <v>13487878</v>
      </c>
      <c r="H6938">
        <v>13487784</v>
      </c>
      <c r="I6938">
        <v>13487815</v>
      </c>
    </row>
    <row r="6939" spans="1:9" x14ac:dyDescent="0.2">
      <c r="A6939" s="1" t="str">
        <f>"GFOD2"</f>
        <v>GFOD2</v>
      </c>
      <c r="B6939" t="s">
        <v>14</v>
      </c>
      <c r="C6939" t="s">
        <v>31</v>
      </c>
      <c r="D6939" t="s">
        <v>11</v>
      </c>
      <c r="E6939" t="s">
        <v>12</v>
      </c>
      <c r="F6939">
        <v>67753206</v>
      </c>
      <c r="G6939">
        <v>67753268</v>
      </c>
      <c r="H6939">
        <v>67753206</v>
      </c>
      <c r="I6939">
        <v>67753268</v>
      </c>
    </row>
    <row r="6940" spans="1:9" x14ac:dyDescent="0.2">
      <c r="A6940" s="1" t="str">
        <f>"GFPT1"</f>
        <v>GFPT1</v>
      </c>
      <c r="B6940" t="s">
        <v>14</v>
      </c>
      <c r="C6940" t="s">
        <v>26</v>
      </c>
      <c r="D6940" t="s">
        <v>11</v>
      </c>
      <c r="E6940" t="s">
        <v>12</v>
      </c>
      <c r="F6940">
        <v>69614328</v>
      </c>
      <c r="G6940">
        <v>69614368</v>
      </c>
      <c r="H6940">
        <v>69614373</v>
      </c>
      <c r="I6940">
        <v>69614397</v>
      </c>
    </row>
    <row r="6941" spans="1:9" x14ac:dyDescent="0.2">
      <c r="A6941" s="1" t="str">
        <f>"GFPT2"</f>
        <v>GFPT2</v>
      </c>
      <c r="B6941" t="s">
        <v>9</v>
      </c>
      <c r="C6941" t="s">
        <v>46</v>
      </c>
      <c r="D6941" t="s">
        <v>11</v>
      </c>
      <c r="E6941" t="s">
        <v>12</v>
      </c>
      <c r="F6941">
        <v>179780312</v>
      </c>
      <c r="G6941">
        <v>179780343</v>
      </c>
      <c r="H6941">
        <v>179780312</v>
      </c>
      <c r="I6941">
        <v>179780343</v>
      </c>
    </row>
    <row r="6942" spans="1:9" x14ac:dyDescent="0.2">
      <c r="A6942" s="1" t="str">
        <f>"GFPT2"</f>
        <v>GFPT2</v>
      </c>
      <c r="B6942" t="s">
        <v>13</v>
      </c>
      <c r="C6942" t="s">
        <v>46</v>
      </c>
      <c r="D6942" t="s">
        <v>11</v>
      </c>
      <c r="E6942" t="s">
        <v>12</v>
      </c>
      <c r="F6942">
        <v>179757790</v>
      </c>
      <c r="G6942">
        <v>179757847</v>
      </c>
      <c r="H6942">
        <v>179757790</v>
      </c>
      <c r="I6942">
        <v>179757847</v>
      </c>
    </row>
    <row r="6943" spans="1:9" x14ac:dyDescent="0.2">
      <c r="A6943" s="1" t="str">
        <f>"GFRA1"</f>
        <v>GFRA1</v>
      </c>
      <c r="B6943" t="s">
        <v>14</v>
      </c>
      <c r="C6943" t="s">
        <v>15</v>
      </c>
      <c r="D6943" t="s">
        <v>11</v>
      </c>
      <c r="E6943" t="s">
        <v>12</v>
      </c>
      <c r="F6943">
        <v>118031730</v>
      </c>
      <c r="G6943">
        <v>118031758</v>
      </c>
      <c r="H6943">
        <v>118032133</v>
      </c>
      <c r="I6943">
        <v>118032181</v>
      </c>
    </row>
    <row r="6944" spans="1:9" x14ac:dyDescent="0.2">
      <c r="A6944" s="1" t="str">
        <f>"GFRA2"</f>
        <v>GFRA2</v>
      </c>
      <c r="B6944" t="s">
        <v>14</v>
      </c>
      <c r="C6944" t="s">
        <v>30</v>
      </c>
      <c r="D6944" t="s">
        <v>11</v>
      </c>
      <c r="E6944" t="s">
        <v>12</v>
      </c>
      <c r="F6944">
        <v>21646311</v>
      </c>
      <c r="G6944">
        <v>21646351</v>
      </c>
      <c r="H6944">
        <v>21646364</v>
      </c>
      <c r="I6944">
        <v>21646402</v>
      </c>
    </row>
    <row r="6945" spans="1:9" x14ac:dyDescent="0.2">
      <c r="A6945" s="1" t="str">
        <f>"GFRA3"</f>
        <v>GFRA3</v>
      </c>
      <c r="B6945" t="s">
        <v>14</v>
      </c>
      <c r="C6945" t="s">
        <v>46</v>
      </c>
      <c r="D6945" t="s">
        <v>11</v>
      </c>
      <c r="E6945" t="s">
        <v>12</v>
      </c>
      <c r="F6945">
        <v>137610300</v>
      </c>
      <c r="G6945">
        <v>137610332</v>
      </c>
      <c r="H6945">
        <v>137610117</v>
      </c>
      <c r="I6945">
        <v>137610157</v>
      </c>
    </row>
    <row r="6946" spans="1:9" x14ac:dyDescent="0.2">
      <c r="A6946" s="1" t="str">
        <f>"GFRA4"</f>
        <v>GFRA4</v>
      </c>
      <c r="B6946" t="s">
        <v>524</v>
      </c>
      <c r="C6946" t="s">
        <v>29</v>
      </c>
      <c r="D6946" t="s">
        <v>11</v>
      </c>
      <c r="E6946" t="s">
        <v>20</v>
      </c>
      <c r="F6946">
        <v>3644045</v>
      </c>
      <c r="G6946">
        <v>3644045</v>
      </c>
      <c r="H6946">
        <v>3644045</v>
      </c>
      <c r="I6946">
        <v>3644045</v>
      </c>
    </row>
    <row r="6947" spans="1:9" x14ac:dyDescent="0.2">
      <c r="A6947" s="1" t="str">
        <f>"GFRAL"</f>
        <v>GFRAL</v>
      </c>
      <c r="B6947" t="s">
        <v>14</v>
      </c>
      <c r="C6947" t="s">
        <v>32</v>
      </c>
      <c r="D6947" t="s">
        <v>17</v>
      </c>
      <c r="E6947" t="s">
        <v>12</v>
      </c>
      <c r="F6947">
        <v>55192251</v>
      </c>
      <c r="G6947">
        <v>55192282</v>
      </c>
      <c r="H6947">
        <v>55192251</v>
      </c>
      <c r="I6947">
        <v>55192282</v>
      </c>
    </row>
    <row r="6948" spans="1:9" x14ac:dyDescent="0.2">
      <c r="A6948" s="1" t="str">
        <f>"GGA1"</f>
        <v>GGA1</v>
      </c>
      <c r="B6948" t="s">
        <v>14</v>
      </c>
      <c r="C6948" t="s">
        <v>21</v>
      </c>
      <c r="D6948" t="s">
        <v>17</v>
      </c>
      <c r="E6948" t="s">
        <v>12</v>
      </c>
      <c r="F6948">
        <v>38004832</v>
      </c>
      <c r="G6948">
        <v>38004891</v>
      </c>
      <c r="H6948">
        <v>38005033</v>
      </c>
      <c r="I6948">
        <v>38005064</v>
      </c>
    </row>
    <row r="6949" spans="1:9" x14ac:dyDescent="0.2">
      <c r="A6949" s="1" t="str">
        <f>"GGA2"</f>
        <v>GGA2</v>
      </c>
      <c r="B6949" t="s">
        <v>14</v>
      </c>
      <c r="C6949" t="s">
        <v>31</v>
      </c>
      <c r="D6949" t="s">
        <v>11</v>
      </c>
      <c r="E6949" t="s">
        <v>12</v>
      </c>
      <c r="F6949">
        <v>23521762</v>
      </c>
      <c r="G6949">
        <v>23521826</v>
      </c>
      <c r="H6949">
        <v>23521762</v>
      </c>
      <c r="I6949">
        <v>23521826</v>
      </c>
    </row>
    <row r="6950" spans="1:9" x14ac:dyDescent="0.2">
      <c r="A6950" s="1" t="str">
        <f>"GGA3"</f>
        <v>GGA3</v>
      </c>
      <c r="B6950" t="s">
        <v>14</v>
      </c>
      <c r="C6950" t="s">
        <v>28</v>
      </c>
      <c r="D6950" t="s">
        <v>11</v>
      </c>
      <c r="E6950" t="s">
        <v>12</v>
      </c>
      <c r="F6950">
        <v>73257667</v>
      </c>
      <c r="G6950">
        <v>73257716</v>
      </c>
      <c r="H6950">
        <v>73257667</v>
      </c>
      <c r="I6950">
        <v>73257716</v>
      </c>
    </row>
    <row r="6951" spans="1:9" x14ac:dyDescent="0.2">
      <c r="A6951" s="1" t="str">
        <f>"GGACT"</f>
        <v>GGACT</v>
      </c>
      <c r="B6951" t="s">
        <v>14</v>
      </c>
      <c r="C6951" t="s">
        <v>39</v>
      </c>
      <c r="D6951" t="s">
        <v>11</v>
      </c>
      <c r="E6951" t="s">
        <v>12</v>
      </c>
      <c r="F6951">
        <v>101240987</v>
      </c>
      <c r="G6951">
        <v>101241049</v>
      </c>
      <c r="H6951">
        <v>101240903</v>
      </c>
      <c r="I6951">
        <v>101240908</v>
      </c>
    </row>
    <row r="6952" spans="1:9" x14ac:dyDescent="0.2">
      <c r="A6952" s="1" t="str">
        <f>"GGCT"</f>
        <v>GGCT</v>
      </c>
      <c r="B6952" t="s">
        <v>14</v>
      </c>
      <c r="C6952" t="s">
        <v>33</v>
      </c>
      <c r="D6952" t="s">
        <v>11</v>
      </c>
      <c r="E6952" t="s">
        <v>12</v>
      </c>
      <c r="F6952">
        <v>30544405</v>
      </c>
      <c r="G6952">
        <v>30544459</v>
      </c>
      <c r="H6952">
        <v>30544468</v>
      </c>
      <c r="I6952">
        <v>30544482</v>
      </c>
    </row>
    <row r="6953" spans="1:9" x14ac:dyDescent="0.2">
      <c r="A6953" s="1" t="str">
        <f>"GGCX"</f>
        <v>GGCX</v>
      </c>
      <c r="B6953" t="s">
        <v>14</v>
      </c>
      <c r="C6953" t="s">
        <v>26</v>
      </c>
      <c r="D6953" t="s">
        <v>11</v>
      </c>
      <c r="E6953" t="s">
        <v>12</v>
      </c>
      <c r="F6953">
        <v>85788605</v>
      </c>
      <c r="G6953">
        <v>85788629</v>
      </c>
      <c r="H6953">
        <v>85788551</v>
      </c>
      <c r="I6953">
        <v>85788601</v>
      </c>
    </row>
    <row r="6954" spans="1:9" x14ac:dyDescent="0.2">
      <c r="A6954" s="1" t="str">
        <f>"GGH"</f>
        <v>GGH</v>
      </c>
      <c r="B6954" t="s">
        <v>14</v>
      </c>
      <c r="C6954" t="s">
        <v>30</v>
      </c>
      <c r="D6954" t="s">
        <v>11</v>
      </c>
      <c r="E6954" t="s">
        <v>12</v>
      </c>
      <c r="F6954">
        <v>63951336</v>
      </c>
      <c r="G6954">
        <v>63951445</v>
      </c>
      <c r="H6954">
        <v>63951318</v>
      </c>
      <c r="I6954">
        <v>63951334</v>
      </c>
    </row>
    <row r="6955" spans="1:9" x14ac:dyDescent="0.2">
      <c r="A6955" s="1" t="str">
        <f>"GGN"</f>
        <v>GGN</v>
      </c>
      <c r="B6955" t="s">
        <v>14</v>
      </c>
      <c r="C6955" t="s">
        <v>10</v>
      </c>
      <c r="D6955" t="s">
        <v>11</v>
      </c>
      <c r="E6955" t="s">
        <v>12</v>
      </c>
      <c r="F6955">
        <v>38878454</v>
      </c>
      <c r="G6955">
        <v>38878497</v>
      </c>
      <c r="H6955">
        <v>38878661</v>
      </c>
      <c r="I6955">
        <v>38878683</v>
      </c>
    </row>
    <row r="6956" spans="1:9" x14ac:dyDescent="0.2">
      <c r="A6956" s="1" t="str">
        <f>"GGNBP2"</f>
        <v>GGNBP2</v>
      </c>
      <c r="B6956" t="s">
        <v>14</v>
      </c>
      <c r="C6956" t="s">
        <v>28</v>
      </c>
      <c r="D6956" t="s">
        <v>17</v>
      </c>
      <c r="E6956" t="s">
        <v>12</v>
      </c>
      <c r="F6956">
        <v>34900745</v>
      </c>
      <c r="G6956">
        <v>34900821</v>
      </c>
      <c r="H6956">
        <v>34901366</v>
      </c>
      <c r="I6956">
        <v>34901511</v>
      </c>
    </row>
    <row r="6957" spans="1:9" x14ac:dyDescent="0.2">
      <c r="A6957" s="1" t="str">
        <f>"GGPS1"</f>
        <v>GGPS1</v>
      </c>
      <c r="B6957" t="s">
        <v>14</v>
      </c>
      <c r="C6957" t="s">
        <v>19</v>
      </c>
      <c r="D6957" t="s">
        <v>17</v>
      </c>
      <c r="E6957" t="s">
        <v>12</v>
      </c>
      <c r="F6957">
        <v>235491875</v>
      </c>
      <c r="G6957">
        <v>235491895</v>
      </c>
      <c r="H6957">
        <v>235491896</v>
      </c>
      <c r="I6957">
        <v>235491925</v>
      </c>
    </row>
    <row r="6958" spans="1:9" x14ac:dyDescent="0.2">
      <c r="A6958" s="1" t="str">
        <f>"GGT1"</f>
        <v>GGT1</v>
      </c>
      <c r="B6958" t="s">
        <v>9</v>
      </c>
      <c r="C6958" t="s">
        <v>21</v>
      </c>
      <c r="D6958" t="s">
        <v>17</v>
      </c>
      <c r="E6958" t="s">
        <v>12</v>
      </c>
      <c r="F6958">
        <v>25003626</v>
      </c>
      <c r="G6958">
        <v>25003645</v>
      </c>
      <c r="H6958">
        <v>25003626</v>
      </c>
      <c r="I6958">
        <v>25003645</v>
      </c>
    </row>
    <row r="6959" spans="1:9" x14ac:dyDescent="0.2">
      <c r="A6959" s="1" t="str">
        <f>"GGT1"</f>
        <v>GGT1</v>
      </c>
      <c r="B6959" t="s">
        <v>13</v>
      </c>
      <c r="C6959" t="s">
        <v>21</v>
      </c>
      <c r="D6959" t="s">
        <v>17</v>
      </c>
      <c r="E6959" t="s">
        <v>12</v>
      </c>
      <c r="F6959">
        <v>24999148</v>
      </c>
      <c r="G6959">
        <v>24999189</v>
      </c>
      <c r="H6959">
        <v>24999148</v>
      </c>
      <c r="I6959">
        <v>24999189</v>
      </c>
    </row>
    <row r="6960" spans="1:9" x14ac:dyDescent="0.2">
      <c r="A6960" s="1" t="str">
        <f>"GGT2"</f>
        <v>GGT2</v>
      </c>
      <c r="B6960" t="s">
        <v>525</v>
      </c>
      <c r="C6960" t="s">
        <v>21</v>
      </c>
      <c r="D6960" t="s">
        <v>11</v>
      </c>
      <c r="E6960" t="s">
        <v>20</v>
      </c>
      <c r="F6960">
        <v>21581925</v>
      </c>
      <c r="G6960">
        <v>21581925</v>
      </c>
      <c r="H6960">
        <v>21581925</v>
      </c>
      <c r="I6960">
        <v>21581925</v>
      </c>
    </row>
    <row r="6961" spans="1:9" x14ac:dyDescent="0.2">
      <c r="A6961" s="1" t="str">
        <f>"GGT2"</f>
        <v>GGT2</v>
      </c>
      <c r="B6961" t="s">
        <v>526</v>
      </c>
      <c r="C6961" t="s">
        <v>21</v>
      </c>
      <c r="D6961" t="s">
        <v>11</v>
      </c>
      <c r="E6961" t="s">
        <v>20</v>
      </c>
      <c r="F6961">
        <v>21580581</v>
      </c>
      <c r="G6961">
        <v>21580581</v>
      </c>
      <c r="H6961">
        <v>21580581</v>
      </c>
      <c r="I6961">
        <v>21580581</v>
      </c>
    </row>
    <row r="6962" spans="1:9" x14ac:dyDescent="0.2">
      <c r="A6962" s="1" t="str">
        <f>"GGT5"</f>
        <v>GGT5</v>
      </c>
      <c r="B6962" t="s">
        <v>14</v>
      </c>
      <c r="C6962" t="s">
        <v>21</v>
      </c>
      <c r="D6962" t="s">
        <v>11</v>
      </c>
      <c r="E6962" t="s">
        <v>12</v>
      </c>
      <c r="F6962">
        <v>24641179</v>
      </c>
      <c r="G6962">
        <v>24641195</v>
      </c>
      <c r="H6962">
        <v>24641179</v>
      </c>
      <c r="I6962">
        <v>24641195</v>
      </c>
    </row>
    <row r="6963" spans="1:9" x14ac:dyDescent="0.2">
      <c r="A6963" s="1" t="str">
        <f>"GGT6"</f>
        <v>GGT6</v>
      </c>
      <c r="B6963" t="s">
        <v>14</v>
      </c>
      <c r="C6963" t="s">
        <v>28</v>
      </c>
      <c r="D6963" t="s">
        <v>11</v>
      </c>
      <c r="E6963" t="s">
        <v>12</v>
      </c>
      <c r="F6963">
        <v>4463856</v>
      </c>
      <c r="G6963">
        <v>4463896</v>
      </c>
      <c r="H6963">
        <v>4463908</v>
      </c>
      <c r="I6963">
        <v>4463915</v>
      </c>
    </row>
    <row r="6964" spans="1:9" x14ac:dyDescent="0.2">
      <c r="A6964" s="1" t="str">
        <f>"GGT7"</f>
        <v>GGT7</v>
      </c>
      <c r="B6964" t="s">
        <v>14</v>
      </c>
      <c r="C6964" t="s">
        <v>29</v>
      </c>
      <c r="D6964" t="s">
        <v>11</v>
      </c>
      <c r="E6964" t="s">
        <v>12</v>
      </c>
      <c r="F6964">
        <v>33460621</v>
      </c>
      <c r="G6964">
        <v>33460668</v>
      </c>
      <c r="H6964">
        <v>33460670</v>
      </c>
      <c r="I6964">
        <v>33460681</v>
      </c>
    </row>
    <row r="6965" spans="1:9" x14ac:dyDescent="0.2">
      <c r="A6965" s="1" t="str">
        <f>"GGTLC1"</f>
        <v>GGTLC1</v>
      </c>
      <c r="B6965" t="s">
        <v>14</v>
      </c>
      <c r="C6965" t="s">
        <v>29</v>
      </c>
      <c r="D6965" t="s">
        <v>11</v>
      </c>
      <c r="E6965" t="s">
        <v>12</v>
      </c>
      <c r="F6965">
        <v>23969293</v>
      </c>
      <c r="G6965">
        <v>23969325</v>
      </c>
      <c r="H6965">
        <v>23969386</v>
      </c>
      <c r="I6965">
        <v>23969409</v>
      </c>
    </row>
    <row r="6966" spans="1:9" x14ac:dyDescent="0.2">
      <c r="A6966" s="1" t="str">
        <f>"GGTLC2"</f>
        <v>GGTLC2</v>
      </c>
      <c r="B6966" t="s">
        <v>527</v>
      </c>
      <c r="C6966" t="s">
        <v>21</v>
      </c>
      <c r="D6966" t="s">
        <v>17</v>
      </c>
      <c r="E6966" t="s">
        <v>20</v>
      </c>
      <c r="F6966">
        <v>22988815</v>
      </c>
      <c r="G6966">
        <v>22988815</v>
      </c>
      <c r="H6966">
        <v>22988815</v>
      </c>
      <c r="I6966">
        <v>22988815</v>
      </c>
    </row>
    <row r="6967" spans="1:9" x14ac:dyDescent="0.2">
      <c r="A6967" s="1" t="str">
        <f>"GH1"</f>
        <v>GH1</v>
      </c>
      <c r="B6967" t="s">
        <v>14</v>
      </c>
      <c r="C6967" t="s">
        <v>28</v>
      </c>
      <c r="D6967" t="s">
        <v>11</v>
      </c>
      <c r="E6967" t="s">
        <v>12</v>
      </c>
      <c r="F6967">
        <v>61996192</v>
      </c>
      <c r="G6967">
        <v>61996199</v>
      </c>
      <c r="H6967">
        <v>61996252</v>
      </c>
      <c r="I6967">
        <v>61996253</v>
      </c>
    </row>
    <row r="6968" spans="1:9" x14ac:dyDescent="0.2">
      <c r="A6968" s="1" t="str">
        <f>"GH2"</f>
        <v>GH2</v>
      </c>
      <c r="B6968" t="s">
        <v>14</v>
      </c>
      <c r="C6968" t="s">
        <v>28</v>
      </c>
      <c r="D6968" t="s">
        <v>11</v>
      </c>
      <c r="E6968" t="s">
        <v>12</v>
      </c>
      <c r="F6968">
        <v>61959284</v>
      </c>
      <c r="G6968">
        <v>61959322</v>
      </c>
      <c r="H6968">
        <v>61959323</v>
      </c>
      <c r="I6968">
        <v>61959338</v>
      </c>
    </row>
    <row r="6969" spans="1:9" x14ac:dyDescent="0.2">
      <c r="A6969" s="1" t="str">
        <f>"GHDC"</f>
        <v>GHDC</v>
      </c>
      <c r="B6969" t="s">
        <v>14</v>
      </c>
      <c r="C6969" t="s">
        <v>28</v>
      </c>
      <c r="D6969" t="s">
        <v>11</v>
      </c>
      <c r="E6969" t="s">
        <v>12</v>
      </c>
      <c r="F6969">
        <v>40346477</v>
      </c>
      <c r="G6969">
        <v>40346519</v>
      </c>
      <c r="H6969">
        <v>40346443</v>
      </c>
      <c r="I6969">
        <v>40346473</v>
      </c>
    </row>
    <row r="6970" spans="1:9" x14ac:dyDescent="0.2">
      <c r="A6970" s="1" t="str">
        <f>"GHITM"</f>
        <v>GHITM</v>
      </c>
      <c r="B6970" t="s">
        <v>14</v>
      </c>
      <c r="C6970" t="s">
        <v>15</v>
      </c>
      <c r="D6970" t="s">
        <v>17</v>
      </c>
      <c r="E6970" t="s">
        <v>12</v>
      </c>
      <c r="F6970">
        <v>85899276</v>
      </c>
      <c r="G6970">
        <v>85899324</v>
      </c>
      <c r="H6970">
        <v>85899247</v>
      </c>
      <c r="I6970">
        <v>85899273</v>
      </c>
    </row>
    <row r="6971" spans="1:9" x14ac:dyDescent="0.2">
      <c r="A6971" s="1" t="str">
        <f>"GHR"</f>
        <v>GHR</v>
      </c>
      <c r="B6971" t="s">
        <v>14</v>
      </c>
      <c r="C6971" t="s">
        <v>46</v>
      </c>
      <c r="D6971" t="s">
        <v>17</v>
      </c>
      <c r="E6971" t="s">
        <v>12</v>
      </c>
      <c r="F6971">
        <v>42423535</v>
      </c>
      <c r="G6971">
        <v>42423601</v>
      </c>
      <c r="H6971">
        <v>42423828</v>
      </c>
      <c r="I6971">
        <v>42423852</v>
      </c>
    </row>
    <row r="6972" spans="1:9" x14ac:dyDescent="0.2">
      <c r="A6972" s="1" t="str">
        <f>"GHRH"</f>
        <v>GHRH</v>
      </c>
      <c r="B6972" t="s">
        <v>14</v>
      </c>
      <c r="C6972" t="s">
        <v>29</v>
      </c>
      <c r="D6972" t="s">
        <v>11</v>
      </c>
      <c r="E6972" t="s">
        <v>12</v>
      </c>
      <c r="F6972">
        <v>35890211</v>
      </c>
      <c r="G6972">
        <v>35890222</v>
      </c>
      <c r="H6972">
        <v>35890184</v>
      </c>
      <c r="I6972">
        <v>35890193</v>
      </c>
    </row>
    <row r="6973" spans="1:9" x14ac:dyDescent="0.2">
      <c r="A6973" s="1" t="str">
        <f>"GHRHR"</f>
        <v>GHRHR</v>
      </c>
      <c r="B6973" t="s">
        <v>9</v>
      </c>
      <c r="C6973" t="s">
        <v>33</v>
      </c>
      <c r="D6973" t="s">
        <v>17</v>
      </c>
      <c r="E6973" t="s">
        <v>12</v>
      </c>
      <c r="F6973">
        <v>31023427</v>
      </c>
      <c r="G6973">
        <v>31023491</v>
      </c>
      <c r="H6973">
        <v>31023427</v>
      </c>
      <c r="I6973">
        <v>31023491</v>
      </c>
    </row>
    <row r="6974" spans="1:9" x14ac:dyDescent="0.2">
      <c r="A6974" s="1" t="str">
        <f>"GHRHR"</f>
        <v>GHRHR</v>
      </c>
      <c r="B6974" t="s">
        <v>13</v>
      </c>
      <c r="C6974" t="s">
        <v>33</v>
      </c>
      <c r="D6974" t="s">
        <v>17</v>
      </c>
      <c r="E6974" t="s">
        <v>12</v>
      </c>
      <c r="F6974">
        <v>31003593</v>
      </c>
      <c r="G6974">
        <v>31003614</v>
      </c>
      <c r="H6974">
        <v>31003593</v>
      </c>
      <c r="I6974">
        <v>31003614</v>
      </c>
    </row>
    <row r="6975" spans="1:9" x14ac:dyDescent="0.2">
      <c r="A6975" s="1" t="str">
        <f>"GHRL"</f>
        <v>GHRL</v>
      </c>
      <c r="B6975" t="s">
        <v>14</v>
      </c>
      <c r="C6975" t="s">
        <v>22</v>
      </c>
      <c r="D6975" t="s">
        <v>11</v>
      </c>
      <c r="E6975" t="s">
        <v>12</v>
      </c>
      <c r="F6975">
        <v>10334619</v>
      </c>
      <c r="G6975">
        <v>10334637</v>
      </c>
      <c r="H6975">
        <v>10334585</v>
      </c>
      <c r="I6975">
        <v>10334596</v>
      </c>
    </row>
    <row r="6976" spans="1:9" x14ac:dyDescent="0.2">
      <c r="A6976" s="1" t="str">
        <f>"GHSR"</f>
        <v>GHSR</v>
      </c>
      <c r="B6976" t="s">
        <v>14</v>
      </c>
      <c r="C6976" t="s">
        <v>22</v>
      </c>
      <c r="D6976" t="s">
        <v>11</v>
      </c>
      <c r="E6976" t="s">
        <v>12</v>
      </c>
      <c r="F6976">
        <v>172166228</v>
      </c>
      <c r="G6976">
        <v>172166258</v>
      </c>
      <c r="H6976">
        <v>172166228</v>
      </c>
      <c r="I6976">
        <v>172166258</v>
      </c>
    </row>
    <row r="6977" spans="1:9" x14ac:dyDescent="0.2">
      <c r="A6977" s="1" t="str">
        <f>"GID4"</f>
        <v>GID4</v>
      </c>
      <c r="B6977" t="s">
        <v>14</v>
      </c>
      <c r="C6977" t="s">
        <v>28</v>
      </c>
      <c r="D6977" t="s">
        <v>17</v>
      </c>
      <c r="E6977" t="s">
        <v>12</v>
      </c>
      <c r="F6977">
        <v>17942684</v>
      </c>
      <c r="G6977">
        <v>17942784</v>
      </c>
      <c r="H6977">
        <v>17942930</v>
      </c>
      <c r="I6977">
        <v>17942975</v>
      </c>
    </row>
    <row r="6978" spans="1:9" x14ac:dyDescent="0.2">
      <c r="A6978" s="1" t="str">
        <f>"GID8"</f>
        <v>GID8</v>
      </c>
      <c r="B6978" t="s">
        <v>14</v>
      </c>
      <c r="C6978" t="s">
        <v>29</v>
      </c>
      <c r="D6978" t="s">
        <v>17</v>
      </c>
      <c r="E6978" t="s">
        <v>12</v>
      </c>
      <c r="F6978">
        <v>61569463</v>
      </c>
      <c r="G6978">
        <v>61569510</v>
      </c>
      <c r="H6978">
        <v>61569360</v>
      </c>
      <c r="I6978">
        <v>61569419</v>
      </c>
    </row>
    <row r="6979" spans="1:9" x14ac:dyDescent="0.2">
      <c r="A6979" s="1" t="str">
        <f>"GIF"</f>
        <v>GIF</v>
      </c>
      <c r="B6979" t="s">
        <v>14</v>
      </c>
      <c r="C6979" t="s">
        <v>27</v>
      </c>
      <c r="D6979" t="s">
        <v>11</v>
      </c>
      <c r="E6979" t="s">
        <v>12</v>
      </c>
      <c r="F6979">
        <v>59612969</v>
      </c>
      <c r="G6979">
        <v>59612994</v>
      </c>
      <c r="H6979">
        <v>59612969</v>
      </c>
      <c r="I6979">
        <v>59612994</v>
      </c>
    </row>
    <row r="6980" spans="1:9" x14ac:dyDescent="0.2">
      <c r="A6980" s="1" t="str">
        <f>"GIGYF1"</f>
        <v>GIGYF1</v>
      </c>
      <c r="B6980" t="s">
        <v>9</v>
      </c>
      <c r="C6980" t="s">
        <v>33</v>
      </c>
      <c r="D6980" t="s">
        <v>11</v>
      </c>
      <c r="E6980" t="s">
        <v>12</v>
      </c>
      <c r="F6980">
        <v>100277786</v>
      </c>
      <c r="G6980">
        <v>100277789</v>
      </c>
      <c r="H6980">
        <v>100277786</v>
      </c>
      <c r="I6980">
        <v>100277789</v>
      </c>
    </row>
    <row r="6981" spans="1:9" x14ac:dyDescent="0.2">
      <c r="A6981" s="1" t="str">
        <f>"GIGYF1"</f>
        <v>GIGYF1</v>
      </c>
      <c r="B6981" t="s">
        <v>13</v>
      </c>
      <c r="C6981" t="s">
        <v>33</v>
      </c>
      <c r="D6981" t="s">
        <v>11</v>
      </c>
      <c r="E6981" t="s">
        <v>12</v>
      </c>
      <c r="F6981">
        <v>100279119</v>
      </c>
      <c r="G6981">
        <v>100279128</v>
      </c>
      <c r="H6981">
        <v>100279119</v>
      </c>
      <c r="I6981">
        <v>100279128</v>
      </c>
    </row>
    <row r="6982" spans="1:9" x14ac:dyDescent="0.2">
      <c r="A6982" s="1" t="str">
        <f>"GIGYF2"</f>
        <v>GIGYF2</v>
      </c>
      <c r="B6982" t="s">
        <v>14</v>
      </c>
      <c r="C6982" t="s">
        <v>26</v>
      </c>
      <c r="D6982" t="s">
        <v>17</v>
      </c>
      <c r="E6982" t="s">
        <v>12</v>
      </c>
      <c r="F6982">
        <v>233562028</v>
      </c>
      <c r="G6982">
        <v>233562056</v>
      </c>
      <c r="H6982">
        <v>233562028</v>
      </c>
      <c r="I6982">
        <v>233562056</v>
      </c>
    </row>
    <row r="6983" spans="1:9" x14ac:dyDescent="0.2">
      <c r="A6983" s="1" t="str">
        <f>"GIMAP1"</f>
        <v>GIMAP1</v>
      </c>
      <c r="B6983" t="s">
        <v>528</v>
      </c>
      <c r="C6983" t="s">
        <v>33</v>
      </c>
      <c r="D6983" t="s">
        <v>17</v>
      </c>
      <c r="E6983" t="s">
        <v>20</v>
      </c>
      <c r="F6983">
        <v>150413644</v>
      </c>
      <c r="G6983">
        <v>150413644</v>
      </c>
      <c r="H6983">
        <v>150413644</v>
      </c>
      <c r="I6983">
        <v>150413644</v>
      </c>
    </row>
    <row r="6984" spans="1:9" x14ac:dyDescent="0.2">
      <c r="A6984" s="1" t="str">
        <f>"GIMAP1-GIMAP5"</f>
        <v>GIMAP1-GIMAP5</v>
      </c>
      <c r="B6984" t="s">
        <v>529</v>
      </c>
      <c r="C6984" t="s">
        <v>33</v>
      </c>
      <c r="D6984" t="s">
        <v>17</v>
      </c>
      <c r="E6984" t="s">
        <v>20</v>
      </c>
      <c r="F6984">
        <v>150413644</v>
      </c>
      <c r="G6984">
        <v>150413644</v>
      </c>
      <c r="H6984">
        <v>150413644</v>
      </c>
      <c r="I6984">
        <v>150413644</v>
      </c>
    </row>
    <row r="6985" spans="1:9" x14ac:dyDescent="0.2">
      <c r="A6985" s="1" t="str">
        <f>"GIMAP2"</f>
        <v>GIMAP2</v>
      </c>
      <c r="B6985" t="s">
        <v>14</v>
      </c>
      <c r="C6985" t="s">
        <v>33</v>
      </c>
      <c r="D6985" t="s">
        <v>17</v>
      </c>
      <c r="E6985" t="s">
        <v>12</v>
      </c>
      <c r="F6985">
        <v>150382781</v>
      </c>
      <c r="G6985">
        <v>150382815</v>
      </c>
      <c r="H6985">
        <v>150382818</v>
      </c>
      <c r="I6985">
        <v>150382821</v>
      </c>
    </row>
    <row r="6986" spans="1:9" x14ac:dyDescent="0.2">
      <c r="A6986" s="1" t="str">
        <f>"GIMAP4"</f>
        <v>GIMAP4</v>
      </c>
      <c r="B6986" t="s">
        <v>14</v>
      </c>
      <c r="C6986" t="s">
        <v>33</v>
      </c>
      <c r="D6986" t="s">
        <v>17</v>
      </c>
      <c r="E6986" t="s">
        <v>12</v>
      </c>
      <c r="F6986">
        <v>150264470</v>
      </c>
      <c r="G6986">
        <v>150264501</v>
      </c>
      <c r="H6986">
        <v>150264470</v>
      </c>
      <c r="I6986">
        <v>150264501</v>
      </c>
    </row>
    <row r="6987" spans="1:9" x14ac:dyDescent="0.2">
      <c r="A6987" s="1" t="str">
        <f>"GIMAP5"</f>
        <v>GIMAP5</v>
      </c>
      <c r="B6987" t="s">
        <v>14</v>
      </c>
      <c r="C6987" t="s">
        <v>33</v>
      </c>
      <c r="D6987" t="s">
        <v>17</v>
      </c>
      <c r="E6987" t="s">
        <v>12</v>
      </c>
      <c r="F6987">
        <v>150434653</v>
      </c>
      <c r="G6987">
        <v>150434726</v>
      </c>
      <c r="H6987">
        <v>150434479</v>
      </c>
      <c r="I6987">
        <v>150434532</v>
      </c>
    </row>
    <row r="6988" spans="1:9" x14ac:dyDescent="0.2">
      <c r="A6988" s="1" t="str">
        <f>"GIMAP6"</f>
        <v>GIMAP6</v>
      </c>
      <c r="B6988" t="s">
        <v>14</v>
      </c>
      <c r="C6988" t="s">
        <v>33</v>
      </c>
      <c r="D6988" t="s">
        <v>11</v>
      </c>
      <c r="E6988" t="s">
        <v>12</v>
      </c>
      <c r="F6988">
        <v>150329421</v>
      </c>
      <c r="G6988">
        <v>150329482</v>
      </c>
      <c r="H6988">
        <v>150329530</v>
      </c>
      <c r="I6988">
        <v>150329552</v>
      </c>
    </row>
    <row r="6989" spans="1:9" x14ac:dyDescent="0.2">
      <c r="A6989" s="1" t="str">
        <f>"GIMAP7"</f>
        <v>GIMAP7</v>
      </c>
      <c r="B6989" t="s">
        <v>14</v>
      </c>
      <c r="C6989" t="s">
        <v>33</v>
      </c>
      <c r="D6989" t="s">
        <v>17</v>
      </c>
      <c r="E6989" t="s">
        <v>12</v>
      </c>
      <c r="F6989">
        <v>150211939</v>
      </c>
      <c r="G6989">
        <v>150211968</v>
      </c>
      <c r="H6989">
        <v>150211939</v>
      </c>
      <c r="I6989">
        <v>150211968</v>
      </c>
    </row>
    <row r="6990" spans="1:9" x14ac:dyDescent="0.2">
      <c r="A6990" s="1" t="str">
        <f>"GIMAP8"</f>
        <v>GIMAP8</v>
      </c>
      <c r="B6990" t="s">
        <v>14</v>
      </c>
      <c r="C6990" t="s">
        <v>33</v>
      </c>
      <c r="D6990" t="s">
        <v>17</v>
      </c>
      <c r="E6990" t="s">
        <v>12</v>
      </c>
      <c r="F6990">
        <v>150147807</v>
      </c>
      <c r="G6990">
        <v>150147847</v>
      </c>
      <c r="H6990">
        <v>150147711</v>
      </c>
      <c r="I6990">
        <v>150147733</v>
      </c>
    </row>
    <row r="6991" spans="1:9" x14ac:dyDescent="0.2">
      <c r="A6991" s="1" t="str">
        <f>"GIMD1"</f>
        <v>GIMD1</v>
      </c>
      <c r="B6991" t="s">
        <v>530</v>
      </c>
      <c r="C6991" t="s">
        <v>23</v>
      </c>
      <c r="D6991" t="s">
        <v>11</v>
      </c>
      <c r="E6991" t="s">
        <v>20</v>
      </c>
      <c r="F6991">
        <v>107288358</v>
      </c>
      <c r="G6991">
        <v>107288358</v>
      </c>
      <c r="H6991">
        <v>107288358</v>
      </c>
      <c r="I6991">
        <v>107288358</v>
      </c>
    </row>
    <row r="6992" spans="1:9" x14ac:dyDescent="0.2">
      <c r="A6992" s="1" t="str">
        <f>"GIN1"</f>
        <v>GIN1</v>
      </c>
      <c r="B6992" t="s">
        <v>14</v>
      </c>
      <c r="C6992" t="s">
        <v>46</v>
      </c>
      <c r="D6992" t="s">
        <v>11</v>
      </c>
      <c r="E6992" t="s">
        <v>12</v>
      </c>
      <c r="F6992">
        <v>102455810</v>
      </c>
      <c r="G6992">
        <v>102455849</v>
      </c>
      <c r="H6992">
        <v>102455786</v>
      </c>
      <c r="I6992">
        <v>102455793</v>
      </c>
    </row>
    <row r="6993" spans="1:9" x14ac:dyDescent="0.2">
      <c r="A6993" s="1" t="str">
        <f>"GINM1"</f>
        <v>GINM1</v>
      </c>
      <c r="B6993" t="s">
        <v>14</v>
      </c>
      <c r="C6993" t="s">
        <v>32</v>
      </c>
      <c r="D6993" t="s">
        <v>17</v>
      </c>
      <c r="E6993" t="s">
        <v>12</v>
      </c>
      <c r="F6993">
        <v>149887493</v>
      </c>
      <c r="G6993">
        <v>149887520</v>
      </c>
      <c r="H6993">
        <v>149887521</v>
      </c>
      <c r="I6993">
        <v>149887549</v>
      </c>
    </row>
    <row r="6994" spans="1:9" x14ac:dyDescent="0.2">
      <c r="A6994" s="1" t="str">
        <f>"GINS1"</f>
        <v>GINS1</v>
      </c>
      <c r="B6994" t="s">
        <v>14</v>
      </c>
      <c r="C6994" t="s">
        <v>29</v>
      </c>
      <c r="D6994" t="s">
        <v>17</v>
      </c>
      <c r="E6994" t="s">
        <v>12</v>
      </c>
      <c r="F6994">
        <v>25388293</v>
      </c>
      <c r="G6994">
        <v>25388372</v>
      </c>
      <c r="H6994">
        <v>25388389</v>
      </c>
      <c r="I6994">
        <v>25388400</v>
      </c>
    </row>
    <row r="6995" spans="1:9" x14ac:dyDescent="0.2">
      <c r="A6995" s="1" t="str">
        <f>"GINS2"</f>
        <v>GINS2</v>
      </c>
      <c r="B6995" t="s">
        <v>14</v>
      </c>
      <c r="C6995" t="s">
        <v>31</v>
      </c>
      <c r="D6995" t="s">
        <v>11</v>
      </c>
      <c r="E6995" t="s">
        <v>12</v>
      </c>
      <c r="F6995">
        <v>85722530</v>
      </c>
      <c r="G6995">
        <v>85722615</v>
      </c>
      <c r="H6995">
        <v>85722518</v>
      </c>
      <c r="I6995">
        <v>85722529</v>
      </c>
    </row>
    <row r="6996" spans="1:9" x14ac:dyDescent="0.2">
      <c r="A6996" s="1" t="str">
        <f>"GINS3"</f>
        <v>GINS3</v>
      </c>
      <c r="B6996" t="s">
        <v>14</v>
      </c>
      <c r="C6996" t="s">
        <v>31</v>
      </c>
      <c r="D6996" t="s">
        <v>17</v>
      </c>
      <c r="E6996" t="s">
        <v>12</v>
      </c>
      <c r="F6996">
        <v>58426366</v>
      </c>
      <c r="G6996">
        <v>58426423</v>
      </c>
      <c r="H6996">
        <v>58426340</v>
      </c>
      <c r="I6996">
        <v>58426350</v>
      </c>
    </row>
    <row r="6997" spans="1:9" x14ac:dyDescent="0.2">
      <c r="A6997" s="1" t="str">
        <f>"GINS4"</f>
        <v>GINS4</v>
      </c>
      <c r="B6997" t="s">
        <v>14</v>
      </c>
      <c r="C6997" t="s">
        <v>30</v>
      </c>
      <c r="D6997" t="s">
        <v>17</v>
      </c>
      <c r="E6997" t="s">
        <v>12</v>
      </c>
      <c r="F6997">
        <v>41386761</v>
      </c>
      <c r="G6997">
        <v>41386787</v>
      </c>
      <c r="H6997">
        <v>41386729</v>
      </c>
      <c r="I6997">
        <v>41386757</v>
      </c>
    </row>
    <row r="6998" spans="1:9" x14ac:dyDescent="0.2">
      <c r="A6998" s="1" t="str">
        <f>"GIP"</f>
        <v>GIP</v>
      </c>
      <c r="B6998" t="s">
        <v>14</v>
      </c>
      <c r="C6998" t="s">
        <v>28</v>
      </c>
      <c r="D6998" t="s">
        <v>11</v>
      </c>
      <c r="E6998" t="s">
        <v>12</v>
      </c>
      <c r="F6998">
        <v>47045949</v>
      </c>
      <c r="G6998">
        <v>47045964</v>
      </c>
      <c r="H6998">
        <v>47045949</v>
      </c>
      <c r="I6998">
        <v>47045964</v>
      </c>
    </row>
    <row r="6999" spans="1:9" x14ac:dyDescent="0.2">
      <c r="A6999" s="1" t="str">
        <f>"GIPC1"</f>
        <v>GIPC1</v>
      </c>
      <c r="B6999" t="s">
        <v>14</v>
      </c>
      <c r="C6999" t="s">
        <v>10</v>
      </c>
      <c r="D6999" t="s">
        <v>11</v>
      </c>
      <c r="E6999" t="s">
        <v>12</v>
      </c>
      <c r="F6999">
        <v>14606900</v>
      </c>
      <c r="G6999">
        <v>14606955</v>
      </c>
      <c r="H6999">
        <v>14606956</v>
      </c>
      <c r="I6999">
        <v>14606978</v>
      </c>
    </row>
    <row r="7000" spans="1:9" x14ac:dyDescent="0.2">
      <c r="A7000" s="1" t="str">
        <f>"GIPC2"</f>
        <v>GIPC2</v>
      </c>
      <c r="B7000" t="s">
        <v>14</v>
      </c>
      <c r="C7000" t="s">
        <v>19</v>
      </c>
      <c r="D7000" t="s">
        <v>17</v>
      </c>
      <c r="E7000" t="s">
        <v>12</v>
      </c>
      <c r="F7000">
        <v>78511695</v>
      </c>
      <c r="G7000">
        <v>78511758</v>
      </c>
      <c r="H7000">
        <v>78511640</v>
      </c>
      <c r="I7000">
        <v>78511688</v>
      </c>
    </row>
    <row r="7001" spans="1:9" x14ac:dyDescent="0.2">
      <c r="A7001" s="1" t="str">
        <f>"GIPC3"</f>
        <v>GIPC3</v>
      </c>
      <c r="B7001" t="s">
        <v>14</v>
      </c>
      <c r="C7001" t="s">
        <v>10</v>
      </c>
      <c r="D7001" t="s">
        <v>17</v>
      </c>
      <c r="E7001" t="s">
        <v>12</v>
      </c>
      <c r="F7001">
        <v>3585518</v>
      </c>
      <c r="G7001">
        <v>3585581</v>
      </c>
      <c r="H7001">
        <v>3585699</v>
      </c>
      <c r="I7001">
        <v>3585720</v>
      </c>
    </row>
    <row r="7002" spans="1:9" x14ac:dyDescent="0.2">
      <c r="A7002" s="1" t="str">
        <f>"GIPR"</f>
        <v>GIPR</v>
      </c>
      <c r="B7002" t="s">
        <v>14</v>
      </c>
      <c r="C7002" t="s">
        <v>10</v>
      </c>
      <c r="D7002" t="s">
        <v>17</v>
      </c>
      <c r="E7002" t="s">
        <v>12</v>
      </c>
      <c r="F7002">
        <v>46171464</v>
      </c>
      <c r="G7002">
        <v>46171499</v>
      </c>
      <c r="H7002">
        <v>46171454</v>
      </c>
      <c r="I7002">
        <v>46171463</v>
      </c>
    </row>
    <row r="7003" spans="1:9" x14ac:dyDescent="0.2">
      <c r="A7003" s="1" t="str">
        <f>"GIT1"</f>
        <v>GIT1</v>
      </c>
      <c r="B7003" t="s">
        <v>14</v>
      </c>
      <c r="C7003" t="s">
        <v>28</v>
      </c>
      <c r="D7003" t="s">
        <v>11</v>
      </c>
      <c r="E7003" t="s">
        <v>12</v>
      </c>
      <c r="F7003">
        <v>27916621</v>
      </c>
      <c r="G7003">
        <v>27916680</v>
      </c>
      <c r="H7003">
        <v>27916589</v>
      </c>
      <c r="I7003">
        <v>27916610</v>
      </c>
    </row>
    <row r="7004" spans="1:9" x14ac:dyDescent="0.2">
      <c r="A7004" s="1" t="str">
        <f>"GIT2"</f>
        <v>GIT2</v>
      </c>
      <c r="B7004" t="s">
        <v>14</v>
      </c>
      <c r="C7004" t="s">
        <v>16</v>
      </c>
      <c r="D7004" t="s">
        <v>11</v>
      </c>
      <c r="E7004" t="s">
        <v>12</v>
      </c>
      <c r="F7004">
        <v>110434156</v>
      </c>
      <c r="G7004">
        <v>110434181</v>
      </c>
      <c r="H7004">
        <v>110434100</v>
      </c>
      <c r="I7004">
        <v>110434139</v>
      </c>
    </row>
    <row r="7005" spans="1:9" x14ac:dyDescent="0.2">
      <c r="A7005" s="1" t="str">
        <f>"GJA1"</f>
        <v>GJA1</v>
      </c>
      <c r="B7005" t="s">
        <v>14</v>
      </c>
      <c r="C7005" t="s">
        <v>32</v>
      </c>
      <c r="D7005" t="s">
        <v>17</v>
      </c>
      <c r="E7005" t="s">
        <v>12</v>
      </c>
      <c r="F7005">
        <v>121756777</v>
      </c>
      <c r="G7005">
        <v>121756800</v>
      </c>
      <c r="H7005">
        <v>121756809</v>
      </c>
      <c r="I7005">
        <v>121756831</v>
      </c>
    </row>
    <row r="7006" spans="1:9" x14ac:dyDescent="0.2">
      <c r="A7006" s="1" t="str">
        <f>"GJA10"</f>
        <v>GJA10</v>
      </c>
      <c r="B7006" t="s">
        <v>531</v>
      </c>
      <c r="C7006" t="s">
        <v>32</v>
      </c>
      <c r="D7006" t="s">
        <v>17</v>
      </c>
      <c r="E7006" t="s">
        <v>20</v>
      </c>
      <c r="F7006">
        <v>90604187</v>
      </c>
      <c r="G7006">
        <v>90604187</v>
      </c>
      <c r="H7006">
        <v>90604187</v>
      </c>
      <c r="I7006">
        <v>90604187</v>
      </c>
    </row>
    <row r="7007" spans="1:9" x14ac:dyDescent="0.2">
      <c r="A7007" s="1" t="str">
        <f>"GJA3"</f>
        <v>GJA3</v>
      </c>
      <c r="B7007" t="s">
        <v>14</v>
      </c>
      <c r="C7007" t="s">
        <v>39</v>
      </c>
      <c r="D7007" t="s">
        <v>11</v>
      </c>
      <c r="E7007" t="s">
        <v>12</v>
      </c>
      <c r="F7007">
        <v>20735178</v>
      </c>
      <c r="G7007">
        <v>20735231</v>
      </c>
      <c r="H7007">
        <v>20735086</v>
      </c>
      <c r="I7007">
        <v>20735093</v>
      </c>
    </row>
    <row r="7008" spans="1:9" x14ac:dyDescent="0.2">
      <c r="A7008" s="1" t="str">
        <f>"GJA4"</f>
        <v>GJA4</v>
      </c>
      <c r="B7008" t="s">
        <v>14</v>
      </c>
      <c r="C7008" t="s">
        <v>19</v>
      </c>
      <c r="D7008" t="s">
        <v>17</v>
      </c>
      <c r="E7008" t="s">
        <v>12</v>
      </c>
      <c r="F7008">
        <v>35258592</v>
      </c>
      <c r="G7008">
        <v>35258607</v>
      </c>
      <c r="H7008">
        <v>35258592</v>
      </c>
      <c r="I7008">
        <v>35258607</v>
      </c>
    </row>
    <row r="7009" spans="1:9" x14ac:dyDescent="0.2">
      <c r="A7009" s="1" t="str">
        <f>"GJA5"</f>
        <v>GJA5</v>
      </c>
      <c r="B7009" t="s">
        <v>9</v>
      </c>
      <c r="C7009" t="s">
        <v>19</v>
      </c>
      <c r="D7009" t="s">
        <v>11</v>
      </c>
      <c r="E7009" t="s">
        <v>12</v>
      </c>
      <c r="F7009">
        <v>147232700</v>
      </c>
      <c r="G7009">
        <v>147232725</v>
      </c>
      <c r="H7009">
        <v>147232700</v>
      </c>
      <c r="I7009">
        <v>147232725</v>
      </c>
    </row>
    <row r="7010" spans="1:9" x14ac:dyDescent="0.2">
      <c r="A7010" s="1" t="str">
        <f>"GJA5"</f>
        <v>GJA5</v>
      </c>
      <c r="B7010" t="s">
        <v>13</v>
      </c>
      <c r="C7010" t="s">
        <v>19</v>
      </c>
      <c r="D7010" t="s">
        <v>11</v>
      </c>
      <c r="E7010" t="s">
        <v>12</v>
      </c>
      <c r="F7010">
        <v>147245445</v>
      </c>
      <c r="G7010">
        <v>147245461</v>
      </c>
      <c r="H7010">
        <v>147245445</v>
      </c>
      <c r="I7010">
        <v>147245461</v>
      </c>
    </row>
    <row r="7011" spans="1:9" x14ac:dyDescent="0.2">
      <c r="A7011" s="1" t="str">
        <f>"GJA8"</f>
        <v>GJA8</v>
      </c>
      <c r="B7011" t="s">
        <v>14</v>
      </c>
      <c r="C7011" t="s">
        <v>19</v>
      </c>
      <c r="D7011" t="s">
        <v>17</v>
      </c>
      <c r="E7011" t="s">
        <v>12</v>
      </c>
      <c r="F7011">
        <v>147374915</v>
      </c>
      <c r="G7011">
        <v>147374932</v>
      </c>
      <c r="H7011">
        <v>147374915</v>
      </c>
      <c r="I7011">
        <v>147374932</v>
      </c>
    </row>
    <row r="7012" spans="1:9" x14ac:dyDescent="0.2">
      <c r="A7012" s="1" t="str">
        <f>"GJA9"</f>
        <v>GJA9</v>
      </c>
      <c r="B7012" t="s">
        <v>14</v>
      </c>
      <c r="C7012" t="s">
        <v>19</v>
      </c>
      <c r="D7012" t="s">
        <v>11</v>
      </c>
      <c r="E7012" t="s">
        <v>12</v>
      </c>
      <c r="F7012">
        <v>39347255</v>
      </c>
      <c r="G7012">
        <v>39347303</v>
      </c>
      <c r="H7012">
        <v>39347255</v>
      </c>
      <c r="I7012">
        <v>39347303</v>
      </c>
    </row>
    <row r="7013" spans="1:9" x14ac:dyDescent="0.2">
      <c r="A7013" s="1" t="str">
        <f>"GJB1"</f>
        <v>GJB1</v>
      </c>
      <c r="B7013" t="s">
        <v>9</v>
      </c>
      <c r="C7013" t="s">
        <v>37</v>
      </c>
      <c r="D7013" t="s">
        <v>17</v>
      </c>
      <c r="E7013" t="s">
        <v>12</v>
      </c>
      <c r="F7013">
        <v>70435071</v>
      </c>
      <c r="G7013">
        <v>70435105</v>
      </c>
      <c r="H7013">
        <v>70435071</v>
      </c>
      <c r="I7013">
        <v>70435105</v>
      </c>
    </row>
    <row r="7014" spans="1:9" x14ac:dyDescent="0.2">
      <c r="A7014" s="1" t="str">
        <f>"GJB1"</f>
        <v>GJB1</v>
      </c>
      <c r="B7014" t="s">
        <v>13</v>
      </c>
      <c r="C7014" t="s">
        <v>37</v>
      </c>
      <c r="D7014" t="s">
        <v>17</v>
      </c>
      <c r="E7014" t="s">
        <v>12</v>
      </c>
      <c r="F7014">
        <v>70443104</v>
      </c>
      <c r="G7014">
        <v>70443149</v>
      </c>
      <c r="H7014">
        <v>70443104</v>
      </c>
      <c r="I7014">
        <v>70443149</v>
      </c>
    </row>
    <row r="7015" spans="1:9" x14ac:dyDescent="0.2">
      <c r="A7015" s="1" t="str">
        <f>"GJB2"</f>
        <v>GJB2</v>
      </c>
      <c r="B7015" t="s">
        <v>9</v>
      </c>
      <c r="C7015" t="s">
        <v>39</v>
      </c>
      <c r="D7015" t="s">
        <v>11</v>
      </c>
      <c r="E7015" t="s">
        <v>12</v>
      </c>
      <c r="F7015">
        <v>20767067</v>
      </c>
      <c r="G7015">
        <v>20767083</v>
      </c>
      <c r="H7015">
        <v>20767067</v>
      </c>
      <c r="I7015">
        <v>20767083</v>
      </c>
    </row>
    <row r="7016" spans="1:9" x14ac:dyDescent="0.2">
      <c r="A7016" s="1" t="str">
        <f>"GJB2"</f>
        <v>GJB2</v>
      </c>
      <c r="B7016" t="s">
        <v>13</v>
      </c>
      <c r="C7016" t="s">
        <v>39</v>
      </c>
      <c r="D7016" t="s">
        <v>11</v>
      </c>
      <c r="E7016" t="s">
        <v>12</v>
      </c>
      <c r="F7016">
        <v>20763565</v>
      </c>
      <c r="G7016">
        <v>20763597</v>
      </c>
      <c r="H7016">
        <v>20763565</v>
      </c>
      <c r="I7016">
        <v>20763597</v>
      </c>
    </row>
    <row r="7017" spans="1:9" x14ac:dyDescent="0.2">
      <c r="A7017" s="1" t="str">
        <f>"GJB3"</f>
        <v>GJB3</v>
      </c>
      <c r="B7017" t="s">
        <v>14</v>
      </c>
      <c r="C7017" t="s">
        <v>19</v>
      </c>
      <c r="D7017" t="s">
        <v>17</v>
      </c>
      <c r="E7017" t="s">
        <v>12</v>
      </c>
      <c r="F7017">
        <v>35246802</v>
      </c>
      <c r="G7017">
        <v>35246823</v>
      </c>
      <c r="H7017">
        <v>35246775</v>
      </c>
      <c r="I7017">
        <v>35246797</v>
      </c>
    </row>
    <row r="7018" spans="1:9" x14ac:dyDescent="0.2">
      <c r="A7018" s="1" t="str">
        <f>"GJB4"</f>
        <v>GJB4</v>
      </c>
      <c r="B7018" t="s">
        <v>14</v>
      </c>
      <c r="C7018" t="s">
        <v>19</v>
      </c>
      <c r="D7018" t="s">
        <v>17</v>
      </c>
      <c r="E7018" t="s">
        <v>12</v>
      </c>
      <c r="F7018">
        <v>35225339</v>
      </c>
      <c r="G7018">
        <v>35225343</v>
      </c>
      <c r="H7018">
        <v>35225339</v>
      </c>
      <c r="I7018">
        <v>35225343</v>
      </c>
    </row>
    <row r="7019" spans="1:9" x14ac:dyDescent="0.2">
      <c r="A7019" s="1" t="str">
        <f>"GJB5"</f>
        <v>GJB5</v>
      </c>
      <c r="B7019" t="s">
        <v>14</v>
      </c>
      <c r="C7019" t="s">
        <v>19</v>
      </c>
      <c r="D7019" t="s">
        <v>17</v>
      </c>
      <c r="E7019" t="s">
        <v>12</v>
      </c>
      <c r="F7019">
        <v>35220613</v>
      </c>
      <c r="G7019">
        <v>35220718</v>
      </c>
      <c r="H7019">
        <v>35220725</v>
      </c>
      <c r="I7019">
        <v>35220754</v>
      </c>
    </row>
    <row r="7020" spans="1:9" x14ac:dyDescent="0.2">
      <c r="A7020" s="1" t="str">
        <f>"GJB6"</f>
        <v>GJB6</v>
      </c>
      <c r="B7020" t="s">
        <v>9</v>
      </c>
      <c r="C7020" t="s">
        <v>39</v>
      </c>
      <c r="D7020" t="s">
        <v>11</v>
      </c>
      <c r="E7020" t="s">
        <v>12</v>
      </c>
      <c r="F7020">
        <v>20806445</v>
      </c>
      <c r="G7020">
        <v>20806465</v>
      </c>
      <c r="H7020">
        <v>20806445</v>
      </c>
      <c r="I7020">
        <v>20806465</v>
      </c>
    </row>
    <row r="7021" spans="1:9" x14ac:dyDescent="0.2">
      <c r="A7021" s="1" t="str">
        <f>"GJB6"</f>
        <v>GJB6</v>
      </c>
      <c r="B7021" t="s">
        <v>13</v>
      </c>
      <c r="C7021" t="s">
        <v>39</v>
      </c>
      <c r="D7021" t="s">
        <v>11</v>
      </c>
      <c r="E7021" t="s">
        <v>12</v>
      </c>
      <c r="F7021">
        <v>20805079</v>
      </c>
      <c r="G7021">
        <v>20805095</v>
      </c>
      <c r="H7021">
        <v>20805079</v>
      </c>
      <c r="I7021">
        <v>20805095</v>
      </c>
    </row>
    <row r="7022" spans="1:9" x14ac:dyDescent="0.2">
      <c r="A7022" s="1" t="str">
        <f>"GJB7"</f>
        <v>GJB7</v>
      </c>
      <c r="B7022" t="s">
        <v>532</v>
      </c>
      <c r="C7022" t="s">
        <v>32</v>
      </c>
      <c r="D7022" t="s">
        <v>11</v>
      </c>
      <c r="E7022" t="s">
        <v>20</v>
      </c>
      <c r="F7022">
        <v>88032794</v>
      </c>
      <c r="G7022">
        <v>88032794</v>
      </c>
      <c r="H7022">
        <v>88032794</v>
      </c>
      <c r="I7022">
        <v>88032794</v>
      </c>
    </row>
    <row r="7023" spans="1:9" x14ac:dyDescent="0.2">
      <c r="A7023" s="1" t="str">
        <f>"GJB7"</f>
        <v>GJB7</v>
      </c>
      <c r="B7023" t="s">
        <v>533</v>
      </c>
      <c r="C7023" t="s">
        <v>32</v>
      </c>
      <c r="D7023" t="s">
        <v>11</v>
      </c>
      <c r="E7023" t="s">
        <v>20</v>
      </c>
      <c r="F7023">
        <v>88038995</v>
      </c>
      <c r="G7023">
        <v>88038995</v>
      </c>
      <c r="H7023">
        <v>88038995</v>
      </c>
      <c r="I7023">
        <v>88038995</v>
      </c>
    </row>
    <row r="7024" spans="1:9" x14ac:dyDescent="0.2">
      <c r="A7024" s="1" t="str">
        <f>"GJC1"</f>
        <v>GJC1</v>
      </c>
      <c r="B7024" t="s">
        <v>14</v>
      </c>
      <c r="C7024" t="s">
        <v>28</v>
      </c>
      <c r="D7024" t="s">
        <v>11</v>
      </c>
      <c r="E7024" t="s">
        <v>12</v>
      </c>
      <c r="F7024">
        <v>42907564</v>
      </c>
      <c r="G7024">
        <v>42907677</v>
      </c>
      <c r="H7024">
        <v>42908155</v>
      </c>
      <c r="I7024">
        <v>42908204</v>
      </c>
    </row>
    <row r="7025" spans="1:9" x14ac:dyDescent="0.2">
      <c r="A7025" s="1" t="str">
        <f>"GJC2"</f>
        <v>GJC2</v>
      </c>
      <c r="B7025" t="s">
        <v>14</v>
      </c>
      <c r="C7025" t="s">
        <v>19</v>
      </c>
      <c r="D7025" t="s">
        <v>17</v>
      </c>
      <c r="E7025" t="s">
        <v>12</v>
      </c>
      <c r="F7025">
        <v>228337623</v>
      </c>
      <c r="G7025">
        <v>228337640</v>
      </c>
      <c r="H7025">
        <v>228337327</v>
      </c>
      <c r="I7025">
        <v>228337366</v>
      </c>
    </row>
    <row r="7026" spans="1:9" x14ac:dyDescent="0.2">
      <c r="A7026" s="1" t="str">
        <f>"GJC3"</f>
        <v>GJC3</v>
      </c>
      <c r="B7026" t="s">
        <v>14</v>
      </c>
      <c r="C7026" t="s">
        <v>33</v>
      </c>
      <c r="D7026" t="s">
        <v>11</v>
      </c>
      <c r="E7026" t="s">
        <v>12</v>
      </c>
      <c r="F7026">
        <v>99526876</v>
      </c>
      <c r="G7026">
        <v>99526908</v>
      </c>
      <c r="H7026">
        <v>99526876</v>
      </c>
      <c r="I7026">
        <v>99526908</v>
      </c>
    </row>
    <row r="7027" spans="1:9" x14ac:dyDescent="0.2">
      <c r="A7027" s="1" t="str">
        <f>"GJD2"</f>
        <v>GJD2</v>
      </c>
      <c r="B7027" t="s">
        <v>14</v>
      </c>
      <c r="C7027" t="s">
        <v>25</v>
      </c>
      <c r="D7027" t="s">
        <v>11</v>
      </c>
      <c r="E7027" t="s">
        <v>12</v>
      </c>
      <c r="F7027">
        <v>35047190</v>
      </c>
      <c r="G7027">
        <v>35047204</v>
      </c>
      <c r="H7027">
        <v>35047176</v>
      </c>
      <c r="I7027">
        <v>35047184</v>
      </c>
    </row>
    <row r="7028" spans="1:9" x14ac:dyDescent="0.2">
      <c r="A7028" s="1" t="str">
        <f>"GJD3"</f>
        <v>GJD3</v>
      </c>
      <c r="B7028" t="s">
        <v>9</v>
      </c>
      <c r="C7028" t="s">
        <v>28</v>
      </c>
      <c r="D7028" t="s">
        <v>11</v>
      </c>
      <c r="E7028" t="s">
        <v>12</v>
      </c>
      <c r="F7028">
        <v>38520975</v>
      </c>
      <c r="G7028">
        <v>38520995</v>
      </c>
      <c r="H7028">
        <v>38520975</v>
      </c>
      <c r="I7028">
        <v>38520995</v>
      </c>
    </row>
    <row r="7029" spans="1:9" x14ac:dyDescent="0.2">
      <c r="A7029" s="1" t="str">
        <f>"GJD3"</f>
        <v>GJD3</v>
      </c>
      <c r="B7029" t="s">
        <v>13</v>
      </c>
      <c r="C7029" t="s">
        <v>28</v>
      </c>
      <c r="D7029" t="s">
        <v>11</v>
      </c>
      <c r="E7029" t="s">
        <v>12</v>
      </c>
      <c r="F7029">
        <v>38519889</v>
      </c>
      <c r="G7029">
        <v>38519925</v>
      </c>
      <c r="H7029">
        <v>38519889</v>
      </c>
      <c r="I7029">
        <v>38519925</v>
      </c>
    </row>
    <row r="7030" spans="1:9" x14ac:dyDescent="0.2">
      <c r="A7030" s="1" t="str">
        <f>"GJD4"</f>
        <v>GJD4</v>
      </c>
      <c r="B7030" t="s">
        <v>534</v>
      </c>
      <c r="C7030" t="s">
        <v>15</v>
      </c>
      <c r="D7030" t="s">
        <v>17</v>
      </c>
      <c r="E7030" t="s">
        <v>35</v>
      </c>
      <c r="F7030">
        <v>35894234</v>
      </c>
      <c r="G7030">
        <v>35894243</v>
      </c>
      <c r="H7030">
        <v>35894364</v>
      </c>
      <c r="I7030">
        <v>35894370</v>
      </c>
    </row>
    <row r="7031" spans="1:9" x14ac:dyDescent="0.2">
      <c r="A7031" s="1" t="str">
        <f>"GJE1"</f>
        <v>GJE1</v>
      </c>
      <c r="B7031" t="s">
        <v>535</v>
      </c>
      <c r="C7031" t="s">
        <v>32</v>
      </c>
      <c r="D7031" t="s">
        <v>17</v>
      </c>
      <c r="E7031" t="s">
        <v>20</v>
      </c>
      <c r="F7031">
        <v>142454226</v>
      </c>
      <c r="G7031">
        <v>142454226</v>
      </c>
      <c r="H7031">
        <v>142454226</v>
      </c>
      <c r="I7031">
        <v>142454226</v>
      </c>
    </row>
    <row r="7032" spans="1:9" x14ac:dyDescent="0.2">
      <c r="A7032" s="1" t="str">
        <f>"GK"</f>
        <v>GK</v>
      </c>
      <c r="B7032" t="s">
        <v>14</v>
      </c>
      <c r="C7032" t="s">
        <v>37</v>
      </c>
      <c r="D7032" t="s">
        <v>17</v>
      </c>
      <c r="E7032" t="s">
        <v>12</v>
      </c>
      <c r="F7032">
        <v>30671504</v>
      </c>
      <c r="G7032">
        <v>30671547</v>
      </c>
      <c r="H7032">
        <v>30671483</v>
      </c>
      <c r="I7032">
        <v>30671500</v>
      </c>
    </row>
    <row r="7033" spans="1:9" x14ac:dyDescent="0.2">
      <c r="A7033" s="1" t="str">
        <f>"GK2"</f>
        <v>GK2</v>
      </c>
      <c r="B7033" t="s">
        <v>14</v>
      </c>
      <c r="C7033" t="s">
        <v>23</v>
      </c>
      <c r="D7033" t="s">
        <v>11</v>
      </c>
      <c r="E7033" t="s">
        <v>12</v>
      </c>
      <c r="F7033">
        <v>80329356</v>
      </c>
      <c r="G7033">
        <v>80329387</v>
      </c>
      <c r="H7033">
        <v>80329388</v>
      </c>
      <c r="I7033">
        <v>80329396</v>
      </c>
    </row>
    <row r="7034" spans="1:9" x14ac:dyDescent="0.2">
      <c r="A7034" s="1" t="str">
        <f>"GK5"</f>
        <v>GK5</v>
      </c>
      <c r="B7034" t="s">
        <v>14</v>
      </c>
      <c r="C7034" t="s">
        <v>22</v>
      </c>
      <c r="D7034" t="s">
        <v>11</v>
      </c>
      <c r="E7034" t="s">
        <v>12</v>
      </c>
      <c r="F7034">
        <v>141944398</v>
      </c>
      <c r="G7034">
        <v>141944465</v>
      </c>
      <c r="H7034">
        <v>141944333</v>
      </c>
      <c r="I7034">
        <v>141944373</v>
      </c>
    </row>
    <row r="7035" spans="1:9" x14ac:dyDescent="0.2">
      <c r="A7035" s="1" t="str">
        <f>"GKAP1"</f>
        <v>GKAP1</v>
      </c>
      <c r="B7035" t="s">
        <v>14</v>
      </c>
      <c r="C7035" t="s">
        <v>24</v>
      </c>
      <c r="D7035" t="s">
        <v>11</v>
      </c>
      <c r="E7035" t="s">
        <v>12</v>
      </c>
      <c r="F7035">
        <v>86432647</v>
      </c>
      <c r="G7035">
        <v>86432699</v>
      </c>
      <c r="H7035">
        <v>86432702</v>
      </c>
      <c r="I7035">
        <v>86432757</v>
      </c>
    </row>
    <row r="7036" spans="1:9" x14ac:dyDescent="0.2">
      <c r="A7036" s="1" t="str">
        <f>"GKN1"</f>
        <v>GKN1</v>
      </c>
      <c r="B7036" t="s">
        <v>14</v>
      </c>
      <c r="C7036" t="s">
        <v>26</v>
      </c>
      <c r="D7036" t="s">
        <v>17</v>
      </c>
      <c r="E7036" t="s">
        <v>12</v>
      </c>
      <c r="F7036">
        <v>69201753</v>
      </c>
      <c r="G7036">
        <v>69201776</v>
      </c>
      <c r="H7036">
        <v>69201753</v>
      </c>
      <c r="I7036">
        <v>69201776</v>
      </c>
    </row>
    <row r="7037" spans="1:9" x14ac:dyDescent="0.2">
      <c r="A7037" s="1" t="str">
        <f>"GKN2"</f>
        <v>GKN2</v>
      </c>
      <c r="B7037" t="s">
        <v>14</v>
      </c>
      <c r="C7037" t="s">
        <v>26</v>
      </c>
      <c r="D7037" t="s">
        <v>11</v>
      </c>
      <c r="E7037" t="s">
        <v>12</v>
      </c>
      <c r="F7037">
        <v>69180018</v>
      </c>
      <c r="G7037">
        <v>69180036</v>
      </c>
      <c r="H7037">
        <v>69180052</v>
      </c>
      <c r="I7037">
        <v>69180063</v>
      </c>
    </row>
    <row r="7038" spans="1:9" x14ac:dyDescent="0.2">
      <c r="A7038" s="1" t="str">
        <f>"GLA"</f>
        <v>GLA</v>
      </c>
      <c r="B7038" t="s">
        <v>14</v>
      </c>
      <c r="C7038" t="s">
        <v>37</v>
      </c>
      <c r="D7038" t="s">
        <v>11</v>
      </c>
      <c r="E7038" t="s">
        <v>12</v>
      </c>
      <c r="F7038">
        <v>100662881</v>
      </c>
      <c r="G7038">
        <v>100662926</v>
      </c>
      <c r="H7038">
        <v>100662793</v>
      </c>
      <c r="I7038">
        <v>100662809</v>
      </c>
    </row>
    <row r="7039" spans="1:9" x14ac:dyDescent="0.2">
      <c r="A7039" s="1" t="str">
        <f>"GLB1"</f>
        <v>GLB1</v>
      </c>
      <c r="B7039" t="s">
        <v>14</v>
      </c>
      <c r="C7039" t="s">
        <v>22</v>
      </c>
      <c r="D7039" t="s">
        <v>11</v>
      </c>
      <c r="E7039" t="s">
        <v>12</v>
      </c>
      <c r="F7039">
        <v>33138624</v>
      </c>
      <c r="G7039">
        <v>33138645</v>
      </c>
      <c r="H7039">
        <v>33138592</v>
      </c>
      <c r="I7039">
        <v>33138621</v>
      </c>
    </row>
    <row r="7040" spans="1:9" x14ac:dyDescent="0.2">
      <c r="A7040" s="1" t="str">
        <f>"GLB1L"</f>
        <v>GLB1L</v>
      </c>
      <c r="B7040" t="s">
        <v>9</v>
      </c>
      <c r="C7040" t="s">
        <v>26</v>
      </c>
      <c r="D7040" t="s">
        <v>11</v>
      </c>
      <c r="E7040" t="s">
        <v>12</v>
      </c>
      <c r="F7040">
        <v>220108309</v>
      </c>
      <c r="G7040">
        <v>220108346</v>
      </c>
      <c r="H7040">
        <v>220108309</v>
      </c>
      <c r="I7040">
        <v>220108346</v>
      </c>
    </row>
    <row r="7041" spans="1:9" x14ac:dyDescent="0.2">
      <c r="A7041" s="1" t="str">
        <f>"GLB1L"</f>
        <v>GLB1L</v>
      </c>
      <c r="B7041" t="s">
        <v>13</v>
      </c>
      <c r="C7041" t="s">
        <v>26</v>
      </c>
      <c r="D7041" t="s">
        <v>11</v>
      </c>
      <c r="E7041" t="s">
        <v>12</v>
      </c>
      <c r="F7041">
        <v>220110111</v>
      </c>
      <c r="G7041">
        <v>220110180</v>
      </c>
      <c r="H7041">
        <v>220110111</v>
      </c>
      <c r="I7041">
        <v>220110180</v>
      </c>
    </row>
    <row r="7042" spans="1:9" x14ac:dyDescent="0.2">
      <c r="A7042" s="1" t="str">
        <f>"GLB1L2"</f>
        <v>GLB1L2</v>
      </c>
      <c r="B7042" t="s">
        <v>14</v>
      </c>
      <c r="C7042" t="s">
        <v>27</v>
      </c>
      <c r="D7042" t="s">
        <v>17</v>
      </c>
      <c r="E7042" t="s">
        <v>12</v>
      </c>
      <c r="F7042">
        <v>134201871</v>
      </c>
      <c r="G7042">
        <v>134201910</v>
      </c>
      <c r="H7042">
        <v>134201911</v>
      </c>
      <c r="I7042">
        <v>134201954</v>
      </c>
    </row>
    <row r="7043" spans="1:9" x14ac:dyDescent="0.2">
      <c r="A7043" s="1" t="str">
        <f>"GLB1L3"</f>
        <v>GLB1L3</v>
      </c>
      <c r="B7043" t="s">
        <v>14</v>
      </c>
      <c r="C7043" t="s">
        <v>27</v>
      </c>
      <c r="D7043" t="s">
        <v>17</v>
      </c>
      <c r="E7043" t="s">
        <v>12</v>
      </c>
      <c r="F7043">
        <v>134146239</v>
      </c>
      <c r="G7043">
        <v>134146287</v>
      </c>
      <c r="H7043">
        <v>134146194</v>
      </c>
      <c r="I7043">
        <v>134146209</v>
      </c>
    </row>
    <row r="7044" spans="1:9" x14ac:dyDescent="0.2">
      <c r="A7044" s="1" t="str">
        <f>"GLCCI1"</f>
        <v>GLCCI1</v>
      </c>
      <c r="B7044" t="s">
        <v>14</v>
      </c>
      <c r="C7044" t="s">
        <v>33</v>
      </c>
      <c r="D7044" t="s">
        <v>17</v>
      </c>
      <c r="E7044" t="s">
        <v>12</v>
      </c>
      <c r="F7044">
        <v>8008874</v>
      </c>
      <c r="G7044">
        <v>8008930</v>
      </c>
      <c r="H7044">
        <v>8008418</v>
      </c>
      <c r="I7044">
        <v>8008443</v>
      </c>
    </row>
    <row r="7045" spans="1:9" x14ac:dyDescent="0.2">
      <c r="A7045" s="1" t="str">
        <f>"GLCE"</f>
        <v>GLCE</v>
      </c>
      <c r="B7045" t="s">
        <v>14</v>
      </c>
      <c r="C7045" t="s">
        <v>25</v>
      </c>
      <c r="D7045" t="s">
        <v>17</v>
      </c>
      <c r="E7045" t="s">
        <v>12</v>
      </c>
      <c r="F7045">
        <v>69452959</v>
      </c>
      <c r="G7045">
        <v>69452987</v>
      </c>
      <c r="H7045">
        <v>69452959</v>
      </c>
      <c r="I7045">
        <v>69452987</v>
      </c>
    </row>
    <row r="7046" spans="1:9" x14ac:dyDescent="0.2">
      <c r="A7046" s="1" t="str">
        <f>"GLDC"</f>
        <v>GLDC</v>
      </c>
      <c r="B7046" t="s">
        <v>14</v>
      </c>
      <c r="C7046" t="s">
        <v>24</v>
      </c>
      <c r="D7046" t="s">
        <v>11</v>
      </c>
      <c r="E7046" t="s">
        <v>12</v>
      </c>
      <c r="F7046">
        <v>6645702</v>
      </c>
      <c r="G7046">
        <v>6645734</v>
      </c>
      <c r="H7046">
        <v>6645702</v>
      </c>
      <c r="I7046">
        <v>6645734</v>
      </c>
    </row>
    <row r="7047" spans="1:9" x14ac:dyDescent="0.2">
      <c r="A7047" s="1" t="str">
        <f>"GLDN"</f>
        <v>GLDN</v>
      </c>
      <c r="B7047" t="s">
        <v>14</v>
      </c>
      <c r="C7047" t="s">
        <v>25</v>
      </c>
      <c r="D7047" t="s">
        <v>17</v>
      </c>
      <c r="E7047" t="s">
        <v>12</v>
      </c>
      <c r="F7047">
        <v>51633845</v>
      </c>
      <c r="G7047">
        <v>51633858</v>
      </c>
      <c r="H7047">
        <v>51633845</v>
      </c>
      <c r="I7047">
        <v>51633858</v>
      </c>
    </row>
    <row r="7048" spans="1:9" x14ac:dyDescent="0.2">
      <c r="A7048" s="1" t="str">
        <f>"GLE1"</f>
        <v>GLE1</v>
      </c>
      <c r="B7048" t="s">
        <v>14</v>
      </c>
      <c r="C7048" t="s">
        <v>24</v>
      </c>
      <c r="D7048" t="s">
        <v>17</v>
      </c>
      <c r="E7048" t="s">
        <v>12</v>
      </c>
      <c r="F7048">
        <v>131266963</v>
      </c>
      <c r="G7048">
        <v>131267036</v>
      </c>
      <c r="H7048">
        <v>131267052</v>
      </c>
      <c r="I7048">
        <v>131267065</v>
      </c>
    </row>
    <row r="7049" spans="1:9" x14ac:dyDescent="0.2">
      <c r="A7049" s="1" t="str">
        <f>"GLG1"</f>
        <v>GLG1</v>
      </c>
      <c r="B7049" t="s">
        <v>14</v>
      </c>
      <c r="C7049" t="s">
        <v>31</v>
      </c>
      <c r="D7049" t="s">
        <v>11</v>
      </c>
      <c r="E7049" t="s">
        <v>12</v>
      </c>
      <c r="F7049">
        <v>74640986</v>
      </c>
      <c r="G7049">
        <v>74641022</v>
      </c>
      <c r="H7049">
        <v>74640986</v>
      </c>
      <c r="I7049">
        <v>74641022</v>
      </c>
    </row>
    <row r="7050" spans="1:9" x14ac:dyDescent="0.2">
      <c r="A7050" s="1" t="str">
        <f>"GLI1"</f>
        <v>GLI1</v>
      </c>
      <c r="B7050" t="s">
        <v>14</v>
      </c>
      <c r="C7050" t="s">
        <v>16</v>
      </c>
      <c r="D7050" t="s">
        <v>17</v>
      </c>
      <c r="E7050" t="s">
        <v>12</v>
      </c>
      <c r="F7050">
        <v>57853565</v>
      </c>
      <c r="G7050">
        <v>57853579</v>
      </c>
      <c r="H7050">
        <v>57853565</v>
      </c>
      <c r="I7050">
        <v>57853579</v>
      </c>
    </row>
    <row r="7051" spans="1:9" x14ac:dyDescent="0.2">
      <c r="A7051" s="1" t="str">
        <f>"GLI2"</f>
        <v>GLI2</v>
      </c>
      <c r="B7051" t="s">
        <v>536</v>
      </c>
      <c r="C7051" t="s">
        <v>26</v>
      </c>
      <c r="D7051" t="s">
        <v>17</v>
      </c>
      <c r="E7051" t="s">
        <v>20</v>
      </c>
      <c r="F7051">
        <v>121554866</v>
      </c>
      <c r="G7051">
        <v>121554866</v>
      </c>
      <c r="H7051">
        <v>121554866</v>
      </c>
      <c r="I7051">
        <v>121554866</v>
      </c>
    </row>
    <row r="7052" spans="1:9" x14ac:dyDescent="0.2">
      <c r="A7052" s="1" t="str">
        <f>"GLI2"</f>
        <v>GLI2</v>
      </c>
      <c r="B7052" t="s">
        <v>537</v>
      </c>
      <c r="C7052" t="s">
        <v>26</v>
      </c>
      <c r="D7052" t="s">
        <v>17</v>
      </c>
      <c r="E7052" t="s">
        <v>75</v>
      </c>
      <c r="F7052">
        <v>121549825</v>
      </c>
      <c r="G7052">
        <v>121549826</v>
      </c>
      <c r="H7052">
        <v>121549825</v>
      </c>
      <c r="I7052">
        <v>121549826</v>
      </c>
    </row>
    <row r="7053" spans="1:9" x14ac:dyDescent="0.2">
      <c r="A7053" s="1" t="str">
        <f>"GLI3"</f>
        <v>GLI3</v>
      </c>
      <c r="B7053" t="s">
        <v>14</v>
      </c>
      <c r="C7053" t="s">
        <v>33</v>
      </c>
      <c r="D7053" t="s">
        <v>11</v>
      </c>
      <c r="E7053" t="s">
        <v>12</v>
      </c>
      <c r="F7053">
        <v>42276787</v>
      </c>
      <c r="G7053">
        <v>42276815</v>
      </c>
      <c r="H7053">
        <v>42276787</v>
      </c>
      <c r="I7053">
        <v>42276815</v>
      </c>
    </row>
    <row r="7054" spans="1:9" x14ac:dyDescent="0.2">
      <c r="A7054" s="1" t="str">
        <f>"GLI4"</f>
        <v>GLI4</v>
      </c>
      <c r="B7054" t="s">
        <v>14</v>
      </c>
      <c r="C7054" t="s">
        <v>30</v>
      </c>
      <c r="D7054" t="s">
        <v>17</v>
      </c>
      <c r="E7054" t="s">
        <v>12</v>
      </c>
      <c r="F7054">
        <v>144349606</v>
      </c>
      <c r="G7054">
        <v>144349656</v>
      </c>
      <c r="H7054">
        <v>144349592</v>
      </c>
      <c r="I7054">
        <v>144349597</v>
      </c>
    </row>
    <row r="7055" spans="1:9" x14ac:dyDescent="0.2">
      <c r="A7055" s="1" t="str">
        <f>"GLIPR1"</f>
        <v>GLIPR1</v>
      </c>
      <c r="B7055" t="s">
        <v>14</v>
      </c>
      <c r="C7055" t="s">
        <v>16</v>
      </c>
      <c r="D7055" t="s">
        <v>17</v>
      </c>
      <c r="E7055" t="s">
        <v>12</v>
      </c>
      <c r="F7055">
        <v>75874525</v>
      </c>
      <c r="G7055">
        <v>75874549</v>
      </c>
      <c r="H7055">
        <v>75874580</v>
      </c>
      <c r="I7055">
        <v>75874611</v>
      </c>
    </row>
    <row r="7056" spans="1:9" x14ac:dyDescent="0.2">
      <c r="A7056" s="1" t="str">
        <f>"GLIPR1L1"</f>
        <v>GLIPR1L1</v>
      </c>
      <c r="B7056" t="s">
        <v>14</v>
      </c>
      <c r="C7056" t="s">
        <v>16</v>
      </c>
      <c r="D7056" t="s">
        <v>17</v>
      </c>
      <c r="E7056" t="s">
        <v>67</v>
      </c>
      <c r="F7056">
        <v>75728652</v>
      </c>
      <c r="G7056">
        <v>75728653</v>
      </c>
      <c r="H7056">
        <v>75728446</v>
      </c>
      <c r="I7056">
        <v>75728476</v>
      </c>
    </row>
    <row r="7057" spans="1:9" x14ac:dyDescent="0.2">
      <c r="A7057" s="1" t="str">
        <f>"GLIPR1L2"</f>
        <v>GLIPR1L2</v>
      </c>
      <c r="B7057" t="s">
        <v>14</v>
      </c>
      <c r="C7057" t="s">
        <v>16</v>
      </c>
      <c r="D7057" t="s">
        <v>17</v>
      </c>
      <c r="E7057" t="s">
        <v>12</v>
      </c>
      <c r="F7057">
        <v>75784859</v>
      </c>
      <c r="G7057">
        <v>75784892</v>
      </c>
      <c r="H7057">
        <v>75784859</v>
      </c>
      <c r="I7057">
        <v>75784892</v>
      </c>
    </row>
    <row r="7058" spans="1:9" x14ac:dyDescent="0.2">
      <c r="A7058" s="1" t="str">
        <f>"GLIPR2"</f>
        <v>GLIPR2</v>
      </c>
      <c r="B7058" t="s">
        <v>14</v>
      </c>
      <c r="C7058" t="s">
        <v>24</v>
      </c>
      <c r="D7058" t="s">
        <v>17</v>
      </c>
      <c r="E7058" t="s">
        <v>12</v>
      </c>
      <c r="F7058">
        <v>36136700</v>
      </c>
      <c r="G7058">
        <v>36136739</v>
      </c>
      <c r="H7058">
        <v>36136749</v>
      </c>
      <c r="I7058">
        <v>36136760</v>
      </c>
    </row>
    <row r="7059" spans="1:9" x14ac:dyDescent="0.2">
      <c r="A7059" s="1" t="str">
        <f>"GLIS1"</f>
        <v>GLIS1</v>
      </c>
      <c r="B7059" t="s">
        <v>538</v>
      </c>
      <c r="C7059" t="s">
        <v>19</v>
      </c>
      <c r="D7059" t="s">
        <v>11</v>
      </c>
      <c r="E7059" t="s">
        <v>75</v>
      </c>
      <c r="F7059">
        <v>54199872</v>
      </c>
      <c r="G7059">
        <v>54199878</v>
      </c>
      <c r="H7059">
        <v>54199872</v>
      </c>
      <c r="I7059">
        <v>54199878</v>
      </c>
    </row>
    <row r="7060" spans="1:9" x14ac:dyDescent="0.2">
      <c r="A7060" s="1" t="str">
        <f>"GLIS2"</f>
        <v>GLIS2</v>
      </c>
      <c r="B7060" t="s">
        <v>14</v>
      </c>
      <c r="C7060" t="s">
        <v>31</v>
      </c>
      <c r="D7060" t="s">
        <v>17</v>
      </c>
      <c r="E7060" t="s">
        <v>12</v>
      </c>
      <c r="F7060">
        <v>4384868</v>
      </c>
      <c r="G7060">
        <v>4384884</v>
      </c>
      <c r="H7060">
        <v>4384868</v>
      </c>
      <c r="I7060">
        <v>4384884</v>
      </c>
    </row>
    <row r="7061" spans="1:9" x14ac:dyDescent="0.2">
      <c r="A7061" s="1" t="str">
        <f>"GLIS3"</f>
        <v>GLIS3</v>
      </c>
      <c r="B7061" t="s">
        <v>14</v>
      </c>
      <c r="C7061" t="s">
        <v>24</v>
      </c>
      <c r="D7061" t="s">
        <v>11</v>
      </c>
      <c r="E7061" t="s">
        <v>12</v>
      </c>
      <c r="F7061">
        <v>4300050</v>
      </c>
      <c r="G7061">
        <v>4300118</v>
      </c>
      <c r="H7061">
        <v>4300016</v>
      </c>
      <c r="I7061">
        <v>4300039</v>
      </c>
    </row>
    <row r="7062" spans="1:9" x14ac:dyDescent="0.2">
      <c r="A7062" s="1" t="str">
        <f>"GLMN"</f>
        <v>GLMN</v>
      </c>
      <c r="B7062" t="s">
        <v>14</v>
      </c>
      <c r="C7062" t="s">
        <v>19</v>
      </c>
      <c r="D7062" t="s">
        <v>11</v>
      </c>
      <c r="E7062" t="s">
        <v>12</v>
      </c>
      <c r="F7062">
        <v>92764523</v>
      </c>
      <c r="G7062">
        <v>92764551</v>
      </c>
      <c r="H7062">
        <v>92764560</v>
      </c>
      <c r="I7062">
        <v>92764571</v>
      </c>
    </row>
    <row r="7063" spans="1:9" x14ac:dyDescent="0.2">
      <c r="A7063" s="1" t="str">
        <f>"GLO1"</f>
        <v>GLO1</v>
      </c>
      <c r="B7063" t="s">
        <v>14</v>
      </c>
      <c r="C7063" t="s">
        <v>32</v>
      </c>
      <c r="D7063" t="s">
        <v>11</v>
      </c>
      <c r="E7063" t="s">
        <v>12</v>
      </c>
      <c r="F7063">
        <v>38670897</v>
      </c>
      <c r="G7063">
        <v>38670930</v>
      </c>
      <c r="H7063">
        <v>38670845</v>
      </c>
      <c r="I7063">
        <v>38670895</v>
      </c>
    </row>
    <row r="7064" spans="1:9" x14ac:dyDescent="0.2">
      <c r="A7064" s="1" t="str">
        <f>"GLOD4"</f>
        <v>GLOD4</v>
      </c>
      <c r="B7064" t="s">
        <v>14</v>
      </c>
      <c r="C7064" t="s">
        <v>28</v>
      </c>
      <c r="D7064" t="s">
        <v>11</v>
      </c>
      <c r="E7064" t="s">
        <v>12</v>
      </c>
      <c r="F7064">
        <v>685493</v>
      </c>
      <c r="G7064">
        <v>685548</v>
      </c>
      <c r="H7064">
        <v>685559</v>
      </c>
      <c r="I7064">
        <v>685576</v>
      </c>
    </row>
    <row r="7065" spans="1:9" x14ac:dyDescent="0.2">
      <c r="A7065" s="1" t="str">
        <f>"GLOD5"</f>
        <v>GLOD5</v>
      </c>
      <c r="B7065" t="s">
        <v>14</v>
      </c>
      <c r="C7065" t="s">
        <v>37</v>
      </c>
      <c r="D7065" t="s">
        <v>17</v>
      </c>
      <c r="E7065" t="s">
        <v>12</v>
      </c>
      <c r="F7065">
        <v>48620171</v>
      </c>
      <c r="G7065">
        <v>48620199</v>
      </c>
      <c r="H7065">
        <v>48620147</v>
      </c>
      <c r="I7065">
        <v>48620164</v>
      </c>
    </row>
    <row r="7066" spans="1:9" x14ac:dyDescent="0.2">
      <c r="A7066" s="1" t="str">
        <f>"GLP1R"</f>
        <v>GLP1R</v>
      </c>
      <c r="B7066" t="s">
        <v>14</v>
      </c>
      <c r="C7066" t="s">
        <v>32</v>
      </c>
      <c r="D7066" t="s">
        <v>17</v>
      </c>
      <c r="E7066" t="s">
        <v>12</v>
      </c>
      <c r="F7066">
        <v>39016551</v>
      </c>
      <c r="G7066">
        <v>39016566</v>
      </c>
      <c r="H7066">
        <v>39016568</v>
      </c>
      <c r="I7066">
        <v>39016579</v>
      </c>
    </row>
    <row r="7067" spans="1:9" x14ac:dyDescent="0.2">
      <c r="A7067" s="1" t="str">
        <f>"GLP2R"</f>
        <v>GLP2R</v>
      </c>
      <c r="B7067" t="s">
        <v>14</v>
      </c>
      <c r="C7067" t="s">
        <v>28</v>
      </c>
      <c r="D7067" t="s">
        <v>17</v>
      </c>
      <c r="E7067" t="s">
        <v>12</v>
      </c>
      <c r="F7067">
        <v>9745841</v>
      </c>
      <c r="G7067">
        <v>9745870</v>
      </c>
      <c r="H7067">
        <v>9745786</v>
      </c>
      <c r="I7067">
        <v>9745816</v>
      </c>
    </row>
    <row r="7068" spans="1:9" x14ac:dyDescent="0.2">
      <c r="A7068" s="1" t="str">
        <f>"GLRA1"</f>
        <v>GLRA1</v>
      </c>
      <c r="B7068" t="s">
        <v>14</v>
      </c>
      <c r="C7068" t="s">
        <v>46</v>
      </c>
      <c r="D7068" t="s">
        <v>11</v>
      </c>
      <c r="E7068" t="s">
        <v>12</v>
      </c>
      <c r="F7068">
        <v>151304337</v>
      </c>
      <c r="G7068">
        <v>151304405</v>
      </c>
      <c r="H7068">
        <v>151304407</v>
      </c>
      <c r="I7068">
        <v>151304416</v>
      </c>
    </row>
    <row r="7069" spans="1:9" x14ac:dyDescent="0.2">
      <c r="A7069" s="1" t="str">
        <f>"GLRA2"</f>
        <v>GLRA2</v>
      </c>
      <c r="B7069" t="s">
        <v>14</v>
      </c>
      <c r="C7069" t="s">
        <v>37</v>
      </c>
      <c r="D7069" t="s">
        <v>17</v>
      </c>
      <c r="E7069" t="s">
        <v>12</v>
      </c>
      <c r="F7069">
        <v>14547632</v>
      </c>
      <c r="G7069">
        <v>14547682</v>
      </c>
      <c r="H7069">
        <v>14547604</v>
      </c>
      <c r="I7069">
        <v>14547618</v>
      </c>
    </row>
    <row r="7070" spans="1:9" x14ac:dyDescent="0.2">
      <c r="A7070" s="1" t="str">
        <f>"GLRA3"</f>
        <v>GLRA3</v>
      </c>
      <c r="B7070" t="s">
        <v>14</v>
      </c>
      <c r="C7070" t="s">
        <v>23</v>
      </c>
      <c r="D7070" t="s">
        <v>11</v>
      </c>
      <c r="E7070" t="s">
        <v>12</v>
      </c>
      <c r="F7070">
        <v>175750364</v>
      </c>
      <c r="G7070">
        <v>175750436</v>
      </c>
      <c r="H7070">
        <v>175750301</v>
      </c>
      <c r="I7070">
        <v>175750313</v>
      </c>
    </row>
    <row r="7071" spans="1:9" x14ac:dyDescent="0.2">
      <c r="A7071" s="1" t="str">
        <f>"GLRA4"</f>
        <v>GLRA4</v>
      </c>
      <c r="B7071" t="s">
        <v>14</v>
      </c>
      <c r="C7071" t="s">
        <v>37</v>
      </c>
      <c r="D7071" t="s">
        <v>11</v>
      </c>
      <c r="E7071" t="s">
        <v>12</v>
      </c>
      <c r="F7071">
        <v>102983417</v>
      </c>
      <c r="G7071">
        <v>102983428</v>
      </c>
      <c r="H7071">
        <v>102983417</v>
      </c>
      <c r="I7071">
        <v>102983428</v>
      </c>
    </row>
    <row r="7072" spans="1:9" x14ac:dyDescent="0.2">
      <c r="A7072" s="1" t="str">
        <f>"GLRB"</f>
        <v>GLRB</v>
      </c>
      <c r="B7072" t="s">
        <v>14</v>
      </c>
      <c r="C7072" t="s">
        <v>23</v>
      </c>
      <c r="D7072" t="s">
        <v>17</v>
      </c>
      <c r="E7072" t="s">
        <v>12</v>
      </c>
      <c r="F7072">
        <v>157997273</v>
      </c>
      <c r="G7072">
        <v>157997391</v>
      </c>
      <c r="H7072">
        <v>157997240</v>
      </c>
      <c r="I7072">
        <v>157997259</v>
      </c>
    </row>
    <row r="7073" spans="1:9" x14ac:dyDescent="0.2">
      <c r="A7073" s="1" t="str">
        <f>"GLRX"</f>
        <v>GLRX</v>
      </c>
      <c r="B7073" t="s">
        <v>14</v>
      </c>
      <c r="C7073" t="s">
        <v>46</v>
      </c>
      <c r="D7073" t="s">
        <v>11</v>
      </c>
      <c r="E7073" t="s">
        <v>12</v>
      </c>
      <c r="F7073">
        <v>95158375</v>
      </c>
      <c r="G7073">
        <v>95158485</v>
      </c>
      <c r="H7073">
        <v>95157986</v>
      </c>
      <c r="I7073">
        <v>95158004</v>
      </c>
    </row>
    <row r="7074" spans="1:9" x14ac:dyDescent="0.2">
      <c r="A7074" s="1" t="str">
        <f>"GLRX2"</f>
        <v>GLRX2</v>
      </c>
      <c r="B7074" t="s">
        <v>14</v>
      </c>
      <c r="C7074" t="s">
        <v>19</v>
      </c>
      <c r="D7074" t="s">
        <v>11</v>
      </c>
      <c r="E7074" t="s">
        <v>12</v>
      </c>
      <c r="F7074">
        <v>193074504</v>
      </c>
      <c r="G7074">
        <v>193074585</v>
      </c>
      <c r="H7074">
        <v>193075180</v>
      </c>
      <c r="I7074">
        <v>193075192</v>
      </c>
    </row>
    <row r="7075" spans="1:9" x14ac:dyDescent="0.2">
      <c r="A7075" s="1" t="str">
        <f>"GLRX3"</f>
        <v>GLRX3</v>
      </c>
      <c r="B7075" t="s">
        <v>14</v>
      </c>
      <c r="C7075" t="s">
        <v>15</v>
      </c>
      <c r="D7075" t="s">
        <v>17</v>
      </c>
      <c r="E7075" t="s">
        <v>12</v>
      </c>
      <c r="F7075">
        <v>131934643</v>
      </c>
      <c r="G7075">
        <v>131934687</v>
      </c>
      <c r="H7075">
        <v>131934774</v>
      </c>
      <c r="I7075">
        <v>131934779</v>
      </c>
    </row>
    <row r="7076" spans="1:9" x14ac:dyDescent="0.2">
      <c r="A7076" s="1" t="str">
        <f>"GLRX5"</f>
        <v>GLRX5</v>
      </c>
      <c r="B7076" t="s">
        <v>14</v>
      </c>
      <c r="C7076" t="s">
        <v>41</v>
      </c>
      <c r="D7076" t="s">
        <v>17</v>
      </c>
      <c r="E7076" t="s">
        <v>12</v>
      </c>
      <c r="F7076">
        <v>96001346</v>
      </c>
      <c r="G7076">
        <v>96001410</v>
      </c>
      <c r="H7076">
        <v>96000985</v>
      </c>
      <c r="I7076">
        <v>96001053</v>
      </c>
    </row>
    <row r="7077" spans="1:9" x14ac:dyDescent="0.2">
      <c r="A7077" s="1" t="str">
        <f>"GLS"</f>
        <v>GLS</v>
      </c>
      <c r="B7077" t="s">
        <v>14</v>
      </c>
      <c r="C7077" t="s">
        <v>26</v>
      </c>
      <c r="D7077" t="s">
        <v>17</v>
      </c>
      <c r="E7077" t="s">
        <v>12</v>
      </c>
      <c r="F7077">
        <v>191745535</v>
      </c>
      <c r="G7077">
        <v>191745555</v>
      </c>
      <c r="H7077">
        <v>191745563</v>
      </c>
      <c r="I7077">
        <v>191745574</v>
      </c>
    </row>
    <row r="7078" spans="1:9" x14ac:dyDescent="0.2">
      <c r="A7078" s="1" t="str">
        <f>"GLS2"</f>
        <v>GLS2</v>
      </c>
      <c r="B7078" t="s">
        <v>14</v>
      </c>
      <c r="C7078" t="s">
        <v>16</v>
      </c>
      <c r="D7078" t="s">
        <v>11</v>
      </c>
      <c r="E7078" t="s">
        <v>12</v>
      </c>
      <c r="F7078">
        <v>56882136</v>
      </c>
      <c r="G7078">
        <v>56882197</v>
      </c>
      <c r="H7078">
        <v>56881937</v>
      </c>
      <c r="I7078">
        <v>56881963</v>
      </c>
    </row>
    <row r="7079" spans="1:9" x14ac:dyDescent="0.2">
      <c r="A7079" s="1" t="str">
        <f>"GLT1D1"</f>
        <v>GLT1D1</v>
      </c>
      <c r="B7079" t="s">
        <v>14</v>
      </c>
      <c r="C7079" t="s">
        <v>16</v>
      </c>
      <c r="D7079" t="s">
        <v>17</v>
      </c>
      <c r="E7079" t="s">
        <v>12</v>
      </c>
      <c r="F7079">
        <v>129338008</v>
      </c>
      <c r="G7079">
        <v>129338108</v>
      </c>
      <c r="H7079">
        <v>129337963</v>
      </c>
      <c r="I7079">
        <v>129337976</v>
      </c>
    </row>
    <row r="7080" spans="1:9" x14ac:dyDescent="0.2">
      <c r="A7080" s="1" t="str">
        <f>"GLT6D1"</f>
        <v>GLT6D1</v>
      </c>
      <c r="B7080" t="s">
        <v>539</v>
      </c>
      <c r="C7080" t="s">
        <v>24</v>
      </c>
      <c r="D7080" t="s">
        <v>11</v>
      </c>
      <c r="E7080" t="s">
        <v>20</v>
      </c>
      <c r="F7080">
        <v>138531385</v>
      </c>
      <c r="G7080">
        <v>138531385</v>
      </c>
      <c r="H7080">
        <v>138531385</v>
      </c>
      <c r="I7080">
        <v>138531385</v>
      </c>
    </row>
    <row r="7081" spans="1:9" x14ac:dyDescent="0.2">
      <c r="A7081" s="1" t="str">
        <f>"GLT8D1"</f>
        <v>GLT8D1</v>
      </c>
      <c r="B7081" t="s">
        <v>14</v>
      </c>
      <c r="C7081" t="s">
        <v>22</v>
      </c>
      <c r="D7081" t="s">
        <v>11</v>
      </c>
      <c r="E7081" t="s">
        <v>12</v>
      </c>
      <c r="F7081">
        <v>52739762</v>
      </c>
      <c r="G7081">
        <v>52739823</v>
      </c>
      <c r="H7081">
        <v>52739588</v>
      </c>
      <c r="I7081">
        <v>52739621</v>
      </c>
    </row>
    <row r="7082" spans="1:9" x14ac:dyDescent="0.2">
      <c r="A7082" s="1" t="str">
        <f>"GLT8D2"</f>
        <v>GLT8D2</v>
      </c>
      <c r="B7082" t="s">
        <v>14</v>
      </c>
      <c r="C7082" t="s">
        <v>16</v>
      </c>
      <c r="D7082" t="s">
        <v>11</v>
      </c>
      <c r="E7082" t="s">
        <v>12</v>
      </c>
      <c r="F7082">
        <v>104443890</v>
      </c>
      <c r="G7082">
        <v>104443971</v>
      </c>
      <c r="H7082">
        <v>104443781</v>
      </c>
      <c r="I7082">
        <v>104443859</v>
      </c>
    </row>
    <row r="7083" spans="1:9" x14ac:dyDescent="0.2">
      <c r="A7083" s="1" t="str">
        <f>"GLTP"</f>
        <v>GLTP</v>
      </c>
      <c r="B7083" t="s">
        <v>14</v>
      </c>
      <c r="C7083" t="s">
        <v>16</v>
      </c>
      <c r="D7083" t="s">
        <v>11</v>
      </c>
      <c r="E7083" t="s">
        <v>12</v>
      </c>
      <c r="F7083">
        <v>110318263</v>
      </c>
      <c r="G7083">
        <v>110318320</v>
      </c>
      <c r="H7083">
        <v>110318334</v>
      </c>
      <c r="I7083">
        <v>110318354</v>
      </c>
    </row>
    <row r="7084" spans="1:9" x14ac:dyDescent="0.2">
      <c r="A7084" s="1" t="str">
        <f>"GLTPD1"</f>
        <v>GLTPD1</v>
      </c>
      <c r="B7084" t="s">
        <v>14</v>
      </c>
      <c r="C7084" t="s">
        <v>19</v>
      </c>
      <c r="D7084" t="s">
        <v>17</v>
      </c>
      <c r="E7084" t="s">
        <v>12</v>
      </c>
      <c r="F7084">
        <v>1260169</v>
      </c>
      <c r="G7084">
        <v>1260242</v>
      </c>
      <c r="H7084">
        <v>1260284</v>
      </c>
      <c r="I7084">
        <v>1260304</v>
      </c>
    </row>
    <row r="7085" spans="1:9" x14ac:dyDescent="0.2">
      <c r="A7085" s="1" t="str">
        <f>"GLTPD2"</f>
        <v>GLTPD2</v>
      </c>
      <c r="B7085" t="s">
        <v>14</v>
      </c>
      <c r="C7085" t="s">
        <v>28</v>
      </c>
      <c r="D7085" t="s">
        <v>17</v>
      </c>
      <c r="E7085" t="s">
        <v>12</v>
      </c>
      <c r="F7085">
        <v>4692230</v>
      </c>
      <c r="G7085">
        <v>4692265</v>
      </c>
      <c r="H7085">
        <v>4692350</v>
      </c>
      <c r="I7085">
        <v>4692364</v>
      </c>
    </row>
    <row r="7086" spans="1:9" x14ac:dyDescent="0.2">
      <c r="A7086" s="1" t="str">
        <f>"GLTSCR1"</f>
        <v>GLTSCR1</v>
      </c>
      <c r="B7086" t="s">
        <v>14</v>
      </c>
      <c r="C7086" t="s">
        <v>10</v>
      </c>
      <c r="D7086" t="s">
        <v>17</v>
      </c>
      <c r="E7086" t="s">
        <v>12</v>
      </c>
      <c r="F7086">
        <v>48111425</v>
      </c>
      <c r="G7086">
        <v>48111448</v>
      </c>
      <c r="H7086">
        <v>48111455</v>
      </c>
      <c r="I7086">
        <v>48111468</v>
      </c>
    </row>
    <row r="7087" spans="1:9" x14ac:dyDescent="0.2">
      <c r="A7087" s="1" t="str">
        <f>"GLTSCR1L"</f>
        <v>GLTSCR1L</v>
      </c>
      <c r="B7087" t="s">
        <v>14</v>
      </c>
      <c r="C7087" t="s">
        <v>32</v>
      </c>
      <c r="D7087" t="s">
        <v>17</v>
      </c>
      <c r="E7087" t="s">
        <v>12</v>
      </c>
      <c r="F7087">
        <v>42749782</v>
      </c>
      <c r="G7087">
        <v>42749817</v>
      </c>
      <c r="H7087">
        <v>42749782</v>
      </c>
      <c r="I7087">
        <v>42749817</v>
      </c>
    </row>
    <row r="7088" spans="1:9" x14ac:dyDescent="0.2">
      <c r="A7088" s="1" t="str">
        <f>"GLTSCR2"</f>
        <v>GLTSCR2</v>
      </c>
      <c r="B7088" t="s">
        <v>14</v>
      </c>
      <c r="C7088" t="s">
        <v>10</v>
      </c>
      <c r="D7088" t="s">
        <v>17</v>
      </c>
      <c r="E7088" t="s">
        <v>12</v>
      </c>
      <c r="F7088">
        <v>48248791</v>
      </c>
      <c r="G7088">
        <v>48248808</v>
      </c>
      <c r="H7088">
        <v>48248949</v>
      </c>
      <c r="I7088">
        <v>48248968</v>
      </c>
    </row>
    <row r="7089" spans="1:9" x14ac:dyDescent="0.2">
      <c r="A7089" s="1" t="str">
        <f>"GLUD1"</f>
        <v>GLUD1</v>
      </c>
      <c r="B7089" t="s">
        <v>14</v>
      </c>
      <c r="C7089" t="s">
        <v>15</v>
      </c>
      <c r="D7089" t="s">
        <v>11</v>
      </c>
      <c r="E7089" t="s">
        <v>12</v>
      </c>
      <c r="F7089">
        <v>88854518</v>
      </c>
      <c r="G7089">
        <v>88854634</v>
      </c>
      <c r="H7089">
        <v>88854756</v>
      </c>
      <c r="I7089">
        <v>88854807</v>
      </c>
    </row>
    <row r="7090" spans="1:9" x14ac:dyDescent="0.2">
      <c r="A7090" s="1" t="str">
        <f>"GLUD2"</f>
        <v>GLUD2</v>
      </c>
      <c r="B7090" t="s">
        <v>14</v>
      </c>
      <c r="C7090" t="s">
        <v>37</v>
      </c>
      <c r="D7090" t="s">
        <v>17</v>
      </c>
      <c r="E7090" t="s">
        <v>12</v>
      </c>
      <c r="F7090">
        <v>120181409</v>
      </c>
      <c r="G7090">
        <v>120181454</v>
      </c>
      <c r="H7090">
        <v>120181457</v>
      </c>
      <c r="I7090">
        <v>120181474</v>
      </c>
    </row>
    <row r="7091" spans="1:9" x14ac:dyDescent="0.2">
      <c r="A7091" s="1" t="str">
        <f>"GLUL"</f>
        <v>GLUL</v>
      </c>
      <c r="B7091" t="s">
        <v>14</v>
      </c>
      <c r="C7091" t="s">
        <v>19</v>
      </c>
      <c r="D7091" t="s">
        <v>11</v>
      </c>
      <c r="E7091" t="s">
        <v>12</v>
      </c>
      <c r="F7091">
        <v>182360918</v>
      </c>
      <c r="G7091">
        <v>182360933</v>
      </c>
      <c r="H7091">
        <v>182360458</v>
      </c>
      <c r="I7091">
        <v>182360484</v>
      </c>
    </row>
    <row r="7092" spans="1:9" x14ac:dyDescent="0.2">
      <c r="A7092" s="1" t="str">
        <f>"GLYAT"</f>
        <v>GLYAT</v>
      </c>
      <c r="B7092" t="s">
        <v>14</v>
      </c>
      <c r="C7092" t="s">
        <v>27</v>
      </c>
      <c r="D7092" t="s">
        <v>11</v>
      </c>
      <c r="E7092" t="s">
        <v>12</v>
      </c>
      <c r="F7092">
        <v>58499409</v>
      </c>
      <c r="G7092">
        <v>58499422</v>
      </c>
      <c r="H7092">
        <v>58499472</v>
      </c>
      <c r="I7092">
        <v>58499483</v>
      </c>
    </row>
    <row r="7093" spans="1:9" x14ac:dyDescent="0.2">
      <c r="A7093" s="1" t="str">
        <f>"GLYATL1"</f>
        <v>GLYATL1</v>
      </c>
      <c r="B7093" t="s">
        <v>9</v>
      </c>
      <c r="C7093" t="s">
        <v>27</v>
      </c>
      <c r="D7093" t="s">
        <v>17</v>
      </c>
      <c r="E7093" t="s">
        <v>12</v>
      </c>
      <c r="F7093">
        <v>58706944</v>
      </c>
      <c r="G7093">
        <v>58706968</v>
      </c>
      <c r="H7093">
        <v>58706944</v>
      </c>
      <c r="I7093">
        <v>58706968</v>
      </c>
    </row>
    <row r="7094" spans="1:9" x14ac:dyDescent="0.2">
      <c r="A7094" s="1" t="str">
        <f>"GLYATL1"</f>
        <v>GLYATL1</v>
      </c>
      <c r="B7094" t="s">
        <v>13</v>
      </c>
      <c r="C7094" t="s">
        <v>27</v>
      </c>
      <c r="D7094" t="s">
        <v>17</v>
      </c>
      <c r="E7094" t="s">
        <v>12</v>
      </c>
      <c r="F7094">
        <v>58710776</v>
      </c>
      <c r="G7094">
        <v>58710795</v>
      </c>
      <c r="H7094">
        <v>58710776</v>
      </c>
      <c r="I7094">
        <v>58710795</v>
      </c>
    </row>
    <row r="7095" spans="1:9" x14ac:dyDescent="0.2">
      <c r="A7095" s="1" t="str">
        <f>"GLYATL2"</f>
        <v>GLYATL2</v>
      </c>
      <c r="B7095" t="s">
        <v>14</v>
      </c>
      <c r="C7095" t="s">
        <v>27</v>
      </c>
      <c r="D7095" t="s">
        <v>11</v>
      </c>
      <c r="E7095" t="s">
        <v>12</v>
      </c>
      <c r="F7095">
        <v>58612168</v>
      </c>
      <c r="G7095">
        <v>58612184</v>
      </c>
      <c r="H7095">
        <v>58611957</v>
      </c>
      <c r="I7095">
        <v>58611975</v>
      </c>
    </row>
    <row r="7096" spans="1:9" x14ac:dyDescent="0.2">
      <c r="A7096" s="1" t="str">
        <f>"GLYATL3"</f>
        <v>GLYATL3</v>
      </c>
      <c r="B7096" t="s">
        <v>14</v>
      </c>
      <c r="C7096" t="s">
        <v>32</v>
      </c>
      <c r="D7096" t="s">
        <v>17</v>
      </c>
      <c r="E7096" t="s">
        <v>12</v>
      </c>
      <c r="F7096">
        <v>49467646</v>
      </c>
      <c r="G7096">
        <v>49467657</v>
      </c>
      <c r="H7096">
        <v>49467678</v>
      </c>
      <c r="I7096">
        <v>49467693</v>
      </c>
    </row>
    <row r="7097" spans="1:9" x14ac:dyDescent="0.2">
      <c r="A7097" s="1" t="str">
        <f>"GLYCTK"</f>
        <v>GLYCTK</v>
      </c>
      <c r="B7097" t="s">
        <v>9</v>
      </c>
      <c r="C7097" t="s">
        <v>22</v>
      </c>
      <c r="D7097" t="s">
        <v>17</v>
      </c>
      <c r="E7097" t="s">
        <v>12</v>
      </c>
      <c r="F7097">
        <v>52321827</v>
      </c>
      <c r="G7097">
        <v>52321859</v>
      </c>
      <c r="H7097">
        <v>52321827</v>
      </c>
      <c r="I7097">
        <v>52321859</v>
      </c>
    </row>
    <row r="7098" spans="1:9" x14ac:dyDescent="0.2">
      <c r="A7098" s="1" t="str">
        <f>"GLYCTK"</f>
        <v>GLYCTK</v>
      </c>
      <c r="B7098" t="s">
        <v>13</v>
      </c>
      <c r="C7098" t="s">
        <v>22</v>
      </c>
      <c r="D7098" t="s">
        <v>17</v>
      </c>
      <c r="E7098" t="s">
        <v>12</v>
      </c>
      <c r="F7098">
        <v>52324067</v>
      </c>
      <c r="G7098">
        <v>52324110</v>
      </c>
      <c r="H7098">
        <v>52324067</v>
      </c>
      <c r="I7098">
        <v>52324110</v>
      </c>
    </row>
    <row r="7099" spans="1:9" x14ac:dyDescent="0.2">
      <c r="A7099" s="1" t="str">
        <f>"GLYR1"</f>
        <v>GLYR1</v>
      </c>
      <c r="B7099" t="s">
        <v>14</v>
      </c>
      <c r="C7099" t="s">
        <v>31</v>
      </c>
      <c r="D7099" t="s">
        <v>11</v>
      </c>
      <c r="E7099" t="s">
        <v>12</v>
      </c>
      <c r="F7099">
        <v>4897266</v>
      </c>
      <c r="G7099">
        <v>4897312</v>
      </c>
      <c r="H7099">
        <v>4897266</v>
      </c>
      <c r="I7099">
        <v>4897312</v>
      </c>
    </row>
    <row r="7100" spans="1:9" x14ac:dyDescent="0.2">
      <c r="A7100" s="1" t="str">
        <f>"GM2A"</f>
        <v>GM2A</v>
      </c>
      <c r="B7100" t="s">
        <v>14</v>
      </c>
      <c r="C7100" t="s">
        <v>46</v>
      </c>
      <c r="D7100" t="s">
        <v>17</v>
      </c>
      <c r="E7100" t="s">
        <v>12</v>
      </c>
      <c r="F7100">
        <v>150632732</v>
      </c>
      <c r="G7100">
        <v>150632758</v>
      </c>
      <c r="H7100">
        <v>150632762</v>
      </c>
      <c r="I7100">
        <v>150632784</v>
      </c>
    </row>
    <row r="7101" spans="1:9" x14ac:dyDescent="0.2">
      <c r="A7101" s="1" t="str">
        <f>"GMCL1"</f>
        <v>GMCL1</v>
      </c>
      <c r="B7101" t="s">
        <v>14</v>
      </c>
      <c r="C7101" t="s">
        <v>26</v>
      </c>
      <c r="D7101" t="s">
        <v>17</v>
      </c>
      <c r="E7101" t="s">
        <v>12</v>
      </c>
      <c r="F7101">
        <v>70056762</v>
      </c>
      <c r="G7101">
        <v>70056847</v>
      </c>
      <c r="H7101">
        <v>70056856</v>
      </c>
      <c r="I7101">
        <v>70056866</v>
      </c>
    </row>
    <row r="7102" spans="1:9" x14ac:dyDescent="0.2">
      <c r="A7102" s="1" t="str">
        <f>"GMDS"</f>
        <v>GMDS</v>
      </c>
      <c r="B7102" t="s">
        <v>14</v>
      </c>
      <c r="C7102" t="s">
        <v>32</v>
      </c>
      <c r="D7102" t="s">
        <v>11</v>
      </c>
      <c r="E7102" t="s">
        <v>12</v>
      </c>
      <c r="F7102">
        <v>2245797</v>
      </c>
      <c r="G7102">
        <v>2245848</v>
      </c>
      <c r="H7102">
        <v>2245892</v>
      </c>
      <c r="I7102">
        <v>2245945</v>
      </c>
    </row>
    <row r="7103" spans="1:9" x14ac:dyDescent="0.2">
      <c r="A7103" s="1" t="str">
        <f>"GMEB1"</f>
        <v>GMEB1</v>
      </c>
      <c r="B7103" t="s">
        <v>14</v>
      </c>
      <c r="C7103" t="s">
        <v>19</v>
      </c>
      <c r="D7103" t="s">
        <v>17</v>
      </c>
      <c r="E7103" t="s">
        <v>12</v>
      </c>
      <c r="F7103">
        <v>28995258</v>
      </c>
      <c r="G7103">
        <v>28995322</v>
      </c>
      <c r="H7103">
        <v>28995231</v>
      </c>
      <c r="I7103">
        <v>28995250</v>
      </c>
    </row>
    <row r="7104" spans="1:9" x14ac:dyDescent="0.2">
      <c r="A7104" s="1" t="str">
        <f>"GMEB2"</f>
        <v>GMEB2</v>
      </c>
      <c r="B7104" t="s">
        <v>14</v>
      </c>
      <c r="C7104" t="s">
        <v>29</v>
      </c>
      <c r="D7104" t="s">
        <v>11</v>
      </c>
      <c r="E7104" t="s">
        <v>12</v>
      </c>
      <c r="F7104">
        <v>62258402</v>
      </c>
      <c r="G7104">
        <v>62258464</v>
      </c>
      <c r="H7104">
        <v>62258775</v>
      </c>
      <c r="I7104">
        <v>62258798</v>
      </c>
    </row>
    <row r="7105" spans="1:9" x14ac:dyDescent="0.2">
      <c r="A7105" s="1" t="str">
        <f>"GMFB"</f>
        <v>GMFB</v>
      </c>
      <c r="B7105" t="s">
        <v>14</v>
      </c>
      <c r="C7105" t="s">
        <v>41</v>
      </c>
      <c r="D7105" t="s">
        <v>11</v>
      </c>
      <c r="E7105" t="s">
        <v>12</v>
      </c>
      <c r="F7105">
        <v>54955658</v>
      </c>
      <c r="G7105">
        <v>54955707</v>
      </c>
      <c r="H7105">
        <v>54955721</v>
      </c>
      <c r="I7105">
        <v>54955760</v>
      </c>
    </row>
    <row r="7106" spans="1:9" x14ac:dyDescent="0.2">
      <c r="A7106" s="1" t="str">
        <f>"GMFG"</f>
        <v>GMFG</v>
      </c>
      <c r="B7106" t="s">
        <v>14</v>
      </c>
      <c r="C7106" t="s">
        <v>10</v>
      </c>
      <c r="D7106" t="s">
        <v>11</v>
      </c>
      <c r="E7106" t="s">
        <v>12</v>
      </c>
      <c r="F7106">
        <v>39826639</v>
      </c>
      <c r="G7106">
        <v>39826719</v>
      </c>
      <c r="H7106">
        <v>39826639</v>
      </c>
      <c r="I7106">
        <v>39826719</v>
      </c>
    </row>
    <row r="7107" spans="1:9" x14ac:dyDescent="0.2">
      <c r="A7107" s="1" t="str">
        <f>"GMIP"</f>
        <v>GMIP</v>
      </c>
      <c r="B7107" t="s">
        <v>14</v>
      </c>
      <c r="C7107" t="s">
        <v>10</v>
      </c>
      <c r="D7107" t="s">
        <v>11</v>
      </c>
      <c r="E7107" t="s">
        <v>12</v>
      </c>
      <c r="F7107">
        <v>19754404</v>
      </c>
      <c r="G7107">
        <v>19754478</v>
      </c>
      <c r="H7107">
        <v>19754354</v>
      </c>
      <c r="I7107">
        <v>19754365</v>
      </c>
    </row>
    <row r="7108" spans="1:9" x14ac:dyDescent="0.2">
      <c r="A7108" s="1" t="str">
        <f>"GML"</f>
        <v>GML</v>
      </c>
      <c r="B7108" t="s">
        <v>9</v>
      </c>
      <c r="C7108" t="s">
        <v>30</v>
      </c>
      <c r="D7108" t="s">
        <v>17</v>
      </c>
      <c r="E7108" t="s">
        <v>12</v>
      </c>
      <c r="F7108">
        <v>143921488</v>
      </c>
      <c r="G7108">
        <v>143921522</v>
      </c>
      <c r="H7108">
        <v>143921488</v>
      </c>
      <c r="I7108">
        <v>143921522</v>
      </c>
    </row>
    <row r="7109" spans="1:9" x14ac:dyDescent="0.2">
      <c r="A7109" s="1" t="str">
        <f>"GML"</f>
        <v>GML</v>
      </c>
      <c r="B7109" t="s">
        <v>13</v>
      </c>
      <c r="C7109" t="s">
        <v>30</v>
      </c>
      <c r="D7109" t="s">
        <v>17</v>
      </c>
      <c r="E7109" t="s">
        <v>12</v>
      </c>
      <c r="F7109">
        <v>143916222</v>
      </c>
      <c r="G7109">
        <v>143916235</v>
      </c>
      <c r="H7109">
        <v>143916222</v>
      </c>
      <c r="I7109">
        <v>143916235</v>
      </c>
    </row>
    <row r="7110" spans="1:9" x14ac:dyDescent="0.2">
      <c r="A7110" s="1" t="str">
        <f>"GMNC"</f>
        <v>GMNC</v>
      </c>
      <c r="B7110" t="s">
        <v>14</v>
      </c>
      <c r="C7110" t="s">
        <v>22</v>
      </c>
      <c r="D7110" t="s">
        <v>11</v>
      </c>
      <c r="E7110" t="s">
        <v>12</v>
      </c>
      <c r="F7110">
        <v>190580437</v>
      </c>
      <c r="G7110">
        <v>190580450</v>
      </c>
      <c r="H7110">
        <v>190580477</v>
      </c>
      <c r="I7110">
        <v>190580489</v>
      </c>
    </row>
    <row r="7111" spans="1:9" x14ac:dyDescent="0.2">
      <c r="A7111" s="1" t="str">
        <f>"GMNN"</f>
        <v>GMNN</v>
      </c>
      <c r="B7111" t="s">
        <v>14</v>
      </c>
      <c r="C7111" t="s">
        <v>32</v>
      </c>
      <c r="D7111" t="s">
        <v>17</v>
      </c>
      <c r="E7111" t="s">
        <v>12</v>
      </c>
      <c r="F7111">
        <v>24775153</v>
      </c>
      <c r="G7111">
        <v>24775242</v>
      </c>
      <c r="H7111">
        <v>24775648</v>
      </c>
      <c r="I7111">
        <v>24775710</v>
      </c>
    </row>
    <row r="7112" spans="1:9" x14ac:dyDescent="0.2">
      <c r="A7112" s="1" t="str">
        <f>"GMPPA"</f>
        <v>GMPPA</v>
      </c>
      <c r="B7112" t="s">
        <v>14</v>
      </c>
      <c r="C7112" t="s">
        <v>26</v>
      </c>
      <c r="D7112" t="s">
        <v>17</v>
      </c>
      <c r="E7112" t="s">
        <v>12</v>
      </c>
      <c r="F7112">
        <v>220363579</v>
      </c>
      <c r="G7112">
        <v>220363641</v>
      </c>
      <c r="H7112">
        <v>220363579</v>
      </c>
      <c r="I7112">
        <v>220363641</v>
      </c>
    </row>
    <row r="7113" spans="1:9" x14ac:dyDescent="0.2">
      <c r="A7113" s="1" t="str">
        <f>"GMPPB"</f>
        <v>GMPPB</v>
      </c>
      <c r="B7113" t="s">
        <v>14</v>
      </c>
      <c r="C7113" t="s">
        <v>22</v>
      </c>
      <c r="D7113" t="s">
        <v>11</v>
      </c>
      <c r="E7113" t="s">
        <v>12</v>
      </c>
      <c r="F7113">
        <v>49761337</v>
      </c>
      <c r="G7113">
        <v>49761421</v>
      </c>
      <c r="H7113">
        <v>49761814</v>
      </c>
      <c r="I7113">
        <v>49761815</v>
      </c>
    </row>
    <row r="7114" spans="1:9" x14ac:dyDescent="0.2">
      <c r="A7114" s="1" t="str">
        <f>"GMPR"</f>
        <v>GMPR</v>
      </c>
      <c r="B7114" t="s">
        <v>14</v>
      </c>
      <c r="C7114" t="s">
        <v>32</v>
      </c>
      <c r="D7114" t="s">
        <v>17</v>
      </c>
      <c r="E7114" t="s">
        <v>12</v>
      </c>
      <c r="F7114">
        <v>16238786</v>
      </c>
      <c r="G7114">
        <v>16238854</v>
      </c>
      <c r="H7114">
        <v>16238880</v>
      </c>
      <c r="I7114">
        <v>16238915</v>
      </c>
    </row>
    <row r="7115" spans="1:9" x14ac:dyDescent="0.2">
      <c r="A7115" s="1" t="str">
        <f>"GMPR2"</f>
        <v>GMPR2</v>
      </c>
      <c r="B7115" t="s">
        <v>14</v>
      </c>
      <c r="C7115" t="s">
        <v>41</v>
      </c>
      <c r="D7115" t="s">
        <v>17</v>
      </c>
      <c r="E7115" t="s">
        <v>12</v>
      </c>
      <c r="F7115">
        <v>24702127</v>
      </c>
      <c r="G7115">
        <v>24702150</v>
      </c>
      <c r="H7115">
        <v>24701819</v>
      </c>
      <c r="I7115">
        <v>24701869</v>
      </c>
    </row>
    <row r="7116" spans="1:9" x14ac:dyDescent="0.2">
      <c r="A7116" s="1" t="str">
        <f>"GMPS"</f>
        <v>GMPS</v>
      </c>
      <c r="B7116" t="s">
        <v>14</v>
      </c>
      <c r="C7116" t="s">
        <v>22</v>
      </c>
      <c r="D7116" t="s">
        <v>17</v>
      </c>
      <c r="E7116" t="s">
        <v>12</v>
      </c>
      <c r="F7116">
        <v>155588375</v>
      </c>
      <c r="G7116">
        <v>155588512</v>
      </c>
      <c r="H7116">
        <v>155588300</v>
      </c>
      <c r="I7116">
        <v>155588369</v>
      </c>
    </row>
    <row r="7117" spans="1:9" x14ac:dyDescent="0.2">
      <c r="A7117" s="1" t="str">
        <f>"GNA11"</f>
        <v>GNA11</v>
      </c>
      <c r="B7117" t="s">
        <v>14</v>
      </c>
      <c r="C7117" t="s">
        <v>10</v>
      </c>
      <c r="D7117" t="s">
        <v>17</v>
      </c>
      <c r="E7117" t="s">
        <v>12</v>
      </c>
      <c r="F7117">
        <v>3094346</v>
      </c>
      <c r="G7117">
        <v>3094396</v>
      </c>
      <c r="H7117">
        <v>3094317</v>
      </c>
      <c r="I7117">
        <v>3094339</v>
      </c>
    </row>
    <row r="7118" spans="1:9" x14ac:dyDescent="0.2">
      <c r="A7118" s="1" t="str">
        <f>"GNA12"</f>
        <v>GNA12</v>
      </c>
      <c r="B7118" t="s">
        <v>14</v>
      </c>
      <c r="C7118" t="s">
        <v>33</v>
      </c>
      <c r="D7118" t="s">
        <v>11</v>
      </c>
      <c r="E7118" t="s">
        <v>12</v>
      </c>
      <c r="F7118">
        <v>2883928</v>
      </c>
      <c r="G7118">
        <v>2883993</v>
      </c>
      <c r="H7118">
        <v>2883872</v>
      </c>
      <c r="I7118">
        <v>2883883</v>
      </c>
    </row>
    <row r="7119" spans="1:9" x14ac:dyDescent="0.2">
      <c r="A7119" s="1" t="str">
        <f>"GNA13"</f>
        <v>GNA13</v>
      </c>
      <c r="B7119" t="s">
        <v>14</v>
      </c>
      <c r="C7119" t="s">
        <v>28</v>
      </c>
      <c r="D7119" t="s">
        <v>11</v>
      </c>
      <c r="E7119" t="s">
        <v>12</v>
      </c>
      <c r="F7119">
        <v>63052777</v>
      </c>
      <c r="G7119">
        <v>63052871</v>
      </c>
      <c r="H7119">
        <v>63052873</v>
      </c>
      <c r="I7119">
        <v>63052927</v>
      </c>
    </row>
    <row r="7120" spans="1:9" x14ac:dyDescent="0.2">
      <c r="A7120" s="1" t="str">
        <f>"GNA14"</f>
        <v>GNA14</v>
      </c>
      <c r="B7120" t="s">
        <v>14</v>
      </c>
      <c r="C7120" t="s">
        <v>24</v>
      </c>
      <c r="D7120" t="s">
        <v>11</v>
      </c>
      <c r="E7120" t="s">
        <v>12</v>
      </c>
      <c r="F7120">
        <v>80263220</v>
      </c>
      <c r="G7120">
        <v>80263246</v>
      </c>
      <c r="H7120">
        <v>80263220</v>
      </c>
      <c r="I7120">
        <v>80263246</v>
      </c>
    </row>
    <row r="7121" spans="1:9" x14ac:dyDescent="0.2">
      <c r="A7121" s="1" t="str">
        <f>"GNA15"</f>
        <v>GNA15</v>
      </c>
      <c r="B7121" t="s">
        <v>14</v>
      </c>
      <c r="C7121" t="s">
        <v>10</v>
      </c>
      <c r="D7121" t="s">
        <v>17</v>
      </c>
      <c r="E7121" t="s">
        <v>12</v>
      </c>
      <c r="F7121">
        <v>3136220</v>
      </c>
      <c r="G7121">
        <v>3136277</v>
      </c>
      <c r="H7121">
        <v>3136115</v>
      </c>
      <c r="I7121">
        <v>3136165</v>
      </c>
    </row>
    <row r="7122" spans="1:9" x14ac:dyDescent="0.2">
      <c r="A7122" s="1" t="str">
        <f>"GNAI1"</f>
        <v>GNAI1</v>
      </c>
      <c r="B7122" t="s">
        <v>14</v>
      </c>
      <c r="C7122" t="s">
        <v>33</v>
      </c>
      <c r="D7122" t="s">
        <v>17</v>
      </c>
      <c r="E7122" t="s">
        <v>12</v>
      </c>
      <c r="F7122">
        <v>79764112</v>
      </c>
      <c r="G7122">
        <v>79764209</v>
      </c>
      <c r="H7122">
        <v>79764393</v>
      </c>
      <c r="I7122">
        <v>79764437</v>
      </c>
    </row>
    <row r="7123" spans="1:9" x14ac:dyDescent="0.2">
      <c r="A7123" s="1" t="str">
        <f>"GNAI2"</f>
        <v>GNAI2</v>
      </c>
      <c r="B7123" t="s">
        <v>14</v>
      </c>
      <c r="C7123" t="s">
        <v>22</v>
      </c>
      <c r="D7123" t="s">
        <v>17</v>
      </c>
      <c r="E7123" t="s">
        <v>12</v>
      </c>
      <c r="F7123">
        <v>50273625</v>
      </c>
      <c r="G7123">
        <v>50273655</v>
      </c>
      <c r="H7123">
        <v>50273625</v>
      </c>
      <c r="I7123">
        <v>50273655</v>
      </c>
    </row>
    <row r="7124" spans="1:9" x14ac:dyDescent="0.2">
      <c r="A7124" s="1" t="str">
        <f>"GNAI3"</f>
        <v>GNAI3</v>
      </c>
      <c r="B7124" t="s">
        <v>14</v>
      </c>
      <c r="C7124" t="s">
        <v>19</v>
      </c>
      <c r="D7124" t="s">
        <v>17</v>
      </c>
      <c r="E7124" t="s">
        <v>12</v>
      </c>
      <c r="F7124">
        <v>110091189</v>
      </c>
      <c r="G7124">
        <v>110091268</v>
      </c>
      <c r="H7124">
        <v>110091189</v>
      </c>
      <c r="I7124">
        <v>110091268</v>
      </c>
    </row>
    <row r="7125" spans="1:9" x14ac:dyDescent="0.2">
      <c r="A7125" s="1" t="str">
        <f>"GNAL"</f>
        <v>GNAL</v>
      </c>
      <c r="B7125" t="s">
        <v>540</v>
      </c>
      <c r="C7125" t="s">
        <v>43</v>
      </c>
      <c r="D7125" t="s">
        <v>17</v>
      </c>
      <c r="E7125" t="s">
        <v>35</v>
      </c>
      <c r="F7125">
        <v>11751466</v>
      </c>
      <c r="G7125">
        <v>11751475</v>
      </c>
      <c r="H7125">
        <v>11751645</v>
      </c>
      <c r="I7125">
        <v>11751650</v>
      </c>
    </row>
    <row r="7126" spans="1:9" x14ac:dyDescent="0.2">
      <c r="A7126" s="1" t="str">
        <f>"GNAL"</f>
        <v>GNAL</v>
      </c>
      <c r="B7126" t="s">
        <v>541</v>
      </c>
      <c r="C7126" t="s">
        <v>43</v>
      </c>
      <c r="D7126" t="s">
        <v>17</v>
      </c>
      <c r="E7126" t="s">
        <v>35</v>
      </c>
      <c r="F7126">
        <v>11752040</v>
      </c>
      <c r="G7126">
        <v>11752117</v>
      </c>
      <c r="H7126">
        <v>11752301</v>
      </c>
      <c r="I7126">
        <v>11752337</v>
      </c>
    </row>
    <row r="7127" spans="1:9" x14ac:dyDescent="0.2">
      <c r="A7127" s="1" t="str">
        <f>"GNAO1"</f>
        <v>GNAO1</v>
      </c>
      <c r="B7127" t="s">
        <v>14</v>
      </c>
      <c r="C7127" t="s">
        <v>31</v>
      </c>
      <c r="D7127" t="s">
        <v>17</v>
      </c>
      <c r="E7127" t="s">
        <v>12</v>
      </c>
      <c r="F7127">
        <v>56225391</v>
      </c>
      <c r="G7127">
        <v>56225420</v>
      </c>
      <c r="H7127">
        <v>56225248</v>
      </c>
      <c r="I7127">
        <v>56225307</v>
      </c>
    </row>
    <row r="7128" spans="1:9" x14ac:dyDescent="0.2">
      <c r="A7128" s="1" t="str">
        <f>"GNAQ"</f>
        <v>GNAQ</v>
      </c>
      <c r="B7128" t="s">
        <v>14</v>
      </c>
      <c r="C7128" t="s">
        <v>24</v>
      </c>
      <c r="D7128" t="s">
        <v>11</v>
      </c>
      <c r="E7128" t="s">
        <v>12</v>
      </c>
      <c r="F7128">
        <v>80646843</v>
      </c>
      <c r="G7128">
        <v>80646921</v>
      </c>
      <c r="H7128">
        <v>80646694</v>
      </c>
      <c r="I7128">
        <v>80646754</v>
      </c>
    </row>
    <row r="7129" spans="1:9" x14ac:dyDescent="0.2">
      <c r="A7129" s="1" t="str">
        <f>"GNAS"</f>
        <v>GNAS</v>
      </c>
      <c r="B7129" t="s">
        <v>14</v>
      </c>
      <c r="C7129" t="s">
        <v>29</v>
      </c>
      <c r="D7129" t="s">
        <v>17</v>
      </c>
      <c r="E7129" t="s">
        <v>12</v>
      </c>
      <c r="F7129">
        <v>57466461</v>
      </c>
      <c r="G7129">
        <v>57466482</v>
      </c>
      <c r="H7129">
        <v>57466435</v>
      </c>
      <c r="I7129">
        <v>57466456</v>
      </c>
    </row>
    <row r="7130" spans="1:9" x14ac:dyDescent="0.2">
      <c r="A7130" s="1" t="str">
        <f>"GNAT1"</f>
        <v>GNAT1</v>
      </c>
      <c r="B7130" t="s">
        <v>9</v>
      </c>
      <c r="C7130" t="s">
        <v>22</v>
      </c>
      <c r="D7130" t="s">
        <v>17</v>
      </c>
      <c r="E7130" t="s">
        <v>12</v>
      </c>
      <c r="F7130">
        <v>50229037</v>
      </c>
      <c r="G7130">
        <v>50229052</v>
      </c>
      <c r="H7130">
        <v>50229037</v>
      </c>
      <c r="I7130">
        <v>50229052</v>
      </c>
    </row>
    <row r="7131" spans="1:9" x14ac:dyDescent="0.2">
      <c r="A7131" s="1" t="str">
        <f>"GNAT1"</f>
        <v>GNAT1</v>
      </c>
      <c r="B7131" t="s">
        <v>13</v>
      </c>
      <c r="C7131" t="s">
        <v>22</v>
      </c>
      <c r="D7131" t="s">
        <v>17</v>
      </c>
      <c r="E7131" t="s">
        <v>12</v>
      </c>
      <c r="F7131">
        <v>50230292</v>
      </c>
      <c r="G7131">
        <v>50230317</v>
      </c>
      <c r="H7131">
        <v>50230292</v>
      </c>
      <c r="I7131">
        <v>50230317</v>
      </c>
    </row>
    <row r="7132" spans="1:9" x14ac:dyDescent="0.2">
      <c r="A7132" s="1" t="str">
        <f>"GNAT2"</f>
        <v>GNAT2</v>
      </c>
      <c r="B7132" t="s">
        <v>14</v>
      </c>
      <c r="C7132" t="s">
        <v>19</v>
      </c>
      <c r="D7132" t="s">
        <v>11</v>
      </c>
      <c r="E7132" t="s">
        <v>12</v>
      </c>
      <c r="F7132">
        <v>110155692</v>
      </c>
      <c r="G7132">
        <v>110155710</v>
      </c>
      <c r="H7132">
        <v>110155671</v>
      </c>
      <c r="I7132">
        <v>110155685</v>
      </c>
    </row>
    <row r="7133" spans="1:9" x14ac:dyDescent="0.2">
      <c r="A7133" s="1" t="str">
        <f>"GNAT3"</f>
        <v>GNAT3</v>
      </c>
      <c r="B7133" t="s">
        <v>14</v>
      </c>
      <c r="C7133" t="s">
        <v>33</v>
      </c>
      <c r="D7133" t="s">
        <v>11</v>
      </c>
      <c r="E7133" t="s">
        <v>12</v>
      </c>
      <c r="F7133">
        <v>80141358</v>
      </c>
      <c r="G7133">
        <v>80141392</v>
      </c>
      <c r="H7133">
        <v>80141328</v>
      </c>
      <c r="I7133">
        <v>80141339</v>
      </c>
    </row>
    <row r="7134" spans="1:9" x14ac:dyDescent="0.2">
      <c r="A7134" s="1" t="str">
        <f>"GNAZ"</f>
        <v>GNAZ</v>
      </c>
      <c r="B7134" t="s">
        <v>14</v>
      </c>
      <c r="C7134" t="s">
        <v>21</v>
      </c>
      <c r="D7134" t="s">
        <v>17</v>
      </c>
      <c r="E7134" t="s">
        <v>12</v>
      </c>
      <c r="F7134">
        <v>23412682</v>
      </c>
      <c r="G7134">
        <v>23412738</v>
      </c>
      <c r="H7134">
        <v>23412479</v>
      </c>
      <c r="I7134">
        <v>23412526</v>
      </c>
    </row>
    <row r="7135" spans="1:9" x14ac:dyDescent="0.2">
      <c r="A7135" s="1" t="str">
        <f>"GNB1"</f>
        <v>GNB1</v>
      </c>
      <c r="B7135" t="s">
        <v>14</v>
      </c>
      <c r="C7135" t="s">
        <v>19</v>
      </c>
      <c r="D7135" t="s">
        <v>11</v>
      </c>
      <c r="E7135" t="s">
        <v>12</v>
      </c>
      <c r="F7135">
        <v>1822495</v>
      </c>
      <c r="G7135">
        <v>1822571</v>
      </c>
      <c r="H7135">
        <v>1821859</v>
      </c>
      <c r="I7135">
        <v>1821918</v>
      </c>
    </row>
    <row r="7136" spans="1:9" x14ac:dyDescent="0.2">
      <c r="A7136" s="1" t="str">
        <f>"GNB1L"</f>
        <v>GNB1L</v>
      </c>
      <c r="B7136" t="s">
        <v>14</v>
      </c>
      <c r="C7136" t="s">
        <v>21</v>
      </c>
      <c r="D7136" t="s">
        <v>11</v>
      </c>
      <c r="E7136" t="s">
        <v>12</v>
      </c>
      <c r="F7136">
        <v>19842330</v>
      </c>
      <c r="G7136">
        <v>19842384</v>
      </c>
      <c r="H7136">
        <v>19842330</v>
      </c>
      <c r="I7136">
        <v>19842384</v>
      </c>
    </row>
    <row r="7137" spans="1:9" x14ac:dyDescent="0.2">
      <c r="A7137" s="1" t="str">
        <f>"GNB2"</f>
        <v>GNB2</v>
      </c>
      <c r="B7137" t="s">
        <v>14</v>
      </c>
      <c r="C7137" t="s">
        <v>33</v>
      </c>
      <c r="D7137" t="s">
        <v>17</v>
      </c>
      <c r="E7137" t="s">
        <v>12</v>
      </c>
      <c r="F7137">
        <v>100271411</v>
      </c>
      <c r="G7137">
        <v>100271434</v>
      </c>
      <c r="H7137">
        <v>100271355</v>
      </c>
      <c r="I7137">
        <v>100271371</v>
      </c>
    </row>
    <row r="7138" spans="1:9" x14ac:dyDescent="0.2">
      <c r="A7138" s="1" t="str">
        <f>"GNB2L1"</f>
        <v>GNB2L1</v>
      </c>
      <c r="B7138" t="s">
        <v>14</v>
      </c>
      <c r="C7138" t="s">
        <v>46</v>
      </c>
      <c r="D7138" t="s">
        <v>11</v>
      </c>
      <c r="E7138" t="s">
        <v>12</v>
      </c>
      <c r="F7138">
        <v>180670891</v>
      </c>
      <c r="G7138">
        <v>180670921</v>
      </c>
      <c r="H7138">
        <v>180670839</v>
      </c>
      <c r="I7138">
        <v>180670850</v>
      </c>
    </row>
    <row r="7139" spans="1:9" x14ac:dyDescent="0.2">
      <c r="A7139" s="1" t="str">
        <f>"GNB3"</f>
        <v>GNB3</v>
      </c>
      <c r="B7139" t="s">
        <v>14</v>
      </c>
      <c r="C7139" t="s">
        <v>16</v>
      </c>
      <c r="D7139" t="s">
        <v>17</v>
      </c>
      <c r="E7139" t="s">
        <v>12</v>
      </c>
      <c r="F7139">
        <v>6950061</v>
      </c>
      <c r="G7139">
        <v>6950108</v>
      </c>
      <c r="H7139">
        <v>6950061</v>
      </c>
      <c r="I7139">
        <v>6950108</v>
      </c>
    </row>
    <row r="7140" spans="1:9" x14ac:dyDescent="0.2">
      <c r="A7140" s="1" t="str">
        <f>"GNB4"</f>
        <v>GNB4</v>
      </c>
      <c r="B7140" t="s">
        <v>14</v>
      </c>
      <c r="C7140" t="s">
        <v>22</v>
      </c>
      <c r="D7140" t="s">
        <v>11</v>
      </c>
      <c r="E7140" t="s">
        <v>12</v>
      </c>
      <c r="F7140">
        <v>179169181</v>
      </c>
      <c r="G7140">
        <v>179169273</v>
      </c>
      <c r="H7140">
        <v>179169284</v>
      </c>
      <c r="I7140">
        <v>179169328</v>
      </c>
    </row>
    <row r="7141" spans="1:9" x14ac:dyDescent="0.2">
      <c r="A7141" s="1" t="str">
        <f>"GNB5"</f>
        <v>GNB5</v>
      </c>
      <c r="B7141" t="s">
        <v>14</v>
      </c>
      <c r="C7141" t="s">
        <v>25</v>
      </c>
      <c r="D7141" t="s">
        <v>11</v>
      </c>
      <c r="E7141" t="s">
        <v>12</v>
      </c>
      <c r="F7141">
        <v>52472078</v>
      </c>
      <c r="G7141">
        <v>52472188</v>
      </c>
      <c r="H7141">
        <v>52472078</v>
      </c>
      <c r="I7141">
        <v>52472188</v>
      </c>
    </row>
    <row r="7142" spans="1:9" x14ac:dyDescent="0.2">
      <c r="A7142" s="1" t="str">
        <f>"GNE"</f>
        <v>GNE</v>
      </c>
      <c r="B7142" t="s">
        <v>14</v>
      </c>
      <c r="C7142" t="s">
        <v>24</v>
      </c>
      <c r="D7142" t="s">
        <v>11</v>
      </c>
      <c r="E7142" t="s">
        <v>12</v>
      </c>
      <c r="F7142">
        <v>36258431</v>
      </c>
      <c r="G7142">
        <v>36258456</v>
      </c>
      <c r="H7142">
        <v>36258431</v>
      </c>
      <c r="I7142">
        <v>36258456</v>
      </c>
    </row>
    <row r="7143" spans="1:9" x14ac:dyDescent="0.2">
      <c r="A7143" s="1" t="str">
        <f>"GNG10"</f>
        <v>GNG10</v>
      </c>
      <c r="B7143" t="s">
        <v>14</v>
      </c>
      <c r="C7143" t="s">
        <v>24</v>
      </c>
      <c r="D7143" t="s">
        <v>17</v>
      </c>
      <c r="E7143" t="s">
        <v>12</v>
      </c>
      <c r="F7143">
        <v>114423841</v>
      </c>
      <c r="G7143">
        <v>114423900</v>
      </c>
      <c r="H7143">
        <v>114423619</v>
      </c>
      <c r="I7143">
        <v>114423661</v>
      </c>
    </row>
    <row r="7144" spans="1:9" x14ac:dyDescent="0.2">
      <c r="A7144" s="1" t="str">
        <f>"GNG11"</f>
        <v>GNG11</v>
      </c>
      <c r="B7144" t="s">
        <v>14</v>
      </c>
      <c r="C7144" t="s">
        <v>33</v>
      </c>
      <c r="D7144" t="s">
        <v>17</v>
      </c>
      <c r="E7144" t="s">
        <v>12</v>
      </c>
      <c r="F7144">
        <v>93551356</v>
      </c>
      <c r="G7144">
        <v>93551375</v>
      </c>
      <c r="H7144">
        <v>93551089</v>
      </c>
      <c r="I7144">
        <v>93551142</v>
      </c>
    </row>
    <row r="7145" spans="1:9" x14ac:dyDescent="0.2">
      <c r="A7145" s="1" t="str">
        <f>"GNG12"</f>
        <v>GNG12</v>
      </c>
      <c r="B7145" t="s">
        <v>14</v>
      </c>
      <c r="C7145" t="s">
        <v>19</v>
      </c>
      <c r="D7145" t="s">
        <v>11</v>
      </c>
      <c r="E7145" t="s">
        <v>12</v>
      </c>
      <c r="F7145">
        <v>68299054</v>
      </c>
      <c r="G7145">
        <v>68299126</v>
      </c>
      <c r="H7145">
        <v>68299130</v>
      </c>
      <c r="I7145">
        <v>68299160</v>
      </c>
    </row>
    <row r="7146" spans="1:9" x14ac:dyDescent="0.2">
      <c r="A7146" s="1" t="str">
        <f>"GNG13"</f>
        <v>GNG13</v>
      </c>
      <c r="B7146" t="s">
        <v>14</v>
      </c>
      <c r="C7146" t="s">
        <v>31</v>
      </c>
      <c r="D7146" t="s">
        <v>11</v>
      </c>
      <c r="E7146" t="s">
        <v>12</v>
      </c>
      <c r="F7146">
        <v>850723</v>
      </c>
      <c r="G7146">
        <v>850741</v>
      </c>
      <c r="H7146">
        <v>850757</v>
      </c>
      <c r="I7146">
        <v>850770</v>
      </c>
    </row>
    <row r="7147" spans="1:9" x14ac:dyDescent="0.2">
      <c r="A7147" s="1" t="str">
        <f>"GNG2"</f>
        <v>GNG2</v>
      </c>
      <c r="B7147" t="s">
        <v>14</v>
      </c>
      <c r="C7147" t="s">
        <v>41</v>
      </c>
      <c r="D7147" t="s">
        <v>17</v>
      </c>
      <c r="E7147" t="s">
        <v>12</v>
      </c>
      <c r="F7147">
        <v>52327321</v>
      </c>
      <c r="G7147">
        <v>52327336</v>
      </c>
      <c r="H7147">
        <v>52327350</v>
      </c>
      <c r="I7147">
        <v>52327371</v>
      </c>
    </row>
    <row r="7148" spans="1:9" x14ac:dyDescent="0.2">
      <c r="A7148" s="1" t="str">
        <f>"GNG3"</f>
        <v>GNG3</v>
      </c>
      <c r="B7148" t="s">
        <v>14</v>
      </c>
      <c r="C7148" t="s">
        <v>27</v>
      </c>
      <c r="D7148" t="s">
        <v>17</v>
      </c>
      <c r="E7148" t="s">
        <v>12</v>
      </c>
      <c r="F7148">
        <v>62475140</v>
      </c>
      <c r="G7148">
        <v>62475195</v>
      </c>
      <c r="H7148">
        <v>62475766</v>
      </c>
      <c r="I7148">
        <v>62475783</v>
      </c>
    </row>
    <row r="7149" spans="1:9" x14ac:dyDescent="0.2">
      <c r="A7149" s="1" t="str">
        <f>"GNG4"</f>
        <v>GNG4</v>
      </c>
      <c r="B7149" t="s">
        <v>14</v>
      </c>
      <c r="C7149" t="s">
        <v>19</v>
      </c>
      <c r="D7149" t="s">
        <v>11</v>
      </c>
      <c r="E7149" t="s">
        <v>12</v>
      </c>
      <c r="F7149">
        <v>235813034</v>
      </c>
      <c r="G7149">
        <v>235813097</v>
      </c>
      <c r="H7149">
        <v>235813290</v>
      </c>
      <c r="I7149">
        <v>235813323</v>
      </c>
    </row>
    <row r="7150" spans="1:9" x14ac:dyDescent="0.2">
      <c r="A7150" s="1" t="str">
        <f>"GNG5"</f>
        <v>GNG5</v>
      </c>
      <c r="B7150" t="s">
        <v>14</v>
      </c>
      <c r="C7150" t="s">
        <v>19</v>
      </c>
      <c r="D7150" t="s">
        <v>11</v>
      </c>
      <c r="E7150" t="s">
        <v>12</v>
      </c>
      <c r="F7150">
        <v>84971836</v>
      </c>
      <c r="G7150">
        <v>84971893</v>
      </c>
      <c r="H7150">
        <v>84972250</v>
      </c>
      <c r="I7150">
        <v>84972271</v>
      </c>
    </row>
    <row r="7151" spans="1:9" x14ac:dyDescent="0.2">
      <c r="A7151" s="1" t="str">
        <f>"GNG7"</f>
        <v>GNG7</v>
      </c>
      <c r="B7151" t="s">
        <v>14</v>
      </c>
      <c r="C7151" t="s">
        <v>10</v>
      </c>
      <c r="D7151" t="s">
        <v>11</v>
      </c>
      <c r="E7151" t="s">
        <v>12</v>
      </c>
      <c r="F7151">
        <v>2702681</v>
      </c>
      <c r="G7151">
        <v>2702699</v>
      </c>
      <c r="H7151">
        <v>2702719</v>
      </c>
      <c r="I7151">
        <v>2702730</v>
      </c>
    </row>
    <row r="7152" spans="1:9" x14ac:dyDescent="0.2">
      <c r="A7152" s="1" t="str">
        <f>"GNG8"</f>
        <v>GNG8</v>
      </c>
      <c r="B7152" t="s">
        <v>14</v>
      </c>
      <c r="C7152" t="s">
        <v>10</v>
      </c>
      <c r="D7152" t="s">
        <v>11</v>
      </c>
      <c r="E7152" t="s">
        <v>12</v>
      </c>
      <c r="F7152">
        <v>47138167</v>
      </c>
      <c r="G7152">
        <v>47138185</v>
      </c>
      <c r="H7152">
        <v>47138167</v>
      </c>
      <c r="I7152">
        <v>47138185</v>
      </c>
    </row>
    <row r="7153" spans="1:9" x14ac:dyDescent="0.2">
      <c r="A7153" s="1" t="str">
        <f>"GNGT1"</f>
        <v>GNGT1</v>
      </c>
      <c r="B7153" t="s">
        <v>14</v>
      </c>
      <c r="C7153" t="s">
        <v>33</v>
      </c>
      <c r="D7153" t="s">
        <v>17</v>
      </c>
      <c r="E7153" t="s">
        <v>12</v>
      </c>
      <c r="F7153">
        <v>93535866</v>
      </c>
      <c r="G7153">
        <v>93535886</v>
      </c>
      <c r="H7153">
        <v>93535817</v>
      </c>
      <c r="I7153">
        <v>93535822</v>
      </c>
    </row>
    <row r="7154" spans="1:9" x14ac:dyDescent="0.2">
      <c r="A7154" s="1" t="str">
        <f>"GNGT2"</f>
        <v>GNGT2</v>
      </c>
      <c r="B7154" t="s">
        <v>9</v>
      </c>
      <c r="C7154" t="s">
        <v>28</v>
      </c>
      <c r="D7154" t="s">
        <v>11</v>
      </c>
      <c r="E7154" t="s">
        <v>12</v>
      </c>
      <c r="F7154">
        <v>47287928</v>
      </c>
      <c r="G7154">
        <v>47287943</v>
      </c>
      <c r="H7154">
        <v>47287928</v>
      </c>
      <c r="I7154">
        <v>47287943</v>
      </c>
    </row>
    <row r="7155" spans="1:9" x14ac:dyDescent="0.2">
      <c r="A7155" s="1" t="str">
        <f>"GNGT2"</f>
        <v>GNGT2</v>
      </c>
      <c r="B7155" t="s">
        <v>13</v>
      </c>
      <c r="C7155" t="s">
        <v>28</v>
      </c>
      <c r="D7155" t="s">
        <v>11</v>
      </c>
      <c r="E7155" t="s">
        <v>12</v>
      </c>
      <c r="F7155">
        <v>47286244</v>
      </c>
      <c r="G7155">
        <v>47286274</v>
      </c>
      <c r="H7155">
        <v>47286244</v>
      </c>
      <c r="I7155">
        <v>47286274</v>
      </c>
    </row>
    <row r="7156" spans="1:9" x14ac:dyDescent="0.2">
      <c r="A7156" s="1" t="str">
        <f>"GNL1"</f>
        <v>GNL1</v>
      </c>
      <c r="B7156" t="s">
        <v>14</v>
      </c>
      <c r="C7156" t="s">
        <v>32</v>
      </c>
      <c r="D7156" t="s">
        <v>11</v>
      </c>
      <c r="E7156" t="s">
        <v>12</v>
      </c>
      <c r="F7156">
        <v>30524061</v>
      </c>
      <c r="G7156">
        <v>30524106</v>
      </c>
      <c r="H7156">
        <v>30524253</v>
      </c>
      <c r="I7156">
        <v>30524273</v>
      </c>
    </row>
    <row r="7157" spans="1:9" x14ac:dyDescent="0.2">
      <c r="A7157" s="1" t="str">
        <f>"GNL2"</f>
        <v>GNL2</v>
      </c>
      <c r="B7157" t="s">
        <v>14</v>
      </c>
      <c r="C7157" t="s">
        <v>19</v>
      </c>
      <c r="D7157" t="s">
        <v>11</v>
      </c>
      <c r="E7157" t="s">
        <v>12</v>
      </c>
      <c r="F7157">
        <v>38061528</v>
      </c>
      <c r="G7157">
        <v>38061555</v>
      </c>
      <c r="H7157">
        <v>38061528</v>
      </c>
      <c r="I7157">
        <v>38061555</v>
      </c>
    </row>
    <row r="7158" spans="1:9" x14ac:dyDescent="0.2">
      <c r="A7158" s="1" t="str">
        <f>"GNL3"</f>
        <v>GNL3</v>
      </c>
      <c r="B7158" t="s">
        <v>14</v>
      </c>
      <c r="C7158" t="s">
        <v>22</v>
      </c>
      <c r="D7158" t="s">
        <v>17</v>
      </c>
      <c r="E7158" t="s">
        <v>12</v>
      </c>
      <c r="F7158">
        <v>52720016</v>
      </c>
      <c r="G7158">
        <v>52720057</v>
      </c>
      <c r="H7158">
        <v>52719663</v>
      </c>
      <c r="I7158">
        <v>52719716</v>
      </c>
    </row>
    <row r="7159" spans="1:9" x14ac:dyDescent="0.2">
      <c r="A7159" s="1" t="str">
        <f>"GNL3L"</f>
        <v>GNL3L</v>
      </c>
      <c r="B7159" t="s">
        <v>14</v>
      </c>
      <c r="C7159" t="s">
        <v>37</v>
      </c>
      <c r="D7159" t="s">
        <v>17</v>
      </c>
      <c r="E7159" t="s">
        <v>12</v>
      </c>
      <c r="F7159">
        <v>54556633</v>
      </c>
      <c r="G7159">
        <v>54556732</v>
      </c>
      <c r="H7159">
        <v>54556737</v>
      </c>
      <c r="I7159">
        <v>54556750</v>
      </c>
    </row>
    <row r="7160" spans="1:9" x14ac:dyDescent="0.2">
      <c r="A7160" s="1" t="str">
        <f>"GNLY"</f>
        <v>GNLY</v>
      </c>
      <c r="B7160" t="s">
        <v>14</v>
      </c>
      <c r="C7160" t="s">
        <v>26</v>
      </c>
      <c r="D7160" t="s">
        <v>17</v>
      </c>
      <c r="E7160" t="s">
        <v>12</v>
      </c>
      <c r="F7160">
        <v>85921495</v>
      </c>
      <c r="G7160">
        <v>85921521</v>
      </c>
      <c r="H7160">
        <v>85921473</v>
      </c>
      <c r="I7160">
        <v>85921488</v>
      </c>
    </row>
    <row r="7161" spans="1:9" x14ac:dyDescent="0.2">
      <c r="A7161" s="1" t="str">
        <f>"GNMT"</f>
        <v>GNMT</v>
      </c>
      <c r="B7161" t="s">
        <v>14</v>
      </c>
      <c r="C7161" t="s">
        <v>32</v>
      </c>
      <c r="D7161" t="s">
        <v>17</v>
      </c>
      <c r="E7161" t="s">
        <v>12</v>
      </c>
      <c r="F7161">
        <v>42928485</v>
      </c>
      <c r="G7161">
        <v>42928496</v>
      </c>
      <c r="H7161">
        <v>42928094</v>
      </c>
      <c r="I7161">
        <v>42928100</v>
      </c>
    </row>
    <row r="7162" spans="1:9" x14ac:dyDescent="0.2">
      <c r="A7162" s="1" t="str">
        <f>"GNPAT"</f>
        <v>GNPAT</v>
      </c>
      <c r="B7162" t="s">
        <v>14</v>
      </c>
      <c r="C7162" t="s">
        <v>19</v>
      </c>
      <c r="D7162" t="s">
        <v>17</v>
      </c>
      <c r="E7162" t="s">
        <v>12</v>
      </c>
      <c r="F7162">
        <v>231376941</v>
      </c>
      <c r="G7162">
        <v>231376976</v>
      </c>
      <c r="H7162">
        <v>231377080</v>
      </c>
      <c r="I7162">
        <v>231377103</v>
      </c>
    </row>
    <row r="7163" spans="1:9" x14ac:dyDescent="0.2">
      <c r="A7163" s="1" t="str">
        <f>"GNPDA1"</f>
        <v>GNPDA1</v>
      </c>
      <c r="B7163" t="s">
        <v>14</v>
      </c>
      <c r="C7163" t="s">
        <v>46</v>
      </c>
      <c r="D7163" t="s">
        <v>11</v>
      </c>
      <c r="E7163" t="s">
        <v>12</v>
      </c>
      <c r="F7163">
        <v>141392584</v>
      </c>
      <c r="G7163">
        <v>141392600</v>
      </c>
      <c r="H7163">
        <v>141392584</v>
      </c>
      <c r="I7163">
        <v>141392600</v>
      </c>
    </row>
    <row r="7164" spans="1:9" x14ac:dyDescent="0.2">
      <c r="A7164" s="1" t="str">
        <f>"GNPDA2"</f>
        <v>GNPDA2</v>
      </c>
      <c r="B7164" t="s">
        <v>14</v>
      </c>
      <c r="C7164" t="s">
        <v>23</v>
      </c>
      <c r="D7164" t="s">
        <v>11</v>
      </c>
      <c r="E7164" t="s">
        <v>12</v>
      </c>
      <c r="F7164">
        <v>44728559</v>
      </c>
      <c r="G7164">
        <v>44728611</v>
      </c>
      <c r="H7164">
        <v>44728530</v>
      </c>
      <c r="I7164">
        <v>44728544</v>
      </c>
    </row>
    <row r="7165" spans="1:9" x14ac:dyDescent="0.2">
      <c r="A7165" s="1" t="str">
        <f>"GNPNAT1"</f>
        <v>GNPNAT1</v>
      </c>
      <c r="B7165" t="s">
        <v>14</v>
      </c>
      <c r="C7165" t="s">
        <v>41</v>
      </c>
      <c r="D7165" t="s">
        <v>11</v>
      </c>
      <c r="E7165" t="s">
        <v>12</v>
      </c>
      <c r="F7165">
        <v>53258314</v>
      </c>
      <c r="G7165">
        <v>53258418</v>
      </c>
      <c r="H7165">
        <v>53258180</v>
      </c>
      <c r="I7165">
        <v>53258218</v>
      </c>
    </row>
    <row r="7166" spans="1:9" x14ac:dyDescent="0.2">
      <c r="A7166" s="1" t="str">
        <f>"GNPTAB"</f>
        <v>GNPTAB</v>
      </c>
      <c r="B7166" t="s">
        <v>14</v>
      </c>
      <c r="C7166" t="s">
        <v>16</v>
      </c>
      <c r="D7166" t="s">
        <v>11</v>
      </c>
      <c r="E7166" t="s">
        <v>12</v>
      </c>
      <c r="F7166">
        <v>102224578</v>
      </c>
      <c r="G7166">
        <v>102224667</v>
      </c>
      <c r="H7166">
        <v>102224704</v>
      </c>
      <c r="I7166">
        <v>102224750</v>
      </c>
    </row>
    <row r="7167" spans="1:9" x14ac:dyDescent="0.2">
      <c r="A7167" s="1" t="str">
        <f>"GNPTG"</f>
        <v>GNPTG</v>
      </c>
      <c r="B7167" t="s">
        <v>14</v>
      </c>
      <c r="C7167" t="s">
        <v>31</v>
      </c>
      <c r="D7167" t="s">
        <v>17</v>
      </c>
      <c r="E7167" t="s">
        <v>12</v>
      </c>
      <c r="F7167">
        <v>1401925</v>
      </c>
      <c r="G7167">
        <v>1401969</v>
      </c>
      <c r="H7167">
        <v>1402090</v>
      </c>
      <c r="I7167">
        <v>1402138</v>
      </c>
    </row>
    <row r="7168" spans="1:9" x14ac:dyDescent="0.2">
      <c r="A7168" s="1" t="str">
        <f>"GNRH1"</f>
        <v>GNRH1</v>
      </c>
      <c r="B7168" t="s">
        <v>14</v>
      </c>
      <c r="C7168" t="s">
        <v>30</v>
      </c>
      <c r="D7168" t="s">
        <v>11</v>
      </c>
      <c r="E7168" t="s">
        <v>12</v>
      </c>
      <c r="F7168">
        <v>25281776</v>
      </c>
      <c r="G7168">
        <v>25281779</v>
      </c>
      <c r="H7168">
        <v>25281776</v>
      </c>
      <c r="I7168">
        <v>25281779</v>
      </c>
    </row>
    <row r="7169" spans="1:9" x14ac:dyDescent="0.2">
      <c r="A7169" s="1" t="str">
        <f>"GNRH2"</f>
        <v>GNRH2</v>
      </c>
      <c r="B7169" t="s">
        <v>14</v>
      </c>
      <c r="C7169" t="s">
        <v>29</v>
      </c>
      <c r="D7169" t="s">
        <v>17</v>
      </c>
      <c r="E7169" t="s">
        <v>12</v>
      </c>
      <c r="F7169">
        <v>3024266</v>
      </c>
      <c r="G7169">
        <v>3024272</v>
      </c>
      <c r="H7169">
        <v>3024266</v>
      </c>
      <c r="I7169">
        <v>3024272</v>
      </c>
    </row>
    <row r="7170" spans="1:9" x14ac:dyDescent="0.2">
      <c r="A7170" s="1" t="str">
        <f>"GNRHR"</f>
        <v>GNRHR</v>
      </c>
      <c r="B7170" t="s">
        <v>14</v>
      </c>
      <c r="C7170" t="s">
        <v>23</v>
      </c>
      <c r="D7170" t="s">
        <v>11</v>
      </c>
      <c r="E7170" t="s">
        <v>12</v>
      </c>
      <c r="F7170">
        <v>68620100</v>
      </c>
      <c r="G7170">
        <v>68620112</v>
      </c>
      <c r="H7170">
        <v>68620100</v>
      </c>
      <c r="I7170">
        <v>68620112</v>
      </c>
    </row>
    <row r="7171" spans="1:9" x14ac:dyDescent="0.2">
      <c r="A7171" s="1" t="str">
        <f>"GNS"</f>
        <v>GNS</v>
      </c>
      <c r="B7171" t="s">
        <v>14</v>
      </c>
      <c r="C7171" t="s">
        <v>16</v>
      </c>
      <c r="D7171" t="s">
        <v>11</v>
      </c>
      <c r="E7171" t="s">
        <v>12</v>
      </c>
      <c r="F7171">
        <v>65153175</v>
      </c>
      <c r="G7171">
        <v>65153229</v>
      </c>
      <c r="H7171">
        <v>65153154</v>
      </c>
      <c r="I7171">
        <v>65153171</v>
      </c>
    </row>
    <row r="7172" spans="1:9" x14ac:dyDescent="0.2">
      <c r="A7172" s="1" t="str">
        <f>"GOLGA1"</f>
        <v>GOLGA1</v>
      </c>
      <c r="B7172" t="s">
        <v>14</v>
      </c>
      <c r="C7172" t="s">
        <v>24</v>
      </c>
      <c r="D7172" t="s">
        <v>11</v>
      </c>
      <c r="E7172" t="s">
        <v>12</v>
      </c>
      <c r="F7172">
        <v>127703232</v>
      </c>
      <c r="G7172">
        <v>127703299</v>
      </c>
      <c r="H7172">
        <v>127703333</v>
      </c>
      <c r="I7172">
        <v>127703398</v>
      </c>
    </row>
    <row r="7173" spans="1:9" x14ac:dyDescent="0.2">
      <c r="A7173" s="1" t="str">
        <f>"GOLGA2"</f>
        <v>GOLGA2</v>
      </c>
      <c r="B7173" t="s">
        <v>14</v>
      </c>
      <c r="C7173" t="s">
        <v>24</v>
      </c>
      <c r="D7173" t="s">
        <v>11</v>
      </c>
      <c r="E7173" t="s">
        <v>12</v>
      </c>
      <c r="F7173">
        <v>131038214</v>
      </c>
      <c r="G7173">
        <v>131038250</v>
      </c>
      <c r="H7173">
        <v>131038271</v>
      </c>
      <c r="I7173">
        <v>131038291</v>
      </c>
    </row>
    <row r="7174" spans="1:9" x14ac:dyDescent="0.2">
      <c r="A7174" s="1" t="str">
        <f>"GOLGA3"</f>
        <v>GOLGA3</v>
      </c>
      <c r="B7174" t="s">
        <v>14</v>
      </c>
      <c r="C7174" t="s">
        <v>16</v>
      </c>
      <c r="D7174" t="s">
        <v>11</v>
      </c>
      <c r="E7174" t="s">
        <v>12</v>
      </c>
      <c r="F7174">
        <v>133405409</v>
      </c>
      <c r="G7174">
        <v>133405476</v>
      </c>
      <c r="H7174">
        <v>133405409</v>
      </c>
      <c r="I7174">
        <v>133405476</v>
      </c>
    </row>
    <row r="7175" spans="1:9" x14ac:dyDescent="0.2">
      <c r="A7175" s="1" t="str">
        <f>"GOLGA4"</f>
        <v>GOLGA4</v>
      </c>
      <c r="B7175" t="s">
        <v>14</v>
      </c>
      <c r="C7175" t="s">
        <v>22</v>
      </c>
      <c r="D7175" t="s">
        <v>17</v>
      </c>
      <c r="E7175" t="s">
        <v>12</v>
      </c>
      <c r="F7175">
        <v>37284706</v>
      </c>
      <c r="G7175">
        <v>37284771</v>
      </c>
      <c r="H7175">
        <v>37284772</v>
      </c>
      <c r="I7175">
        <v>37284785</v>
      </c>
    </row>
    <row r="7176" spans="1:9" x14ac:dyDescent="0.2">
      <c r="A7176" s="1" t="str">
        <f>"GOLGA5"</f>
        <v>GOLGA5</v>
      </c>
      <c r="B7176" t="s">
        <v>14</v>
      </c>
      <c r="C7176" t="s">
        <v>41</v>
      </c>
      <c r="D7176" t="s">
        <v>17</v>
      </c>
      <c r="E7176" t="s">
        <v>12</v>
      </c>
      <c r="F7176">
        <v>93260642</v>
      </c>
      <c r="G7176">
        <v>93260720</v>
      </c>
      <c r="H7176">
        <v>93260569</v>
      </c>
      <c r="I7176">
        <v>93260580</v>
      </c>
    </row>
    <row r="7177" spans="1:9" x14ac:dyDescent="0.2">
      <c r="A7177" s="1" t="str">
        <f>"GOLGA6A"</f>
        <v>GOLGA6A</v>
      </c>
      <c r="B7177" t="s">
        <v>542</v>
      </c>
      <c r="C7177" t="s">
        <v>25</v>
      </c>
      <c r="D7177" t="s">
        <v>11</v>
      </c>
      <c r="E7177" t="s">
        <v>20</v>
      </c>
      <c r="F7177">
        <v>74374890</v>
      </c>
      <c r="G7177">
        <v>74374890</v>
      </c>
      <c r="H7177">
        <v>74374890</v>
      </c>
      <c r="I7177">
        <v>74374890</v>
      </c>
    </row>
    <row r="7178" spans="1:9" x14ac:dyDescent="0.2">
      <c r="A7178" s="1" t="str">
        <f>"GOLGA6B"</f>
        <v>GOLGA6B</v>
      </c>
      <c r="B7178" t="s">
        <v>543</v>
      </c>
      <c r="C7178" t="s">
        <v>25</v>
      </c>
      <c r="D7178" t="s">
        <v>17</v>
      </c>
      <c r="E7178" t="s">
        <v>20</v>
      </c>
      <c r="F7178">
        <v>72947078</v>
      </c>
      <c r="G7178">
        <v>72947078</v>
      </c>
      <c r="H7178">
        <v>72947078</v>
      </c>
      <c r="I7178">
        <v>72947078</v>
      </c>
    </row>
    <row r="7179" spans="1:9" x14ac:dyDescent="0.2">
      <c r="A7179" s="1" t="str">
        <f>"GOLGA6C"</f>
        <v>GOLGA6C</v>
      </c>
      <c r="B7179" t="s">
        <v>544</v>
      </c>
      <c r="C7179" t="s">
        <v>25</v>
      </c>
      <c r="D7179" t="s">
        <v>17</v>
      </c>
      <c r="E7179" t="s">
        <v>20</v>
      </c>
      <c r="F7179">
        <v>75550939</v>
      </c>
      <c r="G7179">
        <v>75550939</v>
      </c>
      <c r="H7179">
        <v>75550939</v>
      </c>
      <c r="I7179">
        <v>75550939</v>
      </c>
    </row>
    <row r="7180" spans="1:9" x14ac:dyDescent="0.2">
      <c r="A7180" s="1" t="str">
        <f>"GOLGA6D"</f>
        <v>GOLGA6D</v>
      </c>
      <c r="B7180" t="s">
        <v>545</v>
      </c>
      <c r="C7180" t="s">
        <v>25</v>
      </c>
      <c r="D7180" t="s">
        <v>17</v>
      </c>
      <c r="E7180" t="s">
        <v>20</v>
      </c>
      <c r="F7180">
        <v>75575175</v>
      </c>
      <c r="G7180">
        <v>75575175</v>
      </c>
      <c r="H7180">
        <v>75575175</v>
      </c>
      <c r="I7180">
        <v>75575175</v>
      </c>
    </row>
    <row r="7181" spans="1:9" x14ac:dyDescent="0.2">
      <c r="A7181" s="1" t="str">
        <f>"GOLGA6L1"</f>
        <v>GOLGA6L1</v>
      </c>
      <c r="B7181" t="s">
        <v>546</v>
      </c>
      <c r="C7181" t="s">
        <v>25</v>
      </c>
      <c r="D7181" t="s">
        <v>17</v>
      </c>
      <c r="E7181" t="s">
        <v>20</v>
      </c>
      <c r="F7181">
        <v>22736245</v>
      </c>
      <c r="G7181">
        <v>22736245</v>
      </c>
      <c r="H7181">
        <v>22736245</v>
      </c>
      <c r="I7181">
        <v>22736245</v>
      </c>
    </row>
    <row r="7182" spans="1:9" x14ac:dyDescent="0.2">
      <c r="A7182" s="1" t="str">
        <f>"GOLGA6L1"</f>
        <v>GOLGA6L1</v>
      </c>
      <c r="B7182" t="s">
        <v>547</v>
      </c>
      <c r="C7182" t="s">
        <v>25</v>
      </c>
      <c r="D7182" t="s">
        <v>17</v>
      </c>
      <c r="E7182" t="s">
        <v>20</v>
      </c>
      <c r="F7182">
        <v>22736483</v>
      </c>
      <c r="G7182">
        <v>22736483</v>
      </c>
      <c r="H7182">
        <v>22736483</v>
      </c>
      <c r="I7182">
        <v>22736483</v>
      </c>
    </row>
    <row r="7183" spans="1:9" x14ac:dyDescent="0.2">
      <c r="A7183" s="1" t="str">
        <f>"GOLGA6L2"</f>
        <v>GOLGA6L2</v>
      </c>
      <c r="B7183" t="s">
        <v>14</v>
      </c>
      <c r="C7183" t="s">
        <v>25</v>
      </c>
      <c r="D7183" t="s">
        <v>11</v>
      </c>
      <c r="E7183" t="s">
        <v>67</v>
      </c>
      <c r="F7183">
        <v>23692388</v>
      </c>
      <c r="G7183">
        <v>23692392</v>
      </c>
      <c r="H7183">
        <v>23692388</v>
      </c>
      <c r="I7183">
        <v>23692392</v>
      </c>
    </row>
    <row r="7184" spans="1:9" x14ac:dyDescent="0.2">
      <c r="A7184" s="1" t="str">
        <f>"GOLGA6L4"</f>
        <v>GOLGA6L4</v>
      </c>
      <c r="B7184" t="s">
        <v>548</v>
      </c>
      <c r="C7184" t="s">
        <v>25</v>
      </c>
      <c r="D7184" t="s">
        <v>17</v>
      </c>
      <c r="E7184" t="s">
        <v>20</v>
      </c>
      <c r="F7184">
        <v>84908670</v>
      </c>
      <c r="G7184">
        <v>84908670</v>
      </c>
      <c r="H7184">
        <v>84908670</v>
      </c>
      <c r="I7184">
        <v>84908670</v>
      </c>
    </row>
    <row r="7185" spans="1:9" x14ac:dyDescent="0.2">
      <c r="A7185" s="1" t="str">
        <f>"GOLGA6L4"</f>
        <v>GOLGA6L4</v>
      </c>
      <c r="B7185" t="s">
        <v>549</v>
      </c>
      <c r="C7185" t="s">
        <v>25</v>
      </c>
      <c r="D7185" t="s">
        <v>17</v>
      </c>
      <c r="E7185" t="s">
        <v>20</v>
      </c>
      <c r="F7185">
        <v>84904524</v>
      </c>
      <c r="G7185">
        <v>84904524</v>
      </c>
      <c r="H7185">
        <v>84904524</v>
      </c>
      <c r="I7185">
        <v>84904524</v>
      </c>
    </row>
    <row r="7186" spans="1:9" x14ac:dyDescent="0.2">
      <c r="A7186" s="1" t="str">
        <f>"GOLGA6L6"</f>
        <v>GOLGA6L6</v>
      </c>
      <c r="B7186" t="s">
        <v>550</v>
      </c>
      <c r="C7186" t="s">
        <v>25</v>
      </c>
      <c r="D7186" t="s">
        <v>11</v>
      </c>
      <c r="E7186" t="s">
        <v>20</v>
      </c>
      <c r="F7186">
        <v>20747113</v>
      </c>
      <c r="G7186">
        <v>20747113</v>
      </c>
      <c r="H7186">
        <v>20747113</v>
      </c>
      <c r="I7186">
        <v>20747113</v>
      </c>
    </row>
    <row r="7187" spans="1:9" x14ac:dyDescent="0.2">
      <c r="A7187" s="1" t="str">
        <f>"GOLGA6L9"</f>
        <v>GOLGA6L9</v>
      </c>
      <c r="B7187" t="s">
        <v>551</v>
      </c>
      <c r="C7187" t="s">
        <v>25</v>
      </c>
      <c r="D7187" t="s">
        <v>17</v>
      </c>
      <c r="E7187" t="s">
        <v>20</v>
      </c>
      <c r="F7187">
        <v>83098709</v>
      </c>
      <c r="G7187">
        <v>83098709</v>
      </c>
      <c r="H7187">
        <v>83098709</v>
      </c>
      <c r="I7187">
        <v>83098709</v>
      </c>
    </row>
    <row r="7188" spans="1:9" x14ac:dyDescent="0.2">
      <c r="A7188" s="1" t="str">
        <f>"GOLGA7"</f>
        <v>GOLGA7</v>
      </c>
      <c r="B7188" t="s">
        <v>14</v>
      </c>
      <c r="C7188" t="s">
        <v>30</v>
      </c>
      <c r="D7188" t="s">
        <v>17</v>
      </c>
      <c r="E7188" t="s">
        <v>12</v>
      </c>
      <c r="F7188">
        <v>41348072</v>
      </c>
      <c r="G7188">
        <v>41348112</v>
      </c>
      <c r="H7188">
        <v>41347940</v>
      </c>
      <c r="I7188">
        <v>41347997</v>
      </c>
    </row>
    <row r="7189" spans="1:9" x14ac:dyDescent="0.2">
      <c r="A7189" s="1" t="str">
        <f>"GOLGA7B"</f>
        <v>GOLGA7B</v>
      </c>
      <c r="B7189" t="s">
        <v>14</v>
      </c>
      <c r="C7189" t="s">
        <v>15</v>
      </c>
      <c r="D7189" t="s">
        <v>17</v>
      </c>
      <c r="E7189" t="s">
        <v>12</v>
      </c>
      <c r="F7189">
        <v>99609582</v>
      </c>
      <c r="G7189">
        <v>99609664</v>
      </c>
      <c r="H7189">
        <v>99609717</v>
      </c>
      <c r="I7189">
        <v>99609780</v>
      </c>
    </row>
    <row r="7190" spans="1:9" x14ac:dyDescent="0.2">
      <c r="A7190" s="1" t="str">
        <f>"GOLGA8A"</f>
        <v>GOLGA8A</v>
      </c>
      <c r="B7190" t="s">
        <v>552</v>
      </c>
      <c r="C7190" t="s">
        <v>25</v>
      </c>
      <c r="D7190" t="s">
        <v>11</v>
      </c>
      <c r="E7190" t="s">
        <v>20</v>
      </c>
      <c r="F7190">
        <v>34681956</v>
      </c>
      <c r="G7190">
        <v>34681956</v>
      </c>
      <c r="H7190">
        <v>34681956</v>
      </c>
      <c r="I7190">
        <v>34681956</v>
      </c>
    </row>
    <row r="7191" spans="1:9" x14ac:dyDescent="0.2">
      <c r="A7191" s="1" t="str">
        <f>"GOLGA8A"</f>
        <v>GOLGA8A</v>
      </c>
      <c r="B7191" t="s">
        <v>553</v>
      </c>
      <c r="C7191" t="s">
        <v>25</v>
      </c>
      <c r="D7191" t="s">
        <v>11</v>
      </c>
      <c r="E7191" t="s">
        <v>20</v>
      </c>
      <c r="F7191">
        <v>34699887</v>
      </c>
      <c r="G7191">
        <v>34699887</v>
      </c>
      <c r="H7191">
        <v>34699887</v>
      </c>
      <c r="I7191">
        <v>34699887</v>
      </c>
    </row>
    <row r="7192" spans="1:9" x14ac:dyDescent="0.2">
      <c r="A7192" s="1" t="str">
        <f>"GOLGA8A"</f>
        <v>GOLGA8A</v>
      </c>
      <c r="B7192" t="s">
        <v>554</v>
      </c>
      <c r="C7192" t="s">
        <v>25</v>
      </c>
      <c r="D7192" t="s">
        <v>11</v>
      </c>
      <c r="E7192" t="s">
        <v>20</v>
      </c>
      <c r="F7192">
        <v>34880703</v>
      </c>
      <c r="G7192">
        <v>34880703</v>
      </c>
      <c r="H7192">
        <v>34880703</v>
      </c>
      <c r="I7192">
        <v>34880703</v>
      </c>
    </row>
    <row r="7193" spans="1:9" x14ac:dyDescent="0.2">
      <c r="A7193" s="1" t="str">
        <f>"GOLGA8B"</f>
        <v>GOLGA8B</v>
      </c>
      <c r="B7193" t="s">
        <v>14</v>
      </c>
      <c r="C7193" t="s">
        <v>25</v>
      </c>
      <c r="D7193" t="s">
        <v>11</v>
      </c>
      <c r="E7193" t="s">
        <v>12</v>
      </c>
      <c r="F7193">
        <v>34875786</v>
      </c>
      <c r="G7193">
        <v>34875894</v>
      </c>
      <c r="H7193">
        <v>34875903</v>
      </c>
      <c r="I7193">
        <v>34875914</v>
      </c>
    </row>
    <row r="7194" spans="1:9" x14ac:dyDescent="0.2">
      <c r="A7194" s="1" t="str">
        <f>"GOLGA8H"</f>
        <v>GOLGA8H</v>
      </c>
      <c r="B7194" t="s">
        <v>555</v>
      </c>
      <c r="C7194" t="s">
        <v>25</v>
      </c>
      <c r="D7194" t="s">
        <v>17</v>
      </c>
      <c r="E7194" t="s">
        <v>20</v>
      </c>
      <c r="F7194">
        <v>30896328</v>
      </c>
      <c r="G7194">
        <v>30896328</v>
      </c>
      <c r="H7194">
        <v>30896328</v>
      </c>
      <c r="I7194">
        <v>30896328</v>
      </c>
    </row>
    <row r="7195" spans="1:9" x14ac:dyDescent="0.2">
      <c r="A7195" s="1" t="str">
        <f>"GOLGA8J"</f>
        <v>GOLGA8J</v>
      </c>
      <c r="B7195" t="s">
        <v>556</v>
      </c>
      <c r="C7195" t="s">
        <v>25</v>
      </c>
      <c r="D7195" t="s">
        <v>17</v>
      </c>
      <c r="E7195" t="s">
        <v>20</v>
      </c>
      <c r="F7195">
        <v>30375206</v>
      </c>
      <c r="G7195">
        <v>30375206</v>
      </c>
      <c r="H7195">
        <v>30375206</v>
      </c>
      <c r="I7195">
        <v>30375206</v>
      </c>
    </row>
    <row r="7196" spans="1:9" x14ac:dyDescent="0.2">
      <c r="A7196" s="1" t="str">
        <f>"GOLGA8K"</f>
        <v>GOLGA8K</v>
      </c>
      <c r="B7196" t="s">
        <v>557</v>
      </c>
      <c r="C7196" t="s">
        <v>25</v>
      </c>
      <c r="D7196" t="s">
        <v>11</v>
      </c>
      <c r="E7196" t="s">
        <v>20</v>
      </c>
      <c r="F7196">
        <v>32695395</v>
      </c>
      <c r="G7196">
        <v>32695395</v>
      </c>
      <c r="H7196">
        <v>32695395</v>
      </c>
      <c r="I7196">
        <v>32695395</v>
      </c>
    </row>
    <row r="7197" spans="1:9" x14ac:dyDescent="0.2">
      <c r="A7197" s="1" t="str">
        <f>"GOLGA8M"</f>
        <v>GOLGA8M</v>
      </c>
      <c r="B7197" t="s">
        <v>558</v>
      </c>
      <c r="C7197" t="s">
        <v>25</v>
      </c>
      <c r="D7197" t="s">
        <v>11</v>
      </c>
      <c r="E7197" t="s">
        <v>20</v>
      </c>
      <c r="F7197">
        <v>28957517</v>
      </c>
      <c r="G7197">
        <v>28957517</v>
      </c>
      <c r="H7197">
        <v>28957517</v>
      </c>
      <c r="I7197">
        <v>28957517</v>
      </c>
    </row>
    <row r="7198" spans="1:9" x14ac:dyDescent="0.2">
      <c r="A7198" s="1" t="str">
        <f>"GOLGA8N"</f>
        <v>GOLGA8N</v>
      </c>
      <c r="B7198" t="s">
        <v>559</v>
      </c>
      <c r="C7198" t="s">
        <v>25</v>
      </c>
      <c r="D7198" t="s">
        <v>17</v>
      </c>
      <c r="E7198" t="s">
        <v>20</v>
      </c>
      <c r="F7198">
        <v>32885705</v>
      </c>
      <c r="G7198">
        <v>32885705</v>
      </c>
      <c r="H7198">
        <v>32885705</v>
      </c>
      <c r="I7198">
        <v>32885705</v>
      </c>
    </row>
    <row r="7199" spans="1:9" x14ac:dyDescent="0.2">
      <c r="A7199" s="1" t="str">
        <f>"GOLGA8O"</f>
        <v>GOLGA8O</v>
      </c>
      <c r="B7199" t="s">
        <v>560</v>
      </c>
      <c r="C7199" t="s">
        <v>25</v>
      </c>
      <c r="D7199" t="s">
        <v>11</v>
      </c>
      <c r="E7199" t="s">
        <v>20</v>
      </c>
      <c r="F7199">
        <v>32747834</v>
      </c>
      <c r="G7199">
        <v>32747834</v>
      </c>
      <c r="H7199">
        <v>32747834</v>
      </c>
      <c r="I7199">
        <v>32747834</v>
      </c>
    </row>
    <row r="7200" spans="1:9" x14ac:dyDescent="0.2">
      <c r="A7200" s="1" t="str">
        <f>"GOLGA8R"</f>
        <v>GOLGA8R</v>
      </c>
      <c r="B7200" t="s">
        <v>561</v>
      </c>
      <c r="C7200" t="s">
        <v>25</v>
      </c>
      <c r="D7200" t="s">
        <v>11</v>
      </c>
      <c r="E7200" t="s">
        <v>20</v>
      </c>
      <c r="F7200">
        <v>30706413</v>
      </c>
      <c r="G7200">
        <v>30706413</v>
      </c>
      <c r="H7200">
        <v>30706413</v>
      </c>
      <c r="I7200">
        <v>30706413</v>
      </c>
    </row>
    <row r="7201" spans="1:9" x14ac:dyDescent="0.2">
      <c r="A7201" s="1" t="str">
        <f>"GOLGB1"</f>
        <v>GOLGB1</v>
      </c>
      <c r="B7201" t="s">
        <v>14</v>
      </c>
      <c r="C7201" t="s">
        <v>22</v>
      </c>
      <c r="D7201" t="s">
        <v>11</v>
      </c>
      <c r="E7201" t="s">
        <v>12</v>
      </c>
      <c r="F7201">
        <v>121468552</v>
      </c>
      <c r="G7201">
        <v>121468599</v>
      </c>
      <c r="H7201">
        <v>121468602</v>
      </c>
      <c r="I7201">
        <v>121468617</v>
      </c>
    </row>
    <row r="7202" spans="1:9" x14ac:dyDescent="0.2">
      <c r="A7202" s="1" t="str">
        <f>"GOLIM4"</f>
        <v>GOLIM4</v>
      </c>
      <c r="B7202" t="s">
        <v>14</v>
      </c>
      <c r="C7202" t="s">
        <v>22</v>
      </c>
      <c r="D7202" t="s">
        <v>11</v>
      </c>
      <c r="E7202" t="s">
        <v>12</v>
      </c>
      <c r="F7202">
        <v>167813672</v>
      </c>
      <c r="G7202">
        <v>167813751</v>
      </c>
      <c r="H7202">
        <v>167813363</v>
      </c>
      <c r="I7202">
        <v>167813423</v>
      </c>
    </row>
    <row r="7203" spans="1:9" x14ac:dyDescent="0.2">
      <c r="A7203" s="1" t="str">
        <f>"GOLM1"</f>
        <v>GOLM1</v>
      </c>
      <c r="B7203" t="s">
        <v>14</v>
      </c>
      <c r="C7203" t="s">
        <v>24</v>
      </c>
      <c r="D7203" t="s">
        <v>11</v>
      </c>
      <c r="E7203" t="s">
        <v>12</v>
      </c>
      <c r="F7203">
        <v>88714421</v>
      </c>
      <c r="G7203">
        <v>88714506</v>
      </c>
      <c r="H7203">
        <v>88714421</v>
      </c>
      <c r="I7203">
        <v>88714506</v>
      </c>
    </row>
    <row r="7204" spans="1:9" x14ac:dyDescent="0.2">
      <c r="A7204" s="1" t="str">
        <f>"GOLPH3"</f>
        <v>GOLPH3</v>
      </c>
      <c r="B7204" t="s">
        <v>14</v>
      </c>
      <c r="C7204" t="s">
        <v>46</v>
      </c>
      <c r="D7204" t="s">
        <v>11</v>
      </c>
      <c r="E7204" t="s">
        <v>12</v>
      </c>
      <c r="F7204">
        <v>32174369</v>
      </c>
      <c r="G7204">
        <v>32174458</v>
      </c>
      <c r="H7204">
        <v>32174338</v>
      </c>
      <c r="I7204">
        <v>32174367</v>
      </c>
    </row>
    <row r="7205" spans="1:9" x14ac:dyDescent="0.2">
      <c r="A7205" s="1" t="str">
        <f>"GOLPH3L"</f>
        <v>GOLPH3L</v>
      </c>
      <c r="B7205" t="s">
        <v>14</v>
      </c>
      <c r="C7205" t="s">
        <v>19</v>
      </c>
      <c r="D7205" t="s">
        <v>11</v>
      </c>
      <c r="E7205" t="s">
        <v>12</v>
      </c>
      <c r="F7205">
        <v>150669604</v>
      </c>
      <c r="G7205">
        <v>150669643</v>
      </c>
      <c r="H7205">
        <v>150669645</v>
      </c>
      <c r="I7205">
        <v>150669670</v>
      </c>
    </row>
    <row r="7206" spans="1:9" x14ac:dyDescent="0.2">
      <c r="A7206" s="1" t="str">
        <f>"GOLT1A"</f>
        <v>GOLT1A</v>
      </c>
      <c r="B7206" t="s">
        <v>14</v>
      </c>
      <c r="C7206" t="s">
        <v>19</v>
      </c>
      <c r="D7206" t="s">
        <v>11</v>
      </c>
      <c r="E7206" t="s">
        <v>12</v>
      </c>
      <c r="F7206">
        <v>204183071</v>
      </c>
      <c r="G7206">
        <v>204183152</v>
      </c>
      <c r="H7206">
        <v>204183211</v>
      </c>
      <c r="I7206">
        <v>204183223</v>
      </c>
    </row>
    <row r="7207" spans="1:9" x14ac:dyDescent="0.2">
      <c r="A7207" s="1" t="str">
        <f>"GOLT1B"</f>
        <v>GOLT1B</v>
      </c>
      <c r="B7207" t="s">
        <v>14</v>
      </c>
      <c r="C7207" t="s">
        <v>16</v>
      </c>
      <c r="D7207" t="s">
        <v>17</v>
      </c>
      <c r="E7207" t="s">
        <v>12</v>
      </c>
      <c r="F7207">
        <v>21654714</v>
      </c>
      <c r="G7207">
        <v>21654767</v>
      </c>
      <c r="H7207">
        <v>21654780</v>
      </c>
      <c r="I7207">
        <v>21654806</v>
      </c>
    </row>
    <row r="7208" spans="1:9" x14ac:dyDescent="0.2">
      <c r="A7208" s="1" t="str">
        <f>"GON4L"</f>
        <v>GON4L</v>
      </c>
      <c r="B7208" t="s">
        <v>9</v>
      </c>
      <c r="C7208" t="s">
        <v>19</v>
      </c>
      <c r="D7208" t="s">
        <v>11</v>
      </c>
      <c r="E7208" t="s">
        <v>12</v>
      </c>
      <c r="F7208">
        <v>155826967</v>
      </c>
      <c r="G7208">
        <v>155827018</v>
      </c>
      <c r="H7208">
        <v>155826967</v>
      </c>
      <c r="I7208">
        <v>155827018</v>
      </c>
    </row>
    <row r="7209" spans="1:9" x14ac:dyDescent="0.2">
      <c r="A7209" s="1" t="str">
        <f>"GON4L"</f>
        <v>GON4L</v>
      </c>
      <c r="B7209" t="s">
        <v>13</v>
      </c>
      <c r="C7209" t="s">
        <v>19</v>
      </c>
      <c r="D7209" t="s">
        <v>11</v>
      </c>
      <c r="E7209" t="s">
        <v>12</v>
      </c>
      <c r="F7209">
        <v>155829137</v>
      </c>
      <c r="G7209">
        <v>155829177</v>
      </c>
      <c r="H7209">
        <v>155829137</v>
      </c>
      <c r="I7209">
        <v>155829177</v>
      </c>
    </row>
    <row r="7210" spans="1:9" x14ac:dyDescent="0.2">
      <c r="A7210" s="1" t="str">
        <f>"GOPC"</f>
        <v>GOPC</v>
      </c>
      <c r="B7210" t="s">
        <v>14</v>
      </c>
      <c r="C7210" t="s">
        <v>32</v>
      </c>
      <c r="D7210" t="s">
        <v>11</v>
      </c>
      <c r="E7210" t="s">
        <v>12</v>
      </c>
      <c r="F7210">
        <v>117923610</v>
      </c>
      <c r="G7210">
        <v>117923691</v>
      </c>
      <c r="H7210">
        <v>117923699</v>
      </c>
      <c r="I7210">
        <v>117923710</v>
      </c>
    </row>
    <row r="7211" spans="1:9" x14ac:dyDescent="0.2">
      <c r="A7211" s="1" t="str">
        <f>"GORAB"</f>
        <v>GORAB</v>
      </c>
      <c r="B7211" t="s">
        <v>14</v>
      </c>
      <c r="C7211" t="s">
        <v>19</v>
      </c>
      <c r="D7211" t="s">
        <v>17</v>
      </c>
      <c r="E7211" t="s">
        <v>12</v>
      </c>
      <c r="F7211">
        <v>170501281</v>
      </c>
      <c r="G7211">
        <v>170501325</v>
      </c>
      <c r="H7211">
        <v>170501327</v>
      </c>
      <c r="I7211">
        <v>170501347</v>
      </c>
    </row>
    <row r="7212" spans="1:9" x14ac:dyDescent="0.2">
      <c r="A7212" s="1" t="str">
        <f>"GORASP1"</f>
        <v>GORASP1</v>
      </c>
      <c r="B7212" t="s">
        <v>14</v>
      </c>
      <c r="C7212" t="s">
        <v>22</v>
      </c>
      <c r="D7212" t="s">
        <v>11</v>
      </c>
      <c r="E7212" t="s">
        <v>12</v>
      </c>
      <c r="F7212">
        <v>39149082</v>
      </c>
      <c r="G7212">
        <v>39149146</v>
      </c>
      <c r="H7212">
        <v>39149064</v>
      </c>
      <c r="I7212">
        <v>39149081</v>
      </c>
    </row>
    <row r="7213" spans="1:9" x14ac:dyDescent="0.2">
      <c r="A7213" s="1" t="str">
        <f>"GORASP2"</f>
        <v>GORASP2</v>
      </c>
      <c r="B7213" t="s">
        <v>14</v>
      </c>
      <c r="C7213" t="s">
        <v>26</v>
      </c>
      <c r="D7213" t="s">
        <v>17</v>
      </c>
      <c r="E7213" t="s">
        <v>12</v>
      </c>
      <c r="F7213">
        <v>171785708</v>
      </c>
      <c r="G7213">
        <v>171785789</v>
      </c>
      <c r="H7213">
        <v>171785801</v>
      </c>
      <c r="I7213">
        <v>171785820</v>
      </c>
    </row>
    <row r="7214" spans="1:9" x14ac:dyDescent="0.2">
      <c r="A7214" s="1" t="str">
        <f>"GOSR1"</f>
        <v>GOSR1</v>
      </c>
      <c r="B7214" t="s">
        <v>14</v>
      </c>
      <c r="C7214" t="s">
        <v>28</v>
      </c>
      <c r="D7214" t="s">
        <v>17</v>
      </c>
      <c r="E7214" t="s">
        <v>12</v>
      </c>
      <c r="F7214">
        <v>28804418</v>
      </c>
      <c r="G7214">
        <v>28804450</v>
      </c>
      <c r="H7214">
        <v>28804418</v>
      </c>
      <c r="I7214">
        <v>28804450</v>
      </c>
    </row>
    <row r="7215" spans="1:9" x14ac:dyDescent="0.2">
      <c r="A7215" s="1" t="str">
        <f>"GOSR2"</f>
        <v>GOSR2</v>
      </c>
      <c r="B7215" t="s">
        <v>14</v>
      </c>
      <c r="C7215" t="s">
        <v>28</v>
      </c>
      <c r="D7215" t="s">
        <v>17</v>
      </c>
      <c r="E7215" t="s">
        <v>12</v>
      </c>
      <c r="F7215">
        <v>45000489</v>
      </c>
      <c r="G7215">
        <v>45000534</v>
      </c>
      <c r="H7215">
        <v>45000489</v>
      </c>
      <c r="I7215">
        <v>45000534</v>
      </c>
    </row>
    <row r="7216" spans="1:9" x14ac:dyDescent="0.2">
      <c r="A7216" s="1" t="str">
        <f>"GOT1"</f>
        <v>GOT1</v>
      </c>
      <c r="B7216" t="s">
        <v>14</v>
      </c>
      <c r="C7216" t="s">
        <v>15</v>
      </c>
      <c r="D7216" t="s">
        <v>11</v>
      </c>
      <c r="E7216" t="s">
        <v>12</v>
      </c>
      <c r="F7216">
        <v>101190374</v>
      </c>
      <c r="G7216">
        <v>101190429</v>
      </c>
      <c r="H7216">
        <v>101190430</v>
      </c>
      <c r="I7216">
        <v>101190441</v>
      </c>
    </row>
    <row r="7217" spans="1:9" x14ac:dyDescent="0.2">
      <c r="A7217" s="1" t="str">
        <f>"GOT1L1"</f>
        <v>GOT1L1</v>
      </c>
      <c r="B7217" t="s">
        <v>14</v>
      </c>
      <c r="C7217" t="s">
        <v>30</v>
      </c>
      <c r="D7217" t="s">
        <v>11</v>
      </c>
      <c r="E7217" t="s">
        <v>12</v>
      </c>
      <c r="F7217">
        <v>37797666</v>
      </c>
      <c r="G7217">
        <v>37797673</v>
      </c>
      <c r="H7217">
        <v>37797638</v>
      </c>
      <c r="I7217">
        <v>37797644</v>
      </c>
    </row>
    <row r="7218" spans="1:9" x14ac:dyDescent="0.2">
      <c r="A7218" s="1" t="str">
        <f>"GOT2"</f>
        <v>GOT2</v>
      </c>
      <c r="B7218" t="s">
        <v>14</v>
      </c>
      <c r="C7218" t="s">
        <v>31</v>
      </c>
      <c r="D7218" t="s">
        <v>11</v>
      </c>
      <c r="E7218" t="s">
        <v>12</v>
      </c>
      <c r="F7218">
        <v>58768177</v>
      </c>
      <c r="G7218">
        <v>58768264</v>
      </c>
      <c r="H7218">
        <v>58768148</v>
      </c>
      <c r="I7218">
        <v>58768173</v>
      </c>
    </row>
    <row r="7219" spans="1:9" x14ac:dyDescent="0.2">
      <c r="A7219" s="1" t="str">
        <f>"GP1BA"</f>
        <v>GP1BA</v>
      </c>
      <c r="B7219" t="s">
        <v>14</v>
      </c>
      <c r="C7219" t="s">
        <v>28</v>
      </c>
      <c r="D7219" t="s">
        <v>17</v>
      </c>
      <c r="E7219" t="s">
        <v>12</v>
      </c>
      <c r="F7219">
        <v>4835555</v>
      </c>
      <c r="G7219">
        <v>4835578</v>
      </c>
      <c r="H7219">
        <v>4835580</v>
      </c>
      <c r="I7219">
        <v>4835593</v>
      </c>
    </row>
    <row r="7220" spans="1:9" x14ac:dyDescent="0.2">
      <c r="A7220" s="1" t="str">
        <f>"GP1BB"</f>
        <v>GP1BB</v>
      </c>
      <c r="B7220" t="s">
        <v>14</v>
      </c>
      <c r="C7220" t="s">
        <v>21</v>
      </c>
      <c r="D7220" t="s">
        <v>17</v>
      </c>
      <c r="E7220" t="s">
        <v>12</v>
      </c>
      <c r="F7220">
        <v>19711050</v>
      </c>
      <c r="G7220">
        <v>19711086</v>
      </c>
      <c r="H7220">
        <v>19710452</v>
      </c>
      <c r="I7220">
        <v>19710475</v>
      </c>
    </row>
    <row r="7221" spans="1:9" x14ac:dyDescent="0.2">
      <c r="A7221" s="1" t="str">
        <f>"GP2"</f>
        <v>GP2</v>
      </c>
      <c r="B7221" t="s">
        <v>9</v>
      </c>
      <c r="C7221" t="s">
        <v>31</v>
      </c>
      <c r="D7221" t="s">
        <v>11</v>
      </c>
      <c r="E7221" t="s">
        <v>12</v>
      </c>
      <c r="F7221">
        <v>20338822</v>
      </c>
      <c r="G7221">
        <v>20338840</v>
      </c>
      <c r="H7221">
        <v>20338822</v>
      </c>
      <c r="I7221">
        <v>20338840</v>
      </c>
    </row>
    <row r="7222" spans="1:9" x14ac:dyDescent="0.2">
      <c r="A7222" s="1" t="str">
        <f>"GP2"</f>
        <v>GP2</v>
      </c>
      <c r="B7222" t="s">
        <v>13</v>
      </c>
      <c r="C7222" t="s">
        <v>31</v>
      </c>
      <c r="D7222" t="s">
        <v>11</v>
      </c>
      <c r="E7222" t="s">
        <v>12</v>
      </c>
      <c r="F7222">
        <v>20337760</v>
      </c>
      <c r="G7222">
        <v>20337780</v>
      </c>
      <c r="H7222">
        <v>20337760</v>
      </c>
      <c r="I7222">
        <v>20337780</v>
      </c>
    </row>
    <row r="7223" spans="1:9" x14ac:dyDescent="0.2">
      <c r="A7223" s="1" t="str">
        <f>"GP5"</f>
        <v>GP5</v>
      </c>
      <c r="B7223" t="s">
        <v>14</v>
      </c>
      <c r="C7223" t="s">
        <v>22</v>
      </c>
      <c r="D7223" t="s">
        <v>11</v>
      </c>
      <c r="E7223" t="s">
        <v>12</v>
      </c>
      <c r="F7223">
        <v>194118830</v>
      </c>
      <c r="G7223">
        <v>194118859</v>
      </c>
      <c r="H7223">
        <v>194118803</v>
      </c>
      <c r="I7223">
        <v>194118827</v>
      </c>
    </row>
    <row r="7224" spans="1:9" x14ac:dyDescent="0.2">
      <c r="A7224" s="1" t="str">
        <f>"GP6"</f>
        <v>GP6</v>
      </c>
      <c r="B7224" t="s">
        <v>14</v>
      </c>
      <c r="C7224" t="s">
        <v>10</v>
      </c>
      <c r="D7224" t="s">
        <v>11</v>
      </c>
      <c r="E7224" t="s">
        <v>12</v>
      </c>
      <c r="F7224">
        <v>55549624</v>
      </c>
      <c r="G7224">
        <v>55549639</v>
      </c>
      <c r="H7224">
        <v>55549643</v>
      </c>
      <c r="I7224">
        <v>55549653</v>
      </c>
    </row>
    <row r="7225" spans="1:9" x14ac:dyDescent="0.2">
      <c r="A7225" s="1" t="str">
        <f>"GP9"</f>
        <v>GP9</v>
      </c>
      <c r="B7225" t="s">
        <v>14</v>
      </c>
      <c r="C7225" t="s">
        <v>22</v>
      </c>
      <c r="D7225" t="s">
        <v>17</v>
      </c>
      <c r="E7225" t="s">
        <v>12</v>
      </c>
      <c r="F7225">
        <v>128779616</v>
      </c>
      <c r="G7225">
        <v>128779659</v>
      </c>
      <c r="H7225">
        <v>128779597</v>
      </c>
      <c r="I7225">
        <v>128779603</v>
      </c>
    </row>
    <row r="7226" spans="1:9" x14ac:dyDescent="0.2">
      <c r="A7226" s="1" t="str">
        <f>"GPA33"</f>
        <v>GPA33</v>
      </c>
      <c r="B7226" t="s">
        <v>14</v>
      </c>
      <c r="C7226" t="s">
        <v>19</v>
      </c>
      <c r="D7226" t="s">
        <v>11</v>
      </c>
      <c r="E7226" t="s">
        <v>12</v>
      </c>
      <c r="F7226">
        <v>167059607</v>
      </c>
      <c r="G7226">
        <v>167059633</v>
      </c>
      <c r="H7226">
        <v>167059830</v>
      </c>
      <c r="I7226">
        <v>167059857</v>
      </c>
    </row>
    <row r="7227" spans="1:9" x14ac:dyDescent="0.2">
      <c r="A7227" s="1" t="str">
        <f>"GPAA1"</f>
        <v>GPAA1</v>
      </c>
      <c r="B7227" t="s">
        <v>14</v>
      </c>
      <c r="C7227" t="s">
        <v>30</v>
      </c>
      <c r="D7227" t="s">
        <v>17</v>
      </c>
      <c r="E7227" t="s">
        <v>12</v>
      </c>
      <c r="F7227">
        <v>145137489</v>
      </c>
      <c r="G7227">
        <v>145137593</v>
      </c>
      <c r="H7227">
        <v>145138064</v>
      </c>
      <c r="I7227">
        <v>145138082</v>
      </c>
    </row>
    <row r="7228" spans="1:9" x14ac:dyDescent="0.2">
      <c r="A7228" s="1" t="str">
        <f>"GPALPP1"</f>
        <v>GPALPP1</v>
      </c>
      <c r="B7228" t="s">
        <v>14</v>
      </c>
      <c r="C7228" t="s">
        <v>39</v>
      </c>
      <c r="D7228" t="s">
        <v>17</v>
      </c>
      <c r="E7228" t="s">
        <v>12</v>
      </c>
      <c r="F7228">
        <v>45563665</v>
      </c>
      <c r="G7228">
        <v>45563714</v>
      </c>
      <c r="H7228">
        <v>45563721</v>
      </c>
      <c r="I7228">
        <v>45563738</v>
      </c>
    </row>
    <row r="7229" spans="1:9" x14ac:dyDescent="0.2">
      <c r="A7229" s="1" t="str">
        <f>"GPAM"</f>
        <v>GPAM</v>
      </c>
      <c r="B7229" t="s">
        <v>14</v>
      </c>
      <c r="C7229" t="s">
        <v>15</v>
      </c>
      <c r="D7229" t="s">
        <v>11</v>
      </c>
      <c r="E7229" t="s">
        <v>12</v>
      </c>
      <c r="F7229">
        <v>113943447</v>
      </c>
      <c r="G7229">
        <v>113943536</v>
      </c>
      <c r="H7229">
        <v>113943447</v>
      </c>
      <c r="I7229">
        <v>113943536</v>
      </c>
    </row>
    <row r="7230" spans="1:9" x14ac:dyDescent="0.2">
      <c r="A7230" s="1" t="str">
        <f>"GPANK1"</f>
        <v>GPANK1</v>
      </c>
      <c r="B7230" t="s">
        <v>14</v>
      </c>
      <c r="C7230" t="s">
        <v>32</v>
      </c>
      <c r="D7230" t="s">
        <v>11</v>
      </c>
      <c r="E7230" t="s">
        <v>12</v>
      </c>
      <c r="F7230">
        <v>31632758</v>
      </c>
      <c r="G7230">
        <v>31632792</v>
      </c>
      <c r="H7230">
        <v>31633649</v>
      </c>
      <c r="I7230">
        <v>31633678</v>
      </c>
    </row>
    <row r="7231" spans="1:9" x14ac:dyDescent="0.2">
      <c r="A7231" s="1" t="str">
        <f>"GPAT2"</f>
        <v>GPAT2</v>
      </c>
      <c r="B7231" t="s">
        <v>562</v>
      </c>
      <c r="C7231" t="s">
        <v>26</v>
      </c>
      <c r="D7231" t="s">
        <v>11</v>
      </c>
      <c r="E7231" t="s">
        <v>20</v>
      </c>
      <c r="F7231">
        <v>96700663</v>
      </c>
      <c r="G7231">
        <v>96700663</v>
      </c>
      <c r="H7231">
        <v>96700663</v>
      </c>
      <c r="I7231">
        <v>96700663</v>
      </c>
    </row>
    <row r="7232" spans="1:9" x14ac:dyDescent="0.2">
      <c r="A7232" s="1" t="str">
        <f>"GPAT2"</f>
        <v>GPAT2</v>
      </c>
      <c r="B7232" t="s">
        <v>563</v>
      </c>
      <c r="C7232" t="s">
        <v>26</v>
      </c>
      <c r="D7232" t="s">
        <v>11</v>
      </c>
      <c r="E7232" t="s">
        <v>20</v>
      </c>
      <c r="F7232">
        <v>96701721</v>
      </c>
      <c r="G7232">
        <v>96701721</v>
      </c>
      <c r="H7232">
        <v>96701721</v>
      </c>
      <c r="I7232">
        <v>96701721</v>
      </c>
    </row>
    <row r="7233" spans="1:9" x14ac:dyDescent="0.2">
      <c r="A7233" s="1" t="str">
        <f>"GPATCH1"</f>
        <v>GPATCH1</v>
      </c>
      <c r="B7233" t="s">
        <v>14</v>
      </c>
      <c r="C7233" t="s">
        <v>10</v>
      </c>
      <c r="D7233" t="s">
        <v>17</v>
      </c>
      <c r="E7233" t="s">
        <v>12</v>
      </c>
      <c r="F7233">
        <v>33572078</v>
      </c>
      <c r="G7233">
        <v>33572104</v>
      </c>
      <c r="H7233">
        <v>33572114</v>
      </c>
      <c r="I7233">
        <v>33572123</v>
      </c>
    </row>
    <row r="7234" spans="1:9" x14ac:dyDescent="0.2">
      <c r="A7234" s="1" t="str">
        <f>"GPATCH11"</f>
        <v>GPATCH11</v>
      </c>
      <c r="B7234" t="s">
        <v>14</v>
      </c>
      <c r="C7234" t="s">
        <v>26</v>
      </c>
      <c r="D7234" t="s">
        <v>17</v>
      </c>
      <c r="E7234" t="s">
        <v>12</v>
      </c>
      <c r="F7234">
        <v>37311645</v>
      </c>
      <c r="G7234">
        <v>37311692</v>
      </c>
      <c r="H7234">
        <v>37311588</v>
      </c>
      <c r="I7234">
        <v>37311602</v>
      </c>
    </row>
    <row r="7235" spans="1:9" x14ac:dyDescent="0.2">
      <c r="A7235" s="1" t="str">
        <f>"GPATCH2"</f>
        <v>GPATCH2</v>
      </c>
      <c r="B7235" t="s">
        <v>14</v>
      </c>
      <c r="C7235" t="s">
        <v>19</v>
      </c>
      <c r="D7235" t="s">
        <v>11</v>
      </c>
      <c r="E7235" t="s">
        <v>12</v>
      </c>
      <c r="F7235">
        <v>217804377</v>
      </c>
      <c r="G7235">
        <v>217804446</v>
      </c>
      <c r="H7235">
        <v>217804369</v>
      </c>
      <c r="I7235">
        <v>217804375</v>
      </c>
    </row>
    <row r="7236" spans="1:9" x14ac:dyDescent="0.2">
      <c r="A7236" s="1" t="str">
        <f>"GPATCH2L"</f>
        <v>GPATCH2L</v>
      </c>
      <c r="B7236" t="s">
        <v>14</v>
      </c>
      <c r="C7236" t="s">
        <v>41</v>
      </c>
      <c r="D7236" t="s">
        <v>17</v>
      </c>
      <c r="E7236" t="s">
        <v>12</v>
      </c>
      <c r="F7236">
        <v>76618242</v>
      </c>
      <c r="G7236">
        <v>76618305</v>
      </c>
      <c r="H7236">
        <v>76618319</v>
      </c>
      <c r="I7236">
        <v>76618330</v>
      </c>
    </row>
    <row r="7237" spans="1:9" x14ac:dyDescent="0.2">
      <c r="A7237" s="1" t="str">
        <f>"GPATCH3"</f>
        <v>GPATCH3</v>
      </c>
      <c r="B7237" t="s">
        <v>14</v>
      </c>
      <c r="C7237" t="s">
        <v>19</v>
      </c>
      <c r="D7237" t="s">
        <v>11</v>
      </c>
      <c r="E7237" t="s">
        <v>12</v>
      </c>
      <c r="F7237">
        <v>27226928</v>
      </c>
      <c r="G7237">
        <v>27226967</v>
      </c>
      <c r="H7237">
        <v>27226928</v>
      </c>
      <c r="I7237">
        <v>27226967</v>
      </c>
    </row>
    <row r="7238" spans="1:9" x14ac:dyDescent="0.2">
      <c r="A7238" s="1" t="str">
        <f>"GPATCH4"</f>
        <v>GPATCH4</v>
      </c>
      <c r="B7238" t="s">
        <v>14</v>
      </c>
      <c r="C7238" t="s">
        <v>19</v>
      </c>
      <c r="D7238" t="s">
        <v>11</v>
      </c>
      <c r="E7238" t="s">
        <v>12</v>
      </c>
      <c r="F7238">
        <v>156571254</v>
      </c>
      <c r="G7238">
        <v>156571281</v>
      </c>
      <c r="H7238">
        <v>156571227</v>
      </c>
      <c r="I7238">
        <v>156571247</v>
      </c>
    </row>
    <row r="7239" spans="1:9" x14ac:dyDescent="0.2">
      <c r="A7239" s="1" t="str">
        <f>"GPATCH8"</f>
        <v>GPATCH8</v>
      </c>
      <c r="B7239" t="s">
        <v>14</v>
      </c>
      <c r="C7239" t="s">
        <v>28</v>
      </c>
      <c r="D7239" t="s">
        <v>11</v>
      </c>
      <c r="E7239" t="s">
        <v>12</v>
      </c>
      <c r="F7239">
        <v>42580738</v>
      </c>
      <c r="G7239">
        <v>42580787</v>
      </c>
      <c r="H7239">
        <v>42580948</v>
      </c>
      <c r="I7239">
        <v>42580992</v>
      </c>
    </row>
    <row r="7240" spans="1:9" x14ac:dyDescent="0.2">
      <c r="A7240" s="1" t="str">
        <f>"GPBAR1"</f>
        <v>GPBAR1</v>
      </c>
      <c r="B7240" t="s">
        <v>14</v>
      </c>
      <c r="C7240" t="s">
        <v>26</v>
      </c>
      <c r="D7240" t="s">
        <v>17</v>
      </c>
      <c r="E7240" t="s">
        <v>12</v>
      </c>
      <c r="F7240">
        <v>219125714</v>
      </c>
      <c r="G7240">
        <v>219125758</v>
      </c>
      <c r="H7240">
        <v>219125838</v>
      </c>
      <c r="I7240">
        <v>219125849</v>
      </c>
    </row>
    <row r="7241" spans="1:9" x14ac:dyDescent="0.2">
      <c r="A7241" s="1" t="str">
        <f>"GPBP1"</f>
        <v>GPBP1</v>
      </c>
      <c r="B7241" t="s">
        <v>14</v>
      </c>
      <c r="C7241" t="s">
        <v>46</v>
      </c>
      <c r="D7241" t="s">
        <v>17</v>
      </c>
      <c r="E7241" t="s">
        <v>12</v>
      </c>
      <c r="F7241">
        <v>56469843</v>
      </c>
      <c r="G7241">
        <v>56469923</v>
      </c>
      <c r="H7241">
        <v>56469653</v>
      </c>
      <c r="I7241">
        <v>56469722</v>
      </c>
    </row>
    <row r="7242" spans="1:9" x14ac:dyDescent="0.2">
      <c r="A7242" s="1" t="str">
        <f>"GPBP1L1"</f>
        <v>GPBP1L1</v>
      </c>
      <c r="B7242" t="s">
        <v>14</v>
      </c>
      <c r="C7242" t="s">
        <v>19</v>
      </c>
      <c r="D7242" t="s">
        <v>11</v>
      </c>
      <c r="E7242" t="s">
        <v>12</v>
      </c>
      <c r="F7242">
        <v>46152174</v>
      </c>
      <c r="G7242">
        <v>46152244</v>
      </c>
      <c r="H7242">
        <v>46152726</v>
      </c>
      <c r="I7242">
        <v>46152819</v>
      </c>
    </row>
    <row r="7243" spans="1:9" x14ac:dyDescent="0.2">
      <c r="A7243" s="1" t="str">
        <f>"GPC1"</f>
        <v>GPC1</v>
      </c>
      <c r="B7243" t="s">
        <v>14</v>
      </c>
      <c r="C7243" t="s">
        <v>26</v>
      </c>
      <c r="D7243" t="s">
        <v>17</v>
      </c>
      <c r="E7243" t="s">
        <v>12</v>
      </c>
      <c r="F7243">
        <v>241375069</v>
      </c>
      <c r="G7243">
        <v>241375136</v>
      </c>
      <c r="H7243">
        <v>241375069</v>
      </c>
      <c r="I7243">
        <v>241375136</v>
      </c>
    </row>
    <row r="7244" spans="1:9" x14ac:dyDescent="0.2">
      <c r="A7244" s="1" t="str">
        <f>"GPC2"</f>
        <v>GPC2</v>
      </c>
      <c r="B7244" t="s">
        <v>14</v>
      </c>
      <c r="C7244" t="s">
        <v>33</v>
      </c>
      <c r="D7244" t="s">
        <v>11</v>
      </c>
      <c r="E7244" t="s">
        <v>12</v>
      </c>
      <c r="F7244">
        <v>99774945</v>
      </c>
      <c r="G7244">
        <v>99775026</v>
      </c>
      <c r="H7244">
        <v>99775345</v>
      </c>
      <c r="I7244">
        <v>99775384</v>
      </c>
    </row>
    <row r="7245" spans="1:9" x14ac:dyDescent="0.2">
      <c r="A7245" s="1" t="str">
        <f>"GPC3"</f>
        <v>GPC3</v>
      </c>
      <c r="B7245" t="s">
        <v>14</v>
      </c>
      <c r="C7245" t="s">
        <v>37</v>
      </c>
      <c r="D7245" t="s">
        <v>11</v>
      </c>
      <c r="E7245" t="s">
        <v>12</v>
      </c>
      <c r="F7245">
        <v>133119601</v>
      </c>
      <c r="G7245">
        <v>133119627</v>
      </c>
      <c r="H7245">
        <v>133119895</v>
      </c>
      <c r="I7245">
        <v>133119957</v>
      </c>
    </row>
    <row r="7246" spans="1:9" x14ac:dyDescent="0.2">
      <c r="A7246" s="1" t="str">
        <f>"GPC4"</f>
        <v>GPC4</v>
      </c>
      <c r="B7246" t="s">
        <v>14</v>
      </c>
      <c r="C7246" t="s">
        <v>37</v>
      </c>
      <c r="D7246" t="s">
        <v>11</v>
      </c>
      <c r="E7246" t="s">
        <v>12</v>
      </c>
      <c r="F7246">
        <v>132549506</v>
      </c>
      <c r="G7246">
        <v>132549526</v>
      </c>
      <c r="H7246">
        <v>132549456</v>
      </c>
      <c r="I7246">
        <v>132549473</v>
      </c>
    </row>
    <row r="7247" spans="1:9" x14ac:dyDescent="0.2">
      <c r="A7247" s="1" t="str">
        <f>"GPC5"</f>
        <v>GPC5</v>
      </c>
      <c r="B7247" t="s">
        <v>14</v>
      </c>
      <c r="C7247" t="s">
        <v>39</v>
      </c>
      <c r="D7247" t="s">
        <v>17</v>
      </c>
      <c r="E7247" t="s">
        <v>12</v>
      </c>
      <c r="F7247">
        <v>92050867</v>
      </c>
      <c r="G7247">
        <v>92050914</v>
      </c>
      <c r="H7247">
        <v>92050838</v>
      </c>
      <c r="I7247">
        <v>92050865</v>
      </c>
    </row>
    <row r="7248" spans="1:9" x14ac:dyDescent="0.2">
      <c r="A7248" s="1" t="str">
        <f>"GPC6"</f>
        <v>GPC6</v>
      </c>
      <c r="B7248" t="s">
        <v>14</v>
      </c>
      <c r="C7248" t="s">
        <v>39</v>
      </c>
      <c r="D7248" t="s">
        <v>17</v>
      </c>
      <c r="E7248" t="s">
        <v>12</v>
      </c>
      <c r="F7248">
        <v>93879041</v>
      </c>
      <c r="G7248">
        <v>93879078</v>
      </c>
      <c r="H7248">
        <v>93879085</v>
      </c>
      <c r="I7248">
        <v>93879136</v>
      </c>
    </row>
    <row r="7249" spans="1:9" x14ac:dyDescent="0.2">
      <c r="A7249" s="1" t="str">
        <f>"GPCPD1"</f>
        <v>GPCPD1</v>
      </c>
      <c r="B7249" t="s">
        <v>14</v>
      </c>
      <c r="C7249" t="s">
        <v>29</v>
      </c>
      <c r="D7249" t="s">
        <v>11</v>
      </c>
      <c r="E7249" t="s">
        <v>12</v>
      </c>
      <c r="F7249">
        <v>5591626</v>
      </c>
      <c r="G7249">
        <v>5591677</v>
      </c>
      <c r="H7249">
        <v>5591566</v>
      </c>
      <c r="I7249">
        <v>5591598</v>
      </c>
    </row>
    <row r="7250" spans="1:9" x14ac:dyDescent="0.2">
      <c r="A7250" s="1" t="str">
        <f>"GPD1"</f>
        <v>GPD1</v>
      </c>
      <c r="B7250" t="s">
        <v>14</v>
      </c>
      <c r="C7250" t="s">
        <v>16</v>
      </c>
      <c r="D7250" t="s">
        <v>17</v>
      </c>
      <c r="E7250" t="s">
        <v>12</v>
      </c>
      <c r="F7250">
        <v>50497784</v>
      </c>
      <c r="G7250">
        <v>50497802</v>
      </c>
      <c r="H7250">
        <v>50497814</v>
      </c>
      <c r="I7250">
        <v>50497825</v>
      </c>
    </row>
    <row r="7251" spans="1:9" x14ac:dyDescent="0.2">
      <c r="A7251" s="1" t="str">
        <f>"GPD1L"</f>
        <v>GPD1L</v>
      </c>
      <c r="B7251" t="s">
        <v>14</v>
      </c>
      <c r="C7251" t="s">
        <v>22</v>
      </c>
      <c r="D7251" t="s">
        <v>17</v>
      </c>
      <c r="E7251" t="s">
        <v>12</v>
      </c>
      <c r="F7251">
        <v>32148106</v>
      </c>
      <c r="G7251">
        <v>32148194</v>
      </c>
      <c r="H7251">
        <v>32147997</v>
      </c>
      <c r="I7251">
        <v>32148009</v>
      </c>
    </row>
    <row r="7252" spans="1:9" x14ac:dyDescent="0.2">
      <c r="A7252" s="1" t="str">
        <f>"GPD2"</f>
        <v>GPD2</v>
      </c>
      <c r="B7252" t="s">
        <v>14</v>
      </c>
      <c r="C7252" t="s">
        <v>26</v>
      </c>
      <c r="D7252" t="s">
        <v>17</v>
      </c>
      <c r="E7252" t="s">
        <v>12</v>
      </c>
      <c r="F7252">
        <v>157292859</v>
      </c>
      <c r="G7252">
        <v>157292909</v>
      </c>
      <c r="H7252">
        <v>157292695</v>
      </c>
      <c r="I7252">
        <v>157292752</v>
      </c>
    </row>
    <row r="7253" spans="1:9" x14ac:dyDescent="0.2">
      <c r="A7253" s="1" t="str">
        <f>"GPER1"</f>
        <v>GPER1</v>
      </c>
      <c r="B7253" t="s">
        <v>14</v>
      </c>
      <c r="C7253" t="s">
        <v>33</v>
      </c>
      <c r="D7253" t="s">
        <v>17</v>
      </c>
      <c r="E7253" t="s">
        <v>12</v>
      </c>
      <c r="F7253">
        <v>1127742</v>
      </c>
      <c r="G7253">
        <v>1127762</v>
      </c>
      <c r="H7253">
        <v>1127742</v>
      </c>
      <c r="I7253">
        <v>1127762</v>
      </c>
    </row>
    <row r="7254" spans="1:9" x14ac:dyDescent="0.2">
      <c r="A7254" s="1" t="str">
        <f>"GPHA2"</f>
        <v>GPHA2</v>
      </c>
      <c r="B7254" t="s">
        <v>14</v>
      </c>
      <c r="C7254" t="s">
        <v>27</v>
      </c>
      <c r="D7254" t="s">
        <v>11</v>
      </c>
      <c r="E7254" t="s">
        <v>12</v>
      </c>
      <c r="F7254">
        <v>64703363</v>
      </c>
      <c r="G7254">
        <v>64703366</v>
      </c>
      <c r="H7254">
        <v>64703311</v>
      </c>
      <c r="I7254">
        <v>64703315</v>
      </c>
    </row>
    <row r="7255" spans="1:9" x14ac:dyDescent="0.2">
      <c r="A7255" s="1" t="str">
        <f>"GPHB5"</f>
        <v>GPHB5</v>
      </c>
      <c r="B7255" t="s">
        <v>14</v>
      </c>
      <c r="C7255" t="s">
        <v>41</v>
      </c>
      <c r="D7255" t="s">
        <v>11</v>
      </c>
      <c r="E7255" t="s">
        <v>12</v>
      </c>
      <c r="F7255">
        <v>63785645</v>
      </c>
      <c r="G7255">
        <v>63785649</v>
      </c>
      <c r="H7255">
        <v>63785645</v>
      </c>
      <c r="I7255">
        <v>63785649</v>
      </c>
    </row>
    <row r="7256" spans="1:9" x14ac:dyDescent="0.2">
      <c r="A7256" s="1" t="str">
        <f>"GPHN"</f>
        <v>GPHN</v>
      </c>
      <c r="B7256" t="s">
        <v>14</v>
      </c>
      <c r="C7256" t="s">
        <v>41</v>
      </c>
      <c r="D7256" t="s">
        <v>17</v>
      </c>
      <c r="E7256" t="s">
        <v>12</v>
      </c>
      <c r="F7256">
        <v>66974845</v>
      </c>
      <c r="G7256">
        <v>66974893</v>
      </c>
      <c r="H7256">
        <v>66975213</v>
      </c>
      <c r="I7256">
        <v>66975239</v>
      </c>
    </row>
    <row r="7257" spans="1:9" x14ac:dyDescent="0.2">
      <c r="A7257" s="1" t="str">
        <f>"GPI"</f>
        <v>GPI</v>
      </c>
      <c r="B7257" t="s">
        <v>14</v>
      </c>
      <c r="C7257" t="s">
        <v>10</v>
      </c>
      <c r="D7257" t="s">
        <v>17</v>
      </c>
      <c r="E7257" t="s">
        <v>12</v>
      </c>
      <c r="F7257">
        <v>34856078</v>
      </c>
      <c r="G7257">
        <v>34856113</v>
      </c>
      <c r="H7257">
        <v>34856115</v>
      </c>
      <c r="I7257">
        <v>34856134</v>
      </c>
    </row>
    <row r="7258" spans="1:9" x14ac:dyDescent="0.2">
      <c r="A7258" s="1" t="str">
        <f>"GPIHBP1"</f>
        <v>GPIHBP1</v>
      </c>
      <c r="B7258" t="s">
        <v>14</v>
      </c>
      <c r="C7258" t="s">
        <v>30</v>
      </c>
      <c r="D7258" t="s">
        <v>17</v>
      </c>
      <c r="E7258" t="s">
        <v>12</v>
      </c>
      <c r="F7258">
        <v>144295067</v>
      </c>
      <c r="G7258">
        <v>144295131</v>
      </c>
      <c r="H7258">
        <v>144295042</v>
      </c>
      <c r="I7258">
        <v>144295049</v>
      </c>
    </row>
    <row r="7259" spans="1:9" x14ac:dyDescent="0.2">
      <c r="A7259" s="1" t="str">
        <f>"GPKOW"</f>
        <v>GPKOW</v>
      </c>
      <c r="B7259" t="s">
        <v>14</v>
      </c>
      <c r="C7259" t="s">
        <v>37</v>
      </c>
      <c r="D7259" t="s">
        <v>11</v>
      </c>
      <c r="E7259" t="s">
        <v>12</v>
      </c>
      <c r="F7259">
        <v>48980071</v>
      </c>
      <c r="G7259">
        <v>48980093</v>
      </c>
      <c r="H7259">
        <v>48980098</v>
      </c>
      <c r="I7259">
        <v>48980112</v>
      </c>
    </row>
    <row r="7260" spans="1:9" x14ac:dyDescent="0.2">
      <c r="A7260" s="1" t="str">
        <f>"GPLD1"</f>
        <v>GPLD1</v>
      </c>
      <c r="B7260" t="s">
        <v>14</v>
      </c>
      <c r="C7260" t="s">
        <v>32</v>
      </c>
      <c r="D7260" t="s">
        <v>11</v>
      </c>
      <c r="E7260" t="s">
        <v>12</v>
      </c>
      <c r="F7260">
        <v>24495530</v>
      </c>
      <c r="G7260">
        <v>24495583</v>
      </c>
      <c r="H7260">
        <v>24495496</v>
      </c>
      <c r="I7260">
        <v>24495528</v>
      </c>
    </row>
    <row r="7261" spans="1:9" x14ac:dyDescent="0.2">
      <c r="A7261" s="1" t="str">
        <f>"GPM6A"</f>
        <v>GPM6A</v>
      </c>
      <c r="B7261" t="s">
        <v>9</v>
      </c>
      <c r="C7261" t="s">
        <v>23</v>
      </c>
      <c r="D7261" t="s">
        <v>11</v>
      </c>
      <c r="E7261" t="s">
        <v>12</v>
      </c>
      <c r="F7261">
        <v>176733377</v>
      </c>
      <c r="G7261">
        <v>176733424</v>
      </c>
      <c r="H7261">
        <v>176733377</v>
      </c>
      <c r="I7261">
        <v>176733424</v>
      </c>
    </row>
    <row r="7262" spans="1:9" x14ac:dyDescent="0.2">
      <c r="A7262" s="1" t="str">
        <f>"GPM6A"</f>
        <v>GPM6A</v>
      </c>
      <c r="B7262" t="s">
        <v>13</v>
      </c>
      <c r="C7262" t="s">
        <v>23</v>
      </c>
      <c r="D7262" t="s">
        <v>11</v>
      </c>
      <c r="E7262" t="s">
        <v>12</v>
      </c>
      <c r="F7262">
        <v>176923496</v>
      </c>
      <c r="G7262">
        <v>176923514</v>
      </c>
      <c r="H7262">
        <v>176923496</v>
      </c>
      <c r="I7262">
        <v>176923514</v>
      </c>
    </row>
    <row r="7263" spans="1:9" x14ac:dyDescent="0.2">
      <c r="A7263" s="1" t="str">
        <f>"GPM6B"</f>
        <v>GPM6B</v>
      </c>
      <c r="B7263" t="s">
        <v>564</v>
      </c>
      <c r="C7263" t="s">
        <v>37</v>
      </c>
      <c r="D7263" t="s">
        <v>11</v>
      </c>
      <c r="E7263" t="s">
        <v>35</v>
      </c>
      <c r="F7263">
        <v>13835540</v>
      </c>
      <c r="G7263">
        <v>13835547</v>
      </c>
      <c r="H7263">
        <v>13835312</v>
      </c>
      <c r="I7263">
        <v>13835321</v>
      </c>
    </row>
    <row r="7264" spans="1:9" x14ac:dyDescent="0.2">
      <c r="A7264" s="1" t="str">
        <f>"GPN1"</f>
        <v>GPN1</v>
      </c>
      <c r="B7264" t="s">
        <v>14</v>
      </c>
      <c r="C7264" t="s">
        <v>26</v>
      </c>
      <c r="D7264" t="s">
        <v>17</v>
      </c>
      <c r="E7264" t="s">
        <v>12</v>
      </c>
      <c r="F7264">
        <v>27851885</v>
      </c>
      <c r="G7264">
        <v>27851930</v>
      </c>
      <c r="H7264">
        <v>27851106</v>
      </c>
      <c r="I7264">
        <v>27851120</v>
      </c>
    </row>
    <row r="7265" spans="1:9" x14ac:dyDescent="0.2">
      <c r="A7265" s="1" t="str">
        <f>"GPN2"</f>
        <v>GPN2</v>
      </c>
      <c r="B7265" t="s">
        <v>14</v>
      </c>
      <c r="C7265" t="s">
        <v>19</v>
      </c>
      <c r="D7265" t="s">
        <v>11</v>
      </c>
      <c r="E7265" t="s">
        <v>12</v>
      </c>
      <c r="F7265">
        <v>27216729</v>
      </c>
      <c r="G7265">
        <v>27216807</v>
      </c>
      <c r="H7265">
        <v>27216716</v>
      </c>
      <c r="I7265">
        <v>27216727</v>
      </c>
    </row>
    <row r="7266" spans="1:9" x14ac:dyDescent="0.2">
      <c r="A7266" s="1" t="str">
        <f>"GPN3"</f>
        <v>GPN3</v>
      </c>
      <c r="B7266" t="s">
        <v>14</v>
      </c>
      <c r="C7266" t="s">
        <v>16</v>
      </c>
      <c r="D7266" t="s">
        <v>11</v>
      </c>
      <c r="E7266" t="s">
        <v>12</v>
      </c>
      <c r="F7266">
        <v>110906027</v>
      </c>
      <c r="G7266">
        <v>110906089</v>
      </c>
      <c r="H7266">
        <v>110906005</v>
      </c>
      <c r="I7266">
        <v>110906021</v>
      </c>
    </row>
    <row r="7267" spans="1:9" x14ac:dyDescent="0.2">
      <c r="A7267" s="1" t="str">
        <f>"GPNMB"</f>
        <v>GPNMB</v>
      </c>
      <c r="B7267" t="s">
        <v>9</v>
      </c>
      <c r="C7267" t="s">
        <v>33</v>
      </c>
      <c r="D7267" t="s">
        <v>17</v>
      </c>
      <c r="E7267" t="s">
        <v>12</v>
      </c>
      <c r="F7267">
        <v>23286379</v>
      </c>
      <c r="G7267">
        <v>23286401</v>
      </c>
      <c r="H7267">
        <v>23286379</v>
      </c>
      <c r="I7267">
        <v>23286401</v>
      </c>
    </row>
    <row r="7268" spans="1:9" x14ac:dyDescent="0.2">
      <c r="A7268" s="1" t="str">
        <f>"GPNMB"</f>
        <v>GPNMB</v>
      </c>
      <c r="B7268" t="s">
        <v>13</v>
      </c>
      <c r="C7268" t="s">
        <v>33</v>
      </c>
      <c r="D7268" t="s">
        <v>17</v>
      </c>
      <c r="E7268" t="s">
        <v>12</v>
      </c>
      <c r="F7268">
        <v>23312902</v>
      </c>
      <c r="G7268">
        <v>23312968</v>
      </c>
      <c r="H7268">
        <v>23312902</v>
      </c>
      <c r="I7268">
        <v>23312968</v>
      </c>
    </row>
    <row r="7269" spans="1:9" x14ac:dyDescent="0.2">
      <c r="A7269" s="1" t="str">
        <f>"GPR1"</f>
        <v>GPR1</v>
      </c>
      <c r="B7269" t="s">
        <v>14</v>
      </c>
      <c r="C7269" t="s">
        <v>26</v>
      </c>
      <c r="D7269" t="s">
        <v>11</v>
      </c>
      <c r="E7269" t="s">
        <v>12</v>
      </c>
      <c r="F7269">
        <v>207078086</v>
      </c>
      <c r="G7269">
        <v>207078106</v>
      </c>
      <c r="H7269">
        <v>207078154</v>
      </c>
      <c r="I7269">
        <v>207078169</v>
      </c>
    </row>
    <row r="7270" spans="1:9" x14ac:dyDescent="0.2">
      <c r="A7270" s="1" t="str">
        <f>"GPR101"</f>
        <v>GPR101</v>
      </c>
      <c r="B7270" t="s">
        <v>14</v>
      </c>
      <c r="C7270" t="s">
        <v>37</v>
      </c>
      <c r="D7270" t="s">
        <v>11</v>
      </c>
      <c r="E7270" t="s">
        <v>12</v>
      </c>
      <c r="F7270">
        <v>136113359</v>
      </c>
      <c r="G7270">
        <v>136113360</v>
      </c>
      <c r="H7270">
        <v>136113359</v>
      </c>
      <c r="I7270">
        <v>136113360</v>
      </c>
    </row>
    <row r="7271" spans="1:9" x14ac:dyDescent="0.2">
      <c r="A7271" s="1" t="str">
        <f>"GPR107"</f>
        <v>GPR107</v>
      </c>
      <c r="B7271" t="s">
        <v>14</v>
      </c>
      <c r="C7271" t="s">
        <v>24</v>
      </c>
      <c r="D7271" t="s">
        <v>17</v>
      </c>
      <c r="E7271" t="s">
        <v>12</v>
      </c>
      <c r="F7271">
        <v>132816177</v>
      </c>
      <c r="G7271">
        <v>132816213</v>
      </c>
      <c r="H7271">
        <v>132815986</v>
      </c>
      <c r="I7271">
        <v>132816018</v>
      </c>
    </row>
    <row r="7272" spans="1:9" x14ac:dyDescent="0.2">
      <c r="A7272" s="1" t="str">
        <f>"GPR108"</f>
        <v>GPR108</v>
      </c>
      <c r="B7272" t="s">
        <v>14</v>
      </c>
      <c r="C7272" t="s">
        <v>10</v>
      </c>
      <c r="D7272" t="s">
        <v>11</v>
      </c>
      <c r="E7272" t="s">
        <v>12</v>
      </c>
      <c r="F7272">
        <v>6737576</v>
      </c>
      <c r="G7272">
        <v>6737624</v>
      </c>
      <c r="H7272">
        <v>6737241</v>
      </c>
      <c r="I7272">
        <v>6737324</v>
      </c>
    </row>
    <row r="7273" spans="1:9" x14ac:dyDescent="0.2">
      <c r="A7273" s="1" t="str">
        <f>"GPR110"</f>
        <v>GPR110</v>
      </c>
      <c r="B7273" t="s">
        <v>14</v>
      </c>
      <c r="C7273" t="s">
        <v>32</v>
      </c>
      <c r="D7273" t="s">
        <v>11</v>
      </c>
      <c r="E7273" t="s">
        <v>12</v>
      </c>
      <c r="F7273">
        <v>47010061</v>
      </c>
      <c r="G7273">
        <v>47010104</v>
      </c>
      <c r="H7273">
        <v>47009996</v>
      </c>
      <c r="I7273">
        <v>47010035</v>
      </c>
    </row>
    <row r="7274" spans="1:9" x14ac:dyDescent="0.2">
      <c r="A7274" s="1" t="str">
        <f>"GPR111"</f>
        <v>GPR111</v>
      </c>
      <c r="B7274" t="s">
        <v>14</v>
      </c>
      <c r="C7274" t="s">
        <v>32</v>
      </c>
      <c r="D7274" t="s">
        <v>17</v>
      </c>
      <c r="E7274" t="s">
        <v>12</v>
      </c>
      <c r="F7274">
        <v>47624200</v>
      </c>
      <c r="G7274">
        <v>47624225</v>
      </c>
      <c r="H7274">
        <v>47624177</v>
      </c>
      <c r="I7274">
        <v>47624189</v>
      </c>
    </row>
    <row r="7275" spans="1:9" x14ac:dyDescent="0.2">
      <c r="A7275" s="1" t="str">
        <f>"GPR112"</f>
        <v>GPR112</v>
      </c>
      <c r="B7275" t="s">
        <v>14</v>
      </c>
      <c r="C7275" t="s">
        <v>37</v>
      </c>
      <c r="D7275" t="s">
        <v>17</v>
      </c>
      <c r="E7275" t="s">
        <v>12</v>
      </c>
      <c r="F7275">
        <v>135388147</v>
      </c>
      <c r="G7275">
        <v>135388181</v>
      </c>
      <c r="H7275">
        <v>135388147</v>
      </c>
      <c r="I7275">
        <v>135388181</v>
      </c>
    </row>
    <row r="7276" spans="1:9" x14ac:dyDescent="0.2">
      <c r="A7276" s="1" t="str">
        <f>"GPR113"</f>
        <v>GPR113</v>
      </c>
      <c r="B7276" t="s">
        <v>14</v>
      </c>
      <c r="C7276" t="s">
        <v>26</v>
      </c>
      <c r="D7276" t="s">
        <v>11</v>
      </c>
      <c r="E7276" t="s">
        <v>12</v>
      </c>
      <c r="F7276">
        <v>26568651</v>
      </c>
      <c r="G7276">
        <v>26568691</v>
      </c>
      <c r="H7276">
        <v>26568622</v>
      </c>
      <c r="I7276">
        <v>26568646</v>
      </c>
    </row>
    <row r="7277" spans="1:9" x14ac:dyDescent="0.2">
      <c r="A7277" s="1" t="str">
        <f>"GPR114"</f>
        <v>GPR114</v>
      </c>
      <c r="B7277" t="s">
        <v>14</v>
      </c>
      <c r="C7277" t="s">
        <v>31</v>
      </c>
      <c r="D7277" t="s">
        <v>17</v>
      </c>
      <c r="E7277" t="s">
        <v>12</v>
      </c>
      <c r="F7277">
        <v>57576547</v>
      </c>
      <c r="G7277">
        <v>57576581</v>
      </c>
      <c r="H7277">
        <v>57576584</v>
      </c>
      <c r="I7277">
        <v>57576595</v>
      </c>
    </row>
    <row r="7278" spans="1:9" x14ac:dyDescent="0.2">
      <c r="A7278" s="1" t="str">
        <f>"GPR115"</f>
        <v>GPR115</v>
      </c>
      <c r="B7278" t="s">
        <v>14</v>
      </c>
      <c r="C7278" t="s">
        <v>32</v>
      </c>
      <c r="D7278" t="s">
        <v>17</v>
      </c>
      <c r="E7278" t="s">
        <v>12</v>
      </c>
      <c r="F7278">
        <v>47666310</v>
      </c>
      <c r="G7278">
        <v>47666332</v>
      </c>
      <c r="H7278">
        <v>47666310</v>
      </c>
      <c r="I7278">
        <v>47666332</v>
      </c>
    </row>
    <row r="7279" spans="1:9" x14ac:dyDescent="0.2">
      <c r="A7279" s="1" t="str">
        <f>"GPR116"</f>
        <v>GPR116</v>
      </c>
      <c r="B7279" t="s">
        <v>9</v>
      </c>
      <c r="C7279" t="s">
        <v>32</v>
      </c>
      <c r="D7279" t="s">
        <v>11</v>
      </c>
      <c r="E7279" t="s">
        <v>12</v>
      </c>
      <c r="F7279">
        <v>46922659</v>
      </c>
      <c r="G7279">
        <v>46922725</v>
      </c>
      <c r="H7279">
        <v>46922659</v>
      </c>
      <c r="I7279">
        <v>46922725</v>
      </c>
    </row>
    <row r="7280" spans="1:9" x14ac:dyDescent="0.2">
      <c r="A7280" s="1" t="str">
        <f>"GPR116"</f>
        <v>GPR116</v>
      </c>
      <c r="B7280" t="s">
        <v>13</v>
      </c>
      <c r="C7280" t="s">
        <v>32</v>
      </c>
      <c r="D7280" t="s">
        <v>11</v>
      </c>
      <c r="E7280" t="s">
        <v>12</v>
      </c>
      <c r="F7280">
        <v>46889663</v>
      </c>
      <c r="G7280">
        <v>46889686</v>
      </c>
      <c r="H7280">
        <v>46889663</v>
      </c>
      <c r="I7280">
        <v>46889686</v>
      </c>
    </row>
    <row r="7281" spans="1:9" x14ac:dyDescent="0.2">
      <c r="A7281" s="1" t="str">
        <f>"GPR119"</f>
        <v>GPR119</v>
      </c>
      <c r="B7281" t="s">
        <v>14</v>
      </c>
      <c r="C7281" t="s">
        <v>37</v>
      </c>
      <c r="D7281" t="s">
        <v>11</v>
      </c>
      <c r="E7281" t="s">
        <v>12</v>
      </c>
      <c r="F7281">
        <v>129519632</v>
      </c>
      <c r="G7281">
        <v>129519657</v>
      </c>
      <c r="H7281">
        <v>129519632</v>
      </c>
      <c r="I7281">
        <v>129519657</v>
      </c>
    </row>
    <row r="7282" spans="1:9" x14ac:dyDescent="0.2">
      <c r="A7282" s="1" t="str">
        <f>"GPR12"</f>
        <v>GPR12</v>
      </c>
      <c r="B7282" t="s">
        <v>14</v>
      </c>
      <c r="C7282" t="s">
        <v>39</v>
      </c>
      <c r="D7282" t="s">
        <v>11</v>
      </c>
      <c r="E7282" t="s">
        <v>12</v>
      </c>
      <c r="F7282">
        <v>27334879</v>
      </c>
      <c r="G7282">
        <v>27334930</v>
      </c>
      <c r="H7282">
        <v>27334879</v>
      </c>
      <c r="I7282">
        <v>27334930</v>
      </c>
    </row>
    <row r="7283" spans="1:9" x14ac:dyDescent="0.2">
      <c r="A7283" s="1" t="str">
        <f>"GPR123"</f>
        <v>GPR123</v>
      </c>
      <c r="B7283" t="s">
        <v>14</v>
      </c>
      <c r="C7283" t="s">
        <v>15</v>
      </c>
      <c r="D7283" t="s">
        <v>17</v>
      </c>
      <c r="E7283" t="s">
        <v>12</v>
      </c>
      <c r="F7283">
        <v>134901388</v>
      </c>
      <c r="G7283">
        <v>134901446</v>
      </c>
      <c r="H7283">
        <v>134901502</v>
      </c>
      <c r="I7283">
        <v>134901519</v>
      </c>
    </row>
    <row r="7284" spans="1:9" x14ac:dyDescent="0.2">
      <c r="A7284" s="1" t="str">
        <f>"GPR124"</f>
        <v>GPR124</v>
      </c>
      <c r="B7284" t="s">
        <v>14</v>
      </c>
      <c r="C7284" t="s">
        <v>30</v>
      </c>
      <c r="D7284" t="s">
        <v>17</v>
      </c>
      <c r="E7284" t="s">
        <v>12</v>
      </c>
      <c r="F7284">
        <v>37654369</v>
      </c>
      <c r="G7284">
        <v>37654415</v>
      </c>
      <c r="H7284">
        <v>37654457</v>
      </c>
      <c r="I7284">
        <v>37654468</v>
      </c>
    </row>
    <row r="7285" spans="1:9" x14ac:dyDescent="0.2">
      <c r="A7285" s="1" t="str">
        <f>"GPR125"</f>
        <v>GPR125</v>
      </c>
      <c r="B7285" t="s">
        <v>14</v>
      </c>
      <c r="C7285" t="s">
        <v>23</v>
      </c>
      <c r="D7285" t="s">
        <v>11</v>
      </c>
      <c r="E7285" t="s">
        <v>12</v>
      </c>
      <c r="F7285">
        <v>22517624</v>
      </c>
      <c r="G7285">
        <v>22517712</v>
      </c>
      <c r="H7285">
        <v>22517551</v>
      </c>
      <c r="I7285">
        <v>22517593</v>
      </c>
    </row>
    <row r="7286" spans="1:9" x14ac:dyDescent="0.2">
      <c r="A7286" s="1" t="str">
        <f>"GPR126"</f>
        <v>GPR126</v>
      </c>
      <c r="B7286" t="s">
        <v>14</v>
      </c>
      <c r="C7286" t="s">
        <v>32</v>
      </c>
      <c r="D7286" t="s">
        <v>17</v>
      </c>
      <c r="E7286" t="s">
        <v>12</v>
      </c>
      <c r="F7286">
        <v>142623063</v>
      </c>
      <c r="G7286">
        <v>142623261</v>
      </c>
      <c r="H7286">
        <v>142623806</v>
      </c>
      <c r="I7286">
        <v>142623820</v>
      </c>
    </row>
    <row r="7287" spans="1:9" x14ac:dyDescent="0.2">
      <c r="A7287" s="1" t="str">
        <f>"GPR128"</f>
        <v>GPR128</v>
      </c>
      <c r="B7287" t="s">
        <v>9</v>
      </c>
      <c r="C7287" t="s">
        <v>22</v>
      </c>
      <c r="D7287" t="s">
        <v>17</v>
      </c>
      <c r="E7287" t="s">
        <v>12</v>
      </c>
      <c r="F7287">
        <v>100328439</v>
      </c>
      <c r="G7287">
        <v>100328459</v>
      </c>
      <c r="H7287">
        <v>100328439</v>
      </c>
      <c r="I7287">
        <v>100328459</v>
      </c>
    </row>
    <row r="7288" spans="1:9" x14ac:dyDescent="0.2">
      <c r="A7288" s="1" t="str">
        <f>"GPR128"</f>
        <v>GPR128</v>
      </c>
      <c r="B7288" t="s">
        <v>13</v>
      </c>
      <c r="C7288" t="s">
        <v>22</v>
      </c>
      <c r="D7288" t="s">
        <v>17</v>
      </c>
      <c r="E7288" t="s">
        <v>12</v>
      </c>
      <c r="F7288">
        <v>100354532</v>
      </c>
      <c r="G7288">
        <v>100354545</v>
      </c>
      <c r="H7288">
        <v>100354532</v>
      </c>
      <c r="I7288">
        <v>100354545</v>
      </c>
    </row>
    <row r="7289" spans="1:9" x14ac:dyDescent="0.2">
      <c r="A7289" s="1" t="str">
        <f>"GPR132"</f>
        <v>GPR132</v>
      </c>
      <c r="B7289" t="s">
        <v>14</v>
      </c>
      <c r="C7289" t="s">
        <v>41</v>
      </c>
      <c r="D7289" t="s">
        <v>11</v>
      </c>
      <c r="E7289" t="s">
        <v>12</v>
      </c>
      <c r="F7289">
        <v>105531759</v>
      </c>
      <c r="G7289">
        <v>105531781</v>
      </c>
      <c r="H7289">
        <v>105531759</v>
      </c>
      <c r="I7289">
        <v>105531781</v>
      </c>
    </row>
    <row r="7290" spans="1:9" x14ac:dyDescent="0.2">
      <c r="A7290" s="1" t="str">
        <f>"GPR133"</f>
        <v>GPR133</v>
      </c>
      <c r="B7290" t="s">
        <v>14</v>
      </c>
      <c r="C7290" t="s">
        <v>16</v>
      </c>
      <c r="D7290" t="s">
        <v>17</v>
      </c>
      <c r="E7290" t="s">
        <v>12</v>
      </c>
      <c r="F7290">
        <v>131438443</v>
      </c>
      <c r="G7290">
        <v>131438461</v>
      </c>
      <c r="H7290">
        <v>131438496</v>
      </c>
      <c r="I7290">
        <v>131438513</v>
      </c>
    </row>
    <row r="7291" spans="1:9" x14ac:dyDescent="0.2">
      <c r="A7291" s="1" t="str">
        <f>"GPR135"</f>
        <v>GPR135</v>
      </c>
      <c r="B7291" t="s">
        <v>14</v>
      </c>
      <c r="C7291" t="s">
        <v>41</v>
      </c>
      <c r="D7291" t="s">
        <v>11</v>
      </c>
      <c r="E7291" t="s">
        <v>12</v>
      </c>
      <c r="F7291">
        <v>59932044</v>
      </c>
      <c r="G7291">
        <v>59932114</v>
      </c>
      <c r="H7291">
        <v>59931844</v>
      </c>
      <c r="I7291">
        <v>59931877</v>
      </c>
    </row>
    <row r="7292" spans="1:9" x14ac:dyDescent="0.2">
      <c r="A7292" s="1" t="str">
        <f>"GPR137"</f>
        <v>GPR137</v>
      </c>
      <c r="B7292" t="s">
        <v>9</v>
      </c>
      <c r="C7292" t="s">
        <v>27</v>
      </c>
      <c r="D7292" t="s">
        <v>17</v>
      </c>
      <c r="E7292" t="s">
        <v>12</v>
      </c>
      <c r="F7292">
        <v>64052294</v>
      </c>
      <c r="G7292">
        <v>64052347</v>
      </c>
      <c r="H7292">
        <v>64052294</v>
      </c>
      <c r="I7292">
        <v>64052347</v>
      </c>
    </row>
    <row r="7293" spans="1:9" x14ac:dyDescent="0.2">
      <c r="A7293" s="1" t="str">
        <f>"GPR137"</f>
        <v>GPR137</v>
      </c>
      <c r="B7293" t="s">
        <v>13</v>
      </c>
      <c r="C7293" t="s">
        <v>27</v>
      </c>
      <c r="D7293" t="s">
        <v>17</v>
      </c>
      <c r="E7293" t="s">
        <v>12</v>
      </c>
      <c r="F7293">
        <v>64053311</v>
      </c>
      <c r="G7293">
        <v>64053387</v>
      </c>
      <c r="H7293">
        <v>64053311</v>
      </c>
      <c r="I7293">
        <v>64053387</v>
      </c>
    </row>
    <row r="7294" spans="1:9" x14ac:dyDescent="0.2">
      <c r="A7294" s="1" t="str">
        <f>"GPR137B"</f>
        <v>GPR137B</v>
      </c>
      <c r="B7294" t="s">
        <v>14</v>
      </c>
      <c r="C7294" t="s">
        <v>19</v>
      </c>
      <c r="D7294" t="s">
        <v>17</v>
      </c>
      <c r="E7294" t="s">
        <v>12</v>
      </c>
      <c r="F7294">
        <v>236305826</v>
      </c>
      <c r="G7294">
        <v>236305877</v>
      </c>
      <c r="H7294">
        <v>236305796</v>
      </c>
      <c r="I7294">
        <v>236305810</v>
      </c>
    </row>
    <row r="7295" spans="1:9" x14ac:dyDescent="0.2">
      <c r="A7295" s="1" t="str">
        <f>"GPR137C"</f>
        <v>GPR137C</v>
      </c>
      <c r="B7295" t="s">
        <v>14</v>
      </c>
      <c r="C7295" t="s">
        <v>41</v>
      </c>
      <c r="D7295" t="s">
        <v>17</v>
      </c>
      <c r="E7295" t="s">
        <v>12</v>
      </c>
      <c r="F7295">
        <v>53019567</v>
      </c>
      <c r="G7295">
        <v>53019626</v>
      </c>
      <c r="H7295">
        <v>53019822</v>
      </c>
      <c r="I7295">
        <v>53019873</v>
      </c>
    </row>
    <row r="7296" spans="1:9" x14ac:dyDescent="0.2">
      <c r="A7296" s="1" t="str">
        <f>"GPR139"</f>
        <v>GPR139</v>
      </c>
      <c r="B7296" t="s">
        <v>14</v>
      </c>
      <c r="C7296" t="s">
        <v>31</v>
      </c>
      <c r="D7296" t="s">
        <v>11</v>
      </c>
      <c r="E7296" t="s">
        <v>12</v>
      </c>
      <c r="F7296">
        <v>20085205</v>
      </c>
      <c r="G7296">
        <v>20085216</v>
      </c>
      <c r="H7296">
        <v>20085237</v>
      </c>
      <c r="I7296">
        <v>20085242</v>
      </c>
    </row>
    <row r="7297" spans="1:9" x14ac:dyDescent="0.2">
      <c r="A7297" s="1" t="str">
        <f>"GPR141"</f>
        <v>GPR141</v>
      </c>
      <c r="B7297" t="s">
        <v>14</v>
      </c>
      <c r="C7297" t="s">
        <v>33</v>
      </c>
      <c r="D7297" t="s">
        <v>17</v>
      </c>
      <c r="E7297" t="s">
        <v>12</v>
      </c>
      <c r="F7297">
        <v>37723336</v>
      </c>
      <c r="G7297">
        <v>37723410</v>
      </c>
      <c r="H7297">
        <v>37723336</v>
      </c>
      <c r="I7297">
        <v>37723410</v>
      </c>
    </row>
    <row r="7298" spans="1:9" x14ac:dyDescent="0.2">
      <c r="A7298" s="1" t="str">
        <f>"GPR142"</f>
        <v>GPR142</v>
      </c>
      <c r="B7298" t="s">
        <v>565</v>
      </c>
      <c r="C7298" t="s">
        <v>28</v>
      </c>
      <c r="D7298" t="s">
        <v>17</v>
      </c>
      <c r="E7298" t="s">
        <v>20</v>
      </c>
      <c r="F7298">
        <v>72363596</v>
      </c>
      <c r="G7298">
        <v>72363596</v>
      </c>
      <c r="H7298">
        <v>72363596</v>
      </c>
      <c r="I7298">
        <v>72363596</v>
      </c>
    </row>
    <row r="7299" spans="1:9" x14ac:dyDescent="0.2">
      <c r="A7299" s="1" t="str">
        <f>"GPR143"</f>
        <v>GPR143</v>
      </c>
      <c r="B7299" t="s">
        <v>14</v>
      </c>
      <c r="C7299" t="s">
        <v>37</v>
      </c>
      <c r="D7299" t="s">
        <v>11</v>
      </c>
      <c r="E7299" t="s">
        <v>12</v>
      </c>
      <c r="F7299">
        <v>9733879</v>
      </c>
      <c r="G7299">
        <v>9733897</v>
      </c>
      <c r="H7299">
        <v>9734038</v>
      </c>
      <c r="I7299">
        <v>9734085</v>
      </c>
    </row>
    <row r="7300" spans="1:9" x14ac:dyDescent="0.2">
      <c r="A7300" s="1" t="str">
        <f>"GPR144"</f>
        <v>GPR144</v>
      </c>
      <c r="B7300" t="s">
        <v>14</v>
      </c>
      <c r="C7300" t="s">
        <v>24</v>
      </c>
      <c r="D7300" t="s">
        <v>17</v>
      </c>
      <c r="E7300" t="s">
        <v>12</v>
      </c>
      <c r="F7300">
        <v>127215487</v>
      </c>
      <c r="G7300">
        <v>127215488</v>
      </c>
      <c r="H7300">
        <v>127214777</v>
      </c>
      <c r="I7300">
        <v>127214778</v>
      </c>
    </row>
    <row r="7301" spans="1:9" x14ac:dyDescent="0.2">
      <c r="A7301" s="1" t="str">
        <f>"GPR146"</f>
        <v>GPR146</v>
      </c>
      <c r="B7301" t="s">
        <v>9</v>
      </c>
      <c r="C7301" t="s">
        <v>33</v>
      </c>
      <c r="D7301" t="s">
        <v>17</v>
      </c>
      <c r="E7301" t="s">
        <v>12</v>
      </c>
      <c r="F7301">
        <v>1084206</v>
      </c>
      <c r="G7301">
        <v>1084255</v>
      </c>
      <c r="H7301">
        <v>1084206</v>
      </c>
      <c r="I7301">
        <v>1084255</v>
      </c>
    </row>
    <row r="7302" spans="1:9" x14ac:dyDescent="0.2">
      <c r="A7302" s="1" t="str">
        <f>"GPR146"</f>
        <v>GPR146</v>
      </c>
      <c r="B7302" t="s">
        <v>13</v>
      </c>
      <c r="C7302" t="s">
        <v>33</v>
      </c>
      <c r="D7302" t="s">
        <v>17</v>
      </c>
      <c r="E7302" t="s">
        <v>12</v>
      </c>
      <c r="F7302">
        <v>1094987</v>
      </c>
      <c r="G7302">
        <v>1095014</v>
      </c>
      <c r="H7302">
        <v>1094987</v>
      </c>
      <c r="I7302">
        <v>1095014</v>
      </c>
    </row>
    <row r="7303" spans="1:9" x14ac:dyDescent="0.2">
      <c r="A7303" s="1" t="str">
        <f>"GPR148"</f>
        <v>GPR148</v>
      </c>
      <c r="B7303" t="s">
        <v>566</v>
      </c>
      <c r="C7303" t="s">
        <v>26</v>
      </c>
      <c r="D7303" t="s">
        <v>17</v>
      </c>
      <c r="E7303" t="s">
        <v>20</v>
      </c>
      <c r="F7303">
        <v>131486642</v>
      </c>
      <c r="G7303">
        <v>131486642</v>
      </c>
      <c r="H7303">
        <v>131486642</v>
      </c>
      <c r="I7303">
        <v>131486642</v>
      </c>
    </row>
    <row r="7304" spans="1:9" x14ac:dyDescent="0.2">
      <c r="A7304" s="1" t="str">
        <f>"GPR149"</f>
        <v>GPR149</v>
      </c>
      <c r="B7304" t="s">
        <v>14</v>
      </c>
      <c r="C7304" t="s">
        <v>22</v>
      </c>
      <c r="D7304" t="s">
        <v>11</v>
      </c>
      <c r="E7304" t="s">
        <v>12</v>
      </c>
      <c r="F7304">
        <v>154147973</v>
      </c>
      <c r="G7304">
        <v>154148010</v>
      </c>
      <c r="H7304">
        <v>154147973</v>
      </c>
      <c r="I7304">
        <v>154148010</v>
      </c>
    </row>
    <row r="7305" spans="1:9" x14ac:dyDescent="0.2">
      <c r="A7305" s="1" t="str">
        <f>"GPR15"</f>
        <v>GPR15</v>
      </c>
      <c r="B7305" t="s">
        <v>14</v>
      </c>
      <c r="C7305" t="s">
        <v>22</v>
      </c>
      <c r="D7305" t="s">
        <v>17</v>
      </c>
      <c r="E7305" t="s">
        <v>12</v>
      </c>
      <c r="F7305">
        <v>98250809</v>
      </c>
      <c r="G7305">
        <v>98250829</v>
      </c>
      <c r="H7305">
        <v>98250809</v>
      </c>
      <c r="I7305">
        <v>98250829</v>
      </c>
    </row>
    <row r="7306" spans="1:9" x14ac:dyDescent="0.2">
      <c r="A7306" s="1" t="str">
        <f>"GPR150"</f>
        <v>GPR150</v>
      </c>
      <c r="B7306" t="s">
        <v>14</v>
      </c>
      <c r="C7306" t="s">
        <v>46</v>
      </c>
      <c r="D7306" t="s">
        <v>17</v>
      </c>
      <c r="E7306" t="s">
        <v>12</v>
      </c>
      <c r="F7306">
        <v>94955785</v>
      </c>
      <c r="G7306">
        <v>94955804</v>
      </c>
      <c r="H7306">
        <v>94955825</v>
      </c>
      <c r="I7306">
        <v>94955844</v>
      </c>
    </row>
    <row r="7307" spans="1:9" x14ac:dyDescent="0.2">
      <c r="A7307" s="1" t="str">
        <f>"GPR151"</f>
        <v>GPR151</v>
      </c>
      <c r="B7307" t="s">
        <v>567</v>
      </c>
      <c r="C7307" t="s">
        <v>46</v>
      </c>
      <c r="D7307" t="s">
        <v>11</v>
      </c>
      <c r="E7307" t="s">
        <v>20</v>
      </c>
      <c r="F7307">
        <v>145895752</v>
      </c>
      <c r="G7307">
        <v>145895752</v>
      </c>
      <c r="H7307">
        <v>145895752</v>
      </c>
      <c r="I7307">
        <v>145895752</v>
      </c>
    </row>
    <row r="7308" spans="1:9" x14ac:dyDescent="0.2">
      <c r="A7308" s="1" t="str">
        <f>"GPR152"</f>
        <v>GPR152</v>
      </c>
      <c r="B7308" t="s">
        <v>568</v>
      </c>
      <c r="C7308" t="s">
        <v>27</v>
      </c>
      <c r="D7308" t="s">
        <v>11</v>
      </c>
      <c r="E7308" t="s">
        <v>20</v>
      </c>
      <c r="F7308">
        <v>67220199</v>
      </c>
      <c r="G7308">
        <v>67220199</v>
      </c>
      <c r="H7308">
        <v>67220199</v>
      </c>
      <c r="I7308">
        <v>67220199</v>
      </c>
    </row>
    <row r="7309" spans="1:9" x14ac:dyDescent="0.2">
      <c r="A7309" s="1" t="str">
        <f>"GPR153"</f>
        <v>GPR153</v>
      </c>
      <c r="B7309" t="s">
        <v>14</v>
      </c>
      <c r="C7309" t="s">
        <v>19</v>
      </c>
      <c r="D7309" t="s">
        <v>11</v>
      </c>
      <c r="E7309" t="s">
        <v>12</v>
      </c>
      <c r="F7309">
        <v>6321111</v>
      </c>
      <c r="G7309">
        <v>6321174</v>
      </c>
      <c r="H7309">
        <v>6321055</v>
      </c>
      <c r="I7309">
        <v>6321069</v>
      </c>
    </row>
    <row r="7310" spans="1:9" x14ac:dyDescent="0.2">
      <c r="A7310" s="1" t="str">
        <f>"GPR155"</f>
        <v>GPR155</v>
      </c>
      <c r="B7310" t="s">
        <v>14</v>
      </c>
      <c r="C7310" t="s">
        <v>26</v>
      </c>
      <c r="D7310" t="s">
        <v>11</v>
      </c>
      <c r="E7310" t="s">
        <v>12</v>
      </c>
      <c r="F7310">
        <v>175351744</v>
      </c>
      <c r="G7310">
        <v>175351828</v>
      </c>
      <c r="H7310">
        <v>175351732</v>
      </c>
      <c r="I7310">
        <v>175351743</v>
      </c>
    </row>
    <row r="7311" spans="1:9" x14ac:dyDescent="0.2">
      <c r="A7311" s="1" t="str">
        <f>"GPR156"</f>
        <v>GPR156</v>
      </c>
      <c r="B7311" t="s">
        <v>14</v>
      </c>
      <c r="C7311" t="s">
        <v>22</v>
      </c>
      <c r="D7311" t="s">
        <v>11</v>
      </c>
      <c r="E7311" t="s">
        <v>12</v>
      </c>
      <c r="F7311">
        <v>120004062</v>
      </c>
      <c r="G7311">
        <v>120004083</v>
      </c>
      <c r="H7311">
        <v>120004062</v>
      </c>
      <c r="I7311">
        <v>120004083</v>
      </c>
    </row>
    <row r="7312" spans="1:9" x14ac:dyDescent="0.2">
      <c r="A7312" s="1" t="str">
        <f>"GPR157"</f>
        <v>GPR157</v>
      </c>
      <c r="B7312" t="s">
        <v>14</v>
      </c>
      <c r="C7312" t="s">
        <v>19</v>
      </c>
      <c r="D7312" t="s">
        <v>11</v>
      </c>
      <c r="E7312" t="s">
        <v>12</v>
      </c>
      <c r="F7312">
        <v>9189144</v>
      </c>
      <c r="G7312">
        <v>9189195</v>
      </c>
      <c r="H7312">
        <v>9189245</v>
      </c>
      <c r="I7312">
        <v>9189259</v>
      </c>
    </row>
    <row r="7313" spans="1:9" x14ac:dyDescent="0.2">
      <c r="A7313" s="1" t="str">
        <f>"GPR158"</f>
        <v>GPR158</v>
      </c>
      <c r="B7313" t="s">
        <v>14</v>
      </c>
      <c r="C7313" t="s">
        <v>15</v>
      </c>
      <c r="D7313" t="s">
        <v>17</v>
      </c>
      <c r="E7313" t="s">
        <v>12</v>
      </c>
      <c r="F7313">
        <v>25463662</v>
      </c>
      <c r="G7313">
        <v>25463680</v>
      </c>
      <c r="H7313">
        <v>25463899</v>
      </c>
      <c r="I7313">
        <v>25463946</v>
      </c>
    </row>
    <row r="7314" spans="1:9" x14ac:dyDescent="0.2">
      <c r="A7314" s="1" t="str">
        <f>"GPR160"</f>
        <v>GPR160</v>
      </c>
      <c r="B7314" t="s">
        <v>14</v>
      </c>
      <c r="C7314" t="s">
        <v>22</v>
      </c>
      <c r="D7314" t="s">
        <v>17</v>
      </c>
      <c r="E7314" t="s">
        <v>12</v>
      </c>
      <c r="F7314">
        <v>169755771</v>
      </c>
      <c r="G7314">
        <v>169755797</v>
      </c>
      <c r="H7314">
        <v>169755945</v>
      </c>
      <c r="I7314">
        <v>169756006</v>
      </c>
    </row>
    <row r="7315" spans="1:9" x14ac:dyDescent="0.2">
      <c r="A7315" s="1" t="str">
        <f>"GPR161"</f>
        <v>GPR161</v>
      </c>
      <c r="B7315" t="s">
        <v>14</v>
      </c>
      <c r="C7315" t="s">
        <v>19</v>
      </c>
      <c r="D7315" t="s">
        <v>11</v>
      </c>
      <c r="E7315" t="s">
        <v>12</v>
      </c>
      <c r="F7315">
        <v>168106155</v>
      </c>
      <c r="G7315">
        <v>168106196</v>
      </c>
      <c r="H7315">
        <v>168106133</v>
      </c>
      <c r="I7315">
        <v>168106154</v>
      </c>
    </row>
    <row r="7316" spans="1:9" x14ac:dyDescent="0.2">
      <c r="A7316" s="1" t="str">
        <f>"GPR162"</f>
        <v>GPR162</v>
      </c>
      <c r="B7316" t="s">
        <v>14</v>
      </c>
      <c r="C7316" t="s">
        <v>16</v>
      </c>
      <c r="D7316" t="s">
        <v>17</v>
      </c>
      <c r="E7316" t="s">
        <v>12</v>
      </c>
      <c r="F7316">
        <v>6930964</v>
      </c>
      <c r="G7316">
        <v>6931029</v>
      </c>
      <c r="H7316">
        <v>6930703</v>
      </c>
      <c r="I7316">
        <v>6930748</v>
      </c>
    </row>
    <row r="7317" spans="1:9" x14ac:dyDescent="0.2">
      <c r="A7317" s="1" t="str">
        <f>"GPR17"</f>
        <v>GPR17</v>
      </c>
      <c r="B7317" t="s">
        <v>14</v>
      </c>
      <c r="C7317" t="s">
        <v>26</v>
      </c>
      <c r="D7317" t="s">
        <v>17</v>
      </c>
      <c r="E7317" t="s">
        <v>12</v>
      </c>
      <c r="F7317">
        <v>128403720</v>
      </c>
      <c r="G7317">
        <v>128403732</v>
      </c>
      <c r="H7317">
        <v>128403593</v>
      </c>
      <c r="I7317">
        <v>128403610</v>
      </c>
    </row>
    <row r="7318" spans="1:9" x14ac:dyDescent="0.2">
      <c r="A7318" s="1" t="str">
        <f>"GPR171"</f>
        <v>GPR171</v>
      </c>
      <c r="B7318" t="s">
        <v>14</v>
      </c>
      <c r="C7318" t="s">
        <v>22</v>
      </c>
      <c r="D7318" t="s">
        <v>11</v>
      </c>
      <c r="E7318" t="s">
        <v>12</v>
      </c>
      <c r="F7318">
        <v>150920988</v>
      </c>
      <c r="G7318">
        <v>150921009</v>
      </c>
      <c r="H7318">
        <v>150920988</v>
      </c>
      <c r="I7318">
        <v>150921009</v>
      </c>
    </row>
    <row r="7319" spans="1:9" x14ac:dyDescent="0.2">
      <c r="A7319" s="1" t="str">
        <f>"GPR173"</f>
        <v>GPR173</v>
      </c>
      <c r="B7319" t="s">
        <v>14</v>
      </c>
      <c r="C7319" t="s">
        <v>37</v>
      </c>
      <c r="D7319" t="s">
        <v>17</v>
      </c>
      <c r="E7319" t="s">
        <v>12</v>
      </c>
      <c r="F7319">
        <v>53077964</v>
      </c>
      <c r="G7319">
        <v>53078018</v>
      </c>
      <c r="H7319">
        <v>53077964</v>
      </c>
      <c r="I7319">
        <v>53078018</v>
      </c>
    </row>
    <row r="7320" spans="1:9" x14ac:dyDescent="0.2">
      <c r="A7320" s="1" t="str">
        <f>"GPR174"</f>
        <v>GPR174</v>
      </c>
      <c r="B7320" t="s">
        <v>14</v>
      </c>
      <c r="C7320" t="s">
        <v>37</v>
      </c>
      <c r="D7320" t="s">
        <v>17</v>
      </c>
      <c r="E7320" t="s">
        <v>12</v>
      </c>
      <c r="F7320">
        <v>78426217</v>
      </c>
      <c r="G7320">
        <v>78426238</v>
      </c>
      <c r="H7320">
        <v>78426217</v>
      </c>
      <c r="I7320">
        <v>78426238</v>
      </c>
    </row>
    <row r="7321" spans="1:9" x14ac:dyDescent="0.2">
      <c r="A7321" s="1" t="str">
        <f>"GPR176"</f>
        <v>GPR176</v>
      </c>
      <c r="B7321" t="s">
        <v>14</v>
      </c>
      <c r="C7321" t="s">
        <v>25</v>
      </c>
      <c r="D7321" t="s">
        <v>11</v>
      </c>
      <c r="E7321" t="s">
        <v>12</v>
      </c>
      <c r="F7321">
        <v>40212449</v>
      </c>
      <c r="G7321">
        <v>40212477</v>
      </c>
      <c r="H7321">
        <v>40212305</v>
      </c>
      <c r="I7321">
        <v>40212360</v>
      </c>
    </row>
    <row r="7322" spans="1:9" x14ac:dyDescent="0.2">
      <c r="A7322" s="1" t="str">
        <f>"GPR179"</f>
        <v>GPR179</v>
      </c>
      <c r="B7322" t="s">
        <v>14</v>
      </c>
      <c r="C7322" t="s">
        <v>28</v>
      </c>
      <c r="D7322" t="s">
        <v>11</v>
      </c>
      <c r="E7322" t="s">
        <v>12</v>
      </c>
      <c r="F7322">
        <v>36499833</v>
      </c>
      <c r="G7322">
        <v>36499844</v>
      </c>
      <c r="H7322">
        <v>36499833</v>
      </c>
      <c r="I7322">
        <v>36499844</v>
      </c>
    </row>
    <row r="7323" spans="1:9" x14ac:dyDescent="0.2">
      <c r="A7323" s="1" t="str">
        <f>"GPR18"</f>
        <v>GPR18</v>
      </c>
      <c r="B7323" t="s">
        <v>14</v>
      </c>
      <c r="C7323" t="s">
        <v>39</v>
      </c>
      <c r="D7323" t="s">
        <v>11</v>
      </c>
      <c r="E7323" t="s">
        <v>12</v>
      </c>
      <c r="F7323">
        <v>99910620</v>
      </c>
      <c r="G7323">
        <v>99910660</v>
      </c>
      <c r="H7323">
        <v>99910599</v>
      </c>
      <c r="I7323">
        <v>99910617</v>
      </c>
    </row>
    <row r="7324" spans="1:9" x14ac:dyDescent="0.2">
      <c r="A7324" s="1" t="str">
        <f>"GPR180"</f>
        <v>GPR180</v>
      </c>
      <c r="B7324" t="s">
        <v>14</v>
      </c>
      <c r="C7324" t="s">
        <v>39</v>
      </c>
      <c r="D7324" t="s">
        <v>17</v>
      </c>
      <c r="E7324" t="s">
        <v>12</v>
      </c>
      <c r="F7324">
        <v>95254085</v>
      </c>
      <c r="G7324">
        <v>95254171</v>
      </c>
      <c r="H7324">
        <v>95254046</v>
      </c>
      <c r="I7324">
        <v>95254062</v>
      </c>
    </row>
    <row r="7325" spans="1:9" x14ac:dyDescent="0.2">
      <c r="A7325" s="1" t="str">
        <f>"GPR182"</f>
        <v>GPR182</v>
      </c>
      <c r="B7325" t="s">
        <v>14</v>
      </c>
      <c r="C7325" t="s">
        <v>16</v>
      </c>
      <c r="D7325" t="s">
        <v>17</v>
      </c>
      <c r="E7325" t="s">
        <v>12</v>
      </c>
      <c r="F7325">
        <v>57388270</v>
      </c>
      <c r="G7325">
        <v>57388282</v>
      </c>
      <c r="H7325">
        <v>57388350</v>
      </c>
      <c r="I7325">
        <v>57388361</v>
      </c>
    </row>
    <row r="7326" spans="1:9" x14ac:dyDescent="0.2">
      <c r="A7326" s="1" t="str">
        <f>"GPR183"</f>
        <v>GPR183</v>
      </c>
      <c r="B7326" t="s">
        <v>14</v>
      </c>
      <c r="C7326" t="s">
        <v>39</v>
      </c>
      <c r="D7326" t="s">
        <v>11</v>
      </c>
      <c r="E7326" t="s">
        <v>12</v>
      </c>
      <c r="F7326">
        <v>99959641</v>
      </c>
      <c r="G7326">
        <v>99959660</v>
      </c>
      <c r="H7326">
        <v>99959671</v>
      </c>
      <c r="I7326">
        <v>99959686</v>
      </c>
    </row>
    <row r="7327" spans="1:9" x14ac:dyDescent="0.2">
      <c r="A7327" s="1" t="str">
        <f>"GPR19"</f>
        <v>GPR19</v>
      </c>
      <c r="B7327" t="s">
        <v>9</v>
      </c>
      <c r="C7327" t="s">
        <v>16</v>
      </c>
      <c r="D7327" t="s">
        <v>11</v>
      </c>
      <c r="E7327" t="s">
        <v>12</v>
      </c>
      <c r="F7327">
        <v>12837423</v>
      </c>
      <c r="G7327">
        <v>12837501</v>
      </c>
      <c r="H7327">
        <v>12837423</v>
      </c>
      <c r="I7327">
        <v>12837501</v>
      </c>
    </row>
    <row r="7328" spans="1:9" x14ac:dyDescent="0.2">
      <c r="A7328" s="1" t="str">
        <f>"GPR19"</f>
        <v>GPR19</v>
      </c>
      <c r="B7328" t="s">
        <v>13</v>
      </c>
      <c r="C7328" t="s">
        <v>16</v>
      </c>
      <c r="D7328" t="s">
        <v>11</v>
      </c>
      <c r="E7328" t="s">
        <v>12</v>
      </c>
      <c r="F7328">
        <v>12849073</v>
      </c>
      <c r="G7328">
        <v>12849138</v>
      </c>
      <c r="H7328">
        <v>12849073</v>
      </c>
      <c r="I7328">
        <v>12849138</v>
      </c>
    </row>
    <row r="7329" spans="1:9" x14ac:dyDescent="0.2">
      <c r="A7329" s="1" t="str">
        <f>"GPR20"</f>
        <v>GPR20</v>
      </c>
      <c r="B7329" t="s">
        <v>14</v>
      </c>
      <c r="C7329" t="s">
        <v>30</v>
      </c>
      <c r="D7329" t="s">
        <v>11</v>
      </c>
      <c r="E7329" t="s">
        <v>12</v>
      </c>
      <c r="F7329">
        <v>142377376</v>
      </c>
      <c r="G7329">
        <v>142377391</v>
      </c>
      <c r="H7329">
        <v>142377323</v>
      </c>
      <c r="I7329">
        <v>142377330</v>
      </c>
    </row>
    <row r="7330" spans="1:9" x14ac:dyDescent="0.2">
      <c r="A7330" s="1" t="str">
        <f>"GPR21"</f>
        <v>GPR21</v>
      </c>
      <c r="B7330" t="s">
        <v>14</v>
      </c>
      <c r="C7330" t="s">
        <v>24</v>
      </c>
      <c r="D7330" t="s">
        <v>17</v>
      </c>
      <c r="E7330" t="s">
        <v>12</v>
      </c>
      <c r="F7330">
        <v>125795788</v>
      </c>
      <c r="G7330">
        <v>125795797</v>
      </c>
      <c r="H7330">
        <v>125795729</v>
      </c>
      <c r="I7330">
        <v>125795740</v>
      </c>
    </row>
    <row r="7331" spans="1:9" x14ac:dyDescent="0.2">
      <c r="A7331" s="1" t="str">
        <f>"GPR22"</f>
        <v>GPR22</v>
      </c>
      <c r="B7331" t="s">
        <v>14</v>
      </c>
      <c r="C7331" t="s">
        <v>33</v>
      </c>
      <c r="D7331" t="s">
        <v>17</v>
      </c>
      <c r="E7331" t="s">
        <v>12</v>
      </c>
      <c r="F7331">
        <v>107110488</v>
      </c>
      <c r="G7331">
        <v>107110515</v>
      </c>
      <c r="H7331">
        <v>107110488</v>
      </c>
      <c r="I7331">
        <v>107110515</v>
      </c>
    </row>
    <row r="7332" spans="1:9" x14ac:dyDescent="0.2">
      <c r="A7332" s="1" t="str">
        <f>"GPR25"</f>
        <v>GPR25</v>
      </c>
      <c r="B7332" t="s">
        <v>14</v>
      </c>
      <c r="C7332" t="s">
        <v>19</v>
      </c>
      <c r="D7332" t="s">
        <v>17</v>
      </c>
      <c r="E7332" t="s">
        <v>12</v>
      </c>
      <c r="F7332">
        <v>200842103</v>
      </c>
      <c r="G7332">
        <v>200842116</v>
      </c>
      <c r="H7332">
        <v>200842089</v>
      </c>
      <c r="I7332">
        <v>200842095</v>
      </c>
    </row>
    <row r="7333" spans="1:9" x14ac:dyDescent="0.2">
      <c r="A7333" s="1" t="str">
        <f>"GPR26"</f>
        <v>GPR26</v>
      </c>
      <c r="B7333" t="s">
        <v>14</v>
      </c>
      <c r="C7333" t="s">
        <v>15</v>
      </c>
      <c r="D7333" t="s">
        <v>17</v>
      </c>
      <c r="E7333" t="s">
        <v>12</v>
      </c>
      <c r="F7333">
        <v>125425435</v>
      </c>
      <c r="G7333">
        <v>125425463</v>
      </c>
      <c r="H7333">
        <v>125425435</v>
      </c>
      <c r="I7333">
        <v>125425463</v>
      </c>
    </row>
    <row r="7334" spans="1:9" x14ac:dyDescent="0.2">
      <c r="A7334" s="1" t="str">
        <f>"GPR27"</f>
        <v>GPR27</v>
      </c>
      <c r="B7334" t="s">
        <v>14</v>
      </c>
      <c r="C7334" t="s">
        <v>22</v>
      </c>
      <c r="D7334" t="s">
        <v>17</v>
      </c>
      <c r="E7334" t="s">
        <v>12</v>
      </c>
      <c r="F7334">
        <v>71802985</v>
      </c>
      <c r="G7334">
        <v>71803011</v>
      </c>
      <c r="H7334">
        <v>71802985</v>
      </c>
      <c r="I7334">
        <v>71803011</v>
      </c>
    </row>
    <row r="7335" spans="1:9" x14ac:dyDescent="0.2">
      <c r="A7335" s="1" t="str">
        <f>"GPR3"</f>
        <v>GPR3</v>
      </c>
      <c r="B7335" t="s">
        <v>14</v>
      </c>
      <c r="C7335" t="s">
        <v>19</v>
      </c>
      <c r="D7335" t="s">
        <v>17</v>
      </c>
      <c r="E7335" t="s">
        <v>12</v>
      </c>
      <c r="F7335">
        <v>27719150</v>
      </c>
      <c r="G7335">
        <v>27719184</v>
      </c>
      <c r="H7335">
        <v>27719117</v>
      </c>
      <c r="I7335">
        <v>27719142</v>
      </c>
    </row>
    <row r="7336" spans="1:9" x14ac:dyDescent="0.2">
      <c r="A7336" s="1" t="str">
        <f>"GPR31"</f>
        <v>GPR31</v>
      </c>
      <c r="B7336" t="s">
        <v>14</v>
      </c>
      <c r="C7336" t="s">
        <v>32</v>
      </c>
      <c r="D7336" t="s">
        <v>11</v>
      </c>
      <c r="E7336" t="s">
        <v>12</v>
      </c>
      <c r="F7336">
        <v>167571457</v>
      </c>
      <c r="G7336">
        <v>167571481</v>
      </c>
      <c r="H7336">
        <v>167571457</v>
      </c>
      <c r="I7336">
        <v>167571481</v>
      </c>
    </row>
    <row r="7337" spans="1:9" x14ac:dyDescent="0.2">
      <c r="A7337" s="1" t="str">
        <f>"GPR32"</f>
        <v>GPR32</v>
      </c>
      <c r="B7337" t="s">
        <v>14</v>
      </c>
      <c r="C7337" t="s">
        <v>10</v>
      </c>
      <c r="D7337" t="s">
        <v>17</v>
      </c>
      <c r="E7337" t="s">
        <v>12</v>
      </c>
      <c r="F7337">
        <v>51273970</v>
      </c>
      <c r="G7337">
        <v>51273980</v>
      </c>
      <c r="H7337">
        <v>51273970</v>
      </c>
      <c r="I7337">
        <v>51273980</v>
      </c>
    </row>
    <row r="7338" spans="1:9" x14ac:dyDescent="0.2">
      <c r="A7338" s="1" t="str">
        <f>"GPR33"</f>
        <v>GPR33</v>
      </c>
      <c r="B7338" t="s">
        <v>14</v>
      </c>
      <c r="C7338" t="s">
        <v>41</v>
      </c>
      <c r="D7338" t="s">
        <v>11</v>
      </c>
      <c r="E7338" t="s">
        <v>12</v>
      </c>
      <c r="F7338">
        <v>31957227</v>
      </c>
      <c r="G7338">
        <v>31957248</v>
      </c>
      <c r="H7338">
        <v>31957227</v>
      </c>
      <c r="I7338">
        <v>31957248</v>
      </c>
    </row>
    <row r="7339" spans="1:9" x14ac:dyDescent="0.2">
      <c r="A7339" s="1" t="str">
        <f>"GPR34"</f>
        <v>GPR34</v>
      </c>
      <c r="B7339" t="s">
        <v>14</v>
      </c>
      <c r="C7339" t="s">
        <v>37</v>
      </c>
      <c r="D7339" t="s">
        <v>17</v>
      </c>
      <c r="E7339" t="s">
        <v>12</v>
      </c>
      <c r="F7339">
        <v>41548260</v>
      </c>
      <c r="G7339">
        <v>41548320</v>
      </c>
      <c r="H7339">
        <v>41548260</v>
      </c>
      <c r="I7339">
        <v>41548320</v>
      </c>
    </row>
    <row r="7340" spans="1:9" x14ac:dyDescent="0.2">
      <c r="A7340" s="1" t="str">
        <f>"GPR35"</f>
        <v>GPR35</v>
      </c>
      <c r="B7340" t="s">
        <v>9</v>
      </c>
      <c r="C7340" t="s">
        <v>26</v>
      </c>
      <c r="D7340" t="s">
        <v>17</v>
      </c>
      <c r="E7340" t="s">
        <v>12</v>
      </c>
      <c r="F7340">
        <v>241564889</v>
      </c>
      <c r="G7340">
        <v>241564932</v>
      </c>
      <c r="H7340">
        <v>241564889</v>
      </c>
      <c r="I7340">
        <v>241564932</v>
      </c>
    </row>
    <row r="7341" spans="1:9" x14ac:dyDescent="0.2">
      <c r="A7341" s="1" t="str">
        <f>"GPR35"</f>
        <v>GPR35</v>
      </c>
      <c r="B7341" t="s">
        <v>13</v>
      </c>
      <c r="C7341" t="s">
        <v>26</v>
      </c>
      <c r="D7341" t="s">
        <v>17</v>
      </c>
      <c r="E7341" t="s">
        <v>12</v>
      </c>
      <c r="F7341">
        <v>241544834</v>
      </c>
      <c r="G7341">
        <v>241544861</v>
      </c>
      <c r="H7341">
        <v>241544834</v>
      </c>
      <c r="I7341">
        <v>241544861</v>
      </c>
    </row>
    <row r="7342" spans="1:9" x14ac:dyDescent="0.2">
      <c r="A7342" s="1" t="str">
        <f>"GPR37"</f>
        <v>GPR37</v>
      </c>
      <c r="B7342" t="s">
        <v>14</v>
      </c>
      <c r="C7342" t="s">
        <v>33</v>
      </c>
      <c r="D7342" t="s">
        <v>11</v>
      </c>
      <c r="E7342" t="s">
        <v>12</v>
      </c>
      <c r="F7342">
        <v>124405807</v>
      </c>
      <c r="G7342">
        <v>124405886</v>
      </c>
      <c r="H7342">
        <v>124405758</v>
      </c>
      <c r="I7342">
        <v>124405778</v>
      </c>
    </row>
    <row r="7343" spans="1:9" x14ac:dyDescent="0.2">
      <c r="A7343" s="1" t="str">
        <f>"GPR37L1"</f>
        <v>GPR37L1</v>
      </c>
      <c r="B7343" t="s">
        <v>14</v>
      </c>
      <c r="C7343" t="s">
        <v>19</v>
      </c>
      <c r="D7343" t="s">
        <v>17</v>
      </c>
      <c r="E7343" t="s">
        <v>12</v>
      </c>
      <c r="F7343">
        <v>202092038</v>
      </c>
      <c r="G7343">
        <v>202092067</v>
      </c>
      <c r="H7343">
        <v>202092010</v>
      </c>
      <c r="I7343">
        <v>202092029</v>
      </c>
    </row>
    <row r="7344" spans="1:9" x14ac:dyDescent="0.2">
      <c r="A7344" s="1" t="str">
        <f>"GPR39"</f>
        <v>GPR39</v>
      </c>
      <c r="B7344" t="s">
        <v>14</v>
      </c>
      <c r="C7344" t="s">
        <v>26</v>
      </c>
      <c r="D7344" t="s">
        <v>17</v>
      </c>
      <c r="E7344" t="s">
        <v>12</v>
      </c>
      <c r="F7344">
        <v>133174370</v>
      </c>
      <c r="G7344">
        <v>133174436</v>
      </c>
      <c r="H7344">
        <v>133174190</v>
      </c>
      <c r="I7344">
        <v>133174235</v>
      </c>
    </row>
    <row r="7345" spans="1:9" x14ac:dyDescent="0.2">
      <c r="A7345" s="1" t="str">
        <f>"GPR4"</f>
        <v>GPR4</v>
      </c>
      <c r="B7345" t="s">
        <v>14</v>
      </c>
      <c r="C7345" t="s">
        <v>10</v>
      </c>
      <c r="D7345" t="s">
        <v>11</v>
      </c>
      <c r="E7345" t="s">
        <v>12</v>
      </c>
      <c r="F7345">
        <v>46105411</v>
      </c>
      <c r="G7345">
        <v>46105481</v>
      </c>
      <c r="H7345">
        <v>46105411</v>
      </c>
      <c r="I7345">
        <v>46105481</v>
      </c>
    </row>
    <row r="7346" spans="1:9" x14ac:dyDescent="0.2">
      <c r="A7346" s="1" t="str">
        <f>"GPR45"</f>
        <v>GPR45</v>
      </c>
      <c r="B7346" t="s">
        <v>14</v>
      </c>
      <c r="C7346" t="s">
        <v>26</v>
      </c>
      <c r="D7346" t="s">
        <v>17</v>
      </c>
      <c r="E7346" t="s">
        <v>12</v>
      </c>
      <c r="F7346">
        <v>105858483</v>
      </c>
      <c r="G7346">
        <v>105858497</v>
      </c>
      <c r="H7346">
        <v>105858483</v>
      </c>
      <c r="I7346">
        <v>105858497</v>
      </c>
    </row>
    <row r="7347" spans="1:9" x14ac:dyDescent="0.2">
      <c r="A7347" s="1" t="str">
        <f>"GPR50"</f>
        <v>GPR50</v>
      </c>
      <c r="B7347" t="s">
        <v>14</v>
      </c>
      <c r="C7347" t="s">
        <v>37</v>
      </c>
      <c r="D7347" t="s">
        <v>17</v>
      </c>
      <c r="E7347" t="s">
        <v>12</v>
      </c>
      <c r="F7347">
        <v>150345054</v>
      </c>
      <c r="G7347">
        <v>150345060</v>
      </c>
      <c r="H7347">
        <v>150345054</v>
      </c>
      <c r="I7347">
        <v>150345060</v>
      </c>
    </row>
    <row r="7348" spans="1:9" x14ac:dyDescent="0.2">
      <c r="A7348" s="1" t="str">
        <f>"GPR52"</f>
        <v>GPR52</v>
      </c>
      <c r="B7348" t="s">
        <v>14</v>
      </c>
      <c r="C7348" t="s">
        <v>19</v>
      </c>
      <c r="D7348" t="s">
        <v>17</v>
      </c>
      <c r="E7348" t="s">
        <v>12</v>
      </c>
      <c r="F7348">
        <v>174417095</v>
      </c>
      <c r="G7348">
        <v>174417131</v>
      </c>
      <c r="H7348">
        <v>174417084</v>
      </c>
      <c r="I7348">
        <v>174417093</v>
      </c>
    </row>
    <row r="7349" spans="1:9" x14ac:dyDescent="0.2">
      <c r="A7349" s="1" t="str">
        <f>"GPR55"</f>
        <v>GPR55</v>
      </c>
      <c r="B7349" t="s">
        <v>14</v>
      </c>
      <c r="C7349" t="s">
        <v>26</v>
      </c>
      <c r="D7349" t="s">
        <v>11</v>
      </c>
      <c r="E7349" t="s">
        <v>12</v>
      </c>
      <c r="F7349">
        <v>231789941</v>
      </c>
      <c r="G7349">
        <v>231789975</v>
      </c>
      <c r="H7349">
        <v>231789976</v>
      </c>
      <c r="I7349">
        <v>231789983</v>
      </c>
    </row>
    <row r="7350" spans="1:9" x14ac:dyDescent="0.2">
      <c r="A7350" s="1" t="str">
        <f>"GPR56"</f>
        <v>GPR56</v>
      </c>
      <c r="B7350" t="s">
        <v>14</v>
      </c>
      <c r="C7350" t="s">
        <v>31</v>
      </c>
      <c r="D7350" t="s">
        <v>17</v>
      </c>
      <c r="E7350" t="s">
        <v>12</v>
      </c>
      <c r="F7350">
        <v>57662527</v>
      </c>
      <c r="G7350">
        <v>57662556</v>
      </c>
      <c r="H7350">
        <v>57662527</v>
      </c>
      <c r="I7350">
        <v>57662556</v>
      </c>
    </row>
    <row r="7351" spans="1:9" x14ac:dyDescent="0.2">
      <c r="A7351" s="1" t="str">
        <f>"GPR6"</f>
        <v>GPR6</v>
      </c>
      <c r="B7351" t="s">
        <v>14</v>
      </c>
      <c r="C7351" t="s">
        <v>32</v>
      </c>
      <c r="D7351" t="s">
        <v>17</v>
      </c>
      <c r="E7351" t="s">
        <v>12</v>
      </c>
      <c r="F7351">
        <v>110299501</v>
      </c>
      <c r="G7351">
        <v>110299523</v>
      </c>
      <c r="H7351">
        <v>110299481</v>
      </c>
      <c r="I7351">
        <v>110299491</v>
      </c>
    </row>
    <row r="7352" spans="1:9" x14ac:dyDescent="0.2">
      <c r="A7352" s="1" t="str">
        <f>"GPR61"</f>
        <v>GPR61</v>
      </c>
      <c r="B7352" t="s">
        <v>14</v>
      </c>
      <c r="C7352" t="s">
        <v>19</v>
      </c>
      <c r="D7352" t="s">
        <v>17</v>
      </c>
      <c r="E7352" t="s">
        <v>12</v>
      </c>
      <c r="F7352">
        <v>110082487</v>
      </c>
      <c r="G7352">
        <v>110082535</v>
      </c>
      <c r="H7352">
        <v>110082539</v>
      </c>
      <c r="I7352">
        <v>110082555</v>
      </c>
    </row>
    <row r="7353" spans="1:9" x14ac:dyDescent="0.2">
      <c r="A7353" s="1" t="str">
        <f>"GPR62"</f>
        <v>GPR62</v>
      </c>
      <c r="B7353" t="s">
        <v>14</v>
      </c>
      <c r="C7353" t="s">
        <v>22</v>
      </c>
      <c r="D7353" t="s">
        <v>17</v>
      </c>
      <c r="E7353" t="s">
        <v>12</v>
      </c>
      <c r="F7353">
        <v>51989390</v>
      </c>
      <c r="G7353">
        <v>51989434</v>
      </c>
      <c r="H7353">
        <v>51989441</v>
      </c>
      <c r="I7353">
        <v>51989463</v>
      </c>
    </row>
    <row r="7354" spans="1:9" x14ac:dyDescent="0.2">
      <c r="A7354" s="1" t="str">
        <f>"GPR63"</f>
        <v>GPR63</v>
      </c>
      <c r="B7354" t="s">
        <v>14</v>
      </c>
      <c r="C7354" t="s">
        <v>32</v>
      </c>
      <c r="D7354" t="s">
        <v>11</v>
      </c>
      <c r="E7354" t="s">
        <v>12</v>
      </c>
      <c r="F7354">
        <v>97285336</v>
      </c>
      <c r="G7354">
        <v>97285378</v>
      </c>
      <c r="H7354">
        <v>97285380</v>
      </c>
      <c r="I7354">
        <v>97285397</v>
      </c>
    </row>
    <row r="7355" spans="1:9" x14ac:dyDescent="0.2">
      <c r="A7355" s="1" t="str">
        <f>"GPR64"</f>
        <v>GPR64</v>
      </c>
      <c r="B7355" t="s">
        <v>14</v>
      </c>
      <c r="C7355" t="s">
        <v>37</v>
      </c>
      <c r="D7355" t="s">
        <v>11</v>
      </c>
      <c r="E7355" t="s">
        <v>12</v>
      </c>
      <c r="F7355">
        <v>19140575</v>
      </c>
      <c r="G7355">
        <v>19140622</v>
      </c>
      <c r="H7355">
        <v>19140694</v>
      </c>
      <c r="I7355">
        <v>19140760</v>
      </c>
    </row>
    <row r="7356" spans="1:9" x14ac:dyDescent="0.2">
      <c r="A7356" s="1" t="str">
        <f>"GPR65"</f>
        <v>GPR65</v>
      </c>
      <c r="B7356" t="s">
        <v>14</v>
      </c>
      <c r="C7356" t="s">
        <v>41</v>
      </c>
      <c r="D7356" t="s">
        <v>17</v>
      </c>
      <c r="E7356" t="s">
        <v>12</v>
      </c>
      <c r="F7356">
        <v>88471472</v>
      </c>
      <c r="G7356">
        <v>88471500</v>
      </c>
      <c r="H7356">
        <v>88471509</v>
      </c>
      <c r="I7356">
        <v>88471522</v>
      </c>
    </row>
    <row r="7357" spans="1:9" x14ac:dyDescent="0.2">
      <c r="A7357" s="1" t="str">
        <f>"GPR68"</f>
        <v>GPR68</v>
      </c>
      <c r="B7357" t="s">
        <v>14</v>
      </c>
      <c r="C7357" t="s">
        <v>41</v>
      </c>
      <c r="D7357" t="s">
        <v>11</v>
      </c>
      <c r="E7357" t="s">
        <v>12</v>
      </c>
      <c r="F7357">
        <v>91711016</v>
      </c>
      <c r="G7357">
        <v>91711081</v>
      </c>
      <c r="H7357">
        <v>91710858</v>
      </c>
      <c r="I7357">
        <v>91710893</v>
      </c>
    </row>
    <row r="7358" spans="1:9" x14ac:dyDescent="0.2">
      <c r="A7358" s="1" t="str">
        <f>"GPR75"</f>
        <v>GPR75</v>
      </c>
      <c r="B7358" t="s">
        <v>14</v>
      </c>
      <c r="C7358" t="s">
        <v>26</v>
      </c>
      <c r="D7358" t="s">
        <v>11</v>
      </c>
      <c r="E7358" t="s">
        <v>12</v>
      </c>
      <c r="F7358">
        <v>54087066</v>
      </c>
      <c r="G7358">
        <v>54087151</v>
      </c>
      <c r="H7358">
        <v>54087066</v>
      </c>
      <c r="I7358">
        <v>54087151</v>
      </c>
    </row>
    <row r="7359" spans="1:9" x14ac:dyDescent="0.2">
      <c r="A7359" s="1" t="str">
        <f>"GPR75-ASB3"</f>
        <v>GPR75-ASB3</v>
      </c>
      <c r="B7359" t="s">
        <v>14</v>
      </c>
      <c r="C7359" t="s">
        <v>26</v>
      </c>
      <c r="D7359" t="s">
        <v>11</v>
      </c>
      <c r="E7359" t="s">
        <v>12</v>
      </c>
      <c r="F7359">
        <v>54014055</v>
      </c>
      <c r="G7359">
        <v>54014123</v>
      </c>
      <c r="H7359">
        <v>54013972</v>
      </c>
      <c r="I7359">
        <v>54014032</v>
      </c>
    </row>
    <row r="7360" spans="1:9" x14ac:dyDescent="0.2">
      <c r="A7360" s="1" t="str">
        <f>"GPR78"</f>
        <v>GPR78</v>
      </c>
      <c r="B7360" t="s">
        <v>14</v>
      </c>
      <c r="C7360" t="s">
        <v>23</v>
      </c>
      <c r="D7360" t="s">
        <v>17</v>
      </c>
      <c r="E7360" t="s">
        <v>12</v>
      </c>
      <c r="F7360">
        <v>8582287</v>
      </c>
      <c r="G7360">
        <v>8582314</v>
      </c>
      <c r="H7360">
        <v>8582287</v>
      </c>
      <c r="I7360">
        <v>8582314</v>
      </c>
    </row>
    <row r="7361" spans="1:9" x14ac:dyDescent="0.2">
      <c r="A7361" s="1" t="str">
        <f>"GPR82"</f>
        <v>GPR82</v>
      </c>
      <c r="B7361" t="s">
        <v>14</v>
      </c>
      <c r="C7361" t="s">
        <v>37</v>
      </c>
      <c r="D7361" t="s">
        <v>17</v>
      </c>
      <c r="E7361" t="s">
        <v>12</v>
      </c>
      <c r="F7361">
        <v>41583427</v>
      </c>
      <c r="G7361">
        <v>41583436</v>
      </c>
      <c r="H7361">
        <v>41583381</v>
      </c>
      <c r="I7361">
        <v>41583391</v>
      </c>
    </row>
    <row r="7362" spans="1:9" x14ac:dyDescent="0.2">
      <c r="A7362" s="1" t="str">
        <f>"GPR83"</f>
        <v>GPR83</v>
      </c>
      <c r="B7362" t="s">
        <v>14</v>
      </c>
      <c r="C7362" t="s">
        <v>27</v>
      </c>
      <c r="D7362" t="s">
        <v>11</v>
      </c>
      <c r="E7362" t="s">
        <v>12</v>
      </c>
      <c r="F7362">
        <v>94134581</v>
      </c>
      <c r="G7362">
        <v>94134594</v>
      </c>
      <c r="H7362">
        <v>94134646</v>
      </c>
      <c r="I7362">
        <v>94134657</v>
      </c>
    </row>
    <row r="7363" spans="1:9" x14ac:dyDescent="0.2">
      <c r="A7363" s="1" t="str">
        <f>"GPR84"</f>
        <v>GPR84</v>
      </c>
      <c r="B7363" t="s">
        <v>14</v>
      </c>
      <c r="C7363" t="s">
        <v>16</v>
      </c>
      <c r="D7363" t="s">
        <v>11</v>
      </c>
      <c r="E7363" t="s">
        <v>12</v>
      </c>
      <c r="F7363">
        <v>54758251</v>
      </c>
      <c r="G7363">
        <v>54758277</v>
      </c>
      <c r="H7363">
        <v>54758251</v>
      </c>
      <c r="I7363">
        <v>54758277</v>
      </c>
    </row>
    <row r="7364" spans="1:9" x14ac:dyDescent="0.2">
      <c r="A7364" s="1" t="str">
        <f>"GPR85"</f>
        <v>GPR85</v>
      </c>
      <c r="B7364" t="s">
        <v>14</v>
      </c>
      <c r="C7364" t="s">
        <v>33</v>
      </c>
      <c r="D7364" t="s">
        <v>11</v>
      </c>
      <c r="E7364" t="s">
        <v>12</v>
      </c>
      <c r="F7364">
        <v>112726869</v>
      </c>
      <c r="G7364">
        <v>112726892</v>
      </c>
      <c r="H7364">
        <v>112726530</v>
      </c>
      <c r="I7364">
        <v>112726567</v>
      </c>
    </row>
    <row r="7365" spans="1:9" x14ac:dyDescent="0.2">
      <c r="A7365" s="1" t="str">
        <f>"GPR87"</f>
        <v>GPR87</v>
      </c>
      <c r="B7365" t="s">
        <v>14</v>
      </c>
      <c r="C7365" t="s">
        <v>22</v>
      </c>
      <c r="D7365" t="s">
        <v>11</v>
      </c>
      <c r="E7365" t="s">
        <v>12</v>
      </c>
      <c r="F7365">
        <v>151034583</v>
      </c>
      <c r="G7365">
        <v>151034678</v>
      </c>
      <c r="H7365">
        <v>151034583</v>
      </c>
      <c r="I7365">
        <v>151034678</v>
      </c>
    </row>
    <row r="7366" spans="1:9" x14ac:dyDescent="0.2">
      <c r="A7366" s="1" t="str">
        <f>"GPR88"</f>
        <v>GPR88</v>
      </c>
      <c r="B7366" t="s">
        <v>14</v>
      </c>
      <c r="C7366" t="s">
        <v>19</v>
      </c>
      <c r="D7366" t="s">
        <v>17</v>
      </c>
      <c r="E7366" t="s">
        <v>12</v>
      </c>
      <c r="F7366">
        <v>101003687</v>
      </c>
      <c r="G7366">
        <v>101003720</v>
      </c>
      <c r="H7366">
        <v>101003767</v>
      </c>
      <c r="I7366">
        <v>101003782</v>
      </c>
    </row>
    <row r="7367" spans="1:9" x14ac:dyDescent="0.2">
      <c r="A7367" s="1" t="str">
        <f>"GPR89A"</f>
        <v>GPR89A</v>
      </c>
      <c r="B7367" t="s">
        <v>569</v>
      </c>
      <c r="C7367" t="s">
        <v>19</v>
      </c>
      <c r="D7367" t="s">
        <v>11</v>
      </c>
      <c r="E7367" t="s">
        <v>35</v>
      </c>
      <c r="F7367">
        <v>145827067</v>
      </c>
      <c r="G7367">
        <v>145827099</v>
      </c>
      <c r="H7367">
        <v>145827067</v>
      </c>
      <c r="I7367">
        <v>145827099</v>
      </c>
    </row>
    <row r="7368" spans="1:9" x14ac:dyDescent="0.2">
      <c r="A7368" s="1" t="str">
        <f>"GPR89B"</f>
        <v>GPR89B</v>
      </c>
      <c r="B7368" t="s">
        <v>14</v>
      </c>
      <c r="C7368" t="s">
        <v>19</v>
      </c>
      <c r="D7368" t="s">
        <v>17</v>
      </c>
      <c r="E7368" t="s">
        <v>12</v>
      </c>
      <c r="F7368">
        <v>147400526</v>
      </c>
      <c r="G7368">
        <v>147400541</v>
      </c>
      <c r="H7368">
        <v>147400526</v>
      </c>
      <c r="I7368">
        <v>147400541</v>
      </c>
    </row>
    <row r="7369" spans="1:9" x14ac:dyDescent="0.2">
      <c r="A7369" s="1" t="str">
        <f>"GPR97"</f>
        <v>GPR97</v>
      </c>
      <c r="B7369" t="s">
        <v>14</v>
      </c>
      <c r="C7369" t="s">
        <v>31</v>
      </c>
      <c r="D7369" t="s">
        <v>17</v>
      </c>
      <c r="E7369" t="s">
        <v>12</v>
      </c>
      <c r="F7369">
        <v>57702210</v>
      </c>
      <c r="G7369">
        <v>57702233</v>
      </c>
      <c r="H7369">
        <v>57702180</v>
      </c>
      <c r="I7369">
        <v>57702202</v>
      </c>
    </row>
    <row r="7370" spans="1:9" x14ac:dyDescent="0.2">
      <c r="A7370" s="1" t="str">
        <f>"GPR98"</f>
        <v>GPR98</v>
      </c>
      <c r="B7370" t="s">
        <v>14</v>
      </c>
      <c r="C7370" t="s">
        <v>46</v>
      </c>
      <c r="D7370" t="s">
        <v>17</v>
      </c>
      <c r="E7370" t="s">
        <v>12</v>
      </c>
      <c r="F7370">
        <v>89854595</v>
      </c>
      <c r="G7370">
        <v>89854632</v>
      </c>
      <c r="H7370">
        <v>89854636</v>
      </c>
      <c r="I7370">
        <v>89854651</v>
      </c>
    </row>
    <row r="7371" spans="1:9" x14ac:dyDescent="0.2">
      <c r="A7371" s="1" t="str">
        <f>"GPRASP1"</f>
        <v>GPRASP1</v>
      </c>
      <c r="B7371" t="s">
        <v>14</v>
      </c>
      <c r="C7371" t="s">
        <v>37</v>
      </c>
      <c r="D7371" t="s">
        <v>17</v>
      </c>
      <c r="E7371" t="s">
        <v>12</v>
      </c>
      <c r="F7371">
        <v>101906404</v>
      </c>
      <c r="G7371">
        <v>101906460</v>
      </c>
      <c r="H7371">
        <v>101906316</v>
      </c>
      <c r="I7371">
        <v>101906354</v>
      </c>
    </row>
    <row r="7372" spans="1:9" x14ac:dyDescent="0.2">
      <c r="A7372" s="1" t="str">
        <f>"GPRASP2"</f>
        <v>GPRASP2</v>
      </c>
      <c r="B7372" t="s">
        <v>14</v>
      </c>
      <c r="C7372" t="s">
        <v>37</v>
      </c>
      <c r="D7372" t="s">
        <v>17</v>
      </c>
      <c r="E7372" t="s">
        <v>12</v>
      </c>
      <c r="F7372">
        <v>101967366</v>
      </c>
      <c r="G7372">
        <v>101967391</v>
      </c>
      <c r="H7372">
        <v>101967311</v>
      </c>
      <c r="I7372">
        <v>101967334</v>
      </c>
    </row>
    <row r="7373" spans="1:9" x14ac:dyDescent="0.2">
      <c r="A7373" s="1" t="str">
        <f>"GPRC5A"</f>
        <v>GPRC5A</v>
      </c>
      <c r="B7373" t="s">
        <v>9</v>
      </c>
      <c r="C7373" t="s">
        <v>16</v>
      </c>
      <c r="D7373" t="s">
        <v>17</v>
      </c>
      <c r="E7373" t="s">
        <v>12</v>
      </c>
      <c r="F7373">
        <v>13044488</v>
      </c>
      <c r="G7373">
        <v>13044506</v>
      </c>
      <c r="H7373">
        <v>13044488</v>
      </c>
      <c r="I7373">
        <v>13044506</v>
      </c>
    </row>
    <row r="7374" spans="1:9" x14ac:dyDescent="0.2">
      <c r="A7374" s="1" t="str">
        <f>"GPRC5A"</f>
        <v>GPRC5A</v>
      </c>
      <c r="B7374" t="s">
        <v>13</v>
      </c>
      <c r="C7374" t="s">
        <v>16</v>
      </c>
      <c r="D7374" t="s">
        <v>17</v>
      </c>
      <c r="E7374" t="s">
        <v>12</v>
      </c>
      <c r="F7374">
        <v>13061894</v>
      </c>
      <c r="G7374">
        <v>13061915</v>
      </c>
      <c r="H7374">
        <v>13061894</v>
      </c>
      <c r="I7374">
        <v>13061915</v>
      </c>
    </row>
    <row r="7375" spans="1:9" x14ac:dyDescent="0.2">
      <c r="A7375" s="1" t="str">
        <f>"GPRC5B"</f>
        <v>GPRC5B</v>
      </c>
      <c r="B7375" t="s">
        <v>14</v>
      </c>
      <c r="C7375" t="s">
        <v>31</v>
      </c>
      <c r="D7375" t="s">
        <v>11</v>
      </c>
      <c r="E7375" t="s">
        <v>12</v>
      </c>
      <c r="F7375">
        <v>19896150</v>
      </c>
      <c r="G7375">
        <v>19896205</v>
      </c>
      <c r="H7375">
        <v>19896220</v>
      </c>
      <c r="I7375">
        <v>19896229</v>
      </c>
    </row>
    <row r="7376" spans="1:9" x14ac:dyDescent="0.2">
      <c r="A7376" s="1" t="str">
        <f>"GPRC5C"</f>
        <v>GPRC5C</v>
      </c>
      <c r="B7376" t="s">
        <v>14</v>
      </c>
      <c r="C7376" t="s">
        <v>28</v>
      </c>
      <c r="D7376" t="s">
        <v>17</v>
      </c>
      <c r="E7376" t="s">
        <v>12</v>
      </c>
      <c r="F7376">
        <v>72428218</v>
      </c>
      <c r="G7376">
        <v>72428264</v>
      </c>
      <c r="H7376">
        <v>72427477</v>
      </c>
      <c r="I7376">
        <v>72427533</v>
      </c>
    </row>
    <row r="7377" spans="1:9" x14ac:dyDescent="0.2">
      <c r="A7377" s="1" t="str">
        <f>"GPRC5D"</f>
        <v>GPRC5D</v>
      </c>
      <c r="B7377" t="s">
        <v>14</v>
      </c>
      <c r="C7377" t="s">
        <v>16</v>
      </c>
      <c r="D7377" t="s">
        <v>11</v>
      </c>
      <c r="E7377" t="s">
        <v>12</v>
      </c>
      <c r="F7377">
        <v>13105091</v>
      </c>
      <c r="G7377">
        <v>13105109</v>
      </c>
      <c r="H7377">
        <v>13105091</v>
      </c>
      <c r="I7377">
        <v>13105109</v>
      </c>
    </row>
    <row r="7378" spans="1:9" x14ac:dyDescent="0.2">
      <c r="A7378" s="1" t="str">
        <f>"GPRC6A"</f>
        <v>GPRC6A</v>
      </c>
      <c r="B7378" t="s">
        <v>14</v>
      </c>
      <c r="C7378" t="s">
        <v>32</v>
      </c>
      <c r="D7378" t="s">
        <v>11</v>
      </c>
      <c r="E7378" t="s">
        <v>12</v>
      </c>
      <c r="F7378">
        <v>117150243</v>
      </c>
      <c r="G7378">
        <v>117150246</v>
      </c>
      <c r="H7378">
        <v>117150243</v>
      </c>
      <c r="I7378">
        <v>117150246</v>
      </c>
    </row>
    <row r="7379" spans="1:9" x14ac:dyDescent="0.2">
      <c r="A7379" s="1" t="str">
        <f>"GPRIN1"</f>
        <v>GPRIN1</v>
      </c>
      <c r="B7379" t="s">
        <v>14</v>
      </c>
      <c r="C7379" t="s">
        <v>46</v>
      </c>
      <c r="D7379" t="s">
        <v>11</v>
      </c>
      <c r="E7379" t="s">
        <v>12</v>
      </c>
      <c r="F7379">
        <v>176037105</v>
      </c>
      <c r="G7379">
        <v>176037165</v>
      </c>
      <c r="H7379">
        <v>176037074</v>
      </c>
      <c r="I7379">
        <v>176037103</v>
      </c>
    </row>
    <row r="7380" spans="1:9" x14ac:dyDescent="0.2">
      <c r="A7380" s="1" t="str">
        <f>"GPRIN2"</f>
        <v>GPRIN2</v>
      </c>
      <c r="B7380" t="s">
        <v>14</v>
      </c>
      <c r="C7380" t="s">
        <v>15</v>
      </c>
      <c r="D7380" t="s">
        <v>17</v>
      </c>
      <c r="E7380" t="s">
        <v>12</v>
      </c>
      <c r="F7380">
        <v>46993028</v>
      </c>
      <c r="G7380">
        <v>46993053</v>
      </c>
      <c r="H7380">
        <v>46993500</v>
      </c>
      <c r="I7380">
        <v>46993516</v>
      </c>
    </row>
    <row r="7381" spans="1:9" x14ac:dyDescent="0.2">
      <c r="A7381" s="1" t="str">
        <f>"GPRIN3"</f>
        <v>GPRIN3</v>
      </c>
      <c r="B7381" t="s">
        <v>14</v>
      </c>
      <c r="C7381" t="s">
        <v>23</v>
      </c>
      <c r="D7381" t="s">
        <v>11</v>
      </c>
      <c r="E7381" t="s">
        <v>12</v>
      </c>
      <c r="F7381">
        <v>90228910</v>
      </c>
      <c r="G7381">
        <v>90228960</v>
      </c>
      <c r="H7381">
        <v>90229142</v>
      </c>
      <c r="I7381">
        <v>90229217</v>
      </c>
    </row>
    <row r="7382" spans="1:9" x14ac:dyDescent="0.2">
      <c r="A7382" s="1" t="str">
        <f>"GPS1"</f>
        <v>GPS1</v>
      </c>
      <c r="B7382" t="s">
        <v>14</v>
      </c>
      <c r="C7382" t="s">
        <v>28</v>
      </c>
      <c r="D7382" t="s">
        <v>17</v>
      </c>
      <c r="E7382" t="s">
        <v>12</v>
      </c>
      <c r="F7382">
        <v>80009748</v>
      </c>
      <c r="G7382">
        <v>80009808</v>
      </c>
      <c r="H7382">
        <v>80009748</v>
      </c>
      <c r="I7382">
        <v>80009808</v>
      </c>
    </row>
    <row r="7383" spans="1:9" x14ac:dyDescent="0.2">
      <c r="A7383" s="1" t="str">
        <f>"GPS2"</f>
        <v>GPS2</v>
      </c>
      <c r="B7383" t="s">
        <v>14</v>
      </c>
      <c r="C7383" t="s">
        <v>28</v>
      </c>
      <c r="D7383" t="s">
        <v>11</v>
      </c>
      <c r="E7383" t="s">
        <v>12</v>
      </c>
      <c r="F7383">
        <v>7218631</v>
      </c>
      <c r="G7383">
        <v>7218711</v>
      </c>
      <c r="H7383">
        <v>7218403</v>
      </c>
      <c r="I7383">
        <v>7218485</v>
      </c>
    </row>
    <row r="7384" spans="1:9" x14ac:dyDescent="0.2">
      <c r="A7384" s="1" t="str">
        <f>"GPSM1"</f>
        <v>GPSM1</v>
      </c>
      <c r="B7384" t="s">
        <v>14</v>
      </c>
      <c r="C7384" t="s">
        <v>24</v>
      </c>
      <c r="D7384" t="s">
        <v>17</v>
      </c>
      <c r="E7384" t="s">
        <v>12</v>
      </c>
      <c r="F7384">
        <v>139222010</v>
      </c>
      <c r="G7384">
        <v>139222061</v>
      </c>
      <c r="H7384">
        <v>139221982</v>
      </c>
      <c r="I7384">
        <v>139222004</v>
      </c>
    </row>
    <row r="7385" spans="1:9" x14ac:dyDescent="0.2">
      <c r="A7385" s="1" t="str">
        <f>"GPSM2"</f>
        <v>GPSM2</v>
      </c>
      <c r="B7385" t="s">
        <v>14</v>
      </c>
      <c r="C7385" t="s">
        <v>19</v>
      </c>
      <c r="D7385" t="s">
        <v>17</v>
      </c>
      <c r="E7385" t="s">
        <v>12</v>
      </c>
      <c r="F7385">
        <v>109419596</v>
      </c>
      <c r="G7385">
        <v>109419640</v>
      </c>
      <c r="H7385">
        <v>109419762</v>
      </c>
      <c r="I7385">
        <v>109419796</v>
      </c>
    </row>
    <row r="7386" spans="1:9" x14ac:dyDescent="0.2">
      <c r="A7386" s="1" t="str">
        <f>"GPSM3"</f>
        <v>GPSM3</v>
      </c>
      <c r="B7386" t="s">
        <v>14</v>
      </c>
      <c r="C7386" t="s">
        <v>32</v>
      </c>
      <c r="D7386" t="s">
        <v>11</v>
      </c>
      <c r="E7386" t="s">
        <v>12</v>
      </c>
      <c r="F7386">
        <v>32160407</v>
      </c>
      <c r="G7386">
        <v>32160449</v>
      </c>
      <c r="H7386">
        <v>32160622</v>
      </c>
      <c r="I7386">
        <v>32160719</v>
      </c>
    </row>
    <row r="7387" spans="1:9" x14ac:dyDescent="0.2">
      <c r="A7387" s="1" t="str">
        <f>"GPT"</f>
        <v>GPT</v>
      </c>
      <c r="B7387" t="s">
        <v>9</v>
      </c>
      <c r="C7387" t="s">
        <v>30</v>
      </c>
      <c r="D7387" t="s">
        <v>17</v>
      </c>
      <c r="E7387" t="s">
        <v>12</v>
      </c>
      <c r="F7387">
        <v>145729510</v>
      </c>
      <c r="G7387">
        <v>145729532</v>
      </c>
      <c r="H7387">
        <v>145729510</v>
      </c>
      <c r="I7387">
        <v>145729532</v>
      </c>
    </row>
    <row r="7388" spans="1:9" x14ac:dyDescent="0.2">
      <c r="A7388" s="1" t="str">
        <f>"GPT"</f>
        <v>GPT</v>
      </c>
      <c r="B7388" t="s">
        <v>13</v>
      </c>
      <c r="C7388" t="s">
        <v>30</v>
      </c>
      <c r="D7388" t="s">
        <v>17</v>
      </c>
      <c r="E7388" t="s">
        <v>12</v>
      </c>
      <c r="F7388">
        <v>145728445</v>
      </c>
      <c r="G7388">
        <v>145728463</v>
      </c>
      <c r="H7388">
        <v>145728445</v>
      </c>
      <c r="I7388">
        <v>145728463</v>
      </c>
    </row>
    <row r="7389" spans="1:9" x14ac:dyDescent="0.2">
      <c r="A7389" s="1" t="str">
        <f>"GPT2"</f>
        <v>GPT2</v>
      </c>
      <c r="B7389" t="s">
        <v>14</v>
      </c>
      <c r="C7389" t="s">
        <v>31</v>
      </c>
      <c r="D7389" t="s">
        <v>17</v>
      </c>
      <c r="E7389" t="s">
        <v>12</v>
      </c>
      <c r="F7389">
        <v>46918235</v>
      </c>
      <c r="G7389">
        <v>46918337</v>
      </c>
      <c r="H7389">
        <v>46918587</v>
      </c>
      <c r="I7389">
        <v>46918623</v>
      </c>
    </row>
    <row r="7390" spans="1:9" x14ac:dyDescent="0.2">
      <c r="A7390" s="1" t="str">
        <f>"GPX1"</f>
        <v>GPX1</v>
      </c>
      <c r="B7390" t="s">
        <v>14</v>
      </c>
      <c r="C7390" t="s">
        <v>22</v>
      </c>
      <c r="D7390" t="s">
        <v>11</v>
      </c>
      <c r="E7390" t="s">
        <v>12</v>
      </c>
      <c r="F7390">
        <v>49395773</v>
      </c>
      <c r="G7390">
        <v>49395819</v>
      </c>
      <c r="H7390">
        <v>49395705</v>
      </c>
      <c r="I7390">
        <v>49395738</v>
      </c>
    </row>
    <row r="7391" spans="1:9" x14ac:dyDescent="0.2">
      <c r="A7391" s="1" t="str">
        <f>"GPX2"</f>
        <v>GPX2</v>
      </c>
      <c r="B7391" t="s">
        <v>14</v>
      </c>
      <c r="C7391" t="s">
        <v>41</v>
      </c>
      <c r="D7391" t="s">
        <v>11</v>
      </c>
      <c r="E7391" t="s">
        <v>12</v>
      </c>
      <c r="F7391">
        <v>65409452</v>
      </c>
      <c r="G7391">
        <v>65409479</v>
      </c>
      <c r="H7391">
        <v>65409484</v>
      </c>
      <c r="I7391">
        <v>65409495</v>
      </c>
    </row>
    <row r="7392" spans="1:9" x14ac:dyDescent="0.2">
      <c r="A7392" s="1" t="str">
        <f>"GPX3"</f>
        <v>GPX3</v>
      </c>
      <c r="B7392" t="s">
        <v>14</v>
      </c>
      <c r="C7392" t="s">
        <v>46</v>
      </c>
      <c r="D7392" t="s">
        <v>17</v>
      </c>
      <c r="E7392" t="s">
        <v>12</v>
      </c>
      <c r="F7392">
        <v>150400145</v>
      </c>
      <c r="G7392">
        <v>150400158</v>
      </c>
      <c r="H7392">
        <v>150400145</v>
      </c>
      <c r="I7392">
        <v>150400158</v>
      </c>
    </row>
    <row r="7393" spans="1:9" x14ac:dyDescent="0.2">
      <c r="A7393" s="1" t="str">
        <f>"GPX4"</f>
        <v>GPX4</v>
      </c>
      <c r="B7393" t="s">
        <v>14</v>
      </c>
      <c r="C7393" t="s">
        <v>10</v>
      </c>
      <c r="D7393" t="s">
        <v>17</v>
      </c>
      <c r="E7393" t="s">
        <v>12</v>
      </c>
      <c r="F7393">
        <v>1104627</v>
      </c>
      <c r="G7393">
        <v>1104690</v>
      </c>
      <c r="H7393">
        <v>1103987</v>
      </c>
      <c r="I7393">
        <v>1103998</v>
      </c>
    </row>
    <row r="7394" spans="1:9" x14ac:dyDescent="0.2">
      <c r="A7394" s="1" t="str">
        <f>"GPX5"</f>
        <v>GPX5</v>
      </c>
      <c r="B7394" t="s">
        <v>14</v>
      </c>
      <c r="C7394" t="s">
        <v>32</v>
      </c>
      <c r="D7394" t="s">
        <v>17</v>
      </c>
      <c r="E7394" t="s">
        <v>12</v>
      </c>
      <c r="F7394">
        <v>28493753</v>
      </c>
      <c r="G7394">
        <v>28493768</v>
      </c>
      <c r="H7394">
        <v>28493654</v>
      </c>
      <c r="I7394">
        <v>28493661</v>
      </c>
    </row>
    <row r="7395" spans="1:9" x14ac:dyDescent="0.2">
      <c r="A7395" s="1" t="str">
        <f>"GPX6"</f>
        <v>GPX6</v>
      </c>
      <c r="B7395" t="s">
        <v>570</v>
      </c>
      <c r="C7395" t="s">
        <v>32</v>
      </c>
      <c r="D7395" t="s">
        <v>11</v>
      </c>
      <c r="E7395" t="s">
        <v>20</v>
      </c>
      <c r="F7395">
        <v>28483569</v>
      </c>
      <c r="G7395">
        <v>28483569</v>
      </c>
      <c r="H7395">
        <v>28483569</v>
      </c>
      <c r="I7395">
        <v>28483569</v>
      </c>
    </row>
    <row r="7396" spans="1:9" x14ac:dyDescent="0.2">
      <c r="A7396" s="1" t="str">
        <f>"GPX7"</f>
        <v>GPX7</v>
      </c>
      <c r="B7396" t="s">
        <v>14</v>
      </c>
      <c r="C7396" t="s">
        <v>19</v>
      </c>
      <c r="D7396" t="s">
        <v>17</v>
      </c>
      <c r="E7396" t="s">
        <v>12</v>
      </c>
      <c r="F7396">
        <v>53068020</v>
      </c>
      <c r="G7396">
        <v>53068087</v>
      </c>
      <c r="H7396">
        <v>53068020</v>
      </c>
      <c r="I7396">
        <v>53068087</v>
      </c>
    </row>
    <row r="7397" spans="1:9" x14ac:dyDescent="0.2">
      <c r="A7397" s="1" t="str">
        <f>"GPX8"</f>
        <v>GPX8</v>
      </c>
      <c r="B7397" t="s">
        <v>14</v>
      </c>
      <c r="C7397" t="s">
        <v>46</v>
      </c>
      <c r="D7397" t="s">
        <v>17</v>
      </c>
      <c r="E7397" t="s">
        <v>12</v>
      </c>
      <c r="F7397">
        <v>54455989</v>
      </c>
      <c r="G7397">
        <v>54456019</v>
      </c>
      <c r="H7397">
        <v>54455989</v>
      </c>
      <c r="I7397">
        <v>54456019</v>
      </c>
    </row>
    <row r="7398" spans="1:9" x14ac:dyDescent="0.2">
      <c r="A7398" s="1" t="str">
        <f>"GRAMD1A"</f>
        <v>GRAMD1A</v>
      </c>
      <c r="B7398" t="s">
        <v>14</v>
      </c>
      <c r="C7398" t="s">
        <v>10</v>
      </c>
      <c r="D7398" t="s">
        <v>17</v>
      </c>
      <c r="E7398" t="s">
        <v>12</v>
      </c>
      <c r="F7398">
        <v>35491174</v>
      </c>
      <c r="G7398">
        <v>35491242</v>
      </c>
      <c r="H7398">
        <v>35491249</v>
      </c>
      <c r="I7398">
        <v>35491265</v>
      </c>
    </row>
    <row r="7399" spans="1:9" x14ac:dyDescent="0.2">
      <c r="A7399" s="1" t="str">
        <f>"GRAMD1B"</f>
        <v>GRAMD1B</v>
      </c>
      <c r="B7399" t="s">
        <v>571</v>
      </c>
      <c r="C7399" t="s">
        <v>27</v>
      </c>
      <c r="D7399" t="s">
        <v>17</v>
      </c>
      <c r="E7399" t="s">
        <v>35</v>
      </c>
      <c r="F7399">
        <v>123396307</v>
      </c>
      <c r="G7399">
        <v>123396358</v>
      </c>
      <c r="H7399">
        <v>123396622</v>
      </c>
      <c r="I7399">
        <v>123396636</v>
      </c>
    </row>
    <row r="7400" spans="1:9" x14ac:dyDescent="0.2">
      <c r="A7400" s="1" t="str">
        <f>"GRAMD1C"</f>
        <v>GRAMD1C</v>
      </c>
      <c r="B7400" t="s">
        <v>14</v>
      </c>
      <c r="C7400" t="s">
        <v>22</v>
      </c>
      <c r="D7400" t="s">
        <v>17</v>
      </c>
      <c r="E7400" t="s">
        <v>12</v>
      </c>
      <c r="F7400">
        <v>113557712</v>
      </c>
      <c r="G7400">
        <v>113557755</v>
      </c>
      <c r="H7400">
        <v>113557712</v>
      </c>
      <c r="I7400">
        <v>113557755</v>
      </c>
    </row>
    <row r="7401" spans="1:9" x14ac:dyDescent="0.2">
      <c r="A7401" s="1" t="str">
        <f>"GRAMD2"</f>
        <v>GRAMD2</v>
      </c>
      <c r="B7401" t="s">
        <v>14</v>
      </c>
      <c r="C7401" t="s">
        <v>25</v>
      </c>
      <c r="D7401" t="s">
        <v>11</v>
      </c>
      <c r="E7401" t="s">
        <v>12</v>
      </c>
      <c r="F7401">
        <v>72490114</v>
      </c>
      <c r="G7401">
        <v>72490145</v>
      </c>
      <c r="H7401">
        <v>72490151</v>
      </c>
      <c r="I7401">
        <v>72490165</v>
      </c>
    </row>
    <row r="7402" spans="1:9" x14ac:dyDescent="0.2">
      <c r="A7402" s="1" t="str">
        <f>"GRAMD3"</f>
        <v>GRAMD3</v>
      </c>
      <c r="B7402" t="s">
        <v>14</v>
      </c>
      <c r="C7402" t="s">
        <v>46</v>
      </c>
      <c r="D7402" t="s">
        <v>17</v>
      </c>
      <c r="E7402" t="s">
        <v>12</v>
      </c>
      <c r="F7402">
        <v>125759064</v>
      </c>
      <c r="G7402">
        <v>125759131</v>
      </c>
      <c r="H7402">
        <v>125759140</v>
      </c>
      <c r="I7402">
        <v>125759175</v>
      </c>
    </row>
    <row r="7403" spans="1:9" x14ac:dyDescent="0.2">
      <c r="A7403" s="1" t="str">
        <f>"GRAMD4"</f>
        <v>GRAMD4</v>
      </c>
      <c r="B7403" t="s">
        <v>572</v>
      </c>
      <c r="C7403" t="s">
        <v>21</v>
      </c>
      <c r="D7403" t="s">
        <v>17</v>
      </c>
      <c r="E7403" t="s">
        <v>20</v>
      </c>
      <c r="F7403">
        <v>47022657</v>
      </c>
      <c r="G7403">
        <v>47022657</v>
      </c>
      <c r="H7403">
        <v>47022657</v>
      </c>
      <c r="I7403">
        <v>47022657</v>
      </c>
    </row>
    <row r="7404" spans="1:9" x14ac:dyDescent="0.2">
      <c r="A7404" s="1" t="str">
        <f>"GRAMD4"</f>
        <v>GRAMD4</v>
      </c>
      <c r="B7404" t="s">
        <v>573</v>
      </c>
      <c r="C7404" t="s">
        <v>21</v>
      </c>
      <c r="D7404" t="s">
        <v>17</v>
      </c>
      <c r="E7404" t="s">
        <v>35</v>
      </c>
      <c r="F7404">
        <v>47016102</v>
      </c>
      <c r="G7404">
        <v>47016117</v>
      </c>
      <c r="H7404">
        <v>47016291</v>
      </c>
      <c r="I7404">
        <v>47016298</v>
      </c>
    </row>
    <row r="7405" spans="1:9" x14ac:dyDescent="0.2">
      <c r="A7405" s="1" t="str">
        <f>"GRAP"</f>
        <v>GRAP</v>
      </c>
      <c r="B7405" t="s">
        <v>574</v>
      </c>
      <c r="C7405" t="s">
        <v>28</v>
      </c>
      <c r="D7405" t="s">
        <v>11</v>
      </c>
      <c r="E7405" t="s">
        <v>20</v>
      </c>
      <c r="F7405">
        <v>18950949</v>
      </c>
      <c r="G7405">
        <v>18950949</v>
      </c>
      <c r="H7405">
        <v>18950949</v>
      </c>
      <c r="I7405">
        <v>18950949</v>
      </c>
    </row>
    <row r="7406" spans="1:9" x14ac:dyDescent="0.2">
      <c r="A7406" s="1" t="str">
        <f>"GRAP2"</f>
        <v>GRAP2</v>
      </c>
      <c r="B7406" t="s">
        <v>14</v>
      </c>
      <c r="C7406" t="s">
        <v>21</v>
      </c>
      <c r="D7406" t="s">
        <v>17</v>
      </c>
      <c r="E7406" t="s">
        <v>12</v>
      </c>
      <c r="F7406">
        <v>40297150</v>
      </c>
      <c r="G7406">
        <v>40297195</v>
      </c>
      <c r="H7406">
        <v>40297079</v>
      </c>
      <c r="I7406">
        <v>40297104</v>
      </c>
    </row>
    <row r="7407" spans="1:9" x14ac:dyDescent="0.2">
      <c r="A7407" s="1" t="str">
        <f>"GRAPL"</f>
        <v>GRAPL</v>
      </c>
      <c r="B7407" t="s">
        <v>14</v>
      </c>
      <c r="C7407" t="s">
        <v>28</v>
      </c>
      <c r="D7407" t="s">
        <v>17</v>
      </c>
      <c r="E7407" t="s">
        <v>12</v>
      </c>
      <c r="F7407">
        <v>19030877</v>
      </c>
      <c r="G7407">
        <v>19030907</v>
      </c>
      <c r="H7407">
        <v>19030866</v>
      </c>
      <c r="I7407">
        <v>19030874</v>
      </c>
    </row>
    <row r="7408" spans="1:9" x14ac:dyDescent="0.2">
      <c r="A7408" s="1" t="str">
        <f>"GRASP"</f>
        <v>GRASP</v>
      </c>
      <c r="B7408" t="s">
        <v>14</v>
      </c>
      <c r="C7408" t="s">
        <v>16</v>
      </c>
      <c r="D7408" t="s">
        <v>17</v>
      </c>
      <c r="E7408" t="s">
        <v>12</v>
      </c>
      <c r="F7408">
        <v>52400719</v>
      </c>
      <c r="G7408">
        <v>52400736</v>
      </c>
      <c r="H7408">
        <v>52400719</v>
      </c>
      <c r="I7408">
        <v>52400736</v>
      </c>
    </row>
    <row r="7409" spans="1:9" x14ac:dyDescent="0.2">
      <c r="A7409" s="1" t="str">
        <f>"GRB10"</f>
        <v>GRB10</v>
      </c>
      <c r="B7409" t="s">
        <v>9</v>
      </c>
      <c r="C7409" t="s">
        <v>33</v>
      </c>
      <c r="D7409" t="s">
        <v>11</v>
      </c>
      <c r="E7409" t="s">
        <v>12</v>
      </c>
      <c r="F7409">
        <v>50861133</v>
      </c>
      <c r="G7409">
        <v>50861160</v>
      </c>
      <c r="H7409">
        <v>50861133</v>
      </c>
      <c r="I7409">
        <v>50861160</v>
      </c>
    </row>
    <row r="7410" spans="1:9" x14ac:dyDescent="0.2">
      <c r="A7410" s="1" t="str">
        <f>"GRB10"</f>
        <v>GRB10</v>
      </c>
      <c r="B7410" t="s">
        <v>13</v>
      </c>
      <c r="C7410" t="s">
        <v>33</v>
      </c>
      <c r="D7410" t="s">
        <v>11</v>
      </c>
      <c r="E7410" t="s">
        <v>12</v>
      </c>
      <c r="F7410">
        <v>50850549</v>
      </c>
      <c r="G7410">
        <v>50850614</v>
      </c>
      <c r="H7410">
        <v>50850549</v>
      </c>
      <c r="I7410">
        <v>50850614</v>
      </c>
    </row>
    <row r="7411" spans="1:9" x14ac:dyDescent="0.2">
      <c r="A7411" s="1" t="str">
        <f>"GRB14"</f>
        <v>GRB14</v>
      </c>
      <c r="B7411" t="s">
        <v>14</v>
      </c>
      <c r="C7411" t="s">
        <v>26</v>
      </c>
      <c r="D7411" t="s">
        <v>11</v>
      </c>
      <c r="E7411" t="s">
        <v>12</v>
      </c>
      <c r="F7411">
        <v>165477971</v>
      </c>
      <c r="G7411">
        <v>165478015</v>
      </c>
      <c r="H7411">
        <v>165477971</v>
      </c>
      <c r="I7411">
        <v>165478015</v>
      </c>
    </row>
    <row r="7412" spans="1:9" x14ac:dyDescent="0.2">
      <c r="A7412" s="1" t="str">
        <f>"GRB2"</f>
        <v>GRB2</v>
      </c>
      <c r="B7412" t="s">
        <v>9</v>
      </c>
      <c r="C7412" t="s">
        <v>28</v>
      </c>
      <c r="D7412" t="s">
        <v>11</v>
      </c>
      <c r="E7412" t="s">
        <v>12</v>
      </c>
      <c r="F7412">
        <v>73401728</v>
      </c>
      <c r="G7412">
        <v>73401801</v>
      </c>
      <c r="H7412">
        <v>73401728</v>
      </c>
      <c r="I7412">
        <v>73401801</v>
      </c>
    </row>
    <row r="7413" spans="1:9" x14ac:dyDescent="0.2">
      <c r="A7413" s="1" t="str">
        <f>"GRB2"</f>
        <v>GRB2</v>
      </c>
      <c r="B7413" t="s">
        <v>13</v>
      </c>
      <c r="C7413" t="s">
        <v>28</v>
      </c>
      <c r="D7413" t="s">
        <v>11</v>
      </c>
      <c r="E7413" t="s">
        <v>12</v>
      </c>
      <c r="F7413">
        <v>73389854</v>
      </c>
      <c r="G7413">
        <v>73389993</v>
      </c>
      <c r="H7413">
        <v>73389854</v>
      </c>
      <c r="I7413">
        <v>73389993</v>
      </c>
    </row>
    <row r="7414" spans="1:9" x14ac:dyDescent="0.2">
      <c r="A7414" s="1" t="str">
        <f>"GRB7"</f>
        <v>GRB7</v>
      </c>
      <c r="B7414" t="s">
        <v>14</v>
      </c>
      <c r="C7414" t="s">
        <v>28</v>
      </c>
      <c r="D7414" t="s">
        <v>17</v>
      </c>
      <c r="E7414" t="s">
        <v>12</v>
      </c>
      <c r="F7414">
        <v>37894570</v>
      </c>
      <c r="G7414">
        <v>37894614</v>
      </c>
      <c r="H7414">
        <v>37894206</v>
      </c>
      <c r="I7414">
        <v>37894222</v>
      </c>
    </row>
    <row r="7415" spans="1:9" x14ac:dyDescent="0.2">
      <c r="A7415" s="1" t="str">
        <f>"GREB1"</f>
        <v>GREB1</v>
      </c>
      <c r="B7415" t="s">
        <v>14</v>
      </c>
      <c r="C7415" t="s">
        <v>26</v>
      </c>
      <c r="D7415" t="s">
        <v>17</v>
      </c>
      <c r="E7415" t="s">
        <v>12</v>
      </c>
      <c r="F7415">
        <v>11679938</v>
      </c>
      <c r="G7415">
        <v>11679951</v>
      </c>
      <c r="H7415">
        <v>11679938</v>
      </c>
      <c r="I7415">
        <v>11679951</v>
      </c>
    </row>
    <row r="7416" spans="1:9" x14ac:dyDescent="0.2">
      <c r="A7416" s="1" t="str">
        <f>"GREB1L"</f>
        <v>GREB1L</v>
      </c>
      <c r="B7416" t="s">
        <v>14</v>
      </c>
      <c r="C7416" t="s">
        <v>43</v>
      </c>
      <c r="D7416" t="s">
        <v>17</v>
      </c>
      <c r="E7416" t="s">
        <v>12</v>
      </c>
      <c r="F7416">
        <v>18822185</v>
      </c>
      <c r="G7416">
        <v>18822213</v>
      </c>
      <c r="H7416">
        <v>18822216</v>
      </c>
      <c r="I7416">
        <v>18822246</v>
      </c>
    </row>
    <row r="7417" spans="1:9" x14ac:dyDescent="0.2">
      <c r="A7417" s="1" t="str">
        <f>"GREM1"</f>
        <v>GREM1</v>
      </c>
      <c r="B7417" t="s">
        <v>14</v>
      </c>
      <c r="C7417" t="s">
        <v>25</v>
      </c>
      <c r="D7417" t="s">
        <v>17</v>
      </c>
      <c r="E7417" t="s">
        <v>12</v>
      </c>
      <c r="F7417">
        <v>33010194</v>
      </c>
      <c r="G7417">
        <v>33010211</v>
      </c>
      <c r="H7417">
        <v>33010194</v>
      </c>
      <c r="I7417">
        <v>33010211</v>
      </c>
    </row>
    <row r="7418" spans="1:9" x14ac:dyDescent="0.2">
      <c r="A7418" s="1" t="str">
        <f>"GREM2"</f>
        <v>GREM2</v>
      </c>
      <c r="B7418" t="s">
        <v>14</v>
      </c>
      <c r="C7418" t="s">
        <v>19</v>
      </c>
      <c r="D7418" t="s">
        <v>11</v>
      </c>
      <c r="E7418" t="s">
        <v>12</v>
      </c>
      <c r="F7418">
        <v>240775447</v>
      </c>
      <c r="G7418">
        <v>240775462</v>
      </c>
      <c r="H7418">
        <v>240775419</v>
      </c>
      <c r="I7418">
        <v>240775435</v>
      </c>
    </row>
    <row r="7419" spans="1:9" x14ac:dyDescent="0.2">
      <c r="A7419" s="1" t="str">
        <f>"GRHL1"</f>
        <v>GRHL1</v>
      </c>
      <c r="B7419" t="s">
        <v>14</v>
      </c>
      <c r="C7419" t="s">
        <v>26</v>
      </c>
      <c r="D7419" t="s">
        <v>17</v>
      </c>
      <c r="E7419" t="s">
        <v>12</v>
      </c>
      <c r="F7419">
        <v>10091815</v>
      </c>
      <c r="G7419">
        <v>10091864</v>
      </c>
      <c r="H7419">
        <v>10091783</v>
      </c>
      <c r="I7419">
        <v>10091811</v>
      </c>
    </row>
    <row r="7420" spans="1:9" x14ac:dyDescent="0.2">
      <c r="A7420" s="1" t="str">
        <f>"GRHL2"</f>
        <v>GRHL2</v>
      </c>
      <c r="B7420" t="s">
        <v>14</v>
      </c>
      <c r="C7420" t="s">
        <v>30</v>
      </c>
      <c r="D7420" t="s">
        <v>17</v>
      </c>
      <c r="E7420" t="s">
        <v>12</v>
      </c>
      <c r="F7420">
        <v>102504651</v>
      </c>
      <c r="G7420">
        <v>102504683</v>
      </c>
      <c r="H7420">
        <v>102504979</v>
      </c>
      <c r="I7420">
        <v>102505010</v>
      </c>
    </row>
    <row r="7421" spans="1:9" x14ac:dyDescent="0.2">
      <c r="A7421" s="1" t="str">
        <f>"GRHL3"</f>
        <v>GRHL3</v>
      </c>
      <c r="B7421" t="s">
        <v>14</v>
      </c>
      <c r="C7421" t="s">
        <v>19</v>
      </c>
      <c r="D7421" t="s">
        <v>17</v>
      </c>
      <c r="E7421" t="s">
        <v>12</v>
      </c>
      <c r="F7421">
        <v>24645832</v>
      </c>
      <c r="G7421">
        <v>24645853</v>
      </c>
      <c r="H7421">
        <v>24645921</v>
      </c>
      <c r="I7421">
        <v>24645973</v>
      </c>
    </row>
    <row r="7422" spans="1:9" x14ac:dyDescent="0.2">
      <c r="A7422" s="1" t="str">
        <f>"GRHPR"</f>
        <v>GRHPR</v>
      </c>
      <c r="B7422" t="s">
        <v>9</v>
      </c>
      <c r="C7422" t="s">
        <v>24</v>
      </c>
      <c r="D7422" t="s">
        <v>17</v>
      </c>
      <c r="E7422" t="s">
        <v>12</v>
      </c>
      <c r="F7422">
        <v>37422670</v>
      </c>
      <c r="G7422">
        <v>37422728</v>
      </c>
      <c r="H7422">
        <v>37422670</v>
      </c>
      <c r="I7422">
        <v>37422728</v>
      </c>
    </row>
    <row r="7423" spans="1:9" x14ac:dyDescent="0.2">
      <c r="A7423" s="1" t="str">
        <f>"GRHPR"</f>
        <v>GRHPR</v>
      </c>
      <c r="B7423" t="s">
        <v>13</v>
      </c>
      <c r="C7423" t="s">
        <v>24</v>
      </c>
      <c r="D7423" t="s">
        <v>17</v>
      </c>
      <c r="E7423" t="s">
        <v>12</v>
      </c>
      <c r="F7423">
        <v>37429767</v>
      </c>
      <c r="G7423">
        <v>37429782</v>
      </c>
      <c r="H7423">
        <v>37429767</v>
      </c>
      <c r="I7423">
        <v>37429782</v>
      </c>
    </row>
    <row r="7424" spans="1:9" x14ac:dyDescent="0.2">
      <c r="A7424" s="1" t="str">
        <f>"GRIA1"</f>
        <v>GRIA1</v>
      </c>
      <c r="B7424" t="s">
        <v>14</v>
      </c>
      <c r="C7424" t="s">
        <v>46</v>
      </c>
      <c r="D7424" t="s">
        <v>17</v>
      </c>
      <c r="E7424" t="s">
        <v>12</v>
      </c>
      <c r="F7424">
        <v>152870215</v>
      </c>
      <c r="G7424">
        <v>152870251</v>
      </c>
      <c r="H7424">
        <v>152870169</v>
      </c>
      <c r="I7424">
        <v>152870188</v>
      </c>
    </row>
    <row r="7425" spans="1:9" x14ac:dyDescent="0.2">
      <c r="A7425" s="1" t="str">
        <f>"GRIA2"</f>
        <v>GRIA2</v>
      </c>
      <c r="B7425" t="s">
        <v>14</v>
      </c>
      <c r="C7425" t="s">
        <v>23</v>
      </c>
      <c r="D7425" t="s">
        <v>17</v>
      </c>
      <c r="E7425" t="s">
        <v>12</v>
      </c>
      <c r="F7425">
        <v>158141899</v>
      </c>
      <c r="G7425">
        <v>158141980</v>
      </c>
      <c r="H7425">
        <v>158141844</v>
      </c>
      <c r="I7425">
        <v>158141895</v>
      </c>
    </row>
    <row r="7426" spans="1:9" x14ac:dyDescent="0.2">
      <c r="A7426" s="1" t="str">
        <f>"GRIA3"</f>
        <v>GRIA3</v>
      </c>
      <c r="B7426" t="s">
        <v>14</v>
      </c>
      <c r="C7426" t="s">
        <v>37</v>
      </c>
      <c r="D7426" t="s">
        <v>17</v>
      </c>
      <c r="E7426" t="s">
        <v>12</v>
      </c>
      <c r="F7426">
        <v>122318113</v>
      </c>
      <c r="G7426">
        <v>122318178</v>
      </c>
      <c r="H7426">
        <v>122318184</v>
      </c>
      <c r="I7426">
        <v>122318214</v>
      </c>
    </row>
    <row r="7427" spans="1:9" x14ac:dyDescent="0.2">
      <c r="A7427" s="1" t="str">
        <f>"GRIA4"</f>
        <v>GRIA4</v>
      </c>
      <c r="B7427" t="s">
        <v>14</v>
      </c>
      <c r="C7427" t="s">
        <v>27</v>
      </c>
      <c r="D7427" t="s">
        <v>17</v>
      </c>
      <c r="E7427" t="s">
        <v>12</v>
      </c>
      <c r="F7427">
        <v>105481405</v>
      </c>
      <c r="G7427">
        <v>105481472</v>
      </c>
      <c r="H7427">
        <v>105481612</v>
      </c>
      <c r="I7427">
        <v>105481624</v>
      </c>
    </row>
    <row r="7428" spans="1:9" x14ac:dyDescent="0.2">
      <c r="A7428" s="1" t="str">
        <f>"GRID1"</f>
        <v>GRID1</v>
      </c>
      <c r="B7428" t="s">
        <v>14</v>
      </c>
      <c r="C7428" t="s">
        <v>15</v>
      </c>
      <c r="D7428" t="s">
        <v>11</v>
      </c>
      <c r="E7428" t="s">
        <v>12</v>
      </c>
      <c r="F7428">
        <v>88126541</v>
      </c>
      <c r="G7428">
        <v>88126566</v>
      </c>
      <c r="H7428">
        <v>88126505</v>
      </c>
      <c r="I7428">
        <v>88126536</v>
      </c>
    </row>
    <row r="7429" spans="1:9" x14ac:dyDescent="0.2">
      <c r="A7429" s="1" t="str">
        <f>"GRID2"</f>
        <v>GRID2</v>
      </c>
      <c r="B7429" t="s">
        <v>14</v>
      </c>
      <c r="C7429" t="s">
        <v>23</v>
      </c>
      <c r="D7429" t="s">
        <v>17</v>
      </c>
      <c r="E7429" t="s">
        <v>12</v>
      </c>
      <c r="F7429">
        <v>93225110</v>
      </c>
      <c r="G7429">
        <v>93225155</v>
      </c>
      <c r="H7429">
        <v>93225110</v>
      </c>
      <c r="I7429">
        <v>93225155</v>
      </c>
    </row>
    <row r="7430" spans="1:9" x14ac:dyDescent="0.2">
      <c r="A7430" s="1" t="str">
        <f>"GRID2IP"</f>
        <v>GRID2IP</v>
      </c>
      <c r="B7430" t="s">
        <v>9</v>
      </c>
      <c r="C7430" t="s">
        <v>33</v>
      </c>
      <c r="D7430" t="s">
        <v>11</v>
      </c>
      <c r="E7430" t="s">
        <v>12</v>
      </c>
      <c r="F7430">
        <v>6570821</v>
      </c>
      <c r="G7430">
        <v>6570859</v>
      </c>
      <c r="H7430">
        <v>6570821</v>
      </c>
      <c r="I7430">
        <v>6570859</v>
      </c>
    </row>
    <row r="7431" spans="1:9" x14ac:dyDescent="0.2">
      <c r="A7431" s="1" t="str">
        <f>"GRID2IP"</f>
        <v>GRID2IP</v>
      </c>
      <c r="B7431" t="s">
        <v>13</v>
      </c>
      <c r="C7431" t="s">
        <v>33</v>
      </c>
      <c r="D7431" t="s">
        <v>11</v>
      </c>
      <c r="E7431" t="s">
        <v>12</v>
      </c>
      <c r="F7431">
        <v>6576500</v>
      </c>
      <c r="G7431">
        <v>6576517</v>
      </c>
      <c r="H7431">
        <v>6576500</v>
      </c>
      <c r="I7431">
        <v>6576517</v>
      </c>
    </row>
    <row r="7432" spans="1:9" x14ac:dyDescent="0.2">
      <c r="A7432" s="1" t="str">
        <f>"GRIK1"</f>
        <v>GRIK1</v>
      </c>
      <c r="B7432" t="s">
        <v>14</v>
      </c>
      <c r="C7432" t="s">
        <v>42</v>
      </c>
      <c r="D7432" t="s">
        <v>11</v>
      </c>
      <c r="E7432" t="s">
        <v>12</v>
      </c>
      <c r="F7432">
        <v>31312303</v>
      </c>
      <c r="G7432">
        <v>31312325</v>
      </c>
      <c r="H7432">
        <v>31312328</v>
      </c>
      <c r="I7432">
        <v>31312347</v>
      </c>
    </row>
    <row r="7433" spans="1:9" x14ac:dyDescent="0.2">
      <c r="A7433" s="1" t="str">
        <f>"GRIK2"</f>
        <v>GRIK2</v>
      </c>
      <c r="B7433" t="s">
        <v>14</v>
      </c>
      <c r="C7433" t="s">
        <v>32</v>
      </c>
      <c r="D7433" t="s">
        <v>17</v>
      </c>
      <c r="E7433" t="s">
        <v>12</v>
      </c>
      <c r="F7433">
        <v>101846679</v>
      </c>
      <c r="G7433">
        <v>101846702</v>
      </c>
      <c r="H7433">
        <v>101846877</v>
      </c>
      <c r="I7433">
        <v>101846931</v>
      </c>
    </row>
    <row r="7434" spans="1:9" x14ac:dyDescent="0.2">
      <c r="A7434" s="1" t="str">
        <f>"GRIK3"</f>
        <v>GRIK3</v>
      </c>
      <c r="B7434" t="s">
        <v>14</v>
      </c>
      <c r="C7434" t="s">
        <v>19</v>
      </c>
      <c r="D7434" t="s">
        <v>11</v>
      </c>
      <c r="E7434" t="s">
        <v>12</v>
      </c>
      <c r="F7434">
        <v>37500087</v>
      </c>
      <c r="G7434">
        <v>37500134</v>
      </c>
      <c r="H7434">
        <v>37500020</v>
      </c>
      <c r="I7434">
        <v>37500073</v>
      </c>
    </row>
    <row r="7435" spans="1:9" x14ac:dyDescent="0.2">
      <c r="A7435" s="1" t="str">
        <f>"GRIK4"</f>
        <v>GRIK4</v>
      </c>
      <c r="B7435" t="s">
        <v>14</v>
      </c>
      <c r="C7435" t="s">
        <v>27</v>
      </c>
      <c r="D7435" t="s">
        <v>17</v>
      </c>
      <c r="E7435" t="s">
        <v>12</v>
      </c>
      <c r="F7435">
        <v>120382417</v>
      </c>
      <c r="G7435">
        <v>120382473</v>
      </c>
      <c r="H7435">
        <v>120382417</v>
      </c>
      <c r="I7435">
        <v>120382473</v>
      </c>
    </row>
    <row r="7436" spans="1:9" x14ac:dyDescent="0.2">
      <c r="A7436" s="1" t="str">
        <f>"GRIK5"</f>
        <v>GRIK5</v>
      </c>
      <c r="B7436" t="s">
        <v>14</v>
      </c>
      <c r="C7436" t="s">
        <v>10</v>
      </c>
      <c r="D7436" t="s">
        <v>11</v>
      </c>
      <c r="E7436" t="s">
        <v>12</v>
      </c>
      <c r="F7436">
        <v>42546997</v>
      </c>
      <c r="G7436">
        <v>42547027</v>
      </c>
      <c r="H7436">
        <v>42547138</v>
      </c>
      <c r="I7436">
        <v>42547157</v>
      </c>
    </row>
    <row r="7437" spans="1:9" x14ac:dyDescent="0.2">
      <c r="A7437" s="1" t="str">
        <f>"GRIN1"</f>
        <v>GRIN1</v>
      </c>
      <c r="B7437" t="s">
        <v>14</v>
      </c>
      <c r="C7437" t="s">
        <v>24</v>
      </c>
      <c r="D7437" t="s">
        <v>17</v>
      </c>
      <c r="E7437" t="s">
        <v>12</v>
      </c>
      <c r="F7437">
        <v>140033591</v>
      </c>
      <c r="G7437">
        <v>140033614</v>
      </c>
      <c r="H7437">
        <v>140033563</v>
      </c>
      <c r="I7437">
        <v>140033579</v>
      </c>
    </row>
    <row r="7438" spans="1:9" x14ac:dyDescent="0.2">
      <c r="A7438" s="1" t="str">
        <f>"GRIN2A"</f>
        <v>GRIN2A</v>
      </c>
      <c r="B7438" t="s">
        <v>14</v>
      </c>
      <c r="C7438" t="s">
        <v>31</v>
      </c>
      <c r="D7438" t="s">
        <v>11</v>
      </c>
      <c r="E7438" t="s">
        <v>12</v>
      </c>
      <c r="F7438">
        <v>10276731</v>
      </c>
      <c r="G7438">
        <v>10276772</v>
      </c>
      <c r="H7438">
        <v>10276234</v>
      </c>
      <c r="I7438">
        <v>10276249</v>
      </c>
    </row>
    <row r="7439" spans="1:9" x14ac:dyDescent="0.2">
      <c r="A7439" s="1" t="str">
        <f>"GRIN2B"</f>
        <v>GRIN2B</v>
      </c>
      <c r="B7439" t="s">
        <v>14</v>
      </c>
      <c r="C7439" t="s">
        <v>16</v>
      </c>
      <c r="D7439" t="s">
        <v>11</v>
      </c>
      <c r="E7439" t="s">
        <v>12</v>
      </c>
      <c r="F7439">
        <v>14133348</v>
      </c>
      <c r="G7439">
        <v>14133359</v>
      </c>
      <c r="H7439">
        <v>14133348</v>
      </c>
      <c r="I7439">
        <v>14133359</v>
      </c>
    </row>
    <row r="7440" spans="1:9" x14ac:dyDescent="0.2">
      <c r="A7440" s="1" t="str">
        <f>"GRIN2C"</f>
        <v>GRIN2C</v>
      </c>
      <c r="B7440" t="s">
        <v>14</v>
      </c>
      <c r="C7440" t="s">
        <v>28</v>
      </c>
      <c r="D7440" t="s">
        <v>11</v>
      </c>
      <c r="E7440" t="s">
        <v>12</v>
      </c>
      <c r="F7440">
        <v>72855989</v>
      </c>
      <c r="G7440">
        <v>72856015</v>
      </c>
      <c r="H7440">
        <v>72856664</v>
      </c>
      <c r="I7440">
        <v>72856682</v>
      </c>
    </row>
    <row r="7441" spans="1:9" x14ac:dyDescent="0.2">
      <c r="A7441" s="1" t="str">
        <f>"GRIN2D"</f>
        <v>GRIN2D</v>
      </c>
      <c r="B7441" t="s">
        <v>14</v>
      </c>
      <c r="C7441" t="s">
        <v>10</v>
      </c>
      <c r="D7441" t="s">
        <v>17</v>
      </c>
      <c r="E7441" t="s">
        <v>12</v>
      </c>
      <c r="F7441">
        <v>48917310</v>
      </c>
      <c r="G7441">
        <v>48917339</v>
      </c>
      <c r="H7441">
        <v>48917310</v>
      </c>
      <c r="I7441">
        <v>48917339</v>
      </c>
    </row>
    <row r="7442" spans="1:9" x14ac:dyDescent="0.2">
      <c r="A7442" s="1" t="str">
        <f>"GRIN3A"</f>
        <v>GRIN3A</v>
      </c>
      <c r="B7442" t="s">
        <v>14</v>
      </c>
      <c r="C7442" t="s">
        <v>24</v>
      </c>
      <c r="D7442" t="s">
        <v>11</v>
      </c>
      <c r="E7442" t="s">
        <v>12</v>
      </c>
      <c r="F7442">
        <v>104500922</v>
      </c>
      <c r="G7442">
        <v>104500940</v>
      </c>
      <c r="H7442">
        <v>104500443</v>
      </c>
      <c r="I7442">
        <v>104500451</v>
      </c>
    </row>
    <row r="7443" spans="1:9" x14ac:dyDescent="0.2">
      <c r="A7443" s="1" t="str">
        <f>"GRIN3B"</f>
        <v>GRIN3B</v>
      </c>
      <c r="B7443" t="s">
        <v>14</v>
      </c>
      <c r="C7443" t="s">
        <v>10</v>
      </c>
      <c r="D7443" t="s">
        <v>17</v>
      </c>
      <c r="E7443" t="s">
        <v>12</v>
      </c>
      <c r="F7443">
        <v>1000301</v>
      </c>
      <c r="G7443">
        <v>1000352</v>
      </c>
      <c r="H7443">
        <v>1000376</v>
      </c>
      <c r="I7443">
        <v>1000381</v>
      </c>
    </row>
    <row r="7444" spans="1:9" x14ac:dyDescent="0.2">
      <c r="A7444" s="1" t="str">
        <f>"GRINA"</f>
        <v>GRINA</v>
      </c>
      <c r="B7444" t="s">
        <v>14</v>
      </c>
      <c r="C7444" t="s">
        <v>30</v>
      </c>
      <c r="D7444" t="s">
        <v>17</v>
      </c>
      <c r="E7444" t="s">
        <v>12</v>
      </c>
      <c r="F7444">
        <v>145064233</v>
      </c>
      <c r="G7444">
        <v>145064278</v>
      </c>
      <c r="H7444">
        <v>145064215</v>
      </c>
      <c r="I7444">
        <v>145064232</v>
      </c>
    </row>
    <row r="7445" spans="1:9" x14ac:dyDescent="0.2">
      <c r="A7445" s="1" t="str">
        <f>"GRIP1"</f>
        <v>GRIP1</v>
      </c>
      <c r="B7445" t="s">
        <v>575</v>
      </c>
      <c r="C7445" t="s">
        <v>16</v>
      </c>
      <c r="D7445" t="s">
        <v>11</v>
      </c>
      <c r="E7445" t="s">
        <v>35</v>
      </c>
      <c r="F7445">
        <v>67072851</v>
      </c>
      <c r="G7445">
        <v>67072883</v>
      </c>
      <c r="H7445">
        <v>67072701</v>
      </c>
      <c r="I7445">
        <v>67072710</v>
      </c>
    </row>
    <row r="7446" spans="1:9" x14ac:dyDescent="0.2">
      <c r="A7446" s="1" t="str">
        <f>"GRIP2"</f>
        <v>GRIP2</v>
      </c>
      <c r="B7446" t="s">
        <v>14</v>
      </c>
      <c r="C7446" t="s">
        <v>22</v>
      </c>
      <c r="D7446" t="s">
        <v>11</v>
      </c>
      <c r="E7446" t="s">
        <v>12</v>
      </c>
      <c r="F7446">
        <v>14581836</v>
      </c>
      <c r="G7446">
        <v>14581855</v>
      </c>
      <c r="H7446">
        <v>14581859</v>
      </c>
      <c r="I7446">
        <v>14581881</v>
      </c>
    </row>
    <row r="7447" spans="1:9" x14ac:dyDescent="0.2">
      <c r="A7447" s="1" t="str">
        <f>"GRIPAP1"</f>
        <v>GRIPAP1</v>
      </c>
      <c r="B7447" t="s">
        <v>14</v>
      </c>
      <c r="C7447" t="s">
        <v>37</v>
      </c>
      <c r="D7447" t="s">
        <v>11</v>
      </c>
      <c r="E7447" t="s">
        <v>12</v>
      </c>
      <c r="F7447">
        <v>48858630</v>
      </c>
      <c r="G7447">
        <v>48858654</v>
      </c>
      <c r="H7447">
        <v>48858667</v>
      </c>
      <c r="I7447">
        <v>48858680</v>
      </c>
    </row>
    <row r="7448" spans="1:9" x14ac:dyDescent="0.2">
      <c r="A7448" s="1" t="str">
        <f>"GRK1"</f>
        <v>GRK1</v>
      </c>
      <c r="B7448" t="s">
        <v>14</v>
      </c>
      <c r="C7448" t="s">
        <v>39</v>
      </c>
      <c r="D7448" t="s">
        <v>17</v>
      </c>
      <c r="E7448" t="s">
        <v>12</v>
      </c>
      <c r="F7448">
        <v>114321528</v>
      </c>
      <c r="G7448">
        <v>114321539</v>
      </c>
      <c r="H7448">
        <v>114321451</v>
      </c>
      <c r="I7448">
        <v>114321462</v>
      </c>
    </row>
    <row r="7449" spans="1:9" x14ac:dyDescent="0.2">
      <c r="A7449" s="1" t="str">
        <f>"GRK4"</f>
        <v>GRK4</v>
      </c>
      <c r="B7449" t="s">
        <v>14</v>
      </c>
      <c r="C7449" t="s">
        <v>23</v>
      </c>
      <c r="D7449" t="s">
        <v>17</v>
      </c>
      <c r="E7449" t="s">
        <v>12</v>
      </c>
      <c r="F7449">
        <v>2965307</v>
      </c>
      <c r="G7449">
        <v>2965355</v>
      </c>
      <c r="H7449">
        <v>2965287</v>
      </c>
      <c r="I7449">
        <v>2965305</v>
      </c>
    </row>
    <row r="7450" spans="1:9" x14ac:dyDescent="0.2">
      <c r="A7450" s="1" t="str">
        <f>"GRK5"</f>
        <v>GRK5</v>
      </c>
      <c r="B7450" t="s">
        <v>14</v>
      </c>
      <c r="C7450" t="s">
        <v>15</v>
      </c>
      <c r="D7450" t="s">
        <v>17</v>
      </c>
      <c r="E7450" t="s">
        <v>12</v>
      </c>
      <c r="F7450">
        <v>120967120</v>
      </c>
      <c r="G7450">
        <v>120967134</v>
      </c>
      <c r="H7450">
        <v>120967193</v>
      </c>
      <c r="I7450">
        <v>120967217</v>
      </c>
    </row>
    <row r="7451" spans="1:9" x14ac:dyDescent="0.2">
      <c r="A7451" s="1" t="str">
        <f>"GRK6"</f>
        <v>GRK6</v>
      </c>
      <c r="B7451" t="s">
        <v>14</v>
      </c>
      <c r="C7451" t="s">
        <v>46</v>
      </c>
      <c r="D7451" t="s">
        <v>17</v>
      </c>
      <c r="E7451" t="s">
        <v>12</v>
      </c>
      <c r="F7451">
        <v>176853669</v>
      </c>
      <c r="G7451">
        <v>176853701</v>
      </c>
      <c r="H7451">
        <v>176853702</v>
      </c>
      <c r="I7451">
        <v>176853742</v>
      </c>
    </row>
    <row r="7452" spans="1:9" x14ac:dyDescent="0.2">
      <c r="A7452" s="1" t="str">
        <f>"GRK7"</f>
        <v>GRK7</v>
      </c>
      <c r="B7452" t="s">
        <v>14</v>
      </c>
      <c r="C7452" t="s">
        <v>22</v>
      </c>
      <c r="D7452" t="s">
        <v>17</v>
      </c>
      <c r="E7452" t="s">
        <v>12</v>
      </c>
      <c r="F7452">
        <v>141496998</v>
      </c>
      <c r="G7452">
        <v>141497047</v>
      </c>
      <c r="H7452">
        <v>141496998</v>
      </c>
      <c r="I7452">
        <v>141497047</v>
      </c>
    </row>
    <row r="7453" spans="1:9" x14ac:dyDescent="0.2">
      <c r="A7453" s="1" t="str">
        <f>"GRM1"</f>
        <v>GRM1</v>
      </c>
      <c r="B7453" t="s">
        <v>14</v>
      </c>
      <c r="C7453" t="s">
        <v>32</v>
      </c>
      <c r="D7453" t="s">
        <v>17</v>
      </c>
      <c r="E7453" t="s">
        <v>12</v>
      </c>
      <c r="F7453">
        <v>146348810</v>
      </c>
      <c r="G7453">
        <v>146348850</v>
      </c>
      <c r="H7453">
        <v>146348798</v>
      </c>
      <c r="I7453">
        <v>146348809</v>
      </c>
    </row>
    <row r="7454" spans="1:9" x14ac:dyDescent="0.2">
      <c r="A7454" s="1" t="str">
        <f>"GRM2"</f>
        <v>GRM2</v>
      </c>
      <c r="B7454" t="s">
        <v>14</v>
      </c>
      <c r="C7454" t="s">
        <v>22</v>
      </c>
      <c r="D7454" t="s">
        <v>17</v>
      </c>
      <c r="E7454" t="s">
        <v>12</v>
      </c>
      <c r="F7454">
        <v>51741072</v>
      </c>
      <c r="G7454">
        <v>51741106</v>
      </c>
      <c r="H7454">
        <v>51741144</v>
      </c>
      <c r="I7454">
        <v>51741160</v>
      </c>
    </row>
    <row r="7455" spans="1:9" x14ac:dyDescent="0.2">
      <c r="A7455" s="1" t="str">
        <f>"GRM3"</f>
        <v>GRM3</v>
      </c>
      <c r="B7455" t="s">
        <v>14</v>
      </c>
      <c r="C7455" t="s">
        <v>33</v>
      </c>
      <c r="D7455" t="s">
        <v>17</v>
      </c>
      <c r="E7455" t="s">
        <v>12</v>
      </c>
      <c r="F7455">
        <v>86273966</v>
      </c>
      <c r="G7455">
        <v>86274090</v>
      </c>
      <c r="H7455">
        <v>86273218</v>
      </c>
      <c r="I7455">
        <v>86273242</v>
      </c>
    </row>
    <row r="7456" spans="1:9" x14ac:dyDescent="0.2">
      <c r="A7456" s="1" t="str">
        <f>"GRM4"</f>
        <v>GRM4</v>
      </c>
      <c r="B7456" t="s">
        <v>9</v>
      </c>
      <c r="C7456" t="s">
        <v>32</v>
      </c>
      <c r="D7456" t="s">
        <v>11</v>
      </c>
      <c r="E7456" t="s">
        <v>12</v>
      </c>
      <c r="F7456">
        <v>34073743</v>
      </c>
      <c r="G7456">
        <v>34073761</v>
      </c>
      <c r="H7456">
        <v>34073743</v>
      </c>
      <c r="I7456">
        <v>34073761</v>
      </c>
    </row>
    <row r="7457" spans="1:9" x14ac:dyDescent="0.2">
      <c r="A7457" s="1" t="str">
        <f>"GRM4"</f>
        <v>GRM4</v>
      </c>
      <c r="B7457" t="s">
        <v>13</v>
      </c>
      <c r="C7457" t="s">
        <v>32</v>
      </c>
      <c r="D7457" t="s">
        <v>11</v>
      </c>
      <c r="E7457" t="s">
        <v>12</v>
      </c>
      <c r="F7457">
        <v>34113856</v>
      </c>
      <c r="G7457">
        <v>34113868</v>
      </c>
      <c r="H7457">
        <v>34113856</v>
      </c>
      <c r="I7457">
        <v>34113868</v>
      </c>
    </row>
    <row r="7458" spans="1:9" x14ac:dyDescent="0.2">
      <c r="A7458" s="1" t="str">
        <f>"GRM5"</f>
        <v>GRM5</v>
      </c>
      <c r="B7458" t="s">
        <v>9</v>
      </c>
      <c r="C7458" t="s">
        <v>27</v>
      </c>
      <c r="D7458" t="s">
        <v>11</v>
      </c>
      <c r="E7458" t="s">
        <v>12</v>
      </c>
      <c r="F7458">
        <v>88796803</v>
      </c>
      <c r="G7458">
        <v>88796827</v>
      </c>
      <c r="H7458">
        <v>88796803</v>
      </c>
      <c r="I7458">
        <v>88796827</v>
      </c>
    </row>
    <row r="7459" spans="1:9" x14ac:dyDescent="0.2">
      <c r="A7459" s="1" t="str">
        <f>"GRM5"</f>
        <v>GRM5</v>
      </c>
      <c r="B7459" t="s">
        <v>13</v>
      </c>
      <c r="C7459" t="s">
        <v>27</v>
      </c>
      <c r="D7459" t="s">
        <v>11</v>
      </c>
      <c r="E7459" t="s">
        <v>12</v>
      </c>
      <c r="F7459">
        <v>88799138</v>
      </c>
      <c r="G7459">
        <v>88799158</v>
      </c>
      <c r="H7459">
        <v>88799138</v>
      </c>
      <c r="I7459">
        <v>88799158</v>
      </c>
    </row>
    <row r="7460" spans="1:9" x14ac:dyDescent="0.2">
      <c r="A7460" s="1" t="str">
        <f>"GRM6"</f>
        <v>GRM6</v>
      </c>
      <c r="B7460" t="s">
        <v>14</v>
      </c>
      <c r="C7460" t="s">
        <v>46</v>
      </c>
      <c r="D7460" t="s">
        <v>11</v>
      </c>
      <c r="E7460" t="s">
        <v>12</v>
      </c>
      <c r="F7460">
        <v>178422299</v>
      </c>
      <c r="G7460">
        <v>178422326</v>
      </c>
      <c r="H7460">
        <v>178422337</v>
      </c>
      <c r="I7460">
        <v>178422351</v>
      </c>
    </row>
    <row r="7461" spans="1:9" x14ac:dyDescent="0.2">
      <c r="A7461" s="1" t="str">
        <f>"GRM7"</f>
        <v>GRM7</v>
      </c>
      <c r="B7461" t="s">
        <v>9</v>
      </c>
      <c r="C7461" t="s">
        <v>22</v>
      </c>
      <c r="D7461" t="s">
        <v>17</v>
      </c>
      <c r="E7461" t="s">
        <v>12</v>
      </c>
      <c r="F7461">
        <v>6902794</v>
      </c>
      <c r="G7461">
        <v>6902808</v>
      </c>
      <c r="H7461">
        <v>6902794</v>
      </c>
      <c r="I7461">
        <v>6902808</v>
      </c>
    </row>
    <row r="7462" spans="1:9" x14ac:dyDescent="0.2">
      <c r="A7462" s="1" t="str">
        <f>"GRM7"</f>
        <v>GRM7</v>
      </c>
      <c r="B7462" t="s">
        <v>13</v>
      </c>
      <c r="C7462" t="s">
        <v>22</v>
      </c>
      <c r="D7462" t="s">
        <v>17</v>
      </c>
      <c r="E7462" t="s">
        <v>12</v>
      </c>
      <c r="F7462">
        <v>6904454</v>
      </c>
      <c r="G7462">
        <v>6904479</v>
      </c>
      <c r="H7462">
        <v>6904454</v>
      </c>
      <c r="I7462">
        <v>6904479</v>
      </c>
    </row>
    <row r="7463" spans="1:9" x14ac:dyDescent="0.2">
      <c r="A7463" s="1" t="str">
        <f>"GRM8"</f>
        <v>GRM8</v>
      </c>
      <c r="B7463" t="s">
        <v>14</v>
      </c>
      <c r="C7463" t="s">
        <v>33</v>
      </c>
      <c r="D7463" t="s">
        <v>11</v>
      </c>
      <c r="E7463" t="s">
        <v>12</v>
      </c>
      <c r="F7463">
        <v>126892974</v>
      </c>
      <c r="G7463">
        <v>126893011</v>
      </c>
      <c r="H7463">
        <v>126893310</v>
      </c>
      <c r="I7463">
        <v>126893334</v>
      </c>
    </row>
    <row r="7464" spans="1:9" x14ac:dyDescent="0.2">
      <c r="A7464" s="1" t="str">
        <f>"GRN"</f>
        <v>GRN</v>
      </c>
      <c r="B7464" t="s">
        <v>14</v>
      </c>
      <c r="C7464" t="s">
        <v>28</v>
      </c>
      <c r="D7464" t="s">
        <v>17</v>
      </c>
      <c r="E7464" t="s">
        <v>12</v>
      </c>
      <c r="F7464">
        <v>42422662</v>
      </c>
      <c r="G7464">
        <v>42422678</v>
      </c>
      <c r="H7464">
        <v>42422637</v>
      </c>
      <c r="I7464">
        <v>42422655</v>
      </c>
    </row>
    <row r="7465" spans="1:9" x14ac:dyDescent="0.2">
      <c r="A7465" s="1" t="str">
        <f>"GRP"</f>
        <v>GRP</v>
      </c>
      <c r="B7465" t="s">
        <v>14</v>
      </c>
      <c r="C7465" t="s">
        <v>43</v>
      </c>
      <c r="D7465" t="s">
        <v>17</v>
      </c>
      <c r="E7465" t="s">
        <v>12</v>
      </c>
      <c r="F7465">
        <v>56887381</v>
      </c>
      <c r="G7465">
        <v>56887399</v>
      </c>
      <c r="H7465">
        <v>56887502</v>
      </c>
      <c r="I7465">
        <v>56887540</v>
      </c>
    </row>
    <row r="7466" spans="1:9" x14ac:dyDescent="0.2">
      <c r="A7466" s="1" t="str">
        <f>"GRPEL1"</f>
        <v>GRPEL1</v>
      </c>
      <c r="B7466" t="s">
        <v>14</v>
      </c>
      <c r="C7466" t="s">
        <v>23</v>
      </c>
      <c r="D7466" t="s">
        <v>11</v>
      </c>
      <c r="E7466" t="s">
        <v>12</v>
      </c>
      <c r="F7466">
        <v>7069760</v>
      </c>
      <c r="G7466">
        <v>7069815</v>
      </c>
      <c r="H7466">
        <v>7069760</v>
      </c>
      <c r="I7466">
        <v>7069815</v>
      </c>
    </row>
    <row r="7467" spans="1:9" x14ac:dyDescent="0.2">
      <c r="A7467" s="1" t="str">
        <f>"GRPEL2"</f>
        <v>GRPEL2</v>
      </c>
      <c r="B7467" t="s">
        <v>14</v>
      </c>
      <c r="C7467" t="s">
        <v>46</v>
      </c>
      <c r="D7467" t="s">
        <v>17</v>
      </c>
      <c r="E7467" t="s">
        <v>12</v>
      </c>
      <c r="F7467">
        <v>148725042</v>
      </c>
      <c r="G7467">
        <v>148725102</v>
      </c>
      <c r="H7467">
        <v>148724996</v>
      </c>
      <c r="I7467">
        <v>148725003</v>
      </c>
    </row>
    <row r="7468" spans="1:9" x14ac:dyDescent="0.2">
      <c r="A7468" s="1" t="str">
        <f>"GRPR"</f>
        <v>GRPR</v>
      </c>
      <c r="B7468" t="s">
        <v>14</v>
      </c>
      <c r="C7468" t="s">
        <v>37</v>
      </c>
      <c r="D7468" t="s">
        <v>17</v>
      </c>
      <c r="E7468" t="s">
        <v>12</v>
      </c>
      <c r="F7468">
        <v>16141667</v>
      </c>
      <c r="G7468">
        <v>16141707</v>
      </c>
      <c r="H7468">
        <v>16141711</v>
      </c>
      <c r="I7468">
        <v>16141725</v>
      </c>
    </row>
    <row r="7469" spans="1:9" x14ac:dyDescent="0.2">
      <c r="A7469" s="1" t="str">
        <f>"GRSF1"</f>
        <v>GRSF1</v>
      </c>
      <c r="B7469" t="s">
        <v>14</v>
      </c>
      <c r="C7469" t="s">
        <v>23</v>
      </c>
      <c r="D7469" t="s">
        <v>11</v>
      </c>
      <c r="E7469" t="s">
        <v>12</v>
      </c>
      <c r="F7469">
        <v>71705590</v>
      </c>
      <c r="G7469">
        <v>71705613</v>
      </c>
      <c r="H7469">
        <v>71704957</v>
      </c>
      <c r="I7469">
        <v>71704992</v>
      </c>
    </row>
    <row r="7470" spans="1:9" x14ac:dyDescent="0.2">
      <c r="A7470" s="1" t="str">
        <f>"GRTP1"</f>
        <v>GRTP1</v>
      </c>
      <c r="B7470" t="s">
        <v>14</v>
      </c>
      <c r="C7470" t="s">
        <v>39</v>
      </c>
      <c r="D7470" t="s">
        <v>11</v>
      </c>
      <c r="E7470" t="s">
        <v>12</v>
      </c>
      <c r="F7470">
        <v>114018400</v>
      </c>
      <c r="G7470">
        <v>114018452</v>
      </c>
      <c r="H7470">
        <v>114018456</v>
      </c>
      <c r="I7470">
        <v>114018480</v>
      </c>
    </row>
    <row r="7471" spans="1:9" x14ac:dyDescent="0.2">
      <c r="A7471" s="1" t="str">
        <f>"GRWD1"</f>
        <v>GRWD1</v>
      </c>
      <c r="B7471" t="s">
        <v>14</v>
      </c>
      <c r="C7471" t="s">
        <v>10</v>
      </c>
      <c r="D7471" t="s">
        <v>17</v>
      </c>
      <c r="E7471" t="s">
        <v>12</v>
      </c>
      <c r="F7471">
        <v>48949218</v>
      </c>
      <c r="G7471">
        <v>48949267</v>
      </c>
      <c r="H7471">
        <v>48949048</v>
      </c>
      <c r="I7471">
        <v>48949086</v>
      </c>
    </row>
    <row r="7472" spans="1:9" x14ac:dyDescent="0.2">
      <c r="A7472" s="1" t="str">
        <f>"GRXCR1"</f>
        <v>GRXCR1</v>
      </c>
      <c r="B7472" t="s">
        <v>14</v>
      </c>
      <c r="C7472" t="s">
        <v>23</v>
      </c>
      <c r="D7472" t="s">
        <v>17</v>
      </c>
      <c r="E7472" t="s">
        <v>12</v>
      </c>
      <c r="F7472">
        <v>42895151</v>
      </c>
      <c r="G7472">
        <v>42895159</v>
      </c>
      <c r="H7472">
        <v>42895151</v>
      </c>
      <c r="I7472">
        <v>42895159</v>
      </c>
    </row>
    <row r="7473" spans="1:9" x14ac:dyDescent="0.2">
      <c r="A7473" s="1" t="str">
        <f>"GRXCR2"</f>
        <v>GRXCR2</v>
      </c>
      <c r="B7473" t="s">
        <v>576</v>
      </c>
      <c r="C7473" t="s">
        <v>46</v>
      </c>
      <c r="D7473" t="s">
        <v>11</v>
      </c>
      <c r="E7473" t="s">
        <v>20</v>
      </c>
      <c r="F7473">
        <v>145252530</v>
      </c>
      <c r="G7473">
        <v>145252530</v>
      </c>
      <c r="H7473">
        <v>145252530</v>
      </c>
      <c r="I7473">
        <v>145252530</v>
      </c>
    </row>
    <row r="7474" spans="1:9" x14ac:dyDescent="0.2">
      <c r="A7474" s="1" t="str">
        <f>"GSAP"</f>
        <v>GSAP</v>
      </c>
      <c r="B7474" t="s">
        <v>14</v>
      </c>
      <c r="C7474" t="s">
        <v>33</v>
      </c>
      <c r="D7474" t="s">
        <v>11</v>
      </c>
      <c r="E7474" t="s">
        <v>12</v>
      </c>
      <c r="F7474">
        <v>77045617</v>
      </c>
      <c r="G7474">
        <v>77045737</v>
      </c>
      <c r="H7474">
        <v>77045617</v>
      </c>
      <c r="I7474">
        <v>77045737</v>
      </c>
    </row>
    <row r="7475" spans="1:9" x14ac:dyDescent="0.2">
      <c r="A7475" s="1" t="str">
        <f>"GSC"</f>
        <v>GSC</v>
      </c>
      <c r="B7475" t="s">
        <v>14</v>
      </c>
      <c r="C7475" t="s">
        <v>41</v>
      </c>
      <c r="D7475" t="s">
        <v>11</v>
      </c>
      <c r="E7475" t="s">
        <v>12</v>
      </c>
      <c r="F7475">
        <v>95236440</v>
      </c>
      <c r="G7475">
        <v>95236465</v>
      </c>
      <c r="H7475">
        <v>95236551</v>
      </c>
      <c r="I7475">
        <v>95236576</v>
      </c>
    </row>
    <row r="7476" spans="1:9" x14ac:dyDescent="0.2">
      <c r="A7476" s="1" t="str">
        <f>"GSC2"</f>
        <v>GSC2</v>
      </c>
      <c r="B7476" t="s">
        <v>14</v>
      </c>
      <c r="C7476" t="s">
        <v>21</v>
      </c>
      <c r="D7476" t="s">
        <v>11</v>
      </c>
      <c r="E7476" t="s">
        <v>12</v>
      </c>
      <c r="F7476">
        <v>19137804</v>
      </c>
      <c r="G7476">
        <v>19137807</v>
      </c>
      <c r="H7476">
        <v>19137804</v>
      </c>
      <c r="I7476">
        <v>19137807</v>
      </c>
    </row>
    <row r="7477" spans="1:9" x14ac:dyDescent="0.2">
      <c r="A7477" s="1" t="str">
        <f>"GSDMA"</f>
        <v>GSDMA</v>
      </c>
      <c r="B7477" t="s">
        <v>14</v>
      </c>
      <c r="C7477" t="s">
        <v>28</v>
      </c>
      <c r="D7477" t="s">
        <v>17</v>
      </c>
      <c r="E7477" t="s">
        <v>12</v>
      </c>
      <c r="F7477">
        <v>38119249</v>
      </c>
      <c r="G7477">
        <v>38119262</v>
      </c>
      <c r="H7477">
        <v>38119216</v>
      </c>
      <c r="I7477">
        <v>38119230</v>
      </c>
    </row>
    <row r="7478" spans="1:9" x14ac:dyDescent="0.2">
      <c r="A7478" s="1" t="str">
        <f>"GSDMB"</f>
        <v>GSDMB</v>
      </c>
      <c r="B7478" t="s">
        <v>14</v>
      </c>
      <c r="C7478" t="s">
        <v>28</v>
      </c>
      <c r="D7478" t="s">
        <v>11</v>
      </c>
      <c r="E7478" t="s">
        <v>12</v>
      </c>
      <c r="F7478">
        <v>38074859</v>
      </c>
      <c r="G7478">
        <v>38074898</v>
      </c>
      <c r="H7478">
        <v>38074842</v>
      </c>
      <c r="I7478">
        <v>38074858</v>
      </c>
    </row>
    <row r="7479" spans="1:9" x14ac:dyDescent="0.2">
      <c r="A7479" s="1" t="str">
        <f>"GSDMC"</f>
        <v>GSDMC</v>
      </c>
      <c r="B7479" t="s">
        <v>14</v>
      </c>
      <c r="C7479" t="s">
        <v>30</v>
      </c>
      <c r="D7479" t="s">
        <v>11</v>
      </c>
      <c r="E7479" t="s">
        <v>12</v>
      </c>
      <c r="F7479">
        <v>130798840</v>
      </c>
      <c r="G7479">
        <v>130798855</v>
      </c>
      <c r="H7479">
        <v>130798840</v>
      </c>
      <c r="I7479">
        <v>130798855</v>
      </c>
    </row>
    <row r="7480" spans="1:9" x14ac:dyDescent="0.2">
      <c r="A7480" s="1" t="str">
        <f>"GSDMD"</f>
        <v>GSDMD</v>
      </c>
      <c r="B7480" t="s">
        <v>14</v>
      </c>
      <c r="C7480" t="s">
        <v>30</v>
      </c>
      <c r="D7480" t="s">
        <v>17</v>
      </c>
      <c r="E7480" t="s">
        <v>12</v>
      </c>
      <c r="F7480">
        <v>144640499</v>
      </c>
      <c r="G7480">
        <v>144640565</v>
      </c>
      <c r="H7480">
        <v>144640479</v>
      </c>
      <c r="I7480">
        <v>144640488</v>
      </c>
    </row>
    <row r="7481" spans="1:9" x14ac:dyDescent="0.2">
      <c r="A7481" s="1" t="str">
        <f>"GSE1"</f>
        <v>GSE1</v>
      </c>
      <c r="B7481" t="s">
        <v>14</v>
      </c>
      <c r="C7481" t="s">
        <v>31</v>
      </c>
      <c r="D7481" t="s">
        <v>17</v>
      </c>
      <c r="E7481" t="s">
        <v>12</v>
      </c>
      <c r="F7481">
        <v>85646891</v>
      </c>
      <c r="G7481">
        <v>85646952</v>
      </c>
      <c r="H7481">
        <v>85646859</v>
      </c>
      <c r="I7481">
        <v>85646887</v>
      </c>
    </row>
    <row r="7482" spans="1:9" x14ac:dyDescent="0.2">
      <c r="A7482" s="1" t="str">
        <f>"GSG1"</f>
        <v>GSG1</v>
      </c>
      <c r="B7482" t="s">
        <v>14</v>
      </c>
      <c r="C7482" t="s">
        <v>16</v>
      </c>
      <c r="D7482" t="s">
        <v>11</v>
      </c>
      <c r="E7482" t="s">
        <v>12</v>
      </c>
      <c r="F7482">
        <v>13256571</v>
      </c>
      <c r="G7482">
        <v>13256592</v>
      </c>
      <c r="H7482">
        <v>13256593</v>
      </c>
      <c r="I7482">
        <v>13256617</v>
      </c>
    </row>
    <row r="7483" spans="1:9" x14ac:dyDescent="0.2">
      <c r="A7483" s="1" t="str">
        <f>"GSG1L"</f>
        <v>GSG1L</v>
      </c>
      <c r="B7483" t="s">
        <v>14</v>
      </c>
      <c r="C7483" t="s">
        <v>31</v>
      </c>
      <c r="D7483" t="s">
        <v>11</v>
      </c>
      <c r="E7483" t="s">
        <v>12</v>
      </c>
      <c r="F7483">
        <v>28075025</v>
      </c>
      <c r="G7483">
        <v>28075060</v>
      </c>
      <c r="H7483">
        <v>28075001</v>
      </c>
      <c r="I7483">
        <v>28075016</v>
      </c>
    </row>
    <row r="7484" spans="1:9" x14ac:dyDescent="0.2">
      <c r="A7484" s="1" t="str">
        <f>"GSG2"</f>
        <v>GSG2</v>
      </c>
      <c r="B7484" t="s">
        <v>14</v>
      </c>
      <c r="C7484" t="s">
        <v>28</v>
      </c>
      <c r="D7484" t="s">
        <v>17</v>
      </c>
      <c r="E7484" t="s">
        <v>12</v>
      </c>
      <c r="F7484">
        <v>3627185</v>
      </c>
      <c r="G7484">
        <v>3627224</v>
      </c>
      <c r="H7484">
        <v>3627185</v>
      </c>
      <c r="I7484">
        <v>3627224</v>
      </c>
    </row>
    <row r="7485" spans="1:9" x14ac:dyDescent="0.2">
      <c r="A7485" s="1" t="str">
        <f>"GSK3A"</f>
        <v>GSK3A</v>
      </c>
      <c r="B7485" t="s">
        <v>14</v>
      </c>
      <c r="C7485" t="s">
        <v>10</v>
      </c>
      <c r="D7485" t="s">
        <v>11</v>
      </c>
      <c r="E7485" t="s">
        <v>12</v>
      </c>
      <c r="F7485">
        <v>42746714</v>
      </c>
      <c r="G7485">
        <v>42746796</v>
      </c>
      <c r="H7485">
        <v>42746714</v>
      </c>
      <c r="I7485">
        <v>42746796</v>
      </c>
    </row>
    <row r="7486" spans="1:9" x14ac:dyDescent="0.2">
      <c r="A7486" s="1" t="str">
        <f>"GSK3B"</f>
        <v>GSK3B</v>
      </c>
      <c r="B7486" t="s">
        <v>14</v>
      </c>
      <c r="C7486" t="s">
        <v>22</v>
      </c>
      <c r="D7486" t="s">
        <v>11</v>
      </c>
      <c r="E7486" t="s">
        <v>12</v>
      </c>
      <c r="F7486">
        <v>119813284</v>
      </c>
      <c r="G7486">
        <v>119813301</v>
      </c>
      <c r="H7486">
        <v>119813302</v>
      </c>
      <c r="I7486">
        <v>119813318</v>
      </c>
    </row>
    <row r="7487" spans="1:9" x14ac:dyDescent="0.2">
      <c r="A7487" s="1" t="str">
        <f>"GSKIP"</f>
        <v>GSKIP</v>
      </c>
      <c r="B7487" t="s">
        <v>14</v>
      </c>
      <c r="C7487" t="s">
        <v>41</v>
      </c>
      <c r="D7487" t="s">
        <v>17</v>
      </c>
      <c r="E7487" t="s">
        <v>12</v>
      </c>
      <c r="F7487">
        <v>96829853</v>
      </c>
      <c r="G7487">
        <v>96829869</v>
      </c>
      <c r="H7487">
        <v>96829886</v>
      </c>
      <c r="I7487">
        <v>96829901</v>
      </c>
    </row>
    <row r="7488" spans="1:9" x14ac:dyDescent="0.2">
      <c r="A7488" s="1" t="str">
        <f>"GSN"</f>
        <v>GSN</v>
      </c>
      <c r="B7488" t="s">
        <v>14</v>
      </c>
      <c r="C7488" t="s">
        <v>24</v>
      </c>
      <c r="D7488" t="s">
        <v>17</v>
      </c>
      <c r="E7488" t="s">
        <v>12</v>
      </c>
      <c r="F7488">
        <v>124030412</v>
      </c>
      <c r="G7488">
        <v>124030481</v>
      </c>
      <c r="H7488">
        <v>124030412</v>
      </c>
      <c r="I7488">
        <v>124030481</v>
      </c>
    </row>
    <row r="7489" spans="1:9" x14ac:dyDescent="0.2">
      <c r="A7489" s="1" t="str">
        <f>"GSPT1"</f>
        <v>GSPT1</v>
      </c>
      <c r="B7489" t="s">
        <v>14</v>
      </c>
      <c r="C7489" t="s">
        <v>31</v>
      </c>
      <c r="D7489" t="s">
        <v>11</v>
      </c>
      <c r="E7489" t="s">
        <v>12</v>
      </c>
      <c r="F7489">
        <v>12009753</v>
      </c>
      <c r="G7489">
        <v>12009793</v>
      </c>
      <c r="H7489">
        <v>12009795</v>
      </c>
      <c r="I7489">
        <v>12009830</v>
      </c>
    </row>
    <row r="7490" spans="1:9" x14ac:dyDescent="0.2">
      <c r="A7490" s="1" t="str">
        <f>"GSPT2"</f>
        <v>GSPT2</v>
      </c>
      <c r="B7490" t="s">
        <v>14</v>
      </c>
      <c r="C7490" t="s">
        <v>37</v>
      </c>
      <c r="D7490" t="s">
        <v>17</v>
      </c>
      <c r="E7490" t="s">
        <v>12</v>
      </c>
      <c r="F7490">
        <v>51486497</v>
      </c>
      <c r="G7490">
        <v>51486549</v>
      </c>
      <c r="H7490">
        <v>51486550</v>
      </c>
      <c r="I7490">
        <v>51486563</v>
      </c>
    </row>
    <row r="7491" spans="1:9" x14ac:dyDescent="0.2">
      <c r="A7491" s="1" t="str">
        <f>"GSR"</f>
        <v>GSR</v>
      </c>
      <c r="B7491" t="s">
        <v>14</v>
      </c>
      <c r="C7491" t="s">
        <v>30</v>
      </c>
      <c r="D7491" t="s">
        <v>11</v>
      </c>
      <c r="E7491" t="s">
        <v>12</v>
      </c>
      <c r="F7491">
        <v>30585294</v>
      </c>
      <c r="G7491">
        <v>30585386</v>
      </c>
      <c r="H7491">
        <v>30585217</v>
      </c>
      <c r="I7491">
        <v>30585254</v>
      </c>
    </row>
    <row r="7492" spans="1:9" x14ac:dyDescent="0.2">
      <c r="A7492" s="1" t="str">
        <f>"GSS"</f>
        <v>GSS</v>
      </c>
      <c r="B7492" t="s">
        <v>14</v>
      </c>
      <c r="C7492" t="s">
        <v>29</v>
      </c>
      <c r="D7492" t="s">
        <v>11</v>
      </c>
      <c r="E7492" t="s">
        <v>12</v>
      </c>
      <c r="F7492">
        <v>33543546</v>
      </c>
      <c r="G7492">
        <v>33543621</v>
      </c>
      <c r="H7492">
        <v>33543546</v>
      </c>
      <c r="I7492">
        <v>33543621</v>
      </c>
    </row>
    <row r="7493" spans="1:9" x14ac:dyDescent="0.2">
      <c r="A7493" s="1" t="str">
        <f>"GSTA1"</f>
        <v>GSTA1</v>
      </c>
      <c r="B7493" t="s">
        <v>14</v>
      </c>
      <c r="C7493" t="s">
        <v>32</v>
      </c>
      <c r="D7493" t="s">
        <v>11</v>
      </c>
      <c r="E7493" t="s">
        <v>12</v>
      </c>
      <c r="F7493">
        <v>52668605</v>
      </c>
      <c r="G7493">
        <v>52668622</v>
      </c>
      <c r="H7493">
        <v>52668605</v>
      </c>
      <c r="I7493">
        <v>52668622</v>
      </c>
    </row>
    <row r="7494" spans="1:9" x14ac:dyDescent="0.2">
      <c r="A7494" s="1" t="str">
        <f>"GSTA2"</f>
        <v>GSTA2</v>
      </c>
      <c r="B7494" t="s">
        <v>14</v>
      </c>
      <c r="C7494" t="s">
        <v>32</v>
      </c>
      <c r="D7494" t="s">
        <v>11</v>
      </c>
      <c r="E7494" t="s">
        <v>12</v>
      </c>
      <c r="F7494">
        <v>52628271</v>
      </c>
      <c r="G7494">
        <v>52628275</v>
      </c>
      <c r="H7494">
        <v>52628271</v>
      </c>
      <c r="I7494">
        <v>52628275</v>
      </c>
    </row>
    <row r="7495" spans="1:9" x14ac:dyDescent="0.2">
      <c r="A7495" s="1" t="str">
        <f>"GSTA3"</f>
        <v>GSTA3</v>
      </c>
      <c r="B7495" t="s">
        <v>14</v>
      </c>
      <c r="C7495" t="s">
        <v>32</v>
      </c>
      <c r="D7495" t="s">
        <v>11</v>
      </c>
      <c r="E7495" t="s">
        <v>12</v>
      </c>
      <c r="F7495">
        <v>52774478</v>
      </c>
      <c r="G7495">
        <v>52774499</v>
      </c>
      <c r="H7495">
        <v>52774478</v>
      </c>
      <c r="I7495">
        <v>52774499</v>
      </c>
    </row>
    <row r="7496" spans="1:9" x14ac:dyDescent="0.2">
      <c r="A7496" s="1" t="str">
        <f>"GSTA4"</f>
        <v>GSTA4</v>
      </c>
      <c r="B7496" t="s">
        <v>9</v>
      </c>
      <c r="C7496" t="s">
        <v>32</v>
      </c>
      <c r="D7496" t="s">
        <v>11</v>
      </c>
      <c r="E7496" t="s">
        <v>12</v>
      </c>
      <c r="F7496">
        <v>52860070</v>
      </c>
      <c r="G7496">
        <v>52860149</v>
      </c>
      <c r="H7496">
        <v>52860070</v>
      </c>
      <c r="I7496">
        <v>52860149</v>
      </c>
    </row>
    <row r="7497" spans="1:9" x14ac:dyDescent="0.2">
      <c r="A7497" s="1" t="str">
        <f>"GSTA4"</f>
        <v>GSTA4</v>
      </c>
      <c r="B7497" t="s">
        <v>13</v>
      </c>
      <c r="C7497" t="s">
        <v>32</v>
      </c>
      <c r="D7497" t="s">
        <v>11</v>
      </c>
      <c r="E7497" t="s">
        <v>12</v>
      </c>
      <c r="F7497">
        <v>52859046</v>
      </c>
      <c r="G7497">
        <v>52859077</v>
      </c>
      <c r="H7497">
        <v>52859046</v>
      </c>
      <c r="I7497">
        <v>52859077</v>
      </c>
    </row>
    <row r="7498" spans="1:9" x14ac:dyDescent="0.2">
      <c r="A7498" s="1" t="str">
        <f>"GSTA5"</f>
        <v>GSTA5</v>
      </c>
      <c r="B7498" t="s">
        <v>14</v>
      </c>
      <c r="C7498" t="s">
        <v>32</v>
      </c>
      <c r="D7498" t="s">
        <v>11</v>
      </c>
      <c r="E7498" t="s">
        <v>12</v>
      </c>
      <c r="F7498">
        <v>52710887</v>
      </c>
      <c r="G7498">
        <v>52710889</v>
      </c>
      <c r="H7498">
        <v>52710887</v>
      </c>
      <c r="I7498">
        <v>52710889</v>
      </c>
    </row>
    <row r="7499" spans="1:9" x14ac:dyDescent="0.2">
      <c r="A7499" s="1" t="str">
        <f>"GSTCD"</f>
        <v>GSTCD</v>
      </c>
      <c r="B7499" t="s">
        <v>14</v>
      </c>
      <c r="C7499" t="s">
        <v>23</v>
      </c>
      <c r="D7499" t="s">
        <v>17</v>
      </c>
      <c r="E7499" t="s">
        <v>12</v>
      </c>
      <c r="F7499">
        <v>106629929</v>
      </c>
      <c r="G7499">
        <v>106629982</v>
      </c>
      <c r="H7499">
        <v>106629993</v>
      </c>
      <c r="I7499">
        <v>106630007</v>
      </c>
    </row>
    <row r="7500" spans="1:9" x14ac:dyDescent="0.2">
      <c r="A7500" s="1" t="str">
        <f>"GSTK1"</f>
        <v>GSTK1</v>
      </c>
      <c r="B7500" t="s">
        <v>14</v>
      </c>
      <c r="C7500" t="s">
        <v>33</v>
      </c>
      <c r="D7500" t="s">
        <v>17</v>
      </c>
      <c r="E7500" t="s">
        <v>12</v>
      </c>
      <c r="F7500">
        <v>142960556</v>
      </c>
      <c r="G7500">
        <v>142960600</v>
      </c>
      <c r="H7500">
        <v>142960505</v>
      </c>
      <c r="I7500">
        <v>142960553</v>
      </c>
    </row>
    <row r="7501" spans="1:9" x14ac:dyDescent="0.2">
      <c r="A7501" s="1" t="str">
        <f>"GSTM1"</f>
        <v>GSTM1</v>
      </c>
      <c r="B7501" t="s">
        <v>14</v>
      </c>
      <c r="C7501" t="s">
        <v>19</v>
      </c>
      <c r="D7501" t="s">
        <v>17</v>
      </c>
      <c r="E7501" t="s">
        <v>12</v>
      </c>
      <c r="F7501">
        <v>110230412</v>
      </c>
      <c r="G7501">
        <v>110230446</v>
      </c>
      <c r="H7501">
        <v>110230456</v>
      </c>
      <c r="I7501">
        <v>110230474</v>
      </c>
    </row>
    <row r="7502" spans="1:9" x14ac:dyDescent="0.2">
      <c r="A7502" s="1" t="str">
        <f>"GSTM2"</f>
        <v>GSTM2</v>
      </c>
      <c r="B7502" t="s">
        <v>9</v>
      </c>
      <c r="C7502" t="s">
        <v>19</v>
      </c>
      <c r="D7502" t="s">
        <v>17</v>
      </c>
      <c r="E7502" t="s">
        <v>12</v>
      </c>
      <c r="F7502">
        <v>110210671</v>
      </c>
      <c r="G7502">
        <v>110210724</v>
      </c>
      <c r="H7502">
        <v>110210671</v>
      </c>
      <c r="I7502">
        <v>110210724</v>
      </c>
    </row>
    <row r="7503" spans="1:9" x14ac:dyDescent="0.2">
      <c r="A7503" s="1" t="str">
        <f>"GSTM2"</f>
        <v>GSTM2</v>
      </c>
      <c r="B7503" t="s">
        <v>13</v>
      </c>
      <c r="C7503" t="s">
        <v>19</v>
      </c>
      <c r="D7503" t="s">
        <v>17</v>
      </c>
      <c r="E7503" t="s">
        <v>12</v>
      </c>
      <c r="F7503">
        <v>110198689</v>
      </c>
      <c r="G7503">
        <v>110198701</v>
      </c>
      <c r="H7503">
        <v>110198689</v>
      </c>
      <c r="I7503">
        <v>110198701</v>
      </c>
    </row>
    <row r="7504" spans="1:9" x14ac:dyDescent="0.2">
      <c r="A7504" s="1" t="str">
        <f>"GSTM3"</f>
        <v>GSTM3</v>
      </c>
      <c r="B7504" t="s">
        <v>14</v>
      </c>
      <c r="C7504" t="s">
        <v>19</v>
      </c>
      <c r="D7504" t="s">
        <v>11</v>
      </c>
      <c r="E7504" t="s">
        <v>12</v>
      </c>
      <c r="F7504">
        <v>110282931</v>
      </c>
      <c r="G7504">
        <v>110282945</v>
      </c>
      <c r="H7504">
        <v>110282931</v>
      </c>
      <c r="I7504">
        <v>110282945</v>
      </c>
    </row>
    <row r="7505" spans="1:9" x14ac:dyDescent="0.2">
      <c r="A7505" s="1" t="str">
        <f>"GSTM4"</f>
        <v>GSTM4</v>
      </c>
      <c r="B7505" t="s">
        <v>14</v>
      </c>
      <c r="C7505" t="s">
        <v>19</v>
      </c>
      <c r="D7505" t="s">
        <v>17</v>
      </c>
      <c r="E7505" t="s">
        <v>12</v>
      </c>
      <c r="F7505">
        <v>110198714</v>
      </c>
      <c r="G7505">
        <v>110198756</v>
      </c>
      <c r="H7505">
        <v>110198944</v>
      </c>
      <c r="I7505">
        <v>110198996</v>
      </c>
    </row>
    <row r="7506" spans="1:9" x14ac:dyDescent="0.2">
      <c r="A7506" s="1" t="str">
        <f>"GSTM5"</f>
        <v>GSTM5</v>
      </c>
      <c r="B7506" t="s">
        <v>14</v>
      </c>
      <c r="C7506" t="s">
        <v>19</v>
      </c>
      <c r="D7506" t="s">
        <v>17</v>
      </c>
      <c r="E7506" t="s">
        <v>12</v>
      </c>
      <c r="F7506">
        <v>110254850</v>
      </c>
      <c r="G7506">
        <v>110254893</v>
      </c>
      <c r="H7506">
        <v>110254894</v>
      </c>
      <c r="I7506">
        <v>110254915</v>
      </c>
    </row>
    <row r="7507" spans="1:9" x14ac:dyDescent="0.2">
      <c r="A7507" s="1" t="str">
        <f>"GSTO1"</f>
        <v>GSTO1</v>
      </c>
      <c r="B7507" t="s">
        <v>14</v>
      </c>
      <c r="C7507" t="s">
        <v>15</v>
      </c>
      <c r="D7507" t="s">
        <v>17</v>
      </c>
      <c r="E7507" t="s">
        <v>12</v>
      </c>
      <c r="F7507">
        <v>106014625</v>
      </c>
      <c r="G7507">
        <v>106014684</v>
      </c>
      <c r="H7507">
        <v>106013923</v>
      </c>
      <c r="I7507">
        <v>106013945</v>
      </c>
    </row>
    <row r="7508" spans="1:9" x14ac:dyDescent="0.2">
      <c r="A7508" s="1" t="str">
        <f>"GSTO2"</f>
        <v>GSTO2</v>
      </c>
      <c r="B7508" t="s">
        <v>14</v>
      </c>
      <c r="C7508" t="s">
        <v>15</v>
      </c>
      <c r="D7508" t="s">
        <v>17</v>
      </c>
      <c r="E7508" t="s">
        <v>12</v>
      </c>
      <c r="F7508">
        <v>106034884</v>
      </c>
      <c r="G7508">
        <v>106034936</v>
      </c>
      <c r="H7508">
        <v>106034884</v>
      </c>
      <c r="I7508">
        <v>106034936</v>
      </c>
    </row>
    <row r="7509" spans="1:9" x14ac:dyDescent="0.2">
      <c r="A7509" s="1" t="str">
        <f>"GSTP1"</f>
        <v>GSTP1</v>
      </c>
      <c r="B7509" t="s">
        <v>14</v>
      </c>
      <c r="C7509" t="s">
        <v>27</v>
      </c>
      <c r="D7509" t="s">
        <v>17</v>
      </c>
      <c r="E7509" t="s">
        <v>12</v>
      </c>
      <c r="F7509">
        <v>67351274</v>
      </c>
      <c r="G7509">
        <v>67351293</v>
      </c>
      <c r="H7509">
        <v>67351250</v>
      </c>
      <c r="I7509">
        <v>67351261</v>
      </c>
    </row>
    <row r="7510" spans="1:9" x14ac:dyDescent="0.2">
      <c r="A7510" s="1" t="str">
        <f>"GSTT2"</f>
        <v>GSTT2</v>
      </c>
      <c r="B7510" t="s">
        <v>14</v>
      </c>
      <c r="C7510" t="s">
        <v>21</v>
      </c>
      <c r="D7510" t="s">
        <v>17</v>
      </c>
      <c r="E7510" t="s">
        <v>12</v>
      </c>
      <c r="F7510">
        <v>24322322</v>
      </c>
      <c r="G7510">
        <v>24322327</v>
      </c>
      <c r="H7510">
        <v>24322322</v>
      </c>
      <c r="I7510">
        <v>24322327</v>
      </c>
    </row>
    <row r="7511" spans="1:9" x14ac:dyDescent="0.2">
      <c r="A7511" s="1" t="str">
        <f>"GSTT2B"</f>
        <v>GSTT2B</v>
      </c>
      <c r="B7511" t="s">
        <v>577</v>
      </c>
      <c r="C7511" t="s">
        <v>21</v>
      </c>
      <c r="D7511" t="s">
        <v>11</v>
      </c>
      <c r="E7511" t="s">
        <v>20</v>
      </c>
      <c r="F7511">
        <v>24303372</v>
      </c>
      <c r="G7511">
        <v>24303372</v>
      </c>
      <c r="H7511">
        <v>24303372</v>
      </c>
      <c r="I7511">
        <v>24303372</v>
      </c>
    </row>
    <row r="7512" spans="1:9" x14ac:dyDescent="0.2">
      <c r="A7512" s="1" t="str">
        <f>"GSTZ1"</f>
        <v>GSTZ1</v>
      </c>
      <c r="B7512" t="s">
        <v>14</v>
      </c>
      <c r="C7512" t="s">
        <v>41</v>
      </c>
      <c r="D7512" t="s">
        <v>17</v>
      </c>
      <c r="E7512" t="s">
        <v>12</v>
      </c>
      <c r="F7512">
        <v>77787369</v>
      </c>
      <c r="G7512">
        <v>77787399</v>
      </c>
      <c r="H7512">
        <v>77787369</v>
      </c>
      <c r="I7512">
        <v>77787399</v>
      </c>
    </row>
    <row r="7513" spans="1:9" x14ac:dyDescent="0.2">
      <c r="A7513" s="1" t="str">
        <f>"GSX1"</f>
        <v>GSX1</v>
      </c>
      <c r="B7513" t="s">
        <v>14</v>
      </c>
      <c r="C7513" t="s">
        <v>39</v>
      </c>
      <c r="D7513" t="s">
        <v>17</v>
      </c>
      <c r="E7513" t="s">
        <v>12</v>
      </c>
      <c r="F7513">
        <v>28366616</v>
      </c>
      <c r="G7513">
        <v>28366622</v>
      </c>
      <c r="H7513">
        <v>28366616</v>
      </c>
      <c r="I7513">
        <v>28366622</v>
      </c>
    </row>
    <row r="7514" spans="1:9" x14ac:dyDescent="0.2">
      <c r="A7514" s="1" t="str">
        <f>"GSX2"</f>
        <v>GSX2</v>
      </c>
      <c r="B7514" t="s">
        <v>14</v>
      </c>
      <c r="C7514" t="s">
        <v>23</v>
      </c>
      <c r="D7514" t="s">
        <v>17</v>
      </c>
      <c r="E7514" t="s">
        <v>12</v>
      </c>
      <c r="F7514">
        <v>54966328</v>
      </c>
      <c r="G7514">
        <v>54966335</v>
      </c>
      <c r="H7514">
        <v>54966201</v>
      </c>
      <c r="I7514">
        <v>54966239</v>
      </c>
    </row>
    <row r="7515" spans="1:9" x14ac:dyDescent="0.2">
      <c r="A7515" s="1" t="str">
        <f>"GTDC1"</f>
        <v>GTDC1</v>
      </c>
      <c r="B7515" t="s">
        <v>14</v>
      </c>
      <c r="C7515" t="s">
        <v>26</v>
      </c>
      <c r="D7515" t="s">
        <v>11</v>
      </c>
      <c r="E7515" t="s">
        <v>12</v>
      </c>
      <c r="F7515">
        <v>145090035</v>
      </c>
      <c r="G7515">
        <v>145090094</v>
      </c>
      <c r="H7515">
        <v>145090099</v>
      </c>
      <c r="I7515">
        <v>145090177</v>
      </c>
    </row>
    <row r="7516" spans="1:9" x14ac:dyDescent="0.2">
      <c r="A7516" s="1" t="str">
        <f>"GTF2A1"</f>
        <v>GTF2A1</v>
      </c>
      <c r="B7516" t="s">
        <v>14</v>
      </c>
      <c r="C7516" t="s">
        <v>41</v>
      </c>
      <c r="D7516" t="s">
        <v>11</v>
      </c>
      <c r="E7516" t="s">
        <v>12</v>
      </c>
      <c r="F7516">
        <v>81687197</v>
      </c>
      <c r="G7516">
        <v>81687280</v>
      </c>
      <c r="H7516">
        <v>81687282</v>
      </c>
      <c r="I7516">
        <v>81687316</v>
      </c>
    </row>
    <row r="7517" spans="1:9" x14ac:dyDescent="0.2">
      <c r="A7517" s="1" t="str">
        <f>"GTF2A1L"</f>
        <v>GTF2A1L</v>
      </c>
      <c r="B7517" t="s">
        <v>14</v>
      </c>
      <c r="C7517" t="s">
        <v>26</v>
      </c>
      <c r="D7517" t="s">
        <v>17</v>
      </c>
      <c r="E7517" t="s">
        <v>12</v>
      </c>
      <c r="F7517">
        <v>48844979</v>
      </c>
      <c r="G7517">
        <v>48845000</v>
      </c>
      <c r="H7517">
        <v>48844965</v>
      </c>
      <c r="I7517">
        <v>48844969</v>
      </c>
    </row>
    <row r="7518" spans="1:9" x14ac:dyDescent="0.2">
      <c r="A7518" s="1" t="str">
        <f>"GTF2A2"</f>
        <v>GTF2A2</v>
      </c>
      <c r="B7518" t="s">
        <v>14</v>
      </c>
      <c r="C7518" t="s">
        <v>25</v>
      </c>
      <c r="D7518" t="s">
        <v>11</v>
      </c>
      <c r="E7518" t="s">
        <v>12</v>
      </c>
      <c r="F7518">
        <v>59949693</v>
      </c>
      <c r="G7518">
        <v>59949751</v>
      </c>
      <c r="H7518">
        <v>59949667</v>
      </c>
      <c r="I7518">
        <v>59949690</v>
      </c>
    </row>
    <row r="7519" spans="1:9" x14ac:dyDescent="0.2">
      <c r="A7519" s="1" t="str">
        <f>"GTF2B"</f>
        <v>GTF2B</v>
      </c>
      <c r="B7519" t="s">
        <v>14</v>
      </c>
      <c r="C7519" t="s">
        <v>19</v>
      </c>
      <c r="D7519" t="s">
        <v>11</v>
      </c>
      <c r="E7519" t="s">
        <v>12</v>
      </c>
      <c r="F7519">
        <v>89357240</v>
      </c>
      <c r="G7519">
        <v>89357257</v>
      </c>
      <c r="H7519">
        <v>89357240</v>
      </c>
      <c r="I7519">
        <v>89357257</v>
      </c>
    </row>
    <row r="7520" spans="1:9" x14ac:dyDescent="0.2">
      <c r="A7520" s="1" t="str">
        <f>"GTF2E1"</f>
        <v>GTF2E1</v>
      </c>
      <c r="B7520" t="s">
        <v>14</v>
      </c>
      <c r="C7520" t="s">
        <v>22</v>
      </c>
      <c r="D7520" t="s">
        <v>17</v>
      </c>
      <c r="E7520" t="s">
        <v>12</v>
      </c>
      <c r="F7520">
        <v>120461572</v>
      </c>
      <c r="G7520">
        <v>120461600</v>
      </c>
      <c r="H7520">
        <v>120461601</v>
      </c>
      <c r="I7520">
        <v>120461614</v>
      </c>
    </row>
    <row r="7521" spans="1:9" x14ac:dyDescent="0.2">
      <c r="A7521" s="1" t="str">
        <f>"GTF2E2"</f>
        <v>GTF2E2</v>
      </c>
      <c r="B7521" t="s">
        <v>14</v>
      </c>
      <c r="C7521" t="s">
        <v>30</v>
      </c>
      <c r="D7521" t="s">
        <v>11</v>
      </c>
      <c r="E7521" t="s">
        <v>12</v>
      </c>
      <c r="F7521">
        <v>30515693</v>
      </c>
      <c r="G7521">
        <v>30515776</v>
      </c>
      <c r="H7521">
        <v>30515563</v>
      </c>
      <c r="I7521">
        <v>30515576</v>
      </c>
    </row>
    <row r="7522" spans="1:9" x14ac:dyDescent="0.2">
      <c r="A7522" s="1" t="str">
        <f>"GTF2F1"</f>
        <v>GTF2F1</v>
      </c>
      <c r="B7522" t="s">
        <v>14</v>
      </c>
      <c r="C7522" t="s">
        <v>10</v>
      </c>
      <c r="D7522" t="s">
        <v>11</v>
      </c>
      <c r="E7522" t="s">
        <v>12</v>
      </c>
      <c r="F7522">
        <v>6393142</v>
      </c>
      <c r="G7522">
        <v>6393183</v>
      </c>
      <c r="H7522">
        <v>6393189</v>
      </c>
      <c r="I7522">
        <v>6393210</v>
      </c>
    </row>
    <row r="7523" spans="1:9" x14ac:dyDescent="0.2">
      <c r="A7523" s="1" t="str">
        <f>"GTF2F2"</f>
        <v>GTF2F2</v>
      </c>
      <c r="B7523" t="s">
        <v>14</v>
      </c>
      <c r="C7523" t="s">
        <v>39</v>
      </c>
      <c r="D7523" t="s">
        <v>17</v>
      </c>
      <c r="E7523" t="s">
        <v>12</v>
      </c>
      <c r="F7523">
        <v>45694583</v>
      </c>
      <c r="G7523">
        <v>45694696</v>
      </c>
      <c r="H7523">
        <v>45694583</v>
      </c>
      <c r="I7523">
        <v>45694696</v>
      </c>
    </row>
    <row r="7524" spans="1:9" x14ac:dyDescent="0.2">
      <c r="A7524" s="1" t="str">
        <f>"GTF2H1"</f>
        <v>GTF2H1</v>
      </c>
      <c r="B7524" t="s">
        <v>14</v>
      </c>
      <c r="C7524" t="s">
        <v>27</v>
      </c>
      <c r="D7524" t="s">
        <v>17</v>
      </c>
      <c r="E7524" t="s">
        <v>12</v>
      </c>
      <c r="F7524">
        <v>18344106</v>
      </c>
      <c r="G7524">
        <v>18344128</v>
      </c>
      <c r="H7524">
        <v>18344088</v>
      </c>
      <c r="I7524">
        <v>18344105</v>
      </c>
    </row>
    <row r="7525" spans="1:9" x14ac:dyDescent="0.2">
      <c r="A7525" s="1" t="str">
        <f>"GTF2H2"</f>
        <v>GTF2H2</v>
      </c>
      <c r="B7525" t="s">
        <v>578</v>
      </c>
      <c r="C7525" t="s">
        <v>46</v>
      </c>
      <c r="D7525" t="s">
        <v>11</v>
      </c>
      <c r="E7525" t="s">
        <v>20</v>
      </c>
      <c r="F7525">
        <v>70363451</v>
      </c>
      <c r="G7525">
        <v>70363451</v>
      </c>
      <c r="H7525">
        <v>70363451</v>
      </c>
      <c r="I7525">
        <v>70363451</v>
      </c>
    </row>
    <row r="7526" spans="1:9" x14ac:dyDescent="0.2">
      <c r="A7526" s="1" t="str">
        <f>"GTF2H2C"</f>
        <v>GTF2H2C</v>
      </c>
      <c r="B7526" t="s">
        <v>14</v>
      </c>
      <c r="C7526" t="s">
        <v>46</v>
      </c>
      <c r="D7526" t="s">
        <v>17</v>
      </c>
      <c r="E7526" t="s">
        <v>12</v>
      </c>
      <c r="F7526">
        <v>68856015</v>
      </c>
      <c r="G7526">
        <v>68856035</v>
      </c>
      <c r="H7526">
        <v>68856085</v>
      </c>
      <c r="I7526">
        <v>68856116</v>
      </c>
    </row>
    <row r="7527" spans="1:9" x14ac:dyDescent="0.2">
      <c r="A7527" s="1" t="str">
        <f>"GTF2H3"</f>
        <v>GTF2H3</v>
      </c>
      <c r="B7527" t="s">
        <v>14</v>
      </c>
      <c r="C7527" t="s">
        <v>16</v>
      </c>
      <c r="D7527" t="s">
        <v>17</v>
      </c>
      <c r="E7527" t="s">
        <v>12</v>
      </c>
      <c r="F7527">
        <v>124118366</v>
      </c>
      <c r="G7527">
        <v>124118392</v>
      </c>
      <c r="H7527">
        <v>124118341</v>
      </c>
      <c r="I7527">
        <v>124118362</v>
      </c>
    </row>
    <row r="7528" spans="1:9" x14ac:dyDescent="0.2">
      <c r="A7528" s="1" t="str">
        <f>"GTF2H4"</f>
        <v>GTF2H4</v>
      </c>
      <c r="B7528" t="s">
        <v>14</v>
      </c>
      <c r="C7528" t="s">
        <v>32</v>
      </c>
      <c r="D7528" t="s">
        <v>17</v>
      </c>
      <c r="E7528" t="s">
        <v>12</v>
      </c>
      <c r="F7528">
        <v>30875955</v>
      </c>
      <c r="G7528">
        <v>30876012</v>
      </c>
      <c r="H7528">
        <v>30875955</v>
      </c>
      <c r="I7528">
        <v>30876012</v>
      </c>
    </row>
    <row r="7529" spans="1:9" x14ac:dyDescent="0.2">
      <c r="A7529" s="1" t="str">
        <f>"GTF2H5"</f>
        <v>GTF2H5</v>
      </c>
      <c r="B7529" t="s">
        <v>14</v>
      </c>
      <c r="C7529" t="s">
        <v>32</v>
      </c>
      <c r="D7529" t="s">
        <v>17</v>
      </c>
      <c r="E7529" t="s">
        <v>12</v>
      </c>
      <c r="F7529">
        <v>158589374</v>
      </c>
      <c r="G7529">
        <v>158589400</v>
      </c>
      <c r="H7529">
        <v>158589374</v>
      </c>
      <c r="I7529">
        <v>158589400</v>
      </c>
    </row>
    <row r="7530" spans="1:9" x14ac:dyDescent="0.2">
      <c r="A7530" s="1" t="str">
        <f>"GTF2I"</f>
        <v>GTF2I</v>
      </c>
      <c r="B7530" t="s">
        <v>14</v>
      </c>
      <c r="C7530" t="s">
        <v>33</v>
      </c>
      <c r="D7530" t="s">
        <v>17</v>
      </c>
      <c r="E7530" t="s">
        <v>12</v>
      </c>
      <c r="F7530">
        <v>74072021</v>
      </c>
      <c r="G7530">
        <v>74072119</v>
      </c>
      <c r="H7530">
        <v>74072135</v>
      </c>
      <c r="I7530">
        <v>74072171</v>
      </c>
    </row>
    <row r="7531" spans="1:9" x14ac:dyDescent="0.2">
      <c r="A7531" s="1" t="str">
        <f>"GTF2IRD1"</f>
        <v>GTF2IRD1</v>
      </c>
      <c r="B7531" t="s">
        <v>14</v>
      </c>
      <c r="C7531" t="s">
        <v>33</v>
      </c>
      <c r="D7531" t="s">
        <v>17</v>
      </c>
      <c r="E7531" t="s">
        <v>12</v>
      </c>
      <c r="F7531">
        <v>73868220</v>
      </c>
      <c r="G7531">
        <v>73868272</v>
      </c>
      <c r="H7531">
        <v>73868383</v>
      </c>
      <c r="I7531">
        <v>73868427</v>
      </c>
    </row>
    <row r="7532" spans="1:9" x14ac:dyDescent="0.2">
      <c r="A7532" s="1" t="str">
        <f>"GTF2IRD2"</f>
        <v>GTF2IRD2</v>
      </c>
      <c r="B7532" t="s">
        <v>579</v>
      </c>
      <c r="C7532" t="s">
        <v>33</v>
      </c>
      <c r="D7532" t="s">
        <v>11</v>
      </c>
      <c r="E7532" t="s">
        <v>20</v>
      </c>
      <c r="F7532">
        <v>74267846</v>
      </c>
      <c r="G7532">
        <v>74267846</v>
      </c>
      <c r="H7532">
        <v>74267846</v>
      </c>
      <c r="I7532">
        <v>74267846</v>
      </c>
    </row>
    <row r="7533" spans="1:9" x14ac:dyDescent="0.2">
      <c r="A7533" s="1" t="str">
        <f>"GTF2IRD2B"</f>
        <v>GTF2IRD2B</v>
      </c>
      <c r="B7533" t="s">
        <v>14</v>
      </c>
      <c r="C7533" t="s">
        <v>33</v>
      </c>
      <c r="D7533" t="s">
        <v>17</v>
      </c>
      <c r="E7533" t="s">
        <v>12</v>
      </c>
      <c r="F7533">
        <v>74508372</v>
      </c>
      <c r="G7533">
        <v>74508390</v>
      </c>
      <c r="H7533">
        <v>74508299</v>
      </c>
      <c r="I7533">
        <v>74508329</v>
      </c>
    </row>
    <row r="7534" spans="1:9" x14ac:dyDescent="0.2">
      <c r="A7534" s="1" t="str">
        <f>"GTF3A"</f>
        <v>GTF3A</v>
      </c>
      <c r="B7534" t="s">
        <v>14</v>
      </c>
      <c r="C7534" t="s">
        <v>39</v>
      </c>
      <c r="D7534" t="s">
        <v>17</v>
      </c>
      <c r="E7534" t="s">
        <v>12</v>
      </c>
      <c r="F7534">
        <v>27998720</v>
      </c>
      <c r="G7534">
        <v>27998826</v>
      </c>
      <c r="H7534">
        <v>27998831</v>
      </c>
      <c r="I7534">
        <v>27998851</v>
      </c>
    </row>
    <row r="7535" spans="1:9" x14ac:dyDescent="0.2">
      <c r="A7535" s="1" t="str">
        <f>"GTF3C1"</f>
        <v>GTF3C1</v>
      </c>
      <c r="B7535" t="s">
        <v>14</v>
      </c>
      <c r="C7535" t="s">
        <v>31</v>
      </c>
      <c r="D7535" t="s">
        <v>11</v>
      </c>
      <c r="E7535" t="s">
        <v>12</v>
      </c>
      <c r="F7535">
        <v>27561209</v>
      </c>
      <c r="G7535">
        <v>27561244</v>
      </c>
      <c r="H7535">
        <v>27561209</v>
      </c>
      <c r="I7535">
        <v>27561244</v>
      </c>
    </row>
    <row r="7536" spans="1:9" x14ac:dyDescent="0.2">
      <c r="A7536" s="1" t="str">
        <f>"GTF3C2"</f>
        <v>GTF3C2</v>
      </c>
      <c r="B7536" t="s">
        <v>14</v>
      </c>
      <c r="C7536" t="s">
        <v>26</v>
      </c>
      <c r="D7536" t="s">
        <v>11</v>
      </c>
      <c r="E7536" t="s">
        <v>12</v>
      </c>
      <c r="F7536">
        <v>27579623</v>
      </c>
      <c r="G7536">
        <v>27579648</v>
      </c>
      <c r="H7536">
        <v>27579842</v>
      </c>
      <c r="I7536">
        <v>27579907</v>
      </c>
    </row>
    <row r="7537" spans="1:9" x14ac:dyDescent="0.2">
      <c r="A7537" s="1" t="str">
        <f>"GTF3C3"</f>
        <v>GTF3C3</v>
      </c>
      <c r="B7537" t="s">
        <v>14</v>
      </c>
      <c r="C7537" t="s">
        <v>26</v>
      </c>
      <c r="D7537" t="s">
        <v>11</v>
      </c>
      <c r="E7537" t="s">
        <v>12</v>
      </c>
      <c r="F7537">
        <v>197664366</v>
      </c>
      <c r="G7537">
        <v>197664454</v>
      </c>
      <c r="H7537">
        <v>197664353</v>
      </c>
      <c r="I7537">
        <v>197664364</v>
      </c>
    </row>
    <row r="7538" spans="1:9" x14ac:dyDescent="0.2">
      <c r="A7538" s="1" t="str">
        <f>"GTF3C4"</f>
        <v>GTF3C4</v>
      </c>
      <c r="B7538" t="s">
        <v>14</v>
      </c>
      <c r="C7538" t="s">
        <v>24</v>
      </c>
      <c r="D7538" t="s">
        <v>17</v>
      </c>
      <c r="E7538" t="s">
        <v>12</v>
      </c>
      <c r="F7538">
        <v>135545845</v>
      </c>
      <c r="G7538">
        <v>135545916</v>
      </c>
      <c r="H7538">
        <v>135545409</v>
      </c>
      <c r="I7538">
        <v>135545455</v>
      </c>
    </row>
    <row r="7539" spans="1:9" x14ac:dyDescent="0.2">
      <c r="A7539" s="1" t="str">
        <f>"GTF3C5"</f>
        <v>GTF3C5</v>
      </c>
      <c r="B7539" t="s">
        <v>14</v>
      </c>
      <c r="C7539" t="s">
        <v>24</v>
      </c>
      <c r="D7539" t="s">
        <v>17</v>
      </c>
      <c r="E7539" t="s">
        <v>12</v>
      </c>
      <c r="F7539">
        <v>135906375</v>
      </c>
      <c r="G7539">
        <v>135906393</v>
      </c>
      <c r="H7539">
        <v>135906087</v>
      </c>
      <c r="I7539">
        <v>135906135</v>
      </c>
    </row>
    <row r="7540" spans="1:9" x14ac:dyDescent="0.2">
      <c r="A7540" s="1" t="str">
        <f>"GTF3C6"</f>
        <v>GTF3C6</v>
      </c>
      <c r="B7540" t="s">
        <v>14</v>
      </c>
      <c r="C7540" t="s">
        <v>32</v>
      </c>
      <c r="D7540" t="s">
        <v>17</v>
      </c>
      <c r="E7540" t="s">
        <v>12</v>
      </c>
      <c r="F7540">
        <v>111279883</v>
      </c>
      <c r="G7540">
        <v>111279921</v>
      </c>
      <c r="H7540">
        <v>111279937</v>
      </c>
      <c r="I7540">
        <v>111279972</v>
      </c>
    </row>
    <row r="7541" spans="1:9" x14ac:dyDescent="0.2">
      <c r="A7541" s="1" t="str">
        <f>"GTPBP1"</f>
        <v>GTPBP1</v>
      </c>
      <c r="B7541" t="s">
        <v>14</v>
      </c>
      <c r="C7541" t="s">
        <v>21</v>
      </c>
      <c r="D7541" t="s">
        <v>17</v>
      </c>
      <c r="E7541" t="s">
        <v>12</v>
      </c>
      <c r="F7541">
        <v>39101927</v>
      </c>
      <c r="G7541">
        <v>39101990</v>
      </c>
      <c r="H7541">
        <v>39101787</v>
      </c>
      <c r="I7541">
        <v>39101806</v>
      </c>
    </row>
    <row r="7542" spans="1:9" x14ac:dyDescent="0.2">
      <c r="A7542" s="1" t="str">
        <f>"GTPBP10"</f>
        <v>GTPBP10</v>
      </c>
      <c r="B7542" t="s">
        <v>14</v>
      </c>
      <c r="C7542" t="s">
        <v>33</v>
      </c>
      <c r="D7542" t="s">
        <v>17</v>
      </c>
      <c r="E7542" t="s">
        <v>12</v>
      </c>
      <c r="F7542">
        <v>89975982</v>
      </c>
      <c r="G7542">
        <v>89976052</v>
      </c>
      <c r="H7542">
        <v>89975982</v>
      </c>
      <c r="I7542">
        <v>89976052</v>
      </c>
    </row>
    <row r="7543" spans="1:9" x14ac:dyDescent="0.2">
      <c r="A7543" s="1" t="str">
        <f>"GTPBP2"</f>
        <v>GTPBP2</v>
      </c>
      <c r="B7543" t="s">
        <v>14</v>
      </c>
      <c r="C7543" t="s">
        <v>32</v>
      </c>
      <c r="D7543" t="s">
        <v>11</v>
      </c>
      <c r="E7543" t="s">
        <v>12</v>
      </c>
      <c r="F7543">
        <v>43596959</v>
      </c>
      <c r="G7543">
        <v>43597028</v>
      </c>
      <c r="H7543">
        <v>43596901</v>
      </c>
      <c r="I7543">
        <v>43596915</v>
      </c>
    </row>
    <row r="7544" spans="1:9" x14ac:dyDescent="0.2">
      <c r="A7544" s="1" t="str">
        <f>"GTPBP3"</f>
        <v>GTPBP3</v>
      </c>
      <c r="B7544" t="s">
        <v>14</v>
      </c>
      <c r="C7544" t="s">
        <v>10</v>
      </c>
      <c r="D7544" t="s">
        <v>17</v>
      </c>
      <c r="E7544" t="s">
        <v>12</v>
      </c>
      <c r="F7544">
        <v>17448348</v>
      </c>
      <c r="G7544">
        <v>17448406</v>
      </c>
      <c r="H7544">
        <v>17447518</v>
      </c>
      <c r="I7544">
        <v>17447543</v>
      </c>
    </row>
    <row r="7545" spans="1:9" x14ac:dyDescent="0.2">
      <c r="A7545" s="1" t="str">
        <f>"GTPBP4"</f>
        <v>GTPBP4</v>
      </c>
      <c r="B7545" t="s">
        <v>14</v>
      </c>
      <c r="C7545" t="s">
        <v>15</v>
      </c>
      <c r="D7545" t="s">
        <v>17</v>
      </c>
      <c r="E7545" t="s">
        <v>12</v>
      </c>
      <c r="F7545">
        <v>1034365</v>
      </c>
      <c r="G7545">
        <v>1034411</v>
      </c>
      <c r="H7545">
        <v>1034365</v>
      </c>
      <c r="I7545">
        <v>1034411</v>
      </c>
    </row>
    <row r="7546" spans="1:9" x14ac:dyDescent="0.2">
      <c r="A7546" s="1" t="str">
        <f>"GTPBP6"</f>
        <v>GTPBP6</v>
      </c>
      <c r="B7546" t="s">
        <v>14</v>
      </c>
      <c r="C7546" t="s">
        <v>37</v>
      </c>
      <c r="D7546" t="s">
        <v>11</v>
      </c>
      <c r="E7546" t="s">
        <v>12</v>
      </c>
      <c r="F7546">
        <v>229175</v>
      </c>
      <c r="G7546">
        <v>229201</v>
      </c>
      <c r="H7546">
        <v>229175</v>
      </c>
      <c r="I7546">
        <v>229201</v>
      </c>
    </row>
    <row r="7547" spans="1:9" x14ac:dyDescent="0.2">
      <c r="A7547" s="1" t="str">
        <f>"GTPBP8"</f>
        <v>GTPBP8</v>
      </c>
      <c r="B7547" t="s">
        <v>14</v>
      </c>
      <c r="C7547" t="s">
        <v>22</v>
      </c>
      <c r="D7547" t="s">
        <v>17</v>
      </c>
      <c r="E7547" t="s">
        <v>12</v>
      </c>
      <c r="F7547">
        <v>112709804</v>
      </c>
      <c r="G7547">
        <v>112709850</v>
      </c>
      <c r="H7547">
        <v>112709772</v>
      </c>
      <c r="I7547">
        <v>112709800</v>
      </c>
    </row>
    <row r="7548" spans="1:9" x14ac:dyDescent="0.2">
      <c r="A7548" s="1" t="str">
        <f>"GTSCR1"</f>
        <v>GTSCR1</v>
      </c>
      <c r="B7548" t="s">
        <v>14</v>
      </c>
      <c r="C7548" t="s">
        <v>43</v>
      </c>
      <c r="D7548" t="s">
        <v>11</v>
      </c>
      <c r="E7548" t="s">
        <v>12</v>
      </c>
      <c r="F7548">
        <v>68318174</v>
      </c>
      <c r="G7548">
        <v>68318193</v>
      </c>
      <c r="H7548">
        <v>68318103</v>
      </c>
      <c r="I7548">
        <v>68318116</v>
      </c>
    </row>
    <row r="7549" spans="1:9" x14ac:dyDescent="0.2">
      <c r="A7549" s="1" t="str">
        <f>"GTSE1"</f>
        <v>GTSE1</v>
      </c>
      <c r="B7549" t="s">
        <v>14</v>
      </c>
      <c r="C7549" t="s">
        <v>21</v>
      </c>
      <c r="D7549" t="s">
        <v>17</v>
      </c>
      <c r="E7549" t="s">
        <v>12</v>
      </c>
      <c r="F7549">
        <v>46692747</v>
      </c>
      <c r="G7549">
        <v>46692847</v>
      </c>
      <c r="H7549">
        <v>46692848</v>
      </c>
      <c r="I7549">
        <v>46692865</v>
      </c>
    </row>
    <row r="7550" spans="1:9" x14ac:dyDescent="0.2">
      <c r="A7550" s="1" t="str">
        <f>"GTSF1"</f>
        <v>GTSF1</v>
      </c>
      <c r="B7550" t="s">
        <v>14</v>
      </c>
      <c r="C7550" t="s">
        <v>16</v>
      </c>
      <c r="D7550" t="s">
        <v>11</v>
      </c>
      <c r="E7550" t="s">
        <v>12</v>
      </c>
      <c r="F7550">
        <v>54867352</v>
      </c>
      <c r="G7550">
        <v>54867392</v>
      </c>
      <c r="H7550">
        <v>54867352</v>
      </c>
      <c r="I7550">
        <v>54867392</v>
      </c>
    </row>
    <row r="7551" spans="1:9" x14ac:dyDescent="0.2">
      <c r="A7551" s="1" t="str">
        <f>"GTSF1L"</f>
        <v>GTSF1L</v>
      </c>
      <c r="B7551" t="s">
        <v>14</v>
      </c>
      <c r="C7551" t="s">
        <v>29</v>
      </c>
      <c r="D7551" t="s">
        <v>11</v>
      </c>
      <c r="E7551" t="s">
        <v>12</v>
      </c>
      <c r="F7551">
        <v>42355571</v>
      </c>
      <c r="G7551">
        <v>42355627</v>
      </c>
      <c r="H7551">
        <v>42355629</v>
      </c>
      <c r="I7551">
        <v>42355651</v>
      </c>
    </row>
    <row r="7552" spans="1:9" x14ac:dyDescent="0.2">
      <c r="A7552" s="1" t="str">
        <f>"GUCA1A"</f>
        <v>GUCA1A</v>
      </c>
      <c r="B7552" t="s">
        <v>9</v>
      </c>
      <c r="C7552" t="s">
        <v>32</v>
      </c>
      <c r="D7552" t="s">
        <v>17</v>
      </c>
      <c r="E7552" t="s">
        <v>12</v>
      </c>
      <c r="F7552">
        <v>42123141</v>
      </c>
      <c r="G7552">
        <v>42123152</v>
      </c>
      <c r="H7552">
        <v>42123141</v>
      </c>
      <c r="I7552">
        <v>42123152</v>
      </c>
    </row>
    <row r="7553" spans="1:9" x14ac:dyDescent="0.2">
      <c r="A7553" s="1" t="str">
        <f>"GUCA1A"</f>
        <v>GUCA1A</v>
      </c>
      <c r="B7553" t="s">
        <v>13</v>
      </c>
      <c r="C7553" t="s">
        <v>32</v>
      </c>
      <c r="D7553" t="s">
        <v>17</v>
      </c>
      <c r="E7553" t="s">
        <v>12</v>
      </c>
      <c r="F7553">
        <v>42141112</v>
      </c>
      <c r="G7553">
        <v>42141149</v>
      </c>
      <c r="H7553">
        <v>42141112</v>
      </c>
      <c r="I7553">
        <v>42141149</v>
      </c>
    </row>
    <row r="7554" spans="1:9" x14ac:dyDescent="0.2">
      <c r="A7554" s="1" t="str">
        <f>"GUCA1B"</f>
        <v>GUCA1B</v>
      </c>
      <c r="B7554" t="s">
        <v>14</v>
      </c>
      <c r="C7554" t="s">
        <v>32</v>
      </c>
      <c r="D7554" t="s">
        <v>11</v>
      </c>
      <c r="E7554" t="s">
        <v>12</v>
      </c>
      <c r="F7554">
        <v>42162685</v>
      </c>
      <c r="G7554">
        <v>42162699</v>
      </c>
      <c r="H7554">
        <v>42162685</v>
      </c>
      <c r="I7554">
        <v>42162699</v>
      </c>
    </row>
    <row r="7555" spans="1:9" x14ac:dyDescent="0.2">
      <c r="A7555" s="1" t="str">
        <f>"GUCA1C"</f>
        <v>GUCA1C</v>
      </c>
      <c r="B7555" t="s">
        <v>14</v>
      </c>
      <c r="C7555" t="s">
        <v>22</v>
      </c>
      <c r="D7555" t="s">
        <v>11</v>
      </c>
      <c r="E7555" t="s">
        <v>12</v>
      </c>
      <c r="F7555">
        <v>108672681</v>
      </c>
      <c r="G7555">
        <v>108672714</v>
      </c>
      <c r="H7555">
        <v>108672637</v>
      </c>
      <c r="I7555">
        <v>108672680</v>
      </c>
    </row>
    <row r="7556" spans="1:9" x14ac:dyDescent="0.2">
      <c r="A7556" s="1" t="str">
        <f>"GUCA2A"</f>
        <v>GUCA2A</v>
      </c>
      <c r="B7556" t="s">
        <v>14</v>
      </c>
      <c r="C7556" t="s">
        <v>19</v>
      </c>
      <c r="D7556" t="s">
        <v>11</v>
      </c>
      <c r="E7556" t="s">
        <v>12</v>
      </c>
      <c r="F7556">
        <v>42630408</v>
      </c>
      <c r="G7556">
        <v>42630425</v>
      </c>
      <c r="H7556">
        <v>42630460</v>
      </c>
      <c r="I7556">
        <v>42630471</v>
      </c>
    </row>
    <row r="7557" spans="1:9" x14ac:dyDescent="0.2">
      <c r="A7557" s="1" t="str">
        <f>"GUCA2B"</f>
        <v>GUCA2B</v>
      </c>
      <c r="B7557" t="s">
        <v>14</v>
      </c>
      <c r="C7557" t="s">
        <v>19</v>
      </c>
      <c r="D7557" t="s">
        <v>17</v>
      </c>
      <c r="E7557" t="s">
        <v>12</v>
      </c>
      <c r="F7557">
        <v>42619070</v>
      </c>
      <c r="G7557">
        <v>42619088</v>
      </c>
      <c r="H7557">
        <v>42619100</v>
      </c>
      <c r="I7557">
        <v>42619115</v>
      </c>
    </row>
    <row r="7558" spans="1:9" x14ac:dyDescent="0.2">
      <c r="A7558" s="1" t="str">
        <f>"GUCD1"</f>
        <v>GUCD1</v>
      </c>
      <c r="B7558" t="s">
        <v>14</v>
      </c>
      <c r="C7558" t="s">
        <v>21</v>
      </c>
      <c r="D7558" t="s">
        <v>11</v>
      </c>
      <c r="E7558" t="s">
        <v>12</v>
      </c>
      <c r="F7558">
        <v>24951054</v>
      </c>
      <c r="G7558">
        <v>24951166</v>
      </c>
      <c r="H7558">
        <v>24951852</v>
      </c>
      <c r="I7558">
        <v>24951882</v>
      </c>
    </row>
    <row r="7559" spans="1:9" x14ac:dyDescent="0.2">
      <c r="A7559" s="1" t="str">
        <f>"GUCY1A2"</f>
        <v>GUCY1A2</v>
      </c>
      <c r="B7559" t="s">
        <v>14</v>
      </c>
      <c r="C7559" t="s">
        <v>27</v>
      </c>
      <c r="D7559" t="s">
        <v>11</v>
      </c>
      <c r="E7559" t="s">
        <v>12</v>
      </c>
      <c r="F7559">
        <v>106889187</v>
      </c>
      <c r="G7559">
        <v>106889209</v>
      </c>
      <c r="H7559">
        <v>106889125</v>
      </c>
      <c r="I7559">
        <v>106889143</v>
      </c>
    </row>
    <row r="7560" spans="1:9" x14ac:dyDescent="0.2">
      <c r="A7560" s="1" t="str">
        <f>"GUCY1A3"</f>
        <v>GUCY1A3</v>
      </c>
      <c r="B7560" t="s">
        <v>14</v>
      </c>
      <c r="C7560" t="s">
        <v>23</v>
      </c>
      <c r="D7560" t="s">
        <v>17</v>
      </c>
      <c r="E7560" t="s">
        <v>12</v>
      </c>
      <c r="F7560">
        <v>156587979</v>
      </c>
      <c r="G7560">
        <v>156588015</v>
      </c>
      <c r="H7560">
        <v>156587946</v>
      </c>
      <c r="I7560">
        <v>156587975</v>
      </c>
    </row>
    <row r="7561" spans="1:9" x14ac:dyDescent="0.2">
      <c r="A7561" s="1" t="str">
        <f>"GUCY1B3"</f>
        <v>GUCY1B3</v>
      </c>
      <c r="B7561" t="s">
        <v>14</v>
      </c>
      <c r="C7561" t="s">
        <v>23</v>
      </c>
      <c r="D7561" t="s">
        <v>17</v>
      </c>
      <c r="E7561" t="s">
        <v>12</v>
      </c>
      <c r="F7561">
        <v>156680153</v>
      </c>
      <c r="G7561">
        <v>156680242</v>
      </c>
      <c r="H7561">
        <v>156680143</v>
      </c>
      <c r="I7561">
        <v>156680152</v>
      </c>
    </row>
    <row r="7562" spans="1:9" x14ac:dyDescent="0.2">
      <c r="A7562" s="1" t="str">
        <f>"GUCY2C"</f>
        <v>GUCY2C</v>
      </c>
      <c r="B7562" t="s">
        <v>14</v>
      </c>
      <c r="C7562" t="s">
        <v>16</v>
      </c>
      <c r="D7562" t="s">
        <v>11</v>
      </c>
      <c r="E7562" t="s">
        <v>12</v>
      </c>
      <c r="F7562">
        <v>14849470</v>
      </c>
      <c r="G7562">
        <v>14849540</v>
      </c>
      <c r="H7562">
        <v>14849455</v>
      </c>
      <c r="I7562">
        <v>14849469</v>
      </c>
    </row>
    <row r="7563" spans="1:9" x14ac:dyDescent="0.2">
      <c r="A7563" s="1" t="str">
        <f>"GUCY2D"</f>
        <v>GUCY2D</v>
      </c>
      <c r="B7563" t="s">
        <v>14</v>
      </c>
      <c r="C7563" t="s">
        <v>28</v>
      </c>
      <c r="D7563" t="s">
        <v>17</v>
      </c>
      <c r="E7563" t="s">
        <v>12</v>
      </c>
      <c r="F7563">
        <v>7905946</v>
      </c>
      <c r="G7563">
        <v>7905966</v>
      </c>
      <c r="H7563">
        <v>7905524</v>
      </c>
      <c r="I7563">
        <v>7905565</v>
      </c>
    </row>
    <row r="7564" spans="1:9" x14ac:dyDescent="0.2">
      <c r="A7564" s="1" t="str">
        <f>"GUCY2F"</f>
        <v>GUCY2F</v>
      </c>
      <c r="B7564" t="s">
        <v>14</v>
      </c>
      <c r="C7564" t="s">
        <v>37</v>
      </c>
      <c r="D7564" t="s">
        <v>11</v>
      </c>
      <c r="E7564" t="s">
        <v>12</v>
      </c>
      <c r="F7564">
        <v>108725306</v>
      </c>
      <c r="G7564">
        <v>108725319</v>
      </c>
      <c r="H7564">
        <v>108725272</v>
      </c>
      <c r="I7564">
        <v>108725278</v>
      </c>
    </row>
    <row r="7565" spans="1:9" x14ac:dyDescent="0.2">
      <c r="A7565" s="1" t="str">
        <f>"GUF1"</f>
        <v>GUF1</v>
      </c>
      <c r="B7565" t="s">
        <v>14</v>
      </c>
      <c r="C7565" t="s">
        <v>23</v>
      </c>
      <c r="D7565" t="s">
        <v>17</v>
      </c>
      <c r="E7565" t="s">
        <v>12</v>
      </c>
      <c r="F7565">
        <v>44680429</v>
      </c>
      <c r="G7565">
        <v>44680498</v>
      </c>
      <c r="H7565">
        <v>44680661</v>
      </c>
      <c r="I7565">
        <v>44680713</v>
      </c>
    </row>
    <row r="7566" spans="1:9" x14ac:dyDescent="0.2">
      <c r="A7566" s="1" t="str">
        <f>"GUK1"</f>
        <v>GUK1</v>
      </c>
      <c r="B7566" t="s">
        <v>14</v>
      </c>
      <c r="C7566" t="s">
        <v>19</v>
      </c>
      <c r="D7566" t="s">
        <v>17</v>
      </c>
      <c r="E7566" t="s">
        <v>12</v>
      </c>
      <c r="F7566">
        <v>228327943</v>
      </c>
      <c r="G7566">
        <v>228328044</v>
      </c>
      <c r="H7566">
        <v>228327923</v>
      </c>
      <c r="I7566">
        <v>228327934</v>
      </c>
    </row>
    <row r="7567" spans="1:9" x14ac:dyDescent="0.2">
      <c r="A7567" s="1" t="str">
        <f>"GULP1"</f>
        <v>GULP1</v>
      </c>
      <c r="B7567" t="s">
        <v>14</v>
      </c>
      <c r="C7567" t="s">
        <v>26</v>
      </c>
      <c r="D7567" t="s">
        <v>17</v>
      </c>
      <c r="E7567" t="s">
        <v>12</v>
      </c>
      <c r="F7567">
        <v>189157536</v>
      </c>
      <c r="G7567">
        <v>189157565</v>
      </c>
      <c r="H7567">
        <v>189156586</v>
      </c>
      <c r="I7567">
        <v>189156636</v>
      </c>
    </row>
    <row r="7568" spans="1:9" x14ac:dyDescent="0.2">
      <c r="A7568" s="1" t="str">
        <f>"GUSB"</f>
        <v>GUSB</v>
      </c>
      <c r="B7568" t="s">
        <v>14</v>
      </c>
      <c r="C7568" t="s">
        <v>33</v>
      </c>
      <c r="D7568" t="s">
        <v>11</v>
      </c>
      <c r="E7568" t="s">
        <v>12</v>
      </c>
      <c r="F7568">
        <v>65447192</v>
      </c>
      <c r="G7568">
        <v>65447229</v>
      </c>
      <c r="H7568">
        <v>65447176</v>
      </c>
      <c r="I7568">
        <v>65447190</v>
      </c>
    </row>
    <row r="7569" spans="1:9" x14ac:dyDescent="0.2">
      <c r="A7569" s="1" t="str">
        <f>"GVQW1"</f>
        <v>GVQW1</v>
      </c>
      <c r="B7569" t="s">
        <v>580</v>
      </c>
      <c r="C7569" t="s">
        <v>24</v>
      </c>
      <c r="D7569" t="s">
        <v>17</v>
      </c>
      <c r="E7569" t="s">
        <v>20</v>
      </c>
      <c r="F7569">
        <v>32566786</v>
      </c>
      <c r="G7569">
        <v>32566786</v>
      </c>
      <c r="H7569">
        <v>32566786</v>
      </c>
      <c r="I7569">
        <v>32566786</v>
      </c>
    </row>
    <row r="7570" spans="1:9" x14ac:dyDescent="0.2">
      <c r="A7570" s="1" t="str">
        <f>"GXYLT1"</f>
        <v>GXYLT1</v>
      </c>
      <c r="B7570" t="s">
        <v>14</v>
      </c>
      <c r="C7570" t="s">
        <v>16</v>
      </c>
      <c r="D7570" t="s">
        <v>11</v>
      </c>
      <c r="E7570" t="s">
        <v>12</v>
      </c>
      <c r="F7570">
        <v>42538657</v>
      </c>
      <c r="G7570">
        <v>42538720</v>
      </c>
      <c r="H7570">
        <v>42538480</v>
      </c>
      <c r="I7570">
        <v>42538527</v>
      </c>
    </row>
    <row r="7571" spans="1:9" x14ac:dyDescent="0.2">
      <c r="A7571" s="1" t="str">
        <f>"GXYLT2"</f>
        <v>GXYLT2</v>
      </c>
      <c r="B7571" t="s">
        <v>14</v>
      </c>
      <c r="C7571" t="s">
        <v>22</v>
      </c>
      <c r="D7571" t="s">
        <v>17</v>
      </c>
      <c r="E7571" t="s">
        <v>12</v>
      </c>
      <c r="F7571">
        <v>72937182</v>
      </c>
      <c r="G7571">
        <v>72937270</v>
      </c>
      <c r="H7571">
        <v>72937303</v>
      </c>
      <c r="I7571">
        <v>72937320</v>
      </c>
    </row>
    <row r="7572" spans="1:9" x14ac:dyDescent="0.2">
      <c r="A7572" s="1" t="str">
        <f>"GYG1"</f>
        <v>GYG1</v>
      </c>
      <c r="B7572" t="s">
        <v>14</v>
      </c>
      <c r="C7572" t="s">
        <v>22</v>
      </c>
      <c r="D7572" t="s">
        <v>17</v>
      </c>
      <c r="E7572" t="s">
        <v>12</v>
      </c>
      <c r="F7572">
        <v>148709310</v>
      </c>
      <c r="G7572">
        <v>148709337</v>
      </c>
      <c r="H7572">
        <v>148709279</v>
      </c>
      <c r="I7572">
        <v>148709301</v>
      </c>
    </row>
    <row r="7573" spans="1:9" x14ac:dyDescent="0.2">
      <c r="A7573" s="1" t="str">
        <f>"GYG2"</f>
        <v>GYG2</v>
      </c>
      <c r="B7573" t="s">
        <v>14</v>
      </c>
      <c r="C7573" t="s">
        <v>37</v>
      </c>
      <c r="D7573" t="s">
        <v>17</v>
      </c>
      <c r="E7573" t="s">
        <v>12</v>
      </c>
      <c r="F7573">
        <v>2746962</v>
      </c>
      <c r="G7573">
        <v>2746988</v>
      </c>
      <c r="H7573">
        <v>2746818</v>
      </c>
      <c r="I7573">
        <v>2746843</v>
      </c>
    </row>
    <row r="7574" spans="1:9" x14ac:dyDescent="0.2">
      <c r="A7574" s="1" t="str">
        <f>"GYLTL1B"</f>
        <v>GYLTL1B</v>
      </c>
      <c r="B7574" t="s">
        <v>14</v>
      </c>
      <c r="C7574" t="s">
        <v>27</v>
      </c>
      <c r="D7574" t="s">
        <v>17</v>
      </c>
      <c r="E7574" t="s">
        <v>12</v>
      </c>
      <c r="F7574">
        <v>45944190</v>
      </c>
      <c r="G7574">
        <v>45944266</v>
      </c>
      <c r="H7574">
        <v>45944190</v>
      </c>
      <c r="I7574">
        <v>45944266</v>
      </c>
    </row>
    <row r="7575" spans="1:9" x14ac:dyDescent="0.2">
      <c r="A7575" s="1" t="str">
        <f>"GYPA"</f>
        <v>GYPA</v>
      </c>
      <c r="B7575" t="s">
        <v>14</v>
      </c>
      <c r="C7575" t="s">
        <v>23</v>
      </c>
      <c r="D7575" t="s">
        <v>11</v>
      </c>
      <c r="E7575" t="s">
        <v>12</v>
      </c>
      <c r="F7575">
        <v>145061865</v>
      </c>
      <c r="G7575">
        <v>145061877</v>
      </c>
      <c r="H7575">
        <v>145061865</v>
      </c>
      <c r="I7575">
        <v>145061877</v>
      </c>
    </row>
    <row r="7576" spans="1:9" x14ac:dyDescent="0.2">
      <c r="A7576" s="1" t="str">
        <f>"GYPB"</f>
        <v>GYPB</v>
      </c>
      <c r="B7576" t="s">
        <v>14</v>
      </c>
      <c r="C7576" t="s">
        <v>23</v>
      </c>
      <c r="D7576" t="s">
        <v>11</v>
      </c>
      <c r="E7576" t="s">
        <v>12</v>
      </c>
      <c r="F7576">
        <v>144940524</v>
      </c>
      <c r="G7576">
        <v>144940541</v>
      </c>
      <c r="H7576">
        <v>144940524</v>
      </c>
      <c r="I7576">
        <v>144940541</v>
      </c>
    </row>
    <row r="7577" spans="1:9" x14ac:dyDescent="0.2">
      <c r="A7577" s="1" t="str">
        <f>"GYPC"</f>
        <v>GYPC</v>
      </c>
      <c r="B7577" t="s">
        <v>14</v>
      </c>
      <c r="C7577" t="s">
        <v>26</v>
      </c>
      <c r="D7577" t="s">
        <v>17</v>
      </c>
      <c r="E7577" t="s">
        <v>12</v>
      </c>
      <c r="F7577">
        <v>127413704</v>
      </c>
      <c r="G7577">
        <v>127413758</v>
      </c>
      <c r="H7577">
        <v>127413677</v>
      </c>
      <c r="I7577">
        <v>127413703</v>
      </c>
    </row>
    <row r="7578" spans="1:9" x14ac:dyDescent="0.2">
      <c r="A7578" s="1" t="str">
        <f>"GYPE"</f>
        <v>GYPE</v>
      </c>
      <c r="B7578" t="s">
        <v>14</v>
      </c>
      <c r="C7578" t="s">
        <v>23</v>
      </c>
      <c r="D7578" t="s">
        <v>11</v>
      </c>
      <c r="E7578" t="s">
        <v>12</v>
      </c>
      <c r="F7578">
        <v>144826682</v>
      </c>
      <c r="G7578">
        <v>144826716</v>
      </c>
      <c r="H7578">
        <v>144826682</v>
      </c>
      <c r="I7578">
        <v>144826716</v>
      </c>
    </row>
    <row r="7579" spans="1:9" x14ac:dyDescent="0.2">
      <c r="A7579" s="1" t="str">
        <f>"GYS1"</f>
        <v>GYS1</v>
      </c>
      <c r="B7579" t="s">
        <v>14</v>
      </c>
      <c r="C7579" t="s">
        <v>10</v>
      </c>
      <c r="D7579" t="s">
        <v>11</v>
      </c>
      <c r="E7579" t="s">
        <v>12</v>
      </c>
      <c r="F7579">
        <v>49496557</v>
      </c>
      <c r="G7579">
        <v>49496573</v>
      </c>
      <c r="H7579">
        <v>49496810</v>
      </c>
      <c r="I7579">
        <v>49496813</v>
      </c>
    </row>
    <row r="7580" spans="1:9" x14ac:dyDescent="0.2">
      <c r="A7580" s="1" t="str">
        <f>"GYS2"</f>
        <v>GYS2</v>
      </c>
      <c r="B7580" t="s">
        <v>14</v>
      </c>
      <c r="C7580" t="s">
        <v>16</v>
      </c>
      <c r="D7580" t="s">
        <v>11</v>
      </c>
      <c r="E7580" t="s">
        <v>12</v>
      </c>
      <c r="F7580">
        <v>21757774</v>
      </c>
      <c r="G7580">
        <v>21757796</v>
      </c>
      <c r="H7580">
        <v>21757744</v>
      </c>
      <c r="I7580">
        <v>21757758</v>
      </c>
    </row>
    <row r="7581" spans="1:9" x14ac:dyDescent="0.2">
      <c r="A7581" s="1" t="str">
        <f>"GZF1"</f>
        <v>GZF1</v>
      </c>
      <c r="B7581" t="s">
        <v>14</v>
      </c>
      <c r="C7581" t="s">
        <v>29</v>
      </c>
      <c r="D7581" t="s">
        <v>17</v>
      </c>
      <c r="E7581" t="s">
        <v>12</v>
      </c>
      <c r="F7581">
        <v>23342783</v>
      </c>
      <c r="G7581">
        <v>23342857</v>
      </c>
      <c r="H7581">
        <v>23342623</v>
      </c>
      <c r="I7581">
        <v>23342652</v>
      </c>
    </row>
    <row r="7582" spans="1:9" x14ac:dyDescent="0.2">
      <c r="A7582" s="1" t="str">
        <f>"GZMA"</f>
        <v>GZMA</v>
      </c>
      <c r="B7582" t="s">
        <v>14</v>
      </c>
      <c r="C7582" t="s">
        <v>46</v>
      </c>
      <c r="D7582" t="s">
        <v>17</v>
      </c>
      <c r="E7582" t="s">
        <v>12</v>
      </c>
      <c r="F7582">
        <v>54398463</v>
      </c>
      <c r="G7582">
        <v>54398480</v>
      </c>
      <c r="H7582">
        <v>54398463</v>
      </c>
      <c r="I7582">
        <v>54398480</v>
      </c>
    </row>
    <row r="7583" spans="1:9" x14ac:dyDescent="0.2">
      <c r="A7583" s="1" t="str">
        <f>"GZMB"</f>
        <v>GZMB</v>
      </c>
      <c r="B7583" t="s">
        <v>14</v>
      </c>
      <c r="C7583" t="s">
        <v>41</v>
      </c>
      <c r="D7583" t="s">
        <v>11</v>
      </c>
      <c r="E7583" t="s">
        <v>12</v>
      </c>
      <c r="F7583">
        <v>25103388</v>
      </c>
      <c r="G7583">
        <v>25103402</v>
      </c>
      <c r="H7583">
        <v>25103431</v>
      </c>
      <c r="I7583">
        <v>25103449</v>
      </c>
    </row>
    <row r="7584" spans="1:9" x14ac:dyDescent="0.2">
      <c r="A7584" s="1" t="str">
        <f>"GZMH"</f>
        <v>GZMH</v>
      </c>
      <c r="B7584" t="s">
        <v>14</v>
      </c>
      <c r="C7584" t="s">
        <v>41</v>
      </c>
      <c r="D7584" t="s">
        <v>11</v>
      </c>
      <c r="E7584" t="s">
        <v>12</v>
      </c>
      <c r="F7584">
        <v>25078866</v>
      </c>
      <c r="G7584">
        <v>25078900</v>
      </c>
      <c r="H7584">
        <v>25078915</v>
      </c>
      <c r="I7584">
        <v>25078944</v>
      </c>
    </row>
    <row r="7585" spans="1:9" x14ac:dyDescent="0.2">
      <c r="A7585" s="1" t="str">
        <f>"GZMK"</f>
        <v>GZMK</v>
      </c>
      <c r="B7585" t="s">
        <v>14</v>
      </c>
      <c r="C7585" t="s">
        <v>46</v>
      </c>
      <c r="D7585" t="s">
        <v>17</v>
      </c>
      <c r="E7585" t="s">
        <v>12</v>
      </c>
      <c r="F7585">
        <v>54320078</v>
      </c>
      <c r="G7585">
        <v>54320090</v>
      </c>
      <c r="H7585">
        <v>54320078</v>
      </c>
      <c r="I7585">
        <v>54320090</v>
      </c>
    </row>
    <row r="7586" spans="1:9" x14ac:dyDescent="0.2">
      <c r="A7586" s="1" t="str">
        <f>"GZMM"</f>
        <v>GZMM</v>
      </c>
      <c r="B7586" t="s">
        <v>14</v>
      </c>
      <c r="C7586" t="s">
        <v>10</v>
      </c>
      <c r="D7586" t="s">
        <v>17</v>
      </c>
      <c r="E7586" t="s">
        <v>12</v>
      </c>
      <c r="F7586">
        <v>544039</v>
      </c>
      <c r="G7586">
        <v>544065</v>
      </c>
      <c r="H7586">
        <v>544039</v>
      </c>
      <c r="I7586">
        <v>544065</v>
      </c>
    </row>
    <row r="7587" spans="1:9" x14ac:dyDescent="0.2">
      <c r="A7587" s="1" t="str">
        <f>"H1F0"</f>
        <v>H1F0</v>
      </c>
      <c r="B7587" t="s">
        <v>14</v>
      </c>
      <c r="C7587" t="s">
        <v>21</v>
      </c>
      <c r="D7587" t="s">
        <v>17</v>
      </c>
      <c r="E7587" t="s">
        <v>12</v>
      </c>
      <c r="F7587">
        <v>38201228</v>
      </c>
      <c r="G7587">
        <v>38201242</v>
      </c>
      <c r="H7587">
        <v>38201322</v>
      </c>
      <c r="I7587">
        <v>38201327</v>
      </c>
    </row>
    <row r="7588" spans="1:9" x14ac:dyDescent="0.2">
      <c r="A7588" s="1" t="str">
        <f>"H1FNT"</f>
        <v>H1FNT</v>
      </c>
      <c r="B7588" t="s">
        <v>14</v>
      </c>
      <c r="C7588" t="s">
        <v>16</v>
      </c>
      <c r="D7588" t="s">
        <v>17</v>
      </c>
      <c r="E7588" t="s">
        <v>12</v>
      </c>
      <c r="F7588">
        <v>48723071</v>
      </c>
      <c r="G7588">
        <v>48723114</v>
      </c>
      <c r="H7588">
        <v>48723071</v>
      </c>
      <c r="I7588">
        <v>48723114</v>
      </c>
    </row>
    <row r="7589" spans="1:9" x14ac:dyDescent="0.2">
      <c r="A7589" s="1" t="str">
        <f>"H1FOO"</f>
        <v>H1FOO</v>
      </c>
      <c r="B7589" t="s">
        <v>14</v>
      </c>
      <c r="C7589" t="s">
        <v>22</v>
      </c>
      <c r="D7589" t="s">
        <v>17</v>
      </c>
      <c r="E7589" t="s">
        <v>12</v>
      </c>
      <c r="F7589">
        <v>129267186</v>
      </c>
      <c r="G7589">
        <v>129267197</v>
      </c>
      <c r="H7589">
        <v>129267165</v>
      </c>
      <c r="I7589">
        <v>129267172</v>
      </c>
    </row>
    <row r="7590" spans="1:9" x14ac:dyDescent="0.2">
      <c r="A7590" s="1" t="str">
        <f>"H1FX"</f>
        <v>H1FX</v>
      </c>
      <c r="B7590" t="s">
        <v>14</v>
      </c>
      <c r="C7590" t="s">
        <v>22</v>
      </c>
      <c r="D7590" t="s">
        <v>11</v>
      </c>
      <c r="E7590" t="s">
        <v>12</v>
      </c>
      <c r="F7590">
        <v>129035121</v>
      </c>
      <c r="G7590">
        <v>129035136</v>
      </c>
      <c r="H7590">
        <v>129035121</v>
      </c>
      <c r="I7590">
        <v>129035136</v>
      </c>
    </row>
    <row r="7591" spans="1:9" x14ac:dyDescent="0.2">
      <c r="A7591" s="1" t="str">
        <f>"H2AFB1"</f>
        <v>H2AFB1</v>
      </c>
      <c r="B7591" t="s">
        <v>581</v>
      </c>
      <c r="C7591" t="s">
        <v>37</v>
      </c>
      <c r="D7591" t="s">
        <v>17</v>
      </c>
      <c r="E7591" t="s">
        <v>20</v>
      </c>
      <c r="F7591">
        <v>154113316</v>
      </c>
      <c r="G7591">
        <v>154113316</v>
      </c>
      <c r="H7591">
        <v>154113316</v>
      </c>
      <c r="I7591">
        <v>154113316</v>
      </c>
    </row>
    <row r="7592" spans="1:9" x14ac:dyDescent="0.2">
      <c r="A7592" s="1" t="str">
        <f>"H2AFB2"</f>
        <v>H2AFB2</v>
      </c>
      <c r="B7592" t="s">
        <v>582</v>
      </c>
      <c r="C7592" t="s">
        <v>37</v>
      </c>
      <c r="D7592" t="s">
        <v>17</v>
      </c>
      <c r="E7592" t="s">
        <v>20</v>
      </c>
      <c r="F7592">
        <v>154610427</v>
      </c>
      <c r="G7592">
        <v>154610427</v>
      </c>
      <c r="H7592">
        <v>154610427</v>
      </c>
      <c r="I7592">
        <v>154610427</v>
      </c>
    </row>
    <row r="7593" spans="1:9" x14ac:dyDescent="0.2">
      <c r="A7593" s="1" t="str">
        <f>"H2AFB3"</f>
        <v>H2AFB3</v>
      </c>
      <c r="B7593" t="s">
        <v>583</v>
      </c>
      <c r="C7593" t="s">
        <v>37</v>
      </c>
      <c r="D7593" t="s">
        <v>11</v>
      </c>
      <c r="E7593" t="s">
        <v>20</v>
      </c>
      <c r="F7593">
        <v>154689595</v>
      </c>
      <c r="G7593">
        <v>154689595</v>
      </c>
      <c r="H7593">
        <v>154689595</v>
      </c>
      <c r="I7593">
        <v>154689595</v>
      </c>
    </row>
    <row r="7594" spans="1:9" x14ac:dyDescent="0.2">
      <c r="A7594" s="1" t="str">
        <f>"H2AFJ"</f>
        <v>H2AFJ</v>
      </c>
      <c r="B7594" t="s">
        <v>14</v>
      </c>
      <c r="C7594" t="s">
        <v>16</v>
      </c>
      <c r="D7594" t="s">
        <v>17</v>
      </c>
      <c r="E7594" t="s">
        <v>12</v>
      </c>
      <c r="F7594">
        <v>14927297</v>
      </c>
      <c r="G7594">
        <v>14927347</v>
      </c>
      <c r="H7594">
        <v>14927364</v>
      </c>
      <c r="I7594">
        <v>14927375</v>
      </c>
    </row>
    <row r="7595" spans="1:9" x14ac:dyDescent="0.2">
      <c r="A7595" s="1" t="str">
        <f>"H2AFV"</f>
        <v>H2AFV</v>
      </c>
      <c r="B7595" t="s">
        <v>14</v>
      </c>
      <c r="C7595" t="s">
        <v>33</v>
      </c>
      <c r="D7595" t="s">
        <v>11</v>
      </c>
      <c r="E7595" t="s">
        <v>12</v>
      </c>
      <c r="F7595">
        <v>44887644</v>
      </c>
      <c r="G7595">
        <v>44887710</v>
      </c>
      <c r="H7595">
        <v>44887644</v>
      </c>
      <c r="I7595">
        <v>44887710</v>
      </c>
    </row>
    <row r="7596" spans="1:9" x14ac:dyDescent="0.2">
      <c r="A7596" s="1" t="str">
        <f>"H2AFX"</f>
        <v>H2AFX</v>
      </c>
      <c r="B7596" t="s">
        <v>14</v>
      </c>
      <c r="C7596" t="s">
        <v>27</v>
      </c>
      <c r="D7596" t="s">
        <v>11</v>
      </c>
      <c r="E7596" t="s">
        <v>12</v>
      </c>
      <c r="F7596">
        <v>118966167</v>
      </c>
      <c r="G7596">
        <v>118966182</v>
      </c>
      <c r="H7596">
        <v>118966167</v>
      </c>
      <c r="I7596">
        <v>118966182</v>
      </c>
    </row>
    <row r="7597" spans="1:9" x14ac:dyDescent="0.2">
      <c r="A7597" s="1" t="str">
        <f>"H2AFY"</f>
        <v>H2AFY</v>
      </c>
      <c r="B7597" t="s">
        <v>14</v>
      </c>
      <c r="C7597" t="s">
        <v>46</v>
      </c>
      <c r="D7597" t="s">
        <v>11</v>
      </c>
      <c r="E7597" t="s">
        <v>12</v>
      </c>
      <c r="F7597">
        <v>134734908</v>
      </c>
      <c r="G7597">
        <v>134734931</v>
      </c>
      <c r="H7597">
        <v>134734940</v>
      </c>
      <c r="I7597">
        <v>134734958</v>
      </c>
    </row>
    <row r="7598" spans="1:9" x14ac:dyDescent="0.2">
      <c r="A7598" s="1" t="str">
        <f>"H2AFY2"</f>
        <v>H2AFY2</v>
      </c>
      <c r="B7598" t="s">
        <v>14</v>
      </c>
      <c r="C7598" t="s">
        <v>15</v>
      </c>
      <c r="D7598" t="s">
        <v>17</v>
      </c>
      <c r="E7598" t="s">
        <v>12</v>
      </c>
      <c r="F7598">
        <v>71812577</v>
      </c>
      <c r="G7598">
        <v>71812644</v>
      </c>
      <c r="H7598">
        <v>71812562</v>
      </c>
      <c r="I7598">
        <v>71812573</v>
      </c>
    </row>
    <row r="7599" spans="1:9" x14ac:dyDescent="0.2">
      <c r="A7599" s="1" t="str">
        <f>"H2AFZ"</f>
        <v>H2AFZ</v>
      </c>
      <c r="B7599" t="s">
        <v>14</v>
      </c>
      <c r="C7599" t="s">
        <v>23</v>
      </c>
      <c r="D7599" t="s">
        <v>11</v>
      </c>
      <c r="E7599" t="s">
        <v>12</v>
      </c>
      <c r="F7599">
        <v>100871420</v>
      </c>
      <c r="G7599">
        <v>100871440</v>
      </c>
      <c r="H7599">
        <v>100871459</v>
      </c>
      <c r="I7599">
        <v>100871483</v>
      </c>
    </row>
    <row r="7600" spans="1:9" x14ac:dyDescent="0.2">
      <c r="A7600" s="1" t="str">
        <f>"H2BFM"</f>
        <v>H2BFM</v>
      </c>
      <c r="B7600" t="s">
        <v>14</v>
      </c>
      <c r="C7600" t="s">
        <v>37</v>
      </c>
      <c r="D7600" t="s">
        <v>17</v>
      </c>
      <c r="E7600" t="s">
        <v>12</v>
      </c>
      <c r="F7600">
        <v>103294483</v>
      </c>
      <c r="G7600">
        <v>103294530</v>
      </c>
      <c r="H7600">
        <v>103294483</v>
      </c>
      <c r="I7600">
        <v>103294530</v>
      </c>
    </row>
    <row r="7601" spans="1:9" x14ac:dyDescent="0.2">
      <c r="A7601" s="1" t="str">
        <f>"H2BFWT"</f>
        <v>H2BFWT</v>
      </c>
      <c r="B7601" t="s">
        <v>584</v>
      </c>
      <c r="C7601" t="s">
        <v>37</v>
      </c>
      <c r="D7601" t="s">
        <v>11</v>
      </c>
      <c r="E7601" t="s">
        <v>20</v>
      </c>
      <c r="F7601">
        <v>103268258</v>
      </c>
      <c r="G7601">
        <v>103268258</v>
      </c>
      <c r="H7601">
        <v>103268258</v>
      </c>
      <c r="I7601">
        <v>103268258</v>
      </c>
    </row>
    <row r="7602" spans="1:9" x14ac:dyDescent="0.2">
      <c r="A7602" s="1" t="str">
        <f>"H3F3A"</f>
        <v>H3F3A</v>
      </c>
      <c r="B7602" t="s">
        <v>14</v>
      </c>
      <c r="C7602" t="s">
        <v>19</v>
      </c>
      <c r="D7602" t="s">
        <v>17</v>
      </c>
      <c r="E7602" t="s">
        <v>67</v>
      </c>
      <c r="F7602">
        <v>226250405</v>
      </c>
      <c r="G7602">
        <v>226250427</v>
      </c>
      <c r="H7602">
        <v>226250506</v>
      </c>
      <c r="I7602">
        <v>226250548</v>
      </c>
    </row>
    <row r="7603" spans="1:9" x14ac:dyDescent="0.2">
      <c r="A7603" s="1" t="str">
        <f>"H3F3B"</f>
        <v>H3F3B</v>
      </c>
      <c r="B7603" t="s">
        <v>14</v>
      </c>
      <c r="C7603" t="s">
        <v>28</v>
      </c>
      <c r="D7603" t="s">
        <v>11</v>
      </c>
      <c r="E7603" t="s">
        <v>12</v>
      </c>
      <c r="F7603">
        <v>73775848</v>
      </c>
      <c r="G7603">
        <v>73775868</v>
      </c>
      <c r="H7603">
        <v>73775848</v>
      </c>
      <c r="I7603">
        <v>73775868</v>
      </c>
    </row>
    <row r="7604" spans="1:9" x14ac:dyDescent="0.2">
      <c r="A7604" s="1" t="str">
        <f>"H3F3C"</f>
        <v>H3F3C</v>
      </c>
      <c r="B7604" t="s">
        <v>14</v>
      </c>
      <c r="C7604" t="s">
        <v>16</v>
      </c>
      <c r="D7604" t="s">
        <v>11</v>
      </c>
      <c r="E7604" t="s">
        <v>12</v>
      </c>
      <c r="F7604">
        <v>31945225</v>
      </c>
      <c r="G7604">
        <v>31945237</v>
      </c>
      <c r="H7604">
        <v>31945114</v>
      </c>
      <c r="I7604">
        <v>31945141</v>
      </c>
    </row>
    <row r="7605" spans="1:9" x14ac:dyDescent="0.2">
      <c r="A7605" s="1" t="str">
        <f>"H6PD"</f>
        <v>H6PD</v>
      </c>
      <c r="B7605" t="s">
        <v>9</v>
      </c>
      <c r="C7605" t="s">
        <v>19</v>
      </c>
      <c r="D7605" t="s">
        <v>17</v>
      </c>
      <c r="E7605" t="s">
        <v>12</v>
      </c>
      <c r="F7605">
        <v>9294822</v>
      </c>
      <c r="G7605">
        <v>9294889</v>
      </c>
      <c r="H7605">
        <v>9294822</v>
      </c>
      <c r="I7605">
        <v>9294889</v>
      </c>
    </row>
    <row r="7606" spans="1:9" x14ac:dyDescent="0.2">
      <c r="A7606" s="1" t="str">
        <f>"H6PD"</f>
        <v>H6PD</v>
      </c>
      <c r="B7606" t="s">
        <v>13</v>
      </c>
      <c r="C7606" t="s">
        <v>19</v>
      </c>
      <c r="D7606" t="s">
        <v>17</v>
      </c>
      <c r="E7606" t="s">
        <v>12</v>
      </c>
      <c r="F7606">
        <v>9299895</v>
      </c>
      <c r="G7606">
        <v>9299913</v>
      </c>
      <c r="H7606">
        <v>9299895</v>
      </c>
      <c r="I7606">
        <v>9299913</v>
      </c>
    </row>
    <row r="7607" spans="1:9" x14ac:dyDescent="0.2">
      <c r="A7607" s="1" t="str">
        <f>"HAAO"</f>
        <v>HAAO</v>
      </c>
      <c r="B7607" t="s">
        <v>14</v>
      </c>
      <c r="C7607" t="s">
        <v>26</v>
      </c>
      <c r="D7607" t="s">
        <v>11</v>
      </c>
      <c r="E7607" t="s">
        <v>12</v>
      </c>
      <c r="F7607">
        <v>43019698</v>
      </c>
      <c r="G7607">
        <v>43019739</v>
      </c>
      <c r="H7607">
        <v>43019675</v>
      </c>
      <c r="I7607">
        <v>43019690</v>
      </c>
    </row>
    <row r="7608" spans="1:9" x14ac:dyDescent="0.2">
      <c r="A7608" s="1" t="str">
        <f>"HABP2"</f>
        <v>HABP2</v>
      </c>
      <c r="B7608" t="s">
        <v>14</v>
      </c>
      <c r="C7608" t="s">
        <v>15</v>
      </c>
      <c r="D7608" t="s">
        <v>17</v>
      </c>
      <c r="E7608" t="s">
        <v>12</v>
      </c>
      <c r="F7608">
        <v>115312798</v>
      </c>
      <c r="G7608">
        <v>115312819</v>
      </c>
      <c r="H7608">
        <v>115312766</v>
      </c>
      <c r="I7608">
        <v>115312786</v>
      </c>
    </row>
    <row r="7609" spans="1:9" x14ac:dyDescent="0.2">
      <c r="A7609" s="1" t="str">
        <f>"HABP4"</f>
        <v>HABP4</v>
      </c>
      <c r="B7609" t="s">
        <v>14</v>
      </c>
      <c r="C7609" t="s">
        <v>24</v>
      </c>
      <c r="D7609" t="s">
        <v>17</v>
      </c>
      <c r="E7609" t="s">
        <v>12</v>
      </c>
      <c r="F7609">
        <v>99212403</v>
      </c>
      <c r="G7609">
        <v>99212536</v>
      </c>
      <c r="H7609">
        <v>99212366</v>
      </c>
      <c r="I7609">
        <v>99212385</v>
      </c>
    </row>
    <row r="7610" spans="1:9" x14ac:dyDescent="0.2">
      <c r="A7610" s="1" t="str">
        <f>"HACE1"</f>
        <v>HACE1</v>
      </c>
      <c r="B7610" t="s">
        <v>14</v>
      </c>
      <c r="C7610" t="s">
        <v>32</v>
      </c>
      <c r="D7610" t="s">
        <v>11</v>
      </c>
      <c r="E7610" t="s">
        <v>12</v>
      </c>
      <c r="F7610">
        <v>105307711</v>
      </c>
      <c r="G7610">
        <v>105307800</v>
      </c>
      <c r="H7610">
        <v>105307452</v>
      </c>
      <c r="I7610">
        <v>105307489</v>
      </c>
    </row>
    <row r="7611" spans="1:9" x14ac:dyDescent="0.2">
      <c r="A7611" s="1" t="str">
        <f>"HACL1"</f>
        <v>HACL1</v>
      </c>
      <c r="B7611" t="s">
        <v>14</v>
      </c>
      <c r="C7611" t="s">
        <v>22</v>
      </c>
      <c r="D7611" t="s">
        <v>11</v>
      </c>
      <c r="E7611" t="s">
        <v>12</v>
      </c>
      <c r="F7611">
        <v>15643060</v>
      </c>
      <c r="G7611">
        <v>15643087</v>
      </c>
      <c r="H7611">
        <v>15643017</v>
      </c>
      <c r="I7611">
        <v>15643044</v>
      </c>
    </row>
    <row r="7612" spans="1:9" x14ac:dyDescent="0.2">
      <c r="A7612" s="1" t="str">
        <f>"HADH"</f>
        <v>HADH</v>
      </c>
      <c r="B7612" t="s">
        <v>14</v>
      </c>
      <c r="C7612" t="s">
        <v>23</v>
      </c>
      <c r="D7612" t="s">
        <v>17</v>
      </c>
      <c r="E7612" t="s">
        <v>12</v>
      </c>
      <c r="F7612">
        <v>108910976</v>
      </c>
      <c r="G7612">
        <v>108911029</v>
      </c>
      <c r="H7612">
        <v>108911036</v>
      </c>
      <c r="I7612">
        <v>108911065</v>
      </c>
    </row>
    <row r="7613" spans="1:9" x14ac:dyDescent="0.2">
      <c r="A7613" s="1" t="str">
        <f>"HADHA"</f>
        <v>HADHA</v>
      </c>
      <c r="B7613" t="s">
        <v>14</v>
      </c>
      <c r="C7613" t="s">
        <v>26</v>
      </c>
      <c r="D7613" t="s">
        <v>11</v>
      </c>
      <c r="E7613" t="s">
        <v>12</v>
      </c>
      <c r="F7613">
        <v>26467465</v>
      </c>
      <c r="G7613">
        <v>26467514</v>
      </c>
      <c r="H7613">
        <v>26467515</v>
      </c>
      <c r="I7613">
        <v>26467526</v>
      </c>
    </row>
    <row r="7614" spans="1:9" x14ac:dyDescent="0.2">
      <c r="A7614" s="1" t="str">
        <f>"HADHB"</f>
        <v>HADHB</v>
      </c>
      <c r="B7614" t="s">
        <v>14</v>
      </c>
      <c r="C7614" t="s">
        <v>26</v>
      </c>
      <c r="D7614" t="s">
        <v>17</v>
      </c>
      <c r="E7614" t="s">
        <v>12</v>
      </c>
      <c r="F7614">
        <v>26467762</v>
      </c>
      <c r="G7614">
        <v>26467817</v>
      </c>
      <c r="H7614">
        <v>26467825</v>
      </c>
      <c r="I7614">
        <v>26467841</v>
      </c>
    </row>
    <row r="7615" spans="1:9" x14ac:dyDescent="0.2">
      <c r="A7615" s="1" t="str">
        <f>"HAGH"</f>
        <v>HAGH</v>
      </c>
      <c r="B7615" t="s">
        <v>14</v>
      </c>
      <c r="C7615" t="s">
        <v>31</v>
      </c>
      <c r="D7615" t="s">
        <v>11</v>
      </c>
      <c r="E7615" t="s">
        <v>12</v>
      </c>
      <c r="F7615">
        <v>1876787</v>
      </c>
      <c r="G7615">
        <v>1876850</v>
      </c>
      <c r="H7615">
        <v>1876544</v>
      </c>
      <c r="I7615">
        <v>1876624</v>
      </c>
    </row>
    <row r="7616" spans="1:9" x14ac:dyDescent="0.2">
      <c r="A7616" s="1" t="str">
        <f>"HAGHL"</f>
        <v>HAGHL</v>
      </c>
      <c r="B7616" t="s">
        <v>14</v>
      </c>
      <c r="C7616" t="s">
        <v>31</v>
      </c>
      <c r="D7616" t="s">
        <v>17</v>
      </c>
      <c r="E7616" t="s">
        <v>12</v>
      </c>
      <c r="F7616">
        <v>777097</v>
      </c>
      <c r="G7616">
        <v>777112</v>
      </c>
      <c r="H7616">
        <v>777272</v>
      </c>
      <c r="I7616">
        <v>777323</v>
      </c>
    </row>
    <row r="7617" spans="1:9" x14ac:dyDescent="0.2">
      <c r="A7617" s="1" t="str">
        <f>"HAL"</f>
        <v>HAL</v>
      </c>
      <c r="B7617" t="s">
        <v>14</v>
      </c>
      <c r="C7617" t="s">
        <v>16</v>
      </c>
      <c r="D7617" t="s">
        <v>11</v>
      </c>
      <c r="E7617" t="s">
        <v>12</v>
      </c>
      <c r="F7617">
        <v>96389702</v>
      </c>
      <c r="G7617">
        <v>96389722</v>
      </c>
      <c r="H7617">
        <v>96390108</v>
      </c>
      <c r="I7617">
        <v>96390143</v>
      </c>
    </row>
    <row r="7618" spans="1:9" x14ac:dyDescent="0.2">
      <c r="A7618" s="1" t="str">
        <f>"HAMP"</f>
        <v>HAMP</v>
      </c>
      <c r="B7618" t="s">
        <v>14</v>
      </c>
      <c r="C7618" t="s">
        <v>10</v>
      </c>
      <c r="D7618" t="s">
        <v>17</v>
      </c>
      <c r="E7618" t="s">
        <v>12</v>
      </c>
      <c r="F7618">
        <v>35773423</v>
      </c>
      <c r="G7618">
        <v>35773440</v>
      </c>
      <c r="H7618">
        <v>35773262</v>
      </c>
      <c r="I7618">
        <v>35773314</v>
      </c>
    </row>
    <row r="7619" spans="1:9" x14ac:dyDescent="0.2">
      <c r="A7619" s="1" t="str">
        <f>"HAND1"</f>
        <v>HAND1</v>
      </c>
      <c r="B7619" t="s">
        <v>14</v>
      </c>
      <c r="C7619" t="s">
        <v>46</v>
      </c>
      <c r="D7619" t="s">
        <v>11</v>
      </c>
      <c r="E7619" t="s">
        <v>12</v>
      </c>
      <c r="F7619">
        <v>153857778</v>
      </c>
      <c r="G7619">
        <v>153857794</v>
      </c>
      <c r="H7619">
        <v>153857800</v>
      </c>
      <c r="I7619">
        <v>153857812</v>
      </c>
    </row>
    <row r="7620" spans="1:9" x14ac:dyDescent="0.2">
      <c r="A7620" s="1" t="str">
        <f>"HAND2"</f>
        <v>HAND2</v>
      </c>
      <c r="B7620" t="s">
        <v>9</v>
      </c>
      <c r="C7620" t="s">
        <v>23</v>
      </c>
      <c r="D7620" t="s">
        <v>11</v>
      </c>
      <c r="E7620" t="s">
        <v>12</v>
      </c>
      <c r="F7620">
        <v>174451370</v>
      </c>
      <c r="G7620">
        <v>174451387</v>
      </c>
      <c r="H7620">
        <v>174451370</v>
      </c>
      <c r="I7620">
        <v>174451387</v>
      </c>
    </row>
    <row r="7621" spans="1:9" x14ac:dyDescent="0.2">
      <c r="A7621" s="1" t="str">
        <f>"HAND2"</f>
        <v>HAND2</v>
      </c>
      <c r="B7621" t="s">
        <v>13</v>
      </c>
      <c r="C7621" t="s">
        <v>23</v>
      </c>
      <c r="D7621" t="s">
        <v>11</v>
      </c>
      <c r="E7621" t="s">
        <v>12</v>
      </c>
      <c r="F7621">
        <v>174450089</v>
      </c>
      <c r="G7621">
        <v>174450153</v>
      </c>
      <c r="H7621">
        <v>174450089</v>
      </c>
      <c r="I7621">
        <v>174450153</v>
      </c>
    </row>
    <row r="7622" spans="1:9" x14ac:dyDescent="0.2">
      <c r="A7622" s="1" t="str">
        <f>"HAO1"</f>
        <v>HAO1</v>
      </c>
      <c r="B7622" t="s">
        <v>14</v>
      </c>
      <c r="C7622" t="s">
        <v>29</v>
      </c>
      <c r="D7622" t="s">
        <v>11</v>
      </c>
      <c r="E7622" t="s">
        <v>12</v>
      </c>
      <c r="F7622">
        <v>7921090</v>
      </c>
      <c r="G7622">
        <v>7921115</v>
      </c>
      <c r="H7622">
        <v>7921090</v>
      </c>
      <c r="I7622">
        <v>7921115</v>
      </c>
    </row>
    <row r="7623" spans="1:9" x14ac:dyDescent="0.2">
      <c r="A7623" s="1" t="str">
        <f>"HAO2"</f>
        <v>HAO2</v>
      </c>
      <c r="B7623" t="s">
        <v>14</v>
      </c>
      <c r="C7623" t="s">
        <v>19</v>
      </c>
      <c r="D7623" t="s">
        <v>17</v>
      </c>
      <c r="E7623" t="s">
        <v>12</v>
      </c>
      <c r="F7623">
        <v>119911425</v>
      </c>
      <c r="G7623">
        <v>119911441</v>
      </c>
      <c r="H7623">
        <v>119911396</v>
      </c>
      <c r="I7623">
        <v>119911414</v>
      </c>
    </row>
    <row r="7624" spans="1:9" x14ac:dyDescent="0.2">
      <c r="A7624" s="1" t="str">
        <f>"HAP1"</f>
        <v>HAP1</v>
      </c>
      <c r="B7624" t="s">
        <v>14</v>
      </c>
      <c r="C7624" t="s">
        <v>28</v>
      </c>
      <c r="D7624" t="s">
        <v>11</v>
      </c>
      <c r="E7624" t="s">
        <v>12</v>
      </c>
      <c r="F7624">
        <v>39890893</v>
      </c>
      <c r="G7624">
        <v>39890898</v>
      </c>
      <c r="H7624">
        <v>39890893</v>
      </c>
      <c r="I7624">
        <v>39890898</v>
      </c>
    </row>
    <row r="7625" spans="1:9" x14ac:dyDescent="0.2">
      <c r="A7625" s="1" t="str">
        <f>"HAPLN1"</f>
        <v>HAPLN1</v>
      </c>
      <c r="B7625" t="s">
        <v>14</v>
      </c>
      <c r="C7625" t="s">
        <v>46</v>
      </c>
      <c r="D7625" t="s">
        <v>11</v>
      </c>
      <c r="E7625" t="s">
        <v>12</v>
      </c>
      <c r="F7625">
        <v>83016667</v>
      </c>
      <c r="G7625">
        <v>83016681</v>
      </c>
      <c r="H7625">
        <v>83016808</v>
      </c>
      <c r="I7625">
        <v>83016832</v>
      </c>
    </row>
    <row r="7626" spans="1:9" x14ac:dyDescent="0.2">
      <c r="A7626" s="1" t="str">
        <f>"HAPLN2"</f>
        <v>HAPLN2</v>
      </c>
      <c r="B7626" t="s">
        <v>14</v>
      </c>
      <c r="C7626" t="s">
        <v>19</v>
      </c>
      <c r="D7626" t="s">
        <v>17</v>
      </c>
      <c r="E7626" t="s">
        <v>12</v>
      </c>
      <c r="F7626">
        <v>156589198</v>
      </c>
      <c r="G7626">
        <v>156589234</v>
      </c>
      <c r="H7626">
        <v>156589246</v>
      </c>
      <c r="I7626">
        <v>156589262</v>
      </c>
    </row>
    <row r="7627" spans="1:9" x14ac:dyDescent="0.2">
      <c r="A7627" s="1" t="str">
        <f>"HAPLN3"</f>
        <v>HAPLN3</v>
      </c>
      <c r="B7627" t="s">
        <v>9</v>
      </c>
      <c r="C7627" t="s">
        <v>25</v>
      </c>
      <c r="D7627" t="s">
        <v>11</v>
      </c>
      <c r="E7627" t="s">
        <v>12</v>
      </c>
      <c r="F7627">
        <v>89438742</v>
      </c>
      <c r="G7627">
        <v>89438791</v>
      </c>
      <c r="H7627">
        <v>89438742</v>
      </c>
      <c r="I7627">
        <v>89438791</v>
      </c>
    </row>
    <row r="7628" spans="1:9" x14ac:dyDescent="0.2">
      <c r="A7628" s="1" t="str">
        <f>"HAPLN3"</f>
        <v>HAPLN3</v>
      </c>
      <c r="B7628" t="s">
        <v>13</v>
      </c>
      <c r="C7628" t="s">
        <v>25</v>
      </c>
      <c r="D7628" t="s">
        <v>11</v>
      </c>
      <c r="E7628" t="s">
        <v>12</v>
      </c>
      <c r="F7628">
        <v>89430455</v>
      </c>
      <c r="G7628">
        <v>89430462</v>
      </c>
      <c r="H7628">
        <v>89430455</v>
      </c>
      <c r="I7628">
        <v>89430462</v>
      </c>
    </row>
    <row r="7629" spans="1:9" x14ac:dyDescent="0.2">
      <c r="A7629" s="1" t="str">
        <f>"HAPLN4"</f>
        <v>HAPLN4</v>
      </c>
      <c r="B7629" t="s">
        <v>9</v>
      </c>
      <c r="C7629" t="s">
        <v>10</v>
      </c>
      <c r="D7629" t="s">
        <v>11</v>
      </c>
      <c r="E7629" t="s">
        <v>12</v>
      </c>
      <c r="F7629">
        <v>19384055</v>
      </c>
      <c r="G7629">
        <v>19384121</v>
      </c>
      <c r="H7629">
        <v>19384055</v>
      </c>
      <c r="I7629">
        <v>19384121</v>
      </c>
    </row>
    <row r="7630" spans="1:9" x14ac:dyDescent="0.2">
      <c r="A7630" s="1" t="str">
        <f>"HAPLN4"</f>
        <v>HAPLN4</v>
      </c>
      <c r="B7630" t="s">
        <v>13</v>
      </c>
      <c r="C7630" t="s">
        <v>10</v>
      </c>
      <c r="D7630" t="s">
        <v>11</v>
      </c>
      <c r="E7630" t="s">
        <v>12</v>
      </c>
      <c r="F7630">
        <v>19373601</v>
      </c>
      <c r="G7630">
        <v>19373619</v>
      </c>
      <c r="H7630">
        <v>19373601</v>
      </c>
      <c r="I7630">
        <v>19373619</v>
      </c>
    </row>
    <row r="7631" spans="1:9" x14ac:dyDescent="0.2">
      <c r="A7631" s="1" t="str">
        <f>"HARBI1"</f>
        <v>HARBI1</v>
      </c>
      <c r="B7631" t="s">
        <v>14</v>
      </c>
      <c r="C7631" t="s">
        <v>27</v>
      </c>
      <c r="D7631" t="s">
        <v>11</v>
      </c>
      <c r="E7631" t="s">
        <v>12</v>
      </c>
      <c r="F7631">
        <v>46638720</v>
      </c>
      <c r="G7631">
        <v>46638788</v>
      </c>
      <c r="H7631">
        <v>46639436</v>
      </c>
      <c r="I7631">
        <v>46639466</v>
      </c>
    </row>
    <row r="7632" spans="1:9" x14ac:dyDescent="0.2">
      <c r="A7632" s="1" t="str">
        <f>"HARS"</f>
        <v>HARS</v>
      </c>
      <c r="B7632" t="s">
        <v>14</v>
      </c>
      <c r="C7632" t="s">
        <v>46</v>
      </c>
      <c r="D7632" t="s">
        <v>11</v>
      </c>
      <c r="E7632" t="s">
        <v>12</v>
      </c>
      <c r="F7632">
        <v>140070897</v>
      </c>
      <c r="G7632">
        <v>140070979</v>
      </c>
      <c r="H7632">
        <v>140070897</v>
      </c>
      <c r="I7632">
        <v>140070979</v>
      </c>
    </row>
    <row r="7633" spans="1:9" x14ac:dyDescent="0.2">
      <c r="A7633" s="1" t="str">
        <f>"HARS2"</f>
        <v>HARS2</v>
      </c>
      <c r="B7633" t="s">
        <v>14</v>
      </c>
      <c r="C7633" t="s">
        <v>46</v>
      </c>
      <c r="D7633" t="s">
        <v>17</v>
      </c>
      <c r="E7633" t="s">
        <v>12</v>
      </c>
      <c r="F7633">
        <v>140071012</v>
      </c>
      <c r="G7633">
        <v>140071087</v>
      </c>
      <c r="H7633">
        <v>140071178</v>
      </c>
      <c r="I7633">
        <v>140071210</v>
      </c>
    </row>
    <row r="7634" spans="1:9" x14ac:dyDescent="0.2">
      <c r="A7634" s="1" t="str">
        <f>"HAS1"</f>
        <v>HAS1</v>
      </c>
      <c r="B7634" t="s">
        <v>9</v>
      </c>
      <c r="C7634" t="s">
        <v>10</v>
      </c>
      <c r="D7634" t="s">
        <v>11</v>
      </c>
      <c r="E7634" t="s">
        <v>12</v>
      </c>
      <c r="F7634">
        <v>52227241</v>
      </c>
      <c r="G7634">
        <v>52227245</v>
      </c>
      <c r="H7634">
        <v>52227241</v>
      </c>
      <c r="I7634">
        <v>52227245</v>
      </c>
    </row>
    <row r="7635" spans="1:9" x14ac:dyDescent="0.2">
      <c r="A7635" s="1" t="str">
        <f>"HAS1"</f>
        <v>HAS1</v>
      </c>
      <c r="B7635" t="s">
        <v>13</v>
      </c>
      <c r="C7635" t="s">
        <v>10</v>
      </c>
      <c r="D7635" t="s">
        <v>11</v>
      </c>
      <c r="E7635" t="s">
        <v>12</v>
      </c>
      <c r="F7635">
        <v>52222489</v>
      </c>
      <c r="G7635">
        <v>52222529</v>
      </c>
      <c r="H7635">
        <v>52222489</v>
      </c>
      <c r="I7635">
        <v>52222529</v>
      </c>
    </row>
    <row r="7636" spans="1:9" x14ac:dyDescent="0.2">
      <c r="A7636" s="1" t="str">
        <f>"HAS2"</f>
        <v>HAS2</v>
      </c>
      <c r="B7636" t="s">
        <v>14</v>
      </c>
      <c r="C7636" t="s">
        <v>30</v>
      </c>
      <c r="D7636" t="s">
        <v>11</v>
      </c>
      <c r="E7636" t="s">
        <v>12</v>
      </c>
      <c r="F7636">
        <v>122653664</v>
      </c>
      <c r="G7636">
        <v>122653693</v>
      </c>
      <c r="H7636">
        <v>122653465</v>
      </c>
      <c r="I7636">
        <v>122653470</v>
      </c>
    </row>
    <row r="7637" spans="1:9" x14ac:dyDescent="0.2">
      <c r="A7637" s="1" t="str">
        <f>"HAS3"</f>
        <v>HAS3</v>
      </c>
      <c r="B7637" t="s">
        <v>14</v>
      </c>
      <c r="C7637" t="s">
        <v>31</v>
      </c>
      <c r="D7637" t="s">
        <v>17</v>
      </c>
      <c r="E7637" t="s">
        <v>12</v>
      </c>
      <c r="F7637">
        <v>69140122</v>
      </c>
      <c r="G7637">
        <v>69140126</v>
      </c>
      <c r="H7637">
        <v>69139543</v>
      </c>
      <c r="I7637">
        <v>69139585</v>
      </c>
    </row>
    <row r="7638" spans="1:9" x14ac:dyDescent="0.2">
      <c r="A7638" s="1" t="str">
        <f>"HAT1"</f>
        <v>HAT1</v>
      </c>
      <c r="B7638" t="s">
        <v>14</v>
      </c>
      <c r="C7638" t="s">
        <v>26</v>
      </c>
      <c r="D7638" t="s">
        <v>17</v>
      </c>
      <c r="E7638" t="s">
        <v>12</v>
      </c>
      <c r="F7638">
        <v>172778952</v>
      </c>
      <c r="G7638">
        <v>172779004</v>
      </c>
      <c r="H7638">
        <v>172778926</v>
      </c>
      <c r="I7638">
        <v>172778950</v>
      </c>
    </row>
    <row r="7639" spans="1:9" x14ac:dyDescent="0.2">
      <c r="A7639" s="1" t="str">
        <f>"HAUS1"</f>
        <v>HAUS1</v>
      </c>
      <c r="B7639" t="s">
        <v>14</v>
      </c>
      <c r="C7639" t="s">
        <v>43</v>
      </c>
      <c r="D7639" t="s">
        <v>17</v>
      </c>
      <c r="E7639" t="s">
        <v>12</v>
      </c>
      <c r="F7639">
        <v>43684310</v>
      </c>
      <c r="G7639">
        <v>43684373</v>
      </c>
      <c r="H7639">
        <v>43684300</v>
      </c>
      <c r="I7639">
        <v>43684304</v>
      </c>
    </row>
    <row r="7640" spans="1:9" x14ac:dyDescent="0.2">
      <c r="A7640" s="1" t="str">
        <f>"HAUS2"</f>
        <v>HAUS2</v>
      </c>
      <c r="B7640" t="s">
        <v>14</v>
      </c>
      <c r="C7640" t="s">
        <v>25</v>
      </c>
      <c r="D7640" t="s">
        <v>17</v>
      </c>
      <c r="E7640" t="s">
        <v>12</v>
      </c>
      <c r="F7640">
        <v>42841009</v>
      </c>
      <c r="G7640">
        <v>42841061</v>
      </c>
      <c r="H7640">
        <v>42840992</v>
      </c>
      <c r="I7640">
        <v>42841002</v>
      </c>
    </row>
    <row r="7641" spans="1:9" x14ac:dyDescent="0.2">
      <c r="A7641" s="1" t="str">
        <f>"HAUS3"</f>
        <v>HAUS3</v>
      </c>
      <c r="B7641" t="s">
        <v>14</v>
      </c>
      <c r="C7641" t="s">
        <v>23</v>
      </c>
      <c r="D7641" t="s">
        <v>11</v>
      </c>
      <c r="E7641" t="s">
        <v>12</v>
      </c>
      <c r="F7641">
        <v>2243839</v>
      </c>
      <c r="G7641">
        <v>2243865</v>
      </c>
      <c r="H7641">
        <v>2243792</v>
      </c>
      <c r="I7641">
        <v>2243809</v>
      </c>
    </row>
    <row r="7642" spans="1:9" x14ac:dyDescent="0.2">
      <c r="A7642" s="1" t="str">
        <f>"HAUS4"</f>
        <v>HAUS4</v>
      </c>
      <c r="B7642" t="s">
        <v>14</v>
      </c>
      <c r="C7642" t="s">
        <v>41</v>
      </c>
      <c r="D7642" t="s">
        <v>11</v>
      </c>
      <c r="E7642" t="s">
        <v>12</v>
      </c>
      <c r="F7642">
        <v>23426281</v>
      </c>
      <c r="G7642">
        <v>23426306</v>
      </c>
      <c r="H7642">
        <v>23426337</v>
      </c>
      <c r="I7642">
        <v>23426363</v>
      </c>
    </row>
    <row r="7643" spans="1:9" x14ac:dyDescent="0.2">
      <c r="A7643" s="1" t="str">
        <f>"HAUS5"</f>
        <v>HAUS5</v>
      </c>
      <c r="B7643" t="s">
        <v>14</v>
      </c>
      <c r="C7643" t="s">
        <v>10</v>
      </c>
      <c r="D7643" t="s">
        <v>17</v>
      </c>
      <c r="E7643" t="s">
        <v>12</v>
      </c>
      <c r="F7643">
        <v>36103631</v>
      </c>
      <c r="G7643">
        <v>36103699</v>
      </c>
      <c r="H7643">
        <v>36103537</v>
      </c>
      <c r="I7643">
        <v>36103538</v>
      </c>
    </row>
    <row r="7644" spans="1:9" x14ac:dyDescent="0.2">
      <c r="A7644" s="1" t="str">
        <f>"HAUS6"</f>
        <v>HAUS6</v>
      </c>
      <c r="B7644" t="s">
        <v>14</v>
      </c>
      <c r="C7644" t="s">
        <v>24</v>
      </c>
      <c r="D7644" t="s">
        <v>11</v>
      </c>
      <c r="E7644" t="s">
        <v>12</v>
      </c>
      <c r="F7644">
        <v>19102886</v>
      </c>
      <c r="G7644">
        <v>19102959</v>
      </c>
      <c r="H7644">
        <v>19102873</v>
      </c>
      <c r="I7644">
        <v>19102884</v>
      </c>
    </row>
    <row r="7645" spans="1:9" x14ac:dyDescent="0.2">
      <c r="A7645" s="1" t="str">
        <f>"HAUS7"</f>
        <v>HAUS7</v>
      </c>
      <c r="B7645" t="s">
        <v>9</v>
      </c>
      <c r="C7645" t="s">
        <v>37</v>
      </c>
      <c r="D7645" t="s">
        <v>11</v>
      </c>
      <c r="E7645" t="s">
        <v>12</v>
      </c>
      <c r="F7645">
        <v>152736013</v>
      </c>
      <c r="G7645">
        <v>152736052</v>
      </c>
      <c r="H7645">
        <v>152736013</v>
      </c>
      <c r="I7645">
        <v>152736052</v>
      </c>
    </row>
    <row r="7646" spans="1:9" x14ac:dyDescent="0.2">
      <c r="A7646" s="1" t="str">
        <f>"HAUS7"</f>
        <v>HAUS7</v>
      </c>
      <c r="B7646" t="s">
        <v>13</v>
      </c>
      <c r="C7646" t="s">
        <v>37</v>
      </c>
      <c r="D7646" t="s">
        <v>11</v>
      </c>
      <c r="E7646" t="s">
        <v>12</v>
      </c>
      <c r="F7646">
        <v>152760934</v>
      </c>
      <c r="G7646">
        <v>152760986</v>
      </c>
      <c r="H7646">
        <v>152760934</v>
      </c>
      <c r="I7646">
        <v>152760986</v>
      </c>
    </row>
    <row r="7647" spans="1:9" x14ac:dyDescent="0.2">
      <c r="A7647" s="1" t="str">
        <f>"HAUS8"</f>
        <v>HAUS8</v>
      </c>
      <c r="B7647" t="s">
        <v>14</v>
      </c>
      <c r="C7647" t="s">
        <v>10</v>
      </c>
      <c r="D7647" t="s">
        <v>11</v>
      </c>
      <c r="E7647" t="s">
        <v>12</v>
      </c>
      <c r="F7647">
        <v>17186229</v>
      </c>
      <c r="G7647">
        <v>17186278</v>
      </c>
      <c r="H7647">
        <v>17186431</v>
      </c>
      <c r="I7647">
        <v>17186462</v>
      </c>
    </row>
    <row r="7648" spans="1:9" x14ac:dyDescent="0.2">
      <c r="A7648" s="1" t="str">
        <f>"HAVCR1"</f>
        <v>HAVCR1</v>
      </c>
      <c r="B7648" t="s">
        <v>14</v>
      </c>
      <c r="C7648" t="s">
        <v>46</v>
      </c>
      <c r="D7648" t="s">
        <v>11</v>
      </c>
      <c r="E7648" t="s">
        <v>12</v>
      </c>
      <c r="F7648">
        <v>156486120</v>
      </c>
      <c r="G7648">
        <v>156486134</v>
      </c>
      <c r="H7648">
        <v>156486149</v>
      </c>
      <c r="I7648">
        <v>156486170</v>
      </c>
    </row>
    <row r="7649" spans="1:9" x14ac:dyDescent="0.2">
      <c r="A7649" s="1" t="str">
        <f>"HAVCR2"</f>
        <v>HAVCR2</v>
      </c>
      <c r="B7649" t="s">
        <v>585</v>
      </c>
      <c r="C7649" t="s">
        <v>46</v>
      </c>
      <c r="D7649" t="s">
        <v>11</v>
      </c>
      <c r="E7649" t="s">
        <v>20</v>
      </c>
      <c r="F7649">
        <v>156536724</v>
      </c>
      <c r="G7649">
        <v>156536724</v>
      </c>
      <c r="H7649">
        <v>156536724</v>
      </c>
      <c r="I7649">
        <v>156536724</v>
      </c>
    </row>
    <row r="7650" spans="1:9" x14ac:dyDescent="0.2">
      <c r="A7650" s="1" t="str">
        <f>"HAX1"</f>
        <v>HAX1</v>
      </c>
      <c r="B7650" t="s">
        <v>14</v>
      </c>
      <c r="C7650" t="s">
        <v>19</v>
      </c>
      <c r="D7650" t="s">
        <v>17</v>
      </c>
      <c r="E7650" t="s">
        <v>12</v>
      </c>
      <c r="F7650">
        <v>154245073</v>
      </c>
      <c r="G7650">
        <v>154245147</v>
      </c>
      <c r="H7650">
        <v>154245073</v>
      </c>
      <c r="I7650">
        <v>154245147</v>
      </c>
    </row>
    <row r="7651" spans="1:9" x14ac:dyDescent="0.2">
      <c r="A7651" s="1" t="str">
        <f>"HBA1"</f>
        <v>HBA1</v>
      </c>
      <c r="B7651" t="s">
        <v>9</v>
      </c>
      <c r="C7651" t="s">
        <v>31</v>
      </c>
      <c r="D7651" t="s">
        <v>17</v>
      </c>
      <c r="E7651" t="s">
        <v>12</v>
      </c>
      <c r="F7651">
        <v>226658</v>
      </c>
      <c r="G7651">
        <v>226673</v>
      </c>
      <c r="H7651">
        <v>226658</v>
      </c>
      <c r="I7651">
        <v>226673</v>
      </c>
    </row>
    <row r="7652" spans="1:9" x14ac:dyDescent="0.2">
      <c r="A7652" s="1" t="str">
        <f>"HBA1"</f>
        <v>HBA1</v>
      </c>
      <c r="B7652" t="s">
        <v>13</v>
      </c>
      <c r="C7652" t="s">
        <v>31</v>
      </c>
      <c r="D7652" t="s">
        <v>17</v>
      </c>
      <c r="E7652" t="s">
        <v>12</v>
      </c>
      <c r="F7652">
        <v>222868</v>
      </c>
      <c r="G7652">
        <v>222869</v>
      </c>
      <c r="H7652">
        <v>222868</v>
      </c>
      <c r="I7652">
        <v>222869</v>
      </c>
    </row>
    <row r="7653" spans="1:9" x14ac:dyDescent="0.2">
      <c r="A7653" s="1" t="str">
        <f>"HBA2"</f>
        <v>HBA2</v>
      </c>
      <c r="B7653" t="s">
        <v>9</v>
      </c>
      <c r="C7653" t="s">
        <v>31</v>
      </c>
      <c r="D7653" t="s">
        <v>17</v>
      </c>
      <c r="E7653" t="s">
        <v>12</v>
      </c>
      <c r="F7653">
        <v>226658</v>
      </c>
      <c r="G7653">
        <v>226673</v>
      </c>
      <c r="H7653">
        <v>226658</v>
      </c>
      <c r="I7653">
        <v>226673</v>
      </c>
    </row>
    <row r="7654" spans="1:9" x14ac:dyDescent="0.2">
      <c r="A7654" s="1" t="str">
        <f>"HBA2"</f>
        <v>HBA2</v>
      </c>
      <c r="B7654" t="s">
        <v>13</v>
      </c>
      <c r="C7654" t="s">
        <v>31</v>
      </c>
      <c r="D7654" t="s">
        <v>17</v>
      </c>
      <c r="E7654" t="s">
        <v>12</v>
      </c>
      <c r="F7654">
        <v>222868</v>
      </c>
      <c r="G7654">
        <v>222869</v>
      </c>
      <c r="H7654">
        <v>222868</v>
      </c>
      <c r="I7654">
        <v>222869</v>
      </c>
    </row>
    <row r="7655" spans="1:9" x14ac:dyDescent="0.2">
      <c r="A7655" s="1" t="str">
        <f>"HBB"</f>
        <v>HBB</v>
      </c>
      <c r="B7655" t="s">
        <v>9</v>
      </c>
      <c r="C7655" t="s">
        <v>27</v>
      </c>
      <c r="D7655" t="s">
        <v>11</v>
      </c>
      <c r="E7655" t="s">
        <v>12</v>
      </c>
      <c r="F7655">
        <v>5248294</v>
      </c>
      <c r="G7655">
        <v>5248308</v>
      </c>
      <c r="H7655">
        <v>5248294</v>
      </c>
      <c r="I7655">
        <v>5248308</v>
      </c>
    </row>
    <row r="7656" spans="1:9" x14ac:dyDescent="0.2">
      <c r="A7656" s="1" t="str">
        <f>"HBB"</f>
        <v>HBB</v>
      </c>
      <c r="B7656" t="s">
        <v>13</v>
      </c>
      <c r="C7656" t="s">
        <v>27</v>
      </c>
      <c r="D7656" t="s">
        <v>11</v>
      </c>
      <c r="E7656" t="s">
        <v>12</v>
      </c>
      <c r="F7656">
        <v>5255755</v>
      </c>
      <c r="G7656">
        <v>5255802</v>
      </c>
      <c r="H7656">
        <v>5255755</v>
      </c>
      <c r="I7656">
        <v>5255802</v>
      </c>
    </row>
    <row r="7657" spans="1:9" x14ac:dyDescent="0.2">
      <c r="A7657" s="1" t="str">
        <f>"HBD"</f>
        <v>HBD</v>
      </c>
      <c r="B7657" t="s">
        <v>14</v>
      </c>
      <c r="C7657" t="s">
        <v>27</v>
      </c>
      <c r="D7657" t="s">
        <v>11</v>
      </c>
      <c r="E7657" t="s">
        <v>12</v>
      </c>
      <c r="F7657">
        <v>5255696</v>
      </c>
      <c r="G7657">
        <v>5255724</v>
      </c>
      <c r="H7657">
        <v>5255755</v>
      </c>
      <c r="I7657">
        <v>5255802</v>
      </c>
    </row>
    <row r="7658" spans="1:9" x14ac:dyDescent="0.2">
      <c r="A7658" s="1" t="str">
        <f>"HBE1"</f>
        <v>HBE1</v>
      </c>
      <c r="B7658" t="s">
        <v>14</v>
      </c>
      <c r="C7658" t="s">
        <v>27</v>
      </c>
      <c r="D7658" t="s">
        <v>11</v>
      </c>
      <c r="E7658" t="s">
        <v>12</v>
      </c>
      <c r="F7658">
        <v>5291163</v>
      </c>
      <c r="G7658">
        <v>5291182</v>
      </c>
      <c r="H7658">
        <v>5291163</v>
      </c>
      <c r="I7658">
        <v>5291182</v>
      </c>
    </row>
    <row r="7659" spans="1:9" x14ac:dyDescent="0.2">
      <c r="A7659" s="1" t="str">
        <f>"HBEGF"</f>
        <v>HBEGF</v>
      </c>
      <c r="B7659" t="s">
        <v>14</v>
      </c>
      <c r="C7659" t="s">
        <v>46</v>
      </c>
      <c r="D7659" t="s">
        <v>11</v>
      </c>
      <c r="E7659" t="s">
        <v>12</v>
      </c>
      <c r="F7659">
        <v>139726181</v>
      </c>
      <c r="G7659">
        <v>139726197</v>
      </c>
      <c r="H7659">
        <v>139726406</v>
      </c>
      <c r="I7659">
        <v>139726428</v>
      </c>
    </row>
    <row r="7660" spans="1:9" x14ac:dyDescent="0.2">
      <c r="A7660" s="1" t="str">
        <f>"HBG1"</f>
        <v>HBG1</v>
      </c>
      <c r="B7660" t="s">
        <v>14</v>
      </c>
      <c r="C7660" t="s">
        <v>27</v>
      </c>
      <c r="D7660" t="s">
        <v>11</v>
      </c>
      <c r="E7660" t="s">
        <v>12</v>
      </c>
      <c r="F7660">
        <v>5269539</v>
      </c>
      <c r="G7660">
        <v>5269554</v>
      </c>
      <c r="H7660">
        <v>5269580</v>
      </c>
      <c r="I7660">
        <v>5269581</v>
      </c>
    </row>
    <row r="7661" spans="1:9" x14ac:dyDescent="0.2">
      <c r="A7661" s="1" t="str">
        <f>"HBG2"</f>
        <v>HBG2</v>
      </c>
      <c r="B7661" t="s">
        <v>14</v>
      </c>
      <c r="C7661" t="s">
        <v>27</v>
      </c>
      <c r="D7661" t="s">
        <v>11</v>
      </c>
      <c r="E7661" t="s">
        <v>12</v>
      </c>
      <c r="F7661">
        <v>5276008</v>
      </c>
      <c r="G7661">
        <v>5276013</v>
      </c>
      <c r="H7661">
        <v>5276008</v>
      </c>
      <c r="I7661">
        <v>5276013</v>
      </c>
    </row>
    <row r="7662" spans="1:9" x14ac:dyDescent="0.2">
      <c r="A7662" s="1" t="str">
        <f>"HBM"</f>
        <v>HBM</v>
      </c>
      <c r="B7662" t="s">
        <v>14</v>
      </c>
      <c r="C7662" t="s">
        <v>31</v>
      </c>
      <c r="D7662" t="s">
        <v>17</v>
      </c>
      <c r="E7662" t="s">
        <v>12</v>
      </c>
      <c r="F7662">
        <v>215965</v>
      </c>
      <c r="G7662">
        <v>215984</v>
      </c>
      <c r="H7662">
        <v>216087</v>
      </c>
      <c r="I7662">
        <v>216089</v>
      </c>
    </row>
    <row r="7663" spans="1:9" x14ac:dyDescent="0.2">
      <c r="A7663" s="1" t="str">
        <f>"HBP1"</f>
        <v>HBP1</v>
      </c>
      <c r="B7663" t="s">
        <v>14</v>
      </c>
      <c r="C7663" t="s">
        <v>33</v>
      </c>
      <c r="D7663" t="s">
        <v>17</v>
      </c>
      <c r="E7663" t="s">
        <v>12</v>
      </c>
      <c r="F7663">
        <v>106809432</v>
      </c>
      <c r="G7663">
        <v>106809455</v>
      </c>
      <c r="H7663">
        <v>106809470</v>
      </c>
      <c r="I7663">
        <v>106809481</v>
      </c>
    </row>
    <row r="7664" spans="1:9" x14ac:dyDescent="0.2">
      <c r="A7664" s="1" t="str">
        <f>"HBQ1"</f>
        <v>HBQ1</v>
      </c>
      <c r="B7664" t="s">
        <v>14</v>
      </c>
      <c r="C7664" t="s">
        <v>31</v>
      </c>
      <c r="D7664" t="s">
        <v>17</v>
      </c>
      <c r="E7664" t="s">
        <v>12</v>
      </c>
      <c r="F7664">
        <v>230435</v>
      </c>
      <c r="G7664">
        <v>230499</v>
      </c>
      <c r="H7664">
        <v>230500</v>
      </c>
      <c r="I7664">
        <v>230518</v>
      </c>
    </row>
    <row r="7665" spans="1:9" x14ac:dyDescent="0.2">
      <c r="A7665" s="1" t="str">
        <f>"HBS1L"</f>
        <v>HBS1L</v>
      </c>
      <c r="B7665" t="s">
        <v>14</v>
      </c>
      <c r="C7665" t="s">
        <v>32</v>
      </c>
      <c r="D7665" t="s">
        <v>11</v>
      </c>
      <c r="E7665" t="s">
        <v>12</v>
      </c>
      <c r="F7665">
        <v>135375921</v>
      </c>
      <c r="G7665">
        <v>135375969</v>
      </c>
      <c r="H7665">
        <v>135375986</v>
      </c>
      <c r="I7665">
        <v>135376000</v>
      </c>
    </row>
    <row r="7666" spans="1:9" x14ac:dyDescent="0.2">
      <c r="A7666" s="1" t="str">
        <f>"HBZ"</f>
        <v>HBZ</v>
      </c>
      <c r="B7666" t="s">
        <v>14</v>
      </c>
      <c r="C7666" t="s">
        <v>31</v>
      </c>
      <c r="D7666" t="s">
        <v>17</v>
      </c>
      <c r="E7666" t="s">
        <v>12</v>
      </c>
      <c r="F7666">
        <v>202850</v>
      </c>
      <c r="G7666">
        <v>202864</v>
      </c>
      <c r="H7666">
        <v>202637</v>
      </c>
      <c r="I7666">
        <v>202675</v>
      </c>
    </row>
    <row r="7667" spans="1:9" x14ac:dyDescent="0.2">
      <c r="A7667" s="1" t="str">
        <f>"HCAR1"</f>
        <v>HCAR1</v>
      </c>
      <c r="B7667" t="s">
        <v>14</v>
      </c>
      <c r="C7667" t="s">
        <v>16</v>
      </c>
      <c r="D7667" t="s">
        <v>11</v>
      </c>
      <c r="E7667" t="s">
        <v>12</v>
      </c>
      <c r="F7667">
        <v>123215306</v>
      </c>
      <c r="G7667">
        <v>123215366</v>
      </c>
      <c r="H7667">
        <v>123215433</v>
      </c>
      <c r="I7667">
        <v>123215462</v>
      </c>
    </row>
    <row r="7668" spans="1:9" x14ac:dyDescent="0.2">
      <c r="A7668" s="1" t="str">
        <f>"HCAR2"</f>
        <v>HCAR2</v>
      </c>
      <c r="B7668" t="s">
        <v>14</v>
      </c>
      <c r="C7668" t="s">
        <v>16</v>
      </c>
      <c r="D7668" t="s">
        <v>11</v>
      </c>
      <c r="E7668" t="s">
        <v>12</v>
      </c>
      <c r="F7668">
        <v>123187893</v>
      </c>
      <c r="G7668">
        <v>123187911</v>
      </c>
      <c r="H7668">
        <v>123187893</v>
      </c>
      <c r="I7668">
        <v>123187911</v>
      </c>
    </row>
    <row r="7669" spans="1:9" x14ac:dyDescent="0.2">
      <c r="A7669" s="1" t="str">
        <f>"HCAR3"</f>
        <v>HCAR3</v>
      </c>
      <c r="B7669" t="s">
        <v>14</v>
      </c>
      <c r="C7669" t="s">
        <v>16</v>
      </c>
      <c r="D7669" t="s">
        <v>11</v>
      </c>
      <c r="E7669" t="s">
        <v>12</v>
      </c>
      <c r="F7669">
        <v>123201337</v>
      </c>
      <c r="G7669">
        <v>123201364</v>
      </c>
      <c r="H7669">
        <v>123201337</v>
      </c>
      <c r="I7669">
        <v>123201364</v>
      </c>
    </row>
    <row r="7670" spans="1:9" x14ac:dyDescent="0.2">
      <c r="A7670" s="1" t="str">
        <f>"HCCS"</f>
        <v>HCCS</v>
      </c>
      <c r="B7670" t="s">
        <v>14</v>
      </c>
      <c r="C7670" t="s">
        <v>37</v>
      </c>
      <c r="D7670" t="s">
        <v>17</v>
      </c>
      <c r="E7670" t="s">
        <v>12</v>
      </c>
      <c r="F7670">
        <v>11129388</v>
      </c>
      <c r="G7670">
        <v>11129475</v>
      </c>
      <c r="H7670">
        <v>11129575</v>
      </c>
      <c r="I7670">
        <v>11129592</v>
      </c>
    </row>
    <row r="7671" spans="1:9" x14ac:dyDescent="0.2">
      <c r="A7671" s="1" t="str">
        <f>"HCFC1"</f>
        <v>HCFC1</v>
      </c>
      <c r="B7671" t="s">
        <v>14</v>
      </c>
      <c r="C7671" t="s">
        <v>37</v>
      </c>
      <c r="D7671" t="s">
        <v>11</v>
      </c>
      <c r="E7671" t="s">
        <v>12</v>
      </c>
      <c r="F7671">
        <v>153237261</v>
      </c>
      <c r="G7671">
        <v>153237295</v>
      </c>
      <c r="H7671">
        <v>153236620</v>
      </c>
      <c r="I7671">
        <v>153236684</v>
      </c>
    </row>
    <row r="7672" spans="1:9" x14ac:dyDescent="0.2">
      <c r="A7672" s="1" t="str">
        <f>"HCFC1R1"</f>
        <v>HCFC1R1</v>
      </c>
      <c r="B7672" t="s">
        <v>14</v>
      </c>
      <c r="C7672" t="s">
        <v>31</v>
      </c>
      <c r="D7672" t="s">
        <v>11</v>
      </c>
      <c r="E7672" t="s">
        <v>12</v>
      </c>
      <c r="F7672">
        <v>3073933</v>
      </c>
      <c r="G7672">
        <v>3074006</v>
      </c>
      <c r="H7672">
        <v>3073933</v>
      </c>
      <c r="I7672">
        <v>3074006</v>
      </c>
    </row>
    <row r="7673" spans="1:9" x14ac:dyDescent="0.2">
      <c r="A7673" s="1" t="str">
        <f>"HCFC2"</f>
        <v>HCFC2</v>
      </c>
      <c r="B7673" t="s">
        <v>14</v>
      </c>
      <c r="C7673" t="s">
        <v>16</v>
      </c>
      <c r="D7673" t="s">
        <v>17</v>
      </c>
      <c r="E7673" t="s">
        <v>12</v>
      </c>
      <c r="F7673">
        <v>104458297</v>
      </c>
      <c r="G7673">
        <v>104458344</v>
      </c>
      <c r="H7673">
        <v>104458297</v>
      </c>
      <c r="I7673">
        <v>104458344</v>
      </c>
    </row>
    <row r="7674" spans="1:9" x14ac:dyDescent="0.2">
      <c r="A7674" s="1" t="str">
        <f>"HCK"</f>
        <v>HCK</v>
      </c>
      <c r="B7674" t="s">
        <v>14</v>
      </c>
      <c r="C7674" t="s">
        <v>29</v>
      </c>
      <c r="D7674" t="s">
        <v>17</v>
      </c>
      <c r="E7674" t="s">
        <v>12</v>
      </c>
      <c r="F7674">
        <v>30640004</v>
      </c>
      <c r="G7674">
        <v>30640091</v>
      </c>
      <c r="H7674">
        <v>30639998</v>
      </c>
      <c r="I7674">
        <v>30640001</v>
      </c>
    </row>
    <row r="7675" spans="1:9" x14ac:dyDescent="0.2">
      <c r="A7675" s="1" t="str">
        <f>"HCLS1"</f>
        <v>HCLS1</v>
      </c>
      <c r="B7675" t="s">
        <v>14</v>
      </c>
      <c r="C7675" t="s">
        <v>22</v>
      </c>
      <c r="D7675" t="s">
        <v>11</v>
      </c>
      <c r="E7675" t="s">
        <v>12</v>
      </c>
      <c r="F7675">
        <v>121379739</v>
      </c>
      <c r="G7675">
        <v>121379771</v>
      </c>
      <c r="H7675">
        <v>121379777</v>
      </c>
      <c r="I7675">
        <v>121379788</v>
      </c>
    </row>
    <row r="7676" spans="1:9" x14ac:dyDescent="0.2">
      <c r="A7676" s="1" t="str">
        <f>"HCN1"</f>
        <v>HCN1</v>
      </c>
      <c r="B7676" t="s">
        <v>14</v>
      </c>
      <c r="C7676" t="s">
        <v>46</v>
      </c>
      <c r="D7676" t="s">
        <v>11</v>
      </c>
      <c r="E7676" t="s">
        <v>12</v>
      </c>
      <c r="F7676">
        <v>45696428</v>
      </c>
      <c r="G7676">
        <v>45696488</v>
      </c>
      <c r="H7676">
        <v>45696397</v>
      </c>
      <c r="I7676">
        <v>45696427</v>
      </c>
    </row>
    <row r="7677" spans="1:9" x14ac:dyDescent="0.2">
      <c r="A7677" s="1" t="str">
        <f>"HCN2"</f>
        <v>HCN2</v>
      </c>
      <c r="B7677" t="s">
        <v>14</v>
      </c>
      <c r="C7677" t="s">
        <v>10</v>
      </c>
      <c r="D7677" t="s">
        <v>17</v>
      </c>
      <c r="E7677" t="s">
        <v>12</v>
      </c>
      <c r="F7677">
        <v>589873</v>
      </c>
      <c r="G7677">
        <v>589891</v>
      </c>
      <c r="H7677">
        <v>589917</v>
      </c>
      <c r="I7677">
        <v>589930</v>
      </c>
    </row>
    <row r="7678" spans="1:9" x14ac:dyDescent="0.2">
      <c r="A7678" s="1" t="str">
        <f>"HCN3"</f>
        <v>HCN3</v>
      </c>
      <c r="B7678" t="s">
        <v>14</v>
      </c>
      <c r="C7678" t="s">
        <v>19</v>
      </c>
      <c r="D7678" t="s">
        <v>17</v>
      </c>
      <c r="E7678" t="s">
        <v>12</v>
      </c>
      <c r="F7678">
        <v>155247207</v>
      </c>
      <c r="G7678">
        <v>155247309</v>
      </c>
      <c r="H7678">
        <v>155247159</v>
      </c>
      <c r="I7678">
        <v>155247168</v>
      </c>
    </row>
    <row r="7679" spans="1:9" x14ac:dyDescent="0.2">
      <c r="A7679" s="1" t="str">
        <f>"HCN4"</f>
        <v>HCN4</v>
      </c>
      <c r="B7679" t="s">
        <v>14</v>
      </c>
      <c r="C7679" t="s">
        <v>25</v>
      </c>
      <c r="D7679" t="s">
        <v>11</v>
      </c>
      <c r="E7679" t="s">
        <v>12</v>
      </c>
      <c r="F7679">
        <v>73661186</v>
      </c>
      <c r="G7679">
        <v>73661217</v>
      </c>
      <c r="H7679">
        <v>73661186</v>
      </c>
      <c r="I7679">
        <v>73661217</v>
      </c>
    </row>
    <row r="7680" spans="1:9" x14ac:dyDescent="0.2">
      <c r="A7680" s="1" t="str">
        <f>"HCRT"</f>
        <v>HCRT</v>
      </c>
      <c r="B7680" t="s">
        <v>14</v>
      </c>
      <c r="C7680" t="s">
        <v>28</v>
      </c>
      <c r="D7680" t="s">
        <v>11</v>
      </c>
      <c r="E7680" t="s">
        <v>12</v>
      </c>
      <c r="F7680">
        <v>40337466</v>
      </c>
      <c r="G7680">
        <v>40337469</v>
      </c>
      <c r="H7680">
        <v>40337466</v>
      </c>
      <c r="I7680">
        <v>40337469</v>
      </c>
    </row>
    <row r="7681" spans="1:9" x14ac:dyDescent="0.2">
      <c r="A7681" s="1" t="str">
        <f>"HCRTR1"</f>
        <v>HCRTR1</v>
      </c>
      <c r="B7681" t="s">
        <v>14</v>
      </c>
      <c r="C7681" t="s">
        <v>19</v>
      </c>
      <c r="D7681" t="s">
        <v>17</v>
      </c>
      <c r="E7681" t="s">
        <v>12</v>
      </c>
      <c r="F7681">
        <v>32083285</v>
      </c>
      <c r="G7681">
        <v>32083305</v>
      </c>
      <c r="H7681">
        <v>32083313</v>
      </c>
      <c r="I7681">
        <v>32083316</v>
      </c>
    </row>
    <row r="7682" spans="1:9" x14ac:dyDescent="0.2">
      <c r="A7682" s="1" t="str">
        <f>"HCRTR2"</f>
        <v>HCRTR2</v>
      </c>
      <c r="B7682" t="s">
        <v>14</v>
      </c>
      <c r="C7682" t="s">
        <v>32</v>
      </c>
      <c r="D7682" t="s">
        <v>17</v>
      </c>
      <c r="E7682" t="s">
        <v>12</v>
      </c>
      <c r="F7682">
        <v>55039307</v>
      </c>
      <c r="G7682">
        <v>55039326</v>
      </c>
      <c r="H7682">
        <v>55039143</v>
      </c>
      <c r="I7682">
        <v>55039152</v>
      </c>
    </row>
    <row r="7683" spans="1:9" x14ac:dyDescent="0.2">
      <c r="A7683" s="1" t="str">
        <f>"HCST"</f>
        <v>HCST</v>
      </c>
      <c r="B7683" t="s">
        <v>14</v>
      </c>
      <c r="C7683" t="s">
        <v>10</v>
      </c>
      <c r="D7683" t="s">
        <v>17</v>
      </c>
      <c r="E7683" t="s">
        <v>12</v>
      </c>
      <c r="F7683">
        <v>36393422</v>
      </c>
      <c r="G7683">
        <v>36393439</v>
      </c>
      <c r="H7683">
        <v>36393388</v>
      </c>
      <c r="I7683">
        <v>36393421</v>
      </c>
    </row>
    <row r="7684" spans="1:9" x14ac:dyDescent="0.2">
      <c r="A7684" s="1" t="str">
        <f>"HDAC1"</f>
        <v>HDAC1</v>
      </c>
      <c r="B7684" t="s">
        <v>14</v>
      </c>
      <c r="C7684" t="s">
        <v>19</v>
      </c>
      <c r="D7684" t="s">
        <v>17</v>
      </c>
      <c r="E7684" t="s">
        <v>12</v>
      </c>
      <c r="F7684">
        <v>32757718</v>
      </c>
      <c r="G7684">
        <v>32757765</v>
      </c>
      <c r="H7684">
        <v>32757668</v>
      </c>
      <c r="I7684">
        <v>32757713</v>
      </c>
    </row>
    <row r="7685" spans="1:9" x14ac:dyDescent="0.2">
      <c r="A7685" s="1" t="str">
        <f>"HDAC10"</f>
        <v>HDAC10</v>
      </c>
      <c r="B7685" t="s">
        <v>14</v>
      </c>
      <c r="C7685" t="s">
        <v>21</v>
      </c>
      <c r="D7685" t="s">
        <v>11</v>
      </c>
      <c r="E7685" t="s">
        <v>12</v>
      </c>
      <c r="F7685">
        <v>50689640</v>
      </c>
      <c r="G7685">
        <v>50689700</v>
      </c>
      <c r="H7685">
        <v>50689786</v>
      </c>
      <c r="I7685">
        <v>50689827</v>
      </c>
    </row>
    <row r="7686" spans="1:9" x14ac:dyDescent="0.2">
      <c r="A7686" s="1" t="str">
        <f>"HDAC11"</f>
        <v>HDAC11</v>
      </c>
      <c r="B7686" t="s">
        <v>14</v>
      </c>
      <c r="C7686" t="s">
        <v>22</v>
      </c>
      <c r="D7686" t="s">
        <v>17</v>
      </c>
      <c r="E7686" t="s">
        <v>12</v>
      </c>
      <c r="F7686">
        <v>13521775</v>
      </c>
      <c r="G7686">
        <v>13521829</v>
      </c>
      <c r="H7686">
        <v>13521835</v>
      </c>
      <c r="I7686">
        <v>13521856</v>
      </c>
    </row>
    <row r="7687" spans="1:9" x14ac:dyDescent="0.2">
      <c r="A7687" s="1" t="str">
        <f>"HDAC2"</f>
        <v>HDAC2</v>
      </c>
      <c r="B7687" t="s">
        <v>14</v>
      </c>
      <c r="C7687" t="s">
        <v>32</v>
      </c>
      <c r="D7687" t="s">
        <v>11</v>
      </c>
      <c r="E7687" t="s">
        <v>12</v>
      </c>
      <c r="F7687">
        <v>114292284</v>
      </c>
      <c r="G7687">
        <v>114292359</v>
      </c>
      <c r="H7687">
        <v>114292266</v>
      </c>
      <c r="I7687">
        <v>114292283</v>
      </c>
    </row>
    <row r="7688" spans="1:9" x14ac:dyDescent="0.2">
      <c r="A7688" s="1" t="str">
        <f>"HDAC3"</f>
        <v>HDAC3</v>
      </c>
      <c r="B7688" t="s">
        <v>14</v>
      </c>
      <c r="C7688" t="s">
        <v>46</v>
      </c>
      <c r="D7688" t="s">
        <v>11</v>
      </c>
      <c r="E7688" t="s">
        <v>12</v>
      </c>
      <c r="F7688">
        <v>141016382</v>
      </c>
      <c r="G7688">
        <v>141016445</v>
      </c>
      <c r="H7688">
        <v>141016454</v>
      </c>
      <c r="I7688">
        <v>141016467</v>
      </c>
    </row>
    <row r="7689" spans="1:9" x14ac:dyDescent="0.2">
      <c r="A7689" s="1" t="str">
        <f>"HDAC4"</f>
        <v>HDAC4</v>
      </c>
      <c r="B7689" t="s">
        <v>14</v>
      </c>
      <c r="C7689" t="s">
        <v>26</v>
      </c>
      <c r="D7689" t="s">
        <v>11</v>
      </c>
      <c r="E7689" t="s">
        <v>12</v>
      </c>
      <c r="F7689">
        <v>240322685</v>
      </c>
      <c r="G7689">
        <v>240322738</v>
      </c>
      <c r="H7689">
        <v>240323336</v>
      </c>
      <c r="I7689">
        <v>240323355</v>
      </c>
    </row>
    <row r="7690" spans="1:9" x14ac:dyDescent="0.2">
      <c r="A7690" s="1" t="str">
        <f>"HDAC5"</f>
        <v>HDAC5</v>
      </c>
      <c r="B7690" t="s">
        <v>14</v>
      </c>
      <c r="C7690" t="s">
        <v>28</v>
      </c>
      <c r="D7690" t="s">
        <v>11</v>
      </c>
      <c r="E7690" t="s">
        <v>12</v>
      </c>
      <c r="F7690">
        <v>42200997</v>
      </c>
      <c r="G7690">
        <v>42201033</v>
      </c>
      <c r="H7690">
        <v>42200958</v>
      </c>
      <c r="I7690">
        <v>42200989</v>
      </c>
    </row>
    <row r="7691" spans="1:9" x14ac:dyDescent="0.2">
      <c r="A7691" s="1" t="str">
        <f>"HDAC6"</f>
        <v>HDAC6</v>
      </c>
      <c r="B7691" t="s">
        <v>14</v>
      </c>
      <c r="C7691" t="s">
        <v>37</v>
      </c>
      <c r="D7691" t="s">
        <v>17</v>
      </c>
      <c r="E7691" t="s">
        <v>12</v>
      </c>
      <c r="F7691">
        <v>48660416</v>
      </c>
      <c r="G7691">
        <v>48660528</v>
      </c>
      <c r="H7691">
        <v>48660565</v>
      </c>
      <c r="I7691">
        <v>48660624</v>
      </c>
    </row>
    <row r="7692" spans="1:9" x14ac:dyDescent="0.2">
      <c r="A7692" s="1" t="str">
        <f>"HDAC7"</f>
        <v>HDAC7</v>
      </c>
      <c r="B7692" t="s">
        <v>14</v>
      </c>
      <c r="C7692" t="s">
        <v>16</v>
      </c>
      <c r="D7692" t="s">
        <v>11</v>
      </c>
      <c r="E7692" t="s">
        <v>12</v>
      </c>
      <c r="F7692">
        <v>48213650</v>
      </c>
      <c r="G7692">
        <v>48213695</v>
      </c>
      <c r="H7692">
        <v>48213735</v>
      </c>
      <c r="I7692">
        <v>48213759</v>
      </c>
    </row>
    <row r="7693" spans="1:9" x14ac:dyDescent="0.2">
      <c r="A7693" s="1" t="str">
        <f>"HDAC8"</f>
        <v>HDAC8</v>
      </c>
      <c r="B7693" t="s">
        <v>14</v>
      </c>
      <c r="C7693" t="s">
        <v>37</v>
      </c>
      <c r="D7693" t="s">
        <v>11</v>
      </c>
      <c r="E7693" t="s">
        <v>12</v>
      </c>
      <c r="F7693">
        <v>71792644</v>
      </c>
      <c r="G7693">
        <v>71792720</v>
      </c>
      <c r="H7693">
        <v>71792545</v>
      </c>
      <c r="I7693">
        <v>71792565</v>
      </c>
    </row>
    <row r="7694" spans="1:9" x14ac:dyDescent="0.2">
      <c r="A7694" s="1" t="str">
        <f>"HDAC9"</f>
        <v>HDAC9</v>
      </c>
      <c r="B7694" t="s">
        <v>9</v>
      </c>
      <c r="C7694" t="s">
        <v>33</v>
      </c>
      <c r="D7694" t="s">
        <v>17</v>
      </c>
      <c r="E7694" t="s">
        <v>12</v>
      </c>
      <c r="F7694">
        <v>18535346</v>
      </c>
      <c r="G7694">
        <v>18535399</v>
      </c>
      <c r="H7694">
        <v>18535346</v>
      </c>
      <c r="I7694">
        <v>18535399</v>
      </c>
    </row>
    <row r="7695" spans="1:9" x14ac:dyDescent="0.2">
      <c r="A7695" s="1" t="str">
        <f>"HDAC9"</f>
        <v>HDAC9</v>
      </c>
      <c r="B7695" t="s">
        <v>13</v>
      </c>
      <c r="C7695" t="s">
        <v>33</v>
      </c>
      <c r="D7695" t="s">
        <v>17</v>
      </c>
      <c r="E7695" t="s">
        <v>12</v>
      </c>
      <c r="F7695">
        <v>18548958</v>
      </c>
      <c r="G7695">
        <v>18549006</v>
      </c>
      <c r="H7695">
        <v>18548958</v>
      </c>
      <c r="I7695">
        <v>18549006</v>
      </c>
    </row>
    <row r="7696" spans="1:9" x14ac:dyDescent="0.2">
      <c r="A7696" s="1" t="str">
        <f>"HDC"</f>
        <v>HDC</v>
      </c>
      <c r="B7696" t="s">
        <v>14</v>
      </c>
      <c r="C7696" t="s">
        <v>25</v>
      </c>
      <c r="D7696" t="s">
        <v>11</v>
      </c>
      <c r="E7696" t="s">
        <v>12</v>
      </c>
      <c r="F7696">
        <v>50557915</v>
      </c>
      <c r="G7696">
        <v>50557941</v>
      </c>
      <c r="H7696">
        <v>50557915</v>
      </c>
      <c r="I7696">
        <v>50557941</v>
      </c>
    </row>
    <row r="7697" spans="1:9" x14ac:dyDescent="0.2">
      <c r="A7697" s="1" t="str">
        <f>"HDDC2"</f>
        <v>HDDC2</v>
      </c>
      <c r="B7697" t="s">
        <v>14</v>
      </c>
      <c r="C7697" t="s">
        <v>32</v>
      </c>
      <c r="D7697" t="s">
        <v>11</v>
      </c>
      <c r="E7697" t="s">
        <v>12</v>
      </c>
      <c r="F7697">
        <v>125623046</v>
      </c>
      <c r="G7697">
        <v>125623133</v>
      </c>
      <c r="H7697">
        <v>125623024</v>
      </c>
      <c r="I7697">
        <v>125623031</v>
      </c>
    </row>
    <row r="7698" spans="1:9" x14ac:dyDescent="0.2">
      <c r="A7698" s="1" t="str">
        <f>"HDDC3"</f>
        <v>HDDC3</v>
      </c>
      <c r="B7698" t="s">
        <v>14</v>
      </c>
      <c r="C7698" t="s">
        <v>25</v>
      </c>
      <c r="D7698" t="s">
        <v>11</v>
      </c>
      <c r="E7698" t="s">
        <v>12</v>
      </c>
      <c r="F7698">
        <v>91475747</v>
      </c>
      <c r="G7698">
        <v>91475802</v>
      </c>
      <c r="H7698">
        <v>91475727</v>
      </c>
      <c r="I7698">
        <v>91475742</v>
      </c>
    </row>
    <row r="7699" spans="1:9" x14ac:dyDescent="0.2">
      <c r="A7699" s="1" t="str">
        <f>"HDGF"</f>
        <v>HDGF</v>
      </c>
      <c r="B7699" t="s">
        <v>14</v>
      </c>
      <c r="C7699" t="s">
        <v>19</v>
      </c>
      <c r="D7699" t="s">
        <v>11</v>
      </c>
      <c r="E7699" t="s">
        <v>12</v>
      </c>
      <c r="F7699">
        <v>156721446</v>
      </c>
      <c r="G7699">
        <v>156721494</v>
      </c>
      <c r="H7699">
        <v>156721427</v>
      </c>
      <c r="I7699">
        <v>156721445</v>
      </c>
    </row>
    <row r="7700" spans="1:9" x14ac:dyDescent="0.2">
      <c r="A7700" s="1" t="str">
        <f>"HDGFL1"</f>
        <v>HDGFL1</v>
      </c>
      <c r="B7700" t="s">
        <v>14</v>
      </c>
      <c r="C7700" t="s">
        <v>32</v>
      </c>
      <c r="D7700" t="s">
        <v>17</v>
      </c>
      <c r="E7700" t="s">
        <v>12</v>
      </c>
      <c r="F7700">
        <v>22569784</v>
      </c>
      <c r="G7700">
        <v>22569797</v>
      </c>
      <c r="H7700">
        <v>22569756</v>
      </c>
      <c r="I7700">
        <v>22569771</v>
      </c>
    </row>
    <row r="7701" spans="1:9" x14ac:dyDescent="0.2">
      <c r="A7701" s="1" t="str">
        <f>"HDHD1"</f>
        <v>HDHD1</v>
      </c>
      <c r="B7701" t="s">
        <v>14</v>
      </c>
      <c r="C7701" t="s">
        <v>37</v>
      </c>
      <c r="D7701" t="s">
        <v>11</v>
      </c>
      <c r="E7701" t="s">
        <v>12</v>
      </c>
      <c r="F7701">
        <v>7066159</v>
      </c>
      <c r="G7701">
        <v>7066207</v>
      </c>
      <c r="H7701">
        <v>7066308</v>
      </c>
      <c r="I7701">
        <v>7066344</v>
      </c>
    </row>
    <row r="7702" spans="1:9" x14ac:dyDescent="0.2">
      <c r="A7702" s="1" t="str">
        <f>"HDHD2"</f>
        <v>HDHD2</v>
      </c>
      <c r="B7702" t="s">
        <v>14</v>
      </c>
      <c r="C7702" t="s">
        <v>43</v>
      </c>
      <c r="D7702" t="s">
        <v>11</v>
      </c>
      <c r="E7702" t="s">
        <v>12</v>
      </c>
      <c r="F7702">
        <v>44676819</v>
      </c>
      <c r="G7702">
        <v>44676883</v>
      </c>
      <c r="H7702">
        <v>44677358</v>
      </c>
      <c r="I7702">
        <v>44677391</v>
      </c>
    </row>
    <row r="7703" spans="1:9" x14ac:dyDescent="0.2">
      <c r="A7703" s="1" t="str">
        <f>"HDHD3"</f>
        <v>HDHD3</v>
      </c>
      <c r="B7703" t="s">
        <v>14</v>
      </c>
      <c r="C7703" t="s">
        <v>24</v>
      </c>
      <c r="D7703" t="s">
        <v>11</v>
      </c>
      <c r="E7703" t="s">
        <v>12</v>
      </c>
      <c r="F7703">
        <v>116139255</v>
      </c>
      <c r="G7703">
        <v>116139276</v>
      </c>
      <c r="H7703">
        <v>116139206</v>
      </c>
      <c r="I7703">
        <v>116139240</v>
      </c>
    </row>
    <row r="7704" spans="1:9" x14ac:dyDescent="0.2">
      <c r="A7704" s="1" t="str">
        <f>"HDLBP"</f>
        <v>HDLBP</v>
      </c>
      <c r="B7704" t="s">
        <v>9</v>
      </c>
      <c r="C7704" t="s">
        <v>26</v>
      </c>
      <c r="D7704" t="s">
        <v>11</v>
      </c>
      <c r="E7704" t="s">
        <v>12</v>
      </c>
      <c r="F7704">
        <v>242212239</v>
      </c>
      <c r="G7704">
        <v>242212257</v>
      </c>
      <c r="H7704">
        <v>242212239</v>
      </c>
      <c r="I7704">
        <v>242212257</v>
      </c>
    </row>
    <row r="7705" spans="1:9" x14ac:dyDescent="0.2">
      <c r="A7705" s="1" t="str">
        <f>"HDLBP"</f>
        <v>HDLBP</v>
      </c>
      <c r="B7705" t="s">
        <v>13</v>
      </c>
      <c r="C7705" t="s">
        <v>26</v>
      </c>
      <c r="D7705" t="s">
        <v>11</v>
      </c>
      <c r="E7705" t="s">
        <v>12</v>
      </c>
      <c r="F7705">
        <v>242255060</v>
      </c>
      <c r="G7705">
        <v>242255095</v>
      </c>
      <c r="H7705">
        <v>242255060</v>
      </c>
      <c r="I7705">
        <v>242255095</v>
      </c>
    </row>
    <row r="7706" spans="1:9" x14ac:dyDescent="0.2">
      <c r="A7706" s="1" t="str">
        <f>"HDX"</f>
        <v>HDX</v>
      </c>
      <c r="B7706" t="s">
        <v>14</v>
      </c>
      <c r="C7706" t="s">
        <v>37</v>
      </c>
      <c r="D7706" t="s">
        <v>11</v>
      </c>
      <c r="E7706" t="s">
        <v>12</v>
      </c>
      <c r="F7706">
        <v>83757450</v>
      </c>
      <c r="G7706">
        <v>83757485</v>
      </c>
      <c r="H7706">
        <v>83757493</v>
      </c>
      <c r="I7706">
        <v>83757508</v>
      </c>
    </row>
    <row r="7707" spans="1:9" x14ac:dyDescent="0.2">
      <c r="A7707" s="1" t="str">
        <f>"HEATR1"</f>
        <v>HEATR1</v>
      </c>
      <c r="B7707" t="s">
        <v>14</v>
      </c>
      <c r="C7707" t="s">
        <v>19</v>
      </c>
      <c r="D7707" t="s">
        <v>11</v>
      </c>
      <c r="E7707" t="s">
        <v>12</v>
      </c>
      <c r="F7707">
        <v>236767779</v>
      </c>
      <c r="G7707">
        <v>236767836</v>
      </c>
      <c r="H7707">
        <v>236767856</v>
      </c>
      <c r="I7707">
        <v>236767867</v>
      </c>
    </row>
    <row r="7708" spans="1:9" x14ac:dyDescent="0.2">
      <c r="A7708" s="1" t="str">
        <f>"HEATR2"</f>
        <v>HEATR2</v>
      </c>
      <c r="B7708" t="s">
        <v>14</v>
      </c>
      <c r="C7708" t="s">
        <v>33</v>
      </c>
      <c r="D7708" t="s">
        <v>17</v>
      </c>
      <c r="E7708" t="s">
        <v>12</v>
      </c>
      <c r="F7708">
        <v>766320</v>
      </c>
      <c r="G7708">
        <v>766358</v>
      </c>
      <c r="H7708">
        <v>766686</v>
      </c>
      <c r="I7708">
        <v>766802</v>
      </c>
    </row>
    <row r="7709" spans="1:9" x14ac:dyDescent="0.2">
      <c r="A7709" s="1" t="str">
        <f>"HEATR3"</f>
        <v>HEATR3</v>
      </c>
      <c r="B7709" t="s">
        <v>14</v>
      </c>
      <c r="C7709" t="s">
        <v>31</v>
      </c>
      <c r="D7709" t="s">
        <v>17</v>
      </c>
      <c r="E7709" t="s">
        <v>12</v>
      </c>
      <c r="F7709">
        <v>50099870</v>
      </c>
      <c r="G7709">
        <v>50099956</v>
      </c>
      <c r="H7709">
        <v>50099870</v>
      </c>
      <c r="I7709">
        <v>50099956</v>
      </c>
    </row>
    <row r="7710" spans="1:9" x14ac:dyDescent="0.2">
      <c r="A7710" s="1" t="str">
        <f>"HEATR4"</f>
        <v>HEATR4</v>
      </c>
      <c r="B7710" t="s">
        <v>14</v>
      </c>
      <c r="C7710" t="s">
        <v>41</v>
      </c>
      <c r="D7710" t="s">
        <v>11</v>
      </c>
      <c r="E7710" t="s">
        <v>12</v>
      </c>
      <c r="F7710">
        <v>74025642</v>
      </c>
      <c r="G7710">
        <v>74025651</v>
      </c>
      <c r="H7710">
        <v>74025642</v>
      </c>
      <c r="I7710">
        <v>74025651</v>
      </c>
    </row>
    <row r="7711" spans="1:9" x14ac:dyDescent="0.2">
      <c r="A7711" s="1" t="str">
        <f>"HEATR5A"</f>
        <v>HEATR5A</v>
      </c>
      <c r="B7711" t="s">
        <v>14</v>
      </c>
      <c r="C7711" t="s">
        <v>41</v>
      </c>
      <c r="D7711" t="s">
        <v>11</v>
      </c>
      <c r="E7711" t="s">
        <v>12</v>
      </c>
      <c r="F7711">
        <v>31889748</v>
      </c>
      <c r="G7711">
        <v>31889763</v>
      </c>
      <c r="H7711">
        <v>31889748</v>
      </c>
      <c r="I7711">
        <v>31889763</v>
      </c>
    </row>
    <row r="7712" spans="1:9" x14ac:dyDescent="0.2">
      <c r="A7712" s="1" t="str">
        <f>"HEATR5B"</f>
        <v>HEATR5B</v>
      </c>
      <c r="B7712" t="s">
        <v>14</v>
      </c>
      <c r="C7712" t="s">
        <v>26</v>
      </c>
      <c r="D7712" t="s">
        <v>11</v>
      </c>
      <c r="E7712" t="s">
        <v>12</v>
      </c>
      <c r="F7712">
        <v>37311445</v>
      </c>
      <c r="G7712">
        <v>37311534</v>
      </c>
      <c r="H7712">
        <v>37311414</v>
      </c>
      <c r="I7712">
        <v>37311443</v>
      </c>
    </row>
    <row r="7713" spans="1:9" x14ac:dyDescent="0.2">
      <c r="A7713" s="1" t="str">
        <f>"HEATR6"</f>
        <v>HEATR6</v>
      </c>
      <c r="B7713" t="s">
        <v>14</v>
      </c>
      <c r="C7713" t="s">
        <v>28</v>
      </c>
      <c r="D7713" t="s">
        <v>11</v>
      </c>
      <c r="E7713" t="s">
        <v>12</v>
      </c>
      <c r="F7713">
        <v>58156274</v>
      </c>
      <c r="G7713">
        <v>58156306</v>
      </c>
      <c r="H7713">
        <v>58156274</v>
      </c>
      <c r="I7713">
        <v>58156306</v>
      </c>
    </row>
    <row r="7714" spans="1:9" x14ac:dyDescent="0.2">
      <c r="A7714" s="1" t="str">
        <f>"HEBP1"</f>
        <v>HEBP1</v>
      </c>
      <c r="B7714" t="s">
        <v>14</v>
      </c>
      <c r="C7714" t="s">
        <v>16</v>
      </c>
      <c r="D7714" t="s">
        <v>11</v>
      </c>
      <c r="E7714" t="s">
        <v>12</v>
      </c>
      <c r="F7714">
        <v>13153139</v>
      </c>
      <c r="G7714">
        <v>13153231</v>
      </c>
      <c r="H7714">
        <v>13153233</v>
      </c>
      <c r="I7714">
        <v>13153244</v>
      </c>
    </row>
    <row r="7715" spans="1:9" x14ac:dyDescent="0.2">
      <c r="A7715" s="1" t="str">
        <f>"HEBP2"</f>
        <v>HEBP2</v>
      </c>
      <c r="B7715" t="s">
        <v>14</v>
      </c>
      <c r="C7715" t="s">
        <v>32</v>
      </c>
      <c r="D7715" t="s">
        <v>17</v>
      </c>
      <c r="E7715" t="s">
        <v>12</v>
      </c>
      <c r="F7715">
        <v>138725343</v>
      </c>
      <c r="G7715">
        <v>138725501</v>
      </c>
      <c r="H7715">
        <v>138725609</v>
      </c>
      <c r="I7715">
        <v>138725625</v>
      </c>
    </row>
    <row r="7716" spans="1:9" x14ac:dyDescent="0.2">
      <c r="A7716" s="1" t="str">
        <f>"HECA"</f>
        <v>HECA</v>
      </c>
      <c r="B7716" t="s">
        <v>14</v>
      </c>
      <c r="C7716" t="s">
        <v>32</v>
      </c>
      <c r="D7716" t="s">
        <v>17</v>
      </c>
      <c r="E7716" t="s">
        <v>12</v>
      </c>
      <c r="F7716">
        <v>139456226</v>
      </c>
      <c r="G7716">
        <v>139456300</v>
      </c>
      <c r="H7716">
        <v>139456200</v>
      </c>
      <c r="I7716">
        <v>139456225</v>
      </c>
    </row>
    <row r="7717" spans="1:9" x14ac:dyDescent="0.2">
      <c r="A7717" s="1" t="str">
        <f>"HECTD1"</f>
        <v>HECTD1</v>
      </c>
      <c r="B7717" t="s">
        <v>14</v>
      </c>
      <c r="C7717" t="s">
        <v>41</v>
      </c>
      <c r="D7717" t="s">
        <v>11</v>
      </c>
      <c r="E7717" t="s">
        <v>12</v>
      </c>
      <c r="F7717">
        <v>31676842</v>
      </c>
      <c r="G7717">
        <v>31676962</v>
      </c>
      <c r="H7717">
        <v>31676964</v>
      </c>
      <c r="I7717">
        <v>31677017</v>
      </c>
    </row>
    <row r="7718" spans="1:9" x14ac:dyDescent="0.2">
      <c r="A7718" s="1" t="str">
        <f>"HECTD2"</f>
        <v>HECTD2</v>
      </c>
      <c r="B7718" t="s">
        <v>14</v>
      </c>
      <c r="C7718" t="s">
        <v>15</v>
      </c>
      <c r="D7718" t="s">
        <v>17</v>
      </c>
      <c r="E7718" t="s">
        <v>12</v>
      </c>
      <c r="F7718">
        <v>93170081</v>
      </c>
      <c r="G7718">
        <v>93170180</v>
      </c>
      <c r="H7718">
        <v>93170057</v>
      </c>
      <c r="I7718">
        <v>93170073</v>
      </c>
    </row>
    <row r="7719" spans="1:9" x14ac:dyDescent="0.2">
      <c r="A7719" s="1" t="str">
        <f>"HECTD3"</f>
        <v>HECTD3</v>
      </c>
      <c r="B7719" t="s">
        <v>14</v>
      </c>
      <c r="C7719" t="s">
        <v>19</v>
      </c>
      <c r="D7719" t="s">
        <v>11</v>
      </c>
      <c r="E7719" t="s">
        <v>12</v>
      </c>
      <c r="F7719">
        <v>45476944</v>
      </c>
      <c r="G7719">
        <v>45477023</v>
      </c>
      <c r="H7719">
        <v>45476944</v>
      </c>
      <c r="I7719">
        <v>45477023</v>
      </c>
    </row>
    <row r="7720" spans="1:9" x14ac:dyDescent="0.2">
      <c r="A7720" s="1" t="str">
        <f>"HECTD4"</f>
        <v>HECTD4</v>
      </c>
      <c r="B7720" t="s">
        <v>14</v>
      </c>
      <c r="C7720" t="s">
        <v>16</v>
      </c>
      <c r="D7720" t="s">
        <v>11</v>
      </c>
      <c r="E7720" t="s">
        <v>12</v>
      </c>
      <c r="F7720">
        <v>112820196</v>
      </c>
      <c r="G7720">
        <v>112820247</v>
      </c>
      <c r="H7720">
        <v>112820167</v>
      </c>
      <c r="I7720">
        <v>112820195</v>
      </c>
    </row>
    <row r="7721" spans="1:9" x14ac:dyDescent="0.2">
      <c r="A7721" s="1" t="str">
        <f>"HECW1"</f>
        <v>HECW1</v>
      </c>
      <c r="B7721" t="s">
        <v>9</v>
      </c>
      <c r="C7721" t="s">
        <v>33</v>
      </c>
      <c r="D7721" t="s">
        <v>17</v>
      </c>
      <c r="E7721" t="s">
        <v>12</v>
      </c>
      <c r="F7721">
        <v>43152212</v>
      </c>
      <c r="G7721">
        <v>43152263</v>
      </c>
      <c r="H7721">
        <v>43152212</v>
      </c>
      <c r="I7721">
        <v>43152263</v>
      </c>
    </row>
    <row r="7722" spans="1:9" x14ac:dyDescent="0.2">
      <c r="A7722" s="1" t="str">
        <f>"HECW1"</f>
        <v>HECW1</v>
      </c>
      <c r="B7722" t="s">
        <v>13</v>
      </c>
      <c r="C7722" t="s">
        <v>33</v>
      </c>
      <c r="D7722" t="s">
        <v>17</v>
      </c>
      <c r="E7722" t="s">
        <v>12</v>
      </c>
      <c r="F7722">
        <v>43153596</v>
      </c>
      <c r="G7722">
        <v>43153608</v>
      </c>
      <c r="H7722">
        <v>43153596</v>
      </c>
      <c r="I7722">
        <v>43153608</v>
      </c>
    </row>
    <row r="7723" spans="1:9" x14ac:dyDescent="0.2">
      <c r="A7723" s="1" t="str">
        <f>"HECW2"</f>
        <v>HECW2</v>
      </c>
      <c r="B7723" t="s">
        <v>14</v>
      </c>
      <c r="C7723" t="s">
        <v>26</v>
      </c>
      <c r="D7723" t="s">
        <v>11</v>
      </c>
      <c r="E7723" t="s">
        <v>12</v>
      </c>
      <c r="F7723">
        <v>197457831</v>
      </c>
      <c r="G7723">
        <v>197457918</v>
      </c>
      <c r="H7723">
        <v>197457831</v>
      </c>
      <c r="I7723">
        <v>197457918</v>
      </c>
    </row>
    <row r="7724" spans="1:9" x14ac:dyDescent="0.2">
      <c r="A7724" s="1" t="str">
        <f>"HEG1"</f>
        <v>HEG1</v>
      </c>
      <c r="B7724" t="s">
        <v>14</v>
      </c>
      <c r="C7724" t="s">
        <v>22</v>
      </c>
      <c r="D7724" t="s">
        <v>11</v>
      </c>
      <c r="E7724" t="s">
        <v>12</v>
      </c>
      <c r="F7724">
        <v>124774831</v>
      </c>
      <c r="G7724">
        <v>124774852</v>
      </c>
      <c r="H7724">
        <v>124774831</v>
      </c>
      <c r="I7724">
        <v>124774852</v>
      </c>
    </row>
    <row r="7725" spans="1:9" x14ac:dyDescent="0.2">
      <c r="A7725" s="1" t="str">
        <f>"HELB"</f>
        <v>HELB</v>
      </c>
      <c r="B7725" t="s">
        <v>14</v>
      </c>
      <c r="C7725" t="s">
        <v>16</v>
      </c>
      <c r="D7725" t="s">
        <v>17</v>
      </c>
      <c r="E7725" t="s">
        <v>12</v>
      </c>
      <c r="F7725">
        <v>66696266</v>
      </c>
      <c r="G7725">
        <v>66696319</v>
      </c>
      <c r="H7725">
        <v>66696322</v>
      </c>
      <c r="I7725">
        <v>66696383</v>
      </c>
    </row>
    <row r="7726" spans="1:9" x14ac:dyDescent="0.2">
      <c r="A7726" s="1" t="str">
        <f>"HELLS"</f>
        <v>HELLS</v>
      </c>
      <c r="B7726" t="s">
        <v>14</v>
      </c>
      <c r="C7726" t="s">
        <v>15</v>
      </c>
      <c r="D7726" t="s">
        <v>17</v>
      </c>
      <c r="E7726" t="s">
        <v>12</v>
      </c>
      <c r="F7726">
        <v>96305535</v>
      </c>
      <c r="G7726">
        <v>96305598</v>
      </c>
      <c r="H7726">
        <v>96305516</v>
      </c>
      <c r="I7726">
        <v>96305531</v>
      </c>
    </row>
    <row r="7727" spans="1:9" x14ac:dyDescent="0.2">
      <c r="A7727" s="1" t="str">
        <f>"HELQ"</f>
        <v>HELQ</v>
      </c>
      <c r="B7727" t="s">
        <v>14</v>
      </c>
      <c r="C7727" t="s">
        <v>23</v>
      </c>
      <c r="D7727" t="s">
        <v>11</v>
      </c>
      <c r="E7727" t="s">
        <v>12</v>
      </c>
      <c r="F7727">
        <v>84376953</v>
      </c>
      <c r="G7727">
        <v>84377040</v>
      </c>
      <c r="H7727">
        <v>84376939</v>
      </c>
      <c r="I7727">
        <v>84376944</v>
      </c>
    </row>
    <row r="7728" spans="1:9" x14ac:dyDescent="0.2">
      <c r="A7728" s="1" t="str">
        <f>"HELT"</f>
        <v>HELT</v>
      </c>
      <c r="B7728" t="s">
        <v>14</v>
      </c>
      <c r="C7728" t="s">
        <v>23</v>
      </c>
      <c r="D7728" t="s">
        <v>17</v>
      </c>
      <c r="E7728" t="s">
        <v>12</v>
      </c>
      <c r="F7728">
        <v>185939768</v>
      </c>
      <c r="G7728">
        <v>185939802</v>
      </c>
      <c r="H7728">
        <v>185939986</v>
      </c>
      <c r="I7728">
        <v>185939989</v>
      </c>
    </row>
    <row r="7729" spans="1:9" x14ac:dyDescent="0.2">
      <c r="A7729" s="1" t="str">
        <f>"HELZ"</f>
        <v>HELZ</v>
      </c>
      <c r="B7729" t="s">
        <v>14</v>
      </c>
      <c r="C7729" t="s">
        <v>28</v>
      </c>
      <c r="D7729" t="s">
        <v>11</v>
      </c>
      <c r="E7729" t="s">
        <v>12</v>
      </c>
      <c r="F7729">
        <v>65241281</v>
      </c>
      <c r="G7729">
        <v>65241326</v>
      </c>
      <c r="H7729">
        <v>65241281</v>
      </c>
      <c r="I7729">
        <v>65241326</v>
      </c>
    </row>
    <row r="7730" spans="1:9" x14ac:dyDescent="0.2">
      <c r="A7730" s="1" t="str">
        <f>"HELZ2"</f>
        <v>HELZ2</v>
      </c>
      <c r="B7730" t="s">
        <v>9</v>
      </c>
      <c r="C7730" t="s">
        <v>29</v>
      </c>
      <c r="D7730" t="s">
        <v>11</v>
      </c>
      <c r="E7730" t="s">
        <v>12</v>
      </c>
      <c r="F7730">
        <v>62205570</v>
      </c>
      <c r="G7730">
        <v>62205609</v>
      </c>
      <c r="H7730">
        <v>62205570</v>
      </c>
      <c r="I7730">
        <v>62205609</v>
      </c>
    </row>
    <row r="7731" spans="1:9" x14ac:dyDescent="0.2">
      <c r="A7731" s="1" t="str">
        <f>"HELZ2"</f>
        <v>HELZ2</v>
      </c>
      <c r="B7731" t="s">
        <v>13</v>
      </c>
      <c r="C7731" t="s">
        <v>29</v>
      </c>
      <c r="D7731" t="s">
        <v>11</v>
      </c>
      <c r="E7731" t="s">
        <v>12</v>
      </c>
      <c r="F7731">
        <v>62195408</v>
      </c>
      <c r="G7731">
        <v>62195420</v>
      </c>
      <c r="H7731">
        <v>62195408</v>
      </c>
      <c r="I7731">
        <v>62195420</v>
      </c>
    </row>
    <row r="7732" spans="1:9" x14ac:dyDescent="0.2">
      <c r="A7732" s="1" t="str">
        <f>"HEMGN"</f>
        <v>HEMGN</v>
      </c>
      <c r="B7732" t="s">
        <v>14</v>
      </c>
      <c r="C7732" t="s">
        <v>24</v>
      </c>
      <c r="D7732" t="s">
        <v>11</v>
      </c>
      <c r="E7732" t="s">
        <v>12</v>
      </c>
      <c r="F7732">
        <v>100700439</v>
      </c>
      <c r="G7732">
        <v>100700486</v>
      </c>
      <c r="H7732">
        <v>100700439</v>
      </c>
      <c r="I7732">
        <v>100700486</v>
      </c>
    </row>
    <row r="7733" spans="1:9" x14ac:dyDescent="0.2">
      <c r="A7733" s="1" t="str">
        <f>"HEMK1"</f>
        <v>HEMK1</v>
      </c>
      <c r="B7733" t="s">
        <v>14</v>
      </c>
      <c r="C7733" t="s">
        <v>22</v>
      </c>
      <c r="D7733" t="s">
        <v>17</v>
      </c>
      <c r="E7733" t="s">
        <v>12</v>
      </c>
      <c r="F7733">
        <v>50606901</v>
      </c>
      <c r="G7733">
        <v>50606967</v>
      </c>
      <c r="H7733">
        <v>50606577</v>
      </c>
      <c r="I7733">
        <v>50606627</v>
      </c>
    </row>
    <row r="7734" spans="1:9" x14ac:dyDescent="0.2">
      <c r="A7734" s="1" t="str">
        <f>"HENMT1"</f>
        <v>HENMT1</v>
      </c>
      <c r="B7734" t="s">
        <v>14</v>
      </c>
      <c r="C7734" t="s">
        <v>19</v>
      </c>
      <c r="D7734" t="s">
        <v>11</v>
      </c>
      <c r="E7734" t="s">
        <v>12</v>
      </c>
      <c r="F7734">
        <v>109203685</v>
      </c>
      <c r="G7734">
        <v>109203734</v>
      </c>
      <c r="H7734">
        <v>109203997</v>
      </c>
      <c r="I7734">
        <v>109204121</v>
      </c>
    </row>
    <row r="7735" spans="1:9" x14ac:dyDescent="0.2">
      <c r="A7735" s="1" t="str">
        <f>"HEPACAM"</f>
        <v>HEPACAM</v>
      </c>
      <c r="B7735" t="s">
        <v>9</v>
      </c>
      <c r="C7735" t="s">
        <v>27</v>
      </c>
      <c r="D7735" t="s">
        <v>11</v>
      </c>
      <c r="E7735" t="s">
        <v>12</v>
      </c>
      <c r="F7735">
        <v>124805883</v>
      </c>
      <c r="G7735">
        <v>124805993</v>
      </c>
      <c r="H7735">
        <v>124805883</v>
      </c>
      <c r="I7735">
        <v>124805993</v>
      </c>
    </row>
    <row r="7736" spans="1:9" x14ac:dyDescent="0.2">
      <c r="A7736" s="1" t="str">
        <f>"HEPACAM"</f>
        <v>HEPACAM</v>
      </c>
      <c r="B7736" t="s">
        <v>13</v>
      </c>
      <c r="C7736" t="s">
        <v>27</v>
      </c>
      <c r="D7736" t="s">
        <v>11</v>
      </c>
      <c r="E7736" t="s">
        <v>12</v>
      </c>
      <c r="F7736">
        <v>124790572</v>
      </c>
      <c r="G7736">
        <v>124790573</v>
      </c>
      <c r="H7736">
        <v>124790572</v>
      </c>
      <c r="I7736">
        <v>124790573</v>
      </c>
    </row>
    <row r="7737" spans="1:9" x14ac:dyDescent="0.2">
      <c r="A7737" s="1" t="str">
        <f>"HEPACAM2"</f>
        <v>HEPACAM2</v>
      </c>
      <c r="B7737" t="s">
        <v>9</v>
      </c>
      <c r="C7737" t="s">
        <v>33</v>
      </c>
      <c r="D7737" t="s">
        <v>11</v>
      </c>
      <c r="E7737" t="s">
        <v>12</v>
      </c>
      <c r="F7737">
        <v>92855762</v>
      </c>
      <c r="G7737">
        <v>92855790</v>
      </c>
      <c r="H7737">
        <v>92855762</v>
      </c>
      <c r="I7737">
        <v>92855790</v>
      </c>
    </row>
    <row r="7738" spans="1:9" x14ac:dyDescent="0.2">
      <c r="A7738" s="1" t="str">
        <f>"HEPACAM2"</f>
        <v>HEPACAM2</v>
      </c>
      <c r="B7738" t="s">
        <v>13</v>
      </c>
      <c r="C7738" t="s">
        <v>33</v>
      </c>
      <c r="D7738" t="s">
        <v>11</v>
      </c>
      <c r="E7738" t="s">
        <v>12</v>
      </c>
      <c r="F7738">
        <v>92848878</v>
      </c>
      <c r="G7738">
        <v>92848889</v>
      </c>
      <c r="H7738">
        <v>92848878</v>
      </c>
      <c r="I7738">
        <v>92848889</v>
      </c>
    </row>
    <row r="7739" spans="1:9" x14ac:dyDescent="0.2">
      <c r="A7739" s="1" t="str">
        <f>"HEPH"</f>
        <v>HEPH</v>
      </c>
      <c r="B7739" t="s">
        <v>14</v>
      </c>
      <c r="C7739" t="s">
        <v>37</v>
      </c>
      <c r="D7739" t="s">
        <v>17</v>
      </c>
      <c r="E7739" t="s">
        <v>12</v>
      </c>
      <c r="F7739">
        <v>65384052</v>
      </c>
      <c r="G7739">
        <v>65384099</v>
      </c>
      <c r="H7739">
        <v>65384182</v>
      </c>
      <c r="I7739">
        <v>65384231</v>
      </c>
    </row>
    <row r="7740" spans="1:9" x14ac:dyDescent="0.2">
      <c r="A7740" s="1" t="str">
        <f>"HEPHL1"</f>
        <v>HEPHL1</v>
      </c>
      <c r="B7740" t="s">
        <v>14</v>
      </c>
      <c r="C7740" t="s">
        <v>27</v>
      </c>
      <c r="D7740" t="s">
        <v>17</v>
      </c>
      <c r="E7740" t="s">
        <v>12</v>
      </c>
      <c r="F7740">
        <v>93754513</v>
      </c>
      <c r="G7740">
        <v>93754538</v>
      </c>
      <c r="H7740">
        <v>93754513</v>
      </c>
      <c r="I7740">
        <v>93754538</v>
      </c>
    </row>
    <row r="7741" spans="1:9" x14ac:dyDescent="0.2">
      <c r="A7741" s="1" t="str">
        <f>"HEPN1"</f>
        <v>HEPN1</v>
      </c>
      <c r="B7741" t="s">
        <v>586</v>
      </c>
      <c r="C7741" t="s">
        <v>27</v>
      </c>
      <c r="D7741" t="s">
        <v>17</v>
      </c>
      <c r="E7741" t="s">
        <v>20</v>
      </c>
      <c r="F7741">
        <v>124789145</v>
      </c>
      <c r="G7741">
        <v>124789145</v>
      </c>
      <c r="H7741">
        <v>124789145</v>
      </c>
      <c r="I7741">
        <v>124789145</v>
      </c>
    </row>
    <row r="7742" spans="1:9" x14ac:dyDescent="0.2">
      <c r="A7742" s="1" t="str">
        <f>"HERC1"</f>
        <v>HERC1</v>
      </c>
      <c r="B7742" t="s">
        <v>14</v>
      </c>
      <c r="C7742" t="s">
        <v>25</v>
      </c>
      <c r="D7742" t="s">
        <v>11</v>
      </c>
      <c r="E7742" t="s">
        <v>12</v>
      </c>
      <c r="F7742">
        <v>64126110</v>
      </c>
      <c r="G7742">
        <v>64126154</v>
      </c>
      <c r="H7742">
        <v>64126182</v>
      </c>
      <c r="I7742">
        <v>64126193</v>
      </c>
    </row>
    <row r="7743" spans="1:9" x14ac:dyDescent="0.2">
      <c r="A7743" s="1" t="str">
        <f>"HERC2"</f>
        <v>HERC2</v>
      </c>
      <c r="B7743" t="s">
        <v>587</v>
      </c>
      <c r="C7743" t="s">
        <v>25</v>
      </c>
      <c r="D7743" t="s">
        <v>11</v>
      </c>
      <c r="E7743" t="s">
        <v>20</v>
      </c>
      <c r="F7743">
        <v>28567297</v>
      </c>
      <c r="G7743">
        <v>28567297</v>
      </c>
      <c r="H7743">
        <v>28567297</v>
      </c>
      <c r="I7743">
        <v>28567297</v>
      </c>
    </row>
    <row r="7744" spans="1:9" x14ac:dyDescent="0.2">
      <c r="A7744" s="1" t="str">
        <f>"HERC3"</f>
        <v>HERC3</v>
      </c>
      <c r="B7744" t="s">
        <v>14</v>
      </c>
      <c r="C7744" t="s">
        <v>23</v>
      </c>
      <c r="D7744" t="s">
        <v>17</v>
      </c>
      <c r="E7744" t="s">
        <v>12</v>
      </c>
      <c r="F7744">
        <v>89513578</v>
      </c>
      <c r="G7744">
        <v>89513670</v>
      </c>
      <c r="H7744">
        <v>89513578</v>
      </c>
      <c r="I7744">
        <v>89513670</v>
      </c>
    </row>
    <row r="7745" spans="1:9" x14ac:dyDescent="0.2">
      <c r="A7745" s="1" t="str">
        <f>"HERC4"</f>
        <v>HERC4</v>
      </c>
      <c r="B7745" t="s">
        <v>14</v>
      </c>
      <c r="C7745" t="s">
        <v>15</v>
      </c>
      <c r="D7745" t="s">
        <v>11</v>
      </c>
      <c r="E7745" t="s">
        <v>12</v>
      </c>
      <c r="F7745">
        <v>69835001</v>
      </c>
      <c r="G7745">
        <v>69835086</v>
      </c>
      <c r="H7745">
        <v>69834948</v>
      </c>
      <c r="I7745">
        <v>69834972</v>
      </c>
    </row>
    <row r="7746" spans="1:9" x14ac:dyDescent="0.2">
      <c r="A7746" s="1" t="str">
        <f>"HERC5"</f>
        <v>HERC5</v>
      </c>
      <c r="B7746" t="s">
        <v>14</v>
      </c>
      <c r="C7746" t="s">
        <v>23</v>
      </c>
      <c r="D7746" t="s">
        <v>17</v>
      </c>
      <c r="E7746" t="s">
        <v>12</v>
      </c>
      <c r="F7746">
        <v>89378261</v>
      </c>
      <c r="G7746">
        <v>89378338</v>
      </c>
      <c r="H7746">
        <v>89378340</v>
      </c>
      <c r="I7746">
        <v>89378353</v>
      </c>
    </row>
    <row r="7747" spans="1:9" x14ac:dyDescent="0.2">
      <c r="A7747" s="1" t="str">
        <f>"HERC6"</f>
        <v>HERC6</v>
      </c>
      <c r="B7747" t="s">
        <v>14</v>
      </c>
      <c r="C7747" t="s">
        <v>23</v>
      </c>
      <c r="D7747" t="s">
        <v>17</v>
      </c>
      <c r="E7747" t="s">
        <v>12</v>
      </c>
      <c r="F7747">
        <v>89300158</v>
      </c>
      <c r="G7747">
        <v>89300238</v>
      </c>
      <c r="H7747">
        <v>89299994</v>
      </c>
      <c r="I7747">
        <v>89300011</v>
      </c>
    </row>
    <row r="7748" spans="1:9" x14ac:dyDescent="0.2">
      <c r="A7748" s="1" t="str">
        <f>"HERPUD1"</f>
        <v>HERPUD1</v>
      </c>
      <c r="B7748" t="s">
        <v>14</v>
      </c>
      <c r="C7748" t="s">
        <v>31</v>
      </c>
      <c r="D7748" t="s">
        <v>17</v>
      </c>
      <c r="E7748" t="s">
        <v>12</v>
      </c>
      <c r="F7748">
        <v>56966047</v>
      </c>
      <c r="G7748">
        <v>56966066</v>
      </c>
      <c r="H7748">
        <v>56966047</v>
      </c>
      <c r="I7748">
        <v>56966066</v>
      </c>
    </row>
    <row r="7749" spans="1:9" x14ac:dyDescent="0.2">
      <c r="A7749" s="1" t="str">
        <f>"HERPUD2"</f>
        <v>HERPUD2</v>
      </c>
      <c r="B7749" t="s">
        <v>14</v>
      </c>
      <c r="C7749" t="s">
        <v>33</v>
      </c>
      <c r="D7749" t="s">
        <v>11</v>
      </c>
      <c r="E7749" t="s">
        <v>12</v>
      </c>
      <c r="F7749">
        <v>35734730</v>
      </c>
      <c r="G7749">
        <v>35734777</v>
      </c>
      <c r="H7749">
        <v>35734607</v>
      </c>
      <c r="I7749">
        <v>35734664</v>
      </c>
    </row>
    <row r="7750" spans="1:9" x14ac:dyDescent="0.2">
      <c r="A7750" s="1" t="str">
        <f>"HES1"</f>
        <v>HES1</v>
      </c>
      <c r="B7750" t="s">
        <v>14</v>
      </c>
      <c r="C7750" t="s">
        <v>22</v>
      </c>
      <c r="D7750" t="s">
        <v>17</v>
      </c>
      <c r="E7750" t="s">
        <v>12</v>
      </c>
      <c r="F7750">
        <v>193853927</v>
      </c>
      <c r="G7750">
        <v>193853944</v>
      </c>
      <c r="H7750">
        <v>193853927</v>
      </c>
      <c r="I7750">
        <v>193853944</v>
      </c>
    </row>
    <row r="7751" spans="1:9" x14ac:dyDescent="0.2">
      <c r="A7751" s="1" t="str">
        <f>"HES2"</f>
        <v>HES2</v>
      </c>
      <c r="B7751" t="s">
        <v>9</v>
      </c>
      <c r="C7751" t="s">
        <v>19</v>
      </c>
      <c r="D7751" t="s">
        <v>11</v>
      </c>
      <c r="E7751" t="s">
        <v>12</v>
      </c>
      <c r="F7751">
        <v>6479968</v>
      </c>
      <c r="G7751">
        <v>6479986</v>
      </c>
      <c r="H7751">
        <v>6479968</v>
      </c>
      <c r="I7751">
        <v>6479986</v>
      </c>
    </row>
    <row r="7752" spans="1:9" x14ac:dyDescent="0.2">
      <c r="A7752" s="1" t="str">
        <f>"HES2"</f>
        <v>HES2</v>
      </c>
      <c r="B7752" t="s">
        <v>13</v>
      </c>
      <c r="C7752" t="s">
        <v>19</v>
      </c>
      <c r="D7752" t="s">
        <v>11</v>
      </c>
      <c r="E7752" t="s">
        <v>12</v>
      </c>
      <c r="F7752">
        <v>6484716</v>
      </c>
      <c r="G7752">
        <v>6484756</v>
      </c>
      <c r="H7752">
        <v>6484716</v>
      </c>
      <c r="I7752">
        <v>6484756</v>
      </c>
    </row>
    <row r="7753" spans="1:9" x14ac:dyDescent="0.2">
      <c r="A7753" s="1" t="str">
        <f>"HES3"</f>
        <v>HES3</v>
      </c>
      <c r="B7753" t="s">
        <v>14</v>
      </c>
      <c r="C7753" t="s">
        <v>19</v>
      </c>
      <c r="D7753" t="s">
        <v>17</v>
      </c>
      <c r="E7753" t="s">
        <v>12</v>
      </c>
      <c r="F7753">
        <v>6304233</v>
      </c>
      <c r="G7753">
        <v>6304243</v>
      </c>
      <c r="H7753">
        <v>6304233</v>
      </c>
      <c r="I7753">
        <v>6304243</v>
      </c>
    </row>
    <row r="7754" spans="1:9" x14ac:dyDescent="0.2">
      <c r="A7754" s="1" t="str">
        <f>"HES4"</f>
        <v>HES4</v>
      </c>
      <c r="B7754" t="s">
        <v>14</v>
      </c>
      <c r="C7754" t="s">
        <v>19</v>
      </c>
      <c r="D7754" t="s">
        <v>11</v>
      </c>
      <c r="E7754" t="s">
        <v>12</v>
      </c>
      <c r="F7754">
        <v>935467</v>
      </c>
      <c r="G7754">
        <v>935484</v>
      </c>
      <c r="H7754">
        <v>935398</v>
      </c>
      <c r="I7754">
        <v>935465</v>
      </c>
    </row>
    <row r="7755" spans="1:9" x14ac:dyDescent="0.2">
      <c r="A7755" s="1" t="str">
        <f>"HES5"</f>
        <v>HES5</v>
      </c>
      <c r="B7755" t="s">
        <v>14</v>
      </c>
      <c r="C7755" t="s">
        <v>19</v>
      </c>
      <c r="D7755" t="s">
        <v>11</v>
      </c>
      <c r="E7755" t="s">
        <v>12</v>
      </c>
      <c r="F7755">
        <v>2461692</v>
      </c>
      <c r="G7755">
        <v>2461710</v>
      </c>
      <c r="H7755">
        <v>2461615</v>
      </c>
      <c r="I7755">
        <v>2461624</v>
      </c>
    </row>
    <row r="7756" spans="1:9" x14ac:dyDescent="0.2">
      <c r="A7756" s="1" t="str">
        <f>"HES6"</f>
        <v>HES6</v>
      </c>
      <c r="B7756" t="s">
        <v>14</v>
      </c>
      <c r="C7756" t="s">
        <v>26</v>
      </c>
      <c r="D7756" t="s">
        <v>11</v>
      </c>
      <c r="E7756" t="s">
        <v>12</v>
      </c>
      <c r="F7756">
        <v>239148671</v>
      </c>
      <c r="G7756">
        <v>239148686</v>
      </c>
      <c r="H7756">
        <v>239149300</v>
      </c>
      <c r="I7756">
        <v>239149321</v>
      </c>
    </row>
    <row r="7757" spans="1:9" x14ac:dyDescent="0.2">
      <c r="A7757" s="1" t="str">
        <f>"HES7"</f>
        <v>HES7</v>
      </c>
      <c r="B7757" t="s">
        <v>14</v>
      </c>
      <c r="C7757" t="s">
        <v>28</v>
      </c>
      <c r="D7757" t="s">
        <v>11</v>
      </c>
      <c r="E7757" t="s">
        <v>12</v>
      </c>
      <c r="F7757">
        <v>8027418</v>
      </c>
      <c r="G7757">
        <v>8027432</v>
      </c>
      <c r="H7757">
        <v>8027448</v>
      </c>
      <c r="I7757">
        <v>8027453</v>
      </c>
    </row>
    <row r="7758" spans="1:9" x14ac:dyDescent="0.2">
      <c r="A7758" s="1" t="str">
        <f>"HESX1"</f>
        <v>HESX1</v>
      </c>
      <c r="B7758" t="s">
        <v>9</v>
      </c>
      <c r="C7758" t="s">
        <v>22</v>
      </c>
      <c r="D7758" t="s">
        <v>11</v>
      </c>
      <c r="E7758" t="s">
        <v>12</v>
      </c>
      <c r="F7758">
        <v>57234000</v>
      </c>
      <c r="G7758">
        <v>57234014</v>
      </c>
      <c r="H7758">
        <v>57234000</v>
      </c>
      <c r="I7758">
        <v>57234014</v>
      </c>
    </row>
    <row r="7759" spans="1:9" x14ac:dyDescent="0.2">
      <c r="A7759" s="1" t="str">
        <f>"HESX1"</f>
        <v>HESX1</v>
      </c>
      <c r="B7759" t="s">
        <v>13</v>
      </c>
      <c r="C7759" t="s">
        <v>22</v>
      </c>
      <c r="D7759" t="s">
        <v>11</v>
      </c>
      <c r="E7759" t="s">
        <v>12</v>
      </c>
      <c r="F7759">
        <v>57260377</v>
      </c>
      <c r="G7759">
        <v>57260399</v>
      </c>
      <c r="H7759">
        <v>57260377</v>
      </c>
      <c r="I7759">
        <v>57260399</v>
      </c>
    </row>
    <row r="7760" spans="1:9" x14ac:dyDescent="0.2">
      <c r="A7760" s="1" t="str">
        <f>"HEXA"</f>
        <v>HEXA</v>
      </c>
      <c r="B7760" t="s">
        <v>14</v>
      </c>
      <c r="C7760" t="s">
        <v>25</v>
      </c>
      <c r="D7760" t="s">
        <v>11</v>
      </c>
      <c r="E7760" t="s">
        <v>12</v>
      </c>
      <c r="F7760">
        <v>72668281</v>
      </c>
      <c r="G7760">
        <v>72668373</v>
      </c>
      <c r="H7760">
        <v>72668393</v>
      </c>
      <c r="I7760">
        <v>72668408</v>
      </c>
    </row>
    <row r="7761" spans="1:9" x14ac:dyDescent="0.2">
      <c r="A7761" s="1" t="str">
        <f>"HEXB"</f>
        <v>HEXB</v>
      </c>
      <c r="B7761" t="s">
        <v>14</v>
      </c>
      <c r="C7761" t="s">
        <v>46</v>
      </c>
      <c r="D7761" t="s">
        <v>17</v>
      </c>
      <c r="E7761" t="s">
        <v>12</v>
      </c>
      <c r="F7761">
        <v>73981050</v>
      </c>
      <c r="G7761">
        <v>73981064</v>
      </c>
      <c r="H7761">
        <v>73980986</v>
      </c>
      <c r="I7761">
        <v>73981018</v>
      </c>
    </row>
    <row r="7762" spans="1:9" x14ac:dyDescent="0.2">
      <c r="A7762" s="1" t="str">
        <f>"HEXDC"</f>
        <v>HEXDC</v>
      </c>
      <c r="B7762" t="s">
        <v>14</v>
      </c>
      <c r="C7762" t="s">
        <v>28</v>
      </c>
      <c r="D7762" t="s">
        <v>17</v>
      </c>
      <c r="E7762" t="s">
        <v>12</v>
      </c>
      <c r="F7762">
        <v>80376216</v>
      </c>
      <c r="G7762">
        <v>80376245</v>
      </c>
      <c r="H7762">
        <v>80376262</v>
      </c>
      <c r="I7762">
        <v>80376279</v>
      </c>
    </row>
    <row r="7763" spans="1:9" x14ac:dyDescent="0.2">
      <c r="A7763" s="1" t="str">
        <f>"HEXIM1"</f>
        <v>HEXIM1</v>
      </c>
      <c r="B7763" t="s">
        <v>14</v>
      </c>
      <c r="C7763" t="s">
        <v>28</v>
      </c>
      <c r="D7763" t="s">
        <v>17</v>
      </c>
      <c r="E7763" t="s">
        <v>12</v>
      </c>
      <c r="F7763">
        <v>43225839</v>
      </c>
      <c r="G7763">
        <v>43225845</v>
      </c>
      <c r="H7763">
        <v>43225944</v>
      </c>
      <c r="I7763">
        <v>43225977</v>
      </c>
    </row>
    <row r="7764" spans="1:9" x14ac:dyDescent="0.2">
      <c r="A7764" s="1" t="str">
        <f>"HEXIM2"</f>
        <v>HEXIM2</v>
      </c>
      <c r="B7764" t="s">
        <v>9</v>
      </c>
      <c r="C7764" t="s">
        <v>28</v>
      </c>
      <c r="D7764" t="s">
        <v>17</v>
      </c>
      <c r="E7764" t="s">
        <v>12</v>
      </c>
      <c r="F7764">
        <v>43239231</v>
      </c>
      <c r="G7764">
        <v>43239297</v>
      </c>
      <c r="H7764">
        <v>43239231</v>
      </c>
      <c r="I7764">
        <v>43239297</v>
      </c>
    </row>
    <row r="7765" spans="1:9" x14ac:dyDescent="0.2">
      <c r="A7765" s="1" t="str">
        <f>"HEXIM2"</f>
        <v>HEXIM2</v>
      </c>
      <c r="B7765" t="s">
        <v>13</v>
      </c>
      <c r="C7765" t="s">
        <v>28</v>
      </c>
      <c r="D7765" t="s">
        <v>17</v>
      </c>
      <c r="E7765" t="s">
        <v>12</v>
      </c>
      <c r="F7765">
        <v>43238061</v>
      </c>
      <c r="G7765">
        <v>43238087</v>
      </c>
      <c r="H7765">
        <v>43238061</v>
      </c>
      <c r="I7765">
        <v>43238087</v>
      </c>
    </row>
    <row r="7766" spans="1:9" x14ac:dyDescent="0.2">
      <c r="A7766" s="1" t="str">
        <f>"HEY1"</f>
        <v>HEY1</v>
      </c>
      <c r="B7766" t="s">
        <v>14</v>
      </c>
      <c r="C7766" t="s">
        <v>30</v>
      </c>
      <c r="D7766" t="s">
        <v>11</v>
      </c>
      <c r="E7766" t="s">
        <v>12</v>
      </c>
      <c r="F7766">
        <v>80679993</v>
      </c>
      <c r="G7766">
        <v>80680011</v>
      </c>
      <c r="H7766">
        <v>80680024</v>
      </c>
      <c r="I7766">
        <v>80680046</v>
      </c>
    </row>
    <row r="7767" spans="1:9" x14ac:dyDescent="0.2">
      <c r="A7767" s="1" t="str">
        <f>"HEY2"</f>
        <v>HEY2</v>
      </c>
      <c r="B7767" t="s">
        <v>14</v>
      </c>
      <c r="C7767" t="s">
        <v>32</v>
      </c>
      <c r="D7767" t="s">
        <v>17</v>
      </c>
      <c r="E7767" t="s">
        <v>12</v>
      </c>
      <c r="F7767">
        <v>126070769</v>
      </c>
      <c r="G7767">
        <v>126070801</v>
      </c>
      <c r="H7767">
        <v>126070748</v>
      </c>
      <c r="I7767">
        <v>126070768</v>
      </c>
    </row>
    <row r="7768" spans="1:9" x14ac:dyDescent="0.2">
      <c r="A7768" s="1" t="str">
        <f>"HEYL"</f>
        <v>HEYL</v>
      </c>
      <c r="B7768" t="s">
        <v>14</v>
      </c>
      <c r="C7768" t="s">
        <v>19</v>
      </c>
      <c r="D7768" t="s">
        <v>11</v>
      </c>
      <c r="E7768" t="s">
        <v>12</v>
      </c>
      <c r="F7768">
        <v>40105299</v>
      </c>
      <c r="G7768">
        <v>40105326</v>
      </c>
      <c r="H7768">
        <v>40105347</v>
      </c>
      <c r="I7768">
        <v>40105358</v>
      </c>
    </row>
    <row r="7769" spans="1:9" x14ac:dyDescent="0.2">
      <c r="A7769" s="1" t="str">
        <f>"HFE"</f>
        <v>HFE</v>
      </c>
      <c r="B7769" t="s">
        <v>14</v>
      </c>
      <c r="C7769" t="s">
        <v>32</v>
      </c>
      <c r="D7769" t="s">
        <v>17</v>
      </c>
      <c r="E7769" t="s">
        <v>12</v>
      </c>
      <c r="F7769">
        <v>26087646</v>
      </c>
      <c r="G7769">
        <v>26087669</v>
      </c>
      <c r="H7769">
        <v>26087596</v>
      </c>
      <c r="I7769">
        <v>26087645</v>
      </c>
    </row>
    <row r="7770" spans="1:9" x14ac:dyDescent="0.2">
      <c r="A7770" s="1" t="str">
        <f>"HFE2"</f>
        <v>HFE2</v>
      </c>
      <c r="B7770" t="s">
        <v>14</v>
      </c>
      <c r="C7770" t="s">
        <v>19</v>
      </c>
      <c r="D7770" t="s">
        <v>17</v>
      </c>
      <c r="E7770" t="s">
        <v>12</v>
      </c>
      <c r="F7770">
        <v>145413268</v>
      </c>
      <c r="G7770">
        <v>145413288</v>
      </c>
      <c r="H7770">
        <v>145413293</v>
      </c>
      <c r="I7770">
        <v>145413312</v>
      </c>
    </row>
    <row r="7771" spans="1:9" x14ac:dyDescent="0.2">
      <c r="A7771" s="1" t="str">
        <f>"HFM1"</f>
        <v>HFM1</v>
      </c>
      <c r="B7771" t="s">
        <v>14</v>
      </c>
      <c r="C7771" t="s">
        <v>19</v>
      </c>
      <c r="D7771" t="s">
        <v>11</v>
      </c>
      <c r="E7771" t="s">
        <v>12</v>
      </c>
      <c r="F7771">
        <v>91870360</v>
      </c>
      <c r="G7771">
        <v>91870403</v>
      </c>
      <c r="H7771">
        <v>91870345</v>
      </c>
      <c r="I7771">
        <v>91870349</v>
      </c>
    </row>
    <row r="7772" spans="1:9" x14ac:dyDescent="0.2">
      <c r="A7772" s="1" t="str">
        <f>"HGD"</f>
        <v>HGD</v>
      </c>
      <c r="B7772" t="s">
        <v>14</v>
      </c>
      <c r="C7772" t="s">
        <v>22</v>
      </c>
      <c r="D7772" t="s">
        <v>11</v>
      </c>
      <c r="E7772" t="s">
        <v>12</v>
      </c>
      <c r="F7772">
        <v>120401043</v>
      </c>
      <c r="G7772">
        <v>120401138</v>
      </c>
      <c r="H7772">
        <v>120401003</v>
      </c>
      <c r="I7772">
        <v>120401030</v>
      </c>
    </row>
    <row r="7773" spans="1:9" x14ac:dyDescent="0.2">
      <c r="A7773" s="1" t="str">
        <f>"HGF"</f>
        <v>HGF</v>
      </c>
      <c r="B7773" t="s">
        <v>14</v>
      </c>
      <c r="C7773" t="s">
        <v>33</v>
      </c>
      <c r="D7773" t="s">
        <v>11</v>
      </c>
      <c r="E7773" t="s">
        <v>12</v>
      </c>
      <c r="F7773">
        <v>81399355</v>
      </c>
      <c r="G7773">
        <v>81399373</v>
      </c>
      <c r="H7773">
        <v>81399438</v>
      </c>
      <c r="I7773">
        <v>81399454</v>
      </c>
    </row>
    <row r="7774" spans="1:9" x14ac:dyDescent="0.2">
      <c r="A7774" s="1" t="str">
        <f>"HGFAC"</f>
        <v>HGFAC</v>
      </c>
      <c r="B7774" t="s">
        <v>14</v>
      </c>
      <c r="C7774" t="s">
        <v>23</v>
      </c>
      <c r="D7774" t="s">
        <v>17</v>
      </c>
      <c r="E7774" t="s">
        <v>12</v>
      </c>
      <c r="F7774">
        <v>3443687</v>
      </c>
      <c r="G7774">
        <v>3443722</v>
      </c>
      <c r="H7774">
        <v>3443687</v>
      </c>
      <c r="I7774">
        <v>3443722</v>
      </c>
    </row>
    <row r="7775" spans="1:9" x14ac:dyDescent="0.2">
      <c r="A7775" s="1" t="str">
        <f>"HGS"</f>
        <v>HGS</v>
      </c>
      <c r="B7775" t="s">
        <v>14</v>
      </c>
      <c r="C7775" t="s">
        <v>28</v>
      </c>
      <c r="D7775" t="s">
        <v>17</v>
      </c>
      <c r="E7775" t="s">
        <v>12</v>
      </c>
      <c r="F7775">
        <v>79651007</v>
      </c>
      <c r="G7775">
        <v>79651088</v>
      </c>
      <c r="H7775">
        <v>79650997</v>
      </c>
      <c r="I7775">
        <v>79651006</v>
      </c>
    </row>
    <row r="7776" spans="1:9" x14ac:dyDescent="0.2">
      <c r="A7776" s="1" t="str">
        <f>"HGSNAT"</f>
        <v>HGSNAT</v>
      </c>
      <c r="B7776" t="s">
        <v>14</v>
      </c>
      <c r="C7776" t="s">
        <v>30</v>
      </c>
      <c r="D7776" t="s">
        <v>17</v>
      </c>
      <c r="E7776" t="s">
        <v>12</v>
      </c>
      <c r="F7776">
        <v>42995548</v>
      </c>
      <c r="G7776">
        <v>42995676</v>
      </c>
      <c r="H7776">
        <v>42995548</v>
      </c>
      <c r="I7776">
        <v>42995676</v>
      </c>
    </row>
    <row r="7777" spans="1:9" x14ac:dyDescent="0.2">
      <c r="A7777" s="1" t="str">
        <f>"HHAT"</f>
        <v>HHAT</v>
      </c>
      <c r="B7777" t="s">
        <v>14</v>
      </c>
      <c r="C7777" t="s">
        <v>19</v>
      </c>
      <c r="D7777" t="s">
        <v>17</v>
      </c>
      <c r="E7777" t="s">
        <v>12</v>
      </c>
      <c r="F7777">
        <v>210502238</v>
      </c>
      <c r="G7777">
        <v>210502302</v>
      </c>
      <c r="H7777">
        <v>210501589</v>
      </c>
      <c r="I7777">
        <v>210501609</v>
      </c>
    </row>
    <row r="7778" spans="1:9" x14ac:dyDescent="0.2">
      <c r="A7778" s="1" t="str">
        <f>"HHATL"</f>
        <v>HHATL</v>
      </c>
      <c r="B7778" t="s">
        <v>14</v>
      </c>
      <c r="C7778" t="s">
        <v>22</v>
      </c>
      <c r="D7778" t="s">
        <v>11</v>
      </c>
      <c r="E7778" t="s">
        <v>12</v>
      </c>
      <c r="F7778">
        <v>42744146</v>
      </c>
      <c r="G7778">
        <v>42744193</v>
      </c>
      <c r="H7778">
        <v>42744283</v>
      </c>
      <c r="I7778">
        <v>42744298</v>
      </c>
    </row>
    <row r="7779" spans="1:9" x14ac:dyDescent="0.2">
      <c r="A7779" s="1" t="str">
        <f>"HHEX"</f>
        <v>HHEX</v>
      </c>
      <c r="B7779" t="s">
        <v>14</v>
      </c>
      <c r="C7779" t="s">
        <v>15</v>
      </c>
      <c r="D7779" t="s">
        <v>17</v>
      </c>
      <c r="E7779" t="s">
        <v>12</v>
      </c>
      <c r="F7779">
        <v>94449703</v>
      </c>
      <c r="G7779">
        <v>94449718</v>
      </c>
      <c r="H7779">
        <v>94449675</v>
      </c>
      <c r="I7779">
        <v>94449694</v>
      </c>
    </row>
    <row r="7780" spans="1:9" x14ac:dyDescent="0.2">
      <c r="A7780" s="1" t="str">
        <f>"HHIP"</f>
        <v>HHIP</v>
      </c>
      <c r="B7780" t="s">
        <v>14</v>
      </c>
      <c r="C7780" t="s">
        <v>23</v>
      </c>
      <c r="D7780" t="s">
        <v>17</v>
      </c>
      <c r="E7780" t="s">
        <v>12</v>
      </c>
      <c r="F7780">
        <v>145567297</v>
      </c>
      <c r="G7780">
        <v>145567355</v>
      </c>
      <c r="H7780">
        <v>145567767</v>
      </c>
      <c r="I7780">
        <v>145567851</v>
      </c>
    </row>
    <row r="7781" spans="1:9" x14ac:dyDescent="0.2">
      <c r="A7781" s="1" t="str">
        <f>"HHIPL1"</f>
        <v>HHIPL1</v>
      </c>
      <c r="B7781" t="s">
        <v>14</v>
      </c>
      <c r="C7781" t="s">
        <v>41</v>
      </c>
      <c r="D7781" t="s">
        <v>17</v>
      </c>
      <c r="E7781" t="s">
        <v>12</v>
      </c>
      <c r="F7781">
        <v>100111602</v>
      </c>
      <c r="G7781">
        <v>100111676</v>
      </c>
      <c r="H7781">
        <v>100111458</v>
      </c>
      <c r="I7781">
        <v>100111478</v>
      </c>
    </row>
    <row r="7782" spans="1:9" x14ac:dyDescent="0.2">
      <c r="A7782" s="1" t="str">
        <f>"HHIPL2"</f>
        <v>HHIPL2</v>
      </c>
      <c r="B7782" t="s">
        <v>14</v>
      </c>
      <c r="C7782" t="s">
        <v>19</v>
      </c>
      <c r="D7782" t="s">
        <v>11</v>
      </c>
      <c r="E7782" t="s">
        <v>12</v>
      </c>
      <c r="F7782">
        <v>222721434</v>
      </c>
      <c r="G7782">
        <v>222721452</v>
      </c>
      <c r="H7782">
        <v>222721396</v>
      </c>
      <c r="I7782">
        <v>222721432</v>
      </c>
    </row>
    <row r="7783" spans="1:9" x14ac:dyDescent="0.2">
      <c r="A7783" s="1" t="str">
        <f>"HHLA1"</f>
        <v>HHLA1</v>
      </c>
      <c r="B7783" t="s">
        <v>588</v>
      </c>
      <c r="C7783" t="s">
        <v>30</v>
      </c>
      <c r="D7783" t="s">
        <v>11</v>
      </c>
      <c r="E7783" t="s">
        <v>20</v>
      </c>
      <c r="F7783">
        <v>133117511</v>
      </c>
      <c r="G7783">
        <v>133117511</v>
      </c>
      <c r="H7783">
        <v>133117511</v>
      </c>
      <c r="I7783">
        <v>133117511</v>
      </c>
    </row>
    <row r="7784" spans="1:9" x14ac:dyDescent="0.2">
      <c r="A7784" s="1" t="str">
        <f>"HHLA2"</f>
        <v>HHLA2</v>
      </c>
      <c r="B7784" t="s">
        <v>14</v>
      </c>
      <c r="C7784" t="s">
        <v>22</v>
      </c>
      <c r="D7784" t="s">
        <v>17</v>
      </c>
      <c r="E7784" t="s">
        <v>12</v>
      </c>
      <c r="F7784">
        <v>108015382</v>
      </c>
      <c r="G7784">
        <v>108015406</v>
      </c>
      <c r="H7784">
        <v>108015351</v>
      </c>
      <c r="I7784">
        <v>108015365</v>
      </c>
    </row>
    <row r="7785" spans="1:9" x14ac:dyDescent="0.2">
      <c r="A7785" s="1" t="str">
        <f>"HHLA3"</f>
        <v>HHLA3</v>
      </c>
      <c r="B7785" t="s">
        <v>14</v>
      </c>
      <c r="C7785" t="s">
        <v>19</v>
      </c>
      <c r="D7785" t="s">
        <v>17</v>
      </c>
      <c r="E7785" t="s">
        <v>12</v>
      </c>
      <c r="F7785">
        <v>70820451</v>
      </c>
      <c r="G7785">
        <v>70820558</v>
      </c>
      <c r="H7785">
        <v>70820772</v>
      </c>
      <c r="I7785">
        <v>70820780</v>
      </c>
    </row>
    <row r="7786" spans="1:9" x14ac:dyDescent="0.2">
      <c r="A7786" s="1" t="str">
        <f>"HIAT1"</f>
        <v>HIAT1</v>
      </c>
      <c r="B7786" t="s">
        <v>14</v>
      </c>
      <c r="C7786" t="s">
        <v>19</v>
      </c>
      <c r="D7786" t="s">
        <v>17</v>
      </c>
      <c r="E7786" t="s">
        <v>12</v>
      </c>
      <c r="F7786">
        <v>100503643</v>
      </c>
      <c r="G7786">
        <v>100503677</v>
      </c>
      <c r="H7786">
        <v>100503682</v>
      </c>
      <c r="I7786">
        <v>100503729</v>
      </c>
    </row>
    <row r="7787" spans="1:9" x14ac:dyDescent="0.2">
      <c r="A7787" s="1" t="str">
        <f>"HIATL1"</f>
        <v>HIATL1</v>
      </c>
      <c r="B7787" t="s">
        <v>14</v>
      </c>
      <c r="C7787" t="s">
        <v>24</v>
      </c>
      <c r="D7787" t="s">
        <v>17</v>
      </c>
      <c r="E7787" t="s">
        <v>12</v>
      </c>
      <c r="F7787">
        <v>97136840</v>
      </c>
      <c r="G7787">
        <v>97136857</v>
      </c>
      <c r="H7787">
        <v>97136807</v>
      </c>
      <c r="I7787">
        <v>97136823</v>
      </c>
    </row>
    <row r="7788" spans="1:9" x14ac:dyDescent="0.2">
      <c r="A7788" s="1" t="str">
        <f>"HIBADH"</f>
        <v>HIBADH</v>
      </c>
      <c r="B7788" t="s">
        <v>14</v>
      </c>
      <c r="C7788" t="s">
        <v>33</v>
      </c>
      <c r="D7788" t="s">
        <v>11</v>
      </c>
      <c r="E7788" t="s">
        <v>12</v>
      </c>
      <c r="F7788">
        <v>27702455</v>
      </c>
      <c r="G7788">
        <v>27702632</v>
      </c>
      <c r="H7788">
        <v>27702419</v>
      </c>
      <c r="I7788">
        <v>27702438</v>
      </c>
    </row>
    <row r="7789" spans="1:9" x14ac:dyDescent="0.2">
      <c r="A7789" s="1" t="str">
        <f>"HIBCH"</f>
        <v>HIBCH</v>
      </c>
      <c r="B7789" t="s">
        <v>14</v>
      </c>
      <c r="C7789" t="s">
        <v>26</v>
      </c>
      <c r="D7789" t="s">
        <v>11</v>
      </c>
      <c r="E7789" t="s">
        <v>12</v>
      </c>
      <c r="F7789">
        <v>191184480</v>
      </c>
      <c r="G7789">
        <v>191184529</v>
      </c>
      <c r="H7789">
        <v>191184535</v>
      </c>
      <c r="I7789">
        <v>191184570</v>
      </c>
    </row>
    <row r="7790" spans="1:9" x14ac:dyDescent="0.2">
      <c r="A7790" s="1" t="str">
        <f>"HIC1"</f>
        <v>HIC1</v>
      </c>
      <c r="B7790" t="s">
        <v>14</v>
      </c>
      <c r="C7790" t="s">
        <v>28</v>
      </c>
      <c r="D7790" t="s">
        <v>17</v>
      </c>
      <c r="E7790" t="s">
        <v>12</v>
      </c>
      <c r="F7790">
        <v>1958388</v>
      </c>
      <c r="G7790">
        <v>1958404</v>
      </c>
      <c r="H7790">
        <v>1959369</v>
      </c>
      <c r="I7790">
        <v>1959388</v>
      </c>
    </row>
    <row r="7791" spans="1:9" x14ac:dyDescent="0.2">
      <c r="A7791" s="1" t="str">
        <f>"HIC2"</f>
        <v>HIC2</v>
      </c>
      <c r="B7791" t="s">
        <v>9</v>
      </c>
      <c r="C7791" t="s">
        <v>21</v>
      </c>
      <c r="D7791" t="s">
        <v>17</v>
      </c>
      <c r="E7791" t="s">
        <v>12</v>
      </c>
      <c r="F7791">
        <v>21771656</v>
      </c>
      <c r="G7791">
        <v>21771662</v>
      </c>
      <c r="H7791">
        <v>21771656</v>
      </c>
      <c r="I7791">
        <v>21771662</v>
      </c>
    </row>
    <row r="7792" spans="1:9" x14ac:dyDescent="0.2">
      <c r="A7792" s="1" t="str">
        <f>"HIC2"</f>
        <v>HIC2</v>
      </c>
      <c r="B7792" t="s">
        <v>13</v>
      </c>
      <c r="C7792" t="s">
        <v>21</v>
      </c>
      <c r="D7792" t="s">
        <v>17</v>
      </c>
      <c r="E7792" t="s">
        <v>12</v>
      </c>
      <c r="F7792">
        <v>21774954</v>
      </c>
      <c r="G7792">
        <v>21774958</v>
      </c>
      <c r="H7792">
        <v>21774954</v>
      </c>
      <c r="I7792">
        <v>21774958</v>
      </c>
    </row>
    <row r="7793" spans="1:9" x14ac:dyDescent="0.2">
      <c r="A7793" s="1" t="str">
        <f>"HID1"</f>
        <v>HID1</v>
      </c>
      <c r="B7793" t="s">
        <v>14</v>
      </c>
      <c r="C7793" t="s">
        <v>28</v>
      </c>
      <c r="D7793" t="s">
        <v>11</v>
      </c>
      <c r="E7793" t="s">
        <v>12</v>
      </c>
      <c r="F7793">
        <v>72968809</v>
      </c>
      <c r="G7793">
        <v>72968834</v>
      </c>
      <c r="H7793">
        <v>72968837</v>
      </c>
      <c r="I7793">
        <v>72968868</v>
      </c>
    </row>
    <row r="7794" spans="1:9" x14ac:dyDescent="0.2">
      <c r="A7794" s="1" t="str">
        <f>"HIF1A"</f>
        <v>HIF1A</v>
      </c>
      <c r="B7794" t="s">
        <v>14</v>
      </c>
      <c r="C7794" t="s">
        <v>41</v>
      </c>
      <c r="D7794" t="s">
        <v>17</v>
      </c>
      <c r="E7794" t="s">
        <v>12</v>
      </c>
      <c r="F7794">
        <v>62162224</v>
      </c>
      <c r="G7794">
        <v>62162254</v>
      </c>
      <c r="H7794">
        <v>62162258</v>
      </c>
      <c r="I7794">
        <v>62162269</v>
      </c>
    </row>
    <row r="7795" spans="1:9" x14ac:dyDescent="0.2">
      <c r="A7795" s="1" t="str">
        <f>"HIF1AN"</f>
        <v>HIF1AN</v>
      </c>
      <c r="B7795" t="s">
        <v>14</v>
      </c>
      <c r="C7795" t="s">
        <v>15</v>
      </c>
      <c r="D7795" t="s">
        <v>17</v>
      </c>
      <c r="E7795" t="s">
        <v>12</v>
      </c>
      <c r="F7795">
        <v>102295684</v>
      </c>
      <c r="G7795">
        <v>102295713</v>
      </c>
      <c r="H7795">
        <v>102295684</v>
      </c>
      <c r="I7795">
        <v>102295713</v>
      </c>
    </row>
    <row r="7796" spans="1:9" x14ac:dyDescent="0.2">
      <c r="A7796" s="1" t="str">
        <f>"HIF3A"</f>
        <v>HIF3A</v>
      </c>
      <c r="B7796" t="s">
        <v>9</v>
      </c>
      <c r="C7796" t="s">
        <v>10</v>
      </c>
      <c r="D7796" t="s">
        <v>17</v>
      </c>
      <c r="E7796" t="s">
        <v>12</v>
      </c>
      <c r="F7796">
        <v>46801639</v>
      </c>
      <c r="G7796">
        <v>46801699</v>
      </c>
      <c r="H7796">
        <v>46801639</v>
      </c>
      <c r="I7796">
        <v>46801699</v>
      </c>
    </row>
    <row r="7797" spans="1:9" x14ac:dyDescent="0.2">
      <c r="A7797" s="1" t="str">
        <f>"HIF3A"</f>
        <v>HIF3A</v>
      </c>
      <c r="B7797" t="s">
        <v>13</v>
      </c>
      <c r="C7797" t="s">
        <v>10</v>
      </c>
      <c r="D7797" t="s">
        <v>17</v>
      </c>
      <c r="E7797" t="s">
        <v>12</v>
      </c>
      <c r="F7797">
        <v>46800289</v>
      </c>
      <c r="G7797">
        <v>46800327</v>
      </c>
      <c r="H7797">
        <v>46800289</v>
      </c>
      <c r="I7797">
        <v>46800327</v>
      </c>
    </row>
    <row r="7798" spans="1:9" x14ac:dyDescent="0.2">
      <c r="A7798" s="1" t="str">
        <f>"HIGD1A"</f>
        <v>HIGD1A</v>
      </c>
      <c r="B7798" t="s">
        <v>14</v>
      </c>
      <c r="C7798" t="s">
        <v>22</v>
      </c>
      <c r="D7798" t="s">
        <v>11</v>
      </c>
      <c r="E7798" t="s">
        <v>12</v>
      </c>
      <c r="F7798">
        <v>42845951</v>
      </c>
      <c r="G7798">
        <v>42846015</v>
      </c>
      <c r="H7798">
        <v>42845922</v>
      </c>
      <c r="I7798">
        <v>42845933</v>
      </c>
    </row>
    <row r="7799" spans="1:9" x14ac:dyDescent="0.2">
      <c r="A7799" s="1" t="str">
        <f>"HIGD1B"</f>
        <v>HIGD1B</v>
      </c>
      <c r="B7799" t="s">
        <v>14</v>
      </c>
      <c r="C7799" t="s">
        <v>28</v>
      </c>
      <c r="D7799" t="s">
        <v>17</v>
      </c>
      <c r="E7799" t="s">
        <v>12</v>
      </c>
      <c r="F7799">
        <v>42925242</v>
      </c>
      <c r="G7799">
        <v>42925265</v>
      </c>
      <c r="H7799">
        <v>42925273</v>
      </c>
      <c r="I7799">
        <v>42925286</v>
      </c>
    </row>
    <row r="7800" spans="1:9" x14ac:dyDescent="0.2">
      <c r="A7800" s="1" t="str">
        <f>"HIGD1C"</f>
        <v>HIGD1C</v>
      </c>
      <c r="B7800" t="s">
        <v>589</v>
      </c>
      <c r="C7800" t="s">
        <v>16</v>
      </c>
      <c r="D7800" t="s">
        <v>17</v>
      </c>
      <c r="E7800" t="s">
        <v>20</v>
      </c>
      <c r="F7800">
        <v>51347704</v>
      </c>
      <c r="G7800">
        <v>51347704</v>
      </c>
      <c r="H7800">
        <v>51347704</v>
      </c>
      <c r="I7800">
        <v>51347704</v>
      </c>
    </row>
    <row r="7801" spans="1:9" x14ac:dyDescent="0.2">
      <c r="A7801" s="1" t="str">
        <f>"HIGD2A"</f>
        <v>HIGD2A</v>
      </c>
      <c r="B7801" t="s">
        <v>14</v>
      </c>
      <c r="C7801" t="s">
        <v>46</v>
      </c>
      <c r="D7801" t="s">
        <v>17</v>
      </c>
      <c r="E7801" t="s">
        <v>12</v>
      </c>
      <c r="F7801">
        <v>175815732</v>
      </c>
      <c r="G7801">
        <v>175815769</v>
      </c>
      <c r="H7801">
        <v>175815787</v>
      </c>
      <c r="I7801">
        <v>175815803</v>
      </c>
    </row>
    <row r="7802" spans="1:9" x14ac:dyDescent="0.2">
      <c r="A7802" s="1" t="str">
        <f>"HILPDA"</f>
        <v>HILPDA</v>
      </c>
      <c r="B7802" t="s">
        <v>14</v>
      </c>
      <c r="C7802" t="s">
        <v>33</v>
      </c>
      <c r="D7802" t="s">
        <v>17</v>
      </c>
      <c r="E7802" t="s">
        <v>12</v>
      </c>
      <c r="F7802">
        <v>128095900</v>
      </c>
      <c r="G7802">
        <v>128095939</v>
      </c>
      <c r="H7802">
        <v>128095945</v>
      </c>
      <c r="I7802">
        <v>128095962</v>
      </c>
    </row>
    <row r="7803" spans="1:9" x14ac:dyDescent="0.2">
      <c r="A7803" s="1" t="str">
        <f>"HINFP"</f>
        <v>HINFP</v>
      </c>
      <c r="B7803" t="s">
        <v>14</v>
      </c>
      <c r="C7803" t="s">
        <v>27</v>
      </c>
      <c r="D7803" t="s">
        <v>17</v>
      </c>
      <c r="E7803" t="s">
        <v>12</v>
      </c>
      <c r="F7803">
        <v>118992269</v>
      </c>
      <c r="G7803">
        <v>118992334</v>
      </c>
      <c r="H7803">
        <v>118992269</v>
      </c>
      <c r="I7803">
        <v>118992334</v>
      </c>
    </row>
    <row r="7804" spans="1:9" x14ac:dyDescent="0.2">
      <c r="A7804" s="1" t="str">
        <f>"HINT1"</f>
        <v>HINT1</v>
      </c>
      <c r="B7804" t="s">
        <v>14</v>
      </c>
      <c r="C7804" t="s">
        <v>46</v>
      </c>
      <c r="D7804" t="s">
        <v>11</v>
      </c>
      <c r="E7804" t="s">
        <v>12</v>
      </c>
      <c r="F7804">
        <v>130500922</v>
      </c>
      <c r="G7804">
        <v>130501026</v>
      </c>
      <c r="H7804">
        <v>130500895</v>
      </c>
      <c r="I7804">
        <v>130500906</v>
      </c>
    </row>
    <row r="7805" spans="1:9" x14ac:dyDescent="0.2">
      <c r="A7805" s="1" t="str">
        <f>"HINT2"</f>
        <v>HINT2</v>
      </c>
      <c r="B7805" t="s">
        <v>14</v>
      </c>
      <c r="C7805" t="s">
        <v>24</v>
      </c>
      <c r="D7805" t="s">
        <v>11</v>
      </c>
      <c r="E7805" t="s">
        <v>12</v>
      </c>
      <c r="F7805">
        <v>35815031</v>
      </c>
      <c r="G7805">
        <v>35815052</v>
      </c>
      <c r="H7805">
        <v>35814985</v>
      </c>
      <c r="I7805">
        <v>35815005</v>
      </c>
    </row>
    <row r="7806" spans="1:9" x14ac:dyDescent="0.2">
      <c r="A7806" s="1" t="str">
        <f>"HINT3"</f>
        <v>HINT3</v>
      </c>
      <c r="B7806" t="s">
        <v>14</v>
      </c>
      <c r="C7806" t="s">
        <v>32</v>
      </c>
      <c r="D7806" t="s">
        <v>17</v>
      </c>
      <c r="E7806" t="s">
        <v>12</v>
      </c>
      <c r="F7806">
        <v>126277842</v>
      </c>
      <c r="G7806">
        <v>126277993</v>
      </c>
      <c r="H7806">
        <v>126278007</v>
      </c>
      <c r="I7806">
        <v>126278029</v>
      </c>
    </row>
    <row r="7807" spans="1:9" x14ac:dyDescent="0.2">
      <c r="A7807" s="1" t="str">
        <f>"HIP1"</f>
        <v>HIP1</v>
      </c>
      <c r="B7807" t="s">
        <v>14</v>
      </c>
      <c r="C7807" t="s">
        <v>33</v>
      </c>
      <c r="D7807" t="s">
        <v>11</v>
      </c>
      <c r="E7807" t="s">
        <v>12</v>
      </c>
      <c r="F7807">
        <v>75368248</v>
      </c>
      <c r="G7807">
        <v>75368265</v>
      </c>
      <c r="H7807">
        <v>75368279</v>
      </c>
      <c r="I7807">
        <v>75368309</v>
      </c>
    </row>
    <row r="7808" spans="1:9" x14ac:dyDescent="0.2">
      <c r="A7808" s="1" t="str">
        <f>"HIP1R"</f>
        <v>HIP1R</v>
      </c>
      <c r="B7808" t="s">
        <v>14</v>
      </c>
      <c r="C7808" t="s">
        <v>16</v>
      </c>
      <c r="D7808" t="s">
        <v>17</v>
      </c>
      <c r="E7808" t="s">
        <v>12</v>
      </c>
      <c r="F7808">
        <v>123319973</v>
      </c>
      <c r="G7808">
        <v>123320059</v>
      </c>
      <c r="H7808">
        <v>123319279</v>
      </c>
      <c r="I7808">
        <v>123319305</v>
      </c>
    </row>
    <row r="7809" spans="1:9" x14ac:dyDescent="0.2">
      <c r="A7809" s="1" t="str">
        <f>"HIPK1"</f>
        <v>HIPK1</v>
      </c>
      <c r="B7809" t="s">
        <v>14</v>
      </c>
      <c r="C7809" t="s">
        <v>19</v>
      </c>
      <c r="D7809" t="s">
        <v>17</v>
      </c>
      <c r="E7809" t="s">
        <v>12</v>
      </c>
      <c r="F7809">
        <v>114472222</v>
      </c>
      <c r="G7809">
        <v>114472316</v>
      </c>
      <c r="H7809">
        <v>114472484</v>
      </c>
      <c r="I7809">
        <v>114472505</v>
      </c>
    </row>
    <row r="7810" spans="1:9" x14ac:dyDescent="0.2">
      <c r="A7810" s="1" t="str">
        <f>"HIPK2"</f>
        <v>HIPK2</v>
      </c>
      <c r="B7810" t="s">
        <v>14</v>
      </c>
      <c r="C7810" t="s">
        <v>33</v>
      </c>
      <c r="D7810" t="s">
        <v>11</v>
      </c>
      <c r="E7810" t="s">
        <v>12</v>
      </c>
      <c r="F7810">
        <v>139477785</v>
      </c>
      <c r="G7810">
        <v>139477853</v>
      </c>
      <c r="H7810">
        <v>139477500</v>
      </c>
      <c r="I7810">
        <v>139477580</v>
      </c>
    </row>
    <row r="7811" spans="1:9" x14ac:dyDescent="0.2">
      <c r="A7811" s="1" t="str">
        <f>"HIPK3"</f>
        <v>HIPK3</v>
      </c>
      <c r="B7811" t="s">
        <v>9</v>
      </c>
      <c r="C7811" t="s">
        <v>27</v>
      </c>
      <c r="D7811" t="s">
        <v>17</v>
      </c>
      <c r="E7811" t="s">
        <v>12</v>
      </c>
      <c r="F7811">
        <v>33278811</v>
      </c>
      <c r="G7811">
        <v>33279020</v>
      </c>
      <c r="H7811">
        <v>33278811</v>
      </c>
      <c r="I7811">
        <v>33279020</v>
      </c>
    </row>
    <row r="7812" spans="1:9" x14ac:dyDescent="0.2">
      <c r="A7812" s="1" t="str">
        <f>"HIPK3"</f>
        <v>HIPK3</v>
      </c>
      <c r="B7812" t="s">
        <v>13</v>
      </c>
      <c r="C7812" t="s">
        <v>27</v>
      </c>
      <c r="D7812" t="s">
        <v>17</v>
      </c>
      <c r="E7812" t="s">
        <v>12</v>
      </c>
      <c r="F7812">
        <v>33279850</v>
      </c>
      <c r="G7812">
        <v>33279931</v>
      </c>
      <c r="H7812">
        <v>33279850</v>
      </c>
      <c r="I7812">
        <v>33279931</v>
      </c>
    </row>
    <row r="7813" spans="1:9" x14ac:dyDescent="0.2">
      <c r="A7813" s="1" t="str">
        <f>"HIPK4"</f>
        <v>HIPK4</v>
      </c>
      <c r="B7813" t="s">
        <v>14</v>
      </c>
      <c r="C7813" t="s">
        <v>10</v>
      </c>
      <c r="D7813" t="s">
        <v>11</v>
      </c>
      <c r="E7813" t="s">
        <v>12</v>
      </c>
      <c r="F7813">
        <v>40896081</v>
      </c>
      <c r="G7813">
        <v>40896093</v>
      </c>
      <c r="H7813">
        <v>40896096</v>
      </c>
      <c r="I7813">
        <v>40896107</v>
      </c>
    </row>
    <row r="7814" spans="1:9" x14ac:dyDescent="0.2">
      <c r="A7814" s="1" t="str">
        <f>"HIRA"</f>
        <v>HIRA</v>
      </c>
      <c r="B7814" t="s">
        <v>9</v>
      </c>
      <c r="C7814" t="s">
        <v>21</v>
      </c>
      <c r="D7814" t="s">
        <v>11</v>
      </c>
      <c r="E7814" t="s">
        <v>12</v>
      </c>
      <c r="F7814">
        <v>19435209</v>
      </c>
      <c r="G7814">
        <v>19435247</v>
      </c>
      <c r="H7814">
        <v>19435209</v>
      </c>
      <c r="I7814">
        <v>19435247</v>
      </c>
    </row>
    <row r="7815" spans="1:9" x14ac:dyDescent="0.2">
      <c r="A7815" s="1" t="str">
        <f>"HIRA"</f>
        <v>HIRA</v>
      </c>
      <c r="B7815" t="s">
        <v>13</v>
      </c>
      <c r="C7815" t="s">
        <v>21</v>
      </c>
      <c r="D7815" t="s">
        <v>11</v>
      </c>
      <c r="E7815" t="s">
        <v>12</v>
      </c>
      <c r="F7815">
        <v>19419205</v>
      </c>
      <c r="G7815">
        <v>19419280</v>
      </c>
      <c r="H7815">
        <v>19419205</v>
      </c>
      <c r="I7815">
        <v>19419280</v>
      </c>
    </row>
    <row r="7816" spans="1:9" x14ac:dyDescent="0.2">
      <c r="A7816" s="1" t="str">
        <f>"HIRIP3"</f>
        <v>HIRIP3</v>
      </c>
      <c r="B7816" t="s">
        <v>14</v>
      </c>
      <c r="C7816" t="s">
        <v>31</v>
      </c>
      <c r="D7816" t="s">
        <v>11</v>
      </c>
      <c r="E7816" t="s">
        <v>12</v>
      </c>
      <c r="F7816">
        <v>30006922</v>
      </c>
      <c r="G7816">
        <v>30006969</v>
      </c>
      <c r="H7816">
        <v>30007387</v>
      </c>
      <c r="I7816">
        <v>30007420</v>
      </c>
    </row>
    <row r="7817" spans="1:9" x14ac:dyDescent="0.2">
      <c r="A7817" s="1" t="str">
        <f>"HIST1H1A"</f>
        <v>HIST1H1A</v>
      </c>
      <c r="B7817" t="s">
        <v>14</v>
      </c>
      <c r="C7817" t="s">
        <v>32</v>
      </c>
      <c r="D7817" t="s">
        <v>11</v>
      </c>
      <c r="E7817" t="s">
        <v>12</v>
      </c>
      <c r="F7817">
        <v>26018007</v>
      </c>
      <c r="G7817">
        <v>26018023</v>
      </c>
      <c r="H7817">
        <v>26018007</v>
      </c>
      <c r="I7817">
        <v>26018023</v>
      </c>
    </row>
    <row r="7818" spans="1:9" x14ac:dyDescent="0.2">
      <c r="A7818" s="1" t="str">
        <f>"HIST1H1B"</f>
        <v>HIST1H1B</v>
      </c>
      <c r="B7818" t="s">
        <v>14</v>
      </c>
      <c r="C7818" t="s">
        <v>32</v>
      </c>
      <c r="D7818" t="s">
        <v>11</v>
      </c>
      <c r="E7818" t="s">
        <v>12</v>
      </c>
      <c r="F7818">
        <v>27835357</v>
      </c>
      <c r="G7818">
        <v>27835375</v>
      </c>
      <c r="H7818">
        <v>27835357</v>
      </c>
      <c r="I7818">
        <v>27835375</v>
      </c>
    </row>
    <row r="7819" spans="1:9" x14ac:dyDescent="0.2">
      <c r="A7819" s="1" t="str">
        <f>"HIST1H1C"</f>
        <v>HIST1H1C</v>
      </c>
      <c r="B7819" t="s">
        <v>14</v>
      </c>
      <c r="C7819" t="s">
        <v>32</v>
      </c>
      <c r="D7819" t="s">
        <v>11</v>
      </c>
      <c r="E7819" t="s">
        <v>12</v>
      </c>
      <c r="F7819">
        <v>26056695</v>
      </c>
      <c r="G7819">
        <v>26056701</v>
      </c>
      <c r="H7819">
        <v>26056695</v>
      </c>
      <c r="I7819">
        <v>26056701</v>
      </c>
    </row>
    <row r="7820" spans="1:9" x14ac:dyDescent="0.2">
      <c r="A7820" s="1" t="str">
        <f>"HIST1H1D"</f>
        <v>HIST1H1D</v>
      </c>
      <c r="B7820" t="s">
        <v>14</v>
      </c>
      <c r="C7820" t="s">
        <v>32</v>
      </c>
      <c r="D7820" t="s">
        <v>11</v>
      </c>
      <c r="E7820" t="s">
        <v>12</v>
      </c>
      <c r="F7820">
        <v>26235206</v>
      </c>
      <c r="G7820">
        <v>26235224</v>
      </c>
      <c r="H7820">
        <v>26235206</v>
      </c>
      <c r="I7820">
        <v>26235224</v>
      </c>
    </row>
    <row r="7821" spans="1:9" x14ac:dyDescent="0.2">
      <c r="A7821" s="1" t="str">
        <f>"HIST1H1E"</f>
        <v>HIST1H1E</v>
      </c>
      <c r="B7821" t="s">
        <v>14</v>
      </c>
      <c r="C7821" t="s">
        <v>32</v>
      </c>
      <c r="D7821" t="s">
        <v>17</v>
      </c>
      <c r="E7821" t="s">
        <v>12</v>
      </c>
      <c r="F7821">
        <v>26156551</v>
      </c>
      <c r="G7821">
        <v>26156564</v>
      </c>
      <c r="H7821">
        <v>26156551</v>
      </c>
      <c r="I7821">
        <v>26156564</v>
      </c>
    </row>
    <row r="7822" spans="1:9" x14ac:dyDescent="0.2">
      <c r="A7822" s="1" t="str">
        <f>"HIST1H1T"</f>
        <v>HIST1H1T</v>
      </c>
      <c r="B7822" t="s">
        <v>14</v>
      </c>
      <c r="C7822" t="s">
        <v>32</v>
      </c>
      <c r="D7822" t="s">
        <v>11</v>
      </c>
      <c r="E7822" t="s">
        <v>12</v>
      </c>
      <c r="F7822">
        <v>26108355</v>
      </c>
      <c r="G7822">
        <v>26108371</v>
      </c>
      <c r="H7822">
        <v>26108355</v>
      </c>
      <c r="I7822">
        <v>26108371</v>
      </c>
    </row>
    <row r="7823" spans="1:9" x14ac:dyDescent="0.2">
      <c r="A7823" s="1" t="str">
        <f>"HIST1H2AA"</f>
        <v>HIST1H2AA</v>
      </c>
      <c r="B7823" t="s">
        <v>14</v>
      </c>
      <c r="C7823" t="s">
        <v>32</v>
      </c>
      <c r="D7823" t="s">
        <v>11</v>
      </c>
      <c r="E7823" t="s">
        <v>12</v>
      </c>
      <c r="F7823">
        <v>25726781</v>
      </c>
      <c r="G7823">
        <v>25726797</v>
      </c>
      <c r="H7823">
        <v>25727243</v>
      </c>
      <c r="I7823">
        <v>25727261</v>
      </c>
    </row>
    <row r="7824" spans="1:9" x14ac:dyDescent="0.2">
      <c r="A7824" s="1" t="str">
        <f>"HIST1H2AB"</f>
        <v>HIST1H2AB</v>
      </c>
      <c r="B7824" t="s">
        <v>14</v>
      </c>
      <c r="C7824" t="s">
        <v>32</v>
      </c>
      <c r="D7824" t="s">
        <v>11</v>
      </c>
      <c r="E7824" t="s">
        <v>12</v>
      </c>
      <c r="F7824">
        <v>26033837</v>
      </c>
      <c r="G7824">
        <v>26033852</v>
      </c>
      <c r="H7824">
        <v>26033837</v>
      </c>
      <c r="I7824">
        <v>26033852</v>
      </c>
    </row>
    <row r="7825" spans="1:9" x14ac:dyDescent="0.2">
      <c r="A7825" s="1" t="str">
        <f>"HIST1H2AC"</f>
        <v>HIST1H2AC</v>
      </c>
      <c r="B7825" t="s">
        <v>14</v>
      </c>
      <c r="C7825" t="s">
        <v>32</v>
      </c>
      <c r="D7825" t="s">
        <v>17</v>
      </c>
      <c r="E7825" t="s">
        <v>12</v>
      </c>
      <c r="F7825">
        <v>26124393</v>
      </c>
      <c r="G7825">
        <v>26124422</v>
      </c>
      <c r="H7825">
        <v>26124906</v>
      </c>
      <c r="I7825">
        <v>26124935</v>
      </c>
    </row>
    <row r="7826" spans="1:9" x14ac:dyDescent="0.2">
      <c r="A7826" s="1" t="str">
        <f>"HIST1H2AD"</f>
        <v>HIST1H2AD</v>
      </c>
      <c r="B7826" t="s">
        <v>14</v>
      </c>
      <c r="C7826" t="s">
        <v>32</v>
      </c>
      <c r="D7826" t="s">
        <v>11</v>
      </c>
      <c r="E7826" t="s">
        <v>12</v>
      </c>
      <c r="F7826">
        <v>26199487</v>
      </c>
      <c r="G7826">
        <v>26199494</v>
      </c>
      <c r="H7826">
        <v>26199487</v>
      </c>
      <c r="I7826">
        <v>26199494</v>
      </c>
    </row>
    <row r="7827" spans="1:9" x14ac:dyDescent="0.2">
      <c r="A7827" s="1" t="str">
        <f>"HIST1H2AE"</f>
        <v>HIST1H2AE</v>
      </c>
      <c r="B7827" t="s">
        <v>14</v>
      </c>
      <c r="C7827" t="s">
        <v>32</v>
      </c>
      <c r="D7827" t="s">
        <v>17</v>
      </c>
      <c r="E7827" t="s">
        <v>12</v>
      </c>
      <c r="F7827">
        <v>26217140</v>
      </c>
      <c r="G7827">
        <v>26217155</v>
      </c>
      <c r="H7827">
        <v>26217140</v>
      </c>
      <c r="I7827">
        <v>26217155</v>
      </c>
    </row>
    <row r="7828" spans="1:9" x14ac:dyDescent="0.2">
      <c r="A7828" s="1" t="str">
        <f>"HIST1H2AG"</f>
        <v>HIST1H2AG</v>
      </c>
      <c r="B7828" t="s">
        <v>590</v>
      </c>
      <c r="C7828" t="s">
        <v>32</v>
      </c>
      <c r="D7828" t="s">
        <v>17</v>
      </c>
      <c r="E7828" t="s">
        <v>35</v>
      </c>
      <c r="F7828">
        <v>27100811</v>
      </c>
      <c r="G7828">
        <v>27100830</v>
      </c>
      <c r="H7828">
        <v>27100811</v>
      </c>
      <c r="I7828">
        <v>27100830</v>
      </c>
    </row>
    <row r="7829" spans="1:9" x14ac:dyDescent="0.2">
      <c r="A7829" s="1" t="str">
        <f>"HIST1H2AH"</f>
        <v>HIST1H2AH</v>
      </c>
      <c r="B7829" t="s">
        <v>14</v>
      </c>
      <c r="C7829" t="s">
        <v>32</v>
      </c>
      <c r="D7829" t="s">
        <v>17</v>
      </c>
      <c r="E7829" t="s">
        <v>67</v>
      </c>
      <c r="F7829">
        <v>27115243</v>
      </c>
      <c r="G7829">
        <v>27115299</v>
      </c>
      <c r="H7829">
        <v>27114873</v>
      </c>
      <c r="I7829">
        <v>27114896</v>
      </c>
    </row>
    <row r="7830" spans="1:9" x14ac:dyDescent="0.2">
      <c r="A7830" s="1" t="str">
        <f>"HIST1H2AI"</f>
        <v>HIST1H2AI</v>
      </c>
      <c r="B7830" t="s">
        <v>591</v>
      </c>
      <c r="C7830" t="s">
        <v>32</v>
      </c>
      <c r="D7830" t="s">
        <v>17</v>
      </c>
      <c r="E7830" t="s">
        <v>35</v>
      </c>
      <c r="F7830">
        <v>27775943</v>
      </c>
      <c r="G7830">
        <v>27775958</v>
      </c>
      <c r="H7830">
        <v>27776055</v>
      </c>
      <c r="I7830">
        <v>27776066</v>
      </c>
    </row>
    <row r="7831" spans="1:9" x14ac:dyDescent="0.2">
      <c r="A7831" s="1" t="str">
        <f>"HIST1H2AJ"</f>
        <v>HIST1H2AJ</v>
      </c>
      <c r="B7831" t="s">
        <v>14</v>
      </c>
      <c r="C7831" t="s">
        <v>32</v>
      </c>
      <c r="D7831" t="s">
        <v>11</v>
      </c>
      <c r="E7831" t="s">
        <v>12</v>
      </c>
      <c r="F7831">
        <v>27782548</v>
      </c>
      <c r="G7831">
        <v>27782562</v>
      </c>
      <c r="H7831">
        <v>27782548</v>
      </c>
      <c r="I7831">
        <v>27782562</v>
      </c>
    </row>
    <row r="7832" spans="1:9" x14ac:dyDescent="0.2">
      <c r="A7832" s="1" t="str">
        <f>"HIST1H2AK"</f>
        <v>HIST1H2AK</v>
      </c>
      <c r="B7832" t="s">
        <v>592</v>
      </c>
      <c r="C7832" t="s">
        <v>32</v>
      </c>
      <c r="D7832" t="s">
        <v>11</v>
      </c>
      <c r="E7832" t="s">
        <v>35</v>
      </c>
      <c r="F7832">
        <v>27806140</v>
      </c>
      <c r="G7832">
        <v>27806160</v>
      </c>
      <c r="H7832">
        <v>27806140</v>
      </c>
      <c r="I7832">
        <v>27806160</v>
      </c>
    </row>
    <row r="7833" spans="1:9" x14ac:dyDescent="0.2">
      <c r="A7833" s="1" t="str">
        <f>"HIST1H2AL"</f>
        <v>HIST1H2AL</v>
      </c>
      <c r="B7833" t="s">
        <v>593</v>
      </c>
      <c r="C7833" t="s">
        <v>32</v>
      </c>
      <c r="D7833" t="s">
        <v>17</v>
      </c>
      <c r="E7833" t="s">
        <v>35</v>
      </c>
      <c r="F7833">
        <v>27833087</v>
      </c>
      <c r="G7833">
        <v>27833103</v>
      </c>
      <c r="H7833">
        <v>27833087</v>
      </c>
      <c r="I7833">
        <v>27833103</v>
      </c>
    </row>
    <row r="7834" spans="1:9" x14ac:dyDescent="0.2">
      <c r="A7834" s="1" t="str">
        <f>"HIST1H2AM"</f>
        <v>HIST1H2AM</v>
      </c>
      <c r="B7834" t="s">
        <v>14</v>
      </c>
      <c r="C7834" t="s">
        <v>32</v>
      </c>
      <c r="D7834" t="s">
        <v>11</v>
      </c>
      <c r="E7834" t="s">
        <v>12</v>
      </c>
      <c r="F7834">
        <v>27860956</v>
      </c>
      <c r="G7834">
        <v>27860973</v>
      </c>
      <c r="H7834">
        <v>27860956</v>
      </c>
      <c r="I7834">
        <v>27860973</v>
      </c>
    </row>
    <row r="7835" spans="1:9" x14ac:dyDescent="0.2">
      <c r="A7835" s="1" t="str">
        <f>"HIST1H2BA"</f>
        <v>HIST1H2BA</v>
      </c>
      <c r="B7835" t="s">
        <v>14</v>
      </c>
      <c r="C7835" t="s">
        <v>32</v>
      </c>
      <c r="D7835" t="s">
        <v>17</v>
      </c>
      <c r="E7835" t="s">
        <v>12</v>
      </c>
      <c r="F7835">
        <v>25726986</v>
      </c>
      <c r="G7835">
        <v>25727039</v>
      </c>
      <c r="H7835">
        <v>25727046</v>
      </c>
      <c r="I7835">
        <v>25727057</v>
      </c>
    </row>
    <row r="7836" spans="1:9" x14ac:dyDescent="0.2">
      <c r="A7836" s="1" t="str">
        <f>"HIST1H2BB"</f>
        <v>HIST1H2BB</v>
      </c>
      <c r="B7836" t="s">
        <v>14</v>
      </c>
      <c r="C7836" t="s">
        <v>32</v>
      </c>
      <c r="D7836" t="s">
        <v>11</v>
      </c>
      <c r="E7836" t="s">
        <v>12</v>
      </c>
      <c r="F7836">
        <v>26043932</v>
      </c>
      <c r="G7836">
        <v>26043947</v>
      </c>
      <c r="H7836">
        <v>26043932</v>
      </c>
      <c r="I7836">
        <v>26043947</v>
      </c>
    </row>
    <row r="7837" spans="1:9" x14ac:dyDescent="0.2">
      <c r="A7837" s="1" t="str">
        <f>"HIST1H2BC"</f>
        <v>HIST1H2BC</v>
      </c>
      <c r="B7837" t="s">
        <v>14</v>
      </c>
      <c r="C7837" t="s">
        <v>32</v>
      </c>
      <c r="D7837" t="s">
        <v>11</v>
      </c>
      <c r="E7837" t="s">
        <v>12</v>
      </c>
      <c r="F7837">
        <v>26124147</v>
      </c>
      <c r="G7837">
        <v>26124168</v>
      </c>
      <c r="H7837">
        <v>26124147</v>
      </c>
      <c r="I7837">
        <v>26124168</v>
      </c>
    </row>
    <row r="7838" spans="1:9" x14ac:dyDescent="0.2">
      <c r="A7838" s="1" t="str">
        <f>"HIST1H2BD"</f>
        <v>HIST1H2BD</v>
      </c>
      <c r="B7838" t="s">
        <v>14</v>
      </c>
      <c r="C7838" t="s">
        <v>32</v>
      </c>
      <c r="D7838" t="s">
        <v>17</v>
      </c>
      <c r="E7838" t="s">
        <v>12</v>
      </c>
      <c r="F7838">
        <v>26158343</v>
      </c>
      <c r="G7838">
        <v>26158366</v>
      </c>
      <c r="H7838">
        <v>26158343</v>
      </c>
      <c r="I7838">
        <v>26158366</v>
      </c>
    </row>
    <row r="7839" spans="1:9" x14ac:dyDescent="0.2">
      <c r="A7839" s="1" t="str">
        <f>"HIST1H2BE"</f>
        <v>HIST1H2BE</v>
      </c>
      <c r="B7839" t="s">
        <v>594</v>
      </c>
      <c r="C7839" t="s">
        <v>32</v>
      </c>
      <c r="D7839" t="s">
        <v>17</v>
      </c>
      <c r="E7839" t="s">
        <v>75</v>
      </c>
      <c r="F7839">
        <v>26183977</v>
      </c>
      <c r="G7839">
        <v>26184005</v>
      </c>
      <c r="H7839">
        <v>26184135</v>
      </c>
      <c r="I7839">
        <v>26184171</v>
      </c>
    </row>
    <row r="7840" spans="1:9" x14ac:dyDescent="0.2">
      <c r="A7840" s="1" t="str">
        <f>"HIST1H2BF"</f>
        <v>HIST1H2BF</v>
      </c>
      <c r="B7840" t="s">
        <v>595</v>
      </c>
      <c r="C7840" t="s">
        <v>32</v>
      </c>
      <c r="D7840" t="s">
        <v>17</v>
      </c>
      <c r="E7840" t="s">
        <v>35</v>
      </c>
      <c r="F7840">
        <v>26199709</v>
      </c>
      <c r="G7840">
        <v>26199720</v>
      </c>
      <c r="H7840">
        <v>26199737</v>
      </c>
      <c r="I7840">
        <v>26199754</v>
      </c>
    </row>
    <row r="7841" spans="1:9" x14ac:dyDescent="0.2">
      <c r="A7841" s="1" t="str">
        <f>"HIST1H2BG"</f>
        <v>HIST1H2BG</v>
      </c>
      <c r="B7841" t="s">
        <v>596</v>
      </c>
      <c r="C7841" t="s">
        <v>32</v>
      </c>
      <c r="D7841" t="s">
        <v>11</v>
      </c>
      <c r="E7841" t="s">
        <v>35</v>
      </c>
      <c r="F7841">
        <v>26216901</v>
      </c>
      <c r="G7841">
        <v>26216926</v>
      </c>
      <c r="H7841">
        <v>26216881</v>
      </c>
      <c r="I7841">
        <v>26216895</v>
      </c>
    </row>
    <row r="7842" spans="1:9" x14ac:dyDescent="0.2">
      <c r="A7842" s="1" t="str">
        <f>"HIST1H2BH"</f>
        <v>HIST1H2BH</v>
      </c>
      <c r="B7842" t="s">
        <v>14</v>
      </c>
      <c r="C7842" t="s">
        <v>32</v>
      </c>
      <c r="D7842" t="s">
        <v>17</v>
      </c>
      <c r="E7842" t="s">
        <v>12</v>
      </c>
      <c r="F7842">
        <v>26251835</v>
      </c>
      <c r="G7842">
        <v>26251848</v>
      </c>
      <c r="H7842">
        <v>26251822</v>
      </c>
      <c r="I7842">
        <v>26251833</v>
      </c>
    </row>
    <row r="7843" spans="1:9" x14ac:dyDescent="0.2">
      <c r="A7843" s="1" t="str">
        <f>"HIST1H2BI"</f>
        <v>HIST1H2BI</v>
      </c>
      <c r="B7843" t="s">
        <v>597</v>
      </c>
      <c r="C7843" t="s">
        <v>32</v>
      </c>
      <c r="D7843" t="s">
        <v>17</v>
      </c>
      <c r="E7843" t="s">
        <v>75</v>
      </c>
      <c r="F7843">
        <v>26273152</v>
      </c>
      <c r="G7843">
        <v>26273175</v>
      </c>
      <c r="H7843">
        <v>26273152</v>
      </c>
      <c r="I7843">
        <v>26273175</v>
      </c>
    </row>
    <row r="7844" spans="1:9" x14ac:dyDescent="0.2">
      <c r="A7844" s="1" t="str">
        <f>"HIST1H2BJ"</f>
        <v>HIST1H2BJ</v>
      </c>
      <c r="B7844" t="s">
        <v>14</v>
      </c>
      <c r="C7844" t="s">
        <v>32</v>
      </c>
      <c r="D7844" t="s">
        <v>11</v>
      </c>
      <c r="E7844" t="s">
        <v>12</v>
      </c>
      <c r="F7844">
        <v>27100565</v>
      </c>
      <c r="G7844">
        <v>27100582</v>
      </c>
      <c r="H7844">
        <v>27101003</v>
      </c>
      <c r="I7844">
        <v>27101047</v>
      </c>
    </row>
    <row r="7845" spans="1:9" x14ac:dyDescent="0.2">
      <c r="A7845" s="1" t="str">
        <f>"HIST1H2BK"</f>
        <v>HIST1H2BK</v>
      </c>
      <c r="B7845" t="s">
        <v>14</v>
      </c>
      <c r="C7845" t="s">
        <v>32</v>
      </c>
      <c r="D7845" t="s">
        <v>11</v>
      </c>
      <c r="E7845" t="s">
        <v>12</v>
      </c>
      <c r="F7845">
        <v>27114620</v>
      </c>
      <c r="G7845">
        <v>27114642</v>
      </c>
      <c r="H7845">
        <v>27114185</v>
      </c>
      <c r="I7845">
        <v>27114228</v>
      </c>
    </row>
    <row r="7846" spans="1:9" x14ac:dyDescent="0.2">
      <c r="A7846" s="1" t="str">
        <f>"HIST1H2BL"</f>
        <v>HIST1H2BL</v>
      </c>
      <c r="B7846" t="s">
        <v>14</v>
      </c>
      <c r="C7846" t="s">
        <v>32</v>
      </c>
      <c r="D7846" t="s">
        <v>11</v>
      </c>
      <c r="E7846" t="s">
        <v>12</v>
      </c>
      <c r="F7846">
        <v>27775694</v>
      </c>
      <c r="G7846">
        <v>27775714</v>
      </c>
      <c r="H7846">
        <v>27775459</v>
      </c>
      <c r="I7846">
        <v>27775495</v>
      </c>
    </row>
    <row r="7847" spans="1:9" x14ac:dyDescent="0.2">
      <c r="A7847" s="1" t="str">
        <f>"HIST1H2BM"</f>
        <v>HIST1H2BM</v>
      </c>
      <c r="B7847" t="s">
        <v>14</v>
      </c>
      <c r="C7847" t="s">
        <v>32</v>
      </c>
      <c r="D7847" t="s">
        <v>17</v>
      </c>
      <c r="E7847" t="s">
        <v>12</v>
      </c>
      <c r="F7847">
        <v>27782788</v>
      </c>
      <c r="G7847">
        <v>27782823</v>
      </c>
      <c r="H7847">
        <v>27782876</v>
      </c>
      <c r="I7847">
        <v>27782889</v>
      </c>
    </row>
    <row r="7848" spans="1:9" x14ac:dyDescent="0.2">
      <c r="A7848" s="1" t="str">
        <f>"HIST1H2BN"</f>
        <v>HIST1H2BN</v>
      </c>
      <c r="B7848" t="s">
        <v>14</v>
      </c>
      <c r="C7848" t="s">
        <v>32</v>
      </c>
      <c r="D7848" t="s">
        <v>17</v>
      </c>
      <c r="E7848" t="s">
        <v>12</v>
      </c>
      <c r="F7848">
        <v>27806319</v>
      </c>
      <c r="G7848">
        <v>27806356</v>
      </c>
      <c r="H7848">
        <v>27806202</v>
      </c>
      <c r="I7848">
        <v>27806209</v>
      </c>
    </row>
    <row r="7849" spans="1:9" x14ac:dyDescent="0.2">
      <c r="A7849" s="1" t="str">
        <f>"HIST1H2BO"</f>
        <v>HIST1H2BO</v>
      </c>
      <c r="B7849" t="s">
        <v>14</v>
      </c>
      <c r="C7849" t="s">
        <v>32</v>
      </c>
      <c r="D7849" t="s">
        <v>17</v>
      </c>
      <c r="E7849" t="s">
        <v>12</v>
      </c>
      <c r="F7849">
        <v>27861190</v>
      </c>
      <c r="G7849">
        <v>27861217</v>
      </c>
      <c r="H7849">
        <v>27860684</v>
      </c>
      <c r="I7849">
        <v>27860709</v>
      </c>
    </row>
    <row r="7850" spans="1:9" x14ac:dyDescent="0.2">
      <c r="A7850" s="1" t="str">
        <f>"HIST1H3A"</f>
        <v>HIST1H3A</v>
      </c>
      <c r="B7850" t="s">
        <v>598</v>
      </c>
      <c r="C7850" t="s">
        <v>32</v>
      </c>
      <c r="D7850" t="s">
        <v>17</v>
      </c>
      <c r="E7850" t="s">
        <v>35</v>
      </c>
      <c r="F7850">
        <v>26020821</v>
      </c>
      <c r="G7850">
        <v>26020830</v>
      </c>
      <c r="H7850">
        <v>26020821</v>
      </c>
      <c r="I7850">
        <v>26020830</v>
      </c>
    </row>
    <row r="7851" spans="1:9" x14ac:dyDescent="0.2">
      <c r="A7851" s="1" t="str">
        <f>"HIST1H3B"</f>
        <v>HIST1H3B</v>
      </c>
      <c r="B7851" t="s">
        <v>14</v>
      </c>
      <c r="C7851" t="s">
        <v>32</v>
      </c>
      <c r="D7851" t="s">
        <v>11</v>
      </c>
      <c r="E7851" t="s">
        <v>12</v>
      </c>
      <c r="F7851">
        <v>26032319</v>
      </c>
      <c r="G7851">
        <v>26032337</v>
      </c>
      <c r="H7851">
        <v>26032319</v>
      </c>
      <c r="I7851">
        <v>26032337</v>
      </c>
    </row>
    <row r="7852" spans="1:9" x14ac:dyDescent="0.2">
      <c r="A7852" s="1" t="str">
        <f>"HIST1H3C"</f>
        <v>HIST1H3C</v>
      </c>
      <c r="B7852" t="s">
        <v>599</v>
      </c>
      <c r="C7852" t="s">
        <v>32</v>
      </c>
      <c r="D7852" t="s">
        <v>17</v>
      </c>
      <c r="E7852" t="s">
        <v>35</v>
      </c>
      <c r="F7852">
        <v>26045603</v>
      </c>
      <c r="G7852">
        <v>26045639</v>
      </c>
      <c r="H7852">
        <v>26045762</v>
      </c>
      <c r="I7852">
        <v>26045773</v>
      </c>
    </row>
    <row r="7853" spans="1:9" x14ac:dyDescent="0.2">
      <c r="A7853" s="1" t="str">
        <f>"HIST1H3D"</f>
        <v>HIST1H3D</v>
      </c>
      <c r="B7853" t="s">
        <v>14</v>
      </c>
      <c r="C7853" t="s">
        <v>32</v>
      </c>
      <c r="D7853" t="s">
        <v>11</v>
      </c>
      <c r="E7853" t="s">
        <v>67</v>
      </c>
      <c r="F7853">
        <v>26199487</v>
      </c>
      <c r="G7853">
        <v>26199494</v>
      </c>
      <c r="H7853">
        <v>26199487</v>
      </c>
      <c r="I7853">
        <v>26199494</v>
      </c>
    </row>
    <row r="7854" spans="1:9" x14ac:dyDescent="0.2">
      <c r="A7854" s="1" t="str">
        <f>"HIST1H3E"</f>
        <v>HIST1H3E</v>
      </c>
      <c r="B7854" t="s">
        <v>600</v>
      </c>
      <c r="C7854" t="s">
        <v>32</v>
      </c>
      <c r="D7854" t="s">
        <v>17</v>
      </c>
      <c r="E7854" t="s">
        <v>35</v>
      </c>
      <c r="F7854">
        <v>26225354</v>
      </c>
      <c r="G7854">
        <v>26225378</v>
      </c>
      <c r="H7854">
        <v>26225548</v>
      </c>
      <c r="I7854">
        <v>26225568</v>
      </c>
    </row>
    <row r="7855" spans="1:9" x14ac:dyDescent="0.2">
      <c r="A7855" s="1" t="str">
        <f>"HIST1H3F"</f>
        <v>HIST1H3F</v>
      </c>
      <c r="B7855" t="s">
        <v>601</v>
      </c>
      <c r="C7855" t="s">
        <v>32</v>
      </c>
      <c r="D7855" t="s">
        <v>11</v>
      </c>
      <c r="E7855" t="s">
        <v>35</v>
      </c>
      <c r="F7855">
        <v>26250906</v>
      </c>
      <c r="G7855">
        <v>26250920</v>
      </c>
      <c r="H7855">
        <v>26250853</v>
      </c>
      <c r="I7855">
        <v>26250874</v>
      </c>
    </row>
    <row r="7856" spans="1:9" x14ac:dyDescent="0.2">
      <c r="A7856" s="1" t="str">
        <f>"HIST1H3G"</f>
        <v>HIST1H3G</v>
      </c>
      <c r="B7856" t="s">
        <v>602</v>
      </c>
      <c r="C7856" t="s">
        <v>32</v>
      </c>
      <c r="D7856" t="s">
        <v>11</v>
      </c>
      <c r="E7856" t="s">
        <v>35</v>
      </c>
      <c r="F7856">
        <v>26271633</v>
      </c>
      <c r="G7856">
        <v>26271648</v>
      </c>
      <c r="H7856">
        <v>26271633</v>
      </c>
      <c r="I7856">
        <v>26271648</v>
      </c>
    </row>
    <row r="7857" spans="1:9" x14ac:dyDescent="0.2">
      <c r="A7857" s="1" t="str">
        <f>"HIST1H3H"</f>
        <v>HIST1H3H</v>
      </c>
      <c r="B7857" t="s">
        <v>603</v>
      </c>
      <c r="C7857" t="s">
        <v>32</v>
      </c>
      <c r="D7857" t="s">
        <v>17</v>
      </c>
      <c r="E7857" t="s">
        <v>35</v>
      </c>
      <c r="F7857">
        <v>27777819</v>
      </c>
      <c r="G7857">
        <v>27777836</v>
      </c>
      <c r="H7857">
        <v>27777980</v>
      </c>
      <c r="I7857">
        <v>27778028</v>
      </c>
    </row>
    <row r="7858" spans="1:9" x14ac:dyDescent="0.2">
      <c r="A7858" s="1" t="str">
        <f>"HIST1H3I"</f>
        <v>HIST1H3I</v>
      </c>
      <c r="B7858" t="s">
        <v>604</v>
      </c>
      <c r="C7858" t="s">
        <v>32</v>
      </c>
      <c r="D7858" t="s">
        <v>11</v>
      </c>
      <c r="E7858" t="s">
        <v>75</v>
      </c>
      <c r="F7858">
        <v>27840112</v>
      </c>
      <c r="G7858">
        <v>27840133</v>
      </c>
      <c r="H7858">
        <v>27840112</v>
      </c>
      <c r="I7858">
        <v>27840133</v>
      </c>
    </row>
    <row r="7859" spans="1:9" x14ac:dyDescent="0.2">
      <c r="A7859" s="1" t="str">
        <f>"HIST1H3J"</f>
        <v>HIST1H3J</v>
      </c>
      <c r="B7859" t="s">
        <v>605</v>
      </c>
      <c r="C7859" t="s">
        <v>32</v>
      </c>
      <c r="D7859" t="s">
        <v>11</v>
      </c>
      <c r="E7859" t="s">
        <v>75</v>
      </c>
      <c r="F7859">
        <v>27858597</v>
      </c>
      <c r="G7859">
        <v>27858611</v>
      </c>
      <c r="H7859">
        <v>27858597</v>
      </c>
      <c r="I7859">
        <v>27858611</v>
      </c>
    </row>
    <row r="7860" spans="1:9" x14ac:dyDescent="0.2">
      <c r="A7860" s="1" t="str">
        <f>"HIST1H4A"</f>
        <v>HIST1H4A</v>
      </c>
      <c r="B7860" t="s">
        <v>606</v>
      </c>
      <c r="C7860" t="s">
        <v>32</v>
      </c>
      <c r="D7860" t="s">
        <v>17</v>
      </c>
      <c r="E7860" t="s">
        <v>35</v>
      </c>
      <c r="F7860">
        <v>26021769</v>
      </c>
      <c r="G7860">
        <v>26021778</v>
      </c>
      <c r="H7860">
        <v>26021944</v>
      </c>
      <c r="I7860">
        <v>26021950</v>
      </c>
    </row>
    <row r="7861" spans="1:9" x14ac:dyDescent="0.2">
      <c r="A7861" s="1" t="str">
        <f>"HIST1H4B"</f>
        <v>HIST1H4B</v>
      </c>
      <c r="B7861" t="s">
        <v>607</v>
      </c>
      <c r="C7861" t="s">
        <v>32</v>
      </c>
      <c r="D7861" t="s">
        <v>11</v>
      </c>
      <c r="E7861" t="s">
        <v>35</v>
      </c>
      <c r="F7861">
        <v>26027503</v>
      </c>
      <c r="G7861">
        <v>26027522</v>
      </c>
      <c r="H7861">
        <v>26027503</v>
      </c>
      <c r="I7861">
        <v>26027522</v>
      </c>
    </row>
    <row r="7862" spans="1:9" x14ac:dyDescent="0.2">
      <c r="A7862" s="1" t="str">
        <f>"HIST1H4C"</f>
        <v>HIST1H4C</v>
      </c>
      <c r="B7862" t="s">
        <v>14</v>
      </c>
      <c r="C7862" t="s">
        <v>32</v>
      </c>
      <c r="D7862" t="s">
        <v>17</v>
      </c>
      <c r="E7862" t="s">
        <v>12</v>
      </c>
      <c r="F7862">
        <v>26104154</v>
      </c>
      <c r="G7862">
        <v>26104169</v>
      </c>
      <c r="H7862">
        <v>26104154</v>
      </c>
      <c r="I7862">
        <v>26104169</v>
      </c>
    </row>
    <row r="7863" spans="1:9" x14ac:dyDescent="0.2">
      <c r="A7863" s="1" t="str">
        <f>"HIST1H4D"</f>
        <v>HIST1H4D</v>
      </c>
      <c r="B7863" t="s">
        <v>608</v>
      </c>
      <c r="C7863" t="s">
        <v>32</v>
      </c>
      <c r="D7863" t="s">
        <v>11</v>
      </c>
      <c r="E7863" t="s">
        <v>35</v>
      </c>
      <c r="F7863">
        <v>26189490</v>
      </c>
      <c r="G7863">
        <v>26189491</v>
      </c>
      <c r="H7863">
        <v>26189490</v>
      </c>
      <c r="I7863">
        <v>26189491</v>
      </c>
    </row>
    <row r="7864" spans="1:9" x14ac:dyDescent="0.2">
      <c r="A7864" s="1" t="str">
        <f>"HIST1H4E"</f>
        <v>HIST1H4E</v>
      </c>
      <c r="B7864" t="s">
        <v>14</v>
      </c>
      <c r="C7864" t="s">
        <v>32</v>
      </c>
      <c r="D7864" t="s">
        <v>17</v>
      </c>
      <c r="E7864" t="s">
        <v>12</v>
      </c>
      <c r="F7864">
        <v>26204825</v>
      </c>
      <c r="G7864">
        <v>26204845</v>
      </c>
      <c r="H7864">
        <v>26204825</v>
      </c>
      <c r="I7864">
        <v>26204845</v>
      </c>
    </row>
    <row r="7865" spans="1:9" x14ac:dyDescent="0.2">
      <c r="A7865" s="1" t="str">
        <f>"HIST1H4F"</f>
        <v>HIST1H4F</v>
      </c>
      <c r="B7865" t="s">
        <v>609</v>
      </c>
      <c r="C7865" t="s">
        <v>32</v>
      </c>
      <c r="D7865" t="s">
        <v>17</v>
      </c>
      <c r="E7865" t="s">
        <v>35</v>
      </c>
      <c r="F7865">
        <v>26240613</v>
      </c>
      <c r="G7865">
        <v>26240628</v>
      </c>
      <c r="H7865">
        <v>26240613</v>
      </c>
      <c r="I7865">
        <v>26240628</v>
      </c>
    </row>
    <row r="7866" spans="1:9" x14ac:dyDescent="0.2">
      <c r="A7866" s="1" t="str">
        <f>"HIST1H4G"</f>
        <v>HIST1H4G</v>
      </c>
      <c r="B7866" t="s">
        <v>610</v>
      </c>
      <c r="C7866" t="s">
        <v>32</v>
      </c>
      <c r="D7866" t="s">
        <v>11</v>
      </c>
      <c r="E7866" t="s">
        <v>20</v>
      </c>
      <c r="F7866">
        <v>26247258</v>
      </c>
      <c r="G7866">
        <v>26247258</v>
      </c>
      <c r="H7866">
        <v>26247258</v>
      </c>
      <c r="I7866">
        <v>26247258</v>
      </c>
    </row>
    <row r="7867" spans="1:9" x14ac:dyDescent="0.2">
      <c r="A7867" s="1" t="str">
        <f>"HIST1H4H"</f>
        <v>HIST1H4H</v>
      </c>
      <c r="B7867" t="s">
        <v>611</v>
      </c>
      <c r="C7867" t="s">
        <v>32</v>
      </c>
      <c r="D7867" t="s">
        <v>11</v>
      </c>
      <c r="E7867" t="s">
        <v>35</v>
      </c>
      <c r="F7867">
        <v>26285754</v>
      </c>
      <c r="G7867">
        <v>26285769</v>
      </c>
      <c r="H7867">
        <v>26285754</v>
      </c>
      <c r="I7867">
        <v>26285769</v>
      </c>
    </row>
    <row r="7868" spans="1:9" x14ac:dyDescent="0.2">
      <c r="A7868" s="1" t="str">
        <f>"HIST1H4I"</f>
        <v>HIST1H4I</v>
      </c>
      <c r="B7868" t="s">
        <v>612</v>
      </c>
      <c r="C7868" t="s">
        <v>32</v>
      </c>
      <c r="D7868" t="s">
        <v>17</v>
      </c>
      <c r="E7868" t="s">
        <v>75</v>
      </c>
      <c r="F7868">
        <v>27107053</v>
      </c>
      <c r="G7868">
        <v>27107068</v>
      </c>
      <c r="H7868">
        <v>27107053</v>
      </c>
      <c r="I7868">
        <v>27107068</v>
      </c>
    </row>
    <row r="7869" spans="1:9" x14ac:dyDescent="0.2">
      <c r="A7869" s="1" t="str">
        <f>"HIST1H4J"</f>
        <v>HIST1H4J</v>
      </c>
      <c r="B7869" t="s">
        <v>14</v>
      </c>
      <c r="C7869" t="s">
        <v>32</v>
      </c>
      <c r="D7869" t="s">
        <v>17</v>
      </c>
      <c r="E7869" t="s">
        <v>67</v>
      </c>
      <c r="F7869">
        <v>27792247</v>
      </c>
      <c r="G7869">
        <v>27792268</v>
      </c>
      <c r="H7869">
        <v>27792037</v>
      </c>
      <c r="I7869">
        <v>27792039</v>
      </c>
    </row>
    <row r="7870" spans="1:9" x14ac:dyDescent="0.2">
      <c r="A7870" s="1" t="str">
        <f>"HIST1H4K"</f>
        <v>HIST1H4K</v>
      </c>
      <c r="B7870" t="s">
        <v>14</v>
      </c>
      <c r="C7870" t="s">
        <v>32</v>
      </c>
      <c r="D7870" t="s">
        <v>11</v>
      </c>
      <c r="E7870" t="s">
        <v>67</v>
      </c>
      <c r="F7870">
        <v>27798935</v>
      </c>
      <c r="G7870">
        <v>27798960</v>
      </c>
      <c r="H7870">
        <v>27798935</v>
      </c>
      <c r="I7870">
        <v>27798960</v>
      </c>
    </row>
    <row r="7871" spans="1:9" x14ac:dyDescent="0.2">
      <c r="A7871" s="1" t="str">
        <f>"HIST1H4L"</f>
        <v>HIST1H4L</v>
      </c>
      <c r="B7871" t="s">
        <v>14</v>
      </c>
      <c r="C7871" t="s">
        <v>32</v>
      </c>
      <c r="D7871" t="s">
        <v>11</v>
      </c>
      <c r="E7871" t="s">
        <v>67</v>
      </c>
      <c r="F7871">
        <v>27841151</v>
      </c>
      <c r="G7871">
        <v>27841161</v>
      </c>
      <c r="H7871">
        <v>27841249</v>
      </c>
      <c r="I7871">
        <v>27841267</v>
      </c>
    </row>
    <row r="7872" spans="1:9" x14ac:dyDescent="0.2">
      <c r="A7872" s="1" t="str">
        <f>"HIST2H2AA3"</f>
        <v>HIST2H2AA3</v>
      </c>
      <c r="B7872" t="s">
        <v>613</v>
      </c>
      <c r="C7872" t="s">
        <v>19</v>
      </c>
      <c r="D7872" t="s">
        <v>11</v>
      </c>
      <c r="E7872" t="s">
        <v>35</v>
      </c>
      <c r="F7872">
        <v>149814314</v>
      </c>
      <c r="G7872">
        <v>149814324</v>
      </c>
      <c r="H7872">
        <v>149814314</v>
      </c>
      <c r="I7872">
        <v>149814324</v>
      </c>
    </row>
    <row r="7873" spans="1:9" x14ac:dyDescent="0.2">
      <c r="A7873" s="1" t="str">
        <f>"HIST2H2AA4"</f>
        <v>HIST2H2AA4</v>
      </c>
      <c r="B7873" t="s">
        <v>14</v>
      </c>
      <c r="C7873" t="s">
        <v>19</v>
      </c>
      <c r="D7873" t="s">
        <v>17</v>
      </c>
      <c r="E7873" t="s">
        <v>12</v>
      </c>
      <c r="F7873">
        <v>149822620</v>
      </c>
      <c r="G7873">
        <v>149822635</v>
      </c>
      <c r="H7873">
        <v>149822620</v>
      </c>
      <c r="I7873">
        <v>149822635</v>
      </c>
    </row>
    <row r="7874" spans="1:9" x14ac:dyDescent="0.2">
      <c r="A7874" s="1" t="str">
        <f>"HIST2H2AB"</f>
        <v>HIST2H2AB</v>
      </c>
      <c r="B7874" t="s">
        <v>14</v>
      </c>
      <c r="C7874" t="s">
        <v>19</v>
      </c>
      <c r="D7874" t="s">
        <v>11</v>
      </c>
      <c r="E7874" t="s">
        <v>12</v>
      </c>
      <c r="F7874">
        <v>149859507</v>
      </c>
      <c r="G7874">
        <v>149859521</v>
      </c>
      <c r="H7874">
        <v>149859897</v>
      </c>
      <c r="I7874">
        <v>149859916</v>
      </c>
    </row>
    <row r="7875" spans="1:9" x14ac:dyDescent="0.2">
      <c r="A7875" s="1" t="str">
        <f>"HIST2H2AC"</f>
        <v>HIST2H2AC</v>
      </c>
      <c r="B7875" t="s">
        <v>14</v>
      </c>
      <c r="C7875" t="s">
        <v>19</v>
      </c>
      <c r="D7875" t="s">
        <v>17</v>
      </c>
      <c r="E7875" t="s">
        <v>12</v>
      </c>
      <c r="F7875">
        <v>149858650</v>
      </c>
      <c r="G7875">
        <v>149858685</v>
      </c>
      <c r="H7875">
        <v>149858650</v>
      </c>
      <c r="I7875">
        <v>149858685</v>
      </c>
    </row>
    <row r="7876" spans="1:9" x14ac:dyDescent="0.2">
      <c r="A7876" s="1" t="str">
        <f>"HIST2H2BE"</f>
        <v>HIST2H2BE</v>
      </c>
      <c r="B7876" t="s">
        <v>14</v>
      </c>
      <c r="C7876" t="s">
        <v>19</v>
      </c>
      <c r="D7876" t="s">
        <v>11</v>
      </c>
      <c r="E7876" t="s">
        <v>12</v>
      </c>
      <c r="F7876">
        <v>149858227</v>
      </c>
      <c r="G7876">
        <v>149858237</v>
      </c>
      <c r="H7876">
        <v>149858086</v>
      </c>
      <c r="I7876">
        <v>149858094</v>
      </c>
    </row>
    <row r="7877" spans="1:9" x14ac:dyDescent="0.2">
      <c r="A7877" s="1" t="str">
        <f>"HIST2H2BF"</f>
        <v>HIST2H2BF</v>
      </c>
      <c r="B7877" t="s">
        <v>14</v>
      </c>
      <c r="C7877" t="s">
        <v>19</v>
      </c>
      <c r="D7877" t="s">
        <v>11</v>
      </c>
      <c r="E7877" t="s">
        <v>12</v>
      </c>
      <c r="F7877">
        <v>149783922</v>
      </c>
      <c r="G7877">
        <v>149783929</v>
      </c>
      <c r="H7877">
        <v>149783922</v>
      </c>
      <c r="I7877">
        <v>149783929</v>
      </c>
    </row>
    <row r="7878" spans="1:9" x14ac:dyDescent="0.2">
      <c r="A7878" s="1" t="str">
        <f>"HIST2H3A"</f>
        <v>HIST2H3A</v>
      </c>
      <c r="B7878" t="s">
        <v>14</v>
      </c>
      <c r="C7878" t="s">
        <v>19</v>
      </c>
      <c r="D7878" t="s">
        <v>17</v>
      </c>
      <c r="E7878" t="s">
        <v>12</v>
      </c>
      <c r="F7878">
        <v>149824160</v>
      </c>
      <c r="G7878">
        <v>149824183</v>
      </c>
      <c r="H7878">
        <v>149824160</v>
      </c>
      <c r="I7878">
        <v>149824183</v>
      </c>
    </row>
    <row r="7879" spans="1:9" x14ac:dyDescent="0.2">
      <c r="A7879" s="1" t="str">
        <f>"HIST2H3C"</f>
        <v>HIST2H3C</v>
      </c>
      <c r="B7879" t="s">
        <v>614</v>
      </c>
      <c r="C7879" t="s">
        <v>19</v>
      </c>
      <c r="D7879" t="s">
        <v>11</v>
      </c>
      <c r="E7879" t="s">
        <v>20</v>
      </c>
      <c r="F7879">
        <v>149812764</v>
      </c>
      <c r="G7879">
        <v>149812764</v>
      </c>
      <c r="H7879">
        <v>149812764</v>
      </c>
      <c r="I7879">
        <v>149812764</v>
      </c>
    </row>
    <row r="7880" spans="1:9" x14ac:dyDescent="0.2">
      <c r="A7880" s="1" t="str">
        <f>"HIST2H3D"</f>
        <v>HIST2H3D</v>
      </c>
      <c r="B7880" t="s">
        <v>615</v>
      </c>
      <c r="C7880" t="s">
        <v>19</v>
      </c>
      <c r="D7880" t="s">
        <v>11</v>
      </c>
      <c r="E7880" t="s">
        <v>20</v>
      </c>
      <c r="F7880">
        <v>149785235</v>
      </c>
      <c r="G7880">
        <v>149785235</v>
      </c>
      <c r="H7880">
        <v>149785235</v>
      </c>
      <c r="I7880">
        <v>149785235</v>
      </c>
    </row>
    <row r="7881" spans="1:9" x14ac:dyDescent="0.2">
      <c r="A7881" s="1" t="str">
        <f>"HIST2H4A"</f>
        <v>HIST2H4A</v>
      </c>
      <c r="B7881" t="s">
        <v>616</v>
      </c>
      <c r="C7881" t="s">
        <v>19</v>
      </c>
      <c r="D7881" t="s">
        <v>17</v>
      </c>
      <c r="E7881" t="s">
        <v>35</v>
      </c>
      <c r="F7881">
        <v>149804169</v>
      </c>
      <c r="G7881">
        <v>149804175</v>
      </c>
      <c r="H7881">
        <v>149804218</v>
      </c>
      <c r="I7881">
        <v>149804222</v>
      </c>
    </row>
    <row r="7882" spans="1:9" x14ac:dyDescent="0.2">
      <c r="A7882" s="1" t="str">
        <f>"HIST2H4B"</f>
        <v>HIST2H4B</v>
      </c>
      <c r="B7882" t="s">
        <v>617</v>
      </c>
      <c r="C7882" t="s">
        <v>19</v>
      </c>
      <c r="D7882" t="s">
        <v>11</v>
      </c>
      <c r="E7882" t="s">
        <v>20</v>
      </c>
      <c r="F7882">
        <v>149832709</v>
      </c>
      <c r="G7882">
        <v>149832709</v>
      </c>
      <c r="H7882">
        <v>149832709</v>
      </c>
      <c r="I7882">
        <v>149832709</v>
      </c>
    </row>
    <row r="7883" spans="1:9" x14ac:dyDescent="0.2">
      <c r="A7883" s="1" t="str">
        <f>"HIST3H2A"</f>
        <v>HIST3H2A</v>
      </c>
      <c r="B7883" t="s">
        <v>14</v>
      </c>
      <c r="C7883" t="s">
        <v>19</v>
      </c>
      <c r="D7883" t="s">
        <v>11</v>
      </c>
      <c r="E7883" t="s">
        <v>12</v>
      </c>
      <c r="F7883">
        <v>228645556</v>
      </c>
      <c r="G7883">
        <v>228645580</v>
      </c>
      <c r="H7883">
        <v>228645556</v>
      </c>
      <c r="I7883">
        <v>228645580</v>
      </c>
    </row>
    <row r="7884" spans="1:9" x14ac:dyDescent="0.2">
      <c r="A7884" s="1" t="str">
        <f>"HIST3H2BB"</f>
        <v>HIST3H2BB</v>
      </c>
      <c r="B7884" t="s">
        <v>14</v>
      </c>
      <c r="C7884" t="s">
        <v>19</v>
      </c>
      <c r="D7884" t="s">
        <v>17</v>
      </c>
      <c r="E7884" t="s">
        <v>12</v>
      </c>
      <c r="F7884">
        <v>228645796</v>
      </c>
      <c r="G7884">
        <v>228645822</v>
      </c>
      <c r="H7884">
        <v>228645796</v>
      </c>
      <c r="I7884">
        <v>228645822</v>
      </c>
    </row>
    <row r="7885" spans="1:9" x14ac:dyDescent="0.2">
      <c r="A7885" s="1" t="str">
        <f>"HIST3H3"</f>
        <v>HIST3H3</v>
      </c>
      <c r="B7885" t="s">
        <v>14</v>
      </c>
      <c r="C7885" t="s">
        <v>19</v>
      </c>
      <c r="D7885" t="s">
        <v>11</v>
      </c>
      <c r="E7885" t="s">
        <v>12</v>
      </c>
      <c r="F7885">
        <v>228613051</v>
      </c>
      <c r="G7885">
        <v>228613065</v>
      </c>
      <c r="H7885">
        <v>228612891</v>
      </c>
      <c r="I7885">
        <v>228612893</v>
      </c>
    </row>
    <row r="7886" spans="1:9" x14ac:dyDescent="0.2">
      <c r="A7886" s="1" t="str">
        <f>"HIST4H4"</f>
        <v>HIST4H4</v>
      </c>
      <c r="B7886" t="s">
        <v>618</v>
      </c>
      <c r="C7886" t="s">
        <v>16</v>
      </c>
      <c r="D7886" t="s">
        <v>11</v>
      </c>
      <c r="E7886" t="s">
        <v>35</v>
      </c>
      <c r="F7886">
        <v>14924056</v>
      </c>
      <c r="G7886">
        <v>14924073</v>
      </c>
      <c r="H7886">
        <v>14924056</v>
      </c>
      <c r="I7886">
        <v>14924073</v>
      </c>
    </row>
    <row r="7887" spans="1:9" x14ac:dyDescent="0.2">
      <c r="A7887" s="1" t="str">
        <f>"HIVEP1"</f>
        <v>HIVEP1</v>
      </c>
      <c r="B7887" t="s">
        <v>14</v>
      </c>
      <c r="C7887" t="s">
        <v>32</v>
      </c>
      <c r="D7887" t="s">
        <v>17</v>
      </c>
      <c r="E7887" t="s">
        <v>12</v>
      </c>
      <c r="F7887">
        <v>12012170</v>
      </c>
      <c r="G7887">
        <v>12012245</v>
      </c>
      <c r="H7887">
        <v>12011943</v>
      </c>
      <c r="I7887">
        <v>12012015</v>
      </c>
    </row>
    <row r="7888" spans="1:9" x14ac:dyDescent="0.2">
      <c r="A7888" s="1" t="str">
        <f>"HIVEP2"</f>
        <v>HIVEP2</v>
      </c>
      <c r="B7888" t="s">
        <v>14</v>
      </c>
      <c r="C7888" t="s">
        <v>32</v>
      </c>
      <c r="D7888" t="s">
        <v>11</v>
      </c>
      <c r="E7888" t="s">
        <v>12</v>
      </c>
      <c r="F7888">
        <v>143266297</v>
      </c>
      <c r="G7888">
        <v>143266356</v>
      </c>
      <c r="H7888">
        <v>143266185</v>
      </c>
      <c r="I7888">
        <v>143266238</v>
      </c>
    </row>
    <row r="7889" spans="1:9" x14ac:dyDescent="0.2">
      <c r="A7889" s="1" t="str">
        <f>"HIVEP3"</f>
        <v>HIVEP3</v>
      </c>
      <c r="B7889" t="s">
        <v>619</v>
      </c>
      <c r="C7889" t="s">
        <v>19</v>
      </c>
      <c r="D7889" t="s">
        <v>11</v>
      </c>
      <c r="E7889" t="s">
        <v>20</v>
      </c>
      <c r="F7889">
        <v>42166671</v>
      </c>
      <c r="G7889">
        <v>42166671</v>
      </c>
      <c r="H7889">
        <v>42166671</v>
      </c>
      <c r="I7889">
        <v>42166671</v>
      </c>
    </row>
    <row r="7890" spans="1:9" x14ac:dyDescent="0.2">
      <c r="A7890" s="1" t="str">
        <f>"HIVEP3"</f>
        <v>HIVEP3</v>
      </c>
      <c r="B7890" t="s">
        <v>620</v>
      </c>
      <c r="C7890" t="s">
        <v>19</v>
      </c>
      <c r="D7890" t="s">
        <v>11</v>
      </c>
      <c r="E7890" t="s">
        <v>35</v>
      </c>
      <c r="F7890">
        <v>42384343</v>
      </c>
      <c r="G7890">
        <v>42384380</v>
      </c>
      <c r="H7890">
        <v>42384311</v>
      </c>
      <c r="I7890">
        <v>42384318</v>
      </c>
    </row>
    <row r="7891" spans="1:9" x14ac:dyDescent="0.2">
      <c r="A7891" s="1" t="str">
        <f>"HIVEP3"</f>
        <v>HIVEP3</v>
      </c>
      <c r="B7891" t="s">
        <v>621</v>
      </c>
      <c r="C7891" t="s">
        <v>19</v>
      </c>
      <c r="D7891" t="s">
        <v>11</v>
      </c>
      <c r="E7891" t="s">
        <v>35</v>
      </c>
      <c r="F7891">
        <v>42384532</v>
      </c>
      <c r="G7891">
        <v>42384603</v>
      </c>
      <c r="H7891">
        <v>42384311</v>
      </c>
      <c r="I7891">
        <v>42384318</v>
      </c>
    </row>
    <row r="7892" spans="1:9" x14ac:dyDescent="0.2">
      <c r="A7892" s="1" t="str">
        <f>"HJURP"</f>
        <v>HJURP</v>
      </c>
      <c r="B7892" t="s">
        <v>14</v>
      </c>
      <c r="C7892" t="s">
        <v>26</v>
      </c>
      <c r="D7892" t="s">
        <v>11</v>
      </c>
      <c r="E7892" t="s">
        <v>12</v>
      </c>
      <c r="F7892">
        <v>234763147</v>
      </c>
      <c r="G7892">
        <v>234763211</v>
      </c>
      <c r="H7892">
        <v>234763105</v>
      </c>
      <c r="I7892">
        <v>234763145</v>
      </c>
    </row>
    <row r="7893" spans="1:9" x14ac:dyDescent="0.2">
      <c r="A7893" s="1" t="str">
        <f>"HK1"</f>
        <v>HK1</v>
      </c>
      <c r="B7893" t="s">
        <v>9</v>
      </c>
      <c r="C7893" t="s">
        <v>15</v>
      </c>
      <c r="D7893" t="s">
        <v>17</v>
      </c>
      <c r="E7893" t="s">
        <v>12</v>
      </c>
      <c r="F7893">
        <v>71078595</v>
      </c>
      <c r="G7893">
        <v>71078677</v>
      </c>
      <c r="H7893">
        <v>71078595</v>
      </c>
      <c r="I7893">
        <v>71078677</v>
      </c>
    </row>
    <row r="7894" spans="1:9" x14ac:dyDescent="0.2">
      <c r="A7894" s="1" t="str">
        <f>"HK1"</f>
        <v>HK1</v>
      </c>
      <c r="B7894" t="s">
        <v>13</v>
      </c>
      <c r="C7894" t="s">
        <v>15</v>
      </c>
      <c r="D7894" t="s">
        <v>17</v>
      </c>
      <c r="E7894" t="s">
        <v>12</v>
      </c>
      <c r="F7894">
        <v>71075552</v>
      </c>
      <c r="G7894">
        <v>71075631</v>
      </c>
      <c r="H7894">
        <v>71075552</v>
      </c>
      <c r="I7894">
        <v>71075631</v>
      </c>
    </row>
    <row r="7895" spans="1:9" x14ac:dyDescent="0.2">
      <c r="A7895" s="1" t="str">
        <f>"HK2"</f>
        <v>HK2</v>
      </c>
      <c r="B7895" t="s">
        <v>14</v>
      </c>
      <c r="C7895" t="s">
        <v>26</v>
      </c>
      <c r="D7895" t="s">
        <v>17</v>
      </c>
      <c r="E7895" t="s">
        <v>12</v>
      </c>
      <c r="F7895">
        <v>75061240</v>
      </c>
      <c r="G7895">
        <v>75061265</v>
      </c>
      <c r="H7895">
        <v>75061267</v>
      </c>
      <c r="I7895">
        <v>75061282</v>
      </c>
    </row>
    <row r="7896" spans="1:9" x14ac:dyDescent="0.2">
      <c r="A7896" s="1" t="str">
        <f>"HK3"</f>
        <v>HK3</v>
      </c>
      <c r="B7896" t="s">
        <v>14</v>
      </c>
      <c r="C7896" t="s">
        <v>46</v>
      </c>
      <c r="D7896" t="s">
        <v>11</v>
      </c>
      <c r="E7896" t="s">
        <v>12</v>
      </c>
      <c r="F7896">
        <v>176326333</v>
      </c>
      <c r="G7896">
        <v>176326354</v>
      </c>
      <c r="H7896">
        <v>176326310</v>
      </c>
      <c r="I7896">
        <v>176326321</v>
      </c>
    </row>
    <row r="7897" spans="1:9" x14ac:dyDescent="0.2">
      <c r="A7897" s="1" t="str">
        <f>"HKDC1"</f>
        <v>HKDC1</v>
      </c>
      <c r="B7897" t="s">
        <v>14</v>
      </c>
      <c r="C7897" t="s">
        <v>15</v>
      </c>
      <c r="D7897" t="s">
        <v>17</v>
      </c>
      <c r="E7897" t="s">
        <v>12</v>
      </c>
      <c r="F7897">
        <v>70980080</v>
      </c>
      <c r="G7897">
        <v>70980096</v>
      </c>
      <c r="H7897">
        <v>70980080</v>
      </c>
      <c r="I7897">
        <v>70980096</v>
      </c>
    </row>
    <row r="7898" spans="1:9" x14ac:dyDescent="0.2">
      <c r="A7898" s="1" t="str">
        <f>"HKR1"</f>
        <v>HKR1</v>
      </c>
      <c r="B7898" t="s">
        <v>9</v>
      </c>
      <c r="C7898" t="s">
        <v>10</v>
      </c>
      <c r="D7898" t="s">
        <v>17</v>
      </c>
      <c r="E7898" t="s">
        <v>12</v>
      </c>
      <c r="F7898">
        <v>37808778</v>
      </c>
      <c r="G7898">
        <v>37808827</v>
      </c>
      <c r="H7898">
        <v>37808778</v>
      </c>
      <c r="I7898">
        <v>37808827</v>
      </c>
    </row>
    <row r="7899" spans="1:9" x14ac:dyDescent="0.2">
      <c r="A7899" s="1" t="str">
        <f>"HKR1"</f>
        <v>HKR1</v>
      </c>
      <c r="B7899" t="s">
        <v>13</v>
      </c>
      <c r="C7899" t="s">
        <v>10</v>
      </c>
      <c r="D7899" t="s">
        <v>17</v>
      </c>
      <c r="E7899" t="s">
        <v>12</v>
      </c>
      <c r="F7899">
        <v>37825540</v>
      </c>
      <c r="G7899">
        <v>37825588</v>
      </c>
      <c r="H7899">
        <v>37825540</v>
      </c>
      <c r="I7899">
        <v>37825588</v>
      </c>
    </row>
    <row r="7900" spans="1:9" x14ac:dyDescent="0.2">
      <c r="A7900" s="1" t="str">
        <f>"HLA-A"</f>
        <v>HLA-A</v>
      </c>
      <c r="B7900" t="s">
        <v>14</v>
      </c>
      <c r="C7900" t="s">
        <v>32</v>
      </c>
      <c r="D7900" t="s">
        <v>17</v>
      </c>
      <c r="E7900" t="s">
        <v>12</v>
      </c>
      <c r="F7900">
        <v>29910301</v>
      </c>
      <c r="G7900">
        <v>29910324</v>
      </c>
      <c r="H7900">
        <v>29911057</v>
      </c>
      <c r="I7900">
        <v>29911122</v>
      </c>
    </row>
    <row r="7901" spans="1:9" x14ac:dyDescent="0.2">
      <c r="A7901" s="1" t="str">
        <f>"HLA-B"</f>
        <v>HLA-B</v>
      </c>
      <c r="B7901" t="s">
        <v>14</v>
      </c>
      <c r="C7901" t="s">
        <v>32</v>
      </c>
      <c r="D7901" t="s">
        <v>11</v>
      </c>
      <c r="E7901" t="s">
        <v>12</v>
      </c>
      <c r="F7901">
        <v>31324943</v>
      </c>
      <c r="G7901">
        <v>31324963</v>
      </c>
      <c r="H7901">
        <v>31324982</v>
      </c>
      <c r="I7901">
        <v>31324995</v>
      </c>
    </row>
    <row r="7902" spans="1:9" x14ac:dyDescent="0.2">
      <c r="A7902" s="1" t="str">
        <f>"HLA-C"</f>
        <v>HLA-C</v>
      </c>
      <c r="B7902" t="s">
        <v>14</v>
      </c>
      <c r="C7902" t="s">
        <v>32</v>
      </c>
      <c r="D7902" t="s">
        <v>11</v>
      </c>
      <c r="E7902" t="s">
        <v>12</v>
      </c>
      <c r="F7902">
        <v>31239852</v>
      </c>
      <c r="G7902">
        <v>31239876</v>
      </c>
      <c r="H7902">
        <v>31239434</v>
      </c>
      <c r="I7902">
        <v>31239487</v>
      </c>
    </row>
    <row r="7903" spans="1:9" x14ac:dyDescent="0.2">
      <c r="A7903" s="1" t="str">
        <f>"HLA-DMA"</f>
        <v>HLA-DMA</v>
      </c>
      <c r="B7903" t="s">
        <v>9</v>
      </c>
      <c r="C7903" t="s">
        <v>32</v>
      </c>
      <c r="D7903" t="s">
        <v>11</v>
      </c>
      <c r="E7903" t="s">
        <v>12</v>
      </c>
      <c r="F7903">
        <v>32920794</v>
      </c>
      <c r="G7903">
        <v>32920890</v>
      </c>
      <c r="H7903">
        <v>32920794</v>
      </c>
      <c r="I7903">
        <v>32920890</v>
      </c>
    </row>
    <row r="7904" spans="1:9" x14ac:dyDescent="0.2">
      <c r="A7904" s="1" t="str">
        <f>"HLA-DMA"</f>
        <v>HLA-DMA</v>
      </c>
      <c r="B7904" t="s">
        <v>13</v>
      </c>
      <c r="C7904" t="s">
        <v>32</v>
      </c>
      <c r="D7904" t="s">
        <v>11</v>
      </c>
      <c r="E7904" t="s">
        <v>12</v>
      </c>
      <c r="F7904">
        <v>32936261</v>
      </c>
      <c r="G7904">
        <v>32936305</v>
      </c>
      <c r="H7904">
        <v>32936261</v>
      </c>
      <c r="I7904">
        <v>32936305</v>
      </c>
    </row>
    <row r="7905" spans="1:9" x14ac:dyDescent="0.2">
      <c r="A7905" s="1" t="str">
        <f>"HLA-DMB"</f>
        <v>HLA-DMB</v>
      </c>
      <c r="B7905" t="s">
        <v>14</v>
      </c>
      <c r="C7905" t="s">
        <v>32</v>
      </c>
      <c r="D7905" t="s">
        <v>11</v>
      </c>
      <c r="E7905" t="s">
        <v>12</v>
      </c>
      <c r="F7905">
        <v>32908792</v>
      </c>
      <c r="G7905">
        <v>32908830</v>
      </c>
      <c r="H7905">
        <v>32908765</v>
      </c>
      <c r="I7905">
        <v>32908786</v>
      </c>
    </row>
    <row r="7906" spans="1:9" x14ac:dyDescent="0.2">
      <c r="A7906" s="1" t="str">
        <f>"HLA-DOA"</f>
        <v>HLA-DOA</v>
      </c>
      <c r="B7906" t="s">
        <v>14</v>
      </c>
      <c r="C7906" t="s">
        <v>32</v>
      </c>
      <c r="D7906" t="s">
        <v>11</v>
      </c>
      <c r="E7906" t="s">
        <v>12</v>
      </c>
      <c r="F7906">
        <v>32977345</v>
      </c>
      <c r="G7906">
        <v>32977394</v>
      </c>
      <c r="H7906">
        <v>32977332</v>
      </c>
      <c r="I7906">
        <v>32977343</v>
      </c>
    </row>
    <row r="7907" spans="1:9" x14ac:dyDescent="0.2">
      <c r="A7907" s="1" t="str">
        <f>"HLA-DOB"</f>
        <v>HLA-DOB</v>
      </c>
      <c r="B7907" t="s">
        <v>14</v>
      </c>
      <c r="C7907" t="s">
        <v>32</v>
      </c>
      <c r="D7907" t="s">
        <v>11</v>
      </c>
      <c r="E7907" t="s">
        <v>12</v>
      </c>
      <c r="F7907">
        <v>32784768</v>
      </c>
      <c r="G7907">
        <v>32784839</v>
      </c>
      <c r="H7907">
        <v>32784847</v>
      </c>
      <c r="I7907">
        <v>32784854</v>
      </c>
    </row>
    <row r="7908" spans="1:9" x14ac:dyDescent="0.2">
      <c r="A7908" s="1" t="str">
        <f>"HLA-DPA1"</f>
        <v>HLA-DPA1</v>
      </c>
      <c r="B7908" t="s">
        <v>9</v>
      </c>
      <c r="C7908" t="s">
        <v>32</v>
      </c>
      <c r="D7908" t="s">
        <v>11</v>
      </c>
      <c r="E7908" t="s">
        <v>12</v>
      </c>
      <c r="F7908">
        <v>33041386</v>
      </c>
      <c r="G7908">
        <v>33041439</v>
      </c>
      <c r="H7908">
        <v>33041386</v>
      </c>
      <c r="I7908">
        <v>33041439</v>
      </c>
    </row>
    <row r="7909" spans="1:9" x14ac:dyDescent="0.2">
      <c r="A7909" s="1" t="str">
        <f>"HLA-DPA1"</f>
        <v>HLA-DPA1</v>
      </c>
      <c r="B7909" t="s">
        <v>13</v>
      </c>
      <c r="C7909" t="s">
        <v>32</v>
      </c>
      <c r="D7909" t="s">
        <v>11</v>
      </c>
      <c r="E7909" t="s">
        <v>12</v>
      </c>
      <c r="F7909">
        <v>33048503</v>
      </c>
      <c r="G7909">
        <v>33048537</v>
      </c>
      <c r="H7909">
        <v>33048503</v>
      </c>
      <c r="I7909">
        <v>33048537</v>
      </c>
    </row>
    <row r="7910" spans="1:9" x14ac:dyDescent="0.2">
      <c r="A7910" s="1" t="str">
        <f>"HLA-DPB1"</f>
        <v>HLA-DPB1</v>
      </c>
      <c r="B7910" t="s">
        <v>9</v>
      </c>
      <c r="C7910" t="s">
        <v>32</v>
      </c>
      <c r="D7910" t="s">
        <v>17</v>
      </c>
      <c r="E7910" t="s">
        <v>12</v>
      </c>
      <c r="F7910">
        <v>33043729</v>
      </c>
      <c r="G7910">
        <v>33043782</v>
      </c>
      <c r="H7910">
        <v>33043729</v>
      </c>
      <c r="I7910">
        <v>33043782</v>
      </c>
    </row>
    <row r="7911" spans="1:9" x14ac:dyDescent="0.2">
      <c r="A7911" s="1" t="str">
        <f>"HLA-DPB1"</f>
        <v>HLA-DPB1</v>
      </c>
      <c r="B7911" t="s">
        <v>13</v>
      </c>
      <c r="C7911" t="s">
        <v>32</v>
      </c>
      <c r="D7911" t="s">
        <v>17</v>
      </c>
      <c r="E7911" t="s">
        <v>12</v>
      </c>
      <c r="F7911">
        <v>33048172</v>
      </c>
      <c r="G7911">
        <v>33048218</v>
      </c>
      <c r="H7911">
        <v>33048172</v>
      </c>
      <c r="I7911">
        <v>33048218</v>
      </c>
    </row>
    <row r="7912" spans="1:9" x14ac:dyDescent="0.2">
      <c r="A7912" s="1" t="str">
        <f>"HLA-DQA1"</f>
        <v>HLA-DQA1</v>
      </c>
      <c r="B7912" t="s">
        <v>14</v>
      </c>
      <c r="C7912" t="s">
        <v>32</v>
      </c>
      <c r="D7912" t="s">
        <v>17</v>
      </c>
      <c r="E7912" t="s">
        <v>12</v>
      </c>
      <c r="F7912">
        <v>32605173</v>
      </c>
      <c r="G7912">
        <v>32605190</v>
      </c>
      <c r="H7912">
        <v>32605195</v>
      </c>
      <c r="I7912">
        <v>32605206</v>
      </c>
    </row>
    <row r="7913" spans="1:9" x14ac:dyDescent="0.2">
      <c r="A7913" s="1" t="str">
        <f>"HLA-DQA2"</f>
        <v>HLA-DQA2</v>
      </c>
      <c r="B7913" t="s">
        <v>14</v>
      </c>
      <c r="C7913" t="s">
        <v>32</v>
      </c>
      <c r="D7913" t="s">
        <v>17</v>
      </c>
      <c r="E7913" t="s">
        <v>12</v>
      </c>
      <c r="F7913">
        <v>32709159</v>
      </c>
      <c r="G7913">
        <v>32709175</v>
      </c>
      <c r="H7913">
        <v>32709159</v>
      </c>
      <c r="I7913">
        <v>32709175</v>
      </c>
    </row>
    <row r="7914" spans="1:9" x14ac:dyDescent="0.2">
      <c r="A7914" s="1" t="str">
        <f>"HLA-DQB1"</f>
        <v>HLA-DQB1</v>
      </c>
      <c r="B7914" t="s">
        <v>9</v>
      </c>
      <c r="C7914" t="s">
        <v>32</v>
      </c>
      <c r="D7914" t="s">
        <v>11</v>
      </c>
      <c r="E7914" t="s">
        <v>12</v>
      </c>
      <c r="F7914">
        <v>32634425</v>
      </c>
      <c r="G7914">
        <v>32634479</v>
      </c>
      <c r="H7914">
        <v>32634425</v>
      </c>
      <c r="I7914">
        <v>32634479</v>
      </c>
    </row>
    <row r="7915" spans="1:9" x14ac:dyDescent="0.2">
      <c r="A7915" s="1" t="str">
        <f>"HLA-DQB1"</f>
        <v>HLA-DQB1</v>
      </c>
      <c r="B7915" t="s">
        <v>13</v>
      </c>
      <c r="C7915" t="s">
        <v>32</v>
      </c>
      <c r="D7915" t="s">
        <v>11</v>
      </c>
      <c r="E7915" t="s">
        <v>12</v>
      </c>
      <c r="F7915">
        <v>32632683</v>
      </c>
      <c r="G7915">
        <v>32632724</v>
      </c>
      <c r="H7915">
        <v>32632683</v>
      </c>
      <c r="I7915">
        <v>32632724</v>
      </c>
    </row>
    <row r="7916" spans="1:9" x14ac:dyDescent="0.2">
      <c r="A7916" s="1" t="str">
        <f>"HLA-DQB2"</f>
        <v>HLA-DQB2</v>
      </c>
      <c r="B7916" t="s">
        <v>14</v>
      </c>
      <c r="C7916" t="s">
        <v>32</v>
      </c>
      <c r="D7916" t="s">
        <v>11</v>
      </c>
      <c r="E7916" t="s">
        <v>12</v>
      </c>
      <c r="F7916">
        <v>32731299</v>
      </c>
      <c r="G7916">
        <v>32731316</v>
      </c>
      <c r="H7916">
        <v>32731284</v>
      </c>
      <c r="I7916">
        <v>32731295</v>
      </c>
    </row>
    <row r="7917" spans="1:9" x14ac:dyDescent="0.2">
      <c r="A7917" s="1" t="str">
        <f>"HLA-DRA"</f>
        <v>HLA-DRA</v>
      </c>
      <c r="B7917" t="s">
        <v>9</v>
      </c>
      <c r="C7917" t="s">
        <v>32</v>
      </c>
      <c r="D7917" t="s">
        <v>17</v>
      </c>
      <c r="E7917" t="s">
        <v>12</v>
      </c>
      <c r="F7917">
        <v>32407643</v>
      </c>
      <c r="G7917">
        <v>32407695</v>
      </c>
      <c r="H7917">
        <v>32407643</v>
      </c>
      <c r="I7917">
        <v>32407695</v>
      </c>
    </row>
    <row r="7918" spans="1:9" x14ac:dyDescent="0.2">
      <c r="A7918" s="1" t="str">
        <f>"HLA-DRA"</f>
        <v>HLA-DRA</v>
      </c>
      <c r="B7918" t="s">
        <v>13</v>
      </c>
      <c r="C7918" t="s">
        <v>32</v>
      </c>
      <c r="D7918" t="s">
        <v>17</v>
      </c>
      <c r="E7918" t="s">
        <v>12</v>
      </c>
      <c r="F7918">
        <v>32410343</v>
      </c>
      <c r="G7918">
        <v>32410407</v>
      </c>
      <c r="H7918">
        <v>32410343</v>
      </c>
      <c r="I7918">
        <v>32410407</v>
      </c>
    </row>
    <row r="7919" spans="1:9" x14ac:dyDescent="0.2">
      <c r="A7919" s="1" t="str">
        <f>"HLA-DRB1"</f>
        <v>HLA-DRB1</v>
      </c>
      <c r="B7919" t="s">
        <v>14</v>
      </c>
      <c r="C7919" t="s">
        <v>32</v>
      </c>
      <c r="D7919" t="s">
        <v>11</v>
      </c>
      <c r="E7919" t="s">
        <v>12</v>
      </c>
      <c r="F7919">
        <v>32557564</v>
      </c>
      <c r="G7919">
        <v>32557604</v>
      </c>
      <c r="H7919">
        <v>32557610</v>
      </c>
      <c r="I7919">
        <v>32557630</v>
      </c>
    </row>
    <row r="7920" spans="1:9" x14ac:dyDescent="0.2">
      <c r="A7920" s="1" t="str">
        <f>"HLA-DRB5"</f>
        <v>HLA-DRB5</v>
      </c>
      <c r="B7920" t="s">
        <v>14</v>
      </c>
      <c r="C7920" t="s">
        <v>32</v>
      </c>
      <c r="D7920" t="s">
        <v>11</v>
      </c>
      <c r="E7920" t="s">
        <v>12</v>
      </c>
      <c r="F7920">
        <v>32498046</v>
      </c>
      <c r="G7920">
        <v>32498073</v>
      </c>
      <c r="H7920">
        <v>32498046</v>
      </c>
      <c r="I7920">
        <v>32498073</v>
      </c>
    </row>
    <row r="7921" spans="1:9" x14ac:dyDescent="0.2">
      <c r="A7921" s="1" t="str">
        <f>"HLA-E"</f>
        <v>HLA-E</v>
      </c>
      <c r="B7921" t="s">
        <v>14</v>
      </c>
      <c r="C7921" t="s">
        <v>32</v>
      </c>
      <c r="D7921" t="s">
        <v>17</v>
      </c>
      <c r="E7921" t="s">
        <v>12</v>
      </c>
      <c r="F7921">
        <v>30457280</v>
      </c>
      <c r="G7921">
        <v>30457295</v>
      </c>
      <c r="H7921">
        <v>30457280</v>
      </c>
      <c r="I7921">
        <v>30457295</v>
      </c>
    </row>
    <row r="7922" spans="1:9" x14ac:dyDescent="0.2">
      <c r="A7922" s="1" t="str">
        <f>"HLA-F"</f>
        <v>HLA-F</v>
      </c>
      <c r="B7922" t="s">
        <v>14</v>
      </c>
      <c r="C7922" t="s">
        <v>32</v>
      </c>
      <c r="D7922" t="s">
        <v>17</v>
      </c>
      <c r="E7922" t="s">
        <v>12</v>
      </c>
      <c r="F7922">
        <v>29691198</v>
      </c>
      <c r="G7922">
        <v>29691227</v>
      </c>
      <c r="H7922">
        <v>29691170</v>
      </c>
      <c r="I7922">
        <v>29691188</v>
      </c>
    </row>
    <row r="7923" spans="1:9" x14ac:dyDescent="0.2">
      <c r="A7923" s="1" t="str">
        <f>"HLA-G"</f>
        <v>HLA-G</v>
      </c>
      <c r="B7923" t="s">
        <v>14</v>
      </c>
      <c r="C7923" t="s">
        <v>32</v>
      </c>
      <c r="D7923" t="s">
        <v>17</v>
      </c>
      <c r="E7923" t="s">
        <v>12</v>
      </c>
      <c r="F7923">
        <v>29795595</v>
      </c>
      <c r="G7923">
        <v>29795607</v>
      </c>
      <c r="H7923">
        <v>29795514</v>
      </c>
      <c r="I7923">
        <v>29795521</v>
      </c>
    </row>
    <row r="7924" spans="1:9" x14ac:dyDescent="0.2">
      <c r="A7924" s="1" t="str">
        <f>"HLCS"</f>
        <v>HLCS</v>
      </c>
      <c r="B7924" t="s">
        <v>9</v>
      </c>
      <c r="C7924" t="s">
        <v>42</v>
      </c>
      <c r="D7924" t="s">
        <v>11</v>
      </c>
      <c r="E7924" t="s">
        <v>12</v>
      </c>
      <c r="F7924">
        <v>38338914</v>
      </c>
      <c r="G7924">
        <v>38338980</v>
      </c>
      <c r="H7924">
        <v>38338914</v>
      </c>
      <c r="I7924">
        <v>38338980</v>
      </c>
    </row>
    <row r="7925" spans="1:9" x14ac:dyDescent="0.2">
      <c r="A7925" s="1" t="str">
        <f>"HLCS"</f>
        <v>HLCS</v>
      </c>
      <c r="B7925" t="s">
        <v>13</v>
      </c>
      <c r="C7925" t="s">
        <v>42</v>
      </c>
      <c r="D7925" t="s">
        <v>11</v>
      </c>
      <c r="E7925" t="s">
        <v>12</v>
      </c>
      <c r="F7925">
        <v>38362497</v>
      </c>
      <c r="G7925">
        <v>38362541</v>
      </c>
      <c r="H7925">
        <v>38362497</v>
      </c>
      <c r="I7925">
        <v>38362541</v>
      </c>
    </row>
    <row r="7926" spans="1:9" x14ac:dyDescent="0.2">
      <c r="A7926" s="1" t="str">
        <f>"HLF"</f>
        <v>HLF</v>
      </c>
      <c r="B7926" t="s">
        <v>9</v>
      </c>
      <c r="C7926" t="s">
        <v>28</v>
      </c>
      <c r="D7926" t="s">
        <v>17</v>
      </c>
      <c r="E7926" t="s">
        <v>12</v>
      </c>
      <c r="F7926">
        <v>53342311</v>
      </c>
      <c r="G7926">
        <v>53342400</v>
      </c>
      <c r="H7926">
        <v>53342311</v>
      </c>
      <c r="I7926">
        <v>53342400</v>
      </c>
    </row>
    <row r="7927" spans="1:9" x14ac:dyDescent="0.2">
      <c r="A7927" s="1" t="str">
        <f>"HLF"</f>
        <v>HLF</v>
      </c>
      <c r="B7927" t="s">
        <v>13</v>
      </c>
      <c r="C7927" t="s">
        <v>28</v>
      </c>
      <c r="D7927" t="s">
        <v>17</v>
      </c>
      <c r="E7927" t="s">
        <v>12</v>
      </c>
      <c r="F7927">
        <v>53344945</v>
      </c>
      <c r="G7927">
        <v>53344977</v>
      </c>
      <c r="H7927">
        <v>53344945</v>
      </c>
      <c r="I7927">
        <v>53344977</v>
      </c>
    </row>
    <row r="7928" spans="1:9" x14ac:dyDescent="0.2">
      <c r="A7928" s="1" t="str">
        <f>"HLTF"</f>
        <v>HLTF</v>
      </c>
      <c r="B7928" t="s">
        <v>14</v>
      </c>
      <c r="C7928" t="s">
        <v>22</v>
      </c>
      <c r="D7928" t="s">
        <v>11</v>
      </c>
      <c r="E7928" t="s">
        <v>12</v>
      </c>
      <c r="F7928">
        <v>148804275</v>
      </c>
      <c r="G7928">
        <v>148804346</v>
      </c>
      <c r="H7928">
        <v>148804275</v>
      </c>
      <c r="I7928">
        <v>148804346</v>
      </c>
    </row>
    <row r="7929" spans="1:9" x14ac:dyDescent="0.2">
      <c r="A7929" s="1" t="str">
        <f>"HLX"</f>
        <v>HLX</v>
      </c>
      <c r="B7929" t="s">
        <v>14</v>
      </c>
      <c r="C7929" t="s">
        <v>19</v>
      </c>
      <c r="D7929" t="s">
        <v>17</v>
      </c>
      <c r="E7929" t="s">
        <v>12</v>
      </c>
      <c r="F7929">
        <v>221052776</v>
      </c>
      <c r="G7929">
        <v>221052799</v>
      </c>
      <c r="H7929">
        <v>221052733</v>
      </c>
      <c r="I7929">
        <v>221052749</v>
      </c>
    </row>
    <row r="7930" spans="1:9" x14ac:dyDescent="0.2">
      <c r="A7930" s="1" t="str">
        <f>"HM13"</f>
        <v>HM13</v>
      </c>
      <c r="B7930" t="s">
        <v>14</v>
      </c>
      <c r="C7930" t="s">
        <v>29</v>
      </c>
      <c r="D7930" t="s">
        <v>17</v>
      </c>
      <c r="E7930" t="s">
        <v>12</v>
      </c>
      <c r="F7930">
        <v>30102234</v>
      </c>
      <c r="G7930">
        <v>30102322</v>
      </c>
      <c r="H7930">
        <v>30102234</v>
      </c>
      <c r="I7930">
        <v>30102322</v>
      </c>
    </row>
    <row r="7931" spans="1:9" x14ac:dyDescent="0.2">
      <c r="A7931" s="1" t="str">
        <f>"HMBOX1"</f>
        <v>HMBOX1</v>
      </c>
      <c r="B7931" t="s">
        <v>14</v>
      </c>
      <c r="C7931" t="s">
        <v>30</v>
      </c>
      <c r="D7931" t="s">
        <v>17</v>
      </c>
      <c r="E7931" t="s">
        <v>12</v>
      </c>
      <c r="F7931">
        <v>28747884</v>
      </c>
      <c r="G7931">
        <v>28747938</v>
      </c>
      <c r="H7931">
        <v>28748099</v>
      </c>
      <c r="I7931">
        <v>28748141</v>
      </c>
    </row>
    <row r="7932" spans="1:9" x14ac:dyDescent="0.2">
      <c r="A7932" s="1" t="str">
        <f>"HMBS"</f>
        <v>HMBS</v>
      </c>
      <c r="B7932" t="s">
        <v>9</v>
      </c>
      <c r="C7932" t="s">
        <v>27</v>
      </c>
      <c r="D7932" t="s">
        <v>17</v>
      </c>
      <c r="E7932" t="s">
        <v>12</v>
      </c>
      <c r="F7932">
        <v>118955583</v>
      </c>
      <c r="G7932">
        <v>118955629</v>
      </c>
      <c r="H7932">
        <v>118955583</v>
      </c>
      <c r="I7932">
        <v>118955629</v>
      </c>
    </row>
    <row r="7933" spans="1:9" x14ac:dyDescent="0.2">
      <c r="A7933" s="1" t="str">
        <f>"HMBS"</f>
        <v>HMBS</v>
      </c>
      <c r="B7933" t="s">
        <v>13</v>
      </c>
      <c r="C7933" t="s">
        <v>27</v>
      </c>
      <c r="D7933" t="s">
        <v>17</v>
      </c>
      <c r="E7933" t="s">
        <v>12</v>
      </c>
      <c r="F7933">
        <v>118958689</v>
      </c>
      <c r="G7933">
        <v>118958710</v>
      </c>
      <c r="H7933">
        <v>118958689</v>
      </c>
      <c r="I7933">
        <v>118958710</v>
      </c>
    </row>
    <row r="7934" spans="1:9" x14ac:dyDescent="0.2">
      <c r="A7934" s="1" t="str">
        <f>"HMCES"</f>
        <v>HMCES</v>
      </c>
      <c r="B7934" t="s">
        <v>14</v>
      </c>
      <c r="C7934" t="s">
        <v>22</v>
      </c>
      <c r="D7934" t="s">
        <v>17</v>
      </c>
      <c r="E7934" t="s">
        <v>12</v>
      </c>
      <c r="F7934">
        <v>128997648</v>
      </c>
      <c r="G7934">
        <v>128997733</v>
      </c>
      <c r="H7934">
        <v>128997798</v>
      </c>
      <c r="I7934">
        <v>128997851</v>
      </c>
    </row>
    <row r="7935" spans="1:9" x14ac:dyDescent="0.2">
      <c r="A7935" s="1" t="str">
        <f>"HMCN1"</f>
        <v>HMCN1</v>
      </c>
      <c r="B7935" t="s">
        <v>14</v>
      </c>
      <c r="C7935" t="s">
        <v>19</v>
      </c>
      <c r="D7935" t="s">
        <v>17</v>
      </c>
      <c r="E7935" t="s">
        <v>12</v>
      </c>
      <c r="F7935">
        <v>185703513</v>
      </c>
      <c r="G7935">
        <v>185703544</v>
      </c>
      <c r="H7935">
        <v>185703496</v>
      </c>
      <c r="I7935">
        <v>185703509</v>
      </c>
    </row>
    <row r="7936" spans="1:9" x14ac:dyDescent="0.2">
      <c r="A7936" s="1" t="str">
        <f>"HMCN2"</f>
        <v>HMCN2</v>
      </c>
      <c r="B7936" t="s">
        <v>622</v>
      </c>
      <c r="C7936" t="s">
        <v>24</v>
      </c>
      <c r="D7936" t="s">
        <v>17</v>
      </c>
      <c r="E7936" t="s">
        <v>20</v>
      </c>
      <c r="F7936">
        <v>133223931</v>
      </c>
      <c r="G7936">
        <v>133223931</v>
      </c>
      <c r="H7936">
        <v>133223931</v>
      </c>
      <c r="I7936">
        <v>133223931</v>
      </c>
    </row>
    <row r="7937" spans="1:9" x14ac:dyDescent="0.2">
      <c r="A7937" s="1" t="str">
        <f>"HMG20A"</f>
        <v>HMG20A</v>
      </c>
      <c r="B7937" t="s">
        <v>14</v>
      </c>
      <c r="C7937" t="s">
        <v>25</v>
      </c>
      <c r="D7937" t="s">
        <v>17</v>
      </c>
      <c r="E7937" t="s">
        <v>12</v>
      </c>
      <c r="F7937">
        <v>77713222</v>
      </c>
      <c r="G7937">
        <v>77713271</v>
      </c>
      <c r="H7937">
        <v>77713025</v>
      </c>
      <c r="I7937">
        <v>77713081</v>
      </c>
    </row>
    <row r="7938" spans="1:9" x14ac:dyDescent="0.2">
      <c r="A7938" s="1" t="str">
        <f>"HMG20B"</f>
        <v>HMG20B</v>
      </c>
      <c r="B7938" t="s">
        <v>9</v>
      </c>
      <c r="C7938" t="s">
        <v>10</v>
      </c>
      <c r="D7938" t="s">
        <v>17</v>
      </c>
      <c r="E7938" t="s">
        <v>12</v>
      </c>
      <c r="F7938">
        <v>3572925</v>
      </c>
      <c r="G7938">
        <v>3573014</v>
      </c>
      <c r="H7938">
        <v>3572925</v>
      </c>
      <c r="I7938">
        <v>3573014</v>
      </c>
    </row>
    <row r="7939" spans="1:9" x14ac:dyDescent="0.2">
      <c r="A7939" s="1" t="str">
        <f>"HMG20B"</f>
        <v>HMG20B</v>
      </c>
      <c r="B7939" t="s">
        <v>13</v>
      </c>
      <c r="C7939" t="s">
        <v>10</v>
      </c>
      <c r="D7939" t="s">
        <v>17</v>
      </c>
      <c r="E7939" t="s">
        <v>12</v>
      </c>
      <c r="F7939">
        <v>3574330</v>
      </c>
      <c r="G7939">
        <v>3574393</v>
      </c>
      <c r="H7939">
        <v>3574330</v>
      </c>
      <c r="I7939">
        <v>3574393</v>
      </c>
    </row>
    <row r="7940" spans="1:9" x14ac:dyDescent="0.2">
      <c r="A7940" s="1" t="str">
        <f>"HMGA1"</f>
        <v>HMGA1</v>
      </c>
      <c r="B7940" t="s">
        <v>14</v>
      </c>
      <c r="C7940" t="s">
        <v>32</v>
      </c>
      <c r="D7940" t="s">
        <v>17</v>
      </c>
      <c r="E7940" t="s">
        <v>12</v>
      </c>
      <c r="F7940">
        <v>34204672</v>
      </c>
      <c r="G7940">
        <v>34204692</v>
      </c>
      <c r="H7940">
        <v>34204642</v>
      </c>
      <c r="I7940">
        <v>34204664</v>
      </c>
    </row>
    <row r="7941" spans="1:9" x14ac:dyDescent="0.2">
      <c r="A7941" s="1" t="str">
        <f>"HMGA2"</f>
        <v>HMGA2</v>
      </c>
      <c r="B7941" t="s">
        <v>14</v>
      </c>
      <c r="C7941" t="s">
        <v>16</v>
      </c>
      <c r="D7941" t="s">
        <v>17</v>
      </c>
      <c r="E7941" t="s">
        <v>12</v>
      </c>
      <c r="F7941">
        <v>66218836</v>
      </c>
      <c r="G7941">
        <v>66218888</v>
      </c>
      <c r="H7941">
        <v>66218598</v>
      </c>
      <c r="I7941">
        <v>66218645</v>
      </c>
    </row>
    <row r="7942" spans="1:9" x14ac:dyDescent="0.2">
      <c r="A7942" s="1" t="str">
        <f>"HMGB1"</f>
        <v>HMGB1</v>
      </c>
      <c r="B7942" t="s">
        <v>9</v>
      </c>
      <c r="C7942" t="s">
        <v>39</v>
      </c>
      <c r="D7942" t="s">
        <v>11</v>
      </c>
      <c r="E7942" t="s">
        <v>12</v>
      </c>
      <c r="F7942">
        <v>31040060</v>
      </c>
      <c r="G7942">
        <v>31040085</v>
      </c>
      <c r="H7942">
        <v>31040060</v>
      </c>
      <c r="I7942">
        <v>31040085</v>
      </c>
    </row>
    <row r="7943" spans="1:9" x14ac:dyDescent="0.2">
      <c r="A7943" s="1" t="str">
        <f>"HMGB1"</f>
        <v>HMGB1</v>
      </c>
      <c r="B7943" t="s">
        <v>13</v>
      </c>
      <c r="C7943" t="s">
        <v>39</v>
      </c>
      <c r="D7943" t="s">
        <v>11</v>
      </c>
      <c r="E7943" t="s">
        <v>12</v>
      </c>
      <c r="F7943">
        <v>31191642</v>
      </c>
      <c r="G7943">
        <v>31191749</v>
      </c>
      <c r="H7943">
        <v>31191642</v>
      </c>
      <c r="I7943">
        <v>31191749</v>
      </c>
    </row>
    <row r="7944" spans="1:9" x14ac:dyDescent="0.2">
      <c r="A7944" s="1" t="str">
        <f>"HMGB2"</f>
        <v>HMGB2</v>
      </c>
      <c r="B7944" t="s">
        <v>14</v>
      </c>
      <c r="C7944" t="s">
        <v>23</v>
      </c>
      <c r="D7944" t="s">
        <v>11</v>
      </c>
      <c r="E7944" t="s">
        <v>12</v>
      </c>
      <c r="F7944">
        <v>174255494</v>
      </c>
      <c r="G7944">
        <v>174255516</v>
      </c>
      <c r="H7944">
        <v>174255536</v>
      </c>
      <c r="I7944">
        <v>174255547</v>
      </c>
    </row>
    <row r="7945" spans="1:9" x14ac:dyDescent="0.2">
      <c r="A7945" s="1" t="str">
        <f>"HMGB3"</f>
        <v>HMGB3</v>
      </c>
      <c r="B7945" t="s">
        <v>14</v>
      </c>
      <c r="C7945" t="s">
        <v>37</v>
      </c>
      <c r="D7945" t="s">
        <v>17</v>
      </c>
      <c r="E7945" t="s">
        <v>12</v>
      </c>
      <c r="F7945">
        <v>150151772</v>
      </c>
      <c r="G7945">
        <v>150151817</v>
      </c>
      <c r="H7945">
        <v>150151824</v>
      </c>
      <c r="I7945">
        <v>150151851</v>
      </c>
    </row>
    <row r="7946" spans="1:9" x14ac:dyDescent="0.2">
      <c r="A7946" s="1" t="str">
        <f>"HMGB4"</f>
        <v>HMGB4</v>
      </c>
      <c r="B7946" t="s">
        <v>14</v>
      </c>
      <c r="C7946" t="s">
        <v>19</v>
      </c>
      <c r="D7946" t="s">
        <v>17</v>
      </c>
      <c r="E7946" t="s">
        <v>12</v>
      </c>
      <c r="F7946">
        <v>34329672</v>
      </c>
      <c r="G7946">
        <v>34329686</v>
      </c>
      <c r="H7946">
        <v>34329672</v>
      </c>
      <c r="I7946">
        <v>34329686</v>
      </c>
    </row>
    <row r="7947" spans="1:9" x14ac:dyDescent="0.2">
      <c r="A7947" s="1" t="str">
        <f>"HMGCL"</f>
        <v>HMGCL</v>
      </c>
      <c r="B7947" t="s">
        <v>14</v>
      </c>
      <c r="C7947" t="s">
        <v>19</v>
      </c>
      <c r="D7947" t="s">
        <v>11</v>
      </c>
      <c r="E7947" t="s">
        <v>12</v>
      </c>
      <c r="F7947">
        <v>24151903</v>
      </c>
      <c r="G7947">
        <v>24151939</v>
      </c>
      <c r="H7947">
        <v>24151960</v>
      </c>
      <c r="I7947">
        <v>24151967</v>
      </c>
    </row>
    <row r="7948" spans="1:9" x14ac:dyDescent="0.2">
      <c r="A7948" s="1" t="str">
        <f>"HMGCLL1"</f>
        <v>HMGCLL1</v>
      </c>
      <c r="B7948" t="s">
        <v>14</v>
      </c>
      <c r="C7948" t="s">
        <v>32</v>
      </c>
      <c r="D7948" t="s">
        <v>11</v>
      </c>
      <c r="E7948" t="s">
        <v>12</v>
      </c>
      <c r="F7948">
        <v>55443831</v>
      </c>
      <c r="G7948">
        <v>55443908</v>
      </c>
      <c r="H7948">
        <v>55443975</v>
      </c>
      <c r="I7948">
        <v>55443998</v>
      </c>
    </row>
    <row r="7949" spans="1:9" x14ac:dyDescent="0.2">
      <c r="A7949" s="1" t="str">
        <f>"HMGCR"</f>
        <v>HMGCR</v>
      </c>
      <c r="B7949" t="s">
        <v>14</v>
      </c>
      <c r="C7949" t="s">
        <v>46</v>
      </c>
      <c r="D7949" t="s">
        <v>17</v>
      </c>
      <c r="E7949" t="s">
        <v>12</v>
      </c>
      <c r="F7949">
        <v>74633036</v>
      </c>
      <c r="G7949">
        <v>74633085</v>
      </c>
      <c r="H7949">
        <v>74633086</v>
      </c>
      <c r="I7949">
        <v>74633100</v>
      </c>
    </row>
    <row r="7950" spans="1:9" x14ac:dyDescent="0.2">
      <c r="A7950" s="1" t="str">
        <f>"HMGCS1"</f>
        <v>HMGCS1</v>
      </c>
      <c r="B7950" t="s">
        <v>14</v>
      </c>
      <c r="C7950" t="s">
        <v>46</v>
      </c>
      <c r="D7950" t="s">
        <v>11</v>
      </c>
      <c r="E7950" t="s">
        <v>12</v>
      </c>
      <c r="F7950">
        <v>43313505</v>
      </c>
      <c r="G7950">
        <v>43313521</v>
      </c>
      <c r="H7950">
        <v>43313543</v>
      </c>
      <c r="I7950">
        <v>43313554</v>
      </c>
    </row>
    <row r="7951" spans="1:9" x14ac:dyDescent="0.2">
      <c r="A7951" s="1" t="str">
        <f>"HMGCS2"</f>
        <v>HMGCS2</v>
      </c>
      <c r="B7951" t="s">
        <v>14</v>
      </c>
      <c r="C7951" t="s">
        <v>19</v>
      </c>
      <c r="D7951" t="s">
        <v>11</v>
      </c>
      <c r="E7951" t="s">
        <v>12</v>
      </c>
      <c r="F7951">
        <v>120311518</v>
      </c>
      <c r="G7951">
        <v>120311536</v>
      </c>
      <c r="H7951">
        <v>120311553</v>
      </c>
      <c r="I7951">
        <v>120311555</v>
      </c>
    </row>
    <row r="7952" spans="1:9" x14ac:dyDescent="0.2">
      <c r="A7952" s="1" t="str">
        <f>"HMGN1"</f>
        <v>HMGN1</v>
      </c>
      <c r="B7952" t="s">
        <v>14</v>
      </c>
      <c r="C7952" t="s">
        <v>42</v>
      </c>
      <c r="D7952" t="s">
        <v>11</v>
      </c>
      <c r="E7952" t="s">
        <v>12</v>
      </c>
      <c r="F7952">
        <v>40720995</v>
      </c>
      <c r="G7952">
        <v>40721031</v>
      </c>
      <c r="H7952">
        <v>40720508</v>
      </c>
      <c r="I7952">
        <v>40720537</v>
      </c>
    </row>
    <row r="7953" spans="1:9" x14ac:dyDescent="0.2">
      <c r="A7953" s="1" t="str">
        <f>"HMGN2"</f>
        <v>HMGN2</v>
      </c>
      <c r="B7953" t="s">
        <v>14</v>
      </c>
      <c r="C7953" t="s">
        <v>19</v>
      </c>
      <c r="D7953" t="s">
        <v>17</v>
      </c>
      <c r="E7953" t="s">
        <v>12</v>
      </c>
      <c r="F7953">
        <v>26798955</v>
      </c>
      <c r="G7953">
        <v>26798996</v>
      </c>
      <c r="H7953">
        <v>26798896</v>
      </c>
      <c r="I7953">
        <v>26798949</v>
      </c>
    </row>
    <row r="7954" spans="1:9" x14ac:dyDescent="0.2">
      <c r="A7954" s="1" t="str">
        <f>"HMGN3"</f>
        <v>HMGN3</v>
      </c>
      <c r="B7954" t="s">
        <v>14</v>
      </c>
      <c r="C7954" t="s">
        <v>32</v>
      </c>
      <c r="D7954" t="s">
        <v>11</v>
      </c>
      <c r="E7954" t="s">
        <v>12</v>
      </c>
      <c r="F7954">
        <v>79944336</v>
      </c>
      <c r="G7954">
        <v>79944440</v>
      </c>
      <c r="H7954">
        <v>79944336</v>
      </c>
      <c r="I7954">
        <v>79944440</v>
      </c>
    </row>
    <row r="7955" spans="1:9" x14ac:dyDescent="0.2">
      <c r="A7955" s="1" t="str">
        <f>"HMGN4"</f>
        <v>HMGN4</v>
      </c>
      <c r="B7955" t="s">
        <v>14</v>
      </c>
      <c r="C7955" t="s">
        <v>32</v>
      </c>
      <c r="D7955" t="s">
        <v>17</v>
      </c>
      <c r="E7955" t="s">
        <v>12</v>
      </c>
      <c r="F7955">
        <v>26538566</v>
      </c>
      <c r="G7955">
        <v>26538647</v>
      </c>
      <c r="H7955">
        <v>26538683</v>
      </c>
      <c r="I7955">
        <v>26538694</v>
      </c>
    </row>
    <row r="7956" spans="1:9" x14ac:dyDescent="0.2">
      <c r="A7956" s="1" t="str">
        <f>"HMGN5"</f>
        <v>HMGN5</v>
      </c>
      <c r="B7956" t="s">
        <v>623</v>
      </c>
      <c r="C7956" t="s">
        <v>37</v>
      </c>
      <c r="D7956" t="s">
        <v>11</v>
      </c>
      <c r="E7956" t="s">
        <v>35</v>
      </c>
      <c r="F7956">
        <v>80457538</v>
      </c>
      <c r="G7956">
        <v>80457548</v>
      </c>
      <c r="H7956">
        <v>80457386</v>
      </c>
      <c r="I7956">
        <v>80457389</v>
      </c>
    </row>
    <row r="7957" spans="1:9" x14ac:dyDescent="0.2">
      <c r="A7957" s="1" t="str">
        <f>"HMGXB3"</f>
        <v>HMGXB3</v>
      </c>
      <c r="B7957" t="s">
        <v>14</v>
      </c>
      <c r="C7957" t="s">
        <v>46</v>
      </c>
      <c r="D7957" t="s">
        <v>17</v>
      </c>
      <c r="E7957" t="s">
        <v>12</v>
      </c>
      <c r="F7957">
        <v>149380256</v>
      </c>
      <c r="G7957">
        <v>149380343</v>
      </c>
      <c r="H7957">
        <v>149380235</v>
      </c>
      <c r="I7957">
        <v>149380244</v>
      </c>
    </row>
    <row r="7958" spans="1:9" x14ac:dyDescent="0.2">
      <c r="A7958" s="1" t="str">
        <f>"HMGXB4"</f>
        <v>HMGXB4</v>
      </c>
      <c r="B7958" t="s">
        <v>14</v>
      </c>
      <c r="C7958" t="s">
        <v>21</v>
      </c>
      <c r="D7958" t="s">
        <v>17</v>
      </c>
      <c r="E7958" t="s">
        <v>12</v>
      </c>
      <c r="F7958">
        <v>35653468</v>
      </c>
      <c r="G7958">
        <v>35653501</v>
      </c>
      <c r="H7958">
        <v>35653468</v>
      </c>
      <c r="I7958">
        <v>35653501</v>
      </c>
    </row>
    <row r="7959" spans="1:9" x14ac:dyDescent="0.2">
      <c r="A7959" s="1" t="str">
        <f>"HMHA1"</f>
        <v>HMHA1</v>
      </c>
      <c r="B7959" t="s">
        <v>14</v>
      </c>
      <c r="C7959" t="s">
        <v>10</v>
      </c>
      <c r="D7959" t="s">
        <v>17</v>
      </c>
      <c r="E7959" t="s">
        <v>12</v>
      </c>
      <c r="F7959">
        <v>1067271</v>
      </c>
      <c r="G7959">
        <v>1067335</v>
      </c>
      <c r="H7959">
        <v>1067144</v>
      </c>
      <c r="I7959">
        <v>1067190</v>
      </c>
    </row>
    <row r="7960" spans="1:9" x14ac:dyDescent="0.2">
      <c r="A7960" s="1" t="str">
        <f>"HMHB1"</f>
        <v>HMHB1</v>
      </c>
      <c r="B7960" t="s">
        <v>14</v>
      </c>
      <c r="C7960" t="s">
        <v>46</v>
      </c>
      <c r="D7960" t="s">
        <v>17</v>
      </c>
      <c r="E7960" t="s">
        <v>12</v>
      </c>
      <c r="F7960">
        <v>143191789</v>
      </c>
      <c r="G7960">
        <v>143191799</v>
      </c>
      <c r="H7960">
        <v>143191789</v>
      </c>
      <c r="I7960">
        <v>143191799</v>
      </c>
    </row>
    <row r="7961" spans="1:9" x14ac:dyDescent="0.2">
      <c r="A7961" s="1" t="str">
        <f>"HMMR"</f>
        <v>HMMR</v>
      </c>
      <c r="B7961" t="s">
        <v>14</v>
      </c>
      <c r="C7961" t="s">
        <v>46</v>
      </c>
      <c r="D7961" t="s">
        <v>17</v>
      </c>
      <c r="E7961" t="s">
        <v>12</v>
      </c>
      <c r="F7961">
        <v>162887629</v>
      </c>
      <c r="G7961">
        <v>162887681</v>
      </c>
      <c r="H7961">
        <v>162887629</v>
      </c>
      <c r="I7961">
        <v>162887681</v>
      </c>
    </row>
    <row r="7962" spans="1:9" x14ac:dyDescent="0.2">
      <c r="A7962" s="1" t="str">
        <f>"HMOX1"</f>
        <v>HMOX1</v>
      </c>
      <c r="B7962" t="s">
        <v>9</v>
      </c>
      <c r="C7962" t="s">
        <v>21</v>
      </c>
      <c r="D7962" t="s">
        <v>17</v>
      </c>
      <c r="E7962" t="s">
        <v>12</v>
      </c>
      <c r="F7962">
        <v>35777079</v>
      </c>
      <c r="G7962">
        <v>35777096</v>
      </c>
      <c r="H7962">
        <v>35777079</v>
      </c>
      <c r="I7962">
        <v>35777096</v>
      </c>
    </row>
    <row r="7963" spans="1:9" x14ac:dyDescent="0.2">
      <c r="A7963" s="1" t="str">
        <f>"HMOX1"</f>
        <v>HMOX1</v>
      </c>
      <c r="B7963" t="s">
        <v>13</v>
      </c>
      <c r="C7963" t="s">
        <v>21</v>
      </c>
      <c r="D7963" t="s">
        <v>17</v>
      </c>
      <c r="E7963" t="s">
        <v>12</v>
      </c>
      <c r="F7963">
        <v>35783010</v>
      </c>
      <c r="G7963">
        <v>35783044</v>
      </c>
      <c r="H7963">
        <v>35783010</v>
      </c>
      <c r="I7963">
        <v>35783044</v>
      </c>
    </row>
    <row r="7964" spans="1:9" x14ac:dyDescent="0.2">
      <c r="A7964" s="1" t="str">
        <f>"HMOX2"</f>
        <v>HMOX2</v>
      </c>
      <c r="B7964" t="s">
        <v>9</v>
      </c>
      <c r="C7964" t="s">
        <v>31</v>
      </c>
      <c r="D7964" t="s">
        <v>17</v>
      </c>
      <c r="E7964" t="s">
        <v>12</v>
      </c>
      <c r="F7964">
        <v>4526366</v>
      </c>
      <c r="G7964">
        <v>4526454</v>
      </c>
      <c r="H7964">
        <v>4526366</v>
      </c>
      <c r="I7964">
        <v>4526454</v>
      </c>
    </row>
    <row r="7965" spans="1:9" x14ac:dyDescent="0.2">
      <c r="A7965" s="1" t="str">
        <f>"HMOX2"</f>
        <v>HMOX2</v>
      </c>
      <c r="B7965" t="s">
        <v>13</v>
      </c>
      <c r="C7965" t="s">
        <v>31</v>
      </c>
      <c r="D7965" t="s">
        <v>17</v>
      </c>
      <c r="E7965" t="s">
        <v>12</v>
      </c>
      <c r="F7965">
        <v>4524727</v>
      </c>
      <c r="G7965">
        <v>4524743</v>
      </c>
      <c r="H7965">
        <v>4524727</v>
      </c>
      <c r="I7965">
        <v>4524743</v>
      </c>
    </row>
    <row r="7966" spans="1:9" x14ac:dyDescent="0.2">
      <c r="A7966" s="1" t="str">
        <f>"HMSD"</f>
        <v>HMSD</v>
      </c>
      <c r="B7966" t="s">
        <v>14</v>
      </c>
      <c r="C7966" t="s">
        <v>43</v>
      </c>
      <c r="D7966" t="s">
        <v>17</v>
      </c>
      <c r="E7966" t="s">
        <v>12</v>
      </c>
      <c r="F7966">
        <v>61616510</v>
      </c>
      <c r="G7966">
        <v>61616549</v>
      </c>
      <c r="H7966">
        <v>61616559</v>
      </c>
      <c r="I7966">
        <v>61616581</v>
      </c>
    </row>
    <row r="7967" spans="1:9" x14ac:dyDescent="0.2">
      <c r="A7967" s="1" t="str">
        <f>"HMX1"</f>
        <v>HMX1</v>
      </c>
      <c r="B7967" t="s">
        <v>14</v>
      </c>
      <c r="C7967" t="s">
        <v>23</v>
      </c>
      <c r="D7967" t="s">
        <v>11</v>
      </c>
      <c r="E7967" t="s">
        <v>12</v>
      </c>
      <c r="F7967">
        <v>8873545</v>
      </c>
      <c r="G7967">
        <v>8873583</v>
      </c>
      <c r="H7967">
        <v>8873716</v>
      </c>
      <c r="I7967">
        <v>8873738</v>
      </c>
    </row>
    <row r="7968" spans="1:9" x14ac:dyDescent="0.2">
      <c r="A7968" s="1" t="str">
        <f>"HMX2"</f>
        <v>HMX2</v>
      </c>
      <c r="B7968" t="s">
        <v>14</v>
      </c>
      <c r="C7968" t="s">
        <v>15</v>
      </c>
      <c r="D7968" t="s">
        <v>17</v>
      </c>
      <c r="E7968" t="s">
        <v>12</v>
      </c>
      <c r="F7968">
        <v>124907645</v>
      </c>
      <c r="G7968">
        <v>124907660</v>
      </c>
      <c r="H7968">
        <v>124907614</v>
      </c>
      <c r="I7968">
        <v>124907625</v>
      </c>
    </row>
    <row r="7969" spans="1:9" x14ac:dyDescent="0.2">
      <c r="A7969" s="1" t="str">
        <f>"HMX3"</f>
        <v>HMX3</v>
      </c>
      <c r="B7969" t="s">
        <v>14</v>
      </c>
      <c r="C7969" t="s">
        <v>15</v>
      </c>
      <c r="D7969" t="s">
        <v>17</v>
      </c>
      <c r="E7969" t="s">
        <v>12</v>
      </c>
      <c r="F7969">
        <v>124895472</v>
      </c>
      <c r="G7969">
        <v>124895508</v>
      </c>
      <c r="H7969">
        <v>124895548</v>
      </c>
      <c r="I7969">
        <v>124895570</v>
      </c>
    </row>
    <row r="7970" spans="1:9" x14ac:dyDescent="0.2">
      <c r="A7970" s="1" t="str">
        <f>"HN1"</f>
        <v>HN1</v>
      </c>
      <c r="B7970" t="s">
        <v>14</v>
      </c>
      <c r="C7970" t="s">
        <v>28</v>
      </c>
      <c r="D7970" t="s">
        <v>11</v>
      </c>
      <c r="E7970" t="s">
        <v>12</v>
      </c>
      <c r="F7970">
        <v>73150599</v>
      </c>
      <c r="G7970">
        <v>73150616</v>
      </c>
      <c r="H7970">
        <v>73150629</v>
      </c>
      <c r="I7970">
        <v>73150640</v>
      </c>
    </row>
    <row r="7971" spans="1:9" x14ac:dyDescent="0.2">
      <c r="A7971" s="1" t="str">
        <f>"HN1L"</f>
        <v>HN1L</v>
      </c>
      <c r="B7971" t="s">
        <v>14</v>
      </c>
      <c r="C7971" t="s">
        <v>31</v>
      </c>
      <c r="D7971" t="s">
        <v>17</v>
      </c>
      <c r="E7971" t="s">
        <v>12</v>
      </c>
      <c r="F7971">
        <v>1728272</v>
      </c>
      <c r="G7971">
        <v>1728296</v>
      </c>
      <c r="H7971">
        <v>1728305</v>
      </c>
      <c r="I7971">
        <v>1728324</v>
      </c>
    </row>
    <row r="7972" spans="1:9" x14ac:dyDescent="0.2">
      <c r="A7972" s="1" t="str">
        <f>"HNF1A"</f>
        <v>HNF1A</v>
      </c>
      <c r="B7972" t="s">
        <v>14</v>
      </c>
      <c r="C7972" t="s">
        <v>16</v>
      </c>
      <c r="D7972" t="s">
        <v>17</v>
      </c>
      <c r="E7972" t="s">
        <v>12</v>
      </c>
      <c r="F7972">
        <v>121416340</v>
      </c>
      <c r="G7972">
        <v>121416360</v>
      </c>
      <c r="H7972">
        <v>121416455</v>
      </c>
      <c r="I7972">
        <v>121416479</v>
      </c>
    </row>
    <row r="7973" spans="1:9" x14ac:dyDescent="0.2">
      <c r="A7973" s="1" t="str">
        <f>"HNF1B"</f>
        <v>HNF1B</v>
      </c>
      <c r="B7973" t="s">
        <v>14</v>
      </c>
      <c r="C7973" t="s">
        <v>28</v>
      </c>
      <c r="D7973" t="s">
        <v>11</v>
      </c>
      <c r="E7973" t="s">
        <v>12</v>
      </c>
      <c r="F7973">
        <v>36105042</v>
      </c>
      <c r="G7973">
        <v>36105060</v>
      </c>
      <c r="H7973">
        <v>36105074</v>
      </c>
      <c r="I7973">
        <v>36105086</v>
      </c>
    </row>
    <row r="7974" spans="1:9" x14ac:dyDescent="0.2">
      <c r="A7974" s="1" t="str">
        <f>"HNF4A"</f>
        <v>HNF4A</v>
      </c>
      <c r="B7974" t="s">
        <v>14</v>
      </c>
      <c r="C7974" t="s">
        <v>29</v>
      </c>
      <c r="D7974" t="s">
        <v>17</v>
      </c>
      <c r="E7974" t="s">
        <v>12</v>
      </c>
      <c r="F7974">
        <v>43029862</v>
      </c>
      <c r="G7974">
        <v>43029900</v>
      </c>
      <c r="H7974">
        <v>43029862</v>
      </c>
      <c r="I7974">
        <v>43029900</v>
      </c>
    </row>
    <row r="7975" spans="1:9" x14ac:dyDescent="0.2">
      <c r="A7975" s="1" t="str">
        <f>"HNF4G"</f>
        <v>HNF4G</v>
      </c>
      <c r="B7975" t="s">
        <v>9</v>
      </c>
      <c r="C7975" t="s">
        <v>30</v>
      </c>
      <c r="D7975" t="s">
        <v>17</v>
      </c>
      <c r="E7975" t="s">
        <v>12</v>
      </c>
      <c r="F7975">
        <v>76319876</v>
      </c>
      <c r="G7975">
        <v>76319926</v>
      </c>
      <c r="H7975">
        <v>76319876</v>
      </c>
      <c r="I7975">
        <v>76319926</v>
      </c>
    </row>
    <row r="7976" spans="1:9" x14ac:dyDescent="0.2">
      <c r="A7976" s="1" t="str">
        <f>"HNF4G"</f>
        <v>HNF4G</v>
      </c>
      <c r="B7976" t="s">
        <v>13</v>
      </c>
      <c r="C7976" t="s">
        <v>30</v>
      </c>
      <c r="D7976" t="s">
        <v>17</v>
      </c>
      <c r="E7976" t="s">
        <v>12</v>
      </c>
      <c r="F7976">
        <v>76452097</v>
      </c>
      <c r="G7976">
        <v>76452126</v>
      </c>
      <c r="H7976">
        <v>76452097</v>
      </c>
      <c r="I7976">
        <v>76452126</v>
      </c>
    </row>
    <row r="7977" spans="1:9" x14ac:dyDescent="0.2">
      <c r="A7977" s="1" t="str">
        <f>"HNMT"</f>
        <v>HNMT</v>
      </c>
      <c r="B7977" t="s">
        <v>14</v>
      </c>
      <c r="C7977" t="s">
        <v>26</v>
      </c>
      <c r="D7977" t="s">
        <v>17</v>
      </c>
      <c r="E7977" t="s">
        <v>12</v>
      </c>
      <c r="F7977">
        <v>138722028</v>
      </c>
      <c r="G7977">
        <v>138722057</v>
      </c>
      <c r="H7977">
        <v>138722124</v>
      </c>
      <c r="I7977">
        <v>138722139</v>
      </c>
    </row>
    <row r="7978" spans="1:9" x14ac:dyDescent="0.2">
      <c r="A7978" s="1" t="str">
        <f>"HNRNPA0"</f>
        <v>HNRNPA0</v>
      </c>
      <c r="B7978" t="s">
        <v>14</v>
      </c>
      <c r="C7978" t="s">
        <v>46</v>
      </c>
      <c r="D7978" t="s">
        <v>11</v>
      </c>
      <c r="E7978" t="s">
        <v>12</v>
      </c>
      <c r="F7978">
        <v>137090028</v>
      </c>
      <c r="G7978">
        <v>137090075</v>
      </c>
      <c r="H7978">
        <v>137090028</v>
      </c>
      <c r="I7978">
        <v>137090075</v>
      </c>
    </row>
    <row r="7979" spans="1:9" x14ac:dyDescent="0.2">
      <c r="A7979" s="1" t="str">
        <f>"HNRNPA1"</f>
        <v>HNRNPA1</v>
      </c>
      <c r="B7979" t="s">
        <v>14</v>
      </c>
      <c r="C7979" t="s">
        <v>16</v>
      </c>
      <c r="D7979" t="s">
        <v>17</v>
      </c>
      <c r="E7979" t="s">
        <v>12</v>
      </c>
      <c r="F7979">
        <v>54674482</v>
      </c>
      <c r="G7979">
        <v>54674520</v>
      </c>
      <c r="H7979">
        <v>54674482</v>
      </c>
      <c r="I7979">
        <v>54674520</v>
      </c>
    </row>
    <row r="7980" spans="1:9" x14ac:dyDescent="0.2">
      <c r="A7980" s="1" t="str">
        <f>"HNRNPA1L2"</f>
        <v>HNRNPA1L2</v>
      </c>
      <c r="B7980" t="s">
        <v>9</v>
      </c>
      <c r="C7980" t="s">
        <v>39</v>
      </c>
      <c r="D7980" t="s">
        <v>17</v>
      </c>
      <c r="E7980" t="s">
        <v>12</v>
      </c>
      <c r="F7980">
        <v>53216565</v>
      </c>
      <c r="G7980">
        <v>53216567</v>
      </c>
      <c r="H7980">
        <v>53216565</v>
      </c>
      <c r="I7980">
        <v>53216567</v>
      </c>
    </row>
    <row r="7981" spans="1:9" x14ac:dyDescent="0.2">
      <c r="A7981" s="1" t="str">
        <f>"HNRNPA1L2"</f>
        <v>HNRNPA1L2</v>
      </c>
      <c r="B7981" t="s">
        <v>13</v>
      </c>
      <c r="C7981" t="s">
        <v>39</v>
      </c>
      <c r="D7981" t="s">
        <v>17</v>
      </c>
      <c r="E7981" t="s">
        <v>12</v>
      </c>
      <c r="F7981">
        <v>53191613</v>
      </c>
      <c r="G7981">
        <v>53191624</v>
      </c>
      <c r="H7981">
        <v>53191613</v>
      </c>
      <c r="I7981">
        <v>53191624</v>
      </c>
    </row>
    <row r="7982" spans="1:9" x14ac:dyDescent="0.2">
      <c r="A7982" s="1" t="str">
        <f>"HNRNPA2B1"</f>
        <v>HNRNPA2B1</v>
      </c>
      <c r="B7982" t="s">
        <v>14</v>
      </c>
      <c r="C7982" t="s">
        <v>33</v>
      </c>
      <c r="D7982" t="s">
        <v>11</v>
      </c>
      <c r="E7982" t="s">
        <v>12</v>
      </c>
      <c r="F7982">
        <v>26240357</v>
      </c>
      <c r="G7982">
        <v>26240377</v>
      </c>
      <c r="H7982">
        <v>26240389</v>
      </c>
      <c r="I7982">
        <v>26240400</v>
      </c>
    </row>
    <row r="7983" spans="1:9" x14ac:dyDescent="0.2">
      <c r="A7983" s="1" t="str">
        <f>"HNRNPA3"</f>
        <v>HNRNPA3</v>
      </c>
      <c r="B7983" t="s">
        <v>14</v>
      </c>
      <c r="C7983" t="s">
        <v>26</v>
      </c>
      <c r="D7983" t="s">
        <v>17</v>
      </c>
      <c r="E7983" t="s">
        <v>12</v>
      </c>
      <c r="F7983">
        <v>178077519</v>
      </c>
      <c r="G7983">
        <v>178077525</v>
      </c>
      <c r="H7983">
        <v>178077402</v>
      </c>
      <c r="I7983">
        <v>178077436</v>
      </c>
    </row>
    <row r="7984" spans="1:9" x14ac:dyDescent="0.2">
      <c r="A7984" s="1" t="str">
        <f>"HNRNPAB"</f>
        <v>HNRNPAB</v>
      </c>
      <c r="B7984" t="s">
        <v>14</v>
      </c>
      <c r="C7984" t="s">
        <v>46</v>
      </c>
      <c r="D7984" t="s">
        <v>17</v>
      </c>
      <c r="E7984" t="s">
        <v>12</v>
      </c>
      <c r="F7984">
        <v>177631523</v>
      </c>
      <c r="G7984">
        <v>177631541</v>
      </c>
      <c r="H7984">
        <v>177631497</v>
      </c>
      <c r="I7984">
        <v>177631508</v>
      </c>
    </row>
    <row r="7985" spans="1:9" x14ac:dyDescent="0.2">
      <c r="A7985" s="1" t="str">
        <f>"HNRNPC"</f>
        <v>HNRNPC</v>
      </c>
      <c r="B7985" t="s">
        <v>14</v>
      </c>
      <c r="C7985" t="s">
        <v>41</v>
      </c>
      <c r="D7985" t="s">
        <v>11</v>
      </c>
      <c r="E7985" t="s">
        <v>12</v>
      </c>
      <c r="F7985">
        <v>21737571</v>
      </c>
      <c r="G7985">
        <v>21737608</v>
      </c>
      <c r="H7985">
        <v>21737610</v>
      </c>
      <c r="I7985">
        <v>21737621</v>
      </c>
    </row>
    <row r="7986" spans="1:9" x14ac:dyDescent="0.2">
      <c r="A7986" s="1" t="str">
        <f>"HNRNPCL1"</f>
        <v>HNRNPCL1</v>
      </c>
      <c r="B7986" t="s">
        <v>14</v>
      </c>
      <c r="C7986" t="s">
        <v>19</v>
      </c>
      <c r="D7986" t="s">
        <v>11</v>
      </c>
      <c r="E7986" t="s">
        <v>67</v>
      </c>
      <c r="F7986">
        <v>12908304</v>
      </c>
      <c r="G7986">
        <v>12908312</v>
      </c>
      <c r="H7986">
        <v>12908304</v>
      </c>
      <c r="I7986">
        <v>12908312</v>
      </c>
    </row>
    <row r="7987" spans="1:9" x14ac:dyDescent="0.2">
      <c r="A7987" s="1" t="str">
        <f>"HNRNPD"</f>
        <v>HNRNPD</v>
      </c>
      <c r="B7987" t="s">
        <v>14</v>
      </c>
      <c r="C7987" t="s">
        <v>23</v>
      </c>
      <c r="D7987" t="s">
        <v>11</v>
      </c>
      <c r="E7987" t="s">
        <v>12</v>
      </c>
      <c r="F7987">
        <v>83295103</v>
      </c>
      <c r="G7987">
        <v>83295157</v>
      </c>
      <c r="H7987">
        <v>83295296</v>
      </c>
      <c r="I7987">
        <v>83295352</v>
      </c>
    </row>
    <row r="7988" spans="1:9" x14ac:dyDescent="0.2">
      <c r="A7988" s="1" t="str">
        <f>"HNRNPDL"</f>
        <v>HNRNPDL</v>
      </c>
      <c r="B7988" t="s">
        <v>14</v>
      </c>
      <c r="C7988" t="s">
        <v>23</v>
      </c>
      <c r="D7988" t="s">
        <v>11</v>
      </c>
      <c r="E7988" t="s">
        <v>12</v>
      </c>
      <c r="F7988">
        <v>83350580</v>
      </c>
      <c r="G7988">
        <v>83350600</v>
      </c>
      <c r="H7988">
        <v>83350555</v>
      </c>
      <c r="I7988">
        <v>83350566</v>
      </c>
    </row>
    <row r="7989" spans="1:9" x14ac:dyDescent="0.2">
      <c r="A7989" s="1" t="str">
        <f>"HNRNPF"</f>
        <v>HNRNPF</v>
      </c>
      <c r="B7989" t="s">
        <v>9</v>
      </c>
      <c r="C7989" t="s">
        <v>15</v>
      </c>
      <c r="D7989" t="s">
        <v>11</v>
      </c>
      <c r="E7989" t="s">
        <v>12</v>
      </c>
      <c r="F7989">
        <v>43904608</v>
      </c>
      <c r="G7989">
        <v>43904640</v>
      </c>
      <c r="H7989">
        <v>43904608</v>
      </c>
      <c r="I7989">
        <v>43904640</v>
      </c>
    </row>
    <row r="7990" spans="1:9" x14ac:dyDescent="0.2">
      <c r="A7990" s="1" t="str">
        <f>"HNRNPF"</f>
        <v>HNRNPF</v>
      </c>
      <c r="B7990" t="s">
        <v>13</v>
      </c>
      <c r="C7990" t="s">
        <v>15</v>
      </c>
      <c r="D7990" t="s">
        <v>11</v>
      </c>
      <c r="E7990" t="s">
        <v>12</v>
      </c>
      <c r="F7990">
        <v>43903217</v>
      </c>
      <c r="G7990">
        <v>43903241</v>
      </c>
      <c r="H7990">
        <v>43903217</v>
      </c>
      <c r="I7990">
        <v>43903241</v>
      </c>
    </row>
    <row r="7991" spans="1:9" x14ac:dyDescent="0.2">
      <c r="A7991" s="1" t="str">
        <f>"HNRNPH1"</f>
        <v>HNRNPH1</v>
      </c>
      <c r="B7991" t="s">
        <v>14</v>
      </c>
      <c r="C7991" t="s">
        <v>46</v>
      </c>
      <c r="D7991" t="s">
        <v>11</v>
      </c>
      <c r="E7991" t="s">
        <v>12</v>
      </c>
      <c r="F7991">
        <v>179050660</v>
      </c>
      <c r="G7991">
        <v>179050681</v>
      </c>
      <c r="H7991">
        <v>179051579</v>
      </c>
      <c r="I7991">
        <v>179051608</v>
      </c>
    </row>
    <row r="7992" spans="1:9" x14ac:dyDescent="0.2">
      <c r="A7992" s="1" t="str">
        <f>"HNRNPH2"</f>
        <v>HNRNPH2</v>
      </c>
      <c r="B7992" t="s">
        <v>14</v>
      </c>
      <c r="C7992" t="s">
        <v>37</v>
      </c>
      <c r="D7992" t="s">
        <v>17</v>
      </c>
      <c r="E7992" t="s">
        <v>12</v>
      </c>
      <c r="F7992">
        <v>100663186</v>
      </c>
      <c r="G7992">
        <v>100663241</v>
      </c>
      <c r="H7992">
        <v>100663243</v>
      </c>
      <c r="I7992">
        <v>100663254</v>
      </c>
    </row>
    <row r="7993" spans="1:9" x14ac:dyDescent="0.2">
      <c r="A7993" s="1" t="str">
        <f>"HNRNPH3"</f>
        <v>HNRNPH3</v>
      </c>
      <c r="B7993" t="s">
        <v>14</v>
      </c>
      <c r="C7993" t="s">
        <v>15</v>
      </c>
      <c r="D7993" t="s">
        <v>17</v>
      </c>
      <c r="E7993" t="s">
        <v>12</v>
      </c>
      <c r="F7993">
        <v>70091812</v>
      </c>
      <c r="G7993">
        <v>70091830</v>
      </c>
      <c r="H7993">
        <v>70091847</v>
      </c>
      <c r="I7993">
        <v>70091858</v>
      </c>
    </row>
    <row r="7994" spans="1:9" x14ac:dyDescent="0.2">
      <c r="A7994" s="1" t="str">
        <f>"HNRNPK"</f>
        <v>HNRNPK</v>
      </c>
      <c r="B7994" t="s">
        <v>14</v>
      </c>
      <c r="C7994" t="s">
        <v>24</v>
      </c>
      <c r="D7994" t="s">
        <v>11</v>
      </c>
      <c r="E7994" t="s">
        <v>12</v>
      </c>
      <c r="F7994">
        <v>86595113</v>
      </c>
      <c r="G7994">
        <v>86595141</v>
      </c>
      <c r="H7994">
        <v>86595503</v>
      </c>
      <c r="I7994">
        <v>86595550</v>
      </c>
    </row>
    <row r="7995" spans="1:9" x14ac:dyDescent="0.2">
      <c r="A7995" s="1" t="str">
        <f>"HNRNPL"</f>
        <v>HNRNPL</v>
      </c>
      <c r="B7995" t="s">
        <v>9</v>
      </c>
      <c r="C7995" t="s">
        <v>10</v>
      </c>
      <c r="D7995" t="s">
        <v>11</v>
      </c>
      <c r="E7995" t="s">
        <v>12</v>
      </c>
      <c r="F7995">
        <v>39340563</v>
      </c>
      <c r="G7995">
        <v>39340634</v>
      </c>
      <c r="H7995">
        <v>39340563</v>
      </c>
      <c r="I7995">
        <v>39340634</v>
      </c>
    </row>
    <row r="7996" spans="1:9" x14ac:dyDescent="0.2">
      <c r="A7996" s="1" t="str">
        <f>"HNRNPL"</f>
        <v>HNRNPL</v>
      </c>
      <c r="B7996" t="s">
        <v>13</v>
      </c>
      <c r="C7996" t="s">
        <v>10</v>
      </c>
      <c r="D7996" t="s">
        <v>11</v>
      </c>
      <c r="E7996" t="s">
        <v>12</v>
      </c>
      <c r="F7996">
        <v>39342962</v>
      </c>
      <c r="G7996">
        <v>39343002</v>
      </c>
      <c r="H7996">
        <v>39342962</v>
      </c>
      <c r="I7996">
        <v>39343002</v>
      </c>
    </row>
    <row r="7997" spans="1:9" x14ac:dyDescent="0.2">
      <c r="A7997" s="1" t="str">
        <f>"HNRNPLL"</f>
        <v>HNRNPLL</v>
      </c>
      <c r="B7997" t="s">
        <v>14</v>
      </c>
      <c r="C7997" t="s">
        <v>26</v>
      </c>
      <c r="D7997" t="s">
        <v>11</v>
      </c>
      <c r="E7997" t="s">
        <v>12</v>
      </c>
      <c r="F7997">
        <v>38830030</v>
      </c>
      <c r="G7997">
        <v>38830089</v>
      </c>
      <c r="H7997">
        <v>38829990</v>
      </c>
      <c r="I7997">
        <v>38830022</v>
      </c>
    </row>
    <row r="7998" spans="1:9" x14ac:dyDescent="0.2">
      <c r="A7998" s="1" t="str">
        <f>"HNRNPM"</f>
        <v>HNRNPM</v>
      </c>
      <c r="B7998" t="s">
        <v>9</v>
      </c>
      <c r="C7998" t="s">
        <v>10</v>
      </c>
      <c r="D7998" t="s">
        <v>17</v>
      </c>
      <c r="E7998" t="s">
        <v>12</v>
      </c>
      <c r="F7998">
        <v>8509851</v>
      </c>
      <c r="G7998">
        <v>8509876</v>
      </c>
      <c r="H7998">
        <v>8509851</v>
      </c>
      <c r="I7998">
        <v>8509876</v>
      </c>
    </row>
    <row r="7999" spans="1:9" x14ac:dyDescent="0.2">
      <c r="A7999" s="1" t="str">
        <f>"HNRNPM"</f>
        <v>HNRNPM</v>
      </c>
      <c r="B7999" t="s">
        <v>13</v>
      </c>
      <c r="C7999" t="s">
        <v>10</v>
      </c>
      <c r="D7999" t="s">
        <v>17</v>
      </c>
      <c r="E7999" t="s">
        <v>12</v>
      </c>
      <c r="F7999">
        <v>8536242</v>
      </c>
      <c r="G7999">
        <v>8536256</v>
      </c>
      <c r="H7999">
        <v>8536242</v>
      </c>
      <c r="I7999">
        <v>8536256</v>
      </c>
    </row>
    <row r="8000" spans="1:9" x14ac:dyDescent="0.2">
      <c r="A8000" s="1" t="str">
        <f>"HNRNPR"</f>
        <v>HNRNPR</v>
      </c>
      <c r="B8000" t="s">
        <v>14</v>
      </c>
      <c r="C8000" t="s">
        <v>19</v>
      </c>
      <c r="D8000" t="s">
        <v>11</v>
      </c>
      <c r="E8000" t="s">
        <v>12</v>
      </c>
      <c r="F8000">
        <v>23670752</v>
      </c>
      <c r="G8000">
        <v>23670799</v>
      </c>
      <c r="H8000">
        <v>23670737</v>
      </c>
      <c r="I8000">
        <v>23670751</v>
      </c>
    </row>
    <row r="8001" spans="1:9" x14ac:dyDescent="0.2">
      <c r="A8001" s="1" t="str">
        <f>"HNRNPU"</f>
        <v>HNRNPU</v>
      </c>
      <c r="B8001" t="s">
        <v>14</v>
      </c>
      <c r="C8001" t="s">
        <v>19</v>
      </c>
      <c r="D8001" t="s">
        <v>11</v>
      </c>
      <c r="E8001" t="s">
        <v>12</v>
      </c>
      <c r="F8001">
        <v>245027766</v>
      </c>
      <c r="G8001">
        <v>245027800</v>
      </c>
      <c r="H8001">
        <v>245027833</v>
      </c>
      <c r="I8001">
        <v>245027855</v>
      </c>
    </row>
    <row r="8002" spans="1:9" x14ac:dyDescent="0.2">
      <c r="A8002" s="1" t="str">
        <f>"HNRNPUL1"</f>
        <v>HNRNPUL1</v>
      </c>
      <c r="B8002" t="s">
        <v>14</v>
      </c>
      <c r="C8002" t="s">
        <v>10</v>
      </c>
      <c r="D8002" t="s">
        <v>17</v>
      </c>
      <c r="E8002" t="s">
        <v>12</v>
      </c>
      <c r="F8002">
        <v>41770292</v>
      </c>
      <c r="G8002">
        <v>41770345</v>
      </c>
      <c r="H8002">
        <v>41770269</v>
      </c>
      <c r="I8002">
        <v>41770289</v>
      </c>
    </row>
    <row r="8003" spans="1:9" x14ac:dyDescent="0.2">
      <c r="A8003" s="1" t="str">
        <f>"HNRNPUL2"</f>
        <v>HNRNPUL2</v>
      </c>
      <c r="B8003" t="s">
        <v>14</v>
      </c>
      <c r="C8003" t="s">
        <v>27</v>
      </c>
      <c r="D8003" t="s">
        <v>11</v>
      </c>
      <c r="E8003" t="s">
        <v>12</v>
      </c>
      <c r="F8003">
        <v>62494893</v>
      </c>
      <c r="G8003">
        <v>62494953</v>
      </c>
      <c r="H8003">
        <v>62494623</v>
      </c>
      <c r="I8003">
        <v>62494700</v>
      </c>
    </row>
    <row r="8004" spans="1:9" x14ac:dyDescent="0.2">
      <c r="A8004" s="1" t="str">
        <f>"HOGA1"</f>
        <v>HOGA1</v>
      </c>
      <c r="B8004" t="s">
        <v>14</v>
      </c>
      <c r="C8004" t="s">
        <v>15</v>
      </c>
      <c r="D8004" t="s">
        <v>17</v>
      </c>
      <c r="E8004" t="s">
        <v>12</v>
      </c>
      <c r="F8004">
        <v>99344071</v>
      </c>
      <c r="G8004">
        <v>99344096</v>
      </c>
      <c r="H8004">
        <v>99344018</v>
      </c>
      <c r="I8004">
        <v>99344023</v>
      </c>
    </row>
    <row r="8005" spans="1:9" x14ac:dyDescent="0.2">
      <c r="A8005" s="1" t="str">
        <f>"HOMER1"</f>
        <v>HOMER1</v>
      </c>
      <c r="B8005" t="s">
        <v>14</v>
      </c>
      <c r="C8005" t="s">
        <v>46</v>
      </c>
      <c r="D8005" t="s">
        <v>11</v>
      </c>
      <c r="E8005" t="s">
        <v>12</v>
      </c>
      <c r="F8005">
        <v>78810346</v>
      </c>
      <c r="G8005">
        <v>78810363</v>
      </c>
      <c r="H8005">
        <v>78809922</v>
      </c>
      <c r="I8005">
        <v>78809946</v>
      </c>
    </row>
    <row r="8006" spans="1:9" x14ac:dyDescent="0.2">
      <c r="A8006" s="1" t="str">
        <f>"HOMER2"</f>
        <v>HOMER2</v>
      </c>
      <c r="B8006" t="s">
        <v>14</v>
      </c>
      <c r="C8006" t="s">
        <v>25</v>
      </c>
      <c r="D8006" t="s">
        <v>11</v>
      </c>
      <c r="E8006" t="s">
        <v>12</v>
      </c>
      <c r="F8006">
        <v>83621435</v>
      </c>
      <c r="G8006">
        <v>83621495</v>
      </c>
      <c r="H8006">
        <v>83621435</v>
      </c>
      <c r="I8006">
        <v>83621495</v>
      </c>
    </row>
    <row r="8007" spans="1:9" x14ac:dyDescent="0.2">
      <c r="A8007" s="1" t="str">
        <f>"HOMER3"</f>
        <v>HOMER3</v>
      </c>
      <c r="B8007" t="s">
        <v>14</v>
      </c>
      <c r="C8007" t="s">
        <v>10</v>
      </c>
      <c r="D8007" t="s">
        <v>11</v>
      </c>
      <c r="E8007" t="s">
        <v>12</v>
      </c>
      <c r="F8007">
        <v>19051993</v>
      </c>
      <c r="G8007">
        <v>19052073</v>
      </c>
      <c r="H8007">
        <v>19051972</v>
      </c>
      <c r="I8007">
        <v>19051983</v>
      </c>
    </row>
    <row r="8008" spans="1:9" x14ac:dyDescent="0.2">
      <c r="A8008" s="1" t="str">
        <f>"HOMEZ"</f>
        <v>HOMEZ</v>
      </c>
      <c r="B8008" t="s">
        <v>14</v>
      </c>
      <c r="C8008" t="s">
        <v>41</v>
      </c>
      <c r="D8008" t="s">
        <v>11</v>
      </c>
      <c r="E8008" t="s">
        <v>12</v>
      </c>
      <c r="F8008">
        <v>23755297</v>
      </c>
      <c r="G8008">
        <v>23755350</v>
      </c>
      <c r="H8008">
        <v>23755247</v>
      </c>
      <c r="I8008">
        <v>23755278</v>
      </c>
    </row>
    <row r="8009" spans="1:9" x14ac:dyDescent="0.2">
      <c r="A8009" s="1" t="str">
        <f>"HOOK1"</f>
        <v>HOOK1</v>
      </c>
      <c r="B8009" t="s">
        <v>14</v>
      </c>
      <c r="C8009" t="s">
        <v>19</v>
      </c>
      <c r="D8009" t="s">
        <v>17</v>
      </c>
      <c r="E8009" t="s">
        <v>12</v>
      </c>
      <c r="F8009">
        <v>60280611</v>
      </c>
      <c r="G8009">
        <v>60280663</v>
      </c>
      <c r="H8009">
        <v>60280668</v>
      </c>
      <c r="I8009">
        <v>60280699</v>
      </c>
    </row>
    <row r="8010" spans="1:9" x14ac:dyDescent="0.2">
      <c r="A8010" s="1" t="str">
        <f>"HOOK2"</f>
        <v>HOOK2</v>
      </c>
      <c r="B8010" t="s">
        <v>9</v>
      </c>
      <c r="C8010" t="s">
        <v>10</v>
      </c>
      <c r="D8010" t="s">
        <v>11</v>
      </c>
      <c r="E8010" t="s">
        <v>12</v>
      </c>
      <c r="F8010">
        <v>12886327</v>
      </c>
      <c r="G8010">
        <v>12886387</v>
      </c>
      <c r="H8010">
        <v>12886327</v>
      </c>
      <c r="I8010">
        <v>12886387</v>
      </c>
    </row>
    <row r="8011" spans="1:9" x14ac:dyDescent="0.2">
      <c r="A8011" s="1" t="str">
        <f>"HOOK2"</f>
        <v>HOOK2</v>
      </c>
      <c r="B8011" t="s">
        <v>13</v>
      </c>
      <c r="C8011" t="s">
        <v>10</v>
      </c>
      <c r="D8011" t="s">
        <v>11</v>
      </c>
      <c r="E8011" t="s">
        <v>12</v>
      </c>
      <c r="F8011">
        <v>12877194</v>
      </c>
      <c r="G8011">
        <v>12877206</v>
      </c>
      <c r="H8011">
        <v>12877194</v>
      </c>
      <c r="I8011">
        <v>12877206</v>
      </c>
    </row>
    <row r="8012" spans="1:9" x14ac:dyDescent="0.2">
      <c r="A8012" s="1" t="str">
        <f>"HOOK3"</f>
        <v>HOOK3</v>
      </c>
      <c r="B8012" t="s">
        <v>14</v>
      </c>
      <c r="C8012" t="s">
        <v>30</v>
      </c>
      <c r="D8012" t="s">
        <v>17</v>
      </c>
      <c r="E8012" t="s">
        <v>12</v>
      </c>
      <c r="F8012">
        <v>42752053</v>
      </c>
      <c r="G8012">
        <v>42752154</v>
      </c>
      <c r="H8012">
        <v>42751949</v>
      </c>
      <c r="I8012">
        <v>42751968</v>
      </c>
    </row>
    <row r="8013" spans="1:9" x14ac:dyDescent="0.2">
      <c r="A8013" s="1" t="str">
        <f>"HOPX"</f>
        <v>HOPX</v>
      </c>
      <c r="B8013" t="s">
        <v>9</v>
      </c>
      <c r="C8013" t="s">
        <v>23</v>
      </c>
      <c r="D8013" t="s">
        <v>11</v>
      </c>
      <c r="E8013" t="s">
        <v>12</v>
      </c>
      <c r="F8013">
        <v>57547454</v>
      </c>
      <c r="G8013">
        <v>57547469</v>
      </c>
      <c r="H8013">
        <v>57547454</v>
      </c>
      <c r="I8013">
        <v>57547469</v>
      </c>
    </row>
    <row r="8014" spans="1:9" x14ac:dyDescent="0.2">
      <c r="A8014" s="1" t="str">
        <f>"HOPX"</f>
        <v>HOPX</v>
      </c>
      <c r="B8014" t="s">
        <v>13</v>
      </c>
      <c r="C8014" t="s">
        <v>23</v>
      </c>
      <c r="D8014" t="s">
        <v>11</v>
      </c>
      <c r="E8014" t="s">
        <v>12</v>
      </c>
      <c r="F8014">
        <v>57522166</v>
      </c>
      <c r="G8014">
        <v>57522260</v>
      </c>
      <c r="H8014">
        <v>57522166</v>
      </c>
      <c r="I8014">
        <v>57522260</v>
      </c>
    </row>
    <row r="8015" spans="1:9" x14ac:dyDescent="0.2">
      <c r="A8015" s="1" t="str">
        <f>"HORMAD1"</f>
        <v>HORMAD1</v>
      </c>
      <c r="B8015" t="s">
        <v>14</v>
      </c>
      <c r="C8015" t="s">
        <v>19</v>
      </c>
      <c r="D8015" t="s">
        <v>11</v>
      </c>
      <c r="E8015" t="s">
        <v>12</v>
      </c>
      <c r="F8015">
        <v>150693318</v>
      </c>
      <c r="G8015">
        <v>150693374</v>
      </c>
      <c r="H8015">
        <v>150693305</v>
      </c>
      <c r="I8015">
        <v>150693314</v>
      </c>
    </row>
    <row r="8016" spans="1:9" x14ac:dyDescent="0.2">
      <c r="A8016" s="1" t="str">
        <f>"HORMAD2"</f>
        <v>HORMAD2</v>
      </c>
      <c r="B8016" t="s">
        <v>14</v>
      </c>
      <c r="C8016" t="s">
        <v>21</v>
      </c>
      <c r="D8016" t="s">
        <v>17</v>
      </c>
      <c r="E8016" t="s">
        <v>12</v>
      </c>
      <c r="F8016">
        <v>30476449</v>
      </c>
      <c r="G8016">
        <v>30476463</v>
      </c>
      <c r="H8016">
        <v>30476026</v>
      </c>
      <c r="I8016">
        <v>30476057</v>
      </c>
    </row>
    <row r="8017" spans="1:9" x14ac:dyDescent="0.2">
      <c r="A8017" s="1" t="str">
        <f>"HOXA1"</f>
        <v>HOXA1</v>
      </c>
      <c r="B8017" t="s">
        <v>14</v>
      </c>
      <c r="C8017" t="s">
        <v>33</v>
      </c>
      <c r="D8017" t="s">
        <v>11</v>
      </c>
      <c r="E8017" t="s">
        <v>12</v>
      </c>
      <c r="F8017">
        <v>27135591</v>
      </c>
      <c r="G8017">
        <v>27135658</v>
      </c>
      <c r="H8017">
        <v>27135568</v>
      </c>
      <c r="I8017">
        <v>27135590</v>
      </c>
    </row>
    <row r="8018" spans="1:9" x14ac:dyDescent="0.2">
      <c r="A8018" s="1" t="str">
        <f>"HOXA10"</f>
        <v>HOXA10</v>
      </c>
      <c r="B8018" t="s">
        <v>14</v>
      </c>
      <c r="C8018" t="s">
        <v>33</v>
      </c>
      <c r="D8018" t="s">
        <v>11</v>
      </c>
      <c r="E8018" t="s">
        <v>12</v>
      </c>
      <c r="F8018">
        <v>27213893</v>
      </c>
      <c r="G8018">
        <v>27213954</v>
      </c>
      <c r="H8018">
        <v>27213893</v>
      </c>
      <c r="I8018">
        <v>27213954</v>
      </c>
    </row>
    <row r="8019" spans="1:9" x14ac:dyDescent="0.2">
      <c r="A8019" s="1" t="str">
        <f>"HOXA11"</f>
        <v>HOXA11</v>
      </c>
      <c r="B8019" t="s">
        <v>14</v>
      </c>
      <c r="C8019" t="s">
        <v>33</v>
      </c>
      <c r="D8019" t="s">
        <v>11</v>
      </c>
      <c r="E8019" t="s">
        <v>12</v>
      </c>
      <c r="F8019">
        <v>27224842</v>
      </c>
      <c r="G8019">
        <v>27224872</v>
      </c>
      <c r="H8019">
        <v>27224795</v>
      </c>
      <c r="I8019">
        <v>27224840</v>
      </c>
    </row>
    <row r="8020" spans="1:9" x14ac:dyDescent="0.2">
      <c r="A8020" s="1" t="str">
        <f>"HOXA13"</f>
        <v>HOXA13</v>
      </c>
      <c r="B8020" t="s">
        <v>14</v>
      </c>
      <c r="C8020" t="s">
        <v>33</v>
      </c>
      <c r="D8020" t="s">
        <v>11</v>
      </c>
      <c r="E8020" t="s">
        <v>12</v>
      </c>
      <c r="F8020">
        <v>27239703</v>
      </c>
      <c r="G8020">
        <v>27239715</v>
      </c>
      <c r="H8020">
        <v>27239740</v>
      </c>
      <c r="I8020">
        <v>27239759</v>
      </c>
    </row>
    <row r="8021" spans="1:9" x14ac:dyDescent="0.2">
      <c r="A8021" s="1" t="str">
        <f>"HOXA2"</f>
        <v>HOXA2</v>
      </c>
      <c r="B8021" t="s">
        <v>14</v>
      </c>
      <c r="C8021" t="s">
        <v>33</v>
      </c>
      <c r="D8021" t="s">
        <v>11</v>
      </c>
      <c r="E8021" t="s">
        <v>12</v>
      </c>
      <c r="F8021">
        <v>27142290</v>
      </c>
      <c r="G8021">
        <v>27142310</v>
      </c>
      <c r="H8021">
        <v>27142290</v>
      </c>
      <c r="I8021">
        <v>27142310</v>
      </c>
    </row>
    <row r="8022" spans="1:9" x14ac:dyDescent="0.2">
      <c r="A8022" s="1" t="str">
        <f>"HOXA3"</f>
        <v>HOXA3</v>
      </c>
      <c r="B8022" t="s">
        <v>9</v>
      </c>
      <c r="C8022" t="s">
        <v>33</v>
      </c>
      <c r="D8022" t="s">
        <v>11</v>
      </c>
      <c r="E8022" t="s">
        <v>12</v>
      </c>
      <c r="F8022">
        <v>27192185</v>
      </c>
      <c r="G8022">
        <v>27192209</v>
      </c>
      <c r="H8022">
        <v>27192185</v>
      </c>
      <c r="I8022">
        <v>27192209</v>
      </c>
    </row>
    <row r="8023" spans="1:9" x14ac:dyDescent="0.2">
      <c r="A8023" s="1" t="str">
        <f>"HOXA3"</f>
        <v>HOXA3</v>
      </c>
      <c r="B8023" t="s">
        <v>13</v>
      </c>
      <c r="C8023" t="s">
        <v>33</v>
      </c>
      <c r="D8023" t="s">
        <v>11</v>
      </c>
      <c r="E8023" t="s">
        <v>12</v>
      </c>
      <c r="F8023">
        <v>27153454</v>
      </c>
      <c r="G8023">
        <v>27153469</v>
      </c>
      <c r="H8023">
        <v>27153454</v>
      </c>
      <c r="I8023">
        <v>27153469</v>
      </c>
    </row>
    <row r="8024" spans="1:9" x14ac:dyDescent="0.2">
      <c r="A8024" s="1" t="str">
        <f>"HOXA4"</f>
        <v>HOXA4</v>
      </c>
      <c r="B8024" t="s">
        <v>14</v>
      </c>
      <c r="C8024" t="s">
        <v>33</v>
      </c>
      <c r="D8024" t="s">
        <v>11</v>
      </c>
      <c r="E8024" t="s">
        <v>12</v>
      </c>
      <c r="F8024">
        <v>27170359</v>
      </c>
      <c r="G8024">
        <v>27170381</v>
      </c>
      <c r="H8024">
        <v>27169801</v>
      </c>
      <c r="I8024">
        <v>27169844</v>
      </c>
    </row>
    <row r="8025" spans="1:9" x14ac:dyDescent="0.2">
      <c r="A8025" s="1" t="str">
        <f>"HOXA5"</f>
        <v>HOXA5</v>
      </c>
      <c r="B8025" t="s">
        <v>14</v>
      </c>
      <c r="C8025" t="s">
        <v>33</v>
      </c>
      <c r="D8025" t="s">
        <v>11</v>
      </c>
      <c r="E8025" t="s">
        <v>12</v>
      </c>
      <c r="F8025">
        <v>27183291</v>
      </c>
      <c r="G8025">
        <v>27183324</v>
      </c>
      <c r="H8025">
        <v>27183263</v>
      </c>
      <c r="I8025">
        <v>27183284</v>
      </c>
    </row>
    <row r="8026" spans="1:9" x14ac:dyDescent="0.2">
      <c r="A8026" s="1" t="str">
        <f>"HOXA6"</f>
        <v>HOXA6</v>
      </c>
      <c r="B8026" t="s">
        <v>14</v>
      </c>
      <c r="C8026" t="s">
        <v>33</v>
      </c>
      <c r="D8026" t="s">
        <v>11</v>
      </c>
      <c r="E8026" t="s">
        <v>12</v>
      </c>
      <c r="F8026">
        <v>27190547</v>
      </c>
      <c r="G8026">
        <v>27190591</v>
      </c>
      <c r="H8026">
        <v>27190327</v>
      </c>
      <c r="I8026">
        <v>27190372</v>
      </c>
    </row>
    <row r="8027" spans="1:9" x14ac:dyDescent="0.2">
      <c r="A8027" s="1" t="str">
        <f>"HOXA7"</f>
        <v>HOXA7</v>
      </c>
      <c r="B8027" t="s">
        <v>14</v>
      </c>
      <c r="C8027" t="s">
        <v>33</v>
      </c>
      <c r="D8027" t="s">
        <v>11</v>
      </c>
      <c r="E8027" t="s">
        <v>12</v>
      </c>
      <c r="F8027">
        <v>27196267</v>
      </c>
      <c r="G8027">
        <v>27196311</v>
      </c>
      <c r="H8027">
        <v>27196217</v>
      </c>
      <c r="I8027">
        <v>27196246</v>
      </c>
    </row>
    <row r="8028" spans="1:9" x14ac:dyDescent="0.2">
      <c r="A8028" s="1" t="str">
        <f>"HOXA9"</f>
        <v>HOXA9</v>
      </c>
      <c r="B8028" t="s">
        <v>14</v>
      </c>
      <c r="C8028" t="s">
        <v>33</v>
      </c>
      <c r="D8028" t="s">
        <v>11</v>
      </c>
      <c r="E8028" t="s">
        <v>12</v>
      </c>
      <c r="F8028">
        <v>27205136</v>
      </c>
      <c r="G8028">
        <v>27205164</v>
      </c>
      <c r="H8028">
        <v>27205106</v>
      </c>
      <c r="I8028">
        <v>27205134</v>
      </c>
    </row>
    <row r="8029" spans="1:9" x14ac:dyDescent="0.2">
      <c r="A8029" s="1" t="str">
        <f>"HOXB1"</f>
        <v>HOXB1</v>
      </c>
      <c r="B8029" t="s">
        <v>14</v>
      </c>
      <c r="C8029" t="s">
        <v>28</v>
      </c>
      <c r="D8029" t="s">
        <v>11</v>
      </c>
      <c r="E8029" t="s">
        <v>12</v>
      </c>
      <c r="F8029">
        <v>46608354</v>
      </c>
      <c r="G8029">
        <v>46608385</v>
      </c>
      <c r="H8029">
        <v>46608405</v>
      </c>
      <c r="I8029">
        <v>46608407</v>
      </c>
    </row>
    <row r="8030" spans="1:9" x14ac:dyDescent="0.2">
      <c r="A8030" s="1" t="str">
        <f>"HOXB13"</f>
        <v>HOXB13</v>
      </c>
      <c r="B8030" t="s">
        <v>14</v>
      </c>
      <c r="C8030" t="s">
        <v>28</v>
      </c>
      <c r="D8030" t="s">
        <v>11</v>
      </c>
      <c r="E8030" t="s">
        <v>12</v>
      </c>
      <c r="F8030">
        <v>46806067</v>
      </c>
      <c r="G8030">
        <v>46806097</v>
      </c>
      <c r="H8030">
        <v>46806035</v>
      </c>
      <c r="I8030">
        <v>46806059</v>
      </c>
    </row>
    <row r="8031" spans="1:9" x14ac:dyDescent="0.2">
      <c r="A8031" s="1" t="str">
        <f>"HOXB2"</f>
        <v>HOXB2</v>
      </c>
      <c r="B8031" t="s">
        <v>14</v>
      </c>
      <c r="C8031" t="s">
        <v>28</v>
      </c>
      <c r="D8031" t="s">
        <v>11</v>
      </c>
      <c r="E8031" t="s">
        <v>12</v>
      </c>
      <c r="F8031">
        <v>46622070</v>
      </c>
      <c r="G8031">
        <v>46622109</v>
      </c>
      <c r="H8031">
        <v>46621937</v>
      </c>
      <c r="I8031">
        <v>46621966</v>
      </c>
    </row>
    <row r="8032" spans="1:9" x14ac:dyDescent="0.2">
      <c r="A8032" s="1" t="str">
        <f>"HOXB3"</f>
        <v>HOXB3</v>
      </c>
      <c r="B8032" t="s">
        <v>14</v>
      </c>
      <c r="C8032" t="s">
        <v>28</v>
      </c>
      <c r="D8032" t="s">
        <v>11</v>
      </c>
      <c r="E8032" t="s">
        <v>12</v>
      </c>
      <c r="F8032">
        <v>46667594</v>
      </c>
      <c r="G8032">
        <v>46667619</v>
      </c>
      <c r="H8032">
        <v>46667628</v>
      </c>
      <c r="I8032">
        <v>46667642</v>
      </c>
    </row>
    <row r="8033" spans="1:9" x14ac:dyDescent="0.2">
      <c r="A8033" s="1" t="str">
        <f>"HOXB4"</f>
        <v>HOXB4</v>
      </c>
      <c r="B8033" t="s">
        <v>14</v>
      </c>
      <c r="C8033" t="s">
        <v>28</v>
      </c>
      <c r="D8033" t="s">
        <v>11</v>
      </c>
      <c r="E8033" t="s">
        <v>12</v>
      </c>
      <c r="F8033">
        <v>46655730</v>
      </c>
      <c r="G8033">
        <v>46655791</v>
      </c>
      <c r="H8033">
        <v>46655704</v>
      </c>
      <c r="I8033">
        <v>46655718</v>
      </c>
    </row>
    <row r="8034" spans="1:9" x14ac:dyDescent="0.2">
      <c r="A8034" s="1" t="str">
        <f>"HOXB5"</f>
        <v>HOXB5</v>
      </c>
      <c r="B8034" t="s">
        <v>14</v>
      </c>
      <c r="C8034" t="s">
        <v>28</v>
      </c>
      <c r="D8034" t="s">
        <v>11</v>
      </c>
      <c r="E8034" t="s">
        <v>12</v>
      </c>
      <c r="F8034">
        <v>46671108</v>
      </c>
      <c r="G8034">
        <v>46671147</v>
      </c>
      <c r="H8034">
        <v>46671108</v>
      </c>
      <c r="I8034">
        <v>46671147</v>
      </c>
    </row>
    <row r="8035" spans="1:9" x14ac:dyDescent="0.2">
      <c r="A8035" s="1" t="str">
        <f>"HOXB6"</f>
        <v>HOXB6</v>
      </c>
      <c r="B8035" t="s">
        <v>9</v>
      </c>
      <c r="C8035" t="s">
        <v>28</v>
      </c>
      <c r="D8035" t="s">
        <v>11</v>
      </c>
      <c r="E8035" t="s">
        <v>12</v>
      </c>
      <c r="F8035">
        <v>46682321</v>
      </c>
      <c r="G8035">
        <v>46682362</v>
      </c>
      <c r="H8035">
        <v>46682321</v>
      </c>
      <c r="I8035">
        <v>46682362</v>
      </c>
    </row>
    <row r="8036" spans="1:9" x14ac:dyDescent="0.2">
      <c r="A8036" s="1" t="str">
        <f>"HOXB6"</f>
        <v>HOXB6</v>
      </c>
      <c r="B8036" t="s">
        <v>13</v>
      </c>
      <c r="C8036" t="s">
        <v>28</v>
      </c>
      <c r="D8036" t="s">
        <v>11</v>
      </c>
      <c r="E8036" t="s">
        <v>12</v>
      </c>
      <c r="F8036">
        <v>46675558</v>
      </c>
      <c r="G8036">
        <v>46675577</v>
      </c>
      <c r="H8036">
        <v>46675558</v>
      </c>
      <c r="I8036">
        <v>46675577</v>
      </c>
    </row>
    <row r="8037" spans="1:9" x14ac:dyDescent="0.2">
      <c r="A8037" s="1" t="str">
        <f>"HOXB7"</f>
        <v>HOXB7</v>
      </c>
      <c r="B8037" t="s">
        <v>14</v>
      </c>
      <c r="C8037" t="s">
        <v>28</v>
      </c>
      <c r="D8037" t="s">
        <v>11</v>
      </c>
      <c r="E8037" t="s">
        <v>12</v>
      </c>
      <c r="F8037">
        <v>46688334</v>
      </c>
      <c r="G8037">
        <v>46688385</v>
      </c>
      <c r="H8037">
        <v>46687959</v>
      </c>
      <c r="I8037">
        <v>46688007</v>
      </c>
    </row>
    <row r="8038" spans="1:9" x14ac:dyDescent="0.2">
      <c r="A8038" s="1" t="str">
        <f>"HOXB8"</f>
        <v>HOXB8</v>
      </c>
      <c r="B8038" t="s">
        <v>9</v>
      </c>
      <c r="C8038" t="s">
        <v>28</v>
      </c>
      <c r="D8038" t="s">
        <v>11</v>
      </c>
      <c r="E8038" t="s">
        <v>12</v>
      </c>
      <c r="F8038">
        <v>46690839</v>
      </c>
      <c r="G8038">
        <v>46690884</v>
      </c>
      <c r="H8038">
        <v>46690839</v>
      </c>
      <c r="I8038">
        <v>46690884</v>
      </c>
    </row>
    <row r="8039" spans="1:9" x14ac:dyDescent="0.2">
      <c r="A8039" s="1" t="str">
        <f>"HOXB8"</f>
        <v>HOXB8</v>
      </c>
      <c r="B8039" t="s">
        <v>13</v>
      </c>
      <c r="C8039" t="s">
        <v>28</v>
      </c>
      <c r="D8039" t="s">
        <v>11</v>
      </c>
      <c r="E8039" t="s">
        <v>12</v>
      </c>
      <c r="F8039">
        <v>46692457</v>
      </c>
      <c r="G8039">
        <v>46692484</v>
      </c>
      <c r="H8039">
        <v>46692457</v>
      </c>
      <c r="I8039">
        <v>46692484</v>
      </c>
    </row>
    <row r="8040" spans="1:9" x14ac:dyDescent="0.2">
      <c r="A8040" s="1" t="str">
        <f>"HOXB9"</f>
        <v>HOXB9</v>
      </c>
      <c r="B8040" t="s">
        <v>14</v>
      </c>
      <c r="C8040" t="s">
        <v>28</v>
      </c>
      <c r="D8040" t="s">
        <v>11</v>
      </c>
      <c r="E8040" t="s">
        <v>12</v>
      </c>
      <c r="F8040">
        <v>46703687</v>
      </c>
      <c r="G8040">
        <v>46703740</v>
      </c>
      <c r="H8040">
        <v>46703687</v>
      </c>
      <c r="I8040">
        <v>46703740</v>
      </c>
    </row>
    <row r="8041" spans="1:9" x14ac:dyDescent="0.2">
      <c r="A8041" s="1" t="str">
        <f>"HOXC10"</f>
        <v>HOXC10</v>
      </c>
      <c r="B8041" t="s">
        <v>14</v>
      </c>
      <c r="C8041" t="s">
        <v>16</v>
      </c>
      <c r="D8041" t="s">
        <v>17</v>
      </c>
      <c r="E8041" t="s">
        <v>12</v>
      </c>
      <c r="F8041">
        <v>54378923</v>
      </c>
      <c r="G8041">
        <v>54378966</v>
      </c>
      <c r="H8041">
        <v>54379029</v>
      </c>
      <c r="I8041">
        <v>54379057</v>
      </c>
    </row>
    <row r="8042" spans="1:9" x14ac:dyDescent="0.2">
      <c r="A8042" s="1" t="str">
        <f>"HOXC11"</f>
        <v>HOXC11</v>
      </c>
      <c r="B8042" t="s">
        <v>14</v>
      </c>
      <c r="C8042" t="s">
        <v>16</v>
      </c>
      <c r="D8042" t="s">
        <v>17</v>
      </c>
      <c r="E8042" t="s">
        <v>12</v>
      </c>
      <c r="F8042">
        <v>54366975</v>
      </c>
      <c r="G8042">
        <v>54367001</v>
      </c>
      <c r="H8042">
        <v>54366894</v>
      </c>
      <c r="I8042">
        <v>54366922</v>
      </c>
    </row>
    <row r="8043" spans="1:9" x14ac:dyDescent="0.2">
      <c r="A8043" s="1" t="str">
        <f>"HOXC12"</f>
        <v>HOXC12</v>
      </c>
      <c r="B8043" t="s">
        <v>14</v>
      </c>
      <c r="C8043" t="s">
        <v>16</v>
      </c>
      <c r="D8043" t="s">
        <v>17</v>
      </c>
      <c r="E8043" t="s">
        <v>12</v>
      </c>
      <c r="F8043">
        <v>54348655</v>
      </c>
      <c r="G8043">
        <v>54348693</v>
      </c>
      <c r="H8043">
        <v>54348702</v>
      </c>
      <c r="I8043">
        <v>54348715</v>
      </c>
    </row>
    <row r="8044" spans="1:9" x14ac:dyDescent="0.2">
      <c r="A8044" s="1" t="str">
        <f>"HOXC13"</f>
        <v>HOXC13</v>
      </c>
      <c r="B8044" t="s">
        <v>14</v>
      </c>
      <c r="C8044" t="s">
        <v>16</v>
      </c>
      <c r="D8044" t="s">
        <v>17</v>
      </c>
      <c r="E8044" t="s">
        <v>12</v>
      </c>
      <c r="F8044">
        <v>54332608</v>
      </c>
      <c r="G8044">
        <v>54332636</v>
      </c>
      <c r="H8044">
        <v>54332652</v>
      </c>
      <c r="I8044">
        <v>54332671</v>
      </c>
    </row>
    <row r="8045" spans="1:9" x14ac:dyDescent="0.2">
      <c r="A8045" s="1" t="str">
        <f>"HOXC4"</f>
        <v>HOXC4</v>
      </c>
      <c r="B8045" t="s">
        <v>624</v>
      </c>
      <c r="C8045" t="s">
        <v>16</v>
      </c>
      <c r="D8045" t="s">
        <v>17</v>
      </c>
      <c r="E8045" t="s">
        <v>35</v>
      </c>
      <c r="F8045">
        <v>54447599</v>
      </c>
      <c r="G8045">
        <v>54447630</v>
      </c>
      <c r="H8045">
        <v>54447833</v>
      </c>
      <c r="I8045">
        <v>54447847</v>
      </c>
    </row>
    <row r="8046" spans="1:9" x14ac:dyDescent="0.2">
      <c r="A8046" s="1" t="str">
        <f>"HOXC5"</f>
        <v>HOXC5</v>
      </c>
      <c r="B8046" t="s">
        <v>14</v>
      </c>
      <c r="C8046" t="s">
        <v>16</v>
      </c>
      <c r="D8046" t="s">
        <v>17</v>
      </c>
      <c r="E8046" t="s">
        <v>12</v>
      </c>
      <c r="F8046">
        <v>54410664</v>
      </c>
      <c r="G8046">
        <v>54410684</v>
      </c>
      <c r="H8046">
        <v>54410639</v>
      </c>
      <c r="I8046">
        <v>54410659</v>
      </c>
    </row>
    <row r="8047" spans="1:9" x14ac:dyDescent="0.2">
      <c r="A8047" s="1" t="str">
        <f>"HOXC6"</f>
        <v>HOXC6</v>
      </c>
      <c r="B8047" t="s">
        <v>14</v>
      </c>
      <c r="C8047" t="s">
        <v>16</v>
      </c>
      <c r="D8047" t="s">
        <v>17</v>
      </c>
      <c r="E8047" t="s">
        <v>12</v>
      </c>
      <c r="F8047">
        <v>54410664</v>
      </c>
      <c r="G8047">
        <v>54410684</v>
      </c>
      <c r="H8047">
        <v>54410639</v>
      </c>
      <c r="I8047">
        <v>54410659</v>
      </c>
    </row>
    <row r="8048" spans="1:9" x14ac:dyDescent="0.2">
      <c r="A8048" s="1" t="str">
        <f>"HOXC8"</f>
        <v>HOXC8</v>
      </c>
      <c r="B8048" t="s">
        <v>14</v>
      </c>
      <c r="C8048" t="s">
        <v>16</v>
      </c>
      <c r="D8048" t="s">
        <v>17</v>
      </c>
      <c r="E8048" t="s">
        <v>12</v>
      </c>
      <c r="F8048">
        <v>54402745</v>
      </c>
      <c r="G8048">
        <v>54402788</v>
      </c>
      <c r="H8048">
        <v>54402790</v>
      </c>
      <c r="I8048">
        <v>54402805</v>
      </c>
    </row>
    <row r="8049" spans="1:9" x14ac:dyDescent="0.2">
      <c r="A8049" s="1" t="str">
        <f>"HOXC9"</f>
        <v>HOXC9</v>
      </c>
      <c r="B8049" t="s">
        <v>14</v>
      </c>
      <c r="C8049" t="s">
        <v>16</v>
      </c>
      <c r="D8049" t="s">
        <v>17</v>
      </c>
      <c r="E8049" t="s">
        <v>12</v>
      </c>
      <c r="F8049">
        <v>54393880</v>
      </c>
      <c r="G8049">
        <v>54393962</v>
      </c>
      <c r="H8049">
        <v>54393880</v>
      </c>
      <c r="I8049">
        <v>54393962</v>
      </c>
    </row>
    <row r="8050" spans="1:9" x14ac:dyDescent="0.2">
      <c r="A8050" s="1" t="str">
        <f>"HOXD1"</f>
        <v>HOXD1</v>
      </c>
      <c r="B8050" t="s">
        <v>14</v>
      </c>
      <c r="C8050" t="s">
        <v>26</v>
      </c>
      <c r="D8050" t="s">
        <v>17</v>
      </c>
      <c r="E8050" t="s">
        <v>12</v>
      </c>
      <c r="F8050">
        <v>177053386</v>
      </c>
      <c r="G8050">
        <v>177053402</v>
      </c>
      <c r="H8050">
        <v>177053386</v>
      </c>
      <c r="I8050">
        <v>177053402</v>
      </c>
    </row>
    <row r="8051" spans="1:9" x14ac:dyDescent="0.2">
      <c r="A8051" s="1" t="str">
        <f>"HOXD10"</f>
        <v>HOXD10</v>
      </c>
      <c r="B8051" t="s">
        <v>9</v>
      </c>
      <c r="C8051" t="s">
        <v>26</v>
      </c>
      <c r="D8051" t="s">
        <v>17</v>
      </c>
      <c r="E8051" t="s">
        <v>12</v>
      </c>
      <c r="F8051">
        <v>176973498</v>
      </c>
      <c r="G8051">
        <v>176973524</v>
      </c>
      <c r="H8051">
        <v>176973498</v>
      </c>
      <c r="I8051">
        <v>176973524</v>
      </c>
    </row>
    <row r="8052" spans="1:9" x14ac:dyDescent="0.2">
      <c r="A8052" s="1" t="str">
        <f>"HOXD10"</f>
        <v>HOXD10</v>
      </c>
      <c r="B8052" t="s">
        <v>13</v>
      </c>
      <c r="C8052" t="s">
        <v>26</v>
      </c>
      <c r="D8052" t="s">
        <v>17</v>
      </c>
      <c r="E8052" t="s">
        <v>12</v>
      </c>
      <c r="F8052">
        <v>176981499</v>
      </c>
      <c r="G8052">
        <v>176981522</v>
      </c>
      <c r="H8052">
        <v>176981499</v>
      </c>
      <c r="I8052">
        <v>176981522</v>
      </c>
    </row>
    <row r="8053" spans="1:9" x14ac:dyDescent="0.2">
      <c r="A8053" s="1" t="str">
        <f>"HOXD11"</f>
        <v>HOXD11</v>
      </c>
      <c r="B8053" t="s">
        <v>14</v>
      </c>
      <c r="C8053" t="s">
        <v>26</v>
      </c>
      <c r="D8053" t="s">
        <v>17</v>
      </c>
      <c r="E8053" t="s">
        <v>12</v>
      </c>
      <c r="F8053">
        <v>176969228</v>
      </c>
      <c r="G8053">
        <v>176969260</v>
      </c>
      <c r="H8053">
        <v>176969179</v>
      </c>
      <c r="I8053">
        <v>176969226</v>
      </c>
    </row>
    <row r="8054" spans="1:9" x14ac:dyDescent="0.2">
      <c r="A8054" s="1" t="str">
        <f>"HOXD12"</f>
        <v>HOXD12</v>
      </c>
      <c r="B8054" t="s">
        <v>14</v>
      </c>
      <c r="C8054" t="s">
        <v>26</v>
      </c>
      <c r="D8054" t="s">
        <v>17</v>
      </c>
      <c r="E8054" t="s">
        <v>12</v>
      </c>
      <c r="F8054">
        <v>176964515</v>
      </c>
      <c r="G8054">
        <v>176964540</v>
      </c>
      <c r="H8054">
        <v>176964727</v>
      </c>
      <c r="I8054">
        <v>176964728</v>
      </c>
    </row>
    <row r="8055" spans="1:9" x14ac:dyDescent="0.2">
      <c r="A8055" s="1" t="str">
        <f>"HOXD13"</f>
        <v>HOXD13</v>
      </c>
      <c r="B8055" t="s">
        <v>14</v>
      </c>
      <c r="C8055" t="s">
        <v>26</v>
      </c>
      <c r="D8055" t="s">
        <v>17</v>
      </c>
      <c r="E8055" t="s">
        <v>12</v>
      </c>
      <c r="F8055">
        <v>176957443</v>
      </c>
      <c r="G8055">
        <v>176957457</v>
      </c>
      <c r="H8055">
        <v>176957417</v>
      </c>
      <c r="I8055">
        <v>176957431</v>
      </c>
    </row>
    <row r="8056" spans="1:9" x14ac:dyDescent="0.2">
      <c r="A8056" s="1" t="str">
        <f>"HOXD3"</f>
        <v>HOXD3</v>
      </c>
      <c r="B8056" t="s">
        <v>14</v>
      </c>
      <c r="C8056" t="s">
        <v>26</v>
      </c>
      <c r="D8056" t="s">
        <v>17</v>
      </c>
      <c r="E8056" t="s">
        <v>12</v>
      </c>
      <c r="F8056">
        <v>177001290</v>
      </c>
      <c r="G8056">
        <v>177001315</v>
      </c>
      <c r="H8056">
        <v>177001336</v>
      </c>
      <c r="I8056">
        <v>177001357</v>
      </c>
    </row>
    <row r="8057" spans="1:9" x14ac:dyDescent="0.2">
      <c r="A8057" s="1" t="str">
        <f>"HOXD4"</f>
        <v>HOXD4</v>
      </c>
      <c r="B8057" t="s">
        <v>14</v>
      </c>
      <c r="C8057" t="s">
        <v>26</v>
      </c>
      <c r="D8057" t="s">
        <v>17</v>
      </c>
      <c r="E8057" t="s">
        <v>12</v>
      </c>
      <c r="F8057">
        <v>177016336</v>
      </c>
      <c r="G8057">
        <v>177016350</v>
      </c>
      <c r="H8057">
        <v>177016336</v>
      </c>
      <c r="I8057">
        <v>177016350</v>
      </c>
    </row>
    <row r="8058" spans="1:9" x14ac:dyDescent="0.2">
      <c r="A8058" s="1" t="str">
        <f>"HOXD8"</f>
        <v>HOXD8</v>
      </c>
      <c r="B8058" t="s">
        <v>14</v>
      </c>
      <c r="C8058" t="s">
        <v>26</v>
      </c>
      <c r="D8058" t="s">
        <v>17</v>
      </c>
      <c r="E8058" t="s">
        <v>12</v>
      </c>
      <c r="F8058">
        <v>176994408</v>
      </c>
      <c r="G8058">
        <v>176994492</v>
      </c>
      <c r="H8058">
        <v>176994919</v>
      </c>
      <c r="I8058">
        <v>176994931</v>
      </c>
    </row>
    <row r="8059" spans="1:9" x14ac:dyDescent="0.2">
      <c r="A8059" s="1" t="str">
        <f>"HOXD9"</f>
        <v>HOXD9</v>
      </c>
      <c r="B8059" t="s">
        <v>14</v>
      </c>
      <c r="C8059" t="s">
        <v>26</v>
      </c>
      <c r="D8059" t="s">
        <v>17</v>
      </c>
      <c r="E8059" t="s">
        <v>12</v>
      </c>
      <c r="F8059">
        <v>176987441</v>
      </c>
      <c r="G8059">
        <v>176987454</v>
      </c>
      <c r="H8059">
        <v>176987463</v>
      </c>
      <c r="I8059">
        <v>176987479</v>
      </c>
    </row>
    <row r="8060" spans="1:9" x14ac:dyDescent="0.2">
      <c r="A8060" s="1" t="str">
        <f>"HP"</f>
        <v>HP</v>
      </c>
      <c r="B8060" t="s">
        <v>14</v>
      </c>
      <c r="C8060" t="s">
        <v>31</v>
      </c>
      <c r="D8060" t="s">
        <v>17</v>
      </c>
      <c r="E8060" t="s">
        <v>12</v>
      </c>
      <c r="F8060">
        <v>72090064</v>
      </c>
      <c r="G8060">
        <v>72090086</v>
      </c>
      <c r="H8060">
        <v>72090088</v>
      </c>
      <c r="I8060">
        <v>72090102</v>
      </c>
    </row>
    <row r="8061" spans="1:9" x14ac:dyDescent="0.2">
      <c r="A8061" s="1" t="str">
        <f>"HP1BP3"</f>
        <v>HP1BP3</v>
      </c>
      <c r="B8061" t="s">
        <v>14</v>
      </c>
      <c r="C8061" t="s">
        <v>19</v>
      </c>
      <c r="D8061" t="s">
        <v>11</v>
      </c>
      <c r="E8061" t="s">
        <v>12</v>
      </c>
      <c r="F8061">
        <v>21113780</v>
      </c>
      <c r="G8061">
        <v>21113821</v>
      </c>
      <c r="H8061">
        <v>21113105</v>
      </c>
      <c r="I8061">
        <v>21113186</v>
      </c>
    </row>
    <row r="8062" spans="1:9" x14ac:dyDescent="0.2">
      <c r="A8062" s="1" t="str">
        <f>"HPCA"</f>
        <v>HPCA</v>
      </c>
      <c r="B8062" t="s">
        <v>14</v>
      </c>
      <c r="C8062" t="s">
        <v>19</v>
      </c>
      <c r="D8062" t="s">
        <v>17</v>
      </c>
      <c r="E8062" t="s">
        <v>12</v>
      </c>
      <c r="F8062">
        <v>33352057</v>
      </c>
      <c r="G8062">
        <v>33352103</v>
      </c>
      <c r="H8062">
        <v>33352036</v>
      </c>
      <c r="I8062">
        <v>33352054</v>
      </c>
    </row>
    <row r="8063" spans="1:9" x14ac:dyDescent="0.2">
      <c r="A8063" s="1" t="str">
        <f>"HPCAL1"</f>
        <v>HPCAL1</v>
      </c>
      <c r="B8063" t="s">
        <v>14</v>
      </c>
      <c r="C8063" t="s">
        <v>26</v>
      </c>
      <c r="D8063" t="s">
        <v>17</v>
      </c>
      <c r="E8063" t="s">
        <v>12</v>
      </c>
      <c r="F8063">
        <v>10442993</v>
      </c>
      <c r="G8063">
        <v>10443051</v>
      </c>
      <c r="H8063">
        <v>10443105</v>
      </c>
      <c r="I8063">
        <v>10443124</v>
      </c>
    </row>
    <row r="8064" spans="1:9" x14ac:dyDescent="0.2">
      <c r="A8064" s="1" t="str">
        <f>"HPCAL4"</f>
        <v>HPCAL4</v>
      </c>
      <c r="B8064" t="s">
        <v>14</v>
      </c>
      <c r="C8064" t="s">
        <v>19</v>
      </c>
      <c r="D8064" t="s">
        <v>11</v>
      </c>
      <c r="E8064" t="s">
        <v>12</v>
      </c>
      <c r="F8064">
        <v>40157064</v>
      </c>
      <c r="G8064">
        <v>40157116</v>
      </c>
      <c r="H8064">
        <v>40157119</v>
      </c>
      <c r="I8064">
        <v>40157130</v>
      </c>
    </row>
    <row r="8065" spans="1:9" x14ac:dyDescent="0.2">
      <c r="A8065" s="1" t="str">
        <f>"HPD"</f>
        <v>HPD</v>
      </c>
      <c r="B8065" t="s">
        <v>14</v>
      </c>
      <c r="C8065" t="s">
        <v>16</v>
      </c>
      <c r="D8065" t="s">
        <v>11</v>
      </c>
      <c r="E8065" t="s">
        <v>12</v>
      </c>
      <c r="F8065">
        <v>122296755</v>
      </c>
      <c r="G8065">
        <v>122296770</v>
      </c>
      <c r="H8065">
        <v>122296755</v>
      </c>
      <c r="I8065">
        <v>122296770</v>
      </c>
    </row>
    <row r="8066" spans="1:9" x14ac:dyDescent="0.2">
      <c r="A8066" s="1" t="str">
        <f>"HPDL"</f>
        <v>HPDL</v>
      </c>
      <c r="B8066" t="s">
        <v>14</v>
      </c>
      <c r="C8066" t="s">
        <v>19</v>
      </c>
      <c r="D8066" t="s">
        <v>17</v>
      </c>
      <c r="E8066" t="s">
        <v>12</v>
      </c>
      <c r="F8066">
        <v>45792558</v>
      </c>
      <c r="G8066">
        <v>45792579</v>
      </c>
      <c r="H8066">
        <v>45792519</v>
      </c>
      <c r="I8066">
        <v>45792537</v>
      </c>
    </row>
    <row r="8067" spans="1:9" x14ac:dyDescent="0.2">
      <c r="A8067" s="1" t="str">
        <f>"HPGD"</f>
        <v>HPGD</v>
      </c>
      <c r="B8067" t="s">
        <v>14</v>
      </c>
      <c r="C8067" t="s">
        <v>23</v>
      </c>
      <c r="D8067" t="s">
        <v>11</v>
      </c>
      <c r="E8067" t="s">
        <v>12</v>
      </c>
      <c r="F8067">
        <v>175443630</v>
      </c>
      <c r="G8067">
        <v>175443646</v>
      </c>
      <c r="H8067">
        <v>175443788</v>
      </c>
      <c r="I8067">
        <v>175443795</v>
      </c>
    </row>
    <row r="8068" spans="1:9" x14ac:dyDescent="0.2">
      <c r="A8068" s="1" t="str">
        <f>"HPGDS"</f>
        <v>HPGDS</v>
      </c>
      <c r="B8068" t="s">
        <v>14</v>
      </c>
      <c r="C8068" t="s">
        <v>23</v>
      </c>
      <c r="D8068" t="s">
        <v>11</v>
      </c>
      <c r="E8068" t="s">
        <v>12</v>
      </c>
      <c r="F8068">
        <v>95263977</v>
      </c>
      <c r="G8068">
        <v>95264006</v>
      </c>
      <c r="H8068">
        <v>95264008</v>
      </c>
      <c r="I8068">
        <v>95264035</v>
      </c>
    </row>
    <row r="8069" spans="1:9" x14ac:dyDescent="0.2">
      <c r="A8069" s="1" t="str">
        <f>"HPN"</f>
        <v>HPN</v>
      </c>
      <c r="B8069" t="s">
        <v>9</v>
      </c>
      <c r="C8069" t="s">
        <v>10</v>
      </c>
      <c r="D8069" t="s">
        <v>17</v>
      </c>
      <c r="E8069" t="s">
        <v>12</v>
      </c>
      <c r="F8069">
        <v>35532612</v>
      </c>
      <c r="G8069">
        <v>35532676</v>
      </c>
      <c r="H8069">
        <v>35532612</v>
      </c>
      <c r="I8069">
        <v>35532676</v>
      </c>
    </row>
    <row r="8070" spans="1:9" x14ac:dyDescent="0.2">
      <c r="A8070" s="1" t="str">
        <f>"HPN"</f>
        <v>HPN</v>
      </c>
      <c r="B8070" t="s">
        <v>13</v>
      </c>
      <c r="C8070" t="s">
        <v>10</v>
      </c>
      <c r="D8070" t="s">
        <v>17</v>
      </c>
      <c r="E8070" t="s">
        <v>12</v>
      </c>
      <c r="F8070">
        <v>35540162</v>
      </c>
      <c r="G8070">
        <v>35540184</v>
      </c>
      <c r="H8070">
        <v>35540162</v>
      </c>
      <c r="I8070">
        <v>35540184</v>
      </c>
    </row>
    <row r="8071" spans="1:9" x14ac:dyDescent="0.2">
      <c r="A8071" s="1" t="str">
        <f>"HPR"</f>
        <v>HPR</v>
      </c>
      <c r="B8071" t="s">
        <v>14</v>
      </c>
      <c r="C8071" t="s">
        <v>31</v>
      </c>
      <c r="D8071" t="s">
        <v>17</v>
      </c>
      <c r="E8071" t="s">
        <v>12</v>
      </c>
      <c r="F8071">
        <v>72088376</v>
      </c>
      <c r="G8071">
        <v>72088407</v>
      </c>
      <c r="H8071">
        <v>72088376</v>
      </c>
      <c r="I8071">
        <v>72088407</v>
      </c>
    </row>
    <row r="8072" spans="1:9" x14ac:dyDescent="0.2">
      <c r="A8072" s="1" t="str">
        <f>"HPRT1"</f>
        <v>HPRT1</v>
      </c>
      <c r="B8072" t="s">
        <v>14</v>
      </c>
      <c r="C8072" t="s">
        <v>37</v>
      </c>
      <c r="D8072" t="s">
        <v>17</v>
      </c>
      <c r="E8072" t="s">
        <v>12</v>
      </c>
      <c r="F8072">
        <v>133594277</v>
      </c>
      <c r="G8072">
        <v>133594322</v>
      </c>
      <c r="H8072">
        <v>133594215</v>
      </c>
      <c r="I8072">
        <v>133594247</v>
      </c>
    </row>
    <row r="8073" spans="1:9" x14ac:dyDescent="0.2">
      <c r="A8073" s="1" t="str">
        <f>"HPS1"</f>
        <v>HPS1</v>
      </c>
      <c r="B8073" t="s">
        <v>14</v>
      </c>
      <c r="C8073" t="s">
        <v>15</v>
      </c>
      <c r="D8073" t="s">
        <v>11</v>
      </c>
      <c r="E8073" t="s">
        <v>12</v>
      </c>
      <c r="F8073">
        <v>100206642</v>
      </c>
      <c r="G8073">
        <v>100206717</v>
      </c>
      <c r="H8073">
        <v>100206642</v>
      </c>
      <c r="I8073">
        <v>100206717</v>
      </c>
    </row>
    <row r="8074" spans="1:9" x14ac:dyDescent="0.2">
      <c r="A8074" s="1" t="str">
        <f>"HPS3"</f>
        <v>HPS3</v>
      </c>
      <c r="B8074" t="s">
        <v>14</v>
      </c>
      <c r="C8074" t="s">
        <v>22</v>
      </c>
      <c r="D8074" t="s">
        <v>17</v>
      </c>
      <c r="E8074" t="s">
        <v>12</v>
      </c>
      <c r="F8074">
        <v>148847397</v>
      </c>
      <c r="G8074">
        <v>148847495</v>
      </c>
      <c r="H8074">
        <v>148847518</v>
      </c>
      <c r="I8074">
        <v>148847525</v>
      </c>
    </row>
    <row r="8075" spans="1:9" x14ac:dyDescent="0.2">
      <c r="A8075" s="1" t="str">
        <f>"HPS4"</f>
        <v>HPS4</v>
      </c>
      <c r="B8075" t="s">
        <v>14</v>
      </c>
      <c r="C8075" t="s">
        <v>21</v>
      </c>
      <c r="D8075" t="s">
        <v>11</v>
      </c>
      <c r="E8075" t="s">
        <v>12</v>
      </c>
      <c r="F8075">
        <v>26879734</v>
      </c>
      <c r="G8075">
        <v>26879784</v>
      </c>
      <c r="H8075">
        <v>26879803</v>
      </c>
      <c r="I8075">
        <v>26879834</v>
      </c>
    </row>
    <row r="8076" spans="1:9" x14ac:dyDescent="0.2">
      <c r="A8076" s="1" t="str">
        <f>"HPS5"</f>
        <v>HPS5</v>
      </c>
      <c r="B8076" t="s">
        <v>14</v>
      </c>
      <c r="C8076" t="s">
        <v>27</v>
      </c>
      <c r="D8076" t="s">
        <v>11</v>
      </c>
      <c r="E8076" t="s">
        <v>12</v>
      </c>
      <c r="F8076">
        <v>18343669</v>
      </c>
      <c r="G8076">
        <v>18343721</v>
      </c>
      <c r="H8076">
        <v>18343725</v>
      </c>
      <c r="I8076">
        <v>18343770</v>
      </c>
    </row>
    <row r="8077" spans="1:9" x14ac:dyDescent="0.2">
      <c r="A8077" s="1" t="str">
        <f>"HPS6"</f>
        <v>HPS6</v>
      </c>
      <c r="B8077" t="s">
        <v>14</v>
      </c>
      <c r="C8077" t="s">
        <v>15</v>
      </c>
      <c r="D8077" t="s">
        <v>17</v>
      </c>
      <c r="E8077" t="s">
        <v>12</v>
      </c>
      <c r="F8077">
        <v>103825080</v>
      </c>
      <c r="G8077">
        <v>103825188</v>
      </c>
      <c r="H8077">
        <v>103825190</v>
      </c>
      <c r="I8077">
        <v>103825233</v>
      </c>
    </row>
    <row r="8078" spans="1:9" x14ac:dyDescent="0.2">
      <c r="A8078" s="1" t="str">
        <f>"HPSE"</f>
        <v>HPSE</v>
      </c>
      <c r="B8078" t="s">
        <v>14</v>
      </c>
      <c r="C8078" t="s">
        <v>23</v>
      </c>
      <c r="D8078" t="s">
        <v>11</v>
      </c>
      <c r="E8078" t="s">
        <v>12</v>
      </c>
      <c r="F8078">
        <v>84255980</v>
      </c>
      <c r="G8078">
        <v>84256009</v>
      </c>
      <c r="H8078">
        <v>84256024</v>
      </c>
      <c r="I8078">
        <v>84256036</v>
      </c>
    </row>
    <row r="8079" spans="1:9" x14ac:dyDescent="0.2">
      <c r="A8079" s="1" t="str">
        <f>"HPSE2"</f>
        <v>HPSE2</v>
      </c>
      <c r="B8079" t="s">
        <v>14</v>
      </c>
      <c r="C8079" t="s">
        <v>15</v>
      </c>
      <c r="D8079" t="s">
        <v>11</v>
      </c>
      <c r="E8079" t="s">
        <v>12</v>
      </c>
      <c r="F8079">
        <v>100995440</v>
      </c>
      <c r="G8079">
        <v>100995474</v>
      </c>
      <c r="H8079">
        <v>100995603</v>
      </c>
      <c r="I8079">
        <v>100995614</v>
      </c>
    </row>
    <row r="8080" spans="1:9" x14ac:dyDescent="0.2">
      <c r="A8080" s="1" t="str">
        <f>"HPX"</f>
        <v>HPX</v>
      </c>
      <c r="B8080" t="s">
        <v>14</v>
      </c>
      <c r="C8080" t="s">
        <v>27</v>
      </c>
      <c r="D8080" t="s">
        <v>11</v>
      </c>
      <c r="E8080" t="s">
        <v>12</v>
      </c>
      <c r="F8080">
        <v>6462210</v>
      </c>
      <c r="G8080">
        <v>6462228</v>
      </c>
      <c r="H8080">
        <v>6462210</v>
      </c>
      <c r="I8080">
        <v>6462228</v>
      </c>
    </row>
    <row r="8081" spans="1:9" x14ac:dyDescent="0.2">
      <c r="A8081" s="1" t="str">
        <f>"HR"</f>
        <v>HR</v>
      </c>
      <c r="B8081" t="s">
        <v>9</v>
      </c>
      <c r="C8081" t="s">
        <v>30</v>
      </c>
      <c r="D8081" t="s">
        <v>11</v>
      </c>
      <c r="E8081" t="s">
        <v>12</v>
      </c>
      <c r="F8081">
        <v>21988516</v>
      </c>
      <c r="G8081">
        <v>21988534</v>
      </c>
      <c r="H8081">
        <v>21988516</v>
      </c>
      <c r="I8081">
        <v>21988534</v>
      </c>
    </row>
    <row r="8082" spans="1:9" x14ac:dyDescent="0.2">
      <c r="A8082" s="1" t="str">
        <f>"HR"</f>
        <v>HR</v>
      </c>
      <c r="B8082" t="s">
        <v>13</v>
      </c>
      <c r="C8082" t="s">
        <v>30</v>
      </c>
      <c r="D8082" t="s">
        <v>11</v>
      </c>
      <c r="E8082" t="s">
        <v>12</v>
      </c>
      <c r="F8082">
        <v>21990868</v>
      </c>
      <c r="G8082">
        <v>21990906</v>
      </c>
      <c r="H8082">
        <v>21990868</v>
      </c>
      <c r="I8082">
        <v>21990906</v>
      </c>
    </row>
    <row r="8083" spans="1:9" x14ac:dyDescent="0.2">
      <c r="A8083" s="1" t="str">
        <f>"HRAS"</f>
        <v>HRAS</v>
      </c>
      <c r="B8083" t="s">
        <v>9</v>
      </c>
      <c r="C8083" t="s">
        <v>27</v>
      </c>
      <c r="D8083" t="s">
        <v>11</v>
      </c>
      <c r="E8083" t="s">
        <v>12</v>
      </c>
      <c r="F8083">
        <v>535515</v>
      </c>
      <c r="G8083">
        <v>535592</v>
      </c>
      <c r="H8083">
        <v>535515</v>
      </c>
      <c r="I8083">
        <v>535592</v>
      </c>
    </row>
    <row r="8084" spans="1:9" x14ac:dyDescent="0.2">
      <c r="A8084" s="1" t="str">
        <f>"HRAS"</f>
        <v>HRAS</v>
      </c>
      <c r="B8084" t="s">
        <v>13</v>
      </c>
      <c r="C8084" t="s">
        <v>27</v>
      </c>
      <c r="D8084" t="s">
        <v>11</v>
      </c>
      <c r="E8084" t="s">
        <v>12</v>
      </c>
      <c r="F8084">
        <v>537248</v>
      </c>
      <c r="G8084">
        <v>537306</v>
      </c>
      <c r="H8084">
        <v>537248</v>
      </c>
      <c r="I8084">
        <v>537306</v>
      </c>
    </row>
    <row r="8085" spans="1:9" x14ac:dyDescent="0.2">
      <c r="A8085" s="1" t="str">
        <f>"HRASLS"</f>
        <v>HRASLS</v>
      </c>
      <c r="B8085" t="s">
        <v>14</v>
      </c>
      <c r="C8085" t="s">
        <v>22</v>
      </c>
      <c r="D8085" t="s">
        <v>17</v>
      </c>
      <c r="E8085" t="s">
        <v>12</v>
      </c>
      <c r="F8085">
        <v>192958981</v>
      </c>
      <c r="G8085">
        <v>192959062</v>
      </c>
      <c r="H8085">
        <v>192958850</v>
      </c>
      <c r="I8085">
        <v>192958877</v>
      </c>
    </row>
    <row r="8086" spans="1:9" x14ac:dyDescent="0.2">
      <c r="A8086" s="1" t="str">
        <f>"HRASLS2"</f>
        <v>HRASLS2</v>
      </c>
      <c r="B8086" t="s">
        <v>14</v>
      </c>
      <c r="C8086" t="s">
        <v>27</v>
      </c>
      <c r="D8086" t="s">
        <v>11</v>
      </c>
      <c r="E8086" t="s">
        <v>12</v>
      </c>
      <c r="F8086">
        <v>63330842</v>
      </c>
      <c r="G8086">
        <v>63330859</v>
      </c>
      <c r="H8086">
        <v>63330814</v>
      </c>
      <c r="I8086">
        <v>63330827</v>
      </c>
    </row>
    <row r="8087" spans="1:9" x14ac:dyDescent="0.2">
      <c r="A8087" s="1" t="str">
        <f>"HRASLS5"</f>
        <v>HRASLS5</v>
      </c>
      <c r="B8087" t="s">
        <v>14</v>
      </c>
      <c r="C8087" t="s">
        <v>27</v>
      </c>
      <c r="D8087" t="s">
        <v>11</v>
      </c>
      <c r="E8087" t="s">
        <v>12</v>
      </c>
      <c r="F8087">
        <v>63258393</v>
      </c>
      <c r="G8087">
        <v>63258459</v>
      </c>
      <c r="H8087">
        <v>63258601</v>
      </c>
      <c r="I8087">
        <v>63258671</v>
      </c>
    </row>
    <row r="8088" spans="1:9" x14ac:dyDescent="0.2">
      <c r="A8088" s="1" t="str">
        <f>"HRC"</f>
        <v>HRC</v>
      </c>
      <c r="B8088" t="s">
        <v>14</v>
      </c>
      <c r="C8088" t="s">
        <v>10</v>
      </c>
      <c r="D8088" t="s">
        <v>11</v>
      </c>
      <c r="E8088" t="s">
        <v>12</v>
      </c>
      <c r="F8088">
        <v>49658641</v>
      </c>
      <c r="G8088">
        <v>49658676</v>
      </c>
      <c r="H8088">
        <v>49658641</v>
      </c>
      <c r="I8088">
        <v>49658676</v>
      </c>
    </row>
    <row r="8089" spans="1:9" x14ac:dyDescent="0.2">
      <c r="A8089" s="1" t="str">
        <f>"HRCT1"</f>
        <v>HRCT1</v>
      </c>
      <c r="B8089" t="s">
        <v>14</v>
      </c>
      <c r="C8089" t="s">
        <v>24</v>
      </c>
      <c r="D8089" t="s">
        <v>17</v>
      </c>
      <c r="E8089" t="s">
        <v>12</v>
      </c>
      <c r="F8089">
        <v>35906176</v>
      </c>
      <c r="G8089">
        <v>35906225</v>
      </c>
      <c r="H8089">
        <v>35906227</v>
      </c>
      <c r="I8089">
        <v>35906248</v>
      </c>
    </row>
    <row r="8090" spans="1:9" x14ac:dyDescent="0.2">
      <c r="A8090" s="1" t="str">
        <f>"HRG"</f>
        <v>HRG</v>
      </c>
      <c r="B8090" t="s">
        <v>9</v>
      </c>
      <c r="C8090" t="s">
        <v>22</v>
      </c>
      <c r="D8090" t="s">
        <v>17</v>
      </c>
      <c r="E8090" t="s">
        <v>12</v>
      </c>
      <c r="F8090">
        <v>186383792</v>
      </c>
      <c r="G8090">
        <v>186383809</v>
      </c>
      <c r="H8090">
        <v>186383792</v>
      </c>
      <c r="I8090">
        <v>186383809</v>
      </c>
    </row>
    <row r="8091" spans="1:9" x14ac:dyDescent="0.2">
      <c r="A8091" s="1" t="str">
        <f>"HRG"</f>
        <v>HRG</v>
      </c>
      <c r="B8091" t="s">
        <v>13</v>
      </c>
      <c r="C8091" t="s">
        <v>22</v>
      </c>
      <c r="D8091" t="s">
        <v>17</v>
      </c>
      <c r="E8091" t="s">
        <v>12</v>
      </c>
      <c r="F8091">
        <v>186386778</v>
      </c>
      <c r="G8091">
        <v>186386800</v>
      </c>
      <c r="H8091">
        <v>186386778</v>
      </c>
      <c r="I8091">
        <v>186386800</v>
      </c>
    </row>
    <row r="8092" spans="1:9" x14ac:dyDescent="0.2">
      <c r="A8092" s="1" t="str">
        <f>"HRH1"</f>
        <v>HRH1</v>
      </c>
      <c r="B8092" t="s">
        <v>9</v>
      </c>
      <c r="C8092" t="s">
        <v>22</v>
      </c>
      <c r="D8092" t="s">
        <v>17</v>
      </c>
      <c r="E8092" t="s">
        <v>12</v>
      </c>
      <c r="F8092">
        <v>11196170</v>
      </c>
      <c r="G8092">
        <v>11196193</v>
      </c>
      <c r="H8092">
        <v>11196170</v>
      </c>
      <c r="I8092">
        <v>11196193</v>
      </c>
    </row>
    <row r="8093" spans="1:9" x14ac:dyDescent="0.2">
      <c r="A8093" s="1" t="str">
        <f>"HRH1"</f>
        <v>HRH1</v>
      </c>
      <c r="B8093" t="s">
        <v>13</v>
      </c>
      <c r="C8093" t="s">
        <v>22</v>
      </c>
      <c r="D8093" t="s">
        <v>17</v>
      </c>
      <c r="E8093" t="s">
        <v>12</v>
      </c>
      <c r="F8093">
        <v>11267645</v>
      </c>
      <c r="G8093">
        <v>11267689</v>
      </c>
      <c r="H8093">
        <v>11267645</v>
      </c>
      <c r="I8093">
        <v>11267689</v>
      </c>
    </row>
    <row r="8094" spans="1:9" x14ac:dyDescent="0.2">
      <c r="A8094" s="1" t="str">
        <f>"HRH2"</f>
        <v>HRH2</v>
      </c>
      <c r="B8094" t="s">
        <v>14</v>
      </c>
      <c r="C8094" t="s">
        <v>46</v>
      </c>
      <c r="D8094" t="s">
        <v>17</v>
      </c>
      <c r="E8094" t="s">
        <v>12</v>
      </c>
      <c r="F8094">
        <v>175085039</v>
      </c>
      <c r="G8094">
        <v>175085106</v>
      </c>
      <c r="H8094">
        <v>175085012</v>
      </c>
      <c r="I8094">
        <v>175085028</v>
      </c>
    </row>
    <row r="8095" spans="1:9" x14ac:dyDescent="0.2">
      <c r="A8095" s="1" t="str">
        <f>"HRH3"</f>
        <v>HRH3</v>
      </c>
      <c r="B8095" t="s">
        <v>14</v>
      </c>
      <c r="C8095" t="s">
        <v>29</v>
      </c>
      <c r="D8095" t="s">
        <v>11</v>
      </c>
      <c r="E8095" t="s">
        <v>12</v>
      </c>
      <c r="F8095">
        <v>60795326</v>
      </c>
      <c r="G8095">
        <v>60795340</v>
      </c>
      <c r="H8095">
        <v>60795296</v>
      </c>
      <c r="I8095">
        <v>60795309</v>
      </c>
    </row>
    <row r="8096" spans="1:9" x14ac:dyDescent="0.2">
      <c r="A8096" s="1" t="str">
        <f>"HRH4"</f>
        <v>HRH4</v>
      </c>
      <c r="B8096" t="s">
        <v>14</v>
      </c>
      <c r="C8096" t="s">
        <v>43</v>
      </c>
      <c r="D8096" t="s">
        <v>17</v>
      </c>
      <c r="E8096" t="s">
        <v>12</v>
      </c>
      <c r="F8096">
        <v>22040594</v>
      </c>
      <c r="G8096">
        <v>22040616</v>
      </c>
      <c r="H8096">
        <v>22040620</v>
      </c>
      <c r="I8096">
        <v>22040632</v>
      </c>
    </row>
    <row r="8097" spans="1:9" x14ac:dyDescent="0.2">
      <c r="A8097" s="1" t="str">
        <f>"HRK"</f>
        <v>HRK</v>
      </c>
      <c r="B8097" t="s">
        <v>14</v>
      </c>
      <c r="C8097" t="s">
        <v>16</v>
      </c>
      <c r="D8097" t="s">
        <v>11</v>
      </c>
      <c r="E8097" t="s">
        <v>12</v>
      </c>
      <c r="F8097">
        <v>117319236</v>
      </c>
      <c r="G8097">
        <v>117319252</v>
      </c>
      <c r="H8097">
        <v>117318867</v>
      </c>
      <c r="I8097">
        <v>117318923</v>
      </c>
    </row>
    <row r="8098" spans="1:9" x14ac:dyDescent="0.2">
      <c r="A8098" s="1" t="str">
        <f>"HRNR"</f>
        <v>HRNR</v>
      </c>
      <c r="B8098" t="s">
        <v>14</v>
      </c>
      <c r="C8098" t="s">
        <v>19</v>
      </c>
      <c r="D8098" t="s">
        <v>11</v>
      </c>
      <c r="E8098" t="s">
        <v>12</v>
      </c>
      <c r="F8098">
        <v>152196668</v>
      </c>
      <c r="G8098">
        <v>152196670</v>
      </c>
      <c r="H8098">
        <v>152196668</v>
      </c>
      <c r="I8098">
        <v>152196670</v>
      </c>
    </row>
    <row r="8099" spans="1:9" x14ac:dyDescent="0.2">
      <c r="A8099" s="1" t="str">
        <f>"HRSP12"</f>
        <v>HRSP12</v>
      </c>
      <c r="B8099" t="s">
        <v>14</v>
      </c>
      <c r="C8099" t="s">
        <v>30</v>
      </c>
      <c r="D8099" t="s">
        <v>11</v>
      </c>
      <c r="E8099" t="s">
        <v>12</v>
      </c>
      <c r="F8099">
        <v>99129384</v>
      </c>
      <c r="G8099">
        <v>99129407</v>
      </c>
      <c r="H8099">
        <v>99129350</v>
      </c>
      <c r="I8099">
        <v>99129379</v>
      </c>
    </row>
    <row r="8100" spans="1:9" x14ac:dyDescent="0.2">
      <c r="A8100" s="1" t="str">
        <f>"HS1BP3"</f>
        <v>HS1BP3</v>
      </c>
      <c r="B8100" t="s">
        <v>14</v>
      </c>
      <c r="C8100" t="s">
        <v>26</v>
      </c>
      <c r="D8100" t="s">
        <v>11</v>
      </c>
      <c r="E8100" t="s">
        <v>12</v>
      </c>
      <c r="F8100">
        <v>20850813</v>
      </c>
      <c r="G8100">
        <v>20850878</v>
      </c>
      <c r="H8100">
        <v>20850813</v>
      </c>
      <c r="I8100">
        <v>20850878</v>
      </c>
    </row>
    <row r="8101" spans="1:9" x14ac:dyDescent="0.2">
      <c r="A8101" s="1" t="str">
        <f>"HS2ST1"</f>
        <v>HS2ST1</v>
      </c>
      <c r="B8101" t="s">
        <v>14</v>
      </c>
      <c r="C8101" t="s">
        <v>19</v>
      </c>
      <c r="D8101" t="s">
        <v>17</v>
      </c>
      <c r="E8101" t="s">
        <v>12</v>
      </c>
      <c r="F8101">
        <v>87380299</v>
      </c>
      <c r="G8101">
        <v>87380475</v>
      </c>
      <c r="H8101">
        <v>87380299</v>
      </c>
      <c r="I8101">
        <v>87380475</v>
      </c>
    </row>
    <row r="8102" spans="1:9" x14ac:dyDescent="0.2">
      <c r="A8102" s="1" t="str">
        <f>"HS3ST1"</f>
        <v>HS3ST1</v>
      </c>
      <c r="B8102" t="s">
        <v>14</v>
      </c>
      <c r="C8102" t="s">
        <v>23</v>
      </c>
      <c r="D8102" t="s">
        <v>11</v>
      </c>
      <c r="E8102" t="s">
        <v>12</v>
      </c>
      <c r="F8102">
        <v>11430494</v>
      </c>
      <c r="G8102">
        <v>11430527</v>
      </c>
      <c r="H8102">
        <v>11430534</v>
      </c>
      <c r="I8102">
        <v>11430567</v>
      </c>
    </row>
    <row r="8103" spans="1:9" x14ac:dyDescent="0.2">
      <c r="A8103" s="1" t="str">
        <f>"HS3ST2"</f>
        <v>HS3ST2</v>
      </c>
      <c r="B8103" t="s">
        <v>14</v>
      </c>
      <c r="C8103" t="s">
        <v>31</v>
      </c>
      <c r="D8103" t="s">
        <v>17</v>
      </c>
      <c r="E8103" t="s">
        <v>12</v>
      </c>
      <c r="F8103">
        <v>22825475</v>
      </c>
      <c r="G8103">
        <v>22825496</v>
      </c>
      <c r="H8103">
        <v>22826233</v>
      </c>
      <c r="I8103">
        <v>22826244</v>
      </c>
    </row>
    <row r="8104" spans="1:9" x14ac:dyDescent="0.2">
      <c r="A8104" s="1" t="str">
        <f>"HS3ST3A1"</f>
        <v>HS3ST3A1</v>
      </c>
      <c r="B8104" t="s">
        <v>14</v>
      </c>
      <c r="C8104" t="s">
        <v>28</v>
      </c>
      <c r="D8104" t="s">
        <v>11</v>
      </c>
      <c r="E8104" t="s">
        <v>12</v>
      </c>
      <c r="F8104">
        <v>13505219</v>
      </c>
      <c r="G8104">
        <v>13505299</v>
      </c>
      <c r="H8104">
        <v>13505198</v>
      </c>
      <c r="I8104">
        <v>13505209</v>
      </c>
    </row>
    <row r="8105" spans="1:9" x14ac:dyDescent="0.2">
      <c r="A8105" s="1" t="str">
        <f>"HS3ST3B1"</f>
        <v>HS3ST3B1</v>
      </c>
      <c r="B8105" t="s">
        <v>14</v>
      </c>
      <c r="C8105" t="s">
        <v>28</v>
      </c>
      <c r="D8105" t="s">
        <v>17</v>
      </c>
      <c r="E8105" t="s">
        <v>12</v>
      </c>
      <c r="F8105">
        <v>14204389</v>
      </c>
      <c r="G8105">
        <v>14204416</v>
      </c>
      <c r="H8105">
        <v>14204363</v>
      </c>
      <c r="I8105">
        <v>14204378</v>
      </c>
    </row>
    <row r="8106" spans="1:9" x14ac:dyDescent="0.2">
      <c r="A8106" s="1" t="str">
        <f>"HS3ST4"</f>
        <v>HS3ST4</v>
      </c>
      <c r="B8106" t="s">
        <v>14</v>
      </c>
      <c r="C8106" t="s">
        <v>31</v>
      </c>
      <c r="D8106" t="s">
        <v>17</v>
      </c>
      <c r="E8106" t="s">
        <v>12</v>
      </c>
      <c r="F8106">
        <v>25703274</v>
      </c>
      <c r="G8106">
        <v>25703350</v>
      </c>
      <c r="H8106">
        <v>25702965</v>
      </c>
      <c r="I8106">
        <v>25702999</v>
      </c>
    </row>
    <row r="8107" spans="1:9" x14ac:dyDescent="0.2">
      <c r="A8107" s="1" t="str">
        <f>"HS3ST5"</f>
        <v>HS3ST5</v>
      </c>
      <c r="B8107" t="s">
        <v>14</v>
      </c>
      <c r="C8107" t="s">
        <v>32</v>
      </c>
      <c r="D8107" t="s">
        <v>11</v>
      </c>
      <c r="E8107" t="s">
        <v>12</v>
      </c>
      <c r="F8107">
        <v>114664180</v>
      </c>
      <c r="G8107">
        <v>114664193</v>
      </c>
      <c r="H8107">
        <v>114663503</v>
      </c>
      <c r="I8107">
        <v>114663602</v>
      </c>
    </row>
    <row r="8108" spans="1:9" x14ac:dyDescent="0.2">
      <c r="A8108" s="1" t="str">
        <f>"HS3ST6"</f>
        <v>HS3ST6</v>
      </c>
      <c r="B8108" t="s">
        <v>14</v>
      </c>
      <c r="C8108" t="s">
        <v>31</v>
      </c>
      <c r="D8108" t="s">
        <v>11</v>
      </c>
      <c r="E8108" t="s">
        <v>12</v>
      </c>
      <c r="F8108">
        <v>1968408</v>
      </c>
      <c r="G8108">
        <v>1968425</v>
      </c>
      <c r="H8108">
        <v>1968408</v>
      </c>
      <c r="I8108">
        <v>1968425</v>
      </c>
    </row>
    <row r="8109" spans="1:9" x14ac:dyDescent="0.2">
      <c r="A8109" s="1" t="str">
        <f>"HS6ST1"</f>
        <v>HS6ST1</v>
      </c>
      <c r="B8109" t="s">
        <v>14</v>
      </c>
      <c r="C8109" t="s">
        <v>26</v>
      </c>
      <c r="D8109" t="s">
        <v>11</v>
      </c>
      <c r="E8109" t="s">
        <v>12</v>
      </c>
      <c r="F8109">
        <v>129076434</v>
      </c>
      <c r="G8109">
        <v>129076449</v>
      </c>
      <c r="H8109">
        <v>129076648</v>
      </c>
      <c r="I8109">
        <v>129076667</v>
      </c>
    </row>
    <row r="8110" spans="1:9" x14ac:dyDescent="0.2">
      <c r="A8110" s="1" t="str">
        <f>"HS6ST2"</f>
        <v>HS6ST2</v>
      </c>
      <c r="B8110" t="s">
        <v>9</v>
      </c>
      <c r="C8110" t="s">
        <v>37</v>
      </c>
      <c r="D8110" t="s">
        <v>11</v>
      </c>
      <c r="E8110" t="s">
        <v>12</v>
      </c>
      <c r="F8110">
        <v>132092395</v>
      </c>
      <c r="G8110">
        <v>132092469</v>
      </c>
      <c r="H8110">
        <v>132092395</v>
      </c>
      <c r="I8110">
        <v>132092469</v>
      </c>
    </row>
    <row r="8111" spans="1:9" x14ac:dyDescent="0.2">
      <c r="A8111" s="1" t="str">
        <f>"HS6ST2"</f>
        <v>HS6ST2</v>
      </c>
      <c r="B8111" t="s">
        <v>13</v>
      </c>
      <c r="C8111" t="s">
        <v>37</v>
      </c>
      <c r="D8111" t="s">
        <v>11</v>
      </c>
      <c r="E8111" t="s">
        <v>12</v>
      </c>
      <c r="F8111">
        <v>132091284</v>
      </c>
      <c r="G8111">
        <v>132091372</v>
      </c>
      <c r="H8111">
        <v>132091284</v>
      </c>
      <c r="I8111">
        <v>132091372</v>
      </c>
    </row>
    <row r="8112" spans="1:9" x14ac:dyDescent="0.2">
      <c r="A8112" s="1" t="str">
        <f>"HS6ST3"</f>
        <v>HS6ST3</v>
      </c>
      <c r="B8112" t="s">
        <v>14</v>
      </c>
      <c r="C8112" t="s">
        <v>39</v>
      </c>
      <c r="D8112" t="s">
        <v>17</v>
      </c>
      <c r="E8112" t="s">
        <v>12</v>
      </c>
      <c r="F8112">
        <v>96743272</v>
      </c>
      <c r="G8112">
        <v>96743296</v>
      </c>
      <c r="H8112">
        <v>96743157</v>
      </c>
      <c r="I8112">
        <v>96743207</v>
      </c>
    </row>
    <row r="8113" spans="1:9" x14ac:dyDescent="0.2">
      <c r="A8113" s="1" t="str">
        <f>"HSBP1"</f>
        <v>HSBP1</v>
      </c>
      <c r="B8113" t="s">
        <v>14</v>
      </c>
      <c r="C8113" t="s">
        <v>31</v>
      </c>
      <c r="D8113" t="s">
        <v>17</v>
      </c>
      <c r="E8113" t="s">
        <v>12</v>
      </c>
      <c r="F8113">
        <v>83841567</v>
      </c>
      <c r="G8113">
        <v>83841663</v>
      </c>
      <c r="H8113">
        <v>83841549</v>
      </c>
      <c r="I8113">
        <v>83841560</v>
      </c>
    </row>
    <row r="8114" spans="1:9" x14ac:dyDescent="0.2">
      <c r="A8114" s="1" t="str">
        <f>"HSBP1L1"</f>
        <v>HSBP1L1</v>
      </c>
      <c r="B8114" t="s">
        <v>14</v>
      </c>
      <c r="C8114" t="s">
        <v>43</v>
      </c>
      <c r="D8114" t="s">
        <v>17</v>
      </c>
      <c r="E8114" t="s">
        <v>12</v>
      </c>
      <c r="F8114">
        <v>77724629</v>
      </c>
      <c r="G8114">
        <v>77724652</v>
      </c>
      <c r="H8114">
        <v>77724629</v>
      </c>
      <c r="I8114">
        <v>77724652</v>
      </c>
    </row>
    <row r="8115" spans="1:9" x14ac:dyDescent="0.2">
      <c r="A8115" s="1" t="str">
        <f>"HSCB"</f>
        <v>HSCB</v>
      </c>
      <c r="B8115" t="s">
        <v>14</v>
      </c>
      <c r="C8115" t="s">
        <v>21</v>
      </c>
      <c r="D8115" t="s">
        <v>17</v>
      </c>
      <c r="E8115" t="s">
        <v>12</v>
      </c>
      <c r="F8115">
        <v>29138013</v>
      </c>
      <c r="G8115">
        <v>29138072</v>
      </c>
      <c r="H8115">
        <v>29138651</v>
      </c>
      <c r="I8115">
        <v>29138695</v>
      </c>
    </row>
    <row r="8116" spans="1:9" x14ac:dyDescent="0.2">
      <c r="A8116" s="1" t="str">
        <f>"HSD11B1"</f>
        <v>HSD11B1</v>
      </c>
      <c r="B8116" t="s">
        <v>14</v>
      </c>
      <c r="C8116" t="s">
        <v>19</v>
      </c>
      <c r="D8116" t="s">
        <v>17</v>
      </c>
      <c r="E8116" t="s">
        <v>12</v>
      </c>
      <c r="F8116">
        <v>209878182</v>
      </c>
      <c r="G8116">
        <v>209878203</v>
      </c>
      <c r="H8116">
        <v>209878230</v>
      </c>
      <c r="I8116">
        <v>209878248</v>
      </c>
    </row>
    <row r="8117" spans="1:9" x14ac:dyDescent="0.2">
      <c r="A8117" s="1" t="str">
        <f>"HSD11B1L"</f>
        <v>HSD11B1L</v>
      </c>
      <c r="B8117" t="s">
        <v>14</v>
      </c>
      <c r="C8117" t="s">
        <v>10</v>
      </c>
      <c r="D8117" t="s">
        <v>17</v>
      </c>
      <c r="E8117" t="s">
        <v>12</v>
      </c>
      <c r="F8117">
        <v>5681011</v>
      </c>
      <c r="G8117">
        <v>5681071</v>
      </c>
      <c r="H8117">
        <v>5681153</v>
      </c>
      <c r="I8117">
        <v>5681189</v>
      </c>
    </row>
    <row r="8118" spans="1:9" x14ac:dyDescent="0.2">
      <c r="A8118" s="1" t="str">
        <f>"HSD11B2"</f>
        <v>HSD11B2</v>
      </c>
      <c r="B8118" t="s">
        <v>14</v>
      </c>
      <c r="C8118" t="s">
        <v>31</v>
      </c>
      <c r="D8118" t="s">
        <v>17</v>
      </c>
      <c r="E8118" t="s">
        <v>12</v>
      </c>
      <c r="F8118">
        <v>67465016</v>
      </c>
      <c r="G8118">
        <v>67465035</v>
      </c>
      <c r="H8118">
        <v>67464504</v>
      </c>
      <c r="I8118">
        <v>67464564</v>
      </c>
    </row>
    <row r="8119" spans="1:9" x14ac:dyDescent="0.2">
      <c r="A8119" s="1" t="str">
        <f>"HSD17B1"</f>
        <v>HSD17B1</v>
      </c>
      <c r="B8119" t="s">
        <v>14</v>
      </c>
      <c r="C8119" t="s">
        <v>28</v>
      </c>
      <c r="D8119" t="s">
        <v>17</v>
      </c>
      <c r="E8119" t="s">
        <v>12</v>
      </c>
      <c r="F8119">
        <v>40704938</v>
      </c>
      <c r="G8119">
        <v>40704943</v>
      </c>
      <c r="H8119">
        <v>40704938</v>
      </c>
      <c r="I8119">
        <v>40704943</v>
      </c>
    </row>
    <row r="8120" spans="1:9" x14ac:dyDescent="0.2">
      <c r="A8120" s="1" t="str">
        <f>"HSD17B10"</f>
        <v>HSD17B10</v>
      </c>
      <c r="B8120" t="s">
        <v>14</v>
      </c>
      <c r="C8120" t="s">
        <v>37</v>
      </c>
      <c r="D8120" t="s">
        <v>11</v>
      </c>
      <c r="E8120" t="s">
        <v>12</v>
      </c>
      <c r="F8120">
        <v>53461305</v>
      </c>
      <c r="G8120">
        <v>53461328</v>
      </c>
      <c r="H8120">
        <v>53461288</v>
      </c>
      <c r="I8120">
        <v>53461302</v>
      </c>
    </row>
    <row r="8121" spans="1:9" x14ac:dyDescent="0.2">
      <c r="A8121" s="1" t="str">
        <f>"HSD17B11"</f>
        <v>HSD17B11</v>
      </c>
      <c r="B8121" t="s">
        <v>14</v>
      </c>
      <c r="C8121" t="s">
        <v>23</v>
      </c>
      <c r="D8121" t="s">
        <v>11</v>
      </c>
      <c r="E8121" t="s">
        <v>12</v>
      </c>
      <c r="F8121">
        <v>88312301</v>
      </c>
      <c r="G8121">
        <v>88312375</v>
      </c>
      <c r="H8121">
        <v>88312184</v>
      </c>
      <c r="I8121">
        <v>88312225</v>
      </c>
    </row>
    <row r="8122" spans="1:9" x14ac:dyDescent="0.2">
      <c r="A8122" s="1" t="str">
        <f>"HSD17B12"</f>
        <v>HSD17B12</v>
      </c>
      <c r="B8122" t="s">
        <v>14</v>
      </c>
      <c r="C8122" t="s">
        <v>27</v>
      </c>
      <c r="D8122" t="s">
        <v>17</v>
      </c>
      <c r="E8122" t="s">
        <v>12</v>
      </c>
      <c r="F8122">
        <v>43702236</v>
      </c>
      <c r="G8122">
        <v>43702299</v>
      </c>
      <c r="H8122">
        <v>43702322</v>
      </c>
      <c r="I8122">
        <v>43702362</v>
      </c>
    </row>
    <row r="8123" spans="1:9" x14ac:dyDescent="0.2">
      <c r="A8123" s="1" t="str">
        <f>"HSD17B13"</f>
        <v>HSD17B13</v>
      </c>
      <c r="B8123" t="s">
        <v>14</v>
      </c>
      <c r="C8123" t="s">
        <v>23</v>
      </c>
      <c r="D8123" t="s">
        <v>11</v>
      </c>
      <c r="E8123" t="s">
        <v>12</v>
      </c>
      <c r="F8123">
        <v>88244010</v>
      </c>
      <c r="G8123">
        <v>88244045</v>
      </c>
      <c r="H8123">
        <v>88244049</v>
      </c>
      <c r="I8123">
        <v>88244073</v>
      </c>
    </row>
    <row r="8124" spans="1:9" x14ac:dyDescent="0.2">
      <c r="A8124" s="1" t="str">
        <f>"HSD17B14"</f>
        <v>HSD17B14</v>
      </c>
      <c r="B8124" t="s">
        <v>14</v>
      </c>
      <c r="C8124" t="s">
        <v>10</v>
      </c>
      <c r="D8124" t="s">
        <v>11</v>
      </c>
      <c r="E8124" t="s">
        <v>12</v>
      </c>
      <c r="F8124">
        <v>49339732</v>
      </c>
      <c r="G8124">
        <v>49339794</v>
      </c>
      <c r="H8124">
        <v>49339732</v>
      </c>
      <c r="I8124">
        <v>49339794</v>
      </c>
    </row>
    <row r="8125" spans="1:9" x14ac:dyDescent="0.2">
      <c r="A8125" s="1" t="str">
        <f>"HSD17B2"</f>
        <v>HSD17B2</v>
      </c>
      <c r="B8125" t="s">
        <v>14</v>
      </c>
      <c r="C8125" t="s">
        <v>31</v>
      </c>
      <c r="D8125" t="s">
        <v>17</v>
      </c>
      <c r="E8125" t="s">
        <v>12</v>
      </c>
      <c r="F8125">
        <v>82068960</v>
      </c>
      <c r="G8125">
        <v>82068995</v>
      </c>
      <c r="H8125">
        <v>82068920</v>
      </c>
      <c r="I8125">
        <v>82068953</v>
      </c>
    </row>
    <row r="8126" spans="1:9" x14ac:dyDescent="0.2">
      <c r="A8126" s="1" t="str">
        <f>"HSD17B3"</f>
        <v>HSD17B3</v>
      </c>
      <c r="B8126" t="s">
        <v>14</v>
      </c>
      <c r="C8126" t="s">
        <v>24</v>
      </c>
      <c r="D8126" t="s">
        <v>11</v>
      </c>
      <c r="E8126" t="s">
        <v>12</v>
      </c>
      <c r="F8126">
        <v>99064452</v>
      </c>
      <c r="G8126">
        <v>99064463</v>
      </c>
      <c r="H8126">
        <v>99064429</v>
      </c>
      <c r="I8126">
        <v>99064442</v>
      </c>
    </row>
    <row r="8127" spans="1:9" x14ac:dyDescent="0.2">
      <c r="A8127" s="1" t="str">
        <f>"HSD17B4"</f>
        <v>HSD17B4</v>
      </c>
      <c r="B8127" t="s">
        <v>14</v>
      </c>
      <c r="C8127" t="s">
        <v>46</v>
      </c>
      <c r="D8127" t="s">
        <v>17</v>
      </c>
      <c r="E8127" t="s">
        <v>12</v>
      </c>
      <c r="F8127">
        <v>118788182</v>
      </c>
      <c r="G8127">
        <v>118788255</v>
      </c>
      <c r="H8127">
        <v>118788162</v>
      </c>
      <c r="I8127">
        <v>118788173</v>
      </c>
    </row>
    <row r="8128" spans="1:9" x14ac:dyDescent="0.2">
      <c r="A8128" s="1" t="str">
        <f>"HSD17B6"</f>
        <v>HSD17B6</v>
      </c>
      <c r="B8128" t="s">
        <v>14</v>
      </c>
      <c r="C8128" t="s">
        <v>16</v>
      </c>
      <c r="D8128" t="s">
        <v>17</v>
      </c>
      <c r="E8128" t="s">
        <v>12</v>
      </c>
      <c r="F8128">
        <v>57157100</v>
      </c>
      <c r="G8128">
        <v>57157114</v>
      </c>
      <c r="H8128">
        <v>57157115</v>
      </c>
      <c r="I8128">
        <v>57157129</v>
      </c>
    </row>
    <row r="8129" spans="1:9" x14ac:dyDescent="0.2">
      <c r="A8129" s="1" t="str">
        <f>"HSD17B7"</f>
        <v>HSD17B7</v>
      </c>
      <c r="B8129" t="s">
        <v>9</v>
      </c>
      <c r="C8129" t="s">
        <v>19</v>
      </c>
      <c r="D8129" t="s">
        <v>17</v>
      </c>
      <c r="E8129" t="s">
        <v>12</v>
      </c>
      <c r="F8129">
        <v>162767036</v>
      </c>
      <c r="G8129">
        <v>162767082</v>
      </c>
      <c r="H8129">
        <v>162767036</v>
      </c>
      <c r="I8129">
        <v>162767082</v>
      </c>
    </row>
    <row r="8130" spans="1:9" x14ac:dyDescent="0.2">
      <c r="A8130" s="1" t="str">
        <f>"HSD17B7"</f>
        <v>HSD17B7</v>
      </c>
      <c r="B8130" t="s">
        <v>13</v>
      </c>
      <c r="C8130" t="s">
        <v>19</v>
      </c>
      <c r="D8130" t="s">
        <v>17</v>
      </c>
      <c r="E8130" t="s">
        <v>12</v>
      </c>
      <c r="F8130">
        <v>162760594</v>
      </c>
      <c r="G8130">
        <v>162760603</v>
      </c>
      <c r="H8130">
        <v>162760594</v>
      </c>
      <c r="I8130">
        <v>162760603</v>
      </c>
    </row>
    <row r="8131" spans="1:9" x14ac:dyDescent="0.2">
      <c r="A8131" s="1" t="str">
        <f>"HSD17B8"</f>
        <v>HSD17B8</v>
      </c>
      <c r="B8131" t="s">
        <v>14</v>
      </c>
      <c r="C8131" t="s">
        <v>32</v>
      </c>
      <c r="D8131" t="s">
        <v>17</v>
      </c>
      <c r="E8131" t="s">
        <v>12</v>
      </c>
      <c r="F8131">
        <v>33172422</v>
      </c>
      <c r="G8131">
        <v>33172444</v>
      </c>
      <c r="H8131">
        <v>33172422</v>
      </c>
      <c r="I8131">
        <v>33172444</v>
      </c>
    </row>
    <row r="8132" spans="1:9" x14ac:dyDescent="0.2">
      <c r="A8132" s="1" t="str">
        <f>"HSD3B1"</f>
        <v>HSD3B1</v>
      </c>
      <c r="B8132" t="s">
        <v>14</v>
      </c>
      <c r="C8132" t="s">
        <v>19</v>
      </c>
      <c r="D8132" t="s">
        <v>17</v>
      </c>
      <c r="E8132" t="s">
        <v>12</v>
      </c>
      <c r="F8132">
        <v>120049826</v>
      </c>
      <c r="G8132">
        <v>120049843</v>
      </c>
      <c r="H8132">
        <v>120049809</v>
      </c>
      <c r="I8132">
        <v>120049823</v>
      </c>
    </row>
    <row r="8133" spans="1:9" x14ac:dyDescent="0.2">
      <c r="A8133" s="1" t="str">
        <f>"HSD3B2"</f>
        <v>HSD3B2</v>
      </c>
      <c r="B8133" t="s">
        <v>14</v>
      </c>
      <c r="C8133" t="s">
        <v>19</v>
      </c>
      <c r="D8133" t="s">
        <v>17</v>
      </c>
      <c r="E8133" t="s">
        <v>12</v>
      </c>
      <c r="F8133">
        <v>119957771</v>
      </c>
      <c r="G8133">
        <v>119957778</v>
      </c>
      <c r="H8133">
        <v>119957771</v>
      </c>
      <c r="I8133">
        <v>119957778</v>
      </c>
    </row>
    <row r="8134" spans="1:9" x14ac:dyDescent="0.2">
      <c r="A8134" s="1" t="str">
        <f>"HSD3B7"</f>
        <v>HSD3B7</v>
      </c>
      <c r="B8134" t="s">
        <v>14</v>
      </c>
      <c r="C8134" t="s">
        <v>31</v>
      </c>
      <c r="D8134" t="s">
        <v>17</v>
      </c>
      <c r="E8134" t="s">
        <v>12</v>
      </c>
      <c r="F8134">
        <v>30996502</v>
      </c>
      <c r="G8134">
        <v>30996558</v>
      </c>
      <c r="H8134">
        <v>30996559</v>
      </c>
      <c r="I8134">
        <v>30996574</v>
      </c>
    </row>
    <row r="8135" spans="1:9" x14ac:dyDescent="0.2">
      <c r="A8135" s="1" t="str">
        <f>"HSDL1"</f>
        <v>HSDL1</v>
      </c>
      <c r="B8135" t="s">
        <v>14</v>
      </c>
      <c r="C8135" t="s">
        <v>31</v>
      </c>
      <c r="D8135" t="s">
        <v>11</v>
      </c>
      <c r="E8135" t="s">
        <v>12</v>
      </c>
      <c r="F8135">
        <v>84178728</v>
      </c>
      <c r="G8135">
        <v>84178809</v>
      </c>
      <c r="H8135">
        <v>84178812</v>
      </c>
      <c r="I8135">
        <v>84178819</v>
      </c>
    </row>
    <row r="8136" spans="1:9" x14ac:dyDescent="0.2">
      <c r="A8136" s="1" t="str">
        <f>"HSDL2"</f>
        <v>HSDL2</v>
      </c>
      <c r="B8136" t="s">
        <v>14</v>
      </c>
      <c r="C8136" t="s">
        <v>24</v>
      </c>
      <c r="D8136" t="s">
        <v>17</v>
      </c>
      <c r="E8136" t="s">
        <v>12</v>
      </c>
      <c r="F8136">
        <v>115142361</v>
      </c>
      <c r="G8136">
        <v>115142401</v>
      </c>
      <c r="H8136">
        <v>115142403</v>
      </c>
      <c r="I8136">
        <v>115142417</v>
      </c>
    </row>
    <row r="8137" spans="1:9" x14ac:dyDescent="0.2">
      <c r="A8137" s="1" t="str">
        <f>"HSF1"</f>
        <v>HSF1</v>
      </c>
      <c r="B8137" t="s">
        <v>14</v>
      </c>
      <c r="C8137" t="s">
        <v>30</v>
      </c>
      <c r="D8137" t="s">
        <v>17</v>
      </c>
      <c r="E8137" t="s">
        <v>12</v>
      </c>
      <c r="F8137">
        <v>145515263</v>
      </c>
      <c r="G8137">
        <v>145515299</v>
      </c>
      <c r="H8137">
        <v>145515263</v>
      </c>
      <c r="I8137">
        <v>145515299</v>
      </c>
    </row>
    <row r="8138" spans="1:9" x14ac:dyDescent="0.2">
      <c r="A8138" s="1" t="str">
        <f>"HSF2"</f>
        <v>HSF2</v>
      </c>
      <c r="B8138" t="s">
        <v>14</v>
      </c>
      <c r="C8138" t="s">
        <v>32</v>
      </c>
      <c r="D8138" t="s">
        <v>17</v>
      </c>
      <c r="E8138" t="s">
        <v>12</v>
      </c>
      <c r="F8138">
        <v>122720765</v>
      </c>
      <c r="G8138">
        <v>122720831</v>
      </c>
      <c r="H8138">
        <v>122720837</v>
      </c>
      <c r="I8138">
        <v>122720857</v>
      </c>
    </row>
    <row r="8139" spans="1:9" x14ac:dyDescent="0.2">
      <c r="A8139" s="1" t="str">
        <f>"HSF2BP"</f>
        <v>HSF2BP</v>
      </c>
      <c r="B8139" t="s">
        <v>9</v>
      </c>
      <c r="C8139" t="s">
        <v>42</v>
      </c>
      <c r="D8139" t="s">
        <v>11</v>
      </c>
      <c r="E8139" t="s">
        <v>12</v>
      </c>
      <c r="F8139">
        <v>45079341</v>
      </c>
      <c r="G8139">
        <v>45079400</v>
      </c>
      <c r="H8139">
        <v>45079341</v>
      </c>
      <c r="I8139">
        <v>45079400</v>
      </c>
    </row>
    <row r="8140" spans="1:9" x14ac:dyDescent="0.2">
      <c r="A8140" s="1" t="str">
        <f>"HSF2BP"</f>
        <v>HSF2BP</v>
      </c>
      <c r="B8140" t="s">
        <v>13</v>
      </c>
      <c r="C8140" t="s">
        <v>42</v>
      </c>
      <c r="D8140" t="s">
        <v>11</v>
      </c>
      <c r="E8140" t="s">
        <v>12</v>
      </c>
      <c r="F8140">
        <v>45077989</v>
      </c>
      <c r="G8140">
        <v>45078017</v>
      </c>
      <c r="H8140">
        <v>45077989</v>
      </c>
      <c r="I8140">
        <v>45078017</v>
      </c>
    </row>
    <row r="8141" spans="1:9" x14ac:dyDescent="0.2">
      <c r="A8141" s="1" t="str">
        <f>"HSF4"</f>
        <v>HSF4</v>
      </c>
      <c r="B8141" t="s">
        <v>14</v>
      </c>
      <c r="C8141" t="s">
        <v>31</v>
      </c>
      <c r="D8141" t="s">
        <v>17</v>
      </c>
      <c r="E8141" t="s">
        <v>12</v>
      </c>
      <c r="F8141">
        <v>67198633</v>
      </c>
      <c r="G8141">
        <v>67198671</v>
      </c>
      <c r="H8141">
        <v>67198683</v>
      </c>
      <c r="I8141">
        <v>67198698</v>
      </c>
    </row>
    <row r="8142" spans="1:9" x14ac:dyDescent="0.2">
      <c r="A8142" s="1" t="str">
        <f>"HSF5"</f>
        <v>HSF5</v>
      </c>
      <c r="B8142" t="s">
        <v>14</v>
      </c>
      <c r="C8142" t="s">
        <v>28</v>
      </c>
      <c r="D8142" t="s">
        <v>11</v>
      </c>
      <c r="E8142" t="s">
        <v>12</v>
      </c>
      <c r="F8142">
        <v>56565736</v>
      </c>
      <c r="G8142">
        <v>56565779</v>
      </c>
      <c r="H8142">
        <v>56565736</v>
      </c>
      <c r="I8142">
        <v>56565779</v>
      </c>
    </row>
    <row r="8143" spans="1:9" x14ac:dyDescent="0.2">
      <c r="A8143" s="1" t="str">
        <f>"HSFX1"</f>
        <v>HSFX1</v>
      </c>
      <c r="B8143" t="s">
        <v>625</v>
      </c>
      <c r="C8143" t="s">
        <v>37</v>
      </c>
      <c r="D8143" t="s">
        <v>17</v>
      </c>
      <c r="E8143" t="s">
        <v>20</v>
      </c>
      <c r="F8143">
        <v>148855725</v>
      </c>
      <c r="G8143">
        <v>148855725</v>
      </c>
      <c r="H8143">
        <v>148855725</v>
      </c>
      <c r="I8143">
        <v>148855725</v>
      </c>
    </row>
    <row r="8144" spans="1:9" x14ac:dyDescent="0.2">
      <c r="A8144" s="1" t="str">
        <f>"HSFX2"</f>
        <v>HSFX2</v>
      </c>
      <c r="B8144" t="s">
        <v>626</v>
      </c>
      <c r="C8144" t="s">
        <v>37</v>
      </c>
      <c r="D8144" t="s">
        <v>11</v>
      </c>
      <c r="E8144" t="s">
        <v>20</v>
      </c>
      <c r="F8144">
        <v>148676973</v>
      </c>
      <c r="G8144">
        <v>148676973</v>
      </c>
      <c r="H8144">
        <v>148676973</v>
      </c>
      <c r="I8144">
        <v>148676973</v>
      </c>
    </row>
    <row r="8145" spans="1:9" x14ac:dyDescent="0.2">
      <c r="A8145" s="1" t="str">
        <f>"HSFY1"</f>
        <v>HSFY1</v>
      </c>
      <c r="B8145" t="s">
        <v>627</v>
      </c>
      <c r="C8145" t="s">
        <v>63</v>
      </c>
      <c r="D8145" t="s">
        <v>17</v>
      </c>
      <c r="E8145" t="s">
        <v>20</v>
      </c>
      <c r="F8145">
        <v>20708556</v>
      </c>
      <c r="G8145">
        <v>20708556</v>
      </c>
      <c r="H8145">
        <v>20708556</v>
      </c>
      <c r="I8145">
        <v>20708556</v>
      </c>
    </row>
    <row r="8146" spans="1:9" x14ac:dyDescent="0.2">
      <c r="A8146" s="1" t="str">
        <f>"HSFY2"</f>
        <v>HSFY2</v>
      </c>
      <c r="B8146" t="s">
        <v>628</v>
      </c>
      <c r="C8146" t="s">
        <v>63</v>
      </c>
      <c r="D8146" t="s">
        <v>11</v>
      </c>
      <c r="E8146" t="s">
        <v>20</v>
      </c>
      <c r="F8146">
        <v>20935620</v>
      </c>
      <c r="G8146">
        <v>20935620</v>
      </c>
      <c r="H8146">
        <v>20935620</v>
      </c>
      <c r="I8146">
        <v>20935620</v>
      </c>
    </row>
    <row r="8147" spans="1:9" x14ac:dyDescent="0.2">
      <c r="A8147" s="1" t="str">
        <f>"HSH2D"</f>
        <v>HSH2D</v>
      </c>
      <c r="B8147" t="s">
        <v>14</v>
      </c>
      <c r="C8147" t="s">
        <v>10</v>
      </c>
      <c r="D8147" t="s">
        <v>17</v>
      </c>
      <c r="E8147" t="s">
        <v>12</v>
      </c>
      <c r="F8147">
        <v>16254488</v>
      </c>
      <c r="G8147">
        <v>16254551</v>
      </c>
      <c r="H8147">
        <v>16254488</v>
      </c>
      <c r="I8147">
        <v>16254551</v>
      </c>
    </row>
    <row r="8148" spans="1:9" x14ac:dyDescent="0.2">
      <c r="A8148" s="1" t="str">
        <f>"HSP90AA1"</f>
        <v>HSP90AA1</v>
      </c>
      <c r="B8148" t="s">
        <v>14</v>
      </c>
      <c r="C8148" t="s">
        <v>41</v>
      </c>
      <c r="D8148" t="s">
        <v>11</v>
      </c>
      <c r="E8148" t="s">
        <v>12</v>
      </c>
      <c r="F8148">
        <v>102553371</v>
      </c>
      <c r="G8148">
        <v>102553389</v>
      </c>
      <c r="H8148">
        <v>102553371</v>
      </c>
      <c r="I8148">
        <v>102553389</v>
      </c>
    </row>
    <row r="8149" spans="1:9" x14ac:dyDescent="0.2">
      <c r="A8149" s="1" t="str">
        <f>"HSP90AB1"</f>
        <v>HSP90AB1</v>
      </c>
      <c r="B8149" t="s">
        <v>14</v>
      </c>
      <c r="C8149" t="s">
        <v>32</v>
      </c>
      <c r="D8149" t="s">
        <v>17</v>
      </c>
      <c r="E8149" t="s">
        <v>12</v>
      </c>
      <c r="F8149">
        <v>44214833</v>
      </c>
      <c r="G8149">
        <v>44214841</v>
      </c>
      <c r="H8149">
        <v>44214833</v>
      </c>
      <c r="I8149">
        <v>44214841</v>
      </c>
    </row>
    <row r="8150" spans="1:9" x14ac:dyDescent="0.2">
      <c r="A8150" s="1" t="str">
        <f>"HSP90B1"</f>
        <v>HSP90B1</v>
      </c>
      <c r="B8150" t="s">
        <v>14</v>
      </c>
      <c r="C8150" t="s">
        <v>16</v>
      </c>
      <c r="D8150" t="s">
        <v>17</v>
      </c>
      <c r="E8150" t="s">
        <v>12</v>
      </c>
      <c r="F8150">
        <v>104324152</v>
      </c>
      <c r="G8150">
        <v>104324196</v>
      </c>
      <c r="H8150">
        <v>104324239</v>
      </c>
      <c r="I8150">
        <v>104324284</v>
      </c>
    </row>
    <row r="8151" spans="1:9" x14ac:dyDescent="0.2">
      <c r="A8151" s="1" t="str">
        <f>"HSPA12A"</f>
        <v>HSPA12A</v>
      </c>
      <c r="B8151" t="s">
        <v>14</v>
      </c>
      <c r="C8151" t="s">
        <v>15</v>
      </c>
      <c r="D8151" t="s">
        <v>11</v>
      </c>
      <c r="E8151" t="s">
        <v>12</v>
      </c>
      <c r="F8151">
        <v>118502070</v>
      </c>
      <c r="G8151">
        <v>118502084</v>
      </c>
      <c r="H8151">
        <v>118502095</v>
      </c>
      <c r="I8151">
        <v>118502117</v>
      </c>
    </row>
    <row r="8152" spans="1:9" x14ac:dyDescent="0.2">
      <c r="A8152" s="1" t="str">
        <f>"HSPA12B"</f>
        <v>HSPA12B</v>
      </c>
      <c r="B8152" t="s">
        <v>14</v>
      </c>
      <c r="C8152" t="s">
        <v>29</v>
      </c>
      <c r="D8152" t="s">
        <v>17</v>
      </c>
      <c r="E8152" t="s">
        <v>12</v>
      </c>
      <c r="F8152">
        <v>3713322</v>
      </c>
      <c r="G8152">
        <v>3713367</v>
      </c>
      <c r="H8152">
        <v>3713368</v>
      </c>
      <c r="I8152">
        <v>3713388</v>
      </c>
    </row>
    <row r="8153" spans="1:9" x14ac:dyDescent="0.2">
      <c r="A8153" s="1" t="str">
        <f>"HSPA13"</f>
        <v>HSPA13</v>
      </c>
      <c r="B8153" t="s">
        <v>14</v>
      </c>
      <c r="C8153" t="s">
        <v>42</v>
      </c>
      <c r="D8153" t="s">
        <v>11</v>
      </c>
      <c r="E8153" t="s">
        <v>12</v>
      </c>
      <c r="F8153">
        <v>15755446</v>
      </c>
      <c r="G8153">
        <v>15755478</v>
      </c>
      <c r="H8153">
        <v>15755646</v>
      </c>
      <c r="I8153">
        <v>15755655</v>
      </c>
    </row>
    <row r="8154" spans="1:9" x14ac:dyDescent="0.2">
      <c r="A8154" s="1" t="str">
        <f>"HSPA14"</f>
        <v>HSPA14</v>
      </c>
      <c r="B8154" t="s">
        <v>14</v>
      </c>
      <c r="C8154" t="s">
        <v>15</v>
      </c>
      <c r="D8154" t="s">
        <v>17</v>
      </c>
      <c r="E8154" t="s">
        <v>12</v>
      </c>
      <c r="F8154">
        <v>14880287</v>
      </c>
      <c r="G8154">
        <v>14880345</v>
      </c>
      <c r="H8154">
        <v>14880364</v>
      </c>
      <c r="I8154">
        <v>14880382</v>
      </c>
    </row>
    <row r="8155" spans="1:9" x14ac:dyDescent="0.2">
      <c r="A8155" s="1" t="str">
        <f>"HSPA1A"</f>
        <v>HSPA1A</v>
      </c>
      <c r="B8155" t="s">
        <v>9</v>
      </c>
      <c r="C8155" t="s">
        <v>32</v>
      </c>
      <c r="D8155" t="s">
        <v>17</v>
      </c>
      <c r="E8155" t="s">
        <v>12</v>
      </c>
      <c r="F8155">
        <v>31783311</v>
      </c>
      <c r="G8155">
        <v>31783328</v>
      </c>
      <c r="H8155">
        <v>31783311</v>
      </c>
      <c r="I8155">
        <v>31783328</v>
      </c>
    </row>
    <row r="8156" spans="1:9" x14ac:dyDescent="0.2">
      <c r="A8156" s="1" t="str">
        <f>"HSPA1A"</f>
        <v>HSPA1A</v>
      </c>
      <c r="B8156" t="s">
        <v>13</v>
      </c>
      <c r="C8156" t="s">
        <v>32</v>
      </c>
      <c r="D8156" t="s">
        <v>17</v>
      </c>
      <c r="E8156" t="s">
        <v>12</v>
      </c>
      <c r="F8156">
        <v>31795506</v>
      </c>
      <c r="G8156">
        <v>31795525</v>
      </c>
      <c r="H8156">
        <v>31795506</v>
      </c>
      <c r="I8156">
        <v>31795525</v>
      </c>
    </row>
    <row r="8157" spans="1:9" x14ac:dyDescent="0.2">
      <c r="A8157" s="1" t="str">
        <f>"HSPA1B"</f>
        <v>HSPA1B</v>
      </c>
      <c r="B8157" t="s">
        <v>9</v>
      </c>
      <c r="C8157" t="s">
        <v>32</v>
      </c>
      <c r="D8157" t="s">
        <v>17</v>
      </c>
      <c r="E8157" t="s">
        <v>12</v>
      </c>
      <c r="F8157">
        <v>31783311</v>
      </c>
      <c r="G8157">
        <v>31783328</v>
      </c>
      <c r="H8157">
        <v>31783311</v>
      </c>
      <c r="I8157">
        <v>31783328</v>
      </c>
    </row>
    <row r="8158" spans="1:9" x14ac:dyDescent="0.2">
      <c r="A8158" s="1" t="str">
        <f>"HSPA1B"</f>
        <v>HSPA1B</v>
      </c>
      <c r="B8158" t="s">
        <v>13</v>
      </c>
      <c r="C8158" t="s">
        <v>32</v>
      </c>
      <c r="D8158" t="s">
        <v>17</v>
      </c>
      <c r="E8158" t="s">
        <v>12</v>
      </c>
      <c r="F8158">
        <v>31795506</v>
      </c>
      <c r="G8158">
        <v>31795525</v>
      </c>
      <c r="H8158">
        <v>31795506</v>
      </c>
      <c r="I8158">
        <v>31795525</v>
      </c>
    </row>
    <row r="8159" spans="1:9" x14ac:dyDescent="0.2">
      <c r="A8159" s="1" t="str">
        <f>"HSPA1L"</f>
        <v>HSPA1L</v>
      </c>
      <c r="B8159" t="s">
        <v>14</v>
      </c>
      <c r="C8159" t="s">
        <v>32</v>
      </c>
      <c r="D8159" t="s">
        <v>11</v>
      </c>
      <c r="E8159" t="s">
        <v>12</v>
      </c>
      <c r="F8159">
        <v>31783019</v>
      </c>
      <c r="G8159">
        <v>31783065</v>
      </c>
      <c r="H8159">
        <v>31783105</v>
      </c>
      <c r="I8159">
        <v>31783122</v>
      </c>
    </row>
    <row r="8160" spans="1:9" x14ac:dyDescent="0.2">
      <c r="A8160" s="1" t="str">
        <f>"HSPA2"</f>
        <v>HSPA2</v>
      </c>
      <c r="B8160" t="s">
        <v>14</v>
      </c>
      <c r="C8160" t="s">
        <v>41</v>
      </c>
      <c r="D8160" t="s">
        <v>17</v>
      </c>
      <c r="E8160" t="s">
        <v>12</v>
      </c>
      <c r="F8160">
        <v>65007452</v>
      </c>
      <c r="G8160">
        <v>65007466</v>
      </c>
      <c r="H8160">
        <v>65007288</v>
      </c>
      <c r="I8160">
        <v>65007317</v>
      </c>
    </row>
    <row r="8161" spans="1:9" x14ac:dyDescent="0.2">
      <c r="A8161" s="1" t="str">
        <f>"HSPA4"</f>
        <v>HSPA4</v>
      </c>
      <c r="B8161" t="s">
        <v>14</v>
      </c>
      <c r="C8161" t="s">
        <v>46</v>
      </c>
      <c r="D8161" t="s">
        <v>17</v>
      </c>
      <c r="E8161" t="s">
        <v>12</v>
      </c>
      <c r="F8161">
        <v>132387675</v>
      </c>
      <c r="G8161">
        <v>132387788</v>
      </c>
      <c r="H8161">
        <v>132387633</v>
      </c>
      <c r="I8161">
        <v>132387673</v>
      </c>
    </row>
    <row r="8162" spans="1:9" x14ac:dyDescent="0.2">
      <c r="A8162" s="1" t="str">
        <f>"HSPA4L"</f>
        <v>HSPA4L</v>
      </c>
      <c r="B8162" t="s">
        <v>14</v>
      </c>
      <c r="C8162" t="s">
        <v>23</v>
      </c>
      <c r="D8162" t="s">
        <v>17</v>
      </c>
      <c r="E8162" t="s">
        <v>12</v>
      </c>
      <c r="F8162">
        <v>128703425</v>
      </c>
      <c r="G8162">
        <v>128703496</v>
      </c>
      <c r="H8162">
        <v>128703504</v>
      </c>
      <c r="I8162">
        <v>128703507</v>
      </c>
    </row>
    <row r="8163" spans="1:9" x14ac:dyDescent="0.2">
      <c r="A8163" s="1" t="str">
        <f>"HSPA5"</f>
        <v>HSPA5</v>
      </c>
      <c r="B8163" t="s">
        <v>14</v>
      </c>
      <c r="C8163" t="s">
        <v>24</v>
      </c>
      <c r="D8163" t="s">
        <v>11</v>
      </c>
      <c r="E8163" t="s">
        <v>12</v>
      </c>
      <c r="F8163">
        <v>128003606</v>
      </c>
      <c r="G8163">
        <v>128003631</v>
      </c>
      <c r="H8163">
        <v>128003606</v>
      </c>
      <c r="I8163">
        <v>128003631</v>
      </c>
    </row>
    <row r="8164" spans="1:9" x14ac:dyDescent="0.2">
      <c r="A8164" s="1" t="str">
        <f>"HSPA6"</f>
        <v>HSPA6</v>
      </c>
      <c r="B8164" t="s">
        <v>14</v>
      </c>
      <c r="C8164" t="s">
        <v>19</v>
      </c>
      <c r="D8164" t="s">
        <v>17</v>
      </c>
      <c r="E8164" t="s">
        <v>12</v>
      </c>
      <c r="F8164">
        <v>161494328</v>
      </c>
      <c r="G8164">
        <v>161494332</v>
      </c>
      <c r="H8164">
        <v>161493692</v>
      </c>
      <c r="I8164">
        <v>161493702</v>
      </c>
    </row>
    <row r="8165" spans="1:9" x14ac:dyDescent="0.2">
      <c r="A8165" s="1" t="str">
        <f>"HSPA8"</f>
        <v>HSPA8</v>
      </c>
      <c r="B8165" t="s">
        <v>14</v>
      </c>
      <c r="C8165" t="s">
        <v>27</v>
      </c>
      <c r="D8165" t="s">
        <v>11</v>
      </c>
      <c r="E8165" t="s">
        <v>12</v>
      </c>
      <c r="F8165">
        <v>122932835</v>
      </c>
      <c r="G8165">
        <v>122932852</v>
      </c>
      <c r="H8165">
        <v>122933137</v>
      </c>
      <c r="I8165">
        <v>122933236</v>
      </c>
    </row>
    <row r="8166" spans="1:9" x14ac:dyDescent="0.2">
      <c r="A8166" s="1" t="str">
        <f>"HSPA9"</f>
        <v>HSPA9</v>
      </c>
      <c r="B8166" t="s">
        <v>14</v>
      </c>
      <c r="C8166" t="s">
        <v>46</v>
      </c>
      <c r="D8166" t="s">
        <v>11</v>
      </c>
      <c r="E8166" t="s">
        <v>12</v>
      </c>
      <c r="F8166">
        <v>137911049</v>
      </c>
      <c r="G8166">
        <v>137911111</v>
      </c>
      <c r="H8166">
        <v>137911022</v>
      </c>
      <c r="I8166">
        <v>137911036</v>
      </c>
    </row>
    <row r="8167" spans="1:9" x14ac:dyDescent="0.2">
      <c r="A8167" s="1" t="str">
        <f>"HSPB1"</f>
        <v>HSPB1</v>
      </c>
      <c r="B8167" t="s">
        <v>9</v>
      </c>
      <c r="C8167" t="s">
        <v>33</v>
      </c>
      <c r="D8167" t="s">
        <v>17</v>
      </c>
      <c r="E8167" t="s">
        <v>12</v>
      </c>
      <c r="F8167">
        <v>75931982</v>
      </c>
      <c r="G8167">
        <v>75932005</v>
      </c>
      <c r="H8167">
        <v>75931982</v>
      </c>
      <c r="I8167">
        <v>75932005</v>
      </c>
    </row>
    <row r="8168" spans="1:9" x14ac:dyDescent="0.2">
      <c r="A8168" s="1" t="str">
        <f>"HSPB1"</f>
        <v>HSPB1</v>
      </c>
      <c r="B8168" t="s">
        <v>13</v>
      </c>
      <c r="C8168" t="s">
        <v>33</v>
      </c>
      <c r="D8168" t="s">
        <v>17</v>
      </c>
      <c r="E8168" t="s">
        <v>12</v>
      </c>
      <c r="F8168">
        <v>75933083</v>
      </c>
      <c r="G8168">
        <v>75933120</v>
      </c>
      <c r="H8168">
        <v>75933083</v>
      </c>
      <c r="I8168">
        <v>75933120</v>
      </c>
    </row>
    <row r="8169" spans="1:9" x14ac:dyDescent="0.2">
      <c r="A8169" s="1" t="str">
        <f>"HSPB11"</f>
        <v>HSPB11</v>
      </c>
      <c r="B8169" t="s">
        <v>14</v>
      </c>
      <c r="C8169" t="s">
        <v>19</v>
      </c>
      <c r="D8169" t="s">
        <v>11</v>
      </c>
      <c r="E8169" t="s">
        <v>12</v>
      </c>
      <c r="F8169">
        <v>54411332</v>
      </c>
      <c r="G8169">
        <v>54411393</v>
      </c>
      <c r="H8169">
        <v>54411255</v>
      </c>
      <c r="I8169">
        <v>54411290</v>
      </c>
    </row>
    <row r="8170" spans="1:9" x14ac:dyDescent="0.2">
      <c r="A8170" s="1" t="str">
        <f>"HSPB2"</f>
        <v>HSPB2</v>
      </c>
      <c r="B8170" t="s">
        <v>14</v>
      </c>
      <c r="C8170" t="s">
        <v>27</v>
      </c>
      <c r="D8170" t="s">
        <v>17</v>
      </c>
      <c r="E8170" t="s">
        <v>12</v>
      </c>
      <c r="F8170">
        <v>111783450</v>
      </c>
      <c r="G8170">
        <v>111783475</v>
      </c>
      <c r="H8170">
        <v>111783450</v>
      </c>
      <c r="I8170">
        <v>111783475</v>
      </c>
    </row>
    <row r="8171" spans="1:9" x14ac:dyDescent="0.2">
      <c r="A8171" s="1" t="str">
        <f>"HSPB3"</f>
        <v>HSPB3</v>
      </c>
      <c r="B8171" t="s">
        <v>14</v>
      </c>
      <c r="C8171" t="s">
        <v>46</v>
      </c>
      <c r="D8171" t="s">
        <v>17</v>
      </c>
      <c r="E8171" t="s">
        <v>12</v>
      </c>
      <c r="F8171">
        <v>53751518</v>
      </c>
      <c r="G8171">
        <v>53751538</v>
      </c>
      <c r="H8171">
        <v>53751501</v>
      </c>
      <c r="I8171">
        <v>53751508</v>
      </c>
    </row>
    <row r="8172" spans="1:9" x14ac:dyDescent="0.2">
      <c r="A8172" s="1" t="str">
        <f>"HSPB6"</f>
        <v>HSPB6</v>
      </c>
      <c r="B8172" t="s">
        <v>14</v>
      </c>
      <c r="C8172" t="s">
        <v>10</v>
      </c>
      <c r="D8172" t="s">
        <v>11</v>
      </c>
      <c r="E8172" t="s">
        <v>12</v>
      </c>
      <c r="F8172">
        <v>36247921</v>
      </c>
      <c r="G8172">
        <v>36247937</v>
      </c>
      <c r="H8172">
        <v>36247921</v>
      </c>
      <c r="I8172">
        <v>36247937</v>
      </c>
    </row>
    <row r="8173" spans="1:9" x14ac:dyDescent="0.2">
      <c r="A8173" s="1" t="str">
        <f>"HSPB7"</f>
        <v>HSPB7</v>
      </c>
      <c r="B8173" t="s">
        <v>14</v>
      </c>
      <c r="C8173" t="s">
        <v>19</v>
      </c>
      <c r="D8173" t="s">
        <v>11</v>
      </c>
      <c r="E8173" t="s">
        <v>12</v>
      </c>
      <c r="F8173">
        <v>16344530</v>
      </c>
      <c r="G8173">
        <v>16344547</v>
      </c>
      <c r="H8173">
        <v>16344530</v>
      </c>
      <c r="I8173">
        <v>16344547</v>
      </c>
    </row>
    <row r="8174" spans="1:9" x14ac:dyDescent="0.2">
      <c r="A8174" s="1" t="str">
        <f>"HSPB8"</f>
        <v>HSPB8</v>
      </c>
      <c r="B8174" t="s">
        <v>14</v>
      </c>
      <c r="C8174" t="s">
        <v>16</v>
      </c>
      <c r="D8174" t="s">
        <v>17</v>
      </c>
      <c r="E8174" t="s">
        <v>12</v>
      </c>
      <c r="F8174">
        <v>119616725</v>
      </c>
      <c r="G8174">
        <v>119616743</v>
      </c>
      <c r="H8174">
        <v>119616725</v>
      </c>
      <c r="I8174">
        <v>119616743</v>
      </c>
    </row>
    <row r="8175" spans="1:9" x14ac:dyDescent="0.2">
      <c r="A8175" s="1" t="str">
        <f>"HSPB9"</f>
        <v>HSPB9</v>
      </c>
      <c r="B8175" t="s">
        <v>14</v>
      </c>
      <c r="C8175" t="s">
        <v>28</v>
      </c>
      <c r="D8175" t="s">
        <v>17</v>
      </c>
      <c r="E8175" t="s">
        <v>12</v>
      </c>
      <c r="F8175">
        <v>40274836</v>
      </c>
      <c r="G8175">
        <v>40274859</v>
      </c>
      <c r="H8175">
        <v>40274816</v>
      </c>
      <c r="I8175">
        <v>40274831</v>
      </c>
    </row>
    <row r="8176" spans="1:9" x14ac:dyDescent="0.2">
      <c r="A8176" s="1" t="str">
        <f>"HSPBAP1"</f>
        <v>HSPBAP1</v>
      </c>
      <c r="B8176" t="s">
        <v>14</v>
      </c>
      <c r="C8176" t="s">
        <v>22</v>
      </c>
      <c r="D8176" t="s">
        <v>11</v>
      </c>
      <c r="E8176" t="s">
        <v>12</v>
      </c>
      <c r="F8176">
        <v>122512619</v>
      </c>
      <c r="G8176">
        <v>122512690</v>
      </c>
      <c r="H8176">
        <v>122512540</v>
      </c>
      <c r="I8176">
        <v>122512566</v>
      </c>
    </row>
    <row r="8177" spans="1:9" x14ac:dyDescent="0.2">
      <c r="A8177" s="1" t="str">
        <f>"HSPBP1"</f>
        <v>HSPBP1</v>
      </c>
      <c r="B8177" t="s">
        <v>14</v>
      </c>
      <c r="C8177" t="s">
        <v>10</v>
      </c>
      <c r="D8177" t="s">
        <v>11</v>
      </c>
      <c r="E8177" t="s">
        <v>12</v>
      </c>
      <c r="F8177">
        <v>55791431</v>
      </c>
      <c r="G8177">
        <v>55791508</v>
      </c>
      <c r="H8177">
        <v>55791711</v>
      </c>
      <c r="I8177">
        <v>55791756</v>
      </c>
    </row>
    <row r="8178" spans="1:9" x14ac:dyDescent="0.2">
      <c r="A8178" s="1" t="str">
        <f>"HSPD1"</f>
        <v>HSPD1</v>
      </c>
      <c r="B8178" t="s">
        <v>14</v>
      </c>
      <c r="C8178" t="s">
        <v>26</v>
      </c>
      <c r="D8178" t="s">
        <v>11</v>
      </c>
      <c r="E8178" t="s">
        <v>12</v>
      </c>
      <c r="F8178">
        <v>198364552</v>
      </c>
      <c r="G8178">
        <v>198364576</v>
      </c>
      <c r="H8178">
        <v>198364581</v>
      </c>
      <c r="I8178">
        <v>198364596</v>
      </c>
    </row>
    <row r="8179" spans="1:9" x14ac:dyDescent="0.2">
      <c r="A8179" s="1" t="str">
        <f>"HSPE1"</f>
        <v>HSPE1</v>
      </c>
      <c r="B8179" t="s">
        <v>14</v>
      </c>
      <c r="C8179" t="s">
        <v>26</v>
      </c>
      <c r="D8179" t="s">
        <v>17</v>
      </c>
      <c r="E8179" t="s">
        <v>12</v>
      </c>
      <c r="F8179">
        <v>198365095</v>
      </c>
      <c r="G8179">
        <v>198365116</v>
      </c>
      <c r="H8179">
        <v>198365063</v>
      </c>
      <c r="I8179">
        <v>198365091</v>
      </c>
    </row>
    <row r="8180" spans="1:9" x14ac:dyDescent="0.2">
      <c r="A8180" s="1" t="str">
        <f>"HSPE1-MOB4"</f>
        <v>HSPE1-MOB4</v>
      </c>
      <c r="B8180" t="s">
        <v>14</v>
      </c>
      <c r="C8180" t="s">
        <v>26</v>
      </c>
      <c r="D8180" t="s">
        <v>17</v>
      </c>
      <c r="E8180" t="s">
        <v>67</v>
      </c>
      <c r="F8180">
        <v>198365095</v>
      </c>
      <c r="G8180">
        <v>198365116</v>
      </c>
      <c r="H8180">
        <v>198365063</v>
      </c>
      <c r="I8180">
        <v>198365091</v>
      </c>
    </row>
    <row r="8181" spans="1:9" x14ac:dyDescent="0.2">
      <c r="A8181" s="1" t="str">
        <f>"HSPG2"</f>
        <v>HSPG2</v>
      </c>
      <c r="B8181" t="s">
        <v>14</v>
      </c>
      <c r="C8181" t="s">
        <v>19</v>
      </c>
      <c r="D8181" t="s">
        <v>11</v>
      </c>
      <c r="E8181" t="s">
        <v>12</v>
      </c>
      <c r="F8181">
        <v>22263793</v>
      </c>
      <c r="G8181">
        <v>22263811</v>
      </c>
      <c r="H8181">
        <v>22263793</v>
      </c>
      <c r="I8181">
        <v>22263811</v>
      </c>
    </row>
    <row r="8182" spans="1:9" x14ac:dyDescent="0.2">
      <c r="A8182" s="1" t="str">
        <f>"HSPH1"</f>
        <v>HSPH1</v>
      </c>
      <c r="B8182" t="s">
        <v>14</v>
      </c>
      <c r="C8182" t="s">
        <v>39</v>
      </c>
      <c r="D8182" t="s">
        <v>11</v>
      </c>
      <c r="E8182" t="s">
        <v>12</v>
      </c>
      <c r="F8182">
        <v>31736027</v>
      </c>
      <c r="G8182">
        <v>31736053</v>
      </c>
      <c r="H8182">
        <v>31736073</v>
      </c>
      <c r="I8182">
        <v>31736092</v>
      </c>
    </row>
    <row r="8183" spans="1:9" x14ac:dyDescent="0.2">
      <c r="A8183" s="1" t="str">
        <f>"HTATIP2"</f>
        <v>HTATIP2</v>
      </c>
      <c r="B8183" t="s">
        <v>14</v>
      </c>
      <c r="C8183" t="s">
        <v>27</v>
      </c>
      <c r="D8183" t="s">
        <v>17</v>
      </c>
      <c r="E8183" t="s">
        <v>12</v>
      </c>
      <c r="F8183">
        <v>20385252</v>
      </c>
      <c r="G8183">
        <v>20385320</v>
      </c>
      <c r="H8183">
        <v>20385666</v>
      </c>
      <c r="I8183">
        <v>20385757</v>
      </c>
    </row>
    <row r="8184" spans="1:9" x14ac:dyDescent="0.2">
      <c r="A8184" s="1" t="str">
        <f>"HTATSF1"</f>
        <v>HTATSF1</v>
      </c>
      <c r="B8184" t="s">
        <v>14</v>
      </c>
      <c r="C8184" t="s">
        <v>37</v>
      </c>
      <c r="D8184" t="s">
        <v>17</v>
      </c>
      <c r="E8184" t="s">
        <v>12</v>
      </c>
      <c r="F8184">
        <v>135579363</v>
      </c>
      <c r="G8184">
        <v>135579416</v>
      </c>
      <c r="H8184">
        <v>135579783</v>
      </c>
      <c r="I8184">
        <v>135579812</v>
      </c>
    </row>
    <row r="8185" spans="1:9" x14ac:dyDescent="0.2">
      <c r="A8185" s="1" t="str">
        <f>"HTN1"</f>
        <v>HTN1</v>
      </c>
      <c r="B8185" t="s">
        <v>14</v>
      </c>
      <c r="C8185" t="s">
        <v>23</v>
      </c>
      <c r="D8185" t="s">
        <v>17</v>
      </c>
      <c r="E8185" t="s">
        <v>12</v>
      </c>
      <c r="F8185">
        <v>70916148</v>
      </c>
      <c r="G8185">
        <v>70916167</v>
      </c>
      <c r="H8185">
        <v>70916169</v>
      </c>
      <c r="I8185">
        <v>70916180</v>
      </c>
    </row>
    <row r="8186" spans="1:9" x14ac:dyDescent="0.2">
      <c r="A8186" s="1" t="str">
        <f>"HTN3"</f>
        <v>HTN3</v>
      </c>
      <c r="B8186" t="s">
        <v>14</v>
      </c>
      <c r="C8186" t="s">
        <v>23</v>
      </c>
      <c r="D8186" t="s">
        <v>17</v>
      </c>
      <c r="E8186" t="s">
        <v>12</v>
      </c>
      <c r="F8186">
        <v>70894169</v>
      </c>
      <c r="G8186">
        <v>70894188</v>
      </c>
      <c r="H8186">
        <v>70894169</v>
      </c>
      <c r="I8186">
        <v>70894188</v>
      </c>
    </row>
    <row r="8187" spans="1:9" x14ac:dyDescent="0.2">
      <c r="A8187" s="1" t="str">
        <f>"HTR1A"</f>
        <v>HTR1A</v>
      </c>
      <c r="B8187" t="s">
        <v>14</v>
      </c>
      <c r="C8187" t="s">
        <v>46</v>
      </c>
      <c r="D8187" t="s">
        <v>11</v>
      </c>
      <c r="E8187" t="s">
        <v>12</v>
      </c>
      <c r="F8187">
        <v>63256975</v>
      </c>
      <c r="G8187">
        <v>63257005</v>
      </c>
      <c r="H8187">
        <v>63256975</v>
      </c>
      <c r="I8187">
        <v>63257005</v>
      </c>
    </row>
    <row r="8188" spans="1:9" x14ac:dyDescent="0.2">
      <c r="A8188" s="1" t="str">
        <f>"HTR1B"</f>
        <v>HTR1B</v>
      </c>
      <c r="B8188" t="s">
        <v>14</v>
      </c>
      <c r="C8188" t="s">
        <v>32</v>
      </c>
      <c r="D8188" t="s">
        <v>11</v>
      </c>
      <c r="E8188" t="s">
        <v>12</v>
      </c>
      <c r="F8188">
        <v>78173168</v>
      </c>
      <c r="G8188">
        <v>78173198</v>
      </c>
      <c r="H8188">
        <v>78173202</v>
      </c>
      <c r="I8188">
        <v>78173226</v>
      </c>
    </row>
    <row r="8189" spans="1:9" x14ac:dyDescent="0.2">
      <c r="A8189" s="1" t="str">
        <f>"HTR1D"</f>
        <v>HTR1D</v>
      </c>
      <c r="B8189" t="s">
        <v>14</v>
      </c>
      <c r="C8189" t="s">
        <v>19</v>
      </c>
      <c r="D8189" t="s">
        <v>11</v>
      </c>
      <c r="E8189" t="s">
        <v>12</v>
      </c>
      <c r="F8189">
        <v>23520837</v>
      </c>
      <c r="G8189">
        <v>23520846</v>
      </c>
      <c r="H8189">
        <v>23520861</v>
      </c>
      <c r="I8189">
        <v>23520866</v>
      </c>
    </row>
    <row r="8190" spans="1:9" x14ac:dyDescent="0.2">
      <c r="A8190" s="1" t="str">
        <f>"HTR1E"</f>
        <v>HTR1E</v>
      </c>
      <c r="B8190" t="s">
        <v>14</v>
      </c>
      <c r="C8190" t="s">
        <v>32</v>
      </c>
      <c r="D8190" t="s">
        <v>17</v>
      </c>
      <c r="E8190" t="s">
        <v>12</v>
      </c>
      <c r="F8190">
        <v>87647233</v>
      </c>
      <c r="G8190">
        <v>87647275</v>
      </c>
      <c r="H8190">
        <v>87646995</v>
      </c>
      <c r="I8190">
        <v>87647024</v>
      </c>
    </row>
    <row r="8191" spans="1:9" x14ac:dyDescent="0.2">
      <c r="A8191" s="1" t="str">
        <f>"HTR1F"</f>
        <v>HTR1F</v>
      </c>
      <c r="B8191" t="s">
        <v>629</v>
      </c>
      <c r="C8191" t="s">
        <v>22</v>
      </c>
      <c r="D8191" t="s">
        <v>17</v>
      </c>
      <c r="E8191" t="s">
        <v>20</v>
      </c>
      <c r="F8191">
        <v>88039845</v>
      </c>
      <c r="G8191">
        <v>88039845</v>
      </c>
      <c r="H8191">
        <v>88039845</v>
      </c>
      <c r="I8191">
        <v>88039845</v>
      </c>
    </row>
    <row r="8192" spans="1:9" x14ac:dyDescent="0.2">
      <c r="A8192" s="1" t="str">
        <f>"HTR2A"</f>
        <v>HTR2A</v>
      </c>
      <c r="B8192" t="s">
        <v>14</v>
      </c>
      <c r="C8192" t="s">
        <v>39</v>
      </c>
      <c r="D8192" t="s">
        <v>11</v>
      </c>
      <c r="E8192" t="s">
        <v>12</v>
      </c>
      <c r="F8192">
        <v>47471155</v>
      </c>
      <c r="G8192">
        <v>47471214</v>
      </c>
      <c r="H8192">
        <v>47471006</v>
      </c>
      <c r="I8192">
        <v>47471041</v>
      </c>
    </row>
    <row r="8193" spans="1:9" x14ac:dyDescent="0.2">
      <c r="A8193" s="1" t="str">
        <f>"HTR2B"</f>
        <v>HTR2B</v>
      </c>
      <c r="B8193" t="s">
        <v>14</v>
      </c>
      <c r="C8193" t="s">
        <v>26</v>
      </c>
      <c r="D8193" t="s">
        <v>11</v>
      </c>
      <c r="E8193" t="s">
        <v>12</v>
      </c>
      <c r="F8193">
        <v>231989746</v>
      </c>
      <c r="G8193">
        <v>231989763</v>
      </c>
      <c r="H8193">
        <v>231989771</v>
      </c>
      <c r="I8193">
        <v>231989788</v>
      </c>
    </row>
    <row r="8194" spans="1:9" x14ac:dyDescent="0.2">
      <c r="A8194" s="1" t="str">
        <f>"HTR2C"</f>
        <v>HTR2C</v>
      </c>
      <c r="B8194" t="s">
        <v>14</v>
      </c>
      <c r="C8194" t="s">
        <v>37</v>
      </c>
      <c r="D8194" t="s">
        <v>17</v>
      </c>
      <c r="E8194" t="s">
        <v>12</v>
      </c>
      <c r="F8194">
        <v>113818545</v>
      </c>
      <c r="G8194">
        <v>113818566</v>
      </c>
      <c r="H8194">
        <v>113819023</v>
      </c>
      <c r="I8194">
        <v>113819035</v>
      </c>
    </row>
    <row r="8195" spans="1:9" x14ac:dyDescent="0.2">
      <c r="A8195" s="1" t="str">
        <f>"HTR3A"</f>
        <v>HTR3A</v>
      </c>
      <c r="B8195" t="s">
        <v>9</v>
      </c>
      <c r="C8195" t="s">
        <v>27</v>
      </c>
      <c r="D8195" t="s">
        <v>17</v>
      </c>
      <c r="E8195" t="s">
        <v>12</v>
      </c>
      <c r="F8195">
        <v>113845913</v>
      </c>
      <c r="G8195">
        <v>113845931</v>
      </c>
      <c r="H8195">
        <v>113845913</v>
      </c>
      <c r="I8195">
        <v>113845931</v>
      </c>
    </row>
    <row r="8196" spans="1:9" x14ac:dyDescent="0.2">
      <c r="A8196" s="1" t="str">
        <f>"HTR3A"</f>
        <v>HTR3A</v>
      </c>
      <c r="B8196" t="s">
        <v>13</v>
      </c>
      <c r="C8196" t="s">
        <v>27</v>
      </c>
      <c r="D8196" t="s">
        <v>17</v>
      </c>
      <c r="E8196" t="s">
        <v>12</v>
      </c>
      <c r="F8196">
        <v>113848216</v>
      </c>
      <c r="G8196">
        <v>113848228</v>
      </c>
      <c r="H8196">
        <v>113848216</v>
      </c>
      <c r="I8196">
        <v>113848228</v>
      </c>
    </row>
    <row r="8197" spans="1:9" x14ac:dyDescent="0.2">
      <c r="A8197" s="1" t="str">
        <f>"HTR3B"</f>
        <v>HTR3B</v>
      </c>
      <c r="B8197" t="s">
        <v>14</v>
      </c>
      <c r="C8197" t="s">
        <v>27</v>
      </c>
      <c r="D8197" t="s">
        <v>17</v>
      </c>
      <c r="E8197" t="s">
        <v>12</v>
      </c>
      <c r="F8197">
        <v>113779704</v>
      </c>
      <c r="G8197">
        <v>113779727</v>
      </c>
      <c r="H8197">
        <v>113779912</v>
      </c>
      <c r="I8197">
        <v>113779927</v>
      </c>
    </row>
    <row r="8198" spans="1:9" x14ac:dyDescent="0.2">
      <c r="A8198" s="1" t="str">
        <f>"HTR3C"</f>
        <v>HTR3C</v>
      </c>
      <c r="B8198" t="s">
        <v>14</v>
      </c>
      <c r="C8198" t="s">
        <v>22</v>
      </c>
      <c r="D8198" t="s">
        <v>17</v>
      </c>
      <c r="E8198" t="s">
        <v>12</v>
      </c>
      <c r="F8198">
        <v>183770797</v>
      </c>
      <c r="G8198">
        <v>183770804</v>
      </c>
      <c r="H8198">
        <v>183770838</v>
      </c>
      <c r="I8198">
        <v>183770859</v>
      </c>
    </row>
    <row r="8199" spans="1:9" x14ac:dyDescent="0.2">
      <c r="A8199" s="1" t="str">
        <f>"HTR3D"</f>
        <v>HTR3D</v>
      </c>
      <c r="B8199" t="s">
        <v>630</v>
      </c>
      <c r="C8199" t="s">
        <v>22</v>
      </c>
      <c r="D8199" t="s">
        <v>17</v>
      </c>
      <c r="E8199" t="s">
        <v>20</v>
      </c>
      <c r="F8199">
        <v>183750618</v>
      </c>
      <c r="G8199">
        <v>183750618</v>
      </c>
      <c r="H8199">
        <v>183750618</v>
      </c>
      <c r="I8199">
        <v>183750618</v>
      </c>
    </row>
    <row r="8200" spans="1:9" x14ac:dyDescent="0.2">
      <c r="A8200" s="1" t="str">
        <f>"HTR3D"</f>
        <v>HTR3D</v>
      </c>
      <c r="B8200" t="s">
        <v>631</v>
      </c>
      <c r="C8200" t="s">
        <v>22</v>
      </c>
      <c r="D8200" t="s">
        <v>17</v>
      </c>
      <c r="E8200" t="s">
        <v>20</v>
      </c>
      <c r="F8200">
        <v>183749529</v>
      </c>
      <c r="G8200">
        <v>183749529</v>
      </c>
      <c r="H8200">
        <v>183749529</v>
      </c>
      <c r="I8200">
        <v>183749529</v>
      </c>
    </row>
    <row r="8201" spans="1:9" x14ac:dyDescent="0.2">
      <c r="A8201" s="1" t="str">
        <f>"HTR3E"</f>
        <v>HTR3E</v>
      </c>
      <c r="B8201" t="s">
        <v>14</v>
      </c>
      <c r="C8201" t="s">
        <v>22</v>
      </c>
      <c r="D8201" t="s">
        <v>17</v>
      </c>
      <c r="E8201" t="s">
        <v>12</v>
      </c>
      <c r="F8201">
        <v>183818343</v>
      </c>
      <c r="G8201">
        <v>183818347</v>
      </c>
      <c r="H8201">
        <v>183818343</v>
      </c>
      <c r="I8201">
        <v>183818347</v>
      </c>
    </row>
    <row r="8202" spans="1:9" x14ac:dyDescent="0.2">
      <c r="A8202" s="1" t="str">
        <f>"HTR4"</f>
        <v>HTR4</v>
      </c>
      <c r="B8202" t="s">
        <v>14</v>
      </c>
      <c r="C8202" t="s">
        <v>46</v>
      </c>
      <c r="D8202" t="s">
        <v>11</v>
      </c>
      <c r="E8202" t="s">
        <v>12</v>
      </c>
      <c r="F8202">
        <v>148033693</v>
      </c>
      <c r="G8202">
        <v>148033713</v>
      </c>
      <c r="H8202">
        <v>148034085</v>
      </c>
      <c r="I8202">
        <v>148034097</v>
      </c>
    </row>
    <row r="8203" spans="1:9" x14ac:dyDescent="0.2">
      <c r="A8203" s="1" t="str">
        <f>"HTR5A"</f>
        <v>HTR5A</v>
      </c>
      <c r="B8203" t="s">
        <v>9</v>
      </c>
      <c r="C8203" t="s">
        <v>33</v>
      </c>
      <c r="D8203" t="s">
        <v>17</v>
      </c>
      <c r="E8203" t="s">
        <v>12</v>
      </c>
      <c r="F8203">
        <v>154863066</v>
      </c>
      <c r="G8203">
        <v>154863136</v>
      </c>
      <c r="H8203">
        <v>154863066</v>
      </c>
      <c r="I8203">
        <v>154863136</v>
      </c>
    </row>
    <row r="8204" spans="1:9" x14ac:dyDescent="0.2">
      <c r="A8204" s="1" t="str">
        <f>"HTR5A"</f>
        <v>HTR5A</v>
      </c>
      <c r="B8204" t="s">
        <v>13</v>
      </c>
      <c r="C8204" t="s">
        <v>33</v>
      </c>
      <c r="D8204" t="s">
        <v>17</v>
      </c>
      <c r="E8204" t="s">
        <v>12</v>
      </c>
      <c r="F8204">
        <v>154862028</v>
      </c>
      <c r="G8204">
        <v>154862045</v>
      </c>
      <c r="H8204">
        <v>154862028</v>
      </c>
      <c r="I8204">
        <v>154862045</v>
      </c>
    </row>
    <row r="8205" spans="1:9" x14ac:dyDescent="0.2">
      <c r="A8205" s="1" t="str">
        <f>"HTR6"</f>
        <v>HTR6</v>
      </c>
      <c r="B8205" t="s">
        <v>14</v>
      </c>
      <c r="C8205" t="s">
        <v>19</v>
      </c>
      <c r="D8205" t="s">
        <v>17</v>
      </c>
      <c r="E8205" t="s">
        <v>12</v>
      </c>
      <c r="F8205">
        <v>19991353</v>
      </c>
      <c r="G8205">
        <v>19991397</v>
      </c>
      <c r="H8205">
        <v>19991353</v>
      </c>
      <c r="I8205">
        <v>19991397</v>
      </c>
    </row>
    <row r="8206" spans="1:9" x14ac:dyDescent="0.2">
      <c r="A8206" s="1" t="str">
        <f>"HTR7"</f>
        <v>HTR7</v>
      </c>
      <c r="B8206" t="s">
        <v>14</v>
      </c>
      <c r="C8206" t="s">
        <v>15</v>
      </c>
      <c r="D8206" t="s">
        <v>11</v>
      </c>
      <c r="E8206" t="s">
        <v>12</v>
      </c>
      <c r="F8206">
        <v>92617740</v>
      </c>
      <c r="G8206">
        <v>92617801</v>
      </c>
      <c r="H8206">
        <v>92617893</v>
      </c>
      <c r="I8206">
        <v>92617933</v>
      </c>
    </row>
    <row r="8207" spans="1:9" x14ac:dyDescent="0.2">
      <c r="A8207" s="1" t="str">
        <f>"HTRA1"</f>
        <v>HTRA1</v>
      </c>
      <c r="B8207" t="s">
        <v>14</v>
      </c>
      <c r="C8207" t="s">
        <v>15</v>
      </c>
      <c r="D8207" t="s">
        <v>17</v>
      </c>
      <c r="E8207" t="s">
        <v>12</v>
      </c>
      <c r="F8207">
        <v>124221082</v>
      </c>
      <c r="G8207">
        <v>124221140</v>
      </c>
      <c r="H8207">
        <v>124221061</v>
      </c>
      <c r="I8207">
        <v>124221080</v>
      </c>
    </row>
    <row r="8208" spans="1:9" x14ac:dyDescent="0.2">
      <c r="A8208" s="1" t="str">
        <f>"HTRA2"</f>
        <v>HTRA2</v>
      </c>
      <c r="B8208" t="s">
        <v>14</v>
      </c>
      <c r="C8208" t="s">
        <v>26</v>
      </c>
      <c r="D8208" t="s">
        <v>17</v>
      </c>
      <c r="E8208" t="s">
        <v>12</v>
      </c>
      <c r="F8208">
        <v>74757050</v>
      </c>
      <c r="G8208">
        <v>74757143</v>
      </c>
      <c r="H8208">
        <v>74757700</v>
      </c>
      <c r="I8208">
        <v>74757770</v>
      </c>
    </row>
    <row r="8209" spans="1:9" x14ac:dyDescent="0.2">
      <c r="A8209" s="1" t="str">
        <f>"HTRA3"</f>
        <v>HTRA3</v>
      </c>
      <c r="B8209" t="s">
        <v>14</v>
      </c>
      <c r="C8209" t="s">
        <v>23</v>
      </c>
      <c r="D8209" t="s">
        <v>17</v>
      </c>
      <c r="E8209" t="s">
        <v>12</v>
      </c>
      <c r="F8209">
        <v>8271471</v>
      </c>
      <c r="G8209">
        <v>8271489</v>
      </c>
      <c r="H8209">
        <v>8271796</v>
      </c>
      <c r="I8209">
        <v>8271801</v>
      </c>
    </row>
    <row r="8210" spans="1:9" x14ac:dyDescent="0.2">
      <c r="A8210" s="1" t="str">
        <f>"HTRA4"</f>
        <v>HTRA4</v>
      </c>
      <c r="B8210" t="s">
        <v>14</v>
      </c>
      <c r="C8210" t="s">
        <v>30</v>
      </c>
      <c r="D8210" t="s">
        <v>17</v>
      </c>
      <c r="E8210" t="s">
        <v>12</v>
      </c>
      <c r="F8210">
        <v>38831732</v>
      </c>
      <c r="G8210">
        <v>38831758</v>
      </c>
      <c r="H8210">
        <v>38831475</v>
      </c>
      <c r="I8210">
        <v>38831521</v>
      </c>
    </row>
    <row r="8211" spans="1:9" x14ac:dyDescent="0.2">
      <c r="A8211" s="1" t="str">
        <f>"HTT"</f>
        <v>HTT</v>
      </c>
      <c r="B8211" t="s">
        <v>14</v>
      </c>
      <c r="C8211" t="s">
        <v>23</v>
      </c>
      <c r="D8211" t="s">
        <v>17</v>
      </c>
      <c r="E8211" t="s">
        <v>12</v>
      </c>
      <c r="F8211">
        <v>3076388</v>
      </c>
      <c r="G8211">
        <v>3076431</v>
      </c>
      <c r="H8211">
        <v>3076388</v>
      </c>
      <c r="I8211">
        <v>3076431</v>
      </c>
    </row>
    <row r="8212" spans="1:9" x14ac:dyDescent="0.2">
      <c r="A8212" s="1" t="str">
        <f>"HUNK"</f>
        <v>HUNK</v>
      </c>
      <c r="B8212" t="s">
        <v>14</v>
      </c>
      <c r="C8212" t="s">
        <v>42</v>
      </c>
      <c r="D8212" t="s">
        <v>17</v>
      </c>
      <c r="E8212" t="s">
        <v>12</v>
      </c>
      <c r="F8212">
        <v>33245323</v>
      </c>
      <c r="G8212">
        <v>33245352</v>
      </c>
      <c r="H8212">
        <v>33245426</v>
      </c>
      <c r="I8212">
        <v>33245465</v>
      </c>
    </row>
    <row r="8213" spans="1:9" x14ac:dyDescent="0.2">
      <c r="A8213" s="1" t="str">
        <f>"HUS1"</f>
        <v>HUS1</v>
      </c>
      <c r="B8213" t="s">
        <v>14</v>
      </c>
      <c r="C8213" t="s">
        <v>33</v>
      </c>
      <c r="D8213" t="s">
        <v>11</v>
      </c>
      <c r="E8213" t="s">
        <v>12</v>
      </c>
      <c r="F8213">
        <v>48019117</v>
      </c>
      <c r="G8213">
        <v>48019187</v>
      </c>
      <c r="H8213">
        <v>48019203</v>
      </c>
      <c r="I8213">
        <v>48019228</v>
      </c>
    </row>
    <row r="8214" spans="1:9" x14ac:dyDescent="0.2">
      <c r="A8214" s="1" t="str">
        <f>"HUS1B"</f>
        <v>HUS1B</v>
      </c>
      <c r="B8214" t="s">
        <v>14</v>
      </c>
      <c r="C8214" t="s">
        <v>32</v>
      </c>
      <c r="D8214" t="s">
        <v>11</v>
      </c>
      <c r="E8214" t="s">
        <v>12</v>
      </c>
      <c r="F8214">
        <v>656974</v>
      </c>
      <c r="G8214">
        <v>656996</v>
      </c>
      <c r="H8214">
        <v>656974</v>
      </c>
      <c r="I8214">
        <v>656996</v>
      </c>
    </row>
    <row r="8215" spans="1:9" x14ac:dyDescent="0.2">
      <c r="A8215" s="1" t="str">
        <f>"HUWE1"</f>
        <v>HUWE1</v>
      </c>
      <c r="B8215" t="s">
        <v>14</v>
      </c>
      <c r="C8215" t="s">
        <v>37</v>
      </c>
      <c r="D8215" t="s">
        <v>11</v>
      </c>
      <c r="E8215" t="s">
        <v>12</v>
      </c>
      <c r="F8215">
        <v>53710917</v>
      </c>
      <c r="G8215">
        <v>53710998</v>
      </c>
      <c r="H8215">
        <v>53711064</v>
      </c>
      <c r="I8215">
        <v>53711132</v>
      </c>
    </row>
    <row r="8216" spans="1:9" x14ac:dyDescent="0.2">
      <c r="A8216" s="1" t="str">
        <f>"HVCN1"</f>
        <v>HVCN1</v>
      </c>
      <c r="B8216" t="s">
        <v>14</v>
      </c>
      <c r="C8216" t="s">
        <v>16</v>
      </c>
      <c r="D8216" t="s">
        <v>11</v>
      </c>
      <c r="E8216" t="s">
        <v>12</v>
      </c>
      <c r="F8216">
        <v>111126910</v>
      </c>
      <c r="G8216">
        <v>111126949</v>
      </c>
      <c r="H8216">
        <v>111127551</v>
      </c>
      <c r="I8216">
        <v>111127618</v>
      </c>
    </row>
    <row r="8217" spans="1:9" x14ac:dyDescent="0.2">
      <c r="A8217" s="1" t="str">
        <f>"HYAL1"</f>
        <v>HYAL1</v>
      </c>
      <c r="B8217" t="s">
        <v>9</v>
      </c>
      <c r="C8217" t="s">
        <v>22</v>
      </c>
      <c r="D8217" t="s">
        <v>11</v>
      </c>
      <c r="E8217" t="s">
        <v>12</v>
      </c>
      <c r="F8217">
        <v>50340996</v>
      </c>
      <c r="G8217">
        <v>50341012</v>
      </c>
      <c r="H8217">
        <v>50340996</v>
      </c>
      <c r="I8217">
        <v>50341012</v>
      </c>
    </row>
    <row r="8218" spans="1:9" x14ac:dyDescent="0.2">
      <c r="A8218" s="1" t="str">
        <f>"HYAL1"</f>
        <v>HYAL1</v>
      </c>
      <c r="B8218" t="s">
        <v>13</v>
      </c>
      <c r="C8218" t="s">
        <v>22</v>
      </c>
      <c r="D8218" t="s">
        <v>11</v>
      </c>
      <c r="E8218" t="s">
        <v>12</v>
      </c>
      <c r="F8218">
        <v>50336826</v>
      </c>
      <c r="G8218">
        <v>50336860</v>
      </c>
      <c r="H8218">
        <v>50336826</v>
      </c>
      <c r="I8218">
        <v>50336860</v>
      </c>
    </row>
    <row r="8219" spans="1:9" x14ac:dyDescent="0.2">
      <c r="A8219" s="1" t="str">
        <f>"HYAL2"</f>
        <v>HYAL2</v>
      </c>
      <c r="B8219" t="s">
        <v>9</v>
      </c>
      <c r="C8219" t="s">
        <v>22</v>
      </c>
      <c r="D8219" t="s">
        <v>11</v>
      </c>
      <c r="E8219" t="s">
        <v>12</v>
      </c>
      <c r="F8219">
        <v>50358886</v>
      </c>
      <c r="G8219">
        <v>50358915</v>
      </c>
      <c r="H8219">
        <v>50358886</v>
      </c>
      <c r="I8219">
        <v>50358915</v>
      </c>
    </row>
    <row r="8220" spans="1:9" x14ac:dyDescent="0.2">
      <c r="A8220" s="1" t="str">
        <f>"HYAL2"</f>
        <v>HYAL2</v>
      </c>
      <c r="B8220" t="s">
        <v>13</v>
      </c>
      <c r="C8220" t="s">
        <v>22</v>
      </c>
      <c r="D8220" t="s">
        <v>11</v>
      </c>
      <c r="E8220" t="s">
        <v>12</v>
      </c>
      <c r="F8220">
        <v>50360165</v>
      </c>
      <c r="G8220">
        <v>50360183</v>
      </c>
      <c r="H8220">
        <v>50360165</v>
      </c>
      <c r="I8220">
        <v>50360183</v>
      </c>
    </row>
    <row r="8221" spans="1:9" x14ac:dyDescent="0.2">
      <c r="A8221" s="1" t="str">
        <f>"HYAL3"</f>
        <v>HYAL3</v>
      </c>
      <c r="B8221" t="s">
        <v>14</v>
      </c>
      <c r="C8221" t="s">
        <v>22</v>
      </c>
      <c r="D8221" t="s">
        <v>11</v>
      </c>
      <c r="E8221" t="s">
        <v>12</v>
      </c>
      <c r="F8221">
        <v>50336826</v>
      </c>
      <c r="G8221">
        <v>50336860</v>
      </c>
      <c r="H8221">
        <v>50336278</v>
      </c>
      <c r="I8221">
        <v>50336323</v>
      </c>
    </row>
    <row r="8222" spans="1:9" x14ac:dyDescent="0.2">
      <c r="A8222" s="1" t="str">
        <f>"HYAL4"</f>
        <v>HYAL4</v>
      </c>
      <c r="B8222" t="s">
        <v>632</v>
      </c>
      <c r="C8222" t="s">
        <v>33</v>
      </c>
      <c r="D8222" t="s">
        <v>17</v>
      </c>
      <c r="E8222" t="s">
        <v>20</v>
      </c>
      <c r="F8222">
        <v>123485222</v>
      </c>
      <c r="G8222">
        <v>123485222</v>
      </c>
      <c r="H8222">
        <v>123485222</v>
      </c>
      <c r="I8222">
        <v>123485222</v>
      </c>
    </row>
    <row r="8223" spans="1:9" x14ac:dyDescent="0.2">
      <c r="A8223" s="1" t="str">
        <f>"HYAL4"</f>
        <v>HYAL4</v>
      </c>
      <c r="B8223" t="s">
        <v>633</v>
      </c>
      <c r="C8223" t="s">
        <v>33</v>
      </c>
      <c r="D8223" t="s">
        <v>17</v>
      </c>
      <c r="E8223" t="s">
        <v>20</v>
      </c>
      <c r="F8223">
        <v>123488123</v>
      </c>
      <c r="G8223">
        <v>123488123</v>
      </c>
      <c r="H8223">
        <v>123488123</v>
      </c>
      <c r="I8223">
        <v>123488123</v>
      </c>
    </row>
    <row r="8224" spans="1:9" x14ac:dyDescent="0.2">
      <c r="A8224" s="1" t="str">
        <f>"HYDIN"</f>
        <v>HYDIN</v>
      </c>
      <c r="B8224" t="s">
        <v>14</v>
      </c>
      <c r="C8224" t="s">
        <v>31</v>
      </c>
      <c r="D8224" t="s">
        <v>11</v>
      </c>
      <c r="E8224" t="s">
        <v>12</v>
      </c>
      <c r="F8224">
        <v>71264580</v>
      </c>
      <c r="G8224">
        <v>71264638</v>
      </c>
      <c r="H8224">
        <v>71264580</v>
      </c>
      <c r="I8224">
        <v>71264638</v>
      </c>
    </row>
    <row r="8225" spans="1:9" x14ac:dyDescent="0.2">
      <c r="A8225" s="1" t="str">
        <f>"HYI"</f>
        <v>HYI</v>
      </c>
      <c r="B8225" t="s">
        <v>14</v>
      </c>
      <c r="C8225" t="s">
        <v>19</v>
      </c>
      <c r="D8225" t="s">
        <v>11</v>
      </c>
      <c r="E8225" t="s">
        <v>12</v>
      </c>
      <c r="F8225">
        <v>43919573</v>
      </c>
      <c r="G8225">
        <v>43919681</v>
      </c>
      <c r="H8225">
        <v>43919466</v>
      </c>
      <c r="I8225">
        <v>43919533</v>
      </c>
    </row>
    <row r="8226" spans="1:9" x14ac:dyDescent="0.2">
      <c r="A8226" s="1" t="str">
        <f>"HYKK"</f>
        <v>HYKK</v>
      </c>
      <c r="B8226" t="s">
        <v>14</v>
      </c>
      <c r="C8226" t="s">
        <v>25</v>
      </c>
      <c r="D8226" t="s">
        <v>17</v>
      </c>
      <c r="E8226" t="s">
        <v>12</v>
      </c>
      <c r="F8226">
        <v>78799895</v>
      </c>
      <c r="G8226">
        <v>78799936</v>
      </c>
      <c r="H8226">
        <v>78799948</v>
      </c>
      <c r="I8226">
        <v>78799964</v>
      </c>
    </row>
    <row r="8227" spans="1:9" x14ac:dyDescent="0.2">
      <c r="A8227" s="1" t="str">
        <f>"HYLS1"</f>
        <v>HYLS1</v>
      </c>
      <c r="B8227" t="s">
        <v>14</v>
      </c>
      <c r="C8227" t="s">
        <v>27</v>
      </c>
      <c r="D8227" t="s">
        <v>17</v>
      </c>
      <c r="E8227" t="s">
        <v>12</v>
      </c>
      <c r="F8227">
        <v>125757556</v>
      </c>
      <c r="G8227">
        <v>125757620</v>
      </c>
      <c r="H8227">
        <v>125757536</v>
      </c>
      <c r="I8227">
        <v>125757547</v>
      </c>
    </row>
    <row r="8228" spans="1:9" x14ac:dyDescent="0.2">
      <c r="A8228" s="1" t="str">
        <f>"HYOU1"</f>
        <v>HYOU1</v>
      </c>
      <c r="B8228" t="s">
        <v>14</v>
      </c>
      <c r="C8228" t="s">
        <v>27</v>
      </c>
      <c r="D8228" t="s">
        <v>11</v>
      </c>
      <c r="E8228" t="s">
        <v>12</v>
      </c>
      <c r="F8228">
        <v>118927817</v>
      </c>
      <c r="G8228">
        <v>118927862</v>
      </c>
      <c r="H8228">
        <v>118927896</v>
      </c>
      <c r="I8228">
        <v>118927922</v>
      </c>
    </row>
    <row r="8229" spans="1:9" x14ac:dyDescent="0.2">
      <c r="A8229" s="1" t="str">
        <f>"HYPK"</f>
        <v>HYPK</v>
      </c>
      <c r="B8229" t="s">
        <v>14</v>
      </c>
      <c r="C8229" t="s">
        <v>25</v>
      </c>
      <c r="D8229" t="s">
        <v>17</v>
      </c>
      <c r="E8229" t="s">
        <v>12</v>
      </c>
      <c r="F8229">
        <v>44092784</v>
      </c>
      <c r="G8229">
        <v>44092823</v>
      </c>
      <c r="H8229">
        <v>44092784</v>
      </c>
      <c r="I8229">
        <v>44092823</v>
      </c>
    </row>
    <row r="8230" spans="1:9" x14ac:dyDescent="0.2">
      <c r="A8230" s="1" t="str">
        <f>"IAH1"</f>
        <v>IAH1</v>
      </c>
      <c r="B8230" t="s">
        <v>14</v>
      </c>
      <c r="C8230" t="s">
        <v>26</v>
      </c>
      <c r="D8230" t="s">
        <v>17</v>
      </c>
      <c r="E8230" t="s">
        <v>12</v>
      </c>
      <c r="F8230">
        <v>9614652</v>
      </c>
      <c r="G8230">
        <v>9614697</v>
      </c>
      <c r="H8230">
        <v>9613929</v>
      </c>
      <c r="I8230">
        <v>9613950</v>
      </c>
    </row>
    <row r="8231" spans="1:9" x14ac:dyDescent="0.2">
      <c r="A8231" s="1" t="str">
        <f>"IAPP"</f>
        <v>IAPP</v>
      </c>
      <c r="B8231" t="s">
        <v>14</v>
      </c>
      <c r="C8231" t="s">
        <v>16</v>
      </c>
      <c r="D8231" t="s">
        <v>17</v>
      </c>
      <c r="E8231" t="s">
        <v>12</v>
      </c>
      <c r="F8231">
        <v>21525833</v>
      </c>
      <c r="G8231">
        <v>21525838</v>
      </c>
      <c r="H8231">
        <v>21525833</v>
      </c>
      <c r="I8231">
        <v>21525838</v>
      </c>
    </row>
    <row r="8232" spans="1:9" x14ac:dyDescent="0.2">
      <c r="A8232" s="1" t="str">
        <f>"IARS"</f>
        <v>IARS</v>
      </c>
      <c r="B8232" t="s">
        <v>14</v>
      </c>
      <c r="C8232" t="s">
        <v>24</v>
      </c>
      <c r="D8232" t="s">
        <v>11</v>
      </c>
      <c r="E8232" t="s">
        <v>12</v>
      </c>
      <c r="F8232">
        <v>95055956</v>
      </c>
      <c r="G8232">
        <v>95056004</v>
      </c>
      <c r="H8232">
        <v>95055931</v>
      </c>
      <c r="I8232">
        <v>95055951</v>
      </c>
    </row>
    <row r="8233" spans="1:9" x14ac:dyDescent="0.2">
      <c r="A8233" s="1" t="str">
        <f>"IARS2"</f>
        <v>IARS2</v>
      </c>
      <c r="B8233" t="s">
        <v>14</v>
      </c>
      <c r="C8233" t="s">
        <v>19</v>
      </c>
      <c r="D8233" t="s">
        <v>17</v>
      </c>
      <c r="E8233" t="s">
        <v>12</v>
      </c>
      <c r="F8233">
        <v>220267429</v>
      </c>
      <c r="G8233">
        <v>220267510</v>
      </c>
      <c r="H8233">
        <v>220267429</v>
      </c>
      <c r="I8233">
        <v>220267510</v>
      </c>
    </row>
    <row r="8234" spans="1:9" x14ac:dyDescent="0.2">
      <c r="A8234" s="1" t="str">
        <f>"IBA57"</f>
        <v>IBA57</v>
      </c>
      <c r="B8234" t="s">
        <v>14</v>
      </c>
      <c r="C8234" t="s">
        <v>19</v>
      </c>
      <c r="D8234" t="s">
        <v>17</v>
      </c>
      <c r="E8234" t="s">
        <v>12</v>
      </c>
      <c r="F8234">
        <v>228353495</v>
      </c>
      <c r="G8234">
        <v>228353516</v>
      </c>
      <c r="H8234">
        <v>228353813</v>
      </c>
      <c r="I8234">
        <v>228353853</v>
      </c>
    </row>
    <row r="8235" spans="1:9" x14ac:dyDescent="0.2">
      <c r="A8235" s="1" t="str">
        <f>"IBSP"</f>
        <v>IBSP</v>
      </c>
      <c r="B8235" t="s">
        <v>14</v>
      </c>
      <c r="C8235" t="s">
        <v>23</v>
      </c>
      <c r="D8235" t="s">
        <v>17</v>
      </c>
      <c r="E8235" t="s">
        <v>12</v>
      </c>
      <c r="F8235">
        <v>88720698</v>
      </c>
      <c r="G8235">
        <v>88720722</v>
      </c>
      <c r="H8235">
        <v>88720698</v>
      </c>
      <c r="I8235">
        <v>88720722</v>
      </c>
    </row>
    <row r="8236" spans="1:9" x14ac:dyDescent="0.2">
      <c r="A8236" s="1" t="str">
        <f>"IBTK"</f>
        <v>IBTK</v>
      </c>
      <c r="B8236" t="s">
        <v>9</v>
      </c>
      <c r="C8236" t="s">
        <v>32</v>
      </c>
      <c r="D8236" t="s">
        <v>11</v>
      </c>
      <c r="E8236" t="s">
        <v>12</v>
      </c>
      <c r="F8236">
        <v>82957433</v>
      </c>
      <c r="G8236">
        <v>82957477</v>
      </c>
      <c r="H8236">
        <v>82957433</v>
      </c>
      <c r="I8236">
        <v>82957477</v>
      </c>
    </row>
    <row r="8237" spans="1:9" x14ac:dyDescent="0.2">
      <c r="A8237" s="1" t="str">
        <f>"IBTK"</f>
        <v>IBTK</v>
      </c>
      <c r="B8237" t="s">
        <v>13</v>
      </c>
      <c r="C8237" t="s">
        <v>32</v>
      </c>
      <c r="D8237" t="s">
        <v>11</v>
      </c>
      <c r="E8237" t="s">
        <v>12</v>
      </c>
      <c r="F8237">
        <v>82950488</v>
      </c>
      <c r="G8237">
        <v>82950511</v>
      </c>
      <c r="H8237">
        <v>82950488</v>
      </c>
      <c r="I8237">
        <v>82950511</v>
      </c>
    </row>
    <row r="8238" spans="1:9" x14ac:dyDescent="0.2">
      <c r="A8238" s="1" t="str">
        <f>"ICA1"</f>
        <v>ICA1</v>
      </c>
      <c r="B8238" t="s">
        <v>14</v>
      </c>
      <c r="C8238" t="s">
        <v>33</v>
      </c>
      <c r="D8238" t="s">
        <v>11</v>
      </c>
      <c r="E8238" t="s">
        <v>12</v>
      </c>
      <c r="F8238">
        <v>8301768</v>
      </c>
      <c r="G8238">
        <v>8301827</v>
      </c>
      <c r="H8238">
        <v>8302164</v>
      </c>
      <c r="I8238">
        <v>8302196</v>
      </c>
    </row>
    <row r="8239" spans="1:9" x14ac:dyDescent="0.2">
      <c r="A8239" s="1" t="str">
        <f>"ICA1L"</f>
        <v>ICA1L</v>
      </c>
      <c r="B8239" t="s">
        <v>14</v>
      </c>
      <c r="C8239" t="s">
        <v>26</v>
      </c>
      <c r="D8239" t="s">
        <v>11</v>
      </c>
      <c r="E8239" t="s">
        <v>12</v>
      </c>
      <c r="F8239">
        <v>203736150</v>
      </c>
      <c r="G8239">
        <v>203736236</v>
      </c>
      <c r="H8239">
        <v>203736334</v>
      </c>
      <c r="I8239">
        <v>203736411</v>
      </c>
    </row>
    <row r="8240" spans="1:9" x14ac:dyDescent="0.2">
      <c r="A8240" s="1" t="str">
        <f>"ICAM1"</f>
        <v>ICAM1</v>
      </c>
      <c r="B8240" t="s">
        <v>14</v>
      </c>
      <c r="C8240" t="s">
        <v>10</v>
      </c>
      <c r="D8240" t="s">
        <v>17</v>
      </c>
      <c r="E8240" t="s">
        <v>12</v>
      </c>
      <c r="F8240">
        <v>10381780</v>
      </c>
      <c r="G8240">
        <v>10381803</v>
      </c>
      <c r="H8240">
        <v>10381780</v>
      </c>
      <c r="I8240">
        <v>10381803</v>
      </c>
    </row>
    <row r="8241" spans="1:9" x14ac:dyDescent="0.2">
      <c r="A8241" s="1" t="str">
        <f>"ICAM2"</f>
        <v>ICAM2</v>
      </c>
      <c r="B8241" t="s">
        <v>14</v>
      </c>
      <c r="C8241" t="s">
        <v>28</v>
      </c>
      <c r="D8241" t="s">
        <v>11</v>
      </c>
      <c r="E8241" t="s">
        <v>12</v>
      </c>
      <c r="F8241">
        <v>62097927</v>
      </c>
      <c r="G8241">
        <v>62098000</v>
      </c>
      <c r="H8241">
        <v>62097927</v>
      </c>
      <c r="I8241">
        <v>62098000</v>
      </c>
    </row>
    <row r="8242" spans="1:9" x14ac:dyDescent="0.2">
      <c r="A8242" s="1" t="str">
        <f>"ICAM3"</f>
        <v>ICAM3</v>
      </c>
      <c r="B8242" t="s">
        <v>14</v>
      </c>
      <c r="C8242" t="s">
        <v>10</v>
      </c>
      <c r="D8242" t="s">
        <v>11</v>
      </c>
      <c r="E8242" t="s">
        <v>12</v>
      </c>
      <c r="F8242">
        <v>10450287</v>
      </c>
      <c r="G8242">
        <v>10450324</v>
      </c>
      <c r="H8242">
        <v>10450328</v>
      </c>
      <c r="I8242">
        <v>10450351</v>
      </c>
    </row>
    <row r="8243" spans="1:9" x14ac:dyDescent="0.2">
      <c r="A8243" s="1" t="str">
        <f>"ICAM4"</f>
        <v>ICAM4</v>
      </c>
      <c r="B8243" t="s">
        <v>14</v>
      </c>
      <c r="C8243" t="s">
        <v>10</v>
      </c>
      <c r="D8243" t="s">
        <v>17</v>
      </c>
      <c r="E8243" t="s">
        <v>12</v>
      </c>
      <c r="F8243">
        <v>10397621</v>
      </c>
      <c r="G8243">
        <v>10397642</v>
      </c>
      <c r="H8243">
        <v>10397648</v>
      </c>
      <c r="I8243">
        <v>10397690</v>
      </c>
    </row>
    <row r="8244" spans="1:9" x14ac:dyDescent="0.2">
      <c r="A8244" s="1" t="str">
        <f>"ICAM5"</f>
        <v>ICAM5</v>
      </c>
      <c r="B8244" t="s">
        <v>9</v>
      </c>
      <c r="C8244" t="s">
        <v>10</v>
      </c>
      <c r="D8244" t="s">
        <v>17</v>
      </c>
      <c r="E8244" t="s">
        <v>12</v>
      </c>
      <c r="F8244">
        <v>10400615</v>
      </c>
      <c r="G8244">
        <v>10400705</v>
      </c>
      <c r="H8244">
        <v>10400615</v>
      </c>
      <c r="I8244">
        <v>10400705</v>
      </c>
    </row>
    <row r="8245" spans="1:9" x14ac:dyDescent="0.2">
      <c r="A8245" s="1" t="str">
        <f>"ICAM5"</f>
        <v>ICAM5</v>
      </c>
      <c r="B8245" t="s">
        <v>13</v>
      </c>
      <c r="C8245" t="s">
        <v>10</v>
      </c>
      <c r="D8245" t="s">
        <v>17</v>
      </c>
      <c r="E8245" t="s">
        <v>12</v>
      </c>
      <c r="F8245">
        <v>10402130</v>
      </c>
      <c r="G8245">
        <v>10402168</v>
      </c>
      <c r="H8245">
        <v>10402130</v>
      </c>
      <c r="I8245">
        <v>10402168</v>
      </c>
    </row>
    <row r="8246" spans="1:9" x14ac:dyDescent="0.2">
      <c r="A8246" s="1" t="str">
        <f>"ICK"</f>
        <v>ICK</v>
      </c>
      <c r="B8246" t="s">
        <v>14</v>
      </c>
      <c r="C8246" t="s">
        <v>32</v>
      </c>
      <c r="D8246" t="s">
        <v>11</v>
      </c>
      <c r="E8246" t="s">
        <v>12</v>
      </c>
      <c r="F8246">
        <v>52926539</v>
      </c>
      <c r="G8246">
        <v>52926668</v>
      </c>
      <c r="H8246">
        <v>52926476</v>
      </c>
      <c r="I8246">
        <v>52926500</v>
      </c>
    </row>
    <row r="8247" spans="1:9" x14ac:dyDescent="0.2">
      <c r="A8247" s="1" t="str">
        <f>"ICMT"</f>
        <v>ICMT</v>
      </c>
      <c r="B8247" t="s">
        <v>14</v>
      </c>
      <c r="C8247" t="s">
        <v>19</v>
      </c>
      <c r="D8247" t="s">
        <v>11</v>
      </c>
      <c r="E8247" t="s">
        <v>12</v>
      </c>
      <c r="F8247">
        <v>6296005</v>
      </c>
      <c r="G8247">
        <v>6296070</v>
      </c>
      <c r="H8247">
        <v>6295975</v>
      </c>
      <c r="I8247">
        <v>6296003</v>
      </c>
    </row>
    <row r="8248" spans="1:9" x14ac:dyDescent="0.2">
      <c r="A8248" s="1" t="str">
        <f>"ICOS"</f>
        <v>ICOS</v>
      </c>
      <c r="B8248" t="s">
        <v>14</v>
      </c>
      <c r="C8248" t="s">
        <v>26</v>
      </c>
      <c r="D8248" t="s">
        <v>17</v>
      </c>
      <c r="E8248" t="s">
        <v>12</v>
      </c>
      <c r="F8248">
        <v>204801479</v>
      </c>
      <c r="G8248">
        <v>204801497</v>
      </c>
      <c r="H8248">
        <v>204801515</v>
      </c>
      <c r="I8248">
        <v>204801526</v>
      </c>
    </row>
    <row r="8249" spans="1:9" x14ac:dyDescent="0.2">
      <c r="A8249" s="1" t="str">
        <f>"ICOSLG"</f>
        <v>ICOSLG</v>
      </c>
      <c r="B8249" t="s">
        <v>14</v>
      </c>
      <c r="C8249" t="s">
        <v>42</v>
      </c>
      <c r="D8249" t="s">
        <v>11</v>
      </c>
      <c r="E8249" t="s">
        <v>12</v>
      </c>
      <c r="F8249">
        <v>45660840</v>
      </c>
      <c r="G8249">
        <v>45660892</v>
      </c>
      <c r="H8249">
        <v>45660814</v>
      </c>
      <c r="I8249">
        <v>45660831</v>
      </c>
    </row>
    <row r="8250" spans="1:9" x14ac:dyDescent="0.2">
      <c r="A8250" s="1" t="str">
        <f>"ICT1"</f>
        <v>ICT1</v>
      </c>
      <c r="B8250" t="s">
        <v>14</v>
      </c>
      <c r="C8250" t="s">
        <v>28</v>
      </c>
      <c r="D8250" t="s">
        <v>17</v>
      </c>
      <c r="E8250" t="s">
        <v>12</v>
      </c>
      <c r="F8250">
        <v>73008755</v>
      </c>
      <c r="G8250">
        <v>73008783</v>
      </c>
      <c r="H8250">
        <v>73008554</v>
      </c>
      <c r="I8250">
        <v>73008588</v>
      </c>
    </row>
    <row r="8251" spans="1:9" x14ac:dyDescent="0.2">
      <c r="A8251" s="1" t="str">
        <f>"ID1"</f>
        <v>ID1</v>
      </c>
      <c r="B8251" t="s">
        <v>14</v>
      </c>
      <c r="C8251" t="s">
        <v>29</v>
      </c>
      <c r="D8251" t="s">
        <v>17</v>
      </c>
      <c r="E8251" t="s">
        <v>12</v>
      </c>
      <c r="F8251">
        <v>30193083</v>
      </c>
      <c r="G8251">
        <v>30193098</v>
      </c>
      <c r="H8251">
        <v>30193083</v>
      </c>
      <c r="I8251">
        <v>30193098</v>
      </c>
    </row>
    <row r="8252" spans="1:9" x14ac:dyDescent="0.2">
      <c r="A8252" s="1" t="str">
        <f>"ID2"</f>
        <v>ID2</v>
      </c>
      <c r="B8252" t="s">
        <v>9</v>
      </c>
      <c r="C8252" t="s">
        <v>26</v>
      </c>
      <c r="D8252" t="s">
        <v>17</v>
      </c>
      <c r="E8252" t="s">
        <v>12</v>
      </c>
      <c r="F8252">
        <v>8822176</v>
      </c>
      <c r="G8252">
        <v>8822196</v>
      </c>
      <c r="H8252">
        <v>8822176</v>
      </c>
      <c r="I8252">
        <v>8822196</v>
      </c>
    </row>
    <row r="8253" spans="1:9" x14ac:dyDescent="0.2">
      <c r="A8253" s="1" t="str">
        <f>"ID2"</f>
        <v>ID2</v>
      </c>
      <c r="B8253" t="s">
        <v>13</v>
      </c>
      <c r="C8253" t="s">
        <v>26</v>
      </c>
      <c r="D8253" t="s">
        <v>17</v>
      </c>
      <c r="E8253" t="s">
        <v>12</v>
      </c>
      <c r="F8253">
        <v>8819364</v>
      </c>
      <c r="G8253">
        <v>8819390</v>
      </c>
      <c r="H8253">
        <v>8819364</v>
      </c>
      <c r="I8253">
        <v>8819390</v>
      </c>
    </row>
    <row r="8254" spans="1:9" x14ac:dyDescent="0.2">
      <c r="A8254" s="1" t="str">
        <f>"ID3"</f>
        <v>ID3</v>
      </c>
      <c r="B8254" t="s">
        <v>14</v>
      </c>
      <c r="C8254" t="s">
        <v>19</v>
      </c>
      <c r="D8254" t="s">
        <v>11</v>
      </c>
      <c r="E8254" t="s">
        <v>12</v>
      </c>
      <c r="F8254">
        <v>23885981</v>
      </c>
      <c r="G8254">
        <v>23886002</v>
      </c>
      <c r="H8254">
        <v>23886132</v>
      </c>
      <c r="I8254">
        <v>23886156</v>
      </c>
    </row>
    <row r="8255" spans="1:9" x14ac:dyDescent="0.2">
      <c r="A8255" s="1" t="str">
        <f>"ID4"</f>
        <v>ID4</v>
      </c>
      <c r="B8255" t="s">
        <v>14</v>
      </c>
      <c r="C8255" t="s">
        <v>32</v>
      </c>
      <c r="D8255" t="s">
        <v>17</v>
      </c>
      <c r="E8255" t="s">
        <v>12</v>
      </c>
      <c r="F8255">
        <v>19837592</v>
      </c>
      <c r="G8255">
        <v>19837621</v>
      </c>
      <c r="H8255">
        <v>19837592</v>
      </c>
      <c r="I8255">
        <v>19837621</v>
      </c>
    </row>
    <row r="8256" spans="1:9" x14ac:dyDescent="0.2">
      <c r="A8256" s="1" t="str">
        <f>"IDE"</f>
        <v>IDE</v>
      </c>
      <c r="B8256" t="s">
        <v>14</v>
      </c>
      <c r="C8256" t="s">
        <v>15</v>
      </c>
      <c r="D8256" t="s">
        <v>11</v>
      </c>
      <c r="E8256" t="s">
        <v>12</v>
      </c>
      <c r="F8256">
        <v>94333784</v>
      </c>
      <c r="G8256">
        <v>94333860</v>
      </c>
      <c r="H8256">
        <v>94333763</v>
      </c>
      <c r="I8256">
        <v>94333783</v>
      </c>
    </row>
    <row r="8257" spans="1:9" x14ac:dyDescent="0.2">
      <c r="A8257" s="1" t="str">
        <f>"IDH1"</f>
        <v>IDH1</v>
      </c>
      <c r="B8257" t="s">
        <v>14</v>
      </c>
      <c r="C8257" t="s">
        <v>26</v>
      </c>
      <c r="D8257" t="s">
        <v>11</v>
      </c>
      <c r="E8257" t="s">
        <v>12</v>
      </c>
      <c r="F8257">
        <v>209119779</v>
      </c>
      <c r="G8257">
        <v>209119816</v>
      </c>
      <c r="H8257">
        <v>209118956</v>
      </c>
      <c r="I8257">
        <v>209118973</v>
      </c>
    </row>
    <row r="8258" spans="1:9" x14ac:dyDescent="0.2">
      <c r="A8258" s="1" t="str">
        <f>"IDH2"</f>
        <v>IDH2</v>
      </c>
      <c r="B8258" t="s">
        <v>14</v>
      </c>
      <c r="C8258" t="s">
        <v>25</v>
      </c>
      <c r="D8258" t="s">
        <v>11</v>
      </c>
      <c r="E8258" t="s">
        <v>12</v>
      </c>
      <c r="F8258">
        <v>90645679</v>
      </c>
      <c r="G8258">
        <v>90645753</v>
      </c>
      <c r="H8258">
        <v>90645536</v>
      </c>
      <c r="I8258">
        <v>90645556</v>
      </c>
    </row>
    <row r="8259" spans="1:9" x14ac:dyDescent="0.2">
      <c r="A8259" s="1" t="str">
        <f>"IDH3A"</f>
        <v>IDH3A</v>
      </c>
      <c r="B8259" t="s">
        <v>9</v>
      </c>
      <c r="C8259" t="s">
        <v>25</v>
      </c>
      <c r="D8259" t="s">
        <v>17</v>
      </c>
      <c r="E8259" t="s">
        <v>12</v>
      </c>
      <c r="F8259">
        <v>78441693</v>
      </c>
      <c r="G8259">
        <v>78441732</v>
      </c>
      <c r="H8259">
        <v>78441693</v>
      </c>
      <c r="I8259">
        <v>78441732</v>
      </c>
    </row>
    <row r="8260" spans="1:9" x14ac:dyDescent="0.2">
      <c r="A8260" s="1" t="str">
        <f>"IDH3A"</f>
        <v>IDH3A</v>
      </c>
      <c r="B8260" t="s">
        <v>13</v>
      </c>
      <c r="C8260" t="s">
        <v>25</v>
      </c>
      <c r="D8260" t="s">
        <v>17</v>
      </c>
      <c r="E8260" t="s">
        <v>12</v>
      </c>
      <c r="F8260">
        <v>78423832</v>
      </c>
      <c r="G8260">
        <v>78423870</v>
      </c>
      <c r="H8260">
        <v>78423832</v>
      </c>
      <c r="I8260">
        <v>78423870</v>
      </c>
    </row>
    <row r="8261" spans="1:9" x14ac:dyDescent="0.2">
      <c r="A8261" s="1" t="str">
        <f>"IDH3B"</f>
        <v>IDH3B</v>
      </c>
      <c r="B8261" t="s">
        <v>14</v>
      </c>
      <c r="C8261" t="s">
        <v>29</v>
      </c>
      <c r="D8261" t="s">
        <v>11</v>
      </c>
      <c r="E8261" t="s">
        <v>12</v>
      </c>
      <c r="F8261">
        <v>2644832</v>
      </c>
      <c r="G8261">
        <v>2644870</v>
      </c>
      <c r="H8261">
        <v>2644832</v>
      </c>
      <c r="I8261">
        <v>2644870</v>
      </c>
    </row>
    <row r="8262" spans="1:9" x14ac:dyDescent="0.2">
      <c r="A8262" s="1" t="str">
        <f>"IDH3G"</f>
        <v>IDH3G</v>
      </c>
      <c r="B8262" t="s">
        <v>14</v>
      </c>
      <c r="C8262" t="s">
        <v>37</v>
      </c>
      <c r="D8262" t="s">
        <v>11</v>
      </c>
      <c r="E8262" t="s">
        <v>12</v>
      </c>
      <c r="F8262">
        <v>153059815</v>
      </c>
      <c r="G8262">
        <v>153059845</v>
      </c>
      <c r="H8262">
        <v>153059779</v>
      </c>
      <c r="I8262">
        <v>153059801</v>
      </c>
    </row>
    <row r="8263" spans="1:9" x14ac:dyDescent="0.2">
      <c r="A8263" s="1" t="str">
        <f>"IDI1"</f>
        <v>IDI1</v>
      </c>
      <c r="B8263" t="s">
        <v>14</v>
      </c>
      <c r="C8263" t="s">
        <v>15</v>
      </c>
      <c r="D8263" t="s">
        <v>11</v>
      </c>
      <c r="E8263" t="s">
        <v>12</v>
      </c>
      <c r="F8263">
        <v>1094819</v>
      </c>
      <c r="G8263">
        <v>1094890</v>
      </c>
      <c r="H8263">
        <v>1095050</v>
      </c>
      <c r="I8263">
        <v>1095066</v>
      </c>
    </row>
    <row r="8264" spans="1:9" x14ac:dyDescent="0.2">
      <c r="A8264" s="1" t="str">
        <f>"IDI2"</f>
        <v>IDI2</v>
      </c>
      <c r="B8264" t="s">
        <v>14</v>
      </c>
      <c r="C8264" t="s">
        <v>15</v>
      </c>
      <c r="D8264" t="s">
        <v>11</v>
      </c>
      <c r="E8264" t="s">
        <v>12</v>
      </c>
      <c r="F8264">
        <v>1071796</v>
      </c>
      <c r="G8264">
        <v>1071801</v>
      </c>
      <c r="H8264">
        <v>1071796</v>
      </c>
      <c r="I8264">
        <v>1071801</v>
      </c>
    </row>
    <row r="8265" spans="1:9" x14ac:dyDescent="0.2">
      <c r="A8265" s="1" t="str">
        <f>"IDNK"</f>
        <v>IDNK</v>
      </c>
      <c r="B8265" t="s">
        <v>14</v>
      </c>
      <c r="C8265" t="s">
        <v>24</v>
      </c>
      <c r="D8265" t="s">
        <v>17</v>
      </c>
      <c r="E8265" t="s">
        <v>12</v>
      </c>
      <c r="F8265">
        <v>86238016</v>
      </c>
      <c r="G8265">
        <v>86238078</v>
      </c>
      <c r="H8265">
        <v>86237963</v>
      </c>
      <c r="I8265">
        <v>86237974</v>
      </c>
    </row>
    <row r="8266" spans="1:9" x14ac:dyDescent="0.2">
      <c r="A8266" s="1" t="str">
        <f>"IDO1"</f>
        <v>IDO1</v>
      </c>
      <c r="B8266" t="s">
        <v>14</v>
      </c>
      <c r="C8266" t="s">
        <v>30</v>
      </c>
      <c r="D8266" t="s">
        <v>17</v>
      </c>
      <c r="E8266" t="s">
        <v>12</v>
      </c>
      <c r="F8266">
        <v>39771400</v>
      </c>
      <c r="G8266">
        <v>39771420</v>
      </c>
      <c r="H8266">
        <v>39771370</v>
      </c>
      <c r="I8266">
        <v>39771382</v>
      </c>
    </row>
    <row r="8267" spans="1:9" x14ac:dyDescent="0.2">
      <c r="A8267" s="1" t="str">
        <f>"IDO2"</f>
        <v>IDO2</v>
      </c>
      <c r="B8267" t="s">
        <v>14</v>
      </c>
      <c r="C8267" t="s">
        <v>30</v>
      </c>
      <c r="D8267" t="s">
        <v>17</v>
      </c>
      <c r="E8267" t="s">
        <v>12</v>
      </c>
      <c r="F8267">
        <v>39792165</v>
      </c>
      <c r="G8267">
        <v>39792176</v>
      </c>
      <c r="H8267">
        <v>39792165</v>
      </c>
      <c r="I8267">
        <v>39792176</v>
      </c>
    </row>
    <row r="8268" spans="1:9" x14ac:dyDescent="0.2">
      <c r="A8268" s="1" t="str">
        <f>"IDS"</f>
        <v>IDS</v>
      </c>
      <c r="B8268" t="s">
        <v>14</v>
      </c>
      <c r="C8268" t="s">
        <v>37</v>
      </c>
      <c r="D8268" t="s">
        <v>11</v>
      </c>
      <c r="E8268" t="s">
        <v>12</v>
      </c>
      <c r="F8268">
        <v>148586804</v>
      </c>
      <c r="G8268">
        <v>148586877</v>
      </c>
      <c r="H8268">
        <v>148586773</v>
      </c>
      <c r="I8268">
        <v>148586793</v>
      </c>
    </row>
    <row r="8269" spans="1:9" x14ac:dyDescent="0.2">
      <c r="A8269" s="1" t="str">
        <f>"IDUA"</f>
        <v>IDUA</v>
      </c>
      <c r="B8269" t="s">
        <v>14</v>
      </c>
      <c r="C8269" t="s">
        <v>23</v>
      </c>
      <c r="D8269" t="s">
        <v>17</v>
      </c>
      <c r="E8269" t="s">
        <v>12</v>
      </c>
      <c r="F8269">
        <v>980825</v>
      </c>
      <c r="G8269">
        <v>980858</v>
      </c>
      <c r="H8269">
        <v>980796</v>
      </c>
      <c r="I8269">
        <v>980823</v>
      </c>
    </row>
    <row r="8270" spans="1:9" x14ac:dyDescent="0.2">
      <c r="A8270" s="1" t="str">
        <f>"IER2"</f>
        <v>IER2</v>
      </c>
      <c r="B8270" t="s">
        <v>14</v>
      </c>
      <c r="C8270" t="s">
        <v>10</v>
      </c>
      <c r="D8270" t="s">
        <v>17</v>
      </c>
      <c r="E8270" t="s">
        <v>12</v>
      </c>
      <c r="F8270">
        <v>13261216</v>
      </c>
      <c r="G8270">
        <v>13261320</v>
      </c>
      <c r="H8270">
        <v>13261328</v>
      </c>
      <c r="I8270">
        <v>13261359</v>
      </c>
    </row>
    <row r="8271" spans="1:9" x14ac:dyDescent="0.2">
      <c r="A8271" s="1" t="str">
        <f>"IER3"</f>
        <v>IER3</v>
      </c>
      <c r="B8271" t="s">
        <v>14</v>
      </c>
      <c r="C8271" t="s">
        <v>32</v>
      </c>
      <c r="D8271" t="s">
        <v>11</v>
      </c>
      <c r="E8271" t="s">
        <v>12</v>
      </c>
      <c r="F8271">
        <v>30712313</v>
      </c>
      <c r="G8271">
        <v>30712332</v>
      </c>
      <c r="H8271">
        <v>30712414</v>
      </c>
      <c r="I8271">
        <v>30712443</v>
      </c>
    </row>
    <row r="8272" spans="1:9" x14ac:dyDescent="0.2">
      <c r="A8272" s="1" t="str">
        <f>"IER3IP1"</f>
        <v>IER3IP1</v>
      </c>
      <c r="B8272" t="s">
        <v>14</v>
      </c>
      <c r="C8272" t="s">
        <v>43</v>
      </c>
      <c r="D8272" t="s">
        <v>11</v>
      </c>
      <c r="E8272" t="s">
        <v>12</v>
      </c>
      <c r="F8272">
        <v>44702668</v>
      </c>
      <c r="G8272">
        <v>44702747</v>
      </c>
      <c r="H8272">
        <v>44702668</v>
      </c>
      <c r="I8272">
        <v>44702747</v>
      </c>
    </row>
    <row r="8273" spans="1:9" x14ac:dyDescent="0.2">
      <c r="A8273" s="1" t="str">
        <f>"IER5"</f>
        <v>IER5</v>
      </c>
      <c r="B8273" t="s">
        <v>14</v>
      </c>
      <c r="C8273" t="s">
        <v>19</v>
      </c>
      <c r="D8273" t="s">
        <v>17</v>
      </c>
      <c r="E8273" t="s">
        <v>12</v>
      </c>
      <c r="F8273">
        <v>181057828</v>
      </c>
      <c r="G8273">
        <v>181057846</v>
      </c>
      <c r="H8273">
        <v>181057688</v>
      </c>
      <c r="I8273">
        <v>181057692</v>
      </c>
    </row>
    <row r="8274" spans="1:9" x14ac:dyDescent="0.2">
      <c r="A8274" s="1" t="str">
        <f>"IER5L"</f>
        <v>IER5L</v>
      </c>
      <c r="B8274" t="s">
        <v>14</v>
      </c>
      <c r="C8274" t="s">
        <v>24</v>
      </c>
      <c r="D8274" t="s">
        <v>11</v>
      </c>
      <c r="E8274" t="s">
        <v>12</v>
      </c>
      <c r="F8274">
        <v>131940526</v>
      </c>
      <c r="G8274">
        <v>131940546</v>
      </c>
      <c r="H8274">
        <v>131940526</v>
      </c>
      <c r="I8274">
        <v>131940546</v>
      </c>
    </row>
    <row r="8275" spans="1:9" x14ac:dyDescent="0.2">
      <c r="A8275" s="1" t="str">
        <f>"IFFO1"</f>
        <v>IFFO1</v>
      </c>
      <c r="B8275" t="s">
        <v>9</v>
      </c>
      <c r="C8275" t="s">
        <v>16</v>
      </c>
      <c r="D8275" t="s">
        <v>11</v>
      </c>
      <c r="E8275" t="s">
        <v>12</v>
      </c>
      <c r="F8275">
        <v>6665200</v>
      </c>
      <c r="G8275">
        <v>6665255</v>
      </c>
      <c r="H8275">
        <v>6665200</v>
      </c>
      <c r="I8275">
        <v>6665255</v>
      </c>
    </row>
    <row r="8276" spans="1:9" x14ac:dyDescent="0.2">
      <c r="A8276" s="1" t="str">
        <f>"IFFO1"</f>
        <v>IFFO1</v>
      </c>
      <c r="B8276" t="s">
        <v>13</v>
      </c>
      <c r="C8276" t="s">
        <v>16</v>
      </c>
      <c r="D8276" t="s">
        <v>11</v>
      </c>
      <c r="E8276" t="s">
        <v>12</v>
      </c>
      <c r="F8276">
        <v>6658245</v>
      </c>
      <c r="G8276">
        <v>6658318</v>
      </c>
      <c r="H8276">
        <v>6658245</v>
      </c>
      <c r="I8276">
        <v>6658318</v>
      </c>
    </row>
    <row r="8277" spans="1:9" x14ac:dyDescent="0.2">
      <c r="A8277" s="1" t="str">
        <f>"IFFO2"</f>
        <v>IFFO2</v>
      </c>
      <c r="B8277" t="s">
        <v>14</v>
      </c>
      <c r="C8277" t="s">
        <v>19</v>
      </c>
      <c r="D8277" t="s">
        <v>11</v>
      </c>
      <c r="E8277" t="s">
        <v>12</v>
      </c>
      <c r="F8277">
        <v>19283116</v>
      </c>
      <c r="G8277">
        <v>19283132</v>
      </c>
      <c r="H8277">
        <v>19283163</v>
      </c>
      <c r="I8277">
        <v>19283175</v>
      </c>
    </row>
    <row r="8278" spans="1:9" x14ac:dyDescent="0.2">
      <c r="A8278" s="1" t="str">
        <f>"IFI16"</f>
        <v>IFI16</v>
      </c>
      <c r="B8278" t="s">
        <v>14</v>
      </c>
      <c r="C8278" t="s">
        <v>19</v>
      </c>
      <c r="D8278" t="s">
        <v>17</v>
      </c>
      <c r="E8278" t="s">
        <v>12</v>
      </c>
      <c r="F8278">
        <v>158979686</v>
      </c>
      <c r="G8278">
        <v>158979745</v>
      </c>
      <c r="H8278">
        <v>158979792</v>
      </c>
      <c r="I8278">
        <v>158979814</v>
      </c>
    </row>
    <row r="8279" spans="1:9" x14ac:dyDescent="0.2">
      <c r="A8279" s="1" t="str">
        <f>"IFI27"</f>
        <v>IFI27</v>
      </c>
      <c r="B8279" t="s">
        <v>14</v>
      </c>
      <c r="C8279" t="s">
        <v>41</v>
      </c>
      <c r="D8279" t="s">
        <v>17</v>
      </c>
      <c r="E8279" t="s">
        <v>12</v>
      </c>
      <c r="F8279">
        <v>94577074</v>
      </c>
      <c r="G8279">
        <v>94577091</v>
      </c>
      <c r="H8279">
        <v>94577982</v>
      </c>
      <c r="I8279">
        <v>94578001</v>
      </c>
    </row>
    <row r="8280" spans="1:9" x14ac:dyDescent="0.2">
      <c r="A8280" s="1" t="str">
        <f>"IFI27L1"</f>
        <v>IFI27L1</v>
      </c>
      <c r="B8280" t="s">
        <v>14</v>
      </c>
      <c r="C8280" t="s">
        <v>41</v>
      </c>
      <c r="D8280" t="s">
        <v>17</v>
      </c>
      <c r="E8280" t="s">
        <v>12</v>
      </c>
      <c r="F8280">
        <v>94547675</v>
      </c>
      <c r="G8280">
        <v>94547713</v>
      </c>
      <c r="H8280">
        <v>94547641</v>
      </c>
      <c r="I8280">
        <v>94547661</v>
      </c>
    </row>
    <row r="8281" spans="1:9" x14ac:dyDescent="0.2">
      <c r="A8281" s="1" t="str">
        <f>"IFI27L2"</f>
        <v>IFI27L2</v>
      </c>
      <c r="B8281" t="s">
        <v>14</v>
      </c>
      <c r="C8281" t="s">
        <v>41</v>
      </c>
      <c r="D8281" t="s">
        <v>11</v>
      </c>
      <c r="E8281" t="s">
        <v>12</v>
      </c>
      <c r="F8281">
        <v>94595896</v>
      </c>
      <c r="G8281">
        <v>94595949</v>
      </c>
      <c r="H8281">
        <v>94595993</v>
      </c>
      <c r="I8281">
        <v>94596004</v>
      </c>
    </row>
    <row r="8282" spans="1:9" x14ac:dyDescent="0.2">
      <c r="A8282" s="1" t="str">
        <f>"IFI30"</f>
        <v>IFI30</v>
      </c>
      <c r="B8282" t="s">
        <v>14</v>
      </c>
      <c r="C8282" t="s">
        <v>10</v>
      </c>
      <c r="D8282" t="s">
        <v>17</v>
      </c>
      <c r="E8282" t="s">
        <v>12</v>
      </c>
      <c r="F8282">
        <v>18284561</v>
      </c>
      <c r="G8282">
        <v>18284667</v>
      </c>
      <c r="H8282">
        <v>18284716</v>
      </c>
      <c r="I8282">
        <v>18284723</v>
      </c>
    </row>
    <row r="8283" spans="1:9" x14ac:dyDescent="0.2">
      <c r="A8283" s="1" t="str">
        <f>"IFI35"</f>
        <v>IFI35</v>
      </c>
      <c r="B8283" t="s">
        <v>14</v>
      </c>
      <c r="C8283" t="s">
        <v>28</v>
      </c>
      <c r="D8283" t="s">
        <v>17</v>
      </c>
      <c r="E8283" t="s">
        <v>12</v>
      </c>
      <c r="F8283">
        <v>41158760</v>
      </c>
      <c r="G8283">
        <v>41158822</v>
      </c>
      <c r="H8283">
        <v>41158825</v>
      </c>
      <c r="I8283">
        <v>41158847</v>
      </c>
    </row>
    <row r="8284" spans="1:9" x14ac:dyDescent="0.2">
      <c r="A8284" s="1" t="str">
        <f>"IFI44"</f>
        <v>IFI44</v>
      </c>
      <c r="B8284" t="s">
        <v>14</v>
      </c>
      <c r="C8284" t="s">
        <v>19</v>
      </c>
      <c r="D8284" t="s">
        <v>17</v>
      </c>
      <c r="E8284" t="s">
        <v>12</v>
      </c>
      <c r="F8284">
        <v>79115503</v>
      </c>
      <c r="G8284">
        <v>79115530</v>
      </c>
      <c r="H8284">
        <v>79115503</v>
      </c>
      <c r="I8284">
        <v>79115530</v>
      </c>
    </row>
    <row r="8285" spans="1:9" x14ac:dyDescent="0.2">
      <c r="A8285" s="1" t="str">
        <f>"IFI44L"</f>
        <v>IFI44L</v>
      </c>
      <c r="B8285" t="s">
        <v>14</v>
      </c>
      <c r="C8285" t="s">
        <v>19</v>
      </c>
      <c r="D8285" t="s">
        <v>17</v>
      </c>
      <c r="E8285" t="s">
        <v>12</v>
      </c>
      <c r="F8285">
        <v>79086118</v>
      </c>
      <c r="G8285">
        <v>79086182</v>
      </c>
      <c r="H8285">
        <v>79086118</v>
      </c>
      <c r="I8285">
        <v>79086182</v>
      </c>
    </row>
    <row r="8286" spans="1:9" x14ac:dyDescent="0.2">
      <c r="A8286" s="1" t="str">
        <f>"IFI6"</f>
        <v>IFI6</v>
      </c>
      <c r="B8286" t="s">
        <v>9</v>
      </c>
      <c r="C8286" t="s">
        <v>19</v>
      </c>
      <c r="D8286" t="s">
        <v>11</v>
      </c>
      <c r="E8286" t="s">
        <v>12</v>
      </c>
      <c r="F8286">
        <v>27998692</v>
      </c>
      <c r="G8286">
        <v>27998710</v>
      </c>
      <c r="H8286">
        <v>27998692</v>
      </c>
      <c r="I8286">
        <v>27998710</v>
      </c>
    </row>
    <row r="8287" spans="1:9" x14ac:dyDescent="0.2">
      <c r="A8287" s="1" t="str">
        <f>"IFI6"</f>
        <v>IFI6</v>
      </c>
      <c r="B8287" t="s">
        <v>13</v>
      </c>
      <c r="C8287" t="s">
        <v>19</v>
      </c>
      <c r="D8287" t="s">
        <v>11</v>
      </c>
      <c r="E8287" t="s">
        <v>12</v>
      </c>
      <c r="F8287">
        <v>27995778</v>
      </c>
      <c r="G8287">
        <v>27995866</v>
      </c>
      <c r="H8287">
        <v>27995778</v>
      </c>
      <c r="I8287">
        <v>27995866</v>
      </c>
    </row>
    <row r="8288" spans="1:9" x14ac:dyDescent="0.2">
      <c r="A8288" s="1" t="str">
        <f>"IFIH1"</f>
        <v>IFIH1</v>
      </c>
      <c r="B8288" t="s">
        <v>14</v>
      </c>
      <c r="C8288" t="s">
        <v>26</v>
      </c>
      <c r="D8288" t="s">
        <v>11</v>
      </c>
      <c r="E8288" t="s">
        <v>12</v>
      </c>
      <c r="F8288">
        <v>163175133</v>
      </c>
      <c r="G8288">
        <v>163175222</v>
      </c>
      <c r="H8288">
        <v>163175133</v>
      </c>
      <c r="I8288">
        <v>163175222</v>
      </c>
    </row>
    <row r="8289" spans="1:9" x14ac:dyDescent="0.2">
      <c r="A8289" s="1" t="str">
        <f>"IFIT1"</f>
        <v>IFIT1</v>
      </c>
      <c r="B8289" t="s">
        <v>14</v>
      </c>
      <c r="C8289" t="s">
        <v>15</v>
      </c>
      <c r="D8289" t="s">
        <v>17</v>
      </c>
      <c r="E8289" t="s">
        <v>12</v>
      </c>
      <c r="F8289">
        <v>91152368</v>
      </c>
      <c r="G8289">
        <v>91152419</v>
      </c>
      <c r="H8289">
        <v>91152368</v>
      </c>
      <c r="I8289">
        <v>91152419</v>
      </c>
    </row>
    <row r="8290" spans="1:9" x14ac:dyDescent="0.2">
      <c r="A8290" s="1" t="str">
        <f>"IFIT1B"</f>
        <v>IFIT1B</v>
      </c>
      <c r="B8290" t="s">
        <v>14</v>
      </c>
      <c r="C8290" t="s">
        <v>15</v>
      </c>
      <c r="D8290" t="s">
        <v>17</v>
      </c>
      <c r="E8290" t="s">
        <v>12</v>
      </c>
      <c r="F8290">
        <v>91137806</v>
      </c>
      <c r="G8290">
        <v>91137820</v>
      </c>
      <c r="H8290">
        <v>91137806</v>
      </c>
      <c r="I8290">
        <v>91137820</v>
      </c>
    </row>
    <row r="8291" spans="1:9" x14ac:dyDescent="0.2">
      <c r="A8291" s="1" t="str">
        <f>"IFIT2"</f>
        <v>IFIT2</v>
      </c>
      <c r="B8291" t="s">
        <v>14</v>
      </c>
      <c r="C8291" t="s">
        <v>15</v>
      </c>
      <c r="D8291" t="s">
        <v>17</v>
      </c>
      <c r="E8291" t="s">
        <v>12</v>
      </c>
      <c r="F8291">
        <v>91061795</v>
      </c>
      <c r="G8291">
        <v>91061812</v>
      </c>
      <c r="H8291">
        <v>91061795</v>
      </c>
      <c r="I8291">
        <v>91061812</v>
      </c>
    </row>
    <row r="8292" spans="1:9" x14ac:dyDescent="0.2">
      <c r="A8292" s="1" t="str">
        <f>"IFIT3"</f>
        <v>IFIT3</v>
      </c>
      <c r="B8292" t="s">
        <v>14</v>
      </c>
      <c r="C8292" t="s">
        <v>15</v>
      </c>
      <c r="D8292" t="s">
        <v>17</v>
      </c>
      <c r="E8292" t="s">
        <v>12</v>
      </c>
      <c r="F8292">
        <v>91087733</v>
      </c>
      <c r="G8292">
        <v>91087762</v>
      </c>
      <c r="H8292">
        <v>91087733</v>
      </c>
      <c r="I8292">
        <v>91087762</v>
      </c>
    </row>
    <row r="8293" spans="1:9" x14ac:dyDescent="0.2">
      <c r="A8293" s="1" t="str">
        <f>"IFIT5"</f>
        <v>IFIT5</v>
      </c>
      <c r="B8293" t="s">
        <v>14</v>
      </c>
      <c r="C8293" t="s">
        <v>15</v>
      </c>
      <c r="D8293" t="s">
        <v>17</v>
      </c>
      <c r="E8293" t="s">
        <v>12</v>
      </c>
      <c r="F8293">
        <v>91174486</v>
      </c>
      <c r="G8293">
        <v>91174528</v>
      </c>
      <c r="H8293">
        <v>91174314</v>
      </c>
      <c r="I8293">
        <v>91174403</v>
      </c>
    </row>
    <row r="8294" spans="1:9" x14ac:dyDescent="0.2">
      <c r="A8294" s="1" t="str">
        <f>"IFITM1"</f>
        <v>IFITM1</v>
      </c>
      <c r="B8294" t="s">
        <v>14</v>
      </c>
      <c r="C8294" t="s">
        <v>27</v>
      </c>
      <c r="D8294" t="s">
        <v>17</v>
      </c>
      <c r="E8294" t="s">
        <v>12</v>
      </c>
      <c r="F8294">
        <v>314052</v>
      </c>
      <c r="G8294">
        <v>314073</v>
      </c>
      <c r="H8294">
        <v>314010</v>
      </c>
      <c r="I8294">
        <v>314046</v>
      </c>
    </row>
    <row r="8295" spans="1:9" x14ac:dyDescent="0.2">
      <c r="A8295" s="1" t="str">
        <f>"IFITM10"</f>
        <v>IFITM10</v>
      </c>
      <c r="B8295" t="s">
        <v>9</v>
      </c>
      <c r="C8295" t="s">
        <v>27</v>
      </c>
      <c r="D8295" t="s">
        <v>11</v>
      </c>
      <c r="E8295" t="s">
        <v>12</v>
      </c>
      <c r="F8295">
        <v>1771797</v>
      </c>
      <c r="G8295">
        <v>1771832</v>
      </c>
      <c r="H8295">
        <v>1771797</v>
      </c>
      <c r="I8295">
        <v>1771832</v>
      </c>
    </row>
    <row r="8296" spans="1:9" x14ac:dyDescent="0.2">
      <c r="A8296" s="1" t="str">
        <f>"IFITM10"</f>
        <v>IFITM10</v>
      </c>
      <c r="B8296" t="s">
        <v>13</v>
      </c>
      <c r="C8296" t="s">
        <v>27</v>
      </c>
      <c r="D8296" t="s">
        <v>11</v>
      </c>
      <c r="E8296" t="s">
        <v>12</v>
      </c>
      <c r="F8296">
        <v>1770316</v>
      </c>
      <c r="G8296">
        <v>1770338</v>
      </c>
      <c r="H8296">
        <v>1770316</v>
      </c>
      <c r="I8296">
        <v>1770338</v>
      </c>
    </row>
    <row r="8297" spans="1:9" x14ac:dyDescent="0.2">
      <c r="A8297" s="1" t="str">
        <f>"IFITM2"</f>
        <v>IFITM2</v>
      </c>
      <c r="B8297" t="s">
        <v>14</v>
      </c>
      <c r="C8297" t="s">
        <v>27</v>
      </c>
      <c r="D8297" t="s">
        <v>17</v>
      </c>
      <c r="E8297" t="s">
        <v>12</v>
      </c>
      <c r="F8297">
        <v>308188</v>
      </c>
      <c r="G8297">
        <v>308207</v>
      </c>
      <c r="H8297">
        <v>308143</v>
      </c>
      <c r="I8297">
        <v>308185</v>
      </c>
    </row>
    <row r="8298" spans="1:9" x14ac:dyDescent="0.2">
      <c r="A8298" s="1" t="str">
        <f>"IFITM3"</f>
        <v>IFITM3</v>
      </c>
      <c r="B8298" t="s">
        <v>14</v>
      </c>
      <c r="C8298" t="s">
        <v>27</v>
      </c>
      <c r="D8298" t="s">
        <v>11</v>
      </c>
      <c r="E8298" t="s">
        <v>12</v>
      </c>
      <c r="F8298">
        <v>320838</v>
      </c>
      <c r="G8298">
        <v>320875</v>
      </c>
      <c r="H8298">
        <v>320838</v>
      </c>
      <c r="I8298">
        <v>320875</v>
      </c>
    </row>
    <row r="8299" spans="1:9" x14ac:dyDescent="0.2">
      <c r="A8299" s="1" t="str">
        <f>"IFITM5"</f>
        <v>IFITM5</v>
      </c>
      <c r="B8299" t="s">
        <v>14</v>
      </c>
      <c r="C8299" t="s">
        <v>27</v>
      </c>
      <c r="D8299" t="s">
        <v>11</v>
      </c>
      <c r="E8299" t="s">
        <v>12</v>
      </c>
      <c r="F8299">
        <v>299519</v>
      </c>
      <c r="G8299">
        <v>299533</v>
      </c>
      <c r="H8299">
        <v>299519</v>
      </c>
      <c r="I8299">
        <v>299533</v>
      </c>
    </row>
    <row r="8300" spans="1:9" x14ac:dyDescent="0.2">
      <c r="A8300" s="1" t="str">
        <f>"IFLTD1"</f>
        <v>IFLTD1</v>
      </c>
      <c r="B8300" t="s">
        <v>634</v>
      </c>
      <c r="C8300" t="s">
        <v>16</v>
      </c>
      <c r="D8300" t="s">
        <v>11</v>
      </c>
      <c r="E8300" t="s">
        <v>35</v>
      </c>
      <c r="F8300">
        <v>25706201</v>
      </c>
      <c r="G8300">
        <v>25706206</v>
      </c>
      <c r="H8300">
        <v>25706176</v>
      </c>
      <c r="I8300">
        <v>25706187</v>
      </c>
    </row>
    <row r="8301" spans="1:9" x14ac:dyDescent="0.2">
      <c r="A8301" s="1" t="str">
        <f>"IFNA1"</f>
        <v>IFNA1</v>
      </c>
      <c r="B8301" t="s">
        <v>635</v>
      </c>
      <c r="C8301" t="s">
        <v>24</v>
      </c>
      <c r="D8301" t="s">
        <v>17</v>
      </c>
      <c r="E8301" t="s">
        <v>20</v>
      </c>
      <c r="F8301">
        <v>21440439</v>
      </c>
      <c r="G8301">
        <v>21440439</v>
      </c>
      <c r="H8301">
        <v>21440439</v>
      </c>
      <c r="I8301">
        <v>21440439</v>
      </c>
    </row>
    <row r="8302" spans="1:9" x14ac:dyDescent="0.2">
      <c r="A8302" s="1" t="str">
        <f>"IFNA10"</f>
        <v>IFNA10</v>
      </c>
      <c r="B8302" t="s">
        <v>636</v>
      </c>
      <c r="C8302" t="s">
        <v>24</v>
      </c>
      <c r="D8302" t="s">
        <v>11</v>
      </c>
      <c r="E8302" t="s">
        <v>20</v>
      </c>
      <c r="F8302">
        <v>21207141</v>
      </c>
      <c r="G8302">
        <v>21207141</v>
      </c>
      <c r="H8302">
        <v>21207141</v>
      </c>
      <c r="I8302">
        <v>21207141</v>
      </c>
    </row>
    <row r="8303" spans="1:9" x14ac:dyDescent="0.2">
      <c r="A8303" s="1" t="str">
        <f>"IFNA13"</f>
        <v>IFNA13</v>
      </c>
      <c r="B8303" t="s">
        <v>637</v>
      </c>
      <c r="C8303" t="s">
        <v>24</v>
      </c>
      <c r="D8303" t="s">
        <v>11</v>
      </c>
      <c r="E8303" t="s">
        <v>20</v>
      </c>
      <c r="F8303">
        <v>21368074</v>
      </c>
      <c r="G8303">
        <v>21368074</v>
      </c>
      <c r="H8303">
        <v>21368074</v>
      </c>
      <c r="I8303">
        <v>21368074</v>
      </c>
    </row>
    <row r="8304" spans="1:9" x14ac:dyDescent="0.2">
      <c r="A8304" s="1" t="str">
        <f>"IFNA14"</f>
        <v>IFNA14</v>
      </c>
      <c r="B8304" t="s">
        <v>638</v>
      </c>
      <c r="C8304" t="s">
        <v>24</v>
      </c>
      <c r="D8304" t="s">
        <v>11</v>
      </c>
      <c r="E8304" t="s">
        <v>20</v>
      </c>
      <c r="F8304">
        <v>21239977</v>
      </c>
      <c r="G8304">
        <v>21239977</v>
      </c>
      <c r="H8304">
        <v>21239977</v>
      </c>
      <c r="I8304">
        <v>21239977</v>
      </c>
    </row>
    <row r="8305" spans="1:9" x14ac:dyDescent="0.2">
      <c r="A8305" s="1" t="str">
        <f>"IFNA16"</f>
        <v>IFNA16</v>
      </c>
      <c r="B8305" t="s">
        <v>639</v>
      </c>
      <c r="C8305" t="s">
        <v>24</v>
      </c>
      <c r="D8305" t="s">
        <v>11</v>
      </c>
      <c r="E8305" t="s">
        <v>20</v>
      </c>
      <c r="F8305">
        <v>21217309</v>
      </c>
      <c r="G8305">
        <v>21217309</v>
      </c>
      <c r="H8305">
        <v>21217309</v>
      </c>
      <c r="I8305">
        <v>21217309</v>
      </c>
    </row>
    <row r="8306" spans="1:9" x14ac:dyDescent="0.2">
      <c r="A8306" s="1" t="str">
        <f>"IFNA17"</f>
        <v>IFNA17</v>
      </c>
      <c r="B8306" t="s">
        <v>640</v>
      </c>
      <c r="C8306" t="s">
        <v>24</v>
      </c>
      <c r="D8306" t="s">
        <v>11</v>
      </c>
      <c r="E8306" t="s">
        <v>20</v>
      </c>
      <c r="F8306">
        <v>21228220</v>
      </c>
      <c r="G8306">
        <v>21228220</v>
      </c>
      <c r="H8306">
        <v>21228220</v>
      </c>
      <c r="I8306">
        <v>21228220</v>
      </c>
    </row>
    <row r="8307" spans="1:9" x14ac:dyDescent="0.2">
      <c r="A8307" s="1" t="str">
        <f>"IFNA2"</f>
        <v>IFNA2</v>
      </c>
      <c r="B8307" t="s">
        <v>14</v>
      </c>
      <c r="C8307" t="s">
        <v>24</v>
      </c>
      <c r="D8307" t="s">
        <v>11</v>
      </c>
      <c r="E8307" t="s">
        <v>12</v>
      </c>
      <c r="F8307">
        <v>21385394</v>
      </c>
      <c r="G8307">
        <v>21385398</v>
      </c>
      <c r="H8307">
        <v>21385394</v>
      </c>
      <c r="I8307">
        <v>21385398</v>
      </c>
    </row>
    <row r="8308" spans="1:9" x14ac:dyDescent="0.2">
      <c r="A8308" s="1" t="str">
        <f>"IFNA21"</f>
        <v>IFNA21</v>
      </c>
      <c r="B8308" t="s">
        <v>641</v>
      </c>
      <c r="C8308" t="s">
        <v>24</v>
      </c>
      <c r="D8308" t="s">
        <v>11</v>
      </c>
      <c r="E8308" t="s">
        <v>20</v>
      </c>
      <c r="F8308">
        <v>21166658</v>
      </c>
      <c r="G8308">
        <v>21166658</v>
      </c>
      <c r="H8308">
        <v>21166658</v>
      </c>
      <c r="I8308">
        <v>21166658</v>
      </c>
    </row>
    <row r="8309" spans="1:9" x14ac:dyDescent="0.2">
      <c r="A8309" s="1" t="str">
        <f>"IFNA4"</f>
        <v>IFNA4</v>
      </c>
      <c r="B8309" t="s">
        <v>642</v>
      </c>
      <c r="C8309" t="s">
        <v>24</v>
      </c>
      <c r="D8309" t="s">
        <v>11</v>
      </c>
      <c r="E8309" t="s">
        <v>20</v>
      </c>
      <c r="F8309">
        <v>21187597</v>
      </c>
      <c r="G8309">
        <v>21187597</v>
      </c>
      <c r="H8309">
        <v>21187597</v>
      </c>
      <c r="I8309">
        <v>21187597</v>
      </c>
    </row>
    <row r="8310" spans="1:9" x14ac:dyDescent="0.2">
      <c r="A8310" s="1" t="str">
        <f>"IFNA5"</f>
        <v>IFNA5</v>
      </c>
      <c r="B8310" t="s">
        <v>643</v>
      </c>
      <c r="C8310" t="s">
        <v>24</v>
      </c>
      <c r="D8310" t="s">
        <v>11</v>
      </c>
      <c r="E8310" t="s">
        <v>20</v>
      </c>
      <c r="F8310">
        <v>21305311</v>
      </c>
      <c r="G8310">
        <v>21305311</v>
      </c>
      <c r="H8310">
        <v>21305311</v>
      </c>
      <c r="I8310">
        <v>21305311</v>
      </c>
    </row>
    <row r="8311" spans="1:9" x14ac:dyDescent="0.2">
      <c r="A8311" s="1" t="str">
        <f>"IFNA6"</f>
        <v>IFNA6</v>
      </c>
      <c r="B8311" t="s">
        <v>644</v>
      </c>
      <c r="C8311" t="s">
        <v>24</v>
      </c>
      <c r="D8311" t="s">
        <v>11</v>
      </c>
      <c r="E8311" t="s">
        <v>20</v>
      </c>
      <c r="F8311">
        <v>21351376</v>
      </c>
      <c r="G8311">
        <v>21351376</v>
      </c>
      <c r="H8311">
        <v>21351376</v>
      </c>
      <c r="I8311">
        <v>21351376</v>
      </c>
    </row>
    <row r="8312" spans="1:9" x14ac:dyDescent="0.2">
      <c r="A8312" s="1" t="str">
        <f>"IFNA7"</f>
        <v>IFNA7</v>
      </c>
      <c r="B8312" t="s">
        <v>645</v>
      </c>
      <c r="C8312" t="s">
        <v>24</v>
      </c>
      <c r="D8312" t="s">
        <v>11</v>
      </c>
      <c r="E8312" t="s">
        <v>20</v>
      </c>
      <c r="F8312">
        <v>21202203</v>
      </c>
      <c r="G8312">
        <v>21202203</v>
      </c>
      <c r="H8312">
        <v>21202203</v>
      </c>
      <c r="I8312">
        <v>21202203</v>
      </c>
    </row>
    <row r="8313" spans="1:9" x14ac:dyDescent="0.2">
      <c r="A8313" s="1" t="str">
        <f>"IFNA8"</f>
        <v>IFNA8</v>
      </c>
      <c r="B8313" t="s">
        <v>646</v>
      </c>
      <c r="C8313" t="s">
        <v>24</v>
      </c>
      <c r="D8313" t="s">
        <v>17</v>
      </c>
      <c r="E8313" t="s">
        <v>20</v>
      </c>
      <c r="F8313">
        <v>21409145</v>
      </c>
      <c r="G8313">
        <v>21409145</v>
      </c>
      <c r="H8313">
        <v>21409145</v>
      </c>
      <c r="I8313">
        <v>21409145</v>
      </c>
    </row>
    <row r="8314" spans="1:9" x14ac:dyDescent="0.2">
      <c r="A8314" s="1" t="str">
        <f>"IFNAR1"</f>
        <v>IFNAR1</v>
      </c>
      <c r="B8314" t="s">
        <v>14</v>
      </c>
      <c r="C8314" t="s">
        <v>42</v>
      </c>
      <c r="D8314" t="s">
        <v>17</v>
      </c>
      <c r="E8314" t="s">
        <v>12</v>
      </c>
      <c r="F8314">
        <v>34697258</v>
      </c>
      <c r="G8314">
        <v>34697336</v>
      </c>
      <c r="H8314">
        <v>34697353</v>
      </c>
      <c r="I8314">
        <v>34697368</v>
      </c>
    </row>
    <row r="8315" spans="1:9" x14ac:dyDescent="0.2">
      <c r="A8315" s="1" t="str">
        <f>"IFNAR2"</f>
        <v>IFNAR2</v>
      </c>
      <c r="B8315" t="s">
        <v>14</v>
      </c>
      <c r="C8315" t="s">
        <v>42</v>
      </c>
      <c r="D8315" t="s">
        <v>17</v>
      </c>
      <c r="E8315" t="s">
        <v>12</v>
      </c>
      <c r="F8315">
        <v>34602200</v>
      </c>
      <c r="G8315">
        <v>34602298</v>
      </c>
      <c r="H8315">
        <v>34602188</v>
      </c>
      <c r="I8315">
        <v>34602199</v>
      </c>
    </row>
    <row r="8316" spans="1:9" x14ac:dyDescent="0.2">
      <c r="A8316" s="1" t="str">
        <f>"IFNB1"</f>
        <v>IFNB1</v>
      </c>
      <c r="B8316" t="s">
        <v>14</v>
      </c>
      <c r="C8316" t="s">
        <v>24</v>
      </c>
      <c r="D8316" t="s">
        <v>11</v>
      </c>
      <c r="E8316" t="s">
        <v>12</v>
      </c>
      <c r="F8316">
        <v>21077939</v>
      </c>
      <c r="G8316">
        <v>21077943</v>
      </c>
      <c r="H8316">
        <v>21077939</v>
      </c>
      <c r="I8316">
        <v>21077943</v>
      </c>
    </row>
    <row r="8317" spans="1:9" x14ac:dyDescent="0.2">
      <c r="A8317" s="1" t="str">
        <f>"IFNE"</f>
        <v>IFNE</v>
      </c>
      <c r="B8317" t="s">
        <v>647</v>
      </c>
      <c r="C8317" t="s">
        <v>24</v>
      </c>
      <c r="D8317" t="s">
        <v>11</v>
      </c>
      <c r="E8317" t="s">
        <v>20</v>
      </c>
      <c r="F8317">
        <v>21482311</v>
      </c>
      <c r="G8317">
        <v>21482311</v>
      </c>
      <c r="H8317">
        <v>21482311</v>
      </c>
      <c r="I8317">
        <v>21482311</v>
      </c>
    </row>
    <row r="8318" spans="1:9" x14ac:dyDescent="0.2">
      <c r="A8318" s="1" t="str">
        <f>"IFNG"</f>
        <v>IFNG</v>
      </c>
      <c r="B8318" t="s">
        <v>14</v>
      </c>
      <c r="C8318" t="s">
        <v>16</v>
      </c>
      <c r="D8318" t="s">
        <v>11</v>
      </c>
      <c r="E8318" t="s">
        <v>12</v>
      </c>
      <c r="F8318">
        <v>68553512</v>
      </c>
      <c r="G8318">
        <v>68553528</v>
      </c>
      <c r="H8318">
        <v>68553512</v>
      </c>
      <c r="I8318">
        <v>68553528</v>
      </c>
    </row>
    <row r="8319" spans="1:9" x14ac:dyDescent="0.2">
      <c r="A8319" s="1" t="str">
        <f>"IFNGR1"</f>
        <v>IFNGR1</v>
      </c>
      <c r="B8319" t="s">
        <v>14</v>
      </c>
      <c r="C8319" t="s">
        <v>32</v>
      </c>
      <c r="D8319" t="s">
        <v>11</v>
      </c>
      <c r="E8319" t="s">
        <v>12</v>
      </c>
      <c r="F8319">
        <v>137540477</v>
      </c>
      <c r="G8319">
        <v>137540571</v>
      </c>
      <c r="H8319">
        <v>137540477</v>
      </c>
      <c r="I8319">
        <v>137540571</v>
      </c>
    </row>
    <row r="8320" spans="1:9" x14ac:dyDescent="0.2">
      <c r="A8320" s="1" t="str">
        <f>"IFNGR2"</f>
        <v>IFNGR2</v>
      </c>
      <c r="B8320" t="s">
        <v>14</v>
      </c>
      <c r="C8320" t="s">
        <v>42</v>
      </c>
      <c r="D8320" t="s">
        <v>17</v>
      </c>
      <c r="E8320" t="s">
        <v>12</v>
      </c>
      <c r="F8320">
        <v>34775698</v>
      </c>
      <c r="G8320">
        <v>34775771</v>
      </c>
      <c r="H8320">
        <v>34775772</v>
      </c>
      <c r="I8320">
        <v>34775786</v>
      </c>
    </row>
    <row r="8321" spans="1:9" x14ac:dyDescent="0.2">
      <c r="A8321" s="1" t="str">
        <f>"IFNK"</f>
        <v>IFNK</v>
      </c>
      <c r="B8321" t="s">
        <v>14</v>
      </c>
      <c r="C8321" t="s">
        <v>24</v>
      </c>
      <c r="D8321" t="s">
        <v>17</v>
      </c>
      <c r="E8321" t="s">
        <v>12</v>
      </c>
      <c r="F8321">
        <v>27524537</v>
      </c>
      <c r="G8321">
        <v>27524559</v>
      </c>
      <c r="H8321">
        <v>27524537</v>
      </c>
      <c r="I8321">
        <v>27524559</v>
      </c>
    </row>
    <row r="8322" spans="1:9" x14ac:dyDescent="0.2">
      <c r="A8322" s="1" t="str">
        <f>"IFNL1"</f>
        <v>IFNL1</v>
      </c>
      <c r="B8322" t="s">
        <v>14</v>
      </c>
      <c r="C8322" t="s">
        <v>10</v>
      </c>
      <c r="D8322" t="s">
        <v>17</v>
      </c>
      <c r="E8322" t="s">
        <v>12</v>
      </c>
      <c r="F8322">
        <v>39787043</v>
      </c>
      <c r="G8322">
        <v>39787048</v>
      </c>
      <c r="H8322">
        <v>39787043</v>
      </c>
      <c r="I8322">
        <v>39787048</v>
      </c>
    </row>
    <row r="8323" spans="1:9" x14ac:dyDescent="0.2">
      <c r="A8323" s="1" t="str">
        <f>"IFNL2"</f>
        <v>IFNL2</v>
      </c>
      <c r="B8323" t="s">
        <v>648</v>
      </c>
      <c r="C8323" t="s">
        <v>10</v>
      </c>
      <c r="D8323" t="s">
        <v>17</v>
      </c>
      <c r="E8323" t="s">
        <v>20</v>
      </c>
      <c r="F8323">
        <v>39759153</v>
      </c>
      <c r="G8323">
        <v>39759153</v>
      </c>
      <c r="H8323">
        <v>39759153</v>
      </c>
      <c r="I8323">
        <v>39759153</v>
      </c>
    </row>
    <row r="8324" spans="1:9" x14ac:dyDescent="0.2">
      <c r="A8324" s="1" t="str">
        <f>"IFNL3"</f>
        <v>IFNL3</v>
      </c>
      <c r="B8324" t="s">
        <v>649</v>
      </c>
      <c r="C8324" t="s">
        <v>10</v>
      </c>
      <c r="D8324" t="s">
        <v>11</v>
      </c>
      <c r="E8324" t="s">
        <v>20</v>
      </c>
      <c r="F8324">
        <v>39735645</v>
      </c>
      <c r="G8324">
        <v>39735645</v>
      </c>
      <c r="H8324">
        <v>39735645</v>
      </c>
      <c r="I8324">
        <v>39735645</v>
      </c>
    </row>
    <row r="8325" spans="1:9" x14ac:dyDescent="0.2">
      <c r="A8325" s="1" t="str">
        <f>"IFNL4"</f>
        <v>IFNL4</v>
      </c>
      <c r="B8325" t="s">
        <v>650</v>
      </c>
      <c r="C8325" t="s">
        <v>10</v>
      </c>
      <c r="D8325" t="s">
        <v>11</v>
      </c>
      <c r="E8325" t="s">
        <v>20</v>
      </c>
      <c r="F8325">
        <v>39739218</v>
      </c>
      <c r="G8325">
        <v>39739218</v>
      </c>
      <c r="H8325">
        <v>39739218</v>
      </c>
      <c r="I8325">
        <v>39739218</v>
      </c>
    </row>
    <row r="8326" spans="1:9" x14ac:dyDescent="0.2">
      <c r="A8326" s="1" t="str">
        <f>"IFNLR1"</f>
        <v>IFNLR1</v>
      </c>
      <c r="B8326" t="s">
        <v>14</v>
      </c>
      <c r="C8326" t="s">
        <v>19</v>
      </c>
      <c r="D8326" t="s">
        <v>11</v>
      </c>
      <c r="E8326" t="s">
        <v>12</v>
      </c>
      <c r="F8326">
        <v>24513737</v>
      </c>
      <c r="G8326">
        <v>24513784</v>
      </c>
      <c r="H8326">
        <v>24513883</v>
      </c>
      <c r="I8326">
        <v>24513892</v>
      </c>
    </row>
    <row r="8327" spans="1:9" x14ac:dyDescent="0.2">
      <c r="A8327" s="1" t="str">
        <f>"IFNW1"</f>
        <v>IFNW1</v>
      </c>
      <c r="B8327" t="s">
        <v>651</v>
      </c>
      <c r="C8327" t="s">
        <v>24</v>
      </c>
      <c r="D8327" t="s">
        <v>11</v>
      </c>
      <c r="E8327" t="s">
        <v>20</v>
      </c>
      <c r="F8327">
        <v>21142143</v>
      </c>
      <c r="G8327">
        <v>21142143</v>
      </c>
      <c r="H8327">
        <v>21142143</v>
      </c>
      <c r="I8327">
        <v>21142143</v>
      </c>
    </row>
    <row r="8328" spans="1:9" x14ac:dyDescent="0.2">
      <c r="A8328" s="1" t="str">
        <f>"IFRD1"</f>
        <v>IFRD1</v>
      </c>
      <c r="B8328" t="s">
        <v>9</v>
      </c>
      <c r="C8328" t="s">
        <v>33</v>
      </c>
      <c r="D8328" t="s">
        <v>17</v>
      </c>
      <c r="E8328" t="s">
        <v>12</v>
      </c>
      <c r="F8328">
        <v>112090503</v>
      </c>
      <c r="G8328">
        <v>112090524</v>
      </c>
      <c r="H8328">
        <v>112090503</v>
      </c>
      <c r="I8328">
        <v>112090524</v>
      </c>
    </row>
    <row r="8329" spans="1:9" x14ac:dyDescent="0.2">
      <c r="A8329" s="1" t="str">
        <f>"IFRD1"</f>
        <v>IFRD1</v>
      </c>
      <c r="B8329" t="s">
        <v>13</v>
      </c>
      <c r="C8329" t="s">
        <v>33</v>
      </c>
      <c r="D8329" t="s">
        <v>17</v>
      </c>
      <c r="E8329" t="s">
        <v>12</v>
      </c>
      <c r="F8329">
        <v>112063192</v>
      </c>
      <c r="G8329">
        <v>112063237</v>
      </c>
      <c r="H8329">
        <v>112063192</v>
      </c>
      <c r="I8329">
        <v>112063237</v>
      </c>
    </row>
    <row r="8330" spans="1:9" x14ac:dyDescent="0.2">
      <c r="A8330" s="1" t="str">
        <f>"IFRD2"</f>
        <v>IFRD2</v>
      </c>
      <c r="B8330" t="s">
        <v>14</v>
      </c>
      <c r="C8330" t="s">
        <v>22</v>
      </c>
      <c r="D8330" t="s">
        <v>11</v>
      </c>
      <c r="E8330" t="s">
        <v>12</v>
      </c>
      <c r="F8330">
        <v>50329835</v>
      </c>
      <c r="G8330">
        <v>50329873</v>
      </c>
      <c r="H8330">
        <v>50329783</v>
      </c>
      <c r="I8330">
        <v>50329824</v>
      </c>
    </row>
    <row r="8331" spans="1:9" x14ac:dyDescent="0.2">
      <c r="A8331" s="1" t="str">
        <f>"IFT122"</f>
        <v>IFT122</v>
      </c>
      <c r="B8331" t="s">
        <v>14</v>
      </c>
      <c r="C8331" t="s">
        <v>22</v>
      </c>
      <c r="D8331" t="s">
        <v>17</v>
      </c>
      <c r="E8331" t="s">
        <v>12</v>
      </c>
      <c r="F8331">
        <v>129159039</v>
      </c>
      <c r="G8331">
        <v>129159181</v>
      </c>
      <c r="H8331">
        <v>129158926</v>
      </c>
      <c r="I8331">
        <v>129159006</v>
      </c>
    </row>
    <row r="8332" spans="1:9" x14ac:dyDescent="0.2">
      <c r="A8332" s="1" t="str">
        <f>"IFT140"</f>
        <v>IFT140</v>
      </c>
      <c r="B8332" t="s">
        <v>9</v>
      </c>
      <c r="C8332" t="s">
        <v>31</v>
      </c>
      <c r="D8332" t="s">
        <v>11</v>
      </c>
      <c r="E8332" t="s">
        <v>12</v>
      </c>
      <c r="F8332">
        <v>1660683</v>
      </c>
      <c r="G8332">
        <v>1660739</v>
      </c>
      <c r="H8332">
        <v>1660683</v>
      </c>
      <c r="I8332">
        <v>1660739</v>
      </c>
    </row>
    <row r="8333" spans="1:9" x14ac:dyDescent="0.2">
      <c r="A8333" s="1" t="str">
        <f>"IFT140"</f>
        <v>IFT140</v>
      </c>
      <c r="B8333" t="s">
        <v>13</v>
      </c>
      <c r="C8333" t="s">
        <v>31</v>
      </c>
      <c r="D8333" t="s">
        <v>11</v>
      </c>
      <c r="E8333" t="s">
        <v>12</v>
      </c>
      <c r="F8333">
        <v>1661988</v>
      </c>
      <c r="G8333">
        <v>1662083</v>
      </c>
      <c r="H8333">
        <v>1661988</v>
      </c>
      <c r="I8333">
        <v>1662083</v>
      </c>
    </row>
    <row r="8334" spans="1:9" x14ac:dyDescent="0.2">
      <c r="A8334" s="1" t="str">
        <f>"IFT172"</f>
        <v>IFT172</v>
      </c>
      <c r="B8334" t="s">
        <v>14</v>
      </c>
      <c r="C8334" t="s">
        <v>26</v>
      </c>
      <c r="D8334" t="s">
        <v>11</v>
      </c>
      <c r="E8334" t="s">
        <v>12</v>
      </c>
      <c r="F8334">
        <v>27712583</v>
      </c>
      <c r="G8334">
        <v>27712688</v>
      </c>
      <c r="H8334">
        <v>27712537</v>
      </c>
      <c r="I8334">
        <v>27712579</v>
      </c>
    </row>
    <row r="8335" spans="1:9" x14ac:dyDescent="0.2">
      <c r="A8335" s="1" t="str">
        <f>"IFT20"</f>
        <v>IFT20</v>
      </c>
      <c r="B8335" t="s">
        <v>14</v>
      </c>
      <c r="C8335" t="s">
        <v>28</v>
      </c>
      <c r="D8335" t="s">
        <v>11</v>
      </c>
      <c r="E8335" t="s">
        <v>12</v>
      </c>
      <c r="F8335">
        <v>26662464</v>
      </c>
      <c r="G8335">
        <v>26662519</v>
      </c>
      <c r="H8335">
        <v>26662440</v>
      </c>
      <c r="I8335">
        <v>26662463</v>
      </c>
    </row>
    <row r="8336" spans="1:9" x14ac:dyDescent="0.2">
      <c r="A8336" s="1" t="str">
        <f>"IFT27"</f>
        <v>IFT27</v>
      </c>
      <c r="B8336" t="s">
        <v>14</v>
      </c>
      <c r="C8336" t="s">
        <v>21</v>
      </c>
      <c r="D8336" t="s">
        <v>11</v>
      </c>
      <c r="E8336" t="s">
        <v>12</v>
      </c>
      <c r="F8336">
        <v>37172111</v>
      </c>
      <c r="G8336">
        <v>37172180</v>
      </c>
      <c r="H8336">
        <v>37172191</v>
      </c>
      <c r="I8336">
        <v>37172202</v>
      </c>
    </row>
    <row r="8337" spans="1:9" x14ac:dyDescent="0.2">
      <c r="A8337" s="1" t="str">
        <f>"IFT43"</f>
        <v>IFT43</v>
      </c>
      <c r="B8337" t="s">
        <v>14</v>
      </c>
      <c r="C8337" t="s">
        <v>41</v>
      </c>
      <c r="D8337" t="s">
        <v>17</v>
      </c>
      <c r="E8337" t="s">
        <v>12</v>
      </c>
      <c r="F8337">
        <v>76452090</v>
      </c>
      <c r="G8337">
        <v>76452134</v>
      </c>
      <c r="H8337">
        <v>76452090</v>
      </c>
      <c r="I8337">
        <v>76452134</v>
      </c>
    </row>
    <row r="8338" spans="1:9" x14ac:dyDescent="0.2">
      <c r="A8338" s="1" t="str">
        <f>"IFT46"</f>
        <v>IFT46</v>
      </c>
      <c r="B8338" t="s">
        <v>14</v>
      </c>
      <c r="C8338" t="s">
        <v>27</v>
      </c>
      <c r="D8338" t="s">
        <v>11</v>
      </c>
      <c r="E8338" t="s">
        <v>12</v>
      </c>
      <c r="F8338">
        <v>118436606</v>
      </c>
      <c r="G8338">
        <v>118436664</v>
      </c>
      <c r="H8338">
        <v>118436707</v>
      </c>
      <c r="I8338">
        <v>118436782</v>
      </c>
    </row>
    <row r="8339" spans="1:9" x14ac:dyDescent="0.2">
      <c r="A8339" s="1" t="str">
        <f>"IFT52"</f>
        <v>IFT52</v>
      </c>
      <c r="B8339" t="s">
        <v>14</v>
      </c>
      <c r="C8339" t="s">
        <v>29</v>
      </c>
      <c r="D8339" t="s">
        <v>17</v>
      </c>
      <c r="E8339" t="s">
        <v>12</v>
      </c>
      <c r="F8339">
        <v>42219559</v>
      </c>
      <c r="G8339">
        <v>42219643</v>
      </c>
      <c r="H8339">
        <v>42219645</v>
      </c>
      <c r="I8339">
        <v>42219657</v>
      </c>
    </row>
    <row r="8340" spans="1:9" x14ac:dyDescent="0.2">
      <c r="A8340" s="1" t="str">
        <f>"IFT57"</f>
        <v>IFT57</v>
      </c>
      <c r="B8340" t="s">
        <v>14</v>
      </c>
      <c r="C8340" t="s">
        <v>22</v>
      </c>
      <c r="D8340" t="s">
        <v>11</v>
      </c>
      <c r="E8340" t="s">
        <v>12</v>
      </c>
      <c r="F8340">
        <v>107941230</v>
      </c>
      <c r="G8340">
        <v>107941308</v>
      </c>
      <c r="H8340">
        <v>107941209</v>
      </c>
      <c r="I8340">
        <v>107941227</v>
      </c>
    </row>
    <row r="8341" spans="1:9" x14ac:dyDescent="0.2">
      <c r="A8341" s="1" t="str">
        <f>"IFT74"</f>
        <v>IFT74</v>
      </c>
      <c r="B8341" t="s">
        <v>9</v>
      </c>
      <c r="C8341" t="s">
        <v>24</v>
      </c>
      <c r="D8341" t="s">
        <v>17</v>
      </c>
      <c r="E8341" t="s">
        <v>12</v>
      </c>
      <c r="F8341">
        <v>26956382</v>
      </c>
      <c r="G8341">
        <v>26956463</v>
      </c>
      <c r="H8341">
        <v>26956382</v>
      </c>
      <c r="I8341">
        <v>26956463</v>
      </c>
    </row>
    <row r="8342" spans="1:9" x14ac:dyDescent="0.2">
      <c r="A8342" s="1" t="str">
        <f>"IFT74"</f>
        <v>IFT74</v>
      </c>
      <c r="B8342" t="s">
        <v>13</v>
      </c>
      <c r="C8342" t="s">
        <v>24</v>
      </c>
      <c r="D8342" t="s">
        <v>17</v>
      </c>
      <c r="E8342" t="s">
        <v>12</v>
      </c>
      <c r="F8342">
        <v>26947243</v>
      </c>
      <c r="G8342">
        <v>26947268</v>
      </c>
      <c r="H8342">
        <v>26947243</v>
      </c>
      <c r="I8342">
        <v>26947268</v>
      </c>
    </row>
    <row r="8343" spans="1:9" x14ac:dyDescent="0.2">
      <c r="A8343" s="1" t="str">
        <f>"IFT80"</f>
        <v>IFT80</v>
      </c>
      <c r="B8343" t="s">
        <v>14</v>
      </c>
      <c r="C8343" t="s">
        <v>22</v>
      </c>
      <c r="D8343" t="s">
        <v>11</v>
      </c>
      <c r="E8343" t="s">
        <v>12</v>
      </c>
      <c r="F8343">
        <v>160116996</v>
      </c>
      <c r="G8343">
        <v>160117020</v>
      </c>
      <c r="H8343">
        <v>160117301</v>
      </c>
      <c r="I8343">
        <v>160117342</v>
      </c>
    </row>
    <row r="8344" spans="1:9" x14ac:dyDescent="0.2">
      <c r="A8344" s="1" t="str">
        <f>"IFT81"</f>
        <v>IFT81</v>
      </c>
      <c r="B8344" t="s">
        <v>14</v>
      </c>
      <c r="C8344" t="s">
        <v>16</v>
      </c>
      <c r="D8344" t="s">
        <v>17</v>
      </c>
      <c r="E8344" t="s">
        <v>12</v>
      </c>
      <c r="F8344">
        <v>110562135</v>
      </c>
      <c r="G8344">
        <v>110562199</v>
      </c>
      <c r="H8344">
        <v>110562213</v>
      </c>
      <c r="I8344">
        <v>110562251</v>
      </c>
    </row>
    <row r="8345" spans="1:9" x14ac:dyDescent="0.2">
      <c r="A8345" s="1" t="str">
        <f>"IFT88"</f>
        <v>IFT88</v>
      </c>
      <c r="B8345" t="s">
        <v>14</v>
      </c>
      <c r="C8345" t="s">
        <v>39</v>
      </c>
      <c r="D8345" t="s">
        <v>17</v>
      </c>
      <c r="E8345" t="s">
        <v>12</v>
      </c>
      <c r="F8345">
        <v>21141270</v>
      </c>
      <c r="G8345">
        <v>21141349</v>
      </c>
      <c r="H8345">
        <v>21141254</v>
      </c>
      <c r="I8345">
        <v>21141265</v>
      </c>
    </row>
    <row r="8346" spans="1:9" x14ac:dyDescent="0.2">
      <c r="A8346" s="1" t="str">
        <f>"IGBP1"</f>
        <v>IGBP1</v>
      </c>
      <c r="B8346" t="s">
        <v>14</v>
      </c>
      <c r="C8346" t="s">
        <v>37</v>
      </c>
      <c r="D8346" t="s">
        <v>17</v>
      </c>
      <c r="E8346" t="s">
        <v>12</v>
      </c>
      <c r="F8346">
        <v>69353778</v>
      </c>
      <c r="G8346">
        <v>69353794</v>
      </c>
      <c r="H8346">
        <v>69353284</v>
      </c>
      <c r="I8346">
        <v>69353341</v>
      </c>
    </row>
    <row r="8347" spans="1:9" x14ac:dyDescent="0.2">
      <c r="A8347" s="1" t="str">
        <f>"IGDCC3"</f>
        <v>IGDCC3</v>
      </c>
      <c r="B8347" t="s">
        <v>14</v>
      </c>
      <c r="C8347" t="s">
        <v>25</v>
      </c>
      <c r="D8347" t="s">
        <v>11</v>
      </c>
      <c r="E8347" t="s">
        <v>12</v>
      </c>
      <c r="F8347">
        <v>65670329</v>
      </c>
      <c r="G8347">
        <v>65670351</v>
      </c>
      <c r="H8347">
        <v>65670360</v>
      </c>
      <c r="I8347">
        <v>65670378</v>
      </c>
    </row>
    <row r="8348" spans="1:9" x14ac:dyDescent="0.2">
      <c r="A8348" s="1" t="str">
        <f>"IGDCC4"</f>
        <v>IGDCC4</v>
      </c>
      <c r="B8348" t="s">
        <v>14</v>
      </c>
      <c r="C8348" t="s">
        <v>25</v>
      </c>
      <c r="D8348" t="s">
        <v>11</v>
      </c>
      <c r="E8348" t="s">
        <v>12</v>
      </c>
      <c r="F8348">
        <v>65715242</v>
      </c>
      <c r="G8348">
        <v>65715290</v>
      </c>
      <c r="H8348">
        <v>65715401</v>
      </c>
      <c r="I8348">
        <v>65715421</v>
      </c>
    </row>
    <row r="8349" spans="1:9" x14ac:dyDescent="0.2">
      <c r="A8349" s="1" t="str">
        <f>"IGF1"</f>
        <v>IGF1</v>
      </c>
      <c r="B8349" t="s">
        <v>14</v>
      </c>
      <c r="C8349" t="s">
        <v>16</v>
      </c>
      <c r="D8349" t="s">
        <v>11</v>
      </c>
      <c r="E8349" t="s">
        <v>12</v>
      </c>
      <c r="F8349">
        <v>102874330</v>
      </c>
      <c r="G8349">
        <v>102874350</v>
      </c>
      <c r="H8349">
        <v>102874330</v>
      </c>
      <c r="I8349">
        <v>102874350</v>
      </c>
    </row>
    <row r="8350" spans="1:9" x14ac:dyDescent="0.2">
      <c r="A8350" s="1" t="str">
        <f>"IGF1R"</f>
        <v>IGF1R</v>
      </c>
      <c r="B8350" t="s">
        <v>9</v>
      </c>
      <c r="C8350" t="s">
        <v>25</v>
      </c>
      <c r="D8350" t="s">
        <v>17</v>
      </c>
      <c r="E8350" t="s">
        <v>12</v>
      </c>
      <c r="F8350">
        <v>99191732</v>
      </c>
      <c r="G8350">
        <v>99191777</v>
      </c>
      <c r="H8350">
        <v>99191732</v>
      </c>
      <c r="I8350">
        <v>99191777</v>
      </c>
    </row>
    <row r="8351" spans="1:9" x14ac:dyDescent="0.2">
      <c r="A8351" s="1" t="str">
        <f>"IGF1R"</f>
        <v>IGF1R</v>
      </c>
      <c r="B8351" t="s">
        <v>13</v>
      </c>
      <c r="C8351" t="s">
        <v>25</v>
      </c>
      <c r="D8351" t="s">
        <v>17</v>
      </c>
      <c r="E8351" t="s">
        <v>12</v>
      </c>
      <c r="F8351">
        <v>99192777</v>
      </c>
      <c r="G8351">
        <v>99192780</v>
      </c>
      <c r="H8351">
        <v>99192777</v>
      </c>
      <c r="I8351">
        <v>99192780</v>
      </c>
    </row>
    <row r="8352" spans="1:9" x14ac:dyDescent="0.2">
      <c r="A8352" s="1" t="str">
        <f>"IGF2"</f>
        <v>IGF2</v>
      </c>
      <c r="B8352" t="s">
        <v>14</v>
      </c>
      <c r="C8352" t="s">
        <v>27</v>
      </c>
      <c r="D8352" t="s">
        <v>11</v>
      </c>
      <c r="E8352" t="s">
        <v>12</v>
      </c>
      <c r="F8352">
        <v>2160611</v>
      </c>
      <c r="G8352">
        <v>2160656</v>
      </c>
      <c r="H8352">
        <v>2160611</v>
      </c>
      <c r="I8352">
        <v>2160656</v>
      </c>
    </row>
    <row r="8353" spans="1:9" x14ac:dyDescent="0.2">
      <c r="A8353" s="1" t="str">
        <f>"IGF2BP1"</f>
        <v>IGF2BP1</v>
      </c>
      <c r="B8353" t="s">
        <v>14</v>
      </c>
      <c r="C8353" t="s">
        <v>28</v>
      </c>
      <c r="D8353" t="s">
        <v>17</v>
      </c>
      <c r="E8353" t="s">
        <v>12</v>
      </c>
      <c r="F8353">
        <v>47074793</v>
      </c>
      <c r="G8353">
        <v>47074870</v>
      </c>
      <c r="H8353">
        <v>47074540</v>
      </c>
      <c r="I8353">
        <v>47074570</v>
      </c>
    </row>
    <row r="8354" spans="1:9" x14ac:dyDescent="0.2">
      <c r="A8354" s="1" t="str">
        <f>"IGF2BP2"</f>
        <v>IGF2BP2</v>
      </c>
      <c r="B8354" t="s">
        <v>14</v>
      </c>
      <c r="C8354" t="s">
        <v>22</v>
      </c>
      <c r="D8354" t="s">
        <v>11</v>
      </c>
      <c r="E8354" t="s">
        <v>12</v>
      </c>
      <c r="F8354">
        <v>185542761</v>
      </c>
      <c r="G8354">
        <v>185542813</v>
      </c>
      <c r="H8354">
        <v>185542817</v>
      </c>
      <c r="I8354">
        <v>185542841</v>
      </c>
    </row>
    <row r="8355" spans="1:9" x14ac:dyDescent="0.2">
      <c r="A8355" s="1" t="str">
        <f>"IGF2BP3"</f>
        <v>IGF2BP3</v>
      </c>
      <c r="B8355" t="s">
        <v>14</v>
      </c>
      <c r="C8355" t="s">
        <v>33</v>
      </c>
      <c r="D8355" t="s">
        <v>11</v>
      </c>
      <c r="E8355" t="s">
        <v>12</v>
      </c>
      <c r="F8355">
        <v>23509977</v>
      </c>
      <c r="G8355">
        <v>23510032</v>
      </c>
      <c r="H8355">
        <v>23510088</v>
      </c>
      <c r="I8355">
        <v>23510118</v>
      </c>
    </row>
    <row r="8356" spans="1:9" x14ac:dyDescent="0.2">
      <c r="A8356" s="1" t="str">
        <f>"IGF2R"</f>
        <v>IGF2R</v>
      </c>
      <c r="B8356" t="s">
        <v>14</v>
      </c>
      <c r="C8356" t="s">
        <v>32</v>
      </c>
      <c r="D8356" t="s">
        <v>17</v>
      </c>
      <c r="E8356" t="s">
        <v>12</v>
      </c>
      <c r="F8356">
        <v>160390102</v>
      </c>
      <c r="G8356">
        <v>160390147</v>
      </c>
      <c r="H8356">
        <v>160390081</v>
      </c>
      <c r="I8356">
        <v>160390093</v>
      </c>
    </row>
    <row r="8357" spans="1:9" x14ac:dyDescent="0.2">
      <c r="A8357" s="1" t="str">
        <f>"IGFALS"</f>
        <v>IGFALS</v>
      </c>
      <c r="B8357" t="s">
        <v>14</v>
      </c>
      <c r="C8357" t="s">
        <v>31</v>
      </c>
      <c r="D8357" t="s">
        <v>11</v>
      </c>
      <c r="E8357" t="s">
        <v>12</v>
      </c>
      <c r="F8357">
        <v>1843694</v>
      </c>
      <c r="G8357">
        <v>1843711</v>
      </c>
      <c r="H8357">
        <v>1843720</v>
      </c>
      <c r="I8357">
        <v>1843737</v>
      </c>
    </row>
    <row r="8358" spans="1:9" x14ac:dyDescent="0.2">
      <c r="A8358" s="1" t="str">
        <f>"IGFBP1"</f>
        <v>IGFBP1</v>
      </c>
      <c r="B8358" t="s">
        <v>14</v>
      </c>
      <c r="C8358" t="s">
        <v>33</v>
      </c>
      <c r="D8358" t="s">
        <v>17</v>
      </c>
      <c r="E8358" t="s">
        <v>12</v>
      </c>
      <c r="F8358">
        <v>45928079</v>
      </c>
      <c r="G8358">
        <v>45928095</v>
      </c>
      <c r="H8358">
        <v>45927978</v>
      </c>
      <c r="I8358">
        <v>45927999</v>
      </c>
    </row>
    <row r="8359" spans="1:9" x14ac:dyDescent="0.2">
      <c r="A8359" s="1" t="str">
        <f>"IGFBP2"</f>
        <v>IGFBP2</v>
      </c>
      <c r="B8359" t="s">
        <v>14</v>
      </c>
      <c r="C8359" t="s">
        <v>26</v>
      </c>
      <c r="D8359" t="s">
        <v>17</v>
      </c>
      <c r="E8359" t="s">
        <v>12</v>
      </c>
      <c r="F8359">
        <v>217498164</v>
      </c>
      <c r="G8359">
        <v>217498242</v>
      </c>
      <c r="H8359">
        <v>217498134</v>
      </c>
      <c r="I8359">
        <v>217498154</v>
      </c>
    </row>
    <row r="8360" spans="1:9" x14ac:dyDescent="0.2">
      <c r="A8360" s="1" t="str">
        <f>"IGFBP3"</f>
        <v>IGFBP3</v>
      </c>
      <c r="B8360" t="s">
        <v>14</v>
      </c>
      <c r="C8360" t="s">
        <v>33</v>
      </c>
      <c r="D8360" t="s">
        <v>11</v>
      </c>
      <c r="E8360" t="s">
        <v>12</v>
      </c>
      <c r="F8360">
        <v>45960863</v>
      </c>
      <c r="G8360">
        <v>45960877</v>
      </c>
      <c r="H8360">
        <v>45960863</v>
      </c>
      <c r="I8360">
        <v>45960877</v>
      </c>
    </row>
    <row r="8361" spans="1:9" x14ac:dyDescent="0.2">
      <c r="A8361" s="1" t="str">
        <f>"IGFBP4"</f>
        <v>IGFBP4</v>
      </c>
      <c r="B8361" t="s">
        <v>14</v>
      </c>
      <c r="C8361" t="s">
        <v>28</v>
      </c>
      <c r="D8361" t="s">
        <v>17</v>
      </c>
      <c r="E8361" t="s">
        <v>12</v>
      </c>
      <c r="F8361">
        <v>38599693</v>
      </c>
      <c r="G8361">
        <v>38599708</v>
      </c>
      <c r="H8361">
        <v>38599693</v>
      </c>
      <c r="I8361">
        <v>38599708</v>
      </c>
    </row>
    <row r="8362" spans="1:9" x14ac:dyDescent="0.2">
      <c r="A8362" s="1" t="str">
        <f>"IGFBP5"</f>
        <v>IGFBP5</v>
      </c>
      <c r="B8362" t="s">
        <v>14</v>
      </c>
      <c r="C8362" t="s">
        <v>26</v>
      </c>
      <c r="D8362" t="s">
        <v>11</v>
      </c>
      <c r="E8362" t="s">
        <v>12</v>
      </c>
      <c r="F8362">
        <v>217560263</v>
      </c>
      <c r="G8362">
        <v>217560278</v>
      </c>
      <c r="H8362">
        <v>217560263</v>
      </c>
      <c r="I8362">
        <v>217560278</v>
      </c>
    </row>
    <row r="8363" spans="1:9" x14ac:dyDescent="0.2">
      <c r="A8363" s="1" t="str">
        <f>"IGFBP6"</f>
        <v>IGFBP6</v>
      </c>
      <c r="B8363" t="s">
        <v>14</v>
      </c>
      <c r="C8363" t="s">
        <v>16</v>
      </c>
      <c r="D8363" t="s">
        <v>17</v>
      </c>
      <c r="E8363" t="s">
        <v>12</v>
      </c>
      <c r="F8363">
        <v>53491441</v>
      </c>
      <c r="G8363">
        <v>53491458</v>
      </c>
      <c r="H8363">
        <v>53491413</v>
      </c>
      <c r="I8363">
        <v>53491430</v>
      </c>
    </row>
    <row r="8364" spans="1:9" x14ac:dyDescent="0.2">
      <c r="A8364" s="1" t="str">
        <f>"IGFBP7"</f>
        <v>IGFBP7</v>
      </c>
      <c r="B8364" t="s">
        <v>14</v>
      </c>
      <c r="C8364" t="s">
        <v>23</v>
      </c>
      <c r="D8364" t="s">
        <v>11</v>
      </c>
      <c r="E8364" t="s">
        <v>12</v>
      </c>
      <c r="F8364">
        <v>57976544</v>
      </c>
      <c r="G8364">
        <v>57976560</v>
      </c>
      <c r="H8364">
        <v>57976573</v>
      </c>
      <c r="I8364">
        <v>57976582</v>
      </c>
    </row>
    <row r="8365" spans="1:9" x14ac:dyDescent="0.2">
      <c r="A8365" s="1" t="str">
        <f>"IGFBPL1"</f>
        <v>IGFBPL1</v>
      </c>
      <c r="B8365" t="s">
        <v>14</v>
      </c>
      <c r="C8365" t="s">
        <v>24</v>
      </c>
      <c r="D8365" t="s">
        <v>11</v>
      </c>
      <c r="E8365" t="s">
        <v>12</v>
      </c>
      <c r="F8365">
        <v>38424443</v>
      </c>
      <c r="G8365">
        <v>38424458</v>
      </c>
      <c r="H8365">
        <v>38423984</v>
      </c>
      <c r="I8365">
        <v>38424037</v>
      </c>
    </row>
    <row r="8366" spans="1:9" x14ac:dyDescent="0.2">
      <c r="A8366" s="1" t="str">
        <f>"IGFL1"</f>
        <v>IGFL1</v>
      </c>
      <c r="B8366" t="s">
        <v>14</v>
      </c>
      <c r="C8366" t="s">
        <v>10</v>
      </c>
      <c r="D8366" t="s">
        <v>17</v>
      </c>
      <c r="E8366" t="s">
        <v>12</v>
      </c>
      <c r="F8366">
        <v>46732988</v>
      </c>
      <c r="G8366">
        <v>46733005</v>
      </c>
      <c r="H8366">
        <v>46732988</v>
      </c>
      <c r="I8366">
        <v>46733005</v>
      </c>
    </row>
    <row r="8367" spans="1:9" x14ac:dyDescent="0.2">
      <c r="A8367" s="1" t="str">
        <f>"IGFL2"</f>
        <v>IGFL2</v>
      </c>
      <c r="B8367" t="s">
        <v>14</v>
      </c>
      <c r="C8367" t="s">
        <v>10</v>
      </c>
      <c r="D8367" t="s">
        <v>17</v>
      </c>
      <c r="E8367" t="s">
        <v>12</v>
      </c>
      <c r="F8367">
        <v>46651474</v>
      </c>
      <c r="G8367">
        <v>46651514</v>
      </c>
      <c r="H8367">
        <v>46651474</v>
      </c>
      <c r="I8367">
        <v>46651514</v>
      </c>
    </row>
    <row r="8368" spans="1:9" x14ac:dyDescent="0.2">
      <c r="A8368" s="1" t="str">
        <f>"IGFL3"</f>
        <v>IGFL3</v>
      </c>
      <c r="B8368" t="s">
        <v>14</v>
      </c>
      <c r="C8368" t="s">
        <v>10</v>
      </c>
      <c r="D8368" t="s">
        <v>11</v>
      </c>
      <c r="E8368" t="s">
        <v>12</v>
      </c>
      <c r="F8368">
        <v>46627914</v>
      </c>
      <c r="G8368">
        <v>46627955</v>
      </c>
      <c r="H8368">
        <v>46627914</v>
      </c>
      <c r="I8368">
        <v>46627955</v>
      </c>
    </row>
    <row r="8369" spans="1:9" x14ac:dyDescent="0.2">
      <c r="A8369" s="1" t="str">
        <f>"IGFL4"</f>
        <v>IGFL4</v>
      </c>
      <c r="B8369" t="s">
        <v>14</v>
      </c>
      <c r="C8369" t="s">
        <v>10</v>
      </c>
      <c r="D8369" t="s">
        <v>11</v>
      </c>
      <c r="E8369" t="s">
        <v>12</v>
      </c>
      <c r="F8369">
        <v>46544258</v>
      </c>
      <c r="G8369">
        <v>46544264</v>
      </c>
      <c r="H8369">
        <v>46544258</v>
      </c>
      <c r="I8369">
        <v>46544264</v>
      </c>
    </row>
    <row r="8370" spans="1:9" x14ac:dyDescent="0.2">
      <c r="A8370" s="1" t="str">
        <f>"IGFLR1"</f>
        <v>IGFLR1</v>
      </c>
      <c r="B8370" t="s">
        <v>9</v>
      </c>
      <c r="C8370" t="s">
        <v>10</v>
      </c>
      <c r="D8370" t="s">
        <v>11</v>
      </c>
      <c r="E8370" t="s">
        <v>12</v>
      </c>
      <c r="F8370">
        <v>36233332</v>
      </c>
      <c r="G8370">
        <v>36233360</v>
      </c>
      <c r="H8370">
        <v>36233332</v>
      </c>
      <c r="I8370">
        <v>36233360</v>
      </c>
    </row>
    <row r="8371" spans="1:9" x14ac:dyDescent="0.2">
      <c r="A8371" s="1" t="str">
        <f>"IGFLR1"</f>
        <v>IGFLR1</v>
      </c>
      <c r="B8371" t="s">
        <v>13</v>
      </c>
      <c r="C8371" t="s">
        <v>10</v>
      </c>
      <c r="D8371" t="s">
        <v>11</v>
      </c>
      <c r="E8371" t="s">
        <v>12</v>
      </c>
      <c r="F8371">
        <v>36235552</v>
      </c>
      <c r="G8371">
        <v>36235619</v>
      </c>
      <c r="H8371">
        <v>36235552</v>
      </c>
      <c r="I8371">
        <v>36235619</v>
      </c>
    </row>
    <row r="8372" spans="1:9" x14ac:dyDescent="0.2">
      <c r="A8372" s="1" t="str">
        <f>"IGFN1"</f>
        <v>IGFN1</v>
      </c>
      <c r="B8372" t="s">
        <v>14</v>
      </c>
      <c r="C8372" t="s">
        <v>19</v>
      </c>
      <c r="D8372" t="s">
        <v>17</v>
      </c>
      <c r="E8372" t="s">
        <v>12</v>
      </c>
      <c r="F8372">
        <v>201159914</v>
      </c>
      <c r="G8372">
        <v>201159958</v>
      </c>
      <c r="H8372">
        <v>201159887</v>
      </c>
      <c r="I8372">
        <v>201159896</v>
      </c>
    </row>
    <row r="8373" spans="1:9" x14ac:dyDescent="0.2">
      <c r="A8373" s="1" t="str">
        <f>"IGHMBP2"</f>
        <v>IGHMBP2</v>
      </c>
      <c r="B8373" t="s">
        <v>14</v>
      </c>
      <c r="C8373" t="s">
        <v>27</v>
      </c>
      <c r="D8373" t="s">
        <v>17</v>
      </c>
      <c r="E8373" t="s">
        <v>12</v>
      </c>
      <c r="F8373">
        <v>68671318</v>
      </c>
      <c r="G8373">
        <v>68671419</v>
      </c>
      <c r="H8373">
        <v>68671318</v>
      </c>
      <c r="I8373">
        <v>68671419</v>
      </c>
    </row>
    <row r="8374" spans="1:9" x14ac:dyDescent="0.2">
      <c r="A8374" s="1" t="str">
        <f>"IGIP"</f>
        <v>IGIP</v>
      </c>
      <c r="B8374" t="s">
        <v>14</v>
      </c>
      <c r="C8374" t="s">
        <v>46</v>
      </c>
      <c r="D8374" t="s">
        <v>17</v>
      </c>
      <c r="E8374" t="s">
        <v>12</v>
      </c>
      <c r="F8374">
        <v>139505520</v>
      </c>
      <c r="G8374">
        <v>139505523</v>
      </c>
      <c r="H8374">
        <v>139505520</v>
      </c>
      <c r="I8374">
        <v>139505523</v>
      </c>
    </row>
    <row r="8375" spans="1:9" x14ac:dyDescent="0.2">
      <c r="A8375" s="1" t="str">
        <f>"IGJ"</f>
        <v>IGJ</v>
      </c>
      <c r="B8375" t="s">
        <v>14</v>
      </c>
      <c r="C8375" t="s">
        <v>23</v>
      </c>
      <c r="D8375" t="s">
        <v>11</v>
      </c>
      <c r="E8375" t="s">
        <v>12</v>
      </c>
      <c r="F8375">
        <v>71532209</v>
      </c>
      <c r="G8375">
        <v>71532244</v>
      </c>
      <c r="H8375">
        <v>71532273</v>
      </c>
      <c r="I8375">
        <v>71532287</v>
      </c>
    </row>
    <row r="8376" spans="1:9" x14ac:dyDescent="0.2">
      <c r="A8376" s="1" t="str">
        <f>"IGLL1"</f>
        <v>IGLL1</v>
      </c>
      <c r="B8376" t="s">
        <v>14</v>
      </c>
      <c r="C8376" t="s">
        <v>21</v>
      </c>
      <c r="D8376" t="s">
        <v>11</v>
      </c>
      <c r="E8376" t="s">
        <v>12</v>
      </c>
      <c r="F8376">
        <v>23922448</v>
      </c>
      <c r="G8376">
        <v>23922495</v>
      </c>
      <c r="H8376">
        <v>23922410</v>
      </c>
      <c r="I8376">
        <v>23922446</v>
      </c>
    </row>
    <row r="8377" spans="1:9" x14ac:dyDescent="0.2">
      <c r="A8377" s="1" t="str">
        <f>"IGLL5"</f>
        <v>IGLL5</v>
      </c>
      <c r="B8377" t="s">
        <v>14</v>
      </c>
      <c r="C8377" t="s">
        <v>21</v>
      </c>
      <c r="D8377" t="s">
        <v>17</v>
      </c>
      <c r="E8377" t="s">
        <v>12</v>
      </c>
      <c r="F8377">
        <v>23229974</v>
      </c>
      <c r="G8377">
        <v>23230024</v>
      </c>
      <c r="H8377">
        <v>23229974</v>
      </c>
      <c r="I8377">
        <v>23230024</v>
      </c>
    </row>
    <row r="8378" spans="1:9" x14ac:dyDescent="0.2">
      <c r="A8378" s="1" t="str">
        <f>"IGLON5"</f>
        <v>IGLON5</v>
      </c>
      <c r="B8378" t="s">
        <v>14</v>
      </c>
      <c r="C8378" t="s">
        <v>10</v>
      </c>
      <c r="D8378" t="s">
        <v>17</v>
      </c>
      <c r="E8378" t="s">
        <v>12</v>
      </c>
      <c r="F8378">
        <v>51814892</v>
      </c>
      <c r="G8378">
        <v>51814930</v>
      </c>
      <c r="H8378">
        <v>51815091</v>
      </c>
      <c r="I8378">
        <v>51815109</v>
      </c>
    </row>
    <row r="8379" spans="1:9" x14ac:dyDescent="0.2">
      <c r="A8379" s="1" t="str">
        <f>"IGSF1"</f>
        <v>IGSF1</v>
      </c>
      <c r="B8379" t="s">
        <v>14</v>
      </c>
      <c r="C8379" t="s">
        <v>37</v>
      </c>
      <c r="D8379" t="s">
        <v>11</v>
      </c>
      <c r="E8379" t="s">
        <v>12</v>
      </c>
      <c r="F8379">
        <v>130423240</v>
      </c>
      <c r="G8379">
        <v>130423288</v>
      </c>
      <c r="H8379">
        <v>130423240</v>
      </c>
      <c r="I8379">
        <v>130423288</v>
      </c>
    </row>
    <row r="8380" spans="1:9" x14ac:dyDescent="0.2">
      <c r="A8380" s="1" t="str">
        <f>"IGSF10"</f>
        <v>IGSF10</v>
      </c>
      <c r="B8380" t="s">
        <v>14</v>
      </c>
      <c r="C8380" t="s">
        <v>22</v>
      </c>
      <c r="D8380" t="s">
        <v>11</v>
      </c>
      <c r="E8380" t="s">
        <v>12</v>
      </c>
      <c r="F8380">
        <v>151163898</v>
      </c>
      <c r="G8380">
        <v>151163909</v>
      </c>
      <c r="H8380">
        <v>151163898</v>
      </c>
      <c r="I8380">
        <v>151163909</v>
      </c>
    </row>
    <row r="8381" spans="1:9" x14ac:dyDescent="0.2">
      <c r="A8381" s="1" t="str">
        <f>"IGSF11"</f>
        <v>IGSF11</v>
      </c>
      <c r="B8381" t="s">
        <v>14</v>
      </c>
      <c r="C8381" t="s">
        <v>22</v>
      </c>
      <c r="D8381" t="s">
        <v>11</v>
      </c>
      <c r="E8381" t="s">
        <v>12</v>
      </c>
      <c r="F8381">
        <v>118753657</v>
      </c>
      <c r="G8381">
        <v>118753705</v>
      </c>
      <c r="H8381">
        <v>118753626</v>
      </c>
      <c r="I8381">
        <v>118753650</v>
      </c>
    </row>
    <row r="8382" spans="1:9" x14ac:dyDescent="0.2">
      <c r="A8382" s="1" t="str">
        <f>"IGSF21"</f>
        <v>IGSF21</v>
      </c>
      <c r="B8382" t="s">
        <v>14</v>
      </c>
      <c r="C8382" t="s">
        <v>19</v>
      </c>
      <c r="D8382" t="s">
        <v>17</v>
      </c>
      <c r="E8382" t="s">
        <v>12</v>
      </c>
      <c r="F8382">
        <v>18434257</v>
      </c>
      <c r="G8382">
        <v>18434308</v>
      </c>
      <c r="H8382">
        <v>18434245</v>
      </c>
      <c r="I8382">
        <v>18434256</v>
      </c>
    </row>
    <row r="8383" spans="1:9" x14ac:dyDescent="0.2">
      <c r="A8383" s="1" t="str">
        <f>"IGSF22"</f>
        <v>IGSF22</v>
      </c>
      <c r="B8383" t="s">
        <v>14</v>
      </c>
      <c r="C8383" t="s">
        <v>27</v>
      </c>
      <c r="D8383" t="s">
        <v>11</v>
      </c>
      <c r="E8383" t="s">
        <v>12</v>
      </c>
      <c r="F8383">
        <v>18747734</v>
      </c>
      <c r="G8383">
        <v>18747737</v>
      </c>
      <c r="H8383">
        <v>18747734</v>
      </c>
      <c r="I8383">
        <v>18747737</v>
      </c>
    </row>
    <row r="8384" spans="1:9" x14ac:dyDescent="0.2">
      <c r="A8384" s="1" t="str">
        <f>"IGSF23"</f>
        <v>IGSF23</v>
      </c>
      <c r="B8384" t="s">
        <v>14</v>
      </c>
      <c r="C8384" t="s">
        <v>10</v>
      </c>
      <c r="D8384" t="s">
        <v>17</v>
      </c>
      <c r="E8384" t="s">
        <v>12</v>
      </c>
      <c r="F8384">
        <v>45116905</v>
      </c>
      <c r="G8384">
        <v>45116919</v>
      </c>
      <c r="H8384">
        <v>45116868</v>
      </c>
      <c r="I8384">
        <v>45116882</v>
      </c>
    </row>
    <row r="8385" spans="1:9" x14ac:dyDescent="0.2">
      <c r="A8385" s="1" t="str">
        <f>"IGSF3"</f>
        <v>IGSF3</v>
      </c>
      <c r="B8385" t="s">
        <v>14</v>
      </c>
      <c r="C8385" t="s">
        <v>19</v>
      </c>
      <c r="D8385" t="s">
        <v>11</v>
      </c>
      <c r="E8385" t="s">
        <v>12</v>
      </c>
      <c r="F8385">
        <v>117210290</v>
      </c>
      <c r="G8385">
        <v>117210376</v>
      </c>
      <c r="H8385">
        <v>117210414</v>
      </c>
      <c r="I8385">
        <v>117210435</v>
      </c>
    </row>
    <row r="8386" spans="1:9" x14ac:dyDescent="0.2">
      <c r="A8386" s="1" t="str">
        <f>"IGSF5"</f>
        <v>IGSF5</v>
      </c>
      <c r="B8386" t="s">
        <v>14</v>
      </c>
      <c r="C8386" t="s">
        <v>42</v>
      </c>
      <c r="D8386" t="s">
        <v>17</v>
      </c>
      <c r="E8386" t="s">
        <v>12</v>
      </c>
      <c r="F8386">
        <v>41122764</v>
      </c>
      <c r="G8386">
        <v>41122774</v>
      </c>
      <c r="H8386">
        <v>41122764</v>
      </c>
      <c r="I8386">
        <v>41122774</v>
      </c>
    </row>
    <row r="8387" spans="1:9" x14ac:dyDescent="0.2">
      <c r="A8387" s="1" t="str">
        <f>"IGSF6"</f>
        <v>IGSF6</v>
      </c>
      <c r="B8387" t="s">
        <v>14</v>
      </c>
      <c r="C8387" t="s">
        <v>31</v>
      </c>
      <c r="D8387" t="s">
        <v>11</v>
      </c>
      <c r="E8387" t="s">
        <v>12</v>
      </c>
      <c r="F8387">
        <v>21663919</v>
      </c>
      <c r="G8387">
        <v>21663936</v>
      </c>
      <c r="H8387">
        <v>21663950</v>
      </c>
      <c r="I8387">
        <v>21663959</v>
      </c>
    </row>
    <row r="8388" spans="1:9" x14ac:dyDescent="0.2">
      <c r="A8388" s="1" t="str">
        <f>"IGSF8"</f>
        <v>IGSF8</v>
      </c>
      <c r="B8388" t="s">
        <v>14</v>
      </c>
      <c r="C8388" t="s">
        <v>19</v>
      </c>
      <c r="D8388" t="s">
        <v>11</v>
      </c>
      <c r="E8388" t="s">
        <v>12</v>
      </c>
      <c r="F8388">
        <v>160068383</v>
      </c>
      <c r="G8388">
        <v>160068419</v>
      </c>
      <c r="H8388">
        <v>160068271</v>
      </c>
      <c r="I8388">
        <v>160068323</v>
      </c>
    </row>
    <row r="8389" spans="1:9" x14ac:dyDescent="0.2">
      <c r="A8389" s="1" t="str">
        <f>"IGSF9"</f>
        <v>IGSF9</v>
      </c>
      <c r="B8389" t="s">
        <v>14</v>
      </c>
      <c r="C8389" t="s">
        <v>19</v>
      </c>
      <c r="D8389" t="s">
        <v>11</v>
      </c>
      <c r="E8389" t="s">
        <v>12</v>
      </c>
      <c r="F8389">
        <v>159915391</v>
      </c>
      <c r="G8389">
        <v>159915426</v>
      </c>
      <c r="H8389">
        <v>159915778</v>
      </c>
      <c r="I8389">
        <v>159915820</v>
      </c>
    </row>
    <row r="8390" spans="1:9" x14ac:dyDescent="0.2">
      <c r="A8390" s="1" t="str">
        <f>"IGSF9B"</f>
        <v>IGSF9B</v>
      </c>
      <c r="B8390" t="s">
        <v>14</v>
      </c>
      <c r="C8390" t="s">
        <v>27</v>
      </c>
      <c r="D8390" t="s">
        <v>11</v>
      </c>
      <c r="E8390" t="s">
        <v>12</v>
      </c>
      <c r="F8390">
        <v>133826852</v>
      </c>
      <c r="G8390">
        <v>133826906</v>
      </c>
      <c r="H8390">
        <v>133826676</v>
      </c>
      <c r="I8390">
        <v>133826696</v>
      </c>
    </row>
    <row r="8391" spans="1:9" x14ac:dyDescent="0.2">
      <c r="A8391" s="1" t="str">
        <f>"IHH"</f>
        <v>IHH</v>
      </c>
      <c r="B8391" t="s">
        <v>14</v>
      </c>
      <c r="C8391" t="s">
        <v>26</v>
      </c>
      <c r="D8391" t="s">
        <v>11</v>
      </c>
      <c r="E8391" t="s">
        <v>12</v>
      </c>
      <c r="F8391">
        <v>219925637</v>
      </c>
      <c r="G8391">
        <v>219925649</v>
      </c>
      <c r="H8391">
        <v>219925637</v>
      </c>
      <c r="I8391">
        <v>219925649</v>
      </c>
    </row>
    <row r="8392" spans="1:9" x14ac:dyDescent="0.2">
      <c r="A8392" s="1" t="str">
        <f>"IK"</f>
        <v>IK</v>
      </c>
      <c r="B8392" t="s">
        <v>9</v>
      </c>
      <c r="C8392" t="s">
        <v>46</v>
      </c>
      <c r="D8392" t="s">
        <v>17</v>
      </c>
      <c r="E8392" t="s">
        <v>12</v>
      </c>
      <c r="F8392">
        <v>140027387</v>
      </c>
      <c r="G8392">
        <v>140027476</v>
      </c>
      <c r="H8392">
        <v>140027387</v>
      </c>
      <c r="I8392">
        <v>140027476</v>
      </c>
    </row>
    <row r="8393" spans="1:9" x14ac:dyDescent="0.2">
      <c r="A8393" s="1" t="str">
        <f>"IK"</f>
        <v>IK</v>
      </c>
      <c r="B8393" t="s">
        <v>13</v>
      </c>
      <c r="C8393" t="s">
        <v>46</v>
      </c>
      <c r="D8393" t="s">
        <v>17</v>
      </c>
      <c r="E8393" t="s">
        <v>12</v>
      </c>
      <c r="F8393">
        <v>140038531</v>
      </c>
      <c r="G8393">
        <v>140038548</v>
      </c>
      <c r="H8393">
        <v>140038531</v>
      </c>
      <c r="I8393">
        <v>140038548</v>
      </c>
    </row>
    <row r="8394" spans="1:9" x14ac:dyDescent="0.2">
      <c r="A8394" s="1" t="str">
        <f>"IKBIP"</f>
        <v>IKBIP</v>
      </c>
      <c r="B8394" t="s">
        <v>14</v>
      </c>
      <c r="C8394" t="s">
        <v>16</v>
      </c>
      <c r="D8394" t="s">
        <v>11</v>
      </c>
      <c r="E8394" t="s">
        <v>12</v>
      </c>
      <c r="F8394">
        <v>99038511</v>
      </c>
      <c r="G8394">
        <v>99038575</v>
      </c>
      <c r="H8394">
        <v>99038720</v>
      </c>
      <c r="I8394">
        <v>99038770</v>
      </c>
    </row>
    <row r="8395" spans="1:9" x14ac:dyDescent="0.2">
      <c r="A8395" s="1" t="str">
        <f>"IKBKAP"</f>
        <v>IKBKAP</v>
      </c>
      <c r="B8395" t="s">
        <v>14</v>
      </c>
      <c r="C8395" t="s">
        <v>24</v>
      </c>
      <c r="D8395" t="s">
        <v>11</v>
      </c>
      <c r="E8395" t="s">
        <v>12</v>
      </c>
      <c r="F8395">
        <v>111696340</v>
      </c>
      <c r="G8395">
        <v>111696421</v>
      </c>
      <c r="H8395">
        <v>111696224</v>
      </c>
      <c r="I8395">
        <v>111696261</v>
      </c>
    </row>
    <row r="8396" spans="1:9" x14ac:dyDescent="0.2">
      <c r="A8396" s="1" t="str">
        <f>"IKBKB"</f>
        <v>IKBKB</v>
      </c>
      <c r="B8396" t="s">
        <v>14</v>
      </c>
      <c r="C8396" t="s">
        <v>30</v>
      </c>
      <c r="D8396" t="s">
        <v>17</v>
      </c>
      <c r="E8396" t="s">
        <v>12</v>
      </c>
      <c r="F8396">
        <v>42128812</v>
      </c>
      <c r="G8396">
        <v>42128859</v>
      </c>
      <c r="H8396">
        <v>42128861</v>
      </c>
      <c r="I8396">
        <v>42128886</v>
      </c>
    </row>
    <row r="8397" spans="1:9" x14ac:dyDescent="0.2">
      <c r="A8397" s="1" t="str">
        <f>"IKBKE"</f>
        <v>IKBKE</v>
      </c>
      <c r="B8397" t="s">
        <v>14</v>
      </c>
      <c r="C8397" t="s">
        <v>19</v>
      </c>
      <c r="D8397" t="s">
        <v>17</v>
      </c>
      <c r="E8397" t="s">
        <v>12</v>
      </c>
      <c r="F8397">
        <v>206643806</v>
      </c>
      <c r="G8397">
        <v>206643850</v>
      </c>
      <c r="H8397">
        <v>206643787</v>
      </c>
      <c r="I8397">
        <v>206643803</v>
      </c>
    </row>
    <row r="8398" spans="1:9" x14ac:dyDescent="0.2">
      <c r="A8398" s="1" t="str">
        <f>"IKBKG"</f>
        <v>IKBKG</v>
      </c>
      <c r="B8398" t="s">
        <v>14</v>
      </c>
      <c r="C8398" t="s">
        <v>37</v>
      </c>
      <c r="D8398" t="s">
        <v>17</v>
      </c>
      <c r="E8398" t="s">
        <v>12</v>
      </c>
      <c r="F8398">
        <v>153775821</v>
      </c>
      <c r="G8398">
        <v>153775864</v>
      </c>
      <c r="H8398">
        <v>153775869</v>
      </c>
      <c r="I8398">
        <v>153775887</v>
      </c>
    </row>
    <row r="8399" spans="1:9" x14ac:dyDescent="0.2">
      <c r="A8399" s="1" t="str">
        <f>"IKZF1"</f>
        <v>IKZF1</v>
      </c>
      <c r="B8399" t="s">
        <v>14</v>
      </c>
      <c r="C8399" t="s">
        <v>33</v>
      </c>
      <c r="D8399" t="s">
        <v>17</v>
      </c>
      <c r="E8399" t="s">
        <v>12</v>
      </c>
      <c r="F8399">
        <v>50344289</v>
      </c>
      <c r="G8399">
        <v>50344323</v>
      </c>
      <c r="H8399">
        <v>50343634</v>
      </c>
      <c r="I8399">
        <v>50343717</v>
      </c>
    </row>
    <row r="8400" spans="1:9" x14ac:dyDescent="0.2">
      <c r="A8400" s="1" t="str">
        <f>"IKZF2"</f>
        <v>IKZF2</v>
      </c>
      <c r="B8400" t="s">
        <v>9</v>
      </c>
      <c r="C8400" t="s">
        <v>26</v>
      </c>
      <c r="D8400" t="s">
        <v>11</v>
      </c>
      <c r="E8400" t="s">
        <v>12</v>
      </c>
      <c r="F8400">
        <v>214015111</v>
      </c>
      <c r="G8400">
        <v>214015179</v>
      </c>
      <c r="H8400">
        <v>214015111</v>
      </c>
      <c r="I8400">
        <v>214015179</v>
      </c>
    </row>
    <row r="8401" spans="1:9" x14ac:dyDescent="0.2">
      <c r="A8401" s="1" t="str">
        <f>"IKZF2"</f>
        <v>IKZF2</v>
      </c>
      <c r="B8401" t="s">
        <v>13</v>
      </c>
      <c r="C8401" t="s">
        <v>26</v>
      </c>
      <c r="D8401" t="s">
        <v>11</v>
      </c>
      <c r="E8401" t="s">
        <v>12</v>
      </c>
      <c r="F8401">
        <v>214016314</v>
      </c>
      <c r="G8401">
        <v>214016343</v>
      </c>
      <c r="H8401">
        <v>214016314</v>
      </c>
      <c r="I8401">
        <v>214016343</v>
      </c>
    </row>
    <row r="8402" spans="1:9" x14ac:dyDescent="0.2">
      <c r="A8402" s="1" t="str">
        <f>"IKZF3"</f>
        <v>IKZF3</v>
      </c>
      <c r="B8402" t="s">
        <v>14</v>
      </c>
      <c r="C8402" t="s">
        <v>28</v>
      </c>
      <c r="D8402" t="s">
        <v>11</v>
      </c>
      <c r="E8402" t="s">
        <v>12</v>
      </c>
      <c r="F8402">
        <v>38020392</v>
      </c>
      <c r="G8402">
        <v>38020477</v>
      </c>
      <c r="H8402">
        <v>38020392</v>
      </c>
      <c r="I8402">
        <v>38020477</v>
      </c>
    </row>
    <row r="8403" spans="1:9" x14ac:dyDescent="0.2">
      <c r="A8403" s="1" t="str">
        <f>"IKZF4"</f>
        <v>IKZF4</v>
      </c>
      <c r="B8403" t="s">
        <v>9</v>
      </c>
      <c r="C8403" t="s">
        <v>16</v>
      </c>
      <c r="D8403" t="s">
        <v>17</v>
      </c>
      <c r="E8403" t="s">
        <v>12</v>
      </c>
      <c r="F8403">
        <v>56401268</v>
      </c>
      <c r="G8403">
        <v>56401305</v>
      </c>
      <c r="H8403">
        <v>56401268</v>
      </c>
      <c r="I8403">
        <v>56401305</v>
      </c>
    </row>
    <row r="8404" spans="1:9" x14ac:dyDescent="0.2">
      <c r="A8404" s="1" t="str">
        <f>"IKZF4"</f>
        <v>IKZF4</v>
      </c>
      <c r="B8404" t="s">
        <v>13</v>
      </c>
      <c r="C8404" t="s">
        <v>16</v>
      </c>
      <c r="D8404" t="s">
        <v>17</v>
      </c>
      <c r="E8404" t="s">
        <v>12</v>
      </c>
      <c r="F8404">
        <v>56415246</v>
      </c>
      <c r="G8404">
        <v>56415286</v>
      </c>
      <c r="H8404">
        <v>56415246</v>
      </c>
      <c r="I8404">
        <v>56415286</v>
      </c>
    </row>
    <row r="8405" spans="1:9" x14ac:dyDescent="0.2">
      <c r="A8405" s="1" t="str">
        <f>"IKZF5"</f>
        <v>IKZF5</v>
      </c>
      <c r="B8405" t="s">
        <v>14</v>
      </c>
      <c r="C8405" t="s">
        <v>15</v>
      </c>
      <c r="D8405" t="s">
        <v>11</v>
      </c>
      <c r="E8405" t="s">
        <v>12</v>
      </c>
      <c r="F8405">
        <v>124768300</v>
      </c>
      <c r="G8405">
        <v>124768334</v>
      </c>
      <c r="H8405">
        <v>124768217</v>
      </c>
      <c r="I8405">
        <v>124768228</v>
      </c>
    </row>
    <row r="8406" spans="1:9" x14ac:dyDescent="0.2">
      <c r="A8406" s="1" t="str">
        <f>"IL10"</f>
        <v>IL10</v>
      </c>
      <c r="B8406" t="s">
        <v>9</v>
      </c>
      <c r="C8406" t="s">
        <v>19</v>
      </c>
      <c r="D8406" t="s">
        <v>11</v>
      </c>
      <c r="E8406" t="s">
        <v>12</v>
      </c>
      <c r="F8406">
        <v>206945830</v>
      </c>
      <c r="G8406">
        <v>206945845</v>
      </c>
      <c r="H8406">
        <v>206945830</v>
      </c>
      <c r="I8406">
        <v>206945845</v>
      </c>
    </row>
    <row r="8407" spans="1:9" x14ac:dyDescent="0.2">
      <c r="A8407" s="1" t="str">
        <f>"IL10"</f>
        <v>IL10</v>
      </c>
      <c r="B8407" t="s">
        <v>13</v>
      </c>
      <c r="C8407" t="s">
        <v>19</v>
      </c>
      <c r="D8407" t="s">
        <v>11</v>
      </c>
      <c r="E8407" t="s">
        <v>12</v>
      </c>
      <c r="F8407">
        <v>206944527</v>
      </c>
      <c r="G8407">
        <v>206944552</v>
      </c>
      <c r="H8407">
        <v>206944527</v>
      </c>
      <c r="I8407">
        <v>206944552</v>
      </c>
    </row>
    <row r="8408" spans="1:9" x14ac:dyDescent="0.2">
      <c r="A8408" s="1" t="str">
        <f>"IL10RA"</f>
        <v>IL10RA</v>
      </c>
      <c r="B8408" t="s">
        <v>14</v>
      </c>
      <c r="C8408" t="s">
        <v>27</v>
      </c>
      <c r="D8408" t="s">
        <v>17</v>
      </c>
      <c r="E8408" t="s">
        <v>12</v>
      </c>
      <c r="F8408">
        <v>117857101</v>
      </c>
      <c r="G8408">
        <v>117857121</v>
      </c>
      <c r="H8408">
        <v>117857101</v>
      </c>
      <c r="I8408">
        <v>117857121</v>
      </c>
    </row>
    <row r="8409" spans="1:9" x14ac:dyDescent="0.2">
      <c r="A8409" s="1" t="str">
        <f>"IL10RB"</f>
        <v>IL10RB</v>
      </c>
      <c r="B8409" t="s">
        <v>14</v>
      </c>
      <c r="C8409" t="s">
        <v>42</v>
      </c>
      <c r="D8409" t="s">
        <v>17</v>
      </c>
      <c r="E8409" t="s">
        <v>12</v>
      </c>
      <c r="F8409">
        <v>34638656</v>
      </c>
      <c r="G8409">
        <v>34638709</v>
      </c>
      <c r="H8409">
        <v>34638725</v>
      </c>
      <c r="I8409">
        <v>34638738</v>
      </c>
    </row>
    <row r="8410" spans="1:9" x14ac:dyDescent="0.2">
      <c r="A8410" s="1" t="str">
        <f>"IL11"</f>
        <v>IL11</v>
      </c>
      <c r="B8410" t="s">
        <v>14</v>
      </c>
      <c r="C8410" t="s">
        <v>10</v>
      </c>
      <c r="D8410" t="s">
        <v>11</v>
      </c>
      <c r="E8410" t="s">
        <v>12</v>
      </c>
      <c r="F8410">
        <v>55881823</v>
      </c>
      <c r="G8410">
        <v>55881837</v>
      </c>
      <c r="H8410">
        <v>55881699</v>
      </c>
      <c r="I8410">
        <v>55881735</v>
      </c>
    </row>
    <row r="8411" spans="1:9" x14ac:dyDescent="0.2">
      <c r="A8411" s="1" t="str">
        <f>"IL11RA"</f>
        <v>IL11RA</v>
      </c>
      <c r="B8411" t="s">
        <v>9</v>
      </c>
      <c r="C8411" t="s">
        <v>24</v>
      </c>
      <c r="D8411" t="s">
        <v>17</v>
      </c>
      <c r="E8411" t="s">
        <v>12</v>
      </c>
      <c r="F8411">
        <v>34652164</v>
      </c>
      <c r="G8411">
        <v>34652206</v>
      </c>
      <c r="H8411">
        <v>34652164</v>
      </c>
      <c r="I8411">
        <v>34652206</v>
      </c>
    </row>
    <row r="8412" spans="1:9" x14ac:dyDescent="0.2">
      <c r="A8412" s="1" t="str">
        <f>"IL11RA"</f>
        <v>IL11RA</v>
      </c>
      <c r="B8412" t="s">
        <v>13</v>
      </c>
      <c r="C8412" t="s">
        <v>24</v>
      </c>
      <c r="D8412" t="s">
        <v>17</v>
      </c>
      <c r="E8412" t="s">
        <v>12</v>
      </c>
      <c r="F8412">
        <v>34653904</v>
      </c>
      <c r="G8412">
        <v>34653930</v>
      </c>
      <c r="H8412">
        <v>34653904</v>
      </c>
      <c r="I8412">
        <v>34653930</v>
      </c>
    </row>
    <row r="8413" spans="1:9" x14ac:dyDescent="0.2">
      <c r="A8413" s="1" t="str">
        <f>"IL12A"</f>
        <v>IL12A</v>
      </c>
      <c r="B8413" t="s">
        <v>14</v>
      </c>
      <c r="C8413" t="s">
        <v>22</v>
      </c>
      <c r="D8413" t="s">
        <v>17</v>
      </c>
      <c r="E8413" t="s">
        <v>12</v>
      </c>
      <c r="F8413">
        <v>159706616</v>
      </c>
      <c r="G8413">
        <v>159706640</v>
      </c>
      <c r="H8413">
        <v>159706506</v>
      </c>
      <c r="I8413">
        <v>159706540</v>
      </c>
    </row>
    <row r="8414" spans="1:9" x14ac:dyDescent="0.2">
      <c r="A8414" s="1" t="str">
        <f>"IL12B"</f>
        <v>IL12B</v>
      </c>
      <c r="B8414" t="s">
        <v>14</v>
      </c>
      <c r="C8414" t="s">
        <v>46</v>
      </c>
      <c r="D8414" t="s">
        <v>11</v>
      </c>
      <c r="E8414" t="s">
        <v>12</v>
      </c>
      <c r="F8414">
        <v>158757489</v>
      </c>
      <c r="G8414">
        <v>158757500</v>
      </c>
      <c r="H8414">
        <v>158757489</v>
      </c>
      <c r="I8414">
        <v>158757500</v>
      </c>
    </row>
    <row r="8415" spans="1:9" x14ac:dyDescent="0.2">
      <c r="A8415" s="1" t="str">
        <f>"IL12RB1"</f>
        <v>IL12RB1</v>
      </c>
      <c r="B8415" t="s">
        <v>14</v>
      </c>
      <c r="C8415" t="s">
        <v>10</v>
      </c>
      <c r="D8415" t="s">
        <v>11</v>
      </c>
      <c r="E8415" t="s">
        <v>12</v>
      </c>
      <c r="F8415">
        <v>18197714</v>
      </c>
      <c r="G8415">
        <v>18197750</v>
      </c>
      <c r="H8415">
        <v>18197799</v>
      </c>
      <c r="I8415">
        <v>18197815</v>
      </c>
    </row>
    <row r="8416" spans="1:9" x14ac:dyDescent="0.2">
      <c r="A8416" s="1" t="str">
        <f>"IL12RB2"</f>
        <v>IL12RB2</v>
      </c>
      <c r="B8416" t="s">
        <v>14</v>
      </c>
      <c r="C8416" t="s">
        <v>19</v>
      </c>
      <c r="D8416" t="s">
        <v>17</v>
      </c>
      <c r="E8416" t="s">
        <v>12</v>
      </c>
      <c r="F8416">
        <v>67773527</v>
      </c>
      <c r="G8416">
        <v>67773577</v>
      </c>
      <c r="H8416">
        <v>67773582</v>
      </c>
      <c r="I8416">
        <v>67773593</v>
      </c>
    </row>
    <row r="8417" spans="1:9" x14ac:dyDescent="0.2">
      <c r="A8417" s="1" t="str">
        <f>"IL13"</f>
        <v>IL13</v>
      </c>
      <c r="B8417" t="s">
        <v>9</v>
      </c>
      <c r="C8417" t="s">
        <v>46</v>
      </c>
      <c r="D8417" t="s">
        <v>17</v>
      </c>
      <c r="E8417" t="s">
        <v>12</v>
      </c>
      <c r="F8417">
        <v>131993856</v>
      </c>
      <c r="G8417">
        <v>131993873</v>
      </c>
      <c r="H8417">
        <v>131993856</v>
      </c>
      <c r="I8417">
        <v>131993873</v>
      </c>
    </row>
    <row r="8418" spans="1:9" x14ac:dyDescent="0.2">
      <c r="A8418" s="1" t="str">
        <f>"IL13"</f>
        <v>IL13</v>
      </c>
      <c r="B8418" t="s">
        <v>13</v>
      </c>
      <c r="C8418" t="s">
        <v>46</v>
      </c>
      <c r="D8418" t="s">
        <v>17</v>
      </c>
      <c r="E8418" t="s">
        <v>12</v>
      </c>
      <c r="F8418">
        <v>131992210</v>
      </c>
      <c r="G8418">
        <v>131992220</v>
      </c>
      <c r="H8418">
        <v>131992210</v>
      </c>
      <c r="I8418">
        <v>131992220</v>
      </c>
    </row>
    <row r="8419" spans="1:9" x14ac:dyDescent="0.2">
      <c r="A8419" s="1" t="str">
        <f>"IL13RA1"</f>
        <v>IL13RA1</v>
      </c>
      <c r="B8419" t="s">
        <v>14</v>
      </c>
      <c r="C8419" t="s">
        <v>37</v>
      </c>
      <c r="D8419" t="s">
        <v>17</v>
      </c>
      <c r="E8419" t="s">
        <v>12</v>
      </c>
      <c r="F8419">
        <v>117861538</v>
      </c>
      <c r="G8419">
        <v>117861592</v>
      </c>
      <c r="H8419">
        <v>117861506</v>
      </c>
      <c r="I8419">
        <v>117861517</v>
      </c>
    </row>
    <row r="8420" spans="1:9" x14ac:dyDescent="0.2">
      <c r="A8420" s="1" t="str">
        <f>"IL13RA2"</f>
        <v>IL13RA2</v>
      </c>
      <c r="B8420" t="s">
        <v>9</v>
      </c>
      <c r="C8420" t="s">
        <v>37</v>
      </c>
      <c r="D8420" t="s">
        <v>11</v>
      </c>
      <c r="E8420" t="s">
        <v>12</v>
      </c>
      <c r="F8420">
        <v>114252132</v>
      </c>
      <c r="G8420">
        <v>114252187</v>
      </c>
      <c r="H8420">
        <v>114252132</v>
      </c>
      <c r="I8420">
        <v>114252187</v>
      </c>
    </row>
    <row r="8421" spans="1:9" x14ac:dyDescent="0.2">
      <c r="A8421" s="1" t="str">
        <f>"IL13RA2"</f>
        <v>IL13RA2</v>
      </c>
      <c r="B8421" t="s">
        <v>13</v>
      </c>
      <c r="C8421" t="s">
        <v>37</v>
      </c>
      <c r="D8421" t="s">
        <v>11</v>
      </c>
      <c r="E8421" t="s">
        <v>12</v>
      </c>
      <c r="F8421">
        <v>114253547</v>
      </c>
      <c r="G8421">
        <v>114253561</v>
      </c>
      <c r="H8421">
        <v>114253547</v>
      </c>
      <c r="I8421">
        <v>114253561</v>
      </c>
    </row>
    <row r="8422" spans="1:9" x14ac:dyDescent="0.2">
      <c r="A8422" s="1" t="str">
        <f>"IL15"</f>
        <v>IL15</v>
      </c>
      <c r="B8422" t="s">
        <v>14</v>
      </c>
      <c r="C8422" t="s">
        <v>23</v>
      </c>
      <c r="D8422" t="s">
        <v>17</v>
      </c>
      <c r="E8422" t="s">
        <v>12</v>
      </c>
      <c r="F8422">
        <v>142557771</v>
      </c>
      <c r="G8422">
        <v>142557813</v>
      </c>
      <c r="H8422">
        <v>142557717</v>
      </c>
      <c r="I8422">
        <v>142557757</v>
      </c>
    </row>
    <row r="8423" spans="1:9" x14ac:dyDescent="0.2">
      <c r="A8423" s="1" t="str">
        <f>"IL15RA"</f>
        <v>IL15RA</v>
      </c>
      <c r="B8423" t="s">
        <v>14</v>
      </c>
      <c r="C8423" t="s">
        <v>15</v>
      </c>
      <c r="D8423" t="s">
        <v>11</v>
      </c>
      <c r="E8423" t="s">
        <v>12</v>
      </c>
      <c r="F8423">
        <v>6019499</v>
      </c>
      <c r="G8423">
        <v>6019551</v>
      </c>
      <c r="H8423">
        <v>6019461</v>
      </c>
      <c r="I8423">
        <v>6019494</v>
      </c>
    </row>
    <row r="8424" spans="1:9" x14ac:dyDescent="0.2">
      <c r="A8424" s="1" t="str">
        <f>"IL16"</f>
        <v>IL16</v>
      </c>
      <c r="B8424" t="s">
        <v>652</v>
      </c>
      <c r="C8424" t="s">
        <v>25</v>
      </c>
      <c r="D8424" t="s">
        <v>17</v>
      </c>
      <c r="E8424" t="s">
        <v>35</v>
      </c>
      <c r="F8424">
        <v>81517618</v>
      </c>
      <c r="G8424">
        <v>81517634</v>
      </c>
      <c r="H8424">
        <v>81517725</v>
      </c>
      <c r="I8424">
        <v>81517737</v>
      </c>
    </row>
    <row r="8425" spans="1:9" x14ac:dyDescent="0.2">
      <c r="A8425" s="1" t="str">
        <f>"IL16"</f>
        <v>IL16</v>
      </c>
      <c r="B8425" t="s">
        <v>653</v>
      </c>
      <c r="C8425" t="s">
        <v>25</v>
      </c>
      <c r="D8425" t="s">
        <v>17</v>
      </c>
      <c r="E8425" t="s">
        <v>35</v>
      </c>
      <c r="F8425">
        <v>81489058</v>
      </c>
      <c r="G8425">
        <v>81489088</v>
      </c>
      <c r="H8425">
        <v>81489344</v>
      </c>
      <c r="I8425">
        <v>81489353</v>
      </c>
    </row>
    <row r="8426" spans="1:9" x14ac:dyDescent="0.2">
      <c r="A8426" s="1" t="str">
        <f>"IL17A"</f>
        <v>IL17A</v>
      </c>
      <c r="B8426" t="s">
        <v>14</v>
      </c>
      <c r="C8426" t="s">
        <v>32</v>
      </c>
      <c r="D8426" t="s">
        <v>17</v>
      </c>
      <c r="E8426" t="s">
        <v>12</v>
      </c>
      <c r="F8426">
        <v>52051171</v>
      </c>
      <c r="G8426">
        <v>52051174</v>
      </c>
      <c r="H8426">
        <v>52051171</v>
      </c>
      <c r="I8426">
        <v>52051174</v>
      </c>
    </row>
    <row r="8427" spans="1:9" x14ac:dyDescent="0.2">
      <c r="A8427" s="1" t="str">
        <f>"IL17B"</f>
        <v>IL17B</v>
      </c>
      <c r="B8427" t="s">
        <v>14</v>
      </c>
      <c r="C8427" t="s">
        <v>46</v>
      </c>
      <c r="D8427" t="s">
        <v>11</v>
      </c>
      <c r="E8427" t="s">
        <v>12</v>
      </c>
      <c r="F8427">
        <v>148758849</v>
      </c>
      <c r="G8427">
        <v>148758861</v>
      </c>
      <c r="H8427">
        <v>148758849</v>
      </c>
      <c r="I8427">
        <v>148758861</v>
      </c>
    </row>
    <row r="8428" spans="1:9" x14ac:dyDescent="0.2">
      <c r="A8428" s="1" t="str">
        <f>"IL17C"</f>
        <v>IL17C</v>
      </c>
      <c r="B8428" t="s">
        <v>14</v>
      </c>
      <c r="C8428" t="s">
        <v>31</v>
      </c>
      <c r="D8428" t="s">
        <v>17</v>
      </c>
      <c r="E8428" t="s">
        <v>12</v>
      </c>
      <c r="F8428">
        <v>88704978</v>
      </c>
      <c r="G8428">
        <v>88704981</v>
      </c>
      <c r="H8428">
        <v>88704951</v>
      </c>
      <c r="I8428">
        <v>88704952</v>
      </c>
    </row>
    <row r="8429" spans="1:9" x14ac:dyDescent="0.2">
      <c r="A8429" s="1" t="str">
        <f>"IL17D"</f>
        <v>IL17D</v>
      </c>
      <c r="B8429" t="s">
        <v>9</v>
      </c>
      <c r="C8429" t="s">
        <v>39</v>
      </c>
      <c r="D8429" t="s">
        <v>17</v>
      </c>
      <c r="E8429" t="s">
        <v>12</v>
      </c>
      <c r="F8429">
        <v>21277804</v>
      </c>
      <c r="G8429">
        <v>21277871</v>
      </c>
      <c r="H8429">
        <v>21277804</v>
      </c>
      <c r="I8429">
        <v>21277871</v>
      </c>
    </row>
    <row r="8430" spans="1:9" x14ac:dyDescent="0.2">
      <c r="A8430" s="1" t="str">
        <f>"IL17D"</f>
        <v>IL17D</v>
      </c>
      <c r="B8430" t="s">
        <v>13</v>
      </c>
      <c r="C8430" t="s">
        <v>39</v>
      </c>
      <c r="D8430" t="s">
        <v>17</v>
      </c>
      <c r="E8430" t="s">
        <v>12</v>
      </c>
      <c r="F8430">
        <v>21289746</v>
      </c>
      <c r="G8430">
        <v>21289769</v>
      </c>
      <c r="H8430">
        <v>21289746</v>
      </c>
      <c r="I8430">
        <v>21289769</v>
      </c>
    </row>
    <row r="8431" spans="1:9" x14ac:dyDescent="0.2">
      <c r="A8431" s="1" t="str">
        <f>"IL17F"</f>
        <v>IL17F</v>
      </c>
      <c r="B8431" t="s">
        <v>14</v>
      </c>
      <c r="C8431" t="s">
        <v>32</v>
      </c>
      <c r="D8431" t="s">
        <v>11</v>
      </c>
      <c r="E8431" t="s">
        <v>12</v>
      </c>
      <c r="F8431">
        <v>52109292</v>
      </c>
      <c r="G8431">
        <v>52109305</v>
      </c>
      <c r="H8431">
        <v>52109292</v>
      </c>
      <c r="I8431">
        <v>52109305</v>
      </c>
    </row>
    <row r="8432" spans="1:9" x14ac:dyDescent="0.2">
      <c r="A8432" s="1" t="str">
        <f>"IL17RA"</f>
        <v>IL17RA</v>
      </c>
      <c r="B8432" t="s">
        <v>14</v>
      </c>
      <c r="C8432" t="s">
        <v>21</v>
      </c>
      <c r="D8432" t="s">
        <v>17</v>
      </c>
      <c r="E8432" t="s">
        <v>12</v>
      </c>
      <c r="F8432">
        <v>17565841</v>
      </c>
      <c r="G8432">
        <v>17565896</v>
      </c>
      <c r="H8432">
        <v>17565903</v>
      </c>
      <c r="I8432">
        <v>17565929</v>
      </c>
    </row>
    <row r="8433" spans="1:9" x14ac:dyDescent="0.2">
      <c r="A8433" s="1" t="str">
        <f>"IL17RB"</f>
        <v>IL17RB</v>
      </c>
      <c r="B8433" t="s">
        <v>14</v>
      </c>
      <c r="C8433" t="s">
        <v>22</v>
      </c>
      <c r="D8433" t="s">
        <v>17</v>
      </c>
      <c r="E8433" t="s">
        <v>12</v>
      </c>
      <c r="F8433">
        <v>53880588</v>
      </c>
      <c r="G8433">
        <v>53880603</v>
      </c>
      <c r="H8433">
        <v>53880383</v>
      </c>
      <c r="I8433">
        <v>53880426</v>
      </c>
    </row>
    <row r="8434" spans="1:9" x14ac:dyDescent="0.2">
      <c r="A8434" s="1" t="str">
        <f>"IL17RC"</f>
        <v>IL17RC</v>
      </c>
      <c r="B8434" t="s">
        <v>14</v>
      </c>
      <c r="C8434" t="s">
        <v>22</v>
      </c>
      <c r="D8434" t="s">
        <v>17</v>
      </c>
      <c r="E8434" t="s">
        <v>12</v>
      </c>
      <c r="F8434">
        <v>9958774</v>
      </c>
      <c r="G8434">
        <v>9958848</v>
      </c>
      <c r="H8434">
        <v>9958849</v>
      </c>
      <c r="I8434">
        <v>9958863</v>
      </c>
    </row>
    <row r="8435" spans="1:9" x14ac:dyDescent="0.2">
      <c r="A8435" s="1" t="str">
        <f>"IL17RD"</f>
        <v>IL17RD</v>
      </c>
      <c r="B8435" t="s">
        <v>14</v>
      </c>
      <c r="C8435" t="s">
        <v>22</v>
      </c>
      <c r="D8435" t="s">
        <v>11</v>
      </c>
      <c r="E8435" t="s">
        <v>12</v>
      </c>
      <c r="F8435">
        <v>57199361</v>
      </c>
      <c r="G8435">
        <v>57199393</v>
      </c>
      <c r="H8435">
        <v>57199333</v>
      </c>
      <c r="I8435">
        <v>57199352</v>
      </c>
    </row>
    <row r="8436" spans="1:9" x14ac:dyDescent="0.2">
      <c r="A8436" s="1" t="str">
        <f>"IL17RE"</f>
        <v>IL17RE</v>
      </c>
      <c r="B8436" t="s">
        <v>14</v>
      </c>
      <c r="C8436" t="s">
        <v>22</v>
      </c>
      <c r="D8436" t="s">
        <v>17</v>
      </c>
      <c r="E8436" t="s">
        <v>12</v>
      </c>
      <c r="F8436">
        <v>9944492</v>
      </c>
      <c r="G8436">
        <v>9944558</v>
      </c>
      <c r="H8436">
        <v>9944323</v>
      </c>
      <c r="I8436">
        <v>9944355</v>
      </c>
    </row>
    <row r="8437" spans="1:9" x14ac:dyDescent="0.2">
      <c r="A8437" s="1" t="str">
        <f>"IL17REL"</f>
        <v>IL17REL</v>
      </c>
      <c r="B8437" t="s">
        <v>14</v>
      </c>
      <c r="C8437" t="s">
        <v>21</v>
      </c>
      <c r="D8437" t="s">
        <v>11</v>
      </c>
      <c r="E8437" t="s">
        <v>12</v>
      </c>
      <c r="F8437">
        <v>50451178</v>
      </c>
      <c r="G8437">
        <v>50451199</v>
      </c>
      <c r="H8437">
        <v>50451129</v>
      </c>
      <c r="I8437">
        <v>50451138</v>
      </c>
    </row>
    <row r="8438" spans="1:9" x14ac:dyDescent="0.2">
      <c r="A8438" s="1" t="str">
        <f>"IL18"</f>
        <v>IL18</v>
      </c>
      <c r="B8438" t="s">
        <v>14</v>
      </c>
      <c r="C8438" t="s">
        <v>27</v>
      </c>
      <c r="D8438" t="s">
        <v>11</v>
      </c>
      <c r="E8438" t="s">
        <v>12</v>
      </c>
      <c r="F8438">
        <v>112034803</v>
      </c>
      <c r="G8438">
        <v>112034824</v>
      </c>
      <c r="H8438">
        <v>112034831</v>
      </c>
      <c r="I8438">
        <v>112034848</v>
      </c>
    </row>
    <row r="8439" spans="1:9" x14ac:dyDescent="0.2">
      <c r="A8439" s="1" t="str">
        <f>"IL18BP"</f>
        <v>IL18BP</v>
      </c>
      <c r="B8439" t="s">
        <v>14</v>
      </c>
      <c r="C8439" t="s">
        <v>27</v>
      </c>
      <c r="D8439" t="s">
        <v>17</v>
      </c>
      <c r="E8439" t="s">
        <v>12</v>
      </c>
      <c r="F8439">
        <v>71709940</v>
      </c>
      <c r="G8439">
        <v>71710001</v>
      </c>
      <c r="H8439">
        <v>71710648</v>
      </c>
      <c r="I8439">
        <v>71710668</v>
      </c>
    </row>
    <row r="8440" spans="1:9" x14ac:dyDescent="0.2">
      <c r="A8440" s="1" t="str">
        <f>"IL18R1"</f>
        <v>IL18R1</v>
      </c>
      <c r="B8440" t="s">
        <v>9</v>
      </c>
      <c r="C8440" t="s">
        <v>26</v>
      </c>
      <c r="D8440" t="s">
        <v>17</v>
      </c>
      <c r="E8440" t="s">
        <v>12</v>
      </c>
      <c r="F8440">
        <v>102972210</v>
      </c>
      <c r="G8440">
        <v>102972306</v>
      </c>
      <c r="H8440">
        <v>102972210</v>
      </c>
      <c r="I8440">
        <v>102972306</v>
      </c>
    </row>
    <row r="8441" spans="1:9" x14ac:dyDescent="0.2">
      <c r="A8441" s="1" t="str">
        <f>"IL18R1"</f>
        <v>IL18R1</v>
      </c>
      <c r="B8441" t="s">
        <v>13</v>
      </c>
      <c r="C8441" t="s">
        <v>26</v>
      </c>
      <c r="D8441" t="s">
        <v>17</v>
      </c>
      <c r="E8441" t="s">
        <v>12</v>
      </c>
      <c r="F8441">
        <v>102927980</v>
      </c>
      <c r="G8441">
        <v>102927994</v>
      </c>
      <c r="H8441">
        <v>102927980</v>
      </c>
      <c r="I8441">
        <v>102927994</v>
      </c>
    </row>
    <row r="8442" spans="1:9" x14ac:dyDescent="0.2">
      <c r="A8442" s="1" t="str">
        <f>"IL18RAP"</f>
        <v>IL18RAP</v>
      </c>
      <c r="B8442" t="s">
        <v>9</v>
      </c>
      <c r="C8442" t="s">
        <v>26</v>
      </c>
      <c r="D8442" t="s">
        <v>17</v>
      </c>
      <c r="E8442" t="s">
        <v>12</v>
      </c>
      <c r="F8442">
        <v>103039609</v>
      </c>
      <c r="G8442">
        <v>103039641</v>
      </c>
      <c r="H8442">
        <v>103039609</v>
      </c>
      <c r="I8442">
        <v>103039641</v>
      </c>
    </row>
    <row r="8443" spans="1:9" x14ac:dyDescent="0.2">
      <c r="A8443" s="1" t="str">
        <f>"IL18RAP"</f>
        <v>IL18RAP</v>
      </c>
      <c r="B8443" t="s">
        <v>13</v>
      </c>
      <c r="C8443" t="s">
        <v>26</v>
      </c>
      <c r="D8443" t="s">
        <v>17</v>
      </c>
      <c r="E8443" t="s">
        <v>12</v>
      </c>
      <c r="F8443">
        <v>103035102</v>
      </c>
      <c r="G8443">
        <v>103035117</v>
      </c>
      <c r="H8443">
        <v>103035102</v>
      </c>
      <c r="I8443">
        <v>103035117</v>
      </c>
    </row>
    <row r="8444" spans="1:9" x14ac:dyDescent="0.2">
      <c r="A8444" s="1" t="str">
        <f>"IL19"</f>
        <v>IL19</v>
      </c>
      <c r="B8444" t="s">
        <v>14</v>
      </c>
      <c r="C8444" t="s">
        <v>19</v>
      </c>
      <c r="D8444" t="s">
        <v>17</v>
      </c>
      <c r="E8444" t="s">
        <v>12</v>
      </c>
      <c r="F8444">
        <v>207007692</v>
      </c>
      <c r="G8444">
        <v>207007696</v>
      </c>
      <c r="H8444">
        <v>207007692</v>
      </c>
      <c r="I8444">
        <v>207007696</v>
      </c>
    </row>
    <row r="8445" spans="1:9" x14ac:dyDescent="0.2">
      <c r="A8445" s="1" t="str">
        <f>"IL1A"</f>
        <v>IL1A</v>
      </c>
      <c r="B8445" t="s">
        <v>14</v>
      </c>
      <c r="C8445" t="s">
        <v>26</v>
      </c>
      <c r="D8445" t="s">
        <v>11</v>
      </c>
      <c r="E8445" t="s">
        <v>12</v>
      </c>
      <c r="F8445">
        <v>113542063</v>
      </c>
      <c r="G8445">
        <v>113542077</v>
      </c>
      <c r="H8445">
        <v>113541394</v>
      </c>
      <c r="I8445">
        <v>113541425</v>
      </c>
    </row>
    <row r="8446" spans="1:9" x14ac:dyDescent="0.2">
      <c r="A8446" s="1" t="str">
        <f>"IL1B"</f>
        <v>IL1B</v>
      </c>
      <c r="B8446" t="s">
        <v>14</v>
      </c>
      <c r="C8446" t="s">
        <v>26</v>
      </c>
      <c r="D8446" t="s">
        <v>11</v>
      </c>
      <c r="E8446" t="s">
        <v>12</v>
      </c>
      <c r="F8446">
        <v>113594347</v>
      </c>
      <c r="G8446">
        <v>113594363</v>
      </c>
      <c r="H8446">
        <v>113594347</v>
      </c>
      <c r="I8446">
        <v>113594363</v>
      </c>
    </row>
    <row r="8447" spans="1:9" x14ac:dyDescent="0.2">
      <c r="A8447" s="1" t="str">
        <f>"IL1F10"</f>
        <v>IL1F10</v>
      </c>
      <c r="B8447" t="s">
        <v>14</v>
      </c>
      <c r="C8447" t="s">
        <v>26</v>
      </c>
      <c r="D8447" t="s">
        <v>17</v>
      </c>
      <c r="E8447" t="s">
        <v>12</v>
      </c>
      <c r="F8447">
        <v>113825546</v>
      </c>
      <c r="G8447">
        <v>113825547</v>
      </c>
      <c r="H8447">
        <v>113825546</v>
      </c>
      <c r="I8447">
        <v>113825547</v>
      </c>
    </row>
    <row r="8448" spans="1:9" x14ac:dyDescent="0.2">
      <c r="A8448" s="1" t="str">
        <f>"IL1R1"</f>
        <v>IL1R1</v>
      </c>
      <c r="B8448" t="s">
        <v>14</v>
      </c>
      <c r="C8448" t="s">
        <v>26</v>
      </c>
      <c r="D8448" t="s">
        <v>17</v>
      </c>
      <c r="E8448" t="s">
        <v>12</v>
      </c>
      <c r="F8448">
        <v>102759199</v>
      </c>
      <c r="G8448">
        <v>102759265</v>
      </c>
      <c r="H8448">
        <v>102759199</v>
      </c>
      <c r="I8448">
        <v>102759265</v>
      </c>
    </row>
    <row r="8449" spans="1:9" x14ac:dyDescent="0.2">
      <c r="A8449" s="1" t="str">
        <f>"IL1R2"</f>
        <v>IL1R2</v>
      </c>
      <c r="B8449" t="s">
        <v>9</v>
      </c>
      <c r="C8449" t="s">
        <v>26</v>
      </c>
      <c r="D8449" t="s">
        <v>17</v>
      </c>
      <c r="E8449" t="s">
        <v>12</v>
      </c>
      <c r="F8449">
        <v>102608415</v>
      </c>
      <c r="G8449">
        <v>102608430</v>
      </c>
      <c r="H8449">
        <v>102608415</v>
      </c>
      <c r="I8449">
        <v>102608430</v>
      </c>
    </row>
    <row r="8450" spans="1:9" x14ac:dyDescent="0.2">
      <c r="A8450" s="1" t="str">
        <f>"IL1R2"</f>
        <v>IL1R2</v>
      </c>
      <c r="B8450" t="s">
        <v>13</v>
      </c>
      <c r="C8450" t="s">
        <v>26</v>
      </c>
      <c r="D8450" t="s">
        <v>17</v>
      </c>
      <c r="E8450" t="s">
        <v>12</v>
      </c>
      <c r="F8450">
        <v>102615416</v>
      </c>
      <c r="G8450">
        <v>102615459</v>
      </c>
      <c r="H8450">
        <v>102615416</v>
      </c>
      <c r="I8450">
        <v>102615459</v>
      </c>
    </row>
    <row r="8451" spans="1:9" x14ac:dyDescent="0.2">
      <c r="A8451" s="1" t="str">
        <f>"IL1RAP"</f>
        <v>IL1RAP</v>
      </c>
      <c r="B8451" t="s">
        <v>14</v>
      </c>
      <c r="C8451" t="s">
        <v>22</v>
      </c>
      <c r="D8451" t="s">
        <v>17</v>
      </c>
      <c r="E8451" t="s">
        <v>12</v>
      </c>
      <c r="F8451">
        <v>190231855</v>
      </c>
      <c r="G8451">
        <v>190231888</v>
      </c>
      <c r="H8451">
        <v>190231891</v>
      </c>
      <c r="I8451">
        <v>190231903</v>
      </c>
    </row>
    <row r="8452" spans="1:9" x14ac:dyDescent="0.2">
      <c r="A8452" s="1" t="str">
        <f>"IL1RAPL1"</f>
        <v>IL1RAPL1</v>
      </c>
      <c r="B8452" t="s">
        <v>14</v>
      </c>
      <c r="C8452" t="s">
        <v>37</v>
      </c>
      <c r="D8452" t="s">
        <v>17</v>
      </c>
      <c r="E8452" t="s">
        <v>12</v>
      </c>
      <c r="F8452">
        <v>28605529</v>
      </c>
      <c r="G8452">
        <v>28605608</v>
      </c>
      <c r="H8452">
        <v>28605529</v>
      </c>
      <c r="I8452">
        <v>28605608</v>
      </c>
    </row>
    <row r="8453" spans="1:9" x14ac:dyDescent="0.2">
      <c r="A8453" s="1" t="str">
        <f>"IL1RAPL2"</f>
        <v>IL1RAPL2</v>
      </c>
      <c r="B8453" t="s">
        <v>14</v>
      </c>
      <c r="C8453" t="s">
        <v>37</v>
      </c>
      <c r="D8453" t="s">
        <v>17</v>
      </c>
      <c r="E8453" t="s">
        <v>12</v>
      </c>
      <c r="F8453">
        <v>103810874</v>
      </c>
      <c r="G8453">
        <v>103810885</v>
      </c>
      <c r="H8453">
        <v>103810958</v>
      </c>
      <c r="I8453">
        <v>103810968</v>
      </c>
    </row>
    <row r="8454" spans="1:9" x14ac:dyDescent="0.2">
      <c r="A8454" s="1" t="str">
        <f>"IL1RL1"</f>
        <v>IL1RL1</v>
      </c>
      <c r="B8454" t="s">
        <v>9</v>
      </c>
      <c r="C8454" t="s">
        <v>26</v>
      </c>
      <c r="D8454" t="s">
        <v>17</v>
      </c>
      <c r="E8454" t="s">
        <v>12</v>
      </c>
      <c r="F8454">
        <v>102953710</v>
      </c>
      <c r="G8454">
        <v>102953727</v>
      </c>
      <c r="H8454">
        <v>102953710</v>
      </c>
      <c r="I8454">
        <v>102953727</v>
      </c>
    </row>
    <row r="8455" spans="1:9" x14ac:dyDescent="0.2">
      <c r="A8455" s="1" t="str">
        <f>"IL1RL1"</f>
        <v>IL1RL1</v>
      </c>
      <c r="B8455" t="s">
        <v>13</v>
      </c>
      <c r="C8455" t="s">
        <v>26</v>
      </c>
      <c r="D8455" t="s">
        <v>17</v>
      </c>
      <c r="E8455" t="s">
        <v>12</v>
      </c>
      <c r="F8455">
        <v>102928009</v>
      </c>
      <c r="G8455">
        <v>102928033</v>
      </c>
      <c r="H8455">
        <v>102928009</v>
      </c>
      <c r="I8455">
        <v>102928033</v>
      </c>
    </row>
    <row r="8456" spans="1:9" x14ac:dyDescent="0.2">
      <c r="A8456" s="1" t="str">
        <f>"IL1RL2"</f>
        <v>IL1RL2</v>
      </c>
      <c r="B8456" t="s">
        <v>14</v>
      </c>
      <c r="C8456" t="s">
        <v>26</v>
      </c>
      <c r="D8456" t="s">
        <v>17</v>
      </c>
      <c r="E8456" t="s">
        <v>12</v>
      </c>
      <c r="F8456">
        <v>102803477</v>
      </c>
      <c r="G8456">
        <v>102803511</v>
      </c>
      <c r="H8456">
        <v>102803434</v>
      </c>
      <c r="I8456">
        <v>102803462</v>
      </c>
    </row>
    <row r="8457" spans="1:9" x14ac:dyDescent="0.2">
      <c r="A8457" s="1" t="str">
        <f>"IL1RN"</f>
        <v>IL1RN</v>
      </c>
      <c r="B8457" t="s">
        <v>9</v>
      </c>
      <c r="C8457" t="s">
        <v>26</v>
      </c>
      <c r="D8457" t="s">
        <v>17</v>
      </c>
      <c r="E8457" t="s">
        <v>12</v>
      </c>
      <c r="F8457">
        <v>113885165</v>
      </c>
      <c r="G8457">
        <v>113885181</v>
      </c>
      <c r="H8457">
        <v>113885165</v>
      </c>
      <c r="I8457">
        <v>113885181</v>
      </c>
    </row>
    <row r="8458" spans="1:9" x14ac:dyDescent="0.2">
      <c r="A8458" s="1" t="str">
        <f>"IL1RN"</f>
        <v>IL1RN</v>
      </c>
      <c r="B8458" t="s">
        <v>13</v>
      </c>
      <c r="C8458" t="s">
        <v>26</v>
      </c>
      <c r="D8458" t="s">
        <v>17</v>
      </c>
      <c r="E8458" t="s">
        <v>12</v>
      </c>
      <c r="F8458">
        <v>113875512</v>
      </c>
      <c r="G8458">
        <v>113875560</v>
      </c>
      <c r="H8458">
        <v>113875512</v>
      </c>
      <c r="I8458">
        <v>113875560</v>
      </c>
    </row>
    <row r="8459" spans="1:9" x14ac:dyDescent="0.2">
      <c r="A8459" s="1" t="str">
        <f>"IL2"</f>
        <v>IL2</v>
      </c>
      <c r="B8459" t="s">
        <v>14</v>
      </c>
      <c r="C8459" t="s">
        <v>23</v>
      </c>
      <c r="D8459" t="s">
        <v>11</v>
      </c>
      <c r="E8459" t="s">
        <v>12</v>
      </c>
      <c r="F8459">
        <v>123377559</v>
      </c>
      <c r="G8459">
        <v>123377570</v>
      </c>
      <c r="H8459">
        <v>123377559</v>
      </c>
      <c r="I8459">
        <v>123377570</v>
      </c>
    </row>
    <row r="8460" spans="1:9" x14ac:dyDescent="0.2">
      <c r="A8460" s="1" t="str">
        <f>"IL20"</f>
        <v>IL20</v>
      </c>
      <c r="B8460" t="s">
        <v>14</v>
      </c>
      <c r="C8460" t="s">
        <v>19</v>
      </c>
      <c r="D8460" t="s">
        <v>17</v>
      </c>
      <c r="E8460" t="s">
        <v>12</v>
      </c>
      <c r="F8460">
        <v>207038965</v>
      </c>
      <c r="G8460">
        <v>207038969</v>
      </c>
      <c r="H8460">
        <v>207038965</v>
      </c>
      <c r="I8460">
        <v>207038969</v>
      </c>
    </row>
    <row r="8461" spans="1:9" x14ac:dyDescent="0.2">
      <c r="A8461" s="1" t="str">
        <f>"IL20RA"</f>
        <v>IL20RA</v>
      </c>
      <c r="B8461" t="s">
        <v>14</v>
      </c>
      <c r="C8461" t="s">
        <v>32</v>
      </c>
      <c r="D8461" t="s">
        <v>11</v>
      </c>
      <c r="E8461" t="s">
        <v>12</v>
      </c>
      <c r="F8461">
        <v>137365847</v>
      </c>
      <c r="G8461">
        <v>137365891</v>
      </c>
      <c r="H8461">
        <v>137366096</v>
      </c>
      <c r="I8461">
        <v>137366111</v>
      </c>
    </row>
    <row r="8462" spans="1:9" x14ac:dyDescent="0.2">
      <c r="A8462" s="1" t="str">
        <f>"IL20RB"</f>
        <v>IL20RB</v>
      </c>
      <c r="B8462" t="s">
        <v>14</v>
      </c>
      <c r="C8462" t="s">
        <v>22</v>
      </c>
      <c r="D8462" t="s">
        <v>17</v>
      </c>
      <c r="E8462" t="s">
        <v>12</v>
      </c>
      <c r="F8462">
        <v>136676818</v>
      </c>
      <c r="G8462">
        <v>136676840</v>
      </c>
      <c r="H8462">
        <v>136676792</v>
      </c>
      <c r="I8462">
        <v>136676810</v>
      </c>
    </row>
    <row r="8463" spans="1:9" x14ac:dyDescent="0.2">
      <c r="A8463" s="1" t="str">
        <f>"IL21"</f>
        <v>IL21</v>
      </c>
      <c r="B8463" t="s">
        <v>14</v>
      </c>
      <c r="C8463" t="s">
        <v>23</v>
      </c>
      <c r="D8463" t="s">
        <v>11</v>
      </c>
      <c r="E8463" t="s">
        <v>12</v>
      </c>
      <c r="F8463">
        <v>123542218</v>
      </c>
      <c r="G8463">
        <v>123542221</v>
      </c>
      <c r="H8463">
        <v>123542218</v>
      </c>
      <c r="I8463">
        <v>123542221</v>
      </c>
    </row>
    <row r="8464" spans="1:9" x14ac:dyDescent="0.2">
      <c r="A8464" s="1" t="str">
        <f>"IL21R"</f>
        <v>IL21R</v>
      </c>
      <c r="B8464" t="s">
        <v>14</v>
      </c>
      <c r="C8464" t="s">
        <v>31</v>
      </c>
      <c r="D8464" t="s">
        <v>17</v>
      </c>
      <c r="E8464" t="s">
        <v>12</v>
      </c>
      <c r="F8464">
        <v>27413488</v>
      </c>
      <c r="G8464">
        <v>27413517</v>
      </c>
      <c r="H8464">
        <v>27413524</v>
      </c>
      <c r="I8464">
        <v>27413547</v>
      </c>
    </row>
    <row r="8465" spans="1:9" x14ac:dyDescent="0.2">
      <c r="A8465" s="1" t="str">
        <f>"IL22"</f>
        <v>IL22</v>
      </c>
      <c r="B8465" t="s">
        <v>654</v>
      </c>
      <c r="C8465" t="s">
        <v>16</v>
      </c>
      <c r="D8465" t="s">
        <v>11</v>
      </c>
      <c r="E8465" t="s">
        <v>20</v>
      </c>
      <c r="F8465">
        <v>68647333</v>
      </c>
      <c r="G8465">
        <v>68647333</v>
      </c>
      <c r="H8465">
        <v>68647333</v>
      </c>
      <c r="I8465">
        <v>68647333</v>
      </c>
    </row>
    <row r="8466" spans="1:9" x14ac:dyDescent="0.2">
      <c r="A8466" s="1" t="str">
        <f>"IL22RA1"</f>
        <v>IL22RA1</v>
      </c>
      <c r="B8466" t="s">
        <v>14</v>
      </c>
      <c r="C8466" t="s">
        <v>19</v>
      </c>
      <c r="D8466" t="s">
        <v>11</v>
      </c>
      <c r="E8466" t="s">
        <v>12</v>
      </c>
      <c r="F8466">
        <v>24469602</v>
      </c>
      <c r="G8466">
        <v>24469675</v>
      </c>
      <c r="H8466">
        <v>24469602</v>
      </c>
      <c r="I8466">
        <v>24469675</v>
      </c>
    </row>
    <row r="8467" spans="1:9" x14ac:dyDescent="0.2">
      <c r="A8467" s="1" t="str">
        <f>"IL22RA2"</f>
        <v>IL22RA2</v>
      </c>
      <c r="B8467" t="s">
        <v>14</v>
      </c>
      <c r="C8467" t="s">
        <v>32</v>
      </c>
      <c r="D8467" t="s">
        <v>11</v>
      </c>
      <c r="E8467" t="s">
        <v>12</v>
      </c>
      <c r="F8467">
        <v>137482892</v>
      </c>
      <c r="G8467">
        <v>137482907</v>
      </c>
      <c r="H8467">
        <v>137482892</v>
      </c>
      <c r="I8467">
        <v>137482907</v>
      </c>
    </row>
    <row r="8468" spans="1:9" x14ac:dyDescent="0.2">
      <c r="A8468" s="1" t="str">
        <f>"IL23A"</f>
        <v>IL23A</v>
      </c>
      <c r="B8468" t="s">
        <v>14</v>
      </c>
      <c r="C8468" t="s">
        <v>16</v>
      </c>
      <c r="D8468" t="s">
        <v>17</v>
      </c>
      <c r="E8468" t="s">
        <v>12</v>
      </c>
      <c r="F8468">
        <v>56732658</v>
      </c>
      <c r="G8468">
        <v>56732675</v>
      </c>
      <c r="H8468">
        <v>56732676</v>
      </c>
      <c r="I8468">
        <v>56732690</v>
      </c>
    </row>
    <row r="8469" spans="1:9" x14ac:dyDescent="0.2">
      <c r="A8469" s="1" t="str">
        <f>"IL23R"</f>
        <v>IL23R</v>
      </c>
      <c r="B8469" t="s">
        <v>14</v>
      </c>
      <c r="C8469" t="s">
        <v>19</v>
      </c>
      <c r="D8469" t="s">
        <v>17</v>
      </c>
      <c r="E8469" t="s">
        <v>12</v>
      </c>
      <c r="F8469">
        <v>67632131</v>
      </c>
      <c r="G8469">
        <v>67632151</v>
      </c>
      <c r="H8469">
        <v>67632131</v>
      </c>
      <c r="I8469">
        <v>67632151</v>
      </c>
    </row>
    <row r="8470" spans="1:9" x14ac:dyDescent="0.2">
      <c r="A8470" s="1" t="str">
        <f>"IL24"</f>
        <v>IL24</v>
      </c>
      <c r="B8470" t="s">
        <v>14</v>
      </c>
      <c r="C8470" t="s">
        <v>19</v>
      </c>
      <c r="D8470" t="s">
        <v>17</v>
      </c>
      <c r="E8470" t="s">
        <v>12</v>
      </c>
      <c r="F8470">
        <v>207070775</v>
      </c>
      <c r="G8470">
        <v>207070797</v>
      </c>
      <c r="H8470">
        <v>207070909</v>
      </c>
      <c r="I8470">
        <v>207070932</v>
      </c>
    </row>
    <row r="8471" spans="1:9" x14ac:dyDescent="0.2">
      <c r="A8471" s="1" t="str">
        <f>"IL25"</f>
        <v>IL25</v>
      </c>
      <c r="B8471" t="s">
        <v>655</v>
      </c>
      <c r="C8471" t="s">
        <v>41</v>
      </c>
      <c r="D8471" t="s">
        <v>17</v>
      </c>
      <c r="E8471" t="s">
        <v>20</v>
      </c>
      <c r="F8471">
        <v>23842043</v>
      </c>
      <c r="G8471">
        <v>23842043</v>
      </c>
      <c r="H8471">
        <v>23842043</v>
      </c>
      <c r="I8471">
        <v>23842043</v>
      </c>
    </row>
    <row r="8472" spans="1:9" x14ac:dyDescent="0.2">
      <c r="A8472" s="1" t="str">
        <f>"IL26"</f>
        <v>IL26</v>
      </c>
      <c r="B8472" t="s">
        <v>14</v>
      </c>
      <c r="C8472" t="s">
        <v>16</v>
      </c>
      <c r="D8472" t="s">
        <v>11</v>
      </c>
      <c r="E8472" t="s">
        <v>12</v>
      </c>
      <c r="F8472">
        <v>68619586</v>
      </c>
      <c r="G8472">
        <v>68619593</v>
      </c>
      <c r="H8472">
        <v>68619586</v>
      </c>
      <c r="I8472">
        <v>68619593</v>
      </c>
    </row>
    <row r="8473" spans="1:9" x14ac:dyDescent="0.2">
      <c r="A8473" s="1" t="str">
        <f>"IL27"</f>
        <v>IL27</v>
      </c>
      <c r="B8473" t="s">
        <v>14</v>
      </c>
      <c r="C8473" t="s">
        <v>31</v>
      </c>
      <c r="D8473" t="s">
        <v>11</v>
      </c>
      <c r="E8473" t="s">
        <v>12</v>
      </c>
      <c r="F8473">
        <v>28518153</v>
      </c>
      <c r="G8473">
        <v>28518187</v>
      </c>
      <c r="H8473">
        <v>28518235</v>
      </c>
      <c r="I8473">
        <v>28518271</v>
      </c>
    </row>
    <row r="8474" spans="1:9" x14ac:dyDescent="0.2">
      <c r="A8474" s="1" t="str">
        <f>"IL27RA"</f>
        <v>IL27RA</v>
      </c>
      <c r="B8474" t="s">
        <v>14</v>
      </c>
      <c r="C8474" t="s">
        <v>10</v>
      </c>
      <c r="D8474" t="s">
        <v>17</v>
      </c>
      <c r="E8474" t="s">
        <v>12</v>
      </c>
      <c r="F8474">
        <v>14142565</v>
      </c>
      <c r="G8474">
        <v>14142628</v>
      </c>
      <c r="H8474">
        <v>14142565</v>
      </c>
      <c r="I8474">
        <v>14142628</v>
      </c>
    </row>
    <row r="8475" spans="1:9" x14ac:dyDescent="0.2">
      <c r="A8475" s="1" t="str">
        <f>"IL2RA"</f>
        <v>IL2RA</v>
      </c>
      <c r="B8475" t="s">
        <v>14</v>
      </c>
      <c r="C8475" t="s">
        <v>15</v>
      </c>
      <c r="D8475" t="s">
        <v>11</v>
      </c>
      <c r="E8475" t="s">
        <v>12</v>
      </c>
      <c r="F8475">
        <v>6104262</v>
      </c>
      <c r="G8475">
        <v>6104278</v>
      </c>
      <c r="H8475">
        <v>6104262</v>
      </c>
      <c r="I8475">
        <v>6104278</v>
      </c>
    </row>
    <row r="8476" spans="1:9" x14ac:dyDescent="0.2">
      <c r="A8476" s="1" t="str">
        <f>"IL2RB"</f>
        <v>IL2RB</v>
      </c>
      <c r="B8476" t="s">
        <v>14</v>
      </c>
      <c r="C8476" t="s">
        <v>21</v>
      </c>
      <c r="D8476" t="s">
        <v>11</v>
      </c>
      <c r="E8476" t="s">
        <v>12</v>
      </c>
      <c r="F8476">
        <v>37545940</v>
      </c>
      <c r="G8476">
        <v>37545963</v>
      </c>
      <c r="H8476">
        <v>37545972</v>
      </c>
      <c r="I8476">
        <v>37545989</v>
      </c>
    </row>
    <row r="8477" spans="1:9" x14ac:dyDescent="0.2">
      <c r="A8477" s="1" t="str">
        <f>"IL2RG"</f>
        <v>IL2RG</v>
      </c>
      <c r="B8477" t="s">
        <v>9</v>
      </c>
      <c r="C8477" t="s">
        <v>37</v>
      </c>
      <c r="D8477" t="s">
        <v>11</v>
      </c>
      <c r="E8477" t="s">
        <v>12</v>
      </c>
      <c r="F8477">
        <v>70331410</v>
      </c>
      <c r="G8477">
        <v>70331436</v>
      </c>
      <c r="H8477">
        <v>70331410</v>
      </c>
      <c r="I8477">
        <v>70331436</v>
      </c>
    </row>
    <row r="8478" spans="1:9" x14ac:dyDescent="0.2">
      <c r="A8478" s="1" t="str">
        <f>"IL2RG"</f>
        <v>IL2RG</v>
      </c>
      <c r="B8478" t="s">
        <v>13</v>
      </c>
      <c r="C8478" t="s">
        <v>37</v>
      </c>
      <c r="D8478" t="s">
        <v>11</v>
      </c>
      <c r="E8478" t="s">
        <v>12</v>
      </c>
      <c r="F8478">
        <v>70329181</v>
      </c>
      <c r="G8478">
        <v>70329194</v>
      </c>
      <c r="H8478">
        <v>70329181</v>
      </c>
      <c r="I8478">
        <v>70329194</v>
      </c>
    </row>
    <row r="8479" spans="1:9" x14ac:dyDescent="0.2">
      <c r="A8479" s="1" t="str">
        <f>"IL3"</f>
        <v>IL3</v>
      </c>
      <c r="B8479" t="s">
        <v>14</v>
      </c>
      <c r="C8479" t="s">
        <v>46</v>
      </c>
      <c r="D8479" t="s">
        <v>17</v>
      </c>
      <c r="E8479" t="s">
        <v>12</v>
      </c>
      <c r="F8479">
        <v>131396339</v>
      </c>
      <c r="G8479">
        <v>131396355</v>
      </c>
      <c r="H8479">
        <v>131396358</v>
      </c>
      <c r="I8479">
        <v>131396388</v>
      </c>
    </row>
    <row r="8480" spans="1:9" x14ac:dyDescent="0.2">
      <c r="A8480" s="1" t="str">
        <f>"IL31"</f>
        <v>IL31</v>
      </c>
      <c r="B8480" t="s">
        <v>14</v>
      </c>
      <c r="C8480" t="s">
        <v>16</v>
      </c>
      <c r="D8480" t="s">
        <v>11</v>
      </c>
      <c r="E8480" t="s">
        <v>12</v>
      </c>
      <c r="F8480">
        <v>122658761</v>
      </c>
      <c r="G8480">
        <v>122658769</v>
      </c>
      <c r="H8480">
        <v>122658761</v>
      </c>
      <c r="I8480">
        <v>122658769</v>
      </c>
    </row>
    <row r="8481" spans="1:9" x14ac:dyDescent="0.2">
      <c r="A8481" s="1" t="str">
        <f>"IL31RA"</f>
        <v>IL31RA</v>
      </c>
      <c r="B8481" t="s">
        <v>9</v>
      </c>
      <c r="C8481" t="s">
        <v>46</v>
      </c>
      <c r="D8481" t="s">
        <v>17</v>
      </c>
      <c r="E8481" t="s">
        <v>12</v>
      </c>
      <c r="F8481">
        <v>55147177</v>
      </c>
      <c r="G8481">
        <v>55147203</v>
      </c>
      <c r="H8481">
        <v>55147177</v>
      </c>
      <c r="I8481">
        <v>55147203</v>
      </c>
    </row>
    <row r="8482" spans="1:9" x14ac:dyDescent="0.2">
      <c r="A8482" s="1" t="str">
        <f>"IL31RA"</f>
        <v>IL31RA</v>
      </c>
      <c r="B8482" t="s">
        <v>13</v>
      </c>
      <c r="C8482" t="s">
        <v>46</v>
      </c>
      <c r="D8482" t="s">
        <v>17</v>
      </c>
      <c r="E8482" t="s">
        <v>12</v>
      </c>
      <c r="F8482">
        <v>55149236</v>
      </c>
      <c r="G8482">
        <v>55149261</v>
      </c>
      <c r="H8482">
        <v>55149236</v>
      </c>
      <c r="I8482">
        <v>55149261</v>
      </c>
    </row>
    <row r="8483" spans="1:9" x14ac:dyDescent="0.2">
      <c r="A8483" s="1" t="str">
        <f>"IL32"</f>
        <v>IL32</v>
      </c>
      <c r="B8483" t="s">
        <v>14</v>
      </c>
      <c r="C8483" t="s">
        <v>31</v>
      </c>
      <c r="D8483" t="s">
        <v>17</v>
      </c>
      <c r="E8483" t="s">
        <v>12</v>
      </c>
      <c r="F8483">
        <v>3115626</v>
      </c>
      <c r="G8483">
        <v>3115648</v>
      </c>
      <c r="H8483">
        <v>3115386</v>
      </c>
      <c r="I8483">
        <v>3115412</v>
      </c>
    </row>
    <row r="8484" spans="1:9" x14ac:dyDescent="0.2">
      <c r="A8484" s="1" t="str">
        <f>"IL33"</f>
        <v>IL33</v>
      </c>
      <c r="B8484" t="s">
        <v>14</v>
      </c>
      <c r="C8484" t="s">
        <v>24</v>
      </c>
      <c r="D8484" t="s">
        <v>17</v>
      </c>
      <c r="E8484" t="s">
        <v>12</v>
      </c>
      <c r="F8484">
        <v>6215799</v>
      </c>
      <c r="G8484">
        <v>6215815</v>
      </c>
      <c r="H8484">
        <v>6215799</v>
      </c>
      <c r="I8484">
        <v>6215815</v>
      </c>
    </row>
    <row r="8485" spans="1:9" x14ac:dyDescent="0.2">
      <c r="A8485" s="1" t="str">
        <f>"IL34"</f>
        <v>IL34</v>
      </c>
      <c r="B8485" t="s">
        <v>9</v>
      </c>
      <c r="C8485" t="s">
        <v>31</v>
      </c>
      <c r="D8485" t="s">
        <v>17</v>
      </c>
      <c r="E8485" t="s">
        <v>12</v>
      </c>
      <c r="F8485">
        <v>70680439</v>
      </c>
      <c r="G8485">
        <v>70680482</v>
      </c>
      <c r="H8485">
        <v>70680439</v>
      </c>
      <c r="I8485">
        <v>70680482</v>
      </c>
    </row>
    <row r="8486" spans="1:9" x14ac:dyDescent="0.2">
      <c r="A8486" s="1" t="str">
        <f>"IL34"</f>
        <v>IL34</v>
      </c>
      <c r="B8486" t="s">
        <v>13</v>
      </c>
      <c r="C8486" t="s">
        <v>31</v>
      </c>
      <c r="D8486" t="s">
        <v>17</v>
      </c>
      <c r="E8486" t="s">
        <v>12</v>
      </c>
      <c r="F8486">
        <v>70613770</v>
      </c>
      <c r="G8486">
        <v>70613807</v>
      </c>
      <c r="H8486">
        <v>70613770</v>
      </c>
      <c r="I8486">
        <v>70613807</v>
      </c>
    </row>
    <row r="8487" spans="1:9" x14ac:dyDescent="0.2">
      <c r="A8487" s="1" t="str">
        <f>"IL36A"</f>
        <v>IL36A</v>
      </c>
      <c r="B8487" t="s">
        <v>14</v>
      </c>
      <c r="C8487" t="s">
        <v>26</v>
      </c>
      <c r="D8487" t="s">
        <v>17</v>
      </c>
      <c r="E8487" t="s">
        <v>12</v>
      </c>
      <c r="F8487">
        <v>113763031</v>
      </c>
      <c r="G8487">
        <v>113763038</v>
      </c>
      <c r="H8487">
        <v>113763307</v>
      </c>
      <c r="I8487">
        <v>113763329</v>
      </c>
    </row>
    <row r="8488" spans="1:9" x14ac:dyDescent="0.2">
      <c r="A8488" s="1" t="str">
        <f>"IL36B"</f>
        <v>IL36B</v>
      </c>
      <c r="B8488" t="s">
        <v>14</v>
      </c>
      <c r="C8488" t="s">
        <v>26</v>
      </c>
      <c r="D8488" t="s">
        <v>11</v>
      </c>
      <c r="E8488" t="s">
        <v>12</v>
      </c>
      <c r="F8488">
        <v>113810653</v>
      </c>
      <c r="G8488">
        <v>113810654</v>
      </c>
      <c r="H8488">
        <v>113810653</v>
      </c>
      <c r="I8488">
        <v>113810654</v>
      </c>
    </row>
    <row r="8489" spans="1:9" x14ac:dyDescent="0.2">
      <c r="A8489" s="1" t="str">
        <f>"IL36G"</f>
        <v>IL36G</v>
      </c>
      <c r="B8489" t="s">
        <v>14</v>
      </c>
      <c r="C8489" t="s">
        <v>26</v>
      </c>
      <c r="D8489" t="s">
        <v>17</v>
      </c>
      <c r="E8489" t="s">
        <v>12</v>
      </c>
      <c r="F8489">
        <v>113735575</v>
      </c>
      <c r="G8489">
        <v>113735591</v>
      </c>
      <c r="H8489">
        <v>113735575</v>
      </c>
      <c r="I8489">
        <v>113735591</v>
      </c>
    </row>
    <row r="8490" spans="1:9" x14ac:dyDescent="0.2">
      <c r="A8490" s="1" t="str">
        <f>"IL36RN"</f>
        <v>IL36RN</v>
      </c>
      <c r="B8490" t="s">
        <v>14</v>
      </c>
      <c r="C8490" t="s">
        <v>26</v>
      </c>
      <c r="D8490" t="s">
        <v>17</v>
      </c>
      <c r="E8490" t="s">
        <v>12</v>
      </c>
      <c r="F8490">
        <v>113816771</v>
      </c>
      <c r="G8490">
        <v>113816777</v>
      </c>
      <c r="H8490">
        <v>113816221</v>
      </c>
      <c r="I8490">
        <v>113816244</v>
      </c>
    </row>
    <row r="8491" spans="1:9" x14ac:dyDescent="0.2">
      <c r="A8491" s="1" t="str">
        <f>"IL37"</f>
        <v>IL37</v>
      </c>
      <c r="B8491" t="s">
        <v>656</v>
      </c>
      <c r="C8491" t="s">
        <v>26</v>
      </c>
      <c r="D8491" t="s">
        <v>17</v>
      </c>
      <c r="E8491" t="s">
        <v>20</v>
      </c>
      <c r="F8491">
        <v>113670547</v>
      </c>
      <c r="G8491">
        <v>113670547</v>
      </c>
      <c r="H8491">
        <v>113670547</v>
      </c>
      <c r="I8491">
        <v>113670547</v>
      </c>
    </row>
    <row r="8492" spans="1:9" x14ac:dyDescent="0.2">
      <c r="A8492" s="1" t="str">
        <f>"IL37"</f>
        <v>IL37</v>
      </c>
      <c r="B8492" t="s">
        <v>657</v>
      </c>
      <c r="C8492" t="s">
        <v>26</v>
      </c>
      <c r="D8492" t="s">
        <v>17</v>
      </c>
      <c r="E8492" t="s">
        <v>20</v>
      </c>
      <c r="F8492">
        <v>113672769</v>
      </c>
      <c r="G8492">
        <v>113672769</v>
      </c>
      <c r="H8492">
        <v>113672769</v>
      </c>
      <c r="I8492">
        <v>113672769</v>
      </c>
    </row>
    <row r="8493" spans="1:9" x14ac:dyDescent="0.2">
      <c r="A8493" s="1" t="str">
        <f>"IL3RA"</f>
        <v>IL3RA</v>
      </c>
      <c r="B8493" t="s">
        <v>14</v>
      </c>
      <c r="C8493" t="s">
        <v>37</v>
      </c>
      <c r="D8493" t="s">
        <v>17</v>
      </c>
      <c r="E8493" t="s">
        <v>12</v>
      </c>
      <c r="F8493">
        <v>1455668</v>
      </c>
      <c r="G8493">
        <v>1455688</v>
      </c>
      <c r="H8493">
        <v>1455668</v>
      </c>
      <c r="I8493">
        <v>1455688</v>
      </c>
    </row>
    <row r="8494" spans="1:9" x14ac:dyDescent="0.2">
      <c r="A8494" s="1" t="str">
        <f>"IL4"</f>
        <v>IL4</v>
      </c>
      <c r="B8494" t="s">
        <v>14</v>
      </c>
      <c r="C8494" t="s">
        <v>46</v>
      </c>
      <c r="D8494" t="s">
        <v>17</v>
      </c>
      <c r="E8494" t="s">
        <v>12</v>
      </c>
      <c r="F8494">
        <v>132009675</v>
      </c>
      <c r="G8494">
        <v>132009687</v>
      </c>
      <c r="H8494">
        <v>132009675</v>
      </c>
      <c r="I8494">
        <v>132009687</v>
      </c>
    </row>
    <row r="8495" spans="1:9" x14ac:dyDescent="0.2">
      <c r="A8495" s="1" t="str">
        <f>"IL4I1"</f>
        <v>IL4I1</v>
      </c>
      <c r="B8495" t="s">
        <v>658</v>
      </c>
      <c r="C8495" t="s">
        <v>10</v>
      </c>
      <c r="D8495" t="s">
        <v>11</v>
      </c>
      <c r="E8495" t="s">
        <v>35</v>
      </c>
      <c r="F8495">
        <v>50400255</v>
      </c>
      <c r="G8495">
        <v>50400292</v>
      </c>
      <c r="H8495">
        <v>50400128</v>
      </c>
      <c r="I8495">
        <v>50400155</v>
      </c>
    </row>
    <row r="8496" spans="1:9" x14ac:dyDescent="0.2">
      <c r="A8496" s="1" t="str">
        <f>"IL4R"</f>
        <v>IL4R</v>
      </c>
      <c r="B8496" t="s">
        <v>14</v>
      </c>
      <c r="C8496" t="s">
        <v>31</v>
      </c>
      <c r="D8496" t="s">
        <v>17</v>
      </c>
      <c r="E8496" t="s">
        <v>12</v>
      </c>
      <c r="F8496">
        <v>27325202</v>
      </c>
      <c r="G8496">
        <v>27325307</v>
      </c>
      <c r="H8496">
        <v>27324997</v>
      </c>
      <c r="I8496">
        <v>27325086</v>
      </c>
    </row>
    <row r="8497" spans="1:9" x14ac:dyDescent="0.2">
      <c r="A8497" s="1" t="str">
        <f>"IL5"</f>
        <v>IL5</v>
      </c>
      <c r="B8497" t="s">
        <v>9</v>
      </c>
      <c r="C8497" t="s">
        <v>46</v>
      </c>
      <c r="D8497" t="s">
        <v>11</v>
      </c>
      <c r="E8497" t="s">
        <v>12</v>
      </c>
      <c r="F8497">
        <v>131879205</v>
      </c>
      <c r="G8497">
        <v>131879220</v>
      </c>
      <c r="H8497">
        <v>131879205</v>
      </c>
      <c r="I8497">
        <v>131879220</v>
      </c>
    </row>
    <row r="8498" spans="1:9" x14ac:dyDescent="0.2">
      <c r="A8498" s="1" t="str">
        <f>"IL5"</f>
        <v>IL5</v>
      </c>
      <c r="B8498" t="s">
        <v>13</v>
      </c>
      <c r="C8498" t="s">
        <v>46</v>
      </c>
      <c r="D8498" t="s">
        <v>11</v>
      </c>
      <c r="E8498" t="s">
        <v>12</v>
      </c>
      <c r="F8498">
        <v>131892558</v>
      </c>
      <c r="G8498">
        <v>131892601</v>
      </c>
      <c r="H8498">
        <v>131892558</v>
      </c>
      <c r="I8498">
        <v>131892601</v>
      </c>
    </row>
    <row r="8499" spans="1:9" x14ac:dyDescent="0.2">
      <c r="A8499" s="1" t="str">
        <f>"IL5RA"</f>
        <v>IL5RA</v>
      </c>
      <c r="B8499" t="s">
        <v>14</v>
      </c>
      <c r="C8499" t="s">
        <v>22</v>
      </c>
      <c r="D8499" t="s">
        <v>11</v>
      </c>
      <c r="E8499" t="s">
        <v>12</v>
      </c>
      <c r="F8499">
        <v>3151667</v>
      </c>
      <c r="G8499">
        <v>3151684</v>
      </c>
      <c r="H8499">
        <v>3151667</v>
      </c>
      <c r="I8499">
        <v>3151684</v>
      </c>
    </row>
    <row r="8500" spans="1:9" x14ac:dyDescent="0.2">
      <c r="A8500" s="1" t="str">
        <f>"IL6"</f>
        <v>IL6</v>
      </c>
      <c r="B8500" t="s">
        <v>14</v>
      </c>
      <c r="C8500" t="s">
        <v>33</v>
      </c>
      <c r="D8500" t="s">
        <v>17</v>
      </c>
      <c r="E8500" t="s">
        <v>12</v>
      </c>
      <c r="F8500">
        <v>22766811</v>
      </c>
      <c r="G8500">
        <v>22766825</v>
      </c>
      <c r="H8500">
        <v>22766811</v>
      </c>
      <c r="I8500">
        <v>22766825</v>
      </c>
    </row>
    <row r="8501" spans="1:9" x14ac:dyDescent="0.2">
      <c r="A8501" s="1" t="str">
        <f>"IL6R"</f>
        <v>IL6R</v>
      </c>
      <c r="B8501" t="s">
        <v>14</v>
      </c>
      <c r="C8501" t="s">
        <v>19</v>
      </c>
      <c r="D8501" t="s">
        <v>17</v>
      </c>
      <c r="E8501" t="s">
        <v>12</v>
      </c>
      <c r="F8501">
        <v>154377839</v>
      </c>
      <c r="G8501">
        <v>154377921</v>
      </c>
      <c r="H8501">
        <v>154378049</v>
      </c>
      <c r="I8501">
        <v>154378096</v>
      </c>
    </row>
    <row r="8502" spans="1:9" x14ac:dyDescent="0.2">
      <c r="A8502" s="1" t="str">
        <f>"IL6ST"</f>
        <v>IL6ST</v>
      </c>
      <c r="B8502" t="s">
        <v>14</v>
      </c>
      <c r="C8502" t="s">
        <v>46</v>
      </c>
      <c r="D8502" t="s">
        <v>11</v>
      </c>
      <c r="E8502" t="s">
        <v>12</v>
      </c>
      <c r="F8502">
        <v>55290773</v>
      </c>
      <c r="G8502">
        <v>55290855</v>
      </c>
      <c r="H8502">
        <v>55290739</v>
      </c>
      <c r="I8502">
        <v>55290764</v>
      </c>
    </row>
    <row r="8503" spans="1:9" x14ac:dyDescent="0.2">
      <c r="A8503" s="1" t="str">
        <f>"IL7"</f>
        <v>IL7</v>
      </c>
      <c r="B8503" t="s">
        <v>14</v>
      </c>
      <c r="C8503" t="s">
        <v>30</v>
      </c>
      <c r="D8503" t="s">
        <v>11</v>
      </c>
      <c r="E8503" t="s">
        <v>12</v>
      </c>
      <c r="F8503">
        <v>79717677</v>
      </c>
      <c r="G8503">
        <v>79717705</v>
      </c>
      <c r="H8503">
        <v>79717261</v>
      </c>
      <c r="I8503">
        <v>79717305</v>
      </c>
    </row>
    <row r="8504" spans="1:9" x14ac:dyDescent="0.2">
      <c r="A8504" s="1" t="str">
        <f>"IL7R"</f>
        <v>IL7R</v>
      </c>
      <c r="B8504" t="s">
        <v>14</v>
      </c>
      <c r="C8504" t="s">
        <v>46</v>
      </c>
      <c r="D8504" t="s">
        <v>17</v>
      </c>
      <c r="E8504" t="s">
        <v>12</v>
      </c>
      <c r="F8504">
        <v>35856985</v>
      </c>
      <c r="G8504">
        <v>35857002</v>
      </c>
      <c r="H8504">
        <v>35857007</v>
      </c>
      <c r="I8504">
        <v>35857038</v>
      </c>
    </row>
    <row r="8505" spans="1:9" x14ac:dyDescent="0.2">
      <c r="A8505" s="1" t="str">
        <f>"IL8"</f>
        <v>IL8</v>
      </c>
      <c r="B8505" t="s">
        <v>9</v>
      </c>
      <c r="C8505" t="s">
        <v>23</v>
      </c>
      <c r="D8505" t="s">
        <v>17</v>
      </c>
      <c r="E8505" t="s">
        <v>12</v>
      </c>
      <c r="F8505">
        <v>74606277</v>
      </c>
      <c r="G8505">
        <v>74606293</v>
      </c>
      <c r="H8505">
        <v>74606277</v>
      </c>
      <c r="I8505">
        <v>74606293</v>
      </c>
    </row>
    <row r="8506" spans="1:9" x14ac:dyDescent="0.2">
      <c r="A8506" s="1" t="str">
        <f>"IL8"</f>
        <v>IL8</v>
      </c>
      <c r="B8506" t="s">
        <v>13</v>
      </c>
      <c r="C8506" t="s">
        <v>23</v>
      </c>
      <c r="D8506" t="s">
        <v>17</v>
      </c>
      <c r="E8506" t="s">
        <v>12</v>
      </c>
      <c r="F8506">
        <v>74608709</v>
      </c>
      <c r="G8506">
        <v>74608865</v>
      </c>
      <c r="H8506">
        <v>74608709</v>
      </c>
      <c r="I8506">
        <v>74608865</v>
      </c>
    </row>
    <row r="8507" spans="1:9" x14ac:dyDescent="0.2">
      <c r="A8507" s="1" t="str">
        <f>"IL9"</f>
        <v>IL9</v>
      </c>
      <c r="B8507" t="s">
        <v>14</v>
      </c>
      <c r="C8507" t="s">
        <v>46</v>
      </c>
      <c r="D8507" t="s">
        <v>11</v>
      </c>
      <c r="E8507" t="s">
        <v>12</v>
      </c>
      <c r="F8507">
        <v>135231516</v>
      </c>
      <c r="G8507">
        <v>135231538</v>
      </c>
      <c r="H8507">
        <v>135231516</v>
      </c>
      <c r="I8507">
        <v>135231538</v>
      </c>
    </row>
    <row r="8508" spans="1:9" x14ac:dyDescent="0.2">
      <c r="A8508" s="1" t="str">
        <f>"IL9R"</f>
        <v>IL9R</v>
      </c>
      <c r="B8508" t="s">
        <v>14</v>
      </c>
      <c r="C8508" t="s">
        <v>37</v>
      </c>
      <c r="D8508" t="s">
        <v>17</v>
      </c>
      <c r="E8508" t="s">
        <v>12</v>
      </c>
      <c r="F8508">
        <v>155227354</v>
      </c>
      <c r="G8508">
        <v>155227366</v>
      </c>
      <c r="H8508">
        <v>155227375</v>
      </c>
      <c r="I8508">
        <v>155227392</v>
      </c>
    </row>
    <row r="8509" spans="1:9" x14ac:dyDescent="0.2">
      <c r="A8509" s="1" t="str">
        <f>"ILDR1"</f>
        <v>ILDR1</v>
      </c>
      <c r="B8509" t="s">
        <v>14</v>
      </c>
      <c r="C8509" t="s">
        <v>22</v>
      </c>
      <c r="D8509" t="s">
        <v>11</v>
      </c>
      <c r="E8509" t="s">
        <v>12</v>
      </c>
      <c r="F8509">
        <v>121741065</v>
      </c>
      <c r="G8509">
        <v>121741106</v>
      </c>
      <c r="H8509">
        <v>121741109</v>
      </c>
      <c r="I8509">
        <v>121741134</v>
      </c>
    </row>
    <row r="8510" spans="1:9" x14ac:dyDescent="0.2">
      <c r="A8510" s="1" t="str">
        <f>"ILDR2"</f>
        <v>ILDR2</v>
      </c>
      <c r="B8510" t="s">
        <v>14</v>
      </c>
      <c r="C8510" t="s">
        <v>19</v>
      </c>
      <c r="D8510" t="s">
        <v>11</v>
      </c>
      <c r="E8510" t="s">
        <v>12</v>
      </c>
      <c r="F8510">
        <v>166944652</v>
      </c>
      <c r="G8510">
        <v>166944733</v>
      </c>
      <c r="H8510">
        <v>166944736</v>
      </c>
      <c r="I8510">
        <v>166944787</v>
      </c>
    </row>
    <row r="8511" spans="1:9" x14ac:dyDescent="0.2">
      <c r="A8511" s="1" t="str">
        <f>"ILF2"</f>
        <v>ILF2</v>
      </c>
      <c r="B8511" t="s">
        <v>14</v>
      </c>
      <c r="C8511" t="s">
        <v>19</v>
      </c>
      <c r="D8511" t="s">
        <v>11</v>
      </c>
      <c r="E8511" t="s">
        <v>12</v>
      </c>
      <c r="F8511">
        <v>153643442</v>
      </c>
      <c r="G8511">
        <v>153643475</v>
      </c>
      <c r="H8511">
        <v>153643418</v>
      </c>
      <c r="I8511">
        <v>153643429</v>
      </c>
    </row>
    <row r="8512" spans="1:9" x14ac:dyDescent="0.2">
      <c r="A8512" s="1" t="str">
        <f>"ILF3"</f>
        <v>ILF3</v>
      </c>
      <c r="B8512" t="s">
        <v>14</v>
      </c>
      <c r="C8512" t="s">
        <v>10</v>
      </c>
      <c r="D8512" t="s">
        <v>17</v>
      </c>
      <c r="E8512" t="s">
        <v>12</v>
      </c>
      <c r="F8512">
        <v>10765003</v>
      </c>
      <c r="G8512">
        <v>10765057</v>
      </c>
      <c r="H8512">
        <v>10764948</v>
      </c>
      <c r="I8512">
        <v>10764998</v>
      </c>
    </row>
    <row r="8513" spans="1:9" x14ac:dyDescent="0.2">
      <c r="A8513" s="1" t="str">
        <f>"ILK"</f>
        <v>ILK</v>
      </c>
      <c r="B8513" t="s">
        <v>14</v>
      </c>
      <c r="C8513" t="s">
        <v>27</v>
      </c>
      <c r="D8513" t="s">
        <v>17</v>
      </c>
      <c r="E8513" t="s">
        <v>12</v>
      </c>
      <c r="F8513">
        <v>6624970</v>
      </c>
      <c r="G8513">
        <v>6625034</v>
      </c>
      <c r="H8513">
        <v>6624955</v>
      </c>
      <c r="I8513">
        <v>6624967</v>
      </c>
    </row>
    <row r="8514" spans="1:9" x14ac:dyDescent="0.2">
      <c r="A8514" s="1" t="str">
        <f>"ILKAP"</f>
        <v>ILKAP</v>
      </c>
      <c r="B8514" t="s">
        <v>14</v>
      </c>
      <c r="C8514" t="s">
        <v>26</v>
      </c>
      <c r="D8514" t="s">
        <v>11</v>
      </c>
      <c r="E8514" t="s">
        <v>12</v>
      </c>
      <c r="F8514">
        <v>239112253</v>
      </c>
      <c r="G8514">
        <v>239112344</v>
      </c>
      <c r="H8514">
        <v>239112347</v>
      </c>
      <c r="I8514">
        <v>239112361</v>
      </c>
    </row>
    <row r="8515" spans="1:9" x14ac:dyDescent="0.2">
      <c r="A8515" s="1" t="str">
        <f>"ILVBL"</f>
        <v>ILVBL</v>
      </c>
      <c r="B8515" t="s">
        <v>14</v>
      </c>
      <c r="C8515" t="s">
        <v>10</v>
      </c>
      <c r="D8515" t="s">
        <v>11</v>
      </c>
      <c r="E8515" t="s">
        <v>12</v>
      </c>
      <c r="F8515">
        <v>15236470</v>
      </c>
      <c r="G8515">
        <v>15236542</v>
      </c>
      <c r="H8515">
        <v>15236562</v>
      </c>
      <c r="I8515">
        <v>15236612</v>
      </c>
    </row>
    <row r="8516" spans="1:9" x14ac:dyDescent="0.2">
      <c r="A8516" s="1" t="str">
        <f>"IMMP1L"</f>
        <v>IMMP1L</v>
      </c>
      <c r="B8516" t="s">
        <v>14</v>
      </c>
      <c r="C8516" t="s">
        <v>27</v>
      </c>
      <c r="D8516" t="s">
        <v>11</v>
      </c>
      <c r="E8516" t="s">
        <v>12</v>
      </c>
      <c r="F8516">
        <v>31531135</v>
      </c>
      <c r="G8516">
        <v>31531182</v>
      </c>
      <c r="H8516">
        <v>31531201</v>
      </c>
      <c r="I8516">
        <v>31531204</v>
      </c>
    </row>
    <row r="8517" spans="1:9" x14ac:dyDescent="0.2">
      <c r="A8517" s="1" t="str">
        <f>"IMMP2L"</f>
        <v>IMMP2L</v>
      </c>
      <c r="B8517" t="s">
        <v>14</v>
      </c>
      <c r="C8517" t="s">
        <v>33</v>
      </c>
      <c r="D8517" t="s">
        <v>11</v>
      </c>
      <c r="E8517" t="s">
        <v>12</v>
      </c>
      <c r="F8517">
        <v>111202511</v>
      </c>
      <c r="G8517">
        <v>111202567</v>
      </c>
      <c r="H8517">
        <v>111202288</v>
      </c>
      <c r="I8517">
        <v>111202317</v>
      </c>
    </row>
    <row r="8518" spans="1:9" x14ac:dyDescent="0.2">
      <c r="A8518" s="1" t="str">
        <f>"IMMT"</f>
        <v>IMMT</v>
      </c>
      <c r="B8518" t="s">
        <v>14</v>
      </c>
      <c r="C8518" t="s">
        <v>26</v>
      </c>
      <c r="D8518" t="s">
        <v>11</v>
      </c>
      <c r="E8518" t="s">
        <v>12</v>
      </c>
      <c r="F8518">
        <v>86422523</v>
      </c>
      <c r="G8518">
        <v>86422594</v>
      </c>
      <c r="H8518">
        <v>86422618</v>
      </c>
      <c r="I8518">
        <v>86422629</v>
      </c>
    </row>
    <row r="8519" spans="1:9" x14ac:dyDescent="0.2">
      <c r="A8519" s="1" t="str">
        <f>"IMP3"</f>
        <v>IMP3</v>
      </c>
      <c r="B8519" t="s">
        <v>14</v>
      </c>
      <c r="C8519" t="s">
        <v>25</v>
      </c>
      <c r="D8519" t="s">
        <v>11</v>
      </c>
      <c r="E8519" t="s">
        <v>12</v>
      </c>
      <c r="F8519">
        <v>75932528</v>
      </c>
      <c r="G8519">
        <v>75932574</v>
      </c>
      <c r="H8519">
        <v>75932587</v>
      </c>
      <c r="I8519">
        <v>75932599</v>
      </c>
    </row>
    <row r="8520" spans="1:9" x14ac:dyDescent="0.2">
      <c r="A8520" s="1" t="str">
        <f>"IMP4"</f>
        <v>IMP4</v>
      </c>
      <c r="B8520" t="s">
        <v>14</v>
      </c>
      <c r="C8520" t="s">
        <v>26</v>
      </c>
      <c r="D8520" t="s">
        <v>17</v>
      </c>
      <c r="E8520" t="s">
        <v>12</v>
      </c>
      <c r="F8520">
        <v>131100423</v>
      </c>
      <c r="G8520">
        <v>131100504</v>
      </c>
      <c r="H8520">
        <v>131099835</v>
      </c>
      <c r="I8520">
        <v>131099863</v>
      </c>
    </row>
    <row r="8521" spans="1:9" x14ac:dyDescent="0.2">
      <c r="A8521" s="1" t="str">
        <f>"IMPA1"</f>
        <v>IMPA1</v>
      </c>
      <c r="B8521" t="s">
        <v>14</v>
      </c>
      <c r="C8521" t="s">
        <v>30</v>
      </c>
      <c r="D8521" t="s">
        <v>11</v>
      </c>
      <c r="E8521" t="s">
        <v>12</v>
      </c>
      <c r="F8521">
        <v>82598511</v>
      </c>
      <c r="G8521">
        <v>82598570</v>
      </c>
      <c r="H8521">
        <v>82598261</v>
      </c>
      <c r="I8521">
        <v>82598303</v>
      </c>
    </row>
    <row r="8522" spans="1:9" x14ac:dyDescent="0.2">
      <c r="A8522" s="1" t="str">
        <f>"IMPA2"</f>
        <v>IMPA2</v>
      </c>
      <c r="B8522" t="s">
        <v>14</v>
      </c>
      <c r="C8522" t="s">
        <v>43</v>
      </c>
      <c r="D8522" t="s">
        <v>17</v>
      </c>
      <c r="E8522" t="s">
        <v>12</v>
      </c>
      <c r="F8522">
        <v>11981487</v>
      </c>
      <c r="G8522">
        <v>11981533</v>
      </c>
      <c r="H8522">
        <v>11981450</v>
      </c>
      <c r="I8522">
        <v>11981485</v>
      </c>
    </row>
    <row r="8523" spans="1:9" x14ac:dyDescent="0.2">
      <c r="A8523" s="1" t="str">
        <f>"IMPACT"</f>
        <v>IMPACT</v>
      </c>
      <c r="B8523" t="s">
        <v>14</v>
      </c>
      <c r="C8523" t="s">
        <v>43</v>
      </c>
      <c r="D8523" t="s">
        <v>17</v>
      </c>
      <c r="E8523" t="s">
        <v>12</v>
      </c>
      <c r="F8523">
        <v>22006646</v>
      </c>
      <c r="G8523">
        <v>22006690</v>
      </c>
      <c r="H8523">
        <v>22006616</v>
      </c>
      <c r="I8523">
        <v>22006644</v>
      </c>
    </row>
    <row r="8524" spans="1:9" x14ac:dyDescent="0.2">
      <c r="A8524" s="1" t="str">
        <f>"IMPAD1"</f>
        <v>IMPAD1</v>
      </c>
      <c r="B8524" t="s">
        <v>14</v>
      </c>
      <c r="C8524" t="s">
        <v>30</v>
      </c>
      <c r="D8524" t="s">
        <v>11</v>
      </c>
      <c r="E8524" t="s">
        <v>12</v>
      </c>
      <c r="F8524">
        <v>57906362</v>
      </c>
      <c r="G8524">
        <v>57906452</v>
      </c>
      <c r="H8524">
        <v>57905812</v>
      </c>
      <c r="I8524">
        <v>57905845</v>
      </c>
    </row>
    <row r="8525" spans="1:9" x14ac:dyDescent="0.2">
      <c r="A8525" s="1" t="str">
        <f>"IMPDH1"</f>
        <v>IMPDH1</v>
      </c>
      <c r="B8525" t="s">
        <v>9</v>
      </c>
      <c r="C8525" t="s">
        <v>33</v>
      </c>
      <c r="D8525" t="s">
        <v>11</v>
      </c>
      <c r="E8525" t="s">
        <v>12</v>
      </c>
      <c r="F8525">
        <v>128045984</v>
      </c>
      <c r="G8525">
        <v>128046026</v>
      </c>
      <c r="H8525">
        <v>128045984</v>
      </c>
      <c r="I8525">
        <v>128046026</v>
      </c>
    </row>
    <row r="8526" spans="1:9" x14ac:dyDescent="0.2">
      <c r="A8526" s="1" t="str">
        <f>"IMPDH1"</f>
        <v>IMPDH1</v>
      </c>
      <c r="B8526" t="s">
        <v>13</v>
      </c>
      <c r="C8526" t="s">
        <v>33</v>
      </c>
      <c r="D8526" t="s">
        <v>11</v>
      </c>
      <c r="E8526" t="s">
        <v>12</v>
      </c>
      <c r="F8526">
        <v>128050027</v>
      </c>
      <c r="G8526">
        <v>128050053</v>
      </c>
      <c r="H8526">
        <v>128050027</v>
      </c>
      <c r="I8526">
        <v>128050053</v>
      </c>
    </row>
    <row r="8527" spans="1:9" x14ac:dyDescent="0.2">
      <c r="A8527" s="1" t="str">
        <f>"IMPDH2"</f>
        <v>IMPDH2</v>
      </c>
      <c r="B8527" t="s">
        <v>14</v>
      </c>
      <c r="C8527" t="s">
        <v>22</v>
      </c>
      <c r="D8527" t="s">
        <v>11</v>
      </c>
      <c r="E8527" t="s">
        <v>12</v>
      </c>
      <c r="F8527">
        <v>49066821</v>
      </c>
      <c r="G8527">
        <v>49066851</v>
      </c>
      <c r="H8527">
        <v>49066853</v>
      </c>
      <c r="I8527">
        <v>49066884</v>
      </c>
    </row>
    <row r="8528" spans="1:9" x14ac:dyDescent="0.2">
      <c r="A8528" s="1" t="str">
        <f>"IMPG1"</f>
        <v>IMPG1</v>
      </c>
      <c r="B8528" t="s">
        <v>14</v>
      </c>
      <c r="C8528" t="s">
        <v>32</v>
      </c>
      <c r="D8528" t="s">
        <v>11</v>
      </c>
      <c r="E8528" t="s">
        <v>12</v>
      </c>
      <c r="F8528">
        <v>76782371</v>
      </c>
      <c r="G8528">
        <v>76782404</v>
      </c>
      <c r="H8528">
        <v>76782342</v>
      </c>
      <c r="I8528">
        <v>76782370</v>
      </c>
    </row>
    <row r="8529" spans="1:9" x14ac:dyDescent="0.2">
      <c r="A8529" s="1" t="str">
        <f>"IMPG2"</f>
        <v>IMPG2</v>
      </c>
      <c r="B8529" t="s">
        <v>14</v>
      </c>
      <c r="C8529" t="s">
        <v>22</v>
      </c>
      <c r="D8529" t="s">
        <v>11</v>
      </c>
      <c r="E8529" t="s">
        <v>12</v>
      </c>
      <c r="F8529">
        <v>101039402</v>
      </c>
      <c r="G8529">
        <v>101039429</v>
      </c>
      <c r="H8529">
        <v>101039452</v>
      </c>
      <c r="I8529">
        <v>101039463</v>
      </c>
    </row>
    <row r="8530" spans="1:9" x14ac:dyDescent="0.2">
      <c r="A8530" s="1" t="str">
        <f>"INA"</f>
        <v>INA</v>
      </c>
      <c r="B8530" t="s">
        <v>14</v>
      </c>
      <c r="C8530" t="s">
        <v>15</v>
      </c>
      <c r="D8530" t="s">
        <v>17</v>
      </c>
      <c r="E8530" t="s">
        <v>12</v>
      </c>
      <c r="F8530">
        <v>105036887</v>
      </c>
      <c r="G8530">
        <v>105036903</v>
      </c>
      <c r="H8530">
        <v>105037392</v>
      </c>
      <c r="I8530">
        <v>105037510</v>
      </c>
    </row>
    <row r="8531" spans="1:9" x14ac:dyDescent="0.2">
      <c r="A8531" s="1" t="str">
        <f>"INADL"</f>
        <v>INADL</v>
      </c>
      <c r="B8531" t="s">
        <v>14</v>
      </c>
      <c r="C8531" t="s">
        <v>19</v>
      </c>
      <c r="D8531" t="s">
        <v>17</v>
      </c>
      <c r="E8531" t="s">
        <v>12</v>
      </c>
      <c r="F8531">
        <v>62208091</v>
      </c>
      <c r="G8531">
        <v>62208182</v>
      </c>
      <c r="H8531">
        <v>62208091</v>
      </c>
      <c r="I8531">
        <v>62208182</v>
      </c>
    </row>
    <row r="8532" spans="1:9" x14ac:dyDescent="0.2">
      <c r="A8532" s="1" t="str">
        <f>"INCA1"</f>
        <v>INCA1</v>
      </c>
      <c r="B8532" t="s">
        <v>14</v>
      </c>
      <c r="C8532" t="s">
        <v>28</v>
      </c>
      <c r="D8532" t="s">
        <v>11</v>
      </c>
      <c r="E8532" t="s">
        <v>12</v>
      </c>
      <c r="F8532">
        <v>4900873</v>
      </c>
      <c r="G8532">
        <v>4900893</v>
      </c>
      <c r="H8532">
        <v>4900804</v>
      </c>
      <c r="I8532">
        <v>4900822</v>
      </c>
    </row>
    <row r="8533" spans="1:9" x14ac:dyDescent="0.2">
      <c r="A8533" s="1" t="str">
        <f>"INCENP"</f>
        <v>INCENP</v>
      </c>
      <c r="B8533" t="s">
        <v>14</v>
      </c>
      <c r="C8533" t="s">
        <v>27</v>
      </c>
      <c r="D8533" t="s">
        <v>17</v>
      </c>
      <c r="E8533" t="s">
        <v>12</v>
      </c>
      <c r="F8533">
        <v>61891463</v>
      </c>
      <c r="G8533">
        <v>61891535</v>
      </c>
      <c r="H8533">
        <v>61891463</v>
      </c>
      <c r="I8533">
        <v>61891535</v>
      </c>
    </row>
    <row r="8534" spans="1:9" x14ac:dyDescent="0.2">
      <c r="A8534" s="1" t="str">
        <f>"INF2"</f>
        <v>INF2</v>
      </c>
      <c r="B8534" t="s">
        <v>14</v>
      </c>
      <c r="C8534" t="s">
        <v>41</v>
      </c>
      <c r="D8534" t="s">
        <v>17</v>
      </c>
      <c r="E8534" t="s">
        <v>12</v>
      </c>
      <c r="F8534">
        <v>105155925</v>
      </c>
      <c r="G8534">
        <v>105155979</v>
      </c>
      <c r="H8534">
        <v>105155980</v>
      </c>
      <c r="I8534">
        <v>105155999</v>
      </c>
    </row>
    <row r="8535" spans="1:9" x14ac:dyDescent="0.2">
      <c r="A8535" s="1" t="str">
        <f>"ING1"</f>
        <v>ING1</v>
      </c>
      <c r="B8535" t="s">
        <v>9</v>
      </c>
      <c r="C8535" t="s">
        <v>39</v>
      </c>
      <c r="D8535" t="s">
        <v>17</v>
      </c>
      <c r="E8535" t="s">
        <v>12</v>
      </c>
      <c r="F8535">
        <v>111365988</v>
      </c>
      <c r="G8535">
        <v>111366070</v>
      </c>
      <c r="H8535">
        <v>111365988</v>
      </c>
      <c r="I8535">
        <v>111366070</v>
      </c>
    </row>
    <row r="8536" spans="1:9" x14ac:dyDescent="0.2">
      <c r="A8536" s="1" t="str">
        <f>"ING1"</f>
        <v>ING1</v>
      </c>
      <c r="B8536" t="s">
        <v>13</v>
      </c>
      <c r="C8536" t="s">
        <v>39</v>
      </c>
      <c r="D8536" t="s">
        <v>17</v>
      </c>
      <c r="E8536" t="s">
        <v>12</v>
      </c>
      <c r="F8536">
        <v>111368182</v>
      </c>
      <c r="G8536">
        <v>111368201</v>
      </c>
      <c r="H8536">
        <v>111368182</v>
      </c>
      <c r="I8536">
        <v>111368201</v>
      </c>
    </row>
    <row r="8537" spans="1:9" x14ac:dyDescent="0.2">
      <c r="A8537" s="1" t="str">
        <f>"ING2"</f>
        <v>ING2</v>
      </c>
      <c r="B8537" t="s">
        <v>14</v>
      </c>
      <c r="C8537" t="s">
        <v>23</v>
      </c>
      <c r="D8537" t="s">
        <v>17</v>
      </c>
      <c r="E8537" t="s">
        <v>12</v>
      </c>
      <c r="F8537">
        <v>184426190</v>
      </c>
      <c r="G8537">
        <v>184426237</v>
      </c>
      <c r="H8537">
        <v>184425906</v>
      </c>
      <c r="I8537">
        <v>184425965</v>
      </c>
    </row>
    <row r="8538" spans="1:9" x14ac:dyDescent="0.2">
      <c r="A8538" s="1" t="str">
        <f>"ING3"</f>
        <v>ING3</v>
      </c>
      <c r="B8538" t="s">
        <v>14</v>
      </c>
      <c r="C8538" t="s">
        <v>33</v>
      </c>
      <c r="D8538" t="s">
        <v>17</v>
      </c>
      <c r="E8538" t="s">
        <v>12</v>
      </c>
      <c r="F8538">
        <v>120590822</v>
      </c>
      <c r="G8538">
        <v>120590857</v>
      </c>
      <c r="H8538">
        <v>120591183</v>
      </c>
      <c r="I8538">
        <v>120591244</v>
      </c>
    </row>
    <row r="8539" spans="1:9" x14ac:dyDescent="0.2">
      <c r="A8539" s="1" t="str">
        <f>"ING4"</f>
        <v>ING4</v>
      </c>
      <c r="B8539" t="s">
        <v>14</v>
      </c>
      <c r="C8539" t="s">
        <v>16</v>
      </c>
      <c r="D8539" t="s">
        <v>11</v>
      </c>
      <c r="E8539" t="s">
        <v>12</v>
      </c>
      <c r="F8539">
        <v>6772268</v>
      </c>
      <c r="G8539">
        <v>6772297</v>
      </c>
      <c r="H8539">
        <v>6772303</v>
      </c>
      <c r="I8539">
        <v>6772312</v>
      </c>
    </row>
    <row r="8540" spans="1:9" x14ac:dyDescent="0.2">
      <c r="A8540" s="1" t="str">
        <f>"ING5"</f>
        <v>ING5</v>
      </c>
      <c r="B8540" t="s">
        <v>14</v>
      </c>
      <c r="C8540" t="s">
        <v>26</v>
      </c>
      <c r="D8540" t="s">
        <v>17</v>
      </c>
      <c r="E8540" t="s">
        <v>12</v>
      </c>
      <c r="F8540">
        <v>242641442</v>
      </c>
      <c r="G8540">
        <v>242641478</v>
      </c>
      <c r="H8540">
        <v>242641425</v>
      </c>
      <c r="I8540">
        <v>242641428</v>
      </c>
    </row>
    <row r="8541" spans="1:9" x14ac:dyDescent="0.2">
      <c r="A8541" s="1" t="str">
        <f>"INHA"</f>
        <v>INHA</v>
      </c>
      <c r="B8541" t="s">
        <v>14</v>
      </c>
      <c r="C8541" t="s">
        <v>26</v>
      </c>
      <c r="D8541" t="s">
        <v>17</v>
      </c>
      <c r="E8541" t="s">
        <v>12</v>
      </c>
      <c r="F8541">
        <v>220437026</v>
      </c>
      <c r="G8541">
        <v>220437056</v>
      </c>
      <c r="H8541">
        <v>220436945</v>
      </c>
      <c r="I8541">
        <v>220436970</v>
      </c>
    </row>
    <row r="8542" spans="1:9" x14ac:dyDescent="0.2">
      <c r="A8542" s="1" t="str">
        <f>"INHBA"</f>
        <v>INHBA</v>
      </c>
      <c r="B8542" t="s">
        <v>14</v>
      </c>
      <c r="C8542" t="s">
        <v>33</v>
      </c>
      <c r="D8542" t="s">
        <v>11</v>
      </c>
      <c r="E8542" t="s">
        <v>12</v>
      </c>
      <c r="F8542">
        <v>41742660</v>
      </c>
      <c r="G8542">
        <v>41742695</v>
      </c>
      <c r="H8542">
        <v>41742697</v>
      </c>
      <c r="I8542">
        <v>41742714</v>
      </c>
    </row>
    <row r="8543" spans="1:9" x14ac:dyDescent="0.2">
      <c r="A8543" s="1" t="str">
        <f>"INHBB"</f>
        <v>INHBB</v>
      </c>
      <c r="B8543" t="s">
        <v>14</v>
      </c>
      <c r="C8543" t="s">
        <v>26</v>
      </c>
      <c r="D8543" t="s">
        <v>17</v>
      </c>
      <c r="E8543" t="s">
        <v>12</v>
      </c>
      <c r="F8543">
        <v>121103706</v>
      </c>
      <c r="G8543">
        <v>121103754</v>
      </c>
      <c r="H8543">
        <v>121103706</v>
      </c>
      <c r="I8543">
        <v>121103754</v>
      </c>
    </row>
    <row r="8544" spans="1:9" x14ac:dyDescent="0.2">
      <c r="A8544" s="1" t="str">
        <f>"INHBC"</f>
        <v>INHBC</v>
      </c>
      <c r="B8544" t="s">
        <v>14</v>
      </c>
      <c r="C8544" t="s">
        <v>16</v>
      </c>
      <c r="D8544" t="s">
        <v>17</v>
      </c>
      <c r="E8544" t="s">
        <v>12</v>
      </c>
      <c r="F8544">
        <v>57828561</v>
      </c>
      <c r="G8544">
        <v>57828583</v>
      </c>
      <c r="H8544">
        <v>57828495</v>
      </c>
      <c r="I8544">
        <v>57828517</v>
      </c>
    </row>
    <row r="8545" spans="1:9" x14ac:dyDescent="0.2">
      <c r="A8545" s="1" t="str">
        <f>"INHBE"</f>
        <v>INHBE</v>
      </c>
      <c r="B8545" t="s">
        <v>14</v>
      </c>
      <c r="C8545" t="s">
        <v>16</v>
      </c>
      <c r="D8545" t="s">
        <v>17</v>
      </c>
      <c r="E8545" t="s">
        <v>12</v>
      </c>
      <c r="F8545">
        <v>57849048</v>
      </c>
      <c r="G8545">
        <v>57849106</v>
      </c>
      <c r="H8545">
        <v>57849048</v>
      </c>
      <c r="I8545">
        <v>57849106</v>
      </c>
    </row>
    <row r="8546" spans="1:9" x14ac:dyDescent="0.2">
      <c r="A8546" s="1" t="str">
        <f>"INIP"</f>
        <v>INIP</v>
      </c>
      <c r="B8546" t="s">
        <v>14</v>
      </c>
      <c r="C8546" t="s">
        <v>24</v>
      </c>
      <c r="D8546" t="s">
        <v>11</v>
      </c>
      <c r="E8546" t="s">
        <v>12</v>
      </c>
      <c r="F8546">
        <v>115480303</v>
      </c>
      <c r="G8546">
        <v>115480425</v>
      </c>
      <c r="H8546">
        <v>115480519</v>
      </c>
      <c r="I8546">
        <v>115480533</v>
      </c>
    </row>
    <row r="8547" spans="1:9" x14ac:dyDescent="0.2">
      <c r="A8547" s="1" t="str">
        <f>"INMT"</f>
        <v>INMT</v>
      </c>
      <c r="B8547" t="s">
        <v>14</v>
      </c>
      <c r="C8547" t="s">
        <v>33</v>
      </c>
      <c r="D8547" t="s">
        <v>17</v>
      </c>
      <c r="E8547" t="s">
        <v>12</v>
      </c>
      <c r="F8547">
        <v>30791743</v>
      </c>
      <c r="G8547">
        <v>30791763</v>
      </c>
      <c r="H8547">
        <v>30791743</v>
      </c>
      <c r="I8547">
        <v>30791763</v>
      </c>
    </row>
    <row r="8548" spans="1:9" x14ac:dyDescent="0.2">
      <c r="A8548" s="1" t="str">
        <f>"INO80"</f>
        <v>INO80</v>
      </c>
      <c r="B8548" t="s">
        <v>14</v>
      </c>
      <c r="C8548" t="s">
        <v>25</v>
      </c>
      <c r="D8548" t="s">
        <v>11</v>
      </c>
      <c r="E8548" t="s">
        <v>12</v>
      </c>
      <c r="F8548">
        <v>41408409</v>
      </c>
      <c r="G8548">
        <v>41408497</v>
      </c>
      <c r="H8548">
        <v>41408648</v>
      </c>
      <c r="I8548">
        <v>41408789</v>
      </c>
    </row>
    <row r="8549" spans="1:9" x14ac:dyDescent="0.2">
      <c r="A8549" s="1" t="str">
        <f>"INO80B"</f>
        <v>INO80B</v>
      </c>
      <c r="B8549" t="s">
        <v>14</v>
      </c>
      <c r="C8549" t="s">
        <v>26</v>
      </c>
      <c r="D8549" t="s">
        <v>17</v>
      </c>
      <c r="E8549" t="s">
        <v>12</v>
      </c>
      <c r="F8549">
        <v>74682204</v>
      </c>
      <c r="G8549">
        <v>74682252</v>
      </c>
      <c r="H8549">
        <v>74682459</v>
      </c>
      <c r="I8549">
        <v>74682515</v>
      </c>
    </row>
    <row r="8550" spans="1:9" x14ac:dyDescent="0.2">
      <c r="A8550" s="1" t="str">
        <f>"INO80C"</f>
        <v>INO80C</v>
      </c>
      <c r="B8550" t="s">
        <v>14</v>
      </c>
      <c r="C8550" t="s">
        <v>43</v>
      </c>
      <c r="D8550" t="s">
        <v>11</v>
      </c>
      <c r="E8550" t="s">
        <v>12</v>
      </c>
      <c r="F8550">
        <v>33077883</v>
      </c>
      <c r="G8550">
        <v>33077933</v>
      </c>
      <c r="H8550">
        <v>33077964</v>
      </c>
      <c r="I8550">
        <v>33078002</v>
      </c>
    </row>
    <row r="8551" spans="1:9" x14ac:dyDescent="0.2">
      <c r="A8551" s="1" t="str">
        <f>"INO80D"</f>
        <v>INO80D</v>
      </c>
      <c r="B8551" t="s">
        <v>14</v>
      </c>
      <c r="C8551" t="s">
        <v>26</v>
      </c>
      <c r="D8551" t="s">
        <v>11</v>
      </c>
      <c r="E8551" t="s">
        <v>12</v>
      </c>
      <c r="F8551">
        <v>206950781</v>
      </c>
      <c r="G8551">
        <v>206950947</v>
      </c>
      <c r="H8551">
        <v>206950996</v>
      </c>
      <c r="I8551">
        <v>206951032</v>
      </c>
    </row>
    <row r="8552" spans="1:9" x14ac:dyDescent="0.2">
      <c r="A8552" s="1" t="str">
        <f>"INO80E"</f>
        <v>INO80E</v>
      </c>
      <c r="B8552" t="s">
        <v>14</v>
      </c>
      <c r="C8552" t="s">
        <v>31</v>
      </c>
      <c r="D8552" t="s">
        <v>17</v>
      </c>
      <c r="E8552" t="s">
        <v>12</v>
      </c>
      <c r="F8552">
        <v>30007524</v>
      </c>
      <c r="G8552">
        <v>30007588</v>
      </c>
      <c r="H8552">
        <v>30007595</v>
      </c>
      <c r="I8552">
        <v>30007622</v>
      </c>
    </row>
    <row r="8553" spans="1:9" x14ac:dyDescent="0.2">
      <c r="A8553" s="1" t="str">
        <f>"INPP1"</f>
        <v>INPP1</v>
      </c>
      <c r="B8553" t="s">
        <v>14</v>
      </c>
      <c r="C8553" t="s">
        <v>26</v>
      </c>
      <c r="D8553" t="s">
        <v>17</v>
      </c>
      <c r="E8553" t="s">
        <v>12</v>
      </c>
      <c r="F8553">
        <v>191208287</v>
      </c>
      <c r="G8553">
        <v>191208408</v>
      </c>
      <c r="H8553">
        <v>191208602</v>
      </c>
      <c r="I8553">
        <v>191208651</v>
      </c>
    </row>
    <row r="8554" spans="1:9" x14ac:dyDescent="0.2">
      <c r="A8554" s="1" t="str">
        <f>"INPP4A"</f>
        <v>INPP4A</v>
      </c>
      <c r="B8554" t="s">
        <v>14</v>
      </c>
      <c r="C8554" t="s">
        <v>26</v>
      </c>
      <c r="D8554" t="s">
        <v>17</v>
      </c>
      <c r="E8554" t="s">
        <v>12</v>
      </c>
      <c r="F8554">
        <v>99061298</v>
      </c>
      <c r="G8554">
        <v>99061377</v>
      </c>
      <c r="H8554">
        <v>99061298</v>
      </c>
      <c r="I8554">
        <v>99061377</v>
      </c>
    </row>
    <row r="8555" spans="1:9" x14ac:dyDescent="0.2">
      <c r="A8555" s="1" t="str">
        <f>"INPP4B"</f>
        <v>INPP4B</v>
      </c>
      <c r="B8555" t="s">
        <v>9</v>
      </c>
      <c r="C8555" t="s">
        <v>23</v>
      </c>
      <c r="D8555" t="s">
        <v>11</v>
      </c>
      <c r="E8555" t="s">
        <v>12</v>
      </c>
      <c r="F8555">
        <v>143326561</v>
      </c>
      <c r="G8555">
        <v>143326632</v>
      </c>
      <c r="H8555">
        <v>143326561</v>
      </c>
      <c r="I8555">
        <v>143326632</v>
      </c>
    </row>
    <row r="8556" spans="1:9" x14ac:dyDescent="0.2">
      <c r="A8556" s="1" t="str">
        <f>"INPP4B"</f>
        <v>INPP4B</v>
      </c>
      <c r="B8556" t="s">
        <v>13</v>
      </c>
      <c r="C8556" t="s">
        <v>23</v>
      </c>
      <c r="D8556" t="s">
        <v>11</v>
      </c>
      <c r="E8556" t="s">
        <v>12</v>
      </c>
      <c r="F8556">
        <v>143767428</v>
      </c>
      <c r="G8556">
        <v>143767464</v>
      </c>
      <c r="H8556">
        <v>143767428</v>
      </c>
      <c r="I8556">
        <v>143767464</v>
      </c>
    </row>
    <row r="8557" spans="1:9" x14ac:dyDescent="0.2">
      <c r="A8557" s="1" t="str">
        <f>"INPP5A"</f>
        <v>INPP5A</v>
      </c>
      <c r="B8557" t="s">
        <v>14</v>
      </c>
      <c r="C8557" t="s">
        <v>15</v>
      </c>
      <c r="D8557" t="s">
        <v>17</v>
      </c>
      <c r="E8557" t="s">
        <v>12</v>
      </c>
      <c r="F8557">
        <v>134351282</v>
      </c>
      <c r="G8557">
        <v>134351316</v>
      </c>
      <c r="H8557">
        <v>134351319</v>
      </c>
      <c r="I8557">
        <v>134351341</v>
      </c>
    </row>
    <row r="8558" spans="1:9" x14ac:dyDescent="0.2">
      <c r="A8558" s="1" t="str">
        <f>"INPP5B"</f>
        <v>INPP5B</v>
      </c>
      <c r="B8558" t="s">
        <v>9</v>
      </c>
      <c r="C8558" t="s">
        <v>19</v>
      </c>
      <c r="D8558" t="s">
        <v>11</v>
      </c>
      <c r="E8558" t="s">
        <v>12</v>
      </c>
      <c r="F8558">
        <v>38412683</v>
      </c>
      <c r="G8558">
        <v>38412740</v>
      </c>
      <c r="H8558">
        <v>38412683</v>
      </c>
      <c r="I8558">
        <v>38412740</v>
      </c>
    </row>
    <row r="8559" spans="1:9" x14ac:dyDescent="0.2">
      <c r="A8559" s="1" t="str">
        <f>"INPP5B"</f>
        <v>INPP5B</v>
      </c>
      <c r="B8559" t="s">
        <v>13</v>
      </c>
      <c r="C8559" t="s">
        <v>19</v>
      </c>
      <c r="D8559" t="s">
        <v>11</v>
      </c>
      <c r="E8559" t="s">
        <v>12</v>
      </c>
      <c r="F8559">
        <v>38397384</v>
      </c>
      <c r="G8559">
        <v>38397429</v>
      </c>
      <c r="H8559">
        <v>38397384</v>
      </c>
      <c r="I8559">
        <v>38397429</v>
      </c>
    </row>
    <row r="8560" spans="1:9" x14ac:dyDescent="0.2">
      <c r="A8560" s="1" t="str">
        <f>"INPP5D"</f>
        <v>INPP5D</v>
      </c>
      <c r="B8560" t="s">
        <v>14</v>
      </c>
      <c r="C8560" t="s">
        <v>26</v>
      </c>
      <c r="D8560" t="s">
        <v>17</v>
      </c>
      <c r="E8560" t="s">
        <v>12</v>
      </c>
      <c r="F8560">
        <v>233925038</v>
      </c>
      <c r="G8560">
        <v>233925062</v>
      </c>
      <c r="H8560">
        <v>233925064</v>
      </c>
      <c r="I8560">
        <v>233925090</v>
      </c>
    </row>
    <row r="8561" spans="1:9" x14ac:dyDescent="0.2">
      <c r="A8561" s="1" t="str">
        <f>"INPP5E"</f>
        <v>INPP5E</v>
      </c>
      <c r="B8561" t="s">
        <v>14</v>
      </c>
      <c r="C8561" t="s">
        <v>24</v>
      </c>
      <c r="D8561" t="s">
        <v>11</v>
      </c>
      <c r="E8561" t="s">
        <v>12</v>
      </c>
      <c r="F8561">
        <v>139334247</v>
      </c>
      <c r="G8561">
        <v>139334302</v>
      </c>
      <c r="H8561">
        <v>139334303</v>
      </c>
      <c r="I8561">
        <v>139334321</v>
      </c>
    </row>
    <row r="8562" spans="1:9" x14ac:dyDescent="0.2">
      <c r="A8562" s="1" t="str">
        <f>"INPP5F"</f>
        <v>INPP5F</v>
      </c>
      <c r="B8562" t="s">
        <v>659</v>
      </c>
      <c r="C8562" t="s">
        <v>15</v>
      </c>
      <c r="D8562" t="s">
        <v>17</v>
      </c>
      <c r="E8562" t="s">
        <v>35</v>
      </c>
      <c r="F8562">
        <v>121485554</v>
      </c>
      <c r="G8562">
        <v>121485584</v>
      </c>
      <c r="H8562">
        <v>121485741</v>
      </c>
      <c r="I8562">
        <v>121485750</v>
      </c>
    </row>
    <row r="8563" spans="1:9" x14ac:dyDescent="0.2">
      <c r="A8563" s="1" t="str">
        <f>"INPP5J"</f>
        <v>INPP5J</v>
      </c>
      <c r="B8563" t="s">
        <v>14</v>
      </c>
      <c r="C8563" t="s">
        <v>21</v>
      </c>
      <c r="D8563" t="s">
        <v>17</v>
      </c>
      <c r="E8563" t="s">
        <v>12</v>
      </c>
      <c r="F8563">
        <v>31518938</v>
      </c>
      <c r="G8563">
        <v>31518986</v>
      </c>
      <c r="H8563">
        <v>31518734</v>
      </c>
      <c r="I8563">
        <v>31518756</v>
      </c>
    </row>
    <row r="8564" spans="1:9" x14ac:dyDescent="0.2">
      <c r="A8564" s="1" t="str">
        <f>"INPP5K"</f>
        <v>INPP5K</v>
      </c>
      <c r="B8564" t="s">
        <v>14</v>
      </c>
      <c r="C8564" t="s">
        <v>28</v>
      </c>
      <c r="D8564" t="s">
        <v>11</v>
      </c>
      <c r="E8564" t="s">
        <v>12</v>
      </c>
      <c r="F8564">
        <v>1419878</v>
      </c>
      <c r="G8564">
        <v>1419912</v>
      </c>
      <c r="H8564">
        <v>1419941</v>
      </c>
      <c r="I8564">
        <v>1419969</v>
      </c>
    </row>
    <row r="8565" spans="1:9" x14ac:dyDescent="0.2">
      <c r="A8565" s="1" t="str">
        <f>"INPPL1"</f>
        <v>INPPL1</v>
      </c>
      <c r="B8565" t="s">
        <v>14</v>
      </c>
      <c r="C8565" t="s">
        <v>27</v>
      </c>
      <c r="D8565" t="s">
        <v>17</v>
      </c>
      <c r="E8565" t="s">
        <v>12</v>
      </c>
      <c r="F8565">
        <v>71934912</v>
      </c>
      <c r="G8565">
        <v>71934950</v>
      </c>
      <c r="H8565">
        <v>71935797</v>
      </c>
      <c r="I8565">
        <v>71935866</v>
      </c>
    </row>
    <row r="8566" spans="1:9" x14ac:dyDescent="0.2">
      <c r="A8566" s="1" t="str">
        <f>"INS"</f>
        <v>INS</v>
      </c>
      <c r="B8566" t="s">
        <v>14</v>
      </c>
      <c r="C8566" t="s">
        <v>27</v>
      </c>
      <c r="D8566" t="s">
        <v>11</v>
      </c>
      <c r="E8566" t="s">
        <v>12</v>
      </c>
      <c r="F8566">
        <v>2182437</v>
      </c>
      <c r="G8566">
        <v>2182439</v>
      </c>
      <c r="H8566">
        <v>2182144</v>
      </c>
      <c r="I8566">
        <v>2182150</v>
      </c>
    </row>
    <row r="8567" spans="1:9" x14ac:dyDescent="0.2">
      <c r="A8567" s="1" t="str">
        <f>"INS-IGF2"</f>
        <v>INS-IGF2</v>
      </c>
      <c r="B8567" t="s">
        <v>9</v>
      </c>
      <c r="C8567" t="s">
        <v>27</v>
      </c>
      <c r="D8567" t="s">
        <v>11</v>
      </c>
      <c r="E8567" t="s">
        <v>12</v>
      </c>
      <c r="F8567">
        <v>2182437</v>
      </c>
      <c r="G8567">
        <v>2182439</v>
      </c>
      <c r="H8567">
        <v>2182437</v>
      </c>
      <c r="I8567">
        <v>2182439</v>
      </c>
    </row>
    <row r="8568" spans="1:9" x14ac:dyDescent="0.2">
      <c r="A8568" s="1" t="str">
        <f>"INS-IGF2"</f>
        <v>INS-IGF2</v>
      </c>
      <c r="B8568" t="s">
        <v>13</v>
      </c>
      <c r="C8568" t="s">
        <v>27</v>
      </c>
      <c r="D8568" t="s">
        <v>11</v>
      </c>
      <c r="E8568" t="s">
        <v>12</v>
      </c>
      <c r="F8568">
        <v>2179605</v>
      </c>
      <c r="G8568">
        <v>2179621</v>
      </c>
      <c r="H8568">
        <v>2179605</v>
      </c>
      <c r="I8568">
        <v>2179621</v>
      </c>
    </row>
    <row r="8569" spans="1:9" x14ac:dyDescent="0.2">
      <c r="A8569" s="1" t="str">
        <f>"INSC"</f>
        <v>INSC</v>
      </c>
      <c r="B8569" t="s">
        <v>14</v>
      </c>
      <c r="C8569" t="s">
        <v>27</v>
      </c>
      <c r="D8569" t="s">
        <v>17</v>
      </c>
      <c r="E8569" t="s">
        <v>12</v>
      </c>
      <c r="F8569">
        <v>15136462</v>
      </c>
      <c r="G8569">
        <v>15136478</v>
      </c>
      <c r="H8569">
        <v>15136490</v>
      </c>
      <c r="I8569">
        <v>15136499</v>
      </c>
    </row>
    <row r="8570" spans="1:9" x14ac:dyDescent="0.2">
      <c r="A8570" s="1" t="str">
        <f>"INSIG1"</f>
        <v>INSIG1</v>
      </c>
      <c r="B8570" t="s">
        <v>14</v>
      </c>
      <c r="C8570" t="s">
        <v>33</v>
      </c>
      <c r="D8570" t="s">
        <v>17</v>
      </c>
      <c r="E8570" t="s">
        <v>12</v>
      </c>
      <c r="F8570">
        <v>155089580</v>
      </c>
      <c r="G8570">
        <v>155089595</v>
      </c>
      <c r="H8570">
        <v>155090339</v>
      </c>
      <c r="I8570">
        <v>155090382</v>
      </c>
    </row>
    <row r="8571" spans="1:9" x14ac:dyDescent="0.2">
      <c r="A8571" s="1" t="str">
        <f>"INSIG2"</f>
        <v>INSIG2</v>
      </c>
      <c r="B8571" t="s">
        <v>14</v>
      </c>
      <c r="C8571" t="s">
        <v>26</v>
      </c>
      <c r="D8571" t="s">
        <v>17</v>
      </c>
      <c r="E8571" t="s">
        <v>12</v>
      </c>
      <c r="F8571">
        <v>118846008</v>
      </c>
      <c r="G8571">
        <v>118846100</v>
      </c>
      <c r="H8571">
        <v>118846008</v>
      </c>
      <c r="I8571">
        <v>118846100</v>
      </c>
    </row>
    <row r="8572" spans="1:9" x14ac:dyDescent="0.2">
      <c r="A8572" s="1" t="str">
        <f>"INSL3"</f>
        <v>INSL3</v>
      </c>
      <c r="B8572" t="s">
        <v>14</v>
      </c>
      <c r="C8572" t="s">
        <v>10</v>
      </c>
      <c r="D8572" t="s">
        <v>11</v>
      </c>
      <c r="E8572" t="s">
        <v>12</v>
      </c>
      <c r="F8572">
        <v>17932318</v>
      </c>
      <c r="G8572">
        <v>17932334</v>
      </c>
      <c r="H8572">
        <v>17932318</v>
      </c>
      <c r="I8572">
        <v>17932334</v>
      </c>
    </row>
    <row r="8573" spans="1:9" x14ac:dyDescent="0.2">
      <c r="A8573" s="1" t="str">
        <f>"INSL4"</f>
        <v>INSL4</v>
      </c>
      <c r="B8573" t="s">
        <v>14</v>
      </c>
      <c r="C8573" t="s">
        <v>24</v>
      </c>
      <c r="D8573" t="s">
        <v>17</v>
      </c>
      <c r="E8573" t="s">
        <v>12</v>
      </c>
      <c r="F8573">
        <v>5231413</v>
      </c>
      <c r="G8573">
        <v>5231425</v>
      </c>
      <c r="H8573">
        <v>5231413</v>
      </c>
      <c r="I8573">
        <v>5231425</v>
      </c>
    </row>
    <row r="8574" spans="1:9" x14ac:dyDescent="0.2">
      <c r="A8574" s="1" t="str">
        <f>"INSL5"</f>
        <v>INSL5</v>
      </c>
      <c r="B8574" t="s">
        <v>14</v>
      </c>
      <c r="C8574" t="s">
        <v>19</v>
      </c>
      <c r="D8574" t="s">
        <v>11</v>
      </c>
      <c r="E8574" t="s">
        <v>12</v>
      </c>
      <c r="F8574">
        <v>67266958</v>
      </c>
      <c r="G8574">
        <v>67266959</v>
      </c>
      <c r="H8574">
        <v>67266958</v>
      </c>
      <c r="I8574">
        <v>67266959</v>
      </c>
    </row>
    <row r="8575" spans="1:9" x14ac:dyDescent="0.2">
      <c r="A8575" s="1" t="str">
        <f>"INSL6"</f>
        <v>INSL6</v>
      </c>
      <c r="B8575" t="s">
        <v>14</v>
      </c>
      <c r="C8575" t="s">
        <v>24</v>
      </c>
      <c r="D8575" t="s">
        <v>11</v>
      </c>
      <c r="E8575" t="s">
        <v>12</v>
      </c>
      <c r="F8575">
        <v>5185629</v>
      </c>
      <c r="G8575">
        <v>5185643</v>
      </c>
      <c r="H8575">
        <v>5185665</v>
      </c>
      <c r="I8575">
        <v>5185675</v>
      </c>
    </row>
    <row r="8576" spans="1:9" x14ac:dyDescent="0.2">
      <c r="A8576" s="1" t="str">
        <f>"INSM1"</f>
        <v>INSM1</v>
      </c>
      <c r="B8576" t="s">
        <v>14</v>
      </c>
      <c r="C8576" t="s">
        <v>29</v>
      </c>
      <c r="D8576" t="s">
        <v>17</v>
      </c>
      <c r="E8576" t="s">
        <v>12</v>
      </c>
      <c r="F8576">
        <v>20348740</v>
      </c>
      <c r="G8576">
        <v>20348757</v>
      </c>
      <c r="H8576">
        <v>20348527</v>
      </c>
      <c r="I8576">
        <v>20348570</v>
      </c>
    </row>
    <row r="8577" spans="1:9" x14ac:dyDescent="0.2">
      <c r="A8577" s="1" t="str">
        <f>"INSM2"</f>
        <v>INSM2</v>
      </c>
      <c r="B8577" t="s">
        <v>14</v>
      </c>
      <c r="C8577" t="s">
        <v>41</v>
      </c>
      <c r="D8577" t="s">
        <v>17</v>
      </c>
      <c r="E8577" t="s">
        <v>12</v>
      </c>
      <c r="F8577">
        <v>36003363</v>
      </c>
      <c r="G8577">
        <v>36003378</v>
      </c>
      <c r="H8577">
        <v>36003328</v>
      </c>
      <c r="I8577">
        <v>36003348</v>
      </c>
    </row>
    <row r="8578" spans="1:9" x14ac:dyDescent="0.2">
      <c r="A8578" s="1" t="str">
        <f>"INSR"</f>
        <v>INSR</v>
      </c>
      <c r="B8578" t="s">
        <v>14</v>
      </c>
      <c r="C8578" t="s">
        <v>10</v>
      </c>
      <c r="D8578" t="s">
        <v>11</v>
      </c>
      <c r="E8578" t="s">
        <v>12</v>
      </c>
      <c r="F8578">
        <v>7294307</v>
      </c>
      <c r="G8578">
        <v>7294394</v>
      </c>
      <c r="H8578">
        <v>7294307</v>
      </c>
      <c r="I8578">
        <v>7294394</v>
      </c>
    </row>
    <row r="8579" spans="1:9" x14ac:dyDescent="0.2">
      <c r="A8579" s="1" t="str">
        <f>"INSRR"</f>
        <v>INSRR</v>
      </c>
      <c r="B8579" t="s">
        <v>14</v>
      </c>
      <c r="C8579" t="s">
        <v>19</v>
      </c>
      <c r="D8579" t="s">
        <v>11</v>
      </c>
      <c r="E8579" t="s">
        <v>12</v>
      </c>
      <c r="F8579">
        <v>156828879</v>
      </c>
      <c r="G8579">
        <v>156828914</v>
      </c>
      <c r="H8579">
        <v>156828916</v>
      </c>
      <c r="I8579">
        <v>156828923</v>
      </c>
    </row>
    <row r="8580" spans="1:9" x14ac:dyDescent="0.2">
      <c r="A8580" s="1" t="str">
        <f>"INTS1"</f>
        <v>INTS1</v>
      </c>
      <c r="B8580" t="s">
        <v>14</v>
      </c>
      <c r="C8580" t="s">
        <v>33</v>
      </c>
      <c r="D8580" t="s">
        <v>11</v>
      </c>
      <c r="E8580" t="s">
        <v>12</v>
      </c>
      <c r="F8580">
        <v>1543981</v>
      </c>
      <c r="G8580">
        <v>1544033</v>
      </c>
      <c r="H8580">
        <v>1543950</v>
      </c>
      <c r="I8580">
        <v>1543968</v>
      </c>
    </row>
    <row r="8581" spans="1:9" x14ac:dyDescent="0.2">
      <c r="A8581" s="1" t="str">
        <f>"INTS10"</f>
        <v>INTS10</v>
      </c>
      <c r="B8581" t="s">
        <v>14</v>
      </c>
      <c r="C8581" t="s">
        <v>30</v>
      </c>
      <c r="D8581" t="s">
        <v>17</v>
      </c>
      <c r="E8581" t="s">
        <v>12</v>
      </c>
      <c r="F8581">
        <v>19674920</v>
      </c>
      <c r="G8581">
        <v>19674963</v>
      </c>
      <c r="H8581">
        <v>19674896</v>
      </c>
      <c r="I8581">
        <v>19674918</v>
      </c>
    </row>
    <row r="8582" spans="1:9" x14ac:dyDescent="0.2">
      <c r="A8582" s="1" t="str">
        <f>"INTS12"</f>
        <v>INTS12</v>
      </c>
      <c r="B8582" t="s">
        <v>14</v>
      </c>
      <c r="C8582" t="s">
        <v>23</v>
      </c>
      <c r="D8582" t="s">
        <v>11</v>
      </c>
      <c r="E8582" t="s">
        <v>12</v>
      </c>
      <c r="F8582">
        <v>106629805</v>
      </c>
      <c r="G8582">
        <v>106629863</v>
      </c>
      <c r="H8582">
        <v>106629994</v>
      </c>
      <c r="I8582">
        <v>106630002</v>
      </c>
    </row>
    <row r="8583" spans="1:9" x14ac:dyDescent="0.2">
      <c r="A8583" s="1" t="str">
        <f>"INTS2"</f>
        <v>INTS2</v>
      </c>
      <c r="B8583" t="s">
        <v>14</v>
      </c>
      <c r="C8583" t="s">
        <v>28</v>
      </c>
      <c r="D8583" t="s">
        <v>11</v>
      </c>
      <c r="E8583" t="s">
        <v>12</v>
      </c>
      <c r="F8583">
        <v>60005329</v>
      </c>
      <c r="G8583">
        <v>60005357</v>
      </c>
      <c r="H8583">
        <v>60005309</v>
      </c>
      <c r="I8583">
        <v>60005325</v>
      </c>
    </row>
    <row r="8584" spans="1:9" x14ac:dyDescent="0.2">
      <c r="A8584" s="1" t="str">
        <f>"INTS3"</f>
        <v>INTS3</v>
      </c>
      <c r="B8584" t="s">
        <v>14</v>
      </c>
      <c r="C8584" t="s">
        <v>19</v>
      </c>
      <c r="D8584" t="s">
        <v>17</v>
      </c>
      <c r="E8584" t="s">
        <v>12</v>
      </c>
      <c r="F8584">
        <v>153700518</v>
      </c>
      <c r="G8584">
        <v>153700560</v>
      </c>
      <c r="H8584">
        <v>153700806</v>
      </c>
      <c r="I8584">
        <v>153700815</v>
      </c>
    </row>
    <row r="8585" spans="1:9" x14ac:dyDescent="0.2">
      <c r="A8585" s="1" t="str">
        <f>"INTS4"</f>
        <v>INTS4</v>
      </c>
      <c r="B8585" t="s">
        <v>14</v>
      </c>
      <c r="C8585" t="s">
        <v>27</v>
      </c>
      <c r="D8585" t="s">
        <v>11</v>
      </c>
      <c r="E8585" t="s">
        <v>12</v>
      </c>
      <c r="F8585">
        <v>77705687</v>
      </c>
      <c r="G8585">
        <v>77705745</v>
      </c>
      <c r="H8585">
        <v>77705687</v>
      </c>
      <c r="I8585">
        <v>77705745</v>
      </c>
    </row>
    <row r="8586" spans="1:9" x14ac:dyDescent="0.2">
      <c r="A8586" s="1" t="str">
        <f>"INTS5"</f>
        <v>INTS5</v>
      </c>
      <c r="B8586" t="s">
        <v>14</v>
      </c>
      <c r="C8586" t="s">
        <v>27</v>
      </c>
      <c r="D8586" t="s">
        <v>11</v>
      </c>
      <c r="E8586" t="s">
        <v>12</v>
      </c>
      <c r="F8586">
        <v>62420757</v>
      </c>
      <c r="G8586">
        <v>62420788</v>
      </c>
      <c r="H8586">
        <v>62420757</v>
      </c>
      <c r="I8586">
        <v>62420788</v>
      </c>
    </row>
    <row r="8587" spans="1:9" x14ac:dyDescent="0.2">
      <c r="A8587" s="1" t="str">
        <f>"INTS6"</f>
        <v>INTS6</v>
      </c>
      <c r="B8587" t="s">
        <v>14</v>
      </c>
      <c r="C8587" t="s">
        <v>39</v>
      </c>
      <c r="D8587" t="s">
        <v>11</v>
      </c>
      <c r="E8587" t="s">
        <v>12</v>
      </c>
      <c r="F8587">
        <v>52027161</v>
      </c>
      <c r="G8587">
        <v>52027179</v>
      </c>
      <c r="H8587">
        <v>52026388</v>
      </c>
      <c r="I8587">
        <v>52026438</v>
      </c>
    </row>
    <row r="8588" spans="1:9" x14ac:dyDescent="0.2">
      <c r="A8588" s="1" t="str">
        <f>"INTS7"</f>
        <v>INTS7</v>
      </c>
      <c r="B8588" t="s">
        <v>14</v>
      </c>
      <c r="C8588" t="s">
        <v>19</v>
      </c>
      <c r="D8588" t="s">
        <v>11</v>
      </c>
      <c r="E8588" t="s">
        <v>12</v>
      </c>
      <c r="F8588">
        <v>212208842</v>
      </c>
      <c r="G8588">
        <v>212208914</v>
      </c>
      <c r="H8588">
        <v>212208842</v>
      </c>
      <c r="I8588">
        <v>212208914</v>
      </c>
    </row>
    <row r="8589" spans="1:9" x14ac:dyDescent="0.2">
      <c r="A8589" s="1" t="str">
        <f>"INTS8"</f>
        <v>INTS8</v>
      </c>
      <c r="B8589" t="s">
        <v>14</v>
      </c>
      <c r="C8589" t="s">
        <v>30</v>
      </c>
      <c r="D8589" t="s">
        <v>17</v>
      </c>
      <c r="E8589" t="s">
        <v>12</v>
      </c>
      <c r="F8589">
        <v>95835495</v>
      </c>
      <c r="G8589">
        <v>95835537</v>
      </c>
      <c r="H8589">
        <v>95835553</v>
      </c>
      <c r="I8589">
        <v>95835566</v>
      </c>
    </row>
    <row r="8590" spans="1:9" x14ac:dyDescent="0.2">
      <c r="A8590" s="1" t="str">
        <f>"INTS9"</f>
        <v>INTS9</v>
      </c>
      <c r="B8590" t="s">
        <v>14</v>
      </c>
      <c r="C8590" t="s">
        <v>30</v>
      </c>
      <c r="D8590" t="s">
        <v>11</v>
      </c>
      <c r="E8590" t="s">
        <v>12</v>
      </c>
      <c r="F8590">
        <v>28747424</v>
      </c>
      <c r="G8590">
        <v>28747509</v>
      </c>
      <c r="H8590">
        <v>28747682</v>
      </c>
      <c r="I8590">
        <v>28747705</v>
      </c>
    </row>
    <row r="8591" spans="1:9" x14ac:dyDescent="0.2">
      <c r="A8591" s="1" t="str">
        <f>"INTU"</f>
        <v>INTU</v>
      </c>
      <c r="B8591" t="s">
        <v>9</v>
      </c>
      <c r="C8591" t="s">
        <v>23</v>
      </c>
      <c r="D8591" t="s">
        <v>17</v>
      </c>
      <c r="E8591" t="s">
        <v>12</v>
      </c>
      <c r="F8591">
        <v>128554081</v>
      </c>
      <c r="G8591">
        <v>128554121</v>
      </c>
      <c r="H8591">
        <v>128554081</v>
      </c>
      <c r="I8591">
        <v>128554121</v>
      </c>
    </row>
    <row r="8592" spans="1:9" x14ac:dyDescent="0.2">
      <c r="A8592" s="1" t="str">
        <f>"INTU"</f>
        <v>INTU</v>
      </c>
      <c r="B8592" t="s">
        <v>13</v>
      </c>
      <c r="C8592" t="s">
        <v>23</v>
      </c>
      <c r="D8592" t="s">
        <v>17</v>
      </c>
      <c r="E8592" t="s">
        <v>12</v>
      </c>
      <c r="F8592">
        <v>128544091</v>
      </c>
      <c r="G8592">
        <v>128544132</v>
      </c>
      <c r="H8592">
        <v>128544091</v>
      </c>
      <c r="I8592">
        <v>128544132</v>
      </c>
    </row>
    <row r="8593" spans="1:9" x14ac:dyDescent="0.2">
      <c r="A8593" s="1" t="str">
        <f>"INVS"</f>
        <v>INVS</v>
      </c>
      <c r="B8593" t="s">
        <v>14</v>
      </c>
      <c r="C8593" t="s">
        <v>24</v>
      </c>
      <c r="D8593" t="s">
        <v>17</v>
      </c>
      <c r="E8593" t="s">
        <v>12</v>
      </c>
      <c r="F8593">
        <v>102861515</v>
      </c>
      <c r="G8593">
        <v>102861592</v>
      </c>
      <c r="H8593">
        <v>102861496</v>
      </c>
      <c r="I8593">
        <v>102861507</v>
      </c>
    </row>
    <row r="8594" spans="1:9" x14ac:dyDescent="0.2">
      <c r="A8594" s="1" t="str">
        <f>"IP6K1"</f>
        <v>IP6K1</v>
      </c>
      <c r="B8594" t="s">
        <v>14</v>
      </c>
      <c r="C8594" t="s">
        <v>22</v>
      </c>
      <c r="D8594" t="s">
        <v>11</v>
      </c>
      <c r="E8594" t="s">
        <v>12</v>
      </c>
      <c r="F8594">
        <v>49823941</v>
      </c>
      <c r="G8594">
        <v>49823990</v>
      </c>
      <c r="H8594">
        <v>49823663</v>
      </c>
      <c r="I8594">
        <v>49823681</v>
      </c>
    </row>
    <row r="8595" spans="1:9" x14ac:dyDescent="0.2">
      <c r="A8595" s="1" t="str">
        <f>"IP6K2"</f>
        <v>IP6K2</v>
      </c>
      <c r="B8595" t="s">
        <v>14</v>
      </c>
      <c r="C8595" t="s">
        <v>22</v>
      </c>
      <c r="D8595" t="s">
        <v>11</v>
      </c>
      <c r="E8595" t="s">
        <v>12</v>
      </c>
      <c r="F8595">
        <v>48754613</v>
      </c>
      <c r="G8595">
        <v>48754664</v>
      </c>
      <c r="H8595">
        <v>48754613</v>
      </c>
      <c r="I8595">
        <v>48754664</v>
      </c>
    </row>
    <row r="8596" spans="1:9" x14ac:dyDescent="0.2">
      <c r="A8596" s="1" t="str">
        <f>"IP6K3"</f>
        <v>IP6K3</v>
      </c>
      <c r="B8596" t="s">
        <v>14</v>
      </c>
      <c r="C8596" t="s">
        <v>32</v>
      </c>
      <c r="D8596" t="s">
        <v>11</v>
      </c>
      <c r="E8596" t="s">
        <v>12</v>
      </c>
      <c r="F8596">
        <v>33714667</v>
      </c>
      <c r="G8596">
        <v>33714697</v>
      </c>
      <c r="H8596">
        <v>33714771</v>
      </c>
      <c r="I8596">
        <v>33714806</v>
      </c>
    </row>
    <row r="8597" spans="1:9" x14ac:dyDescent="0.2">
      <c r="A8597" s="1" t="str">
        <f>"IPCEF1"</f>
        <v>IPCEF1</v>
      </c>
      <c r="B8597" t="s">
        <v>14</v>
      </c>
      <c r="C8597" t="s">
        <v>32</v>
      </c>
      <c r="D8597" t="s">
        <v>11</v>
      </c>
      <c r="E8597" t="s">
        <v>12</v>
      </c>
      <c r="F8597">
        <v>154568764</v>
      </c>
      <c r="G8597">
        <v>154568814</v>
      </c>
      <c r="H8597">
        <v>154568632</v>
      </c>
      <c r="I8597">
        <v>154568656</v>
      </c>
    </row>
    <row r="8598" spans="1:9" x14ac:dyDescent="0.2">
      <c r="A8598" s="1" t="str">
        <f>"IPMK"</f>
        <v>IPMK</v>
      </c>
      <c r="B8598" t="s">
        <v>14</v>
      </c>
      <c r="C8598" t="s">
        <v>15</v>
      </c>
      <c r="D8598" t="s">
        <v>11</v>
      </c>
      <c r="E8598" t="s">
        <v>12</v>
      </c>
      <c r="F8598">
        <v>60027642</v>
      </c>
      <c r="G8598">
        <v>60027705</v>
      </c>
      <c r="H8598">
        <v>60027628</v>
      </c>
      <c r="I8598">
        <v>60027641</v>
      </c>
    </row>
    <row r="8599" spans="1:9" x14ac:dyDescent="0.2">
      <c r="A8599" s="1" t="str">
        <f>"IPO11"</f>
        <v>IPO11</v>
      </c>
      <c r="B8599" t="s">
        <v>14</v>
      </c>
      <c r="C8599" t="s">
        <v>46</v>
      </c>
      <c r="D8599" t="s">
        <v>17</v>
      </c>
      <c r="E8599" t="s">
        <v>12</v>
      </c>
      <c r="F8599">
        <v>61708582</v>
      </c>
      <c r="G8599">
        <v>61708616</v>
      </c>
      <c r="H8599">
        <v>61708582</v>
      </c>
      <c r="I8599">
        <v>61708616</v>
      </c>
    </row>
    <row r="8600" spans="1:9" x14ac:dyDescent="0.2">
      <c r="A8600" s="1" t="str">
        <f>"IPO13"</f>
        <v>IPO13</v>
      </c>
      <c r="B8600" t="s">
        <v>14</v>
      </c>
      <c r="C8600" t="s">
        <v>19</v>
      </c>
      <c r="D8600" t="s">
        <v>17</v>
      </c>
      <c r="E8600" t="s">
        <v>12</v>
      </c>
      <c r="F8600">
        <v>44412577</v>
      </c>
      <c r="G8600">
        <v>44412664</v>
      </c>
      <c r="H8600">
        <v>44412456</v>
      </c>
      <c r="I8600">
        <v>44412527</v>
      </c>
    </row>
    <row r="8601" spans="1:9" x14ac:dyDescent="0.2">
      <c r="A8601" s="1" t="str">
        <f>"IPO4"</f>
        <v>IPO4</v>
      </c>
      <c r="B8601" t="s">
        <v>14</v>
      </c>
      <c r="C8601" t="s">
        <v>41</v>
      </c>
      <c r="D8601" t="s">
        <v>11</v>
      </c>
      <c r="E8601" t="s">
        <v>12</v>
      </c>
      <c r="F8601">
        <v>24657993</v>
      </c>
      <c r="G8601">
        <v>24658048</v>
      </c>
      <c r="H8601">
        <v>24658053</v>
      </c>
      <c r="I8601">
        <v>24658064</v>
      </c>
    </row>
    <row r="8602" spans="1:9" x14ac:dyDescent="0.2">
      <c r="A8602" s="1" t="str">
        <f>"IPO5"</f>
        <v>IPO5</v>
      </c>
      <c r="B8602" t="s">
        <v>14</v>
      </c>
      <c r="C8602" t="s">
        <v>39</v>
      </c>
      <c r="D8602" t="s">
        <v>17</v>
      </c>
      <c r="E8602" t="s">
        <v>12</v>
      </c>
      <c r="F8602">
        <v>98628911</v>
      </c>
      <c r="G8602">
        <v>98628950</v>
      </c>
      <c r="H8602">
        <v>98628911</v>
      </c>
      <c r="I8602">
        <v>98628950</v>
      </c>
    </row>
    <row r="8603" spans="1:9" x14ac:dyDescent="0.2">
      <c r="A8603" s="1" t="str">
        <f>"IPO7"</f>
        <v>IPO7</v>
      </c>
      <c r="B8603" t="s">
        <v>14</v>
      </c>
      <c r="C8603" t="s">
        <v>27</v>
      </c>
      <c r="D8603" t="s">
        <v>17</v>
      </c>
      <c r="E8603" t="s">
        <v>12</v>
      </c>
      <c r="F8603">
        <v>9406169</v>
      </c>
      <c r="G8603">
        <v>9406210</v>
      </c>
      <c r="H8603">
        <v>9406149</v>
      </c>
      <c r="I8603">
        <v>9406155</v>
      </c>
    </row>
    <row r="8604" spans="1:9" x14ac:dyDescent="0.2">
      <c r="A8604" s="1" t="str">
        <f>"IPO8"</f>
        <v>IPO8</v>
      </c>
      <c r="B8604" t="s">
        <v>14</v>
      </c>
      <c r="C8604" t="s">
        <v>16</v>
      </c>
      <c r="D8604" t="s">
        <v>11</v>
      </c>
      <c r="E8604" t="s">
        <v>12</v>
      </c>
      <c r="F8604">
        <v>30848787</v>
      </c>
      <c r="G8604">
        <v>30848842</v>
      </c>
      <c r="H8604">
        <v>30848733</v>
      </c>
      <c r="I8604">
        <v>30848745</v>
      </c>
    </row>
    <row r="8605" spans="1:9" x14ac:dyDescent="0.2">
      <c r="A8605" s="1" t="str">
        <f>"IPO9"</f>
        <v>IPO9</v>
      </c>
      <c r="B8605" t="s">
        <v>14</v>
      </c>
      <c r="C8605" t="s">
        <v>19</v>
      </c>
      <c r="D8605" t="s">
        <v>17</v>
      </c>
      <c r="E8605" t="s">
        <v>12</v>
      </c>
      <c r="F8605">
        <v>201798277</v>
      </c>
      <c r="G8605">
        <v>201798339</v>
      </c>
      <c r="H8605">
        <v>201798263</v>
      </c>
      <c r="I8605">
        <v>201798273</v>
      </c>
    </row>
    <row r="8606" spans="1:9" x14ac:dyDescent="0.2">
      <c r="A8606" s="1" t="str">
        <f>"IPP"</f>
        <v>IPP</v>
      </c>
      <c r="B8606" t="s">
        <v>14</v>
      </c>
      <c r="C8606" t="s">
        <v>19</v>
      </c>
      <c r="D8606" t="s">
        <v>11</v>
      </c>
      <c r="E8606" t="s">
        <v>12</v>
      </c>
      <c r="F8606">
        <v>46216286</v>
      </c>
      <c r="G8606">
        <v>46216346</v>
      </c>
      <c r="H8606">
        <v>46216430</v>
      </c>
      <c r="I8606">
        <v>46216477</v>
      </c>
    </row>
    <row r="8607" spans="1:9" x14ac:dyDescent="0.2">
      <c r="A8607" s="1" t="str">
        <f>"IPPK"</f>
        <v>IPPK</v>
      </c>
      <c r="B8607" t="s">
        <v>14</v>
      </c>
      <c r="C8607" t="s">
        <v>24</v>
      </c>
      <c r="D8607" t="s">
        <v>11</v>
      </c>
      <c r="E8607" t="s">
        <v>12</v>
      </c>
      <c r="F8607">
        <v>95432334</v>
      </c>
      <c r="G8607">
        <v>95432397</v>
      </c>
      <c r="H8607">
        <v>95432406</v>
      </c>
      <c r="I8607">
        <v>95432444</v>
      </c>
    </row>
    <row r="8608" spans="1:9" x14ac:dyDescent="0.2">
      <c r="A8608" s="1" t="str">
        <f>"IQCA1"</f>
        <v>IQCA1</v>
      </c>
      <c r="B8608" t="s">
        <v>14</v>
      </c>
      <c r="C8608" t="s">
        <v>26</v>
      </c>
      <c r="D8608" t="s">
        <v>11</v>
      </c>
      <c r="E8608" t="s">
        <v>12</v>
      </c>
      <c r="F8608">
        <v>237416071</v>
      </c>
      <c r="G8608">
        <v>237416147</v>
      </c>
      <c r="H8608">
        <v>237416181</v>
      </c>
      <c r="I8608">
        <v>237416233</v>
      </c>
    </row>
    <row r="8609" spans="1:9" x14ac:dyDescent="0.2">
      <c r="A8609" s="1" t="str">
        <f>"IQCB1"</f>
        <v>IQCB1</v>
      </c>
      <c r="B8609" t="s">
        <v>14</v>
      </c>
      <c r="C8609" t="s">
        <v>22</v>
      </c>
      <c r="D8609" t="s">
        <v>11</v>
      </c>
      <c r="E8609" t="s">
        <v>12</v>
      </c>
      <c r="F8609">
        <v>121553830</v>
      </c>
      <c r="G8609">
        <v>121553928</v>
      </c>
      <c r="H8609">
        <v>121553830</v>
      </c>
      <c r="I8609">
        <v>121553928</v>
      </c>
    </row>
    <row r="8610" spans="1:9" x14ac:dyDescent="0.2">
      <c r="A8610" s="1" t="str">
        <f>"IQCC"</f>
        <v>IQCC</v>
      </c>
      <c r="B8610" t="s">
        <v>14</v>
      </c>
      <c r="C8610" t="s">
        <v>19</v>
      </c>
      <c r="D8610" t="s">
        <v>17</v>
      </c>
      <c r="E8610" t="s">
        <v>12</v>
      </c>
      <c r="F8610">
        <v>32671238</v>
      </c>
      <c r="G8610">
        <v>32671280</v>
      </c>
      <c r="H8610">
        <v>32671286</v>
      </c>
      <c r="I8610">
        <v>32671295</v>
      </c>
    </row>
    <row r="8611" spans="1:9" x14ac:dyDescent="0.2">
      <c r="A8611" s="1" t="str">
        <f>"IQCD"</f>
        <v>IQCD</v>
      </c>
      <c r="B8611" t="s">
        <v>14</v>
      </c>
      <c r="C8611" t="s">
        <v>16</v>
      </c>
      <c r="D8611" t="s">
        <v>11</v>
      </c>
      <c r="E8611" t="s">
        <v>12</v>
      </c>
      <c r="F8611">
        <v>113658892</v>
      </c>
      <c r="G8611">
        <v>113658908</v>
      </c>
      <c r="H8611">
        <v>113658826</v>
      </c>
      <c r="I8611">
        <v>113658870</v>
      </c>
    </row>
    <row r="8612" spans="1:9" x14ac:dyDescent="0.2">
      <c r="A8612" s="1" t="str">
        <f>"IQCE"</f>
        <v>IQCE</v>
      </c>
      <c r="B8612" t="s">
        <v>14</v>
      </c>
      <c r="C8612" t="s">
        <v>33</v>
      </c>
      <c r="D8612" t="s">
        <v>17</v>
      </c>
      <c r="E8612" t="s">
        <v>12</v>
      </c>
      <c r="F8612">
        <v>2598628</v>
      </c>
      <c r="G8612">
        <v>2598718</v>
      </c>
      <c r="H8612">
        <v>2598602</v>
      </c>
      <c r="I8612">
        <v>2598621</v>
      </c>
    </row>
    <row r="8613" spans="1:9" x14ac:dyDescent="0.2">
      <c r="A8613" s="1" t="str">
        <f>"IQCF1"</f>
        <v>IQCF1</v>
      </c>
      <c r="B8613" t="s">
        <v>14</v>
      </c>
      <c r="C8613" t="s">
        <v>22</v>
      </c>
      <c r="D8613" t="s">
        <v>11</v>
      </c>
      <c r="E8613" t="s">
        <v>12</v>
      </c>
      <c r="F8613">
        <v>51937331</v>
      </c>
      <c r="G8613">
        <v>51937380</v>
      </c>
      <c r="H8613">
        <v>51937331</v>
      </c>
      <c r="I8613">
        <v>51937380</v>
      </c>
    </row>
    <row r="8614" spans="1:9" x14ac:dyDescent="0.2">
      <c r="A8614" s="1" t="str">
        <f>"IQCF2"</f>
        <v>IQCF2</v>
      </c>
      <c r="B8614" t="s">
        <v>14</v>
      </c>
      <c r="C8614" t="s">
        <v>22</v>
      </c>
      <c r="D8614" t="s">
        <v>17</v>
      </c>
      <c r="E8614" t="s">
        <v>12</v>
      </c>
      <c r="F8614">
        <v>51895621</v>
      </c>
      <c r="G8614">
        <v>51895636</v>
      </c>
      <c r="H8614">
        <v>51895652</v>
      </c>
      <c r="I8614">
        <v>51895655</v>
      </c>
    </row>
    <row r="8615" spans="1:9" x14ac:dyDescent="0.2">
      <c r="A8615" s="1" t="str">
        <f>"IQCF3"</f>
        <v>IQCF3</v>
      </c>
      <c r="B8615" t="s">
        <v>9</v>
      </c>
      <c r="C8615" t="s">
        <v>22</v>
      </c>
      <c r="D8615" t="s">
        <v>17</v>
      </c>
      <c r="E8615" t="s">
        <v>12</v>
      </c>
      <c r="F8615">
        <v>51851612</v>
      </c>
      <c r="G8615">
        <v>51851624</v>
      </c>
      <c r="H8615">
        <v>51851612</v>
      </c>
      <c r="I8615">
        <v>51851624</v>
      </c>
    </row>
    <row r="8616" spans="1:9" x14ac:dyDescent="0.2">
      <c r="A8616" s="1" t="str">
        <f>"IQCF3"</f>
        <v>IQCF3</v>
      </c>
      <c r="B8616" t="s">
        <v>13</v>
      </c>
      <c r="C8616" t="s">
        <v>22</v>
      </c>
      <c r="D8616" t="s">
        <v>17</v>
      </c>
      <c r="E8616" t="s">
        <v>12</v>
      </c>
      <c r="F8616">
        <v>51863433</v>
      </c>
      <c r="G8616">
        <v>51863447</v>
      </c>
      <c r="H8616">
        <v>51863433</v>
      </c>
      <c r="I8616">
        <v>51863447</v>
      </c>
    </row>
    <row r="8617" spans="1:9" x14ac:dyDescent="0.2">
      <c r="A8617" s="1" t="str">
        <f>"IQCF5"</f>
        <v>IQCF5</v>
      </c>
      <c r="B8617" t="s">
        <v>14</v>
      </c>
      <c r="C8617" t="s">
        <v>22</v>
      </c>
      <c r="D8617" t="s">
        <v>11</v>
      </c>
      <c r="E8617" t="s">
        <v>12</v>
      </c>
      <c r="F8617">
        <v>51909608</v>
      </c>
      <c r="G8617">
        <v>51909619</v>
      </c>
      <c r="H8617">
        <v>51909608</v>
      </c>
      <c r="I8617">
        <v>51909619</v>
      </c>
    </row>
    <row r="8618" spans="1:9" x14ac:dyDescent="0.2">
      <c r="A8618" s="1" t="str">
        <f>"IQCF6"</f>
        <v>IQCF6</v>
      </c>
      <c r="B8618" t="s">
        <v>14</v>
      </c>
      <c r="C8618" t="s">
        <v>22</v>
      </c>
      <c r="D8618" t="s">
        <v>11</v>
      </c>
      <c r="E8618" t="s">
        <v>12</v>
      </c>
      <c r="F8618">
        <v>51813249</v>
      </c>
      <c r="G8618">
        <v>51813256</v>
      </c>
      <c r="H8618">
        <v>51813249</v>
      </c>
      <c r="I8618">
        <v>51813256</v>
      </c>
    </row>
    <row r="8619" spans="1:9" x14ac:dyDescent="0.2">
      <c r="A8619" s="1" t="str">
        <f>"IQCG"</f>
        <v>IQCG</v>
      </c>
      <c r="B8619" t="s">
        <v>9</v>
      </c>
      <c r="C8619" t="s">
        <v>22</v>
      </c>
      <c r="D8619" t="s">
        <v>11</v>
      </c>
      <c r="E8619" t="s">
        <v>12</v>
      </c>
      <c r="F8619">
        <v>197676750</v>
      </c>
      <c r="G8619">
        <v>197676802</v>
      </c>
      <c r="H8619">
        <v>197676750</v>
      </c>
      <c r="I8619">
        <v>197676802</v>
      </c>
    </row>
    <row r="8620" spans="1:9" x14ac:dyDescent="0.2">
      <c r="A8620" s="1" t="str">
        <f>"IQCG"</f>
        <v>IQCG</v>
      </c>
      <c r="B8620" t="s">
        <v>13</v>
      </c>
      <c r="C8620" t="s">
        <v>22</v>
      </c>
      <c r="D8620" t="s">
        <v>11</v>
      </c>
      <c r="E8620" t="s">
        <v>12</v>
      </c>
      <c r="F8620">
        <v>197686847</v>
      </c>
      <c r="G8620">
        <v>197686894</v>
      </c>
      <c r="H8620">
        <v>197686847</v>
      </c>
      <c r="I8620">
        <v>197686894</v>
      </c>
    </row>
    <row r="8621" spans="1:9" x14ac:dyDescent="0.2">
      <c r="A8621" s="1" t="str">
        <f>"IQCH"</f>
        <v>IQCH</v>
      </c>
      <c r="B8621" t="s">
        <v>14</v>
      </c>
      <c r="C8621" t="s">
        <v>25</v>
      </c>
      <c r="D8621" t="s">
        <v>17</v>
      </c>
      <c r="E8621" t="s">
        <v>12</v>
      </c>
      <c r="F8621">
        <v>67547163</v>
      </c>
      <c r="G8621">
        <v>67547193</v>
      </c>
      <c r="H8621">
        <v>67547113</v>
      </c>
      <c r="I8621">
        <v>67547149</v>
      </c>
    </row>
    <row r="8622" spans="1:9" x14ac:dyDescent="0.2">
      <c r="A8622" s="1" t="str">
        <f>"IQCJ"</f>
        <v>IQCJ</v>
      </c>
      <c r="B8622" t="s">
        <v>14</v>
      </c>
      <c r="C8622" t="s">
        <v>22</v>
      </c>
      <c r="D8622" t="s">
        <v>17</v>
      </c>
      <c r="E8622" t="s">
        <v>12</v>
      </c>
      <c r="F8622">
        <v>158787125</v>
      </c>
      <c r="G8622">
        <v>158787149</v>
      </c>
      <c r="H8622">
        <v>158787098</v>
      </c>
      <c r="I8622">
        <v>158787114</v>
      </c>
    </row>
    <row r="8623" spans="1:9" x14ac:dyDescent="0.2">
      <c r="A8623" s="1" t="str">
        <f>"IQCJ-SCHIP1"</f>
        <v>IQCJ-SCHIP1</v>
      </c>
      <c r="B8623" t="s">
        <v>14</v>
      </c>
      <c r="C8623" t="s">
        <v>22</v>
      </c>
      <c r="D8623" t="s">
        <v>17</v>
      </c>
      <c r="E8623" t="s">
        <v>12</v>
      </c>
      <c r="F8623">
        <v>158991025</v>
      </c>
      <c r="G8623">
        <v>158991083</v>
      </c>
      <c r="H8623">
        <v>158991025</v>
      </c>
      <c r="I8623">
        <v>158991083</v>
      </c>
    </row>
    <row r="8624" spans="1:9" x14ac:dyDescent="0.2">
      <c r="A8624" s="1" t="str">
        <f>"IQCK"</f>
        <v>IQCK</v>
      </c>
      <c r="B8624" t="s">
        <v>14</v>
      </c>
      <c r="C8624" t="s">
        <v>31</v>
      </c>
      <c r="D8624" t="s">
        <v>17</v>
      </c>
      <c r="E8624" t="s">
        <v>12</v>
      </c>
      <c r="F8624">
        <v>19729586</v>
      </c>
      <c r="G8624">
        <v>19729643</v>
      </c>
      <c r="H8624">
        <v>19729651</v>
      </c>
      <c r="I8624">
        <v>19729699</v>
      </c>
    </row>
    <row r="8625" spans="1:9" x14ac:dyDescent="0.2">
      <c r="A8625" s="1" t="str">
        <f>"IQGAP1"</f>
        <v>IQGAP1</v>
      </c>
      <c r="B8625" t="s">
        <v>14</v>
      </c>
      <c r="C8625" t="s">
        <v>25</v>
      </c>
      <c r="D8625" t="s">
        <v>17</v>
      </c>
      <c r="E8625" t="s">
        <v>12</v>
      </c>
      <c r="F8625">
        <v>90931466</v>
      </c>
      <c r="G8625">
        <v>90931544</v>
      </c>
      <c r="H8625">
        <v>90931547</v>
      </c>
      <c r="I8625">
        <v>90931558</v>
      </c>
    </row>
    <row r="8626" spans="1:9" x14ac:dyDescent="0.2">
      <c r="A8626" s="1" t="str">
        <f>"IQGAP2"</f>
        <v>IQGAP2</v>
      </c>
      <c r="B8626" t="s">
        <v>14</v>
      </c>
      <c r="C8626" t="s">
        <v>46</v>
      </c>
      <c r="D8626" t="s">
        <v>17</v>
      </c>
      <c r="E8626" t="s">
        <v>12</v>
      </c>
      <c r="F8626">
        <v>75699091</v>
      </c>
      <c r="G8626">
        <v>75699117</v>
      </c>
      <c r="H8626">
        <v>75699154</v>
      </c>
      <c r="I8626">
        <v>75699180</v>
      </c>
    </row>
    <row r="8627" spans="1:9" x14ac:dyDescent="0.2">
      <c r="A8627" s="1" t="str">
        <f>"IQGAP3"</f>
        <v>IQGAP3</v>
      </c>
      <c r="B8627" t="s">
        <v>14</v>
      </c>
      <c r="C8627" t="s">
        <v>19</v>
      </c>
      <c r="D8627" t="s">
        <v>11</v>
      </c>
      <c r="E8627" t="s">
        <v>12</v>
      </c>
      <c r="F8627">
        <v>156542328</v>
      </c>
      <c r="G8627">
        <v>156542364</v>
      </c>
      <c r="H8627">
        <v>156542366</v>
      </c>
      <c r="I8627">
        <v>156542377</v>
      </c>
    </row>
    <row r="8628" spans="1:9" x14ac:dyDescent="0.2">
      <c r="A8628" s="1" t="str">
        <f>"IQSEC1"</f>
        <v>IQSEC1</v>
      </c>
      <c r="B8628" t="s">
        <v>14</v>
      </c>
      <c r="C8628" t="s">
        <v>22</v>
      </c>
      <c r="D8628" t="s">
        <v>11</v>
      </c>
      <c r="E8628" t="s">
        <v>12</v>
      </c>
      <c r="F8628">
        <v>13009182</v>
      </c>
      <c r="G8628">
        <v>13009236</v>
      </c>
      <c r="H8628">
        <v>13009182</v>
      </c>
      <c r="I8628">
        <v>13009236</v>
      </c>
    </row>
    <row r="8629" spans="1:9" x14ac:dyDescent="0.2">
      <c r="A8629" s="1" t="str">
        <f>"IQSEC2"</f>
        <v>IQSEC2</v>
      </c>
      <c r="B8629" t="s">
        <v>9</v>
      </c>
      <c r="C8629" t="s">
        <v>37</v>
      </c>
      <c r="D8629" t="s">
        <v>11</v>
      </c>
      <c r="E8629" t="s">
        <v>12</v>
      </c>
      <c r="F8629">
        <v>53310747</v>
      </c>
      <c r="G8629">
        <v>53310775</v>
      </c>
      <c r="H8629">
        <v>53310747</v>
      </c>
      <c r="I8629">
        <v>53310775</v>
      </c>
    </row>
    <row r="8630" spans="1:9" x14ac:dyDescent="0.2">
      <c r="A8630" s="1" t="str">
        <f>"IQSEC2"</f>
        <v>IQSEC2</v>
      </c>
      <c r="B8630" t="s">
        <v>13</v>
      </c>
      <c r="C8630" t="s">
        <v>37</v>
      </c>
      <c r="D8630" t="s">
        <v>11</v>
      </c>
      <c r="E8630" t="s">
        <v>12</v>
      </c>
      <c r="F8630">
        <v>53350539</v>
      </c>
      <c r="G8630">
        <v>53350572</v>
      </c>
      <c r="H8630">
        <v>53350539</v>
      </c>
      <c r="I8630">
        <v>53350572</v>
      </c>
    </row>
    <row r="8631" spans="1:9" x14ac:dyDescent="0.2">
      <c r="A8631" s="1" t="str">
        <f>"IQSEC3"</f>
        <v>IQSEC3</v>
      </c>
      <c r="B8631" t="s">
        <v>660</v>
      </c>
      <c r="C8631" t="s">
        <v>16</v>
      </c>
      <c r="D8631" t="s">
        <v>17</v>
      </c>
      <c r="E8631" t="s">
        <v>35</v>
      </c>
      <c r="F8631">
        <v>175930</v>
      </c>
      <c r="G8631">
        <v>175960</v>
      </c>
      <c r="H8631">
        <v>176007</v>
      </c>
      <c r="I8631">
        <v>176010</v>
      </c>
    </row>
    <row r="8632" spans="1:9" x14ac:dyDescent="0.2">
      <c r="A8632" s="1" t="str">
        <f>"IQUB"</f>
        <v>IQUB</v>
      </c>
      <c r="B8632" t="s">
        <v>14</v>
      </c>
      <c r="C8632" t="s">
        <v>33</v>
      </c>
      <c r="D8632" t="s">
        <v>11</v>
      </c>
      <c r="E8632" t="s">
        <v>12</v>
      </c>
      <c r="F8632">
        <v>123174610</v>
      </c>
      <c r="G8632">
        <v>123174654</v>
      </c>
      <c r="H8632">
        <v>123175058</v>
      </c>
      <c r="I8632">
        <v>123175074</v>
      </c>
    </row>
    <row r="8633" spans="1:9" x14ac:dyDescent="0.2">
      <c r="A8633" s="1" t="str">
        <f>"IRAK1"</f>
        <v>IRAK1</v>
      </c>
      <c r="B8633" t="s">
        <v>9</v>
      </c>
      <c r="C8633" t="s">
        <v>37</v>
      </c>
      <c r="D8633" t="s">
        <v>11</v>
      </c>
      <c r="E8633" t="s">
        <v>12</v>
      </c>
      <c r="F8633">
        <v>153285282</v>
      </c>
      <c r="G8633">
        <v>153285363</v>
      </c>
      <c r="H8633">
        <v>153285282</v>
      </c>
      <c r="I8633">
        <v>153285363</v>
      </c>
    </row>
    <row r="8634" spans="1:9" x14ac:dyDescent="0.2">
      <c r="A8634" s="1" t="str">
        <f>"IRAK1"</f>
        <v>IRAK1</v>
      </c>
      <c r="B8634" t="s">
        <v>13</v>
      </c>
      <c r="C8634" t="s">
        <v>37</v>
      </c>
      <c r="D8634" t="s">
        <v>11</v>
      </c>
      <c r="E8634" t="s">
        <v>12</v>
      </c>
      <c r="F8634">
        <v>153279818</v>
      </c>
      <c r="G8634">
        <v>153279823</v>
      </c>
      <c r="H8634">
        <v>153279818</v>
      </c>
      <c r="I8634">
        <v>153279823</v>
      </c>
    </row>
    <row r="8635" spans="1:9" x14ac:dyDescent="0.2">
      <c r="A8635" s="1" t="str">
        <f>"IRAK1BP1"</f>
        <v>IRAK1BP1</v>
      </c>
      <c r="B8635" t="s">
        <v>14</v>
      </c>
      <c r="C8635" t="s">
        <v>32</v>
      </c>
      <c r="D8635" t="s">
        <v>17</v>
      </c>
      <c r="E8635" t="s">
        <v>12</v>
      </c>
      <c r="F8635">
        <v>79577241</v>
      </c>
      <c r="G8635">
        <v>79577286</v>
      </c>
      <c r="H8635">
        <v>79577288</v>
      </c>
      <c r="I8635">
        <v>79577307</v>
      </c>
    </row>
    <row r="8636" spans="1:9" x14ac:dyDescent="0.2">
      <c r="A8636" s="1" t="str">
        <f>"IRAK2"</f>
        <v>IRAK2</v>
      </c>
      <c r="B8636" t="s">
        <v>14</v>
      </c>
      <c r="C8636" t="s">
        <v>22</v>
      </c>
      <c r="D8636" t="s">
        <v>17</v>
      </c>
      <c r="E8636" t="s">
        <v>12</v>
      </c>
      <c r="F8636">
        <v>10206585</v>
      </c>
      <c r="G8636">
        <v>10206609</v>
      </c>
      <c r="H8636">
        <v>10206567</v>
      </c>
      <c r="I8636">
        <v>10206582</v>
      </c>
    </row>
    <row r="8637" spans="1:9" x14ac:dyDescent="0.2">
      <c r="A8637" s="1" t="str">
        <f>"IRAK3"</f>
        <v>IRAK3</v>
      </c>
      <c r="B8637" t="s">
        <v>14</v>
      </c>
      <c r="C8637" t="s">
        <v>16</v>
      </c>
      <c r="D8637" t="s">
        <v>17</v>
      </c>
      <c r="E8637" t="s">
        <v>12</v>
      </c>
      <c r="F8637">
        <v>66582919</v>
      </c>
      <c r="G8637">
        <v>66583077</v>
      </c>
      <c r="H8637">
        <v>66582664</v>
      </c>
      <c r="I8637">
        <v>66582713</v>
      </c>
    </row>
    <row r="8638" spans="1:9" x14ac:dyDescent="0.2">
      <c r="A8638" s="1" t="str">
        <f>"IRAK4"</f>
        <v>IRAK4</v>
      </c>
      <c r="B8638" t="s">
        <v>14</v>
      </c>
      <c r="C8638" t="s">
        <v>16</v>
      </c>
      <c r="D8638" t="s">
        <v>17</v>
      </c>
      <c r="E8638" t="s">
        <v>12</v>
      </c>
      <c r="F8638">
        <v>44152740</v>
      </c>
      <c r="G8638">
        <v>44152815</v>
      </c>
      <c r="H8638">
        <v>44152660</v>
      </c>
      <c r="I8638">
        <v>44152683</v>
      </c>
    </row>
    <row r="8639" spans="1:9" x14ac:dyDescent="0.2">
      <c r="A8639" s="1" t="str">
        <f>"IREB2"</f>
        <v>IREB2</v>
      </c>
      <c r="B8639" t="s">
        <v>14</v>
      </c>
      <c r="C8639" t="s">
        <v>25</v>
      </c>
      <c r="D8639" t="s">
        <v>17</v>
      </c>
      <c r="E8639" t="s">
        <v>12</v>
      </c>
      <c r="F8639">
        <v>78730541</v>
      </c>
      <c r="G8639">
        <v>78730612</v>
      </c>
      <c r="H8639">
        <v>78730622</v>
      </c>
      <c r="I8639">
        <v>78730646</v>
      </c>
    </row>
    <row r="8640" spans="1:9" x14ac:dyDescent="0.2">
      <c r="A8640" s="1" t="str">
        <f>"IRF1"</f>
        <v>IRF1</v>
      </c>
      <c r="B8640" t="s">
        <v>14</v>
      </c>
      <c r="C8640" t="s">
        <v>46</v>
      </c>
      <c r="D8640" t="s">
        <v>11</v>
      </c>
      <c r="E8640" t="s">
        <v>12</v>
      </c>
      <c r="F8640">
        <v>131826457</v>
      </c>
      <c r="G8640">
        <v>131826514</v>
      </c>
      <c r="H8640">
        <v>131825980</v>
      </c>
      <c r="I8640">
        <v>131826002</v>
      </c>
    </row>
    <row r="8641" spans="1:9" x14ac:dyDescent="0.2">
      <c r="A8641" s="1" t="str">
        <f>"IRF2"</f>
        <v>IRF2</v>
      </c>
      <c r="B8641" t="s">
        <v>14</v>
      </c>
      <c r="C8641" t="s">
        <v>23</v>
      </c>
      <c r="D8641" t="s">
        <v>11</v>
      </c>
      <c r="E8641" t="s">
        <v>12</v>
      </c>
      <c r="F8641">
        <v>185395672</v>
      </c>
      <c r="G8641">
        <v>185395710</v>
      </c>
      <c r="H8641">
        <v>185395633</v>
      </c>
      <c r="I8641">
        <v>185395651</v>
      </c>
    </row>
    <row r="8642" spans="1:9" x14ac:dyDescent="0.2">
      <c r="A8642" s="1" t="str">
        <f>"IRF2BP1"</f>
        <v>IRF2BP1</v>
      </c>
      <c r="B8642" t="s">
        <v>14</v>
      </c>
      <c r="C8642" t="s">
        <v>10</v>
      </c>
      <c r="D8642" t="s">
        <v>11</v>
      </c>
      <c r="E8642" t="s">
        <v>12</v>
      </c>
      <c r="F8642">
        <v>46389378</v>
      </c>
      <c r="G8642">
        <v>46389435</v>
      </c>
      <c r="H8642">
        <v>46389359</v>
      </c>
      <c r="I8642">
        <v>46389374</v>
      </c>
    </row>
    <row r="8643" spans="1:9" x14ac:dyDescent="0.2">
      <c r="A8643" s="1" t="str">
        <f>"IRF2BP2"</f>
        <v>IRF2BP2</v>
      </c>
      <c r="B8643" t="s">
        <v>9</v>
      </c>
      <c r="C8643" t="s">
        <v>19</v>
      </c>
      <c r="D8643" t="s">
        <v>11</v>
      </c>
      <c r="E8643" t="s">
        <v>12</v>
      </c>
      <c r="F8643">
        <v>234745050</v>
      </c>
      <c r="G8643">
        <v>234745097</v>
      </c>
      <c r="H8643">
        <v>234745050</v>
      </c>
      <c r="I8643">
        <v>234745097</v>
      </c>
    </row>
    <row r="8644" spans="1:9" x14ac:dyDescent="0.2">
      <c r="A8644" s="1" t="str">
        <f>"IRF2BP2"</f>
        <v>IRF2BP2</v>
      </c>
      <c r="B8644" t="s">
        <v>13</v>
      </c>
      <c r="C8644" t="s">
        <v>19</v>
      </c>
      <c r="D8644" t="s">
        <v>11</v>
      </c>
      <c r="E8644" t="s">
        <v>12</v>
      </c>
      <c r="F8644">
        <v>234743940</v>
      </c>
      <c r="G8644">
        <v>234743975</v>
      </c>
      <c r="H8644">
        <v>234743940</v>
      </c>
      <c r="I8644">
        <v>234743975</v>
      </c>
    </row>
    <row r="8645" spans="1:9" x14ac:dyDescent="0.2">
      <c r="A8645" s="1" t="str">
        <f>"IRF2BPL"</f>
        <v>IRF2BPL</v>
      </c>
      <c r="B8645" t="s">
        <v>14</v>
      </c>
      <c r="C8645" t="s">
        <v>41</v>
      </c>
      <c r="D8645" t="s">
        <v>11</v>
      </c>
      <c r="E8645" t="s">
        <v>12</v>
      </c>
      <c r="F8645">
        <v>77495007</v>
      </c>
      <c r="G8645">
        <v>77495093</v>
      </c>
      <c r="H8645">
        <v>77494967</v>
      </c>
      <c r="I8645">
        <v>77495001</v>
      </c>
    </row>
    <row r="8646" spans="1:9" x14ac:dyDescent="0.2">
      <c r="A8646" s="1" t="str">
        <f>"IRF3"</f>
        <v>IRF3</v>
      </c>
      <c r="B8646" t="s">
        <v>14</v>
      </c>
      <c r="C8646" t="s">
        <v>10</v>
      </c>
      <c r="D8646" t="s">
        <v>11</v>
      </c>
      <c r="E8646" t="s">
        <v>12</v>
      </c>
      <c r="F8646">
        <v>50169064</v>
      </c>
      <c r="G8646">
        <v>50169121</v>
      </c>
      <c r="H8646">
        <v>50169013</v>
      </c>
      <c r="I8646">
        <v>50169062</v>
      </c>
    </row>
    <row r="8647" spans="1:9" x14ac:dyDescent="0.2">
      <c r="A8647" s="1" t="str">
        <f>"IRF4"</f>
        <v>IRF4</v>
      </c>
      <c r="B8647" t="s">
        <v>9</v>
      </c>
      <c r="C8647" t="s">
        <v>32</v>
      </c>
      <c r="D8647" t="s">
        <v>17</v>
      </c>
      <c r="E8647" t="s">
        <v>12</v>
      </c>
      <c r="F8647">
        <v>391743</v>
      </c>
      <c r="G8647">
        <v>391759</v>
      </c>
      <c r="H8647">
        <v>391743</v>
      </c>
      <c r="I8647">
        <v>391759</v>
      </c>
    </row>
    <row r="8648" spans="1:9" x14ac:dyDescent="0.2">
      <c r="A8648" s="1" t="str">
        <f>"IRF4"</f>
        <v>IRF4</v>
      </c>
      <c r="B8648" t="s">
        <v>13</v>
      </c>
      <c r="C8648" t="s">
        <v>32</v>
      </c>
      <c r="D8648" t="s">
        <v>17</v>
      </c>
      <c r="E8648" t="s">
        <v>12</v>
      </c>
      <c r="F8648">
        <v>393210</v>
      </c>
      <c r="G8648">
        <v>393222</v>
      </c>
      <c r="H8648">
        <v>393210</v>
      </c>
      <c r="I8648">
        <v>393222</v>
      </c>
    </row>
    <row r="8649" spans="1:9" x14ac:dyDescent="0.2">
      <c r="A8649" s="1" t="str">
        <f>"IRF5"</f>
        <v>IRF5</v>
      </c>
      <c r="B8649" t="s">
        <v>9</v>
      </c>
      <c r="C8649" t="s">
        <v>33</v>
      </c>
      <c r="D8649" t="s">
        <v>17</v>
      </c>
      <c r="E8649" t="s">
        <v>12</v>
      </c>
      <c r="F8649">
        <v>128577972</v>
      </c>
      <c r="G8649">
        <v>128578047</v>
      </c>
      <c r="H8649">
        <v>128577972</v>
      </c>
      <c r="I8649">
        <v>128578047</v>
      </c>
    </row>
    <row r="8650" spans="1:9" x14ac:dyDescent="0.2">
      <c r="A8650" s="1" t="str">
        <f>"IRF5"</f>
        <v>IRF5</v>
      </c>
      <c r="B8650" t="s">
        <v>13</v>
      </c>
      <c r="C8650" t="s">
        <v>33</v>
      </c>
      <c r="D8650" t="s">
        <v>17</v>
      </c>
      <c r="E8650" t="s">
        <v>12</v>
      </c>
      <c r="F8650">
        <v>128580805</v>
      </c>
      <c r="G8650">
        <v>128580829</v>
      </c>
      <c r="H8650">
        <v>128580805</v>
      </c>
      <c r="I8650">
        <v>128580829</v>
      </c>
    </row>
    <row r="8651" spans="1:9" x14ac:dyDescent="0.2">
      <c r="A8651" s="1" t="str">
        <f>"IRF6"</f>
        <v>IRF6</v>
      </c>
      <c r="B8651" t="s">
        <v>14</v>
      </c>
      <c r="C8651" t="s">
        <v>19</v>
      </c>
      <c r="D8651" t="s">
        <v>11</v>
      </c>
      <c r="E8651" t="s">
        <v>12</v>
      </c>
      <c r="F8651">
        <v>209979467</v>
      </c>
      <c r="G8651">
        <v>209979494</v>
      </c>
      <c r="H8651">
        <v>209979411</v>
      </c>
      <c r="I8651">
        <v>209979433</v>
      </c>
    </row>
    <row r="8652" spans="1:9" x14ac:dyDescent="0.2">
      <c r="A8652" s="1" t="str">
        <f>"IRF7"</f>
        <v>IRF7</v>
      </c>
      <c r="B8652" t="s">
        <v>14</v>
      </c>
      <c r="C8652" t="s">
        <v>27</v>
      </c>
      <c r="D8652" t="s">
        <v>11</v>
      </c>
      <c r="E8652" t="s">
        <v>12</v>
      </c>
      <c r="F8652">
        <v>615942</v>
      </c>
      <c r="G8652">
        <v>615957</v>
      </c>
      <c r="H8652">
        <v>615570</v>
      </c>
      <c r="I8652">
        <v>615721</v>
      </c>
    </row>
    <row r="8653" spans="1:9" x14ac:dyDescent="0.2">
      <c r="A8653" s="1" t="str">
        <f>"IRF8"</f>
        <v>IRF8</v>
      </c>
      <c r="B8653" t="s">
        <v>14</v>
      </c>
      <c r="C8653" t="s">
        <v>31</v>
      </c>
      <c r="D8653" t="s">
        <v>17</v>
      </c>
      <c r="E8653" t="s">
        <v>12</v>
      </c>
      <c r="F8653">
        <v>85932760</v>
      </c>
      <c r="G8653">
        <v>85932775</v>
      </c>
      <c r="H8653">
        <v>85932760</v>
      </c>
      <c r="I8653">
        <v>85932775</v>
      </c>
    </row>
    <row r="8654" spans="1:9" x14ac:dyDescent="0.2">
      <c r="A8654" s="1" t="str">
        <f>"IRF9"</f>
        <v>IRF9</v>
      </c>
      <c r="B8654" t="s">
        <v>14</v>
      </c>
      <c r="C8654" t="s">
        <v>41</v>
      </c>
      <c r="D8654" t="s">
        <v>17</v>
      </c>
      <c r="E8654" t="s">
        <v>12</v>
      </c>
      <c r="F8654">
        <v>24630465</v>
      </c>
      <c r="G8654">
        <v>24630531</v>
      </c>
      <c r="H8654">
        <v>24630465</v>
      </c>
      <c r="I8654">
        <v>24630531</v>
      </c>
    </row>
    <row r="8655" spans="1:9" x14ac:dyDescent="0.2">
      <c r="A8655" s="1" t="str">
        <f>"IRG1"</f>
        <v>IRG1</v>
      </c>
      <c r="B8655" t="s">
        <v>9</v>
      </c>
      <c r="C8655" t="s">
        <v>39</v>
      </c>
      <c r="D8655" t="s">
        <v>17</v>
      </c>
      <c r="E8655" t="s">
        <v>12</v>
      </c>
      <c r="F8655">
        <v>77522636</v>
      </c>
      <c r="G8655">
        <v>77522652</v>
      </c>
      <c r="H8655">
        <v>77522636</v>
      </c>
      <c r="I8655">
        <v>77522652</v>
      </c>
    </row>
    <row r="8656" spans="1:9" x14ac:dyDescent="0.2">
      <c r="A8656" s="1" t="str">
        <f>"IRG1"</f>
        <v>IRG1</v>
      </c>
      <c r="B8656" t="s">
        <v>13</v>
      </c>
      <c r="C8656" t="s">
        <v>39</v>
      </c>
      <c r="D8656" t="s">
        <v>17</v>
      </c>
      <c r="E8656" t="s">
        <v>12</v>
      </c>
      <c r="F8656">
        <v>77526602</v>
      </c>
      <c r="G8656">
        <v>77526613</v>
      </c>
      <c r="H8656">
        <v>77526602</v>
      </c>
      <c r="I8656">
        <v>77526613</v>
      </c>
    </row>
    <row r="8657" spans="1:9" x14ac:dyDescent="0.2">
      <c r="A8657" s="1" t="str">
        <f>"IRGC"</f>
        <v>IRGC</v>
      </c>
      <c r="B8657" t="s">
        <v>14</v>
      </c>
      <c r="C8657" t="s">
        <v>10</v>
      </c>
      <c r="D8657" t="s">
        <v>17</v>
      </c>
      <c r="E8657" t="s">
        <v>12</v>
      </c>
      <c r="F8657">
        <v>44220222</v>
      </c>
      <c r="G8657">
        <v>44220238</v>
      </c>
      <c r="H8657">
        <v>44220201</v>
      </c>
      <c r="I8657">
        <v>44220214</v>
      </c>
    </row>
    <row r="8658" spans="1:9" x14ac:dyDescent="0.2">
      <c r="A8658" s="1" t="str">
        <f>"IRGM"</f>
        <v>IRGM</v>
      </c>
      <c r="B8658" t="s">
        <v>14</v>
      </c>
      <c r="C8658" t="s">
        <v>46</v>
      </c>
      <c r="D8658" t="s">
        <v>17</v>
      </c>
      <c r="E8658" t="s">
        <v>12</v>
      </c>
      <c r="F8658">
        <v>150228100</v>
      </c>
      <c r="G8658">
        <v>150228113</v>
      </c>
      <c r="H8658">
        <v>150228100</v>
      </c>
      <c r="I8658">
        <v>150228113</v>
      </c>
    </row>
    <row r="8659" spans="1:9" x14ac:dyDescent="0.2">
      <c r="A8659" s="1" t="str">
        <f>"IRGQ"</f>
        <v>IRGQ</v>
      </c>
      <c r="B8659" t="s">
        <v>14</v>
      </c>
      <c r="C8659" t="s">
        <v>10</v>
      </c>
      <c r="D8659" t="s">
        <v>11</v>
      </c>
      <c r="E8659" t="s">
        <v>12</v>
      </c>
      <c r="F8659">
        <v>44100155</v>
      </c>
      <c r="G8659">
        <v>44100211</v>
      </c>
      <c r="H8659">
        <v>44100275</v>
      </c>
      <c r="I8659">
        <v>44100302</v>
      </c>
    </row>
    <row r="8660" spans="1:9" x14ac:dyDescent="0.2">
      <c r="A8660" s="1" t="str">
        <f>"IRS1"</f>
        <v>IRS1</v>
      </c>
      <c r="B8660" t="s">
        <v>14</v>
      </c>
      <c r="C8660" t="s">
        <v>26</v>
      </c>
      <c r="D8660" t="s">
        <v>11</v>
      </c>
      <c r="E8660" t="s">
        <v>12</v>
      </c>
      <c r="F8660">
        <v>227664522</v>
      </c>
      <c r="G8660">
        <v>227664544</v>
      </c>
      <c r="H8660">
        <v>227664474</v>
      </c>
      <c r="I8660">
        <v>227664508</v>
      </c>
    </row>
    <row r="8661" spans="1:9" x14ac:dyDescent="0.2">
      <c r="A8661" s="1" t="str">
        <f>"IRS2"</f>
        <v>IRS2</v>
      </c>
      <c r="B8661" t="s">
        <v>14</v>
      </c>
      <c r="C8661" t="s">
        <v>39</v>
      </c>
      <c r="D8661" t="s">
        <v>11</v>
      </c>
      <c r="E8661" t="s">
        <v>12</v>
      </c>
      <c r="F8661">
        <v>110438914</v>
      </c>
      <c r="G8661">
        <v>110438937</v>
      </c>
      <c r="H8661">
        <v>110438940</v>
      </c>
      <c r="I8661">
        <v>110438981</v>
      </c>
    </row>
    <row r="8662" spans="1:9" x14ac:dyDescent="0.2">
      <c r="A8662" s="1" t="str">
        <f>"IRS4"</f>
        <v>IRS4</v>
      </c>
      <c r="B8662" t="s">
        <v>14</v>
      </c>
      <c r="C8662" t="s">
        <v>37</v>
      </c>
      <c r="D8662" t="s">
        <v>11</v>
      </c>
      <c r="E8662" t="s">
        <v>12</v>
      </c>
      <c r="F8662">
        <v>107979550</v>
      </c>
      <c r="G8662">
        <v>107979574</v>
      </c>
      <c r="H8662">
        <v>107979786</v>
      </c>
      <c r="I8662">
        <v>107979798</v>
      </c>
    </row>
    <row r="8663" spans="1:9" x14ac:dyDescent="0.2">
      <c r="A8663" s="1" t="str">
        <f>"IRX1"</f>
        <v>IRX1</v>
      </c>
      <c r="B8663" t="s">
        <v>14</v>
      </c>
      <c r="C8663" t="s">
        <v>46</v>
      </c>
      <c r="D8663" t="s">
        <v>17</v>
      </c>
      <c r="E8663" t="s">
        <v>12</v>
      </c>
      <c r="F8663">
        <v>3595977</v>
      </c>
      <c r="G8663">
        <v>3595999</v>
      </c>
      <c r="H8663">
        <v>3595977</v>
      </c>
      <c r="I8663">
        <v>3595999</v>
      </c>
    </row>
    <row r="8664" spans="1:9" x14ac:dyDescent="0.2">
      <c r="A8664" s="1" t="str">
        <f>"IRX2"</f>
        <v>IRX2</v>
      </c>
      <c r="B8664" t="s">
        <v>14</v>
      </c>
      <c r="C8664" t="s">
        <v>46</v>
      </c>
      <c r="D8664" t="s">
        <v>11</v>
      </c>
      <c r="E8664" t="s">
        <v>12</v>
      </c>
      <c r="F8664">
        <v>2751762</v>
      </c>
      <c r="G8664">
        <v>2751784</v>
      </c>
      <c r="H8664">
        <v>2751785</v>
      </c>
      <c r="I8664">
        <v>2751808</v>
      </c>
    </row>
    <row r="8665" spans="1:9" x14ac:dyDescent="0.2">
      <c r="A8665" s="1" t="str">
        <f>"IRX3"</f>
        <v>IRX3</v>
      </c>
      <c r="B8665" t="s">
        <v>14</v>
      </c>
      <c r="C8665" t="s">
        <v>31</v>
      </c>
      <c r="D8665" t="s">
        <v>11</v>
      </c>
      <c r="E8665" t="s">
        <v>12</v>
      </c>
      <c r="F8665">
        <v>54320675</v>
      </c>
      <c r="G8665">
        <v>54320715</v>
      </c>
      <c r="H8665">
        <v>54320646</v>
      </c>
      <c r="I8665">
        <v>54320672</v>
      </c>
    </row>
    <row r="8666" spans="1:9" x14ac:dyDescent="0.2">
      <c r="A8666" s="1" t="str">
        <f>"IRX4"</f>
        <v>IRX4</v>
      </c>
      <c r="B8666" t="s">
        <v>14</v>
      </c>
      <c r="C8666" t="s">
        <v>46</v>
      </c>
      <c r="D8666" t="s">
        <v>11</v>
      </c>
      <c r="E8666" t="s">
        <v>12</v>
      </c>
      <c r="F8666">
        <v>1887070</v>
      </c>
      <c r="G8666">
        <v>1887114</v>
      </c>
      <c r="H8666">
        <v>1887052</v>
      </c>
      <c r="I8666">
        <v>1887065</v>
      </c>
    </row>
    <row r="8667" spans="1:9" x14ac:dyDescent="0.2">
      <c r="A8667" s="1" t="str">
        <f>"IRX5"</f>
        <v>IRX5</v>
      </c>
      <c r="B8667" t="s">
        <v>14</v>
      </c>
      <c r="C8667" t="s">
        <v>31</v>
      </c>
      <c r="D8667" t="s">
        <v>17</v>
      </c>
      <c r="E8667" t="s">
        <v>12</v>
      </c>
      <c r="F8667">
        <v>54964740</v>
      </c>
      <c r="G8667">
        <v>54964789</v>
      </c>
      <c r="H8667">
        <v>54964899</v>
      </c>
      <c r="I8667">
        <v>54964914</v>
      </c>
    </row>
    <row r="8668" spans="1:9" x14ac:dyDescent="0.2">
      <c r="A8668" s="1" t="str">
        <f>"IRX6"</f>
        <v>IRX6</v>
      </c>
      <c r="B8668" t="s">
        <v>14</v>
      </c>
      <c r="C8668" t="s">
        <v>31</v>
      </c>
      <c r="D8668" t="s">
        <v>17</v>
      </c>
      <c r="E8668" t="s">
        <v>12</v>
      </c>
      <c r="F8668">
        <v>55358109</v>
      </c>
      <c r="G8668">
        <v>55358122</v>
      </c>
      <c r="H8668">
        <v>55358109</v>
      </c>
      <c r="I8668">
        <v>55358122</v>
      </c>
    </row>
    <row r="8669" spans="1:9" x14ac:dyDescent="0.2">
      <c r="A8669" s="1" t="str">
        <f>"ISCA1"</f>
        <v>ISCA1</v>
      </c>
      <c r="B8669" t="s">
        <v>14</v>
      </c>
      <c r="C8669" t="s">
        <v>24</v>
      </c>
      <c r="D8669" t="s">
        <v>11</v>
      </c>
      <c r="E8669" t="s">
        <v>12</v>
      </c>
      <c r="F8669">
        <v>88897426</v>
      </c>
      <c r="G8669">
        <v>88897497</v>
      </c>
      <c r="H8669">
        <v>88896977</v>
      </c>
      <c r="I8669">
        <v>88897013</v>
      </c>
    </row>
    <row r="8670" spans="1:9" x14ac:dyDescent="0.2">
      <c r="A8670" s="1" t="str">
        <f>"ISCA2"</f>
        <v>ISCA2</v>
      </c>
      <c r="B8670" t="s">
        <v>14</v>
      </c>
      <c r="C8670" t="s">
        <v>41</v>
      </c>
      <c r="D8670" t="s">
        <v>17</v>
      </c>
      <c r="E8670" t="s">
        <v>12</v>
      </c>
      <c r="F8670">
        <v>74960446</v>
      </c>
      <c r="G8670">
        <v>74960479</v>
      </c>
      <c r="H8670">
        <v>74960260</v>
      </c>
      <c r="I8670">
        <v>74960268</v>
      </c>
    </row>
    <row r="8671" spans="1:9" x14ac:dyDescent="0.2">
      <c r="A8671" s="1" t="str">
        <f>"ISCU"</f>
        <v>ISCU</v>
      </c>
      <c r="B8671" t="s">
        <v>14</v>
      </c>
      <c r="C8671" t="s">
        <v>16</v>
      </c>
      <c r="D8671" t="s">
        <v>17</v>
      </c>
      <c r="E8671" t="s">
        <v>12</v>
      </c>
      <c r="F8671">
        <v>108956355</v>
      </c>
      <c r="G8671">
        <v>108956403</v>
      </c>
      <c r="H8671">
        <v>108956303</v>
      </c>
      <c r="I8671">
        <v>108956313</v>
      </c>
    </row>
    <row r="8672" spans="1:9" x14ac:dyDescent="0.2">
      <c r="A8672" s="1" t="str">
        <f>"ISG15"</f>
        <v>ISG15</v>
      </c>
      <c r="B8672" t="s">
        <v>14</v>
      </c>
      <c r="C8672" t="s">
        <v>19</v>
      </c>
      <c r="D8672" t="s">
        <v>17</v>
      </c>
      <c r="E8672" t="s">
        <v>12</v>
      </c>
      <c r="F8672">
        <v>948866</v>
      </c>
      <c r="G8672">
        <v>948885</v>
      </c>
      <c r="H8672">
        <v>948866</v>
      </c>
      <c r="I8672">
        <v>948885</v>
      </c>
    </row>
    <row r="8673" spans="1:9" x14ac:dyDescent="0.2">
      <c r="A8673" s="1" t="str">
        <f>"ISG20"</f>
        <v>ISG20</v>
      </c>
      <c r="B8673" t="s">
        <v>14</v>
      </c>
      <c r="C8673" t="s">
        <v>25</v>
      </c>
      <c r="D8673" t="s">
        <v>17</v>
      </c>
      <c r="E8673" t="s">
        <v>12</v>
      </c>
      <c r="F8673">
        <v>89182240</v>
      </c>
      <c r="G8673">
        <v>89182265</v>
      </c>
      <c r="H8673">
        <v>89182269</v>
      </c>
      <c r="I8673">
        <v>89182283</v>
      </c>
    </row>
    <row r="8674" spans="1:9" x14ac:dyDescent="0.2">
      <c r="A8674" s="1" t="str">
        <f>"ISG20L2"</f>
        <v>ISG20L2</v>
      </c>
      <c r="B8674" t="s">
        <v>14</v>
      </c>
      <c r="C8674" t="s">
        <v>19</v>
      </c>
      <c r="D8674" t="s">
        <v>11</v>
      </c>
      <c r="E8674" t="s">
        <v>12</v>
      </c>
      <c r="F8674">
        <v>156698181</v>
      </c>
      <c r="G8674">
        <v>156698263</v>
      </c>
      <c r="H8674">
        <v>156698469</v>
      </c>
      <c r="I8674">
        <v>156698589</v>
      </c>
    </row>
    <row r="8675" spans="1:9" x14ac:dyDescent="0.2">
      <c r="A8675" s="1" t="str">
        <f>"ISL1"</f>
        <v>ISL1</v>
      </c>
      <c r="B8675" t="s">
        <v>9</v>
      </c>
      <c r="C8675" t="s">
        <v>46</v>
      </c>
      <c r="D8675" t="s">
        <v>17</v>
      </c>
      <c r="E8675" t="s">
        <v>12</v>
      </c>
      <c r="F8675">
        <v>50679228</v>
      </c>
      <c r="G8675">
        <v>50679288</v>
      </c>
      <c r="H8675">
        <v>50679228</v>
      </c>
      <c r="I8675">
        <v>50679288</v>
      </c>
    </row>
    <row r="8676" spans="1:9" x14ac:dyDescent="0.2">
      <c r="A8676" s="1" t="str">
        <f>"ISL1"</f>
        <v>ISL1</v>
      </c>
      <c r="B8676" t="s">
        <v>13</v>
      </c>
      <c r="C8676" t="s">
        <v>46</v>
      </c>
      <c r="D8676" t="s">
        <v>17</v>
      </c>
      <c r="E8676" t="s">
        <v>12</v>
      </c>
      <c r="F8676">
        <v>50681985</v>
      </c>
      <c r="G8676">
        <v>50682031</v>
      </c>
      <c r="H8676">
        <v>50681985</v>
      </c>
      <c r="I8676">
        <v>50682031</v>
      </c>
    </row>
    <row r="8677" spans="1:9" x14ac:dyDescent="0.2">
      <c r="A8677" s="1" t="str">
        <f>"ISL2"</f>
        <v>ISL2</v>
      </c>
      <c r="B8677" t="s">
        <v>14</v>
      </c>
      <c r="C8677" t="s">
        <v>25</v>
      </c>
      <c r="D8677" t="s">
        <v>17</v>
      </c>
      <c r="E8677" t="s">
        <v>12</v>
      </c>
      <c r="F8677">
        <v>76629123</v>
      </c>
      <c r="G8677">
        <v>76629151</v>
      </c>
      <c r="H8677">
        <v>76629097</v>
      </c>
      <c r="I8677">
        <v>76629120</v>
      </c>
    </row>
    <row r="8678" spans="1:9" x14ac:dyDescent="0.2">
      <c r="A8678" s="1" t="str">
        <f>"ISLR"</f>
        <v>ISLR</v>
      </c>
      <c r="B8678" t="s">
        <v>14</v>
      </c>
      <c r="C8678" t="s">
        <v>25</v>
      </c>
      <c r="D8678" t="s">
        <v>17</v>
      </c>
      <c r="E8678" t="s">
        <v>12</v>
      </c>
      <c r="F8678">
        <v>74466870</v>
      </c>
      <c r="G8678">
        <v>74466923</v>
      </c>
      <c r="H8678">
        <v>74466034</v>
      </c>
      <c r="I8678">
        <v>74466097</v>
      </c>
    </row>
    <row r="8679" spans="1:9" x14ac:dyDescent="0.2">
      <c r="A8679" s="1" t="str">
        <f>"ISLR2"</f>
        <v>ISLR2</v>
      </c>
      <c r="B8679" t="s">
        <v>14</v>
      </c>
      <c r="C8679" t="s">
        <v>25</v>
      </c>
      <c r="D8679" t="s">
        <v>17</v>
      </c>
      <c r="E8679" t="s">
        <v>12</v>
      </c>
      <c r="F8679">
        <v>74422905</v>
      </c>
      <c r="G8679">
        <v>74422933</v>
      </c>
      <c r="H8679">
        <v>74421961</v>
      </c>
      <c r="I8679">
        <v>74421992</v>
      </c>
    </row>
    <row r="8680" spans="1:9" x14ac:dyDescent="0.2">
      <c r="A8680" s="1" t="str">
        <f>"ISM1"</f>
        <v>ISM1</v>
      </c>
      <c r="B8680" t="s">
        <v>14</v>
      </c>
      <c r="C8680" t="s">
        <v>29</v>
      </c>
      <c r="D8680" t="s">
        <v>17</v>
      </c>
      <c r="E8680" t="s">
        <v>12</v>
      </c>
      <c r="F8680">
        <v>13201904</v>
      </c>
      <c r="G8680">
        <v>13201957</v>
      </c>
      <c r="H8680">
        <v>13202394</v>
      </c>
      <c r="I8680">
        <v>13202433</v>
      </c>
    </row>
    <row r="8681" spans="1:9" x14ac:dyDescent="0.2">
      <c r="A8681" s="1" t="str">
        <f>"ISM2"</f>
        <v>ISM2</v>
      </c>
      <c r="B8681" t="s">
        <v>14</v>
      </c>
      <c r="C8681" t="s">
        <v>41</v>
      </c>
      <c r="D8681" t="s">
        <v>11</v>
      </c>
      <c r="E8681" t="s">
        <v>12</v>
      </c>
      <c r="F8681">
        <v>77965151</v>
      </c>
      <c r="G8681">
        <v>77965165</v>
      </c>
      <c r="H8681">
        <v>77965317</v>
      </c>
      <c r="I8681">
        <v>77965338</v>
      </c>
    </row>
    <row r="8682" spans="1:9" x14ac:dyDescent="0.2">
      <c r="A8682" s="1" t="str">
        <f>"ISOC1"</f>
        <v>ISOC1</v>
      </c>
      <c r="B8682" t="s">
        <v>14</v>
      </c>
      <c r="C8682" t="s">
        <v>46</v>
      </c>
      <c r="D8682" t="s">
        <v>17</v>
      </c>
      <c r="E8682" t="s">
        <v>12</v>
      </c>
      <c r="F8682">
        <v>128430401</v>
      </c>
      <c r="G8682">
        <v>128430456</v>
      </c>
      <c r="H8682">
        <v>128430386</v>
      </c>
      <c r="I8682">
        <v>128430397</v>
      </c>
    </row>
    <row r="8683" spans="1:9" x14ac:dyDescent="0.2">
      <c r="A8683" s="1" t="str">
        <f>"ISOC2"</f>
        <v>ISOC2</v>
      </c>
      <c r="B8683" t="s">
        <v>9</v>
      </c>
      <c r="C8683" t="s">
        <v>10</v>
      </c>
      <c r="D8683" t="s">
        <v>11</v>
      </c>
      <c r="E8683" t="s">
        <v>12</v>
      </c>
      <c r="F8683">
        <v>55972964</v>
      </c>
      <c r="G8683">
        <v>55973035</v>
      </c>
      <c r="H8683">
        <v>55972964</v>
      </c>
      <c r="I8683">
        <v>55973035</v>
      </c>
    </row>
    <row r="8684" spans="1:9" x14ac:dyDescent="0.2">
      <c r="A8684" s="1" t="str">
        <f>"ISOC2"</f>
        <v>ISOC2</v>
      </c>
      <c r="B8684" t="s">
        <v>13</v>
      </c>
      <c r="C8684" t="s">
        <v>10</v>
      </c>
      <c r="D8684" t="s">
        <v>11</v>
      </c>
      <c r="E8684" t="s">
        <v>12</v>
      </c>
      <c r="F8684">
        <v>55967771</v>
      </c>
      <c r="G8684">
        <v>55967785</v>
      </c>
      <c r="H8684">
        <v>55967771</v>
      </c>
      <c r="I8684">
        <v>55967785</v>
      </c>
    </row>
    <row r="8685" spans="1:9" x14ac:dyDescent="0.2">
      <c r="A8685" s="1" t="str">
        <f>"ISPD"</f>
        <v>ISPD</v>
      </c>
      <c r="B8685" t="s">
        <v>14</v>
      </c>
      <c r="C8685" t="s">
        <v>33</v>
      </c>
      <c r="D8685" t="s">
        <v>11</v>
      </c>
      <c r="E8685" t="s">
        <v>12</v>
      </c>
      <c r="F8685">
        <v>16461150</v>
      </c>
      <c r="G8685">
        <v>16461173</v>
      </c>
      <c r="H8685">
        <v>16461150</v>
      </c>
      <c r="I8685">
        <v>16461173</v>
      </c>
    </row>
    <row r="8686" spans="1:9" x14ac:dyDescent="0.2">
      <c r="A8686" s="1" t="str">
        <f>"IST1"</f>
        <v>IST1</v>
      </c>
      <c r="B8686" t="s">
        <v>14</v>
      </c>
      <c r="C8686" t="s">
        <v>31</v>
      </c>
      <c r="D8686" t="s">
        <v>17</v>
      </c>
      <c r="E8686" t="s">
        <v>12</v>
      </c>
      <c r="F8686">
        <v>71929398</v>
      </c>
      <c r="G8686">
        <v>71929458</v>
      </c>
      <c r="H8686">
        <v>71929398</v>
      </c>
      <c r="I8686">
        <v>71929458</v>
      </c>
    </row>
    <row r="8687" spans="1:9" x14ac:dyDescent="0.2">
      <c r="A8687" s="1" t="str">
        <f>"ISX"</f>
        <v>ISX</v>
      </c>
      <c r="B8687" t="s">
        <v>14</v>
      </c>
      <c r="C8687" t="s">
        <v>21</v>
      </c>
      <c r="D8687" t="s">
        <v>17</v>
      </c>
      <c r="E8687" t="s">
        <v>12</v>
      </c>
      <c r="F8687">
        <v>35462139</v>
      </c>
      <c r="G8687">
        <v>35462156</v>
      </c>
      <c r="H8687">
        <v>35462139</v>
      </c>
      <c r="I8687">
        <v>35462156</v>
      </c>
    </row>
    <row r="8688" spans="1:9" x14ac:dyDescent="0.2">
      <c r="A8688" s="1" t="str">
        <f>"ISY1"</f>
        <v>ISY1</v>
      </c>
      <c r="B8688" t="s">
        <v>14</v>
      </c>
      <c r="C8688" t="s">
        <v>22</v>
      </c>
      <c r="D8688" t="s">
        <v>11</v>
      </c>
      <c r="E8688" t="s">
        <v>12</v>
      </c>
      <c r="F8688">
        <v>128879875</v>
      </c>
      <c r="G8688">
        <v>128879937</v>
      </c>
      <c r="H8688">
        <v>128879938</v>
      </c>
      <c r="I8688">
        <v>128879950</v>
      </c>
    </row>
    <row r="8689" spans="1:9" x14ac:dyDescent="0.2">
      <c r="A8689" s="1" t="str">
        <f>"ISY1-RAB43"</f>
        <v>ISY1-RAB43</v>
      </c>
      <c r="B8689" t="s">
        <v>14</v>
      </c>
      <c r="C8689" t="s">
        <v>22</v>
      </c>
      <c r="D8689" t="s">
        <v>11</v>
      </c>
      <c r="E8689" t="s">
        <v>12</v>
      </c>
      <c r="F8689">
        <v>128879875</v>
      </c>
      <c r="G8689">
        <v>128879937</v>
      </c>
      <c r="H8689">
        <v>128879938</v>
      </c>
      <c r="I8689">
        <v>128879950</v>
      </c>
    </row>
    <row r="8690" spans="1:9" x14ac:dyDescent="0.2">
      <c r="A8690" s="1" t="str">
        <f>"ISYNA1"</f>
        <v>ISYNA1</v>
      </c>
      <c r="B8690" t="s">
        <v>14</v>
      </c>
      <c r="C8690" t="s">
        <v>10</v>
      </c>
      <c r="D8690" t="s">
        <v>11</v>
      </c>
      <c r="E8690" t="s">
        <v>12</v>
      </c>
      <c r="F8690">
        <v>18548930</v>
      </c>
      <c r="G8690">
        <v>18548958</v>
      </c>
      <c r="H8690">
        <v>18548962</v>
      </c>
      <c r="I8690">
        <v>18548977</v>
      </c>
    </row>
    <row r="8691" spans="1:9" x14ac:dyDescent="0.2">
      <c r="A8691" s="1" t="str">
        <f>"ITCH"</f>
        <v>ITCH</v>
      </c>
      <c r="B8691" t="s">
        <v>14</v>
      </c>
      <c r="C8691" t="s">
        <v>29</v>
      </c>
      <c r="D8691" t="s">
        <v>17</v>
      </c>
      <c r="E8691" t="s">
        <v>12</v>
      </c>
      <c r="F8691">
        <v>32951070</v>
      </c>
      <c r="G8691">
        <v>32951122</v>
      </c>
      <c r="H8691">
        <v>32951056</v>
      </c>
      <c r="I8691">
        <v>32951067</v>
      </c>
    </row>
    <row r="8692" spans="1:9" x14ac:dyDescent="0.2">
      <c r="A8692" s="1" t="str">
        <f>"ITFG1"</f>
        <v>ITFG1</v>
      </c>
      <c r="B8692" t="s">
        <v>14</v>
      </c>
      <c r="C8692" t="s">
        <v>31</v>
      </c>
      <c r="D8692" t="s">
        <v>11</v>
      </c>
      <c r="E8692" t="s">
        <v>12</v>
      </c>
      <c r="F8692">
        <v>47494951</v>
      </c>
      <c r="G8692">
        <v>47495020</v>
      </c>
      <c r="H8692">
        <v>47495108</v>
      </c>
      <c r="I8692">
        <v>47495143</v>
      </c>
    </row>
    <row r="8693" spans="1:9" x14ac:dyDescent="0.2">
      <c r="A8693" s="1" t="str">
        <f>"ITFG2"</f>
        <v>ITFG2</v>
      </c>
      <c r="B8693" t="s">
        <v>14</v>
      </c>
      <c r="C8693" t="s">
        <v>16</v>
      </c>
      <c r="D8693" t="s">
        <v>17</v>
      </c>
      <c r="E8693" t="s">
        <v>12</v>
      </c>
      <c r="F8693">
        <v>2921805</v>
      </c>
      <c r="G8693">
        <v>2921872</v>
      </c>
      <c r="H8693">
        <v>2921805</v>
      </c>
      <c r="I8693">
        <v>2921872</v>
      </c>
    </row>
    <row r="8694" spans="1:9" x14ac:dyDescent="0.2">
      <c r="A8694" s="1" t="str">
        <f>"ITFG3"</f>
        <v>ITFG3</v>
      </c>
      <c r="B8694" t="s">
        <v>9</v>
      </c>
      <c r="C8694" t="s">
        <v>31</v>
      </c>
      <c r="D8694" t="s">
        <v>17</v>
      </c>
      <c r="E8694" t="s">
        <v>12</v>
      </c>
      <c r="F8694">
        <v>284788</v>
      </c>
      <c r="G8694">
        <v>284844</v>
      </c>
      <c r="H8694">
        <v>284788</v>
      </c>
      <c r="I8694">
        <v>284844</v>
      </c>
    </row>
    <row r="8695" spans="1:9" x14ac:dyDescent="0.2">
      <c r="A8695" s="1" t="str">
        <f>"ITFG3"</f>
        <v>ITFG3</v>
      </c>
      <c r="B8695" t="s">
        <v>13</v>
      </c>
      <c r="C8695" t="s">
        <v>31</v>
      </c>
      <c r="D8695" t="s">
        <v>17</v>
      </c>
      <c r="E8695" t="s">
        <v>12</v>
      </c>
      <c r="F8695">
        <v>290181</v>
      </c>
      <c r="G8695">
        <v>290221</v>
      </c>
      <c r="H8695">
        <v>290181</v>
      </c>
      <c r="I8695">
        <v>290221</v>
      </c>
    </row>
    <row r="8696" spans="1:9" x14ac:dyDescent="0.2">
      <c r="A8696" s="1" t="str">
        <f>"ITGA1"</f>
        <v>ITGA1</v>
      </c>
      <c r="B8696" t="s">
        <v>14</v>
      </c>
      <c r="C8696" t="s">
        <v>46</v>
      </c>
      <c r="D8696" t="s">
        <v>17</v>
      </c>
      <c r="E8696" t="s">
        <v>12</v>
      </c>
      <c r="F8696">
        <v>52083733</v>
      </c>
      <c r="G8696">
        <v>52083821</v>
      </c>
      <c r="H8696">
        <v>52084023</v>
      </c>
      <c r="I8696">
        <v>52084051</v>
      </c>
    </row>
    <row r="8697" spans="1:9" x14ac:dyDescent="0.2">
      <c r="A8697" s="1" t="str">
        <f>"ITGA10"</f>
        <v>ITGA10</v>
      </c>
      <c r="B8697" t="s">
        <v>14</v>
      </c>
      <c r="C8697" t="s">
        <v>19</v>
      </c>
      <c r="D8697" t="s">
        <v>17</v>
      </c>
      <c r="E8697" t="s">
        <v>12</v>
      </c>
      <c r="F8697">
        <v>145525015</v>
      </c>
      <c r="G8697">
        <v>145525048</v>
      </c>
      <c r="H8697">
        <v>145525001</v>
      </c>
      <c r="I8697">
        <v>145525012</v>
      </c>
    </row>
    <row r="8698" spans="1:9" x14ac:dyDescent="0.2">
      <c r="A8698" s="1" t="str">
        <f>"ITGA11"</f>
        <v>ITGA11</v>
      </c>
      <c r="B8698" t="s">
        <v>14</v>
      </c>
      <c r="C8698" t="s">
        <v>25</v>
      </c>
      <c r="D8698" t="s">
        <v>11</v>
      </c>
      <c r="E8698" t="s">
        <v>12</v>
      </c>
      <c r="F8698">
        <v>68724490</v>
      </c>
      <c r="G8698">
        <v>68724516</v>
      </c>
      <c r="H8698">
        <v>68724518</v>
      </c>
      <c r="I8698">
        <v>68724531</v>
      </c>
    </row>
    <row r="8699" spans="1:9" x14ac:dyDescent="0.2">
      <c r="A8699" s="1" t="str">
        <f>"ITGA2"</f>
        <v>ITGA2</v>
      </c>
      <c r="B8699" t="s">
        <v>14</v>
      </c>
      <c r="C8699" t="s">
        <v>46</v>
      </c>
      <c r="D8699" t="s">
        <v>17</v>
      </c>
      <c r="E8699" t="s">
        <v>12</v>
      </c>
      <c r="F8699">
        <v>52285174</v>
      </c>
      <c r="G8699">
        <v>52285193</v>
      </c>
      <c r="H8699">
        <v>52285144</v>
      </c>
      <c r="I8699">
        <v>52285166</v>
      </c>
    </row>
    <row r="8700" spans="1:9" x14ac:dyDescent="0.2">
      <c r="A8700" s="1" t="str">
        <f>"ITGA2B"</f>
        <v>ITGA2B</v>
      </c>
      <c r="B8700" t="s">
        <v>14</v>
      </c>
      <c r="C8700" t="s">
        <v>28</v>
      </c>
      <c r="D8700" t="s">
        <v>11</v>
      </c>
      <c r="E8700" t="s">
        <v>12</v>
      </c>
      <c r="F8700">
        <v>42466864</v>
      </c>
      <c r="G8700">
        <v>42466880</v>
      </c>
      <c r="H8700">
        <v>42467001</v>
      </c>
      <c r="I8700">
        <v>42467024</v>
      </c>
    </row>
    <row r="8701" spans="1:9" x14ac:dyDescent="0.2">
      <c r="A8701" s="1" t="str">
        <f>"ITGA3"</f>
        <v>ITGA3</v>
      </c>
      <c r="B8701" t="s">
        <v>14</v>
      </c>
      <c r="C8701" t="s">
        <v>28</v>
      </c>
      <c r="D8701" t="s">
        <v>17</v>
      </c>
      <c r="E8701" t="s">
        <v>12</v>
      </c>
      <c r="F8701">
        <v>48133459</v>
      </c>
      <c r="G8701">
        <v>48133486</v>
      </c>
      <c r="H8701">
        <v>48133330</v>
      </c>
      <c r="I8701">
        <v>48133349</v>
      </c>
    </row>
    <row r="8702" spans="1:9" x14ac:dyDescent="0.2">
      <c r="A8702" s="1" t="str">
        <f>"ITGA4"</f>
        <v>ITGA4</v>
      </c>
      <c r="B8702" t="s">
        <v>14</v>
      </c>
      <c r="C8702" t="s">
        <v>26</v>
      </c>
      <c r="D8702" t="s">
        <v>17</v>
      </c>
      <c r="E8702" t="s">
        <v>12</v>
      </c>
      <c r="F8702">
        <v>182322070</v>
      </c>
      <c r="G8702">
        <v>182322155</v>
      </c>
      <c r="H8702">
        <v>182322231</v>
      </c>
      <c r="I8702">
        <v>182322262</v>
      </c>
    </row>
    <row r="8703" spans="1:9" x14ac:dyDescent="0.2">
      <c r="A8703" s="1" t="str">
        <f>"ITGA5"</f>
        <v>ITGA5</v>
      </c>
      <c r="B8703" t="s">
        <v>14</v>
      </c>
      <c r="C8703" t="s">
        <v>16</v>
      </c>
      <c r="D8703" t="s">
        <v>11</v>
      </c>
      <c r="E8703" t="s">
        <v>12</v>
      </c>
      <c r="F8703">
        <v>54812992</v>
      </c>
      <c r="G8703">
        <v>54813035</v>
      </c>
      <c r="H8703">
        <v>54813043</v>
      </c>
      <c r="I8703">
        <v>54813056</v>
      </c>
    </row>
    <row r="8704" spans="1:9" x14ac:dyDescent="0.2">
      <c r="A8704" s="1" t="str">
        <f>"ITGA6"</f>
        <v>ITGA6</v>
      </c>
      <c r="B8704" t="s">
        <v>14</v>
      </c>
      <c r="C8704" t="s">
        <v>26</v>
      </c>
      <c r="D8704" t="s">
        <v>17</v>
      </c>
      <c r="E8704" t="s">
        <v>12</v>
      </c>
      <c r="F8704">
        <v>173292301</v>
      </c>
      <c r="G8704">
        <v>173292332</v>
      </c>
      <c r="H8704">
        <v>173292390</v>
      </c>
      <c r="I8704">
        <v>173292414</v>
      </c>
    </row>
    <row r="8705" spans="1:9" x14ac:dyDescent="0.2">
      <c r="A8705" s="1" t="str">
        <f>"ITGA7"</f>
        <v>ITGA7</v>
      </c>
      <c r="B8705" t="s">
        <v>9</v>
      </c>
      <c r="C8705" t="s">
        <v>16</v>
      </c>
      <c r="D8705" t="s">
        <v>11</v>
      </c>
      <c r="E8705" t="s">
        <v>12</v>
      </c>
      <c r="F8705">
        <v>56101647</v>
      </c>
      <c r="G8705">
        <v>56101699</v>
      </c>
      <c r="H8705">
        <v>56101647</v>
      </c>
      <c r="I8705">
        <v>56101699</v>
      </c>
    </row>
    <row r="8706" spans="1:9" x14ac:dyDescent="0.2">
      <c r="A8706" s="1" t="str">
        <f>"ITGA7"</f>
        <v>ITGA7</v>
      </c>
      <c r="B8706" t="s">
        <v>13</v>
      </c>
      <c r="C8706" t="s">
        <v>16</v>
      </c>
      <c r="D8706" t="s">
        <v>11</v>
      </c>
      <c r="E8706" t="s">
        <v>12</v>
      </c>
      <c r="F8706">
        <v>56105880</v>
      </c>
      <c r="G8706">
        <v>56105951</v>
      </c>
      <c r="H8706">
        <v>56105880</v>
      </c>
      <c r="I8706">
        <v>56105951</v>
      </c>
    </row>
    <row r="8707" spans="1:9" x14ac:dyDescent="0.2">
      <c r="A8707" s="1" t="str">
        <f>"ITGA8"</f>
        <v>ITGA8</v>
      </c>
      <c r="B8707" t="s">
        <v>14</v>
      </c>
      <c r="C8707" t="s">
        <v>15</v>
      </c>
      <c r="D8707" t="s">
        <v>11</v>
      </c>
      <c r="E8707" t="s">
        <v>12</v>
      </c>
      <c r="F8707">
        <v>15761884</v>
      </c>
      <c r="G8707">
        <v>15761936</v>
      </c>
      <c r="H8707">
        <v>15761884</v>
      </c>
      <c r="I8707">
        <v>15761936</v>
      </c>
    </row>
    <row r="8708" spans="1:9" x14ac:dyDescent="0.2">
      <c r="A8708" s="1" t="str">
        <f>"ITGA9"</f>
        <v>ITGA9</v>
      </c>
      <c r="B8708" t="s">
        <v>14</v>
      </c>
      <c r="C8708" t="s">
        <v>22</v>
      </c>
      <c r="D8708" t="s">
        <v>17</v>
      </c>
      <c r="E8708" t="s">
        <v>12</v>
      </c>
      <c r="F8708">
        <v>37493612</v>
      </c>
      <c r="G8708">
        <v>37493651</v>
      </c>
      <c r="H8708">
        <v>37493590</v>
      </c>
      <c r="I8708">
        <v>37493607</v>
      </c>
    </row>
    <row r="8709" spans="1:9" x14ac:dyDescent="0.2">
      <c r="A8709" s="1" t="str">
        <f>"ITGAD"</f>
        <v>ITGAD</v>
      </c>
      <c r="B8709" t="s">
        <v>14</v>
      </c>
      <c r="C8709" t="s">
        <v>31</v>
      </c>
      <c r="D8709" t="s">
        <v>17</v>
      </c>
      <c r="E8709" t="s">
        <v>12</v>
      </c>
      <c r="F8709">
        <v>31404650</v>
      </c>
      <c r="G8709">
        <v>31404662</v>
      </c>
      <c r="H8709">
        <v>31404590</v>
      </c>
      <c r="I8709">
        <v>31404608</v>
      </c>
    </row>
    <row r="8710" spans="1:9" x14ac:dyDescent="0.2">
      <c r="A8710" s="1" t="str">
        <f>"ITGAE"</f>
        <v>ITGAE</v>
      </c>
      <c r="B8710" t="s">
        <v>661</v>
      </c>
      <c r="C8710" t="s">
        <v>28</v>
      </c>
      <c r="D8710" t="s">
        <v>11</v>
      </c>
      <c r="E8710" t="s">
        <v>35</v>
      </c>
      <c r="F8710">
        <v>3704624</v>
      </c>
      <c r="G8710">
        <v>3704640</v>
      </c>
      <c r="H8710">
        <v>3704456</v>
      </c>
      <c r="I8710">
        <v>3704468</v>
      </c>
    </row>
    <row r="8711" spans="1:9" x14ac:dyDescent="0.2">
      <c r="A8711" s="1" t="str">
        <f>"ITGAL"</f>
        <v>ITGAL</v>
      </c>
      <c r="B8711" t="s">
        <v>14</v>
      </c>
      <c r="C8711" t="s">
        <v>31</v>
      </c>
      <c r="D8711" t="s">
        <v>17</v>
      </c>
      <c r="E8711" t="s">
        <v>12</v>
      </c>
      <c r="F8711">
        <v>30484054</v>
      </c>
      <c r="G8711">
        <v>30484084</v>
      </c>
      <c r="H8711">
        <v>30483962</v>
      </c>
      <c r="I8711">
        <v>30484018</v>
      </c>
    </row>
    <row r="8712" spans="1:9" x14ac:dyDescent="0.2">
      <c r="A8712" s="1" t="str">
        <f>"ITGAM"</f>
        <v>ITGAM</v>
      </c>
      <c r="B8712" t="s">
        <v>14</v>
      </c>
      <c r="C8712" t="s">
        <v>31</v>
      </c>
      <c r="D8712" t="s">
        <v>17</v>
      </c>
      <c r="E8712" t="s">
        <v>12</v>
      </c>
      <c r="F8712">
        <v>31271274</v>
      </c>
      <c r="G8712">
        <v>31271307</v>
      </c>
      <c r="H8712">
        <v>31271322</v>
      </c>
      <c r="I8712">
        <v>31271339</v>
      </c>
    </row>
    <row r="8713" spans="1:9" x14ac:dyDescent="0.2">
      <c r="A8713" s="1" t="str">
        <f>"ITGAV"</f>
        <v>ITGAV</v>
      </c>
      <c r="B8713" t="s">
        <v>14</v>
      </c>
      <c r="C8713" t="s">
        <v>26</v>
      </c>
      <c r="D8713" t="s">
        <v>17</v>
      </c>
      <c r="E8713" t="s">
        <v>12</v>
      </c>
      <c r="F8713">
        <v>187454749</v>
      </c>
      <c r="G8713">
        <v>187454808</v>
      </c>
      <c r="H8713">
        <v>187454714</v>
      </c>
      <c r="I8713">
        <v>187454748</v>
      </c>
    </row>
    <row r="8714" spans="1:9" x14ac:dyDescent="0.2">
      <c r="A8714" s="1" t="str">
        <f>"ITGAX"</f>
        <v>ITGAX</v>
      </c>
      <c r="B8714" t="s">
        <v>14</v>
      </c>
      <c r="C8714" t="s">
        <v>31</v>
      </c>
      <c r="D8714" t="s">
        <v>17</v>
      </c>
      <c r="E8714" t="s">
        <v>12</v>
      </c>
      <c r="F8714">
        <v>31366486</v>
      </c>
      <c r="G8714">
        <v>31366531</v>
      </c>
      <c r="H8714">
        <v>31366536</v>
      </c>
      <c r="I8714">
        <v>31366558</v>
      </c>
    </row>
    <row r="8715" spans="1:9" x14ac:dyDescent="0.2">
      <c r="A8715" s="1" t="str">
        <f>"ITGB1"</f>
        <v>ITGB1</v>
      </c>
      <c r="B8715" t="s">
        <v>14</v>
      </c>
      <c r="C8715" t="s">
        <v>15</v>
      </c>
      <c r="D8715" t="s">
        <v>11</v>
      </c>
      <c r="E8715" t="s">
        <v>12</v>
      </c>
      <c r="F8715">
        <v>33247124</v>
      </c>
      <c r="G8715">
        <v>33247207</v>
      </c>
      <c r="H8715">
        <v>33246874</v>
      </c>
      <c r="I8715">
        <v>33246907</v>
      </c>
    </row>
    <row r="8716" spans="1:9" x14ac:dyDescent="0.2">
      <c r="A8716" s="1" t="str">
        <f>"ITGB1BP1"</f>
        <v>ITGB1BP1</v>
      </c>
      <c r="B8716" t="s">
        <v>14</v>
      </c>
      <c r="C8716" t="s">
        <v>26</v>
      </c>
      <c r="D8716" t="s">
        <v>11</v>
      </c>
      <c r="E8716" t="s">
        <v>12</v>
      </c>
      <c r="F8716">
        <v>9563575</v>
      </c>
      <c r="G8716">
        <v>9563681</v>
      </c>
      <c r="H8716">
        <v>9563272</v>
      </c>
      <c r="I8716">
        <v>9563314</v>
      </c>
    </row>
    <row r="8717" spans="1:9" x14ac:dyDescent="0.2">
      <c r="A8717" s="1" t="str">
        <f>"ITGB1BP2"</f>
        <v>ITGB1BP2</v>
      </c>
      <c r="B8717" t="s">
        <v>14</v>
      </c>
      <c r="C8717" t="s">
        <v>37</v>
      </c>
      <c r="D8717" t="s">
        <v>17</v>
      </c>
      <c r="E8717" t="s">
        <v>12</v>
      </c>
      <c r="F8717">
        <v>70521592</v>
      </c>
      <c r="G8717">
        <v>70521605</v>
      </c>
      <c r="H8717">
        <v>70521592</v>
      </c>
      <c r="I8717">
        <v>70521605</v>
      </c>
    </row>
    <row r="8718" spans="1:9" x14ac:dyDescent="0.2">
      <c r="A8718" s="1" t="str">
        <f>"ITGB2"</f>
        <v>ITGB2</v>
      </c>
      <c r="B8718" t="s">
        <v>14</v>
      </c>
      <c r="C8718" t="s">
        <v>42</v>
      </c>
      <c r="D8718" t="s">
        <v>11</v>
      </c>
      <c r="E8718" t="s">
        <v>12</v>
      </c>
      <c r="F8718">
        <v>46340807</v>
      </c>
      <c r="G8718">
        <v>46340858</v>
      </c>
      <c r="H8718">
        <v>46340782</v>
      </c>
      <c r="I8718">
        <v>46340803</v>
      </c>
    </row>
    <row r="8719" spans="1:9" x14ac:dyDescent="0.2">
      <c r="A8719" s="1" t="str">
        <f>"ITGB3"</f>
        <v>ITGB3</v>
      </c>
      <c r="B8719" t="s">
        <v>14</v>
      </c>
      <c r="C8719" t="s">
        <v>28</v>
      </c>
      <c r="D8719" t="s">
        <v>17</v>
      </c>
      <c r="E8719" t="s">
        <v>12</v>
      </c>
      <c r="F8719">
        <v>45331184</v>
      </c>
      <c r="G8719">
        <v>45331200</v>
      </c>
      <c r="H8719">
        <v>45331166</v>
      </c>
      <c r="I8719">
        <v>45331178</v>
      </c>
    </row>
    <row r="8720" spans="1:9" x14ac:dyDescent="0.2">
      <c r="A8720" s="1" t="str">
        <f>"ITGB3BP"</f>
        <v>ITGB3BP</v>
      </c>
      <c r="B8720" t="s">
        <v>14</v>
      </c>
      <c r="C8720" t="s">
        <v>19</v>
      </c>
      <c r="D8720" t="s">
        <v>11</v>
      </c>
      <c r="E8720" t="s">
        <v>12</v>
      </c>
      <c r="F8720">
        <v>63988846</v>
      </c>
      <c r="G8720">
        <v>63988908</v>
      </c>
      <c r="H8720">
        <v>63988911</v>
      </c>
      <c r="I8720">
        <v>63988938</v>
      </c>
    </row>
    <row r="8721" spans="1:9" x14ac:dyDescent="0.2">
      <c r="A8721" s="1" t="str">
        <f>"ITGB4"</f>
        <v>ITGB4</v>
      </c>
      <c r="B8721" t="s">
        <v>14</v>
      </c>
      <c r="C8721" t="s">
        <v>28</v>
      </c>
      <c r="D8721" t="s">
        <v>17</v>
      </c>
      <c r="E8721" t="s">
        <v>12</v>
      </c>
      <c r="F8721">
        <v>73717551</v>
      </c>
      <c r="G8721">
        <v>73717609</v>
      </c>
      <c r="H8721">
        <v>73717531</v>
      </c>
      <c r="I8721">
        <v>73717550</v>
      </c>
    </row>
    <row r="8722" spans="1:9" x14ac:dyDescent="0.2">
      <c r="A8722" s="1" t="str">
        <f>"ITGB5"</f>
        <v>ITGB5</v>
      </c>
      <c r="B8722" t="s">
        <v>14</v>
      </c>
      <c r="C8722" t="s">
        <v>22</v>
      </c>
      <c r="D8722" t="s">
        <v>11</v>
      </c>
      <c r="E8722" t="s">
        <v>12</v>
      </c>
      <c r="F8722">
        <v>124606074</v>
      </c>
      <c r="G8722">
        <v>124606198</v>
      </c>
      <c r="H8722">
        <v>124606201</v>
      </c>
      <c r="I8722">
        <v>124606223</v>
      </c>
    </row>
    <row r="8723" spans="1:9" x14ac:dyDescent="0.2">
      <c r="A8723" s="1" t="str">
        <f>"ITGB6"</f>
        <v>ITGB6</v>
      </c>
      <c r="B8723" t="s">
        <v>14</v>
      </c>
      <c r="C8723" t="s">
        <v>26</v>
      </c>
      <c r="D8723" t="s">
        <v>11</v>
      </c>
      <c r="E8723" t="s">
        <v>12</v>
      </c>
      <c r="F8723">
        <v>161056762</v>
      </c>
      <c r="G8723">
        <v>161056799</v>
      </c>
      <c r="H8723">
        <v>161056802</v>
      </c>
      <c r="I8723">
        <v>161056815</v>
      </c>
    </row>
    <row r="8724" spans="1:9" x14ac:dyDescent="0.2">
      <c r="A8724" s="1" t="str">
        <f>"ITGB7"</f>
        <v>ITGB7</v>
      </c>
      <c r="B8724" t="s">
        <v>14</v>
      </c>
      <c r="C8724" t="s">
        <v>16</v>
      </c>
      <c r="D8724" t="s">
        <v>11</v>
      </c>
      <c r="E8724" t="s">
        <v>12</v>
      </c>
      <c r="F8724">
        <v>53601025</v>
      </c>
      <c r="G8724">
        <v>53601043</v>
      </c>
      <c r="H8724">
        <v>53601055</v>
      </c>
      <c r="I8724">
        <v>53601073</v>
      </c>
    </row>
    <row r="8725" spans="1:9" x14ac:dyDescent="0.2">
      <c r="A8725" s="1" t="str">
        <f>"ITGB8"</f>
        <v>ITGB8</v>
      </c>
      <c r="B8725" t="s">
        <v>14</v>
      </c>
      <c r="C8725" t="s">
        <v>33</v>
      </c>
      <c r="D8725" t="s">
        <v>17</v>
      </c>
      <c r="E8725" t="s">
        <v>12</v>
      </c>
      <c r="F8725">
        <v>20370300</v>
      </c>
      <c r="G8725">
        <v>20370359</v>
      </c>
      <c r="H8725">
        <v>20370516</v>
      </c>
      <c r="I8725">
        <v>20370553</v>
      </c>
    </row>
    <row r="8726" spans="1:9" x14ac:dyDescent="0.2">
      <c r="A8726" s="1" t="str">
        <f>"ITGBL1"</f>
        <v>ITGBL1</v>
      </c>
      <c r="B8726" t="s">
        <v>14</v>
      </c>
      <c r="C8726" t="s">
        <v>39</v>
      </c>
      <c r="D8726" t="s">
        <v>17</v>
      </c>
      <c r="E8726" t="s">
        <v>12</v>
      </c>
      <c r="F8726">
        <v>102104980</v>
      </c>
      <c r="G8726">
        <v>102105050</v>
      </c>
      <c r="H8726">
        <v>102105062</v>
      </c>
      <c r="I8726">
        <v>102105085</v>
      </c>
    </row>
    <row r="8727" spans="1:9" x14ac:dyDescent="0.2">
      <c r="A8727" s="1" t="str">
        <f>"ITIH1"</f>
        <v>ITIH1</v>
      </c>
      <c r="B8727" t="s">
        <v>14</v>
      </c>
      <c r="C8727" t="s">
        <v>22</v>
      </c>
      <c r="D8727" t="s">
        <v>17</v>
      </c>
      <c r="E8727" t="s">
        <v>12</v>
      </c>
      <c r="F8727">
        <v>52811596</v>
      </c>
      <c r="G8727">
        <v>52811637</v>
      </c>
      <c r="H8727">
        <v>52811596</v>
      </c>
      <c r="I8727">
        <v>52811637</v>
      </c>
    </row>
    <row r="8728" spans="1:9" x14ac:dyDescent="0.2">
      <c r="A8728" s="1" t="str">
        <f>"ITIH2"</f>
        <v>ITIH2</v>
      </c>
      <c r="B8728" t="s">
        <v>14</v>
      </c>
      <c r="C8728" t="s">
        <v>15</v>
      </c>
      <c r="D8728" t="s">
        <v>17</v>
      </c>
      <c r="E8728" t="s">
        <v>12</v>
      </c>
      <c r="F8728">
        <v>7745303</v>
      </c>
      <c r="G8728">
        <v>7745349</v>
      </c>
      <c r="H8728">
        <v>7745263</v>
      </c>
      <c r="I8728">
        <v>7745295</v>
      </c>
    </row>
    <row r="8729" spans="1:9" x14ac:dyDescent="0.2">
      <c r="A8729" s="1" t="str">
        <f>"ITIH3"</f>
        <v>ITIH3</v>
      </c>
      <c r="B8729" t="s">
        <v>9</v>
      </c>
      <c r="C8729" t="s">
        <v>22</v>
      </c>
      <c r="D8729" t="s">
        <v>17</v>
      </c>
      <c r="E8729" t="s">
        <v>12</v>
      </c>
      <c r="F8729">
        <v>52828805</v>
      </c>
      <c r="G8729">
        <v>52828821</v>
      </c>
      <c r="H8729">
        <v>52828805</v>
      </c>
      <c r="I8729">
        <v>52828821</v>
      </c>
    </row>
    <row r="8730" spans="1:9" x14ac:dyDescent="0.2">
      <c r="A8730" s="1" t="str">
        <f>"ITIH3"</f>
        <v>ITIH3</v>
      </c>
      <c r="B8730" t="s">
        <v>13</v>
      </c>
      <c r="C8730" t="s">
        <v>22</v>
      </c>
      <c r="D8730" t="s">
        <v>17</v>
      </c>
      <c r="E8730" t="s">
        <v>12</v>
      </c>
      <c r="F8730">
        <v>52836121</v>
      </c>
      <c r="G8730">
        <v>52836164</v>
      </c>
      <c r="H8730">
        <v>52836121</v>
      </c>
      <c r="I8730">
        <v>52836164</v>
      </c>
    </row>
    <row r="8731" spans="1:9" x14ac:dyDescent="0.2">
      <c r="A8731" s="1" t="str">
        <f>"ITIH4"</f>
        <v>ITIH4</v>
      </c>
      <c r="B8731" t="s">
        <v>9</v>
      </c>
      <c r="C8731" t="s">
        <v>22</v>
      </c>
      <c r="D8731" t="s">
        <v>11</v>
      </c>
      <c r="E8731" t="s">
        <v>12</v>
      </c>
      <c r="F8731">
        <v>52864680</v>
      </c>
      <c r="G8731">
        <v>52864695</v>
      </c>
      <c r="H8731">
        <v>52864680</v>
      </c>
      <c r="I8731">
        <v>52864695</v>
      </c>
    </row>
    <row r="8732" spans="1:9" x14ac:dyDescent="0.2">
      <c r="A8732" s="1" t="str">
        <f>"ITIH4"</f>
        <v>ITIH4</v>
      </c>
      <c r="B8732" t="s">
        <v>13</v>
      </c>
      <c r="C8732" t="s">
        <v>22</v>
      </c>
      <c r="D8732" t="s">
        <v>11</v>
      </c>
      <c r="E8732" t="s">
        <v>12</v>
      </c>
      <c r="F8732">
        <v>52860850</v>
      </c>
      <c r="G8732">
        <v>52860871</v>
      </c>
      <c r="H8732">
        <v>52860850</v>
      </c>
      <c r="I8732">
        <v>52860871</v>
      </c>
    </row>
    <row r="8733" spans="1:9" x14ac:dyDescent="0.2">
      <c r="A8733" s="1" t="str">
        <f>"ITIH5"</f>
        <v>ITIH5</v>
      </c>
      <c r="B8733" t="s">
        <v>14</v>
      </c>
      <c r="C8733" t="s">
        <v>15</v>
      </c>
      <c r="D8733" t="s">
        <v>11</v>
      </c>
      <c r="E8733" t="s">
        <v>12</v>
      </c>
      <c r="F8733">
        <v>7708918</v>
      </c>
      <c r="G8733">
        <v>7708939</v>
      </c>
      <c r="H8733">
        <v>7708892</v>
      </c>
      <c r="I8733">
        <v>7708911</v>
      </c>
    </row>
    <row r="8734" spans="1:9" x14ac:dyDescent="0.2">
      <c r="A8734" s="1" t="str">
        <f>"ITIH6"</f>
        <v>ITIH6</v>
      </c>
      <c r="B8734" t="s">
        <v>14</v>
      </c>
      <c r="C8734" t="s">
        <v>37</v>
      </c>
      <c r="D8734" t="s">
        <v>11</v>
      </c>
      <c r="E8734" t="s">
        <v>12</v>
      </c>
      <c r="F8734">
        <v>54824686</v>
      </c>
      <c r="G8734">
        <v>54824690</v>
      </c>
      <c r="H8734">
        <v>54824686</v>
      </c>
      <c r="I8734">
        <v>54824690</v>
      </c>
    </row>
    <row r="8735" spans="1:9" x14ac:dyDescent="0.2">
      <c r="A8735" s="1" t="str">
        <f>"ITK"</f>
        <v>ITK</v>
      </c>
      <c r="B8735" t="s">
        <v>14</v>
      </c>
      <c r="C8735" t="s">
        <v>46</v>
      </c>
      <c r="D8735" t="s">
        <v>17</v>
      </c>
      <c r="E8735" t="s">
        <v>12</v>
      </c>
      <c r="F8735">
        <v>156607829</v>
      </c>
      <c r="G8735">
        <v>156607946</v>
      </c>
      <c r="H8735">
        <v>156607829</v>
      </c>
      <c r="I8735">
        <v>156607946</v>
      </c>
    </row>
    <row r="8736" spans="1:9" x14ac:dyDescent="0.2">
      <c r="A8736" s="1" t="str">
        <f>"ITLN1"</f>
        <v>ITLN1</v>
      </c>
      <c r="B8736" t="s">
        <v>14</v>
      </c>
      <c r="C8736" t="s">
        <v>19</v>
      </c>
      <c r="D8736" t="s">
        <v>11</v>
      </c>
      <c r="E8736" t="s">
        <v>12</v>
      </c>
      <c r="F8736">
        <v>160854953</v>
      </c>
      <c r="G8736">
        <v>160854975</v>
      </c>
      <c r="H8736">
        <v>160854982</v>
      </c>
      <c r="I8736">
        <v>160854991</v>
      </c>
    </row>
    <row r="8737" spans="1:9" x14ac:dyDescent="0.2">
      <c r="A8737" s="1" t="str">
        <f>"ITLN2"</f>
        <v>ITLN2</v>
      </c>
      <c r="B8737" t="s">
        <v>9</v>
      </c>
      <c r="C8737" t="s">
        <v>19</v>
      </c>
      <c r="D8737" t="s">
        <v>11</v>
      </c>
      <c r="E8737" t="s">
        <v>12</v>
      </c>
      <c r="F8737">
        <v>160924595</v>
      </c>
      <c r="G8737">
        <v>160924607</v>
      </c>
      <c r="H8737">
        <v>160924595</v>
      </c>
      <c r="I8737">
        <v>160924607</v>
      </c>
    </row>
    <row r="8738" spans="1:9" x14ac:dyDescent="0.2">
      <c r="A8738" s="1" t="str">
        <f>"ITLN2"</f>
        <v>ITLN2</v>
      </c>
      <c r="B8738" t="s">
        <v>13</v>
      </c>
      <c r="C8738" t="s">
        <v>19</v>
      </c>
      <c r="D8738" t="s">
        <v>11</v>
      </c>
      <c r="E8738" t="s">
        <v>12</v>
      </c>
      <c r="F8738">
        <v>160921248</v>
      </c>
      <c r="G8738">
        <v>160921264</v>
      </c>
      <c r="H8738">
        <v>160921248</v>
      </c>
      <c r="I8738">
        <v>160921264</v>
      </c>
    </row>
    <row r="8739" spans="1:9" x14ac:dyDescent="0.2">
      <c r="A8739" s="1" t="str">
        <f>"ITM2A"</f>
        <v>ITM2A</v>
      </c>
      <c r="B8739" t="s">
        <v>14</v>
      </c>
      <c r="C8739" t="s">
        <v>37</v>
      </c>
      <c r="D8739" t="s">
        <v>11</v>
      </c>
      <c r="E8739" t="s">
        <v>12</v>
      </c>
      <c r="F8739">
        <v>78622805</v>
      </c>
      <c r="G8739">
        <v>78622877</v>
      </c>
      <c r="H8739">
        <v>78622778</v>
      </c>
      <c r="I8739">
        <v>78622789</v>
      </c>
    </row>
    <row r="8740" spans="1:9" x14ac:dyDescent="0.2">
      <c r="A8740" s="1" t="str">
        <f>"ITM2B"</f>
        <v>ITM2B</v>
      </c>
      <c r="B8740" t="s">
        <v>14</v>
      </c>
      <c r="C8740" t="s">
        <v>39</v>
      </c>
      <c r="D8740" t="s">
        <v>17</v>
      </c>
      <c r="E8740" t="s">
        <v>12</v>
      </c>
      <c r="F8740">
        <v>48807334</v>
      </c>
      <c r="G8740">
        <v>48807354</v>
      </c>
      <c r="H8740">
        <v>48807307</v>
      </c>
      <c r="I8740">
        <v>48807333</v>
      </c>
    </row>
    <row r="8741" spans="1:9" x14ac:dyDescent="0.2">
      <c r="A8741" s="1" t="str">
        <f>"ITM2C"</f>
        <v>ITM2C</v>
      </c>
      <c r="B8741" t="s">
        <v>14</v>
      </c>
      <c r="C8741" t="s">
        <v>26</v>
      </c>
      <c r="D8741" t="s">
        <v>17</v>
      </c>
      <c r="E8741" t="s">
        <v>12</v>
      </c>
      <c r="F8741">
        <v>231729636</v>
      </c>
      <c r="G8741">
        <v>231729697</v>
      </c>
      <c r="H8741">
        <v>231728899</v>
      </c>
      <c r="I8741">
        <v>231728900</v>
      </c>
    </row>
    <row r="8742" spans="1:9" x14ac:dyDescent="0.2">
      <c r="A8742" s="1" t="str">
        <f>"ITPA"</f>
        <v>ITPA</v>
      </c>
      <c r="B8742" t="s">
        <v>14</v>
      </c>
      <c r="C8742" t="s">
        <v>29</v>
      </c>
      <c r="D8742" t="s">
        <v>17</v>
      </c>
      <c r="E8742" t="s">
        <v>12</v>
      </c>
      <c r="F8742">
        <v>3190115</v>
      </c>
      <c r="G8742">
        <v>3190178</v>
      </c>
      <c r="H8742">
        <v>3189966</v>
      </c>
      <c r="I8742">
        <v>3189991</v>
      </c>
    </row>
    <row r="8743" spans="1:9" x14ac:dyDescent="0.2">
      <c r="A8743" s="1" t="str">
        <f>"ITPK1"</f>
        <v>ITPK1</v>
      </c>
      <c r="B8743" t="s">
        <v>14</v>
      </c>
      <c r="C8743" t="s">
        <v>41</v>
      </c>
      <c r="D8743" t="s">
        <v>11</v>
      </c>
      <c r="E8743" t="s">
        <v>12</v>
      </c>
      <c r="F8743">
        <v>93582214</v>
      </c>
      <c r="G8743">
        <v>93582291</v>
      </c>
      <c r="H8743">
        <v>93581615</v>
      </c>
      <c r="I8743">
        <v>93581637</v>
      </c>
    </row>
    <row r="8744" spans="1:9" x14ac:dyDescent="0.2">
      <c r="A8744" s="1" t="str">
        <f>"ITPKA"</f>
        <v>ITPKA</v>
      </c>
      <c r="B8744" t="s">
        <v>14</v>
      </c>
      <c r="C8744" t="s">
        <v>25</v>
      </c>
      <c r="D8744" t="s">
        <v>17</v>
      </c>
      <c r="E8744" t="s">
        <v>12</v>
      </c>
      <c r="F8744">
        <v>41786065</v>
      </c>
      <c r="G8744">
        <v>41786081</v>
      </c>
      <c r="H8744">
        <v>41786021</v>
      </c>
      <c r="I8744">
        <v>41786055</v>
      </c>
    </row>
    <row r="8745" spans="1:9" x14ac:dyDescent="0.2">
      <c r="A8745" s="1" t="str">
        <f>"ITPKB"</f>
        <v>ITPKB</v>
      </c>
      <c r="B8745" t="s">
        <v>14</v>
      </c>
      <c r="C8745" t="s">
        <v>19</v>
      </c>
      <c r="D8745" t="s">
        <v>11</v>
      </c>
      <c r="E8745" t="s">
        <v>12</v>
      </c>
      <c r="F8745">
        <v>226926972</v>
      </c>
      <c r="G8745">
        <v>226927038</v>
      </c>
      <c r="H8745">
        <v>226927108</v>
      </c>
      <c r="I8745">
        <v>226927159</v>
      </c>
    </row>
    <row r="8746" spans="1:9" x14ac:dyDescent="0.2">
      <c r="A8746" s="1" t="str">
        <f>"ITPKC"</f>
        <v>ITPKC</v>
      </c>
      <c r="B8746" t="s">
        <v>14</v>
      </c>
      <c r="C8746" t="s">
        <v>10</v>
      </c>
      <c r="D8746" t="s">
        <v>17</v>
      </c>
      <c r="E8746" t="s">
        <v>12</v>
      </c>
      <c r="F8746">
        <v>41222998</v>
      </c>
      <c r="G8746">
        <v>41223057</v>
      </c>
      <c r="H8746">
        <v>41222885</v>
      </c>
      <c r="I8746">
        <v>41222935</v>
      </c>
    </row>
    <row r="8747" spans="1:9" x14ac:dyDescent="0.2">
      <c r="A8747" s="1" t="str">
        <f>"ITPR1"</f>
        <v>ITPR1</v>
      </c>
      <c r="B8747" t="s">
        <v>14</v>
      </c>
      <c r="C8747" t="s">
        <v>22</v>
      </c>
      <c r="D8747" t="s">
        <v>17</v>
      </c>
      <c r="E8747" t="s">
        <v>12</v>
      </c>
      <c r="F8747">
        <v>4535025</v>
      </c>
      <c r="G8747">
        <v>4535040</v>
      </c>
      <c r="H8747">
        <v>4535155</v>
      </c>
      <c r="I8747">
        <v>4535195</v>
      </c>
    </row>
    <row r="8748" spans="1:9" x14ac:dyDescent="0.2">
      <c r="A8748" s="1" t="str">
        <f>"ITPR2"</f>
        <v>ITPR2</v>
      </c>
      <c r="B8748" t="s">
        <v>14</v>
      </c>
      <c r="C8748" t="s">
        <v>16</v>
      </c>
      <c r="D8748" t="s">
        <v>11</v>
      </c>
      <c r="E8748" t="s">
        <v>12</v>
      </c>
      <c r="F8748">
        <v>26986076</v>
      </c>
      <c r="G8748">
        <v>26986147</v>
      </c>
      <c r="H8748">
        <v>26986161</v>
      </c>
      <c r="I8748">
        <v>26986173</v>
      </c>
    </row>
    <row r="8749" spans="1:9" x14ac:dyDescent="0.2">
      <c r="A8749" s="1" t="str">
        <f>"ITPR3"</f>
        <v>ITPR3</v>
      </c>
      <c r="B8749" t="s">
        <v>14</v>
      </c>
      <c r="C8749" t="s">
        <v>32</v>
      </c>
      <c r="D8749" t="s">
        <v>17</v>
      </c>
      <c r="E8749" t="s">
        <v>12</v>
      </c>
      <c r="F8749">
        <v>33589091</v>
      </c>
      <c r="G8749">
        <v>33589129</v>
      </c>
      <c r="H8749">
        <v>33589135</v>
      </c>
      <c r="I8749">
        <v>33589157</v>
      </c>
    </row>
    <row r="8750" spans="1:9" x14ac:dyDescent="0.2">
      <c r="A8750" s="1" t="str">
        <f>"ITPRIP"</f>
        <v>ITPRIP</v>
      </c>
      <c r="B8750" t="s">
        <v>14</v>
      </c>
      <c r="C8750" t="s">
        <v>15</v>
      </c>
      <c r="D8750" t="s">
        <v>11</v>
      </c>
      <c r="E8750" t="s">
        <v>12</v>
      </c>
      <c r="F8750">
        <v>106098189</v>
      </c>
      <c r="G8750">
        <v>106098232</v>
      </c>
      <c r="H8750">
        <v>106098163</v>
      </c>
      <c r="I8750">
        <v>106098181</v>
      </c>
    </row>
    <row r="8751" spans="1:9" x14ac:dyDescent="0.2">
      <c r="A8751" s="1" t="str">
        <f>"ITPRIPL1"</f>
        <v>ITPRIPL1</v>
      </c>
      <c r="B8751" t="s">
        <v>14</v>
      </c>
      <c r="C8751" t="s">
        <v>26</v>
      </c>
      <c r="D8751" t="s">
        <v>17</v>
      </c>
      <c r="E8751" t="s">
        <v>12</v>
      </c>
      <c r="F8751">
        <v>96991033</v>
      </c>
      <c r="G8751">
        <v>96991092</v>
      </c>
      <c r="H8751">
        <v>96991095</v>
      </c>
      <c r="I8751">
        <v>96991106</v>
      </c>
    </row>
    <row r="8752" spans="1:9" x14ac:dyDescent="0.2">
      <c r="A8752" s="1" t="str">
        <f>"ITPRIPL2"</f>
        <v>ITPRIPL2</v>
      </c>
      <c r="B8752" t="s">
        <v>14</v>
      </c>
      <c r="C8752" t="s">
        <v>31</v>
      </c>
      <c r="D8752" t="s">
        <v>17</v>
      </c>
      <c r="E8752" t="s">
        <v>12</v>
      </c>
      <c r="F8752">
        <v>19125278</v>
      </c>
      <c r="G8752">
        <v>19125339</v>
      </c>
      <c r="H8752">
        <v>19125252</v>
      </c>
      <c r="I8752">
        <v>19125267</v>
      </c>
    </row>
    <row r="8753" spans="1:9" x14ac:dyDescent="0.2">
      <c r="A8753" s="1" t="str">
        <f>"ITSN1"</f>
        <v>ITSN1</v>
      </c>
      <c r="B8753" t="s">
        <v>14</v>
      </c>
      <c r="C8753" t="s">
        <v>42</v>
      </c>
      <c r="D8753" t="s">
        <v>17</v>
      </c>
      <c r="E8753" t="s">
        <v>12</v>
      </c>
      <c r="F8753">
        <v>35014829</v>
      </c>
      <c r="G8753">
        <v>35014912</v>
      </c>
      <c r="H8753">
        <v>35014783</v>
      </c>
      <c r="I8753">
        <v>35014816</v>
      </c>
    </row>
    <row r="8754" spans="1:9" x14ac:dyDescent="0.2">
      <c r="A8754" s="1" t="str">
        <f>"ITSN2"</f>
        <v>ITSN2</v>
      </c>
      <c r="B8754" t="s">
        <v>14</v>
      </c>
      <c r="C8754" t="s">
        <v>26</v>
      </c>
      <c r="D8754" t="s">
        <v>11</v>
      </c>
      <c r="E8754" t="s">
        <v>12</v>
      </c>
      <c r="F8754">
        <v>24583314</v>
      </c>
      <c r="G8754">
        <v>24583433</v>
      </c>
      <c r="H8754">
        <v>24583602</v>
      </c>
      <c r="I8754">
        <v>24583680</v>
      </c>
    </row>
    <row r="8755" spans="1:9" x14ac:dyDescent="0.2">
      <c r="A8755" s="1" t="str">
        <f>"IVD"</f>
        <v>IVD</v>
      </c>
      <c r="B8755" t="s">
        <v>14</v>
      </c>
      <c r="C8755" t="s">
        <v>25</v>
      </c>
      <c r="D8755" t="s">
        <v>17</v>
      </c>
      <c r="E8755" t="s">
        <v>12</v>
      </c>
      <c r="F8755">
        <v>40697988</v>
      </c>
      <c r="G8755">
        <v>40698033</v>
      </c>
      <c r="H8755">
        <v>40697988</v>
      </c>
      <c r="I8755">
        <v>40698033</v>
      </c>
    </row>
    <row r="8756" spans="1:9" x14ac:dyDescent="0.2">
      <c r="A8756" s="1" t="str">
        <f>"IVL"</f>
        <v>IVL</v>
      </c>
      <c r="B8756" t="s">
        <v>14</v>
      </c>
      <c r="C8756" t="s">
        <v>19</v>
      </c>
      <c r="D8756" t="s">
        <v>17</v>
      </c>
      <c r="E8756" t="s">
        <v>12</v>
      </c>
      <c r="F8756">
        <v>152881014</v>
      </c>
      <c r="G8756">
        <v>152881031</v>
      </c>
      <c r="H8756">
        <v>152881014</v>
      </c>
      <c r="I8756">
        <v>152881031</v>
      </c>
    </row>
    <row r="8757" spans="1:9" x14ac:dyDescent="0.2">
      <c r="A8757" s="1" t="str">
        <f>"IVNS1ABP"</f>
        <v>IVNS1ABP</v>
      </c>
      <c r="B8757" t="s">
        <v>14</v>
      </c>
      <c r="C8757" t="s">
        <v>19</v>
      </c>
      <c r="D8757" t="s">
        <v>11</v>
      </c>
      <c r="E8757" t="s">
        <v>12</v>
      </c>
      <c r="F8757">
        <v>185286366</v>
      </c>
      <c r="G8757">
        <v>185286383</v>
      </c>
      <c r="H8757">
        <v>185286466</v>
      </c>
      <c r="I8757">
        <v>185286482</v>
      </c>
    </row>
    <row r="8758" spans="1:9" x14ac:dyDescent="0.2">
      <c r="A8758" s="1" t="str">
        <f>"IWS1"</f>
        <v>IWS1</v>
      </c>
      <c r="B8758" t="s">
        <v>14</v>
      </c>
      <c r="C8758" t="s">
        <v>26</v>
      </c>
      <c r="D8758" t="s">
        <v>11</v>
      </c>
      <c r="E8758" t="s">
        <v>12</v>
      </c>
      <c r="F8758">
        <v>128284020</v>
      </c>
      <c r="G8758">
        <v>128284091</v>
      </c>
      <c r="H8758">
        <v>128284003</v>
      </c>
      <c r="I8758">
        <v>128284018</v>
      </c>
    </row>
    <row r="8759" spans="1:9" x14ac:dyDescent="0.2">
      <c r="A8759" s="1" t="str">
        <f>"IYD"</f>
        <v>IYD</v>
      </c>
      <c r="B8759" t="s">
        <v>14</v>
      </c>
      <c r="C8759" t="s">
        <v>32</v>
      </c>
      <c r="D8759" t="s">
        <v>17</v>
      </c>
      <c r="E8759" t="s">
        <v>12</v>
      </c>
      <c r="F8759">
        <v>150690140</v>
      </c>
      <c r="G8759">
        <v>150690175</v>
      </c>
      <c r="H8759">
        <v>150690192</v>
      </c>
      <c r="I8759">
        <v>150690209</v>
      </c>
    </row>
    <row r="8760" spans="1:9" x14ac:dyDescent="0.2">
      <c r="A8760" s="1" t="str">
        <f>"IZUMO1"</f>
        <v>IZUMO1</v>
      </c>
      <c r="B8760" t="s">
        <v>14</v>
      </c>
      <c r="C8760" t="s">
        <v>10</v>
      </c>
      <c r="D8760" t="s">
        <v>11</v>
      </c>
      <c r="E8760" t="s">
        <v>12</v>
      </c>
      <c r="F8760">
        <v>49250145</v>
      </c>
      <c r="G8760">
        <v>49250154</v>
      </c>
      <c r="H8760">
        <v>49250125</v>
      </c>
      <c r="I8760">
        <v>49250132</v>
      </c>
    </row>
    <row r="8761" spans="1:9" x14ac:dyDescent="0.2">
      <c r="A8761" s="1" t="str">
        <f>"IZUMO2"</f>
        <v>IZUMO2</v>
      </c>
      <c r="B8761" t="s">
        <v>14</v>
      </c>
      <c r="C8761" t="s">
        <v>10</v>
      </c>
      <c r="D8761" t="s">
        <v>11</v>
      </c>
      <c r="E8761" t="s">
        <v>12</v>
      </c>
      <c r="F8761">
        <v>50666431</v>
      </c>
      <c r="G8761">
        <v>50666455</v>
      </c>
      <c r="H8761">
        <v>50666404</v>
      </c>
      <c r="I8761">
        <v>50666424</v>
      </c>
    </row>
    <row r="8762" spans="1:9" x14ac:dyDescent="0.2">
      <c r="A8762" s="1" t="str">
        <f>"IZUMO3"</f>
        <v>IZUMO3</v>
      </c>
      <c r="B8762" t="s">
        <v>14</v>
      </c>
      <c r="C8762" t="s">
        <v>24</v>
      </c>
      <c r="D8762" t="s">
        <v>11</v>
      </c>
      <c r="E8762" t="s">
        <v>12</v>
      </c>
      <c r="F8762">
        <v>24545850</v>
      </c>
      <c r="G8762">
        <v>24545896</v>
      </c>
      <c r="H8762">
        <v>24545850</v>
      </c>
      <c r="I8762">
        <v>24545896</v>
      </c>
    </row>
    <row r="8763" spans="1:9" x14ac:dyDescent="0.2">
      <c r="A8763" s="1" t="str">
        <f>"IZUMO4"</f>
        <v>IZUMO4</v>
      </c>
      <c r="B8763" t="s">
        <v>14</v>
      </c>
      <c r="C8763" t="s">
        <v>10</v>
      </c>
      <c r="D8763" t="s">
        <v>17</v>
      </c>
      <c r="E8763" t="s">
        <v>12</v>
      </c>
      <c r="F8763">
        <v>2096870</v>
      </c>
      <c r="G8763">
        <v>2096922</v>
      </c>
      <c r="H8763">
        <v>2096960</v>
      </c>
      <c r="I8763">
        <v>2097008</v>
      </c>
    </row>
    <row r="8764" spans="1:9" x14ac:dyDescent="0.2">
      <c r="A8764" s="1" t="str">
        <f>"JAG1"</f>
        <v>JAG1</v>
      </c>
      <c r="B8764" t="s">
        <v>14</v>
      </c>
      <c r="C8764" t="s">
        <v>29</v>
      </c>
      <c r="D8764" t="s">
        <v>11</v>
      </c>
      <c r="E8764" t="s">
        <v>12</v>
      </c>
      <c r="F8764">
        <v>10654639</v>
      </c>
      <c r="G8764">
        <v>10654656</v>
      </c>
      <c r="H8764">
        <v>10654594</v>
      </c>
      <c r="I8764">
        <v>10654605</v>
      </c>
    </row>
    <row r="8765" spans="1:9" x14ac:dyDescent="0.2">
      <c r="A8765" s="1" t="str">
        <f>"JAG2"</f>
        <v>JAG2</v>
      </c>
      <c r="B8765" t="s">
        <v>14</v>
      </c>
      <c r="C8765" t="s">
        <v>41</v>
      </c>
      <c r="D8765" t="s">
        <v>11</v>
      </c>
      <c r="E8765" t="s">
        <v>12</v>
      </c>
      <c r="F8765">
        <v>105635090</v>
      </c>
      <c r="G8765">
        <v>105635130</v>
      </c>
      <c r="H8765">
        <v>105635057</v>
      </c>
      <c r="I8765">
        <v>105635084</v>
      </c>
    </row>
    <row r="8766" spans="1:9" x14ac:dyDescent="0.2">
      <c r="A8766" s="1" t="str">
        <f>"JAGN1"</f>
        <v>JAGN1</v>
      </c>
      <c r="B8766" t="s">
        <v>14</v>
      </c>
      <c r="C8766" t="s">
        <v>22</v>
      </c>
      <c r="D8766" t="s">
        <v>17</v>
      </c>
      <c r="E8766" t="s">
        <v>12</v>
      </c>
      <c r="F8766">
        <v>9932272</v>
      </c>
      <c r="G8766">
        <v>9932313</v>
      </c>
      <c r="H8766">
        <v>9932317</v>
      </c>
      <c r="I8766">
        <v>9932344</v>
      </c>
    </row>
    <row r="8767" spans="1:9" x14ac:dyDescent="0.2">
      <c r="A8767" s="1" t="str">
        <f>"JAK1"</f>
        <v>JAK1</v>
      </c>
      <c r="B8767" t="s">
        <v>14</v>
      </c>
      <c r="C8767" t="s">
        <v>19</v>
      </c>
      <c r="D8767" t="s">
        <v>11</v>
      </c>
      <c r="E8767" t="s">
        <v>12</v>
      </c>
      <c r="F8767">
        <v>65432171</v>
      </c>
      <c r="G8767">
        <v>65432252</v>
      </c>
      <c r="H8767">
        <v>65432157</v>
      </c>
      <c r="I8767">
        <v>65432168</v>
      </c>
    </row>
    <row r="8768" spans="1:9" x14ac:dyDescent="0.2">
      <c r="A8768" s="1" t="str">
        <f>"JAK2"</f>
        <v>JAK2</v>
      </c>
      <c r="B8768" t="s">
        <v>14</v>
      </c>
      <c r="C8768" t="s">
        <v>24</v>
      </c>
      <c r="D8768" t="s">
        <v>17</v>
      </c>
      <c r="E8768" t="s">
        <v>12</v>
      </c>
      <c r="F8768">
        <v>4985246</v>
      </c>
      <c r="G8768">
        <v>4985329</v>
      </c>
      <c r="H8768">
        <v>4985016</v>
      </c>
      <c r="I8768">
        <v>4985098</v>
      </c>
    </row>
    <row r="8769" spans="1:9" x14ac:dyDescent="0.2">
      <c r="A8769" s="1" t="str">
        <f>"JAK3"</f>
        <v>JAK3</v>
      </c>
      <c r="B8769" t="s">
        <v>14</v>
      </c>
      <c r="C8769" t="s">
        <v>10</v>
      </c>
      <c r="D8769" t="s">
        <v>11</v>
      </c>
      <c r="E8769" t="s">
        <v>12</v>
      </c>
      <c r="F8769">
        <v>17958771</v>
      </c>
      <c r="G8769">
        <v>17958829</v>
      </c>
      <c r="H8769">
        <v>17958832</v>
      </c>
      <c r="I8769">
        <v>17958861</v>
      </c>
    </row>
    <row r="8770" spans="1:9" x14ac:dyDescent="0.2">
      <c r="A8770" s="1" t="str">
        <f>"JAKMIP1"</f>
        <v>JAKMIP1</v>
      </c>
      <c r="B8770" t="s">
        <v>14</v>
      </c>
      <c r="C8770" t="s">
        <v>23</v>
      </c>
      <c r="D8770" t="s">
        <v>11</v>
      </c>
      <c r="E8770" t="s">
        <v>12</v>
      </c>
      <c r="F8770">
        <v>6202247</v>
      </c>
      <c r="G8770">
        <v>6202290</v>
      </c>
      <c r="H8770">
        <v>6202291</v>
      </c>
      <c r="I8770">
        <v>6202311</v>
      </c>
    </row>
    <row r="8771" spans="1:9" x14ac:dyDescent="0.2">
      <c r="A8771" s="1" t="str">
        <f>"JAKMIP2"</f>
        <v>JAKMIP2</v>
      </c>
      <c r="B8771" t="s">
        <v>14</v>
      </c>
      <c r="C8771" t="s">
        <v>46</v>
      </c>
      <c r="D8771" t="s">
        <v>11</v>
      </c>
      <c r="E8771" t="s">
        <v>12</v>
      </c>
      <c r="F8771">
        <v>147162263</v>
      </c>
      <c r="G8771">
        <v>147162332</v>
      </c>
      <c r="H8771">
        <v>147162202</v>
      </c>
      <c r="I8771">
        <v>147162227</v>
      </c>
    </row>
    <row r="8772" spans="1:9" x14ac:dyDescent="0.2">
      <c r="A8772" s="1" t="str">
        <f>"JAKMIP3"</f>
        <v>JAKMIP3</v>
      </c>
      <c r="B8772" t="s">
        <v>14</v>
      </c>
      <c r="C8772" t="s">
        <v>15</v>
      </c>
      <c r="D8772" t="s">
        <v>17</v>
      </c>
      <c r="E8772" t="s">
        <v>12</v>
      </c>
      <c r="F8772">
        <v>133918225</v>
      </c>
      <c r="G8772">
        <v>133918242</v>
      </c>
      <c r="H8772">
        <v>133918225</v>
      </c>
      <c r="I8772">
        <v>133918242</v>
      </c>
    </row>
    <row r="8773" spans="1:9" x14ac:dyDescent="0.2">
      <c r="A8773" s="1" t="str">
        <f>"JAM2"</f>
        <v>JAM2</v>
      </c>
      <c r="B8773" t="s">
        <v>14</v>
      </c>
      <c r="C8773" t="s">
        <v>42</v>
      </c>
      <c r="D8773" t="s">
        <v>17</v>
      </c>
      <c r="E8773" t="s">
        <v>12</v>
      </c>
      <c r="F8773">
        <v>27011975</v>
      </c>
      <c r="G8773">
        <v>27012064</v>
      </c>
      <c r="H8773">
        <v>27011711</v>
      </c>
      <c r="I8773">
        <v>27011766</v>
      </c>
    </row>
    <row r="8774" spans="1:9" x14ac:dyDescent="0.2">
      <c r="A8774" s="1" t="str">
        <f>"JAM3"</f>
        <v>JAM3</v>
      </c>
      <c r="B8774" t="s">
        <v>14</v>
      </c>
      <c r="C8774" t="s">
        <v>27</v>
      </c>
      <c r="D8774" t="s">
        <v>17</v>
      </c>
      <c r="E8774" t="s">
        <v>12</v>
      </c>
      <c r="F8774">
        <v>133938955</v>
      </c>
      <c r="G8774">
        <v>133938973</v>
      </c>
      <c r="H8774">
        <v>133938925</v>
      </c>
      <c r="I8774">
        <v>133938950</v>
      </c>
    </row>
    <row r="8775" spans="1:9" x14ac:dyDescent="0.2">
      <c r="A8775" s="1" t="str">
        <f>"JARID2"</f>
        <v>JARID2</v>
      </c>
      <c r="B8775" t="s">
        <v>14</v>
      </c>
      <c r="C8775" t="s">
        <v>32</v>
      </c>
      <c r="D8775" t="s">
        <v>17</v>
      </c>
      <c r="E8775" t="s">
        <v>12</v>
      </c>
      <c r="F8775">
        <v>15246261</v>
      </c>
      <c r="G8775">
        <v>15246312</v>
      </c>
      <c r="H8775">
        <v>15246200</v>
      </c>
      <c r="I8775">
        <v>15246214</v>
      </c>
    </row>
    <row r="8776" spans="1:9" x14ac:dyDescent="0.2">
      <c r="A8776" s="1" t="str">
        <f>"JAZF1"</f>
        <v>JAZF1</v>
      </c>
      <c r="B8776" t="s">
        <v>14</v>
      </c>
      <c r="C8776" t="s">
        <v>33</v>
      </c>
      <c r="D8776" t="s">
        <v>11</v>
      </c>
      <c r="E8776" t="s">
        <v>12</v>
      </c>
      <c r="F8776">
        <v>28220354</v>
      </c>
      <c r="G8776">
        <v>28220441</v>
      </c>
      <c r="H8776">
        <v>28220198</v>
      </c>
      <c r="I8776">
        <v>28220269</v>
      </c>
    </row>
    <row r="8777" spans="1:9" x14ac:dyDescent="0.2">
      <c r="A8777" s="1" t="str">
        <f>"JDP2"</f>
        <v>JDP2</v>
      </c>
      <c r="B8777" t="s">
        <v>14</v>
      </c>
      <c r="C8777" t="s">
        <v>41</v>
      </c>
      <c r="D8777" t="s">
        <v>17</v>
      </c>
      <c r="E8777" t="s">
        <v>12</v>
      </c>
      <c r="F8777">
        <v>75894714</v>
      </c>
      <c r="G8777">
        <v>75894733</v>
      </c>
      <c r="H8777">
        <v>75894391</v>
      </c>
      <c r="I8777">
        <v>75894435</v>
      </c>
    </row>
    <row r="8778" spans="1:9" x14ac:dyDescent="0.2">
      <c r="A8778" s="1" t="str">
        <f>"JHDM1D"</f>
        <v>JHDM1D</v>
      </c>
      <c r="B8778" t="s">
        <v>14</v>
      </c>
      <c r="C8778" t="s">
        <v>33</v>
      </c>
      <c r="D8778" t="s">
        <v>11</v>
      </c>
      <c r="E8778" t="s">
        <v>12</v>
      </c>
      <c r="F8778">
        <v>139876770</v>
      </c>
      <c r="G8778">
        <v>139876799</v>
      </c>
      <c r="H8778">
        <v>139876734</v>
      </c>
      <c r="I8778">
        <v>139876764</v>
      </c>
    </row>
    <row r="8779" spans="1:9" x14ac:dyDescent="0.2">
      <c r="A8779" s="1" t="str">
        <f>"JKAMP"</f>
        <v>JKAMP</v>
      </c>
      <c r="B8779" t="s">
        <v>14</v>
      </c>
      <c r="C8779" t="s">
        <v>41</v>
      </c>
      <c r="D8779" t="s">
        <v>17</v>
      </c>
      <c r="E8779" t="s">
        <v>12</v>
      </c>
      <c r="F8779">
        <v>59951206</v>
      </c>
      <c r="G8779">
        <v>59951276</v>
      </c>
      <c r="H8779">
        <v>59951470</v>
      </c>
      <c r="I8779">
        <v>59951496</v>
      </c>
    </row>
    <row r="8780" spans="1:9" x14ac:dyDescent="0.2">
      <c r="A8780" s="1" t="str">
        <f>"JMJD1C"</f>
        <v>JMJD1C</v>
      </c>
      <c r="B8780" t="s">
        <v>14</v>
      </c>
      <c r="C8780" t="s">
        <v>15</v>
      </c>
      <c r="D8780" t="s">
        <v>11</v>
      </c>
      <c r="E8780" t="s">
        <v>12</v>
      </c>
      <c r="F8780">
        <v>65028938</v>
      </c>
      <c r="G8780">
        <v>65028989</v>
      </c>
      <c r="H8780">
        <v>65028994</v>
      </c>
      <c r="I8780">
        <v>65029018</v>
      </c>
    </row>
    <row r="8781" spans="1:9" x14ac:dyDescent="0.2">
      <c r="A8781" s="1" t="str">
        <f>"JMJD4"</f>
        <v>JMJD4</v>
      </c>
      <c r="B8781" t="s">
        <v>14</v>
      </c>
      <c r="C8781" t="s">
        <v>19</v>
      </c>
      <c r="D8781" t="s">
        <v>11</v>
      </c>
      <c r="E8781" t="s">
        <v>12</v>
      </c>
      <c r="F8781">
        <v>227922934</v>
      </c>
      <c r="G8781">
        <v>227923013</v>
      </c>
      <c r="H8781">
        <v>227922934</v>
      </c>
      <c r="I8781">
        <v>227923013</v>
      </c>
    </row>
    <row r="8782" spans="1:9" x14ac:dyDescent="0.2">
      <c r="A8782" s="1" t="str">
        <f>"JMJD6"</f>
        <v>JMJD6</v>
      </c>
      <c r="B8782" t="s">
        <v>14</v>
      </c>
      <c r="C8782" t="s">
        <v>28</v>
      </c>
      <c r="D8782" t="s">
        <v>11</v>
      </c>
      <c r="E8782" t="s">
        <v>12</v>
      </c>
      <c r="F8782">
        <v>74722536</v>
      </c>
      <c r="G8782">
        <v>74722639</v>
      </c>
      <c r="H8782">
        <v>74722673</v>
      </c>
      <c r="I8782">
        <v>74722718</v>
      </c>
    </row>
    <row r="8783" spans="1:9" x14ac:dyDescent="0.2">
      <c r="A8783" s="1" t="str">
        <f>"JMJD7"</f>
        <v>JMJD7</v>
      </c>
      <c r="B8783" t="s">
        <v>9</v>
      </c>
      <c r="C8783" t="s">
        <v>25</v>
      </c>
      <c r="D8783" t="s">
        <v>17</v>
      </c>
      <c r="E8783" t="s">
        <v>12</v>
      </c>
      <c r="F8783">
        <v>42120283</v>
      </c>
      <c r="G8783">
        <v>42120332</v>
      </c>
      <c r="H8783">
        <v>42120283</v>
      </c>
      <c r="I8783">
        <v>42120332</v>
      </c>
    </row>
    <row r="8784" spans="1:9" x14ac:dyDescent="0.2">
      <c r="A8784" s="1" t="str">
        <f>"JMJD7"</f>
        <v>JMJD7</v>
      </c>
      <c r="B8784" t="s">
        <v>13</v>
      </c>
      <c r="C8784" t="s">
        <v>25</v>
      </c>
      <c r="D8784" t="s">
        <v>17</v>
      </c>
      <c r="E8784" t="s">
        <v>12</v>
      </c>
      <c r="F8784">
        <v>42131037</v>
      </c>
      <c r="G8784">
        <v>42131060</v>
      </c>
      <c r="H8784">
        <v>42131037</v>
      </c>
      <c r="I8784">
        <v>42131060</v>
      </c>
    </row>
    <row r="8785" spans="1:9" x14ac:dyDescent="0.2">
      <c r="A8785" s="1" t="str">
        <f>"JMJD7-PLA2G4B"</f>
        <v>JMJD7-PLA2G4B</v>
      </c>
      <c r="B8785" t="s">
        <v>9</v>
      </c>
      <c r="C8785" t="s">
        <v>25</v>
      </c>
      <c r="D8785" t="s">
        <v>17</v>
      </c>
      <c r="E8785" t="s">
        <v>12</v>
      </c>
      <c r="F8785">
        <v>42120283</v>
      </c>
      <c r="G8785">
        <v>42120332</v>
      </c>
      <c r="H8785">
        <v>42120283</v>
      </c>
      <c r="I8785">
        <v>42120332</v>
      </c>
    </row>
    <row r="8786" spans="1:9" x14ac:dyDescent="0.2">
      <c r="A8786" s="1" t="str">
        <f>"JMJD7-PLA2G4B"</f>
        <v>JMJD7-PLA2G4B</v>
      </c>
      <c r="B8786" t="s">
        <v>13</v>
      </c>
      <c r="C8786" t="s">
        <v>25</v>
      </c>
      <c r="D8786" t="s">
        <v>17</v>
      </c>
      <c r="E8786" t="s">
        <v>12</v>
      </c>
      <c r="F8786">
        <v>42131037</v>
      </c>
      <c r="G8786">
        <v>42131060</v>
      </c>
      <c r="H8786">
        <v>42131037</v>
      </c>
      <c r="I8786">
        <v>42131060</v>
      </c>
    </row>
    <row r="8787" spans="1:9" x14ac:dyDescent="0.2">
      <c r="A8787" s="1" t="str">
        <f>"JMJD8"</f>
        <v>JMJD8</v>
      </c>
      <c r="B8787" t="s">
        <v>14</v>
      </c>
      <c r="C8787" t="s">
        <v>31</v>
      </c>
      <c r="D8787" t="s">
        <v>11</v>
      </c>
      <c r="E8787" t="s">
        <v>12</v>
      </c>
      <c r="F8787">
        <v>734318</v>
      </c>
      <c r="G8787">
        <v>734362</v>
      </c>
      <c r="H8787">
        <v>734163</v>
      </c>
      <c r="I8787">
        <v>734183</v>
      </c>
    </row>
    <row r="8788" spans="1:9" x14ac:dyDescent="0.2">
      <c r="A8788" s="1" t="str">
        <f>"JMY"</f>
        <v>JMY</v>
      </c>
      <c r="B8788" t="s">
        <v>14</v>
      </c>
      <c r="C8788" t="s">
        <v>46</v>
      </c>
      <c r="D8788" t="s">
        <v>17</v>
      </c>
      <c r="E8788" t="s">
        <v>12</v>
      </c>
      <c r="F8788">
        <v>78531917</v>
      </c>
      <c r="G8788">
        <v>78531974</v>
      </c>
      <c r="H8788">
        <v>78531981</v>
      </c>
      <c r="I8788">
        <v>78532002</v>
      </c>
    </row>
    <row r="8789" spans="1:9" x14ac:dyDescent="0.2">
      <c r="A8789" s="1" t="str">
        <f>"JOSD1"</f>
        <v>JOSD1</v>
      </c>
      <c r="B8789" t="s">
        <v>14</v>
      </c>
      <c r="C8789" t="s">
        <v>21</v>
      </c>
      <c r="D8789" t="s">
        <v>11</v>
      </c>
      <c r="E8789" t="s">
        <v>12</v>
      </c>
      <c r="F8789">
        <v>39096925</v>
      </c>
      <c r="G8789">
        <v>39096954</v>
      </c>
      <c r="H8789">
        <v>39096661</v>
      </c>
      <c r="I8789">
        <v>39096681</v>
      </c>
    </row>
    <row r="8790" spans="1:9" x14ac:dyDescent="0.2">
      <c r="A8790" s="1" t="str">
        <f>"JOSD2"</f>
        <v>JOSD2</v>
      </c>
      <c r="B8790" t="s">
        <v>14</v>
      </c>
      <c r="C8790" t="s">
        <v>10</v>
      </c>
      <c r="D8790" t="s">
        <v>11</v>
      </c>
      <c r="E8790" t="s">
        <v>12</v>
      </c>
      <c r="F8790">
        <v>51014460</v>
      </c>
      <c r="G8790">
        <v>51014503</v>
      </c>
      <c r="H8790">
        <v>51014430</v>
      </c>
      <c r="I8790">
        <v>51014455</v>
      </c>
    </row>
    <row r="8791" spans="1:9" x14ac:dyDescent="0.2">
      <c r="A8791" s="1" t="str">
        <f>"JPH1"</f>
        <v>JPH1</v>
      </c>
      <c r="B8791" t="s">
        <v>14</v>
      </c>
      <c r="C8791" t="s">
        <v>30</v>
      </c>
      <c r="D8791" t="s">
        <v>11</v>
      </c>
      <c r="E8791" t="s">
        <v>12</v>
      </c>
      <c r="F8791">
        <v>75233767</v>
      </c>
      <c r="G8791">
        <v>75233785</v>
      </c>
      <c r="H8791">
        <v>75233789</v>
      </c>
      <c r="I8791">
        <v>75233817</v>
      </c>
    </row>
    <row r="8792" spans="1:9" x14ac:dyDescent="0.2">
      <c r="A8792" s="1" t="str">
        <f>"JPH2"</f>
        <v>JPH2</v>
      </c>
      <c r="B8792" t="s">
        <v>14</v>
      </c>
      <c r="C8792" t="s">
        <v>29</v>
      </c>
      <c r="D8792" t="s">
        <v>11</v>
      </c>
      <c r="E8792" t="s">
        <v>12</v>
      </c>
      <c r="F8792">
        <v>42815793</v>
      </c>
      <c r="G8792">
        <v>42815838</v>
      </c>
      <c r="H8792">
        <v>42815767</v>
      </c>
      <c r="I8792">
        <v>42815787</v>
      </c>
    </row>
    <row r="8793" spans="1:9" x14ac:dyDescent="0.2">
      <c r="A8793" s="1" t="str">
        <f>"JPH3"</f>
        <v>JPH3</v>
      </c>
      <c r="B8793" t="s">
        <v>14</v>
      </c>
      <c r="C8793" t="s">
        <v>31</v>
      </c>
      <c r="D8793" t="s">
        <v>17</v>
      </c>
      <c r="E8793" t="s">
        <v>12</v>
      </c>
      <c r="F8793">
        <v>87636085</v>
      </c>
      <c r="G8793">
        <v>87636144</v>
      </c>
      <c r="H8793">
        <v>87636085</v>
      </c>
      <c r="I8793">
        <v>87636144</v>
      </c>
    </row>
    <row r="8794" spans="1:9" x14ac:dyDescent="0.2">
      <c r="A8794" s="1" t="str">
        <f>"JPH4"</f>
        <v>JPH4</v>
      </c>
      <c r="B8794" t="s">
        <v>14</v>
      </c>
      <c r="C8794" t="s">
        <v>41</v>
      </c>
      <c r="D8794" t="s">
        <v>11</v>
      </c>
      <c r="E8794" t="s">
        <v>12</v>
      </c>
      <c r="F8794">
        <v>24047965</v>
      </c>
      <c r="G8794">
        <v>24048079</v>
      </c>
      <c r="H8794">
        <v>24047629</v>
      </c>
      <c r="I8794">
        <v>24047664</v>
      </c>
    </row>
    <row r="8795" spans="1:9" x14ac:dyDescent="0.2">
      <c r="A8795" s="1" t="str">
        <f>"JRK"</f>
        <v>JRK</v>
      </c>
      <c r="B8795" t="s">
        <v>9</v>
      </c>
      <c r="C8795" t="s">
        <v>30</v>
      </c>
      <c r="D8795" t="s">
        <v>11</v>
      </c>
      <c r="E8795" t="s">
        <v>12</v>
      </c>
      <c r="F8795">
        <v>143751366</v>
      </c>
      <c r="G8795">
        <v>143751408</v>
      </c>
      <c r="H8795">
        <v>143751366</v>
      </c>
      <c r="I8795">
        <v>143751408</v>
      </c>
    </row>
    <row r="8796" spans="1:9" x14ac:dyDescent="0.2">
      <c r="A8796" s="1" t="str">
        <f>"JRK"</f>
        <v>JRK</v>
      </c>
      <c r="B8796" t="s">
        <v>13</v>
      </c>
      <c r="C8796" t="s">
        <v>30</v>
      </c>
      <c r="D8796" t="s">
        <v>11</v>
      </c>
      <c r="E8796" t="s">
        <v>12</v>
      </c>
      <c r="F8796">
        <v>143763362</v>
      </c>
      <c r="G8796">
        <v>143763394</v>
      </c>
      <c r="H8796">
        <v>143763362</v>
      </c>
      <c r="I8796">
        <v>143763394</v>
      </c>
    </row>
    <row r="8797" spans="1:9" x14ac:dyDescent="0.2">
      <c r="A8797" s="1" t="str">
        <f>"JRKL"</f>
        <v>JRKL</v>
      </c>
      <c r="B8797" t="s">
        <v>14</v>
      </c>
      <c r="C8797" t="s">
        <v>27</v>
      </c>
      <c r="D8797" t="s">
        <v>17</v>
      </c>
      <c r="E8797" t="s">
        <v>12</v>
      </c>
      <c r="F8797">
        <v>96123170</v>
      </c>
      <c r="G8797">
        <v>96123211</v>
      </c>
      <c r="H8797">
        <v>96123151</v>
      </c>
      <c r="I8797">
        <v>96123161</v>
      </c>
    </row>
    <row r="8798" spans="1:9" x14ac:dyDescent="0.2">
      <c r="A8798" s="1" t="str">
        <f>"JSRP1"</f>
        <v>JSRP1</v>
      </c>
      <c r="B8798" t="s">
        <v>14</v>
      </c>
      <c r="C8798" t="s">
        <v>10</v>
      </c>
      <c r="D8798" t="s">
        <v>11</v>
      </c>
      <c r="E8798" t="s">
        <v>12</v>
      </c>
      <c r="F8798">
        <v>2256405</v>
      </c>
      <c r="G8798">
        <v>2256428</v>
      </c>
      <c r="H8798">
        <v>2256429</v>
      </c>
      <c r="I8798">
        <v>2256440</v>
      </c>
    </row>
    <row r="8799" spans="1:9" x14ac:dyDescent="0.2">
      <c r="A8799" s="1" t="str">
        <f>"JTB"</f>
        <v>JTB</v>
      </c>
      <c r="B8799" t="s">
        <v>14</v>
      </c>
      <c r="C8799" t="s">
        <v>19</v>
      </c>
      <c r="D8799" t="s">
        <v>11</v>
      </c>
      <c r="E8799" t="s">
        <v>12</v>
      </c>
      <c r="F8799">
        <v>153950116</v>
      </c>
      <c r="G8799">
        <v>153950158</v>
      </c>
      <c r="H8799">
        <v>153950098</v>
      </c>
      <c r="I8799">
        <v>153950112</v>
      </c>
    </row>
    <row r="8800" spans="1:9" x14ac:dyDescent="0.2">
      <c r="A8800" s="1" t="str">
        <f>"JUN"</f>
        <v>JUN</v>
      </c>
      <c r="B8800" t="s">
        <v>14</v>
      </c>
      <c r="C8800" t="s">
        <v>19</v>
      </c>
      <c r="D8800" t="s">
        <v>11</v>
      </c>
      <c r="E8800" t="s">
        <v>12</v>
      </c>
      <c r="F8800">
        <v>59249707</v>
      </c>
      <c r="G8800">
        <v>59249727</v>
      </c>
      <c r="H8800">
        <v>59249732</v>
      </c>
      <c r="I8800">
        <v>59249749</v>
      </c>
    </row>
    <row r="8801" spans="1:9" x14ac:dyDescent="0.2">
      <c r="A8801" s="1" t="str">
        <f>"JUNB"</f>
        <v>JUNB</v>
      </c>
      <c r="B8801" t="s">
        <v>14</v>
      </c>
      <c r="C8801" t="s">
        <v>10</v>
      </c>
      <c r="D8801" t="s">
        <v>17</v>
      </c>
      <c r="E8801" t="s">
        <v>12</v>
      </c>
      <c r="F8801">
        <v>12902289</v>
      </c>
      <c r="G8801">
        <v>12902307</v>
      </c>
      <c r="H8801">
        <v>12902166</v>
      </c>
      <c r="I8801">
        <v>12902169</v>
      </c>
    </row>
    <row r="8802" spans="1:9" x14ac:dyDescent="0.2">
      <c r="A8802" s="1" t="str">
        <f>"JUND"</f>
        <v>JUND</v>
      </c>
      <c r="B8802" t="s">
        <v>14</v>
      </c>
      <c r="C8802" t="s">
        <v>10</v>
      </c>
      <c r="D8802" t="s">
        <v>11</v>
      </c>
      <c r="E8802" t="s">
        <v>12</v>
      </c>
      <c r="F8802">
        <v>18392422</v>
      </c>
      <c r="G8802">
        <v>18392440</v>
      </c>
      <c r="H8802">
        <v>18392236</v>
      </c>
      <c r="I8802">
        <v>18392248</v>
      </c>
    </row>
    <row r="8803" spans="1:9" x14ac:dyDescent="0.2">
      <c r="A8803" s="1" t="str">
        <f>"JUP"</f>
        <v>JUP</v>
      </c>
      <c r="B8803" t="s">
        <v>14</v>
      </c>
      <c r="C8803" t="s">
        <v>28</v>
      </c>
      <c r="D8803" t="s">
        <v>11</v>
      </c>
      <c r="E8803" t="s">
        <v>12</v>
      </c>
      <c r="F8803">
        <v>39942940</v>
      </c>
      <c r="G8803">
        <v>39942970</v>
      </c>
      <c r="H8803">
        <v>39942220</v>
      </c>
      <c r="I8803">
        <v>39942242</v>
      </c>
    </row>
    <row r="8804" spans="1:9" x14ac:dyDescent="0.2">
      <c r="A8804" s="1" t="str">
        <f>"KAAG1"</f>
        <v>KAAG1</v>
      </c>
      <c r="B8804" t="s">
        <v>14</v>
      </c>
      <c r="C8804" t="s">
        <v>32</v>
      </c>
      <c r="D8804" t="s">
        <v>17</v>
      </c>
      <c r="E8804" t="s">
        <v>12</v>
      </c>
      <c r="F8804">
        <v>24357672</v>
      </c>
      <c r="G8804">
        <v>24357688</v>
      </c>
      <c r="H8804">
        <v>24357778</v>
      </c>
      <c r="I8804">
        <v>24357784</v>
      </c>
    </row>
    <row r="8805" spans="1:9" x14ac:dyDescent="0.2">
      <c r="A8805" s="1" t="str">
        <f>"KAL1"</f>
        <v>KAL1</v>
      </c>
      <c r="B8805" t="s">
        <v>14</v>
      </c>
      <c r="C8805" t="s">
        <v>37</v>
      </c>
      <c r="D8805" t="s">
        <v>11</v>
      </c>
      <c r="E8805" t="s">
        <v>12</v>
      </c>
      <c r="F8805">
        <v>8700171</v>
      </c>
      <c r="G8805">
        <v>8700212</v>
      </c>
      <c r="H8805">
        <v>8700158</v>
      </c>
      <c r="I8805">
        <v>8700167</v>
      </c>
    </row>
    <row r="8806" spans="1:9" x14ac:dyDescent="0.2">
      <c r="A8806" s="1" t="str">
        <f>"KALRN"</f>
        <v>KALRN</v>
      </c>
      <c r="B8806" t="s">
        <v>662</v>
      </c>
      <c r="C8806" t="s">
        <v>22</v>
      </c>
      <c r="D8806" t="s">
        <v>17</v>
      </c>
      <c r="E8806" t="s">
        <v>35</v>
      </c>
      <c r="F8806">
        <v>123813477</v>
      </c>
      <c r="G8806">
        <v>123813480</v>
      </c>
      <c r="H8806">
        <v>123813638</v>
      </c>
      <c r="I8806">
        <v>123813639</v>
      </c>
    </row>
    <row r="8807" spans="1:9" x14ac:dyDescent="0.2">
      <c r="A8807" s="1" t="str">
        <f>"KANK1"</f>
        <v>KANK1</v>
      </c>
      <c r="B8807" t="s">
        <v>14</v>
      </c>
      <c r="C8807" t="s">
        <v>24</v>
      </c>
      <c r="D8807" t="s">
        <v>17</v>
      </c>
      <c r="E8807" t="s">
        <v>12</v>
      </c>
      <c r="F8807">
        <v>504674</v>
      </c>
      <c r="G8807">
        <v>504740</v>
      </c>
      <c r="H8807">
        <v>504674</v>
      </c>
      <c r="I8807">
        <v>504740</v>
      </c>
    </row>
    <row r="8808" spans="1:9" x14ac:dyDescent="0.2">
      <c r="A8808" s="1" t="str">
        <f>"KANK2"</f>
        <v>KANK2</v>
      </c>
      <c r="B8808" t="s">
        <v>14</v>
      </c>
      <c r="C8808" t="s">
        <v>10</v>
      </c>
      <c r="D8808" t="s">
        <v>11</v>
      </c>
      <c r="E8808" t="s">
        <v>12</v>
      </c>
      <c r="F8808">
        <v>11308190</v>
      </c>
      <c r="G8808">
        <v>11308244</v>
      </c>
      <c r="H8808">
        <v>11308502</v>
      </c>
      <c r="I8808">
        <v>11308553</v>
      </c>
    </row>
    <row r="8809" spans="1:9" x14ac:dyDescent="0.2">
      <c r="A8809" s="1" t="str">
        <f>"KANK3"</f>
        <v>KANK3</v>
      </c>
      <c r="B8809" t="s">
        <v>14</v>
      </c>
      <c r="C8809" t="s">
        <v>10</v>
      </c>
      <c r="D8809" t="s">
        <v>11</v>
      </c>
      <c r="E8809" t="s">
        <v>12</v>
      </c>
      <c r="F8809">
        <v>8408139</v>
      </c>
      <c r="G8809">
        <v>8408153</v>
      </c>
      <c r="H8809">
        <v>8408139</v>
      </c>
      <c r="I8809">
        <v>8408153</v>
      </c>
    </row>
    <row r="8810" spans="1:9" x14ac:dyDescent="0.2">
      <c r="A8810" s="1" t="str">
        <f>"KANK4"</f>
        <v>KANK4</v>
      </c>
      <c r="B8810" t="s">
        <v>14</v>
      </c>
      <c r="C8810" t="s">
        <v>19</v>
      </c>
      <c r="D8810" t="s">
        <v>11</v>
      </c>
      <c r="E8810" t="s">
        <v>12</v>
      </c>
      <c r="F8810">
        <v>62785054</v>
      </c>
      <c r="G8810">
        <v>62785125</v>
      </c>
      <c r="H8810">
        <v>62784864</v>
      </c>
      <c r="I8810">
        <v>62784917</v>
      </c>
    </row>
    <row r="8811" spans="1:9" x14ac:dyDescent="0.2">
      <c r="A8811" s="1" t="str">
        <f>"KANSL1"</f>
        <v>KANSL1</v>
      </c>
      <c r="B8811" t="s">
        <v>14</v>
      </c>
      <c r="C8811" t="s">
        <v>28</v>
      </c>
      <c r="D8811" t="s">
        <v>11</v>
      </c>
      <c r="E8811" t="s">
        <v>12</v>
      </c>
      <c r="F8811">
        <v>44270738</v>
      </c>
      <c r="G8811">
        <v>44270766</v>
      </c>
      <c r="H8811">
        <v>44270133</v>
      </c>
      <c r="I8811">
        <v>44270207</v>
      </c>
    </row>
    <row r="8812" spans="1:9" x14ac:dyDescent="0.2">
      <c r="A8812" s="1" t="str">
        <f>"KANSL1L"</f>
        <v>KANSL1L</v>
      </c>
      <c r="B8812" t="s">
        <v>14</v>
      </c>
      <c r="C8812" t="s">
        <v>26</v>
      </c>
      <c r="D8812" t="s">
        <v>11</v>
      </c>
      <c r="E8812" t="s">
        <v>12</v>
      </c>
      <c r="F8812">
        <v>211036070</v>
      </c>
      <c r="G8812">
        <v>211036121</v>
      </c>
      <c r="H8812">
        <v>211036126</v>
      </c>
      <c r="I8812">
        <v>211036138</v>
      </c>
    </row>
    <row r="8813" spans="1:9" x14ac:dyDescent="0.2">
      <c r="A8813" s="1" t="str">
        <f>"KANSL2"</f>
        <v>KANSL2</v>
      </c>
      <c r="B8813" t="s">
        <v>14</v>
      </c>
      <c r="C8813" t="s">
        <v>16</v>
      </c>
      <c r="D8813" t="s">
        <v>11</v>
      </c>
      <c r="E8813" t="s">
        <v>12</v>
      </c>
      <c r="F8813">
        <v>49076002</v>
      </c>
      <c r="G8813">
        <v>49076043</v>
      </c>
      <c r="H8813">
        <v>49075982</v>
      </c>
      <c r="I8813">
        <v>49076001</v>
      </c>
    </row>
    <row r="8814" spans="1:9" x14ac:dyDescent="0.2">
      <c r="A8814" s="1" t="str">
        <f>"KANSL3"</f>
        <v>KANSL3</v>
      </c>
      <c r="B8814" t="s">
        <v>14</v>
      </c>
      <c r="C8814" t="s">
        <v>26</v>
      </c>
      <c r="D8814" t="s">
        <v>11</v>
      </c>
      <c r="E8814" t="s">
        <v>12</v>
      </c>
      <c r="F8814">
        <v>97304009</v>
      </c>
      <c r="G8814">
        <v>97304074</v>
      </c>
      <c r="H8814">
        <v>97304076</v>
      </c>
      <c r="I8814">
        <v>97304088</v>
      </c>
    </row>
    <row r="8815" spans="1:9" x14ac:dyDescent="0.2">
      <c r="A8815" s="1" t="str">
        <f>"KARS"</f>
        <v>KARS</v>
      </c>
      <c r="B8815" t="s">
        <v>14</v>
      </c>
      <c r="C8815" t="s">
        <v>31</v>
      </c>
      <c r="D8815" t="s">
        <v>11</v>
      </c>
      <c r="E8815" t="s">
        <v>12</v>
      </c>
      <c r="F8815">
        <v>75681541</v>
      </c>
      <c r="G8815">
        <v>75681572</v>
      </c>
      <c r="H8815">
        <v>75682527</v>
      </c>
      <c r="I8815">
        <v>75682554</v>
      </c>
    </row>
    <row r="8816" spans="1:9" x14ac:dyDescent="0.2">
      <c r="A8816" s="1" t="str">
        <f>"KAT2A"</f>
        <v>KAT2A</v>
      </c>
      <c r="B8816" t="s">
        <v>14</v>
      </c>
      <c r="C8816" t="s">
        <v>28</v>
      </c>
      <c r="D8816" t="s">
        <v>11</v>
      </c>
      <c r="E8816" t="s">
        <v>12</v>
      </c>
      <c r="F8816">
        <v>40273348</v>
      </c>
      <c r="G8816">
        <v>40273397</v>
      </c>
      <c r="H8816">
        <v>40273332</v>
      </c>
      <c r="I8816">
        <v>40273341</v>
      </c>
    </row>
    <row r="8817" spans="1:9" x14ac:dyDescent="0.2">
      <c r="A8817" s="1" t="str">
        <f>"KAT2B"</f>
        <v>KAT2B</v>
      </c>
      <c r="B8817" t="s">
        <v>14</v>
      </c>
      <c r="C8817" t="s">
        <v>22</v>
      </c>
      <c r="D8817" t="s">
        <v>17</v>
      </c>
      <c r="E8817" t="s">
        <v>12</v>
      </c>
      <c r="F8817">
        <v>20081869</v>
      </c>
      <c r="G8817">
        <v>20081927</v>
      </c>
      <c r="H8817">
        <v>20081722</v>
      </c>
      <c r="I8817">
        <v>20081773</v>
      </c>
    </row>
    <row r="8818" spans="1:9" x14ac:dyDescent="0.2">
      <c r="A8818" s="1" t="str">
        <f>"KAT5"</f>
        <v>KAT5</v>
      </c>
      <c r="B8818" t="s">
        <v>14</v>
      </c>
      <c r="C8818" t="s">
        <v>27</v>
      </c>
      <c r="D8818" t="s">
        <v>17</v>
      </c>
      <c r="E8818" t="s">
        <v>12</v>
      </c>
      <c r="F8818">
        <v>65479702</v>
      </c>
      <c r="G8818">
        <v>65479731</v>
      </c>
      <c r="H8818">
        <v>65479462</v>
      </c>
      <c r="I8818">
        <v>65479517</v>
      </c>
    </row>
    <row r="8819" spans="1:9" x14ac:dyDescent="0.2">
      <c r="A8819" s="1" t="str">
        <f>"KAT6A"</f>
        <v>KAT6A</v>
      </c>
      <c r="B8819" t="s">
        <v>14</v>
      </c>
      <c r="C8819" t="s">
        <v>30</v>
      </c>
      <c r="D8819" t="s">
        <v>11</v>
      </c>
      <c r="E8819" t="s">
        <v>12</v>
      </c>
      <c r="F8819">
        <v>41909496</v>
      </c>
      <c r="G8819">
        <v>41909512</v>
      </c>
      <c r="H8819">
        <v>41909496</v>
      </c>
      <c r="I8819">
        <v>41909512</v>
      </c>
    </row>
    <row r="8820" spans="1:9" x14ac:dyDescent="0.2">
      <c r="A8820" s="1" t="str">
        <f>"KAT6B"</f>
        <v>KAT6B</v>
      </c>
      <c r="B8820" t="s">
        <v>14</v>
      </c>
      <c r="C8820" t="s">
        <v>15</v>
      </c>
      <c r="D8820" t="s">
        <v>17</v>
      </c>
      <c r="E8820" t="s">
        <v>12</v>
      </c>
      <c r="F8820">
        <v>76586348</v>
      </c>
      <c r="G8820">
        <v>76586366</v>
      </c>
      <c r="H8820">
        <v>76586311</v>
      </c>
      <c r="I8820">
        <v>76586341</v>
      </c>
    </row>
    <row r="8821" spans="1:9" x14ac:dyDescent="0.2">
      <c r="A8821" s="1" t="str">
        <f>"KAT7"</f>
        <v>KAT7</v>
      </c>
      <c r="B8821" t="s">
        <v>14</v>
      </c>
      <c r="C8821" t="s">
        <v>28</v>
      </c>
      <c r="D8821" t="s">
        <v>17</v>
      </c>
      <c r="E8821" t="s">
        <v>12</v>
      </c>
      <c r="F8821">
        <v>47866034</v>
      </c>
      <c r="G8821">
        <v>47866060</v>
      </c>
      <c r="H8821">
        <v>47866034</v>
      </c>
      <c r="I8821">
        <v>47866060</v>
      </c>
    </row>
    <row r="8822" spans="1:9" x14ac:dyDescent="0.2">
      <c r="A8822" s="1" t="str">
        <f>"KAT8"</f>
        <v>KAT8</v>
      </c>
      <c r="B8822" t="s">
        <v>9</v>
      </c>
      <c r="C8822" t="s">
        <v>31</v>
      </c>
      <c r="D8822" t="s">
        <v>17</v>
      </c>
      <c r="E8822" t="s">
        <v>12</v>
      </c>
      <c r="F8822">
        <v>31128978</v>
      </c>
      <c r="G8822">
        <v>31129002</v>
      </c>
      <c r="H8822">
        <v>31128978</v>
      </c>
      <c r="I8822">
        <v>31129002</v>
      </c>
    </row>
    <row r="8823" spans="1:9" x14ac:dyDescent="0.2">
      <c r="A8823" s="1" t="str">
        <f>"KAT8"</f>
        <v>KAT8</v>
      </c>
      <c r="B8823" t="s">
        <v>13</v>
      </c>
      <c r="C8823" t="s">
        <v>31</v>
      </c>
      <c r="D8823" t="s">
        <v>17</v>
      </c>
      <c r="E8823" t="s">
        <v>12</v>
      </c>
      <c r="F8823">
        <v>31141328</v>
      </c>
      <c r="G8823">
        <v>31141350</v>
      </c>
      <c r="H8823">
        <v>31141328</v>
      </c>
      <c r="I8823">
        <v>31141350</v>
      </c>
    </row>
    <row r="8824" spans="1:9" x14ac:dyDescent="0.2">
      <c r="A8824" s="1" t="str">
        <f>"KATNA1"</f>
        <v>KATNA1</v>
      </c>
      <c r="B8824" t="s">
        <v>14</v>
      </c>
      <c r="C8824" t="s">
        <v>32</v>
      </c>
      <c r="D8824" t="s">
        <v>11</v>
      </c>
      <c r="E8824" t="s">
        <v>12</v>
      </c>
      <c r="F8824">
        <v>149969829</v>
      </c>
      <c r="G8824">
        <v>149969863</v>
      </c>
      <c r="H8824">
        <v>149969872</v>
      </c>
      <c r="I8824">
        <v>149969917</v>
      </c>
    </row>
    <row r="8825" spans="1:9" x14ac:dyDescent="0.2">
      <c r="A8825" s="1" t="str">
        <f>"KATNAL1"</f>
        <v>KATNAL1</v>
      </c>
      <c r="B8825" t="s">
        <v>14</v>
      </c>
      <c r="C8825" t="s">
        <v>39</v>
      </c>
      <c r="D8825" t="s">
        <v>11</v>
      </c>
      <c r="E8825" t="s">
        <v>12</v>
      </c>
      <c r="F8825">
        <v>30881524</v>
      </c>
      <c r="G8825">
        <v>30881589</v>
      </c>
      <c r="H8825">
        <v>30880979</v>
      </c>
      <c r="I8825">
        <v>30881008</v>
      </c>
    </row>
    <row r="8826" spans="1:9" x14ac:dyDescent="0.2">
      <c r="A8826" s="1" t="str">
        <f>"KATNAL2"</f>
        <v>KATNAL2</v>
      </c>
      <c r="B8826" t="s">
        <v>14</v>
      </c>
      <c r="C8826" t="s">
        <v>43</v>
      </c>
      <c r="D8826" t="s">
        <v>17</v>
      </c>
      <c r="E8826" t="s">
        <v>12</v>
      </c>
      <c r="F8826">
        <v>44497547</v>
      </c>
      <c r="G8826">
        <v>44497582</v>
      </c>
      <c r="H8826">
        <v>44497524</v>
      </c>
      <c r="I8826">
        <v>44497546</v>
      </c>
    </row>
    <row r="8827" spans="1:9" x14ac:dyDescent="0.2">
      <c r="A8827" s="1" t="str">
        <f>"KATNB1"</f>
        <v>KATNB1</v>
      </c>
      <c r="B8827" t="s">
        <v>14</v>
      </c>
      <c r="C8827" t="s">
        <v>31</v>
      </c>
      <c r="D8827" t="s">
        <v>17</v>
      </c>
      <c r="E8827" t="s">
        <v>12</v>
      </c>
      <c r="F8827">
        <v>57769635</v>
      </c>
      <c r="G8827">
        <v>57769702</v>
      </c>
      <c r="H8827">
        <v>57769709</v>
      </c>
      <c r="I8827">
        <v>57769747</v>
      </c>
    </row>
    <row r="8828" spans="1:9" x14ac:dyDescent="0.2">
      <c r="A8828" s="1" t="str">
        <f>"KATNBL1"</f>
        <v>KATNBL1</v>
      </c>
      <c r="B8828" t="s">
        <v>14</v>
      </c>
      <c r="C8828" t="s">
        <v>25</v>
      </c>
      <c r="D8828" t="s">
        <v>11</v>
      </c>
      <c r="E8828" t="s">
        <v>12</v>
      </c>
      <c r="F8828">
        <v>34502223</v>
      </c>
      <c r="G8828">
        <v>34502245</v>
      </c>
      <c r="H8828">
        <v>34502287</v>
      </c>
      <c r="I8828">
        <v>34502318</v>
      </c>
    </row>
    <row r="8829" spans="1:9" x14ac:dyDescent="0.2">
      <c r="A8829" s="1" t="str">
        <f>"KAZALD1"</f>
        <v>KAZALD1</v>
      </c>
      <c r="B8829" t="s">
        <v>14</v>
      </c>
      <c r="C8829" t="s">
        <v>15</v>
      </c>
      <c r="D8829" t="s">
        <v>17</v>
      </c>
      <c r="E8829" t="s">
        <v>12</v>
      </c>
      <c r="F8829">
        <v>102821731</v>
      </c>
      <c r="G8829">
        <v>102821752</v>
      </c>
      <c r="H8829">
        <v>102820989</v>
      </c>
      <c r="I8829">
        <v>102821005</v>
      </c>
    </row>
    <row r="8830" spans="1:9" x14ac:dyDescent="0.2">
      <c r="A8830" s="1" t="str">
        <f>"KAZN"</f>
        <v>KAZN</v>
      </c>
      <c r="B8830" t="s">
        <v>663</v>
      </c>
      <c r="C8830" t="s">
        <v>19</v>
      </c>
      <c r="D8830" t="s">
        <v>17</v>
      </c>
      <c r="E8830" t="s">
        <v>35</v>
      </c>
      <c r="F8830">
        <v>14925173</v>
      </c>
      <c r="G8830">
        <v>14925196</v>
      </c>
      <c r="H8830">
        <v>14925315</v>
      </c>
      <c r="I8830">
        <v>14925338</v>
      </c>
    </row>
    <row r="8831" spans="1:9" x14ac:dyDescent="0.2">
      <c r="A8831" s="1" t="str">
        <f>"KBTBD11"</f>
        <v>KBTBD11</v>
      </c>
      <c r="B8831" t="s">
        <v>14</v>
      </c>
      <c r="C8831" t="s">
        <v>30</v>
      </c>
      <c r="D8831" t="s">
        <v>17</v>
      </c>
      <c r="E8831" t="s">
        <v>12</v>
      </c>
      <c r="F8831">
        <v>1921835</v>
      </c>
      <c r="G8831">
        <v>1921891</v>
      </c>
      <c r="H8831">
        <v>1922024</v>
      </c>
      <c r="I8831">
        <v>1922069</v>
      </c>
    </row>
    <row r="8832" spans="1:9" x14ac:dyDescent="0.2">
      <c r="A8832" s="1" t="str">
        <f>"KBTBD12"</f>
        <v>KBTBD12</v>
      </c>
      <c r="B8832" t="s">
        <v>14</v>
      </c>
      <c r="C8832" t="s">
        <v>22</v>
      </c>
      <c r="D8832" t="s">
        <v>17</v>
      </c>
      <c r="E8832" t="s">
        <v>12</v>
      </c>
      <c r="F8832">
        <v>127634312</v>
      </c>
      <c r="G8832">
        <v>127634328</v>
      </c>
      <c r="H8832">
        <v>127634330</v>
      </c>
      <c r="I8832">
        <v>127634345</v>
      </c>
    </row>
    <row r="8833" spans="1:9" x14ac:dyDescent="0.2">
      <c r="A8833" s="1" t="str">
        <f>"KBTBD13"</f>
        <v>KBTBD13</v>
      </c>
      <c r="B8833" t="s">
        <v>14</v>
      </c>
      <c r="C8833" t="s">
        <v>25</v>
      </c>
      <c r="D8833" t="s">
        <v>17</v>
      </c>
      <c r="E8833" t="s">
        <v>12</v>
      </c>
      <c r="F8833">
        <v>65369082</v>
      </c>
      <c r="G8833">
        <v>65369105</v>
      </c>
      <c r="H8833">
        <v>65369082</v>
      </c>
      <c r="I8833">
        <v>65369105</v>
      </c>
    </row>
    <row r="8834" spans="1:9" x14ac:dyDescent="0.2">
      <c r="A8834" s="1" t="str">
        <f>"KBTBD2"</f>
        <v>KBTBD2</v>
      </c>
      <c r="B8834" t="s">
        <v>14</v>
      </c>
      <c r="C8834" t="s">
        <v>33</v>
      </c>
      <c r="D8834" t="s">
        <v>11</v>
      </c>
      <c r="E8834" t="s">
        <v>12</v>
      </c>
      <c r="F8834">
        <v>32931356</v>
      </c>
      <c r="G8834">
        <v>32931379</v>
      </c>
      <c r="H8834">
        <v>32931356</v>
      </c>
      <c r="I8834">
        <v>32931379</v>
      </c>
    </row>
    <row r="8835" spans="1:9" x14ac:dyDescent="0.2">
      <c r="A8835" s="1" t="str">
        <f>"KBTBD3"</f>
        <v>KBTBD3</v>
      </c>
      <c r="B8835" t="s">
        <v>14</v>
      </c>
      <c r="C8835" t="s">
        <v>27</v>
      </c>
      <c r="D8835" t="s">
        <v>11</v>
      </c>
      <c r="E8835" t="s">
        <v>12</v>
      </c>
      <c r="F8835">
        <v>105948040</v>
      </c>
      <c r="G8835">
        <v>105948082</v>
      </c>
      <c r="H8835">
        <v>105948129</v>
      </c>
      <c r="I8835">
        <v>105948161</v>
      </c>
    </row>
    <row r="8836" spans="1:9" x14ac:dyDescent="0.2">
      <c r="A8836" s="1" t="str">
        <f>"KBTBD4"</f>
        <v>KBTBD4</v>
      </c>
      <c r="B8836" t="s">
        <v>664</v>
      </c>
      <c r="C8836" t="s">
        <v>27</v>
      </c>
      <c r="D8836" t="s">
        <v>17</v>
      </c>
      <c r="E8836" t="s">
        <v>20</v>
      </c>
      <c r="F8836">
        <v>47599276</v>
      </c>
      <c r="G8836">
        <v>47599276</v>
      </c>
      <c r="H8836">
        <v>47599276</v>
      </c>
      <c r="I8836">
        <v>47599276</v>
      </c>
    </row>
    <row r="8837" spans="1:9" x14ac:dyDescent="0.2">
      <c r="A8837" s="1" t="str">
        <f>"KBTBD6"</f>
        <v>KBTBD6</v>
      </c>
      <c r="B8837" t="s">
        <v>14</v>
      </c>
      <c r="C8837" t="s">
        <v>39</v>
      </c>
      <c r="D8837" t="s">
        <v>11</v>
      </c>
      <c r="E8837" t="s">
        <v>12</v>
      </c>
      <c r="F8837">
        <v>41706864</v>
      </c>
      <c r="G8837">
        <v>41706963</v>
      </c>
      <c r="H8837">
        <v>41706681</v>
      </c>
      <c r="I8837">
        <v>41706711</v>
      </c>
    </row>
    <row r="8838" spans="1:9" x14ac:dyDescent="0.2">
      <c r="A8838" s="1" t="str">
        <f>"KBTBD7"</f>
        <v>KBTBD7</v>
      </c>
      <c r="B8838" t="s">
        <v>14</v>
      </c>
      <c r="C8838" t="s">
        <v>39</v>
      </c>
      <c r="D8838" t="s">
        <v>11</v>
      </c>
      <c r="E8838" t="s">
        <v>12</v>
      </c>
      <c r="F8838">
        <v>41768654</v>
      </c>
      <c r="G8838">
        <v>41768714</v>
      </c>
      <c r="H8838">
        <v>41768621</v>
      </c>
      <c r="I8838">
        <v>41768651</v>
      </c>
    </row>
    <row r="8839" spans="1:9" x14ac:dyDescent="0.2">
      <c r="A8839" s="1" t="str">
        <f>"KBTBD8"</f>
        <v>KBTBD8</v>
      </c>
      <c r="B8839" t="s">
        <v>14</v>
      </c>
      <c r="C8839" t="s">
        <v>22</v>
      </c>
      <c r="D8839" t="s">
        <v>17</v>
      </c>
      <c r="E8839" t="s">
        <v>12</v>
      </c>
      <c r="F8839">
        <v>67048721</v>
      </c>
      <c r="G8839">
        <v>67048760</v>
      </c>
      <c r="H8839">
        <v>67048695</v>
      </c>
      <c r="I8839">
        <v>67048712</v>
      </c>
    </row>
    <row r="8840" spans="1:9" x14ac:dyDescent="0.2">
      <c r="A8840" s="1" t="str">
        <f>"KCMF1"</f>
        <v>KCMF1</v>
      </c>
      <c r="B8840" t="s">
        <v>14</v>
      </c>
      <c r="C8840" t="s">
        <v>26</v>
      </c>
      <c r="D8840" t="s">
        <v>17</v>
      </c>
      <c r="E8840" t="s">
        <v>12</v>
      </c>
      <c r="F8840">
        <v>85198231</v>
      </c>
      <c r="G8840">
        <v>85198305</v>
      </c>
      <c r="H8840">
        <v>85198369</v>
      </c>
      <c r="I8840">
        <v>85198483</v>
      </c>
    </row>
    <row r="8841" spans="1:9" x14ac:dyDescent="0.2">
      <c r="A8841" s="1" t="str">
        <f>"KCNA1"</f>
        <v>KCNA1</v>
      </c>
      <c r="B8841" t="s">
        <v>14</v>
      </c>
      <c r="C8841" t="s">
        <v>16</v>
      </c>
      <c r="D8841" t="s">
        <v>17</v>
      </c>
      <c r="E8841" t="s">
        <v>12</v>
      </c>
      <c r="F8841">
        <v>5019061</v>
      </c>
      <c r="G8841">
        <v>5019078</v>
      </c>
      <c r="H8841">
        <v>5019042</v>
      </c>
      <c r="I8841">
        <v>5019054</v>
      </c>
    </row>
    <row r="8842" spans="1:9" x14ac:dyDescent="0.2">
      <c r="A8842" s="1" t="str">
        <f>"KCNA10"</f>
        <v>KCNA10</v>
      </c>
      <c r="B8842" t="s">
        <v>665</v>
      </c>
      <c r="C8842" t="s">
        <v>19</v>
      </c>
      <c r="D8842" t="s">
        <v>11</v>
      </c>
      <c r="E8842" t="s">
        <v>20</v>
      </c>
      <c r="F8842">
        <v>111061796</v>
      </c>
      <c r="G8842">
        <v>111061796</v>
      </c>
      <c r="H8842">
        <v>111061796</v>
      </c>
      <c r="I8842">
        <v>111061796</v>
      </c>
    </row>
    <row r="8843" spans="1:9" x14ac:dyDescent="0.2">
      <c r="A8843" s="1" t="str">
        <f>"KCNA2"</f>
        <v>KCNA2</v>
      </c>
      <c r="B8843" t="s">
        <v>9</v>
      </c>
      <c r="C8843" t="s">
        <v>19</v>
      </c>
      <c r="D8843" t="s">
        <v>11</v>
      </c>
      <c r="E8843" t="s">
        <v>12</v>
      </c>
      <c r="F8843">
        <v>111149970</v>
      </c>
      <c r="G8843">
        <v>111150027</v>
      </c>
      <c r="H8843">
        <v>111149970</v>
      </c>
      <c r="I8843">
        <v>111150027</v>
      </c>
    </row>
    <row r="8844" spans="1:9" x14ac:dyDescent="0.2">
      <c r="A8844" s="1" t="str">
        <f>"KCNA2"</f>
        <v>KCNA2</v>
      </c>
      <c r="B8844" t="s">
        <v>13</v>
      </c>
      <c r="C8844" t="s">
        <v>19</v>
      </c>
      <c r="D8844" t="s">
        <v>11</v>
      </c>
      <c r="E8844" t="s">
        <v>12</v>
      </c>
      <c r="F8844">
        <v>111148969</v>
      </c>
      <c r="G8844">
        <v>111148991</v>
      </c>
      <c r="H8844">
        <v>111148969</v>
      </c>
      <c r="I8844">
        <v>111148991</v>
      </c>
    </row>
    <row r="8845" spans="1:9" x14ac:dyDescent="0.2">
      <c r="A8845" s="1" t="str">
        <f>"KCNA3"</f>
        <v>KCNA3</v>
      </c>
      <c r="B8845" t="s">
        <v>14</v>
      </c>
      <c r="C8845" t="s">
        <v>19</v>
      </c>
      <c r="D8845" t="s">
        <v>11</v>
      </c>
      <c r="E8845" t="s">
        <v>12</v>
      </c>
      <c r="F8845">
        <v>111217541</v>
      </c>
      <c r="G8845">
        <v>111217576</v>
      </c>
      <c r="H8845">
        <v>111217410</v>
      </c>
      <c r="I8845">
        <v>111217472</v>
      </c>
    </row>
    <row r="8846" spans="1:9" x14ac:dyDescent="0.2">
      <c r="A8846" s="1" t="str">
        <f>"KCNA4"</f>
        <v>KCNA4</v>
      </c>
      <c r="B8846" t="s">
        <v>14</v>
      </c>
      <c r="C8846" t="s">
        <v>27</v>
      </c>
      <c r="D8846" t="s">
        <v>11</v>
      </c>
      <c r="E8846" t="s">
        <v>12</v>
      </c>
      <c r="F8846">
        <v>30038490</v>
      </c>
      <c r="G8846">
        <v>30038590</v>
      </c>
      <c r="H8846">
        <v>30038078</v>
      </c>
      <c r="I8846">
        <v>30038082</v>
      </c>
    </row>
    <row r="8847" spans="1:9" x14ac:dyDescent="0.2">
      <c r="A8847" s="1" t="str">
        <f>"KCNA5"</f>
        <v>KCNA5</v>
      </c>
      <c r="B8847" t="s">
        <v>14</v>
      </c>
      <c r="C8847" t="s">
        <v>16</v>
      </c>
      <c r="D8847" t="s">
        <v>17</v>
      </c>
      <c r="E8847" t="s">
        <v>12</v>
      </c>
      <c r="F8847">
        <v>5153018</v>
      </c>
      <c r="G8847">
        <v>5153070</v>
      </c>
      <c r="H8847">
        <v>5153193</v>
      </c>
      <c r="I8847">
        <v>5153203</v>
      </c>
    </row>
    <row r="8848" spans="1:9" x14ac:dyDescent="0.2">
      <c r="A8848" s="1" t="str">
        <f>"KCNA6"</f>
        <v>KCNA6</v>
      </c>
      <c r="B8848" t="s">
        <v>14</v>
      </c>
      <c r="C8848" t="s">
        <v>16</v>
      </c>
      <c r="D8848" t="s">
        <v>17</v>
      </c>
      <c r="E8848" t="s">
        <v>12</v>
      </c>
      <c r="F8848">
        <v>4918492</v>
      </c>
      <c r="G8848">
        <v>4918527</v>
      </c>
      <c r="H8848">
        <v>4918462</v>
      </c>
      <c r="I8848">
        <v>4918475</v>
      </c>
    </row>
    <row r="8849" spans="1:9" x14ac:dyDescent="0.2">
      <c r="A8849" s="1" t="str">
        <f>"KCNA7"</f>
        <v>KCNA7</v>
      </c>
      <c r="B8849" t="s">
        <v>14</v>
      </c>
      <c r="C8849" t="s">
        <v>10</v>
      </c>
      <c r="D8849" t="s">
        <v>11</v>
      </c>
      <c r="E8849" t="s">
        <v>12</v>
      </c>
      <c r="F8849">
        <v>49575947</v>
      </c>
      <c r="G8849">
        <v>49575959</v>
      </c>
      <c r="H8849">
        <v>49575872</v>
      </c>
      <c r="I8849">
        <v>49575879</v>
      </c>
    </row>
    <row r="8850" spans="1:9" x14ac:dyDescent="0.2">
      <c r="A8850" s="1" t="str">
        <f>"KCNAB1"</f>
        <v>KCNAB1</v>
      </c>
      <c r="B8850" t="s">
        <v>14</v>
      </c>
      <c r="C8850" t="s">
        <v>22</v>
      </c>
      <c r="D8850" t="s">
        <v>17</v>
      </c>
      <c r="E8850" t="s">
        <v>12</v>
      </c>
      <c r="F8850">
        <v>156008809</v>
      </c>
      <c r="G8850">
        <v>156008839</v>
      </c>
      <c r="H8850">
        <v>156009623</v>
      </c>
      <c r="I8850">
        <v>156009647</v>
      </c>
    </row>
    <row r="8851" spans="1:9" x14ac:dyDescent="0.2">
      <c r="A8851" s="1" t="str">
        <f>"KCNAB2"</f>
        <v>KCNAB2</v>
      </c>
      <c r="B8851" t="s">
        <v>9</v>
      </c>
      <c r="C8851" t="s">
        <v>19</v>
      </c>
      <c r="D8851" t="s">
        <v>17</v>
      </c>
      <c r="E8851" t="s">
        <v>12</v>
      </c>
      <c r="F8851">
        <v>6086385</v>
      </c>
      <c r="G8851">
        <v>6086411</v>
      </c>
      <c r="H8851">
        <v>6086385</v>
      </c>
      <c r="I8851">
        <v>6086411</v>
      </c>
    </row>
    <row r="8852" spans="1:9" x14ac:dyDescent="0.2">
      <c r="A8852" s="1" t="str">
        <f>"KCNAB2"</f>
        <v>KCNAB2</v>
      </c>
      <c r="B8852" t="s">
        <v>13</v>
      </c>
      <c r="C8852" t="s">
        <v>19</v>
      </c>
      <c r="D8852" t="s">
        <v>17</v>
      </c>
      <c r="E8852" t="s">
        <v>12</v>
      </c>
      <c r="F8852">
        <v>6052700</v>
      </c>
      <c r="G8852">
        <v>6052785</v>
      </c>
      <c r="H8852">
        <v>6052700</v>
      </c>
      <c r="I8852">
        <v>6052785</v>
      </c>
    </row>
    <row r="8853" spans="1:9" x14ac:dyDescent="0.2">
      <c r="A8853" s="1" t="str">
        <f>"KCNAB3"</f>
        <v>KCNAB3</v>
      </c>
      <c r="B8853" t="s">
        <v>14</v>
      </c>
      <c r="C8853" t="s">
        <v>28</v>
      </c>
      <c r="D8853" t="s">
        <v>11</v>
      </c>
      <c r="E8853" t="s">
        <v>12</v>
      </c>
      <c r="F8853">
        <v>7833111</v>
      </c>
      <c r="G8853">
        <v>7833187</v>
      </c>
      <c r="H8853">
        <v>7832898</v>
      </c>
      <c r="I8853">
        <v>7832907</v>
      </c>
    </row>
    <row r="8854" spans="1:9" x14ac:dyDescent="0.2">
      <c r="A8854" s="1" t="str">
        <f>"KCNB1"</f>
        <v>KCNB1</v>
      </c>
      <c r="B8854" t="s">
        <v>14</v>
      </c>
      <c r="C8854" t="s">
        <v>29</v>
      </c>
      <c r="D8854" t="s">
        <v>11</v>
      </c>
      <c r="E8854" t="s">
        <v>12</v>
      </c>
      <c r="F8854">
        <v>48100795</v>
      </c>
      <c r="G8854">
        <v>48100845</v>
      </c>
      <c r="H8854">
        <v>48100795</v>
      </c>
      <c r="I8854">
        <v>48100845</v>
      </c>
    </row>
    <row r="8855" spans="1:9" x14ac:dyDescent="0.2">
      <c r="A8855" s="1" t="str">
        <f>"KCNB2"</f>
        <v>KCNB2</v>
      </c>
      <c r="B8855" t="s">
        <v>14</v>
      </c>
      <c r="C8855" t="s">
        <v>30</v>
      </c>
      <c r="D8855" t="s">
        <v>17</v>
      </c>
      <c r="E8855" t="s">
        <v>12</v>
      </c>
      <c r="F8855">
        <v>73449214</v>
      </c>
      <c r="G8855">
        <v>73449261</v>
      </c>
      <c r="H8855">
        <v>73449625</v>
      </c>
      <c r="I8855">
        <v>73449668</v>
      </c>
    </row>
    <row r="8856" spans="1:9" x14ac:dyDescent="0.2">
      <c r="A8856" s="1" t="str">
        <f>"KCNC1"</f>
        <v>KCNC1</v>
      </c>
      <c r="B8856" t="s">
        <v>9</v>
      </c>
      <c r="C8856" t="s">
        <v>27</v>
      </c>
      <c r="D8856" t="s">
        <v>17</v>
      </c>
      <c r="E8856" t="s">
        <v>12</v>
      </c>
      <c r="F8856">
        <v>17756279</v>
      </c>
      <c r="G8856">
        <v>17756367</v>
      </c>
      <c r="H8856">
        <v>17756279</v>
      </c>
      <c r="I8856">
        <v>17756367</v>
      </c>
    </row>
    <row r="8857" spans="1:9" x14ac:dyDescent="0.2">
      <c r="A8857" s="1" t="str">
        <f>"KCNC1"</f>
        <v>KCNC1</v>
      </c>
      <c r="B8857" t="s">
        <v>13</v>
      </c>
      <c r="C8857" t="s">
        <v>27</v>
      </c>
      <c r="D8857" t="s">
        <v>17</v>
      </c>
      <c r="E8857" t="s">
        <v>12</v>
      </c>
      <c r="F8857">
        <v>17757673</v>
      </c>
      <c r="G8857">
        <v>17757692</v>
      </c>
      <c r="H8857">
        <v>17757673</v>
      </c>
      <c r="I8857">
        <v>17757692</v>
      </c>
    </row>
    <row r="8858" spans="1:9" x14ac:dyDescent="0.2">
      <c r="A8858" s="1" t="str">
        <f>"KCNC2"</f>
        <v>KCNC2</v>
      </c>
      <c r="B8858" t="s">
        <v>14</v>
      </c>
      <c r="C8858" t="s">
        <v>16</v>
      </c>
      <c r="D8858" t="s">
        <v>11</v>
      </c>
      <c r="E8858" t="s">
        <v>12</v>
      </c>
      <c r="F8858">
        <v>75603482</v>
      </c>
      <c r="G8858">
        <v>75603534</v>
      </c>
      <c r="H8858">
        <v>75603202</v>
      </c>
      <c r="I8858">
        <v>75603233</v>
      </c>
    </row>
    <row r="8859" spans="1:9" x14ac:dyDescent="0.2">
      <c r="A8859" s="1" t="str">
        <f>"KCNC3"</f>
        <v>KCNC3</v>
      </c>
      <c r="B8859" t="s">
        <v>9</v>
      </c>
      <c r="C8859" t="s">
        <v>10</v>
      </c>
      <c r="D8859" t="s">
        <v>11</v>
      </c>
      <c r="E8859" t="s">
        <v>12</v>
      </c>
      <c r="F8859">
        <v>50832300</v>
      </c>
      <c r="G8859">
        <v>50832335</v>
      </c>
      <c r="H8859">
        <v>50832300</v>
      </c>
      <c r="I8859">
        <v>50832335</v>
      </c>
    </row>
    <row r="8860" spans="1:9" x14ac:dyDescent="0.2">
      <c r="A8860" s="1" t="str">
        <f>"KCNC3"</f>
        <v>KCNC3</v>
      </c>
      <c r="B8860" t="s">
        <v>13</v>
      </c>
      <c r="C8860" t="s">
        <v>10</v>
      </c>
      <c r="D8860" t="s">
        <v>11</v>
      </c>
      <c r="E8860" t="s">
        <v>12</v>
      </c>
      <c r="F8860">
        <v>50836778</v>
      </c>
      <c r="G8860">
        <v>50836801</v>
      </c>
      <c r="H8860">
        <v>50836778</v>
      </c>
      <c r="I8860">
        <v>50836801</v>
      </c>
    </row>
    <row r="8861" spans="1:9" x14ac:dyDescent="0.2">
      <c r="A8861" s="1" t="str">
        <f>"KCNC4"</f>
        <v>KCNC4</v>
      </c>
      <c r="B8861" t="s">
        <v>14</v>
      </c>
      <c r="C8861" t="s">
        <v>19</v>
      </c>
      <c r="D8861" t="s">
        <v>17</v>
      </c>
      <c r="E8861" t="s">
        <v>12</v>
      </c>
      <c r="F8861">
        <v>110752913</v>
      </c>
      <c r="G8861">
        <v>110752963</v>
      </c>
      <c r="H8861">
        <v>110752913</v>
      </c>
      <c r="I8861">
        <v>110752963</v>
      </c>
    </row>
    <row r="8862" spans="1:9" x14ac:dyDescent="0.2">
      <c r="A8862" s="1" t="str">
        <f>"KCND1"</f>
        <v>KCND1</v>
      </c>
      <c r="B8862" t="s">
        <v>14</v>
      </c>
      <c r="C8862" t="s">
        <v>37</v>
      </c>
      <c r="D8862" t="s">
        <v>11</v>
      </c>
      <c r="E8862" t="s">
        <v>12</v>
      </c>
      <c r="F8862">
        <v>48828236</v>
      </c>
      <c r="G8862">
        <v>48828276</v>
      </c>
      <c r="H8862">
        <v>48828344</v>
      </c>
      <c r="I8862">
        <v>48828381</v>
      </c>
    </row>
    <row r="8863" spans="1:9" x14ac:dyDescent="0.2">
      <c r="A8863" s="1" t="str">
        <f>"KCND2"</f>
        <v>KCND2</v>
      </c>
      <c r="B8863" t="s">
        <v>14</v>
      </c>
      <c r="C8863" t="s">
        <v>33</v>
      </c>
      <c r="D8863" t="s">
        <v>17</v>
      </c>
      <c r="E8863" t="s">
        <v>12</v>
      </c>
      <c r="F8863">
        <v>119913185</v>
      </c>
      <c r="G8863">
        <v>119913236</v>
      </c>
      <c r="H8863">
        <v>119913688</v>
      </c>
      <c r="I8863">
        <v>119913728</v>
      </c>
    </row>
    <row r="8864" spans="1:9" x14ac:dyDescent="0.2">
      <c r="A8864" s="1" t="str">
        <f>"KCND3"</f>
        <v>KCND3</v>
      </c>
      <c r="B8864" t="s">
        <v>14</v>
      </c>
      <c r="C8864" t="s">
        <v>19</v>
      </c>
      <c r="D8864" t="s">
        <v>11</v>
      </c>
      <c r="E8864" t="s">
        <v>12</v>
      </c>
      <c r="F8864">
        <v>112532229</v>
      </c>
      <c r="G8864">
        <v>112532299</v>
      </c>
      <c r="H8864">
        <v>112531777</v>
      </c>
      <c r="I8864">
        <v>112531801</v>
      </c>
    </row>
    <row r="8865" spans="1:9" x14ac:dyDescent="0.2">
      <c r="A8865" s="1" t="str">
        <f>"KCNE1"</f>
        <v>KCNE1</v>
      </c>
      <c r="B8865" t="s">
        <v>14</v>
      </c>
      <c r="C8865" t="s">
        <v>42</v>
      </c>
      <c r="D8865" t="s">
        <v>11</v>
      </c>
      <c r="E8865" t="s">
        <v>12</v>
      </c>
      <c r="F8865">
        <v>35884481</v>
      </c>
      <c r="G8865">
        <v>35884518</v>
      </c>
      <c r="H8865">
        <v>35884481</v>
      </c>
      <c r="I8865">
        <v>35884518</v>
      </c>
    </row>
    <row r="8866" spans="1:9" x14ac:dyDescent="0.2">
      <c r="A8866" s="1" t="str">
        <f>"KCNE1L"</f>
        <v>KCNE1L</v>
      </c>
      <c r="B8866" t="s">
        <v>14</v>
      </c>
      <c r="C8866" t="s">
        <v>37</v>
      </c>
      <c r="D8866" t="s">
        <v>11</v>
      </c>
      <c r="E8866" t="s">
        <v>12</v>
      </c>
      <c r="F8866">
        <v>108868390</v>
      </c>
      <c r="G8866">
        <v>108868407</v>
      </c>
      <c r="H8866">
        <v>108868073</v>
      </c>
      <c r="I8866">
        <v>108868082</v>
      </c>
    </row>
    <row r="8867" spans="1:9" x14ac:dyDescent="0.2">
      <c r="A8867" s="1" t="str">
        <f>"KCNE2"</f>
        <v>KCNE2</v>
      </c>
      <c r="B8867" t="s">
        <v>14</v>
      </c>
      <c r="C8867" t="s">
        <v>42</v>
      </c>
      <c r="D8867" t="s">
        <v>17</v>
      </c>
      <c r="E8867" t="s">
        <v>12</v>
      </c>
      <c r="F8867">
        <v>35736302</v>
      </c>
      <c r="G8867">
        <v>35736315</v>
      </c>
      <c r="H8867">
        <v>35736302</v>
      </c>
      <c r="I8867">
        <v>35736315</v>
      </c>
    </row>
    <row r="8868" spans="1:9" x14ac:dyDescent="0.2">
      <c r="A8868" s="1" t="str">
        <f>"KCNE3"</f>
        <v>KCNE3</v>
      </c>
      <c r="B8868" t="s">
        <v>9</v>
      </c>
      <c r="C8868" t="s">
        <v>27</v>
      </c>
      <c r="D8868" t="s">
        <v>11</v>
      </c>
      <c r="E8868" t="s">
        <v>12</v>
      </c>
      <c r="F8868">
        <v>74173159</v>
      </c>
      <c r="G8868">
        <v>74173208</v>
      </c>
      <c r="H8868">
        <v>74173159</v>
      </c>
      <c r="I8868">
        <v>74173208</v>
      </c>
    </row>
    <row r="8869" spans="1:9" x14ac:dyDescent="0.2">
      <c r="A8869" s="1" t="str">
        <f>"KCNE3"</f>
        <v>KCNE3</v>
      </c>
      <c r="B8869" t="s">
        <v>13</v>
      </c>
      <c r="C8869" t="s">
        <v>27</v>
      </c>
      <c r="D8869" t="s">
        <v>11</v>
      </c>
      <c r="E8869" t="s">
        <v>12</v>
      </c>
      <c r="F8869">
        <v>74178582</v>
      </c>
      <c r="G8869">
        <v>74178601</v>
      </c>
      <c r="H8869">
        <v>74178582</v>
      </c>
      <c r="I8869">
        <v>74178601</v>
      </c>
    </row>
    <row r="8870" spans="1:9" x14ac:dyDescent="0.2">
      <c r="A8870" s="1" t="str">
        <f>"KCNE4"</f>
        <v>KCNE4</v>
      </c>
      <c r="B8870" t="s">
        <v>14</v>
      </c>
      <c r="C8870" t="s">
        <v>26</v>
      </c>
      <c r="D8870" t="s">
        <v>17</v>
      </c>
      <c r="E8870" t="s">
        <v>12</v>
      </c>
      <c r="F8870">
        <v>223916899</v>
      </c>
      <c r="G8870">
        <v>223916915</v>
      </c>
      <c r="H8870">
        <v>223916899</v>
      </c>
      <c r="I8870">
        <v>223916915</v>
      </c>
    </row>
    <row r="8871" spans="1:9" x14ac:dyDescent="0.2">
      <c r="A8871" s="1" t="str">
        <f>"KCNF1"</f>
        <v>KCNF1</v>
      </c>
      <c r="B8871" t="s">
        <v>14</v>
      </c>
      <c r="C8871" t="s">
        <v>26</v>
      </c>
      <c r="D8871" t="s">
        <v>17</v>
      </c>
      <c r="E8871" t="s">
        <v>12</v>
      </c>
      <c r="F8871">
        <v>11052080</v>
      </c>
      <c r="G8871">
        <v>11052117</v>
      </c>
      <c r="H8871">
        <v>11052054</v>
      </c>
      <c r="I8871">
        <v>11052076</v>
      </c>
    </row>
    <row r="8872" spans="1:9" x14ac:dyDescent="0.2">
      <c r="A8872" s="1" t="str">
        <f>"KCNG1"</f>
        <v>KCNG1</v>
      </c>
      <c r="B8872" t="s">
        <v>14</v>
      </c>
      <c r="C8872" t="s">
        <v>29</v>
      </c>
      <c r="D8872" t="s">
        <v>11</v>
      </c>
      <c r="E8872" t="s">
        <v>12</v>
      </c>
      <c r="F8872">
        <v>49639632</v>
      </c>
      <c r="G8872">
        <v>49639693</v>
      </c>
      <c r="H8872">
        <v>49639612</v>
      </c>
      <c r="I8872">
        <v>49639615</v>
      </c>
    </row>
    <row r="8873" spans="1:9" x14ac:dyDescent="0.2">
      <c r="A8873" s="1" t="str">
        <f>"KCNG2"</f>
        <v>KCNG2</v>
      </c>
      <c r="B8873" t="s">
        <v>14</v>
      </c>
      <c r="C8873" t="s">
        <v>43</v>
      </c>
      <c r="D8873" t="s">
        <v>17</v>
      </c>
      <c r="E8873" t="s">
        <v>12</v>
      </c>
      <c r="F8873">
        <v>77623766</v>
      </c>
      <c r="G8873">
        <v>77623785</v>
      </c>
      <c r="H8873">
        <v>77623766</v>
      </c>
      <c r="I8873">
        <v>77623785</v>
      </c>
    </row>
    <row r="8874" spans="1:9" x14ac:dyDescent="0.2">
      <c r="A8874" s="1" t="str">
        <f>"KCNG3"</f>
        <v>KCNG3</v>
      </c>
      <c r="B8874" t="s">
        <v>14</v>
      </c>
      <c r="C8874" t="s">
        <v>26</v>
      </c>
      <c r="D8874" t="s">
        <v>11</v>
      </c>
      <c r="E8874" t="s">
        <v>12</v>
      </c>
      <c r="F8874">
        <v>42721110</v>
      </c>
      <c r="G8874">
        <v>42721130</v>
      </c>
      <c r="H8874">
        <v>42721139</v>
      </c>
      <c r="I8874">
        <v>42721142</v>
      </c>
    </row>
    <row r="8875" spans="1:9" x14ac:dyDescent="0.2">
      <c r="A8875" s="1" t="str">
        <f>"KCNG4"</f>
        <v>KCNG4</v>
      </c>
      <c r="B8875" t="s">
        <v>14</v>
      </c>
      <c r="C8875" t="s">
        <v>31</v>
      </c>
      <c r="D8875" t="s">
        <v>11</v>
      </c>
      <c r="E8875" t="s">
        <v>12</v>
      </c>
      <c r="F8875">
        <v>84273612</v>
      </c>
      <c r="G8875">
        <v>84273622</v>
      </c>
      <c r="H8875">
        <v>84273612</v>
      </c>
      <c r="I8875">
        <v>84273622</v>
      </c>
    </row>
    <row r="8876" spans="1:9" x14ac:dyDescent="0.2">
      <c r="A8876" s="1" t="str">
        <f>"KCNH1"</f>
        <v>KCNH1</v>
      </c>
      <c r="B8876" t="s">
        <v>14</v>
      </c>
      <c r="C8876" t="s">
        <v>19</v>
      </c>
      <c r="D8876" t="s">
        <v>11</v>
      </c>
      <c r="E8876" t="s">
        <v>12</v>
      </c>
      <c r="F8876">
        <v>211307404</v>
      </c>
      <c r="G8876">
        <v>211307472</v>
      </c>
      <c r="H8876">
        <v>211307477</v>
      </c>
      <c r="I8876">
        <v>211307532</v>
      </c>
    </row>
    <row r="8877" spans="1:9" x14ac:dyDescent="0.2">
      <c r="A8877" s="1" t="str">
        <f>"KCNH2"</f>
        <v>KCNH2</v>
      </c>
      <c r="B8877" t="s">
        <v>9</v>
      </c>
      <c r="C8877" t="s">
        <v>33</v>
      </c>
      <c r="D8877" t="s">
        <v>11</v>
      </c>
      <c r="E8877" t="s">
        <v>12</v>
      </c>
      <c r="F8877">
        <v>150675372</v>
      </c>
      <c r="G8877">
        <v>150675417</v>
      </c>
      <c r="H8877">
        <v>150675372</v>
      </c>
      <c r="I8877">
        <v>150675417</v>
      </c>
    </row>
    <row r="8878" spans="1:9" x14ac:dyDescent="0.2">
      <c r="A8878" s="1" t="str">
        <f>"KCNH2"</f>
        <v>KCNH2</v>
      </c>
      <c r="B8878" t="s">
        <v>13</v>
      </c>
      <c r="C8878" t="s">
        <v>33</v>
      </c>
      <c r="D8878" t="s">
        <v>11</v>
      </c>
      <c r="E8878" t="s">
        <v>12</v>
      </c>
      <c r="F8878">
        <v>150652884</v>
      </c>
      <c r="G8878">
        <v>150652911</v>
      </c>
      <c r="H8878">
        <v>150652884</v>
      </c>
      <c r="I8878">
        <v>150652911</v>
      </c>
    </row>
    <row r="8879" spans="1:9" x14ac:dyDescent="0.2">
      <c r="A8879" s="1" t="str">
        <f>"KCNH3"</f>
        <v>KCNH3</v>
      </c>
      <c r="B8879" t="s">
        <v>14</v>
      </c>
      <c r="C8879" t="s">
        <v>16</v>
      </c>
      <c r="D8879" t="s">
        <v>17</v>
      </c>
      <c r="E8879" t="s">
        <v>12</v>
      </c>
      <c r="F8879">
        <v>49932805</v>
      </c>
      <c r="G8879">
        <v>49932858</v>
      </c>
      <c r="H8879">
        <v>49932886</v>
      </c>
      <c r="I8879">
        <v>49932897</v>
      </c>
    </row>
    <row r="8880" spans="1:9" x14ac:dyDescent="0.2">
      <c r="A8880" s="1" t="str">
        <f>"KCNH4"</f>
        <v>KCNH4</v>
      </c>
      <c r="B8880" t="s">
        <v>14</v>
      </c>
      <c r="C8880" t="s">
        <v>28</v>
      </c>
      <c r="D8880" t="s">
        <v>11</v>
      </c>
      <c r="E8880" t="s">
        <v>12</v>
      </c>
      <c r="F8880">
        <v>40333294</v>
      </c>
      <c r="G8880">
        <v>40333335</v>
      </c>
      <c r="H8880">
        <v>40333150</v>
      </c>
      <c r="I8880">
        <v>40333164</v>
      </c>
    </row>
    <row r="8881" spans="1:9" x14ac:dyDescent="0.2">
      <c r="A8881" s="1" t="str">
        <f>"KCNH5"</f>
        <v>KCNH5</v>
      </c>
      <c r="B8881" t="s">
        <v>14</v>
      </c>
      <c r="C8881" t="s">
        <v>41</v>
      </c>
      <c r="D8881" t="s">
        <v>11</v>
      </c>
      <c r="E8881" t="s">
        <v>12</v>
      </c>
      <c r="F8881">
        <v>63512154</v>
      </c>
      <c r="G8881">
        <v>63512187</v>
      </c>
      <c r="H8881">
        <v>63512137</v>
      </c>
      <c r="I8881">
        <v>63512153</v>
      </c>
    </row>
    <row r="8882" spans="1:9" x14ac:dyDescent="0.2">
      <c r="A8882" s="1" t="str">
        <f>"KCNH6"</f>
        <v>KCNH6</v>
      </c>
      <c r="B8882" t="s">
        <v>14</v>
      </c>
      <c r="C8882" t="s">
        <v>28</v>
      </c>
      <c r="D8882" t="s">
        <v>17</v>
      </c>
      <c r="E8882" t="s">
        <v>12</v>
      </c>
      <c r="F8882">
        <v>61600682</v>
      </c>
      <c r="G8882">
        <v>61600740</v>
      </c>
      <c r="H8882">
        <v>61600682</v>
      </c>
      <c r="I8882">
        <v>61600740</v>
      </c>
    </row>
    <row r="8883" spans="1:9" x14ac:dyDescent="0.2">
      <c r="A8883" s="1" t="str">
        <f>"KCNH7"</f>
        <v>KCNH7</v>
      </c>
      <c r="B8883" t="s">
        <v>14</v>
      </c>
      <c r="C8883" t="s">
        <v>26</v>
      </c>
      <c r="D8883" t="s">
        <v>11</v>
      </c>
      <c r="E8883" t="s">
        <v>12</v>
      </c>
      <c r="F8883">
        <v>163695260</v>
      </c>
      <c r="G8883">
        <v>163695301</v>
      </c>
      <c r="H8883">
        <v>163695238</v>
      </c>
      <c r="I8883">
        <v>163695258</v>
      </c>
    </row>
    <row r="8884" spans="1:9" x14ac:dyDescent="0.2">
      <c r="A8884" s="1" t="str">
        <f>"KCNH8"</f>
        <v>KCNH8</v>
      </c>
      <c r="B8884" t="s">
        <v>14</v>
      </c>
      <c r="C8884" t="s">
        <v>22</v>
      </c>
      <c r="D8884" t="s">
        <v>17</v>
      </c>
      <c r="E8884" t="s">
        <v>12</v>
      </c>
      <c r="F8884">
        <v>19189992</v>
      </c>
      <c r="G8884">
        <v>19190079</v>
      </c>
      <c r="H8884">
        <v>19189765</v>
      </c>
      <c r="I8884">
        <v>19189793</v>
      </c>
    </row>
    <row r="8885" spans="1:9" x14ac:dyDescent="0.2">
      <c r="A8885" s="1" t="str">
        <f>"KCNIP1"</f>
        <v>KCNIP1</v>
      </c>
      <c r="B8885" t="s">
        <v>14</v>
      </c>
      <c r="C8885" t="s">
        <v>46</v>
      </c>
      <c r="D8885" t="s">
        <v>17</v>
      </c>
      <c r="E8885" t="s">
        <v>12</v>
      </c>
      <c r="F8885">
        <v>169931009</v>
      </c>
      <c r="G8885">
        <v>169931065</v>
      </c>
      <c r="H8885">
        <v>169931175</v>
      </c>
      <c r="I8885">
        <v>169931233</v>
      </c>
    </row>
    <row r="8886" spans="1:9" x14ac:dyDescent="0.2">
      <c r="A8886" s="1" t="str">
        <f>"KCNIP2"</f>
        <v>KCNIP2</v>
      </c>
      <c r="B8886" t="s">
        <v>14</v>
      </c>
      <c r="C8886" t="s">
        <v>15</v>
      </c>
      <c r="D8886" t="s">
        <v>11</v>
      </c>
      <c r="E8886" t="s">
        <v>12</v>
      </c>
      <c r="F8886">
        <v>103603534</v>
      </c>
      <c r="G8886">
        <v>103603566</v>
      </c>
      <c r="H8886">
        <v>103603568</v>
      </c>
      <c r="I8886">
        <v>103603592</v>
      </c>
    </row>
    <row r="8887" spans="1:9" x14ac:dyDescent="0.2">
      <c r="A8887" s="1" t="str">
        <f>"KCNIP3"</f>
        <v>KCNIP3</v>
      </c>
      <c r="B8887" t="s">
        <v>666</v>
      </c>
      <c r="C8887" t="s">
        <v>26</v>
      </c>
      <c r="D8887" t="s">
        <v>17</v>
      </c>
      <c r="E8887" t="s">
        <v>35</v>
      </c>
      <c r="F8887">
        <v>96012277</v>
      </c>
      <c r="G8887">
        <v>96012290</v>
      </c>
      <c r="H8887">
        <v>96012672</v>
      </c>
      <c r="I8887">
        <v>96012710</v>
      </c>
    </row>
    <row r="8888" spans="1:9" x14ac:dyDescent="0.2">
      <c r="A8888" s="1" t="str">
        <f>"KCNIP4"</f>
        <v>KCNIP4</v>
      </c>
      <c r="B8888" t="s">
        <v>667</v>
      </c>
      <c r="C8888" t="s">
        <v>23</v>
      </c>
      <c r="D8888" t="s">
        <v>11</v>
      </c>
      <c r="E8888" t="s">
        <v>35</v>
      </c>
      <c r="F8888">
        <v>21305652</v>
      </c>
      <c r="G8888">
        <v>21305653</v>
      </c>
      <c r="H8888">
        <v>21305567</v>
      </c>
      <c r="I8888">
        <v>21305580</v>
      </c>
    </row>
    <row r="8889" spans="1:9" x14ac:dyDescent="0.2">
      <c r="A8889" s="1" t="str">
        <f>"KCNJ1"</f>
        <v>KCNJ1</v>
      </c>
      <c r="B8889" t="s">
        <v>14</v>
      </c>
      <c r="C8889" t="s">
        <v>27</v>
      </c>
      <c r="D8889" t="s">
        <v>11</v>
      </c>
      <c r="E8889" t="s">
        <v>12</v>
      </c>
      <c r="F8889">
        <v>128737163</v>
      </c>
      <c r="G8889">
        <v>128737196</v>
      </c>
      <c r="H8889">
        <v>128737163</v>
      </c>
      <c r="I8889">
        <v>128737196</v>
      </c>
    </row>
    <row r="8890" spans="1:9" x14ac:dyDescent="0.2">
      <c r="A8890" s="1" t="str">
        <f>"KCNJ10"</f>
        <v>KCNJ10</v>
      </c>
      <c r="B8890" t="s">
        <v>14</v>
      </c>
      <c r="C8890" t="s">
        <v>19</v>
      </c>
      <c r="D8890" t="s">
        <v>11</v>
      </c>
      <c r="E8890" t="s">
        <v>12</v>
      </c>
      <c r="F8890">
        <v>160039940</v>
      </c>
      <c r="G8890">
        <v>160039963</v>
      </c>
      <c r="H8890">
        <v>160039914</v>
      </c>
      <c r="I8890">
        <v>160039937</v>
      </c>
    </row>
    <row r="8891" spans="1:9" x14ac:dyDescent="0.2">
      <c r="A8891" s="1" t="str">
        <f>"KCNJ11"</f>
        <v>KCNJ11</v>
      </c>
      <c r="B8891" t="s">
        <v>14</v>
      </c>
      <c r="C8891" t="s">
        <v>27</v>
      </c>
      <c r="D8891" t="s">
        <v>11</v>
      </c>
      <c r="E8891" t="s">
        <v>12</v>
      </c>
      <c r="F8891">
        <v>17410869</v>
      </c>
      <c r="G8891">
        <v>17410911</v>
      </c>
      <c r="H8891">
        <v>17410848</v>
      </c>
      <c r="I8891">
        <v>17410867</v>
      </c>
    </row>
    <row r="8892" spans="1:9" x14ac:dyDescent="0.2">
      <c r="A8892" s="1" t="str">
        <f>"KCNJ12"</f>
        <v>KCNJ12</v>
      </c>
      <c r="B8892" t="s">
        <v>14</v>
      </c>
      <c r="C8892" t="s">
        <v>28</v>
      </c>
      <c r="D8892" t="s">
        <v>17</v>
      </c>
      <c r="E8892" t="s">
        <v>12</v>
      </c>
      <c r="F8892">
        <v>21279636</v>
      </c>
      <c r="G8892">
        <v>21279697</v>
      </c>
      <c r="H8892">
        <v>21279935</v>
      </c>
      <c r="I8892">
        <v>21279952</v>
      </c>
    </row>
    <row r="8893" spans="1:9" x14ac:dyDescent="0.2">
      <c r="A8893" s="1" t="str">
        <f>"KCNJ13"</f>
        <v>KCNJ13</v>
      </c>
      <c r="B8893" t="s">
        <v>14</v>
      </c>
      <c r="C8893" t="s">
        <v>26</v>
      </c>
      <c r="D8893" t="s">
        <v>11</v>
      </c>
      <c r="E8893" t="s">
        <v>12</v>
      </c>
      <c r="F8893">
        <v>233641268</v>
      </c>
      <c r="G8893">
        <v>233641282</v>
      </c>
      <c r="H8893">
        <v>233641268</v>
      </c>
      <c r="I8893">
        <v>233641282</v>
      </c>
    </row>
    <row r="8894" spans="1:9" x14ac:dyDescent="0.2">
      <c r="A8894" s="1" t="str">
        <f>"KCNJ14"</f>
        <v>KCNJ14</v>
      </c>
      <c r="B8894" t="s">
        <v>14</v>
      </c>
      <c r="C8894" t="s">
        <v>10</v>
      </c>
      <c r="D8894" t="s">
        <v>17</v>
      </c>
      <c r="E8894" t="s">
        <v>12</v>
      </c>
      <c r="F8894">
        <v>48958004</v>
      </c>
      <c r="G8894">
        <v>48958017</v>
      </c>
      <c r="H8894">
        <v>48958824</v>
      </c>
      <c r="I8894">
        <v>48958862</v>
      </c>
    </row>
    <row r="8895" spans="1:9" x14ac:dyDescent="0.2">
      <c r="A8895" s="1" t="str">
        <f>"KCNJ15"</f>
        <v>KCNJ15</v>
      </c>
      <c r="B8895" t="s">
        <v>14</v>
      </c>
      <c r="C8895" t="s">
        <v>42</v>
      </c>
      <c r="D8895" t="s">
        <v>17</v>
      </c>
      <c r="E8895" t="s">
        <v>12</v>
      </c>
      <c r="F8895">
        <v>39629000</v>
      </c>
      <c r="G8895">
        <v>39629070</v>
      </c>
      <c r="H8895">
        <v>39628655</v>
      </c>
      <c r="I8895">
        <v>39628672</v>
      </c>
    </row>
    <row r="8896" spans="1:9" x14ac:dyDescent="0.2">
      <c r="A8896" s="1" t="str">
        <f>"KCNJ16"</f>
        <v>KCNJ16</v>
      </c>
      <c r="B8896" t="s">
        <v>14</v>
      </c>
      <c r="C8896" t="s">
        <v>28</v>
      </c>
      <c r="D8896" t="s">
        <v>17</v>
      </c>
      <c r="E8896" t="s">
        <v>12</v>
      </c>
      <c r="F8896">
        <v>68071458</v>
      </c>
      <c r="G8896">
        <v>68071481</v>
      </c>
      <c r="H8896">
        <v>68071458</v>
      </c>
      <c r="I8896">
        <v>68071481</v>
      </c>
    </row>
    <row r="8897" spans="1:9" x14ac:dyDescent="0.2">
      <c r="A8897" s="1" t="str">
        <f>"KCNJ18"</f>
        <v>KCNJ18</v>
      </c>
      <c r="B8897" t="s">
        <v>14</v>
      </c>
      <c r="C8897" t="s">
        <v>28</v>
      </c>
      <c r="D8897" t="s">
        <v>17</v>
      </c>
      <c r="E8897" t="s">
        <v>12</v>
      </c>
      <c r="F8897">
        <v>21279636</v>
      </c>
      <c r="G8897">
        <v>21279697</v>
      </c>
      <c r="H8897">
        <v>21279935</v>
      </c>
      <c r="I8897">
        <v>21279952</v>
      </c>
    </row>
    <row r="8898" spans="1:9" x14ac:dyDescent="0.2">
      <c r="A8898" s="1" t="str">
        <f>"KCNJ2"</f>
        <v>KCNJ2</v>
      </c>
      <c r="B8898" t="s">
        <v>14</v>
      </c>
      <c r="C8898" t="s">
        <v>28</v>
      </c>
      <c r="D8898" t="s">
        <v>17</v>
      </c>
      <c r="E8898" t="s">
        <v>12</v>
      </c>
      <c r="F8898">
        <v>68165657</v>
      </c>
      <c r="G8898">
        <v>68165688</v>
      </c>
      <c r="H8898">
        <v>68165689</v>
      </c>
      <c r="I8898">
        <v>68165700</v>
      </c>
    </row>
    <row r="8899" spans="1:9" x14ac:dyDescent="0.2">
      <c r="A8899" s="1" t="str">
        <f>"KCNJ3"</f>
        <v>KCNJ3</v>
      </c>
      <c r="B8899" t="s">
        <v>14</v>
      </c>
      <c r="C8899" t="s">
        <v>26</v>
      </c>
      <c r="D8899" t="s">
        <v>17</v>
      </c>
      <c r="E8899" t="s">
        <v>12</v>
      </c>
      <c r="F8899">
        <v>155555201</v>
      </c>
      <c r="G8899">
        <v>155555272</v>
      </c>
      <c r="H8899">
        <v>155554274</v>
      </c>
      <c r="I8899">
        <v>155554319</v>
      </c>
    </row>
    <row r="8900" spans="1:9" x14ac:dyDescent="0.2">
      <c r="A8900" s="1" t="str">
        <f>"KCNJ4"</f>
        <v>KCNJ4</v>
      </c>
      <c r="B8900" t="s">
        <v>14</v>
      </c>
      <c r="C8900" t="s">
        <v>21</v>
      </c>
      <c r="D8900" t="s">
        <v>11</v>
      </c>
      <c r="E8900" t="s">
        <v>12</v>
      </c>
      <c r="F8900">
        <v>38851645</v>
      </c>
      <c r="G8900">
        <v>38851650</v>
      </c>
      <c r="H8900">
        <v>38851645</v>
      </c>
      <c r="I8900">
        <v>38851650</v>
      </c>
    </row>
    <row r="8901" spans="1:9" x14ac:dyDescent="0.2">
      <c r="A8901" s="1" t="str">
        <f>"KCNJ5"</f>
        <v>KCNJ5</v>
      </c>
      <c r="B8901" t="s">
        <v>14</v>
      </c>
      <c r="C8901" t="s">
        <v>27</v>
      </c>
      <c r="D8901" t="s">
        <v>17</v>
      </c>
      <c r="E8901" t="s">
        <v>12</v>
      </c>
      <c r="F8901">
        <v>128761220</v>
      </c>
      <c r="G8901">
        <v>128761257</v>
      </c>
      <c r="H8901">
        <v>128761363</v>
      </c>
      <c r="I8901">
        <v>128761382</v>
      </c>
    </row>
    <row r="8902" spans="1:9" x14ac:dyDescent="0.2">
      <c r="A8902" s="1" t="str">
        <f>"KCNJ6"</f>
        <v>KCNJ6</v>
      </c>
      <c r="B8902" t="s">
        <v>14</v>
      </c>
      <c r="C8902" t="s">
        <v>42</v>
      </c>
      <c r="D8902" t="s">
        <v>11</v>
      </c>
      <c r="E8902" t="s">
        <v>12</v>
      </c>
      <c r="F8902">
        <v>39288667</v>
      </c>
      <c r="G8902">
        <v>39288740</v>
      </c>
      <c r="H8902">
        <v>39288667</v>
      </c>
      <c r="I8902">
        <v>39288740</v>
      </c>
    </row>
    <row r="8903" spans="1:9" x14ac:dyDescent="0.2">
      <c r="A8903" s="1" t="str">
        <f>"KCNJ8"</f>
        <v>KCNJ8</v>
      </c>
      <c r="B8903" t="s">
        <v>14</v>
      </c>
      <c r="C8903" t="s">
        <v>16</v>
      </c>
      <c r="D8903" t="s">
        <v>11</v>
      </c>
      <c r="E8903" t="s">
        <v>12</v>
      </c>
      <c r="F8903">
        <v>21927622</v>
      </c>
      <c r="G8903">
        <v>21927664</v>
      </c>
      <c r="H8903">
        <v>21927736</v>
      </c>
      <c r="I8903">
        <v>21927768</v>
      </c>
    </row>
    <row r="8904" spans="1:9" x14ac:dyDescent="0.2">
      <c r="A8904" s="1" t="str">
        <f>"KCNJ9"</f>
        <v>KCNJ9</v>
      </c>
      <c r="B8904" t="s">
        <v>14</v>
      </c>
      <c r="C8904" t="s">
        <v>19</v>
      </c>
      <c r="D8904" t="s">
        <v>17</v>
      </c>
      <c r="E8904" t="s">
        <v>12</v>
      </c>
      <c r="F8904">
        <v>160051319</v>
      </c>
      <c r="G8904">
        <v>160051366</v>
      </c>
      <c r="H8904">
        <v>160051319</v>
      </c>
      <c r="I8904">
        <v>160051366</v>
      </c>
    </row>
    <row r="8905" spans="1:9" x14ac:dyDescent="0.2">
      <c r="A8905" s="1" t="str">
        <f>"KCNK1"</f>
        <v>KCNK1</v>
      </c>
      <c r="B8905" t="s">
        <v>14</v>
      </c>
      <c r="C8905" t="s">
        <v>19</v>
      </c>
      <c r="D8905" t="s">
        <v>17</v>
      </c>
      <c r="E8905" t="s">
        <v>12</v>
      </c>
      <c r="F8905">
        <v>233749872</v>
      </c>
      <c r="G8905">
        <v>233749930</v>
      </c>
      <c r="H8905">
        <v>233749872</v>
      </c>
      <c r="I8905">
        <v>233749930</v>
      </c>
    </row>
    <row r="8906" spans="1:9" x14ac:dyDescent="0.2">
      <c r="A8906" s="1" t="str">
        <f>"KCNK10"</f>
        <v>KCNK10</v>
      </c>
      <c r="B8906" t="s">
        <v>14</v>
      </c>
      <c r="C8906" t="s">
        <v>41</v>
      </c>
      <c r="D8906" t="s">
        <v>11</v>
      </c>
      <c r="E8906" t="s">
        <v>12</v>
      </c>
      <c r="F8906">
        <v>88789549</v>
      </c>
      <c r="G8906">
        <v>88789577</v>
      </c>
      <c r="H8906">
        <v>88789604</v>
      </c>
      <c r="I8906">
        <v>88789628</v>
      </c>
    </row>
    <row r="8907" spans="1:9" x14ac:dyDescent="0.2">
      <c r="A8907" s="1" t="str">
        <f>"KCNK12"</f>
        <v>KCNK12</v>
      </c>
      <c r="B8907" t="s">
        <v>14</v>
      </c>
      <c r="C8907" t="s">
        <v>26</v>
      </c>
      <c r="D8907" t="s">
        <v>11</v>
      </c>
      <c r="E8907" t="s">
        <v>12</v>
      </c>
      <c r="F8907">
        <v>47798044</v>
      </c>
      <c r="G8907">
        <v>47798132</v>
      </c>
      <c r="H8907">
        <v>47798044</v>
      </c>
      <c r="I8907">
        <v>47798132</v>
      </c>
    </row>
    <row r="8908" spans="1:9" x14ac:dyDescent="0.2">
      <c r="A8908" s="1" t="str">
        <f>"KCNK13"</f>
        <v>KCNK13</v>
      </c>
      <c r="B8908" t="s">
        <v>14</v>
      </c>
      <c r="C8908" t="s">
        <v>41</v>
      </c>
      <c r="D8908" t="s">
        <v>17</v>
      </c>
      <c r="E8908" t="s">
        <v>12</v>
      </c>
      <c r="F8908">
        <v>90528333</v>
      </c>
      <c r="G8908">
        <v>90528366</v>
      </c>
      <c r="H8908">
        <v>90528187</v>
      </c>
      <c r="I8908">
        <v>90528198</v>
      </c>
    </row>
    <row r="8909" spans="1:9" x14ac:dyDescent="0.2">
      <c r="A8909" s="1" t="str">
        <f>"KCNK15"</f>
        <v>KCNK15</v>
      </c>
      <c r="B8909" t="s">
        <v>14</v>
      </c>
      <c r="C8909" t="s">
        <v>29</v>
      </c>
      <c r="D8909" t="s">
        <v>17</v>
      </c>
      <c r="E8909" t="s">
        <v>12</v>
      </c>
      <c r="F8909">
        <v>43374482</v>
      </c>
      <c r="G8909">
        <v>43374556</v>
      </c>
      <c r="H8909">
        <v>43374443</v>
      </c>
      <c r="I8909">
        <v>43374458</v>
      </c>
    </row>
    <row r="8910" spans="1:9" x14ac:dyDescent="0.2">
      <c r="A8910" s="1" t="str">
        <f>"KCNK16"</f>
        <v>KCNK16</v>
      </c>
      <c r="B8910" t="s">
        <v>14</v>
      </c>
      <c r="C8910" t="s">
        <v>32</v>
      </c>
      <c r="D8910" t="s">
        <v>11</v>
      </c>
      <c r="E8910" t="s">
        <v>12</v>
      </c>
      <c r="F8910">
        <v>39290752</v>
      </c>
      <c r="G8910">
        <v>39290794</v>
      </c>
      <c r="H8910">
        <v>39290466</v>
      </c>
      <c r="I8910">
        <v>39290482</v>
      </c>
    </row>
    <row r="8911" spans="1:9" x14ac:dyDescent="0.2">
      <c r="A8911" s="1" t="str">
        <f>"KCNK17"</f>
        <v>KCNK17</v>
      </c>
      <c r="B8911" t="s">
        <v>14</v>
      </c>
      <c r="C8911" t="s">
        <v>32</v>
      </c>
      <c r="D8911" t="s">
        <v>11</v>
      </c>
      <c r="E8911" t="s">
        <v>12</v>
      </c>
      <c r="F8911">
        <v>39282188</v>
      </c>
      <c r="G8911">
        <v>39282215</v>
      </c>
      <c r="H8911">
        <v>39282221</v>
      </c>
      <c r="I8911">
        <v>39282232</v>
      </c>
    </row>
    <row r="8912" spans="1:9" x14ac:dyDescent="0.2">
      <c r="A8912" s="1" t="str">
        <f>"KCNK18"</f>
        <v>KCNK18</v>
      </c>
      <c r="B8912" t="s">
        <v>668</v>
      </c>
      <c r="C8912" t="s">
        <v>15</v>
      </c>
      <c r="D8912" t="s">
        <v>17</v>
      </c>
      <c r="E8912" t="s">
        <v>20</v>
      </c>
      <c r="F8912">
        <v>118956999</v>
      </c>
      <c r="G8912">
        <v>118956999</v>
      </c>
      <c r="H8912">
        <v>118956999</v>
      </c>
      <c r="I8912">
        <v>118956999</v>
      </c>
    </row>
    <row r="8913" spans="1:9" x14ac:dyDescent="0.2">
      <c r="A8913" s="1" t="str">
        <f>"KCNK2"</f>
        <v>KCNK2</v>
      </c>
      <c r="B8913" t="s">
        <v>14</v>
      </c>
      <c r="C8913" t="s">
        <v>19</v>
      </c>
      <c r="D8913" t="s">
        <v>17</v>
      </c>
      <c r="E8913" t="s">
        <v>12</v>
      </c>
      <c r="F8913">
        <v>215256074</v>
      </c>
      <c r="G8913">
        <v>215256113</v>
      </c>
      <c r="H8913">
        <v>215256074</v>
      </c>
      <c r="I8913">
        <v>215256113</v>
      </c>
    </row>
    <row r="8914" spans="1:9" x14ac:dyDescent="0.2">
      <c r="A8914" s="1" t="str">
        <f>"KCNK3"</f>
        <v>KCNK3</v>
      </c>
      <c r="B8914" t="s">
        <v>14</v>
      </c>
      <c r="C8914" t="s">
        <v>26</v>
      </c>
      <c r="D8914" t="s">
        <v>17</v>
      </c>
      <c r="E8914" t="s">
        <v>12</v>
      </c>
      <c r="F8914">
        <v>26915584</v>
      </c>
      <c r="G8914">
        <v>26915634</v>
      </c>
      <c r="H8914">
        <v>26915553</v>
      </c>
      <c r="I8914">
        <v>26915583</v>
      </c>
    </row>
    <row r="8915" spans="1:9" x14ac:dyDescent="0.2">
      <c r="A8915" s="1" t="str">
        <f>"KCNK4"</f>
        <v>KCNK4</v>
      </c>
      <c r="B8915" t="s">
        <v>14</v>
      </c>
      <c r="C8915" t="s">
        <v>27</v>
      </c>
      <c r="D8915" t="s">
        <v>17</v>
      </c>
      <c r="E8915" t="s">
        <v>12</v>
      </c>
      <c r="F8915">
        <v>64058758</v>
      </c>
      <c r="G8915">
        <v>64058782</v>
      </c>
      <c r="H8915">
        <v>64059186</v>
      </c>
      <c r="I8915">
        <v>64059201</v>
      </c>
    </row>
    <row r="8916" spans="1:9" x14ac:dyDescent="0.2">
      <c r="A8916" s="1" t="str">
        <f>"KCNK5"</f>
        <v>KCNK5</v>
      </c>
      <c r="B8916" t="s">
        <v>14</v>
      </c>
      <c r="C8916" t="s">
        <v>32</v>
      </c>
      <c r="D8916" t="s">
        <v>11</v>
      </c>
      <c r="E8916" t="s">
        <v>12</v>
      </c>
      <c r="F8916">
        <v>39197241</v>
      </c>
      <c r="G8916">
        <v>39197258</v>
      </c>
      <c r="H8916">
        <v>39197273</v>
      </c>
      <c r="I8916">
        <v>39197282</v>
      </c>
    </row>
    <row r="8917" spans="1:9" x14ac:dyDescent="0.2">
      <c r="A8917" s="1" t="str">
        <f>"KCNK6"</f>
        <v>KCNK6</v>
      </c>
      <c r="B8917" t="s">
        <v>14</v>
      </c>
      <c r="C8917" t="s">
        <v>10</v>
      </c>
      <c r="D8917" t="s">
        <v>17</v>
      </c>
      <c r="E8917" t="s">
        <v>12</v>
      </c>
      <c r="F8917">
        <v>38810447</v>
      </c>
      <c r="G8917">
        <v>38810529</v>
      </c>
      <c r="H8917">
        <v>38810856</v>
      </c>
      <c r="I8917">
        <v>38810872</v>
      </c>
    </row>
    <row r="8918" spans="1:9" x14ac:dyDescent="0.2">
      <c r="A8918" s="1" t="str">
        <f>"KCNK7"</f>
        <v>KCNK7</v>
      </c>
      <c r="B8918" t="s">
        <v>14</v>
      </c>
      <c r="C8918" t="s">
        <v>27</v>
      </c>
      <c r="D8918" t="s">
        <v>11</v>
      </c>
      <c r="E8918" t="s">
        <v>12</v>
      </c>
      <c r="F8918">
        <v>65363259</v>
      </c>
      <c r="G8918">
        <v>65363275</v>
      </c>
      <c r="H8918">
        <v>65363259</v>
      </c>
      <c r="I8918">
        <v>65363275</v>
      </c>
    </row>
    <row r="8919" spans="1:9" x14ac:dyDescent="0.2">
      <c r="A8919" s="1" t="str">
        <f>"KCNK9"</f>
        <v>KCNK9</v>
      </c>
      <c r="B8919" t="s">
        <v>669</v>
      </c>
      <c r="C8919" t="s">
        <v>30</v>
      </c>
      <c r="D8919" t="s">
        <v>11</v>
      </c>
      <c r="E8919" t="s">
        <v>35</v>
      </c>
      <c r="F8919">
        <v>140715357</v>
      </c>
      <c r="G8919">
        <v>140715370</v>
      </c>
      <c r="H8919">
        <v>140715220</v>
      </c>
      <c r="I8919">
        <v>140715228</v>
      </c>
    </row>
    <row r="8920" spans="1:9" x14ac:dyDescent="0.2">
      <c r="A8920" s="1" t="str">
        <f>"KCNMA1"</f>
        <v>KCNMA1</v>
      </c>
      <c r="B8920" t="s">
        <v>14</v>
      </c>
      <c r="C8920" t="s">
        <v>15</v>
      </c>
      <c r="D8920" t="s">
        <v>11</v>
      </c>
      <c r="E8920" t="s">
        <v>12</v>
      </c>
      <c r="F8920">
        <v>79397557</v>
      </c>
      <c r="G8920">
        <v>79397575</v>
      </c>
      <c r="H8920">
        <v>79397479</v>
      </c>
      <c r="I8920">
        <v>79397530</v>
      </c>
    </row>
    <row r="8921" spans="1:9" x14ac:dyDescent="0.2">
      <c r="A8921" s="1" t="str">
        <f>"KCNMB1"</f>
        <v>KCNMB1</v>
      </c>
      <c r="B8921" t="s">
        <v>14</v>
      </c>
      <c r="C8921" t="s">
        <v>46</v>
      </c>
      <c r="D8921" t="s">
        <v>11</v>
      </c>
      <c r="E8921" t="s">
        <v>12</v>
      </c>
      <c r="F8921">
        <v>169816353</v>
      </c>
      <c r="G8921">
        <v>169816389</v>
      </c>
      <c r="H8921">
        <v>169816353</v>
      </c>
      <c r="I8921">
        <v>169816389</v>
      </c>
    </row>
    <row r="8922" spans="1:9" x14ac:dyDescent="0.2">
      <c r="A8922" s="1" t="str">
        <f>"KCNMB2"</f>
        <v>KCNMB2</v>
      </c>
      <c r="B8922" t="s">
        <v>9</v>
      </c>
      <c r="C8922" t="s">
        <v>22</v>
      </c>
      <c r="D8922" t="s">
        <v>17</v>
      </c>
      <c r="E8922" t="s">
        <v>12</v>
      </c>
      <c r="F8922">
        <v>178276632</v>
      </c>
      <c r="G8922">
        <v>178276655</v>
      </c>
      <c r="H8922">
        <v>178276632</v>
      </c>
      <c r="I8922">
        <v>178276655</v>
      </c>
    </row>
    <row r="8923" spans="1:9" x14ac:dyDescent="0.2">
      <c r="A8923" s="1" t="str">
        <f>"KCNMB2"</f>
        <v>KCNMB2</v>
      </c>
      <c r="B8923" t="s">
        <v>13</v>
      </c>
      <c r="C8923" t="s">
        <v>22</v>
      </c>
      <c r="D8923" t="s">
        <v>17</v>
      </c>
      <c r="E8923" t="s">
        <v>12</v>
      </c>
      <c r="F8923">
        <v>178254180</v>
      </c>
      <c r="G8923">
        <v>178254232</v>
      </c>
      <c r="H8923">
        <v>178254180</v>
      </c>
      <c r="I8923">
        <v>178254232</v>
      </c>
    </row>
    <row r="8924" spans="1:9" x14ac:dyDescent="0.2">
      <c r="A8924" s="1" t="str">
        <f>"KCNMB3"</f>
        <v>KCNMB3</v>
      </c>
      <c r="B8924" t="s">
        <v>14</v>
      </c>
      <c r="C8924" t="s">
        <v>22</v>
      </c>
      <c r="D8924" t="s">
        <v>11</v>
      </c>
      <c r="E8924" t="s">
        <v>12</v>
      </c>
      <c r="F8924">
        <v>178977771</v>
      </c>
      <c r="G8924">
        <v>178977781</v>
      </c>
      <c r="H8924">
        <v>178977771</v>
      </c>
      <c r="I8924">
        <v>178977781</v>
      </c>
    </row>
    <row r="8925" spans="1:9" x14ac:dyDescent="0.2">
      <c r="A8925" s="1" t="str">
        <f>"KCNMB4"</f>
        <v>KCNMB4</v>
      </c>
      <c r="B8925" t="s">
        <v>14</v>
      </c>
      <c r="C8925" t="s">
        <v>16</v>
      </c>
      <c r="D8925" t="s">
        <v>17</v>
      </c>
      <c r="E8925" t="s">
        <v>12</v>
      </c>
      <c r="F8925">
        <v>70760058</v>
      </c>
      <c r="G8925">
        <v>70760085</v>
      </c>
      <c r="H8925">
        <v>70760222</v>
      </c>
      <c r="I8925">
        <v>70760270</v>
      </c>
    </row>
    <row r="8926" spans="1:9" x14ac:dyDescent="0.2">
      <c r="A8926" s="1" t="str">
        <f>"KCNN1"</f>
        <v>KCNN1</v>
      </c>
      <c r="B8926" t="s">
        <v>14</v>
      </c>
      <c r="C8926" t="s">
        <v>10</v>
      </c>
      <c r="D8926" t="s">
        <v>17</v>
      </c>
      <c r="E8926" t="s">
        <v>12</v>
      </c>
      <c r="F8926">
        <v>18063075</v>
      </c>
      <c r="G8926">
        <v>18063099</v>
      </c>
      <c r="H8926">
        <v>18063044</v>
      </c>
      <c r="I8926">
        <v>18063072</v>
      </c>
    </row>
    <row r="8927" spans="1:9" x14ac:dyDescent="0.2">
      <c r="A8927" s="1" t="str">
        <f>"KCNN2"</f>
        <v>KCNN2</v>
      </c>
      <c r="B8927" t="s">
        <v>14</v>
      </c>
      <c r="C8927" t="s">
        <v>46</v>
      </c>
      <c r="D8927" t="s">
        <v>17</v>
      </c>
      <c r="E8927" t="s">
        <v>12</v>
      </c>
      <c r="F8927">
        <v>113697740</v>
      </c>
      <c r="G8927">
        <v>113697793</v>
      </c>
      <c r="H8927">
        <v>113697740</v>
      </c>
      <c r="I8927">
        <v>113697793</v>
      </c>
    </row>
    <row r="8928" spans="1:9" x14ac:dyDescent="0.2">
      <c r="A8928" s="1" t="str">
        <f>"KCNN3"</f>
        <v>KCNN3</v>
      </c>
      <c r="B8928" t="s">
        <v>14</v>
      </c>
      <c r="C8928" t="s">
        <v>19</v>
      </c>
      <c r="D8928" t="s">
        <v>11</v>
      </c>
      <c r="E8928" t="s">
        <v>12</v>
      </c>
      <c r="F8928">
        <v>154842741</v>
      </c>
      <c r="G8928">
        <v>154842772</v>
      </c>
      <c r="H8928">
        <v>154842741</v>
      </c>
      <c r="I8928">
        <v>154842772</v>
      </c>
    </row>
    <row r="8929" spans="1:9" x14ac:dyDescent="0.2">
      <c r="A8929" s="1" t="str">
        <f>"KCNN4"</f>
        <v>KCNN4</v>
      </c>
      <c r="B8929" t="s">
        <v>14</v>
      </c>
      <c r="C8929" t="s">
        <v>10</v>
      </c>
      <c r="D8929" t="s">
        <v>11</v>
      </c>
      <c r="E8929" t="s">
        <v>12</v>
      </c>
      <c r="F8929">
        <v>44285109</v>
      </c>
      <c r="G8929">
        <v>44285148</v>
      </c>
      <c r="H8929">
        <v>44285153</v>
      </c>
      <c r="I8929">
        <v>44285178</v>
      </c>
    </row>
    <row r="8930" spans="1:9" x14ac:dyDescent="0.2">
      <c r="A8930" s="1" t="str">
        <f>"KCNQ1"</f>
        <v>KCNQ1</v>
      </c>
      <c r="B8930" t="s">
        <v>14</v>
      </c>
      <c r="C8930" t="s">
        <v>27</v>
      </c>
      <c r="D8930" t="s">
        <v>17</v>
      </c>
      <c r="E8930" t="s">
        <v>12</v>
      </c>
      <c r="F8930">
        <v>2466218</v>
      </c>
      <c r="G8930">
        <v>2466255</v>
      </c>
      <c r="H8930">
        <v>2466184</v>
      </c>
      <c r="I8930">
        <v>2466215</v>
      </c>
    </row>
    <row r="8931" spans="1:9" x14ac:dyDescent="0.2">
      <c r="A8931" s="1" t="str">
        <f>"KCNQ2"</f>
        <v>KCNQ2</v>
      </c>
      <c r="B8931" t="s">
        <v>14</v>
      </c>
      <c r="C8931" t="s">
        <v>29</v>
      </c>
      <c r="D8931" t="s">
        <v>11</v>
      </c>
      <c r="E8931" t="s">
        <v>12</v>
      </c>
      <c r="F8931">
        <v>62103939</v>
      </c>
      <c r="G8931">
        <v>62104035</v>
      </c>
      <c r="H8931">
        <v>62103810</v>
      </c>
      <c r="I8931">
        <v>62103828</v>
      </c>
    </row>
    <row r="8932" spans="1:9" x14ac:dyDescent="0.2">
      <c r="A8932" s="1" t="str">
        <f>"KCNQ3"</f>
        <v>KCNQ3</v>
      </c>
      <c r="B8932" t="s">
        <v>14</v>
      </c>
      <c r="C8932" t="s">
        <v>30</v>
      </c>
      <c r="D8932" t="s">
        <v>11</v>
      </c>
      <c r="E8932" t="s">
        <v>12</v>
      </c>
      <c r="F8932">
        <v>133493146</v>
      </c>
      <c r="G8932">
        <v>133493239</v>
      </c>
      <c r="H8932">
        <v>133493301</v>
      </c>
      <c r="I8932">
        <v>133493352</v>
      </c>
    </row>
    <row r="8933" spans="1:9" x14ac:dyDescent="0.2">
      <c r="A8933" s="1" t="str">
        <f>"KCNQ4"</f>
        <v>KCNQ4</v>
      </c>
      <c r="B8933" t="s">
        <v>14</v>
      </c>
      <c r="C8933" t="s">
        <v>19</v>
      </c>
      <c r="D8933" t="s">
        <v>17</v>
      </c>
      <c r="E8933" t="s">
        <v>12</v>
      </c>
      <c r="F8933">
        <v>41249474</v>
      </c>
      <c r="G8933">
        <v>41249500</v>
      </c>
      <c r="H8933">
        <v>41249474</v>
      </c>
      <c r="I8933">
        <v>41249500</v>
      </c>
    </row>
    <row r="8934" spans="1:9" x14ac:dyDescent="0.2">
      <c r="A8934" s="1" t="str">
        <f>"KCNQ5"</f>
        <v>KCNQ5</v>
      </c>
      <c r="B8934" t="s">
        <v>14</v>
      </c>
      <c r="C8934" t="s">
        <v>32</v>
      </c>
      <c r="D8934" t="s">
        <v>17</v>
      </c>
      <c r="E8934" t="s">
        <v>12</v>
      </c>
      <c r="F8934">
        <v>73331935</v>
      </c>
      <c r="G8934">
        <v>73331978</v>
      </c>
      <c r="H8934">
        <v>73331350</v>
      </c>
      <c r="I8934">
        <v>73331404</v>
      </c>
    </row>
    <row r="8935" spans="1:9" x14ac:dyDescent="0.2">
      <c r="A8935" s="1" t="str">
        <f>"KCNRG"</f>
        <v>KCNRG</v>
      </c>
      <c r="B8935" t="s">
        <v>14</v>
      </c>
      <c r="C8935" t="s">
        <v>39</v>
      </c>
      <c r="D8935" t="s">
        <v>17</v>
      </c>
      <c r="E8935" t="s">
        <v>12</v>
      </c>
      <c r="F8935">
        <v>50589574</v>
      </c>
      <c r="G8935">
        <v>50589585</v>
      </c>
      <c r="H8935">
        <v>50589701</v>
      </c>
      <c r="I8935">
        <v>50589713</v>
      </c>
    </row>
    <row r="8936" spans="1:9" x14ac:dyDescent="0.2">
      <c r="A8936" s="1" t="str">
        <f>"KCNS1"</f>
        <v>KCNS1</v>
      </c>
      <c r="B8936" t="s">
        <v>14</v>
      </c>
      <c r="C8936" t="s">
        <v>29</v>
      </c>
      <c r="D8936" t="s">
        <v>11</v>
      </c>
      <c r="E8936" t="s">
        <v>12</v>
      </c>
      <c r="F8936">
        <v>43729759</v>
      </c>
      <c r="G8936">
        <v>43729774</v>
      </c>
      <c r="H8936">
        <v>43729725</v>
      </c>
      <c r="I8936">
        <v>43729738</v>
      </c>
    </row>
    <row r="8937" spans="1:9" x14ac:dyDescent="0.2">
      <c r="A8937" s="1" t="str">
        <f>"KCNS2"</f>
        <v>KCNS2</v>
      </c>
      <c r="B8937" t="s">
        <v>14</v>
      </c>
      <c r="C8937" t="s">
        <v>30</v>
      </c>
      <c r="D8937" t="s">
        <v>17</v>
      </c>
      <c r="E8937" t="s">
        <v>12</v>
      </c>
      <c r="F8937">
        <v>99439435</v>
      </c>
      <c r="G8937">
        <v>99439477</v>
      </c>
      <c r="H8937">
        <v>99439214</v>
      </c>
      <c r="I8937">
        <v>99439240</v>
      </c>
    </row>
    <row r="8938" spans="1:9" x14ac:dyDescent="0.2">
      <c r="A8938" s="1" t="str">
        <f>"KCNS3"</f>
        <v>KCNS3</v>
      </c>
      <c r="B8938" t="s">
        <v>14</v>
      </c>
      <c r="C8938" t="s">
        <v>26</v>
      </c>
      <c r="D8938" t="s">
        <v>17</v>
      </c>
      <c r="E8938" t="s">
        <v>12</v>
      </c>
      <c r="F8938">
        <v>18059906</v>
      </c>
      <c r="G8938">
        <v>18059945</v>
      </c>
      <c r="H8938">
        <v>18059947</v>
      </c>
      <c r="I8938">
        <v>18059968</v>
      </c>
    </row>
    <row r="8939" spans="1:9" x14ac:dyDescent="0.2">
      <c r="A8939" s="1" t="str">
        <f>"KCNT1"</f>
        <v>KCNT1</v>
      </c>
      <c r="B8939" t="s">
        <v>9</v>
      </c>
      <c r="C8939" t="s">
        <v>24</v>
      </c>
      <c r="D8939" t="s">
        <v>17</v>
      </c>
      <c r="E8939" t="s">
        <v>12</v>
      </c>
      <c r="F8939">
        <v>138628436</v>
      </c>
      <c r="G8939">
        <v>138628482</v>
      </c>
      <c r="H8939">
        <v>138628436</v>
      </c>
      <c r="I8939">
        <v>138628482</v>
      </c>
    </row>
    <row r="8940" spans="1:9" x14ac:dyDescent="0.2">
      <c r="A8940" s="1" t="str">
        <f>"KCNT1"</f>
        <v>KCNT1</v>
      </c>
      <c r="B8940" t="s">
        <v>13</v>
      </c>
      <c r="C8940" t="s">
        <v>24</v>
      </c>
      <c r="D8940" t="s">
        <v>17</v>
      </c>
      <c r="E8940" t="s">
        <v>12</v>
      </c>
      <c r="F8940">
        <v>138606271</v>
      </c>
      <c r="G8940">
        <v>138606319</v>
      </c>
      <c r="H8940">
        <v>138606271</v>
      </c>
      <c r="I8940">
        <v>138606319</v>
      </c>
    </row>
    <row r="8941" spans="1:9" x14ac:dyDescent="0.2">
      <c r="A8941" s="1" t="str">
        <f>"KCNT2"</f>
        <v>KCNT2</v>
      </c>
      <c r="B8941" t="s">
        <v>14</v>
      </c>
      <c r="C8941" t="s">
        <v>19</v>
      </c>
      <c r="D8941" t="s">
        <v>11</v>
      </c>
      <c r="E8941" t="s">
        <v>12</v>
      </c>
      <c r="F8941">
        <v>196577524</v>
      </c>
      <c r="G8941">
        <v>196577592</v>
      </c>
      <c r="H8941">
        <v>196577641</v>
      </c>
      <c r="I8941">
        <v>196577724</v>
      </c>
    </row>
    <row r="8942" spans="1:9" x14ac:dyDescent="0.2">
      <c r="A8942" s="1" t="str">
        <f>"KCNU1"</f>
        <v>KCNU1</v>
      </c>
      <c r="B8942" t="s">
        <v>14</v>
      </c>
      <c r="C8942" t="s">
        <v>30</v>
      </c>
      <c r="D8942" t="s">
        <v>17</v>
      </c>
      <c r="E8942" t="s">
        <v>12</v>
      </c>
      <c r="F8942">
        <v>36641891</v>
      </c>
      <c r="G8942">
        <v>36641902</v>
      </c>
      <c r="H8942">
        <v>36641910</v>
      </c>
      <c r="I8942">
        <v>36641918</v>
      </c>
    </row>
    <row r="8943" spans="1:9" x14ac:dyDescent="0.2">
      <c r="A8943" s="1" t="str">
        <f>"KCNV1"</f>
        <v>KCNV1</v>
      </c>
      <c r="B8943" t="s">
        <v>14</v>
      </c>
      <c r="C8943" t="s">
        <v>30</v>
      </c>
      <c r="D8943" t="s">
        <v>11</v>
      </c>
      <c r="E8943" t="s">
        <v>12</v>
      </c>
      <c r="F8943">
        <v>110987986</v>
      </c>
      <c r="G8943">
        <v>110988010</v>
      </c>
      <c r="H8943">
        <v>110987953</v>
      </c>
      <c r="I8943">
        <v>110987984</v>
      </c>
    </row>
    <row r="8944" spans="1:9" x14ac:dyDescent="0.2">
      <c r="A8944" s="1" t="str">
        <f>"KCNV2"</f>
        <v>KCNV2</v>
      </c>
      <c r="B8944" t="s">
        <v>14</v>
      </c>
      <c r="C8944" t="s">
        <v>24</v>
      </c>
      <c r="D8944" t="s">
        <v>17</v>
      </c>
      <c r="E8944" t="s">
        <v>12</v>
      </c>
      <c r="F8944">
        <v>2717502</v>
      </c>
      <c r="G8944">
        <v>2717524</v>
      </c>
      <c r="H8944">
        <v>2717530</v>
      </c>
      <c r="I8944">
        <v>2717555</v>
      </c>
    </row>
    <row r="8945" spans="1:9" x14ac:dyDescent="0.2">
      <c r="A8945" s="1" t="str">
        <f>"KCP"</f>
        <v>KCP</v>
      </c>
      <c r="B8945" t="s">
        <v>9</v>
      </c>
      <c r="C8945" t="s">
        <v>33</v>
      </c>
      <c r="D8945" t="s">
        <v>11</v>
      </c>
      <c r="E8945" t="s">
        <v>12</v>
      </c>
      <c r="F8945">
        <v>128550736</v>
      </c>
      <c r="G8945">
        <v>128550768</v>
      </c>
      <c r="H8945">
        <v>128550736</v>
      </c>
      <c r="I8945">
        <v>128550768</v>
      </c>
    </row>
    <row r="8946" spans="1:9" x14ac:dyDescent="0.2">
      <c r="A8946" s="1" t="str">
        <f>"KCP"</f>
        <v>KCP</v>
      </c>
      <c r="B8946" t="s">
        <v>13</v>
      </c>
      <c r="C8946" t="s">
        <v>33</v>
      </c>
      <c r="D8946" t="s">
        <v>11</v>
      </c>
      <c r="E8946" t="s">
        <v>12</v>
      </c>
      <c r="F8946">
        <v>128543401</v>
      </c>
      <c r="G8946">
        <v>128543428</v>
      </c>
      <c r="H8946">
        <v>128543401</v>
      </c>
      <c r="I8946">
        <v>128543428</v>
      </c>
    </row>
    <row r="8947" spans="1:9" x14ac:dyDescent="0.2">
      <c r="A8947" s="1" t="str">
        <f>"KCTD1"</f>
        <v>KCTD1</v>
      </c>
      <c r="B8947" t="s">
        <v>14</v>
      </c>
      <c r="C8947" t="s">
        <v>43</v>
      </c>
      <c r="D8947" t="s">
        <v>11</v>
      </c>
      <c r="E8947" t="s">
        <v>12</v>
      </c>
      <c r="F8947">
        <v>24128496</v>
      </c>
      <c r="G8947">
        <v>24128554</v>
      </c>
      <c r="H8947">
        <v>24128496</v>
      </c>
      <c r="I8947">
        <v>24128554</v>
      </c>
    </row>
    <row r="8948" spans="1:9" x14ac:dyDescent="0.2">
      <c r="A8948" s="1" t="str">
        <f>"KCTD10"</f>
        <v>KCTD10</v>
      </c>
      <c r="B8948" t="s">
        <v>14</v>
      </c>
      <c r="C8948" t="s">
        <v>16</v>
      </c>
      <c r="D8948" t="s">
        <v>11</v>
      </c>
      <c r="E8948" t="s">
        <v>12</v>
      </c>
      <c r="F8948">
        <v>109915098</v>
      </c>
      <c r="G8948">
        <v>109915131</v>
      </c>
      <c r="H8948">
        <v>109915146</v>
      </c>
      <c r="I8948">
        <v>109915162</v>
      </c>
    </row>
    <row r="8949" spans="1:9" x14ac:dyDescent="0.2">
      <c r="A8949" s="1" t="str">
        <f>"KCTD11"</f>
        <v>KCTD11</v>
      </c>
      <c r="B8949" t="s">
        <v>14</v>
      </c>
      <c r="C8949" t="s">
        <v>28</v>
      </c>
      <c r="D8949" t="s">
        <v>17</v>
      </c>
      <c r="E8949" t="s">
        <v>12</v>
      </c>
      <c r="F8949">
        <v>7255461</v>
      </c>
      <c r="G8949">
        <v>7255518</v>
      </c>
      <c r="H8949">
        <v>7255461</v>
      </c>
      <c r="I8949">
        <v>7255518</v>
      </c>
    </row>
    <row r="8950" spans="1:9" x14ac:dyDescent="0.2">
      <c r="A8950" s="1" t="str">
        <f>"KCTD12"</f>
        <v>KCTD12</v>
      </c>
      <c r="B8950" t="s">
        <v>14</v>
      </c>
      <c r="C8950" t="s">
        <v>39</v>
      </c>
      <c r="D8950" t="s">
        <v>11</v>
      </c>
      <c r="E8950" t="s">
        <v>12</v>
      </c>
      <c r="F8950">
        <v>77460532</v>
      </c>
      <c r="G8950">
        <v>77460548</v>
      </c>
      <c r="H8950">
        <v>77460635</v>
      </c>
      <c r="I8950">
        <v>77460654</v>
      </c>
    </row>
    <row r="8951" spans="1:9" x14ac:dyDescent="0.2">
      <c r="A8951" s="1" t="str">
        <f>"KCTD13"</f>
        <v>KCTD13</v>
      </c>
      <c r="B8951" t="s">
        <v>14</v>
      </c>
      <c r="C8951" t="s">
        <v>31</v>
      </c>
      <c r="D8951" t="s">
        <v>11</v>
      </c>
      <c r="E8951" t="s">
        <v>12</v>
      </c>
      <c r="F8951">
        <v>29937476</v>
      </c>
      <c r="G8951">
        <v>29937555</v>
      </c>
      <c r="H8951">
        <v>29937476</v>
      </c>
      <c r="I8951">
        <v>29937555</v>
      </c>
    </row>
    <row r="8952" spans="1:9" x14ac:dyDescent="0.2">
      <c r="A8952" s="1" t="str">
        <f>"KCTD14"</f>
        <v>KCTD14</v>
      </c>
      <c r="B8952" t="s">
        <v>14</v>
      </c>
      <c r="C8952" t="s">
        <v>27</v>
      </c>
      <c r="D8952" t="s">
        <v>11</v>
      </c>
      <c r="E8952" t="s">
        <v>12</v>
      </c>
      <c r="F8952">
        <v>77734260</v>
      </c>
      <c r="G8952">
        <v>77734331</v>
      </c>
      <c r="H8952">
        <v>77734260</v>
      </c>
      <c r="I8952">
        <v>77734331</v>
      </c>
    </row>
    <row r="8953" spans="1:9" x14ac:dyDescent="0.2">
      <c r="A8953" s="1" t="str">
        <f>"KCTD15"</f>
        <v>KCTD15</v>
      </c>
      <c r="B8953" t="s">
        <v>14</v>
      </c>
      <c r="C8953" t="s">
        <v>10</v>
      </c>
      <c r="D8953" t="s">
        <v>17</v>
      </c>
      <c r="E8953" t="s">
        <v>12</v>
      </c>
      <c r="F8953">
        <v>34287752</v>
      </c>
      <c r="G8953">
        <v>34287801</v>
      </c>
      <c r="H8953">
        <v>34287752</v>
      </c>
      <c r="I8953">
        <v>34287801</v>
      </c>
    </row>
    <row r="8954" spans="1:9" x14ac:dyDescent="0.2">
      <c r="A8954" s="1" t="str">
        <f>"KCTD16"</f>
        <v>KCTD16</v>
      </c>
      <c r="B8954" t="s">
        <v>14</v>
      </c>
      <c r="C8954" t="s">
        <v>46</v>
      </c>
      <c r="D8954" t="s">
        <v>17</v>
      </c>
      <c r="E8954" t="s">
        <v>12</v>
      </c>
      <c r="F8954">
        <v>143584901</v>
      </c>
      <c r="G8954">
        <v>143584987</v>
      </c>
      <c r="H8954">
        <v>143584901</v>
      </c>
      <c r="I8954">
        <v>143584987</v>
      </c>
    </row>
    <row r="8955" spans="1:9" x14ac:dyDescent="0.2">
      <c r="A8955" s="1" t="str">
        <f>"KCTD17"</f>
        <v>KCTD17</v>
      </c>
      <c r="B8955" t="s">
        <v>14</v>
      </c>
      <c r="C8955" t="s">
        <v>21</v>
      </c>
      <c r="D8955" t="s">
        <v>17</v>
      </c>
      <c r="E8955" t="s">
        <v>12</v>
      </c>
      <c r="F8955">
        <v>37447771</v>
      </c>
      <c r="G8955">
        <v>37447795</v>
      </c>
      <c r="H8955">
        <v>37447744</v>
      </c>
      <c r="I8955">
        <v>37447756</v>
      </c>
    </row>
    <row r="8956" spans="1:9" x14ac:dyDescent="0.2">
      <c r="A8956" s="1" t="str">
        <f>"KCTD18"</f>
        <v>KCTD18</v>
      </c>
      <c r="B8956" t="s">
        <v>14</v>
      </c>
      <c r="C8956" t="s">
        <v>26</v>
      </c>
      <c r="D8956" t="s">
        <v>11</v>
      </c>
      <c r="E8956" t="s">
        <v>12</v>
      </c>
      <c r="F8956">
        <v>201374781</v>
      </c>
      <c r="G8956">
        <v>201374800</v>
      </c>
      <c r="H8956">
        <v>201374809</v>
      </c>
      <c r="I8956">
        <v>201374840</v>
      </c>
    </row>
    <row r="8957" spans="1:9" x14ac:dyDescent="0.2">
      <c r="A8957" s="1" t="str">
        <f>"KCTD19"</f>
        <v>KCTD19</v>
      </c>
      <c r="B8957" t="s">
        <v>14</v>
      </c>
      <c r="C8957" t="s">
        <v>31</v>
      </c>
      <c r="D8957" t="s">
        <v>11</v>
      </c>
      <c r="E8957" t="s">
        <v>12</v>
      </c>
      <c r="F8957">
        <v>67360631</v>
      </c>
      <c r="G8957">
        <v>67360650</v>
      </c>
      <c r="H8957">
        <v>67360662</v>
      </c>
      <c r="I8957">
        <v>67360669</v>
      </c>
    </row>
    <row r="8958" spans="1:9" x14ac:dyDescent="0.2">
      <c r="A8958" s="1" t="str">
        <f>"KCTD2"</f>
        <v>KCTD2</v>
      </c>
      <c r="B8958" t="s">
        <v>14</v>
      </c>
      <c r="C8958" t="s">
        <v>28</v>
      </c>
      <c r="D8958" t="s">
        <v>17</v>
      </c>
      <c r="E8958" t="s">
        <v>12</v>
      </c>
      <c r="F8958">
        <v>73043301</v>
      </c>
      <c r="G8958">
        <v>73043347</v>
      </c>
      <c r="H8958">
        <v>73043262</v>
      </c>
      <c r="I8958">
        <v>73043285</v>
      </c>
    </row>
    <row r="8959" spans="1:9" x14ac:dyDescent="0.2">
      <c r="A8959" s="1" t="str">
        <f>"KCTD20"</f>
        <v>KCTD20</v>
      </c>
      <c r="B8959" t="s">
        <v>14</v>
      </c>
      <c r="C8959" t="s">
        <v>32</v>
      </c>
      <c r="D8959" t="s">
        <v>17</v>
      </c>
      <c r="E8959" t="s">
        <v>12</v>
      </c>
      <c r="F8959">
        <v>36410762</v>
      </c>
      <c r="G8959">
        <v>36410858</v>
      </c>
      <c r="H8959">
        <v>36410738</v>
      </c>
      <c r="I8959">
        <v>36410755</v>
      </c>
    </row>
    <row r="8960" spans="1:9" x14ac:dyDescent="0.2">
      <c r="A8960" s="1" t="str">
        <f>"KCTD21"</f>
        <v>KCTD21</v>
      </c>
      <c r="B8960" t="s">
        <v>14</v>
      </c>
      <c r="C8960" t="s">
        <v>27</v>
      </c>
      <c r="D8960" t="s">
        <v>11</v>
      </c>
      <c r="E8960" t="s">
        <v>12</v>
      </c>
      <c r="F8960">
        <v>77899656</v>
      </c>
      <c r="G8960">
        <v>77899679</v>
      </c>
      <c r="H8960">
        <v>77899656</v>
      </c>
      <c r="I8960">
        <v>77899679</v>
      </c>
    </row>
    <row r="8961" spans="1:9" x14ac:dyDescent="0.2">
      <c r="A8961" s="1" t="str">
        <f>"KCTD3"</f>
        <v>KCTD3</v>
      </c>
      <c r="B8961" t="s">
        <v>14</v>
      </c>
      <c r="C8961" t="s">
        <v>19</v>
      </c>
      <c r="D8961" t="s">
        <v>17</v>
      </c>
      <c r="E8961" t="s">
        <v>12</v>
      </c>
      <c r="F8961">
        <v>215740709</v>
      </c>
      <c r="G8961">
        <v>215740748</v>
      </c>
      <c r="H8961">
        <v>215740622</v>
      </c>
      <c r="I8961">
        <v>215740664</v>
      </c>
    </row>
    <row r="8962" spans="1:9" x14ac:dyDescent="0.2">
      <c r="A8962" s="1" t="str">
        <f>"KCTD4"</f>
        <v>KCTD4</v>
      </c>
      <c r="B8962" t="s">
        <v>14</v>
      </c>
      <c r="C8962" t="s">
        <v>39</v>
      </c>
      <c r="D8962" t="s">
        <v>11</v>
      </c>
      <c r="E8962" t="s">
        <v>12</v>
      </c>
      <c r="F8962">
        <v>45768800</v>
      </c>
      <c r="G8962">
        <v>45768816</v>
      </c>
      <c r="H8962">
        <v>45768800</v>
      </c>
      <c r="I8962">
        <v>45768816</v>
      </c>
    </row>
    <row r="8963" spans="1:9" x14ac:dyDescent="0.2">
      <c r="A8963" s="1" t="str">
        <f>"KCTD5"</f>
        <v>KCTD5</v>
      </c>
      <c r="B8963" t="s">
        <v>14</v>
      </c>
      <c r="C8963" t="s">
        <v>31</v>
      </c>
      <c r="D8963" t="s">
        <v>17</v>
      </c>
      <c r="E8963" t="s">
        <v>12</v>
      </c>
      <c r="F8963">
        <v>2732516</v>
      </c>
      <c r="G8963">
        <v>2732534</v>
      </c>
      <c r="H8963">
        <v>2732415</v>
      </c>
      <c r="I8963">
        <v>2732444</v>
      </c>
    </row>
    <row r="8964" spans="1:9" x14ac:dyDescent="0.2">
      <c r="A8964" s="1" t="str">
        <f>"KCTD6"</f>
        <v>KCTD6</v>
      </c>
      <c r="B8964" t="s">
        <v>14</v>
      </c>
      <c r="C8964" t="s">
        <v>22</v>
      </c>
      <c r="D8964" t="s">
        <v>17</v>
      </c>
      <c r="E8964" t="s">
        <v>12</v>
      </c>
      <c r="F8964">
        <v>58477815</v>
      </c>
      <c r="G8964">
        <v>58477865</v>
      </c>
      <c r="H8964">
        <v>58477616</v>
      </c>
      <c r="I8964">
        <v>58477641</v>
      </c>
    </row>
    <row r="8965" spans="1:9" x14ac:dyDescent="0.2">
      <c r="A8965" s="1" t="str">
        <f>"KCTD7"</f>
        <v>KCTD7</v>
      </c>
      <c r="B8965" t="s">
        <v>14</v>
      </c>
      <c r="C8965" t="s">
        <v>33</v>
      </c>
      <c r="D8965" t="s">
        <v>17</v>
      </c>
      <c r="E8965" t="s">
        <v>12</v>
      </c>
      <c r="F8965">
        <v>66205712</v>
      </c>
      <c r="G8965">
        <v>66205726</v>
      </c>
      <c r="H8965">
        <v>66205671</v>
      </c>
      <c r="I8965">
        <v>66205698</v>
      </c>
    </row>
    <row r="8966" spans="1:9" x14ac:dyDescent="0.2">
      <c r="A8966" s="1" t="str">
        <f>"KCTD8"</f>
        <v>KCTD8</v>
      </c>
      <c r="B8966" t="s">
        <v>14</v>
      </c>
      <c r="C8966" t="s">
        <v>23</v>
      </c>
      <c r="D8966" t="s">
        <v>11</v>
      </c>
      <c r="E8966" t="s">
        <v>12</v>
      </c>
      <c r="F8966">
        <v>44450814</v>
      </c>
      <c r="G8966">
        <v>44450832</v>
      </c>
      <c r="H8966">
        <v>44450933</v>
      </c>
      <c r="I8966">
        <v>44450947</v>
      </c>
    </row>
    <row r="8967" spans="1:9" x14ac:dyDescent="0.2">
      <c r="A8967" s="1" t="str">
        <f>"KCTD9"</f>
        <v>KCTD9</v>
      </c>
      <c r="B8967" t="s">
        <v>14</v>
      </c>
      <c r="C8967" t="s">
        <v>30</v>
      </c>
      <c r="D8967" t="s">
        <v>11</v>
      </c>
      <c r="E8967" t="s">
        <v>12</v>
      </c>
      <c r="F8967">
        <v>25315905</v>
      </c>
      <c r="G8967">
        <v>25315971</v>
      </c>
      <c r="H8967">
        <v>25315979</v>
      </c>
      <c r="I8967">
        <v>25315988</v>
      </c>
    </row>
    <row r="8968" spans="1:9" x14ac:dyDescent="0.2">
      <c r="A8968" s="1" t="str">
        <f>"KDELC1"</f>
        <v>KDELC1</v>
      </c>
      <c r="B8968" t="s">
        <v>14</v>
      </c>
      <c r="C8968" t="s">
        <v>39</v>
      </c>
      <c r="D8968" t="s">
        <v>11</v>
      </c>
      <c r="E8968" t="s">
        <v>12</v>
      </c>
      <c r="F8968">
        <v>103451307</v>
      </c>
      <c r="G8968">
        <v>103451380</v>
      </c>
      <c r="H8968">
        <v>103451282</v>
      </c>
      <c r="I8968">
        <v>103451303</v>
      </c>
    </row>
    <row r="8969" spans="1:9" x14ac:dyDescent="0.2">
      <c r="A8969" s="1" t="str">
        <f>"KDELC2"</f>
        <v>KDELC2</v>
      </c>
      <c r="B8969" t="s">
        <v>14</v>
      </c>
      <c r="C8969" t="s">
        <v>27</v>
      </c>
      <c r="D8969" t="s">
        <v>11</v>
      </c>
      <c r="E8969" t="s">
        <v>12</v>
      </c>
      <c r="F8969">
        <v>108369101</v>
      </c>
      <c r="G8969">
        <v>108369157</v>
      </c>
      <c r="H8969">
        <v>108369268</v>
      </c>
      <c r="I8969">
        <v>108369288</v>
      </c>
    </row>
    <row r="8970" spans="1:9" x14ac:dyDescent="0.2">
      <c r="A8970" s="1" t="str">
        <f>"KDELR1"</f>
        <v>KDELR1</v>
      </c>
      <c r="B8970" t="s">
        <v>14</v>
      </c>
      <c r="C8970" t="s">
        <v>10</v>
      </c>
      <c r="D8970" t="s">
        <v>11</v>
      </c>
      <c r="E8970" t="s">
        <v>12</v>
      </c>
      <c r="F8970">
        <v>48894762</v>
      </c>
      <c r="G8970">
        <v>48894830</v>
      </c>
      <c r="H8970">
        <v>48894104</v>
      </c>
      <c r="I8970">
        <v>48894170</v>
      </c>
    </row>
    <row r="8971" spans="1:9" x14ac:dyDescent="0.2">
      <c r="A8971" s="1" t="str">
        <f>"KDELR2"</f>
        <v>KDELR2</v>
      </c>
      <c r="B8971" t="s">
        <v>14</v>
      </c>
      <c r="C8971" t="s">
        <v>33</v>
      </c>
      <c r="D8971" t="s">
        <v>11</v>
      </c>
      <c r="E8971" t="s">
        <v>12</v>
      </c>
      <c r="F8971">
        <v>6523755</v>
      </c>
      <c r="G8971">
        <v>6523829</v>
      </c>
      <c r="H8971">
        <v>6523690</v>
      </c>
      <c r="I8971">
        <v>6523701</v>
      </c>
    </row>
    <row r="8972" spans="1:9" x14ac:dyDescent="0.2">
      <c r="A8972" s="1" t="str">
        <f>"KDELR3"</f>
        <v>KDELR3</v>
      </c>
      <c r="B8972" t="s">
        <v>14</v>
      </c>
      <c r="C8972" t="s">
        <v>21</v>
      </c>
      <c r="D8972" t="s">
        <v>17</v>
      </c>
      <c r="E8972" t="s">
        <v>12</v>
      </c>
      <c r="F8972">
        <v>38864041</v>
      </c>
      <c r="G8972">
        <v>38864150</v>
      </c>
      <c r="H8972">
        <v>38864025</v>
      </c>
      <c r="I8972">
        <v>38864036</v>
      </c>
    </row>
    <row r="8973" spans="1:9" x14ac:dyDescent="0.2">
      <c r="A8973" s="1" t="str">
        <f>"KDM1A"</f>
        <v>KDM1A</v>
      </c>
      <c r="B8973" t="s">
        <v>14</v>
      </c>
      <c r="C8973" t="s">
        <v>19</v>
      </c>
      <c r="D8973" t="s">
        <v>17</v>
      </c>
      <c r="E8973" t="s">
        <v>12</v>
      </c>
      <c r="F8973">
        <v>23345943</v>
      </c>
      <c r="G8973">
        <v>23346051</v>
      </c>
      <c r="H8973">
        <v>23345930</v>
      </c>
      <c r="I8973">
        <v>23345941</v>
      </c>
    </row>
    <row r="8974" spans="1:9" x14ac:dyDescent="0.2">
      <c r="A8974" s="1" t="str">
        <f>"KDM1B"</f>
        <v>KDM1B</v>
      </c>
      <c r="B8974" t="s">
        <v>14</v>
      </c>
      <c r="C8974" t="s">
        <v>32</v>
      </c>
      <c r="D8974" t="s">
        <v>17</v>
      </c>
      <c r="E8974" t="s">
        <v>12</v>
      </c>
      <c r="F8974">
        <v>18155632</v>
      </c>
      <c r="G8974">
        <v>18155700</v>
      </c>
      <c r="H8974">
        <v>18155701</v>
      </c>
      <c r="I8974">
        <v>18155736</v>
      </c>
    </row>
    <row r="8975" spans="1:9" x14ac:dyDescent="0.2">
      <c r="A8975" s="1" t="str">
        <f>"KDM2A"</f>
        <v>KDM2A</v>
      </c>
      <c r="B8975" t="s">
        <v>14</v>
      </c>
      <c r="C8975" t="s">
        <v>27</v>
      </c>
      <c r="D8975" t="s">
        <v>17</v>
      </c>
      <c r="E8975" t="s">
        <v>12</v>
      </c>
      <c r="F8975">
        <v>66886717</v>
      </c>
      <c r="G8975">
        <v>66886762</v>
      </c>
      <c r="H8975">
        <v>66886717</v>
      </c>
      <c r="I8975">
        <v>66886762</v>
      </c>
    </row>
    <row r="8976" spans="1:9" x14ac:dyDescent="0.2">
      <c r="A8976" s="1" t="str">
        <f>"KDM2B"</f>
        <v>KDM2B</v>
      </c>
      <c r="B8976" t="s">
        <v>670</v>
      </c>
      <c r="C8976" t="s">
        <v>16</v>
      </c>
      <c r="D8976" t="s">
        <v>11</v>
      </c>
      <c r="E8976" t="s">
        <v>35</v>
      </c>
      <c r="F8976">
        <v>122018486</v>
      </c>
      <c r="G8976">
        <v>122018487</v>
      </c>
      <c r="H8976">
        <v>122018168</v>
      </c>
      <c r="I8976">
        <v>122018185</v>
      </c>
    </row>
    <row r="8977" spans="1:9" x14ac:dyDescent="0.2">
      <c r="A8977" s="1" t="str">
        <f>"KDM2B"</f>
        <v>KDM2B</v>
      </c>
      <c r="B8977" t="s">
        <v>671</v>
      </c>
      <c r="C8977" t="s">
        <v>16</v>
      </c>
      <c r="D8977" t="s">
        <v>11</v>
      </c>
      <c r="E8977" t="s">
        <v>35</v>
      </c>
      <c r="F8977">
        <v>122018965</v>
      </c>
      <c r="G8977">
        <v>122018970</v>
      </c>
      <c r="H8977">
        <v>122018872</v>
      </c>
      <c r="I8977">
        <v>122018894</v>
      </c>
    </row>
    <row r="8978" spans="1:9" x14ac:dyDescent="0.2">
      <c r="A8978" s="1" t="str">
        <f>"KDM3A"</f>
        <v>KDM3A</v>
      </c>
      <c r="B8978" t="s">
        <v>14</v>
      </c>
      <c r="C8978" t="s">
        <v>26</v>
      </c>
      <c r="D8978" t="s">
        <v>17</v>
      </c>
      <c r="E8978" t="s">
        <v>12</v>
      </c>
      <c r="F8978">
        <v>86668464</v>
      </c>
      <c r="G8978">
        <v>86668529</v>
      </c>
      <c r="H8978">
        <v>86669119</v>
      </c>
      <c r="I8978">
        <v>86669171</v>
      </c>
    </row>
    <row r="8979" spans="1:9" x14ac:dyDescent="0.2">
      <c r="A8979" s="1" t="str">
        <f>"KDM3B"</f>
        <v>KDM3B</v>
      </c>
      <c r="B8979" t="s">
        <v>14</v>
      </c>
      <c r="C8979" t="s">
        <v>46</v>
      </c>
      <c r="D8979" t="s">
        <v>17</v>
      </c>
      <c r="E8979" t="s">
        <v>12</v>
      </c>
      <c r="F8979">
        <v>137688364</v>
      </c>
      <c r="G8979">
        <v>137688429</v>
      </c>
      <c r="H8979">
        <v>137688464</v>
      </c>
      <c r="I8979">
        <v>137688475</v>
      </c>
    </row>
    <row r="8980" spans="1:9" x14ac:dyDescent="0.2">
      <c r="A8980" s="1" t="str">
        <f>"KDM4A"</f>
        <v>KDM4A</v>
      </c>
      <c r="B8980" t="s">
        <v>14</v>
      </c>
      <c r="C8980" t="s">
        <v>19</v>
      </c>
      <c r="D8980" t="s">
        <v>17</v>
      </c>
      <c r="E8980" t="s">
        <v>12</v>
      </c>
      <c r="F8980">
        <v>44115814</v>
      </c>
      <c r="G8980">
        <v>44115849</v>
      </c>
      <c r="H8980">
        <v>44115789</v>
      </c>
      <c r="I8980">
        <v>44115813</v>
      </c>
    </row>
    <row r="8981" spans="1:9" x14ac:dyDescent="0.2">
      <c r="A8981" s="1" t="str">
        <f>"KDM4B"</f>
        <v>KDM4B</v>
      </c>
      <c r="B8981" t="s">
        <v>14</v>
      </c>
      <c r="C8981" t="s">
        <v>10</v>
      </c>
      <c r="D8981" t="s">
        <v>17</v>
      </c>
      <c r="E8981" t="s">
        <v>12</v>
      </c>
      <c r="F8981">
        <v>4969116</v>
      </c>
      <c r="G8981">
        <v>4969131</v>
      </c>
      <c r="H8981">
        <v>4969116</v>
      </c>
      <c r="I8981">
        <v>4969131</v>
      </c>
    </row>
    <row r="8982" spans="1:9" x14ac:dyDescent="0.2">
      <c r="A8982" s="1" t="str">
        <f>"KDM4C"</f>
        <v>KDM4C</v>
      </c>
      <c r="B8982" t="s">
        <v>14</v>
      </c>
      <c r="C8982" t="s">
        <v>24</v>
      </c>
      <c r="D8982" t="s">
        <v>17</v>
      </c>
      <c r="E8982" t="s">
        <v>12</v>
      </c>
      <c r="F8982">
        <v>6758024</v>
      </c>
      <c r="G8982">
        <v>6758100</v>
      </c>
      <c r="H8982">
        <v>6757983</v>
      </c>
      <c r="I8982">
        <v>6758016</v>
      </c>
    </row>
    <row r="8983" spans="1:9" x14ac:dyDescent="0.2">
      <c r="A8983" s="1" t="str">
        <f>"KDM4D"</f>
        <v>KDM4D</v>
      </c>
      <c r="B8983" t="s">
        <v>14</v>
      </c>
      <c r="C8983" t="s">
        <v>27</v>
      </c>
      <c r="D8983" t="s">
        <v>17</v>
      </c>
      <c r="E8983" t="s">
        <v>12</v>
      </c>
      <c r="F8983">
        <v>94706804</v>
      </c>
      <c r="G8983">
        <v>94706907</v>
      </c>
      <c r="H8983">
        <v>94706982</v>
      </c>
      <c r="I8983">
        <v>94707012</v>
      </c>
    </row>
    <row r="8984" spans="1:9" x14ac:dyDescent="0.2">
      <c r="A8984" s="1" t="str">
        <f>"KDM4E"</f>
        <v>KDM4E</v>
      </c>
      <c r="B8984" t="s">
        <v>672</v>
      </c>
      <c r="C8984" t="s">
        <v>27</v>
      </c>
      <c r="D8984" t="s">
        <v>17</v>
      </c>
      <c r="E8984" t="s">
        <v>20</v>
      </c>
      <c r="F8984">
        <v>94758421</v>
      </c>
      <c r="G8984">
        <v>94758421</v>
      </c>
      <c r="H8984">
        <v>94758421</v>
      </c>
      <c r="I8984">
        <v>94758421</v>
      </c>
    </row>
    <row r="8985" spans="1:9" x14ac:dyDescent="0.2">
      <c r="A8985" s="1" t="str">
        <f>"KDM5A"</f>
        <v>KDM5A</v>
      </c>
      <c r="B8985" t="s">
        <v>14</v>
      </c>
      <c r="C8985" t="s">
        <v>16</v>
      </c>
      <c r="D8985" t="s">
        <v>11</v>
      </c>
      <c r="E8985" t="s">
        <v>12</v>
      </c>
      <c r="F8985">
        <v>498415</v>
      </c>
      <c r="G8985">
        <v>498492</v>
      </c>
      <c r="H8985">
        <v>498695</v>
      </c>
      <c r="I8985">
        <v>498748</v>
      </c>
    </row>
    <row r="8986" spans="1:9" x14ac:dyDescent="0.2">
      <c r="A8986" s="1" t="str">
        <f>"KDM5B"</f>
        <v>KDM5B</v>
      </c>
      <c r="B8986" t="s">
        <v>14</v>
      </c>
      <c r="C8986" t="s">
        <v>19</v>
      </c>
      <c r="D8986" t="s">
        <v>11</v>
      </c>
      <c r="E8986" t="s">
        <v>12</v>
      </c>
      <c r="F8986">
        <v>202777535</v>
      </c>
      <c r="G8986">
        <v>202777556</v>
      </c>
      <c r="H8986">
        <v>202777592</v>
      </c>
      <c r="I8986">
        <v>202777616</v>
      </c>
    </row>
    <row r="8987" spans="1:9" x14ac:dyDescent="0.2">
      <c r="A8987" s="1" t="str">
        <f>"KDM5C"</f>
        <v>KDM5C</v>
      </c>
      <c r="B8987" t="s">
        <v>14</v>
      </c>
      <c r="C8987" t="s">
        <v>37</v>
      </c>
      <c r="D8987" t="s">
        <v>11</v>
      </c>
      <c r="E8987" t="s">
        <v>12</v>
      </c>
      <c r="F8987">
        <v>53254373</v>
      </c>
      <c r="G8987">
        <v>53254406</v>
      </c>
      <c r="H8987">
        <v>53254624</v>
      </c>
      <c r="I8987">
        <v>53254638</v>
      </c>
    </row>
    <row r="8988" spans="1:9" x14ac:dyDescent="0.2">
      <c r="A8988" s="1" t="str">
        <f>"KDM5D"</f>
        <v>KDM5D</v>
      </c>
      <c r="B8988" t="s">
        <v>14</v>
      </c>
      <c r="C8988" t="s">
        <v>63</v>
      </c>
      <c r="D8988" t="s">
        <v>11</v>
      </c>
      <c r="E8988" t="s">
        <v>12</v>
      </c>
      <c r="F8988">
        <v>21906594</v>
      </c>
      <c r="G8988">
        <v>21906622</v>
      </c>
      <c r="H8988">
        <v>21906761</v>
      </c>
      <c r="I8988">
        <v>21906810</v>
      </c>
    </row>
    <row r="8989" spans="1:9" x14ac:dyDescent="0.2">
      <c r="A8989" s="1" t="str">
        <f>"KDM6A"</f>
        <v>KDM6A</v>
      </c>
      <c r="B8989" t="s">
        <v>14</v>
      </c>
      <c r="C8989" t="s">
        <v>37</v>
      </c>
      <c r="D8989" t="s">
        <v>17</v>
      </c>
      <c r="E8989" t="s">
        <v>12</v>
      </c>
      <c r="F8989">
        <v>44732415</v>
      </c>
      <c r="G8989">
        <v>44732450</v>
      </c>
      <c r="H8989">
        <v>44732455</v>
      </c>
      <c r="I8989">
        <v>44732473</v>
      </c>
    </row>
    <row r="8990" spans="1:9" x14ac:dyDescent="0.2">
      <c r="A8990" s="1" t="str">
        <f>"KDM6B"</f>
        <v>KDM6B</v>
      </c>
      <c r="B8990" t="s">
        <v>14</v>
      </c>
      <c r="C8990" t="s">
        <v>28</v>
      </c>
      <c r="D8990" t="s">
        <v>17</v>
      </c>
      <c r="E8990" t="s">
        <v>12</v>
      </c>
      <c r="F8990">
        <v>7750952</v>
      </c>
      <c r="G8990">
        <v>7750975</v>
      </c>
      <c r="H8990">
        <v>7750952</v>
      </c>
      <c r="I8990">
        <v>7750975</v>
      </c>
    </row>
    <row r="8991" spans="1:9" x14ac:dyDescent="0.2">
      <c r="A8991" s="1" t="str">
        <f>"KDM8"</f>
        <v>KDM8</v>
      </c>
      <c r="B8991" t="s">
        <v>14</v>
      </c>
      <c r="C8991" t="s">
        <v>31</v>
      </c>
      <c r="D8991" t="s">
        <v>17</v>
      </c>
      <c r="E8991" t="s">
        <v>12</v>
      </c>
      <c r="F8991">
        <v>27214835</v>
      </c>
      <c r="G8991">
        <v>27214858</v>
      </c>
      <c r="H8991">
        <v>27214802</v>
      </c>
      <c r="I8991">
        <v>27214834</v>
      </c>
    </row>
    <row r="8992" spans="1:9" x14ac:dyDescent="0.2">
      <c r="A8992" s="1" t="str">
        <f>"KDR"</f>
        <v>KDR</v>
      </c>
      <c r="B8992" t="s">
        <v>14</v>
      </c>
      <c r="C8992" t="s">
        <v>23</v>
      </c>
      <c r="D8992" t="s">
        <v>11</v>
      </c>
      <c r="E8992" t="s">
        <v>12</v>
      </c>
      <c r="F8992">
        <v>55991752</v>
      </c>
      <c r="G8992">
        <v>55991770</v>
      </c>
      <c r="H8992">
        <v>55991752</v>
      </c>
      <c r="I8992">
        <v>55991770</v>
      </c>
    </row>
    <row r="8993" spans="1:9" x14ac:dyDescent="0.2">
      <c r="A8993" s="1" t="str">
        <f>"KDSR"</f>
        <v>KDSR</v>
      </c>
      <c r="B8993" t="s">
        <v>14</v>
      </c>
      <c r="C8993" t="s">
        <v>43</v>
      </c>
      <c r="D8993" t="s">
        <v>11</v>
      </c>
      <c r="E8993" t="s">
        <v>12</v>
      </c>
      <c r="F8993">
        <v>61034416</v>
      </c>
      <c r="G8993">
        <v>61034448</v>
      </c>
      <c r="H8993">
        <v>61034772</v>
      </c>
      <c r="I8993">
        <v>61034800</v>
      </c>
    </row>
    <row r="8994" spans="1:9" x14ac:dyDescent="0.2">
      <c r="A8994" s="1" t="str">
        <f>"KEAP1"</f>
        <v>KEAP1</v>
      </c>
      <c r="B8994" t="s">
        <v>14</v>
      </c>
      <c r="C8994" t="s">
        <v>10</v>
      </c>
      <c r="D8994" t="s">
        <v>11</v>
      </c>
      <c r="E8994" t="s">
        <v>12</v>
      </c>
      <c r="F8994">
        <v>10613986</v>
      </c>
      <c r="G8994">
        <v>10614060</v>
      </c>
      <c r="H8994">
        <v>10613384</v>
      </c>
      <c r="I8994">
        <v>10613418</v>
      </c>
    </row>
    <row r="8995" spans="1:9" x14ac:dyDescent="0.2">
      <c r="A8995" s="1" t="str">
        <f>"KEL"</f>
        <v>KEL</v>
      </c>
      <c r="B8995" t="s">
        <v>9</v>
      </c>
      <c r="C8995" t="s">
        <v>33</v>
      </c>
      <c r="D8995" t="s">
        <v>11</v>
      </c>
      <c r="E8995" t="s">
        <v>12</v>
      </c>
      <c r="F8995">
        <v>142659407</v>
      </c>
      <c r="G8995">
        <v>142659456</v>
      </c>
      <c r="H8995">
        <v>142659407</v>
      </c>
      <c r="I8995">
        <v>142659456</v>
      </c>
    </row>
    <row r="8996" spans="1:9" x14ac:dyDescent="0.2">
      <c r="A8996" s="1" t="str">
        <f>"KEL"</f>
        <v>KEL</v>
      </c>
      <c r="B8996" t="s">
        <v>13</v>
      </c>
      <c r="C8996" t="s">
        <v>33</v>
      </c>
      <c r="D8996" t="s">
        <v>11</v>
      </c>
      <c r="E8996" t="s">
        <v>12</v>
      </c>
      <c r="F8996">
        <v>142640966</v>
      </c>
      <c r="G8996">
        <v>142640992</v>
      </c>
      <c r="H8996">
        <v>142640966</v>
      </c>
      <c r="I8996">
        <v>142640992</v>
      </c>
    </row>
    <row r="8997" spans="1:9" x14ac:dyDescent="0.2">
      <c r="A8997" s="1" t="str">
        <f>"KERA"</f>
        <v>KERA</v>
      </c>
      <c r="B8997" t="s">
        <v>14</v>
      </c>
      <c r="C8997" t="s">
        <v>16</v>
      </c>
      <c r="D8997" t="s">
        <v>11</v>
      </c>
      <c r="E8997" t="s">
        <v>12</v>
      </c>
      <c r="F8997">
        <v>91451681</v>
      </c>
      <c r="G8997">
        <v>91451706</v>
      </c>
      <c r="H8997">
        <v>91451794</v>
      </c>
      <c r="I8997">
        <v>91451806</v>
      </c>
    </row>
    <row r="8998" spans="1:9" x14ac:dyDescent="0.2">
      <c r="A8998" s="1" t="str">
        <f>"KHDC1"</f>
        <v>KHDC1</v>
      </c>
      <c r="B8998" t="s">
        <v>673</v>
      </c>
      <c r="C8998" t="s">
        <v>32</v>
      </c>
      <c r="D8998" t="s">
        <v>11</v>
      </c>
      <c r="E8998" t="s">
        <v>35</v>
      </c>
      <c r="F8998">
        <v>73972928</v>
      </c>
      <c r="G8998">
        <v>73972933</v>
      </c>
      <c r="H8998">
        <v>73972766</v>
      </c>
      <c r="I8998">
        <v>73972785</v>
      </c>
    </row>
    <row r="8999" spans="1:9" x14ac:dyDescent="0.2">
      <c r="A8999" s="1" t="str">
        <f>"KHDC1L"</f>
        <v>KHDC1L</v>
      </c>
      <c r="B8999" t="s">
        <v>14</v>
      </c>
      <c r="C8999" t="s">
        <v>32</v>
      </c>
      <c r="D8999" t="s">
        <v>11</v>
      </c>
      <c r="E8999" t="s">
        <v>12</v>
      </c>
      <c r="F8999">
        <v>73935193</v>
      </c>
      <c r="G8999">
        <v>73935256</v>
      </c>
      <c r="H8999">
        <v>73935193</v>
      </c>
      <c r="I8999">
        <v>73935256</v>
      </c>
    </row>
    <row r="9000" spans="1:9" x14ac:dyDescent="0.2">
      <c r="A9000" s="1" t="str">
        <f>"KHDC3L"</f>
        <v>KHDC3L</v>
      </c>
      <c r="B9000" t="s">
        <v>14</v>
      </c>
      <c r="C9000" t="s">
        <v>32</v>
      </c>
      <c r="D9000" t="s">
        <v>17</v>
      </c>
      <c r="E9000" t="s">
        <v>12</v>
      </c>
      <c r="F9000">
        <v>74072375</v>
      </c>
      <c r="G9000">
        <v>74072388</v>
      </c>
      <c r="H9000">
        <v>74072511</v>
      </c>
      <c r="I9000">
        <v>74072525</v>
      </c>
    </row>
    <row r="9001" spans="1:9" x14ac:dyDescent="0.2">
      <c r="A9001" s="1" t="str">
        <f>"KHDRBS1"</f>
        <v>KHDRBS1</v>
      </c>
      <c r="B9001" t="s">
        <v>14</v>
      </c>
      <c r="C9001" t="s">
        <v>19</v>
      </c>
      <c r="D9001" t="s">
        <v>17</v>
      </c>
      <c r="E9001" t="s">
        <v>12</v>
      </c>
      <c r="F9001">
        <v>32479449</v>
      </c>
      <c r="G9001">
        <v>32479479</v>
      </c>
      <c r="H9001">
        <v>32479449</v>
      </c>
      <c r="I9001">
        <v>32479479</v>
      </c>
    </row>
    <row r="9002" spans="1:9" x14ac:dyDescent="0.2">
      <c r="A9002" s="1" t="str">
        <f>"KHDRBS2"</f>
        <v>KHDRBS2</v>
      </c>
      <c r="B9002" t="s">
        <v>14</v>
      </c>
      <c r="C9002" t="s">
        <v>32</v>
      </c>
      <c r="D9002" t="s">
        <v>11</v>
      </c>
      <c r="E9002" t="s">
        <v>12</v>
      </c>
      <c r="F9002">
        <v>62996066</v>
      </c>
      <c r="G9002">
        <v>62996137</v>
      </c>
      <c r="H9002">
        <v>62995968</v>
      </c>
      <c r="I9002">
        <v>62995979</v>
      </c>
    </row>
    <row r="9003" spans="1:9" x14ac:dyDescent="0.2">
      <c r="A9003" s="1" t="str">
        <f>"KHDRBS3"</f>
        <v>KHDRBS3</v>
      </c>
      <c r="B9003" t="s">
        <v>14</v>
      </c>
      <c r="C9003" t="s">
        <v>30</v>
      </c>
      <c r="D9003" t="s">
        <v>17</v>
      </c>
      <c r="E9003" t="s">
        <v>12</v>
      </c>
      <c r="F9003">
        <v>136469684</v>
      </c>
      <c r="G9003">
        <v>136469710</v>
      </c>
      <c r="H9003">
        <v>136469717</v>
      </c>
      <c r="I9003">
        <v>136469739</v>
      </c>
    </row>
    <row r="9004" spans="1:9" x14ac:dyDescent="0.2">
      <c r="A9004" s="1" t="str">
        <f>"KHK"</f>
        <v>KHK</v>
      </c>
      <c r="B9004" t="s">
        <v>14</v>
      </c>
      <c r="C9004" t="s">
        <v>26</v>
      </c>
      <c r="D9004" t="s">
        <v>17</v>
      </c>
      <c r="E9004" t="s">
        <v>12</v>
      </c>
      <c r="F9004">
        <v>27309605</v>
      </c>
      <c r="G9004">
        <v>27309674</v>
      </c>
      <c r="H9004">
        <v>27310085</v>
      </c>
      <c r="I9004">
        <v>27310100</v>
      </c>
    </row>
    <row r="9005" spans="1:9" x14ac:dyDescent="0.2">
      <c r="A9005" s="1" t="str">
        <f>"KHNYN"</f>
        <v>KHNYN</v>
      </c>
      <c r="B9005" t="s">
        <v>14</v>
      </c>
      <c r="C9005" t="s">
        <v>41</v>
      </c>
      <c r="D9005" t="s">
        <v>17</v>
      </c>
      <c r="E9005" t="s">
        <v>12</v>
      </c>
      <c r="F9005">
        <v>24899142</v>
      </c>
      <c r="G9005">
        <v>24899185</v>
      </c>
      <c r="H9005">
        <v>24899497</v>
      </c>
      <c r="I9005">
        <v>24899534</v>
      </c>
    </row>
    <row r="9006" spans="1:9" x14ac:dyDescent="0.2">
      <c r="A9006" s="1" t="str">
        <f>"KHSRP"</f>
        <v>KHSRP</v>
      </c>
      <c r="B9006" t="s">
        <v>14</v>
      </c>
      <c r="C9006" t="s">
        <v>10</v>
      </c>
      <c r="D9006" t="s">
        <v>11</v>
      </c>
      <c r="E9006" t="s">
        <v>12</v>
      </c>
      <c r="F9006">
        <v>6424813</v>
      </c>
      <c r="G9006">
        <v>6424835</v>
      </c>
      <c r="H9006">
        <v>6424783</v>
      </c>
      <c r="I9006">
        <v>6424802</v>
      </c>
    </row>
    <row r="9007" spans="1:9" x14ac:dyDescent="0.2">
      <c r="A9007" s="1" t="str">
        <f>"KIAA0020"</f>
        <v>KIAA0020</v>
      </c>
      <c r="B9007" t="s">
        <v>9</v>
      </c>
      <c r="C9007" t="s">
        <v>24</v>
      </c>
      <c r="D9007" t="s">
        <v>11</v>
      </c>
      <c r="E9007" t="s">
        <v>12</v>
      </c>
      <c r="F9007">
        <v>2844058</v>
      </c>
      <c r="G9007">
        <v>2844119</v>
      </c>
      <c r="H9007">
        <v>2844058</v>
      </c>
      <c r="I9007">
        <v>2844119</v>
      </c>
    </row>
    <row r="9008" spans="1:9" x14ac:dyDescent="0.2">
      <c r="A9008" s="1" t="str">
        <f>"KIAA0020"</f>
        <v>KIAA0020</v>
      </c>
      <c r="B9008" t="s">
        <v>13</v>
      </c>
      <c r="C9008" t="s">
        <v>24</v>
      </c>
      <c r="D9008" t="s">
        <v>11</v>
      </c>
      <c r="E9008" t="s">
        <v>12</v>
      </c>
      <c r="F9008">
        <v>2838511</v>
      </c>
      <c r="G9008">
        <v>2838528</v>
      </c>
      <c r="H9008">
        <v>2838511</v>
      </c>
      <c r="I9008">
        <v>2838528</v>
      </c>
    </row>
    <row r="9009" spans="1:9" x14ac:dyDescent="0.2">
      <c r="A9009" s="1" t="str">
        <f>"KIAA0040"</f>
        <v>KIAA0040</v>
      </c>
      <c r="B9009" t="s">
        <v>14</v>
      </c>
      <c r="C9009" t="s">
        <v>19</v>
      </c>
      <c r="D9009" t="s">
        <v>11</v>
      </c>
      <c r="E9009" t="s">
        <v>12</v>
      </c>
      <c r="F9009">
        <v>175161905</v>
      </c>
      <c r="G9009">
        <v>175161929</v>
      </c>
      <c r="H9009">
        <v>175162095</v>
      </c>
      <c r="I9009">
        <v>175162141</v>
      </c>
    </row>
    <row r="9010" spans="1:9" x14ac:dyDescent="0.2">
      <c r="A9010" s="1" t="str">
        <f>"KIAA0100"</f>
        <v>KIAA0100</v>
      </c>
      <c r="B9010" t="s">
        <v>14</v>
      </c>
      <c r="C9010" t="s">
        <v>28</v>
      </c>
      <c r="D9010" t="s">
        <v>11</v>
      </c>
      <c r="E9010" t="s">
        <v>12</v>
      </c>
      <c r="F9010">
        <v>26972126</v>
      </c>
      <c r="G9010">
        <v>26972201</v>
      </c>
      <c r="H9010">
        <v>26972126</v>
      </c>
      <c r="I9010">
        <v>26972201</v>
      </c>
    </row>
    <row r="9011" spans="1:9" x14ac:dyDescent="0.2">
      <c r="A9011" s="1" t="str">
        <f>"KIAA0101"</f>
        <v>KIAA0101</v>
      </c>
      <c r="B9011" t="s">
        <v>14</v>
      </c>
      <c r="C9011" t="s">
        <v>25</v>
      </c>
      <c r="D9011" t="s">
        <v>11</v>
      </c>
      <c r="E9011" t="s">
        <v>12</v>
      </c>
      <c r="F9011">
        <v>64673630</v>
      </c>
      <c r="G9011">
        <v>64673648</v>
      </c>
      <c r="H9011">
        <v>64673665</v>
      </c>
      <c r="I9011">
        <v>64673676</v>
      </c>
    </row>
    <row r="9012" spans="1:9" x14ac:dyDescent="0.2">
      <c r="A9012" s="1" t="str">
        <f>"KIAA0141"</f>
        <v>KIAA0141</v>
      </c>
      <c r="B9012" t="s">
        <v>14</v>
      </c>
      <c r="C9012" t="s">
        <v>46</v>
      </c>
      <c r="D9012" t="s">
        <v>17</v>
      </c>
      <c r="E9012" t="s">
        <v>12</v>
      </c>
      <c r="F9012">
        <v>141303378</v>
      </c>
      <c r="G9012">
        <v>141303421</v>
      </c>
      <c r="H9012">
        <v>141303427</v>
      </c>
      <c r="I9012">
        <v>141303447</v>
      </c>
    </row>
    <row r="9013" spans="1:9" x14ac:dyDescent="0.2">
      <c r="A9013" s="1" t="str">
        <f>"KIAA0195"</f>
        <v>KIAA0195</v>
      </c>
      <c r="B9013" t="s">
        <v>9</v>
      </c>
      <c r="C9013" t="s">
        <v>28</v>
      </c>
      <c r="D9013" t="s">
        <v>17</v>
      </c>
      <c r="E9013" t="s">
        <v>12</v>
      </c>
      <c r="F9013">
        <v>73452695</v>
      </c>
      <c r="G9013">
        <v>73452744</v>
      </c>
      <c r="H9013">
        <v>73452695</v>
      </c>
      <c r="I9013">
        <v>73452744</v>
      </c>
    </row>
    <row r="9014" spans="1:9" x14ac:dyDescent="0.2">
      <c r="A9014" s="1" t="str">
        <f>"KIAA0195"</f>
        <v>KIAA0195</v>
      </c>
      <c r="B9014" t="s">
        <v>13</v>
      </c>
      <c r="C9014" t="s">
        <v>28</v>
      </c>
      <c r="D9014" t="s">
        <v>17</v>
      </c>
      <c r="E9014" t="s">
        <v>12</v>
      </c>
      <c r="F9014">
        <v>73472606</v>
      </c>
      <c r="G9014">
        <v>73472634</v>
      </c>
      <c r="H9014">
        <v>73472606</v>
      </c>
      <c r="I9014">
        <v>73472634</v>
      </c>
    </row>
    <row r="9015" spans="1:9" x14ac:dyDescent="0.2">
      <c r="A9015" s="1" t="str">
        <f>"KIAA0196"</f>
        <v>KIAA0196</v>
      </c>
      <c r="B9015" t="s">
        <v>14</v>
      </c>
      <c r="C9015" t="s">
        <v>30</v>
      </c>
      <c r="D9015" t="s">
        <v>11</v>
      </c>
      <c r="E9015" t="s">
        <v>12</v>
      </c>
      <c r="F9015">
        <v>126103969</v>
      </c>
      <c r="G9015">
        <v>126104048</v>
      </c>
      <c r="H9015">
        <v>126103948</v>
      </c>
      <c r="I9015">
        <v>126103966</v>
      </c>
    </row>
    <row r="9016" spans="1:9" x14ac:dyDescent="0.2">
      <c r="A9016" s="1" t="str">
        <f>"KIAA0226"</f>
        <v>KIAA0226</v>
      </c>
      <c r="B9016" t="s">
        <v>9</v>
      </c>
      <c r="C9016" t="s">
        <v>22</v>
      </c>
      <c r="D9016" t="s">
        <v>11</v>
      </c>
      <c r="E9016" t="s">
        <v>12</v>
      </c>
      <c r="F9016">
        <v>197463700</v>
      </c>
      <c r="G9016">
        <v>197463805</v>
      </c>
      <c r="H9016">
        <v>197463700</v>
      </c>
      <c r="I9016">
        <v>197463805</v>
      </c>
    </row>
    <row r="9017" spans="1:9" x14ac:dyDescent="0.2">
      <c r="A9017" s="1" t="str">
        <f>"KIAA0226"</f>
        <v>KIAA0226</v>
      </c>
      <c r="B9017" t="s">
        <v>13</v>
      </c>
      <c r="C9017" t="s">
        <v>22</v>
      </c>
      <c r="D9017" t="s">
        <v>11</v>
      </c>
      <c r="E9017" t="s">
        <v>12</v>
      </c>
      <c r="F9017">
        <v>197476580</v>
      </c>
      <c r="G9017">
        <v>197476657</v>
      </c>
      <c r="H9017">
        <v>197476580</v>
      </c>
      <c r="I9017">
        <v>197476657</v>
      </c>
    </row>
    <row r="9018" spans="1:9" x14ac:dyDescent="0.2">
      <c r="A9018" s="1" t="str">
        <f>"KIAA0226L"</f>
        <v>KIAA0226L</v>
      </c>
      <c r="B9018" t="s">
        <v>14</v>
      </c>
      <c r="C9018" t="s">
        <v>39</v>
      </c>
      <c r="D9018" t="s">
        <v>11</v>
      </c>
      <c r="E9018" t="s">
        <v>12</v>
      </c>
      <c r="F9018">
        <v>46961366</v>
      </c>
      <c r="G9018">
        <v>46961394</v>
      </c>
      <c r="H9018">
        <v>46961337</v>
      </c>
      <c r="I9018">
        <v>46961359</v>
      </c>
    </row>
    <row r="9019" spans="1:9" x14ac:dyDescent="0.2">
      <c r="A9019" s="1" t="str">
        <f>"KIAA0232"</f>
        <v>KIAA0232</v>
      </c>
      <c r="B9019" t="s">
        <v>14</v>
      </c>
      <c r="C9019" t="s">
        <v>23</v>
      </c>
      <c r="D9019" t="s">
        <v>17</v>
      </c>
      <c r="E9019" t="s">
        <v>12</v>
      </c>
      <c r="F9019">
        <v>6784401</v>
      </c>
      <c r="G9019">
        <v>6784510</v>
      </c>
      <c r="H9019">
        <v>6784511</v>
      </c>
      <c r="I9019">
        <v>6784526</v>
      </c>
    </row>
    <row r="9020" spans="1:9" x14ac:dyDescent="0.2">
      <c r="A9020" s="1" t="str">
        <f>"KIAA0247"</f>
        <v>KIAA0247</v>
      </c>
      <c r="B9020" t="s">
        <v>14</v>
      </c>
      <c r="C9020" t="s">
        <v>41</v>
      </c>
      <c r="D9020" t="s">
        <v>17</v>
      </c>
      <c r="E9020" t="s">
        <v>12</v>
      </c>
      <c r="F9020">
        <v>70078303</v>
      </c>
      <c r="G9020">
        <v>70078321</v>
      </c>
      <c r="H9020">
        <v>70078381</v>
      </c>
      <c r="I9020">
        <v>70078440</v>
      </c>
    </row>
    <row r="9021" spans="1:9" x14ac:dyDescent="0.2">
      <c r="A9021" s="1" t="str">
        <f>"KIAA0319"</f>
        <v>KIAA0319</v>
      </c>
      <c r="B9021" t="s">
        <v>14</v>
      </c>
      <c r="C9021" t="s">
        <v>32</v>
      </c>
      <c r="D9021" t="s">
        <v>11</v>
      </c>
      <c r="E9021" t="s">
        <v>12</v>
      </c>
      <c r="F9021">
        <v>24646381</v>
      </c>
      <c r="G9021">
        <v>24646425</v>
      </c>
      <c r="H9021">
        <v>24646431</v>
      </c>
      <c r="I9021">
        <v>24646462</v>
      </c>
    </row>
    <row r="9022" spans="1:9" x14ac:dyDescent="0.2">
      <c r="A9022" s="1" t="str">
        <f>"KIAA0319L"</f>
        <v>KIAA0319L</v>
      </c>
      <c r="B9022" t="s">
        <v>14</v>
      </c>
      <c r="C9022" t="s">
        <v>19</v>
      </c>
      <c r="D9022" t="s">
        <v>11</v>
      </c>
      <c r="E9022" t="s">
        <v>12</v>
      </c>
      <c r="F9022">
        <v>36022979</v>
      </c>
      <c r="G9022">
        <v>36023012</v>
      </c>
      <c r="H9022">
        <v>36023194</v>
      </c>
      <c r="I9022">
        <v>36023218</v>
      </c>
    </row>
    <row r="9023" spans="1:9" x14ac:dyDescent="0.2">
      <c r="A9023" s="1" t="str">
        <f>"KIAA0355"</f>
        <v>KIAA0355</v>
      </c>
      <c r="B9023" t="s">
        <v>14</v>
      </c>
      <c r="C9023" t="s">
        <v>10</v>
      </c>
      <c r="D9023" t="s">
        <v>17</v>
      </c>
      <c r="E9023" t="s">
        <v>12</v>
      </c>
      <c r="F9023">
        <v>34745449</v>
      </c>
      <c r="G9023">
        <v>34745496</v>
      </c>
      <c r="H9023">
        <v>34745449</v>
      </c>
      <c r="I9023">
        <v>34745496</v>
      </c>
    </row>
    <row r="9024" spans="1:9" x14ac:dyDescent="0.2">
      <c r="A9024" s="1" t="str">
        <f>"KIAA0368"</f>
        <v>KIAA0368</v>
      </c>
      <c r="B9024" t="s">
        <v>14</v>
      </c>
      <c r="C9024" t="s">
        <v>24</v>
      </c>
      <c r="D9024" t="s">
        <v>11</v>
      </c>
      <c r="E9024" t="s">
        <v>12</v>
      </c>
      <c r="F9024">
        <v>114246635</v>
      </c>
      <c r="G9024">
        <v>114246676</v>
      </c>
      <c r="H9024">
        <v>114245832</v>
      </c>
      <c r="I9024">
        <v>114245859</v>
      </c>
    </row>
    <row r="9025" spans="1:9" x14ac:dyDescent="0.2">
      <c r="A9025" s="1" t="str">
        <f>"KIAA0391"</f>
        <v>KIAA0391</v>
      </c>
      <c r="B9025" t="s">
        <v>14</v>
      </c>
      <c r="C9025" t="s">
        <v>41</v>
      </c>
      <c r="D9025" t="s">
        <v>17</v>
      </c>
      <c r="E9025" t="s">
        <v>12</v>
      </c>
      <c r="F9025">
        <v>35591735</v>
      </c>
      <c r="G9025">
        <v>35591834</v>
      </c>
      <c r="H9025">
        <v>35591858</v>
      </c>
      <c r="I9025">
        <v>35591911</v>
      </c>
    </row>
    <row r="9026" spans="1:9" x14ac:dyDescent="0.2">
      <c r="A9026" s="1" t="str">
        <f>"KIAA0408"</f>
        <v>KIAA0408</v>
      </c>
      <c r="B9026" t="s">
        <v>14</v>
      </c>
      <c r="C9026" t="s">
        <v>32</v>
      </c>
      <c r="D9026" t="s">
        <v>11</v>
      </c>
      <c r="E9026" t="s">
        <v>12</v>
      </c>
      <c r="F9026">
        <v>127780511</v>
      </c>
      <c r="G9026">
        <v>127780539</v>
      </c>
      <c r="H9026">
        <v>127780566</v>
      </c>
      <c r="I9026">
        <v>127780578</v>
      </c>
    </row>
    <row r="9027" spans="1:9" x14ac:dyDescent="0.2">
      <c r="A9027" s="1" t="str">
        <f>"KIAA0430"</f>
        <v>KIAA0430</v>
      </c>
      <c r="B9027" t="s">
        <v>14</v>
      </c>
      <c r="C9027" t="s">
        <v>31</v>
      </c>
      <c r="D9027" t="s">
        <v>11</v>
      </c>
      <c r="E9027" t="s">
        <v>12</v>
      </c>
      <c r="F9027">
        <v>15736953</v>
      </c>
      <c r="G9027">
        <v>15737025</v>
      </c>
      <c r="H9027">
        <v>15736897</v>
      </c>
      <c r="I9027">
        <v>15736928</v>
      </c>
    </row>
    <row r="9028" spans="1:9" x14ac:dyDescent="0.2">
      <c r="A9028" s="1" t="str">
        <f>"KIAA0513"</f>
        <v>KIAA0513</v>
      </c>
      <c r="B9028" t="s">
        <v>14</v>
      </c>
      <c r="C9028" t="s">
        <v>31</v>
      </c>
      <c r="D9028" t="s">
        <v>17</v>
      </c>
      <c r="E9028" t="s">
        <v>12</v>
      </c>
      <c r="F9028">
        <v>85061367</v>
      </c>
      <c r="G9028">
        <v>85061430</v>
      </c>
      <c r="H9028">
        <v>85061343</v>
      </c>
      <c r="I9028">
        <v>85061350</v>
      </c>
    </row>
    <row r="9029" spans="1:9" x14ac:dyDescent="0.2">
      <c r="A9029" s="1" t="str">
        <f>"KIAA0556"</f>
        <v>KIAA0556</v>
      </c>
      <c r="B9029" t="s">
        <v>14</v>
      </c>
      <c r="C9029" t="s">
        <v>31</v>
      </c>
      <c r="D9029" t="s">
        <v>17</v>
      </c>
      <c r="E9029" t="s">
        <v>12</v>
      </c>
      <c r="F9029">
        <v>27561449</v>
      </c>
      <c r="G9029">
        <v>27561481</v>
      </c>
      <c r="H9029">
        <v>27561495</v>
      </c>
      <c r="I9029">
        <v>27561506</v>
      </c>
    </row>
    <row r="9030" spans="1:9" x14ac:dyDescent="0.2">
      <c r="A9030" s="1" t="str">
        <f>"KIAA0586"</f>
        <v>KIAA0586</v>
      </c>
      <c r="B9030" t="s">
        <v>14</v>
      </c>
      <c r="C9030" t="s">
        <v>41</v>
      </c>
      <c r="D9030" t="s">
        <v>17</v>
      </c>
      <c r="E9030" t="s">
        <v>12</v>
      </c>
      <c r="F9030">
        <v>58894404</v>
      </c>
      <c r="G9030">
        <v>58894456</v>
      </c>
      <c r="H9030">
        <v>58894494</v>
      </c>
      <c r="I9030">
        <v>58894509</v>
      </c>
    </row>
    <row r="9031" spans="1:9" x14ac:dyDescent="0.2">
      <c r="A9031" s="1" t="str">
        <f>"KIAA0753"</f>
        <v>KIAA0753</v>
      </c>
      <c r="B9031" t="s">
        <v>14</v>
      </c>
      <c r="C9031" t="s">
        <v>28</v>
      </c>
      <c r="D9031" t="s">
        <v>11</v>
      </c>
      <c r="E9031" t="s">
        <v>12</v>
      </c>
      <c r="F9031">
        <v>6543973</v>
      </c>
      <c r="G9031">
        <v>6544036</v>
      </c>
      <c r="H9031">
        <v>6544044</v>
      </c>
      <c r="I9031">
        <v>6544056</v>
      </c>
    </row>
    <row r="9032" spans="1:9" x14ac:dyDescent="0.2">
      <c r="A9032" s="1" t="str">
        <f>"KIAA0754"</f>
        <v>KIAA0754</v>
      </c>
      <c r="B9032" t="s">
        <v>14</v>
      </c>
      <c r="C9032" t="s">
        <v>19</v>
      </c>
      <c r="D9032" t="s">
        <v>17</v>
      </c>
      <c r="E9032" t="s">
        <v>12</v>
      </c>
      <c r="F9032">
        <v>39874729</v>
      </c>
      <c r="G9032">
        <v>39874759</v>
      </c>
      <c r="H9032">
        <v>39874837</v>
      </c>
      <c r="I9032">
        <v>39874848</v>
      </c>
    </row>
    <row r="9033" spans="1:9" x14ac:dyDescent="0.2">
      <c r="A9033" s="1" t="str">
        <f>"KIAA0825"</f>
        <v>KIAA0825</v>
      </c>
      <c r="B9033" t="s">
        <v>14</v>
      </c>
      <c r="C9033" t="s">
        <v>46</v>
      </c>
      <c r="D9033" t="s">
        <v>11</v>
      </c>
      <c r="E9033" t="s">
        <v>12</v>
      </c>
      <c r="F9033">
        <v>93954227</v>
      </c>
      <c r="G9033">
        <v>93954321</v>
      </c>
      <c r="H9033">
        <v>93954227</v>
      </c>
      <c r="I9033">
        <v>93954321</v>
      </c>
    </row>
    <row r="9034" spans="1:9" x14ac:dyDescent="0.2">
      <c r="A9034" s="1" t="str">
        <f>"KIAA0895"</f>
        <v>KIAA0895</v>
      </c>
      <c r="B9034" t="s">
        <v>9</v>
      </c>
      <c r="C9034" t="s">
        <v>33</v>
      </c>
      <c r="D9034" t="s">
        <v>11</v>
      </c>
      <c r="E9034" t="s">
        <v>12</v>
      </c>
      <c r="F9034">
        <v>36406750</v>
      </c>
      <c r="G9034">
        <v>36406857</v>
      </c>
      <c r="H9034">
        <v>36406750</v>
      </c>
      <c r="I9034">
        <v>36406857</v>
      </c>
    </row>
    <row r="9035" spans="1:9" x14ac:dyDescent="0.2">
      <c r="A9035" s="1" t="str">
        <f>"KIAA0895"</f>
        <v>KIAA0895</v>
      </c>
      <c r="B9035" t="s">
        <v>13</v>
      </c>
      <c r="C9035" t="s">
        <v>33</v>
      </c>
      <c r="D9035" t="s">
        <v>11</v>
      </c>
      <c r="E9035" t="s">
        <v>12</v>
      </c>
      <c r="F9035">
        <v>36429960</v>
      </c>
      <c r="G9035">
        <v>36429972</v>
      </c>
      <c r="H9035">
        <v>36429960</v>
      </c>
      <c r="I9035">
        <v>36429972</v>
      </c>
    </row>
    <row r="9036" spans="1:9" x14ac:dyDescent="0.2">
      <c r="A9036" s="1" t="str">
        <f>"KIAA0895L"</f>
        <v>KIAA0895L</v>
      </c>
      <c r="B9036" t="s">
        <v>14</v>
      </c>
      <c r="C9036" t="s">
        <v>31</v>
      </c>
      <c r="D9036" t="s">
        <v>11</v>
      </c>
      <c r="E9036" t="s">
        <v>12</v>
      </c>
      <c r="F9036">
        <v>67217851</v>
      </c>
      <c r="G9036">
        <v>67217897</v>
      </c>
      <c r="H9036">
        <v>67217851</v>
      </c>
      <c r="I9036">
        <v>67217897</v>
      </c>
    </row>
    <row r="9037" spans="1:9" x14ac:dyDescent="0.2">
      <c r="A9037" s="1" t="str">
        <f>"KIAA0907"</f>
        <v>KIAA0907</v>
      </c>
      <c r="B9037" t="s">
        <v>14</v>
      </c>
      <c r="C9037" t="s">
        <v>19</v>
      </c>
      <c r="D9037" t="s">
        <v>11</v>
      </c>
      <c r="E9037" t="s">
        <v>12</v>
      </c>
      <c r="F9037">
        <v>155904187</v>
      </c>
      <c r="G9037">
        <v>155904211</v>
      </c>
      <c r="H9037">
        <v>155904161</v>
      </c>
      <c r="I9037">
        <v>155904186</v>
      </c>
    </row>
    <row r="9038" spans="1:9" x14ac:dyDescent="0.2">
      <c r="A9038" s="1" t="str">
        <f>"KIAA0922"</f>
        <v>KIAA0922</v>
      </c>
      <c r="B9038" t="s">
        <v>14</v>
      </c>
      <c r="C9038" t="s">
        <v>23</v>
      </c>
      <c r="D9038" t="s">
        <v>17</v>
      </c>
      <c r="E9038" t="s">
        <v>12</v>
      </c>
      <c r="F9038">
        <v>154387480</v>
      </c>
      <c r="G9038">
        <v>154387536</v>
      </c>
      <c r="H9038">
        <v>154388352</v>
      </c>
      <c r="I9038">
        <v>154388365</v>
      </c>
    </row>
    <row r="9039" spans="1:9" x14ac:dyDescent="0.2">
      <c r="A9039" s="1" t="str">
        <f>"KIAA0930"</f>
        <v>KIAA0930</v>
      </c>
      <c r="B9039" t="s">
        <v>9</v>
      </c>
      <c r="C9039" t="s">
        <v>21</v>
      </c>
      <c r="D9039" t="s">
        <v>11</v>
      </c>
      <c r="E9039" t="s">
        <v>12</v>
      </c>
      <c r="F9039">
        <v>45636741</v>
      </c>
      <c r="G9039">
        <v>45636810</v>
      </c>
      <c r="H9039">
        <v>45636741</v>
      </c>
      <c r="I9039">
        <v>45636810</v>
      </c>
    </row>
    <row r="9040" spans="1:9" x14ac:dyDescent="0.2">
      <c r="A9040" s="1" t="str">
        <f>"KIAA0930"</f>
        <v>KIAA0930</v>
      </c>
      <c r="B9040" t="s">
        <v>13</v>
      </c>
      <c r="C9040" t="s">
        <v>21</v>
      </c>
      <c r="D9040" t="s">
        <v>11</v>
      </c>
      <c r="E9040" t="s">
        <v>12</v>
      </c>
      <c r="F9040">
        <v>45608237</v>
      </c>
      <c r="G9040">
        <v>45608294</v>
      </c>
      <c r="H9040">
        <v>45608237</v>
      </c>
      <c r="I9040">
        <v>45608294</v>
      </c>
    </row>
    <row r="9041" spans="1:9" x14ac:dyDescent="0.2">
      <c r="A9041" s="1" t="str">
        <f>"KIAA0947"</f>
        <v>KIAA0947</v>
      </c>
      <c r="B9041" t="s">
        <v>14</v>
      </c>
      <c r="C9041" t="s">
        <v>46</v>
      </c>
      <c r="D9041" t="s">
        <v>17</v>
      </c>
      <c r="E9041" t="s">
        <v>12</v>
      </c>
      <c r="F9041">
        <v>5422778</v>
      </c>
      <c r="G9041">
        <v>5422841</v>
      </c>
      <c r="H9041">
        <v>5422778</v>
      </c>
      <c r="I9041">
        <v>5422841</v>
      </c>
    </row>
    <row r="9042" spans="1:9" x14ac:dyDescent="0.2">
      <c r="A9042" s="1" t="str">
        <f>"KIAA1009"</f>
        <v>KIAA1009</v>
      </c>
      <c r="B9042" t="s">
        <v>14</v>
      </c>
      <c r="C9042" t="s">
        <v>32</v>
      </c>
      <c r="D9042" t="s">
        <v>11</v>
      </c>
      <c r="E9042" t="s">
        <v>12</v>
      </c>
      <c r="F9042">
        <v>84937320</v>
      </c>
      <c r="G9042">
        <v>84937372</v>
      </c>
      <c r="H9042">
        <v>84937377</v>
      </c>
      <c r="I9042">
        <v>84937394</v>
      </c>
    </row>
    <row r="9043" spans="1:9" x14ac:dyDescent="0.2">
      <c r="A9043" s="1" t="str">
        <f>"KIAA1024"</f>
        <v>KIAA1024</v>
      </c>
      <c r="B9043" t="s">
        <v>14</v>
      </c>
      <c r="C9043" t="s">
        <v>25</v>
      </c>
      <c r="D9043" t="s">
        <v>17</v>
      </c>
      <c r="E9043" t="s">
        <v>12</v>
      </c>
      <c r="F9043">
        <v>79724672</v>
      </c>
      <c r="G9043">
        <v>79724683</v>
      </c>
      <c r="H9043">
        <v>79724672</v>
      </c>
      <c r="I9043">
        <v>79724683</v>
      </c>
    </row>
    <row r="9044" spans="1:9" x14ac:dyDescent="0.2">
      <c r="A9044" s="1" t="str">
        <f>"KIAA1024L"</f>
        <v>KIAA1024L</v>
      </c>
      <c r="B9044" t="s">
        <v>14</v>
      </c>
      <c r="C9044" t="s">
        <v>46</v>
      </c>
      <c r="D9044" t="s">
        <v>17</v>
      </c>
      <c r="E9044" t="s">
        <v>12</v>
      </c>
      <c r="F9044">
        <v>129083784</v>
      </c>
      <c r="G9044">
        <v>129083814</v>
      </c>
      <c r="H9044">
        <v>129083784</v>
      </c>
      <c r="I9044">
        <v>129083814</v>
      </c>
    </row>
    <row r="9045" spans="1:9" x14ac:dyDescent="0.2">
      <c r="A9045" s="1" t="str">
        <f>"KIAA1033"</f>
        <v>KIAA1033</v>
      </c>
      <c r="B9045" t="s">
        <v>14</v>
      </c>
      <c r="C9045" t="s">
        <v>16</v>
      </c>
      <c r="D9045" t="s">
        <v>17</v>
      </c>
      <c r="E9045" t="s">
        <v>12</v>
      </c>
      <c r="F9045">
        <v>105501487</v>
      </c>
      <c r="G9045">
        <v>105501562</v>
      </c>
      <c r="H9045">
        <v>105501487</v>
      </c>
      <c r="I9045">
        <v>105501562</v>
      </c>
    </row>
    <row r="9046" spans="1:9" x14ac:dyDescent="0.2">
      <c r="A9046" s="1" t="str">
        <f>"KIAA1045"</f>
        <v>KIAA1045</v>
      </c>
      <c r="B9046" t="s">
        <v>14</v>
      </c>
      <c r="C9046" t="s">
        <v>24</v>
      </c>
      <c r="D9046" t="s">
        <v>17</v>
      </c>
      <c r="E9046" t="s">
        <v>12</v>
      </c>
      <c r="F9046">
        <v>34958254</v>
      </c>
      <c r="G9046">
        <v>34958317</v>
      </c>
      <c r="H9046">
        <v>34957529</v>
      </c>
      <c r="I9046">
        <v>34957589</v>
      </c>
    </row>
    <row r="9047" spans="1:9" x14ac:dyDescent="0.2">
      <c r="A9047" s="1" t="str">
        <f>"KIAA1107"</f>
        <v>KIAA1107</v>
      </c>
      <c r="B9047" t="s">
        <v>14</v>
      </c>
      <c r="C9047" t="s">
        <v>19</v>
      </c>
      <c r="D9047" t="s">
        <v>17</v>
      </c>
      <c r="E9047" t="s">
        <v>12</v>
      </c>
      <c r="F9047">
        <v>92634472</v>
      </c>
      <c r="G9047">
        <v>92634492</v>
      </c>
      <c r="H9047">
        <v>92634493</v>
      </c>
      <c r="I9047">
        <v>92634508</v>
      </c>
    </row>
    <row r="9048" spans="1:9" x14ac:dyDescent="0.2">
      <c r="A9048" s="1" t="str">
        <f>"KIAA1109"</f>
        <v>KIAA1109</v>
      </c>
      <c r="B9048" t="s">
        <v>14</v>
      </c>
      <c r="C9048" t="s">
        <v>23</v>
      </c>
      <c r="D9048" t="s">
        <v>17</v>
      </c>
      <c r="E9048" t="s">
        <v>12</v>
      </c>
      <c r="F9048">
        <v>123073464</v>
      </c>
      <c r="G9048">
        <v>123073547</v>
      </c>
      <c r="H9048">
        <v>123073610</v>
      </c>
      <c r="I9048">
        <v>123073629</v>
      </c>
    </row>
    <row r="9049" spans="1:9" x14ac:dyDescent="0.2">
      <c r="A9049" s="1" t="str">
        <f>"KIAA1143"</f>
        <v>KIAA1143</v>
      </c>
      <c r="B9049" t="s">
        <v>14</v>
      </c>
      <c r="C9049" t="s">
        <v>22</v>
      </c>
      <c r="D9049" t="s">
        <v>11</v>
      </c>
      <c r="E9049" t="s">
        <v>12</v>
      </c>
      <c r="F9049">
        <v>44803088</v>
      </c>
      <c r="G9049">
        <v>44803126</v>
      </c>
      <c r="H9049">
        <v>44803141</v>
      </c>
      <c r="I9049">
        <v>44803159</v>
      </c>
    </row>
    <row r="9050" spans="1:9" x14ac:dyDescent="0.2">
      <c r="A9050" s="1" t="str">
        <f>"KIAA1147"</f>
        <v>KIAA1147</v>
      </c>
      <c r="B9050" t="s">
        <v>14</v>
      </c>
      <c r="C9050" t="s">
        <v>33</v>
      </c>
      <c r="D9050" t="s">
        <v>11</v>
      </c>
      <c r="E9050" t="s">
        <v>12</v>
      </c>
      <c r="F9050">
        <v>141401951</v>
      </c>
      <c r="G9050">
        <v>141401985</v>
      </c>
      <c r="H9050">
        <v>141401933</v>
      </c>
      <c r="I9050">
        <v>141401944</v>
      </c>
    </row>
    <row r="9051" spans="1:9" x14ac:dyDescent="0.2">
      <c r="A9051" s="1" t="str">
        <f>"KIAA1161"</f>
        <v>KIAA1161</v>
      </c>
      <c r="B9051" t="s">
        <v>14</v>
      </c>
      <c r="C9051" t="s">
        <v>24</v>
      </c>
      <c r="D9051" t="s">
        <v>11</v>
      </c>
      <c r="E9051" t="s">
        <v>12</v>
      </c>
      <c r="F9051">
        <v>34376876</v>
      </c>
      <c r="G9051">
        <v>34376913</v>
      </c>
      <c r="H9051">
        <v>34376856</v>
      </c>
      <c r="I9051">
        <v>34376869</v>
      </c>
    </row>
    <row r="9052" spans="1:9" x14ac:dyDescent="0.2">
      <c r="A9052" s="1" t="str">
        <f>"KIAA1191"</f>
        <v>KIAA1191</v>
      </c>
      <c r="B9052" t="s">
        <v>14</v>
      </c>
      <c r="C9052" t="s">
        <v>46</v>
      </c>
      <c r="D9052" t="s">
        <v>11</v>
      </c>
      <c r="E9052" t="s">
        <v>12</v>
      </c>
      <c r="F9052">
        <v>175788758</v>
      </c>
      <c r="G9052">
        <v>175788808</v>
      </c>
      <c r="H9052">
        <v>175788467</v>
      </c>
      <c r="I9052">
        <v>175788491</v>
      </c>
    </row>
    <row r="9053" spans="1:9" x14ac:dyDescent="0.2">
      <c r="A9053" s="1" t="str">
        <f>"KIAA1199"</f>
        <v>KIAA1199</v>
      </c>
      <c r="B9053" t="s">
        <v>14</v>
      </c>
      <c r="C9053" t="s">
        <v>25</v>
      </c>
      <c r="D9053" t="s">
        <v>17</v>
      </c>
      <c r="E9053" t="s">
        <v>12</v>
      </c>
      <c r="F9053">
        <v>81071703</v>
      </c>
      <c r="G9053">
        <v>81071719</v>
      </c>
      <c r="H9053">
        <v>81071703</v>
      </c>
      <c r="I9053">
        <v>81071719</v>
      </c>
    </row>
    <row r="9054" spans="1:9" x14ac:dyDescent="0.2">
      <c r="A9054" s="1" t="str">
        <f>"KIAA1210"</f>
        <v>KIAA1210</v>
      </c>
      <c r="B9054" t="s">
        <v>674</v>
      </c>
      <c r="C9054" t="s">
        <v>37</v>
      </c>
      <c r="D9054" t="s">
        <v>11</v>
      </c>
      <c r="E9054" t="s">
        <v>20</v>
      </c>
      <c r="F9054">
        <v>118284541</v>
      </c>
      <c r="G9054">
        <v>118284541</v>
      </c>
      <c r="H9054">
        <v>118284541</v>
      </c>
      <c r="I9054">
        <v>118284541</v>
      </c>
    </row>
    <row r="9055" spans="1:9" x14ac:dyDescent="0.2">
      <c r="A9055" s="1" t="str">
        <f>"KIAA1211"</f>
        <v>KIAA1211</v>
      </c>
      <c r="B9055" t="s">
        <v>9</v>
      </c>
      <c r="C9055" t="s">
        <v>23</v>
      </c>
      <c r="D9055" t="s">
        <v>17</v>
      </c>
      <c r="E9055" t="s">
        <v>12</v>
      </c>
      <c r="F9055">
        <v>57138437</v>
      </c>
      <c r="G9055">
        <v>57138479</v>
      </c>
      <c r="H9055">
        <v>57138437</v>
      </c>
      <c r="I9055">
        <v>57138479</v>
      </c>
    </row>
    <row r="9056" spans="1:9" x14ac:dyDescent="0.2">
      <c r="A9056" s="1" t="str">
        <f>"KIAA1211"</f>
        <v>KIAA1211</v>
      </c>
      <c r="B9056" t="s">
        <v>13</v>
      </c>
      <c r="C9056" t="s">
        <v>23</v>
      </c>
      <c r="D9056" t="s">
        <v>17</v>
      </c>
      <c r="E9056" t="s">
        <v>12</v>
      </c>
      <c r="F9056">
        <v>57112655</v>
      </c>
      <c r="G9056">
        <v>57112674</v>
      </c>
      <c r="H9056">
        <v>57112655</v>
      </c>
      <c r="I9056">
        <v>57112674</v>
      </c>
    </row>
    <row r="9057" spans="1:9" x14ac:dyDescent="0.2">
      <c r="A9057" s="1" t="str">
        <f>"KIAA1211L"</f>
        <v>KIAA1211L</v>
      </c>
      <c r="B9057" t="s">
        <v>14</v>
      </c>
      <c r="C9057" t="s">
        <v>26</v>
      </c>
      <c r="D9057" t="s">
        <v>11</v>
      </c>
      <c r="E9057" t="s">
        <v>12</v>
      </c>
      <c r="F9057">
        <v>99552620</v>
      </c>
      <c r="G9057">
        <v>99552701</v>
      </c>
      <c r="H9057">
        <v>99552620</v>
      </c>
      <c r="I9057">
        <v>99552701</v>
      </c>
    </row>
    <row r="9058" spans="1:9" x14ac:dyDescent="0.2">
      <c r="A9058" s="1" t="str">
        <f>"KIAA1217"</f>
        <v>KIAA1217</v>
      </c>
      <c r="B9058" t="s">
        <v>675</v>
      </c>
      <c r="C9058" t="s">
        <v>15</v>
      </c>
      <c r="D9058" t="s">
        <v>17</v>
      </c>
      <c r="E9058" t="s">
        <v>35</v>
      </c>
      <c r="F9058">
        <v>24497879</v>
      </c>
      <c r="G9058">
        <v>24497896</v>
      </c>
      <c r="H9058">
        <v>24498060</v>
      </c>
      <c r="I9058">
        <v>24498101</v>
      </c>
    </row>
    <row r="9059" spans="1:9" x14ac:dyDescent="0.2">
      <c r="A9059" s="1" t="str">
        <f>"KIAA1217"</f>
        <v>KIAA1217</v>
      </c>
      <c r="B9059" t="s">
        <v>676</v>
      </c>
      <c r="C9059" t="s">
        <v>15</v>
      </c>
      <c r="D9059" t="s">
        <v>17</v>
      </c>
      <c r="E9059" t="s">
        <v>35</v>
      </c>
      <c r="F9059">
        <v>24497621</v>
      </c>
      <c r="G9059">
        <v>24497643</v>
      </c>
      <c r="H9059">
        <v>24497879</v>
      </c>
      <c r="I9059">
        <v>24497896</v>
      </c>
    </row>
    <row r="9060" spans="1:9" x14ac:dyDescent="0.2">
      <c r="A9060" s="1" t="str">
        <f>"KIAA1239"</f>
        <v>KIAA1239</v>
      </c>
      <c r="B9060" t="s">
        <v>14</v>
      </c>
      <c r="C9060" t="s">
        <v>23</v>
      </c>
      <c r="D9060" t="s">
        <v>17</v>
      </c>
      <c r="E9060" t="s">
        <v>12</v>
      </c>
      <c r="F9060">
        <v>37245799</v>
      </c>
      <c r="G9060">
        <v>37245812</v>
      </c>
      <c r="H9060">
        <v>37245799</v>
      </c>
      <c r="I9060">
        <v>37245812</v>
      </c>
    </row>
    <row r="9061" spans="1:9" x14ac:dyDescent="0.2">
      <c r="A9061" s="1" t="str">
        <f>"KIAA1244"</f>
        <v>KIAA1244</v>
      </c>
      <c r="B9061" t="s">
        <v>14</v>
      </c>
      <c r="C9061" t="s">
        <v>32</v>
      </c>
      <c r="D9061" t="s">
        <v>17</v>
      </c>
      <c r="E9061" t="s">
        <v>12</v>
      </c>
      <c r="F9061">
        <v>138483065</v>
      </c>
      <c r="G9061">
        <v>138483159</v>
      </c>
      <c r="H9061">
        <v>138482828</v>
      </c>
      <c r="I9061">
        <v>138482912</v>
      </c>
    </row>
    <row r="9062" spans="1:9" x14ac:dyDescent="0.2">
      <c r="A9062" s="1" t="str">
        <f>"KIAA1257"</f>
        <v>KIAA1257</v>
      </c>
      <c r="B9062" t="s">
        <v>14</v>
      </c>
      <c r="C9062" t="s">
        <v>22</v>
      </c>
      <c r="D9062" t="s">
        <v>11</v>
      </c>
      <c r="E9062" t="s">
        <v>12</v>
      </c>
      <c r="F9062">
        <v>128712906</v>
      </c>
      <c r="G9062">
        <v>128712928</v>
      </c>
      <c r="H9062">
        <v>128712955</v>
      </c>
      <c r="I9062">
        <v>128712981</v>
      </c>
    </row>
    <row r="9063" spans="1:9" x14ac:dyDescent="0.2">
      <c r="A9063" s="1" t="str">
        <f>"KIAA1279"</f>
        <v>KIAA1279</v>
      </c>
      <c r="B9063" t="s">
        <v>14</v>
      </c>
      <c r="C9063" t="s">
        <v>15</v>
      </c>
      <c r="D9063" t="s">
        <v>17</v>
      </c>
      <c r="E9063" t="s">
        <v>12</v>
      </c>
      <c r="F9063">
        <v>70748523</v>
      </c>
      <c r="G9063">
        <v>70748581</v>
      </c>
      <c r="H9063">
        <v>70748487</v>
      </c>
      <c r="I9063">
        <v>70748498</v>
      </c>
    </row>
    <row r="9064" spans="1:9" x14ac:dyDescent="0.2">
      <c r="A9064" s="1" t="str">
        <f>"KIAA1324"</f>
        <v>KIAA1324</v>
      </c>
      <c r="B9064" t="s">
        <v>14</v>
      </c>
      <c r="C9064" t="s">
        <v>19</v>
      </c>
      <c r="D9064" t="s">
        <v>17</v>
      </c>
      <c r="E9064" t="s">
        <v>12</v>
      </c>
      <c r="F9064">
        <v>109656719</v>
      </c>
      <c r="G9064">
        <v>109656800</v>
      </c>
      <c r="H9064">
        <v>109656719</v>
      </c>
      <c r="I9064">
        <v>109656800</v>
      </c>
    </row>
    <row r="9065" spans="1:9" x14ac:dyDescent="0.2">
      <c r="A9065" s="1" t="str">
        <f>"KIAA1324L"</f>
        <v>KIAA1324L</v>
      </c>
      <c r="B9065" t="s">
        <v>14</v>
      </c>
      <c r="C9065" t="s">
        <v>33</v>
      </c>
      <c r="D9065" t="s">
        <v>11</v>
      </c>
      <c r="E9065" t="s">
        <v>12</v>
      </c>
      <c r="F9065">
        <v>86688955</v>
      </c>
      <c r="G9065">
        <v>86688988</v>
      </c>
      <c r="H9065">
        <v>86688990</v>
      </c>
      <c r="I9065">
        <v>86689026</v>
      </c>
    </row>
    <row r="9066" spans="1:9" x14ac:dyDescent="0.2">
      <c r="A9066" s="1" t="str">
        <f>"KIAA1328"</f>
        <v>KIAA1328</v>
      </c>
      <c r="B9066" t="s">
        <v>14</v>
      </c>
      <c r="C9066" t="s">
        <v>43</v>
      </c>
      <c r="D9066" t="s">
        <v>17</v>
      </c>
      <c r="E9066" t="s">
        <v>12</v>
      </c>
      <c r="F9066">
        <v>34409075</v>
      </c>
      <c r="G9066">
        <v>34409100</v>
      </c>
      <c r="H9066">
        <v>34408864</v>
      </c>
      <c r="I9066">
        <v>34408888</v>
      </c>
    </row>
    <row r="9067" spans="1:9" x14ac:dyDescent="0.2">
      <c r="A9067" s="1" t="str">
        <f>"KIAA1377"</f>
        <v>KIAA1377</v>
      </c>
      <c r="B9067" t="s">
        <v>14</v>
      </c>
      <c r="C9067" t="s">
        <v>27</v>
      </c>
      <c r="D9067" t="s">
        <v>17</v>
      </c>
      <c r="E9067" t="s">
        <v>12</v>
      </c>
      <c r="F9067">
        <v>101785727</v>
      </c>
      <c r="G9067">
        <v>101785767</v>
      </c>
      <c r="H9067">
        <v>101785932</v>
      </c>
      <c r="I9067">
        <v>101786011</v>
      </c>
    </row>
    <row r="9068" spans="1:9" x14ac:dyDescent="0.2">
      <c r="A9068" s="1" t="str">
        <f>"KIAA1407"</f>
        <v>KIAA1407</v>
      </c>
      <c r="B9068" t="s">
        <v>14</v>
      </c>
      <c r="C9068" t="s">
        <v>22</v>
      </c>
      <c r="D9068" t="s">
        <v>11</v>
      </c>
      <c r="E9068" t="s">
        <v>12</v>
      </c>
      <c r="F9068">
        <v>113775328</v>
      </c>
      <c r="G9068">
        <v>113775394</v>
      </c>
      <c r="H9068">
        <v>113775328</v>
      </c>
      <c r="I9068">
        <v>113775394</v>
      </c>
    </row>
    <row r="9069" spans="1:9" x14ac:dyDescent="0.2">
      <c r="A9069" s="1" t="str">
        <f>"KIAA1429"</f>
        <v>KIAA1429</v>
      </c>
      <c r="B9069" t="s">
        <v>14</v>
      </c>
      <c r="C9069" t="s">
        <v>30</v>
      </c>
      <c r="D9069" t="s">
        <v>11</v>
      </c>
      <c r="E9069" t="s">
        <v>12</v>
      </c>
      <c r="F9069">
        <v>95565673</v>
      </c>
      <c r="G9069">
        <v>95565714</v>
      </c>
      <c r="H9069">
        <v>95565673</v>
      </c>
      <c r="I9069">
        <v>95565714</v>
      </c>
    </row>
    <row r="9070" spans="1:9" x14ac:dyDescent="0.2">
      <c r="A9070" s="1" t="str">
        <f>"KIAA1430"</f>
        <v>KIAA1430</v>
      </c>
      <c r="B9070" t="s">
        <v>14</v>
      </c>
      <c r="C9070" t="s">
        <v>23</v>
      </c>
      <c r="D9070" t="s">
        <v>11</v>
      </c>
      <c r="E9070" t="s">
        <v>12</v>
      </c>
      <c r="F9070">
        <v>186125077</v>
      </c>
      <c r="G9070">
        <v>186125175</v>
      </c>
      <c r="H9070">
        <v>186125292</v>
      </c>
      <c r="I9070">
        <v>186125305</v>
      </c>
    </row>
    <row r="9071" spans="1:9" x14ac:dyDescent="0.2">
      <c r="A9071" s="1" t="str">
        <f>"KIAA1432"</f>
        <v>KIAA1432</v>
      </c>
      <c r="B9071" t="s">
        <v>14</v>
      </c>
      <c r="C9071" t="s">
        <v>24</v>
      </c>
      <c r="D9071" t="s">
        <v>17</v>
      </c>
      <c r="E9071" t="s">
        <v>12</v>
      </c>
      <c r="F9071">
        <v>5629098</v>
      </c>
      <c r="G9071">
        <v>5629117</v>
      </c>
      <c r="H9071">
        <v>5629098</v>
      </c>
      <c r="I9071">
        <v>5629117</v>
      </c>
    </row>
    <row r="9072" spans="1:9" x14ac:dyDescent="0.2">
      <c r="A9072" s="1" t="str">
        <f>"KIAA1456"</f>
        <v>KIAA1456</v>
      </c>
      <c r="B9072" t="s">
        <v>14</v>
      </c>
      <c r="C9072" t="s">
        <v>30</v>
      </c>
      <c r="D9072" t="s">
        <v>17</v>
      </c>
      <c r="E9072" t="s">
        <v>12</v>
      </c>
      <c r="F9072">
        <v>12809093</v>
      </c>
      <c r="G9072">
        <v>12809143</v>
      </c>
      <c r="H9072">
        <v>12809275</v>
      </c>
      <c r="I9072">
        <v>12809298</v>
      </c>
    </row>
    <row r="9073" spans="1:9" x14ac:dyDescent="0.2">
      <c r="A9073" s="1" t="str">
        <f>"KIAA1462"</f>
        <v>KIAA1462</v>
      </c>
      <c r="B9073" t="s">
        <v>14</v>
      </c>
      <c r="C9073" t="s">
        <v>15</v>
      </c>
      <c r="D9073" t="s">
        <v>11</v>
      </c>
      <c r="E9073" t="s">
        <v>12</v>
      </c>
      <c r="F9073">
        <v>30348439</v>
      </c>
      <c r="G9073">
        <v>30348531</v>
      </c>
      <c r="H9073">
        <v>30348439</v>
      </c>
      <c r="I9073">
        <v>30348531</v>
      </c>
    </row>
    <row r="9074" spans="1:9" x14ac:dyDescent="0.2">
      <c r="A9074" s="1" t="str">
        <f>"KIAA1467"</f>
        <v>KIAA1467</v>
      </c>
      <c r="B9074" t="s">
        <v>14</v>
      </c>
      <c r="C9074" t="s">
        <v>16</v>
      </c>
      <c r="D9074" t="s">
        <v>17</v>
      </c>
      <c r="E9074" t="s">
        <v>12</v>
      </c>
      <c r="F9074">
        <v>13197307</v>
      </c>
      <c r="G9074">
        <v>13197339</v>
      </c>
      <c r="H9074">
        <v>13197282</v>
      </c>
      <c r="I9074">
        <v>13197293</v>
      </c>
    </row>
    <row r="9075" spans="1:9" x14ac:dyDescent="0.2">
      <c r="A9075" s="1" t="str">
        <f>"KIAA1468"</f>
        <v>KIAA1468</v>
      </c>
      <c r="B9075" t="s">
        <v>14</v>
      </c>
      <c r="C9075" t="s">
        <v>43</v>
      </c>
      <c r="D9075" t="s">
        <v>17</v>
      </c>
      <c r="E9075" t="s">
        <v>12</v>
      </c>
      <c r="F9075">
        <v>59854480</v>
      </c>
      <c r="G9075">
        <v>59854551</v>
      </c>
      <c r="H9075">
        <v>59854720</v>
      </c>
      <c r="I9075">
        <v>59854738</v>
      </c>
    </row>
    <row r="9076" spans="1:9" x14ac:dyDescent="0.2">
      <c r="A9076" s="1" t="str">
        <f>"KIAA1522"</f>
        <v>KIAA1522</v>
      </c>
      <c r="B9076" t="s">
        <v>9</v>
      </c>
      <c r="C9076" t="s">
        <v>19</v>
      </c>
      <c r="D9076" t="s">
        <v>17</v>
      </c>
      <c r="E9076" t="s">
        <v>12</v>
      </c>
      <c r="F9076">
        <v>33219592</v>
      </c>
      <c r="G9076">
        <v>33219626</v>
      </c>
      <c r="H9076">
        <v>33219592</v>
      </c>
      <c r="I9076">
        <v>33219626</v>
      </c>
    </row>
    <row r="9077" spans="1:9" x14ac:dyDescent="0.2">
      <c r="A9077" s="1" t="str">
        <f>"KIAA1522"</f>
        <v>KIAA1522</v>
      </c>
      <c r="B9077" t="s">
        <v>13</v>
      </c>
      <c r="C9077" t="s">
        <v>19</v>
      </c>
      <c r="D9077" t="s">
        <v>17</v>
      </c>
      <c r="E9077" t="s">
        <v>12</v>
      </c>
      <c r="F9077">
        <v>33207381</v>
      </c>
      <c r="G9077">
        <v>33207471</v>
      </c>
      <c r="H9077">
        <v>33207381</v>
      </c>
      <c r="I9077">
        <v>33207471</v>
      </c>
    </row>
    <row r="9078" spans="1:9" x14ac:dyDescent="0.2">
      <c r="A9078" s="1" t="str">
        <f>"KIAA1524"</f>
        <v>KIAA1524</v>
      </c>
      <c r="B9078" t="s">
        <v>14</v>
      </c>
      <c r="C9078" t="s">
        <v>22</v>
      </c>
      <c r="D9078" t="s">
        <v>11</v>
      </c>
      <c r="E9078" t="s">
        <v>12</v>
      </c>
      <c r="F9078">
        <v>108308241</v>
      </c>
      <c r="G9078">
        <v>108308316</v>
      </c>
      <c r="H9078">
        <v>108308467</v>
      </c>
      <c r="I9078">
        <v>108308505</v>
      </c>
    </row>
    <row r="9079" spans="1:9" x14ac:dyDescent="0.2">
      <c r="A9079" s="1" t="str">
        <f>"KIAA1549"</f>
        <v>KIAA1549</v>
      </c>
      <c r="B9079" t="s">
        <v>14</v>
      </c>
      <c r="C9079" t="s">
        <v>33</v>
      </c>
      <c r="D9079" t="s">
        <v>11</v>
      </c>
      <c r="E9079" t="s">
        <v>12</v>
      </c>
      <c r="F9079">
        <v>138666053</v>
      </c>
      <c r="G9079">
        <v>138666146</v>
      </c>
      <c r="H9079">
        <v>138666186</v>
      </c>
      <c r="I9079">
        <v>138666213</v>
      </c>
    </row>
    <row r="9080" spans="1:9" x14ac:dyDescent="0.2">
      <c r="A9080" s="1" t="str">
        <f>"KIAA1549L"</f>
        <v>KIAA1549L</v>
      </c>
      <c r="B9080" t="s">
        <v>14</v>
      </c>
      <c r="C9080" t="s">
        <v>27</v>
      </c>
      <c r="D9080" t="s">
        <v>17</v>
      </c>
      <c r="E9080" t="s">
        <v>12</v>
      </c>
      <c r="F9080">
        <v>33563817</v>
      </c>
      <c r="G9080">
        <v>33563849</v>
      </c>
      <c r="H9080">
        <v>33563817</v>
      </c>
      <c r="I9080">
        <v>33563849</v>
      </c>
    </row>
    <row r="9081" spans="1:9" x14ac:dyDescent="0.2">
      <c r="A9081" s="1" t="str">
        <f>"KIAA1551"</f>
        <v>KIAA1551</v>
      </c>
      <c r="B9081" t="s">
        <v>14</v>
      </c>
      <c r="C9081" t="s">
        <v>16</v>
      </c>
      <c r="D9081" t="s">
        <v>17</v>
      </c>
      <c r="E9081" t="s">
        <v>12</v>
      </c>
      <c r="F9081">
        <v>32112375</v>
      </c>
      <c r="G9081">
        <v>32112396</v>
      </c>
      <c r="H9081">
        <v>32112340</v>
      </c>
      <c r="I9081">
        <v>32112358</v>
      </c>
    </row>
    <row r="9082" spans="1:9" x14ac:dyDescent="0.2">
      <c r="A9082" s="1" t="str">
        <f>"KIAA1586"</f>
        <v>KIAA1586</v>
      </c>
      <c r="B9082" t="s">
        <v>14</v>
      </c>
      <c r="C9082" t="s">
        <v>32</v>
      </c>
      <c r="D9082" t="s">
        <v>17</v>
      </c>
      <c r="E9082" t="s">
        <v>12</v>
      </c>
      <c r="F9082">
        <v>56911476</v>
      </c>
      <c r="G9082">
        <v>56911507</v>
      </c>
      <c r="H9082">
        <v>56911415</v>
      </c>
      <c r="I9082">
        <v>56911428</v>
      </c>
    </row>
    <row r="9083" spans="1:9" x14ac:dyDescent="0.2">
      <c r="A9083" s="1" t="str">
        <f>"KIAA1598"</f>
        <v>KIAA1598</v>
      </c>
      <c r="B9083" t="s">
        <v>14</v>
      </c>
      <c r="C9083" t="s">
        <v>15</v>
      </c>
      <c r="D9083" t="s">
        <v>11</v>
      </c>
      <c r="E9083" t="s">
        <v>12</v>
      </c>
      <c r="F9083">
        <v>118764684</v>
      </c>
      <c r="G9083">
        <v>118764710</v>
      </c>
      <c r="H9083">
        <v>118764649</v>
      </c>
      <c r="I9083">
        <v>118764683</v>
      </c>
    </row>
    <row r="9084" spans="1:9" x14ac:dyDescent="0.2">
      <c r="A9084" s="1" t="str">
        <f>"KIAA1614"</f>
        <v>KIAA1614</v>
      </c>
      <c r="B9084" t="s">
        <v>14</v>
      </c>
      <c r="C9084" t="s">
        <v>19</v>
      </c>
      <c r="D9084" t="s">
        <v>17</v>
      </c>
      <c r="E9084" t="s">
        <v>12</v>
      </c>
      <c r="F9084">
        <v>180881969</v>
      </c>
      <c r="G9084">
        <v>180882008</v>
      </c>
      <c r="H9084">
        <v>180881969</v>
      </c>
      <c r="I9084">
        <v>180882008</v>
      </c>
    </row>
    <row r="9085" spans="1:9" x14ac:dyDescent="0.2">
      <c r="A9085" s="1" t="str">
        <f>"KIAA1644"</f>
        <v>KIAA1644</v>
      </c>
      <c r="B9085" t="s">
        <v>14</v>
      </c>
      <c r="C9085" t="s">
        <v>21</v>
      </c>
      <c r="D9085" t="s">
        <v>11</v>
      </c>
      <c r="E9085" t="s">
        <v>12</v>
      </c>
      <c r="F9085">
        <v>44708806</v>
      </c>
      <c r="G9085">
        <v>44708840</v>
      </c>
      <c r="H9085">
        <v>44708735</v>
      </c>
      <c r="I9085">
        <v>44708746</v>
      </c>
    </row>
    <row r="9086" spans="1:9" x14ac:dyDescent="0.2">
      <c r="A9086" s="1" t="str">
        <f>"KIAA1671"</f>
        <v>KIAA1671</v>
      </c>
      <c r="B9086" t="s">
        <v>677</v>
      </c>
      <c r="C9086" t="s">
        <v>21</v>
      </c>
      <c r="D9086" t="s">
        <v>17</v>
      </c>
      <c r="E9086" t="s">
        <v>75</v>
      </c>
      <c r="F9086">
        <v>25424057</v>
      </c>
      <c r="G9086">
        <v>25424059</v>
      </c>
      <c r="H9086">
        <v>25424057</v>
      </c>
      <c r="I9086">
        <v>25424059</v>
      </c>
    </row>
    <row r="9087" spans="1:9" x14ac:dyDescent="0.2">
      <c r="A9087" s="1" t="str">
        <f>"KIAA1671"</f>
        <v>KIAA1671</v>
      </c>
      <c r="B9087" t="s">
        <v>678</v>
      </c>
      <c r="C9087" t="s">
        <v>21</v>
      </c>
      <c r="D9087" t="s">
        <v>17</v>
      </c>
      <c r="E9087" t="s">
        <v>35</v>
      </c>
      <c r="F9087">
        <v>25348609</v>
      </c>
      <c r="G9087">
        <v>25348665</v>
      </c>
      <c r="H9087">
        <v>25348671</v>
      </c>
      <c r="I9087">
        <v>25348717</v>
      </c>
    </row>
    <row r="9088" spans="1:9" x14ac:dyDescent="0.2">
      <c r="A9088" s="1" t="str">
        <f>"KIAA1683"</f>
        <v>KIAA1683</v>
      </c>
      <c r="B9088" t="s">
        <v>9</v>
      </c>
      <c r="C9088" t="s">
        <v>10</v>
      </c>
      <c r="D9088" t="s">
        <v>11</v>
      </c>
      <c r="E9088" t="s">
        <v>12</v>
      </c>
      <c r="F9088">
        <v>18380857</v>
      </c>
      <c r="G9088">
        <v>18380862</v>
      </c>
      <c r="H9088">
        <v>18380857</v>
      </c>
      <c r="I9088">
        <v>18380862</v>
      </c>
    </row>
    <row r="9089" spans="1:9" x14ac:dyDescent="0.2">
      <c r="A9089" s="1" t="str">
        <f>"KIAA1683"</f>
        <v>KIAA1683</v>
      </c>
      <c r="B9089" t="s">
        <v>13</v>
      </c>
      <c r="C9089" t="s">
        <v>10</v>
      </c>
      <c r="D9089" t="s">
        <v>11</v>
      </c>
      <c r="E9089" t="s">
        <v>12</v>
      </c>
      <c r="F9089">
        <v>18385246</v>
      </c>
      <c r="G9089">
        <v>18385267</v>
      </c>
      <c r="H9089">
        <v>18385246</v>
      </c>
      <c r="I9089">
        <v>18385267</v>
      </c>
    </row>
    <row r="9090" spans="1:9" x14ac:dyDescent="0.2">
      <c r="A9090" s="1" t="str">
        <f>"KIAA1715"</f>
        <v>KIAA1715</v>
      </c>
      <c r="B9090" t="s">
        <v>14</v>
      </c>
      <c r="C9090" t="s">
        <v>26</v>
      </c>
      <c r="D9090" t="s">
        <v>11</v>
      </c>
      <c r="E9090" t="s">
        <v>12</v>
      </c>
      <c r="F9090">
        <v>176866978</v>
      </c>
      <c r="G9090">
        <v>176867023</v>
      </c>
      <c r="H9090">
        <v>176866961</v>
      </c>
      <c r="I9090">
        <v>176866972</v>
      </c>
    </row>
    <row r="9091" spans="1:9" x14ac:dyDescent="0.2">
      <c r="A9091" s="1" t="str">
        <f>"KIAA1731"</f>
        <v>KIAA1731</v>
      </c>
      <c r="B9091" t="s">
        <v>14</v>
      </c>
      <c r="C9091" t="s">
        <v>27</v>
      </c>
      <c r="D9091" t="s">
        <v>17</v>
      </c>
      <c r="E9091" t="s">
        <v>12</v>
      </c>
      <c r="F9091">
        <v>93394807</v>
      </c>
      <c r="G9091">
        <v>93394904</v>
      </c>
      <c r="H9091">
        <v>93394792</v>
      </c>
      <c r="I9091">
        <v>93394795</v>
      </c>
    </row>
    <row r="9092" spans="1:9" x14ac:dyDescent="0.2">
      <c r="A9092" s="1" t="str">
        <f>"KIAA1737"</f>
        <v>KIAA1737</v>
      </c>
      <c r="B9092" t="s">
        <v>14</v>
      </c>
      <c r="C9092" t="s">
        <v>41</v>
      </c>
      <c r="D9092" t="s">
        <v>17</v>
      </c>
      <c r="E9092" t="s">
        <v>12</v>
      </c>
      <c r="F9092">
        <v>77564569</v>
      </c>
      <c r="G9092">
        <v>77564685</v>
      </c>
      <c r="H9092">
        <v>77564701</v>
      </c>
      <c r="I9092">
        <v>77564712</v>
      </c>
    </row>
    <row r="9093" spans="1:9" x14ac:dyDescent="0.2">
      <c r="A9093" s="1" t="str">
        <f>"KIAA1755"</f>
        <v>KIAA1755</v>
      </c>
      <c r="B9093" t="s">
        <v>14</v>
      </c>
      <c r="C9093" t="s">
        <v>29</v>
      </c>
      <c r="D9093" t="s">
        <v>11</v>
      </c>
      <c r="E9093" t="s">
        <v>12</v>
      </c>
      <c r="F9093">
        <v>36889127</v>
      </c>
      <c r="G9093">
        <v>36889153</v>
      </c>
      <c r="H9093">
        <v>36889098</v>
      </c>
      <c r="I9093">
        <v>36889118</v>
      </c>
    </row>
    <row r="9094" spans="1:9" x14ac:dyDescent="0.2">
      <c r="A9094" s="1" t="str">
        <f>"KIAA1841"</f>
        <v>KIAA1841</v>
      </c>
      <c r="B9094" t="s">
        <v>679</v>
      </c>
      <c r="C9094" t="s">
        <v>26</v>
      </c>
      <c r="D9094" t="s">
        <v>17</v>
      </c>
      <c r="E9094" t="s">
        <v>35</v>
      </c>
      <c r="F9094">
        <v>61293303</v>
      </c>
      <c r="G9094">
        <v>61293320</v>
      </c>
      <c r="H9094">
        <v>61293303</v>
      </c>
      <c r="I9094">
        <v>61293320</v>
      </c>
    </row>
    <row r="9095" spans="1:9" x14ac:dyDescent="0.2">
      <c r="A9095" s="1" t="str">
        <f>"KIAA1841"</f>
        <v>KIAA1841</v>
      </c>
      <c r="B9095" t="s">
        <v>680</v>
      </c>
      <c r="C9095" t="s">
        <v>26</v>
      </c>
      <c r="D9095" t="s">
        <v>17</v>
      </c>
      <c r="E9095" t="s">
        <v>35</v>
      </c>
      <c r="F9095">
        <v>61292990</v>
      </c>
      <c r="G9095">
        <v>61292995</v>
      </c>
      <c r="H9095">
        <v>61293107</v>
      </c>
      <c r="I9095">
        <v>61293121</v>
      </c>
    </row>
    <row r="9096" spans="1:9" x14ac:dyDescent="0.2">
      <c r="A9096" s="1" t="str">
        <f>"KIAA1841"</f>
        <v>KIAA1841</v>
      </c>
      <c r="B9096" t="s">
        <v>681</v>
      </c>
      <c r="C9096" t="s">
        <v>26</v>
      </c>
      <c r="D9096" t="s">
        <v>17</v>
      </c>
      <c r="E9096" t="s">
        <v>20</v>
      </c>
      <c r="F9096">
        <v>61297460</v>
      </c>
      <c r="G9096">
        <v>61297460</v>
      </c>
      <c r="H9096">
        <v>61297460</v>
      </c>
      <c r="I9096">
        <v>61297460</v>
      </c>
    </row>
    <row r="9097" spans="1:9" x14ac:dyDescent="0.2">
      <c r="A9097" s="1" t="str">
        <f>"KIAA1919"</f>
        <v>KIAA1919</v>
      </c>
      <c r="B9097" t="s">
        <v>14</v>
      </c>
      <c r="C9097" t="s">
        <v>32</v>
      </c>
      <c r="D9097" t="s">
        <v>17</v>
      </c>
      <c r="E9097" t="s">
        <v>12</v>
      </c>
      <c r="F9097">
        <v>111580508</v>
      </c>
      <c r="G9097">
        <v>111580575</v>
      </c>
      <c r="H9097">
        <v>111580576</v>
      </c>
      <c r="I9097">
        <v>111580603</v>
      </c>
    </row>
    <row r="9098" spans="1:9" x14ac:dyDescent="0.2">
      <c r="A9098" s="1" t="str">
        <f>"KIAA1958"</f>
        <v>KIAA1958</v>
      </c>
      <c r="B9098" t="s">
        <v>14</v>
      </c>
      <c r="C9098" t="s">
        <v>24</v>
      </c>
      <c r="D9098" t="s">
        <v>17</v>
      </c>
      <c r="E9098" t="s">
        <v>12</v>
      </c>
      <c r="F9098">
        <v>115249100</v>
      </c>
      <c r="G9098">
        <v>115249167</v>
      </c>
      <c r="H9098">
        <v>115249336</v>
      </c>
      <c r="I9098">
        <v>115249379</v>
      </c>
    </row>
    <row r="9099" spans="1:9" x14ac:dyDescent="0.2">
      <c r="A9099" s="1" t="str">
        <f>"KIAA1984"</f>
        <v>KIAA1984</v>
      </c>
      <c r="B9099" t="s">
        <v>14</v>
      </c>
      <c r="C9099" t="s">
        <v>24</v>
      </c>
      <c r="D9099" t="s">
        <v>17</v>
      </c>
      <c r="E9099" t="s">
        <v>12</v>
      </c>
      <c r="F9099">
        <v>139694737</v>
      </c>
      <c r="G9099">
        <v>139694757</v>
      </c>
      <c r="H9099">
        <v>139694777</v>
      </c>
      <c r="I9099">
        <v>139694789</v>
      </c>
    </row>
    <row r="9100" spans="1:9" x14ac:dyDescent="0.2">
      <c r="A9100" s="1" t="str">
        <f>"KIAA2013"</f>
        <v>KIAA2013</v>
      </c>
      <c r="B9100" t="s">
        <v>14</v>
      </c>
      <c r="C9100" t="s">
        <v>19</v>
      </c>
      <c r="D9100" t="s">
        <v>11</v>
      </c>
      <c r="E9100" t="s">
        <v>12</v>
      </c>
      <c r="F9100">
        <v>11986442</v>
      </c>
      <c r="G9100">
        <v>11986502</v>
      </c>
      <c r="H9100">
        <v>11986442</v>
      </c>
      <c r="I9100">
        <v>11986502</v>
      </c>
    </row>
    <row r="9101" spans="1:9" x14ac:dyDescent="0.2">
      <c r="A9101" s="1" t="str">
        <f>"KIAA2018"</f>
        <v>KIAA2018</v>
      </c>
      <c r="B9101" t="s">
        <v>14</v>
      </c>
      <c r="C9101" t="s">
        <v>22</v>
      </c>
      <c r="D9101" t="s">
        <v>11</v>
      </c>
      <c r="E9101" t="s">
        <v>12</v>
      </c>
      <c r="F9101">
        <v>113415441</v>
      </c>
      <c r="G9101">
        <v>113415500</v>
      </c>
      <c r="H9101">
        <v>113415441</v>
      </c>
      <c r="I9101">
        <v>113415500</v>
      </c>
    </row>
    <row r="9102" spans="1:9" x14ac:dyDescent="0.2">
      <c r="A9102" s="1" t="str">
        <f>"KIAA2022"</f>
        <v>KIAA2022</v>
      </c>
      <c r="B9102" t="s">
        <v>14</v>
      </c>
      <c r="C9102" t="s">
        <v>37</v>
      </c>
      <c r="D9102" t="s">
        <v>11</v>
      </c>
      <c r="E9102" t="s">
        <v>12</v>
      </c>
      <c r="F9102">
        <v>74145273</v>
      </c>
      <c r="G9102">
        <v>74145319</v>
      </c>
      <c r="H9102">
        <v>74145114</v>
      </c>
      <c r="I9102">
        <v>74145127</v>
      </c>
    </row>
    <row r="9103" spans="1:9" x14ac:dyDescent="0.2">
      <c r="A9103" s="1" t="str">
        <f>"KIAA2026"</f>
        <v>KIAA2026</v>
      </c>
      <c r="B9103" t="s">
        <v>14</v>
      </c>
      <c r="C9103" t="s">
        <v>24</v>
      </c>
      <c r="D9103" t="s">
        <v>11</v>
      </c>
      <c r="E9103" t="s">
        <v>12</v>
      </c>
      <c r="F9103">
        <v>6008469</v>
      </c>
      <c r="G9103">
        <v>6008495</v>
      </c>
      <c r="H9103">
        <v>6007966</v>
      </c>
      <c r="I9103">
        <v>6008013</v>
      </c>
    </row>
    <row r="9104" spans="1:9" x14ac:dyDescent="0.2">
      <c r="A9104" s="1" t="str">
        <f>"KIDINS220"</f>
        <v>KIDINS220</v>
      </c>
      <c r="B9104" t="s">
        <v>14</v>
      </c>
      <c r="C9104" t="s">
        <v>26</v>
      </c>
      <c r="D9104" t="s">
        <v>11</v>
      </c>
      <c r="E9104" t="s">
        <v>12</v>
      </c>
      <c r="F9104">
        <v>8977714</v>
      </c>
      <c r="G9104">
        <v>8977765</v>
      </c>
      <c r="H9104">
        <v>8977714</v>
      </c>
      <c r="I9104">
        <v>8977765</v>
      </c>
    </row>
    <row r="9105" spans="1:9" x14ac:dyDescent="0.2">
      <c r="A9105" s="1" t="str">
        <f>"KIF11"</f>
        <v>KIF11</v>
      </c>
      <c r="B9105" t="s">
        <v>14</v>
      </c>
      <c r="C9105" t="s">
        <v>15</v>
      </c>
      <c r="D9105" t="s">
        <v>17</v>
      </c>
      <c r="E9105" t="s">
        <v>12</v>
      </c>
      <c r="F9105">
        <v>94352870</v>
      </c>
      <c r="G9105">
        <v>94352930</v>
      </c>
      <c r="H9105">
        <v>94352840</v>
      </c>
      <c r="I9105">
        <v>94352868</v>
      </c>
    </row>
    <row r="9106" spans="1:9" x14ac:dyDescent="0.2">
      <c r="A9106" s="1" t="str">
        <f>"KIF12"</f>
        <v>KIF12</v>
      </c>
      <c r="B9106" t="s">
        <v>14</v>
      </c>
      <c r="C9106" t="s">
        <v>24</v>
      </c>
      <c r="D9106" t="s">
        <v>11</v>
      </c>
      <c r="E9106" t="s">
        <v>12</v>
      </c>
      <c r="F9106">
        <v>116861558</v>
      </c>
      <c r="G9106">
        <v>116861582</v>
      </c>
      <c r="H9106">
        <v>116861558</v>
      </c>
      <c r="I9106">
        <v>116861582</v>
      </c>
    </row>
    <row r="9107" spans="1:9" x14ac:dyDescent="0.2">
      <c r="A9107" s="1" t="str">
        <f>"KIF13A"</f>
        <v>KIF13A</v>
      </c>
      <c r="B9107" t="s">
        <v>14</v>
      </c>
      <c r="C9107" t="s">
        <v>32</v>
      </c>
      <c r="D9107" t="s">
        <v>11</v>
      </c>
      <c r="E9107" t="s">
        <v>12</v>
      </c>
      <c r="F9107">
        <v>17987804</v>
      </c>
      <c r="G9107">
        <v>17987913</v>
      </c>
      <c r="H9107">
        <v>17987804</v>
      </c>
      <c r="I9107">
        <v>17987913</v>
      </c>
    </row>
    <row r="9108" spans="1:9" x14ac:dyDescent="0.2">
      <c r="A9108" s="1" t="str">
        <f>"KIF13B"</f>
        <v>KIF13B</v>
      </c>
      <c r="B9108" t="s">
        <v>14</v>
      </c>
      <c r="C9108" t="s">
        <v>30</v>
      </c>
      <c r="D9108" t="s">
        <v>11</v>
      </c>
      <c r="E9108" t="s">
        <v>12</v>
      </c>
      <c r="F9108">
        <v>29120580</v>
      </c>
      <c r="G9108">
        <v>29120596</v>
      </c>
      <c r="H9108">
        <v>29120604</v>
      </c>
      <c r="I9108">
        <v>29120633</v>
      </c>
    </row>
    <row r="9109" spans="1:9" x14ac:dyDescent="0.2">
      <c r="A9109" s="1" t="str">
        <f>"KIF14"</f>
        <v>KIF14</v>
      </c>
      <c r="B9109" t="s">
        <v>14</v>
      </c>
      <c r="C9109" t="s">
        <v>19</v>
      </c>
      <c r="D9109" t="s">
        <v>11</v>
      </c>
      <c r="E9109" t="s">
        <v>12</v>
      </c>
      <c r="F9109">
        <v>200589859</v>
      </c>
      <c r="G9109">
        <v>200589887</v>
      </c>
      <c r="H9109">
        <v>200589831</v>
      </c>
      <c r="I9109">
        <v>200589855</v>
      </c>
    </row>
    <row r="9110" spans="1:9" x14ac:dyDescent="0.2">
      <c r="A9110" s="1" t="str">
        <f>"KIF15"</f>
        <v>KIF15</v>
      </c>
      <c r="B9110" t="s">
        <v>14</v>
      </c>
      <c r="C9110" t="s">
        <v>22</v>
      </c>
      <c r="D9110" t="s">
        <v>17</v>
      </c>
      <c r="E9110" t="s">
        <v>12</v>
      </c>
      <c r="F9110">
        <v>44803254</v>
      </c>
      <c r="G9110">
        <v>44803305</v>
      </c>
      <c r="H9110">
        <v>44803243</v>
      </c>
      <c r="I9110">
        <v>44803251</v>
      </c>
    </row>
    <row r="9111" spans="1:9" x14ac:dyDescent="0.2">
      <c r="A9111" s="1" t="str">
        <f>"KIF16B"</f>
        <v>KIF16B</v>
      </c>
      <c r="B9111" t="s">
        <v>14</v>
      </c>
      <c r="C9111" t="s">
        <v>29</v>
      </c>
      <c r="D9111" t="s">
        <v>11</v>
      </c>
      <c r="E9111" t="s">
        <v>12</v>
      </c>
      <c r="F9111">
        <v>16553974</v>
      </c>
      <c r="G9111">
        <v>16554028</v>
      </c>
      <c r="H9111">
        <v>16554078</v>
      </c>
      <c r="I9111">
        <v>16554113</v>
      </c>
    </row>
    <row r="9112" spans="1:9" x14ac:dyDescent="0.2">
      <c r="A9112" s="1" t="str">
        <f>"KIF17"</f>
        <v>KIF17</v>
      </c>
      <c r="B9112" t="s">
        <v>682</v>
      </c>
      <c r="C9112" t="s">
        <v>19</v>
      </c>
      <c r="D9112" t="s">
        <v>11</v>
      </c>
      <c r="E9112" t="s">
        <v>35</v>
      </c>
      <c r="F9112">
        <v>21044516</v>
      </c>
      <c r="G9112">
        <v>21044556</v>
      </c>
      <c r="H9112">
        <v>21044489</v>
      </c>
      <c r="I9112">
        <v>21044511</v>
      </c>
    </row>
    <row r="9113" spans="1:9" x14ac:dyDescent="0.2">
      <c r="A9113" s="1" t="str">
        <f>"KIF17"</f>
        <v>KIF17</v>
      </c>
      <c r="B9113" t="s">
        <v>683</v>
      </c>
      <c r="C9113" t="s">
        <v>19</v>
      </c>
      <c r="D9113" t="s">
        <v>11</v>
      </c>
      <c r="E9113" t="s">
        <v>35</v>
      </c>
      <c r="F9113">
        <v>21044262</v>
      </c>
      <c r="G9113">
        <v>21044299</v>
      </c>
      <c r="H9113">
        <v>21044204</v>
      </c>
      <c r="I9113">
        <v>21044212</v>
      </c>
    </row>
    <row r="9114" spans="1:9" x14ac:dyDescent="0.2">
      <c r="A9114" s="1" t="str">
        <f>"KIF18A"</f>
        <v>KIF18A</v>
      </c>
      <c r="B9114" t="s">
        <v>14</v>
      </c>
      <c r="C9114" t="s">
        <v>27</v>
      </c>
      <c r="D9114" t="s">
        <v>11</v>
      </c>
      <c r="E9114" t="s">
        <v>12</v>
      </c>
      <c r="F9114">
        <v>28129656</v>
      </c>
      <c r="G9114">
        <v>28129735</v>
      </c>
      <c r="H9114">
        <v>28129764</v>
      </c>
      <c r="I9114">
        <v>28129769</v>
      </c>
    </row>
    <row r="9115" spans="1:9" x14ac:dyDescent="0.2">
      <c r="A9115" s="1" t="str">
        <f>"KIF18B"</f>
        <v>KIF18B</v>
      </c>
      <c r="B9115" t="s">
        <v>14</v>
      </c>
      <c r="C9115" t="s">
        <v>28</v>
      </c>
      <c r="D9115" t="s">
        <v>11</v>
      </c>
      <c r="E9115" t="s">
        <v>12</v>
      </c>
      <c r="F9115">
        <v>43025020</v>
      </c>
      <c r="G9115">
        <v>43025149</v>
      </c>
      <c r="H9115">
        <v>43025020</v>
      </c>
      <c r="I9115">
        <v>43025149</v>
      </c>
    </row>
    <row r="9116" spans="1:9" x14ac:dyDescent="0.2">
      <c r="A9116" s="1" t="str">
        <f>"KIF19"</f>
        <v>KIF19</v>
      </c>
      <c r="B9116" t="s">
        <v>14</v>
      </c>
      <c r="C9116" t="s">
        <v>28</v>
      </c>
      <c r="D9116" t="s">
        <v>17</v>
      </c>
      <c r="E9116" t="s">
        <v>12</v>
      </c>
      <c r="F9116">
        <v>72322346</v>
      </c>
      <c r="G9116">
        <v>72322382</v>
      </c>
      <c r="H9116">
        <v>72322330</v>
      </c>
      <c r="I9116">
        <v>72322343</v>
      </c>
    </row>
    <row r="9117" spans="1:9" x14ac:dyDescent="0.2">
      <c r="A9117" s="1" t="str">
        <f>"KIF1A"</f>
        <v>KIF1A</v>
      </c>
      <c r="B9117" t="s">
        <v>14</v>
      </c>
      <c r="C9117" t="s">
        <v>26</v>
      </c>
      <c r="D9117" t="s">
        <v>11</v>
      </c>
      <c r="E9117" t="s">
        <v>12</v>
      </c>
      <c r="F9117">
        <v>241759622</v>
      </c>
      <c r="G9117">
        <v>241759643</v>
      </c>
      <c r="H9117">
        <v>241759622</v>
      </c>
      <c r="I9117">
        <v>241759643</v>
      </c>
    </row>
    <row r="9118" spans="1:9" x14ac:dyDescent="0.2">
      <c r="A9118" s="1" t="str">
        <f>"KIF1B"</f>
        <v>KIF1B</v>
      </c>
      <c r="B9118" t="s">
        <v>14</v>
      </c>
      <c r="C9118" t="s">
        <v>19</v>
      </c>
      <c r="D9118" t="s">
        <v>17</v>
      </c>
      <c r="E9118" t="s">
        <v>12</v>
      </c>
      <c r="F9118">
        <v>10270620</v>
      </c>
      <c r="G9118">
        <v>10270637</v>
      </c>
      <c r="H9118">
        <v>10270585</v>
      </c>
      <c r="I9118">
        <v>10270614</v>
      </c>
    </row>
    <row r="9119" spans="1:9" x14ac:dyDescent="0.2">
      <c r="A9119" s="1" t="str">
        <f>"KIF1C"</f>
        <v>KIF1C</v>
      </c>
      <c r="B9119" t="s">
        <v>14</v>
      </c>
      <c r="C9119" t="s">
        <v>28</v>
      </c>
      <c r="D9119" t="s">
        <v>17</v>
      </c>
      <c r="E9119" t="s">
        <v>12</v>
      </c>
      <c r="F9119">
        <v>4901199</v>
      </c>
      <c r="G9119">
        <v>4901291</v>
      </c>
      <c r="H9119">
        <v>4900932</v>
      </c>
      <c r="I9119">
        <v>4900973</v>
      </c>
    </row>
    <row r="9120" spans="1:9" x14ac:dyDescent="0.2">
      <c r="A9120" s="1" t="str">
        <f>"KIF20A"</f>
        <v>KIF20A</v>
      </c>
      <c r="B9120" t="s">
        <v>14</v>
      </c>
      <c r="C9120" t="s">
        <v>46</v>
      </c>
      <c r="D9120" t="s">
        <v>17</v>
      </c>
      <c r="E9120" t="s">
        <v>12</v>
      </c>
      <c r="F9120">
        <v>137514782</v>
      </c>
      <c r="G9120">
        <v>137514827</v>
      </c>
      <c r="H9120">
        <v>137514834</v>
      </c>
      <c r="I9120">
        <v>137514865</v>
      </c>
    </row>
    <row r="9121" spans="1:9" x14ac:dyDescent="0.2">
      <c r="A9121" s="1" t="str">
        <f>"KIF20B"</f>
        <v>KIF20B</v>
      </c>
      <c r="B9121" t="s">
        <v>14</v>
      </c>
      <c r="C9121" t="s">
        <v>15</v>
      </c>
      <c r="D9121" t="s">
        <v>17</v>
      </c>
      <c r="E9121" t="s">
        <v>12</v>
      </c>
      <c r="F9121">
        <v>91461337</v>
      </c>
      <c r="G9121">
        <v>91461380</v>
      </c>
      <c r="H9121">
        <v>91461386</v>
      </c>
      <c r="I9121">
        <v>91461403</v>
      </c>
    </row>
    <row r="9122" spans="1:9" x14ac:dyDescent="0.2">
      <c r="A9122" s="1" t="str">
        <f>"KIF21A"</f>
        <v>KIF21A</v>
      </c>
      <c r="B9122" t="s">
        <v>14</v>
      </c>
      <c r="C9122" t="s">
        <v>16</v>
      </c>
      <c r="D9122" t="s">
        <v>11</v>
      </c>
      <c r="E9122" t="s">
        <v>12</v>
      </c>
      <c r="F9122">
        <v>39836915</v>
      </c>
      <c r="G9122">
        <v>39836954</v>
      </c>
      <c r="H9122">
        <v>39836958</v>
      </c>
      <c r="I9122">
        <v>39836972</v>
      </c>
    </row>
    <row r="9123" spans="1:9" x14ac:dyDescent="0.2">
      <c r="A9123" s="1" t="str">
        <f>"KIF21B"</f>
        <v>KIF21B</v>
      </c>
      <c r="B9123" t="s">
        <v>14</v>
      </c>
      <c r="C9123" t="s">
        <v>19</v>
      </c>
      <c r="D9123" t="s">
        <v>11</v>
      </c>
      <c r="E9123" t="s">
        <v>12</v>
      </c>
      <c r="F9123">
        <v>200992771</v>
      </c>
      <c r="G9123">
        <v>200992815</v>
      </c>
      <c r="H9123">
        <v>200992827</v>
      </c>
      <c r="I9123">
        <v>200992867</v>
      </c>
    </row>
    <row r="9124" spans="1:9" x14ac:dyDescent="0.2">
      <c r="A9124" s="1" t="str">
        <f>"KIF22"</f>
        <v>KIF22</v>
      </c>
      <c r="B9124" t="s">
        <v>9</v>
      </c>
      <c r="C9124" t="s">
        <v>31</v>
      </c>
      <c r="D9124" t="s">
        <v>17</v>
      </c>
      <c r="E9124" t="s">
        <v>12</v>
      </c>
      <c r="F9124">
        <v>29802036</v>
      </c>
      <c r="G9124">
        <v>29802086</v>
      </c>
      <c r="H9124">
        <v>29802036</v>
      </c>
      <c r="I9124">
        <v>29802086</v>
      </c>
    </row>
    <row r="9125" spans="1:9" x14ac:dyDescent="0.2">
      <c r="A9125" s="1" t="str">
        <f>"KIF22"</f>
        <v>KIF22</v>
      </c>
      <c r="B9125" t="s">
        <v>13</v>
      </c>
      <c r="C9125" t="s">
        <v>31</v>
      </c>
      <c r="D9125" t="s">
        <v>17</v>
      </c>
      <c r="E9125" t="s">
        <v>12</v>
      </c>
      <c r="F9125">
        <v>29816001</v>
      </c>
      <c r="G9125">
        <v>29816090</v>
      </c>
      <c r="H9125">
        <v>29816001</v>
      </c>
      <c r="I9125">
        <v>29816090</v>
      </c>
    </row>
    <row r="9126" spans="1:9" x14ac:dyDescent="0.2">
      <c r="A9126" s="1" t="str">
        <f>"KIF23"</f>
        <v>KIF23</v>
      </c>
      <c r="B9126" t="s">
        <v>14</v>
      </c>
      <c r="C9126" t="s">
        <v>25</v>
      </c>
      <c r="D9126" t="s">
        <v>17</v>
      </c>
      <c r="E9126" t="s">
        <v>12</v>
      </c>
      <c r="F9126">
        <v>69706643</v>
      </c>
      <c r="G9126">
        <v>69706710</v>
      </c>
      <c r="H9126">
        <v>69706740</v>
      </c>
      <c r="I9126">
        <v>69706754</v>
      </c>
    </row>
    <row r="9127" spans="1:9" x14ac:dyDescent="0.2">
      <c r="A9127" s="1" t="str">
        <f>"KIF24"</f>
        <v>KIF24</v>
      </c>
      <c r="B9127" t="s">
        <v>14</v>
      </c>
      <c r="C9127" t="s">
        <v>24</v>
      </c>
      <c r="D9127" t="s">
        <v>11</v>
      </c>
      <c r="E9127" t="s">
        <v>12</v>
      </c>
      <c r="F9127">
        <v>34329203</v>
      </c>
      <c r="G9127">
        <v>34329280</v>
      </c>
      <c r="H9127">
        <v>34329181</v>
      </c>
      <c r="I9127">
        <v>34329200</v>
      </c>
    </row>
    <row r="9128" spans="1:9" x14ac:dyDescent="0.2">
      <c r="A9128" s="1" t="str">
        <f>"KIF25"</f>
        <v>KIF25</v>
      </c>
      <c r="B9128" t="s">
        <v>14</v>
      </c>
      <c r="C9128" t="s">
        <v>32</v>
      </c>
      <c r="D9128" t="s">
        <v>17</v>
      </c>
      <c r="E9128" t="s">
        <v>12</v>
      </c>
      <c r="F9128">
        <v>168431180</v>
      </c>
      <c r="G9128">
        <v>168431222</v>
      </c>
      <c r="H9128">
        <v>168431180</v>
      </c>
      <c r="I9128">
        <v>168431222</v>
      </c>
    </row>
    <row r="9129" spans="1:9" x14ac:dyDescent="0.2">
      <c r="A9129" s="1" t="str">
        <f>"KIF26A"</f>
        <v>KIF26A</v>
      </c>
      <c r="B9129" t="s">
        <v>14</v>
      </c>
      <c r="C9129" t="s">
        <v>41</v>
      </c>
      <c r="D9129" t="s">
        <v>17</v>
      </c>
      <c r="E9129" t="s">
        <v>12</v>
      </c>
      <c r="F9129">
        <v>104604916</v>
      </c>
      <c r="G9129">
        <v>104604933</v>
      </c>
      <c r="H9129">
        <v>104604875</v>
      </c>
      <c r="I9129">
        <v>104604880</v>
      </c>
    </row>
    <row r="9130" spans="1:9" x14ac:dyDescent="0.2">
      <c r="A9130" s="1" t="str">
        <f>"KIF26B"</f>
        <v>KIF26B</v>
      </c>
      <c r="B9130" t="s">
        <v>14</v>
      </c>
      <c r="C9130" t="s">
        <v>19</v>
      </c>
      <c r="D9130" t="s">
        <v>17</v>
      </c>
      <c r="E9130" t="s">
        <v>12</v>
      </c>
      <c r="F9130">
        <v>245318279</v>
      </c>
      <c r="G9130">
        <v>245318297</v>
      </c>
      <c r="H9130">
        <v>245318279</v>
      </c>
      <c r="I9130">
        <v>245318297</v>
      </c>
    </row>
    <row r="9131" spans="1:9" x14ac:dyDescent="0.2">
      <c r="A9131" s="1" t="str">
        <f>"KIF27"</f>
        <v>KIF27</v>
      </c>
      <c r="B9131" t="s">
        <v>14</v>
      </c>
      <c r="C9131" t="s">
        <v>24</v>
      </c>
      <c r="D9131" t="s">
        <v>11</v>
      </c>
      <c r="E9131" t="s">
        <v>12</v>
      </c>
      <c r="F9131">
        <v>86536323</v>
      </c>
      <c r="G9131">
        <v>86536414</v>
      </c>
      <c r="H9131">
        <v>86536420</v>
      </c>
      <c r="I9131">
        <v>86536454</v>
      </c>
    </row>
    <row r="9132" spans="1:9" x14ac:dyDescent="0.2">
      <c r="A9132" s="1" t="str">
        <f>"KIF2A"</f>
        <v>KIF2A</v>
      </c>
      <c r="B9132" t="s">
        <v>14</v>
      </c>
      <c r="C9132" t="s">
        <v>46</v>
      </c>
      <c r="D9132" t="s">
        <v>17</v>
      </c>
      <c r="E9132" t="s">
        <v>12</v>
      </c>
      <c r="F9132">
        <v>61602236</v>
      </c>
      <c r="G9132">
        <v>61602301</v>
      </c>
      <c r="H9132">
        <v>61602025</v>
      </c>
      <c r="I9132">
        <v>61602053</v>
      </c>
    </row>
    <row r="9133" spans="1:9" x14ac:dyDescent="0.2">
      <c r="A9133" s="1" t="str">
        <f>"KIF2B"</f>
        <v>KIF2B</v>
      </c>
      <c r="B9133" t="s">
        <v>14</v>
      </c>
      <c r="C9133" t="s">
        <v>28</v>
      </c>
      <c r="D9133" t="s">
        <v>17</v>
      </c>
      <c r="E9133" t="s">
        <v>12</v>
      </c>
      <c r="F9133">
        <v>51900247</v>
      </c>
      <c r="G9133">
        <v>51900312</v>
      </c>
      <c r="H9133">
        <v>51900247</v>
      </c>
      <c r="I9133">
        <v>51900312</v>
      </c>
    </row>
    <row r="9134" spans="1:9" x14ac:dyDescent="0.2">
      <c r="A9134" s="1" t="str">
        <f>"KIF2C"</f>
        <v>KIF2C</v>
      </c>
      <c r="B9134" t="s">
        <v>14</v>
      </c>
      <c r="C9134" t="s">
        <v>19</v>
      </c>
      <c r="D9134" t="s">
        <v>17</v>
      </c>
      <c r="E9134" t="s">
        <v>12</v>
      </c>
      <c r="F9134">
        <v>45205498</v>
      </c>
      <c r="G9134">
        <v>45205554</v>
      </c>
      <c r="H9134">
        <v>45205560</v>
      </c>
      <c r="I9134">
        <v>45205575</v>
      </c>
    </row>
    <row r="9135" spans="1:9" x14ac:dyDescent="0.2">
      <c r="A9135" s="1" t="str">
        <f>"KIF3A"</f>
        <v>KIF3A</v>
      </c>
      <c r="B9135" t="s">
        <v>14</v>
      </c>
      <c r="C9135" t="s">
        <v>46</v>
      </c>
      <c r="D9135" t="s">
        <v>11</v>
      </c>
      <c r="E9135" t="s">
        <v>12</v>
      </c>
      <c r="F9135">
        <v>132073210</v>
      </c>
      <c r="G9135">
        <v>132073275</v>
      </c>
      <c r="H9135">
        <v>132073180</v>
      </c>
      <c r="I9135">
        <v>132073205</v>
      </c>
    </row>
    <row r="9136" spans="1:9" x14ac:dyDescent="0.2">
      <c r="A9136" s="1" t="str">
        <f>"KIF3B"</f>
        <v>KIF3B</v>
      </c>
      <c r="B9136" t="s">
        <v>14</v>
      </c>
      <c r="C9136" t="s">
        <v>29</v>
      </c>
      <c r="D9136" t="s">
        <v>17</v>
      </c>
      <c r="E9136" t="s">
        <v>12</v>
      </c>
      <c r="F9136">
        <v>30865429</v>
      </c>
      <c r="G9136">
        <v>30865480</v>
      </c>
      <c r="H9136">
        <v>30865429</v>
      </c>
      <c r="I9136">
        <v>30865480</v>
      </c>
    </row>
    <row r="9137" spans="1:9" x14ac:dyDescent="0.2">
      <c r="A9137" s="1" t="str">
        <f>"KIF3C"</f>
        <v>KIF3C</v>
      </c>
      <c r="B9137" t="s">
        <v>14</v>
      </c>
      <c r="C9137" t="s">
        <v>26</v>
      </c>
      <c r="D9137" t="s">
        <v>11</v>
      </c>
      <c r="E9137" t="s">
        <v>12</v>
      </c>
      <c r="F9137">
        <v>26205550</v>
      </c>
      <c r="G9137">
        <v>26205624</v>
      </c>
      <c r="H9137">
        <v>26205340</v>
      </c>
      <c r="I9137">
        <v>26205381</v>
      </c>
    </row>
    <row r="9138" spans="1:9" x14ac:dyDescent="0.2">
      <c r="A9138" s="1" t="str">
        <f>"KIF4A"</f>
        <v>KIF4A</v>
      </c>
      <c r="B9138" t="s">
        <v>14</v>
      </c>
      <c r="C9138" t="s">
        <v>37</v>
      </c>
      <c r="D9138" t="s">
        <v>17</v>
      </c>
      <c r="E9138" t="s">
        <v>12</v>
      </c>
      <c r="F9138">
        <v>69509927</v>
      </c>
      <c r="G9138">
        <v>69509970</v>
      </c>
      <c r="H9138">
        <v>69509870</v>
      </c>
      <c r="I9138">
        <v>69509908</v>
      </c>
    </row>
    <row r="9139" spans="1:9" x14ac:dyDescent="0.2">
      <c r="A9139" s="1" t="str">
        <f>"KIF4B"</f>
        <v>KIF4B</v>
      </c>
      <c r="B9139" t="s">
        <v>14</v>
      </c>
      <c r="C9139" t="s">
        <v>46</v>
      </c>
      <c r="D9139" t="s">
        <v>17</v>
      </c>
      <c r="E9139" t="s">
        <v>12</v>
      </c>
      <c r="F9139">
        <v>154393370</v>
      </c>
      <c r="G9139">
        <v>154393388</v>
      </c>
      <c r="H9139">
        <v>154393370</v>
      </c>
      <c r="I9139">
        <v>154393388</v>
      </c>
    </row>
    <row r="9140" spans="1:9" x14ac:dyDescent="0.2">
      <c r="A9140" s="1" t="str">
        <f>"KIF5A"</f>
        <v>KIF5A</v>
      </c>
      <c r="B9140" t="s">
        <v>14</v>
      </c>
      <c r="C9140" t="s">
        <v>16</v>
      </c>
      <c r="D9140" t="s">
        <v>17</v>
      </c>
      <c r="E9140" t="s">
        <v>12</v>
      </c>
      <c r="F9140">
        <v>57943813</v>
      </c>
      <c r="G9140">
        <v>57943869</v>
      </c>
      <c r="H9140">
        <v>57943813</v>
      </c>
      <c r="I9140">
        <v>57943869</v>
      </c>
    </row>
    <row r="9141" spans="1:9" x14ac:dyDescent="0.2">
      <c r="A9141" s="1" t="str">
        <f>"KIF5B"</f>
        <v>KIF5B</v>
      </c>
      <c r="B9141" t="s">
        <v>14</v>
      </c>
      <c r="C9141" t="s">
        <v>15</v>
      </c>
      <c r="D9141" t="s">
        <v>11</v>
      </c>
      <c r="E9141" t="s">
        <v>12</v>
      </c>
      <c r="F9141">
        <v>32345305</v>
      </c>
      <c r="G9141">
        <v>32345376</v>
      </c>
      <c r="H9141">
        <v>32344901</v>
      </c>
      <c r="I9141">
        <v>32344917</v>
      </c>
    </row>
    <row r="9142" spans="1:9" x14ac:dyDescent="0.2">
      <c r="A9142" s="1" t="str">
        <f>"KIF5C"</f>
        <v>KIF5C</v>
      </c>
      <c r="B9142" t="s">
        <v>14</v>
      </c>
      <c r="C9142" t="s">
        <v>26</v>
      </c>
      <c r="D9142" t="s">
        <v>17</v>
      </c>
      <c r="E9142" t="s">
        <v>12</v>
      </c>
      <c r="F9142">
        <v>149632783</v>
      </c>
      <c r="G9142">
        <v>149632820</v>
      </c>
      <c r="H9142">
        <v>149633145</v>
      </c>
      <c r="I9142">
        <v>149633190</v>
      </c>
    </row>
    <row r="9143" spans="1:9" x14ac:dyDescent="0.2">
      <c r="A9143" s="1" t="str">
        <f>"KIF6"</f>
        <v>KIF6</v>
      </c>
      <c r="B9143" t="s">
        <v>14</v>
      </c>
      <c r="C9143" t="s">
        <v>32</v>
      </c>
      <c r="D9143" t="s">
        <v>11</v>
      </c>
      <c r="E9143" t="s">
        <v>12</v>
      </c>
      <c r="F9143">
        <v>39693163</v>
      </c>
      <c r="G9143">
        <v>39693217</v>
      </c>
      <c r="H9143">
        <v>39693163</v>
      </c>
      <c r="I9143">
        <v>39693217</v>
      </c>
    </row>
    <row r="9144" spans="1:9" x14ac:dyDescent="0.2">
      <c r="A9144" s="1" t="str">
        <f>"KIF7"</f>
        <v>KIF7</v>
      </c>
      <c r="B9144" t="s">
        <v>14</v>
      </c>
      <c r="C9144" t="s">
        <v>25</v>
      </c>
      <c r="D9144" t="s">
        <v>11</v>
      </c>
      <c r="E9144" t="s">
        <v>12</v>
      </c>
      <c r="F9144">
        <v>90198659</v>
      </c>
      <c r="G9144">
        <v>90198713</v>
      </c>
      <c r="H9144">
        <v>90198772</v>
      </c>
      <c r="I9144">
        <v>90198796</v>
      </c>
    </row>
    <row r="9145" spans="1:9" x14ac:dyDescent="0.2">
      <c r="A9145" s="1" t="str">
        <f>"KIF9"</f>
        <v>KIF9</v>
      </c>
      <c r="B9145" t="s">
        <v>14</v>
      </c>
      <c r="C9145" t="s">
        <v>22</v>
      </c>
      <c r="D9145" t="s">
        <v>11</v>
      </c>
      <c r="E9145" t="s">
        <v>12</v>
      </c>
      <c r="F9145">
        <v>47324245</v>
      </c>
      <c r="G9145">
        <v>47324302</v>
      </c>
      <c r="H9145">
        <v>47324079</v>
      </c>
      <c r="I9145">
        <v>47324107</v>
      </c>
    </row>
    <row r="9146" spans="1:9" x14ac:dyDescent="0.2">
      <c r="A9146" s="1" t="str">
        <f>"KIFAP3"</f>
        <v>KIFAP3</v>
      </c>
      <c r="B9146" t="s">
        <v>14</v>
      </c>
      <c r="C9146" t="s">
        <v>19</v>
      </c>
      <c r="D9146" t="s">
        <v>11</v>
      </c>
      <c r="E9146" t="s">
        <v>12</v>
      </c>
      <c r="F9146">
        <v>170043709</v>
      </c>
      <c r="G9146">
        <v>170043874</v>
      </c>
      <c r="H9146">
        <v>170043617</v>
      </c>
      <c r="I9146">
        <v>170043675</v>
      </c>
    </row>
    <row r="9147" spans="1:9" x14ac:dyDescent="0.2">
      <c r="A9147" s="1" t="str">
        <f>"KIFC1"</f>
        <v>KIFC1</v>
      </c>
      <c r="B9147" t="s">
        <v>14</v>
      </c>
      <c r="C9147" t="s">
        <v>32</v>
      </c>
      <c r="D9147" t="s">
        <v>17</v>
      </c>
      <c r="E9147" t="s">
        <v>12</v>
      </c>
      <c r="F9147">
        <v>33359582</v>
      </c>
      <c r="G9147">
        <v>33359667</v>
      </c>
      <c r="H9147">
        <v>33359244</v>
      </c>
      <c r="I9147">
        <v>33359270</v>
      </c>
    </row>
    <row r="9148" spans="1:9" x14ac:dyDescent="0.2">
      <c r="A9148" s="1" t="str">
        <f>"KIFC2"</f>
        <v>KIFC2</v>
      </c>
      <c r="B9148" t="s">
        <v>14</v>
      </c>
      <c r="C9148" t="s">
        <v>30</v>
      </c>
      <c r="D9148" t="s">
        <v>17</v>
      </c>
      <c r="E9148" t="s">
        <v>12</v>
      </c>
      <c r="F9148">
        <v>145691411</v>
      </c>
      <c r="G9148">
        <v>145691480</v>
      </c>
      <c r="H9148">
        <v>145691701</v>
      </c>
      <c r="I9148">
        <v>145691759</v>
      </c>
    </row>
    <row r="9149" spans="1:9" x14ac:dyDescent="0.2">
      <c r="A9149" s="1" t="str">
        <f>"KIFC3"</f>
        <v>KIFC3</v>
      </c>
      <c r="B9149" t="s">
        <v>14</v>
      </c>
      <c r="C9149" t="s">
        <v>31</v>
      </c>
      <c r="D9149" t="s">
        <v>11</v>
      </c>
      <c r="E9149" t="s">
        <v>12</v>
      </c>
      <c r="F9149">
        <v>57836321</v>
      </c>
      <c r="G9149">
        <v>57836410</v>
      </c>
      <c r="H9149">
        <v>57837129</v>
      </c>
      <c r="I9149">
        <v>57837170</v>
      </c>
    </row>
    <row r="9150" spans="1:9" x14ac:dyDescent="0.2">
      <c r="A9150" s="1" t="str">
        <f>"KIN"</f>
        <v>KIN</v>
      </c>
      <c r="B9150" t="s">
        <v>14</v>
      </c>
      <c r="C9150" t="s">
        <v>15</v>
      </c>
      <c r="D9150" t="s">
        <v>11</v>
      </c>
      <c r="E9150" t="s">
        <v>12</v>
      </c>
      <c r="F9150">
        <v>7829909</v>
      </c>
      <c r="G9150">
        <v>7829963</v>
      </c>
      <c r="H9150">
        <v>7829909</v>
      </c>
      <c r="I9150">
        <v>7829963</v>
      </c>
    </row>
    <row r="9151" spans="1:9" x14ac:dyDescent="0.2">
      <c r="A9151" s="1" t="str">
        <f>"KIR2DL1"</f>
        <v>KIR2DL1</v>
      </c>
      <c r="B9151" t="s">
        <v>14</v>
      </c>
      <c r="C9151" t="s">
        <v>10</v>
      </c>
      <c r="D9151" t="s">
        <v>17</v>
      </c>
      <c r="E9151" t="s">
        <v>12</v>
      </c>
      <c r="F9151">
        <v>55281260</v>
      </c>
      <c r="G9151">
        <v>55281281</v>
      </c>
      <c r="H9151">
        <v>55281238</v>
      </c>
      <c r="I9151">
        <v>55281255</v>
      </c>
    </row>
    <row r="9152" spans="1:9" x14ac:dyDescent="0.2">
      <c r="A9152" s="1" t="str">
        <f>"KIR2DL3"</f>
        <v>KIR2DL3</v>
      </c>
      <c r="B9152" t="s">
        <v>14</v>
      </c>
      <c r="C9152" t="s">
        <v>10</v>
      </c>
      <c r="D9152" t="s">
        <v>17</v>
      </c>
      <c r="E9152" t="s">
        <v>12</v>
      </c>
      <c r="F9152">
        <v>55249969</v>
      </c>
      <c r="G9152">
        <v>55249987</v>
      </c>
      <c r="H9152">
        <v>55249989</v>
      </c>
      <c r="I9152">
        <v>55250002</v>
      </c>
    </row>
    <row r="9153" spans="1:9" x14ac:dyDescent="0.2">
      <c r="A9153" s="1" t="str">
        <f>"KIR2DL4"</f>
        <v>KIR2DL4</v>
      </c>
      <c r="B9153" t="s">
        <v>14</v>
      </c>
      <c r="C9153" t="s">
        <v>10</v>
      </c>
      <c r="D9153" t="s">
        <v>17</v>
      </c>
      <c r="E9153" t="s">
        <v>12</v>
      </c>
      <c r="F9153">
        <v>55315059</v>
      </c>
      <c r="G9153">
        <v>55315084</v>
      </c>
      <c r="H9153">
        <v>55315087</v>
      </c>
      <c r="I9153">
        <v>55315100</v>
      </c>
    </row>
    <row r="9154" spans="1:9" x14ac:dyDescent="0.2">
      <c r="A9154" s="1" t="str">
        <f>"KIR2DS4"</f>
        <v>KIR2DS4</v>
      </c>
      <c r="B9154" t="s">
        <v>684</v>
      </c>
      <c r="C9154" t="s">
        <v>10</v>
      </c>
      <c r="D9154" t="s">
        <v>17</v>
      </c>
      <c r="E9154" t="s">
        <v>75</v>
      </c>
      <c r="F9154">
        <v>55344199</v>
      </c>
      <c r="G9154">
        <v>55344222</v>
      </c>
      <c r="H9154">
        <v>55344199</v>
      </c>
      <c r="I9154">
        <v>55344222</v>
      </c>
    </row>
    <row r="9155" spans="1:9" x14ac:dyDescent="0.2">
      <c r="A9155" s="1" t="str">
        <f>"KIR3DL1"</f>
        <v>KIR3DL1</v>
      </c>
      <c r="B9155" t="s">
        <v>685</v>
      </c>
      <c r="C9155" t="s">
        <v>10</v>
      </c>
      <c r="D9155" t="s">
        <v>17</v>
      </c>
      <c r="E9155" t="s">
        <v>20</v>
      </c>
      <c r="F9155">
        <v>55327931</v>
      </c>
      <c r="G9155">
        <v>55327931</v>
      </c>
      <c r="H9155">
        <v>55327931</v>
      </c>
      <c r="I9155">
        <v>55327931</v>
      </c>
    </row>
    <row r="9156" spans="1:9" x14ac:dyDescent="0.2">
      <c r="A9156" s="1" t="str">
        <f>"KIR3DL1"</f>
        <v>KIR3DL1</v>
      </c>
      <c r="B9156" t="s">
        <v>686</v>
      </c>
      <c r="C9156" t="s">
        <v>10</v>
      </c>
      <c r="D9156" t="s">
        <v>17</v>
      </c>
      <c r="E9156" t="s">
        <v>20</v>
      </c>
      <c r="F9156">
        <v>55235973</v>
      </c>
      <c r="G9156">
        <v>55235973</v>
      </c>
      <c r="H9156">
        <v>55235973</v>
      </c>
      <c r="I9156">
        <v>55235973</v>
      </c>
    </row>
    <row r="9157" spans="1:9" x14ac:dyDescent="0.2">
      <c r="A9157" s="1" t="str">
        <f>"KIR3DL2"</f>
        <v>KIR3DL2</v>
      </c>
      <c r="B9157" t="s">
        <v>14</v>
      </c>
      <c r="C9157" t="s">
        <v>10</v>
      </c>
      <c r="D9157" t="s">
        <v>17</v>
      </c>
      <c r="E9157" t="s">
        <v>12</v>
      </c>
      <c r="F9157">
        <v>55361891</v>
      </c>
      <c r="G9157">
        <v>55361908</v>
      </c>
      <c r="H9157">
        <v>55361891</v>
      </c>
      <c r="I9157">
        <v>55361908</v>
      </c>
    </row>
    <row r="9158" spans="1:9" x14ac:dyDescent="0.2">
      <c r="A9158" s="1" t="str">
        <f>"KIR3DL3"</f>
        <v>KIR3DL3</v>
      </c>
      <c r="B9158" t="s">
        <v>687</v>
      </c>
      <c r="C9158" t="s">
        <v>10</v>
      </c>
      <c r="D9158" t="s">
        <v>17</v>
      </c>
      <c r="E9158" t="s">
        <v>20</v>
      </c>
      <c r="F9158">
        <v>55235983</v>
      </c>
      <c r="G9158">
        <v>55235983</v>
      </c>
      <c r="H9158">
        <v>55235983</v>
      </c>
      <c r="I9158">
        <v>55235983</v>
      </c>
    </row>
    <row r="9159" spans="1:9" x14ac:dyDescent="0.2">
      <c r="A9159" s="1" t="str">
        <f>"KIRREL"</f>
        <v>KIRREL</v>
      </c>
      <c r="B9159" t="s">
        <v>14</v>
      </c>
      <c r="C9159" t="s">
        <v>19</v>
      </c>
      <c r="D9159" t="s">
        <v>17</v>
      </c>
      <c r="E9159" t="s">
        <v>12</v>
      </c>
      <c r="F9159">
        <v>157963391</v>
      </c>
      <c r="G9159">
        <v>157963454</v>
      </c>
      <c r="H9159">
        <v>157963160</v>
      </c>
      <c r="I9159">
        <v>157963190</v>
      </c>
    </row>
    <row r="9160" spans="1:9" x14ac:dyDescent="0.2">
      <c r="A9160" s="1" t="str">
        <f>"KIRREL2"</f>
        <v>KIRREL2</v>
      </c>
      <c r="B9160" t="s">
        <v>9</v>
      </c>
      <c r="C9160" t="s">
        <v>10</v>
      </c>
      <c r="D9160" t="s">
        <v>17</v>
      </c>
      <c r="E9160" t="s">
        <v>12</v>
      </c>
      <c r="F9160">
        <v>36347787</v>
      </c>
      <c r="G9160">
        <v>36347850</v>
      </c>
      <c r="H9160">
        <v>36347787</v>
      </c>
      <c r="I9160">
        <v>36347850</v>
      </c>
    </row>
    <row r="9161" spans="1:9" x14ac:dyDescent="0.2">
      <c r="A9161" s="1" t="str">
        <f>"KIRREL2"</f>
        <v>KIRREL2</v>
      </c>
      <c r="B9161" t="s">
        <v>13</v>
      </c>
      <c r="C9161" t="s">
        <v>10</v>
      </c>
      <c r="D9161" t="s">
        <v>17</v>
      </c>
      <c r="E9161" t="s">
        <v>12</v>
      </c>
      <c r="F9161">
        <v>36346734</v>
      </c>
      <c r="G9161">
        <v>36346751</v>
      </c>
      <c r="H9161">
        <v>36346734</v>
      </c>
      <c r="I9161">
        <v>36346751</v>
      </c>
    </row>
    <row r="9162" spans="1:9" x14ac:dyDescent="0.2">
      <c r="A9162" s="1" t="str">
        <f>"KIRREL3"</f>
        <v>KIRREL3</v>
      </c>
      <c r="B9162" t="s">
        <v>14</v>
      </c>
      <c r="C9162" t="s">
        <v>27</v>
      </c>
      <c r="D9162" t="s">
        <v>11</v>
      </c>
      <c r="E9162" t="s">
        <v>12</v>
      </c>
      <c r="F9162">
        <v>126870658</v>
      </c>
      <c r="G9162">
        <v>126870673</v>
      </c>
      <c r="H9162">
        <v>126870683</v>
      </c>
      <c r="I9162">
        <v>126870703</v>
      </c>
    </row>
    <row r="9163" spans="1:9" x14ac:dyDescent="0.2">
      <c r="A9163" s="1" t="str">
        <f>"KISS1"</f>
        <v>KISS1</v>
      </c>
      <c r="B9163" t="s">
        <v>14</v>
      </c>
      <c r="C9163" t="s">
        <v>19</v>
      </c>
      <c r="D9163" t="s">
        <v>11</v>
      </c>
      <c r="E9163" t="s">
        <v>12</v>
      </c>
      <c r="F9163">
        <v>204165610</v>
      </c>
      <c r="G9163">
        <v>204165626</v>
      </c>
      <c r="H9163">
        <v>204165751</v>
      </c>
      <c r="I9163">
        <v>204165766</v>
      </c>
    </row>
    <row r="9164" spans="1:9" x14ac:dyDescent="0.2">
      <c r="A9164" s="1" t="str">
        <f>"KISS1R"</f>
        <v>KISS1R</v>
      </c>
      <c r="B9164" t="s">
        <v>14</v>
      </c>
      <c r="C9164" t="s">
        <v>10</v>
      </c>
      <c r="D9164" t="s">
        <v>17</v>
      </c>
      <c r="E9164" t="s">
        <v>12</v>
      </c>
      <c r="F9164">
        <v>917326</v>
      </c>
      <c r="G9164">
        <v>917340</v>
      </c>
      <c r="H9164">
        <v>917019</v>
      </c>
      <c r="I9164">
        <v>917055</v>
      </c>
    </row>
    <row r="9165" spans="1:9" x14ac:dyDescent="0.2">
      <c r="A9165" s="1" t="str">
        <f>"KIT"</f>
        <v>KIT</v>
      </c>
      <c r="B9165" t="s">
        <v>14</v>
      </c>
      <c r="C9165" t="s">
        <v>23</v>
      </c>
      <c r="D9165" t="s">
        <v>17</v>
      </c>
      <c r="E9165" t="s">
        <v>12</v>
      </c>
      <c r="F9165">
        <v>55524117</v>
      </c>
      <c r="G9165">
        <v>55524135</v>
      </c>
      <c r="H9165">
        <v>55524101</v>
      </c>
      <c r="I9165">
        <v>55524110</v>
      </c>
    </row>
    <row r="9166" spans="1:9" x14ac:dyDescent="0.2">
      <c r="A9166" s="1" t="str">
        <f>"KITLG"</f>
        <v>KITLG</v>
      </c>
      <c r="B9166" t="s">
        <v>14</v>
      </c>
      <c r="C9166" t="s">
        <v>16</v>
      </c>
      <c r="D9166" t="s">
        <v>11</v>
      </c>
      <c r="E9166" t="s">
        <v>12</v>
      </c>
      <c r="F9166">
        <v>88974236</v>
      </c>
      <c r="G9166">
        <v>88974256</v>
      </c>
      <c r="H9166">
        <v>88974236</v>
      </c>
      <c r="I9166">
        <v>88974256</v>
      </c>
    </row>
    <row r="9167" spans="1:9" x14ac:dyDescent="0.2">
      <c r="A9167" s="1" t="str">
        <f>"KL"</f>
        <v>KL</v>
      </c>
      <c r="B9167" t="s">
        <v>14</v>
      </c>
      <c r="C9167" t="s">
        <v>39</v>
      </c>
      <c r="D9167" t="s">
        <v>17</v>
      </c>
      <c r="E9167" t="s">
        <v>12</v>
      </c>
      <c r="F9167">
        <v>33590553</v>
      </c>
      <c r="G9167">
        <v>33590570</v>
      </c>
      <c r="H9167">
        <v>33590200</v>
      </c>
      <c r="I9167">
        <v>33590218</v>
      </c>
    </row>
    <row r="9168" spans="1:9" x14ac:dyDescent="0.2">
      <c r="A9168" s="1" t="str">
        <f>"KLB"</f>
        <v>KLB</v>
      </c>
      <c r="B9168" t="s">
        <v>14</v>
      </c>
      <c r="C9168" t="s">
        <v>23</v>
      </c>
      <c r="D9168" t="s">
        <v>17</v>
      </c>
      <c r="E9168" t="s">
        <v>12</v>
      </c>
      <c r="F9168">
        <v>39408537</v>
      </c>
      <c r="G9168">
        <v>39408563</v>
      </c>
      <c r="H9168">
        <v>39408470</v>
      </c>
      <c r="I9168">
        <v>39408510</v>
      </c>
    </row>
    <row r="9169" spans="1:9" x14ac:dyDescent="0.2">
      <c r="A9169" s="1" t="str">
        <f>"KLC1"</f>
        <v>KLC1</v>
      </c>
      <c r="B9169" t="s">
        <v>14</v>
      </c>
      <c r="C9169" t="s">
        <v>41</v>
      </c>
      <c r="D9169" t="s">
        <v>17</v>
      </c>
      <c r="E9169" t="s">
        <v>12</v>
      </c>
      <c r="F9169">
        <v>104095524</v>
      </c>
      <c r="G9169">
        <v>104095576</v>
      </c>
      <c r="H9169">
        <v>104095524</v>
      </c>
      <c r="I9169">
        <v>104095576</v>
      </c>
    </row>
    <row r="9170" spans="1:9" x14ac:dyDescent="0.2">
      <c r="A9170" s="1" t="str">
        <f>"KLC2"</f>
        <v>KLC2</v>
      </c>
      <c r="B9170" t="s">
        <v>14</v>
      </c>
      <c r="C9170" t="s">
        <v>27</v>
      </c>
      <c r="D9170" t="s">
        <v>17</v>
      </c>
      <c r="E9170" t="s">
        <v>12</v>
      </c>
      <c r="F9170">
        <v>66025214</v>
      </c>
      <c r="G9170">
        <v>66025273</v>
      </c>
      <c r="H9170">
        <v>66025274</v>
      </c>
      <c r="I9170">
        <v>66025316</v>
      </c>
    </row>
    <row r="9171" spans="1:9" x14ac:dyDescent="0.2">
      <c r="A9171" s="1" t="str">
        <f>"KLC3"</f>
        <v>KLC3</v>
      </c>
      <c r="B9171" t="s">
        <v>14</v>
      </c>
      <c r="C9171" t="s">
        <v>10</v>
      </c>
      <c r="D9171" t="s">
        <v>17</v>
      </c>
      <c r="E9171" t="s">
        <v>12</v>
      </c>
      <c r="F9171">
        <v>45843994</v>
      </c>
      <c r="G9171">
        <v>45844015</v>
      </c>
      <c r="H9171">
        <v>45844018</v>
      </c>
      <c r="I9171">
        <v>45844031</v>
      </c>
    </row>
    <row r="9172" spans="1:9" x14ac:dyDescent="0.2">
      <c r="A9172" s="1" t="str">
        <f>"KLC4"</f>
        <v>KLC4</v>
      </c>
      <c r="B9172" t="s">
        <v>14</v>
      </c>
      <c r="C9172" t="s">
        <v>32</v>
      </c>
      <c r="D9172" t="s">
        <v>17</v>
      </c>
      <c r="E9172" t="s">
        <v>12</v>
      </c>
      <c r="F9172">
        <v>43027354</v>
      </c>
      <c r="G9172">
        <v>43027407</v>
      </c>
      <c r="H9172">
        <v>43027584</v>
      </c>
      <c r="I9172">
        <v>43027639</v>
      </c>
    </row>
    <row r="9173" spans="1:9" x14ac:dyDescent="0.2">
      <c r="A9173" s="1" t="str">
        <f>"KLF1"</f>
        <v>KLF1</v>
      </c>
      <c r="B9173" t="s">
        <v>14</v>
      </c>
      <c r="C9173" t="s">
        <v>10</v>
      </c>
      <c r="D9173" t="s">
        <v>11</v>
      </c>
      <c r="E9173" t="s">
        <v>12</v>
      </c>
      <c r="F9173">
        <v>12998003</v>
      </c>
      <c r="G9173">
        <v>12998021</v>
      </c>
      <c r="H9173">
        <v>12998003</v>
      </c>
      <c r="I9173">
        <v>12998021</v>
      </c>
    </row>
    <row r="9174" spans="1:9" x14ac:dyDescent="0.2">
      <c r="A9174" s="1" t="str">
        <f>"KLF10"</f>
        <v>KLF10</v>
      </c>
      <c r="B9174" t="s">
        <v>9</v>
      </c>
      <c r="C9174" t="s">
        <v>30</v>
      </c>
      <c r="D9174" t="s">
        <v>11</v>
      </c>
      <c r="E9174" t="s">
        <v>12</v>
      </c>
      <c r="F9174">
        <v>103667935</v>
      </c>
      <c r="G9174">
        <v>103667960</v>
      </c>
      <c r="H9174">
        <v>103667935</v>
      </c>
      <c r="I9174">
        <v>103667960</v>
      </c>
    </row>
    <row r="9175" spans="1:9" x14ac:dyDescent="0.2">
      <c r="A9175" s="1" t="str">
        <f>"KLF10"</f>
        <v>KLF10</v>
      </c>
      <c r="B9175" t="s">
        <v>13</v>
      </c>
      <c r="C9175" t="s">
        <v>30</v>
      </c>
      <c r="D9175" t="s">
        <v>11</v>
      </c>
      <c r="E9175" t="s">
        <v>12</v>
      </c>
      <c r="F9175">
        <v>103666019</v>
      </c>
      <c r="G9175">
        <v>103666068</v>
      </c>
      <c r="H9175">
        <v>103666019</v>
      </c>
      <c r="I9175">
        <v>103666068</v>
      </c>
    </row>
    <row r="9176" spans="1:9" x14ac:dyDescent="0.2">
      <c r="A9176" s="1" t="str">
        <f>"KLF11"</f>
        <v>KLF11</v>
      </c>
      <c r="B9176" t="s">
        <v>14</v>
      </c>
      <c r="C9176" t="s">
        <v>26</v>
      </c>
      <c r="D9176" t="s">
        <v>17</v>
      </c>
      <c r="E9176" t="s">
        <v>12</v>
      </c>
      <c r="F9176">
        <v>10183651</v>
      </c>
      <c r="G9176">
        <v>10183713</v>
      </c>
      <c r="H9176">
        <v>10184402</v>
      </c>
      <c r="I9176">
        <v>10184445</v>
      </c>
    </row>
    <row r="9177" spans="1:9" x14ac:dyDescent="0.2">
      <c r="A9177" s="1" t="str">
        <f>"KLF12"</f>
        <v>KLF12</v>
      </c>
      <c r="B9177" t="s">
        <v>14</v>
      </c>
      <c r="C9177" t="s">
        <v>39</v>
      </c>
      <c r="D9177" t="s">
        <v>11</v>
      </c>
      <c r="E9177" t="s">
        <v>12</v>
      </c>
      <c r="F9177">
        <v>74708504</v>
      </c>
      <c r="G9177">
        <v>74708549</v>
      </c>
      <c r="H9177">
        <v>74708029</v>
      </c>
      <c r="I9177">
        <v>74708077</v>
      </c>
    </row>
    <row r="9178" spans="1:9" x14ac:dyDescent="0.2">
      <c r="A9178" s="1" t="str">
        <f>"KLF13"</f>
        <v>KLF13</v>
      </c>
      <c r="B9178" t="s">
        <v>14</v>
      </c>
      <c r="C9178" t="s">
        <v>25</v>
      </c>
      <c r="D9178" t="s">
        <v>17</v>
      </c>
      <c r="E9178" t="s">
        <v>12</v>
      </c>
      <c r="F9178">
        <v>31619013</v>
      </c>
      <c r="G9178">
        <v>31619095</v>
      </c>
      <c r="H9178">
        <v>31619326</v>
      </c>
      <c r="I9178">
        <v>31619390</v>
      </c>
    </row>
    <row r="9179" spans="1:9" x14ac:dyDescent="0.2">
      <c r="A9179" s="1" t="str">
        <f>"KLF14"</f>
        <v>KLF14</v>
      </c>
      <c r="B9179" t="s">
        <v>14</v>
      </c>
      <c r="C9179" t="s">
        <v>33</v>
      </c>
      <c r="D9179" t="s">
        <v>11</v>
      </c>
      <c r="E9179" t="s">
        <v>12</v>
      </c>
      <c r="F9179">
        <v>130418923</v>
      </c>
      <c r="G9179">
        <v>130418960</v>
      </c>
      <c r="H9179">
        <v>130418923</v>
      </c>
      <c r="I9179">
        <v>130418960</v>
      </c>
    </row>
    <row r="9180" spans="1:9" x14ac:dyDescent="0.2">
      <c r="A9180" s="1" t="str">
        <f>"KLF15"</f>
        <v>KLF15</v>
      </c>
      <c r="B9180" t="s">
        <v>14</v>
      </c>
      <c r="C9180" t="s">
        <v>22</v>
      </c>
      <c r="D9180" t="s">
        <v>11</v>
      </c>
      <c r="E9180" t="s">
        <v>12</v>
      </c>
      <c r="F9180">
        <v>126076242</v>
      </c>
      <c r="G9180">
        <v>126076257</v>
      </c>
      <c r="H9180">
        <v>126076264</v>
      </c>
      <c r="I9180">
        <v>126076305</v>
      </c>
    </row>
    <row r="9181" spans="1:9" x14ac:dyDescent="0.2">
      <c r="A9181" s="1" t="str">
        <f>"KLF16"</f>
        <v>KLF16</v>
      </c>
      <c r="B9181" t="s">
        <v>14</v>
      </c>
      <c r="C9181" t="s">
        <v>10</v>
      </c>
      <c r="D9181" t="s">
        <v>11</v>
      </c>
      <c r="E9181" t="s">
        <v>12</v>
      </c>
      <c r="F9181">
        <v>1863568</v>
      </c>
      <c r="G9181">
        <v>1863586</v>
      </c>
      <c r="H9181">
        <v>1863591</v>
      </c>
      <c r="I9181">
        <v>1863611</v>
      </c>
    </row>
    <row r="9182" spans="1:9" x14ac:dyDescent="0.2">
      <c r="A9182" s="1" t="str">
        <f>"KLF17"</f>
        <v>KLF17</v>
      </c>
      <c r="B9182" t="s">
        <v>688</v>
      </c>
      <c r="C9182" t="s">
        <v>19</v>
      </c>
      <c r="D9182" t="s">
        <v>17</v>
      </c>
      <c r="E9182" t="s">
        <v>35</v>
      </c>
      <c r="F9182">
        <v>44584485</v>
      </c>
      <c r="G9182">
        <v>44584512</v>
      </c>
      <c r="H9182">
        <v>44584662</v>
      </c>
      <c r="I9182">
        <v>44584663</v>
      </c>
    </row>
    <row r="9183" spans="1:9" x14ac:dyDescent="0.2">
      <c r="A9183" s="1" t="str">
        <f>"KLF2"</f>
        <v>KLF2</v>
      </c>
      <c r="B9183" t="s">
        <v>14</v>
      </c>
      <c r="C9183" t="s">
        <v>10</v>
      </c>
      <c r="D9183" t="s">
        <v>17</v>
      </c>
      <c r="E9183" t="s">
        <v>12</v>
      </c>
      <c r="F9183">
        <v>16435625</v>
      </c>
      <c r="G9183">
        <v>16435682</v>
      </c>
      <c r="H9183">
        <v>16435523</v>
      </c>
      <c r="I9183">
        <v>16435619</v>
      </c>
    </row>
    <row r="9184" spans="1:9" x14ac:dyDescent="0.2">
      <c r="A9184" s="1" t="str">
        <f>"KLF3"</f>
        <v>KLF3</v>
      </c>
      <c r="B9184" t="s">
        <v>14</v>
      </c>
      <c r="C9184" t="s">
        <v>23</v>
      </c>
      <c r="D9184" t="s">
        <v>17</v>
      </c>
      <c r="E9184" t="s">
        <v>12</v>
      </c>
      <c r="F9184">
        <v>38665810</v>
      </c>
      <c r="G9184">
        <v>38665827</v>
      </c>
      <c r="H9184">
        <v>38665769</v>
      </c>
      <c r="I9184">
        <v>38665801</v>
      </c>
    </row>
    <row r="9185" spans="1:9" x14ac:dyDescent="0.2">
      <c r="A9185" s="1" t="str">
        <f>"KLF4"</f>
        <v>KLF4</v>
      </c>
      <c r="B9185" t="s">
        <v>9</v>
      </c>
      <c r="C9185" t="s">
        <v>24</v>
      </c>
      <c r="D9185" t="s">
        <v>11</v>
      </c>
      <c r="E9185" t="s">
        <v>12</v>
      </c>
      <c r="F9185">
        <v>110252035</v>
      </c>
      <c r="G9185">
        <v>110252057</v>
      </c>
      <c r="H9185">
        <v>110252035</v>
      </c>
      <c r="I9185">
        <v>110252057</v>
      </c>
    </row>
    <row r="9186" spans="1:9" x14ac:dyDescent="0.2">
      <c r="A9186" s="1" t="str">
        <f>"KLF4"</f>
        <v>KLF4</v>
      </c>
      <c r="B9186" t="s">
        <v>13</v>
      </c>
      <c r="C9186" t="s">
        <v>24</v>
      </c>
      <c r="D9186" t="s">
        <v>11</v>
      </c>
      <c r="E9186" t="s">
        <v>12</v>
      </c>
      <c r="F9186">
        <v>110250697</v>
      </c>
      <c r="G9186">
        <v>110250738</v>
      </c>
      <c r="H9186">
        <v>110250697</v>
      </c>
      <c r="I9186">
        <v>110250738</v>
      </c>
    </row>
    <row r="9187" spans="1:9" x14ac:dyDescent="0.2">
      <c r="A9187" s="1" t="str">
        <f>"KLF5"</f>
        <v>KLF5</v>
      </c>
      <c r="B9187" t="s">
        <v>14</v>
      </c>
      <c r="C9187" t="s">
        <v>39</v>
      </c>
      <c r="D9187" t="s">
        <v>17</v>
      </c>
      <c r="E9187" t="s">
        <v>12</v>
      </c>
      <c r="F9187">
        <v>73633131</v>
      </c>
      <c r="G9187">
        <v>73633149</v>
      </c>
      <c r="H9187">
        <v>73633131</v>
      </c>
      <c r="I9187">
        <v>73633149</v>
      </c>
    </row>
    <row r="9188" spans="1:9" x14ac:dyDescent="0.2">
      <c r="A9188" s="1" t="str">
        <f>"KLF6"</f>
        <v>KLF6</v>
      </c>
      <c r="B9188" t="s">
        <v>14</v>
      </c>
      <c r="C9188" t="s">
        <v>15</v>
      </c>
      <c r="D9188" t="s">
        <v>11</v>
      </c>
      <c r="E9188" t="s">
        <v>12</v>
      </c>
      <c r="F9188">
        <v>3827389</v>
      </c>
      <c r="G9188">
        <v>3827408</v>
      </c>
      <c r="H9188">
        <v>3827371</v>
      </c>
      <c r="I9188">
        <v>3827386</v>
      </c>
    </row>
    <row r="9189" spans="1:9" x14ac:dyDescent="0.2">
      <c r="A9189" s="1" t="str">
        <f>"KLF7"</f>
        <v>KLF7</v>
      </c>
      <c r="B9189" t="s">
        <v>14</v>
      </c>
      <c r="C9189" t="s">
        <v>26</v>
      </c>
      <c r="D9189" t="s">
        <v>11</v>
      </c>
      <c r="E9189" t="s">
        <v>12</v>
      </c>
      <c r="F9189">
        <v>208030647</v>
      </c>
      <c r="G9189">
        <v>208030689</v>
      </c>
      <c r="H9189">
        <v>208031542</v>
      </c>
      <c r="I9189">
        <v>208031595</v>
      </c>
    </row>
    <row r="9190" spans="1:9" x14ac:dyDescent="0.2">
      <c r="A9190" s="1" t="str">
        <f>"KLF8"</f>
        <v>KLF8</v>
      </c>
      <c r="B9190" t="s">
        <v>14</v>
      </c>
      <c r="C9190" t="s">
        <v>37</v>
      </c>
      <c r="D9190" t="s">
        <v>17</v>
      </c>
      <c r="E9190" t="s">
        <v>12</v>
      </c>
      <c r="F9190">
        <v>56258844</v>
      </c>
      <c r="G9190">
        <v>56258882</v>
      </c>
      <c r="H9190">
        <v>56258811</v>
      </c>
      <c r="I9190">
        <v>56258838</v>
      </c>
    </row>
    <row r="9191" spans="1:9" x14ac:dyDescent="0.2">
      <c r="A9191" s="1" t="str">
        <f>"KLF9"</f>
        <v>KLF9</v>
      </c>
      <c r="B9191" t="s">
        <v>14</v>
      </c>
      <c r="C9191" t="s">
        <v>24</v>
      </c>
      <c r="D9191" t="s">
        <v>11</v>
      </c>
      <c r="E9191" t="s">
        <v>12</v>
      </c>
      <c r="F9191">
        <v>73028814</v>
      </c>
      <c r="G9191">
        <v>73028895</v>
      </c>
      <c r="H9191">
        <v>73029219</v>
      </c>
      <c r="I9191">
        <v>73029289</v>
      </c>
    </row>
    <row r="9192" spans="1:9" x14ac:dyDescent="0.2">
      <c r="A9192" s="1" t="str">
        <f>"KLHDC1"</f>
        <v>KLHDC1</v>
      </c>
      <c r="B9192" t="s">
        <v>14</v>
      </c>
      <c r="C9192" t="s">
        <v>41</v>
      </c>
      <c r="D9192" t="s">
        <v>17</v>
      </c>
      <c r="E9192" t="s">
        <v>12</v>
      </c>
      <c r="F9192">
        <v>50159813</v>
      </c>
      <c r="G9192">
        <v>50159853</v>
      </c>
      <c r="H9192">
        <v>50159858</v>
      </c>
      <c r="I9192">
        <v>50159893</v>
      </c>
    </row>
    <row r="9193" spans="1:9" x14ac:dyDescent="0.2">
      <c r="A9193" s="1" t="str">
        <f>"KLHDC10"</f>
        <v>KLHDC10</v>
      </c>
      <c r="B9193" t="s">
        <v>14</v>
      </c>
      <c r="C9193" t="s">
        <v>33</v>
      </c>
      <c r="D9193" t="s">
        <v>17</v>
      </c>
      <c r="E9193" t="s">
        <v>12</v>
      </c>
      <c r="F9193">
        <v>129710358</v>
      </c>
      <c r="G9193">
        <v>129710434</v>
      </c>
      <c r="H9193">
        <v>129710594</v>
      </c>
      <c r="I9193">
        <v>129710610</v>
      </c>
    </row>
    <row r="9194" spans="1:9" x14ac:dyDescent="0.2">
      <c r="A9194" s="1" t="str">
        <f>"KLHDC2"</f>
        <v>KLHDC2</v>
      </c>
      <c r="B9194" t="s">
        <v>14</v>
      </c>
      <c r="C9194" t="s">
        <v>41</v>
      </c>
      <c r="D9194" t="s">
        <v>17</v>
      </c>
      <c r="E9194" t="s">
        <v>12</v>
      </c>
      <c r="F9194">
        <v>50234827</v>
      </c>
      <c r="G9194">
        <v>50234882</v>
      </c>
      <c r="H9194">
        <v>50234370</v>
      </c>
      <c r="I9194">
        <v>50234434</v>
      </c>
    </row>
    <row r="9195" spans="1:9" x14ac:dyDescent="0.2">
      <c r="A9195" s="1" t="str">
        <f>"KLHDC3"</f>
        <v>KLHDC3</v>
      </c>
      <c r="B9195" t="s">
        <v>9</v>
      </c>
      <c r="C9195" t="s">
        <v>32</v>
      </c>
      <c r="D9195" t="s">
        <v>17</v>
      </c>
      <c r="E9195" t="s">
        <v>12</v>
      </c>
      <c r="F9195">
        <v>42981922</v>
      </c>
      <c r="G9195">
        <v>42982047</v>
      </c>
      <c r="H9195">
        <v>42981922</v>
      </c>
      <c r="I9195">
        <v>42982047</v>
      </c>
    </row>
    <row r="9196" spans="1:9" x14ac:dyDescent="0.2">
      <c r="A9196" s="1" t="str">
        <f>"KLHDC3"</f>
        <v>KLHDC3</v>
      </c>
      <c r="B9196" t="s">
        <v>13</v>
      </c>
      <c r="C9196" t="s">
        <v>32</v>
      </c>
      <c r="D9196" t="s">
        <v>17</v>
      </c>
      <c r="E9196" t="s">
        <v>12</v>
      </c>
      <c r="F9196">
        <v>42984898</v>
      </c>
      <c r="G9196">
        <v>42984909</v>
      </c>
      <c r="H9196">
        <v>42984898</v>
      </c>
      <c r="I9196">
        <v>42984909</v>
      </c>
    </row>
    <row r="9197" spans="1:9" x14ac:dyDescent="0.2">
      <c r="A9197" s="1" t="str">
        <f>"KLHDC4"</f>
        <v>KLHDC4</v>
      </c>
      <c r="B9197" t="s">
        <v>14</v>
      </c>
      <c r="C9197" t="s">
        <v>31</v>
      </c>
      <c r="D9197" t="s">
        <v>11</v>
      </c>
      <c r="E9197" t="s">
        <v>12</v>
      </c>
      <c r="F9197">
        <v>87799523</v>
      </c>
      <c r="G9197">
        <v>87799603</v>
      </c>
      <c r="H9197">
        <v>87799523</v>
      </c>
      <c r="I9197">
        <v>87799603</v>
      </c>
    </row>
    <row r="9198" spans="1:9" x14ac:dyDescent="0.2">
      <c r="A9198" s="1" t="str">
        <f>"KLHDC7A"</f>
        <v>KLHDC7A</v>
      </c>
      <c r="B9198" t="s">
        <v>14</v>
      </c>
      <c r="C9198" t="s">
        <v>19</v>
      </c>
      <c r="D9198" t="s">
        <v>17</v>
      </c>
      <c r="E9198" t="s">
        <v>12</v>
      </c>
      <c r="F9198">
        <v>18807498</v>
      </c>
      <c r="G9198">
        <v>18807518</v>
      </c>
      <c r="H9198">
        <v>18807428</v>
      </c>
      <c r="I9198">
        <v>18807451</v>
      </c>
    </row>
    <row r="9199" spans="1:9" x14ac:dyDescent="0.2">
      <c r="A9199" s="1" t="str">
        <f>"KLHDC7B"</f>
        <v>KLHDC7B</v>
      </c>
      <c r="B9199" t="s">
        <v>14</v>
      </c>
      <c r="C9199" t="s">
        <v>21</v>
      </c>
      <c r="D9199" t="s">
        <v>17</v>
      </c>
      <c r="E9199" t="s">
        <v>12</v>
      </c>
      <c r="F9199">
        <v>50986031</v>
      </c>
      <c r="G9199">
        <v>50986043</v>
      </c>
      <c r="H9199">
        <v>50986031</v>
      </c>
      <c r="I9199">
        <v>50986043</v>
      </c>
    </row>
    <row r="9200" spans="1:9" x14ac:dyDescent="0.2">
      <c r="A9200" s="1" t="str">
        <f>"KLHDC8A"</f>
        <v>KLHDC8A</v>
      </c>
      <c r="B9200" t="s">
        <v>14</v>
      </c>
      <c r="C9200" t="s">
        <v>19</v>
      </c>
      <c r="D9200" t="s">
        <v>11</v>
      </c>
      <c r="E9200" t="s">
        <v>12</v>
      </c>
      <c r="F9200">
        <v>205326022</v>
      </c>
      <c r="G9200">
        <v>205326074</v>
      </c>
      <c r="H9200">
        <v>205325850</v>
      </c>
      <c r="I9200">
        <v>205325870</v>
      </c>
    </row>
    <row r="9201" spans="1:9" x14ac:dyDescent="0.2">
      <c r="A9201" s="1" t="str">
        <f>"KLHDC8B"</f>
        <v>KLHDC8B</v>
      </c>
      <c r="B9201" t="s">
        <v>14</v>
      </c>
      <c r="C9201" t="s">
        <v>22</v>
      </c>
      <c r="D9201" t="s">
        <v>17</v>
      </c>
      <c r="E9201" t="s">
        <v>12</v>
      </c>
      <c r="F9201">
        <v>49209023</v>
      </c>
      <c r="G9201">
        <v>49209063</v>
      </c>
      <c r="H9201">
        <v>49209005</v>
      </c>
      <c r="I9201">
        <v>49209019</v>
      </c>
    </row>
    <row r="9202" spans="1:9" x14ac:dyDescent="0.2">
      <c r="A9202" s="1" t="str">
        <f>"KLHDC9"</f>
        <v>KLHDC9</v>
      </c>
      <c r="B9202" t="s">
        <v>14</v>
      </c>
      <c r="C9202" t="s">
        <v>19</v>
      </c>
      <c r="D9202" t="s">
        <v>17</v>
      </c>
      <c r="E9202" t="s">
        <v>12</v>
      </c>
      <c r="F9202">
        <v>161068110</v>
      </c>
      <c r="G9202">
        <v>161068178</v>
      </c>
      <c r="H9202">
        <v>161068179</v>
      </c>
      <c r="I9202">
        <v>161068209</v>
      </c>
    </row>
    <row r="9203" spans="1:9" x14ac:dyDescent="0.2">
      <c r="A9203" s="1" t="str">
        <f>"KLHL1"</f>
        <v>KLHL1</v>
      </c>
      <c r="B9203" t="s">
        <v>14</v>
      </c>
      <c r="C9203" t="s">
        <v>39</v>
      </c>
      <c r="D9203" t="s">
        <v>11</v>
      </c>
      <c r="E9203" t="s">
        <v>12</v>
      </c>
      <c r="F9203">
        <v>70682573</v>
      </c>
      <c r="G9203">
        <v>70682589</v>
      </c>
      <c r="H9203">
        <v>70682553</v>
      </c>
      <c r="I9203">
        <v>70682568</v>
      </c>
    </row>
    <row r="9204" spans="1:9" x14ac:dyDescent="0.2">
      <c r="A9204" s="1" t="str">
        <f>"KLHL10"</f>
        <v>KLHL10</v>
      </c>
      <c r="B9204" t="s">
        <v>14</v>
      </c>
      <c r="C9204" t="s">
        <v>28</v>
      </c>
      <c r="D9204" t="s">
        <v>17</v>
      </c>
      <c r="E9204" t="s">
        <v>12</v>
      </c>
      <c r="F9204">
        <v>39994071</v>
      </c>
      <c r="G9204">
        <v>39994092</v>
      </c>
      <c r="H9204">
        <v>39994106</v>
      </c>
      <c r="I9204">
        <v>39994111</v>
      </c>
    </row>
    <row r="9205" spans="1:9" x14ac:dyDescent="0.2">
      <c r="A9205" s="1" t="str">
        <f>"KLHL11"</f>
        <v>KLHL11</v>
      </c>
      <c r="B9205" t="s">
        <v>14</v>
      </c>
      <c r="C9205" t="s">
        <v>28</v>
      </c>
      <c r="D9205" t="s">
        <v>11</v>
      </c>
      <c r="E9205" t="s">
        <v>12</v>
      </c>
      <c r="F9205">
        <v>40021656</v>
      </c>
      <c r="G9205">
        <v>40021683</v>
      </c>
      <c r="H9205">
        <v>40021621</v>
      </c>
      <c r="I9205">
        <v>40021654</v>
      </c>
    </row>
    <row r="9206" spans="1:9" x14ac:dyDescent="0.2">
      <c r="A9206" s="1" t="str">
        <f>"KLHL12"</f>
        <v>KLHL12</v>
      </c>
      <c r="B9206" t="s">
        <v>14</v>
      </c>
      <c r="C9206" t="s">
        <v>19</v>
      </c>
      <c r="D9206" t="s">
        <v>11</v>
      </c>
      <c r="E9206" t="s">
        <v>12</v>
      </c>
      <c r="F9206">
        <v>202896310</v>
      </c>
      <c r="G9206">
        <v>202896406</v>
      </c>
      <c r="H9206">
        <v>202896271</v>
      </c>
      <c r="I9206">
        <v>202896282</v>
      </c>
    </row>
    <row r="9207" spans="1:9" x14ac:dyDescent="0.2">
      <c r="A9207" s="1" t="str">
        <f>"KLHL13"</f>
        <v>KLHL13</v>
      </c>
      <c r="B9207" t="s">
        <v>14</v>
      </c>
      <c r="C9207" t="s">
        <v>37</v>
      </c>
      <c r="D9207" t="s">
        <v>11</v>
      </c>
      <c r="E9207" t="s">
        <v>12</v>
      </c>
      <c r="F9207">
        <v>117250740</v>
      </c>
      <c r="G9207">
        <v>117250792</v>
      </c>
      <c r="H9207">
        <v>117250723</v>
      </c>
      <c r="I9207">
        <v>117250739</v>
      </c>
    </row>
    <row r="9208" spans="1:9" x14ac:dyDescent="0.2">
      <c r="A9208" s="1" t="str">
        <f>"KLHL14"</f>
        <v>KLHL14</v>
      </c>
      <c r="B9208" t="s">
        <v>14</v>
      </c>
      <c r="C9208" t="s">
        <v>43</v>
      </c>
      <c r="D9208" t="s">
        <v>11</v>
      </c>
      <c r="E9208" t="s">
        <v>12</v>
      </c>
      <c r="F9208">
        <v>30350270</v>
      </c>
      <c r="G9208">
        <v>30350285</v>
      </c>
      <c r="H9208">
        <v>30350293</v>
      </c>
      <c r="I9208">
        <v>30350305</v>
      </c>
    </row>
    <row r="9209" spans="1:9" x14ac:dyDescent="0.2">
      <c r="A9209" s="1" t="str">
        <f>"KLHL15"</f>
        <v>KLHL15</v>
      </c>
      <c r="B9209" t="s">
        <v>689</v>
      </c>
      <c r="C9209" t="s">
        <v>37</v>
      </c>
      <c r="D9209" t="s">
        <v>11</v>
      </c>
      <c r="E9209" t="s">
        <v>20</v>
      </c>
      <c r="F9209">
        <v>24045302</v>
      </c>
      <c r="G9209">
        <v>24045302</v>
      </c>
      <c r="H9209">
        <v>24045302</v>
      </c>
      <c r="I9209">
        <v>24045302</v>
      </c>
    </row>
    <row r="9210" spans="1:9" x14ac:dyDescent="0.2">
      <c r="A9210" s="1" t="str">
        <f>"KLHL17"</f>
        <v>KLHL17</v>
      </c>
      <c r="B9210" t="s">
        <v>14</v>
      </c>
      <c r="C9210" t="s">
        <v>19</v>
      </c>
      <c r="D9210" t="s">
        <v>17</v>
      </c>
      <c r="E9210" t="s">
        <v>12</v>
      </c>
      <c r="F9210">
        <v>895930</v>
      </c>
      <c r="G9210">
        <v>896033</v>
      </c>
      <c r="H9210">
        <v>896043</v>
      </c>
      <c r="I9210">
        <v>896052</v>
      </c>
    </row>
    <row r="9211" spans="1:9" x14ac:dyDescent="0.2">
      <c r="A9211" s="1" t="str">
        <f>"KLHL18"</f>
        <v>KLHL18</v>
      </c>
      <c r="B9211" t="s">
        <v>14</v>
      </c>
      <c r="C9211" t="s">
        <v>22</v>
      </c>
      <c r="D9211" t="s">
        <v>17</v>
      </c>
      <c r="E9211" t="s">
        <v>12</v>
      </c>
      <c r="F9211">
        <v>47324424</v>
      </c>
      <c r="G9211">
        <v>47324447</v>
      </c>
      <c r="H9211">
        <v>47324112</v>
      </c>
      <c r="I9211">
        <v>47324177</v>
      </c>
    </row>
    <row r="9212" spans="1:9" x14ac:dyDescent="0.2">
      <c r="A9212" s="1" t="str">
        <f>"KLHL2"</f>
        <v>KLHL2</v>
      </c>
      <c r="B9212" t="s">
        <v>14</v>
      </c>
      <c r="C9212" t="s">
        <v>23</v>
      </c>
      <c r="D9212" t="s">
        <v>17</v>
      </c>
      <c r="E9212" t="s">
        <v>12</v>
      </c>
      <c r="F9212">
        <v>166128735</v>
      </c>
      <c r="G9212">
        <v>166128813</v>
      </c>
      <c r="H9212">
        <v>166128818</v>
      </c>
      <c r="I9212">
        <v>166128835</v>
      </c>
    </row>
    <row r="9213" spans="1:9" x14ac:dyDescent="0.2">
      <c r="A9213" s="1" t="str">
        <f>"KLHL20"</f>
        <v>KLHL20</v>
      </c>
      <c r="B9213" t="s">
        <v>14</v>
      </c>
      <c r="C9213" t="s">
        <v>19</v>
      </c>
      <c r="D9213" t="s">
        <v>17</v>
      </c>
      <c r="E9213" t="s">
        <v>12</v>
      </c>
      <c r="F9213">
        <v>173684047</v>
      </c>
      <c r="G9213">
        <v>173684136</v>
      </c>
      <c r="H9213">
        <v>173684171</v>
      </c>
      <c r="I9213">
        <v>173684182</v>
      </c>
    </row>
    <row r="9214" spans="1:9" x14ac:dyDescent="0.2">
      <c r="A9214" s="1" t="str">
        <f>"KLHL21"</f>
        <v>KLHL21</v>
      </c>
      <c r="B9214" t="s">
        <v>14</v>
      </c>
      <c r="C9214" t="s">
        <v>19</v>
      </c>
      <c r="D9214" t="s">
        <v>11</v>
      </c>
      <c r="E9214" t="s">
        <v>12</v>
      </c>
      <c r="F9214">
        <v>6662919</v>
      </c>
      <c r="G9214">
        <v>6662936</v>
      </c>
      <c r="H9214">
        <v>6662654</v>
      </c>
      <c r="I9214">
        <v>6662726</v>
      </c>
    </row>
    <row r="9215" spans="1:9" x14ac:dyDescent="0.2">
      <c r="A9215" s="1" t="str">
        <f>"KLHL22"</f>
        <v>KLHL22</v>
      </c>
      <c r="B9215" t="s">
        <v>14</v>
      </c>
      <c r="C9215" t="s">
        <v>21</v>
      </c>
      <c r="D9215" t="s">
        <v>11</v>
      </c>
      <c r="E9215" t="s">
        <v>12</v>
      </c>
      <c r="F9215">
        <v>20850070</v>
      </c>
      <c r="G9215">
        <v>20850115</v>
      </c>
      <c r="H9215">
        <v>20850128</v>
      </c>
      <c r="I9215">
        <v>20850162</v>
      </c>
    </row>
    <row r="9216" spans="1:9" x14ac:dyDescent="0.2">
      <c r="A9216" s="1" t="str">
        <f>"KLHL23"</f>
        <v>KLHL23</v>
      </c>
      <c r="B9216" t="s">
        <v>9</v>
      </c>
      <c r="C9216" t="s">
        <v>26</v>
      </c>
      <c r="D9216" t="s">
        <v>17</v>
      </c>
      <c r="E9216" t="s">
        <v>12</v>
      </c>
      <c r="F9216">
        <v>170550944</v>
      </c>
      <c r="G9216">
        <v>170551040</v>
      </c>
      <c r="H9216">
        <v>170550944</v>
      </c>
      <c r="I9216">
        <v>170551040</v>
      </c>
    </row>
    <row r="9217" spans="1:9" x14ac:dyDescent="0.2">
      <c r="A9217" s="1" t="str">
        <f>"KLHL23"</f>
        <v>KLHL23</v>
      </c>
      <c r="B9217" t="s">
        <v>13</v>
      </c>
      <c r="C9217" t="s">
        <v>26</v>
      </c>
      <c r="D9217" t="s">
        <v>17</v>
      </c>
      <c r="E9217" t="s">
        <v>12</v>
      </c>
      <c r="F9217">
        <v>170590321</v>
      </c>
      <c r="G9217">
        <v>170590408</v>
      </c>
      <c r="H9217">
        <v>170590321</v>
      </c>
      <c r="I9217">
        <v>170590408</v>
      </c>
    </row>
    <row r="9218" spans="1:9" x14ac:dyDescent="0.2">
      <c r="A9218" s="1" t="str">
        <f>"KLHL24"</f>
        <v>KLHL24</v>
      </c>
      <c r="B9218" t="s">
        <v>14</v>
      </c>
      <c r="C9218" t="s">
        <v>22</v>
      </c>
      <c r="D9218" t="s">
        <v>17</v>
      </c>
      <c r="E9218" t="s">
        <v>12</v>
      </c>
      <c r="F9218">
        <v>183353400</v>
      </c>
      <c r="G9218">
        <v>183353450</v>
      </c>
      <c r="H9218">
        <v>183353452</v>
      </c>
      <c r="I9218">
        <v>183353467</v>
      </c>
    </row>
    <row r="9219" spans="1:9" x14ac:dyDescent="0.2">
      <c r="A9219" s="1" t="str">
        <f>"KLHL25"</f>
        <v>KLHL25</v>
      </c>
      <c r="B9219" t="s">
        <v>14</v>
      </c>
      <c r="C9219" t="s">
        <v>25</v>
      </c>
      <c r="D9219" t="s">
        <v>11</v>
      </c>
      <c r="E9219" t="s">
        <v>12</v>
      </c>
      <c r="F9219">
        <v>86338134</v>
      </c>
      <c r="G9219">
        <v>86338163</v>
      </c>
      <c r="H9219">
        <v>86338110</v>
      </c>
      <c r="I9219">
        <v>86338132</v>
      </c>
    </row>
    <row r="9220" spans="1:9" x14ac:dyDescent="0.2">
      <c r="A9220" s="1" t="str">
        <f>"KLHL26"</f>
        <v>KLHL26</v>
      </c>
      <c r="B9220" t="s">
        <v>14</v>
      </c>
      <c r="C9220" t="s">
        <v>10</v>
      </c>
      <c r="D9220" t="s">
        <v>17</v>
      </c>
      <c r="E9220" t="s">
        <v>12</v>
      </c>
      <c r="F9220">
        <v>18747828</v>
      </c>
      <c r="G9220">
        <v>18747844</v>
      </c>
      <c r="H9220">
        <v>18747855</v>
      </c>
      <c r="I9220">
        <v>18747866</v>
      </c>
    </row>
    <row r="9221" spans="1:9" x14ac:dyDescent="0.2">
      <c r="A9221" s="1" t="str">
        <f>"KLHL28"</f>
        <v>KLHL28</v>
      </c>
      <c r="B9221" t="s">
        <v>14</v>
      </c>
      <c r="C9221" t="s">
        <v>41</v>
      </c>
      <c r="D9221" t="s">
        <v>11</v>
      </c>
      <c r="E9221" t="s">
        <v>12</v>
      </c>
      <c r="F9221">
        <v>45431091</v>
      </c>
      <c r="G9221">
        <v>45431175</v>
      </c>
      <c r="H9221">
        <v>45431091</v>
      </c>
      <c r="I9221">
        <v>45431175</v>
      </c>
    </row>
    <row r="9222" spans="1:9" x14ac:dyDescent="0.2">
      <c r="A9222" s="1" t="str">
        <f>"KLHL29"</f>
        <v>KLHL29</v>
      </c>
      <c r="B9222" t="s">
        <v>14</v>
      </c>
      <c r="C9222" t="s">
        <v>26</v>
      </c>
      <c r="D9222" t="s">
        <v>17</v>
      </c>
      <c r="E9222" t="s">
        <v>12</v>
      </c>
      <c r="F9222">
        <v>23608041</v>
      </c>
      <c r="G9222">
        <v>23608057</v>
      </c>
      <c r="H9222">
        <v>23608064</v>
      </c>
      <c r="I9222">
        <v>23608081</v>
      </c>
    </row>
    <row r="9223" spans="1:9" x14ac:dyDescent="0.2">
      <c r="A9223" s="1" t="str">
        <f>"KLHL3"</f>
        <v>KLHL3</v>
      </c>
      <c r="B9223" t="s">
        <v>14</v>
      </c>
      <c r="C9223" t="s">
        <v>46</v>
      </c>
      <c r="D9223" t="s">
        <v>11</v>
      </c>
      <c r="E9223" t="s">
        <v>12</v>
      </c>
      <c r="F9223">
        <v>137071756</v>
      </c>
      <c r="G9223">
        <v>137071788</v>
      </c>
      <c r="H9223">
        <v>137071512</v>
      </c>
      <c r="I9223">
        <v>137071564</v>
      </c>
    </row>
    <row r="9224" spans="1:9" x14ac:dyDescent="0.2">
      <c r="A9224" s="1" t="str">
        <f>"KLHL30"</f>
        <v>KLHL30</v>
      </c>
      <c r="B9224" t="s">
        <v>14</v>
      </c>
      <c r="C9224" t="s">
        <v>26</v>
      </c>
      <c r="D9224" t="s">
        <v>17</v>
      </c>
      <c r="E9224" t="s">
        <v>12</v>
      </c>
      <c r="F9224">
        <v>239047304</v>
      </c>
      <c r="G9224">
        <v>239047335</v>
      </c>
      <c r="H9224">
        <v>239047337</v>
      </c>
      <c r="I9224">
        <v>239047362</v>
      </c>
    </row>
    <row r="9225" spans="1:9" x14ac:dyDescent="0.2">
      <c r="A9225" s="1" t="str">
        <f>"KLHL31"</f>
        <v>KLHL31</v>
      </c>
      <c r="B9225" t="s">
        <v>14</v>
      </c>
      <c r="C9225" t="s">
        <v>32</v>
      </c>
      <c r="D9225" t="s">
        <v>11</v>
      </c>
      <c r="E9225" t="s">
        <v>12</v>
      </c>
      <c r="F9225">
        <v>53530546</v>
      </c>
      <c r="G9225">
        <v>53530564</v>
      </c>
      <c r="H9225">
        <v>53530518</v>
      </c>
      <c r="I9225">
        <v>53530543</v>
      </c>
    </row>
    <row r="9226" spans="1:9" x14ac:dyDescent="0.2">
      <c r="A9226" s="1" t="str">
        <f>"KLHL32"</f>
        <v>KLHL32</v>
      </c>
      <c r="B9226" t="s">
        <v>14</v>
      </c>
      <c r="C9226" t="s">
        <v>32</v>
      </c>
      <c r="D9226" t="s">
        <v>17</v>
      </c>
      <c r="E9226" t="s">
        <v>12</v>
      </c>
      <c r="F9226">
        <v>97372596</v>
      </c>
      <c r="G9226">
        <v>97372644</v>
      </c>
      <c r="H9226">
        <v>97372693</v>
      </c>
      <c r="I9226">
        <v>97372714</v>
      </c>
    </row>
    <row r="9227" spans="1:9" x14ac:dyDescent="0.2">
      <c r="A9227" s="1" t="str">
        <f>"KLHL33"</f>
        <v>KLHL33</v>
      </c>
      <c r="B9227" t="s">
        <v>14</v>
      </c>
      <c r="C9227" t="s">
        <v>41</v>
      </c>
      <c r="D9227" t="s">
        <v>11</v>
      </c>
      <c r="E9227" t="s">
        <v>12</v>
      </c>
      <c r="F9227">
        <v>20903833</v>
      </c>
      <c r="G9227">
        <v>20903868</v>
      </c>
      <c r="H9227">
        <v>20903833</v>
      </c>
      <c r="I9227">
        <v>20903868</v>
      </c>
    </row>
    <row r="9228" spans="1:9" x14ac:dyDescent="0.2">
      <c r="A9228" s="1" t="str">
        <f>"KLHL34"</f>
        <v>KLHL34</v>
      </c>
      <c r="B9228" t="s">
        <v>14</v>
      </c>
      <c r="C9228" t="s">
        <v>37</v>
      </c>
      <c r="D9228" t="s">
        <v>11</v>
      </c>
      <c r="E9228" t="s">
        <v>12</v>
      </c>
      <c r="F9228">
        <v>21676442</v>
      </c>
      <c r="G9228">
        <v>21676453</v>
      </c>
      <c r="H9228">
        <v>21676379</v>
      </c>
      <c r="I9228">
        <v>21676390</v>
      </c>
    </row>
    <row r="9229" spans="1:9" x14ac:dyDescent="0.2">
      <c r="A9229" s="1" t="str">
        <f>"KLHL35"</f>
        <v>KLHL35</v>
      </c>
      <c r="B9229" t="s">
        <v>14</v>
      </c>
      <c r="C9229" t="s">
        <v>27</v>
      </c>
      <c r="D9229" t="s">
        <v>11</v>
      </c>
      <c r="E9229" t="s">
        <v>12</v>
      </c>
      <c r="F9229">
        <v>75141206</v>
      </c>
      <c r="G9229">
        <v>75141251</v>
      </c>
      <c r="H9229">
        <v>75140914</v>
      </c>
      <c r="I9229">
        <v>75140942</v>
      </c>
    </row>
    <row r="9230" spans="1:9" x14ac:dyDescent="0.2">
      <c r="A9230" s="1" t="str">
        <f>"KLHL36"</f>
        <v>KLHL36</v>
      </c>
      <c r="B9230" t="s">
        <v>9</v>
      </c>
      <c r="C9230" t="s">
        <v>31</v>
      </c>
      <c r="D9230" t="s">
        <v>17</v>
      </c>
      <c r="E9230" t="s">
        <v>12</v>
      </c>
      <c r="F9230">
        <v>84682108</v>
      </c>
      <c r="G9230">
        <v>84682143</v>
      </c>
      <c r="H9230">
        <v>84682108</v>
      </c>
      <c r="I9230">
        <v>84682143</v>
      </c>
    </row>
    <row r="9231" spans="1:9" x14ac:dyDescent="0.2">
      <c r="A9231" s="1" t="str">
        <f>"KLHL36"</f>
        <v>KLHL36</v>
      </c>
      <c r="B9231" t="s">
        <v>13</v>
      </c>
      <c r="C9231" t="s">
        <v>31</v>
      </c>
      <c r="D9231" t="s">
        <v>17</v>
      </c>
      <c r="E9231" t="s">
        <v>12</v>
      </c>
      <c r="F9231">
        <v>84691446</v>
      </c>
      <c r="G9231">
        <v>84691451</v>
      </c>
      <c r="H9231">
        <v>84691446</v>
      </c>
      <c r="I9231">
        <v>84691451</v>
      </c>
    </row>
    <row r="9232" spans="1:9" x14ac:dyDescent="0.2">
      <c r="A9232" s="1" t="str">
        <f>"KLHL38"</f>
        <v>KLHL38</v>
      </c>
      <c r="B9232" t="s">
        <v>14</v>
      </c>
      <c r="C9232" t="s">
        <v>30</v>
      </c>
      <c r="D9232" t="s">
        <v>11</v>
      </c>
      <c r="E9232" t="s">
        <v>12</v>
      </c>
      <c r="F9232">
        <v>124665313</v>
      </c>
      <c r="G9232">
        <v>124665319</v>
      </c>
      <c r="H9232">
        <v>124665313</v>
      </c>
      <c r="I9232">
        <v>124665319</v>
      </c>
    </row>
    <row r="9233" spans="1:9" x14ac:dyDescent="0.2">
      <c r="A9233" s="1" t="str">
        <f>"KLHL4"</f>
        <v>KLHL4</v>
      </c>
      <c r="B9233" t="s">
        <v>14</v>
      </c>
      <c r="C9233" t="s">
        <v>37</v>
      </c>
      <c r="D9233" t="s">
        <v>17</v>
      </c>
      <c r="E9233" t="s">
        <v>12</v>
      </c>
      <c r="F9233">
        <v>86772787</v>
      </c>
      <c r="G9233">
        <v>86772813</v>
      </c>
      <c r="H9233">
        <v>86772859</v>
      </c>
      <c r="I9233">
        <v>86772875</v>
      </c>
    </row>
    <row r="9234" spans="1:9" x14ac:dyDescent="0.2">
      <c r="A9234" s="1" t="str">
        <f>"KLHL40"</f>
        <v>KLHL40</v>
      </c>
      <c r="B9234" t="s">
        <v>14</v>
      </c>
      <c r="C9234" t="s">
        <v>22</v>
      </c>
      <c r="D9234" t="s">
        <v>17</v>
      </c>
      <c r="E9234" t="s">
        <v>12</v>
      </c>
      <c r="F9234">
        <v>42727027</v>
      </c>
      <c r="G9234">
        <v>42727034</v>
      </c>
      <c r="H9234">
        <v>42726912</v>
      </c>
      <c r="I9234">
        <v>42726940</v>
      </c>
    </row>
    <row r="9235" spans="1:9" x14ac:dyDescent="0.2">
      <c r="A9235" s="1" t="str">
        <f>"KLHL41"</f>
        <v>KLHL41</v>
      </c>
      <c r="B9235" t="s">
        <v>14</v>
      </c>
      <c r="C9235" t="s">
        <v>26</v>
      </c>
      <c r="D9235" t="s">
        <v>17</v>
      </c>
      <c r="E9235" t="s">
        <v>12</v>
      </c>
      <c r="F9235">
        <v>170366203</v>
      </c>
      <c r="G9235">
        <v>170366225</v>
      </c>
      <c r="H9235">
        <v>170366203</v>
      </c>
      <c r="I9235">
        <v>170366225</v>
      </c>
    </row>
    <row r="9236" spans="1:9" x14ac:dyDescent="0.2">
      <c r="A9236" s="1" t="str">
        <f>"KLHL42"</f>
        <v>KLHL42</v>
      </c>
      <c r="B9236" t="s">
        <v>14</v>
      </c>
      <c r="C9236" t="s">
        <v>16</v>
      </c>
      <c r="D9236" t="s">
        <v>17</v>
      </c>
      <c r="E9236" t="s">
        <v>12</v>
      </c>
      <c r="F9236">
        <v>27933157</v>
      </c>
      <c r="G9236">
        <v>27933240</v>
      </c>
      <c r="H9236">
        <v>27933115</v>
      </c>
      <c r="I9236">
        <v>27933153</v>
      </c>
    </row>
    <row r="9237" spans="1:9" x14ac:dyDescent="0.2">
      <c r="A9237" s="1" t="str">
        <f>"KLHL5"</f>
        <v>KLHL5</v>
      </c>
      <c r="B9237" t="s">
        <v>14</v>
      </c>
      <c r="C9237" t="s">
        <v>23</v>
      </c>
      <c r="D9237" t="s">
        <v>17</v>
      </c>
      <c r="E9237" t="s">
        <v>12</v>
      </c>
      <c r="F9237">
        <v>39046399</v>
      </c>
      <c r="G9237">
        <v>39046478</v>
      </c>
      <c r="H9237">
        <v>39046480</v>
      </c>
      <c r="I9237">
        <v>39046562</v>
      </c>
    </row>
    <row r="9238" spans="1:9" x14ac:dyDescent="0.2">
      <c r="A9238" s="1" t="str">
        <f>"KLHL6"</f>
        <v>KLHL6</v>
      </c>
      <c r="B9238" t="s">
        <v>14</v>
      </c>
      <c r="C9238" t="s">
        <v>22</v>
      </c>
      <c r="D9238" t="s">
        <v>11</v>
      </c>
      <c r="E9238" t="s">
        <v>12</v>
      </c>
      <c r="F9238">
        <v>183273483</v>
      </c>
      <c r="G9238">
        <v>183273504</v>
      </c>
      <c r="H9238">
        <v>183273436</v>
      </c>
      <c r="I9238">
        <v>183273469</v>
      </c>
    </row>
    <row r="9239" spans="1:9" x14ac:dyDescent="0.2">
      <c r="A9239" s="1" t="str">
        <f>"KLHL7"</f>
        <v>KLHL7</v>
      </c>
      <c r="B9239" t="s">
        <v>14</v>
      </c>
      <c r="C9239" t="s">
        <v>33</v>
      </c>
      <c r="D9239" t="s">
        <v>17</v>
      </c>
      <c r="E9239" t="s">
        <v>12</v>
      </c>
      <c r="F9239">
        <v>23145366</v>
      </c>
      <c r="G9239">
        <v>23145443</v>
      </c>
      <c r="H9239">
        <v>23145474</v>
      </c>
      <c r="I9239">
        <v>23145492</v>
      </c>
    </row>
    <row r="9240" spans="1:9" x14ac:dyDescent="0.2">
      <c r="A9240" s="1" t="str">
        <f>"KLHL8"</f>
        <v>KLHL8</v>
      </c>
      <c r="B9240" t="s">
        <v>14</v>
      </c>
      <c r="C9240" t="s">
        <v>23</v>
      </c>
      <c r="D9240" t="s">
        <v>11</v>
      </c>
      <c r="E9240" t="s">
        <v>12</v>
      </c>
      <c r="F9240">
        <v>88141643</v>
      </c>
      <c r="G9240">
        <v>88141751</v>
      </c>
      <c r="H9240">
        <v>88141755</v>
      </c>
      <c r="I9240">
        <v>88141791</v>
      </c>
    </row>
    <row r="9241" spans="1:9" x14ac:dyDescent="0.2">
      <c r="A9241" s="1" t="str">
        <f>"KLHL9"</f>
        <v>KLHL9</v>
      </c>
      <c r="B9241" t="s">
        <v>14</v>
      </c>
      <c r="C9241" t="s">
        <v>24</v>
      </c>
      <c r="D9241" t="s">
        <v>11</v>
      </c>
      <c r="E9241" t="s">
        <v>12</v>
      </c>
      <c r="F9241">
        <v>21335356</v>
      </c>
      <c r="G9241">
        <v>21335411</v>
      </c>
      <c r="H9241">
        <v>21335339</v>
      </c>
      <c r="I9241">
        <v>21335355</v>
      </c>
    </row>
    <row r="9242" spans="1:9" x14ac:dyDescent="0.2">
      <c r="A9242" s="1" t="str">
        <f>"KLK1"</f>
        <v>KLK1</v>
      </c>
      <c r="B9242" t="s">
        <v>9</v>
      </c>
      <c r="C9242" t="s">
        <v>10</v>
      </c>
      <c r="D9242" t="s">
        <v>11</v>
      </c>
      <c r="E9242" t="s">
        <v>12</v>
      </c>
      <c r="F9242">
        <v>51327034</v>
      </c>
      <c r="G9242">
        <v>51327056</v>
      </c>
      <c r="H9242">
        <v>51327034</v>
      </c>
      <c r="I9242">
        <v>51327056</v>
      </c>
    </row>
    <row r="9243" spans="1:9" x14ac:dyDescent="0.2">
      <c r="A9243" s="1" t="str">
        <f>"KLK1"</f>
        <v>KLK1</v>
      </c>
      <c r="B9243" t="s">
        <v>13</v>
      </c>
      <c r="C9243" t="s">
        <v>10</v>
      </c>
      <c r="D9243" t="s">
        <v>11</v>
      </c>
      <c r="E9243" t="s">
        <v>12</v>
      </c>
      <c r="F9243">
        <v>51325017</v>
      </c>
      <c r="G9243">
        <v>51325021</v>
      </c>
      <c r="H9243">
        <v>51325017</v>
      </c>
      <c r="I9243">
        <v>51325021</v>
      </c>
    </row>
    <row r="9244" spans="1:9" x14ac:dyDescent="0.2">
      <c r="A9244" s="1" t="str">
        <f>"KLK10"</f>
        <v>KLK10</v>
      </c>
      <c r="B9244" t="s">
        <v>14</v>
      </c>
      <c r="C9244" t="s">
        <v>10</v>
      </c>
      <c r="D9244" t="s">
        <v>11</v>
      </c>
      <c r="E9244" t="s">
        <v>12</v>
      </c>
      <c r="F9244">
        <v>51522955</v>
      </c>
      <c r="G9244">
        <v>51522972</v>
      </c>
      <c r="H9244">
        <v>51523412</v>
      </c>
      <c r="I9244">
        <v>51523427</v>
      </c>
    </row>
    <row r="9245" spans="1:9" x14ac:dyDescent="0.2">
      <c r="A9245" s="1" t="str">
        <f>"KLK11"</f>
        <v>KLK11</v>
      </c>
      <c r="B9245" t="s">
        <v>9</v>
      </c>
      <c r="C9245" t="s">
        <v>10</v>
      </c>
      <c r="D9245" t="s">
        <v>11</v>
      </c>
      <c r="E9245" t="s">
        <v>12</v>
      </c>
      <c r="F9245">
        <v>51529849</v>
      </c>
      <c r="G9245">
        <v>51529889</v>
      </c>
      <c r="H9245">
        <v>51529849</v>
      </c>
      <c r="I9245">
        <v>51529889</v>
      </c>
    </row>
    <row r="9246" spans="1:9" x14ac:dyDescent="0.2">
      <c r="A9246" s="1" t="str">
        <f>"KLK11"</f>
        <v>KLK11</v>
      </c>
      <c r="B9246" t="s">
        <v>13</v>
      </c>
      <c r="C9246" t="s">
        <v>10</v>
      </c>
      <c r="D9246" t="s">
        <v>11</v>
      </c>
      <c r="E9246" t="s">
        <v>12</v>
      </c>
      <c r="F9246">
        <v>51530894</v>
      </c>
      <c r="G9246">
        <v>51530910</v>
      </c>
      <c r="H9246">
        <v>51530894</v>
      </c>
      <c r="I9246">
        <v>51530910</v>
      </c>
    </row>
    <row r="9247" spans="1:9" x14ac:dyDescent="0.2">
      <c r="A9247" s="1" t="str">
        <f>"KLK12"</f>
        <v>KLK12</v>
      </c>
      <c r="B9247" t="s">
        <v>14</v>
      </c>
      <c r="C9247" t="s">
        <v>10</v>
      </c>
      <c r="D9247" t="s">
        <v>11</v>
      </c>
      <c r="E9247" t="s">
        <v>12</v>
      </c>
      <c r="F9247">
        <v>51538150</v>
      </c>
      <c r="G9247">
        <v>51538203</v>
      </c>
      <c r="H9247">
        <v>51538247</v>
      </c>
      <c r="I9247">
        <v>51538275</v>
      </c>
    </row>
    <row r="9248" spans="1:9" x14ac:dyDescent="0.2">
      <c r="A9248" s="1" t="str">
        <f>"KLK13"</f>
        <v>KLK13</v>
      </c>
      <c r="B9248" t="s">
        <v>14</v>
      </c>
      <c r="C9248" t="s">
        <v>10</v>
      </c>
      <c r="D9248" t="s">
        <v>11</v>
      </c>
      <c r="E9248" t="s">
        <v>12</v>
      </c>
      <c r="F9248">
        <v>51568337</v>
      </c>
      <c r="G9248">
        <v>51568363</v>
      </c>
      <c r="H9248">
        <v>51568134</v>
      </c>
      <c r="I9248">
        <v>51568183</v>
      </c>
    </row>
    <row r="9249" spans="1:9" x14ac:dyDescent="0.2">
      <c r="A9249" s="1" t="str">
        <f>"KLK14"</f>
        <v>KLK14</v>
      </c>
      <c r="B9249" t="s">
        <v>14</v>
      </c>
      <c r="C9249" t="s">
        <v>10</v>
      </c>
      <c r="D9249" t="s">
        <v>11</v>
      </c>
      <c r="E9249" t="s">
        <v>12</v>
      </c>
      <c r="F9249">
        <v>51586140</v>
      </c>
      <c r="G9249">
        <v>51586146</v>
      </c>
      <c r="H9249">
        <v>51586029</v>
      </c>
      <c r="I9249">
        <v>51586039</v>
      </c>
    </row>
    <row r="9250" spans="1:9" x14ac:dyDescent="0.2">
      <c r="A9250" s="1" t="str">
        <f>"KLK15"</f>
        <v>KLK15</v>
      </c>
      <c r="B9250" t="s">
        <v>14</v>
      </c>
      <c r="C9250" t="s">
        <v>10</v>
      </c>
      <c r="D9250" t="s">
        <v>11</v>
      </c>
      <c r="E9250" t="s">
        <v>12</v>
      </c>
      <c r="F9250">
        <v>51330325</v>
      </c>
      <c r="G9250">
        <v>51330342</v>
      </c>
      <c r="H9250">
        <v>51330316</v>
      </c>
      <c r="I9250">
        <v>51330324</v>
      </c>
    </row>
    <row r="9251" spans="1:9" x14ac:dyDescent="0.2">
      <c r="A9251" s="1" t="str">
        <f>"KLK2"</f>
        <v>KLK2</v>
      </c>
      <c r="B9251" t="s">
        <v>14</v>
      </c>
      <c r="C9251" t="s">
        <v>10</v>
      </c>
      <c r="D9251" t="s">
        <v>17</v>
      </c>
      <c r="E9251" t="s">
        <v>12</v>
      </c>
      <c r="F9251">
        <v>51376683</v>
      </c>
      <c r="G9251">
        <v>51376701</v>
      </c>
      <c r="H9251">
        <v>51376683</v>
      </c>
      <c r="I9251">
        <v>51376701</v>
      </c>
    </row>
    <row r="9252" spans="1:9" x14ac:dyDescent="0.2">
      <c r="A9252" s="1" t="str">
        <f>"KLK3"</f>
        <v>KLK3</v>
      </c>
      <c r="B9252" t="s">
        <v>14</v>
      </c>
      <c r="C9252" t="s">
        <v>10</v>
      </c>
      <c r="D9252" t="s">
        <v>17</v>
      </c>
      <c r="E9252" t="s">
        <v>12</v>
      </c>
      <c r="F9252">
        <v>51358166</v>
      </c>
      <c r="G9252">
        <v>51358186</v>
      </c>
      <c r="H9252">
        <v>51358166</v>
      </c>
      <c r="I9252">
        <v>51358186</v>
      </c>
    </row>
    <row r="9253" spans="1:9" x14ac:dyDescent="0.2">
      <c r="A9253" s="1" t="str">
        <f>"KLK4"</f>
        <v>KLK4</v>
      </c>
      <c r="B9253" t="s">
        <v>14</v>
      </c>
      <c r="C9253" t="s">
        <v>10</v>
      </c>
      <c r="D9253" t="s">
        <v>11</v>
      </c>
      <c r="E9253" t="s">
        <v>12</v>
      </c>
      <c r="F9253">
        <v>51412626</v>
      </c>
      <c r="G9253">
        <v>51412645</v>
      </c>
      <c r="H9253">
        <v>51412603</v>
      </c>
      <c r="I9253">
        <v>51412620</v>
      </c>
    </row>
    <row r="9254" spans="1:9" x14ac:dyDescent="0.2">
      <c r="A9254" s="1" t="str">
        <f>"KLK5"</f>
        <v>KLK5</v>
      </c>
      <c r="B9254" t="s">
        <v>14</v>
      </c>
      <c r="C9254" t="s">
        <v>10</v>
      </c>
      <c r="D9254" t="s">
        <v>11</v>
      </c>
      <c r="E9254" t="s">
        <v>12</v>
      </c>
      <c r="F9254">
        <v>51456277</v>
      </c>
      <c r="G9254">
        <v>51456301</v>
      </c>
      <c r="H9254">
        <v>51456353</v>
      </c>
      <c r="I9254">
        <v>51456364</v>
      </c>
    </row>
    <row r="9255" spans="1:9" x14ac:dyDescent="0.2">
      <c r="A9255" s="1" t="str">
        <f>"KLK6"</f>
        <v>KLK6</v>
      </c>
      <c r="B9255" t="s">
        <v>14</v>
      </c>
      <c r="C9255" t="s">
        <v>10</v>
      </c>
      <c r="D9255" t="s">
        <v>11</v>
      </c>
      <c r="E9255" t="s">
        <v>12</v>
      </c>
      <c r="F9255">
        <v>51472823</v>
      </c>
      <c r="G9255">
        <v>51472852</v>
      </c>
      <c r="H9255">
        <v>51472014</v>
      </c>
      <c r="I9255">
        <v>51472030</v>
      </c>
    </row>
    <row r="9256" spans="1:9" x14ac:dyDescent="0.2">
      <c r="A9256" s="1" t="str">
        <f>"KLK7"</f>
        <v>KLK7</v>
      </c>
      <c r="B9256" t="s">
        <v>14</v>
      </c>
      <c r="C9256" t="s">
        <v>10</v>
      </c>
      <c r="D9256" t="s">
        <v>11</v>
      </c>
      <c r="E9256" t="s">
        <v>12</v>
      </c>
      <c r="F9256">
        <v>51487157</v>
      </c>
      <c r="G9256">
        <v>51487179</v>
      </c>
      <c r="H9256">
        <v>51487282</v>
      </c>
      <c r="I9256">
        <v>51487346</v>
      </c>
    </row>
    <row r="9257" spans="1:9" x14ac:dyDescent="0.2">
      <c r="A9257" s="1" t="str">
        <f>"KLK8"</f>
        <v>KLK8</v>
      </c>
      <c r="B9257" t="s">
        <v>14</v>
      </c>
      <c r="C9257" t="s">
        <v>10</v>
      </c>
      <c r="D9257" t="s">
        <v>11</v>
      </c>
      <c r="E9257" t="s">
        <v>12</v>
      </c>
      <c r="F9257">
        <v>51504852</v>
      </c>
      <c r="G9257">
        <v>51504866</v>
      </c>
      <c r="H9257">
        <v>51504411</v>
      </c>
      <c r="I9257">
        <v>51504451</v>
      </c>
    </row>
    <row r="9258" spans="1:9" x14ac:dyDescent="0.2">
      <c r="A9258" s="1" t="str">
        <f>"KLK9"</f>
        <v>KLK9</v>
      </c>
      <c r="B9258" t="s">
        <v>14</v>
      </c>
      <c r="C9258" t="s">
        <v>10</v>
      </c>
      <c r="D9258" t="s">
        <v>11</v>
      </c>
      <c r="E9258" t="s">
        <v>12</v>
      </c>
      <c r="F9258">
        <v>51512819</v>
      </c>
      <c r="G9258">
        <v>51512836</v>
      </c>
      <c r="H9258">
        <v>51512842</v>
      </c>
      <c r="I9258">
        <v>51512867</v>
      </c>
    </row>
    <row r="9259" spans="1:9" x14ac:dyDescent="0.2">
      <c r="A9259" s="1" t="str">
        <f>"KLKB1"</f>
        <v>KLKB1</v>
      </c>
      <c r="B9259" t="s">
        <v>14</v>
      </c>
      <c r="C9259" t="s">
        <v>23</v>
      </c>
      <c r="D9259" t="s">
        <v>17</v>
      </c>
      <c r="E9259" t="s">
        <v>12</v>
      </c>
      <c r="F9259">
        <v>187148655</v>
      </c>
      <c r="G9259">
        <v>187148687</v>
      </c>
      <c r="H9259">
        <v>187148693</v>
      </c>
      <c r="I9259">
        <v>187148704</v>
      </c>
    </row>
    <row r="9260" spans="1:9" x14ac:dyDescent="0.2">
      <c r="A9260" s="1" t="str">
        <f>"KLLN"</f>
        <v>KLLN</v>
      </c>
      <c r="B9260" t="s">
        <v>14</v>
      </c>
      <c r="C9260" t="s">
        <v>15</v>
      </c>
      <c r="D9260" t="s">
        <v>11</v>
      </c>
      <c r="E9260" t="s">
        <v>12</v>
      </c>
      <c r="F9260">
        <v>89623024</v>
      </c>
      <c r="G9260">
        <v>89623072</v>
      </c>
      <c r="H9260">
        <v>89623081</v>
      </c>
      <c r="I9260">
        <v>89623092</v>
      </c>
    </row>
    <row r="9261" spans="1:9" x14ac:dyDescent="0.2">
      <c r="A9261" s="1" t="str">
        <f>"KLRB1"</f>
        <v>KLRB1</v>
      </c>
      <c r="B9261" t="s">
        <v>14</v>
      </c>
      <c r="C9261" t="s">
        <v>16</v>
      </c>
      <c r="D9261" t="s">
        <v>11</v>
      </c>
      <c r="E9261" t="s">
        <v>12</v>
      </c>
      <c r="F9261">
        <v>9760499</v>
      </c>
      <c r="G9261">
        <v>9760520</v>
      </c>
      <c r="H9261">
        <v>9760499</v>
      </c>
      <c r="I9261">
        <v>9760520</v>
      </c>
    </row>
    <row r="9262" spans="1:9" x14ac:dyDescent="0.2">
      <c r="A9262" s="1" t="str">
        <f>"KLRC1"</f>
        <v>KLRC1</v>
      </c>
      <c r="B9262" t="s">
        <v>9</v>
      </c>
      <c r="C9262" t="s">
        <v>16</v>
      </c>
      <c r="D9262" t="s">
        <v>11</v>
      </c>
      <c r="E9262" t="s">
        <v>12</v>
      </c>
      <c r="F9262">
        <v>10605944</v>
      </c>
      <c r="G9262">
        <v>10605982</v>
      </c>
      <c r="H9262">
        <v>10605944</v>
      </c>
      <c r="I9262">
        <v>10605982</v>
      </c>
    </row>
    <row r="9263" spans="1:9" x14ac:dyDescent="0.2">
      <c r="A9263" s="1" t="str">
        <f>"KLRC1"</f>
        <v>KLRC1</v>
      </c>
      <c r="B9263" t="s">
        <v>13</v>
      </c>
      <c r="C9263" t="s">
        <v>16</v>
      </c>
      <c r="D9263" t="s">
        <v>11</v>
      </c>
      <c r="E9263" t="s">
        <v>12</v>
      </c>
      <c r="F9263">
        <v>10607084</v>
      </c>
      <c r="G9263">
        <v>10607105</v>
      </c>
      <c r="H9263">
        <v>10607084</v>
      </c>
      <c r="I9263">
        <v>10607105</v>
      </c>
    </row>
    <row r="9264" spans="1:9" x14ac:dyDescent="0.2">
      <c r="A9264" s="1" t="str">
        <f>"KLRC2"</f>
        <v>KLRC2</v>
      </c>
      <c r="B9264" t="s">
        <v>14</v>
      </c>
      <c r="C9264" t="s">
        <v>16</v>
      </c>
      <c r="D9264" t="s">
        <v>11</v>
      </c>
      <c r="E9264" t="s">
        <v>12</v>
      </c>
      <c r="F9264">
        <v>10588539</v>
      </c>
      <c r="G9264">
        <v>10588561</v>
      </c>
      <c r="H9264">
        <v>10588539</v>
      </c>
      <c r="I9264">
        <v>10588561</v>
      </c>
    </row>
    <row r="9265" spans="1:9" x14ac:dyDescent="0.2">
      <c r="A9265" s="1" t="str">
        <f>"KLRC3"</f>
        <v>KLRC3</v>
      </c>
      <c r="B9265" t="s">
        <v>14</v>
      </c>
      <c r="C9265" t="s">
        <v>16</v>
      </c>
      <c r="D9265" t="s">
        <v>11</v>
      </c>
      <c r="E9265" t="s">
        <v>12</v>
      </c>
      <c r="F9265">
        <v>10573158</v>
      </c>
      <c r="G9265">
        <v>10573174</v>
      </c>
      <c r="H9265">
        <v>10573158</v>
      </c>
      <c r="I9265">
        <v>10573174</v>
      </c>
    </row>
    <row r="9266" spans="1:9" x14ac:dyDescent="0.2">
      <c r="A9266" s="1" t="str">
        <f>"KLRC4"</f>
        <v>KLRC4</v>
      </c>
      <c r="B9266" t="s">
        <v>14</v>
      </c>
      <c r="C9266" t="s">
        <v>16</v>
      </c>
      <c r="D9266" t="s">
        <v>11</v>
      </c>
      <c r="E9266" t="s">
        <v>67</v>
      </c>
      <c r="F9266">
        <v>10562135</v>
      </c>
      <c r="G9266">
        <v>10562149</v>
      </c>
      <c r="H9266">
        <v>10562126</v>
      </c>
      <c r="I9266">
        <v>10562132</v>
      </c>
    </row>
    <row r="9267" spans="1:9" x14ac:dyDescent="0.2">
      <c r="A9267" s="1" t="str">
        <f>"KLRC4-KLRK1"</f>
        <v>KLRC4-KLRK1</v>
      </c>
      <c r="B9267" t="s">
        <v>14</v>
      </c>
      <c r="C9267" t="s">
        <v>16</v>
      </c>
      <c r="D9267" t="s">
        <v>11</v>
      </c>
      <c r="E9267" t="s">
        <v>67</v>
      </c>
      <c r="F9267">
        <v>10562135</v>
      </c>
      <c r="G9267">
        <v>10562149</v>
      </c>
      <c r="H9267">
        <v>10562126</v>
      </c>
      <c r="I9267">
        <v>10562132</v>
      </c>
    </row>
    <row r="9268" spans="1:9" x14ac:dyDescent="0.2">
      <c r="A9268" s="1" t="str">
        <f>"KLRD1"</f>
        <v>KLRD1</v>
      </c>
      <c r="B9268" t="s">
        <v>14</v>
      </c>
      <c r="C9268" t="s">
        <v>16</v>
      </c>
      <c r="D9268" t="s">
        <v>17</v>
      </c>
      <c r="E9268" t="s">
        <v>12</v>
      </c>
      <c r="F9268">
        <v>10460438</v>
      </c>
      <c r="G9268">
        <v>10460485</v>
      </c>
      <c r="H9268">
        <v>10460438</v>
      </c>
      <c r="I9268">
        <v>10460485</v>
      </c>
    </row>
    <row r="9269" spans="1:9" x14ac:dyDescent="0.2">
      <c r="A9269" s="1" t="str">
        <f>"KLRF1"</f>
        <v>KLRF1</v>
      </c>
      <c r="B9269" t="s">
        <v>14</v>
      </c>
      <c r="C9269" t="s">
        <v>16</v>
      </c>
      <c r="D9269" t="s">
        <v>17</v>
      </c>
      <c r="E9269" t="s">
        <v>12</v>
      </c>
      <c r="F9269">
        <v>9980069</v>
      </c>
      <c r="G9269">
        <v>9980087</v>
      </c>
      <c r="H9269">
        <v>9980015</v>
      </c>
      <c r="I9269">
        <v>9980039</v>
      </c>
    </row>
    <row r="9270" spans="1:9" x14ac:dyDescent="0.2">
      <c r="A9270" s="1" t="str">
        <f>"KLRF2"</f>
        <v>KLRF2</v>
      </c>
      <c r="B9270" t="s">
        <v>14</v>
      </c>
      <c r="C9270" t="s">
        <v>16</v>
      </c>
      <c r="D9270" t="s">
        <v>17</v>
      </c>
      <c r="E9270" t="s">
        <v>12</v>
      </c>
      <c r="F9270">
        <v>10034085</v>
      </c>
      <c r="G9270">
        <v>10034109</v>
      </c>
      <c r="H9270">
        <v>10034148</v>
      </c>
      <c r="I9270">
        <v>10034158</v>
      </c>
    </row>
    <row r="9271" spans="1:9" x14ac:dyDescent="0.2">
      <c r="A9271" s="1" t="str">
        <f>"KLRG1"</f>
        <v>KLRG1</v>
      </c>
      <c r="B9271" t="s">
        <v>14</v>
      </c>
      <c r="C9271" t="s">
        <v>16</v>
      </c>
      <c r="D9271" t="s">
        <v>17</v>
      </c>
      <c r="E9271" t="s">
        <v>12</v>
      </c>
      <c r="F9271">
        <v>9142131</v>
      </c>
      <c r="G9271">
        <v>9142229</v>
      </c>
      <c r="H9271">
        <v>9142131</v>
      </c>
      <c r="I9271">
        <v>9142229</v>
      </c>
    </row>
    <row r="9272" spans="1:9" x14ac:dyDescent="0.2">
      <c r="A9272" s="1" t="str">
        <f>"KLRG2"</f>
        <v>KLRG2</v>
      </c>
      <c r="B9272" t="s">
        <v>14</v>
      </c>
      <c r="C9272" t="s">
        <v>33</v>
      </c>
      <c r="D9272" t="s">
        <v>11</v>
      </c>
      <c r="E9272" t="s">
        <v>12</v>
      </c>
      <c r="F9272">
        <v>139168402</v>
      </c>
      <c r="G9272">
        <v>139168431</v>
      </c>
      <c r="H9272">
        <v>139168434</v>
      </c>
      <c r="I9272">
        <v>139168465</v>
      </c>
    </row>
    <row r="9273" spans="1:9" x14ac:dyDescent="0.2">
      <c r="A9273" s="1" t="str">
        <f>"KLRK1"</f>
        <v>KLRK1</v>
      </c>
      <c r="B9273" t="s">
        <v>14</v>
      </c>
      <c r="C9273" t="s">
        <v>16</v>
      </c>
      <c r="D9273" t="s">
        <v>11</v>
      </c>
      <c r="E9273" t="s">
        <v>12</v>
      </c>
      <c r="F9273">
        <v>10542623</v>
      </c>
      <c r="G9273">
        <v>10542647</v>
      </c>
      <c r="H9273">
        <v>10542623</v>
      </c>
      <c r="I9273">
        <v>10542647</v>
      </c>
    </row>
    <row r="9274" spans="1:9" x14ac:dyDescent="0.2">
      <c r="A9274" s="1" t="str">
        <f>"KMO"</f>
        <v>KMO</v>
      </c>
      <c r="B9274" t="s">
        <v>14</v>
      </c>
      <c r="C9274" t="s">
        <v>19</v>
      </c>
      <c r="D9274" t="s">
        <v>17</v>
      </c>
      <c r="E9274" t="s">
        <v>12</v>
      </c>
      <c r="F9274">
        <v>241695670</v>
      </c>
      <c r="G9274">
        <v>241695686</v>
      </c>
      <c r="H9274">
        <v>241695424</v>
      </c>
      <c r="I9274">
        <v>241695440</v>
      </c>
    </row>
    <row r="9275" spans="1:9" x14ac:dyDescent="0.2">
      <c r="A9275" s="1" t="str">
        <f>"KMT2A"</f>
        <v>KMT2A</v>
      </c>
      <c r="B9275" t="s">
        <v>14</v>
      </c>
      <c r="C9275" t="s">
        <v>27</v>
      </c>
      <c r="D9275" t="s">
        <v>17</v>
      </c>
      <c r="E9275" t="s">
        <v>12</v>
      </c>
      <c r="F9275">
        <v>118307179</v>
      </c>
      <c r="G9275">
        <v>118307223</v>
      </c>
      <c r="H9275">
        <v>118307179</v>
      </c>
      <c r="I9275">
        <v>118307223</v>
      </c>
    </row>
    <row r="9276" spans="1:9" x14ac:dyDescent="0.2">
      <c r="A9276" s="1" t="str">
        <f>"KMT2B"</f>
        <v>KMT2B</v>
      </c>
      <c r="B9276" t="s">
        <v>9</v>
      </c>
      <c r="C9276" t="s">
        <v>10</v>
      </c>
      <c r="D9276" t="s">
        <v>17</v>
      </c>
      <c r="E9276" t="s">
        <v>12</v>
      </c>
      <c r="F9276">
        <v>36208877</v>
      </c>
      <c r="G9276">
        <v>36208919</v>
      </c>
      <c r="H9276">
        <v>36208877</v>
      </c>
      <c r="I9276">
        <v>36208919</v>
      </c>
    </row>
    <row r="9277" spans="1:9" x14ac:dyDescent="0.2">
      <c r="A9277" s="1" t="str">
        <f>"KMT2B"</f>
        <v>KMT2B</v>
      </c>
      <c r="B9277" t="s">
        <v>13</v>
      </c>
      <c r="C9277" t="s">
        <v>10</v>
      </c>
      <c r="D9277" t="s">
        <v>17</v>
      </c>
      <c r="E9277" t="s">
        <v>12</v>
      </c>
      <c r="F9277">
        <v>36211121</v>
      </c>
      <c r="G9277">
        <v>36211150</v>
      </c>
      <c r="H9277">
        <v>36211121</v>
      </c>
      <c r="I9277">
        <v>36211150</v>
      </c>
    </row>
    <row r="9278" spans="1:9" x14ac:dyDescent="0.2">
      <c r="A9278" s="1" t="str">
        <f>"KMT2C"</f>
        <v>KMT2C</v>
      </c>
      <c r="B9278" t="s">
        <v>14</v>
      </c>
      <c r="C9278" t="s">
        <v>33</v>
      </c>
      <c r="D9278" t="s">
        <v>11</v>
      </c>
      <c r="E9278" t="s">
        <v>12</v>
      </c>
      <c r="F9278">
        <v>152133059</v>
      </c>
      <c r="G9278">
        <v>152133102</v>
      </c>
      <c r="H9278">
        <v>152133109</v>
      </c>
      <c r="I9278">
        <v>152133116</v>
      </c>
    </row>
    <row r="9279" spans="1:9" x14ac:dyDescent="0.2">
      <c r="A9279" s="1" t="str">
        <f>"KMT2D"</f>
        <v>KMT2D</v>
      </c>
      <c r="B9279" t="s">
        <v>14</v>
      </c>
      <c r="C9279" t="s">
        <v>16</v>
      </c>
      <c r="D9279" t="s">
        <v>11</v>
      </c>
      <c r="E9279" t="s">
        <v>12</v>
      </c>
      <c r="F9279">
        <v>49426937</v>
      </c>
      <c r="G9279">
        <v>49426956</v>
      </c>
      <c r="H9279">
        <v>49426937</v>
      </c>
      <c r="I9279">
        <v>49426956</v>
      </c>
    </row>
    <row r="9280" spans="1:9" x14ac:dyDescent="0.2">
      <c r="A9280" s="1" t="str">
        <f>"KMT2E"</f>
        <v>KMT2E</v>
      </c>
      <c r="B9280" t="s">
        <v>14</v>
      </c>
      <c r="C9280" t="s">
        <v>33</v>
      </c>
      <c r="D9280" t="s">
        <v>17</v>
      </c>
      <c r="E9280" t="s">
        <v>12</v>
      </c>
      <c r="F9280">
        <v>104654623</v>
      </c>
      <c r="G9280">
        <v>104654669</v>
      </c>
      <c r="H9280">
        <v>104654690</v>
      </c>
      <c r="I9280">
        <v>104654704</v>
      </c>
    </row>
    <row r="9281" spans="1:9" x14ac:dyDescent="0.2">
      <c r="A9281" s="1" t="str">
        <f>"KNCN"</f>
        <v>KNCN</v>
      </c>
      <c r="B9281" t="s">
        <v>14</v>
      </c>
      <c r="C9281" t="s">
        <v>19</v>
      </c>
      <c r="D9281" t="s">
        <v>11</v>
      </c>
      <c r="E9281" t="s">
        <v>12</v>
      </c>
      <c r="F9281">
        <v>47015424</v>
      </c>
      <c r="G9281">
        <v>47015432</v>
      </c>
      <c r="H9281">
        <v>47015680</v>
      </c>
      <c r="I9281">
        <v>47015689</v>
      </c>
    </row>
    <row r="9282" spans="1:9" x14ac:dyDescent="0.2">
      <c r="A9282" s="1" t="str">
        <f>"KNDC1"</f>
        <v>KNDC1</v>
      </c>
      <c r="B9282" t="s">
        <v>14</v>
      </c>
      <c r="C9282" t="s">
        <v>15</v>
      </c>
      <c r="D9282" t="s">
        <v>17</v>
      </c>
      <c r="E9282" t="s">
        <v>12</v>
      </c>
      <c r="F9282">
        <v>134973695</v>
      </c>
      <c r="G9282">
        <v>134973765</v>
      </c>
      <c r="H9282">
        <v>134973905</v>
      </c>
      <c r="I9282">
        <v>134973977</v>
      </c>
    </row>
    <row r="9283" spans="1:9" x14ac:dyDescent="0.2">
      <c r="A9283" s="1" t="str">
        <f>"KNG1"</f>
        <v>KNG1</v>
      </c>
      <c r="B9283" t="s">
        <v>14</v>
      </c>
      <c r="C9283" t="s">
        <v>22</v>
      </c>
      <c r="D9283" t="s">
        <v>17</v>
      </c>
      <c r="E9283" t="s">
        <v>12</v>
      </c>
      <c r="F9283">
        <v>186435192</v>
      </c>
      <c r="G9283">
        <v>186435205</v>
      </c>
      <c r="H9283">
        <v>186435140</v>
      </c>
      <c r="I9283">
        <v>186435158</v>
      </c>
    </row>
    <row r="9284" spans="1:9" x14ac:dyDescent="0.2">
      <c r="A9284" s="1" t="str">
        <f>"KNOP1"</f>
        <v>KNOP1</v>
      </c>
      <c r="B9284" t="s">
        <v>14</v>
      </c>
      <c r="C9284" t="s">
        <v>31</v>
      </c>
      <c r="D9284" t="s">
        <v>11</v>
      </c>
      <c r="E9284" t="s">
        <v>12</v>
      </c>
      <c r="F9284">
        <v>19729502</v>
      </c>
      <c r="G9284">
        <v>19729557</v>
      </c>
      <c r="H9284">
        <v>19729471</v>
      </c>
      <c r="I9284">
        <v>19729493</v>
      </c>
    </row>
    <row r="9285" spans="1:9" x14ac:dyDescent="0.2">
      <c r="A9285" s="1" t="str">
        <f>"KNSTRN"</f>
        <v>KNSTRN</v>
      </c>
      <c r="B9285" t="s">
        <v>14</v>
      </c>
      <c r="C9285" t="s">
        <v>25</v>
      </c>
      <c r="D9285" t="s">
        <v>17</v>
      </c>
      <c r="E9285" t="s">
        <v>12</v>
      </c>
      <c r="F9285">
        <v>40675132</v>
      </c>
      <c r="G9285">
        <v>40675210</v>
      </c>
      <c r="H9285">
        <v>40675130</v>
      </c>
      <c r="I9285">
        <v>40675131</v>
      </c>
    </row>
    <row r="9286" spans="1:9" x14ac:dyDescent="0.2">
      <c r="A9286" s="1" t="str">
        <f>"KNTC1"</f>
        <v>KNTC1</v>
      </c>
      <c r="B9286" t="s">
        <v>14</v>
      </c>
      <c r="C9286" t="s">
        <v>16</v>
      </c>
      <c r="D9286" t="s">
        <v>17</v>
      </c>
      <c r="E9286" t="s">
        <v>12</v>
      </c>
      <c r="F9286">
        <v>123011776</v>
      </c>
      <c r="G9286">
        <v>123011814</v>
      </c>
      <c r="H9286">
        <v>123011821</v>
      </c>
      <c r="I9286">
        <v>123011835</v>
      </c>
    </row>
    <row r="9287" spans="1:9" x14ac:dyDescent="0.2">
      <c r="A9287" s="1" t="str">
        <f>"KPNA1"</f>
        <v>KPNA1</v>
      </c>
      <c r="B9287" t="s">
        <v>9</v>
      </c>
      <c r="C9287" t="s">
        <v>22</v>
      </c>
      <c r="D9287" t="s">
        <v>11</v>
      </c>
      <c r="E9287" t="s">
        <v>12</v>
      </c>
      <c r="F9287">
        <v>122233723</v>
      </c>
      <c r="G9287">
        <v>122233797</v>
      </c>
      <c r="H9287">
        <v>122233723</v>
      </c>
      <c r="I9287">
        <v>122233797</v>
      </c>
    </row>
    <row r="9288" spans="1:9" x14ac:dyDescent="0.2">
      <c r="A9288" s="1" t="str">
        <f>"KPNA1"</f>
        <v>KPNA1</v>
      </c>
      <c r="B9288" t="s">
        <v>13</v>
      </c>
      <c r="C9288" t="s">
        <v>22</v>
      </c>
      <c r="D9288" t="s">
        <v>11</v>
      </c>
      <c r="E9288" t="s">
        <v>12</v>
      </c>
      <c r="F9288">
        <v>122215425</v>
      </c>
      <c r="G9288">
        <v>122215488</v>
      </c>
      <c r="H9288">
        <v>122215425</v>
      </c>
      <c r="I9288">
        <v>122215488</v>
      </c>
    </row>
    <row r="9289" spans="1:9" x14ac:dyDescent="0.2">
      <c r="A9289" s="1" t="str">
        <f>"KPNA2"</f>
        <v>KPNA2</v>
      </c>
      <c r="B9289" t="s">
        <v>14</v>
      </c>
      <c r="C9289" t="s">
        <v>28</v>
      </c>
      <c r="D9289" t="s">
        <v>17</v>
      </c>
      <c r="E9289" t="s">
        <v>12</v>
      </c>
      <c r="F9289">
        <v>66031838</v>
      </c>
      <c r="G9289">
        <v>66031876</v>
      </c>
      <c r="H9289">
        <v>66031818</v>
      </c>
      <c r="I9289">
        <v>66031830</v>
      </c>
    </row>
    <row r="9290" spans="1:9" x14ac:dyDescent="0.2">
      <c r="A9290" s="1" t="str">
        <f>"KPNA3"</f>
        <v>KPNA3</v>
      </c>
      <c r="B9290" t="s">
        <v>14</v>
      </c>
      <c r="C9290" t="s">
        <v>39</v>
      </c>
      <c r="D9290" t="s">
        <v>11</v>
      </c>
      <c r="E9290" t="s">
        <v>12</v>
      </c>
      <c r="F9290">
        <v>50366662</v>
      </c>
      <c r="G9290">
        <v>50366734</v>
      </c>
      <c r="H9290">
        <v>50366662</v>
      </c>
      <c r="I9290">
        <v>50366734</v>
      </c>
    </row>
    <row r="9291" spans="1:9" x14ac:dyDescent="0.2">
      <c r="A9291" s="1" t="str">
        <f>"KPNA4"</f>
        <v>KPNA4</v>
      </c>
      <c r="B9291" t="s">
        <v>14</v>
      </c>
      <c r="C9291" t="s">
        <v>22</v>
      </c>
      <c r="D9291" t="s">
        <v>11</v>
      </c>
      <c r="E9291" t="s">
        <v>12</v>
      </c>
      <c r="F9291">
        <v>160283348</v>
      </c>
      <c r="G9291">
        <v>160283366</v>
      </c>
      <c r="H9291">
        <v>160283312</v>
      </c>
      <c r="I9291">
        <v>160283344</v>
      </c>
    </row>
    <row r="9292" spans="1:9" x14ac:dyDescent="0.2">
      <c r="A9292" s="1" t="str">
        <f>"KPNA5"</f>
        <v>KPNA5</v>
      </c>
      <c r="B9292" t="s">
        <v>14</v>
      </c>
      <c r="C9292" t="s">
        <v>32</v>
      </c>
      <c r="D9292" t="s">
        <v>17</v>
      </c>
      <c r="E9292" t="s">
        <v>12</v>
      </c>
      <c r="F9292">
        <v>117002339</v>
      </c>
      <c r="G9292">
        <v>117002400</v>
      </c>
      <c r="H9292">
        <v>117002413</v>
      </c>
      <c r="I9292">
        <v>117002420</v>
      </c>
    </row>
    <row r="9293" spans="1:9" x14ac:dyDescent="0.2">
      <c r="A9293" s="1" t="str">
        <f>"KPNA6"</f>
        <v>KPNA6</v>
      </c>
      <c r="B9293" t="s">
        <v>14</v>
      </c>
      <c r="C9293" t="s">
        <v>19</v>
      </c>
      <c r="D9293" t="s">
        <v>17</v>
      </c>
      <c r="E9293" t="s">
        <v>12</v>
      </c>
      <c r="F9293">
        <v>32573636</v>
      </c>
      <c r="G9293">
        <v>32573673</v>
      </c>
      <c r="H9293">
        <v>32573676</v>
      </c>
      <c r="I9293">
        <v>32573703</v>
      </c>
    </row>
    <row r="9294" spans="1:9" x14ac:dyDescent="0.2">
      <c r="A9294" s="1" t="str">
        <f>"KPNA7"</f>
        <v>KPNA7</v>
      </c>
      <c r="B9294" t="s">
        <v>690</v>
      </c>
      <c r="C9294" t="s">
        <v>33</v>
      </c>
      <c r="D9294" t="s">
        <v>11</v>
      </c>
      <c r="E9294" t="s">
        <v>20</v>
      </c>
      <c r="F9294">
        <v>98805128</v>
      </c>
      <c r="G9294">
        <v>98805128</v>
      </c>
      <c r="H9294">
        <v>98805128</v>
      </c>
      <c r="I9294">
        <v>98805128</v>
      </c>
    </row>
    <row r="9295" spans="1:9" x14ac:dyDescent="0.2">
      <c r="A9295" s="1" t="str">
        <f>"KPNB1"</f>
        <v>KPNB1</v>
      </c>
      <c r="B9295" t="s">
        <v>14</v>
      </c>
      <c r="C9295" t="s">
        <v>28</v>
      </c>
      <c r="D9295" t="s">
        <v>17</v>
      </c>
      <c r="E9295" t="s">
        <v>12</v>
      </c>
      <c r="F9295">
        <v>45727296</v>
      </c>
      <c r="G9295">
        <v>45727344</v>
      </c>
      <c r="H9295">
        <v>45727265</v>
      </c>
      <c r="I9295">
        <v>45727292</v>
      </c>
    </row>
    <row r="9296" spans="1:9" x14ac:dyDescent="0.2">
      <c r="A9296" s="1" t="str">
        <f>"KPRP"</f>
        <v>KPRP</v>
      </c>
      <c r="B9296" t="s">
        <v>14</v>
      </c>
      <c r="C9296" t="s">
        <v>19</v>
      </c>
      <c r="D9296" t="s">
        <v>17</v>
      </c>
      <c r="E9296" t="s">
        <v>12</v>
      </c>
      <c r="F9296">
        <v>152730499</v>
      </c>
      <c r="G9296">
        <v>152730507</v>
      </c>
      <c r="H9296">
        <v>152730499</v>
      </c>
      <c r="I9296">
        <v>152730507</v>
      </c>
    </row>
    <row r="9297" spans="1:9" x14ac:dyDescent="0.2">
      <c r="A9297" s="1" t="str">
        <f>"KPTN"</f>
        <v>KPTN</v>
      </c>
      <c r="B9297" t="s">
        <v>14</v>
      </c>
      <c r="C9297" t="s">
        <v>10</v>
      </c>
      <c r="D9297" t="s">
        <v>11</v>
      </c>
      <c r="E9297" t="s">
        <v>12</v>
      </c>
      <c r="F9297">
        <v>47987459</v>
      </c>
      <c r="G9297">
        <v>47987513</v>
      </c>
      <c r="H9297">
        <v>47987515</v>
      </c>
      <c r="I9297">
        <v>47987530</v>
      </c>
    </row>
    <row r="9298" spans="1:9" x14ac:dyDescent="0.2">
      <c r="A9298" s="1" t="str">
        <f>"KRAS"</f>
        <v>KRAS</v>
      </c>
      <c r="B9298" t="s">
        <v>14</v>
      </c>
      <c r="C9298" t="s">
        <v>16</v>
      </c>
      <c r="D9298" t="s">
        <v>11</v>
      </c>
      <c r="E9298" t="s">
        <v>12</v>
      </c>
      <c r="F9298">
        <v>25403815</v>
      </c>
      <c r="G9298">
        <v>25403881</v>
      </c>
      <c r="H9298">
        <v>25403983</v>
      </c>
      <c r="I9298">
        <v>25404026</v>
      </c>
    </row>
    <row r="9299" spans="1:9" x14ac:dyDescent="0.2">
      <c r="A9299" s="1" t="str">
        <f>"KRBA1"</f>
        <v>KRBA1</v>
      </c>
      <c r="B9299" t="s">
        <v>14</v>
      </c>
      <c r="C9299" t="s">
        <v>33</v>
      </c>
      <c r="D9299" t="s">
        <v>17</v>
      </c>
      <c r="E9299" t="s">
        <v>12</v>
      </c>
      <c r="F9299">
        <v>149412016</v>
      </c>
      <c r="G9299">
        <v>149412079</v>
      </c>
      <c r="H9299">
        <v>149411860</v>
      </c>
      <c r="I9299">
        <v>149411892</v>
      </c>
    </row>
    <row r="9300" spans="1:9" x14ac:dyDescent="0.2">
      <c r="A9300" s="1" t="str">
        <f>"KRBA2"</f>
        <v>KRBA2</v>
      </c>
      <c r="B9300" t="s">
        <v>14</v>
      </c>
      <c r="C9300" t="s">
        <v>28</v>
      </c>
      <c r="D9300" t="s">
        <v>11</v>
      </c>
      <c r="E9300" t="s">
        <v>12</v>
      </c>
      <c r="F9300">
        <v>8279977</v>
      </c>
      <c r="G9300">
        <v>8280032</v>
      </c>
      <c r="H9300">
        <v>8279948</v>
      </c>
      <c r="I9300">
        <v>8279969</v>
      </c>
    </row>
    <row r="9301" spans="1:9" x14ac:dyDescent="0.2">
      <c r="A9301" s="1" t="str">
        <f>"KRBOX1"</f>
        <v>KRBOX1</v>
      </c>
      <c r="B9301" t="s">
        <v>14</v>
      </c>
      <c r="C9301" t="s">
        <v>22</v>
      </c>
      <c r="D9301" t="s">
        <v>17</v>
      </c>
      <c r="E9301" t="s">
        <v>12</v>
      </c>
      <c r="F9301">
        <v>42977846</v>
      </c>
      <c r="G9301">
        <v>42977889</v>
      </c>
      <c r="H9301">
        <v>42977846</v>
      </c>
      <c r="I9301">
        <v>42977889</v>
      </c>
    </row>
    <row r="9302" spans="1:9" x14ac:dyDescent="0.2">
      <c r="A9302" s="1" t="str">
        <f>"KRBOX4"</f>
        <v>KRBOX4</v>
      </c>
      <c r="B9302" t="s">
        <v>14</v>
      </c>
      <c r="C9302" t="s">
        <v>37</v>
      </c>
      <c r="D9302" t="s">
        <v>17</v>
      </c>
      <c r="E9302" t="s">
        <v>12</v>
      </c>
      <c r="F9302">
        <v>46306714</v>
      </c>
      <c r="G9302">
        <v>46306741</v>
      </c>
      <c r="H9302">
        <v>46306747</v>
      </c>
      <c r="I9302">
        <v>46306758</v>
      </c>
    </row>
    <row r="9303" spans="1:9" x14ac:dyDescent="0.2">
      <c r="A9303" s="1" t="str">
        <f>"KRCC1"</f>
        <v>KRCC1</v>
      </c>
      <c r="B9303" t="s">
        <v>14</v>
      </c>
      <c r="C9303" t="s">
        <v>26</v>
      </c>
      <c r="D9303" t="s">
        <v>11</v>
      </c>
      <c r="E9303" t="s">
        <v>12</v>
      </c>
      <c r="F9303">
        <v>88355276</v>
      </c>
      <c r="G9303">
        <v>88355309</v>
      </c>
      <c r="H9303">
        <v>88355241</v>
      </c>
      <c r="I9303">
        <v>88355268</v>
      </c>
    </row>
    <row r="9304" spans="1:9" x14ac:dyDescent="0.2">
      <c r="A9304" s="1" t="str">
        <f>"KREMEN1"</f>
        <v>KREMEN1</v>
      </c>
      <c r="B9304" t="s">
        <v>14</v>
      </c>
      <c r="C9304" t="s">
        <v>21</v>
      </c>
      <c r="D9304" t="s">
        <v>17</v>
      </c>
      <c r="E9304" t="s">
        <v>12</v>
      </c>
      <c r="F9304">
        <v>29469012</v>
      </c>
      <c r="G9304">
        <v>29469052</v>
      </c>
      <c r="H9304">
        <v>29469100</v>
      </c>
      <c r="I9304">
        <v>29469113</v>
      </c>
    </row>
    <row r="9305" spans="1:9" x14ac:dyDescent="0.2">
      <c r="A9305" s="1" t="str">
        <f>"KREMEN2"</f>
        <v>KREMEN2</v>
      </c>
      <c r="B9305" t="s">
        <v>14</v>
      </c>
      <c r="C9305" t="s">
        <v>31</v>
      </c>
      <c r="D9305" t="s">
        <v>17</v>
      </c>
      <c r="E9305" t="s">
        <v>12</v>
      </c>
      <c r="F9305">
        <v>3014269</v>
      </c>
      <c r="G9305">
        <v>3014283</v>
      </c>
      <c r="H9305">
        <v>3013936</v>
      </c>
      <c r="I9305">
        <v>3013965</v>
      </c>
    </row>
    <row r="9306" spans="1:9" x14ac:dyDescent="0.2">
      <c r="A9306" s="1" t="str">
        <f>"KRI1"</f>
        <v>KRI1</v>
      </c>
      <c r="B9306" t="s">
        <v>14</v>
      </c>
      <c r="C9306" t="s">
        <v>10</v>
      </c>
      <c r="D9306" t="s">
        <v>11</v>
      </c>
      <c r="E9306" t="s">
        <v>12</v>
      </c>
      <c r="F9306">
        <v>10676672</v>
      </c>
      <c r="G9306">
        <v>10676712</v>
      </c>
      <c r="H9306">
        <v>10675677</v>
      </c>
      <c r="I9306">
        <v>10675714</v>
      </c>
    </row>
    <row r="9307" spans="1:9" x14ac:dyDescent="0.2">
      <c r="A9307" s="1" t="str">
        <f>"KRIT1"</f>
        <v>KRIT1</v>
      </c>
      <c r="B9307" t="s">
        <v>14</v>
      </c>
      <c r="C9307" t="s">
        <v>33</v>
      </c>
      <c r="D9307" t="s">
        <v>11</v>
      </c>
      <c r="E9307" t="s">
        <v>12</v>
      </c>
      <c r="F9307">
        <v>91875181</v>
      </c>
      <c r="G9307">
        <v>91875260</v>
      </c>
      <c r="H9307">
        <v>91874854</v>
      </c>
      <c r="I9307">
        <v>91874899</v>
      </c>
    </row>
    <row r="9308" spans="1:9" x14ac:dyDescent="0.2">
      <c r="A9308" s="1" t="str">
        <f>"KRR1"</f>
        <v>KRR1</v>
      </c>
      <c r="B9308" t="s">
        <v>14</v>
      </c>
      <c r="C9308" t="s">
        <v>16</v>
      </c>
      <c r="D9308" t="s">
        <v>11</v>
      </c>
      <c r="E9308" t="s">
        <v>12</v>
      </c>
      <c r="F9308">
        <v>75905374</v>
      </c>
      <c r="G9308">
        <v>75905420</v>
      </c>
      <c r="H9308">
        <v>75905374</v>
      </c>
      <c r="I9308">
        <v>75905420</v>
      </c>
    </row>
    <row r="9309" spans="1:9" x14ac:dyDescent="0.2">
      <c r="A9309" s="1" t="str">
        <f>"KRT1"</f>
        <v>KRT1</v>
      </c>
      <c r="B9309" t="s">
        <v>14</v>
      </c>
      <c r="C9309" t="s">
        <v>16</v>
      </c>
      <c r="D9309" t="s">
        <v>11</v>
      </c>
      <c r="E9309" t="s">
        <v>12</v>
      </c>
      <c r="F9309">
        <v>53074182</v>
      </c>
      <c r="G9309">
        <v>53074197</v>
      </c>
      <c r="H9309">
        <v>53074182</v>
      </c>
      <c r="I9309">
        <v>53074197</v>
      </c>
    </row>
    <row r="9310" spans="1:9" x14ac:dyDescent="0.2">
      <c r="A9310" s="1" t="str">
        <f>"KRT10"</f>
        <v>KRT10</v>
      </c>
      <c r="B9310" t="s">
        <v>9</v>
      </c>
      <c r="C9310" t="s">
        <v>28</v>
      </c>
      <c r="D9310" t="s">
        <v>11</v>
      </c>
      <c r="E9310" t="s">
        <v>12</v>
      </c>
      <c r="F9310">
        <v>38978856</v>
      </c>
      <c r="G9310">
        <v>38978875</v>
      </c>
      <c r="H9310">
        <v>38978856</v>
      </c>
      <c r="I9310">
        <v>38978875</v>
      </c>
    </row>
    <row r="9311" spans="1:9" x14ac:dyDescent="0.2">
      <c r="A9311" s="1" t="str">
        <f>"KRT10"</f>
        <v>KRT10</v>
      </c>
      <c r="B9311" t="s">
        <v>13</v>
      </c>
      <c r="C9311" t="s">
        <v>28</v>
      </c>
      <c r="D9311" t="s">
        <v>11</v>
      </c>
      <c r="E9311" t="s">
        <v>12</v>
      </c>
      <c r="F9311">
        <v>38975948</v>
      </c>
      <c r="G9311">
        <v>38975968</v>
      </c>
      <c r="H9311">
        <v>38975948</v>
      </c>
      <c r="I9311">
        <v>38975968</v>
      </c>
    </row>
    <row r="9312" spans="1:9" x14ac:dyDescent="0.2">
      <c r="A9312" s="1" t="str">
        <f>"KRT12"</f>
        <v>KRT12</v>
      </c>
      <c r="B9312" t="s">
        <v>14</v>
      </c>
      <c r="C9312" t="s">
        <v>28</v>
      </c>
      <c r="D9312" t="s">
        <v>11</v>
      </c>
      <c r="E9312" t="s">
        <v>12</v>
      </c>
      <c r="F9312">
        <v>39023472</v>
      </c>
      <c r="G9312">
        <v>39023477</v>
      </c>
      <c r="H9312">
        <v>39023472</v>
      </c>
      <c r="I9312">
        <v>39023477</v>
      </c>
    </row>
    <row r="9313" spans="1:9" x14ac:dyDescent="0.2">
      <c r="A9313" s="1" t="str">
        <f>"KRT13"</f>
        <v>KRT13</v>
      </c>
      <c r="B9313" t="s">
        <v>14</v>
      </c>
      <c r="C9313" t="s">
        <v>28</v>
      </c>
      <c r="D9313" t="s">
        <v>11</v>
      </c>
      <c r="E9313" t="s">
        <v>12</v>
      </c>
      <c r="F9313">
        <v>39661856</v>
      </c>
      <c r="G9313">
        <v>39661871</v>
      </c>
      <c r="H9313">
        <v>39661856</v>
      </c>
      <c r="I9313">
        <v>39661871</v>
      </c>
    </row>
    <row r="9314" spans="1:9" x14ac:dyDescent="0.2">
      <c r="A9314" s="1" t="str">
        <f>"KRT14"</f>
        <v>KRT14</v>
      </c>
      <c r="B9314" t="s">
        <v>14</v>
      </c>
      <c r="C9314" t="s">
        <v>28</v>
      </c>
      <c r="D9314" t="s">
        <v>11</v>
      </c>
      <c r="E9314" t="s">
        <v>12</v>
      </c>
      <c r="F9314">
        <v>39743139</v>
      </c>
      <c r="G9314">
        <v>39743155</v>
      </c>
      <c r="H9314">
        <v>39742930</v>
      </c>
      <c r="I9314">
        <v>39742950</v>
      </c>
    </row>
    <row r="9315" spans="1:9" x14ac:dyDescent="0.2">
      <c r="A9315" s="1" t="str">
        <f>"KRT15"</f>
        <v>KRT15</v>
      </c>
      <c r="B9315" t="s">
        <v>9</v>
      </c>
      <c r="C9315" t="s">
        <v>28</v>
      </c>
      <c r="D9315" t="s">
        <v>11</v>
      </c>
      <c r="E9315" t="s">
        <v>12</v>
      </c>
      <c r="F9315">
        <v>39675131</v>
      </c>
      <c r="G9315">
        <v>39675148</v>
      </c>
      <c r="H9315">
        <v>39675131</v>
      </c>
      <c r="I9315">
        <v>39675148</v>
      </c>
    </row>
    <row r="9316" spans="1:9" x14ac:dyDescent="0.2">
      <c r="A9316" s="1" t="str">
        <f>"KRT15"</f>
        <v>KRT15</v>
      </c>
      <c r="B9316" t="s">
        <v>13</v>
      </c>
      <c r="C9316" t="s">
        <v>28</v>
      </c>
      <c r="D9316" t="s">
        <v>11</v>
      </c>
      <c r="E9316" t="s">
        <v>12</v>
      </c>
      <c r="F9316">
        <v>39678008</v>
      </c>
      <c r="G9316">
        <v>39678038</v>
      </c>
      <c r="H9316">
        <v>39678008</v>
      </c>
      <c r="I9316">
        <v>39678038</v>
      </c>
    </row>
    <row r="9317" spans="1:9" x14ac:dyDescent="0.2">
      <c r="A9317" s="1" t="str">
        <f>"KRT16"</f>
        <v>KRT16</v>
      </c>
      <c r="B9317" t="s">
        <v>14</v>
      </c>
      <c r="C9317" t="s">
        <v>28</v>
      </c>
      <c r="D9317" t="s">
        <v>11</v>
      </c>
      <c r="E9317" t="s">
        <v>12</v>
      </c>
      <c r="F9317">
        <v>39769009</v>
      </c>
      <c r="G9317">
        <v>39769026</v>
      </c>
      <c r="H9317">
        <v>39769009</v>
      </c>
      <c r="I9317">
        <v>39769026</v>
      </c>
    </row>
    <row r="9318" spans="1:9" x14ac:dyDescent="0.2">
      <c r="A9318" s="1" t="str">
        <f>"KRT17"</f>
        <v>KRT17</v>
      </c>
      <c r="B9318" t="s">
        <v>14</v>
      </c>
      <c r="C9318" t="s">
        <v>28</v>
      </c>
      <c r="D9318" t="s">
        <v>11</v>
      </c>
      <c r="E9318" t="s">
        <v>12</v>
      </c>
      <c r="F9318">
        <v>39780819</v>
      </c>
      <c r="G9318">
        <v>39780835</v>
      </c>
      <c r="H9318">
        <v>39780530</v>
      </c>
      <c r="I9318">
        <v>39780549</v>
      </c>
    </row>
    <row r="9319" spans="1:9" x14ac:dyDescent="0.2">
      <c r="A9319" s="1" t="str">
        <f>"KRT18"</f>
        <v>KRT18</v>
      </c>
      <c r="B9319" t="s">
        <v>14</v>
      </c>
      <c r="C9319" t="s">
        <v>16</v>
      </c>
      <c r="D9319" t="s">
        <v>17</v>
      </c>
      <c r="E9319" t="s">
        <v>12</v>
      </c>
      <c r="F9319">
        <v>53342893</v>
      </c>
      <c r="G9319">
        <v>53342911</v>
      </c>
      <c r="H9319">
        <v>53342625</v>
      </c>
      <c r="I9319">
        <v>53342694</v>
      </c>
    </row>
    <row r="9320" spans="1:9" x14ac:dyDescent="0.2">
      <c r="A9320" s="1" t="str">
        <f>"KRT19"</f>
        <v>KRT19</v>
      </c>
      <c r="B9320" t="s">
        <v>14</v>
      </c>
      <c r="C9320" t="s">
        <v>28</v>
      </c>
      <c r="D9320" t="s">
        <v>11</v>
      </c>
      <c r="E9320" t="s">
        <v>12</v>
      </c>
      <c r="F9320">
        <v>39684550</v>
      </c>
      <c r="G9320">
        <v>39684567</v>
      </c>
      <c r="H9320">
        <v>39684550</v>
      </c>
      <c r="I9320">
        <v>39684567</v>
      </c>
    </row>
    <row r="9321" spans="1:9" x14ac:dyDescent="0.2">
      <c r="A9321" s="1" t="str">
        <f>"KRT2"</f>
        <v>KRT2</v>
      </c>
      <c r="B9321" t="s">
        <v>14</v>
      </c>
      <c r="C9321" t="s">
        <v>16</v>
      </c>
      <c r="D9321" t="s">
        <v>11</v>
      </c>
      <c r="E9321" t="s">
        <v>12</v>
      </c>
      <c r="F9321">
        <v>53045991</v>
      </c>
      <c r="G9321">
        <v>53045996</v>
      </c>
      <c r="H9321">
        <v>53045991</v>
      </c>
      <c r="I9321">
        <v>53045996</v>
      </c>
    </row>
    <row r="9322" spans="1:9" x14ac:dyDescent="0.2">
      <c r="A9322" s="1" t="str">
        <f>"KRT20"</f>
        <v>KRT20</v>
      </c>
      <c r="B9322" t="s">
        <v>14</v>
      </c>
      <c r="C9322" t="s">
        <v>28</v>
      </c>
      <c r="D9322" t="s">
        <v>11</v>
      </c>
      <c r="E9322" t="s">
        <v>12</v>
      </c>
      <c r="F9322">
        <v>39041488</v>
      </c>
      <c r="G9322">
        <v>39041501</v>
      </c>
      <c r="H9322">
        <v>39041488</v>
      </c>
      <c r="I9322">
        <v>39041501</v>
      </c>
    </row>
    <row r="9323" spans="1:9" x14ac:dyDescent="0.2">
      <c r="A9323" s="1" t="str">
        <f>"KRT222"</f>
        <v>KRT222</v>
      </c>
      <c r="B9323" t="s">
        <v>14</v>
      </c>
      <c r="C9323" t="s">
        <v>28</v>
      </c>
      <c r="D9323" t="s">
        <v>11</v>
      </c>
      <c r="E9323" t="s">
        <v>12</v>
      </c>
      <c r="F9323">
        <v>38821373</v>
      </c>
      <c r="G9323">
        <v>38821440</v>
      </c>
      <c r="H9323">
        <v>38821373</v>
      </c>
      <c r="I9323">
        <v>38821440</v>
      </c>
    </row>
    <row r="9324" spans="1:9" x14ac:dyDescent="0.2">
      <c r="A9324" s="1" t="str">
        <f>"KRT23"</f>
        <v>KRT23</v>
      </c>
      <c r="B9324" t="s">
        <v>14</v>
      </c>
      <c r="C9324" t="s">
        <v>28</v>
      </c>
      <c r="D9324" t="s">
        <v>11</v>
      </c>
      <c r="E9324" t="s">
        <v>12</v>
      </c>
      <c r="F9324">
        <v>39092906</v>
      </c>
      <c r="G9324">
        <v>39092924</v>
      </c>
      <c r="H9324">
        <v>39092906</v>
      </c>
      <c r="I9324">
        <v>39092924</v>
      </c>
    </row>
    <row r="9325" spans="1:9" x14ac:dyDescent="0.2">
      <c r="A9325" s="1" t="str">
        <f>"KRT24"</f>
        <v>KRT24</v>
      </c>
      <c r="B9325" t="s">
        <v>14</v>
      </c>
      <c r="C9325" t="s">
        <v>28</v>
      </c>
      <c r="D9325" t="s">
        <v>11</v>
      </c>
      <c r="E9325" t="s">
        <v>12</v>
      </c>
      <c r="F9325">
        <v>38859996</v>
      </c>
      <c r="G9325">
        <v>38860010</v>
      </c>
      <c r="H9325">
        <v>38859996</v>
      </c>
      <c r="I9325">
        <v>38860010</v>
      </c>
    </row>
    <row r="9326" spans="1:9" x14ac:dyDescent="0.2">
      <c r="A9326" s="1" t="str">
        <f>"KRT25"</f>
        <v>KRT25</v>
      </c>
      <c r="B9326" t="s">
        <v>14</v>
      </c>
      <c r="C9326" t="s">
        <v>28</v>
      </c>
      <c r="D9326" t="s">
        <v>11</v>
      </c>
      <c r="E9326" t="s">
        <v>12</v>
      </c>
      <c r="F9326">
        <v>38911580</v>
      </c>
      <c r="G9326">
        <v>38911584</v>
      </c>
      <c r="H9326">
        <v>38911580</v>
      </c>
      <c r="I9326">
        <v>38911584</v>
      </c>
    </row>
    <row r="9327" spans="1:9" x14ac:dyDescent="0.2">
      <c r="A9327" s="1" t="str">
        <f>"KRT26"</f>
        <v>KRT26</v>
      </c>
      <c r="B9327" t="s">
        <v>14</v>
      </c>
      <c r="C9327" t="s">
        <v>28</v>
      </c>
      <c r="D9327" t="s">
        <v>11</v>
      </c>
      <c r="E9327" t="s">
        <v>12</v>
      </c>
      <c r="F9327">
        <v>38928423</v>
      </c>
      <c r="G9327">
        <v>38928427</v>
      </c>
      <c r="H9327">
        <v>38928423</v>
      </c>
      <c r="I9327">
        <v>38928427</v>
      </c>
    </row>
    <row r="9328" spans="1:9" x14ac:dyDescent="0.2">
      <c r="A9328" s="1" t="str">
        <f>"KRT27"</f>
        <v>KRT27</v>
      </c>
      <c r="B9328" t="s">
        <v>14</v>
      </c>
      <c r="C9328" t="s">
        <v>28</v>
      </c>
      <c r="D9328" t="s">
        <v>11</v>
      </c>
      <c r="E9328" t="s">
        <v>12</v>
      </c>
      <c r="F9328">
        <v>38938796</v>
      </c>
      <c r="G9328">
        <v>38938803</v>
      </c>
      <c r="H9328">
        <v>38938796</v>
      </c>
      <c r="I9328">
        <v>38938803</v>
      </c>
    </row>
    <row r="9329" spans="1:9" x14ac:dyDescent="0.2">
      <c r="A9329" s="1" t="str">
        <f>"KRT28"</f>
        <v>KRT28</v>
      </c>
      <c r="B9329" t="s">
        <v>14</v>
      </c>
      <c r="C9329" t="s">
        <v>28</v>
      </c>
      <c r="D9329" t="s">
        <v>11</v>
      </c>
      <c r="E9329" t="s">
        <v>12</v>
      </c>
      <c r="F9329">
        <v>38956205</v>
      </c>
      <c r="G9329">
        <v>38956214</v>
      </c>
      <c r="H9329">
        <v>38956205</v>
      </c>
      <c r="I9329">
        <v>38956214</v>
      </c>
    </row>
    <row r="9330" spans="1:9" x14ac:dyDescent="0.2">
      <c r="A9330" s="1" t="str">
        <f>"KRT3"</f>
        <v>KRT3</v>
      </c>
      <c r="B9330" t="s">
        <v>14</v>
      </c>
      <c r="C9330" t="s">
        <v>16</v>
      </c>
      <c r="D9330" t="s">
        <v>11</v>
      </c>
      <c r="E9330" t="s">
        <v>12</v>
      </c>
      <c r="F9330">
        <v>53189894</v>
      </c>
      <c r="G9330">
        <v>53189905</v>
      </c>
      <c r="H9330">
        <v>53189894</v>
      </c>
      <c r="I9330">
        <v>53189905</v>
      </c>
    </row>
    <row r="9331" spans="1:9" x14ac:dyDescent="0.2">
      <c r="A9331" s="1" t="str">
        <f>"KRT31"</f>
        <v>KRT31</v>
      </c>
      <c r="B9331" t="s">
        <v>14</v>
      </c>
      <c r="C9331" t="s">
        <v>28</v>
      </c>
      <c r="D9331" t="s">
        <v>11</v>
      </c>
      <c r="E9331" t="s">
        <v>12</v>
      </c>
      <c r="F9331">
        <v>39553852</v>
      </c>
      <c r="G9331">
        <v>39553863</v>
      </c>
      <c r="H9331">
        <v>39553852</v>
      </c>
      <c r="I9331">
        <v>39553863</v>
      </c>
    </row>
    <row r="9332" spans="1:9" x14ac:dyDescent="0.2">
      <c r="A9332" s="1" t="str">
        <f>"KRT32"</f>
        <v>KRT32</v>
      </c>
      <c r="B9332" t="s">
        <v>14</v>
      </c>
      <c r="C9332" t="s">
        <v>28</v>
      </c>
      <c r="D9332" t="s">
        <v>11</v>
      </c>
      <c r="E9332" t="s">
        <v>12</v>
      </c>
      <c r="F9332">
        <v>39623619</v>
      </c>
      <c r="G9332">
        <v>39623623</v>
      </c>
      <c r="H9332">
        <v>39623619</v>
      </c>
      <c r="I9332">
        <v>39623623</v>
      </c>
    </row>
    <row r="9333" spans="1:9" x14ac:dyDescent="0.2">
      <c r="A9333" s="1" t="str">
        <f>"KRT33A"</f>
        <v>KRT33A</v>
      </c>
      <c r="B9333" t="s">
        <v>14</v>
      </c>
      <c r="C9333" t="s">
        <v>28</v>
      </c>
      <c r="D9333" t="s">
        <v>11</v>
      </c>
      <c r="E9333" t="s">
        <v>12</v>
      </c>
      <c r="F9333">
        <v>39507076</v>
      </c>
      <c r="G9333">
        <v>39507080</v>
      </c>
      <c r="H9333">
        <v>39507076</v>
      </c>
      <c r="I9333">
        <v>39507080</v>
      </c>
    </row>
    <row r="9334" spans="1:9" x14ac:dyDescent="0.2">
      <c r="A9334" s="1" t="str">
        <f>"KRT33B"</f>
        <v>KRT33B</v>
      </c>
      <c r="B9334" t="s">
        <v>14</v>
      </c>
      <c r="C9334" t="s">
        <v>28</v>
      </c>
      <c r="D9334" t="s">
        <v>11</v>
      </c>
      <c r="E9334" t="s">
        <v>12</v>
      </c>
      <c r="F9334">
        <v>39526059</v>
      </c>
      <c r="G9334">
        <v>39526066</v>
      </c>
      <c r="H9334">
        <v>39526059</v>
      </c>
      <c r="I9334">
        <v>39526066</v>
      </c>
    </row>
    <row r="9335" spans="1:9" x14ac:dyDescent="0.2">
      <c r="A9335" s="1" t="str">
        <f>"KRT34"</f>
        <v>KRT34</v>
      </c>
      <c r="B9335" t="s">
        <v>14</v>
      </c>
      <c r="C9335" t="s">
        <v>28</v>
      </c>
      <c r="D9335" t="s">
        <v>11</v>
      </c>
      <c r="E9335" t="s">
        <v>12</v>
      </c>
      <c r="F9335">
        <v>39538550</v>
      </c>
      <c r="G9335">
        <v>39538565</v>
      </c>
      <c r="H9335">
        <v>39538756</v>
      </c>
      <c r="I9335">
        <v>39538771</v>
      </c>
    </row>
    <row r="9336" spans="1:9" x14ac:dyDescent="0.2">
      <c r="A9336" s="1" t="str">
        <f>"KRT35"</f>
        <v>KRT35</v>
      </c>
      <c r="B9336" t="s">
        <v>14</v>
      </c>
      <c r="C9336" t="s">
        <v>28</v>
      </c>
      <c r="D9336" t="s">
        <v>11</v>
      </c>
      <c r="E9336" t="s">
        <v>12</v>
      </c>
      <c r="F9336">
        <v>39637401</v>
      </c>
      <c r="G9336">
        <v>39637404</v>
      </c>
      <c r="H9336">
        <v>39637401</v>
      </c>
      <c r="I9336">
        <v>39637404</v>
      </c>
    </row>
    <row r="9337" spans="1:9" x14ac:dyDescent="0.2">
      <c r="A9337" s="1" t="str">
        <f>"KRT36"</f>
        <v>KRT36</v>
      </c>
      <c r="B9337" t="s">
        <v>14</v>
      </c>
      <c r="C9337" t="s">
        <v>28</v>
      </c>
      <c r="D9337" t="s">
        <v>11</v>
      </c>
      <c r="E9337" t="s">
        <v>12</v>
      </c>
      <c r="F9337">
        <v>39646159</v>
      </c>
      <c r="G9337">
        <v>39646164</v>
      </c>
      <c r="H9337">
        <v>39646237</v>
      </c>
      <c r="I9337">
        <v>39646248</v>
      </c>
    </row>
    <row r="9338" spans="1:9" x14ac:dyDescent="0.2">
      <c r="A9338" s="1" t="str">
        <f>"KRT37"</f>
        <v>KRT37</v>
      </c>
      <c r="B9338" t="s">
        <v>14</v>
      </c>
      <c r="C9338" t="s">
        <v>28</v>
      </c>
      <c r="D9338" t="s">
        <v>11</v>
      </c>
      <c r="E9338" t="s">
        <v>12</v>
      </c>
      <c r="F9338">
        <v>39580836</v>
      </c>
      <c r="G9338">
        <v>39580838</v>
      </c>
      <c r="H9338">
        <v>39580836</v>
      </c>
      <c r="I9338">
        <v>39580838</v>
      </c>
    </row>
    <row r="9339" spans="1:9" x14ac:dyDescent="0.2">
      <c r="A9339" s="1" t="str">
        <f>"KRT38"</f>
        <v>KRT38</v>
      </c>
      <c r="B9339" t="s">
        <v>14</v>
      </c>
      <c r="C9339" t="s">
        <v>28</v>
      </c>
      <c r="D9339" t="s">
        <v>11</v>
      </c>
      <c r="E9339" t="s">
        <v>12</v>
      </c>
      <c r="F9339">
        <v>39597234</v>
      </c>
      <c r="G9339">
        <v>39597235</v>
      </c>
      <c r="H9339">
        <v>39597234</v>
      </c>
      <c r="I9339">
        <v>39597235</v>
      </c>
    </row>
    <row r="9340" spans="1:9" x14ac:dyDescent="0.2">
      <c r="A9340" s="1" t="str">
        <f>"KRT39"</f>
        <v>KRT39</v>
      </c>
      <c r="B9340" t="s">
        <v>14</v>
      </c>
      <c r="C9340" t="s">
        <v>28</v>
      </c>
      <c r="D9340" t="s">
        <v>11</v>
      </c>
      <c r="E9340" t="s">
        <v>12</v>
      </c>
      <c r="F9340">
        <v>39123114</v>
      </c>
      <c r="G9340">
        <v>39123171</v>
      </c>
      <c r="H9340">
        <v>39123114</v>
      </c>
      <c r="I9340">
        <v>39123171</v>
      </c>
    </row>
    <row r="9341" spans="1:9" x14ac:dyDescent="0.2">
      <c r="A9341" s="1" t="str">
        <f>"KRT4"</f>
        <v>KRT4</v>
      </c>
      <c r="B9341" t="s">
        <v>9</v>
      </c>
      <c r="C9341" t="s">
        <v>16</v>
      </c>
      <c r="D9341" t="s">
        <v>11</v>
      </c>
      <c r="E9341" t="s">
        <v>12</v>
      </c>
      <c r="F9341">
        <v>53207890</v>
      </c>
      <c r="G9341">
        <v>53207907</v>
      </c>
      <c r="H9341">
        <v>53207890</v>
      </c>
      <c r="I9341">
        <v>53207907</v>
      </c>
    </row>
    <row r="9342" spans="1:9" x14ac:dyDescent="0.2">
      <c r="A9342" s="1" t="str">
        <f>"KRT4"</f>
        <v>KRT4</v>
      </c>
      <c r="B9342" t="s">
        <v>13</v>
      </c>
      <c r="C9342" t="s">
        <v>16</v>
      </c>
      <c r="D9342" t="s">
        <v>11</v>
      </c>
      <c r="E9342" t="s">
        <v>12</v>
      </c>
      <c r="F9342">
        <v>53205652</v>
      </c>
      <c r="G9342">
        <v>53205684</v>
      </c>
      <c r="H9342">
        <v>53205652</v>
      </c>
      <c r="I9342">
        <v>53205684</v>
      </c>
    </row>
    <row r="9343" spans="1:9" x14ac:dyDescent="0.2">
      <c r="A9343" s="1" t="str">
        <f>"KRT40"</f>
        <v>KRT40</v>
      </c>
      <c r="B9343" t="s">
        <v>9</v>
      </c>
      <c r="C9343" t="s">
        <v>28</v>
      </c>
      <c r="D9343" t="s">
        <v>11</v>
      </c>
      <c r="E9343" t="s">
        <v>12</v>
      </c>
      <c r="F9343">
        <v>39140549</v>
      </c>
      <c r="G9343">
        <v>39140579</v>
      </c>
      <c r="H9343">
        <v>39140549</v>
      </c>
      <c r="I9343">
        <v>39140579</v>
      </c>
    </row>
    <row r="9344" spans="1:9" x14ac:dyDescent="0.2">
      <c r="A9344" s="1" t="str">
        <f>"KRT40"</f>
        <v>KRT40</v>
      </c>
      <c r="B9344" t="s">
        <v>13</v>
      </c>
      <c r="C9344" t="s">
        <v>28</v>
      </c>
      <c r="D9344" t="s">
        <v>11</v>
      </c>
      <c r="E9344" t="s">
        <v>12</v>
      </c>
      <c r="F9344">
        <v>39143247</v>
      </c>
      <c r="G9344">
        <v>39143276</v>
      </c>
      <c r="H9344">
        <v>39143247</v>
      </c>
      <c r="I9344">
        <v>39143276</v>
      </c>
    </row>
    <row r="9345" spans="1:9" x14ac:dyDescent="0.2">
      <c r="A9345" s="1" t="str">
        <f>"KRT5"</f>
        <v>KRT5</v>
      </c>
      <c r="B9345" t="s">
        <v>14</v>
      </c>
      <c r="C9345" t="s">
        <v>16</v>
      </c>
      <c r="D9345" t="s">
        <v>11</v>
      </c>
      <c r="E9345" t="s">
        <v>12</v>
      </c>
      <c r="F9345">
        <v>52914170</v>
      </c>
      <c r="G9345">
        <v>52914185</v>
      </c>
      <c r="H9345">
        <v>52914170</v>
      </c>
      <c r="I9345">
        <v>52914185</v>
      </c>
    </row>
    <row r="9346" spans="1:9" x14ac:dyDescent="0.2">
      <c r="A9346" s="1" t="str">
        <f>"KRT6A"</f>
        <v>KRT6A</v>
      </c>
      <c r="B9346" t="s">
        <v>9</v>
      </c>
      <c r="C9346" t="s">
        <v>16</v>
      </c>
      <c r="D9346" t="s">
        <v>11</v>
      </c>
      <c r="E9346" t="s">
        <v>12</v>
      </c>
      <c r="F9346">
        <v>52887034</v>
      </c>
      <c r="G9346">
        <v>52887049</v>
      </c>
      <c r="H9346">
        <v>52887034</v>
      </c>
      <c r="I9346">
        <v>52887049</v>
      </c>
    </row>
    <row r="9347" spans="1:9" x14ac:dyDescent="0.2">
      <c r="A9347" s="1" t="str">
        <f>"KRT6A"</f>
        <v>KRT6A</v>
      </c>
      <c r="B9347" t="s">
        <v>13</v>
      </c>
      <c r="C9347" t="s">
        <v>16</v>
      </c>
      <c r="D9347" t="s">
        <v>11</v>
      </c>
      <c r="E9347" t="s">
        <v>12</v>
      </c>
      <c r="F9347">
        <v>52885355</v>
      </c>
      <c r="G9347">
        <v>52885376</v>
      </c>
      <c r="H9347">
        <v>52885355</v>
      </c>
      <c r="I9347">
        <v>52885376</v>
      </c>
    </row>
    <row r="9348" spans="1:9" x14ac:dyDescent="0.2">
      <c r="A9348" s="1" t="str">
        <f>"KRT6B"</f>
        <v>KRT6B</v>
      </c>
      <c r="B9348" t="s">
        <v>14</v>
      </c>
      <c r="C9348" t="s">
        <v>16</v>
      </c>
      <c r="D9348" t="s">
        <v>11</v>
      </c>
      <c r="E9348" t="s">
        <v>12</v>
      </c>
      <c r="F9348">
        <v>52845923</v>
      </c>
      <c r="G9348">
        <v>52845938</v>
      </c>
      <c r="H9348">
        <v>52845923</v>
      </c>
      <c r="I9348">
        <v>52845938</v>
      </c>
    </row>
    <row r="9349" spans="1:9" x14ac:dyDescent="0.2">
      <c r="A9349" s="1" t="str">
        <f>"KRT6C"</f>
        <v>KRT6C</v>
      </c>
      <c r="B9349" t="s">
        <v>14</v>
      </c>
      <c r="C9349" t="s">
        <v>16</v>
      </c>
      <c r="D9349" t="s">
        <v>11</v>
      </c>
      <c r="E9349" t="s">
        <v>12</v>
      </c>
      <c r="F9349">
        <v>52867581</v>
      </c>
      <c r="G9349">
        <v>52867598</v>
      </c>
      <c r="H9349">
        <v>52867616</v>
      </c>
      <c r="I9349">
        <v>52867640</v>
      </c>
    </row>
    <row r="9350" spans="1:9" x14ac:dyDescent="0.2">
      <c r="A9350" s="1" t="str">
        <f>"KRT7"</f>
        <v>KRT7</v>
      </c>
      <c r="B9350" t="s">
        <v>14</v>
      </c>
      <c r="C9350" t="s">
        <v>16</v>
      </c>
      <c r="D9350" t="s">
        <v>17</v>
      </c>
      <c r="E9350" t="s">
        <v>12</v>
      </c>
      <c r="F9350">
        <v>52627019</v>
      </c>
      <c r="G9350">
        <v>52627037</v>
      </c>
      <c r="H9350">
        <v>52626432</v>
      </c>
      <c r="I9350">
        <v>52626475</v>
      </c>
    </row>
    <row r="9351" spans="1:9" x14ac:dyDescent="0.2">
      <c r="A9351" s="1" t="str">
        <f>"KRT71"</f>
        <v>KRT71</v>
      </c>
      <c r="B9351" t="s">
        <v>14</v>
      </c>
      <c r="C9351" t="s">
        <v>16</v>
      </c>
      <c r="D9351" t="s">
        <v>11</v>
      </c>
      <c r="E9351" t="s">
        <v>12</v>
      </c>
      <c r="F9351">
        <v>52946923</v>
      </c>
      <c r="G9351">
        <v>52946931</v>
      </c>
      <c r="H9351">
        <v>52946923</v>
      </c>
      <c r="I9351">
        <v>52946931</v>
      </c>
    </row>
    <row r="9352" spans="1:9" x14ac:dyDescent="0.2">
      <c r="A9352" s="1" t="str">
        <f>"KRT72"</f>
        <v>KRT72</v>
      </c>
      <c r="B9352" t="s">
        <v>14</v>
      </c>
      <c r="C9352" t="s">
        <v>16</v>
      </c>
      <c r="D9352" t="s">
        <v>11</v>
      </c>
      <c r="E9352" t="s">
        <v>12</v>
      </c>
      <c r="F9352">
        <v>52995242</v>
      </c>
      <c r="G9352">
        <v>52995258</v>
      </c>
      <c r="H9352">
        <v>52995179</v>
      </c>
      <c r="I9352">
        <v>52995191</v>
      </c>
    </row>
    <row r="9353" spans="1:9" x14ac:dyDescent="0.2">
      <c r="A9353" s="1" t="str">
        <f>"KRT73"</f>
        <v>KRT73</v>
      </c>
      <c r="B9353" t="s">
        <v>14</v>
      </c>
      <c r="C9353" t="s">
        <v>16</v>
      </c>
      <c r="D9353" t="s">
        <v>11</v>
      </c>
      <c r="E9353" t="s">
        <v>12</v>
      </c>
      <c r="F9353">
        <v>53009332</v>
      </c>
      <c r="G9353">
        <v>53009340</v>
      </c>
      <c r="H9353">
        <v>53009332</v>
      </c>
      <c r="I9353">
        <v>53009340</v>
      </c>
    </row>
    <row r="9354" spans="1:9" x14ac:dyDescent="0.2">
      <c r="A9354" s="1" t="str">
        <f>"KRT74"</f>
        <v>KRT74</v>
      </c>
      <c r="B9354" t="s">
        <v>14</v>
      </c>
      <c r="C9354" t="s">
        <v>16</v>
      </c>
      <c r="D9354" t="s">
        <v>11</v>
      </c>
      <c r="E9354" t="s">
        <v>12</v>
      </c>
      <c r="F9354">
        <v>52967622</v>
      </c>
      <c r="G9354">
        <v>52967628</v>
      </c>
      <c r="H9354">
        <v>52967622</v>
      </c>
      <c r="I9354">
        <v>52967628</v>
      </c>
    </row>
    <row r="9355" spans="1:9" x14ac:dyDescent="0.2">
      <c r="A9355" s="1" t="str">
        <f>"KRT75"</f>
        <v>KRT75</v>
      </c>
      <c r="B9355" t="s">
        <v>14</v>
      </c>
      <c r="C9355" t="s">
        <v>16</v>
      </c>
      <c r="D9355" t="s">
        <v>11</v>
      </c>
      <c r="E9355" t="s">
        <v>12</v>
      </c>
      <c r="F9355">
        <v>52828147</v>
      </c>
      <c r="G9355">
        <v>52828164</v>
      </c>
      <c r="H9355">
        <v>52828147</v>
      </c>
      <c r="I9355">
        <v>52828164</v>
      </c>
    </row>
    <row r="9356" spans="1:9" x14ac:dyDescent="0.2">
      <c r="A9356" s="1" t="str">
        <f>"KRT76"</f>
        <v>KRT76</v>
      </c>
      <c r="B9356" t="s">
        <v>14</v>
      </c>
      <c r="C9356" t="s">
        <v>16</v>
      </c>
      <c r="D9356" t="s">
        <v>11</v>
      </c>
      <c r="E9356" t="s">
        <v>12</v>
      </c>
      <c r="F9356">
        <v>53171128</v>
      </c>
      <c r="G9356">
        <v>53171131</v>
      </c>
      <c r="H9356">
        <v>53171128</v>
      </c>
      <c r="I9356">
        <v>53171131</v>
      </c>
    </row>
    <row r="9357" spans="1:9" x14ac:dyDescent="0.2">
      <c r="A9357" s="1" t="str">
        <f>"KRT77"</f>
        <v>KRT77</v>
      </c>
      <c r="B9357" t="s">
        <v>14</v>
      </c>
      <c r="C9357" t="s">
        <v>16</v>
      </c>
      <c r="D9357" t="s">
        <v>11</v>
      </c>
      <c r="E9357" t="s">
        <v>12</v>
      </c>
      <c r="F9357">
        <v>53097305</v>
      </c>
      <c r="G9357">
        <v>53097310</v>
      </c>
      <c r="H9357">
        <v>53097305</v>
      </c>
      <c r="I9357">
        <v>53097310</v>
      </c>
    </row>
    <row r="9358" spans="1:9" x14ac:dyDescent="0.2">
      <c r="A9358" s="1" t="str">
        <f>"KRT78"</f>
        <v>KRT78</v>
      </c>
      <c r="B9358" t="s">
        <v>14</v>
      </c>
      <c r="C9358" t="s">
        <v>16</v>
      </c>
      <c r="D9358" t="s">
        <v>11</v>
      </c>
      <c r="E9358" t="s">
        <v>12</v>
      </c>
      <c r="F9358">
        <v>53242770</v>
      </c>
      <c r="G9358">
        <v>53242783</v>
      </c>
      <c r="H9358">
        <v>53242770</v>
      </c>
      <c r="I9358">
        <v>53242783</v>
      </c>
    </row>
    <row r="9359" spans="1:9" x14ac:dyDescent="0.2">
      <c r="A9359" s="1" t="str">
        <f>"KRT79"</f>
        <v>KRT79</v>
      </c>
      <c r="B9359" t="s">
        <v>9</v>
      </c>
      <c r="C9359" t="s">
        <v>16</v>
      </c>
      <c r="D9359" t="s">
        <v>11</v>
      </c>
      <c r="E9359" t="s">
        <v>12</v>
      </c>
      <c r="F9359">
        <v>53228091</v>
      </c>
      <c r="G9359">
        <v>53228096</v>
      </c>
      <c r="H9359">
        <v>53228091</v>
      </c>
      <c r="I9359">
        <v>53228096</v>
      </c>
    </row>
    <row r="9360" spans="1:9" x14ac:dyDescent="0.2">
      <c r="A9360" s="1" t="str">
        <f>"KRT79"</f>
        <v>KRT79</v>
      </c>
      <c r="B9360" t="s">
        <v>13</v>
      </c>
      <c r="C9360" t="s">
        <v>16</v>
      </c>
      <c r="D9360" t="s">
        <v>11</v>
      </c>
      <c r="E9360" t="s">
        <v>12</v>
      </c>
      <c r="F9360">
        <v>53224364</v>
      </c>
      <c r="G9360">
        <v>53224373</v>
      </c>
      <c r="H9360">
        <v>53224364</v>
      </c>
      <c r="I9360">
        <v>53224373</v>
      </c>
    </row>
    <row r="9361" spans="1:9" x14ac:dyDescent="0.2">
      <c r="A9361" s="1" t="str">
        <f>"KRT8"</f>
        <v>KRT8</v>
      </c>
      <c r="B9361" t="s">
        <v>9</v>
      </c>
      <c r="C9361" t="s">
        <v>16</v>
      </c>
      <c r="D9361" t="s">
        <v>11</v>
      </c>
      <c r="E9361" t="s">
        <v>12</v>
      </c>
      <c r="F9361">
        <v>53298841</v>
      </c>
      <c r="G9361">
        <v>53298867</v>
      </c>
      <c r="H9361">
        <v>53298841</v>
      </c>
      <c r="I9361">
        <v>53298867</v>
      </c>
    </row>
    <row r="9362" spans="1:9" x14ac:dyDescent="0.2">
      <c r="A9362" s="1" t="str">
        <f>"KRT8"</f>
        <v>KRT8</v>
      </c>
      <c r="B9362" t="s">
        <v>13</v>
      </c>
      <c r="C9362" t="s">
        <v>16</v>
      </c>
      <c r="D9362" t="s">
        <v>11</v>
      </c>
      <c r="E9362" t="s">
        <v>12</v>
      </c>
      <c r="F9362">
        <v>53343633</v>
      </c>
      <c r="G9362">
        <v>53343696</v>
      </c>
      <c r="H9362">
        <v>53343633</v>
      </c>
      <c r="I9362">
        <v>53343696</v>
      </c>
    </row>
    <row r="9363" spans="1:9" x14ac:dyDescent="0.2">
      <c r="A9363" s="1" t="str">
        <f>"KRT80"</f>
        <v>KRT80</v>
      </c>
      <c r="B9363" t="s">
        <v>14</v>
      </c>
      <c r="C9363" t="s">
        <v>16</v>
      </c>
      <c r="D9363" t="s">
        <v>11</v>
      </c>
      <c r="E9363" t="s">
        <v>12</v>
      </c>
      <c r="F9363">
        <v>52585791</v>
      </c>
      <c r="G9363">
        <v>52585806</v>
      </c>
      <c r="H9363">
        <v>52585765</v>
      </c>
      <c r="I9363">
        <v>52585777</v>
      </c>
    </row>
    <row r="9364" spans="1:9" x14ac:dyDescent="0.2">
      <c r="A9364" s="1" t="str">
        <f>"KRT81"</f>
        <v>KRT81</v>
      </c>
      <c r="B9364" t="s">
        <v>14</v>
      </c>
      <c r="C9364" t="s">
        <v>16</v>
      </c>
      <c r="D9364" t="s">
        <v>11</v>
      </c>
      <c r="E9364" t="s">
        <v>12</v>
      </c>
      <c r="F9364">
        <v>52681922</v>
      </c>
      <c r="G9364">
        <v>52681934</v>
      </c>
      <c r="H9364">
        <v>52681922</v>
      </c>
      <c r="I9364">
        <v>52681934</v>
      </c>
    </row>
    <row r="9365" spans="1:9" x14ac:dyDescent="0.2">
      <c r="A9365" s="1" t="str">
        <f>"KRT82"</f>
        <v>KRT82</v>
      </c>
      <c r="B9365" t="s">
        <v>14</v>
      </c>
      <c r="C9365" t="s">
        <v>16</v>
      </c>
      <c r="D9365" t="s">
        <v>11</v>
      </c>
      <c r="E9365" t="s">
        <v>12</v>
      </c>
      <c r="F9365">
        <v>52800115</v>
      </c>
      <c r="G9365">
        <v>52800120</v>
      </c>
      <c r="H9365">
        <v>52800115</v>
      </c>
      <c r="I9365">
        <v>52800120</v>
      </c>
    </row>
    <row r="9366" spans="1:9" x14ac:dyDescent="0.2">
      <c r="A9366" s="1" t="str">
        <f>"KRT83"</f>
        <v>KRT83</v>
      </c>
      <c r="B9366" t="s">
        <v>14</v>
      </c>
      <c r="C9366" t="s">
        <v>16</v>
      </c>
      <c r="D9366" t="s">
        <v>11</v>
      </c>
      <c r="E9366" t="s">
        <v>12</v>
      </c>
      <c r="F9366">
        <v>52715179</v>
      </c>
      <c r="G9366">
        <v>52715182</v>
      </c>
      <c r="H9366">
        <v>52715236</v>
      </c>
      <c r="I9366">
        <v>52715240</v>
      </c>
    </row>
    <row r="9367" spans="1:9" x14ac:dyDescent="0.2">
      <c r="A9367" s="1" t="str">
        <f>"KRT84"</f>
        <v>KRT84</v>
      </c>
      <c r="B9367" t="s">
        <v>14</v>
      </c>
      <c r="C9367" t="s">
        <v>16</v>
      </c>
      <c r="D9367" t="s">
        <v>11</v>
      </c>
      <c r="E9367" t="s">
        <v>12</v>
      </c>
      <c r="F9367">
        <v>52779433</v>
      </c>
      <c r="G9367">
        <v>52779437</v>
      </c>
      <c r="H9367">
        <v>52779433</v>
      </c>
      <c r="I9367">
        <v>52779437</v>
      </c>
    </row>
    <row r="9368" spans="1:9" x14ac:dyDescent="0.2">
      <c r="A9368" s="1" t="str">
        <f>"KRT85"</f>
        <v>KRT85</v>
      </c>
      <c r="B9368" t="s">
        <v>14</v>
      </c>
      <c r="C9368" t="s">
        <v>16</v>
      </c>
      <c r="D9368" t="s">
        <v>11</v>
      </c>
      <c r="E9368" t="s">
        <v>12</v>
      </c>
      <c r="F9368">
        <v>52761262</v>
      </c>
      <c r="G9368">
        <v>52761267</v>
      </c>
      <c r="H9368">
        <v>52761262</v>
      </c>
      <c r="I9368">
        <v>52761267</v>
      </c>
    </row>
    <row r="9369" spans="1:9" x14ac:dyDescent="0.2">
      <c r="A9369" s="1" t="str">
        <f>"KRT86"</f>
        <v>KRT86</v>
      </c>
      <c r="B9369" t="s">
        <v>14</v>
      </c>
      <c r="C9369" t="s">
        <v>16</v>
      </c>
      <c r="D9369" t="s">
        <v>17</v>
      </c>
      <c r="E9369" t="s">
        <v>12</v>
      </c>
      <c r="F9369">
        <v>52643022</v>
      </c>
      <c r="G9369">
        <v>52643063</v>
      </c>
      <c r="H9369">
        <v>52643077</v>
      </c>
      <c r="I9369">
        <v>52643093</v>
      </c>
    </row>
    <row r="9370" spans="1:9" x14ac:dyDescent="0.2">
      <c r="A9370" s="1" t="str">
        <f>"KRT9"</f>
        <v>KRT9</v>
      </c>
      <c r="B9370" t="s">
        <v>14</v>
      </c>
      <c r="C9370" t="s">
        <v>28</v>
      </c>
      <c r="D9370" t="s">
        <v>11</v>
      </c>
      <c r="E9370" t="s">
        <v>12</v>
      </c>
      <c r="F9370">
        <v>39728303</v>
      </c>
      <c r="G9370">
        <v>39728318</v>
      </c>
      <c r="H9370">
        <v>39728142</v>
      </c>
      <c r="I9370">
        <v>39728186</v>
      </c>
    </row>
    <row r="9371" spans="1:9" x14ac:dyDescent="0.2">
      <c r="A9371" s="1" t="str">
        <f>"KRTAP1-1"</f>
        <v>KRTAP1-1</v>
      </c>
      <c r="B9371" t="s">
        <v>14</v>
      </c>
      <c r="C9371" t="s">
        <v>28</v>
      </c>
      <c r="D9371" t="s">
        <v>11</v>
      </c>
      <c r="E9371" t="s">
        <v>12</v>
      </c>
      <c r="F9371">
        <v>39197699</v>
      </c>
      <c r="G9371">
        <v>39197703</v>
      </c>
      <c r="H9371">
        <v>39197699</v>
      </c>
      <c r="I9371">
        <v>39197703</v>
      </c>
    </row>
    <row r="9372" spans="1:9" x14ac:dyDescent="0.2">
      <c r="A9372" s="1" t="str">
        <f>"KRTAP1-3"</f>
        <v>KRTAP1-3</v>
      </c>
      <c r="B9372" t="s">
        <v>14</v>
      </c>
      <c r="C9372" t="s">
        <v>28</v>
      </c>
      <c r="D9372" t="s">
        <v>11</v>
      </c>
      <c r="E9372" t="s">
        <v>12</v>
      </c>
      <c r="F9372">
        <v>39191123</v>
      </c>
      <c r="G9372">
        <v>39191127</v>
      </c>
      <c r="H9372">
        <v>39191123</v>
      </c>
      <c r="I9372">
        <v>39191127</v>
      </c>
    </row>
    <row r="9373" spans="1:9" x14ac:dyDescent="0.2">
      <c r="A9373" s="1" t="str">
        <f>"KRTAP1-4"</f>
        <v>KRTAP1-4</v>
      </c>
      <c r="B9373" t="s">
        <v>691</v>
      </c>
      <c r="C9373" t="s">
        <v>28</v>
      </c>
      <c r="D9373" t="s">
        <v>11</v>
      </c>
      <c r="E9373" t="s">
        <v>20</v>
      </c>
      <c r="F9373">
        <v>39186355</v>
      </c>
      <c r="G9373">
        <v>39186355</v>
      </c>
      <c r="H9373">
        <v>39186355</v>
      </c>
      <c r="I9373">
        <v>39186355</v>
      </c>
    </row>
    <row r="9374" spans="1:9" x14ac:dyDescent="0.2">
      <c r="A9374" s="1" t="str">
        <f>"KRTAP1-5"</f>
        <v>KRTAP1-5</v>
      </c>
      <c r="B9374" t="s">
        <v>14</v>
      </c>
      <c r="C9374" t="s">
        <v>28</v>
      </c>
      <c r="D9374" t="s">
        <v>11</v>
      </c>
      <c r="E9374" t="s">
        <v>12</v>
      </c>
      <c r="F9374">
        <v>39183452</v>
      </c>
      <c r="G9374">
        <v>39183468</v>
      </c>
      <c r="H9374">
        <v>39183452</v>
      </c>
      <c r="I9374">
        <v>39183468</v>
      </c>
    </row>
    <row r="9375" spans="1:9" x14ac:dyDescent="0.2">
      <c r="A9375" s="1" t="str">
        <f>"KRTAP10-1"</f>
        <v>KRTAP10-1</v>
      </c>
      <c r="B9375" t="s">
        <v>14</v>
      </c>
      <c r="C9375" t="s">
        <v>42</v>
      </c>
      <c r="D9375" t="s">
        <v>11</v>
      </c>
      <c r="E9375" t="s">
        <v>12</v>
      </c>
      <c r="F9375">
        <v>45960120</v>
      </c>
      <c r="G9375">
        <v>45960124</v>
      </c>
      <c r="H9375">
        <v>45960120</v>
      </c>
      <c r="I9375">
        <v>45960124</v>
      </c>
    </row>
    <row r="9376" spans="1:9" x14ac:dyDescent="0.2">
      <c r="A9376" s="1" t="str">
        <f>"KRTAP10-10"</f>
        <v>KRTAP10-10</v>
      </c>
      <c r="B9376" t="s">
        <v>14</v>
      </c>
      <c r="C9376" t="s">
        <v>42</v>
      </c>
      <c r="D9376" t="s">
        <v>17</v>
      </c>
      <c r="E9376" t="s">
        <v>12</v>
      </c>
      <c r="F9376">
        <v>46057267</v>
      </c>
      <c r="G9376">
        <v>46057268</v>
      </c>
      <c r="H9376">
        <v>46057267</v>
      </c>
      <c r="I9376">
        <v>46057268</v>
      </c>
    </row>
    <row r="9377" spans="1:9" x14ac:dyDescent="0.2">
      <c r="A9377" s="1" t="str">
        <f>"KRTAP10-11"</f>
        <v>KRTAP10-11</v>
      </c>
      <c r="B9377" t="s">
        <v>692</v>
      </c>
      <c r="C9377" t="s">
        <v>42</v>
      </c>
      <c r="D9377" t="s">
        <v>17</v>
      </c>
      <c r="E9377" t="s">
        <v>20</v>
      </c>
      <c r="F9377">
        <v>46066330</v>
      </c>
      <c r="G9377">
        <v>46066330</v>
      </c>
      <c r="H9377">
        <v>46066330</v>
      </c>
      <c r="I9377">
        <v>46066330</v>
      </c>
    </row>
    <row r="9378" spans="1:9" x14ac:dyDescent="0.2">
      <c r="A9378" s="1" t="str">
        <f>"KRTAP10-12"</f>
        <v>KRTAP10-12</v>
      </c>
      <c r="B9378" t="s">
        <v>693</v>
      </c>
      <c r="C9378" t="s">
        <v>42</v>
      </c>
      <c r="D9378" t="s">
        <v>17</v>
      </c>
      <c r="E9378" t="s">
        <v>20</v>
      </c>
      <c r="F9378">
        <v>46117086</v>
      </c>
      <c r="G9378">
        <v>46117086</v>
      </c>
      <c r="H9378">
        <v>46117086</v>
      </c>
      <c r="I9378">
        <v>46117086</v>
      </c>
    </row>
    <row r="9379" spans="1:9" x14ac:dyDescent="0.2">
      <c r="A9379" s="1" t="str">
        <f>"KRTAP10-2"</f>
        <v>KRTAP10-2</v>
      </c>
      <c r="B9379" t="s">
        <v>694</v>
      </c>
      <c r="C9379" t="s">
        <v>42</v>
      </c>
      <c r="D9379" t="s">
        <v>11</v>
      </c>
      <c r="E9379" t="s">
        <v>20</v>
      </c>
      <c r="F9379">
        <v>45971387</v>
      </c>
      <c r="G9379">
        <v>45971387</v>
      </c>
      <c r="H9379">
        <v>45971387</v>
      </c>
      <c r="I9379">
        <v>45971387</v>
      </c>
    </row>
    <row r="9380" spans="1:9" x14ac:dyDescent="0.2">
      <c r="A9380" s="1" t="str">
        <f>"KRTAP10-3"</f>
        <v>KRTAP10-3</v>
      </c>
      <c r="B9380" t="s">
        <v>14</v>
      </c>
      <c r="C9380" t="s">
        <v>42</v>
      </c>
      <c r="D9380" t="s">
        <v>11</v>
      </c>
      <c r="E9380" t="s">
        <v>12</v>
      </c>
      <c r="F9380">
        <v>45978676</v>
      </c>
      <c r="G9380">
        <v>45978679</v>
      </c>
      <c r="H9380">
        <v>45978676</v>
      </c>
      <c r="I9380">
        <v>45978679</v>
      </c>
    </row>
    <row r="9381" spans="1:9" x14ac:dyDescent="0.2">
      <c r="A9381" s="1" t="str">
        <f>"KRTAP10-4"</f>
        <v>KRTAP10-4</v>
      </c>
      <c r="B9381" t="s">
        <v>14</v>
      </c>
      <c r="C9381" t="s">
        <v>42</v>
      </c>
      <c r="D9381" t="s">
        <v>17</v>
      </c>
      <c r="E9381" t="s">
        <v>12</v>
      </c>
      <c r="F9381">
        <v>45993570</v>
      </c>
      <c r="G9381">
        <v>45993571</v>
      </c>
      <c r="H9381">
        <v>45993570</v>
      </c>
      <c r="I9381">
        <v>45993571</v>
      </c>
    </row>
    <row r="9382" spans="1:9" x14ac:dyDescent="0.2">
      <c r="A9382" s="1" t="str">
        <f>"KRTAP10-5"</f>
        <v>KRTAP10-5</v>
      </c>
      <c r="B9382" t="s">
        <v>14</v>
      </c>
      <c r="C9382" t="s">
        <v>42</v>
      </c>
      <c r="D9382" t="s">
        <v>11</v>
      </c>
      <c r="E9382" t="s">
        <v>12</v>
      </c>
      <c r="F9382">
        <v>46000536</v>
      </c>
      <c r="G9382">
        <v>46000542</v>
      </c>
      <c r="H9382">
        <v>46000536</v>
      </c>
      <c r="I9382">
        <v>46000542</v>
      </c>
    </row>
    <row r="9383" spans="1:9" x14ac:dyDescent="0.2">
      <c r="A9383" s="1" t="str">
        <f>"KRTAP10-6"</f>
        <v>KRTAP10-6</v>
      </c>
      <c r="B9383" t="s">
        <v>695</v>
      </c>
      <c r="C9383" t="s">
        <v>42</v>
      </c>
      <c r="D9383" t="s">
        <v>11</v>
      </c>
      <c r="E9383" t="s">
        <v>20</v>
      </c>
      <c r="F9383">
        <v>46012385</v>
      </c>
      <c r="G9383">
        <v>46012385</v>
      </c>
      <c r="H9383">
        <v>46012385</v>
      </c>
      <c r="I9383">
        <v>46012385</v>
      </c>
    </row>
    <row r="9384" spans="1:9" x14ac:dyDescent="0.2">
      <c r="A9384" s="1" t="str">
        <f>"KRTAP10-7"</f>
        <v>KRTAP10-7</v>
      </c>
      <c r="B9384" t="s">
        <v>14</v>
      </c>
      <c r="C9384" t="s">
        <v>42</v>
      </c>
      <c r="D9384" t="s">
        <v>17</v>
      </c>
      <c r="E9384" t="s">
        <v>12</v>
      </c>
      <c r="F9384">
        <v>46020455</v>
      </c>
      <c r="G9384">
        <v>46020460</v>
      </c>
      <c r="H9384">
        <v>46020455</v>
      </c>
      <c r="I9384">
        <v>46020460</v>
      </c>
    </row>
    <row r="9385" spans="1:9" x14ac:dyDescent="0.2">
      <c r="A9385" s="1" t="str">
        <f>"KRTAP10-8"</f>
        <v>KRTAP10-8</v>
      </c>
      <c r="B9385" t="s">
        <v>14</v>
      </c>
      <c r="C9385" t="s">
        <v>42</v>
      </c>
      <c r="D9385" t="s">
        <v>17</v>
      </c>
      <c r="E9385" t="s">
        <v>12</v>
      </c>
      <c r="F9385">
        <v>46031970</v>
      </c>
      <c r="G9385">
        <v>46031974</v>
      </c>
      <c r="H9385">
        <v>46031970</v>
      </c>
      <c r="I9385">
        <v>46031974</v>
      </c>
    </row>
    <row r="9386" spans="1:9" x14ac:dyDescent="0.2">
      <c r="A9386" s="1" t="str">
        <f>"KRTAP10-9"</f>
        <v>KRTAP10-9</v>
      </c>
      <c r="B9386" t="s">
        <v>14</v>
      </c>
      <c r="C9386" t="s">
        <v>42</v>
      </c>
      <c r="D9386" t="s">
        <v>17</v>
      </c>
      <c r="E9386" t="s">
        <v>12</v>
      </c>
      <c r="F9386">
        <v>46047009</v>
      </c>
      <c r="G9386">
        <v>46047014</v>
      </c>
      <c r="H9386">
        <v>46047009</v>
      </c>
      <c r="I9386">
        <v>46047014</v>
      </c>
    </row>
    <row r="9387" spans="1:9" x14ac:dyDescent="0.2">
      <c r="A9387" s="1" t="str">
        <f>"KRTAP11-1"</f>
        <v>KRTAP11-1</v>
      </c>
      <c r="B9387" t="s">
        <v>14</v>
      </c>
      <c r="C9387" t="s">
        <v>42</v>
      </c>
      <c r="D9387" t="s">
        <v>11</v>
      </c>
      <c r="E9387" t="s">
        <v>12</v>
      </c>
      <c r="F9387">
        <v>32253891</v>
      </c>
      <c r="G9387">
        <v>32253899</v>
      </c>
      <c r="H9387">
        <v>32253891</v>
      </c>
      <c r="I9387">
        <v>32253899</v>
      </c>
    </row>
    <row r="9388" spans="1:9" x14ac:dyDescent="0.2">
      <c r="A9388" s="1" t="str">
        <f>"KRTAP12-1"</f>
        <v>KRTAP12-1</v>
      </c>
      <c r="B9388" t="s">
        <v>696</v>
      </c>
      <c r="C9388" t="s">
        <v>42</v>
      </c>
      <c r="D9388" t="s">
        <v>11</v>
      </c>
      <c r="E9388" t="s">
        <v>20</v>
      </c>
      <c r="F9388">
        <v>46102077</v>
      </c>
      <c r="G9388">
        <v>46102077</v>
      </c>
      <c r="H9388">
        <v>46102077</v>
      </c>
      <c r="I9388">
        <v>46102077</v>
      </c>
    </row>
    <row r="9389" spans="1:9" x14ac:dyDescent="0.2">
      <c r="A9389" s="1" t="str">
        <f>"KRTAP12-2"</f>
        <v>KRTAP12-2</v>
      </c>
      <c r="B9389" t="s">
        <v>697</v>
      </c>
      <c r="C9389" t="s">
        <v>42</v>
      </c>
      <c r="D9389" t="s">
        <v>11</v>
      </c>
      <c r="E9389" t="s">
        <v>20</v>
      </c>
      <c r="F9389">
        <v>46086843</v>
      </c>
      <c r="G9389">
        <v>46086843</v>
      </c>
      <c r="H9389">
        <v>46086843</v>
      </c>
      <c r="I9389">
        <v>46086843</v>
      </c>
    </row>
    <row r="9390" spans="1:9" x14ac:dyDescent="0.2">
      <c r="A9390" s="1" t="str">
        <f>"KRTAP12-3"</f>
        <v>KRTAP12-3</v>
      </c>
      <c r="B9390" t="s">
        <v>14</v>
      </c>
      <c r="C9390" t="s">
        <v>42</v>
      </c>
      <c r="D9390" t="s">
        <v>17</v>
      </c>
      <c r="E9390" t="s">
        <v>12</v>
      </c>
      <c r="F9390">
        <v>46077849</v>
      </c>
      <c r="G9390">
        <v>46077872</v>
      </c>
      <c r="H9390">
        <v>46077849</v>
      </c>
      <c r="I9390">
        <v>46077872</v>
      </c>
    </row>
    <row r="9391" spans="1:9" x14ac:dyDescent="0.2">
      <c r="A9391" s="1" t="str">
        <f>"KRTAP12-4"</f>
        <v>KRTAP12-4</v>
      </c>
      <c r="B9391" t="s">
        <v>698</v>
      </c>
      <c r="C9391" t="s">
        <v>42</v>
      </c>
      <c r="D9391" t="s">
        <v>11</v>
      </c>
      <c r="E9391" t="s">
        <v>20</v>
      </c>
      <c r="F9391">
        <v>46074575</v>
      </c>
      <c r="G9391">
        <v>46074575</v>
      </c>
      <c r="H9391">
        <v>46074575</v>
      </c>
      <c r="I9391">
        <v>46074575</v>
      </c>
    </row>
    <row r="9392" spans="1:9" x14ac:dyDescent="0.2">
      <c r="A9392" s="1" t="str">
        <f>"KRTAP13-1"</f>
        <v>KRTAP13-1</v>
      </c>
      <c r="B9392" t="s">
        <v>14</v>
      </c>
      <c r="C9392" t="s">
        <v>42</v>
      </c>
      <c r="D9392" t="s">
        <v>17</v>
      </c>
      <c r="E9392" t="s">
        <v>12</v>
      </c>
      <c r="F9392">
        <v>31768348</v>
      </c>
      <c r="G9392">
        <v>31768356</v>
      </c>
      <c r="H9392">
        <v>31768348</v>
      </c>
      <c r="I9392">
        <v>31768356</v>
      </c>
    </row>
    <row r="9393" spans="1:9" x14ac:dyDescent="0.2">
      <c r="A9393" s="1" t="str">
        <f>"KRTAP13-2"</f>
        <v>KRTAP13-2</v>
      </c>
      <c r="B9393" t="s">
        <v>14</v>
      </c>
      <c r="C9393" t="s">
        <v>42</v>
      </c>
      <c r="D9393" t="s">
        <v>11</v>
      </c>
      <c r="E9393" t="s">
        <v>12</v>
      </c>
      <c r="F9393">
        <v>31744583</v>
      </c>
      <c r="G9393">
        <v>31744589</v>
      </c>
      <c r="H9393">
        <v>31744583</v>
      </c>
      <c r="I9393">
        <v>31744589</v>
      </c>
    </row>
    <row r="9394" spans="1:9" x14ac:dyDescent="0.2">
      <c r="A9394" s="1" t="str">
        <f>"KRTAP13-3"</f>
        <v>KRTAP13-3</v>
      </c>
      <c r="B9394" t="s">
        <v>699</v>
      </c>
      <c r="C9394" t="s">
        <v>42</v>
      </c>
      <c r="D9394" t="s">
        <v>11</v>
      </c>
      <c r="E9394" t="s">
        <v>20</v>
      </c>
      <c r="F9394">
        <v>31798285</v>
      </c>
      <c r="G9394">
        <v>31798285</v>
      </c>
      <c r="H9394">
        <v>31798285</v>
      </c>
      <c r="I9394">
        <v>31798285</v>
      </c>
    </row>
    <row r="9395" spans="1:9" x14ac:dyDescent="0.2">
      <c r="A9395" s="1" t="str">
        <f>"KRTAP13-4"</f>
        <v>KRTAP13-4</v>
      </c>
      <c r="B9395" t="s">
        <v>700</v>
      </c>
      <c r="C9395" t="s">
        <v>42</v>
      </c>
      <c r="D9395" t="s">
        <v>17</v>
      </c>
      <c r="E9395" t="s">
        <v>20</v>
      </c>
      <c r="F9395">
        <v>31802571</v>
      </c>
      <c r="G9395">
        <v>31802571</v>
      </c>
      <c r="H9395">
        <v>31802571</v>
      </c>
      <c r="I9395">
        <v>31802571</v>
      </c>
    </row>
    <row r="9396" spans="1:9" x14ac:dyDescent="0.2">
      <c r="A9396" s="1" t="str">
        <f>"KRTAP15-1"</f>
        <v>KRTAP15-1</v>
      </c>
      <c r="B9396" t="s">
        <v>701</v>
      </c>
      <c r="C9396" t="s">
        <v>42</v>
      </c>
      <c r="D9396" t="s">
        <v>17</v>
      </c>
      <c r="E9396" t="s">
        <v>20</v>
      </c>
      <c r="F9396">
        <v>31812596</v>
      </c>
      <c r="G9396">
        <v>31812596</v>
      </c>
      <c r="H9396">
        <v>31812596</v>
      </c>
      <c r="I9396">
        <v>31812596</v>
      </c>
    </row>
    <row r="9397" spans="1:9" x14ac:dyDescent="0.2">
      <c r="A9397" s="1" t="str">
        <f>"KRTAP16-1"</f>
        <v>KRTAP16-1</v>
      </c>
      <c r="B9397" t="s">
        <v>14</v>
      </c>
      <c r="C9397" t="s">
        <v>28</v>
      </c>
      <c r="D9397" t="s">
        <v>11</v>
      </c>
      <c r="E9397" t="s">
        <v>12</v>
      </c>
      <c r="F9397">
        <v>39465536</v>
      </c>
      <c r="G9397">
        <v>39465562</v>
      </c>
      <c r="H9397">
        <v>39465536</v>
      </c>
      <c r="I9397">
        <v>39465562</v>
      </c>
    </row>
    <row r="9398" spans="1:9" x14ac:dyDescent="0.2">
      <c r="A9398" s="1" t="str">
        <f>"KRTAP17-1"</f>
        <v>KRTAP17-1</v>
      </c>
      <c r="B9398" t="s">
        <v>14</v>
      </c>
      <c r="C9398" t="s">
        <v>28</v>
      </c>
      <c r="D9398" t="s">
        <v>11</v>
      </c>
      <c r="E9398" t="s">
        <v>12</v>
      </c>
      <c r="F9398">
        <v>39471958</v>
      </c>
      <c r="G9398">
        <v>39471963</v>
      </c>
      <c r="H9398">
        <v>39471958</v>
      </c>
      <c r="I9398">
        <v>39471963</v>
      </c>
    </row>
    <row r="9399" spans="1:9" x14ac:dyDescent="0.2">
      <c r="A9399" s="1" t="str">
        <f>"KRTAP19-1"</f>
        <v>KRTAP19-1</v>
      </c>
      <c r="B9399" t="s">
        <v>14</v>
      </c>
      <c r="C9399" t="s">
        <v>42</v>
      </c>
      <c r="D9399" t="s">
        <v>11</v>
      </c>
      <c r="E9399" t="s">
        <v>12</v>
      </c>
      <c r="F9399">
        <v>31852683</v>
      </c>
      <c r="G9399">
        <v>31852688</v>
      </c>
      <c r="H9399">
        <v>31852683</v>
      </c>
      <c r="I9399">
        <v>31852688</v>
      </c>
    </row>
    <row r="9400" spans="1:9" x14ac:dyDescent="0.2">
      <c r="A9400" s="1" t="str">
        <f>"KRTAP19-2"</f>
        <v>KRTAP19-2</v>
      </c>
      <c r="B9400" t="s">
        <v>702</v>
      </c>
      <c r="C9400" t="s">
        <v>42</v>
      </c>
      <c r="D9400" t="s">
        <v>11</v>
      </c>
      <c r="E9400" t="s">
        <v>20</v>
      </c>
      <c r="F9400">
        <v>31859754</v>
      </c>
      <c r="G9400">
        <v>31859754</v>
      </c>
      <c r="H9400">
        <v>31859754</v>
      </c>
      <c r="I9400">
        <v>31859754</v>
      </c>
    </row>
    <row r="9401" spans="1:9" x14ac:dyDescent="0.2">
      <c r="A9401" s="1" t="str">
        <f>"KRTAP19-3"</f>
        <v>KRTAP19-3</v>
      </c>
      <c r="B9401" t="s">
        <v>14</v>
      </c>
      <c r="C9401" t="s">
        <v>42</v>
      </c>
      <c r="D9401" t="s">
        <v>11</v>
      </c>
      <c r="E9401" t="s">
        <v>12</v>
      </c>
      <c r="F9401">
        <v>31864326</v>
      </c>
      <c r="G9401">
        <v>31864331</v>
      </c>
      <c r="H9401">
        <v>31864326</v>
      </c>
      <c r="I9401">
        <v>31864331</v>
      </c>
    </row>
    <row r="9402" spans="1:9" x14ac:dyDescent="0.2">
      <c r="A9402" s="1" t="str">
        <f>"KRTAP19-4"</f>
        <v>KRTAP19-4</v>
      </c>
      <c r="B9402" t="s">
        <v>703</v>
      </c>
      <c r="C9402" t="s">
        <v>42</v>
      </c>
      <c r="D9402" t="s">
        <v>11</v>
      </c>
      <c r="E9402" t="s">
        <v>20</v>
      </c>
      <c r="F9402">
        <v>31869450</v>
      </c>
      <c r="G9402">
        <v>31869450</v>
      </c>
      <c r="H9402">
        <v>31869450</v>
      </c>
      <c r="I9402">
        <v>31869450</v>
      </c>
    </row>
    <row r="9403" spans="1:9" x14ac:dyDescent="0.2">
      <c r="A9403" s="1" t="str">
        <f>"KRTAP19-5"</f>
        <v>KRTAP19-5</v>
      </c>
      <c r="B9403" t="s">
        <v>14</v>
      </c>
      <c r="C9403" t="s">
        <v>42</v>
      </c>
      <c r="D9403" t="s">
        <v>11</v>
      </c>
      <c r="E9403" t="s">
        <v>12</v>
      </c>
      <c r="F9403">
        <v>31874456</v>
      </c>
      <c r="G9403">
        <v>31874461</v>
      </c>
      <c r="H9403">
        <v>31874456</v>
      </c>
      <c r="I9403">
        <v>31874461</v>
      </c>
    </row>
    <row r="9404" spans="1:9" x14ac:dyDescent="0.2">
      <c r="A9404" s="1" t="str">
        <f>"KRTAP19-6"</f>
        <v>KRTAP19-6</v>
      </c>
      <c r="B9404" t="s">
        <v>704</v>
      </c>
      <c r="C9404" t="s">
        <v>42</v>
      </c>
      <c r="D9404" t="s">
        <v>11</v>
      </c>
      <c r="E9404" t="s">
        <v>20</v>
      </c>
      <c r="F9404">
        <v>31914182</v>
      </c>
      <c r="G9404">
        <v>31914182</v>
      </c>
      <c r="H9404">
        <v>31914182</v>
      </c>
      <c r="I9404">
        <v>31914182</v>
      </c>
    </row>
    <row r="9405" spans="1:9" x14ac:dyDescent="0.2">
      <c r="A9405" s="1" t="str">
        <f>"KRTAP19-7"</f>
        <v>KRTAP19-7</v>
      </c>
      <c r="B9405" t="s">
        <v>705</v>
      </c>
      <c r="C9405" t="s">
        <v>42</v>
      </c>
      <c r="D9405" t="s">
        <v>11</v>
      </c>
      <c r="E9405" t="s">
        <v>20</v>
      </c>
      <c r="F9405">
        <v>31933632</v>
      </c>
      <c r="G9405">
        <v>31933632</v>
      </c>
      <c r="H9405">
        <v>31933632</v>
      </c>
      <c r="I9405">
        <v>31933632</v>
      </c>
    </row>
    <row r="9406" spans="1:9" x14ac:dyDescent="0.2">
      <c r="A9406" s="1" t="str">
        <f>"KRTAP19-8"</f>
        <v>KRTAP19-8</v>
      </c>
      <c r="B9406" t="s">
        <v>706</v>
      </c>
      <c r="C9406" t="s">
        <v>42</v>
      </c>
      <c r="D9406" t="s">
        <v>11</v>
      </c>
      <c r="E9406" t="s">
        <v>20</v>
      </c>
      <c r="F9406">
        <v>32410794</v>
      </c>
      <c r="G9406">
        <v>32410794</v>
      </c>
      <c r="H9406">
        <v>32410794</v>
      </c>
      <c r="I9406">
        <v>32410794</v>
      </c>
    </row>
    <row r="9407" spans="1:9" x14ac:dyDescent="0.2">
      <c r="A9407" s="1" t="str">
        <f>"KRTAP2-1"</f>
        <v>KRTAP2-1</v>
      </c>
      <c r="B9407" t="s">
        <v>707</v>
      </c>
      <c r="C9407" t="s">
        <v>28</v>
      </c>
      <c r="D9407" t="s">
        <v>11</v>
      </c>
      <c r="E9407" t="s">
        <v>20</v>
      </c>
      <c r="F9407">
        <v>39203567</v>
      </c>
      <c r="G9407">
        <v>39203567</v>
      </c>
      <c r="H9407">
        <v>39203567</v>
      </c>
      <c r="I9407">
        <v>39203567</v>
      </c>
    </row>
    <row r="9408" spans="1:9" x14ac:dyDescent="0.2">
      <c r="A9408" s="1" t="str">
        <f>"KRTAP2-2"</f>
        <v>KRTAP2-2</v>
      </c>
      <c r="B9408" t="s">
        <v>708</v>
      </c>
      <c r="C9408" t="s">
        <v>28</v>
      </c>
      <c r="D9408" t="s">
        <v>11</v>
      </c>
      <c r="E9408" t="s">
        <v>20</v>
      </c>
      <c r="F9408">
        <v>39211471</v>
      </c>
      <c r="G9408">
        <v>39211471</v>
      </c>
      <c r="H9408">
        <v>39211471</v>
      </c>
      <c r="I9408">
        <v>39211471</v>
      </c>
    </row>
    <row r="9409" spans="1:9" x14ac:dyDescent="0.2">
      <c r="A9409" s="1" t="str">
        <f>"KRTAP2-3"</f>
        <v>KRTAP2-3</v>
      </c>
      <c r="B9409" t="s">
        <v>14</v>
      </c>
      <c r="C9409" t="s">
        <v>28</v>
      </c>
      <c r="D9409" t="s">
        <v>11</v>
      </c>
      <c r="E9409" t="s">
        <v>67</v>
      </c>
      <c r="F9409">
        <v>39216361</v>
      </c>
      <c r="G9409">
        <v>39216368</v>
      </c>
      <c r="H9409">
        <v>39216361</v>
      </c>
      <c r="I9409">
        <v>39216368</v>
      </c>
    </row>
    <row r="9410" spans="1:9" x14ac:dyDescent="0.2">
      <c r="A9410" s="1" t="str">
        <f>"KRTAP2-4"</f>
        <v>KRTAP2-4</v>
      </c>
      <c r="B9410" t="s">
        <v>14</v>
      </c>
      <c r="C9410" t="s">
        <v>28</v>
      </c>
      <c r="D9410" t="s">
        <v>11</v>
      </c>
      <c r="E9410" t="s">
        <v>12</v>
      </c>
      <c r="F9410">
        <v>39222522</v>
      </c>
      <c r="G9410">
        <v>39222545</v>
      </c>
      <c r="H9410">
        <v>39222522</v>
      </c>
      <c r="I9410">
        <v>39222545</v>
      </c>
    </row>
    <row r="9411" spans="1:9" x14ac:dyDescent="0.2">
      <c r="A9411" s="1" t="str">
        <f>"KRTAP20-1"</f>
        <v>KRTAP20-1</v>
      </c>
      <c r="B9411" t="s">
        <v>709</v>
      </c>
      <c r="C9411" t="s">
        <v>42</v>
      </c>
      <c r="D9411" t="s">
        <v>17</v>
      </c>
      <c r="E9411" t="s">
        <v>20</v>
      </c>
      <c r="F9411">
        <v>31988749</v>
      </c>
      <c r="G9411">
        <v>31988749</v>
      </c>
      <c r="H9411">
        <v>31988749</v>
      </c>
      <c r="I9411">
        <v>31988749</v>
      </c>
    </row>
    <row r="9412" spans="1:9" x14ac:dyDescent="0.2">
      <c r="A9412" s="1" t="str">
        <f>"KRTAP20-2"</f>
        <v>KRTAP20-2</v>
      </c>
      <c r="B9412" t="s">
        <v>14</v>
      </c>
      <c r="C9412" t="s">
        <v>42</v>
      </c>
      <c r="D9412" t="s">
        <v>17</v>
      </c>
      <c r="E9412" t="s">
        <v>12</v>
      </c>
      <c r="F9412">
        <v>32007522</v>
      </c>
      <c r="G9412">
        <v>32007525</v>
      </c>
      <c r="H9412">
        <v>32007522</v>
      </c>
      <c r="I9412">
        <v>32007525</v>
      </c>
    </row>
    <row r="9413" spans="1:9" x14ac:dyDescent="0.2">
      <c r="A9413" s="1" t="str">
        <f>"KRTAP20-3"</f>
        <v>KRTAP20-3</v>
      </c>
      <c r="B9413" t="s">
        <v>710</v>
      </c>
      <c r="C9413" t="s">
        <v>42</v>
      </c>
      <c r="D9413" t="s">
        <v>17</v>
      </c>
      <c r="E9413" t="s">
        <v>20</v>
      </c>
      <c r="F9413">
        <v>32015182</v>
      </c>
      <c r="G9413">
        <v>32015182</v>
      </c>
      <c r="H9413">
        <v>32015182</v>
      </c>
      <c r="I9413">
        <v>32015182</v>
      </c>
    </row>
    <row r="9414" spans="1:9" x14ac:dyDescent="0.2">
      <c r="A9414" s="1" t="str">
        <f>"KRTAP21-1"</f>
        <v>KRTAP21-1</v>
      </c>
      <c r="B9414" t="s">
        <v>711</v>
      </c>
      <c r="C9414" t="s">
        <v>42</v>
      </c>
      <c r="D9414" t="s">
        <v>11</v>
      </c>
      <c r="E9414" t="s">
        <v>20</v>
      </c>
      <c r="F9414">
        <v>32127745</v>
      </c>
      <c r="G9414">
        <v>32127745</v>
      </c>
      <c r="H9414">
        <v>32127745</v>
      </c>
      <c r="I9414">
        <v>32127745</v>
      </c>
    </row>
    <row r="9415" spans="1:9" x14ac:dyDescent="0.2">
      <c r="A9415" s="1" t="str">
        <f>"KRTAP21-2"</f>
        <v>KRTAP21-2</v>
      </c>
      <c r="B9415" t="s">
        <v>14</v>
      </c>
      <c r="C9415" t="s">
        <v>42</v>
      </c>
      <c r="D9415" t="s">
        <v>11</v>
      </c>
      <c r="E9415" t="s">
        <v>12</v>
      </c>
      <c r="F9415">
        <v>32119572</v>
      </c>
      <c r="G9415">
        <v>32119577</v>
      </c>
      <c r="H9415">
        <v>32119572</v>
      </c>
      <c r="I9415">
        <v>32119577</v>
      </c>
    </row>
    <row r="9416" spans="1:9" x14ac:dyDescent="0.2">
      <c r="A9416" s="1" t="str">
        <f>"KRTAP21-3"</f>
        <v>KRTAP21-3</v>
      </c>
      <c r="B9416" t="s">
        <v>712</v>
      </c>
      <c r="C9416" t="s">
        <v>42</v>
      </c>
      <c r="D9416" t="s">
        <v>11</v>
      </c>
      <c r="E9416" t="s">
        <v>20</v>
      </c>
      <c r="F9416">
        <v>32091094</v>
      </c>
      <c r="G9416">
        <v>32091094</v>
      </c>
      <c r="H9416">
        <v>32091094</v>
      </c>
      <c r="I9416">
        <v>32091094</v>
      </c>
    </row>
    <row r="9417" spans="1:9" x14ac:dyDescent="0.2">
      <c r="A9417" s="1" t="str">
        <f>"KRTAP22-1"</f>
        <v>KRTAP22-1</v>
      </c>
      <c r="B9417" t="s">
        <v>713</v>
      </c>
      <c r="C9417" t="s">
        <v>42</v>
      </c>
      <c r="D9417" t="s">
        <v>17</v>
      </c>
      <c r="E9417" t="s">
        <v>20</v>
      </c>
      <c r="F9417">
        <v>31973413</v>
      </c>
      <c r="G9417">
        <v>31973413</v>
      </c>
      <c r="H9417">
        <v>31973413</v>
      </c>
      <c r="I9417">
        <v>31973413</v>
      </c>
    </row>
    <row r="9418" spans="1:9" x14ac:dyDescent="0.2">
      <c r="A9418" s="1" t="str">
        <f>"KRTAP22-2"</f>
        <v>KRTAP22-2</v>
      </c>
      <c r="B9418" t="s">
        <v>714</v>
      </c>
      <c r="C9418" t="s">
        <v>42</v>
      </c>
      <c r="D9418" t="s">
        <v>11</v>
      </c>
      <c r="E9418" t="s">
        <v>20</v>
      </c>
      <c r="F9418">
        <v>31962715</v>
      </c>
      <c r="G9418">
        <v>31962715</v>
      </c>
      <c r="H9418">
        <v>31962715</v>
      </c>
      <c r="I9418">
        <v>31962715</v>
      </c>
    </row>
    <row r="9419" spans="1:9" x14ac:dyDescent="0.2">
      <c r="A9419" s="1" t="str">
        <f>"KRTAP23-1"</f>
        <v>KRTAP23-1</v>
      </c>
      <c r="B9419" t="s">
        <v>715</v>
      </c>
      <c r="C9419" t="s">
        <v>42</v>
      </c>
      <c r="D9419" t="s">
        <v>11</v>
      </c>
      <c r="E9419" t="s">
        <v>20</v>
      </c>
      <c r="F9419">
        <v>31720923</v>
      </c>
      <c r="G9419">
        <v>31720923</v>
      </c>
      <c r="H9419">
        <v>31720923</v>
      </c>
      <c r="I9419">
        <v>31720923</v>
      </c>
    </row>
    <row r="9420" spans="1:9" x14ac:dyDescent="0.2">
      <c r="A9420" s="1" t="str">
        <f>"KRTAP24-1"</f>
        <v>KRTAP24-1</v>
      </c>
      <c r="B9420" t="s">
        <v>14</v>
      </c>
      <c r="C9420" t="s">
        <v>42</v>
      </c>
      <c r="D9420" t="s">
        <v>11</v>
      </c>
      <c r="E9420" t="s">
        <v>12</v>
      </c>
      <c r="F9420">
        <v>31655265</v>
      </c>
      <c r="G9420">
        <v>31655269</v>
      </c>
      <c r="H9420">
        <v>31655265</v>
      </c>
      <c r="I9420">
        <v>31655269</v>
      </c>
    </row>
    <row r="9421" spans="1:9" x14ac:dyDescent="0.2">
      <c r="A9421" s="1" t="str">
        <f>"KRTAP25-1"</f>
        <v>KRTAP25-1</v>
      </c>
      <c r="B9421" t="s">
        <v>716</v>
      </c>
      <c r="C9421" t="s">
        <v>42</v>
      </c>
      <c r="D9421" t="s">
        <v>11</v>
      </c>
      <c r="E9421" t="s">
        <v>20</v>
      </c>
      <c r="F9421">
        <v>31661831</v>
      </c>
      <c r="G9421">
        <v>31661831</v>
      </c>
      <c r="H9421">
        <v>31661831</v>
      </c>
      <c r="I9421">
        <v>31661831</v>
      </c>
    </row>
    <row r="9422" spans="1:9" x14ac:dyDescent="0.2">
      <c r="A9422" s="1" t="str">
        <f>"KRTAP26-1"</f>
        <v>KRTAP26-1</v>
      </c>
      <c r="B9422" t="s">
        <v>14</v>
      </c>
      <c r="C9422" t="s">
        <v>42</v>
      </c>
      <c r="D9422" t="s">
        <v>11</v>
      </c>
      <c r="E9422" t="s">
        <v>12</v>
      </c>
      <c r="F9422">
        <v>31692404</v>
      </c>
      <c r="G9422">
        <v>31692419</v>
      </c>
      <c r="H9422">
        <v>31692627</v>
      </c>
      <c r="I9422">
        <v>31692638</v>
      </c>
    </row>
    <row r="9423" spans="1:9" x14ac:dyDescent="0.2">
      <c r="A9423" s="1" t="str">
        <f>"KRTAP27-1"</f>
        <v>KRTAP27-1</v>
      </c>
      <c r="B9423" t="s">
        <v>717</v>
      </c>
      <c r="C9423" t="s">
        <v>42</v>
      </c>
      <c r="D9423" t="s">
        <v>11</v>
      </c>
      <c r="E9423" t="s">
        <v>20</v>
      </c>
      <c r="F9423">
        <v>31710011</v>
      </c>
      <c r="G9423">
        <v>31710011</v>
      </c>
      <c r="H9423">
        <v>31710011</v>
      </c>
      <c r="I9423">
        <v>31710011</v>
      </c>
    </row>
    <row r="9424" spans="1:9" x14ac:dyDescent="0.2">
      <c r="A9424" s="1" t="str">
        <f>"KRTAP29-1"</f>
        <v>KRTAP29-1</v>
      </c>
      <c r="B9424" t="s">
        <v>718</v>
      </c>
      <c r="C9424" t="s">
        <v>28</v>
      </c>
      <c r="D9424" t="s">
        <v>11</v>
      </c>
      <c r="E9424" t="s">
        <v>20</v>
      </c>
      <c r="F9424">
        <v>39459102</v>
      </c>
      <c r="G9424">
        <v>39459102</v>
      </c>
      <c r="H9424">
        <v>39459102</v>
      </c>
      <c r="I9424">
        <v>39459102</v>
      </c>
    </row>
    <row r="9425" spans="1:9" x14ac:dyDescent="0.2">
      <c r="A9425" s="1" t="str">
        <f>"KRTAP3-1"</f>
        <v>KRTAP3-1</v>
      </c>
      <c r="B9425" t="s">
        <v>14</v>
      </c>
      <c r="C9425" t="s">
        <v>28</v>
      </c>
      <c r="D9425" t="s">
        <v>11</v>
      </c>
      <c r="E9425" t="s">
        <v>12</v>
      </c>
      <c r="F9425">
        <v>39165376</v>
      </c>
      <c r="G9425">
        <v>39165381</v>
      </c>
      <c r="H9425">
        <v>39165376</v>
      </c>
      <c r="I9425">
        <v>39165381</v>
      </c>
    </row>
    <row r="9426" spans="1:9" x14ac:dyDescent="0.2">
      <c r="A9426" s="1" t="str">
        <f>"KRTAP3-2"</f>
        <v>KRTAP3-2</v>
      </c>
      <c r="B9426" t="s">
        <v>14</v>
      </c>
      <c r="C9426" t="s">
        <v>28</v>
      </c>
      <c r="D9426" t="s">
        <v>11</v>
      </c>
      <c r="E9426" t="s">
        <v>12</v>
      </c>
      <c r="F9426">
        <v>39156155</v>
      </c>
      <c r="G9426">
        <v>39156162</v>
      </c>
      <c r="H9426">
        <v>39156155</v>
      </c>
      <c r="I9426">
        <v>39156162</v>
      </c>
    </row>
    <row r="9427" spans="1:9" x14ac:dyDescent="0.2">
      <c r="A9427" s="1" t="str">
        <f>"KRTAP3-3"</f>
        <v>KRTAP3-3</v>
      </c>
      <c r="B9427" t="s">
        <v>14</v>
      </c>
      <c r="C9427" t="s">
        <v>28</v>
      </c>
      <c r="D9427" t="s">
        <v>11</v>
      </c>
      <c r="E9427" t="s">
        <v>12</v>
      </c>
      <c r="F9427">
        <v>39150411</v>
      </c>
      <c r="G9427">
        <v>39150417</v>
      </c>
      <c r="H9427">
        <v>39150411</v>
      </c>
      <c r="I9427">
        <v>39150417</v>
      </c>
    </row>
    <row r="9428" spans="1:9" x14ac:dyDescent="0.2">
      <c r="A9428" s="1" t="str">
        <f>"KRTAP4-1"</f>
        <v>KRTAP4-1</v>
      </c>
      <c r="B9428" t="s">
        <v>14</v>
      </c>
      <c r="C9428" t="s">
        <v>28</v>
      </c>
      <c r="D9428" t="s">
        <v>11</v>
      </c>
      <c r="E9428" t="s">
        <v>12</v>
      </c>
      <c r="F9428">
        <v>39341160</v>
      </c>
      <c r="G9428">
        <v>39341165</v>
      </c>
      <c r="H9428">
        <v>39341160</v>
      </c>
      <c r="I9428">
        <v>39341165</v>
      </c>
    </row>
    <row r="9429" spans="1:9" x14ac:dyDescent="0.2">
      <c r="A9429" s="1" t="str">
        <f>"KRTAP4-11"</f>
        <v>KRTAP4-11</v>
      </c>
      <c r="B9429" t="s">
        <v>14</v>
      </c>
      <c r="C9429" t="s">
        <v>28</v>
      </c>
      <c r="D9429" t="s">
        <v>11</v>
      </c>
      <c r="E9429" t="s">
        <v>12</v>
      </c>
      <c r="F9429">
        <v>39274621</v>
      </c>
      <c r="G9429">
        <v>39274626</v>
      </c>
      <c r="H9429">
        <v>39274621</v>
      </c>
      <c r="I9429">
        <v>39274626</v>
      </c>
    </row>
    <row r="9430" spans="1:9" x14ac:dyDescent="0.2">
      <c r="A9430" s="1" t="str">
        <f>"KRTAP4-12"</f>
        <v>KRTAP4-12</v>
      </c>
      <c r="B9430" t="s">
        <v>14</v>
      </c>
      <c r="C9430" t="s">
        <v>28</v>
      </c>
      <c r="D9430" t="s">
        <v>11</v>
      </c>
      <c r="E9430" t="s">
        <v>12</v>
      </c>
      <c r="F9430">
        <v>39280430</v>
      </c>
      <c r="G9430">
        <v>39280436</v>
      </c>
      <c r="H9430">
        <v>39280430</v>
      </c>
      <c r="I9430">
        <v>39280436</v>
      </c>
    </row>
    <row r="9431" spans="1:9" x14ac:dyDescent="0.2">
      <c r="A9431" s="1" t="str">
        <f>"KRTAP4-2"</f>
        <v>KRTAP4-2</v>
      </c>
      <c r="B9431" t="s">
        <v>14</v>
      </c>
      <c r="C9431" t="s">
        <v>28</v>
      </c>
      <c r="D9431" t="s">
        <v>11</v>
      </c>
      <c r="E9431" t="s">
        <v>12</v>
      </c>
      <c r="F9431">
        <v>39334471</v>
      </c>
      <c r="G9431">
        <v>39334474</v>
      </c>
      <c r="H9431">
        <v>39334471</v>
      </c>
      <c r="I9431">
        <v>39334474</v>
      </c>
    </row>
    <row r="9432" spans="1:9" x14ac:dyDescent="0.2">
      <c r="A9432" s="1" t="str">
        <f>"KRTAP4-3"</f>
        <v>KRTAP4-3</v>
      </c>
      <c r="B9432" t="s">
        <v>14</v>
      </c>
      <c r="C9432" t="s">
        <v>28</v>
      </c>
      <c r="D9432" t="s">
        <v>11</v>
      </c>
      <c r="E9432" t="s">
        <v>12</v>
      </c>
      <c r="F9432">
        <v>39324471</v>
      </c>
      <c r="G9432">
        <v>39324474</v>
      </c>
      <c r="H9432">
        <v>39324471</v>
      </c>
      <c r="I9432">
        <v>39324474</v>
      </c>
    </row>
    <row r="9433" spans="1:9" x14ac:dyDescent="0.2">
      <c r="A9433" s="1" t="str">
        <f>"KRTAP4-4"</f>
        <v>KRTAP4-4</v>
      </c>
      <c r="B9433" t="s">
        <v>14</v>
      </c>
      <c r="C9433" t="s">
        <v>28</v>
      </c>
      <c r="D9433" t="s">
        <v>11</v>
      </c>
      <c r="E9433" t="s">
        <v>12</v>
      </c>
      <c r="F9433">
        <v>39316998</v>
      </c>
      <c r="G9433">
        <v>39317001</v>
      </c>
      <c r="H9433">
        <v>39316998</v>
      </c>
      <c r="I9433">
        <v>39317001</v>
      </c>
    </row>
    <row r="9434" spans="1:9" x14ac:dyDescent="0.2">
      <c r="A9434" s="1" t="str">
        <f>"KRTAP4-5"</f>
        <v>KRTAP4-5</v>
      </c>
      <c r="B9434" t="s">
        <v>14</v>
      </c>
      <c r="C9434" t="s">
        <v>28</v>
      </c>
      <c r="D9434" t="s">
        <v>11</v>
      </c>
      <c r="E9434" t="s">
        <v>12</v>
      </c>
      <c r="F9434">
        <v>39306068</v>
      </c>
      <c r="G9434">
        <v>39306077</v>
      </c>
      <c r="H9434">
        <v>39306068</v>
      </c>
      <c r="I9434">
        <v>39306077</v>
      </c>
    </row>
    <row r="9435" spans="1:9" x14ac:dyDescent="0.2">
      <c r="A9435" s="1" t="str">
        <f>"KRTAP4-6"</f>
        <v>KRTAP4-6</v>
      </c>
      <c r="B9435" t="s">
        <v>14</v>
      </c>
      <c r="C9435" t="s">
        <v>28</v>
      </c>
      <c r="D9435" t="s">
        <v>11</v>
      </c>
      <c r="E9435" t="s">
        <v>12</v>
      </c>
      <c r="F9435">
        <v>39296794</v>
      </c>
      <c r="G9435">
        <v>39296798</v>
      </c>
      <c r="H9435">
        <v>39296794</v>
      </c>
      <c r="I9435">
        <v>39296798</v>
      </c>
    </row>
    <row r="9436" spans="1:9" x14ac:dyDescent="0.2">
      <c r="A9436" s="1" t="str">
        <f>"KRTAP4-7"</f>
        <v>KRTAP4-7</v>
      </c>
      <c r="B9436" t="s">
        <v>719</v>
      </c>
      <c r="C9436" t="s">
        <v>28</v>
      </c>
      <c r="D9436" t="s">
        <v>17</v>
      </c>
      <c r="E9436" t="s">
        <v>20</v>
      </c>
      <c r="F9436">
        <v>39240458</v>
      </c>
      <c r="G9436">
        <v>39240458</v>
      </c>
      <c r="H9436">
        <v>39240458</v>
      </c>
      <c r="I9436">
        <v>39240458</v>
      </c>
    </row>
    <row r="9437" spans="1:9" x14ac:dyDescent="0.2">
      <c r="A9437" s="1" t="str">
        <f>"KRTAP4-8"</f>
        <v>KRTAP4-8</v>
      </c>
      <c r="B9437" t="s">
        <v>14</v>
      </c>
      <c r="C9437" t="s">
        <v>28</v>
      </c>
      <c r="D9437" t="s">
        <v>11</v>
      </c>
      <c r="E9437" t="s">
        <v>12</v>
      </c>
      <c r="F9437">
        <v>39254391</v>
      </c>
      <c r="G9437">
        <v>39254395</v>
      </c>
      <c r="H9437">
        <v>39254391</v>
      </c>
      <c r="I9437">
        <v>39254395</v>
      </c>
    </row>
    <row r="9438" spans="1:9" x14ac:dyDescent="0.2">
      <c r="A9438" s="1" t="str">
        <f>"KRTAP4-9"</f>
        <v>KRTAP4-9</v>
      </c>
      <c r="B9438" t="s">
        <v>720</v>
      </c>
      <c r="C9438" t="s">
        <v>28</v>
      </c>
      <c r="D9438" t="s">
        <v>17</v>
      </c>
      <c r="E9438" t="s">
        <v>20</v>
      </c>
      <c r="F9438">
        <v>39261583</v>
      </c>
      <c r="G9438">
        <v>39261583</v>
      </c>
      <c r="H9438">
        <v>39261583</v>
      </c>
      <c r="I9438">
        <v>39261583</v>
      </c>
    </row>
    <row r="9439" spans="1:9" x14ac:dyDescent="0.2">
      <c r="A9439" s="1" t="str">
        <f>"KRTAP5-1"</f>
        <v>KRTAP5-1</v>
      </c>
      <c r="B9439" t="s">
        <v>721</v>
      </c>
      <c r="C9439" t="s">
        <v>27</v>
      </c>
      <c r="D9439" t="s">
        <v>11</v>
      </c>
      <c r="E9439" t="s">
        <v>20</v>
      </c>
      <c r="F9439">
        <v>1606512</v>
      </c>
      <c r="G9439">
        <v>1606512</v>
      </c>
      <c r="H9439">
        <v>1606512</v>
      </c>
      <c r="I9439">
        <v>1606512</v>
      </c>
    </row>
    <row r="9440" spans="1:9" x14ac:dyDescent="0.2">
      <c r="A9440" s="1" t="str">
        <f>"KRTAP5-10"</f>
        <v>KRTAP5-10</v>
      </c>
      <c r="B9440" t="s">
        <v>722</v>
      </c>
      <c r="C9440" t="s">
        <v>27</v>
      </c>
      <c r="D9440" t="s">
        <v>17</v>
      </c>
      <c r="E9440" t="s">
        <v>20</v>
      </c>
      <c r="F9440">
        <v>71276620</v>
      </c>
      <c r="G9440">
        <v>71276620</v>
      </c>
      <c r="H9440">
        <v>71276620</v>
      </c>
      <c r="I9440">
        <v>71276620</v>
      </c>
    </row>
    <row r="9441" spans="1:9" x14ac:dyDescent="0.2">
      <c r="A9441" s="1" t="str">
        <f>"KRTAP5-11"</f>
        <v>KRTAP5-11</v>
      </c>
      <c r="B9441" t="s">
        <v>723</v>
      </c>
      <c r="C9441" t="s">
        <v>27</v>
      </c>
      <c r="D9441" t="s">
        <v>11</v>
      </c>
      <c r="E9441" t="s">
        <v>20</v>
      </c>
      <c r="F9441">
        <v>71293920</v>
      </c>
      <c r="G9441">
        <v>71293920</v>
      </c>
      <c r="H9441">
        <v>71293920</v>
      </c>
      <c r="I9441">
        <v>71293920</v>
      </c>
    </row>
    <row r="9442" spans="1:9" x14ac:dyDescent="0.2">
      <c r="A9442" s="1" t="str">
        <f>"KRTAP5-2"</f>
        <v>KRTAP5-2</v>
      </c>
      <c r="B9442" t="s">
        <v>724</v>
      </c>
      <c r="C9442" t="s">
        <v>27</v>
      </c>
      <c r="D9442" t="s">
        <v>11</v>
      </c>
      <c r="E9442" t="s">
        <v>20</v>
      </c>
      <c r="F9442">
        <v>1619523</v>
      </c>
      <c r="G9442">
        <v>1619523</v>
      </c>
      <c r="H9442">
        <v>1619523</v>
      </c>
      <c r="I9442">
        <v>1619523</v>
      </c>
    </row>
    <row r="9443" spans="1:9" x14ac:dyDescent="0.2">
      <c r="A9443" s="1" t="str">
        <f>"KRTAP5-3"</f>
        <v>KRTAP5-3</v>
      </c>
      <c r="B9443" t="s">
        <v>725</v>
      </c>
      <c r="C9443" t="s">
        <v>27</v>
      </c>
      <c r="D9443" t="s">
        <v>11</v>
      </c>
      <c r="E9443" t="s">
        <v>20</v>
      </c>
      <c r="F9443">
        <v>1629692</v>
      </c>
      <c r="G9443">
        <v>1629692</v>
      </c>
      <c r="H9443">
        <v>1629692</v>
      </c>
      <c r="I9443">
        <v>1629692</v>
      </c>
    </row>
    <row r="9444" spans="1:9" x14ac:dyDescent="0.2">
      <c r="A9444" s="1" t="str">
        <f>"KRTAP5-4"</f>
        <v>KRTAP5-4</v>
      </c>
      <c r="B9444" t="s">
        <v>14</v>
      </c>
      <c r="C9444" t="s">
        <v>27</v>
      </c>
      <c r="D9444" t="s">
        <v>11</v>
      </c>
      <c r="E9444" t="s">
        <v>12</v>
      </c>
      <c r="F9444">
        <v>1643381</v>
      </c>
      <c r="G9444">
        <v>1643383</v>
      </c>
      <c r="H9444">
        <v>1643381</v>
      </c>
      <c r="I9444">
        <v>1643383</v>
      </c>
    </row>
    <row r="9445" spans="1:9" x14ac:dyDescent="0.2">
      <c r="A9445" s="1" t="str">
        <f>"KRTAP5-5"</f>
        <v>KRTAP5-5</v>
      </c>
      <c r="B9445" t="s">
        <v>726</v>
      </c>
      <c r="C9445" t="s">
        <v>27</v>
      </c>
      <c r="D9445" t="s">
        <v>17</v>
      </c>
      <c r="E9445" t="s">
        <v>20</v>
      </c>
      <c r="F9445">
        <v>1651032</v>
      </c>
      <c r="G9445">
        <v>1651032</v>
      </c>
      <c r="H9445">
        <v>1651032</v>
      </c>
      <c r="I9445">
        <v>1651032</v>
      </c>
    </row>
    <row r="9446" spans="1:9" x14ac:dyDescent="0.2">
      <c r="A9446" s="1" t="str">
        <f>"KRTAP5-6"</f>
        <v>KRTAP5-6</v>
      </c>
      <c r="B9446" t="s">
        <v>727</v>
      </c>
      <c r="C9446" t="s">
        <v>27</v>
      </c>
      <c r="D9446" t="s">
        <v>17</v>
      </c>
      <c r="E9446" t="s">
        <v>20</v>
      </c>
      <c r="F9446">
        <v>1718424</v>
      </c>
      <c r="G9446">
        <v>1718424</v>
      </c>
      <c r="H9446">
        <v>1718424</v>
      </c>
      <c r="I9446">
        <v>1718424</v>
      </c>
    </row>
    <row r="9447" spans="1:9" x14ac:dyDescent="0.2">
      <c r="A9447" s="1" t="str">
        <f>"KRTAP5-7"</f>
        <v>KRTAP5-7</v>
      </c>
      <c r="B9447" t="s">
        <v>728</v>
      </c>
      <c r="C9447" t="s">
        <v>27</v>
      </c>
      <c r="D9447" t="s">
        <v>17</v>
      </c>
      <c r="E9447" t="s">
        <v>20</v>
      </c>
      <c r="F9447">
        <v>71238312</v>
      </c>
      <c r="G9447">
        <v>71238312</v>
      </c>
      <c r="H9447">
        <v>71238312</v>
      </c>
      <c r="I9447">
        <v>71238312</v>
      </c>
    </row>
    <row r="9448" spans="1:9" x14ac:dyDescent="0.2">
      <c r="A9448" s="1" t="str">
        <f>"KRTAP5-8"</f>
        <v>KRTAP5-8</v>
      </c>
      <c r="B9448" t="s">
        <v>729</v>
      </c>
      <c r="C9448" t="s">
        <v>27</v>
      </c>
      <c r="D9448" t="s">
        <v>17</v>
      </c>
      <c r="E9448" t="s">
        <v>20</v>
      </c>
      <c r="F9448">
        <v>71249070</v>
      </c>
      <c r="G9448">
        <v>71249070</v>
      </c>
      <c r="H9448">
        <v>71249070</v>
      </c>
      <c r="I9448">
        <v>71249070</v>
      </c>
    </row>
    <row r="9449" spans="1:9" x14ac:dyDescent="0.2">
      <c r="A9449" s="1" t="str">
        <f>"KRTAP5-9"</f>
        <v>KRTAP5-9</v>
      </c>
      <c r="B9449" t="s">
        <v>730</v>
      </c>
      <c r="C9449" t="s">
        <v>27</v>
      </c>
      <c r="D9449" t="s">
        <v>17</v>
      </c>
      <c r="E9449" t="s">
        <v>20</v>
      </c>
      <c r="F9449">
        <v>71259465</v>
      </c>
      <c r="G9449">
        <v>71259465</v>
      </c>
      <c r="H9449">
        <v>71259465</v>
      </c>
      <c r="I9449">
        <v>71259465</v>
      </c>
    </row>
    <row r="9450" spans="1:9" x14ac:dyDescent="0.2">
      <c r="A9450" s="1" t="str">
        <f>"KRTAP6-1"</f>
        <v>KRTAP6-1</v>
      </c>
      <c r="B9450" t="s">
        <v>731</v>
      </c>
      <c r="C9450" t="s">
        <v>42</v>
      </c>
      <c r="D9450" t="s">
        <v>11</v>
      </c>
      <c r="E9450" t="s">
        <v>20</v>
      </c>
      <c r="F9450">
        <v>31986248</v>
      </c>
      <c r="G9450">
        <v>31986248</v>
      </c>
      <c r="H9450">
        <v>31986248</v>
      </c>
      <c r="I9450">
        <v>31986248</v>
      </c>
    </row>
    <row r="9451" spans="1:9" x14ac:dyDescent="0.2">
      <c r="A9451" s="1" t="str">
        <f>"KRTAP6-2"</f>
        <v>KRTAP6-2</v>
      </c>
      <c r="B9451" t="s">
        <v>732</v>
      </c>
      <c r="C9451" t="s">
        <v>42</v>
      </c>
      <c r="D9451" t="s">
        <v>11</v>
      </c>
      <c r="E9451" t="s">
        <v>20</v>
      </c>
      <c r="F9451">
        <v>31971218</v>
      </c>
      <c r="G9451">
        <v>31971218</v>
      </c>
      <c r="H9451">
        <v>31971218</v>
      </c>
      <c r="I9451">
        <v>31971218</v>
      </c>
    </row>
    <row r="9452" spans="1:9" x14ac:dyDescent="0.2">
      <c r="A9452" s="1" t="str">
        <f>"KRTAP6-3"</f>
        <v>KRTAP6-3</v>
      </c>
      <c r="B9452" t="s">
        <v>733</v>
      </c>
      <c r="C9452" t="s">
        <v>42</v>
      </c>
      <c r="D9452" t="s">
        <v>17</v>
      </c>
      <c r="E9452" t="s">
        <v>20</v>
      </c>
      <c r="F9452">
        <v>31964758</v>
      </c>
      <c r="G9452">
        <v>31964758</v>
      </c>
      <c r="H9452">
        <v>31964758</v>
      </c>
      <c r="I9452">
        <v>31964758</v>
      </c>
    </row>
    <row r="9453" spans="1:9" x14ac:dyDescent="0.2">
      <c r="A9453" s="1" t="str">
        <f>"KRTAP7-1"</f>
        <v>KRTAP7-1</v>
      </c>
      <c r="B9453" t="s">
        <v>14</v>
      </c>
      <c r="C9453" t="s">
        <v>42</v>
      </c>
      <c r="D9453" t="s">
        <v>11</v>
      </c>
      <c r="E9453" t="s">
        <v>12</v>
      </c>
      <c r="F9453">
        <v>32202074</v>
      </c>
      <c r="G9453">
        <v>32202079</v>
      </c>
      <c r="H9453">
        <v>32202074</v>
      </c>
      <c r="I9453">
        <v>32202079</v>
      </c>
    </row>
    <row r="9454" spans="1:9" x14ac:dyDescent="0.2">
      <c r="A9454" s="1" t="str">
        <f>"KRTAP8-1"</f>
        <v>KRTAP8-1</v>
      </c>
      <c r="B9454" t="s">
        <v>14</v>
      </c>
      <c r="C9454" t="s">
        <v>42</v>
      </c>
      <c r="D9454" t="s">
        <v>11</v>
      </c>
      <c r="E9454" t="s">
        <v>12</v>
      </c>
      <c r="F9454">
        <v>32185588</v>
      </c>
      <c r="G9454">
        <v>32185592</v>
      </c>
      <c r="H9454">
        <v>32185588</v>
      </c>
      <c r="I9454">
        <v>32185592</v>
      </c>
    </row>
    <row r="9455" spans="1:9" x14ac:dyDescent="0.2">
      <c r="A9455" s="1" t="str">
        <f>"KRTAP9-1"</f>
        <v>KRTAP9-1</v>
      </c>
      <c r="B9455" t="s">
        <v>734</v>
      </c>
      <c r="C9455" t="s">
        <v>28</v>
      </c>
      <c r="D9455" t="s">
        <v>17</v>
      </c>
      <c r="E9455" t="s">
        <v>20</v>
      </c>
      <c r="F9455">
        <v>39344696</v>
      </c>
      <c r="G9455">
        <v>39344696</v>
      </c>
      <c r="H9455">
        <v>39344696</v>
      </c>
      <c r="I9455">
        <v>39344696</v>
      </c>
    </row>
    <row r="9456" spans="1:9" x14ac:dyDescent="0.2">
      <c r="A9456" s="1" t="str">
        <f>"KRTAP9-1"</f>
        <v>KRTAP9-1</v>
      </c>
      <c r="B9456" t="s">
        <v>735</v>
      </c>
      <c r="C9456" t="s">
        <v>28</v>
      </c>
      <c r="D9456" t="s">
        <v>17</v>
      </c>
      <c r="E9456" t="s">
        <v>20</v>
      </c>
      <c r="F9456">
        <v>39346138</v>
      </c>
      <c r="G9456">
        <v>39346138</v>
      </c>
      <c r="H9456">
        <v>39346138</v>
      </c>
      <c r="I9456">
        <v>39346138</v>
      </c>
    </row>
    <row r="9457" spans="1:9" x14ac:dyDescent="0.2">
      <c r="A9457" s="1" t="str">
        <f>"KRTAP9-2"</f>
        <v>KRTAP9-2</v>
      </c>
      <c r="B9457" t="s">
        <v>736</v>
      </c>
      <c r="C9457" t="s">
        <v>28</v>
      </c>
      <c r="D9457" t="s">
        <v>17</v>
      </c>
      <c r="E9457" t="s">
        <v>20</v>
      </c>
      <c r="F9457">
        <v>39382902</v>
      </c>
      <c r="G9457">
        <v>39382902</v>
      </c>
      <c r="H9457">
        <v>39382902</v>
      </c>
      <c r="I9457">
        <v>39382902</v>
      </c>
    </row>
    <row r="9458" spans="1:9" x14ac:dyDescent="0.2">
      <c r="A9458" s="1" t="str">
        <f>"KRTAP9-3"</f>
        <v>KRTAP9-3</v>
      </c>
      <c r="B9458" t="s">
        <v>14</v>
      </c>
      <c r="C9458" t="s">
        <v>28</v>
      </c>
      <c r="D9458" t="s">
        <v>17</v>
      </c>
      <c r="E9458" t="s">
        <v>12</v>
      </c>
      <c r="F9458">
        <v>39388700</v>
      </c>
      <c r="G9458">
        <v>39388702</v>
      </c>
      <c r="H9458">
        <v>39388700</v>
      </c>
      <c r="I9458">
        <v>39388702</v>
      </c>
    </row>
    <row r="9459" spans="1:9" x14ac:dyDescent="0.2">
      <c r="A9459" s="1" t="str">
        <f>"KRTAP9-4"</f>
        <v>KRTAP9-4</v>
      </c>
      <c r="B9459" t="s">
        <v>737</v>
      </c>
      <c r="C9459" t="s">
        <v>28</v>
      </c>
      <c r="D9459" t="s">
        <v>17</v>
      </c>
      <c r="E9459" t="s">
        <v>20</v>
      </c>
      <c r="F9459">
        <v>39405938</v>
      </c>
      <c r="G9459">
        <v>39405938</v>
      </c>
      <c r="H9459">
        <v>39405938</v>
      </c>
      <c r="I9459">
        <v>39405938</v>
      </c>
    </row>
    <row r="9460" spans="1:9" x14ac:dyDescent="0.2">
      <c r="A9460" s="1" t="str">
        <f>"KRTAP9-6"</f>
        <v>KRTAP9-6</v>
      </c>
      <c r="B9460" t="s">
        <v>738</v>
      </c>
      <c r="C9460" t="s">
        <v>28</v>
      </c>
      <c r="D9460" t="s">
        <v>17</v>
      </c>
      <c r="E9460" t="s">
        <v>20</v>
      </c>
      <c r="F9460">
        <v>39421590</v>
      </c>
      <c r="G9460">
        <v>39421590</v>
      </c>
      <c r="H9460">
        <v>39421590</v>
      </c>
      <c r="I9460">
        <v>39421590</v>
      </c>
    </row>
    <row r="9461" spans="1:9" x14ac:dyDescent="0.2">
      <c r="A9461" s="1" t="str">
        <f>"KRTAP9-7"</f>
        <v>KRTAP9-7</v>
      </c>
      <c r="B9461" t="s">
        <v>14</v>
      </c>
      <c r="C9461" t="s">
        <v>28</v>
      </c>
      <c r="D9461" t="s">
        <v>17</v>
      </c>
      <c r="E9461" t="s">
        <v>12</v>
      </c>
      <c r="F9461">
        <v>39431896</v>
      </c>
      <c r="G9461">
        <v>39431898</v>
      </c>
      <c r="H9461">
        <v>39431896</v>
      </c>
      <c r="I9461">
        <v>39431898</v>
      </c>
    </row>
    <row r="9462" spans="1:9" x14ac:dyDescent="0.2">
      <c r="A9462" s="1" t="str">
        <f>"KRTAP9-8"</f>
        <v>KRTAP9-8</v>
      </c>
      <c r="B9462" t="s">
        <v>14</v>
      </c>
      <c r="C9462" t="s">
        <v>28</v>
      </c>
      <c r="D9462" t="s">
        <v>17</v>
      </c>
      <c r="E9462" t="s">
        <v>12</v>
      </c>
      <c r="F9462">
        <v>39394250</v>
      </c>
      <c r="G9462">
        <v>39394253</v>
      </c>
      <c r="H9462">
        <v>39394250</v>
      </c>
      <c r="I9462">
        <v>39394253</v>
      </c>
    </row>
    <row r="9463" spans="1:9" x14ac:dyDescent="0.2">
      <c r="A9463" s="1" t="str">
        <f>"KRTAP9-9"</f>
        <v>KRTAP9-9</v>
      </c>
      <c r="B9463" t="s">
        <v>14</v>
      </c>
      <c r="C9463" t="s">
        <v>28</v>
      </c>
      <c r="D9463" t="s">
        <v>17</v>
      </c>
      <c r="E9463" t="s">
        <v>12</v>
      </c>
      <c r="F9463">
        <v>39388700</v>
      </c>
      <c r="G9463">
        <v>39388702</v>
      </c>
      <c r="H9463">
        <v>39388700</v>
      </c>
      <c r="I9463">
        <v>39388702</v>
      </c>
    </row>
    <row r="9464" spans="1:9" x14ac:dyDescent="0.2">
      <c r="A9464" s="1" t="str">
        <f>"KRTCAP2"</f>
        <v>KRTCAP2</v>
      </c>
      <c r="B9464" t="s">
        <v>14</v>
      </c>
      <c r="C9464" t="s">
        <v>19</v>
      </c>
      <c r="D9464" t="s">
        <v>11</v>
      </c>
      <c r="E9464" t="s">
        <v>12</v>
      </c>
      <c r="F9464">
        <v>155145721</v>
      </c>
      <c r="G9464">
        <v>155145795</v>
      </c>
      <c r="H9464">
        <v>155145325</v>
      </c>
      <c r="I9464">
        <v>155145406</v>
      </c>
    </row>
    <row r="9465" spans="1:9" x14ac:dyDescent="0.2">
      <c r="A9465" s="1" t="str">
        <f>"KRTCAP3"</f>
        <v>KRTCAP3</v>
      </c>
      <c r="B9465" t="s">
        <v>14</v>
      </c>
      <c r="C9465" t="s">
        <v>26</v>
      </c>
      <c r="D9465" t="s">
        <v>17</v>
      </c>
      <c r="E9465" t="s">
        <v>12</v>
      </c>
      <c r="F9465">
        <v>27665232</v>
      </c>
      <c r="G9465">
        <v>27665286</v>
      </c>
      <c r="H9465">
        <v>27665289</v>
      </c>
      <c r="I9465">
        <v>27665331</v>
      </c>
    </row>
    <row r="9466" spans="1:9" x14ac:dyDescent="0.2">
      <c r="A9466" s="1" t="str">
        <f>"KRTDAP"</f>
        <v>KRTDAP</v>
      </c>
      <c r="B9466" t="s">
        <v>14</v>
      </c>
      <c r="C9466" t="s">
        <v>10</v>
      </c>
      <c r="D9466" t="s">
        <v>11</v>
      </c>
      <c r="E9466" t="s">
        <v>12</v>
      </c>
      <c r="F9466">
        <v>35981358</v>
      </c>
      <c r="G9466">
        <v>35981374</v>
      </c>
      <c r="H9466">
        <v>35981358</v>
      </c>
      <c r="I9466">
        <v>35981374</v>
      </c>
    </row>
    <row r="9467" spans="1:9" x14ac:dyDescent="0.2">
      <c r="A9467" s="1" t="str">
        <f>"KSR1"</f>
        <v>KSR1</v>
      </c>
      <c r="B9467" t="s">
        <v>14</v>
      </c>
      <c r="C9467" t="s">
        <v>28</v>
      </c>
      <c r="D9467" t="s">
        <v>17</v>
      </c>
      <c r="E9467" t="s">
        <v>12</v>
      </c>
      <c r="F9467">
        <v>25783441</v>
      </c>
      <c r="G9467">
        <v>25783499</v>
      </c>
      <c r="H9467">
        <v>25783441</v>
      </c>
      <c r="I9467">
        <v>25783499</v>
      </c>
    </row>
    <row r="9468" spans="1:9" x14ac:dyDescent="0.2">
      <c r="A9468" s="1" t="str">
        <f>"KSR2"</f>
        <v>KSR2</v>
      </c>
      <c r="B9468" t="s">
        <v>14</v>
      </c>
      <c r="C9468" t="s">
        <v>16</v>
      </c>
      <c r="D9468" t="s">
        <v>11</v>
      </c>
      <c r="E9468" t="s">
        <v>12</v>
      </c>
      <c r="F9468">
        <v>118406777</v>
      </c>
      <c r="G9468">
        <v>118406811</v>
      </c>
      <c r="H9468">
        <v>118406727</v>
      </c>
      <c r="I9468">
        <v>118406753</v>
      </c>
    </row>
    <row r="9469" spans="1:9" x14ac:dyDescent="0.2">
      <c r="A9469" s="1" t="str">
        <f>"KTI12"</f>
        <v>KTI12</v>
      </c>
      <c r="B9469" t="s">
        <v>14</v>
      </c>
      <c r="C9469" t="s">
        <v>19</v>
      </c>
      <c r="D9469" t="s">
        <v>11</v>
      </c>
      <c r="E9469" t="s">
        <v>12</v>
      </c>
      <c r="F9469">
        <v>52499443</v>
      </c>
      <c r="G9469">
        <v>52499499</v>
      </c>
      <c r="H9469">
        <v>52499394</v>
      </c>
      <c r="I9469">
        <v>52499409</v>
      </c>
    </row>
    <row r="9470" spans="1:9" x14ac:dyDescent="0.2">
      <c r="A9470" s="1" t="str">
        <f>"KTN1"</f>
        <v>KTN1</v>
      </c>
      <c r="B9470" t="s">
        <v>9</v>
      </c>
      <c r="C9470" t="s">
        <v>41</v>
      </c>
      <c r="D9470" t="s">
        <v>17</v>
      </c>
      <c r="E9470" t="s">
        <v>12</v>
      </c>
      <c r="F9470">
        <v>56046914</v>
      </c>
      <c r="G9470">
        <v>56046973</v>
      </c>
      <c r="H9470">
        <v>56046914</v>
      </c>
      <c r="I9470">
        <v>56046973</v>
      </c>
    </row>
    <row r="9471" spans="1:9" x14ac:dyDescent="0.2">
      <c r="A9471" s="1" t="str">
        <f>"KTN1"</f>
        <v>KTN1</v>
      </c>
      <c r="B9471" t="s">
        <v>13</v>
      </c>
      <c r="C9471" t="s">
        <v>41</v>
      </c>
      <c r="D9471" t="s">
        <v>17</v>
      </c>
      <c r="E9471" t="s">
        <v>12</v>
      </c>
      <c r="F9471">
        <v>56078725</v>
      </c>
      <c r="G9471">
        <v>56078784</v>
      </c>
      <c r="H9471">
        <v>56078725</v>
      </c>
      <c r="I9471">
        <v>56078784</v>
      </c>
    </row>
    <row r="9472" spans="1:9" x14ac:dyDescent="0.2">
      <c r="A9472" s="1" t="str">
        <f>"KXD1"</f>
        <v>KXD1</v>
      </c>
      <c r="B9472" t="s">
        <v>14</v>
      </c>
      <c r="C9472" t="s">
        <v>10</v>
      </c>
      <c r="D9472" t="s">
        <v>17</v>
      </c>
      <c r="E9472" t="s">
        <v>12</v>
      </c>
      <c r="F9472">
        <v>18668672</v>
      </c>
      <c r="G9472">
        <v>18668701</v>
      </c>
      <c r="H9472">
        <v>18668578</v>
      </c>
      <c r="I9472">
        <v>18668608</v>
      </c>
    </row>
    <row r="9473" spans="1:9" x14ac:dyDescent="0.2">
      <c r="A9473" s="1" t="str">
        <f>"KY"</f>
        <v>KY</v>
      </c>
      <c r="B9473" t="s">
        <v>14</v>
      </c>
      <c r="C9473" t="s">
        <v>22</v>
      </c>
      <c r="D9473" t="s">
        <v>11</v>
      </c>
      <c r="E9473" t="s">
        <v>12</v>
      </c>
      <c r="F9473">
        <v>134369853</v>
      </c>
      <c r="G9473">
        <v>134369872</v>
      </c>
      <c r="H9473">
        <v>134369877</v>
      </c>
      <c r="I9473">
        <v>134369903</v>
      </c>
    </row>
    <row r="9474" spans="1:9" x14ac:dyDescent="0.2">
      <c r="A9474" s="1" t="str">
        <f>"KYNU"</f>
        <v>KYNU</v>
      </c>
      <c r="B9474" t="s">
        <v>14</v>
      </c>
      <c r="C9474" t="s">
        <v>26</v>
      </c>
      <c r="D9474" t="s">
        <v>17</v>
      </c>
      <c r="E9474" t="s">
        <v>12</v>
      </c>
      <c r="F9474">
        <v>143635222</v>
      </c>
      <c r="G9474">
        <v>143635240</v>
      </c>
      <c r="H9474">
        <v>143635186</v>
      </c>
      <c r="I9474">
        <v>143635211</v>
      </c>
    </row>
    <row r="9475" spans="1:9" x14ac:dyDescent="0.2">
      <c r="A9475" s="1" t="str">
        <f>"L1CAM"</f>
        <v>L1CAM</v>
      </c>
      <c r="B9475" t="s">
        <v>9</v>
      </c>
      <c r="C9475" t="s">
        <v>37</v>
      </c>
      <c r="D9475" t="s">
        <v>11</v>
      </c>
      <c r="E9475" t="s">
        <v>12</v>
      </c>
      <c r="F9475">
        <v>153151586</v>
      </c>
      <c r="G9475">
        <v>153151644</v>
      </c>
      <c r="H9475">
        <v>153151586</v>
      </c>
      <c r="I9475">
        <v>153151644</v>
      </c>
    </row>
    <row r="9476" spans="1:9" x14ac:dyDescent="0.2">
      <c r="A9476" s="1" t="str">
        <f>"L1CAM"</f>
        <v>L1CAM</v>
      </c>
      <c r="B9476" t="s">
        <v>13</v>
      </c>
      <c r="C9476" t="s">
        <v>37</v>
      </c>
      <c r="D9476" t="s">
        <v>11</v>
      </c>
      <c r="E9476" t="s">
        <v>12</v>
      </c>
      <c r="F9476">
        <v>153141434</v>
      </c>
      <c r="G9476">
        <v>153141509</v>
      </c>
      <c r="H9476">
        <v>153141434</v>
      </c>
      <c r="I9476">
        <v>153141509</v>
      </c>
    </row>
    <row r="9477" spans="1:9" x14ac:dyDescent="0.2">
      <c r="A9477" s="1" t="str">
        <f>"L1TD1"</f>
        <v>L1TD1</v>
      </c>
      <c r="B9477" t="s">
        <v>9</v>
      </c>
      <c r="C9477" t="s">
        <v>19</v>
      </c>
      <c r="D9477" t="s">
        <v>17</v>
      </c>
      <c r="E9477" t="s">
        <v>12</v>
      </c>
      <c r="F9477">
        <v>62660501</v>
      </c>
      <c r="G9477">
        <v>62660564</v>
      </c>
      <c r="H9477">
        <v>62660501</v>
      </c>
      <c r="I9477">
        <v>62660564</v>
      </c>
    </row>
    <row r="9478" spans="1:9" x14ac:dyDescent="0.2">
      <c r="A9478" s="1" t="str">
        <f>"L1TD1"</f>
        <v>L1TD1</v>
      </c>
      <c r="B9478" t="s">
        <v>13</v>
      </c>
      <c r="C9478" t="s">
        <v>19</v>
      </c>
      <c r="D9478" t="s">
        <v>17</v>
      </c>
      <c r="E9478" t="s">
        <v>12</v>
      </c>
      <c r="F9478">
        <v>62672541</v>
      </c>
      <c r="G9478">
        <v>62672554</v>
      </c>
      <c r="H9478">
        <v>62672541</v>
      </c>
      <c r="I9478">
        <v>62672554</v>
      </c>
    </row>
    <row r="9479" spans="1:9" x14ac:dyDescent="0.2">
      <c r="A9479" s="1" t="str">
        <f>"L2HGDH"</f>
        <v>L2HGDH</v>
      </c>
      <c r="B9479" t="s">
        <v>14</v>
      </c>
      <c r="C9479" t="s">
        <v>41</v>
      </c>
      <c r="D9479" t="s">
        <v>11</v>
      </c>
      <c r="E9479" t="s">
        <v>12</v>
      </c>
      <c r="F9479">
        <v>50778931</v>
      </c>
      <c r="G9479">
        <v>50778955</v>
      </c>
      <c r="H9479">
        <v>50778895</v>
      </c>
      <c r="I9479">
        <v>50778928</v>
      </c>
    </row>
    <row r="9480" spans="1:9" x14ac:dyDescent="0.2">
      <c r="A9480" s="1" t="str">
        <f>"L3HYPDH"</f>
        <v>L3HYPDH</v>
      </c>
      <c r="B9480" t="s">
        <v>14</v>
      </c>
      <c r="C9480" t="s">
        <v>41</v>
      </c>
      <c r="D9480" t="s">
        <v>11</v>
      </c>
      <c r="E9480" t="s">
        <v>12</v>
      </c>
      <c r="F9480">
        <v>59951035</v>
      </c>
      <c r="G9480">
        <v>59951111</v>
      </c>
      <c r="H9480">
        <v>59950735</v>
      </c>
      <c r="I9480">
        <v>59950785</v>
      </c>
    </row>
    <row r="9481" spans="1:9" x14ac:dyDescent="0.2">
      <c r="A9481" s="1" t="str">
        <f>"L3MBTL1"</f>
        <v>L3MBTL1</v>
      </c>
      <c r="B9481" t="s">
        <v>9</v>
      </c>
      <c r="C9481" t="s">
        <v>29</v>
      </c>
      <c r="D9481" t="s">
        <v>17</v>
      </c>
      <c r="E9481" t="s">
        <v>12</v>
      </c>
      <c r="F9481">
        <v>42143077</v>
      </c>
      <c r="G9481">
        <v>42143126</v>
      </c>
      <c r="H9481">
        <v>42143077</v>
      </c>
      <c r="I9481">
        <v>42143126</v>
      </c>
    </row>
    <row r="9482" spans="1:9" x14ac:dyDescent="0.2">
      <c r="A9482" s="1" t="str">
        <f>"L3MBTL1"</f>
        <v>L3MBTL1</v>
      </c>
      <c r="B9482" t="s">
        <v>13</v>
      </c>
      <c r="C9482" t="s">
        <v>29</v>
      </c>
      <c r="D9482" t="s">
        <v>17</v>
      </c>
      <c r="E9482" t="s">
        <v>12</v>
      </c>
      <c r="F9482">
        <v>42136308</v>
      </c>
      <c r="G9482">
        <v>42136358</v>
      </c>
      <c r="H9482">
        <v>42136308</v>
      </c>
      <c r="I9482">
        <v>42136358</v>
      </c>
    </row>
    <row r="9483" spans="1:9" x14ac:dyDescent="0.2">
      <c r="A9483" s="1" t="str">
        <f>"L3MBTL2"</f>
        <v>L3MBTL2</v>
      </c>
      <c r="B9483" t="s">
        <v>14</v>
      </c>
      <c r="C9483" t="s">
        <v>21</v>
      </c>
      <c r="D9483" t="s">
        <v>17</v>
      </c>
      <c r="E9483" t="s">
        <v>12</v>
      </c>
      <c r="F9483">
        <v>41601296</v>
      </c>
      <c r="G9483">
        <v>41601355</v>
      </c>
      <c r="H9483">
        <v>41601296</v>
      </c>
      <c r="I9483">
        <v>41601355</v>
      </c>
    </row>
    <row r="9484" spans="1:9" x14ac:dyDescent="0.2">
      <c r="A9484" s="1" t="str">
        <f>"L3MBTL3"</f>
        <v>L3MBTL3</v>
      </c>
      <c r="B9484" t="s">
        <v>14</v>
      </c>
      <c r="C9484" t="s">
        <v>32</v>
      </c>
      <c r="D9484" t="s">
        <v>17</v>
      </c>
      <c r="E9484" t="s">
        <v>12</v>
      </c>
      <c r="F9484">
        <v>130339710</v>
      </c>
      <c r="G9484">
        <v>130339745</v>
      </c>
      <c r="H9484">
        <v>130339753</v>
      </c>
      <c r="I9484">
        <v>130339762</v>
      </c>
    </row>
    <row r="9485" spans="1:9" x14ac:dyDescent="0.2">
      <c r="A9485" s="1" t="str">
        <f>"L3MBTL4"</f>
        <v>L3MBTL4</v>
      </c>
      <c r="B9485" t="s">
        <v>14</v>
      </c>
      <c r="C9485" t="s">
        <v>43</v>
      </c>
      <c r="D9485" t="s">
        <v>11</v>
      </c>
      <c r="E9485" t="s">
        <v>12</v>
      </c>
      <c r="F9485">
        <v>6414884</v>
      </c>
      <c r="G9485">
        <v>6414942</v>
      </c>
      <c r="H9485">
        <v>6414849</v>
      </c>
      <c r="I9485">
        <v>6414876</v>
      </c>
    </row>
    <row r="9486" spans="1:9" x14ac:dyDescent="0.2">
      <c r="A9486" s="1" t="str">
        <f>"LACC1"</f>
        <v>LACC1</v>
      </c>
      <c r="B9486" t="s">
        <v>14</v>
      </c>
      <c r="C9486" t="s">
        <v>39</v>
      </c>
      <c r="D9486" t="s">
        <v>17</v>
      </c>
      <c r="E9486" t="s">
        <v>12</v>
      </c>
      <c r="F9486">
        <v>44453688</v>
      </c>
      <c r="G9486">
        <v>44453795</v>
      </c>
      <c r="H9486">
        <v>44454031</v>
      </c>
      <c r="I9486">
        <v>44454051</v>
      </c>
    </row>
    <row r="9487" spans="1:9" x14ac:dyDescent="0.2">
      <c r="A9487" s="1" t="str">
        <f>"LACE1"</f>
        <v>LACE1</v>
      </c>
      <c r="B9487" t="s">
        <v>14</v>
      </c>
      <c r="C9487" t="s">
        <v>32</v>
      </c>
      <c r="D9487" t="s">
        <v>17</v>
      </c>
      <c r="E9487" t="s">
        <v>12</v>
      </c>
      <c r="F9487">
        <v>108616243</v>
      </c>
      <c r="G9487">
        <v>108616281</v>
      </c>
      <c r="H9487">
        <v>108616054</v>
      </c>
      <c r="I9487">
        <v>108616100</v>
      </c>
    </row>
    <row r="9488" spans="1:9" x14ac:dyDescent="0.2">
      <c r="A9488" s="1" t="str">
        <f>"LACRT"</f>
        <v>LACRT</v>
      </c>
      <c r="B9488" t="s">
        <v>14</v>
      </c>
      <c r="C9488" t="s">
        <v>16</v>
      </c>
      <c r="D9488" t="s">
        <v>11</v>
      </c>
      <c r="E9488" t="s">
        <v>12</v>
      </c>
      <c r="F9488">
        <v>55028678</v>
      </c>
      <c r="G9488">
        <v>55028679</v>
      </c>
      <c r="H9488">
        <v>55028678</v>
      </c>
      <c r="I9488">
        <v>55028679</v>
      </c>
    </row>
    <row r="9489" spans="1:9" x14ac:dyDescent="0.2">
      <c r="A9489" s="1" t="str">
        <f>"LACTB"</f>
        <v>LACTB</v>
      </c>
      <c r="B9489" t="s">
        <v>14</v>
      </c>
      <c r="C9489" t="s">
        <v>25</v>
      </c>
      <c r="D9489" t="s">
        <v>17</v>
      </c>
      <c r="E9489" t="s">
        <v>12</v>
      </c>
      <c r="F9489">
        <v>63414017</v>
      </c>
      <c r="G9489">
        <v>63414049</v>
      </c>
      <c r="H9489">
        <v>63414051</v>
      </c>
      <c r="I9489">
        <v>63414069</v>
      </c>
    </row>
    <row r="9490" spans="1:9" x14ac:dyDescent="0.2">
      <c r="A9490" s="1" t="str">
        <f>"LACTB2"</f>
        <v>LACTB2</v>
      </c>
      <c r="B9490" t="s">
        <v>14</v>
      </c>
      <c r="C9490" t="s">
        <v>30</v>
      </c>
      <c r="D9490" t="s">
        <v>11</v>
      </c>
      <c r="E9490" t="s">
        <v>12</v>
      </c>
      <c r="F9490">
        <v>71581377</v>
      </c>
      <c r="G9490">
        <v>71581458</v>
      </c>
      <c r="H9490">
        <v>71581473</v>
      </c>
      <c r="I9490">
        <v>71581480</v>
      </c>
    </row>
    <row r="9491" spans="1:9" x14ac:dyDescent="0.2">
      <c r="A9491" s="1" t="str">
        <f>"LACTBL1"</f>
        <v>LACTBL1</v>
      </c>
      <c r="B9491" t="s">
        <v>739</v>
      </c>
      <c r="C9491" t="s">
        <v>19</v>
      </c>
      <c r="D9491" t="s">
        <v>11</v>
      </c>
      <c r="E9491" t="s">
        <v>20</v>
      </c>
      <c r="F9491">
        <v>23291830</v>
      </c>
      <c r="G9491">
        <v>23291830</v>
      </c>
      <c r="H9491">
        <v>23291830</v>
      </c>
      <c r="I9491">
        <v>23291830</v>
      </c>
    </row>
    <row r="9492" spans="1:9" x14ac:dyDescent="0.2">
      <c r="A9492" s="1" t="str">
        <f>"LAD1"</f>
        <v>LAD1</v>
      </c>
      <c r="B9492" t="s">
        <v>14</v>
      </c>
      <c r="C9492" t="s">
        <v>19</v>
      </c>
      <c r="D9492" t="s">
        <v>11</v>
      </c>
      <c r="E9492" t="s">
        <v>12</v>
      </c>
      <c r="F9492">
        <v>201368430</v>
      </c>
      <c r="G9492">
        <v>201368460</v>
      </c>
      <c r="H9492">
        <v>201368653</v>
      </c>
      <c r="I9492">
        <v>201368705</v>
      </c>
    </row>
    <row r="9493" spans="1:9" x14ac:dyDescent="0.2">
      <c r="A9493" s="1" t="str">
        <f>"LAG3"</f>
        <v>LAG3</v>
      </c>
      <c r="B9493" t="s">
        <v>14</v>
      </c>
      <c r="C9493" t="s">
        <v>16</v>
      </c>
      <c r="D9493" t="s">
        <v>17</v>
      </c>
      <c r="E9493" t="s">
        <v>12</v>
      </c>
      <c r="F9493">
        <v>6881678</v>
      </c>
      <c r="G9493">
        <v>6881707</v>
      </c>
      <c r="H9493">
        <v>6881662</v>
      </c>
      <c r="I9493">
        <v>6881675</v>
      </c>
    </row>
    <row r="9494" spans="1:9" x14ac:dyDescent="0.2">
      <c r="A9494" s="1" t="str">
        <f>"LAGE3"</f>
        <v>LAGE3</v>
      </c>
      <c r="B9494" t="s">
        <v>14</v>
      </c>
      <c r="C9494" t="s">
        <v>37</v>
      </c>
      <c r="D9494" t="s">
        <v>11</v>
      </c>
      <c r="E9494" t="s">
        <v>12</v>
      </c>
      <c r="F9494">
        <v>153707246</v>
      </c>
      <c r="G9494">
        <v>153707306</v>
      </c>
      <c r="H9494">
        <v>153707216</v>
      </c>
      <c r="I9494">
        <v>153707245</v>
      </c>
    </row>
    <row r="9495" spans="1:9" x14ac:dyDescent="0.2">
      <c r="A9495" s="1" t="str">
        <f>"LAIR1"</f>
        <v>LAIR1</v>
      </c>
      <c r="B9495" t="s">
        <v>14</v>
      </c>
      <c r="C9495" t="s">
        <v>10</v>
      </c>
      <c r="D9495" t="s">
        <v>11</v>
      </c>
      <c r="E9495" t="s">
        <v>12</v>
      </c>
      <c r="F9495">
        <v>54876531</v>
      </c>
      <c r="G9495">
        <v>54876549</v>
      </c>
      <c r="H9495">
        <v>54876483</v>
      </c>
      <c r="I9495">
        <v>54876501</v>
      </c>
    </row>
    <row r="9496" spans="1:9" x14ac:dyDescent="0.2">
      <c r="A9496" s="1" t="str">
        <f>"LAIR2"</f>
        <v>LAIR2</v>
      </c>
      <c r="B9496" t="s">
        <v>14</v>
      </c>
      <c r="C9496" t="s">
        <v>10</v>
      </c>
      <c r="D9496" t="s">
        <v>17</v>
      </c>
      <c r="E9496" t="s">
        <v>12</v>
      </c>
      <c r="F9496">
        <v>55014085</v>
      </c>
      <c r="G9496">
        <v>55014120</v>
      </c>
      <c r="H9496">
        <v>55014014</v>
      </c>
      <c r="I9496">
        <v>55014052</v>
      </c>
    </row>
    <row r="9497" spans="1:9" x14ac:dyDescent="0.2">
      <c r="A9497" s="1" t="str">
        <f>"LALBA"</f>
        <v>LALBA</v>
      </c>
      <c r="B9497" t="s">
        <v>740</v>
      </c>
      <c r="C9497" t="s">
        <v>16</v>
      </c>
      <c r="D9497" t="s">
        <v>11</v>
      </c>
      <c r="E9497" t="s">
        <v>20</v>
      </c>
      <c r="F9497">
        <v>48963828</v>
      </c>
      <c r="G9497">
        <v>48963828</v>
      </c>
      <c r="H9497">
        <v>48963828</v>
      </c>
      <c r="I9497">
        <v>48963828</v>
      </c>
    </row>
    <row r="9498" spans="1:9" x14ac:dyDescent="0.2">
      <c r="A9498" s="1" t="str">
        <f>"LAMA1"</f>
        <v>LAMA1</v>
      </c>
      <c r="B9498" t="s">
        <v>14</v>
      </c>
      <c r="C9498" t="s">
        <v>43</v>
      </c>
      <c r="D9498" t="s">
        <v>11</v>
      </c>
      <c r="E9498" t="s">
        <v>12</v>
      </c>
      <c r="F9498">
        <v>7117785</v>
      </c>
      <c r="G9498">
        <v>7117811</v>
      </c>
      <c r="H9498">
        <v>7117813</v>
      </c>
      <c r="I9498">
        <v>7117843</v>
      </c>
    </row>
    <row r="9499" spans="1:9" x14ac:dyDescent="0.2">
      <c r="A9499" s="1" t="str">
        <f>"LAMA2"</f>
        <v>LAMA2</v>
      </c>
      <c r="B9499" t="s">
        <v>14</v>
      </c>
      <c r="C9499" t="s">
        <v>32</v>
      </c>
      <c r="D9499" t="s">
        <v>17</v>
      </c>
      <c r="E9499" t="s">
        <v>12</v>
      </c>
      <c r="F9499">
        <v>129204259</v>
      </c>
      <c r="G9499">
        <v>129204300</v>
      </c>
      <c r="H9499">
        <v>129204301</v>
      </c>
      <c r="I9499">
        <v>129204323</v>
      </c>
    </row>
    <row r="9500" spans="1:9" x14ac:dyDescent="0.2">
      <c r="A9500" s="1" t="str">
        <f>"LAMA3"</f>
        <v>LAMA3</v>
      </c>
      <c r="B9500" t="s">
        <v>741</v>
      </c>
      <c r="C9500" t="s">
        <v>43</v>
      </c>
      <c r="D9500" t="s">
        <v>17</v>
      </c>
      <c r="E9500" t="s">
        <v>35</v>
      </c>
      <c r="F9500">
        <v>21269377</v>
      </c>
      <c r="G9500">
        <v>21269400</v>
      </c>
      <c r="H9500">
        <v>21269574</v>
      </c>
      <c r="I9500">
        <v>21269581</v>
      </c>
    </row>
    <row r="9501" spans="1:9" x14ac:dyDescent="0.2">
      <c r="A9501" s="1" t="str">
        <f>"LAMA4"</f>
        <v>LAMA4</v>
      </c>
      <c r="B9501" t="s">
        <v>14</v>
      </c>
      <c r="C9501" t="s">
        <v>32</v>
      </c>
      <c r="D9501" t="s">
        <v>11</v>
      </c>
      <c r="E9501" t="s">
        <v>12</v>
      </c>
      <c r="F9501">
        <v>112575758</v>
      </c>
      <c r="G9501">
        <v>112575776</v>
      </c>
      <c r="H9501">
        <v>112575733</v>
      </c>
      <c r="I9501">
        <v>112575755</v>
      </c>
    </row>
    <row r="9502" spans="1:9" x14ac:dyDescent="0.2">
      <c r="A9502" s="1" t="str">
        <f>"LAMA5"</f>
        <v>LAMA5</v>
      </c>
      <c r="B9502" t="s">
        <v>14</v>
      </c>
      <c r="C9502" t="s">
        <v>29</v>
      </c>
      <c r="D9502" t="s">
        <v>11</v>
      </c>
      <c r="E9502" t="s">
        <v>12</v>
      </c>
      <c r="F9502">
        <v>60942361</v>
      </c>
      <c r="G9502">
        <v>60942376</v>
      </c>
      <c r="H9502">
        <v>60942338</v>
      </c>
      <c r="I9502">
        <v>60942356</v>
      </c>
    </row>
    <row r="9503" spans="1:9" x14ac:dyDescent="0.2">
      <c r="A9503" s="1" t="str">
        <f>"LAMB1"</f>
        <v>LAMB1</v>
      </c>
      <c r="B9503" t="s">
        <v>14</v>
      </c>
      <c r="C9503" t="s">
        <v>33</v>
      </c>
      <c r="D9503" t="s">
        <v>11</v>
      </c>
      <c r="E9503" t="s">
        <v>12</v>
      </c>
      <c r="F9503">
        <v>107643567</v>
      </c>
      <c r="G9503">
        <v>107643657</v>
      </c>
      <c r="H9503">
        <v>107643412</v>
      </c>
      <c r="I9503">
        <v>107643428</v>
      </c>
    </row>
    <row r="9504" spans="1:9" x14ac:dyDescent="0.2">
      <c r="A9504" s="1" t="str">
        <f>"LAMB2"</f>
        <v>LAMB2</v>
      </c>
      <c r="B9504" t="s">
        <v>14</v>
      </c>
      <c r="C9504" t="s">
        <v>22</v>
      </c>
      <c r="D9504" t="s">
        <v>11</v>
      </c>
      <c r="E9504" t="s">
        <v>12</v>
      </c>
      <c r="F9504">
        <v>49170405</v>
      </c>
      <c r="G9504">
        <v>49170517</v>
      </c>
      <c r="H9504">
        <v>49170334</v>
      </c>
      <c r="I9504">
        <v>49170354</v>
      </c>
    </row>
    <row r="9505" spans="1:9" x14ac:dyDescent="0.2">
      <c r="A9505" s="1" t="str">
        <f>"LAMB3"</f>
        <v>LAMB3</v>
      </c>
      <c r="B9505" t="s">
        <v>14</v>
      </c>
      <c r="C9505" t="s">
        <v>19</v>
      </c>
      <c r="D9505" t="s">
        <v>11</v>
      </c>
      <c r="E9505" t="s">
        <v>12</v>
      </c>
      <c r="F9505">
        <v>209825762</v>
      </c>
      <c r="G9505">
        <v>209825779</v>
      </c>
      <c r="H9505">
        <v>209825762</v>
      </c>
      <c r="I9505">
        <v>209825779</v>
      </c>
    </row>
    <row r="9506" spans="1:9" x14ac:dyDescent="0.2">
      <c r="A9506" s="1" t="str">
        <f>"LAMB4"</f>
        <v>LAMB4</v>
      </c>
      <c r="B9506" t="s">
        <v>14</v>
      </c>
      <c r="C9506" t="s">
        <v>33</v>
      </c>
      <c r="D9506" t="s">
        <v>11</v>
      </c>
      <c r="E9506" t="s">
        <v>12</v>
      </c>
      <c r="F9506">
        <v>107770794</v>
      </c>
      <c r="G9506">
        <v>107770812</v>
      </c>
      <c r="H9506">
        <v>107770794</v>
      </c>
      <c r="I9506">
        <v>107770812</v>
      </c>
    </row>
    <row r="9507" spans="1:9" x14ac:dyDescent="0.2">
      <c r="A9507" s="1" t="str">
        <f>"LAMC1"</f>
        <v>LAMC1</v>
      </c>
      <c r="B9507" t="s">
        <v>14</v>
      </c>
      <c r="C9507" t="s">
        <v>19</v>
      </c>
      <c r="D9507" t="s">
        <v>17</v>
      </c>
      <c r="E9507" t="s">
        <v>12</v>
      </c>
      <c r="F9507">
        <v>182992545</v>
      </c>
      <c r="G9507">
        <v>182992630</v>
      </c>
      <c r="H9507">
        <v>182992545</v>
      </c>
      <c r="I9507">
        <v>182992630</v>
      </c>
    </row>
    <row r="9508" spans="1:9" x14ac:dyDescent="0.2">
      <c r="A9508" s="1" t="str">
        <f>"LAMC2"</f>
        <v>LAMC2</v>
      </c>
      <c r="B9508" t="s">
        <v>14</v>
      </c>
      <c r="C9508" t="s">
        <v>19</v>
      </c>
      <c r="D9508" t="s">
        <v>17</v>
      </c>
      <c r="E9508" t="s">
        <v>12</v>
      </c>
      <c r="F9508">
        <v>183155389</v>
      </c>
      <c r="G9508">
        <v>183155406</v>
      </c>
      <c r="H9508">
        <v>183155389</v>
      </c>
      <c r="I9508">
        <v>183155406</v>
      </c>
    </row>
    <row r="9509" spans="1:9" x14ac:dyDescent="0.2">
      <c r="A9509" s="1" t="str">
        <f>"LAMC3"</f>
        <v>LAMC3</v>
      </c>
      <c r="B9509" t="s">
        <v>14</v>
      </c>
      <c r="C9509" t="s">
        <v>24</v>
      </c>
      <c r="D9509" t="s">
        <v>17</v>
      </c>
      <c r="E9509" t="s">
        <v>12</v>
      </c>
      <c r="F9509">
        <v>133884528</v>
      </c>
      <c r="G9509">
        <v>133884594</v>
      </c>
      <c r="H9509">
        <v>133884511</v>
      </c>
      <c r="I9509">
        <v>133884524</v>
      </c>
    </row>
    <row r="9510" spans="1:9" x14ac:dyDescent="0.2">
      <c r="A9510" s="1" t="str">
        <f>"LAMP1"</f>
        <v>LAMP1</v>
      </c>
      <c r="B9510" t="s">
        <v>14</v>
      </c>
      <c r="C9510" t="s">
        <v>39</v>
      </c>
      <c r="D9510" t="s">
        <v>17</v>
      </c>
      <c r="E9510" t="s">
        <v>12</v>
      </c>
      <c r="F9510">
        <v>113951532</v>
      </c>
      <c r="G9510">
        <v>113951594</v>
      </c>
      <c r="H9510">
        <v>113951607</v>
      </c>
      <c r="I9510">
        <v>113951618</v>
      </c>
    </row>
    <row r="9511" spans="1:9" x14ac:dyDescent="0.2">
      <c r="A9511" s="1" t="str">
        <f>"LAMP2"</f>
        <v>LAMP2</v>
      </c>
      <c r="B9511" t="s">
        <v>14</v>
      </c>
      <c r="C9511" t="s">
        <v>37</v>
      </c>
      <c r="D9511" t="s">
        <v>11</v>
      </c>
      <c r="E9511" t="s">
        <v>12</v>
      </c>
      <c r="F9511">
        <v>119603138</v>
      </c>
      <c r="G9511">
        <v>119603158</v>
      </c>
      <c r="H9511">
        <v>119602833</v>
      </c>
      <c r="I9511">
        <v>119602870</v>
      </c>
    </row>
    <row r="9512" spans="1:9" x14ac:dyDescent="0.2">
      <c r="A9512" s="1" t="str">
        <f>"LAMP3"</f>
        <v>LAMP3</v>
      </c>
      <c r="B9512" t="s">
        <v>14</v>
      </c>
      <c r="C9512" t="s">
        <v>22</v>
      </c>
      <c r="D9512" t="s">
        <v>11</v>
      </c>
      <c r="E9512" t="s">
        <v>12</v>
      </c>
      <c r="F9512">
        <v>182880514</v>
      </c>
      <c r="G9512">
        <v>182880528</v>
      </c>
      <c r="H9512">
        <v>182880541</v>
      </c>
      <c r="I9512">
        <v>182880578</v>
      </c>
    </row>
    <row r="9513" spans="1:9" x14ac:dyDescent="0.2">
      <c r="A9513" s="1" t="str">
        <f>"LAMP5"</f>
        <v>LAMP5</v>
      </c>
      <c r="B9513" t="s">
        <v>14</v>
      </c>
      <c r="C9513" t="s">
        <v>29</v>
      </c>
      <c r="D9513" t="s">
        <v>17</v>
      </c>
      <c r="E9513" t="s">
        <v>12</v>
      </c>
      <c r="F9513">
        <v>9495209</v>
      </c>
      <c r="G9513">
        <v>9495256</v>
      </c>
      <c r="H9513">
        <v>9495209</v>
      </c>
      <c r="I9513">
        <v>9495256</v>
      </c>
    </row>
    <row r="9514" spans="1:9" x14ac:dyDescent="0.2">
      <c r="A9514" s="1" t="str">
        <f>"LAMTOR1"</f>
        <v>LAMTOR1</v>
      </c>
      <c r="B9514" t="s">
        <v>14</v>
      </c>
      <c r="C9514" t="s">
        <v>27</v>
      </c>
      <c r="D9514" t="s">
        <v>11</v>
      </c>
      <c r="E9514" t="s">
        <v>12</v>
      </c>
      <c r="F9514">
        <v>71814276</v>
      </c>
      <c r="G9514">
        <v>71814349</v>
      </c>
      <c r="H9514">
        <v>71814422</v>
      </c>
      <c r="I9514">
        <v>71814435</v>
      </c>
    </row>
    <row r="9515" spans="1:9" x14ac:dyDescent="0.2">
      <c r="A9515" s="1" t="str">
        <f>"LAMTOR2"</f>
        <v>LAMTOR2</v>
      </c>
      <c r="B9515" t="s">
        <v>14</v>
      </c>
      <c r="C9515" t="s">
        <v>19</v>
      </c>
      <c r="D9515" t="s">
        <v>17</v>
      </c>
      <c r="E9515" t="s">
        <v>12</v>
      </c>
      <c r="F9515">
        <v>156024552</v>
      </c>
      <c r="G9515">
        <v>156024657</v>
      </c>
      <c r="H9515">
        <v>156024525</v>
      </c>
      <c r="I9515">
        <v>156024547</v>
      </c>
    </row>
    <row r="9516" spans="1:9" x14ac:dyDescent="0.2">
      <c r="A9516" s="1" t="str">
        <f>"LAMTOR3"</f>
        <v>LAMTOR3</v>
      </c>
      <c r="B9516" t="s">
        <v>14</v>
      </c>
      <c r="C9516" t="s">
        <v>23</v>
      </c>
      <c r="D9516" t="s">
        <v>11</v>
      </c>
      <c r="E9516" t="s">
        <v>12</v>
      </c>
      <c r="F9516">
        <v>100815525</v>
      </c>
      <c r="G9516">
        <v>100815622</v>
      </c>
      <c r="H9516">
        <v>100815525</v>
      </c>
      <c r="I9516">
        <v>100815622</v>
      </c>
    </row>
    <row r="9517" spans="1:9" x14ac:dyDescent="0.2">
      <c r="A9517" s="1" t="str">
        <f>"LAMTOR4"</f>
        <v>LAMTOR4</v>
      </c>
      <c r="B9517" t="s">
        <v>14</v>
      </c>
      <c r="C9517" t="s">
        <v>33</v>
      </c>
      <c r="D9517" t="s">
        <v>17</v>
      </c>
      <c r="E9517" t="s">
        <v>12</v>
      </c>
      <c r="F9517">
        <v>99746514</v>
      </c>
      <c r="G9517">
        <v>99746575</v>
      </c>
      <c r="H9517">
        <v>99746578</v>
      </c>
      <c r="I9517">
        <v>99746618</v>
      </c>
    </row>
    <row r="9518" spans="1:9" x14ac:dyDescent="0.2">
      <c r="A9518" s="1" t="str">
        <f>"LAMTOR5"</f>
        <v>LAMTOR5</v>
      </c>
      <c r="B9518" t="s">
        <v>14</v>
      </c>
      <c r="C9518" t="s">
        <v>19</v>
      </c>
      <c r="D9518" t="s">
        <v>11</v>
      </c>
      <c r="E9518" t="s">
        <v>12</v>
      </c>
      <c r="F9518">
        <v>110950255</v>
      </c>
      <c r="G9518">
        <v>110950330</v>
      </c>
      <c r="H9518">
        <v>110949989</v>
      </c>
      <c r="I9518">
        <v>110950007</v>
      </c>
    </row>
    <row r="9519" spans="1:9" x14ac:dyDescent="0.2">
      <c r="A9519" s="1" t="str">
        <f>"LANCL1"</f>
        <v>LANCL1</v>
      </c>
      <c r="B9519" t="s">
        <v>14</v>
      </c>
      <c r="C9519" t="s">
        <v>26</v>
      </c>
      <c r="D9519" t="s">
        <v>11</v>
      </c>
      <c r="E9519" t="s">
        <v>12</v>
      </c>
      <c r="F9519">
        <v>211341411</v>
      </c>
      <c r="G9519">
        <v>211341499</v>
      </c>
      <c r="H9519">
        <v>211342292</v>
      </c>
      <c r="I9519">
        <v>211342329</v>
      </c>
    </row>
    <row r="9520" spans="1:9" x14ac:dyDescent="0.2">
      <c r="A9520" s="1" t="str">
        <f>"LANCL2"</f>
        <v>LANCL2</v>
      </c>
      <c r="B9520" t="s">
        <v>14</v>
      </c>
      <c r="C9520" t="s">
        <v>33</v>
      </c>
      <c r="D9520" t="s">
        <v>17</v>
      </c>
      <c r="E9520" t="s">
        <v>12</v>
      </c>
      <c r="F9520">
        <v>55433727</v>
      </c>
      <c r="G9520">
        <v>55433743</v>
      </c>
      <c r="H9520">
        <v>55433010</v>
      </c>
      <c r="I9520">
        <v>55433042</v>
      </c>
    </row>
    <row r="9521" spans="1:9" x14ac:dyDescent="0.2">
      <c r="A9521" s="1" t="str">
        <f>"LANCL3"</f>
        <v>LANCL3</v>
      </c>
      <c r="B9521" t="s">
        <v>14</v>
      </c>
      <c r="C9521" t="s">
        <v>37</v>
      </c>
      <c r="D9521" t="s">
        <v>17</v>
      </c>
      <c r="E9521" t="s">
        <v>12</v>
      </c>
      <c r="F9521">
        <v>37430911</v>
      </c>
      <c r="G9521">
        <v>37430914</v>
      </c>
      <c r="H9521">
        <v>37430911</v>
      </c>
      <c r="I9521">
        <v>37430914</v>
      </c>
    </row>
    <row r="9522" spans="1:9" x14ac:dyDescent="0.2">
      <c r="A9522" s="1" t="str">
        <f>"LAP3"</f>
        <v>LAP3</v>
      </c>
      <c r="B9522" t="s">
        <v>14</v>
      </c>
      <c r="C9522" t="s">
        <v>23</v>
      </c>
      <c r="D9522" t="s">
        <v>17</v>
      </c>
      <c r="E9522" t="s">
        <v>12</v>
      </c>
      <c r="F9522">
        <v>17579110</v>
      </c>
      <c r="G9522">
        <v>17579130</v>
      </c>
      <c r="H9522">
        <v>17579073</v>
      </c>
      <c r="I9522">
        <v>17579106</v>
      </c>
    </row>
    <row r="9523" spans="1:9" x14ac:dyDescent="0.2">
      <c r="A9523" s="1" t="str">
        <f>"LAPTM4A"</f>
        <v>LAPTM4A</v>
      </c>
      <c r="B9523" t="s">
        <v>14</v>
      </c>
      <c r="C9523" t="s">
        <v>26</v>
      </c>
      <c r="D9523" t="s">
        <v>11</v>
      </c>
      <c r="E9523" t="s">
        <v>12</v>
      </c>
      <c r="F9523">
        <v>20251371</v>
      </c>
      <c r="G9523">
        <v>20251400</v>
      </c>
      <c r="H9523">
        <v>20251406</v>
      </c>
      <c r="I9523">
        <v>20251451</v>
      </c>
    </row>
    <row r="9524" spans="1:9" x14ac:dyDescent="0.2">
      <c r="A9524" s="1" t="str">
        <f>"LAPTM4B"</f>
        <v>LAPTM4B</v>
      </c>
      <c r="B9524" t="s">
        <v>14</v>
      </c>
      <c r="C9524" t="s">
        <v>30</v>
      </c>
      <c r="D9524" t="s">
        <v>17</v>
      </c>
      <c r="E9524" t="s">
        <v>12</v>
      </c>
      <c r="F9524">
        <v>98788003</v>
      </c>
      <c r="G9524">
        <v>98788054</v>
      </c>
      <c r="H9524">
        <v>98788057</v>
      </c>
      <c r="I9524">
        <v>98788073</v>
      </c>
    </row>
    <row r="9525" spans="1:9" x14ac:dyDescent="0.2">
      <c r="A9525" s="1" t="str">
        <f>"LAPTM5"</f>
        <v>LAPTM5</v>
      </c>
      <c r="B9525" t="s">
        <v>14</v>
      </c>
      <c r="C9525" t="s">
        <v>19</v>
      </c>
      <c r="D9525" t="s">
        <v>11</v>
      </c>
      <c r="E9525" t="s">
        <v>12</v>
      </c>
      <c r="F9525">
        <v>31230614</v>
      </c>
      <c r="G9525">
        <v>31230640</v>
      </c>
      <c r="H9525">
        <v>31230650</v>
      </c>
      <c r="I9525">
        <v>31230683</v>
      </c>
    </row>
    <row r="9526" spans="1:9" x14ac:dyDescent="0.2">
      <c r="A9526" s="1" t="str">
        <f>"LARGE"</f>
        <v>LARGE</v>
      </c>
      <c r="B9526" t="s">
        <v>14</v>
      </c>
      <c r="C9526" t="s">
        <v>21</v>
      </c>
      <c r="D9526" t="s">
        <v>11</v>
      </c>
      <c r="E9526" t="s">
        <v>12</v>
      </c>
      <c r="F9526">
        <v>34318539</v>
      </c>
      <c r="G9526">
        <v>34318556</v>
      </c>
      <c r="H9526">
        <v>34318783</v>
      </c>
      <c r="I9526">
        <v>34318816</v>
      </c>
    </row>
    <row r="9527" spans="1:9" x14ac:dyDescent="0.2">
      <c r="A9527" s="1" t="str">
        <f>"LARP1"</f>
        <v>LARP1</v>
      </c>
      <c r="B9527" t="s">
        <v>742</v>
      </c>
      <c r="C9527" t="s">
        <v>46</v>
      </c>
      <c r="D9527" t="s">
        <v>17</v>
      </c>
      <c r="E9527" t="s">
        <v>35</v>
      </c>
      <c r="F9527">
        <v>154092371</v>
      </c>
      <c r="G9527">
        <v>154092382</v>
      </c>
      <c r="H9527">
        <v>154092396</v>
      </c>
      <c r="I9527">
        <v>154092409</v>
      </c>
    </row>
    <row r="9528" spans="1:9" x14ac:dyDescent="0.2">
      <c r="A9528" s="1" t="str">
        <f>"LARP1B"</f>
        <v>LARP1B</v>
      </c>
      <c r="B9528" t="s">
        <v>14</v>
      </c>
      <c r="C9528" t="s">
        <v>23</v>
      </c>
      <c r="D9528" t="s">
        <v>17</v>
      </c>
      <c r="E9528" t="s">
        <v>12</v>
      </c>
      <c r="F9528">
        <v>128982430</v>
      </c>
      <c r="G9528">
        <v>128982488</v>
      </c>
      <c r="H9528">
        <v>128982491</v>
      </c>
      <c r="I9528">
        <v>128982512</v>
      </c>
    </row>
    <row r="9529" spans="1:9" x14ac:dyDescent="0.2">
      <c r="A9529" s="1" t="str">
        <f>"LARP4"</f>
        <v>LARP4</v>
      </c>
      <c r="B9529" t="s">
        <v>14</v>
      </c>
      <c r="C9529" t="s">
        <v>16</v>
      </c>
      <c r="D9529" t="s">
        <v>17</v>
      </c>
      <c r="E9529" t="s">
        <v>12</v>
      </c>
      <c r="F9529">
        <v>50794618</v>
      </c>
      <c r="G9529">
        <v>50794729</v>
      </c>
      <c r="H9529">
        <v>50794730</v>
      </c>
      <c r="I9529">
        <v>50794756</v>
      </c>
    </row>
    <row r="9530" spans="1:9" x14ac:dyDescent="0.2">
      <c r="A9530" s="1" t="str">
        <f>"LARP4B"</f>
        <v>LARP4B</v>
      </c>
      <c r="B9530" t="s">
        <v>743</v>
      </c>
      <c r="C9530" t="s">
        <v>15</v>
      </c>
      <c r="D9530" t="s">
        <v>11</v>
      </c>
      <c r="E9530" t="s">
        <v>20</v>
      </c>
      <c r="F9530">
        <v>931701</v>
      </c>
      <c r="G9530">
        <v>931701</v>
      </c>
      <c r="H9530">
        <v>931701</v>
      </c>
      <c r="I9530">
        <v>931701</v>
      </c>
    </row>
    <row r="9531" spans="1:9" x14ac:dyDescent="0.2">
      <c r="A9531" s="1" t="str">
        <f>"LARP6"</f>
        <v>LARP6</v>
      </c>
      <c r="B9531" t="s">
        <v>14</v>
      </c>
      <c r="C9531" t="s">
        <v>25</v>
      </c>
      <c r="D9531" t="s">
        <v>11</v>
      </c>
      <c r="E9531" t="s">
        <v>12</v>
      </c>
      <c r="F9531">
        <v>71146480</v>
      </c>
      <c r="G9531">
        <v>71146531</v>
      </c>
      <c r="H9531">
        <v>71146461</v>
      </c>
      <c r="I9531">
        <v>71146475</v>
      </c>
    </row>
    <row r="9532" spans="1:9" x14ac:dyDescent="0.2">
      <c r="A9532" s="1" t="str">
        <f>"LARP7"</f>
        <v>LARP7</v>
      </c>
      <c r="B9532" t="s">
        <v>14</v>
      </c>
      <c r="C9532" t="s">
        <v>23</v>
      </c>
      <c r="D9532" t="s">
        <v>17</v>
      </c>
      <c r="E9532" t="s">
        <v>12</v>
      </c>
      <c r="F9532">
        <v>113558272</v>
      </c>
      <c r="G9532">
        <v>113558356</v>
      </c>
      <c r="H9532">
        <v>113558670</v>
      </c>
      <c r="I9532">
        <v>113558729</v>
      </c>
    </row>
    <row r="9533" spans="1:9" x14ac:dyDescent="0.2">
      <c r="A9533" s="1" t="str">
        <f>"LARS"</f>
        <v>LARS</v>
      </c>
      <c r="B9533" t="s">
        <v>14</v>
      </c>
      <c r="C9533" t="s">
        <v>46</v>
      </c>
      <c r="D9533" t="s">
        <v>11</v>
      </c>
      <c r="E9533" t="s">
        <v>12</v>
      </c>
      <c r="F9533">
        <v>145562147</v>
      </c>
      <c r="G9533">
        <v>145562240</v>
      </c>
      <c r="H9533">
        <v>145562068</v>
      </c>
      <c r="I9533">
        <v>145562100</v>
      </c>
    </row>
    <row r="9534" spans="1:9" x14ac:dyDescent="0.2">
      <c r="A9534" s="1" t="str">
        <f>"LARS2"</f>
        <v>LARS2</v>
      </c>
      <c r="B9534" t="s">
        <v>14</v>
      </c>
      <c r="C9534" t="s">
        <v>22</v>
      </c>
      <c r="D9534" t="s">
        <v>17</v>
      </c>
      <c r="E9534" t="s">
        <v>12</v>
      </c>
      <c r="F9534">
        <v>45430047</v>
      </c>
      <c r="G9534">
        <v>45430082</v>
      </c>
      <c r="H9534">
        <v>45430105</v>
      </c>
      <c r="I9534">
        <v>45430116</v>
      </c>
    </row>
    <row r="9535" spans="1:9" x14ac:dyDescent="0.2">
      <c r="A9535" s="1" t="str">
        <f>"LAS1L"</f>
        <v>LAS1L</v>
      </c>
      <c r="B9535" t="s">
        <v>14</v>
      </c>
      <c r="C9535" t="s">
        <v>37</v>
      </c>
      <c r="D9535" t="s">
        <v>11</v>
      </c>
      <c r="E9535" t="s">
        <v>12</v>
      </c>
      <c r="F9535">
        <v>64754611</v>
      </c>
      <c r="G9535">
        <v>64754682</v>
      </c>
      <c r="H9535">
        <v>64754611</v>
      </c>
      <c r="I9535">
        <v>64754682</v>
      </c>
    </row>
    <row r="9536" spans="1:9" x14ac:dyDescent="0.2">
      <c r="A9536" s="1" t="str">
        <f>"LASP1"</f>
        <v>LASP1</v>
      </c>
      <c r="B9536" t="s">
        <v>14</v>
      </c>
      <c r="C9536" t="s">
        <v>28</v>
      </c>
      <c r="D9536" t="s">
        <v>17</v>
      </c>
      <c r="E9536" t="s">
        <v>12</v>
      </c>
      <c r="F9536">
        <v>37026303</v>
      </c>
      <c r="G9536">
        <v>37026323</v>
      </c>
      <c r="H9536">
        <v>37026106</v>
      </c>
      <c r="I9536">
        <v>37026123</v>
      </c>
    </row>
    <row r="9537" spans="1:9" x14ac:dyDescent="0.2">
      <c r="A9537" s="1" t="str">
        <f>"LAT"</f>
        <v>LAT</v>
      </c>
      <c r="B9537" t="s">
        <v>14</v>
      </c>
      <c r="C9537" t="s">
        <v>31</v>
      </c>
      <c r="D9537" t="s">
        <v>17</v>
      </c>
      <c r="E9537" t="s">
        <v>12</v>
      </c>
      <c r="F9537">
        <v>28996446</v>
      </c>
      <c r="G9537">
        <v>28996491</v>
      </c>
      <c r="H9537">
        <v>28996416</v>
      </c>
      <c r="I9537">
        <v>28996444</v>
      </c>
    </row>
    <row r="9538" spans="1:9" x14ac:dyDescent="0.2">
      <c r="A9538" s="1" t="str">
        <f>"LAT2"</f>
        <v>LAT2</v>
      </c>
      <c r="B9538" t="s">
        <v>14</v>
      </c>
      <c r="C9538" t="s">
        <v>33</v>
      </c>
      <c r="D9538" t="s">
        <v>17</v>
      </c>
      <c r="E9538" t="s">
        <v>12</v>
      </c>
      <c r="F9538">
        <v>73624327</v>
      </c>
      <c r="G9538">
        <v>73624350</v>
      </c>
      <c r="H9538">
        <v>73624276</v>
      </c>
      <c r="I9538">
        <v>73624306</v>
      </c>
    </row>
    <row r="9539" spans="1:9" x14ac:dyDescent="0.2">
      <c r="A9539" s="1" t="str">
        <f>"LATS1"</f>
        <v>LATS1</v>
      </c>
      <c r="B9539" t="s">
        <v>14</v>
      </c>
      <c r="C9539" t="s">
        <v>32</v>
      </c>
      <c r="D9539" t="s">
        <v>11</v>
      </c>
      <c r="E9539" t="s">
        <v>12</v>
      </c>
      <c r="F9539">
        <v>150039199</v>
      </c>
      <c r="G9539">
        <v>150039242</v>
      </c>
      <c r="H9539">
        <v>150039249</v>
      </c>
      <c r="I9539">
        <v>150039258</v>
      </c>
    </row>
    <row r="9540" spans="1:9" x14ac:dyDescent="0.2">
      <c r="A9540" s="1" t="str">
        <f>"LATS2"</f>
        <v>LATS2</v>
      </c>
      <c r="B9540" t="s">
        <v>14</v>
      </c>
      <c r="C9540" t="s">
        <v>39</v>
      </c>
      <c r="D9540" t="s">
        <v>11</v>
      </c>
      <c r="E9540" t="s">
        <v>12</v>
      </c>
      <c r="F9540">
        <v>21635631</v>
      </c>
      <c r="G9540">
        <v>21635744</v>
      </c>
      <c r="H9540">
        <v>21635631</v>
      </c>
      <c r="I9540">
        <v>21635744</v>
      </c>
    </row>
    <row r="9541" spans="1:9" x14ac:dyDescent="0.2">
      <c r="A9541" s="1" t="str">
        <f>"LAX1"</f>
        <v>LAX1</v>
      </c>
      <c r="B9541" t="s">
        <v>14</v>
      </c>
      <c r="C9541" t="s">
        <v>19</v>
      </c>
      <c r="D9541" t="s">
        <v>17</v>
      </c>
      <c r="E9541" t="s">
        <v>12</v>
      </c>
      <c r="F9541">
        <v>203734296</v>
      </c>
      <c r="G9541">
        <v>203734318</v>
      </c>
      <c r="H9541">
        <v>203734321</v>
      </c>
      <c r="I9541">
        <v>203734330</v>
      </c>
    </row>
    <row r="9542" spans="1:9" x14ac:dyDescent="0.2">
      <c r="A9542" s="1" t="str">
        <f>"LAYN"</f>
        <v>LAYN</v>
      </c>
      <c r="B9542" t="s">
        <v>14</v>
      </c>
      <c r="C9542" t="s">
        <v>27</v>
      </c>
      <c r="D9542" t="s">
        <v>17</v>
      </c>
      <c r="E9542" t="s">
        <v>12</v>
      </c>
      <c r="F9542">
        <v>111411394</v>
      </c>
      <c r="G9542">
        <v>111411505</v>
      </c>
      <c r="H9542">
        <v>111412053</v>
      </c>
      <c r="I9542">
        <v>111412082</v>
      </c>
    </row>
    <row r="9543" spans="1:9" x14ac:dyDescent="0.2">
      <c r="A9543" s="1" t="str">
        <f>"LBH"</f>
        <v>LBH</v>
      </c>
      <c r="B9543" t="s">
        <v>14</v>
      </c>
      <c r="C9543" t="s">
        <v>26</v>
      </c>
      <c r="D9543" t="s">
        <v>17</v>
      </c>
      <c r="E9543" t="s">
        <v>12</v>
      </c>
      <c r="F9543">
        <v>30454390</v>
      </c>
      <c r="G9543">
        <v>30454409</v>
      </c>
      <c r="H9543">
        <v>30454390</v>
      </c>
      <c r="I9543">
        <v>30454409</v>
      </c>
    </row>
    <row r="9544" spans="1:9" x14ac:dyDescent="0.2">
      <c r="A9544" s="1" t="str">
        <f>"LBP"</f>
        <v>LBP</v>
      </c>
      <c r="B9544" t="s">
        <v>14</v>
      </c>
      <c r="C9544" t="s">
        <v>29</v>
      </c>
      <c r="D9544" t="s">
        <v>17</v>
      </c>
      <c r="E9544" t="s">
        <v>12</v>
      </c>
      <c r="F9544">
        <v>36974877</v>
      </c>
      <c r="G9544">
        <v>36974892</v>
      </c>
      <c r="H9544">
        <v>36974877</v>
      </c>
      <c r="I9544">
        <v>36974892</v>
      </c>
    </row>
    <row r="9545" spans="1:9" x14ac:dyDescent="0.2">
      <c r="A9545" s="1" t="str">
        <f>"LBR"</f>
        <v>LBR</v>
      </c>
      <c r="B9545" t="s">
        <v>14</v>
      </c>
      <c r="C9545" t="s">
        <v>19</v>
      </c>
      <c r="D9545" t="s">
        <v>11</v>
      </c>
      <c r="E9545" t="s">
        <v>12</v>
      </c>
      <c r="F9545">
        <v>225615723</v>
      </c>
      <c r="G9545">
        <v>225615802</v>
      </c>
      <c r="H9545">
        <v>225615810</v>
      </c>
      <c r="I9545">
        <v>225615821</v>
      </c>
    </row>
    <row r="9546" spans="1:9" x14ac:dyDescent="0.2">
      <c r="A9546" s="1" t="str">
        <f>"LBX1"</f>
        <v>LBX1</v>
      </c>
      <c r="B9546" t="s">
        <v>14</v>
      </c>
      <c r="C9546" t="s">
        <v>15</v>
      </c>
      <c r="D9546" t="s">
        <v>11</v>
      </c>
      <c r="E9546" t="s">
        <v>12</v>
      </c>
      <c r="F9546">
        <v>102989206</v>
      </c>
      <c r="G9546">
        <v>102989222</v>
      </c>
      <c r="H9546">
        <v>102988841</v>
      </c>
      <c r="I9546">
        <v>102988845</v>
      </c>
    </row>
    <row r="9547" spans="1:9" x14ac:dyDescent="0.2">
      <c r="A9547" s="1" t="str">
        <f>"LBX2"</f>
        <v>LBX2</v>
      </c>
      <c r="B9547" t="s">
        <v>14</v>
      </c>
      <c r="C9547" t="s">
        <v>26</v>
      </c>
      <c r="D9547" t="s">
        <v>11</v>
      </c>
      <c r="E9547" t="s">
        <v>12</v>
      </c>
      <c r="F9547">
        <v>74730430</v>
      </c>
      <c r="G9547">
        <v>74730451</v>
      </c>
      <c r="H9547">
        <v>74730454</v>
      </c>
      <c r="I9547">
        <v>74730483</v>
      </c>
    </row>
    <row r="9548" spans="1:9" x14ac:dyDescent="0.2">
      <c r="A9548" s="1" t="str">
        <f>"LCA5"</f>
        <v>LCA5</v>
      </c>
      <c r="B9548" t="s">
        <v>14</v>
      </c>
      <c r="C9548" t="s">
        <v>32</v>
      </c>
      <c r="D9548" t="s">
        <v>11</v>
      </c>
      <c r="E9548" t="s">
        <v>12</v>
      </c>
      <c r="F9548">
        <v>80247105</v>
      </c>
      <c r="G9548">
        <v>80247133</v>
      </c>
      <c r="H9548">
        <v>80247047</v>
      </c>
      <c r="I9548">
        <v>80247100</v>
      </c>
    </row>
    <row r="9549" spans="1:9" x14ac:dyDescent="0.2">
      <c r="A9549" s="1" t="str">
        <f>"LCA5L"</f>
        <v>LCA5L</v>
      </c>
      <c r="B9549" t="s">
        <v>14</v>
      </c>
      <c r="C9549" t="s">
        <v>42</v>
      </c>
      <c r="D9549" t="s">
        <v>11</v>
      </c>
      <c r="E9549" t="s">
        <v>12</v>
      </c>
      <c r="F9549">
        <v>40817649</v>
      </c>
      <c r="G9549">
        <v>40817724</v>
      </c>
      <c r="H9549">
        <v>40817649</v>
      </c>
      <c r="I9549">
        <v>40817724</v>
      </c>
    </row>
    <row r="9550" spans="1:9" x14ac:dyDescent="0.2">
      <c r="A9550" s="1" t="str">
        <f>"LCAT"</f>
        <v>LCAT</v>
      </c>
      <c r="B9550" t="s">
        <v>14</v>
      </c>
      <c r="C9550" t="s">
        <v>31</v>
      </c>
      <c r="D9550" t="s">
        <v>11</v>
      </c>
      <c r="E9550" t="s">
        <v>12</v>
      </c>
      <c r="F9550">
        <v>67978016</v>
      </c>
      <c r="G9550">
        <v>67978032</v>
      </c>
      <c r="H9550">
        <v>67978016</v>
      </c>
      <c r="I9550">
        <v>67978032</v>
      </c>
    </row>
    <row r="9551" spans="1:9" x14ac:dyDescent="0.2">
      <c r="A9551" s="1" t="str">
        <f>"LCE1A"</f>
        <v>LCE1A</v>
      </c>
      <c r="B9551" t="s">
        <v>14</v>
      </c>
      <c r="C9551" t="s">
        <v>19</v>
      </c>
      <c r="D9551" t="s">
        <v>17</v>
      </c>
      <c r="E9551" t="s">
        <v>12</v>
      </c>
      <c r="F9551">
        <v>152798501</v>
      </c>
      <c r="G9551">
        <v>152798507</v>
      </c>
      <c r="H9551">
        <v>152798501</v>
      </c>
      <c r="I9551">
        <v>152798507</v>
      </c>
    </row>
    <row r="9552" spans="1:9" x14ac:dyDescent="0.2">
      <c r="A9552" s="1" t="str">
        <f>"LCE1B"</f>
        <v>LCE1B</v>
      </c>
      <c r="B9552" t="s">
        <v>744</v>
      </c>
      <c r="C9552" t="s">
        <v>19</v>
      </c>
      <c r="D9552" t="s">
        <v>17</v>
      </c>
      <c r="E9552" t="s">
        <v>20</v>
      </c>
      <c r="F9552">
        <v>152784446</v>
      </c>
      <c r="G9552">
        <v>152784446</v>
      </c>
      <c r="H9552">
        <v>152784446</v>
      </c>
      <c r="I9552">
        <v>152784446</v>
      </c>
    </row>
    <row r="9553" spans="1:9" x14ac:dyDescent="0.2">
      <c r="A9553" s="1" t="str">
        <f>"LCE1C"</f>
        <v>LCE1C</v>
      </c>
      <c r="B9553" t="s">
        <v>14</v>
      </c>
      <c r="C9553" t="s">
        <v>19</v>
      </c>
      <c r="D9553" t="s">
        <v>11</v>
      </c>
      <c r="E9553" t="s">
        <v>12</v>
      </c>
      <c r="F9553">
        <v>152779121</v>
      </c>
      <c r="G9553">
        <v>152779133</v>
      </c>
      <c r="H9553">
        <v>152779148</v>
      </c>
      <c r="I9553">
        <v>152779162</v>
      </c>
    </row>
    <row r="9554" spans="1:9" x14ac:dyDescent="0.2">
      <c r="A9554" s="1" t="str">
        <f>"LCE1D"</f>
        <v>LCE1D</v>
      </c>
      <c r="B9554" t="s">
        <v>14</v>
      </c>
      <c r="C9554" t="s">
        <v>19</v>
      </c>
      <c r="D9554" t="s">
        <v>17</v>
      </c>
      <c r="E9554" t="s">
        <v>12</v>
      </c>
      <c r="F9554">
        <v>152769195</v>
      </c>
      <c r="G9554">
        <v>152769200</v>
      </c>
      <c r="H9554">
        <v>152769195</v>
      </c>
      <c r="I9554">
        <v>152769200</v>
      </c>
    </row>
    <row r="9555" spans="1:9" x14ac:dyDescent="0.2">
      <c r="A9555" s="1" t="str">
        <f>"LCE1E"</f>
        <v>LCE1E</v>
      </c>
      <c r="B9555" t="s">
        <v>14</v>
      </c>
      <c r="C9555" t="s">
        <v>19</v>
      </c>
      <c r="D9555" t="s">
        <v>17</v>
      </c>
      <c r="E9555" t="s">
        <v>12</v>
      </c>
      <c r="F9555">
        <v>152758726</v>
      </c>
      <c r="G9555">
        <v>152758741</v>
      </c>
      <c r="H9555">
        <v>152758672</v>
      </c>
      <c r="I9555">
        <v>152758685</v>
      </c>
    </row>
    <row r="9556" spans="1:9" x14ac:dyDescent="0.2">
      <c r="A9556" s="1" t="str">
        <f>"LCE1F"</f>
        <v>LCE1F</v>
      </c>
      <c r="B9556" t="s">
        <v>14</v>
      </c>
      <c r="C9556" t="s">
        <v>19</v>
      </c>
      <c r="D9556" t="s">
        <v>17</v>
      </c>
      <c r="E9556" t="s">
        <v>12</v>
      </c>
      <c r="F9556">
        <v>152748895</v>
      </c>
      <c r="G9556">
        <v>152748921</v>
      </c>
      <c r="H9556">
        <v>152748895</v>
      </c>
      <c r="I9556">
        <v>152748921</v>
      </c>
    </row>
    <row r="9557" spans="1:9" x14ac:dyDescent="0.2">
      <c r="A9557" s="1" t="str">
        <f>"LCE2A"</f>
        <v>LCE2A</v>
      </c>
      <c r="B9557" t="s">
        <v>14</v>
      </c>
      <c r="C9557" t="s">
        <v>19</v>
      </c>
      <c r="D9557" t="s">
        <v>17</v>
      </c>
      <c r="E9557" t="s">
        <v>12</v>
      </c>
      <c r="F9557">
        <v>152670815</v>
      </c>
      <c r="G9557">
        <v>152670829</v>
      </c>
      <c r="H9557">
        <v>152670795</v>
      </c>
      <c r="I9557">
        <v>152670806</v>
      </c>
    </row>
    <row r="9558" spans="1:9" x14ac:dyDescent="0.2">
      <c r="A9558" s="1" t="str">
        <f>"LCE2B"</f>
        <v>LCE2B</v>
      </c>
      <c r="B9558" t="s">
        <v>745</v>
      </c>
      <c r="C9558" t="s">
        <v>19</v>
      </c>
      <c r="D9558" t="s">
        <v>17</v>
      </c>
      <c r="E9558" t="s">
        <v>20</v>
      </c>
      <c r="F9558">
        <v>152658598</v>
      </c>
      <c r="G9558">
        <v>152658598</v>
      </c>
      <c r="H9558">
        <v>152658598</v>
      </c>
      <c r="I9558">
        <v>152658598</v>
      </c>
    </row>
    <row r="9559" spans="1:9" x14ac:dyDescent="0.2">
      <c r="A9559" s="1" t="str">
        <f>"LCE2B"</f>
        <v>LCE2B</v>
      </c>
      <c r="B9559" t="s">
        <v>746</v>
      </c>
      <c r="C9559" t="s">
        <v>19</v>
      </c>
      <c r="D9559" t="s">
        <v>17</v>
      </c>
      <c r="E9559" t="s">
        <v>20</v>
      </c>
      <c r="F9559">
        <v>152647770</v>
      </c>
      <c r="G9559">
        <v>152647770</v>
      </c>
      <c r="H9559">
        <v>152647770</v>
      </c>
      <c r="I9559">
        <v>152647770</v>
      </c>
    </row>
    <row r="9560" spans="1:9" x14ac:dyDescent="0.2">
      <c r="A9560" s="1" t="str">
        <f>"LCE2C"</f>
        <v>LCE2C</v>
      </c>
      <c r="B9560" t="s">
        <v>747</v>
      </c>
      <c r="C9560" t="s">
        <v>19</v>
      </c>
      <c r="D9560" t="s">
        <v>17</v>
      </c>
      <c r="E9560" t="s">
        <v>20</v>
      </c>
      <c r="F9560">
        <v>152647770</v>
      </c>
      <c r="G9560">
        <v>152647770</v>
      </c>
      <c r="H9560">
        <v>152647770</v>
      </c>
      <c r="I9560">
        <v>152647770</v>
      </c>
    </row>
    <row r="9561" spans="1:9" x14ac:dyDescent="0.2">
      <c r="A9561" s="1" t="str">
        <f>"LCE2D"</f>
        <v>LCE2D</v>
      </c>
      <c r="B9561" t="s">
        <v>14</v>
      </c>
      <c r="C9561" t="s">
        <v>19</v>
      </c>
      <c r="D9561" t="s">
        <v>17</v>
      </c>
      <c r="E9561" t="s">
        <v>12</v>
      </c>
      <c r="F9561">
        <v>152635854</v>
      </c>
      <c r="G9561">
        <v>152635860</v>
      </c>
      <c r="H9561">
        <v>152635854</v>
      </c>
      <c r="I9561">
        <v>152635860</v>
      </c>
    </row>
    <row r="9562" spans="1:9" x14ac:dyDescent="0.2">
      <c r="A9562" s="1" t="str">
        <f>"LCE3A"</f>
        <v>LCE3A</v>
      </c>
      <c r="B9562" t="s">
        <v>748</v>
      </c>
      <c r="C9562" t="s">
        <v>19</v>
      </c>
      <c r="D9562" t="s">
        <v>11</v>
      </c>
      <c r="E9562" t="s">
        <v>20</v>
      </c>
      <c r="F9562">
        <v>152595578</v>
      </c>
      <c r="G9562">
        <v>152595578</v>
      </c>
      <c r="H9562">
        <v>152595578</v>
      </c>
      <c r="I9562">
        <v>152595578</v>
      </c>
    </row>
    <row r="9563" spans="1:9" x14ac:dyDescent="0.2">
      <c r="A9563" s="1" t="str">
        <f>"LCE3B"</f>
        <v>LCE3B</v>
      </c>
      <c r="B9563" t="s">
        <v>749</v>
      </c>
      <c r="C9563" t="s">
        <v>19</v>
      </c>
      <c r="D9563" t="s">
        <v>17</v>
      </c>
      <c r="E9563" t="s">
        <v>20</v>
      </c>
      <c r="F9563">
        <v>152586286</v>
      </c>
      <c r="G9563">
        <v>152586286</v>
      </c>
      <c r="H9563">
        <v>152586286</v>
      </c>
      <c r="I9563">
        <v>152586286</v>
      </c>
    </row>
    <row r="9564" spans="1:9" x14ac:dyDescent="0.2">
      <c r="A9564" s="1" t="str">
        <f>"LCE3C"</f>
        <v>LCE3C</v>
      </c>
      <c r="B9564" t="s">
        <v>14</v>
      </c>
      <c r="C9564" t="s">
        <v>19</v>
      </c>
      <c r="D9564" t="s">
        <v>17</v>
      </c>
      <c r="E9564" t="s">
        <v>12</v>
      </c>
      <c r="F9564">
        <v>152572708</v>
      </c>
      <c r="G9564">
        <v>152572714</v>
      </c>
      <c r="H9564">
        <v>152572708</v>
      </c>
      <c r="I9564">
        <v>152572714</v>
      </c>
    </row>
    <row r="9565" spans="1:9" x14ac:dyDescent="0.2">
      <c r="A9565" s="1" t="str">
        <f>"LCE3D"</f>
        <v>LCE3D</v>
      </c>
      <c r="B9565" t="s">
        <v>14</v>
      </c>
      <c r="C9565" t="s">
        <v>19</v>
      </c>
      <c r="D9565" t="s">
        <v>11</v>
      </c>
      <c r="E9565" t="s">
        <v>12</v>
      </c>
      <c r="F9565">
        <v>152552987</v>
      </c>
      <c r="G9565">
        <v>152552998</v>
      </c>
      <c r="H9565">
        <v>152553036</v>
      </c>
      <c r="I9565">
        <v>152553042</v>
      </c>
    </row>
    <row r="9566" spans="1:9" x14ac:dyDescent="0.2">
      <c r="A9566" s="1" t="str">
        <f>"LCE3E"</f>
        <v>LCE3E</v>
      </c>
      <c r="B9566" t="s">
        <v>14</v>
      </c>
      <c r="C9566" t="s">
        <v>19</v>
      </c>
      <c r="D9566" t="s">
        <v>11</v>
      </c>
      <c r="E9566" t="s">
        <v>12</v>
      </c>
      <c r="F9566">
        <v>152539254</v>
      </c>
      <c r="G9566">
        <v>152539258</v>
      </c>
      <c r="H9566">
        <v>152539254</v>
      </c>
      <c r="I9566">
        <v>152539258</v>
      </c>
    </row>
    <row r="9567" spans="1:9" x14ac:dyDescent="0.2">
      <c r="A9567" s="1" t="str">
        <f>"LCE4A"</f>
        <v>LCE4A</v>
      </c>
      <c r="B9567" t="s">
        <v>750</v>
      </c>
      <c r="C9567" t="s">
        <v>19</v>
      </c>
      <c r="D9567" t="s">
        <v>17</v>
      </c>
      <c r="E9567" t="s">
        <v>20</v>
      </c>
      <c r="F9567">
        <v>152681522</v>
      </c>
      <c r="G9567">
        <v>152681522</v>
      </c>
      <c r="H9567">
        <v>152681522</v>
      </c>
      <c r="I9567">
        <v>152681522</v>
      </c>
    </row>
    <row r="9568" spans="1:9" x14ac:dyDescent="0.2">
      <c r="A9568" s="1" t="str">
        <f>"LCE4A"</f>
        <v>LCE4A</v>
      </c>
      <c r="B9568" t="s">
        <v>751</v>
      </c>
      <c r="C9568" t="s">
        <v>19</v>
      </c>
      <c r="D9568" t="s">
        <v>17</v>
      </c>
      <c r="E9568" t="s">
        <v>20</v>
      </c>
      <c r="F9568">
        <v>152680635</v>
      </c>
      <c r="G9568">
        <v>152680635</v>
      </c>
      <c r="H9568">
        <v>152680635</v>
      </c>
      <c r="I9568">
        <v>152680635</v>
      </c>
    </row>
    <row r="9569" spans="1:9" x14ac:dyDescent="0.2">
      <c r="A9569" s="1" t="str">
        <f>"LCE5A"</f>
        <v>LCE5A</v>
      </c>
      <c r="B9569" t="s">
        <v>14</v>
      </c>
      <c r="C9569" t="s">
        <v>19</v>
      </c>
      <c r="D9569" t="s">
        <v>17</v>
      </c>
      <c r="E9569" t="s">
        <v>12</v>
      </c>
      <c r="F9569">
        <v>152483278</v>
      </c>
      <c r="G9569">
        <v>152483280</v>
      </c>
      <c r="H9569">
        <v>152483278</v>
      </c>
      <c r="I9569">
        <v>152483280</v>
      </c>
    </row>
    <row r="9570" spans="1:9" x14ac:dyDescent="0.2">
      <c r="A9570" s="1" t="str">
        <f>"LCE6A"</f>
        <v>LCE6A</v>
      </c>
      <c r="B9570" t="s">
        <v>14</v>
      </c>
      <c r="C9570" t="s">
        <v>19</v>
      </c>
      <c r="D9570" t="s">
        <v>17</v>
      </c>
      <c r="E9570" t="s">
        <v>12</v>
      </c>
      <c r="F9570">
        <v>152815327</v>
      </c>
      <c r="G9570">
        <v>152815336</v>
      </c>
      <c r="H9570">
        <v>152815327</v>
      </c>
      <c r="I9570">
        <v>152815336</v>
      </c>
    </row>
    <row r="9571" spans="1:9" x14ac:dyDescent="0.2">
      <c r="A9571" s="1" t="str">
        <f>"LCK"</f>
        <v>LCK</v>
      </c>
      <c r="B9571" t="s">
        <v>14</v>
      </c>
      <c r="C9571" t="s">
        <v>19</v>
      </c>
      <c r="D9571" t="s">
        <v>17</v>
      </c>
      <c r="E9571" t="s">
        <v>12</v>
      </c>
      <c r="F9571">
        <v>32716857</v>
      </c>
      <c r="G9571">
        <v>32716889</v>
      </c>
      <c r="H9571">
        <v>32716892</v>
      </c>
      <c r="I9571">
        <v>32716912</v>
      </c>
    </row>
    <row r="9572" spans="1:9" x14ac:dyDescent="0.2">
      <c r="A9572" s="1" t="str">
        <f>"LCLAT1"</f>
        <v>LCLAT1</v>
      </c>
      <c r="B9572" t="s">
        <v>14</v>
      </c>
      <c r="C9572" t="s">
        <v>26</v>
      </c>
      <c r="D9572" t="s">
        <v>17</v>
      </c>
      <c r="E9572" t="s">
        <v>12</v>
      </c>
      <c r="F9572">
        <v>30670077</v>
      </c>
      <c r="G9572">
        <v>30670125</v>
      </c>
      <c r="H9572">
        <v>30670127</v>
      </c>
      <c r="I9572">
        <v>30670186</v>
      </c>
    </row>
    <row r="9573" spans="1:9" x14ac:dyDescent="0.2">
      <c r="A9573" s="1" t="str">
        <f>"LCMT1"</f>
        <v>LCMT1</v>
      </c>
      <c r="B9573" t="s">
        <v>14</v>
      </c>
      <c r="C9573" t="s">
        <v>31</v>
      </c>
      <c r="D9573" t="s">
        <v>17</v>
      </c>
      <c r="E9573" t="s">
        <v>12</v>
      </c>
      <c r="F9573">
        <v>25123041</v>
      </c>
      <c r="G9573">
        <v>25123088</v>
      </c>
      <c r="H9573">
        <v>25123095</v>
      </c>
      <c r="I9573">
        <v>25123128</v>
      </c>
    </row>
    <row r="9574" spans="1:9" x14ac:dyDescent="0.2">
      <c r="A9574" s="1" t="str">
        <f>"LCMT2"</f>
        <v>LCMT2</v>
      </c>
      <c r="B9574" t="s">
        <v>14</v>
      </c>
      <c r="C9574" t="s">
        <v>25</v>
      </c>
      <c r="D9574" t="s">
        <v>11</v>
      </c>
      <c r="E9574" t="s">
        <v>12</v>
      </c>
      <c r="F9574">
        <v>43622736</v>
      </c>
      <c r="G9574">
        <v>43622799</v>
      </c>
      <c r="H9574">
        <v>43622459</v>
      </c>
      <c r="I9574">
        <v>43622501</v>
      </c>
    </row>
    <row r="9575" spans="1:9" x14ac:dyDescent="0.2">
      <c r="A9575" s="1" t="str">
        <f>"LCN1"</f>
        <v>LCN1</v>
      </c>
      <c r="B9575" t="s">
        <v>14</v>
      </c>
      <c r="C9575" t="s">
        <v>24</v>
      </c>
      <c r="D9575" t="s">
        <v>17</v>
      </c>
      <c r="E9575" t="s">
        <v>12</v>
      </c>
      <c r="F9575">
        <v>138413277</v>
      </c>
      <c r="G9575">
        <v>138413293</v>
      </c>
      <c r="H9575">
        <v>138413303</v>
      </c>
      <c r="I9575">
        <v>138413319</v>
      </c>
    </row>
    <row r="9576" spans="1:9" x14ac:dyDescent="0.2">
      <c r="A9576" s="1" t="str">
        <f>"LCN10"</f>
        <v>LCN10</v>
      </c>
      <c r="B9576" t="s">
        <v>14</v>
      </c>
      <c r="C9576" t="s">
        <v>24</v>
      </c>
      <c r="D9576" t="s">
        <v>11</v>
      </c>
      <c r="E9576" t="s">
        <v>12</v>
      </c>
      <c r="F9576">
        <v>139636433</v>
      </c>
      <c r="G9576">
        <v>139636481</v>
      </c>
      <c r="H9576">
        <v>139636433</v>
      </c>
      <c r="I9576">
        <v>139636481</v>
      </c>
    </row>
    <row r="9577" spans="1:9" x14ac:dyDescent="0.2">
      <c r="A9577" s="1" t="str">
        <f>"LCN12"</f>
        <v>LCN12</v>
      </c>
      <c r="B9577" t="s">
        <v>14</v>
      </c>
      <c r="C9577" t="s">
        <v>24</v>
      </c>
      <c r="D9577" t="s">
        <v>17</v>
      </c>
      <c r="E9577" t="s">
        <v>12</v>
      </c>
      <c r="F9577">
        <v>139846708</v>
      </c>
      <c r="G9577">
        <v>139846773</v>
      </c>
      <c r="H9577">
        <v>139847081</v>
      </c>
      <c r="I9577">
        <v>139847115</v>
      </c>
    </row>
    <row r="9578" spans="1:9" x14ac:dyDescent="0.2">
      <c r="A9578" s="1" t="str">
        <f>"LCN15"</f>
        <v>LCN15</v>
      </c>
      <c r="B9578" t="s">
        <v>14</v>
      </c>
      <c r="C9578" t="s">
        <v>24</v>
      </c>
      <c r="D9578" t="s">
        <v>11</v>
      </c>
      <c r="E9578" t="s">
        <v>12</v>
      </c>
      <c r="F9578">
        <v>139658967</v>
      </c>
      <c r="G9578">
        <v>139658975</v>
      </c>
      <c r="H9578">
        <v>139658908</v>
      </c>
      <c r="I9578">
        <v>139658936</v>
      </c>
    </row>
    <row r="9579" spans="1:9" x14ac:dyDescent="0.2">
      <c r="A9579" s="1" t="str">
        <f>"LCN2"</f>
        <v>LCN2</v>
      </c>
      <c r="B9579" t="s">
        <v>14</v>
      </c>
      <c r="C9579" t="s">
        <v>24</v>
      </c>
      <c r="D9579" t="s">
        <v>17</v>
      </c>
      <c r="E9579" t="s">
        <v>12</v>
      </c>
      <c r="F9579">
        <v>130911723</v>
      </c>
      <c r="G9579">
        <v>130911741</v>
      </c>
      <c r="H9579">
        <v>130911770</v>
      </c>
      <c r="I9579">
        <v>130911779</v>
      </c>
    </row>
    <row r="9580" spans="1:9" x14ac:dyDescent="0.2">
      <c r="A9580" s="1" t="str">
        <f>"LCN6"</f>
        <v>LCN6</v>
      </c>
      <c r="B9580" t="s">
        <v>9</v>
      </c>
      <c r="C9580" t="s">
        <v>24</v>
      </c>
      <c r="D9580" t="s">
        <v>11</v>
      </c>
      <c r="E9580" t="s">
        <v>12</v>
      </c>
      <c r="F9580">
        <v>139642968</v>
      </c>
      <c r="G9580">
        <v>139642983</v>
      </c>
      <c r="H9580">
        <v>139642968</v>
      </c>
      <c r="I9580">
        <v>139642983</v>
      </c>
    </row>
    <row r="9581" spans="1:9" x14ac:dyDescent="0.2">
      <c r="A9581" s="1" t="str">
        <f>"LCN6"</f>
        <v>LCN6</v>
      </c>
      <c r="B9581" t="s">
        <v>13</v>
      </c>
      <c r="C9581" t="s">
        <v>24</v>
      </c>
      <c r="D9581" t="s">
        <v>11</v>
      </c>
      <c r="E9581" t="s">
        <v>12</v>
      </c>
      <c r="F9581">
        <v>139640480</v>
      </c>
      <c r="G9581">
        <v>139640494</v>
      </c>
      <c r="H9581">
        <v>139640480</v>
      </c>
      <c r="I9581">
        <v>139640494</v>
      </c>
    </row>
    <row r="9582" spans="1:9" x14ac:dyDescent="0.2">
      <c r="A9582" s="1" t="str">
        <f>"LCN8"</f>
        <v>LCN8</v>
      </c>
      <c r="B9582" t="s">
        <v>14</v>
      </c>
      <c r="C9582" t="s">
        <v>24</v>
      </c>
      <c r="D9582" t="s">
        <v>11</v>
      </c>
      <c r="E9582" t="s">
        <v>12</v>
      </c>
      <c r="F9582">
        <v>139652678</v>
      </c>
      <c r="G9582">
        <v>139652699</v>
      </c>
      <c r="H9582">
        <v>139651984</v>
      </c>
      <c r="I9582">
        <v>139652012</v>
      </c>
    </row>
    <row r="9583" spans="1:9" x14ac:dyDescent="0.2">
      <c r="A9583" s="1" t="str">
        <f>"LCN9"</f>
        <v>LCN9</v>
      </c>
      <c r="B9583" t="s">
        <v>14</v>
      </c>
      <c r="C9583" t="s">
        <v>24</v>
      </c>
      <c r="D9583" t="s">
        <v>17</v>
      </c>
      <c r="E9583" t="s">
        <v>12</v>
      </c>
      <c r="F9583">
        <v>138555154</v>
      </c>
      <c r="G9583">
        <v>138555159</v>
      </c>
      <c r="H9583">
        <v>138555154</v>
      </c>
      <c r="I9583">
        <v>138555159</v>
      </c>
    </row>
    <row r="9584" spans="1:9" x14ac:dyDescent="0.2">
      <c r="A9584" s="1" t="str">
        <f>"LCNL1"</f>
        <v>LCNL1</v>
      </c>
      <c r="B9584" t="s">
        <v>14</v>
      </c>
      <c r="C9584" t="s">
        <v>24</v>
      </c>
      <c r="D9584" t="s">
        <v>17</v>
      </c>
      <c r="E9584" t="s">
        <v>12</v>
      </c>
      <c r="F9584">
        <v>139876143</v>
      </c>
      <c r="G9584">
        <v>139876170</v>
      </c>
      <c r="H9584">
        <v>139876143</v>
      </c>
      <c r="I9584">
        <v>139876170</v>
      </c>
    </row>
    <row r="9585" spans="1:9" x14ac:dyDescent="0.2">
      <c r="A9585" s="1" t="str">
        <f>"LCOR"</f>
        <v>LCOR</v>
      </c>
      <c r="B9585" t="s">
        <v>14</v>
      </c>
      <c r="C9585" t="s">
        <v>15</v>
      </c>
      <c r="D9585" t="s">
        <v>17</v>
      </c>
      <c r="E9585" t="s">
        <v>12</v>
      </c>
      <c r="F9585">
        <v>98592009</v>
      </c>
      <c r="G9585">
        <v>98592061</v>
      </c>
      <c r="H9585">
        <v>98592674</v>
      </c>
      <c r="I9585">
        <v>98592724</v>
      </c>
    </row>
    <row r="9586" spans="1:9" x14ac:dyDescent="0.2">
      <c r="A9586" s="1" t="str">
        <f>"LCORL"</f>
        <v>LCORL</v>
      </c>
      <c r="B9586" t="s">
        <v>14</v>
      </c>
      <c r="C9586" t="s">
        <v>23</v>
      </c>
      <c r="D9586" t="s">
        <v>11</v>
      </c>
      <c r="E9586" t="s">
        <v>12</v>
      </c>
      <c r="F9586">
        <v>18023350</v>
      </c>
      <c r="G9586">
        <v>18023385</v>
      </c>
      <c r="H9586">
        <v>18023543</v>
      </c>
      <c r="I9586">
        <v>18023586</v>
      </c>
    </row>
    <row r="9587" spans="1:9" x14ac:dyDescent="0.2">
      <c r="A9587" s="1" t="str">
        <f>"LCP1"</f>
        <v>LCP1</v>
      </c>
      <c r="B9587" t="s">
        <v>14</v>
      </c>
      <c r="C9587" t="s">
        <v>39</v>
      </c>
      <c r="D9587" t="s">
        <v>11</v>
      </c>
      <c r="E9587" t="s">
        <v>12</v>
      </c>
      <c r="F9587">
        <v>46756271</v>
      </c>
      <c r="G9587">
        <v>46756348</v>
      </c>
      <c r="H9587">
        <v>46756271</v>
      </c>
      <c r="I9587">
        <v>46756348</v>
      </c>
    </row>
    <row r="9588" spans="1:9" x14ac:dyDescent="0.2">
      <c r="A9588" s="1" t="str">
        <f>"LCP2"</f>
        <v>LCP2</v>
      </c>
      <c r="B9588" t="s">
        <v>14</v>
      </c>
      <c r="C9588" t="s">
        <v>46</v>
      </c>
      <c r="D9588" t="s">
        <v>11</v>
      </c>
      <c r="E9588" t="s">
        <v>12</v>
      </c>
      <c r="F9588">
        <v>169724750</v>
      </c>
      <c r="G9588">
        <v>169724836</v>
      </c>
      <c r="H9588">
        <v>169724725</v>
      </c>
      <c r="I9588">
        <v>169724744</v>
      </c>
    </row>
    <row r="9589" spans="1:9" x14ac:dyDescent="0.2">
      <c r="A9589" s="1" t="str">
        <f>"LCT"</f>
        <v>LCT</v>
      </c>
      <c r="B9589" t="s">
        <v>14</v>
      </c>
      <c r="C9589" t="s">
        <v>26</v>
      </c>
      <c r="D9589" t="s">
        <v>11</v>
      </c>
      <c r="E9589" t="s">
        <v>12</v>
      </c>
      <c r="F9589">
        <v>136594740</v>
      </c>
      <c r="G9589">
        <v>136594760</v>
      </c>
      <c r="H9589">
        <v>136594740</v>
      </c>
      <c r="I9589">
        <v>136594760</v>
      </c>
    </row>
    <row r="9590" spans="1:9" x14ac:dyDescent="0.2">
      <c r="A9590" s="1" t="str">
        <f>"LCTL"</f>
        <v>LCTL</v>
      </c>
      <c r="B9590" t="s">
        <v>14</v>
      </c>
      <c r="C9590" t="s">
        <v>25</v>
      </c>
      <c r="D9590" t="s">
        <v>11</v>
      </c>
      <c r="E9590" t="s">
        <v>12</v>
      </c>
      <c r="F9590">
        <v>66858298</v>
      </c>
      <c r="G9590">
        <v>66858341</v>
      </c>
      <c r="H9590">
        <v>66858278</v>
      </c>
      <c r="I9590">
        <v>66858296</v>
      </c>
    </row>
    <row r="9591" spans="1:9" x14ac:dyDescent="0.2">
      <c r="A9591" s="1" t="str">
        <f>"LDB1"</f>
        <v>LDB1</v>
      </c>
      <c r="B9591" t="s">
        <v>9</v>
      </c>
      <c r="C9591" t="s">
        <v>15</v>
      </c>
      <c r="D9591" t="s">
        <v>11</v>
      </c>
      <c r="E9591" t="s">
        <v>12</v>
      </c>
      <c r="F9591">
        <v>103880075</v>
      </c>
      <c r="G9591">
        <v>103880177</v>
      </c>
      <c r="H9591">
        <v>103880075</v>
      </c>
      <c r="I9591">
        <v>103880177</v>
      </c>
    </row>
    <row r="9592" spans="1:9" x14ac:dyDescent="0.2">
      <c r="A9592" s="1" t="str">
        <f>"LDB1"</f>
        <v>LDB1</v>
      </c>
      <c r="B9592" t="s">
        <v>13</v>
      </c>
      <c r="C9592" t="s">
        <v>15</v>
      </c>
      <c r="D9592" t="s">
        <v>11</v>
      </c>
      <c r="E9592" t="s">
        <v>12</v>
      </c>
      <c r="F9592">
        <v>103874747</v>
      </c>
      <c r="G9592">
        <v>103874767</v>
      </c>
      <c r="H9592">
        <v>103874747</v>
      </c>
      <c r="I9592">
        <v>103874767</v>
      </c>
    </row>
    <row r="9593" spans="1:9" x14ac:dyDescent="0.2">
      <c r="A9593" s="1" t="str">
        <f>"LDB2"</f>
        <v>LDB2</v>
      </c>
      <c r="B9593" t="s">
        <v>14</v>
      </c>
      <c r="C9593" t="s">
        <v>23</v>
      </c>
      <c r="D9593" t="s">
        <v>11</v>
      </c>
      <c r="E9593" t="s">
        <v>12</v>
      </c>
      <c r="F9593">
        <v>16900242</v>
      </c>
      <c r="G9593">
        <v>16900317</v>
      </c>
      <c r="H9593">
        <v>16900198</v>
      </c>
      <c r="I9593">
        <v>16900214</v>
      </c>
    </row>
    <row r="9594" spans="1:9" x14ac:dyDescent="0.2">
      <c r="A9594" s="1" t="str">
        <f>"LDB3"</f>
        <v>LDB3</v>
      </c>
      <c r="B9594" t="s">
        <v>14</v>
      </c>
      <c r="C9594" t="s">
        <v>15</v>
      </c>
      <c r="D9594" t="s">
        <v>17</v>
      </c>
      <c r="E9594" t="s">
        <v>12</v>
      </c>
      <c r="F9594">
        <v>88428227</v>
      </c>
      <c r="G9594">
        <v>88428300</v>
      </c>
      <c r="H9594">
        <v>88428227</v>
      </c>
      <c r="I9594">
        <v>88428300</v>
      </c>
    </row>
    <row r="9595" spans="1:9" x14ac:dyDescent="0.2">
      <c r="A9595" s="1" t="str">
        <f>"LDHA"</f>
        <v>LDHA</v>
      </c>
      <c r="B9595" t="s">
        <v>14</v>
      </c>
      <c r="C9595" t="s">
        <v>27</v>
      </c>
      <c r="D9595" t="s">
        <v>17</v>
      </c>
      <c r="E9595" t="s">
        <v>12</v>
      </c>
      <c r="F9595">
        <v>18416103</v>
      </c>
      <c r="G9595">
        <v>18416118</v>
      </c>
      <c r="H9595">
        <v>18416135</v>
      </c>
      <c r="I9595">
        <v>18416147</v>
      </c>
    </row>
    <row r="9596" spans="1:9" x14ac:dyDescent="0.2">
      <c r="A9596" s="1" t="str">
        <f>"LDHAL6A"</f>
        <v>LDHAL6A</v>
      </c>
      <c r="B9596" t="s">
        <v>14</v>
      </c>
      <c r="C9596" t="s">
        <v>27</v>
      </c>
      <c r="D9596" t="s">
        <v>17</v>
      </c>
      <c r="E9596" t="s">
        <v>12</v>
      </c>
      <c r="F9596">
        <v>18477369</v>
      </c>
      <c r="G9596">
        <v>18477415</v>
      </c>
      <c r="H9596">
        <v>18477557</v>
      </c>
      <c r="I9596">
        <v>18477566</v>
      </c>
    </row>
    <row r="9597" spans="1:9" x14ac:dyDescent="0.2">
      <c r="A9597" s="1" t="str">
        <f>"LDHAL6B"</f>
        <v>LDHAL6B</v>
      </c>
      <c r="B9597" t="s">
        <v>14</v>
      </c>
      <c r="C9597" t="s">
        <v>25</v>
      </c>
      <c r="D9597" t="s">
        <v>17</v>
      </c>
      <c r="E9597" t="s">
        <v>12</v>
      </c>
      <c r="F9597">
        <v>59499057</v>
      </c>
      <c r="G9597">
        <v>59499080</v>
      </c>
      <c r="H9597">
        <v>59499031</v>
      </c>
      <c r="I9597">
        <v>59499054</v>
      </c>
    </row>
    <row r="9598" spans="1:9" x14ac:dyDescent="0.2">
      <c r="A9598" s="1" t="str">
        <f>"LDHB"</f>
        <v>LDHB</v>
      </c>
      <c r="B9598" t="s">
        <v>14</v>
      </c>
      <c r="C9598" t="s">
        <v>16</v>
      </c>
      <c r="D9598" t="s">
        <v>11</v>
      </c>
      <c r="E9598" t="s">
        <v>12</v>
      </c>
      <c r="F9598">
        <v>21810765</v>
      </c>
      <c r="G9598">
        <v>21810783</v>
      </c>
      <c r="H9598">
        <v>21810726</v>
      </c>
      <c r="I9598">
        <v>21810755</v>
      </c>
    </row>
    <row r="9599" spans="1:9" x14ac:dyDescent="0.2">
      <c r="A9599" s="1" t="str">
        <f>"LDHC"</f>
        <v>LDHC</v>
      </c>
      <c r="B9599" t="s">
        <v>14</v>
      </c>
      <c r="C9599" t="s">
        <v>27</v>
      </c>
      <c r="D9599" t="s">
        <v>17</v>
      </c>
      <c r="E9599" t="s">
        <v>12</v>
      </c>
      <c r="F9599">
        <v>18433840</v>
      </c>
      <c r="G9599">
        <v>18433917</v>
      </c>
      <c r="H9599">
        <v>18433925</v>
      </c>
      <c r="I9599">
        <v>18433936</v>
      </c>
    </row>
    <row r="9600" spans="1:9" x14ac:dyDescent="0.2">
      <c r="A9600" s="1" t="str">
        <f>"LDHD"</f>
        <v>LDHD</v>
      </c>
      <c r="B9600" t="s">
        <v>14</v>
      </c>
      <c r="C9600" t="s">
        <v>31</v>
      </c>
      <c r="D9600" t="s">
        <v>11</v>
      </c>
      <c r="E9600" t="s">
        <v>12</v>
      </c>
      <c r="F9600">
        <v>75150665</v>
      </c>
      <c r="G9600">
        <v>75150699</v>
      </c>
      <c r="H9600">
        <v>75150636</v>
      </c>
      <c r="I9600">
        <v>75150660</v>
      </c>
    </row>
    <row r="9601" spans="1:9" x14ac:dyDescent="0.2">
      <c r="A9601" s="1" t="str">
        <f>"LDLR"</f>
        <v>LDLR</v>
      </c>
      <c r="B9601" t="s">
        <v>14</v>
      </c>
      <c r="C9601" t="s">
        <v>10</v>
      </c>
      <c r="D9601" t="s">
        <v>17</v>
      </c>
      <c r="E9601" t="s">
        <v>12</v>
      </c>
      <c r="F9601">
        <v>11200122</v>
      </c>
      <c r="G9601">
        <v>11200155</v>
      </c>
      <c r="H9601">
        <v>11200163</v>
      </c>
      <c r="I9601">
        <v>11200180</v>
      </c>
    </row>
    <row r="9602" spans="1:9" x14ac:dyDescent="0.2">
      <c r="A9602" s="1" t="str">
        <f>"LDLRAD1"</f>
        <v>LDLRAD1</v>
      </c>
      <c r="B9602" t="s">
        <v>14</v>
      </c>
      <c r="C9602" t="s">
        <v>19</v>
      </c>
      <c r="D9602" t="s">
        <v>11</v>
      </c>
      <c r="E9602" t="s">
        <v>12</v>
      </c>
      <c r="F9602">
        <v>54483804</v>
      </c>
      <c r="G9602">
        <v>54483836</v>
      </c>
      <c r="H9602">
        <v>54483842</v>
      </c>
      <c r="I9602">
        <v>54483864</v>
      </c>
    </row>
    <row r="9603" spans="1:9" x14ac:dyDescent="0.2">
      <c r="A9603" s="1" t="str">
        <f>"LDLRAD2"</f>
        <v>LDLRAD2</v>
      </c>
      <c r="B9603" t="s">
        <v>14</v>
      </c>
      <c r="C9603" t="s">
        <v>19</v>
      </c>
      <c r="D9603" t="s">
        <v>17</v>
      </c>
      <c r="E9603" t="s">
        <v>12</v>
      </c>
      <c r="F9603">
        <v>22138748</v>
      </c>
      <c r="G9603">
        <v>22138773</v>
      </c>
      <c r="H9603">
        <v>22138748</v>
      </c>
      <c r="I9603">
        <v>22138773</v>
      </c>
    </row>
    <row r="9604" spans="1:9" x14ac:dyDescent="0.2">
      <c r="A9604" s="1" t="str">
        <f>"LDLRAD3"</f>
        <v>LDLRAD3</v>
      </c>
      <c r="B9604" t="s">
        <v>14</v>
      </c>
      <c r="C9604" t="s">
        <v>27</v>
      </c>
      <c r="D9604" t="s">
        <v>17</v>
      </c>
      <c r="E9604" t="s">
        <v>12</v>
      </c>
      <c r="F9604">
        <v>35965580</v>
      </c>
      <c r="G9604">
        <v>35965656</v>
      </c>
      <c r="H9604">
        <v>35965580</v>
      </c>
      <c r="I9604">
        <v>35965656</v>
      </c>
    </row>
    <row r="9605" spans="1:9" x14ac:dyDescent="0.2">
      <c r="A9605" s="1" t="str">
        <f>"LDLRAD4"</f>
        <v>LDLRAD4</v>
      </c>
      <c r="B9605" t="s">
        <v>14</v>
      </c>
      <c r="C9605" t="s">
        <v>43</v>
      </c>
      <c r="D9605" t="s">
        <v>17</v>
      </c>
      <c r="E9605" t="s">
        <v>12</v>
      </c>
      <c r="F9605">
        <v>13218769</v>
      </c>
      <c r="G9605">
        <v>13218792</v>
      </c>
      <c r="H9605">
        <v>13218769</v>
      </c>
      <c r="I9605">
        <v>13218792</v>
      </c>
    </row>
    <row r="9606" spans="1:9" x14ac:dyDescent="0.2">
      <c r="A9606" s="1" t="str">
        <f>"LDLRAP1"</f>
        <v>LDLRAP1</v>
      </c>
      <c r="B9606" t="s">
        <v>9</v>
      </c>
      <c r="C9606" t="s">
        <v>19</v>
      </c>
      <c r="D9606" t="s">
        <v>17</v>
      </c>
      <c r="E9606" t="s">
        <v>12</v>
      </c>
      <c r="F9606">
        <v>25870089</v>
      </c>
      <c r="G9606">
        <v>25870161</v>
      </c>
      <c r="H9606">
        <v>25870089</v>
      </c>
      <c r="I9606">
        <v>25870161</v>
      </c>
    </row>
    <row r="9607" spans="1:9" x14ac:dyDescent="0.2">
      <c r="A9607" s="1" t="str">
        <f>"LDLRAP1"</f>
        <v>LDLRAP1</v>
      </c>
      <c r="B9607" t="s">
        <v>13</v>
      </c>
      <c r="C9607" t="s">
        <v>19</v>
      </c>
      <c r="D9607" t="s">
        <v>17</v>
      </c>
      <c r="E9607" t="s">
        <v>12</v>
      </c>
      <c r="F9607">
        <v>25889278</v>
      </c>
      <c r="G9607">
        <v>25889291</v>
      </c>
      <c r="H9607">
        <v>25889278</v>
      </c>
      <c r="I9607">
        <v>25889291</v>
      </c>
    </row>
    <row r="9608" spans="1:9" x14ac:dyDescent="0.2">
      <c r="A9608" s="1" t="str">
        <f>"LDOC1"</f>
        <v>LDOC1</v>
      </c>
      <c r="B9608" t="s">
        <v>14</v>
      </c>
      <c r="C9608" t="s">
        <v>37</v>
      </c>
      <c r="D9608" t="s">
        <v>11</v>
      </c>
      <c r="E9608" t="s">
        <v>12</v>
      </c>
      <c r="F9608">
        <v>140271249</v>
      </c>
      <c r="G9608">
        <v>140271333</v>
      </c>
      <c r="H9608">
        <v>140271349</v>
      </c>
      <c r="I9608">
        <v>140271401</v>
      </c>
    </row>
    <row r="9609" spans="1:9" x14ac:dyDescent="0.2">
      <c r="A9609" s="1" t="str">
        <f>"LDOC1L"</f>
        <v>LDOC1L</v>
      </c>
      <c r="B9609" t="s">
        <v>14</v>
      </c>
      <c r="C9609" t="s">
        <v>21</v>
      </c>
      <c r="D9609" t="s">
        <v>11</v>
      </c>
      <c r="E9609" t="s">
        <v>12</v>
      </c>
      <c r="F9609">
        <v>44893962</v>
      </c>
      <c r="G9609">
        <v>44894017</v>
      </c>
      <c r="H9609">
        <v>44894060</v>
      </c>
      <c r="I9609">
        <v>44894138</v>
      </c>
    </row>
    <row r="9610" spans="1:9" x14ac:dyDescent="0.2">
      <c r="A9610" s="1" t="str">
        <f>"LEAP2"</f>
        <v>LEAP2</v>
      </c>
      <c r="B9610" t="s">
        <v>14</v>
      </c>
      <c r="C9610" t="s">
        <v>46</v>
      </c>
      <c r="D9610" t="s">
        <v>17</v>
      </c>
      <c r="E9610" t="s">
        <v>12</v>
      </c>
      <c r="F9610">
        <v>132209353</v>
      </c>
      <c r="G9610">
        <v>132209366</v>
      </c>
      <c r="H9610">
        <v>132209353</v>
      </c>
      <c r="I9610">
        <v>132209366</v>
      </c>
    </row>
    <row r="9611" spans="1:9" x14ac:dyDescent="0.2">
      <c r="A9611" s="1" t="str">
        <f>"LECT1"</f>
        <v>LECT1</v>
      </c>
      <c r="B9611" t="s">
        <v>14</v>
      </c>
      <c r="C9611" t="s">
        <v>39</v>
      </c>
      <c r="D9611" t="s">
        <v>11</v>
      </c>
      <c r="E9611" t="s">
        <v>12</v>
      </c>
      <c r="F9611">
        <v>53313905</v>
      </c>
      <c r="G9611">
        <v>53313964</v>
      </c>
      <c r="H9611">
        <v>53313884</v>
      </c>
      <c r="I9611">
        <v>53313897</v>
      </c>
    </row>
    <row r="9612" spans="1:9" x14ac:dyDescent="0.2">
      <c r="A9612" s="1" t="str">
        <f>"LECT2"</f>
        <v>LECT2</v>
      </c>
      <c r="B9612" t="s">
        <v>14</v>
      </c>
      <c r="C9612" t="s">
        <v>46</v>
      </c>
      <c r="D9612" t="s">
        <v>11</v>
      </c>
      <c r="E9612" t="s">
        <v>12</v>
      </c>
      <c r="F9612">
        <v>135290664</v>
      </c>
      <c r="G9612">
        <v>135290678</v>
      </c>
      <c r="H9612">
        <v>135290741</v>
      </c>
      <c r="I9612">
        <v>135290750</v>
      </c>
    </row>
    <row r="9613" spans="1:9" x14ac:dyDescent="0.2">
      <c r="A9613" s="1" t="str">
        <f>"LEF1"</f>
        <v>LEF1</v>
      </c>
      <c r="B9613" t="s">
        <v>9</v>
      </c>
      <c r="C9613" t="s">
        <v>23</v>
      </c>
      <c r="D9613" t="s">
        <v>11</v>
      </c>
      <c r="E9613" t="s">
        <v>12</v>
      </c>
      <c r="F9613">
        <v>109087445</v>
      </c>
      <c r="G9613">
        <v>109087463</v>
      </c>
      <c r="H9613">
        <v>109087445</v>
      </c>
      <c r="I9613">
        <v>109087463</v>
      </c>
    </row>
    <row r="9614" spans="1:9" x14ac:dyDescent="0.2">
      <c r="A9614" s="1" t="str">
        <f>"LEF1"</f>
        <v>LEF1</v>
      </c>
      <c r="B9614" t="s">
        <v>13</v>
      </c>
      <c r="C9614" t="s">
        <v>23</v>
      </c>
      <c r="D9614" t="s">
        <v>11</v>
      </c>
      <c r="E9614" t="s">
        <v>12</v>
      </c>
      <c r="F9614">
        <v>109090075</v>
      </c>
      <c r="G9614">
        <v>109090095</v>
      </c>
      <c r="H9614">
        <v>109090075</v>
      </c>
      <c r="I9614">
        <v>109090095</v>
      </c>
    </row>
    <row r="9615" spans="1:9" x14ac:dyDescent="0.2">
      <c r="A9615" s="1" t="str">
        <f>"LEFTY1"</f>
        <v>LEFTY1</v>
      </c>
      <c r="B9615" t="s">
        <v>752</v>
      </c>
      <c r="C9615" t="s">
        <v>19</v>
      </c>
      <c r="D9615" t="s">
        <v>11</v>
      </c>
      <c r="E9615" t="s">
        <v>35</v>
      </c>
      <c r="F9615">
        <v>226076843</v>
      </c>
      <c r="G9615">
        <v>226076847</v>
      </c>
      <c r="H9615">
        <v>226076796</v>
      </c>
      <c r="I9615">
        <v>226076800</v>
      </c>
    </row>
    <row r="9616" spans="1:9" x14ac:dyDescent="0.2">
      <c r="A9616" s="1" t="str">
        <f>"LEFTY2"</f>
        <v>LEFTY2</v>
      </c>
      <c r="B9616" t="s">
        <v>14</v>
      </c>
      <c r="C9616" t="s">
        <v>19</v>
      </c>
      <c r="D9616" t="s">
        <v>11</v>
      </c>
      <c r="E9616" t="s">
        <v>12</v>
      </c>
      <c r="F9616">
        <v>226128912</v>
      </c>
      <c r="G9616">
        <v>226128927</v>
      </c>
      <c r="H9616">
        <v>226129194</v>
      </c>
      <c r="I9616">
        <v>226129232</v>
      </c>
    </row>
    <row r="9617" spans="1:9" x14ac:dyDescent="0.2">
      <c r="A9617" s="1" t="str">
        <f>"LEKR1"</f>
        <v>LEKR1</v>
      </c>
      <c r="B9617" t="s">
        <v>14</v>
      </c>
      <c r="C9617" t="s">
        <v>22</v>
      </c>
      <c r="D9617" t="s">
        <v>17</v>
      </c>
      <c r="E9617" t="s">
        <v>12</v>
      </c>
      <c r="F9617">
        <v>156544057</v>
      </c>
      <c r="G9617">
        <v>156544159</v>
      </c>
      <c r="H9617">
        <v>156543733</v>
      </c>
      <c r="I9617">
        <v>156543775</v>
      </c>
    </row>
    <row r="9618" spans="1:9" x14ac:dyDescent="0.2">
      <c r="A9618" s="1" t="str">
        <f>"LELP1"</f>
        <v>LELP1</v>
      </c>
      <c r="B9618" t="s">
        <v>14</v>
      </c>
      <c r="C9618" t="s">
        <v>19</v>
      </c>
      <c r="D9618" t="s">
        <v>17</v>
      </c>
      <c r="E9618" t="s">
        <v>12</v>
      </c>
      <c r="F9618">
        <v>153175900</v>
      </c>
      <c r="G9618">
        <v>153175912</v>
      </c>
      <c r="H9618">
        <v>153175900</v>
      </c>
      <c r="I9618">
        <v>153175912</v>
      </c>
    </row>
    <row r="9619" spans="1:9" x14ac:dyDescent="0.2">
      <c r="A9619" s="1" t="str">
        <f>"LEMD1"</f>
        <v>LEMD1</v>
      </c>
      <c r="B9619" t="s">
        <v>14</v>
      </c>
      <c r="C9619" t="s">
        <v>19</v>
      </c>
      <c r="D9619" t="s">
        <v>11</v>
      </c>
      <c r="E9619" t="s">
        <v>12</v>
      </c>
      <c r="F9619">
        <v>205419076</v>
      </c>
      <c r="G9619">
        <v>205419103</v>
      </c>
      <c r="H9619">
        <v>205419053</v>
      </c>
      <c r="I9619">
        <v>205419068</v>
      </c>
    </row>
    <row r="9620" spans="1:9" x14ac:dyDescent="0.2">
      <c r="A9620" s="1" t="str">
        <f>"LEMD2"</f>
        <v>LEMD2</v>
      </c>
      <c r="B9620" t="s">
        <v>14</v>
      </c>
      <c r="C9620" t="s">
        <v>32</v>
      </c>
      <c r="D9620" t="s">
        <v>11</v>
      </c>
      <c r="E9620" t="s">
        <v>12</v>
      </c>
      <c r="F9620">
        <v>33756867</v>
      </c>
      <c r="G9620">
        <v>33756950</v>
      </c>
      <c r="H9620">
        <v>33756867</v>
      </c>
      <c r="I9620">
        <v>33756950</v>
      </c>
    </row>
    <row r="9621" spans="1:9" x14ac:dyDescent="0.2">
      <c r="A9621" s="1" t="str">
        <f>"LEMD3"</f>
        <v>LEMD3</v>
      </c>
      <c r="B9621" t="s">
        <v>14</v>
      </c>
      <c r="C9621" t="s">
        <v>16</v>
      </c>
      <c r="D9621" t="s">
        <v>17</v>
      </c>
      <c r="E9621" t="s">
        <v>12</v>
      </c>
      <c r="F9621">
        <v>65563329</v>
      </c>
      <c r="G9621">
        <v>65563373</v>
      </c>
      <c r="H9621">
        <v>65563377</v>
      </c>
      <c r="I9621">
        <v>65563392</v>
      </c>
    </row>
    <row r="9622" spans="1:9" x14ac:dyDescent="0.2">
      <c r="A9622" s="1" t="str">
        <f>"LENEP"</f>
        <v>LENEP</v>
      </c>
      <c r="B9622" t="s">
        <v>14</v>
      </c>
      <c r="C9622" t="s">
        <v>19</v>
      </c>
      <c r="D9622" t="s">
        <v>17</v>
      </c>
      <c r="E9622" t="s">
        <v>12</v>
      </c>
      <c r="F9622">
        <v>154966058</v>
      </c>
      <c r="G9622">
        <v>154966066</v>
      </c>
      <c r="H9622">
        <v>154966058</v>
      </c>
      <c r="I9622">
        <v>154966066</v>
      </c>
    </row>
    <row r="9623" spans="1:9" x14ac:dyDescent="0.2">
      <c r="A9623" s="1" t="str">
        <f>"LENG1"</f>
        <v>LENG1</v>
      </c>
      <c r="B9623" t="s">
        <v>14</v>
      </c>
      <c r="C9623" t="s">
        <v>10</v>
      </c>
      <c r="D9623" t="s">
        <v>11</v>
      </c>
      <c r="E9623" t="s">
        <v>12</v>
      </c>
      <c r="F9623">
        <v>54663434</v>
      </c>
      <c r="G9623">
        <v>54663466</v>
      </c>
      <c r="H9623">
        <v>54663473</v>
      </c>
      <c r="I9623">
        <v>54663498</v>
      </c>
    </row>
    <row r="9624" spans="1:9" x14ac:dyDescent="0.2">
      <c r="A9624" s="1" t="str">
        <f>"LENG8"</f>
        <v>LENG8</v>
      </c>
      <c r="B9624" t="s">
        <v>14</v>
      </c>
      <c r="C9624" t="s">
        <v>10</v>
      </c>
      <c r="D9624" t="s">
        <v>17</v>
      </c>
      <c r="E9624" t="s">
        <v>12</v>
      </c>
      <c r="F9624">
        <v>54960358</v>
      </c>
      <c r="G9624">
        <v>54960424</v>
      </c>
      <c r="H9624">
        <v>54960652</v>
      </c>
      <c r="I9624">
        <v>54960730</v>
      </c>
    </row>
    <row r="9625" spans="1:9" x14ac:dyDescent="0.2">
      <c r="A9625" s="1" t="str">
        <f>"LENG9"</f>
        <v>LENG9</v>
      </c>
      <c r="B9625" t="s">
        <v>14</v>
      </c>
      <c r="C9625" t="s">
        <v>10</v>
      </c>
      <c r="D9625" t="s">
        <v>11</v>
      </c>
      <c r="E9625" t="s">
        <v>12</v>
      </c>
      <c r="F9625">
        <v>54974947</v>
      </c>
      <c r="G9625">
        <v>54974971</v>
      </c>
      <c r="H9625">
        <v>54974975</v>
      </c>
      <c r="I9625">
        <v>54975004</v>
      </c>
    </row>
    <row r="9626" spans="1:9" x14ac:dyDescent="0.2">
      <c r="A9626" s="1" t="str">
        <f>"LEO1"</f>
        <v>LEO1</v>
      </c>
      <c r="B9626" t="s">
        <v>14</v>
      </c>
      <c r="C9626" t="s">
        <v>25</v>
      </c>
      <c r="D9626" t="s">
        <v>11</v>
      </c>
      <c r="E9626" t="s">
        <v>12</v>
      </c>
      <c r="F9626">
        <v>52263937</v>
      </c>
      <c r="G9626">
        <v>52263990</v>
      </c>
      <c r="H9626">
        <v>52264084</v>
      </c>
      <c r="I9626">
        <v>52264096</v>
      </c>
    </row>
    <row r="9627" spans="1:9" x14ac:dyDescent="0.2">
      <c r="A9627" s="1" t="str">
        <f>"LEP"</f>
        <v>LEP</v>
      </c>
      <c r="B9627" t="s">
        <v>14</v>
      </c>
      <c r="C9627" t="s">
        <v>33</v>
      </c>
      <c r="D9627" t="s">
        <v>17</v>
      </c>
      <c r="E9627" t="s">
        <v>12</v>
      </c>
      <c r="F9627">
        <v>127881325</v>
      </c>
      <c r="G9627">
        <v>127881336</v>
      </c>
      <c r="H9627">
        <v>127881274</v>
      </c>
      <c r="I9627">
        <v>127881284</v>
      </c>
    </row>
    <row r="9628" spans="1:9" x14ac:dyDescent="0.2">
      <c r="A9628" s="1" t="str">
        <f>"LEPR"</f>
        <v>LEPR</v>
      </c>
      <c r="B9628" t="s">
        <v>14</v>
      </c>
      <c r="C9628" t="s">
        <v>19</v>
      </c>
      <c r="D9628" t="s">
        <v>17</v>
      </c>
      <c r="E9628" t="s">
        <v>12</v>
      </c>
      <c r="F9628">
        <v>65886326</v>
      </c>
      <c r="G9628">
        <v>65886406</v>
      </c>
      <c r="H9628">
        <v>65886326</v>
      </c>
      <c r="I9628">
        <v>65886406</v>
      </c>
    </row>
    <row r="9629" spans="1:9" x14ac:dyDescent="0.2">
      <c r="A9629" s="1" t="str">
        <f>"LEPRE1"</f>
        <v>LEPRE1</v>
      </c>
      <c r="B9629" t="s">
        <v>14</v>
      </c>
      <c r="C9629" t="s">
        <v>19</v>
      </c>
      <c r="D9629" t="s">
        <v>11</v>
      </c>
      <c r="E9629" t="s">
        <v>12</v>
      </c>
      <c r="F9629">
        <v>43232649</v>
      </c>
      <c r="G9629">
        <v>43232715</v>
      </c>
      <c r="H9629">
        <v>43232649</v>
      </c>
      <c r="I9629">
        <v>43232715</v>
      </c>
    </row>
    <row r="9630" spans="1:9" x14ac:dyDescent="0.2">
      <c r="A9630" s="1" t="str">
        <f>"LEPREL1"</f>
        <v>LEPREL1</v>
      </c>
      <c r="B9630" t="s">
        <v>14</v>
      </c>
      <c r="C9630" t="s">
        <v>22</v>
      </c>
      <c r="D9630" t="s">
        <v>11</v>
      </c>
      <c r="E9630" t="s">
        <v>12</v>
      </c>
      <c r="F9630">
        <v>189838670</v>
      </c>
      <c r="G9630">
        <v>189838704</v>
      </c>
      <c r="H9630">
        <v>189838148</v>
      </c>
      <c r="I9630">
        <v>189838205</v>
      </c>
    </row>
    <row r="9631" spans="1:9" x14ac:dyDescent="0.2">
      <c r="A9631" s="1" t="str">
        <f>"LEPREL2"</f>
        <v>LEPREL2</v>
      </c>
      <c r="B9631" t="s">
        <v>14</v>
      </c>
      <c r="C9631" t="s">
        <v>16</v>
      </c>
      <c r="D9631" t="s">
        <v>17</v>
      </c>
      <c r="E9631" t="s">
        <v>12</v>
      </c>
      <c r="F9631">
        <v>6937564</v>
      </c>
      <c r="G9631">
        <v>6937585</v>
      </c>
      <c r="H9631">
        <v>6937377</v>
      </c>
      <c r="I9631">
        <v>6937394</v>
      </c>
    </row>
    <row r="9632" spans="1:9" x14ac:dyDescent="0.2">
      <c r="A9632" s="1" t="str">
        <f>"LEPREL4"</f>
        <v>LEPREL4</v>
      </c>
      <c r="B9632" t="s">
        <v>14</v>
      </c>
      <c r="C9632" t="s">
        <v>28</v>
      </c>
      <c r="D9632" t="s">
        <v>11</v>
      </c>
      <c r="E9632" t="s">
        <v>12</v>
      </c>
      <c r="F9632">
        <v>39968182</v>
      </c>
      <c r="G9632">
        <v>39968244</v>
      </c>
      <c r="H9632">
        <v>39967927</v>
      </c>
      <c r="I9632">
        <v>39968016</v>
      </c>
    </row>
    <row r="9633" spans="1:9" x14ac:dyDescent="0.2">
      <c r="A9633" s="1" t="str">
        <f>"LEPROT"</f>
        <v>LEPROT</v>
      </c>
      <c r="B9633" t="s">
        <v>14</v>
      </c>
      <c r="C9633" t="s">
        <v>19</v>
      </c>
      <c r="D9633" t="s">
        <v>17</v>
      </c>
      <c r="E9633" t="s">
        <v>12</v>
      </c>
      <c r="F9633">
        <v>65886326</v>
      </c>
      <c r="G9633">
        <v>65886406</v>
      </c>
      <c r="H9633">
        <v>65886262</v>
      </c>
      <c r="I9633">
        <v>65886271</v>
      </c>
    </row>
    <row r="9634" spans="1:9" x14ac:dyDescent="0.2">
      <c r="A9634" s="1" t="str">
        <f>"LEPROTL1"</f>
        <v>LEPROTL1</v>
      </c>
      <c r="B9634" t="s">
        <v>14</v>
      </c>
      <c r="C9634" t="s">
        <v>30</v>
      </c>
      <c r="D9634" t="s">
        <v>17</v>
      </c>
      <c r="E9634" t="s">
        <v>12</v>
      </c>
      <c r="F9634">
        <v>29952916</v>
      </c>
      <c r="G9634">
        <v>29953016</v>
      </c>
      <c r="H9634">
        <v>29952513</v>
      </c>
      <c r="I9634">
        <v>29952525</v>
      </c>
    </row>
    <row r="9635" spans="1:9" x14ac:dyDescent="0.2">
      <c r="A9635" s="1" t="str">
        <f>"LETM1"</f>
        <v>LETM1</v>
      </c>
      <c r="B9635" t="s">
        <v>14</v>
      </c>
      <c r="C9635" t="s">
        <v>23</v>
      </c>
      <c r="D9635" t="s">
        <v>11</v>
      </c>
      <c r="E9635" t="s">
        <v>12</v>
      </c>
      <c r="F9635">
        <v>1857817</v>
      </c>
      <c r="G9635">
        <v>1857912</v>
      </c>
      <c r="H9635">
        <v>1857954</v>
      </c>
      <c r="I9635">
        <v>1857971</v>
      </c>
    </row>
    <row r="9636" spans="1:9" x14ac:dyDescent="0.2">
      <c r="A9636" s="1" t="str">
        <f>"LETM2"</f>
        <v>LETM2</v>
      </c>
      <c r="B9636" t="s">
        <v>9</v>
      </c>
      <c r="C9636" t="s">
        <v>30</v>
      </c>
      <c r="D9636" t="s">
        <v>17</v>
      </c>
      <c r="E9636" t="s">
        <v>12</v>
      </c>
      <c r="F9636">
        <v>38243967</v>
      </c>
      <c r="G9636">
        <v>38244068</v>
      </c>
      <c r="H9636">
        <v>38243967</v>
      </c>
      <c r="I9636">
        <v>38244068</v>
      </c>
    </row>
    <row r="9637" spans="1:9" x14ac:dyDescent="0.2">
      <c r="A9637" s="1" t="str">
        <f>"LETM2"</f>
        <v>LETM2</v>
      </c>
      <c r="B9637" t="s">
        <v>13</v>
      </c>
      <c r="C9637" t="s">
        <v>30</v>
      </c>
      <c r="D9637" t="s">
        <v>17</v>
      </c>
      <c r="E9637" t="s">
        <v>12</v>
      </c>
      <c r="F9637">
        <v>38261849</v>
      </c>
      <c r="G9637">
        <v>38261864</v>
      </c>
      <c r="H9637">
        <v>38261849</v>
      </c>
      <c r="I9637">
        <v>38261864</v>
      </c>
    </row>
    <row r="9638" spans="1:9" x14ac:dyDescent="0.2">
      <c r="A9638" s="1" t="str">
        <f>"LETMD1"</f>
        <v>LETMD1</v>
      </c>
      <c r="B9638" t="s">
        <v>14</v>
      </c>
      <c r="C9638" t="s">
        <v>16</v>
      </c>
      <c r="D9638" t="s">
        <v>17</v>
      </c>
      <c r="E9638" t="s">
        <v>12</v>
      </c>
      <c r="F9638">
        <v>51442103</v>
      </c>
      <c r="G9638">
        <v>51442127</v>
      </c>
      <c r="H9638">
        <v>51442103</v>
      </c>
      <c r="I9638">
        <v>51442127</v>
      </c>
    </row>
    <row r="9639" spans="1:9" x14ac:dyDescent="0.2">
      <c r="A9639" s="1" t="str">
        <f>"LEUTX"</f>
        <v>LEUTX</v>
      </c>
      <c r="B9639" t="s">
        <v>753</v>
      </c>
      <c r="C9639" t="s">
        <v>10</v>
      </c>
      <c r="D9639" t="s">
        <v>17</v>
      </c>
      <c r="E9639" t="s">
        <v>20</v>
      </c>
      <c r="F9639">
        <v>40267234</v>
      </c>
      <c r="G9639">
        <v>40267234</v>
      </c>
      <c r="H9639">
        <v>40267234</v>
      </c>
      <c r="I9639">
        <v>40267234</v>
      </c>
    </row>
    <row r="9640" spans="1:9" x14ac:dyDescent="0.2">
      <c r="A9640" s="1" t="str">
        <f>"LFNG"</f>
        <v>LFNG</v>
      </c>
      <c r="B9640" t="s">
        <v>14</v>
      </c>
      <c r="C9640" t="s">
        <v>33</v>
      </c>
      <c r="D9640" t="s">
        <v>17</v>
      </c>
      <c r="E9640" t="s">
        <v>12</v>
      </c>
      <c r="F9640">
        <v>2559399</v>
      </c>
      <c r="G9640">
        <v>2559416</v>
      </c>
      <c r="H9640">
        <v>2559773</v>
      </c>
      <c r="I9640">
        <v>2559783</v>
      </c>
    </row>
    <row r="9641" spans="1:9" x14ac:dyDescent="0.2">
      <c r="A9641" s="1" t="str">
        <f>"LGALS1"</f>
        <v>LGALS1</v>
      </c>
      <c r="B9641" t="s">
        <v>9</v>
      </c>
      <c r="C9641" t="s">
        <v>21</v>
      </c>
      <c r="D9641" t="s">
        <v>17</v>
      </c>
      <c r="E9641" t="s">
        <v>12</v>
      </c>
      <c r="F9641">
        <v>38071636</v>
      </c>
      <c r="G9641">
        <v>38071652</v>
      </c>
      <c r="H9641">
        <v>38071636</v>
      </c>
      <c r="I9641">
        <v>38071652</v>
      </c>
    </row>
    <row r="9642" spans="1:9" x14ac:dyDescent="0.2">
      <c r="A9642" s="1" t="str">
        <f>"LGALS1"</f>
        <v>LGALS1</v>
      </c>
      <c r="B9642" t="s">
        <v>13</v>
      </c>
      <c r="C9642" t="s">
        <v>21</v>
      </c>
      <c r="D9642" t="s">
        <v>17</v>
      </c>
      <c r="E9642" t="s">
        <v>12</v>
      </c>
      <c r="F9642">
        <v>38075603</v>
      </c>
      <c r="G9642">
        <v>38075683</v>
      </c>
      <c r="H9642">
        <v>38075603</v>
      </c>
      <c r="I9642">
        <v>38075683</v>
      </c>
    </row>
    <row r="9643" spans="1:9" x14ac:dyDescent="0.2">
      <c r="A9643" s="1" t="str">
        <f>"LGALS12"</f>
        <v>LGALS12</v>
      </c>
      <c r="B9643" t="s">
        <v>14</v>
      </c>
      <c r="C9643" t="s">
        <v>27</v>
      </c>
      <c r="D9643" t="s">
        <v>17</v>
      </c>
      <c r="E9643" t="s">
        <v>12</v>
      </c>
      <c r="F9643">
        <v>63273547</v>
      </c>
      <c r="G9643">
        <v>63273624</v>
      </c>
      <c r="H9643">
        <v>63273520</v>
      </c>
      <c r="I9643">
        <v>63273537</v>
      </c>
    </row>
    <row r="9644" spans="1:9" x14ac:dyDescent="0.2">
      <c r="A9644" s="1" t="str">
        <f>"LGALS13"</f>
        <v>LGALS13</v>
      </c>
      <c r="B9644" t="s">
        <v>14</v>
      </c>
      <c r="C9644" t="s">
        <v>10</v>
      </c>
      <c r="D9644" t="s">
        <v>17</v>
      </c>
      <c r="E9644" t="s">
        <v>12</v>
      </c>
      <c r="F9644">
        <v>40093154</v>
      </c>
      <c r="G9644">
        <v>40093171</v>
      </c>
      <c r="H9644">
        <v>40093173</v>
      </c>
      <c r="I9644">
        <v>40093182</v>
      </c>
    </row>
    <row r="9645" spans="1:9" x14ac:dyDescent="0.2">
      <c r="A9645" s="1" t="str">
        <f>"LGALS14"</f>
        <v>LGALS14</v>
      </c>
      <c r="B9645" t="s">
        <v>14</v>
      </c>
      <c r="C9645" t="s">
        <v>10</v>
      </c>
      <c r="D9645" t="s">
        <v>17</v>
      </c>
      <c r="E9645" t="s">
        <v>12</v>
      </c>
      <c r="F9645">
        <v>40195101</v>
      </c>
      <c r="G9645">
        <v>40195131</v>
      </c>
      <c r="H9645">
        <v>40195101</v>
      </c>
      <c r="I9645">
        <v>40195131</v>
      </c>
    </row>
    <row r="9646" spans="1:9" x14ac:dyDescent="0.2">
      <c r="A9646" s="1" t="str">
        <f>"LGALS16"</f>
        <v>LGALS16</v>
      </c>
      <c r="B9646" t="s">
        <v>14</v>
      </c>
      <c r="C9646" t="s">
        <v>10</v>
      </c>
      <c r="D9646" t="s">
        <v>17</v>
      </c>
      <c r="E9646" t="s">
        <v>12</v>
      </c>
      <c r="F9646">
        <v>40146547</v>
      </c>
      <c r="G9646">
        <v>40146563</v>
      </c>
      <c r="H9646">
        <v>40146564</v>
      </c>
      <c r="I9646">
        <v>40146569</v>
      </c>
    </row>
    <row r="9647" spans="1:9" x14ac:dyDescent="0.2">
      <c r="A9647" s="1" t="str">
        <f>"LGALS2"</f>
        <v>LGALS2</v>
      </c>
      <c r="B9647" t="s">
        <v>14</v>
      </c>
      <c r="C9647" t="s">
        <v>21</v>
      </c>
      <c r="D9647" t="s">
        <v>11</v>
      </c>
      <c r="E9647" t="s">
        <v>12</v>
      </c>
      <c r="F9647">
        <v>37976082</v>
      </c>
      <c r="G9647">
        <v>37976102</v>
      </c>
      <c r="H9647">
        <v>37975952</v>
      </c>
      <c r="I9647">
        <v>37975968</v>
      </c>
    </row>
    <row r="9648" spans="1:9" x14ac:dyDescent="0.2">
      <c r="A9648" s="1" t="str">
        <f>"LGALS3"</f>
        <v>LGALS3</v>
      </c>
      <c r="B9648" t="s">
        <v>14</v>
      </c>
      <c r="C9648" t="s">
        <v>41</v>
      </c>
      <c r="D9648" t="s">
        <v>17</v>
      </c>
      <c r="E9648" t="s">
        <v>12</v>
      </c>
      <c r="F9648">
        <v>55595960</v>
      </c>
      <c r="G9648">
        <v>55595976</v>
      </c>
      <c r="H9648">
        <v>55595960</v>
      </c>
      <c r="I9648">
        <v>55595976</v>
      </c>
    </row>
    <row r="9649" spans="1:9" x14ac:dyDescent="0.2">
      <c r="A9649" s="1" t="str">
        <f>"LGALS3BP"</f>
        <v>LGALS3BP</v>
      </c>
      <c r="B9649" t="s">
        <v>14</v>
      </c>
      <c r="C9649" t="s">
        <v>28</v>
      </c>
      <c r="D9649" t="s">
        <v>11</v>
      </c>
      <c r="E9649" t="s">
        <v>12</v>
      </c>
      <c r="F9649">
        <v>76975997</v>
      </c>
      <c r="G9649">
        <v>76976051</v>
      </c>
      <c r="H9649">
        <v>76975997</v>
      </c>
      <c r="I9649">
        <v>76976051</v>
      </c>
    </row>
    <row r="9650" spans="1:9" x14ac:dyDescent="0.2">
      <c r="A9650" s="1" t="str">
        <f>"LGALS4"</f>
        <v>LGALS4</v>
      </c>
      <c r="B9650" t="s">
        <v>14</v>
      </c>
      <c r="C9650" t="s">
        <v>10</v>
      </c>
      <c r="D9650" t="s">
        <v>11</v>
      </c>
      <c r="E9650" t="s">
        <v>12</v>
      </c>
      <c r="F9650">
        <v>39303576</v>
      </c>
      <c r="G9650">
        <v>39303591</v>
      </c>
      <c r="H9650">
        <v>39303576</v>
      </c>
      <c r="I9650">
        <v>39303591</v>
      </c>
    </row>
    <row r="9651" spans="1:9" x14ac:dyDescent="0.2">
      <c r="A9651" s="1" t="str">
        <f>"LGALS7"</f>
        <v>LGALS7</v>
      </c>
      <c r="B9651" t="s">
        <v>754</v>
      </c>
      <c r="C9651" t="s">
        <v>10</v>
      </c>
      <c r="D9651" t="s">
        <v>11</v>
      </c>
      <c r="E9651" t="s">
        <v>20</v>
      </c>
      <c r="F9651">
        <v>39264131</v>
      </c>
      <c r="G9651">
        <v>39264131</v>
      </c>
      <c r="H9651">
        <v>39264131</v>
      </c>
      <c r="I9651">
        <v>39264131</v>
      </c>
    </row>
    <row r="9652" spans="1:9" x14ac:dyDescent="0.2">
      <c r="A9652" s="1" t="str">
        <f>"LGALS7B"</f>
        <v>LGALS7B</v>
      </c>
      <c r="B9652" t="s">
        <v>14</v>
      </c>
      <c r="C9652" t="s">
        <v>10</v>
      </c>
      <c r="D9652" t="s">
        <v>17</v>
      </c>
      <c r="E9652" t="s">
        <v>12</v>
      </c>
      <c r="F9652">
        <v>39279838</v>
      </c>
      <c r="G9652">
        <v>39279845</v>
      </c>
      <c r="H9652">
        <v>39279838</v>
      </c>
      <c r="I9652">
        <v>39279845</v>
      </c>
    </row>
    <row r="9653" spans="1:9" x14ac:dyDescent="0.2">
      <c r="A9653" s="1" t="str">
        <f>"LGALS8"</f>
        <v>LGALS8</v>
      </c>
      <c r="B9653" t="s">
        <v>14</v>
      </c>
      <c r="C9653" t="s">
        <v>19</v>
      </c>
      <c r="D9653" t="s">
        <v>17</v>
      </c>
      <c r="E9653" t="s">
        <v>12</v>
      </c>
      <c r="F9653">
        <v>236687232</v>
      </c>
      <c r="G9653">
        <v>236687329</v>
      </c>
      <c r="H9653">
        <v>236687881</v>
      </c>
      <c r="I9653">
        <v>236687913</v>
      </c>
    </row>
    <row r="9654" spans="1:9" x14ac:dyDescent="0.2">
      <c r="A9654" s="1" t="str">
        <f>"LGALS9"</f>
        <v>LGALS9</v>
      </c>
      <c r="B9654" t="s">
        <v>14</v>
      </c>
      <c r="C9654" t="s">
        <v>28</v>
      </c>
      <c r="D9654" t="s">
        <v>17</v>
      </c>
      <c r="E9654" t="s">
        <v>12</v>
      </c>
      <c r="F9654">
        <v>25958204</v>
      </c>
      <c r="G9654">
        <v>25958254</v>
      </c>
      <c r="H9654">
        <v>25958269</v>
      </c>
      <c r="I9654">
        <v>25958280</v>
      </c>
    </row>
    <row r="9655" spans="1:9" x14ac:dyDescent="0.2">
      <c r="A9655" s="1" t="str">
        <f>"LGALS9B"</f>
        <v>LGALS9B</v>
      </c>
      <c r="B9655" t="s">
        <v>755</v>
      </c>
      <c r="C9655" t="s">
        <v>28</v>
      </c>
      <c r="D9655" t="s">
        <v>11</v>
      </c>
      <c r="E9655" t="s">
        <v>20</v>
      </c>
      <c r="F9655">
        <v>20370846</v>
      </c>
      <c r="G9655">
        <v>20370846</v>
      </c>
      <c r="H9655">
        <v>20370846</v>
      </c>
      <c r="I9655">
        <v>20370846</v>
      </c>
    </row>
    <row r="9656" spans="1:9" x14ac:dyDescent="0.2">
      <c r="A9656" s="1" t="str">
        <f>"LGALS9C"</f>
        <v>LGALS9C</v>
      </c>
      <c r="B9656" t="s">
        <v>14</v>
      </c>
      <c r="C9656" t="s">
        <v>28</v>
      </c>
      <c r="D9656" t="s">
        <v>17</v>
      </c>
      <c r="E9656" t="s">
        <v>12</v>
      </c>
      <c r="F9656">
        <v>18380097</v>
      </c>
      <c r="G9656">
        <v>18380119</v>
      </c>
      <c r="H9656">
        <v>18380137</v>
      </c>
      <c r="I9656">
        <v>18380146</v>
      </c>
    </row>
    <row r="9657" spans="1:9" x14ac:dyDescent="0.2">
      <c r="A9657" s="1" t="str">
        <f>"LGALSL"</f>
        <v>LGALSL</v>
      </c>
      <c r="B9657" t="s">
        <v>14</v>
      </c>
      <c r="C9657" t="s">
        <v>26</v>
      </c>
      <c r="D9657" t="s">
        <v>17</v>
      </c>
      <c r="E9657" t="s">
        <v>12</v>
      </c>
      <c r="F9657">
        <v>64681348</v>
      </c>
      <c r="G9657">
        <v>64681364</v>
      </c>
      <c r="H9657">
        <v>64681279</v>
      </c>
      <c r="I9657">
        <v>64681316</v>
      </c>
    </row>
    <row r="9658" spans="1:9" x14ac:dyDescent="0.2">
      <c r="A9658" s="1" t="str">
        <f>"LGI1"</f>
        <v>LGI1</v>
      </c>
      <c r="B9658" t="s">
        <v>14</v>
      </c>
      <c r="C9658" t="s">
        <v>15</v>
      </c>
      <c r="D9658" t="s">
        <v>17</v>
      </c>
      <c r="E9658" t="s">
        <v>12</v>
      </c>
      <c r="F9658">
        <v>95517685</v>
      </c>
      <c r="G9658">
        <v>95517743</v>
      </c>
      <c r="H9658">
        <v>95517616</v>
      </c>
      <c r="I9658">
        <v>95517650</v>
      </c>
    </row>
    <row r="9659" spans="1:9" x14ac:dyDescent="0.2">
      <c r="A9659" s="1" t="str">
        <f>"LGI2"</f>
        <v>LGI2</v>
      </c>
      <c r="B9659" t="s">
        <v>14</v>
      </c>
      <c r="C9659" t="s">
        <v>23</v>
      </c>
      <c r="D9659" t="s">
        <v>11</v>
      </c>
      <c r="E9659" t="s">
        <v>12</v>
      </c>
      <c r="F9659">
        <v>25032543</v>
      </c>
      <c r="G9659">
        <v>25032592</v>
      </c>
      <c r="H9659">
        <v>25032421</v>
      </c>
      <c r="I9659">
        <v>25032458</v>
      </c>
    </row>
    <row r="9660" spans="1:9" x14ac:dyDescent="0.2">
      <c r="A9660" s="1" t="str">
        <f>"LGI3"</f>
        <v>LGI3</v>
      </c>
      <c r="B9660" t="s">
        <v>14</v>
      </c>
      <c r="C9660" t="s">
        <v>30</v>
      </c>
      <c r="D9660" t="s">
        <v>11</v>
      </c>
      <c r="E9660" t="s">
        <v>12</v>
      </c>
      <c r="F9660">
        <v>22014298</v>
      </c>
      <c r="G9660">
        <v>22014326</v>
      </c>
      <c r="H9660">
        <v>22014255</v>
      </c>
      <c r="I9660">
        <v>22014266</v>
      </c>
    </row>
    <row r="9661" spans="1:9" x14ac:dyDescent="0.2">
      <c r="A9661" s="1" t="str">
        <f>"LGI4"</f>
        <v>LGI4</v>
      </c>
      <c r="B9661" t="s">
        <v>14</v>
      </c>
      <c r="C9661" t="s">
        <v>10</v>
      </c>
      <c r="D9661" t="s">
        <v>11</v>
      </c>
      <c r="E9661" t="s">
        <v>12</v>
      </c>
      <c r="F9661">
        <v>35625915</v>
      </c>
      <c r="G9661">
        <v>35625972</v>
      </c>
      <c r="H9661">
        <v>35625984</v>
      </c>
      <c r="I9661">
        <v>35626007</v>
      </c>
    </row>
    <row r="9662" spans="1:9" x14ac:dyDescent="0.2">
      <c r="A9662" s="1" t="str">
        <f>"LGMN"</f>
        <v>LGMN</v>
      </c>
      <c r="B9662" t="s">
        <v>14</v>
      </c>
      <c r="C9662" t="s">
        <v>41</v>
      </c>
      <c r="D9662" t="s">
        <v>11</v>
      </c>
      <c r="E9662" t="s">
        <v>12</v>
      </c>
      <c r="F9662">
        <v>93214962</v>
      </c>
      <c r="G9662">
        <v>93214979</v>
      </c>
      <c r="H9662">
        <v>93214988</v>
      </c>
      <c r="I9662">
        <v>93215002</v>
      </c>
    </row>
    <row r="9663" spans="1:9" x14ac:dyDescent="0.2">
      <c r="A9663" s="1" t="str">
        <f>"LGR4"</f>
        <v>LGR4</v>
      </c>
      <c r="B9663" t="s">
        <v>14</v>
      </c>
      <c r="C9663" t="s">
        <v>27</v>
      </c>
      <c r="D9663" t="s">
        <v>11</v>
      </c>
      <c r="E9663" t="s">
        <v>12</v>
      </c>
      <c r="F9663">
        <v>27494329</v>
      </c>
      <c r="G9663">
        <v>27494347</v>
      </c>
      <c r="H9663">
        <v>27494309</v>
      </c>
      <c r="I9663">
        <v>27494328</v>
      </c>
    </row>
    <row r="9664" spans="1:9" x14ac:dyDescent="0.2">
      <c r="A9664" s="1" t="str">
        <f>"LGR5"</f>
        <v>LGR5</v>
      </c>
      <c r="B9664" t="s">
        <v>14</v>
      </c>
      <c r="C9664" t="s">
        <v>16</v>
      </c>
      <c r="D9664" t="s">
        <v>17</v>
      </c>
      <c r="E9664" t="s">
        <v>12</v>
      </c>
      <c r="F9664">
        <v>71833569</v>
      </c>
      <c r="G9664">
        <v>71833588</v>
      </c>
      <c r="H9664">
        <v>71833756</v>
      </c>
      <c r="I9664">
        <v>71833769</v>
      </c>
    </row>
    <row r="9665" spans="1:9" x14ac:dyDescent="0.2">
      <c r="A9665" s="1" t="str">
        <f>"LGR6"</f>
        <v>LGR6</v>
      </c>
      <c r="B9665" t="s">
        <v>9</v>
      </c>
      <c r="C9665" t="s">
        <v>19</v>
      </c>
      <c r="D9665" t="s">
        <v>17</v>
      </c>
      <c r="E9665" t="s">
        <v>12</v>
      </c>
      <c r="F9665">
        <v>202162920</v>
      </c>
      <c r="G9665">
        <v>202162945</v>
      </c>
      <c r="H9665">
        <v>202162920</v>
      </c>
      <c r="I9665">
        <v>202162945</v>
      </c>
    </row>
    <row r="9666" spans="1:9" x14ac:dyDescent="0.2">
      <c r="A9666" s="1" t="str">
        <f>"LGR6"</f>
        <v>LGR6</v>
      </c>
      <c r="B9666" t="s">
        <v>13</v>
      </c>
      <c r="C9666" t="s">
        <v>19</v>
      </c>
      <c r="D9666" t="s">
        <v>17</v>
      </c>
      <c r="E9666" t="s">
        <v>12</v>
      </c>
      <c r="F9666">
        <v>202172848</v>
      </c>
      <c r="G9666">
        <v>202172894</v>
      </c>
      <c r="H9666">
        <v>202172848</v>
      </c>
      <c r="I9666">
        <v>202172894</v>
      </c>
    </row>
    <row r="9667" spans="1:9" x14ac:dyDescent="0.2">
      <c r="A9667" s="1" t="str">
        <f>"LGSN"</f>
        <v>LGSN</v>
      </c>
      <c r="B9667" t="s">
        <v>14</v>
      </c>
      <c r="C9667" t="s">
        <v>32</v>
      </c>
      <c r="D9667" t="s">
        <v>11</v>
      </c>
      <c r="E9667" t="s">
        <v>12</v>
      </c>
      <c r="F9667">
        <v>64029879</v>
      </c>
      <c r="G9667">
        <v>64029891</v>
      </c>
      <c r="H9667">
        <v>64029879</v>
      </c>
      <c r="I9667">
        <v>64029891</v>
      </c>
    </row>
    <row r="9668" spans="1:9" x14ac:dyDescent="0.2">
      <c r="A9668" s="1" t="str">
        <f>"LHB"</f>
        <v>LHB</v>
      </c>
      <c r="B9668" t="s">
        <v>14</v>
      </c>
      <c r="C9668" t="s">
        <v>10</v>
      </c>
      <c r="D9668" t="s">
        <v>11</v>
      </c>
      <c r="E9668" t="s">
        <v>12</v>
      </c>
      <c r="F9668">
        <v>49520344</v>
      </c>
      <c r="G9668">
        <v>49520367</v>
      </c>
      <c r="H9668">
        <v>49520344</v>
      </c>
      <c r="I9668">
        <v>49520367</v>
      </c>
    </row>
    <row r="9669" spans="1:9" x14ac:dyDescent="0.2">
      <c r="A9669" s="1" t="str">
        <f>"LHCGR"</f>
        <v>LHCGR</v>
      </c>
      <c r="B9669" t="s">
        <v>14</v>
      </c>
      <c r="C9669" t="s">
        <v>26</v>
      </c>
      <c r="D9669" t="s">
        <v>11</v>
      </c>
      <c r="E9669" t="s">
        <v>12</v>
      </c>
      <c r="F9669">
        <v>48982824</v>
      </c>
      <c r="G9669">
        <v>48982837</v>
      </c>
      <c r="H9669">
        <v>48982857</v>
      </c>
      <c r="I9669">
        <v>48982870</v>
      </c>
    </row>
    <row r="9670" spans="1:9" x14ac:dyDescent="0.2">
      <c r="A9670" s="1" t="str">
        <f>"LHFP"</f>
        <v>LHFP</v>
      </c>
      <c r="B9670" t="s">
        <v>14</v>
      </c>
      <c r="C9670" t="s">
        <v>39</v>
      </c>
      <c r="D9670" t="s">
        <v>11</v>
      </c>
      <c r="E9670" t="s">
        <v>12</v>
      </c>
      <c r="F9670">
        <v>40177261</v>
      </c>
      <c r="G9670">
        <v>40177339</v>
      </c>
      <c r="H9670">
        <v>40177342</v>
      </c>
      <c r="I9670">
        <v>40177361</v>
      </c>
    </row>
    <row r="9671" spans="1:9" x14ac:dyDescent="0.2">
      <c r="A9671" s="1" t="str">
        <f>"LHFPL1"</f>
        <v>LHFPL1</v>
      </c>
      <c r="B9671" t="s">
        <v>14</v>
      </c>
      <c r="C9671" t="s">
        <v>37</v>
      </c>
      <c r="D9671" t="s">
        <v>11</v>
      </c>
      <c r="E9671" t="s">
        <v>12</v>
      </c>
      <c r="F9671">
        <v>111923145</v>
      </c>
      <c r="G9671">
        <v>111923173</v>
      </c>
      <c r="H9671">
        <v>111923342</v>
      </c>
      <c r="I9671">
        <v>111923381</v>
      </c>
    </row>
    <row r="9672" spans="1:9" x14ac:dyDescent="0.2">
      <c r="A9672" s="1" t="str">
        <f>"LHFPL2"</f>
        <v>LHFPL2</v>
      </c>
      <c r="B9672" t="s">
        <v>14</v>
      </c>
      <c r="C9672" t="s">
        <v>46</v>
      </c>
      <c r="D9672" t="s">
        <v>11</v>
      </c>
      <c r="E9672" t="s">
        <v>12</v>
      </c>
      <c r="F9672">
        <v>77944542</v>
      </c>
      <c r="G9672">
        <v>77944606</v>
      </c>
      <c r="H9672">
        <v>77944542</v>
      </c>
      <c r="I9672">
        <v>77944606</v>
      </c>
    </row>
    <row r="9673" spans="1:9" x14ac:dyDescent="0.2">
      <c r="A9673" s="1" t="str">
        <f>"LHFPL3"</f>
        <v>LHFPL3</v>
      </c>
      <c r="B9673" t="s">
        <v>14</v>
      </c>
      <c r="C9673" t="s">
        <v>33</v>
      </c>
      <c r="D9673" t="s">
        <v>17</v>
      </c>
      <c r="E9673" t="s">
        <v>12</v>
      </c>
      <c r="F9673">
        <v>103969251</v>
      </c>
      <c r="G9673">
        <v>103969288</v>
      </c>
      <c r="H9673">
        <v>103969078</v>
      </c>
      <c r="I9673">
        <v>103969132</v>
      </c>
    </row>
    <row r="9674" spans="1:9" x14ac:dyDescent="0.2">
      <c r="A9674" s="1" t="str">
        <f>"LHFPL4"</f>
        <v>LHFPL4</v>
      </c>
      <c r="B9674" t="s">
        <v>14</v>
      </c>
      <c r="C9674" t="s">
        <v>22</v>
      </c>
      <c r="D9674" t="s">
        <v>11</v>
      </c>
      <c r="E9674" t="s">
        <v>12</v>
      </c>
      <c r="F9674">
        <v>9595480</v>
      </c>
      <c r="G9674">
        <v>9595514</v>
      </c>
      <c r="H9674">
        <v>9595523</v>
      </c>
      <c r="I9674">
        <v>9595534</v>
      </c>
    </row>
    <row r="9675" spans="1:9" x14ac:dyDescent="0.2">
      <c r="A9675" s="1" t="str">
        <f>"LHFPL5"</f>
        <v>LHFPL5</v>
      </c>
      <c r="B9675" t="s">
        <v>14</v>
      </c>
      <c r="C9675" t="s">
        <v>32</v>
      </c>
      <c r="D9675" t="s">
        <v>17</v>
      </c>
      <c r="E9675" t="s">
        <v>12</v>
      </c>
      <c r="F9675">
        <v>35773123</v>
      </c>
      <c r="G9675">
        <v>35773143</v>
      </c>
      <c r="H9675">
        <v>35773123</v>
      </c>
      <c r="I9675">
        <v>35773143</v>
      </c>
    </row>
    <row r="9676" spans="1:9" x14ac:dyDescent="0.2">
      <c r="A9676" s="1" t="str">
        <f>"LHPP"</f>
        <v>LHPP</v>
      </c>
      <c r="B9676" t="s">
        <v>14</v>
      </c>
      <c r="C9676" t="s">
        <v>15</v>
      </c>
      <c r="D9676" t="s">
        <v>17</v>
      </c>
      <c r="E9676" t="s">
        <v>12</v>
      </c>
      <c r="F9676">
        <v>126150369</v>
      </c>
      <c r="G9676">
        <v>126150437</v>
      </c>
      <c r="H9676">
        <v>126150369</v>
      </c>
      <c r="I9676">
        <v>126150437</v>
      </c>
    </row>
    <row r="9677" spans="1:9" x14ac:dyDescent="0.2">
      <c r="A9677" s="1" t="str">
        <f>"LHX1"</f>
        <v>LHX1</v>
      </c>
      <c r="B9677" t="s">
        <v>14</v>
      </c>
      <c r="C9677" t="s">
        <v>28</v>
      </c>
      <c r="D9677" t="s">
        <v>17</v>
      </c>
      <c r="E9677" t="s">
        <v>12</v>
      </c>
      <c r="F9677">
        <v>35294284</v>
      </c>
      <c r="G9677">
        <v>35294304</v>
      </c>
      <c r="H9677">
        <v>35295013</v>
      </c>
      <c r="I9677">
        <v>35295035</v>
      </c>
    </row>
    <row r="9678" spans="1:9" x14ac:dyDescent="0.2">
      <c r="A9678" s="1" t="str">
        <f>"LHX2"</f>
        <v>LHX2</v>
      </c>
      <c r="B9678" t="s">
        <v>14</v>
      </c>
      <c r="C9678" t="s">
        <v>24</v>
      </c>
      <c r="D9678" t="s">
        <v>17</v>
      </c>
      <c r="E9678" t="s">
        <v>12</v>
      </c>
      <c r="F9678">
        <v>126774018</v>
      </c>
      <c r="G9678">
        <v>126774055</v>
      </c>
      <c r="H9678">
        <v>126773880</v>
      </c>
      <c r="I9678">
        <v>126773895</v>
      </c>
    </row>
    <row r="9679" spans="1:9" x14ac:dyDescent="0.2">
      <c r="A9679" s="1" t="str">
        <f>"LHX3"</f>
        <v>LHX3</v>
      </c>
      <c r="B9679" t="s">
        <v>9</v>
      </c>
      <c r="C9679" t="s">
        <v>24</v>
      </c>
      <c r="D9679" t="s">
        <v>11</v>
      </c>
      <c r="E9679" t="s">
        <v>12</v>
      </c>
      <c r="F9679">
        <v>139094988</v>
      </c>
      <c r="G9679">
        <v>139095012</v>
      </c>
      <c r="H9679">
        <v>139094988</v>
      </c>
      <c r="I9679">
        <v>139095012</v>
      </c>
    </row>
    <row r="9680" spans="1:9" x14ac:dyDescent="0.2">
      <c r="A9680" s="1" t="str">
        <f>"LHX3"</f>
        <v>LHX3</v>
      </c>
      <c r="B9680" t="s">
        <v>13</v>
      </c>
      <c r="C9680" t="s">
        <v>24</v>
      </c>
      <c r="D9680" t="s">
        <v>11</v>
      </c>
      <c r="E9680" t="s">
        <v>12</v>
      </c>
      <c r="F9680">
        <v>139096968</v>
      </c>
      <c r="G9680">
        <v>139096979</v>
      </c>
      <c r="H9680">
        <v>139096968</v>
      </c>
      <c r="I9680">
        <v>139096979</v>
      </c>
    </row>
    <row r="9681" spans="1:9" x14ac:dyDescent="0.2">
      <c r="A9681" s="1" t="str">
        <f>"LHX4"</f>
        <v>LHX4</v>
      </c>
      <c r="B9681" t="s">
        <v>14</v>
      </c>
      <c r="C9681" t="s">
        <v>19</v>
      </c>
      <c r="D9681" t="s">
        <v>17</v>
      </c>
      <c r="E9681" t="s">
        <v>12</v>
      </c>
      <c r="F9681">
        <v>180199393</v>
      </c>
      <c r="G9681">
        <v>180199426</v>
      </c>
      <c r="H9681">
        <v>180199500</v>
      </c>
      <c r="I9681">
        <v>180199510</v>
      </c>
    </row>
    <row r="9682" spans="1:9" x14ac:dyDescent="0.2">
      <c r="A9682" s="1" t="str">
        <f>"LHX5"</f>
        <v>LHX5</v>
      </c>
      <c r="B9682" t="s">
        <v>14</v>
      </c>
      <c r="C9682" t="s">
        <v>16</v>
      </c>
      <c r="D9682" t="s">
        <v>11</v>
      </c>
      <c r="E9682" t="s">
        <v>12</v>
      </c>
      <c r="F9682">
        <v>113909667</v>
      </c>
      <c r="G9682">
        <v>113909681</v>
      </c>
      <c r="H9682">
        <v>113909667</v>
      </c>
      <c r="I9682">
        <v>113909681</v>
      </c>
    </row>
    <row r="9683" spans="1:9" x14ac:dyDescent="0.2">
      <c r="A9683" s="1" t="str">
        <f>"LHX6"</f>
        <v>LHX6</v>
      </c>
      <c r="B9683" t="s">
        <v>9</v>
      </c>
      <c r="C9683" t="s">
        <v>24</v>
      </c>
      <c r="D9683" t="s">
        <v>11</v>
      </c>
      <c r="E9683" t="s">
        <v>12</v>
      </c>
      <c r="F9683">
        <v>124991204</v>
      </c>
      <c r="G9683">
        <v>124991246</v>
      </c>
      <c r="H9683">
        <v>124991204</v>
      </c>
      <c r="I9683">
        <v>124991246</v>
      </c>
    </row>
    <row r="9684" spans="1:9" x14ac:dyDescent="0.2">
      <c r="A9684" s="1" t="str">
        <f>"LHX6"</f>
        <v>LHX6</v>
      </c>
      <c r="B9684" t="s">
        <v>13</v>
      </c>
      <c r="C9684" t="s">
        <v>24</v>
      </c>
      <c r="D9684" t="s">
        <v>11</v>
      </c>
      <c r="E9684" t="s">
        <v>12</v>
      </c>
      <c r="F9684">
        <v>124976328</v>
      </c>
      <c r="G9684">
        <v>124976372</v>
      </c>
      <c r="H9684">
        <v>124976328</v>
      </c>
      <c r="I9684">
        <v>124976372</v>
      </c>
    </row>
    <row r="9685" spans="1:9" x14ac:dyDescent="0.2">
      <c r="A9685" s="1" t="str">
        <f>"LHX8"</f>
        <v>LHX8</v>
      </c>
      <c r="B9685" t="s">
        <v>14</v>
      </c>
      <c r="C9685" t="s">
        <v>19</v>
      </c>
      <c r="D9685" t="s">
        <v>17</v>
      </c>
      <c r="E9685" t="s">
        <v>12</v>
      </c>
      <c r="F9685">
        <v>75602043</v>
      </c>
      <c r="G9685">
        <v>75602093</v>
      </c>
      <c r="H9685">
        <v>75602043</v>
      </c>
      <c r="I9685">
        <v>75602093</v>
      </c>
    </row>
    <row r="9686" spans="1:9" x14ac:dyDescent="0.2">
      <c r="A9686" s="1" t="str">
        <f>"LHX9"</f>
        <v>LHX9</v>
      </c>
      <c r="B9686" t="s">
        <v>14</v>
      </c>
      <c r="C9686" t="s">
        <v>19</v>
      </c>
      <c r="D9686" t="s">
        <v>17</v>
      </c>
      <c r="E9686" t="s">
        <v>12</v>
      </c>
      <c r="F9686">
        <v>197886461</v>
      </c>
      <c r="G9686">
        <v>197886558</v>
      </c>
      <c r="H9686">
        <v>197886421</v>
      </c>
      <c r="I9686">
        <v>197886432</v>
      </c>
    </row>
    <row r="9687" spans="1:9" x14ac:dyDescent="0.2">
      <c r="A9687" s="1" t="str">
        <f>"LIAS"</f>
        <v>LIAS</v>
      </c>
      <c r="B9687" t="s">
        <v>14</v>
      </c>
      <c r="C9687" t="s">
        <v>23</v>
      </c>
      <c r="D9687" t="s">
        <v>17</v>
      </c>
      <c r="E9687" t="s">
        <v>12</v>
      </c>
      <c r="F9687">
        <v>39460689</v>
      </c>
      <c r="G9687">
        <v>39460736</v>
      </c>
      <c r="H9687">
        <v>39460659</v>
      </c>
      <c r="I9687">
        <v>39460686</v>
      </c>
    </row>
    <row r="9688" spans="1:9" x14ac:dyDescent="0.2">
      <c r="A9688" s="1" t="str">
        <f>"LIF"</f>
        <v>LIF</v>
      </c>
      <c r="B9688" t="s">
        <v>14</v>
      </c>
      <c r="C9688" t="s">
        <v>21</v>
      </c>
      <c r="D9688" t="s">
        <v>11</v>
      </c>
      <c r="E9688" t="s">
        <v>12</v>
      </c>
      <c r="F9688">
        <v>30642738</v>
      </c>
      <c r="G9688">
        <v>30642754</v>
      </c>
      <c r="H9688">
        <v>30642782</v>
      </c>
      <c r="I9688">
        <v>30642793</v>
      </c>
    </row>
    <row r="9689" spans="1:9" x14ac:dyDescent="0.2">
      <c r="A9689" s="1" t="str">
        <f>"LIFR"</f>
        <v>LIFR</v>
      </c>
      <c r="B9689" t="s">
        <v>14</v>
      </c>
      <c r="C9689" t="s">
        <v>46</v>
      </c>
      <c r="D9689" t="s">
        <v>11</v>
      </c>
      <c r="E9689" t="s">
        <v>12</v>
      </c>
      <c r="F9689">
        <v>38556728</v>
      </c>
      <c r="G9689">
        <v>38556771</v>
      </c>
      <c r="H9689">
        <v>38556728</v>
      </c>
      <c r="I9689">
        <v>38556771</v>
      </c>
    </row>
    <row r="9690" spans="1:9" x14ac:dyDescent="0.2">
      <c r="A9690" s="1" t="str">
        <f>"LIG1"</f>
        <v>LIG1</v>
      </c>
      <c r="B9690" t="s">
        <v>14</v>
      </c>
      <c r="C9690" t="s">
        <v>10</v>
      </c>
      <c r="D9690" t="s">
        <v>11</v>
      </c>
      <c r="E9690" t="s">
        <v>12</v>
      </c>
      <c r="F9690">
        <v>48673580</v>
      </c>
      <c r="G9690">
        <v>48673630</v>
      </c>
      <c r="H9690">
        <v>48673552</v>
      </c>
      <c r="I9690">
        <v>48673578</v>
      </c>
    </row>
    <row r="9691" spans="1:9" x14ac:dyDescent="0.2">
      <c r="A9691" s="1" t="str">
        <f>"LIG3"</f>
        <v>LIG3</v>
      </c>
      <c r="B9691" t="s">
        <v>14</v>
      </c>
      <c r="C9691" t="s">
        <v>28</v>
      </c>
      <c r="D9691" t="s">
        <v>17</v>
      </c>
      <c r="E9691" t="s">
        <v>12</v>
      </c>
      <c r="F9691">
        <v>33307503</v>
      </c>
      <c r="G9691">
        <v>33307598</v>
      </c>
      <c r="H9691">
        <v>33307601</v>
      </c>
      <c r="I9691">
        <v>33307612</v>
      </c>
    </row>
    <row r="9692" spans="1:9" x14ac:dyDescent="0.2">
      <c r="A9692" s="1" t="str">
        <f>"LIG4"</f>
        <v>LIG4</v>
      </c>
      <c r="B9692" t="s">
        <v>9</v>
      </c>
      <c r="C9692" t="s">
        <v>39</v>
      </c>
      <c r="D9692" t="s">
        <v>11</v>
      </c>
      <c r="E9692" t="s">
        <v>12</v>
      </c>
      <c r="F9692">
        <v>108867846</v>
      </c>
      <c r="G9692">
        <v>108867920</v>
      </c>
      <c r="H9692">
        <v>108867846</v>
      </c>
      <c r="I9692">
        <v>108867920</v>
      </c>
    </row>
    <row r="9693" spans="1:9" x14ac:dyDescent="0.2">
      <c r="A9693" s="1" t="str">
        <f>"LIG4"</f>
        <v>LIG4</v>
      </c>
      <c r="B9693" t="s">
        <v>13</v>
      </c>
      <c r="C9693" t="s">
        <v>39</v>
      </c>
      <c r="D9693" t="s">
        <v>11</v>
      </c>
      <c r="E9693" t="s">
        <v>12</v>
      </c>
      <c r="F9693">
        <v>108870623</v>
      </c>
      <c r="G9693">
        <v>108870721</v>
      </c>
      <c r="H9693">
        <v>108870623</v>
      </c>
      <c r="I9693">
        <v>108870721</v>
      </c>
    </row>
    <row r="9694" spans="1:9" x14ac:dyDescent="0.2">
      <c r="A9694" s="1" t="str">
        <f>"LILRA1"</f>
        <v>LILRA1</v>
      </c>
      <c r="B9694" t="s">
        <v>14</v>
      </c>
      <c r="C9694" t="s">
        <v>10</v>
      </c>
      <c r="D9694" t="s">
        <v>17</v>
      </c>
      <c r="E9694" t="s">
        <v>12</v>
      </c>
      <c r="F9694">
        <v>55105085</v>
      </c>
      <c r="G9694">
        <v>55105136</v>
      </c>
      <c r="H9694">
        <v>55105627</v>
      </c>
      <c r="I9694">
        <v>55105646</v>
      </c>
    </row>
    <row r="9695" spans="1:9" x14ac:dyDescent="0.2">
      <c r="A9695" s="1" t="str">
        <f>"LILRA2"</f>
        <v>LILRA2</v>
      </c>
      <c r="B9695" t="s">
        <v>14</v>
      </c>
      <c r="C9695" t="s">
        <v>10</v>
      </c>
      <c r="D9695" t="s">
        <v>17</v>
      </c>
      <c r="E9695" t="s">
        <v>12</v>
      </c>
      <c r="F9695">
        <v>55085248</v>
      </c>
      <c r="G9695">
        <v>55085287</v>
      </c>
      <c r="H9695">
        <v>55084438</v>
      </c>
      <c r="I9695">
        <v>55084495</v>
      </c>
    </row>
    <row r="9696" spans="1:9" x14ac:dyDescent="0.2">
      <c r="A9696" s="1" t="str">
        <f>"LILRA4"</f>
        <v>LILRA4</v>
      </c>
      <c r="B9696" t="s">
        <v>14</v>
      </c>
      <c r="C9696" t="s">
        <v>10</v>
      </c>
      <c r="D9696" t="s">
        <v>11</v>
      </c>
      <c r="E9696" t="s">
        <v>12</v>
      </c>
      <c r="F9696">
        <v>54850417</v>
      </c>
      <c r="G9696">
        <v>54850439</v>
      </c>
      <c r="H9696">
        <v>54850385</v>
      </c>
      <c r="I9696">
        <v>54850414</v>
      </c>
    </row>
    <row r="9697" spans="1:9" x14ac:dyDescent="0.2">
      <c r="A9697" s="1" t="str">
        <f>"LILRA5"</f>
        <v>LILRA5</v>
      </c>
      <c r="B9697" t="s">
        <v>14</v>
      </c>
      <c r="C9697" t="s">
        <v>10</v>
      </c>
      <c r="D9697" t="s">
        <v>11</v>
      </c>
      <c r="E9697" t="s">
        <v>12</v>
      </c>
      <c r="F9697">
        <v>54824395</v>
      </c>
      <c r="G9697">
        <v>54824447</v>
      </c>
      <c r="H9697">
        <v>54823886</v>
      </c>
      <c r="I9697">
        <v>54823925</v>
      </c>
    </row>
    <row r="9698" spans="1:9" x14ac:dyDescent="0.2">
      <c r="A9698" s="1" t="str">
        <f>"LILRA6"</f>
        <v>LILRA6</v>
      </c>
      <c r="B9698" t="s">
        <v>756</v>
      </c>
      <c r="C9698" t="s">
        <v>10</v>
      </c>
      <c r="D9698" t="s">
        <v>11</v>
      </c>
      <c r="E9698" t="s">
        <v>35</v>
      </c>
      <c r="F9698">
        <v>54746627</v>
      </c>
      <c r="G9698">
        <v>54746639</v>
      </c>
      <c r="H9698">
        <v>54746627</v>
      </c>
      <c r="I9698">
        <v>54746639</v>
      </c>
    </row>
    <row r="9699" spans="1:9" x14ac:dyDescent="0.2">
      <c r="A9699" s="1" t="str">
        <f>"LILRB1"</f>
        <v>LILRB1</v>
      </c>
      <c r="B9699" t="s">
        <v>14</v>
      </c>
      <c r="C9699" t="s">
        <v>10</v>
      </c>
      <c r="D9699" t="s">
        <v>17</v>
      </c>
      <c r="E9699" t="s">
        <v>12</v>
      </c>
      <c r="F9699">
        <v>55141928</v>
      </c>
      <c r="G9699">
        <v>55141942</v>
      </c>
      <c r="H9699">
        <v>55141948</v>
      </c>
      <c r="I9699">
        <v>55141970</v>
      </c>
    </row>
    <row r="9700" spans="1:9" x14ac:dyDescent="0.2">
      <c r="A9700" s="1" t="str">
        <f>"LILRB2"</f>
        <v>LILRB2</v>
      </c>
      <c r="B9700" t="s">
        <v>14</v>
      </c>
      <c r="C9700" t="s">
        <v>10</v>
      </c>
      <c r="D9700" t="s">
        <v>11</v>
      </c>
      <c r="E9700" t="s">
        <v>12</v>
      </c>
      <c r="F9700">
        <v>54784937</v>
      </c>
      <c r="G9700">
        <v>54784971</v>
      </c>
      <c r="H9700">
        <v>54784461</v>
      </c>
      <c r="I9700">
        <v>54784484</v>
      </c>
    </row>
    <row r="9701" spans="1:9" x14ac:dyDescent="0.2">
      <c r="A9701" s="1" t="str">
        <f>"LILRB3"</f>
        <v>LILRB3</v>
      </c>
      <c r="B9701" t="s">
        <v>14</v>
      </c>
      <c r="C9701" t="s">
        <v>10</v>
      </c>
      <c r="D9701" t="s">
        <v>11</v>
      </c>
      <c r="E9701" t="s">
        <v>12</v>
      </c>
      <c r="F9701">
        <v>54726874</v>
      </c>
      <c r="G9701">
        <v>54726887</v>
      </c>
      <c r="H9701">
        <v>54726874</v>
      </c>
      <c r="I9701">
        <v>54726887</v>
      </c>
    </row>
    <row r="9702" spans="1:9" x14ac:dyDescent="0.2">
      <c r="A9702" s="1" t="str">
        <f>"LILRB4"</f>
        <v>LILRB4</v>
      </c>
      <c r="B9702" t="s">
        <v>9</v>
      </c>
      <c r="C9702" t="s">
        <v>10</v>
      </c>
      <c r="D9702" t="s">
        <v>17</v>
      </c>
      <c r="E9702" t="s">
        <v>12</v>
      </c>
      <c r="F9702">
        <v>55174400</v>
      </c>
      <c r="G9702">
        <v>55174461</v>
      </c>
      <c r="H9702">
        <v>55174400</v>
      </c>
      <c r="I9702">
        <v>55174461</v>
      </c>
    </row>
    <row r="9703" spans="1:9" x14ac:dyDescent="0.2">
      <c r="A9703" s="1" t="str">
        <f>"LILRB4"</f>
        <v>LILRB4</v>
      </c>
      <c r="B9703" t="s">
        <v>13</v>
      </c>
      <c r="C9703" t="s">
        <v>10</v>
      </c>
      <c r="D9703" t="s">
        <v>17</v>
      </c>
      <c r="E9703" t="s">
        <v>12</v>
      </c>
      <c r="F9703">
        <v>55177293</v>
      </c>
      <c r="G9703">
        <v>55177307</v>
      </c>
      <c r="H9703">
        <v>55177293</v>
      </c>
      <c r="I9703">
        <v>55177307</v>
      </c>
    </row>
    <row r="9704" spans="1:9" x14ac:dyDescent="0.2">
      <c r="A9704" s="1" t="str">
        <f>"LILRB5"</f>
        <v>LILRB5</v>
      </c>
      <c r="B9704" t="s">
        <v>14</v>
      </c>
      <c r="C9704" t="s">
        <v>10</v>
      </c>
      <c r="D9704" t="s">
        <v>11</v>
      </c>
      <c r="E9704" t="s">
        <v>12</v>
      </c>
      <c r="F9704">
        <v>54761080</v>
      </c>
      <c r="G9704">
        <v>54761146</v>
      </c>
      <c r="H9704">
        <v>54761148</v>
      </c>
      <c r="I9704">
        <v>54761169</v>
      </c>
    </row>
    <row r="9705" spans="1:9" x14ac:dyDescent="0.2">
      <c r="A9705" s="1" t="str">
        <f>"LIM2"</f>
        <v>LIM2</v>
      </c>
      <c r="B9705" t="s">
        <v>14</v>
      </c>
      <c r="C9705" t="s">
        <v>10</v>
      </c>
      <c r="D9705" t="s">
        <v>11</v>
      </c>
      <c r="E9705" t="s">
        <v>12</v>
      </c>
      <c r="F9705">
        <v>51891222</v>
      </c>
      <c r="G9705">
        <v>51891233</v>
      </c>
      <c r="H9705">
        <v>51891222</v>
      </c>
      <c r="I9705">
        <v>51891233</v>
      </c>
    </row>
    <row r="9706" spans="1:9" x14ac:dyDescent="0.2">
      <c r="A9706" s="1" t="str">
        <f>"LIMA1"</f>
        <v>LIMA1</v>
      </c>
      <c r="B9706" t="s">
        <v>9</v>
      </c>
      <c r="C9706" t="s">
        <v>16</v>
      </c>
      <c r="D9706" t="s">
        <v>11</v>
      </c>
      <c r="E9706" t="s">
        <v>12</v>
      </c>
      <c r="F9706">
        <v>50616382</v>
      </c>
      <c r="G9706">
        <v>50616505</v>
      </c>
      <c r="H9706">
        <v>50616382</v>
      </c>
      <c r="I9706">
        <v>50616505</v>
      </c>
    </row>
    <row r="9707" spans="1:9" x14ac:dyDescent="0.2">
      <c r="A9707" s="1" t="str">
        <f>"LIMA1"</f>
        <v>LIMA1</v>
      </c>
      <c r="B9707" t="s">
        <v>13</v>
      </c>
      <c r="C9707" t="s">
        <v>16</v>
      </c>
      <c r="D9707" t="s">
        <v>11</v>
      </c>
      <c r="E9707" t="s">
        <v>12</v>
      </c>
      <c r="F9707">
        <v>50677255</v>
      </c>
      <c r="G9707">
        <v>50677324</v>
      </c>
      <c r="H9707">
        <v>50677255</v>
      </c>
      <c r="I9707">
        <v>50677324</v>
      </c>
    </row>
    <row r="9708" spans="1:9" x14ac:dyDescent="0.2">
      <c r="A9708" s="1" t="str">
        <f>"LIMCH1"</f>
        <v>LIMCH1</v>
      </c>
      <c r="B9708" t="s">
        <v>14</v>
      </c>
      <c r="C9708" t="s">
        <v>23</v>
      </c>
      <c r="D9708" t="s">
        <v>17</v>
      </c>
      <c r="E9708" t="s">
        <v>12</v>
      </c>
      <c r="F9708">
        <v>41362796</v>
      </c>
      <c r="G9708">
        <v>41362841</v>
      </c>
      <c r="H9708">
        <v>41362776</v>
      </c>
      <c r="I9708">
        <v>41362792</v>
      </c>
    </row>
    <row r="9709" spans="1:9" x14ac:dyDescent="0.2">
      <c r="A9709" s="1" t="str">
        <f>"LIMD1"</f>
        <v>LIMD1</v>
      </c>
      <c r="B9709" t="s">
        <v>14</v>
      </c>
      <c r="C9709" t="s">
        <v>22</v>
      </c>
      <c r="D9709" t="s">
        <v>17</v>
      </c>
      <c r="E9709" t="s">
        <v>12</v>
      </c>
      <c r="F9709">
        <v>45635587</v>
      </c>
      <c r="G9709">
        <v>45635658</v>
      </c>
      <c r="H9709">
        <v>45635661</v>
      </c>
      <c r="I9709">
        <v>45635711</v>
      </c>
    </row>
    <row r="9710" spans="1:9" x14ac:dyDescent="0.2">
      <c r="A9710" s="1" t="str">
        <f>"LIMD2"</f>
        <v>LIMD2</v>
      </c>
      <c r="B9710" t="s">
        <v>14</v>
      </c>
      <c r="C9710" t="s">
        <v>28</v>
      </c>
      <c r="D9710" t="s">
        <v>11</v>
      </c>
      <c r="E9710" t="s">
        <v>12</v>
      </c>
      <c r="F9710">
        <v>61777459</v>
      </c>
      <c r="G9710">
        <v>61777502</v>
      </c>
      <c r="H9710">
        <v>61776662</v>
      </c>
      <c r="I9710">
        <v>61776738</v>
      </c>
    </row>
    <row r="9711" spans="1:9" x14ac:dyDescent="0.2">
      <c r="A9711" s="1" t="str">
        <f>"LIME1"</f>
        <v>LIME1</v>
      </c>
      <c r="B9711" t="s">
        <v>9</v>
      </c>
      <c r="C9711" t="s">
        <v>29</v>
      </c>
      <c r="D9711" t="s">
        <v>17</v>
      </c>
      <c r="E9711" t="s">
        <v>12</v>
      </c>
      <c r="F9711">
        <v>62368002</v>
      </c>
      <c r="G9711">
        <v>62368022</v>
      </c>
      <c r="H9711">
        <v>62368002</v>
      </c>
      <c r="I9711">
        <v>62368022</v>
      </c>
    </row>
    <row r="9712" spans="1:9" x14ac:dyDescent="0.2">
      <c r="A9712" s="1" t="str">
        <f>"LIME1"</f>
        <v>LIME1</v>
      </c>
      <c r="B9712" t="s">
        <v>13</v>
      </c>
      <c r="C9712" t="s">
        <v>29</v>
      </c>
      <c r="D9712" t="s">
        <v>17</v>
      </c>
      <c r="E9712" t="s">
        <v>12</v>
      </c>
      <c r="F9712">
        <v>62369505</v>
      </c>
      <c r="G9712">
        <v>62369588</v>
      </c>
      <c r="H9712">
        <v>62369505</v>
      </c>
      <c r="I9712">
        <v>62369588</v>
      </c>
    </row>
    <row r="9713" spans="1:9" x14ac:dyDescent="0.2">
      <c r="A9713" s="1" t="str">
        <f>"LIMK1"</f>
        <v>LIMK1</v>
      </c>
      <c r="B9713" t="s">
        <v>9</v>
      </c>
      <c r="C9713" t="s">
        <v>33</v>
      </c>
      <c r="D9713" t="s">
        <v>17</v>
      </c>
      <c r="E9713" t="s">
        <v>12</v>
      </c>
      <c r="F9713">
        <v>73498118</v>
      </c>
      <c r="G9713">
        <v>73498177</v>
      </c>
      <c r="H9713">
        <v>73498118</v>
      </c>
      <c r="I9713">
        <v>73498177</v>
      </c>
    </row>
    <row r="9714" spans="1:9" x14ac:dyDescent="0.2">
      <c r="A9714" s="1" t="str">
        <f>"LIMK1"</f>
        <v>LIMK1</v>
      </c>
      <c r="B9714" t="s">
        <v>13</v>
      </c>
      <c r="C9714" t="s">
        <v>33</v>
      </c>
      <c r="D9714" t="s">
        <v>17</v>
      </c>
      <c r="E9714" t="s">
        <v>12</v>
      </c>
      <c r="F9714">
        <v>73507534</v>
      </c>
      <c r="G9714">
        <v>73507583</v>
      </c>
      <c r="H9714">
        <v>73507534</v>
      </c>
      <c r="I9714">
        <v>73507583</v>
      </c>
    </row>
    <row r="9715" spans="1:9" x14ac:dyDescent="0.2">
      <c r="A9715" s="1" t="str">
        <f>"LIMK2"</f>
        <v>LIMK2</v>
      </c>
      <c r="B9715" t="s">
        <v>14</v>
      </c>
      <c r="C9715" t="s">
        <v>21</v>
      </c>
      <c r="D9715" t="s">
        <v>17</v>
      </c>
      <c r="E9715" t="s">
        <v>12</v>
      </c>
      <c r="F9715">
        <v>31608219</v>
      </c>
      <c r="G9715">
        <v>31608303</v>
      </c>
      <c r="H9715">
        <v>31608219</v>
      </c>
      <c r="I9715">
        <v>31608303</v>
      </c>
    </row>
    <row r="9716" spans="1:9" x14ac:dyDescent="0.2">
      <c r="A9716" s="1" t="str">
        <f>"LIMS1"</f>
        <v>LIMS1</v>
      </c>
      <c r="B9716" t="s">
        <v>14</v>
      </c>
      <c r="C9716" t="s">
        <v>26</v>
      </c>
      <c r="D9716" t="s">
        <v>17</v>
      </c>
      <c r="E9716" t="s">
        <v>12</v>
      </c>
      <c r="F9716">
        <v>109150887</v>
      </c>
      <c r="G9716">
        <v>109150933</v>
      </c>
      <c r="H9716">
        <v>109150887</v>
      </c>
      <c r="I9716">
        <v>109150933</v>
      </c>
    </row>
    <row r="9717" spans="1:9" x14ac:dyDescent="0.2">
      <c r="A9717" s="1" t="str">
        <f>"LIMS2"</f>
        <v>LIMS2</v>
      </c>
      <c r="B9717" t="s">
        <v>14</v>
      </c>
      <c r="C9717" t="s">
        <v>26</v>
      </c>
      <c r="D9717" t="s">
        <v>11</v>
      </c>
      <c r="E9717" t="s">
        <v>12</v>
      </c>
      <c r="F9717">
        <v>128432639</v>
      </c>
      <c r="G9717">
        <v>128432726</v>
      </c>
      <c r="H9717">
        <v>128433033</v>
      </c>
      <c r="I9717">
        <v>128433085</v>
      </c>
    </row>
    <row r="9718" spans="1:9" x14ac:dyDescent="0.2">
      <c r="A9718" s="1" t="str">
        <f>"LIMS3"</f>
        <v>LIMS3</v>
      </c>
      <c r="B9718" t="s">
        <v>14</v>
      </c>
      <c r="C9718" t="s">
        <v>26</v>
      </c>
      <c r="D9718" t="s">
        <v>17</v>
      </c>
      <c r="E9718" t="s">
        <v>12</v>
      </c>
      <c r="F9718">
        <v>110656258</v>
      </c>
      <c r="G9718">
        <v>110656268</v>
      </c>
      <c r="H9718">
        <v>110656258</v>
      </c>
      <c r="I9718">
        <v>110656268</v>
      </c>
    </row>
    <row r="9719" spans="1:9" x14ac:dyDescent="0.2">
      <c r="A9719" s="1" t="str">
        <f>"LIMS3L"</f>
        <v>LIMS3L</v>
      </c>
      <c r="B9719" t="s">
        <v>757</v>
      </c>
      <c r="C9719" t="s">
        <v>26</v>
      </c>
      <c r="D9719" t="s">
        <v>11</v>
      </c>
      <c r="E9719" t="s">
        <v>20</v>
      </c>
      <c r="F9719">
        <v>111230392</v>
      </c>
      <c r="G9719">
        <v>111230392</v>
      </c>
      <c r="H9719">
        <v>111230392</v>
      </c>
      <c r="I9719">
        <v>111230392</v>
      </c>
    </row>
    <row r="9720" spans="1:9" x14ac:dyDescent="0.2">
      <c r="A9720" s="1" t="str">
        <f>"LIN28A"</f>
        <v>LIN28A</v>
      </c>
      <c r="B9720" t="s">
        <v>14</v>
      </c>
      <c r="C9720" t="s">
        <v>19</v>
      </c>
      <c r="D9720" t="s">
        <v>17</v>
      </c>
      <c r="E9720" t="s">
        <v>12</v>
      </c>
      <c r="F9720">
        <v>26737292</v>
      </c>
      <c r="G9720">
        <v>26737322</v>
      </c>
      <c r="H9720">
        <v>26737253</v>
      </c>
      <c r="I9720">
        <v>26737268</v>
      </c>
    </row>
    <row r="9721" spans="1:9" x14ac:dyDescent="0.2">
      <c r="A9721" s="1" t="str">
        <f>"LIN28B"</f>
        <v>LIN28B</v>
      </c>
      <c r="B9721" t="s">
        <v>14</v>
      </c>
      <c r="C9721" t="s">
        <v>32</v>
      </c>
      <c r="D9721" t="s">
        <v>17</v>
      </c>
      <c r="E9721" t="s">
        <v>12</v>
      </c>
      <c r="F9721">
        <v>105405517</v>
      </c>
      <c r="G9721">
        <v>105405559</v>
      </c>
      <c r="H9721">
        <v>105404974</v>
      </c>
      <c r="I9721">
        <v>105404989</v>
      </c>
    </row>
    <row r="9722" spans="1:9" x14ac:dyDescent="0.2">
      <c r="A9722" s="1" t="str">
        <f>"LIN37"</f>
        <v>LIN37</v>
      </c>
      <c r="B9722" t="s">
        <v>14</v>
      </c>
      <c r="C9722" t="s">
        <v>10</v>
      </c>
      <c r="D9722" t="s">
        <v>17</v>
      </c>
      <c r="E9722" t="s">
        <v>12</v>
      </c>
      <c r="F9722">
        <v>36239450</v>
      </c>
      <c r="G9722">
        <v>36239484</v>
      </c>
      <c r="H9722">
        <v>36239489</v>
      </c>
      <c r="I9722">
        <v>36239506</v>
      </c>
    </row>
    <row r="9723" spans="1:9" x14ac:dyDescent="0.2">
      <c r="A9723" s="1" t="str">
        <f>"LIN52"</f>
        <v>LIN52</v>
      </c>
      <c r="B9723" t="s">
        <v>14</v>
      </c>
      <c r="C9723" t="s">
        <v>41</v>
      </c>
      <c r="D9723" t="s">
        <v>17</v>
      </c>
      <c r="E9723" t="s">
        <v>12</v>
      </c>
      <c r="F9723">
        <v>74551650</v>
      </c>
      <c r="G9723">
        <v>74551680</v>
      </c>
      <c r="H9723">
        <v>74551486</v>
      </c>
      <c r="I9723">
        <v>74551492</v>
      </c>
    </row>
    <row r="9724" spans="1:9" x14ac:dyDescent="0.2">
      <c r="A9724" s="1" t="str">
        <f>"LIN54"</f>
        <v>LIN54</v>
      </c>
      <c r="B9724" t="s">
        <v>9</v>
      </c>
      <c r="C9724" t="s">
        <v>23</v>
      </c>
      <c r="D9724" t="s">
        <v>11</v>
      </c>
      <c r="E9724" t="s">
        <v>12</v>
      </c>
      <c r="F9724">
        <v>83933999</v>
      </c>
      <c r="G9724">
        <v>83934076</v>
      </c>
      <c r="H9724">
        <v>83933999</v>
      </c>
      <c r="I9724">
        <v>83934076</v>
      </c>
    </row>
    <row r="9725" spans="1:9" x14ac:dyDescent="0.2">
      <c r="A9725" s="1" t="str">
        <f>"LIN54"</f>
        <v>LIN54</v>
      </c>
      <c r="B9725" t="s">
        <v>13</v>
      </c>
      <c r="C9725" t="s">
        <v>23</v>
      </c>
      <c r="D9725" t="s">
        <v>11</v>
      </c>
      <c r="E9725" t="s">
        <v>12</v>
      </c>
      <c r="F9725">
        <v>83931905</v>
      </c>
      <c r="G9725">
        <v>83931993</v>
      </c>
      <c r="H9725">
        <v>83931905</v>
      </c>
      <c r="I9725">
        <v>83931993</v>
      </c>
    </row>
    <row r="9726" spans="1:9" x14ac:dyDescent="0.2">
      <c r="A9726" s="1" t="str">
        <f>"LIN7A"</f>
        <v>LIN7A</v>
      </c>
      <c r="B9726" t="s">
        <v>14</v>
      </c>
      <c r="C9726" t="s">
        <v>16</v>
      </c>
      <c r="D9726" t="s">
        <v>11</v>
      </c>
      <c r="E9726" t="s">
        <v>12</v>
      </c>
      <c r="F9726">
        <v>81331460</v>
      </c>
      <c r="G9726">
        <v>81331505</v>
      </c>
      <c r="H9726">
        <v>81331697</v>
      </c>
      <c r="I9726">
        <v>81331733</v>
      </c>
    </row>
    <row r="9727" spans="1:9" x14ac:dyDescent="0.2">
      <c r="A9727" s="1" t="str">
        <f>"LIN7B"</f>
        <v>LIN7B</v>
      </c>
      <c r="B9727" t="s">
        <v>14</v>
      </c>
      <c r="C9727" t="s">
        <v>10</v>
      </c>
      <c r="D9727" t="s">
        <v>17</v>
      </c>
      <c r="E9727" t="s">
        <v>12</v>
      </c>
      <c r="F9727">
        <v>49617609</v>
      </c>
      <c r="G9727">
        <v>49617658</v>
      </c>
      <c r="H9727">
        <v>49617599</v>
      </c>
      <c r="I9727">
        <v>49617607</v>
      </c>
    </row>
    <row r="9728" spans="1:9" x14ac:dyDescent="0.2">
      <c r="A9728" s="1" t="str">
        <f>"LIN7C"</f>
        <v>LIN7C</v>
      </c>
      <c r="B9728" t="s">
        <v>14</v>
      </c>
      <c r="C9728" t="s">
        <v>27</v>
      </c>
      <c r="D9728" t="s">
        <v>11</v>
      </c>
      <c r="E9728" t="s">
        <v>12</v>
      </c>
      <c r="F9728">
        <v>27528301</v>
      </c>
      <c r="G9728">
        <v>27528336</v>
      </c>
      <c r="H9728">
        <v>27528301</v>
      </c>
      <c r="I9728">
        <v>27528336</v>
      </c>
    </row>
    <row r="9729" spans="1:9" x14ac:dyDescent="0.2">
      <c r="A9729" s="1" t="str">
        <f>"LIN9"</f>
        <v>LIN9</v>
      </c>
      <c r="B9729" t="s">
        <v>14</v>
      </c>
      <c r="C9729" t="s">
        <v>19</v>
      </c>
      <c r="D9729" t="s">
        <v>11</v>
      </c>
      <c r="E9729" t="s">
        <v>12</v>
      </c>
      <c r="F9729">
        <v>226496833</v>
      </c>
      <c r="G9729">
        <v>226496884</v>
      </c>
      <c r="H9729">
        <v>226497417</v>
      </c>
      <c r="I9729">
        <v>226497443</v>
      </c>
    </row>
    <row r="9730" spans="1:9" x14ac:dyDescent="0.2">
      <c r="A9730" s="1" t="str">
        <f>"LINC00594"</f>
        <v>LINC00594</v>
      </c>
      <c r="B9730" t="s">
        <v>758</v>
      </c>
      <c r="C9730" t="s">
        <v>25</v>
      </c>
      <c r="D9730" t="s">
        <v>17</v>
      </c>
      <c r="E9730" t="s">
        <v>20</v>
      </c>
      <c r="F9730">
        <v>40664025</v>
      </c>
      <c r="G9730">
        <v>40664025</v>
      </c>
      <c r="H9730">
        <v>40664025</v>
      </c>
      <c r="I9730">
        <v>40664025</v>
      </c>
    </row>
    <row r="9731" spans="1:9" x14ac:dyDescent="0.2">
      <c r="A9731" s="1" t="str">
        <f>"LINGO1"</f>
        <v>LINGO1</v>
      </c>
      <c r="B9731" t="s">
        <v>14</v>
      </c>
      <c r="C9731" t="s">
        <v>25</v>
      </c>
      <c r="D9731" t="s">
        <v>11</v>
      </c>
      <c r="E9731" t="s">
        <v>12</v>
      </c>
      <c r="F9731">
        <v>77925211</v>
      </c>
      <c r="G9731">
        <v>77925290</v>
      </c>
      <c r="H9731">
        <v>77925211</v>
      </c>
      <c r="I9731">
        <v>77925290</v>
      </c>
    </row>
    <row r="9732" spans="1:9" x14ac:dyDescent="0.2">
      <c r="A9732" s="1" t="str">
        <f>"LINGO2"</f>
        <v>LINGO2</v>
      </c>
      <c r="B9732" t="s">
        <v>759</v>
      </c>
      <c r="C9732" t="s">
        <v>24</v>
      </c>
      <c r="D9732" t="s">
        <v>11</v>
      </c>
      <c r="E9732" t="s">
        <v>20</v>
      </c>
      <c r="F9732">
        <v>28026317</v>
      </c>
      <c r="G9732">
        <v>28026317</v>
      </c>
      <c r="H9732">
        <v>28026317</v>
      </c>
      <c r="I9732">
        <v>28026317</v>
      </c>
    </row>
    <row r="9733" spans="1:9" x14ac:dyDescent="0.2">
      <c r="A9733" s="1" t="str">
        <f>"LINGO2"</f>
        <v>LINGO2</v>
      </c>
      <c r="B9733" t="s">
        <v>760</v>
      </c>
      <c r="C9733" t="s">
        <v>24</v>
      </c>
      <c r="D9733" t="s">
        <v>11</v>
      </c>
      <c r="E9733" t="s">
        <v>20</v>
      </c>
      <c r="F9733">
        <v>28670282</v>
      </c>
      <c r="G9733">
        <v>28670282</v>
      </c>
      <c r="H9733">
        <v>28670282</v>
      </c>
      <c r="I9733">
        <v>28670282</v>
      </c>
    </row>
    <row r="9734" spans="1:9" x14ac:dyDescent="0.2">
      <c r="A9734" s="1" t="str">
        <f>"LINGO3"</f>
        <v>LINGO3</v>
      </c>
      <c r="B9734" t="s">
        <v>14</v>
      </c>
      <c r="C9734" t="s">
        <v>10</v>
      </c>
      <c r="D9734" t="s">
        <v>11</v>
      </c>
      <c r="E9734" t="s">
        <v>12</v>
      </c>
      <c r="F9734">
        <v>2308127</v>
      </c>
      <c r="G9734">
        <v>2308159</v>
      </c>
      <c r="H9734">
        <v>2308191</v>
      </c>
      <c r="I9734">
        <v>2308203</v>
      </c>
    </row>
    <row r="9735" spans="1:9" x14ac:dyDescent="0.2">
      <c r="A9735" s="1" t="str">
        <f>"LINGO4"</f>
        <v>LINGO4</v>
      </c>
      <c r="B9735" t="s">
        <v>14</v>
      </c>
      <c r="C9735" t="s">
        <v>19</v>
      </c>
      <c r="D9735" t="s">
        <v>11</v>
      </c>
      <c r="E9735" t="s">
        <v>12</v>
      </c>
      <c r="F9735">
        <v>151777891</v>
      </c>
      <c r="G9735">
        <v>151777897</v>
      </c>
      <c r="H9735">
        <v>151777891</v>
      </c>
      <c r="I9735">
        <v>151777897</v>
      </c>
    </row>
    <row r="9736" spans="1:9" x14ac:dyDescent="0.2">
      <c r="A9736" s="1" t="str">
        <f>"LINS"</f>
        <v>LINS</v>
      </c>
      <c r="B9736" t="s">
        <v>14</v>
      </c>
      <c r="C9736" t="s">
        <v>25</v>
      </c>
      <c r="D9736" t="s">
        <v>11</v>
      </c>
      <c r="E9736" t="s">
        <v>12</v>
      </c>
      <c r="F9736">
        <v>101142365</v>
      </c>
      <c r="G9736">
        <v>101142395</v>
      </c>
      <c r="H9736">
        <v>101142401</v>
      </c>
      <c r="I9736">
        <v>101142420</v>
      </c>
    </row>
    <row r="9737" spans="1:9" x14ac:dyDescent="0.2">
      <c r="A9737" s="1" t="str">
        <f>"LIPA"</f>
        <v>LIPA</v>
      </c>
      <c r="B9737" t="s">
        <v>14</v>
      </c>
      <c r="C9737" t="s">
        <v>15</v>
      </c>
      <c r="D9737" t="s">
        <v>11</v>
      </c>
      <c r="E9737" t="s">
        <v>12</v>
      </c>
      <c r="F9737">
        <v>91011548</v>
      </c>
      <c r="G9737">
        <v>91011636</v>
      </c>
      <c r="H9737">
        <v>91011525</v>
      </c>
      <c r="I9737">
        <v>91011541</v>
      </c>
    </row>
    <row r="9738" spans="1:9" x14ac:dyDescent="0.2">
      <c r="A9738" s="1" t="str">
        <f>"LIPC"</f>
        <v>LIPC</v>
      </c>
      <c r="B9738" t="s">
        <v>9</v>
      </c>
      <c r="C9738" t="s">
        <v>25</v>
      </c>
      <c r="D9738" t="s">
        <v>17</v>
      </c>
      <c r="E9738" t="s">
        <v>12</v>
      </c>
      <c r="F9738">
        <v>58702742</v>
      </c>
      <c r="G9738">
        <v>58702777</v>
      </c>
      <c r="H9738">
        <v>58702742</v>
      </c>
      <c r="I9738">
        <v>58702777</v>
      </c>
    </row>
    <row r="9739" spans="1:9" x14ac:dyDescent="0.2">
      <c r="A9739" s="1" t="str">
        <f>"LIPC"</f>
        <v>LIPC</v>
      </c>
      <c r="B9739" t="s">
        <v>13</v>
      </c>
      <c r="C9739" t="s">
        <v>25</v>
      </c>
      <c r="D9739" t="s">
        <v>17</v>
      </c>
      <c r="E9739" t="s">
        <v>12</v>
      </c>
      <c r="F9739">
        <v>58724184</v>
      </c>
      <c r="G9739">
        <v>58724197</v>
      </c>
      <c r="H9739">
        <v>58724184</v>
      </c>
      <c r="I9739">
        <v>58724197</v>
      </c>
    </row>
    <row r="9740" spans="1:9" x14ac:dyDescent="0.2">
      <c r="A9740" s="1" t="str">
        <f>"LIPE"</f>
        <v>LIPE</v>
      </c>
      <c r="B9740" t="s">
        <v>9</v>
      </c>
      <c r="C9740" t="s">
        <v>10</v>
      </c>
      <c r="D9740" t="s">
        <v>11</v>
      </c>
      <c r="E9740" t="s">
        <v>12</v>
      </c>
      <c r="F9740">
        <v>42927800</v>
      </c>
      <c r="G9740">
        <v>42927840</v>
      </c>
      <c r="H9740">
        <v>42927800</v>
      </c>
      <c r="I9740">
        <v>42927840</v>
      </c>
    </row>
    <row r="9741" spans="1:9" x14ac:dyDescent="0.2">
      <c r="A9741" s="1" t="str">
        <f>"LIPE"</f>
        <v>LIPE</v>
      </c>
      <c r="B9741" t="s">
        <v>13</v>
      </c>
      <c r="C9741" t="s">
        <v>10</v>
      </c>
      <c r="D9741" t="s">
        <v>11</v>
      </c>
      <c r="E9741" t="s">
        <v>12</v>
      </c>
      <c r="F9741">
        <v>42931534</v>
      </c>
      <c r="G9741">
        <v>42931545</v>
      </c>
      <c r="H9741">
        <v>42931534</v>
      </c>
      <c r="I9741">
        <v>42931545</v>
      </c>
    </row>
    <row r="9742" spans="1:9" x14ac:dyDescent="0.2">
      <c r="A9742" s="1" t="str">
        <f>"LIPF"</f>
        <v>LIPF</v>
      </c>
      <c r="B9742" t="s">
        <v>14</v>
      </c>
      <c r="C9742" t="s">
        <v>15</v>
      </c>
      <c r="D9742" t="s">
        <v>17</v>
      </c>
      <c r="E9742" t="s">
        <v>12</v>
      </c>
      <c r="F9742">
        <v>90424196</v>
      </c>
      <c r="G9742">
        <v>90424203</v>
      </c>
      <c r="H9742">
        <v>90424196</v>
      </c>
      <c r="I9742">
        <v>90424203</v>
      </c>
    </row>
    <row r="9743" spans="1:9" x14ac:dyDescent="0.2">
      <c r="A9743" s="1" t="str">
        <f>"LIPG"</f>
        <v>LIPG</v>
      </c>
      <c r="B9743" t="s">
        <v>14</v>
      </c>
      <c r="C9743" t="s">
        <v>43</v>
      </c>
      <c r="D9743" t="s">
        <v>17</v>
      </c>
      <c r="E9743" t="s">
        <v>12</v>
      </c>
      <c r="F9743">
        <v>47088419</v>
      </c>
      <c r="G9743">
        <v>47088437</v>
      </c>
      <c r="H9743">
        <v>47088419</v>
      </c>
      <c r="I9743">
        <v>47088437</v>
      </c>
    </row>
    <row r="9744" spans="1:9" x14ac:dyDescent="0.2">
      <c r="A9744" s="1" t="str">
        <f>"LIPH"</f>
        <v>LIPH</v>
      </c>
      <c r="B9744" t="s">
        <v>14</v>
      </c>
      <c r="C9744" t="s">
        <v>22</v>
      </c>
      <c r="D9744" t="s">
        <v>11</v>
      </c>
      <c r="E9744" t="s">
        <v>12</v>
      </c>
      <c r="F9744">
        <v>185270342</v>
      </c>
      <c r="G9744">
        <v>185270382</v>
      </c>
      <c r="H9744">
        <v>185270383</v>
      </c>
      <c r="I9744">
        <v>185270406</v>
      </c>
    </row>
    <row r="9745" spans="1:9" x14ac:dyDescent="0.2">
      <c r="A9745" s="1" t="str">
        <f>"LIPI"</f>
        <v>LIPI</v>
      </c>
      <c r="B9745" t="s">
        <v>14</v>
      </c>
      <c r="C9745" t="s">
        <v>42</v>
      </c>
      <c r="D9745" t="s">
        <v>11</v>
      </c>
      <c r="E9745" t="s">
        <v>12</v>
      </c>
      <c r="F9745">
        <v>15583237</v>
      </c>
      <c r="G9745">
        <v>15583266</v>
      </c>
      <c r="H9745">
        <v>15583269</v>
      </c>
      <c r="I9745">
        <v>15583281</v>
      </c>
    </row>
    <row r="9746" spans="1:9" x14ac:dyDescent="0.2">
      <c r="A9746" s="1" t="str">
        <f>"LIPJ"</f>
        <v>LIPJ</v>
      </c>
      <c r="B9746" t="s">
        <v>14</v>
      </c>
      <c r="C9746" t="s">
        <v>15</v>
      </c>
      <c r="D9746" t="s">
        <v>17</v>
      </c>
      <c r="E9746" t="s">
        <v>12</v>
      </c>
      <c r="F9746">
        <v>90346506</v>
      </c>
      <c r="G9746">
        <v>90346543</v>
      </c>
      <c r="H9746">
        <v>90346506</v>
      </c>
      <c r="I9746">
        <v>90346543</v>
      </c>
    </row>
    <row r="9747" spans="1:9" x14ac:dyDescent="0.2">
      <c r="A9747" s="1" t="str">
        <f>"LIPK"</f>
        <v>LIPK</v>
      </c>
      <c r="B9747" t="s">
        <v>761</v>
      </c>
      <c r="C9747" t="s">
        <v>15</v>
      </c>
      <c r="D9747" t="s">
        <v>17</v>
      </c>
      <c r="E9747" t="s">
        <v>20</v>
      </c>
      <c r="F9747">
        <v>90484300</v>
      </c>
      <c r="G9747">
        <v>90484300</v>
      </c>
      <c r="H9747">
        <v>90484300</v>
      </c>
      <c r="I9747">
        <v>90484300</v>
      </c>
    </row>
    <row r="9748" spans="1:9" x14ac:dyDescent="0.2">
      <c r="A9748" s="1" t="str">
        <f>"LIPM"</f>
        <v>LIPM</v>
      </c>
      <c r="B9748" t="s">
        <v>14</v>
      </c>
      <c r="C9748" t="s">
        <v>15</v>
      </c>
      <c r="D9748" t="s">
        <v>17</v>
      </c>
      <c r="E9748" t="s">
        <v>12</v>
      </c>
      <c r="F9748">
        <v>90562519</v>
      </c>
      <c r="G9748">
        <v>90562534</v>
      </c>
      <c r="H9748">
        <v>90562519</v>
      </c>
      <c r="I9748">
        <v>90562534</v>
      </c>
    </row>
    <row r="9749" spans="1:9" x14ac:dyDescent="0.2">
      <c r="A9749" s="1" t="str">
        <f>"LIPN"</f>
        <v>LIPN</v>
      </c>
      <c r="B9749" t="s">
        <v>14</v>
      </c>
      <c r="C9749" t="s">
        <v>15</v>
      </c>
      <c r="D9749" t="s">
        <v>17</v>
      </c>
      <c r="E9749" t="s">
        <v>12</v>
      </c>
      <c r="F9749">
        <v>90519754</v>
      </c>
      <c r="G9749">
        <v>90519788</v>
      </c>
      <c r="H9749">
        <v>90519754</v>
      </c>
      <c r="I9749">
        <v>90519788</v>
      </c>
    </row>
    <row r="9750" spans="1:9" x14ac:dyDescent="0.2">
      <c r="A9750" s="1" t="str">
        <f>"LIPT1"</f>
        <v>LIPT1</v>
      </c>
      <c r="B9750" t="s">
        <v>14</v>
      </c>
      <c r="C9750" t="s">
        <v>26</v>
      </c>
      <c r="D9750" t="s">
        <v>17</v>
      </c>
      <c r="E9750" t="s">
        <v>12</v>
      </c>
      <c r="F9750">
        <v>99771423</v>
      </c>
      <c r="G9750">
        <v>99771498</v>
      </c>
      <c r="H9750">
        <v>99771527</v>
      </c>
      <c r="I9750">
        <v>99771552</v>
      </c>
    </row>
    <row r="9751" spans="1:9" x14ac:dyDescent="0.2">
      <c r="A9751" s="1" t="str">
        <f>"LIPT2"</f>
        <v>LIPT2</v>
      </c>
      <c r="B9751" t="s">
        <v>14</v>
      </c>
      <c r="C9751" t="s">
        <v>27</v>
      </c>
      <c r="D9751" t="s">
        <v>11</v>
      </c>
      <c r="E9751" t="s">
        <v>12</v>
      </c>
      <c r="F9751">
        <v>74204742</v>
      </c>
      <c r="G9751">
        <v>74204775</v>
      </c>
      <c r="H9751">
        <v>74204720</v>
      </c>
      <c r="I9751">
        <v>74204739</v>
      </c>
    </row>
    <row r="9752" spans="1:9" x14ac:dyDescent="0.2">
      <c r="A9752" s="1" t="str">
        <f>"LITAF"</f>
        <v>LITAF</v>
      </c>
      <c r="B9752" t="s">
        <v>14</v>
      </c>
      <c r="C9752" t="s">
        <v>31</v>
      </c>
      <c r="D9752" t="s">
        <v>11</v>
      </c>
      <c r="E9752" t="s">
        <v>12</v>
      </c>
      <c r="F9752">
        <v>11680767</v>
      </c>
      <c r="G9752">
        <v>11680787</v>
      </c>
      <c r="H9752">
        <v>11680791</v>
      </c>
      <c r="I9752">
        <v>11680813</v>
      </c>
    </row>
    <row r="9753" spans="1:9" x14ac:dyDescent="0.2">
      <c r="A9753" s="1" t="str">
        <f>"LIX1"</f>
        <v>LIX1</v>
      </c>
      <c r="B9753" t="s">
        <v>14</v>
      </c>
      <c r="C9753" t="s">
        <v>46</v>
      </c>
      <c r="D9753" t="s">
        <v>11</v>
      </c>
      <c r="E9753" t="s">
        <v>12</v>
      </c>
      <c r="F9753">
        <v>96478466</v>
      </c>
      <c r="G9753">
        <v>96478515</v>
      </c>
      <c r="H9753">
        <v>96478466</v>
      </c>
      <c r="I9753">
        <v>96478515</v>
      </c>
    </row>
    <row r="9754" spans="1:9" x14ac:dyDescent="0.2">
      <c r="A9754" s="1" t="str">
        <f>"LIX1L"</f>
        <v>LIX1L</v>
      </c>
      <c r="B9754" t="s">
        <v>14</v>
      </c>
      <c r="C9754" t="s">
        <v>19</v>
      </c>
      <c r="D9754" t="s">
        <v>17</v>
      </c>
      <c r="E9754" t="s">
        <v>12</v>
      </c>
      <c r="F9754">
        <v>145477060</v>
      </c>
      <c r="G9754">
        <v>145477116</v>
      </c>
      <c r="H9754">
        <v>145477045</v>
      </c>
      <c r="I9754">
        <v>145477059</v>
      </c>
    </row>
    <row r="9755" spans="1:9" x14ac:dyDescent="0.2">
      <c r="A9755" s="1" t="str">
        <f>"LLGL1"</f>
        <v>LLGL1</v>
      </c>
      <c r="B9755" t="s">
        <v>14</v>
      </c>
      <c r="C9755" t="s">
        <v>28</v>
      </c>
      <c r="D9755" t="s">
        <v>17</v>
      </c>
      <c r="E9755" t="s">
        <v>12</v>
      </c>
      <c r="F9755">
        <v>18128896</v>
      </c>
      <c r="G9755">
        <v>18128983</v>
      </c>
      <c r="H9755">
        <v>18128986</v>
      </c>
      <c r="I9755">
        <v>18129014</v>
      </c>
    </row>
    <row r="9756" spans="1:9" x14ac:dyDescent="0.2">
      <c r="A9756" s="1" t="str">
        <f>"LLGL2"</f>
        <v>LLGL2</v>
      </c>
      <c r="B9756" t="s">
        <v>9</v>
      </c>
      <c r="C9756" t="s">
        <v>28</v>
      </c>
      <c r="D9756" t="s">
        <v>17</v>
      </c>
      <c r="E9756" t="s">
        <v>12</v>
      </c>
      <c r="F9756">
        <v>73521763</v>
      </c>
      <c r="G9756">
        <v>73521831</v>
      </c>
      <c r="H9756">
        <v>73521763</v>
      </c>
      <c r="I9756">
        <v>73521831</v>
      </c>
    </row>
    <row r="9757" spans="1:9" x14ac:dyDescent="0.2">
      <c r="A9757" s="1" t="str">
        <f>"LLGL2"</f>
        <v>LLGL2</v>
      </c>
      <c r="B9757" t="s">
        <v>13</v>
      </c>
      <c r="C9757" t="s">
        <v>28</v>
      </c>
      <c r="D9757" t="s">
        <v>17</v>
      </c>
      <c r="E9757" t="s">
        <v>12</v>
      </c>
      <c r="F9757">
        <v>73553913</v>
      </c>
      <c r="G9757">
        <v>73553927</v>
      </c>
      <c r="H9757">
        <v>73553913</v>
      </c>
      <c r="I9757">
        <v>73553927</v>
      </c>
    </row>
    <row r="9758" spans="1:9" x14ac:dyDescent="0.2">
      <c r="A9758" s="1" t="str">
        <f>"LLPH"</f>
        <v>LLPH</v>
      </c>
      <c r="B9758" t="s">
        <v>14</v>
      </c>
      <c r="C9758" t="s">
        <v>16</v>
      </c>
      <c r="D9758" t="s">
        <v>11</v>
      </c>
      <c r="E9758" t="s">
        <v>12</v>
      </c>
      <c r="F9758">
        <v>66524517</v>
      </c>
      <c r="G9758">
        <v>66524541</v>
      </c>
      <c r="H9758">
        <v>66524517</v>
      </c>
      <c r="I9758">
        <v>66524541</v>
      </c>
    </row>
    <row r="9759" spans="1:9" x14ac:dyDescent="0.2">
      <c r="A9759" s="1" t="str">
        <f>"LMAN1"</f>
        <v>LMAN1</v>
      </c>
      <c r="B9759" t="s">
        <v>14</v>
      </c>
      <c r="C9759" t="s">
        <v>43</v>
      </c>
      <c r="D9759" t="s">
        <v>11</v>
      </c>
      <c r="E9759" t="s">
        <v>12</v>
      </c>
      <c r="F9759">
        <v>57026477</v>
      </c>
      <c r="G9759">
        <v>57026508</v>
      </c>
      <c r="H9759">
        <v>57026634</v>
      </c>
      <c r="I9759">
        <v>57026662</v>
      </c>
    </row>
    <row r="9760" spans="1:9" x14ac:dyDescent="0.2">
      <c r="A9760" s="1" t="str">
        <f>"LMAN1L"</f>
        <v>LMAN1L</v>
      </c>
      <c r="B9760" t="s">
        <v>14</v>
      </c>
      <c r="C9760" t="s">
        <v>25</v>
      </c>
      <c r="D9760" t="s">
        <v>17</v>
      </c>
      <c r="E9760" t="s">
        <v>12</v>
      </c>
      <c r="F9760">
        <v>75105170</v>
      </c>
      <c r="G9760">
        <v>75105192</v>
      </c>
      <c r="H9760">
        <v>75105148</v>
      </c>
      <c r="I9760">
        <v>75105163</v>
      </c>
    </row>
    <row r="9761" spans="1:9" x14ac:dyDescent="0.2">
      <c r="A9761" s="1" t="str">
        <f>"LMAN2"</f>
        <v>LMAN2</v>
      </c>
      <c r="B9761" t="s">
        <v>14</v>
      </c>
      <c r="C9761" t="s">
        <v>46</v>
      </c>
      <c r="D9761" t="s">
        <v>11</v>
      </c>
      <c r="E9761" t="s">
        <v>12</v>
      </c>
      <c r="F9761">
        <v>176778643</v>
      </c>
      <c r="G9761">
        <v>176778684</v>
      </c>
      <c r="H9761">
        <v>176778803</v>
      </c>
      <c r="I9761">
        <v>176778862</v>
      </c>
    </row>
    <row r="9762" spans="1:9" x14ac:dyDescent="0.2">
      <c r="A9762" s="1" t="str">
        <f>"LMAN2L"</f>
        <v>LMAN2L</v>
      </c>
      <c r="B9762" t="s">
        <v>14</v>
      </c>
      <c r="C9762" t="s">
        <v>26</v>
      </c>
      <c r="D9762" t="s">
        <v>11</v>
      </c>
      <c r="E9762" t="s">
        <v>12</v>
      </c>
      <c r="F9762">
        <v>97405775</v>
      </c>
      <c r="G9762">
        <v>97405816</v>
      </c>
      <c r="H9762">
        <v>97405775</v>
      </c>
      <c r="I9762">
        <v>97405816</v>
      </c>
    </row>
    <row r="9763" spans="1:9" x14ac:dyDescent="0.2">
      <c r="A9763" s="1" t="str">
        <f>"LMBR1"</f>
        <v>LMBR1</v>
      </c>
      <c r="B9763" t="s">
        <v>14</v>
      </c>
      <c r="C9763" t="s">
        <v>33</v>
      </c>
      <c r="D9763" t="s">
        <v>11</v>
      </c>
      <c r="E9763" t="s">
        <v>12</v>
      </c>
      <c r="F9763">
        <v>156685844</v>
      </c>
      <c r="G9763">
        <v>156685884</v>
      </c>
      <c r="H9763">
        <v>156685890</v>
      </c>
      <c r="I9763">
        <v>156685903</v>
      </c>
    </row>
    <row r="9764" spans="1:9" x14ac:dyDescent="0.2">
      <c r="A9764" s="1" t="str">
        <f>"LMBR1L"</f>
        <v>LMBR1L</v>
      </c>
      <c r="B9764" t="s">
        <v>14</v>
      </c>
      <c r="C9764" t="s">
        <v>16</v>
      </c>
      <c r="D9764" t="s">
        <v>11</v>
      </c>
      <c r="E9764" t="s">
        <v>12</v>
      </c>
      <c r="F9764">
        <v>49504449</v>
      </c>
      <c r="G9764">
        <v>49504504</v>
      </c>
      <c r="H9764">
        <v>49504623</v>
      </c>
      <c r="I9764">
        <v>49504639</v>
      </c>
    </row>
    <row r="9765" spans="1:9" x14ac:dyDescent="0.2">
      <c r="A9765" s="1" t="str">
        <f>"LMBRD1"</f>
        <v>LMBRD1</v>
      </c>
      <c r="B9765" t="s">
        <v>14</v>
      </c>
      <c r="C9765" t="s">
        <v>32</v>
      </c>
      <c r="D9765" t="s">
        <v>11</v>
      </c>
      <c r="E9765" t="s">
        <v>12</v>
      </c>
      <c r="F9765">
        <v>70506863</v>
      </c>
      <c r="G9765">
        <v>70506908</v>
      </c>
      <c r="H9765">
        <v>70506762</v>
      </c>
      <c r="I9765">
        <v>70506829</v>
      </c>
    </row>
    <row r="9766" spans="1:9" x14ac:dyDescent="0.2">
      <c r="A9766" s="1" t="str">
        <f>"LMBRD2"</f>
        <v>LMBRD2</v>
      </c>
      <c r="B9766" t="s">
        <v>14</v>
      </c>
      <c r="C9766" t="s">
        <v>46</v>
      </c>
      <c r="D9766" t="s">
        <v>11</v>
      </c>
      <c r="E9766" t="s">
        <v>12</v>
      </c>
      <c r="F9766">
        <v>36151978</v>
      </c>
      <c r="G9766">
        <v>36152022</v>
      </c>
      <c r="H9766">
        <v>36151937</v>
      </c>
      <c r="I9766">
        <v>36151954</v>
      </c>
    </row>
    <row r="9767" spans="1:9" x14ac:dyDescent="0.2">
      <c r="A9767" s="1" t="str">
        <f>"LMCD1"</f>
        <v>LMCD1</v>
      </c>
      <c r="B9767" t="s">
        <v>14</v>
      </c>
      <c r="C9767" t="s">
        <v>22</v>
      </c>
      <c r="D9767" t="s">
        <v>17</v>
      </c>
      <c r="E9767" t="s">
        <v>12</v>
      </c>
      <c r="F9767">
        <v>8543500</v>
      </c>
      <c r="G9767">
        <v>8543518</v>
      </c>
      <c r="H9767">
        <v>8543533</v>
      </c>
      <c r="I9767">
        <v>8543553</v>
      </c>
    </row>
    <row r="9768" spans="1:9" x14ac:dyDescent="0.2">
      <c r="A9768" s="1" t="str">
        <f>"LMF1"</f>
        <v>LMF1</v>
      </c>
      <c r="B9768" t="s">
        <v>9</v>
      </c>
      <c r="C9768" t="s">
        <v>31</v>
      </c>
      <c r="D9768" t="s">
        <v>11</v>
      </c>
      <c r="E9768" t="s">
        <v>12</v>
      </c>
      <c r="F9768">
        <v>1031520</v>
      </c>
      <c r="G9768">
        <v>1031620</v>
      </c>
      <c r="H9768">
        <v>1031520</v>
      </c>
      <c r="I9768">
        <v>1031620</v>
      </c>
    </row>
    <row r="9769" spans="1:9" x14ac:dyDescent="0.2">
      <c r="A9769" s="1" t="str">
        <f>"LMF1"</f>
        <v>LMF1</v>
      </c>
      <c r="B9769" t="s">
        <v>13</v>
      </c>
      <c r="C9769" t="s">
        <v>31</v>
      </c>
      <c r="D9769" t="s">
        <v>11</v>
      </c>
      <c r="E9769" t="s">
        <v>12</v>
      </c>
      <c r="F9769">
        <v>1020954</v>
      </c>
      <c r="G9769">
        <v>1020991</v>
      </c>
      <c r="H9769">
        <v>1020954</v>
      </c>
      <c r="I9769">
        <v>1020991</v>
      </c>
    </row>
    <row r="9770" spans="1:9" x14ac:dyDescent="0.2">
      <c r="A9770" s="1" t="str">
        <f>"LMF2"</f>
        <v>LMF2</v>
      </c>
      <c r="B9770" t="s">
        <v>9</v>
      </c>
      <c r="C9770" t="s">
        <v>21</v>
      </c>
      <c r="D9770" t="s">
        <v>11</v>
      </c>
      <c r="E9770" t="s">
        <v>12</v>
      </c>
      <c r="F9770">
        <v>50946114</v>
      </c>
      <c r="G9770">
        <v>50946140</v>
      </c>
      <c r="H9770">
        <v>50946114</v>
      </c>
      <c r="I9770">
        <v>50946140</v>
      </c>
    </row>
    <row r="9771" spans="1:9" x14ac:dyDescent="0.2">
      <c r="A9771" s="1" t="str">
        <f>"LMF2"</f>
        <v>LMF2</v>
      </c>
      <c r="B9771" t="s">
        <v>13</v>
      </c>
      <c r="C9771" t="s">
        <v>21</v>
      </c>
      <c r="D9771" t="s">
        <v>11</v>
      </c>
      <c r="E9771" t="s">
        <v>12</v>
      </c>
      <c r="F9771">
        <v>50944641</v>
      </c>
      <c r="G9771">
        <v>50944657</v>
      </c>
      <c r="H9771">
        <v>50944641</v>
      </c>
      <c r="I9771">
        <v>50944657</v>
      </c>
    </row>
    <row r="9772" spans="1:9" x14ac:dyDescent="0.2">
      <c r="A9772" s="1" t="str">
        <f>"LMLN"</f>
        <v>LMLN</v>
      </c>
      <c r="B9772" t="s">
        <v>14</v>
      </c>
      <c r="C9772" t="s">
        <v>22</v>
      </c>
      <c r="D9772" t="s">
        <v>17</v>
      </c>
      <c r="E9772" t="s">
        <v>12</v>
      </c>
      <c r="F9772">
        <v>197687081</v>
      </c>
      <c r="G9772">
        <v>197687120</v>
      </c>
      <c r="H9772">
        <v>197687073</v>
      </c>
      <c r="I9772">
        <v>197687076</v>
      </c>
    </row>
    <row r="9773" spans="1:9" x14ac:dyDescent="0.2">
      <c r="A9773" s="1" t="str">
        <f>"LMNA"</f>
        <v>LMNA</v>
      </c>
      <c r="B9773" t="s">
        <v>14</v>
      </c>
      <c r="C9773" t="s">
        <v>19</v>
      </c>
      <c r="D9773" t="s">
        <v>17</v>
      </c>
      <c r="E9773" t="s">
        <v>12</v>
      </c>
      <c r="F9773">
        <v>156084491</v>
      </c>
      <c r="G9773">
        <v>156084510</v>
      </c>
      <c r="H9773">
        <v>156084564</v>
      </c>
      <c r="I9773">
        <v>156084580</v>
      </c>
    </row>
    <row r="9774" spans="1:9" x14ac:dyDescent="0.2">
      <c r="A9774" s="1" t="str">
        <f>"LMNB1"</f>
        <v>LMNB1</v>
      </c>
      <c r="B9774" t="s">
        <v>14</v>
      </c>
      <c r="C9774" t="s">
        <v>46</v>
      </c>
      <c r="D9774" t="s">
        <v>17</v>
      </c>
      <c r="E9774" t="s">
        <v>12</v>
      </c>
      <c r="F9774">
        <v>126112794</v>
      </c>
      <c r="G9774">
        <v>126112928</v>
      </c>
      <c r="H9774">
        <v>126112794</v>
      </c>
      <c r="I9774">
        <v>126112928</v>
      </c>
    </row>
    <row r="9775" spans="1:9" x14ac:dyDescent="0.2">
      <c r="A9775" s="1" t="str">
        <f>"LMNB2"</f>
        <v>LMNB2</v>
      </c>
      <c r="B9775" t="s">
        <v>14</v>
      </c>
      <c r="C9775" t="s">
        <v>10</v>
      </c>
      <c r="D9775" t="s">
        <v>11</v>
      </c>
      <c r="E9775" t="s">
        <v>12</v>
      </c>
      <c r="F9775">
        <v>2456922</v>
      </c>
      <c r="G9775">
        <v>2456983</v>
      </c>
      <c r="H9775">
        <v>2456900</v>
      </c>
      <c r="I9775">
        <v>2456914</v>
      </c>
    </row>
    <row r="9776" spans="1:9" x14ac:dyDescent="0.2">
      <c r="A9776" s="1" t="str">
        <f>"LMO1"</f>
        <v>LMO1</v>
      </c>
      <c r="B9776" t="s">
        <v>9</v>
      </c>
      <c r="C9776" t="s">
        <v>27</v>
      </c>
      <c r="D9776" t="s">
        <v>11</v>
      </c>
      <c r="E9776" t="s">
        <v>12</v>
      </c>
      <c r="F9776">
        <v>8290319</v>
      </c>
      <c r="G9776">
        <v>8290340</v>
      </c>
      <c r="H9776">
        <v>8290319</v>
      </c>
      <c r="I9776">
        <v>8290340</v>
      </c>
    </row>
    <row r="9777" spans="1:9" x14ac:dyDescent="0.2">
      <c r="A9777" s="1" t="str">
        <f>"LMO1"</f>
        <v>LMO1</v>
      </c>
      <c r="B9777" t="s">
        <v>13</v>
      </c>
      <c r="C9777" t="s">
        <v>27</v>
      </c>
      <c r="D9777" t="s">
        <v>11</v>
      </c>
      <c r="E9777" t="s">
        <v>12</v>
      </c>
      <c r="F9777">
        <v>8285422</v>
      </c>
      <c r="G9777">
        <v>8285426</v>
      </c>
      <c r="H9777">
        <v>8285422</v>
      </c>
      <c r="I9777">
        <v>8285426</v>
      </c>
    </row>
    <row r="9778" spans="1:9" x14ac:dyDescent="0.2">
      <c r="A9778" s="1" t="str">
        <f>"LMO2"</f>
        <v>LMO2</v>
      </c>
      <c r="B9778" t="s">
        <v>14</v>
      </c>
      <c r="C9778" t="s">
        <v>27</v>
      </c>
      <c r="D9778" t="s">
        <v>11</v>
      </c>
      <c r="E9778" t="s">
        <v>12</v>
      </c>
      <c r="F9778">
        <v>33891362</v>
      </c>
      <c r="G9778">
        <v>33891434</v>
      </c>
      <c r="H9778">
        <v>33891450</v>
      </c>
      <c r="I9778">
        <v>33891499</v>
      </c>
    </row>
    <row r="9779" spans="1:9" x14ac:dyDescent="0.2">
      <c r="A9779" s="1" t="str">
        <f>"LMO3"</f>
        <v>LMO3</v>
      </c>
      <c r="B9779" t="s">
        <v>9</v>
      </c>
      <c r="C9779" t="s">
        <v>16</v>
      </c>
      <c r="D9779" t="s">
        <v>11</v>
      </c>
      <c r="E9779" t="s">
        <v>12</v>
      </c>
      <c r="F9779">
        <v>16759412</v>
      </c>
      <c r="G9779">
        <v>16759437</v>
      </c>
      <c r="H9779">
        <v>16759412</v>
      </c>
      <c r="I9779">
        <v>16759437</v>
      </c>
    </row>
    <row r="9780" spans="1:9" x14ac:dyDescent="0.2">
      <c r="A9780" s="1" t="str">
        <f>"LMO3"</f>
        <v>LMO3</v>
      </c>
      <c r="B9780" t="s">
        <v>13</v>
      </c>
      <c r="C9780" t="s">
        <v>16</v>
      </c>
      <c r="D9780" t="s">
        <v>11</v>
      </c>
      <c r="E9780" t="s">
        <v>12</v>
      </c>
      <c r="F9780">
        <v>16761007</v>
      </c>
      <c r="G9780">
        <v>16761080</v>
      </c>
      <c r="H9780">
        <v>16761007</v>
      </c>
      <c r="I9780">
        <v>16761080</v>
      </c>
    </row>
    <row r="9781" spans="1:9" x14ac:dyDescent="0.2">
      <c r="A9781" s="1" t="str">
        <f>"LMO4"</f>
        <v>LMO4</v>
      </c>
      <c r="B9781" t="s">
        <v>14</v>
      </c>
      <c r="C9781" t="s">
        <v>19</v>
      </c>
      <c r="D9781" t="s">
        <v>17</v>
      </c>
      <c r="E9781" t="s">
        <v>12</v>
      </c>
      <c r="F9781">
        <v>87794543</v>
      </c>
      <c r="G9781">
        <v>87794585</v>
      </c>
      <c r="H9781">
        <v>87794150</v>
      </c>
      <c r="I9781">
        <v>87794172</v>
      </c>
    </row>
    <row r="9782" spans="1:9" x14ac:dyDescent="0.2">
      <c r="A9782" s="1" t="str">
        <f>"LMO7"</f>
        <v>LMO7</v>
      </c>
      <c r="B9782" t="s">
        <v>14</v>
      </c>
      <c r="C9782" t="s">
        <v>39</v>
      </c>
      <c r="D9782" t="s">
        <v>17</v>
      </c>
      <c r="E9782" t="s">
        <v>12</v>
      </c>
      <c r="F9782">
        <v>76210448</v>
      </c>
      <c r="G9782">
        <v>76210494</v>
      </c>
      <c r="H9782">
        <v>76210448</v>
      </c>
      <c r="I9782">
        <v>76210494</v>
      </c>
    </row>
    <row r="9783" spans="1:9" x14ac:dyDescent="0.2">
      <c r="A9783" s="1" t="str">
        <f>"LMOD1"</f>
        <v>LMOD1</v>
      </c>
      <c r="B9783" t="s">
        <v>14</v>
      </c>
      <c r="C9783" t="s">
        <v>19</v>
      </c>
      <c r="D9783" t="s">
        <v>11</v>
      </c>
      <c r="E9783" t="s">
        <v>12</v>
      </c>
      <c r="F9783">
        <v>201915590</v>
      </c>
      <c r="G9783">
        <v>201915722</v>
      </c>
      <c r="H9783">
        <v>201915590</v>
      </c>
      <c r="I9783">
        <v>201915722</v>
      </c>
    </row>
    <row r="9784" spans="1:9" x14ac:dyDescent="0.2">
      <c r="A9784" s="1" t="str">
        <f>"LMOD2"</f>
        <v>LMOD2</v>
      </c>
      <c r="B9784" t="s">
        <v>14</v>
      </c>
      <c r="C9784" t="s">
        <v>33</v>
      </c>
      <c r="D9784" t="s">
        <v>17</v>
      </c>
      <c r="E9784" t="s">
        <v>12</v>
      </c>
      <c r="F9784">
        <v>123295911</v>
      </c>
      <c r="G9784">
        <v>123295926</v>
      </c>
      <c r="H9784">
        <v>123295911</v>
      </c>
      <c r="I9784">
        <v>123295926</v>
      </c>
    </row>
    <row r="9785" spans="1:9" x14ac:dyDescent="0.2">
      <c r="A9785" s="1" t="str">
        <f>"LMOD3"</f>
        <v>LMOD3</v>
      </c>
      <c r="B9785" t="s">
        <v>14</v>
      </c>
      <c r="C9785" t="s">
        <v>22</v>
      </c>
      <c r="D9785" t="s">
        <v>11</v>
      </c>
      <c r="E9785" t="s">
        <v>12</v>
      </c>
      <c r="F9785">
        <v>69171739</v>
      </c>
      <c r="G9785">
        <v>69171754</v>
      </c>
      <c r="H9785">
        <v>69171708</v>
      </c>
      <c r="I9785">
        <v>69171723</v>
      </c>
    </row>
    <row r="9786" spans="1:9" x14ac:dyDescent="0.2">
      <c r="A9786" s="1" t="str">
        <f>"LMTK2"</f>
        <v>LMTK2</v>
      </c>
      <c r="B9786" t="s">
        <v>14</v>
      </c>
      <c r="C9786" t="s">
        <v>33</v>
      </c>
      <c r="D9786" t="s">
        <v>17</v>
      </c>
      <c r="E9786" t="s">
        <v>12</v>
      </c>
      <c r="F9786">
        <v>97736163</v>
      </c>
      <c r="G9786">
        <v>97736190</v>
      </c>
      <c r="H9786">
        <v>97736234</v>
      </c>
      <c r="I9786">
        <v>97736245</v>
      </c>
    </row>
    <row r="9787" spans="1:9" x14ac:dyDescent="0.2">
      <c r="A9787" s="1" t="str">
        <f>"LMTK3"</f>
        <v>LMTK3</v>
      </c>
      <c r="B9787" t="s">
        <v>14</v>
      </c>
      <c r="C9787" t="s">
        <v>10</v>
      </c>
      <c r="D9787" t="s">
        <v>11</v>
      </c>
      <c r="E9787" t="s">
        <v>12</v>
      </c>
      <c r="F9787">
        <v>49016847</v>
      </c>
      <c r="G9787">
        <v>49016943</v>
      </c>
      <c r="H9787">
        <v>49016319</v>
      </c>
      <c r="I9787">
        <v>49016405</v>
      </c>
    </row>
    <row r="9788" spans="1:9" x14ac:dyDescent="0.2">
      <c r="A9788" s="1" t="str">
        <f>"LMX1A"</f>
        <v>LMX1A</v>
      </c>
      <c r="B9788" t="s">
        <v>14</v>
      </c>
      <c r="C9788" t="s">
        <v>19</v>
      </c>
      <c r="D9788" t="s">
        <v>11</v>
      </c>
      <c r="E9788" t="s">
        <v>12</v>
      </c>
      <c r="F9788">
        <v>165325939</v>
      </c>
      <c r="G9788">
        <v>165325958</v>
      </c>
      <c r="H9788">
        <v>165325006</v>
      </c>
      <c r="I9788">
        <v>165325012</v>
      </c>
    </row>
    <row r="9789" spans="1:9" x14ac:dyDescent="0.2">
      <c r="A9789" s="1" t="str">
        <f>"LMX1B"</f>
        <v>LMX1B</v>
      </c>
      <c r="B9789" t="s">
        <v>14</v>
      </c>
      <c r="C9789" t="s">
        <v>24</v>
      </c>
      <c r="D9789" t="s">
        <v>17</v>
      </c>
      <c r="E9789" t="s">
        <v>12</v>
      </c>
      <c r="F9789">
        <v>129376201</v>
      </c>
      <c r="G9789">
        <v>129376225</v>
      </c>
      <c r="H9789">
        <v>129376201</v>
      </c>
      <c r="I9789">
        <v>129376225</v>
      </c>
    </row>
    <row r="9790" spans="1:9" x14ac:dyDescent="0.2">
      <c r="A9790" s="1" t="str">
        <f>"LNP1"</f>
        <v>LNP1</v>
      </c>
      <c r="B9790" t="s">
        <v>14</v>
      </c>
      <c r="C9790" t="s">
        <v>22</v>
      </c>
      <c r="D9790" t="s">
        <v>17</v>
      </c>
      <c r="E9790" t="s">
        <v>12</v>
      </c>
      <c r="F9790">
        <v>100120375</v>
      </c>
      <c r="G9790">
        <v>100120431</v>
      </c>
      <c r="H9790">
        <v>100120020</v>
      </c>
      <c r="I9790">
        <v>100120053</v>
      </c>
    </row>
    <row r="9791" spans="1:9" x14ac:dyDescent="0.2">
      <c r="A9791" s="1" t="str">
        <f>"LNPEP"</f>
        <v>LNPEP</v>
      </c>
      <c r="B9791" t="s">
        <v>14</v>
      </c>
      <c r="C9791" t="s">
        <v>46</v>
      </c>
      <c r="D9791" t="s">
        <v>17</v>
      </c>
      <c r="E9791" t="s">
        <v>12</v>
      </c>
      <c r="F9791">
        <v>96271775</v>
      </c>
      <c r="G9791">
        <v>96271832</v>
      </c>
      <c r="H9791">
        <v>96271051</v>
      </c>
      <c r="I9791">
        <v>96271131</v>
      </c>
    </row>
    <row r="9792" spans="1:9" x14ac:dyDescent="0.2">
      <c r="A9792" s="1" t="str">
        <f>"LNX1"</f>
        <v>LNX1</v>
      </c>
      <c r="B9792" t="s">
        <v>762</v>
      </c>
      <c r="C9792" t="s">
        <v>23</v>
      </c>
      <c r="D9792" t="s">
        <v>11</v>
      </c>
      <c r="E9792" t="s">
        <v>35</v>
      </c>
      <c r="F9792">
        <v>54457915</v>
      </c>
      <c r="G9792">
        <v>54457955</v>
      </c>
      <c r="H9792">
        <v>54457644</v>
      </c>
      <c r="I9792">
        <v>54457659</v>
      </c>
    </row>
    <row r="9793" spans="1:9" x14ac:dyDescent="0.2">
      <c r="A9793" s="1" t="str">
        <f>"LNX2"</f>
        <v>LNX2</v>
      </c>
      <c r="B9793" t="s">
        <v>14</v>
      </c>
      <c r="C9793" t="s">
        <v>39</v>
      </c>
      <c r="D9793" t="s">
        <v>11</v>
      </c>
      <c r="E9793" t="s">
        <v>12</v>
      </c>
      <c r="F9793">
        <v>28194657</v>
      </c>
      <c r="G9793">
        <v>28194751</v>
      </c>
      <c r="H9793">
        <v>28194640</v>
      </c>
      <c r="I9793">
        <v>28194652</v>
      </c>
    </row>
    <row r="9794" spans="1:9" x14ac:dyDescent="0.2">
      <c r="A9794" s="1" t="str">
        <f>"LOH12CR1"</f>
        <v>LOH12CR1</v>
      </c>
      <c r="B9794" t="s">
        <v>14</v>
      </c>
      <c r="C9794" t="s">
        <v>16</v>
      </c>
      <c r="D9794" t="s">
        <v>17</v>
      </c>
      <c r="E9794" t="s">
        <v>12</v>
      </c>
      <c r="F9794">
        <v>12509990</v>
      </c>
      <c r="G9794">
        <v>12510042</v>
      </c>
      <c r="H9794">
        <v>12510045</v>
      </c>
      <c r="I9794">
        <v>12510073</v>
      </c>
    </row>
    <row r="9795" spans="1:9" x14ac:dyDescent="0.2">
      <c r="A9795" s="1" t="str">
        <f>"LONP1"</f>
        <v>LONP1</v>
      </c>
      <c r="B9795" t="s">
        <v>14</v>
      </c>
      <c r="C9795" t="s">
        <v>10</v>
      </c>
      <c r="D9795" t="s">
        <v>11</v>
      </c>
      <c r="E9795" t="s">
        <v>12</v>
      </c>
      <c r="F9795">
        <v>5720123</v>
      </c>
      <c r="G9795">
        <v>5720189</v>
      </c>
      <c r="H9795">
        <v>5720267</v>
      </c>
      <c r="I9795">
        <v>5720305</v>
      </c>
    </row>
    <row r="9796" spans="1:9" x14ac:dyDescent="0.2">
      <c r="A9796" s="1" t="str">
        <f>"LONP2"</f>
        <v>LONP2</v>
      </c>
      <c r="B9796" t="s">
        <v>9</v>
      </c>
      <c r="C9796" t="s">
        <v>31</v>
      </c>
      <c r="D9796" t="s">
        <v>17</v>
      </c>
      <c r="E9796" t="s">
        <v>12</v>
      </c>
      <c r="F9796">
        <v>48278178</v>
      </c>
      <c r="G9796">
        <v>48278336</v>
      </c>
      <c r="H9796">
        <v>48278178</v>
      </c>
      <c r="I9796">
        <v>48278336</v>
      </c>
    </row>
    <row r="9797" spans="1:9" x14ac:dyDescent="0.2">
      <c r="A9797" s="1" t="str">
        <f>"LONP2"</f>
        <v>LONP2</v>
      </c>
      <c r="B9797" t="s">
        <v>13</v>
      </c>
      <c r="C9797" t="s">
        <v>31</v>
      </c>
      <c r="D9797" t="s">
        <v>17</v>
      </c>
      <c r="E9797" t="s">
        <v>12</v>
      </c>
      <c r="F9797">
        <v>48286069</v>
      </c>
      <c r="G9797">
        <v>48286096</v>
      </c>
      <c r="H9797">
        <v>48286069</v>
      </c>
      <c r="I9797">
        <v>48286096</v>
      </c>
    </row>
    <row r="9798" spans="1:9" x14ac:dyDescent="0.2">
      <c r="A9798" s="1" t="str">
        <f>"LONRF1"</f>
        <v>LONRF1</v>
      </c>
      <c r="B9798" t="s">
        <v>14</v>
      </c>
      <c r="C9798" t="s">
        <v>30</v>
      </c>
      <c r="D9798" t="s">
        <v>11</v>
      </c>
      <c r="E9798" t="s">
        <v>12</v>
      </c>
      <c r="F9798">
        <v>12612962</v>
      </c>
      <c r="G9798">
        <v>12613049</v>
      </c>
      <c r="H9798">
        <v>12612962</v>
      </c>
      <c r="I9798">
        <v>12613049</v>
      </c>
    </row>
    <row r="9799" spans="1:9" x14ac:dyDescent="0.2">
      <c r="A9799" s="1" t="str">
        <f>"LONRF2"</f>
        <v>LONRF2</v>
      </c>
      <c r="B9799" t="s">
        <v>14</v>
      </c>
      <c r="C9799" t="s">
        <v>26</v>
      </c>
      <c r="D9799" t="s">
        <v>11</v>
      </c>
      <c r="E9799" t="s">
        <v>12</v>
      </c>
      <c r="F9799">
        <v>100938891</v>
      </c>
      <c r="G9799">
        <v>100938902</v>
      </c>
      <c r="H9799">
        <v>100938891</v>
      </c>
      <c r="I9799">
        <v>100938902</v>
      </c>
    </row>
    <row r="9800" spans="1:9" x14ac:dyDescent="0.2">
      <c r="A9800" s="1" t="str">
        <f>"LONRF3"</f>
        <v>LONRF3</v>
      </c>
      <c r="B9800" t="s">
        <v>14</v>
      </c>
      <c r="C9800" t="s">
        <v>37</v>
      </c>
      <c r="D9800" t="s">
        <v>17</v>
      </c>
      <c r="E9800" t="s">
        <v>12</v>
      </c>
      <c r="F9800">
        <v>118108571</v>
      </c>
      <c r="G9800">
        <v>118108589</v>
      </c>
      <c r="H9800">
        <v>118109288</v>
      </c>
      <c r="I9800">
        <v>118109349</v>
      </c>
    </row>
    <row r="9801" spans="1:9" x14ac:dyDescent="0.2">
      <c r="A9801" s="1" t="str">
        <f>"LOR"</f>
        <v>LOR</v>
      </c>
      <c r="B9801" t="s">
        <v>14</v>
      </c>
      <c r="C9801" t="s">
        <v>19</v>
      </c>
      <c r="D9801" t="s">
        <v>17</v>
      </c>
      <c r="E9801" t="s">
        <v>12</v>
      </c>
      <c r="F9801">
        <v>153232160</v>
      </c>
      <c r="G9801">
        <v>153232165</v>
      </c>
      <c r="H9801">
        <v>153232160</v>
      </c>
      <c r="I9801">
        <v>153232165</v>
      </c>
    </row>
    <row r="9802" spans="1:9" x14ac:dyDescent="0.2">
      <c r="A9802" s="1" t="str">
        <f>"LOX"</f>
        <v>LOX</v>
      </c>
      <c r="B9802" t="s">
        <v>14</v>
      </c>
      <c r="C9802" t="s">
        <v>46</v>
      </c>
      <c r="D9802" t="s">
        <v>11</v>
      </c>
      <c r="E9802" t="s">
        <v>12</v>
      </c>
      <c r="F9802">
        <v>121413944</v>
      </c>
      <c r="G9802">
        <v>121413965</v>
      </c>
      <c r="H9802">
        <v>121414045</v>
      </c>
      <c r="I9802">
        <v>121414063</v>
      </c>
    </row>
    <row r="9803" spans="1:9" x14ac:dyDescent="0.2">
      <c r="A9803" s="1" t="str">
        <f>"LOXHD1"</f>
        <v>LOXHD1</v>
      </c>
      <c r="B9803" t="s">
        <v>763</v>
      </c>
      <c r="C9803" t="s">
        <v>43</v>
      </c>
      <c r="D9803" t="s">
        <v>11</v>
      </c>
      <c r="E9803" t="s">
        <v>75</v>
      </c>
      <c r="F9803">
        <v>44237017</v>
      </c>
      <c r="G9803">
        <v>44237039</v>
      </c>
      <c r="H9803">
        <v>44237017</v>
      </c>
      <c r="I9803">
        <v>44237039</v>
      </c>
    </row>
    <row r="9804" spans="1:9" x14ac:dyDescent="0.2">
      <c r="A9804" s="1" t="str">
        <f>"LOXL1"</f>
        <v>LOXL1</v>
      </c>
      <c r="B9804" t="s">
        <v>14</v>
      </c>
      <c r="C9804" t="s">
        <v>25</v>
      </c>
      <c r="D9804" t="s">
        <v>17</v>
      </c>
      <c r="E9804" t="s">
        <v>12</v>
      </c>
      <c r="F9804">
        <v>74218787</v>
      </c>
      <c r="G9804">
        <v>74218813</v>
      </c>
      <c r="H9804">
        <v>74218973</v>
      </c>
      <c r="I9804">
        <v>74218999</v>
      </c>
    </row>
    <row r="9805" spans="1:9" x14ac:dyDescent="0.2">
      <c r="A9805" s="1" t="str">
        <f>"LOXL2"</f>
        <v>LOXL2</v>
      </c>
      <c r="B9805" t="s">
        <v>14</v>
      </c>
      <c r="C9805" t="s">
        <v>30</v>
      </c>
      <c r="D9805" t="s">
        <v>11</v>
      </c>
      <c r="E9805" t="s">
        <v>12</v>
      </c>
      <c r="F9805">
        <v>23261625</v>
      </c>
      <c r="G9805">
        <v>23261641</v>
      </c>
      <c r="H9805">
        <v>23261625</v>
      </c>
      <c r="I9805">
        <v>23261641</v>
      </c>
    </row>
    <row r="9806" spans="1:9" x14ac:dyDescent="0.2">
      <c r="A9806" s="1" t="str">
        <f>"LOXL3"</f>
        <v>LOXL3</v>
      </c>
      <c r="B9806" t="s">
        <v>14</v>
      </c>
      <c r="C9806" t="s">
        <v>26</v>
      </c>
      <c r="D9806" t="s">
        <v>11</v>
      </c>
      <c r="E9806" t="s">
        <v>12</v>
      </c>
      <c r="F9806">
        <v>74781061</v>
      </c>
      <c r="G9806">
        <v>74781076</v>
      </c>
      <c r="H9806">
        <v>74780176</v>
      </c>
      <c r="I9806">
        <v>74780259</v>
      </c>
    </row>
    <row r="9807" spans="1:9" x14ac:dyDescent="0.2">
      <c r="A9807" s="1" t="str">
        <f>"LOXL4"</f>
        <v>LOXL4</v>
      </c>
      <c r="B9807" t="s">
        <v>14</v>
      </c>
      <c r="C9807" t="s">
        <v>15</v>
      </c>
      <c r="D9807" t="s">
        <v>11</v>
      </c>
      <c r="E9807" t="s">
        <v>12</v>
      </c>
      <c r="F9807">
        <v>100027943</v>
      </c>
      <c r="G9807">
        <v>100027958</v>
      </c>
      <c r="H9807">
        <v>100027943</v>
      </c>
      <c r="I9807">
        <v>100027958</v>
      </c>
    </row>
    <row r="9808" spans="1:9" x14ac:dyDescent="0.2">
      <c r="A9808" s="1" t="str">
        <f>"LPA"</f>
        <v>LPA</v>
      </c>
      <c r="B9808" t="s">
        <v>14</v>
      </c>
      <c r="C9808" t="s">
        <v>32</v>
      </c>
      <c r="D9808" t="s">
        <v>11</v>
      </c>
      <c r="E9808" t="s">
        <v>12</v>
      </c>
      <c r="F9808">
        <v>161085303</v>
      </c>
      <c r="G9808">
        <v>161085308</v>
      </c>
      <c r="H9808">
        <v>161085303</v>
      </c>
      <c r="I9808">
        <v>161085308</v>
      </c>
    </row>
    <row r="9809" spans="1:9" x14ac:dyDescent="0.2">
      <c r="A9809" s="1" t="str">
        <f>"LPAR1"</f>
        <v>LPAR1</v>
      </c>
      <c r="B9809" t="s">
        <v>14</v>
      </c>
      <c r="C9809" t="s">
        <v>24</v>
      </c>
      <c r="D9809" t="s">
        <v>11</v>
      </c>
      <c r="E9809" t="s">
        <v>12</v>
      </c>
      <c r="F9809">
        <v>113800705</v>
      </c>
      <c r="G9809">
        <v>113800781</v>
      </c>
      <c r="H9809">
        <v>113800467</v>
      </c>
      <c r="I9809">
        <v>113800520</v>
      </c>
    </row>
    <row r="9810" spans="1:9" x14ac:dyDescent="0.2">
      <c r="A9810" s="1" t="str">
        <f>"LPAR2"</f>
        <v>LPAR2</v>
      </c>
      <c r="B9810" t="s">
        <v>14</v>
      </c>
      <c r="C9810" t="s">
        <v>10</v>
      </c>
      <c r="D9810" t="s">
        <v>11</v>
      </c>
      <c r="E9810" t="s">
        <v>12</v>
      </c>
      <c r="F9810">
        <v>19739007</v>
      </c>
      <c r="G9810">
        <v>19739051</v>
      </c>
      <c r="H9810">
        <v>19739321</v>
      </c>
      <c r="I9810">
        <v>19739366</v>
      </c>
    </row>
    <row r="9811" spans="1:9" x14ac:dyDescent="0.2">
      <c r="A9811" s="1" t="str">
        <f>"LPAR3"</f>
        <v>LPAR3</v>
      </c>
      <c r="B9811" t="s">
        <v>14</v>
      </c>
      <c r="C9811" t="s">
        <v>19</v>
      </c>
      <c r="D9811" t="s">
        <v>11</v>
      </c>
      <c r="E9811" t="s">
        <v>12</v>
      </c>
      <c r="F9811">
        <v>85358850</v>
      </c>
      <c r="G9811">
        <v>85358906</v>
      </c>
      <c r="H9811">
        <v>85358822</v>
      </c>
      <c r="I9811">
        <v>85358833</v>
      </c>
    </row>
    <row r="9812" spans="1:9" x14ac:dyDescent="0.2">
      <c r="A9812" s="1" t="str">
        <f>"LPAR4"</f>
        <v>LPAR4</v>
      </c>
      <c r="B9812" t="s">
        <v>14</v>
      </c>
      <c r="C9812" t="s">
        <v>37</v>
      </c>
      <c r="D9812" t="s">
        <v>17</v>
      </c>
      <c r="E9812" t="s">
        <v>12</v>
      </c>
      <c r="F9812">
        <v>78003204</v>
      </c>
      <c r="G9812">
        <v>78003248</v>
      </c>
      <c r="H9812">
        <v>78003170</v>
      </c>
      <c r="I9812">
        <v>78003181</v>
      </c>
    </row>
    <row r="9813" spans="1:9" x14ac:dyDescent="0.2">
      <c r="A9813" s="1" t="str">
        <f>"LPAR5"</f>
        <v>LPAR5</v>
      </c>
      <c r="B9813" t="s">
        <v>9</v>
      </c>
      <c r="C9813" t="s">
        <v>16</v>
      </c>
      <c r="D9813" t="s">
        <v>11</v>
      </c>
      <c r="E9813" t="s">
        <v>12</v>
      </c>
      <c r="F9813">
        <v>6745101</v>
      </c>
      <c r="G9813">
        <v>6745141</v>
      </c>
      <c r="H9813">
        <v>6745101</v>
      </c>
      <c r="I9813">
        <v>6745141</v>
      </c>
    </row>
    <row r="9814" spans="1:9" x14ac:dyDescent="0.2">
      <c r="A9814" s="1" t="str">
        <f>"LPAR5"</f>
        <v>LPAR5</v>
      </c>
      <c r="B9814" t="s">
        <v>13</v>
      </c>
      <c r="C9814" t="s">
        <v>16</v>
      </c>
      <c r="D9814" t="s">
        <v>11</v>
      </c>
      <c r="E9814" t="s">
        <v>12</v>
      </c>
      <c r="F9814">
        <v>6740802</v>
      </c>
      <c r="G9814">
        <v>6740822</v>
      </c>
      <c r="H9814">
        <v>6740802</v>
      </c>
      <c r="I9814">
        <v>6740822</v>
      </c>
    </row>
    <row r="9815" spans="1:9" x14ac:dyDescent="0.2">
      <c r="A9815" s="1" t="str">
        <f>"LPAR6"</f>
        <v>LPAR6</v>
      </c>
      <c r="B9815" t="s">
        <v>14</v>
      </c>
      <c r="C9815" t="s">
        <v>39</v>
      </c>
      <c r="D9815" t="s">
        <v>11</v>
      </c>
      <c r="E9815" t="s">
        <v>12</v>
      </c>
      <c r="F9815">
        <v>48987241</v>
      </c>
      <c r="G9815">
        <v>48987260</v>
      </c>
      <c r="H9815">
        <v>48987241</v>
      </c>
      <c r="I9815">
        <v>48987260</v>
      </c>
    </row>
    <row r="9816" spans="1:9" x14ac:dyDescent="0.2">
      <c r="A9816" s="1" t="str">
        <f>"LPCAT1"</f>
        <v>LPCAT1</v>
      </c>
      <c r="B9816" t="s">
        <v>9</v>
      </c>
      <c r="C9816" t="s">
        <v>46</v>
      </c>
      <c r="D9816" t="s">
        <v>11</v>
      </c>
      <c r="E9816" t="s">
        <v>12</v>
      </c>
      <c r="F9816">
        <v>1524015</v>
      </c>
      <c r="G9816">
        <v>1524108</v>
      </c>
      <c r="H9816">
        <v>1524015</v>
      </c>
      <c r="I9816">
        <v>1524108</v>
      </c>
    </row>
    <row r="9817" spans="1:9" x14ac:dyDescent="0.2">
      <c r="A9817" s="1" t="str">
        <f>"LPCAT1"</f>
        <v>LPCAT1</v>
      </c>
      <c r="B9817" t="s">
        <v>13</v>
      </c>
      <c r="C9817" t="s">
        <v>46</v>
      </c>
      <c r="D9817" t="s">
        <v>11</v>
      </c>
      <c r="E9817" t="s">
        <v>12</v>
      </c>
      <c r="F9817">
        <v>1494968</v>
      </c>
      <c r="G9817">
        <v>1495042</v>
      </c>
      <c r="H9817">
        <v>1494968</v>
      </c>
      <c r="I9817">
        <v>1495042</v>
      </c>
    </row>
    <row r="9818" spans="1:9" x14ac:dyDescent="0.2">
      <c r="A9818" s="1" t="str">
        <f>"LPCAT2"</f>
        <v>LPCAT2</v>
      </c>
      <c r="B9818" t="s">
        <v>14</v>
      </c>
      <c r="C9818" t="s">
        <v>31</v>
      </c>
      <c r="D9818" t="s">
        <v>17</v>
      </c>
      <c r="E9818" t="s">
        <v>12</v>
      </c>
      <c r="F9818">
        <v>55542976</v>
      </c>
      <c r="G9818">
        <v>55543003</v>
      </c>
      <c r="H9818">
        <v>55543013</v>
      </c>
      <c r="I9818">
        <v>55543047</v>
      </c>
    </row>
    <row r="9819" spans="1:9" x14ac:dyDescent="0.2">
      <c r="A9819" s="1" t="str">
        <f>"LPCAT3"</f>
        <v>LPCAT3</v>
      </c>
      <c r="B9819" t="s">
        <v>14</v>
      </c>
      <c r="C9819" t="s">
        <v>16</v>
      </c>
      <c r="D9819" t="s">
        <v>11</v>
      </c>
      <c r="E9819" t="s">
        <v>12</v>
      </c>
      <c r="F9819">
        <v>7125770</v>
      </c>
      <c r="G9819">
        <v>7125835</v>
      </c>
      <c r="H9819">
        <v>7125770</v>
      </c>
      <c r="I9819">
        <v>7125835</v>
      </c>
    </row>
    <row r="9820" spans="1:9" x14ac:dyDescent="0.2">
      <c r="A9820" s="1" t="str">
        <f>"LPCAT4"</f>
        <v>LPCAT4</v>
      </c>
      <c r="B9820" t="s">
        <v>14</v>
      </c>
      <c r="C9820" t="s">
        <v>25</v>
      </c>
      <c r="D9820" t="s">
        <v>11</v>
      </c>
      <c r="E9820" t="s">
        <v>12</v>
      </c>
      <c r="F9820">
        <v>34659349</v>
      </c>
      <c r="G9820">
        <v>34659405</v>
      </c>
      <c r="H9820">
        <v>34659717</v>
      </c>
      <c r="I9820">
        <v>34659778</v>
      </c>
    </row>
    <row r="9821" spans="1:9" x14ac:dyDescent="0.2">
      <c r="A9821" s="1" t="str">
        <f>"LPGAT1"</f>
        <v>LPGAT1</v>
      </c>
      <c r="B9821" t="s">
        <v>14</v>
      </c>
      <c r="C9821" t="s">
        <v>19</v>
      </c>
      <c r="D9821" t="s">
        <v>11</v>
      </c>
      <c r="E9821" t="s">
        <v>12</v>
      </c>
      <c r="F9821">
        <v>212004090</v>
      </c>
      <c r="G9821">
        <v>212004168</v>
      </c>
      <c r="H9821">
        <v>212003673</v>
      </c>
      <c r="I9821">
        <v>212003722</v>
      </c>
    </row>
    <row r="9822" spans="1:9" x14ac:dyDescent="0.2">
      <c r="A9822" s="1" t="str">
        <f>"LPHN1"</f>
        <v>LPHN1</v>
      </c>
      <c r="B9822" t="s">
        <v>14</v>
      </c>
      <c r="C9822" t="s">
        <v>10</v>
      </c>
      <c r="D9822" t="s">
        <v>11</v>
      </c>
      <c r="E9822" t="s">
        <v>12</v>
      </c>
      <c r="F9822">
        <v>14316980</v>
      </c>
      <c r="G9822">
        <v>14316983</v>
      </c>
      <c r="H9822">
        <v>14316980</v>
      </c>
      <c r="I9822">
        <v>14316983</v>
      </c>
    </row>
    <row r="9823" spans="1:9" x14ac:dyDescent="0.2">
      <c r="A9823" s="1" t="str">
        <f>"LPHN2"</f>
        <v>LPHN2</v>
      </c>
      <c r="B9823" t="s">
        <v>14</v>
      </c>
      <c r="C9823" t="s">
        <v>19</v>
      </c>
      <c r="D9823" t="s">
        <v>17</v>
      </c>
      <c r="E9823" t="s">
        <v>12</v>
      </c>
      <c r="F9823">
        <v>81771806</v>
      </c>
      <c r="G9823">
        <v>81771876</v>
      </c>
      <c r="H9823">
        <v>81771806</v>
      </c>
      <c r="I9823">
        <v>81771876</v>
      </c>
    </row>
    <row r="9824" spans="1:9" x14ac:dyDescent="0.2">
      <c r="A9824" s="1" t="str">
        <f>"LPHN3"</f>
        <v>LPHN3</v>
      </c>
      <c r="B9824" t="s">
        <v>14</v>
      </c>
      <c r="C9824" t="s">
        <v>23</v>
      </c>
      <c r="D9824" t="s">
        <v>17</v>
      </c>
      <c r="E9824" t="s">
        <v>12</v>
      </c>
      <c r="F9824">
        <v>62066409</v>
      </c>
      <c r="G9824">
        <v>62066507</v>
      </c>
      <c r="H9824">
        <v>62066941</v>
      </c>
      <c r="I9824">
        <v>62066992</v>
      </c>
    </row>
    <row r="9825" spans="1:9" x14ac:dyDescent="0.2">
      <c r="A9825" s="1" t="str">
        <f>"LPIN1"</f>
        <v>LPIN1</v>
      </c>
      <c r="B9825" t="s">
        <v>14</v>
      </c>
      <c r="C9825" t="s">
        <v>26</v>
      </c>
      <c r="D9825" t="s">
        <v>17</v>
      </c>
      <c r="E9825" t="s">
        <v>12</v>
      </c>
      <c r="F9825">
        <v>11886710</v>
      </c>
      <c r="G9825">
        <v>11886776</v>
      </c>
      <c r="H9825">
        <v>11886791</v>
      </c>
      <c r="I9825">
        <v>11886806</v>
      </c>
    </row>
    <row r="9826" spans="1:9" x14ac:dyDescent="0.2">
      <c r="A9826" s="1" t="str">
        <f>"LPIN2"</f>
        <v>LPIN2</v>
      </c>
      <c r="B9826" t="s">
        <v>14</v>
      </c>
      <c r="C9826" t="s">
        <v>43</v>
      </c>
      <c r="D9826" t="s">
        <v>11</v>
      </c>
      <c r="E9826" t="s">
        <v>12</v>
      </c>
      <c r="F9826">
        <v>3013112</v>
      </c>
      <c r="G9826">
        <v>3013154</v>
      </c>
      <c r="H9826">
        <v>3013307</v>
      </c>
      <c r="I9826">
        <v>3013342</v>
      </c>
    </row>
    <row r="9827" spans="1:9" x14ac:dyDescent="0.2">
      <c r="A9827" s="1" t="str">
        <f>"LPIN3"</f>
        <v>LPIN3</v>
      </c>
      <c r="B9827" t="s">
        <v>14</v>
      </c>
      <c r="C9827" t="s">
        <v>29</v>
      </c>
      <c r="D9827" t="s">
        <v>17</v>
      </c>
      <c r="E9827" t="s">
        <v>12</v>
      </c>
      <c r="F9827">
        <v>39969420</v>
      </c>
      <c r="G9827">
        <v>39969516</v>
      </c>
      <c r="H9827">
        <v>39969519</v>
      </c>
      <c r="I9827">
        <v>39969596</v>
      </c>
    </row>
    <row r="9828" spans="1:9" x14ac:dyDescent="0.2">
      <c r="A9828" s="1" t="str">
        <f>"LPL"</f>
        <v>LPL</v>
      </c>
      <c r="B9828" t="s">
        <v>14</v>
      </c>
      <c r="C9828" t="s">
        <v>30</v>
      </c>
      <c r="D9828" t="s">
        <v>17</v>
      </c>
      <c r="E9828" t="s">
        <v>12</v>
      </c>
      <c r="F9828">
        <v>19796757</v>
      </c>
      <c r="G9828">
        <v>19796773</v>
      </c>
      <c r="H9828">
        <v>19796859</v>
      </c>
      <c r="I9828">
        <v>19796870</v>
      </c>
    </row>
    <row r="9829" spans="1:9" x14ac:dyDescent="0.2">
      <c r="A9829" s="1" t="str">
        <f>"LPO"</f>
        <v>LPO</v>
      </c>
      <c r="B9829" t="s">
        <v>14</v>
      </c>
      <c r="C9829" t="s">
        <v>28</v>
      </c>
      <c r="D9829" t="s">
        <v>17</v>
      </c>
      <c r="E9829" t="s">
        <v>12</v>
      </c>
      <c r="F9829">
        <v>56316054</v>
      </c>
      <c r="G9829">
        <v>56316067</v>
      </c>
      <c r="H9829">
        <v>56315936</v>
      </c>
      <c r="I9829">
        <v>56315960</v>
      </c>
    </row>
    <row r="9830" spans="1:9" x14ac:dyDescent="0.2">
      <c r="A9830" s="1" t="str">
        <f>"LPP"</f>
        <v>LPP</v>
      </c>
      <c r="B9830" t="s">
        <v>764</v>
      </c>
      <c r="C9830" t="s">
        <v>22</v>
      </c>
      <c r="D9830" t="s">
        <v>17</v>
      </c>
      <c r="E9830" t="s">
        <v>35</v>
      </c>
      <c r="F9830">
        <v>187930634</v>
      </c>
      <c r="G9830">
        <v>187930635</v>
      </c>
      <c r="H9830">
        <v>187930719</v>
      </c>
      <c r="I9830">
        <v>187930729</v>
      </c>
    </row>
    <row r="9831" spans="1:9" x14ac:dyDescent="0.2">
      <c r="A9831" s="1" t="str">
        <f>"LPP"</f>
        <v>LPP</v>
      </c>
      <c r="B9831" t="s">
        <v>765</v>
      </c>
      <c r="C9831" t="s">
        <v>22</v>
      </c>
      <c r="D9831" t="s">
        <v>17</v>
      </c>
      <c r="E9831" t="s">
        <v>35</v>
      </c>
      <c r="F9831">
        <v>187943179</v>
      </c>
      <c r="G9831">
        <v>187943184</v>
      </c>
      <c r="H9831">
        <v>187943262</v>
      </c>
      <c r="I9831">
        <v>187943273</v>
      </c>
    </row>
    <row r="9832" spans="1:9" x14ac:dyDescent="0.2">
      <c r="A9832" s="1" t="str">
        <f>"LPXN"</f>
        <v>LPXN</v>
      </c>
      <c r="B9832" t="s">
        <v>9</v>
      </c>
      <c r="C9832" t="s">
        <v>27</v>
      </c>
      <c r="D9832" t="s">
        <v>11</v>
      </c>
      <c r="E9832" t="s">
        <v>12</v>
      </c>
      <c r="F9832">
        <v>58343319</v>
      </c>
      <c r="G9832">
        <v>58343338</v>
      </c>
      <c r="H9832">
        <v>58343319</v>
      </c>
      <c r="I9832">
        <v>58343338</v>
      </c>
    </row>
    <row r="9833" spans="1:9" x14ac:dyDescent="0.2">
      <c r="A9833" s="1" t="str">
        <f>"LPXN"</f>
        <v>LPXN</v>
      </c>
      <c r="B9833" t="s">
        <v>13</v>
      </c>
      <c r="C9833" t="s">
        <v>27</v>
      </c>
      <c r="D9833" t="s">
        <v>11</v>
      </c>
      <c r="E9833" t="s">
        <v>12</v>
      </c>
      <c r="F9833">
        <v>58345569</v>
      </c>
      <c r="G9833">
        <v>58345646</v>
      </c>
      <c r="H9833">
        <v>58345569</v>
      </c>
      <c r="I9833">
        <v>58345646</v>
      </c>
    </row>
    <row r="9834" spans="1:9" x14ac:dyDescent="0.2">
      <c r="A9834" s="1" t="str">
        <f>"LRAT"</f>
        <v>LRAT</v>
      </c>
      <c r="B9834" t="s">
        <v>14</v>
      </c>
      <c r="C9834" t="s">
        <v>23</v>
      </c>
      <c r="D9834" t="s">
        <v>17</v>
      </c>
      <c r="E9834" t="s">
        <v>12</v>
      </c>
      <c r="F9834">
        <v>155665145</v>
      </c>
      <c r="G9834">
        <v>155665158</v>
      </c>
      <c r="H9834">
        <v>155665145</v>
      </c>
      <c r="I9834">
        <v>155665158</v>
      </c>
    </row>
    <row r="9835" spans="1:9" x14ac:dyDescent="0.2">
      <c r="A9835" s="1" t="str">
        <f>"LRBA"</f>
        <v>LRBA</v>
      </c>
      <c r="B9835" t="s">
        <v>14</v>
      </c>
      <c r="C9835" t="s">
        <v>23</v>
      </c>
      <c r="D9835" t="s">
        <v>11</v>
      </c>
      <c r="E9835" t="s">
        <v>12</v>
      </c>
      <c r="F9835">
        <v>151936865</v>
      </c>
      <c r="G9835">
        <v>151936891</v>
      </c>
      <c r="H9835">
        <v>151936416</v>
      </c>
      <c r="I9835">
        <v>151936444</v>
      </c>
    </row>
    <row r="9836" spans="1:9" x14ac:dyDescent="0.2">
      <c r="A9836" s="1" t="str">
        <f>"LRCH1"</f>
        <v>LRCH1</v>
      </c>
      <c r="B9836" t="s">
        <v>14</v>
      </c>
      <c r="C9836" t="s">
        <v>39</v>
      </c>
      <c r="D9836" t="s">
        <v>17</v>
      </c>
      <c r="E9836" t="s">
        <v>12</v>
      </c>
      <c r="F9836">
        <v>47127293</v>
      </c>
      <c r="G9836">
        <v>47127321</v>
      </c>
      <c r="H9836">
        <v>47127399</v>
      </c>
      <c r="I9836">
        <v>47127434</v>
      </c>
    </row>
    <row r="9837" spans="1:9" x14ac:dyDescent="0.2">
      <c r="A9837" s="1" t="str">
        <f>"LRCH2"</f>
        <v>LRCH2</v>
      </c>
      <c r="B9837" t="s">
        <v>14</v>
      </c>
      <c r="C9837" t="s">
        <v>37</v>
      </c>
      <c r="D9837" t="s">
        <v>11</v>
      </c>
      <c r="E9837" t="s">
        <v>12</v>
      </c>
      <c r="F9837">
        <v>114468605</v>
      </c>
      <c r="G9837">
        <v>114468640</v>
      </c>
      <c r="H9837">
        <v>114468651</v>
      </c>
      <c r="I9837">
        <v>114468664</v>
      </c>
    </row>
    <row r="9838" spans="1:9" x14ac:dyDescent="0.2">
      <c r="A9838" s="1" t="str">
        <f>"LRCH3"</f>
        <v>LRCH3</v>
      </c>
      <c r="B9838" t="s">
        <v>14</v>
      </c>
      <c r="C9838" t="s">
        <v>22</v>
      </c>
      <c r="D9838" t="s">
        <v>17</v>
      </c>
      <c r="E9838" t="s">
        <v>12</v>
      </c>
      <c r="F9838">
        <v>197518100</v>
      </c>
      <c r="G9838">
        <v>197518146</v>
      </c>
      <c r="H9838">
        <v>197518355</v>
      </c>
      <c r="I9838">
        <v>197518387</v>
      </c>
    </row>
    <row r="9839" spans="1:9" x14ac:dyDescent="0.2">
      <c r="A9839" s="1" t="str">
        <f>"LRCH4"</f>
        <v>LRCH4</v>
      </c>
      <c r="B9839" t="s">
        <v>9</v>
      </c>
      <c r="C9839" t="s">
        <v>33</v>
      </c>
      <c r="D9839" t="s">
        <v>11</v>
      </c>
      <c r="E9839" t="s">
        <v>12</v>
      </c>
      <c r="F9839">
        <v>100183742</v>
      </c>
      <c r="G9839">
        <v>100183781</v>
      </c>
      <c r="H9839">
        <v>100183742</v>
      </c>
      <c r="I9839">
        <v>100183781</v>
      </c>
    </row>
    <row r="9840" spans="1:9" x14ac:dyDescent="0.2">
      <c r="A9840" s="1" t="str">
        <f>"LRCH4"</f>
        <v>LRCH4</v>
      </c>
      <c r="B9840" t="s">
        <v>13</v>
      </c>
      <c r="C9840" t="s">
        <v>33</v>
      </c>
      <c r="D9840" t="s">
        <v>11</v>
      </c>
      <c r="E9840" t="s">
        <v>12</v>
      </c>
      <c r="F9840">
        <v>100180005</v>
      </c>
      <c r="G9840">
        <v>100180023</v>
      </c>
      <c r="H9840">
        <v>100180005</v>
      </c>
      <c r="I9840">
        <v>100180023</v>
      </c>
    </row>
    <row r="9841" spans="1:9" x14ac:dyDescent="0.2">
      <c r="A9841" s="1" t="str">
        <f>"LRCOL1"</f>
        <v>LRCOL1</v>
      </c>
      <c r="B9841" t="s">
        <v>14</v>
      </c>
      <c r="C9841" t="s">
        <v>16</v>
      </c>
      <c r="D9841" t="s">
        <v>11</v>
      </c>
      <c r="E9841" t="s">
        <v>67</v>
      </c>
      <c r="F9841">
        <v>133186989</v>
      </c>
      <c r="G9841">
        <v>133187012</v>
      </c>
      <c r="H9841">
        <v>133187039</v>
      </c>
      <c r="I9841">
        <v>133187052</v>
      </c>
    </row>
    <row r="9842" spans="1:9" x14ac:dyDescent="0.2">
      <c r="A9842" s="1" t="str">
        <f>"LRFN1"</f>
        <v>LRFN1</v>
      </c>
      <c r="B9842" t="s">
        <v>14</v>
      </c>
      <c r="C9842" t="s">
        <v>10</v>
      </c>
      <c r="D9842" t="s">
        <v>11</v>
      </c>
      <c r="E9842" t="s">
        <v>12</v>
      </c>
      <c r="F9842">
        <v>39805936</v>
      </c>
      <c r="G9842">
        <v>39805957</v>
      </c>
      <c r="H9842">
        <v>39805893</v>
      </c>
      <c r="I9842">
        <v>39805898</v>
      </c>
    </row>
    <row r="9843" spans="1:9" x14ac:dyDescent="0.2">
      <c r="A9843" s="1" t="str">
        <f>"LRFN2"</f>
        <v>LRFN2</v>
      </c>
      <c r="B9843" t="s">
        <v>14</v>
      </c>
      <c r="C9843" t="s">
        <v>32</v>
      </c>
      <c r="D9843" t="s">
        <v>11</v>
      </c>
      <c r="E9843" t="s">
        <v>12</v>
      </c>
      <c r="F9843">
        <v>40555056</v>
      </c>
      <c r="G9843">
        <v>40555135</v>
      </c>
      <c r="H9843">
        <v>40555143</v>
      </c>
      <c r="I9843">
        <v>40555161</v>
      </c>
    </row>
    <row r="9844" spans="1:9" x14ac:dyDescent="0.2">
      <c r="A9844" s="1" t="str">
        <f>"LRFN3"</f>
        <v>LRFN3</v>
      </c>
      <c r="B9844" t="s">
        <v>14</v>
      </c>
      <c r="C9844" t="s">
        <v>10</v>
      </c>
      <c r="D9844" t="s">
        <v>17</v>
      </c>
      <c r="E9844" t="s">
        <v>12</v>
      </c>
      <c r="F9844">
        <v>36427262</v>
      </c>
      <c r="G9844">
        <v>36427307</v>
      </c>
      <c r="H9844">
        <v>36427262</v>
      </c>
      <c r="I9844">
        <v>36427307</v>
      </c>
    </row>
    <row r="9845" spans="1:9" x14ac:dyDescent="0.2">
      <c r="A9845" s="1" t="str">
        <f>"LRFN4"</f>
        <v>LRFN4</v>
      </c>
      <c r="B9845" t="s">
        <v>14</v>
      </c>
      <c r="C9845" t="s">
        <v>27</v>
      </c>
      <c r="D9845" t="s">
        <v>17</v>
      </c>
      <c r="E9845" t="s">
        <v>12</v>
      </c>
      <c r="F9845">
        <v>66624527</v>
      </c>
      <c r="G9845">
        <v>66624592</v>
      </c>
      <c r="H9845">
        <v>66623915</v>
      </c>
      <c r="I9845">
        <v>66624011</v>
      </c>
    </row>
    <row r="9846" spans="1:9" x14ac:dyDescent="0.2">
      <c r="A9846" s="1" t="str">
        <f>"LRFN5"</f>
        <v>LRFN5</v>
      </c>
      <c r="B9846" t="s">
        <v>14</v>
      </c>
      <c r="C9846" t="s">
        <v>41</v>
      </c>
      <c r="D9846" t="s">
        <v>17</v>
      </c>
      <c r="E9846" t="s">
        <v>12</v>
      </c>
      <c r="F9846">
        <v>42077438</v>
      </c>
      <c r="G9846">
        <v>42077542</v>
      </c>
      <c r="H9846">
        <v>42076765</v>
      </c>
      <c r="I9846">
        <v>42076789</v>
      </c>
    </row>
    <row r="9847" spans="1:9" x14ac:dyDescent="0.2">
      <c r="A9847" s="1" t="str">
        <f>"LRG1"</f>
        <v>LRG1</v>
      </c>
      <c r="B9847" t="s">
        <v>14</v>
      </c>
      <c r="C9847" t="s">
        <v>10</v>
      </c>
      <c r="D9847" t="s">
        <v>11</v>
      </c>
      <c r="E9847" t="s">
        <v>12</v>
      </c>
      <c r="F9847">
        <v>4540040</v>
      </c>
      <c r="G9847">
        <v>4540058</v>
      </c>
      <c r="H9847">
        <v>4540087</v>
      </c>
      <c r="I9847">
        <v>4540096</v>
      </c>
    </row>
    <row r="9848" spans="1:9" x14ac:dyDescent="0.2">
      <c r="A9848" s="1" t="str">
        <f>"LRGUK"</f>
        <v>LRGUK</v>
      </c>
      <c r="B9848" t="s">
        <v>14</v>
      </c>
      <c r="C9848" t="s">
        <v>33</v>
      </c>
      <c r="D9848" t="s">
        <v>17</v>
      </c>
      <c r="E9848" t="s">
        <v>12</v>
      </c>
      <c r="F9848">
        <v>133812086</v>
      </c>
      <c r="G9848">
        <v>133812122</v>
      </c>
      <c r="H9848">
        <v>133812086</v>
      </c>
      <c r="I9848">
        <v>133812122</v>
      </c>
    </row>
    <row r="9849" spans="1:9" x14ac:dyDescent="0.2">
      <c r="A9849" s="1" t="str">
        <f>"LRIF1"</f>
        <v>LRIF1</v>
      </c>
      <c r="B9849" t="s">
        <v>14</v>
      </c>
      <c r="C9849" t="s">
        <v>19</v>
      </c>
      <c r="D9849" t="s">
        <v>11</v>
      </c>
      <c r="E9849" t="s">
        <v>12</v>
      </c>
      <c r="F9849">
        <v>111506520</v>
      </c>
      <c r="G9849">
        <v>111506551</v>
      </c>
      <c r="H9849">
        <v>111506562</v>
      </c>
      <c r="I9849">
        <v>111506592</v>
      </c>
    </row>
    <row r="9850" spans="1:9" x14ac:dyDescent="0.2">
      <c r="A9850" s="1" t="str">
        <f>"LRIG1"</f>
        <v>LRIG1</v>
      </c>
      <c r="B9850" t="s">
        <v>14</v>
      </c>
      <c r="C9850" t="s">
        <v>22</v>
      </c>
      <c r="D9850" t="s">
        <v>11</v>
      </c>
      <c r="E9850" t="s">
        <v>12</v>
      </c>
      <c r="F9850">
        <v>66551397</v>
      </c>
      <c r="G9850">
        <v>66551454</v>
      </c>
      <c r="H9850">
        <v>66551526</v>
      </c>
      <c r="I9850">
        <v>66551560</v>
      </c>
    </row>
    <row r="9851" spans="1:9" x14ac:dyDescent="0.2">
      <c r="A9851" s="1" t="str">
        <f>"LRIG2"</f>
        <v>LRIG2</v>
      </c>
      <c r="B9851" t="s">
        <v>14</v>
      </c>
      <c r="C9851" t="s">
        <v>19</v>
      </c>
      <c r="D9851" t="s">
        <v>17</v>
      </c>
      <c r="E9851" t="s">
        <v>12</v>
      </c>
      <c r="F9851">
        <v>113615794</v>
      </c>
      <c r="G9851">
        <v>113615884</v>
      </c>
      <c r="H9851">
        <v>113615786</v>
      </c>
      <c r="I9851">
        <v>113615793</v>
      </c>
    </row>
    <row r="9852" spans="1:9" x14ac:dyDescent="0.2">
      <c r="A9852" s="1" t="str">
        <f>"LRIG3"</f>
        <v>LRIG3</v>
      </c>
      <c r="B9852" t="s">
        <v>14</v>
      </c>
      <c r="C9852" t="s">
        <v>16</v>
      </c>
      <c r="D9852" t="s">
        <v>11</v>
      </c>
      <c r="E9852" t="s">
        <v>12</v>
      </c>
      <c r="F9852">
        <v>59314246</v>
      </c>
      <c r="G9852">
        <v>59314305</v>
      </c>
      <c r="H9852">
        <v>59313958</v>
      </c>
      <c r="I9852">
        <v>59314020</v>
      </c>
    </row>
    <row r="9853" spans="1:9" x14ac:dyDescent="0.2">
      <c r="A9853" s="1" t="str">
        <f>"LRIT1"</f>
        <v>LRIT1</v>
      </c>
      <c r="B9853" t="s">
        <v>14</v>
      </c>
      <c r="C9853" t="s">
        <v>15</v>
      </c>
      <c r="D9853" t="s">
        <v>11</v>
      </c>
      <c r="E9853" t="s">
        <v>12</v>
      </c>
      <c r="F9853">
        <v>86001259</v>
      </c>
      <c r="G9853">
        <v>86001291</v>
      </c>
      <c r="H9853">
        <v>86001294</v>
      </c>
      <c r="I9853">
        <v>86001304</v>
      </c>
    </row>
    <row r="9854" spans="1:9" x14ac:dyDescent="0.2">
      <c r="A9854" s="1" t="str">
        <f>"LRIT2"</f>
        <v>LRIT2</v>
      </c>
      <c r="B9854" t="s">
        <v>14</v>
      </c>
      <c r="C9854" t="s">
        <v>15</v>
      </c>
      <c r="D9854" t="s">
        <v>11</v>
      </c>
      <c r="E9854" t="s">
        <v>12</v>
      </c>
      <c r="F9854">
        <v>85985294</v>
      </c>
      <c r="G9854">
        <v>85985305</v>
      </c>
      <c r="H9854">
        <v>85985282</v>
      </c>
      <c r="I9854">
        <v>85985289</v>
      </c>
    </row>
    <row r="9855" spans="1:9" x14ac:dyDescent="0.2">
      <c r="A9855" s="1" t="str">
        <f>"LRIT3"</f>
        <v>LRIT3</v>
      </c>
      <c r="B9855" t="s">
        <v>766</v>
      </c>
      <c r="C9855" t="s">
        <v>23</v>
      </c>
      <c r="D9855" t="s">
        <v>17</v>
      </c>
      <c r="E9855" t="s">
        <v>20</v>
      </c>
      <c r="F9855">
        <v>110769357</v>
      </c>
      <c r="G9855">
        <v>110769357</v>
      </c>
      <c r="H9855">
        <v>110769357</v>
      </c>
      <c r="I9855">
        <v>110769357</v>
      </c>
    </row>
    <row r="9856" spans="1:9" x14ac:dyDescent="0.2">
      <c r="A9856" s="1" t="str">
        <f>"LRMP"</f>
        <v>LRMP</v>
      </c>
      <c r="B9856" t="s">
        <v>14</v>
      </c>
      <c r="C9856" t="s">
        <v>16</v>
      </c>
      <c r="D9856" t="s">
        <v>17</v>
      </c>
      <c r="E9856" t="s">
        <v>12</v>
      </c>
      <c r="F9856">
        <v>25205446</v>
      </c>
      <c r="G9856">
        <v>25205566</v>
      </c>
      <c r="H9856">
        <v>25205628</v>
      </c>
      <c r="I9856">
        <v>25205657</v>
      </c>
    </row>
    <row r="9857" spans="1:9" x14ac:dyDescent="0.2">
      <c r="A9857" s="1" t="str">
        <f>"LRP1"</f>
        <v>LRP1</v>
      </c>
      <c r="B9857" t="s">
        <v>14</v>
      </c>
      <c r="C9857" t="s">
        <v>16</v>
      </c>
      <c r="D9857" t="s">
        <v>17</v>
      </c>
      <c r="E9857" t="s">
        <v>12</v>
      </c>
      <c r="F9857">
        <v>57522258</v>
      </c>
      <c r="G9857">
        <v>57522313</v>
      </c>
      <c r="H9857">
        <v>57522439</v>
      </c>
      <c r="I9857">
        <v>57522458</v>
      </c>
    </row>
    <row r="9858" spans="1:9" x14ac:dyDescent="0.2">
      <c r="A9858" s="1" t="str">
        <f>"LRP10"</f>
        <v>LRP10</v>
      </c>
      <c r="B9858" t="s">
        <v>14</v>
      </c>
      <c r="C9858" t="s">
        <v>41</v>
      </c>
      <c r="D9858" t="s">
        <v>17</v>
      </c>
      <c r="E9858" t="s">
        <v>12</v>
      </c>
      <c r="F9858">
        <v>23341013</v>
      </c>
      <c r="G9858">
        <v>23341067</v>
      </c>
      <c r="H9858">
        <v>23340941</v>
      </c>
      <c r="I9858">
        <v>23341004</v>
      </c>
    </row>
    <row r="9859" spans="1:9" x14ac:dyDescent="0.2">
      <c r="A9859" s="1" t="str">
        <f>"LRP11"</f>
        <v>LRP11</v>
      </c>
      <c r="B9859" t="s">
        <v>14</v>
      </c>
      <c r="C9859" t="s">
        <v>32</v>
      </c>
      <c r="D9859" t="s">
        <v>11</v>
      </c>
      <c r="E9859" t="s">
        <v>12</v>
      </c>
      <c r="F9859">
        <v>150185435</v>
      </c>
      <c r="G9859">
        <v>150185501</v>
      </c>
      <c r="H9859">
        <v>150185156</v>
      </c>
      <c r="I9859">
        <v>150185200</v>
      </c>
    </row>
    <row r="9860" spans="1:9" x14ac:dyDescent="0.2">
      <c r="A9860" s="1" t="str">
        <f>"LRP12"</f>
        <v>LRP12</v>
      </c>
      <c r="B9860" t="s">
        <v>14</v>
      </c>
      <c r="C9860" t="s">
        <v>30</v>
      </c>
      <c r="D9860" t="s">
        <v>11</v>
      </c>
      <c r="E9860" t="s">
        <v>12</v>
      </c>
      <c r="F9860">
        <v>105601469</v>
      </c>
      <c r="G9860">
        <v>105601520</v>
      </c>
      <c r="H9860">
        <v>105601234</v>
      </c>
      <c r="I9860">
        <v>105601278</v>
      </c>
    </row>
    <row r="9861" spans="1:9" x14ac:dyDescent="0.2">
      <c r="A9861" s="1" t="str">
        <f>"LRP1B"</f>
        <v>LRP1B</v>
      </c>
      <c r="B9861" t="s">
        <v>14</v>
      </c>
      <c r="C9861" t="s">
        <v>26</v>
      </c>
      <c r="D9861" t="s">
        <v>11</v>
      </c>
      <c r="E9861" t="s">
        <v>12</v>
      </c>
      <c r="F9861">
        <v>142888525</v>
      </c>
      <c r="G9861">
        <v>142888547</v>
      </c>
      <c r="H9861">
        <v>142888550</v>
      </c>
      <c r="I9861">
        <v>142888567</v>
      </c>
    </row>
    <row r="9862" spans="1:9" x14ac:dyDescent="0.2">
      <c r="A9862" s="1" t="str">
        <f>"LRP2"</f>
        <v>LRP2</v>
      </c>
      <c r="B9862" t="s">
        <v>14</v>
      </c>
      <c r="C9862" t="s">
        <v>26</v>
      </c>
      <c r="D9862" t="s">
        <v>11</v>
      </c>
      <c r="E9862" t="s">
        <v>12</v>
      </c>
      <c r="F9862">
        <v>170219037</v>
      </c>
      <c r="G9862">
        <v>170219050</v>
      </c>
      <c r="H9862">
        <v>170219007</v>
      </c>
      <c r="I9862">
        <v>170219018</v>
      </c>
    </row>
    <row r="9863" spans="1:9" x14ac:dyDescent="0.2">
      <c r="A9863" s="1" t="str">
        <f>"LRP2BP"</f>
        <v>LRP2BP</v>
      </c>
      <c r="B9863" t="s">
        <v>14</v>
      </c>
      <c r="C9863" t="s">
        <v>23</v>
      </c>
      <c r="D9863" t="s">
        <v>11</v>
      </c>
      <c r="E9863" t="s">
        <v>12</v>
      </c>
      <c r="F9863">
        <v>186317034</v>
      </c>
      <c r="G9863">
        <v>186317083</v>
      </c>
      <c r="H9863">
        <v>186317476</v>
      </c>
      <c r="I9863">
        <v>186317505</v>
      </c>
    </row>
    <row r="9864" spans="1:9" x14ac:dyDescent="0.2">
      <c r="A9864" s="1" t="str">
        <f>"LRP3"</f>
        <v>LRP3</v>
      </c>
      <c r="B9864" t="s">
        <v>14</v>
      </c>
      <c r="C9864" t="s">
        <v>10</v>
      </c>
      <c r="D9864" t="s">
        <v>17</v>
      </c>
      <c r="E9864" t="s">
        <v>12</v>
      </c>
      <c r="F9864">
        <v>33685215</v>
      </c>
      <c r="G9864">
        <v>33685270</v>
      </c>
      <c r="H9864">
        <v>33685135</v>
      </c>
      <c r="I9864">
        <v>33685191</v>
      </c>
    </row>
    <row r="9865" spans="1:9" x14ac:dyDescent="0.2">
      <c r="A9865" s="1" t="str">
        <f>"LRP4"</f>
        <v>LRP4</v>
      </c>
      <c r="B9865" t="s">
        <v>14</v>
      </c>
      <c r="C9865" t="s">
        <v>27</v>
      </c>
      <c r="D9865" t="s">
        <v>11</v>
      </c>
      <c r="E9865" t="s">
        <v>12</v>
      </c>
      <c r="F9865">
        <v>46940074</v>
      </c>
      <c r="G9865">
        <v>46940135</v>
      </c>
      <c r="H9865">
        <v>46940178</v>
      </c>
      <c r="I9865">
        <v>46940209</v>
      </c>
    </row>
    <row r="9866" spans="1:9" x14ac:dyDescent="0.2">
      <c r="A9866" s="1" t="str">
        <f>"LRP5"</f>
        <v>LRP5</v>
      </c>
      <c r="B9866" t="s">
        <v>14</v>
      </c>
      <c r="C9866" t="s">
        <v>27</v>
      </c>
      <c r="D9866" t="s">
        <v>17</v>
      </c>
      <c r="E9866" t="s">
        <v>12</v>
      </c>
      <c r="F9866">
        <v>68080084</v>
      </c>
      <c r="G9866">
        <v>68080127</v>
      </c>
      <c r="H9866">
        <v>68080047</v>
      </c>
      <c r="I9866">
        <v>68080067</v>
      </c>
    </row>
    <row r="9867" spans="1:9" x14ac:dyDescent="0.2">
      <c r="A9867" s="1" t="str">
        <f>"LRP5L"</f>
        <v>LRP5L</v>
      </c>
      <c r="B9867" t="s">
        <v>14</v>
      </c>
      <c r="C9867" t="s">
        <v>21</v>
      </c>
      <c r="D9867" t="s">
        <v>11</v>
      </c>
      <c r="E9867" t="s">
        <v>12</v>
      </c>
      <c r="F9867">
        <v>25801333</v>
      </c>
      <c r="G9867">
        <v>25801384</v>
      </c>
      <c r="H9867">
        <v>25801391</v>
      </c>
      <c r="I9867">
        <v>25801396</v>
      </c>
    </row>
    <row r="9868" spans="1:9" x14ac:dyDescent="0.2">
      <c r="A9868" s="1" t="str">
        <f>"LRP6"</f>
        <v>LRP6</v>
      </c>
      <c r="B9868" t="s">
        <v>14</v>
      </c>
      <c r="C9868" t="s">
        <v>16</v>
      </c>
      <c r="D9868" t="s">
        <v>11</v>
      </c>
      <c r="E9868" t="s">
        <v>12</v>
      </c>
      <c r="F9868">
        <v>12419905</v>
      </c>
      <c r="G9868">
        <v>12419989</v>
      </c>
      <c r="H9868">
        <v>12419780</v>
      </c>
      <c r="I9868">
        <v>12419811</v>
      </c>
    </row>
    <row r="9869" spans="1:9" x14ac:dyDescent="0.2">
      <c r="A9869" s="1" t="str">
        <f>"LRP8"</f>
        <v>LRP8</v>
      </c>
      <c r="B9869" t="s">
        <v>14</v>
      </c>
      <c r="C9869" t="s">
        <v>19</v>
      </c>
      <c r="D9869" t="s">
        <v>11</v>
      </c>
      <c r="E9869" t="s">
        <v>12</v>
      </c>
      <c r="F9869">
        <v>53793725</v>
      </c>
      <c r="G9869">
        <v>53793789</v>
      </c>
      <c r="H9869">
        <v>53793705</v>
      </c>
      <c r="I9869">
        <v>53793719</v>
      </c>
    </row>
    <row r="9870" spans="1:9" x14ac:dyDescent="0.2">
      <c r="A9870" s="1" t="str">
        <f>"LRPAP1"</f>
        <v>LRPAP1</v>
      </c>
      <c r="B9870" t="s">
        <v>14</v>
      </c>
      <c r="C9870" t="s">
        <v>23</v>
      </c>
      <c r="D9870" t="s">
        <v>11</v>
      </c>
      <c r="E9870" t="s">
        <v>12</v>
      </c>
      <c r="F9870">
        <v>3534139</v>
      </c>
      <c r="G9870">
        <v>3534158</v>
      </c>
      <c r="H9870">
        <v>3534139</v>
      </c>
      <c r="I9870">
        <v>3534158</v>
      </c>
    </row>
    <row r="9871" spans="1:9" x14ac:dyDescent="0.2">
      <c r="A9871" s="1" t="str">
        <f>"LRPPRC"</f>
        <v>LRPPRC</v>
      </c>
      <c r="B9871" t="s">
        <v>14</v>
      </c>
      <c r="C9871" t="s">
        <v>26</v>
      </c>
      <c r="D9871" t="s">
        <v>11</v>
      </c>
      <c r="E9871" t="s">
        <v>12</v>
      </c>
      <c r="F9871">
        <v>44223089</v>
      </c>
      <c r="G9871">
        <v>44223135</v>
      </c>
      <c r="H9871">
        <v>44223138</v>
      </c>
      <c r="I9871">
        <v>44223149</v>
      </c>
    </row>
    <row r="9872" spans="1:9" x14ac:dyDescent="0.2">
      <c r="A9872" s="1" t="str">
        <f>"LRR1"</f>
        <v>LRR1</v>
      </c>
      <c r="B9872" t="s">
        <v>14</v>
      </c>
      <c r="C9872" t="s">
        <v>41</v>
      </c>
      <c r="D9872" t="s">
        <v>17</v>
      </c>
      <c r="E9872" t="s">
        <v>12</v>
      </c>
      <c r="F9872">
        <v>50065639</v>
      </c>
      <c r="G9872">
        <v>50065674</v>
      </c>
      <c r="H9872">
        <v>50065693</v>
      </c>
      <c r="I9872">
        <v>50065746</v>
      </c>
    </row>
    <row r="9873" spans="1:9" x14ac:dyDescent="0.2">
      <c r="A9873" s="1" t="str">
        <f>"LRRC1"</f>
        <v>LRRC1</v>
      </c>
      <c r="B9873" t="s">
        <v>14</v>
      </c>
      <c r="C9873" t="s">
        <v>32</v>
      </c>
      <c r="D9873" t="s">
        <v>17</v>
      </c>
      <c r="E9873" t="s">
        <v>12</v>
      </c>
      <c r="F9873">
        <v>53659746</v>
      </c>
      <c r="G9873">
        <v>53659817</v>
      </c>
      <c r="H9873">
        <v>53659877</v>
      </c>
      <c r="I9873">
        <v>53659907</v>
      </c>
    </row>
    <row r="9874" spans="1:9" x14ac:dyDescent="0.2">
      <c r="A9874" s="1" t="str">
        <f>"LRRC10"</f>
        <v>LRRC10</v>
      </c>
      <c r="B9874" t="s">
        <v>14</v>
      </c>
      <c r="C9874" t="s">
        <v>16</v>
      </c>
      <c r="D9874" t="s">
        <v>11</v>
      </c>
      <c r="E9874" t="s">
        <v>12</v>
      </c>
      <c r="F9874">
        <v>70004648</v>
      </c>
      <c r="G9874">
        <v>70004694</v>
      </c>
      <c r="H9874">
        <v>70004622</v>
      </c>
      <c r="I9874">
        <v>70004647</v>
      </c>
    </row>
    <row r="9875" spans="1:9" x14ac:dyDescent="0.2">
      <c r="A9875" s="1" t="str">
        <f>"LRRC10B"</f>
        <v>LRRC10B</v>
      </c>
      <c r="B9875" t="s">
        <v>14</v>
      </c>
      <c r="C9875" t="s">
        <v>27</v>
      </c>
      <c r="D9875" t="s">
        <v>17</v>
      </c>
      <c r="E9875" t="s">
        <v>12</v>
      </c>
      <c r="F9875">
        <v>61276214</v>
      </c>
      <c r="G9875">
        <v>61276227</v>
      </c>
      <c r="H9875">
        <v>61276214</v>
      </c>
      <c r="I9875">
        <v>61276227</v>
      </c>
    </row>
    <row r="9876" spans="1:9" x14ac:dyDescent="0.2">
      <c r="A9876" s="1" t="str">
        <f>"LRRC14"</f>
        <v>LRRC14</v>
      </c>
      <c r="B9876" t="s">
        <v>9</v>
      </c>
      <c r="C9876" t="s">
        <v>30</v>
      </c>
      <c r="D9876" t="s">
        <v>17</v>
      </c>
      <c r="E9876" t="s">
        <v>12</v>
      </c>
      <c r="F9876">
        <v>145743360</v>
      </c>
      <c r="G9876">
        <v>145743401</v>
      </c>
      <c r="H9876">
        <v>145743360</v>
      </c>
      <c r="I9876">
        <v>145743401</v>
      </c>
    </row>
    <row r="9877" spans="1:9" x14ac:dyDescent="0.2">
      <c r="A9877" s="1" t="str">
        <f>"LRRC14"</f>
        <v>LRRC14</v>
      </c>
      <c r="B9877" t="s">
        <v>13</v>
      </c>
      <c r="C9877" t="s">
        <v>30</v>
      </c>
      <c r="D9877" t="s">
        <v>17</v>
      </c>
      <c r="E9877" t="s">
        <v>12</v>
      </c>
      <c r="F9877">
        <v>145747889</v>
      </c>
      <c r="G9877">
        <v>145747969</v>
      </c>
      <c r="H9877">
        <v>145747889</v>
      </c>
      <c r="I9877">
        <v>145747969</v>
      </c>
    </row>
    <row r="9878" spans="1:9" x14ac:dyDescent="0.2">
      <c r="A9878" s="1" t="str">
        <f>"LRRC14B"</f>
        <v>LRRC14B</v>
      </c>
      <c r="B9878" t="s">
        <v>14</v>
      </c>
      <c r="C9878" t="s">
        <v>46</v>
      </c>
      <c r="D9878" t="s">
        <v>17</v>
      </c>
      <c r="E9878" t="s">
        <v>12</v>
      </c>
      <c r="F9878">
        <v>191592</v>
      </c>
      <c r="G9878">
        <v>191615</v>
      </c>
      <c r="H9878">
        <v>191752</v>
      </c>
      <c r="I9878">
        <v>191765</v>
      </c>
    </row>
    <row r="9879" spans="1:9" x14ac:dyDescent="0.2">
      <c r="A9879" s="1" t="str">
        <f>"LRRC15"</f>
        <v>LRRC15</v>
      </c>
      <c r="B9879" t="s">
        <v>14</v>
      </c>
      <c r="C9879" t="s">
        <v>22</v>
      </c>
      <c r="D9879" t="s">
        <v>11</v>
      </c>
      <c r="E9879" t="s">
        <v>12</v>
      </c>
      <c r="F9879">
        <v>194090463</v>
      </c>
      <c r="G9879">
        <v>194090479</v>
      </c>
      <c r="H9879">
        <v>194090463</v>
      </c>
      <c r="I9879">
        <v>194090479</v>
      </c>
    </row>
    <row r="9880" spans="1:9" x14ac:dyDescent="0.2">
      <c r="A9880" s="1" t="str">
        <f>"LRRC16A"</f>
        <v>LRRC16A</v>
      </c>
      <c r="B9880" t="s">
        <v>14</v>
      </c>
      <c r="C9880" t="s">
        <v>32</v>
      </c>
      <c r="D9880" t="s">
        <v>17</v>
      </c>
      <c r="E9880" t="s">
        <v>12</v>
      </c>
      <c r="F9880">
        <v>25279587</v>
      </c>
      <c r="G9880">
        <v>25279648</v>
      </c>
      <c r="H9880">
        <v>25279651</v>
      </c>
      <c r="I9880">
        <v>25279727</v>
      </c>
    </row>
    <row r="9881" spans="1:9" x14ac:dyDescent="0.2">
      <c r="A9881" s="1" t="str">
        <f>"LRRC16B"</f>
        <v>LRRC16B</v>
      </c>
      <c r="B9881" t="s">
        <v>14</v>
      </c>
      <c r="C9881" t="s">
        <v>41</v>
      </c>
      <c r="D9881" t="s">
        <v>17</v>
      </c>
      <c r="E9881" t="s">
        <v>12</v>
      </c>
      <c r="F9881">
        <v>24521202</v>
      </c>
      <c r="G9881">
        <v>24521267</v>
      </c>
      <c r="H9881">
        <v>24521146</v>
      </c>
      <c r="I9881">
        <v>24521159</v>
      </c>
    </row>
    <row r="9882" spans="1:9" x14ac:dyDescent="0.2">
      <c r="A9882" s="1" t="str">
        <f>"LRRC17"</f>
        <v>LRRC17</v>
      </c>
      <c r="B9882" t="s">
        <v>14</v>
      </c>
      <c r="C9882" t="s">
        <v>33</v>
      </c>
      <c r="D9882" t="s">
        <v>17</v>
      </c>
      <c r="E9882" t="s">
        <v>12</v>
      </c>
      <c r="F9882">
        <v>102553430</v>
      </c>
      <c r="G9882">
        <v>102553456</v>
      </c>
      <c r="H9882">
        <v>102553470</v>
      </c>
      <c r="I9882">
        <v>102553487</v>
      </c>
    </row>
    <row r="9883" spans="1:9" x14ac:dyDescent="0.2">
      <c r="A9883" s="1" t="str">
        <f>"LRRC18"</f>
        <v>LRRC18</v>
      </c>
      <c r="B9883" t="s">
        <v>14</v>
      </c>
      <c r="C9883" t="s">
        <v>15</v>
      </c>
      <c r="D9883" t="s">
        <v>11</v>
      </c>
      <c r="E9883" t="s">
        <v>67</v>
      </c>
      <c r="F9883">
        <v>50143250</v>
      </c>
      <c r="G9883">
        <v>50143257</v>
      </c>
      <c r="H9883">
        <v>50143250</v>
      </c>
      <c r="I9883">
        <v>50143257</v>
      </c>
    </row>
    <row r="9884" spans="1:9" x14ac:dyDescent="0.2">
      <c r="A9884" s="1" t="str">
        <f>"LRRC19"</f>
        <v>LRRC19</v>
      </c>
      <c r="B9884" t="s">
        <v>14</v>
      </c>
      <c r="C9884" t="s">
        <v>24</v>
      </c>
      <c r="D9884" t="s">
        <v>11</v>
      </c>
      <c r="E9884" t="s">
        <v>12</v>
      </c>
      <c r="F9884">
        <v>27005657</v>
      </c>
      <c r="G9884">
        <v>27005675</v>
      </c>
      <c r="H9884">
        <v>27005640</v>
      </c>
      <c r="I9884">
        <v>27005656</v>
      </c>
    </row>
    <row r="9885" spans="1:9" x14ac:dyDescent="0.2">
      <c r="A9885" s="1" t="str">
        <f>"LRRC2"</f>
        <v>LRRC2</v>
      </c>
      <c r="B9885" t="s">
        <v>14</v>
      </c>
      <c r="C9885" t="s">
        <v>22</v>
      </c>
      <c r="D9885" t="s">
        <v>11</v>
      </c>
      <c r="E9885" t="s">
        <v>12</v>
      </c>
      <c r="F9885">
        <v>46607767</v>
      </c>
      <c r="G9885">
        <v>46607810</v>
      </c>
      <c r="H9885">
        <v>46607722</v>
      </c>
      <c r="I9885">
        <v>46607747</v>
      </c>
    </row>
    <row r="9886" spans="1:9" x14ac:dyDescent="0.2">
      <c r="A9886" s="1" t="str">
        <f>"LRRC20"</f>
        <v>LRRC20</v>
      </c>
      <c r="B9886" t="s">
        <v>14</v>
      </c>
      <c r="C9886" t="s">
        <v>15</v>
      </c>
      <c r="D9886" t="s">
        <v>11</v>
      </c>
      <c r="E9886" t="s">
        <v>12</v>
      </c>
      <c r="F9886">
        <v>72142364</v>
      </c>
      <c r="G9886">
        <v>72142395</v>
      </c>
      <c r="H9886">
        <v>72142364</v>
      </c>
      <c r="I9886">
        <v>72142395</v>
      </c>
    </row>
    <row r="9887" spans="1:9" x14ac:dyDescent="0.2">
      <c r="A9887" s="1" t="str">
        <f>"LRRC23"</f>
        <v>LRRC23</v>
      </c>
      <c r="B9887" t="s">
        <v>14</v>
      </c>
      <c r="C9887" t="s">
        <v>16</v>
      </c>
      <c r="D9887" t="s">
        <v>17</v>
      </c>
      <c r="E9887" t="s">
        <v>12</v>
      </c>
      <c r="F9887">
        <v>7013965</v>
      </c>
      <c r="G9887">
        <v>7014045</v>
      </c>
      <c r="H9887">
        <v>7013965</v>
      </c>
      <c r="I9887">
        <v>7014045</v>
      </c>
    </row>
    <row r="9888" spans="1:9" x14ac:dyDescent="0.2">
      <c r="A9888" s="1" t="str">
        <f>"LRRC24"</f>
        <v>LRRC24</v>
      </c>
      <c r="B9888" t="s">
        <v>14</v>
      </c>
      <c r="C9888" t="s">
        <v>30</v>
      </c>
      <c r="D9888" t="s">
        <v>11</v>
      </c>
      <c r="E9888" t="s">
        <v>12</v>
      </c>
      <c r="F9888">
        <v>145752390</v>
      </c>
      <c r="G9888">
        <v>145752429</v>
      </c>
      <c r="H9888">
        <v>145752558</v>
      </c>
      <c r="I9888">
        <v>145752606</v>
      </c>
    </row>
    <row r="9889" spans="1:9" x14ac:dyDescent="0.2">
      <c r="A9889" s="1" t="str">
        <f>"LRRC25"</f>
        <v>LRRC25</v>
      </c>
      <c r="B9889" t="s">
        <v>14</v>
      </c>
      <c r="C9889" t="s">
        <v>10</v>
      </c>
      <c r="D9889" t="s">
        <v>11</v>
      </c>
      <c r="E9889" t="s">
        <v>12</v>
      </c>
      <c r="F9889">
        <v>18508396</v>
      </c>
      <c r="G9889">
        <v>18508460</v>
      </c>
      <c r="H9889">
        <v>18508474</v>
      </c>
      <c r="I9889">
        <v>18508483</v>
      </c>
    </row>
    <row r="9890" spans="1:9" x14ac:dyDescent="0.2">
      <c r="A9890" s="1" t="str">
        <f>"LRRC26"</f>
        <v>LRRC26</v>
      </c>
      <c r="B9890" t="s">
        <v>14</v>
      </c>
      <c r="C9890" t="s">
        <v>24</v>
      </c>
      <c r="D9890" t="s">
        <v>11</v>
      </c>
      <c r="E9890" t="s">
        <v>12</v>
      </c>
      <c r="F9890">
        <v>140064496</v>
      </c>
      <c r="G9890">
        <v>140064510</v>
      </c>
      <c r="H9890">
        <v>140064363</v>
      </c>
      <c r="I9890">
        <v>140064375</v>
      </c>
    </row>
    <row r="9891" spans="1:9" x14ac:dyDescent="0.2">
      <c r="A9891" s="1" t="str">
        <f>"LRRC27"</f>
        <v>LRRC27</v>
      </c>
      <c r="B9891" t="s">
        <v>14</v>
      </c>
      <c r="C9891" t="s">
        <v>15</v>
      </c>
      <c r="D9891" t="s">
        <v>17</v>
      </c>
      <c r="E9891" t="s">
        <v>12</v>
      </c>
      <c r="F9891">
        <v>134145640</v>
      </c>
      <c r="G9891">
        <v>134145724</v>
      </c>
      <c r="H9891">
        <v>134145608</v>
      </c>
      <c r="I9891">
        <v>134145625</v>
      </c>
    </row>
    <row r="9892" spans="1:9" x14ac:dyDescent="0.2">
      <c r="A9892" s="1" t="str">
        <f>"LRRC28"</f>
        <v>LRRC28</v>
      </c>
      <c r="B9892" t="s">
        <v>14</v>
      </c>
      <c r="C9892" t="s">
        <v>25</v>
      </c>
      <c r="D9892" t="s">
        <v>17</v>
      </c>
      <c r="E9892" t="s">
        <v>12</v>
      </c>
      <c r="F9892">
        <v>99791649</v>
      </c>
      <c r="G9892">
        <v>99791715</v>
      </c>
      <c r="H9892">
        <v>99791716</v>
      </c>
      <c r="I9892">
        <v>99791728</v>
      </c>
    </row>
    <row r="9893" spans="1:9" x14ac:dyDescent="0.2">
      <c r="A9893" s="1" t="str">
        <f>"LRRC29"</f>
        <v>LRRC29</v>
      </c>
      <c r="B9893" t="s">
        <v>14</v>
      </c>
      <c r="C9893" t="s">
        <v>31</v>
      </c>
      <c r="D9893" t="s">
        <v>11</v>
      </c>
      <c r="E9893" t="s">
        <v>12</v>
      </c>
      <c r="F9893">
        <v>67260905</v>
      </c>
      <c r="G9893">
        <v>67260952</v>
      </c>
      <c r="H9893">
        <v>67260731</v>
      </c>
      <c r="I9893">
        <v>67260754</v>
      </c>
    </row>
    <row r="9894" spans="1:9" x14ac:dyDescent="0.2">
      <c r="A9894" s="1" t="str">
        <f>"LRRC3"</f>
        <v>LRRC3</v>
      </c>
      <c r="B9894" t="s">
        <v>14</v>
      </c>
      <c r="C9894" t="s">
        <v>42</v>
      </c>
      <c r="D9894" t="s">
        <v>17</v>
      </c>
      <c r="E9894" t="s">
        <v>12</v>
      </c>
      <c r="F9894">
        <v>45875354</v>
      </c>
      <c r="G9894">
        <v>45875420</v>
      </c>
      <c r="H9894">
        <v>45876075</v>
      </c>
      <c r="I9894">
        <v>45876090</v>
      </c>
    </row>
    <row r="9895" spans="1:9" x14ac:dyDescent="0.2">
      <c r="A9895" s="1" t="str">
        <f>"LRRC30"</f>
        <v>LRRC30</v>
      </c>
      <c r="B9895" t="s">
        <v>14</v>
      </c>
      <c r="C9895" t="s">
        <v>43</v>
      </c>
      <c r="D9895" t="s">
        <v>17</v>
      </c>
      <c r="E9895" t="s">
        <v>12</v>
      </c>
      <c r="F9895">
        <v>7230865</v>
      </c>
      <c r="G9895">
        <v>7230874</v>
      </c>
      <c r="H9895">
        <v>7230865</v>
      </c>
      <c r="I9895">
        <v>7230874</v>
      </c>
    </row>
    <row r="9896" spans="1:9" x14ac:dyDescent="0.2">
      <c r="A9896" s="1" t="str">
        <f>"LRRC31"</f>
        <v>LRRC31</v>
      </c>
      <c r="B9896" t="s">
        <v>14</v>
      </c>
      <c r="C9896" t="s">
        <v>22</v>
      </c>
      <c r="D9896" t="s">
        <v>11</v>
      </c>
      <c r="E9896" t="s">
        <v>12</v>
      </c>
      <c r="F9896">
        <v>169587717</v>
      </c>
      <c r="G9896">
        <v>169587728</v>
      </c>
      <c r="H9896">
        <v>169587660</v>
      </c>
      <c r="I9896">
        <v>169587673</v>
      </c>
    </row>
    <row r="9897" spans="1:9" x14ac:dyDescent="0.2">
      <c r="A9897" s="1" t="str">
        <f>"LRRC32"</f>
        <v>LRRC32</v>
      </c>
      <c r="B9897" t="s">
        <v>14</v>
      </c>
      <c r="C9897" t="s">
        <v>27</v>
      </c>
      <c r="D9897" t="s">
        <v>11</v>
      </c>
      <c r="E9897" t="s">
        <v>12</v>
      </c>
      <c r="F9897">
        <v>76381781</v>
      </c>
      <c r="G9897">
        <v>76381798</v>
      </c>
      <c r="H9897">
        <v>76380944</v>
      </c>
      <c r="I9897">
        <v>76380989</v>
      </c>
    </row>
    <row r="9898" spans="1:9" x14ac:dyDescent="0.2">
      <c r="A9898" s="1" t="str">
        <f>"LRRC34"</f>
        <v>LRRC34</v>
      </c>
      <c r="B9898" t="s">
        <v>14</v>
      </c>
      <c r="C9898" t="s">
        <v>22</v>
      </c>
      <c r="D9898" t="s">
        <v>11</v>
      </c>
      <c r="E9898" t="s">
        <v>12</v>
      </c>
      <c r="F9898">
        <v>169530660</v>
      </c>
      <c r="G9898">
        <v>169530727</v>
      </c>
      <c r="H9898">
        <v>169530320</v>
      </c>
      <c r="I9898">
        <v>169530344</v>
      </c>
    </row>
    <row r="9899" spans="1:9" x14ac:dyDescent="0.2">
      <c r="A9899" s="1" t="str">
        <f>"LRRC36"</f>
        <v>LRRC36</v>
      </c>
      <c r="B9899" t="s">
        <v>9</v>
      </c>
      <c r="C9899" t="s">
        <v>31</v>
      </c>
      <c r="D9899" t="s">
        <v>17</v>
      </c>
      <c r="E9899" t="s">
        <v>12</v>
      </c>
      <c r="F9899">
        <v>67360712</v>
      </c>
      <c r="G9899">
        <v>67360752</v>
      </c>
      <c r="H9899">
        <v>67360712</v>
      </c>
      <c r="I9899">
        <v>67360752</v>
      </c>
    </row>
    <row r="9900" spans="1:9" x14ac:dyDescent="0.2">
      <c r="A9900" s="1" t="str">
        <f>"LRRC36"</f>
        <v>LRRC36</v>
      </c>
      <c r="B9900" t="s">
        <v>13</v>
      </c>
      <c r="C9900" t="s">
        <v>31</v>
      </c>
      <c r="D9900" t="s">
        <v>17</v>
      </c>
      <c r="E9900" t="s">
        <v>12</v>
      </c>
      <c r="F9900">
        <v>67381263</v>
      </c>
      <c r="G9900">
        <v>67381284</v>
      </c>
      <c r="H9900">
        <v>67381263</v>
      </c>
      <c r="I9900">
        <v>67381284</v>
      </c>
    </row>
    <row r="9901" spans="1:9" x14ac:dyDescent="0.2">
      <c r="A9901" s="1" t="str">
        <f>"LRRC37A"</f>
        <v>LRRC37A</v>
      </c>
      <c r="B9901" t="s">
        <v>767</v>
      </c>
      <c r="C9901" t="s">
        <v>28</v>
      </c>
      <c r="D9901" t="s">
        <v>17</v>
      </c>
      <c r="E9901" t="s">
        <v>20</v>
      </c>
      <c r="F9901">
        <v>44372480</v>
      </c>
      <c r="G9901">
        <v>44372480</v>
      </c>
      <c r="H9901">
        <v>44372480</v>
      </c>
      <c r="I9901">
        <v>44372480</v>
      </c>
    </row>
    <row r="9902" spans="1:9" x14ac:dyDescent="0.2">
      <c r="A9902" s="1" t="str">
        <f>"LRRC37A2"</f>
        <v>LRRC37A2</v>
      </c>
      <c r="B9902" t="s">
        <v>768</v>
      </c>
      <c r="C9902" t="s">
        <v>28</v>
      </c>
      <c r="D9902" t="s">
        <v>17</v>
      </c>
      <c r="E9902" t="s">
        <v>20</v>
      </c>
      <c r="F9902">
        <v>44590075</v>
      </c>
      <c r="G9902">
        <v>44590075</v>
      </c>
      <c r="H9902">
        <v>44590075</v>
      </c>
      <c r="I9902">
        <v>44590075</v>
      </c>
    </row>
    <row r="9903" spans="1:9" x14ac:dyDescent="0.2">
      <c r="A9903" s="1" t="str">
        <f>"LRRC37A2"</f>
        <v>LRRC37A2</v>
      </c>
      <c r="B9903" t="s">
        <v>769</v>
      </c>
      <c r="C9903" t="s">
        <v>28</v>
      </c>
      <c r="D9903" t="s">
        <v>17</v>
      </c>
      <c r="E9903" t="s">
        <v>20</v>
      </c>
      <c r="F9903">
        <v>44588876</v>
      </c>
      <c r="G9903">
        <v>44588876</v>
      </c>
      <c r="H9903">
        <v>44588876</v>
      </c>
      <c r="I9903">
        <v>44588876</v>
      </c>
    </row>
    <row r="9904" spans="1:9" x14ac:dyDescent="0.2">
      <c r="A9904" s="1" t="str">
        <f>"LRRC37A3"</f>
        <v>LRRC37A3</v>
      </c>
      <c r="B9904" t="s">
        <v>14</v>
      </c>
      <c r="C9904" t="s">
        <v>28</v>
      </c>
      <c r="D9904" t="s">
        <v>11</v>
      </c>
      <c r="E9904" t="s">
        <v>12</v>
      </c>
      <c r="F9904">
        <v>62915574</v>
      </c>
      <c r="G9904">
        <v>62915606</v>
      </c>
      <c r="H9904">
        <v>62915574</v>
      </c>
      <c r="I9904">
        <v>62915606</v>
      </c>
    </row>
    <row r="9905" spans="1:9" x14ac:dyDescent="0.2">
      <c r="A9905" s="1" t="str">
        <f>"LRRC37B"</f>
        <v>LRRC37B</v>
      </c>
      <c r="B9905" t="s">
        <v>14</v>
      </c>
      <c r="C9905" t="s">
        <v>28</v>
      </c>
      <c r="D9905" t="s">
        <v>17</v>
      </c>
      <c r="E9905" t="s">
        <v>12</v>
      </c>
      <c r="F9905">
        <v>30334580</v>
      </c>
      <c r="G9905">
        <v>30334614</v>
      </c>
      <c r="H9905">
        <v>30334999</v>
      </c>
      <c r="I9905">
        <v>30335043</v>
      </c>
    </row>
    <row r="9906" spans="1:9" x14ac:dyDescent="0.2">
      <c r="A9906" s="1" t="str">
        <f>"LRRC38"</f>
        <v>LRRC38</v>
      </c>
      <c r="B9906" t="s">
        <v>14</v>
      </c>
      <c r="C9906" t="s">
        <v>19</v>
      </c>
      <c r="D9906" t="s">
        <v>11</v>
      </c>
      <c r="E9906" t="s">
        <v>12</v>
      </c>
      <c r="F9906">
        <v>13840483</v>
      </c>
      <c r="G9906">
        <v>13840521</v>
      </c>
      <c r="H9906">
        <v>13840242</v>
      </c>
      <c r="I9906">
        <v>13840268</v>
      </c>
    </row>
    <row r="9907" spans="1:9" x14ac:dyDescent="0.2">
      <c r="A9907" s="1" t="str">
        <f>"LRRC39"</f>
        <v>LRRC39</v>
      </c>
      <c r="B9907" t="s">
        <v>14</v>
      </c>
      <c r="C9907" t="s">
        <v>19</v>
      </c>
      <c r="D9907" t="s">
        <v>11</v>
      </c>
      <c r="E9907" t="s">
        <v>12</v>
      </c>
      <c r="F9907">
        <v>100643765</v>
      </c>
      <c r="G9907">
        <v>100643829</v>
      </c>
      <c r="H9907">
        <v>100643734</v>
      </c>
      <c r="I9907">
        <v>100643745</v>
      </c>
    </row>
    <row r="9908" spans="1:9" x14ac:dyDescent="0.2">
      <c r="A9908" s="1" t="str">
        <f>"LRRC3B"</f>
        <v>LRRC3B</v>
      </c>
      <c r="B9908" t="s">
        <v>14</v>
      </c>
      <c r="C9908" t="s">
        <v>22</v>
      </c>
      <c r="D9908" t="s">
        <v>17</v>
      </c>
      <c r="E9908" t="s">
        <v>12</v>
      </c>
      <c r="F9908">
        <v>26664291</v>
      </c>
      <c r="G9908">
        <v>26664329</v>
      </c>
      <c r="H9908">
        <v>26664129</v>
      </c>
      <c r="I9908">
        <v>26664149</v>
      </c>
    </row>
    <row r="9909" spans="1:9" x14ac:dyDescent="0.2">
      <c r="A9909" s="1" t="str">
        <f>"LRRC3C"</f>
        <v>LRRC3C</v>
      </c>
      <c r="B9909" t="s">
        <v>770</v>
      </c>
      <c r="C9909" t="s">
        <v>28</v>
      </c>
      <c r="D9909" t="s">
        <v>17</v>
      </c>
      <c r="E9909" t="s">
        <v>20</v>
      </c>
      <c r="F9909">
        <v>38097726</v>
      </c>
      <c r="G9909">
        <v>38097726</v>
      </c>
      <c r="H9909">
        <v>38097726</v>
      </c>
      <c r="I9909">
        <v>38097726</v>
      </c>
    </row>
    <row r="9910" spans="1:9" x14ac:dyDescent="0.2">
      <c r="A9910" s="1" t="str">
        <f>"LRRC4"</f>
        <v>LRRC4</v>
      </c>
      <c r="B9910" t="s">
        <v>14</v>
      </c>
      <c r="C9910" t="s">
        <v>33</v>
      </c>
      <c r="D9910" t="s">
        <v>11</v>
      </c>
      <c r="E9910" t="s">
        <v>12</v>
      </c>
      <c r="F9910">
        <v>127672173</v>
      </c>
      <c r="G9910">
        <v>127672191</v>
      </c>
      <c r="H9910">
        <v>127672449</v>
      </c>
      <c r="I9910">
        <v>127672504</v>
      </c>
    </row>
    <row r="9911" spans="1:9" x14ac:dyDescent="0.2">
      <c r="A9911" s="1" t="str">
        <f>"LRRC40"</f>
        <v>LRRC40</v>
      </c>
      <c r="B9911" t="s">
        <v>14</v>
      </c>
      <c r="C9911" t="s">
        <v>19</v>
      </c>
      <c r="D9911" t="s">
        <v>11</v>
      </c>
      <c r="E9911" t="s">
        <v>12</v>
      </c>
      <c r="F9911">
        <v>70671216</v>
      </c>
      <c r="G9911">
        <v>70671280</v>
      </c>
      <c r="H9911">
        <v>70671188</v>
      </c>
      <c r="I9911">
        <v>70671199</v>
      </c>
    </row>
    <row r="9912" spans="1:9" x14ac:dyDescent="0.2">
      <c r="A9912" s="1" t="str">
        <f>"LRRC41"</f>
        <v>LRRC41</v>
      </c>
      <c r="B9912" t="s">
        <v>14</v>
      </c>
      <c r="C9912" t="s">
        <v>19</v>
      </c>
      <c r="D9912" t="s">
        <v>11</v>
      </c>
      <c r="E9912" t="s">
        <v>12</v>
      </c>
      <c r="F9912">
        <v>46768941</v>
      </c>
      <c r="G9912">
        <v>46768957</v>
      </c>
      <c r="H9912">
        <v>46768851</v>
      </c>
      <c r="I9912">
        <v>46768867</v>
      </c>
    </row>
    <row r="9913" spans="1:9" x14ac:dyDescent="0.2">
      <c r="A9913" s="1" t="str">
        <f>"LRRC42"</f>
        <v>LRRC42</v>
      </c>
      <c r="B9913" t="s">
        <v>14</v>
      </c>
      <c r="C9913" t="s">
        <v>19</v>
      </c>
      <c r="D9913" t="s">
        <v>17</v>
      </c>
      <c r="E9913" t="s">
        <v>12</v>
      </c>
      <c r="F9913">
        <v>54411995</v>
      </c>
      <c r="G9913">
        <v>54412063</v>
      </c>
      <c r="H9913">
        <v>54412072</v>
      </c>
      <c r="I9913">
        <v>54412133</v>
      </c>
    </row>
    <row r="9914" spans="1:9" x14ac:dyDescent="0.2">
      <c r="A9914" s="1" t="str">
        <f>"LRRC43"</f>
        <v>LRRC43</v>
      </c>
      <c r="B9914" t="s">
        <v>14</v>
      </c>
      <c r="C9914" t="s">
        <v>16</v>
      </c>
      <c r="D9914" t="s">
        <v>17</v>
      </c>
      <c r="E9914" t="s">
        <v>12</v>
      </c>
      <c r="F9914">
        <v>122667658</v>
      </c>
      <c r="G9914">
        <v>122667698</v>
      </c>
      <c r="H9914">
        <v>122667788</v>
      </c>
      <c r="I9914">
        <v>122667810</v>
      </c>
    </row>
    <row r="9915" spans="1:9" x14ac:dyDescent="0.2">
      <c r="A9915" s="1" t="str">
        <f>"LRRC45"</f>
        <v>LRRC45</v>
      </c>
      <c r="B9915" t="s">
        <v>14</v>
      </c>
      <c r="C9915" t="s">
        <v>28</v>
      </c>
      <c r="D9915" t="s">
        <v>17</v>
      </c>
      <c r="E9915" t="s">
        <v>12</v>
      </c>
      <c r="F9915">
        <v>79981144</v>
      </c>
      <c r="G9915">
        <v>79981202</v>
      </c>
      <c r="H9915">
        <v>79981259</v>
      </c>
      <c r="I9915">
        <v>79981275</v>
      </c>
    </row>
    <row r="9916" spans="1:9" x14ac:dyDescent="0.2">
      <c r="A9916" s="1" t="str">
        <f>"LRRC46"</f>
        <v>LRRC46</v>
      </c>
      <c r="B9916" t="s">
        <v>14</v>
      </c>
      <c r="C9916" t="s">
        <v>28</v>
      </c>
      <c r="D9916" t="s">
        <v>17</v>
      </c>
      <c r="E9916" t="s">
        <v>12</v>
      </c>
      <c r="F9916">
        <v>45908974</v>
      </c>
      <c r="G9916">
        <v>45909061</v>
      </c>
      <c r="H9916">
        <v>45909091</v>
      </c>
      <c r="I9916">
        <v>45909111</v>
      </c>
    </row>
    <row r="9917" spans="1:9" x14ac:dyDescent="0.2">
      <c r="A9917" s="1" t="str">
        <f>"LRRC47"</f>
        <v>LRRC47</v>
      </c>
      <c r="B9917" t="s">
        <v>9</v>
      </c>
      <c r="C9917" t="s">
        <v>19</v>
      </c>
      <c r="D9917" t="s">
        <v>11</v>
      </c>
      <c r="E9917" t="s">
        <v>12</v>
      </c>
      <c r="F9917">
        <v>3713042</v>
      </c>
      <c r="G9917">
        <v>3713081</v>
      </c>
      <c r="H9917">
        <v>3713042</v>
      </c>
      <c r="I9917">
        <v>3713081</v>
      </c>
    </row>
    <row r="9918" spans="1:9" x14ac:dyDescent="0.2">
      <c r="A9918" s="1" t="str">
        <f>"LRRC47"</f>
        <v>LRRC47</v>
      </c>
      <c r="B9918" t="s">
        <v>13</v>
      </c>
      <c r="C9918" t="s">
        <v>19</v>
      </c>
      <c r="D9918" t="s">
        <v>11</v>
      </c>
      <c r="E9918" t="s">
        <v>12</v>
      </c>
      <c r="F9918">
        <v>3700632</v>
      </c>
      <c r="G9918">
        <v>3700661</v>
      </c>
      <c r="H9918">
        <v>3700632</v>
      </c>
      <c r="I9918">
        <v>3700661</v>
      </c>
    </row>
    <row r="9919" spans="1:9" x14ac:dyDescent="0.2">
      <c r="A9919" s="1" t="str">
        <f>"LRRC48"</f>
        <v>LRRC48</v>
      </c>
      <c r="B9919" t="s">
        <v>14</v>
      </c>
      <c r="C9919" t="s">
        <v>28</v>
      </c>
      <c r="D9919" t="s">
        <v>17</v>
      </c>
      <c r="E9919" t="s">
        <v>12</v>
      </c>
      <c r="F9919">
        <v>17876159</v>
      </c>
      <c r="G9919">
        <v>17876272</v>
      </c>
      <c r="H9919">
        <v>17876147</v>
      </c>
      <c r="I9919">
        <v>17876158</v>
      </c>
    </row>
    <row r="9920" spans="1:9" x14ac:dyDescent="0.2">
      <c r="A9920" s="1" t="str">
        <f>"LRRC49"</f>
        <v>LRRC49</v>
      </c>
      <c r="B9920" t="s">
        <v>14</v>
      </c>
      <c r="C9920" t="s">
        <v>25</v>
      </c>
      <c r="D9920" t="s">
        <v>17</v>
      </c>
      <c r="E9920" t="s">
        <v>12</v>
      </c>
      <c r="F9920">
        <v>71185148</v>
      </c>
      <c r="G9920">
        <v>71185214</v>
      </c>
      <c r="H9920">
        <v>71185012</v>
      </c>
      <c r="I9920">
        <v>71185058</v>
      </c>
    </row>
    <row r="9921" spans="1:9" x14ac:dyDescent="0.2">
      <c r="A9921" s="1" t="str">
        <f>"LRRC4B"</f>
        <v>LRRC4B</v>
      </c>
      <c r="B9921" t="s">
        <v>14</v>
      </c>
      <c r="C9921" t="s">
        <v>10</v>
      </c>
      <c r="D9921" t="s">
        <v>11</v>
      </c>
      <c r="E9921" t="s">
        <v>12</v>
      </c>
      <c r="F9921">
        <v>51071649</v>
      </c>
      <c r="G9921">
        <v>51071703</v>
      </c>
      <c r="H9921">
        <v>51071649</v>
      </c>
      <c r="I9921">
        <v>51071703</v>
      </c>
    </row>
    <row r="9922" spans="1:9" x14ac:dyDescent="0.2">
      <c r="A9922" s="1" t="str">
        <f>"LRRC4C"</f>
        <v>LRRC4C</v>
      </c>
      <c r="B9922" t="s">
        <v>9</v>
      </c>
      <c r="C9922" t="s">
        <v>27</v>
      </c>
      <c r="D9922" t="s">
        <v>11</v>
      </c>
      <c r="E9922" t="s">
        <v>12</v>
      </c>
      <c r="F9922">
        <v>41481144</v>
      </c>
      <c r="G9922">
        <v>41481215</v>
      </c>
      <c r="H9922">
        <v>41481144</v>
      </c>
      <c r="I9922">
        <v>41481215</v>
      </c>
    </row>
    <row r="9923" spans="1:9" x14ac:dyDescent="0.2">
      <c r="A9923" s="1" t="str">
        <f>"LRRC4C"</f>
        <v>LRRC4C</v>
      </c>
      <c r="B9923" t="s">
        <v>13</v>
      </c>
      <c r="C9923" t="s">
        <v>27</v>
      </c>
      <c r="D9923" t="s">
        <v>11</v>
      </c>
      <c r="E9923" t="s">
        <v>12</v>
      </c>
      <c r="F9923">
        <v>40315640</v>
      </c>
      <c r="G9923">
        <v>40315684</v>
      </c>
      <c r="H9923">
        <v>40315640</v>
      </c>
      <c r="I9923">
        <v>40315684</v>
      </c>
    </row>
    <row r="9924" spans="1:9" x14ac:dyDescent="0.2">
      <c r="A9924" s="1" t="str">
        <f>"LRRC52"</f>
        <v>LRRC52</v>
      </c>
      <c r="B9924" t="s">
        <v>14</v>
      </c>
      <c r="C9924" t="s">
        <v>19</v>
      </c>
      <c r="D9924" t="s">
        <v>17</v>
      </c>
      <c r="E9924" t="s">
        <v>12</v>
      </c>
      <c r="F9924">
        <v>165513231</v>
      </c>
      <c r="G9924">
        <v>165513248</v>
      </c>
      <c r="H9924">
        <v>165513231</v>
      </c>
      <c r="I9924">
        <v>165513248</v>
      </c>
    </row>
    <row r="9925" spans="1:9" x14ac:dyDescent="0.2">
      <c r="A9925" s="1" t="str">
        <f>"LRRC53"</f>
        <v>LRRC53</v>
      </c>
      <c r="B9925" t="s">
        <v>14</v>
      </c>
      <c r="C9925" t="s">
        <v>19</v>
      </c>
      <c r="D9925" t="s">
        <v>11</v>
      </c>
      <c r="E9925" t="s">
        <v>12</v>
      </c>
      <c r="F9925">
        <v>74978268</v>
      </c>
      <c r="G9925">
        <v>74978298</v>
      </c>
      <c r="H9925">
        <v>74978268</v>
      </c>
      <c r="I9925">
        <v>74978298</v>
      </c>
    </row>
    <row r="9926" spans="1:9" x14ac:dyDescent="0.2">
      <c r="A9926" s="1" t="str">
        <f>"LRRC55"</f>
        <v>LRRC55</v>
      </c>
      <c r="B9926" t="s">
        <v>14</v>
      </c>
      <c r="C9926" t="s">
        <v>27</v>
      </c>
      <c r="D9926" t="s">
        <v>17</v>
      </c>
      <c r="E9926" t="s">
        <v>12</v>
      </c>
      <c r="F9926">
        <v>56949421</v>
      </c>
      <c r="G9926">
        <v>56949438</v>
      </c>
      <c r="H9926">
        <v>56949388</v>
      </c>
      <c r="I9926">
        <v>56949391</v>
      </c>
    </row>
    <row r="9927" spans="1:9" x14ac:dyDescent="0.2">
      <c r="A9927" s="1" t="str">
        <f>"LRRC56"</f>
        <v>LRRC56</v>
      </c>
      <c r="B9927" t="s">
        <v>14</v>
      </c>
      <c r="C9927" t="s">
        <v>27</v>
      </c>
      <c r="D9927" t="s">
        <v>17</v>
      </c>
      <c r="E9927" t="s">
        <v>12</v>
      </c>
      <c r="F9927">
        <v>537494</v>
      </c>
      <c r="G9927">
        <v>537537</v>
      </c>
      <c r="H9927">
        <v>536887</v>
      </c>
      <c r="I9927">
        <v>536920</v>
      </c>
    </row>
    <row r="9928" spans="1:9" x14ac:dyDescent="0.2">
      <c r="A9928" s="1" t="str">
        <f>"LRRC57"</f>
        <v>LRRC57</v>
      </c>
      <c r="B9928" t="s">
        <v>14</v>
      </c>
      <c r="C9928" t="s">
        <v>25</v>
      </c>
      <c r="D9928" t="s">
        <v>11</v>
      </c>
      <c r="E9928" t="s">
        <v>12</v>
      </c>
      <c r="F9928">
        <v>42840961</v>
      </c>
      <c r="G9928">
        <v>42841005</v>
      </c>
      <c r="H9928">
        <v>42840919</v>
      </c>
      <c r="I9928">
        <v>42840949</v>
      </c>
    </row>
    <row r="9929" spans="1:9" x14ac:dyDescent="0.2">
      <c r="A9929" s="1" t="str">
        <f>"LRRC58"</f>
        <v>LRRC58</v>
      </c>
      <c r="B9929" t="s">
        <v>14</v>
      </c>
      <c r="C9929" t="s">
        <v>22</v>
      </c>
      <c r="D9929" t="s">
        <v>11</v>
      </c>
      <c r="E9929" t="s">
        <v>12</v>
      </c>
      <c r="F9929">
        <v>120068143</v>
      </c>
      <c r="G9929">
        <v>120068209</v>
      </c>
      <c r="H9929">
        <v>120068115</v>
      </c>
      <c r="I9929">
        <v>120068136</v>
      </c>
    </row>
    <row r="9930" spans="1:9" x14ac:dyDescent="0.2">
      <c r="A9930" s="1" t="str">
        <f>"LRRC59"</f>
        <v>LRRC59</v>
      </c>
      <c r="B9930" t="s">
        <v>9</v>
      </c>
      <c r="C9930" t="s">
        <v>28</v>
      </c>
      <c r="D9930" t="s">
        <v>11</v>
      </c>
      <c r="E9930" t="s">
        <v>12</v>
      </c>
      <c r="F9930">
        <v>48474828</v>
      </c>
      <c r="G9930">
        <v>48474914</v>
      </c>
      <c r="H9930">
        <v>48474828</v>
      </c>
      <c r="I9930">
        <v>48474914</v>
      </c>
    </row>
    <row r="9931" spans="1:9" x14ac:dyDescent="0.2">
      <c r="A9931" s="1" t="str">
        <f>"LRRC59"</f>
        <v>LRRC59</v>
      </c>
      <c r="B9931" t="s">
        <v>13</v>
      </c>
      <c r="C9931" t="s">
        <v>28</v>
      </c>
      <c r="D9931" t="s">
        <v>11</v>
      </c>
      <c r="E9931" t="s">
        <v>12</v>
      </c>
      <c r="F9931">
        <v>48469827</v>
      </c>
      <c r="G9931">
        <v>48469857</v>
      </c>
      <c r="H9931">
        <v>48469827</v>
      </c>
      <c r="I9931">
        <v>48469857</v>
      </c>
    </row>
    <row r="9932" spans="1:9" x14ac:dyDescent="0.2">
      <c r="A9932" s="1" t="str">
        <f>"LRRC6"</f>
        <v>LRRC6</v>
      </c>
      <c r="B9932" t="s">
        <v>14</v>
      </c>
      <c r="C9932" t="s">
        <v>30</v>
      </c>
      <c r="D9932" t="s">
        <v>11</v>
      </c>
      <c r="E9932" t="s">
        <v>12</v>
      </c>
      <c r="F9932">
        <v>133687778</v>
      </c>
      <c r="G9932">
        <v>133687810</v>
      </c>
      <c r="H9932">
        <v>133687847</v>
      </c>
      <c r="I9932">
        <v>133687868</v>
      </c>
    </row>
    <row r="9933" spans="1:9" x14ac:dyDescent="0.2">
      <c r="A9933" s="1" t="str">
        <f>"LRRC61"</f>
        <v>LRRC61</v>
      </c>
      <c r="B9933" t="s">
        <v>14</v>
      </c>
      <c r="C9933" t="s">
        <v>33</v>
      </c>
      <c r="D9933" t="s">
        <v>17</v>
      </c>
      <c r="E9933" t="s">
        <v>12</v>
      </c>
      <c r="F9933">
        <v>150020363</v>
      </c>
      <c r="G9933">
        <v>150020477</v>
      </c>
      <c r="H9933">
        <v>150020254</v>
      </c>
      <c r="I9933">
        <v>150020313</v>
      </c>
    </row>
    <row r="9934" spans="1:9" x14ac:dyDescent="0.2">
      <c r="A9934" s="1" t="str">
        <f>"LRRC63"</f>
        <v>LRRC63</v>
      </c>
      <c r="B9934" t="s">
        <v>14</v>
      </c>
      <c r="C9934" t="s">
        <v>39</v>
      </c>
      <c r="D9934" t="s">
        <v>17</v>
      </c>
      <c r="E9934" t="s">
        <v>12</v>
      </c>
      <c r="F9934">
        <v>46786051</v>
      </c>
      <c r="G9934">
        <v>46786115</v>
      </c>
      <c r="H9934">
        <v>46786138</v>
      </c>
      <c r="I9934">
        <v>46786153</v>
      </c>
    </row>
    <row r="9935" spans="1:9" x14ac:dyDescent="0.2">
      <c r="A9935" s="1" t="str">
        <f>"LRRC66"</f>
        <v>LRRC66</v>
      </c>
      <c r="B9935" t="s">
        <v>14</v>
      </c>
      <c r="C9935" t="s">
        <v>23</v>
      </c>
      <c r="D9935" t="s">
        <v>11</v>
      </c>
      <c r="E9935" t="s">
        <v>12</v>
      </c>
      <c r="F9935">
        <v>52884097</v>
      </c>
      <c r="G9935">
        <v>52884106</v>
      </c>
      <c r="H9935">
        <v>52884097</v>
      </c>
      <c r="I9935">
        <v>52884106</v>
      </c>
    </row>
    <row r="9936" spans="1:9" x14ac:dyDescent="0.2">
      <c r="A9936" s="1" t="str">
        <f>"LRRC69"</f>
        <v>LRRC69</v>
      </c>
      <c r="B9936" t="s">
        <v>14</v>
      </c>
      <c r="C9936" t="s">
        <v>30</v>
      </c>
      <c r="D9936" t="s">
        <v>17</v>
      </c>
      <c r="E9936" t="s">
        <v>12</v>
      </c>
      <c r="F9936">
        <v>92114830</v>
      </c>
      <c r="G9936">
        <v>92114844</v>
      </c>
      <c r="H9936">
        <v>92114865</v>
      </c>
      <c r="I9936">
        <v>92114874</v>
      </c>
    </row>
    <row r="9937" spans="1:9" x14ac:dyDescent="0.2">
      <c r="A9937" s="1" t="str">
        <f>"LRRC7"</f>
        <v>LRRC7</v>
      </c>
      <c r="B9937" t="s">
        <v>771</v>
      </c>
      <c r="C9937" t="s">
        <v>19</v>
      </c>
      <c r="D9937" t="s">
        <v>17</v>
      </c>
      <c r="E9937" t="s">
        <v>35</v>
      </c>
      <c r="F9937">
        <v>70225943</v>
      </c>
      <c r="G9937">
        <v>70225946</v>
      </c>
      <c r="H9937">
        <v>70226033</v>
      </c>
      <c r="I9937">
        <v>70226044</v>
      </c>
    </row>
    <row r="9938" spans="1:9" x14ac:dyDescent="0.2">
      <c r="A9938" s="1" t="str">
        <f>"LRRC70"</f>
        <v>LRRC70</v>
      </c>
      <c r="B9938" t="s">
        <v>14</v>
      </c>
      <c r="C9938" t="s">
        <v>46</v>
      </c>
      <c r="D9938" t="s">
        <v>17</v>
      </c>
      <c r="E9938" t="s">
        <v>12</v>
      </c>
      <c r="F9938">
        <v>61874637</v>
      </c>
      <c r="G9938">
        <v>61874685</v>
      </c>
      <c r="H9938">
        <v>61874559</v>
      </c>
      <c r="I9938">
        <v>61874588</v>
      </c>
    </row>
    <row r="9939" spans="1:9" x14ac:dyDescent="0.2">
      <c r="A9939" s="1" t="str">
        <f>"LRRC71"</f>
        <v>LRRC71</v>
      </c>
      <c r="B9939" t="s">
        <v>14</v>
      </c>
      <c r="C9939" t="s">
        <v>19</v>
      </c>
      <c r="D9939" t="s">
        <v>17</v>
      </c>
      <c r="E9939" t="s">
        <v>12</v>
      </c>
      <c r="F9939">
        <v>156890418</v>
      </c>
      <c r="G9939">
        <v>156890458</v>
      </c>
      <c r="H9939">
        <v>156890675</v>
      </c>
      <c r="I9939">
        <v>156890716</v>
      </c>
    </row>
    <row r="9940" spans="1:9" x14ac:dyDescent="0.2">
      <c r="A9940" s="1" t="str">
        <f>"LRRC72"</f>
        <v>LRRC72</v>
      </c>
      <c r="B9940" t="s">
        <v>14</v>
      </c>
      <c r="C9940" t="s">
        <v>33</v>
      </c>
      <c r="D9940" t="s">
        <v>17</v>
      </c>
      <c r="E9940" t="s">
        <v>12</v>
      </c>
      <c r="F9940">
        <v>16566449</v>
      </c>
      <c r="G9940">
        <v>16566478</v>
      </c>
      <c r="H9940">
        <v>16566449</v>
      </c>
      <c r="I9940">
        <v>16566478</v>
      </c>
    </row>
    <row r="9941" spans="1:9" x14ac:dyDescent="0.2">
      <c r="A9941" s="1" t="str">
        <f>"LRRC73"</f>
        <v>LRRC73</v>
      </c>
      <c r="B9941" t="s">
        <v>14</v>
      </c>
      <c r="C9941" t="s">
        <v>32</v>
      </c>
      <c r="D9941" t="s">
        <v>11</v>
      </c>
      <c r="E9941" t="s">
        <v>12</v>
      </c>
      <c r="F9941">
        <v>43478068</v>
      </c>
      <c r="G9941">
        <v>43478103</v>
      </c>
      <c r="H9941">
        <v>43478068</v>
      </c>
      <c r="I9941">
        <v>43478103</v>
      </c>
    </row>
    <row r="9942" spans="1:9" x14ac:dyDescent="0.2">
      <c r="A9942" s="1" t="str">
        <f>"LRRC8A"</f>
        <v>LRRC8A</v>
      </c>
      <c r="B9942" t="s">
        <v>14</v>
      </c>
      <c r="C9942" t="s">
        <v>24</v>
      </c>
      <c r="D9942" t="s">
        <v>17</v>
      </c>
      <c r="E9942" t="s">
        <v>12</v>
      </c>
      <c r="F9942">
        <v>131644398</v>
      </c>
      <c r="G9942">
        <v>131644470</v>
      </c>
      <c r="H9942">
        <v>131644398</v>
      </c>
      <c r="I9942">
        <v>131644470</v>
      </c>
    </row>
    <row r="9943" spans="1:9" x14ac:dyDescent="0.2">
      <c r="A9943" s="1" t="str">
        <f>"LRRC8B"</f>
        <v>LRRC8B</v>
      </c>
      <c r="B9943" t="s">
        <v>14</v>
      </c>
      <c r="C9943" t="s">
        <v>19</v>
      </c>
      <c r="D9943" t="s">
        <v>17</v>
      </c>
      <c r="E9943" t="s">
        <v>12</v>
      </c>
      <c r="F9943">
        <v>89990431</v>
      </c>
      <c r="G9943">
        <v>89990493</v>
      </c>
      <c r="H9943">
        <v>89990378</v>
      </c>
      <c r="I9943">
        <v>89990429</v>
      </c>
    </row>
    <row r="9944" spans="1:9" x14ac:dyDescent="0.2">
      <c r="A9944" s="1" t="str">
        <f>"LRRC8C"</f>
        <v>LRRC8C</v>
      </c>
      <c r="B9944" t="s">
        <v>14</v>
      </c>
      <c r="C9944" t="s">
        <v>19</v>
      </c>
      <c r="D9944" t="s">
        <v>17</v>
      </c>
      <c r="E9944" t="s">
        <v>12</v>
      </c>
      <c r="F9944">
        <v>90098641</v>
      </c>
      <c r="G9944">
        <v>90098727</v>
      </c>
      <c r="H9944">
        <v>90098251</v>
      </c>
      <c r="I9944">
        <v>90098323</v>
      </c>
    </row>
    <row r="9945" spans="1:9" x14ac:dyDescent="0.2">
      <c r="A9945" s="1" t="str">
        <f>"LRRC8D"</f>
        <v>LRRC8D</v>
      </c>
      <c r="B9945" t="s">
        <v>9</v>
      </c>
      <c r="C9945" t="s">
        <v>19</v>
      </c>
      <c r="D9945" t="s">
        <v>17</v>
      </c>
      <c r="E9945" t="s">
        <v>12</v>
      </c>
      <c r="F9945">
        <v>90286562</v>
      </c>
      <c r="G9945">
        <v>90286617</v>
      </c>
      <c r="H9945">
        <v>90286562</v>
      </c>
      <c r="I9945">
        <v>90286617</v>
      </c>
    </row>
    <row r="9946" spans="1:9" x14ac:dyDescent="0.2">
      <c r="A9946" s="1" t="str">
        <f>"LRRC8D"</f>
        <v>LRRC8D</v>
      </c>
      <c r="B9946" t="s">
        <v>13</v>
      </c>
      <c r="C9946" t="s">
        <v>19</v>
      </c>
      <c r="D9946" t="s">
        <v>17</v>
      </c>
      <c r="E9946" t="s">
        <v>12</v>
      </c>
      <c r="F9946">
        <v>90308981</v>
      </c>
      <c r="G9946">
        <v>90309033</v>
      </c>
      <c r="H9946">
        <v>90308981</v>
      </c>
      <c r="I9946">
        <v>90309033</v>
      </c>
    </row>
    <row r="9947" spans="1:9" x14ac:dyDescent="0.2">
      <c r="A9947" s="1" t="str">
        <f>"LRRC8E"</f>
        <v>LRRC8E</v>
      </c>
      <c r="B9947" t="s">
        <v>14</v>
      </c>
      <c r="C9947" t="s">
        <v>10</v>
      </c>
      <c r="D9947" t="s">
        <v>17</v>
      </c>
      <c r="E9947" t="s">
        <v>12</v>
      </c>
      <c r="F9947">
        <v>7953384</v>
      </c>
      <c r="G9947">
        <v>7953408</v>
      </c>
      <c r="H9947">
        <v>7953417</v>
      </c>
      <c r="I9947">
        <v>7953441</v>
      </c>
    </row>
    <row r="9948" spans="1:9" x14ac:dyDescent="0.2">
      <c r="A9948" s="1" t="str">
        <f>"LRRCC1"</f>
        <v>LRRCC1</v>
      </c>
      <c r="B9948" t="s">
        <v>14</v>
      </c>
      <c r="C9948" t="s">
        <v>30</v>
      </c>
      <c r="D9948" t="s">
        <v>17</v>
      </c>
      <c r="E9948" t="s">
        <v>12</v>
      </c>
      <c r="F9948">
        <v>86019422</v>
      </c>
      <c r="G9948">
        <v>86019487</v>
      </c>
      <c r="H9948">
        <v>86019489</v>
      </c>
      <c r="I9948">
        <v>86019510</v>
      </c>
    </row>
    <row r="9949" spans="1:9" x14ac:dyDescent="0.2">
      <c r="A9949" s="1" t="str">
        <f>"LRRD1"</f>
        <v>LRRD1</v>
      </c>
      <c r="B9949" t="s">
        <v>14</v>
      </c>
      <c r="C9949" t="s">
        <v>33</v>
      </c>
      <c r="D9949" t="s">
        <v>11</v>
      </c>
      <c r="E9949" t="s">
        <v>12</v>
      </c>
      <c r="F9949">
        <v>91808450</v>
      </c>
      <c r="G9949">
        <v>91808457</v>
      </c>
      <c r="H9949">
        <v>91808476</v>
      </c>
      <c r="I9949">
        <v>91808480</v>
      </c>
    </row>
    <row r="9950" spans="1:9" x14ac:dyDescent="0.2">
      <c r="A9950" s="1" t="str">
        <f>"LRRFIP1"</f>
        <v>LRRFIP1</v>
      </c>
      <c r="B9950" t="s">
        <v>14</v>
      </c>
      <c r="C9950" t="s">
        <v>26</v>
      </c>
      <c r="D9950" t="s">
        <v>17</v>
      </c>
      <c r="E9950" t="s">
        <v>12</v>
      </c>
      <c r="F9950">
        <v>238600789</v>
      </c>
      <c r="G9950">
        <v>238600925</v>
      </c>
      <c r="H9950">
        <v>238600789</v>
      </c>
      <c r="I9950">
        <v>238600925</v>
      </c>
    </row>
    <row r="9951" spans="1:9" x14ac:dyDescent="0.2">
      <c r="A9951" s="1" t="str">
        <f>"LRRFIP2"</f>
        <v>LRRFIP2</v>
      </c>
      <c r="B9951" t="s">
        <v>14</v>
      </c>
      <c r="C9951" t="s">
        <v>22</v>
      </c>
      <c r="D9951" t="s">
        <v>11</v>
      </c>
      <c r="E9951" t="s">
        <v>12</v>
      </c>
      <c r="F9951">
        <v>37217756</v>
      </c>
      <c r="G9951">
        <v>37217844</v>
      </c>
      <c r="H9951">
        <v>37217736</v>
      </c>
      <c r="I9951">
        <v>37217753</v>
      </c>
    </row>
    <row r="9952" spans="1:9" x14ac:dyDescent="0.2">
      <c r="A9952" s="1" t="str">
        <f>"LRRIQ1"</f>
        <v>LRRIQ1</v>
      </c>
      <c r="B9952" t="s">
        <v>14</v>
      </c>
      <c r="C9952" t="s">
        <v>16</v>
      </c>
      <c r="D9952" t="s">
        <v>17</v>
      </c>
      <c r="E9952" t="s">
        <v>12</v>
      </c>
      <c r="F9952">
        <v>85430110</v>
      </c>
      <c r="G9952">
        <v>85430161</v>
      </c>
      <c r="H9952">
        <v>85430110</v>
      </c>
      <c r="I9952">
        <v>85430161</v>
      </c>
    </row>
    <row r="9953" spans="1:9" x14ac:dyDescent="0.2">
      <c r="A9953" s="1" t="str">
        <f>"LRRIQ3"</f>
        <v>LRRIQ3</v>
      </c>
      <c r="B9953" t="s">
        <v>14</v>
      </c>
      <c r="C9953" t="s">
        <v>19</v>
      </c>
      <c r="D9953" t="s">
        <v>11</v>
      </c>
      <c r="E9953" t="s">
        <v>12</v>
      </c>
      <c r="F9953">
        <v>74663825</v>
      </c>
      <c r="G9953">
        <v>74663868</v>
      </c>
      <c r="H9953">
        <v>74663774</v>
      </c>
      <c r="I9953">
        <v>74663799</v>
      </c>
    </row>
    <row r="9954" spans="1:9" x14ac:dyDescent="0.2">
      <c r="A9954" s="1" t="str">
        <f>"LRRIQ4"</f>
        <v>LRRIQ4</v>
      </c>
      <c r="B9954" t="s">
        <v>772</v>
      </c>
      <c r="C9954" t="s">
        <v>22</v>
      </c>
      <c r="D9954" t="s">
        <v>17</v>
      </c>
      <c r="E9954" t="s">
        <v>20</v>
      </c>
      <c r="F9954">
        <v>169539709</v>
      </c>
      <c r="G9954">
        <v>169539709</v>
      </c>
      <c r="H9954">
        <v>169539709</v>
      </c>
      <c r="I9954">
        <v>169539709</v>
      </c>
    </row>
    <row r="9955" spans="1:9" x14ac:dyDescent="0.2">
      <c r="A9955" s="1" t="str">
        <f>"LRRK1"</f>
        <v>LRRK1</v>
      </c>
      <c r="B9955" t="s">
        <v>14</v>
      </c>
      <c r="C9955" t="s">
        <v>25</v>
      </c>
      <c r="D9955" t="s">
        <v>17</v>
      </c>
      <c r="E9955" t="s">
        <v>12</v>
      </c>
      <c r="F9955">
        <v>101459519</v>
      </c>
      <c r="G9955">
        <v>101459585</v>
      </c>
      <c r="H9955">
        <v>101459519</v>
      </c>
      <c r="I9955">
        <v>101459585</v>
      </c>
    </row>
    <row r="9956" spans="1:9" x14ac:dyDescent="0.2">
      <c r="A9956" s="1" t="str">
        <f>"LRRK2"</f>
        <v>LRRK2</v>
      </c>
      <c r="B9956" t="s">
        <v>14</v>
      </c>
      <c r="C9956" t="s">
        <v>16</v>
      </c>
      <c r="D9956" t="s">
        <v>17</v>
      </c>
      <c r="E9956" t="s">
        <v>12</v>
      </c>
      <c r="F9956">
        <v>40618764</v>
      </c>
      <c r="G9956">
        <v>40618841</v>
      </c>
      <c r="H9956">
        <v>40618844</v>
      </c>
      <c r="I9956">
        <v>40618870</v>
      </c>
    </row>
    <row r="9957" spans="1:9" x14ac:dyDescent="0.2">
      <c r="A9957" s="1" t="str">
        <f>"LRRN1"</f>
        <v>LRRN1</v>
      </c>
      <c r="B9957" t="s">
        <v>14</v>
      </c>
      <c r="C9957" t="s">
        <v>22</v>
      </c>
      <c r="D9957" t="s">
        <v>17</v>
      </c>
      <c r="E9957" t="s">
        <v>12</v>
      </c>
      <c r="F9957">
        <v>3841108</v>
      </c>
      <c r="G9957">
        <v>3841126</v>
      </c>
      <c r="H9957">
        <v>3841084</v>
      </c>
      <c r="I9957">
        <v>3841095</v>
      </c>
    </row>
    <row r="9958" spans="1:9" x14ac:dyDescent="0.2">
      <c r="A9958" s="1" t="str">
        <f>"LRRN2"</f>
        <v>LRRN2</v>
      </c>
      <c r="B9958" t="s">
        <v>14</v>
      </c>
      <c r="C9958" t="s">
        <v>19</v>
      </c>
      <c r="D9958" t="s">
        <v>11</v>
      </c>
      <c r="E9958" t="s">
        <v>12</v>
      </c>
      <c r="F9958">
        <v>204654826</v>
      </c>
      <c r="G9958">
        <v>204654873</v>
      </c>
      <c r="H9958">
        <v>204654555</v>
      </c>
      <c r="I9958">
        <v>204654589</v>
      </c>
    </row>
    <row r="9959" spans="1:9" x14ac:dyDescent="0.2">
      <c r="A9959" s="1" t="str">
        <f>"LRRN3"</f>
        <v>LRRN3</v>
      </c>
      <c r="B9959" t="s">
        <v>14</v>
      </c>
      <c r="C9959" t="s">
        <v>33</v>
      </c>
      <c r="D9959" t="s">
        <v>17</v>
      </c>
      <c r="E9959" t="s">
        <v>12</v>
      </c>
      <c r="F9959">
        <v>110731175</v>
      </c>
      <c r="G9959">
        <v>110731191</v>
      </c>
      <c r="H9959">
        <v>110731140</v>
      </c>
      <c r="I9959">
        <v>110731155</v>
      </c>
    </row>
    <row r="9960" spans="1:9" x14ac:dyDescent="0.2">
      <c r="A9960" s="1" t="str">
        <f>"LRRN4"</f>
        <v>LRRN4</v>
      </c>
      <c r="B9960" t="s">
        <v>14</v>
      </c>
      <c r="C9960" t="s">
        <v>29</v>
      </c>
      <c r="D9960" t="s">
        <v>11</v>
      </c>
      <c r="E9960" t="s">
        <v>12</v>
      </c>
      <c r="F9960">
        <v>6034618</v>
      </c>
      <c r="G9960">
        <v>6034669</v>
      </c>
      <c r="H9960">
        <v>6034672</v>
      </c>
      <c r="I9960">
        <v>6034714</v>
      </c>
    </row>
    <row r="9961" spans="1:9" x14ac:dyDescent="0.2">
      <c r="A9961" s="1" t="str">
        <f>"LRRN4CL"</f>
        <v>LRRN4CL</v>
      </c>
      <c r="B9961" t="s">
        <v>14</v>
      </c>
      <c r="C9961" t="s">
        <v>27</v>
      </c>
      <c r="D9961" t="s">
        <v>11</v>
      </c>
      <c r="E9961" t="s">
        <v>12</v>
      </c>
      <c r="F9961">
        <v>62456995</v>
      </c>
      <c r="G9961">
        <v>62457013</v>
      </c>
      <c r="H9961">
        <v>62456995</v>
      </c>
      <c r="I9961">
        <v>62457013</v>
      </c>
    </row>
    <row r="9962" spans="1:9" x14ac:dyDescent="0.2">
      <c r="A9962" s="1" t="str">
        <f>"LRRTM1"</f>
        <v>LRRTM1</v>
      </c>
      <c r="B9962" t="s">
        <v>14</v>
      </c>
      <c r="C9962" t="s">
        <v>26</v>
      </c>
      <c r="D9962" t="s">
        <v>11</v>
      </c>
      <c r="E9962" t="s">
        <v>12</v>
      </c>
      <c r="F9962">
        <v>80531824</v>
      </c>
      <c r="G9962">
        <v>80531882</v>
      </c>
      <c r="H9962">
        <v>80531824</v>
      </c>
      <c r="I9962">
        <v>80531882</v>
      </c>
    </row>
    <row r="9963" spans="1:9" x14ac:dyDescent="0.2">
      <c r="A9963" s="1" t="str">
        <f>"LRRTM2"</f>
        <v>LRRTM2</v>
      </c>
      <c r="B9963" t="s">
        <v>14</v>
      </c>
      <c r="C9963" t="s">
        <v>46</v>
      </c>
      <c r="D9963" t="s">
        <v>11</v>
      </c>
      <c r="E9963" t="s">
        <v>12</v>
      </c>
      <c r="F9963">
        <v>138211000</v>
      </c>
      <c r="G9963">
        <v>138211039</v>
      </c>
      <c r="H9963">
        <v>138210977</v>
      </c>
      <c r="I9963">
        <v>138210999</v>
      </c>
    </row>
    <row r="9964" spans="1:9" x14ac:dyDescent="0.2">
      <c r="A9964" s="1" t="str">
        <f>"LRRTM3"</f>
        <v>LRRTM3</v>
      </c>
      <c r="B9964" t="s">
        <v>14</v>
      </c>
      <c r="C9964" t="s">
        <v>15</v>
      </c>
      <c r="D9964" t="s">
        <v>17</v>
      </c>
      <c r="E9964" t="s">
        <v>12</v>
      </c>
      <c r="F9964">
        <v>68685786</v>
      </c>
      <c r="G9964">
        <v>68685801</v>
      </c>
      <c r="H9964">
        <v>68685806</v>
      </c>
      <c r="I9964">
        <v>68685833</v>
      </c>
    </row>
    <row r="9965" spans="1:9" x14ac:dyDescent="0.2">
      <c r="A9965" s="1" t="str">
        <f>"LRRTM4"</f>
        <v>LRRTM4</v>
      </c>
      <c r="B9965" t="s">
        <v>14</v>
      </c>
      <c r="C9965" t="s">
        <v>26</v>
      </c>
      <c r="D9965" t="s">
        <v>11</v>
      </c>
      <c r="E9965" t="s">
        <v>12</v>
      </c>
      <c r="F9965">
        <v>77749474</v>
      </c>
      <c r="G9965">
        <v>77749518</v>
      </c>
      <c r="H9965">
        <v>77749446</v>
      </c>
      <c r="I9965">
        <v>77749464</v>
      </c>
    </row>
    <row r="9966" spans="1:9" x14ac:dyDescent="0.2">
      <c r="A9966" s="1" t="str">
        <f>"LRSAM1"</f>
        <v>LRSAM1</v>
      </c>
      <c r="B9966" t="s">
        <v>14</v>
      </c>
      <c r="C9966" t="s">
        <v>24</v>
      </c>
      <c r="D9966" t="s">
        <v>17</v>
      </c>
      <c r="E9966" t="s">
        <v>12</v>
      </c>
      <c r="F9966">
        <v>130213774</v>
      </c>
      <c r="G9966">
        <v>130213817</v>
      </c>
      <c r="H9966">
        <v>130213828</v>
      </c>
      <c r="I9966">
        <v>130213841</v>
      </c>
    </row>
    <row r="9967" spans="1:9" x14ac:dyDescent="0.2">
      <c r="A9967" s="1" t="str">
        <f>"LRTM1"</f>
        <v>LRTM1</v>
      </c>
      <c r="B9967" t="s">
        <v>14</v>
      </c>
      <c r="C9967" t="s">
        <v>22</v>
      </c>
      <c r="D9967" t="s">
        <v>11</v>
      </c>
      <c r="E9967" t="s">
        <v>12</v>
      </c>
      <c r="F9967">
        <v>54962072</v>
      </c>
      <c r="G9967">
        <v>54962092</v>
      </c>
      <c r="H9967">
        <v>54962035</v>
      </c>
      <c r="I9967">
        <v>54962047</v>
      </c>
    </row>
    <row r="9968" spans="1:9" x14ac:dyDescent="0.2">
      <c r="A9968" s="1" t="str">
        <f>"LRTM2"</f>
        <v>LRTM2</v>
      </c>
      <c r="B9968" t="s">
        <v>14</v>
      </c>
      <c r="C9968" t="s">
        <v>16</v>
      </c>
      <c r="D9968" t="s">
        <v>17</v>
      </c>
      <c r="E9968" t="s">
        <v>12</v>
      </c>
      <c r="F9968">
        <v>1929724</v>
      </c>
      <c r="G9968">
        <v>1929757</v>
      </c>
      <c r="H9968">
        <v>1929644</v>
      </c>
      <c r="I9968">
        <v>1929709</v>
      </c>
    </row>
    <row r="9969" spans="1:9" x14ac:dyDescent="0.2">
      <c r="A9969" s="1" t="str">
        <f>"LRTOMT"</f>
        <v>LRTOMT</v>
      </c>
      <c r="B9969" t="s">
        <v>14</v>
      </c>
      <c r="C9969" t="s">
        <v>27</v>
      </c>
      <c r="D9969" t="s">
        <v>17</v>
      </c>
      <c r="E9969" t="s">
        <v>12</v>
      </c>
      <c r="F9969">
        <v>71791849</v>
      </c>
      <c r="G9969">
        <v>71791904</v>
      </c>
      <c r="H9969">
        <v>71791803</v>
      </c>
      <c r="I9969">
        <v>71791834</v>
      </c>
    </row>
    <row r="9970" spans="1:9" x14ac:dyDescent="0.2">
      <c r="A9970" s="1" t="str">
        <f>"LRWD1"</f>
        <v>LRWD1</v>
      </c>
      <c r="B9970" t="s">
        <v>14</v>
      </c>
      <c r="C9970" t="s">
        <v>33</v>
      </c>
      <c r="D9970" t="s">
        <v>17</v>
      </c>
      <c r="E9970" t="s">
        <v>12</v>
      </c>
      <c r="F9970">
        <v>102105370</v>
      </c>
      <c r="G9970">
        <v>102105474</v>
      </c>
      <c r="H9970">
        <v>102105971</v>
      </c>
      <c r="I9970">
        <v>102105976</v>
      </c>
    </row>
    <row r="9971" spans="1:9" x14ac:dyDescent="0.2">
      <c r="A9971" s="1" t="str">
        <f>"LSAMP"</f>
        <v>LSAMP</v>
      </c>
      <c r="B9971" t="s">
        <v>14</v>
      </c>
      <c r="C9971" t="s">
        <v>22</v>
      </c>
      <c r="D9971" t="s">
        <v>11</v>
      </c>
      <c r="E9971" t="s">
        <v>12</v>
      </c>
      <c r="F9971">
        <v>116164306</v>
      </c>
      <c r="G9971">
        <v>116164380</v>
      </c>
      <c r="H9971">
        <v>116164195</v>
      </c>
      <c r="I9971">
        <v>116164272</v>
      </c>
    </row>
    <row r="9972" spans="1:9" x14ac:dyDescent="0.2">
      <c r="A9972" s="1" t="str">
        <f>"LSG1"</f>
        <v>LSG1</v>
      </c>
      <c r="B9972" t="s">
        <v>14</v>
      </c>
      <c r="C9972" t="s">
        <v>22</v>
      </c>
      <c r="D9972" t="s">
        <v>11</v>
      </c>
      <c r="E9972" t="s">
        <v>12</v>
      </c>
      <c r="F9972">
        <v>194392904</v>
      </c>
      <c r="G9972">
        <v>194392966</v>
      </c>
      <c r="H9972">
        <v>194393179</v>
      </c>
      <c r="I9972">
        <v>194393228</v>
      </c>
    </row>
    <row r="9973" spans="1:9" x14ac:dyDescent="0.2">
      <c r="A9973" s="1" t="str">
        <f>"LSM1"</f>
        <v>LSM1</v>
      </c>
      <c r="B9973" t="s">
        <v>14</v>
      </c>
      <c r="C9973" t="s">
        <v>30</v>
      </c>
      <c r="D9973" t="s">
        <v>11</v>
      </c>
      <c r="E9973" t="s">
        <v>12</v>
      </c>
      <c r="F9973">
        <v>38033959</v>
      </c>
      <c r="G9973">
        <v>38034035</v>
      </c>
      <c r="H9973">
        <v>38034235</v>
      </c>
      <c r="I9973">
        <v>38034258</v>
      </c>
    </row>
    <row r="9974" spans="1:9" x14ac:dyDescent="0.2">
      <c r="A9974" s="1" t="str">
        <f>"LSM10"</f>
        <v>LSM10</v>
      </c>
      <c r="B9974" t="s">
        <v>14</v>
      </c>
      <c r="C9974" t="s">
        <v>19</v>
      </c>
      <c r="D9974" t="s">
        <v>11</v>
      </c>
      <c r="E9974" t="s">
        <v>12</v>
      </c>
      <c r="F9974">
        <v>36863481</v>
      </c>
      <c r="G9974">
        <v>36863527</v>
      </c>
      <c r="H9974">
        <v>36863481</v>
      </c>
      <c r="I9974">
        <v>36863527</v>
      </c>
    </row>
    <row r="9975" spans="1:9" x14ac:dyDescent="0.2">
      <c r="A9975" s="1" t="str">
        <f>"LSM11"</f>
        <v>LSM11</v>
      </c>
      <c r="B9975" t="s">
        <v>14</v>
      </c>
      <c r="C9975" t="s">
        <v>46</v>
      </c>
      <c r="D9975" t="s">
        <v>17</v>
      </c>
      <c r="E9975" t="s">
        <v>12</v>
      </c>
      <c r="F9975">
        <v>157170713</v>
      </c>
      <c r="G9975">
        <v>157170758</v>
      </c>
      <c r="H9975">
        <v>157170540</v>
      </c>
      <c r="I9975">
        <v>157170543</v>
      </c>
    </row>
    <row r="9976" spans="1:9" x14ac:dyDescent="0.2">
      <c r="A9976" s="1" t="str">
        <f>"LSM12"</f>
        <v>LSM12</v>
      </c>
      <c r="B9976" t="s">
        <v>14</v>
      </c>
      <c r="C9976" t="s">
        <v>28</v>
      </c>
      <c r="D9976" t="s">
        <v>11</v>
      </c>
      <c r="E9976" t="s">
        <v>12</v>
      </c>
      <c r="F9976">
        <v>42143963</v>
      </c>
      <c r="G9976">
        <v>42144057</v>
      </c>
      <c r="H9976">
        <v>42143963</v>
      </c>
      <c r="I9976">
        <v>42144057</v>
      </c>
    </row>
    <row r="9977" spans="1:9" x14ac:dyDescent="0.2">
      <c r="A9977" s="1" t="str">
        <f>"LSM14A"</f>
        <v>LSM14A</v>
      </c>
      <c r="B9977" t="s">
        <v>14</v>
      </c>
      <c r="C9977" t="s">
        <v>10</v>
      </c>
      <c r="D9977" t="s">
        <v>17</v>
      </c>
      <c r="E9977" t="s">
        <v>12</v>
      </c>
      <c r="F9977">
        <v>34663397</v>
      </c>
      <c r="G9977">
        <v>34663464</v>
      </c>
      <c r="H9977">
        <v>34663317</v>
      </c>
      <c r="I9977">
        <v>34663334</v>
      </c>
    </row>
    <row r="9978" spans="1:9" x14ac:dyDescent="0.2">
      <c r="A9978" s="1" t="str">
        <f>"LSM14B"</f>
        <v>LSM14B</v>
      </c>
      <c r="B9978" t="s">
        <v>14</v>
      </c>
      <c r="C9978" t="s">
        <v>29</v>
      </c>
      <c r="D9978" t="s">
        <v>17</v>
      </c>
      <c r="E9978" t="s">
        <v>12</v>
      </c>
      <c r="F9978">
        <v>60697480</v>
      </c>
      <c r="G9978">
        <v>60697555</v>
      </c>
      <c r="H9978">
        <v>60697480</v>
      </c>
      <c r="I9978">
        <v>60697555</v>
      </c>
    </row>
    <row r="9979" spans="1:9" x14ac:dyDescent="0.2">
      <c r="A9979" s="1" t="str">
        <f>"LSM2"</f>
        <v>LSM2</v>
      </c>
      <c r="B9979" t="s">
        <v>14</v>
      </c>
      <c r="C9979" t="s">
        <v>32</v>
      </c>
      <c r="D9979" t="s">
        <v>11</v>
      </c>
      <c r="E9979" t="s">
        <v>12</v>
      </c>
      <c r="F9979">
        <v>31774714</v>
      </c>
      <c r="G9979">
        <v>31774769</v>
      </c>
      <c r="H9979">
        <v>31774586</v>
      </c>
      <c r="I9979">
        <v>31774651</v>
      </c>
    </row>
    <row r="9980" spans="1:9" x14ac:dyDescent="0.2">
      <c r="A9980" s="1" t="str">
        <f>"LSM3"</f>
        <v>LSM3</v>
      </c>
      <c r="B9980" t="s">
        <v>14</v>
      </c>
      <c r="C9980" t="s">
        <v>22</v>
      </c>
      <c r="D9980" t="s">
        <v>17</v>
      </c>
      <c r="E9980" t="s">
        <v>12</v>
      </c>
      <c r="F9980">
        <v>14220308</v>
      </c>
      <c r="G9980">
        <v>14220363</v>
      </c>
      <c r="H9980">
        <v>14220273</v>
      </c>
      <c r="I9980">
        <v>14220290</v>
      </c>
    </row>
    <row r="9981" spans="1:9" x14ac:dyDescent="0.2">
      <c r="A9981" s="1" t="str">
        <f>"LSM4"</f>
        <v>LSM4</v>
      </c>
      <c r="B9981" t="s">
        <v>14</v>
      </c>
      <c r="C9981" t="s">
        <v>10</v>
      </c>
      <c r="D9981" t="s">
        <v>11</v>
      </c>
      <c r="E9981" t="s">
        <v>12</v>
      </c>
      <c r="F9981">
        <v>18433875</v>
      </c>
      <c r="G9981">
        <v>18433909</v>
      </c>
      <c r="H9981">
        <v>18433910</v>
      </c>
      <c r="I9981">
        <v>18433944</v>
      </c>
    </row>
    <row r="9982" spans="1:9" x14ac:dyDescent="0.2">
      <c r="A9982" s="1" t="str">
        <f>"LSM5"</f>
        <v>LSM5</v>
      </c>
      <c r="B9982" t="s">
        <v>9</v>
      </c>
      <c r="C9982" t="s">
        <v>33</v>
      </c>
      <c r="D9982" t="s">
        <v>11</v>
      </c>
      <c r="E9982" t="s">
        <v>12</v>
      </c>
      <c r="F9982">
        <v>32529977</v>
      </c>
      <c r="G9982">
        <v>32530029</v>
      </c>
      <c r="H9982">
        <v>32529977</v>
      </c>
      <c r="I9982">
        <v>32530029</v>
      </c>
    </row>
    <row r="9983" spans="1:9" x14ac:dyDescent="0.2">
      <c r="A9983" s="1" t="str">
        <f>"LSM5"</f>
        <v>LSM5</v>
      </c>
      <c r="B9983" t="s">
        <v>13</v>
      </c>
      <c r="C9983" t="s">
        <v>33</v>
      </c>
      <c r="D9983" t="s">
        <v>11</v>
      </c>
      <c r="E9983" t="s">
        <v>12</v>
      </c>
      <c r="F9983">
        <v>32534850</v>
      </c>
      <c r="G9983">
        <v>32534904</v>
      </c>
      <c r="H9983">
        <v>32534850</v>
      </c>
      <c r="I9983">
        <v>32534904</v>
      </c>
    </row>
    <row r="9984" spans="1:9" x14ac:dyDescent="0.2">
      <c r="A9984" s="1" t="str">
        <f>"LSM6"</f>
        <v>LSM6</v>
      </c>
      <c r="B9984" t="s">
        <v>14</v>
      </c>
      <c r="C9984" t="s">
        <v>23</v>
      </c>
      <c r="D9984" t="s">
        <v>17</v>
      </c>
      <c r="E9984" t="s">
        <v>12</v>
      </c>
      <c r="F9984">
        <v>147096854</v>
      </c>
      <c r="G9984">
        <v>147096912</v>
      </c>
      <c r="H9984">
        <v>147096854</v>
      </c>
      <c r="I9984">
        <v>147096912</v>
      </c>
    </row>
    <row r="9985" spans="1:9" x14ac:dyDescent="0.2">
      <c r="A9985" s="1" t="str">
        <f>"LSM7"</f>
        <v>LSM7</v>
      </c>
      <c r="B9985" t="s">
        <v>14</v>
      </c>
      <c r="C9985" t="s">
        <v>10</v>
      </c>
      <c r="D9985" t="s">
        <v>11</v>
      </c>
      <c r="E9985" t="s">
        <v>12</v>
      </c>
      <c r="F9985">
        <v>2328572</v>
      </c>
      <c r="G9985">
        <v>2328602</v>
      </c>
      <c r="H9985">
        <v>2328479</v>
      </c>
      <c r="I9985">
        <v>2328523</v>
      </c>
    </row>
    <row r="9986" spans="1:9" x14ac:dyDescent="0.2">
      <c r="A9986" s="1" t="str">
        <f>"LSMEM1"</f>
        <v>LSMEM1</v>
      </c>
      <c r="B9986" t="s">
        <v>14</v>
      </c>
      <c r="C9986" t="s">
        <v>33</v>
      </c>
      <c r="D9986" t="s">
        <v>17</v>
      </c>
      <c r="E9986" t="s">
        <v>12</v>
      </c>
      <c r="F9986">
        <v>112121041</v>
      </c>
      <c r="G9986">
        <v>112121060</v>
      </c>
      <c r="H9986">
        <v>112121041</v>
      </c>
      <c r="I9986">
        <v>112121060</v>
      </c>
    </row>
    <row r="9987" spans="1:9" x14ac:dyDescent="0.2">
      <c r="A9987" s="1" t="str">
        <f>"LSMEM2"</f>
        <v>LSMEM2</v>
      </c>
      <c r="B9987" t="s">
        <v>14</v>
      </c>
      <c r="C9987" t="s">
        <v>22</v>
      </c>
      <c r="D9987" t="s">
        <v>17</v>
      </c>
      <c r="E9987" t="s">
        <v>12</v>
      </c>
      <c r="F9987">
        <v>50316500</v>
      </c>
      <c r="G9987">
        <v>50316523</v>
      </c>
      <c r="H9987">
        <v>50316525</v>
      </c>
      <c r="I9987">
        <v>50316536</v>
      </c>
    </row>
    <row r="9988" spans="1:9" x14ac:dyDescent="0.2">
      <c r="A9988" s="1" t="str">
        <f>"LSP1"</f>
        <v>LSP1</v>
      </c>
      <c r="B9988" t="s">
        <v>773</v>
      </c>
      <c r="C9988" t="s">
        <v>39</v>
      </c>
      <c r="D9988" t="s">
        <v>17</v>
      </c>
      <c r="E9988" t="s">
        <v>75</v>
      </c>
      <c r="F9988">
        <v>25591469</v>
      </c>
      <c r="G9988">
        <v>25591488</v>
      </c>
      <c r="H9988">
        <v>25591521</v>
      </c>
      <c r="I9988">
        <v>25591529</v>
      </c>
    </row>
    <row r="9989" spans="1:9" x14ac:dyDescent="0.2">
      <c r="A9989" s="1" t="str">
        <f>"LSR"</f>
        <v>LSR</v>
      </c>
      <c r="B9989" t="s">
        <v>14</v>
      </c>
      <c r="C9989" t="s">
        <v>10</v>
      </c>
      <c r="D9989" t="s">
        <v>17</v>
      </c>
      <c r="E9989" t="s">
        <v>12</v>
      </c>
      <c r="F9989">
        <v>35739897</v>
      </c>
      <c r="G9989">
        <v>35739920</v>
      </c>
      <c r="H9989">
        <v>35739631</v>
      </c>
      <c r="I9989">
        <v>35739674</v>
      </c>
    </row>
    <row r="9990" spans="1:9" x14ac:dyDescent="0.2">
      <c r="A9990" s="1" t="str">
        <f>"LSS"</f>
        <v>LSS</v>
      </c>
      <c r="B9990" t="s">
        <v>14</v>
      </c>
      <c r="C9990" t="s">
        <v>42</v>
      </c>
      <c r="D9990" t="s">
        <v>11</v>
      </c>
      <c r="E9990" t="s">
        <v>12</v>
      </c>
      <c r="F9990">
        <v>47648665</v>
      </c>
      <c r="G9990">
        <v>47648736</v>
      </c>
      <c r="H9990">
        <v>47648567</v>
      </c>
      <c r="I9990">
        <v>47648578</v>
      </c>
    </row>
    <row r="9991" spans="1:9" x14ac:dyDescent="0.2">
      <c r="A9991" s="1" t="str">
        <f>"LST1"</f>
        <v>LST1</v>
      </c>
      <c r="B9991" t="s">
        <v>9</v>
      </c>
      <c r="C9991" t="s">
        <v>32</v>
      </c>
      <c r="D9991" t="s">
        <v>17</v>
      </c>
      <c r="E9991" t="s">
        <v>12</v>
      </c>
      <c r="F9991">
        <v>31553978</v>
      </c>
      <c r="G9991">
        <v>31554060</v>
      </c>
      <c r="H9991">
        <v>31553978</v>
      </c>
      <c r="I9991">
        <v>31554060</v>
      </c>
    </row>
    <row r="9992" spans="1:9" x14ac:dyDescent="0.2">
      <c r="A9992" s="1" t="str">
        <f>"LST1"</f>
        <v>LST1</v>
      </c>
      <c r="B9992" t="s">
        <v>13</v>
      </c>
      <c r="C9992" t="s">
        <v>32</v>
      </c>
      <c r="D9992" t="s">
        <v>17</v>
      </c>
      <c r="E9992" t="s">
        <v>12</v>
      </c>
      <c r="F9992">
        <v>31554992</v>
      </c>
      <c r="G9992">
        <v>31555041</v>
      </c>
      <c r="H9992">
        <v>31554992</v>
      </c>
      <c r="I9992">
        <v>31555041</v>
      </c>
    </row>
    <row r="9993" spans="1:9" x14ac:dyDescent="0.2">
      <c r="A9993" s="1" t="str">
        <f>"LTA"</f>
        <v>LTA</v>
      </c>
      <c r="B9993" t="s">
        <v>14</v>
      </c>
      <c r="C9993" t="s">
        <v>32</v>
      </c>
      <c r="D9993" t="s">
        <v>17</v>
      </c>
      <c r="E9993" t="s">
        <v>12</v>
      </c>
      <c r="F9993">
        <v>31540056</v>
      </c>
      <c r="G9993">
        <v>31540074</v>
      </c>
      <c r="H9993">
        <v>31540056</v>
      </c>
      <c r="I9993">
        <v>31540074</v>
      </c>
    </row>
    <row r="9994" spans="1:9" x14ac:dyDescent="0.2">
      <c r="A9994" s="1" t="str">
        <f>"LTA4H"</f>
        <v>LTA4H</v>
      </c>
      <c r="B9994" t="s">
        <v>14</v>
      </c>
      <c r="C9994" t="s">
        <v>16</v>
      </c>
      <c r="D9994" t="s">
        <v>11</v>
      </c>
      <c r="E9994" t="s">
        <v>12</v>
      </c>
      <c r="F9994">
        <v>96429349</v>
      </c>
      <c r="G9994">
        <v>96429381</v>
      </c>
      <c r="H9994">
        <v>96429385</v>
      </c>
      <c r="I9994">
        <v>96429415</v>
      </c>
    </row>
    <row r="9995" spans="1:9" x14ac:dyDescent="0.2">
      <c r="A9995" s="1" t="str">
        <f>"LTB"</f>
        <v>LTB</v>
      </c>
      <c r="B9995" t="s">
        <v>14</v>
      </c>
      <c r="C9995" t="s">
        <v>32</v>
      </c>
      <c r="D9995" t="s">
        <v>11</v>
      </c>
      <c r="E9995" t="s">
        <v>12</v>
      </c>
      <c r="F9995">
        <v>31550192</v>
      </c>
      <c r="G9995">
        <v>31550207</v>
      </c>
      <c r="H9995">
        <v>31550108</v>
      </c>
      <c r="I9995">
        <v>31550121</v>
      </c>
    </row>
    <row r="9996" spans="1:9" x14ac:dyDescent="0.2">
      <c r="A9996" s="1" t="str">
        <f>"LTB4R"</f>
        <v>LTB4R</v>
      </c>
      <c r="B9996" t="s">
        <v>14</v>
      </c>
      <c r="C9996" t="s">
        <v>41</v>
      </c>
      <c r="D9996" t="s">
        <v>17</v>
      </c>
      <c r="E9996" t="s">
        <v>12</v>
      </c>
      <c r="F9996">
        <v>24780680</v>
      </c>
      <c r="G9996">
        <v>24780718</v>
      </c>
      <c r="H9996">
        <v>24780680</v>
      </c>
      <c r="I9996">
        <v>24780718</v>
      </c>
    </row>
    <row r="9997" spans="1:9" x14ac:dyDescent="0.2">
      <c r="A9997" s="1" t="str">
        <f>"LTB4R2"</f>
        <v>LTB4R2</v>
      </c>
      <c r="B9997" t="s">
        <v>14</v>
      </c>
      <c r="C9997" t="s">
        <v>41</v>
      </c>
      <c r="D9997" t="s">
        <v>17</v>
      </c>
      <c r="E9997" t="s">
        <v>12</v>
      </c>
      <c r="F9997">
        <v>24779340</v>
      </c>
      <c r="G9997">
        <v>24779371</v>
      </c>
      <c r="H9997">
        <v>24779376</v>
      </c>
      <c r="I9997">
        <v>24779394</v>
      </c>
    </row>
    <row r="9998" spans="1:9" x14ac:dyDescent="0.2">
      <c r="A9998" s="1" t="str">
        <f>"LTBP1"</f>
        <v>LTBP1</v>
      </c>
      <c r="B9998" t="s">
        <v>14</v>
      </c>
      <c r="C9998" t="s">
        <v>26</v>
      </c>
      <c r="D9998" t="s">
        <v>17</v>
      </c>
      <c r="E9998" t="s">
        <v>12</v>
      </c>
      <c r="F9998">
        <v>33359646</v>
      </c>
      <c r="G9998">
        <v>33359686</v>
      </c>
      <c r="H9998">
        <v>33359687</v>
      </c>
      <c r="I9998">
        <v>33359717</v>
      </c>
    </row>
    <row r="9999" spans="1:9" x14ac:dyDescent="0.2">
      <c r="A9999" s="1" t="str">
        <f>"LTBP2"</f>
        <v>LTBP2</v>
      </c>
      <c r="B9999" t="s">
        <v>14</v>
      </c>
      <c r="C9999" t="s">
        <v>41</v>
      </c>
      <c r="D9999" t="s">
        <v>11</v>
      </c>
      <c r="E9999" t="s">
        <v>12</v>
      </c>
      <c r="F9999">
        <v>75078930</v>
      </c>
      <c r="G9999">
        <v>75078948</v>
      </c>
      <c r="H9999">
        <v>75079294</v>
      </c>
      <c r="I9999">
        <v>75079329</v>
      </c>
    </row>
    <row r="10000" spans="1:9" x14ac:dyDescent="0.2">
      <c r="A10000" s="1" t="str">
        <f>"LTBP3"</f>
        <v>LTBP3</v>
      </c>
      <c r="B10000" t="s">
        <v>14</v>
      </c>
      <c r="C10000" t="s">
        <v>27</v>
      </c>
      <c r="D10000" t="s">
        <v>11</v>
      </c>
      <c r="E10000" t="s">
        <v>12</v>
      </c>
      <c r="F10000">
        <v>65325664</v>
      </c>
      <c r="G10000">
        <v>65325737</v>
      </c>
      <c r="H10000">
        <v>65325809</v>
      </c>
      <c r="I10000">
        <v>65325843</v>
      </c>
    </row>
    <row r="10001" spans="1:9" x14ac:dyDescent="0.2">
      <c r="A10001" s="1" t="str">
        <f>"LTBP4"</f>
        <v>LTBP4</v>
      </c>
      <c r="B10001" t="s">
        <v>9</v>
      </c>
      <c r="C10001" t="s">
        <v>10</v>
      </c>
      <c r="D10001" t="s">
        <v>17</v>
      </c>
      <c r="E10001" t="s">
        <v>12</v>
      </c>
      <c r="F10001">
        <v>41107249</v>
      </c>
      <c r="G10001">
        <v>41107295</v>
      </c>
      <c r="H10001">
        <v>41107249</v>
      </c>
      <c r="I10001">
        <v>41107295</v>
      </c>
    </row>
    <row r="10002" spans="1:9" x14ac:dyDescent="0.2">
      <c r="A10002" s="1" t="str">
        <f>"LTBP4"</f>
        <v>LTBP4</v>
      </c>
      <c r="B10002" t="s">
        <v>13</v>
      </c>
      <c r="C10002" t="s">
        <v>10</v>
      </c>
      <c r="D10002" t="s">
        <v>17</v>
      </c>
      <c r="E10002" t="s">
        <v>12</v>
      </c>
      <c r="F10002">
        <v>41120037</v>
      </c>
      <c r="G10002">
        <v>41120121</v>
      </c>
      <c r="H10002">
        <v>41120037</v>
      </c>
      <c r="I10002">
        <v>41120121</v>
      </c>
    </row>
    <row r="10003" spans="1:9" x14ac:dyDescent="0.2">
      <c r="A10003" s="1" t="str">
        <f>"LTBR"</f>
        <v>LTBR</v>
      </c>
      <c r="B10003" t="s">
        <v>14</v>
      </c>
      <c r="C10003" t="s">
        <v>16</v>
      </c>
      <c r="D10003" t="s">
        <v>17</v>
      </c>
      <c r="E10003" t="s">
        <v>12</v>
      </c>
      <c r="F10003">
        <v>6493319</v>
      </c>
      <c r="G10003">
        <v>6493405</v>
      </c>
      <c r="H10003">
        <v>6493237</v>
      </c>
      <c r="I10003">
        <v>6493257</v>
      </c>
    </row>
    <row r="10004" spans="1:9" x14ac:dyDescent="0.2">
      <c r="A10004" s="1" t="str">
        <f>"LTC4S"</f>
        <v>LTC4S</v>
      </c>
      <c r="B10004" t="s">
        <v>14</v>
      </c>
      <c r="C10004" t="s">
        <v>46</v>
      </c>
      <c r="D10004" t="s">
        <v>17</v>
      </c>
      <c r="E10004" t="s">
        <v>12</v>
      </c>
      <c r="F10004">
        <v>179221003</v>
      </c>
      <c r="G10004">
        <v>179221024</v>
      </c>
      <c r="H10004">
        <v>179220979</v>
      </c>
      <c r="I10004">
        <v>179220997</v>
      </c>
    </row>
    <row r="10005" spans="1:9" x14ac:dyDescent="0.2">
      <c r="A10005" s="1" t="str">
        <f>"LTF"</f>
        <v>LTF</v>
      </c>
      <c r="B10005" t="s">
        <v>14</v>
      </c>
      <c r="C10005" t="s">
        <v>22</v>
      </c>
      <c r="D10005" t="s">
        <v>11</v>
      </c>
      <c r="E10005" t="s">
        <v>12</v>
      </c>
      <c r="F10005">
        <v>46506387</v>
      </c>
      <c r="G10005">
        <v>46506404</v>
      </c>
      <c r="H10005">
        <v>46506563</v>
      </c>
      <c r="I10005">
        <v>46506572</v>
      </c>
    </row>
    <row r="10006" spans="1:9" x14ac:dyDescent="0.2">
      <c r="A10006" s="1" t="str">
        <f>"LTK"</f>
        <v>LTK</v>
      </c>
      <c r="B10006" t="s">
        <v>14</v>
      </c>
      <c r="C10006" t="s">
        <v>25</v>
      </c>
      <c r="D10006" t="s">
        <v>11</v>
      </c>
      <c r="E10006" t="s">
        <v>12</v>
      </c>
      <c r="F10006">
        <v>41806016</v>
      </c>
      <c r="G10006">
        <v>41806031</v>
      </c>
      <c r="H10006">
        <v>41806046</v>
      </c>
      <c r="I10006">
        <v>41806057</v>
      </c>
    </row>
    <row r="10007" spans="1:9" x14ac:dyDescent="0.2">
      <c r="A10007" s="1" t="str">
        <f>"LTN1"</f>
        <v>LTN1</v>
      </c>
      <c r="B10007" t="s">
        <v>14</v>
      </c>
      <c r="C10007" t="s">
        <v>42</v>
      </c>
      <c r="D10007" t="s">
        <v>11</v>
      </c>
      <c r="E10007" t="s">
        <v>12</v>
      </c>
      <c r="F10007">
        <v>30365136</v>
      </c>
      <c r="G10007">
        <v>30365206</v>
      </c>
      <c r="H10007">
        <v>30365136</v>
      </c>
      <c r="I10007">
        <v>30365206</v>
      </c>
    </row>
    <row r="10008" spans="1:9" x14ac:dyDescent="0.2">
      <c r="A10008" s="1" t="str">
        <f>"LTV1"</f>
        <v>LTV1</v>
      </c>
      <c r="B10008" t="s">
        <v>14</v>
      </c>
      <c r="C10008" t="s">
        <v>32</v>
      </c>
      <c r="D10008" t="s">
        <v>17</v>
      </c>
      <c r="E10008" t="s">
        <v>12</v>
      </c>
      <c r="F10008">
        <v>144164455</v>
      </c>
      <c r="G10008">
        <v>144164564</v>
      </c>
      <c r="H10008">
        <v>144164438</v>
      </c>
      <c r="I10008">
        <v>144164450</v>
      </c>
    </row>
    <row r="10009" spans="1:9" x14ac:dyDescent="0.2">
      <c r="A10009" s="1" t="str">
        <f>"LUC7L"</f>
        <v>LUC7L</v>
      </c>
      <c r="B10009" t="s">
        <v>14</v>
      </c>
      <c r="C10009" t="s">
        <v>31</v>
      </c>
      <c r="D10009" t="s">
        <v>11</v>
      </c>
      <c r="E10009" t="s">
        <v>12</v>
      </c>
      <c r="F10009">
        <v>279405</v>
      </c>
      <c r="G10009">
        <v>279456</v>
      </c>
      <c r="H10009">
        <v>279114</v>
      </c>
      <c r="I10009">
        <v>279146</v>
      </c>
    </row>
    <row r="10010" spans="1:9" x14ac:dyDescent="0.2">
      <c r="A10010" s="1" t="str">
        <f>"LUC7L2"</f>
        <v>LUC7L2</v>
      </c>
      <c r="B10010" t="s">
        <v>9</v>
      </c>
      <c r="C10010" t="s">
        <v>33</v>
      </c>
      <c r="D10010" t="s">
        <v>17</v>
      </c>
      <c r="E10010" t="s">
        <v>12</v>
      </c>
      <c r="F10010">
        <v>139044621</v>
      </c>
      <c r="G10010">
        <v>139044725</v>
      </c>
      <c r="H10010">
        <v>139044621</v>
      </c>
      <c r="I10010">
        <v>139044725</v>
      </c>
    </row>
    <row r="10011" spans="1:9" x14ac:dyDescent="0.2">
      <c r="A10011" s="1" t="str">
        <f>"LUC7L2"</f>
        <v>LUC7L2</v>
      </c>
      <c r="B10011" t="s">
        <v>13</v>
      </c>
      <c r="C10011" t="s">
        <v>33</v>
      </c>
      <c r="D10011" t="s">
        <v>17</v>
      </c>
      <c r="E10011" t="s">
        <v>12</v>
      </c>
      <c r="F10011">
        <v>139026057</v>
      </c>
      <c r="G10011">
        <v>139026130</v>
      </c>
      <c r="H10011">
        <v>139026057</v>
      </c>
      <c r="I10011">
        <v>139026130</v>
      </c>
    </row>
    <row r="10012" spans="1:9" x14ac:dyDescent="0.2">
      <c r="A10012" s="1" t="str">
        <f>"LUC7L3"</f>
        <v>LUC7L3</v>
      </c>
      <c r="B10012" t="s">
        <v>14</v>
      </c>
      <c r="C10012" t="s">
        <v>28</v>
      </c>
      <c r="D10012" t="s">
        <v>17</v>
      </c>
      <c r="E10012" t="s">
        <v>12</v>
      </c>
      <c r="F10012">
        <v>48796951</v>
      </c>
      <c r="G10012">
        <v>48796996</v>
      </c>
      <c r="H10012">
        <v>48796951</v>
      </c>
      <c r="I10012">
        <v>48796996</v>
      </c>
    </row>
    <row r="10013" spans="1:9" x14ac:dyDescent="0.2">
      <c r="A10013" s="1" t="str">
        <f>"LUM"</f>
        <v>LUM</v>
      </c>
      <c r="B10013" t="s">
        <v>14</v>
      </c>
      <c r="C10013" t="s">
        <v>16</v>
      </c>
      <c r="D10013" t="s">
        <v>11</v>
      </c>
      <c r="E10013" t="s">
        <v>12</v>
      </c>
      <c r="F10013">
        <v>91505237</v>
      </c>
      <c r="G10013">
        <v>91505280</v>
      </c>
      <c r="H10013">
        <v>91505206</v>
      </c>
      <c r="I10013">
        <v>91505228</v>
      </c>
    </row>
    <row r="10014" spans="1:9" x14ac:dyDescent="0.2">
      <c r="A10014" s="1" t="str">
        <f>"LURAP1"</f>
        <v>LURAP1</v>
      </c>
      <c r="B10014" t="s">
        <v>14</v>
      </c>
      <c r="C10014" t="s">
        <v>19</v>
      </c>
      <c r="D10014" t="s">
        <v>17</v>
      </c>
      <c r="E10014" t="s">
        <v>12</v>
      </c>
      <c r="F10014">
        <v>46668994</v>
      </c>
      <c r="G10014">
        <v>46669052</v>
      </c>
      <c r="H10014">
        <v>46669074</v>
      </c>
      <c r="I10014">
        <v>46669082</v>
      </c>
    </row>
    <row r="10015" spans="1:9" x14ac:dyDescent="0.2">
      <c r="A10015" s="1" t="str">
        <f>"LURAP1L"</f>
        <v>LURAP1L</v>
      </c>
      <c r="B10015" t="s">
        <v>14</v>
      </c>
      <c r="C10015" t="s">
        <v>24</v>
      </c>
      <c r="D10015" t="s">
        <v>17</v>
      </c>
      <c r="E10015" t="s">
        <v>12</v>
      </c>
      <c r="F10015">
        <v>12775011</v>
      </c>
      <c r="G10015">
        <v>12775028</v>
      </c>
      <c r="H10015">
        <v>12774983</v>
      </c>
      <c r="I10015">
        <v>12774997</v>
      </c>
    </row>
    <row r="10016" spans="1:9" x14ac:dyDescent="0.2">
      <c r="A10016" s="1" t="str">
        <f>"LUZP1"</f>
        <v>LUZP1</v>
      </c>
      <c r="B10016" t="s">
        <v>14</v>
      </c>
      <c r="C10016" t="s">
        <v>19</v>
      </c>
      <c r="D10016" t="s">
        <v>11</v>
      </c>
      <c r="E10016" t="s">
        <v>12</v>
      </c>
      <c r="F10016">
        <v>23495303</v>
      </c>
      <c r="G10016">
        <v>23495338</v>
      </c>
      <c r="H10016">
        <v>23495340</v>
      </c>
      <c r="I10016">
        <v>23495357</v>
      </c>
    </row>
    <row r="10017" spans="1:9" x14ac:dyDescent="0.2">
      <c r="A10017" s="1" t="str">
        <f>"LUZP2"</f>
        <v>LUZP2</v>
      </c>
      <c r="B10017" t="s">
        <v>14</v>
      </c>
      <c r="C10017" t="s">
        <v>27</v>
      </c>
      <c r="D10017" t="s">
        <v>17</v>
      </c>
      <c r="E10017" t="s">
        <v>12</v>
      </c>
      <c r="F10017">
        <v>24518538</v>
      </c>
      <c r="G10017">
        <v>24518620</v>
      </c>
      <c r="H10017">
        <v>24518654</v>
      </c>
      <c r="I10017">
        <v>24518698</v>
      </c>
    </row>
    <row r="10018" spans="1:9" x14ac:dyDescent="0.2">
      <c r="A10018" s="1" t="str">
        <f>"LUZP4"</f>
        <v>LUZP4</v>
      </c>
      <c r="B10018" t="s">
        <v>14</v>
      </c>
      <c r="C10018" t="s">
        <v>37</v>
      </c>
      <c r="D10018" t="s">
        <v>17</v>
      </c>
      <c r="E10018" t="s">
        <v>12</v>
      </c>
      <c r="F10018">
        <v>114524275</v>
      </c>
      <c r="G10018">
        <v>114524308</v>
      </c>
      <c r="H10018">
        <v>114524245</v>
      </c>
      <c r="I10018">
        <v>114524256</v>
      </c>
    </row>
    <row r="10019" spans="1:9" x14ac:dyDescent="0.2">
      <c r="A10019" s="1" t="str">
        <f>"LUZP6"</f>
        <v>LUZP6</v>
      </c>
      <c r="B10019" t="s">
        <v>14</v>
      </c>
      <c r="C10019" t="s">
        <v>33</v>
      </c>
      <c r="D10019" t="s">
        <v>11</v>
      </c>
      <c r="E10019" t="s">
        <v>12</v>
      </c>
      <c r="F10019">
        <v>135613224</v>
      </c>
      <c r="G10019">
        <v>135613248</v>
      </c>
      <c r="H10019">
        <v>135613224</v>
      </c>
      <c r="I10019">
        <v>135613248</v>
      </c>
    </row>
    <row r="10020" spans="1:9" x14ac:dyDescent="0.2">
      <c r="A10020" s="1" t="str">
        <f>"LXN"</f>
        <v>LXN</v>
      </c>
      <c r="B10020" t="s">
        <v>14</v>
      </c>
      <c r="C10020" t="s">
        <v>22</v>
      </c>
      <c r="D10020" t="s">
        <v>11</v>
      </c>
      <c r="E10020" t="s">
        <v>12</v>
      </c>
      <c r="F10020">
        <v>158390282</v>
      </c>
      <c r="G10020">
        <v>158390521</v>
      </c>
      <c r="H10020">
        <v>158390218</v>
      </c>
      <c r="I10020">
        <v>158390229</v>
      </c>
    </row>
    <row r="10021" spans="1:9" x14ac:dyDescent="0.2">
      <c r="A10021" s="1" t="str">
        <f>"LY6D"</f>
        <v>LY6D</v>
      </c>
      <c r="B10021" t="s">
        <v>14</v>
      </c>
      <c r="C10021" t="s">
        <v>30</v>
      </c>
      <c r="D10021" t="s">
        <v>11</v>
      </c>
      <c r="E10021" t="s">
        <v>12</v>
      </c>
      <c r="F10021">
        <v>143867946</v>
      </c>
      <c r="G10021">
        <v>143867962</v>
      </c>
      <c r="H10021">
        <v>143867355</v>
      </c>
      <c r="I10021">
        <v>143867390</v>
      </c>
    </row>
    <row r="10022" spans="1:9" x14ac:dyDescent="0.2">
      <c r="A10022" s="1" t="str">
        <f>"LY6E"</f>
        <v>LY6E</v>
      </c>
      <c r="B10022" t="s">
        <v>14</v>
      </c>
      <c r="C10022" t="s">
        <v>30</v>
      </c>
      <c r="D10022" t="s">
        <v>17</v>
      </c>
      <c r="E10022" t="s">
        <v>12</v>
      </c>
      <c r="F10022">
        <v>144099914</v>
      </c>
      <c r="G10022">
        <v>144099953</v>
      </c>
      <c r="H10022">
        <v>144099896</v>
      </c>
      <c r="I10022">
        <v>144099913</v>
      </c>
    </row>
    <row r="10023" spans="1:9" x14ac:dyDescent="0.2">
      <c r="A10023" s="1" t="str">
        <f>"LY6G5B"</f>
        <v>LY6G5B</v>
      </c>
      <c r="B10023" t="s">
        <v>14</v>
      </c>
      <c r="C10023" t="s">
        <v>32</v>
      </c>
      <c r="D10023" t="s">
        <v>17</v>
      </c>
      <c r="E10023" t="s">
        <v>12</v>
      </c>
      <c r="F10023">
        <v>31636364</v>
      </c>
      <c r="G10023">
        <v>31636403</v>
      </c>
      <c r="H10023">
        <v>31636888</v>
      </c>
      <c r="I10023">
        <v>31636908</v>
      </c>
    </row>
    <row r="10024" spans="1:9" x14ac:dyDescent="0.2">
      <c r="A10024" s="1" t="str">
        <f>"LY6G5C"</f>
        <v>LY6G5C</v>
      </c>
      <c r="B10024" t="s">
        <v>14</v>
      </c>
      <c r="C10024" t="s">
        <v>32</v>
      </c>
      <c r="D10024" t="s">
        <v>11</v>
      </c>
      <c r="E10024" t="s">
        <v>12</v>
      </c>
      <c r="F10024">
        <v>31649209</v>
      </c>
      <c r="G10024">
        <v>31649265</v>
      </c>
      <c r="H10024">
        <v>31649183</v>
      </c>
      <c r="I10024">
        <v>31649190</v>
      </c>
    </row>
    <row r="10025" spans="1:9" x14ac:dyDescent="0.2">
      <c r="A10025" s="1" t="str">
        <f>"LY6G6C"</f>
        <v>LY6G6C</v>
      </c>
      <c r="B10025" t="s">
        <v>14</v>
      </c>
      <c r="C10025" t="s">
        <v>32</v>
      </c>
      <c r="D10025" t="s">
        <v>11</v>
      </c>
      <c r="E10025" t="s">
        <v>12</v>
      </c>
      <c r="F10025">
        <v>31689515</v>
      </c>
      <c r="G10025">
        <v>31689539</v>
      </c>
      <c r="H10025">
        <v>31689515</v>
      </c>
      <c r="I10025">
        <v>31689539</v>
      </c>
    </row>
    <row r="10026" spans="1:9" x14ac:dyDescent="0.2">
      <c r="A10026" s="1" t="str">
        <f>"LY6G6D"</f>
        <v>LY6G6D</v>
      </c>
      <c r="B10026" t="s">
        <v>14</v>
      </c>
      <c r="C10026" t="s">
        <v>32</v>
      </c>
      <c r="D10026" t="s">
        <v>17</v>
      </c>
      <c r="E10026" t="s">
        <v>12</v>
      </c>
      <c r="F10026">
        <v>31683117</v>
      </c>
      <c r="G10026">
        <v>31683130</v>
      </c>
      <c r="H10026">
        <v>31683080</v>
      </c>
      <c r="I10026">
        <v>31683091</v>
      </c>
    </row>
    <row r="10027" spans="1:9" x14ac:dyDescent="0.2">
      <c r="A10027" s="1" t="str">
        <f>"LY6G6F"</f>
        <v>LY6G6F</v>
      </c>
      <c r="B10027" t="s">
        <v>14</v>
      </c>
      <c r="C10027" t="s">
        <v>32</v>
      </c>
      <c r="D10027" t="s">
        <v>17</v>
      </c>
      <c r="E10027" t="s">
        <v>12</v>
      </c>
      <c r="F10027">
        <v>31674653</v>
      </c>
      <c r="G10027">
        <v>31674668</v>
      </c>
      <c r="H10027">
        <v>31674639</v>
      </c>
      <c r="I10027">
        <v>31674650</v>
      </c>
    </row>
    <row r="10028" spans="1:9" x14ac:dyDescent="0.2">
      <c r="A10028" s="1" t="str">
        <f>"LY6H"</f>
        <v>LY6H</v>
      </c>
      <c r="B10028" t="s">
        <v>14</v>
      </c>
      <c r="C10028" t="s">
        <v>30</v>
      </c>
      <c r="D10028" t="s">
        <v>11</v>
      </c>
      <c r="E10028" t="s">
        <v>12</v>
      </c>
      <c r="F10028">
        <v>144241664</v>
      </c>
      <c r="G10028">
        <v>144241748</v>
      </c>
      <c r="H10028">
        <v>144242020</v>
      </c>
      <c r="I10028">
        <v>144242075</v>
      </c>
    </row>
    <row r="10029" spans="1:9" x14ac:dyDescent="0.2">
      <c r="A10029" s="1" t="str">
        <f>"LY6K"</f>
        <v>LY6K</v>
      </c>
      <c r="B10029" t="s">
        <v>14</v>
      </c>
      <c r="C10029" t="s">
        <v>30</v>
      </c>
      <c r="D10029" t="s">
        <v>17</v>
      </c>
      <c r="E10029" t="s">
        <v>12</v>
      </c>
      <c r="F10029">
        <v>143781513</v>
      </c>
      <c r="G10029">
        <v>143781568</v>
      </c>
      <c r="H10029">
        <v>143781830</v>
      </c>
      <c r="I10029">
        <v>143781881</v>
      </c>
    </row>
    <row r="10030" spans="1:9" x14ac:dyDescent="0.2">
      <c r="A10030" s="1" t="str">
        <f>"LY75"</f>
        <v>LY75</v>
      </c>
      <c r="B10030" t="s">
        <v>14</v>
      </c>
      <c r="C10030" t="s">
        <v>26</v>
      </c>
      <c r="D10030" t="s">
        <v>11</v>
      </c>
      <c r="E10030" t="s">
        <v>12</v>
      </c>
      <c r="F10030">
        <v>160761179</v>
      </c>
      <c r="G10030">
        <v>160761275</v>
      </c>
      <c r="H10030">
        <v>160761664</v>
      </c>
      <c r="I10030">
        <v>160761697</v>
      </c>
    </row>
    <row r="10031" spans="1:9" x14ac:dyDescent="0.2">
      <c r="A10031" s="1" t="str">
        <f>"LY75-CD302"</f>
        <v>LY75-CD302</v>
      </c>
      <c r="B10031" t="s">
        <v>14</v>
      </c>
      <c r="C10031" t="s">
        <v>26</v>
      </c>
      <c r="D10031" t="s">
        <v>11</v>
      </c>
      <c r="E10031" t="s">
        <v>12</v>
      </c>
      <c r="F10031">
        <v>160761179</v>
      </c>
      <c r="G10031">
        <v>160761275</v>
      </c>
      <c r="H10031">
        <v>160761664</v>
      </c>
      <c r="I10031">
        <v>160761697</v>
      </c>
    </row>
    <row r="10032" spans="1:9" x14ac:dyDescent="0.2">
      <c r="A10032" s="1" t="str">
        <f>"LY86"</f>
        <v>LY86</v>
      </c>
      <c r="B10032" t="s">
        <v>14</v>
      </c>
      <c r="C10032" t="s">
        <v>32</v>
      </c>
      <c r="D10032" t="s">
        <v>17</v>
      </c>
      <c r="E10032" t="s">
        <v>12</v>
      </c>
      <c r="F10032">
        <v>6588941</v>
      </c>
      <c r="G10032">
        <v>6588960</v>
      </c>
      <c r="H10032">
        <v>6588941</v>
      </c>
      <c r="I10032">
        <v>6588960</v>
      </c>
    </row>
    <row r="10033" spans="1:9" x14ac:dyDescent="0.2">
      <c r="A10033" s="1" t="str">
        <f>"LY9"</f>
        <v>LY9</v>
      </c>
      <c r="B10033" t="s">
        <v>14</v>
      </c>
      <c r="C10033" t="s">
        <v>19</v>
      </c>
      <c r="D10033" t="s">
        <v>17</v>
      </c>
      <c r="E10033" t="s">
        <v>12</v>
      </c>
      <c r="F10033">
        <v>160765947</v>
      </c>
      <c r="G10033">
        <v>160765976</v>
      </c>
      <c r="H10033">
        <v>160766011</v>
      </c>
      <c r="I10033">
        <v>160766032</v>
      </c>
    </row>
    <row r="10034" spans="1:9" x14ac:dyDescent="0.2">
      <c r="A10034" s="1" t="str">
        <f>"LY96"</f>
        <v>LY96</v>
      </c>
      <c r="B10034" t="s">
        <v>14</v>
      </c>
      <c r="C10034" t="s">
        <v>30</v>
      </c>
      <c r="D10034" t="s">
        <v>17</v>
      </c>
      <c r="E10034" t="s">
        <v>12</v>
      </c>
      <c r="F10034">
        <v>74903580</v>
      </c>
      <c r="G10034">
        <v>74903661</v>
      </c>
      <c r="H10034">
        <v>74903696</v>
      </c>
      <c r="I10034">
        <v>74903725</v>
      </c>
    </row>
    <row r="10035" spans="1:9" x14ac:dyDescent="0.2">
      <c r="A10035" s="1" t="str">
        <f>"LYAR"</f>
        <v>LYAR</v>
      </c>
      <c r="B10035" t="s">
        <v>14</v>
      </c>
      <c r="C10035" t="s">
        <v>23</v>
      </c>
      <c r="D10035" t="s">
        <v>11</v>
      </c>
      <c r="E10035" t="s">
        <v>12</v>
      </c>
      <c r="F10035">
        <v>4291861</v>
      </c>
      <c r="G10035">
        <v>4291913</v>
      </c>
      <c r="H10035">
        <v>4291837</v>
      </c>
      <c r="I10035">
        <v>4291859</v>
      </c>
    </row>
    <row r="10036" spans="1:9" x14ac:dyDescent="0.2">
      <c r="A10036" s="1" t="str">
        <f>"LYG1"</f>
        <v>LYG1</v>
      </c>
      <c r="B10036" t="s">
        <v>14</v>
      </c>
      <c r="C10036" t="s">
        <v>26</v>
      </c>
      <c r="D10036" t="s">
        <v>11</v>
      </c>
      <c r="E10036" t="s">
        <v>12</v>
      </c>
      <c r="F10036">
        <v>99917659</v>
      </c>
      <c r="G10036">
        <v>99917663</v>
      </c>
      <c r="H10036">
        <v>99917659</v>
      </c>
      <c r="I10036">
        <v>99917663</v>
      </c>
    </row>
    <row r="10037" spans="1:9" x14ac:dyDescent="0.2">
      <c r="A10037" s="1" t="str">
        <f>"LYG2"</f>
        <v>LYG2</v>
      </c>
      <c r="B10037" t="s">
        <v>774</v>
      </c>
      <c r="C10037" t="s">
        <v>26</v>
      </c>
      <c r="D10037" t="s">
        <v>11</v>
      </c>
      <c r="E10037" t="s">
        <v>20</v>
      </c>
      <c r="F10037">
        <v>99871569</v>
      </c>
      <c r="G10037">
        <v>99871569</v>
      </c>
      <c r="H10037">
        <v>99871569</v>
      </c>
      <c r="I10037">
        <v>99871569</v>
      </c>
    </row>
    <row r="10038" spans="1:9" x14ac:dyDescent="0.2">
      <c r="A10038" s="1" t="str">
        <f>"LYG2"</f>
        <v>LYG2</v>
      </c>
      <c r="B10038" t="s">
        <v>775</v>
      </c>
      <c r="C10038" t="s">
        <v>26</v>
      </c>
      <c r="D10038" t="s">
        <v>11</v>
      </c>
      <c r="E10038" t="s">
        <v>20</v>
      </c>
      <c r="F10038">
        <v>99870743</v>
      </c>
      <c r="G10038">
        <v>99870743</v>
      </c>
      <c r="H10038">
        <v>99870743</v>
      </c>
      <c r="I10038">
        <v>99870743</v>
      </c>
    </row>
    <row r="10039" spans="1:9" x14ac:dyDescent="0.2">
      <c r="A10039" s="1" t="str">
        <f>"LYL1"</f>
        <v>LYL1</v>
      </c>
      <c r="B10039" t="s">
        <v>14</v>
      </c>
      <c r="C10039" t="s">
        <v>10</v>
      </c>
      <c r="D10039" t="s">
        <v>11</v>
      </c>
      <c r="E10039" t="s">
        <v>12</v>
      </c>
      <c r="F10039">
        <v>13213662</v>
      </c>
      <c r="G10039">
        <v>13213686</v>
      </c>
      <c r="H10039">
        <v>13213662</v>
      </c>
      <c r="I10039">
        <v>13213686</v>
      </c>
    </row>
    <row r="10040" spans="1:9" x14ac:dyDescent="0.2">
      <c r="A10040" s="1" t="str">
        <f>"LYN"</f>
        <v>LYN</v>
      </c>
      <c r="B10040" t="s">
        <v>14</v>
      </c>
      <c r="C10040" t="s">
        <v>30</v>
      </c>
      <c r="D10040" t="s">
        <v>17</v>
      </c>
      <c r="E10040" t="s">
        <v>12</v>
      </c>
      <c r="F10040">
        <v>56792377</v>
      </c>
      <c r="G10040">
        <v>56792404</v>
      </c>
      <c r="H10040">
        <v>56792355</v>
      </c>
      <c r="I10040">
        <v>56792369</v>
      </c>
    </row>
    <row r="10041" spans="1:9" x14ac:dyDescent="0.2">
      <c r="A10041" s="1" t="str">
        <f>"LYNX1"</f>
        <v>LYNX1</v>
      </c>
      <c r="B10041" t="s">
        <v>14</v>
      </c>
      <c r="C10041" t="s">
        <v>30</v>
      </c>
      <c r="D10041" t="s">
        <v>11</v>
      </c>
      <c r="E10041" t="s">
        <v>12</v>
      </c>
      <c r="F10041">
        <v>143858590</v>
      </c>
      <c r="G10041">
        <v>143858685</v>
      </c>
      <c r="H10041">
        <v>143858590</v>
      </c>
      <c r="I10041">
        <v>143858685</v>
      </c>
    </row>
    <row r="10042" spans="1:9" x14ac:dyDescent="0.2">
      <c r="A10042" s="1" t="str">
        <f>"LYPD1"</f>
        <v>LYPD1</v>
      </c>
      <c r="B10042" t="s">
        <v>9</v>
      </c>
      <c r="C10042" t="s">
        <v>26</v>
      </c>
      <c r="D10042" t="s">
        <v>11</v>
      </c>
      <c r="E10042" t="s">
        <v>12</v>
      </c>
      <c r="F10042">
        <v>133427767</v>
      </c>
      <c r="G10042">
        <v>133427797</v>
      </c>
      <c r="H10042">
        <v>133427767</v>
      </c>
      <c r="I10042">
        <v>133427797</v>
      </c>
    </row>
    <row r="10043" spans="1:9" x14ac:dyDescent="0.2">
      <c r="A10043" s="1" t="str">
        <f>"LYPD1"</f>
        <v>LYPD1</v>
      </c>
      <c r="B10043" t="s">
        <v>13</v>
      </c>
      <c r="C10043" t="s">
        <v>26</v>
      </c>
      <c r="D10043" t="s">
        <v>11</v>
      </c>
      <c r="E10043" t="s">
        <v>12</v>
      </c>
      <c r="F10043">
        <v>133429062</v>
      </c>
      <c r="G10043">
        <v>133429090</v>
      </c>
      <c r="H10043">
        <v>133429062</v>
      </c>
      <c r="I10043">
        <v>133429090</v>
      </c>
    </row>
    <row r="10044" spans="1:9" x14ac:dyDescent="0.2">
      <c r="A10044" s="1" t="str">
        <f>"LYPD2"</f>
        <v>LYPD2</v>
      </c>
      <c r="B10044" t="s">
        <v>14</v>
      </c>
      <c r="C10044" t="s">
        <v>30</v>
      </c>
      <c r="D10044" t="s">
        <v>11</v>
      </c>
      <c r="E10044" t="s">
        <v>12</v>
      </c>
      <c r="F10044">
        <v>143833918</v>
      </c>
      <c r="G10044">
        <v>143833960</v>
      </c>
      <c r="H10044">
        <v>143833961</v>
      </c>
      <c r="I10044">
        <v>143833974</v>
      </c>
    </row>
    <row r="10045" spans="1:9" x14ac:dyDescent="0.2">
      <c r="A10045" s="1" t="str">
        <f>"LYPD3"</f>
        <v>LYPD3</v>
      </c>
      <c r="B10045" t="s">
        <v>14</v>
      </c>
      <c r="C10045" t="s">
        <v>10</v>
      </c>
      <c r="D10045" t="s">
        <v>11</v>
      </c>
      <c r="E10045" t="s">
        <v>12</v>
      </c>
      <c r="F10045">
        <v>43969748</v>
      </c>
      <c r="G10045">
        <v>43969768</v>
      </c>
      <c r="H10045">
        <v>43969796</v>
      </c>
      <c r="I10045">
        <v>43969813</v>
      </c>
    </row>
    <row r="10046" spans="1:9" x14ac:dyDescent="0.2">
      <c r="A10046" s="1" t="str">
        <f>"LYPD4"</f>
        <v>LYPD4</v>
      </c>
      <c r="B10046" t="s">
        <v>14</v>
      </c>
      <c r="C10046" t="s">
        <v>10</v>
      </c>
      <c r="D10046" t="s">
        <v>11</v>
      </c>
      <c r="E10046" t="s">
        <v>12</v>
      </c>
      <c r="F10046">
        <v>42348692</v>
      </c>
      <c r="G10046">
        <v>42348771</v>
      </c>
      <c r="H10046">
        <v>42347971</v>
      </c>
      <c r="I10046">
        <v>42347972</v>
      </c>
    </row>
    <row r="10047" spans="1:9" x14ac:dyDescent="0.2">
      <c r="A10047" s="1" t="str">
        <f>"LYPD5"</f>
        <v>LYPD5</v>
      </c>
      <c r="B10047" t="s">
        <v>9</v>
      </c>
      <c r="C10047" t="s">
        <v>10</v>
      </c>
      <c r="D10047" t="s">
        <v>11</v>
      </c>
      <c r="E10047" t="s">
        <v>12</v>
      </c>
      <c r="F10047">
        <v>44324752</v>
      </c>
      <c r="G10047">
        <v>44324800</v>
      </c>
      <c r="H10047">
        <v>44324752</v>
      </c>
      <c r="I10047">
        <v>44324800</v>
      </c>
    </row>
    <row r="10048" spans="1:9" x14ac:dyDescent="0.2">
      <c r="A10048" s="1" t="str">
        <f>"LYPD5"</f>
        <v>LYPD5</v>
      </c>
      <c r="B10048" t="s">
        <v>13</v>
      </c>
      <c r="C10048" t="s">
        <v>10</v>
      </c>
      <c r="D10048" t="s">
        <v>11</v>
      </c>
      <c r="E10048" t="s">
        <v>12</v>
      </c>
      <c r="F10048">
        <v>44306590</v>
      </c>
      <c r="G10048">
        <v>44306614</v>
      </c>
      <c r="H10048">
        <v>44306590</v>
      </c>
      <c r="I10048">
        <v>44306614</v>
      </c>
    </row>
    <row r="10049" spans="1:9" x14ac:dyDescent="0.2">
      <c r="A10049" s="1" t="str">
        <f>"LYPD6"</f>
        <v>LYPD6</v>
      </c>
      <c r="B10049" t="s">
        <v>14</v>
      </c>
      <c r="C10049" t="s">
        <v>26</v>
      </c>
      <c r="D10049" t="s">
        <v>17</v>
      </c>
      <c r="E10049" t="s">
        <v>12</v>
      </c>
      <c r="F10049">
        <v>150187020</v>
      </c>
      <c r="G10049">
        <v>150187120</v>
      </c>
      <c r="H10049">
        <v>150186517</v>
      </c>
      <c r="I10049">
        <v>150186546</v>
      </c>
    </row>
    <row r="10050" spans="1:9" x14ac:dyDescent="0.2">
      <c r="A10050" s="1" t="str">
        <f>"LYPD6B"</f>
        <v>LYPD6B</v>
      </c>
      <c r="B10050" t="s">
        <v>14</v>
      </c>
      <c r="C10050" t="s">
        <v>26</v>
      </c>
      <c r="D10050" t="s">
        <v>17</v>
      </c>
      <c r="E10050" t="s">
        <v>12</v>
      </c>
      <c r="F10050">
        <v>149895207</v>
      </c>
      <c r="G10050">
        <v>149895230</v>
      </c>
      <c r="H10050">
        <v>149895246</v>
      </c>
      <c r="I10050">
        <v>149895261</v>
      </c>
    </row>
    <row r="10051" spans="1:9" x14ac:dyDescent="0.2">
      <c r="A10051" s="1" t="str">
        <f>"LYPD8"</f>
        <v>LYPD8</v>
      </c>
      <c r="B10051" t="s">
        <v>776</v>
      </c>
      <c r="C10051" t="s">
        <v>19</v>
      </c>
      <c r="D10051" t="s">
        <v>11</v>
      </c>
      <c r="E10051" t="s">
        <v>20</v>
      </c>
      <c r="F10051">
        <v>248903149</v>
      </c>
      <c r="G10051">
        <v>248903149</v>
      </c>
      <c r="H10051">
        <v>248903149</v>
      </c>
      <c r="I10051">
        <v>248903149</v>
      </c>
    </row>
    <row r="10052" spans="1:9" x14ac:dyDescent="0.2">
      <c r="A10052" s="1" t="str">
        <f>"LYPLA1"</f>
        <v>LYPLA1</v>
      </c>
      <c r="B10052" t="s">
        <v>14</v>
      </c>
      <c r="C10052" t="s">
        <v>30</v>
      </c>
      <c r="D10052" t="s">
        <v>11</v>
      </c>
      <c r="E10052" t="s">
        <v>12</v>
      </c>
      <c r="F10052">
        <v>55014421</v>
      </c>
      <c r="G10052">
        <v>55014595</v>
      </c>
      <c r="H10052">
        <v>55014336</v>
      </c>
      <c r="I10052">
        <v>55014388</v>
      </c>
    </row>
    <row r="10053" spans="1:9" x14ac:dyDescent="0.2">
      <c r="A10053" s="1" t="str">
        <f>"LYPLA2"</f>
        <v>LYPLA2</v>
      </c>
      <c r="B10053" t="s">
        <v>14</v>
      </c>
      <c r="C10053" t="s">
        <v>19</v>
      </c>
      <c r="D10053" t="s">
        <v>17</v>
      </c>
      <c r="E10053" t="s">
        <v>12</v>
      </c>
      <c r="F10053">
        <v>24117627</v>
      </c>
      <c r="G10053">
        <v>24117659</v>
      </c>
      <c r="H10053">
        <v>24117662</v>
      </c>
      <c r="I10053">
        <v>24117682</v>
      </c>
    </row>
    <row r="10054" spans="1:9" x14ac:dyDescent="0.2">
      <c r="A10054" s="1" t="str">
        <f>"LYPLAL1"</f>
        <v>LYPLAL1</v>
      </c>
      <c r="B10054" t="s">
        <v>14</v>
      </c>
      <c r="C10054" t="s">
        <v>19</v>
      </c>
      <c r="D10054" t="s">
        <v>17</v>
      </c>
      <c r="E10054" t="s">
        <v>12</v>
      </c>
      <c r="F10054">
        <v>219347203</v>
      </c>
      <c r="G10054">
        <v>219347233</v>
      </c>
      <c r="H10054">
        <v>219347186</v>
      </c>
      <c r="I10054">
        <v>219347197</v>
      </c>
    </row>
    <row r="10055" spans="1:9" x14ac:dyDescent="0.2">
      <c r="A10055" s="1" t="str">
        <f>"LYRM1"</f>
        <v>LYRM1</v>
      </c>
      <c r="B10055" t="s">
        <v>14</v>
      </c>
      <c r="C10055" t="s">
        <v>31</v>
      </c>
      <c r="D10055" t="s">
        <v>17</v>
      </c>
      <c r="E10055" t="s">
        <v>12</v>
      </c>
      <c r="F10055">
        <v>20912079</v>
      </c>
      <c r="G10055">
        <v>20912113</v>
      </c>
      <c r="H10055">
        <v>20912114</v>
      </c>
      <c r="I10055">
        <v>20912160</v>
      </c>
    </row>
    <row r="10056" spans="1:9" x14ac:dyDescent="0.2">
      <c r="A10056" s="1" t="str">
        <f>"LYRM2"</f>
        <v>LYRM2</v>
      </c>
      <c r="B10056" t="s">
        <v>14</v>
      </c>
      <c r="C10056" t="s">
        <v>32</v>
      </c>
      <c r="D10056" t="s">
        <v>11</v>
      </c>
      <c r="E10056" t="s">
        <v>12</v>
      </c>
      <c r="F10056">
        <v>90348440</v>
      </c>
      <c r="G10056">
        <v>90348485</v>
      </c>
      <c r="H10056">
        <v>90348168</v>
      </c>
      <c r="I10056">
        <v>90348221</v>
      </c>
    </row>
    <row r="10057" spans="1:9" x14ac:dyDescent="0.2">
      <c r="A10057" s="1" t="str">
        <f>"LYRM4"</f>
        <v>LYRM4</v>
      </c>
      <c r="B10057" t="s">
        <v>14</v>
      </c>
      <c r="C10057" t="s">
        <v>32</v>
      </c>
      <c r="D10057" t="s">
        <v>11</v>
      </c>
      <c r="E10057" t="s">
        <v>12</v>
      </c>
      <c r="F10057">
        <v>5260963</v>
      </c>
      <c r="G10057">
        <v>5260982</v>
      </c>
      <c r="H10057">
        <v>5261141</v>
      </c>
      <c r="I10057">
        <v>5261205</v>
      </c>
    </row>
    <row r="10058" spans="1:9" x14ac:dyDescent="0.2">
      <c r="A10058" s="1" t="str">
        <f>"LYRM5"</f>
        <v>LYRM5</v>
      </c>
      <c r="B10058" t="s">
        <v>14</v>
      </c>
      <c r="C10058" t="s">
        <v>16</v>
      </c>
      <c r="D10058" t="s">
        <v>17</v>
      </c>
      <c r="E10058" t="s">
        <v>12</v>
      </c>
      <c r="F10058">
        <v>25348186</v>
      </c>
      <c r="G10058">
        <v>25348222</v>
      </c>
      <c r="H10058">
        <v>25348164</v>
      </c>
      <c r="I10058">
        <v>25348183</v>
      </c>
    </row>
    <row r="10059" spans="1:9" x14ac:dyDescent="0.2">
      <c r="A10059" s="1" t="str">
        <f>"LYRM7"</f>
        <v>LYRM7</v>
      </c>
      <c r="B10059" t="s">
        <v>14</v>
      </c>
      <c r="C10059" t="s">
        <v>46</v>
      </c>
      <c r="D10059" t="s">
        <v>17</v>
      </c>
      <c r="E10059" t="s">
        <v>12</v>
      </c>
      <c r="F10059">
        <v>130506629</v>
      </c>
      <c r="G10059">
        <v>130506700</v>
      </c>
      <c r="H10059">
        <v>130506604</v>
      </c>
      <c r="I10059">
        <v>130506615</v>
      </c>
    </row>
    <row r="10060" spans="1:9" x14ac:dyDescent="0.2">
      <c r="A10060" s="1" t="str">
        <f>"LYRM9"</f>
        <v>LYRM9</v>
      </c>
      <c r="B10060" t="s">
        <v>14</v>
      </c>
      <c r="C10060" t="s">
        <v>28</v>
      </c>
      <c r="D10060" t="s">
        <v>11</v>
      </c>
      <c r="E10060" t="s">
        <v>12</v>
      </c>
      <c r="F10060">
        <v>26220366</v>
      </c>
      <c r="G10060">
        <v>26220398</v>
      </c>
      <c r="H10060">
        <v>26220366</v>
      </c>
      <c r="I10060">
        <v>26220398</v>
      </c>
    </row>
    <row r="10061" spans="1:9" x14ac:dyDescent="0.2">
      <c r="A10061" s="1" t="str">
        <f>"LYSMD1"</f>
        <v>LYSMD1</v>
      </c>
      <c r="B10061" t="s">
        <v>14</v>
      </c>
      <c r="C10061" t="s">
        <v>19</v>
      </c>
      <c r="D10061" t="s">
        <v>11</v>
      </c>
      <c r="E10061" t="s">
        <v>12</v>
      </c>
      <c r="F10061">
        <v>151138323</v>
      </c>
      <c r="G10061">
        <v>151138384</v>
      </c>
      <c r="H10061">
        <v>151137804</v>
      </c>
      <c r="I10061">
        <v>151137828</v>
      </c>
    </row>
    <row r="10062" spans="1:9" x14ac:dyDescent="0.2">
      <c r="A10062" s="1" t="str">
        <f>"LYSMD2"</f>
        <v>LYSMD2</v>
      </c>
      <c r="B10062" t="s">
        <v>14</v>
      </c>
      <c r="C10062" t="s">
        <v>25</v>
      </c>
      <c r="D10062" t="s">
        <v>11</v>
      </c>
      <c r="E10062" t="s">
        <v>12</v>
      </c>
      <c r="F10062">
        <v>52029808</v>
      </c>
      <c r="G10062">
        <v>52029868</v>
      </c>
      <c r="H10062">
        <v>52030293</v>
      </c>
      <c r="I10062">
        <v>52030341</v>
      </c>
    </row>
    <row r="10063" spans="1:9" x14ac:dyDescent="0.2">
      <c r="A10063" s="1" t="str">
        <f>"LYSMD3"</f>
        <v>LYSMD3</v>
      </c>
      <c r="B10063" t="s">
        <v>14</v>
      </c>
      <c r="C10063" t="s">
        <v>46</v>
      </c>
      <c r="D10063" t="s">
        <v>11</v>
      </c>
      <c r="E10063" t="s">
        <v>12</v>
      </c>
      <c r="F10063">
        <v>89825328</v>
      </c>
      <c r="G10063">
        <v>89825422</v>
      </c>
      <c r="H10063">
        <v>89825428</v>
      </c>
      <c r="I10063">
        <v>89825439</v>
      </c>
    </row>
    <row r="10064" spans="1:9" x14ac:dyDescent="0.2">
      <c r="A10064" s="1" t="str">
        <f>"LYSMD4"</f>
        <v>LYSMD4</v>
      </c>
      <c r="B10064" t="s">
        <v>14</v>
      </c>
      <c r="C10064" t="s">
        <v>25</v>
      </c>
      <c r="D10064" t="s">
        <v>11</v>
      </c>
      <c r="E10064" t="s">
        <v>12</v>
      </c>
      <c r="F10064">
        <v>100273570</v>
      </c>
      <c r="G10064">
        <v>100273649</v>
      </c>
      <c r="H10064">
        <v>100273741</v>
      </c>
      <c r="I10064">
        <v>100273756</v>
      </c>
    </row>
    <row r="10065" spans="1:9" x14ac:dyDescent="0.2">
      <c r="A10065" s="1" t="str">
        <f>"LYST"</f>
        <v>LYST</v>
      </c>
      <c r="B10065" t="s">
        <v>14</v>
      </c>
      <c r="C10065" t="s">
        <v>19</v>
      </c>
      <c r="D10065" t="s">
        <v>11</v>
      </c>
      <c r="E10065" t="s">
        <v>12</v>
      </c>
      <c r="F10065">
        <v>236030167</v>
      </c>
      <c r="G10065">
        <v>236030214</v>
      </c>
      <c r="H10065">
        <v>236030216</v>
      </c>
      <c r="I10065">
        <v>236030241</v>
      </c>
    </row>
    <row r="10066" spans="1:9" x14ac:dyDescent="0.2">
      <c r="A10066" s="1" t="str">
        <f>"LYVE1"</f>
        <v>LYVE1</v>
      </c>
      <c r="B10066" t="s">
        <v>14</v>
      </c>
      <c r="C10066" t="s">
        <v>27</v>
      </c>
      <c r="D10066" t="s">
        <v>11</v>
      </c>
      <c r="E10066" t="s">
        <v>12</v>
      </c>
      <c r="F10066">
        <v>10590173</v>
      </c>
      <c r="G10066">
        <v>10590191</v>
      </c>
      <c r="H10066">
        <v>10590198</v>
      </c>
      <c r="I10066">
        <v>10590230</v>
      </c>
    </row>
    <row r="10067" spans="1:9" x14ac:dyDescent="0.2">
      <c r="A10067" s="1" t="str">
        <f>"LYZ"</f>
        <v>LYZ</v>
      </c>
      <c r="B10067" t="s">
        <v>14</v>
      </c>
      <c r="C10067" t="s">
        <v>16</v>
      </c>
      <c r="D10067" t="s">
        <v>17</v>
      </c>
      <c r="E10067" t="s">
        <v>12</v>
      </c>
      <c r="F10067">
        <v>69742152</v>
      </c>
      <c r="G10067">
        <v>69742171</v>
      </c>
      <c r="H10067">
        <v>69742152</v>
      </c>
      <c r="I10067">
        <v>69742171</v>
      </c>
    </row>
    <row r="10068" spans="1:9" x14ac:dyDescent="0.2">
      <c r="A10068" s="1" t="str">
        <f>"LYZL1"</f>
        <v>LYZL1</v>
      </c>
      <c r="B10068" t="s">
        <v>14</v>
      </c>
      <c r="C10068" t="s">
        <v>15</v>
      </c>
      <c r="D10068" t="s">
        <v>17</v>
      </c>
      <c r="E10068" t="s">
        <v>12</v>
      </c>
      <c r="F10068">
        <v>29577974</v>
      </c>
      <c r="G10068">
        <v>29578011</v>
      </c>
      <c r="H10068">
        <v>29577974</v>
      </c>
      <c r="I10068">
        <v>29578011</v>
      </c>
    </row>
    <row r="10069" spans="1:9" x14ac:dyDescent="0.2">
      <c r="A10069" s="1" t="str">
        <f>"LYZL2"</f>
        <v>LYZL2</v>
      </c>
      <c r="B10069" t="s">
        <v>14</v>
      </c>
      <c r="C10069" t="s">
        <v>15</v>
      </c>
      <c r="D10069" t="s">
        <v>11</v>
      </c>
      <c r="E10069" t="s">
        <v>12</v>
      </c>
      <c r="F10069">
        <v>30918669</v>
      </c>
      <c r="G10069">
        <v>30918687</v>
      </c>
      <c r="H10069">
        <v>30918669</v>
      </c>
      <c r="I10069">
        <v>30918687</v>
      </c>
    </row>
    <row r="10070" spans="1:9" x14ac:dyDescent="0.2">
      <c r="A10070" s="1" t="str">
        <f>"LYZL4"</f>
        <v>LYZL4</v>
      </c>
      <c r="B10070" t="s">
        <v>14</v>
      </c>
      <c r="C10070" t="s">
        <v>22</v>
      </c>
      <c r="D10070" t="s">
        <v>11</v>
      </c>
      <c r="E10070" t="s">
        <v>12</v>
      </c>
      <c r="F10070">
        <v>42452063</v>
      </c>
      <c r="G10070">
        <v>42452077</v>
      </c>
      <c r="H10070">
        <v>42452089</v>
      </c>
      <c r="I10070">
        <v>42452103</v>
      </c>
    </row>
    <row r="10071" spans="1:9" x14ac:dyDescent="0.2">
      <c r="A10071" s="1" t="str">
        <f>"LYZL6"</f>
        <v>LYZL6</v>
      </c>
      <c r="B10071" t="s">
        <v>14</v>
      </c>
      <c r="C10071" t="s">
        <v>28</v>
      </c>
      <c r="D10071" t="s">
        <v>11</v>
      </c>
      <c r="E10071" t="s">
        <v>12</v>
      </c>
      <c r="F10071">
        <v>34270687</v>
      </c>
      <c r="G10071">
        <v>34270696</v>
      </c>
      <c r="H10071">
        <v>34270668</v>
      </c>
      <c r="I10071">
        <v>34270674</v>
      </c>
    </row>
    <row r="10072" spans="1:9" x14ac:dyDescent="0.2">
      <c r="A10072" s="1" t="str">
        <f>"LZIC"</f>
        <v>LZIC</v>
      </c>
      <c r="B10072" t="s">
        <v>14</v>
      </c>
      <c r="C10072" t="s">
        <v>19</v>
      </c>
      <c r="D10072" t="s">
        <v>11</v>
      </c>
      <c r="E10072" t="s">
        <v>12</v>
      </c>
      <c r="F10072">
        <v>10003372</v>
      </c>
      <c r="G10072">
        <v>10003465</v>
      </c>
      <c r="H10072">
        <v>10003108</v>
      </c>
      <c r="I10072">
        <v>10003153</v>
      </c>
    </row>
    <row r="10073" spans="1:9" x14ac:dyDescent="0.2">
      <c r="A10073" s="1" t="str">
        <f>"LZTFL1"</f>
        <v>LZTFL1</v>
      </c>
      <c r="B10073" t="s">
        <v>14</v>
      </c>
      <c r="C10073" t="s">
        <v>22</v>
      </c>
      <c r="D10073" t="s">
        <v>11</v>
      </c>
      <c r="E10073" t="s">
        <v>12</v>
      </c>
      <c r="F10073">
        <v>45883558</v>
      </c>
      <c r="G10073">
        <v>45883637</v>
      </c>
      <c r="H10073">
        <v>45883558</v>
      </c>
      <c r="I10073">
        <v>45883637</v>
      </c>
    </row>
    <row r="10074" spans="1:9" x14ac:dyDescent="0.2">
      <c r="A10074" s="1" t="str">
        <f>"LZTR1"</f>
        <v>LZTR1</v>
      </c>
      <c r="B10074" t="s">
        <v>14</v>
      </c>
      <c r="C10074" t="s">
        <v>21</v>
      </c>
      <c r="D10074" t="s">
        <v>17</v>
      </c>
      <c r="E10074" t="s">
        <v>12</v>
      </c>
      <c r="F10074">
        <v>21336573</v>
      </c>
      <c r="G10074">
        <v>21336623</v>
      </c>
      <c r="H10074">
        <v>21336552</v>
      </c>
      <c r="I10074">
        <v>21336563</v>
      </c>
    </row>
    <row r="10075" spans="1:9" x14ac:dyDescent="0.2">
      <c r="A10075" s="1" t="str">
        <f>"LZTS1"</f>
        <v>LZTS1</v>
      </c>
      <c r="B10075" t="s">
        <v>14</v>
      </c>
      <c r="C10075" t="s">
        <v>30</v>
      </c>
      <c r="D10075" t="s">
        <v>11</v>
      </c>
      <c r="E10075" t="s">
        <v>12</v>
      </c>
      <c r="F10075">
        <v>20161466</v>
      </c>
      <c r="G10075">
        <v>20161481</v>
      </c>
      <c r="H10075">
        <v>20161443</v>
      </c>
      <c r="I10075">
        <v>20161462</v>
      </c>
    </row>
    <row r="10076" spans="1:9" x14ac:dyDescent="0.2">
      <c r="A10076" s="1" t="str">
        <f>"LZTS2"</f>
        <v>LZTS2</v>
      </c>
      <c r="B10076" t="s">
        <v>9</v>
      </c>
      <c r="C10076" t="s">
        <v>15</v>
      </c>
      <c r="D10076" t="s">
        <v>17</v>
      </c>
      <c r="E10076" t="s">
        <v>12</v>
      </c>
      <c r="F10076">
        <v>102759545</v>
      </c>
      <c r="G10076">
        <v>102759593</v>
      </c>
      <c r="H10076">
        <v>102759545</v>
      </c>
      <c r="I10076">
        <v>102759593</v>
      </c>
    </row>
    <row r="10077" spans="1:9" x14ac:dyDescent="0.2">
      <c r="A10077" s="1" t="str">
        <f>"LZTS2"</f>
        <v>LZTS2</v>
      </c>
      <c r="B10077" t="s">
        <v>13</v>
      </c>
      <c r="C10077" t="s">
        <v>15</v>
      </c>
      <c r="D10077" t="s">
        <v>17</v>
      </c>
      <c r="E10077" t="s">
        <v>12</v>
      </c>
      <c r="F10077">
        <v>102756800</v>
      </c>
      <c r="G10077">
        <v>102756846</v>
      </c>
      <c r="H10077">
        <v>102756800</v>
      </c>
      <c r="I10077">
        <v>102756846</v>
      </c>
    </row>
    <row r="10078" spans="1:9" x14ac:dyDescent="0.2">
      <c r="A10078" s="1" t="str">
        <f>"M1AP"</f>
        <v>M1AP</v>
      </c>
      <c r="B10078" t="s">
        <v>14</v>
      </c>
      <c r="C10078" t="s">
        <v>26</v>
      </c>
      <c r="D10078" t="s">
        <v>11</v>
      </c>
      <c r="E10078" t="s">
        <v>12</v>
      </c>
      <c r="F10078">
        <v>74875432</v>
      </c>
      <c r="G10078">
        <v>74875466</v>
      </c>
      <c r="H10078">
        <v>74875432</v>
      </c>
      <c r="I10078">
        <v>74875466</v>
      </c>
    </row>
    <row r="10079" spans="1:9" x14ac:dyDescent="0.2">
      <c r="A10079" s="1" t="str">
        <f>"M6PR"</f>
        <v>M6PR</v>
      </c>
      <c r="B10079" t="s">
        <v>14</v>
      </c>
      <c r="C10079" t="s">
        <v>16</v>
      </c>
      <c r="D10079" t="s">
        <v>11</v>
      </c>
      <c r="E10079" t="s">
        <v>12</v>
      </c>
      <c r="F10079">
        <v>9102224</v>
      </c>
      <c r="G10079">
        <v>9102270</v>
      </c>
      <c r="H10079">
        <v>9102193</v>
      </c>
      <c r="I10079">
        <v>9102211</v>
      </c>
    </row>
    <row r="10080" spans="1:9" x14ac:dyDescent="0.2">
      <c r="A10080" s="1" t="str">
        <f>"MAATS1"</f>
        <v>MAATS1</v>
      </c>
      <c r="B10080" t="s">
        <v>14</v>
      </c>
      <c r="C10080" t="s">
        <v>22</v>
      </c>
      <c r="D10080" t="s">
        <v>17</v>
      </c>
      <c r="E10080" t="s">
        <v>12</v>
      </c>
      <c r="F10080">
        <v>119421849</v>
      </c>
      <c r="G10080">
        <v>119421962</v>
      </c>
      <c r="H10080">
        <v>119421827</v>
      </c>
      <c r="I10080">
        <v>119421834</v>
      </c>
    </row>
    <row r="10081" spans="1:9" x14ac:dyDescent="0.2">
      <c r="A10081" s="1" t="str">
        <f>"MAB21L1"</f>
        <v>MAB21L1</v>
      </c>
      <c r="B10081" t="s">
        <v>14</v>
      </c>
      <c r="C10081" t="s">
        <v>39</v>
      </c>
      <c r="D10081" t="s">
        <v>11</v>
      </c>
      <c r="E10081" t="s">
        <v>12</v>
      </c>
      <c r="F10081">
        <v>36050819</v>
      </c>
      <c r="G10081">
        <v>36050834</v>
      </c>
      <c r="H10081">
        <v>36050790</v>
      </c>
      <c r="I10081">
        <v>36050807</v>
      </c>
    </row>
    <row r="10082" spans="1:9" x14ac:dyDescent="0.2">
      <c r="A10082" s="1" t="str">
        <f>"MAB21L2"</f>
        <v>MAB21L2</v>
      </c>
      <c r="B10082" t="s">
        <v>14</v>
      </c>
      <c r="C10082" t="s">
        <v>23</v>
      </c>
      <c r="D10082" t="s">
        <v>17</v>
      </c>
      <c r="E10082" t="s">
        <v>12</v>
      </c>
      <c r="F10082">
        <v>151503277</v>
      </c>
      <c r="G10082">
        <v>151503309</v>
      </c>
      <c r="H10082">
        <v>151503105</v>
      </c>
      <c r="I10082">
        <v>151503132</v>
      </c>
    </row>
    <row r="10083" spans="1:9" x14ac:dyDescent="0.2">
      <c r="A10083" s="1" t="str">
        <f>"MAB21L3"</f>
        <v>MAB21L3</v>
      </c>
      <c r="B10083" t="s">
        <v>14</v>
      </c>
      <c r="C10083" t="s">
        <v>19</v>
      </c>
      <c r="D10083" t="s">
        <v>17</v>
      </c>
      <c r="E10083" t="s">
        <v>12</v>
      </c>
      <c r="F10083">
        <v>116654016</v>
      </c>
      <c r="G10083">
        <v>116654027</v>
      </c>
      <c r="H10083">
        <v>116654016</v>
      </c>
      <c r="I10083">
        <v>116654027</v>
      </c>
    </row>
    <row r="10084" spans="1:9" x14ac:dyDescent="0.2">
      <c r="A10084" s="1" t="str">
        <f>"MACC1"</f>
        <v>MACC1</v>
      </c>
      <c r="B10084" t="s">
        <v>14</v>
      </c>
      <c r="C10084" t="s">
        <v>33</v>
      </c>
      <c r="D10084" t="s">
        <v>11</v>
      </c>
      <c r="E10084" t="s">
        <v>12</v>
      </c>
      <c r="F10084">
        <v>20256965</v>
      </c>
      <c r="G10084">
        <v>20257034</v>
      </c>
      <c r="H10084">
        <v>20257037</v>
      </c>
      <c r="I10084">
        <v>20257051</v>
      </c>
    </row>
    <row r="10085" spans="1:9" x14ac:dyDescent="0.2">
      <c r="A10085" s="1" t="str">
        <f>"MACF1"</f>
        <v>MACF1</v>
      </c>
      <c r="B10085" t="s">
        <v>14</v>
      </c>
      <c r="C10085" t="s">
        <v>19</v>
      </c>
      <c r="D10085" t="s">
        <v>17</v>
      </c>
      <c r="E10085" t="s">
        <v>12</v>
      </c>
      <c r="F10085">
        <v>39571026</v>
      </c>
      <c r="G10085">
        <v>39571117</v>
      </c>
      <c r="H10085">
        <v>39571026</v>
      </c>
      <c r="I10085">
        <v>39571117</v>
      </c>
    </row>
    <row r="10086" spans="1:9" x14ac:dyDescent="0.2">
      <c r="A10086" s="1" t="str">
        <f>"MACROD1"</f>
        <v>MACROD1</v>
      </c>
      <c r="B10086" t="s">
        <v>14</v>
      </c>
      <c r="C10086" t="s">
        <v>27</v>
      </c>
      <c r="D10086" t="s">
        <v>11</v>
      </c>
      <c r="E10086" t="s">
        <v>12</v>
      </c>
      <c r="F10086">
        <v>63933574</v>
      </c>
      <c r="G10086">
        <v>63933620</v>
      </c>
      <c r="H10086">
        <v>63933445</v>
      </c>
      <c r="I10086">
        <v>63933502</v>
      </c>
    </row>
    <row r="10087" spans="1:9" x14ac:dyDescent="0.2">
      <c r="A10087" s="1" t="str">
        <f>"MACROD2"</f>
        <v>MACROD2</v>
      </c>
      <c r="B10087" t="s">
        <v>14</v>
      </c>
      <c r="C10087" t="s">
        <v>29</v>
      </c>
      <c r="D10087" t="s">
        <v>17</v>
      </c>
      <c r="E10087" t="s">
        <v>12</v>
      </c>
      <c r="F10087">
        <v>13976127</v>
      </c>
      <c r="G10087">
        <v>13976171</v>
      </c>
      <c r="H10087">
        <v>13976127</v>
      </c>
      <c r="I10087">
        <v>13976171</v>
      </c>
    </row>
    <row r="10088" spans="1:9" x14ac:dyDescent="0.2">
      <c r="A10088" s="1" t="str">
        <f>"MAD1L1"</f>
        <v>MAD1L1</v>
      </c>
      <c r="B10088" t="s">
        <v>14</v>
      </c>
      <c r="C10088" t="s">
        <v>33</v>
      </c>
      <c r="D10088" t="s">
        <v>11</v>
      </c>
      <c r="E10088" t="s">
        <v>12</v>
      </c>
      <c r="F10088">
        <v>2272535</v>
      </c>
      <c r="G10088">
        <v>2272563</v>
      </c>
      <c r="H10088">
        <v>2272535</v>
      </c>
      <c r="I10088">
        <v>2272563</v>
      </c>
    </row>
    <row r="10089" spans="1:9" x14ac:dyDescent="0.2">
      <c r="A10089" s="1" t="str">
        <f>"MAD2L1"</f>
        <v>MAD2L1</v>
      </c>
      <c r="B10089" t="s">
        <v>14</v>
      </c>
      <c r="C10089" t="s">
        <v>23</v>
      </c>
      <c r="D10089" t="s">
        <v>11</v>
      </c>
      <c r="E10089" t="s">
        <v>12</v>
      </c>
      <c r="F10089">
        <v>120987933</v>
      </c>
      <c r="G10089">
        <v>120988022</v>
      </c>
      <c r="H10089">
        <v>120987899</v>
      </c>
      <c r="I10089">
        <v>120987928</v>
      </c>
    </row>
    <row r="10090" spans="1:9" x14ac:dyDescent="0.2">
      <c r="A10090" s="1" t="str">
        <f>"MAD2L1BP"</f>
        <v>MAD2L1BP</v>
      </c>
      <c r="B10090" t="s">
        <v>14</v>
      </c>
      <c r="C10090" t="s">
        <v>32</v>
      </c>
      <c r="D10090" t="s">
        <v>17</v>
      </c>
      <c r="E10090" t="s">
        <v>12</v>
      </c>
      <c r="F10090">
        <v>43603565</v>
      </c>
      <c r="G10090">
        <v>43603591</v>
      </c>
      <c r="H10090">
        <v>43603596</v>
      </c>
      <c r="I10090">
        <v>43603612</v>
      </c>
    </row>
    <row r="10091" spans="1:9" x14ac:dyDescent="0.2">
      <c r="A10091" s="1" t="str">
        <f>"MAD2L2"</f>
        <v>MAD2L2</v>
      </c>
      <c r="B10091" t="s">
        <v>14</v>
      </c>
      <c r="C10091" t="s">
        <v>19</v>
      </c>
      <c r="D10091" t="s">
        <v>11</v>
      </c>
      <c r="E10091" t="s">
        <v>12</v>
      </c>
      <c r="F10091">
        <v>11741155</v>
      </c>
      <c r="G10091">
        <v>11741236</v>
      </c>
      <c r="H10091">
        <v>11740979</v>
      </c>
      <c r="I10091">
        <v>11741035</v>
      </c>
    </row>
    <row r="10092" spans="1:9" x14ac:dyDescent="0.2">
      <c r="A10092" s="1" t="str">
        <f>"MADCAM1"</f>
        <v>MADCAM1</v>
      </c>
      <c r="B10092" t="s">
        <v>14</v>
      </c>
      <c r="C10092" t="s">
        <v>10</v>
      </c>
      <c r="D10092" t="s">
        <v>17</v>
      </c>
      <c r="E10092" t="s">
        <v>12</v>
      </c>
      <c r="F10092">
        <v>489140</v>
      </c>
      <c r="G10092">
        <v>489179</v>
      </c>
      <c r="H10092">
        <v>489189</v>
      </c>
      <c r="I10092">
        <v>489237</v>
      </c>
    </row>
    <row r="10093" spans="1:9" x14ac:dyDescent="0.2">
      <c r="A10093" s="1" t="str">
        <f>"MADD"</f>
        <v>MADD</v>
      </c>
      <c r="B10093" t="s">
        <v>14</v>
      </c>
      <c r="C10093" t="s">
        <v>27</v>
      </c>
      <c r="D10093" t="s">
        <v>17</v>
      </c>
      <c r="E10093" t="s">
        <v>12</v>
      </c>
      <c r="F10093">
        <v>47291645</v>
      </c>
      <c r="G10093">
        <v>47291727</v>
      </c>
      <c r="H10093">
        <v>47291193</v>
      </c>
      <c r="I10093">
        <v>47291267</v>
      </c>
    </row>
    <row r="10094" spans="1:9" x14ac:dyDescent="0.2">
      <c r="A10094" s="1" t="str">
        <f>"MAEA"</f>
        <v>MAEA</v>
      </c>
      <c r="B10094" t="s">
        <v>9</v>
      </c>
      <c r="C10094" t="s">
        <v>23</v>
      </c>
      <c r="D10094" t="s">
        <v>17</v>
      </c>
      <c r="E10094" t="s">
        <v>12</v>
      </c>
      <c r="F10094">
        <v>1283659</v>
      </c>
      <c r="G10094">
        <v>1283705</v>
      </c>
      <c r="H10094">
        <v>1283659</v>
      </c>
      <c r="I10094">
        <v>1283705</v>
      </c>
    </row>
    <row r="10095" spans="1:9" x14ac:dyDescent="0.2">
      <c r="A10095" s="1" t="str">
        <f>"MAEA"</f>
        <v>MAEA</v>
      </c>
      <c r="B10095" t="s">
        <v>13</v>
      </c>
      <c r="C10095" t="s">
        <v>23</v>
      </c>
      <c r="D10095" t="s">
        <v>17</v>
      </c>
      <c r="E10095" t="s">
        <v>12</v>
      </c>
      <c r="F10095">
        <v>1303393</v>
      </c>
      <c r="G10095">
        <v>1303415</v>
      </c>
      <c r="H10095">
        <v>1303393</v>
      </c>
      <c r="I10095">
        <v>1303415</v>
      </c>
    </row>
    <row r="10096" spans="1:9" x14ac:dyDescent="0.2">
      <c r="A10096" s="1" t="str">
        <f>"MAEL"</f>
        <v>MAEL</v>
      </c>
      <c r="B10096" t="s">
        <v>14</v>
      </c>
      <c r="C10096" t="s">
        <v>19</v>
      </c>
      <c r="D10096" t="s">
        <v>17</v>
      </c>
      <c r="E10096" t="s">
        <v>12</v>
      </c>
      <c r="F10096">
        <v>166958504</v>
      </c>
      <c r="G10096">
        <v>166958525</v>
      </c>
      <c r="H10096">
        <v>166958538</v>
      </c>
      <c r="I10096">
        <v>166958552</v>
      </c>
    </row>
    <row r="10097" spans="1:9" x14ac:dyDescent="0.2">
      <c r="A10097" s="1" t="str">
        <f>"MAF"</f>
        <v>MAF</v>
      </c>
      <c r="B10097" t="s">
        <v>14</v>
      </c>
      <c r="C10097" t="s">
        <v>31</v>
      </c>
      <c r="D10097" t="s">
        <v>11</v>
      </c>
      <c r="E10097" t="s">
        <v>12</v>
      </c>
      <c r="F10097">
        <v>79634624</v>
      </c>
      <c r="G10097">
        <v>79634642</v>
      </c>
      <c r="H10097">
        <v>79634595</v>
      </c>
      <c r="I10097">
        <v>79634620</v>
      </c>
    </row>
    <row r="10098" spans="1:9" x14ac:dyDescent="0.2">
      <c r="A10098" s="1" t="str">
        <f>"MAF1"</f>
        <v>MAF1</v>
      </c>
      <c r="B10098" t="s">
        <v>14</v>
      </c>
      <c r="C10098" t="s">
        <v>30</v>
      </c>
      <c r="D10098" t="s">
        <v>17</v>
      </c>
      <c r="E10098" t="s">
        <v>12</v>
      </c>
      <c r="F10098">
        <v>145159376</v>
      </c>
      <c r="G10098">
        <v>145159407</v>
      </c>
      <c r="H10098">
        <v>145159415</v>
      </c>
      <c r="I10098">
        <v>145159438</v>
      </c>
    </row>
    <row r="10099" spans="1:9" x14ac:dyDescent="0.2">
      <c r="A10099" s="1" t="str">
        <f>"MAFA"</f>
        <v>MAFA</v>
      </c>
      <c r="B10099" t="s">
        <v>14</v>
      </c>
      <c r="C10099" t="s">
        <v>30</v>
      </c>
      <c r="D10099" t="s">
        <v>11</v>
      </c>
      <c r="E10099" t="s">
        <v>12</v>
      </c>
      <c r="F10099">
        <v>144512897</v>
      </c>
      <c r="G10099">
        <v>144512903</v>
      </c>
      <c r="H10099">
        <v>144512842</v>
      </c>
      <c r="I10099">
        <v>144512846</v>
      </c>
    </row>
    <row r="10100" spans="1:9" x14ac:dyDescent="0.2">
      <c r="A10100" s="1" t="str">
        <f>"MAFB"</f>
        <v>MAFB</v>
      </c>
      <c r="B10100" t="s">
        <v>14</v>
      </c>
      <c r="C10100" t="s">
        <v>29</v>
      </c>
      <c r="D10100" t="s">
        <v>11</v>
      </c>
      <c r="E10100" t="s">
        <v>12</v>
      </c>
      <c r="F10100">
        <v>39317868</v>
      </c>
      <c r="G10100">
        <v>39317884</v>
      </c>
      <c r="H10100">
        <v>39318093</v>
      </c>
      <c r="I10100">
        <v>39318100</v>
      </c>
    </row>
    <row r="10101" spans="1:9" x14ac:dyDescent="0.2">
      <c r="A10101" s="1" t="str">
        <f>"MAFF"</f>
        <v>MAFF</v>
      </c>
      <c r="B10101" t="s">
        <v>14</v>
      </c>
      <c r="C10101" t="s">
        <v>21</v>
      </c>
      <c r="D10101" t="s">
        <v>17</v>
      </c>
      <c r="E10101" t="s">
        <v>12</v>
      </c>
      <c r="F10101">
        <v>38598086</v>
      </c>
      <c r="G10101">
        <v>38598105</v>
      </c>
      <c r="H10101">
        <v>38597987</v>
      </c>
      <c r="I10101">
        <v>38598021</v>
      </c>
    </row>
    <row r="10102" spans="1:9" x14ac:dyDescent="0.2">
      <c r="A10102" s="1" t="str">
        <f>"MAFG"</f>
        <v>MAFG</v>
      </c>
      <c r="B10102" t="s">
        <v>14</v>
      </c>
      <c r="C10102" t="s">
        <v>28</v>
      </c>
      <c r="D10102" t="s">
        <v>11</v>
      </c>
      <c r="E10102" t="s">
        <v>12</v>
      </c>
      <c r="F10102">
        <v>79885576</v>
      </c>
      <c r="G10102">
        <v>79885624</v>
      </c>
      <c r="H10102">
        <v>79885537</v>
      </c>
      <c r="I10102">
        <v>79885554</v>
      </c>
    </row>
    <row r="10103" spans="1:9" x14ac:dyDescent="0.2">
      <c r="A10103" s="1" t="str">
        <f>"MAFK"</f>
        <v>MAFK</v>
      </c>
      <c r="B10103" t="s">
        <v>14</v>
      </c>
      <c r="C10103" t="s">
        <v>33</v>
      </c>
      <c r="D10103" t="s">
        <v>17</v>
      </c>
      <c r="E10103" t="s">
        <v>12</v>
      </c>
      <c r="F10103">
        <v>1570322</v>
      </c>
      <c r="G10103">
        <v>1570360</v>
      </c>
      <c r="H10103">
        <v>1570388</v>
      </c>
      <c r="I10103">
        <v>1570418</v>
      </c>
    </row>
    <row r="10104" spans="1:9" x14ac:dyDescent="0.2">
      <c r="A10104" s="1" t="str">
        <f>"MAG"</f>
        <v>MAG</v>
      </c>
      <c r="B10104" t="s">
        <v>14</v>
      </c>
      <c r="C10104" t="s">
        <v>10</v>
      </c>
      <c r="D10104" t="s">
        <v>17</v>
      </c>
      <c r="E10104" t="s">
        <v>12</v>
      </c>
      <c r="F10104">
        <v>35783047</v>
      </c>
      <c r="G10104">
        <v>35783088</v>
      </c>
      <c r="H10104">
        <v>35783028</v>
      </c>
      <c r="I10104">
        <v>35783033</v>
      </c>
    </row>
    <row r="10105" spans="1:9" x14ac:dyDescent="0.2">
      <c r="A10105" s="1" t="str">
        <f>"MAGEA1"</f>
        <v>MAGEA1</v>
      </c>
      <c r="B10105" t="s">
        <v>14</v>
      </c>
      <c r="C10105" t="s">
        <v>37</v>
      </c>
      <c r="D10105" t="s">
        <v>11</v>
      </c>
      <c r="E10105" t="s">
        <v>12</v>
      </c>
      <c r="F10105">
        <v>152486108</v>
      </c>
      <c r="G10105">
        <v>152486123</v>
      </c>
      <c r="H10105">
        <v>152486087</v>
      </c>
      <c r="I10105">
        <v>152486103</v>
      </c>
    </row>
    <row r="10106" spans="1:9" x14ac:dyDescent="0.2">
      <c r="A10106" s="1" t="str">
        <f>"MAGEA10"</f>
        <v>MAGEA10</v>
      </c>
      <c r="B10106" t="s">
        <v>14</v>
      </c>
      <c r="C10106" t="s">
        <v>37</v>
      </c>
      <c r="D10106" t="s">
        <v>11</v>
      </c>
      <c r="E10106" t="s">
        <v>12</v>
      </c>
      <c r="F10106">
        <v>151307020</v>
      </c>
      <c r="G10106">
        <v>151307055</v>
      </c>
      <c r="H10106">
        <v>151307006</v>
      </c>
      <c r="I10106">
        <v>151307013</v>
      </c>
    </row>
    <row r="10107" spans="1:9" x14ac:dyDescent="0.2">
      <c r="A10107" s="1" t="str">
        <f>"MAGEA11"</f>
        <v>MAGEA11</v>
      </c>
      <c r="B10107" t="s">
        <v>9</v>
      </c>
      <c r="C10107" t="s">
        <v>37</v>
      </c>
      <c r="D10107" t="s">
        <v>17</v>
      </c>
      <c r="E10107" t="s">
        <v>12</v>
      </c>
      <c r="F10107">
        <v>148793714</v>
      </c>
      <c r="G10107">
        <v>148793733</v>
      </c>
      <c r="H10107">
        <v>148793714</v>
      </c>
      <c r="I10107">
        <v>148793733</v>
      </c>
    </row>
    <row r="10108" spans="1:9" x14ac:dyDescent="0.2">
      <c r="A10108" s="1" t="str">
        <f>"MAGEA11"</f>
        <v>MAGEA11</v>
      </c>
      <c r="B10108" t="s">
        <v>13</v>
      </c>
      <c r="C10108" t="s">
        <v>37</v>
      </c>
      <c r="D10108" t="s">
        <v>17</v>
      </c>
      <c r="E10108" t="s">
        <v>12</v>
      </c>
      <c r="F10108">
        <v>148769849</v>
      </c>
      <c r="G10108">
        <v>148769864</v>
      </c>
      <c r="H10108">
        <v>148769849</v>
      </c>
      <c r="I10108">
        <v>148769864</v>
      </c>
    </row>
    <row r="10109" spans="1:9" x14ac:dyDescent="0.2">
      <c r="A10109" s="1" t="str">
        <f>"MAGEA12"</f>
        <v>MAGEA12</v>
      </c>
      <c r="B10109" t="s">
        <v>14</v>
      </c>
      <c r="C10109" t="s">
        <v>37</v>
      </c>
      <c r="D10109" t="s">
        <v>11</v>
      </c>
      <c r="E10109" t="s">
        <v>12</v>
      </c>
      <c r="F10109">
        <v>151903196</v>
      </c>
      <c r="G10109">
        <v>151903211</v>
      </c>
      <c r="H10109">
        <v>151903150</v>
      </c>
      <c r="I10109">
        <v>151903164</v>
      </c>
    </row>
    <row r="10110" spans="1:9" x14ac:dyDescent="0.2">
      <c r="A10110" s="1" t="str">
        <f>"MAGEA2"</f>
        <v>MAGEA2</v>
      </c>
      <c r="B10110" t="s">
        <v>777</v>
      </c>
      <c r="C10110" t="s">
        <v>37</v>
      </c>
      <c r="D10110" t="s">
        <v>11</v>
      </c>
      <c r="E10110" t="s">
        <v>20</v>
      </c>
      <c r="F10110">
        <v>151922357</v>
      </c>
      <c r="G10110">
        <v>151922357</v>
      </c>
      <c r="H10110">
        <v>151922357</v>
      </c>
      <c r="I10110">
        <v>151922357</v>
      </c>
    </row>
    <row r="10111" spans="1:9" x14ac:dyDescent="0.2">
      <c r="A10111" s="1" t="str">
        <f>"MAGEA2B"</f>
        <v>MAGEA2B</v>
      </c>
      <c r="B10111" t="s">
        <v>14</v>
      </c>
      <c r="C10111" t="s">
        <v>37</v>
      </c>
      <c r="D10111" t="s">
        <v>17</v>
      </c>
      <c r="E10111" t="s">
        <v>12</v>
      </c>
      <c r="F10111">
        <v>151867230</v>
      </c>
      <c r="G10111">
        <v>151867243</v>
      </c>
      <c r="H10111">
        <v>151867230</v>
      </c>
      <c r="I10111">
        <v>151867243</v>
      </c>
    </row>
    <row r="10112" spans="1:9" x14ac:dyDescent="0.2">
      <c r="A10112" s="1" t="str">
        <f>"MAGEA3"</f>
        <v>MAGEA3</v>
      </c>
      <c r="B10112" t="s">
        <v>778</v>
      </c>
      <c r="C10112" t="s">
        <v>37</v>
      </c>
      <c r="D10112" t="s">
        <v>11</v>
      </c>
      <c r="E10112" t="s">
        <v>20</v>
      </c>
      <c r="F10112">
        <v>151938204</v>
      </c>
      <c r="G10112">
        <v>151938204</v>
      </c>
      <c r="H10112">
        <v>151938204</v>
      </c>
      <c r="I10112">
        <v>151938204</v>
      </c>
    </row>
    <row r="10113" spans="1:9" x14ac:dyDescent="0.2">
      <c r="A10113" s="1" t="str">
        <f>"MAGEA4"</f>
        <v>MAGEA4</v>
      </c>
      <c r="B10113" t="s">
        <v>14</v>
      </c>
      <c r="C10113" t="s">
        <v>37</v>
      </c>
      <c r="D10113" t="s">
        <v>17</v>
      </c>
      <c r="E10113" t="s">
        <v>12</v>
      </c>
      <c r="F10113">
        <v>151081351</v>
      </c>
      <c r="G10113">
        <v>151081390</v>
      </c>
      <c r="H10113">
        <v>151081351</v>
      </c>
      <c r="I10113">
        <v>151081390</v>
      </c>
    </row>
    <row r="10114" spans="1:9" x14ac:dyDescent="0.2">
      <c r="A10114" s="1" t="str">
        <f>"MAGEA6"</f>
        <v>MAGEA6</v>
      </c>
      <c r="B10114" t="s">
        <v>14</v>
      </c>
      <c r="C10114" t="s">
        <v>37</v>
      </c>
      <c r="D10114" t="s">
        <v>17</v>
      </c>
      <c r="E10114" t="s">
        <v>12</v>
      </c>
      <c r="F10114">
        <v>151867265</v>
      </c>
      <c r="G10114">
        <v>151867284</v>
      </c>
      <c r="H10114">
        <v>151867230</v>
      </c>
      <c r="I10114">
        <v>151867243</v>
      </c>
    </row>
    <row r="10115" spans="1:9" x14ac:dyDescent="0.2">
      <c r="A10115" s="1" t="str">
        <f>"MAGEA8"</f>
        <v>MAGEA8</v>
      </c>
      <c r="B10115" t="s">
        <v>14</v>
      </c>
      <c r="C10115" t="s">
        <v>37</v>
      </c>
      <c r="D10115" t="s">
        <v>17</v>
      </c>
      <c r="E10115" t="s">
        <v>12</v>
      </c>
      <c r="F10115">
        <v>149009969</v>
      </c>
      <c r="G10115">
        <v>149009992</v>
      </c>
      <c r="H10115">
        <v>149009998</v>
      </c>
      <c r="I10115">
        <v>149010009</v>
      </c>
    </row>
    <row r="10116" spans="1:9" x14ac:dyDescent="0.2">
      <c r="A10116" s="1" t="str">
        <f>"MAGEA9"</f>
        <v>MAGEA9</v>
      </c>
      <c r="B10116" t="s">
        <v>779</v>
      </c>
      <c r="C10116" t="s">
        <v>37</v>
      </c>
      <c r="D10116" t="s">
        <v>17</v>
      </c>
      <c r="E10116" t="s">
        <v>20</v>
      </c>
      <c r="F10116">
        <v>148863599</v>
      </c>
      <c r="G10116">
        <v>148863599</v>
      </c>
      <c r="H10116">
        <v>148863599</v>
      </c>
      <c r="I10116">
        <v>148863599</v>
      </c>
    </row>
    <row r="10117" spans="1:9" x14ac:dyDescent="0.2">
      <c r="A10117" s="1" t="str">
        <f>"MAGEA9B"</f>
        <v>MAGEA9B</v>
      </c>
      <c r="B10117" t="s">
        <v>780</v>
      </c>
      <c r="C10117" t="s">
        <v>37</v>
      </c>
      <c r="D10117" t="s">
        <v>11</v>
      </c>
      <c r="E10117" t="s">
        <v>20</v>
      </c>
      <c r="F10117">
        <v>148669115</v>
      </c>
      <c r="G10117">
        <v>148669115</v>
      </c>
      <c r="H10117">
        <v>148669115</v>
      </c>
      <c r="I10117">
        <v>148669115</v>
      </c>
    </row>
    <row r="10118" spans="1:9" x14ac:dyDescent="0.2">
      <c r="A10118" s="1" t="str">
        <f>"MAGEB1"</f>
        <v>MAGEB1</v>
      </c>
      <c r="B10118" t="s">
        <v>9</v>
      </c>
      <c r="C10118" t="s">
        <v>37</v>
      </c>
      <c r="D10118" t="s">
        <v>17</v>
      </c>
      <c r="E10118" t="s">
        <v>12</v>
      </c>
      <c r="F10118">
        <v>30265256</v>
      </c>
      <c r="G10118">
        <v>30265285</v>
      </c>
      <c r="H10118">
        <v>30265256</v>
      </c>
      <c r="I10118">
        <v>30265285</v>
      </c>
    </row>
    <row r="10119" spans="1:9" x14ac:dyDescent="0.2">
      <c r="A10119" s="1" t="str">
        <f>"MAGEB1"</f>
        <v>MAGEB1</v>
      </c>
      <c r="B10119" t="s">
        <v>13</v>
      </c>
      <c r="C10119" t="s">
        <v>37</v>
      </c>
      <c r="D10119" t="s">
        <v>17</v>
      </c>
      <c r="E10119" t="s">
        <v>12</v>
      </c>
      <c r="F10119">
        <v>30261847</v>
      </c>
      <c r="G10119">
        <v>30261849</v>
      </c>
      <c r="H10119">
        <v>30261847</v>
      </c>
      <c r="I10119">
        <v>30261849</v>
      </c>
    </row>
    <row r="10120" spans="1:9" x14ac:dyDescent="0.2">
      <c r="A10120" s="1" t="str">
        <f>"MAGEB10"</f>
        <v>MAGEB10</v>
      </c>
      <c r="B10120" t="s">
        <v>14</v>
      </c>
      <c r="C10120" t="s">
        <v>37</v>
      </c>
      <c r="D10120" t="s">
        <v>17</v>
      </c>
      <c r="E10120" t="s">
        <v>12</v>
      </c>
      <c r="F10120">
        <v>27826106</v>
      </c>
      <c r="G10120">
        <v>27826107</v>
      </c>
      <c r="H10120">
        <v>27826106</v>
      </c>
      <c r="I10120">
        <v>27826107</v>
      </c>
    </row>
    <row r="10121" spans="1:9" x14ac:dyDescent="0.2">
      <c r="A10121" s="1" t="str">
        <f>"MAGEB16"</f>
        <v>MAGEB16</v>
      </c>
      <c r="B10121" t="s">
        <v>14</v>
      </c>
      <c r="C10121" t="s">
        <v>37</v>
      </c>
      <c r="D10121" t="s">
        <v>17</v>
      </c>
      <c r="E10121" t="s">
        <v>12</v>
      </c>
      <c r="F10121">
        <v>35816430</v>
      </c>
      <c r="G10121">
        <v>35816459</v>
      </c>
      <c r="H10121">
        <v>35816862</v>
      </c>
      <c r="I10121">
        <v>35816872</v>
      </c>
    </row>
    <row r="10122" spans="1:9" x14ac:dyDescent="0.2">
      <c r="A10122" s="1" t="str">
        <f>"MAGEB17"</f>
        <v>MAGEB17</v>
      </c>
      <c r="B10122" t="s">
        <v>14</v>
      </c>
      <c r="C10122" t="s">
        <v>37</v>
      </c>
      <c r="D10122" t="s">
        <v>17</v>
      </c>
      <c r="E10122" t="s">
        <v>12</v>
      </c>
      <c r="F10122">
        <v>16185832</v>
      </c>
      <c r="G10122">
        <v>16185879</v>
      </c>
      <c r="H10122">
        <v>16185804</v>
      </c>
      <c r="I10122">
        <v>16185805</v>
      </c>
    </row>
    <row r="10123" spans="1:9" x14ac:dyDescent="0.2">
      <c r="A10123" s="1" t="str">
        <f>"MAGEB18"</f>
        <v>MAGEB18</v>
      </c>
      <c r="B10123" t="s">
        <v>14</v>
      </c>
      <c r="C10123" t="s">
        <v>37</v>
      </c>
      <c r="D10123" t="s">
        <v>17</v>
      </c>
      <c r="E10123" t="s">
        <v>12</v>
      </c>
      <c r="F10123">
        <v>26156464</v>
      </c>
      <c r="G10123">
        <v>26156514</v>
      </c>
      <c r="H10123">
        <v>26156464</v>
      </c>
      <c r="I10123">
        <v>26156514</v>
      </c>
    </row>
    <row r="10124" spans="1:9" x14ac:dyDescent="0.2">
      <c r="A10124" s="1" t="str">
        <f>"MAGEB2"</f>
        <v>MAGEB2</v>
      </c>
      <c r="B10124" t="s">
        <v>14</v>
      </c>
      <c r="C10124" t="s">
        <v>37</v>
      </c>
      <c r="D10124" t="s">
        <v>17</v>
      </c>
      <c r="E10124" t="s">
        <v>12</v>
      </c>
      <c r="F10124">
        <v>30233668</v>
      </c>
      <c r="G10124">
        <v>30233698</v>
      </c>
      <c r="H10124">
        <v>30233704</v>
      </c>
      <c r="I10124">
        <v>30233717</v>
      </c>
    </row>
    <row r="10125" spans="1:9" x14ac:dyDescent="0.2">
      <c r="A10125" s="1" t="str">
        <f>"MAGEB3"</f>
        <v>MAGEB3</v>
      </c>
      <c r="B10125" t="s">
        <v>14</v>
      </c>
      <c r="C10125" t="s">
        <v>37</v>
      </c>
      <c r="D10125" t="s">
        <v>17</v>
      </c>
      <c r="E10125" t="s">
        <v>12</v>
      </c>
      <c r="F10125">
        <v>30248767</v>
      </c>
      <c r="G10125">
        <v>30248800</v>
      </c>
      <c r="H10125">
        <v>30248767</v>
      </c>
      <c r="I10125">
        <v>30248800</v>
      </c>
    </row>
    <row r="10126" spans="1:9" x14ac:dyDescent="0.2">
      <c r="A10126" s="1" t="str">
        <f>"MAGEB4"</f>
        <v>MAGEB4</v>
      </c>
      <c r="B10126" t="s">
        <v>14</v>
      </c>
      <c r="C10126" t="s">
        <v>37</v>
      </c>
      <c r="D10126" t="s">
        <v>17</v>
      </c>
      <c r="E10126" t="s">
        <v>12</v>
      </c>
      <c r="F10126">
        <v>30260111</v>
      </c>
      <c r="G10126">
        <v>30260122</v>
      </c>
      <c r="H10126">
        <v>30260088</v>
      </c>
      <c r="I10126">
        <v>30260099</v>
      </c>
    </row>
    <row r="10127" spans="1:9" x14ac:dyDescent="0.2">
      <c r="A10127" s="1" t="str">
        <f>"MAGEB5"</f>
        <v>MAGEB5</v>
      </c>
      <c r="B10127" t="s">
        <v>781</v>
      </c>
      <c r="C10127" t="s">
        <v>37</v>
      </c>
      <c r="D10127" t="s">
        <v>17</v>
      </c>
      <c r="E10127" t="s">
        <v>20</v>
      </c>
      <c r="F10127">
        <v>26235418</v>
      </c>
      <c r="G10127">
        <v>26235418</v>
      </c>
      <c r="H10127">
        <v>26235418</v>
      </c>
      <c r="I10127">
        <v>26235418</v>
      </c>
    </row>
    <row r="10128" spans="1:9" x14ac:dyDescent="0.2">
      <c r="A10128" s="1" t="str">
        <f>"MAGEB5"</f>
        <v>MAGEB5</v>
      </c>
      <c r="B10128" t="s">
        <v>782</v>
      </c>
      <c r="C10128" t="s">
        <v>37</v>
      </c>
      <c r="D10128" t="s">
        <v>17</v>
      </c>
      <c r="E10128" t="s">
        <v>20</v>
      </c>
      <c r="F10128">
        <v>26234285</v>
      </c>
      <c r="G10128">
        <v>26234285</v>
      </c>
      <c r="H10128">
        <v>26234285</v>
      </c>
      <c r="I10128">
        <v>26234285</v>
      </c>
    </row>
    <row r="10129" spans="1:9" x14ac:dyDescent="0.2">
      <c r="A10129" s="1" t="str">
        <f>"MAGEB6"</f>
        <v>MAGEB6</v>
      </c>
      <c r="B10129" t="s">
        <v>14</v>
      </c>
      <c r="C10129" t="s">
        <v>37</v>
      </c>
      <c r="D10129" t="s">
        <v>17</v>
      </c>
      <c r="E10129" t="s">
        <v>12</v>
      </c>
      <c r="F10129">
        <v>26210529</v>
      </c>
      <c r="G10129">
        <v>26210555</v>
      </c>
      <c r="H10129">
        <v>26210583</v>
      </c>
      <c r="I10129">
        <v>26210590</v>
      </c>
    </row>
    <row r="10130" spans="1:9" x14ac:dyDescent="0.2">
      <c r="A10130" s="1" t="str">
        <f>"MAGEC1"</f>
        <v>MAGEC1</v>
      </c>
      <c r="B10130" t="s">
        <v>14</v>
      </c>
      <c r="C10130" t="s">
        <v>37</v>
      </c>
      <c r="D10130" t="s">
        <v>17</v>
      </c>
      <c r="E10130" t="s">
        <v>12</v>
      </c>
      <c r="F10130">
        <v>140991649</v>
      </c>
      <c r="G10130">
        <v>140991689</v>
      </c>
      <c r="H10130">
        <v>140991692</v>
      </c>
      <c r="I10130">
        <v>140991709</v>
      </c>
    </row>
    <row r="10131" spans="1:9" x14ac:dyDescent="0.2">
      <c r="A10131" s="1" t="str">
        <f>"MAGEC2"</f>
        <v>MAGEC2</v>
      </c>
      <c r="B10131" t="s">
        <v>14</v>
      </c>
      <c r="C10131" t="s">
        <v>37</v>
      </c>
      <c r="D10131" t="s">
        <v>11</v>
      </c>
      <c r="E10131" t="s">
        <v>12</v>
      </c>
      <c r="F10131">
        <v>141293047</v>
      </c>
      <c r="G10131">
        <v>141293082</v>
      </c>
      <c r="H10131">
        <v>141293028</v>
      </c>
      <c r="I10131">
        <v>141293039</v>
      </c>
    </row>
    <row r="10132" spans="1:9" x14ac:dyDescent="0.2">
      <c r="A10132" s="1" t="str">
        <f>"MAGEC3"</f>
        <v>MAGEC3</v>
      </c>
      <c r="B10132" t="s">
        <v>783</v>
      </c>
      <c r="C10132" t="s">
        <v>37</v>
      </c>
      <c r="D10132" t="s">
        <v>17</v>
      </c>
      <c r="E10132" t="s">
        <v>20</v>
      </c>
      <c r="F10132">
        <v>140926101</v>
      </c>
      <c r="G10132">
        <v>140926101</v>
      </c>
      <c r="H10132">
        <v>140926101</v>
      </c>
      <c r="I10132">
        <v>140926101</v>
      </c>
    </row>
    <row r="10133" spans="1:9" x14ac:dyDescent="0.2">
      <c r="A10133" s="1" t="str">
        <f>"MAGEC3"</f>
        <v>MAGEC3</v>
      </c>
      <c r="B10133" t="s">
        <v>784</v>
      </c>
      <c r="C10133" t="s">
        <v>37</v>
      </c>
      <c r="D10133" t="s">
        <v>17</v>
      </c>
      <c r="E10133" t="s">
        <v>20</v>
      </c>
      <c r="F10133">
        <v>140968347</v>
      </c>
      <c r="G10133">
        <v>140968347</v>
      </c>
      <c r="H10133">
        <v>140968347</v>
      </c>
      <c r="I10133">
        <v>140968347</v>
      </c>
    </row>
    <row r="10134" spans="1:9" x14ac:dyDescent="0.2">
      <c r="A10134" s="1" t="str">
        <f>"MAGEC3"</f>
        <v>MAGEC3</v>
      </c>
      <c r="B10134" t="s">
        <v>785</v>
      </c>
      <c r="C10134" t="s">
        <v>37</v>
      </c>
      <c r="D10134" t="s">
        <v>17</v>
      </c>
      <c r="E10134" t="s">
        <v>20</v>
      </c>
      <c r="F10134">
        <v>140982451</v>
      </c>
      <c r="G10134">
        <v>140982451</v>
      </c>
      <c r="H10134">
        <v>140982451</v>
      </c>
      <c r="I10134">
        <v>140982451</v>
      </c>
    </row>
    <row r="10135" spans="1:9" x14ac:dyDescent="0.2">
      <c r="A10135" s="1" t="str">
        <f>"MAGED1"</f>
        <v>MAGED1</v>
      </c>
      <c r="B10135" t="s">
        <v>9</v>
      </c>
      <c r="C10135" t="s">
        <v>37</v>
      </c>
      <c r="D10135" t="s">
        <v>17</v>
      </c>
      <c r="E10135" t="s">
        <v>12</v>
      </c>
      <c r="F10135">
        <v>51636712</v>
      </c>
      <c r="G10135">
        <v>51636759</v>
      </c>
      <c r="H10135">
        <v>51636712</v>
      </c>
      <c r="I10135">
        <v>51636759</v>
      </c>
    </row>
    <row r="10136" spans="1:9" x14ac:dyDescent="0.2">
      <c r="A10136" s="1" t="str">
        <f>"MAGED1"</f>
        <v>MAGED1</v>
      </c>
      <c r="B10136" t="s">
        <v>13</v>
      </c>
      <c r="C10136" t="s">
        <v>37</v>
      </c>
      <c r="D10136" t="s">
        <v>17</v>
      </c>
      <c r="E10136" t="s">
        <v>12</v>
      </c>
      <c r="F10136">
        <v>51546135</v>
      </c>
      <c r="G10136">
        <v>51546195</v>
      </c>
      <c r="H10136">
        <v>51546135</v>
      </c>
      <c r="I10136">
        <v>51546195</v>
      </c>
    </row>
    <row r="10137" spans="1:9" x14ac:dyDescent="0.2">
      <c r="A10137" s="1" t="str">
        <f>"MAGED2"</f>
        <v>MAGED2</v>
      </c>
      <c r="B10137" t="s">
        <v>9</v>
      </c>
      <c r="C10137" t="s">
        <v>37</v>
      </c>
      <c r="D10137" t="s">
        <v>17</v>
      </c>
      <c r="E10137" t="s">
        <v>12</v>
      </c>
      <c r="F10137">
        <v>54834159</v>
      </c>
      <c r="G10137">
        <v>54834186</v>
      </c>
      <c r="H10137">
        <v>54834159</v>
      </c>
      <c r="I10137">
        <v>54834186</v>
      </c>
    </row>
    <row r="10138" spans="1:9" x14ac:dyDescent="0.2">
      <c r="A10138" s="1" t="str">
        <f>"MAGED2"</f>
        <v>MAGED2</v>
      </c>
      <c r="B10138" t="s">
        <v>13</v>
      </c>
      <c r="C10138" t="s">
        <v>37</v>
      </c>
      <c r="D10138" t="s">
        <v>17</v>
      </c>
      <c r="E10138" t="s">
        <v>12</v>
      </c>
      <c r="F10138">
        <v>54835499</v>
      </c>
      <c r="G10138">
        <v>54835584</v>
      </c>
      <c r="H10138">
        <v>54835499</v>
      </c>
      <c r="I10138">
        <v>54835584</v>
      </c>
    </row>
    <row r="10139" spans="1:9" x14ac:dyDescent="0.2">
      <c r="A10139" s="1" t="str">
        <f>"MAGED4"</f>
        <v>MAGED4</v>
      </c>
      <c r="B10139" t="s">
        <v>14</v>
      </c>
      <c r="C10139" t="s">
        <v>37</v>
      </c>
      <c r="D10139" t="s">
        <v>17</v>
      </c>
      <c r="E10139" t="s">
        <v>12</v>
      </c>
      <c r="F10139">
        <v>51927972</v>
      </c>
      <c r="G10139">
        <v>51927991</v>
      </c>
      <c r="H10139">
        <v>51928002</v>
      </c>
      <c r="I10139">
        <v>51928017</v>
      </c>
    </row>
    <row r="10140" spans="1:9" x14ac:dyDescent="0.2">
      <c r="A10140" s="1" t="str">
        <f>"MAGED4B"</f>
        <v>MAGED4B</v>
      </c>
      <c r="B10140" t="s">
        <v>786</v>
      </c>
      <c r="C10140" t="s">
        <v>37</v>
      </c>
      <c r="D10140" t="s">
        <v>11</v>
      </c>
      <c r="E10140" t="s">
        <v>20</v>
      </c>
      <c r="F10140">
        <v>51812304</v>
      </c>
      <c r="G10140">
        <v>51812304</v>
      </c>
      <c r="H10140">
        <v>51812304</v>
      </c>
      <c r="I10140">
        <v>51812304</v>
      </c>
    </row>
    <row r="10141" spans="1:9" x14ac:dyDescent="0.2">
      <c r="A10141" s="1" t="str">
        <f>"MAGEE1"</f>
        <v>MAGEE1</v>
      </c>
      <c r="B10141" t="s">
        <v>14</v>
      </c>
      <c r="C10141" t="s">
        <v>37</v>
      </c>
      <c r="D10141" t="s">
        <v>17</v>
      </c>
      <c r="E10141" t="s">
        <v>12</v>
      </c>
      <c r="F10141">
        <v>75648059</v>
      </c>
      <c r="G10141">
        <v>75648152</v>
      </c>
      <c r="H10141">
        <v>75648162</v>
      </c>
      <c r="I10141">
        <v>75648175</v>
      </c>
    </row>
    <row r="10142" spans="1:9" x14ac:dyDescent="0.2">
      <c r="A10142" s="1" t="str">
        <f>"MAGEE2"</f>
        <v>MAGEE2</v>
      </c>
      <c r="B10142" t="s">
        <v>14</v>
      </c>
      <c r="C10142" t="s">
        <v>37</v>
      </c>
      <c r="D10142" t="s">
        <v>11</v>
      </c>
      <c r="E10142" t="s">
        <v>12</v>
      </c>
      <c r="F10142">
        <v>75005054</v>
      </c>
      <c r="G10142">
        <v>75005094</v>
      </c>
      <c r="H10142">
        <v>75005038</v>
      </c>
      <c r="I10142">
        <v>75005052</v>
      </c>
    </row>
    <row r="10143" spans="1:9" x14ac:dyDescent="0.2">
      <c r="A10143" s="1" t="str">
        <f>"MAGEF1"</f>
        <v>MAGEF1</v>
      </c>
      <c r="B10143" t="s">
        <v>14</v>
      </c>
      <c r="C10143" t="s">
        <v>22</v>
      </c>
      <c r="D10143" t="s">
        <v>11</v>
      </c>
      <c r="E10143" t="s">
        <v>12</v>
      </c>
      <c r="F10143">
        <v>184429735</v>
      </c>
      <c r="G10143">
        <v>184429861</v>
      </c>
      <c r="H10143">
        <v>184429388</v>
      </c>
      <c r="I10143">
        <v>184429455</v>
      </c>
    </row>
    <row r="10144" spans="1:9" x14ac:dyDescent="0.2">
      <c r="A10144" s="1" t="str">
        <f>"MAGEH1"</f>
        <v>MAGEH1</v>
      </c>
      <c r="B10144" t="s">
        <v>14</v>
      </c>
      <c r="C10144" t="s">
        <v>37</v>
      </c>
      <c r="D10144" t="s">
        <v>17</v>
      </c>
      <c r="E10144" t="s">
        <v>12</v>
      </c>
      <c r="F10144">
        <v>55478552</v>
      </c>
      <c r="G10144">
        <v>55478616</v>
      </c>
      <c r="H10144">
        <v>55478666</v>
      </c>
      <c r="I10144">
        <v>55478698</v>
      </c>
    </row>
    <row r="10145" spans="1:9" x14ac:dyDescent="0.2">
      <c r="A10145" s="1" t="str">
        <f>"MAGEL2"</f>
        <v>MAGEL2</v>
      </c>
      <c r="B10145" t="s">
        <v>14</v>
      </c>
      <c r="C10145" t="s">
        <v>25</v>
      </c>
      <c r="D10145" t="s">
        <v>11</v>
      </c>
      <c r="E10145" t="s">
        <v>12</v>
      </c>
      <c r="F10145">
        <v>23892995</v>
      </c>
      <c r="G10145">
        <v>23893023</v>
      </c>
      <c r="H10145">
        <v>23893038</v>
      </c>
      <c r="I10145">
        <v>23893050</v>
      </c>
    </row>
    <row r="10146" spans="1:9" x14ac:dyDescent="0.2">
      <c r="A10146" s="1" t="str">
        <f>"MAGI1"</f>
        <v>MAGI1</v>
      </c>
      <c r="B10146" t="s">
        <v>14</v>
      </c>
      <c r="C10146" t="s">
        <v>22</v>
      </c>
      <c r="D10146" t="s">
        <v>11</v>
      </c>
      <c r="E10146" t="s">
        <v>12</v>
      </c>
      <c r="F10146">
        <v>66024494</v>
      </c>
      <c r="G10146">
        <v>66024557</v>
      </c>
      <c r="H10146">
        <v>66024560</v>
      </c>
      <c r="I10146">
        <v>66024605</v>
      </c>
    </row>
    <row r="10147" spans="1:9" x14ac:dyDescent="0.2">
      <c r="A10147" s="1" t="str">
        <f>"MAGI2"</f>
        <v>MAGI2</v>
      </c>
      <c r="B10147" t="s">
        <v>14</v>
      </c>
      <c r="C10147" t="s">
        <v>33</v>
      </c>
      <c r="D10147" t="s">
        <v>11</v>
      </c>
      <c r="E10147" t="s">
        <v>12</v>
      </c>
      <c r="F10147">
        <v>79082958</v>
      </c>
      <c r="G10147">
        <v>79083004</v>
      </c>
      <c r="H10147">
        <v>79082958</v>
      </c>
      <c r="I10147">
        <v>79083004</v>
      </c>
    </row>
    <row r="10148" spans="1:9" x14ac:dyDescent="0.2">
      <c r="A10148" s="1" t="str">
        <f>"MAGI3"</f>
        <v>MAGI3</v>
      </c>
      <c r="B10148" t="s">
        <v>14</v>
      </c>
      <c r="C10148" t="s">
        <v>19</v>
      </c>
      <c r="D10148" t="s">
        <v>17</v>
      </c>
      <c r="E10148" t="s">
        <v>12</v>
      </c>
      <c r="F10148">
        <v>113933117</v>
      </c>
      <c r="G10148">
        <v>113933146</v>
      </c>
      <c r="H10148">
        <v>113933151</v>
      </c>
      <c r="I10148">
        <v>113933162</v>
      </c>
    </row>
    <row r="10149" spans="1:9" x14ac:dyDescent="0.2">
      <c r="A10149" s="1" t="str">
        <f>"MAGIX"</f>
        <v>MAGIX</v>
      </c>
      <c r="B10149" t="s">
        <v>14</v>
      </c>
      <c r="C10149" t="s">
        <v>37</v>
      </c>
      <c r="D10149" t="s">
        <v>17</v>
      </c>
      <c r="E10149" t="s">
        <v>12</v>
      </c>
      <c r="F10149">
        <v>49020268</v>
      </c>
      <c r="G10149">
        <v>49020300</v>
      </c>
      <c r="H10149">
        <v>49020670</v>
      </c>
      <c r="I10149">
        <v>49020676</v>
      </c>
    </row>
    <row r="10150" spans="1:9" x14ac:dyDescent="0.2">
      <c r="A10150" s="1" t="str">
        <f>"MAGOH"</f>
        <v>MAGOH</v>
      </c>
      <c r="B10150" t="s">
        <v>14</v>
      </c>
      <c r="C10150" t="s">
        <v>19</v>
      </c>
      <c r="D10150" t="s">
        <v>11</v>
      </c>
      <c r="E10150" t="s">
        <v>12</v>
      </c>
      <c r="F10150">
        <v>53704157</v>
      </c>
      <c r="G10150">
        <v>53704219</v>
      </c>
      <c r="H10150">
        <v>53704157</v>
      </c>
      <c r="I10150">
        <v>53704219</v>
      </c>
    </row>
    <row r="10151" spans="1:9" x14ac:dyDescent="0.2">
      <c r="A10151" s="1" t="str">
        <f>"MAGOHB"</f>
        <v>MAGOHB</v>
      </c>
      <c r="B10151" t="s">
        <v>14</v>
      </c>
      <c r="C10151" t="s">
        <v>16</v>
      </c>
      <c r="D10151" t="s">
        <v>11</v>
      </c>
      <c r="E10151" t="s">
        <v>12</v>
      </c>
      <c r="F10151">
        <v>10766129</v>
      </c>
      <c r="G10151">
        <v>10766180</v>
      </c>
      <c r="H10151">
        <v>10766184</v>
      </c>
      <c r="I10151">
        <v>10766215</v>
      </c>
    </row>
    <row r="10152" spans="1:9" x14ac:dyDescent="0.2">
      <c r="A10152" s="1" t="str">
        <f>"MAGT1"</f>
        <v>MAGT1</v>
      </c>
      <c r="B10152" t="s">
        <v>14</v>
      </c>
      <c r="C10152" t="s">
        <v>37</v>
      </c>
      <c r="D10152" t="s">
        <v>11</v>
      </c>
      <c r="E10152" t="s">
        <v>12</v>
      </c>
      <c r="F10152">
        <v>77150911</v>
      </c>
      <c r="G10152">
        <v>77150960</v>
      </c>
      <c r="H10152">
        <v>77150968</v>
      </c>
      <c r="I10152">
        <v>77150979</v>
      </c>
    </row>
    <row r="10153" spans="1:9" x14ac:dyDescent="0.2">
      <c r="A10153" s="1" t="str">
        <f>"MAK"</f>
        <v>MAK</v>
      </c>
      <c r="B10153" t="s">
        <v>14</v>
      </c>
      <c r="C10153" t="s">
        <v>32</v>
      </c>
      <c r="D10153" t="s">
        <v>11</v>
      </c>
      <c r="E10153" t="s">
        <v>12</v>
      </c>
      <c r="F10153">
        <v>10838736</v>
      </c>
      <c r="G10153">
        <v>10838797</v>
      </c>
      <c r="H10153">
        <v>10838710</v>
      </c>
      <c r="I10153">
        <v>10838733</v>
      </c>
    </row>
    <row r="10154" spans="1:9" x14ac:dyDescent="0.2">
      <c r="A10154" s="1" t="str">
        <f>"MAK16"</f>
        <v>MAK16</v>
      </c>
      <c r="B10154" t="s">
        <v>14</v>
      </c>
      <c r="C10154" t="s">
        <v>30</v>
      </c>
      <c r="D10154" t="s">
        <v>17</v>
      </c>
      <c r="E10154" t="s">
        <v>12</v>
      </c>
      <c r="F10154">
        <v>33342691</v>
      </c>
      <c r="G10154">
        <v>33342716</v>
      </c>
      <c r="H10154">
        <v>33342691</v>
      </c>
      <c r="I10154">
        <v>33342716</v>
      </c>
    </row>
    <row r="10155" spans="1:9" x14ac:dyDescent="0.2">
      <c r="A10155" s="1" t="str">
        <f>"MAL"</f>
        <v>MAL</v>
      </c>
      <c r="B10155" t="s">
        <v>14</v>
      </c>
      <c r="C10155" t="s">
        <v>26</v>
      </c>
      <c r="D10155" t="s">
        <v>17</v>
      </c>
      <c r="E10155" t="s">
        <v>12</v>
      </c>
      <c r="F10155">
        <v>95691445</v>
      </c>
      <c r="G10155">
        <v>95691461</v>
      </c>
      <c r="H10155">
        <v>95691395</v>
      </c>
      <c r="I10155">
        <v>95691406</v>
      </c>
    </row>
    <row r="10156" spans="1:9" x14ac:dyDescent="0.2">
      <c r="A10156" s="1" t="str">
        <f>"MAL2"</f>
        <v>MAL2</v>
      </c>
      <c r="B10156" t="s">
        <v>14</v>
      </c>
      <c r="C10156" t="s">
        <v>30</v>
      </c>
      <c r="D10156" t="s">
        <v>17</v>
      </c>
      <c r="E10156" t="s">
        <v>12</v>
      </c>
      <c r="F10156">
        <v>120220561</v>
      </c>
      <c r="G10156">
        <v>120220650</v>
      </c>
      <c r="H10156">
        <v>120220663</v>
      </c>
      <c r="I10156">
        <v>120220714</v>
      </c>
    </row>
    <row r="10157" spans="1:9" x14ac:dyDescent="0.2">
      <c r="A10157" s="1" t="str">
        <f>"MALL"</f>
        <v>MALL</v>
      </c>
      <c r="B10157" t="s">
        <v>14</v>
      </c>
      <c r="C10157" t="s">
        <v>26</v>
      </c>
      <c r="D10157" t="s">
        <v>11</v>
      </c>
      <c r="E10157" t="s">
        <v>12</v>
      </c>
      <c r="F10157">
        <v>110873388</v>
      </c>
      <c r="G10157">
        <v>110873405</v>
      </c>
      <c r="H10157">
        <v>110873422</v>
      </c>
      <c r="I10157">
        <v>110873434</v>
      </c>
    </row>
    <row r="10158" spans="1:9" x14ac:dyDescent="0.2">
      <c r="A10158" s="1" t="str">
        <f>"MALSU1"</f>
        <v>MALSU1</v>
      </c>
      <c r="B10158" t="s">
        <v>14</v>
      </c>
      <c r="C10158" t="s">
        <v>33</v>
      </c>
      <c r="D10158" t="s">
        <v>17</v>
      </c>
      <c r="E10158" t="s">
        <v>12</v>
      </c>
      <c r="F10158">
        <v>23338925</v>
      </c>
      <c r="G10158">
        <v>23338973</v>
      </c>
      <c r="H10158">
        <v>23339182</v>
      </c>
      <c r="I10158">
        <v>23339191</v>
      </c>
    </row>
    <row r="10159" spans="1:9" x14ac:dyDescent="0.2">
      <c r="A10159" s="1" t="str">
        <f>"MALT1"</f>
        <v>MALT1</v>
      </c>
      <c r="B10159" t="s">
        <v>14</v>
      </c>
      <c r="C10159" t="s">
        <v>43</v>
      </c>
      <c r="D10159" t="s">
        <v>17</v>
      </c>
      <c r="E10159" t="s">
        <v>12</v>
      </c>
      <c r="F10159">
        <v>56338688</v>
      </c>
      <c r="G10159">
        <v>56338708</v>
      </c>
      <c r="H10159">
        <v>56338750</v>
      </c>
      <c r="I10159">
        <v>56338823</v>
      </c>
    </row>
    <row r="10160" spans="1:9" x14ac:dyDescent="0.2">
      <c r="A10160" s="1" t="str">
        <f>"MAMDC2"</f>
        <v>MAMDC2</v>
      </c>
      <c r="B10160" t="s">
        <v>14</v>
      </c>
      <c r="C10160" t="s">
        <v>24</v>
      </c>
      <c r="D10160" t="s">
        <v>17</v>
      </c>
      <c r="E10160" t="s">
        <v>12</v>
      </c>
      <c r="F10160">
        <v>72658756</v>
      </c>
      <c r="G10160">
        <v>72658770</v>
      </c>
      <c r="H10160">
        <v>72658756</v>
      </c>
      <c r="I10160">
        <v>72658770</v>
      </c>
    </row>
    <row r="10161" spans="1:9" x14ac:dyDescent="0.2">
      <c r="A10161" s="1" t="str">
        <f>"MAMDC4"</f>
        <v>MAMDC4</v>
      </c>
      <c r="B10161" t="s">
        <v>14</v>
      </c>
      <c r="C10161" t="s">
        <v>24</v>
      </c>
      <c r="D10161" t="s">
        <v>17</v>
      </c>
      <c r="E10161" t="s">
        <v>12</v>
      </c>
      <c r="F10161">
        <v>139746792</v>
      </c>
      <c r="G10161">
        <v>139746818</v>
      </c>
      <c r="H10161">
        <v>139746832</v>
      </c>
      <c r="I10161">
        <v>139746855</v>
      </c>
    </row>
    <row r="10162" spans="1:9" x14ac:dyDescent="0.2">
      <c r="A10162" s="1" t="str">
        <f>"MAML1"</f>
        <v>MAML1</v>
      </c>
      <c r="B10162" t="s">
        <v>14</v>
      </c>
      <c r="C10162" t="s">
        <v>46</v>
      </c>
      <c r="D10162" t="s">
        <v>17</v>
      </c>
      <c r="E10162" t="s">
        <v>12</v>
      </c>
      <c r="F10162">
        <v>179159813</v>
      </c>
      <c r="G10162">
        <v>179159846</v>
      </c>
      <c r="H10162">
        <v>179159799</v>
      </c>
      <c r="I10162">
        <v>179159804</v>
      </c>
    </row>
    <row r="10163" spans="1:9" x14ac:dyDescent="0.2">
      <c r="A10163" s="1" t="str">
        <f>"MAML2"</f>
        <v>MAML2</v>
      </c>
      <c r="B10163" t="s">
        <v>14</v>
      </c>
      <c r="C10163" t="s">
        <v>27</v>
      </c>
      <c r="D10163" t="s">
        <v>11</v>
      </c>
      <c r="E10163" t="s">
        <v>12</v>
      </c>
      <c r="F10163">
        <v>96076334</v>
      </c>
      <c r="G10163">
        <v>96076419</v>
      </c>
      <c r="H10163">
        <v>96076470</v>
      </c>
      <c r="I10163">
        <v>96076482</v>
      </c>
    </row>
    <row r="10164" spans="1:9" x14ac:dyDescent="0.2">
      <c r="A10164" s="1" t="str">
        <f>"MAML3"</f>
        <v>MAML3</v>
      </c>
      <c r="B10164" t="s">
        <v>14</v>
      </c>
      <c r="C10164" t="s">
        <v>23</v>
      </c>
      <c r="D10164" t="s">
        <v>11</v>
      </c>
      <c r="E10164" t="s">
        <v>12</v>
      </c>
      <c r="F10164">
        <v>141075330</v>
      </c>
      <c r="G10164">
        <v>141075381</v>
      </c>
      <c r="H10164">
        <v>141075240</v>
      </c>
      <c r="I10164">
        <v>141075269</v>
      </c>
    </row>
    <row r="10165" spans="1:9" x14ac:dyDescent="0.2">
      <c r="A10165" s="1" t="str">
        <f>"MAMLD1"</f>
        <v>MAMLD1</v>
      </c>
      <c r="B10165" t="s">
        <v>14</v>
      </c>
      <c r="C10165" t="s">
        <v>37</v>
      </c>
      <c r="D10165" t="s">
        <v>17</v>
      </c>
      <c r="E10165" t="s">
        <v>12</v>
      </c>
      <c r="F10165">
        <v>149531524</v>
      </c>
      <c r="G10165">
        <v>149531572</v>
      </c>
      <c r="H10165">
        <v>149531573</v>
      </c>
      <c r="I10165">
        <v>149531590</v>
      </c>
    </row>
    <row r="10166" spans="1:9" x14ac:dyDescent="0.2">
      <c r="A10166" s="1" t="str">
        <f>"MAMSTR"</f>
        <v>MAMSTR</v>
      </c>
      <c r="B10166" t="s">
        <v>9</v>
      </c>
      <c r="C10166" t="s">
        <v>10</v>
      </c>
      <c r="D10166" t="s">
        <v>11</v>
      </c>
      <c r="E10166" t="s">
        <v>12</v>
      </c>
      <c r="F10166">
        <v>49219988</v>
      </c>
      <c r="G10166">
        <v>49220020</v>
      </c>
      <c r="H10166">
        <v>49219988</v>
      </c>
      <c r="I10166">
        <v>49220020</v>
      </c>
    </row>
    <row r="10167" spans="1:9" x14ac:dyDescent="0.2">
      <c r="A10167" s="1" t="str">
        <f>"MAMSTR"</f>
        <v>MAMSTR</v>
      </c>
      <c r="B10167" t="s">
        <v>13</v>
      </c>
      <c r="C10167" t="s">
        <v>10</v>
      </c>
      <c r="D10167" t="s">
        <v>11</v>
      </c>
      <c r="E10167" t="s">
        <v>12</v>
      </c>
      <c r="F10167">
        <v>49222956</v>
      </c>
      <c r="G10167">
        <v>49222990</v>
      </c>
      <c r="H10167">
        <v>49222956</v>
      </c>
      <c r="I10167">
        <v>49222990</v>
      </c>
    </row>
    <row r="10168" spans="1:9" x14ac:dyDescent="0.2">
      <c r="A10168" s="1" t="str">
        <f>"MAN1A1"</f>
        <v>MAN1A1</v>
      </c>
      <c r="B10168" t="s">
        <v>14</v>
      </c>
      <c r="C10168" t="s">
        <v>32</v>
      </c>
      <c r="D10168" t="s">
        <v>11</v>
      </c>
      <c r="E10168" t="s">
        <v>12</v>
      </c>
      <c r="F10168">
        <v>119670919</v>
      </c>
      <c r="G10168">
        <v>119670943</v>
      </c>
      <c r="H10168">
        <v>119670898</v>
      </c>
      <c r="I10168">
        <v>119670903</v>
      </c>
    </row>
    <row r="10169" spans="1:9" x14ac:dyDescent="0.2">
      <c r="A10169" s="1" t="str">
        <f>"MAN1A2"</f>
        <v>MAN1A2</v>
      </c>
      <c r="B10169" t="s">
        <v>14</v>
      </c>
      <c r="C10169" t="s">
        <v>19</v>
      </c>
      <c r="D10169" t="s">
        <v>17</v>
      </c>
      <c r="E10169" t="s">
        <v>12</v>
      </c>
      <c r="F10169">
        <v>117910047</v>
      </c>
      <c r="G10169">
        <v>117910131</v>
      </c>
      <c r="H10169">
        <v>117910047</v>
      </c>
      <c r="I10169">
        <v>117910131</v>
      </c>
    </row>
    <row r="10170" spans="1:9" x14ac:dyDescent="0.2">
      <c r="A10170" s="1" t="str">
        <f>"MAN1B1"</f>
        <v>MAN1B1</v>
      </c>
      <c r="B10170" t="s">
        <v>14</v>
      </c>
      <c r="C10170" t="s">
        <v>24</v>
      </c>
      <c r="D10170" t="s">
        <v>17</v>
      </c>
      <c r="E10170" t="s">
        <v>12</v>
      </c>
      <c r="F10170">
        <v>139981401</v>
      </c>
      <c r="G10170">
        <v>139981451</v>
      </c>
      <c r="H10170">
        <v>139981513</v>
      </c>
      <c r="I10170">
        <v>139981542</v>
      </c>
    </row>
    <row r="10171" spans="1:9" x14ac:dyDescent="0.2">
      <c r="A10171" s="1" t="str">
        <f>"MAN1C1"</f>
        <v>MAN1C1</v>
      </c>
      <c r="B10171" t="s">
        <v>787</v>
      </c>
      <c r="C10171" t="s">
        <v>19</v>
      </c>
      <c r="D10171" t="s">
        <v>17</v>
      </c>
      <c r="E10171" t="s">
        <v>35</v>
      </c>
      <c r="F10171">
        <v>25944052</v>
      </c>
      <c r="G10171">
        <v>25944054</v>
      </c>
      <c r="H10171">
        <v>25944052</v>
      </c>
      <c r="I10171">
        <v>25944054</v>
      </c>
    </row>
    <row r="10172" spans="1:9" x14ac:dyDescent="0.2">
      <c r="A10172" s="1" t="str">
        <f>"MAN2A1"</f>
        <v>MAN2A1</v>
      </c>
      <c r="B10172" t="s">
        <v>14</v>
      </c>
      <c r="C10172" t="s">
        <v>46</v>
      </c>
      <c r="D10172" t="s">
        <v>17</v>
      </c>
      <c r="E10172" t="s">
        <v>12</v>
      </c>
      <c r="F10172">
        <v>109025616</v>
      </c>
      <c r="G10172">
        <v>109025640</v>
      </c>
      <c r="H10172">
        <v>109025067</v>
      </c>
      <c r="I10172">
        <v>109025146</v>
      </c>
    </row>
    <row r="10173" spans="1:9" x14ac:dyDescent="0.2">
      <c r="A10173" s="1" t="str">
        <f>"MAN2A2"</f>
        <v>MAN2A2</v>
      </c>
      <c r="B10173" t="s">
        <v>14</v>
      </c>
      <c r="C10173" t="s">
        <v>25</v>
      </c>
      <c r="D10173" t="s">
        <v>17</v>
      </c>
      <c r="E10173" t="s">
        <v>12</v>
      </c>
      <c r="F10173">
        <v>91445941</v>
      </c>
      <c r="G10173">
        <v>91446004</v>
      </c>
      <c r="H10173">
        <v>91445859</v>
      </c>
      <c r="I10173">
        <v>91445909</v>
      </c>
    </row>
    <row r="10174" spans="1:9" x14ac:dyDescent="0.2">
      <c r="A10174" s="1" t="str">
        <f>"MAN2B1"</f>
        <v>MAN2B1</v>
      </c>
      <c r="B10174" t="s">
        <v>9</v>
      </c>
      <c r="C10174" t="s">
        <v>10</v>
      </c>
      <c r="D10174" t="s">
        <v>11</v>
      </c>
      <c r="E10174" t="s">
        <v>12</v>
      </c>
      <c r="F10174">
        <v>12777509</v>
      </c>
      <c r="G10174">
        <v>12777574</v>
      </c>
      <c r="H10174">
        <v>12777509</v>
      </c>
      <c r="I10174">
        <v>12777574</v>
      </c>
    </row>
    <row r="10175" spans="1:9" x14ac:dyDescent="0.2">
      <c r="A10175" s="1" t="str">
        <f>"MAN2B1"</f>
        <v>MAN2B1</v>
      </c>
      <c r="B10175" t="s">
        <v>13</v>
      </c>
      <c r="C10175" t="s">
        <v>10</v>
      </c>
      <c r="D10175" t="s">
        <v>11</v>
      </c>
      <c r="E10175" t="s">
        <v>12</v>
      </c>
      <c r="F10175">
        <v>12774176</v>
      </c>
      <c r="G10175">
        <v>12774211</v>
      </c>
      <c r="H10175">
        <v>12774176</v>
      </c>
      <c r="I10175">
        <v>12774211</v>
      </c>
    </row>
    <row r="10176" spans="1:9" x14ac:dyDescent="0.2">
      <c r="A10176" s="1" t="str">
        <f>"MAN2B2"</f>
        <v>MAN2B2</v>
      </c>
      <c r="B10176" t="s">
        <v>14</v>
      </c>
      <c r="C10176" t="s">
        <v>23</v>
      </c>
      <c r="D10176" t="s">
        <v>17</v>
      </c>
      <c r="E10176" t="s">
        <v>12</v>
      </c>
      <c r="F10176">
        <v>6576895</v>
      </c>
      <c r="G10176">
        <v>6576939</v>
      </c>
      <c r="H10176">
        <v>6576895</v>
      </c>
      <c r="I10176">
        <v>6576939</v>
      </c>
    </row>
    <row r="10177" spans="1:9" x14ac:dyDescent="0.2">
      <c r="A10177" s="1" t="str">
        <f>"MAN2C1"</f>
        <v>MAN2C1</v>
      </c>
      <c r="B10177" t="s">
        <v>14</v>
      </c>
      <c r="C10177" t="s">
        <v>25</v>
      </c>
      <c r="D10177" t="s">
        <v>11</v>
      </c>
      <c r="E10177" t="s">
        <v>12</v>
      </c>
      <c r="F10177">
        <v>75660919</v>
      </c>
      <c r="G10177">
        <v>75660964</v>
      </c>
      <c r="H10177">
        <v>75660919</v>
      </c>
      <c r="I10177">
        <v>75660964</v>
      </c>
    </row>
    <row r="10178" spans="1:9" x14ac:dyDescent="0.2">
      <c r="A10178" s="1" t="str">
        <f>"MANBA"</f>
        <v>MANBA</v>
      </c>
      <c r="B10178" t="s">
        <v>14</v>
      </c>
      <c r="C10178" t="s">
        <v>23</v>
      </c>
      <c r="D10178" t="s">
        <v>11</v>
      </c>
      <c r="E10178" t="s">
        <v>12</v>
      </c>
      <c r="F10178">
        <v>103682071</v>
      </c>
      <c r="G10178">
        <v>103682132</v>
      </c>
      <c r="H10178">
        <v>103682145</v>
      </c>
      <c r="I10178">
        <v>103682157</v>
      </c>
    </row>
    <row r="10179" spans="1:9" x14ac:dyDescent="0.2">
      <c r="A10179" s="1" t="str">
        <f>"MANBAL"</f>
        <v>MANBAL</v>
      </c>
      <c r="B10179" t="s">
        <v>14</v>
      </c>
      <c r="C10179" t="s">
        <v>29</v>
      </c>
      <c r="D10179" t="s">
        <v>17</v>
      </c>
      <c r="E10179" t="s">
        <v>12</v>
      </c>
      <c r="F10179">
        <v>35918035</v>
      </c>
      <c r="G10179">
        <v>35918068</v>
      </c>
      <c r="H10179">
        <v>35918077</v>
      </c>
      <c r="I10179">
        <v>35918129</v>
      </c>
    </row>
    <row r="10180" spans="1:9" x14ac:dyDescent="0.2">
      <c r="A10180" s="1" t="str">
        <f>"MANEA"</f>
        <v>MANEA</v>
      </c>
      <c r="B10180" t="s">
        <v>14</v>
      </c>
      <c r="C10180" t="s">
        <v>32</v>
      </c>
      <c r="D10180" t="s">
        <v>17</v>
      </c>
      <c r="E10180" t="s">
        <v>12</v>
      </c>
      <c r="F10180">
        <v>96025341</v>
      </c>
      <c r="G10180">
        <v>96025472</v>
      </c>
      <c r="H10180">
        <v>96025251</v>
      </c>
      <c r="I10180">
        <v>96025297</v>
      </c>
    </row>
    <row r="10181" spans="1:9" x14ac:dyDescent="0.2">
      <c r="A10181" s="1" t="str">
        <f>"MANEAL"</f>
        <v>MANEAL</v>
      </c>
      <c r="B10181" t="s">
        <v>14</v>
      </c>
      <c r="C10181" t="s">
        <v>19</v>
      </c>
      <c r="D10181" t="s">
        <v>17</v>
      </c>
      <c r="E10181" t="s">
        <v>12</v>
      </c>
      <c r="F10181">
        <v>38259727</v>
      </c>
      <c r="G10181">
        <v>38259807</v>
      </c>
      <c r="H10181">
        <v>38259459</v>
      </c>
      <c r="I10181">
        <v>38259532</v>
      </c>
    </row>
    <row r="10182" spans="1:9" x14ac:dyDescent="0.2">
      <c r="A10182" s="1" t="str">
        <f>"MANF"</f>
        <v>MANF</v>
      </c>
      <c r="B10182" t="s">
        <v>14</v>
      </c>
      <c r="C10182" t="s">
        <v>22</v>
      </c>
      <c r="D10182" t="s">
        <v>17</v>
      </c>
      <c r="E10182" t="s">
        <v>12</v>
      </c>
      <c r="F10182">
        <v>51422713</v>
      </c>
      <c r="G10182">
        <v>51422728</v>
      </c>
      <c r="H10182">
        <v>51422713</v>
      </c>
      <c r="I10182">
        <v>51422728</v>
      </c>
    </row>
    <row r="10183" spans="1:9" x14ac:dyDescent="0.2">
      <c r="A10183" s="1" t="str">
        <f>"MANSC1"</f>
        <v>MANSC1</v>
      </c>
      <c r="B10183" t="s">
        <v>14</v>
      </c>
      <c r="C10183" t="s">
        <v>16</v>
      </c>
      <c r="D10183" t="s">
        <v>11</v>
      </c>
      <c r="E10183" t="s">
        <v>12</v>
      </c>
      <c r="F10183">
        <v>12503156</v>
      </c>
      <c r="G10183">
        <v>12503216</v>
      </c>
      <c r="H10183">
        <v>12503128</v>
      </c>
      <c r="I10183">
        <v>12503141</v>
      </c>
    </row>
    <row r="10184" spans="1:9" x14ac:dyDescent="0.2">
      <c r="A10184" s="1" t="str">
        <f>"MANSC4"</f>
        <v>MANSC4</v>
      </c>
      <c r="B10184" t="s">
        <v>14</v>
      </c>
      <c r="C10184" t="s">
        <v>16</v>
      </c>
      <c r="D10184" t="s">
        <v>11</v>
      </c>
      <c r="E10184" t="s">
        <v>12</v>
      </c>
      <c r="F10184">
        <v>27924562</v>
      </c>
      <c r="G10184">
        <v>27924567</v>
      </c>
      <c r="H10184">
        <v>27924562</v>
      </c>
      <c r="I10184">
        <v>27924567</v>
      </c>
    </row>
    <row r="10185" spans="1:9" x14ac:dyDescent="0.2">
      <c r="A10185" s="1" t="str">
        <f>"MAOA"</f>
        <v>MAOA</v>
      </c>
      <c r="B10185" t="s">
        <v>9</v>
      </c>
      <c r="C10185" t="s">
        <v>37</v>
      </c>
      <c r="D10185" t="s">
        <v>17</v>
      </c>
      <c r="E10185" t="s">
        <v>12</v>
      </c>
      <c r="F10185">
        <v>43515538</v>
      </c>
      <c r="G10185">
        <v>43515562</v>
      </c>
      <c r="H10185">
        <v>43515538</v>
      </c>
      <c r="I10185">
        <v>43515562</v>
      </c>
    </row>
    <row r="10186" spans="1:9" x14ac:dyDescent="0.2">
      <c r="A10186" s="1" t="str">
        <f>"MAOA"</f>
        <v>MAOA</v>
      </c>
      <c r="B10186" t="s">
        <v>13</v>
      </c>
      <c r="C10186" t="s">
        <v>37</v>
      </c>
      <c r="D10186" t="s">
        <v>17</v>
      </c>
      <c r="E10186" t="s">
        <v>12</v>
      </c>
      <c r="F10186">
        <v>43514244</v>
      </c>
      <c r="G10186">
        <v>43514261</v>
      </c>
      <c r="H10186">
        <v>43514244</v>
      </c>
      <c r="I10186">
        <v>43514261</v>
      </c>
    </row>
    <row r="10187" spans="1:9" x14ac:dyDescent="0.2">
      <c r="A10187" s="1" t="str">
        <f>"MAOB"</f>
        <v>MAOB</v>
      </c>
      <c r="B10187" t="s">
        <v>14</v>
      </c>
      <c r="C10187" t="s">
        <v>37</v>
      </c>
      <c r="D10187" t="s">
        <v>11</v>
      </c>
      <c r="E10187" t="s">
        <v>12</v>
      </c>
      <c r="F10187">
        <v>43741657</v>
      </c>
      <c r="G10187">
        <v>43741703</v>
      </c>
      <c r="H10187">
        <v>43741756</v>
      </c>
      <c r="I10187">
        <v>43741759</v>
      </c>
    </row>
    <row r="10188" spans="1:9" x14ac:dyDescent="0.2">
      <c r="A10188" s="1" t="str">
        <f>"MAP10"</f>
        <v>MAP10</v>
      </c>
      <c r="B10188" t="s">
        <v>14</v>
      </c>
      <c r="C10188" t="s">
        <v>19</v>
      </c>
      <c r="D10188" t="s">
        <v>17</v>
      </c>
      <c r="E10188" t="s">
        <v>12</v>
      </c>
      <c r="F10188">
        <v>232941168</v>
      </c>
      <c r="G10188">
        <v>232941193</v>
      </c>
      <c r="H10188">
        <v>232941152</v>
      </c>
      <c r="I10188">
        <v>232941167</v>
      </c>
    </row>
    <row r="10189" spans="1:9" x14ac:dyDescent="0.2">
      <c r="A10189" s="1" t="str">
        <f>"MAP1A"</f>
        <v>MAP1A</v>
      </c>
      <c r="B10189" t="s">
        <v>14</v>
      </c>
      <c r="C10189" t="s">
        <v>25</v>
      </c>
      <c r="D10189" t="s">
        <v>17</v>
      </c>
      <c r="E10189" t="s">
        <v>12</v>
      </c>
      <c r="F10189">
        <v>43809797</v>
      </c>
      <c r="G10189">
        <v>43809860</v>
      </c>
      <c r="H10189">
        <v>43809797</v>
      </c>
      <c r="I10189">
        <v>43809860</v>
      </c>
    </row>
    <row r="10190" spans="1:9" x14ac:dyDescent="0.2">
      <c r="A10190" s="1" t="str">
        <f>"MAP1B"</f>
        <v>MAP1B</v>
      </c>
      <c r="B10190" t="s">
        <v>14</v>
      </c>
      <c r="C10190" t="s">
        <v>46</v>
      </c>
      <c r="D10190" t="s">
        <v>17</v>
      </c>
      <c r="E10190" t="s">
        <v>12</v>
      </c>
      <c r="F10190">
        <v>71403280</v>
      </c>
      <c r="G10190">
        <v>71403312</v>
      </c>
      <c r="H10190">
        <v>71403152</v>
      </c>
      <c r="I10190">
        <v>71403169</v>
      </c>
    </row>
    <row r="10191" spans="1:9" x14ac:dyDescent="0.2">
      <c r="A10191" s="1" t="str">
        <f>"MAP1LC3A"</f>
        <v>MAP1LC3A</v>
      </c>
      <c r="B10191" t="s">
        <v>14</v>
      </c>
      <c r="C10191" t="s">
        <v>29</v>
      </c>
      <c r="D10191" t="s">
        <v>17</v>
      </c>
      <c r="E10191" t="s">
        <v>12</v>
      </c>
      <c r="F10191">
        <v>33146510</v>
      </c>
      <c r="G10191">
        <v>33146549</v>
      </c>
      <c r="H10191">
        <v>33146551</v>
      </c>
      <c r="I10191">
        <v>33146567</v>
      </c>
    </row>
    <row r="10192" spans="1:9" x14ac:dyDescent="0.2">
      <c r="A10192" s="1" t="str">
        <f>"MAP1LC3B"</f>
        <v>MAP1LC3B</v>
      </c>
      <c r="B10192" t="s">
        <v>14</v>
      </c>
      <c r="C10192" t="s">
        <v>31</v>
      </c>
      <c r="D10192" t="s">
        <v>17</v>
      </c>
      <c r="E10192" t="s">
        <v>12</v>
      </c>
      <c r="F10192">
        <v>87425914</v>
      </c>
      <c r="G10192">
        <v>87425959</v>
      </c>
      <c r="H10192">
        <v>87425889</v>
      </c>
      <c r="I10192">
        <v>87425897</v>
      </c>
    </row>
    <row r="10193" spans="1:9" x14ac:dyDescent="0.2">
      <c r="A10193" s="1" t="str">
        <f>"MAP1LC3B2"</f>
        <v>MAP1LC3B2</v>
      </c>
      <c r="B10193" t="s">
        <v>14</v>
      </c>
      <c r="C10193" t="s">
        <v>16</v>
      </c>
      <c r="D10193" t="s">
        <v>17</v>
      </c>
      <c r="E10193" t="s">
        <v>12</v>
      </c>
      <c r="F10193">
        <v>117013653</v>
      </c>
      <c r="G10193">
        <v>117013666</v>
      </c>
      <c r="H10193">
        <v>117013653</v>
      </c>
      <c r="I10193">
        <v>117013666</v>
      </c>
    </row>
    <row r="10194" spans="1:9" x14ac:dyDescent="0.2">
      <c r="A10194" s="1" t="str">
        <f>"MAP1LC3C"</f>
        <v>MAP1LC3C</v>
      </c>
      <c r="B10194" t="s">
        <v>14</v>
      </c>
      <c r="C10194" t="s">
        <v>19</v>
      </c>
      <c r="D10194" t="s">
        <v>11</v>
      </c>
      <c r="E10194" t="s">
        <v>12</v>
      </c>
      <c r="F10194">
        <v>242162393</v>
      </c>
      <c r="G10194">
        <v>242162409</v>
      </c>
      <c r="H10194">
        <v>242162393</v>
      </c>
      <c r="I10194">
        <v>242162409</v>
      </c>
    </row>
    <row r="10195" spans="1:9" x14ac:dyDescent="0.2">
      <c r="A10195" s="1" t="str">
        <f>"MAP1S"</f>
        <v>MAP1S</v>
      </c>
      <c r="B10195" t="s">
        <v>14</v>
      </c>
      <c r="C10195" t="s">
        <v>10</v>
      </c>
      <c r="D10195" t="s">
        <v>17</v>
      </c>
      <c r="E10195" t="s">
        <v>12</v>
      </c>
      <c r="F10195">
        <v>17830280</v>
      </c>
      <c r="G10195">
        <v>17830317</v>
      </c>
      <c r="H10195">
        <v>17830350</v>
      </c>
      <c r="I10195">
        <v>17830361</v>
      </c>
    </row>
    <row r="10196" spans="1:9" x14ac:dyDescent="0.2">
      <c r="A10196" s="1" t="str">
        <f>"MAP2"</f>
        <v>MAP2</v>
      </c>
      <c r="B10196" t="s">
        <v>9</v>
      </c>
      <c r="C10196" t="s">
        <v>26</v>
      </c>
      <c r="D10196" t="s">
        <v>17</v>
      </c>
      <c r="E10196" t="s">
        <v>12</v>
      </c>
      <c r="F10196">
        <v>210288760</v>
      </c>
      <c r="G10196">
        <v>210288849</v>
      </c>
      <c r="H10196">
        <v>210288760</v>
      </c>
      <c r="I10196">
        <v>210288849</v>
      </c>
    </row>
    <row r="10197" spans="1:9" x14ac:dyDescent="0.2">
      <c r="A10197" s="1" t="str">
        <f>"MAP2"</f>
        <v>MAP2</v>
      </c>
      <c r="B10197" t="s">
        <v>13</v>
      </c>
      <c r="C10197" t="s">
        <v>26</v>
      </c>
      <c r="D10197" t="s">
        <v>17</v>
      </c>
      <c r="E10197" t="s">
        <v>12</v>
      </c>
      <c r="F10197">
        <v>210444298</v>
      </c>
      <c r="G10197">
        <v>210444343</v>
      </c>
      <c r="H10197">
        <v>210444298</v>
      </c>
      <c r="I10197">
        <v>210444343</v>
      </c>
    </row>
    <row r="10198" spans="1:9" x14ac:dyDescent="0.2">
      <c r="A10198" s="1" t="str">
        <f>"MAP2K1"</f>
        <v>MAP2K1</v>
      </c>
      <c r="B10198" t="s">
        <v>14</v>
      </c>
      <c r="C10198" t="s">
        <v>25</v>
      </c>
      <c r="D10198" t="s">
        <v>17</v>
      </c>
      <c r="E10198" t="s">
        <v>12</v>
      </c>
      <c r="F10198">
        <v>66679240</v>
      </c>
      <c r="G10198">
        <v>66679258</v>
      </c>
      <c r="H10198">
        <v>66679260</v>
      </c>
      <c r="I10198">
        <v>66679283</v>
      </c>
    </row>
    <row r="10199" spans="1:9" x14ac:dyDescent="0.2">
      <c r="A10199" s="1" t="str">
        <f>"MAP2K2"</f>
        <v>MAP2K2</v>
      </c>
      <c r="B10199" t="s">
        <v>14</v>
      </c>
      <c r="C10199" t="s">
        <v>10</v>
      </c>
      <c r="D10199" t="s">
        <v>11</v>
      </c>
      <c r="E10199" t="s">
        <v>12</v>
      </c>
      <c r="F10199">
        <v>4124079</v>
      </c>
      <c r="G10199">
        <v>4124128</v>
      </c>
      <c r="H10199">
        <v>4124133</v>
      </c>
      <c r="I10199">
        <v>4124149</v>
      </c>
    </row>
    <row r="10200" spans="1:9" x14ac:dyDescent="0.2">
      <c r="A10200" s="1" t="str">
        <f>"MAP2K3"</f>
        <v>MAP2K3</v>
      </c>
      <c r="B10200" t="s">
        <v>14</v>
      </c>
      <c r="C10200" t="s">
        <v>28</v>
      </c>
      <c r="D10200" t="s">
        <v>17</v>
      </c>
      <c r="E10200" t="s">
        <v>12</v>
      </c>
      <c r="F10200">
        <v>21188012</v>
      </c>
      <c r="G10200">
        <v>21188031</v>
      </c>
      <c r="H10200">
        <v>21188043</v>
      </c>
      <c r="I10200">
        <v>21188069</v>
      </c>
    </row>
    <row r="10201" spans="1:9" x14ac:dyDescent="0.2">
      <c r="A10201" s="1" t="str">
        <f>"MAP2K4"</f>
        <v>MAP2K4</v>
      </c>
      <c r="B10201" t="s">
        <v>14</v>
      </c>
      <c r="C10201" t="s">
        <v>28</v>
      </c>
      <c r="D10201" t="s">
        <v>17</v>
      </c>
      <c r="E10201" t="s">
        <v>12</v>
      </c>
      <c r="F10201">
        <v>11924129</v>
      </c>
      <c r="G10201">
        <v>11924200</v>
      </c>
      <c r="H10201">
        <v>11924129</v>
      </c>
      <c r="I10201">
        <v>11924200</v>
      </c>
    </row>
    <row r="10202" spans="1:9" x14ac:dyDescent="0.2">
      <c r="A10202" s="1" t="str">
        <f>"MAP2K5"</f>
        <v>MAP2K5</v>
      </c>
      <c r="B10202" t="s">
        <v>14</v>
      </c>
      <c r="C10202" t="s">
        <v>25</v>
      </c>
      <c r="D10202" t="s">
        <v>17</v>
      </c>
      <c r="E10202" t="s">
        <v>12</v>
      </c>
      <c r="F10202">
        <v>67835005</v>
      </c>
      <c r="G10202">
        <v>67835109</v>
      </c>
      <c r="H10202">
        <v>67835517</v>
      </c>
      <c r="I10202">
        <v>67835557</v>
      </c>
    </row>
    <row r="10203" spans="1:9" x14ac:dyDescent="0.2">
      <c r="A10203" s="1" t="str">
        <f>"MAP2K6"</f>
        <v>MAP2K6</v>
      </c>
      <c r="B10203" t="s">
        <v>14</v>
      </c>
      <c r="C10203" t="s">
        <v>28</v>
      </c>
      <c r="D10203" t="s">
        <v>17</v>
      </c>
      <c r="E10203" t="s">
        <v>12</v>
      </c>
      <c r="F10203">
        <v>67410832</v>
      </c>
      <c r="G10203">
        <v>67410871</v>
      </c>
      <c r="H10203">
        <v>67410832</v>
      </c>
      <c r="I10203">
        <v>67410871</v>
      </c>
    </row>
    <row r="10204" spans="1:9" x14ac:dyDescent="0.2">
      <c r="A10204" s="1" t="str">
        <f>"MAP2K7"</f>
        <v>MAP2K7</v>
      </c>
      <c r="B10204" t="s">
        <v>14</v>
      </c>
      <c r="C10204" t="s">
        <v>10</v>
      </c>
      <c r="D10204" t="s">
        <v>17</v>
      </c>
      <c r="E10204" t="s">
        <v>12</v>
      </c>
      <c r="F10204">
        <v>7968753</v>
      </c>
      <c r="G10204">
        <v>7968781</v>
      </c>
      <c r="H10204">
        <v>7968795</v>
      </c>
      <c r="I10204">
        <v>7968806</v>
      </c>
    </row>
    <row r="10205" spans="1:9" x14ac:dyDescent="0.2">
      <c r="A10205" s="1" t="str">
        <f>"MAP3K1"</f>
        <v>MAP3K1</v>
      </c>
      <c r="B10205" t="s">
        <v>14</v>
      </c>
      <c r="C10205" t="s">
        <v>46</v>
      </c>
      <c r="D10205" t="s">
        <v>17</v>
      </c>
      <c r="E10205" t="s">
        <v>12</v>
      </c>
      <c r="F10205">
        <v>56111361</v>
      </c>
      <c r="G10205">
        <v>56111403</v>
      </c>
      <c r="H10205">
        <v>56111250</v>
      </c>
      <c r="I10205">
        <v>56111265</v>
      </c>
    </row>
    <row r="10206" spans="1:9" x14ac:dyDescent="0.2">
      <c r="A10206" s="1" t="str">
        <f>"MAP3K10"</f>
        <v>MAP3K10</v>
      </c>
      <c r="B10206" t="s">
        <v>14</v>
      </c>
      <c r="C10206" t="s">
        <v>10</v>
      </c>
      <c r="D10206" t="s">
        <v>17</v>
      </c>
      <c r="E10206" t="s">
        <v>12</v>
      </c>
      <c r="F10206">
        <v>40697318</v>
      </c>
      <c r="G10206">
        <v>40697346</v>
      </c>
      <c r="H10206">
        <v>40697318</v>
      </c>
      <c r="I10206">
        <v>40697346</v>
      </c>
    </row>
    <row r="10207" spans="1:9" x14ac:dyDescent="0.2">
      <c r="A10207" s="1" t="str">
        <f>"MAP3K11"</f>
        <v>MAP3K11</v>
      </c>
      <c r="B10207" t="s">
        <v>9</v>
      </c>
      <c r="C10207" t="s">
        <v>27</v>
      </c>
      <c r="D10207" t="s">
        <v>11</v>
      </c>
      <c r="E10207" t="s">
        <v>12</v>
      </c>
      <c r="F10207">
        <v>65381643</v>
      </c>
      <c r="G10207">
        <v>65381767</v>
      </c>
      <c r="H10207">
        <v>65381643</v>
      </c>
      <c r="I10207">
        <v>65381767</v>
      </c>
    </row>
    <row r="10208" spans="1:9" x14ac:dyDescent="0.2">
      <c r="A10208" s="1" t="str">
        <f>"MAP3K11"</f>
        <v>MAP3K11</v>
      </c>
      <c r="B10208" t="s">
        <v>13</v>
      </c>
      <c r="C10208" t="s">
        <v>27</v>
      </c>
      <c r="D10208" t="s">
        <v>11</v>
      </c>
      <c r="E10208" t="s">
        <v>12</v>
      </c>
      <c r="F10208">
        <v>65382795</v>
      </c>
      <c r="G10208">
        <v>65382840</v>
      </c>
      <c r="H10208">
        <v>65382795</v>
      </c>
      <c r="I10208">
        <v>65382840</v>
      </c>
    </row>
    <row r="10209" spans="1:9" x14ac:dyDescent="0.2">
      <c r="A10209" s="1" t="str">
        <f>"MAP3K12"</f>
        <v>MAP3K12</v>
      </c>
      <c r="B10209" t="s">
        <v>14</v>
      </c>
      <c r="C10209" t="s">
        <v>16</v>
      </c>
      <c r="D10209" t="s">
        <v>11</v>
      </c>
      <c r="E10209" t="s">
        <v>12</v>
      </c>
      <c r="F10209">
        <v>53893227</v>
      </c>
      <c r="G10209">
        <v>53893279</v>
      </c>
      <c r="H10209">
        <v>53893435</v>
      </c>
      <c r="I10209">
        <v>53893478</v>
      </c>
    </row>
    <row r="10210" spans="1:9" x14ac:dyDescent="0.2">
      <c r="A10210" s="1" t="str">
        <f>"MAP3K13"</f>
        <v>MAP3K13</v>
      </c>
      <c r="B10210" t="s">
        <v>9</v>
      </c>
      <c r="C10210" t="s">
        <v>22</v>
      </c>
      <c r="D10210" t="s">
        <v>17</v>
      </c>
      <c r="E10210" t="s">
        <v>12</v>
      </c>
      <c r="F10210">
        <v>185000735</v>
      </c>
      <c r="G10210">
        <v>185000796</v>
      </c>
      <c r="H10210">
        <v>185000735</v>
      </c>
      <c r="I10210">
        <v>185000796</v>
      </c>
    </row>
    <row r="10211" spans="1:9" x14ac:dyDescent="0.2">
      <c r="A10211" s="1" t="str">
        <f>"MAP3K13"</f>
        <v>MAP3K13</v>
      </c>
      <c r="B10211" t="s">
        <v>13</v>
      </c>
      <c r="C10211" t="s">
        <v>22</v>
      </c>
      <c r="D10211" t="s">
        <v>17</v>
      </c>
      <c r="E10211" t="s">
        <v>12</v>
      </c>
      <c r="F10211">
        <v>185080917</v>
      </c>
      <c r="G10211">
        <v>185080987</v>
      </c>
      <c r="H10211">
        <v>185080917</v>
      </c>
      <c r="I10211">
        <v>185080987</v>
      </c>
    </row>
    <row r="10212" spans="1:9" x14ac:dyDescent="0.2">
      <c r="A10212" s="1" t="str">
        <f>"MAP3K14"</f>
        <v>MAP3K14</v>
      </c>
      <c r="B10212" t="s">
        <v>14</v>
      </c>
      <c r="C10212" t="s">
        <v>28</v>
      </c>
      <c r="D10212" t="s">
        <v>11</v>
      </c>
      <c r="E10212" t="s">
        <v>12</v>
      </c>
      <c r="F10212">
        <v>43394372</v>
      </c>
      <c r="G10212">
        <v>43394435</v>
      </c>
      <c r="H10212">
        <v>43394372</v>
      </c>
      <c r="I10212">
        <v>43394435</v>
      </c>
    </row>
    <row r="10213" spans="1:9" x14ac:dyDescent="0.2">
      <c r="A10213" s="1" t="str">
        <f>"MAP3K15"</f>
        <v>MAP3K15</v>
      </c>
      <c r="B10213" t="s">
        <v>14</v>
      </c>
      <c r="C10213" t="s">
        <v>37</v>
      </c>
      <c r="D10213" t="s">
        <v>11</v>
      </c>
      <c r="E10213" t="s">
        <v>12</v>
      </c>
      <c r="F10213">
        <v>19533595</v>
      </c>
      <c r="G10213">
        <v>19533631</v>
      </c>
      <c r="H10213">
        <v>19533574</v>
      </c>
      <c r="I10213">
        <v>19533586</v>
      </c>
    </row>
    <row r="10214" spans="1:9" x14ac:dyDescent="0.2">
      <c r="A10214" s="1" t="str">
        <f>"MAP3K19"</f>
        <v>MAP3K19</v>
      </c>
      <c r="B10214" t="s">
        <v>14</v>
      </c>
      <c r="C10214" t="s">
        <v>26</v>
      </c>
      <c r="D10214" t="s">
        <v>11</v>
      </c>
      <c r="E10214" t="s">
        <v>12</v>
      </c>
      <c r="F10214">
        <v>135805008</v>
      </c>
      <c r="G10214">
        <v>135805028</v>
      </c>
      <c r="H10214">
        <v>135805029</v>
      </c>
      <c r="I10214">
        <v>135805039</v>
      </c>
    </row>
    <row r="10215" spans="1:9" x14ac:dyDescent="0.2">
      <c r="A10215" s="1" t="str">
        <f>"MAP3K2"</f>
        <v>MAP3K2</v>
      </c>
      <c r="B10215" t="s">
        <v>14</v>
      </c>
      <c r="C10215" t="s">
        <v>26</v>
      </c>
      <c r="D10215" t="s">
        <v>11</v>
      </c>
      <c r="E10215" t="s">
        <v>12</v>
      </c>
      <c r="F10215">
        <v>128145498</v>
      </c>
      <c r="G10215">
        <v>128145563</v>
      </c>
      <c r="H10215">
        <v>128145574</v>
      </c>
      <c r="I10215">
        <v>128145579</v>
      </c>
    </row>
    <row r="10216" spans="1:9" x14ac:dyDescent="0.2">
      <c r="A10216" s="1" t="str">
        <f>"MAP3K3"</f>
        <v>MAP3K3</v>
      </c>
      <c r="B10216" t="s">
        <v>14</v>
      </c>
      <c r="C10216" t="s">
        <v>28</v>
      </c>
      <c r="D10216" t="s">
        <v>17</v>
      </c>
      <c r="E10216" t="s">
        <v>12</v>
      </c>
      <c r="F10216">
        <v>61699766</v>
      </c>
      <c r="G10216">
        <v>61699826</v>
      </c>
      <c r="H10216">
        <v>61699738</v>
      </c>
      <c r="I10216">
        <v>61699749</v>
      </c>
    </row>
    <row r="10217" spans="1:9" x14ac:dyDescent="0.2">
      <c r="A10217" s="1" t="str">
        <f>"MAP3K4"</f>
        <v>MAP3K4</v>
      </c>
      <c r="B10217" t="s">
        <v>14</v>
      </c>
      <c r="C10217" t="s">
        <v>32</v>
      </c>
      <c r="D10217" t="s">
        <v>17</v>
      </c>
      <c r="E10217" t="s">
        <v>12</v>
      </c>
      <c r="F10217">
        <v>161412791</v>
      </c>
      <c r="G10217">
        <v>161412825</v>
      </c>
      <c r="H10217">
        <v>161412499</v>
      </c>
      <c r="I10217">
        <v>161412558</v>
      </c>
    </row>
    <row r="10218" spans="1:9" x14ac:dyDescent="0.2">
      <c r="A10218" s="1" t="str">
        <f>"MAP3K5"</f>
        <v>MAP3K5</v>
      </c>
      <c r="B10218" t="s">
        <v>14</v>
      </c>
      <c r="C10218" t="s">
        <v>32</v>
      </c>
      <c r="D10218" t="s">
        <v>11</v>
      </c>
      <c r="E10218" t="s">
        <v>12</v>
      </c>
      <c r="F10218">
        <v>137113489</v>
      </c>
      <c r="G10218">
        <v>137113569</v>
      </c>
      <c r="H10218">
        <v>137113489</v>
      </c>
      <c r="I10218">
        <v>137113569</v>
      </c>
    </row>
    <row r="10219" spans="1:9" x14ac:dyDescent="0.2">
      <c r="A10219" s="1" t="str">
        <f>"MAP3K6"</f>
        <v>MAP3K6</v>
      </c>
      <c r="B10219" t="s">
        <v>14</v>
      </c>
      <c r="C10219" t="s">
        <v>19</v>
      </c>
      <c r="D10219" t="s">
        <v>11</v>
      </c>
      <c r="E10219" t="s">
        <v>12</v>
      </c>
      <c r="F10219">
        <v>27693408</v>
      </c>
      <c r="G10219">
        <v>27693477</v>
      </c>
      <c r="H10219">
        <v>27693004</v>
      </c>
      <c r="I10219">
        <v>27693093</v>
      </c>
    </row>
    <row r="10220" spans="1:9" x14ac:dyDescent="0.2">
      <c r="A10220" s="1" t="str">
        <f>"MAP3K7"</f>
        <v>MAP3K7</v>
      </c>
      <c r="B10220" t="s">
        <v>14</v>
      </c>
      <c r="C10220" t="s">
        <v>32</v>
      </c>
      <c r="D10220" t="s">
        <v>11</v>
      </c>
      <c r="E10220" t="s">
        <v>12</v>
      </c>
      <c r="F10220">
        <v>91296737</v>
      </c>
      <c r="G10220">
        <v>91296821</v>
      </c>
      <c r="H10220">
        <v>91296928</v>
      </c>
      <c r="I10220">
        <v>91296960</v>
      </c>
    </row>
    <row r="10221" spans="1:9" x14ac:dyDescent="0.2">
      <c r="A10221" s="1" t="str">
        <f>"MAP3K7CL"</f>
        <v>MAP3K7CL</v>
      </c>
      <c r="B10221" t="s">
        <v>9</v>
      </c>
      <c r="C10221" t="s">
        <v>42</v>
      </c>
      <c r="D10221" t="s">
        <v>17</v>
      </c>
      <c r="E10221" t="s">
        <v>12</v>
      </c>
      <c r="F10221">
        <v>30517879</v>
      </c>
      <c r="G10221">
        <v>30517929</v>
      </c>
      <c r="H10221">
        <v>30517879</v>
      </c>
      <c r="I10221">
        <v>30517929</v>
      </c>
    </row>
    <row r="10222" spans="1:9" x14ac:dyDescent="0.2">
      <c r="A10222" s="1" t="str">
        <f>"MAP3K7CL"</f>
        <v>MAP3K7CL</v>
      </c>
      <c r="B10222" t="s">
        <v>13</v>
      </c>
      <c r="C10222" t="s">
        <v>42</v>
      </c>
      <c r="D10222" t="s">
        <v>17</v>
      </c>
      <c r="E10222" t="s">
        <v>12</v>
      </c>
      <c r="F10222">
        <v>30502952</v>
      </c>
      <c r="G10222">
        <v>30502989</v>
      </c>
      <c r="H10222">
        <v>30502952</v>
      </c>
      <c r="I10222">
        <v>30502989</v>
      </c>
    </row>
    <row r="10223" spans="1:9" x14ac:dyDescent="0.2">
      <c r="A10223" s="1" t="str">
        <f>"MAP3K8"</f>
        <v>MAP3K8</v>
      </c>
      <c r="B10223" t="s">
        <v>14</v>
      </c>
      <c r="C10223" t="s">
        <v>15</v>
      </c>
      <c r="D10223" t="s">
        <v>17</v>
      </c>
      <c r="E10223" t="s">
        <v>12</v>
      </c>
      <c r="F10223">
        <v>30723105</v>
      </c>
      <c r="G10223">
        <v>30723122</v>
      </c>
      <c r="H10223">
        <v>30723045</v>
      </c>
      <c r="I10223">
        <v>30723060</v>
      </c>
    </row>
    <row r="10224" spans="1:9" x14ac:dyDescent="0.2">
      <c r="A10224" s="1" t="str">
        <f>"MAP3K9"</f>
        <v>MAP3K9</v>
      </c>
      <c r="B10224" t="s">
        <v>14</v>
      </c>
      <c r="C10224" t="s">
        <v>41</v>
      </c>
      <c r="D10224" t="s">
        <v>11</v>
      </c>
      <c r="E10224" t="s">
        <v>12</v>
      </c>
      <c r="F10224">
        <v>71276211</v>
      </c>
      <c r="G10224">
        <v>71276255</v>
      </c>
      <c r="H10224">
        <v>71276268</v>
      </c>
      <c r="I10224">
        <v>71276283</v>
      </c>
    </row>
    <row r="10225" spans="1:9" x14ac:dyDescent="0.2">
      <c r="A10225" s="1" t="str">
        <f>"MAP4"</f>
        <v>MAP4</v>
      </c>
      <c r="B10225" t="s">
        <v>14</v>
      </c>
      <c r="C10225" t="s">
        <v>22</v>
      </c>
      <c r="D10225" t="s">
        <v>11</v>
      </c>
      <c r="E10225" t="s">
        <v>12</v>
      </c>
      <c r="F10225">
        <v>48130317</v>
      </c>
      <c r="G10225">
        <v>48130396</v>
      </c>
      <c r="H10225">
        <v>48130289</v>
      </c>
      <c r="I10225">
        <v>48130301</v>
      </c>
    </row>
    <row r="10226" spans="1:9" x14ac:dyDescent="0.2">
      <c r="A10226" s="1" t="str">
        <f>"MAP4K1"</f>
        <v>MAP4K1</v>
      </c>
      <c r="B10226" t="s">
        <v>14</v>
      </c>
      <c r="C10226" t="s">
        <v>10</v>
      </c>
      <c r="D10226" t="s">
        <v>11</v>
      </c>
      <c r="E10226" t="s">
        <v>12</v>
      </c>
      <c r="F10226">
        <v>39108568</v>
      </c>
      <c r="G10226">
        <v>39108640</v>
      </c>
      <c r="H10226">
        <v>39108644</v>
      </c>
      <c r="I10226">
        <v>39108658</v>
      </c>
    </row>
    <row r="10227" spans="1:9" x14ac:dyDescent="0.2">
      <c r="A10227" s="1" t="str">
        <f>"MAP4K2"</f>
        <v>MAP4K2</v>
      </c>
      <c r="B10227" t="s">
        <v>14</v>
      </c>
      <c r="C10227" t="s">
        <v>27</v>
      </c>
      <c r="D10227" t="s">
        <v>11</v>
      </c>
      <c r="E10227" t="s">
        <v>12</v>
      </c>
      <c r="F10227">
        <v>64570624</v>
      </c>
      <c r="G10227">
        <v>64570697</v>
      </c>
      <c r="H10227">
        <v>64570425</v>
      </c>
      <c r="I10227">
        <v>64570446</v>
      </c>
    </row>
    <row r="10228" spans="1:9" x14ac:dyDescent="0.2">
      <c r="A10228" s="1" t="str">
        <f>"MAP4K3"</f>
        <v>MAP4K3</v>
      </c>
      <c r="B10228" t="s">
        <v>14</v>
      </c>
      <c r="C10228" t="s">
        <v>26</v>
      </c>
      <c r="D10228" t="s">
        <v>11</v>
      </c>
      <c r="E10228" t="s">
        <v>12</v>
      </c>
      <c r="F10228">
        <v>39664405</v>
      </c>
      <c r="G10228">
        <v>39664442</v>
      </c>
      <c r="H10228">
        <v>39664267</v>
      </c>
      <c r="I10228">
        <v>39664327</v>
      </c>
    </row>
    <row r="10229" spans="1:9" x14ac:dyDescent="0.2">
      <c r="A10229" s="1" t="str">
        <f>"MAP4K4"</f>
        <v>MAP4K4</v>
      </c>
      <c r="B10229" t="s">
        <v>14</v>
      </c>
      <c r="C10229" t="s">
        <v>26</v>
      </c>
      <c r="D10229" t="s">
        <v>17</v>
      </c>
      <c r="E10229" t="s">
        <v>12</v>
      </c>
      <c r="F10229">
        <v>102314161</v>
      </c>
      <c r="G10229">
        <v>102314183</v>
      </c>
      <c r="H10229">
        <v>102314129</v>
      </c>
      <c r="I10229">
        <v>102314157</v>
      </c>
    </row>
    <row r="10230" spans="1:9" x14ac:dyDescent="0.2">
      <c r="A10230" s="1" t="str">
        <f>"MAP4K5"</f>
        <v>MAP4K5</v>
      </c>
      <c r="B10230" t="s">
        <v>14</v>
      </c>
      <c r="C10230" t="s">
        <v>41</v>
      </c>
      <c r="D10230" t="s">
        <v>11</v>
      </c>
      <c r="E10230" t="s">
        <v>12</v>
      </c>
      <c r="F10230">
        <v>50999233</v>
      </c>
      <c r="G10230">
        <v>50999297</v>
      </c>
      <c r="H10230">
        <v>50999307</v>
      </c>
      <c r="I10230">
        <v>50999367</v>
      </c>
    </row>
    <row r="10231" spans="1:9" x14ac:dyDescent="0.2">
      <c r="A10231" s="1" t="str">
        <f>"MAP6"</f>
        <v>MAP6</v>
      </c>
      <c r="B10231" t="s">
        <v>14</v>
      </c>
      <c r="C10231" t="s">
        <v>27</v>
      </c>
      <c r="D10231" t="s">
        <v>11</v>
      </c>
      <c r="E10231" t="s">
        <v>12</v>
      </c>
      <c r="F10231">
        <v>75379125</v>
      </c>
      <c r="G10231">
        <v>75379193</v>
      </c>
      <c r="H10231">
        <v>75379612</v>
      </c>
      <c r="I10231">
        <v>75379726</v>
      </c>
    </row>
    <row r="10232" spans="1:9" x14ac:dyDescent="0.2">
      <c r="A10232" s="1" t="str">
        <f>"MAP6D1"</f>
        <v>MAP6D1</v>
      </c>
      <c r="B10232" t="s">
        <v>14</v>
      </c>
      <c r="C10232" t="s">
        <v>22</v>
      </c>
      <c r="D10232" t="s">
        <v>11</v>
      </c>
      <c r="E10232" t="s">
        <v>12</v>
      </c>
      <c r="F10232">
        <v>183543301</v>
      </c>
      <c r="G10232">
        <v>183543406</v>
      </c>
      <c r="H10232">
        <v>183543286</v>
      </c>
      <c r="I10232">
        <v>183543297</v>
      </c>
    </row>
    <row r="10233" spans="1:9" x14ac:dyDescent="0.2">
      <c r="A10233" s="1" t="str">
        <f>"MAP7"</f>
        <v>MAP7</v>
      </c>
      <c r="B10233" t="s">
        <v>9</v>
      </c>
      <c r="C10233" t="s">
        <v>32</v>
      </c>
      <c r="D10233" t="s">
        <v>11</v>
      </c>
      <c r="E10233" t="s">
        <v>12</v>
      </c>
      <c r="F10233">
        <v>136871545</v>
      </c>
      <c r="G10233">
        <v>136871584</v>
      </c>
      <c r="H10233">
        <v>136871545</v>
      </c>
      <c r="I10233">
        <v>136871584</v>
      </c>
    </row>
    <row r="10234" spans="1:9" x14ac:dyDescent="0.2">
      <c r="A10234" s="1" t="str">
        <f>"MAP7"</f>
        <v>MAP7</v>
      </c>
      <c r="B10234" t="s">
        <v>13</v>
      </c>
      <c r="C10234" t="s">
        <v>32</v>
      </c>
      <c r="D10234" t="s">
        <v>11</v>
      </c>
      <c r="E10234" t="s">
        <v>12</v>
      </c>
      <c r="F10234">
        <v>136847697</v>
      </c>
      <c r="G10234">
        <v>136847750</v>
      </c>
      <c r="H10234">
        <v>136847697</v>
      </c>
      <c r="I10234">
        <v>136847750</v>
      </c>
    </row>
    <row r="10235" spans="1:9" x14ac:dyDescent="0.2">
      <c r="A10235" s="1" t="str">
        <f>"MAP7D1"</f>
        <v>MAP7D1</v>
      </c>
      <c r="B10235" t="s">
        <v>14</v>
      </c>
      <c r="C10235" t="s">
        <v>19</v>
      </c>
      <c r="D10235" t="s">
        <v>17</v>
      </c>
      <c r="E10235" t="s">
        <v>12</v>
      </c>
      <c r="F10235">
        <v>36621697</v>
      </c>
      <c r="G10235">
        <v>36621822</v>
      </c>
      <c r="H10235">
        <v>36621825</v>
      </c>
      <c r="I10235">
        <v>36621836</v>
      </c>
    </row>
    <row r="10236" spans="1:9" x14ac:dyDescent="0.2">
      <c r="A10236" s="1" t="str">
        <f>"MAP7D2"</f>
        <v>MAP7D2</v>
      </c>
      <c r="B10236" t="s">
        <v>14</v>
      </c>
      <c r="C10236" t="s">
        <v>37</v>
      </c>
      <c r="D10236" t="s">
        <v>11</v>
      </c>
      <c r="E10236" t="s">
        <v>12</v>
      </c>
      <c r="F10236">
        <v>20134990</v>
      </c>
      <c r="G10236">
        <v>20135060</v>
      </c>
      <c r="H10236">
        <v>20134713</v>
      </c>
      <c r="I10236">
        <v>20134774</v>
      </c>
    </row>
    <row r="10237" spans="1:9" x14ac:dyDescent="0.2">
      <c r="A10237" s="1" t="str">
        <f>"MAP7D3"</f>
        <v>MAP7D3</v>
      </c>
      <c r="B10237" t="s">
        <v>14</v>
      </c>
      <c r="C10237" t="s">
        <v>37</v>
      </c>
      <c r="D10237" t="s">
        <v>11</v>
      </c>
      <c r="E10237" t="s">
        <v>12</v>
      </c>
      <c r="F10237">
        <v>135333514</v>
      </c>
      <c r="G10237">
        <v>135333578</v>
      </c>
      <c r="H10237">
        <v>135333722</v>
      </c>
      <c r="I10237">
        <v>135333743</v>
      </c>
    </row>
    <row r="10238" spans="1:9" x14ac:dyDescent="0.2">
      <c r="A10238" s="1" t="str">
        <f>"MAP9"</f>
        <v>MAP9</v>
      </c>
      <c r="B10238" t="s">
        <v>14</v>
      </c>
      <c r="C10238" t="s">
        <v>23</v>
      </c>
      <c r="D10238" t="s">
        <v>11</v>
      </c>
      <c r="E10238" t="s">
        <v>12</v>
      </c>
      <c r="F10238">
        <v>156297949</v>
      </c>
      <c r="G10238">
        <v>156297996</v>
      </c>
      <c r="H10238">
        <v>156298087</v>
      </c>
      <c r="I10238">
        <v>156298127</v>
      </c>
    </row>
    <row r="10239" spans="1:9" x14ac:dyDescent="0.2">
      <c r="A10239" s="1" t="str">
        <f>"MAPK1"</f>
        <v>MAPK1</v>
      </c>
      <c r="B10239" t="s">
        <v>14</v>
      </c>
      <c r="C10239" t="s">
        <v>21</v>
      </c>
      <c r="D10239" t="s">
        <v>11</v>
      </c>
      <c r="E10239" t="s">
        <v>12</v>
      </c>
      <c r="F10239">
        <v>22221900</v>
      </c>
      <c r="G10239">
        <v>22221963</v>
      </c>
      <c r="H10239">
        <v>22221658</v>
      </c>
      <c r="I10239">
        <v>22221669</v>
      </c>
    </row>
    <row r="10240" spans="1:9" x14ac:dyDescent="0.2">
      <c r="A10240" s="1" t="str">
        <f>"MAPK10"</f>
        <v>MAPK10</v>
      </c>
      <c r="B10240" t="s">
        <v>14</v>
      </c>
      <c r="C10240" t="s">
        <v>23</v>
      </c>
      <c r="D10240" t="s">
        <v>11</v>
      </c>
      <c r="E10240" t="s">
        <v>12</v>
      </c>
      <c r="F10240">
        <v>87281196</v>
      </c>
      <c r="G10240">
        <v>87281219</v>
      </c>
      <c r="H10240">
        <v>87281196</v>
      </c>
      <c r="I10240">
        <v>87281219</v>
      </c>
    </row>
    <row r="10241" spans="1:9" x14ac:dyDescent="0.2">
      <c r="A10241" s="1" t="str">
        <f>"MAPK11"</f>
        <v>MAPK11</v>
      </c>
      <c r="B10241" t="s">
        <v>14</v>
      </c>
      <c r="C10241" t="s">
        <v>21</v>
      </c>
      <c r="D10241" t="s">
        <v>11</v>
      </c>
      <c r="E10241" t="s">
        <v>12</v>
      </c>
      <c r="F10241">
        <v>50708781</v>
      </c>
      <c r="G10241">
        <v>50708852</v>
      </c>
      <c r="H10241">
        <v>50708944</v>
      </c>
      <c r="I10241">
        <v>50708966</v>
      </c>
    </row>
    <row r="10242" spans="1:9" x14ac:dyDescent="0.2">
      <c r="A10242" s="1" t="str">
        <f>"MAPK12"</f>
        <v>MAPK12</v>
      </c>
      <c r="B10242" t="s">
        <v>14</v>
      </c>
      <c r="C10242" t="s">
        <v>21</v>
      </c>
      <c r="D10242" t="s">
        <v>11</v>
      </c>
      <c r="E10242" t="s">
        <v>12</v>
      </c>
      <c r="F10242">
        <v>50700098</v>
      </c>
      <c r="G10242">
        <v>50700127</v>
      </c>
      <c r="H10242">
        <v>50699701</v>
      </c>
      <c r="I10242">
        <v>50699759</v>
      </c>
    </row>
    <row r="10243" spans="1:9" x14ac:dyDescent="0.2">
      <c r="A10243" s="1" t="str">
        <f>"MAPK13"</f>
        <v>MAPK13</v>
      </c>
      <c r="B10243" t="s">
        <v>9</v>
      </c>
      <c r="C10243" t="s">
        <v>32</v>
      </c>
      <c r="D10243" t="s">
        <v>17</v>
      </c>
      <c r="E10243" t="s">
        <v>12</v>
      </c>
      <c r="F10243">
        <v>36098264</v>
      </c>
      <c r="G10243">
        <v>36098331</v>
      </c>
      <c r="H10243">
        <v>36098264</v>
      </c>
      <c r="I10243">
        <v>36098331</v>
      </c>
    </row>
    <row r="10244" spans="1:9" x14ac:dyDescent="0.2">
      <c r="A10244" s="1" t="str">
        <f>"MAPK13"</f>
        <v>MAPK13</v>
      </c>
      <c r="B10244" t="s">
        <v>13</v>
      </c>
      <c r="C10244" t="s">
        <v>32</v>
      </c>
      <c r="D10244" t="s">
        <v>17</v>
      </c>
      <c r="E10244" t="s">
        <v>12</v>
      </c>
      <c r="F10244">
        <v>36095525</v>
      </c>
      <c r="G10244">
        <v>36095559</v>
      </c>
      <c r="H10244">
        <v>36095525</v>
      </c>
      <c r="I10244">
        <v>36095559</v>
      </c>
    </row>
    <row r="10245" spans="1:9" x14ac:dyDescent="0.2">
      <c r="A10245" s="1" t="str">
        <f>"MAPK14"</f>
        <v>MAPK14</v>
      </c>
      <c r="B10245" t="s">
        <v>14</v>
      </c>
      <c r="C10245" t="s">
        <v>32</v>
      </c>
      <c r="D10245" t="s">
        <v>17</v>
      </c>
      <c r="E10245" t="s">
        <v>12</v>
      </c>
      <c r="F10245">
        <v>35995575</v>
      </c>
      <c r="G10245">
        <v>35995601</v>
      </c>
      <c r="H10245">
        <v>35995552</v>
      </c>
      <c r="I10245">
        <v>35995564</v>
      </c>
    </row>
    <row r="10246" spans="1:9" x14ac:dyDescent="0.2">
      <c r="A10246" s="1" t="str">
        <f>"MAPK15"</f>
        <v>MAPK15</v>
      </c>
      <c r="B10246" t="s">
        <v>14</v>
      </c>
      <c r="C10246" t="s">
        <v>30</v>
      </c>
      <c r="D10246" t="s">
        <v>17</v>
      </c>
      <c r="E10246" t="s">
        <v>12</v>
      </c>
      <c r="F10246">
        <v>144798487</v>
      </c>
      <c r="G10246">
        <v>144798561</v>
      </c>
      <c r="H10246">
        <v>144798566</v>
      </c>
      <c r="I10246">
        <v>144798575</v>
      </c>
    </row>
    <row r="10247" spans="1:9" x14ac:dyDescent="0.2">
      <c r="A10247" s="1" t="str">
        <f>"MAPK1IP1L"</f>
        <v>MAPK1IP1L</v>
      </c>
      <c r="B10247" t="s">
        <v>14</v>
      </c>
      <c r="C10247" t="s">
        <v>41</v>
      </c>
      <c r="D10247" t="s">
        <v>17</v>
      </c>
      <c r="E10247" t="s">
        <v>12</v>
      </c>
      <c r="F10247">
        <v>55518357</v>
      </c>
      <c r="G10247">
        <v>55518423</v>
      </c>
      <c r="H10247">
        <v>55518430</v>
      </c>
      <c r="I10247">
        <v>55518441</v>
      </c>
    </row>
    <row r="10248" spans="1:9" x14ac:dyDescent="0.2">
      <c r="A10248" s="1" t="str">
        <f>"MAPK3"</f>
        <v>MAPK3</v>
      </c>
      <c r="B10248" t="s">
        <v>14</v>
      </c>
      <c r="C10248" t="s">
        <v>31</v>
      </c>
      <c r="D10248" t="s">
        <v>11</v>
      </c>
      <c r="E10248" t="s">
        <v>12</v>
      </c>
      <c r="F10248">
        <v>30134524</v>
      </c>
      <c r="G10248">
        <v>30134589</v>
      </c>
      <c r="H10248">
        <v>30134266</v>
      </c>
      <c r="I10248">
        <v>30134311</v>
      </c>
    </row>
    <row r="10249" spans="1:9" x14ac:dyDescent="0.2">
      <c r="A10249" s="1" t="str">
        <f>"MAPK4"</f>
        <v>MAPK4</v>
      </c>
      <c r="B10249" t="s">
        <v>14</v>
      </c>
      <c r="C10249" t="s">
        <v>43</v>
      </c>
      <c r="D10249" t="s">
        <v>17</v>
      </c>
      <c r="E10249" t="s">
        <v>12</v>
      </c>
      <c r="F10249">
        <v>48086440</v>
      </c>
      <c r="G10249">
        <v>48086509</v>
      </c>
      <c r="H10249">
        <v>48086422</v>
      </c>
      <c r="I10249">
        <v>48086429</v>
      </c>
    </row>
    <row r="10250" spans="1:9" x14ac:dyDescent="0.2">
      <c r="A10250" s="1" t="str">
        <f>"MAPK6"</f>
        <v>MAPK6</v>
      </c>
      <c r="B10250" t="s">
        <v>14</v>
      </c>
      <c r="C10250" t="s">
        <v>25</v>
      </c>
      <c r="D10250" t="s">
        <v>17</v>
      </c>
      <c r="E10250" t="s">
        <v>12</v>
      </c>
      <c r="F10250">
        <v>52311403</v>
      </c>
      <c r="G10250">
        <v>52311461</v>
      </c>
      <c r="H10250">
        <v>52312113</v>
      </c>
      <c r="I10250">
        <v>52312157</v>
      </c>
    </row>
    <row r="10251" spans="1:9" x14ac:dyDescent="0.2">
      <c r="A10251" s="1" t="str">
        <f>"MAPK7"</f>
        <v>MAPK7</v>
      </c>
      <c r="B10251" t="s">
        <v>14</v>
      </c>
      <c r="C10251" t="s">
        <v>28</v>
      </c>
      <c r="D10251" t="s">
        <v>17</v>
      </c>
      <c r="E10251" t="s">
        <v>12</v>
      </c>
      <c r="F10251">
        <v>19281787</v>
      </c>
      <c r="G10251">
        <v>19281860</v>
      </c>
      <c r="H10251">
        <v>19281044</v>
      </c>
      <c r="I10251">
        <v>19281091</v>
      </c>
    </row>
    <row r="10252" spans="1:9" x14ac:dyDescent="0.2">
      <c r="A10252" s="1" t="str">
        <f>"MAPK8"</f>
        <v>MAPK8</v>
      </c>
      <c r="B10252" t="s">
        <v>14</v>
      </c>
      <c r="C10252" t="s">
        <v>15</v>
      </c>
      <c r="D10252" t="s">
        <v>17</v>
      </c>
      <c r="E10252" t="s">
        <v>12</v>
      </c>
      <c r="F10252">
        <v>49514703</v>
      </c>
      <c r="G10252">
        <v>49514736</v>
      </c>
      <c r="H10252">
        <v>49514741</v>
      </c>
      <c r="I10252">
        <v>49514757</v>
      </c>
    </row>
    <row r="10253" spans="1:9" x14ac:dyDescent="0.2">
      <c r="A10253" s="1" t="str">
        <f>"MAPK8IP1"</f>
        <v>MAPK8IP1</v>
      </c>
      <c r="B10253" t="s">
        <v>9</v>
      </c>
      <c r="C10253" t="s">
        <v>27</v>
      </c>
      <c r="D10253" t="s">
        <v>17</v>
      </c>
      <c r="E10253" t="s">
        <v>12</v>
      </c>
      <c r="F10253">
        <v>45921651</v>
      </c>
      <c r="G10253">
        <v>45921708</v>
      </c>
      <c r="H10253">
        <v>45921651</v>
      </c>
      <c r="I10253">
        <v>45921708</v>
      </c>
    </row>
    <row r="10254" spans="1:9" x14ac:dyDescent="0.2">
      <c r="A10254" s="1" t="str">
        <f>"MAPK8IP1"</f>
        <v>MAPK8IP1</v>
      </c>
      <c r="B10254" t="s">
        <v>13</v>
      </c>
      <c r="C10254" t="s">
        <v>27</v>
      </c>
      <c r="D10254" t="s">
        <v>17</v>
      </c>
      <c r="E10254" t="s">
        <v>12</v>
      </c>
      <c r="F10254">
        <v>45907177</v>
      </c>
      <c r="G10254">
        <v>45907233</v>
      </c>
      <c r="H10254">
        <v>45907177</v>
      </c>
      <c r="I10254">
        <v>45907233</v>
      </c>
    </row>
    <row r="10255" spans="1:9" x14ac:dyDescent="0.2">
      <c r="A10255" s="1" t="str">
        <f>"MAPK8IP2"</f>
        <v>MAPK8IP2</v>
      </c>
      <c r="B10255" t="s">
        <v>14</v>
      </c>
      <c r="C10255" t="s">
        <v>21</v>
      </c>
      <c r="D10255" t="s">
        <v>17</v>
      </c>
      <c r="E10255" t="s">
        <v>12</v>
      </c>
      <c r="F10255">
        <v>51039213</v>
      </c>
      <c r="G10255">
        <v>51039247</v>
      </c>
      <c r="H10255">
        <v>51039098</v>
      </c>
      <c r="I10255">
        <v>51039130</v>
      </c>
    </row>
    <row r="10256" spans="1:9" x14ac:dyDescent="0.2">
      <c r="A10256" s="1" t="str">
        <f>"MAPK8IP3"</f>
        <v>MAPK8IP3</v>
      </c>
      <c r="B10256" t="s">
        <v>14</v>
      </c>
      <c r="C10256" t="s">
        <v>31</v>
      </c>
      <c r="D10256" t="s">
        <v>17</v>
      </c>
      <c r="E10256" t="s">
        <v>12</v>
      </c>
      <c r="F10256">
        <v>1756162</v>
      </c>
      <c r="G10256">
        <v>1756241</v>
      </c>
      <c r="H10256">
        <v>1756243</v>
      </c>
      <c r="I10256">
        <v>1756254</v>
      </c>
    </row>
    <row r="10257" spans="1:9" x14ac:dyDescent="0.2">
      <c r="A10257" s="1" t="str">
        <f>"MAPK9"</f>
        <v>MAPK9</v>
      </c>
      <c r="B10257" t="s">
        <v>14</v>
      </c>
      <c r="C10257" t="s">
        <v>46</v>
      </c>
      <c r="D10257" t="s">
        <v>11</v>
      </c>
      <c r="E10257" t="s">
        <v>12</v>
      </c>
      <c r="F10257">
        <v>179719048</v>
      </c>
      <c r="G10257">
        <v>179719098</v>
      </c>
      <c r="H10257">
        <v>179719001</v>
      </c>
      <c r="I10257">
        <v>179719047</v>
      </c>
    </row>
    <row r="10258" spans="1:9" x14ac:dyDescent="0.2">
      <c r="A10258" s="1" t="str">
        <f>"MAPKAP1"</f>
        <v>MAPKAP1</v>
      </c>
      <c r="B10258" t="s">
        <v>9</v>
      </c>
      <c r="C10258" t="s">
        <v>24</v>
      </c>
      <c r="D10258" t="s">
        <v>11</v>
      </c>
      <c r="E10258" t="s">
        <v>12</v>
      </c>
      <c r="F10258">
        <v>128469459</v>
      </c>
      <c r="G10258">
        <v>128469510</v>
      </c>
      <c r="H10258">
        <v>128469459</v>
      </c>
      <c r="I10258">
        <v>128469510</v>
      </c>
    </row>
    <row r="10259" spans="1:9" x14ac:dyDescent="0.2">
      <c r="A10259" s="1" t="str">
        <f>"MAPKAP1"</f>
        <v>MAPKAP1</v>
      </c>
      <c r="B10259" t="s">
        <v>13</v>
      </c>
      <c r="C10259" t="s">
        <v>24</v>
      </c>
      <c r="D10259" t="s">
        <v>11</v>
      </c>
      <c r="E10259" t="s">
        <v>12</v>
      </c>
      <c r="F10259">
        <v>128412697</v>
      </c>
      <c r="G10259">
        <v>128412741</v>
      </c>
      <c r="H10259">
        <v>128412697</v>
      </c>
      <c r="I10259">
        <v>128412741</v>
      </c>
    </row>
    <row r="10260" spans="1:9" x14ac:dyDescent="0.2">
      <c r="A10260" s="1" t="str">
        <f>"MAPKAPK2"</f>
        <v>MAPKAPK2</v>
      </c>
      <c r="B10260" t="s">
        <v>14</v>
      </c>
      <c r="C10260" t="s">
        <v>19</v>
      </c>
      <c r="D10260" t="s">
        <v>17</v>
      </c>
      <c r="E10260" t="s">
        <v>12</v>
      </c>
      <c r="F10260">
        <v>206858232</v>
      </c>
      <c r="G10260">
        <v>206858289</v>
      </c>
      <c r="H10260">
        <v>206858299</v>
      </c>
      <c r="I10260">
        <v>206858314</v>
      </c>
    </row>
    <row r="10261" spans="1:9" x14ac:dyDescent="0.2">
      <c r="A10261" s="1" t="str">
        <f>"MAPKAPK3"</f>
        <v>MAPKAPK3</v>
      </c>
      <c r="B10261" t="s">
        <v>14</v>
      </c>
      <c r="C10261" t="s">
        <v>22</v>
      </c>
      <c r="D10261" t="s">
        <v>17</v>
      </c>
      <c r="E10261" t="s">
        <v>12</v>
      </c>
      <c r="F10261">
        <v>50654550</v>
      </c>
      <c r="G10261">
        <v>50654617</v>
      </c>
      <c r="H10261">
        <v>50654619</v>
      </c>
      <c r="I10261">
        <v>50654632</v>
      </c>
    </row>
    <row r="10262" spans="1:9" x14ac:dyDescent="0.2">
      <c r="A10262" s="1" t="str">
        <f>"MAPKAPK5"</f>
        <v>MAPKAPK5</v>
      </c>
      <c r="B10262" t="s">
        <v>14</v>
      </c>
      <c r="C10262" t="s">
        <v>16</v>
      </c>
      <c r="D10262" t="s">
        <v>17</v>
      </c>
      <c r="E10262" t="s">
        <v>12</v>
      </c>
      <c r="F10262">
        <v>112280009</v>
      </c>
      <c r="G10262">
        <v>112280052</v>
      </c>
      <c r="H10262">
        <v>112279818</v>
      </c>
      <c r="I10262">
        <v>112279871</v>
      </c>
    </row>
    <row r="10263" spans="1:9" x14ac:dyDescent="0.2">
      <c r="A10263" s="1" t="str">
        <f>"MAPKBP1"</f>
        <v>MAPKBP1</v>
      </c>
      <c r="B10263" t="s">
        <v>14</v>
      </c>
      <c r="C10263" t="s">
        <v>25</v>
      </c>
      <c r="D10263" t="s">
        <v>17</v>
      </c>
      <c r="E10263" t="s">
        <v>12</v>
      </c>
      <c r="F10263">
        <v>42066659</v>
      </c>
      <c r="G10263">
        <v>42066718</v>
      </c>
      <c r="H10263">
        <v>42066740</v>
      </c>
      <c r="I10263">
        <v>42066751</v>
      </c>
    </row>
    <row r="10264" spans="1:9" x14ac:dyDescent="0.2">
      <c r="A10264" s="1" t="str">
        <f>"MAPRE1"</f>
        <v>MAPRE1</v>
      </c>
      <c r="B10264" t="s">
        <v>14</v>
      </c>
      <c r="C10264" t="s">
        <v>29</v>
      </c>
      <c r="D10264" t="s">
        <v>17</v>
      </c>
      <c r="E10264" t="s">
        <v>12</v>
      </c>
      <c r="F10264">
        <v>31407751</v>
      </c>
      <c r="G10264">
        <v>31407795</v>
      </c>
      <c r="H10264">
        <v>31407692</v>
      </c>
      <c r="I10264">
        <v>31407709</v>
      </c>
    </row>
    <row r="10265" spans="1:9" x14ac:dyDescent="0.2">
      <c r="A10265" s="1" t="str">
        <f>"MAPRE2"</f>
        <v>MAPRE2</v>
      </c>
      <c r="B10265" t="s">
        <v>9</v>
      </c>
      <c r="C10265" t="s">
        <v>43</v>
      </c>
      <c r="D10265" t="s">
        <v>17</v>
      </c>
      <c r="E10265" t="s">
        <v>12</v>
      </c>
      <c r="F10265">
        <v>32621351</v>
      </c>
      <c r="G10265">
        <v>32621421</v>
      </c>
      <c r="H10265">
        <v>32621351</v>
      </c>
      <c r="I10265">
        <v>32621421</v>
      </c>
    </row>
    <row r="10266" spans="1:9" x14ac:dyDescent="0.2">
      <c r="A10266" s="1" t="str">
        <f>"MAPRE2"</f>
        <v>MAPRE2</v>
      </c>
      <c r="B10266" t="s">
        <v>13</v>
      </c>
      <c r="C10266" t="s">
        <v>43</v>
      </c>
      <c r="D10266" t="s">
        <v>17</v>
      </c>
      <c r="E10266" t="s">
        <v>12</v>
      </c>
      <c r="F10266">
        <v>32556983</v>
      </c>
      <c r="G10266">
        <v>32557026</v>
      </c>
      <c r="H10266">
        <v>32556983</v>
      </c>
      <c r="I10266">
        <v>32557026</v>
      </c>
    </row>
    <row r="10267" spans="1:9" x14ac:dyDescent="0.2">
      <c r="A10267" s="1" t="str">
        <f>"MAPRE3"</f>
        <v>MAPRE3</v>
      </c>
      <c r="B10267" t="s">
        <v>14</v>
      </c>
      <c r="C10267" t="s">
        <v>26</v>
      </c>
      <c r="D10267" t="s">
        <v>17</v>
      </c>
      <c r="E10267" t="s">
        <v>12</v>
      </c>
      <c r="F10267">
        <v>27193497</v>
      </c>
      <c r="G10267">
        <v>27193548</v>
      </c>
      <c r="H10267">
        <v>27193497</v>
      </c>
      <c r="I10267">
        <v>27193548</v>
      </c>
    </row>
    <row r="10268" spans="1:9" x14ac:dyDescent="0.2">
      <c r="A10268" s="1" t="str">
        <f>"MAPT"</f>
        <v>MAPT</v>
      </c>
      <c r="B10268" t="s">
        <v>14</v>
      </c>
      <c r="C10268" t="s">
        <v>28</v>
      </c>
      <c r="D10268" t="s">
        <v>17</v>
      </c>
      <c r="E10268" t="s">
        <v>12</v>
      </c>
      <c r="F10268">
        <v>43971904</v>
      </c>
      <c r="G10268">
        <v>43971945</v>
      </c>
      <c r="H10268">
        <v>43971881</v>
      </c>
      <c r="I10268">
        <v>43971903</v>
      </c>
    </row>
    <row r="10269" spans="1:9" x14ac:dyDescent="0.2">
      <c r="A10269" s="1" t="str">
        <f>"MARC1"</f>
        <v>MARC1</v>
      </c>
      <c r="B10269" t="s">
        <v>14</v>
      </c>
      <c r="C10269" t="s">
        <v>19</v>
      </c>
      <c r="D10269" t="s">
        <v>17</v>
      </c>
      <c r="E10269" t="s">
        <v>12</v>
      </c>
      <c r="F10269">
        <v>220960195</v>
      </c>
      <c r="G10269">
        <v>220960288</v>
      </c>
      <c r="H10269">
        <v>220960033</v>
      </c>
      <c r="I10269">
        <v>220960059</v>
      </c>
    </row>
    <row r="10270" spans="1:9" x14ac:dyDescent="0.2">
      <c r="A10270" s="1" t="str">
        <f>"MARC2"</f>
        <v>MARC2</v>
      </c>
      <c r="B10270" t="s">
        <v>14</v>
      </c>
      <c r="C10270" t="s">
        <v>19</v>
      </c>
      <c r="D10270" t="s">
        <v>17</v>
      </c>
      <c r="E10270" t="s">
        <v>12</v>
      </c>
      <c r="F10270">
        <v>220921640</v>
      </c>
      <c r="G10270">
        <v>220921674</v>
      </c>
      <c r="H10270">
        <v>220921582</v>
      </c>
      <c r="I10270">
        <v>220921611</v>
      </c>
    </row>
    <row r="10271" spans="1:9" x14ac:dyDescent="0.2">
      <c r="A10271" s="1" t="str">
        <f>"MARCH1"</f>
        <v>MARCH1</v>
      </c>
      <c r="B10271" t="s">
        <v>788</v>
      </c>
      <c r="C10271" t="s">
        <v>23</v>
      </c>
      <c r="D10271" t="s">
        <v>11</v>
      </c>
      <c r="E10271" t="s">
        <v>20</v>
      </c>
      <c r="F10271">
        <v>164775329</v>
      </c>
      <c r="G10271">
        <v>164775329</v>
      </c>
      <c r="H10271">
        <v>164775329</v>
      </c>
      <c r="I10271">
        <v>164775329</v>
      </c>
    </row>
    <row r="10272" spans="1:9" x14ac:dyDescent="0.2">
      <c r="A10272" s="1" t="str">
        <f>"MARCH1"</f>
        <v>MARCH1</v>
      </c>
      <c r="B10272" t="s">
        <v>789</v>
      </c>
      <c r="C10272" t="s">
        <v>23</v>
      </c>
      <c r="D10272" t="s">
        <v>11</v>
      </c>
      <c r="E10272" t="s">
        <v>35</v>
      </c>
      <c r="F10272">
        <v>165305326</v>
      </c>
      <c r="G10272">
        <v>165305336</v>
      </c>
      <c r="H10272">
        <v>165304969</v>
      </c>
      <c r="I10272">
        <v>165305011</v>
      </c>
    </row>
    <row r="10273" spans="1:9" x14ac:dyDescent="0.2">
      <c r="A10273" s="1" t="str">
        <f>"MARCH10"</f>
        <v>MARCH10</v>
      </c>
      <c r="B10273" t="s">
        <v>14</v>
      </c>
      <c r="C10273" t="s">
        <v>28</v>
      </c>
      <c r="D10273" t="s">
        <v>11</v>
      </c>
      <c r="E10273" t="s">
        <v>12</v>
      </c>
      <c r="F10273">
        <v>60885659</v>
      </c>
      <c r="G10273">
        <v>60885693</v>
      </c>
      <c r="H10273">
        <v>60885645</v>
      </c>
      <c r="I10273">
        <v>60885656</v>
      </c>
    </row>
    <row r="10274" spans="1:9" x14ac:dyDescent="0.2">
      <c r="A10274" s="1" t="str">
        <f>"MARCH11"</f>
        <v>MARCH11</v>
      </c>
      <c r="B10274" t="s">
        <v>14</v>
      </c>
      <c r="C10274" t="s">
        <v>46</v>
      </c>
      <c r="D10274" t="s">
        <v>11</v>
      </c>
      <c r="E10274" t="s">
        <v>12</v>
      </c>
      <c r="F10274">
        <v>16179893</v>
      </c>
      <c r="G10274">
        <v>16179907</v>
      </c>
      <c r="H10274">
        <v>16179727</v>
      </c>
      <c r="I10274">
        <v>16179759</v>
      </c>
    </row>
    <row r="10275" spans="1:9" x14ac:dyDescent="0.2">
      <c r="A10275" s="1" t="str">
        <f>"MARCH2"</f>
        <v>MARCH2</v>
      </c>
      <c r="B10275" t="s">
        <v>9</v>
      </c>
      <c r="C10275" t="s">
        <v>10</v>
      </c>
      <c r="D10275" t="s">
        <v>17</v>
      </c>
      <c r="E10275" t="s">
        <v>12</v>
      </c>
      <c r="F10275">
        <v>8478159</v>
      </c>
      <c r="G10275">
        <v>8478220</v>
      </c>
      <c r="H10275">
        <v>8478159</v>
      </c>
      <c r="I10275">
        <v>8478220</v>
      </c>
    </row>
    <row r="10276" spans="1:9" x14ac:dyDescent="0.2">
      <c r="A10276" s="1" t="str">
        <f>"MARCH2"</f>
        <v>MARCH2</v>
      </c>
      <c r="B10276" t="s">
        <v>13</v>
      </c>
      <c r="C10276" t="s">
        <v>10</v>
      </c>
      <c r="D10276" t="s">
        <v>17</v>
      </c>
      <c r="E10276" t="s">
        <v>12</v>
      </c>
      <c r="F10276">
        <v>8483272</v>
      </c>
      <c r="G10276">
        <v>8483300</v>
      </c>
      <c r="H10276">
        <v>8483272</v>
      </c>
      <c r="I10276">
        <v>8483300</v>
      </c>
    </row>
    <row r="10277" spans="1:9" x14ac:dyDescent="0.2">
      <c r="A10277" s="1" t="str">
        <f>"MARCH3"</f>
        <v>MARCH3</v>
      </c>
      <c r="B10277" t="s">
        <v>14</v>
      </c>
      <c r="C10277" t="s">
        <v>46</v>
      </c>
      <c r="D10277" t="s">
        <v>11</v>
      </c>
      <c r="E10277" t="s">
        <v>12</v>
      </c>
      <c r="F10277">
        <v>126366237</v>
      </c>
      <c r="G10277">
        <v>126366273</v>
      </c>
      <c r="H10277">
        <v>126366276</v>
      </c>
      <c r="I10277">
        <v>126366289</v>
      </c>
    </row>
    <row r="10278" spans="1:9" x14ac:dyDescent="0.2">
      <c r="A10278" s="1" t="str">
        <f>"MARCH4"</f>
        <v>MARCH4</v>
      </c>
      <c r="B10278" t="s">
        <v>14</v>
      </c>
      <c r="C10278" t="s">
        <v>26</v>
      </c>
      <c r="D10278" t="s">
        <v>11</v>
      </c>
      <c r="E10278" t="s">
        <v>12</v>
      </c>
      <c r="F10278">
        <v>217236858</v>
      </c>
      <c r="G10278">
        <v>217236916</v>
      </c>
      <c r="H10278">
        <v>217236858</v>
      </c>
      <c r="I10278">
        <v>217236916</v>
      </c>
    </row>
    <row r="10279" spans="1:9" x14ac:dyDescent="0.2">
      <c r="A10279" s="1" t="str">
        <f>"MARCH5"</f>
        <v>MARCH5</v>
      </c>
      <c r="B10279" t="s">
        <v>14</v>
      </c>
      <c r="C10279" t="s">
        <v>15</v>
      </c>
      <c r="D10279" t="s">
        <v>17</v>
      </c>
      <c r="E10279" t="s">
        <v>12</v>
      </c>
      <c r="F10279">
        <v>94050913</v>
      </c>
      <c r="G10279">
        <v>94050965</v>
      </c>
      <c r="H10279">
        <v>94051055</v>
      </c>
      <c r="I10279">
        <v>94051085</v>
      </c>
    </row>
    <row r="10280" spans="1:9" x14ac:dyDescent="0.2">
      <c r="A10280" s="1" t="str">
        <f>"MARCH6"</f>
        <v>MARCH6</v>
      </c>
      <c r="B10280" t="s">
        <v>14</v>
      </c>
      <c r="C10280" t="s">
        <v>46</v>
      </c>
      <c r="D10280" t="s">
        <v>17</v>
      </c>
      <c r="E10280" t="s">
        <v>12</v>
      </c>
      <c r="F10280">
        <v>10353780</v>
      </c>
      <c r="G10280">
        <v>10353890</v>
      </c>
      <c r="H10280">
        <v>10353997</v>
      </c>
      <c r="I10280">
        <v>10354010</v>
      </c>
    </row>
    <row r="10281" spans="1:9" x14ac:dyDescent="0.2">
      <c r="A10281" s="1" t="str">
        <f>"MARCH7"</f>
        <v>MARCH7</v>
      </c>
      <c r="B10281" t="s">
        <v>14</v>
      </c>
      <c r="C10281" t="s">
        <v>26</v>
      </c>
      <c r="D10281" t="s">
        <v>17</v>
      </c>
      <c r="E10281" t="s">
        <v>12</v>
      </c>
      <c r="F10281">
        <v>160568978</v>
      </c>
      <c r="G10281">
        <v>160569064</v>
      </c>
      <c r="H10281">
        <v>160569068</v>
      </c>
      <c r="I10281">
        <v>160569088</v>
      </c>
    </row>
    <row r="10282" spans="1:9" x14ac:dyDescent="0.2">
      <c r="A10282" s="1" t="str">
        <f>"MARCH8"</f>
        <v>MARCH8</v>
      </c>
      <c r="B10282" t="s">
        <v>14</v>
      </c>
      <c r="C10282" t="s">
        <v>15</v>
      </c>
      <c r="D10282" t="s">
        <v>11</v>
      </c>
      <c r="E10282" t="s">
        <v>12</v>
      </c>
      <c r="F10282">
        <v>46090208</v>
      </c>
      <c r="G10282">
        <v>46090333</v>
      </c>
      <c r="H10282">
        <v>46090334</v>
      </c>
      <c r="I10282">
        <v>46090366</v>
      </c>
    </row>
    <row r="10283" spans="1:9" x14ac:dyDescent="0.2">
      <c r="A10283" s="1" t="str">
        <f>"MARCH9"</f>
        <v>MARCH9</v>
      </c>
      <c r="B10283" t="s">
        <v>14</v>
      </c>
      <c r="C10283" t="s">
        <v>16</v>
      </c>
      <c r="D10283" t="s">
        <v>17</v>
      </c>
      <c r="E10283" t="s">
        <v>12</v>
      </c>
      <c r="F10283">
        <v>58148842</v>
      </c>
      <c r="G10283">
        <v>58148929</v>
      </c>
      <c r="H10283">
        <v>58148693</v>
      </c>
      <c r="I10283">
        <v>58148735</v>
      </c>
    </row>
    <row r="10284" spans="1:9" x14ac:dyDescent="0.2">
      <c r="A10284" s="1" t="str">
        <f>"MARCKS"</f>
        <v>MARCKS</v>
      </c>
      <c r="B10284" t="s">
        <v>14</v>
      </c>
      <c r="C10284" t="s">
        <v>32</v>
      </c>
      <c r="D10284" t="s">
        <v>17</v>
      </c>
      <c r="E10284" t="s">
        <v>12</v>
      </c>
      <c r="F10284">
        <v>114178512</v>
      </c>
      <c r="G10284">
        <v>114178586</v>
      </c>
      <c r="H10284">
        <v>114178630</v>
      </c>
      <c r="I10284">
        <v>114178643</v>
      </c>
    </row>
    <row r="10285" spans="1:9" x14ac:dyDescent="0.2">
      <c r="A10285" s="1" t="str">
        <f>"MARCKSL1"</f>
        <v>MARCKSL1</v>
      </c>
      <c r="B10285" t="s">
        <v>14</v>
      </c>
      <c r="C10285" t="s">
        <v>19</v>
      </c>
      <c r="D10285" t="s">
        <v>11</v>
      </c>
      <c r="E10285" t="s">
        <v>12</v>
      </c>
      <c r="F10285">
        <v>32801825</v>
      </c>
      <c r="G10285">
        <v>32801842</v>
      </c>
      <c r="H10285">
        <v>32802010</v>
      </c>
      <c r="I10285">
        <v>32802028</v>
      </c>
    </row>
    <row r="10286" spans="1:9" x14ac:dyDescent="0.2">
      <c r="A10286" s="1" t="str">
        <f>"MARCO"</f>
        <v>MARCO</v>
      </c>
      <c r="B10286" t="s">
        <v>14</v>
      </c>
      <c r="C10286" t="s">
        <v>26</v>
      </c>
      <c r="D10286" t="s">
        <v>17</v>
      </c>
      <c r="E10286" t="s">
        <v>12</v>
      </c>
      <c r="F10286">
        <v>119699884</v>
      </c>
      <c r="G10286">
        <v>119699905</v>
      </c>
      <c r="H10286">
        <v>119699764</v>
      </c>
      <c r="I10286">
        <v>119699777</v>
      </c>
    </row>
    <row r="10287" spans="1:9" x14ac:dyDescent="0.2">
      <c r="A10287" s="1" t="str">
        <f>"MARK1"</f>
        <v>MARK1</v>
      </c>
      <c r="B10287" t="s">
        <v>14</v>
      </c>
      <c r="C10287" t="s">
        <v>19</v>
      </c>
      <c r="D10287" t="s">
        <v>17</v>
      </c>
      <c r="E10287" t="s">
        <v>12</v>
      </c>
      <c r="F10287">
        <v>220701456</v>
      </c>
      <c r="G10287">
        <v>220701574</v>
      </c>
      <c r="H10287">
        <v>220701740</v>
      </c>
      <c r="I10287">
        <v>220701789</v>
      </c>
    </row>
    <row r="10288" spans="1:9" x14ac:dyDescent="0.2">
      <c r="A10288" s="1" t="str">
        <f>"MARK2"</f>
        <v>MARK2</v>
      </c>
      <c r="B10288" t="s">
        <v>9</v>
      </c>
      <c r="C10288" t="s">
        <v>27</v>
      </c>
      <c r="D10288" t="s">
        <v>17</v>
      </c>
      <c r="E10288" t="s">
        <v>12</v>
      </c>
      <c r="F10288">
        <v>63606558</v>
      </c>
      <c r="G10288">
        <v>63606623</v>
      </c>
      <c r="H10288">
        <v>63606558</v>
      </c>
      <c r="I10288">
        <v>63606623</v>
      </c>
    </row>
    <row r="10289" spans="1:9" x14ac:dyDescent="0.2">
      <c r="A10289" s="1" t="str">
        <f>"MARK2"</f>
        <v>MARK2</v>
      </c>
      <c r="B10289" t="s">
        <v>13</v>
      </c>
      <c r="C10289" t="s">
        <v>27</v>
      </c>
      <c r="D10289" t="s">
        <v>17</v>
      </c>
      <c r="E10289" t="s">
        <v>12</v>
      </c>
      <c r="F10289">
        <v>63655987</v>
      </c>
      <c r="G10289">
        <v>63656083</v>
      </c>
      <c r="H10289">
        <v>63655987</v>
      </c>
      <c r="I10289">
        <v>63656083</v>
      </c>
    </row>
    <row r="10290" spans="1:9" x14ac:dyDescent="0.2">
      <c r="A10290" s="1" t="str">
        <f>"MARK3"</f>
        <v>MARK3</v>
      </c>
      <c r="B10290" t="s">
        <v>9</v>
      </c>
      <c r="C10290" t="s">
        <v>41</v>
      </c>
      <c r="D10290" t="s">
        <v>17</v>
      </c>
      <c r="E10290" t="s">
        <v>12</v>
      </c>
      <c r="F10290">
        <v>103851712</v>
      </c>
      <c r="G10290">
        <v>103851773</v>
      </c>
      <c r="H10290">
        <v>103851712</v>
      </c>
      <c r="I10290">
        <v>103851773</v>
      </c>
    </row>
    <row r="10291" spans="1:9" x14ac:dyDescent="0.2">
      <c r="A10291" s="1" t="str">
        <f>"MARK3"</f>
        <v>MARK3</v>
      </c>
      <c r="B10291" t="s">
        <v>13</v>
      </c>
      <c r="C10291" t="s">
        <v>41</v>
      </c>
      <c r="D10291" t="s">
        <v>17</v>
      </c>
      <c r="E10291" t="s">
        <v>12</v>
      </c>
      <c r="F10291">
        <v>103871464</v>
      </c>
      <c r="G10291">
        <v>103871486</v>
      </c>
      <c r="H10291">
        <v>103871464</v>
      </c>
      <c r="I10291">
        <v>103871486</v>
      </c>
    </row>
    <row r="10292" spans="1:9" x14ac:dyDescent="0.2">
      <c r="A10292" s="1" t="str">
        <f>"MARK4"</f>
        <v>MARK4</v>
      </c>
      <c r="B10292" t="s">
        <v>14</v>
      </c>
      <c r="C10292" t="s">
        <v>10</v>
      </c>
      <c r="D10292" t="s">
        <v>17</v>
      </c>
      <c r="E10292" t="s">
        <v>12</v>
      </c>
      <c r="F10292">
        <v>45754505</v>
      </c>
      <c r="G10292">
        <v>45754577</v>
      </c>
      <c r="H10292">
        <v>45754681</v>
      </c>
      <c r="I10292">
        <v>45754696</v>
      </c>
    </row>
    <row r="10293" spans="1:9" x14ac:dyDescent="0.2">
      <c r="A10293" s="1" t="str">
        <f>"MARS"</f>
        <v>MARS</v>
      </c>
      <c r="B10293" t="s">
        <v>14</v>
      </c>
      <c r="C10293" t="s">
        <v>16</v>
      </c>
      <c r="D10293" t="s">
        <v>17</v>
      </c>
      <c r="E10293" t="s">
        <v>12</v>
      </c>
      <c r="F10293">
        <v>57881842</v>
      </c>
      <c r="G10293">
        <v>57881871</v>
      </c>
      <c r="H10293">
        <v>57881876</v>
      </c>
      <c r="I10293">
        <v>57881891</v>
      </c>
    </row>
    <row r="10294" spans="1:9" x14ac:dyDescent="0.2">
      <c r="A10294" s="1" t="str">
        <f>"MARS2"</f>
        <v>MARS2</v>
      </c>
      <c r="B10294" t="s">
        <v>14</v>
      </c>
      <c r="C10294" t="s">
        <v>26</v>
      </c>
      <c r="D10294" t="s">
        <v>17</v>
      </c>
      <c r="E10294" t="s">
        <v>12</v>
      </c>
      <c r="F10294">
        <v>198570081</v>
      </c>
      <c r="G10294">
        <v>198570142</v>
      </c>
      <c r="H10294">
        <v>198570143</v>
      </c>
      <c r="I10294">
        <v>198570153</v>
      </c>
    </row>
    <row r="10295" spans="1:9" x14ac:dyDescent="0.2">
      <c r="A10295" s="1" t="str">
        <f>"MARVELD1"</f>
        <v>MARVELD1</v>
      </c>
      <c r="B10295" t="s">
        <v>14</v>
      </c>
      <c r="C10295" t="s">
        <v>15</v>
      </c>
      <c r="D10295" t="s">
        <v>17</v>
      </c>
      <c r="E10295" t="s">
        <v>12</v>
      </c>
      <c r="F10295">
        <v>99473455</v>
      </c>
      <c r="G10295">
        <v>99473561</v>
      </c>
      <c r="H10295">
        <v>99473409</v>
      </c>
      <c r="I10295">
        <v>99473439</v>
      </c>
    </row>
    <row r="10296" spans="1:9" x14ac:dyDescent="0.2">
      <c r="A10296" s="1" t="str">
        <f>"MARVELD2"</f>
        <v>MARVELD2</v>
      </c>
      <c r="B10296" t="s">
        <v>14</v>
      </c>
      <c r="C10296" t="s">
        <v>46</v>
      </c>
      <c r="D10296" t="s">
        <v>17</v>
      </c>
      <c r="E10296" t="s">
        <v>12</v>
      </c>
      <c r="F10296">
        <v>68710906</v>
      </c>
      <c r="G10296">
        <v>68710983</v>
      </c>
      <c r="H10296">
        <v>68711023</v>
      </c>
      <c r="I10296">
        <v>68711075</v>
      </c>
    </row>
    <row r="10297" spans="1:9" x14ac:dyDescent="0.2">
      <c r="A10297" s="1" t="str">
        <f>"MARVELD3"</f>
        <v>MARVELD3</v>
      </c>
      <c r="B10297" t="s">
        <v>14</v>
      </c>
      <c r="C10297" t="s">
        <v>31</v>
      </c>
      <c r="D10297" t="s">
        <v>17</v>
      </c>
      <c r="E10297" t="s">
        <v>12</v>
      </c>
      <c r="F10297">
        <v>71660079</v>
      </c>
      <c r="G10297">
        <v>71660102</v>
      </c>
      <c r="H10297">
        <v>71660052</v>
      </c>
      <c r="I10297">
        <v>71660071</v>
      </c>
    </row>
    <row r="10298" spans="1:9" x14ac:dyDescent="0.2">
      <c r="A10298" s="1" t="str">
        <f>"MAS1"</f>
        <v>MAS1</v>
      </c>
      <c r="B10298" t="s">
        <v>790</v>
      </c>
      <c r="C10298" t="s">
        <v>32</v>
      </c>
      <c r="D10298" t="s">
        <v>17</v>
      </c>
      <c r="E10298" t="s">
        <v>20</v>
      </c>
      <c r="F10298">
        <v>160327973</v>
      </c>
      <c r="G10298">
        <v>160327973</v>
      </c>
      <c r="H10298">
        <v>160327973</v>
      </c>
      <c r="I10298">
        <v>160327973</v>
      </c>
    </row>
    <row r="10299" spans="1:9" x14ac:dyDescent="0.2">
      <c r="A10299" s="1" t="str">
        <f>"MAS1L"</f>
        <v>MAS1L</v>
      </c>
      <c r="B10299" t="s">
        <v>791</v>
      </c>
      <c r="C10299" t="s">
        <v>32</v>
      </c>
      <c r="D10299" t="s">
        <v>11</v>
      </c>
      <c r="E10299" t="s">
        <v>20</v>
      </c>
      <c r="F10299">
        <v>29455737</v>
      </c>
      <c r="G10299">
        <v>29455737</v>
      </c>
      <c r="H10299">
        <v>29455737</v>
      </c>
      <c r="I10299">
        <v>29455737</v>
      </c>
    </row>
    <row r="10300" spans="1:9" x14ac:dyDescent="0.2">
      <c r="A10300" s="1" t="str">
        <f>"MASP1"</f>
        <v>MASP1</v>
      </c>
      <c r="B10300" t="s">
        <v>14</v>
      </c>
      <c r="C10300" t="s">
        <v>22</v>
      </c>
      <c r="D10300" t="s">
        <v>11</v>
      </c>
      <c r="E10300" t="s">
        <v>12</v>
      </c>
      <c r="F10300">
        <v>187009468</v>
      </c>
      <c r="G10300">
        <v>187009531</v>
      </c>
      <c r="H10300">
        <v>187009754</v>
      </c>
      <c r="I10300">
        <v>187009778</v>
      </c>
    </row>
    <row r="10301" spans="1:9" x14ac:dyDescent="0.2">
      <c r="A10301" s="1" t="str">
        <f>"MASP2"</f>
        <v>MASP2</v>
      </c>
      <c r="B10301" t="s">
        <v>14</v>
      </c>
      <c r="C10301" t="s">
        <v>19</v>
      </c>
      <c r="D10301" t="s">
        <v>11</v>
      </c>
      <c r="E10301" t="s">
        <v>12</v>
      </c>
      <c r="F10301">
        <v>11107289</v>
      </c>
      <c r="G10301">
        <v>11107304</v>
      </c>
      <c r="H10301">
        <v>11107289</v>
      </c>
      <c r="I10301">
        <v>11107304</v>
      </c>
    </row>
    <row r="10302" spans="1:9" x14ac:dyDescent="0.2">
      <c r="A10302" s="1" t="str">
        <f>"MAST1"</f>
        <v>MAST1</v>
      </c>
      <c r="B10302" t="s">
        <v>9</v>
      </c>
      <c r="C10302" t="s">
        <v>10</v>
      </c>
      <c r="D10302" t="s">
        <v>17</v>
      </c>
      <c r="E10302" t="s">
        <v>12</v>
      </c>
      <c r="F10302">
        <v>12949251</v>
      </c>
      <c r="G10302">
        <v>12949370</v>
      </c>
      <c r="H10302">
        <v>12949251</v>
      </c>
      <c r="I10302">
        <v>12949370</v>
      </c>
    </row>
    <row r="10303" spans="1:9" x14ac:dyDescent="0.2">
      <c r="A10303" s="1" t="str">
        <f>"MAST1"</f>
        <v>MAST1</v>
      </c>
      <c r="B10303" t="s">
        <v>13</v>
      </c>
      <c r="C10303" t="s">
        <v>10</v>
      </c>
      <c r="D10303" t="s">
        <v>17</v>
      </c>
      <c r="E10303" t="s">
        <v>12</v>
      </c>
      <c r="F10303">
        <v>12944722</v>
      </c>
      <c r="G10303">
        <v>12944775</v>
      </c>
      <c r="H10303">
        <v>12944722</v>
      </c>
      <c r="I10303">
        <v>12944775</v>
      </c>
    </row>
    <row r="10304" spans="1:9" x14ac:dyDescent="0.2">
      <c r="A10304" s="1" t="str">
        <f>"MAST2"</f>
        <v>MAST2</v>
      </c>
      <c r="B10304" t="s">
        <v>14</v>
      </c>
      <c r="C10304" t="s">
        <v>19</v>
      </c>
      <c r="D10304" t="s">
        <v>17</v>
      </c>
      <c r="E10304" t="s">
        <v>12</v>
      </c>
      <c r="F10304">
        <v>46269248</v>
      </c>
      <c r="G10304">
        <v>46269292</v>
      </c>
      <c r="H10304">
        <v>46269307</v>
      </c>
      <c r="I10304">
        <v>46269328</v>
      </c>
    </row>
    <row r="10305" spans="1:9" x14ac:dyDescent="0.2">
      <c r="A10305" s="1" t="str">
        <f>"MAST3"</f>
        <v>MAST3</v>
      </c>
      <c r="B10305" t="s">
        <v>14</v>
      </c>
      <c r="C10305" t="s">
        <v>10</v>
      </c>
      <c r="D10305" t="s">
        <v>17</v>
      </c>
      <c r="E10305" t="s">
        <v>12</v>
      </c>
      <c r="F10305">
        <v>18208574</v>
      </c>
      <c r="G10305">
        <v>18208601</v>
      </c>
      <c r="H10305">
        <v>18208603</v>
      </c>
      <c r="I10305">
        <v>18208614</v>
      </c>
    </row>
    <row r="10306" spans="1:9" x14ac:dyDescent="0.2">
      <c r="A10306" s="1" t="str">
        <f>"MAST4"</f>
        <v>MAST4</v>
      </c>
      <c r="B10306" t="s">
        <v>792</v>
      </c>
      <c r="C10306" t="s">
        <v>46</v>
      </c>
      <c r="D10306" t="s">
        <v>17</v>
      </c>
      <c r="E10306" t="s">
        <v>35</v>
      </c>
      <c r="F10306">
        <v>65892153</v>
      </c>
      <c r="G10306">
        <v>65892159</v>
      </c>
      <c r="H10306">
        <v>65892174</v>
      </c>
      <c r="I10306">
        <v>65892229</v>
      </c>
    </row>
    <row r="10307" spans="1:9" x14ac:dyDescent="0.2">
      <c r="A10307" s="1" t="str">
        <f>"MASTL"</f>
        <v>MASTL</v>
      </c>
      <c r="B10307" t="s">
        <v>14</v>
      </c>
      <c r="C10307" t="s">
        <v>15</v>
      </c>
      <c r="D10307" t="s">
        <v>17</v>
      </c>
      <c r="E10307" t="s">
        <v>12</v>
      </c>
      <c r="F10307">
        <v>27444268</v>
      </c>
      <c r="G10307">
        <v>27444301</v>
      </c>
      <c r="H10307">
        <v>27444268</v>
      </c>
      <c r="I10307">
        <v>27444301</v>
      </c>
    </row>
    <row r="10308" spans="1:9" x14ac:dyDescent="0.2">
      <c r="A10308" s="1" t="str">
        <f>"MAT1A"</f>
        <v>MAT1A</v>
      </c>
      <c r="B10308" t="s">
        <v>14</v>
      </c>
      <c r="C10308" t="s">
        <v>15</v>
      </c>
      <c r="D10308" t="s">
        <v>11</v>
      </c>
      <c r="E10308" t="s">
        <v>12</v>
      </c>
      <c r="F10308">
        <v>82049403</v>
      </c>
      <c r="G10308">
        <v>82049420</v>
      </c>
      <c r="H10308">
        <v>82049339</v>
      </c>
      <c r="I10308">
        <v>82049366</v>
      </c>
    </row>
    <row r="10309" spans="1:9" x14ac:dyDescent="0.2">
      <c r="A10309" s="1" t="str">
        <f>"MAT2A"</f>
        <v>MAT2A</v>
      </c>
      <c r="B10309" t="s">
        <v>14</v>
      </c>
      <c r="C10309" t="s">
        <v>26</v>
      </c>
      <c r="D10309" t="s">
        <v>17</v>
      </c>
      <c r="E10309" t="s">
        <v>12</v>
      </c>
      <c r="F10309">
        <v>85766280</v>
      </c>
      <c r="G10309">
        <v>85766299</v>
      </c>
      <c r="H10309">
        <v>85766280</v>
      </c>
      <c r="I10309">
        <v>85766299</v>
      </c>
    </row>
    <row r="10310" spans="1:9" x14ac:dyDescent="0.2">
      <c r="A10310" s="1" t="str">
        <f>"MAT2B"</f>
        <v>MAT2B</v>
      </c>
      <c r="B10310" t="s">
        <v>9</v>
      </c>
      <c r="C10310" t="s">
        <v>46</v>
      </c>
      <c r="D10310" t="s">
        <v>17</v>
      </c>
      <c r="E10310" t="s">
        <v>12</v>
      </c>
      <c r="F10310">
        <v>162932571</v>
      </c>
      <c r="G10310">
        <v>162932661</v>
      </c>
      <c r="H10310">
        <v>162932571</v>
      </c>
      <c r="I10310">
        <v>162932661</v>
      </c>
    </row>
    <row r="10311" spans="1:9" x14ac:dyDescent="0.2">
      <c r="A10311" s="1" t="str">
        <f>"MAT2B"</f>
        <v>MAT2B</v>
      </c>
      <c r="B10311" t="s">
        <v>13</v>
      </c>
      <c r="C10311" t="s">
        <v>46</v>
      </c>
      <c r="D10311" t="s">
        <v>17</v>
      </c>
      <c r="E10311" t="s">
        <v>12</v>
      </c>
      <c r="F10311">
        <v>162930308</v>
      </c>
      <c r="G10311">
        <v>162930345</v>
      </c>
      <c r="H10311">
        <v>162930308</v>
      </c>
      <c r="I10311">
        <v>162930345</v>
      </c>
    </row>
    <row r="10312" spans="1:9" x14ac:dyDescent="0.2">
      <c r="A10312" s="1" t="str">
        <f>"MATK"</f>
        <v>MATK</v>
      </c>
      <c r="B10312" t="s">
        <v>14</v>
      </c>
      <c r="C10312" t="s">
        <v>10</v>
      </c>
      <c r="D10312" t="s">
        <v>11</v>
      </c>
      <c r="E10312" t="s">
        <v>12</v>
      </c>
      <c r="F10312">
        <v>3786253</v>
      </c>
      <c r="G10312">
        <v>3786322</v>
      </c>
      <c r="H10312">
        <v>3786354</v>
      </c>
      <c r="I10312">
        <v>3786421</v>
      </c>
    </row>
    <row r="10313" spans="1:9" x14ac:dyDescent="0.2">
      <c r="A10313" s="1" t="str">
        <f>"MATN1"</f>
        <v>MATN1</v>
      </c>
      <c r="B10313" t="s">
        <v>9</v>
      </c>
      <c r="C10313" t="s">
        <v>19</v>
      </c>
      <c r="D10313" t="s">
        <v>11</v>
      </c>
      <c r="E10313" t="s">
        <v>12</v>
      </c>
      <c r="F10313">
        <v>31196427</v>
      </c>
      <c r="G10313">
        <v>31196433</v>
      </c>
      <c r="H10313">
        <v>31196427</v>
      </c>
      <c r="I10313">
        <v>31196433</v>
      </c>
    </row>
    <row r="10314" spans="1:9" x14ac:dyDescent="0.2">
      <c r="A10314" s="1" t="str">
        <f>"MATN1"</f>
        <v>MATN1</v>
      </c>
      <c r="B10314" t="s">
        <v>13</v>
      </c>
      <c r="C10314" t="s">
        <v>19</v>
      </c>
      <c r="D10314" t="s">
        <v>11</v>
      </c>
      <c r="E10314" t="s">
        <v>12</v>
      </c>
      <c r="F10314">
        <v>31192105</v>
      </c>
      <c r="G10314">
        <v>31192115</v>
      </c>
      <c r="H10314">
        <v>31192105</v>
      </c>
      <c r="I10314">
        <v>31192115</v>
      </c>
    </row>
    <row r="10315" spans="1:9" x14ac:dyDescent="0.2">
      <c r="A10315" s="1" t="str">
        <f>"MATN2"</f>
        <v>MATN2</v>
      </c>
      <c r="B10315" t="s">
        <v>9</v>
      </c>
      <c r="C10315" t="s">
        <v>30</v>
      </c>
      <c r="D10315" t="s">
        <v>17</v>
      </c>
      <c r="E10315" t="s">
        <v>12</v>
      </c>
      <c r="F10315">
        <v>98881268</v>
      </c>
      <c r="G10315">
        <v>98881353</v>
      </c>
      <c r="H10315">
        <v>98881268</v>
      </c>
      <c r="I10315">
        <v>98881353</v>
      </c>
    </row>
    <row r="10316" spans="1:9" x14ac:dyDescent="0.2">
      <c r="A10316" s="1" t="str">
        <f>"MATN2"</f>
        <v>MATN2</v>
      </c>
      <c r="B10316" t="s">
        <v>13</v>
      </c>
      <c r="C10316" t="s">
        <v>30</v>
      </c>
      <c r="D10316" t="s">
        <v>17</v>
      </c>
      <c r="E10316" t="s">
        <v>12</v>
      </c>
      <c r="F10316">
        <v>98900255</v>
      </c>
      <c r="G10316">
        <v>98900325</v>
      </c>
      <c r="H10316">
        <v>98900255</v>
      </c>
      <c r="I10316">
        <v>98900325</v>
      </c>
    </row>
    <row r="10317" spans="1:9" x14ac:dyDescent="0.2">
      <c r="A10317" s="1" t="str">
        <f>"MATN3"</f>
        <v>MATN3</v>
      </c>
      <c r="B10317" t="s">
        <v>14</v>
      </c>
      <c r="C10317" t="s">
        <v>26</v>
      </c>
      <c r="D10317" t="s">
        <v>11</v>
      </c>
      <c r="E10317" t="s">
        <v>12</v>
      </c>
      <c r="F10317">
        <v>20212422</v>
      </c>
      <c r="G10317">
        <v>20212436</v>
      </c>
      <c r="H10317">
        <v>20212467</v>
      </c>
      <c r="I10317">
        <v>20212483</v>
      </c>
    </row>
    <row r="10318" spans="1:9" x14ac:dyDescent="0.2">
      <c r="A10318" s="1" t="str">
        <f>"MATN4"</f>
        <v>MATN4</v>
      </c>
      <c r="B10318" t="s">
        <v>14</v>
      </c>
      <c r="C10318" t="s">
        <v>29</v>
      </c>
      <c r="D10318" t="s">
        <v>11</v>
      </c>
      <c r="E10318" t="s">
        <v>12</v>
      </c>
      <c r="F10318">
        <v>43936937</v>
      </c>
      <c r="G10318">
        <v>43936967</v>
      </c>
      <c r="H10318">
        <v>43937172</v>
      </c>
      <c r="I10318">
        <v>43937195</v>
      </c>
    </row>
    <row r="10319" spans="1:9" x14ac:dyDescent="0.2">
      <c r="A10319" s="1" t="str">
        <f>"MATR3"</f>
        <v>MATR3</v>
      </c>
      <c r="B10319" t="s">
        <v>14</v>
      </c>
      <c r="C10319" t="s">
        <v>46</v>
      </c>
      <c r="D10319" t="s">
        <v>17</v>
      </c>
      <c r="E10319" t="s">
        <v>12</v>
      </c>
      <c r="F10319">
        <v>138629417</v>
      </c>
      <c r="G10319">
        <v>138629446</v>
      </c>
      <c r="H10319">
        <v>138629628</v>
      </c>
      <c r="I10319">
        <v>138629688</v>
      </c>
    </row>
    <row r="10320" spans="1:9" x14ac:dyDescent="0.2">
      <c r="A10320" s="1" t="str">
        <f>"MAU2"</f>
        <v>MAU2</v>
      </c>
      <c r="B10320" t="s">
        <v>14</v>
      </c>
      <c r="C10320" t="s">
        <v>10</v>
      </c>
      <c r="D10320" t="s">
        <v>17</v>
      </c>
      <c r="E10320" t="s">
        <v>12</v>
      </c>
      <c r="F10320">
        <v>19431626</v>
      </c>
      <c r="G10320">
        <v>19431665</v>
      </c>
      <c r="H10320">
        <v>19431626</v>
      </c>
      <c r="I10320">
        <v>19431665</v>
      </c>
    </row>
    <row r="10321" spans="1:9" x14ac:dyDescent="0.2">
      <c r="A10321" s="1" t="str">
        <f>"MAVS"</f>
        <v>MAVS</v>
      </c>
      <c r="B10321" t="s">
        <v>9</v>
      </c>
      <c r="C10321" t="s">
        <v>29</v>
      </c>
      <c r="D10321" t="s">
        <v>17</v>
      </c>
      <c r="E10321" t="s">
        <v>12</v>
      </c>
      <c r="F10321">
        <v>3827459</v>
      </c>
      <c r="G10321">
        <v>3827534</v>
      </c>
      <c r="H10321">
        <v>3827459</v>
      </c>
      <c r="I10321">
        <v>3827534</v>
      </c>
    </row>
    <row r="10322" spans="1:9" x14ac:dyDescent="0.2">
      <c r="A10322" s="1" t="str">
        <f>"MAVS"</f>
        <v>MAVS</v>
      </c>
      <c r="B10322" t="s">
        <v>13</v>
      </c>
      <c r="C10322" t="s">
        <v>29</v>
      </c>
      <c r="D10322" t="s">
        <v>17</v>
      </c>
      <c r="E10322" t="s">
        <v>12</v>
      </c>
      <c r="F10322">
        <v>3835233</v>
      </c>
      <c r="G10322">
        <v>3835247</v>
      </c>
      <c r="H10322">
        <v>3835233</v>
      </c>
      <c r="I10322">
        <v>3835247</v>
      </c>
    </row>
    <row r="10323" spans="1:9" x14ac:dyDescent="0.2">
      <c r="A10323" s="1" t="str">
        <f>"MAX"</f>
        <v>MAX</v>
      </c>
      <c r="B10323" t="s">
        <v>14</v>
      </c>
      <c r="C10323" t="s">
        <v>41</v>
      </c>
      <c r="D10323" t="s">
        <v>11</v>
      </c>
      <c r="E10323" t="s">
        <v>12</v>
      </c>
      <c r="F10323">
        <v>65569186</v>
      </c>
      <c r="G10323">
        <v>65569243</v>
      </c>
      <c r="H10323">
        <v>65569244</v>
      </c>
      <c r="I10323">
        <v>65569264</v>
      </c>
    </row>
    <row r="10324" spans="1:9" x14ac:dyDescent="0.2">
      <c r="A10324" s="1" t="str">
        <f>"MAZ"</f>
        <v>MAZ</v>
      </c>
      <c r="B10324" t="s">
        <v>14</v>
      </c>
      <c r="C10324" t="s">
        <v>31</v>
      </c>
      <c r="D10324" t="s">
        <v>17</v>
      </c>
      <c r="E10324" t="s">
        <v>12</v>
      </c>
      <c r="F10324">
        <v>29817841</v>
      </c>
      <c r="G10324">
        <v>29817865</v>
      </c>
      <c r="H10324">
        <v>29817789</v>
      </c>
      <c r="I10324">
        <v>29817838</v>
      </c>
    </row>
    <row r="10325" spans="1:9" x14ac:dyDescent="0.2">
      <c r="A10325" s="1" t="str">
        <f>"MB"</f>
        <v>MB</v>
      </c>
      <c r="B10325" t="s">
        <v>14</v>
      </c>
      <c r="C10325" t="s">
        <v>21</v>
      </c>
      <c r="D10325" t="s">
        <v>11</v>
      </c>
      <c r="E10325" t="s">
        <v>12</v>
      </c>
      <c r="F10325">
        <v>36013368</v>
      </c>
      <c r="G10325">
        <v>36013383</v>
      </c>
      <c r="H10325">
        <v>36013368</v>
      </c>
      <c r="I10325">
        <v>36013383</v>
      </c>
    </row>
    <row r="10326" spans="1:9" x14ac:dyDescent="0.2">
      <c r="A10326" s="1" t="str">
        <f>"MB21D1"</f>
        <v>MB21D1</v>
      </c>
      <c r="B10326" t="s">
        <v>14</v>
      </c>
      <c r="C10326" t="s">
        <v>32</v>
      </c>
      <c r="D10326" t="s">
        <v>11</v>
      </c>
      <c r="E10326" t="s">
        <v>12</v>
      </c>
      <c r="F10326">
        <v>74161977</v>
      </c>
      <c r="G10326">
        <v>74162027</v>
      </c>
      <c r="H10326">
        <v>74162045</v>
      </c>
      <c r="I10326">
        <v>74162056</v>
      </c>
    </row>
    <row r="10327" spans="1:9" x14ac:dyDescent="0.2">
      <c r="A10327" s="1" t="str">
        <f>"MB21D2"</f>
        <v>MB21D2</v>
      </c>
      <c r="B10327" t="s">
        <v>14</v>
      </c>
      <c r="C10327" t="s">
        <v>22</v>
      </c>
      <c r="D10327" t="s">
        <v>11</v>
      </c>
      <c r="E10327" t="s">
        <v>12</v>
      </c>
      <c r="F10327">
        <v>192635615</v>
      </c>
      <c r="G10327">
        <v>192635681</v>
      </c>
      <c r="H10327">
        <v>192635973</v>
      </c>
      <c r="I10327">
        <v>192635996</v>
      </c>
    </row>
    <row r="10328" spans="1:9" x14ac:dyDescent="0.2">
      <c r="A10328" s="1" t="str">
        <f>"MBD1"</f>
        <v>MBD1</v>
      </c>
      <c r="B10328" t="s">
        <v>14</v>
      </c>
      <c r="C10328" t="s">
        <v>43</v>
      </c>
      <c r="D10328" t="s">
        <v>11</v>
      </c>
      <c r="E10328" t="s">
        <v>12</v>
      </c>
      <c r="F10328">
        <v>47807845</v>
      </c>
      <c r="G10328">
        <v>47807918</v>
      </c>
      <c r="H10328">
        <v>47808120</v>
      </c>
      <c r="I10328">
        <v>47808171</v>
      </c>
    </row>
    <row r="10329" spans="1:9" x14ac:dyDescent="0.2">
      <c r="A10329" s="1" t="str">
        <f>"MBD2"</f>
        <v>MBD2</v>
      </c>
      <c r="B10329" t="s">
        <v>14</v>
      </c>
      <c r="C10329" t="s">
        <v>43</v>
      </c>
      <c r="D10329" t="s">
        <v>11</v>
      </c>
      <c r="E10329" t="s">
        <v>12</v>
      </c>
      <c r="F10329">
        <v>51750948</v>
      </c>
      <c r="G10329">
        <v>51751059</v>
      </c>
      <c r="H10329">
        <v>51750839</v>
      </c>
      <c r="I10329">
        <v>51750885</v>
      </c>
    </row>
    <row r="10330" spans="1:9" x14ac:dyDescent="0.2">
      <c r="A10330" s="1" t="str">
        <f>"MBD3"</f>
        <v>MBD3</v>
      </c>
      <c r="B10330" t="s">
        <v>14</v>
      </c>
      <c r="C10330" t="s">
        <v>10</v>
      </c>
      <c r="D10330" t="s">
        <v>11</v>
      </c>
      <c r="E10330" t="s">
        <v>12</v>
      </c>
      <c r="F10330">
        <v>1592714</v>
      </c>
      <c r="G10330">
        <v>1592762</v>
      </c>
      <c r="H10330">
        <v>1592828</v>
      </c>
      <c r="I10330">
        <v>1592910</v>
      </c>
    </row>
    <row r="10331" spans="1:9" x14ac:dyDescent="0.2">
      <c r="A10331" s="1" t="str">
        <f>"MBD3L1"</f>
        <v>MBD3L1</v>
      </c>
      <c r="B10331" t="s">
        <v>793</v>
      </c>
      <c r="C10331" t="s">
        <v>10</v>
      </c>
      <c r="D10331" t="s">
        <v>17</v>
      </c>
      <c r="E10331" t="s">
        <v>20</v>
      </c>
      <c r="F10331">
        <v>8953268</v>
      </c>
      <c r="G10331">
        <v>8953268</v>
      </c>
      <c r="H10331">
        <v>8953268</v>
      </c>
      <c r="I10331">
        <v>8953268</v>
      </c>
    </row>
    <row r="10332" spans="1:9" x14ac:dyDescent="0.2">
      <c r="A10332" s="1" t="str">
        <f>"MBD3L1"</f>
        <v>MBD3L1</v>
      </c>
      <c r="B10332" t="s">
        <v>794</v>
      </c>
      <c r="C10332" t="s">
        <v>10</v>
      </c>
      <c r="D10332" t="s">
        <v>17</v>
      </c>
      <c r="E10332" t="s">
        <v>20</v>
      </c>
      <c r="F10332">
        <v>8943073</v>
      </c>
      <c r="G10332">
        <v>8943073</v>
      </c>
      <c r="H10332">
        <v>8943073</v>
      </c>
      <c r="I10332">
        <v>8943073</v>
      </c>
    </row>
    <row r="10333" spans="1:9" x14ac:dyDescent="0.2">
      <c r="A10333" s="1" t="str">
        <f>"MBD3L2"</f>
        <v>MBD3L2</v>
      </c>
      <c r="B10333" t="s">
        <v>795</v>
      </c>
      <c r="C10333" t="s">
        <v>10</v>
      </c>
      <c r="D10333" t="s">
        <v>17</v>
      </c>
      <c r="E10333" t="s">
        <v>20</v>
      </c>
      <c r="F10333">
        <v>7049331</v>
      </c>
      <c r="G10333">
        <v>7049331</v>
      </c>
      <c r="H10333">
        <v>7049331</v>
      </c>
      <c r="I10333">
        <v>7049331</v>
      </c>
    </row>
    <row r="10334" spans="1:9" x14ac:dyDescent="0.2">
      <c r="A10334" s="1" t="str">
        <f>"MBD3L3"</f>
        <v>MBD3L3</v>
      </c>
      <c r="B10334" t="s">
        <v>796</v>
      </c>
      <c r="C10334" t="s">
        <v>10</v>
      </c>
      <c r="D10334" t="s">
        <v>11</v>
      </c>
      <c r="E10334" t="s">
        <v>20</v>
      </c>
      <c r="F10334">
        <v>7058650</v>
      </c>
      <c r="G10334">
        <v>7058650</v>
      </c>
      <c r="H10334">
        <v>7058650</v>
      </c>
      <c r="I10334">
        <v>7058650</v>
      </c>
    </row>
    <row r="10335" spans="1:9" x14ac:dyDescent="0.2">
      <c r="A10335" s="1" t="str">
        <f>"MBD3L4"</f>
        <v>MBD3L4</v>
      </c>
      <c r="B10335" t="s">
        <v>797</v>
      </c>
      <c r="C10335" t="s">
        <v>10</v>
      </c>
      <c r="D10335" t="s">
        <v>11</v>
      </c>
      <c r="E10335" t="s">
        <v>20</v>
      </c>
      <c r="F10335">
        <v>7040189</v>
      </c>
      <c r="G10335">
        <v>7040189</v>
      </c>
      <c r="H10335">
        <v>7040189</v>
      </c>
      <c r="I10335">
        <v>7040189</v>
      </c>
    </row>
    <row r="10336" spans="1:9" x14ac:dyDescent="0.2">
      <c r="A10336" s="1" t="str">
        <f>"MBD3L5"</f>
        <v>MBD3L5</v>
      </c>
      <c r="B10336" t="s">
        <v>798</v>
      </c>
      <c r="C10336" t="s">
        <v>10</v>
      </c>
      <c r="D10336" t="s">
        <v>17</v>
      </c>
      <c r="E10336" t="s">
        <v>20</v>
      </c>
      <c r="F10336">
        <v>7030588</v>
      </c>
      <c r="G10336">
        <v>7030588</v>
      </c>
      <c r="H10336">
        <v>7030588</v>
      </c>
      <c r="I10336">
        <v>7030588</v>
      </c>
    </row>
    <row r="10337" spans="1:9" x14ac:dyDescent="0.2">
      <c r="A10337" s="1" t="str">
        <f>"MBD4"</f>
        <v>MBD4</v>
      </c>
      <c r="B10337" t="s">
        <v>14</v>
      </c>
      <c r="C10337" t="s">
        <v>22</v>
      </c>
      <c r="D10337" t="s">
        <v>11</v>
      </c>
      <c r="E10337" t="s">
        <v>12</v>
      </c>
      <c r="F10337">
        <v>129158768</v>
      </c>
      <c r="G10337">
        <v>129158819</v>
      </c>
      <c r="H10337">
        <v>129158715</v>
      </c>
      <c r="I10337">
        <v>129158766</v>
      </c>
    </row>
    <row r="10338" spans="1:9" x14ac:dyDescent="0.2">
      <c r="A10338" s="1" t="str">
        <f>"MBD5"</f>
        <v>MBD5</v>
      </c>
      <c r="B10338" t="s">
        <v>14</v>
      </c>
      <c r="C10338" t="s">
        <v>26</v>
      </c>
      <c r="D10338" t="s">
        <v>17</v>
      </c>
      <c r="E10338" t="s">
        <v>12</v>
      </c>
      <c r="F10338">
        <v>148778652</v>
      </c>
      <c r="G10338">
        <v>148778672</v>
      </c>
      <c r="H10338">
        <v>148778590</v>
      </c>
      <c r="I10338">
        <v>148778647</v>
      </c>
    </row>
    <row r="10339" spans="1:9" x14ac:dyDescent="0.2">
      <c r="A10339" s="1" t="str">
        <f>"MBD6"</f>
        <v>MBD6</v>
      </c>
      <c r="B10339" t="s">
        <v>14</v>
      </c>
      <c r="C10339" t="s">
        <v>16</v>
      </c>
      <c r="D10339" t="s">
        <v>17</v>
      </c>
      <c r="E10339" t="s">
        <v>12</v>
      </c>
      <c r="F10339">
        <v>57916584</v>
      </c>
      <c r="G10339">
        <v>57916682</v>
      </c>
      <c r="H10339">
        <v>57916466</v>
      </c>
      <c r="I10339">
        <v>57916523</v>
      </c>
    </row>
    <row r="10340" spans="1:9" x14ac:dyDescent="0.2">
      <c r="A10340" s="1" t="str">
        <f>"MBIP"</f>
        <v>MBIP</v>
      </c>
      <c r="B10340" t="s">
        <v>14</v>
      </c>
      <c r="C10340" t="s">
        <v>41</v>
      </c>
      <c r="D10340" t="s">
        <v>11</v>
      </c>
      <c r="E10340" t="s">
        <v>12</v>
      </c>
      <c r="F10340">
        <v>36789789</v>
      </c>
      <c r="G10340">
        <v>36789860</v>
      </c>
      <c r="H10340">
        <v>36789865</v>
      </c>
      <c r="I10340">
        <v>36789886</v>
      </c>
    </row>
    <row r="10341" spans="1:9" x14ac:dyDescent="0.2">
      <c r="A10341" s="1" t="str">
        <f>"MBL2"</f>
        <v>MBL2</v>
      </c>
      <c r="B10341" t="s">
        <v>14</v>
      </c>
      <c r="C10341" t="s">
        <v>15</v>
      </c>
      <c r="D10341" t="s">
        <v>11</v>
      </c>
      <c r="E10341" t="s">
        <v>12</v>
      </c>
      <c r="F10341">
        <v>54531372</v>
      </c>
      <c r="G10341">
        <v>54531384</v>
      </c>
      <c r="H10341">
        <v>54531372</v>
      </c>
      <c r="I10341">
        <v>54531384</v>
      </c>
    </row>
    <row r="10342" spans="1:9" x14ac:dyDescent="0.2">
      <c r="A10342" s="1" t="str">
        <f>"MBLAC1"</f>
        <v>MBLAC1</v>
      </c>
      <c r="B10342" t="s">
        <v>14</v>
      </c>
      <c r="C10342" t="s">
        <v>33</v>
      </c>
      <c r="D10342" t="s">
        <v>17</v>
      </c>
      <c r="E10342" t="s">
        <v>12</v>
      </c>
      <c r="F10342">
        <v>99724576</v>
      </c>
      <c r="G10342">
        <v>99724605</v>
      </c>
      <c r="H10342">
        <v>99724576</v>
      </c>
      <c r="I10342">
        <v>99724605</v>
      </c>
    </row>
    <row r="10343" spans="1:9" x14ac:dyDescent="0.2">
      <c r="A10343" s="1" t="str">
        <f>"MBLAC2"</f>
        <v>MBLAC2</v>
      </c>
      <c r="B10343" t="s">
        <v>14</v>
      </c>
      <c r="C10343" t="s">
        <v>46</v>
      </c>
      <c r="D10343" t="s">
        <v>11</v>
      </c>
      <c r="E10343" t="s">
        <v>12</v>
      </c>
      <c r="F10343">
        <v>89770542</v>
      </c>
      <c r="G10343">
        <v>89770574</v>
      </c>
      <c r="H10343">
        <v>89770171</v>
      </c>
      <c r="I10343">
        <v>89770258</v>
      </c>
    </row>
    <row r="10344" spans="1:9" x14ac:dyDescent="0.2">
      <c r="A10344" s="1" t="str">
        <f>"MBNL1"</f>
        <v>MBNL1</v>
      </c>
      <c r="B10344" t="s">
        <v>14</v>
      </c>
      <c r="C10344" t="s">
        <v>22</v>
      </c>
      <c r="D10344" t="s">
        <v>17</v>
      </c>
      <c r="E10344" t="s">
        <v>12</v>
      </c>
      <c r="F10344">
        <v>151986710</v>
      </c>
      <c r="G10344">
        <v>151986732</v>
      </c>
      <c r="H10344">
        <v>151986674</v>
      </c>
      <c r="I10344">
        <v>151986685</v>
      </c>
    </row>
    <row r="10345" spans="1:9" x14ac:dyDescent="0.2">
      <c r="A10345" s="1" t="str">
        <f>"MBNL2"</f>
        <v>MBNL2</v>
      </c>
      <c r="B10345" t="s">
        <v>14</v>
      </c>
      <c r="C10345" t="s">
        <v>39</v>
      </c>
      <c r="D10345" t="s">
        <v>17</v>
      </c>
      <c r="E10345" t="s">
        <v>12</v>
      </c>
      <c r="F10345">
        <v>97874578</v>
      </c>
      <c r="G10345">
        <v>97874594</v>
      </c>
      <c r="H10345">
        <v>97874578</v>
      </c>
      <c r="I10345">
        <v>97874594</v>
      </c>
    </row>
    <row r="10346" spans="1:9" x14ac:dyDescent="0.2">
      <c r="A10346" s="1" t="str">
        <f>"MBNL3"</f>
        <v>MBNL3</v>
      </c>
      <c r="B10346" t="s">
        <v>799</v>
      </c>
      <c r="C10346" t="s">
        <v>37</v>
      </c>
      <c r="D10346" t="s">
        <v>11</v>
      </c>
      <c r="E10346" t="s">
        <v>20</v>
      </c>
      <c r="F10346">
        <v>131573717</v>
      </c>
      <c r="G10346">
        <v>131573717</v>
      </c>
      <c r="H10346">
        <v>131573717</v>
      </c>
      <c r="I10346">
        <v>131573717</v>
      </c>
    </row>
    <row r="10347" spans="1:9" x14ac:dyDescent="0.2">
      <c r="A10347" s="1" t="str">
        <f>"MBOAT1"</f>
        <v>MBOAT1</v>
      </c>
      <c r="B10347" t="s">
        <v>14</v>
      </c>
      <c r="C10347" t="s">
        <v>32</v>
      </c>
      <c r="D10347" t="s">
        <v>11</v>
      </c>
      <c r="E10347" t="s">
        <v>12</v>
      </c>
      <c r="F10347">
        <v>20212635</v>
      </c>
      <c r="G10347">
        <v>20212726</v>
      </c>
      <c r="H10347">
        <v>20212635</v>
      </c>
      <c r="I10347">
        <v>20212726</v>
      </c>
    </row>
    <row r="10348" spans="1:9" x14ac:dyDescent="0.2">
      <c r="A10348" s="1" t="str">
        <f>"MBOAT2"</f>
        <v>MBOAT2</v>
      </c>
      <c r="B10348" t="s">
        <v>14</v>
      </c>
      <c r="C10348" t="s">
        <v>26</v>
      </c>
      <c r="D10348" t="s">
        <v>11</v>
      </c>
      <c r="E10348" t="s">
        <v>12</v>
      </c>
      <c r="F10348">
        <v>9143786</v>
      </c>
      <c r="G10348">
        <v>9143886</v>
      </c>
      <c r="H10348">
        <v>9143949</v>
      </c>
      <c r="I10348">
        <v>9143999</v>
      </c>
    </row>
    <row r="10349" spans="1:9" x14ac:dyDescent="0.2">
      <c r="A10349" s="1" t="str">
        <f>"MBOAT4"</f>
        <v>MBOAT4</v>
      </c>
      <c r="B10349" t="s">
        <v>14</v>
      </c>
      <c r="C10349" t="s">
        <v>30</v>
      </c>
      <c r="D10349" t="s">
        <v>11</v>
      </c>
      <c r="E10349" t="s">
        <v>12</v>
      </c>
      <c r="F10349">
        <v>30002179</v>
      </c>
      <c r="G10349">
        <v>30002185</v>
      </c>
      <c r="H10349">
        <v>30002179</v>
      </c>
      <c r="I10349">
        <v>30002185</v>
      </c>
    </row>
    <row r="10350" spans="1:9" x14ac:dyDescent="0.2">
      <c r="A10350" s="1" t="str">
        <f>"MBOAT7"</f>
        <v>MBOAT7</v>
      </c>
      <c r="B10350" t="s">
        <v>14</v>
      </c>
      <c r="C10350" t="s">
        <v>10</v>
      </c>
      <c r="D10350" t="s">
        <v>11</v>
      </c>
      <c r="E10350" t="s">
        <v>12</v>
      </c>
      <c r="F10350">
        <v>54693401</v>
      </c>
      <c r="G10350">
        <v>54693491</v>
      </c>
      <c r="H10350">
        <v>54693212</v>
      </c>
      <c r="I10350">
        <v>54693249</v>
      </c>
    </row>
    <row r="10351" spans="1:9" x14ac:dyDescent="0.2">
      <c r="A10351" s="1" t="str">
        <f>"MBP"</f>
        <v>MBP</v>
      </c>
      <c r="B10351" t="s">
        <v>14</v>
      </c>
      <c r="C10351" t="s">
        <v>43</v>
      </c>
      <c r="D10351" t="s">
        <v>11</v>
      </c>
      <c r="E10351" t="s">
        <v>12</v>
      </c>
      <c r="F10351">
        <v>74729004</v>
      </c>
      <c r="G10351">
        <v>74729019</v>
      </c>
      <c r="H10351">
        <v>74729004</v>
      </c>
      <c r="I10351">
        <v>74729019</v>
      </c>
    </row>
    <row r="10352" spans="1:9" x14ac:dyDescent="0.2">
      <c r="A10352" s="1" t="str">
        <f>"MBTD1"</f>
        <v>MBTD1</v>
      </c>
      <c r="B10352" t="s">
        <v>14</v>
      </c>
      <c r="C10352" t="s">
        <v>28</v>
      </c>
      <c r="D10352" t="s">
        <v>11</v>
      </c>
      <c r="E10352" t="s">
        <v>12</v>
      </c>
      <c r="F10352">
        <v>49337392</v>
      </c>
      <c r="G10352">
        <v>49337465</v>
      </c>
      <c r="H10352">
        <v>49337365</v>
      </c>
      <c r="I10352">
        <v>49337376</v>
      </c>
    </row>
    <row r="10353" spans="1:9" x14ac:dyDescent="0.2">
      <c r="A10353" s="1" t="str">
        <f>"MBTPS1"</f>
        <v>MBTPS1</v>
      </c>
      <c r="B10353" t="s">
        <v>14</v>
      </c>
      <c r="C10353" t="s">
        <v>31</v>
      </c>
      <c r="D10353" t="s">
        <v>11</v>
      </c>
      <c r="E10353" t="s">
        <v>12</v>
      </c>
      <c r="F10353">
        <v>84150410</v>
      </c>
      <c r="G10353">
        <v>84150456</v>
      </c>
      <c r="H10353">
        <v>84150492</v>
      </c>
      <c r="I10353">
        <v>84150558</v>
      </c>
    </row>
    <row r="10354" spans="1:9" x14ac:dyDescent="0.2">
      <c r="A10354" s="1" t="str">
        <f>"MBTPS2"</f>
        <v>MBTPS2</v>
      </c>
      <c r="B10354" t="s">
        <v>14</v>
      </c>
      <c r="C10354" t="s">
        <v>37</v>
      </c>
      <c r="D10354" t="s">
        <v>17</v>
      </c>
      <c r="E10354" t="s">
        <v>12</v>
      </c>
      <c r="F10354">
        <v>21857717</v>
      </c>
      <c r="G10354">
        <v>21857763</v>
      </c>
      <c r="H10354">
        <v>21857764</v>
      </c>
      <c r="I10354">
        <v>21857796</v>
      </c>
    </row>
    <row r="10355" spans="1:9" x14ac:dyDescent="0.2">
      <c r="A10355" s="1" t="str">
        <f>"MC1R"</f>
        <v>MC1R</v>
      </c>
      <c r="B10355" t="s">
        <v>14</v>
      </c>
      <c r="C10355" t="s">
        <v>31</v>
      </c>
      <c r="D10355" t="s">
        <v>17</v>
      </c>
      <c r="E10355" t="s">
        <v>12</v>
      </c>
      <c r="F10355">
        <v>89984274</v>
      </c>
      <c r="G10355">
        <v>89984295</v>
      </c>
      <c r="H10355">
        <v>89984300</v>
      </c>
      <c r="I10355">
        <v>89984313</v>
      </c>
    </row>
    <row r="10356" spans="1:9" x14ac:dyDescent="0.2">
      <c r="A10356" s="1" t="str">
        <f>"MC2R"</f>
        <v>MC2R</v>
      </c>
      <c r="B10356" t="s">
        <v>14</v>
      </c>
      <c r="C10356" t="s">
        <v>43</v>
      </c>
      <c r="D10356" t="s">
        <v>11</v>
      </c>
      <c r="E10356" t="s">
        <v>12</v>
      </c>
      <c r="F10356">
        <v>13915530</v>
      </c>
      <c r="G10356">
        <v>13915540</v>
      </c>
      <c r="H10356">
        <v>13915530</v>
      </c>
      <c r="I10356">
        <v>13915540</v>
      </c>
    </row>
    <row r="10357" spans="1:9" x14ac:dyDescent="0.2">
      <c r="A10357" s="1" t="str">
        <f>"MC3R"</f>
        <v>MC3R</v>
      </c>
      <c r="B10357" t="s">
        <v>800</v>
      </c>
      <c r="C10357" t="s">
        <v>29</v>
      </c>
      <c r="D10357" t="s">
        <v>17</v>
      </c>
      <c r="E10357" t="s">
        <v>20</v>
      </c>
      <c r="F10357">
        <v>54823787</v>
      </c>
      <c r="G10357">
        <v>54823787</v>
      </c>
      <c r="H10357">
        <v>54823787</v>
      </c>
      <c r="I10357">
        <v>54823787</v>
      </c>
    </row>
    <row r="10358" spans="1:9" x14ac:dyDescent="0.2">
      <c r="A10358" s="1" t="str">
        <f>"MC4R"</f>
        <v>MC4R</v>
      </c>
      <c r="B10358" t="s">
        <v>14</v>
      </c>
      <c r="C10358" t="s">
        <v>43</v>
      </c>
      <c r="D10358" t="s">
        <v>11</v>
      </c>
      <c r="E10358" t="s">
        <v>12</v>
      </c>
      <c r="F10358">
        <v>58040000</v>
      </c>
      <c r="G10358">
        <v>58040015</v>
      </c>
      <c r="H10358">
        <v>58040000</v>
      </c>
      <c r="I10358">
        <v>58040015</v>
      </c>
    </row>
    <row r="10359" spans="1:9" x14ac:dyDescent="0.2">
      <c r="A10359" s="1" t="str">
        <f>"MC5R"</f>
        <v>MC5R</v>
      </c>
      <c r="B10359" t="s">
        <v>801</v>
      </c>
      <c r="C10359" t="s">
        <v>43</v>
      </c>
      <c r="D10359" t="s">
        <v>17</v>
      </c>
      <c r="E10359" t="s">
        <v>20</v>
      </c>
      <c r="F10359">
        <v>13825542</v>
      </c>
      <c r="G10359">
        <v>13825542</v>
      </c>
      <c r="H10359">
        <v>13825542</v>
      </c>
      <c r="I10359">
        <v>13825542</v>
      </c>
    </row>
    <row r="10360" spans="1:9" x14ac:dyDescent="0.2">
      <c r="A10360" s="1" t="str">
        <f>"MCAM"</f>
        <v>MCAM</v>
      </c>
      <c r="B10360" t="s">
        <v>14</v>
      </c>
      <c r="C10360" t="s">
        <v>27</v>
      </c>
      <c r="D10360" t="s">
        <v>11</v>
      </c>
      <c r="E10360" t="s">
        <v>12</v>
      </c>
      <c r="F10360">
        <v>119187829</v>
      </c>
      <c r="G10360">
        <v>119187847</v>
      </c>
      <c r="H10360">
        <v>119187829</v>
      </c>
      <c r="I10360">
        <v>119187847</v>
      </c>
    </row>
    <row r="10361" spans="1:9" x14ac:dyDescent="0.2">
      <c r="A10361" s="1" t="str">
        <f>"MCAT"</f>
        <v>MCAT</v>
      </c>
      <c r="B10361" t="s">
        <v>14</v>
      </c>
      <c r="C10361" t="s">
        <v>21</v>
      </c>
      <c r="D10361" t="s">
        <v>11</v>
      </c>
      <c r="E10361" t="s">
        <v>12</v>
      </c>
      <c r="F10361">
        <v>43539346</v>
      </c>
      <c r="G10361">
        <v>43539410</v>
      </c>
      <c r="H10361">
        <v>43539336</v>
      </c>
      <c r="I10361">
        <v>43539341</v>
      </c>
    </row>
    <row r="10362" spans="1:9" x14ac:dyDescent="0.2">
      <c r="A10362" s="1" t="str">
        <f>"MCC"</f>
        <v>MCC</v>
      </c>
      <c r="B10362" t="s">
        <v>14</v>
      </c>
      <c r="C10362" t="s">
        <v>46</v>
      </c>
      <c r="D10362" t="s">
        <v>11</v>
      </c>
      <c r="E10362" t="s">
        <v>12</v>
      </c>
      <c r="F10362">
        <v>112630598</v>
      </c>
      <c r="G10362">
        <v>112630689</v>
      </c>
      <c r="H10362">
        <v>112630598</v>
      </c>
      <c r="I10362">
        <v>112630689</v>
      </c>
    </row>
    <row r="10363" spans="1:9" x14ac:dyDescent="0.2">
      <c r="A10363" s="1" t="str">
        <f>"MCCC1"</f>
        <v>MCCC1</v>
      </c>
      <c r="B10363" t="s">
        <v>14</v>
      </c>
      <c r="C10363" t="s">
        <v>22</v>
      </c>
      <c r="D10363" t="s">
        <v>11</v>
      </c>
      <c r="E10363" t="s">
        <v>12</v>
      </c>
      <c r="F10363">
        <v>182817297</v>
      </c>
      <c r="G10363">
        <v>182817356</v>
      </c>
      <c r="H10363">
        <v>182817253</v>
      </c>
      <c r="I10363">
        <v>182817294</v>
      </c>
    </row>
    <row r="10364" spans="1:9" x14ac:dyDescent="0.2">
      <c r="A10364" s="1" t="str">
        <f>"MCCC2"</f>
        <v>MCCC2</v>
      </c>
      <c r="B10364" t="s">
        <v>14</v>
      </c>
      <c r="C10364" t="s">
        <v>46</v>
      </c>
      <c r="D10364" t="s">
        <v>17</v>
      </c>
      <c r="E10364" t="s">
        <v>12</v>
      </c>
      <c r="F10364">
        <v>70883154</v>
      </c>
      <c r="G10364">
        <v>70883174</v>
      </c>
      <c r="H10364">
        <v>70883117</v>
      </c>
      <c r="I10364">
        <v>70883143</v>
      </c>
    </row>
    <row r="10365" spans="1:9" x14ac:dyDescent="0.2">
      <c r="A10365" s="1" t="str">
        <f>"MCCD1"</f>
        <v>MCCD1</v>
      </c>
      <c r="B10365" t="s">
        <v>14</v>
      </c>
      <c r="C10365" t="s">
        <v>32</v>
      </c>
      <c r="D10365" t="s">
        <v>17</v>
      </c>
      <c r="E10365" t="s">
        <v>12</v>
      </c>
      <c r="F10365">
        <v>31496733</v>
      </c>
      <c r="G10365">
        <v>31496745</v>
      </c>
      <c r="H10365">
        <v>31496748</v>
      </c>
      <c r="I10365">
        <v>31496757</v>
      </c>
    </row>
    <row r="10366" spans="1:9" x14ac:dyDescent="0.2">
      <c r="A10366" s="1" t="str">
        <f>"MCEE"</f>
        <v>MCEE</v>
      </c>
      <c r="B10366" t="s">
        <v>14</v>
      </c>
      <c r="C10366" t="s">
        <v>26</v>
      </c>
      <c r="D10366" t="s">
        <v>11</v>
      </c>
      <c r="E10366" t="s">
        <v>12</v>
      </c>
      <c r="F10366">
        <v>71357351</v>
      </c>
      <c r="G10366">
        <v>71357396</v>
      </c>
      <c r="H10366">
        <v>71357403</v>
      </c>
      <c r="I10366">
        <v>71357413</v>
      </c>
    </row>
    <row r="10367" spans="1:9" x14ac:dyDescent="0.2">
      <c r="A10367" s="1" t="str">
        <f>"MCF2"</f>
        <v>MCF2</v>
      </c>
      <c r="B10367" t="s">
        <v>14</v>
      </c>
      <c r="C10367" t="s">
        <v>37</v>
      </c>
      <c r="D10367" t="s">
        <v>11</v>
      </c>
      <c r="E10367" t="s">
        <v>12</v>
      </c>
      <c r="F10367">
        <v>138724821</v>
      </c>
      <c r="G10367">
        <v>138724841</v>
      </c>
      <c r="H10367">
        <v>138724994</v>
      </c>
      <c r="I10367">
        <v>138725023</v>
      </c>
    </row>
    <row r="10368" spans="1:9" x14ac:dyDescent="0.2">
      <c r="A10368" s="1" t="str">
        <f>"MCF2L"</f>
        <v>MCF2L</v>
      </c>
      <c r="B10368" t="s">
        <v>802</v>
      </c>
      <c r="C10368" t="s">
        <v>39</v>
      </c>
      <c r="D10368" t="s">
        <v>17</v>
      </c>
      <c r="E10368" t="s">
        <v>35</v>
      </c>
      <c r="F10368">
        <v>113623494</v>
      </c>
      <c r="G10368">
        <v>113623508</v>
      </c>
      <c r="H10368">
        <v>113623705</v>
      </c>
      <c r="I10368">
        <v>113623712</v>
      </c>
    </row>
    <row r="10369" spans="1:9" x14ac:dyDescent="0.2">
      <c r="A10369" s="1" t="str">
        <f>"MCF2L2"</f>
        <v>MCF2L2</v>
      </c>
      <c r="B10369" t="s">
        <v>14</v>
      </c>
      <c r="C10369" t="s">
        <v>22</v>
      </c>
      <c r="D10369" t="s">
        <v>11</v>
      </c>
      <c r="E10369" t="s">
        <v>12</v>
      </c>
      <c r="F10369">
        <v>183146369</v>
      </c>
      <c r="G10369">
        <v>183146452</v>
      </c>
      <c r="H10369">
        <v>183145881</v>
      </c>
      <c r="I10369">
        <v>183145944</v>
      </c>
    </row>
    <row r="10370" spans="1:9" x14ac:dyDescent="0.2">
      <c r="A10370" s="1" t="str">
        <f>"MCFD2"</f>
        <v>MCFD2</v>
      </c>
      <c r="B10370" t="s">
        <v>9</v>
      </c>
      <c r="C10370" t="s">
        <v>26</v>
      </c>
      <c r="D10370" t="s">
        <v>11</v>
      </c>
      <c r="E10370" t="s">
        <v>12</v>
      </c>
      <c r="F10370">
        <v>47142884</v>
      </c>
      <c r="G10370">
        <v>47142955</v>
      </c>
      <c r="H10370">
        <v>47142884</v>
      </c>
      <c r="I10370">
        <v>47142955</v>
      </c>
    </row>
    <row r="10371" spans="1:9" x14ac:dyDescent="0.2">
      <c r="A10371" s="1" t="str">
        <f>"MCFD2"</f>
        <v>MCFD2</v>
      </c>
      <c r="B10371" t="s">
        <v>13</v>
      </c>
      <c r="C10371" t="s">
        <v>26</v>
      </c>
      <c r="D10371" t="s">
        <v>11</v>
      </c>
      <c r="E10371" t="s">
        <v>12</v>
      </c>
      <c r="F10371">
        <v>47168850</v>
      </c>
      <c r="G10371">
        <v>47168889</v>
      </c>
      <c r="H10371">
        <v>47168850</v>
      </c>
      <c r="I10371">
        <v>47168889</v>
      </c>
    </row>
    <row r="10372" spans="1:9" x14ac:dyDescent="0.2">
      <c r="A10372" s="1" t="str">
        <f>"MCHR1"</f>
        <v>MCHR1</v>
      </c>
      <c r="B10372" t="s">
        <v>14</v>
      </c>
      <c r="C10372" t="s">
        <v>21</v>
      </c>
      <c r="D10372" t="s">
        <v>17</v>
      </c>
      <c r="E10372" t="s">
        <v>12</v>
      </c>
      <c r="F10372">
        <v>41075480</v>
      </c>
      <c r="G10372">
        <v>41075506</v>
      </c>
      <c r="H10372">
        <v>41075480</v>
      </c>
      <c r="I10372">
        <v>41075506</v>
      </c>
    </row>
    <row r="10373" spans="1:9" x14ac:dyDescent="0.2">
      <c r="A10373" s="1" t="str">
        <f>"MCHR2"</f>
        <v>MCHR2</v>
      </c>
      <c r="B10373" t="s">
        <v>14</v>
      </c>
      <c r="C10373" t="s">
        <v>32</v>
      </c>
      <c r="D10373" t="s">
        <v>11</v>
      </c>
      <c r="E10373" t="s">
        <v>12</v>
      </c>
      <c r="F10373">
        <v>100442077</v>
      </c>
      <c r="G10373">
        <v>100442114</v>
      </c>
      <c r="H10373">
        <v>100442049</v>
      </c>
      <c r="I10373">
        <v>100442076</v>
      </c>
    </row>
    <row r="10374" spans="1:9" x14ac:dyDescent="0.2">
      <c r="A10374" s="1" t="str">
        <f>"MCIDAS"</f>
        <v>MCIDAS</v>
      </c>
      <c r="B10374" t="s">
        <v>14</v>
      </c>
      <c r="C10374" t="s">
        <v>46</v>
      </c>
      <c r="D10374" t="s">
        <v>11</v>
      </c>
      <c r="E10374" t="s">
        <v>12</v>
      </c>
      <c r="F10374">
        <v>54523115</v>
      </c>
      <c r="G10374">
        <v>54523162</v>
      </c>
      <c r="H10374">
        <v>54523094</v>
      </c>
      <c r="I10374">
        <v>54523108</v>
      </c>
    </row>
    <row r="10375" spans="1:9" x14ac:dyDescent="0.2">
      <c r="A10375" s="1" t="str">
        <f>"MCL1"</f>
        <v>MCL1</v>
      </c>
      <c r="B10375" t="s">
        <v>14</v>
      </c>
      <c r="C10375" t="s">
        <v>19</v>
      </c>
      <c r="D10375" t="s">
        <v>11</v>
      </c>
      <c r="E10375" t="s">
        <v>12</v>
      </c>
      <c r="F10375">
        <v>150552066</v>
      </c>
      <c r="G10375">
        <v>150552093</v>
      </c>
      <c r="H10375">
        <v>150552304</v>
      </c>
      <c r="I10375">
        <v>150552339</v>
      </c>
    </row>
    <row r="10376" spans="1:9" x14ac:dyDescent="0.2">
      <c r="A10376" s="1" t="str">
        <f>"MCM10"</f>
        <v>MCM10</v>
      </c>
      <c r="B10376" t="s">
        <v>14</v>
      </c>
      <c r="C10376" t="s">
        <v>15</v>
      </c>
      <c r="D10376" t="s">
        <v>17</v>
      </c>
      <c r="E10376" t="s">
        <v>12</v>
      </c>
      <c r="F10376">
        <v>13203543</v>
      </c>
      <c r="G10376">
        <v>13203587</v>
      </c>
      <c r="H10376">
        <v>13203543</v>
      </c>
      <c r="I10376">
        <v>13203587</v>
      </c>
    </row>
    <row r="10377" spans="1:9" x14ac:dyDescent="0.2">
      <c r="A10377" s="1" t="str">
        <f>"MCM2"</f>
        <v>MCM2</v>
      </c>
      <c r="B10377" t="s">
        <v>14</v>
      </c>
      <c r="C10377" t="s">
        <v>22</v>
      </c>
      <c r="D10377" t="s">
        <v>17</v>
      </c>
      <c r="E10377" t="s">
        <v>12</v>
      </c>
      <c r="F10377">
        <v>127317243</v>
      </c>
      <c r="G10377">
        <v>127317288</v>
      </c>
      <c r="H10377">
        <v>127317301</v>
      </c>
      <c r="I10377">
        <v>127317306</v>
      </c>
    </row>
    <row r="10378" spans="1:9" x14ac:dyDescent="0.2">
      <c r="A10378" s="1" t="str">
        <f>"MCM3"</f>
        <v>MCM3</v>
      </c>
      <c r="B10378" t="s">
        <v>14</v>
      </c>
      <c r="C10378" t="s">
        <v>32</v>
      </c>
      <c r="D10378" t="s">
        <v>11</v>
      </c>
      <c r="E10378" t="s">
        <v>12</v>
      </c>
      <c r="F10378">
        <v>52149475</v>
      </c>
      <c r="G10378">
        <v>52149587</v>
      </c>
      <c r="H10378">
        <v>52149475</v>
      </c>
      <c r="I10378">
        <v>52149587</v>
      </c>
    </row>
    <row r="10379" spans="1:9" x14ac:dyDescent="0.2">
      <c r="A10379" s="1" t="str">
        <f>"MCM3AP"</f>
        <v>MCM3AP</v>
      </c>
      <c r="B10379" t="s">
        <v>14</v>
      </c>
      <c r="C10379" t="s">
        <v>42</v>
      </c>
      <c r="D10379" t="s">
        <v>11</v>
      </c>
      <c r="E10379" t="s">
        <v>12</v>
      </c>
      <c r="F10379">
        <v>47706140</v>
      </c>
      <c r="G10379">
        <v>47706199</v>
      </c>
      <c r="H10379">
        <v>47706205</v>
      </c>
      <c r="I10379">
        <v>47706223</v>
      </c>
    </row>
    <row r="10380" spans="1:9" x14ac:dyDescent="0.2">
      <c r="A10380" s="1" t="str">
        <f>"MCM4"</f>
        <v>MCM4</v>
      </c>
      <c r="B10380" t="s">
        <v>14</v>
      </c>
      <c r="C10380" t="s">
        <v>30</v>
      </c>
      <c r="D10380" t="s">
        <v>17</v>
      </c>
      <c r="E10380" t="s">
        <v>12</v>
      </c>
      <c r="F10380">
        <v>48873479</v>
      </c>
      <c r="G10380">
        <v>48873539</v>
      </c>
      <c r="H10380">
        <v>48873453</v>
      </c>
      <c r="I10380">
        <v>48873475</v>
      </c>
    </row>
    <row r="10381" spans="1:9" x14ac:dyDescent="0.2">
      <c r="A10381" s="1" t="str">
        <f>"MCM5"</f>
        <v>MCM5</v>
      </c>
      <c r="B10381" t="s">
        <v>14</v>
      </c>
      <c r="C10381" t="s">
        <v>21</v>
      </c>
      <c r="D10381" t="s">
        <v>17</v>
      </c>
      <c r="E10381" t="s">
        <v>12</v>
      </c>
      <c r="F10381">
        <v>35796108</v>
      </c>
      <c r="G10381">
        <v>35796172</v>
      </c>
      <c r="H10381">
        <v>35796079</v>
      </c>
      <c r="I10381">
        <v>35796090</v>
      </c>
    </row>
    <row r="10382" spans="1:9" x14ac:dyDescent="0.2">
      <c r="A10382" s="1" t="str">
        <f>"MCM6"</f>
        <v>MCM6</v>
      </c>
      <c r="B10382" t="s">
        <v>14</v>
      </c>
      <c r="C10382" t="s">
        <v>26</v>
      </c>
      <c r="D10382" t="s">
        <v>11</v>
      </c>
      <c r="E10382" t="s">
        <v>12</v>
      </c>
      <c r="F10382">
        <v>136633940</v>
      </c>
      <c r="G10382">
        <v>136634022</v>
      </c>
      <c r="H10382">
        <v>136634026</v>
      </c>
      <c r="I10382">
        <v>136634039</v>
      </c>
    </row>
    <row r="10383" spans="1:9" x14ac:dyDescent="0.2">
      <c r="A10383" s="1" t="str">
        <f>"MCM7"</f>
        <v>MCM7</v>
      </c>
      <c r="B10383" t="s">
        <v>14</v>
      </c>
      <c r="C10383" t="s">
        <v>33</v>
      </c>
      <c r="D10383" t="s">
        <v>11</v>
      </c>
      <c r="E10383" t="s">
        <v>12</v>
      </c>
      <c r="F10383">
        <v>99698956</v>
      </c>
      <c r="G10383">
        <v>99699038</v>
      </c>
      <c r="H10383">
        <v>99698137</v>
      </c>
      <c r="I10383">
        <v>99698170</v>
      </c>
    </row>
    <row r="10384" spans="1:9" x14ac:dyDescent="0.2">
      <c r="A10384" s="1" t="str">
        <f>"MCM8"</f>
        <v>MCM8</v>
      </c>
      <c r="B10384" t="s">
        <v>14</v>
      </c>
      <c r="C10384" t="s">
        <v>29</v>
      </c>
      <c r="D10384" t="s">
        <v>17</v>
      </c>
      <c r="E10384" t="s">
        <v>12</v>
      </c>
      <c r="F10384">
        <v>5931275</v>
      </c>
      <c r="G10384">
        <v>5931343</v>
      </c>
      <c r="H10384">
        <v>5931345</v>
      </c>
      <c r="I10384">
        <v>5931381</v>
      </c>
    </row>
    <row r="10385" spans="1:9" x14ac:dyDescent="0.2">
      <c r="A10385" s="1" t="str">
        <f>"MCM9"</f>
        <v>MCM9</v>
      </c>
      <c r="B10385" t="s">
        <v>14</v>
      </c>
      <c r="C10385" t="s">
        <v>32</v>
      </c>
      <c r="D10385" t="s">
        <v>11</v>
      </c>
      <c r="E10385" t="s">
        <v>12</v>
      </c>
      <c r="F10385">
        <v>119256311</v>
      </c>
      <c r="G10385">
        <v>119256335</v>
      </c>
      <c r="H10385">
        <v>119256142</v>
      </c>
      <c r="I10385">
        <v>119256173</v>
      </c>
    </row>
    <row r="10386" spans="1:9" x14ac:dyDescent="0.2">
      <c r="A10386" s="1" t="str">
        <f>"MCMBP"</f>
        <v>MCMBP</v>
      </c>
      <c r="B10386" t="s">
        <v>14</v>
      </c>
      <c r="C10386" t="s">
        <v>15</v>
      </c>
      <c r="D10386" t="s">
        <v>11</v>
      </c>
      <c r="E10386" t="s">
        <v>12</v>
      </c>
      <c r="F10386">
        <v>121632344</v>
      </c>
      <c r="G10386">
        <v>121632418</v>
      </c>
      <c r="H10386">
        <v>121632494</v>
      </c>
      <c r="I10386">
        <v>121632511</v>
      </c>
    </row>
    <row r="10387" spans="1:9" x14ac:dyDescent="0.2">
      <c r="A10387" s="1" t="str">
        <f>"MCMDC2"</f>
        <v>MCMDC2</v>
      </c>
      <c r="B10387" t="s">
        <v>14</v>
      </c>
      <c r="C10387" t="s">
        <v>30</v>
      </c>
      <c r="D10387" t="s">
        <v>17</v>
      </c>
      <c r="E10387" t="s">
        <v>12</v>
      </c>
      <c r="F10387">
        <v>67782997</v>
      </c>
      <c r="G10387">
        <v>67783036</v>
      </c>
      <c r="H10387">
        <v>67782997</v>
      </c>
      <c r="I10387">
        <v>67783036</v>
      </c>
    </row>
    <row r="10388" spans="1:9" x14ac:dyDescent="0.2">
      <c r="A10388" s="1" t="str">
        <f>"MCOLN1"</f>
        <v>MCOLN1</v>
      </c>
      <c r="B10388" t="s">
        <v>14</v>
      </c>
      <c r="C10388" t="s">
        <v>10</v>
      </c>
      <c r="D10388" t="s">
        <v>17</v>
      </c>
      <c r="E10388" t="s">
        <v>12</v>
      </c>
      <c r="F10388">
        <v>7587491</v>
      </c>
      <c r="G10388">
        <v>7587547</v>
      </c>
      <c r="H10388">
        <v>7587555</v>
      </c>
      <c r="I10388">
        <v>7587570</v>
      </c>
    </row>
    <row r="10389" spans="1:9" x14ac:dyDescent="0.2">
      <c r="A10389" s="1" t="str">
        <f>"MCOLN2"</f>
        <v>MCOLN2</v>
      </c>
      <c r="B10389" t="s">
        <v>14</v>
      </c>
      <c r="C10389" t="s">
        <v>19</v>
      </c>
      <c r="D10389" t="s">
        <v>11</v>
      </c>
      <c r="E10389" t="s">
        <v>12</v>
      </c>
      <c r="F10389">
        <v>85462762</v>
      </c>
      <c r="G10389">
        <v>85462804</v>
      </c>
      <c r="H10389">
        <v>85462813</v>
      </c>
      <c r="I10389">
        <v>85462824</v>
      </c>
    </row>
    <row r="10390" spans="1:9" x14ac:dyDescent="0.2">
      <c r="A10390" s="1" t="str">
        <f>"MCOLN3"</f>
        <v>MCOLN3</v>
      </c>
      <c r="B10390" t="s">
        <v>14</v>
      </c>
      <c r="C10390" t="s">
        <v>19</v>
      </c>
      <c r="D10390" t="s">
        <v>11</v>
      </c>
      <c r="E10390" t="s">
        <v>12</v>
      </c>
      <c r="F10390">
        <v>85514120</v>
      </c>
      <c r="G10390">
        <v>85514202</v>
      </c>
      <c r="H10390">
        <v>85514218</v>
      </c>
      <c r="I10390">
        <v>85514231</v>
      </c>
    </row>
    <row r="10391" spans="1:9" x14ac:dyDescent="0.2">
      <c r="A10391" s="1" t="str">
        <f>"MCPH1"</f>
        <v>MCPH1</v>
      </c>
      <c r="B10391" t="s">
        <v>14</v>
      </c>
      <c r="C10391" t="s">
        <v>30</v>
      </c>
      <c r="D10391" t="s">
        <v>17</v>
      </c>
      <c r="E10391" t="s">
        <v>12</v>
      </c>
      <c r="F10391">
        <v>6264113</v>
      </c>
      <c r="G10391">
        <v>6264191</v>
      </c>
      <c r="H10391">
        <v>6264113</v>
      </c>
      <c r="I10391">
        <v>6264191</v>
      </c>
    </row>
    <row r="10392" spans="1:9" x14ac:dyDescent="0.2">
      <c r="A10392" s="1" t="str">
        <f>"MCRS1"</f>
        <v>MCRS1</v>
      </c>
      <c r="B10392" t="s">
        <v>14</v>
      </c>
      <c r="C10392" t="s">
        <v>16</v>
      </c>
      <c r="D10392" t="s">
        <v>11</v>
      </c>
      <c r="E10392" t="s">
        <v>12</v>
      </c>
      <c r="F10392">
        <v>49961883</v>
      </c>
      <c r="G10392">
        <v>49961933</v>
      </c>
      <c r="H10392">
        <v>49961627</v>
      </c>
      <c r="I10392">
        <v>49961680</v>
      </c>
    </row>
    <row r="10393" spans="1:9" x14ac:dyDescent="0.2">
      <c r="A10393" s="1" t="str">
        <f>"MCTP1"</f>
        <v>MCTP1</v>
      </c>
      <c r="B10393" t="s">
        <v>14</v>
      </c>
      <c r="C10393" t="s">
        <v>46</v>
      </c>
      <c r="D10393" t="s">
        <v>11</v>
      </c>
      <c r="E10393" t="s">
        <v>12</v>
      </c>
      <c r="F10393">
        <v>94417339</v>
      </c>
      <c r="G10393">
        <v>94417364</v>
      </c>
      <c r="H10393">
        <v>94417314</v>
      </c>
      <c r="I10393">
        <v>94417337</v>
      </c>
    </row>
    <row r="10394" spans="1:9" x14ac:dyDescent="0.2">
      <c r="A10394" s="1" t="str">
        <f>"MCTP2"</f>
        <v>MCTP2</v>
      </c>
      <c r="B10394" t="s">
        <v>803</v>
      </c>
      <c r="C10394" t="s">
        <v>25</v>
      </c>
      <c r="D10394" t="s">
        <v>17</v>
      </c>
      <c r="E10394" t="s">
        <v>20</v>
      </c>
      <c r="F10394">
        <v>94841494</v>
      </c>
      <c r="G10394">
        <v>94841494</v>
      </c>
      <c r="H10394">
        <v>94841494</v>
      </c>
      <c r="I10394">
        <v>94841494</v>
      </c>
    </row>
    <row r="10395" spans="1:9" x14ac:dyDescent="0.2">
      <c r="A10395" s="1" t="str">
        <f>"MCTS1"</f>
        <v>MCTS1</v>
      </c>
      <c r="B10395" t="s">
        <v>14</v>
      </c>
      <c r="C10395" t="s">
        <v>37</v>
      </c>
      <c r="D10395" t="s">
        <v>17</v>
      </c>
      <c r="E10395" t="s">
        <v>12</v>
      </c>
      <c r="F10395">
        <v>119737939</v>
      </c>
      <c r="G10395">
        <v>119738014</v>
      </c>
      <c r="H10395">
        <v>119737904</v>
      </c>
      <c r="I10395">
        <v>119737935</v>
      </c>
    </row>
    <row r="10396" spans="1:9" x14ac:dyDescent="0.2">
      <c r="A10396" s="1" t="str">
        <f>"MCU"</f>
        <v>MCU</v>
      </c>
      <c r="B10396" t="s">
        <v>14</v>
      </c>
      <c r="C10396" t="s">
        <v>15</v>
      </c>
      <c r="D10396" t="s">
        <v>17</v>
      </c>
      <c r="E10396" t="s">
        <v>12</v>
      </c>
      <c r="F10396">
        <v>74451883</v>
      </c>
      <c r="G10396">
        <v>74451912</v>
      </c>
      <c r="H10396">
        <v>74451883</v>
      </c>
      <c r="I10396">
        <v>74451912</v>
      </c>
    </row>
    <row r="10397" spans="1:9" x14ac:dyDescent="0.2">
      <c r="A10397" s="1" t="str">
        <f>"MCUR1"</f>
        <v>MCUR1</v>
      </c>
      <c r="B10397" t="s">
        <v>14</v>
      </c>
      <c r="C10397" t="s">
        <v>32</v>
      </c>
      <c r="D10397" t="s">
        <v>11</v>
      </c>
      <c r="E10397" t="s">
        <v>12</v>
      </c>
      <c r="F10397">
        <v>13814356</v>
      </c>
      <c r="G10397">
        <v>13814456</v>
      </c>
      <c r="H10397">
        <v>13814663</v>
      </c>
      <c r="I10397">
        <v>13814812</v>
      </c>
    </row>
    <row r="10398" spans="1:9" x14ac:dyDescent="0.2">
      <c r="A10398" s="1" t="str">
        <f>"MDC1"</f>
        <v>MDC1</v>
      </c>
      <c r="B10398" t="s">
        <v>14</v>
      </c>
      <c r="C10398" t="s">
        <v>32</v>
      </c>
      <c r="D10398" t="s">
        <v>11</v>
      </c>
      <c r="E10398" t="s">
        <v>12</v>
      </c>
      <c r="F10398">
        <v>30685041</v>
      </c>
      <c r="G10398">
        <v>30685111</v>
      </c>
      <c r="H10398">
        <v>30685214</v>
      </c>
      <c r="I10398">
        <v>30685230</v>
      </c>
    </row>
    <row r="10399" spans="1:9" x14ac:dyDescent="0.2">
      <c r="A10399" s="1" t="str">
        <f>"MDFI"</f>
        <v>MDFI</v>
      </c>
      <c r="B10399" t="s">
        <v>14</v>
      </c>
      <c r="C10399" t="s">
        <v>32</v>
      </c>
      <c r="D10399" t="s">
        <v>17</v>
      </c>
      <c r="E10399" t="s">
        <v>12</v>
      </c>
      <c r="F10399">
        <v>41604747</v>
      </c>
      <c r="G10399">
        <v>41604796</v>
      </c>
      <c r="H10399">
        <v>41604890</v>
      </c>
      <c r="I10399">
        <v>41604947</v>
      </c>
    </row>
    <row r="10400" spans="1:9" x14ac:dyDescent="0.2">
      <c r="A10400" s="1" t="str">
        <f>"MDFIC"</f>
        <v>MDFIC</v>
      </c>
      <c r="B10400" t="s">
        <v>14</v>
      </c>
      <c r="C10400" t="s">
        <v>33</v>
      </c>
      <c r="D10400" t="s">
        <v>17</v>
      </c>
      <c r="E10400" t="s">
        <v>12</v>
      </c>
      <c r="F10400">
        <v>114562475</v>
      </c>
      <c r="G10400">
        <v>114562524</v>
      </c>
      <c r="H10400">
        <v>114562953</v>
      </c>
      <c r="I10400">
        <v>114563033</v>
      </c>
    </row>
    <row r="10401" spans="1:9" x14ac:dyDescent="0.2">
      <c r="A10401" s="1" t="str">
        <f>"MDGA1"</f>
        <v>MDGA1</v>
      </c>
      <c r="B10401" t="s">
        <v>14</v>
      </c>
      <c r="C10401" t="s">
        <v>32</v>
      </c>
      <c r="D10401" t="s">
        <v>11</v>
      </c>
      <c r="E10401" t="s">
        <v>12</v>
      </c>
      <c r="F10401">
        <v>37665651</v>
      </c>
      <c r="G10401">
        <v>37665666</v>
      </c>
      <c r="H10401">
        <v>37665651</v>
      </c>
      <c r="I10401">
        <v>37665666</v>
      </c>
    </row>
    <row r="10402" spans="1:9" x14ac:dyDescent="0.2">
      <c r="A10402" s="1" t="str">
        <f>"MDGA2"</f>
        <v>MDGA2</v>
      </c>
      <c r="B10402" t="s">
        <v>14</v>
      </c>
      <c r="C10402" t="s">
        <v>41</v>
      </c>
      <c r="D10402" t="s">
        <v>11</v>
      </c>
      <c r="E10402" t="s">
        <v>12</v>
      </c>
      <c r="F10402">
        <v>48144503</v>
      </c>
      <c r="G10402">
        <v>48144530</v>
      </c>
      <c r="H10402">
        <v>48144503</v>
      </c>
      <c r="I10402">
        <v>48144530</v>
      </c>
    </row>
    <row r="10403" spans="1:9" x14ac:dyDescent="0.2">
      <c r="A10403" s="1" t="str">
        <f>"MDH1"</f>
        <v>MDH1</v>
      </c>
      <c r="B10403" t="s">
        <v>14</v>
      </c>
      <c r="C10403" t="s">
        <v>26</v>
      </c>
      <c r="D10403" t="s">
        <v>17</v>
      </c>
      <c r="E10403" t="s">
        <v>12</v>
      </c>
      <c r="F10403">
        <v>63816087</v>
      </c>
      <c r="G10403">
        <v>63816124</v>
      </c>
      <c r="H10403">
        <v>63816126</v>
      </c>
      <c r="I10403">
        <v>63816152</v>
      </c>
    </row>
    <row r="10404" spans="1:9" x14ac:dyDescent="0.2">
      <c r="A10404" s="1" t="str">
        <f>"MDH1B"</f>
        <v>MDH1B</v>
      </c>
      <c r="B10404" t="s">
        <v>14</v>
      </c>
      <c r="C10404" t="s">
        <v>26</v>
      </c>
      <c r="D10404" t="s">
        <v>11</v>
      </c>
      <c r="E10404" t="s">
        <v>12</v>
      </c>
      <c r="F10404">
        <v>207629997</v>
      </c>
      <c r="G10404">
        <v>207630030</v>
      </c>
      <c r="H10404">
        <v>207630033</v>
      </c>
      <c r="I10404">
        <v>207630061</v>
      </c>
    </row>
    <row r="10405" spans="1:9" x14ac:dyDescent="0.2">
      <c r="A10405" s="1" t="str">
        <f>"MDH2"</f>
        <v>MDH2</v>
      </c>
      <c r="B10405" t="s">
        <v>14</v>
      </c>
      <c r="C10405" t="s">
        <v>33</v>
      </c>
      <c r="D10405" t="s">
        <v>17</v>
      </c>
      <c r="E10405" t="s">
        <v>12</v>
      </c>
      <c r="F10405">
        <v>75677354</v>
      </c>
      <c r="G10405">
        <v>75677459</v>
      </c>
      <c r="H10405">
        <v>75677465</v>
      </c>
      <c r="I10405">
        <v>75677484</v>
      </c>
    </row>
    <row r="10406" spans="1:9" x14ac:dyDescent="0.2">
      <c r="A10406" s="1" t="str">
        <f>"MDK"</f>
        <v>MDK</v>
      </c>
      <c r="B10406" t="s">
        <v>14</v>
      </c>
      <c r="C10406" t="s">
        <v>27</v>
      </c>
      <c r="D10406" t="s">
        <v>17</v>
      </c>
      <c r="E10406" t="s">
        <v>12</v>
      </c>
      <c r="F10406">
        <v>46403194</v>
      </c>
      <c r="G10406">
        <v>46403242</v>
      </c>
      <c r="H10406">
        <v>46403248</v>
      </c>
      <c r="I10406">
        <v>46403270</v>
      </c>
    </row>
    <row r="10407" spans="1:9" x14ac:dyDescent="0.2">
      <c r="A10407" s="1" t="str">
        <f>"MDM1"</f>
        <v>MDM1</v>
      </c>
      <c r="B10407" t="s">
        <v>14</v>
      </c>
      <c r="C10407" t="s">
        <v>16</v>
      </c>
      <c r="D10407" t="s">
        <v>11</v>
      </c>
      <c r="E10407" t="s">
        <v>12</v>
      </c>
      <c r="F10407">
        <v>68726052</v>
      </c>
      <c r="G10407">
        <v>68726117</v>
      </c>
      <c r="H10407">
        <v>68726131</v>
      </c>
      <c r="I10407">
        <v>68726159</v>
      </c>
    </row>
    <row r="10408" spans="1:9" x14ac:dyDescent="0.2">
      <c r="A10408" s="1" t="str">
        <f>"MDM2"</f>
        <v>MDM2</v>
      </c>
      <c r="B10408" t="s">
        <v>14</v>
      </c>
      <c r="C10408" t="s">
        <v>16</v>
      </c>
      <c r="D10408" t="s">
        <v>17</v>
      </c>
      <c r="E10408" t="s">
        <v>12</v>
      </c>
      <c r="F10408">
        <v>69201923</v>
      </c>
      <c r="G10408">
        <v>69202028</v>
      </c>
      <c r="H10408">
        <v>69202795</v>
      </c>
      <c r="I10408">
        <v>69202810</v>
      </c>
    </row>
    <row r="10409" spans="1:9" x14ac:dyDescent="0.2">
      <c r="A10409" s="1" t="str">
        <f>"MDM4"</f>
        <v>MDM4</v>
      </c>
      <c r="B10409" t="s">
        <v>14</v>
      </c>
      <c r="C10409" t="s">
        <v>19</v>
      </c>
      <c r="D10409" t="s">
        <v>17</v>
      </c>
      <c r="E10409" t="s">
        <v>12</v>
      </c>
      <c r="F10409">
        <v>204485503</v>
      </c>
      <c r="G10409">
        <v>204485555</v>
      </c>
      <c r="H10409">
        <v>204485503</v>
      </c>
      <c r="I10409">
        <v>204485555</v>
      </c>
    </row>
    <row r="10410" spans="1:9" x14ac:dyDescent="0.2">
      <c r="A10410" s="1" t="str">
        <f>"MDN1"</f>
        <v>MDN1</v>
      </c>
      <c r="B10410" t="s">
        <v>14</v>
      </c>
      <c r="C10410" t="s">
        <v>32</v>
      </c>
      <c r="D10410" t="s">
        <v>11</v>
      </c>
      <c r="E10410" t="s">
        <v>12</v>
      </c>
      <c r="F10410">
        <v>90529418</v>
      </c>
      <c r="G10410">
        <v>90529528</v>
      </c>
      <c r="H10410">
        <v>90529418</v>
      </c>
      <c r="I10410">
        <v>90529528</v>
      </c>
    </row>
    <row r="10411" spans="1:9" x14ac:dyDescent="0.2">
      <c r="A10411" s="1" t="str">
        <f>"MDP1"</f>
        <v>MDP1</v>
      </c>
      <c r="B10411" t="s">
        <v>14</v>
      </c>
      <c r="C10411" t="s">
        <v>41</v>
      </c>
      <c r="D10411" t="s">
        <v>11</v>
      </c>
      <c r="E10411" t="s">
        <v>12</v>
      </c>
      <c r="F10411">
        <v>24685246</v>
      </c>
      <c r="G10411">
        <v>24685287</v>
      </c>
      <c r="H10411">
        <v>24685160</v>
      </c>
      <c r="I10411">
        <v>24685201</v>
      </c>
    </row>
    <row r="10412" spans="1:9" x14ac:dyDescent="0.2">
      <c r="A10412" s="1" t="str">
        <f>"ME1"</f>
        <v>ME1</v>
      </c>
      <c r="B10412" t="s">
        <v>14</v>
      </c>
      <c r="C10412" t="s">
        <v>32</v>
      </c>
      <c r="D10412" t="s">
        <v>11</v>
      </c>
      <c r="E10412" t="s">
        <v>12</v>
      </c>
      <c r="F10412">
        <v>84140757</v>
      </c>
      <c r="G10412">
        <v>84140803</v>
      </c>
      <c r="H10412">
        <v>84140892</v>
      </c>
      <c r="I10412">
        <v>84140924</v>
      </c>
    </row>
    <row r="10413" spans="1:9" x14ac:dyDescent="0.2">
      <c r="A10413" s="1" t="str">
        <f>"ME2"</f>
        <v>ME2</v>
      </c>
      <c r="B10413" t="s">
        <v>14</v>
      </c>
      <c r="C10413" t="s">
        <v>43</v>
      </c>
      <c r="D10413" t="s">
        <v>17</v>
      </c>
      <c r="E10413" t="s">
        <v>12</v>
      </c>
      <c r="F10413">
        <v>48405463</v>
      </c>
      <c r="G10413">
        <v>48405551</v>
      </c>
      <c r="H10413">
        <v>48405426</v>
      </c>
      <c r="I10413">
        <v>48405458</v>
      </c>
    </row>
    <row r="10414" spans="1:9" x14ac:dyDescent="0.2">
      <c r="A10414" s="1" t="str">
        <f>"ME3"</f>
        <v>ME3</v>
      </c>
      <c r="B10414" t="s">
        <v>14</v>
      </c>
      <c r="C10414" t="s">
        <v>27</v>
      </c>
      <c r="D10414" t="s">
        <v>11</v>
      </c>
      <c r="E10414" t="s">
        <v>12</v>
      </c>
      <c r="F10414">
        <v>86383370</v>
      </c>
      <c r="G10414">
        <v>86383441</v>
      </c>
      <c r="H10414">
        <v>86383157</v>
      </c>
      <c r="I10414">
        <v>86383234</v>
      </c>
    </row>
    <row r="10415" spans="1:9" x14ac:dyDescent="0.2">
      <c r="A10415" s="1" t="str">
        <f>"MEA1"</f>
        <v>MEA1</v>
      </c>
      <c r="B10415" t="s">
        <v>14</v>
      </c>
      <c r="C10415" t="s">
        <v>32</v>
      </c>
      <c r="D10415" t="s">
        <v>11</v>
      </c>
      <c r="E10415" t="s">
        <v>12</v>
      </c>
      <c r="F10415">
        <v>42981651</v>
      </c>
      <c r="G10415">
        <v>42981695</v>
      </c>
      <c r="H10415">
        <v>42981600</v>
      </c>
      <c r="I10415">
        <v>42981631</v>
      </c>
    </row>
    <row r="10416" spans="1:9" x14ac:dyDescent="0.2">
      <c r="A10416" s="1" t="str">
        <f>"MEAF6"</f>
        <v>MEAF6</v>
      </c>
      <c r="B10416" t="s">
        <v>14</v>
      </c>
      <c r="C10416" t="s">
        <v>19</v>
      </c>
      <c r="D10416" t="s">
        <v>11</v>
      </c>
      <c r="E10416" t="s">
        <v>12</v>
      </c>
      <c r="F10416">
        <v>37980344</v>
      </c>
      <c r="G10416">
        <v>37980383</v>
      </c>
      <c r="H10416">
        <v>37980344</v>
      </c>
      <c r="I10416">
        <v>37980383</v>
      </c>
    </row>
    <row r="10417" spans="1:9" x14ac:dyDescent="0.2">
      <c r="A10417" s="1" t="str">
        <f>"MECOM"</f>
        <v>MECOM</v>
      </c>
      <c r="B10417" t="s">
        <v>14</v>
      </c>
      <c r="C10417" t="s">
        <v>22</v>
      </c>
      <c r="D10417" t="s">
        <v>11</v>
      </c>
      <c r="E10417" t="s">
        <v>12</v>
      </c>
      <c r="F10417">
        <v>169381420</v>
      </c>
      <c r="G10417">
        <v>169381535</v>
      </c>
      <c r="H10417">
        <v>169381420</v>
      </c>
      <c r="I10417">
        <v>169381535</v>
      </c>
    </row>
    <row r="10418" spans="1:9" x14ac:dyDescent="0.2">
      <c r="A10418" s="1" t="str">
        <f>"MECP2"</f>
        <v>MECP2</v>
      </c>
      <c r="B10418" t="s">
        <v>14</v>
      </c>
      <c r="C10418" t="s">
        <v>37</v>
      </c>
      <c r="D10418" t="s">
        <v>11</v>
      </c>
      <c r="E10418" t="s">
        <v>12</v>
      </c>
      <c r="F10418">
        <v>153363125</v>
      </c>
      <c r="G10418">
        <v>153363182</v>
      </c>
      <c r="H10418">
        <v>153363188</v>
      </c>
      <c r="I10418">
        <v>153363203</v>
      </c>
    </row>
    <row r="10419" spans="1:9" x14ac:dyDescent="0.2">
      <c r="A10419" s="1" t="str">
        <f>"MECR"</f>
        <v>MECR</v>
      </c>
      <c r="B10419" t="s">
        <v>14</v>
      </c>
      <c r="C10419" t="s">
        <v>19</v>
      </c>
      <c r="D10419" t="s">
        <v>11</v>
      </c>
      <c r="E10419" t="s">
        <v>12</v>
      </c>
      <c r="F10419">
        <v>29557383</v>
      </c>
      <c r="G10419">
        <v>29557469</v>
      </c>
      <c r="H10419">
        <v>29557366</v>
      </c>
      <c r="I10419">
        <v>29557377</v>
      </c>
    </row>
    <row r="10420" spans="1:9" x14ac:dyDescent="0.2">
      <c r="A10420" s="1" t="str">
        <f>"MED1"</f>
        <v>MED1</v>
      </c>
      <c r="B10420" t="s">
        <v>14</v>
      </c>
      <c r="C10420" t="s">
        <v>28</v>
      </c>
      <c r="D10420" t="s">
        <v>11</v>
      </c>
      <c r="E10420" t="s">
        <v>12</v>
      </c>
      <c r="F10420">
        <v>37607497</v>
      </c>
      <c r="G10420">
        <v>37607532</v>
      </c>
      <c r="H10420">
        <v>37607468</v>
      </c>
      <c r="I10420">
        <v>37607479</v>
      </c>
    </row>
    <row r="10421" spans="1:9" x14ac:dyDescent="0.2">
      <c r="A10421" s="1" t="str">
        <f>"MED10"</f>
        <v>MED10</v>
      </c>
      <c r="B10421" t="s">
        <v>14</v>
      </c>
      <c r="C10421" t="s">
        <v>46</v>
      </c>
      <c r="D10421" t="s">
        <v>11</v>
      </c>
      <c r="E10421" t="s">
        <v>12</v>
      </c>
      <c r="F10421">
        <v>6378614</v>
      </c>
      <c r="G10421">
        <v>6378695</v>
      </c>
      <c r="H10421">
        <v>6378596</v>
      </c>
      <c r="I10421">
        <v>6378612</v>
      </c>
    </row>
    <row r="10422" spans="1:9" x14ac:dyDescent="0.2">
      <c r="A10422" s="1" t="str">
        <f>"MED11"</f>
        <v>MED11</v>
      </c>
      <c r="B10422" t="s">
        <v>14</v>
      </c>
      <c r="C10422" t="s">
        <v>28</v>
      </c>
      <c r="D10422" t="s">
        <v>17</v>
      </c>
      <c r="E10422" t="s">
        <v>12</v>
      </c>
      <c r="F10422">
        <v>4634705</v>
      </c>
      <c r="G10422">
        <v>4634736</v>
      </c>
      <c r="H10422">
        <v>4634752</v>
      </c>
      <c r="I10422">
        <v>4634765</v>
      </c>
    </row>
    <row r="10423" spans="1:9" x14ac:dyDescent="0.2">
      <c r="A10423" s="1" t="str">
        <f>"MED12"</f>
        <v>MED12</v>
      </c>
      <c r="B10423" t="s">
        <v>14</v>
      </c>
      <c r="C10423" t="s">
        <v>37</v>
      </c>
      <c r="D10423" t="s">
        <v>17</v>
      </c>
      <c r="E10423" t="s">
        <v>12</v>
      </c>
      <c r="F10423">
        <v>70338427</v>
      </c>
      <c r="G10423">
        <v>70338498</v>
      </c>
      <c r="H10423">
        <v>70338552</v>
      </c>
      <c r="I10423">
        <v>70338596</v>
      </c>
    </row>
    <row r="10424" spans="1:9" x14ac:dyDescent="0.2">
      <c r="A10424" s="1" t="str">
        <f>"MED12L"</f>
        <v>MED12L</v>
      </c>
      <c r="B10424" t="s">
        <v>14</v>
      </c>
      <c r="C10424" t="s">
        <v>22</v>
      </c>
      <c r="D10424" t="s">
        <v>17</v>
      </c>
      <c r="E10424" t="s">
        <v>12</v>
      </c>
      <c r="F10424">
        <v>150803443</v>
      </c>
      <c r="G10424">
        <v>150803523</v>
      </c>
      <c r="H10424">
        <v>150803551</v>
      </c>
      <c r="I10424">
        <v>150803570</v>
      </c>
    </row>
    <row r="10425" spans="1:9" x14ac:dyDescent="0.2">
      <c r="A10425" s="1" t="str">
        <f>"MED13"</f>
        <v>MED13</v>
      </c>
      <c r="B10425" t="s">
        <v>14</v>
      </c>
      <c r="C10425" t="s">
        <v>28</v>
      </c>
      <c r="D10425" t="s">
        <v>11</v>
      </c>
      <c r="E10425" t="s">
        <v>12</v>
      </c>
      <c r="F10425">
        <v>60142609</v>
      </c>
      <c r="G10425">
        <v>60142657</v>
      </c>
      <c r="H10425">
        <v>60142609</v>
      </c>
      <c r="I10425">
        <v>60142657</v>
      </c>
    </row>
    <row r="10426" spans="1:9" x14ac:dyDescent="0.2">
      <c r="A10426" s="1" t="str">
        <f>"MED13L"</f>
        <v>MED13L</v>
      </c>
      <c r="B10426" t="s">
        <v>14</v>
      </c>
      <c r="C10426" t="s">
        <v>16</v>
      </c>
      <c r="D10426" t="s">
        <v>11</v>
      </c>
      <c r="E10426" t="s">
        <v>12</v>
      </c>
      <c r="F10426">
        <v>116715483</v>
      </c>
      <c r="G10426">
        <v>116715524</v>
      </c>
      <c r="H10426">
        <v>116715340</v>
      </c>
      <c r="I10426">
        <v>116715396</v>
      </c>
    </row>
    <row r="10427" spans="1:9" x14ac:dyDescent="0.2">
      <c r="A10427" s="1" t="str">
        <f>"MED14"</f>
        <v>MED14</v>
      </c>
      <c r="B10427" t="s">
        <v>14</v>
      </c>
      <c r="C10427" t="s">
        <v>37</v>
      </c>
      <c r="D10427" t="s">
        <v>11</v>
      </c>
      <c r="E10427" t="s">
        <v>12</v>
      </c>
      <c r="F10427">
        <v>40595090</v>
      </c>
      <c r="G10427">
        <v>40595176</v>
      </c>
      <c r="H10427">
        <v>40594755</v>
      </c>
      <c r="I10427">
        <v>40594809</v>
      </c>
    </row>
    <row r="10428" spans="1:9" x14ac:dyDescent="0.2">
      <c r="A10428" s="1" t="str">
        <f>"MED15"</f>
        <v>MED15</v>
      </c>
      <c r="B10428" t="s">
        <v>9</v>
      </c>
      <c r="C10428" t="s">
        <v>21</v>
      </c>
      <c r="D10428" t="s">
        <v>17</v>
      </c>
      <c r="E10428" t="s">
        <v>12</v>
      </c>
      <c r="F10428">
        <v>20861858</v>
      </c>
      <c r="G10428">
        <v>20861914</v>
      </c>
      <c r="H10428">
        <v>20861858</v>
      </c>
      <c r="I10428">
        <v>20861914</v>
      </c>
    </row>
    <row r="10429" spans="1:9" x14ac:dyDescent="0.2">
      <c r="A10429" s="1" t="str">
        <f>"MED15"</f>
        <v>MED15</v>
      </c>
      <c r="B10429" t="s">
        <v>13</v>
      </c>
      <c r="C10429" t="s">
        <v>21</v>
      </c>
      <c r="D10429" t="s">
        <v>17</v>
      </c>
      <c r="E10429" t="s">
        <v>12</v>
      </c>
      <c r="F10429">
        <v>20850257</v>
      </c>
      <c r="G10429">
        <v>20850310</v>
      </c>
      <c r="H10429">
        <v>20850257</v>
      </c>
      <c r="I10429">
        <v>20850310</v>
      </c>
    </row>
    <row r="10430" spans="1:9" x14ac:dyDescent="0.2">
      <c r="A10430" s="1" t="str">
        <f>"MED16"</f>
        <v>MED16</v>
      </c>
      <c r="B10430" t="s">
        <v>14</v>
      </c>
      <c r="C10430" t="s">
        <v>10</v>
      </c>
      <c r="D10430" t="s">
        <v>11</v>
      </c>
      <c r="E10430" t="s">
        <v>12</v>
      </c>
      <c r="F10430">
        <v>893172</v>
      </c>
      <c r="G10430">
        <v>893194</v>
      </c>
      <c r="H10430">
        <v>893200</v>
      </c>
      <c r="I10430">
        <v>893222</v>
      </c>
    </row>
    <row r="10431" spans="1:9" x14ac:dyDescent="0.2">
      <c r="A10431" s="1" t="str">
        <f>"MED17"</f>
        <v>MED17</v>
      </c>
      <c r="B10431" t="s">
        <v>14</v>
      </c>
      <c r="C10431" t="s">
        <v>27</v>
      </c>
      <c r="D10431" t="s">
        <v>17</v>
      </c>
      <c r="E10431" t="s">
        <v>12</v>
      </c>
      <c r="F10431">
        <v>93517438</v>
      </c>
      <c r="G10431">
        <v>93517465</v>
      </c>
      <c r="H10431">
        <v>93517480</v>
      </c>
      <c r="I10431">
        <v>93517510</v>
      </c>
    </row>
    <row r="10432" spans="1:9" x14ac:dyDescent="0.2">
      <c r="A10432" s="1" t="str">
        <f>"MED18"</f>
        <v>MED18</v>
      </c>
      <c r="B10432" t="s">
        <v>14</v>
      </c>
      <c r="C10432" t="s">
        <v>19</v>
      </c>
      <c r="D10432" t="s">
        <v>17</v>
      </c>
      <c r="E10432" t="s">
        <v>12</v>
      </c>
      <c r="F10432">
        <v>28655505</v>
      </c>
      <c r="G10432">
        <v>28655629</v>
      </c>
      <c r="H10432">
        <v>28655645</v>
      </c>
      <c r="I10432">
        <v>28655656</v>
      </c>
    </row>
    <row r="10433" spans="1:9" x14ac:dyDescent="0.2">
      <c r="A10433" s="1" t="str">
        <f>"MED19"</f>
        <v>MED19</v>
      </c>
      <c r="B10433" t="s">
        <v>14</v>
      </c>
      <c r="C10433" t="s">
        <v>27</v>
      </c>
      <c r="D10433" t="s">
        <v>11</v>
      </c>
      <c r="E10433" t="s">
        <v>12</v>
      </c>
      <c r="F10433">
        <v>57479677</v>
      </c>
      <c r="G10433">
        <v>57479698</v>
      </c>
      <c r="H10433">
        <v>57479701</v>
      </c>
      <c r="I10433">
        <v>57479715</v>
      </c>
    </row>
    <row r="10434" spans="1:9" x14ac:dyDescent="0.2">
      <c r="A10434" s="1" t="str">
        <f>"MED20"</f>
        <v>MED20</v>
      </c>
      <c r="B10434" t="s">
        <v>14</v>
      </c>
      <c r="C10434" t="s">
        <v>32</v>
      </c>
      <c r="D10434" t="s">
        <v>11</v>
      </c>
      <c r="E10434" t="s">
        <v>12</v>
      </c>
      <c r="F10434">
        <v>41888846</v>
      </c>
      <c r="G10434">
        <v>41888885</v>
      </c>
      <c r="H10434">
        <v>41888814</v>
      </c>
      <c r="I10434">
        <v>41888836</v>
      </c>
    </row>
    <row r="10435" spans="1:9" x14ac:dyDescent="0.2">
      <c r="A10435" s="1" t="str">
        <f>"MED21"</f>
        <v>MED21</v>
      </c>
      <c r="B10435" t="s">
        <v>14</v>
      </c>
      <c r="C10435" t="s">
        <v>16</v>
      </c>
      <c r="D10435" t="s">
        <v>17</v>
      </c>
      <c r="E10435" t="s">
        <v>12</v>
      </c>
      <c r="F10435">
        <v>27175476</v>
      </c>
      <c r="G10435">
        <v>27175518</v>
      </c>
      <c r="H10435">
        <v>27175476</v>
      </c>
      <c r="I10435">
        <v>27175518</v>
      </c>
    </row>
    <row r="10436" spans="1:9" x14ac:dyDescent="0.2">
      <c r="A10436" s="1" t="str">
        <f>"MED22"</f>
        <v>MED22</v>
      </c>
      <c r="B10436" t="s">
        <v>14</v>
      </c>
      <c r="C10436" t="s">
        <v>24</v>
      </c>
      <c r="D10436" t="s">
        <v>11</v>
      </c>
      <c r="E10436" t="s">
        <v>12</v>
      </c>
      <c r="F10436">
        <v>136214894</v>
      </c>
      <c r="G10436">
        <v>136214995</v>
      </c>
      <c r="H10436">
        <v>136214631</v>
      </c>
      <c r="I10436">
        <v>136214665</v>
      </c>
    </row>
    <row r="10437" spans="1:9" x14ac:dyDescent="0.2">
      <c r="A10437" s="1" t="str">
        <f>"MED23"</f>
        <v>MED23</v>
      </c>
      <c r="B10437" t="s">
        <v>14</v>
      </c>
      <c r="C10437" t="s">
        <v>32</v>
      </c>
      <c r="D10437" t="s">
        <v>11</v>
      </c>
      <c r="E10437" t="s">
        <v>12</v>
      </c>
      <c r="F10437">
        <v>131949305</v>
      </c>
      <c r="G10437">
        <v>131949389</v>
      </c>
      <c r="H10437">
        <v>131949244</v>
      </c>
      <c r="I10437">
        <v>131949299</v>
      </c>
    </row>
    <row r="10438" spans="1:9" x14ac:dyDescent="0.2">
      <c r="A10438" s="1" t="str">
        <f>"MED24"</f>
        <v>MED24</v>
      </c>
      <c r="B10438" t="s">
        <v>14</v>
      </c>
      <c r="C10438" t="s">
        <v>28</v>
      </c>
      <c r="D10438" t="s">
        <v>11</v>
      </c>
      <c r="E10438" t="s">
        <v>12</v>
      </c>
      <c r="F10438">
        <v>38210644</v>
      </c>
      <c r="G10438">
        <v>38210675</v>
      </c>
      <c r="H10438">
        <v>38210644</v>
      </c>
      <c r="I10438">
        <v>38210675</v>
      </c>
    </row>
    <row r="10439" spans="1:9" x14ac:dyDescent="0.2">
      <c r="A10439" s="1" t="str">
        <f>"MED25"</f>
        <v>MED25</v>
      </c>
      <c r="B10439" t="s">
        <v>14</v>
      </c>
      <c r="C10439" t="s">
        <v>10</v>
      </c>
      <c r="D10439" t="s">
        <v>17</v>
      </c>
      <c r="E10439" t="s">
        <v>12</v>
      </c>
      <c r="F10439">
        <v>50321528</v>
      </c>
      <c r="G10439">
        <v>50321579</v>
      </c>
      <c r="H10439">
        <v>50321799</v>
      </c>
      <c r="I10439">
        <v>50321817</v>
      </c>
    </row>
    <row r="10440" spans="1:9" x14ac:dyDescent="0.2">
      <c r="A10440" s="1" t="str">
        <f>"MED26"</f>
        <v>MED26</v>
      </c>
      <c r="B10440" t="s">
        <v>14</v>
      </c>
      <c r="C10440" t="s">
        <v>10</v>
      </c>
      <c r="D10440" t="s">
        <v>11</v>
      </c>
      <c r="E10440" t="s">
        <v>12</v>
      </c>
      <c r="F10440">
        <v>16738998</v>
      </c>
      <c r="G10440">
        <v>16739024</v>
      </c>
      <c r="H10440">
        <v>16739031</v>
      </c>
      <c r="I10440">
        <v>16739038</v>
      </c>
    </row>
    <row r="10441" spans="1:9" x14ac:dyDescent="0.2">
      <c r="A10441" s="1" t="str">
        <f>"MED27"</f>
        <v>MED27</v>
      </c>
      <c r="B10441" t="s">
        <v>14</v>
      </c>
      <c r="C10441" t="s">
        <v>24</v>
      </c>
      <c r="D10441" t="s">
        <v>11</v>
      </c>
      <c r="E10441" t="s">
        <v>12</v>
      </c>
      <c r="F10441">
        <v>134955246</v>
      </c>
      <c r="G10441">
        <v>134955261</v>
      </c>
      <c r="H10441">
        <v>134955246</v>
      </c>
      <c r="I10441">
        <v>134955261</v>
      </c>
    </row>
    <row r="10442" spans="1:9" x14ac:dyDescent="0.2">
      <c r="A10442" s="1" t="str">
        <f>"MED28"</f>
        <v>MED28</v>
      </c>
      <c r="B10442" t="s">
        <v>14</v>
      </c>
      <c r="C10442" t="s">
        <v>23</v>
      </c>
      <c r="D10442" t="s">
        <v>17</v>
      </c>
      <c r="E10442" t="s">
        <v>12</v>
      </c>
      <c r="F10442">
        <v>17616253</v>
      </c>
      <c r="G10442">
        <v>17616275</v>
      </c>
      <c r="H10442">
        <v>17616325</v>
      </c>
      <c r="I10442">
        <v>17616335</v>
      </c>
    </row>
    <row r="10443" spans="1:9" x14ac:dyDescent="0.2">
      <c r="A10443" s="1" t="str">
        <f>"MED29"</f>
        <v>MED29</v>
      </c>
      <c r="B10443" t="s">
        <v>14</v>
      </c>
      <c r="C10443" t="s">
        <v>10</v>
      </c>
      <c r="D10443" t="s">
        <v>17</v>
      </c>
      <c r="E10443" t="s">
        <v>12</v>
      </c>
      <c r="F10443">
        <v>39882010</v>
      </c>
      <c r="G10443">
        <v>39882064</v>
      </c>
      <c r="H10443">
        <v>39882010</v>
      </c>
      <c r="I10443">
        <v>39882064</v>
      </c>
    </row>
    <row r="10444" spans="1:9" x14ac:dyDescent="0.2">
      <c r="A10444" s="1" t="str">
        <f>"MED30"</f>
        <v>MED30</v>
      </c>
      <c r="B10444" t="s">
        <v>14</v>
      </c>
      <c r="C10444" t="s">
        <v>30</v>
      </c>
      <c r="D10444" t="s">
        <v>17</v>
      </c>
      <c r="E10444" t="s">
        <v>12</v>
      </c>
      <c r="F10444">
        <v>118532937</v>
      </c>
      <c r="G10444">
        <v>118532997</v>
      </c>
      <c r="H10444">
        <v>118533006</v>
      </c>
      <c r="I10444">
        <v>118533046</v>
      </c>
    </row>
    <row r="10445" spans="1:9" x14ac:dyDescent="0.2">
      <c r="A10445" s="1" t="str">
        <f>"MED31"</f>
        <v>MED31</v>
      </c>
      <c r="B10445" t="s">
        <v>14</v>
      </c>
      <c r="C10445" t="s">
        <v>28</v>
      </c>
      <c r="D10445" t="s">
        <v>11</v>
      </c>
      <c r="E10445" t="s">
        <v>12</v>
      </c>
      <c r="F10445">
        <v>6554877</v>
      </c>
      <c r="G10445">
        <v>6554940</v>
      </c>
      <c r="H10445">
        <v>6554780</v>
      </c>
      <c r="I10445">
        <v>6554802</v>
      </c>
    </row>
    <row r="10446" spans="1:9" x14ac:dyDescent="0.2">
      <c r="A10446" s="1" t="str">
        <f>"MED4"</f>
        <v>MED4</v>
      </c>
      <c r="B10446" t="s">
        <v>14</v>
      </c>
      <c r="C10446" t="s">
        <v>39</v>
      </c>
      <c r="D10446" t="s">
        <v>11</v>
      </c>
      <c r="E10446" t="s">
        <v>12</v>
      </c>
      <c r="F10446">
        <v>48669232</v>
      </c>
      <c r="G10446">
        <v>48669264</v>
      </c>
      <c r="H10446">
        <v>48669212</v>
      </c>
      <c r="I10446">
        <v>48669231</v>
      </c>
    </row>
    <row r="10447" spans="1:9" x14ac:dyDescent="0.2">
      <c r="A10447" s="1" t="str">
        <f>"MED6"</f>
        <v>MED6</v>
      </c>
      <c r="B10447" t="s">
        <v>14</v>
      </c>
      <c r="C10447" t="s">
        <v>41</v>
      </c>
      <c r="D10447" t="s">
        <v>11</v>
      </c>
      <c r="E10447" t="s">
        <v>12</v>
      </c>
      <c r="F10447">
        <v>71067360</v>
      </c>
      <c r="G10447">
        <v>71067400</v>
      </c>
      <c r="H10447">
        <v>71067360</v>
      </c>
      <c r="I10447">
        <v>71067400</v>
      </c>
    </row>
    <row r="10448" spans="1:9" x14ac:dyDescent="0.2">
      <c r="A10448" s="1" t="str">
        <f>"MED7"</f>
        <v>MED7</v>
      </c>
      <c r="B10448" t="s">
        <v>14</v>
      </c>
      <c r="C10448" t="s">
        <v>46</v>
      </c>
      <c r="D10448" t="s">
        <v>11</v>
      </c>
      <c r="E10448" t="s">
        <v>12</v>
      </c>
      <c r="F10448">
        <v>156569754</v>
      </c>
      <c r="G10448">
        <v>156569775</v>
      </c>
      <c r="H10448">
        <v>156570620</v>
      </c>
      <c r="I10448">
        <v>156570658</v>
      </c>
    </row>
    <row r="10449" spans="1:9" x14ac:dyDescent="0.2">
      <c r="A10449" s="1" t="str">
        <f>"MED8"</f>
        <v>MED8</v>
      </c>
      <c r="B10449" t="s">
        <v>14</v>
      </c>
      <c r="C10449" t="s">
        <v>19</v>
      </c>
      <c r="D10449" t="s">
        <v>11</v>
      </c>
      <c r="E10449" t="s">
        <v>12</v>
      </c>
      <c r="F10449">
        <v>43855444</v>
      </c>
      <c r="G10449">
        <v>43855478</v>
      </c>
      <c r="H10449">
        <v>43855479</v>
      </c>
      <c r="I10449">
        <v>43855486</v>
      </c>
    </row>
    <row r="10450" spans="1:9" x14ac:dyDescent="0.2">
      <c r="A10450" s="1" t="str">
        <f>"MED9"</f>
        <v>MED9</v>
      </c>
      <c r="B10450" t="s">
        <v>14</v>
      </c>
      <c r="C10450" t="s">
        <v>28</v>
      </c>
      <c r="D10450" t="s">
        <v>17</v>
      </c>
      <c r="E10450" t="s">
        <v>12</v>
      </c>
      <c r="F10450">
        <v>17380294</v>
      </c>
      <c r="G10450">
        <v>17380351</v>
      </c>
      <c r="H10450">
        <v>17380352</v>
      </c>
      <c r="I10450">
        <v>17380359</v>
      </c>
    </row>
    <row r="10451" spans="1:9" x14ac:dyDescent="0.2">
      <c r="A10451" s="1" t="str">
        <f>"MEDAG"</f>
        <v>MEDAG</v>
      </c>
      <c r="B10451" t="s">
        <v>14</v>
      </c>
      <c r="C10451" t="s">
        <v>39</v>
      </c>
      <c r="D10451" t="s">
        <v>17</v>
      </c>
      <c r="E10451" t="s">
        <v>12</v>
      </c>
      <c r="F10451">
        <v>31480400</v>
      </c>
      <c r="G10451">
        <v>31480421</v>
      </c>
      <c r="H10451">
        <v>31480400</v>
      </c>
      <c r="I10451">
        <v>31480421</v>
      </c>
    </row>
    <row r="10452" spans="1:9" x14ac:dyDescent="0.2">
      <c r="A10452" s="1" t="str">
        <f>"MEF2A"</f>
        <v>MEF2A</v>
      </c>
      <c r="B10452" t="s">
        <v>14</v>
      </c>
      <c r="C10452" t="s">
        <v>25</v>
      </c>
      <c r="D10452" t="s">
        <v>17</v>
      </c>
      <c r="E10452" t="s">
        <v>12</v>
      </c>
      <c r="F10452">
        <v>100106155</v>
      </c>
      <c r="G10452">
        <v>100106243</v>
      </c>
      <c r="H10452">
        <v>100106244</v>
      </c>
      <c r="I10452">
        <v>100106259</v>
      </c>
    </row>
    <row r="10453" spans="1:9" x14ac:dyDescent="0.2">
      <c r="A10453" s="1" t="str">
        <f>"MEF2B"</f>
        <v>MEF2B</v>
      </c>
      <c r="B10453" t="s">
        <v>14</v>
      </c>
      <c r="C10453" t="s">
        <v>10</v>
      </c>
      <c r="D10453" t="s">
        <v>11</v>
      </c>
      <c r="E10453" t="s">
        <v>12</v>
      </c>
      <c r="F10453">
        <v>19302931</v>
      </c>
      <c r="G10453">
        <v>19302974</v>
      </c>
      <c r="H10453">
        <v>19302931</v>
      </c>
      <c r="I10453">
        <v>19302974</v>
      </c>
    </row>
    <row r="10454" spans="1:9" x14ac:dyDescent="0.2">
      <c r="A10454" s="1" t="str">
        <f>"MEF2BNB"</f>
        <v>MEF2BNB</v>
      </c>
      <c r="B10454" t="s">
        <v>14</v>
      </c>
      <c r="C10454" t="s">
        <v>10</v>
      </c>
      <c r="D10454" t="s">
        <v>11</v>
      </c>
      <c r="E10454" t="s">
        <v>12</v>
      </c>
      <c r="F10454">
        <v>19302931</v>
      </c>
      <c r="G10454">
        <v>19302974</v>
      </c>
      <c r="H10454">
        <v>19303413</v>
      </c>
      <c r="I10454">
        <v>19303441</v>
      </c>
    </row>
    <row r="10455" spans="1:9" x14ac:dyDescent="0.2">
      <c r="A10455" s="1" t="str">
        <f>"MEF2BNB-MEF2B"</f>
        <v>MEF2BNB-MEF2B</v>
      </c>
      <c r="B10455" t="s">
        <v>14</v>
      </c>
      <c r="C10455" t="s">
        <v>10</v>
      </c>
      <c r="D10455" t="s">
        <v>11</v>
      </c>
      <c r="E10455" t="s">
        <v>12</v>
      </c>
      <c r="F10455">
        <v>19302931</v>
      </c>
      <c r="G10455">
        <v>19302974</v>
      </c>
      <c r="H10455">
        <v>19302931</v>
      </c>
      <c r="I10455">
        <v>19302974</v>
      </c>
    </row>
    <row r="10456" spans="1:9" x14ac:dyDescent="0.2">
      <c r="A10456" s="1" t="str">
        <f>"MEF2C"</f>
        <v>MEF2C</v>
      </c>
      <c r="B10456" t="s">
        <v>14</v>
      </c>
      <c r="C10456" t="s">
        <v>46</v>
      </c>
      <c r="D10456" t="s">
        <v>11</v>
      </c>
      <c r="E10456" t="s">
        <v>12</v>
      </c>
      <c r="F10456">
        <v>88178983</v>
      </c>
      <c r="G10456">
        <v>88179012</v>
      </c>
      <c r="H10456">
        <v>88179017</v>
      </c>
      <c r="I10456">
        <v>88179046</v>
      </c>
    </row>
    <row r="10457" spans="1:9" x14ac:dyDescent="0.2">
      <c r="A10457" s="1" t="str">
        <f>"MEF2D"</f>
        <v>MEF2D</v>
      </c>
      <c r="B10457" t="s">
        <v>14</v>
      </c>
      <c r="C10457" t="s">
        <v>19</v>
      </c>
      <c r="D10457" t="s">
        <v>11</v>
      </c>
      <c r="E10457" t="s">
        <v>12</v>
      </c>
      <c r="F10457">
        <v>156470556</v>
      </c>
      <c r="G10457">
        <v>156470643</v>
      </c>
      <c r="H10457">
        <v>156470515</v>
      </c>
      <c r="I10457">
        <v>156470542</v>
      </c>
    </row>
    <row r="10458" spans="1:9" x14ac:dyDescent="0.2">
      <c r="A10458" s="1" t="str">
        <f>"MEFV"</f>
        <v>MEFV</v>
      </c>
      <c r="B10458" t="s">
        <v>14</v>
      </c>
      <c r="C10458" t="s">
        <v>31</v>
      </c>
      <c r="D10458" t="s">
        <v>11</v>
      </c>
      <c r="E10458" t="s">
        <v>12</v>
      </c>
      <c r="F10458">
        <v>3306615</v>
      </c>
      <c r="G10458">
        <v>3306657</v>
      </c>
      <c r="H10458">
        <v>3306615</v>
      </c>
      <c r="I10458">
        <v>3306657</v>
      </c>
    </row>
    <row r="10459" spans="1:9" x14ac:dyDescent="0.2">
      <c r="A10459" s="1" t="str">
        <f>"MEGF10"</f>
        <v>MEGF10</v>
      </c>
      <c r="B10459" t="s">
        <v>14</v>
      </c>
      <c r="C10459" t="s">
        <v>46</v>
      </c>
      <c r="D10459" t="s">
        <v>17</v>
      </c>
      <c r="E10459" t="s">
        <v>12</v>
      </c>
      <c r="F10459">
        <v>126626498</v>
      </c>
      <c r="G10459">
        <v>126626543</v>
      </c>
      <c r="H10459">
        <v>126626477</v>
      </c>
      <c r="I10459">
        <v>126626497</v>
      </c>
    </row>
    <row r="10460" spans="1:9" x14ac:dyDescent="0.2">
      <c r="A10460" s="1" t="str">
        <f>"MEGF11"</f>
        <v>MEGF11</v>
      </c>
      <c r="B10460" t="s">
        <v>14</v>
      </c>
      <c r="C10460" t="s">
        <v>25</v>
      </c>
      <c r="D10460" t="s">
        <v>11</v>
      </c>
      <c r="E10460" t="s">
        <v>12</v>
      </c>
      <c r="F10460">
        <v>66546082</v>
      </c>
      <c r="G10460">
        <v>66546094</v>
      </c>
      <c r="H10460">
        <v>66546121</v>
      </c>
      <c r="I10460">
        <v>66546132</v>
      </c>
    </row>
    <row r="10461" spans="1:9" x14ac:dyDescent="0.2">
      <c r="A10461" s="1" t="str">
        <f>"MEGF6"</f>
        <v>MEGF6</v>
      </c>
      <c r="B10461" t="s">
        <v>804</v>
      </c>
      <c r="C10461" t="s">
        <v>19</v>
      </c>
      <c r="D10461" t="s">
        <v>11</v>
      </c>
      <c r="E10461" t="s">
        <v>35</v>
      </c>
      <c r="F10461">
        <v>3528097</v>
      </c>
      <c r="G10461">
        <v>3528107</v>
      </c>
      <c r="H10461">
        <v>3528005</v>
      </c>
      <c r="I10461">
        <v>3528006</v>
      </c>
    </row>
    <row r="10462" spans="1:9" x14ac:dyDescent="0.2">
      <c r="A10462" s="1" t="str">
        <f>"MEGF8"</f>
        <v>MEGF8</v>
      </c>
      <c r="B10462" t="s">
        <v>14</v>
      </c>
      <c r="C10462" t="s">
        <v>10</v>
      </c>
      <c r="D10462" t="s">
        <v>17</v>
      </c>
      <c r="E10462" t="s">
        <v>12</v>
      </c>
      <c r="F10462">
        <v>42829765</v>
      </c>
      <c r="G10462">
        <v>42829825</v>
      </c>
      <c r="H10462">
        <v>42829702</v>
      </c>
      <c r="I10462">
        <v>42829758</v>
      </c>
    </row>
    <row r="10463" spans="1:9" x14ac:dyDescent="0.2">
      <c r="A10463" s="1" t="str">
        <f>"MEGF9"</f>
        <v>MEGF9</v>
      </c>
      <c r="B10463" t="s">
        <v>14</v>
      </c>
      <c r="C10463" t="s">
        <v>24</v>
      </c>
      <c r="D10463" t="s">
        <v>11</v>
      </c>
      <c r="E10463" t="s">
        <v>12</v>
      </c>
      <c r="F10463">
        <v>123476719</v>
      </c>
      <c r="G10463">
        <v>123476810</v>
      </c>
      <c r="H10463">
        <v>123476680</v>
      </c>
      <c r="I10463">
        <v>123476698</v>
      </c>
    </row>
    <row r="10464" spans="1:9" x14ac:dyDescent="0.2">
      <c r="A10464" s="1" t="str">
        <f>"MEI1"</f>
        <v>MEI1</v>
      </c>
      <c r="B10464" t="s">
        <v>805</v>
      </c>
      <c r="C10464" t="s">
        <v>21</v>
      </c>
      <c r="D10464" t="s">
        <v>17</v>
      </c>
      <c r="E10464" t="s">
        <v>35</v>
      </c>
      <c r="F10464">
        <v>42095497</v>
      </c>
      <c r="G10464">
        <v>42095538</v>
      </c>
      <c r="H10464">
        <v>42095601</v>
      </c>
      <c r="I10464">
        <v>42095624</v>
      </c>
    </row>
    <row r="10465" spans="1:9" x14ac:dyDescent="0.2">
      <c r="A10465" s="1" t="str">
        <f>"MEIG1"</f>
        <v>MEIG1</v>
      </c>
      <c r="B10465" t="s">
        <v>14</v>
      </c>
      <c r="C10465" t="s">
        <v>15</v>
      </c>
      <c r="D10465" t="s">
        <v>17</v>
      </c>
      <c r="E10465" t="s">
        <v>12</v>
      </c>
      <c r="F10465">
        <v>15001359</v>
      </c>
      <c r="G10465">
        <v>15001397</v>
      </c>
      <c r="H10465">
        <v>15001411</v>
      </c>
      <c r="I10465">
        <v>15001423</v>
      </c>
    </row>
    <row r="10466" spans="1:9" x14ac:dyDescent="0.2">
      <c r="A10466" s="1" t="str">
        <f>"MEIOB"</f>
        <v>MEIOB</v>
      </c>
      <c r="B10466" t="s">
        <v>14</v>
      </c>
      <c r="C10466" t="s">
        <v>31</v>
      </c>
      <c r="D10466" t="s">
        <v>11</v>
      </c>
      <c r="E10466" t="s">
        <v>12</v>
      </c>
      <c r="F10466">
        <v>1922109</v>
      </c>
      <c r="G10466">
        <v>1922181</v>
      </c>
      <c r="H10466">
        <v>1922109</v>
      </c>
      <c r="I10466">
        <v>1922181</v>
      </c>
    </row>
    <row r="10467" spans="1:9" x14ac:dyDescent="0.2">
      <c r="A10467" s="1" t="str">
        <f>"MEIS1"</f>
        <v>MEIS1</v>
      </c>
      <c r="B10467" t="s">
        <v>14</v>
      </c>
      <c r="C10467" t="s">
        <v>26</v>
      </c>
      <c r="D10467" t="s">
        <v>17</v>
      </c>
      <c r="E10467" t="s">
        <v>12</v>
      </c>
      <c r="F10467">
        <v>66662281</v>
      </c>
      <c r="G10467">
        <v>66662308</v>
      </c>
      <c r="H10467">
        <v>66662249</v>
      </c>
      <c r="I10467">
        <v>66662267</v>
      </c>
    </row>
    <row r="10468" spans="1:9" x14ac:dyDescent="0.2">
      <c r="A10468" s="1" t="str">
        <f>"MEIS2"</f>
        <v>MEIS2</v>
      </c>
      <c r="B10468" t="s">
        <v>14</v>
      </c>
      <c r="C10468" t="s">
        <v>25</v>
      </c>
      <c r="D10468" t="s">
        <v>11</v>
      </c>
      <c r="E10468" t="s">
        <v>12</v>
      </c>
      <c r="F10468">
        <v>37392724</v>
      </c>
      <c r="G10468">
        <v>37392757</v>
      </c>
      <c r="H10468">
        <v>37392616</v>
      </c>
      <c r="I10468">
        <v>37392638</v>
      </c>
    </row>
    <row r="10469" spans="1:9" x14ac:dyDescent="0.2">
      <c r="A10469" s="1" t="str">
        <f>"MEIS3"</f>
        <v>MEIS3</v>
      </c>
      <c r="B10469" t="s">
        <v>9</v>
      </c>
      <c r="C10469" t="s">
        <v>10</v>
      </c>
      <c r="D10469" t="s">
        <v>11</v>
      </c>
      <c r="E10469" t="s">
        <v>12</v>
      </c>
      <c r="F10469">
        <v>47922750</v>
      </c>
      <c r="G10469">
        <v>47922795</v>
      </c>
      <c r="H10469">
        <v>47922750</v>
      </c>
      <c r="I10469">
        <v>47922795</v>
      </c>
    </row>
    <row r="10470" spans="1:9" x14ac:dyDescent="0.2">
      <c r="A10470" s="1" t="str">
        <f>"MEIS3"</f>
        <v>MEIS3</v>
      </c>
      <c r="B10470" t="s">
        <v>13</v>
      </c>
      <c r="C10470" t="s">
        <v>10</v>
      </c>
      <c r="D10470" t="s">
        <v>11</v>
      </c>
      <c r="E10470" t="s">
        <v>12</v>
      </c>
      <c r="F10470">
        <v>47909686</v>
      </c>
      <c r="G10470">
        <v>47909717</v>
      </c>
      <c r="H10470">
        <v>47909686</v>
      </c>
      <c r="I10470">
        <v>47909717</v>
      </c>
    </row>
    <row r="10471" spans="1:9" x14ac:dyDescent="0.2">
      <c r="A10471" s="1" t="str">
        <f>"MELK"</f>
        <v>MELK</v>
      </c>
      <c r="B10471" t="s">
        <v>14</v>
      </c>
      <c r="C10471" t="s">
        <v>24</v>
      </c>
      <c r="D10471" t="s">
        <v>17</v>
      </c>
      <c r="E10471" t="s">
        <v>12</v>
      </c>
      <c r="F10471">
        <v>36572851</v>
      </c>
      <c r="G10471">
        <v>36572932</v>
      </c>
      <c r="H10471">
        <v>36572939</v>
      </c>
      <c r="I10471">
        <v>36572950</v>
      </c>
    </row>
    <row r="10472" spans="1:9" x14ac:dyDescent="0.2">
      <c r="A10472" s="1" t="str">
        <f>"MEMO1"</f>
        <v>MEMO1</v>
      </c>
      <c r="B10472" t="s">
        <v>9</v>
      </c>
      <c r="C10472" t="s">
        <v>26</v>
      </c>
      <c r="D10472" t="s">
        <v>11</v>
      </c>
      <c r="E10472" t="s">
        <v>12</v>
      </c>
      <c r="F10472">
        <v>32264850</v>
      </c>
      <c r="G10472">
        <v>32264901</v>
      </c>
      <c r="H10472">
        <v>32264850</v>
      </c>
      <c r="I10472">
        <v>32264901</v>
      </c>
    </row>
    <row r="10473" spans="1:9" x14ac:dyDescent="0.2">
      <c r="A10473" s="1" t="str">
        <f>"MEMO1"</f>
        <v>MEMO1</v>
      </c>
      <c r="B10473" t="s">
        <v>13</v>
      </c>
      <c r="C10473" t="s">
        <v>26</v>
      </c>
      <c r="D10473" t="s">
        <v>11</v>
      </c>
      <c r="E10473" t="s">
        <v>12</v>
      </c>
      <c r="F10473">
        <v>32236002</v>
      </c>
      <c r="G10473">
        <v>32236048</v>
      </c>
      <c r="H10473">
        <v>32236002</v>
      </c>
      <c r="I10473">
        <v>32236048</v>
      </c>
    </row>
    <row r="10474" spans="1:9" x14ac:dyDescent="0.2">
      <c r="A10474" s="1" t="str">
        <f>"MEN1"</f>
        <v>MEN1</v>
      </c>
      <c r="B10474" t="s">
        <v>14</v>
      </c>
      <c r="C10474" t="s">
        <v>27</v>
      </c>
      <c r="D10474" t="s">
        <v>11</v>
      </c>
      <c r="E10474" t="s">
        <v>12</v>
      </c>
      <c r="F10474">
        <v>64577991</v>
      </c>
      <c r="G10474">
        <v>64578062</v>
      </c>
      <c r="H10474">
        <v>64578150</v>
      </c>
      <c r="I10474">
        <v>64578169</v>
      </c>
    </row>
    <row r="10475" spans="1:9" x14ac:dyDescent="0.2">
      <c r="A10475" s="1" t="str">
        <f>"MEOX1"</f>
        <v>MEOX1</v>
      </c>
      <c r="B10475" t="s">
        <v>14</v>
      </c>
      <c r="C10475" t="s">
        <v>28</v>
      </c>
      <c r="D10475" t="s">
        <v>11</v>
      </c>
      <c r="E10475" t="s">
        <v>12</v>
      </c>
      <c r="F10475">
        <v>41739283</v>
      </c>
      <c r="G10475">
        <v>41739297</v>
      </c>
      <c r="H10475">
        <v>41739283</v>
      </c>
      <c r="I10475">
        <v>41739297</v>
      </c>
    </row>
    <row r="10476" spans="1:9" x14ac:dyDescent="0.2">
      <c r="A10476" s="1" t="str">
        <f>"MEOX2"</f>
        <v>MEOX2</v>
      </c>
      <c r="B10476" t="s">
        <v>14</v>
      </c>
      <c r="C10476" t="s">
        <v>33</v>
      </c>
      <c r="D10476" t="s">
        <v>11</v>
      </c>
      <c r="E10476" t="s">
        <v>12</v>
      </c>
      <c r="F10476">
        <v>15726296</v>
      </c>
      <c r="G10476">
        <v>15726315</v>
      </c>
      <c r="H10476">
        <v>15726243</v>
      </c>
      <c r="I10476">
        <v>15726293</v>
      </c>
    </row>
    <row r="10477" spans="1:9" x14ac:dyDescent="0.2">
      <c r="A10477" s="1" t="str">
        <f>"MEP1A"</f>
        <v>MEP1A</v>
      </c>
      <c r="B10477" t="s">
        <v>14</v>
      </c>
      <c r="C10477" t="s">
        <v>32</v>
      </c>
      <c r="D10477" t="s">
        <v>17</v>
      </c>
      <c r="E10477" t="s">
        <v>12</v>
      </c>
      <c r="F10477">
        <v>46761118</v>
      </c>
      <c r="G10477">
        <v>46761132</v>
      </c>
      <c r="H10477">
        <v>46761118</v>
      </c>
      <c r="I10477">
        <v>46761132</v>
      </c>
    </row>
    <row r="10478" spans="1:9" x14ac:dyDescent="0.2">
      <c r="A10478" s="1" t="str">
        <f>"MEP1B"</f>
        <v>MEP1B</v>
      </c>
      <c r="B10478" t="s">
        <v>14</v>
      </c>
      <c r="C10478" t="s">
        <v>43</v>
      </c>
      <c r="D10478" t="s">
        <v>17</v>
      </c>
      <c r="E10478" t="s">
        <v>12</v>
      </c>
      <c r="F10478">
        <v>29769995</v>
      </c>
      <c r="G10478">
        <v>29770009</v>
      </c>
      <c r="H10478">
        <v>29769978</v>
      </c>
      <c r="I10478">
        <v>29769989</v>
      </c>
    </row>
    <row r="10479" spans="1:9" x14ac:dyDescent="0.2">
      <c r="A10479" s="1" t="str">
        <f>"MEPCE"</f>
        <v>MEPCE</v>
      </c>
      <c r="B10479" t="s">
        <v>14</v>
      </c>
      <c r="C10479" t="s">
        <v>33</v>
      </c>
      <c r="D10479" t="s">
        <v>17</v>
      </c>
      <c r="E10479" t="s">
        <v>12</v>
      </c>
      <c r="F10479">
        <v>100026406</v>
      </c>
      <c r="G10479">
        <v>100026422</v>
      </c>
      <c r="H10479">
        <v>100027037</v>
      </c>
      <c r="I10479">
        <v>100027077</v>
      </c>
    </row>
    <row r="10480" spans="1:9" x14ac:dyDescent="0.2">
      <c r="A10480" s="1" t="str">
        <f>"MEPE"</f>
        <v>MEPE</v>
      </c>
      <c r="B10480" t="s">
        <v>14</v>
      </c>
      <c r="C10480" t="s">
        <v>23</v>
      </c>
      <c r="D10480" t="s">
        <v>17</v>
      </c>
      <c r="E10480" t="s">
        <v>12</v>
      </c>
      <c r="F10480">
        <v>88754113</v>
      </c>
      <c r="G10480">
        <v>88754126</v>
      </c>
      <c r="H10480">
        <v>88754109</v>
      </c>
      <c r="I10480">
        <v>88754112</v>
      </c>
    </row>
    <row r="10481" spans="1:9" x14ac:dyDescent="0.2">
      <c r="A10481" s="1" t="str">
        <f>"MERTK"</f>
        <v>MERTK</v>
      </c>
      <c r="B10481" t="s">
        <v>14</v>
      </c>
      <c r="C10481" t="s">
        <v>26</v>
      </c>
      <c r="D10481" t="s">
        <v>17</v>
      </c>
      <c r="E10481" t="s">
        <v>12</v>
      </c>
      <c r="F10481">
        <v>112656176</v>
      </c>
      <c r="G10481">
        <v>112656196</v>
      </c>
      <c r="H10481">
        <v>112656310</v>
      </c>
      <c r="I10481">
        <v>112656333</v>
      </c>
    </row>
    <row r="10482" spans="1:9" x14ac:dyDescent="0.2">
      <c r="A10482" s="1" t="str">
        <f>"MESDC1"</f>
        <v>MESDC1</v>
      </c>
      <c r="B10482" t="s">
        <v>14</v>
      </c>
      <c r="C10482" t="s">
        <v>25</v>
      </c>
      <c r="D10482" t="s">
        <v>17</v>
      </c>
      <c r="E10482" t="s">
        <v>12</v>
      </c>
      <c r="F10482">
        <v>81293254</v>
      </c>
      <c r="G10482">
        <v>81293304</v>
      </c>
      <c r="H10482">
        <v>81293316</v>
      </c>
      <c r="I10482">
        <v>81293399</v>
      </c>
    </row>
    <row r="10483" spans="1:9" x14ac:dyDescent="0.2">
      <c r="A10483" s="1" t="str">
        <f>"MESDC2"</f>
        <v>MESDC2</v>
      </c>
      <c r="B10483" t="s">
        <v>14</v>
      </c>
      <c r="C10483" t="s">
        <v>25</v>
      </c>
      <c r="D10483" t="s">
        <v>11</v>
      </c>
      <c r="E10483" t="s">
        <v>12</v>
      </c>
      <c r="F10483">
        <v>81282133</v>
      </c>
      <c r="G10483">
        <v>81282189</v>
      </c>
      <c r="H10483">
        <v>81282133</v>
      </c>
      <c r="I10483">
        <v>81282189</v>
      </c>
    </row>
    <row r="10484" spans="1:9" x14ac:dyDescent="0.2">
      <c r="A10484" s="1" t="str">
        <f>"MESP1"</f>
        <v>MESP1</v>
      </c>
      <c r="B10484" t="s">
        <v>14</v>
      </c>
      <c r="C10484" t="s">
        <v>25</v>
      </c>
      <c r="D10484" t="s">
        <v>11</v>
      </c>
      <c r="E10484" t="s">
        <v>12</v>
      </c>
      <c r="F10484">
        <v>90294087</v>
      </c>
      <c r="G10484">
        <v>90294115</v>
      </c>
      <c r="H10484">
        <v>90294062</v>
      </c>
      <c r="I10484">
        <v>90294079</v>
      </c>
    </row>
    <row r="10485" spans="1:9" x14ac:dyDescent="0.2">
      <c r="A10485" s="1" t="str">
        <f>"MESP2"</f>
        <v>MESP2</v>
      </c>
      <c r="B10485" t="s">
        <v>14</v>
      </c>
      <c r="C10485" t="s">
        <v>25</v>
      </c>
      <c r="D10485" t="s">
        <v>17</v>
      </c>
      <c r="E10485" t="s">
        <v>12</v>
      </c>
      <c r="F10485">
        <v>90319880</v>
      </c>
      <c r="G10485">
        <v>90319923</v>
      </c>
      <c r="H10485">
        <v>90319880</v>
      </c>
      <c r="I10485">
        <v>90319923</v>
      </c>
    </row>
    <row r="10486" spans="1:9" x14ac:dyDescent="0.2">
      <c r="A10486" s="1" t="str">
        <f>"MEST"</f>
        <v>MEST</v>
      </c>
      <c r="B10486" t="s">
        <v>9</v>
      </c>
      <c r="C10486" t="s">
        <v>33</v>
      </c>
      <c r="D10486" t="s">
        <v>17</v>
      </c>
      <c r="E10486" t="s">
        <v>12</v>
      </c>
      <c r="F10486">
        <v>130131907</v>
      </c>
      <c r="G10486">
        <v>130131947</v>
      </c>
      <c r="H10486">
        <v>130131907</v>
      </c>
      <c r="I10486">
        <v>130131947</v>
      </c>
    </row>
    <row r="10487" spans="1:9" x14ac:dyDescent="0.2">
      <c r="A10487" s="1" t="str">
        <f>"MEST"</f>
        <v>MEST</v>
      </c>
      <c r="B10487" t="s">
        <v>13</v>
      </c>
      <c r="C10487" t="s">
        <v>33</v>
      </c>
      <c r="D10487" t="s">
        <v>17</v>
      </c>
      <c r="E10487" t="s">
        <v>12</v>
      </c>
      <c r="F10487">
        <v>130126165</v>
      </c>
      <c r="G10487">
        <v>130126202</v>
      </c>
      <c r="H10487">
        <v>130126165</v>
      </c>
      <c r="I10487">
        <v>130126202</v>
      </c>
    </row>
    <row r="10488" spans="1:9" x14ac:dyDescent="0.2">
      <c r="A10488" s="1" t="str">
        <f>"MET"</f>
        <v>MET</v>
      </c>
      <c r="B10488" t="s">
        <v>14</v>
      </c>
      <c r="C10488" t="s">
        <v>33</v>
      </c>
      <c r="D10488" t="s">
        <v>17</v>
      </c>
      <c r="E10488" t="s">
        <v>12</v>
      </c>
      <c r="F10488">
        <v>116312411</v>
      </c>
      <c r="G10488">
        <v>116312502</v>
      </c>
      <c r="H10488">
        <v>116312243</v>
      </c>
      <c r="I10488">
        <v>116312256</v>
      </c>
    </row>
    <row r="10489" spans="1:9" x14ac:dyDescent="0.2">
      <c r="A10489" s="1" t="str">
        <f>"METAP1"</f>
        <v>METAP1</v>
      </c>
      <c r="B10489" t="s">
        <v>14</v>
      </c>
      <c r="C10489" t="s">
        <v>23</v>
      </c>
      <c r="D10489" t="s">
        <v>17</v>
      </c>
      <c r="E10489" t="s">
        <v>12</v>
      </c>
      <c r="F10489">
        <v>99916860</v>
      </c>
      <c r="G10489">
        <v>99916903</v>
      </c>
      <c r="H10489">
        <v>99916835</v>
      </c>
      <c r="I10489">
        <v>99916857</v>
      </c>
    </row>
    <row r="10490" spans="1:9" x14ac:dyDescent="0.2">
      <c r="A10490" s="1" t="str">
        <f>"METAP1D"</f>
        <v>METAP1D</v>
      </c>
      <c r="B10490" t="s">
        <v>14</v>
      </c>
      <c r="C10490" t="s">
        <v>26</v>
      </c>
      <c r="D10490" t="s">
        <v>17</v>
      </c>
      <c r="E10490" t="s">
        <v>12</v>
      </c>
      <c r="F10490">
        <v>172864844</v>
      </c>
      <c r="G10490">
        <v>172864876</v>
      </c>
      <c r="H10490">
        <v>172864884</v>
      </c>
      <c r="I10490">
        <v>172864893</v>
      </c>
    </row>
    <row r="10491" spans="1:9" x14ac:dyDescent="0.2">
      <c r="A10491" s="1" t="str">
        <f>"METAP2"</f>
        <v>METAP2</v>
      </c>
      <c r="B10491" t="s">
        <v>14</v>
      </c>
      <c r="C10491" t="s">
        <v>16</v>
      </c>
      <c r="D10491" t="s">
        <v>17</v>
      </c>
      <c r="E10491" t="s">
        <v>12</v>
      </c>
      <c r="F10491">
        <v>95867919</v>
      </c>
      <c r="G10491">
        <v>95867951</v>
      </c>
      <c r="H10491">
        <v>95867884</v>
      </c>
      <c r="I10491">
        <v>95867904</v>
      </c>
    </row>
    <row r="10492" spans="1:9" x14ac:dyDescent="0.2">
      <c r="A10492" s="1" t="str">
        <f>"METRN"</f>
        <v>METRN</v>
      </c>
      <c r="B10492" t="s">
        <v>14</v>
      </c>
      <c r="C10492" t="s">
        <v>31</v>
      </c>
      <c r="D10492" t="s">
        <v>17</v>
      </c>
      <c r="E10492" t="s">
        <v>12</v>
      </c>
      <c r="F10492">
        <v>765092</v>
      </c>
      <c r="G10492">
        <v>765169</v>
      </c>
      <c r="H10492">
        <v>765092</v>
      </c>
      <c r="I10492">
        <v>765169</v>
      </c>
    </row>
    <row r="10493" spans="1:9" x14ac:dyDescent="0.2">
      <c r="A10493" s="1" t="str">
        <f>"METRNL"</f>
        <v>METRNL</v>
      </c>
      <c r="B10493" t="s">
        <v>14</v>
      </c>
      <c r="C10493" t="s">
        <v>28</v>
      </c>
      <c r="D10493" t="s">
        <v>17</v>
      </c>
      <c r="E10493" t="s">
        <v>12</v>
      </c>
      <c r="F10493">
        <v>81037473</v>
      </c>
      <c r="G10493">
        <v>81037498</v>
      </c>
      <c r="H10493">
        <v>81037818</v>
      </c>
      <c r="I10493">
        <v>81037836</v>
      </c>
    </row>
    <row r="10494" spans="1:9" x14ac:dyDescent="0.2">
      <c r="A10494" s="1" t="str">
        <f>"METTL1"</f>
        <v>METTL1</v>
      </c>
      <c r="B10494" t="s">
        <v>14</v>
      </c>
      <c r="C10494" t="s">
        <v>16</v>
      </c>
      <c r="D10494" t="s">
        <v>11</v>
      </c>
      <c r="E10494" t="s">
        <v>12</v>
      </c>
      <c r="F10494">
        <v>58165870</v>
      </c>
      <c r="G10494">
        <v>58165911</v>
      </c>
      <c r="H10494">
        <v>58165870</v>
      </c>
      <c r="I10494">
        <v>58165911</v>
      </c>
    </row>
    <row r="10495" spans="1:9" x14ac:dyDescent="0.2">
      <c r="A10495" s="1" t="str">
        <f>"METTL10"</f>
        <v>METTL10</v>
      </c>
      <c r="B10495" t="s">
        <v>14</v>
      </c>
      <c r="C10495" t="s">
        <v>15</v>
      </c>
      <c r="D10495" t="s">
        <v>11</v>
      </c>
      <c r="E10495" t="s">
        <v>12</v>
      </c>
      <c r="F10495">
        <v>126480381</v>
      </c>
      <c r="G10495">
        <v>126480470</v>
      </c>
      <c r="H10495">
        <v>126480381</v>
      </c>
      <c r="I10495">
        <v>126480470</v>
      </c>
    </row>
    <row r="10496" spans="1:9" x14ac:dyDescent="0.2">
      <c r="A10496" s="1" t="str">
        <f>"METTL11B"</f>
        <v>METTL11B</v>
      </c>
      <c r="B10496" t="s">
        <v>14</v>
      </c>
      <c r="C10496" t="s">
        <v>19</v>
      </c>
      <c r="D10496" t="s">
        <v>17</v>
      </c>
      <c r="E10496" t="s">
        <v>12</v>
      </c>
      <c r="F10496">
        <v>170115099</v>
      </c>
      <c r="G10496">
        <v>170115116</v>
      </c>
      <c r="H10496">
        <v>170115099</v>
      </c>
      <c r="I10496">
        <v>170115116</v>
      </c>
    </row>
    <row r="10497" spans="1:9" x14ac:dyDescent="0.2">
      <c r="A10497" s="1" t="str">
        <f>"METTL12"</f>
        <v>METTL12</v>
      </c>
      <c r="B10497" t="s">
        <v>14</v>
      </c>
      <c r="C10497" t="s">
        <v>27</v>
      </c>
      <c r="D10497" t="s">
        <v>17</v>
      </c>
      <c r="E10497" t="s">
        <v>12</v>
      </c>
      <c r="F10497">
        <v>62432777</v>
      </c>
      <c r="G10497">
        <v>62432794</v>
      </c>
      <c r="H10497">
        <v>62432777</v>
      </c>
      <c r="I10497">
        <v>62432794</v>
      </c>
    </row>
    <row r="10498" spans="1:9" x14ac:dyDescent="0.2">
      <c r="A10498" s="1" t="str">
        <f>"METTL13"</f>
        <v>METTL13</v>
      </c>
      <c r="B10498" t="s">
        <v>14</v>
      </c>
      <c r="C10498" t="s">
        <v>19</v>
      </c>
      <c r="D10498" t="s">
        <v>17</v>
      </c>
      <c r="E10498" t="s">
        <v>12</v>
      </c>
      <c r="F10498">
        <v>171750776</v>
      </c>
      <c r="G10498">
        <v>171750870</v>
      </c>
      <c r="H10498">
        <v>171750376</v>
      </c>
      <c r="I10498">
        <v>171750399</v>
      </c>
    </row>
    <row r="10499" spans="1:9" x14ac:dyDescent="0.2">
      <c r="A10499" s="1" t="str">
        <f>"METTL14"</f>
        <v>METTL14</v>
      </c>
      <c r="B10499" t="s">
        <v>14</v>
      </c>
      <c r="C10499" t="s">
        <v>23</v>
      </c>
      <c r="D10499" t="s">
        <v>17</v>
      </c>
      <c r="E10499" t="s">
        <v>12</v>
      </c>
      <c r="F10499">
        <v>119606528</v>
      </c>
      <c r="G10499">
        <v>119606566</v>
      </c>
      <c r="H10499">
        <v>119606592</v>
      </c>
      <c r="I10499">
        <v>119606603</v>
      </c>
    </row>
    <row r="10500" spans="1:9" x14ac:dyDescent="0.2">
      <c r="A10500" s="1" t="str">
        <f>"METTL15"</f>
        <v>METTL15</v>
      </c>
      <c r="B10500" t="s">
        <v>9</v>
      </c>
      <c r="C10500" t="s">
        <v>27</v>
      </c>
      <c r="D10500" t="s">
        <v>17</v>
      </c>
      <c r="E10500" t="s">
        <v>12</v>
      </c>
      <c r="F10500">
        <v>28131821</v>
      </c>
      <c r="G10500">
        <v>28131869</v>
      </c>
      <c r="H10500">
        <v>28131821</v>
      </c>
      <c r="I10500">
        <v>28131869</v>
      </c>
    </row>
    <row r="10501" spans="1:9" x14ac:dyDescent="0.2">
      <c r="A10501" s="1" t="str">
        <f>"METTL15"</f>
        <v>METTL15</v>
      </c>
      <c r="B10501" t="s">
        <v>13</v>
      </c>
      <c r="C10501" t="s">
        <v>27</v>
      </c>
      <c r="D10501" t="s">
        <v>17</v>
      </c>
      <c r="E10501" t="s">
        <v>12</v>
      </c>
      <c r="F10501">
        <v>28129899</v>
      </c>
      <c r="G10501">
        <v>28129965</v>
      </c>
      <c r="H10501">
        <v>28129899</v>
      </c>
      <c r="I10501">
        <v>28129965</v>
      </c>
    </row>
    <row r="10502" spans="1:9" x14ac:dyDescent="0.2">
      <c r="A10502" s="1" t="str">
        <f>"METTL16"</f>
        <v>METTL16</v>
      </c>
      <c r="B10502" t="s">
        <v>14</v>
      </c>
      <c r="C10502" t="s">
        <v>28</v>
      </c>
      <c r="D10502" t="s">
        <v>11</v>
      </c>
      <c r="E10502" t="s">
        <v>12</v>
      </c>
      <c r="F10502">
        <v>2415169</v>
      </c>
      <c r="G10502">
        <v>2415197</v>
      </c>
      <c r="H10502">
        <v>2415143</v>
      </c>
      <c r="I10502">
        <v>2415162</v>
      </c>
    </row>
    <row r="10503" spans="1:9" x14ac:dyDescent="0.2">
      <c r="A10503" s="1" t="str">
        <f>"METTL17"</f>
        <v>METTL17</v>
      </c>
      <c r="B10503" t="s">
        <v>14</v>
      </c>
      <c r="C10503" t="s">
        <v>41</v>
      </c>
      <c r="D10503" t="s">
        <v>17</v>
      </c>
      <c r="E10503" t="s">
        <v>12</v>
      </c>
      <c r="F10503">
        <v>21458127</v>
      </c>
      <c r="G10503">
        <v>21458167</v>
      </c>
      <c r="H10503">
        <v>21457913</v>
      </c>
      <c r="I10503">
        <v>21457964</v>
      </c>
    </row>
    <row r="10504" spans="1:9" x14ac:dyDescent="0.2">
      <c r="A10504" s="1" t="str">
        <f>"METTL18"</f>
        <v>METTL18</v>
      </c>
      <c r="B10504" t="s">
        <v>14</v>
      </c>
      <c r="C10504" t="s">
        <v>19</v>
      </c>
      <c r="D10504" t="s">
        <v>11</v>
      </c>
      <c r="E10504" t="s">
        <v>12</v>
      </c>
      <c r="F10504">
        <v>169764026</v>
      </c>
      <c r="G10504">
        <v>169764077</v>
      </c>
      <c r="H10504">
        <v>169764133</v>
      </c>
      <c r="I10504">
        <v>169764167</v>
      </c>
    </row>
    <row r="10505" spans="1:9" x14ac:dyDescent="0.2">
      <c r="A10505" s="1" t="str">
        <f>"METTL20"</f>
        <v>METTL20</v>
      </c>
      <c r="B10505" t="s">
        <v>14</v>
      </c>
      <c r="C10505" t="s">
        <v>16</v>
      </c>
      <c r="D10505" t="s">
        <v>17</v>
      </c>
      <c r="E10505" t="s">
        <v>12</v>
      </c>
      <c r="F10505">
        <v>31812125</v>
      </c>
      <c r="G10505">
        <v>31812166</v>
      </c>
      <c r="H10505">
        <v>31812602</v>
      </c>
      <c r="I10505">
        <v>31812628</v>
      </c>
    </row>
    <row r="10506" spans="1:9" x14ac:dyDescent="0.2">
      <c r="A10506" s="1" t="str">
        <f>"METTL21A"</f>
        <v>METTL21A</v>
      </c>
      <c r="B10506" t="s">
        <v>14</v>
      </c>
      <c r="C10506" t="s">
        <v>26</v>
      </c>
      <c r="D10506" t="s">
        <v>11</v>
      </c>
      <c r="E10506" t="s">
        <v>12</v>
      </c>
      <c r="F10506">
        <v>208489919</v>
      </c>
      <c r="G10506">
        <v>208490022</v>
      </c>
      <c r="H10506">
        <v>208490027</v>
      </c>
      <c r="I10506">
        <v>208490095</v>
      </c>
    </row>
    <row r="10507" spans="1:9" x14ac:dyDescent="0.2">
      <c r="A10507" s="1" t="str">
        <f>"METTL21B"</f>
        <v>METTL21B</v>
      </c>
      <c r="B10507" t="s">
        <v>14</v>
      </c>
      <c r="C10507" t="s">
        <v>16</v>
      </c>
      <c r="D10507" t="s">
        <v>17</v>
      </c>
      <c r="E10507" t="s">
        <v>12</v>
      </c>
      <c r="F10507">
        <v>58166370</v>
      </c>
      <c r="G10507">
        <v>58166423</v>
      </c>
      <c r="H10507">
        <v>58165996</v>
      </c>
      <c r="I10507">
        <v>58166077</v>
      </c>
    </row>
    <row r="10508" spans="1:9" x14ac:dyDescent="0.2">
      <c r="A10508" s="1" t="str">
        <f>"METTL21C"</f>
        <v>METTL21C</v>
      </c>
      <c r="B10508" t="s">
        <v>14</v>
      </c>
      <c r="C10508" t="s">
        <v>39</v>
      </c>
      <c r="D10508" t="s">
        <v>11</v>
      </c>
      <c r="E10508" t="s">
        <v>12</v>
      </c>
      <c r="F10508">
        <v>103356647</v>
      </c>
      <c r="G10508">
        <v>103356655</v>
      </c>
      <c r="H10508">
        <v>103356647</v>
      </c>
      <c r="I10508">
        <v>103356655</v>
      </c>
    </row>
    <row r="10509" spans="1:9" x14ac:dyDescent="0.2">
      <c r="A10509" s="1" t="str">
        <f>"METTL22"</f>
        <v>METTL22</v>
      </c>
      <c r="B10509" t="s">
        <v>14</v>
      </c>
      <c r="C10509" t="s">
        <v>31</v>
      </c>
      <c r="D10509" t="s">
        <v>17</v>
      </c>
      <c r="E10509" t="s">
        <v>12</v>
      </c>
      <c r="F10509">
        <v>8715536</v>
      </c>
      <c r="G10509">
        <v>8715572</v>
      </c>
      <c r="H10509">
        <v>8715574</v>
      </c>
      <c r="I10509">
        <v>8715586</v>
      </c>
    </row>
    <row r="10510" spans="1:9" x14ac:dyDescent="0.2">
      <c r="A10510" s="1" t="str">
        <f>"METTL23"</f>
        <v>METTL23</v>
      </c>
      <c r="B10510" t="s">
        <v>14</v>
      </c>
      <c r="C10510" t="s">
        <v>28</v>
      </c>
      <c r="D10510" t="s">
        <v>17</v>
      </c>
      <c r="E10510" t="s">
        <v>12</v>
      </c>
      <c r="F10510">
        <v>74722912</v>
      </c>
      <c r="G10510">
        <v>74722956</v>
      </c>
      <c r="H10510">
        <v>74722962</v>
      </c>
      <c r="I10510">
        <v>74722980</v>
      </c>
    </row>
    <row r="10511" spans="1:9" x14ac:dyDescent="0.2">
      <c r="A10511" s="1" t="str">
        <f>"METTL24"</f>
        <v>METTL24</v>
      </c>
      <c r="B10511" t="s">
        <v>14</v>
      </c>
      <c r="C10511" t="s">
        <v>32</v>
      </c>
      <c r="D10511" t="s">
        <v>11</v>
      </c>
      <c r="E10511" t="s">
        <v>12</v>
      </c>
      <c r="F10511">
        <v>110679515</v>
      </c>
      <c r="G10511">
        <v>110679567</v>
      </c>
      <c r="H10511">
        <v>110679377</v>
      </c>
      <c r="I10511">
        <v>110679415</v>
      </c>
    </row>
    <row r="10512" spans="1:9" x14ac:dyDescent="0.2">
      <c r="A10512" s="1" t="str">
        <f>"METTL25"</f>
        <v>METTL25</v>
      </c>
      <c r="B10512" t="s">
        <v>14</v>
      </c>
      <c r="C10512" t="s">
        <v>16</v>
      </c>
      <c r="D10512" t="s">
        <v>17</v>
      </c>
      <c r="E10512" t="s">
        <v>12</v>
      </c>
      <c r="F10512">
        <v>82752283</v>
      </c>
      <c r="G10512">
        <v>82752328</v>
      </c>
      <c r="H10512">
        <v>82752647</v>
      </c>
      <c r="I10512">
        <v>82752671</v>
      </c>
    </row>
    <row r="10513" spans="1:9" x14ac:dyDescent="0.2">
      <c r="A10513" s="1" t="str">
        <f>"METTL2A"</f>
        <v>METTL2A</v>
      </c>
      <c r="B10513" t="s">
        <v>14</v>
      </c>
      <c r="C10513" t="s">
        <v>28</v>
      </c>
      <c r="D10513" t="s">
        <v>17</v>
      </c>
      <c r="E10513" t="s">
        <v>12</v>
      </c>
      <c r="F10513">
        <v>60501251</v>
      </c>
      <c r="G10513">
        <v>60501273</v>
      </c>
      <c r="H10513">
        <v>60501281</v>
      </c>
      <c r="I10513">
        <v>60501298</v>
      </c>
    </row>
    <row r="10514" spans="1:9" x14ac:dyDescent="0.2">
      <c r="A10514" s="1" t="str">
        <f>"METTL2B"</f>
        <v>METTL2B</v>
      </c>
      <c r="B10514" t="s">
        <v>9</v>
      </c>
      <c r="C10514" t="s">
        <v>33</v>
      </c>
      <c r="D10514" t="s">
        <v>17</v>
      </c>
      <c r="E10514" t="s">
        <v>12</v>
      </c>
      <c r="F10514">
        <v>128095878</v>
      </c>
      <c r="G10514">
        <v>128095894</v>
      </c>
      <c r="H10514">
        <v>128095878</v>
      </c>
      <c r="I10514">
        <v>128095894</v>
      </c>
    </row>
    <row r="10515" spans="1:9" x14ac:dyDescent="0.2">
      <c r="A10515" s="1" t="str">
        <f>"METTL2B"</f>
        <v>METTL2B</v>
      </c>
      <c r="B10515" t="s">
        <v>13</v>
      </c>
      <c r="C10515" t="s">
        <v>33</v>
      </c>
      <c r="D10515" t="s">
        <v>17</v>
      </c>
      <c r="E10515" t="s">
        <v>12</v>
      </c>
      <c r="F10515">
        <v>128116807</v>
      </c>
      <c r="G10515">
        <v>128116857</v>
      </c>
      <c r="H10515">
        <v>128116807</v>
      </c>
      <c r="I10515">
        <v>128116857</v>
      </c>
    </row>
    <row r="10516" spans="1:9" x14ac:dyDescent="0.2">
      <c r="A10516" s="1" t="str">
        <f>"METTL3"</f>
        <v>METTL3</v>
      </c>
      <c r="B10516" t="s">
        <v>14</v>
      </c>
      <c r="C10516" t="s">
        <v>41</v>
      </c>
      <c r="D10516" t="s">
        <v>11</v>
      </c>
      <c r="E10516" t="s">
        <v>12</v>
      </c>
      <c r="F10516">
        <v>21979428</v>
      </c>
      <c r="G10516">
        <v>21979519</v>
      </c>
      <c r="H10516">
        <v>21979386</v>
      </c>
      <c r="I10516">
        <v>21979420</v>
      </c>
    </row>
    <row r="10517" spans="1:9" x14ac:dyDescent="0.2">
      <c r="A10517" s="1" t="str">
        <f>"METTL4"</f>
        <v>METTL4</v>
      </c>
      <c r="B10517" t="s">
        <v>14</v>
      </c>
      <c r="C10517" t="s">
        <v>43</v>
      </c>
      <c r="D10517" t="s">
        <v>11</v>
      </c>
      <c r="E10517" t="s">
        <v>12</v>
      </c>
      <c r="F10517">
        <v>2571437</v>
      </c>
      <c r="G10517">
        <v>2571515</v>
      </c>
      <c r="H10517">
        <v>2571437</v>
      </c>
      <c r="I10517">
        <v>2571515</v>
      </c>
    </row>
    <row r="10518" spans="1:9" x14ac:dyDescent="0.2">
      <c r="A10518" s="1" t="str">
        <f>"METTL5"</f>
        <v>METTL5</v>
      </c>
      <c r="B10518" t="s">
        <v>14</v>
      </c>
      <c r="C10518" t="s">
        <v>26</v>
      </c>
      <c r="D10518" t="s">
        <v>11</v>
      </c>
      <c r="E10518" t="s">
        <v>12</v>
      </c>
      <c r="F10518">
        <v>170681375</v>
      </c>
      <c r="G10518">
        <v>170681441</v>
      </c>
      <c r="H10518">
        <v>170681361</v>
      </c>
      <c r="I10518">
        <v>170681372</v>
      </c>
    </row>
    <row r="10519" spans="1:9" x14ac:dyDescent="0.2">
      <c r="A10519" s="1" t="str">
        <f>"METTL6"</f>
        <v>METTL6</v>
      </c>
      <c r="B10519" t="s">
        <v>14</v>
      </c>
      <c r="C10519" t="s">
        <v>22</v>
      </c>
      <c r="D10519" t="s">
        <v>11</v>
      </c>
      <c r="E10519" t="s">
        <v>12</v>
      </c>
      <c r="F10519">
        <v>15469006</v>
      </c>
      <c r="G10519">
        <v>15469043</v>
      </c>
      <c r="H10519">
        <v>15469045</v>
      </c>
      <c r="I10519">
        <v>15469056</v>
      </c>
    </row>
    <row r="10520" spans="1:9" x14ac:dyDescent="0.2">
      <c r="A10520" s="1" t="str">
        <f>"METTL7A"</f>
        <v>METTL7A</v>
      </c>
      <c r="B10520" t="s">
        <v>14</v>
      </c>
      <c r="C10520" t="s">
        <v>16</v>
      </c>
      <c r="D10520" t="s">
        <v>17</v>
      </c>
      <c r="E10520" t="s">
        <v>12</v>
      </c>
      <c r="F10520">
        <v>51318790</v>
      </c>
      <c r="G10520">
        <v>51318817</v>
      </c>
      <c r="H10520">
        <v>51318464</v>
      </c>
      <c r="I10520">
        <v>51318492</v>
      </c>
    </row>
    <row r="10521" spans="1:9" x14ac:dyDescent="0.2">
      <c r="A10521" s="1" t="str">
        <f>"METTL7B"</f>
        <v>METTL7B</v>
      </c>
      <c r="B10521" t="s">
        <v>14</v>
      </c>
      <c r="C10521" t="s">
        <v>16</v>
      </c>
      <c r="D10521" t="s">
        <v>17</v>
      </c>
      <c r="E10521" t="s">
        <v>12</v>
      </c>
      <c r="F10521">
        <v>56075512</v>
      </c>
      <c r="G10521">
        <v>56075532</v>
      </c>
      <c r="H10521">
        <v>56075512</v>
      </c>
      <c r="I10521">
        <v>56075532</v>
      </c>
    </row>
    <row r="10522" spans="1:9" x14ac:dyDescent="0.2">
      <c r="A10522" s="1" t="str">
        <f>"METTL8"</f>
        <v>METTL8</v>
      </c>
      <c r="B10522" t="s">
        <v>14</v>
      </c>
      <c r="C10522" t="s">
        <v>26</v>
      </c>
      <c r="D10522" t="s">
        <v>11</v>
      </c>
      <c r="E10522" t="s">
        <v>12</v>
      </c>
      <c r="F10522">
        <v>172290482</v>
      </c>
      <c r="G10522">
        <v>172290571</v>
      </c>
      <c r="H10522">
        <v>172291273</v>
      </c>
      <c r="I10522">
        <v>172291305</v>
      </c>
    </row>
    <row r="10523" spans="1:9" x14ac:dyDescent="0.2">
      <c r="A10523" s="1" t="str">
        <f>"METTL9"</f>
        <v>METTL9</v>
      </c>
      <c r="B10523" t="s">
        <v>14</v>
      </c>
      <c r="C10523" t="s">
        <v>31</v>
      </c>
      <c r="D10523" t="s">
        <v>17</v>
      </c>
      <c r="E10523" t="s">
        <v>12</v>
      </c>
      <c r="F10523">
        <v>21610882</v>
      </c>
      <c r="G10523">
        <v>21610974</v>
      </c>
      <c r="H10523">
        <v>21610839</v>
      </c>
      <c r="I10523">
        <v>21610850</v>
      </c>
    </row>
    <row r="10524" spans="1:9" x14ac:dyDescent="0.2">
      <c r="A10524" s="1" t="str">
        <f>"MEX3A"</f>
        <v>MEX3A</v>
      </c>
      <c r="B10524" t="s">
        <v>14</v>
      </c>
      <c r="C10524" t="s">
        <v>19</v>
      </c>
      <c r="D10524" t="s">
        <v>11</v>
      </c>
      <c r="E10524" t="s">
        <v>12</v>
      </c>
      <c r="F10524">
        <v>156052241</v>
      </c>
      <c r="G10524">
        <v>156052298</v>
      </c>
      <c r="H10524">
        <v>156052204</v>
      </c>
      <c r="I10524">
        <v>156052240</v>
      </c>
    </row>
    <row r="10525" spans="1:9" x14ac:dyDescent="0.2">
      <c r="A10525" s="1" t="str">
        <f>"MEX3B"</f>
        <v>MEX3B</v>
      </c>
      <c r="B10525" t="s">
        <v>9</v>
      </c>
      <c r="C10525" t="s">
        <v>25</v>
      </c>
      <c r="D10525" t="s">
        <v>11</v>
      </c>
      <c r="E10525" t="s">
        <v>12</v>
      </c>
      <c r="F10525">
        <v>82338341</v>
      </c>
      <c r="G10525">
        <v>82338379</v>
      </c>
      <c r="H10525">
        <v>82338341</v>
      </c>
      <c r="I10525">
        <v>82338379</v>
      </c>
    </row>
    <row r="10526" spans="1:9" x14ac:dyDescent="0.2">
      <c r="A10526" s="1" t="str">
        <f>"MEX3B"</f>
        <v>MEX3B</v>
      </c>
      <c r="B10526" t="s">
        <v>13</v>
      </c>
      <c r="C10526" t="s">
        <v>25</v>
      </c>
      <c r="D10526" t="s">
        <v>11</v>
      </c>
      <c r="E10526" t="s">
        <v>12</v>
      </c>
      <c r="F10526">
        <v>82336075</v>
      </c>
      <c r="G10526">
        <v>82336082</v>
      </c>
      <c r="H10526">
        <v>82336075</v>
      </c>
      <c r="I10526">
        <v>82336082</v>
      </c>
    </row>
    <row r="10527" spans="1:9" x14ac:dyDescent="0.2">
      <c r="A10527" s="1" t="str">
        <f>"MEX3C"</f>
        <v>MEX3C</v>
      </c>
      <c r="B10527" t="s">
        <v>14</v>
      </c>
      <c r="C10527" t="s">
        <v>43</v>
      </c>
      <c r="D10527" t="s">
        <v>11</v>
      </c>
      <c r="E10527" t="s">
        <v>12</v>
      </c>
      <c r="F10527">
        <v>48723894</v>
      </c>
      <c r="G10527">
        <v>48724026</v>
      </c>
      <c r="H10527">
        <v>48723847</v>
      </c>
      <c r="I10527">
        <v>48723887</v>
      </c>
    </row>
    <row r="10528" spans="1:9" x14ac:dyDescent="0.2">
      <c r="A10528" s="1" t="str">
        <f>"MEX3D"</f>
        <v>MEX3D</v>
      </c>
      <c r="B10528" t="s">
        <v>14</v>
      </c>
      <c r="C10528" t="s">
        <v>10</v>
      </c>
      <c r="D10528" t="s">
        <v>11</v>
      </c>
      <c r="E10528" t="s">
        <v>12</v>
      </c>
      <c r="F10528">
        <v>1568301</v>
      </c>
      <c r="G10528">
        <v>1568351</v>
      </c>
      <c r="H10528">
        <v>1568354</v>
      </c>
      <c r="I10528">
        <v>1568380</v>
      </c>
    </row>
    <row r="10529" spans="1:9" x14ac:dyDescent="0.2">
      <c r="A10529" s="1" t="str">
        <f>"MFAP1"</f>
        <v>MFAP1</v>
      </c>
      <c r="B10529" t="s">
        <v>14</v>
      </c>
      <c r="C10529" t="s">
        <v>25</v>
      </c>
      <c r="D10529" t="s">
        <v>11</v>
      </c>
      <c r="E10529" t="s">
        <v>12</v>
      </c>
      <c r="F10529">
        <v>44116873</v>
      </c>
      <c r="G10529">
        <v>44116939</v>
      </c>
      <c r="H10529">
        <v>44116835</v>
      </c>
      <c r="I10529">
        <v>44116849</v>
      </c>
    </row>
    <row r="10530" spans="1:9" x14ac:dyDescent="0.2">
      <c r="A10530" s="1" t="str">
        <f>"MFAP2"</f>
        <v>MFAP2</v>
      </c>
      <c r="B10530" t="s">
        <v>14</v>
      </c>
      <c r="C10530" t="s">
        <v>19</v>
      </c>
      <c r="D10530" t="s">
        <v>11</v>
      </c>
      <c r="E10530" t="s">
        <v>12</v>
      </c>
      <c r="F10530">
        <v>17307102</v>
      </c>
      <c r="G10530">
        <v>17307157</v>
      </c>
      <c r="H10530">
        <v>17308057</v>
      </c>
      <c r="I10530">
        <v>17308149</v>
      </c>
    </row>
    <row r="10531" spans="1:9" x14ac:dyDescent="0.2">
      <c r="A10531" s="1" t="str">
        <f>"MFAP3"</f>
        <v>MFAP3</v>
      </c>
      <c r="B10531" t="s">
        <v>14</v>
      </c>
      <c r="C10531" t="s">
        <v>46</v>
      </c>
      <c r="D10531" t="s">
        <v>17</v>
      </c>
      <c r="E10531" t="s">
        <v>12</v>
      </c>
      <c r="F10531">
        <v>153418514</v>
      </c>
      <c r="G10531">
        <v>153418565</v>
      </c>
      <c r="H10531">
        <v>153418568</v>
      </c>
      <c r="I10531">
        <v>153418579</v>
      </c>
    </row>
    <row r="10532" spans="1:9" x14ac:dyDescent="0.2">
      <c r="A10532" s="1" t="str">
        <f>"MFAP3L"</f>
        <v>MFAP3L</v>
      </c>
      <c r="B10532" t="s">
        <v>14</v>
      </c>
      <c r="C10532" t="s">
        <v>23</v>
      </c>
      <c r="D10532" t="s">
        <v>11</v>
      </c>
      <c r="E10532" t="s">
        <v>12</v>
      </c>
      <c r="F10532">
        <v>170947522</v>
      </c>
      <c r="G10532">
        <v>170947563</v>
      </c>
      <c r="H10532">
        <v>170947485</v>
      </c>
      <c r="I10532">
        <v>170947499</v>
      </c>
    </row>
    <row r="10533" spans="1:9" x14ac:dyDescent="0.2">
      <c r="A10533" s="1" t="str">
        <f>"MFAP4"</f>
        <v>MFAP4</v>
      </c>
      <c r="B10533" t="s">
        <v>14</v>
      </c>
      <c r="C10533" t="s">
        <v>28</v>
      </c>
      <c r="D10533" t="s">
        <v>11</v>
      </c>
      <c r="E10533" t="s">
        <v>12</v>
      </c>
      <c r="F10533">
        <v>19290483</v>
      </c>
      <c r="G10533">
        <v>19290510</v>
      </c>
      <c r="H10533">
        <v>19290117</v>
      </c>
      <c r="I10533">
        <v>19290138</v>
      </c>
    </row>
    <row r="10534" spans="1:9" x14ac:dyDescent="0.2">
      <c r="A10534" s="1" t="str">
        <f>"MFAP5"</f>
        <v>MFAP5</v>
      </c>
      <c r="B10534" t="s">
        <v>14</v>
      </c>
      <c r="C10534" t="s">
        <v>16</v>
      </c>
      <c r="D10534" t="s">
        <v>11</v>
      </c>
      <c r="E10534" t="s">
        <v>12</v>
      </c>
      <c r="F10534">
        <v>8815404</v>
      </c>
      <c r="G10534">
        <v>8815438</v>
      </c>
      <c r="H10534">
        <v>8815259</v>
      </c>
      <c r="I10534">
        <v>8815298</v>
      </c>
    </row>
    <row r="10535" spans="1:9" x14ac:dyDescent="0.2">
      <c r="A10535" s="1" t="str">
        <f>"MFF"</f>
        <v>MFF</v>
      </c>
      <c r="B10535" t="s">
        <v>14</v>
      </c>
      <c r="C10535" t="s">
        <v>26</v>
      </c>
      <c r="D10535" t="s">
        <v>17</v>
      </c>
      <c r="E10535" t="s">
        <v>12</v>
      </c>
      <c r="F10535">
        <v>228189941</v>
      </c>
      <c r="G10535">
        <v>228190024</v>
      </c>
      <c r="H10535">
        <v>228189867</v>
      </c>
      <c r="I10535">
        <v>228189871</v>
      </c>
    </row>
    <row r="10536" spans="1:9" x14ac:dyDescent="0.2">
      <c r="A10536" s="1" t="str">
        <f>"MFGE8"</f>
        <v>MFGE8</v>
      </c>
      <c r="B10536" t="s">
        <v>14</v>
      </c>
      <c r="C10536" t="s">
        <v>25</v>
      </c>
      <c r="D10536" t="s">
        <v>11</v>
      </c>
      <c r="E10536" t="s">
        <v>12</v>
      </c>
      <c r="F10536">
        <v>89456602</v>
      </c>
      <c r="G10536">
        <v>89456618</v>
      </c>
      <c r="H10536">
        <v>89456630</v>
      </c>
      <c r="I10536">
        <v>89456646</v>
      </c>
    </row>
    <row r="10537" spans="1:9" x14ac:dyDescent="0.2">
      <c r="A10537" s="1" t="str">
        <f>"MFHAS1"</f>
        <v>MFHAS1</v>
      </c>
      <c r="B10537" t="s">
        <v>14</v>
      </c>
      <c r="C10537" t="s">
        <v>30</v>
      </c>
      <c r="D10537" t="s">
        <v>11</v>
      </c>
      <c r="E10537" t="s">
        <v>12</v>
      </c>
      <c r="F10537">
        <v>8751068</v>
      </c>
      <c r="G10537">
        <v>8751158</v>
      </c>
      <c r="H10537">
        <v>8751020</v>
      </c>
      <c r="I10537">
        <v>8751050</v>
      </c>
    </row>
    <row r="10538" spans="1:9" x14ac:dyDescent="0.2">
      <c r="A10538" s="1" t="str">
        <f>"MFI2"</f>
        <v>MFI2</v>
      </c>
      <c r="B10538" t="s">
        <v>9</v>
      </c>
      <c r="C10538" t="s">
        <v>22</v>
      </c>
      <c r="D10538" t="s">
        <v>11</v>
      </c>
      <c r="E10538" t="s">
        <v>12</v>
      </c>
      <c r="F10538">
        <v>196756646</v>
      </c>
      <c r="G10538">
        <v>196756725</v>
      </c>
      <c r="H10538">
        <v>196756646</v>
      </c>
      <c r="I10538">
        <v>196756725</v>
      </c>
    </row>
    <row r="10539" spans="1:9" x14ac:dyDescent="0.2">
      <c r="A10539" s="1" t="str">
        <f>"MFI2"</f>
        <v>MFI2</v>
      </c>
      <c r="B10539" t="s">
        <v>13</v>
      </c>
      <c r="C10539" t="s">
        <v>22</v>
      </c>
      <c r="D10539" t="s">
        <v>11</v>
      </c>
      <c r="E10539" t="s">
        <v>12</v>
      </c>
      <c r="F10539">
        <v>196730812</v>
      </c>
      <c r="G10539">
        <v>196730832</v>
      </c>
      <c r="H10539">
        <v>196730812</v>
      </c>
      <c r="I10539">
        <v>196730832</v>
      </c>
    </row>
    <row r="10540" spans="1:9" x14ac:dyDescent="0.2">
      <c r="A10540" s="1" t="str">
        <f>"MFN1"</f>
        <v>MFN1</v>
      </c>
      <c r="B10540" t="s">
        <v>14</v>
      </c>
      <c r="C10540" t="s">
        <v>22</v>
      </c>
      <c r="D10540" t="s">
        <v>17</v>
      </c>
      <c r="E10540" t="s">
        <v>12</v>
      </c>
      <c r="F10540">
        <v>179065474</v>
      </c>
      <c r="G10540">
        <v>179065530</v>
      </c>
      <c r="H10540">
        <v>179065538</v>
      </c>
      <c r="I10540">
        <v>179065557</v>
      </c>
    </row>
    <row r="10541" spans="1:9" x14ac:dyDescent="0.2">
      <c r="A10541" s="1" t="str">
        <f>"MFN2"</f>
        <v>MFN2</v>
      </c>
      <c r="B10541" t="s">
        <v>9</v>
      </c>
      <c r="C10541" t="s">
        <v>19</v>
      </c>
      <c r="D10541" t="s">
        <v>17</v>
      </c>
      <c r="E10541" t="s">
        <v>12</v>
      </c>
      <c r="F10541">
        <v>12040482</v>
      </c>
      <c r="G10541">
        <v>12040514</v>
      </c>
      <c r="H10541">
        <v>12040482</v>
      </c>
      <c r="I10541">
        <v>12040514</v>
      </c>
    </row>
    <row r="10542" spans="1:9" x14ac:dyDescent="0.2">
      <c r="A10542" s="1" t="str">
        <f>"MFN2"</f>
        <v>MFN2</v>
      </c>
      <c r="B10542" t="s">
        <v>13</v>
      </c>
      <c r="C10542" t="s">
        <v>19</v>
      </c>
      <c r="D10542" t="s">
        <v>17</v>
      </c>
      <c r="E10542" t="s">
        <v>12</v>
      </c>
      <c r="F10542">
        <v>12041985</v>
      </c>
      <c r="G10542">
        <v>12041997</v>
      </c>
      <c r="H10542">
        <v>12041985</v>
      </c>
      <c r="I10542">
        <v>12041997</v>
      </c>
    </row>
    <row r="10543" spans="1:9" x14ac:dyDescent="0.2">
      <c r="A10543" s="1" t="str">
        <f>"MFNG"</f>
        <v>MFNG</v>
      </c>
      <c r="B10543" t="s">
        <v>14</v>
      </c>
      <c r="C10543" t="s">
        <v>21</v>
      </c>
      <c r="D10543" t="s">
        <v>11</v>
      </c>
      <c r="E10543" t="s">
        <v>12</v>
      </c>
      <c r="F10543">
        <v>37882395</v>
      </c>
      <c r="G10543">
        <v>37882463</v>
      </c>
      <c r="H10543">
        <v>37882553</v>
      </c>
      <c r="I10543">
        <v>37882578</v>
      </c>
    </row>
    <row r="10544" spans="1:9" x14ac:dyDescent="0.2">
      <c r="A10544" s="1" t="str">
        <f>"MFRP"</f>
        <v>MFRP</v>
      </c>
      <c r="B10544" t="s">
        <v>14</v>
      </c>
      <c r="C10544" t="s">
        <v>27</v>
      </c>
      <c r="D10544" t="s">
        <v>11</v>
      </c>
      <c r="E10544" t="s">
        <v>12</v>
      </c>
      <c r="F10544">
        <v>119217365</v>
      </c>
      <c r="G10544">
        <v>119217398</v>
      </c>
      <c r="H10544">
        <v>119217318</v>
      </c>
      <c r="I10544">
        <v>119217346</v>
      </c>
    </row>
    <row r="10545" spans="1:9" x14ac:dyDescent="0.2">
      <c r="A10545" s="1" t="str">
        <f>"MFSD1"</f>
        <v>MFSD1</v>
      </c>
      <c r="B10545" t="s">
        <v>14</v>
      </c>
      <c r="C10545" t="s">
        <v>22</v>
      </c>
      <c r="D10545" t="s">
        <v>17</v>
      </c>
      <c r="E10545" t="s">
        <v>12</v>
      </c>
      <c r="F10545">
        <v>158519834</v>
      </c>
      <c r="G10545">
        <v>158519944</v>
      </c>
      <c r="H10545">
        <v>158519834</v>
      </c>
      <c r="I10545">
        <v>158519944</v>
      </c>
    </row>
    <row r="10546" spans="1:9" x14ac:dyDescent="0.2">
      <c r="A10546" s="1" t="str">
        <f>"MFSD10"</f>
        <v>MFSD10</v>
      </c>
      <c r="B10546" t="s">
        <v>14</v>
      </c>
      <c r="C10546" t="s">
        <v>23</v>
      </c>
      <c r="D10546" t="s">
        <v>11</v>
      </c>
      <c r="E10546" t="s">
        <v>12</v>
      </c>
      <c r="F10546">
        <v>2936514</v>
      </c>
      <c r="G10546">
        <v>2936584</v>
      </c>
      <c r="H10546">
        <v>2935865</v>
      </c>
      <c r="I10546">
        <v>2935923</v>
      </c>
    </row>
    <row r="10547" spans="1:9" x14ac:dyDescent="0.2">
      <c r="A10547" s="1" t="str">
        <f>"MFSD11"</f>
        <v>MFSD11</v>
      </c>
      <c r="B10547" t="s">
        <v>14</v>
      </c>
      <c r="C10547" t="s">
        <v>28</v>
      </c>
      <c r="D10547" t="s">
        <v>17</v>
      </c>
      <c r="E10547" t="s">
        <v>12</v>
      </c>
      <c r="F10547">
        <v>74734052</v>
      </c>
      <c r="G10547">
        <v>74734157</v>
      </c>
      <c r="H10547">
        <v>74733744</v>
      </c>
      <c r="I10547">
        <v>74733785</v>
      </c>
    </row>
    <row r="10548" spans="1:9" x14ac:dyDescent="0.2">
      <c r="A10548" s="1" t="str">
        <f>"MFSD12"</f>
        <v>MFSD12</v>
      </c>
      <c r="B10548" t="s">
        <v>14</v>
      </c>
      <c r="C10548" t="s">
        <v>10</v>
      </c>
      <c r="D10548" t="s">
        <v>11</v>
      </c>
      <c r="E10548" t="s">
        <v>12</v>
      </c>
      <c r="F10548">
        <v>3557570</v>
      </c>
      <c r="G10548">
        <v>3557590</v>
      </c>
      <c r="H10548">
        <v>3557606</v>
      </c>
      <c r="I10548">
        <v>3557617</v>
      </c>
    </row>
    <row r="10549" spans="1:9" x14ac:dyDescent="0.2">
      <c r="A10549" s="1" t="str">
        <f>"MFSD2A"</f>
        <v>MFSD2A</v>
      </c>
      <c r="B10549" t="s">
        <v>14</v>
      </c>
      <c r="C10549" t="s">
        <v>19</v>
      </c>
      <c r="D10549" t="s">
        <v>17</v>
      </c>
      <c r="E10549" t="s">
        <v>12</v>
      </c>
      <c r="F10549">
        <v>40420808</v>
      </c>
      <c r="G10549">
        <v>40420836</v>
      </c>
      <c r="H10549">
        <v>40420997</v>
      </c>
      <c r="I10549">
        <v>40421012</v>
      </c>
    </row>
    <row r="10550" spans="1:9" x14ac:dyDescent="0.2">
      <c r="A10550" s="1" t="str">
        <f>"MFSD2B"</f>
        <v>MFSD2B</v>
      </c>
      <c r="B10550" t="s">
        <v>14</v>
      </c>
      <c r="C10550" t="s">
        <v>26</v>
      </c>
      <c r="D10550" t="s">
        <v>17</v>
      </c>
      <c r="E10550" t="s">
        <v>12</v>
      </c>
      <c r="F10550">
        <v>24232918</v>
      </c>
      <c r="G10550">
        <v>24232970</v>
      </c>
      <c r="H10550">
        <v>24232793</v>
      </c>
      <c r="I10550">
        <v>24232807</v>
      </c>
    </row>
    <row r="10551" spans="1:9" x14ac:dyDescent="0.2">
      <c r="A10551" s="1" t="str">
        <f>"MFSD3"</f>
        <v>MFSD3</v>
      </c>
      <c r="B10551" t="s">
        <v>14</v>
      </c>
      <c r="C10551" t="s">
        <v>30</v>
      </c>
      <c r="D10551" t="s">
        <v>17</v>
      </c>
      <c r="E10551" t="s">
        <v>12</v>
      </c>
      <c r="F10551">
        <v>145734433</v>
      </c>
      <c r="G10551">
        <v>145734493</v>
      </c>
      <c r="H10551">
        <v>145734149</v>
      </c>
      <c r="I10551">
        <v>145734190</v>
      </c>
    </row>
    <row r="10552" spans="1:9" x14ac:dyDescent="0.2">
      <c r="A10552" s="1" t="str">
        <f>"MFSD4"</f>
        <v>MFSD4</v>
      </c>
      <c r="B10552" t="s">
        <v>14</v>
      </c>
      <c r="C10552" t="s">
        <v>19</v>
      </c>
      <c r="D10552" t="s">
        <v>17</v>
      </c>
      <c r="E10552" t="s">
        <v>12</v>
      </c>
      <c r="F10552">
        <v>205538132</v>
      </c>
      <c r="G10552">
        <v>205538150</v>
      </c>
      <c r="H10552">
        <v>205538165</v>
      </c>
      <c r="I10552">
        <v>205538193</v>
      </c>
    </row>
    <row r="10553" spans="1:9" x14ac:dyDescent="0.2">
      <c r="A10553" s="1" t="str">
        <f>"MFSD5"</f>
        <v>MFSD5</v>
      </c>
      <c r="B10553" t="s">
        <v>14</v>
      </c>
      <c r="C10553" t="s">
        <v>16</v>
      </c>
      <c r="D10553" t="s">
        <v>17</v>
      </c>
      <c r="E10553" t="s">
        <v>12</v>
      </c>
      <c r="F10553">
        <v>53645918</v>
      </c>
      <c r="G10553">
        <v>53645975</v>
      </c>
      <c r="H10553">
        <v>53645870</v>
      </c>
      <c r="I10553">
        <v>53645897</v>
      </c>
    </row>
    <row r="10554" spans="1:9" x14ac:dyDescent="0.2">
      <c r="A10554" s="1" t="str">
        <f>"MFSD6"</f>
        <v>MFSD6</v>
      </c>
      <c r="B10554" t="s">
        <v>14</v>
      </c>
      <c r="C10554" t="s">
        <v>26</v>
      </c>
      <c r="D10554" t="s">
        <v>17</v>
      </c>
      <c r="E10554" t="s">
        <v>12</v>
      </c>
      <c r="F10554">
        <v>191273052</v>
      </c>
      <c r="G10554">
        <v>191273121</v>
      </c>
      <c r="H10554">
        <v>191272893</v>
      </c>
      <c r="I10554">
        <v>191272923</v>
      </c>
    </row>
    <row r="10555" spans="1:9" x14ac:dyDescent="0.2">
      <c r="A10555" s="1" t="str">
        <f>"MFSD6L"</f>
        <v>MFSD6L</v>
      </c>
      <c r="B10555" t="s">
        <v>14</v>
      </c>
      <c r="C10555" t="s">
        <v>28</v>
      </c>
      <c r="D10555" t="s">
        <v>11</v>
      </c>
      <c r="E10555" t="s">
        <v>12</v>
      </c>
      <c r="F10555">
        <v>8702628</v>
      </c>
      <c r="G10555">
        <v>8702650</v>
      </c>
      <c r="H10555">
        <v>8702428</v>
      </c>
      <c r="I10555">
        <v>8702478</v>
      </c>
    </row>
    <row r="10556" spans="1:9" x14ac:dyDescent="0.2">
      <c r="A10556" s="1" t="str">
        <f>"MFSD7"</f>
        <v>MFSD7</v>
      </c>
      <c r="B10556" t="s">
        <v>14</v>
      </c>
      <c r="C10556" t="s">
        <v>23</v>
      </c>
      <c r="D10556" t="s">
        <v>11</v>
      </c>
      <c r="E10556" t="s">
        <v>12</v>
      </c>
      <c r="F10556">
        <v>682960</v>
      </c>
      <c r="G10556">
        <v>683012</v>
      </c>
      <c r="H10556">
        <v>682935</v>
      </c>
      <c r="I10556">
        <v>682946</v>
      </c>
    </row>
    <row r="10557" spans="1:9" x14ac:dyDescent="0.2">
      <c r="A10557" s="1" t="str">
        <f>"MFSD8"</f>
        <v>MFSD8</v>
      </c>
      <c r="B10557" t="s">
        <v>14</v>
      </c>
      <c r="C10557" t="s">
        <v>23</v>
      </c>
      <c r="D10557" t="s">
        <v>11</v>
      </c>
      <c r="E10557" t="s">
        <v>12</v>
      </c>
      <c r="F10557">
        <v>128886288</v>
      </c>
      <c r="G10557">
        <v>128886340</v>
      </c>
      <c r="H10557">
        <v>128886359</v>
      </c>
      <c r="I10557">
        <v>128886392</v>
      </c>
    </row>
    <row r="10558" spans="1:9" x14ac:dyDescent="0.2">
      <c r="A10558" s="1" t="str">
        <f>"MFSD9"</f>
        <v>MFSD9</v>
      </c>
      <c r="B10558" t="s">
        <v>14</v>
      </c>
      <c r="C10558" t="s">
        <v>26</v>
      </c>
      <c r="D10558" t="s">
        <v>11</v>
      </c>
      <c r="E10558" t="s">
        <v>12</v>
      </c>
      <c r="F10558">
        <v>103353277</v>
      </c>
      <c r="G10558">
        <v>103353365</v>
      </c>
      <c r="H10558">
        <v>103353432</v>
      </c>
      <c r="I10558">
        <v>103353437</v>
      </c>
    </row>
    <row r="10559" spans="1:9" x14ac:dyDescent="0.2">
      <c r="A10559" s="1" t="str">
        <f>"MGA"</f>
        <v>MGA</v>
      </c>
      <c r="B10559" t="s">
        <v>14</v>
      </c>
      <c r="C10559" t="s">
        <v>25</v>
      </c>
      <c r="D10559" t="s">
        <v>17</v>
      </c>
      <c r="E10559" t="s">
        <v>12</v>
      </c>
      <c r="F10559">
        <v>41952591</v>
      </c>
      <c r="G10559">
        <v>41952672</v>
      </c>
      <c r="H10559">
        <v>41952591</v>
      </c>
      <c r="I10559">
        <v>41952672</v>
      </c>
    </row>
    <row r="10560" spans="1:9" x14ac:dyDescent="0.2">
      <c r="A10560" s="1" t="str">
        <f>"MGAM"</f>
        <v>MGAM</v>
      </c>
      <c r="B10560" t="s">
        <v>14</v>
      </c>
      <c r="C10560" t="s">
        <v>33</v>
      </c>
      <c r="D10560" t="s">
        <v>17</v>
      </c>
      <c r="E10560" t="s">
        <v>12</v>
      </c>
      <c r="F10560">
        <v>141695671</v>
      </c>
      <c r="G10560">
        <v>141695688</v>
      </c>
      <c r="H10560">
        <v>141695633</v>
      </c>
      <c r="I10560">
        <v>141695642</v>
      </c>
    </row>
    <row r="10561" spans="1:9" x14ac:dyDescent="0.2">
      <c r="A10561" s="1" t="str">
        <f>"MGARP"</f>
        <v>MGARP</v>
      </c>
      <c r="B10561" t="s">
        <v>14</v>
      </c>
      <c r="C10561" t="s">
        <v>23</v>
      </c>
      <c r="D10561" t="s">
        <v>11</v>
      </c>
      <c r="E10561" t="s">
        <v>12</v>
      </c>
      <c r="F10561">
        <v>140201333</v>
      </c>
      <c r="G10561">
        <v>140201396</v>
      </c>
      <c r="H10561">
        <v>140201597</v>
      </c>
      <c r="I10561">
        <v>140201617</v>
      </c>
    </row>
    <row r="10562" spans="1:9" x14ac:dyDescent="0.2">
      <c r="A10562" s="1" t="str">
        <f>"MGAT1"</f>
        <v>MGAT1</v>
      </c>
      <c r="B10562" t="s">
        <v>9</v>
      </c>
      <c r="C10562" t="s">
        <v>46</v>
      </c>
      <c r="D10562" t="s">
        <v>11</v>
      </c>
      <c r="E10562" t="s">
        <v>12</v>
      </c>
      <c r="F10562">
        <v>180229791</v>
      </c>
      <c r="G10562">
        <v>180229829</v>
      </c>
      <c r="H10562">
        <v>180229791</v>
      </c>
      <c r="I10562">
        <v>180229829</v>
      </c>
    </row>
    <row r="10563" spans="1:9" x14ac:dyDescent="0.2">
      <c r="A10563" s="1" t="str">
        <f>"MGAT1"</f>
        <v>MGAT1</v>
      </c>
      <c r="B10563" t="s">
        <v>13</v>
      </c>
      <c r="C10563" t="s">
        <v>46</v>
      </c>
      <c r="D10563" t="s">
        <v>11</v>
      </c>
      <c r="E10563" t="s">
        <v>12</v>
      </c>
      <c r="F10563">
        <v>180230830</v>
      </c>
      <c r="G10563">
        <v>180230903</v>
      </c>
      <c r="H10563">
        <v>180230830</v>
      </c>
      <c r="I10563">
        <v>180230903</v>
      </c>
    </row>
    <row r="10564" spans="1:9" x14ac:dyDescent="0.2">
      <c r="A10564" s="1" t="str">
        <f>"MGAT2"</f>
        <v>MGAT2</v>
      </c>
      <c r="B10564" t="s">
        <v>14</v>
      </c>
      <c r="C10564" t="s">
        <v>41</v>
      </c>
      <c r="D10564" t="s">
        <v>17</v>
      </c>
      <c r="E10564" t="s">
        <v>12</v>
      </c>
      <c r="F10564">
        <v>50087468</v>
      </c>
      <c r="G10564">
        <v>50087543</v>
      </c>
      <c r="H10564">
        <v>50087028</v>
      </c>
      <c r="I10564">
        <v>50087051</v>
      </c>
    </row>
    <row r="10565" spans="1:9" x14ac:dyDescent="0.2">
      <c r="A10565" s="1" t="str">
        <f>"MGAT3"</f>
        <v>MGAT3</v>
      </c>
      <c r="B10565" t="s">
        <v>14</v>
      </c>
      <c r="C10565" t="s">
        <v>21</v>
      </c>
      <c r="D10565" t="s">
        <v>17</v>
      </c>
      <c r="E10565" t="s">
        <v>12</v>
      </c>
      <c r="F10565">
        <v>39853002</v>
      </c>
      <c r="G10565">
        <v>39853056</v>
      </c>
      <c r="H10565">
        <v>39853258</v>
      </c>
      <c r="I10565">
        <v>39853330</v>
      </c>
    </row>
    <row r="10566" spans="1:9" x14ac:dyDescent="0.2">
      <c r="A10566" s="1" t="str">
        <f>"MGAT4A"</f>
        <v>MGAT4A</v>
      </c>
      <c r="B10566" t="s">
        <v>14</v>
      </c>
      <c r="C10566" t="s">
        <v>26</v>
      </c>
      <c r="D10566" t="s">
        <v>11</v>
      </c>
      <c r="E10566" t="s">
        <v>12</v>
      </c>
      <c r="F10566">
        <v>99347528</v>
      </c>
      <c r="G10566">
        <v>99347603</v>
      </c>
      <c r="H10566">
        <v>99347528</v>
      </c>
      <c r="I10566">
        <v>99347603</v>
      </c>
    </row>
    <row r="10567" spans="1:9" x14ac:dyDescent="0.2">
      <c r="A10567" s="1" t="str">
        <f>"MGAT4B"</f>
        <v>MGAT4B</v>
      </c>
      <c r="B10567" t="s">
        <v>14</v>
      </c>
      <c r="C10567" t="s">
        <v>46</v>
      </c>
      <c r="D10567" t="s">
        <v>11</v>
      </c>
      <c r="E10567" t="s">
        <v>12</v>
      </c>
      <c r="F10567">
        <v>179233835</v>
      </c>
      <c r="G10567">
        <v>179233873</v>
      </c>
      <c r="H10567">
        <v>179233795</v>
      </c>
      <c r="I10567">
        <v>179233828</v>
      </c>
    </row>
    <row r="10568" spans="1:9" x14ac:dyDescent="0.2">
      <c r="A10568" s="1" t="str">
        <f>"MGAT4C"</f>
        <v>MGAT4C</v>
      </c>
      <c r="B10568" t="s">
        <v>14</v>
      </c>
      <c r="C10568" t="s">
        <v>16</v>
      </c>
      <c r="D10568" t="s">
        <v>11</v>
      </c>
      <c r="E10568" t="s">
        <v>12</v>
      </c>
      <c r="F10568">
        <v>86650154</v>
      </c>
      <c r="G10568">
        <v>86650178</v>
      </c>
      <c r="H10568">
        <v>86650052</v>
      </c>
      <c r="I10568">
        <v>86650076</v>
      </c>
    </row>
    <row r="10569" spans="1:9" x14ac:dyDescent="0.2">
      <c r="A10569" s="1" t="str">
        <f>"MGAT5"</f>
        <v>MGAT5</v>
      </c>
      <c r="B10569" t="s">
        <v>14</v>
      </c>
      <c r="C10569" t="s">
        <v>26</v>
      </c>
      <c r="D10569" t="s">
        <v>17</v>
      </c>
      <c r="E10569" t="s">
        <v>12</v>
      </c>
      <c r="F10569">
        <v>134877491</v>
      </c>
      <c r="G10569">
        <v>134877513</v>
      </c>
      <c r="H10569">
        <v>134877514</v>
      </c>
      <c r="I10569">
        <v>134877537</v>
      </c>
    </row>
    <row r="10570" spans="1:9" x14ac:dyDescent="0.2">
      <c r="A10570" s="1" t="str">
        <f>"MGAT5B"</f>
        <v>MGAT5B</v>
      </c>
      <c r="B10570" t="s">
        <v>14</v>
      </c>
      <c r="C10570" t="s">
        <v>28</v>
      </c>
      <c r="D10570" t="s">
        <v>17</v>
      </c>
      <c r="E10570" t="s">
        <v>12</v>
      </c>
      <c r="F10570">
        <v>74864476</v>
      </c>
      <c r="G10570">
        <v>74864592</v>
      </c>
      <c r="H10570">
        <v>74864449</v>
      </c>
      <c r="I10570">
        <v>74864468</v>
      </c>
    </row>
    <row r="10571" spans="1:9" x14ac:dyDescent="0.2">
      <c r="A10571" s="1" t="str">
        <f>"MGEA5"</f>
        <v>MGEA5</v>
      </c>
      <c r="B10571" t="s">
        <v>14</v>
      </c>
      <c r="C10571" t="s">
        <v>15</v>
      </c>
      <c r="D10571" t="s">
        <v>11</v>
      </c>
      <c r="E10571" t="s">
        <v>12</v>
      </c>
      <c r="F10571">
        <v>103578182</v>
      </c>
      <c r="G10571">
        <v>103578217</v>
      </c>
      <c r="H10571">
        <v>103578162</v>
      </c>
      <c r="I10571">
        <v>103578173</v>
      </c>
    </row>
    <row r="10572" spans="1:9" x14ac:dyDescent="0.2">
      <c r="A10572" s="1" t="str">
        <f>"MGLL"</f>
        <v>MGLL</v>
      </c>
      <c r="B10572" t="s">
        <v>14</v>
      </c>
      <c r="C10572" t="s">
        <v>22</v>
      </c>
      <c r="D10572" t="s">
        <v>11</v>
      </c>
      <c r="E10572" t="s">
        <v>12</v>
      </c>
      <c r="F10572">
        <v>127542021</v>
      </c>
      <c r="G10572">
        <v>127542050</v>
      </c>
      <c r="H10572">
        <v>127541298</v>
      </c>
      <c r="I10572">
        <v>127541378</v>
      </c>
    </row>
    <row r="10573" spans="1:9" x14ac:dyDescent="0.2">
      <c r="A10573" s="1" t="str">
        <f>"MGME1"</f>
        <v>MGME1</v>
      </c>
      <c r="B10573" t="s">
        <v>14</v>
      </c>
      <c r="C10573" t="s">
        <v>29</v>
      </c>
      <c r="D10573" t="s">
        <v>17</v>
      </c>
      <c r="E10573" t="s">
        <v>12</v>
      </c>
      <c r="F10573">
        <v>17949724</v>
      </c>
      <c r="G10573">
        <v>17949763</v>
      </c>
      <c r="H10573">
        <v>17949544</v>
      </c>
      <c r="I10573">
        <v>17949604</v>
      </c>
    </row>
    <row r="10574" spans="1:9" x14ac:dyDescent="0.2">
      <c r="A10574" s="1" t="str">
        <f>"MGMT"</f>
        <v>MGMT</v>
      </c>
      <c r="B10574" t="s">
        <v>14</v>
      </c>
      <c r="C10574" t="s">
        <v>15</v>
      </c>
      <c r="D10574" t="s">
        <v>17</v>
      </c>
      <c r="E10574" t="s">
        <v>12</v>
      </c>
      <c r="F10574">
        <v>131265496</v>
      </c>
      <c r="G10574">
        <v>131265522</v>
      </c>
      <c r="H10574">
        <v>131265443</v>
      </c>
      <c r="I10574">
        <v>131265495</v>
      </c>
    </row>
    <row r="10575" spans="1:9" x14ac:dyDescent="0.2">
      <c r="A10575" s="1" t="str">
        <f>"MGP"</f>
        <v>MGP</v>
      </c>
      <c r="B10575" t="s">
        <v>14</v>
      </c>
      <c r="C10575" t="s">
        <v>16</v>
      </c>
      <c r="D10575" t="s">
        <v>11</v>
      </c>
      <c r="E10575" t="s">
        <v>12</v>
      </c>
      <c r="F10575">
        <v>15038779</v>
      </c>
      <c r="G10575">
        <v>15038798</v>
      </c>
      <c r="H10575">
        <v>15038779</v>
      </c>
      <c r="I10575">
        <v>15038798</v>
      </c>
    </row>
    <row r="10576" spans="1:9" x14ac:dyDescent="0.2">
      <c r="A10576" s="1" t="str">
        <f>"MGRN1"</f>
        <v>MGRN1</v>
      </c>
      <c r="B10576" t="s">
        <v>14</v>
      </c>
      <c r="C10576" t="s">
        <v>31</v>
      </c>
      <c r="D10576" t="s">
        <v>17</v>
      </c>
      <c r="E10576" t="s">
        <v>12</v>
      </c>
      <c r="F10576">
        <v>4674814</v>
      </c>
      <c r="G10576">
        <v>4674876</v>
      </c>
      <c r="H10576">
        <v>4674787</v>
      </c>
      <c r="I10576">
        <v>4674806</v>
      </c>
    </row>
    <row r="10577" spans="1:9" x14ac:dyDescent="0.2">
      <c r="A10577" s="1" t="str">
        <f>"MGST1"</f>
        <v>MGST1</v>
      </c>
      <c r="B10577" t="s">
        <v>14</v>
      </c>
      <c r="C10577" t="s">
        <v>16</v>
      </c>
      <c r="D10577" t="s">
        <v>17</v>
      </c>
      <c r="E10577" t="s">
        <v>12</v>
      </c>
      <c r="F10577">
        <v>16500571</v>
      </c>
      <c r="G10577">
        <v>16500598</v>
      </c>
      <c r="H10577">
        <v>16500599</v>
      </c>
      <c r="I10577">
        <v>16500618</v>
      </c>
    </row>
    <row r="10578" spans="1:9" x14ac:dyDescent="0.2">
      <c r="A10578" s="1" t="str">
        <f>"MGST2"</f>
        <v>MGST2</v>
      </c>
      <c r="B10578" t="s">
        <v>14</v>
      </c>
      <c r="C10578" t="s">
        <v>23</v>
      </c>
      <c r="D10578" t="s">
        <v>17</v>
      </c>
      <c r="E10578" t="s">
        <v>12</v>
      </c>
      <c r="F10578">
        <v>140586958</v>
      </c>
      <c r="G10578">
        <v>140586988</v>
      </c>
      <c r="H10578">
        <v>140586992</v>
      </c>
      <c r="I10578">
        <v>140587013</v>
      </c>
    </row>
    <row r="10579" spans="1:9" x14ac:dyDescent="0.2">
      <c r="A10579" s="1" t="str">
        <f>"MGST3"</f>
        <v>MGST3</v>
      </c>
      <c r="B10579" t="s">
        <v>14</v>
      </c>
      <c r="C10579" t="s">
        <v>19</v>
      </c>
      <c r="D10579" t="s">
        <v>17</v>
      </c>
      <c r="E10579" t="s">
        <v>12</v>
      </c>
      <c r="F10579">
        <v>165600436</v>
      </c>
      <c r="G10579">
        <v>165600508</v>
      </c>
      <c r="H10579">
        <v>165600083</v>
      </c>
      <c r="I10579">
        <v>165600134</v>
      </c>
    </row>
    <row r="10580" spans="1:9" x14ac:dyDescent="0.2">
      <c r="A10580" s="1" t="str">
        <f>"MIA"</f>
        <v>MIA</v>
      </c>
      <c r="B10580" t="s">
        <v>9</v>
      </c>
      <c r="C10580" t="s">
        <v>10</v>
      </c>
      <c r="D10580" t="s">
        <v>17</v>
      </c>
      <c r="E10580" t="s">
        <v>12</v>
      </c>
      <c r="F10580">
        <v>41284135</v>
      </c>
      <c r="G10580">
        <v>41284211</v>
      </c>
      <c r="H10580">
        <v>41284135</v>
      </c>
      <c r="I10580">
        <v>41284211</v>
      </c>
    </row>
    <row r="10581" spans="1:9" x14ac:dyDescent="0.2">
      <c r="A10581" s="1" t="str">
        <f>"MIA"</f>
        <v>MIA</v>
      </c>
      <c r="B10581" t="s">
        <v>13</v>
      </c>
      <c r="C10581" t="s">
        <v>10</v>
      </c>
      <c r="D10581" t="s">
        <v>17</v>
      </c>
      <c r="E10581" t="s">
        <v>12</v>
      </c>
      <c r="F10581">
        <v>41281344</v>
      </c>
      <c r="G10581">
        <v>41281363</v>
      </c>
      <c r="H10581">
        <v>41281344</v>
      </c>
      <c r="I10581">
        <v>41281363</v>
      </c>
    </row>
    <row r="10582" spans="1:9" x14ac:dyDescent="0.2">
      <c r="A10582" s="1" t="str">
        <f>"MIA2"</f>
        <v>MIA2</v>
      </c>
      <c r="B10582" t="s">
        <v>14</v>
      </c>
      <c r="C10582" t="s">
        <v>41</v>
      </c>
      <c r="D10582" t="s">
        <v>17</v>
      </c>
      <c r="E10582" t="s">
        <v>12</v>
      </c>
      <c r="F10582">
        <v>39703112</v>
      </c>
      <c r="G10582">
        <v>39703135</v>
      </c>
      <c r="H10582">
        <v>39703143</v>
      </c>
      <c r="I10582">
        <v>39703152</v>
      </c>
    </row>
    <row r="10583" spans="1:9" x14ac:dyDescent="0.2">
      <c r="A10583" s="1" t="str">
        <f>"MIA3"</f>
        <v>MIA3</v>
      </c>
      <c r="B10583" t="s">
        <v>9</v>
      </c>
      <c r="C10583" t="s">
        <v>19</v>
      </c>
      <c r="D10583" t="s">
        <v>17</v>
      </c>
      <c r="E10583" t="s">
        <v>12</v>
      </c>
      <c r="F10583">
        <v>222791417</v>
      </c>
      <c r="G10583">
        <v>222791455</v>
      </c>
      <c r="H10583">
        <v>222791417</v>
      </c>
      <c r="I10583">
        <v>222791455</v>
      </c>
    </row>
    <row r="10584" spans="1:9" x14ac:dyDescent="0.2">
      <c r="A10584" s="1" t="str">
        <f>"MIA3"</f>
        <v>MIA3</v>
      </c>
      <c r="B10584" t="s">
        <v>13</v>
      </c>
      <c r="C10584" t="s">
        <v>19</v>
      </c>
      <c r="D10584" t="s">
        <v>17</v>
      </c>
      <c r="E10584" t="s">
        <v>12</v>
      </c>
      <c r="F10584">
        <v>222817629</v>
      </c>
      <c r="G10584">
        <v>222817714</v>
      </c>
      <c r="H10584">
        <v>222817629</v>
      </c>
      <c r="I10584">
        <v>222817714</v>
      </c>
    </row>
    <row r="10585" spans="1:9" x14ac:dyDescent="0.2">
      <c r="A10585" s="1" t="str">
        <f>"MIB1"</f>
        <v>MIB1</v>
      </c>
      <c r="B10585" t="s">
        <v>14</v>
      </c>
      <c r="C10585" t="s">
        <v>43</v>
      </c>
      <c r="D10585" t="s">
        <v>17</v>
      </c>
      <c r="E10585" t="s">
        <v>12</v>
      </c>
      <c r="F10585">
        <v>19320776</v>
      </c>
      <c r="G10585">
        <v>19320808</v>
      </c>
      <c r="H10585">
        <v>19320776</v>
      </c>
      <c r="I10585">
        <v>19320808</v>
      </c>
    </row>
    <row r="10586" spans="1:9" x14ac:dyDescent="0.2">
      <c r="A10586" s="1" t="str">
        <f>"MIB2"</f>
        <v>MIB2</v>
      </c>
      <c r="B10586" t="s">
        <v>14</v>
      </c>
      <c r="C10586" t="s">
        <v>19</v>
      </c>
      <c r="D10586" t="s">
        <v>17</v>
      </c>
      <c r="E10586" t="s">
        <v>12</v>
      </c>
      <c r="F10586">
        <v>1551220</v>
      </c>
      <c r="G10586">
        <v>1551320</v>
      </c>
      <c r="H10586">
        <v>1551220</v>
      </c>
      <c r="I10586">
        <v>1551320</v>
      </c>
    </row>
    <row r="10587" spans="1:9" x14ac:dyDescent="0.2">
      <c r="A10587" s="1" t="str">
        <f>"MICA"</f>
        <v>MICA</v>
      </c>
      <c r="B10587" t="s">
        <v>14</v>
      </c>
      <c r="C10587" t="s">
        <v>32</v>
      </c>
      <c r="D10587" t="s">
        <v>17</v>
      </c>
      <c r="E10587" t="s">
        <v>12</v>
      </c>
      <c r="F10587">
        <v>31371337</v>
      </c>
      <c r="G10587">
        <v>31371392</v>
      </c>
      <c r="H10587">
        <v>31371337</v>
      </c>
      <c r="I10587">
        <v>31371392</v>
      </c>
    </row>
    <row r="10588" spans="1:9" x14ac:dyDescent="0.2">
      <c r="A10588" s="1" t="str">
        <f>"MICAL1"</f>
        <v>MICAL1</v>
      </c>
      <c r="B10588" t="s">
        <v>14</v>
      </c>
      <c r="C10588" t="s">
        <v>32</v>
      </c>
      <c r="D10588" t="s">
        <v>11</v>
      </c>
      <c r="E10588" t="s">
        <v>12</v>
      </c>
      <c r="F10588">
        <v>109776901</v>
      </c>
      <c r="G10588">
        <v>109776994</v>
      </c>
      <c r="H10588">
        <v>109777078</v>
      </c>
      <c r="I10588">
        <v>109777102</v>
      </c>
    </row>
    <row r="10589" spans="1:9" x14ac:dyDescent="0.2">
      <c r="A10589" s="1" t="str">
        <f>"MICAL2"</f>
        <v>MICAL2</v>
      </c>
      <c r="B10589" t="s">
        <v>14</v>
      </c>
      <c r="C10589" t="s">
        <v>27</v>
      </c>
      <c r="D10589" t="s">
        <v>17</v>
      </c>
      <c r="E10589" t="s">
        <v>12</v>
      </c>
      <c r="F10589">
        <v>12132117</v>
      </c>
      <c r="G10589">
        <v>12132160</v>
      </c>
      <c r="H10589">
        <v>12132117</v>
      </c>
      <c r="I10589">
        <v>12132160</v>
      </c>
    </row>
    <row r="10590" spans="1:9" x14ac:dyDescent="0.2">
      <c r="A10590" s="1" t="str">
        <f>"MICAL3"</f>
        <v>MICAL3</v>
      </c>
      <c r="B10590" t="s">
        <v>9</v>
      </c>
      <c r="C10590" t="s">
        <v>21</v>
      </c>
      <c r="D10590" t="s">
        <v>11</v>
      </c>
      <c r="E10590" t="s">
        <v>12</v>
      </c>
      <c r="F10590">
        <v>18484249</v>
      </c>
      <c r="G10590">
        <v>18484289</v>
      </c>
      <c r="H10590">
        <v>18484249</v>
      </c>
      <c r="I10590">
        <v>18484289</v>
      </c>
    </row>
    <row r="10591" spans="1:9" x14ac:dyDescent="0.2">
      <c r="A10591" s="1" t="str">
        <f>"MICAL3"</f>
        <v>MICAL3</v>
      </c>
      <c r="B10591" t="s">
        <v>13</v>
      </c>
      <c r="C10591" t="s">
        <v>21</v>
      </c>
      <c r="D10591" t="s">
        <v>11</v>
      </c>
      <c r="E10591" t="s">
        <v>12</v>
      </c>
      <c r="F10591">
        <v>18507279</v>
      </c>
      <c r="G10591">
        <v>18507364</v>
      </c>
      <c r="H10591">
        <v>18507279</v>
      </c>
      <c r="I10591">
        <v>18507364</v>
      </c>
    </row>
    <row r="10592" spans="1:9" x14ac:dyDescent="0.2">
      <c r="A10592" s="1" t="str">
        <f>"MICALCL"</f>
        <v>MICALCL</v>
      </c>
      <c r="B10592" t="s">
        <v>806</v>
      </c>
      <c r="C10592" t="s">
        <v>27</v>
      </c>
      <c r="D10592" t="s">
        <v>17</v>
      </c>
      <c r="E10592" t="s">
        <v>20</v>
      </c>
      <c r="F10592">
        <v>12308446</v>
      </c>
      <c r="G10592">
        <v>12308446</v>
      </c>
      <c r="H10592">
        <v>12308446</v>
      </c>
      <c r="I10592">
        <v>12308446</v>
      </c>
    </row>
    <row r="10593" spans="1:9" x14ac:dyDescent="0.2">
      <c r="A10593" s="1" t="str">
        <f>"MICALL1"</f>
        <v>MICALL1</v>
      </c>
      <c r="B10593" t="s">
        <v>14</v>
      </c>
      <c r="C10593" t="s">
        <v>21</v>
      </c>
      <c r="D10593" t="s">
        <v>17</v>
      </c>
      <c r="E10593" t="s">
        <v>12</v>
      </c>
      <c r="F10593">
        <v>38302285</v>
      </c>
      <c r="G10593">
        <v>38302361</v>
      </c>
      <c r="H10593">
        <v>38302126</v>
      </c>
      <c r="I10593">
        <v>38302174</v>
      </c>
    </row>
    <row r="10594" spans="1:9" x14ac:dyDescent="0.2">
      <c r="A10594" s="1" t="str">
        <f>"MICALL2"</f>
        <v>MICALL2</v>
      </c>
      <c r="B10594" t="s">
        <v>14</v>
      </c>
      <c r="C10594" t="s">
        <v>33</v>
      </c>
      <c r="D10594" t="s">
        <v>11</v>
      </c>
      <c r="E10594" t="s">
        <v>12</v>
      </c>
      <c r="F10594">
        <v>1499097</v>
      </c>
      <c r="G10594">
        <v>1499114</v>
      </c>
      <c r="H10594">
        <v>1499123</v>
      </c>
      <c r="I10594">
        <v>1499150</v>
      </c>
    </row>
    <row r="10595" spans="1:9" x14ac:dyDescent="0.2">
      <c r="A10595" s="1" t="str">
        <f>"MICB"</f>
        <v>MICB</v>
      </c>
      <c r="B10595" t="s">
        <v>9</v>
      </c>
      <c r="C10595" t="s">
        <v>32</v>
      </c>
      <c r="D10595" t="s">
        <v>17</v>
      </c>
      <c r="E10595" t="s">
        <v>12</v>
      </c>
      <c r="F10595">
        <v>31465913</v>
      </c>
      <c r="G10595">
        <v>31465937</v>
      </c>
      <c r="H10595">
        <v>31465913</v>
      </c>
      <c r="I10595">
        <v>31465937</v>
      </c>
    </row>
    <row r="10596" spans="1:9" x14ac:dyDescent="0.2">
      <c r="A10596" s="1" t="str">
        <f>"MICB"</f>
        <v>MICB</v>
      </c>
      <c r="B10596" t="s">
        <v>13</v>
      </c>
      <c r="C10596" t="s">
        <v>32</v>
      </c>
      <c r="D10596" t="s">
        <v>17</v>
      </c>
      <c r="E10596" t="s">
        <v>12</v>
      </c>
      <c r="F10596">
        <v>31462689</v>
      </c>
      <c r="G10596">
        <v>31462717</v>
      </c>
      <c r="H10596">
        <v>31462689</v>
      </c>
      <c r="I10596">
        <v>31462717</v>
      </c>
    </row>
    <row r="10597" spans="1:9" x14ac:dyDescent="0.2">
      <c r="A10597" s="1" t="str">
        <f>"MICU1"</f>
        <v>MICU1</v>
      </c>
      <c r="B10597" t="s">
        <v>14</v>
      </c>
      <c r="C10597" t="s">
        <v>15</v>
      </c>
      <c r="D10597" t="s">
        <v>11</v>
      </c>
      <c r="E10597" t="s">
        <v>12</v>
      </c>
      <c r="F10597">
        <v>74385811</v>
      </c>
      <c r="G10597">
        <v>74385859</v>
      </c>
      <c r="H10597">
        <v>74385876</v>
      </c>
      <c r="I10597">
        <v>74385891</v>
      </c>
    </row>
    <row r="10598" spans="1:9" x14ac:dyDescent="0.2">
      <c r="A10598" s="1" t="str">
        <f>"MICU2"</f>
        <v>MICU2</v>
      </c>
      <c r="B10598" t="s">
        <v>14</v>
      </c>
      <c r="C10598" t="s">
        <v>39</v>
      </c>
      <c r="D10598" t="s">
        <v>11</v>
      </c>
      <c r="E10598" t="s">
        <v>12</v>
      </c>
      <c r="F10598">
        <v>22178284</v>
      </c>
      <c r="G10598">
        <v>22178318</v>
      </c>
      <c r="H10598">
        <v>22177748</v>
      </c>
      <c r="I10598">
        <v>22177749</v>
      </c>
    </row>
    <row r="10599" spans="1:9" x14ac:dyDescent="0.2">
      <c r="A10599" s="1" t="str">
        <f>"MICU3"</f>
        <v>MICU3</v>
      </c>
      <c r="B10599" t="s">
        <v>14</v>
      </c>
      <c r="C10599" t="s">
        <v>30</v>
      </c>
      <c r="D10599" t="s">
        <v>17</v>
      </c>
      <c r="E10599" t="s">
        <v>12</v>
      </c>
      <c r="F10599">
        <v>16884740</v>
      </c>
      <c r="G10599">
        <v>16884804</v>
      </c>
      <c r="H10599">
        <v>16884834</v>
      </c>
      <c r="I10599">
        <v>16884843</v>
      </c>
    </row>
    <row r="10600" spans="1:9" x14ac:dyDescent="0.2">
      <c r="A10600" s="1" t="str">
        <f>"MID1"</f>
        <v>MID1</v>
      </c>
      <c r="B10600" t="s">
        <v>14</v>
      </c>
      <c r="C10600" t="s">
        <v>37</v>
      </c>
      <c r="D10600" t="s">
        <v>11</v>
      </c>
      <c r="E10600" t="s">
        <v>12</v>
      </c>
      <c r="F10600">
        <v>10588595</v>
      </c>
      <c r="G10600">
        <v>10588634</v>
      </c>
      <c r="H10600">
        <v>10588516</v>
      </c>
      <c r="I10600">
        <v>10588552</v>
      </c>
    </row>
    <row r="10601" spans="1:9" x14ac:dyDescent="0.2">
      <c r="A10601" s="1" t="str">
        <f>"MID1IP1"</f>
        <v>MID1IP1</v>
      </c>
      <c r="B10601" t="s">
        <v>14</v>
      </c>
      <c r="C10601" t="s">
        <v>37</v>
      </c>
      <c r="D10601" t="s">
        <v>17</v>
      </c>
      <c r="E10601" t="s">
        <v>12</v>
      </c>
      <c r="F10601">
        <v>38663529</v>
      </c>
      <c r="G10601">
        <v>38663546</v>
      </c>
      <c r="H10601">
        <v>38663529</v>
      </c>
      <c r="I10601">
        <v>38663546</v>
      </c>
    </row>
    <row r="10602" spans="1:9" x14ac:dyDescent="0.2">
      <c r="A10602" s="1" t="str">
        <f>"MID2"</f>
        <v>MID2</v>
      </c>
      <c r="B10602" t="s">
        <v>14</v>
      </c>
      <c r="C10602" t="s">
        <v>37</v>
      </c>
      <c r="D10602" t="s">
        <v>17</v>
      </c>
      <c r="E10602" t="s">
        <v>12</v>
      </c>
      <c r="F10602">
        <v>107069063</v>
      </c>
      <c r="G10602">
        <v>107069123</v>
      </c>
      <c r="H10602">
        <v>107069299</v>
      </c>
      <c r="I10602">
        <v>107069332</v>
      </c>
    </row>
    <row r="10603" spans="1:9" x14ac:dyDescent="0.2">
      <c r="A10603" s="1" t="str">
        <f>"MIDN"</f>
        <v>MIDN</v>
      </c>
      <c r="B10603" t="s">
        <v>9</v>
      </c>
      <c r="C10603" t="s">
        <v>10</v>
      </c>
      <c r="D10603" t="s">
        <v>17</v>
      </c>
      <c r="E10603" t="s">
        <v>12</v>
      </c>
      <c r="F10603">
        <v>1249869</v>
      </c>
      <c r="G10603">
        <v>1249894</v>
      </c>
      <c r="H10603">
        <v>1249869</v>
      </c>
      <c r="I10603">
        <v>1249894</v>
      </c>
    </row>
    <row r="10604" spans="1:9" x14ac:dyDescent="0.2">
      <c r="A10604" s="1" t="str">
        <f>"MIDN"</f>
        <v>MIDN</v>
      </c>
      <c r="B10604" t="s">
        <v>13</v>
      </c>
      <c r="C10604" t="s">
        <v>10</v>
      </c>
      <c r="D10604" t="s">
        <v>17</v>
      </c>
      <c r="E10604" t="s">
        <v>12</v>
      </c>
      <c r="F10604">
        <v>1248568</v>
      </c>
      <c r="G10604">
        <v>1248608</v>
      </c>
      <c r="H10604">
        <v>1248568</v>
      </c>
      <c r="I10604">
        <v>1248608</v>
      </c>
    </row>
    <row r="10605" spans="1:9" x14ac:dyDescent="0.2">
      <c r="A10605" s="1" t="str">
        <f>"MIEF1"</f>
        <v>MIEF1</v>
      </c>
      <c r="B10605" t="s">
        <v>14</v>
      </c>
      <c r="C10605" t="s">
        <v>21</v>
      </c>
      <c r="D10605" t="s">
        <v>17</v>
      </c>
      <c r="E10605" t="s">
        <v>12</v>
      </c>
      <c r="F10605">
        <v>39898325</v>
      </c>
      <c r="G10605">
        <v>39898378</v>
      </c>
      <c r="H10605">
        <v>39898283</v>
      </c>
      <c r="I10605">
        <v>39898307</v>
      </c>
    </row>
    <row r="10606" spans="1:9" x14ac:dyDescent="0.2">
      <c r="A10606" s="1" t="str">
        <f>"MIEF2"</f>
        <v>MIEF2</v>
      </c>
      <c r="B10606" t="s">
        <v>14</v>
      </c>
      <c r="C10606" t="s">
        <v>28</v>
      </c>
      <c r="D10606" t="s">
        <v>17</v>
      </c>
      <c r="E10606" t="s">
        <v>12</v>
      </c>
      <c r="F10606">
        <v>18163872</v>
      </c>
      <c r="G10606">
        <v>18163985</v>
      </c>
      <c r="H10606">
        <v>18163852</v>
      </c>
      <c r="I10606">
        <v>18163863</v>
      </c>
    </row>
    <row r="10607" spans="1:9" x14ac:dyDescent="0.2">
      <c r="A10607" s="1" t="str">
        <f>"MIEN1"</f>
        <v>MIEN1</v>
      </c>
      <c r="B10607" t="s">
        <v>14</v>
      </c>
      <c r="C10607" t="s">
        <v>28</v>
      </c>
      <c r="D10607" t="s">
        <v>11</v>
      </c>
      <c r="E10607" t="s">
        <v>12</v>
      </c>
      <c r="F10607">
        <v>37886777</v>
      </c>
      <c r="G10607">
        <v>37886793</v>
      </c>
      <c r="H10607">
        <v>37886752</v>
      </c>
      <c r="I10607">
        <v>37886766</v>
      </c>
    </row>
    <row r="10608" spans="1:9" x14ac:dyDescent="0.2">
      <c r="A10608" s="1" t="str">
        <f>"MIER1"</f>
        <v>MIER1</v>
      </c>
      <c r="B10608" t="s">
        <v>9</v>
      </c>
      <c r="C10608" t="s">
        <v>19</v>
      </c>
      <c r="D10608" t="s">
        <v>17</v>
      </c>
      <c r="E10608" t="s">
        <v>12</v>
      </c>
      <c r="F10608">
        <v>67390665</v>
      </c>
      <c r="G10608">
        <v>67390698</v>
      </c>
      <c r="H10608">
        <v>67390665</v>
      </c>
      <c r="I10608">
        <v>67390698</v>
      </c>
    </row>
    <row r="10609" spans="1:9" x14ac:dyDescent="0.2">
      <c r="A10609" s="1" t="str">
        <f>"MIER1"</f>
        <v>MIER1</v>
      </c>
      <c r="B10609" t="s">
        <v>13</v>
      </c>
      <c r="C10609" t="s">
        <v>19</v>
      </c>
      <c r="D10609" t="s">
        <v>17</v>
      </c>
      <c r="E10609" t="s">
        <v>12</v>
      </c>
      <c r="F10609">
        <v>67395922</v>
      </c>
      <c r="G10609">
        <v>67395976</v>
      </c>
      <c r="H10609">
        <v>67395922</v>
      </c>
      <c r="I10609">
        <v>67395976</v>
      </c>
    </row>
    <row r="10610" spans="1:9" x14ac:dyDescent="0.2">
      <c r="A10610" s="1" t="str">
        <f>"MIER2"</f>
        <v>MIER2</v>
      </c>
      <c r="B10610" t="s">
        <v>14</v>
      </c>
      <c r="C10610" t="s">
        <v>10</v>
      </c>
      <c r="D10610" t="s">
        <v>11</v>
      </c>
      <c r="E10610" t="s">
        <v>12</v>
      </c>
      <c r="F10610">
        <v>344786</v>
      </c>
      <c r="G10610">
        <v>344826</v>
      </c>
      <c r="H10610">
        <v>344786</v>
      </c>
      <c r="I10610">
        <v>344826</v>
      </c>
    </row>
    <row r="10611" spans="1:9" x14ac:dyDescent="0.2">
      <c r="A10611" s="1" t="str">
        <f>"MIER3"</f>
        <v>MIER3</v>
      </c>
      <c r="B10611" t="s">
        <v>14</v>
      </c>
      <c r="C10611" t="s">
        <v>46</v>
      </c>
      <c r="D10611" t="s">
        <v>11</v>
      </c>
      <c r="E10611" t="s">
        <v>12</v>
      </c>
      <c r="F10611">
        <v>56247935</v>
      </c>
      <c r="G10611">
        <v>56247959</v>
      </c>
      <c r="H10611">
        <v>56248288</v>
      </c>
      <c r="I10611">
        <v>56248311</v>
      </c>
    </row>
    <row r="10612" spans="1:9" x14ac:dyDescent="0.2">
      <c r="A10612" s="1" t="str">
        <f>"MIF"</f>
        <v>MIF</v>
      </c>
      <c r="B10612" t="s">
        <v>14</v>
      </c>
      <c r="C10612" t="s">
        <v>21</v>
      </c>
      <c r="D10612" t="s">
        <v>17</v>
      </c>
      <c r="E10612" t="s">
        <v>12</v>
      </c>
      <c r="F10612">
        <v>24236562</v>
      </c>
      <c r="G10612">
        <v>24236621</v>
      </c>
      <c r="H10612">
        <v>24236622</v>
      </c>
      <c r="I10612">
        <v>24236633</v>
      </c>
    </row>
    <row r="10613" spans="1:9" x14ac:dyDescent="0.2">
      <c r="A10613" s="1" t="str">
        <f>"MIF4GD"</f>
        <v>MIF4GD</v>
      </c>
      <c r="B10613" t="s">
        <v>14</v>
      </c>
      <c r="C10613" t="s">
        <v>28</v>
      </c>
      <c r="D10613" t="s">
        <v>11</v>
      </c>
      <c r="E10613" t="s">
        <v>12</v>
      </c>
      <c r="F10613">
        <v>73267221</v>
      </c>
      <c r="G10613">
        <v>73267277</v>
      </c>
      <c r="H10613">
        <v>73267304</v>
      </c>
      <c r="I10613">
        <v>73267328</v>
      </c>
    </row>
    <row r="10614" spans="1:9" x14ac:dyDescent="0.2">
      <c r="A10614" s="1" t="str">
        <f>"MIIP"</f>
        <v>MIIP</v>
      </c>
      <c r="B10614" t="s">
        <v>14</v>
      </c>
      <c r="C10614" t="s">
        <v>19</v>
      </c>
      <c r="D10614" t="s">
        <v>17</v>
      </c>
      <c r="E10614" t="s">
        <v>12</v>
      </c>
      <c r="F10614">
        <v>12079517</v>
      </c>
      <c r="G10614">
        <v>12079595</v>
      </c>
      <c r="H10614">
        <v>12079492</v>
      </c>
      <c r="I10614">
        <v>12079501</v>
      </c>
    </row>
    <row r="10615" spans="1:9" x14ac:dyDescent="0.2">
      <c r="A10615" s="1" t="str">
        <f>"MILR1"</f>
        <v>MILR1</v>
      </c>
      <c r="B10615" t="s">
        <v>807</v>
      </c>
      <c r="C10615" t="s">
        <v>28</v>
      </c>
      <c r="D10615" t="s">
        <v>17</v>
      </c>
      <c r="E10615" t="s">
        <v>20</v>
      </c>
      <c r="F10615">
        <v>62461568</v>
      </c>
      <c r="G10615">
        <v>62461568</v>
      </c>
      <c r="H10615">
        <v>62461568</v>
      </c>
      <c r="I10615">
        <v>62461568</v>
      </c>
    </row>
    <row r="10616" spans="1:9" x14ac:dyDescent="0.2">
      <c r="A10616" s="1" t="str">
        <f>"MINA"</f>
        <v>MINA</v>
      </c>
      <c r="B10616" t="s">
        <v>14</v>
      </c>
      <c r="C10616" t="s">
        <v>22</v>
      </c>
      <c r="D10616" t="s">
        <v>11</v>
      </c>
      <c r="E10616" t="s">
        <v>12</v>
      </c>
      <c r="F10616">
        <v>97691247</v>
      </c>
      <c r="G10616">
        <v>97691300</v>
      </c>
      <c r="H10616">
        <v>97690955</v>
      </c>
      <c r="I10616">
        <v>97690970</v>
      </c>
    </row>
    <row r="10617" spans="1:9" x14ac:dyDescent="0.2">
      <c r="A10617" s="1" t="str">
        <f>"MINK1"</f>
        <v>MINK1</v>
      </c>
      <c r="B10617" t="s">
        <v>14</v>
      </c>
      <c r="C10617" t="s">
        <v>28</v>
      </c>
      <c r="D10617" t="s">
        <v>17</v>
      </c>
      <c r="E10617" t="s">
        <v>12</v>
      </c>
      <c r="F10617">
        <v>4736627</v>
      </c>
      <c r="G10617">
        <v>4736720</v>
      </c>
      <c r="H10617">
        <v>4736789</v>
      </c>
      <c r="I10617">
        <v>4736810</v>
      </c>
    </row>
    <row r="10618" spans="1:9" x14ac:dyDescent="0.2">
      <c r="A10618" s="1" t="str">
        <f>"MINOS1"</f>
        <v>MINOS1</v>
      </c>
      <c r="B10618" t="s">
        <v>14</v>
      </c>
      <c r="C10618" t="s">
        <v>19</v>
      </c>
      <c r="D10618" t="s">
        <v>17</v>
      </c>
      <c r="E10618" t="s">
        <v>12</v>
      </c>
      <c r="F10618">
        <v>19923454</v>
      </c>
      <c r="G10618">
        <v>19923553</v>
      </c>
      <c r="H10618">
        <v>19923569</v>
      </c>
      <c r="I10618">
        <v>19923578</v>
      </c>
    </row>
    <row r="10619" spans="1:9" x14ac:dyDescent="0.2">
      <c r="A10619" s="1" t="str">
        <f>"MINOS1-NBL1"</f>
        <v>MINOS1-NBL1</v>
      </c>
      <c r="B10619" t="s">
        <v>14</v>
      </c>
      <c r="C10619" t="s">
        <v>19</v>
      </c>
      <c r="D10619" t="s">
        <v>17</v>
      </c>
      <c r="E10619" t="s">
        <v>67</v>
      </c>
      <c r="F10619">
        <v>19923454</v>
      </c>
      <c r="G10619">
        <v>19923553</v>
      </c>
      <c r="H10619">
        <v>19923569</v>
      </c>
      <c r="I10619">
        <v>19923578</v>
      </c>
    </row>
    <row r="10620" spans="1:9" x14ac:dyDescent="0.2">
      <c r="A10620" s="1" t="str">
        <f>"MINPP1"</f>
        <v>MINPP1</v>
      </c>
      <c r="B10620" t="s">
        <v>14</v>
      </c>
      <c r="C10620" t="s">
        <v>15</v>
      </c>
      <c r="D10620" t="s">
        <v>17</v>
      </c>
      <c r="E10620" t="s">
        <v>12</v>
      </c>
      <c r="F10620">
        <v>89264642</v>
      </c>
      <c r="G10620">
        <v>89264665</v>
      </c>
      <c r="H10620">
        <v>89264625</v>
      </c>
      <c r="I10620">
        <v>89264637</v>
      </c>
    </row>
    <row r="10621" spans="1:9" x14ac:dyDescent="0.2">
      <c r="A10621" s="1" t="str">
        <f>"MIOS"</f>
        <v>MIOS</v>
      </c>
      <c r="B10621" t="s">
        <v>14</v>
      </c>
      <c r="C10621" t="s">
        <v>33</v>
      </c>
      <c r="D10621" t="s">
        <v>17</v>
      </c>
      <c r="E10621" t="s">
        <v>12</v>
      </c>
      <c r="F10621">
        <v>7606497</v>
      </c>
      <c r="G10621">
        <v>7606595</v>
      </c>
      <c r="H10621">
        <v>7606639</v>
      </c>
      <c r="I10621">
        <v>7606713</v>
      </c>
    </row>
    <row r="10622" spans="1:9" x14ac:dyDescent="0.2">
      <c r="A10622" s="1" t="str">
        <f>"MIOX"</f>
        <v>MIOX</v>
      </c>
      <c r="B10622" t="s">
        <v>14</v>
      </c>
      <c r="C10622" t="s">
        <v>21</v>
      </c>
      <c r="D10622" t="s">
        <v>17</v>
      </c>
      <c r="E10622" t="s">
        <v>12</v>
      </c>
      <c r="F10622">
        <v>50925279</v>
      </c>
      <c r="G10622">
        <v>50925294</v>
      </c>
      <c r="H10622">
        <v>50925279</v>
      </c>
      <c r="I10622">
        <v>50925294</v>
      </c>
    </row>
    <row r="10623" spans="1:9" x14ac:dyDescent="0.2">
      <c r="A10623" s="1" t="str">
        <f>"MIP"</f>
        <v>MIP</v>
      </c>
      <c r="B10623" t="s">
        <v>14</v>
      </c>
      <c r="C10623" t="s">
        <v>16</v>
      </c>
      <c r="D10623" t="s">
        <v>11</v>
      </c>
      <c r="E10623" t="s">
        <v>12</v>
      </c>
      <c r="F10623">
        <v>56848437</v>
      </c>
      <c r="G10623">
        <v>56848442</v>
      </c>
      <c r="H10623">
        <v>56848437</v>
      </c>
      <c r="I10623">
        <v>56848442</v>
      </c>
    </row>
    <row r="10624" spans="1:9" x14ac:dyDescent="0.2">
      <c r="A10624" s="1" t="str">
        <f>"MIPEP"</f>
        <v>MIPEP</v>
      </c>
      <c r="B10624" t="s">
        <v>14</v>
      </c>
      <c r="C10624" t="s">
        <v>39</v>
      </c>
      <c r="D10624" t="s">
        <v>11</v>
      </c>
      <c r="E10624" t="s">
        <v>12</v>
      </c>
      <c r="F10624">
        <v>24463530</v>
      </c>
      <c r="G10624">
        <v>24463592</v>
      </c>
      <c r="H10624">
        <v>24463456</v>
      </c>
      <c r="I10624">
        <v>24463528</v>
      </c>
    </row>
    <row r="10625" spans="1:9" x14ac:dyDescent="0.2">
      <c r="A10625" s="1" t="str">
        <f>"MIPOL1"</f>
        <v>MIPOL1</v>
      </c>
      <c r="B10625" t="s">
        <v>14</v>
      </c>
      <c r="C10625" t="s">
        <v>41</v>
      </c>
      <c r="D10625" t="s">
        <v>17</v>
      </c>
      <c r="E10625" t="s">
        <v>12</v>
      </c>
      <c r="F10625">
        <v>37667230</v>
      </c>
      <c r="G10625">
        <v>37667304</v>
      </c>
      <c r="H10625">
        <v>37667126</v>
      </c>
      <c r="I10625">
        <v>37667192</v>
      </c>
    </row>
    <row r="10626" spans="1:9" x14ac:dyDescent="0.2">
      <c r="A10626" s="1" t="str">
        <f>"MIR205HG"</f>
        <v>MIR205HG</v>
      </c>
      <c r="B10626" t="s">
        <v>9</v>
      </c>
      <c r="C10626" t="s">
        <v>19</v>
      </c>
      <c r="D10626" t="s">
        <v>17</v>
      </c>
      <c r="E10626" t="s">
        <v>12</v>
      </c>
      <c r="F10626">
        <v>209602156</v>
      </c>
      <c r="G10626">
        <v>209602174</v>
      </c>
      <c r="H10626">
        <v>209602156</v>
      </c>
      <c r="I10626">
        <v>209602174</v>
      </c>
    </row>
    <row r="10627" spans="1:9" x14ac:dyDescent="0.2">
      <c r="A10627" s="1" t="str">
        <f>"MIR205HG"</f>
        <v>MIR205HG</v>
      </c>
      <c r="B10627" t="s">
        <v>13</v>
      </c>
      <c r="C10627" t="s">
        <v>19</v>
      </c>
      <c r="D10627" t="s">
        <v>17</v>
      </c>
      <c r="E10627" t="s">
        <v>12</v>
      </c>
      <c r="F10627">
        <v>209605563</v>
      </c>
      <c r="G10627">
        <v>209605577</v>
      </c>
      <c r="H10627">
        <v>209605563</v>
      </c>
      <c r="I10627">
        <v>209605577</v>
      </c>
    </row>
    <row r="10628" spans="1:9" x14ac:dyDescent="0.2">
      <c r="A10628" s="1" t="str">
        <f>"MIS12"</f>
        <v>MIS12</v>
      </c>
      <c r="B10628" t="s">
        <v>14</v>
      </c>
      <c r="C10628" t="s">
        <v>28</v>
      </c>
      <c r="D10628" t="s">
        <v>17</v>
      </c>
      <c r="E10628" t="s">
        <v>12</v>
      </c>
      <c r="F10628">
        <v>5389876</v>
      </c>
      <c r="G10628">
        <v>5389920</v>
      </c>
      <c r="H10628">
        <v>5389829</v>
      </c>
      <c r="I10628">
        <v>5389870</v>
      </c>
    </row>
    <row r="10629" spans="1:9" x14ac:dyDescent="0.2">
      <c r="A10629" s="1" t="str">
        <f>"MIS18A"</f>
        <v>MIS18A</v>
      </c>
      <c r="B10629" t="s">
        <v>14</v>
      </c>
      <c r="C10629" t="s">
        <v>42</v>
      </c>
      <c r="D10629" t="s">
        <v>11</v>
      </c>
      <c r="E10629" t="s">
        <v>12</v>
      </c>
      <c r="F10629">
        <v>33651324</v>
      </c>
      <c r="G10629">
        <v>33651366</v>
      </c>
      <c r="H10629">
        <v>33651324</v>
      </c>
      <c r="I10629">
        <v>33651366</v>
      </c>
    </row>
    <row r="10630" spans="1:9" x14ac:dyDescent="0.2">
      <c r="A10630" s="1" t="str">
        <f>"MIS18BP1"</f>
        <v>MIS18BP1</v>
      </c>
      <c r="B10630" t="s">
        <v>14</v>
      </c>
      <c r="C10630" t="s">
        <v>41</v>
      </c>
      <c r="D10630" t="s">
        <v>11</v>
      </c>
      <c r="E10630" t="s">
        <v>12</v>
      </c>
      <c r="F10630">
        <v>45722360</v>
      </c>
      <c r="G10630">
        <v>45722415</v>
      </c>
      <c r="H10630">
        <v>45722287</v>
      </c>
      <c r="I10630">
        <v>45722308</v>
      </c>
    </row>
    <row r="10631" spans="1:9" x14ac:dyDescent="0.2">
      <c r="A10631" s="1" t="str">
        <f>"MISP"</f>
        <v>MISP</v>
      </c>
      <c r="B10631" t="s">
        <v>14</v>
      </c>
      <c r="C10631" t="s">
        <v>10</v>
      </c>
      <c r="D10631" t="s">
        <v>17</v>
      </c>
      <c r="E10631" t="s">
        <v>12</v>
      </c>
      <c r="F10631">
        <v>751122</v>
      </c>
      <c r="G10631">
        <v>751139</v>
      </c>
      <c r="H10631">
        <v>751104</v>
      </c>
      <c r="I10631">
        <v>751121</v>
      </c>
    </row>
    <row r="10632" spans="1:9" x14ac:dyDescent="0.2">
      <c r="A10632" s="1" t="str">
        <f>"MITD1"</f>
        <v>MITD1</v>
      </c>
      <c r="B10632" t="s">
        <v>14</v>
      </c>
      <c r="C10632" t="s">
        <v>26</v>
      </c>
      <c r="D10632" t="s">
        <v>11</v>
      </c>
      <c r="E10632" t="s">
        <v>12</v>
      </c>
      <c r="F10632">
        <v>99797473</v>
      </c>
      <c r="G10632">
        <v>99797530</v>
      </c>
      <c r="H10632">
        <v>99797442</v>
      </c>
      <c r="I10632">
        <v>99797465</v>
      </c>
    </row>
    <row r="10633" spans="1:9" x14ac:dyDescent="0.2">
      <c r="A10633" s="1" t="str">
        <f>"MITF"</f>
        <v>MITF</v>
      </c>
      <c r="B10633" t="s">
        <v>9</v>
      </c>
      <c r="C10633" t="s">
        <v>22</v>
      </c>
      <c r="D10633" t="s">
        <v>17</v>
      </c>
      <c r="E10633" t="s">
        <v>12</v>
      </c>
      <c r="F10633">
        <v>69788576</v>
      </c>
      <c r="G10633">
        <v>69788648</v>
      </c>
      <c r="H10633">
        <v>69788576</v>
      </c>
      <c r="I10633">
        <v>69788648</v>
      </c>
    </row>
    <row r="10634" spans="1:9" x14ac:dyDescent="0.2">
      <c r="A10634" s="1" t="str">
        <f>"MITF"</f>
        <v>MITF</v>
      </c>
      <c r="B10634" t="s">
        <v>13</v>
      </c>
      <c r="C10634" t="s">
        <v>22</v>
      </c>
      <c r="D10634" t="s">
        <v>17</v>
      </c>
      <c r="E10634" t="s">
        <v>12</v>
      </c>
      <c r="F10634">
        <v>69985734</v>
      </c>
      <c r="G10634">
        <v>69985749</v>
      </c>
      <c r="H10634">
        <v>69985734</v>
      </c>
      <c r="I10634">
        <v>69985749</v>
      </c>
    </row>
    <row r="10635" spans="1:9" x14ac:dyDescent="0.2">
      <c r="A10635" s="1" t="str">
        <f>"MIXL1"</f>
        <v>MIXL1</v>
      </c>
      <c r="B10635" t="s">
        <v>14</v>
      </c>
      <c r="C10635" t="s">
        <v>19</v>
      </c>
      <c r="D10635" t="s">
        <v>17</v>
      </c>
      <c r="E10635" t="s">
        <v>12</v>
      </c>
      <c r="F10635">
        <v>226411361</v>
      </c>
      <c r="G10635">
        <v>226411366</v>
      </c>
      <c r="H10635">
        <v>226411208</v>
      </c>
      <c r="I10635">
        <v>226411223</v>
      </c>
    </row>
    <row r="10636" spans="1:9" x14ac:dyDescent="0.2">
      <c r="A10636" s="1" t="str">
        <f>"MKI67"</f>
        <v>MKI67</v>
      </c>
      <c r="B10636" t="s">
        <v>14</v>
      </c>
      <c r="C10636" t="s">
        <v>15</v>
      </c>
      <c r="D10636" t="s">
        <v>11</v>
      </c>
      <c r="E10636" t="s">
        <v>12</v>
      </c>
      <c r="F10636">
        <v>129924611</v>
      </c>
      <c r="G10636">
        <v>129924662</v>
      </c>
      <c r="H10636">
        <v>129924668</v>
      </c>
      <c r="I10636">
        <v>129924722</v>
      </c>
    </row>
    <row r="10637" spans="1:9" x14ac:dyDescent="0.2">
      <c r="A10637" s="1" t="str">
        <f>"MKI67IP"</f>
        <v>MKI67IP</v>
      </c>
      <c r="B10637" t="s">
        <v>14</v>
      </c>
      <c r="C10637" t="s">
        <v>26</v>
      </c>
      <c r="D10637" t="s">
        <v>11</v>
      </c>
      <c r="E10637" t="s">
        <v>12</v>
      </c>
      <c r="F10637">
        <v>122494439</v>
      </c>
      <c r="G10637">
        <v>122494459</v>
      </c>
      <c r="H10637">
        <v>122494462</v>
      </c>
      <c r="I10637">
        <v>122494477</v>
      </c>
    </row>
    <row r="10638" spans="1:9" x14ac:dyDescent="0.2">
      <c r="A10638" s="1" t="str">
        <f>"MKKS"</f>
        <v>MKKS</v>
      </c>
      <c r="B10638" t="s">
        <v>14</v>
      </c>
      <c r="C10638" t="s">
        <v>29</v>
      </c>
      <c r="D10638" t="s">
        <v>11</v>
      </c>
      <c r="E10638" t="s">
        <v>12</v>
      </c>
      <c r="F10638">
        <v>10414804</v>
      </c>
      <c r="G10638">
        <v>10414884</v>
      </c>
      <c r="H10638">
        <v>10414793</v>
      </c>
      <c r="I10638">
        <v>10414803</v>
      </c>
    </row>
    <row r="10639" spans="1:9" x14ac:dyDescent="0.2">
      <c r="A10639" s="1" t="str">
        <f>"MKL1"</f>
        <v>MKL1</v>
      </c>
      <c r="B10639" t="s">
        <v>14</v>
      </c>
      <c r="C10639" t="s">
        <v>21</v>
      </c>
      <c r="D10639" t="s">
        <v>11</v>
      </c>
      <c r="E10639" t="s">
        <v>12</v>
      </c>
      <c r="F10639">
        <v>41032668</v>
      </c>
      <c r="G10639">
        <v>41032730</v>
      </c>
      <c r="H10639">
        <v>41032668</v>
      </c>
      <c r="I10639">
        <v>41032730</v>
      </c>
    </row>
    <row r="10640" spans="1:9" x14ac:dyDescent="0.2">
      <c r="A10640" s="1" t="str">
        <f>"MKL2"</f>
        <v>MKL2</v>
      </c>
      <c r="B10640" t="s">
        <v>808</v>
      </c>
      <c r="C10640" t="s">
        <v>31</v>
      </c>
      <c r="D10640" t="s">
        <v>17</v>
      </c>
      <c r="E10640" t="s">
        <v>20</v>
      </c>
      <c r="F10640">
        <v>14173144</v>
      </c>
      <c r="G10640">
        <v>14173144</v>
      </c>
      <c r="H10640">
        <v>14173144</v>
      </c>
      <c r="I10640">
        <v>14173144</v>
      </c>
    </row>
    <row r="10641" spans="1:9" x14ac:dyDescent="0.2">
      <c r="A10641" s="1" t="str">
        <f>"MKL2"</f>
        <v>MKL2</v>
      </c>
      <c r="B10641" t="s">
        <v>809</v>
      </c>
      <c r="C10641" t="s">
        <v>31</v>
      </c>
      <c r="D10641" t="s">
        <v>17</v>
      </c>
      <c r="E10641" t="s">
        <v>35</v>
      </c>
      <c r="F10641">
        <v>14165006</v>
      </c>
      <c r="G10641">
        <v>14165018</v>
      </c>
      <c r="H10641">
        <v>14165215</v>
      </c>
      <c r="I10641">
        <v>14165228</v>
      </c>
    </row>
    <row r="10642" spans="1:9" x14ac:dyDescent="0.2">
      <c r="A10642" s="1" t="str">
        <f>"MKLN1"</f>
        <v>MKLN1</v>
      </c>
      <c r="B10642" t="s">
        <v>14</v>
      </c>
      <c r="C10642" t="s">
        <v>33</v>
      </c>
      <c r="D10642" t="s">
        <v>17</v>
      </c>
      <c r="E10642" t="s">
        <v>12</v>
      </c>
      <c r="F10642">
        <v>131012622</v>
      </c>
      <c r="G10642">
        <v>131012662</v>
      </c>
      <c r="H10642">
        <v>131012606</v>
      </c>
      <c r="I10642">
        <v>131012617</v>
      </c>
    </row>
    <row r="10643" spans="1:9" x14ac:dyDescent="0.2">
      <c r="A10643" s="1" t="str">
        <f>"MKNK1"</f>
        <v>MKNK1</v>
      </c>
      <c r="B10643" t="s">
        <v>9</v>
      </c>
      <c r="C10643" t="s">
        <v>19</v>
      </c>
      <c r="D10643" t="s">
        <v>11</v>
      </c>
      <c r="E10643" t="s">
        <v>12</v>
      </c>
      <c r="F10643">
        <v>47069901</v>
      </c>
      <c r="G10643">
        <v>47069946</v>
      </c>
      <c r="H10643">
        <v>47069901</v>
      </c>
      <c r="I10643">
        <v>47069946</v>
      </c>
    </row>
    <row r="10644" spans="1:9" x14ac:dyDescent="0.2">
      <c r="A10644" s="1" t="str">
        <f>"MKNK1"</f>
        <v>MKNK1</v>
      </c>
      <c r="B10644" t="s">
        <v>13</v>
      </c>
      <c r="C10644" t="s">
        <v>19</v>
      </c>
      <c r="D10644" t="s">
        <v>11</v>
      </c>
      <c r="E10644" t="s">
        <v>12</v>
      </c>
      <c r="F10644">
        <v>47082495</v>
      </c>
      <c r="G10644">
        <v>47082544</v>
      </c>
      <c r="H10644">
        <v>47082495</v>
      </c>
      <c r="I10644">
        <v>47082544</v>
      </c>
    </row>
    <row r="10645" spans="1:9" x14ac:dyDescent="0.2">
      <c r="A10645" s="1" t="str">
        <f>"MKNK2"</f>
        <v>MKNK2</v>
      </c>
      <c r="B10645" t="s">
        <v>9</v>
      </c>
      <c r="C10645" t="s">
        <v>10</v>
      </c>
      <c r="D10645" t="s">
        <v>11</v>
      </c>
      <c r="E10645" t="s">
        <v>12</v>
      </c>
      <c r="F10645">
        <v>2051235</v>
      </c>
      <c r="G10645">
        <v>2051252</v>
      </c>
      <c r="H10645">
        <v>2051235</v>
      </c>
      <c r="I10645">
        <v>2051252</v>
      </c>
    </row>
    <row r="10646" spans="1:9" x14ac:dyDescent="0.2">
      <c r="A10646" s="1" t="str">
        <f>"MKNK2"</f>
        <v>MKNK2</v>
      </c>
      <c r="B10646" t="s">
        <v>13</v>
      </c>
      <c r="C10646" t="s">
        <v>10</v>
      </c>
      <c r="D10646" t="s">
        <v>11</v>
      </c>
      <c r="E10646" t="s">
        <v>12</v>
      </c>
      <c r="F10646">
        <v>2042012</v>
      </c>
      <c r="G10646">
        <v>2042062</v>
      </c>
      <c r="H10646">
        <v>2042012</v>
      </c>
      <c r="I10646">
        <v>2042062</v>
      </c>
    </row>
    <row r="10647" spans="1:9" x14ac:dyDescent="0.2">
      <c r="A10647" s="1" t="str">
        <f>"MKRN1"</f>
        <v>MKRN1</v>
      </c>
      <c r="B10647" t="s">
        <v>14</v>
      </c>
      <c r="C10647" t="s">
        <v>33</v>
      </c>
      <c r="D10647" t="s">
        <v>11</v>
      </c>
      <c r="E10647" t="s">
        <v>12</v>
      </c>
      <c r="F10647">
        <v>140179276</v>
      </c>
      <c r="G10647">
        <v>140179340</v>
      </c>
      <c r="H10647">
        <v>140179146</v>
      </c>
      <c r="I10647">
        <v>140179173</v>
      </c>
    </row>
    <row r="10648" spans="1:9" x14ac:dyDescent="0.2">
      <c r="A10648" s="1" t="str">
        <f>"MKRN2"</f>
        <v>MKRN2</v>
      </c>
      <c r="B10648" t="s">
        <v>14</v>
      </c>
      <c r="C10648" t="s">
        <v>22</v>
      </c>
      <c r="D10648" t="s">
        <v>17</v>
      </c>
      <c r="E10648" t="s">
        <v>12</v>
      </c>
      <c r="F10648">
        <v>12598563</v>
      </c>
      <c r="G10648">
        <v>12598643</v>
      </c>
      <c r="H10648">
        <v>12598549</v>
      </c>
      <c r="I10648">
        <v>12598562</v>
      </c>
    </row>
    <row r="10649" spans="1:9" x14ac:dyDescent="0.2">
      <c r="A10649" s="1" t="str">
        <f>"MKRN3"</f>
        <v>MKRN3</v>
      </c>
      <c r="B10649" t="s">
        <v>14</v>
      </c>
      <c r="C10649" t="s">
        <v>25</v>
      </c>
      <c r="D10649" t="s">
        <v>17</v>
      </c>
      <c r="E10649" t="s">
        <v>12</v>
      </c>
      <c r="F10649">
        <v>23810812</v>
      </c>
      <c r="G10649">
        <v>23810828</v>
      </c>
      <c r="H10649">
        <v>23810853</v>
      </c>
      <c r="I10649">
        <v>23810860</v>
      </c>
    </row>
    <row r="10650" spans="1:9" x14ac:dyDescent="0.2">
      <c r="A10650" s="1" t="str">
        <f>"MKS1"</f>
        <v>MKS1</v>
      </c>
      <c r="B10650" t="s">
        <v>14</v>
      </c>
      <c r="C10650" t="s">
        <v>28</v>
      </c>
      <c r="D10650" t="s">
        <v>11</v>
      </c>
      <c r="E10650" t="s">
        <v>12</v>
      </c>
      <c r="F10650">
        <v>56296580</v>
      </c>
      <c r="G10650">
        <v>56296624</v>
      </c>
      <c r="H10650">
        <v>56296997</v>
      </c>
      <c r="I10650">
        <v>56296998</v>
      </c>
    </row>
    <row r="10651" spans="1:9" x14ac:dyDescent="0.2">
      <c r="A10651" s="1" t="str">
        <f>"MKX"</f>
        <v>MKX</v>
      </c>
      <c r="B10651" t="s">
        <v>9</v>
      </c>
      <c r="C10651" t="s">
        <v>15</v>
      </c>
      <c r="D10651" t="s">
        <v>11</v>
      </c>
      <c r="E10651" t="s">
        <v>12</v>
      </c>
      <c r="F10651">
        <v>28034739</v>
      </c>
      <c r="G10651">
        <v>28034756</v>
      </c>
      <c r="H10651">
        <v>28034739</v>
      </c>
      <c r="I10651">
        <v>28034756</v>
      </c>
    </row>
    <row r="10652" spans="1:9" x14ac:dyDescent="0.2">
      <c r="A10652" s="1" t="str">
        <f>"MKX"</f>
        <v>MKX</v>
      </c>
      <c r="B10652" t="s">
        <v>13</v>
      </c>
      <c r="C10652" t="s">
        <v>15</v>
      </c>
      <c r="D10652" t="s">
        <v>11</v>
      </c>
      <c r="E10652" t="s">
        <v>12</v>
      </c>
      <c r="F10652">
        <v>28032421</v>
      </c>
      <c r="G10652">
        <v>28032494</v>
      </c>
      <c r="H10652">
        <v>28032421</v>
      </c>
      <c r="I10652">
        <v>28032494</v>
      </c>
    </row>
    <row r="10653" spans="1:9" x14ac:dyDescent="0.2">
      <c r="A10653" s="1" t="str">
        <f>"MLANA"</f>
        <v>MLANA</v>
      </c>
      <c r="B10653" t="s">
        <v>9</v>
      </c>
      <c r="C10653" t="s">
        <v>24</v>
      </c>
      <c r="D10653" t="s">
        <v>17</v>
      </c>
      <c r="E10653" t="s">
        <v>12</v>
      </c>
      <c r="F10653">
        <v>5890872</v>
      </c>
      <c r="G10653">
        <v>5890902</v>
      </c>
      <c r="H10653">
        <v>5890872</v>
      </c>
      <c r="I10653">
        <v>5890902</v>
      </c>
    </row>
    <row r="10654" spans="1:9" x14ac:dyDescent="0.2">
      <c r="A10654" s="1" t="str">
        <f>"MLANA"</f>
        <v>MLANA</v>
      </c>
      <c r="B10654" t="s">
        <v>13</v>
      </c>
      <c r="C10654" t="s">
        <v>24</v>
      </c>
      <c r="D10654" t="s">
        <v>17</v>
      </c>
      <c r="E10654" t="s">
        <v>12</v>
      </c>
      <c r="F10654">
        <v>5897587</v>
      </c>
      <c r="G10654">
        <v>5897603</v>
      </c>
      <c r="H10654">
        <v>5897587</v>
      </c>
      <c r="I10654">
        <v>5897603</v>
      </c>
    </row>
    <row r="10655" spans="1:9" x14ac:dyDescent="0.2">
      <c r="A10655" s="1" t="str">
        <f>"MLC1"</f>
        <v>MLC1</v>
      </c>
      <c r="B10655" t="s">
        <v>14</v>
      </c>
      <c r="C10655" t="s">
        <v>21</v>
      </c>
      <c r="D10655" t="s">
        <v>11</v>
      </c>
      <c r="E10655" t="s">
        <v>12</v>
      </c>
      <c r="F10655">
        <v>50523843</v>
      </c>
      <c r="G10655">
        <v>50523865</v>
      </c>
      <c r="H10655">
        <v>50523807</v>
      </c>
      <c r="I10655">
        <v>50523826</v>
      </c>
    </row>
    <row r="10656" spans="1:9" x14ac:dyDescent="0.2">
      <c r="A10656" s="1" t="str">
        <f>"MLEC"</f>
        <v>MLEC</v>
      </c>
      <c r="B10656" t="s">
        <v>9</v>
      </c>
      <c r="C10656" t="s">
        <v>16</v>
      </c>
      <c r="D10656" t="s">
        <v>17</v>
      </c>
      <c r="E10656" t="s">
        <v>12</v>
      </c>
      <c r="F10656">
        <v>121124921</v>
      </c>
      <c r="G10656">
        <v>121124988</v>
      </c>
      <c r="H10656">
        <v>121124921</v>
      </c>
      <c r="I10656">
        <v>121124988</v>
      </c>
    </row>
    <row r="10657" spans="1:9" x14ac:dyDescent="0.2">
      <c r="A10657" s="1" t="str">
        <f>"MLEC"</f>
        <v>MLEC</v>
      </c>
      <c r="B10657" t="s">
        <v>13</v>
      </c>
      <c r="C10657" t="s">
        <v>16</v>
      </c>
      <c r="D10657" t="s">
        <v>17</v>
      </c>
      <c r="E10657" t="s">
        <v>12</v>
      </c>
      <c r="F10657">
        <v>121134227</v>
      </c>
      <c r="G10657">
        <v>121134248</v>
      </c>
      <c r="H10657">
        <v>121134227</v>
      </c>
      <c r="I10657">
        <v>121134248</v>
      </c>
    </row>
    <row r="10658" spans="1:9" x14ac:dyDescent="0.2">
      <c r="A10658" s="1" t="str">
        <f>"MLF1"</f>
        <v>MLF1</v>
      </c>
      <c r="B10658" t="s">
        <v>14</v>
      </c>
      <c r="C10658" t="s">
        <v>22</v>
      </c>
      <c r="D10658" t="s">
        <v>17</v>
      </c>
      <c r="E10658" t="s">
        <v>12</v>
      </c>
      <c r="F10658">
        <v>158288960</v>
      </c>
      <c r="G10658">
        <v>158288990</v>
      </c>
      <c r="H10658">
        <v>158289004</v>
      </c>
      <c r="I10658">
        <v>158289017</v>
      </c>
    </row>
    <row r="10659" spans="1:9" x14ac:dyDescent="0.2">
      <c r="A10659" s="1" t="str">
        <f>"MLF1IP"</f>
        <v>MLF1IP</v>
      </c>
      <c r="B10659" t="s">
        <v>14</v>
      </c>
      <c r="C10659" t="s">
        <v>23</v>
      </c>
      <c r="D10659" t="s">
        <v>11</v>
      </c>
      <c r="E10659" t="s">
        <v>12</v>
      </c>
      <c r="F10659">
        <v>185655212</v>
      </c>
      <c r="G10659">
        <v>185655260</v>
      </c>
      <c r="H10659">
        <v>185655278</v>
      </c>
      <c r="I10659">
        <v>185655291</v>
      </c>
    </row>
    <row r="10660" spans="1:9" x14ac:dyDescent="0.2">
      <c r="A10660" s="1" t="str">
        <f>"MLF2"</f>
        <v>MLF2</v>
      </c>
      <c r="B10660" t="s">
        <v>14</v>
      </c>
      <c r="C10660" t="s">
        <v>16</v>
      </c>
      <c r="D10660" t="s">
        <v>11</v>
      </c>
      <c r="E10660" t="s">
        <v>12</v>
      </c>
      <c r="F10660">
        <v>6862249</v>
      </c>
      <c r="G10660">
        <v>6862298</v>
      </c>
      <c r="H10660">
        <v>6862300</v>
      </c>
      <c r="I10660">
        <v>6862313</v>
      </c>
    </row>
    <row r="10661" spans="1:9" x14ac:dyDescent="0.2">
      <c r="A10661" s="1" t="str">
        <f>"MLH1"</f>
        <v>MLH1</v>
      </c>
      <c r="B10661" t="s">
        <v>14</v>
      </c>
      <c r="C10661" t="s">
        <v>22</v>
      </c>
      <c r="D10661" t="s">
        <v>17</v>
      </c>
      <c r="E10661" t="s">
        <v>12</v>
      </c>
      <c r="F10661">
        <v>37034966</v>
      </c>
      <c r="G10661">
        <v>37035041</v>
      </c>
      <c r="H10661">
        <v>37035292</v>
      </c>
      <c r="I10661">
        <v>37035328</v>
      </c>
    </row>
    <row r="10662" spans="1:9" x14ac:dyDescent="0.2">
      <c r="A10662" s="1" t="str">
        <f>"MLH3"</f>
        <v>MLH3</v>
      </c>
      <c r="B10662" t="s">
        <v>14</v>
      </c>
      <c r="C10662" t="s">
        <v>41</v>
      </c>
      <c r="D10662" t="s">
        <v>11</v>
      </c>
      <c r="E10662" t="s">
        <v>12</v>
      </c>
      <c r="F10662">
        <v>75518129</v>
      </c>
      <c r="G10662">
        <v>75518188</v>
      </c>
      <c r="H10662">
        <v>75518129</v>
      </c>
      <c r="I10662">
        <v>75518188</v>
      </c>
    </row>
    <row r="10663" spans="1:9" x14ac:dyDescent="0.2">
      <c r="A10663" s="1" t="str">
        <f>"MLIP"</f>
        <v>MLIP</v>
      </c>
      <c r="B10663" t="s">
        <v>14</v>
      </c>
      <c r="C10663" t="s">
        <v>32</v>
      </c>
      <c r="D10663" t="s">
        <v>17</v>
      </c>
      <c r="E10663" t="s">
        <v>12</v>
      </c>
      <c r="F10663">
        <v>53883755</v>
      </c>
      <c r="G10663">
        <v>53883778</v>
      </c>
      <c r="H10663">
        <v>53883708</v>
      </c>
      <c r="I10663">
        <v>53883744</v>
      </c>
    </row>
    <row r="10664" spans="1:9" x14ac:dyDescent="0.2">
      <c r="A10664" s="1" t="str">
        <f>"MLKL"</f>
        <v>MLKL</v>
      </c>
      <c r="B10664" t="s">
        <v>14</v>
      </c>
      <c r="C10664" t="s">
        <v>31</v>
      </c>
      <c r="D10664" t="s">
        <v>11</v>
      </c>
      <c r="E10664" t="s">
        <v>12</v>
      </c>
      <c r="F10664">
        <v>74734742</v>
      </c>
      <c r="G10664">
        <v>74734827</v>
      </c>
      <c r="H10664">
        <v>74734672</v>
      </c>
      <c r="I10664">
        <v>74734722</v>
      </c>
    </row>
    <row r="10665" spans="1:9" x14ac:dyDescent="0.2">
      <c r="A10665" s="1" t="str">
        <f>"MLLT1"</f>
        <v>MLLT1</v>
      </c>
      <c r="B10665" t="s">
        <v>14</v>
      </c>
      <c r="C10665" t="s">
        <v>10</v>
      </c>
      <c r="D10665" t="s">
        <v>11</v>
      </c>
      <c r="E10665" t="s">
        <v>12</v>
      </c>
      <c r="F10665">
        <v>6279932</v>
      </c>
      <c r="G10665">
        <v>6280000</v>
      </c>
      <c r="H10665">
        <v>6280025</v>
      </c>
      <c r="I10665">
        <v>6280040</v>
      </c>
    </row>
    <row r="10666" spans="1:9" x14ac:dyDescent="0.2">
      <c r="A10666" s="1" t="str">
        <f>"MLLT10"</f>
        <v>MLLT10</v>
      </c>
      <c r="B10666" t="s">
        <v>14</v>
      </c>
      <c r="C10666" t="s">
        <v>15</v>
      </c>
      <c r="D10666" t="s">
        <v>17</v>
      </c>
      <c r="E10666" t="s">
        <v>12</v>
      </c>
      <c r="F10666">
        <v>21823128</v>
      </c>
      <c r="G10666">
        <v>21823216</v>
      </c>
      <c r="H10666">
        <v>21823243</v>
      </c>
      <c r="I10666">
        <v>21823290</v>
      </c>
    </row>
    <row r="10667" spans="1:9" x14ac:dyDescent="0.2">
      <c r="A10667" s="1" t="str">
        <f>"MLLT11"</f>
        <v>MLLT11</v>
      </c>
      <c r="B10667" t="s">
        <v>14</v>
      </c>
      <c r="C10667" t="s">
        <v>19</v>
      </c>
      <c r="D10667" t="s">
        <v>17</v>
      </c>
      <c r="E10667" t="s">
        <v>12</v>
      </c>
      <c r="F10667">
        <v>151032860</v>
      </c>
      <c r="G10667">
        <v>151032918</v>
      </c>
      <c r="H10667">
        <v>151032922</v>
      </c>
      <c r="I10667">
        <v>151032951</v>
      </c>
    </row>
    <row r="10668" spans="1:9" x14ac:dyDescent="0.2">
      <c r="A10668" s="1" t="str">
        <f>"MLLT3"</f>
        <v>MLLT3</v>
      </c>
      <c r="B10668" t="s">
        <v>14</v>
      </c>
      <c r="C10668" t="s">
        <v>24</v>
      </c>
      <c r="D10668" t="s">
        <v>11</v>
      </c>
      <c r="E10668" t="s">
        <v>12</v>
      </c>
      <c r="F10668">
        <v>20622478</v>
      </c>
      <c r="G10668">
        <v>20622525</v>
      </c>
      <c r="H10668">
        <v>20622444</v>
      </c>
      <c r="I10668">
        <v>20622468</v>
      </c>
    </row>
    <row r="10669" spans="1:9" x14ac:dyDescent="0.2">
      <c r="A10669" s="1" t="str">
        <f>"MLLT4"</f>
        <v>MLLT4</v>
      </c>
      <c r="B10669" t="s">
        <v>14</v>
      </c>
      <c r="C10669" t="s">
        <v>32</v>
      </c>
      <c r="D10669" t="s">
        <v>17</v>
      </c>
      <c r="E10669" t="s">
        <v>12</v>
      </c>
      <c r="F10669">
        <v>168227552</v>
      </c>
      <c r="G10669">
        <v>168227609</v>
      </c>
      <c r="H10669">
        <v>168227611</v>
      </c>
      <c r="I10669">
        <v>168227624</v>
      </c>
    </row>
    <row r="10670" spans="1:9" x14ac:dyDescent="0.2">
      <c r="A10670" s="1" t="str">
        <f>"MLLT6"</f>
        <v>MLLT6</v>
      </c>
      <c r="B10670" t="s">
        <v>14</v>
      </c>
      <c r="C10670" t="s">
        <v>28</v>
      </c>
      <c r="D10670" t="s">
        <v>17</v>
      </c>
      <c r="E10670" t="s">
        <v>12</v>
      </c>
      <c r="F10670">
        <v>36861496</v>
      </c>
      <c r="G10670">
        <v>36861586</v>
      </c>
      <c r="H10670">
        <v>36861496</v>
      </c>
      <c r="I10670">
        <v>36861586</v>
      </c>
    </row>
    <row r="10671" spans="1:9" x14ac:dyDescent="0.2">
      <c r="A10671" s="1" t="str">
        <f>"MLN"</f>
        <v>MLN</v>
      </c>
      <c r="B10671" t="s">
        <v>14</v>
      </c>
      <c r="C10671" t="s">
        <v>32</v>
      </c>
      <c r="D10671" t="s">
        <v>11</v>
      </c>
      <c r="E10671" t="s">
        <v>12</v>
      </c>
      <c r="F10671">
        <v>33771777</v>
      </c>
      <c r="G10671">
        <v>33771783</v>
      </c>
      <c r="H10671">
        <v>33771777</v>
      </c>
      <c r="I10671">
        <v>33771783</v>
      </c>
    </row>
    <row r="10672" spans="1:9" x14ac:dyDescent="0.2">
      <c r="A10672" s="1" t="str">
        <f>"MLNR"</f>
        <v>MLNR</v>
      </c>
      <c r="B10672" t="s">
        <v>14</v>
      </c>
      <c r="C10672" t="s">
        <v>39</v>
      </c>
      <c r="D10672" t="s">
        <v>17</v>
      </c>
      <c r="E10672" t="s">
        <v>12</v>
      </c>
      <c r="F10672">
        <v>49794307</v>
      </c>
      <c r="G10672">
        <v>49794320</v>
      </c>
      <c r="H10672">
        <v>49794267</v>
      </c>
      <c r="I10672">
        <v>49794281</v>
      </c>
    </row>
    <row r="10673" spans="1:9" x14ac:dyDescent="0.2">
      <c r="A10673" s="1" t="str">
        <f>"MLPH"</f>
        <v>MLPH</v>
      </c>
      <c r="B10673" t="s">
        <v>14</v>
      </c>
      <c r="C10673" t="s">
        <v>26</v>
      </c>
      <c r="D10673" t="s">
        <v>17</v>
      </c>
      <c r="E10673" t="s">
        <v>12</v>
      </c>
      <c r="F10673">
        <v>238395879</v>
      </c>
      <c r="G10673">
        <v>238395975</v>
      </c>
      <c r="H10673">
        <v>238395042</v>
      </c>
      <c r="I10673">
        <v>238395061</v>
      </c>
    </row>
    <row r="10674" spans="1:9" x14ac:dyDescent="0.2">
      <c r="A10674" s="1" t="str">
        <f>"MLST8"</f>
        <v>MLST8</v>
      </c>
      <c r="B10674" t="s">
        <v>14</v>
      </c>
      <c r="C10674" t="s">
        <v>31</v>
      </c>
      <c r="D10674" t="s">
        <v>17</v>
      </c>
      <c r="E10674" t="s">
        <v>12</v>
      </c>
      <c r="F10674">
        <v>2255447</v>
      </c>
      <c r="G10674">
        <v>2255492</v>
      </c>
      <c r="H10674">
        <v>2255710</v>
      </c>
      <c r="I10674">
        <v>2255789</v>
      </c>
    </row>
    <row r="10675" spans="1:9" x14ac:dyDescent="0.2">
      <c r="A10675" s="1" t="str">
        <f>"MLX"</f>
        <v>MLX</v>
      </c>
      <c r="B10675" t="s">
        <v>14</v>
      </c>
      <c r="C10675" t="s">
        <v>28</v>
      </c>
      <c r="D10675" t="s">
        <v>17</v>
      </c>
      <c r="E10675" t="s">
        <v>12</v>
      </c>
      <c r="F10675">
        <v>40719102</v>
      </c>
      <c r="G10675">
        <v>40719141</v>
      </c>
      <c r="H10675">
        <v>40719073</v>
      </c>
      <c r="I10675">
        <v>40719080</v>
      </c>
    </row>
    <row r="10676" spans="1:9" x14ac:dyDescent="0.2">
      <c r="A10676" s="1" t="str">
        <f>"MLXIP"</f>
        <v>MLXIP</v>
      </c>
      <c r="B10676" t="s">
        <v>14</v>
      </c>
      <c r="C10676" t="s">
        <v>16</v>
      </c>
      <c r="D10676" t="s">
        <v>17</v>
      </c>
      <c r="E10676" t="s">
        <v>12</v>
      </c>
      <c r="F10676">
        <v>122516646</v>
      </c>
      <c r="G10676">
        <v>122516668</v>
      </c>
      <c r="H10676">
        <v>122516626</v>
      </c>
      <c r="I10676">
        <v>122516645</v>
      </c>
    </row>
    <row r="10677" spans="1:9" x14ac:dyDescent="0.2">
      <c r="A10677" s="1" t="str">
        <f>"MLXIPL"</f>
        <v>MLXIPL</v>
      </c>
      <c r="B10677" t="s">
        <v>14</v>
      </c>
      <c r="C10677" t="s">
        <v>33</v>
      </c>
      <c r="D10677" t="s">
        <v>11</v>
      </c>
      <c r="E10677" t="s">
        <v>12</v>
      </c>
      <c r="F10677">
        <v>73038839</v>
      </c>
      <c r="G10677">
        <v>73038862</v>
      </c>
      <c r="H10677">
        <v>73038867</v>
      </c>
      <c r="I10677">
        <v>73038878</v>
      </c>
    </row>
    <row r="10678" spans="1:9" x14ac:dyDescent="0.2">
      <c r="A10678" s="1" t="str">
        <f>"MLYCD"</f>
        <v>MLYCD</v>
      </c>
      <c r="B10678" t="s">
        <v>14</v>
      </c>
      <c r="C10678" t="s">
        <v>31</v>
      </c>
      <c r="D10678" t="s">
        <v>17</v>
      </c>
      <c r="E10678" t="s">
        <v>12</v>
      </c>
      <c r="F10678">
        <v>83932684</v>
      </c>
      <c r="G10678">
        <v>83932760</v>
      </c>
      <c r="H10678">
        <v>83932761</v>
      </c>
      <c r="I10678">
        <v>83932790</v>
      </c>
    </row>
    <row r="10679" spans="1:9" x14ac:dyDescent="0.2">
      <c r="A10679" s="1" t="str">
        <f>"MMAA"</f>
        <v>MMAA</v>
      </c>
      <c r="B10679" t="s">
        <v>14</v>
      </c>
      <c r="C10679" t="s">
        <v>23</v>
      </c>
      <c r="D10679" t="s">
        <v>17</v>
      </c>
      <c r="E10679" t="s">
        <v>12</v>
      </c>
      <c r="F10679">
        <v>146540522</v>
      </c>
      <c r="G10679">
        <v>146540548</v>
      </c>
      <c r="H10679">
        <v>146540370</v>
      </c>
      <c r="I10679">
        <v>146540395</v>
      </c>
    </row>
    <row r="10680" spans="1:9" x14ac:dyDescent="0.2">
      <c r="A10680" s="1" t="str">
        <f>"MMAB"</f>
        <v>MMAB</v>
      </c>
      <c r="B10680" t="s">
        <v>14</v>
      </c>
      <c r="C10680" t="s">
        <v>16</v>
      </c>
      <c r="D10680" t="s">
        <v>11</v>
      </c>
      <c r="E10680" t="s">
        <v>12</v>
      </c>
      <c r="F10680">
        <v>110011288</v>
      </c>
      <c r="G10680">
        <v>110011347</v>
      </c>
      <c r="H10680">
        <v>110011352</v>
      </c>
      <c r="I10680">
        <v>110011363</v>
      </c>
    </row>
    <row r="10681" spans="1:9" x14ac:dyDescent="0.2">
      <c r="A10681" s="1" t="str">
        <f>"MMACHC"</f>
        <v>MMACHC</v>
      </c>
      <c r="B10681" t="s">
        <v>14</v>
      </c>
      <c r="C10681" t="s">
        <v>19</v>
      </c>
      <c r="D10681" t="s">
        <v>17</v>
      </c>
      <c r="E10681" t="s">
        <v>12</v>
      </c>
      <c r="F10681">
        <v>45965959</v>
      </c>
      <c r="G10681">
        <v>45966027</v>
      </c>
      <c r="H10681">
        <v>45965857</v>
      </c>
      <c r="I10681">
        <v>45965880</v>
      </c>
    </row>
    <row r="10682" spans="1:9" x14ac:dyDescent="0.2">
      <c r="A10682" s="1" t="str">
        <f>"MMADHC"</f>
        <v>MMADHC</v>
      </c>
      <c r="B10682" t="s">
        <v>14</v>
      </c>
      <c r="C10682" t="s">
        <v>26</v>
      </c>
      <c r="D10682" t="s">
        <v>11</v>
      </c>
      <c r="E10682" t="s">
        <v>12</v>
      </c>
      <c r="F10682">
        <v>150444213</v>
      </c>
      <c r="G10682">
        <v>150444299</v>
      </c>
      <c r="H10682">
        <v>150444300</v>
      </c>
      <c r="I10682">
        <v>150444311</v>
      </c>
    </row>
    <row r="10683" spans="1:9" x14ac:dyDescent="0.2">
      <c r="A10683" s="1" t="str">
        <f>"MMD"</f>
        <v>MMD</v>
      </c>
      <c r="B10683" t="s">
        <v>14</v>
      </c>
      <c r="C10683" t="s">
        <v>28</v>
      </c>
      <c r="D10683" t="s">
        <v>11</v>
      </c>
      <c r="E10683" t="s">
        <v>12</v>
      </c>
      <c r="F10683">
        <v>53499218</v>
      </c>
      <c r="G10683">
        <v>53499309</v>
      </c>
      <c r="H10683">
        <v>53499179</v>
      </c>
      <c r="I10683">
        <v>53499208</v>
      </c>
    </row>
    <row r="10684" spans="1:9" x14ac:dyDescent="0.2">
      <c r="A10684" s="1" t="str">
        <f>"MMD2"</f>
        <v>MMD2</v>
      </c>
      <c r="B10684" t="s">
        <v>14</v>
      </c>
      <c r="C10684" t="s">
        <v>33</v>
      </c>
      <c r="D10684" t="s">
        <v>11</v>
      </c>
      <c r="E10684" t="s">
        <v>12</v>
      </c>
      <c r="F10684">
        <v>4998802</v>
      </c>
      <c r="G10684">
        <v>4998861</v>
      </c>
      <c r="H10684">
        <v>4998664</v>
      </c>
      <c r="I10684">
        <v>4998674</v>
      </c>
    </row>
    <row r="10685" spans="1:9" x14ac:dyDescent="0.2">
      <c r="A10685" s="1" t="str">
        <f>"MME"</f>
        <v>MME</v>
      </c>
      <c r="B10685" t="s">
        <v>14</v>
      </c>
      <c r="C10685" t="s">
        <v>22</v>
      </c>
      <c r="D10685" t="s">
        <v>17</v>
      </c>
      <c r="E10685" t="s">
        <v>12</v>
      </c>
      <c r="F10685">
        <v>154797636</v>
      </c>
      <c r="G10685">
        <v>154797696</v>
      </c>
      <c r="H10685">
        <v>154797454</v>
      </c>
      <c r="I10685">
        <v>154797484</v>
      </c>
    </row>
    <row r="10686" spans="1:9" x14ac:dyDescent="0.2">
      <c r="A10686" s="1" t="str">
        <f>"MMEL1"</f>
        <v>MMEL1</v>
      </c>
      <c r="B10686" t="s">
        <v>810</v>
      </c>
      <c r="C10686" t="s">
        <v>19</v>
      </c>
      <c r="D10686" t="s">
        <v>11</v>
      </c>
      <c r="E10686" t="s">
        <v>35</v>
      </c>
      <c r="F10686">
        <v>2564542</v>
      </c>
      <c r="G10686">
        <v>2564548</v>
      </c>
      <c r="H10686">
        <v>2564410</v>
      </c>
      <c r="I10686">
        <v>2564415</v>
      </c>
    </row>
    <row r="10687" spans="1:9" x14ac:dyDescent="0.2">
      <c r="A10687" s="1" t="str">
        <f>"MMGT1"</f>
        <v>MMGT1</v>
      </c>
      <c r="B10687" t="s">
        <v>14</v>
      </c>
      <c r="C10687" t="s">
        <v>37</v>
      </c>
      <c r="D10687" t="s">
        <v>11</v>
      </c>
      <c r="E10687" t="s">
        <v>12</v>
      </c>
      <c r="F10687">
        <v>135056134</v>
      </c>
      <c r="G10687">
        <v>135056198</v>
      </c>
      <c r="H10687">
        <v>135055890</v>
      </c>
      <c r="I10687">
        <v>135055941</v>
      </c>
    </row>
    <row r="10688" spans="1:9" x14ac:dyDescent="0.2">
      <c r="A10688" s="1" t="str">
        <f>"MMP1"</f>
        <v>MMP1</v>
      </c>
      <c r="B10688" t="s">
        <v>14</v>
      </c>
      <c r="C10688" t="s">
        <v>27</v>
      </c>
      <c r="D10688" t="s">
        <v>11</v>
      </c>
      <c r="E10688" t="s">
        <v>12</v>
      </c>
      <c r="F10688">
        <v>102668879</v>
      </c>
      <c r="G10688">
        <v>102668898</v>
      </c>
      <c r="H10688">
        <v>102668879</v>
      </c>
      <c r="I10688">
        <v>102668898</v>
      </c>
    </row>
    <row r="10689" spans="1:9" x14ac:dyDescent="0.2">
      <c r="A10689" s="1" t="str">
        <f>"MMP10"</f>
        <v>MMP10</v>
      </c>
      <c r="B10689" t="s">
        <v>14</v>
      </c>
      <c r="C10689" t="s">
        <v>27</v>
      </c>
      <c r="D10689" t="s">
        <v>11</v>
      </c>
      <c r="E10689" t="s">
        <v>12</v>
      </c>
      <c r="F10689">
        <v>102651343</v>
      </c>
      <c r="G10689">
        <v>102651365</v>
      </c>
      <c r="H10689">
        <v>102651343</v>
      </c>
      <c r="I10689">
        <v>102651365</v>
      </c>
    </row>
    <row r="10690" spans="1:9" x14ac:dyDescent="0.2">
      <c r="A10690" s="1" t="str">
        <f>"MMP11"</f>
        <v>MMP11</v>
      </c>
      <c r="B10690" t="s">
        <v>14</v>
      </c>
      <c r="C10690" t="s">
        <v>21</v>
      </c>
      <c r="D10690" t="s">
        <v>17</v>
      </c>
      <c r="E10690" t="s">
        <v>12</v>
      </c>
      <c r="F10690">
        <v>24115021</v>
      </c>
      <c r="G10690">
        <v>24115042</v>
      </c>
      <c r="H10690">
        <v>24115000</v>
      </c>
      <c r="I10690">
        <v>24115020</v>
      </c>
    </row>
    <row r="10691" spans="1:9" x14ac:dyDescent="0.2">
      <c r="A10691" s="1" t="str">
        <f>"MMP12"</f>
        <v>MMP12</v>
      </c>
      <c r="B10691" t="s">
        <v>14</v>
      </c>
      <c r="C10691" t="s">
        <v>27</v>
      </c>
      <c r="D10691" t="s">
        <v>11</v>
      </c>
      <c r="E10691" t="s">
        <v>12</v>
      </c>
      <c r="F10691">
        <v>102745704</v>
      </c>
      <c r="G10691">
        <v>102745720</v>
      </c>
      <c r="H10691">
        <v>102745704</v>
      </c>
      <c r="I10691">
        <v>102745720</v>
      </c>
    </row>
    <row r="10692" spans="1:9" x14ac:dyDescent="0.2">
      <c r="A10692" s="1" t="str">
        <f>"MMP13"</f>
        <v>MMP13</v>
      </c>
      <c r="B10692" t="s">
        <v>14</v>
      </c>
      <c r="C10692" t="s">
        <v>27</v>
      </c>
      <c r="D10692" t="s">
        <v>11</v>
      </c>
      <c r="E10692" t="s">
        <v>12</v>
      </c>
      <c r="F10692">
        <v>102826454</v>
      </c>
      <c r="G10692">
        <v>102826469</v>
      </c>
      <c r="H10692">
        <v>102826454</v>
      </c>
      <c r="I10692">
        <v>102826469</v>
      </c>
    </row>
    <row r="10693" spans="1:9" x14ac:dyDescent="0.2">
      <c r="A10693" s="1" t="str">
        <f>"MMP14"</f>
        <v>MMP14</v>
      </c>
      <c r="B10693" t="s">
        <v>14</v>
      </c>
      <c r="C10693" t="s">
        <v>41</v>
      </c>
      <c r="D10693" t="s">
        <v>17</v>
      </c>
      <c r="E10693" t="s">
        <v>12</v>
      </c>
      <c r="F10693">
        <v>23305783</v>
      </c>
      <c r="G10693">
        <v>23305835</v>
      </c>
      <c r="H10693">
        <v>23305760</v>
      </c>
      <c r="I10693">
        <v>23305781</v>
      </c>
    </row>
    <row r="10694" spans="1:9" x14ac:dyDescent="0.2">
      <c r="A10694" s="1" t="str">
        <f>"MMP15"</f>
        <v>MMP15</v>
      </c>
      <c r="B10694" t="s">
        <v>14</v>
      </c>
      <c r="C10694" t="s">
        <v>31</v>
      </c>
      <c r="D10694" t="s">
        <v>17</v>
      </c>
      <c r="E10694" t="s">
        <v>12</v>
      </c>
      <c r="F10694">
        <v>58059649</v>
      </c>
      <c r="G10694">
        <v>58059736</v>
      </c>
      <c r="H10694">
        <v>58059649</v>
      </c>
      <c r="I10694">
        <v>58059736</v>
      </c>
    </row>
    <row r="10695" spans="1:9" x14ac:dyDescent="0.2">
      <c r="A10695" s="1" t="str">
        <f>"MMP16"</f>
        <v>MMP16</v>
      </c>
      <c r="B10695" t="s">
        <v>14</v>
      </c>
      <c r="C10695" t="s">
        <v>30</v>
      </c>
      <c r="D10695" t="s">
        <v>11</v>
      </c>
      <c r="E10695" t="s">
        <v>12</v>
      </c>
      <c r="F10695">
        <v>89339870</v>
      </c>
      <c r="G10695">
        <v>89339896</v>
      </c>
      <c r="H10695">
        <v>89339728</v>
      </c>
      <c r="I10695">
        <v>89339797</v>
      </c>
    </row>
    <row r="10696" spans="1:9" x14ac:dyDescent="0.2">
      <c r="A10696" s="1" t="str">
        <f>"MMP17"</f>
        <v>MMP17</v>
      </c>
      <c r="B10696" t="s">
        <v>14</v>
      </c>
      <c r="C10696" t="s">
        <v>16</v>
      </c>
      <c r="D10696" t="s">
        <v>17</v>
      </c>
      <c r="E10696" t="s">
        <v>12</v>
      </c>
      <c r="F10696">
        <v>132312931</v>
      </c>
      <c r="G10696">
        <v>132312971</v>
      </c>
      <c r="H10696">
        <v>132312914</v>
      </c>
      <c r="I10696">
        <v>132312922</v>
      </c>
    </row>
    <row r="10697" spans="1:9" x14ac:dyDescent="0.2">
      <c r="A10697" s="1" t="str">
        <f>"MMP19"</f>
        <v>MMP19</v>
      </c>
      <c r="B10697" t="s">
        <v>14</v>
      </c>
      <c r="C10697" t="s">
        <v>16</v>
      </c>
      <c r="D10697" t="s">
        <v>11</v>
      </c>
      <c r="E10697" t="s">
        <v>12</v>
      </c>
      <c r="F10697">
        <v>56236711</v>
      </c>
      <c r="G10697">
        <v>56236730</v>
      </c>
      <c r="H10697">
        <v>56236735</v>
      </c>
      <c r="I10697">
        <v>56236788</v>
      </c>
    </row>
    <row r="10698" spans="1:9" x14ac:dyDescent="0.2">
      <c r="A10698" s="1" t="str">
        <f>"MMP2"</f>
        <v>MMP2</v>
      </c>
      <c r="B10698" t="s">
        <v>14</v>
      </c>
      <c r="C10698" t="s">
        <v>31</v>
      </c>
      <c r="D10698" t="s">
        <v>17</v>
      </c>
      <c r="E10698" t="s">
        <v>12</v>
      </c>
      <c r="F10698">
        <v>55513101</v>
      </c>
      <c r="G10698">
        <v>55513124</v>
      </c>
      <c r="H10698">
        <v>55513074</v>
      </c>
      <c r="I10698">
        <v>55513088</v>
      </c>
    </row>
    <row r="10699" spans="1:9" x14ac:dyDescent="0.2">
      <c r="A10699" s="1" t="str">
        <f>"MMP20"</f>
        <v>MMP20</v>
      </c>
      <c r="B10699" t="s">
        <v>811</v>
      </c>
      <c r="C10699" t="s">
        <v>27</v>
      </c>
      <c r="D10699" t="s">
        <v>11</v>
      </c>
      <c r="E10699" t="s">
        <v>20</v>
      </c>
      <c r="F10699">
        <v>102496062</v>
      </c>
      <c r="G10699">
        <v>102496062</v>
      </c>
      <c r="H10699">
        <v>102496062</v>
      </c>
      <c r="I10699">
        <v>102496062</v>
      </c>
    </row>
    <row r="10700" spans="1:9" x14ac:dyDescent="0.2">
      <c r="A10700" s="1" t="str">
        <f>"MMP21"</f>
        <v>MMP21</v>
      </c>
      <c r="B10700" t="s">
        <v>812</v>
      </c>
      <c r="C10700" t="s">
        <v>15</v>
      </c>
      <c r="D10700" t="s">
        <v>11</v>
      </c>
      <c r="E10700" t="s">
        <v>20</v>
      </c>
      <c r="F10700">
        <v>127464389</v>
      </c>
      <c r="G10700">
        <v>127464389</v>
      </c>
      <c r="H10700">
        <v>127464389</v>
      </c>
      <c r="I10700">
        <v>127464389</v>
      </c>
    </row>
    <row r="10701" spans="1:9" x14ac:dyDescent="0.2">
      <c r="A10701" s="1" t="str">
        <f>"MMP23B"</f>
        <v>MMP23B</v>
      </c>
      <c r="B10701" t="s">
        <v>14</v>
      </c>
      <c r="C10701" t="s">
        <v>19</v>
      </c>
      <c r="D10701" t="s">
        <v>17</v>
      </c>
      <c r="E10701" t="s">
        <v>12</v>
      </c>
      <c r="F10701">
        <v>1567546</v>
      </c>
      <c r="G10701">
        <v>1567574</v>
      </c>
      <c r="H10701">
        <v>1567498</v>
      </c>
      <c r="I10701">
        <v>1567520</v>
      </c>
    </row>
    <row r="10702" spans="1:9" x14ac:dyDescent="0.2">
      <c r="A10702" s="1" t="str">
        <f>"MMP24"</f>
        <v>MMP24</v>
      </c>
      <c r="B10702" t="s">
        <v>14</v>
      </c>
      <c r="C10702" t="s">
        <v>29</v>
      </c>
      <c r="D10702" t="s">
        <v>17</v>
      </c>
      <c r="E10702" t="s">
        <v>12</v>
      </c>
      <c r="F10702">
        <v>33814480</v>
      </c>
      <c r="G10702">
        <v>33814506</v>
      </c>
      <c r="H10702">
        <v>33814464</v>
      </c>
      <c r="I10702">
        <v>33814470</v>
      </c>
    </row>
    <row r="10703" spans="1:9" x14ac:dyDescent="0.2">
      <c r="A10703" s="1" t="str">
        <f>"MMP25"</f>
        <v>MMP25</v>
      </c>
      <c r="B10703" t="s">
        <v>14</v>
      </c>
      <c r="C10703" t="s">
        <v>31</v>
      </c>
      <c r="D10703" t="s">
        <v>17</v>
      </c>
      <c r="E10703" t="s">
        <v>12</v>
      </c>
      <c r="F10703">
        <v>3096554</v>
      </c>
      <c r="G10703">
        <v>3096571</v>
      </c>
      <c r="H10703">
        <v>3096600</v>
      </c>
      <c r="I10703">
        <v>3096619</v>
      </c>
    </row>
    <row r="10704" spans="1:9" x14ac:dyDescent="0.2">
      <c r="A10704" s="1" t="str">
        <f>"MMP26"</f>
        <v>MMP26</v>
      </c>
      <c r="B10704" t="s">
        <v>813</v>
      </c>
      <c r="C10704" t="s">
        <v>27</v>
      </c>
      <c r="D10704" t="s">
        <v>17</v>
      </c>
      <c r="E10704" t="s">
        <v>20</v>
      </c>
      <c r="F10704">
        <v>5009423</v>
      </c>
      <c r="G10704">
        <v>5009423</v>
      </c>
      <c r="H10704">
        <v>5009423</v>
      </c>
      <c r="I10704">
        <v>5009423</v>
      </c>
    </row>
    <row r="10705" spans="1:9" x14ac:dyDescent="0.2">
      <c r="A10705" s="1" t="str">
        <f>"MMP26"</f>
        <v>MMP26</v>
      </c>
      <c r="B10705" t="s">
        <v>814</v>
      </c>
      <c r="C10705" t="s">
        <v>27</v>
      </c>
      <c r="D10705" t="s">
        <v>17</v>
      </c>
      <c r="E10705" t="s">
        <v>20</v>
      </c>
      <c r="F10705">
        <v>4788499</v>
      </c>
      <c r="G10705">
        <v>4788499</v>
      </c>
      <c r="H10705">
        <v>4788499</v>
      </c>
      <c r="I10705">
        <v>4788499</v>
      </c>
    </row>
    <row r="10706" spans="1:9" x14ac:dyDescent="0.2">
      <c r="A10706" s="1" t="str">
        <f>"MMP27"</f>
        <v>MMP27</v>
      </c>
      <c r="B10706" t="s">
        <v>14</v>
      </c>
      <c r="C10706" t="s">
        <v>27</v>
      </c>
      <c r="D10706" t="s">
        <v>11</v>
      </c>
      <c r="E10706" t="s">
        <v>12</v>
      </c>
      <c r="F10706">
        <v>102576468</v>
      </c>
      <c r="G10706">
        <v>102576500</v>
      </c>
      <c r="H10706">
        <v>102576468</v>
      </c>
      <c r="I10706">
        <v>102576500</v>
      </c>
    </row>
    <row r="10707" spans="1:9" x14ac:dyDescent="0.2">
      <c r="A10707" s="1" t="str">
        <f>"MMP28"</f>
        <v>MMP28</v>
      </c>
      <c r="B10707" t="s">
        <v>14</v>
      </c>
      <c r="C10707" t="s">
        <v>28</v>
      </c>
      <c r="D10707" t="s">
        <v>11</v>
      </c>
      <c r="E10707" t="s">
        <v>12</v>
      </c>
      <c r="F10707">
        <v>34122596</v>
      </c>
      <c r="G10707">
        <v>34122653</v>
      </c>
      <c r="H10707">
        <v>34122596</v>
      </c>
      <c r="I10707">
        <v>34122653</v>
      </c>
    </row>
    <row r="10708" spans="1:9" x14ac:dyDescent="0.2">
      <c r="A10708" s="1" t="str">
        <f>"MMP3"</f>
        <v>MMP3</v>
      </c>
      <c r="B10708" t="s">
        <v>14</v>
      </c>
      <c r="C10708" t="s">
        <v>27</v>
      </c>
      <c r="D10708" t="s">
        <v>11</v>
      </c>
      <c r="E10708" t="s">
        <v>12</v>
      </c>
      <c r="F10708">
        <v>102714328</v>
      </c>
      <c r="G10708">
        <v>102714346</v>
      </c>
      <c r="H10708">
        <v>102714328</v>
      </c>
      <c r="I10708">
        <v>102714346</v>
      </c>
    </row>
    <row r="10709" spans="1:9" x14ac:dyDescent="0.2">
      <c r="A10709" s="1" t="str">
        <f>"MMP7"</f>
        <v>MMP7</v>
      </c>
      <c r="B10709" t="s">
        <v>14</v>
      </c>
      <c r="C10709" t="s">
        <v>27</v>
      </c>
      <c r="D10709" t="s">
        <v>11</v>
      </c>
      <c r="E10709" t="s">
        <v>12</v>
      </c>
      <c r="F10709">
        <v>102401469</v>
      </c>
      <c r="G10709">
        <v>102401488</v>
      </c>
      <c r="H10709">
        <v>102401469</v>
      </c>
      <c r="I10709">
        <v>102401488</v>
      </c>
    </row>
    <row r="10710" spans="1:9" x14ac:dyDescent="0.2">
      <c r="A10710" s="1" t="str">
        <f>"MMP8"</f>
        <v>MMP8</v>
      </c>
      <c r="B10710" t="s">
        <v>14</v>
      </c>
      <c r="C10710" t="s">
        <v>27</v>
      </c>
      <c r="D10710" t="s">
        <v>11</v>
      </c>
      <c r="E10710" t="s">
        <v>12</v>
      </c>
      <c r="F10710">
        <v>102595681</v>
      </c>
      <c r="G10710">
        <v>102595688</v>
      </c>
      <c r="H10710">
        <v>102595591</v>
      </c>
      <c r="I10710">
        <v>102595599</v>
      </c>
    </row>
    <row r="10711" spans="1:9" x14ac:dyDescent="0.2">
      <c r="A10711" s="1" t="str">
        <f>"MMP9"</f>
        <v>MMP9</v>
      </c>
      <c r="B10711" t="s">
        <v>14</v>
      </c>
      <c r="C10711" t="s">
        <v>29</v>
      </c>
      <c r="D10711" t="s">
        <v>17</v>
      </c>
      <c r="E10711" t="s">
        <v>12</v>
      </c>
      <c r="F10711">
        <v>44637526</v>
      </c>
      <c r="G10711">
        <v>44637554</v>
      </c>
      <c r="H10711">
        <v>44637507</v>
      </c>
      <c r="I10711">
        <v>44637523</v>
      </c>
    </row>
    <row r="10712" spans="1:9" x14ac:dyDescent="0.2">
      <c r="A10712" s="1" t="str">
        <f>"MMRN1"</f>
        <v>MMRN1</v>
      </c>
      <c r="B10712" t="s">
        <v>14</v>
      </c>
      <c r="C10712" t="s">
        <v>23</v>
      </c>
      <c r="D10712" t="s">
        <v>17</v>
      </c>
      <c r="E10712" t="s">
        <v>12</v>
      </c>
      <c r="F10712">
        <v>90815997</v>
      </c>
      <c r="G10712">
        <v>90816012</v>
      </c>
      <c r="H10712">
        <v>90816033</v>
      </c>
      <c r="I10712">
        <v>90816048</v>
      </c>
    </row>
    <row r="10713" spans="1:9" x14ac:dyDescent="0.2">
      <c r="A10713" s="1" t="str">
        <f>"MMRN2"</f>
        <v>MMRN2</v>
      </c>
      <c r="B10713" t="s">
        <v>14</v>
      </c>
      <c r="C10713" t="s">
        <v>15</v>
      </c>
      <c r="D10713" t="s">
        <v>11</v>
      </c>
      <c r="E10713" t="s">
        <v>12</v>
      </c>
      <c r="F10713">
        <v>88717337</v>
      </c>
      <c r="G10713">
        <v>88717379</v>
      </c>
      <c r="H10713">
        <v>88717312</v>
      </c>
      <c r="I10713">
        <v>88717335</v>
      </c>
    </row>
    <row r="10714" spans="1:9" x14ac:dyDescent="0.2">
      <c r="A10714" s="1" t="str">
        <f>"MMS19"</f>
        <v>MMS19</v>
      </c>
      <c r="B10714" t="s">
        <v>14</v>
      </c>
      <c r="C10714" t="s">
        <v>15</v>
      </c>
      <c r="D10714" t="s">
        <v>11</v>
      </c>
      <c r="E10714" t="s">
        <v>12</v>
      </c>
      <c r="F10714">
        <v>99258135</v>
      </c>
      <c r="G10714">
        <v>99258195</v>
      </c>
      <c r="H10714">
        <v>99258561</v>
      </c>
      <c r="I10714">
        <v>99258574</v>
      </c>
    </row>
    <row r="10715" spans="1:9" x14ac:dyDescent="0.2">
      <c r="A10715" s="1" t="str">
        <f>"MMS22L"</f>
        <v>MMS22L</v>
      </c>
      <c r="B10715" t="s">
        <v>14</v>
      </c>
      <c r="C10715" t="s">
        <v>32</v>
      </c>
      <c r="D10715" t="s">
        <v>11</v>
      </c>
      <c r="E10715" t="s">
        <v>12</v>
      </c>
      <c r="F10715">
        <v>97731019</v>
      </c>
      <c r="G10715">
        <v>97731118</v>
      </c>
      <c r="H10715">
        <v>97730892</v>
      </c>
      <c r="I10715">
        <v>97730903</v>
      </c>
    </row>
    <row r="10716" spans="1:9" x14ac:dyDescent="0.2">
      <c r="A10716" s="1" t="str">
        <f>"MN1"</f>
        <v>MN1</v>
      </c>
      <c r="B10716" t="s">
        <v>14</v>
      </c>
      <c r="C10716" t="s">
        <v>21</v>
      </c>
      <c r="D10716" t="s">
        <v>11</v>
      </c>
      <c r="E10716" t="s">
        <v>12</v>
      </c>
      <c r="F10716">
        <v>28197702</v>
      </c>
      <c r="G10716">
        <v>28197758</v>
      </c>
      <c r="H10716">
        <v>28197497</v>
      </c>
      <c r="I10716">
        <v>28197544</v>
      </c>
    </row>
    <row r="10717" spans="1:9" x14ac:dyDescent="0.2">
      <c r="A10717" s="1" t="str">
        <f>"MNAT1"</f>
        <v>MNAT1</v>
      </c>
      <c r="B10717" t="s">
        <v>14</v>
      </c>
      <c r="C10717" t="s">
        <v>41</v>
      </c>
      <c r="D10717" t="s">
        <v>17</v>
      </c>
      <c r="E10717" t="s">
        <v>12</v>
      </c>
      <c r="F10717">
        <v>61201445</v>
      </c>
      <c r="G10717">
        <v>61201530</v>
      </c>
      <c r="H10717">
        <v>61201445</v>
      </c>
      <c r="I10717">
        <v>61201530</v>
      </c>
    </row>
    <row r="10718" spans="1:9" x14ac:dyDescent="0.2">
      <c r="A10718" s="1" t="str">
        <f>"MND1"</f>
        <v>MND1</v>
      </c>
      <c r="B10718" t="s">
        <v>14</v>
      </c>
      <c r="C10718" t="s">
        <v>23</v>
      </c>
      <c r="D10718" t="s">
        <v>17</v>
      </c>
      <c r="E10718" t="s">
        <v>12</v>
      </c>
      <c r="F10718">
        <v>154265825</v>
      </c>
      <c r="G10718">
        <v>154265875</v>
      </c>
      <c r="H10718">
        <v>154265784</v>
      </c>
      <c r="I10718">
        <v>154265819</v>
      </c>
    </row>
    <row r="10719" spans="1:9" x14ac:dyDescent="0.2">
      <c r="A10719" s="1" t="str">
        <f>"MNDA"</f>
        <v>MNDA</v>
      </c>
      <c r="B10719" t="s">
        <v>14</v>
      </c>
      <c r="C10719" t="s">
        <v>19</v>
      </c>
      <c r="D10719" t="s">
        <v>17</v>
      </c>
      <c r="E10719" t="s">
        <v>12</v>
      </c>
      <c r="F10719">
        <v>158801095</v>
      </c>
      <c r="G10719">
        <v>158801178</v>
      </c>
      <c r="H10719">
        <v>158801209</v>
      </c>
      <c r="I10719">
        <v>158801216</v>
      </c>
    </row>
    <row r="10720" spans="1:9" x14ac:dyDescent="0.2">
      <c r="A10720" s="1" t="str">
        <f>"MNS1"</f>
        <v>MNS1</v>
      </c>
      <c r="B10720" t="s">
        <v>14</v>
      </c>
      <c r="C10720" t="s">
        <v>25</v>
      </c>
      <c r="D10720" t="s">
        <v>11</v>
      </c>
      <c r="E10720" t="s">
        <v>12</v>
      </c>
      <c r="F10720">
        <v>56757233</v>
      </c>
      <c r="G10720">
        <v>56757314</v>
      </c>
      <c r="H10720">
        <v>56757329</v>
      </c>
      <c r="I10720">
        <v>56757342</v>
      </c>
    </row>
    <row r="10721" spans="1:9" x14ac:dyDescent="0.2">
      <c r="A10721" s="1" t="str">
        <f>"MNT"</f>
        <v>MNT</v>
      </c>
      <c r="B10721" t="s">
        <v>14</v>
      </c>
      <c r="C10721" t="s">
        <v>28</v>
      </c>
      <c r="D10721" t="s">
        <v>11</v>
      </c>
      <c r="E10721" t="s">
        <v>12</v>
      </c>
      <c r="F10721">
        <v>2304333</v>
      </c>
      <c r="G10721">
        <v>2304364</v>
      </c>
      <c r="H10721">
        <v>2304365</v>
      </c>
      <c r="I10721">
        <v>2304388</v>
      </c>
    </row>
    <row r="10722" spans="1:9" x14ac:dyDescent="0.2">
      <c r="A10722" s="1" t="str">
        <f>"MNX1"</f>
        <v>MNX1</v>
      </c>
      <c r="B10722" t="s">
        <v>14</v>
      </c>
      <c r="C10722" t="s">
        <v>33</v>
      </c>
      <c r="D10722" t="s">
        <v>11</v>
      </c>
      <c r="E10722" t="s">
        <v>12</v>
      </c>
      <c r="F10722">
        <v>156803329</v>
      </c>
      <c r="G10722">
        <v>156803362</v>
      </c>
      <c r="H10722">
        <v>156803368</v>
      </c>
      <c r="I10722">
        <v>156803406</v>
      </c>
    </row>
    <row r="10723" spans="1:9" x14ac:dyDescent="0.2">
      <c r="A10723" s="1" t="str">
        <f>"MOAP1"</f>
        <v>MOAP1</v>
      </c>
      <c r="B10723" t="s">
        <v>14</v>
      </c>
      <c r="C10723" t="s">
        <v>41</v>
      </c>
      <c r="D10723" t="s">
        <v>11</v>
      </c>
      <c r="E10723" t="s">
        <v>12</v>
      </c>
      <c r="F10723">
        <v>93651186</v>
      </c>
      <c r="G10723">
        <v>93651265</v>
      </c>
      <c r="H10723">
        <v>93650550</v>
      </c>
      <c r="I10723">
        <v>93650554</v>
      </c>
    </row>
    <row r="10724" spans="1:9" x14ac:dyDescent="0.2">
      <c r="A10724" s="1" t="str">
        <f>"MOB1A"</f>
        <v>MOB1A</v>
      </c>
      <c r="B10724" t="s">
        <v>14</v>
      </c>
      <c r="C10724" t="s">
        <v>26</v>
      </c>
      <c r="D10724" t="s">
        <v>11</v>
      </c>
      <c r="E10724" t="s">
        <v>12</v>
      </c>
      <c r="F10724">
        <v>74405929</v>
      </c>
      <c r="G10724">
        <v>74406028</v>
      </c>
      <c r="H10724">
        <v>74405821</v>
      </c>
      <c r="I10724">
        <v>74405838</v>
      </c>
    </row>
    <row r="10725" spans="1:9" x14ac:dyDescent="0.2">
      <c r="A10725" s="1" t="str">
        <f>"MOB1B"</f>
        <v>MOB1B</v>
      </c>
      <c r="B10725" t="s">
        <v>14</v>
      </c>
      <c r="C10725" t="s">
        <v>23</v>
      </c>
      <c r="D10725" t="s">
        <v>17</v>
      </c>
      <c r="E10725" t="s">
        <v>12</v>
      </c>
      <c r="F10725">
        <v>71768044</v>
      </c>
      <c r="G10725">
        <v>71768095</v>
      </c>
      <c r="H10725">
        <v>71768101</v>
      </c>
      <c r="I10725">
        <v>71768124</v>
      </c>
    </row>
    <row r="10726" spans="1:9" x14ac:dyDescent="0.2">
      <c r="A10726" s="1" t="str">
        <f>"MOB2"</f>
        <v>MOB2</v>
      </c>
      <c r="B10726" t="s">
        <v>14</v>
      </c>
      <c r="C10726" t="s">
        <v>27</v>
      </c>
      <c r="D10726" t="s">
        <v>11</v>
      </c>
      <c r="E10726" t="s">
        <v>12</v>
      </c>
      <c r="F10726">
        <v>1507965</v>
      </c>
      <c r="G10726">
        <v>1507986</v>
      </c>
      <c r="H10726">
        <v>1507987</v>
      </c>
      <c r="I10726">
        <v>1508013</v>
      </c>
    </row>
    <row r="10727" spans="1:9" x14ac:dyDescent="0.2">
      <c r="A10727" s="1" t="str">
        <f>"MOB3A"</f>
        <v>MOB3A</v>
      </c>
      <c r="B10727" t="s">
        <v>9</v>
      </c>
      <c r="C10727" t="s">
        <v>10</v>
      </c>
      <c r="D10727" t="s">
        <v>11</v>
      </c>
      <c r="E10727" t="s">
        <v>12</v>
      </c>
      <c r="F10727">
        <v>2096259</v>
      </c>
      <c r="G10727">
        <v>2096342</v>
      </c>
      <c r="H10727">
        <v>2096259</v>
      </c>
      <c r="I10727">
        <v>2096342</v>
      </c>
    </row>
    <row r="10728" spans="1:9" x14ac:dyDescent="0.2">
      <c r="A10728" s="1" t="str">
        <f>"MOB3A"</f>
        <v>MOB3A</v>
      </c>
      <c r="B10728" t="s">
        <v>13</v>
      </c>
      <c r="C10728" t="s">
        <v>10</v>
      </c>
      <c r="D10728" t="s">
        <v>11</v>
      </c>
      <c r="E10728" t="s">
        <v>12</v>
      </c>
      <c r="F10728">
        <v>2085323</v>
      </c>
      <c r="G10728">
        <v>2085357</v>
      </c>
      <c r="H10728">
        <v>2085323</v>
      </c>
      <c r="I10728">
        <v>2085357</v>
      </c>
    </row>
    <row r="10729" spans="1:9" x14ac:dyDescent="0.2">
      <c r="A10729" s="1" t="str">
        <f>"MOB3B"</f>
        <v>MOB3B</v>
      </c>
      <c r="B10729" t="s">
        <v>14</v>
      </c>
      <c r="C10729" t="s">
        <v>24</v>
      </c>
      <c r="D10729" t="s">
        <v>11</v>
      </c>
      <c r="E10729" t="s">
        <v>12</v>
      </c>
      <c r="F10729">
        <v>27529726</v>
      </c>
      <c r="G10729">
        <v>27529827</v>
      </c>
      <c r="H10729">
        <v>27529703</v>
      </c>
      <c r="I10729">
        <v>27529725</v>
      </c>
    </row>
    <row r="10730" spans="1:9" x14ac:dyDescent="0.2">
      <c r="A10730" s="1" t="str">
        <f>"MOB3C"</f>
        <v>MOB3C</v>
      </c>
      <c r="B10730" t="s">
        <v>14</v>
      </c>
      <c r="C10730" t="s">
        <v>19</v>
      </c>
      <c r="D10730" t="s">
        <v>11</v>
      </c>
      <c r="E10730" t="s">
        <v>12</v>
      </c>
      <c r="F10730">
        <v>47079448</v>
      </c>
      <c r="G10730">
        <v>47079457</v>
      </c>
      <c r="H10730">
        <v>47079448</v>
      </c>
      <c r="I10730">
        <v>47079457</v>
      </c>
    </row>
    <row r="10731" spans="1:9" x14ac:dyDescent="0.2">
      <c r="A10731" s="1" t="str">
        <f>"MOB4"</f>
        <v>MOB4</v>
      </c>
      <c r="B10731" t="s">
        <v>14</v>
      </c>
      <c r="C10731" t="s">
        <v>26</v>
      </c>
      <c r="D10731" t="s">
        <v>17</v>
      </c>
      <c r="E10731" t="s">
        <v>12</v>
      </c>
      <c r="F10731">
        <v>198380763</v>
      </c>
      <c r="G10731">
        <v>198380813</v>
      </c>
      <c r="H10731">
        <v>198380272</v>
      </c>
      <c r="I10731">
        <v>198380287</v>
      </c>
    </row>
    <row r="10732" spans="1:9" x14ac:dyDescent="0.2">
      <c r="A10732" s="1" t="str">
        <f>"MOBP"</f>
        <v>MOBP</v>
      </c>
      <c r="B10732" t="s">
        <v>14</v>
      </c>
      <c r="C10732" t="s">
        <v>22</v>
      </c>
      <c r="D10732" t="s">
        <v>17</v>
      </c>
      <c r="E10732" t="s">
        <v>12</v>
      </c>
      <c r="F10732">
        <v>39509163</v>
      </c>
      <c r="G10732">
        <v>39509180</v>
      </c>
      <c r="H10732">
        <v>39509163</v>
      </c>
      <c r="I10732">
        <v>39509180</v>
      </c>
    </row>
    <row r="10733" spans="1:9" x14ac:dyDescent="0.2">
      <c r="A10733" s="1" t="str">
        <f>"MOCOS"</f>
        <v>MOCOS</v>
      </c>
      <c r="B10733" t="s">
        <v>14</v>
      </c>
      <c r="C10733" t="s">
        <v>43</v>
      </c>
      <c r="D10733" t="s">
        <v>17</v>
      </c>
      <c r="E10733" t="s">
        <v>12</v>
      </c>
      <c r="F10733">
        <v>33767473</v>
      </c>
      <c r="G10733">
        <v>33767498</v>
      </c>
      <c r="H10733">
        <v>33767446</v>
      </c>
      <c r="I10733">
        <v>33767471</v>
      </c>
    </row>
    <row r="10734" spans="1:9" x14ac:dyDescent="0.2">
      <c r="A10734" s="1" t="str">
        <f>"MOCS1"</f>
        <v>MOCS1</v>
      </c>
      <c r="B10734" t="s">
        <v>14</v>
      </c>
      <c r="C10734" t="s">
        <v>32</v>
      </c>
      <c r="D10734" t="s">
        <v>11</v>
      </c>
      <c r="E10734" t="s">
        <v>12</v>
      </c>
      <c r="F10734">
        <v>39902185</v>
      </c>
      <c r="G10734">
        <v>39902261</v>
      </c>
      <c r="H10734">
        <v>39902162</v>
      </c>
      <c r="I10734">
        <v>39902179</v>
      </c>
    </row>
    <row r="10735" spans="1:9" x14ac:dyDescent="0.2">
      <c r="A10735" s="1" t="str">
        <f>"MOCS2"</f>
        <v>MOCS2</v>
      </c>
      <c r="B10735" t="s">
        <v>14</v>
      </c>
      <c r="C10735" t="s">
        <v>46</v>
      </c>
      <c r="D10735" t="s">
        <v>11</v>
      </c>
      <c r="E10735" t="s">
        <v>12</v>
      </c>
      <c r="F10735">
        <v>52405564</v>
      </c>
      <c r="G10735">
        <v>52405611</v>
      </c>
      <c r="H10735">
        <v>52405564</v>
      </c>
      <c r="I10735">
        <v>52405611</v>
      </c>
    </row>
    <row r="10736" spans="1:9" x14ac:dyDescent="0.2">
      <c r="A10736" s="1" t="str">
        <f>"MOCS3"</f>
        <v>MOCS3</v>
      </c>
      <c r="B10736" t="s">
        <v>14</v>
      </c>
      <c r="C10736" t="s">
        <v>29</v>
      </c>
      <c r="D10736" t="s">
        <v>17</v>
      </c>
      <c r="E10736" t="s">
        <v>12</v>
      </c>
      <c r="F10736">
        <v>49575342</v>
      </c>
      <c r="G10736">
        <v>49575391</v>
      </c>
      <c r="H10736">
        <v>49574998</v>
      </c>
      <c r="I10736">
        <v>49574999</v>
      </c>
    </row>
    <row r="10737" spans="1:9" x14ac:dyDescent="0.2">
      <c r="A10737" s="1" t="str">
        <f>"MOG"</f>
        <v>MOG</v>
      </c>
      <c r="B10737" t="s">
        <v>14</v>
      </c>
      <c r="C10737" t="s">
        <v>32</v>
      </c>
      <c r="D10737" t="s">
        <v>17</v>
      </c>
      <c r="E10737" t="s">
        <v>12</v>
      </c>
      <c r="F10737">
        <v>29624862</v>
      </c>
      <c r="G10737">
        <v>29624895</v>
      </c>
      <c r="H10737">
        <v>29624898</v>
      </c>
      <c r="I10737">
        <v>29624923</v>
      </c>
    </row>
    <row r="10738" spans="1:9" x14ac:dyDescent="0.2">
      <c r="A10738" s="1" t="str">
        <f>"MOGAT1"</f>
        <v>MOGAT1</v>
      </c>
      <c r="B10738" t="s">
        <v>14</v>
      </c>
      <c r="C10738" t="s">
        <v>26</v>
      </c>
      <c r="D10738" t="s">
        <v>17</v>
      </c>
      <c r="E10738" t="s">
        <v>12</v>
      </c>
      <c r="F10738">
        <v>223536370</v>
      </c>
      <c r="G10738">
        <v>223536388</v>
      </c>
      <c r="H10738">
        <v>223536339</v>
      </c>
      <c r="I10738">
        <v>223536352</v>
      </c>
    </row>
    <row r="10739" spans="1:9" x14ac:dyDescent="0.2">
      <c r="A10739" s="1" t="str">
        <f>"MOGAT2"</f>
        <v>MOGAT2</v>
      </c>
      <c r="B10739" t="s">
        <v>14</v>
      </c>
      <c r="C10739" t="s">
        <v>27</v>
      </c>
      <c r="D10739" t="s">
        <v>17</v>
      </c>
      <c r="E10739" t="s">
        <v>12</v>
      </c>
      <c r="F10739">
        <v>75428857</v>
      </c>
      <c r="G10739">
        <v>75428907</v>
      </c>
      <c r="H10739">
        <v>75428857</v>
      </c>
      <c r="I10739">
        <v>75428907</v>
      </c>
    </row>
    <row r="10740" spans="1:9" x14ac:dyDescent="0.2">
      <c r="A10740" s="1" t="str">
        <f>"MOGAT3"</f>
        <v>MOGAT3</v>
      </c>
      <c r="B10740" t="s">
        <v>14</v>
      </c>
      <c r="C10740" t="s">
        <v>33</v>
      </c>
      <c r="D10740" t="s">
        <v>11</v>
      </c>
      <c r="E10740" t="s">
        <v>12</v>
      </c>
      <c r="F10740">
        <v>100844290</v>
      </c>
      <c r="G10740">
        <v>100844324</v>
      </c>
      <c r="H10740">
        <v>100844351</v>
      </c>
      <c r="I10740">
        <v>100844356</v>
      </c>
    </row>
    <row r="10741" spans="1:9" x14ac:dyDescent="0.2">
      <c r="A10741" s="1" t="str">
        <f>"MOGS"</f>
        <v>MOGS</v>
      </c>
      <c r="B10741" t="s">
        <v>14</v>
      </c>
      <c r="C10741" t="s">
        <v>26</v>
      </c>
      <c r="D10741" t="s">
        <v>11</v>
      </c>
      <c r="E10741" t="s">
        <v>12</v>
      </c>
      <c r="F10741">
        <v>74692473</v>
      </c>
      <c r="G10741">
        <v>74692542</v>
      </c>
      <c r="H10741">
        <v>74692214</v>
      </c>
      <c r="I10741">
        <v>74692246</v>
      </c>
    </row>
    <row r="10742" spans="1:9" x14ac:dyDescent="0.2">
      <c r="A10742" s="1" t="str">
        <f>"MOK"</f>
        <v>MOK</v>
      </c>
      <c r="B10742" t="s">
        <v>14</v>
      </c>
      <c r="C10742" t="s">
        <v>41</v>
      </c>
      <c r="D10742" t="s">
        <v>11</v>
      </c>
      <c r="E10742" t="s">
        <v>12</v>
      </c>
      <c r="F10742">
        <v>102771462</v>
      </c>
      <c r="G10742">
        <v>102771515</v>
      </c>
      <c r="H10742">
        <v>102771462</v>
      </c>
      <c r="I10742">
        <v>102771515</v>
      </c>
    </row>
    <row r="10743" spans="1:9" x14ac:dyDescent="0.2">
      <c r="A10743" s="1" t="str">
        <f>"MON1A"</f>
        <v>MON1A</v>
      </c>
      <c r="B10743" t="s">
        <v>14</v>
      </c>
      <c r="C10743" t="s">
        <v>22</v>
      </c>
      <c r="D10743" t="s">
        <v>11</v>
      </c>
      <c r="E10743" t="s">
        <v>12</v>
      </c>
      <c r="F10743">
        <v>49967218</v>
      </c>
      <c r="G10743">
        <v>49967291</v>
      </c>
      <c r="H10743">
        <v>49967292</v>
      </c>
      <c r="I10743">
        <v>49967327</v>
      </c>
    </row>
    <row r="10744" spans="1:9" x14ac:dyDescent="0.2">
      <c r="A10744" s="1" t="str">
        <f>"MON1B"</f>
        <v>MON1B</v>
      </c>
      <c r="B10744" t="s">
        <v>14</v>
      </c>
      <c r="C10744" t="s">
        <v>31</v>
      </c>
      <c r="D10744" t="s">
        <v>17</v>
      </c>
      <c r="E10744" t="s">
        <v>12</v>
      </c>
      <c r="F10744">
        <v>77225071</v>
      </c>
      <c r="G10744">
        <v>77225120</v>
      </c>
      <c r="H10744">
        <v>77224792</v>
      </c>
      <c r="I10744">
        <v>77224887</v>
      </c>
    </row>
    <row r="10745" spans="1:9" x14ac:dyDescent="0.2">
      <c r="A10745" s="1" t="str">
        <f>"MON2"</f>
        <v>MON2</v>
      </c>
      <c r="B10745" t="s">
        <v>14</v>
      </c>
      <c r="C10745" t="s">
        <v>16</v>
      </c>
      <c r="D10745" t="s">
        <v>17</v>
      </c>
      <c r="E10745" t="s">
        <v>12</v>
      </c>
      <c r="F10745">
        <v>62860581</v>
      </c>
      <c r="G10745">
        <v>62860620</v>
      </c>
      <c r="H10745">
        <v>62860829</v>
      </c>
      <c r="I10745">
        <v>62860850</v>
      </c>
    </row>
    <row r="10746" spans="1:9" x14ac:dyDescent="0.2">
      <c r="A10746" s="1" t="str">
        <f>"MORC1"</f>
        <v>MORC1</v>
      </c>
      <c r="B10746" t="s">
        <v>14</v>
      </c>
      <c r="C10746" t="s">
        <v>22</v>
      </c>
      <c r="D10746" t="s">
        <v>11</v>
      </c>
      <c r="E10746" t="s">
        <v>12</v>
      </c>
      <c r="F10746">
        <v>108836945</v>
      </c>
      <c r="G10746">
        <v>108836954</v>
      </c>
      <c r="H10746">
        <v>108836977</v>
      </c>
      <c r="I10746">
        <v>108836984</v>
      </c>
    </row>
    <row r="10747" spans="1:9" x14ac:dyDescent="0.2">
      <c r="A10747" s="1" t="str">
        <f>"MORC2"</f>
        <v>MORC2</v>
      </c>
      <c r="B10747" t="s">
        <v>14</v>
      </c>
      <c r="C10747" t="s">
        <v>21</v>
      </c>
      <c r="D10747" t="s">
        <v>11</v>
      </c>
      <c r="E10747" t="s">
        <v>12</v>
      </c>
      <c r="F10747">
        <v>31364750</v>
      </c>
      <c r="G10747">
        <v>31364771</v>
      </c>
      <c r="H10747">
        <v>31364703</v>
      </c>
      <c r="I10747">
        <v>31364729</v>
      </c>
    </row>
    <row r="10748" spans="1:9" x14ac:dyDescent="0.2">
      <c r="A10748" s="1" t="str">
        <f>"MORC3"</f>
        <v>MORC3</v>
      </c>
      <c r="B10748" t="s">
        <v>14</v>
      </c>
      <c r="C10748" t="s">
        <v>42</v>
      </c>
      <c r="D10748" t="s">
        <v>17</v>
      </c>
      <c r="E10748" t="s">
        <v>12</v>
      </c>
      <c r="F10748">
        <v>37692481</v>
      </c>
      <c r="G10748">
        <v>37692558</v>
      </c>
      <c r="H10748">
        <v>37692481</v>
      </c>
      <c r="I10748">
        <v>37692558</v>
      </c>
    </row>
    <row r="10749" spans="1:9" x14ac:dyDescent="0.2">
      <c r="A10749" s="1" t="str">
        <f>"MORC4"</f>
        <v>MORC4</v>
      </c>
      <c r="B10749" t="s">
        <v>14</v>
      </c>
      <c r="C10749" t="s">
        <v>37</v>
      </c>
      <c r="D10749" t="s">
        <v>11</v>
      </c>
      <c r="E10749" t="s">
        <v>12</v>
      </c>
      <c r="F10749">
        <v>106243435</v>
      </c>
      <c r="G10749">
        <v>106243449</v>
      </c>
      <c r="H10749">
        <v>106243451</v>
      </c>
      <c r="I10749">
        <v>106243490</v>
      </c>
    </row>
    <row r="10750" spans="1:9" x14ac:dyDescent="0.2">
      <c r="A10750" s="1" t="str">
        <f>"MORF4L1"</f>
        <v>MORF4L1</v>
      </c>
      <c r="B10750" t="s">
        <v>14</v>
      </c>
      <c r="C10750" t="s">
        <v>25</v>
      </c>
      <c r="D10750" t="s">
        <v>17</v>
      </c>
      <c r="E10750" t="s">
        <v>12</v>
      </c>
      <c r="F10750">
        <v>79165151</v>
      </c>
      <c r="G10750">
        <v>79165218</v>
      </c>
      <c r="H10750">
        <v>79165222</v>
      </c>
      <c r="I10750">
        <v>79165239</v>
      </c>
    </row>
    <row r="10751" spans="1:9" x14ac:dyDescent="0.2">
      <c r="A10751" s="1" t="str">
        <f>"MORF4L2"</f>
        <v>MORF4L2</v>
      </c>
      <c r="B10751" t="s">
        <v>9</v>
      </c>
      <c r="C10751" t="s">
        <v>37</v>
      </c>
      <c r="D10751" t="s">
        <v>11</v>
      </c>
      <c r="E10751" t="s">
        <v>12</v>
      </c>
      <c r="F10751">
        <v>102941615</v>
      </c>
      <c r="G10751">
        <v>102941655</v>
      </c>
      <c r="H10751">
        <v>102941615</v>
      </c>
      <c r="I10751">
        <v>102941655</v>
      </c>
    </row>
    <row r="10752" spans="1:9" x14ac:dyDescent="0.2">
      <c r="A10752" s="1" t="str">
        <f>"MORF4L2"</f>
        <v>MORF4L2</v>
      </c>
      <c r="B10752" t="s">
        <v>13</v>
      </c>
      <c r="C10752" t="s">
        <v>37</v>
      </c>
      <c r="D10752" t="s">
        <v>11</v>
      </c>
      <c r="E10752" t="s">
        <v>12</v>
      </c>
      <c r="F10752">
        <v>102942961</v>
      </c>
      <c r="G10752">
        <v>102943011</v>
      </c>
      <c r="H10752">
        <v>102942961</v>
      </c>
      <c r="I10752">
        <v>102943011</v>
      </c>
    </row>
    <row r="10753" spans="1:9" x14ac:dyDescent="0.2">
      <c r="A10753" s="1" t="str">
        <f>"MORN1"</f>
        <v>MORN1</v>
      </c>
      <c r="B10753" t="s">
        <v>14</v>
      </c>
      <c r="C10753" t="s">
        <v>19</v>
      </c>
      <c r="D10753" t="s">
        <v>11</v>
      </c>
      <c r="E10753" t="s">
        <v>12</v>
      </c>
      <c r="F10753">
        <v>2322973</v>
      </c>
      <c r="G10753">
        <v>2323005</v>
      </c>
      <c r="H10753">
        <v>2323094</v>
      </c>
      <c r="I10753">
        <v>2323134</v>
      </c>
    </row>
    <row r="10754" spans="1:9" x14ac:dyDescent="0.2">
      <c r="A10754" s="1" t="str">
        <f>"MORN2"</f>
        <v>MORN2</v>
      </c>
      <c r="B10754" t="s">
        <v>14</v>
      </c>
      <c r="C10754" t="s">
        <v>26</v>
      </c>
      <c r="D10754" t="s">
        <v>17</v>
      </c>
      <c r="E10754" t="s">
        <v>12</v>
      </c>
      <c r="F10754">
        <v>39103109</v>
      </c>
      <c r="G10754">
        <v>39103179</v>
      </c>
      <c r="H10754">
        <v>39103109</v>
      </c>
      <c r="I10754">
        <v>39103179</v>
      </c>
    </row>
    <row r="10755" spans="1:9" x14ac:dyDescent="0.2">
      <c r="A10755" s="1" t="str">
        <f>"MORN3"</f>
        <v>MORN3</v>
      </c>
      <c r="B10755" t="s">
        <v>14</v>
      </c>
      <c r="C10755" t="s">
        <v>16</v>
      </c>
      <c r="D10755" t="s">
        <v>11</v>
      </c>
      <c r="E10755" t="s">
        <v>12</v>
      </c>
      <c r="F10755">
        <v>122110518</v>
      </c>
      <c r="G10755">
        <v>122110562</v>
      </c>
      <c r="H10755">
        <v>122110480</v>
      </c>
      <c r="I10755">
        <v>122110517</v>
      </c>
    </row>
    <row r="10756" spans="1:9" x14ac:dyDescent="0.2">
      <c r="A10756" s="1" t="str">
        <f>"MORN4"</f>
        <v>MORN4</v>
      </c>
      <c r="B10756" t="s">
        <v>14</v>
      </c>
      <c r="C10756" t="s">
        <v>15</v>
      </c>
      <c r="D10756" t="s">
        <v>11</v>
      </c>
      <c r="E10756" t="s">
        <v>12</v>
      </c>
      <c r="F10756">
        <v>99393242</v>
      </c>
      <c r="G10756">
        <v>99393268</v>
      </c>
      <c r="H10756">
        <v>99393208</v>
      </c>
      <c r="I10756">
        <v>99393233</v>
      </c>
    </row>
    <row r="10757" spans="1:9" x14ac:dyDescent="0.2">
      <c r="A10757" s="1" t="str">
        <f>"MORN5"</f>
        <v>MORN5</v>
      </c>
      <c r="B10757" t="s">
        <v>14</v>
      </c>
      <c r="C10757" t="s">
        <v>24</v>
      </c>
      <c r="D10757" t="s">
        <v>17</v>
      </c>
      <c r="E10757" t="s">
        <v>12</v>
      </c>
      <c r="F10757">
        <v>124922171</v>
      </c>
      <c r="G10757">
        <v>124922224</v>
      </c>
      <c r="H10757">
        <v>124922171</v>
      </c>
      <c r="I10757">
        <v>124922224</v>
      </c>
    </row>
    <row r="10758" spans="1:9" x14ac:dyDescent="0.2">
      <c r="A10758" s="1" t="str">
        <f>"MOS"</f>
        <v>MOS</v>
      </c>
      <c r="B10758" t="s">
        <v>14</v>
      </c>
      <c r="C10758" t="s">
        <v>30</v>
      </c>
      <c r="D10758" t="s">
        <v>11</v>
      </c>
      <c r="E10758" t="s">
        <v>67</v>
      </c>
      <c r="F10758">
        <v>57026129</v>
      </c>
      <c r="G10758">
        <v>57026140</v>
      </c>
      <c r="H10758">
        <v>57026129</v>
      </c>
      <c r="I10758">
        <v>57026140</v>
      </c>
    </row>
    <row r="10759" spans="1:9" x14ac:dyDescent="0.2">
      <c r="A10759" s="1" t="str">
        <f>"MOSPD1"</f>
        <v>MOSPD1</v>
      </c>
      <c r="B10759" t="s">
        <v>14</v>
      </c>
      <c r="C10759" t="s">
        <v>37</v>
      </c>
      <c r="D10759" t="s">
        <v>11</v>
      </c>
      <c r="E10759" t="s">
        <v>12</v>
      </c>
      <c r="F10759">
        <v>134049262</v>
      </c>
      <c r="G10759">
        <v>134049295</v>
      </c>
      <c r="H10759">
        <v>134049233</v>
      </c>
      <c r="I10759">
        <v>134049258</v>
      </c>
    </row>
    <row r="10760" spans="1:9" x14ac:dyDescent="0.2">
      <c r="A10760" s="1" t="str">
        <f>"MOSPD2"</f>
        <v>MOSPD2</v>
      </c>
      <c r="B10760" t="s">
        <v>14</v>
      </c>
      <c r="C10760" t="s">
        <v>37</v>
      </c>
      <c r="D10760" t="s">
        <v>17</v>
      </c>
      <c r="E10760" t="s">
        <v>12</v>
      </c>
      <c r="F10760">
        <v>14891522</v>
      </c>
      <c r="G10760">
        <v>14891593</v>
      </c>
      <c r="H10760">
        <v>14891598</v>
      </c>
      <c r="I10760">
        <v>14891619</v>
      </c>
    </row>
    <row r="10761" spans="1:9" x14ac:dyDescent="0.2">
      <c r="A10761" s="1" t="str">
        <f>"MOSPD3"</f>
        <v>MOSPD3</v>
      </c>
      <c r="B10761" t="s">
        <v>14</v>
      </c>
      <c r="C10761" t="s">
        <v>33</v>
      </c>
      <c r="D10761" t="s">
        <v>17</v>
      </c>
      <c r="E10761" t="s">
        <v>12</v>
      </c>
      <c r="F10761">
        <v>100210141</v>
      </c>
      <c r="G10761">
        <v>100210214</v>
      </c>
      <c r="H10761">
        <v>100209767</v>
      </c>
      <c r="I10761">
        <v>100209824</v>
      </c>
    </row>
    <row r="10762" spans="1:9" x14ac:dyDescent="0.2">
      <c r="A10762" s="1" t="str">
        <f>"MOV10"</f>
        <v>MOV10</v>
      </c>
      <c r="B10762" t="s">
        <v>14</v>
      </c>
      <c r="C10762" t="s">
        <v>19</v>
      </c>
      <c r="D10762" t="s">
        <v>17</v>
      </c>
      <c r="E10762" t="s">
        <v>12</v>
      </c>
      <c r="F10762">
        <v>113217309</v>
      </c>
      <c r="G10762">
        <v>113217333</v>
      </c>
      <c r="H10762">
        <v>113217073</v>
      </c>
      <c r="I10762">
        <v>113217127</v>
      </c>
    </row>
    <row r="10763" spans="1:9" x14ac:dyDescent="0.2">
      <c r="A10763" s="1" t="str">
        <f>"MOV10L1"</f>
        <v>MOV10L1</v>
      </c>
      <c r="B10763" t="s">
        <v>14</v>
      </c>
      <c r="C10763" t="s">
        <v>21</v>
      </c>
      <c r="D10763" t="s">
        <v>17</v>
      </c>
      <c r="E10763" t="s">
        <v>12</v>
      </c>
      <c r="F10763">
        <v>50552910</v>
      </c>
      <c r="G10763">
        <v>50552939</v>
      </c>
      <c r="H10763">
        <v>50552910</v>
      </c>
      <c r="I10763">
        <v>50552939</v>
      </c>
    </row>
    <row r="10764" spans="1:9" x14ac:dyDescent="0.2">
      <c r="A10764" s="1" t="str">
        <f>"MOXD1"</f>
        <v>MOXD1</v>
      </c>
      <c r="B10764" t="s">
        <v>14</v>
      </c>
      <c r="C10764" t="s">
        <v>32</v>
      </c>
      <c r="D10764" t="s">
        <v>11</v>
      </c>
      <c r="E10764" t="s">
        <v>12</v>
      </c>
      <c r="F10764">
        <v>132722604</v>
      </c>
      <c r="G10764">
        <v>132722670</v>
      </c>
      <c r="H10764">
        <v>132722586</v>
      </c>
      <c r="I10764">
        <v>132722598</v>
      </c>
    </row>
    <row r="10765" spans="1:9" x14ac:dyDescent="0.2">
      <c r="A10765" s="1" t="str">
        <f>"MPC1"</f>
        <v>MPC1</v>
      </c>
      <c r="B10765" t="s">
        <v>14</v>
      </c>
      <c r="C10765" t="s">
        <v>32</v>
      </c>
      <c r="D10765" t="s">
        <v>11</v>
      </c>
      <c r="E10765" t="s">
        <v>12</v>
      </c>
      <c r="F10765">
        <v>166796415</v>
      </c>
      <c r="G10765">
        <v>166796439</v>
      </c>
      <c r="H10765">
        <v>166796461</v>
      </c>
      <c r="I10765">
        <v>166796496</v>
      </c>
    </row>
    <row r="10766" spans="1:9" x14ac:dyDescent="0.2">
      <c r="A10766" s="1" t="str">
        <f>"MPC2"</f>
        <v>MPC2</v>
      </c>
      <c r="B10766" t="s">
        <v>14</v>
      </c>
      <c r="C10766" t="s">
        <v>19</v>
      </c>
      <c r="D10766" t="s">
        <v>11</v>
      </c>
      <c r="E10766" t="s">
        <v>12</v>
      </c>
      <c r="F10766">
        <v>167905225</v>
      </c>
      <c r="G10766">
        <v>167905296</v>
      </c>
      <c r="H10766">
        <v>167905325</v>
      </c>
      <c r="I10766">
        <v>167905336</v>
      </c>
    </row>
    <row r="10767" spans="1:9" x14ac:dyDescent="0.2">
      <c r="A10767" s="1" t="str">
        <f>"MPDU1"</f>
        <v>MPDU1</v>
      </c>
      <c r="B10767" t="s">
        <v>14</v>
      </c>
      <c r="C10767" t="s">
        <v>28</v>
      </c>
      <c r="D10767" t="s">
        <v>17</v>
      </c>
      <c r="E10767" t="s">
        <v>12</v>
      </c>
      <c r="F10767">
        <v>7487160</v>
      </c>
      <c r="G10767">
        <v>7487181</v>
      </c>
      <c r="H10767">
        <v>7487160</v>
      </c>
      <c r="I10767">
        <v>7487181</v>
      </c>
    </row>
    <row r="10768" spans="1:9" x14ac:dyDescent="0.2">
      <c r="A10768" s="1" t="str">
        <f>"MPDZ"</f>
        <v>MPDZ</v>
      </c>
      <c r="B10768" t="s">
        <v>14</v>
      </c>
      <c r="C10768" t="s">
        <v>24</v>
      </c>
      <c r="D10768" t="s">
        <v>11</v>
      </c>
      <c r="E10768" t="s">
        <v>12</v>
      </c>
      <c r="F10768">
        <v>13279642</v>
      </c>
      <c r="G10768">
        <v>13279726</v>
      </c>
      <c r="H10768">
        <v>13279563</v>
      </c>
      <c r="I10768">
        <v>13279584</v>
      </c>
    </row>
    <row r="10769" spans="1:9" x14ac:dyDescent="0.2">
      <c r="A10769" s="1" t="str">
        <f>"MPEG1"</f>
        <v>MPEG1</v>
      </c>
      <c r="B10769" t="s">
        <v>14</v>
      </c>
      <c r="C10769" t="s">
        <v>27</v>
      </c>
      <c r="D10769" t="s">
        <v>11</v>
      </c>
      <c r="E10769" t="s">
        <v>12</v>
      </c>
      <c r="F10769">
        <v>58980342</v>
      </c>
      <c r="G10769">
        <v>58980431</v>
      </c>
      <c r="H10769">
        <v>58980437</v>
      </c>
      <c r="I10769">
        <v>58980460</v>
      </c>
    </row>
    <row r="10770" spans="1:9" x14ac:dyDescent="0.2">
      <c r="A10770" s="1" t="str">
        <f>"MPG"</f>
        <v>MPG</v>
      </c>
      <c r="B10770" t="s">
        <v>14</v>
      </c>
      <c r="C10770" t="s">
        <v>31</v>
      </c>
      <c r="D10770" t="s">
        <v>17</v>
      </c>
      <c r="E10770" t="s">
        <v>12</v>
      </c>
      <c r="F10770">
        <v>128201</v>
      </c>
      <c r="G10770">
        <v>128270</v>
      </c>
      <c r="H10770">
        <v>128274</v>
      </c>
      <c r="I10770">
        <v>128286</v>
      </c>
    </row>
    <row r="10771" spans="1:9" x14ac:dyDescent="0.2">
      <c r="A10771" s="1" t="str">
        <f>"MPHOSPH10"</f>
        <v>MPHOSPH10</v>
      </c>
      <c r="B10771" t="s">
        <v>14</v>
      </c>
      <c r="C10771" t="s">
        <v>26</v>
      </c>
      <c r="D10771" t="s">
        <v>17</v>
      </c>
      <c r="E10771" t="s">
        <v>12</v>
      </c>
      <c r="F10771">
        <v>71357744</v>
      </c>
      <c r="G10771">
        <v>71357791</v>
      </c>
      <c r="H10771">
        <v>71357434</v>
      </c>
      <c r="I10771">
        <v>71357488</v>
      </c>
    </row>
    <row r="10772" spans="1:9" x14ac:dyDescent="0.2">
      <c r="A10772" s="1" t="str">
        <f>"MPHOSPH6"</f>
        <v>MPHOSPH6</v>
      </c>
      <c r="B10772" t="s">
        <v>14</v>
      </c>
      <c r="C10772" t="s">
        <v>31</v>
      </c>
      <c r="D10772" t="s">
        <v>11</v>
      </c>
      <c r="E10772" t="s">
        <v>12</v>
      </c>
      <c r="F10772">
        <v>82203780</v>
      </c>
      <c r="G10772">
        <v>82203838</v>
      </c>
      <c r="H10772">
        <v>82203780</v>
      </c>
      <c r="I10772">
        <v>82203838</v>
      </c>
    </row>
    <row r="10773" spans="1:9" x14ac:dyDescent="0.2">
      <c r="A10773" s="1" t="str">
        <f>"MPHOSPH8"</f>
        <v>MPHOSPH8</v>
      </c>
      <c r="B10773" t="s">
        <v>9</v>
      </c>
      <c r="C10773" t="s">
        <v>39</v>
      </c>
      <c r="D10773" t="s">
        <v>17</v>
      </c>
      <c r="E10773" t="s">
        <v>12</v>
      </c>
      <c r="F10773">
        <v>20207782</v>
      </c>
      <c r="G10773">
        <v>20207841</v>
      </c>
      <c r="H10773">
        <v>20207782</v>
      </c>
      <c r="I10773">
        <v>20207841</v>
      </c>
    </row>
    <row r="10774" spans="1:9" x14ac:dyDescent="0.2">
      <c r="A10774" s="1" t="str">
        <f>"MPHOSPH8"</f>
        <v>MPHOSPH8</v>
      </c>
      <c r="B10774" t="s">
        <v>13</v>
      </c>
      <c r="C10774" t="s">
        <v>39</v>
      </c>
      <c r="D10774" t="s">
        <v>17</v>
      </c>
      <c r="E10774" t="s">
        <v>12</v>
      </c>
      <c r="F10774">
        <v>20220603</v>
      </c>
      <c r="G10774">
        <v>20220620</v>
      </c>
      <c r="H10774">
        <v>20220603</v>
      </c>
      <c r="I10774">
        <v>20220620</v>
      </c>
    </row>
    <row r="10775" spans="1:9" x14ac:dyDescent="0.2">
      <c r="A10775" s="1" t="str">
        <f>"MPHOSPH9"</f>
        <v>MPHOSPH9</v>
      </c>
      <c r="B10775" t="s">
        <v>14</v>
      </c>
      <c r="C10775" t="s">
        <v>16</v>
      </c>
      <c r="D10775" t="s">
        <v>11</v>
      </c>
      <c r="E10775" t="s">
        <v>12</v>
      </c>
      <c r="F10775">
        <v>123717643</v>
      </c>
      <c r="G10775">
        <v>123717700</v>
      </c>
      <c r="H10775">
        <v>123717643</v>
      </c>
      <c r="I10775">
        <v>123717700</v>
      </c>
    </row>
    <row r="10776" spans="1:9" x14ac:dyDescent="0.2">
      <c r="A10776" s="1" t="str">
        <f>"MPI"</f>
        <v>MPI</v>
      </c>
      <c r="B10776" t="s">
        <v>14</v>
      </c>
      <c r="C10776" t="s">
        <v>25</v>
      </c>
      <c r="D10776" t="s">
        <v>17</v>
      </c>
      <c r="E10776" t="s">
        <v>12</v>
      </c>
      <c r="F10776">
        <v>75182370</v>
      </c>
      <c r="G10776">
        <v>75182408</v>
      </c>
      <c r="H10776">
        <v>75182370</v>
      </c>
      <c r="I10776">
        <v>75182408</v>
      </c>
    </row>
    <row r="10777" spans="1:9" x14ac:dyDescent="0.2">
      <c r="A10777" s="1" t="str">
        <f>"MPL"</f>
        <v>MPL</v>
      </c>
      <c r="B10777" t="s">
        <v>14</v>
      </c>
      <c r="C10777" t="s">
        <v>19</v>
      </c>
      <c r="D10777" t="s">
        <v>17</v>
      </c>
      <c r="E10777" t="s">
        <v>12</v>
      </c>
      <c r="F10777">
        <v>43803475</v>
      </c>
      <c r="G10777">
        <v>43803507</v>
      </c>
      <c r="H10777">
        <v>43803540</v>
      </c>
      <c r="I10777">
        <v>43803541</v>
      </c>
    </row>
    <row r="10778" spans="1:9" x14ac:dyDescent="0.2">
      <c r="A10778" s="1" t="str">
        <f>"MPLKIP"</f>
        <v>MPLKIP</v>
      </c>
      <c r="B10778" t="s">
        <v>14</v>
      </c>
      <c r="C10778" t="s">
        <v>33</v>
      </c>
      <c r="D10778" t="s">
        <v>11</v>
      </c>
      <c r="E10778" t="s">
        <v>12</v>
      </c>
      <c r="F10778">
        <v>40174201</v>
      </c>
      <c r="G10778">
        <v>40174251</v>
      </c>
      <c r="H10778">
        <v>40174437</v>
      </c>
      <c r="I10778">
        <v>40174476</v>
      </c>
    </row>
    <row r="10779" spans="1:9" x14ac:dyDescent="0.2">
      <c r="A10779" s="1" t="str">
        <f>"MPND"</f>
        <v>MPND</v>
      </c>
      <c r="B10779" t="s">
        <v>14</v>
      </c>
      <c r="C10779" t="s">
        <v>10</v>
      </c>
      <c r="D10779" t="s">
        <v>17</v>
      </c>
      <c r="E10779" t="s">
        <v>12</v>
      </c>
      <c r="F10779">
        <v>4343542</v>
      </c>
      <c r="G10779">
        <v>4343579</v>
      </c>
      <c r="H10779">
        <v>4343584</v>
      </c>
      <c r="I10779">
        <v>4343599</v>
      </c>
    </row>
    <row r="10780" spans="1:9" x14ac:dyDescent="0.2">
      <c r="A10780" s="1" t="str">
        <f>"MPO"</f>
        <v>MPO</v>
      </c>
      <c r="B10780" t="s">
        <v>14</v>
      </c>
      <c r="C10780" t="s">
        <v>28</v>
      </c>
      <c r="D10780" t="s">
        <v>11</v>
      </c>
      <c r="E10780" t="s">
        <v>12</v>
      </c>
      <c r="F10780">
        <v>56358287</v>
      </c>
      <c r="G10780">
        <v>56358302</v>
      </c>
      <c r="H10780">
        <v>56358092</v>
      </c>
      <c r="I10780">
        <v>56358104</v>
      </c>
    </row>
    <row r="10781" spans="1:9" x14ac:dyDescent="0.2">
      <c r="A10781" s="1" t="str">
        <f>"MPP1"</f>
        <v>MPP1</v>
      </c>
      <c r="B10781" t="s">
        <v>14</v>
      </c>
      <c r="C10781" t="s">
        <v>37</v>
      </c>
      <c r="D10781" t="s">
        <v>11</v>
      </c>
      <c r="E10781" t="s">
        <v>12</v>
      </c>
      <c r="F10781">
        <v>154033686</v>
      </c>
      <c r="G10781">
        <v>154033783</v>
      </c>
      <c r="H10781">
        <v>154033661</v>
      </c>
      <c r="I10781">
        <v>154033676</v>
      </c>
    </row>
    <row r="10782" spans="1:9" x14ac:dyDescent="0.2">
      <c r="A10782" s="1" t="str">
        <f>"MPP2"</f>
        <v>MPP2</v>
      </c>
      <c r="B10782" t="s">
        <v>14</v>
      </c>
      <c r="C10782" t="s">
        <v>28</v>
      </c>
      <c r="D10782" t="s">
        <v>11</v>
      </c>
      <c r="E10782" t="s">
        <v>12</v>
      </c>
      <c r="F10782">
        <v>41984868</v>
      </c>
      <c r="G10782">
        <v>41984920</v>
      </c>
      <c r="H10782">
        <v>41985096</v>
      </c>
      <c r="I10782">
        <v>41985139</v>
      </c>
    </row>
    <row r="10783" spans="1:9" x14ac:dyDescent="0.2">
      <c r="A10783" s="1" t="str">
        <f>"MPP3"</f>
        <v>MPP3</v>
      </c>
      <c r="B10783" t="s">
        <v>14</v>
      </c>
      <c r="C10783" t="s">
        <v>28</v>
      </c>
      <c r="D10783" t="s">
        <v>11</v>
      </c>
      <c r="E10783" t="s">
        <v>12</v>
      </c>
      <c r="F10783">
        <v>41910505</v>
      </c>
      <c r="G10783">
        <v>41910552</v>
      </c>
      <c r="H10783">
        <v>41910482</v>
      </c>
      <c r="I10783">
        <v>41910496</v>
      </c>
    </row>
    <row r="10784" spans="1:9" x14ac:dyDescent="0.2">
      <c r="A10784" s="1" t="str">
        <f>"MPP4"</f>
        <v>MPP4</v>
      </c>
      <c r="B10784" t="s">
        <v>14</v>
      </c>
      <c r="C10784" t="s">
        <v>26</v>
      </c>
      <c r="D10784" t="s">
        <v>11</v>
      </c>
      <c r="E10784" t="s">
        <v>12</v>
      </c>
      <c r="F10784">
        <v>202563351</v>
      </c>
      <c r="G10784">
        <v>202563376</v>
      </c>
      <c r="H10784">
        <v>202562774</v>
      </c>
      <c r="I10784">
        <v>202562794</v>
      </c>
    </row>
    <row r="10785" spans="1:9" x14ac:dyDescent="0.2">
      <c r="A10785" s="1" t="str">
        <f>"MPP5"</f>
        <v>MPP5</v>
      </c>
      <c r="B10785" t="s">
        <v>14</v>
      </c>
      <c r="C10785" t="s">
        <v>41</v>
      </c>
      <c r="D10785" t="s">
        <v>17</v>
      </c>
      <c r="E10785" t="s">
        <v>12</v>
      </c>
      <c r="F10785">
        <v>67708137</v>
      </c>
      <c r="G10785">
        <v>67708168</v>
      </c>
      <c r="H10785">
        <v>67707996</v>
      </c>
      <c r="I10785">
        <v>67708057</v>
      </c>
    </row>
    <row r="10786" spans="1:9" x14ac:dyDescent="0.2">
      <c r="A10786" s="1" t="str">
        <f>"MPP6"</f>
        <v>MPP6</v>
      </c>
      <c r="B10786" t="s">
        <v>14</v>
      </c>
      <c r="C10786" t="s">
        <v>33</v>
      </c>
      <c r="D10786" t="s">
        <v>17</v>
      </c>
      <c r="E10786" t="s">
        <v>12</v>
      </c>
      <c r="F10786">
        <v>24613062</v>
      </c>
      <c r="G10786">
        <v>24613091</v>
      </c>
      <c r="H10786">
        <v>24612935</v>
      </c>
      <c r="I10786">
        <v>24612980</v>
      </c>
    </row>
    <row r="10787" spans="1:9" x14ac:dyDescent="0.2">
      <c r="A10787" s="1" t="str">
        <f>"MPP7"</f>
        <v>MPP7</v>
      </c>
      <c r="B10787" t="s">
        <v>14</v>
      </c>
      <c r="C10787" t="s">
        <v>15</v>
      </c>
      <c r="D10787" t="s">
        <v>11</v>
      </c>
      <c r="E10787" t="s">
        <v>12</v>
      </c>
      <c r="F10787">
        <v>28591933</v>
      </c>
      <c r="G10787">
        <v>28591966</v>
      </c>
      <c r="H10787">
        <v>28591981</v>
      </c>
      <c r="I10787">
        <v>28592005</v>
      </c>
    </row>
    <row r="10788" spans="1:9" x14ac:dyDescent="0.2">
      <c r="A10788" s="1" t="str">
        <f>"MPPE1"</f>
        <v>MPPE1</v>
      </c>
      <c r="B10788" t="s">
        <v>14</v>
      </c>
      <c r="C10788" t="s">
        <v>43</v>
      </c>
      <c r="D10788" t="s">
        <v>11</v>
      </c>
      <c r="E10788" t="s">
        <v>12</v>
      </c>
      <c r="F10788">
        <v>11908297</v>
      </c>
      <c r="G10788">
        <v>11908323</v>
      </c>
      <c r="H10788">
        <v>11908335</v>
      </c>
      <c r="I10788">
        <v>11908354</v>
      </c>
    </row>
    <row r="10789" spans="1:9" x14ac:dyDescent="0.2">
      <c r="A10789" s="1" t="str">
        <f>"MPPED1"</f>
        <v>MPPED1</v>
      </c>
      <c r="B10789" t="s">
        <v>14</v>
      </c>
      <c r="C10789" t="s">
        <v>21</v>
      </c>
      <c r="D10789" t="s">
        <v>17</v>
      </c>
      <c r="E10789" t="s">
        <v>12</v>
      </c>
      <c r="F10789">
        <v>43808085</v>
      </c>
      <c r="G10789">
        <v>43808135</v>
      </c>
      <c r="H10789">
        <v>43808014</v>
      </c>
      <c r="I10789">
        <v>43808029</v>
      </c>
    </row>
    <row r="10790" spans="1:9" x14ac:dyDescent="0.2">
      <c r="A10790" s="1" t="str">
        <f>"MPPED2"</f>
        <v>MPPED2</v>
      </c>
      <c r="B10790" t="s">
        <v>14</v>
      </c>
      <c r="C10790" t="s">
        <v>27</v>
      </c>
      <c r="D10790" t="s">
        <v>11</v>
      </c>
      <c r="E10790" t="s">
        <v>12</v>
      </c>
      <c r="F10790">
        <v>30607891</v>
      </c>
      <c r="G10790">
        <v>30607935</v>
      </c>
      <c r="H10790">
        <v>30607819</v>
      </c>
      <c r="I10790">
        <v>30607867</v>
      </c>
    </row>
    <row r="10791" spans="1:9" x14ac:dyDescent="0.2">
      <c r="A10791" s="1" t="str">
        <f>"MPRIP"</f>
        <v>MPRIP</v>
      </c>
      <c r="B10791" t="s">
        <v>14</v>
      </c>
      <c r="C10791" t="s">
        <v>28</v>
      </c>
      <c r="D10791" t="s">
        <v>17</v>
      </c>
      <c r="E10791" t="s">
        <v>12</v>
      </c>
      <c r="F10791">
        <v>16945743</v>
      </c>
      <c r="G10791">
        <v>16945786</v>
      </c>
      <c r="H10791">
        <v>16945743</v>
      </c>
      <c r="I10791">
        <v>16945786</v>
      </c>
    </row>
    <row r="10792" spans="1:9" x14ac:dyDescent="0.2">
      <c r="A10792" s="1" t="str">
        <f>"MPST"</f>
        <v>MPST</v>
      </c>
      <c r="B10792" t="s">
        <v>14</v>
      </c>
      <c r="C10792" t="s">
        <v>21</v>
      </c>
      <c r="D10792" t="s">
        <v>17</v>
      </c>
      <c r="E10792" t="s">
        <v>12</v>
      </c>
      <c r="F10792">
        <v>37415776</v>
      </c>
      <c r="G10792">
        <v>37415843</v>
      </c>
      <c r="H10792">
        <v>37415844</v>
      </c>
      <c r="I10792">
        <v>37415883</v>
      </c>
    </row>
    <row r="10793" spans="1:9" x14ac:dyDescent="0.2">
      <c r="A10793" s="1" t="str">
        <f>"MPV17"</f>
        <v>MPV17</v>
      </c>
      <c r="B10793" t="s">
        <v>14</v>
      </c>
      <c r="C10793" t="s">
        <v>26</v>
      </c>
      <c r="D10793" t="s">
        <v>11</v>
      </c>
      <c r="E10793" t="s">
        <v>12</v>
      </c>
      <c r="F10793">
        <v>27545939</v>
      </c>
      <c r="G10793">
        <v>27545981</v>
      </c>
      <c r="H10793">
        <v>27545390</v>
      </c>
      <c r="I10793">
        <v>27545424</v>
      </c>
    </row>
    <row r="10794" spans="1:9" x14ac:dyDescent="0.2">
      <c r="A10794" s="1" t="str">
        <f>"MPV17L"</f>
        <v>MPV17L</v>
      </c>
      <c r="B10794" t="s">
        <v>14</v>
      </c>
      <c r="C10794" t="s">
        <v>31</v>
      </c>
      <c r="D10794" t="s">
        <v>17</v>
      </c>
      <c r="E10794" t="s">
        <v>12</v>
      </c>
      <c r="F10794">
        <v>15489603</v>
      </c>
      <c r="G10794">
        <v>15489627</v>
      </c>
      <c r="H10794">
        <v>15489814</v>
      </c>
      <c r="I10794">
        <v>15489859</v>
      </c>
    </row>
    <row r="10795" spans="1:9" x14ac:dyDescent="0.2">
      <c r="A10795" s="1" t="str">
        <f>"MPV17L2"</f>
        <v>MPV17L2</v>
      </c>
      <c r="B10795" t="s">
        <v>14</v>
      </c>
      <c r="C10795" t="s">
        <v>10</v>
      </c>
      <c r="D10795" t="s">
        <v>17</v>
      </c>
      <c r="E10795" t="s">
        <v>12</v>
      </c>
      <c r="F10795">
        <v>18304041</v>
      </c>
      <c r="G10795">
        <v>18304087</v>
      </c>
      <c r="H10795">
        <v>18304008</v>
      </c>
      <c r="I10795">
        <v>18304039</v>
      </c>
    </row>
    <row r="10796" spans="1:9" x14ac:dyDescent="0.2">
      <c r="A10796" s="1" t="str">
        <f>"MPZ"</f>
        <v>MPZ</v>
      </c>
      <c r="B10796" t="s">
        <v>9</v>
      </c>
      <c r="C10796" t="s">
        <v>19</v>
      </c>
      <c r="D10796" t="s">
        <v>11</v>
      </c>
      <c r="E10796" t="s">
        <v>12</v>
      </c>
      <c r="F10796">
        <v>161279749</v>
      </c>
      <c r="G10796">
        <v>161279764</v>
      </c>
      <c r="H10796">
        <v>161279749</v>
      </c>
      <c r="I10796">
        <v>161279764</v>
      </c>
    </row>
    <row r="10797" spans="1:9" x14ac:dyDescent="0.2">
      <c r="A10797" s="1" t="str">
        <f>"MPZ"</f>
        <v>MPZ</v>
      </c>
      <c r="B10797" t="s">
        <v>13</v>
      </c>
      <c r="C10797" t="s">
        <v>19</v>
      </c>
      <c r="D10797" t="s">
        <v>11</v>
      </c>
      <c r="E10797" t="s">
        <v>12</v>
      </c>
      <c r="F10797">
        <v>161275966</v>
      </c>
      <c r="G10797">
        <v>161276034</v>
      </c>
      <c r="H10797">
        <v>161275966</v>
      </c>
      <c r="I10797">
        <v>161276034</v>
      </c>
    </row>
    <row r="10798" spans="1:9" x14ac:dyDescent="0.2">
      <c r="A10798" s="1" t="str">
        <f>"MPZL1"</f>
        <v>MPZL1</v>
      </c>
      <c r="B10798" t="s">
        <v>14</v>
      </c>
      <c r="C10798" t="s">
        <v>19</v>
      </c>
      <c r="D10798" t="s">
        <v>17</v>
      </c>
      <c r="E10798" t="s">
        <v>12</v>
      </c>
      <c r="F10798">
        <v>167691191</v>
      </c>
      <c r="G10798">
        <v>167691261</v>
      </c>
      <c r="H10798">
        <v>167691185</v>
      </c>
      <c r="I10798">
        <v>167691188</v>
      </c>
    </row>
    <row r="10799" spans="1:9" x14ac:dyDescent="0.2">
      <c r="A10799" s="1" t="str">
        <f>"MPZL2"</f>
        <v>MPZL2</v>
      </c>
      <c r="B10799" t="s">
        <v>14</v>
      </c>
      <c r="C10799" t="s">
        <v>27</v>
      </c>
      <c r="D10799" t="s">
        <v>11</v>
      </c>
      <c r="E10799" t="s">
        <v>12</v>
      </c>
      <c r="F10799">
        <v>118134997</v>
      </c>
      <c r="G10799">
        <v>118135052</v>
      </c>
      <c r="H10799">
        <v>118134982</v>
      </c>
      <c r="I10799">
        <v>118134993</v>
      </c>
    </row>
    <row r="10800" spans="1:9" x14ac:dyDescent="0.2">
      <c r="A10800" s="1" t="str">
        <f>"MPZL3"</f>
        <v>MPZL3</v>
      </c>
      <c r="B10800" t="s">
        <v>14</v>
      </c>
      <c r="C10800" t="s">
        <v>27</v>
      </c>
      <c r="D10800" t="s">
        <v>11</v>
      </c>
      <c r="E10800" t="s">
        <v>12</v>
      </c>
      <c r="F10800">
        <v>118122996</v>
      </c>
      <c r="G10800">
        <v>118123090</v>
      </c>
      <c r="H10800">
        <v>118122996</v>
      </c>
      <c r="I10800">
        <v>118123090</v>
      </c>
    </row>
    <row r="10801" spans="1:9" x14ac:dyDescent="0.2">
      <c r="A10801" s="1" t="str">
        <f>"MR1"</f>
        <v>MR1</v>
      </c>
      <c r="B10801" t="s">
        <v>14</v>
      </c>
      <c r="C10801" t="s">
        <v>19</v>
      </c>
      <c r="D10801" t="s">
        <v>17</v>
      </c>
      <c r="E10801" t="s">
        <v>12</v>
      </c>
      <c r="F10801">
        <v>181003102</v>
      </c>
      <c r="G10801">
        <v>181003149</v>
      </c>
      <c r="H10801">
        <v>181002517</v>
      </c>
      <c r="I10801">
        <v>181002538</v>
      </c>
    </row>
    <row r="10802" spans="1:9" x14ac:dyDescent="0.2">
      <c r="A10802" s="1" t="str">
        <f>"MRAP"</f>
        <v>MRAP</v>
      </c>
      <c r="B10802" t="s">
        <v>14</v>
      </c>
      <c r="C10802" t="s">
        <v>42</v>
      </c>
      <c r="D10802" t="s">
        <v>17</v>
      </c>
      <c r="E10802" t="s">
        <v>12</v>
      </c>
      <c r="F10802">
        <v>33671264</v>
      </c>
      <c r="G10802">
        <v>33671281</v>
      </c>
      <c r="H10802">
        <v>33671160</v>
      </c>
      <c r="I10802">
        <v>33671172</v>
      </c>
    </row>
    <row r="10803" spans="1:9" x14ac:dyDescent="0.2">
      <c r="A10803" s="1" t="str">
        <f>"MRAP2"</f>
        <v>MRAP2</v>
      </c>
      <c r="B10803" t="s">
        <v>14</v>
      </c>
      <c r="C10803" t="s">
        <v>32</v>
      </c>
      <c r="D10803" t="s">
        <v>17</v>
      </c>
      <c r="E10803" t="s">
        <v>12</v>
      </c>
      <c r="F10803">
        <v>84743436</v>
      </c>
      <c r="G10803">
        <v>84743496</v>
      </c>
      <c r="H10803">
        <v>84743412</v>
      </c>
      <c r="I10803">
        <v>84743431</v>
      </c>
    </row>
    <row r="10804" spans="1:9" x14ac:dyDescent="0.2">
      <c r="A10804" s="1" t="str">
        <f>"MRAS"</f>
        <v>MRAS</v>
      </c>
      <c r="B10804" t="s">
        <v>14</v>
      </c>
      <c r="C10804" t="s">
        <v>22</v>
      </c>
      <c r="D10804" t="s">
        <v>17</v>
      </c>
      <c r="E10804" t="s">
        <v>12</v>
      </c>
      <c r="F10804">
        <v>138067413</v>
      </c>
      <c r="G10804">
        <v>138067428</v>
      </c>
      <c r="H10804">
        <v>138067492</v>
      </c>
      <c r="I10804">
        <v>138067519</v>
      </c>
    </row>
    <row r="10805" spans="1:9" x14ac:dyDescent="0.2">
      <c r="A10805" s="1" t="str">
        <f>"MRC1"</f>
        <v>MRC1</v>
      </c>
      <c r="B10805" t="s">
        <v>815</v>
      </c>
      <c r="C10805" t="s">
        <v>15</v>
      </c>
      <c r="D10805" t="s">
        <v>17</v>
      </c>
      <c r="E10805" t="s">
        <v>20</v>
      </c>
      <c r="F10805">
        <v>18098351</v>
      </c>
      <c r="G10805">
        <v>18098351</v>
      </c>
      <c r="H10805">
        <v>18098351</v>
      </c>
      <c r="I10805">
        <v>18098351</v>
      </c>
    </row>
    <row r="10806" spans="1:9" x14ac:dyDescent="0.2">
      <c r="A10806" s="1" t="str">
        <f>"MRC2"</f>
        <v>MRC2</v>
      </c>
      <c r="B10806" t="s">
        <v>14</v>
      </c>
      <c r="C10806" t="s">
        <v>28</v>
      </c>
      <c r="D10806" t="s">
        <v>17</v>
      </c>
      <c r="E10806" t="s">
        <v>12</v>
      </c>
      <c r="F10806">
        <v>60705021</v>
      </c>
      <c r="G10806">
        <v>60705044</v>
      </c>
      <c r="H10806">
        <v>60705021</v>
      </c>
      <c r="I10806">
        <v>60705044</v>
      </c>
    </row>
    <row r="10807" spans="1:9" x14ac:dyDescent="0.2">
      <c r="A10807" s="1" t="str">
        <f>"MRE11A"</f>
        <v>MRE11A</v>
      </c>
      <c r="B10807" t="s">
        <v>14</v>
      </c>
      <c r="C10807" t="s">
        <v>27</v>
      </c>
      <c r="D10807" t="s">
        <v>11</v>
      </c>
      <c r="E10807" t="s">
        <v>12</v>
      </c>
      <c r="F10807">
        <v>94226964</v>
      </c>
      <c r="G10807">
        <v>94227025</v>
      </c>
      <c r="H10807">
        <v>94227029</v>
      </c>
      <c r="I10807">
        <v>94227051</v>
      </c>
    </row>
    <row r="10808" spans="1:9" x14ac:dyDescent="0.2">
      <c r="A10808" s="1" t="str">
        <f>"MREG"</f>
        <v>MREG</v>
      </c>
      <c r="B10808" t="s">
        <v>14</v>
      </c>
      <c r="C10808" t="s">
        <v>26</v>
      </c>
      <c r="D10808" t="s">
        <v>11</v>
      </c>
      <c r="E10808" t="s">
        <v>12</v>
      </c>
      <c r="F10808">
        <v>216878240</v>
      </c>
      <c r="G10808">
        <v>216878288</v>
      </c>
      <c r="H10808">
        <v>216878305</v>
      </c>
      <c r="I10808">
        <v>216878363</v>
      </c>
    </row>
    <row r="10809" spans="1:9" x14ac:dyDescent="0.2">
      <c r="A10809" s="1" t="str">
        <f>"MRFAP1"</f>
        <v>MRFAP1</v>
      </c>
      <c r="B10809" t="s">
        <v>14</v>
      </c>
      <c r="C10809" t="s">
        <v>23</v>
      </c>
      <c r="D10809" t="s">
        <v>17</v>
      </c>
      <c r="E10809" t="s">
        <v>12</v>
      </c>
      <c r="F10809">
        <v>6642404</v>
      </c>
      <c r="G10809">
        <v>6642426</v>
      </c>
      <c r="H10809">
        <v>6642682</v>
      </c>
      <c r="I10809">
        <v>6642720</v>
      </c>
    </row>
    <row r="10810" spans="1:9" x14ac:dyDescent="0.2">
      <c r="A10810" s="1" t="str">
        <f>"MRFAP1L1"</f>
        <v>MRFAP1L1</v>
      </c>
      <c r="B10810" t="s">
        <v>14</v>
      </c>
      <c r="C10810" t="s">
        <v>23</v>
      </c>
      <c r="D10810" t="s">
        <v>11</v>
      </c>
      <c r="E10810" t="s">
        <v>12</v>
      </c>
      <c r="F10810">
        <v>6711558</v>
      </c>
      <c r="G10810">
        <v>6711612</v>
      </c>
      <c r="H10810">
        <v>6711558</v>
      </c>
      <c r="I10810">
        <v>6711612</v>
      </c>
    </row>
    <row r="10811" spans="1:9" x14ac:dyDescent="0.2">
      <c r="A10811" s="1" t="str">
        <f>"MRGBP"</f>
        <v>MRGBP</v>
      </c>
      <c r="B10811" t="s">
        <v>14</v>
      </c>
      <c r="C10811" t="s">
        <v>29</v>
      </c>
      <c r="D10811" t="s">
        <v>17</v>
      </c>
      <c r="E10811" t="s">
        <v>12</v>
      </c>
      <c r="F10811">
        <v>61427797</v>
      </c>
      <c r="G10811">
        <v>61427863</v>
      </c>
      <c r="H10811">
        <v>61427954</v>
      </c>
      <c r="I10811">
        <v>61427986</v>
      </c>
    </row>
    <row r="10812" spans="1:9" x14ac:dyDescent="0.2">
      <c r="A10812" s="1" t="str">
        <f>"MRGPRD"</f>
        <v>MRGPRD</v>
      </c>
      <c r="B10812" t="s">
        <v>816</v>
      </c>
      <c r="C10812" t="s">
        <v>27</v>
      </c>
      <c r="D10812" t="s">
        <v>11</v>
      </c>
      <c r="E10812" t="s">
        <v>20</v>
      </c>
      <c r="F10812">
        <v>68748454</v>
      </c>
      <c r="G10812">
        <v>68748454</v>
      </c>
      <c r="H10812">
        <v>68748454</v>
      </c>
      <c r="I10812">
        <v>68748454</v>
      </c>
    </row>
    <row r="10813" spans="1:9" x14ac:dyDescent="0.2">
      <c r="A10813" s="1" t="str">
        <f>"MRGPRE"</f>
        <v>MRGPRE</v>
      </c>
      <c r="B10813" t="s">
        <v>14</v>
      </c>
      <c r="C10813" t="s">
        <v>27</v>
      </c>
      <c r="D10813" t="s">
        <v>11</v>
      </c>
      <c r="E10813" t="s">
        <v>12</v>
      </c>
      <c r="F10813">
        <v>3253635</v>
      </c>
      <c r="G10813">
        <v>3253658</v>
      </c>
      <c r="H10813">
        <v>3253592</v>
      </c>
      <c r="I10813">
        <v>3253608</v>
      </c>
    </row>
    <row r="10814" spans="1:9" x14ac:dyDescent="0.2">
      <c r="A10814" s="1" t="str">
        <f>"MRGPRF"</f>
        <v>MRGPRF</v>
      </c>
      <c r="B10814" t="s">
        <v>14</v>
      </c>
      <c r="C10814" t="s">
        <v>27</v>
      </c>
      <c r="D10814" t="s">
        <v>11</v>
      </c>
      <c r="E10814" t="s">
        <v>12</v>
      </c>
      <c r="F10814">
        <v>68780701</v>
      </c>
      <c r="G10814">
        <v>68780736</v>
      </c>
      <c r="H10814">
        <v>68780667</v>
      </c>
      <c r="I10814">
        <v>68780695</v>
      </c>
    </row>
    <row r="10815" spans="1:9" x14ac:dyDescent="0.2">
      <c r="A10815" s="1" t="str">
        <f>"MRGPRG"</f>
        <v>MRGPRG</v>
      </c>
      <c r="B10815" t="s">
        <v>817</v>
      </c>
      <c r="C10815" t="s">
        <v>27</v>
      </c>
      <c r="D10815" t="s">
        <v>11</v>
      </c>
      <c r="E10815" t="s">
        <v>20</v>
      </c>
      <c r="F10815">
        <v>3240042</v>
      </c>
      <c r="G10815">
        <v>3240042</v>
      </c>
      <c r="H10815">
        <v>3240042</v>
      </c>
      <c r="I10815">
        <v>3240042</v>
      </c>
    </row>
    <row r="10816" spans="1:9" x14ac:dyDescent="0.2">
      <c r="A10816" s="1" t="str">
        <f>"MRGPRX1"</f>
        <v>MRGPRX1</v>
      </c>
      <c r="B10816" t="s">
        <v>14</v>
      </c>
      <c r="C10816" t="s">
        <v>27</v>
      </c>
      <c r="D10816" t="s">
        <v>11</v>
      </c>
      <c r="E10816" t="s">
        <v>12</v>
      </c>
      <c r="F10816">
        <v>18960954</v>
      </c>
      <c r="G10816">
        <v>18960967</v>
      </c>
      <c r="H10816">
        <v>18960954</v>
      </c>
      <c r="I10816">
        <v>18960967</v>
      </c>
    </row>
    <row r="10817" spans="1:9" x14ac:dyDescent="0.2">
      <c r="A10817" s="1" t="str">
        <f>"MRGPRX2"</f>
        <v>MRGPRX2</v>
      </c>
      <c r="B10817" t="s">
        <v>14</v>
      </c>
      <c r="C10817" t="s">
        <v>27</v>
      </c>
      <c r="D10817" t="s">
        <v>11</v>
      </c>
      <c r="E10817" t="s">
        <v>12</v>
      </c>
      <c r="F10817">
        <v>19082233</v>
      </c>
      <c r="G10817">
        <v>19082285</v>
      </c>
      <c r="H10817">
        <v>19082216</v>
      </c>
      <c r="I10817">
        <v>19082225</v>
      </c>
    </row>
    <row r="10818" spans="1:9" x14ac:dyDescent="0.2">
      <c r="A10818" s="1" t="str">
        <f>"MRGPRX3"</f>
        <v>MRGPRX3</v>
      </c>
      <c r="B10818" t="s">
        <v>14</v>
      </c>
      <c r="C10818" t="s">
        <v>27</v>
      </c>
      <c r="D10818" t="s">
        <v>17</v>
      </c>
      <c r="E10818" t="s">
        <v>12</v>
      </c>
      <c r="F10818">
        <v>18154245</v>
      </c>
      <c r="G10818">
        <v>18154256</v>
      </c>
      <c r="H10818">
        <v>18154245</v>
      </c>
      <c r="I10818">
        <v>18154256</v>
      </c>
    </row>
    <row r="10819" spans="1:9" x14ac:dyDescent="0.2">
      <c r="A10819" s="1" t="str">
        <f>"MRGPRX4"</f>
        <v>MRGPRX4</v>
      </c>
      <c r="B10819" t="s">
        <v>818</v>
      </c>
      <c r="C10819" t="s">
        <v>27</v>
      </c>
      <c r="D10819" t="s">
        <v>17</v>
      </c>
      <c r="E10819" t="s">
        <v>20</v>
      </c>
      <c r="F10819">
        <v>18194383</v>
      </c>
      <c r="G10819">
        <v>18194383</v>
      </c>
      <c r="H10819">
        <v>18194383</v>
      </c>
      <c r="I10819">
        <v>18194383</v>
      </c>
    </row>
    <row r="10820" spans="1:9" x14ac:dyDescent="0.2">
      <c r="A10820" s="1" t="str">
        <f>"MRI1"</f>
        <v>MRI1</v>
      </c>
      <c r="B10820" t="s">
        <v>14</v>
      </c>
      <c r="C10820" t="s">
        <v>10</v>
      </c>
      <c r="D10820" t="s">
        <v>17</v>
      </c>
      <c r="E10820" t="s">
        <v>12</v>
      </c>
      <c r="F10820">
        <v>13875316</v>
      </c>
      <c r="G10820">
        <v>13875385</v>
      </c>
      <c r="H10820">
        <v>13875316</v>
      </c>
      <c r="I10820">
        <v>13875385</v>
      </c>
    </row>
    <row r="10821" spans="1:9" x14ac:dyDescent="0.2">
      <c r="A10821" s="1" t="str">
        <f>"MRM1"</f>
        <v>MRM1</v>
      </c>
      <c r="B10821" t="s">
        <v>14</v>
      </c>
      <c r="C10821" t="s">
        <v>28</v>
      </c>
      <c r="D10821" t="s">
        <v>17</v>
      </c>
      <c r="E10821" t="s">
        <v>12</v>
      </c>
      <c r="F10821">
        <v>34958002</v>
      </c>
      <c r="G10821">
        <v>34958089</v>
      </c>
      <c r="H10821">
        <v>34958371</v>
      </c>
      <c r="I10821">
        <v>34958395</v>
      </c>
    </row>
    <row r="10822" spans="1:9" x14ac:dyDescent="0.2">
      <c r="A10822" s="1" t="str">
        <f>"MRO"</f>
        <v>MRO</v>
      </c>
      <c r="B10822" t="s">
        <v>14</v>
      </c>
      <c r="C10822" t="s">
        <v>43</v>
      </c>
      <c r="D10822" t="s">
        <v>11</v>
      </c>
      <c r="E10822" t="s">
        <v>12</v>
      </c>
      <c r="F10822">
        <v>48345970</v>
      </c>
      <c r="G10822">
        <v>48346016</v>
      </c>
      <c r="H10822">
        <v>48346018</v>
      </c>
      <c r="I10822">
        <v>48346053</v>
      </c>
    </row>
    <row r="10823" spans="1:9" x14ac:dyDescent="0.2">
      <c r="A10823" s="1" t="str">
        <f>"MROH1"</f>
        <v>MROH1</v>
      </c>
      <c r="B10823" t="s">
        <v>14</v>
      </c>
      <c r="C10823" t="s">
        <v>30</v>
      </c>
      <c r="D10823" t="s">
        <v>17</v>
      </c>
      <c r="E10823" t="s">
        <v>12</v>
      </c>
      <c r="F10823">
        <v>145215847</v>
      </c>
      <c r="G10823">
        <v>145215865</v>
      </c>
      <c r="H10823">
        <v>145215847</v>
      </c>
      <c r="I10823">
        <v>145215865</v>
      </c>
    </row>
    <row r="10824" spans="1:9" x14ac:dyDescent="0.2">
      <c r="A10824" s="1" t="str">
        <f>"MROH2A"</f>
        <v>MROH2A</v>
      </c>
      <c r="B10824" t="s">
        <v>819</v>
      </c>
      <c r="C10824" t="s">
        <v>26</v>
      </c>
      <c r="D10824" t="s">
        <v>17</v>
      </c>
      <c r="E10824" t="s">
        <v>20</v>
      </c>
      <c r="F10824">
        <v>234686975</v>
      </c>
      <c r="G10824">
        <v>234686975</v>
      </c>
      <c r="H10824">
        <v>234686975</v>
      </c>
      <c r="I10824">
        <v>234686975</v>
      </c>
    </row>
    <row r="10825" spans="1:9" x14ac:dyDescent="0.2">
      <c r="A10825" s="1" t="str">
        <f>"MROH2B"</f>
        <v>MROH2B</v>
      </c>
      <c r="B10825" t="s">
        <v>14</v>
      </c>
      <c r="C10825" t="s">
        <v>46</v>
      </c>
      <c r="D10825" t="s">
        <v>11</v>
      </c>
      <c r="E10825" t="s">
        <v>12</v>
      </c>
      <c r="F10825">
        <v>41071415</v>
      </c>
      <c r="G10825">
        <v>41071452</v>
      </c>
      <c r="H10825">
        <v>41071458</v>
      </c>
      <c r="I10825">
        <v>41071469</v>
      </c>
    </row>
    <row r="10826" spans="1:9" x14ac:dyDescent="0.2">
      <c r="A10826" s="1" t="str">
        <f>"MROH5"</f>
        <v>MROH5</v>
      </c>
      <c r="B10826" t="s">
        <v>14</v>
      </c>
      <c r="C10826" t="s">
        <v>30</v>
      </c>
      <c r="D10826" t="s">
        <v>11</v>
      </c>
      <c r="E10826" t="s">
        <v>12</v>
      </c>
      <c r="F10826">
        <v>142517317</v>
      </c>
      <c r="G10826">
        <v>142517332</v>
      </c>
      <c r="H10826">
        <v>142517302</v>
      </c>
      <c r="I10826">
        <v>142517309</v>
      </c>
    </row>
    <row r="10827" spans="1:9" x14ac:dyDescent="0.2">
      <c r="A10827" s="1" t="str">
        <f>"MROH6"</f>
        <v>MROH6</v>
      </c>
      <c r="B10827" t="s">
        <v>9</v>
      </c>
      <c r="C10827" t="s">
        <v>30</v>
      </c>
      <c r="D10827" t="s">
        <v>11</v>
      </c>
      <c r="E10827" t="s">
        <v>12</v>
      </c>
      <c r="F10827">
        <v>144654918</v>
      </c>
      <c r="G10827">
        <v>144654950</v>
      </c>
      <c r="H10827">
        <v>144654918</v>
      </c>
      <c r="I10827">
        <v>144654950</v>
      </c>
    </row>
    <row r="10828" spans="1:9" x14ac:dyDescent="0.2">
      <c r="A10828" s="1" t="str">
        <f>"MROH6"</f>
        <v>MROH6</v>
      </c>
      <c r="B10828" t="s">
        <v>13</v>
      </c>
      <c r="C10828" t="s">
        <v>30</v>
      </c>
      <c r="D10828" t="s">
        <v>11</v>
      </c>
      <c r="E10828" t="s">
        <v>12</v>
      </c>
      <c r="F10828">
        <v>144651051</v>
      </c>
      <c r="G10828">
        <v>144651109</v>
      </c>
      <c r="H10828">
        <v>144651051</v>
      </c>
      <c r="I10828">
        <v>144651109</v>
      </c>
    </row>
    <row r="10829" spans="1:9" x14ac:dyDescent="0.2">
      <c r="A10829" s="1" t="str">
        <f>"MROH7"</f>
        <v>MROH7</v>
      </c>
      <c r="B10829" t="s">
        <v>14</v>
      </c>
      <c r="C10829" t="s">
        <v>19</v>
      </c>
      <c r="D10829" t="s">
        <v>17</v>
      </c>
      <c r="E10829" t="s">
        <v>12</v>
      </c>
      <c r="F10829">
        <v>55107449</v>
      </c>
      <c r="G10829">
        <v>55107471</v>
      </c>
      <c r="H10829">
        <v>55107489</v>
      </c>
      <c r="I10829">
        <v>55107500</v>
      </c>
    </row>
    <row r="10830" spans="1:9" x14ac:dyDescent="0.2">
      <c r="A10830" s="1" t="str">
        <f>"MROH8"</f>
        <v>MROH8</v>
      </c>
      <c r="B10830" t="s">
        <v>14</v>
      </c>
      <c r="C10830" t="s">
        <v>29</v>
      </c>
      <c r="D10830" t="s">
        <v>11</v>
      </c>
      <c r="E10830" t="s">
        <v>12</v>
      </c>
      <c r="F10830">
        <v>35807929</v>
      </c>
      <c r="G10830">
        <v>35807968</v>
      </c>
      <c r="H10830">
        <v>35807970</v>
      </c>
      <c r="I10830">
        <v>35807994</v>
      </c>
    </row>
    <row r="10831" spans="1:9" x14ac:dyDescent="0.2">
      <c r="A10831" s="1" t="str">
        <f>"MROH9"</f>
        <v>MROH9</v>
      </c>
      <c r="B10831" t="s">
        <v>14</v>
      </c>
      <c r="C10831" t="s">
        <v>19</v>
      </c>
      <c r="D10831" t="s">
        <v>17</v>
      </c>
      <c r="E10831" t="s">
        <v>12</v>
      </c>
      <c r="F10831">
        <v>170904647</v>
      </c>
      <c r="G10831">
        <v>170904653</v>
      </c>
      <c r="H10831">
        <v>170904603</v>
      </c>
      <c r="I10831">
        <v>170904612</v>
      </c>
    </row>
    <row r="10832" spans="1:9" x14ac:dyDescent="0.2">
      <c r="A10832" s="1" t="str">
        <f>"MRP63"</f>
        <v>MRP63</v>
      </c>
      <c r="B10832" t="s">
        <v>14</v>
      </c>
      <c r="C10832" t="s">
        <v>39</v>
      </c>
      <c r="D10832" t="s">
        <v>17</v>
      </c>
      <c r="E10832" t="s">
        <v>12</v>
      </c>
      <c r="F10832">
        <v>21750780</v>
      </c>
      <c r="G10832">
        <v>21750843</v>
      </c>
      <c r="H10832">
        <v>21750768</v>
      </c>
      <c r="I10832">
        <v>21750779</v>
      </c>
    </row>
    <row r="10833" spans="1:9" x14ac:dyDescent="0.2">
      <c r="A10833" s="1" t="str">
        <f>"MRPL1"</f>
        <v>MRPL1</v>
      </c>
      <c r="B10833" t="s">
        <v>14</v>
      </c>
      <c r="C10833" t="s">
        <v>23</v>
      </c>
      <c r="D10833" t="s">
        <v>17</v>
      </c>
      <c r="E10833" t="s">
        <v>12</v>
      </c>
      <c r="F10833">
        <v>78783972</v>
      </c>
      <c r="G10833">
        <v>78784001</v>
      </c>
      <c r="H10833">
        <v>78783882</v>
      </c>
      <c r="I10833">
        <v>78783912</v>
      </c>
    </row>
    <row r="10834" spans="1:9" x14ac:dyDescent="0.2">
      <c r="A10834" s="1" t="str">
        <f>"MRPL10"</f>
        <v>MRPL10</v>
      </c>
      <c r="B10834" t="s">
        <v>14</v>
      </c>
      <c r="C10834" t="s">
        <v>28</v>
      </c>
      <c r="D10834" t="s">
        <v>11</v>
      </c>
      <c r="E10834" t="s">
        <v>12</v>
      </c>
      <c r="F10834">
        <v>45908875</v>
      </c>
      <c r="G10834">
        <v>45908913</v>
      </c>
      <c r="H10834">
        <v>45908875</v>
      </c>
      <c r="I10834">
        <v>45908913</v>
      </c>
    </row>
    <row r="10835" spans="1:9" x14ac:dyDescent="0.2">
      <c r="A10835" s="1" t="str">
        <f>"MRPL11"</f>
        <v>MRPL11</v>
      </c>
      <c r="B10835" t="s">
        <v>14</v>
      </c>
      <c r="C10835" t="s">
        <v>27</v>
      </c>
      <c r="D10835" t="s">
        <v>11</v>
      </c>
      <c r="E10835" t="s">
        <v>12</v>
      </c>
      <c r="F10835">
        <v>66206260</v>
      </c>
      <c r="G10835">
        <v>66206325</v>
      </c>
      <c r="H10835">
        <v>66206479</v>
      </c>
      <c r="I10835">
        <v>66206506</v>
      </c>
    </row>
    <row r="10836" spans="1:9" x14ac:dyDescent="0.2">
      <c r="A10836" s="1" t="str">
        <f>"MRPL12"</f>
        <v>MRPL12</v>
      </c>
      <c r="B10836" t="s">
        <v>14</v>
      </c>
      <c r="C10836" t="s">
        <v>28</v>
      </c>
      <c r="D10836" t="s">
        <v>17</v>
      </c>
      <c r="E10836" t="s">
        <v>12</v>
      </c>
      <c r="F10836">
        <v>79670440</v>
      </c>
      <c r="G10836">
        <v>79670524</v>
      </c>
      <c r="H10836">
        <v>79670386</v>
      </c>
      <c r="I10836">
        <v>79670427</v>
      </c>
    </row>
    <row r="10837" spans="1:9" x14ac:dyDescent="0.2">
      <c r="A10837" s="1" t="str">
        <f>"MRPL13"</f>
        <v>MRPL13</v>
      </c>
      <c r="B10837" t="s">
        <v>14</v>
      </c>
      <c r="C10837" t="s">
        <v>30</v>
      </c>
      <c r="D10837" t="s">
        <v>11</v>
      </c>
      <c r="E10837" t="s">
        <v>12</v>
      </c>
      <c r="F10837">
        <v>121457380</v>
      </c>
      <c r="G10837">
        <v>121457397</v>
      </c>
      <c r="H10837">
        <v>121457352</v>
      </c>
      <c r="I10837">
        <v>121457377</v>
      </c>
    </row>
    <row r="10838" spans="1:9" x14ac:dyDescent="0.2">
      <c r="A10838" s="1" t="str">
        <f>"MRPL14"</f>
        <v>MRPL14</v>
      </c>
      <c r="B10838" t="s">
        <v>14</v>
      </c>
      <c r="C10838" t="s">
        <v>32</v>
      </c>
      <c r="D10838" t="s">
        <v>11</v>
      </c>
      <c r="E10838" t="s">
        <v>12</v>
      </c>
      <c r="F10838">
        <v>44095102</v>
      </c>
      <c r="G10838">
        <v>44095182</v>
      </c>
      <c r="H10838">
        <v>44095183</v>
      </c>
      <c r="I10838">
        <v>44095209</v>
      </c>
    </row>
    <row r="10839" spans="1:9" x14ac:dyDescent="0.2">
      <c r="A10839" s="1" t="str">
        <f>"MRPL15"</f>
        <v>MRPL15</v>
      </c>
      <c r="B10839" t="s">
        <v>14</v>
      </c>
      <c r="C10839" t="s">
        <v>30</v>
      </c>
      <c r="D10839" t="s">
        <v>17</v>
      </c>
      <c r="E10839" t="s">
        <v>12</v>
      </c>
      <c r="F10839">
        <v>55047763</v>
      </c>
      <c r="G10839">
        <v>55047845</v>
      </c>
      <c r="H10839">
        <v>55047763</v>
      </c>
      <c r="I10839">
        <v>55047845</v>
      </c>
    </row>
    <row r="10840" spans="1:9" x14ac:dyDescent="0.2">
      <c r="A10840" s="1" t="str">
        <f>"MRPL16"</f>
        <v>MRPL16</v>
      </c>
      <c r="B10840" t="s">
        <v>14</v>
      </c>
      <c r="C10840" t="s">
        <v>27</v>
      </c>
      <c r="D10840" t="s">
        <v>11</v>
      </c>
      <c r="E10840" t="s">
        <v>12</v>
      </c>
      <c r="F10840">
        <v>59578202</v>
      </c>
      <c r="G10840">
        <v>59578274</v>
      </c>
      <c r="H10840">
        <v>59578202</v>
      </c>
      <c r="I10840">
        <v>59578274</v>
      </c>
    </row>
    <row r="10841" spans="1:9" x14ac:dyDescent="0.2">
      <c r="A10841" s="1" t="str">
        <f>"MRPL17"</f>
        <v>MRPL17</v>
      </c>
      <c r="B10841" t="s">
        <v>14</v>
      </c>
      <c r="C10841" t="s">
        <v>27</v>
      </c>
      <c r="D10841" t="s">
        <v>11</v>
      </c>
      <c r="E10841" t="s">
        <v>12</v>
      </c>
      <c r="F10841">
        <v>6704513</v>
      </c>
      <c r="G10841">
        <v>6704578</v>
      </c>
      <c r="H10841">
        <v>6704513</v>
      </c>
      <c r="I10841">
        <v>6704578</v>
      </c>
    </row>
    <row r="10842" spans="1:9" x14ac:dyDescent="0.2">
      <c r="A10842" s="1" t="str">
        <f>"MRPL18"</f>
        <v>MRPL18</v>
      </c>
      <c r="B10842" t="s">
        <v>14</v>
      </c>
      <c r="C10842" t="s">
        <v>32</v>
      </c>
      <c r="D10842" t="s">
        <v>17</v>
      </c>
      <c r="E10842" t="s">
        <v>12</v>
      </c>
      <c r="F10842">
        <v>160211481</v>
      </c>
      <c r="G10842">
        <v>160211551</v>
      </c>
      <c r="H10842">
        <v>160210966</v>
      </c>
      <c r="I10842">
        <v>160210991</v>
      </c>
    </row>
    <row r="10843" spans="1:9" x14ac:dyDescent="0.2">
      <c r="A10843" s="1" t="str">
        <f>"MRPL19"</f>
        <v>MRPL19</v>
      </c>
      <c r="B10843" t="s">
        <v>14</v>
      </c>
      <c r="C10843" t="s">
        <v>26</v>
      </c>
      <c r="D10843" t="s">
        <v>17</v>
      </c>
      <c r="E10843" t="s">
        <v>12</v>
      </c>
      <c r="F10843">
        <v>75873902</v>
      </c>
      <c r="G10843">
        <v>75873932</v>
      </c>
      <c r="H10843">
        <v>75874183</v>
      </c>
      <c r="I10843">
        <v>75874244</v>
      </c>
    </row>
    <row r="10844" spans="1:9" x14ac:dyDescent="0.2">
      <c r="A10844" s="1" t="str">
        <f>"MRPL2"</f>
        <v>MRPL2</v>
      </c>
      <c r="B10844" t="s">
        <v>14</v>
      </c>
      <c r="C10844" t="s">
        <v>32</v>
      </c>
      <c r="D10844" t="s">
        <v>11</v>
      </c>
      <c r="E10844" t="s">
        <v>12</v>
      </c>
      <c r="F10844">
        <v>43027105</v>
      </c>
      <c r="G10844">
        <v>43027183</v>
      </c>
      <c r="H10844">
        <v>43027193</v>
      </c>
      <c r="I10844">
        <v>43027204</v>
      </c>
    </row>
    <row r="10845" spans="1:9" x14ac:dyDescent="0.2">
      <c r="A10845" s="1" t="str">
        <f>"MRPL20"</f>
        <v>MRPL20</v>
      </c>
      <c r="B10845" t="s">
        <v>14</v>
      </c>
      <c r="C10845" t="s">
        <v>19</v>
      </c>
      <c r="D10845" t="s">
        <v>11</v>
      </c>
      <c r="E10845" t="s">
        <v>12</v>
      </c>
      <c r="F10845">
        <v>1342617</v>
      </c>
      <c r="G10845">
        <v>1342691</v>
      </c>
      <c r="H10845">
        <v>1342594</v>
      </c>
      <c r="I10845">
        <v>1342605</v>
      </c>
    </row>
    <row r="10846" spans="1:9" x14ac:dyDescent="0.2">
      <c r="A10846" s="1" t="str">
        <f>"MRPL21"</f>
        <v>MRPL21</v>
      </c>
      <c r="B10846" t="s">
        <v>14</v>
      </c>
      <c r="C10846" t="s">
        <v>27</v>
      </c>
      <c r="D10846" t="s">
        <v>11</v>
      </c>
      <c r="E10846" t="s">
        <v>12</v>
      </c>
      <c r="F10846">
        <v>68671264</v>
      </c>
      <c r="G10846">
        <v>68671311</v>
      </c>
      <c r="H10846">
        <v>68671244</v>
      </c>
      <c r="I10846">
        <v>68671253</v>
      </c>
    </row>
    <row r="10847" spans="1:9" x14ac:dyDescent="0.2">
      <c r="A10847" s="1" t="str">
        <f>"MRPL22"</f>
        <v>MRPL22</v>
      </c>
      <c r="B10847" t="s">
        <v>14</v>
      </c>
      <c r="C10847" t="s">
        <v>46</v>
      </c>
      <c r="D10847" t="s">
        <v>17</v>
      </c>
      <c r="E10847" t="s">
        <v>12</v>
      </c>
      <c r="F10847">
        <v>154320623</v>
      </c>
      <c r="G10847">
        <v>154320673</v>
      </c>
      <c r="H10847">
        <v>154320623</v>
      </c>
      <c r="I10847">
        <v>154320673</v>
      </c>
    </row>
    <row r="10848" spans="1:9" x14ac:dyDescent="0.2">
      <c r="A10848" s="1" t="str">
        <f>"MRPL23"</f>
        <v>MRPL23</v>
      </c>
      <c r="B10848" t="s">
        <v>14</v>
      </c>
      <c r="C10848" t="s">
        <v>27</v>
      </c>
      <c r="D10848" t="s">
        <v>17</v>
      </c>
      <c r="E10848" t="s">
        <v>12</v>
      </c>
      <c r="F10848">
        <v>1968548</v>
      </c>
      <c r="G10848">
        <v>1968589</v>
      </c>
      <c r="H10848">
        <v>1968234</v>
      </c>
      <c r="I10848">
        <v>1968267</v>
      </c>
    </row>
    <row r="10849" spans="1:9" x14ac:dyDescent="0.2">
      <c r="A10849" s="1" t="str">
        <f>"MRPL24"</f>
        <v>MRPL24</v>
      </c>
      <c r="B10849" t="s">
        <v>14</v>
      </c>
      <c r="C10849" t="s">
        <v>19</v>
      </c>
      <c r="D10849" t="s">
        <v>11</v>
      </c>
      <c r="E10849" t="s">
        <v>12</v>
      </c>
      <c r="F10849">
        <v>156710859</v>
      </c>
      <c r="G10849">
        <v>156710913</v>
      </c>
      <c r="H10849">
        <v>156710916</v>
      </c>
      <c r="I10849">
        <v>156710935</v>
      </c>
    </row>
    <row r="10850" spans="1:9" x14ac:dyDescent="0.2">
      <c r="A10850" s="1" t="str">
        <f>"MRPL27"</f>
        <v>MRPL27</v>
      </c>
      <c r="B10850" t="s">
        <v>14</v>
      </c>
      <c r="C10850" t="s">
        <v>28</v>
      </c>
      <c r="D10850" t="s">
        <v>11</v>
      </c>
      <c r="E10850" t="s">
        <v>12</v>
      </c>
      <c r="F10850">
        <v>48450534</v>
      </c>
      <c r="G10850">
        <v>48450563</v>
      </c>
      <c r="H10850">
        <v>48450265</v>
      </c>
      <c r="I10850">
        <v>48450295</v>
      </c>
    </row>
    <row r="10851" spans="1:9" x14ac:dyDescent="0.2">
      <c r="A10851" s="1" t="str">
        <f>"MRPL28"</f>
        <v>MRPL28</v>
      </c>
      <c r="B10851" t="s">
        <v>14</v>
      </c>
      <c r="C10851" t="s">
        <v>31</v>
      </c>
      <c r="D10851" t="s">
        <v>11</v>
      </c>
      <c r="E10851" t="s">
        <v>12</v>
      </c>
      <c r="F10851">
        <v>420514</v>
      </c>
      <c r="G10851">
        <v>420555</v>
      </c>
      <c r="H10851">
        <v>420232</v>
      </c>
      <c r="I10851">
        <v>420237</v>
      </c>
    </row>
    <row r="10852" spans="1:9" x14ac:dyDescent="0.2">
      <c r="A10852" s="1" t="str">
        <f>"MRPL3"</f>
        <v>MRPL3</v>
      </c>
      <c r="B10852" t="s">
        <v>14</v>
      </c>
      <c r="C10852" t="s">
        <v>22</v>
      </c>
      <c r="D10852" t="s">
        <v>11</v>
      </c>
      <c r="E10852" t="s">
        <v>12</v>
      </c>
      <c r="F10852">
        <v>131221790</v>
      </c>
      <c r="G10852">
        <v>131221835</v>
      </c>
      <c r="H10852">
        <v>131221771</v>
      </c>
      <c r="I10852">
        <v>131221789</v>
      </c>
    </row>
    <row r="10853" spans="1:9" x14ac:dyDescent="0.2">
      <c r="A10853" s="1" t="str">
        <f>"MRPL30"</f>
        <v>MRPL30</v>
      </c>
      <c r="B10853" t="s">
        <v>9</v>
      </c>
      <c r="C10853" t="s">
        <v>26</v>
      </c>
      <c r="D10853" t="s">
        <v>17</v>
      </c>
      <c r="E10853" t="s">
        <v>12</v>
      </c>
      <c r="F10853">
        <v>99797636</v>
      </c>
      <c r="G10853">
        <v>99797686</v>
      </c>
      <c r="H10853">
        <v>99797636</v>
      </c>
      <c r="I10853">
        <v>99797686</v>
      </c>
    </row>
    <row r="10854" spans="1:9" x14ac:dyDescent="0.2">
      <c r="A10854" s="1" t="str">
        <f>"MRPL30"</f>
        <v>MRPL30</v>
      </c>
      <c r="B10854" t="s">
        <v>13</v>
      </c>
      <c r="C10854" t="s">
        <v>26</v>
      </c>
      <c r="D10854" t="s">
        <v>17</v>
      </c>
      <c r="E10854" t="s">
        <v>12</v>
      </c>
      <c r="F10854">
        <v>99771423</v>
      </c>
      <c r="G10854">
        <v>99771498</v>
      </c>
      <c r="H10854">
        <v>99771423</v>
      </c>
      <c r="I10854">
        <v>99771498</v>
      </c>
    </row>
    <row r="10855" spans="1:9" x14ac:dyDescent="0.2">
      <c r="A10855" s="1" t="str">
        <f>"MRPL32"</f>
        <v>MRPL32</v>
      </c>
      <c r="B10855" t="s">
        <v>14</v>
      </c>
      <c r="C10855" t="s">
        <v>33</v>
      </c>
      <c r="D10855" t="s">
        <v>17</v>
      </c>
      <c r="E10855" t="s">
        <v>12</v>
      </c>
      <c r="F10855">
        <v>42971945</v>
      </c>
      <c r="G10855">
        <v>42971988</v>
      </c>
      <c r="H10855">
        <v>42971866</v>
      </c>
      <c r="I10855">
        <v>42971869</v>
      </c>
    </row>
    <row r="10856" spans="1:9" x14ac:dyDescent="0.2">
      <c r="A10856" s="1" t="str">
        <f>"MRPL33"</f>
        <v>MRPL33</v>
      </c>
      <c r="B10856" t="s">
        <v>14</v>
      </c>
      <c r="C10856" t="s">
        <v>26</v>
      </c>
      <c r="D10856" t="s">
        <v>17</v>
      </c>
      <c r="E10856" t="s">
        <v>12</v>
      </c>
      <c r="F10856">
        <v>27994567</v>
      </c>
      <c r="G10856">
        <v>27994641</v>
      </c>
      <c r="H10856">
        <v>27994811</v>
      </c>
      <c r="I10856">
        <v>27994897</v>
      </c>
    </row>
    <row r="10857" spans="1:9" x14ac:dyDescent="0.2">
      <c r="A10857" s="1" t="str">
        <f>"MRPL34"</f>
        <v>MRPL34</v>
      </c>
      <c r="B10857" t="s">
        <v>14</v>
      </c>
      <c r="C10857" t="s">
        <v>10</v>
      </c>
      <c r="D10857" t="s">
        <v>17</v>
      </c>
      <c r="E10857" t="s">
        <v>12</v>
      </c>
      <c r="F10857">
        <v>17416609</v>
      </c>
      <c r="G10857">
        <v>17416716</v>
      </c>
      <c r="H10857">
        <v>17416457</v>
      </c>
      <c r="I10857">
        <v>17416473</v>
      </c>
    </row>
    <row r="10858" spans="1:9" x14ac:dyDescent="0.2">
      <c r="A10858" s="1" t="str">
        <f>"MRPL35"</f>
        <v>MRPL35</v>
      </c>
      <c r="B10858" t="s">
        <v>14</v>
      </c>
      <c r="C10858" t="s">
        <v>26</v>
      </c>
      <c r="D10858" t="s">
        <v>17</v>
      </c>
      <c r="E10858" t="s">
        <v>12</v>
      </c>
      <c r="F10858">
        <v>86426572</v>
      </c>
      <c r="G10858">
        <v>86426614</v>
      </c>
      <c r="H10858">
        <v>86426572</v>
      </c>
      <c r="I10858">
        <v>86426614</v>
      </c>
    </row>
    <row r="10859" spans="1:9" x14ac:dyDescent="0.2">
      <c r="A10859" s="1" t="str">
        <f>"MRPL36"</f>
        <v>MRPL36</v>
      </c>
      <c r="B10859" t="s">
        <v>14</v>
      </c>
      <c r="C10859" t="s">
        <v>46</v>
      </c>
      <c r="D10859" t="s">
        <v>11</v>
      </c>
      <c r="E10859" t="s">
        <v>12</v>
      </c>
      <c r="F10859">
        <v>1799932</v>
      </c>
      <c r="G10859">
        <v>1799960</v>
      </c>
      <c r="H10859">
        <v>1799965</v>
      </c>
      <c r="I10859">
        <v>1799988</v>
      </c>
    </row>
    <row r="10860" spans="1:9" x14ac:dyDescent="0.2">
      <c r="A10860" s="1" t="str">
        <f>"MRPL37"</f>
        <v>MRPL37</v>
      </c>
      <c r="B10860" t="s">
        <v>14</v>
      </c>
      <c r="C10860" t="s">
        <v>19</v>
      </c>
      <c r="D10860" t="s">
        <v>17</v>
      </c>
      <c r="E10860" t="s">
        <v>12</v>
      </c>
      <c r="F10860">
        <v>54665832</v>
      </c>
      <c r="G10860">
        <v>54665877</v>
      </c>
      <c r="H10860">
        <v>54665916</v>
      </c>
      <c r="I10860">
        <v>54665927</v>
      </c>
    </row>
    <row r="10861" spans="1:9" x14ac:dyDescent="0.2">
      <c r="A10861" s="1" t="str">
        <f>"MRPL38"</f>
        <v>MRPL38</v>
      </c>
      <c r="B10861" t="s">
        <v>14</v>
      </c>
      <c r="C10861" t="s">
        <v>28</v>
      </c>
      <c r="D10861" t="s">
        <v>11</v>
      </c>
      <c r="E10861" t="s">
        <v>12</v>
      </c>
      <c r="F10861">
        <v>73900954</v>
      </c>
      <c r="G10861">
        <v>73901003</v>
      </c>
      <c r="H10861">
        <v>73901164</v>
      </c>
      <c r="I10861">
        <v>73901190</v>
      </c>
    </row>
    <row r="10862" spans="1:9" x14ac:dyDescent="0.2">
      <c r="A10862" s="1" t="str">
        <f>"MRPL39"</f>
        <v>MRPL39</v>
      </c>
      <c r="B10862" t="s">
        <v>14</v>
      </c>
      <c r="C10862" t="s">
        <v>42</v>
      </c>
      <c r="D10862" t="s">
        <v>11</v>
      </c>
      <c r="E10862" t="s">
        <v>12</v>
      </c>
      <c r="F10862">
        <v>26979786</v>
      </c>
      <c r="G10862">
        <v>26979821</v>
      </c>
      <c r="H10862">
        <v>26979786</v>
      </c>
      <c r="I10862">
        <v>26979821</v>
      </c>
    </row>
    <row r="10863" spans="1:9" x14ac:dyDescent="0.2">
      <c r="A10863" s="1" t="str">
        <f>"MRPL4"</f>
        <v>MRPL4</v>
      </c>
      <c r="B10863" t="s">
        <v>14</v>
      </c>
      <c r="C10863" t="s">
        <v>10</v>
      </c>
      <c r="D10863" t="s">
        <v>17</v>
      </c>
      <c r="E10863" t="s">
        <v>12</v>
      </c>
      <c r="F10863">
        <v>10362882</v>
      </c>
      <c r="G10863">
        <v>10362939</v>
      </c>
      <c r="H10863">
        <v>10362603</v>
      </c>
      <c r="I10863">
        <v>10362686</v>
      </c>
    </row>
    <row r="10864" spans="1:9" x14ac:dyDescent="0.2">
      <c r="A10864" s="1" t="str">
        <f>"MRPL40"</f>
        <v>MRPL40</v>
      </c>
      <c r="B10864" t="s">
        <v>14</v>
      </c>
      <c r="C10864" t="s">
        <v>21</v>
      </c>
      <c r="D10864" t="s">
        <v>17</v>
      </c>
      <c r="E10864" t="s">
        <v>12</v>
      </c>
      <c r="F10864">
        <v>19420035</v>
      </c>
      <c r="G10864">
        <v>19420085</v>
      </c>
      <c r="H10864">
        <v>19419958</v>
      </c>
      <c r="I10864">
        <v>19419978</v>
      </c>
    </row>
    <row r="10865" spans="1:9" x14ac:dyDescent="0.2">
      <c r="A10865" s="1" t="str">
        <f>"MRPL41"</f>
        <v>MRPL41</v>
      </c>
      <c r="B10865" t="s">
        <v>14</v>
      </c>
      <c r="C10865" t="s">
        <v>24</v>
      </c>
      <c r="D10865" t="s">
        <v>17</v>
      </c>
      <c r="E10865" t="s">
        <v>12</v>
      </c>
      <c r="F10865">
        <v>140446314</v>
      </c>
      <c r="G10865">
        <v>140446398</v>
      </c>
      <c r="H10865">
        <v>140445617</v>
      </c>
      <c r="I10865">
        <v>140445628</v>
      </c>
    </row>
    <row r="10866" spans="1:9" x14ac:dyDescent="0.2">
      <c r="A10866" s="1" t="str">
        <f>"MRPL42"</f>
        <v>MRPL42</v>
      </c>
      <c r="B10866" t="s">
        <v>14</v>
      </c>
      <c r="C10866" t="s">
        <v>16</v>
      </c>
      <c r="D10866" t="s">
        <v>17</v>
      </c>
      <c r="E10866" t="s">
        <v>12</v>
      </c>
      <c r="F10866">
        <v>93861282</v>
      </c>
      <c r="G10866">
        <v>93861300</v>
      </c>
      <c r="H10866">
        <v>93861265</v>
      </c>
      <c r="I10866">
        <v>93861276</v>
      </c>
    </row>
    <row r="10867" spans="1:9" x14ac:dyDescent="0.2">
      <c r="A10867" s="1" t="str">
        <f>"MRPL43"</f>
        <v>MRPL43</v>
      </c>
      <c r="B10867" t="s">
        <v>14</v>
      </c>
      <c r="C10867" t="s">
        <v>15</v>
      </c>
      <c r="D10867" t="s">
        <v>11</v>
      </c>
      <c r="E10867" t="s">
        <v>12</v>
      </c>
      <c r="F10867">
        <v>102747200</v>
      </c>
      <c r="G10867">
        <v>102747278</v>
      </c>
      <c r="H10867">
        <v>102747023</v>
      </c>
      <c r="I10867">
        <v>102747034</v>
      </c>
    </row>
    <row r="10868" spans="1:9" x14ac:dyDescent="0.2">
      <c r="A10868" s="1" t="str">
        <f>"MRPL44"</f>
        <v>MRPL44</v>
      </c>
      <c r="B10868" t="s">
        <v>14</v>
      </c>
      <c r="C10868" t="s">
        <v>26</v>
      </c>
      <c r="D10868" t="s">
        <v>17</v>
      </c>
      <c r="E10868" t="s">
        <v>12</v>
      </c>
      <c r="F10868">
        <v>224822148</v>
      </c>
      <c r="G10868">
        <v>224822190</v>
      </c>
      <c r="H10868">
        <v>224822288</v>
      </c>
      <c r="I10868">
        <v>224822336</v>
      </c>
    </row>
    <row r="10869" spans="1:9" x14ac:dyDescent="0.2">
      <c r="A10869" s="1" t="str">
        <f>"MRPL45"</f>
        <v>MRPL45</v>
      </c>
      <c r="B10869" t="s">
        <v>14</v>
      </c>
      <c r="C10869" t="s">
        <v>28</v>
      </c>
      <c r="D10869" t="s">
        <v>17</v>
      </c>
      <c r="E10869" t="s">
        <v>12</v>
      </c>
      <c r="F10869">
        <v>36453126</v>
      </c>
      <c r="G10869">
        <v>36453152</v>
      </c>
      <c r="H10869">
        <v>36453171</v>
      </c>
      <c r="I10869">
        <v>36453186</v>
      </c>
    </row>
    <row r="10870" spans="1:9" x14ac:dyDescent="0.2">
      <c r="A10870" s="1" t="str">
        <f>"MRPL46"</f>
        <v>MRPL46</v>
      </c>
      <c r="B10870" t="s">
        <v>14</v>
      </c>
      <c r="C10870" t="s">
        <v>25</v>
      </c>
      <c r="D10870" t="s">
        <v>11</v>
      </c>
      <c r="E10870" t="s">
        <v>12</v>
      </c>
      <c r="F10870">
        <v>89010607</v>
      </c>
      <c r="G10870">
        <v>89010633</v>
      </c>
      <c r="H10870">
        <v>89010458</v>
      </c>
      <c r="I10870">
        <v>89010462</v>
      </c>
    </row>
    <row r="10871" spans="1:9" x14ac:dyDescent="0.2">
      <c r="A10871" s="1" t="str">
        <f>"MRPL47"</f>
        <v>MRPL47</v>
      </c>
      <c r="B10871" t="s">
        <v>14</v>
      </c>
      <c r="C10871" t="s">
        <v>22</v>
      </c>
      <c r="D10871" t="s">
        <v>11</v>
      </c>
      <c r="E10871" t="s">
        <v>12</v>
      </c>
      <c r="F10871">
        <v>179322416</v>
      </c>
      <c r="G10871">
        <v>179322435</v>
      </c>
      <c r="H10871">
        <v>179322436</v>
      </c>
      <c r="I10871">
        <v>179322447</v>
      </c>
    </row>
    <row r="10872" spans="1:9" x14ac:dyDescent="0.2">
      <c r="A10872" s="1" t="str">
        <f>"MRPL48"</f>
        <v>MRPL48</v>
      </c>
      <c r="B10872" t="s">
        <v>14</v>
      </c>
      <c r="C10872" t="s">
        <v>27</v>
      </c>
      <c r="D10872" t="s">
        <v>17</v>
      </c>
      <c r="E10872" t="s">
        <v>12</v>
      </c>
      <c r="F10872">
        <v>73498898</v>
      </c>
      <c r="G10872">
        <v>73498965</v>
      </c>
      <c r="H10872">
        <v>73498973</v>
      </c>
      <c r="I10872">
        <v>73498982</v>
      </c>
    </row>
    <row r="10873" spans="1:9" x14ac:dyDescent="0.2">
      <c r="A10873" s="1" t="str">
        <f>"MRPL49"</f>
        <v>MRPL49</v>
      </c>
      <c r="B10873" t="s">
        <v>14</v>
      </c>
      <c r="C10873" t="s">
        <v>27</v>
      </c>
      <c r="D10873" t="s">
        <v>17</v>
      </c>
      <c r="E10873" t="s">
        <v>12</v>
      </c>
      <c r="F10873">
        <v>64889773</v>
      </c>
      <c r="G10873">
        <v>64889820</v>
      </c>
      <c r="H10873">
        <v>64889706</v>
      </c>
      <c r="I10873">
        <v>64889727</v>
      </c>
    </row>
    <row r="10874" spans="1:9" x14ac:dyDescent="0.2">
      <c r="A10874" s="1" t="str">
        <f>"MRPL50"</f>
        <v>MRPL50</v>
      </c>
      <c r="B10874" t="s">
        <v>14</v>
      </c>
      <c r="C10874" t="s">
        <v>24</v>
      </c>
      <c r="D10874" t="s">
        <v>11</v>
      </c>
      <c r="E10874" t="s">
        <v>12</v>
      </c>
      <c r="F10874">
        <v>104160872</v>
      </c>
      <c r="G10874">
        <v>104160910</v>
      </c>
      <c r="H10874">
        <v>104160913</v>
      </c>
      <c r="I10874">
        <v>104160924</v>
      </c>
    </row>
    <row r="10875" spans="1:9" x14ac:dyDescent="0.2">
      <c r="A10875" s="1" t="str">
        <f>"MRPL51"</f>
        <v>MRPL51</v>
      </c>
      <c r="B10875" t="s">
        <v>14</v>
      </c>
      <c r="C10875" t="s">
        <v>16</v>
      </c>
      <c r="D10875" t="s">
        <v>11</v>
      </c>
      <c r="E10875" t="s">
        <v>12</v>
      </c>
      <c r="F10875">
        <v>6602406</v>
      </c>
      <c r="G10875">
        <v>6602440</v>
      </c>
      <c r="H10875">
        <v>6602955</v>
      </c>
      <c r="I10875">
        <v>6603022</v>
      </c>
    </row>
    <row r="10876" spans="1:9" x14ac:dyDescent="0.2">
      <c r="A10876" s="1" t="str">
        <f>"MRPL52"</f>
        <v>MRPL52</v>
      </c>
      <c r="B10876" t="s">
        <v>14</v>
      </c>
      <c r="C10876" t="s">
        <v>41</v>
      </c>
      <c r="D10876" t="s">
        <v>17</v>
      </c>
      <c r="E10876" t="s">
        <v>12</v>
      </c>
      <c r="F10876">
        <v>23299088</v>
      </c>
      <c r="G10876">
        <v>23299114</v>
      </c>
      <c r="H10876">
        <v>23299236</v>
      </c>
      <c r="I10876">
        <v>23299264</v>
      </c>
    </row>
    <row r="10877" spans="1:9" x14ac:dyDescent="0.2">
      <c r="A10877" s="1" t="str">
        <f>"MRPL53"</f>
        <v>MRPL53</v>
      </c>
      <c r="B10877" t="s">
        <v>14</v>
      </c>
      <c r="C10877" t="s">
        <v>26</v>
      </c>
      <c r="D10877" t="s">
        <v>11</v>
      </c>
      <c r="E10877" t="s">
        <v>12</v>
      </c>
      <c r="F10877">
        <v>74699770</v>
      </c>
      <c r="G10877">
        <v>74699819</v>
      </c>
      <c r="H10877">
        <v>74699516</v>
      </c>
      <c r="I10877">
        <v>74699560</v>
      </c>
    </row>
    <row r="10878" spans="1:9" x14ac:dyDescent="0.2">
      <c r="A10878" s="1" t="str">
        <f>"MRPL54"</f>
        <v>MRPL54</v>
      </c>
      <c r="B10878" t="s">
        <v>14</v>
      </c>
      <c r="C10878" t="s">
        <v>10</v>
      </c>
      <c r="D10878" t="s">
        <v>17</v>
      </c>
      <c r="E10878" t="s">
        <v>12</v>
      </c>
      <c r="F10878">
        <v>3762645</v>
      </c>
      <c r="G10878">
        <v>3762690</v>
      </c>
      <c r="H10878">
        <v>3762708</v>
      </c>
      <c r="I10878">
        <v>3762719</v>
      </c>
    </row>
    <row r="10879" spans="1:9" x14ac:dyDescent="0.2">
      <c r="A10879" s="1" t="str">
        <f>"MRPL55"</f>
        <v>MRPL55</v>
      </c>
      <c r="B10879" t="s">
        <v>14</v>
      </c>
      <c r="C10879" t="s">
        <v>19</v>
      </c>
      <c r="D10879" t="s">
        <v>11</v>
      </c>
      <c r="E10879" t="s">
        <v>12</v>
      </c>
      <c r="F10879">
        <v>228296956</v>
      </c>
      <c r="G10879">
        <v>228297012</v>
      </c>
      <c r="H10879">
        <v>228296944</v>
      </c>
      <c r="I10879">
        <v>228296955</v>
      </c>
    </row>
    <row r="10880" spans="1:9" x14ac:dyDescent="0.2">
      <c r="A10880" s="1" t="str">
        <f>"MRPL9"</f>
        <v>MRPL9</v>
      </c>
      <c r="B10880" t="s">
        <v>14</v>
      </c>
      <c r="C10880" t="s">
        <v>19</v>
      </c>
      <c r="D10880" t="s">
        <v>11</v>
      </c>
      <c r="E10880" t="s">
        <v>12</v>
      </c>
      <c r="F10880">
        <v>151735937</v>
      </c>
      <c r="G10880">
        <v>151735998</v>
      </c>
      <c r="H10880">
        <v>151735937</v>
      </c>
      <c r="I10880">
        <v>151735998</v>
      </c>
    </row>
    <row r="10881" spans="1:9" x14ac:dyDescent="0.2">
      <c r="A10881" s="1" t="str">
        <f>"MRPS10"</f>
        <v>MRPS10</v>
      </c>
      <c r="B10881" t="s">
        <v>14</v>
      </c>
      <c r="C10881" t="s">
        <v>32</v>
      </c>
      <c r="D10881" t="s">
        <v>11</v>
      </c>
      <c r="E10881" t="s">
        <v>12</v>
      </c>
      <c r="F10881">
        <v>42185583</v>
      </c>
      <c r="G10881">
        <v>42185618</v>
      </c>
      <c r="H10881">
        <v>42185583</v>
      </c>
      <c r="I10881">
        <v>42185618</v>
      </c>
    </row>
    <row r="10882" spans="1:9" x14ac:dyDescent="0.2">
      <c r="A10882" s="1" t="str">
        <f>"MRPS11"</f>
        <v>MRPS11</v>
      </c>
      <c r="B10882" t="s">
        <v>14</v>
      </c>
      <c r="C10882" t="s">
        <v>25</v>
      </c>
      <c r="D10882" t="s">
        <v>17</v>
      </c>
      <c r="E10882" t="s">
        <v>12</v>
      </c>
      <c r="F10882">
        <v>89010923</v>
      </c>
      <c r="G10882">
        <v>89010949</v>
      </c>
      <c r="H10882">
        <v>89010900</v>
      </c>
      <c r="I10882">
        <v>89010921</v>
      </c>
    </row>
    <row r="10883" spans="1:9" x14ac:dyDescent="0.2">
      <c r="A10883" s="1" t="str">
        <f>"MRPS12"</f>
        <v>MRPS12</v>
      </c>
      <c r="B10883" t="s">
        <v>14</v>
      </c>
      <c r="C10883" t="s">
        <v>10</v>
      </c>
      <c r="D10883" t="s">
        <v>17</v>
      </c>
      <c r="E10883" t="s">
        <v>12</v>
      </c>
      <c r="F10883">
        <v>39421556</v>
      </c>
      <c r="G10883">
        <v>39421632</v>
      </c>
      <c r="H10883">
        <v>39421556</v>
      </c>
      <c r="I10883">
        <v>39421632</v>
      </c>
    </row>
    <row r="10884" spans="1:9" x14ac:dyDescent="0.2">
      <c r="A10884" s="1" t="str">
        <f>"MRPS14"</f>
        <v>MRPS14</v>
      </c>
      <c r="B10884" t="s">
        <v>14</v>
      </c>
      <c r="C10884" t="s">
        <v>19</v>
      </c>
      <c r="D10884" t="s">
        <v>11</v>
      </c>
      <c r="E10884" t="s">
        <v>12</v>
      </c>
      <c r="F10884">
        <v>174992544</v>
      </c>
      <c r="G10884">
        <v>174992576</v>
      </c>
      <c r="H10884">
        <v>174992544</v>
      </c>
      <c r="I10884">
        <v>174992576</v>
      </c>
    </row>
    <row r="10885" spans="1:9" x14ac:dyDescent="0.2">
      <c r="A10885" s="1" t="str">
        <f>"MRPS15"</f>
        <v>MRPS15</v>
      </c>
      <c r="B10885" t="s">
        <v>14</v>
      </c>
      <c r="C10885" t="s">
        <v>19</v>
      </c>
      <c r="D10885" t="s">
        <v>11</v>
      </c>
      <c r="E10885" t="s">
        <v>12</v>
      </c>
      <c r="F10885">
        <v>36929936</v>
      </c>
      <c r="G10885">
        <v>36929999</v>
      </c>
      <c r="H10885">
        <v>36929919</v>
      </c>
      <c r="I10885">
        <v>36929932</v>
      </c>
    </row>
    <row r="10886" spans="1:9" x14ac:dyDescent="0.2">
      <c r="A10886" s="1" t="str">
        <f>"MRPS16"</f>
        <v>MRPS16</v>
      </c>
      <c r="B10886" t="s">
        <v>14</v>
      </c>
      <c r="C10886" t="s">
        <v>15</v>
      </c>
      <c r="D10886" t="s">
        <v>11</v>
      </c>
      <c r="E10886" t="s">
        <v>12</v>
      </c>
      <c r="F10886">
        <v>75012360</v>
      </c>
      <c r="G10886">
        <v>75012408</v>
      </c>
      <c r="H10886">
        <v>75012310</v>
      </c>
      <c r="I10886">
        <v>75012337</v>
      </c>
    </row>
    <row r="10887" spans="1:9" x14ac:dyDescent="0.2">
      <c r="A10887" s="1" t="str">
        <f>"MRPS17"</f>
        <v>MRPS17</v>
      </c>
      <c r="B10887" t="s">
        <v>14</v>
      </c>
      <c r="C10887" t="s">
        <v>33</v>
      </c>
      <c r="D10887" t="s">
        <v>17</v>
      </c>
      <c r="E10887" t="s">
        <v>12</v>
      </c>
      <c r="F10887">
        <v>56019534</v>
      </c>
      <c r="G10887">
        <v>56019605</v>
      </c>
      <c r="H10887">
        <v>56019534</v>
      </c>
      <c r="I10887">
        <v>56019605</v>
      </c>
    </row>
    <row r="10888" spans="1:9" x14ac:dyDescent="0.2">
      <c r="A10888" s="1" t="str">
        <f>"MRPS18A"</f>
        <v>MRPS18A</v>
      </c>
      <c r="B10888" t="s">
        <v>14</v>
      </c>
      <c r="C10888" t="s">
        <v>32</v>
      </c>
      <c r="D10888" t="s">
        <v>11</v>
      </c>
      <c r="E10888" t="s">
        <v>12</v>
      </c>
      <c r="F10888">
        <v>43655511</v>
      </c>
      <c r="G10888">
        <v>43655545</v>
      </c>
      <c r="H10888">
        <v>43655511</v>
      </c>
      <c r="I10888">
        <v>43655545</v>
      </c>
    </row>
    <row r="10889" spans="1:9" x14ac:dyDescent="0.2">
      <c r="A10889" s="1" t="str">
        <f>"MRPS18B"</f>
        <v>MRPS18B</v>
      </c>
      <c r="B10889" t="s">
        <v>14</v>
      </c>
      <c r="C10889" t="s">
        <v>32</v>
      </c>
      <c r="D10889" t="s">
        <v>17</v>
      </c>
      <c r="E10889" t="s">
        <v>12</v>
      </c>
      <c r="F10889">
        <v>30585602</v>
      </c>
      <c r="G10889">
        <v>30585645</v>
      </c>
      <c r="H10889">
        <v>30585209</v>
      </c>
      <c r="I10889">
        <v>30585238</v>
      </c>
    </row>
    <row r="10890" spans="1:9" x14ac:dyDescent="0.2">
      <c r="A10890" s="1" t="str">
        <f>"MRPS18C"</f>
        <v>MRPS18C</v>
      </c>
      <c r="B10890" t="s">
        <v>14</v>
      </c>
      <c r="C10890" t="s">
        <v>23</v>
      </c>
      <c r="D10890" t="s">
        <v>17</v>
      </c>
      <c r="E10890" t="s">
        <v>12</v>
      </c>
      <c r="F10890">
        <v>84377198</v>
      </c>
      <c r="G10890">
        <v>84377230</v>
      </c>
      <c r="H10890">
        <v>84377115</v>
      </c>
      <c r="I10890">
        <v>84377126</v>
      </c>
    </row>
    <row r="10891" spans="1:9" x14ac:dyDescent="0.2">
      <c r="A10891" s="1" t="str">
        <f>"MRPS2"</f>
        <v>MRPS2</v>
      </c>
      <c r="B10891" t="s">
        <v>14</v>
      </c>
      <c r="C10891" t="s">
        <v>24</v>
      </c>
      <c r="D10891" t="s">
        <v>17</v>
      </c>
      <c r="E10891" t="s">
        <v>12</v>
      </c>
      <c r="F10891">
        <v>138392519</v>
      </c>
      <c r="G10891">
        <v>138392558</v>
      </c>
      <c r="H10891">
        <v>138391805</v>
      </c>
      <c r="I10891">
        <v>138391821</v>
      </c>
    </row>
    <row r="10892" spans="1:9" x14ac:dyDescent="0.2">
      <c r="A10892" s="1" t="str">
        <f>"MRPS21"</f>
        <v>MRPS21</v>
      </c>
      <c r="B10892" t="s">
        <v>14</v>
      </c>
      <c r="C10892" t="s">
        <v>19</v>
      </c>
      <c r="D10892" t="s">
        <v>17</v>
      </c>
      <c r="E10892" t="s">
        <v>12</v>
      </c>
      <c r="F10892">
        <v>150266256</v>
      </c>
      <c r="G10892">
        <v>150266319</v>
      </c>
      <c r="H10892">
        <v>150266491</v>
      </c>
      <c r="I10892">
        <v>150266565</v>
      </c>
    </row>
    <row r="10893" spans="1:9" x14ac:dyDescent="0.2">
      <c r="A10893" s="1" t="str">
        <f>"MRPS22"</f>
        <v>MRPS22</v>
      </c>
      <c r="B10893" t="s">
        <v>14</v>
      </c>
      <c r="C10893" t="s">
        <v>22</v>
      </c>
      <c r="D10893" t="s">
        <v>17</v>
      </c>
      <c r="E10893" t="s">
        <v>12</v>
      </c>
      <c r="F10893">
        <v>139062838</v>
      </c>
      <c r="G10893">
        <v>139062870</v>
      </c>
      <c r="H10893">
        <v>139063372</v>
      </c>
      <c r="I10893">
        <v>139063403</v>
      </c>
    </row>
    <row r="10894" spans="1:9" x14ac:dyDescent="0.2">
      <c r="A10894" s="1" t="str">
        <f>"MRPS23"</f>
        <v>MRPS23</v>
      </c>
      <c r="B10894" t="s">
        <v>14</v>
      </c>
      <c r="C10894" t="s">
        <v>28</v>
      </c>
      <c r="D10894" t="s">
        <v>11</v>
      </c>
      <c r="E10894" t="s">
        <v>12</v>
      </c>
      <c r="F10894">
        <v>55927370</v>
      </c>
      <c r="G10894">
        <v>55927442</v>
      </c>
      <c r="H10894">
        <v>55927370</v>
      </c>
      <c r="I10894">
        <v>55927442</v>
      </c>
    </row>
    <row r="10895" spans="1:9" x14ac:dyDescent="0.2">
      <c r="A10895" s="1" t="str">
        <f>"MRPS24"</f>
        <v>MRPS24</v>
      </c>
      <c r="B10895" t="s">
        <v>14</v>
      </c>
      <c r="C10895" t="s">
        <v>33</v>
      </c>
      <c r="D10895" t="s">
        <v>11</v>
      </c>
      <c r="E10895" t="s">
        <v>12</v>
      </c>
      <c r="F10895">
        <v>43909090</v>
      </c>
      <c r="G10895">
        <v>43909125</v>
      </c>
      <c r="H10895">
        <v>43909498</v>
      </c>
      <c r="I10895">
        <v>43909537</v>
      </c>
    </row>
    <row r="10896" spans="1:9" x14ac:dyDescent="0.2">
      <c r="A10896" s="1" t="str">
        <f>"MRPS25"</f>
        <v>MRPS25</v>
      </c>
      <c r="B10896" t="s">
        <v>14</v>
      </c>
      <c r="C10896" t="s">
        <v>22</v>
      </c>
      <c r="D10896" t="s">
        <v>11</v>
      </c>
      <c r="E10896" t="s">
        <v>12</v>
      </c>
      <c r="F10896">
        <v>15106747</v>
      </c>
      <c r="G10896">
        <v>15106830</v>
      </c>
      <c r="H10896">
        <v>15106747</v>
      </c>
      <c r="I10896">
        <v>15106830</v>
      </c>
    </row>
    <row r="10897" spans="1:9" x14ac:dyDescent="0.2">
      <c r="A10897" s="1" t="str">
        <f>"MRPS26"</f>
        <v>MRPS26</v>
      </c>
      <c r="B10897" t="s">
        <v>14</v>
      </c>
      <c r="C10897" t="s">
        <v>29</v>
      </c>
      <c r="D10897" t="s">
        <v>17</v>
      </c>
      <c r="E10897" t="s">
        <v>12</v>
      </c>
      <c r="F10897">
        <v>3026690</v>
      </c>
      <c r="G10897">
        <v>3026720</v>
      </c>
      <c r="H10897">
        <v>3026661</v>
      </c>
      <c r="I10897">
        <v>3026684</v>
      </c>
    </row>
    <row r="10898" spans="1:9" x14ac:dyDescent="0.2">
      <c r="A10898" s="1" t="str">
        <f>"MRPS27"</f>
        <v>MRPS27</v>
      </c>
      <c r="B10898" t="s">
        <v>14</v>
      </c>
      <c r="C10898" t="s">
        <v>46</v>
      </c>
      <c r="D10898" t="s">
        <v>11</v>
      </c>
      <c r="E10898" t="s">
        <v>12</v>
      </c>
      <c r="F10898">
        <v>71616043</v>
      </c>
      <c r="G10898">
        <v>71616079</v>
      </c>
      <c r="H10898">
        <v>71616043</v>
      </c>
      <c r="I10898">
        <v>71616079</v>
      </c>
    </row>
    <row r="10899" spans="1:9" x14ac:dyDescent="0.2">
      <c r="A10899" s="1" t="str">
        <f>"MRPS28"</f>
        <v>MRPS28</v>
      </c>
      <c r="B10899" t="s">
        <v>14</v>
      </c>
      <c r="C10899" t="s">
        <v>30</v>
      </c>
      <c r="D10899" t="s">
        <v>11</v>
      </c>
      <c r="E10899" t="s">
        <v>12</v>
      </c>
      <c r="F10899">
        <v>80942484</v>
      </c>
      <c r="G10899">
        <v>80942512</v>
      </c>
      <c r="H10899">
        <v>80942139</v>
      </c>
      <c r="I10899">
        <v>80942211</v>
      </c>
    </row>
    <row r="10900" spans="1:9" x14ac:dyDescent="0.2">
      <c r="A10900" s="1" t="str">
        <f>"MRPS30"</f>
        <v>MRPS30</v>
      </c>
      <c r="B10900" t="s">
        <v>14</v>
      </c>
      <c r="C10900" t="s">
        <v>46</v>
      </c>
      <c r="D10900" t="s">
        <v>17</v>
      </c>
      <c r="E10900" t="s">
        <v>12</v>
      </c>
      <c r="F10900">
        <v>44809032</v>
      </c>
      <c r="G10900">
        <v>44809067</v>
      </c>
      <c r="H10900">
        <v>44809082</v>
      </c>
      <c r="I10900">
        <v>44809093</v>
      </c>
    </row>
    <row r="10901" spans="1:9" x14ac:dyDescent="0.2">
      <c r="A10901" s="1" t="str">
        <f>"MRPS31"</f>
        <v>MRPS31</v>
      </c>
      <c r="B10901" t="s">
        <v>14</v>
      </c>
      <c r="C10901" t="s">
        <v>39</v>
      </c>
      <c r="D10901" t="s">
        <v>11</v>
      </c>
      <c r="E10901" t="s">
        <v>12</v>
      </c>
      <c r="F10901">
        <v>41345277</v>
      </c>
      <c r="G10901">
        <v>41345350</v>
      </c>
      <c r="H10901">
        <v>41345080</v>
      </c>
      <c r="I10901">
        <v>41345088</v>
      </c>
    </row>
    <row r="10902" spans="1:9" x14ac:dyDescent="0.2">
      <c r="A10902" s="1" t="str">
        <f>"MRPS33"</f>
        <v>MRPS33</v>
      </c>
      <c r="B10902" t="s">
        <v>14</v>
      </c>
      <c r="C10902" t="s">
        <v>33</v>
      </c>
      <c r="D10902" t="s">
        <v>11</v>
      </c>
      <c r="E10902" t="s">
        <v>12</v>
      </c>
      <c r="F10902">
        <v>140714739</v>
      </c>
      <c r="G10902">
        <v>140714770</v>
      </c>
      <c r="H10902">
        <v>140714430</v>
      </c>
      <c r="I10902">
        <v>140714493</v>
      </c>
    </row>
    <row r="10903" spans="1:9" x14ac:dyDescent="0.2">
      <c r="A10903" s="1" t="str">
        <f>"MRPS34"</f>
        <v>MRPS34</v>
      </c>
      <c r="B10903" t="s">
        <v>14</v>
      </c>
      <c r="C10903" t="s">
        <v>31</v>
      </c>
      <c r="D10903" t="s">
        <v>11</v>
      </c>
      <c r="E10903" t="s">
        <v>12</v>
      </c>
      <c r="F10903">
        <v>1823114</v>
      </c>
      <c r="G10903">
        <v>1823165</v>
      </c>
      <c r="H10903">
        <v>1822895</v>
      </c>
      <c r="I10903">
        <v>1822922</v>
      </c>
    </row>
    <row r="10904" spans="1:9" x14ac:dyDescent="0.2">
      <c r="A10904" s="1" t="str">
        <f>"MRPS35"</f>
        <v>MRPS35</v>
      </c>
      <c r="B10904" t="s">
        <v>14</v>
      </c>
      <c r="C10904" t="s">
        <v>16</v>
      </c>
      <c r="D10904" t="s">
        <v>17</v>
      </c>
      <c r="E10904" t="s">
        <v>12</v>
      </c>
      <c r="F10904">
        <v>27863728</v>
      </c>
      <c r="G10904">
        <v>27863778</v>
      </c>
      <c r="H10904">
        <v>27863728</v>
      </c>
      <c r="I10904">
        <v>27863778</v>
      </c>
    </row>
    <row r="10905" spans="1:9" x14ac:dyDescent="0.2">
      <c r="A10905" s="1" t="str">
        <f>"MRPS36"</f>
        <v>MRPS36</v>
      </c>
      <c r="B10905" t="s">
        <v>14</v>
      </c>
      <c r="C10905" t="s">
        <v>46</v>
      </c>
      <c r="D10905" t="s">
        <v>17</v>
      </c>
      <c r="E10905" t="s">
        <v>12</v>
      </c>
      <c r="F10905">
        <v>68513557</v>
      </c>
      <c r="G10905">
        <v>68513616</v>
      </c>
      <c r="H10905">
        <v>68513622</v>
      </c>
      <c r="I10905">
        <v>68513665</v>
      </c>
    </row>
    <row r="10906" spans="1:9" x14ac:dyDescent="0.2">
      <c r="A10906" s="1" t="str">
        <f>"MRPS5"</f>
        <v>MRPS5</v>
      </c>
      <c r="B10906" t="s">
        <v>14</v>
      </c>
      <c r="C10906" t="s">
        <v>26</v>
      </c>
      <c r="D10906" t="s">
        <v>11</v>
      </c>
      <c r="E10906" t="s">
        <v>12</v>
      </c>
      <c r="F10906">
        <v>95787533</v>
      </c>
      <c r="G10906">
        <v>95787573</v>
      </c>
      <c r="H10906">
        <v>95787716</v>
      </c>
      <c r="I10906">
        <v>95787737</v>
      </c>
    </row>
    <row r="10907" spans="1:9" x14ac:dyDescent="0.2">
      <c r="A10907" s="1" t="str">
        <f>"MRPS6"</f>
        <v>MRPS6</v>
      </c>
      <c r="B10907" t="s">
        <v>14</v>
      </c>
      <c r="C10907" t="s">
        <v>42</v>
      </c>
      <c r="D10907" t="s">
        <v>17</v>
      </c>
      <c r="E10907" t="s">
        <v>12</v>
      </c>
      <c r="F10907">
        <v>35445827</v>
      </c>
      <c r="G10907">
        <v>35445886</v>
      </c>
      <c r="H10907">
        <v>35445496</v>
      </c>
      <c r="I10907">
        <v>35445516</v>
      </c>
    </row>
    <row r="10908" spans="1:9" x14ac:dyDescent="0.2">
      <c r="A10908" s="1" t="str">
        <f>"MRPS7"</f>
        <v>MRPS7</v>
      </c>
      <c r="B10908" t="s">
        <v>14</v>
      </c>
      <c r="C10908" t="s">
        <v>28</v>
      </c>
      <c r="D10908" t="s">
        <v>17</v>
      </c>
      <c r="E10908" t="s">
        <v>12</v>
      </c>
      <c r="F10908">
        <v>73257945</v>
      </c>
      <c r="G10908">
        <v>73257985</v>
      </c>
      <c r="H10908">
        <v>73257742</v>
      </c>
      <c r="I10908">
        <v>73257791</v>
      </c>
    </row>
    <row r="10909" spans="1:9" x14ac:dyDescent="0.2">
      <c r="A10909" s="1" t="str">
        <f>"MRPS9"</f>
        <v>MRPS9</v>
      </c>
      <c r="B10909" t="s">
        <v>14</v>
      </c>
      <c r="C10909" t="s">
        <v>26</v>
      </c>
      <c r="D10909" t="s">
        <v>17</v>
      </c>
      <c r="E10909" t="s">
        <v>12</v>
      </c>
      <c r="F10909">
        <v>105654505</v>
      </c>
      <c r="G10909">
        <v>105654552</v>
      </c>
      <c r="H10909">
        <v>105654505</v>
      </c>
      <c r="I10909">
        <v>105654552</v>
      </c>
    </row>
    <row r="10910" spans="1:9" x14ac:dyDescent="0.2">
      <c r="A10910" s="1" t="str">
        <f>"MRRF"</f>
        <v>MRRF</v>
      </c>
      <c r="B10910" t="s">
        <v>14</v>
      </c>
      <c r="C10910" t="s">
        <v>24</v>
      </c>
      <c r="D10910" t="s">
        <v>17</v>
      </c>
      <c r="E10910" t="s">
        <v>12</v>
      </c>
      <c r="F10910">
        <v>125027127</v>
      </c>
      <c r="G10910">
        <v>125027184</v>
      </c>
      <c r="H10910">
        <v>125027188</v>
      </c>
      <c r="I10910">
        <v>125027204</v>
      </c>
    </row>
    <row r="10911" spans="1:9" x14ac:dyDescent="0.2">
      <c r="A10911" s="1" t="str">
        <f>"MRS2"</f>
        <v>MRS2</v>
      </c>
      <c r="B10911" t="s">
        <v>14</v>
      </c>
      <c r="C10911" t="s">
        <v>32</v>
      </c>
      <c r="D10911" t="s">
        <v>17</v>
      </c>
      <c r="E10911" t="s">
        <v>12</v>
      </c>
      <c r="F10911">
        <v>24403144</v>
      </c>
      <c r="G10911">
        <v>24403224</v>
      </c>
      <c r="H10911">
        <v>24403144</v>
      </c>
      <c r="I10911">
        <v>24403224</v>
      </c>
    </row>
    <row r="10912" spans="1:9" x14ac:dyDescent="0.2">
      <c r="A10912" s="1" t="str">
        <f>"MRTO4"</f>
        <v>MRTO4</v>
      </c>
      <c r="B10912" t="s">
        <v>14</v>
      </c>
      <c r="C10912" t="s">
        <v>19</v>
      </c>
      <c r="D10912" t="s">
        <v>17</v>
      </c>
      <c r="E10912" t="s">
        <v>12</v>
      </c>
      <c r="F10912">
        <v>19578280</v>
      </c>
      <c r="G10912">
        <v>19578334</v>
      </c>
      <c r="H10912">
        <v>19578036</v>
      </c>
      <c r="I10912">
        <v>19578094</v>
      </c>
    </row>
    <row r="10913" spans="1:9" x14ac:dyDescent="0.2">
      <c r="A10913" s="1" t="str">
        <f>"MRVI1"</f>
        <v>MRVI1</v>
      </c>
      <c r="B10913" t="s">
        <v>14</v>
      </c>
      <c r="C10913" t="s">
        <v>27</v>
      </c>
      <c r="D10913" t="s">
        <v>11</v>
      </c>
      <c r="E10913" t="s">
        <v>12</v>
      </c>
      <c r="F10913">
        <v>10715033</v>
      </c>
      <c r="G10913">
        <v>10715105</v>
      </c>
      <c r="H10913">
        <v>10715287</v>
      </c>
      <c r="I10913">
        <v>10715314</v>
      </c>
    </row>
    <row r="10914" spans="1:9" x14ac:dyDescent="0.2">
      <c r="A10914" s="1" t="str">
        <f>"MS4A1"</f>
        <v>MS4A1</v>
      </c>
      <c r="B10914" t="s">
        <v>14</v>
      </c>
      <c r="C10914" t="s">
        <v>27</v>
      </c>
      <c r="D10914" t="s">
        <v>17</v>
      </c>
      <c r="E10914" t="s">
        <v>12</v>
      </c>
      <c r="F10914">
        <v>60223312</v>
      </c>
      <c r="G10914">
        <v>60223353</v>
      </c>
      <c r="H10914">
        <v>60223312</v>
      </c>
      <c r="I10914">
        <v>60223353</v>
      </c>
    </row>
    <row r="10915" spans="1:9" x14ac:dyDescent="0.2">
      <c r="A10915" s="1" t="str">
        <f>"MS4A10"</f>
        <v>MS4A10</v>
      </c>
      <c r="B10915" t="s">
        <v>14</v>
      </c>
      <c r="C10915" t="s">
        <v>27</v>
      </c>
      <c r="D10915" t="s">
        <v>17</v>
      </c>
      <c r="E10915" t="s">
        <v>12</v>
      </c>
      <c r="F10915">
        <v>60552797</v>
      </c>
      <c r="G10915">
        <v>60552859</v>
      </c>
      <c r="H10915">
        <v>60552781</v>
      </c>
      <c r="I10915">
        <v>60552792</v>
      </c>
    </row>
    <row r="10916" spans="1:9" x14ac:dyDescent="0.2">
      <c r="A10916" s="1" t="str">
        <f>"MS4A12"</f>
        <v>MS4A12</v>
      </c>
      <c r="B10916" t="s">
        <v>14</v>
      </c>
      <c r="C10916" t="s">
        <v>27</v>
      </c>
      <c r="D10916" t="s">
        <v>17</v>
      </c>
      <c r="E10916" t="s">
        <v>12</v>
      </c>
      <c r="F10916">
        <v>60260248</v>
      </c>
      <c r="G10916">
        <v>60260251</v>
      </c>
      <c r="H10916">
        <v>60260248</v>
      </c>
      <c r="I10916">
        <v>60260251</v>
      </c>
    </row>
    <row r="10917" spans="1:9" x14ac:dyDescent="0.2">
      <c r="A10917" s="1" t="str">
        <f>"MS4A13"</f>
        <v>MS4A13</v>
      </c>
      <c r="B10917" t="s">
        <v>14</v>
      </c>
      <c r="C10917" t="s">
        <v>27</v>
      </c>
      <c r="D10917" t="s">
        <v>17</v>
      </c>
      <c r="E10917" t="s">
        <v>12</v>
      </c>
      <c r="F10917">
        <v>60282862</v>
      </c>
      <c r="G10917">
        <v>60282871</v>
      </c>
      <c r="H10917">
        <v>60282842</v>
      </c>
      <c r="I10917">
        <v>60282845</v>
      </c>
    </row>
    <row r="10918" spans="1:9" x14ac:dyDescent="0.2">
      <c r="A10918" s="1" t="str">
        <f>"MS4A14"</f>
        <v>MS4A14</v>
      </c>
      <c r="B10918" t="s">
        <v>14</v>
      </c>
      <c r="C10918" t="s">
        <v>27</v>
      </c>
      <c r="D10918" t="s">
        <v>17</v>
      </c>
      <c r="E10918" t="s">
        <v>12</v>
      </c>
      <c r="F10918">
        <v>60145997</v>
      </c>
      <c r="G10918">
        <v>60146040</v>
      </c>
      <c r="H10918">
        <v>60145948</v>
      </c>
      <c r="I10918">
        <v>60145960</v>
      </c>
    </row>
    <row r="10919" spans="1:9" x14ac:dyDescent="0.2">
      <c r="A10919" s="1" t="str">
        <f>"MS4A15"</f>
        <v>MS4A15</v>
      </c>
      <c r="B10919" t="s">
        <v>14</v>
      </c>
      <c r="C10919" t="s">
        <v>27</v>
      </c>
      <c r="D10919" t="s">
        <v>17</v>
      </c>
      <c r="E10919" t="s">
        <v>12</v>
      </c>
      <c r="F10919">
        <v>60534998</v>
      </c>
      <c r="G10919">
        <v>60535015</v>
      </c>
      <c r="H10919">
        <v>60534998</v>
      </c>
      <c r="I10919">
        <v>60535015</v>
      </c>
    </row>
    <row r="10920" spans="1:9" x14ac:dyDescent="0.2">
      <c r="A10920" s="1" t="str">
        <f>"MS4A18"</f>
        <v>MS4A18</v>
      </c>
      <c r="B10920" t="s">
        <v>820</v>
      </c>
      <c r="C10920" t="s">
        <v>27</v>
      </c>
      <c r="D10920" t="s">
        <v>17</v>
      </c>
      <c r="E10920" t="s">
        <v>20</v>
      </c>
      <c r="F10920">
        <v>60496788</v>
      </c>
      <c r="G10920">
        <v>60496788</v>
      </c>
      <c r="H10920">
        <v>60496788</v>
      </c>
      <c r="I10920">
        <v>60496788</v>
      </c>
    </row>
    <row r="10921" spans="1:9" x14ac:dyDescent="0.2">
      <c r="A10921" s="1" t="str">
        <f>"MS4A18"</f>
        <v>MS4A18</v>
      </c>
      <c r="B10921" t="s">
        <v>821</v>
      </c>
      <c r="C10921" t="s">
        <v>27</v>
      </c>
      <c r="D10921" t="s">
        <v>17</v>
      </c>
      <c r="E10921" t="s">
        <v>20</v>
      </c>
      <c r="F10921">
        <v>60501006</v>
      </c>
      <c r="G10921">
        <v>60501006</v>
      </c>
      <c r="H10921">
        <v>60501006</v>
      </c>
      <c r="I10921">
        <v>60501006</v>
      </c>
    </row>
    <row r="10922" spans="1:9" x14ac:dyDescent="0.2">
      <c r="A10922" s="1" t="str">
        <f>"MS4A2"</f>
        <v>MS4A2</v>
      </c>
      <c r="B10922" t="s">
        <v>14</v>
      </c>
      <c r="C10922" t="s">
        <v>27</v>
      </c>
      <c r="D10922" t="s">
        <v>17</v>
      </c>
      <c r="E10922" t="s">
        <v>12</v>
      </c>
      <c r="F10922">
        <v>59856130</v>
      </c>
      <c r="G10922">
        <v>59856143</v>
      </c>
      <c r="H10922">
        <v>59855724</v>
      </c>
      <c r="I10922">
        <v>59855746</v>
      </c>
    </row>
    <row r="10923" spans="1:9" x14ac:dyDescent="0.2">
      <c r="A10923" s="1" t="str">
        <f>"MS4A3"</f>
        <v>MS4A3</v>
      </c>
      <c r="B10923" t="s">
        <v>14</v>
      </c>
      <c r="C10923" t="s">
        <v>27</v>
      </c>
      <c r="D10923" t="s">
        <v>17</v>
      </c>
      <c r="E10923" t="s">
        <v>12</v>
      </c>
      <c r="F10923">
        <v>59824127</v>
      </c>
      <c r="G10923">
        <v>59824161</v>
      </c>
      <c r="H10923">
        <v>59824113</v>
      </c>
      <c r="I10923">
        <v>59824125</v>
      </c>
    </row>
    <row r="10924" spans="1:9" x14ac:dyDescent="0.2">
      <c r="A10924" s="1" t="str">
        <f>"MS4A4A"</f>
        <v>MS4A4A</v>
      </c>
      <c r="B10924" t="s">
        <v>14</v>
      </c>
      <c r="C10924" t="s">
        <v>27</v>
      </c>
      <c r="D10924" t="s">
        <v>17</v>
      </c>
      <c r="E10924" t="s">
        <v>12</v>
      </c>
      <c r="F10924">
        <v>60048131</v>
      </c>
      <c r="G10924">
        <v>60048154</v>
      </c>
      <c r="H10924">
        <v>60048004</v>
      </c>
      <c r="I10924">
        <v>60048017</v>
      </c>
    </row>
    <row r="10925" spans="1:9" x14ac:dyDescent="0.2">
      <c r="A10925" s="1" t="str">
        <f>"MS4A4E"</f>
        <v>MS4A4E</v>
      </c>
      <c r="B10925" t="s">
        <v>14</v>
      </c>
      <c r="C10925" t="s">
        <v>27</v>
      </c>
      <c r="D10925" t="s">
        <v>11</v>
      </c>
      <c r="E10925" t="s">
        <v>12</v>
      </c>
      <c r="F10925">
        <v>60010577</v>
      </c>
      <c r="G10925">
        <v>60010635</v>
      </c>
      <c r="H10925">
        <v>60010478</v>
      </c>
      <c r="I10925">
        <v>60010486</v>
      </c>
    </row>
    <row r="10926" spans="1:9" x14ac:dyDescent="0.2">
      <c r="A10926" s="1" t="str">
        <f>"MS4A5"</f>
        <v>MS4A5</v>
      </c>
      <c r="B10926" t="s">
        <v>14</v>
      </c>
      <c r="C10926" t="s">
        <v>27</v>
      </c>
      <c r="D10926" t="s">
        <v>17</v>
      </c>
      <c r="E10926" t="s">
        <v>12</v>
      </c>
      <c r="F10926">
        <v>60197040</v>
      </c>
      <c r="G10926">
        <v>60197059</v>
      </c>
      <c r="H10926">
        <v>60197069</v>
      </c>
      <c r="I10926">
        <v>60197079</v>
      </c>
    </row>
    <row r="10927" spans="1:9" x14ac:dyDescent="0.2">
      <c r="A10927" s="1" t="str">
        <f>"MS4A6A"</f>
        <v>MS4A6A</v>
      </c>
      <c r="B10927" t="s">
        <v>14</v>
      </c>
      <c r="C10927" t="s">
        <v>27</v>
      </c>
      <c r="D10927" t="s">
        <v>11</v>
      </c>
      <c r="E10927" t="s">
        <v>12</v>
      </c>
      <c r="F10927">
        <v>59950519</v>
      </c>
      <c r="G10927">
        <v>59950605</v>
      </c>
      <c r="H10927">
        <v>59950486</v>
      </c>
      <c r="I10927">
        <v>59950515</v>
      </c>
    </row>
    <row r="10928" spans="1:9" x14ac:dyDescent="0.2">
      <c r="A10928" s="1" t="str">
        <f>"MS4A6E"</f>
        <v>MS4A6E</v>
      </c>
      <c r="B10928" t="s">
        <v>14</v>
      </c>
      <c r="C10928" t="s">
        <v>27</v>
      </c>
      <c r="D10928" t="s">
        <v>17</v>
      </c>
      <c r="E10928" t="s">
        <v>12</v>
      </c>
      <c r="F10928">
        <v>60102449</v>
      </c>
      <c r="G10928">
        <v>60102479</v>
      </c>
      <c r="H10928">
        <v>60102449</v>
      </c>
      <c r="I10928">
        <v>60102479</v>
      </c>
    </row>
    <row r="10929" spans="1:9" x14ac:dyDescent="0.2">
      <c r="A10929" s="1" t="str">
        <f>"MS4A7"</f>
        <v>MS4A7</v>
      </c>
      <c r="B10929" t="s">
        <v>14</v>
      </c>
      <c r="C10929" t="s">
        <v>27</v>
      </c>
      <c r="D10929" t="s">
        <v>17</v>
      </c>
      <c r="E10929" t="s">
        <v>12</v>
      </c>
      <c r="F10929">
        <v>60145997</v>
      </c>
      <c r="G10929">
        <v>60146040</v>
      </c>
      <c r="H10929">
        <v>60145948</v>
      </c>
      <c r="I10929">
        <v>60145960</v>
      </c>
    </row>
    <row r="10930" spans="1:9" x14ac:dyDescent="0.2">
      <c r="A10930" s="1" t="str">
        <f>"MS4A8"</f>
        <v>MS4A8</v>
      </c>
      <c r="B10930" t="s">
        <v>14</v>
      </c>
      <c r="C10930" t="s">
        <v>27</v>
      </c>
      <c r="D10930" t="s">
        <v>17</v>
      </c>
      <c r="E10930" t="s">
        <v>12</v>
      </c>
      <c r="F10930">
        <v>60467078</v>
      </c>
      <c r="G10930">
        <v>60467140</v>
      </c>
      <c r="H10930">
        <v>60467142</v>
      </c>
      <c r="I10930">
        <v>60467175</v>
      </c>
    </row>
    <row r="10931" spans="1:9" x14ac:dyDescent="0.2">
      <c r="A10931" s="1" t="str">
        <f>"MSANTD1"</f>
        <v>MSANTD1</v>
      </c>
      <c r="B10931" t="s">
        <v>14</v>
      </c>
      <c r="C10931" t="s">
        <v>23</v>
      </c>
      <c r="D10931" t="s">
        <v>17</v>
      </c>
      <c r="E10931" t="s">
        <v>12</v>
      </c>
      <c r="F10931">
        <v>3250866</v>
      </c>
      <c r="G10931">
        <v>3250905</v>
      </c>
      <c r="H10931">
        <v>3250866</v>
      </c>
      <c r="I10931">
        <v>3250905</v>
      </c>
    </row>
    <row r="10932" spans="1:9" x14ac:dyDescent="0.2">
      <c r="A10932" s="1" t="str">
        <f>"MSANTD2"</f>
        <v>MSANTD2</v>
      </c>
      <c r="B10932" t="s">
        <v>14</v>
      </c>
      <c r="C10932" t="s">
        <v>27</v>
      </c>
      <c r="D10932" t="s">
        <v>11</v>
      </c>
      <c r="E10932" t="s">
        <v>12</v>
      </c>
      <c r="F10932">
        <v>124670273</v>
      </c>
      <c r="G10932">
        <v>124670316</v>
      </c>
      <c r="H10932">
        <v>124670550</v>
      </c>
      <c r="I10932">
        <v>124670574</v>
      </c>
    </row>
    <row r="10933" spans="1:9" x14ac:dyDescent="0.2">
      <c r="A10933" s="1" t="str">
        <f>"MSANTD3"</f>
        <v>MSANTD3</v>
      </c>
      <c r="B10933" t="s">
        <v>14</v>
      </c>
      <c r="C10933" t="s">
        <v>24</v>
      </c>
      <c r="D10933" t="s">
        <v>17</v>
      </c>
      <c r="E10933" t="s">
        <v>12</v>
      </c>
      <c r="F10933">
        <v>103189405</v>
      </c>
      <c r="G10933">
        <v>103189455</v>
      </c>
      <c r="H10933">
        <v>103189536</v>
      </c>
      <c r="I10933">
        <v>103189601</v>
      </c>
    </row>
    <row r="10934" spans="1:9" x14ac:dyDescent="0.2">
      <c r="A10934" s="1" t="str">
        <f>"MSANTD3-TMEFF1"</f>
        <v>MSANTD3-TMEFF1</v>
      </c>
      <c r="B10934" t="s">
        <v>14</v>
      </c>
      <c r="C10934" t="s">
        <v>24</v>
      </c>
      <c r="D10934" t="s">
        <v>17</v>
      </c>
      <c r="E10934" t="s">
        <v>12</v>
      </c>
      <c r="F10934">
        <v>103204175</v>
      </c>
      <c r="G10934">
        <v>103204193</v>
      </c>
      <c r="H10934">
        <v>103204175</v>
      </c>
      <c r="I10934">
        <v>103204193</v>
      </c>
    </row>
    <row r="10935" spans="1:9" x14ac:dyDescent="0.2">
      <c r="A10935" s="1" t="str">
        <f>"MSANTD4"</f>
        <v>MSANTD4</v>
      </c>
      <c r="B10935" t="s">
        <v>14</v>
      </c>
      <c r="C10935" t="s">
        <v>27</v>
      </c>
      <c r="D10935" t="s">
        <v>11</v>
      </c>
      <c r="E10935" t="s">
        <v>12</v>
      </c>
      <c r="F10935">
        <v>105892937</v>
      </c>
      <c r="G10935">
        <v>105892985</v>
      </c>
      <c r="H10935">
        <v>105892916</v>
      </c>
      <c r="I10935">
        <v>105892928</v>
      </c>
    </row>
    <row r="10936" spans="1:9" x14ac:dyDescent="0.2">
      <c r="A10936" s="1" t="str">
        <f>"MSC"</f>
        <v>MSC</v>
      </c>
      <c r="B10936" t="s">
        <v>14</v>
      </c>
      <c r="C10936" t="s">
        <v>30</v>
      </c>
      <c r="D10936" t="s">
        <v>11</v>
      </c>
      <c r="E10936" t="s">
        <v>12</v>
      </c>
      <c r="F10936">
        <v>72756063</v>
      </c>
      <c r="G10936">
        <v>72756125</v>
      </c>
      <c r="H10936">
        <v>72756667</v>
      </c>
      <c r="I10936">
        <v>72756736</v>
      </c>
    </row>
    <row r="10937" spans="1:9" x14ac:dyDescent="0.2">
      <c r="A10937" s="1" t="str">
        <f>"MSGN1"</f>
        <v>MSGN1</v>
      </c>
      <c r="B10937" t="s">
        <v>14</v>
      </c>
      <c r="C10937" t="s">
        <v>26</v>
      </c>
      <c r="D10937" t="s">
        <v>17</v>
      </c>
      <c r="E10937" t="s">
        <v>12</v>
      </c>
      <c r="F10937">
        <v>17997725</v>
      </c>
      <c r="G10937">
        <v>17997730</v>
      </c>
      <c r="H10937">
        <v>17997725</v>
      </c>
      <c r="I10937">
        <v>17997730</v>
      </c>
    </row>
    <row r="10938" spans="1:9" x14ac:dyDescent="0.2">
      <c r="A10938" s="1" t="str">
        <f>"MSH2"</f>
        <v>MSH2</v>
      </c>
      <c r="B10938" t="s">
        <v>14</v>
      </c>
      <c r="C10938" t="s">
        <v>26</v>
      </c>
      <c r="D10938" t="s">
        <v>17</v>
      </c>
      <c r="E10938" t="s">
        <v>12</v>
      </c>
      <c r="F10938">
        <v>47630255</v>
      </c>
      <c r="G10938">
        <v>47630333</v>
      </c>
      <c r="H10938">
        <v>47630213</v>
      </c>
      <c r="I10938">
        <v>47630233</v>
      </c>
    </row>
    <row r="10939" spans="1:9" x14ac:dyDescent="0.2">
      <c r="A10939" s="1" t="str">
        <f>"MSH3"</f>
        <v>MSH3</v>
      </c>
      <c r="B10939" t="s">
        <v>14</v>
      </c>
      <c r="C10939" t="s">
        <v>46</v>
      </c>
      <c r="D10939" t="s">
        <v>17</v>
      </c>
      <c r="E10939" t="s">
        <v>12</v>
      </c>
      <c r="F10939">
        <v>79950463</v>
      </c>
      <c r="G10939">
        <v>79950487</v>
      </c>
      <c r="H10939">
        <v>79950496</v>
      </c>
      <c r="I10939">
        <v>79950522</v>
      </c>
    </row>
    <row r="10940" spans="1:9" x14ac:dyDescent="0.2">
      <c r="A10940" s="1" t="str">
        <f>"MSH4"</f>
        <v>MSH4</v>
      </c>
      <c r="B10940" t="s">
        <v>14</v>
      </c>
      <c r="C10940" t="s">
        <v>19</v>
      </c>
      <c r="D10940" t="s">
        <v>17</v>
      </c>
      <c r="E10940" t="s">
        <v>12</v>
      </c>
      <c r="F10940">
        <v>76262552</v>
      </c>
      <c r="G10940">
        <v>76262588</v>
      </c>
      <c r="H10940">
        <v>76262592</v>
      </c>
      <c r="I10940">
        <v>76262597</v>
      </c>
    </row>
    <row r="10941" spans="1:9" x14ac:dyDescent="0.2">
      <c r="A10941" s="1" t="str">
        <f>"MSH5"</f>
        <v>MSH5</v>
      </c>
      <c r="B10941" t="s">
        <v>14</v>
      </c>
      <c r="C10941" t="s">
        <v>32</v>
      </c>
      <c r="D10941" t="s">
        <v>17</v>
      </c>
      <c r="E10941" t="s">
        <v>12</v>
      </c>
      <c r="F10941">
        <v>31707743</v>
      </c>
      <c r="G10941">
        <v>31707794</v>
      </c>
      <c r="H10941">
        <v>31708130</v>
      </c>
      <c r="I10941">
        <v>31708176</v>
      </c>
    </row>
    <row r="10942" spans="1:9" x14ac:dyDescent="0.2">
      <c r="A10942" s="1" t="str">
        <f>"MSH6"</f>
        <v>MSH6</v>
      </c>
      <c r="B10942" t="s">
        <v>14</v>
      </c>
      <c r="C10942" t="s">
        <v>26</v>
      </c>
      <c r="D10942" t="s">
        <v>17</v>
      </c>
      <c r="E10942" t="s">
        <v>12</v>
      </c>
      <c r="F10942">
        <v>48010276</v>
      </c>
      <c r="G10942">
        <v>48010307</v>
      </c>
      <c r="H10942">
        <v>48010312</v>
      </c>
      <c r="I10942">
        <v>48010328</v>
      </c>
    </row>
    <row r="10943" spans="1:9" x14ac:dyDescent="0.2">
      <c r="A10943" s="1" t="str">
        <f>"MSI1"</f>
        <v>MSI1</v>
      </c>
      <c r="B10943" t="s">
        <v>14</v>
      </c>
      <c r="C10943" t="s">
        <v>16</v>
      </c>
      <c r="D10943" t="s">
        <v>11</v>
      </c>
      <c r="E10943" t="s">
        <v>12</v>
      </c>
      <c r="F10943">
        <v>120806986</v>
      </c>
      <c r="G10943">
        <v>120807021</v>
      </c>
      <c r="H10943">
        <v>120806960</v>
      </c>
      <c r="I10943">
        <v>120806985</v>
      </c>
    </row>
    <row r="10944" spans="1:9" x14ac:dyDescent="0.2">
      <c r="A10944" s="1" t="str">
        <f>"MSI2"</f>
        <v>MSI2</v>
      </c>
      <c r="B10944" t="s">
        <v>14</v>
      </c>
      <c r="C10944" t="s">
        <v>28</v>
      </c>
      <c r="D10944" t="s">
        <v>17</v>
      </c>
      <c r="E10944" t="s">
        <v>12</v>
      </c>
      <c r="F10944">
        <v>55333876</v>
      </c>
      <c r="G10944">
        <v>55333939</v>
      </c>
      <c r="H10944">
        <v>55333997</v>
      </c>
      <c r="I10944">
        <v>55334044</v>
      </c>
    </row>
    <row r="10945" spans="1:9" x14ac:dyDescent="0.2">
      <c r="A10945" s="1" t="str">
        <f>"MSL1"</f>
        <v>MSL1</v>
      </c>
      <c r="B10945" t="s">
        <v>14</v>
      </c>
      <c r="C10945" t="s">
        <v>28</v>
      </c>
      <c r="D10945" t="s">
        <v>17</v>
      </c>
      <c r="E10945" t="s">
        <v>12</v>
      </c>
      <c r="F10945">
        <v>38278530</v>
      </c>
      <c r="G10945">
        <v>38278605</v>
      </c>
      <c r="H10945">
        <v>38278209</v>
      </c>
      <c r="I10945">
        <v>38278250</v>
      </c>
    </row>
    <row r="10946" spans="1:9" x14ac:dyDescent="0.2">
      <c r="A10946" s="1" t="str">
        <f>"MSL2"</f>
        <v>MSL2</v>
      </c>
      <c r="B10946" t="s">
        <v>14</v>
      </c>
      <c r="C10946" t="s">
        <v>22</v>
      </c>
      <c r="D10946" t="s">
        <v>11</v>
      </c>
      <c r="E10946" t="s">
        <v>12</v>
      </c>
      <c r="F10946">
        <v>135915146</v>
      </c>
      <c r="G10946">
        <v>135915194</v>
      </c>
      <c r="H10946">
        <v>135915086</v>
      </c>
      <c r="I10946">
        <v>135915144</v>
      </c>
    </row>
    <row r="10947" spans="1:9" x14ac:dyDescent="0.2">
      <c r="A10947" s="1" t="str">
        <f>"MSL3"</f>
        <v>MSL3</v>
      </c>
      <c r="B10947" t="s">
        <v>14</v>
      </c>
      <c r="C10947" t="s">
        <v>37</v>
      </c>
      <c r="D10947" t="s">
        <v>17</v>
      </c>
      <c r="E10947" t="s">
        <v>12</v>
      </c>
      <c r="F10947">
        <v>11776316</v>
      </c>
      <c r="G10947">
        <v>11776377</v>
      </c>
      <c r="H10947">
        <v>11776316</v>
      </c>
      <c r="I10947">
        <v>11776377</v>
      </c>
    </row>
    <row r="10948" spans="1:9" x14ac:dyDescent="0.2">
      <c r="A10948" s="1" t="str">
        <f>"MSLN"</f>
        <v>MSLN</v>
      </c>
      <c r="B10948" t="s">
        <v>14</v>
      </c>
      <c r="C10948" t="s">
        <v>31</v>
      </c>
      <c r="D10948" t="s">
        <v>17</v>
      </c>
      <c r="E10948" t="s">
        <v>12</v>
      </c>
      <c r="F10948">
        <v>811073</v>
      </c>
      <c r="G10948">
        <v>811139</v>
      </c>
      <c r="H10948">
        <v>810728</v>
      </c>
      <c r="I10948">
        <v>810749</v>
      </c>
    </row>
    <row r="10949" spans="1:9" x14ac:dyDescent="0.2">
      <c r="A10949" s="1" t="str">
        <f>"MSMB"</f>
        <v>MSMB</v>
      </c>
      <c r="B10949" t="s">
        <v>9</v>
      </c>
      <c r="C10949" t="s">
        <v>15</v>
      </c>
      <c r="D10949" t="s">
        <v>17</v>
      </c>
      <c r="E10949" t="s">
        <v>12</v>
      </c>
      <c r="F10949">
        <v>51549546</v>
      </c>
      <c r="G10949">
        <v>51549557</v>
      </c>
      <c r="H10949">
        <v>51549546</v>
      </c>
      <c r="I10949">
        <v>51549557</v>
      </c>
    </row>
    <row r="10950" spans="1:9" x14ac:dyDescent="0.2">
      <c r="A10950" s="1" t="str">
        <f>"MSMB"</f>
        <v>MSMB</v>
      </c>
      <c r="B10950" t="s">
        <v>13</v>
      </c>
      <c r="C10950" t="s">
        <v>15</v>
      </c>
      <c r="D10950" t="s">
        <v>17</v>
      </c>
      <c r="E10950" t="s">
        <v>12</v>
      </c>
      <c r="F10950">
        <v>51555715</v>
      </c>
      <c r="G10950">
        <v>51555724</v>
      </c>
      <c r="H10950">
        <v>51555715</v>
      </c>
      <c r="I10950">
        <v>51555724</v>
      </c>
    </row>
    <row r="10951" spans="1:9" x14ac:dyDescent="0.2">
      <c r="A10951" s="1" t="str">
        <f>"MSMO1"</f>
        <v>MSMO1</v>
      </c>
      <c r="B10951" t="s">
        <v>14</v>
      </c>
      <c r="C10951" t="s">
        <v>23</v>
      </c>
      <c r="D10951" t="s">
        <v>17</v>
      </c>
      <c r="E10951" t="s">
        <v>12</v>
      </c>
      <c r="F10951">
        <v>166248811</v>
      </c>
      <c r="G10951">
        <v>166248901</v>
      </c>
      <c r="H10951">
        <v>166248811</v>
      </c>
      <c r="I10951">
        <v>166248901</v>
      </c>
    </row>
    <row r="10952" spans="1:9" x14ac:dyDescent="0.2">
      <c r="A10952" s="1" t="str">
        <f>"MSMP"</f>
        <v>MSMP</v>
      </c>
      <c r="B10952" t="s">
        <v>14</v>
      </c>
      <c r="C10952" t="s">
        <v>24</v>
      </c>
      <c r="D10952" t="s">
        <v>11</v>
      </c>
      <c r="E10952" t="s">
        <v>12</v>
      </c>
      <c r="F10952">
        <v>35754253</v>
      </c>
      <c r="G10952">
        <v>35754279</v>
      </c>
      <c r="H10952">
        <v>35754253</v>
      </c>
      <c r="I10952">
        <v>35754279</v>
      </c>
    </row>
    <row r="10953" spans="1:9" x14ac:dyDescent="0.2">
      <c r="A10953" s="1" t="str">
        <f>"MSN"</f>
        <v>MSN</v>
      </c>
      <c r="B10953" t="s">
        <v>14</v>
      </c>
      <c r="C10953" t="s">
        <v>37</v>
      </c>
      <c r="D10953" t="s">
        <v>17</v>
      </c>
      <c r="E10953" t="s">
        <v>12</v>
      </c>
      <c r="F10953">
        <v>64887512</v>
      </c>
      <c r="G10953">
        <v>64887528</v>
      </c>
      <c r="H10953">
        <v>64887471</v>
      </c>
      <c r="I10953">
        <v>64887498</v>
      </c>
    </row>
    <row r="10954" spans="1:9" x14ac:dyDescent="0.2">
      <c r="A10954" s="1" t="str">
        <f>"MSR1"</f>
        <v>MSR1</v>
      </c>
      <c r="B10954" t="s">
        <v>14</v>
      </c>
      <c r="C10954" t="s">
        <v>30</v>
      </c>
      <c r="D10954" t="s">
        <v>11</v>
      </c>
      <c r="E10954" t="s">
        <v>12</v>
      </c>
      <c r="F10954">
        <v>16050142</v>
      </c>
      <c r="G10954">
        <v>16050168</v>
      </c>
      <c r="H10954">
        <v>16050214</v>
      </c>
      <c r="I10954">
        <v>16050227</v>
      </c>
    </row>
    <row r="10955" spans="1:9" x14ac:dyDescent="0.2">
      <c r="A10955" s="1" t="str">
        <f>"MSRA"</f>
        <v>MSRA</v>
      </c>
      <c r="B10955" t="s">
        <v>14</v>
      </c>
      <c r="C10955" t="s">
        <v>30</v>
      </c>
      <c r="D10955" t="s">
        <v>17</v>
      </c>
      <c r="E10955" t="s">
        <v>12</v>
      </c>
      <c r="F10955">
        <v>9911779</v>
      </c>
      <c r="G10955">
        <v>9911871</v>
      </c>
      <c r="H10955">
        <v>9911693</v>
      </c>
      <c r="I10955">
        <v>9911774</v>
      </c>
    </row>
    <row r="10956" spans="1:9" x14ac:dyDescent="0.2">
      <c r="A10956" s="1" t="str">
        <f>"MSRB1"</f>
        <v>MSRB1</v>
      </c>
      <c r="B10956" t="s">
        <v>14</v>
      </c>
      <c r="C10956" t="s">
        <v>31</v>
      </c>
      <c r="D10956" t="s">
        <v>11</v>
      </c>
      <c r="E10956" t="s">
        <v>12</v>
      </c>
      <c r="F10956">
        <v>1993170</v>
      </c>
      <c r="G10956">
        <v>1993226</v>
      </c>
      <c r="H10956">
        <v>1993230</v>
      </c>
      <c r="I10956">
        <v>1993248</v>
      </c>
    </row>
    <row r="10957" spans="1:9" x14ac:dyDescent="0.2">
      <c r="A10957" s="1" t="str">
        <f>"MSRB2"</f>
        <v>MSRB2</v>
      </c>
      <c r="B10957" t="s">
        <v>14</v>
      </c>
      <c r="C10957" t="s">
        <v>15</v>
      </c>
      <c r="D10957" t="s">
        <v>17</v>
      </c>
      <c r="E10957" t="s">
        <v>12</v>
      </c>
      <c r="F10957">
        <v>23384485</v>
      </c>
      <c r="G10957">
        <v>23384525</v>
      </c>
      <c r="H10957">
        <v>23384529</v>
      </c>
      <c r="I10957">
        <v>23384540</v>
      </c>
    </row>
    <row r="10958" spans="1:9" x14ac:dyDescent="0.2">
      <c r="A10958" s="1" t="str">
        <f>"MSRB3"</f>
        <v>MSRB3</v>
      </c>
      <c r="B10958" t="s">
        <v>14</v>
      </c>
      <c r="C10958" t="s">
        <v>16</v>
      </c>
      <c r="D10958" t="s">
        <v>17</v>
      </c>
      <c r="E10958" t="s">
        <v>12</v>
      </c>
      <c r="F10958">
        <v>65672443</v>
      </c>
      <c r="G10958">
        <v>65672553</v>
      </c>
      <c r="H10958">
        <v>65672321</v>
      </c>
      <c r="I10958">
        <v>65672354</v>
      </c>
    </row>
    <row r="10959" spans="1:9" x14ac:dyDescent="0.2">
      <c r="A10959" s="1" t="str">
        <f>"MSS51"</f>
        <v>MSS51</v>
      </c>
      <c r="B10959" t="s">
        <v>14</v>
      </c>
      <c r="C10959" t="s">
        <v>15</v>
      </c>
      <c r="D10959" t="s">
        <v>11</v>
      </c>
      <c r="E10959" t="s">
        <v>12</v>
      </c>
      <c r="F10959">
        <v>75193308</v>
      </c>
      <c r="G10959">
        <v>75193325</v>
      </c>
      <c r="H10959">
        <v>75193308</v>
      </c>
      <c r="I10959">
        <v>75193325</v>
      </c>
    </row>
    <row r="10960" spans="1:9" x14ac:dyDescent="0.2">
      <c r="A10960" s="1" t="str">
        <f>"MST1"</f>
        <v>MST1</v>
      </c>
      <c r="B10960" t="s">
        <v>822</v>
      </c>
      <c r="C10960" t="s">
        <v>22</v>
      </c>
      <c r="D10960" t="s">
        <v>11</v>
      </c>
      <c r="E10960" t="s">
        <v>20</v>
      </c>
      <c r="F10960">
        <v>49726485</v>
      </c>
      <c r="G10960">
        <v>49726485</v>
      </c>
      <c r="H10960">
        <v>49726485</v>
      </c>
      <c r="I10960">
        <v>49726485</v>
      </c>
    </row>
    <row r="10961" spans="1:9" x14ac:dyDescent="0.2">
      <c r="A10961" s="1" t="str">
        <f>"MST1R"</f>
        <v>MST1R</v>
      </c>
      <c r="B10961" t="s">
        <v>14</v>
      </c>
      <c r="C10961" t="s">
        <v>22</v>
      </c>
      <c r="D10961" t="s">
        <v>11</v>
      </c>
      <c r="E10961" t="s">
        <v>12</v>
      </c>
      <c r="F10961">
        <v>49941296</v>
      </c>
      <c r="G10961">
        <v>49941314</v>
      </c>
      <c r="H10961">
        <v>49941296</v>
      </c>
      <c r="I10961">
        <v>49941314</v>
      </c>
    </row>
    <row r="10962" spans="1:9" x14ac:dyDescent="0.2">
      <c r="A10962" s="1" t="str">
        <f>"MST4"</f>
        <v>MST4</v>
      </c>
      <c r="B10962" t="s">
        <v>14</v>
      </c>
      <c r="C10962" t="s">
        <v>37</v>
      </c>
      <c r="D10962" t="s">
        <v>17</v>
      </c>
      <c r="E10962" t="s">
        <v>12</v>
      </c>
      <c r="F10962">
        <v>131157322</v>
      </c>
      <c r="G10962">
        <v>131157339</v>
      </c>
      <c r="H10962">
        <v>131157290</v>
      </c>
      <c r="I10962">
        <v>131157309</v>
      </c>
    </row>
    <row r="10963" spans="1:9" x14ac:dyDescent="0.2">
      <c r="A10963" s="1" t="str">
        <f>"MSTN"</f>
        <v>MSTN</v>
      </c>
      <c r="B10963" t="s">
        <v>14</v>
      </c>
      <c r="C10963" t="s">
        <v>26</v>
      </c>
      <c r="D10963" t="s">
        <v>11</v>
      </c>
      <c r="E10963" t="s">
        <v>12</v>
      </c>
      <c r="F10963">
        <v>190927447</v>
      </c>
      <c r="G10963">
        <v>190927466</v>
      </c>
      <c r="H10963">
        <v>190927447</v>
      </c>
      <c r="I10963">
        <v>190927466</v>
      </c>
    </row>
    <row r="10964" spans="1:9" x14ac:dyDescent="0.2">
      <c r="A10964" s="1" t="str">
        <f>"MSTO1"</f>
        <v>MSTO1</v>
      </c>
      <c r="B10964" t="s">
        <v>14</v>
      </c>
      <c r="C10964" t="s">
        <v>19</v>
      </c>
      <c r="D10964" t="s">
        <v>17</v>
      </c>
      <c r="E10964" t="s">
        <v>12</v>
      </c>
      <c r="F10964">
        <v>155582403</v>
      </c>
      <c r="G10964">
        <v>155582420</v>
      </c>
      <c r="H10964">
        <v>155582403</v>
      </c>
      <c r="I10964">
        <v>155582420</v>
      </c>
    </row>
    <row r="10965" spans="1:9" x14ac:dyDescent="0.2">
      <c r="A10965" s="1" t="str">
        <f>"MSX1"</f>
        <v>MSX1</v>
      </c>
      <c r="B10965" t="s">
        <v>14</v>
      </c>
      <c r="C10965" t="s">
        <v>23</v>
      </c>
      <c r="D10965" t="s">
        <v>17</v>
      </c>
      <c r="E10965" t="s">
        <v>12</v>
      </c>
      <c r="F10965">
        <v>4861385</v>
      </c>
      <c r="G10965">
        <v>4861398</v>
      </c>
      <c r="H10965">
        <v>4861385</v>
      </c>
      <c r="I10965">
        <v>4861398</v>
      </c>
    </row>
    <row r="10966" spans="1:9" x14ac:dyDescent="0.2">
      <c r="A10966" s="1" t="str">
        <f>"MSX2"</f>
        <v>MSX2</v>
      </c>
      <c r="B10966" t="s">
        <v>14</v>
      </c>
      <c r="C10966" t="s">
        <v>46</v>
      </c>
      <c r="D10966" t="s">
        <v>17</v>
      </c>
      <c r="E10966" t="s">
        <v>12</v>
      </c>
      <c r="F10966">
        <v>174151553</v>
      </c>
      <c r="G10966">
        <v>174151610</v>
      </c>
      <c r="H10966">
        <v>174151612</v>
      </c>
      <c r="I10966">
        <v>174151633</v>
      </c>
    </row>
    <row r="10967" spans="1:9" x14ac:dyDescent="0.2">
      <c r="A10967" s="1" t="str">
        <f>"MT1A"</f>
        <v>MT1A</v>
      </c>
      <c r="B10967" t="s">
        <v>823</v>
      </c>
      <c r="C10967" t="s">
        <v>31</v>
      </c>
      <c r="D10967" t="s">
        <v>17</v>
      </c>
      <c r="E10967" t="s">
        <v>35</v>
      </c>
      <c r="F10967">
        <v>56672442</v>
      </c>
      <c r="G10967">
        <v>56672456</v>
      </c>
      <c r="H10967">
        <v>56672571</v>
      </c>
      <c r="I10967">
        <v>56672587</v>
      </c>
    </row>
    <row r="10968" spans="1:9" x14ac:dyDescent="0.2">
      <c r="A10968" s="1" t="str">
        <f>"MT1B"</f>
        <v>MT1B</v>
      </c>
      <c r="B10968" t="s">
        <v>14</v>
      </c>
      <c r="C10968" t="s">
        <v>31</v>
      </c>
      <c r="D10968" t="s">
        <v>17</v>
      </c>
      <c r="E10968" t="s">
        <v>12</v>
      </c>
      <c r="F10968">
        <v>56685796</v>
      </c>
      <c r="G10968">
        <v>56685801</v>
      </c>
      <c r="H10968">
        <v>56685796</v>
      </c>
      <c r="I10968">
        <v>56685801</v>
      </c>
    </row>
    <row r="10969" spans="1:9" x14ac:dyDescent="0.2">
      <c r="A10969" s="1" t="str">
        <f>"MT1E"</f>
        <v>MT1E</v>
      </c>
      <c r="B10969" t="s">
        <v>14</v>
      </c>
      <c r="C10969" t="s">
        <v>31</v>
      </c>
      <c r="D10969" t="s">
        <v>17</v>
      </c>
      <c r="E10969" t="s">
        <v>12</v>
      </c>
      <c r="F10969">
        <v>56659687</v>
      </c>
      <c r="G10969">
        <v>56659703</v>
      </c>
      <c r="H10969">
        <v>56659208</v>
      </c>
      <c r="I10969">
        <v>56659240</v>
      </c>
    </row>
    <row r="10970" spans="1:9" x14ac:dyDescent="0.2">
      <c r="A10970" s="1" t="str">
        <f>"MT1F"</f>
        <v>MT1F</v>
      </c>
      <c r="B10970" t="s">
        <v>14</v>
      </c>
      <c r="C10970" t="s">
        <v>31</v>
      </c>
      <c r="D10970" t="s">
        <v>17</v>
      </c>
      <c r="E10970" t="s">
        <v>12</v>
      </c>
      <c r="F10970">
        <v>56691887</v>
      </c>
      <c r="G10970">
        <v>56691909</v>
      </c>
      <c r="H10970">
        <v>56691864</v>
      </c>
      <c r="I10970">
        <v>56691879</v>
      </c>
    </row>
    <row r="10971" spans="1:9" x14ac:dyDescent="0.2">
      <c r="A10971" s="1" t="str">
        <f>"MT1G"</f>
        <v>MT1G</v>
      </c>
      <c r="B10971" t="s">
        <v>14</v>
      </c>
      <c r="C10971" t="s">
        <v>31</v>
      </c>
      <c r="D10971" t="s">
        <v>11</v>
      </c>
      <c r="E10971" t="s">
        <v>12</v>
      </c>
      <c r="F10971">
        <v>56701968</v>
      </c>
      <c r="G10971">
        <v>56701983</v>
      </c>
      <c r="H10971">
        <v>56701968</v>
      </c>
      <c r="I10971">
        <v>56701983</v>
      </c>
    </row>
    <row r="10972" spans="1:9" x14ac:dyDescent="0.2">
      <c r="A10972" s="1" t="str">
        <f>"MT1H"</f>
        <v>MT1H</v>
      </c>
      <c r="B10972" t="s">
        <v>14</v>
      </c>
      <c r="C10972" t="s">
        <v>31</v>
      </c>
      <c r="D10972" t="s">
        <v>17</v>
      </c>
      <c r="E10972" t="s">
        <v>12</v>
      </c>
      <c r="F10972">
        <v>56703703</v>
      </c>
      <c r="G10972">
        <v>56703733</v>
      </c>
      <c r="H10972">
        <v>56703761</v>
      </c>
      <c r="I10972">
        <v>56703789</v>
      </c>
    </row>
    <row r="10973" spans="1:9" x14ac:dyDescent="0.2">
      <c r="A10973" s="1" t="str">
        <f>"MT1HL1"</f>
        <v>MT1HL1</v>
      </c>
      <c r="B10973" t="s">
        <v>14</v>
      </c>
      <c r="C10973" t="s">
        <v>19</v>
      </c>
      <c r="D10973" t="s">
        <v>11</v>
      </c>
      <c r="E10973" t="s">
        <v>67</v>
      </c>
      <c r="F10973">
        <v>237167740</v>
      </c>
      <c r="G10973">
        <v>237167742</v>
      </c>
      <c r="H10973">
        <v>237167740</v>
      </c>
      <c r="I10973">
        <v>237167742</v>
      </c>
    </row>
    <row r="10974" spans="1:9" x14ac:dyDescent="0.2">
      <c r="A10974" s="1" t="str">
        <f>"MT1M"</f>
        <v>MT1M</v>
      </c>
      <c r="B10974" t="s">
        <v>9</v>
      </c>
      <c r="C10974" t="s">
        <v>31</v>
      </c>
      <c r="D10974" t="s">
        <v>17</v>
      </c>
      <c r="E10974" t="s">
        <v>12</v>
      </c>
      <c r="F10974">
        <v>56651382</v>
      </c>
      <c r="G10974">
        <v>56651426</v>
      </c>
      <c r="H10974">
        <v>56651382</v>
      </c>
      <c r="I10974">
        <v>56651426</v>
      </c>
    </row>
    <row r="10975" spans="1:9" x14ac:dyDescent="0.2">
      <c r="A10975" s="1" t="str">
        <f>"MT1M"</f>
        <v>MT1M</v>
      </c>
      <c r="B10975" t="s">
        <v>13</v>
      </c>
      <c r="C10975" t="s">
        <v>31</v>
      </c>
      <c r="D10975" t="s">
        <v>17</v>
      </c>
      <c r="E10975" t="s">
        <v>12</v>
      </c>
      <c r="F10975">
        <v>56666563</v>
      </c>
      <c r="G10975">
        <v>56666580</v>
      </c>
      <c r="H10975">
        <v>56666563</v>
      </c>
      <c r="I10975">
        <v>56666580</v>
      </c>
    </row>
    <row r="10976" spans="1:9" x14ac:dyDescent="0.2">
      <c r="A10976" s="1" t="str">
        <f>"MT1X"</f>
        <v>MT1X</v>
      </c>
      <c r="B10976" t="s">
        <v>14</v>
      </c>
      <c r="C10976" t="s">
        <v>31</v>
      </c>
      <c r="D10976" t="s">
        <v>17</v>
      </c>
      <c r="E10976" t="s">
        <v>12</v>
      </c>
      <c r="F10976">
        <v>56716373</v>
      </c>
      <c r="G10976">
        <v>56716390</v>
      </c>
      <c r="H10976">
        <v>56716373</v>
      </c>
      <c r="I10976">
        <v>56716390</v>
      </c>
    </row>
    <row r="10977" spans="1:9" x14ac:dyDescent="0.2">
      <c r="A10977" s="1" t="str">
        <f>"MT2A"</f>
        <v>MT2A</v>
      </c>
      <c r="B10977" t="s">
        <v>14</v>
      </c>
      <c r="C10977" t="s">
        <v>31</v>
      </c>
      <c r="D10977" t="s">
        <v>17</v>
      </c>
      <c r="E10977" t="s">
        <v>12</v>
      </c>
      <c r="F10977">
        <v>56642489</v>
      </c>
      <c r="G10977">
        <v>56642505</v>
      </c>
      <c r="H10977">
        <v>56642489</v>
      </c>
      <c r="I10977">
        <v>56642505</v>
      </c>
    </row>
    <row r="10978" spans="1:9" x14ac:dyDescent="0.2">
      <c r="A10978" s="1" t="str">
        <f>"MT3"</f>
        <v>MT3</v>
      </c>
      <c r="B10978" t="s">
        <v>14</v>
      </c>
      <c r="C10978" t="s">
        <v>31</v>
      </c>
      <c r="D10978" t="s">
        <v>17</v>
      </c>
      <c r="E10978" t="s">
        <v>12</v>
      </c>
      <c r="F10978">
        <v>56623433</v>
      </c>
      <c r="G10978">
        <v>56623446</v>
      </c>
      <c r="H10978">
        <v>56623784</v>
      </c>
      <c r="I10978">
        <v>56623816</v>
      </c>
    </row>
    <row r="10979" spans="1:9" x14ac:dyDescent="0.2">
      <c r="A10979" s="1" t="str">
        <f>"MT4"</f>
        <v>MT4</v>
      </c>
      <c r="B10979" t="s">
        <v>14</v>
      </c>
      <c r="C10979" t="s">
        <v>31</v>
      </c>
      <c r="D10979" t="s">
        <v>17</v>
      </c>
      <c r="E10979" t="s">
        <v>12</v>
      </c>
      <c r="F10979">
        <v>56598984</v>
      </c>
      <c r="G10979">
        <v>56598990</v>
      </c>
      <c r="H10979">
        <v>56598984</v>
      </c>
      <c r="I10979">
        <v>56598990</v>
      </c>
    </row>
    <row r="10980" spans="1:9" x14ac:dyDescent="0.2">
      <c r="A10980" s="1" t="str">
        <f>"MTA1"</f>
        <v>MTA1</v>
      </c>
      <c r="B10980" t="s">
        <v>14</v>
      </c>
      <c r="C10980" t="s">
        <v>41</v>
      </c>
      <c r="D10980" t="s">
        <v>17</v>
      </c>
      <c r="E10980" t="s">
        <v>12</v>
      </c>
      <c r="F10980">
        <v>105886150</v>
      </c>
      <c r="G10980">
        <v>105886224</v>
      </c>
      <c r="H10980">
        <v>105886300</v>
      </c>
      <c r="I10980">
        <v>105886316</v>
      </c>
    </row>
    <row r="10981" spans="1:9" x14ac:dyDescent="0.2">
      <c r="A10981" s="1" t="str">
        <f>"MTA2"</f>
        <v>MTA2</v>
      </c>
      <c r="B10981" t="s">
        <v>14</v>
      </c>
      <c r="C10981" t="s">
        <v>27</v>
      </c>
      <c r="D10981" t="s">
        <v>11</v>
      </c>
      <c r="E10981" t="s">
        <v>12</v>
      </c>
      <c r="F10981">
        <v>62369291</v>
      </c>
      <c r="G10981">
        <v>62369351</v>
      </c>
      <c r="H10981">
        <v>62369229</v>
      </c>
      <c r="I10981">
        <v>62369289</v>
      </c>
    </row>
    <row r="10982" spans="1:9" x14ac:dyDescent="0.2">
      <c r="A10982" s="1" t="str">
        <f>"MTA3"</f>
        <v>MTA3</v>
      </c>
      <c r="B10982" t="s">
        <v>14</v>
      </c>
      <c r="C10982" t="s">
        <v>26</v>
      </c>
      <c r="D10982" t="s">
        <v>17</v>
      </c>
      <c r="E10982" t="s">
        <v>12</v>
      </c>
      <c r="F10982">
        <v>42795745</v>
      </c>
      <c r="G10982">
        <v>42795824</v>
      </c>
      <c r="H10982">
        <v>42795839</v>
      </c>
      <c r="I10982">
        <v>42795887</v>
      </c>
    </row>
    <row r="10983" spans="1:9" x14ac:dyDescent="0.2">
      <c r="A10983" s="1" t="str">
        <f>"MTAP"</f>
        <v>MTAP</v>
      </c>
      <c r="B10983" t="s">
        <v>14</v>
      </c>
      <c r="C10983" t="s">
        <v>24</v>
      </c>
      <c r="D10983" t="s">
        <v>17</v>
      </c>
      <c r="E10983" t="s">
        <v>12</v>
      </c>
      <c r="F10983">
        <v>21802627</v>
      </c>
      <c r="G10983">
        <v>21802675</v>
      </c>
      <c r="H10983">
        <v>21802627</v>
      </c>
      <c r="I10983">
        <v>21802675</v>
      </c>
    </row>
    <row r="10984" spans="1:9" x14ac:dyDescent="0.2">
      <c r="A10984" s="1" t="str">
        <f>"MTBP"</f>
        <v>MTBP</v>
      </c>
      <c r="B10984" t="s">
        <v>14</v>
      </c>
      <c r="C10984" t="s">
        <v>30</v>
      </c>
      <c r="D10984" t="s">
        <v>17</v>
      </c>
      <c r="E10984" t="s">
        <v>12</v>
      </c>
      <c r="F10984">
        <v>121457642</v>
      </c>
      <c r="G10984">
        <v>121457672</v>
      </c>
      <c r="H10984">
        <v>121457679</v>
      </c>
      <c r="I10984">
        <v>121457690</v>
      </c>
    </row>
    <row r="10985" spans="1:9" x14ac:dyDescent="0.2">
      <c r="A10985" s="1" t="str">
        <f>"MTCH1"</f>
        <v>MTCH1</v>
      </c>
      <c r="B10985" t="s">
        <v>14</v>
      </c>
      <c r="C10985" t="s">
        <v>32</v>
      </c>
      <c r="D10985" t="s">
        <v>11</v>
      </c>
      <c r="E10985" t="s">
        <v>12</v>
      </c>
      <c r="F10985">
        <v>36953905</v>
      </c>
      <c r="G10985">
        <v>36953964</v>
      </c>
      <c r="H10985">
        <v>36953905</v>
      </c>
      <c r="I10985">
        <v>36953964</v>
      </c>
    </row>
    <row r="10986" spans="1:9" x14ac:dyDescent="0.2">
      <c r="A10986" s="1" t="str">
        <f>"MTCH2"</f>
        <v>MTCH2</v>
      </c>
      <c r="B10986" t="s">
        <v>14</v>
      </c>
      <c r="C10986" t="s">
        <v>27</v>
      </c>
      <c r="D10986" t="s">
        <v>11</v>
      </c>
      <c r="E10986" t="s">
        <v>12</v>
      </c>
      <c r="F10986">
        <v>47664072</v>
      </c>
      <c r="G10986">
        <v>47664125</v>
      </c>
      <c r="H10986">
        <v>47664021</v>
      </c>
      <c r="I10986">
        <v>47664063</v>
      </c>
    </row>
    <row r="10987" spans="1:9" x14ac:dyDescent="0.2">
      <c r="A10987" s="1" t="str">
        <f>"MTCP1"</f>
        <v>MTCP1</v>
      </c>
      <c r="B10987" t="s">
        <v>14</v>
      </c>
      <c r="C10987" t="s">
        <v>37</v>
      </c>
      <c r="D10987" t="s">
        <v>11</v>
      </c>
      <c r="E10987" t="s">
        <v>12</v>
      </c>
      <c r="F10987">
        <v>154299339</v>
      </c>
      <c r="G10987">
        <v>154299424</v>
      </c>
      <c r="H10987">
        <v>154299504</v>
      </c>
      <c r="I10987">
        <v>154299578</v>
      </c>
    </row>
    <row r="10988" spans="1:9" x14ac:dyDescent="0.2">
      <c r="A10988" s="1" t="str">
        <f>"MTDH"</f>
        <v>MTDH</v>
      </c>
      <c r="B10988" t="s">
        <v>14</v>
      </c>
      <c r="C10988" t="s">
        <v>30</v>
      </c>
      <c r="D10988" t="s">
        <v>17</v>
      </c>
      <c r="E10988" t="s">
        <v>12</v>
      </c>
      <c r="F10988">
        <v>98656336</v>
      </c>
      <c r="G10988">
        <v>98656535</v>
      </c>
      <c r="H10988">
        <v>98656549</v>
      </c>
      <c r="I10988">
        <v>98656593</v>
      </c>
    </row>
    <row r="10989" spans="1:9" x14ac:dyDescent="0.2">
      <c r="A10989" s="1" t="str">
        <f>"MTERF"</f>
        <v>MTERF</v>
      </c>
      <c r="B10989" t="s">
        <v>14</v>
      </c>
      <c r="C10989" t="s">
        <v>33</v>
      </c>
      <c r="D10989" t="s">
        <v>11</v>
      </c>
      <c r="E10989" t="s">
        <v>12</v>
      </c>
      <c r="F10989">
        <v>91509986</v>
      </c>
      <c r="G10989">
        <v>91510046</v>
      </c>
      <c r="H10989">
        <v>91510053</v>
      </c>
      <c r="I10989">
        <v>91510060</v>
      </c>
    </row>
    <row r="10990" spans="1:9" x14ac:dyDescent="0.2">
      <c r="A10990" s="1" t="str">
        <f>"MTERFD1"</f>
        <v>MTERFD1</v>
      </c>
      <c r="B10990" t="s">
        <v>14</v>
      </c>
      <c r="C10990" t="s">
        <v>30</v>
      </c>
      <c r="D10990" t="s">
        <v>11</v>
      </c>
      <c r="E10990" t="s">
        <v>12</v>
      </c>
      <c r="F10990">
        <v>97273807</v>
      </c>
      <c r="G10990">
        <v>97273853</v>
      </c>
      <c r="H10990">
        <v>97273807</v>
      </c>
      <c r="I10990">
        <v>97273853</v>
      </c>
    </row>
    <row r="10991" spans="1:9" x14ac:dyDescent="0.2">
      <c r="A10991" s="1" t="str">
        <f>"MTERFD2"</f>
        <v>MTERFD2</v>
      </c>
      <c r="B10991" t="s">
        <v>14</v>
      </c>
      <c r="C10991" t="s">
        <v>26</v>
      </c>
      <c r="D10991" t="s">
        <v>11</v>
      </c>
      <c r="E10991" t="s">
        <v>12</v>
      </c>
      <c r="F10991">
        <v>242041691</v>
      </c>
      <c r="G10991">
        <v>242041740</v>
      </c>
      <c r="H10991">
        <v>242041691</v>
      </c>
      <c r="I10991">
        <v>242041740</v>
      </c>
    </row>
    <row r="10992" spans="1:9" x14ac:dyDescent="0.2">
      <c r="A10992" s="1" t="str">
        <f>"MTERFD3"</f>
        <v>MTERFD3</v>
      </c>
      <c r="B10992" t="s">
        <v>14</v>
      </c>
      <c r="C10992" t="s">
        <v>16</v>
      </c>
      <c r="D10992" t="s">
        <v>11</v>
      </c>
      <c r="E10992" t="s">
        <v>12</v>
      </c>
      <c r="F10992">
        <v>107380846</v>
      </c>
      <c r="G10992">
        <v>107380908</v>
      </c>
      <c r="H10992">
        <v>107380910</v>
      </c>
      <c r="I10992">
        <v>107380947</v>
      </c>
    </row>
    <row r="10993" spans="1:9" x14ac:dyDescent="0.2">
      <c r="A10993" s="1" t="str">
        <f>"MTF1"</f>
        <v>MTF1</v>
      </c>
      <c r="B10993" t="s">
        <v>14</v>
      </c>
      <c r="C10993" t="s">
        <v>19</v>
      </c>
      <c r="D10993" t="s">
        <v>11</v>
      </c>
      <c r="E10993" t="s">
        <v>12</v>
      </c>
      <c r="F10993">
        <v>38325256</v>
      </c>
      <c r="G10993">
        <v>38325280</v>
      </c>
      <c r="H10993">
        <v>38325227</v>
      </c>
      <c r="I10993">
        <v>38325246</v>
      </c>
    </row>
    <row r="10994" spans="1:9" x14ac:dyDescent="0.2">
      <c r="A10994" s="1" t="str">
        <f>"MTF2"</f>
        <v>MTF2</v>
      </c>
      <c r="B10994" t="s">
        <v>14</v>
      </c>
      <c r="C10994" t="s">
        <v>19</v>
      </c>
      <c r="D10994" t="s">
        <v>17</v>
      </c>
      <c r="E10994" t="s">
        <v>12</v>
      </c>
      <c r="F10994">
        <v>93544821</v>
      </c>
      <c r="G10994">
        <v>93544861</v>
      </c>
      <c r="H10994">
        <v>93544791</v>
      </c>
      <c r="I10994">
        <v>93544807</v>
      </c>
    </row>
    <row r="10995" spans="1:9" x14ac:dyDescent="0.2">
      <c r="A10995" s="1" t="str">
        <f>"MTFMT"</f>
        <v>MTFMT</v>
      </c>
      <c r="B10995" t="s">
        <v>14</v>
      </c>
      <c r="C10995" t="s">
        <v>25</v>
      </c>
      <c r="D10995" t="s">
        <v>11</v>
      </c>
      <c r="E10995" t="s">
        <v>12</v>
      </c>
      <c r="F10995">
        <v>65321943</v>
      </c>
      <c r="G10995">
        <v>65321984</v>
      </c>
      <c r="H10995">
        <v>65321914</v>
      </c>
      <c r="I10995">
        <v>65321937</v>
      </c>
    </row>
    <row r="10996" spans="1:9" x14ac:dyDescent="0.2">
      <c r="A10996" s="1" t="str">
        <f>"MTFP1"</f>
        <v>MTFP1</v>
      </c>
      <c r="B10996" t="s">
        <v>14</v>
      </c>
      <c r="C10996" t="s">
        <v>21</v>
      </c>
      <c r="D10996" t="s">
        <v>17</v>
      </c>
      <c r="E10996" t="s">
        <v>12</v>
      </c>
      <c r="F10996">
        <v>30821732</v>
      </c>
      <c r="G10996">
        <v>30821782</v>
      </c>
      <c r="H10996">
        <v>30821784</v>
      </c>
      <c r="I10996">
        <v>30821803</v>
      </c>
    </row>
    <row r="10997" spans="1:9" x14ac:dyDescent="0.2">
      <c r="A10997" s="1" t="str">
        <f>"MTFR1"</f>
        <v>MTFR1</v>
      </c>
      <c r="B10997" t="s">
        <v>14</v>
      </c>
      <c r="C10997" t="s">
        <v>30</v>
      </c>
      <c r="D10997" t="s">
        <v>17</v>
      </c>
      <c r="E10997" t="s">
        <v>12</v>
      </c>
      <c r="F10997">
        <v>66556936</v>
      </c>
      <c r="G10997">
        <v>66556981</v>
      </c>
      <c r="H10997">
        <v>66556984</v>
      </c>
      <c r="I10997">
        <v>66556998</v>
      </c>
    </row>
    <row r="10998" spans="1:9" x14ac:dyDescent="0.2">
      <c r="A10998" s="1" t="str">
        <f>"MTFR1L"</f>
        <v>MTFR1L</v>
      </c>
      <c r="B10998" t="s">
        <v>14</v>
      </c>
      <c r="C10998" t="s">
        <v>19</v>
      </c>
      <c r="D10998" t="s">
        <v>17</v>
      </c>
      <c r="E10998" t="s">
        <v>12</v>
      </c>
      <c r="F10998">
        <v>26146424</v>
      </c>
      <c r="G10998">
        <v>26146499</v>
      </c>
      <c r="H10998">
        <v>26146674</v>
      </c>
      <c r="I10998">
        <v>26146715</v>
      </c>
    </row>
    <row r="10999" spans="1:9" x14ac:dyDescent="0.2">
      <c r="A10999" s="1" t="str">
        <f>"MTFR2"</f>
        <v>MTFR2</v>
      </c>
      <c r="B10999" t="s">
        <v>14</v>
      </c>
      <c r="C10999" t="s">
        <v>32</v>
      </c>
      <c r="D10999" t="s">
        <v>11</v>
      </c>
      <c r="E10999" t="s">
        <v>12</v>
      </c>
      <c r="F10999">
        <v>136571400</v>
      </c>
      <c r="G10999">
        <v>136571457</v>
      </c>
      <c r="H10999">
        <v>136571468</v>
      </c>
      <c r="I10999">
        <v>136571480</v>
      </c>
    </row>
    <row r="11000" spans="1:9" x14ac:dyDescent="0.2">
      <c r="A11000" s="1" t="str">
        <f>"MTG1"</f>
        <v>MTG1</v>
      </c>
      <c r="B11000" t="s">
        <v>14</v>
      </c>
      <c r="C11000" t="s">
        <v>15</v>
      </c>
      <c r="D11000" t="s">
        <v>17</v>
      </c>
      <c r="E11000" t="s">
        <v>12</v>
      </c>
      <c r="F11000">
        <v>135207683</v>
      </c>
      <c r="G11000">
        <v>135207737</v>
      </c>
      <c r="H11000">
        <v>135207623</v>
      </c>
      <c r="I11000">
        <v>135207679</v>
      </c>
    </row>
    <row r="11001" spans="1:9" x14ac:dyDescent="0.2">
      <c r="A11001" s="1" t="str">
        <f>"MTG2"</f>
        <v>MTG2</v>
      </c>
      <c r="B11001" t="s">
        <v>14</v>
      </c>
      <c r="C11001" t="s">
        <v>29</v>
      </c>
      <c r="D11001" t="s">
        <v>17</v>
      </c>
      <c r="E11001" t="s">
        <v>12</v>
      </c>
      <c r="F11001">
        <v>60758075</v>
      </c>
      <c r="G11001">
        <v>60758105</v>
      </c>
      <c r="H11001">
        <v>60758064</v>
      </c>
      <c r="I11001">
        <v>60758071</v>
      </c>
    </row>
    <row r="11002" spans="1:9" x14ac:dyDescent="0.2">
      <c r="A11002" s="1" t="str">
        <f>"MTHFD1"</f>
        <v>MTHFD1</v>
      </c>
      <c r="B11002" t="s">
        <v>14</v>
      </c>
      <c r="C11002" t="s">
        <v>41</v>
      </c>
      <c r="D11002" t="s">
        <v>17</v>
      </c>
      <c r="E11002" t="s">
        <v>12</v>
      </c>
      <c r="F11002">
        <v>64855014</v>
      </c>
      <c r="G11002">
        <v>64855091</v>
      </c>
      <c r="H11002">
        <v>64855097</v>
      </c>
      <c r="I11002">
        <v>64855111</v>
      </c>
    </row>
    <row r="11003" spans="1:9" x14ac:dyDescent="0.2">
      <c r="A11003" s="1" t="str">
        <f>"MTHFD1L"</f>
        <v>MTHFD1L</v>
      </c>
      <c r="B11003" t="s">
        <v>14</v>
      </c>
      <c r="C11003" t="s">
        <v>32</v>
      </c>
      <c r="D11003" t="s">
        <v>17</v>
      </c>
      <c r="E11003" t="s">
        <v>12</v>
      </c>
      <c r="F11003">
        <v>151186801</v>
      </c>
      <c r="G11003">
        <v>151186905</v>
      </c>
      <c r="H11003">
        <v>151187615</v>
      </c>
      <c r="I11003">
        <v>151187677</v>
      </c>
    </row>
    <row r="11004" spans="1:9" x14ac:dyDescent="0.2">
      <c r="A11004" s="1" t="str">
        <f>"MTHFD2"</f>
        <v>MTHFD2</v>
      </c>
      <c r="B11004" t="s">
        <v>9</v>
      </c>
      <c r="C11004" t="s">
        <v>26</v>
      </c>
      <c r="D11004" t="s">
        <v>17</v>
      </c>
      <c r="E11004" t="s">
        <v>12</v>
      </c>
      <c r="F11004">
        <v>74425732</v>
      </c>
      <c r="G11004">
        <v>74425749</v>
      </c>
      <c r="H11004">
        <v>74425732</v>
      </c>
      <c r="I11004">
        <v>74425749</v>
      </c>
    </row>
    <row r="11005" spans="1:9" x14ac:dyDescent="0.2">
      <c r="A11005" s="1" t="str">
        <f>"MTHFD2"</f>
        <v>MTHFD2</v>
      </c>
      <c r="B11005" t="s">
        <v>13</v>
      </c>
      <c r="C11005" t="s">
        <v>26</v>
      </c>
      <c r="D11005" t="s">
        <v>17</v>
      </c>
      <c r="E11005" t="s">
        <v>12</v>
      </c>
      <c r="F11005">
        <v>74433515</v>
      </c>
      <c r="G11005">
        <v>74433538</v>
      </c>
      <c r="H11005">
        <v>74433515</v>
      </c>
      <c r="I11005">
        <v>74433538</v>
      </c>
    </row>
    <row r="11006" spans="1:9" x14ac:dyDescent="0.2">
      <c r="A11006" s="1" t="str">
        <f>"MTHFD2L"</f>
        <v>MTHFD2L</v>
      </c>
      <c r="B11006" t="s">
        <v>14</v>
      </c>
      <c r="C11006" t="s">
        <v>23</v>
      </c>
      <c r="D11006" t="s">
        <v>17</v>
      </c>
      <c r="E11006" t="s">
        <v>12</v>
      </c>
      <c r="F11006">
        <v>75023816</v>
      </c>
      <c r="G11006">
        <v>75023890</v>
      </c>
      <c r="H11006">
        <v>75023816</v>
      </c>
      <c r="I11006">
        <v>75023890</v>
      </c>
    </row>
    <row r="11007" spans="1:9" x14ac:dyDescent="0.2">
      <c r="A11007" s="1" t="str">
        <f>"MTHFR"</f>
        <v>MTHFR</v>
      </c>
      <c r="B11007" t="s">
        <v>9</v>
      </c>
      <c r="C11007" t="s">
        <v>19</v>
      </c>
      <c r="D11007" t="s">
        <v>11</v>
      </c>
      <c r="E11007" t="s">
        <v>12</v>
      </c>
      <c r="F11007">
        <v>11863577</v>
      </c>
      <c r="G11007">
        <v>11863603</v>
      </c>
      <c r="H11007">
        <v>11863577</v>
      </c>
      <c r="I11007">
        <v>11863603</v>
      </c>
    </row>
    <row r="11008" spans="1:9" x14ac:dyDescent="0.2">
      <c r="A11008" s="1" t="str">
        <f>"MTHFR"</f>
        <v>MTHFR</v>
      </c>
      <c r="B11008" t="s">
        <v>13</v>
      </c>
      <c r="C11008" t="s">
        <v>19</v>
      </c>
      <c r="D11008" t="s">
        <v>11</v>
      </c>
      <c r="E11008" t="s">
        <v>12</v>
      </c>
      <c r="F11008">
        <v>11866034</v>
      </c>
      <c r="G11008">
        <v>11866108</v>
      </c>
      <c r="H11008">
        <v>11866034</v>
      </c>
      <c r="I11008">
        <v>11866108</v>
      </c>
    </row>
    <row r="11009" spans="1:9" x14ac:dyDescent="0.2">
      <c r="A11009" s="1" t="str">
        <f>"MTHFS"</f>
        <v>MTHFS</v>
      </c>
      <c r="B11009" t="s">
        <v>9</v>
      </c>
      <c r="C11009" t="s">
        <v>25</v>
      </c>
      <c r="D11009" t="s">
        <v>11</v>
      </c>
      <c r="E11009" t="s">
        <v>12</v>
      </c>
      <c r="F11009">
        <v>80189328</v>
      </c>
      <c r="G11009">
        <v>80189366</v>
      </c>
      <c r="H11009">
        <v>80189328</v>
      </c>
      <c r="I11009">
        <v>80189366</v>
      </c>
    </row>
    <row r="11010" spans="1:9" x14ac:dyDescent="0.2">
      <c r="A11010" s="1" t="str">
        <f>"MTHFS"</f>
        <v>MTHFS</v>
      </c>
      <c r="B11010" t="s">
        <v>13</v>
      </c>
      <c r="C11010" t="s">
        <v>25</v>
      </c>
      <c r="D11010" t="s">
        <v>11</v>
      </c>
      <c r="E11010" t="s">
        <v>12</v>
      </c>
      <c r="F11010">
        <v>80215984</v>
      </c>
      <c r="G11010">
        <v>80216125</v>
      </c>
      <c r="H11010">
        <v>80215984</v>
      </c>
      <c r="I11010">
        <v>80216125</v>
      </c>
    </row>
    <row r="11011" spans="1:9" x14ac:dyDescent="0.2">
      <c r="A11011" s="1" t="str">
        <f>"MTHFSD"</f>
        <v>MTHFSD</v>
      </c>
      <c r="B11011" t="s">
        <v>14</v>
      </c>
      <c r="C11011" t="s">
        <v>31</v>
      </c>
      <c r="D11011" t="s">
        <v>11</v>
      </c>
      <c r="E11011" t="s">
        <v>12</v>
      </c>
      <c r="F11011">
        <v>86588792</v>
      </c>
      <c r="G11011">
        <v>86588848</v>
      </c>
      <c r="H11011">
        <v>86588792</v>
      </c>
      <c r="I11011">
        <v>86588848</v>
      </c>
    </row>
    <row r="11012" spans="1:9" x14ac:dyDescent="0.2">
      <c r="A11012" s="1" t="str">
        <f>"MTIF2"</f>
        <v>MTIF2</v>
      </c>
      <c r="B11012" t="s">
        <v>14</v>
      </c>
      <c r="C11012" t="s">
        <v>26</v>
      </c>
      <c r="D11012" t="s">
        <v>11</v>
      </c>
      <c r="E11012" t="s">
        <v>12</v>
      </c>
      <c r="F11012">
        <v>55496344</v>
      </c>
      <c r="G11012">
        <v>55496391</v>
      </c>
      <c r="H11012">
        <v>55496323</v>
      </c>
      <c r="I11012">
        <v>55496334</v>
      </c>
    </row>
    <row r="11013" spans="1:9" x14ac:dyDescent="0.2">
      <c r="A11013" s="1" t="str">
        <f>"MTIF3"</f>
        <v>MTIF3</v>
      </c>
      <c r="B11013" t="s">
        <v>14</v>
      </c>
      <c r="C11013" t="s">
        <v>39</v>
      </c>
      <c r="D11013" t="s">
        <v>11</v>
      </c>
      <c r="E11013" t="s">
        <v>12</v>
      </c>
      <c r="F11013">
        <v>28024681</v>
      </c>
      <c r="G11013">
        <v>28024736</v>
      </c>
      <c r="H11013">
        <v>28024269</v>
      </c>
      <c r="I11013">
        <v>28024341</v>
      </c>
    </row>
    <row r="11014" spans="1:9" x14ac:dyDescent="0.2">
      <c r="A11014" s="1" t="str">
        <f>"MTL5"</f>
        <v>MTL5</v>
      </c>
      <c r="B11014" t="s">
        <v>14</v>
      </c>
      <c r="C11014" t="s">
        <v>27</v>
      </c>
      <c r="D11014" t="s">
        <v>11</v>
      </c>
      <c r="E11014" t="s">
        <v>12</v>
      </c>
      <c r="F11014">
        <v>68518910</v>
      </c>
      <c r="G11014">
        <v>68518998</v>
      </c>
      <c r="H11014">
        <v>68518881</v>
      </c>
      <c r="I11014">
        <v>68518894</v>
      </c>
    </row>
    <row r="11015" spans="1:9" x14ac:dyDescent="0.2">
      <c r="A11015" s="1" t="str">
        <f>"MTM1"</f>
        <v>MTM1</v>
      </c>
      <c r="B11015" t="s">
        <v>14</v>
      </c>
      <c r="C11015" t="s">
        <v>37</v>
      </c>
      <c r="D11015" t="s">
        <v>17</v>
      </c>
      <c r="E11015" t="s">
        <v>12</v>
      </c>
      <c r="F11015">
        <v>149737046</v>
      </c>
      <c r="G11015">
        <v>149737092</v>
      </c>
      <c r="H11015">
        <v>149736889</v>
      </c>
      <c r="I11015">
        <v>149736904</v>
      </c>
    </row>
    <row r="11016" spans="1:9" x14ac:dyDescent="0.2">
      <c r="A11016" s="1" t="str">
        <f>"MTMR1"</f>
        <v>MTMR1</v>
      </c>
      <c r="B11016" t="s">
        <v>14</v>
      </c>
      <c r="C11016" t="s">
        <v>37</v>
      </c>
      <c r="D11016" t="s">
        <v>17</v>
      </c>
      <c r="E11016" t="s">
        <v>12</v>
      </c>
      <c r="F11016">
        <v>149861836</v>
      </c>
      <c r="G11016">
        <v>149861881</v>
      </c>
      <c r="H11016">
        <v>149861836</v>
      </c>
      <c r="I11016">
        <v>149861881</v>
      </c>
    </row>
    <row r="11017" spans="1:9" x14ac:dyDescent="0.2">
      <c r="A11017" s="1" t="str">
        <f>"MTMR10"</f>
        <v>MTMR10</v>
      </c>
      <c r="B11017" t="s">
        <v>14</v>
      </c>
      <c r="C11017" t="s">
        <v>25</v>
      </c>
      <c r="D11017" t="s">
        <v>11</v>
      </c>
      <c r="E11017" t="s">
        <v>12</v>
      </c>
      <c r="F11017">
        <v>31283798</v>
      </c>
      <c r="G11017">
        <v>31283851</v>
      </c>
      <c r="H11017">
        <v>31284077</v>
      </c>
      <c r="I11017">
        <v>31284115</v>
      </c>
    </row>
    <row r="11018" spans="1:9" x14ac:dyDescent="0.2">
      <c r="A11018" s="1" t="str">
        <f>"MTMR11"</f>
        <v>MTMR11</v>
      </c>
      <c r="B11018" t="s">
        <v>14</v>
      </c>
      <c r="C11018" t="s">
        <v>19</v>
      </c>
      <c r="D11018" t="s">
        <v>11</v>
      </c>
      <c r="E11018" t="s">
        <v>12</v>
      </c>
      <c r="F11018">
        <v>149903373</v>
      </c>
      <c r="G11018">
        <v>149903476</v>
      </c>
      <c r="H11018">
        <v>149903373</v>
      </c>
      <c r="I11018">
        <v>149903476</v>
      </c>
    </row>
    <row r="11019" spans="1:9" x14ac:dyDescent="0.2">
      <c r="A11019" s="1" t="str">
        <f>"MTMR12"</f>
        <v>MTMR12</v>
      </c>
      <c r="B11019" t="s">
        <v>14</v>
      </c>
      <c r="C11019" t="s">
        <v>46</v>
      </c>
      <c r="D11019" t="s">
        <v>11</v>
      </c>
      <c r="E11019" t="s">
        <v>12</v>
      </c>
      <c r="F11019">
        <v>32313019</v>
      </c>
      <c r="G11019">
        <v>32313081</v>
      </c>
      <c r="H11019">
        <v>32313082</v>
      </c>
      <c r="I11019">
        <v>32313120</v>
      </c>
    </row>
    <row r="11020" spans="1:9" x14ac:dyDescent="0.2">
      <c r="A11020" s="1" t="str">
        <f>"MTMR14"</f>
        <v>MTMR14</v>
      </c>
      <c r="B11020" t="s">
        <v>14</v>
      </c>
      <c r="C11020" t="s">
        <v>22</v>
      </c>
      <c r="D11020" t="s">
        <v>17</v>
      </c>
      <c r="E11020" t="s">
        <v>12</v>
      </c>
      <c r="F11020">
        <v>9691138</v>
      </c>
      <c r="G11020">
        <v>9691207</v>
      </c>
      <c r="H11020">
        <v>9691138</v>
      </c>
      <c r="I11020">
        <v>9691207</v>
      </c>
    </row>
    <row r="11021" spans="1:9" x14ac:dyDescent="0.2">
      <c r="A11021" s="1" t="str">
        <f>"MTMR2"</f>
        <v>MTMR2</v>
      </c>
      <c r="B11021" t="s">
        <v>14</v>
      </c>
      <c r="C11021" t="s">
        <v>27</v>
      </c>
      <c r="D11021" t="s">
        <v>11</v>
      </c>
      <c r="E11021" t="s">
        <v>12</v>
      </c>
      <c r="F11021">
        <v>95657231</v>
      </c>
      <c r="G11021">
        <v>95657287</v>
      </c>
      <c r="H11021">
        <v>95657124</v>
      </c>
      <c r="I11021">
        <v>95657203</v>
      </c>
    </row>
    <row r="11022" spans="1:9" x14ac:dyDescent="0.2">
      <c r="A11022" s="1" t="str">
        <f>"MTMR3"</f>
        <v>MTMR3</v>
      </c>
      <c r="B11022" t="s">
        <v>14</v>
      </c>
      <c r="C11022" t="s">
        <v>21</v>
      </c>
      <c r="D11022" t="s">
        <v>17</v>
      </c>
      <c r="E11022" t="s">
        <v>12</v>
      </c>
      <c r="F11022">
        <v>30279148</v>
      </c>
      <c r="G11022">
        <v>30279192</v>
      </c>
      <c r="H11022">
        <v>30279198</v>
      </c>
      <c r="I11022">
        <v>30279208</v>
      </c>
    </row>
    <row r="11023" spans="1:9" x14ac:dyDescent="0.2">
      <c r="A11023" s="1" t="str">
        <f>"MTMR4"</f>
        <v>MTMR4</v>
      </c>
      <c r="B11023" t="s">
        <v>9</v>
      </c>
      <c r="C11023" t="s">
        <v>28</v>
      </c>
      <c r="D11023" t="s">
        <v>11</v>
      </c>
      <c r="E11023" t="s">
        <v>12</v>
      </c>
      <c r="F11023">
        <v>56595196</v>
      </c>
      <c r="G11023">
        <v>56595259</v>
      </c>
      <c r="H11023">
        <v>56595196</v>
      </c>
      <c r="I11023">
        <v>56595259</v>
      </c>
    </row>
    <row r="11024" spans="1:9" x14ac:dyDescent="0.2">
      <c r="A11024" s="1" t="str">
        <f>"MTMR4"</f>
        <v>MTMR4</v>
      </c>
      <c r="B11024" t="s">
        <v>13</v>
      </c>
      <c r="C11024" t="s">
        <v>28</v>
      </c>
      <c r="D11024" t="s">
        <v>11</v>
      </c>
      <c r="E11024" t="s">
        <v>12</v>
      </c>
      <c r="F11024">
        <v>56591978</v>
      </c>
      <c r="G11024">
        <v>56592056</v>
      </c>
      <c r="H11024">
        <v>56591978</v>
      </c>
      <c r="I11024">
        <v>56592056</v>
      </c>
    </row>
    <row r="11025" spans="1:9" x14ac:dyDescent="0.2">
      <c r="A11025" s="1" t="str">
        <f>"MTMR6"</f>
        <v>MTMR6</v>
      </c>
      <c r="B11025" t="s">
        <v>14</v>
      </c>
      <c r="C11025" t="s">
        <v>39</v>
      </c>
      <c r="D11025" t="s">
        <v>11</v>
      </c>
      <c r="E11025" t="s">
        <v>12</v>
      </c>
      <c r="F11025">
        <v>25861530</v>
      </c>
      <c r="G11025">
        <v>25861670</v>
      </c>
      <c r="H11025">
        <v>25861530</v>
      </c>
      <c r="I11025">
        <v>25861670</v>
      </c>
    </row>
    <row r="11026" spans="1:9" x14ac:dyDescent="0.2">
      <c r="A11026" s="1" t="str">
        <f>"MTMR7"</f>
        <v>MTMR7</v>
      </c>
      <c r="B11026" t="s">
        <v>14</v>
      </c>
      <c r="C11026" t="s">
        <v>30</v>
      </c>
      <c r="D11026" t="s">
        <v>11</v>
      </c>
      <c r="E11026" t="s">
        <v>12</v>
      </c>
      <c r="F11026">
        <v>17270809</v>
      </c>
      <c r="G11026">
        <v>17270848</v>
      </c>
      <c r="H11026">
        <v>17270854</v>
      </c>
      <c r="I11026">
        <v>17270886</v>
      </c>
    </row>
    <row r="11027" spans="1:9" x14ac:dyDescent="0.2">
      <c r="A11027" s="1" t="str">
        <f>"MTMR8"</f>
        <v>MTMR8</v>
      </c>
      <c r="B11027" t="s">
        <v>14</v>
      </c>
      <c r="C11027" t="s">
        <v>37</v>
      </c>
      <c r="D11027" t="s">
        <v>11</v>
      </c>
      <c r="E11027" t="s">
        <v>12</v>
      </c>
      <c r="F11027">
        <v>63615297</v>
      </c>
      <c r="G11027">
        <v>63615347</v>
      </c>
      <c r="H11027">
        <v>63615367</v>
      </c>
      <c r="I11027">
        <v>63615370</v>
      </c>
    </row>
    <row r="11028" spans="1:9" x14ac:dyDescent="0.2">
      <c r="A11028" s="1" t="str">
        <f>"MTMR9"</f>
        <v>MTMR9</v>
      </c>
      <c r="B11028" t="s">
        <v>14</v>
      </c>
      <c r="C11028" t="s">
        <v>30</v>
      </c>
      <c r="D11028" t="s">
        <v>17</v>
      </c>
      <c r="E11028" t="s">
        <v>12</v>
      </c>
      <c r="F11028">
        <v>11142299</v>
      </c>
      <c r="G11028">
        <v>11142375</v>
      </c>
      <c r="H11028">
        <v>11141984</v>
      </c>
      <c r="I11028">
        <v>11142047</v>
      </c>
    </row>
    <row r="11029" spans="1:9" x14ac:dyDescent="0.2">
      <c r="A11029" s="1" t="str">
        <f>"MTNR1A"</f>
        <v>MTNR1A</v>
      </c>
      <c r="B11029" t="s">
        <v>14</v>
      </c>
      <c r="C11029" t="s">
        <v>23</v>
      </c>
      <c r="D11029" t="s">
        <v>11</v>
      </c>
      <c r="E11029" t="s">
        <v>12</v>
      </c>
      <c r="F11029">
        <v>187476686</v>
      </c>
      <c r="G11029">
        <v>187476719</v>
      </c>
      <c r="H11029">
        <v>187476580</v>
      </c>
      <c r="I11029">
        <v>187476603</v>
      </c>
    </row>
    <row r="11030" spans="1:9" x14ac:dyDescent="0.2">
      <c r="A11030" s="1" t="str">
        <f>"MTNR1B"</f>
        <v>MTNR1B</v>
      </c>
      <c r="B11030" t="s">
        <v>14</v>
      </c>
      <c r="C11030" t="s">
        <v>27</v>
      </c>
      <c r="D11030" t="s">
        <v>17</v>
      </c>
      <c r="E11030" t="s">
        <v>12</v>
      </c>
      <c r="F11030">
        <v>92702638</v>
      </c>
      <c r="G11030">
        <v>92702677</v>
      </c>
      <c r="H11030">
        <v>92702782</v>
      </c>
      <c r="I11030">
        <v>92702790</v>
      </c>
    </row>
    <row r="11031" spans="1:9" x14ac:dyDescent="0.2">
      <c r="A11031" s="1" t="str">
        <f>"MTO1"</f>
        <v>MTO1</v>
      </c>
      <c r="B11031" t="s">
        <v>14</v>
      </c>
      <c r="C11031" t="s">
        <v>32</v>
      </c>
      <c r="D11031" t="s">
        <v>17</v>
      </c>
      <c r="E11031" t="s">
        <v>12</v>
      </c>
      <c r="F11031">
        <v>74171448</v>
      </c>
      <c r="G11031">
        <v>74171493</v>
      </c>
      <c r="H11031">
        <v>74171495</v>
      </c>
      <c r="I11031">
        <v>74171518</v>
      </c>
    </row>
    <row r="11032" spans="1:9" x14ac:dyDescent="0.2">
      <c r="A11032" s="1" t="str">
        <f>"MTOR"</f>
        <v>MTOR</v>
      </c>
      <c r="B11032" t="s">
        <v>14</v>
      </c>
      <c r="C11032" t="s">
        <v>19</v>
      </c>
      <c r="D11032" t="s">
        <v>11</v>
      </c>
      <c r="E11032" t="s">
        <v>12</v>
      </c>
      <c r="F11032">
        <v>11322586</v>
      </c>
      <c r="G11032">
        <v>11322629</v>
      </c>
      <c r="H11032">
        <v>11322551</v>
      </c>
      <c r="I11032">
        <v>11322583</v>
      </c>
    </row>
    <row r="11033" spans="1:9" x14ac:dyDescent="0.2">
      <c r="A11033" s="1" t="str">
        <f>"MTPAP"</f>
        <v>MTPAP</v>
      </c>
      <c r="B11033" t="s">
        <v>14</v>
      </c>
      <c r="C11033" t="s">
        <v>15</v>
      </c>
      <c r="D11033" t="s">
        <v>11</v>
      </c>
      <c r="E11033" t="s">
        <v>12</v>
      </c>
      <c r="F11033">
        <v>30638200</v>
      </c>
      <c r="G11033">
        <v>30638214</v>
      </c>
      <c r="H11033">
        <v>30638246</v>
      </c>
      <c r="I11033">
        <v>30638289</v>
      </c>
    </row>
    <row r="11034" spans="1:9" x14ac:dyDescent="0.2">
      <c r="A11034" s="1" t="str">
        <f>"MTPN"</f>
        <v>MTPN</v>
      </c>
      <c r="B11034" t="s">
        <v>14</v>
      </c>
      <c r="C11034" t="s">
        <v>33</v>
      </c>
      <c r="D11034" t="s">
        <v>11</v>
      </c>
      <c r="E11034" t="s">
        <v>12</v>
      </c>
      <c r="F11034">
        <v>135662056</v>
      </c>
      <c r="G11034">
        <v>135662114</v>
      </c>
      <c r="H11034">
        <v>135662021</v>
      </c>
      <c r="I11034">
        <v>135662051</v>
      </c>
    </row>
    <row r="11035" spans="1:9" x14ac:dyDescent="0.2">
      <c r="A11035" s="1" t="str">
        <f>"MTR"</f>
        <v>MTR</v>
      </c>
      <c r="B11035" t="s">
        <v>14</v>
      </c>
      <c r="C11035" t="s">
        <v>19</v>
      </c>
      <c r="D11035" t="s">
        <v>17</v>
      </c>
      <c r="E11035" t="s">
        <v>12</v>
      </c>
      <c r="F11035">
        <v>236958554</v>
      </c>
      <c r="G11035">
        <v>236958628</v>
      </c>
      <c r="H11035">
        <v>236958630</v>
      </c>
      <c r="I11035">
        <v>236958719</v>
      </c>
    </row>
    <row r="11036" spans="1:9" x14ac:dyDescent="0.2">
      <c r="A11036" s="1" t="str">
        <f>"MTRF1"</f>
        <v>MTRF1</v>
      </c>
      <c r="B11036" t="s">
        <v>14</v>
      </c>
      <c r="C11036" t="s">
        <v>39</v>
      </c>
      <c r="D11036" t="s">
        <v>11</v>
      </c>
      <c r="E11036" t="s">
        <v>12</v>
      </c>
      <c r="F11036">
        <v>41837684</v>
      </c>
      <c r="G11036">
        <v>41837728</v>
      </c>
      <c r="H11036">
        <v>41837684</v>
      </c>
      <c r="I11036">
        <v>41837728</v>
      </c>
    </row>
    <row r="11037" spans="1:9" x14ac:dyDescent="0.2">
      <c r="A11037" s="1" t="str">
        <f>"MTRF1L"</f>
        <v>MTRF1L</v>
      </c>
      <c r="B11037" t="s">
        <v>14</v>
      </c>
      <c r="C11037" t="s">
        <v>32</v>
      </c>
      <c r="D11037" t="s">
        <v>11</v>
      </c>
      <c r="E11037" t="s">
        <v>12</v>
      </c>
      <c r="F11037">
        <v>153323801</v>
      </c>
      <c r="G11037">
        <v>153323874</v>
      </c>
      <c r="H11037">
        <v>153323919</v>
      </c>
      <c r="I11037">
        <v>153323922</v>
      </c>
    </row>
    <row r="11038" spans="1:9" x14ac:dyDescent="0.2">
      <c r="A11038" s="1" t="str">
        <f>"MTRNR2L1"</f>
        <v>MTRNR2L1</v>
      </c>
      <c r="B11038" t="s">
        <v>14</v>
      </c>
      <c r="C11038" t="s">
        <v>28</v>
      </c>
      <c r="D11038" t="s">
        <v>17</v>
      </c>
      <c r="E11038" t="s">
        <v>67</v>
      </c>
      <c r="F11038">
        <v>22022561</v>
      </c>
      <c r="G11038">
        <v>22022588</v>
      </c>
      <c r="H11038">
        <v>22022561</v>
      </c>
      <c r="I11038">
        <v>22022588</v>
      </c>
    </row>
    <row r="11039" spans="1:9" x14ac:dyDescent="0.2">
      <c r="A11039" s="1" t="str">
        <f>"MTRNR2L10"</f>
        <v>MTRNR2L10</v>
      </c>
      <c r="B11039" t="s">
        <v>14</v>
      </c>
      <c r="C11039" t="s">
        <v>37</v>
      </c>
      <c r="D11039" t="s">
        <v>11</v>
      </c>
      <c r="E11039" t="s">
        <v>12</v>
      </c>
      <c r="F11039">
        <v>55208866</v>
      </c>
      <c r="G11039">
        <v>55208875</v>
      </c>
      <c r="H11039">
        <v>55208866</v>
      </c>
      <c r="I11039">
        <v>55208875</v>
      </c>
    </row>
    <row r="11040" spans="1:9" x14ac:dyDescent="0.2">
      <c r="A11040" s="1" t="str">
        <f>"MTRNR2L2"</f>
        <v>MTRNR2L2</v>
      </c>
      <c r="B11040" t="s">
        <v>824</v>
      </c>
      <c r="C11040" t="s">
        <v>46</v>
      </c>
      <c r="D11040" t="s">
        <v>11</v>
      </c>
      <c r="E11040" t="s">
        <v>35</v>
      </c>
      <c r="F11040">
        <v>79946858</v>
      </c>
      <c r="G11040">
        <v>79946870</v>
      </c>
      <c r="H11040">
        <v>79946810</v>
      </c>
      <c r="I11040">
        <v>79946819</v>
      </c>
    </row>
    <row r="11041" spans="1:9" x14ac:dyDescent="0.2">
      <c r="A11041" s="1" t="str">
        <f>"MTRNR2L3"</f>
        <v>MTRNR2L3</v>
      </c>
      <c r="B11041" t="s">
        <v>14</v>
      </c>
      <c r="C11041" t="s">
        <v>29</v>
      </c>
      <c r="D11041" t="s">
        <v>11</v>
      </c>
      <c r="E11041" t="s">
        <v>12</v>
      </c>
      <c r="F11041">
        <v>55934548</v>
      </c>
      <c r="G11041">
        <v>55934555</v>
      </c>
      <c r="H11041">
        <v>55934548</v>
      </c>
      <c r="I11041">
        <v>55934555</v>
      </c>
    </row>
    <row r="11042" spans="1:9" x14ac:dyDescent="0.2">
      <c r="A11042" s="1" t="str">
        <f>"MTRNR2L4"</f>
        <v>MTRNR2L4</v>
      </c>
      <c r="B11042" t="s">
        <v>14</v>
      </c>
      <c r="C11042" t="s">
        <v>31</v>
      </c>
      <c r="D11042" t="s">
        <v>11</v>
      </c>
      <c r="E11042" t="s">
        <v>12</v>
      </c>
      <c r="F11042">
        <v>3422666</v>
      </c>
      <c r="G11042">
        <v>3422668</v>
      </c>
      <c r="H11042">
        <v>3422666</v>
      </c>
      <c r="I11042">
        <v>3422668</v>
      </c>
    </row>
    <row r="11043" spans="1:9" x14ac:dyDescent="0.2">
      <c r="A11043" s="1" t="str">
        <f>"MTRNR2L5"</f>
        <v>MTRNR2L5</v>
      </c>
      <c r="B11043" t="s">
        <v>14</v>
      </c>
      <c r="C11043" t="s">
        <v>15</v>
      </c>
      <c r="D11043" t="s">
        <v>17</v>
      </c>
      <c r="E11043" t="s">
        <v>12</v>
      </c>
      <c r="F11043">
        <v>57358801</v>
      </c>
      <c r="G11043">
        <v>57358802</v>
      </c>
      <c r="H11043">
        <v>57358801</v>
      </c>
      <c r="I11043">
        <v>57358802</v>
      </c>
    </row>
    <row r="11044" spans="1:9" x14ac:dyDescent="0.2">
      <c r="A11044" s="1" t="str">
        <f>"MTRNR2L6"</f>
        <v>MTRNR2L6</v>
      </c>
      <c r="B11044" t="s">
        <v>14</v>
      </c>
      <c r="C11044" t="s">
        <v>33</v>
      </c>
      <c r="D11044" t="s">
        <v>17</v>
      </c>
      <c r="E11044" t="s">
        <v>12</v>
      </c>
      <c r="F11044">
        <v>142374429</v>
      </c>
      <c r="G11044">
        <v>142374438</v>
      </c>
      <c r="H11044">
        <v>142374429</v>
      </c>
      <c r="I11044">
        <v>142374438</v>
      </c>
    </row>
    <row r="11045" spans="1:9" x14ac:dyDescent="0.2">
      <c r="A11045" s="1" t="str">
        <f>"MTRNR2L7"</f>
        <v>MTRNR2L7</v>
      </c>
      <c r="B11045" t="s">
        <v>14</v>
      </c>
      <c r="C11045" t="s">
        <v>15</v>
      </c>
      <c r="D11045" t="s">
        <v>11</v>
      </c>
      <c r="E11045" t="s">
        <v>12</v>
      </c>
      <c r="F11045">
        <v>37891579</v>
      </c>
      <c r="G11045">
        <v>37891599</v>
      </c>
      <c r="H11045">
        <v>37891579</v>
      </c>
      <c r="I11045">
        <v>37891599</v>
      </c>
    </row>
    <row r="11046" spans="1:9" x14ac:dyDescent="0.2">
      <c r="A11046" s="1" t="str">
        <f>"MTRNR2L8"</f>
        <v>MTRNR2L8</v>
      </c>
      <c r="B11046" t="s">
        <v>14</v>
      </c>
      <c r="C11046" t="s">
        <v>27</v>
      </c>
      <c r="D11046" t="s">
        <v>11</v>
      </c>
      <c r="E11046" t="s">
        <v>12</v>
      </c>
      <c r="F11046">
        <v>10530732</v>
      </c>
      <c r="G11046">
        <v>10530733</v>
      </c>
      <c r="H11046">
        <v>10530732</v>
      </c>
      <c r="I11046">
        <v>10530733</v>
      </c>
    </row>
    <row r="11047" spans="1:9" x14ac:dyDescent="0.2">
      <c r="A11047" s="1" t="str">
        <f>"MTRR"</f>
        <v>MTRR</v>
      </c>
      <c r="B11047" t="s">
        <v>14</v>
      </c>
      <c r="C11047" t="s">
        <v>46</v>
      </c>
      <c r="D11047" t="s">
        <v>17</v>
      </c>
      <c r="E11047" t="s">
        <v>12</v>
      </c>
      <c r="F11047">
        <v>7869247</v>
      </c>
      <c r="G11047">
        <v>7869312</v>
      </c>
      <c r="H11047">
        <v>7869316</v>
      </c>
      <c r="I11047">
        <v>7869329</v>
      </c>
    </row>
    <row r="11048" spans="1:9" x14ac:dyDescent="0.2">
      <c r="A11048" s="1" t="str">
        <f>"MTSS1"</f>
        <v>MTSS1</v>
      </c>
      <c r="B11048" t="s">
        <v>14</v>
      </c>
      <c r="C11048" t="s">
        <v>30</v>
      </c>
      <c r="D11048" t="s">
        <v>11</v>
      </c>
      <c r="E11048" t="s">
        <v>12</v>
      </c>
      <c r="F11048">
        <v>125740643</v>
      </c>
      <c r="G11048">
        <v>125740697</v>
      </c>
      <c r="H11048">
        <v>125740699</v>
      </c>
      <c r="I11048">
        <v>125740720</v>
      </c>
    </row>
    <row r="11049" spans="1:9" x14ac:dyDescent="0.2">
      <c r="A11049" s="1" t="str">
        <f>"MTSS1L"</f>
        <v>MTSS1L</v>
      </c>
      <c r="B11049" t="s">
        <v>14</v>
      </c>
      <c r="C11049" t="s">
        <v>31</v>
      </c>
      <c r="D11049" t="s">
        <v>11</v>
      </c>
      <c r="E11049" t="s">
        <v>12</v>
      </c>
      <c r="F11049">
        <v>70719925</v>
      </c>
      <c r="G11049">
        <v>70719989</v>
      </c>
      <c r="H11049">
        <v>70719897</v>
      </c>
      <c r="I11049">
        <v>70719908</v>
      </c>
    </row>
    <row r="11050" spans="1:9" x14ac:dyDescent="0.2">
      <c r="A11050" s="1" t="str">
        <f>"MTTP"</f>
        <v>MTTP</v>
      </c>
      <c r="B11050" t="s">
        <v>14</v>
      </c>
      <c r="C11050" t="s">
        <v>23</v>
      </c>
      <c r="D11050" t="s">
        <v>17</v>
      </c>
      <c r="E11050" t="s">
        <v>12</v>
      </c>
      <c r="F11050">
        <v>100495969</v>
      </c>
      <c r="G11050">
        <v>100495987</v>
      </c>
      <c r="H11050">
        <v>100495993</v>
      </c>
      <c r="I11050">
        <v>100496024</v>
      </c>
    </row>
    <row r="11051" spans="1:9" x14ac:dyDescent="0.2">
      <c r="A11051" s="1" t="str">
        <f>"MTUS1"</f>
        <v>MTUS1</v>
      </c>
      <c r="B11051" t="s">
        <v>14</v>
      </c>
      <c r="C11051" t="s">
        <v>30</v>
      </c>
      <c r="D11051" t="s">
        <v>11</v>
      </c>
      <c r="E11051" t="s">
        <v>12</v>
      </c>
      <c r="F11051">
        <v>17555164</v>
      </c>
      <c r="G11051">
        <v>17555204</v>
      </c>
      <c r="H11051">
        <v>17555164</v>
      </c>
      <c r="I11051">
        <v>17555204</v>
      </c>
    </row>
    <row r="11052" spans="1:9" x14ac:dyDescent="0.2">
      <c r="A11052" s="1" t="str">
        <f>"MTUS2"</f>
        <v>MTUS2</v>
      </c>
      <c r="B11052" t="s">
        <v>14</v>
      </c>
      <c r="C11052" t="s">
        <v>39</v>
      </c>
      <c r="D11052" t="s">
        <v>17</v>
      </c>
      <c r="E11052" t="s">
        <v>12</v>
      </c>
      <c r="F11052">
        <v>30002741</v>
      </c>
      <c r="G11052">
        <v>30002776</v>
      </c>
      <c r="H11052">
        <v>30002915</v>
      </c>
      <c r="I11052">
        <v>30002930</v>
      </c>
    </row>
    <row r="11053" spans="1:9" x14ac:dyDescent="0.2">
      <c r="A11053" s="1" t="str">
        <f>"MTX1"</f>
        <v>MTX1</v>
      </c>
      <c r="B11053" t="s">
        <v>14</v>
      </c>
      <c r="C11053" t="s">
        <v>19</v>
      </c>
      <c r="D11053" t="s">
        <v>17</v>
      </c>
      <c r="E11053" t="s">
        <v>12</v>
      </c>
      <c r="F11053">
        <v>155179012</v>
      </c>
      <c r="G11053">
        <v>155179053</v>
      </c>
      <c r="H11053">
        <v>155178518</v>
      </c>
      <c r="I11053">
        <v>155178600</v>
      </c>
    </row>
    <row r="11054" spans="1:9" x14ac:dyDescent="0.2">
      <c r="A11054" s="1" t="str">
        <f>"MTX2"</f>
        <v>MTX2</v>
      </c>
      <c r="B11054" t="s">
        <v>14</v>
      </c>
      <c r="C11054" t="s">
        <v>26</v>
      </c>
      <c r="D11054" t="s">
        <v>17</v>
      </c>
      <c r="E11054" t="s">
        <v>12</v>
      </c>
      <c r="F11054">
        <v>177134134</v>
      </c>
      <c r="G11054">
        <v>177134197</v>
      </c>
      <c r="H11054">
        <v>177134201</v>
      </c>
      <c r="I11054">
        <v>177134212</v>
      </c>
    </row>
    <row r="11055" spans="1:9" x14ac:dyDescent="0.2">
      <c r="A11055" s="1" t="str">
        <f>"MTX3"</f>
        <v>MTX3</v>
      </c>
      <c r="B11055" t="s">
        <v>14</v>
      </c>
      <c r="C11055" t="s">
        <v>46</v>
      </c>
      <c r="D11055" t="s">
        <v>11</v>
      </c>
      <c r="E11055" t="s">
        <v>12</v>
      </c>
      <c r="F11055">
        <v>79287060</v>
      </c>
      <c r="G11055">
        <v>79287093</v>
      </c>
      <c r="H11055">
        <v>79287060</v>
      </c>
      <c r="I11055">
        <v>79287093</v>
      </c>
    </row>
    <row r="11056" spans="1:9" x14ac:dyDescent="0.2">
      <c r="A11056" s="1" t="str">
        <f>"MUC1"</f>
        <v>MUC1</v>
      </c>
      <c r="B11056" t="s">
        <v>14</v>
      </c>
      <c r="C11056" t="s">
        <v>19</v>
      </c>
      <c r="D11056" t="s">
        <v>11</v>
      </c>
      <c r="E11056" t="s">
        <v>12</v>
      </c>
      <c r="F11056">
        <v>155162693</v>
      </c>
      <c r="G11056">
        <v>155162707</v>
      </c>
      <c r="H11056">
        <v>155162693</v>
      </c>
      <c r="I11056">
        <v>155162707</v>
      </c>
    </row>
    <row r="11057" spans="1:9" x14ac:dyDescent="0.2">
      <c r="A11057" s="1" t="str">
        <f>"MUC12"</f>
        <v>MUC12</v>
      </c>
      <c r="B11057" t="s">
        <v>825</v>
      </c>
      <c r="C11057" t="s">
        <v>33</v>
      </c>
      <c r="D11057" t="s">
        <v>17</v>
      </c>
      <c r="E11057" t="s">
        <v>75</v>
      </c>
      <c r="F11057">
        <v>100612819</v>
      </c>
      <c r="G11057">
        <v>100612853</v>
      </c>
      <c r="H11057">
        <v>100612819</v>
      </c>
      <c r="I11057">
        <v>100612853</v>
      </c>
    </row>
    <row r="11058" spans="1:9" x14ac:dyDescent="0.2">
      <c r="A11058" s="1" t="str">
        <f>"MUC13"</f>
        <v>MUC13</v>
      </c>
      <c r="B11058" t="s">
        <v>9</v>
      </c>
      <c r="C11058" t="s">
        <v>22</v>
      </c>
      <c r="D11058" t="s">
        <v>11</v>
      </c>
      <c r="E11058" t="s">
        <v>12</v>
      </c>
      <c r="F11058">
        <v>124653579</v>
      </c>
      <c r="G11058">
        <v>124653601</v>
      </c>
      <c r="H11058">
        <v>124653579</v>
      </c>
      <c r="I11058">
        <v>124653601</v>
      </c>
    </row>
    <row r="11059" spans="1:9" x14ac:dyDescent="0.2">
      <c r="A11059" s="1" t="str">
        <f>"MUC13"</f>
        <v>MUC13</v>
      </c>
      <c r="B11059" t="s">
        <v>13</v>
      </c>
      <c r="C11059" t="s">
        <v>22</v>
      </c>
      <c r="D11059" t="s">
        <v>11</v>
      </c>
      <c r="E11059" t="s">
        <v>12</v>
      </c>
      <c r="F11059">
        <v>124646690</v>
      </c>
      <c r="G11059">
        <v>124646794</v>
      </c>
      <c r="H11059">
        <v>124646690</v>
      </c>
      <c r="I11059">
        <v>124646794</v>
      </c>
    </row>
    <row r="11060" spans="1:9" x14ac:dyDescent="0.2">
      <c r="A11060" s="1" t="str">
        <f>"MUC15"</f>
        <v>MUC15</v>
      </c>
      <c r="B11060" t="s">
        <v>14</v>
      </c>
      <c r="C11060" t="s">
        <v>27</v>
      </c>
      <c r="D11060" t="s">
        <v>11</v>
      </c>
      <c r="E11060" t="s">
        <v>12</v>
      </c>
      <c r="F11060">
        <v>26593801</v>
      </c>
      <c r="G11060">
        <v>26593817</v>
      </c>
      <c r="H11060">
        <v>26593677</v>
      </c>
      <c r="I11060">
        <v>26593708</v>
      </c>
    </row>
    <row r="11061" spans="1:9" x14ac:dyDescent="0.2">
      <c r="A11061" s="1" t="str">
        <f>"MUC16"</f>
        <v>MUC16</v>
      </c>
      <c r="B11061" t="s">
        <v>826</v>
      </c>
      <c r="C11061" t="s">
        <v>10</v>
      </c>
      <c r="D11061" t="s">
        <v>11</v>
      </c>
      <c r="E11061" t="s">
        <v>20</v>
      </c>
      <c r="F11061">
        <v>9092017</v>
      </c>
      <c r="G11061">
        <v>9092017</v>
      </c>
      <c r="H11061">
        <v>9092017</v>
      </c>
      <c r="I11061">
        <v>9092017</v>
      </c>
    </row>
    <row r="11062" spans="1:9" x14ac:dyDescent="0.2">
      <c r="A11062" s="1" t="str">
        <f>"MUC17"</f>
        <v>MUC17</v>
      </c>
      <c r="B11062" t="s">
        <v>14</v>
      </c>
      <c r="C11062" t="s">
        <v>33</v>
      </c>
      <c r="D11062" t="s">
        <v>17</v>
      </c>
      <c r="E11062" t="s">
        <v>12</v>
      </c>
      <c r="F11062">
        <v>100663354</v>
      </c>
      <c r="G11062">
        <v>100663373</v>
      </c>
      <c r="H11062">
        <v>100663354</v>
      </c>
      <c r="I11062">
        <v>100663373</v>
      </c>
    </row>
    <row r="11063" spans="1:9" x14ac:dyDescent="0.2">
      <c r="A11063" s="1" t="str">
        <f>"MUC19"</f>
        <v>MUC19</v>
      </c>
      <c r="B11063" t="s">
        <v>14</v>
      </c>
      <c r="C11063" t="s">
        <v>16</v>
      </c>
      <c r="D11063" t="s">
        <v>17</v>
      </c>
      <c r="E11063" t="s">
        <v>12</v>
      </c>
      <c r="F11063">
        <v>40787194</v>
      </c>
      <c r="G11063">
        <v>40787197</v>
      </c>
      <c r="H11063">
        <v>40787194</v>
      </c>
      <c r="I11063">
        <v>40787197</v>
      </c>
    </row>
    <row r="11064" spans="1:9" x14ac:dyDescent="0.2">
      <c r="A11064" s="1" t="str">
        <f>"MUC2"</f>
        <v>MUC2</v>
      </c>
      <c r="B11064" t="s">
        <v>14</v>
      </c>
      <c r="C11064" t="s">
        <v>27</v>
      </c>
      <c r="D11064" t="s">
        <v>17</v>
      </c>
      <c r="E11064" t="s">
        <v>12</v>
      </c>
      <c r="F11064">
        <v>1074870</v>
      </c>
      <c r="G11064">
        <v>1074883</v>
      </c>
      <c r="H11064">
        <v>1074870</v>
      </c>
      <c r="I11064">
        <v>1074883</v>
      </c>
    </row>
    <row r="11065" spans="1:9" x14ac:dyDescent="0.2">
      <c r="A11065" s="1" t="str">
        <f>"MUC20"</f>
        <v>MUC20</v>
      </c>
      <c r="B11065" t="s">
        <v>14</v>
      </c>
      <c r="C11065" t="s">
        <v>22</v>
      </c>
      <c r="D11065" t="s">
        <v>17</v>
      </c>
      <c r="E11065" t="s">
        <v>12</v>
      </c>
      <c r="F11065">
        <v>195447845</v>
      </c>
      <c r="G11065">
        <v>195447855</v>
      </c>
      <c r="H11065">
        <v>195447738</v>
      </c>
      <c r="I11065">
        <v>195447761</v>
      </c>
    </row>
    <row r="11066" spans="1:9" x14ac:dyDescent="0.2">
      <c r="A11066" s="1" t="str">
        <f>"MUC21"</f>
        <v>MUC21</v>
      </c>
      <c r="B11066" t="s">
        <v>14</v>
      </c>
      <c r="C11066" t="s">
        <v>32</v>
      </c>
      <c r="D11066" t="s">
        <v>17</v>
      </c>
      <c r="E11066" t="s">
        <v>12</v>
      </c>
      <c r="F11066">
        <v>30951487</v>
      </c>
      <c r="G11066">
        <v>30951504</v>
      </c>
      <c r="H11066">
        <v>30951487</v>
      </c>
      <c r="I11066">
        <v>30951504</v>
      </c>
    </row>
    <row r="11067" spans="1:9" x14ac:dyDescent="0.2">
      <c r="A11067" s="1" t="str">
        <f>"MUC22"</f>
        <v>MUC22</v>
      </c>
      <c r="B11067" t="s">
        <v>14</v>
      </c>
      <c r="C11067" t="s">
        <v>32</v>
      </c>
      <c r="D11067" t="s">
        <v>17</v>
      </c>
      <c r="E11067" t="s">
        <v>12</v>
      </c>
      <c r="F11067">
        <v>30978250</v>
      </c>
      <c r="G11067">
        <v>30978258</v>
      </c>
      <c r="H11067">
        <v>30978250</v>
      </c>
      <c r="I11067">
        <v>30978258</v>
      </c>
    </row>
    <row r="11068" spans="1:9" x14ac:dyDescent="0.2">
      <c r="A11068" s="1" t="str">
        <f>"MUC3A"</f>
        <v>MUC3A</v>
      </c>
      <c r="B11068" t="s">
        <v>14</v>
      </c>
      <c r="C11068" t="s">
        <v>33</v>
      </c>
      <c r="D11068" t="s">
        <v>17</v>
      </c>
      <c r="E11068" t="s">
        <v>12</v>
      </c>
      <c r="F11068">
        <v>100547156</v>
      </c>
      <c r="G11068">
        <v>100547182</v>
      </c>
      <c r="H11068">
        <v>100547156</v>
      </c>
      <c r="I11068">
        <v>100547182</v>
      </c>
    </row>
    <row r="11069" spans="1:9" x14ac:dyDescent="0.2">
      <c r="A11069" s="1" t="str">
        <f>"MUC4"</f>
        <v>MUC4</v>
      </c>
      <c r="B11069" t="s">
        <v>14</v>
      </c>
      <c r="C11069" t="s">
        <v>22</v>
      </c>
      <c r="D11069" t="s">
        <v>11</v>
      </c>
      <c r="E11069" t="s">
        <v>12</v>
      </c>
      <c r="F11069">
        <v>195538787</v>
      </c>
      <c r="G11069">
        <v>195538810</v>
      </c>
      <c r="H11069">
        <v>195538743</v>
      </c>
      <c r="I11069">
        <v>195538754</v>
      </c>
    </row>
    <row r="11070" spans="1:9" x14ac:dyDescent="0.2">
      <c r="A11070" s="1" t="str">
        <f>"MUC5AC"</f>
        <v>MUC5AC</v>
      </c>
      <c r="B11070" t="s">
        <v>14</v>
      </c>
      <c r="C11070" t="s">
        <v>27</v>
      </c>
      <c r="D11070" t="s">
        <v>17</v>
      </c>
      <c r="E11070" t="s">
        <v>12</v>
      </c>
      <c r="F11070">
        <v>1151573</v>
      </c>
      <c r="G11070">
        <v>1151590</v>
      </c>
      <c r="H11070">
        <v>1151573</v>
      </c>
      <c r="I11070">
        <v>1151590</v>
      </c>
    </row>
    <row r="11071" spans="1:9" x14ac:dyDescent="0.2">
      <c r="A11071" s="1" t="str">
        <f>"MUC5B"</f>
        <v>MUC5B</v>
      </c>
      <c r="B11071" t="s">
        <v>14</v>
      </c>
      <c r="C11071" t="s">
        <v>27</v>
      </c>
      <c r="D11071" t="s">
        <v>17</v>
      </c>
      <c r="E11071" t="s">
        <v>12</v>
      </c>
      <c r="F11071">
        <v>1244288</v>
      </c>
      <c r="G11071">
        <v>1244302</v>
      </c>
      <c r="H11071">
        <v>1244288</v>
      </c>
      <c r="I11071">
        <v>1244302</v>
      </c>
    </row>
    <row r="11072" spans="1:9" x14ac:dyDescent="0.2">
      <c r="A11072" s="1" t="str">
        <f>"MUC6"</f>
        <v>MUC6</v>
      </c>
      <c r="B11072" t="s">
        <v>9</v>
      </c>
      <c r="C11072" t="s">
        <v>27</v>
      </c>
      <c r="D11072" t="s">
        <v>11</v>
      </c>
      <c r="E11072" t="s">
        <v>12</v>
      </c>
      <c r="F11072">
        <v>1036706</v>
      </c>
      <c r="G11072">
        <v>1036726</v>
      </c>
      <c r="H11072">
        <v>1036706</v>
      </c>
      <c r="I11072">
        <v>1036726</v>
      </c>
    </row>
    <row r="11073" spans="1:9" x14ac:dyDescent="0.2">
      <c r="A11073" s="1" t="str">
        <f>"MUC6"</f>
        <v>MUC6</v>
      </c>
      <c r="B11073" t="s">
        <v>13</v>
      </c>
      <c r="C11073" t="s">
        <v>27</v>
      </c>
      <c r="D11073" t="s">
        <v>11</v>
      </c>
      <c r="E11073" t="s">
        <v>12</v>
      </c>
      <c r="F11073">
        <v>1016848</v>
      </c>
      <c r="G11073">
        <v>1016859</v>
      </c>
      <c r="H11073">
        <v>1016848</v>
      </c>
      <c r="I11073">
        <v>1016859</v>
      </c>
    </row>
    <row r="11074" spans="1:9" x14ac:dyDescent="0.2">
      <c r="A11074" s="1" t="str">
        <f>"MUC7"</f>
        <v>MUC7</v>
      </c>
      <c r="B11074" t="s">
        <v>9</v>
      </c>
      <c r="C11074" t="s">
        <v>23</v>
      </c>
      <c r="D11074" t="s">
        <v>17</v>
      </c>
      <c r="E11074" t="s">
        <v>12</v>
      </c>
      <c r="F11074">
        <v>71337906</v>
      </c>
      <c r="G11074">
        <v>71337921</v>
      </c>
      <c r="H11074">
        <v>71337906</v>
      </c>
      <c r="I11074">
        <v>71337921</v>
      </c>
    </row>
    <row r="11075" spans="1:9" x14ac:dyDescent="0.2">
      <c r="A11075" s="1" t="str">
        <f>"MUC7"</f>
        <v>MUC7</v>
      </c>
      <c r="B11075" t="s">
        <v>13</v>
      </c>
      <c r="C11075" t="s">
        <v>23</v>
      </c>
      <c r="D11075" t="s">
        <v>17</v>
      </c>
      <c r="E11075" t="s">
        <v>12</v>
      </c>
      <c r="F11075">
        <v>71346755</v>
      </c>
      <c r="G11075">
        <v>71346788</v>
      </c>
      <c r="H11075">
        <v>71346755</v>
      </c>
      <c r="I11075">
        <v>71346788</v>
      </c>
    </row>
    <row r="11076" spans="1:9" x14ac:dyDescent="0.2">
      <c r="A11076" s="1" t="str">
        <f>"MUC8"</f>
        <v>MUC8</v>
      </c>
      <c r="B11076" t="s">
        <v>14</v>
      </c>
      <c r="C11076" t="s">
        <v>16</v>
      </c>
      <c r="D11076" t="s">
        <v>11</v>
      </c>
      <c r="E11076" t="s">
        <v>12</v>
      </c>
      <c r="F11076">
        <v>133051161</v>
      </c>
      <c r="G11076">
        <v>133051178</v>
      </c>
      <c r="H11076">
        <v>133051161</v>
      </c>
      <c r="I11076">
        <v>133051178</v>
      </c>
    </row>
    <row r="11077" spans="1:9" x14ac:dyDescent="0.2">
      <c r="A11077" s="1" t="str">
        <f>"MUCL1"</f>
        <v>MUCL1</v>
      </c>
      <c r="B11077" t="s">
        <v>14</v>
      </c>
      <c r="C11077" t="s">
        <v>16</v>
      </c>
      <c r="D11077" t="s">
        <v>17</v>
      </c>
      <c r="E11077" t="s">
        <v>12</v>
      </c>
      <c r="F11077">
        <v>55248289</v>
      </c>
      <c r="G11077">
        <v>55248306</v>
      </c>
      <c r="H11077">
        <v>55248289</v>
      </c>
      <c r="I11077">
        <v>55248306</v>
      </c>
    </row>
    <row r="11078" spans="1:9" x14ac:dyDescent="0.2">
      <c r="A11078" s="1" t="str">
        <f>"MUL1"</f>
        <v>MUL1</v>
      </c>
      <c r="B11078" t="s">
        <v>14</v>
      </c>
      <c r="C11078" t="s">
        <v>19</v>
      </c>
      <c r="D11078" t="s">
        <v>11</v>
      </c>
      <c r="E11078" t="s">
        <v>12</v>
      </c>
      <c r="F11078">
        <v>20834586</v>
      </c>
      <c r="G11078">
        <v>20834656</v>
      </c>
      <c r="H11078">
        <v>20834552</v>
      </c>
      <c r="I11078">
        <v>20834572</v>
      </c>
    </row>
    <row r="11079" spans="1:9" x14ac:dyDescent="0.2">
      <c r="A11079" s="1" t="str">
        <f>"MUM1"</f>
        <v>MUM1</v>
      </c>
      <c r="B11079" t="s">
        <v>14</v>
      </c>
      <c r="C11079" t="s">
        <v>10</v>
      </c>
      <c r="D11079" t="s">
        <v>17</v>
      </c>
      <c r="E11079" t="s">
        <v>12</v>
      </c>
      <c r="F11079">
        <v>1354930</v>
      </c>
      <c r="G11079">
        <v>1355035</v>
      </c>
      <c r="H11079">
        <v>1354930</v>
      </c>
      <c r="I11079">
        <v>1355035</v>
      </c>
    </row>
    <row r="11080" spans="1:9" x14ac:dyDescent="0.2">
      <c r="A11080" s="1" t="str">
        <f>"MUM1L1"</f>
        <v>MUM1L1</v>
      </c>
      <c r="B11080" t="s">
        <v>14</v>
      </c>
      <c r="C11080" t="s">
        <v>37</v>
      </c>
      <c r="D11080" t="s">
        <v>17</v>
      </c>
      <c r="E11080" t="s">
        <v>12</v>
      </c>
      <c r="F11080">
        <v>105412290</v>
      </c>
      <c r="G11080">
        <v>105412313</v>
      </c>
      <c r="H11080">
        <v>105412290</v>
      </c>
      <c r="I11080">
        <v>105412313</v>
      </c>
    </row>
    <row r="11081" spans="1:9" x14ac:dyDescent="0.2">
      <c r="A11081" s="1" t="str">
        <f>"MURC"</f>
        <v>MURC</v>
      </c>
      <c r="B11081" t="s">
        <v>14</v>
      </c>
      <c r="C11081" t="s">
        <v>24</v>
      </c>
      <c r="D11081" t="s">
        <v>17</v>
      </c>
      <c r="E11081" t="s">
        <v>12</v>
      </c>
      <c r="F11081">
        <v>103340354</v>
      </c>
      <c r="G11081">
        <v>103340367</v>
      </c>
      <c r="H11081">
        <v>103340375</v>
      </c>
      <c r="I11081">
        <v>103340386</v>
      </c>
    </row>
    <row r="11082" spans="1:9" x14ac:dyDescent="0.2">
      <c r="A11082" s="1" t="str">
        <f>"MUS81"</f>
        <v>MUS81</v>
      </c>
      <c r="B11082" t="s">
        <v>14</v>
      </c>
      <c r="C11082" t="s">
        <v>27</v>
      </c>
      <c r="D11082" t="s">
        <v>17</v>
      </c>
      <c r="E11082" t="s">
        <v>12</v>
      </c>
      <c r="F11082">
        <v>65627865</v>
      </c>
      <c r="G11082">
        <v>65627958</v>
      </c>
      <c r="H11082">
        <v>65627974</v>
      </c>
      <c r="I11082">
        <v>65628026</v>
      </c>
    </row>
    <row r="11083" spans="1:9" x14ac:dyDescent="0.2">
      <c r="A11083" s="1" t="str">
        <f>"MUSK"</f>
        <v>MUSK</v>
      </c>
      <c r="B11083" t="s">
        <v>14</v>
      </c>
      <c r="C11083" t="s">
        <v>24</v>
      </c>
      <c r="D11083" t="s">
        <v>17</v>
      </c>
      <c r="E11083" t="s">
        <v>12</v>
      </c>
      <c r="F11083">
        <v>113431060</v>
      </c>
      <c r="G11083">
        <v>113431077</v>
      </c>
      <c r="H11083">
        <v>113431029</v>
      </c>
      <c r="I11083">
        <v>113431050</v>
      </c>
    </row>
    <row r="11084" spans="1:9" x14ac:dyDescent="0.2">
      <c r="A11084" s="1" t="str">
        <f>"MUSTN1"</f>
        <v>MUSTN1</v>
      </c>
      <c r="B11084" t="s">
        <v>14</v>
      </c>
      <c r="C11084" t="s">
        <v>22</v>
      </c>
      <c r="D11084" t="s">
        <v>11</v>
      </c>
      <c r="E11084" t="s">
        <v>12</v>
      </c>
      <c r="F11084">
        <v>52869027</v>
      </c>
      <c r="G11084">
        <v>52869042</v>
      </c>
      <c r="H11084">
        <v>52869205</v>
      </c>
      <c r="I11084">
        <v>52869238</v>
      </c>
    </row>
    <row r="11085" spans="1:9" x14ac:dyDescent="0.2">
      <c r="A11085" s="1" t="str">
        <f>"MUT"</f>
        <v>MUT</v>
      </c>
      <c r="B11085" t="s">
        <v>14</v>
      </c>
      <c r="C11085" t="s">
        <v>32</v>
      </c>
      <c r="D11085" t="s">
        <v>11</v>
      </c>
      <c r="E11085" t="s">
        <v>12</v>
      </c>
      <c r="F11085">
        <v>49430886</v>
      </c>
      <c r="G11085">
        <v>49430988</v>
      </c>
      <c r="H11085">
        <v>49431002</v>
      </c>
      <c r="I11085">
        <v>49431027</v>
      </c>
    </row>
    <row r="11086" spans="1:9" x14ac:dyDescent="0.2">
      <c r="A11086" s="1" t="str">
        <f>"MUTYH"</f>
        <v>MUTYH</v>
      </c>
      <c r="B11086" t="s">
        <v>14</v>
      </c>
      <c r="C11086" t="s">
        <v>19</v>
      </c>
      <c r="D11086" t="s">
        <v>11</v>
      </c>
      <c r="E11086" t="s">
        <v>12</v>
      </c>
      <c r="F11086">
        <v>45806056</v>
      </c>
      <c r="G11086">
        <v>45806124</v>
      </c>
      <c r="H11086">
        <v>45805630</v>
      </c>
      <c r="I11086">
        <v>45805655</v>
      </c>
    </row>
    <row r="11087" spans="1:9" x14ac:dyDescent="0.2">
      <c r="A11087" s="1" t="str">
        <f>"MVB12A"</f>
        <v>MVB12A</v>
      </c>
      <c r="B11087" t="s">
        <v>14</v>
      </c>
      <c r="C11087" t="s">
        <v>10</v>
      </c>
      <c r="D11087" t="s">
        <v>17</v>
      </c>
      <c r="E11087" t="s">
        <v>12</v>
      </c>
      <c r="F11087">
        <v>17530838</v>
      </c>
      <c r="G11087">
        <v>17530885</v>
      </c>
      <c r="H11087">
        <v>17530888</v>
      </c>
      <c r="I11087">
        <v>17530938</v>
      </c>
    </row>
    <row r="11088" spans="1:9" x14ac:dyDescent="0.2">
      <c r="A11088" s="1" t="str">
        <f>"MVB12B"</f>
        <v>MVB12B</v>
      </c>
      <c r="B11088" t="s">
        <v>14</v>
      </c>
      <c r="C11088" t="s">
        <v>24</v>
      </c>
      <c r="D11088" t="s">
        <v>17</v>
      </c>
      <c r="E11088" t="s">
        <v>12</v>
      </c>
      <c r="F11088">
        <v>129089088</v>
      </c>
      <c r="G11088">
        <v>129089163</v>
      </c>
      <c r="H11088">
        <v>129089088</v>
      </c>
      <c r="I11088">
        <v>129089163</v>
      </c>
    </row>
    <row r="11089" spans="1:9" x14ac:dyDescent="0.2">
      <c r="A11089" s="1" t="str">
        <f>"MVD"</f>
        <v>MVD</v>
      </c>
      <c r="B11089" t="s">
        <v>14</v>
      </c>
      <c r="C11089" t="s">
        <v>31</v>
      </c>
      <c r="D11089" t="s">
        <v>11</v>
      </c>
      <c r="E11089" t="s">
        <v>12</v>
      </c>
      <c r="F11089">
        <v>88729473</v>
      </c>
      <c r="G11089">
        <v>88729561</v>
      </c>
      <c r="H11089">
        <v>88729448</v>
      </c>
      <c r="I11089">
        <v>88729467</v>
      </c>
    </row>
    <row r="11090" spans="1:9" x14ac:dyDescent="0.2">
      <c r="A11090" s="1" t="str">
        <f>"MVK"</f>
        <v>MVK</v>
      </c>
      <c r="B11090" t="s">
        <v>14</v>
      </c>
      <c r="C11090" t="s">
        <v>16</v>
      </c>
      <c r="D11090" t="s">
        <v>17</v>
      </c>
      <c r="E11090" t="s">
        <v>12</v>
      </c>
      <c r="F11090">
        <v>110011571</v>
      </c>
      <c r="G11090">
        <v>110011644</v>
      </c>
      <c r="H11090">
        <v>110011081</v>
      </c>
      <c r="I11090">
        <v>110011098</v>
      </c>
    </row>
    <row r="11091" spans="1:9" x14ac:dyDescent="0.2">
      <c r="A11091" s="1" t="str">
        <f>"MVP"</f>
        <v>MVP</v>
      </c>
      <c r="B11091" t="s">
        <v>14</v>
      </c>
      <c r="C11091" t="s">
        <v>31</v>
      </c>
      <c r="D11091" t="s">
        <v>17</v>
      </c>
      <c r="E11091" t="s">
        <v>12</v>
      </c>
      <c r="F11091">
        <v>29831757</v>
      </c>
      <c r="G11091">
        <v>29831802</v>
      </c>
      <c r="H11091">
        <v>29831735</v>
      </c>
      <c r="I11091">
        <v>29831756</v>
      </c>
    </row>
    <row r="11092" spans="1:9" x14ac:dyDescent="0.2">
      <c r="A11092" s="1" t="str">
        <f>"MX1"</f>
        <v>MX1</v>
      </c>
      <c r="B11092" t="s">
        <v>14</v>
      </c>
      <c r="C11092" t="s">
        <v>42</v>
      </c>
      <c r="D11092" t="s">
        <v>17</v>
      </c>
      <c r="E11092" t="s">
        <v>12</v>
      </c>
      <c r="F11092">
        <v>42798158</v>
      </c>
      <c r="G11092">
        <v>42798174</v>
      </c>
      <c r="H11092">
        <v>42798124</v>
      </c>
      <c r="I11092">
        <v>42798146</v>
      </c>
    </row>
    <row r="11093" spans="1:9" x14ac:dyDescent="0.2">
      <c r="A11093" s="1" t="str">
        <f>"MX2"</f>
        <v>MX2</v>
      </c>
      <c r="B11093" t="s">
        <v>9</v>
      </c>
      <c r="C11093" t="s">
        <v>42</v>
      </c>
      <c r="D11093" t="s">
        <v>17</v>
      </c>
      <c r="E11093" t="s">
        <v>12</v>
      </c>
      <c r="F11093">
        <v>42733946</v>
      </c>
      <c r="G11093">
        <v>42733963</v>
      </c>
      <c r="H11093">
        <v>42733946</v>
      </c>
      <c r="I11093">
        <v>42733963</v>
      </c>
    </row>
    <row r="11094" spans="1:9" x14ac:dyDescent="0.2">
      <c r="A11094" s="1" t="str">
        <f>"MX2"</f>
        <v>MX2</v>
      </c>
      <c r="B11094" t="s">
        <v>13</v>
      </c>
      <c r="C11094" t="s">
        <v>42</v>
      </c>
      <c r="D11094" t="s">
        <v>17</v>
      </c>
      <c r="E11094" t="s">
        <v>12</v>
      </c>
      <c r="F11094">
        <v>42741979</v>
      </c>
      <c r="G11094">
        <v>42742031</v>
      </c>
      <c r="H11094">
        <v>42741979</v>
      </c>
      <c r="I11094">
        <v>42742031</v>
      </c>
    </row>
    <row r="11095" spans="1:9" x14ac:dyDescent="0.2">
      <c r="A11095" s="1" t="str">
        <f>"MXD1"</f>
        <v>MXD1</v>
      </c>
      <c r="B11095" t="s">
        <v>14</v>
      </c>
      <c r="C11095" t="s">
        <v>26</v>
      </c>
      <c r="D11095" t="s">
        <v>17</v>
      </c>
      <c r="E11095" t="s">
        <v>12</v>
      </c>
      <c r="F11095">
        <v>70142232</v>
      </c>
      <c r="G11095">
        <v>70142251</v>
      </c>
      <c r="H11095">
        <v>70142189</v>
      </c>
      <c r="I11095">
        <v>70142223</v>
      </c>
    </row>
    <row r="11096" spans="1:9" x14ac:dyDescent="0.2">
      <c r="A11096" s="1" t="str">
        <f>"MXD3"</f>
        <v>MXD3</v>
      </c>
      <c r="B11096" t="s">
        <v>14</v>
      </c>
      <c r="C11096" t="s">
        <v>46</v>
      </c>
      <c r="D11096" t="s">
        <v>11</v>
      </c>
      <c r="E11096" t="s">
        <v>12</v>
      </c>
      <c r="F11096">
        <v>176738887</v>
      </c>
      <c r="G11096">
        <v>176738934</v>
      </c>
      <c r="H11096">
        <v>176738887</v>
      </c>
      <c r="I11096">
        <v>176738934</v>
      </c>
    </row>
    <row r="11097" spans="1:9" x14ac:dyDescent="0.2">
      <c r="A11097" s="1" t="str">
        <f>"MXD4"</f>
        <v>MXD4</v>
      </c>
      <c r="B11097" t="s">
        <v>14</v>
      </c>
      <c r="C11097" t="s">
        <v>23</v>
      </c>
      <c r="D11097" t="s">
        <v>11</v>
      </c>
      <c r="E11097" t="s">
        <v>12</v>
      </c>
      <c r="F11097">
        <v>2263809</v>
      </c>
      <c r="G11097">
        <v>2263854</v>
      </c>
      <c r="H11097">
        <v>2263861</v>
      </c>
      <c r="I11097">
        <v>2263883</v>
      </c>
    </row>
    <row r="11098" spans="1:9" x14ac:dyDescent="0.2">
      <c r="A11098" s="1" t="str">
        <f>"MXI1"</f>
        <v>MXI1</v>
      </c>
      <c r="B11098" t="s">
        <v>9</v>
      </c>
      <c r="C11098" t="s">
        <v>15</v>
      </c>
      <c r="D11098" t="s">
        <v>17</v>
      </c>
      <c r="E11098" t="s">
        <v>12</v>
      </c>
      <c r="F11098">
        <v>111967345</v>
      </c>
      <c r="G11098">
        <v>111967422</v>
      </c>
      <c r="H11098">
        <v>111967345</v>
      </c>
      <c r="I11098">
        <v>111967422</v>
      </c>
    </row>
    <row r="11099" spans="1:9" x14ac:dyDescent="0.2">
      <c r="A11099" s="1" t="str">
        <f>"MXI1"</f>
        <v>MXI1</v>
      </c>
      <c r="B11099" t="s">
        <v>13</v>
      </c>
      <c r="C11099" t="s">
        <v>15</v>
      </c>
      <c r="D11099" t="s">
        <v>17</v>
      </c>
      <c r="E11099" t="s">
        <v>12</v>
      </c>
      <c r="F11099">
        <v>111985713</v>
      </c>
      <c r="G11099">
        <v>111985774</v>
      </c>
      <c r="H11099">
        <v>111985713</v>
      </c>
      <c r="I11099">
        <v>111985774</v>
      </c>
    </row>
    <row r="11100" spans="1:9" x14ac:dyDescent="0.2">
      <c r="A11100" s="1" t="str">
        <f>"MXRA5"</f>
        <v>MXRA5</v>
      </c>
      <c r="B11100" t="s">
        <v>14</v>
      </c>
      <c r="C11100" t="s">
        <v>37</v>
      </c>
      <c r="D11100" t="s">
        <v>11</v>
      </c>
      <c r="E11100" t="s">
        <v>12</v>
      </c>
      <c r="F11100">
        <v>3264682</v>
      </c>
      <c r="G11100">
        <v>3264700</v>
      </c>
      <c r="H11100">
        <v>3264682</v>
      </c>
      <c r="I11100">
        <v>3264700</v>
      </c>
    </row>
    <row r="11101" spans="1:9" x14ac:dyDescent="0.2">
      <c r="A11101" s="1" t="str">
        <f>"MXRA7"</f>
        <v>MXRA7</v>
      </c>
      <c r="B11101" t="s">
        <v>14</v>
      </c>
      <c r="C11101" t="s">
        <v>28</v>
      </c>
      <c r="D11101" t="s">
        <v>11</v>
      </c>
      <c r="E11101" t="s">
        <v>12</v>
      </c>
      <c r="F11101">
        <v>74707037</v>
      </c>
      <c r="G11101">
        <v>74707114</v>
      </c>
      <c r="H11101">
        <v>74707123</v>
      </c>
      <c r="I11101">
        <v>74707137</v>
      </c>
    </row>
    <row r="11102" spans="1:9" x14ac:dyDescent="0.2">
      <c r="A11102" s="1" t="str">
        <f>"MXRA8"</f>
        <v>MXRA8</v>
      </c>
      <c r="B11102" t="s">
        <v>14</v>
      </c>
      <c r="C11102" t="s">
        <v>19</v>
      </c>
      <c r="D11102" t="s">
        <v>11</v>
      </c>
      <c r="E11102" t="s">
        <v>12</v>
      </c>
      <c r="F11102">
        <v>1293904</v>
      </c>
      <c r="G11102">
        <v>1293949</v>
      </c>
      <c r="H11102">
        <v>1293904</v>
      </c>
      <c r="I11102">
        <v>1293949</v>
      </c>
    </row>
    <row r="11103" spans="1:9" x14ac:dyDescent="0.2">
      <c r="A11103" s="1" t="str">
        <f>"MYADM"</f>
        <v>MYADM</v>
      </c>
      <c r="B11103" t="s">
        <v>9</v>
      </c>
      <c r="C11103" t="s">
        <v>10</v>
      </c>
      <c r="D11103" t="s">
        <v>17</v>
      </c>
      <c r="E11103" t="s">
        <v>12</v>
      </c>
      <c r="F11103">
        <v>54371114</v>
      </c>
      <c r="G11103">
        <v>54371180</v>
      </c>
      <c r="H11103">
        <v>54371114</v>
      </c>
      <c r="I11103">
        <v>54371180</v>
      </c>
    </row>
    <row r="11104" spans="1:9" x14ac:dyDescent="0.2">
      <c r="A11104" s="1" t="str">
        <f>"MYADM"</f>
        <v>MYADM</v>
      </c>
      <c r="B11104" t="s">
        <v>13</v>
      </c>
      <c r="C11104" t="s">
        <v>10</v>
      </c>
      <c r="D11104" t="s">
        <v>17</v>
      </c>
      <c r="E11104" t="s">
        <v>12</v>
      </c>
      <c r="F11104">
        <v>54372877</v>
      </c>
      <c r="G11104">
        <v>54373045</v>
      </c>
      <c r="H11104">
        <v>54372877</v>
      </c>
      <c r="I11104">
        <v>54373045</v>
      </c>
    </row>
    <row r="11105" spans="1:9" x14ac:dyDescent="0.2">
      <c r="A11105" s="1" t="str">
        <f>"MYADML2"</f>
        <v>MYADML2</v>
      </c>
      <c r="B11105" t="s">
        <v>14</v>
      </c>
      <c r="C11105" t="s">
        <v>28</v>
      </c>
      <c r="D11105" t="s">
        <v>11</v>
      </c>
      <c r="E11105" t="s">
        <v>12</v>
      </c>
      <c r="F11105">
        <v>79900247</v>
      </c>
      <c r="G11105">
        <v>79900252</v>
      </c>
      <c r="H11105">
        <v>79900247</v>
      </c>
      <c r="I11105">
        <v>79900252</v>
      </c>
    </row>
    <row r="11106" spans="1:9" x14ac:dyDescent="0.2">
      <c r="A11106" s="1" t="str">
        <f>"MYB"</f>
        <v>MYB</v>
      </c>
      <c r="B11106" t="s">
        <v>14</v>
      </c>
      <c r="C11106" t="s">
        <v>32</v>
      </c>
      <c r="D11106" t="s">
        <v>17</v>
      </c>
      <c r="E11106" t="s">
        <v>12</v>
      </c>
      <c r="F11106">
        <v>135502501</v>
      </c>
      <c r="G11106">
        <v>135502546</v>
      </c>
      <c r="H11106">
        <v>135502408</v>
      </c>
      <c r="I11106">
        <v>135502459</v>
      </c>
    </row>
    <row r="11107" spans="1:9" x14ac:dyDescent="0.2">
      <c r="A11107" s="1" t="str">
        <f>"MYBBP1A"</f>
        <v>MYBBP1A</v>
      </c>
      <c r="B11107" t="s">
        <v>14</v>
      </c>
      <c r="C11107" t="s">
        <v>28</v>
      </c>
      <c r="D11107" t="s">
        <v>11</v>
      </c>
      <c r="E11107" t="s">
        <v>12</v>
      </c>
      <c r="F11107">
        <v>4458616</v>
      </c>
      <c r="G11107">
        <v>4458712</v>
      </c>
      <c r="H11107">
        <v>4458616</v>
      </c>
      <c r="I11107">
        <v>4458712</v>
      </c>
    </row>
    <row r="11108" spans="1:9" x14ac:dyDescent="0.2">
      <c r="A11108" s="1" t="str">
        <f>"MYBL1"</f>
        <v>MYBL1</v>
      </c>
      <c r="B11108" t="s">
        <v>14</v>
      </c>
      <c r="C11108" t="s">
        <v>30</v>
      </c>
      <c r="D11108" t="s">
        <v>11</v>
      </c>
      <c r="E11108" t="s">
        <v>12</v>
      </c>
      <c r="F11108">
        <v>67525473</v>
      </c>
      <c r="G11108">
        <v>67525518</v>
      </c>
      <c r="H11108">
        <v>67525443</v>
      </c>
      <c r="I11108">
        <v>67525459</v>
      </c>
    </row>
    <row r="11109" spans="1:9" x14ac:dyDescent="0.2">
      <c r="A11109" s="1" t="str">
        <f>"MYBL2"</f>
        <v>MYBL2</v>
      </c>
      <c r="B11109" t="s">
        <v>14</v>
      </c>
      <c r="C11109" t="s">
        <v>29</v>
      </c>
      <c r="D11109" t="s">
        <v>17</v>
      </c>
      <c r="E11109" t="s">
        <v>12</v>
      </c>
      <c r="F11109">
        <v>42295745</v>
      </c>
      <c r="G11109">
        <v>42295765</v>
      </c>
      <c r="H11109">
        <v>42295713</v>
      </c>
      <c r="I11109">
        <v>42295738</v>
      </c>
    </row>
    <row r="11110" spans="1:9" x14ac:dyDescent="0.2">
      <c r="A11110" s="1" t="str">
        <f>"MYBPC1"</f>
        <v>MYBPC1</v>
      </c>
      <c r="B11110" t="s">
        <v>14</v>
      </c>
      <c r="C11110" t="s">
        <v>16</v>
      </c>
      <c r="D11110" t="s">
        <v>17</v>
      </c>
      <c r="E11110" t="s">
        <v>12</v>
      </c>
      <c r="F11110">
        <v>101988739</v>
      </c>
      <c r="G11110">
        <v>101988759</v>
      </c>
      <c r="H11110">
        <v>101988739</v>
      </c>
      <c r="I11110">
        <v>101988759</v>
      </c>
    </row>
    <row r="11111" spans="1:9" x14ac:dyDescent="0.2">
      <c r="A11111" s="1" t="str">
        <f>"MYBPC2"</f>
        <v>MYBPC2</v>
      </c>
      <c r="B11111" t="s">
        <v>14</v>
      </c>
      <c r="C11111" t="s">
        <v>10</v>
      </c>
      <c r="D11111" t="s">
        <v>17</v>
      </c>
      <c r="E11111" t="s">
        <v>12</v>
      </c>
      <c r="F11111">
        <v>50936142</v>
      </c>
      <c r="G11111">
        <v>50936163</v>
      </c>
      <c r="H11111">
        <v>50936028</v>
      </c>
      <c r="I11111">
        <v>50936077</v>
      </c>
    </row>
    <row r="11112" spans="1:9" x14ac:dyDescent="0.2">
      <c r="A11112" s="1" t="str">
        <f>"MYBPC3"</f>
        <v>MYBPC3</v>
      </c>
      <c r="B11112" t="s">
        <v>14</v>
      </c>
      <c r="C11112" t="s">
        <v>27</v>
      </c>
      <c r="D11112" t="s">
        <v>11</v>
      </c>
      <c r="E11112" t="s">
        <v>12</v>
      </c>
      <c r="F11112">
        <v>47374246</v>
      </c>
      <c r="G11112">
        <v>47374259</v>
      </c>
      <c r="H11112">
        <v>47374246</v>
      </c>
      <c r="I11112">
        <v>47374259</v>
      </c>
    </row>
    <row r="11113" spans="1:9" x14ac:dyDescent="0.2">
      <c r="A11113" s="1" t="str">
        <f>"MYBPH"</f>
        <v>MYBPH</v>
      </c>
      <c r="B11113" t="s">
        <v>14</v>
      </c>
      <c r="C11113" t="s">
        <v>19</v>
      </c>
      <c r="D11113" t="s">
        <v>11</v>
      </c>
      <c r="E11113" t="s">
        <v>12</v>
      </c>
      <c r="F11113">
        <v>203144944</v>
      </c>
      <c r="G11113">
        <v>203144961</v>
      </c>
      <c r="H11113">
        <v>203144944</v>
      </c>
      <c r="I11113">
        <v>203144961</v>
      </c>
    </row>
    <row r="11114" spans="1:9" x14ac:dyDescent="0.2">
      <c r="A11114" s="1" t="str">
        <f>"MYBPHL"</f>
        <v>MYBPHL</v>
      </c>
      <c r="B11114" t="s">
        <v>14</v>
      </c>
      <c r="C11114" t="s">
        <v>19</v>
      </c>
      <c r="D11114" t="s">
        <v>11</v>
      </c>
      <c r="E11114" t="s">
        <v>12</v>
      </c>
      <c r="F11114">
        <v>109849612</v>
      </c>
      <c r="G11114">
        <v>109849651</v>
      </c>
      <c r="H11114">
        <v>109849652</v>
      </c>
      <c r="I11114">
        <v>109849671</v>
      </c>
    </row>
    <row r="11115" spans="1:9" x14ac:dyDescent="0.2">
      <c r="A11115" s="1" t="str">
        <f>"MYC"</f>
        <v>MYC</v>
      </c>
      <c r="B11115" t="s">
        <v>14</v>
      </c>
      <c r="C11115" t="s">
        <v>30</v>
      </c>
      <c r="D11115" t="s">
        <v>17</v>
      </c>
      <c r="E11115" t="s">
        <v>12</v>
      </c>
      <c r="F11115">
        <v>128748470</v>
      </c>
      <c r="G11115">
        <v>128748487</v>
      </c>
      <c r="H11115">
        <v>128748308</v>
      </c>
      <c r="I11115">
        <v>128748324</v>
      </c>
    </row>
    <row r="11116" spans="1:9" x14ac:dyDescent="0.2">
      <c r="A11116" s="1" t="str">
        <f>"MYCBP"</f>
        <v>MYCBP</v>
      </c>
      <c r="B11116" t="s">
        <v>14</v>
      </c>
      <c r="C11116" t="s">
        <v>19</v>
      </c>
      <c r="D11116" t="s">
        <v>11</v>
      </c>
      <c r="E11116" t="s">
        <v>12</v>
      </c>
      <c r="F11116">
        <v>39338994</v>
      </c>
      <c r="G11116">
        <v>39339060</v>
      </c>
      <c r="H11116">
        <v>39338811</v>
      </c>
      <c r="I11116">
        <v>39338829</v>
      </c>
    </row>
    <row r="11117" spans="1:9" x14ac:dyDescent="0.2">
      <c r="A11117" s="1" t="str">
        <f>"MYCBP2"</f>
        <v>MYCBP2</v>
      </c>
      <c r="B11117" t="s">
        <v>14</v>
      </c>
      <c r="C11117" t="s">
        <v>39</v>
      </c>
      <c r="D11117" t="s">
        <v>11</v>
      </c>
      <c r="E11117" t="s">
        <v>12</v>
      </c>
      <c r="F11117">
        <v>77901185</v>
      </c>
      <c r="G11117">
        <v>77901252</v>
      </c>
      <c r="H11117">
        <v>77901035</v>
      </c>
      <c r="I11117">
        <v>77901055</v>
      </c>
    </row>
    <row r="11118" spans="1:9" x14ac:dyDescent="0.2">
      <c r="A11118" s="1" t="str">
        <f>"MYCBPAP"</f>
        <v>MYCBPAP</v>
      </c>
      <c r="B11118" t="s">
        <v>14</v>
      </c>
      <c r="C11118" t="s">
        <v>28</v>
      </c>
      <c r="D11118" t="s">
        <v>17</v>
      </c>
      <c r="E11118" t="s">
        <v>12</v>
      </c>
      <c r="F11118">
        <v>48585794</v>
      </c>
      <c r="G11118">
        <v>48585846</v>
      </c>
      <c r="H11118">
        <v>48585916</v>
      </c>
      <c r="I11118">
        <v>48585953</v>
      </c>
    </row>
    <row r="11119" spans="1:9" x14ac:dyDescent="0.2">
      <c r="A11119" s="1" t="str">
        <f>"MYCL"</f>
        <v>MYCL</v>
      </c>
      <c r="B11119" t="s">
        <v>14</v>
      </c>
      <c r="C11119" t="s">
        <v>19</v>
      </c>
      <c r="D11119" t="s">
        <v>11</v>
      </c>
      <c r="E11119" t="s">
        <v>12</v>
      </c>
      <c r="F11119">
        <v>40367530</v>
      </c>
      <c r="G11119">
        <v>40367597</v>
      </c>
      <c r="H11119">
        <v>40367668</v>
      </c>
      <c r="I11119">
        <v>40367684</v>
      </c>
    </row>
    <row r="11120" spans="1:9" x14ac:dyDescent="0.2">
      <c r="A11120" s="1" t="str">
        <f>"MYCN"</f>
        <v>MYCN</v>
      </c>
      <c r="B11120" t="s">
        <v>9</v>
      </c>
      <c r="C11120" t="s">
        <v>26</v>
      </c>
      <c r="D11120" t="s">
        <v>17</v>
      </c>
      <c r="E11120" t="s">
        <v>12</v>
      </c>
      <c r="F11120">
        <v>16080659</v>
      </c>
      <c r="G11120">
        <v>16080685</v>
      </c>
      <c r="H11120">
        <v>16080659</v>
      </c>
      <c r="I11120">
        <v>16080685</v>
      </c>
    </row>
    <row r="11121" spans="1:9" x14ac:dyDescent="0.2">
      <c r="A11121" s="1" t="str">
        <f>"MYCN"</f>
        <v>MYCN</v>
      </c>
      <c r="B11121" t="s">
        <v>13</v>
      </c>
      <c r="C11121" t="s">
        <v>26</v>
      </c>
      <c r="D11121" t="s">
        <v>17</v>
      </c>
      <c r="E11121" t="s">
        <v>12</v>
      </c>
      <c r="F11121">
        <v>16081912</v>
      </c>
      <c r="G11121">
        <v>16081931</v>
      </c>
      <c r="H11121">
        <v>16081912</v>
      </c>
      <c r="I11121">
        <v>16081931</v>
      </c>
    </row>
    <row r="11122" spans="1:9" x14ac:dyDescent="0.2">
      <c r="A11122" s="1" t="str">
        <f>"MYCT1"</f>
        <v>MYCT1</v>
      </c>
      <c r="B11122" t="s">
        <v>14</v>
      </c>
      <c r="C11122" t="s">
        <v>32</v>
      </c>
      <c r="D11122" t="s">
        <v>17</v>
      </c>
      <c r="E11122" t="s">
        <v>12</v>
      </c>
      <c r="F11122">
        <v>153019069</v>
      </c>
      <c r="G11122">
        <v>153019091</v>
      </c>
      <c r="H11122">
        <v>153019069</v>
      </c>
      <c r="I11122">
        <v>153019091</v>
      </c>
    </row>
    <row r="11123" spans="1:9" x14ac:dyDescent="0.2">
      <c r="A11123" s="1" t="str">
        <f>"MYD88"</f>
        <v>MYD88</v>
      </c>
      <c r="B11123" t="s">
        <v>9</v>
      </c>
      <c r="C11123" t="s">
        <v>22</v>
      </c>
      <c r="D11123" t="s">
        <v>17</v>
      </c>
      <c r="E11123" t="s">
        <v>12</v>
      </c>
      <c r="F11123">
        <v>38180117</v>
      </c>
      <c r="G11123">
        <v>38180192</v>
      </c>
      <c r="H11123">
        <v>38180117</v>
      </c>
      <c r="I11123">
        <v>38180192</v>
      </c>
    </row>
    <row r="11124" spans="1:9" x14ac:dyDescent="0.2">
      <c r="A11124" s="1" t="str">
        <f>"MYD88"</f>
        <v>MYD88</v>
      </c>
      <c r="B11124" t="s">
        <v>13</v>
      </c>
      <c r="C11124" t="s">
        <v>22</v>
      </c>
      <c r="D11124" t="s">
        <v>17</v>
      </c>
      <c r="E11124" t="s">
        <v>12</v>
      </c>
      <c r="F11124">
        <v>38181877</v>
      </c>
      <c r="G11124">
        <v>38181913</v>
      </c>
      <c r="H11124">
        <v>38181877</v>
      </c>
      <c r="I11124">
        <v>38181913</v>
      </c>
    </row>
    <row r="11125" spans="1:9" x14ac:dyDescent="0.2">
      <c r="A11125" s="1" t="str">
        <f>"MYEF2"</f>
        <v>MYEF2</v>
      </c>
      <c r="B11125" t="s">
        <v>14</v>
      </c>
      <c r="C11125" t="s">
        <v>25</v>
      </c>
      <c r="D11125" t="s">
        <v>11</v>
      </c>
      <c r="E11125" t="s">
        <v>12</v>
      </c>
      <c r="F11125">
        <v>48470481</v>
      </c>
      <c r="G11125">
        <v>48470541</v>
      </c>
      <c r="H11125">
        <v>48470544</v>
      </c>
      <c r="I11125">
        <v>48470555</v>
      </c>
    </row>
    <row r="11126" spans="1:9" x14ac:dyDescent="0.2">
      <c r="A11126" s="1" t="str">
        <f>"MYEOV"</f>
        <v>MYEOV</v>
      </c>
      <c r="B11126" t="s">
        <v>14</v>
      </c>
      <c r="C11126" t="s">
        <v>27</v>
      </c>
      <c r="D11126" t="s">
        <v>17</v>
      </c>
      <c r="E11126" t="s">
        <v>12</v>
      </c>
      <c r="F11126">
        <v>69061594</v>
      </c>
      <c r="G11126">
        <v>69061635</v>
      </c>
      <c r="H11126">
        <v>69061594</v>
      </c>
      <c r="I11126">
        <v>69061635</v>
      </c>
    </row>
    <row r="11127" spans="1:9" x14ac:dyDescent="0.2">
      <c r="A11127" s="1" t="str">
        <f>"MYEOV2"</f>
        <v>MYEOV2</v>
      </c>
      <c r="B11127" t="s">
        <v>14</v>
      </c>
      <c r="C11127" t="s">
        <v>26</v>
      </c>
      <c r="D11127" t="s">
        <v>11</v>
      </c>
      <c r="E11127" t="s">
        <v>12</v>
      </c>
      <c r="F11127">
        <v>241075706</v>
      </c>
      <c r="G11127">
        <v>241075727</v>
      </c>
      <c r="H11127">
        <v>241075706</v>
      </c>
      <c r="I11127">
        <v>241075727</v>
      </c>
    </row>
    <row r="11128" spans="1:9" x14ac:dyDescent="0.2">
      <c r="A11128" s="1" t="str">
        <f>"MYF5"</f>
        <v>MYF5</v>
      </c>
      <c r="B11128" t="s">
        <v>14</v>
      </c>
      <c r="C11128" t="s">
        <v>16</v>
      </c>
      <c r="D11128" t="s">
        <v>17</v>
      </c>
      <c r="E11128" t="s">
        <v>12</v>
      </c>
      <c r="F11128">
        <v>81110684</v>
      </c>
      <c r="G11128">
        <v>81110700</v>
      </c>
      <c r="H11128">
        <v>81110684</v>
      </c>
      <c r="I11128">
        <v>81110700</v>
      </c>
    </row>
    <row r="11129" spans="1:9" x14ac:dyDescent="0.2">
      <c r="A11129" s="1" t="str">
        <f>"MYF6"</f>
        <v>MYF6</v>
      </c>
      <c r="B11129" t="s">
        <v>14</v>
      </c>
      <c r="C11129" t="s">
        <v>16</v>
      </c>
      <c r="D11129" t="s">
        <v>17</v>
      </c>
      <c r="E11129" t="s">
        <v>12</v>
      </c>
      <c r="F11129">
        <v>81101404</v>
      </c>
      <c r="G11129">
        <v>81101421</v>
      </c>
      <c r="H11129">
        <v>81101472</v>
      </c>
      <c r="I11129">
        <v>81101483</v>
      </c>
    </row>
    <row r="11130" spans="1:9" x14ac:dyDescent="0.2">
      <c r="A11130" s="1" t="str">
        <f>"MYH1"</f>
        <v>MYH1</v>
      </c>
      <c r="B11130" t="s">
        <v>14</v>
      </c>
      <c r="C11130" t="s">
        <v>28</v>
      </c>
      <c r="D11130" t="s">
        <v>11</v>
      </c>
      <c r="E11130" t="s">
        <v>12</v>
      </c>
      <c r="F11130">
        <v>10421853</v>
      </c>
      <c r="G11130">
        <v>10421866</v>
      </c>
      <c r="H11130">
        <v>10421853</v>
      </c>
      <c r="I11130">
        <v>10421866</v>
      </c>
    </row>
    <row r="11131" spans="1:9" x14ac:dyDescent="0.2">
      <c r="A11131" s="1" t="str">
        <f>"MYH10"</f>
        <v>MYH10</v>
      </c>
      <c r="B11131" t="s">
        <v>14</v>
      </c>
      <c r="C11131" t="s">
        <v>28</v>
      </c>
      <c r="D11131" t="s">
        <v>11</v>
      </c>
      <c r="E11131" t="s">
        <v>12</v>
      </c>
      <c r="F11131">
        <v>8534031</v>
      </c>
      <c r="G11131">
        <v>8534056</v>
      </c>
      <c r="H11131">
        <v>8534067</v>
      </c>
      <c r="I11131">
        <v>8534088</v>
      </c>
    </row>
    <row r="11132" spans="1:9" x14ac:dyDescent="0.2">
      <c r="A11132" s="1" t="str">
        <f>"MYH11"</f>
        <v>MYH11</v>
      </c>
      <c r="B11132" t="s">
        <v>14</v>
      </c>
      <c r="C11132" t="s">
        <v>31</v>
      </c>
      <c r="D11132" t="s">
        <v>11</v>
      </c>
      <c r="E11132" t="s">
        <v>12</v>
      </c>
      <c r="F11132">
        <v>15950876</v>
      </c>
      <c r="G11132">
        <v>15950892</v>
      </c>
      <c r="H11132">
        <v>15950876</v>
      </c>
      <c r="I11132">
        <v>15950892</v>
      </c>
    </row>
    <row r="11133" spans="1:9" x14ac:dyDescent="0.2">
      <c r="A11133" s="1" t="str">
        <f>"MYH13"</f>
        <v>MYH13</v>
      </c>
      <c r="B11133" t="s">
        <v>14</v>
      </c>
      <c r="C11133" t="s">
        <v>28</v>
      </c>
      <c r="D11133" t="s">
        <v>11</v>
      </c>
      <c r="E11133" t="s">
        <v>12</v>
      </c>
      <c r="F11133">
        <v>10276319</v>
      </c>
      <c r="G11133">
        <v>10276324</v>
      </c>
      <c r="H11133">
        <v>10276319</v>
      </c>
      <c r="I11133">
        <v>10276324</v>
      </c>
    </row>
    <row r="11134" spans="1:9" x14ac:dyDescent="0.2">
      <c r="A11134" s="1" t="str">
        <f>"MYH14"</f>
        <v>MYH14</v>
      </c>
      <c r="B11134" t="s">
        <v>14</v>
      </c>
      <c r="C11134" t="s">
        <v>10</v>
      </c>
      <c r="D11134" t="s">
        <v>17</v>
      </c>
      <c r="E11134" t="s">
        <v>12</v>
      </c>
      <c r="F11134">
        <v>50706866</v>
      </c>
      <c r="G11134">
        <v>50706909</v>
      </c>
      <c r="H11134">
        <v>50706866</v>
      </c>
      <c r="I11134">
        <v>50706909</v>
      </c>
    </row>
    <row r="11135" spans="1:9" x14ac:dyDescent="0.2">
      <c r="A11135" s="1" t="str">
        <f>"MYH15"</f>
        <v>MYH15</v>
      </c>
      <c r="B11135" t="s">
        <v>14</v>
      </c>
      <c r="C11135" t="s">
        <v>22</v>
      </c>
      <c r="D11135" t="s">
        <v>11</v>
      </c>
      <c r="E11135" t="s">
        <v>12</v>
      </c>
      <c r="F11135">
        <v>108229441</v>
      </c>
      <c r="G11135">
        <v>108229444</v>
      </c>
      <c r="H11135">
        <v>108229441</v>
      </c>
      <c r="I11135">
        <v>108229444</v>
      </c>
    </row>
    <row r="11136" spans="1:9" x14ac:dyDescent="0.2">
      <c r="A11136" s="1" t="str">
        <f>"MYH2"</f>
        <v>MYH2</v>
      </c>
      <c r="B11136" t="s">
        <v>14</v>
      </c>
      <c r="C11136" t="s">
        <v>28</v>
      </c>
      <c r="D11136" t="s">
        <v>11</v>
      </c>
      <c r="E11136" t="s">
        <v>12</v>
      </c>
      <c r="F11136">
        <v>10452929</v>
      </c>
      <c r="G11136">
        <v>10452946</v>
      </c>
      <c r="H11136">
        <v>10452969</v>
      </c>
      <c r="I11136">
        <v>10452980</v>
      </c>
    </row>
    <row r="11137" spans="1:9" x14ac:dyDescent="0.2">
      <c r="A11137" s="1" t="str">
        <f>"MYH3"</f>
        <v>MYH3</v>
      </c>
      <c r="B11137" t="s">
        <v>9</v>
      </c>
      <c r="C11137" t="s">
        <v>28</v>
      </c>
      <c r="D11137" t="s">
        <v>11</v>
      </c>
      <c r="E11137" t="s">
        <v>12</v>
      </c>
      <c r="F11137">
        <v>10560619</v>
      </c>
      <c r="G11137">
        <v>10560631</v>
      </c>
      <c r="H11137">
        <v>10560619</v>
      </c>
      <c r="I11137">
        <v>10560631</v>
      </c>
    </row>
    <row r="11138" spans="1:9" x14ac:dyDescent="0.2">
      <c r="A11138" s="1" t="str">
        <f>"MYH3"</f>
        <v>MYH3</v>
      </c>
      <c r="B11138" t="s">
        <v>13</v>
      </c>
      <c r="C11138" t="s">
        <v>28</v>
      </c>
      <c r="D11138" t="s">
        <v>11</v>
      </c>
      <c r="E11138" t="s">
        <v>12</v>
      </c>
      <c r="F11138">
        <v>10542690</v>
      </c>
      <c r="G11138">
        <v>10542702</v>
      </c>
      <c r="H11138">
        <v>10542690</v>
      </c>
      <c r="I11138">
        <v>10542702</v>
      </c>
    </row>
    <row r="11139" spans="1:9" x14ac:dyDescent="0.2">
      <c r="A11139" s="1" t="str">
        <f>"MYH4"</f>
        <v>MYH4</v>
      </c>
      <c r="B11139" t="s">
        <v>14</v>
      </c>
      <c r="C11139" t="s">
        <v>28</v>
      </c>
      <c r="D11139" t="s">
        <v>11</v>
      </c>
      <c r="E11139" t="s">
        <v>12</v>
      </c>
      <c r="F11139">
        <v>10372875</v>
      </c>
      <c r="G11139">
        <v>10372876</v>
      </c>
      <c r="H11139">
        <v>10372875</v>
      </c>
      <c r="I11139">
        <v>10372876</v>
      </c>
    </row>
    <row r="11140" spans="1:9" x14ac:dyDescent="0.2">
      <c r="A11140" s="1" t="str">
        <f>"MYH6"</f>
        <v>MYH6</v>
      </c>
      <c r="B11140" t="s">
        <v>9</v>
      </c>
      <c r="C11140" t="s">
        <v>41</v>
      </c>
      <c r="D11140" t="s">
        <v>11</v>
      </c>
      <c r="E11140" t="s">
        <v>12</v>
      </c>
      <c r="F11140">
        <v>23877474</v>
      </c>
      <c r="G11140">
        <v>23877491</v>
      </c>
      <c r="H11140">
        <v>23877474</v>
      </c>
      <c r="I11140">
        <v>23877491</v>
      </c>
    </row>
    <row r="11141" spans="1:9" x14ac:dyDescent="0.2">
      <c r="A11141" s="1" t="str">
        <f>"MYH6"</f>
        <v>MYH6</v>
      </c>
      <c r="B11141" t="s">
        <v>13</v>
      </c>
      <c r="C11141" t="s">
        <v>41</v>
      </c>
      <c r="D11141" t="s">
        <v>11</v>
      </c>
      <c r="E11141" t="s">
        <v>12</v>
      </c>
      <c r="F11141">
        <v>23876353</v>
      </c>
      <c r="G11141">
        <v>23876376</v>
      </c>
      <c r="H11141">
        <v>23876353</v>
      </c>
      <c r="I11141">
        <v>23876376</v>
      </c>
    </row>
    <row r="11142" spans="1:9" x14ac:dyDescent="0.2">
      <c r="A11142" s="1" t="str">
        <f>"MYH7"</f>
        <v>MYH7</v>
      </c>
      <c r="B11142" t="s">
        <v>9</v>
      </c>
      <c r="C11142" t="s">
        <v>41</v>
      </c>
      <c r="D11142" t="s">
        <v>11</v>
      </c>
      <c r="E11142" t="s">
        <v>12</v>
      </c>
      <c r="F11142">
        <v>23904861</v>
      </c>
      <c r="G11142">
        <v>23904877</v>
      </c>
      <c r="H11142">
        <v>23904861</v>
      </c>
      <c r="I11142">
        <v>23904877</v>
      </c>
    </row>
    <row r="11143" spans="1:9" x14ac:dyDescent="0.2">
      <c r="A11143" s="1" t="str">
        <f>"MYH7"</f>
        <v>MYH7</v>
      </c>
      <c r="B11143" t="s">
        <v>13</v>
      </c>
      <c r="C11143" t="s">
        <v>41</v>
      </c>
      <c r="D11143" t="s">
        <v>11</v>
      </c>
      <c r="E11143" t="s">
        <v>12</v>
      </c>
      <c r="F11143">
        <v>23894544</v>
      </c>
      <c r="G11143">
        <v>23894603</v>
      </c>
      <c r="H11143">
        <v>23894544</v>
      </c>
      <c r="I11143">
        <v>23894603</v>
      </c>
    </row>
    <row r="11144" spans="1:9" x14ac:dyDescent="0.2">
      <c r="A11144" s="1" t="str">
        <f>"MYH7B"</f>
        <v>MYH7B</v>
      </c>
      <c r="B11144" t="s">
        <v>14</v>
      </c>
      <c r="C11144" t="s">
        <v>29</v>
      </c>
      <c r="D11144" t="s">
        <v>17</v>
      </c>
      <c r="E11144" t="s">
        <v>12</v>
      </c>
      <c r="F11144">
        <v>33543606</v>
      </c>
      <c r="G11144">
        <v>33543620</v>
      </c>
      <c r="H11144">
        <v>33543665</v>
      </c>
      <c r="I11144">
        <v>33543676</v>
      </c>
    </row>
    <row r="11145" spans="1:9" x14ac:dyDescent="0.2">
      <c r="A11145" s="1" t="str">
        <f>"MYH8"</f>
        <v>MYH8</v>
      </c>
      <c r="B11145" t="s">
        <v>14</v>
      </c>
      <c r="C11145" t="s">
        <v>28</v>
      </c>
      <c r="D11145" t="s">
        <v>11</v>
      </c>
      <c r="E11145" t="s">
        <v>12</v>
      </c>
      <c r="F11145">
        <v>10325261</v>
      </c>
      <c r="G11145">
        <v>10325267</v>
      </c>
      <c r="H11145">
        <v>10325261</v>
      </c>
      <c r="I11145">
        <v>10325267</v>
      </c>
    </row>
    <row r="11146" spans="1:9" x14ac:dyDescent="0.2">
      <c r="A11146" s="1" t="str">
        <f>"MYH9"</f>
        <v>MYH9</v>
      </c>
      <c r="B11146" t="s">
        <v>14</v>
      </c>
      <c r="C11146" t="s">
        <v>21</v>
      </c>
      <c r="D11146" t="s">
        <v>11</v>
      </c>
      <c r="E11146" t="s">
        <v>12</v>
      </c>
      <c r="F11146">
        <v>36783977</v>
      </c>
      <c r="G11146">
        <v>36784020</v>
      </c>
      <c r="H11146">
        <v>36784035</v>
      </c>
      <c r="I11146">
        <v>36784057</v>
      </c>
    </row>
    <row r="11147" spans="1:9" x14ac:dyDescent="0.2">
      <c r="A11147" s="1" t="str">
        <f>"MYL1"</f>
        <v>MYL1</v>
      </c>
      <c r="B11147" t="s">
        <v>14</v>
      </c>
      <c r="C11147" t="s">
        <v>26</v>
      </c>
      <c r="D11147" t="s">
        <v>11</v>
      </c>
      <c r="E11147" t="s">
        <v>12</v>
      </c>
      <c r="F11147">
        <v>211168332</v>
      </c>
      <c r="G11147">
        <v>211168347</v>
      </c>
      <c r="H11147">
        <v>211168332</v>
      </c>
      <c r="I11147">
        <v>211168347</v>
      </c>
    </row>
    <row r="11148" spans="1:9" x14ac:dyDescent="0.2">
      <c r="A11148" s="1" t="str">
        <f>"MYL10"</f>
        <v>MYL10</v>
      </c>
      <c r="B11148" t="s">
        <v>827</v>
      </c>
      <c r="C11148" t="s">
        <v>33</v>
      </c>
      <c r="D11148" t="s">
        <v>11</v>
      </c>
      <c r="E11148" t="s">
        <v>20</v>
      </c>
      <c r="F11148">
        <v>101272575</v>
      </c>
      <c r="G11148">
        <v>101272575</v>
      </c>
      <c r="H11148">
        <v>101272575</v>
      </c>
      <c r="I11148">
        <v>101272575</v>
      </c>
    </row>
    <row r="11149" spans="1:9" x14ac:dyDescent="0.2">
      <c r="A11149" s="1" t="str">
        <f>"MYL12A"</f>
        <v>MYL12A</v>
      </c>
      <c r="B11149" t="s">
        <v>9</v>
      </c>
      <c r="C11149" t="s">
        <v>43</v>
      </c>
      <c r="D11149" t="s">
        <v>17</v>
      </c>
      <c r="E11149" t="s">
        <v>12</v>
      </c>
      <c r="F11149">
        <v>3247779</v>
      </c>
      <c r="G11149">
        <v>3247859</v>
      </c>
      <c r="H11149">
        <v>3247779</v>
      </c>
      <c r="I11149">
        <v>3247859</v>
      </c>
    </row>
    <row r="11150" spans="1:9" x14ac:dyDescent="0.2">
      <c r="A11150" s="1" t="str">
        <f>"MYL12A"</f>
        <v>MYL12A</v>
      </c>
      <c r="B11150" t="s">
        <v>13</v>
      </c>
      <c r="C11150" t="s">
        <v>43</v>
      </c>
      <c r="D11150" t="s">
        <v>17</v>
      </c>
      <c r="E11150" t="s">
        <v>12</v>
      </c>
      <c r="F11150">
        <v>3252265</v>
      </c>
      <c r="G11150">
        <v>3252284</v>
      </c>
      <c r="H11150">
        <v>3252265</v>
      </c>
      <c r="I11150">
        <v>3252284</v>
      </c>
    </row>
    <row r="11151" spans="1:9" x14ac:dyDescent="0.2">
      <c r="A11151" s="1" t="str">
        <f>"MYL12B"</f>
        <v>MYL12B</v>
      </c>
      <c r="B11151" t="s">
        <v>14</v>
      </c>
      <c r="C11151" t="s">
        <v>43</v>
      </c>
      <c r="D11151" t="s">
        <v>17</v>
      </c>
      <c r="E11151" t="s">
        <v>12</v>
      </c>
      <c r="F11151">
        <v>3262124</v>
      </c>
      <c r="G11151">
        <v>3262147</v>
      </c>
      <c r="H11151">
        <v>3262148</v>
      </c>
      <c r="I11151">
        <v>3262187</v>
      </c>
    </row>
    <row r="11152" spans="1:9" x14ac:dyDescent="0.2">
      <c r="A11152" s="1" t="str">
        <f>"MYL2"</f>
        <v>MYL2</v>
      </c>
      <c r="B11152" t="s">
        <v>9</v>
      </c>
      <c r="C11152" t="s">
        <v>16</v>
      </c>
      <c r="D11152" t="s">
        <v>11</v>
      </c>
      <c r="E11152" t="s">
        <v>12</v>
      </c>
      <c r="F11152">
        <v>111358372</v>
      </c>
      <c r="G11152">
        <v>111358389</v>
      </c>
      <c r="H11152">
        <v>111358372</v>
      </c>
      <c r="I11152">
        <v>111358389</v>
      </c>
    </row>
    <row r="11153" spans="1:9" x14ac:dyDescent="0.2">
      <c r="A11153" s="1" t="str">
        <f>"MYL2"</f>
        <v>MYL2</v>
      </c>
      <c r="B11153" t="s">
        <v>13</v>
      </c>
      <c r="C11153" t="s">
        <v>16</v>
      </c>
      <c r="D11153" t="s">
        <v>11</v>
      </c>
      <c r="E11153" t="s">
        <v>12</v>
      </c>
      <c r="F11153">
        <v>111356942</v>
      </c>
      <c r="G11153">
        <v>111356971</v>
      </c>
      <c r="H11153">
        <v>111356942</v>
      </c>
      <c r="I11153">
        <v>111356971</v>
      </c>
    </row>
    <row r="11154" spans="1:9" x14ac:dyDescent="0.2">
      <c r="A11154" s="1" t="str">
        <f>"MYL3"</f>
        <v>MYL3</v>
      </c>
      <c r="B11154" t="s">
        <v>9</v>
      </c>
      <c r="C11154" t="s">
        <v>22</v>
      </c>
      <c r="D11154" t="s">
        <v>11</v>
      </c>
      <c r="E11154" t="s">
        <v>12</v>
      </c>
      <c r="F11154">
        <v>46904918</v>
      </c>
      <c r="G11154">
        <v>46904940</v>
      </c>
      <c r="H11154">
        <v>46904918</v>
      </c>
      <c r="I11154">
        <v>46904940</v>
      </c>
    </row>
    <row r="11155" spans="1:9" x14ac:dyDescent="0.2">
      <c r="A11155" s="1" t="str">
        <f>"MYL3"</f>
        <v>MYL3</v>
      </c>
      <c r="B11155" t="s">
        <v>13</v>
      </c>
      <c r="C11155" t="s">
        <v>22</v>
      </c>
      <c r="D11155" t="s">
        <v>11</v>
      </c>
      <c r="E11155" t="s">
        <v>12</v>
      </c>
      <c r="F11155">
        <v>46923653</v>
      </c>
      <c r="G11155">
        <v>46923680</v>
      </c>
      <c r="H11155">
        <v>46923653</v>
      </c>
      <c r="I11155">
        <v>46923680</v>
      </c>
    </row>
    <row r="11156" spans="1:9" x14ac:dyDescent="0.2">
      <c r="A11156" s="1" t="str">
        <f>"MYL4"</f>
        <v>MYL4</v>
      </c>
      <c r="B11156" t="s">
        <v>14</v>
      </c>
      <c r="C11156" t="s">
        <v>28</v>
      </c>
      <c r="D11156" t="s">
        <v>17</v>
      </c>
      <c r="E11156" t="s">
        <v>12</v>
      </c>
      <c r="F11156">
        <v>45286706</v>
      </c>
      <c r="G11156">
        <v>45286723</v>
      </c>
      <c r="H11156">
        <v>45286387</v>
      </c>
      <c r="I11156">
        <v>45286455</v>
      </c>
    </row>
    <row r="11157" spans="1:9" x14ac:dyDescent="0.2">
      <c r="A11157" s="1" t="str">
        <f>"MYL5"</f>
        <v>MYL5</v>
      </c>
      <c r="B11157" t="s">
        <v>14</v>
      </c>
      <c r="C11157" t="s">
        <v>23</v>
      </c>
      <c r="D11157" t="s">
        <v>17</v>
      </c>
      <c r="E11157" t="s">
        <v>12</v>
      </c>
      <c r="F11157">
        <v>668318</v>
      </c>
      <c r="G11157">
        <v>668346</v>
      </c>
      <c r="H11157">
        <v>668279</v>
      </c>
      <c r="I11157">
        <v>668301</v>
      </c>
    </row>
    <row r="11158" spans="1:9" x14ac:dyDescent="0.2">
      <c r="A11158" s="1" t="str">
        <f>"MYL6"</f>
        <v>MYL6</v>
      </c>
      <c r="B11158" t="s">
        <v>14</v>
      </c>
      <c r="C11158" t="s">
        <v>16</v>
      </c>
      <c r="D11158" t="s">
        <v>17</v>
      </c>
      <c r="E11158" t="s">
        <v>12</v>
      </c>
      <c r="F11158">
        <v>56552128</v>
      </c>
      <c r="G11158">
        <v>56552162</v>
      </c>
      <c r="H11158">
        <v>56552128</v>
      </c>
      <c r="I11158">
        <v>56552162</v>
      </c>
    </row>
    <row r="11159" spans="1:9" x14ac:dyDescent="0.2">
      <c r="A11159" s="1" t="str">
        <f>"MYL6B"</f>
        <v>MYL6B</v>
      </c>
      <c r="B11159" t="s">
        <v>14</v>
      </c>
      <c r="C11159" t="s">
        <v>16</v>
      </c>
      <c r="D11159" t="s">
        <v>17</v>
      </c>
      <c r="E11159" t="s">
        <v>12</v>
      </c>
      <c r="F11159">
        <v>56546363</v>
      </c>
      <c r="G11159">
        <v>56546397</v>
      </c>
      <c r="H11159">
        <v>56546363</v>
      </c>
      <c r="I11159">
        <v>56546397</v>
      </c>
    </row>
    <row r="11160" spans="1:9" x14ac:dyDescent="0.2">
      <c r="A11160" s="1" t="str">
        <f>"MYL7"</f>
        <v>MYL7</v>
      </c>
      <c r="B11160" t="s">
        <v>14</v>
      </c>
      <c r="C11160" t="s">
        <v>33</v>
      </c>
      <c r="D11160" t="s">
        <v>11</v>
      </c>
      <c r="E11160" t="s">
        <v>12</v>
      </c>
      <c r="F11160">
        <v>44180921</v>
      </c>
      <c r="G11160">
        <v>44180937</v>
      </c>
      <c r="H11160">
        <v>44179972</v>
      </c>
      <c r="I11160">
        <v>44179982</v>
      </c>
    </row>
    <row r="11161" spans="1:9" x14ac:dyDescent="0.2">
      <c r="A11161" s="1" t="str">
        <f>"MYL9"</f>
        <v>MYL9</v>
      </c>
      <c r="B11161" t="s">
        <v>14</v>
      </c>
      <c r="C11161" t="s">
        <v>29</v>
      </c>
      <c r="D11161" t="s">
        <v>17</v>
      </c>
      <c r="E11161" t="s">
        <v>12</v>
      </c>
      <c r="F11161">
        <v>35169914</v>
      </c>
      <c r="G11161">
        <v>35169941</v>
      </c>
      <c r="H11161">
        <v>35169885</v>
      </c>
      <c r="I11161">
        <v>35169911</v>
      </c>
    </row>
    <row r="11162" spans="1:9" x14ac:dyDescent="0.2">
      <c r="A11162" s="1" t="str">
        <f>"MYLIP"</f>
        <v>MYLIP</v>
      </c>
      <c r="B11162" t="s">
        <v>14</v>
      </c>
      <c r="C11162" t="s">
        <v>32</v>
      </c>
      <c r="D11162" t="s">
        <v>17</v>
      </c>
      <c r="E11162" t="s">
        <v>12</v>
      </c>
      <c r="F11162">
        <v>16129308</v>
      </c>
      <c r="G11162">
        <v>16129327</v>
      </c>
      <c r="H11162">
        <v>16129382</v>
      </c>
      <c r="I11162">
        <v>16129420</v>
      </c>
    </row>
    <row r="11163" spans="1:9" x14ac:dyDescent="0.2">
      <c r="A11163" s="1" t="str">
        <f>"MYLK"</f>
        <v>MYLK</v>
      </c>
      <c r="B11163" t="s">
        <v>828</v>
      </c>
      <c r="C11163" t="s">
        <v>22</v>
      </c>
      <c r="D11163" t="s">
        <v>11</v>
      </c>
      <c r="E11163" t="s">
        <v>35</v>
      </c>
      <c r="F11163">
        <v>123603293</v>
      </c>
      <c r="G11163">
        <v>123603307</v>
      </c>
      <c r="H11163">
        <v>123603137</v>
      </c>
      <c r="I11163">
        <v>123603203</v>
      </c>
    </row>
    <row r="11164" spans="1:9" x14ac:dyDescent="0.2">
      <c r="A11164" s="1" t="str">
        <f>"MYLK"</f>
        <v>MYLK</v>
      </c>
      <c r="B11164" t="s">
        <v>829</v>
      </c>
      <c r="C11164" t="s">
        <v>22</v>
      </c>
      <c r="D11164" t="s">
        <v>11</v>
      </c>
      <c r="E11164" t="s">
        <v>35</v>
      </c>
      <c r="F11164">
        <v>123512832</v>
      </c>
      <c r="G11164">
        <v>123512846</v>
      </c>
      <c r="H11164">
        <v>123512689</v>
      </c>
      <c r="I11164">
        <v>123512717</v>
      </c>
    </row>
    <row r="11165" spans="1:9" x14ac:dyDescent="0.2">
      <c r="A11165" s="1" t="str">
        <f>"MYLK2"</f>
        <v>MYLK2</v>
      </c>
      <c r="B11165" t="s">
        <v>14</v>
      </c>
      <c r="C11165" t="s">
        <v>29</v>
      </c>
      <c r="D11165" t="s">
        <v>17</v>
      </c>
      <c r="E11165" t="s">
        <v>12</v>
      </c>
      <c r="F11165">
        <v>30407151</v>
      </c>
      <c r="G11165">
        <v>30407194</v>
      </c>
      <c r="H11165">
        <v>30407105</v>
      </c>
      <c r="I11165">
        <v>30407116</v>
      </c>
    </row>
    <row r="11166" spans="1:9" x14ac:dyDescent="0.2">
      <c r="A11166" s="1" t="str">
        <f>"MYLK3"</f>
        <v>MYLK3</v>
      </c>
      <c r="B11166" t="s">
        <v>9</v>
      </c>
      <c r="C11166" t="s">
        <v>31</v>
      </c>
      <c r="D11166" t="s">
        <v>11</v>
      </c>
      <c r="E11166" t="s">
        <v>12</v>
      </c>
      <c r="F11166">
        <v>46782248</v>
      </c>
      <c r="G11166">
        <v>46782263</v>
      </c>
      <c r="H11166">
        <v>46782248</v>
      </c>
      <c r="I11166">
        <v>46782263</v>
      </c>
    </row>
    <row r="11167" spans="1:9" x14ac:dyDescent="0.2">
      <c r="A11167" s="1" t="str">
        <f>"MYLK3"</f>
        <v>MYLK3</v>
      </c>
      <c r="B11167" t="s">
        <v>13</v>
      </c>
      <c r="C11167" t="s">
        <v>31</v>
      </c>
      <c r="D11167" t="s">
        <v>11</v>
      </c>
      <c r="E11167" t="s">
        <v>12</v>
      </c>
      <c r="F11167">
        <v>46797149</v>
      </c>
      <c r="G11167">
        <v>46797169</v>
      </c>
      <c r="H11167">
        <v>46797149</v>
      </c>
      <c r="I11167">
        <v>46797169</v>
      </c>
    </row>
    <row r="11168" spans="1:9" x14ac:dyDescent="0.2">
      <c r="A11168" s="1" t="str">
        <f>"MYLK4"</f>
        <v>MYLK4</v>
      </c>
      <c r="B11168" t="s">
        <v>14</v>
      </c>
      <c r="C11168" t="s">
        <v>32</v>
      </c>
      <c r="D11168" t="s">
        <v>11</v>
      </c>
      <c r="E11168" t="s">
        <v>12</v>
      </c>
      <c r="F11168">
        <v>2751146</v>
      </c>
      <c r="G11168">
        <v>2751162</v>
      </c>
      <c r="H11168">
        <v>2751146</v>
      </c>
      <c r="I11168">
        <v>2751162</v>
      </c>
    </row>
    <row r="11169" spans="1:9" x14ac:dyDescent="0.2">
      <c r="A11169" s="1" t="str">
        <f>"MYLPF"</f>
        <v>MYLPF</v>
      </c>
      <c r="B11169" t="s">
        <v>9</v>
      </c>
      <c r="C11169" t="s">
        <v>31</v>
      </c>
      <c r="D11169" t="s">
        <v>17</v>
      </c>
      <c r="E11169" t="s">
        <v>12</v>
      </c>
      <c r="F11169">
        <v>30386115</v>
      </c>
      <c r="G11169">
        <v>30386129</v>
      </c>
      <c r="H11169">
        <v>30386115</v>
      </c>
      <c r="I11169">
        <v>30386129</v>
      </c>
    </row>
    <row r="11170" spans="1:9" x14ac:dyDescent="0.2">
      <c r="A11170" s="1" t="str">
        <f>"MYLPF"</f>
        <v>MYLPF</v>
      </c>
      <c r="B11170" t="s">
        <v>13</v>
      </c>
      <c r="C11170" t="s">
        <v>31</v>
      </c>
      <c r="D11170" t="s">
        <v>17</v>
      </c>
      <c r="E11170" t="s">
        <v>12</v>
      </c>
      <c r="F11170">
        <v>30387169</v>
      </c>
      <c r="G11170">
        <v>30387182</v>
      </c>
      <c r="H11170">
        <v>30387169</v>
      </c>
      <c r="I11170">
        <v>30387182</v>
      </c>
    </row>
    <row r="11171" spans="1:9" x14ac:dyDescent="0.2">
      <c r="A11171" s="1" t="str">
        <f>"MYNN"</f>
        <v>MYNN</v>
      </c>
      <c r="B11171" t="s">
        <v>14</v>
      </c>
      <c r="C11171" t="s">
        <v>22</v>
      </c>
      <c r="D11171" t="s">
        <v>17</v>
      </c>
      <c r="E11171" t="s">
        <v>12</v>
      </c>
      <c r="F11171">
        <v>169491171</v>
      </c>
      <c r="G11171">
        <v>169491205</v>
      </c>
      <c r="H11171">
        <v>169490562</v>
      </c>
      <c r="I11171">
        <v>169490605</v>
      </c>
    </row>
    <row r="11172" spans="1:9" x14ac:dyDescent="0.2">
      <c r="A11172" s="1" t="str">
        <f>"MYO10"</f>
        <v>MYO10</v>
      </c>
      <c r="B11172" t="s">
        <v>14</v>
      </c>
      <c r="C11172" t="s">
        <v>46</v>
      </c>
      <c r="D11172" t="s">
        <v>11</v>
      </c>
      <c r="E11172" t="s">
        <v>12</v>
      </c>
      <c r="F11172">
        <v>16936340</v>
      </c>
      <c r="G11172">
        <v>16936418</v>
      </c>
      <c r="H11172">
        <v>16936340</v>
      </c>
      <c r="I11172">
        <v>16936418</v>
      </c>
    </row>
    <row r="11173" spans="1:9" x14ac:dyDescent="0.2">
      <c r="A11173" s="1" t="str">
        <f>"MYO15A"</f>
        <v>MYO15A</v>
      </c>
      <c r="B11173" t="s">
        <v>14</v>
      </c>
      <c r="C11173" t="s">
        <v>28</v>
      </c>
      <c r="D11173" t="s">
        <v>17</v>
      </c>
      <c r="E11173" t="s">
        <v>12</v>
      </c>
      <c r="F11173">
        <v>18012062</v>
      </c>
      <c r="G11173">
        <v>18012075</v>
      </c>
      <c r="H11173">
        <v>18012035</v>
      </c>
      <c r="I11173">
        <v>18012048</v>
      </c>
    </row>
    <row r="11174" spans="1:9" x14ac:dyDescent="0.2">
      <c r="A11174" s="1" t="str">
        <f>"MYO16"</f>
        <v>MYO16</v>
      </c>
      <c r="B11174" t="s">
        <v>830</v>
      </c>
      <c r="C11174" t="s">
        <v>39</v>
      </c>
      <c r="D11174" t="s">
        <v>17</v>
      </c>
      <c r="E11174" t="s">
        <v>35</v>
      </c>
      <c r="F11174">
        <v>109248472</v>
      </c>
      <c r="G11174">
        <v>109248481</v>
      </c>
      <c r="H11174">
        <v>109248512</v>
      </c>
      <c r="I11174">
        <v>109248524</v>
      </c>
    </row>
    <row r="11175" spans="1:9" x14ac:dyDescent="0.2">
      <c r="A11175" s="1" t="str">
        <f>"MYO16"</f>
        <v>MYO16</v>
      </c>
      <c r="B11175" t="s">
        <v>831</v>
      </c>
      <c r="C11175" t="s">
        <v>39</v>
      </c>
      <c r="D11175" t="s">
        <v>17</v>
      </c>
      <c r="E11175" t="s">
        <v>20</v>
      </c>
      <c r="F11175">
        <v>109318230</v>
      </c>
      <c r="G11175">
        <v>109318230</v>
      </c>
      <c r="H11175">
        <v>109318230</v>
      </c>
      <c r="I11175">
        <v>109318230</v>
      </c>
    </row>
    <row r="11176" spans="1:9" x14ac:dyDescent="0.2">
      <c r="A11176" s="1" t="str">
        <f>"MYO18A"</f>
        <v>MYO18A</v>
      </c>
      <c r="B11176" t="s">
        <v>14</v>
      </c>
      <c r="C11176" t="s">
        <v>28</v>
      </c>
      <c r="D11176" t="s">
        <v>11</v>
      </c>
      <c r="E11176" t="s">
        <v>12</v>
      </c>
      <c r="F11176">
        <v>27507395</v>
      </c>
      <c r="G11176">
        <v>27507449</v>
      </c>
      <c r="H11176">
        <v>27507395</v>
      </c>
      <c r="I11176">
        <v>27507449</v>
      </c>
    </row>
    <row r="11177" spans="1:9" x14ac:dyDescent="0.2">
      <c r="A11177" s="1" t="str">
        <f>"MYO18B"</f>
        <v>MYO18B</v>
      </c>
      <c r="B11177" t="s">
        <v>14</v>
      </c>
      <c r="C11177" t="s">
        <v>21</v>
      </c>
      <c r="D11177" t="s">
        <v>17</v>
      </c>
      <c r="E11177" t="s">
        <v>12</v>
      </c>
      <c r="F11177">
        <v>26138108</v>
      </c>
      <c r="G11177">
        <v>26138174</v>
      </c>
      <c r="H11177">
        <v>26138108</v>
      </c>
      <c r="I11177">
        <v>26138174</v>
      </c>
    </row>
    <row r="11178" spans="1:9" x14ac:dyDescent="0.2">
      <c r="A11178" s="1" t="str">
        <f>"MYO19"</f>
        <v>MYO19</v>
      </c>
      <c r="B11178" t="s">
        <v>14</v>
      </c>
      <c r="C11178" t="s">
        <v>28</v>
      </c>
      <c r="D11178" t="s">
        <v>11</v>
      </c>
      <c r="E11178" t="s">
        <v>12</v>
      </c>
      <c r="F11178">
        <v>34890665</v>
      </c>
      <c r="G11178">
        <v>34890705</v>
      </c>
      <c r="H11178">
        <v>34891269</v>
      </c>
      <c r="I11178">
        <v>34891308</v>
      </c>
    </row>
    <row r="11179" spans="1:9" x14ac:dyDescent="0.2">
      <c r="A11179" s="1" t="str">
        <f>"MYO1A"</f>
        <v>MYO1A</v>
      </c>
      <c r="B11179" t="s">
        <v>9</v>
      </c>
      <c r="C11179" t="s">
        <v>16</v>
      </c>
      <c r="D11179" t="s">
        <v>11</v>
      </c>
      <c r="E11179" t="s">
        <v>12</v>
      </c>
      <c r="F11179">
        <v>57443886</v>
      </c>
      <c r="G11179">
        <v>57443927</v>
      </c>
      <c r="H11179">
        <v>57443886</v>
      </c>
      <c r="I11179">
        <v>57443927</v>
      </c>
    </row>
    <row r="11180" spans="1:9" x14ac:dyDescent="0.2">
      <c r="A11180" s="1" t="str">
        <f>"MYO1A"</f>
        <v>MYO1A</v>
      </c>
      <c r="B11180" t="s">
        <v>13</v>
      </c>
      <c r="C11180" t="s">
        <v>16</v>
      </c>
      <c r="D11180" t="s">
        <v>11</v>
      </c>
      <c r="E11180" t="s">
        <v>12</v>
      </c>
      <c r="F11180">
        <v>57444969</v>
      </c>
      <c r="G11180">
        <v>57445000</v>
      </c>
      <c r="H11180">
        <v>57444969</v>
      </c>
      <c r="I11180">
        <v>57445000</v>
      </c>
    </row>
    <row r="11181" spans="1:9" x14ac:dyDescent="0.2">
      <c r="A11181" s="1" t="str">
        <f>"MYO1B"</f>
        <v>MYO1B</v>
      </c>
      <c r="B11181" t="s">
        <v>14</v>
      </c>
      <c r="C11181" t="s">
        <v>26</v>
      </c>
      <c r="D11181" t="s">
        <v>17</v>
      </c>
      <c r="E11181" t="s">
        <v>12</v>
      </c>
      <c r="F11181">
        <v>192110104</v>
      </c>
      <c r="G11181">
        <v>192110170</v>
      </c>
      <c r="H11181">
        <v>192110176</v>
      </c>
      <c r="I11181">
        <v>192110195</v>
      </c>
    </row>
    <row r="11182" spans="1:9" x14ac:dyDescent="0.2">
      <c r="A11182" s="1" t="str">
        <f>"MYO1C"</f>
        <v>MYO1C</v>
      </c>
      <c r="B11182" t="s">
        <v>9</v>
      </c>
      <c r="C11182" t="s">
        <v>28</v>
      </c>
      <c r="D11182" t="s">
        <v>11</v>
      </c>
      <c r="E11182" t="s">
        <v>12</v>
      </c>
      <c r="F11182">
        <v>1389027</v>
      </c>
      <c r="G11182">
        <v>1389094</v>
      </c>
      <c r="H11182">
        <v>1389027</v>
      </c>
      <c r="I11182">
        <v>1389094</v>
      </c>
    </row>
    <row r="11183" spans="1:9" x14ac:dyDescent="0.2">
      <c r="A11183" s="1" t="str">
        <f>"MYO1C"</f>
        <v>MYO1C</v>
      </c>
      <c r="B11183" t="s">
        <v>13</v>
      </c>
      <c r="C11183" t="s">
        <v>28</v>
      </c>
      <c r="D11183" t="s">
        <v>11</v>
      </c>
      <c r="E11183" t="s">
        <v>12</v>
      </c>
      <c r="F11183">
        <v>1394940</v>
      </c>
      <c r="G11183">
        <v>1394987</v>
      </c>
      <c r="H11183">
        <v>1394940</v>
      </c>
      <c r="I11183">
        <v>1394987</v>
      </c>
    </row>
    <row r="11184" spans="1:9" x14ac:dyDescent="0.2">
      <c r="A11184" s="1" t="str">
        <f>"MYO1D"</f>
        <v>MYO1D</v>
      </c>
      <c r="B11184" t="s">
        <v>14</v>
      </c>
      <c r="C11184" t="s">
        <v>28</v>
      </c>
      <c r="D11184" t="s">
        <v>11</v>
      </c>
      <c r="E11184" t="s">
        <v>12</v>
      </c>
      <c r="F11184">
        <v>31204124</v>
      </c>
      <c r="G11184">
        <v>31204200</v>
      </c>
      <c r="H11184">
        <v>31204294</v>
      </c>
      <c r="I11184">
        <v>31204322</v>
      </c>
    </row>
    <row r="11185" spans="1:9" x14ac:dyDescent="0.2">
      <c r="A11185" s="1" t="str">
        <f>"MYO1E"</f>
        <v>MYO1E</v>
      </c>
      <c r="B11185" t="s">
        <v>14</v>
      </c>
      <c r="C11185" t="s">
        <v>25</v>
      </c>
      <c r="D11185" t="s">
        <v>11</v>
      </c>
      <c r="E11185" t="s">
        <v>12</v>
      </c>
      <c r="F11185">
        <v>59665062</v>
      </c>
      <c r="G11185">
        <v>59665077</v>
      </c>
      <c r="H11185">
        <v>59665044</v>
      </c>
      <c r="I11185">
        <v>59665055</v>
      </c>
    </row>
    <row r="11186" spans="1:9" x14ac:dyDescent="0.2">
      <c r="A11186" s="1" t="str">
        <f>"MYO1F"</f>
        <v>MYO1F</v>
      </c>
      <c r="B11186" t="s">
        <v>14</v>
      </c>
      <c r="C11186" t="s">
        <v>10</v>
      </c>
      <c r="D11186" t="s">
        <v>11</v>
      </c>
      <c r="E11186" t="s">
        <v>12</v>
      </c>
      <c r="F11186">
        <v>8642289</v>
      </c>
      <c r="G11186">
        <v>8642353</v>
      </c>
      <c r="H11186">
        <v>8642289</v>
      </c>
      <c r="I11186">
        <v>8642353</v>
      </c>
    </row>
    <row r="11187" spans="1:9" x14ac:dyDescent="0.2">
      <c r="A11187" s="1" t="str">
        <f>"MYO1G"</f>
        <v>MYO1G</v>
      </c>
      <c r="B11187" t="s">
        <v>14</v>
      </c>
      <c r="C11187" t="s">
        <v>33</v>
      </c>
      <c r="D11187" t="s">
        <v>11</v>
      </c>
      <c r="E11187" t="s">
        <v>12</v>
      </c>
      <c r="F11187">
        <v>45018602</v>
      </c>
      <c r="G11187">
        <v>45018625</v>
      </c>
      <c r="H11187">
        <v>45018602</v>
      </c>
      <c r="I11187">
        <v>45018625</v>
      </c>
    </row>
    <row r="11188" spans="1:9" x14ac:dyDescent="0.2">
      <c r="A11188" s="1" t="str">
        <f>"MYO1H"</f>
        <v>MYO1H</v>
      </c>
      <c r="B11188" t="s">
        <v>832</v>
      </c>
      <c r="C11188" t="s">
        <v>16</v>
      </c>
      <c r="D11188" t="s">
        <v>17</v>
      </c>
      <c r="E11188" t="s">
        <v>20</v>
      </c>
      <c r="F11188">
        <v>109826523</v>
      </c>
      <c r="G11188">
        <v>109826523</v>
      </c>
      <c r="H11188">
        <v>109826523</v>
      </c>
      <c r="I11188">
        <v>109826523</v>
      </c>
    </row>
    <row r="11189" spans="1:9" x14ac:dyDescent="0.2">
      <c r="A11189" s="1" t="str">
        <f>"MYO3A"</f>
        <v>MYO3A</v>
      </c>
      <c r="B11189" t="s">
        <v>14</v>
      </c>
      <c r="C11189" t="s">
        <v>15</v>
      </c>
      <c r="D11189" t="s">
        <v>17</v>
      </c>
      <c r="E11189" t="s">
        <v>12</v>
      </c>
      <c r="F11189">
        <v>26223137</v>
      </c>
      <c r="G11189">
        <v>26223175</v>
      </c>
      <c r="H11189">
        <v>26223250</v>
      </c>
      <c r="I11189">
        <v>26223262</v>
      </c>
    </row>
    <row r="11190" spans="1:9" x14ac:dyDescent="0.2">
      <c r="A11190" s="1" t="str">
        <f>"MYO3B"</f>
        <v>MYO3B</v>
      </c>
      <c r="B11190" t="s">
        <v>14</v>
      </c>
      <c r="C11190" t="s">
        <v>26</v>
      </c>
      <c r="D11190" t="s">
        <v>17</v>
      </c>
      <c r="E11190" t="s">
        <v>12</v>
      </c>
      <c r="F11190">
        <v>171034646</v>
      </c>
      <c r="G11190">
        <v>171034706</v>
      </c>
      <c r="H11190">
        <v>171034646</v>
      </c>
      <c r="I11190">
        <v>171034706</v>
      </c>
    </row>
    <row r="11191" spans="1:9" x14ac:dyDescent="0.2">
      <c r="A11191" s="1" t="str">
        <f>"MYO5A"</f>
        <v>MYO5A</v>
      </c>
      <c r="B11191" t="s">
        <v>14</v>
      </c>
      <c r="C11191" t="s">
        <v>25</v>
      </c>
      <c r="D11191" t="s">
        <v>11</v>
      </c>
      <c r="E11191" t="s">
        <v>12</v>
      </c>
      <c r="F11191">
        <v>52821070</v>
      </c>
      <c r="G11191">
        <v>52821122</v>
      </c>
      <c r="H11191">
        <v>52821299</v>
      </c>
      <c r="I11191">
        <v>52821362</v>
      </c>
    </row>
    <row r="11192" spans="1:9" x14ac:dyDescent="0.2">
      <c r="A11192" s="1" t="str">
        <f>"MYO5B"</f>
        <v>MYO5B</v>
      </c>
      <c r="B11192" t="s">
        <v>14</v>
      </c>
      <c r="C11192" t="s">
        <v>43</v>
      </c>
      <c r="D11192" t="s">
        <v>11</v>
      </c>
      <c r="E11192" t="s">
        <v>12</v>
      </c>
      <c r="F11192">
        <v>47721315</v>
      </c>
      <c r="G11192">
        <v>47721430</v>
      </c>
      <c r="H11192">
        <v>47721315</v>
      </c>
      <c r="I11192">
        <v>47721430</v>
      </c>
    </row>
    <row r="11193" spans="1:9" x14ac:dyDescent="0.2">
      <c r="A11193" s="1" t="str">
        <f>"MYO5C"</f>
        <v>MYO5C</v>
      </c>
      <c r="B11193" t="s">
        <v>14</v>
      </c>
      <c r="C11193" t="s">
        <v>25</v>
      </c>
      <c r="D11193" t="s">
        <v>11</v>
      </c>
      <c r="E11193" t="s">
        <v>12</v>
      </c>
      <c r="F11193">
        <v>52587945</v>
      </c>
      <c r="G11193">
        <v>52588011</v>
      </c>
      <c r="H11193">
        <v>52587841</v>
      </c>
      <c r="I11193">
        <v>52587847</v>
      </c>
    </row>
    <row r="11194" spans="1:9" x14ac:dyDescent="0.2">
      <c r="A11194" s="1" t="str">
        <f>"MYO6"</f>
        <v>MYO6</v>
      </c>
      <c r="B11194" t="s">
        <v>14</v>
      </c>
      <c r="C11194" t="s">
        <v>32</v>
      </c>
      <c r="D11194" t="s">
        <v>17</v>
      </c>
      <c r="E11194" t="s">
        <v>12</v>
      </c>
      <c r="F11194">
        <v>76458948</v>
      </c>
      <c r="G11194">
        <v>76458964</v>
      </c>
      <c r="H11194">
        <v>76458990</v>
      </c>
      <c r="I11194">
        <v>76459011</v>
      </c>
    </row>
    <row r="11195" spans="1:9" x14ac:dyDescent="0.2">
      <c r="A11195" s="1" t="str">
        <f>"MYO7A"</f>
        <v>MYO7A</v>
      </c>
      <c r="B11195" t="s">
        <v>14</v>
      </c>
      <c r="C11195" t="s">
        <v>27</v>
      </c>
      <c r="D11195" t="s">
        <v>17</v>
      </c>
      <c r="E11195" t="s">
        <v>12</v>
      </c>
      <c r="F11195">
        <v>76839283</v>
      </c>
      <c r="G11195">
        <v>76839302</v>
      </c>
      <c r="H11195">
        <v>76839283</v>
      </c>
      <c r="I11195">
        <v>76839302</v>
      </c>
    </row>
    <row r="11196" spans="1:9" x14ac:dyDescent="0.2">
      <c r="A11196" s="1" t="str">
        <f>"MYO7B"</f>
        <v>MYO7B</v>
      </c>
      <c r="B11196" t="s">
        <v>14</v>
      </c>
      <c r="C11196" t="s">
        <v>26</v>
      </c>
      <c r="D11196" t="s">
        <v>17</v>
      </c>
      <c r="E11196" t="s">
        <v>12</v>
      </c>
      <c r="F11196">
        <v>128293277</v>
      </c>
      <c r="G11196">
        <v>128293316</v>
      </c>
      <c r="H11196">
        <v>128293245</v>
      </c>
      <c r="I11196">
        <v>128293273</v>
      </c>
    </row>
    <row r="11197" spans="1:9" x14ac:dyDescent="0.2">
      <c r="A11197" s="1" t="str">
        <f>"MYO9A"</f>
        <v>MYO9A</v>
      </c>
      <c r="B11197" t="s">
        <v>14</v>
      </c>
      <c r="C11197" t="s">
        <v>25</v>
      </c>
      <c r="D11197" t="s">
        <v>11</v>
      </c>
      <c r="E11197" t="s">
        <v>12</v>
      </c>
      <c r="F11197">
        <v>72410350</v>
      </c>
      <c r="G11197">
        <v>72410447</v>
      </c>
      <c r="H11197">
        <v>72410455</v>
      </c>
      <c r="I11197">
        <v>72410507</v>
      </c>
    </row>
    <row r="11198" spans="1:9" x14ac:dyDescent="0.2">
      <c r="A11198" s="1" t="str">
        <f>"MYO9B"</f>
        <v>MYO9B</v>
      </c>
      <c r="B11198" t="s">
        <v>14</v>
      </c>
      <c r="C11198" t="s">
        <v>10</v>
      </c>
      <c r="D11198" t="s">
        <v>17</v>
      </c>
      <c r="E11198" t="s">
        <v>12</v>
      </c>
      <c r="F11198">
        <v>17186577</v>
      </c>
      <c r="G11198">
        <v>17186637</v>
      </c>
      <c r="H11198">
        <v>17186545</v>
      </c>
      <c r="I11198">
        <v>17186556</v>
      </c>
    </row>
    <row r="11199" spans="1:9" x14ac:dyDescent="0.2">
      <c r="A11199" s="1" t="str">
        <f>"MYOC"</f>
        <v>MYOC</v>
      </c>
      <c r="B11199" t="s">
        <v>14</v>
      </c>
      <c r="C11199" t="s">
        <v>19</v>
      </c>
      <c r="D11199" t="s">
        <v>11</v>
      </c>
      <c r="E11199" t="s">
        <v>12</v>
      </c>
      <c r="F11199">
        <v>171621815</v>
      </c>
      <c r="G11199">
        <v>171621835</v>
      </c>
      <c r="H11199">
        <v>171621815</v>
      </c>
      <c r="I11199">
        <v>171621835</v>
      </c>
    </row>
    <row r="11200" spans="1:9" x14ac:dyDescent="0.2">
      <c r="A11200" s="1" t="str">
        <f>"MYOCD"</f>
        <v>MYOCD</v>
      </c>
      <c r="B11200" t="s">
        <v>14</v>
      </c>
      <c r="C11200" t="s">
        <v>28</v>
      </c>
      <c r="D11200" t="s">
        <v>17</v>
      </c>
      <c r="E11200" t="s">
        <v>12</v>
      </c>
      <c r="F11200">
        <v>12569199</v>
      </c>
      <c r="G11200">
        <v>12569216</v>
      </c>
      <c r="H11200">
        <v>12569325</v>
      </c>
      <c r="I11200">
        <v>12569344</v>
      </c>
    </row>
    <row r="11201" spans="1:9" x14ac:dyDescent="0.2">
      <c r="A11201" s="1" t="str">
        <f>"MYOD1"</f>
        <v>MYOD1</v>
      </c>
      <c r="B11201" t="s">
        <v>14</v>
      </c>
      <c r="C11201" t="s">
        <v>27</v>
      </c>
      <c r="D11201" t="s">
        <v>17</v>
      </c>
      <c r="E11201" t="s">
        <v>12</v>
      </c>
      <c r="F11201">
        <v>17741111</v>
      </c>
      <c r="G11201">
        <v>17741124</v>
      </c>
      <c r="H11201">
        <v>17741254</v>
      </c>
      <c r="I11201">
        <v>17741282</v>
      </c>
    </row>
    <row r="11202" spans="1:9" x14ac:dyDescent="0.2">
      <c r="A11202" s="1" t="str">
        <f>"MYOF"</f>
        <v>MYOF</v>
      </c>
      <c r="B11202" t="s">
        <v>14</v>
      </c>
      <c r="C11202" t="s">
        <v>15</v>
      </c>
      <c r="D11202" t="s">
        <v>11</v>
      </c>
      <c r="E11202" t="s">
        <v>12</v>
      </c>
      <c r="F11202">
        <v>95242044</v>
      </c>
      <c r="G11202">
        <v>95242072</v>
      </c>
      <c r="H11202">
        <v>95242083</v>
      </c>
      <c r="I11202">
        <v>95242098</v>
      </c>
    </row>
    <row r="11203" spans="1:9" x14ac:dyDescent="0.2">
      <c r="A11203" s="1" t="str">
        <f>"MYOG"</f>
        <v>MYOG</v>
      </c>
      <c r="B11203" t="s">
        <v>14</v>
      </c>
      <c r="C11203" t="s">
        <v>19</v>
      </c>
      <c r="D11203" t="s">
        <v>11</v>
      </c>
      <c r="E11203" t="s">
        <v>12</v>
      </c>
      <c r="F11203">
        <v>203055129</v>
      </c>
      <c r="G11203">
        <v>203055147</v>
      </c>
      <c r="H11203">
        <v>203055129</v>
      </c>
      <c r="I11203">
        <v>203055147</v>
      </c>
    </row>
    <row r="11204" spans="1:9" x14ac:dyDescent="0.2">
      <c r="A11204" s="1" t="str">
        <f>"MYOM1"</f>
        <v>MYOM1</v>
      </c>
      <c r="B11204" t="s">
        <v>14</v>
      </c>
      <c r="C11204" t="s">
        <v>43</v>
      </c>
      <c r="D11204" t="s">
        <v>11</v>
      </c>
      <c r="E11204" t="s">
        <v>12</v>
      </c>
      <c r="F11204">
        <v>3219851</v>
      </c>
      <c r="G11204">
        <v>3219879</v>
      </c>
      <c r="H11204">
        <v>3219851</v>
      </c>
      <c r="I11204">
        <v>3219879</v>
      </c>
    </row>
    <row r="11205" spans="1:9" x14ac:dyDescent="0.2">
      <c r="A11205" s="1" t="str">
        <f>"MYOM2"</f>
        <v>MYOM2</v>
      </c>
      <c r="B11205" t="s">
        <v>14</v>
      </c>
      <c r="C11205" t="s">
        <v>30</v>
      </c>
      <c r="D11205" t="s">
        <v>17</v>
      </c>
      <c r="E11205" t="s">
        <v>12</v>
      </c>
      <c r="F11205">
        <v>1993152</v>
      </c>
      <c r="G11205">
        <v>1993168</v>
      </c>
      <c r="H11205">
        <v>1993152</v>
      </c>
      <c r="I11205">
        <v>1993168</v>
      </c>
    </row>
    <row r="11206" spans="1:9" x14ac:dyDescent="0.2">
      <c r="A11206" s="1" t="str">
        <f>"MYOM3"</f>
        <v>MYOM3</v>
      </c>
      <c r="B11206" t="s">
        <v>9</v>
      </c>
      <c r="C11206" t="s">
        <v>19</v>
      </c>
      <c r="D11206" t="s">
        <v>11</v>
      </c>
      <c r="E11206" t="s">
        <v>12</v>
      </c>
      <c r="F11206">
        <v>24438618</v>
      </c>
      <c r="G11206">
        <v>24438632</v>
      </c>
      <c r="H11206">
        <v>24438618</v>
      </c>
      <c r="I11206">
        <v>24438632</v>
      </c>
    </row>
    <row r="11207" spans="1:9" x14ac:dyDescent="0.2">
      <c r="A11207" s="1" t="str">
        <f>"MYOM3"</f>
        <v>MYOM3</v>
      </c>
      <c r="B11207" t="s">
        <v>13</v>
      </c>
      <c r="C11207" t="s">
        <v>19</v>
      </c>
      <c r="D11207" t="s">
        <v>11</v>
      </c>
      <c r="E11207" t="s">
        <v>12</v>
      </c>
      <c r="F11207">
        <v>24434922</v>
      </c>
      <c r="G11207">
        <v>24434942</v>
      </c>
      <c r="H11207">
        <v>24434922</v>
      </c>
      <c r="I11207">
        <v>24434942</v>
      </c>
    </row>
    <row r="11208" spans="1:9" x14ac:dyDescent="0.2">
      <c r="A11208" s="1" t="str">
        <f>"MYOT"</f>
        <v>MYOT</v>
      </c>
      <c r="B11208" t="s">
        <v>14</v>
      </c>
      <c r="C11208" t="s">
        <v>46</v>
      </c>
      <c r="D11208" t="s">
        <v>17</v>
      </c>
      <c r="E11208" t="s">
        <v>12</v>
      </c>
      <c r="F11208">
        <v>137203557</v>
      </c>
      <c r="G11208">
        <v>137203571</v>
      </c>
      <c r="H11208">
        <v>137203541</v>
      </c>
      <c r="I11208">
        <v>137203556</v>
      </c>
    </row>
    <row r="11209" spans="1:9" x14ac:dyDescent="0.2">
      <c r="A11209" s="1" t="str">
        <f>"MYOZ1"</f>
        <v>MYOZ1</v>
      </c>
      <c r="B11209" t="s">
        <v>14</v>
      </c>
      <c r="C11209" t="s">
        <v>15</v>
      </c>
      <c r="D11209" t="s">
        <v>11</v>
      </c>
      <c r="E11209" t="s">
        <v>12</v>
      </c>
      <c r="F11209">
        <v>75401208</v>
      </c>
      <c r="G11209">
        <v>75401241</v>
      </c>
      <c r="H11209">
        <v>75401208</v>
      </c>
      <c r="I11209">
        <v>75401241</v>
      </c>
    </row>
    <row r="11210" spans="1:9" x14ac:dyDescent="0.2">
      <c r="A11210" s="1" t="str">
        <f>"MYOZ2"</f>
        <v>MYOZ2</v>
      </c>
      <c r="B11210" t="s">
        <v>14</v>
      </c>
      <c r="C11210" t="s">
        <v>23</v>
      </c>
      <c r="D11210" t="s">
        <v>17</v>
      </c>
      <c r="E11210" t="s">
        <v>12</v>
      </c>
      <c r="F11210">
        <v>120056981</v>
      </c>
      <c r="G11210">
        <v>120057014</v>
      </c>
      <c r="H11210">
        <v>120056981</v>
      </c>
      <c r="I11210">
        <v>120057014</v>
      </c>
    </row>
    <row r="11211" spans="1:9" x14ac:dyDescent="0.2">
      <c r="A11211" s="1" t="str">
        <f>"MYOZ3"</f>
        <v>MYOZ3</v>
      </c>
      <c r="B11211" t="s">
        <v>14</v>
      </c>
      <c r="C11211" t="s">
        <v>46</v>
      </c>
      <c r="D11211" t="s">
        <v>17</v>
      </c>
      <c r="E11211" t="s">
        <v>12</v>
      </c>
      <c r="F11211">
        <v>150040866</v>
      </c>
      <c r="G11211">
        <v>150040883</v>
      </c>
      <c r="H11211">
        <v>150040866</v>
      </c>
      <c r="I11211">
        <v>150040883</v>
      </c>
    </row>
    <row r="11212" spans="1:9" x14ac:dyDescent="0.2">
      <c r="A11212" s="1" t="str">
        <f>"MYPN"</f>
        <v>MYPN</v>
      </c>
      <c r="B11212" t="s">
        <v>9</v>
      </c>
      <c r="C11212" t="s">
        <v>15</v>
      </c>
      <c r="D11212" t="s">
        <v>17</v>
      </c>
      <c r="E11212" t="s">
        <v>12</v>
      </c>
      <c r="F11212">
        <v>69869237</v>
      </c>
      <c r="G11212">
        <v>69869264</v>
      </c>
      <c r="H11212">
        <v>69869237</v>
      </c>
      <c r="I11212">
        <v>69869264</v>
      </c>
    </row>
    <row r="11213" spans="1:9" x14ac:dyDescent="0.2">
      <c r="A11213" s="1" t="str">
        <f>"MYPN"</f>
        <v>MYPN</v>
      </c>
      <c r="B11213" t="s">
        <v>13</v>
      </c>
      <c r="C11213" t="s">
        <v>15</v>
      </c>
      <c r="D11213" t="s">
        <v>17</v>
      </c>
      <c r="E11213" t="s">
        <v>12</v>
      </c>
      <c r="F11213">
        <v>69865866</v>
      </c>
      <c r="G11213">
        <v>69865898</v>
      </c>
      <c r="H11213">
        <v>69865866</v>
      </c>
      <c r="I11213">
        <v>69865898</v>
      </c>
    </row>
    <row r="11214" spans="1:9" x14ac:dyDescent="0.2">
      <c r="A11214" s="1" t="str">
        <f>"MYPOP"</f>
        <v>MYPOP</v>
      </c>
      <c r="B11214" t="s">
        <v>14</v>
      </c>
      <c r="C11214" t="s">
        <v>10</v>
      </c>
      <c r="D11214" t="s">
        <v>11</v>
      </c>
      <c r="E11214" t="s">
        <v>12</v>
      </c>
      <c r="F11214">
        <v>46405861</v>
      </c>
      <c r="G11214">
        <v>46405886</v>
      </c>
      <c r="H11214">
        <v>46405853</v>
      </c>
      <c r="I11214">
        <v>46405860</v>
      </c>
    </row>
    <row r="11215" spans="1:9" x14ac:dyDescent="0.2">
      <c r="A11215" s="1" t="str">
        <f>"MYRF"</f>
        <v>MYRF</v>
      </c>
      <c r="B11215" t="s">
        <v>9</v>
      </c>
      <c r="C11215" t="s">
        <v>27</v>
      </c>
      <c r="D11215" t="s">
        <v>17</v>
      </c>
      <c r="E11215" t="s">
        <v>12</v>
      </c>
      <c r="F11215">
        <v>61520075</v>
      </c>
      <c r="G11215">
        <v>61520136</v>
      </c>
      <c r="H11215">
        <v>61520075</v>
      </c>
      <c r="I11215">
        <v>61520136</v>
      </c>
    </row>
    <row r="11216" spans="1:9" x14ac:dyDescent="0.2">
      <c r="A11216" s="1" t="str">
        <f>"MYRF"</f>
        <v>MYRF</v>
      </c>
      <c r="B11216" t="s">
        <v>13</v>
      </c>
      <c r="C11216" t="s">
        <v>27</v>
      </c>
      <c r="D11216" t="s">
        <v>17</v>
      </c>
      <c r="E11216" t="s">
        <v>12</v>
      </c>
      <c r="F11216">
        <v>61522844</v>
      </c>
      <c r="G11216">
        <v>61522875</v>
      </c>
      <c r="H11216">
        <v>61522844</v>
      </c>
      <c r="I11216">
        <v>61522875</v>
      </c>
    </row>
    <row r="11217" spans="1:9" x14ac:dyDescent="0.2">
      <c r="A11217" s="1" t="str">
        <f>"MYRFL"</f>
        <v>MYRFL</v>
      </c>
      <c r="B11217" t="s">
        <v>833</v>
      </c>
      <c r="C11217" t="s">
        <v>16</v>
      </c>
      <c r="D11217" t="s">
        <v>17</v>
      </c>
      <c r="E11217" t="s">
        <v>20</v>
      </c>
      <c r="F11217">
        <v>70320395</v>
      </c>
      <c r="G11217">
        <v>70320395</v>
      </c>
      <c r="H11217">
        <v>70320395</v>
      </c>
      <c r="I11217">
        <v>70320395</v>
      </c>
    </row>
    <row r="11218" spans="1:9" x14ac:dyDescent="0.2">
      <c r="A11218" s="1" t="str">
        <f>"MYRIP"</f>
        <v>MYRIP</v>
      </c>
      <c r="B11218" t="s">
        <v>14</v>
      </c>
      <c r="C11218" t="s">
        <v>22</v>
      </c>
      <c r="D11218" t="s">
        <v>17</v>
      </c>
      <c r="E11218" t="s">
        <v>12</v>
      </c>
      <c r="F11218">
        <v>39851094</v>
      </c>
      <c r="G11218">
        <v>39851151</v>
      </c>
      <c r="H11218">
        <v>39850891</v>
      </c>
      <c r="I11218">
        <v>39850934</v>
      </c>
    </row>
    <row r="11219" spans="1:9" x14ac:dyDescent="0.2">
      <c r="A11219" s="1" t="str">
        <f>"MYSM1"</f>
        <v>MYSM1</v>
      </c>
      <c r="B11219" t="s">
        <v>14</v>
      </c>
      <c r="C11219" t="s">
        <v>19</v>
      </c>
      <c r="D11219" t="s">
        <v>11</v>
      </c>
      <c r="E11219" t="s">
        <v>12</v>
      </c>
      <c r="F11219">
        <v>59165724</v>
      </c>
      <c r="G11219">
        <v>59165751</v>
      </c>
      <c r="H11219">
        <v>59165763</v>
      </c>
      <c r="I11219">
        <v>59165780</v>
      </c>
    </row>
    <row r="11220" spans="1:9" x14ac:dyDescent="0.2">
      <c r="A11220" s="1" t="str">
        <f>"MYT1"</f>
        <v>MYT1</v>
      </c>
      <c r="B11220" t="s">
        <v>14</v>
      </c>
      <c r="C11220" t="s">
        <v>29</v>
      </c>
      <c r="D11220" t="s">
        <v>17</v>
      </c>
      <c r="E11220" t="s">
        <v>12</v>
      </c>
      <c r="F11220">
        <v>62795799</v>
      </c>
      <c r="G11220">
        <v>62795819</v>
      </c>
      <c r="H11220">
        <v>62795834</v>
      </c>
      <c r="I11220">
        <v>62795878</v>
      </c>
    </row>
    <row r="11221" spans="1:9" x14ac:dyDescent="0.2">
      <c r="A11221" s="1" t="str">
        <f>"MYT1L"</f>
        <v>MYT1L</v>
      </c>
      <c r="B11221" t="s">
        <v>14</v>
      </c>
      <c r="C11221" t="s">
        <v>26</v>
      </c>
      <c r="D11221" t="s">
        <v>11</v>
      </c>
      <c r="E11221" t="s">
        <v>12</v>
      </c>
      <c r="F11221">
        <v>2334997</v>
      </c>
      <c r="G11221">
        <v>2335053</v>
      </c>
      <c r="H11221">
        <v>2335109</v>
      </c>
      <c r="I11221">
        <v>2335134</v>
      </c>
    </row>
    <row r="11222" spans="1:9" x14ac:dyDescent="0.2">
      <c r="A11222" s="1" t="str">
        <f>"MYZAP"</f>
        <v>MYZAP</v>
      </c>
      <c r="B11222" t="s">
        <v>14</v>
      </c>
      <c r="C11222" t="s">
        <v>25</v>
      </c>
      <c r="D11222" t="s">
        <v>17</v>
      </c>
      <c r="E11222" t="s">
        <v>12</v>
      </c>
      <c r="F11222">
        <v>57884086</v>
      </c>
      <c r="G11222">
        <v>57884116</v>
      </c>
      <c r="H11222">
        <v>57884117</v>
      </c>
      <c r="I11222">
        <v>57884160</v>
      </c>
    </row>
    <row r="11223" spans="1:9" x14ac:dyDescent="0.2">
      <c r="A11223" s="1" t="str">
        <f>"MZB1"</f>
        <v>MZB1</v>
      </c>
      <c r="B11223" t="s">
        <v>14</v>
      </c>
      <c r="C11223" t="s">
        <v>46</v>
      </c>
      <c r="D11223" t="s">
        <v>11</v>
      </c>
      <c r="E11223" t="s">
        <v>12</v>
      </c>
      <c r="F11223">
        <v>138725594</v>
      </c>
      <c r="G11223">
        <v>138725611</v>
      </c>
      <c r="H11223">
        <v>138725560</v>
      </c>
      <c r="I11223">
        <v>138725585</v>
      </c>
    </row>
    <row r="11224" spans="1:9" x14ac:dyDescent="0.2">
      <c r="A11224" s="1" t="str">
        <f>"MZF1"</f>
        <v>MZF1</v>
      </c>
      <c r="B11224" t="s">
        <v>14</v>
      </c>
      <c r="C11224" t="s">
        <v>10</v>
      </c>
      <c r="D11224" t="s">
        <v>11</v>
      </c>
      <c r="E11224" t="s">
        <v>12</v>
      </c>
      <c r="F11224">
        <v>59084647</v>
      </c>
      <c r="G11224">
        <v>59084721</v>
      </c>
      <c r="H11224">
        <v>59084872</v>
      </c>
      <c r="I11224">
        <v>59084920</v>
      </c>
    </row>
    <row r="11225" spans="1:9" x14ac:dyDescent="0.2">
      <c r="A11225" s="1" t="str">
        <f>"MZT1"</f>
        <v>MZT1</v>
      </c>
      <c r="B11225" t="s">
        <v>14</v>
      </c>
      <c r="C11225" t="s">
        <v>39</v>
      </c>
      <c r="D11225" t="s">
        <v>11</v>
      </c>
      <c r="E11225" t="s">
        <v>12</v>
      </c>
      <c r="F11225">
        <v>73301738</v>
      </c>
      <c r="G11225">
        <v>73301788</v>
      </c>
      <c r="H11225">
        <v>73301819</v>
      </c>
      <c r="I11225">
        <v>73301830</v>
      </c>
    </row>
    <row r="11226" spans="1:9" x14ac:dyDescent="0.2">
      <c r="A11226" s="1" t="str">
        <f>"MZT2A"</f>
        <v>MZT2A</v>
      </c>
      <c r="B11226" t="s">
        <v>14</v>
      </c>
      <c r="C11226" t="s">
        <v>26</v>
      </c>
      <c r="D11226" t="s">
        <v>11</v>
      </c>
      <c r="E11226" t="s">
        <v>12</v>
      </c>
      <c r="F11226">
        <v>132249955</v>
      </c>
      <c r="G11226">
        <v>132249979</v>
      </c>
      <c r="H11226">
        <v>132250286</v>
      </c>
      <c r="I11226">
        <v>132250319</v>
      </c>
    </row>
    <row r="11227" spans="1:9" x14ac:dyDescent="0.2">
      <c r="A11227" s="1" t="str">
        <f>"MZT2B"</f>
        <v>MZT2B</v>
      </c>
      <c r="B11227" t="s">
        <v>14</v>
      </c>
      <c r="C11227" t="s">
        <v>26</v>
      </c>
      <c r="D11227" t="s">
        <v>17</v>
      </c>
      <c r="E11227" t="s">
        <v>12</v>
      </c>
      <c r="F11227">
        <v>130939827</v>
      </c>
      <c r="G11227">
        <v>130939847</v>
      </c>
      <c r="H11227">
        <v>130939235</v>
      </c>
      <c r="I11227">
        <v>130939278</v>
      </c>
    </row>
    <row r="11228" spans="1:9" x14ac:dyDescent="0.2">
      <c r="A11228" s="1" t="str">
        <f>"N4BP1"</f>
        <v>N4BP1</v>
      </c>
      <c r="B11228" t="s">
        <v>14</v>
      </c>
      <c r="C11228" t="s">
        <v>31</v>
      </c>
      <c r="D11228" t="s">
        <v>11</v>
      </c>
      <c r="E11228" t="s">
        <v>12</v>
      </c>
      <c r="F11228">
        <v>48644061</v>
      </c>
      <c r="G11228">
        <v>48644141</v>
      </c>
      <c r="H11228">
        <v>48643874</v>
      </c>
      <c r="I11228">
        <v>48643915</v>
      </c>
    </row>
    <row r="11229" spans="1:9" x14ac:dyDescent="0.2">
      <c r="A11229" s="1" t="str">
        <f>"N4BP2"</f>
        <v>N4BP2</v>
      </c>
      <c r="B11229" t="s">
        <v>14</v>
      </c>
      <c r="C11229" t="s">
        <v>23</v>
      </c>
      <c r="D11229" t="s">
        <v>17</v>
      </c>
      <c r="E11229" t="s">
        <v>12</v>
      </c>
      <c r="F11229">
        <v>40058411</v>
      </c>
      <c r="G11229">
        <v>40058557</v>
      </c>
      <c r="H11229">
        <v>40058411</v>
      </c>
      <c r="I11229">
        <v>40058557</v>
      </c>
    </row>
    <row r="11230" spans="1:9" x14ac:dyDescent="0.2">
      <c r="A11230" s="1" t="str">
        <f>"N4BP2L1"</f>
        <v>N4BP2L1</v>
      </c>
      <c r="B11230" t="s">
        <v>14</v>
      </c>
      <c r="C11230" t="s">
        <v>39</v>
      </c>
      <c r="D11230" t="s">
        <v>11</v>
      </c>
      <c r="E11230" t="s">
        <v>12</v>
      </c>
      <c r="F11230">
        <v>33002253</v>
      </c>
      <c r="G11230">
        <v>33002273</v>
      </c>
      <c r="H11230">
        <v>33002279</v>
      </c>
      <c r="I11230">
        <v>33002332</v>
      </c>
    </row>
    <row r="11231" spans="1:9" x14ac:dyDescent="0.2">
      <c r="A11231" s="1" t="str">
        <f>"N4BP2L2"</f>
        <v>N4BP2L2</v>
      </c>
      <c r="B11231" t="s">
        <v>14</v>
      </c>
      <c r="C11231" t="s">
        <v>39</v>
      </c>
      <c r="D11231" t="s">
        <v>11</v>
      </c>
      <c r="E11231" t="s">
        <v>12</v>
      </c>
      <c r="F11231">
        <v>33112899</v>
      </c>
      <c r="G11231">
        <v>33112948</v>
      </c>
      <c r="H11231">
        <v>33112869</v>
      </c>
      <c r="I11231">
        <v>33112882</v>
      </c>
    </row>
    <row r="11232" spans="1:9" x14ac:dyDescent="0.2">
      <c r="A11232" s="1" t="str">
        <f>"N4BP3"</f>
        <v>N4BP3</v>
      </c>
      <c r="B11232" t="s">
        <v>14</v>
      </c>
      <c r="C11232" t="s">
        <v>46</v>
      </c>
      <c r="D11232" t="s">
        <v>17</v>
      </c>
      <c r="E11232" t="s">
        <v>12</v>
      </c>
      <c r="F11232">
        <v>177540520</v>
      </c>
      <c r="G11232">
        <v>177540565</v>
      </c>
      <c r="H11232">
        <v>177540656</v>
      </c>
      <c r="I11232">
        <v>177540674</v>
      </c>
    </row>
    <row r="11233" spans="1:9" x14ac:dyDescent="0.2">
      <c r="A11233" s="1" t="str">
        <f>"N6AMT1"</f>
        <v>N6AMT1</v>
      </c>
      <c r="B11233" t="s">
        <v>14</v>
      </c>
      <c r="C11233" t="s">
        <v>42</v>
      </c>
      <c r="D11233" t="s">
        <v>11</v>
      </c>
      <c r="E11233" t="s">
        <v>12</v>
      </c>
      <c r="F11233">
        <v>30257669</v>
      </c>
      <c r="G11233">
        <v>30257704</v>
      </c>
      <c r="H11233">
        <v>30257669</v>
      </c>
      <c r="I11233">
        <v>30257704</v>
      </c>
    </row>
    <row r="11234" spans="1:9" x14ac:dyDescent="0.2">
      <c r="A11234" s="1" t="str">
        <f>"N6AMT2"</f>
        <v>N6AMT2</v>
      </c>
      <c r="B11234" t="s">
        <v>14</v>
      </c>
      <c r="C11234" t="s">
        <v>39</v>
      </c>
      <c r="D11234" t="s">
        <v>11</v>
      </c>
      <c r="E11234" t="s">
        <v>12</v>
      </c>
      <c r="F11234">
        <v>21348066</v>
      </c>
      <c r="G11234">
        <v>21348111</v>
      </c>
      <c r="H11234">
        <v>21348050</v>
      </c>
      <c r="I11234">
        <v>21348065</v>
      </c>
    </row>
    <row r="11235" spans="1:9" x14ac:dyDescent="0.2">
      <c r="A11235" s="1" t="str">
        <f>"NAA10"</f>
        <v>NAA10</v>
      </c>
      <c r="B11235" t="s">
        <v>14</v>
      </c>
      <c r="C11235" t="s">
        <v>37</v>
      </c>
      <c r="D11235" t="s">
        <v>11</v>
      </c>
      <c r="E11235" t="s">
        <v>12</v>
      </c>
      <c r="F11235">
        <v>153200423</v>
      </c>
      <c r="G11235">
        <v>153200499</v>
      </c>
      <c r="H11235">
        <v>153200513</v>
      </c>
      <c r="I11235">
        <v>153200524</v>
      </c>
    </row>
    <row r="11236" spans="1:9" x14ac:dyDescent="0.2">
      <c r="A11236" s="1" t="str">
        <f>"NAA11"</f>
        <v>NAA11</v>
      </c>
      <c r="B11236" t="s">
        <v>14</v>
      </c>
      <c r="C11236" t="s">
        <v>23</v>
      </c>
      <c r="D11236" t="s">
        <v>11</v>
      </c>
      <c r="E11236" t="s">
        <v>12</v>
      </c>
      <c r="F11236">
        <v>80247162</v>
      </c>
      <c r="G11236">
        <v>80247243</v>
      </c>
      <c r="H11236">
        <v>80247162</v>
      </c>
      <c r="I11236">
        <v>80247243</v>
      </c>
    </row>
    <row r="11237" spans="1:9" x14ac:dyDescent="0.2">
      <c r="A11237" s="1" t="str">
        <f>"NAA15"</f>
        <v>NAA15</v>
      </c>
      <c r="B11237" t="s">
        <v>14</v>
      </c>
      <c r="C11237" t="s">
        <v>23</v>
      </c>
      <c r="D11237" t="s">
        <v>17</v>
      </c>
      <c r="E11237" t="s">
        <v>12</v>
      </c>
      <c r="F11237">
        <v>140222640</v>
      </c>
      <c r="G11237">
        <v>140222696</v>
      </c>
      <c r="H11237">
        <v>140222816</v>
      </c>
      <c r="I11237">
        <v>140222848</v>
      </c>
    </row>
    <row r="11238" spans="1:9" x14ac:dyDescent="0.2">
      <c r="A11238" s="1" t="str">
        <f>"NAA16"</f>
        <v>NAA16</v>
      </c>
      <c r="B11238" t="s">
        <v>14</v>
      </c>
      <c r="C11238" t="s">
        <v>39</v>
      </c>
      <c r="D11238" t="s">
        <v>17</v>
      </c>
      <c r="E11238" t="s">
        <v>12</v>
      </c>
      <c r="F11238">
        <v>41885360</v>
      </c>
      <c r="G11238">
        <v>41885443</v>
      </c>
      <c r="H11238">
        <v>41885459</v>
      </c>
      <c r="I11238">
        <v>41885476</v>
      </c>
    </row>
    <row r="11239" spans="1:9" x14ac:dyDescent="0.2">
      <c r="A11239" s="1" t="str">
        <f>"NAA20"</f>
        <v>NAA20</v>
      </c>
      <c r="B11239" t="s">
        <v>14</v>
      </c>
      <c r="C11239" t="s">
        <v>29</v>
      </c>
      <c r="D11239" t="s">
        <v>17</v>
      </c>
      <c r="E11239" t="s">
        <v>12</v>
      </c>
      <c r="F11239">
        <v>19997948</v>
      </c>
      <c r="G11239">
        <v>19998017</v>
      </c>
      <c r="H11239">
        <v>19997929</v>
      </c>
      <c r="I11239">
        <v>19997945</v>
      </c>
    </row>
    <row r="11240" spans="1:9" x14ac:dyDescent="0.2">
      <c r="A11240" s="1" t="str">
        <f>"NAA25"</f>
        <v>NAA25</v>
      </c>
      <c r="B11240" t="s">
        <v>14</v>
      </c>
      <c r="C11240" t="s">
        <v>16</v>
      </c>
      <c r="D11240" t="s">
        <v>11</v>
      </c>
      <c r="E11240" t="s">
        <v>12</v>
      </c>
      <c r="F11240">
        <v>112546577</v>
      </c>
      <c r="G11240">
        <v>112546607</v>
      </c>
      <c r="H11240">
        <v>112546577</v>
      </c>
      <c r="I11240">
        <v>112546607</v>
      </c>
    </row>
    <row r="11241" spans="1:9" x14ac:dyDescent="0.2">
      <c r="A11241" s="1" t="str">
        <f>"NAA30"</f>
        <v>NAA30</v>
      </c>
      <c r="B11241" t="s">
        <v>14</v>
      </c>
      <c r="C11241" t="s">
        <v>41</v>
      </c>
      <c r="D11241" t="s">
        <v>17</v>
      </c>
      <c r="E11241" t="s">
        <v>12</v>
      </c>
      <c r="F11241">
        <v>57857290</v>
      </c>
      <c r="G11241">
        <v>57857334</v>
      </c>
      <c r="H11241">
        <v>57857290</v>
      </c>
      <c r="I11241">
        <v>57857334</v>
      </c>
    </row>
    <row r="11242" spans="1:9" x14ac:dyDescent="0.2">
      <c r="A11242" s="1" t="str">
        <f>"NAA35"</f>
        <v>NAA35</v>
      </c>
      <c r="B11242" t="s">
        <v>14</v>
      </c>
      <c r="C11242" t="s">
        <v>24</v>
      </c>
      <c r="D11242" t="s">
        <v>17</v>
      </c>
      <c r="E11242" t="s">
        <v>12</v>
      </c>
      <c r="F11242">
        <v>88556173</v>
      </c>
      <c r="G11242">
        <v>88556228</v>
      </c>
      <c r="H11242">
        <v>88556036</v>
      </c>
      <c r="I11242">
        <v>88556101</v>
      </c>
    </row>
    <row r="11243" spans="1:9" x14ac:dyDescent="0.2">
      <c r="A11243" s="1" t="str">
        <f>"NAA38"</f>
        <v>NAA38</v>
      </c>
      <c r="B11243" t="s">
        <v>14</v>
      </c>
      <c r="C11243" t="s">
        <v>33</v>
      </c>
      <c r="D11243" t="s">
        <v>17</v>
      </c>
      <c r="E11243" t="s">
        <v>12</v>
      </c>
      <c r="F11243">
        <v>117824210</v>
      </c>
      <c r="G11243">
        <v>117824230</v>
      </c>
      <c r="H11243">
        <v>117824159</v>
      </c>
      <c r="I11243">
        <v>117824202</v>
      </c>
    </row>
    <row r="11244" spans="1:9" x14ac:dyDescent="0.2">
      <c r="A11244" s="1" t="str">
        <f>"NAA40"</f>
        <v>NAA40</v>
      </c>
      <c r="B11244" t="s">
        <v>14</v>
      </c>
      <c r="C11244" t="s">
        <v>27</v>
      </c>
      <c r="D11244" t="s">
        <v>17</v>
      </c>
      <c r="E11244" t="s">
        <v>12</v>
      </c>
      <c r="F11244">
        <v>63706444</v>
      </c>
      <c r="G11244">
        <v>63706486</v>
      </c>
      <c r="H11244">
        <v>63706298</v>
      </c>
      <c r="I11244">
        <v>63706344</v>
      </c>
    </row>
    <row r="11245" spans="1:9" x14ac:dyDescent="0.2">
      <c r="A11245" s="1" t="str">
        <f>"NAA50"</f>
        <v>NAA50</v>
      </c>
      <c r="B11245" t="s">
        <v>14</v>
      </c>
      <c r="C11245" t="s">
        <v>22</v>
      </c>
      <c r="D11245" t="s">
        <v>11</v>
      </c>
      <c r="E11245" t="s">
        <v>12</v>
      </c>
      <c r="F11245">
        <v>113465065</v>
      </c>
      <c r="G11245">
        <v>113465102</v>
      </c>
      <c r="H11245">
        <v>113465032</v>
      </c>
      <c r="I11245">
        <v>113465051</v>
      </c>
    </row>
    <row r="11246" spans="1:9" x14ac:dyDescent="0.2">
      <c r="A11246" s="1" t="str">
        <f>"NAA60"</f>
        <v>NAA60</v>
      </c>
      <c r="B11246" t="s">
        <v>14</v>
      </c>
      <c r="C11246" t="s">
        <v>31</v>
      </c>
      <c r="D11246" t="s">
        <v>17</v>
      </c>
      <c r="E11246" t="s">
        <v>12</v>
      </c>
      <c r="F11246">
        <v>3508006</v>
      </c>
      <c r="G11246">
        <v>3508061</v>
      </c>
      <c r="H11246">
        <v>3508063</v>
      </c>
      <c r="I11246">
        <v>3508086</v>
      </c>
    </row>
    <row r="11247" spans="1:9" x14ac:dyDescent="0.2">
      <c r="A11247" s="1" t="str">
        <f>"NAAA"</f>
        <v>NAAA</v>
      </c>
      <c r="B11247" t="s">
        <v>14</v>
      </c>
      <c r="C11247" t="s">
        <v>23</v>
      </c>
      <c r="D11247" t="s">
        <v>11</v>
      </c>
      <c r="E11247" t="s">
        <v>12</v>
      </c>
      <c r="F11247">
        <v>76862117</v>
      </c>
      <c r="G11247">
        <v>76862186</v>
      </c>
      <c r="H11247">
        <v>76861424</v>
      </c>
      <c r="I11247">
        <v>76861449</v>
      </c>
    </row>
    <row r="11248" spans="1:9" x14ac:dyDescent="0.2">
      <c r="A11248" s="1" t="str">
        <f>"NAALAD2"</f>
        <v>NAALAD2</v>
      </c>
      <c r="B11248" t="s">
        <v>14</v>
      </c>
      <c r="C11248" t="s">
        <v>27</v>
      </c>
      <c r="D11248" t="s">
        <v>17</v>
      </c>
      <c r="E11248" t="s">
        <v>12</v>
      </c>
      <c r="F11248">
        <v>89867803</v>
      </c>
      <c r="G11248">
        <v>89867877</v>
      </c>
      <c r="H11248">
        <v>89867681</v>
      </c>
      <c r="I11248">
        <v>89867695</v>
      </c>
    </row>
    <row r="11249" spans="1:9" x14ac:dyDescent="0.2">
      <c r="A11249" s="1" t="str">
        <f>"NAALADL1"</f>
        <v>NAALADL1</v>
      </c>
      <c r="B11249" t="s">
        <v>14</v>
      </c>
      <c r="C11249" t="s">
        <v>27</v>
      </c>
      <c r="D11249" t="s">
        <v>11</v>
      </c>
      <c r="E11249" t="s">
        <v>12</v>
      </c>
      <c r="F11249">
        <v>64815345</v>
      </c>
      <c r="G11249">
        <v>64815374</v>
      </c>
      <c r="H11249">
        <v>64815345</v>
      </c>
      <c r="I11249">
        <v>64815374</v>
      </c>
    </row>
    <row r="11250" spans="1:9" x14ac:dyDescent="0.2">
      <c r="A11250" s="1" t="str">
        <f>"NAALADL2"</f>
        <v>NAALADL2</v>
      </c>
      <c r="B11250" t="s">
        <v>834</v>
      </c>
      <c r="C11250" t="s">
        <v>22</v>
      </c>
      <c r="D11250" t="s">
        <v>17</v>
      </c>
      <c r="E11250" t="s">
        <v>20</v>
      </c>
      <c r="F11250">
        <v>174577069</v>
      </c>
      <c r="G11250">
        <v>174577069</v>
      </c>
      <c r="H11250">
        <v>174577069</v>
      </c>
      <c r="I11250">
        <v>174577069</v>
      </c>
    </row>
    <row r="11251" spans="1:9" x14ac:dyDescent="0.2">
      <c r="A11251" s="1" t="str">
        <f>"NAB1"</f>
        <v>NAB1</v>
      </c>
      <c r="B11251" t="s">
        <v>14</v>
      </c>
      <c r="C11251" t="s">
        <v>26</v>
      </c>
      <c r="D11251" t="s">
        <v>17</v>
      </c>
      <c r="E11251" t="s">
        <v>12</v>
      </c>
      <c r="F11251">
        <v>191513789</v>
      </c>
      <c r="G11251">
        <v>191513867</v>
      </c>
      <c r="H11251">
        <v>191513587</v>
      </c>
      <c r="I11251">
        <v>191513653</v>
      </c>
    </row>
    <row r="11252" spans="1:9" x14ac:dyDescent="0.2">
      <c r="A11252" s="1" t="str">
        <f>"NAB2"</f>
        <v>NAB2</v>
      </c>
      <c r="B11252" t="s">
        <v>14</v>
      </c>
      <c r="C11252" t="s">
        <v>16</v>
      </c>
      <c r="D11252" t="s">
        <v>17</v>
      </c>
      <c r="E11252" t="s">
        <v>12</v>
      </c>
      <c r="F11252">
        <v>57482882</v>
      </c>
      <c r="G11252">
        <v>57482907</v>
      </c>
      <c r="H11252">
        <v>57482758</v>
      </c>
      <c r="I11252">
        <v>57482831</v>
      </c>
    </row>
    <row r="11253" spans="1:9" x14ac:dyDescent="0.2">
      <c r="A11253" s="1" t="str">
        <f>"NABP1"</f>
        <v>NABP1</v>
      </c>
      <c r="B11253" t="s">
        <v>14</v>
      </c>
      <c r="C11253" t="s">
        <v>26</v>
      </c>
      <c r="D11253" t="s">
        <v>17</v>
      </c>
      <c r="E11253" t="s">
        <v>12</v>
      </c>
      <c r="F11253">
        <v>192542850</v>
      </c>
      <c r="G11253">
        <v>192542872</v>
      </c>
      <c r="H11253">
        <v>192543153</v>
      </c>
      <c r="I11253">
        <v>192543170</v>
      </c>
    </row>
    <row r="11254" spans="1:9" x14ac:dyDescent="0.2">
      <c r="A11254" s="1" t="str">
        <f>"NABP2"</f>
        <v>NABP2</v>
      </c>
      <c r="B11254" t="s">
        <v>9</v>
      </c>
      <c r="C11254" t="s">
        <v>16</v>
      </c>
      <c r="D11254" t="s">
        <v>17</v>
      </c>
      <c r="E11254" t="s">
        <v>12</v>
      </c>
      <c r="F11254">
        <v>56618102</v>
      </c>
      <c r="G11254">
        <v>56618211</v>
      </c>
      <c r="H11254">
        <v>56618102</v>
      </c>
      <c r="I11254">
        <v>56618211</v>
      </c>
    </row>
    <row r="11255" spans="1:9" x14ac:dyDescent="0.2">
      <c r="A11255" s="1" t="str">
        <f>"NABP2"</f>
        <v>NABP2</v>
      </c>
      <c r="B11255" t="s">
        <v>13</v>
      </c>
      <c r="C11255" t="s">
        <v>16</v>
      </c>
      <c r="D11255" t="s">
        <v>17</v>
      </c>
      <c r="E11255" t="s">
        <v>12</v>
      </c>
      <c r="F11255">
        <v>56615761</v>
      </c>
      <c r="G11255">
        <v>56615815</v>
      </c>
      <c r="H11255">
        <v>56615761</v>
      </c>
      <c r="I11255">
        <v>56615815</v>
      </c>
    </row>
    <row r="11256" spans="1:9" x14ac:dyDescent="0.2">
      <c r="A11256" s="1" t="str">
        <f>"NACA"</f>
        <v>NACA</v>
      </c>
      <c r="B11256" t="s">
        <v>14</v>
      </c>
      <c r="C11256" t="s">
        <v>16</v>
      </c>
      <c r="D11256" t="s">
        <v>11</v>
      </c>
      <c r="E11256" t="s">
        <v>12</v>
      </c>
      <c r="F11256">
        <v>57119068</v>
      </c>
      <c r="G11256">
        <v>57119103</v>
      </c>
      <c r="H11256">
        <v>57119106</v>
      </c>
      <c r="I11256">
        <v>57119145</v>
      </c>
    </row>
    <row r="11257" spans="1:9" x14ac:dyDescent="0.2">
      <c r="A11257" s="1" t="str">
        <f>"NACA2"</f>
        <v>NACA2</v>
      </c>
      <c r="B11257" t="s">
        <v>14</v>
      </c>
      <c r="C11257" t="s">
        <v>28</v>
      </c>
      <c r="D11257" t="s">
        <v>11</v>
      </c>
      <c r="E11257" t="s">
        <v>12</v>
      </c>
      <c r="F11257">
        <v>59668550</v>
      </c>
      <c r="G11257">
        <v>59668587</v>
      </c>
      <c r="H11257">
        <v>59668550</v>
      </c>
      <c r="I11257">
        <v>59668587</v>
      </c>
    </row>
    <row r="11258" spans="1:9" x14ac:dyDescent="0.2">
      <c r="A11258" s="1" t="str">
        <f>"NACAD"</f>
        <v>NACAD</v>
      </c>
      <c r="B11258" t="s">
        <v>14</v>
      </c>
      <c r="C11258" t="s">
        <v>33</v>
      </c>
      <c r="D11258" t="s">
        <v>11</v>
      </c>
      <c r="E11258" t="s">
        <v>12</v>
      </c>
      <c r="F11258">
        <v>45128472</v>
      </c>
      <c r="G11258">
        <v>45128620</v>
      </c>
      <c r="H11258">
        <v>45128472</v>
      </c>
      <c r="I11258">
        <v>45128620</v>
      </c>
    </row>
    <row r="11259" spans="1:9" x14ac:dyDescent="0.2">
      <c r="A11259" s="1" t="str">
        <f>"NACC1"</f>
        <v>NACC1</v>
      </c>
      <c r="B11259" t="s">
        <v>14</v>
      </c>
      <c r="C11259" t="s">
        <v>10</v>
      </c>
      <c r="D11259" t="s">
        <v>17</v>
      </c>
      <c r="E11259" t="s">
        <v>12</v>
      </c>
      <c r="F11259">
        <v>13229049</v>
      </c>
      <c r="G11259">
        <v>13229111</v>
      </c>
      <c r="H11259">
        <v>13229019</v>
      </c>
      <c r="I11259">
        <v>13229048</v>
      </c>
    </row>
    <row r="11260" spans="1:9" x14ac:dyDescent="0.2">
      <c r="A11260" s="1" t="str">
        <f>"NACC2"</f>
        <v>NACC2</v>
      </c>
      <c r="B11260" t="s">
        <v>14</v>
      </c>
      <c r="C11260" t="s">
        <v>24</v>
      </c>
      <c r="D11260" t="s">
        <v>11</v>
      </c>
      <c r="E11260" t="s">
        <v>12</v>
      </c>
      <c r="F11260">
        <v>138987115</v>
      </c>
      <c r="G11260">
        <v>138987142</v>
      </c>
      <c r="H11260">
        <v>138987148</v>
      </c>
      <c r="I11260">
        <v>138987173</v>
      </c>
    </row>
    <row r="11261" spans="1:9" x14ac:dyDescent="0.2">
      <c r="A11261" s="1" t="str">
        <f>"NADK"</f>
        <v>NADK</v>
      </c>
      <c r="B11261" t="s">
        <v>9</v>
      </c>
      <c r="C11261" t="s">
        <v>19</v>
      </c>
      <c r="D11261" t="s">
        <v>11</v>
      </c>
      <c r="E11261" t="s">
        <v>12</v>
      </c>
      <c r="F11261">
        <v>1709845</v>
      </c>
      <c r="G11261">
        <v>1709914</v>
      </c>
      <c r="H11261">
        <v>1709845</v>
      </c>
      <c r="I11261">
        <v>1709914</v>
      </c>
    </row>
    <row r="11262" spans="1:9" x14ac:dyDescent="0.2">
      <c r="A11262" s="1" t="str">
        <f>"NADK"</f>
        <v>NADK</v>
      </c>
      <c r="B11262" t="s">
        <v>13</v>
      </c>
      <c r="C11262" t="s">
        <v>19</v>
      </c>
      <c r="D11262" t="s">
        <v>11</v>
      </c>
      <c r="E11262" t="s">
        <v>12</v>
      </c>
      <c r="F11262">
        <v>1711463</v>
      </c>
      <c r="G11262">
        <v>1711488</v>
      </c>
      <c r="H11262">
        <v>1711463</v>
      </c>
      <c r="I11262">
        <v>1711488</v>
      </c>
    </row>
    <row r="11263" spans="1:9" x14ac:dyDescent="0.2">
      <c r="A11263" s="1" t="str">
        <f>"NADK2"</f>
        <v>NADK2</v>
      </c>
      <c r="B11263" t="s">
        <v>14</v>
      </c>
      <c r="C11263" t="s">
        <v>46</v>
      </c>
      <c r="D11263" t="s">
        <v>11</v>
      </c>
      <c r="E11263" t="s">
        <v>12</v>
      </c>
      <c r="F11263">
        <v>36241987</v>
      </c>
      <c r="G11263">
        <v>36242044</v>
      </c>
      <c r="H11263">
        <v>36241719</v>
      </c>
      <c r="I11263">
        <v>36241820</v>
      </c>
    </row>
    <row r="11264" spans="1:9" x14ac:dyDescent="0.2">
      <c r="A11264" s="1" t="str">
        <f>"NADSYN1"</f>
        <v>NADSYN1</v>
      </c>
      <c r="B11264" t="s">
        <v>14</v>
      </c>
      <c r="C11264" t="s">
        <v>27</v>
      </c>
      <c r="D11264" t="s">
        <v>17</v>
      </c>
      <c r="E11264" t="s">
        <v>12</v>
      </c>
      <c r="F11264">
        <v>71164235</v>
      </c>
      <c r="G11264">
        <v>71164309</v>
      </c>
      <c r="H11264">
        <v>71164227</v>
      </c>
      <c r="I11264">
        <v>71164234</v>
      </c>
    </row>
    <row r="11265" spans="1:9" x14ac:dyDescent="0.2">
      <c r="A11265" s="1" t="str">
        <f>"NAE1"</f>
        <v>NAE1</v>
      </c>
      <c r="B11265" t="s">
        <v>14</v>
      </c>
      <c r="C11265" t="s">
        <v>31</v>
      </c>
      <c r="D11265" t="s">
        <v>11</v>
      </c>
      <c r="E11265" t="s">
        <v>12</v>
      </c>
      <c r="F11265">
        <v>66864806</v>
      </c>
      <c r="G11265">
        <v>66864886</v>
      </c>
      <c r="H11265">
        <v>66864806</v>
      </c>
      <c r="I11265">
        <v>66864886</v>
      </c>
    </row>
    <row r="11266" spans="1:9" x14ac:dyDescent="0.2">
      <c r="A11266" s="1" t="str">
        <f>"NAF1"</f>
        <v>NAF1</v>
      </c>
      <c r="B11266" t="s">
        <v>14</v>
      </c>
      <c r="C11266" t="s">
        <v>23</v>
      </c>
      <c r="D11266" t="s">
        <v>11</v>
      </c>
      <c r="E11266" t="s">
        <v>12</v>
      </c>
      <c r="F11266">
        <v>164087974</v>
      </c>
      <c r="G11266">
        <v>164088088</v>
      </c>
      <c r="H11266">
        <v>164087945</v>
      </c>
      <c r="I11266">
        <v>164087959</v>
      </c>
    </row>
    <row r="11267" spans="1:9" x14ac:dyDescent="0.2">
      <c r="A11267" s="1" t="str">
        <f>"NAGA"</f>
        <v>NAGA</v>
      </c>
      <c r="B11267" t="s">
        <v>14</v>
      </c>
      <c r="C11267" t="s">
        <v>21</v>
      </c>
      <c r="D11267" t="s">
        <v>11</v>
      </c>
      <c r="E11267" t="s">
        <v>12</v>
      </c>
      <c r="F11267">
        <v>42466782</v>
      </c>
      <c r="G11267">
        <v>42466856</v>
      </c>
      <c r="H11267">
        <v>42466782</v>
      </c>
      <c r="I11267">
        <v>42466856</v>
      </c>
    </row>
    <row r="11268" spans="1:9" x14ac:dyDescent="0.2">
      <c r="A11268" s="1" t="str">
        <f>"NAGK"</f>
        <v>NAGK</v>
      </c>
      <c r="B11268" t="s">
        <v>14</v>
      </c>
      <c r="C11268" t="s">
        <v>26</v>
      </c>
      <c r="D11268" t="s">
        <v>17</v>
      </c>
      <c r="E11268" t="s">
        <v>12</v>
      </c>
      <c r="F11268">
        <v>71295766</v>
      </c>
      <c r="G11268">
        <v>71295788</v>
      </c>
      <c r="H11268">
        <v>71295416</v>
      </c>
      <c r="I11268">
        <v>71295450</v>
      </c>
    </row>
    <row r="11269" spans="1:9" x14ac:dyDescent="0.2">
      <c r="A11269" s="1" t="str">
        <f>"NAGLU"</f>
        <v>NAGLU</v>
      </c>
      <c r="B11269" t="s">
        <v>14</v>
      </c>
      <c r="C11269" t="s">
        <v>28</v>
      </c>
      <c r="D11269" t="s">
        <v>17</v>
      </c>
      <c r="E11269" t="s">
        <v>12</v>
      </c>
      <c r="F11269">
        <v>40688248</v>
      </c>
      <c r="G11269">
        <v>40688290</v>
      </c>
      <c r="H11269">
        <v>40688550</v>
      </c>
      <c r="I11269">
        <v>40688569</v>
      </c>
    </row>
    <row r="11270" spans="1:9" x14ac:dyDescent="0.2">
      <c r="A11270" s="1" t="str">
        <f>"NAGPA"</f>
        <v>NAGPA</v>
      </c>
      <c r="B11270" t="s">
        <v>14</v>
      </c>
      <c r="C11270" t="s">
        <v>31</v>
      </c>
      <c r="D11270" t="s">
        <v>11</v>
      </c>
      <c r="E11270" t="s">
        <v>12</v>
      </c>
      <c r="F11270">
        <v>5083917</v>
      </c>
      <c r="G11270">
        <v>5083947</v>
      </c>
      <c r="H11270">
        <v>5083589</v>
      </c>
      <c r="I11270">
        <v>5083654</v>
      </c>
    </row>
    <row r="11271" spans="1:9" x14ac:dyDescent="0.2">
      <c r="A11271" s="1" t="str">
        <f>"NAGS"</f>
        <v>NAGS</v>
      </c>
      <c r="B11271" t="s">
        <v>9</v>
      </c>
      <c r="C11271" t="s">
        <v>28</v>
      </c>
      <c r="D11271" t="s">
        <v>17</v>
      </c>
      <c r="E11271" t="s">
        <v>12</v>
      </c>
      <c r="F11271">
        <v>42081972</v>
      </c>
      <c r="G11271">
        <v>42081995</v>
      </c>
      <c r="H11271">
        <v>42081972</v>
      </c>
      <c r="I11271">
        <v>42081995</v>
      </c>
    </row>
    <row r="11272" spans="1:9" x14ac:dyDescent="0.2">
      <c r="A11272" s="1" t="str">
        <f>"NAGS"</f>
        <v>NAGS</v>
      </c>
      <c r="B11272" t="s">
        <v>13</v>
      </c>
      <c r="C11272" t="s">
        <v>28</v>
      </c>
      <c r="D11272" t="s">
        <v>17</v>
      </c>
      <c r="E11272" t="s">
        <v>12</v>
      </c>
      <c r="F11272">
        <v>42083374</v>
      </c>
      <c r="G11272">
        <v>42083399</v>
      </c>
      <c r="H11272">
        <v>42083374</v>
      </c>
      <c r="I11272">
        <v>42083399</v>
      </c>
    </row>
    <row r="11273" spans="1:9" x14ac:dyDescent="0.2">
      <c r="A11273" s="1" t="str">
        <f>"NAIF1"</f>
        <v>NAIF1</v>
      </c>
      <c r="B11273" t="s">
        <v>14</v>
      </c>
      <c r="C11273" t="s">
        <v>24</v>
      </c>
      <c r="D11273" t="s">
        <v>11</v>
      </c>
      <c r="E11273" t="s">
        <v>12</v>
      </c>
      <c r="F11273">
        <v>130829588</v>
      </c>
      <c r="G11273">
        <v>130829636</v>
      </c>
      <c r="H11273">
        <v>130829517</v>
      </c>
      <c r="I11273">
        <v>130829531</v>
      </c>
    </row>
    <row r="11274" spans="1:9" x14ac:dyDescent="0.2">
      <c r="A11274" s="1" t="str">
        <f>"NAIP"</f>
        <v>NAIP</v>
      </c>
      <c r="B11274" t="s">
        <v>835</v>
      </c>
      <c r="C11274" t="s">
        <v>46</v>
      </c>
      <c r="D11274" t="s">
        <v>11</v>
      </c>
      <c r="E11274" t="s">
        <v>20</v>
      </c>
      <c r="F11274">
        <v>70316736</v>
      </c>
      <c r="G11274">
        <v>70316736</v>
      </c>
      <c r="H11274">
        <v>70316736</v>
      </c>
      <c r="I11274">
        <v>70316736</v>
      </c>
    </row>
    <row r="11275" spans="1:9" x14ac:dyDescent="0.2">
      <c r="A11275" s="1" t="str">
        <f>"NAIP"</f>
        <v>NAIP</v>
      </c>
      <c r="B11275" t="s">
        <v>836</v>
      </c>
      <c r="C11275" t="s">
        <v>46</v>
      </c>
      <c r="D11275" t="s">
        <v>11</v>
      </c>
      <c r="E11275" t="s">
        <v>20</v>
      </c>
      <c r="F11275">
        <v>70320513</v>
      </c>
      <c r="G11275">
        <v>70320513</v>
      </c>
      <c r="H11275">
        <v>70320513</v>
      </c>
      <c r="I11275">
        <v>70320513</v>
      </c>
    </row>
    <row r="11276" spans="1:9" x14ac:dyDescent="0.2">
      <c r="A11276" s="1" t="str">
        <f>"NALCN"</f>
        <v>NALCN</v>
      </c>
      <c r="B11276" t="s">
        <v>14</v>
      </c>
      <c r="C11276" t="s">
        <v>39</v>
      </c>
      <c r="D11276" t="s">
        <v>11</v>
      </c>
      <c r="E11276" t="s">
        <v>12</v>
      </c>
      <c r="F11276">
        <v>102068792</v>
      </c>
      <c r="G11276">
        <v>102068865</v>
      </c>
      <c r="H11276">
        <v>102068713</v>
      </c>
      <c r="I11276">
        <v>102068727</v>
      </c>
    </row>
    <row r="11277" spans="1:9" x14ac:dyDescent="0.2">
      <c r="A11277" s="1" t="str">
        <f>"NAMPT"</f>
        <v>NAMPT</v>
      </c>
      <c r="B11277" t="s">
        <v>14</v>
      </c>
      <c r="C11277" t="s">
        <v>33</v>
      </c>
      <c r="D11277" t="s">
        <v>11</v>
      </c>
      <c r="E11277" t="s">
        <v>12</v>
      </c>
      <c r="F11277">
        <v>105925382</v>
      </c>
      <c r="G11277">
        <v>105925404</v>
      </c>
      <c r="H11277">
        <v>105925420</v>
      </c>
      <c r="I11277">
        <v>105925464</v>
      </c>
    </row>
    <row r="11278" spans="1:9" x14ac:dyDescent="0.2">
      <c r="A11278" s="1" t="str">
        <f>"NANOG"</f>
        <v>NANOG</v>
      </c>
      <c r="B11278" t="s">
        <v>14</v>
      </c>
      <c r="C11278" t="s">
        <v>16</v>
      </c>
      <c r="D11278" t="s">
        <v>17</v>
      </c>
      <c r="E11278" t="s">
        <v>12</v>
      </c>
      <c r="F11278">
        <v>7941989</v>
      </c>
      <c r="G11278">
        <v>7942014</v>
      </c>
      <c r="H11278">
        <v>7942020</v>
      </c>
      <c r="I11278">
        <v>7942031</v>
      </c>
    </row>
    <row r="11279" spans="1:9" x14ac:dyDescent="0.2">
      <c r="A11279" s="1" t="str">
        <f>"NANOGNB"</f>
        <v>NANOGNB</v>
      </c>
      <c r="B11279" t="s">
        <v>837</v>
      </c>
      <c r="C11279" t="s">
        <v>16</v>
      </c>
      <c r="D11279" t="s">
        <v>17</v>
      </c>
      <c r="E11279" t="s">
        <v>20</v>
      </c>
      <c r="F11279">
        <v>7917811</v>
      </c>
      <c r="G11279">
        <v>7917811</v>
      </c>
      <c r="H11279">
        <v>7917811</v>
      </c>
      <c r="I11279">
        <v>7917811</v>
      </c>
    </row>
    <row r="11280" spans="1:9" x14ac:dyDescent="0.2">
      <c r="A11280" s="1" t="str">
        <f>"NANOS1"</f>
        <v>NANOS1</v>
      </c>
      <c r="B11280" t="s">
        <v>14</v>
      </c>
      <c r="C11280" t="s">
        <v>15</v>
      </c>
      <c r="D11280" t="s">
        <v>17</v>
      </c>
      <c r="E11280" t="s">
        <v>12</v>
      </c>
      <c r="F11280">
        <v>120789223</v>
      </c>
      <c r="G11280">
        <v>120789231</v>
      </c>
      <c r="H11280">
        <v>120789223</v>
      </c>
      <c r="I11280">
        <v>120789231</v>
      </c>
    </row>
    <row r="11281" spans="1:9" x14ac:dyDescent="0.2">
      <c r="A11281" s="1" t="str">
        <f>"NANOS2"</f>
        <v>NANOS2</v>
      </c>
      <c r="B11281" t="s">
        <v>14</v>
      </c>
      <c r="C11281" t="s">
        <v>10</v>
      </c>
      <c r="D11281" t="s">
        <v>11</v>
      </c>
      <c r="E11281" t="s">
        <v>12</v>
      </c>
      <c r="F11281">
        <v>46418033</v>
      </c>
      <c r="G11281">
        <v>46418036</v>
      </c>
      <c r="H11281">
        <v>46418033</v>
      </c>
      <c r="I11281">
        <v>46418036</v>
      </c>
    </row>
    <row r="11282" spans="1:9" x14ac:dyDescent="0.2">
      <c r="A11282" s="1" t="str">
        <f>"NANOS3"</f>
        <v>NANOS3</v>
      </c>
      <c r="B11282" t="s">
        <v>14</v>
      </c>
      <c r="C11282" t="s">
        <v>10</v>
      </c>
      <c r="D11282" t="s">
        <v>17</v>
      </c>
      <c r="E11282" t="s">
        <v>12</v>
      </c>
      <c r="F11282">
        <v>13987937</v>
      </c>
      <c r="G11282">
        <v>13987955</v>
      </c>
      <c r="H11282">
        <v>13988068</v>
      </c>
      <c r="I11282">
        <v>13988105</v>
      </c>
    </row>
    <row r="11283" spans="1:9" x14ac:dyDescent="0.2">
      <c r="A11283" s="1" t="str">
        <f>"NANP"</f>
        <v>NANP</v>
      </c>
      <c r="B11283" t="s">
        <v>14</v>
      </c>
      <c r="C11283" t="s">
        <v>29</v>
      </c>
      <c r="D11283" t="s">
        <v>11</v>
      </c>
      <c r="E11283" t="s">
        <v>12</v>
      </c>
      <c r="F11283">
        <v>25604581</v>
      </c>
      <c r="G11283">
        <v>25604656</v>
      </c>
      <c r="H11283">
        <v>25605047</v>
      </c>
      <c r="I11283">
        <v>25605067</v>
      </c>
    </row>
    <row r="11284" spans="1:9" x14ac:dyDescent="0.2">
      <c r="A11284" s="1" t="str">
        <f>"NANS"</f>
        <v>NANS</v>
      </c>
      <c r="B11284" t="s">
        <v>14</v>
      </c>
      <c r="C11284" t="s">
        <v>24</v>
      </c>
      <c r="D11284" t="s">
        <v>17</v>
      </c>
      <c r="E11284" t="s">
        <v>12</v>
      </c>
      <c r="F11284">
        <v>100818976</v>
      </c>
      <c r="G11284">
        <v>100819033</v>
      </c>
      <c r="H11284">
        <v>100818976</v>
      </c>
      <c r="I11284">
        <v>100819033</v>
      </c>
    </row>
    <row r="11285" spans="1:9" x14ac:dyDescent="0.2">
      <c r="A11285" s="1" t="str">
        <f>"NAP1L1"</f>
        <v>NAP1L1</v>
      </c>
      <c r="B11285" t="s">
        <v>14</v>
      </c>
      <c r="C11285" t="s">
        <v>16</v>
      </c>
      <c r="D11285" t="s">
        <v>11</v>
      </c>
      <c r="E11285" t="s">
        <v>12</v>
      </c>
      <c r="F11285">
        <v>76478450</v>
      </c>
      <c r="G11285">
        <v>76478471</v>
      </c>
      <c r="H11285">
        <v>76478417</v>
      </c>
      <c r="I11285">
        <v>76478439</v>
      </c>
    </row>
    <row r="11286" spans="1:9" x14ac:dyDescent="0.2">
      <c r="A11286" s="1" t="str">
        <f>"NAP1L2"</f>
        <v>NAP1L2</v>
      </c>
      <c r="B11286" t="s">
        <v>14</v>
      </c>
      <c r="C11286" t="s">
        <v>37</v>
      </c>
      <c r="D11286" t="s">
        <v>11</v>
      </c>
      <c r="E11286" t="s">
        <v>12</v>
      </c>
      <c r="F11286">
        <v>72434628</v>
      </c>
      <c r="G11286">
        <v>72434722</v>
      </c>
      <c r="H11286">
        <v>72434579</v>
      </c>
      <c r="I11286">
        <v>72434624</v>
      </c>
    </row>
    <row r="11287" spans="1:9" x14ac:dyDescent="0.2">
      <c r="A11287" s="1" t="str">
        <f>"NAP1L3"</f>
        <v>NAP1L3</v>
      </c>
      <c r="B11287" t="s">
        <v>14</v>
      </c>
      <c r="C11287" t="s">
        <v>37</v>
      </c>
      <c r="D11287" t="s">
        <v>11</v>
      </c>
      <c r="E11287" t="s">
        <v>12</v>
      </c>
      <c r="F11287">
        <v>92928557</v>
      </c>
      <c r="G11287">
        <v>92928613</v>
      </c>
      <c r="H11287">
        <v>92928638</v>
      </c>
      <c r="I11287">
        <v>92928665</v>
      </c>
    </row>
    <row r="11288" spans="1:9" x14ac:dyDescent="0.2">
      <c r="A11288" s="1" t="str">
        <f>"NAP1L4"</f>
        <v>NAP1L4</v>
      </c>
      <c r="B11288" t="s">
        <v>14</v>
      </c>
      <c r="C11288" t="s">
        <v>27</v>
      </c>
      <c r="D11288" t="s">
        <v>11</v>
      </c>
      <c r="E11288" t="s">
        <v>12</v>
      </c>
      <c r="F11288">
        <v>3013497</v>
      </c>
      <c r="G11288">
        <v>3013572</v>
      </c>
      <c r="H11288">
        <v>3013316</v>
      </c>
      <c r="I11288">
        <v>3013356</v>
      </c>
    </row>
    <row r="11289" spans="1:9" x14ac:dyDescent="0.2">
      <c r="A11289" s="1" t="str">
        <f>"NAP1L5"</f>
        <v>NAP1L5</v>
      </c>
      <c r="B11289" t="s">
        <v>14</v>
      </c>
      <c r="C11289" t="s">
        <v>23</v>
      </c>
      <c r="D11289" t="s">
        <v>11</v>
      </c>
      <c r="E11289" t="s">
        <v>12</v>
      </c>
      <c r="F11289">
        <v>89618954</v>
      </c>
      <c r="G11289">
        <v>89619001</v>
      </c>
      <c r="H11289">
        <v>89619014</v>
      </c>
      <c r="I11289">
        <v>89619026</v>
      </c>
    </row>
    <row r="11290" spans="1:9" x14ac:dyDescent="0.2">
      <c r="A11290" s="1" t="str">
        <f>"NAPA"</f>
        <v>NAPA</v>
      </c>
      <c r="B11290" t="s">
        <v>14</v>
      </c>
      <c r="C11290" t="s">
        <v>10</v>
      </c>
      <c r="D11290" t="s">
        <v>11</v>
      </c>
      <c r="E11290" t="s">
        <v>12</v>
      </c>
      <c r="F11290">
        <v>48018203</v>
      </c>
      <c r="G11290">
        <v>48018358</v>
      </c>
      <c r="H11290">
        <v>48018203</v>
      </c>
      <c r="I11290">
        <v>48018358</v>
      </c>
    </row>
    <row r="11291" spans="1:9" x14ac:dyDescent="0.2">
      <c r="A11291" s="1" t="str">
        <f>"NAPB"</f>
        <v>NAPB</v>
      </c>
      <c r="B11291" t="s">
        <v>14</v>
      </c>
      <c r="C11291" t="s">
        <v>29</v>
      </c>
      <c r="D11291" t="s">
        <v>11</v>
      </c>
      <c r="E11291" t="s">
        <v>12</v>
      </c>
      <c r="F11291">
        <v>23402028</v>
      </c>
      <c r="G11291">
        <v>23402157</v>
      </c>
      <c r="H11291">
        <v>23402028</v>
      </c>
      <c r="I11291">
        <v>23402157</v>
      </c>
    </row>
    <row r="11292" spans="1:9" x14ac:dyDescent="0.2">
      <c r="A11292" s="1" t="str">
        <f>"NAPEPLD"</f>
        <v>NAPEPLD</v>
      </c>
      <c r="B11292" t="s">
        <v>14</v>
      </c>
      <c r="C11292" t="s">
        <v>33</v>
      </c>
      <c r="D11292" t="s">
        <v>11</v>
      </c>
      <c r="E11292" t="s">
        <v>12</v>
      </c>
      <c r="F11292">
        <v>102789503</v>
      </c>
      <c r="G11292">
        <v>102789591</v>
      </c>
      <c r="H11292">
        <v>102789724</v>
      </c>
      <c r="I11292">
        <v>102789781</v>
      </c>
    </row>
    <row r="11293" spans="1:9" x14ac:dyDescent="0.2">
      <c r="A11293" s="1" t="str">
        <f>"NAPG"</f>
        <v>NAPG</v>
      </c>
      <c r="B11293" t="s">
        <v>14</v>
      </c>
      <c r="C11293" t="s">
        <v>43</v>
      </c>
      <c r="D11293" t="s">
        <v>17</v>
      </c>
      <c r="E11293" t="s">
        <v>12</v>
      </c>
      <c r="F11293">
        <v>10526047</v>
      </c>
      <c r="G11293">
        <v>10526100</v>
      </c>
      <c r="H11293">
        <v>10526008</v>
      </c>
      <c r="I11293">
        <v>10526041</v>
      </c>
    </row>
    <row r="11294" spans="1:9" x14ac:dyDescent="0.2">
      <c r="A11294" s="1" t="str">
        <f>"NAPRT1"</f>
        <v>NAPRT1</v>
      </c>
      <c r="B11294" t="s">
        <v>14</v>
      </c>
      <c r="C11294" t="s">
        <v>30</v>
      </c>
      <c r="D11294" t="s">
        <v>11</v>
      </c>
      <c r="E11294" t="s">
        <v>12</v>
      </c>
      <c r="F11294">
        <v>144660485</v>
      </c>
      <c r="G11294">
        <v>144660521</v>
      </c>
      <c r="H11294">
        <v>144660771</v>
      </c>
      <c r="I11294">
        <v>144660825</v>
      </c>
    </row>
    <row r="11295" spans="1:9" x14ac:dyDescent="0.2">
      <c r="A11295" s="1" t="str">
        <f>"NAPSA"</f>
        <v>NAPSA</v>
      </c>
      <c r="B11295" t="s">
        <v>14</v>
      </c>
      <c r="C11295" t="s">
        <v>10</v>
      </c>
      <c r="D11295" t="s">
        <v>11</v>
      </c>
      <c r="E11295" t="s">
        <v>12</v>
      </c>
      <c r="F11295">
        <v>50868888</v>
      </c>
      <c r="G11295">
        <v>50868902</v>
      </c>
      <c r="H11295">
        <v>50868888</v>
      </c>
      <c r="I11295">
        <v>50868902</v>
      </c>
    </row>
    <row r="11296" spans="1:9" x14ac:dyDescent="0.2">
      <c r="A11296" s="1" t="str">
        <f>"NARF"</f>
        <v>NARF</v>
      </c>
      <c r="B11296" t="s">
        <v>14</v>
      </c>
      <c r="C11296" t="s">
        <v>28</v>
      </c>
      <c r="D11296" t="s">
        <v>17</v>
      </c>
      <c r="E11296" t="s">
        <v>12</v>
      </c>
      <c r="F11296">
        <v>80416609</v>
      </c>
      <c r="G11296">
        <v>80416624</v>
      </c>
      <c r="H11296">
        <v>80416563</v>
      </c>
      <c r="I11296">
        <v>80416597</v>
      </c>
    </row>
    <row r="11297" spans="1:9" x14ac:dyDescent="0.2">
      <c r="A11297" s="1" t="str">
        <f>"NARFL"</f>
        <v>NARFL</v>
      </c>
      <c r="B11297" t="s">
        <v>14</v>
      </c>
      <c r="C11297" t="s">
        <v>31</v>
      </c>
      <c r="D11297" t="s">
        <v>11</v>
      </c>
      <c r="E11297" t="s">
        <v>12</v>
      </c>
      <c r="F11297">
        <v>790982</v>
      </c>
      <c r="G11297">
        <v>791014</v>
      </c>
      <c r="H11297">
        <v>790982</v>
      </c>
      <c r="I11297">
        <v>791014</v>
      </c>
    </row>
    <row r="11298" spans="1:9" x14ac:dyDescent="0.2">
      <c r="A11298" s="1" t="str">
        <f>"NARG2"</f>
        <v>NARG2</v>
      </c>
      <c r="B11298" t="s">
        <v>14</v>
      </c>
      <c r="C11298" t="s">
        <v>25</v>
      </c>
      <c r="D11298" t="s">
        <v>11</v>
      </c>
      <c r="E11298" t="s">
        <v>12</v>
      </c>
      <c r="F11298">
        <v>60771280</v>
      </c>
      <c r="G11298">
        <v>60771351</v>
      </c>
      <c r="H11298">
        <v>60771268</v>
      </c>
      <c r="I11298">
        <v>60771277</v>
      </c>
    </row>
    <row r="11299" spans="1:9" x14ac:dyDescent="0.2">
      <c r="A11299" s="1" t="str">
        <f>"NARS"</f>
        <v>NARS</v>
      </c>
      <c r="B11299" t="s">
        <v>14</v>
      </c>
      <c r="C11299" t="s">
        <v>43</v>
      </c>
      <c r="D11299" t="s">
        <v>11</v>
      </c>
      <c r="E11299" t="s">
        <v>12</v>
      </c>
      <c r="F11299">
        <v>55288973</v>
      </c>
      <c r="G11299">
        <v>55289085</v>
      </c>
      <c r="H11299">
        <v>55289165</v>
      </c>
      <c r="I11299">
        <v>55289176</v>
      </c>
    </row>
    <row r="11300" spans="1:9" x14ac:dyDescent="0.2">
      <c r="A11300" s="1" t="str">
        <f>"NARS2"</f>
        <v>NARS2</v>
      </c>
      <c r="B11300" t="s">
        <v>14</v>
      </c>
      <c r="C11300" t="s">
        <v>27</v>
      </c>
      <c r="D11300" t="s">
        <v>11</v>
      </c>
      <c r="E11300" t="s">
        <v>12</v>
      </c>
      <c r="F11300">
        <v>78285804</v>
      </c>
      <c r="G11300">
        <v>78285925</v>
      </c>
      <c r="H11300">
        <v>78285741</v>
      </c>
      <c r="I11300">
        <v>78285752</v>
      </c>
    </row>
    <row r="11301" spans="1:9" x14ac:dyDescent="0.2">
      <c r="A11301" s="1" t="str">
        <f>"NASP"</f>
        <v>NASP</v>
      </c>
      <c r="B11301" t="s">
        <v>14</v>
      </c>
      <c r="C11301" t="s">
        <v>19</v>
      </c>
      <c r="D11301" t="s">
        <v>17</v>
      </c>
      <c r="E11301" t="s">
        <v>12</v>
      </c>
      <c r="F11301">
        <v>46049706</v>
      </c>
      <c r="G11301">
        <v>46049723</v>
      </c>
      <c r="H11301">
        <v>46049706</v>
      </c>
      <c r="I11301">
        <v>46049723</v>
      </c>
    </row>
    <row r="11302" spans="1:9" x14ac:dyDescent="0.2">
      <c r="A11302" s="1" t="str">
        <f>"NAT1"</f>
        <v>NAT1</v>
      </c>
      <c r="B11302" t="s">
        <v>14</v>
      </c>
      <c r="C11302" t="s">
        <v>30</v>
      </c>
      <c r="D11302" t="s">
        <v>17</v>
      </c>
      <c r="E11302" t="s">
        <v>12</v>
      </c>
      <c r="F11302">
        <v>18067610</v>
      </c>
      <c r="G11302">
        <v>18067634</v>
      </c>
      <c r="H11302">
        <v>18067644</v>
      </c>
      <c r="I11302">
        <v>18067662</v>
      </c>
    </row>
    <row r="11303" spans="1:9" x14ac:dyDescent="0.2">
      <c r="A11303" s="1" t="str">
        <f>"NAT10"</f>
        <v>NAT10</v>
      </c>
      <c r="B11303" t="s">
        <v>14</v>
      </c>
      <c r="C11303" t="s">
        <v>27</v>
      </c>
      <c r="D11303" t="s">
        <v>17</v>
      </c>
      <c r="E11303" t="s">
        <v>12</v>
      </c>
      <c r="F11303">
        <v>34127142</v>
      </c>
      <c r="G11303">
        <v>34127189</v>
      </c>
      <c r="H11303">
        <v>34127201</v>
      </c>
      <c r="I11303">
        <v>34127254</v>
      </c>
    </row>
    <row r="11304" spans="1:9" x14ac:dyDescent="0.2">
      <c r="A11304" s="1" t="str">
        <f>"NAT14"</f>
        <v>NAT14</v>
      </c>
      <c r="B11304" t="s">
        <v>14</v>
      </c>
      <c r="C11304" t="s">
        <v>10</v>
      </c>
      <c r="D11304" t="s">
        <v>17</v>
      </c>
      <c r="E11304" t="s">
        <v>12</v>
      </c>
      <c r="F11304">
        <v>55996565</v>
      </c>
      <c r="G11304">
        <v>55996606</v>
      </c>
      <c r="H11304">
        <v>55996543</v>
      </c>
      <c r="I11304">
        <v>55996564</v>
      </c>
    </row>
    <row r="11305" spans="1:9" x14ac:dyDescent="0.2">
      <c r="A11305" s="1" t="str">
        <f>"NAT16"</f>
        <v>NAT16</v>
      </c>
      <c r="B11305" t="s">
        <v>9</v>
      </c>
      <c r="C11305" t="s">
        <v>33</v>
      </c>
      <c r="D11305" t="s">
        <v>11</v>
      </c>
      <c r="E11305" t="s">
        <v>12</v>
      </c>
      <c r="F11305">
        <v>100816855</v>
      </c>
      <c r="G11305">
        <v>100816878</v>
      </c>
      <c r="H11305">
        <v>100816855</v>
      </c>
      <c r="I11305">
        <v>100816878</v>
      </c>
    </row>
    <row r="11306" spans="1:9" x14ac:dyDescent="0.2">
      <c r="A11306" s="1" t="str">
        <f>"NAT16"</f>
        <v>NAT16</v>
      </c>
      <c r="B11306" t="s">
        <v>13</v>
      </c>
      <c r="C11306" t="s">
        <v>33</v>
      </c>
      <c r="D11306" t="s">
        <v>11</v>
      </c>
      <c r="E11306" t="s">
        <v>12</v>
      </c>
      <c r="F11306">
        <v>100823565</v>
      </c>
      <c r="G11306">
        <v>100823579</v>
      </c>
      <c r="H11306">
        <v>100823565</v>
      </c>
      <c r="I11306">
        <v>100823579</v>
      </c>
    </row>
    <row r="11307" spans="1:9" x14ac:dyDescent="0.2">
      <c r="A11307" s="1" t="str">
        <f>"NAT2"</f>
        <v>NAT2</v>
      </c>
      <c r="B11307" t="s">
        <v>14</v>
      </c>
      <c r="C11307" t="s">
        <v>30</v>
      </c>
      <c r="D11307" t="s">
        <v>17</v>
      </c>
      <c r="E11307" t="s">
        <v>12</v>
      </c>
      <c r="F11307">
        <v>18248786</v>
      </c>
      <c r="G11307">
        <v>18248805</v>
      </c>
      <c r="H11307">
        <v>18248786</v>
      </c>
      <c r="I11307">
        <v>18248805</v>
      </c>
    </row>
    <row r="11308" spans="1:9" x14ac:dyDescent="0.2">
      <c r="A11308" s="1" t="str">
        <f>"NAT6"</f>
        <v>NAT6</v>
      </c>
      <c r="B11308" t="s">
        <v>14</v>
      </c>
      <c r="C11308" t="s">
        <v>22</v>
      </c>
      <c r="D11308" t="s">
        <v>11</v>
      </c>
      <c r="E11308" t="s">
        <v>12</v>
      </c>
      <c r="F11308">
        <v>50336760</v>
      </c>
      <c r="G11308">
        <v>50336825</v>
      </c>
      <c r="H11308">
        <v>50336826</v>
      </c>
      <c r="I11308">
        <v>50336860</v>
      </c>
    </row>
    <row r="11309" spans="1:9" x14ac:dyDescent="0.2">
      <c r="A11309" s="1" t="str">
        <f>"NAT8"</f>
        <v>NAT8</v>
      </c>
      <c r="B11309" t="s">
        <v>14</v>
      </c>
      <c r="C11309" t="s">
        <v>26</v>
      </c>
      <c r="D11309" t="s">
        <v>11</v>
      </c>
      <c r="E11309" t="s">
        <v>12</v>
      </c>
      <c r="F11309">
        <v>73869508</v>
      </c>
      <c r="G11309">
        <v>73869524</v>
      </c>
      <c r="H11309">
        <v>73869543</v>
      </c>
      <c r="I11309">
        <v>73869560</v>
      </c>
    </row>
    <row r="11310" spans="1:9" x14ac:dyDescent="0.2">
      <c r="A11310" s="1" t="str">
        <f>"NAT8B"</f>
        <v>NAT8B</v>
      </c>
      <c r="B11310" t="s">
        <v>14</v>
      </c>
      <c r="C11310" t="s">
        <v>26</v>
      </c>
      <c r="D11310" t="s">
        <v>11</v>
      </c>
      <c r="E11310" t="s">
        <v>12</v>
      </c>
      <c r="F11310">
        <v>73928466</v>
      </c>
      <c r="G11310">
        <v>73928476</v>
      </c>
      <c r="H11310">
        <v>73928466</v>
      </c>
      <c r="I11310">
        <v>73928476</v>
      </c>
    </row>
    <row r="11311" spans="1:9" x14ac:dyDescent="0.2">
      <c r="A11311" s="1" t="str">
        <f>"NAT8L"</f>
        <v>NAT8L</v>
      </c>
      <c r="B11311" t="s">
        <v>14</v>
      </c>
      <c r="C11311" t="s">
        <v>23</v>
      </c>
      <c r="D11311" t="s">
        <v>17</v>
      </c>
      <c r="E11311" t="s">
        <v>12</v>
      </c>
      <c r="F11311">
        <v>2061045</v>
      </c>
      <c r="G11311">
        <v>2061064</v>
      </c>
      <c r="H11311">
        <v>2061045</v>
      </c>
      <c r="I11311">
        <v>2061064</v>
      </c>
    </row>
    <row r="11312" spans="1:9" x14ac:dyDescent="0.2">
      <c r="A11312" s="1" t="str">
        <f>"NAT9"</f>
        <v>NAT9</v>
      </c>
      <c r="B11312" t="s">
        <v>14</v>
      </c>
      <c r="C11312" t="s">
        <v>28</v>
      </c>
      <c r="D11312" t="s">
        <v>11</v>
      </c>
      <c r="E11312" t="s">
        <v>12</v>
      </c>
      <c r="F11312">
        <v>72772462</v>
      </c>
      <c r="G11312">
        <v>72772511</v>
      </c>
      <c r="H11312">
        <v>72772425</v>
      </c>
      <c r="I11312">
        <v>72772445</v>
      </c>
    </row>
    <row r="11313" spans="1:9" x14ac:dyDescent="0.2">
      <c r="A11313" s="1" t="str">
        <f>"NAV1"</f>
        <v>NAV1</v>
      </c>
      <c r="B11313" t="s">
        <v>838</v>
      </c>
      <c r="C11313" t="s">
        <v>19</v>
      </c>
      <c r="D11313" t="s">
        <v>17</v>
      </c>
      <c r="E11313" t="s">
        <v>35</v>
      </c>
      <c r="F11313">
        <v>201617232</v>
      </c>
      <c r="G11313">
        <v>201617244</v>
      </c>
      <c r="H11313">
        <v>201617558</v>
      </c>
      <c r="I11313">
        <v>201617610</v>
      </c>
    </row>
    <row r="11314" spans="1:9" x14ac:dyDescent="0.2">
      <c r="A11314" s="1" t="str">
        <f>"NAV2"</f>
        <v>NAV2</v>
      </c>
      <c r="B11314" t="s">
        <v>839</v>
      </c>
      <c r="C11314" t="s">
        <v>27</v>
      </c>
      <c r="D11314" t="s">
        <v>17</v>
      </c>
      <c r="E11314" t="s">
        <v>75</v>
      </c>
      <c r="F11314">
        <v>19372343</v>
      </c>
      <c r="G11314">
        <v>19372352</v>
      </c>
      <c r="H11314">
        <v>19372343</v>
      </c>
      <c r="I11314">
        <v>19372352</v>
      </c>
    </row>
    <row r="11315" spans="1:9" x14ac:dyDescent="0.2">
      <c r="A11315" s="1" t="str">
        <f>"NAV3"</f>
        <v>NAV3</v>
      </c>
      <c r="B11315" t="s">
        <v>840</v>
      </c>
      <c r="C11315" t="s">
        <v>16</v>
      </c>
      <c r="D11315" t="s">
        <v>17</v>
      </c>
      <c r="E11315" t="s">
        <v>35</v>
      </c>
      <c r="F11315">
        <v>78224899</v>
      </c>
      <c r="G11315">
        <v>78224906</v>
      </c>
      <c r="H11315">
        <v>78225039</v>
      </c>
      <c r="I11315">
        <v>78225063</v>
      </c>
    </row>
    <row r="11316" spans="1:9" x14ac:dyDescent="0.2">
      <c r="A11316" s="1" t="str">
        <f>"NBAS"</f>
        <v>NBAS</v>
      </c>
      <c r="B11316" t="s">
        <v>14</v>
      </c>
      <c r="C11316" t="s">
        <v>26</v>
      </c>
      <c r="D11316" t="s">
        <v>11</v>
      </c>
      <c r="E11316" t="s">
        <v>12</v>
      </c>
      <c r="F11316">
        <v>15701422</v>
      </c>
      <c r="G11316">
        <v>15701473</v>
      </c>
      <c r="H11316">
        <v>15701480</v>
      </c>
      <c r="I11316">
        <v>15701485</v>
      </c>
    </row>
    <row r="11317" spans="1:9" x14ac:dyDescent="0.2">
      <c r="A11317" s="1" t="str">
        <f>"NBEA"</f>
        <v>NBEA</v>
      </c>
      <c r="B11317" t="s">
        <v>14</v>
      </c>
      <c r="C11317" t="s">
        <v>39</v>
      </c>
      <c r="D11317" t="s">
        <v>17</v>
      </c>
      <c r="E11317" t="s">
        <v>12</v>
      </c>
      <c r="F11317">
        <v>35516390</v>
      </c>
      <c r="G11317">
        <v>35516496</v>
      </c>
      <c r="H11317">
        <v>35516390</v>
      </c>
      <c r="I11317">
        <v>35516496</v>
      </c>
    </row>
    <row r="11318" spans="1:9" x14ac:dyDescent="0.2">
      <c r="A11318" s="1" t="str">
        <f>"NBEAL1"</f>
        <v>NBEAL1</v>
      </c>
      <c r="B11318" t="s">
        <v>14</v>
      </c>
      <c r="C11318" t="s">
        <v>26</v>
      </c>
      <c r="D11318" t="s">
        <v>17</v>
      </c>
      <c r="E11318" t="s">
        <v>12</v>
      </c>
      <c r="F11318">
        <v>203879568</v>
      </c>
      <c r="G11318">
        <v>203879611</v>
      </c>
      <c r="H11318">
        <v>203879619</v>
      </c>
      <c r="I11318">
        <v>203879648</v>
      </c>
    </row>
    <row r="11319" spans="1:9" x14ac:dyDescent="0.2">
      <c r="A11319" s="1" t="str">
        <f>"NBEAL2"</f>
        <v>NBEAL2</v>
      </c>
      <c r="B11319" t="s">
        <v>9</v>
      </c>
      <c r="C11319" t="s">
        <v>22</v>
      </c>
      <c r="D11319" t="s">
        <v>17</v>
      </c>
      <c r="E11319" t="s">
        <v>12</v>
      </c>
      <c r="F11319">
        <v>47021263</v>
      </c>
      <c r="G11319">
        <v>47021333</v>
      </c>
      <c r="H11319">
        <v>47021263</v>
      </c>
      <c r="I11319">
        <v>47021333</v>
      </c>
    </row>
    <row r="11320" spans="1:9" x14ac:dyDescent="0.2">
      <c r="A11320" s="1" t="str">
        <f>"NBEAL2"</f>
        <v>NBEAL2</v>
      </c>
      <c r="B11320" t="s">
        <v>13</v>
      </c>
      <c r="C11320" t="s">
        <v>22</v>
      </c>
      <c r="D11320" t="s">
        <v>17</v>
      </c>
      <c r="E11320" t="s">
        <v>12</v>
      </c>
      <c r="F11320">
        <v>47029463</v>
      </c>
      <c r="G11320">
        <v>47029498</v>
      </c>
      <c r="H11320">
        <v>47029463</v>
      </c>
      <c r="I11320">
        <v>47029498</v>
      </c>
    </row>
    <row r="11321" spans="1:9" x14ac:dyDescent="0.2">
      <c r="A11321" s="1" t="str">
        <f>"NBL1"</f>
        <v>NBL1</v>
      </c>
      <c r="B11321" t="s">
        <v>14</v>
      </c>
      <c r="C11321" t="s">
        <v>19</v>
      </c>
      <c r="D11321" t="s">
        <v>17</v>
      </c>
      <c r="E11321" t="s">
        <v>12</v>
      </c>
      <c r="F11321">
        <v>19970797</v>
      </c>
      <c r="G11321">
        <v>19970842</v>
      </c>
      <c r="H11321">
        <v>19970797</v>
      </c>
      <c r="I11321">
        <v>19970842</v>
      </c>
    </row>
    <row r="11322" spans="1:9" x14ac:dyDescent="0.2">
      <c r="A11322" s="1" t="str">
        <f>"NBN"</f>
        <v>NBN</v>
      </c>
      <c r="B11322" t="s">
        <v>14</v>
      </c>
      <c r="C11322" t="s">
        <v>30</v>
      </c>
      <c r="D11322" t="s">
        <v>11</v>
      </c>
      <c r="E11322" t="s">
        <v>12</v>
      </c>
      <c r="F11322">
        <v>90996837</v>
      </c>
      <c r="G11322">
        <v>90996906</v>
      </c>
      <c r="H11322">
        <v>90996837</v>
      </c>
      <c r="I11322">
        <v>90996906</v>
      </c>
    </row>
    <row r="11323" spans="1:9" x14ac:dyDescent="0.2">
      <c r="A11323" s="1" t="str">
        <f>"NBPF1"</f>
        <v>NBPF1</v>
      </c>
      <c r="B11323" t="s">
        <v>14</v>
      </c>
      <c r="C11323" t="s">
        <v>19</v>
      </c>
      <c r="D11323" t="s">
        <v>11</v>
      </c>
      <c r="E11323" t="s">
        <v>12</v>
      </c>
      <c r="F11323">
        <v>16940002</v>
      </c>
      <c r="G11323">
        <v>16940105</v>
      </c>
      <c r="H11323">
        <v>16939976</v>
      </c>
      <c r="I11323">
        <v>16939988</v>
      </c>
    </row>
    <row r="11324" spans="1:9" x14ac:dyDescent="0.2">
      <c r="A11324" s="1" t="str">
        <f>"NBPF10"</f>
        <v>NBPF10</v>
      </c>
      <c r="B11324" t="s">
        <v>841</v>
      </c>
      <c r="C11324" t="s">
        <v>19</v>
      </c>
      <c r="D11324" t="s">
        <v>17</v>
      </c>
      <c r="E11324" t="s">
        <v>20</v>
      </c>
      <c r="F11324">
        <v>145293370</v>
      </c>
      <c r="G11324">
        <v>145293370</v>
      </c>
      <c r="H11324">
        <v>145293370</v>
      </c>
      <c r="I11324">
        <v>145293370</v>
      </c>
    </row>
    <row r="11325" spans="1:9" x14ac:dyDescent="0.2">
      <c r="A11325" s="1" t="str">
        <f>"NBPF11"</f>
        <v>NBPF11</v>
      </c>
      <c r="B11325" t="s">
        <v>842</v>
      </c>
      <c r="C11325" t="s">
        <v>19</v>
      </c>
      <c r="D11325" t="s">
        <v>11</v>
      </c>
      <c r="E11325" t="s">
        <v>20</v>
      </c>
      <c r="F11325">
        <v>146068244</v>
      </c>
      <c r="G11325">
        <v>146068244</v>
      </c>
      <c r="H11325">
        <v>146068244</v>
      </c>
      <c r="I11325">
        <v>146068244</v>
      </c>
    </row>
    <row r="11326" spans="1:9" x14ac:dyDescent="0.2">
      <c r="A11326" s="1" t="str">
        <f>"NBPF11"</f>
        <v>NBPF11</v>
      </c>
      <c r="B11326" t="s">
        <v>843</v>
      </c>
      <c r="C11326" t="s">
        <v>19</v>
      </c>
      <c r="D11326" t="s">
        <v>11</v>
      </c>
      <c r="E11326" t="s">
        <v>20</v>
      </c>
      <c r="F11326">
        <v>146082764</v>
      </c>
      <c r="G11326">
        <v>146082764</v>
      </c>
      <c r="H11326">
        <v>146082764</v>
      </c>
      <c r="I11326">
        <v>146082764</v>
      </c>
    </row>
    <row r="11327" spans="1:9" x14ac:dyDescent="0.2">
      <c r="A11327" s="1" t="str">
        <f>"NBPF11"</f>
        <v>NBPF11</v>
      </c>
      <c r="B11327" t="s">
        <v>844</v>
      </c>
      <c r="C11327" t="s">
        <v>19</v>
      </c>
      <c r="D11327" t="s">
        <v>11</v>
      </c>
      <c r="E11327" t="s">
        <v>20</v>
      </c>
      <c r="F11327">
        <v>146082632</v>
      </c>
      <c r="G11327">
        <v>146082632</v>
      </c>
      <c r="H11327">
        <v>146082632</v>
      </c>
      <c r="I11327">
        <v>146082632</v>
      </c>
    </row>
    <row r="11328" spans="1:9" x14ac:dyDescent="0.2">
      <c r="A11328" s="1" t="str">
        <f>"NBPF12"</f>
        <v>NBPF12</v>
      </c>
      <c r="B11328" t="s">
        <v>14</v>
      </c>
      <c r="C11328" t="s">
        <v>19</v>
      </c>
      <c r="D11328" t="s">
        <v>17</v>
      </c>
      <c r="E11328" t="s">
        <v>12</v>
      </c>
      <c r="F11328">
        <v>146373572</v>
      </c>
      <c r="G11328">
        <v>146373600</v>
      </c>
      <c r="H11328">
        <v>146373539</v>
      </c>
      <c r="I11328">
        <v>146373560</v>
      </c>
    </row>
    <row r="11329" spans="1:9" x14ac:dyDescent="0.2">
      <c r="A11329" s="1" t="str">
        <f>"NBPF14"</f>
        <v>NBPF14</v>
      </c>
      <c r="B11329" t="s">
        <v>845</v>
      </c>
      <c r="C11329" t="s">
        <v>19</v>
      </c>
      <c r="D11329" t="s">
        <v>11</v>
      </c>
      <c r="E11329" t="s">
        <v>20</v>
      </c>
      <c r="F11329">
        <v>148025847</v>
      </c>
      <c r="G11329">
        <v>148025847</v>
      </c>
      <c r="H11329">
        <v>148025847</v>
      </c>
      <c r="I11329">
        <v>148025847</v>
      </c>
    </row>
    <row r="11330" spans="1:9" x14ac:dyDescent="0.2">
      <c r="A11330" s="1" t="str">
        <f>"NBPF15"</f>
        <v>NBPF15</v>
      </c>
      <c r="B11330" t="s">
        <v>14</v>
      </c>
      <c r="C11330" t="s">
        <v>19</v>
      </c>
      <c r="D11330" t="s">
        <v>17</v>
      </c>
      <c r="E11330" t="s">
        <v>12</v>
      </c>
      <c r="F11330">
        <v>148555972</v>
      </c>
      <c r="G11330">
        <v>148555999</v>
      </c>
      <c r="H11330">
        <v>148556042</v>
      </c>
      <c r="I11330">
        <v>148556062</v>
      </c>
    </row>
    <row r="11331" spans="1:9" x14ac:dyDescent="0.2">
      <c r="A11331" s="1" t="str">
        <f>"NBPF20"</f>
        <v>NBPF20</v>
      </c>
      <c r="B11331" t="s">
        <v>846</v>
      </c>
      <c r="C11331" t="s">
        <v>19</v>
      </c>
      <c r="D11331" t="s">
        <v>11</v>
      </c>
      <c r="E11331" t="s">
        <v>20</v>
      </c>
      <c r="F11331">
        <v>148347050</v>
      </c>
      <c r="G11331">
        <v>148347050</v>
      </c>
      <c r="H11331">
        <v>148347050</v>
      </c>
      <c r="I11331">
        <v>148347050</v>
      </c>
    </row>
    <row r="11332" spans="1:9" x14ac:dyDescent="0.2">
      <c r="A11332" s="1" t="str">
        <f>"NBPF3"</f>
        <v>NBPF3</v>
      </c>
      <c r="B11332" t="s">
        <v>14</v>
      </c>
      <c r="C11332" t="s">
        <v>19</v>
      </c>
      <c r="D11332" t="s">
        <v>17</v>
      </c>
      <c r="E11332" t="s">
        <v>12</v>
      </c>
      <c r="F11332">
        <v>21766588</v>
      </c>
      <c r="G11332">
        <v>21766637</v>
      </c>
      <c r="H11332">
        <v>21766641</v>
      </c>
      <c r="I11332">
        <v>21766686</v>
      </c>
    </row>
    <row r="11333" spans="1:9" x14ac:dyDescent="0.2">
      <c r="A11333" s="1" t="str">
        <f>"NBPF4"</f>
        <v>NBPF4</v>
      </c>
      <c r="B11333" t="s">
        <v>847</v>
      </c>
      <c r="C11333" t="s">
        <v>19</v>
      </c>
      <c r="D11333" t="s">
        <v>11</v>
      </c>
      <c r="E11333" t="s">
        <v>20</v>
      </c>
      <c r="F11333">
        <v>108786688</v>
      </c>
      <c r="G11333">
        <v>108786688</v>
      </c>
      <c r="H11333">
        <v>108786688</v>
      </c>
      <c r="I11333">
        <v>108786688</v>
      </c>
    </row>
    <row r="11334" spans="1:9" x14ac:dyDescent="0.2">
      <c r="A11334" s="1" t="str">
        <f>"NBPF6"</f>
        <v>NBPF6</v>
      </c>
      <c r="B11334" t="s">
        <v>848</v>
      </c>
      <c r="C11334" t="s">
        <v>19</v>
      </c>
      <c r="D11334" t="s">
        <v>17</v>
      </c>
      <c r="E11334" t="s">
        <v>20</v>
      </c>
      <c r="F11334">
        <v>108992903</v>
      </c>
      <c r="G11334">
        <v>108992903</v>
      </c>
      <c r="H11334">
        <v>108992903</v>
      </c>
      <c r="I11334">
        <v>108992903</v>
      </c>
    </row>
    <row r="11335" spans="1:9" x14ac:dyDescent="0.2">
      <c r="A11335" s="1" t="str">
        <f>"NBPF8"</f>
        <v>NBPF8</v>
      </c>
      <c r="B11335" t="s">
        <v>849</v>
      </c>
      <c r="C11335" t="s">
        <v>19</v>
      </c>
      <c r="D11335" t="s">
        <v>17</v>
      </c>
      <c r="E11335" t="s">
        <v>20</v>
      </c>
      <c r="F11335">
        <v>144151519</v>
      </c>
      <c r="G11335">
        <v>144151519</v>
      </c>
      <c r="H11335">
        <v>144151519</v>
      </c>
      <c r="I11335">
        <v>144151519</v>
      </c>
    </row>
    <row r="11336" spans="1:9" x14ac:dyDescent="0.2">
      <c r="A11336" s="1" t="str">
        <f>"NBPF8"</f>
        <v>NBPF8</v>
      </c>
      <c r="B11336" t="s">
        <v>850</v>
      </c>
      <c r="C11336" t="s">
        <v>19</v>
      </c>
      <c r="D11336" t="s">
        <v>17</v>
      </c>
      <c r="E11336" t="s">
        <v>20</v>
      </c>
      <c r="F11336">
        <v>144220126</v>
      </c>
      <c r="G11336">
        <v>144220126</v>
      </c>
      <c r="H11336">
        <v>144220126</v>
      </c>
      <c r="I11336">
        <v>144220126</v>
      </c>
    </row>
    <row r="11337" spans="1:9" x14ac:dyDescent="0.2">
      <c r="A11337" s="1" t="str">
        <f>"NBPF8"</f>
        <v>NBPF8</v>
      </c>
      <c r="B11337" t="s">
        <v>851</v>
      </c>
      <c r="C11337" t="s">
        <v>19</v>
      </c>
      <c r="D11337" t="s">
        <v>17</v>
      </c>
      <c r="E11337" t="s">
        <v>20</v>
      </c>
      <c r="F11337">
        <v>144146811</v>
      </c>
      <c r="G11337">
        <v>144146811</v>
      </c>
      <c r="H11337">
        <v>144146811</v>
      </c>
      <c r="I11337">
        <v>144146811</v>
      </c>
    </row>
    <row r="11338" spans="1:9" x14ac:dyDescent="0.2">
      <c r="A11338" s="1" t="str">
        <f>"NBPF8"</f>
        <v>NBPF8</v>
      </c>
      <c r="B11338" t="s">
        <v>852</v>
      </c>
      <c r="C11338" t="s">
        <v>19</v>
      </c>
      <c r="D11338" t="s">
        <v>17</v>
      </c>
      <c r="E11338" t="s">
        <v>20</v>
      </c>
      <c r="F11338">
        <v>144215386</v>
      </c>
      <c r="G11338">
        <v>144215386</v>
      </c>
      <c r="H11338">
        <v>144215386</v>
      </c>
      <c r="I11338">
        <v>144215386</v>
      </c>
    </row>
    <row r="11339" spans="1:9" x14ac:dyDescent="0.2">
      <c r="A11339" s="1" t="str">
        <f>"NBPF9"</f>
        <v>NBPF9</v>
      </c>
      <c r="B11339" t="s">
        <v>853</v>
      </c>
      <c r="C11339" t="s">
        <v>19</v>
      </c>
      <c r="D11339" t="s">
        <v>17</v>
      </c>
      <c r="E11339" t="s">
        <v>20</v>
      </c>
      <c r="F11339">
        <v>144811942</v>
      </c>
      <c r="G11339">
        <v>144811942</v>
      </c>
      <c r="H11339">
        <v>144811942</v>
      </c>
      <c r="I11339">
        <v>144811942</v>
      </c>
    </row>
    <row r="11340" spans="1:9" x14ac:dyDescent="0.2">
      <c r="A11340" s="1" t="str">
        <f>"NBR1"</f>
        <v>NBR1</v>
      </c>
      <c r="B11340" t="s">
        <v>14</v>
      </c>
      <c r="C11340" t="s">
        <v>28</v>
      </c>
      <c r="D11340" t="s">
        <v>17</v>
      </c>
      <c r="E11340" t="s">
        <v>12</v>
      </c>
      <c r="F11340">
        <v>41323204</v>
      </c>
      <c r="G11340">
        <v>41323250</v>
      </c>
      <c r="H11340">
        <v>41322483</v>
      </c>
      <c r="I11340">
        <v>41322579</v>
      </c>
    </row>
    <row r="11341" spans="1:9" x14ac:dyDescent="0.2">
      <c r="A11341" s="1" t="str">
        <f>"NCALD"</f>
        <v>NCALD</v>
      </c>
      <c r="B11341" t="s">
        <v>854</v>
      </c>
      <c r="C11341" t="s">
        <v>30</v>
      </c>
      <c r="D11341" t="s">
        <v>11</v>
      </c>
      <c r="E11341" t="s">
        <v>35</v>
      </c>
      <c r="F11341">
        <v>103136712</v>
      </c>
      <c r="G11341">
        <v>103136728</v>
      </c>
      <c r="H11341">
        <v>103136481</v>
      </c>
      <c r="I11341">
        <v>103136506</v>
      </c>
    </row>
    <row r="11342" spans="1:9" x14ac:dyDescent="0.2">
      <c r="A11342" s="1" t="str">
        <f>"NCALD"</f>
        <v>NCALD</v>
      </c>
      <c r="B11342" t="s">
        <v>855</v>
      </c>
      <c r="C11342" t="s">
        <v>30</v>
      </c>
      <c r="D11342" t="s">
        <v>11</v>
      </c>
      <c r="E11342" t="s">
        <v>35</v>
      </c>
      <c r="F11342">
        <v>103137265</v>
      </c>
      <c r="G11342">
        <v>103137309</v>
      </c>
      <c r="H11342">
        <v>103136976</v>
      </c>
      <c r="I11342">
        <v>103137024</v>
      </c>
    </row>
    <row r="11343" spans="1:9" x14ac:dyDescent="0.2">
      <c r="A11343" s="1" t="str">
        <f>"NCALD"</f>
        <v>NCALD</v>
      </c>
      <c r="B11343" t="s">
        <v>856</v>
      </c>
      <c r="C11343" t="s">
        <v>30</v>
      </c>
      <c r="D11343" t="s">
        <v>11</v>
      </c>
      <c r="E11343" t="s">
        <v>35</v>
      </c>
      <c r="F11343">
        <v>102731850</v>
      </c>
      <c r="G11343">
        <v>102731851</v>
      </c>
      <c r="H11343">
        <v>102731850</v>
      </c>
      <c r="I11343">
        <v>102731851</v>
      </c>
    </row>
    <row r="11344" spans="1:9" x14ac:dyDescent="0.2">
      <c r="A11344" s="1" t="str">
        <f>"NCAM1"</f>
        <v>NCAM1</v>
      </c>
      <c r="B11344" t="s">
        <v>14</v>
      </c>
      <c r="C11344" t="s">
        <v>27</v>
      </c>
      <c r="D11344" t="s">
        <v>17</v>
      </c>
      <c r="E11344" t="s">
        <v>12</v>
      </c>
      <c r="F11344">
        <v>112832133</v>
      </c>
      <c r="G11344">
        <v>112832151</v>
      </c>
      <c r="H11344">
        <v>112832207</v>
      </c>
      <c r="I11344">
        <v>112832218</v>
      </c>
    </row>
    <row r="11345" spans="1:9" x14ac:dyDescent="0.2">
      <c r="A11345" s="1" t="str">
        <f>"NCAM2"</f>
        <v>NCAM2</v>
      </c>
      <c r="B11345" t="s">
        <v>14</v>
      </c>
      <c r="C11345" t="s">
        <v>42</v>
      </c>
      <c r="D11345" t="s">
        <v>17</v>
      </c>
      <c r="E11345" t="s">
        <v>12</v>
      </c>
      <c r="F11345">
        <v>22370717</v>
      </c>
      <c r="G11345">
        <v>22370738</v>
      </c>
      <c r="H11345">
        <v>22370608</v>
      </c>
      <c r="I11345">
        <v>22370638</v>
      </c>
    </row>
    <row r="11346" spans="1:9" x14ac:dyDescent="0.2">
      <c r="A11346" s="1" t="str">
        <f>"NCAN"</f>
        <v>NCAN</v>
      </c>
      <c r="B11346" t="s">
        <v>14</v>
      </c>
      <c r="C11346" t="s">
        <v>10</v>
      </c>
      <c r="D11346" t="s">
        <v>17</v>
      </c>
      <c r="E11346" t="s">
        <v>12</v>
      </c>
      <c r="F11346">
        <v>19322758</v>
      </c>
      <c r="G11346">
        <v>19322773</v>
      </c>
      <c r="H11346">
        <v>19322805</v>
      </c>
      <c r="I11346">
        <v>19322812</v>
      </c>
    </row>
    <row r="11347" spans="1:9" x14ac:dyDescent="0.2">
      <c r="A11347" s="1" t="str">
        <f>"NCAPD2"</f>
        <v>NCAPD2</v>
      </c>
      <c r="B11347" t="s">
        <v>14</v>
      </c>
      <c r="C11347" t="s">
        <v>16</v>
      </c>
      <c r="D11347" t="s">
        <v>17</v>
      </c>
      <c r="E11347" t="s">
        <v>12</v>
      </c>
      <c r="F11347">
        <v>6603253</v>
      </c>
      <c r="G11347">
        <v>6603303</v>
      </c>
      <c r="H11347">
        <v>6602517</v>
      </c>
      <c r="I11347">
        <v>6602559</v>
      </c>
    </row>
    <row r="11348" spans="1:9" x14ac:dyDescent="0.2">
      <c r="A11348" s="1" t="str">
        <f>"NCAPD3"</f>
        <v>NCAPD3</v>
      </c>
      <c r="B11348" t="s">
        <v>14</v>
      </c>
      <c r="C11348" t="s">
        <v>27</v>
      </c>
      <c r="D11348" t="s">
        <v>11</v>
      </c>
      <c r="E11348" t="s">
        <v>12</v>
      </c>
      <c r="F11348">
        <v>134093827</v>
      </c>
      <c r="G11348">
        <v>134093884</v>
      </c>
      <c r="H11348">
        <v>134094420</v>
      </c>
      <c r="I11348">
        <v>134094447</v>
      </c>
    </row>
    <row r="11349" spans="1:9" x14ac:dyDescent="0.2">
      <c r="A11349" s="1" t="str">
        <f>"NCAPG"</f>
        <v>NCAPG</v>
      </c>
      <c r="B11349" t="s">
        <v>14</v>
      </c>
      <c r="C11349" t="s">
        <v>23</v>
      </c>
      <c r="D11349" t="s">
        <v>17</v>
      </c>
      <c r="E11349" t="s">
        <v>12</v>
      </c>
      <c r="F11349">
        <v>17812568</v>
      </c>
      <c r="G11349">
        <v>17812648</v>
      </c>
      <c r="H11349">
        <v>17812568</v>
      </c>
      <c r="I11349">
        <v>17812648</v>
      </c>
    </row>
    <row r="11350" spans="1:9" x14ac:dyDescent="0.2">
      <c r="A11350" s="1" t="str">
        <f>"NCAPG2"</f>
        <v>NCAPG2</v>
      </c>
      <c r="B11350" t="s">
        <v>14</v>
      </c>
      <c r="C11350" t="s">
        <v>33</v>
      </c>
      <c r="D11350" t="s">
        <v>11</v>
      </c>
      <c r="E11350" t="s">
        <v>12</v>
      </c>
      <c r="F11350">
        <v>158497431</v>
      </c>
      <c r="G11350">
        <v>158497529</v>
      </c>
      <c r="H11350">
        <v>158497431</v>
      </c>
      <c r="I11350">
        <v>158497529</v>
      </c>
    </row>
    <row r="11351" spans="1:9" x14ac:dyDescent="0.2">
      <c r="A11351" s="1" t="str">
        <f>"NCAPH"</f>
        <v>NCAPH</v>
      </c>
      <c r="B11351" t="s">
        <v>14</v>
      </c>
      <c r="C11351" t="s">
        <v>26</v>
      </c>
      <c r="D11351" t="s">
        <v>17</v>
      </c>
      <c r="E11351" t="s">
        <v>12</v>
      </c>
      <c r="F11351">
        <v>97001491</v>
      </c>
      <c r="G11351">
        <v>97001550</v>
      </c>
      <c r="H11351">
        <v>97001482</v>
      </c>
      <c r="I11351">
        <v>97001488</v>
      </c>
    </row>
    <row r="11352" spans="1:9" x14ac:dyDescent="0.2">
      <c r="A11352" s="1" t="str">
        <f>"NCAPH2"</f>
        <v>NCAPH2</v>
      </c>
      <c r="B11352" t="s">
        <v>14</v>
      </c>
      <c r="C11352" t="s">
        <v>21</v>
      </c>
      <c r="D11352" t="s">
        <v>17</v>
      </c>
      <c r="E11352" t="s">
        <v>12</v>
      </c>
      <c r="F11352">
        <v>50946645</v>
      </c>
      <c r="G11352">
        <v>50946692</v>
      </c>
      <c r="H11352">
        <v>50946734</v>
      </c>
      <c r="I11352">
        <v>50946751</v>
      </c>
    </row>
    <row r="11353" spans="1:9" x14ac:dyDescent="0.2">
      <c r="A11353" s="1" t="str">
        <f>"NCBP1"</f>
        <v>NCBP1</v>
      </c>
      <c r="B11353" t="s">
        <v>14</v>
      </c>
      <c r="C11353" t="s">
        <v>24</v>
      </c>
      <c r="D11353" t="s">
        <v>17</v>
      </c>
      <c r="E11353" t="s">
        <v>12</v>
      </c>
      <c r="F11353">
        <v>100396093</v>
      </c>
      <c r="G11353">
        <v>100396112</v>
      </c>
      <c r="H11353">
        <v>100396056</v>
      </c>
      <c r="I11353">
        <v>100396086</v>
      </c>
    </row>
    <row r="11354" spans="1:9" x14ac:dyDescent="0.2">
      <c r="A11354" s="1" t="str">
        <f>"NCBP2"</f>
        <v>NCBP2</v>
      </c>
      <c r="B11354" t="s">
        <v>14</v>
      </c>
      <c r="C11354" t="s">
        <v>22</v>
      </c>
      <c r="D11354" t="s">
        <v>11</v>
      </c>
      <c r="E11354" t="s">
        <v>12</v>
      </c>
      <c r="F11354">
        <v>196669371</v>
      </c>
      <c r="G11354">
        <v>196669455</v>
      </c>
      <c r="H11354">
        <v>196669298</v>
      </c>
      <c r="I11354">
        <v>196669316</v>
      </c>
    </row>
    <row r="11355" spans="1:9" x14ac:dyDescent="0.2">
      <c r="A11355" s="1" t="str">
        <f>"NCCRP1"</f>
        <v>NCCRP1</v>
      </c>
      <c r="B11355" t="s">
        <v>14</v>
      </c>
      <c r="C11355" t="s">
        <v>10</v>
      </c>
      <c r="D11355" t="s">
        <v>17</v>
      </c>
      <c r="E11355" t="s">
        <v>12</v>
      </c>
      <c r="F11355">
        <v>39687596</v>
      </c>
      <c r="G11355">
        <v>39687612</v>
      </c>
      <c r="H11355">
        <v>39687556</v>
      </c>
      <c r="I11355">
        <v>39687587</v>
      </c>
    </row>
    <row r="11356" spans="1:9" x14ac:dyDescent="0.2">
      <c r="A11356" s="1" t="str">
        <f>"NCDN"</f>
        <v>NCDN</v>
      </c>
      <c r="B11356" t="s">
        <v>14</v>
      </c>
      <c r="C11356" t="s">
        <v>19</v>
      </c>
      <c r="D11356" t="s">
        <v>17</v>
      </c>
      <c r="E11356" t="s">
        <v>12</v>
      </c>
      <c r="F11356">
        <v>36023370</v>
      </c>
      <c r="G11356">
        <v>36023461</v>
      </c>
      <c r="H11356">
        <v>36023035</v>
      </c>
      <c r="I11356">
        <v>36023071</v>
      </c>
    </row>
    <row r="11357" spans="1:9" x14ac:dyDescent="0.2">
      <c r="A11357" s="1" t="str">
        <f>"NCEH1"</f>
        <v>NCEH1</v>
      </c>
      <c r="B11357" t="s">
        <v>14</v>
      </c>
      <c r="C11357" t="s">
        <v>22</v>
      </c>
      <c r="D11357" t="s">
        <v>11</v>
      </c>
      <c r="E11357" t="s">
        <v>12</v>
      </c>
      <c r="F11357">
        <v>172428845</v>
      </c>
      <c r="G11357">
        <v>172428895</v>
      </c>
      <c r="H11357">
        <v>172428959</v>
      </c>
      <c r="I11357">
        <v>172429013</v>
      </c>
    </row>
    <row r="11358" spans="1:9" x14ac:dyDescent="0.2">
      <c r="A11358" s="1" t="str">
        <f>"NCF1"</f>
        <v>NCF1</v>
      </c>
      <c r="B11358" t="s">
        <v>857</v>
      </c>
      <c r="C11358" t="s">
        <v>33</v>
      </c>
      <c r="D11358" t="s">
        <v>17</v>
      </c>
      <c r="E11358" t="s">
        <v>20</v>
      </c>
      <c r="F11358">
        <v>74188308</v>
      </c>
      <c r="G11358">
        <v>74188308</v>
      </c>
      <c r="H11358">
        <v>74188308</v>
      </c>
      <c r="I11358">
        <v>74188308</v>
      </c>
    </row>
    <row r="11359" spans="1:9" x14ac:dyDescent="0.2">
      <c r="A11359" s="1" t="str">
        <f>"NCF2"</f>
        <v>NCF2</v>
      </c>
      <c r="B11359" t="s">
        <v>14</v>
      </c>
      <c r="C11359" t="s">
        <v>19</v>
      </c>
      <c r="D11359" t="s">
        <v>11</v>
      </c>
      <c r="E11359" t="s">
        <v>12</v>
      </c>
      <c r="F11359">
        <v>183559575</v>
      </c>
      <c r="G11359">
        <v>183559602</v>
      </c>
      <c r="H11359">
        <v>183559626</v>
      </c>
      <c r="I11359">
        <v>183559637</v>
      </c>
    </row>
    <row r="11360" spans="1:9" x14ac:dyDescent="0.2">
      <c r="A11360" s="1" t="str">
        <f>"NCF4"</f>
        <v>NCF4</v>
      </c>
      <c r="B11360" t="s">
        <v>14</v>
      </c>
      <c r="C11360" t="s">
        <v>21</v>
      </c>
      <c r="D11360" t="s">
        <v>17</v>
      </c>
      <c r="E11360" t="s">
        <v>12</v>
      </c>
      <c r="F11360">
        <v>37257015</v>
      </c>
      <c r="G11360">
        <v>37257065</v>
      </c>
      <c r="H11360">
        <v>37257072</v>
      </c>
      <c r="I11360">
        <v>37257091</v>
      </c>
    </row>
    <row r="11361" spans="1:9" x14ac:dyDescent="0.2">
      <c r="A11361" s="1" t="str">
        <f>"NCK1"</f>
        <v>NCK1</v>
      </c>
      <c r="B11361" t="s">
        <v>14</v>
      </c>
      <c r="C11361" t="s">
        <v>22</v>
      </c>
      <c r="D11361" t="s">
        <v>17</v>
      </c>
      <c r="E11361" t="s">
        <v>12</v>
      </c>
      <c r="F11361">
        <v>136581042</v>
      </c>
      <c r="G11361">
        <v>136581089</v>
      </c>
      <c r="H11361">
        <v>136581096</v>
      </c>
      <c r="I11361">
        <v>136581116</v>
      </c>
    </row>
    <row r="11362" spans="1:9" x14ac:dyDescent="0.2">
      <c r="A11362" s="1" t="str">
        <f>"NCK2"</f>
        <v>NCK2</v>
      </c>
      <c r="B11362" t="s">
        <v>14</v>
      </c>
      <c r="C11362" t="s">
        <v>26</v>
      </c>
      <c r="D11362" t="s">
        <v>17</v>
      </c>
      <c r="E11362" t="s">
        <v>12</v>
      </c>
      <c r="F11362">
        <v>106361333</v>
      </c>
      <c r="G11362">
        <v>106361380</v>
      </c>
      <c r="H11362">
        <v>106361277</v>
      </c>
      <c r="I11362">
        <v>106361315</v>
      </c>
    </row>
    <row r="11363" spans="1:9" x14ac:dyDescent="0.2">
      <c r="A11363" s="1" t="str">
        <f>"NCKAP1"</f>
        <v>NCKAP1</v>
      </c>
      <c r="B11363" t="s">
        <v>14</v>
      </c>
      <c r="C11363" t="s">
        <v>26</v>
      </c>
      <c r="D11363" t="s">
        <v>11</v>
      </c>
      <c r="E11363" t="s">
        <v>12</v>
      </c>
      <c r="F11363">
        <v>183903133</v>
      </c>
      <c r="G11363">
        <v>183903210</v>
      </c>
      <c r="H11363">
        <v>183903019</v>
      </c>
      <c r="I11363">
        <v>183903085</v>
      </c>
    </row>
    <row r="11364" spans="1:9" x14ac:dyDescent="0.2">
      <c r="A11364" s="1" t="str">
        <f>"NCKAP1L"</f>
        <v>NCKAP1L</v>
      </c>
      <c r="B11364" t="s">
        <v>14</v>
      </c>
      <c r="C11364" t="s">
        <v>16</v>
      </c>
      <c r="D11364" t="s">
        <v>17</v>
      </c>
      <c r="E11364" t="s">
        <v>12</v>
      </c>
      <c r="F11364">
        <v>54891528</v>
      </c>
      <c r="G11364">
        <v>54891570</v>
      </c>
      <c r="H11364">
        <v>54891496</v>
      </c>
      <c r="I11364">
        <v>54891526</v>
      </c>
    </row>
    <row r="11365" spans="1:9" x14ac:dyDescent="0.2">
      <c r="A11365" s="1" t="str">
        <f>"NCKAP5"</f>
        <v>NCKAP5</v>
      </c>
      <c r="B11365" t="s">
        <v>14</v>
      </c>
      <c r="C11365" t="s">
        <v>26</v>
      </c>
      <c r="D11365" t="s">
        <v>11</v>
      </c>
      <c r="E11365" t="s">
        <v>12</v>
      </c>
      <c r="F11365">
        <v>134326009</v>
      </c>
      <c r="G11365">
        <v>134326053</v>
      </c>
      <c r="H11365">
        <v>134326063</v>
      </c>
      <c r="I11365">
        <v>134326088</v>
      </c>
    </row>
    <row r="11366" spans="1:9" x14ac:dyDescent="0.2">
      <c r="A11366" s="1" t="str">
        <f>"NCKAP5L"</f>
        <v>NCKAP5L</v>
      </c>
      <c r="B11366" t="s">
        <v>14</v>
      </c>
      <c r="C11366" t="s">
        <v>16</v>
      </c>
      <c r="D11366" t="s">
        <v>11</v>
      </c>
      <c r="E11366" t="s">
        <v>12</v>
      </c>
      <c r="F11366">
        <v>50222187</v>
      </c>
      <c r="G11366">
        <v>50222203</v>
      </c>
      <c r="H11366">
        <v>50222179</v>
      </c>
      <c r="I11366">
        <v>50222182</v>
      </c>
    </row>
    <row r="11367" spans="1:9" x14ac:dyDescent="0.2">
      <c r="A11367" s="1" t="str">
        <f>"NCKIPSD"</f>
        <v>NCKIPSD</v>
      </c>
      <c r="B11367" t="s">
        <v>14</v>
      </c>
      <c r="C11367" t="s">
        <v>22</v>
      </c>
      <c r="D11367" t="s">
        <v>11</v>
      </c>
      <c r="E11367" t="s">
        <v>12</v>
      </c>
      <c r="F11367">
        <v>48723281</v>
      </c>
      <c r="G11367">
        <v>48723354</v>
      </c>
      <c r="H11367">
        <v>48723097</v>
      </c>
      <c r="I11367">
        <v>48723125</v>
      </c>
    </row>
    <row r="11368" spans="1:9" x14ac:dyDescent="0.2">
      <c r="A11368" s="1" t="str">
        <f>"NCL"</f>
        <v>NCL</v>
      </c>
      <c r="B11368" t="s">
        <v>9</v>
      </c>
      <c r="C11368" t="s">
        <v>26</v>
      </c>
      <c r="D11368" t="s">
        <v>11</v>
      </c>
      <c r="E11368" t="s">
        <v>12</v>
      </c>
      <c r="F11368">
        <v>232329186</v>
      </c>
      <c r="G11368">
        <v>232329215</v>
      </c>
      <c r="H11368">
        <v>232329186</v>
      </c>
      <c r="I11368">
        <v>232329215</v>
      </c>
    </row>
    <row r="11369" spans="1:9" x14ac:dyDescent="0.2">
      <c r="A11369" s="1" t="str">
        <f>"NCL"</f>
        <v>NCL</v>
      </c>
      <c r="B11369" t="s">
        <v>13</v>
      </c>
      <c r="C11369" t="s">
        <v>26</v>
      </c>
      <c r="D11369" t="s">
        <v>11</v>
      </c>
      <c r="E11369" t="s">
        <v>12</v>
      </c>
      <c r="F11369">
        <v>232326456</v>
      </c>
      <c r="G11369">
        <v>232326471</v>
      </c>
      <c r="H11369">
        <v>232326456</v>
      </c>
      <c r="I11369">
        <v>232326471</v>
      </c>
    </row>
    <row r="11370" spans="1:9" x14ac:dyDescent="0.2">
      <c r="A11370" s="1" t="str">
        <f>"NCLN"</f>
        <v>NCLN</v>
      </c>
      <c r="B11370" t="s">
        <v>14</v>
      </c>
      <c r="C11370" t="s">
        <v>10</v>
      </c>
      <c r="D11370" t="s">
        <v>17</v>
      </c>
      <c r="E11370" t="s">
        <v>12</v>
      </c>
      <c r="F11370">
        <v>3185910</v>
      </c>
      <c r="G11370">
        <v>3185962</v>
      </c>
      <c r="H11370">
        <v>3185966</v>
      </c>
      <c r="I11370">
        <v>3185977</v>
      </c>
    </row>
    <row r="11371" spans="1:9" x14ac:dyDescent="0.2">
      <c r="A11371" s="1" t="str">
        <f>"NCMAP"</f>
        <v>NCMAP</v>
      </c>
      <c r="B11371" t="s">
        <v>14</v>
      </c>
      <c r="C11371" t="s">
        <v>19</v>
      </c>
      <c r="D11371" t="s">
        <v>17</v>
      </c>
      <c r="E11371" t="s">
        <v>12</v>
      </c>
      <c r="F11371">
        <v>24882560</v>
      </c>
      <c r="G11371">
        <v>24882620</v>
      </c>
      <c r="H11371">
        <v>24882560</v>
      </c>
      <c r="I11371">
        <v>24882620</v>
      </c>
    </row>
    <row r="11372" spans="1:9" x14ac:dyDescent="0.2">
      <c r="A11372" s="1" t="str">
        <f>"NCOA1"</f>
        <v>NCOA1</v>
      </c>
      <c r="B11372" t="s">
        <v>14</v>
      </c>
      <c r="C11372" t="s">
        <v>26</v>
      </c>
      <c r="D11372" t="s">
        <v>17</v>
      </c>
      <c r="E11372" t="s">
        <v>12</v>
      </c>
      <c r="F11372">
        <v>24714729</v>
      </c>
      <c r="G11372">
        <v>24714761</v>
      </c>
      <c r="H11372">
        <v>24714604</v>
      </c>
      <c r="I11372">
        <v>24714636</v>
      </c>
    </row>
    <row r="11373" spans="1:9" x14ac:dyDescent="0.2">
      <c r="A11373" s="1" t="str">
        <f>"NCOA2"</f>
        <v>NCOA2</v>
      </c>
      <c r="B11373" t="s">
        <v>14</v>
      </c>
      <c r="C11373" t="s">
        <v>30</v>
      </c>
      <c r="D11373" t="s">
        <v>11</v>
      </c>
      <c r="E11373" t="s">
        <v>12</v>
      </c>
      <c r="F11373">
        <v>71316021</v>
      </c>
      <c r="G11373">
        <v>71316068</v>
      </c>
      <c r="H11373">
        <v>71316021</v>
      </c>
      <c r="I11373">
        <v>71316068</v>
      </c>
    </row>
    <row r="11374" spans="1:9" x14ac:dyDescent="0.2">
      <c r="A11374" s="1" t="str">
        <f>"NCOA3"</f>
        <v>NCOA3</v>
      </c>
      <c r="B11374" t="s">
        <v>14</v>
      </c>
      <c r="C11374" t="s">
        <v>29</v>
      </c>
      <c r="D11374" t="s">
        <v>17</v>
      </c>
      <c r="E11374" t="s">
        <v>12</v>
      </c>
      <c r="F11374">
        <v>46130619</v>
      </c>
      <c r="G11374">
        <v>46130664</v>
      </c>
      <c r="H11374">
        <v>46130672</v>
      </c>
      <c r="I11374">
        <v>46130686</v>
      </c>
    </row>
    <row r="11375" spans="1:9" x14ac:dyDescent="0.2">
      <c r="A11375" s="1" t="str">
        <f>"NCOA4"</f>
        <v>NCOA4</v>
      </c>
      <c r="B11375" t="s">
        <v>14</v>
      </c>
      <c r="C11375" t="s">
        <v>15</v>
      </c>
      <c r="D11375" t="s">
        <v>17</v>
      </c>
      <c r="E11375" t="s">
        <v>12</v>
      </c>
      <c r="F11375">
        <v>51565188</v>
      </c>
      <c r="G11375">
        <v>51565236</v>
      </c>
      <c r="H11375">
        <v>51565239</v>
      </c>
      <c r="I11375">
        <v>51565263</v>
      </c>
    </row>
    <row r="11376" spans="1:9" x14ac:dyDescent="0.2">
      <c r="A11376" s="1" t="str">
        <f>"NCOA5"</f>
        <v>NCOA5</v>
      </c>
      <c r="B11376" t="s">
        <v>14</v>
      </c>
      <c r="C11376" t="s">
        <v>29</v>
      </c>
      <c r="D11376" t="s">
        <v>11</v>
      </c>
      <c r="E11376" t="s">
        <v>12</v>
      </c>
      <c r="F11376">
        <v>44718538</v>
      </c>
      <c r="G11376">
        <v>44718612</v>
      </c>
      <c r="H11376">
        <v>44718538</v>
      </c>
      <c r="I11376">
        <v>44718612</v>
      </c>
    </row>
    <row r="11377" spans="1:9" x14ac:dyDescent="0.2">
      <c r="A11377" s="1" t="str">
        <f>"NCOA6"</f>
        <v>NCOA6</v>
      </c>
      <c r="B11377" t="s">
        <v>14</v>
      </c>
      <c r="C11377" t="s">
        <v>29</v>
      </c>
      <c r="D11377" t="s">
        <v>11</v>
      </c>
      <c r="E11377" t="s">
        <v>12</v>
      </c>
      <c r="F11377">
        <v>33413416</v>
      </c>
      <c r="G11377">
        <v>33413466</v>
      </c>
      <c r="H11377">
        <v>33413372</v>
      </c>
      <c r="I11377">
        <v>33413389</v>
      </c>
    </row>
    <row r="11378" spans="1:9" x14ac:dyDescent="0.2">
      <c r="A11378" s="1" t="str">
        <f>"NCOA7"</f>
        <v>NCOA7</v>
      </c>
      <c r="B11378" t="s">
        <v>14</v>
      </c>
      <c r="C11378" t="s">
        <v>32</v>
      </c>
      <c r="D11378" t="s">
        <v>17</v>
      </c>
      <c r="E11378" t="s">
        <v>12</v>
      </c>
      <c r="F11378">
        <v>126112074</v>
      </c>
      <c r="G11378">
        <v>126112144</v>
      </c>
      <c r="H11378">
        <v>126112074</v>
      </c>
      <c r="I11378">
        <v>126112144</v>
      </c>
    </row>
    <row r="11379" spans="1:9" x14ac:dyDescent="0.2">
      <c r="A11379" s="1" t="str">
        <f>"NCOR1"</f>
        <v>NCOR1</v>
      </c>
      <c r="B11379" t="s">
        <v>14</v>
      </c>
      <c r="C11379" t="s">
        <v>28</v>
      </c>
      <c r="D11379" t="s">
        <v>11</v>
      </c>
      <c r="E11379" t="s">
        <v>12</v>
      </c>
      <c r="F11379">
        <v>16118835</v>
      </c>
      <c r="G11379">
        <v>16118867</v>
      </c>
      <c r="H11379">
        <v>16119223</v>
      </c>
      <c r="I11379">
        <v>16119247</v>
      </c>
    </row>
    <row r="11380" spans="1:9" x14ac:dyDescent="0.2">
      <c r="A11380" s="1" t="str">
        <f>"NCOR2"</f>
        <v>NCOR2</v>
      </c>
      <c r="B11380" t="s">
        <v>858</v>
      </c>
      <c r="C11380" t="s">
        <v>16</v>
      </c>
      <c r="D11380" t="s">
        <v>11</v>
      </c>
      <c r="E11380" t="s">
        <v>20</v>
      </c>
      <c r="F11380">
        <v>125020148</v>
      </c>
      <c r="G11380">
        <v>125020148</v>
      </c>
      <c r="H11380">
        <v>125020148</v>
      </c>
      <c r="I11380">
        <v>125020148</v>
      </c>
    </row>
    <row r="11381" spans="1:9" x14ac:dyDescent="0.2">
      <c r="A11381" s="1" t="str">
        <f>"NCOR2"</f>
        <v>NCOR2</v>
      </c>
      <c r="B11381" t="s">
        <v>859</v>
      </c>
      <c r="C11381" t="s">
        <v>16</v>
      </c>
      <c r="D11381" t="s">
        <v>11</v>
      </c>
      <c r="E11381" t="s">
        <v>35</v>
      </c>
      <c r="F11381">
        <v>124979857</v>
      </c>
      <c r="G11381">
        <v>124979890</v>
      </c>
      <c r="H11381">
        <v>124979733</v>
      </c>
      <c r="I11381">
        <v>124979763</v>
      </c>
    </row>
    <row r="11382" spans="1:9" x14ac:dyDescent="0.2">
      <c r="A11382" s="1" t="str">
        <f>"NCR1"</f>
        <v>NCR1</v>
      </c>
      <c r="B11382" t="s">
        <v>14</v>
      </c>
      <c r="C11382" t="s">
        <v>10</v>
      </c>
      <c r="D11382" t="s">
        <v>17</v>
      </c>
      <c r="E11382" t="s">
        <v>12</v>
      </c>
      <c r="F11382">
        <v>55417499</v>
      </c>
      <c r="G11382">
        <v>55417521</v>
      </c>
      <c r="H11382">
        <v>55417469</v>
      </c>
      <c r="I11382">
        <v>55417480</v>
      </c>
    </row>
    <row r="11383" spans="1:9" x14ac:dyDescent="0.2">
      <c r="A11383" s="1" t="str">
        <f>"NCR2"</f>
        <v>NCR2</v>
      </c>
      <c r="B11383" t="s">
        <v>14</v>
      </c>
      <c r="C11383" t="s">
        <v>32</v>
      </c>
      <c r="D11383" t="s">
        <v>17</v>
      </c>
      <c r="E11383" t="s">
        <v>12</v>
      </c>
      <c r="F11383">
        <v>41303336</v>
      </c>
      <c r="G11383">
        <v>41303361</v>
      </c>
      <c r="H11383">
        <v>41303372</v>
      </c>
      <c r="I11383">
        <v>41303386</v>
      </c>
    </row>
    <row r="11384" spans="1:9" x14ac:dyDescent="0.2">
      <c r="A11384" s="1" t="str">
        <f>"NCR3"</f>
        <v>NCR3</v>
      </c>
      <c r="B11384" t="s">
        <v>14</v>
      </c>
      <c r="C11384" t="s">
        <v>32</v>
      </c>
      <c r="D11384" t="s">
        <v>11</v>
      </c>
      <c r="E11384" t="s">
        <v>12</v>
      </c>
      <c r="F11384">
        <v>31560729</v>
      </c>
      <c r="G11384">
        <v>31560768</v>
      </c>
      <c r="H11384">
        <v>31560772</v>
      </c>
      <c r="I11384">
        <v>31560795</v>
      </c>
    </row>
    <row r="11385" spans="1:9" x14ac:dyDescent="0.2">
      <c r="A11385" s="1" t="str">
        <f>"NCR3LG1"</f>
        <v>NCR3LG1</v>
      </c>
      <c r="B11385" t="s">
        <v>14</v>
      </c>
      <c r="C11385" t="s">
        <v>27</v>
      </c>
      <c r="D11385" t="s">
        <v>17</v>
      </c>
      <c r="E11385" t="s">
        <v>67</v>
      </c>
      <c r="F11385">
        <v>17373513</v>
      </c>
      <c r="G11385">
        <v>17373572</v>
      </c>
      <c r="H11385">
        <v>17373338</v>
      </c>
      <c r="I11385">
        <v>17373356</v>
      </c>
    </row>
    <row r="11386" spans="1:9" x14ac:dyDescent="0.2">
      <c r="A11386" s="1" t="str">
        <f>"NCS1"</f>
        <v>NCS1</v>
      </c>
      <c r="B11386" t="s">
        <v>14</v>
      </c>
      <c r="C11386" t="s">
        <v>24</v>
      </c>
      <c r="D11386" t="s">
        <v>17</v>
      </c>
      <c r="E11386" t="s">
        <v>12</v>
      </c>
      <c r="F11386">
        <v>132934622</v>
      </c>
      <c r="G11386">
        <v>132934699</v>
      </c>
      <c r="H11386">
        <v>132934700</v>
      </c>
      <c r="I11386">
        <v>132934718</v>
      </c>
    </row>
    <row r="11387" spans="1:9" x14ac:dyDescent="0.2">
      <c r="A11387" s="1" t="str">
        <f>"NCSTN"</f>
        <v>NCSTN</v>
      </c>
      <c r="B11387" t="s">
        <v>14</v>
      </c>
      <c r="C11387" t="s">
        <v>19</v>
      </c>
      <c r="D11387" t="s">
        <v>17</v>
      </c>
      <c r="E11387" t="s">
        <v>12</v>
      </c>
      <c r="F11387">
        <v>160313165</v>
      </c>
      <c r="G11387">
        <v>160313183</v>
      </c>
      <c r="H11387">
        <v>160313149</v>
      </c>
      <c r="I11387">
        <v>160313160</v>
      </c>
    </row>
    <row r="11388" spans="1:9" x14ac:dyDescent="0.2">
      <c r="A11388" s="1" t="str">
        <f>"NDC1"</f>
        <v>NDC1</v>
      </c>
      <c r="B11388" t="s">
        <v>14</v>
      </c>
      <c r="C11388" t="s">
        <v>19</v>
      </c>
      <c r="D11388" t="s">
        <v>11</v>
      </c>
      <c r="E11388" t="s">
        <v>12</v>
      </c>
      <c r="F11388">
        <v>54303949</v>
      </c>
      <c r="G11388">
        <v>54303979</v>
      </c>
      <c r="H11388">
        <v>54304142</v>
      </c>
      <c r="I11388">
        <v>54304204</v>
      </c>
    </row>
    <row r="11389" spans="1:9" x14ac:dyDescent="0.2">
      <c r="A11389" s="1" t="str">
        <f>"NDC80"</f>
        <v>NDC80</v>
      </c>
      <c r="B11389" t="s">
        <v>14</v>
      </c>
      <c r="C11389" t="s">
        <v>43</v>
      </c>
      <c r="D11389" t="s">
        <v>17</v>
      </c>
      <c r="E11389" t="s">
        <v>12</v>
      </c>
      <c r="F11389">
        <v>2571528</v>
      </c>
      <c r="G11389">
        <v>2571568</v>
      </c>
      <c r="H11389">
        <v>2571572</v>
      </c>
      <c r="I11389">
        <v>2571606</v>
      </c>
    </row>
    <row r="11390" spans="1:9" x14ac:dyDescent="0.2">
      <c r="A11390" s="1" t="str">
        <f>"NDE1"</f>
        <v>NDE1</v>
      </c>
      <c r="B11390" t="s">
        <v>9</v>
      </c>
      <c r="C11390" t="s">
        <v>31</v>
      </c>
      <c r="D11390" t="s">
        <v>17</v>
      </c>
      <c r="E11390" t="s">
        <v>12</v>
      </c>
      <c r="F11390">
        <v>15744078</v>
      </c>
      <c r="G11390">
        <v>15744133</v>
      </c>
      <c r="H11390">
        <v>15744078</v>
      </c>
      <c r="I11390">
        <v>15744133</v>
      </c>
    </row>
    <row r="11391" spans="1:9" x14ac:dyDescent="0.2">
      <c r="A11391" s="1" t="str">
        <f>"NDE1"</f>
        <v>NDE1</v>
      </c>
      <c r="B11391" t="s">
        <v>13</v>
      </c>
      <c r="C11391" t="s">
        <v>31</v>
      </c>
      <c r="D11391" t="s">
        <v>17</v>
      </c>
      <c r="E11391" t="s">
        <v>12</v>
      </c>
      <c r="F11391">
        <v>15737263</v>
      </c>
      <c r="G11391">
        <v>15737283</v>
      </c>
      <c r="H11391">
        <v>15737263</v>
      </c>
      <c r="I11391">
        <v>15737283</v>
      </c>
    </row>
    <row r="11392" spans="1:9" x14ac:dyDescent="0.2">
      <c r="A11392" s="1" t="str">
        <f>"NDEL1"</f>
        <v>NDEL1</v>
      </c>
      <c r="B11392" t="s">
        <v>14</v>
      </c>
      <c r="C11392" t="s">
        <v>28</v>
      </c>
      <c r="D11392" t="s">
        <v>17</v>
      </c>
      <c r="E11392" t="s">
        <v>12</v>
      </c>
      <c r="F11392">
        <v>8339189</v>
      </c>
      <c r="G11392">
        <v>8339285</v>
      </c>
      <c r="H11392">
        <v>8339164</v>
      </c>
      <c r="I11392">
        <v>8339186</v>
      </c>
    </row>
    <row r="11393" spans="1:9" x14ac:dyDescent="0.2">
      <c r="A11393" s="1" t="str">
        <f>"NDFIP1"</f>
        <v>NDFIP1</v>
      </c>
      <c r="B11393" t="s">
        <v>14</v>
      </c>
      <c r="C11393" t="s">
        <v>46</v>
      </c>
      <c r="D11393" t="s">
        <v>17</v>
      </c>
      <c r="E11393" t="s">
        <v>12</v>
      </c>
      <c r="F11393">
        <v>141488318</v>
      </c>
      <c r="G11393">
        <v>141488397</v>
      </c>
      <c r="H11393">
        <v>141488481</v>
      </c>
      <c r="I11393">
        <v>141488500</v>
      </c>
    </row>
    <row r="11394" spans="1:9" x14ac:dyDescent="0.2">
      <c r="A11394" s="1" t="str">
        <f>"NDFIP2"</f>
        <v>NDFIP2</v>
      </c>
      <c r="B11394" t="s">
        <v>14</v>
      </c>
      <c r="C11394" t="s">
        <v>39</v>
      </c>
      <c r="D11394" t="s">
        <v>17</v>
      </c>
      <c r="E11394" t="s">
        <v>12</v>
      </c>
      <c r="F11394">
        <v>80055403</v>
      </c>
      <c r="G11394">
        <v>80055426</v>
      </c>
      <c r="H11394">
        <v>80055508</v>
      </c>
      <c r="I11394">
        <v>80055575</v>
      </c>
    </row>
    <row r="11395" spans="1:9" x14ac:dyDescent="0.2">
      <c r="A11395" s="1" t="str">
        <f>"NDN"</f>
        <v>NDN</v>
      </c>
      <c r="B11395" t="s">
        <v>14</v>
      </c>
      <c r="C11395" t="s">
        <v>25</v>
      </c>
      <c r="D11395" t="s">
        <v>11</v>
      </c>
      <c r="E11395" t="s">
        <v>12</v>
      </c>
      <c r="F11395">
        <v>23932437</v>
      </c>
      <c r="G11395">
        <v>23932459</v>
      </c>
      <c r="H11395">
        <v>23932412</v>
      </c>
      <c r="I11395">
        <v>23932434</v>
      </c>
    </row>
    <row r="11396" spans="1:9" x14ac:dyDescent="0.2">
      <c r="A11396" s="1" t="str">
        <f>"NDNF"</f>
        <v>NDNF</v>
      </c>
      <c r="B11396" t="s">
        <v>14</v>
      </c>
      <c r="C11396" t="s">
        <v>23</v>
      </c>
      <c r="D11396" t="s">
        <v>11</v>
      </c>
      <c r="E11396" t="s">
        <v>12</v>
      </c>
      <c r="F11396">
        <v>121993675</v>
      </c>
      <c r="G11396">
        <v>121993698</v>
      </c>
      <c r="H11396">
        <v>121993700</v>
      </c>
      <c r="I11396">
        <v>121993727</v>
      </c>
    </row>
    <row r="11397" spans="1:9" x14ac:dyDescent="0.2">
      <c r="A11397" s="1" t="str">
        <f>"NDNL2"</f>
        <v>NDNL2</v>
      </c>
      <c r="B11397" t="s">
        <v>14</v>
      </c>
      <c r="C11397" t="s">
        <v>25</v>
      </c>
      <c r="D11397" t="s">
        <v>11</v>
      </c>
      <c r="E11397" t="s">
        <v>12</v>
      </c>
      <c r="F11397">
        <v>29561979</v>
      </c>
      <c r="G11397">
        <v>29562038</v>
      </c>
      <c r="H11397">
        <v>29561954</v>
      </c>
      <c r="I11397">
        <v>29561976</v>
      </c>
    </row>
    <row r="11398" spans="1:9" x14ac:dyDescent="0.2">
      <c r="A11398" s="1" t="str">
        <f>"NDOR1"</f>
        <v>NDOR1</v>
      </c>
      <c r="B11398" t="s">
        <v>14</v>
      </c>
      <c r="C11398" t="s">
        <v>24</v>
      </c>
      <c r="D11398" t="s">
        <v>17</v>
      </c>
      <c r="E11398" t="s">
        <v>12</v>
      </c>
      <c r="F11398">
        <v>140100113</v>
      </c>
      <c r="G11398">
        <v>140100215</v>
      </c>
      <c r="H11398">
        <v>140100113</v>
      </c>
      <c r="I11398">
        <v>140100215</v>
      </c>
    </row>
    <row r="11399" spans="1:9" x14ac:dyDescent="0.2">
      <c r="A11399" s="1" t="str">
        <f>"NDP"</f>
        <v>NDP</v>
      </c>
      <c r="B11399" t="s">
        <v>14</v>
      </c>
      <c r="C11399" t="s">
        <v>37</v>
      </c>
      <c r="D11399" t="s">
        <v>11</v>
      </c>
      <c r="E11399" t="s">
        <v>12</v>
      </c>
      <c r="F11399">
        <v>43832628</v>
      </c>
      <c r="G11399">
        <v>43832644</v>
      </c>
      <c r="H11399">
        <v>43832586</v>
      </c>
      <c r="I11399">
        <v>43832607</v>
      </c>
    </row>
    <row r="11400" spans="1:9" x14ac:dyDescent="0.2">
      <c r="A11400" s="1" t="str">
        <f>"NDRG1"</f>
        <v>NDRG1</v>
      </c>
      <c r="B11400" t="s">
        <v>14</v>
      </c>
      <c r="C11400" t="s">
        <v>30</v>
      </c>
      <c r="D11400" t="s">
        <v>11</v>
      </c>
      <c r="E11400" t="s">
        <v>12</v>
      </c>
      <c r="F11400">
        <v>134309488</v>
      </c>
      <c r="G11400">
        <v>134309503</v>
      </c>
      <c r="H11400">
        <v>134309488</v>
      </c>
      <c r="I11400">
        <v>134309503</v>
      </c>
    </row>
    <row r="11401" spans="1:9" x14ac:dyDescent="0.2">
      <c r="A11401" s="1" t="str">
        <f>"NDRG2"</f>
        <v>NDRG2</v>
      </c>
      <c r="B11401" t="s">
        <v>14</v>
      </c>
      <c r="C11401" t="s">
        <v>41</v>
      </c>
      <c r="D11401" t="s">
        <v>11</v>
      </c>
      <c r="E11401" t="s">
        <v>12</v>
      </c>
      <c r="F11401">
        <v>21493884</v>
      </c>
      <c r="G11401">
        <v>21493921</v>
      </c>
      <c r="H11401">
        <v>21493213</v>
      </c>
      <c r="I11401">
        <v>21493236</v>
      </c>
    </row>
    <row r="11402" spans="1:9" x14ac:dyDescent="0.2">
      <c r="A11402" s="1" t="str">
        <f>"NDRG3"</f>
        <v>NDRG3</v>
      </c>
      <c r="B11402" t="s">
        <v>14</v>
      </c>
      <c r="C11402" t="s">
        <v>29</v>
      </c>
      <c r="D11402" t="s">
        <v>11</v>
      </c>
      <c r="E11402" t="s">
        <v>12</v>
      </c>
      <c r="F11402">
        <v>35374467</v>
      </c>
      <c r="G11402">
        <v>35374513</v>
      </c>
      <c r="H11402">
        <v>35374533</v>
      </c>
      <c r="I11402">
        <v>35374549</v>
      </c>
    </row>
    <row r="11403" spans="1:9" x14ac:dyDescent="0.2">
      <c r="A11403" s="1" t="str">
        <f>"NDRG4"</f>
        <v>NDRG4</v>
      </c>
      <c r="B11403" t="s">
        <v>14</v>
      </c>
      <c r="C11403" t="s">
        <v>31</v>
      </c>
      <c r="D11403" t="s">
        <v>17</v>
      </c>
      <c r="E11403" t="s">
        <v>12</v>
      </c>
      <c r="F11403">
        <v>58534039</v>
      </c>
      <c r="G11403">
        <v>58534056</v>
      </c>
      <c r="H11403">
        <v>58534039</v>
      </c>
      <c r="I11403">
        <v>58534056</v>
      </c>
    </row>
    <row r="11404" spans="1:9" x14ac:dyDescent="0.2">
      <c r="A11404" s="1" t="str">
        <f>"NDST1"</f>
        <v>NDST1</v>
      </c>
      <c r="B11404" t="s">
        <v>14</v>
      </c>
      <c r="C11404" t="s">
        <v>46</v>
      </c>
      <c r="D11404" t="s">
        <v>17</v>
      </c>
      <c r="E11404" t="s">
        <v>12</v>
      </c>
      <c r="F11404">
        <v>149865474</v>
      </c>
      <c r="G11404">
        <v>149865509</v>
      </c>
      <c r="H11404">
        <v>149865325</v>
      </c>
      <c r="I11404">
        <v>149865360</v>
      </c>
    </row>
    <row r="11405" spans="1:9" x14ac:dyDescent="0.2">
      <c r="A11405" s="1" t="str">
        <f>"NDST2"</f>
        <v>NDST2</v>
      </c>
      <c r="B11405" t="s">
        <v>14</v>
      </c>
      <c r="C11405" t="s">
        <v>15</v>
      </c>
      <c r="D11405" t="s">
        <v>11</v>
      </c>
      <c r="E11405" t="s">
        <v>12</v>
      </c>
      <c r="F11405">
        <v>75571341</v>
      </c>
      <c r="G11405">
        <v>75571364</v>
      </c>
      <c r="H11405">
        <v>75571566</v>
      </c>
      <c r="I11405">
        <v>75571584</v>
      </c>
    </row>
    <row r="11406" spans="1:9" x14ac:dyDescent="0.2">
      <c r="A11406" s="1" t="str">
        <f>"NDST3"</f>
        <v>NDST3</v>
      </c>
      <c r="B11406" t="s">
        <v>14</v>
      </c>
      <c r="C11406" t="s">
        <v>23</v>
      </c>
      <c r="D11406" t="s">
        <v>17</v>
      </c>
      <c r="E11406" t="s">
        <v>12</v>
      </c>
      <c r="F11406">
        <v>118954794</v>
      </c>
      <c r="G11406">
        <v>118954869</v>
      </c>
      <c r="H11406">
        <v>118954794</v>
      </c>
      <c r="I11406">
        <v>118954869</v>
      </c>
    </row>
    <row r="11407" spans="1:9" x14ac:dyDescent="0.2">
      <c r="A11407" s="1" t="str">
        <f>"NDST4"</f>
        <v>NDST4</v>
      </c>
      <c r="B11407" t="s">
        <v>14</v>
      </c>
      <c r="C11407" t="s">
        <v>23</v>
      </c>
      <c r="D11407" t="s">
        <v>11</v>
      </c>
      <c r="E11407" t="s">
        <v>12</v>
      </c>
      <c r="F11407">
        <v>116034979</v>
      </c>
      <c r="G11407">
        <v>116035046</v>
      </c>
      <c r="H11407">
        <v>116034768</v>
      </c>
      <c r="I11407">
        <v>116034781</v>
      </c>
    </row>
    <row r="11408" spans="1:9" x14ac:dyDescent="0.2">
      <c r="A11408" s="1" t="str">
        <f>"NDUFA1"</f>
        <v>NDUFA1</v>
      </c>
      <c r="B11408" t="s">
        <v>14</v>
      </c>
      <c r="C11408" t="s">
        <v>37</v>
      </c>
      <c r="D11408" t="s">
        <v>17</v>
      </c>
      <c r="E11408" t="s">
        <v>12</v>
      </c>
      <c r="F11408">
        <v>119005780</v>
      </c>
      <c r="G11408">
        <v>119005860</v>
      </c>
      <c r="H11408">
        <v>119005753</v>
      </c>
      <c r="I11408">
        <v>119005764</v>
      </c>
    </row>
    <row r="11409" spans="1:9" x14ac:dyDescent="0.2">
      <c r="A11409" s="1" t="str">
        <f>"NDUFA10"</f>
        <v>NDUFA10</v>
      </c>
      <c r="B11409" t="s">
        <v>14</v>
      </c>
      <c r="C11409" t="s">
        <v>26</v>
      </c>
      <c r="D11409" t="s">
        <v>11</v>
      </c>
      <c r="E11409" t="s">
        <v>12</v>
      </c>
      <c r="F11409">
        <v>240964716</v>
      </c>
      <c r="G11409">
        <v>240964792</v>
      </c>
      <c r="H11409">
        <v>240964716</v>
      </c>
      <c r="I11409">
        <v>240964792</v>
      </c>
    </row>
    <row r="11410" spans="1:9" x14ac:dyDescent="0.2">
      <c r="A11410" s="1" t="str">
        <f>"NDUFA11"</f>
        <v>NDUFA11</v>
      </c>
      <c r="B11410" t="s">
        <v>14</v>
      </c>
      <c r="C11410" t="s">
        <v>10</v>
      </c>
      <c r="D11410" t="s">
        <v>11</v>
      </c>
      <c r="E11410" t="s">
        <v>12</v>
      </c>
      <c r="F11410">
        <v>5903739</v>
      </c>
      <c r="G11410">
        <v>5903809</v>
      </c>
      <c r="H11410">
        <v>5903990</v>
      </c>
      <c r="I11410">
        <v>5904039</v>
      </c>
    </row>
    <row r="11411" spans="1:9" x14ac:dyDescent="0.2">
      <c r="A11411" s="1" t="str">
        <f>"NDUFA12"</f>
        <v>NDUFA12</v>
      </c>
      <c r="B11411" t="s">
        <v>14</v>
      </c>
      <c r="C11411" t="s">
        <v>16</v>
      </c>
      <c r="D11411" t="s">
        <v>11</v>
      </c>
      <c r="E11411" t="s">
        <v>12</v>
      </c>
      <c r="F11411">
        <v>95397442</v>
      </c>
      <c r="G11411">
        <v>95397491</v>
      </c>
      <c r="H11411">
        <v>95397442</v>
      </c>
      <c r="I11411">
        <v>95397491</v>
      </c>
    </row>
    <row r="11412" spans="1:9" x14ac:dyDescent="0.2">
      <c r="A11412" s="1" t="str">
        <f>"NDUFA13"</f>
        <v>NDUFA13</v>
      </c>
      <c r="B11412" t="s">
        <v>14</v>
      </c>
      <c r="C11412" t="s">
        <v>10</v>
      </c>
      <c r="D11412" t="s">
        <v>17</v>
      </c>
      <c r="E11412" t="s">
        <v>12</v>
      </c>
      <c r="F11412">
        <v>19627026</v>
      </c>
      <c r="G11412">
        <v>19627049</v>
      </c>
      <c r="H11412">
        <v>19626531</v>
      </c>
      <c r="I11412">
        <v>19626574</v>
      </c>
    </row>
    <row r="11413" spans="1:9" x14ac:dyDescent="0.2">
      <c r="A11413" s="1" t="str">
        <f>"NDUFA2"</f>
        <v>NDUFA2</v>
      </c>
      <c r="B11413" t="s">
        <v>14</v>
      </c>
      <c r="C11413" t="s">
        <v>46</v>
      </c>
      <c r="D11413" t="s">
        <v>11</v>
      </c>
      <c r="E11413" t="s">
        <v>12</v>
      </c>
      <c r="F11413">
        <v>140027175</v>
      </c>
      <c r="G11413">
        <v>140027232</v>
      </c>
      <c r="H11413">
        <v>140027357</v>
      </c>
      <c r="I11413">
        <v>140027370</v>
      </c>
    </row>
    <row r="11414" spans="1:9" x14ac:dyDescent="0.2">
      <c r="A11414" s="1" t="str">
        <f>"NDUFA3"</f>
        <v>NDUFA3</v>
      </c>
      <c r="B11414" t="s">
        <v>14</v>
      </c>
      <c r="C11414" t="s">
        <v>10</v>
      </c>
      <c r="D11414" t="s">
        <v>17</v>
      </c>
      <c r="E11414" t="s">
        <v>12</v>
      </c>
      <c r="F11414">
        <v>54606148</v>
      </c>
      <c r="G11414">
        <v>54606179</v>
      </c>
      <c r="H11414">
        <v>54606130</v>
      </c>
      <c r="I11414">
        <v>54606136</v>
      </c>
    </row>
    <row r="11415" spans="1:9" x14ac:dyDescent="0.2">
      <c r="A11415" s="1" t="str">
        <f>"NDUFA4"</f>
        <v>NDUFA4</v>
      </c>
      <c r="B11415" t="s">
        <v>14</v>
      </c>
      <c r="C11415" t="s">
        <v>33</v>
      </c>
      <c r="D11415" t="s">
        <v>11</v>
      </c>
      <c r="E11415" t="s">
        <v>12</v>
      </c>
      <c r="F11415">
        <v>10979750</v>
      </c>
      <c r="G11415">
        <v>10979820</v>
      </c>
      <c r="H11415">
        <v>10979708</v>
      </c>
      <c r="I11415">
        <v>10979719</v>
      </c>
    </row>
    <row r="11416" spans="1:9" x14ac:dyDescent="0.2">
      <c r="A11416" s="1" t="str">
        <f>"NDUFA4L2"</f>
        <v>NDUFA4L2</v>
      </c>
      <c r="B11416" t="s">
        <v>14</v>
      </c>
      <c r="C11416" t="s">
        <v>16</v>
      </c>
      <c r="D11416" t="s">
        <v>11</v>
      </c>
      <c r="E11416" t="s">
        <v>12</v>
      </c>
      <c r="F11416">
        <v>57630873</v>
      </c>
      <c r="G11416">
        <v>57630895</v>
      </c>
      <c r="H11416">
        <v>57630900</v>
      </c>
      <c r="I11416">
        <v>57630911</v>
      </c>
    </row>
    <row r="11417" spans="1:9" x14ac:dyDescent="0.2">
      <c r="A11417" s="1" t="str">
        <f>"NDUFA5"</f>
        <v>NDUFA5</v>
      </c>
      <c r="B11417" t="s">
        <v>14</v>
      </c>
      <c r="C11417" t="s">
        <v>33</v>
      </c>
      <c r="D11417" t="s">
        <v>11</v>
      </c>
      <c r="E11417" t="s">
        <v>12</v>
      </c>
      <c r="F11417">
        <v>123197852</v>
      </c>
      <c r="G11417">
        <v>123197890</v>
      </c>
      <c r="H11417">
        <v>123197929</v>
      </c>
      <c r="I11417">
        <v>123197940</v>
      </c>
    </row>
    <row r="11418" spans="1:9" x14ac:dyDescent="0.2">
      <c r="A11418" s="1" t="str">
        <f>"NDUFA6"</f>
        <v>NDUFA6</v>
      </c>
      <c r="B11418" t="s">
        <v>14</v>
      </c>
      <c r="C11418" t="s">
        <v>21</v>
      </c>
      <c r="D11418" t="s">
        <v>11</v>
      </c>
      <c r="E11418" t="s">
        <v>12</v>
      </c>
      <c r="F11418">
        <v>42486747</v>
      </c>
      <c r="G11418">
        <v>42486783</v>
      </c>
      <c r="H11418">
        <v>42486747</v>
      </c>
      <c r="I11418">
        <v>42486783</v>
      </c>
    </row>
    <row r="11419" spans="1:9" x14ac:dyDescent="0.2">
      <c r="A11419" s="1" t="str">
        <f>"NDUFA7"</f>
        <v>NDUFA7</v>
      </c>
      <c r="B11419" t="s">
        <v>14</v>
      </c>
      <c r="C11419" t="s">
        <v>10</v>
      </c>
      <c r="D11419" t="s">
        <v>11</v>
      </c>
      <c r="E11419" t="s">
        <v>12</v>
      </c>
      <c r="F11419">
        <v>8386238</v>
      </c>
      <c r="G11419">
        <v>8386283</v>
      </c>
      <c r="H11419">
        <v>8386238</v>
      </c>
      <c r="I11419">
        <v>8386283</v>
      </c>
    </row>
    <row r="11420" spans="1:9" x14ac:dyDescent="0.2">
      <c r="A11420" s="1" t="str">
        <f>"NDUFA8"</f>
        <v>NDUFA8</v>
      </c>
      <c r="B11420" t="s">
        <v>14</v>
      </c>
      <c r="C11420" t="s">
        <v>24</v>
      </c>
      <c r="D11420" t="s">
        <v>11</v>
      </c>
      <c r="E11420" t="s">
        <v>12</v>
      </c>
      <c r="F11420">
        <v>124922021</v>
      </c>
      <c r="G11420">
        <v>124922074</v>
      </c>
      <c r="H11420">
        <v>124922006</v>
      </c>
      <c r="I11420">
        <v>124922019</v>
      </c>
    </row>
    <row r="11421" spans="1:9" x14ac:dyDescent="0.2">
      <c r="A11421" s="1" t="str">
        <f>"NDUFA9"</f>
        <v>NDUFA9</v>
      </c>
      <c r="B11421" t="s">
        <v>860</v>
      </c>
      <c r="C11421" t="s">
        <v>16</v>
      </c>
      <c r="D11421" t="s">
        <v>17</v>
      </c>
      <c r="E11421" t="s">
        <v>75</v>
      </c>
      <c r="F11421">
        <v>4758264</v>
      </c>
      <c r="G11421">
        <v>4758314</v>
      </c>
      <c r="H11421">
        <v>4758264</v>
      </c>
      <c r="I11421">
        <v>4758314</v>
      </c>
    </row>
    <row r="11422" spans="1:9" x14ac:dyDescent="0.2">
      <c r="A11422" s="1" t="str">
        <f>"NDUFAB1"</f>
        <v>NDUFAB1</v>
      </c>
      <c r="B11422" t="s">
        <v>14</v>
      </c>
      <c r="C11422" t="s">
        <v>31</v>
      </c>
      <c r="D11422" t="s">
        <v>11</v>
      </c>
      <c r="E11422" t="s">
        <v>12</v>
      </c>
      <c r="F11422">
        <v>23607619</v>
      </c>
      <c r="G11422">
        <v>23607645</v>
      </c>
      <c r="H11422">
        <v>23607619</v>
      </c>
      <c r="I11422">
        <v>23607645</v>
      </c>
    </row>
    <row r="11423" spans="1:9" x14ac:dyDescent="0.2">
      <c r="A11423" s="1" t="str">
        <f>"NDUFAF1"</f>
        <v>NDUFAF1</v>
      </c>
      <c r="B11423" t="s">
        <v>14</v>
      </c>
      <c r="C11423" t="s">
        <v>25</v>
      </c>
      <c r="D11423" t="s">
        <v>11</v>
      </c>
      <c r="E11423" t="s">
        <v>12</v>
      </c>
      <c r="F11423">
        <v>41694643</v>
      </c>
      <c r="G11423">
        <v>41694731</v>
      </c>
      <c r="H11423">
        <v>41694628</v>
      </c>
      <c r="I11423">
        <v>41694635</v>
      </c>
    </row>
    <row r="11424" spans="1:9" x14ac:dyDescent="0.2">
      <c r="A11424" s="1" t="str">
        <f>"NDUFAF2"</f>
        <v>NDUFAF2</v>
      </c>
      <c r="B11424" t="s">
        <v>14</v>
      </c>
      <c r="C11424" t="s">
        <v>46</v>
      </c>
      <c r="D11424" t="s">
        <v>17</v>
      </c>
      <c r="E11424" t="s">
        <v>12</v>
      </c>
      <c r="F11424">
        <v>60241020</v>
      </c>
      <c r="G11424">
        <v>60241062</v>
      </c>
      <c r="H11424">
        <v>60240943</v>
      </c>
      <c r="I11424">
        <v>60241011</v>
      </c>
    </row>
    <row r="11425" spans="1:9" x14ac:dyDescent="0.2">
      <c r="A11425" s="1" t="str">
        <f>"NDUFAF3"</f>
        <v>NDUFAF3</v>
      </c>
      <c r="B11425" t="s">
        <v>14</v>
      </c>
      <c r="C11425" t="s">
        <v>22</v>
      </c>
      <c r="D11425" t="s">
        <v>17</v>
      </c>
      <c r="E11425" t="s">
        <v>12</v>
      </c>
      <c r="F11425">
        <v>49059510</v>
      </c>
      <c r="G11425">
        <v>49059579</v>
      </c>
      <c r="H11425">
        <v>49059068</v>
      </c>
      <c r="I11425">
        <v>49059158</v>
      </c>
    </row>
    <row r="11426" spans="1:9" x14ac:dyDescent="0.2">
      <c r="A11426" s="1" t="str">
        <f>"NDUFAF4"</f>
        <v>NDUFAF4</v>
      </c>
      <c r="B11426" t="s">
        <v>14</v>
      </c>
      <c r="C11426" t="s">
        <v>32</v>
      </c>
      <c r="D11426" t="s">
        <v>11</v>
      </c>
      <c r="E11426" t="s">
        <v>12</v>
      </c>
      <c r="F11426">
        <v>97345689</v>
      </c>
      <c r="G11426">
        <v>97345773</v>
      </c>
      <c r="H11426">
        <v>97345689</v>
      </c>
      <c r="I11426">
        <v>97345773</v>
      </c>
    </row>
    <row r="11427" spans="1:9" x14ac:dyDescent="0.2">
      <c r="A11427" s="1" t="str">
        <f>"NDUFAF5"</f>
        <v>NDUFAF5</v>
      </c>
      <c r="B11427" t="s">
        <v>14</v>
      </c>
      <c r="C11427" t="s">
        <v>29</v>
      </c>
      <c r="D11427" t="s">
        <v>17</v>
      </c>
      <c r="E11427" t="s">
        <v>12</v>
      </c>
      <c r="F11427">
        <v>13765664</v>
      </c>
      <c r="G11427">
        <v>13765745</v>
      </c>
      <c r="H11427">
        <v>13765664</v>
      </c>
      <c r="I11427">
        <v>13765745</v>
      </c>
    </row>
    <row r="11428" spans="1:9" x14ac:dyDescent="0.2">
      <c r="A11428" s="1" t="str">
        <f>"NDUFAF6"</f>
        <v>NDUFAF6</v>
      </c>
      <c r="B11428" t="s">
        <v>14</v>
      </c>
      <c r="C11428" t="s">
        <v>30</v>
      </c>
      <c r="D11428" t="s">
        <v>17</v>
      </c>
      <c r="E11428" t="s">
        <v>12</v>
      </c>
      <c r="F11428">
        <v>96037205</v>
      </c>
      <c r="G11428">
        <v>96037253</v>
      </c>
      <c r="H11428">
        <v>96037255</v>
      </c>
      <c r="I11428">
        <v>96037318</v>
      </c>
    </row>
    <row r="11429" spans="1:9" x14ac:dyDescent="0.2">
      <c r="A11429" s="1" t="str">
        <f>"NDUFAF7"</f>
        <v>NDUFAF7</v>
      </c>
      <c r="B11429" t="s">
        <v>14</v>
      </c>
      <c r="C11429" t="s">
        <v>26</v>
      </c>
      <c r="D11429" t="s">
        <v>17</v>
      </c>
      <c r="E11429" t="s">
        <v>12</v>
      </c>
      <c r="F11429">
        <v>37458776</v>
      </c>
      <c r="G11429">
        <v>37458862</v>
      </c>
      <c r="H11429">
        <v>37458928</v>
      </c>
      <c r="I11429">
        <v>37458976</v>
      </c>
    </row>
    <row r="11430" spans="1:9" x14ac:dyDescent="0.2">
      <c r="A11430" s="1" t="str">
        <f>"NDUFB1"</f>
        <v>NDUFB1</v>
      </c>
      <c r="B11430" t="s">
        <v>14</v>
      </c>
      <c r="C11430" t="s">
        <v>41</v>
      </c>
      <c r="D11430" t="s">
        <v>11</v>
      </c>
      <c r="E11430" t="s">
        <v>12</v>
      </c>
      <c r="F11430">
        <v>92588013</v>
      </c>
      <c r="G11430">
        <v>92588077</v>
      </c>
      <c r="H11430">
        <v>92588246</v>
      </c>
      <c r="I11430">
        <v>92588276</v>
      </c>
    </row>
    <row r="11431" spans="1:9" x14ac:dyDescent="0.2">
      <c r="A11431" s="1" t="str">
        <f>"NDUFB10"</f>
        <v>NDUFB10</v>
      </c>
      <c r="B11431" t="s">
        <v>14</v>
      </c>
      <c r="C11431" t="s">
        <v>31</v>
      </c>
      <c r="D11431" t="s">
        <v>17</v>
      </c>
      <c r="E11431" t="s">
        <v>12</v>
      </c>
      <c r="F11431">
        <v>2009500</v>
      </c>
      <c r="G11431">
        <v>2009584</v>
      </c>
      <c r="H11431">
        <v>2009598</v>
      </c>
      <c r="I11431">
        <v>2009610</v>
      </c>
    </row>
    <row r="11432" spans="1:9" x14ac:dyDescent="0.2">
      <c r="A11432" s="1" t="str">
        <f>"NDUFB11"</f>
        <v>NDUFB11</v>
      </c>
      <c r="B11432" t="s">
        <v>14</v>
      </c>
      <c r="C11432" t="s">
        <v>37</v>
      </c>
      <c r="D11432" t="s">
        <v>11</v>
      </c>
      <c r="E11432" t="s">
        <v>12</v>
      </c>
      <c r="F11432">
        <v>47004079</v>
      </c>
      <c r="G11432">
        <v>47004126</v>
      </c>
      <c r="H11432">
        <v>47004878</v>
      </c>
      <c r="I11432">
        <v>47004906</v>
      </c>
    </row>
    <row r="11433" spans="1:9" x14ac:dyDescent="0.2">
      <c r="A11433" s="1" t="str">
        <f>"NDUFB2"</f>
        <v>NDUFB2</v>
      </c>
      <c r="B11433" t="s">
        <v>14</v>
      </c>
      <c r="C11433" t="s">
        <v>33</v>
      </c>
      <c r="D11433" t="s">
        <v>17</v>
      </c>
      <c r="E11433" t="s">
        <v>12</v>
      </c>
      <c r="F11433">
        <v>140396465</v>
      </c>
      <c r="G11433">
        <v>140396531</v>
      </c>
      <c r="H11433">
        <v>140396756</v>
      </c>
      <c r="I11433">
        <v>140396804</v>
      </c>
    </row>
    <row r="11434" spans="1:9" x14ac:dyDescent="0.2">
      <c r="A11434" s="1" t="str">
        <f>"NDUFB3"</f>
        <v>NDUFB3</v>
      </c>
      <c r="B11434" t="s">
        <v>14</v>
      </c>
      <c r="C11434" t="s">
        <v>26</v>
      </c>
      <c r="D11434" t="s">
        <v>17</v>
      </c>
      <c r="E11434" t="s">
        <v>12</v>
      </c>
      <c r="F11434">
        <v>201936707</v>
      </c>
      <c r="G11434">
        <v>201936750</v>
      </c>
      <c r="H11434">
        <v>201936507</v>
      </c>
      <c r="I11434">
        <v>201936540</v>
      </c>
    </row>
    <row r="11435" spans="1:9" x14ac:dyDescent="0.2">
      <c r="A11435" s="1" t="str">
        <f>"NDUFB4"</f>
        <v>NDUFB4</v>
      </c>
      <c r="B11435" t="s">
        <v>14</v>
      </c>
      <c r="C11435" t="s">
        <v>22</v>
      </c>
      <c r="D11435" t="s">
        <v>17</v>
      </c>
      <c r="E11435" t="s">
        <v>12</v>
      </c>
      <c r="F11435">
        <v>120315160</v>
      </c>
      <c r="G11435">
        <v>120315202</v>
      </c>
      <c r="H11435">
        <v>120315122</v>
      </c>
      <c r="I11435">
        <v>120315142</v>
      </c>
    </row>
    <row r="11436" spans="1:9" x14ac:dyDescent="0.2">
      <c r="A11436" s="1" t="str">
        <f>"NDUFB5"</f>
        <v>NDUFB5</v>
      </c>
      <c r="B11436" t="s">
        <v>14</v>
      </c>
      <c r="C11436" t="s">
        <v>22</v>
      </c>
      <c r="D11436" t="s">
        <v>17</v>
      </c>
      <c r="E11436" t="s">
        <v>12</v>
      </c>
      <c r="F11436">
        <v>179322573</v>
      </c>
      <c r="G11436">
        <v>179322603</v>
      </c>
      <c r="H11436">
        <v>179322573</v>
      </c>
      <c r="I11436">
        <v>179322603</v>
      </c>
    </row>
    <row r="11437" spans="1:9" x14ac:dyDescent="0.2">
      <c r="A11437" s="1" t="str">
        <f>"NDUFB6"</f>
        <v>NDUFB6</v>
      </c>
      <c r="B11437" t="s">
        <v>14</v>
      </c>
      <c r="C11437" t="s">
        <v>24</v>
      </c>
      <c r="D11437" t="s">
        <v>11</v>
      </c>
      <c r="E11437" t="s">
        <v>12</v>
      </c>
      <c r="F11437">
        <v>32573130</v>
      </c>
      <c r="G11437">
        <v>32573167</v>
      </c>
      <c r="H11437">
        <v>32573072</v>
      </c>
      <c r="I11437">
        <v>32573098</v>
      </c>
    </row>
    <row r="11438" spans="1:9" x14ac:dyDescent="0.2">
      <c r="A11438" s="1" t="str">
        <f>"NDUFB7"</f>
        <v>NDUFB7</v>
      </c>
      <c r="B11438" t="s">
        <v>14</v>
      </c>
      <c r="C11438" t="s">
        <v>10</v>
      </c>
      <c r="D11438" t="s">
        <v>11</v>
      </c>
      <c r="E11438" t="s">
        <v>12</v>
      </c>
      <c r="F11438">
        <v>14682838</v>
      </c>
      <c r="G11438">
        <v>14682894</v>
      </c>
      <c r="H11438">
        <v>14682819</v>
      </c>
      <c r="I11438">
        <v>14682830</v>
      </c>
    </row>
    <row r="11439" spans="1:9" x14ac:dyDescent="0.2">
      <c r="A11439" s="1" t="str">
        <f>"NDUFB8"</f>
        <v>NDUFB8</v>
      </c>
      <c r="B11439" t="s">
        <v>14</v>
      </c>
      <c r="C11439" t="s">
        <v>15</v>
      </c>
      <c r="D11439" t="s">
        <v>11</v>
      </c>
      <c r="E11439" t="s">
        <v>12</v>
      </c>
      <c r="F11439">
        <v>102289611</v>
      </c>
      <c r="G11439">
        <v>102289643</v>
      </c>
      <c r="H11439">
        <v>102289611</v>
      </c>
      <c r="I11439">
        <v>102289643</v>
      </c>
    </row>
    <row r="11440" spans="1:9" x14ac:dyDescent="0.2">
      <c r="A11440" s="1" t="str">
        <f>"NDUFB9"</f>
        <v>NDUFB9</v>
      </c>
      <c r="B11440" t="s">
        <v>14</v>
      </c>
      <c r="C11440" t="s">
        <v>30</v>
      </c>
      <c r="D11440" t="s">
        <v>17</v>
      </c>
      <c r="E11440" t="s">
        <v>12</v>
      </c>
      <c r="F11440">
        <v>125551338</v>
      </c>
      <c r="G11440">
        <v>125551425</v>
      </c>
      <c r="H11440">
        <v>125551338</v>
      </c>
      <c r="I11440">
        <v>125551425</v>
      </c>
    </row>
    <row r="11441" spans="1:9" x14ac:dyDescent="0.2">
      <c r="A11441" s="1" t="str">
        <f>"NDUFC1"</f>
        <v>NDUFC1</v>
      </c>
      <c r="B11441" t="s">
        <v>9</v>
      </c>
      <c r="C11441" t="s">
        <v>23</v>
      </c>
      <c r="D11441" t="s">
        <v>11</v>
      </c>
      <c r="E11441" t="s">
        <v>12</v>
      </c>
      <c r="F11441">
        <v>140216948</v>
      </c>
      <c r="G11441">
        <v>140216999</v>
      </c>
      <c r="H11441">
        <v>140216948</v>
      </c>
      <c r="I11441">
        <v>140216999</v>
      </c>
    </row>
    <row r="11442" spans="1:9" x14ac:dyDescent="0.2">
      <c r="A11442" s="1" t="str">
        <f>"NDUFC1"</f>
        <v>NDUFC1</v>
      </c>
      <c r="B11442" t="s">
        <v>13</v>
      </c>
      <c r="C11442" t="s">
        <v>23</v>
      </c>
      <c r="D11442" t="s">
        <v>11</v>
      </c>
      <c r="E11442" t="s">
        <v>12</v>
      </c>
      <c r="F11442">
        <v>140223614</v>
      </c>
      <c r="G11442">
        <v>140223668</v>
      </c>
      <c r="H11442">
        <v>140223614</v>
      </c>
      <c r="I11442">
        <v>140223668</v>
      </c>
    </row>
    <row r="11443" spans="1:9" x14ac:dyDescent="0.2">
      <c r="A11443" s="1" t="str">
        <f>"NDUFC2"</f>
        <v>NDUFC2</v>
      </c>
      <c r="B11443" t="s">
        <v>14</v>
      </c>
      <c r="C11443" t="s">
        <v>27</v>
      </c>
      <c r="D11443" t="s">
        <v>11</v>
      </c>
      <c r="E11443" t="s">
        <v>12</v>
      </c>
      <c r="F11443">
        <v>77790870</v>
      </c>
      <c r="G11443">
        <v>77790934</v>
      </c>
      <c r="H11443">
        <v>77790833</v>
      </c>
      <c r="I11443">
        <v>77790844</v>
      </c>
    </row>
    <row r="11444" spans="1:9" x14ac:dyDescent="0.2">
      <c r="A11444" s="1" t="str">
        <f>"NDUFC2-KCTD14"</f>
        <v>NDUFC2-KCTD14</v>
      </c>
      <c r="B11444" t="s">
        <v>14</v>
      </c>
      <c r="C11444" t="s">
        <v>27</v>
      </c>
      <c r="D11444" t="s">
        <v>11</v>
      </c>
      <c r="E11444" t="s">
        <v>12</v>
      </c>
      <c r="F11444">
        <v>77790870</v>
      </c>
      <c r="G11444">
        <v>77790934</v>
      </c>
      <c r="H11444">
        <v>77790936</v>
      </c>
      <c r="I11444">
        <v>77790947</v>
      </c>
    </row>
    <row r="11445" spans="1:9" x14ac:dyDescent="0.2">
      <c r="A11445" s="1" t="str">
        <f>"NDUFS1"</f>
        <v>NDUFS1</v>
      </c>
      <c r="B11445" t="s">
        <v>14</v>
      </c>
      <c r="C11445" t="s">
        <v>26</v>
      </c>
      <c r="D11445" t="s">
        <v>11</v>
      </c>
      <c r="E11445" t="s">
        <v>12</v>
      </c>
      <c r="F11445">
        <v>207024134</v>
      </c>
      <c r="G11445">
        <v>207024195</v>
      </c>
      <c r="H11445">
        <v>207024237</v>
      </c>
      <c r="I11445">
        <v>207024248</v>
      </c>
    </row>
    <row r="11446" spans="1:9" x14ac:dyDescent="0.2">
      <c r="A11446" s="1" t="str">
        <f>"NDUFS2"</f>
        <v>NDUFS2</v>
      </c>
      <c r="B11446" t="s">
        <v>14</v>
      </c>
      <c r="C11446" t="s">
        <v>19</v>
      </c>
      <c r="D11446" t="s">
        <v>17</v>
      </c>
      <c r="E11446" t="s">
        <v>12</v>
      </c>
      <c r="F11446">
        <v>161172143</v>
      </c>
      <c r="G11446">
        <v>161172169</v>
      </c>
      <c r="H11446">
        <v>161172143</v>
      </c>
      <c r="I11446">
        <v>161172169</v>
      </c>
    </row>
    <row r="11447" spans="1:9" x14ac:dyDescent="0.2">
      <c r="A11447" s="1" t="str">
        <f>"NDUFS3"</f>
        <v>NDUFS3</v>
      </c>
      <c r="B11447" t="s">
        <v>14</v>
      </c>
      <c r="C11447" t="s">
        <v>27</v>
      </c>
      <c r="D11447" t="s">
        <v>17</v>
      </c>
      <c r="E11447" t="s">
        <v>12</v>
      </c>
      <c r="F11447">
        <v>47600598</v>
      </c>
      <c r="G11447">
        <v>47600642</v>
      </c>
      <c r="H11447">
        <v>47600598</v>
      </c>
      <c r="I11447">
        <v>47600642</v>
      </c>
    </row>
    <row r="11448" spans="1:9" x14ac:dyDescent="0.2">
      <c r="A11448" s="1" t="str">
        <f>"NDUFS4"</f>
        <v>NDUFS4</v>
      </c>
      <c r="B11448" t="s">
        <v>14</v>
      </c>
      <c r="C11448" t="s">
        <v>46</v>
      </c>
      <c r="D11448" t="s">
        <v>17</v>
      </c>
      <c r="E11448" t="s">
        <v>12</v>
      </c>
      <c r="F11448">
        <v>52856456</v>
      </c>
      <c r="G11448">
        <v>52856495</v>
      </c>
      <c r="H11448">
        <v>52856456</v>
      </c>
      <c r="I11448">
        <v>52856495</v>
      </c>
    </row>
    <row r="11449" spans="1:9" x14ac:dyDescent="0.2">
      <c r="A11449" s="1" t="str">
        <f>"NDUFS5"</f>
        <v>NDUFS5</v>
      </c>
      <c r="B11449" t="s">
        <v>9</v>
      </c>
      <c r="C11449" t="s">
        <v>19</v>
      </c>
      <c r="D11449" t="s">
        <v>17</v>
      </c>
      <c r="E11449" t="s">
        <v>12</v>
      </c>
      <c r="F11449">
        <v>39491984</v>
      </c>
      <c r="G11449">
        <v>39492031</v>
      </c>
      <c r="H11449">
        <v>39491984</v>
      </c>
      <c r="I11449">
        <v>39492031</v>
      </c>
    </row>
    <row r="11450" spans="1:9" x14ac:dyDescent="0.2">
      <c r="A11450" s="1" t="str">
        <f>"NDUFS5"</f>
        <v>NDUFS5</v>
      </c>
      <c r="B11450" t="s">
        <v>13</v>
      </c>
      <c r="C11450" t="s">
        <v>19</v>
      </c>
      <c r="D11450" t="s">
        <v>17</v>
      </c>
      <c r="E11450" t="s">
        <v>12</v>
      </c>
      <c r="F11450">
        <v>39494515</v>
      </c>
      <c r="G11450">
        <v>39494544</v>
      </c>
      <c r="H11450">
        <v>39494515</v>
      </c>
      <c r="I11450">
        <v>39494544</v>
      </c>
    </row>
    <row r="11451" spans="1:9" x14ac:dyDescent="0.2">
      <c r="A11451" s="1" t="str">
        <f>"NDUFS6"</f>
        <v>NDUFS6</v>
      </c>
      <c r="B11451" t="s">
        <v>14</v>
      </c>
      <c r="C11451" t="s">
        <v>46</v>
      </c>
      <c r="D11451" t="s">
        <v>17</v>
      </c>
      <c r="E11451" t="s">
        <v>12</v>
      </c>
      <c r="F11451">
        <v>1801503</v>
      </c>
      <c r="G11451">
        <v>1801535</v>
      </c>
      <c r="H11451">
        <v>1801163</v>
      </c>
      <c r="I11451">
        <v>1801193</v>
      </c>
    </row>
    <row r="11452" spans="1:9" x14ac:dyDescent="0.2">
      <c r="A11452" s="1" t="str">
        <f>"NDUFS7"</f>
        <v>NDUFS7</v>
      </c>
      <c r="B11452" t="s">
        <v>14</v>
      </c>
      <c r="C11452" t="s">
        <v>10</v>
      </c>
      <c r="D11452" t="s">
        <v>17</v>
      </c>
      <c r="E11452" t="s">
        <v>12</v>
      </c>
      <c r="F11452">
        <v>1383890</v>
      </c>
      <c r="G11452">
        <v>1383917</v>
      </c>
      <c r="H11452">
        <v>1383877</v>
      </c>
      <c r="I11452">
        <v>1383888</v>
      </c>
    </row>
    <row r="11453" spans="1:9" x14ac:dyDescent="0.2">
      <c r="A11453" s="1" t="str">
        <f>"NDUFS8"</f>
        <v>NDUFS8</v>
      </c>
      <c r="B11453" t="s">
        <v>14</v>
      </c>
      <c r="C11453" t="s">
        <v>27</v>
      </c>
      <c r="D11453" t="s">
        <v>17</v>
      </c>
      <c r="E11453" t="s">
        <v>12</v>
      </c>
      <c r="F11453">
        <v>67798114</v>
      </c>
      <c r="G11453">
        <v>67798185</v>
      </c>
      <c r="H11453">
        <v>67798090</v>
      </c>
      <c r="I11453">
        <v>67798101</v>
      </c>
    </row>
    <row r="11454" spans="1:9" x14ac:dyDescent="0.2">
      <c r="A11454" s="1" t="str">
        <f>"NDUFV1"</f>
        <v>NDUFV1</v>
      </c>
      <c r="B11454" t="s">
        <v>9</v>
      </c>
      <c r="C11454" t="s">
        <v>27</v>
      </c>
      <c r="D11454" t="s">
        <v>17</v>
      </c>
      <c r="E11454" t="s">
        <v>12</v>
      </c>
      <c r="F11454">
        <v>67374365</v>
      </c>
      <c r="G11454">
        <v>67374437</v>
      </c>
      <c r="H11454">
        <v>67374365</v>
      </c>
      <c r="I11454">
        <v>67374437</v>
      </c>
    </row>
    <row r="11455" spans="1:9" x14ac:dyDescent="0.2">
      <c r="A11455" s="1" t="str">
        <f>"NDUFV1"</f>
        <v>NDUFV1</v>
      </c>
      <c r="B11455" t="s">
        <v>13</v>
      </c>
      <c r="C11455" t="s">
        <v>27</v>
      </c>
      <c r="D11455" t="s">
        <v>17</v>
      </c>
      <c r="E11455" t="s">
        <v>12</v>
      </c>
      <c r="F11455">
        <v>67377936</v>
      </c>
      <c r="G11455">
        <v>67377955</v>
      </c>
      <c r="H11455">
        <v>67377936</v>
      </c>
      <c r="I11455">
        <v>67377955</v>
      </c>
    </row>
    <row r="11456" spans="1:9" x14ac:dyDescent="0.2">
      <c r="A11456" s="1" t="str">
        <f>"NDUFV2"</f>
        <v>NDUFV2</v>
      </c>
      <c r="B11456" t="s">
        <v>14</v>
      </c>
      <c r="C11456" t="s">
        <v>43</v>
      </c>
      <c r="D11456" t="s">
        <v>17</v>
      </c>
      <c r="E11456" t="s">
        <v>12</v>
      </c>
      <c r="F11456">
        <v>9102669</v>
      </c>
      <c r="G11456">
        <v>9102752</v>
      </c>
      <c r="H11456">
        <v>9102592</v>
      </c>
      <c r="I11456">
        <v>9102603</v>
      </c>
    </row>
    <row r="11457" spans="1:9" x14ac:dyDescent="0.2">
      <c r="A11457" s="1" t="str">
        <f>"NDUFV3"</f>
        <v>NDUFV3</v>
      </c>
      <c r="B11457" t="s">
        <v>14</v>
      </c>
      <c r="C11457" t="s">
        <v>42</v>
      </c>
      <c r="D11457" t="s">
        <v>17</v>
      </c>
      <c r="E11457" t="s">
        <v>12</v>
      </c>
      <c r="F11457">
        <v>44313392</v>
      </c>
      <c r="G11457">
        <v>44313440</v>
      </c>
      <c r="H11457">
        <v>44313375</v>
      </c>
      <c r="I11457">
        <v>44313388</v>
      </c>
    </row>
    <row r="11458" spans="1:9" x14ac:dyDescent="0.2">
      <c r="A11458" s="1" t="str">
        <f>"NEB"</f>
        <v>NEB</v>
      </c>
      <c r="B11458" t="s">
        <v>14</v>
      </c>
      <c r="C11458" t="s">
        <v>26</v>
      </c>
      <c r="D11458" t="s">
        <v>11</v>
      </c>
      <c r="E11458" t="s">
        <v>12</v>
      </c>
      <c r="F11458">
        <v>152590982</v>
      </c>
      <c r="G11458">
        <v>152590996</v>
      </c>
      <c r="H11458">
        <v>152590949</v>
      </c>
      <c r="I11458">
        <v>152590960</v>
      </c>
    </row>
    <row r="11459" spans="1:9" x14ac:dyDescent="0.2">
      <c r="A11459" s="1" t="str">
        <f>"NEBL"</f>
        <v>NEBL</v>
      </c>
      <c r="B11459" t="s">
        <v>14</v>
      </c>
      <c r="C11459" t="s">
        <v>15</v>
      </c>
      <c r="D11459" t="s">
        <v>11</v>
      </c>
      <c r="E11459" t="s">
        <v>12</v>
      </c>
      <c r="F11459">
        <v>21462998</v>
      </c>
      <c r="G11459">
        <v>21463062</v>
      </c>
      <c r="H11459">
        <v>21462998</v>
      </c>
      <c r="I11459">
        <v>21463062</v>
      </c>
    </row>
    <row r="11460" spans="1:9" x14ac:dyDescent="0.2">
      <c r="A11460" s="1" t="str">
        <f>"NECAB1"</f>
        <v>NECAB1</v>
      </c>
      <c r="B11460" t="s">
        <v>14</v>
      </c>
      <c r="C11460" t="s">
        <v>30</v>
      </c>
      <c r="D11460" t="s">
        <v>17</v>
      </c>
      <c r="E11460" t="s">
        <v>12</v>
      </c>
      <c r="F11460">
        <v>91803987</v>
      </c>
      <c r="G11460">
        <v>91804048</v>
      </c>
      <c r="H11460">
        <v>91803941</v>
      </c>
      <c r="I11460">
        <v>91803964</v>
      </c>
    </row>
    <row r="11461" spans="1:9" x14ac:dyDescent="0.2">
      <c r="A11461" s="1" t="str">
        <f>"NECAB2"</f>
        <v>NECAB2</v>
      </c>
      <c r="B11461" t="s">
        <v>14</v>
      </c>
      <c r="C11461" t="s">
        <v>31</v>
      </c>
      <c r="D11461" t="s">
        <v>17</v>
      </c>
      <c r="E11461" t="s">
        <v>12</v>
      </c>
      <c r="F11461">
        <v>84002234</v>
      </c>
      <c r="G11461">
        <v>84002321</v>
      </c>
      <c r="H11461">
        <v>84002234</v>
      </c>
      <c r="I11461">
        <v>84002321</v>
      </c>
    </row>
    <row r="11462" spans="1:9" x14ac:dyDescent="0.2">
      <c r="A11462" s="1" t="str">
        <f>"NECAB3"</f>
        <v>NECAB3</v>
      </c>
      <c r="B11462" t="s">
        <v>9</v>
      </c>
      <c r="C11462" t="s">
        <v>29</v>
      </c>
      <c r="D11462" t="s">
        <v>11</v>
      </c>
      <c r="E11462" t="s">
        <v>12</v>
      </c>
      <c r="F11462">
        <v>32262179</v>
      </c>
      <c r="G11462">
        <v>32262249</v>
      </c>
      <c r="H11462">
        <v>32262179</v>
      </c>
      <c r="I11462">
        <v>32262249</v>
      </c>
    </row>
    <row r="11463" spans="1:9" x14ac:dyDescent="0.2">
      <c r="A11463" s="1" t="str">
        <f>"NECAB3"</f>
        <v>NECAB3</v>
      </c>
      <c r="B11463" t="s">
        <v>13</v>
      </c>
      <c r="C11463" t="s">
        <v>29</v>
      </c>
      <c r="D11463" t="s">
        <v>11</v>
      </c>
      <c r="E11463" t="s">
        <v>12</v>
      </c>
      <c r="F11463">
        <v>32251511</v>
      </c>
      <c r="G11463">
        <v>32251542</v>
      </c>
      <c r="H11463">
        <v>32251511</v>
      </c>
      <c r="I11463">
        <v>32251542</v>
      </c>
    </row>
    <row r="11464" spans="1:9" x14ac:dyDescent="0.2">
      <c r="A11464" s="1" t="str">
        <f>"NECAP1"</f>
        <v>NECAP1</v>
      </c>
      <c r="B11464" t="s">
        <v>14</v>
      </c>
      <c r="C11464" t="s">
        <v>16</v>
      </c>
      <c r="D11464" t="s">
        <v>17</v>
      </c>
      <c r="E11464" t="s">
        <v>12</v>
      </c>
      <c r="F11464">
        <v>8234857</v>
      </c>
      <c r="G11464">
        <v>8234888</v>
      </c>
      <c r="H11464">
        <v>8234838</v>
      </c>
      <c r="I11464">
        <v>8234855</v>
      </c>
    </row>
    <row r="11465" spans="1:9" x14ac:dyDescent="0.2">
      <c r="A11465" s="1" t="str">
        <f>"NECAP2"</f>
        <v>NECAP2</v>
      </c>
      <c r="B11465" t="s">
        <v>14</v>
      </c>
      <c r="C11465" t="s">
        <v>19</v>
      </c>
      <c r="D11465" t="s">
        <v>17</v>
      </c>
      <c r="E11465" t="s">
        <v>12</v>
      </c>
      <c r="F11465">
        <v>16767195</v>
      </c>
      <c r="G11465">
        <v>16767252</v>
      </c>
      <c r="H11465">
        <v>16767172</v>
      </c>
      <c r="I11465">
        <v>16767183</v>
      </c>
    </row>
    <row r="11466" spans="1:9" x14ac:dyDescent="0.2">
      <c r="A11466" s="1" t="str">
        <f>"NEDD1"</f>
        <v>NEDD1</v>
      </c>
      <c r="B11466" t="s">
        <v>14</v>
      </c>
      <c r="C11466" t="s">
        <v>16</v>
      </c>
      <c r="D11466" t="s">
        <v>17</v>
      </c>
      <c r="E11466" t="s">
        <v>12</v>
      </c>
      <c r="F11466">
        <v>97300995</v>
      </c>
      <c r="G11466">
        <v>97301054</v>
      </c>
      <c r="H11466">
        <v>97300982</v>
      </c>
      <c r="I11466">
        <v>97300993</v>
      </c>
    </row>
    <row r="11467" spans="1:9" x14ac:dyDescent="0.2">
      <c r="A11467" s="1" t="str">
        <f>"NEDD4"</f>
        <v>NEDD4</v>
      </c>
      <c r="B11467" t="s">
        <v>14</v>
      </c>
      <c r="C11467" t="s">
        <v>25</v>
      </c>
      <c r="D11467" t="s">
        <v>11</v>
      </c>
      <c r="E11467" t="s">
        <v>12</v>
      </c>
      <c r="F11467">
        <v>56285742</v>
      </c>
      <c r="G11467">
        <v>56285866</v>
      </c>
      <c r="H11467">
        <v>56285742</v>
      </c>
      <c r="I11467">
        <v>56285866</v>
      </c>
    </row>
    <row r="11468" spans="1:9" x14ac:dyDescent="0.2">
      <c r="A11468" s="1" t="str">
        <f>"NEDD4L"</f>
        <v>NEDD4L</v>
      </c>
      <c r="B11468" t="s">
        <v>861</v>
      </c>
      <c r="C11468" t="s">
        <v>43</v>
      </c>
      <c r="D11468" t="s">
        <v>17</v>
      </c>
      <c r="E11468" t="s">
        <v>75</v>
      </c>
      <c r="F11468">
        <v>55816690</v>
      </c>
      <c r="G11468">
        <v>55816700</v>
      </c>
      <c r="H11468">
        <v>55816690</v>
      </c>
      <c r="I11468">
        <v>55816700</v>
      </c>
    </row>
    <row r="11469" spans="1:9" x14ac:dyDescent="0.2">
      <c r="A11469" s="1" t="str">
        <f>"NEDD4L"</f>
        <v>NEDD4L</v>
      </c>
      <c r="B11469" t="s">
        <v>862</v>
      </c>
      <c r="C11469" t="s">
        <v>43</v>
      </c>
      <c r="D11469" t="s">
        <v>17</v>
      </c>
      <c r="E11469" t="s">
        <v>35</v>
      </c>
      <c r="F11469">
        <v>55711412</v>
      </c>
      <c r="G11469">
        <v>55711419</v>
      </c>
      <c r="H11469">
        <v>55711755</v>
      </c>
      <c r="I11469">
        <v>55711765</v>
      </c>
    </row>
    <row r="11470" spans="1:9" x14ac:dyDescent="0.2">
      <c r="A11470" s="1" t="str">
        <f>"NEDD8"</f>
        <v>NEDD8</v>
      </c>
      <c r="B11470" t="s">
        <v>14</v>
      </c>
      <c r="C11470" t="s">
        <v>41</v>
      </c>
      <c r="D11470" t="s">
        <v>11</v>
      </c>
      <c r="E11470" t="s">
        <v>12</v>
      </c>
      <c r="F11470">
        <v>24701539</v>
      </c>
      <c r="G11470">
        <v>24701583</v>
      </c>
      <c r="H11470">
        <v>24701539</v>
      </c>
      <c r="I11470">
        <v>24701583</v>
      </c>
    </row>
    <row r="11471" spans="1:9" x14ac:dyDescent="0.2">
      <c r="A11471" s="1" t="str">
        <f>"NEDD8-MDP1"</f>
        <v>NEDD8-MDP1</v>
      </c>
      <c r="B11471" t="s">
        <v>14</v>
      </c>
      <c r="C11471" t="s">
        <v>41</v>
      </c>
      <c r="D11471" t="s">
        <v>11</v>
      </c>
      <c r="E11471" t="s">
        <v>12</v>
      </c>
      <c r="F11471">
        <v>24701539</v>
      </c>
      <c r="G11471">
        <v>24701583</v>
      </c>
      <c r="H11471">
        <v>24701539</v>
      </c>
      <c r="I11471">
        <v>24701583</v>
      </c>
    </row>
    <row r="11472" spans="1:9" x14ac:dyDescent="0.2">
      <c r="A11472" s="1" t="str">
        <f>"NEDD9"</f>
        <v>NEDD9</v>
      </c>
      <c r="B11472" t="s">
        <v>9</v>
      </c>
      <c r="C11472" t="s">
        <v>32</v>
      </c>
      <c r="D11472" t="s">
        <v>11</v>
      </c>
      <c r="E11472" t="s">
        <v>12</v>
      </c>
      <c r="F11472">
        <v>11232893</v>
      </c>
      <c r="G11472">
        <v>11232915</v>
      </c>
      <c r="H11472">
        <v>11232893</v>
      </c>
      <c r="I11472">
        <v>11232915</v>
      </c>
    </row>
    <row r="11473" spans="1:9" x14ac:dyDescent="0.2">
      <c r="A11473" s="1" t="str">
        <f>"NEDD9"</f>
        <v>NEDD9</v>
      </c>
      <c r="B11473" t="s">
        <v>13</v>
      </c>
      <c r="C11473" t="s">
        <v>32</v>
      </c>
      <c r="D11473" t="s">
        <v>11</v>
      </c>
      <c r="E11473" t="s">
        <v>12</v>
      </c>
      <c r="F11473">
        <v>11382478</v>
      </c>
      <c r="G11473">
        <v>11382592</v>
      </c>
      <c r="H11473">
        <v>11382478</v>
      </c>
      <c r="I11473">
        <v>11382592</v>
      </c>
    </row>
    <row r="11474" spans="1:9" x14ac:dyDescent="0.2">
      <c r="A11474" s="1" t="str">
        <f>"NEFH"</f>
        <v>NEFH</v>
      </c>
      <c r="B11474" t="s">
        <v>14</v>
      </c>
      <c r="C11474" t="s">
        <v>21</v>
      </c>
      <c r="D11474" t="s">
        <v>17</v>
      </c>
      <c r="E11474" t="s">
        <v>12</v>
      </c>
      <c r="F11474">
        <v>29876197</v>
      </c>
      <c r="G11474">
        <v>29876215</v>
      </c>
      <c r="H11474">
        <v>29876197</v>
      </c>
      <c r="I11474">
        <v>29876215</v>
      </c>
    </row>
    <row r="11475" spans="1:9" x14ac:dyDescent="0.2">
      <c r="A11475" s="1" t="str">
        <f>"NEFL"</f>
        <v>NEFL</v>
      </c>
      <c r="B11475" t="s">
        <v>14</v>
      </c>
      <c r="C11475" t="s">
        <v>30</v>
      </c>
      <c r="D11475" t="s">
        <v>11</v>
      </c>
      <c r="E11475" t="s">
        <v>12</v>
      </c>
      <c r="F11475">
        <v>24814118</v>
      </c>
      <c r="G11475">
        <v>24814133</v>
      </c>
      <c r="H11475">
        <v>24814118</v>
      </c>
      <c r="I11475">
        <v>24814133</v>
      </c>
    </row>
    <row r="11476" spans="1:9" x14ac:dyDescent="0.2">
      <c r="A11476" s="1" t="str">
        <f>"NEFM"</f>
        <v>NEFM</v>
      </c>
      <c r="B11476" t="s">
        <v>9</v>
      </c>
      <c r="C11476" t="s">
        <v>30</v>
      </c>
      <c r="D11476" t="s">
        <v>17</v>
      </c>
      <c r="E11476" t="s">
        <v>12</v>
      </c>
      <c r="F11476">
        <v>24771265</v>
      </c>
      <c r="G11476">
        <v>24771282</v>
      </c>
      <c r="H11476">
        <v>24771265</v>
      </c>
      <c r="I11476">
        <v>24771282</v>
      </c>
    </row>
    <row r="11477" spans="1:9" x14ac:dyDescent="0.2">
      <c r="A11477" s="1" t="str">
        <f>"NEFM"</f>
        <v>NEFM</v>
      </c>
      <c r="B11477" t="s">
        <v>13</v>
      </c>
      <c r="C11477" t="s">
        <v>30</v>
      </c>
      <c r="D11477" t="s">
        <v>17</v>
      </c>
      <c r="E11477" t="s">
        <v>12</v>
      </c>
      <c r="F11477">
        <v>24774622</v>
      </c>
      <c r="G11477">
        <v>24774647</v>
      </c>
      <c r="H11477">
        <v>24774622</v>
      </c>
      <c r="I11477">
        <v>24774647</v>
      </c>
    </row>
    <row r="11478" spans="1:9" x14ac:dyDescent="0.2">
      <c r="A11478" s="1" t="str">
        <f>"NEGR1"</f>
        <v>NEGR1</v>
      </c>
      <c r="B11478" t="s">
        <v>14</v>
      </c>
      <c r="C11478" t="s">
        <v>19</v>
      </c>
      <c r="D11478" t="s">
        <v>11</v>
      </c>
      <c r="E11478" t="s">
        <v>12</v>
      </c>
      <c r="F11478">
        <v>72748140</v>
      </c>
      <c r="G11478">
        <v>72748229</v>
      </c>
      <c r="H11478">
        <v>72748623</v>
      </c>
      <c r="I11478">
        <v>72748686</v>
      </c>
    </row>
    <row r="11479" spans="1:9" x14ac:dyDescent="0.2">
      <c r="A11479" s="1" t="str">
        <f>"NEIL1"</f>
        <v>NEIL1</v>
      </c>
      <c r="B11479" t="s">
        <v>14</v>
      </c>
      <c r="C11479" t="s">
        <v>25</v>
      </c>
      <c r="D11479" t="s">
        <v>17</v>
      </c>
      <c r="E11479" t="s">
        <v>12</v>
      </c>
      <c r="F11479">
        <v>75639372</v>
      </c>
      <c r="G11479">
        <v>75639427</v>
      </c>
      <c r="H11479">
        <v>75640154</v>
      </c>
      <c r="I11479">
        <v>75640228</v>
      </c>
    </row>
    <row r="11480" spans="1:9" x14ac:dyDescent="0.2">
      <c r="A11480" s="1" t="str">
        <f>"NEIL2"</f>
        <v>NEIL2</v>
      </c>
      <c r="B11480" t="s">
        <v>14</v>
      </c>
      <c r="C11480" t="s">
        <v>30</v>
      </c>
      <c r="D11480" t="s">
        <v>17</v>
      </c>
      <c r="E11480" t="s">
        <v>12</v>
      </c>
      <c r="F11480">
        <v>11627205</v>
      </c>
      <c r="G11480">
        <v>11627288</v>
      </c>
      <c r="H11480">
        <v>11627159</v>
      </c>
      <c r="I11480">
        <v>11627197</v>
      </c>
    </row>
    <row r="11481" spans="1:9" x14ac:dyDescent="0.2">
      <c r="A11481" s="1" t="str">
        <f>"NEIL3"</f>
        <v>NEIL3</v>
      </c>
      <c r="B11481" t="s">
        <v>14</v>
      </c>
      <c r="C11481" t="s">
        <v>23</v>
      </c>
      <c r="D11481" t="s">
        <v>17</v>
      </c>
      <c r="E11481" t="s">
        <v>12</v>
      </c>
      <c r="F11481">
        <v>178231020</v>
      </c>
      <c r="G11481">
        <v>178231036</v>
      </c>
      <c r="H11481">
        <v>178231053</v>
      </c>
      <c r="I11481">
        <v>178231065</v>
      </c>
    </row>
    <row r="11482" spans="1:9" x14ac:dyDescent="0.2">
      <c r="A11482" s="1" t="str">
        <f>"NEK1"</f>
        <v>NEK1</v>
      </c>
      <c r="B11482" t="s">
        <v>14</v>
      </c>
      <c r="C11482" t="s">
        <v>23</v>
      </c>
      <c r="D11482" t="s">
        <v>11</v>
      </c>
      <c r="E11482" t="s">
        <v>12</v>
      </c>
      <c r="F11482">
        <v>170533723</v>
      </c>
      <c r="G11482">
        <v>170533789</v>
      </c>
      <c r="H11482">
        <v>170533705</v>
      </c>
      <c r="I11482">
        <v>170533718</v>
      </c>
    </row>
    <row r="11483" spans="1:9" x14ac:dyDescent="0.2">
      <c r="A11483" s="1" t="str">
        <f>"NEK10"</f>
        <v>NEK10</v>
      </c>
      <c r="B11483" t="s">
        <v>14</v>
      </c>
      <c r="C11483" t="s">
        <v>22</v>
      </c>
      <c r="D11483" t="s">
        <v>11</v>
      </c>
      <c r="E11483" t="s">
        <v>12</v>
      </c>
      <c r="F11483">
        <v>27410847</v>
      </c>
      <c r="G11483">
        <v>27410917</v>
      </c>
      <c r="H11483">
        <v>27410847</v>
      </c>
      <c r="I11483">
        <v>27410917</v>
      </c>
    </row>
    <row r="11484" spans="1:9" x14ac:dyDescent="0.2">
      <c r="A11484" s="1" t="str">
        <f>"NEK11"</f>
        <v>NEK11</v>
      </c>
      <c r="B11484" t="s">
        <v>14</v>
      </c>
      <c r="C11484" t="s">
        <v>22</v>
      </c>
      <c r="D11484" t="s">
        <v>17</v>
      </c>
      <c r="E11484" t="s">
        <v>12</v>
      </c>
      <c r="F11484">
        <v>130745688</v>
      </c>
      <c r="G11484">
        <v>130745761</v>
      </c>
      <c r="H11484">
        <v>130745769</v>
      </c>
      <c r="I11484">
        <v>130745802</v>
      </c>
    </row>
    <row r="11485" spans="1:9" x14ac:dyDescent="0.2">
      <c r="A11485" s="1" t="str">
        <f>"NEK2"</f>
        <v>NEK2</v>
      </c>
      <c r="B11485" t="s">
        <v>14</v>
      </c>
      <c r="C11485" t="s">
        <v>19</v>
      </c>
      <c r="D11485" t="s">
        <v>11</v>
      </c>
      <c r="E11485" t="s">
        <v>12</v>
      </c>
      <c r="F11485">
        <v>211848955</v>
      </c>
      <c r="G11485">
        <v>211848981</v>
      </c>
      <c r="H11485">
        <v>211849182</v>
      </c>
      <c r="I11485">
        <v>211849195</v>
      </c>
    </row>
    <row r="11486" spans="1:9" x14ac:dyDescent="0.2">
      <c r="A11486" s="1" t="str">
        <f>"NEK3"</f>
        <v>NEK3</v>
      </c>
      <c r="B11486" t="s">
        <v>14</v>
      </c>
      <c r="C11486" t="s">
        <v>39</v>
      </c>
      <c r="D11486" t="s">
        <v>11</v>
      </c>
      <c r="E11486" t="s">
        <v>12</v>
      </c>
      <c r="F11486">
        <v>52733695</v>
      </c>
      <c r="G11486">
        <v>52733760</v>
      </c>
      <c r="H11486">
        <v>52733664</v>
      </c>
      <c r="I11486">
        <v>52733686</v>
      </c>
    </row>
    <row r="11487" spans="1:9" x14ac:dyDescent="0.2">
      <c r="A11487" s="1" t="str">
        <f>"NEK4"</f>
        <v>NEK4</v>
      </c>
      <c r="B11487" t="s">
        <v>14</v>
      </c>
      <c r="C11487" t="s">
        <v>22</v>
      </c>
      <c r="D11487" t="s">
        <v>11</v>
      </c>
      <c r="E11487" t="s">
        <v>12</v>
      </c>
      <c r="F11487">
        <v>52804928</v>
      </c>
      <c r="G11487">
        <v>52804967</v>
      </c>
      <c r="H11487">
        <v>52804928</v>
      </c>
      <c r="I11487">
        <v>52804967</v>
      </c>
    </row>
    <row r="11488" spans="1:9" x14ac:dyDescent="0.2">
      <c r="A11488" s="1" t="str">
        <f>"NEK5"</f>
        <v>NEK5</v>
      </c>
      <c r="B11488" t="s">
        <v>14</v>
      </c>
      <c r="C11488" t="s">
        <v>39</v>
      </c>
      <c r="D11488" t="s">
        <v>11</v>
      </c>
      <c r="E11488" t="s">
        <v>12</v>
      </c>
      <c r="F11488">
        <v>52703187</v>
      </c>
      <c r="G11488">
        <v>52703214</v>
      </c>
      <c r="H11488">
        <v>52703222</v>
      </c>
      <c r="I11488">
        <v>52703243</v>
      </c>
    </row>
    <row r="11489" spans="1:9" x14ac:dyDescent="0.2">
      <c r="A11489" s="1" t="str">
        <f>"NEK6"</f>
        <v>NEK6</v>
      </c>
      <c r="B11489" t="s">
        <v>14</v>
      </c>
      <c r="C11489" t="s">
        <v>24</v>
      </c>
      <c r="D11489" t="s">
        <v>17</v>
      </c>
      <c r="E11489" t="s">
        <v>12</v>
      </c>
      <c r="F11489">
        <v>127020202</v>
      </c>
      <c r="G11489">
        <v>127020292</v>
      </c>
      <c r="H11489">
        <v>127020553</v>
      </c>
      <c r="I11489">
        <v>127020622</v>
      </c>
    </row>
    <row r="11490" spans="1:9" x14ac:dyDescent="0.2">
      <c r="A11490" s="1" t="str">
        <f>"NEK7"</f>
        <v>NEK7</v>
      </c>
      <c r="B11490" t="s">
        <v>14</v>
      </c>
      <c r="C11490" t="s">
        <v>19</v>
      </c>
      <c r="D11490" t="s">
        <v>17</v>
      </c>
      <c r="E11490" t="s">
        <v>12</v>
      </c>
      <c r="F11490">
        <v>198126113</v>
      </c>
      <c r="G11490">
        <v>198126207</v>
      </c>
      <c r="H11490">
        <v>198126209</v>
      </c>
      <c r="I11490">
        <v>198126229</v>
      </c>
    </row>
    <row r="11491" spans="1:9" x14ac:dyDescent="0.2">
      <c r="A11491" s="1" t="str">
        <f>"NEK8"</f>
        <v>NEK8</v>
      </c>
      <c r="B11491" t="s">
        <v>14</v>
      </c>
      <c r="C11491" t="s">
        <v>28</v>
      </c>
      <c r="D11491" t="s">
        <v>17</v>
      </c>
      <c r="E11491" t="s">
        <v>12</v>
      </c>
      <c r="F11491">
        <v>27055799</v>
      </c>
      <c r="G11491">
        <v>27055828</v>
      </c>
      <c r="H11491">
        <v>27055772</v>
      </c>
      <c r="I11491">
        <v>27055789</v>
      </c>
    </row>
    <row r="11492" spans="1:9" x14ac:dyDescent="0.2">
      <c r="A11492" s="1" t="str">
        <f>"NEK9"</f>
        <v>NEK9</v>
      </c>
      <c r="B11492" t="s">
        <v>14</v>
      </c>
      <c r="C11492" t="s">
        <v>41</v>
      </c>
      <c r="D11492" t="s">
        <v>11</v>
      </c>
      <c r="E11492" t="s">
        <v>12</v>
      </c>
      <c r="F11492">
        <v>75593708</v>
      </c>
      <c r="G11492">
        <v>75593769</v>
      </c>
      <c r="H11492">
        <v>75594041</v>
      </c>
      <c r="I11492">
        <v>75594062</v>
      </c>
    </row>
    <row r="11493" spans="1:9" x14ac:dyDescent="0.2">
      <c r="A11493" s="1" t="str">
        <f>"NELFA"</f>
        <v>NELFA</v>
      </c>
      <c r="B11493" t="s">
        <v>14</v>
      </c>
      <c r="C11493" t="s">
        <v>23</v>
      </c>
      <c r="D11493" t="s">
        <v>11</v>
      </c>
      <c r="E11493" t="s">
        <v>12</v>
      </c>
      <c r="F11493">
        <v>2010686</v>
      </c>
      <c r="G11493">
        <v>2010707</v>
      </c>
      <c r="H11493">
        <v>2010891</v>
      </c>
      <c r="I11493">
        <v>2010920</v>
      </c>
    </row>
    <row r="11494" spans="1:9" x14ac:dyDescent="0.2">
      <c r="A11494" s="1" t="str">
        <f>"NELFB"</f>
        <v>NELFB</v>
      </c>
      <c r="B11494" t="s">
        <v>14</v>
      </c>
      <c r="C11494" t="s">
        <v>24</v>
      </c>
      <c r="D11494" t="s">
        <v>17</v>
      </c>
      <c r="E11494" t="s">
        <v>12</v>
      </c>
      <c r="F11494">
        <v>140149730</v>
      </c>
      <c r="G11494">
        <v>140149826</v>
      </c>
      <c r="H11494">
        <v>140149694</v>
      </c>
      <c r="I11494">
        <v>140149713</v>
      </c>
    </row>
    <row r="11495" spans="1:9" x14ac:dyDescent="0.2">
      <c r="A11495" s="1" t="str">
        <f>"NELFCD"</f>
        <v>NELFCD</v>
      </c>
      <c r="B11495" t="s">
        <v>14</v>
      </c>
      <c r="C11495" t="s">
        <v>29</v>
      </c>
      <c r="D11495" t="s">
        <v>17</v>
      </c>
      <c r="E11495" t="s">
        <v>12</v>
      </c>
      <c r="F11495">
        <v>57556290</v>
      </c>
      <c r="G11495">
        <v>57556370</v>
      </c>
      <c r="H11495">
        <v>57556258</v>
      </c>
      <c r="I11495">
        <v>57556285</v>
      </c>
    </row>
    <row r="11496" spans="1:9" x14ac:dyDescent="0.2">
      <c r="A11496" s="1" t="str">
        <f>"NELFE"</f>
        <v>NELFE</v>
      </c>
      <c r="B11496" t="s">
        <v>14</v>
      </c>
      <c r="C11496" t="s">
        <v>32</v>
      </c>
      <c r="D11496" t="s">
        <v>11</v>
      </c>
      <c r="E11496" t="s">
        <v>12</v>
      </c>
      <c r="F11496">
        <v>31926712</v>
      </c>
      <c r="G11496">
        <v>31926758</v>
      </c>
      <c r="H11496">
        <v>31926208</v>
      </c>
      <c r="I11496">
        <v>31926226</v>
      </c>
    </row>
    <row r="11497" spans="1:9" x14ac:dyDescent="0.2">
      <c r="A11497" s="1" t="str">
        <f>"NELL1"</f>
        <v>NELL1</v>
      </c>
      <c r="B11497" t="s">
        <v>14</v>
      </c>
      <c r="C11497" t="s">
        <v>27</v>
      </c>
      <c r="D11497" t="s">
        <v>17</v>
      </c>
      <c r="E11497" t="s">
        <v>12</v>
      </c>
      <c r="F11497">
        <v>20691099</v>
      </c>
      <c r="G11497">
        <v>20691194</v>
      </c>
      <c r="H11497">
        <v>20691195</v>
      </c>
      <c r="I11497">
        <v>20691225</v>
      </c>
    </row>
    <row r="11498" spans="1:9" x14ac:dyDescent="0.2">
      <c r="A11498" s="1" t="str">
        <f>"NELL2"</f>
        <v>NELL2</v>
      </c>
      <c r="B11498" t="s">
        <v>14</v>
      </c>
      <c r="C11498" t="s">
        <v>16</v>
      </c>
      <c r="D11498" t="s">
        <v>11</v>
      </c>
      <c r="E11498" t="s">
        <v>12</v>
      </c>
      <c r="F11498">
        <v>45270077</v>
      </c>
      <c r="G11498">
        <v>45270143</v>
      </c>
      <c r="H11498">
        <v>45269964</v>
      </c>
      <c r="I11498">
        <v>45269979</v>
      </c>
    </row>
    <row r="11499" spans="1:9" x14ac:dyDescent="0.2">
      <c r="A11499" s="1" t="str">
        <f>"NEMF"</f>
        <v>NEMF</v>
      </c>
      <c r="B11499" t="s">
        <v>14</v>
      </c>
      <c r="C11499" t="s">
        <v>41</v>
      </c>
      <c r="D11499" t="s">
        <v>11</v>
      </c>
      <c r="E11499" t="s">
        <v>12</v>
      </c>
      <c r="F11499">
        <v>50319482</v>
      </c>
      <c r="G11499">
        <v>50319564</v>
      </c>
      <c r="H11499">
        <v>50319758</v>
      </c>
      <c r="I11499">
        <v>50319796</v>
      </c>
    </row>
    <row r="11500" spans="1:9" x14ac:dyDescent="0.2">
      <c r="A11500" s="1" t="str">
        <f>"NENF"</f>
        <v>NENF</v>
      </c>
      <c r="B11500" t="s">
        <v>14</v>
      </c>
      <c r="C11500" t="s">
        <v>19</v>
      </c>
      <c r="D11500" t="s">
        <v>17</v>
      </c>
      <c r="E11500" t="s">
        <v>12</v>
      </c>
      <c r="F11500">
        <v>212606240</v>
      </c>
      <c r="G11500">
        <v>212606284</v>
      </c>
      <c r="H11500">
        <v>212606219</v>
      </c>
      <c r="I11500">
        <v>212606230</v>
      </c>
    </row>
    <row r="11501" spans="1:9" x14ac:dyDescent="0.2">
      <c r="A11501" s="1" t="str">
        <f>"NEO1"</f>
        <v>NEO1</v>
      </c>
      <c r="B11501" t="s">
        <v>14</v>
      </c>
      <c r="C11501" t="s">
        <v>25</v>
      </c>
      <c r="D11501" t="s">
        <v>17</v>
      </c>
      <c r="E11501" t="s">
        <v>12</v>
      </c>
      <c r="F11501">
        <v>73344791</v>
      </c>
      <c r="G11501">
        <v>73344900</v>
      </c>
      <c r="H11501">
        <v>73344659</v>
      </c>
      <c r="I11501">
        <v>73344713</v>
      </c>
    </row>
    <row r="11502" spans="1:9" x14ac:dyDescent="0.2">
      <c r="A11502" s="1" t="str">
        <f>"NES"</f>
        <v>NES</v>
      </c>
      <c r="B11502" t="s">
        <v>9</v>
      </c>
      <c r="C11502" t="s">
        <v>19</v>
      </c>
      <c r="D11502" t="s">
        <v>11</v>
      </c>
      <c r="E11502" t="s">
        <v>12</v>
      </c>
      <c r="F11502">
        <v>156647192</v>
      </c>
      <c r="G11502">
        <v>156647207</v>
      </c>
      <c r="H11502">
        <v>156647192</v>
      </c>
      <c r="I11502">
        <v>156647207</v>
      </c>
    </row>
    <row r="11503" spans="1:9" x14ac:dyDescent="0.2">
      <c r="A11503" s="1" t="str">
        <f>"NES"</f>
        <v>NES</v>
      </c>
      <c r="B11503" t="s">
        <v>13</v>
      </c>
      <c r="C11503" t="s">
        <v>19</v>
      </c>
      <c r="D11503" t="s">
        <v>11</v>
      </c>
      <c r="E11503" t="s">
        <v>12</v>
      </c>
      <c r="F11503">
        <v>156640649</v>
      </c>
      <c r="G11503">
        <v>156640659</v>
      </c>
      <c r="H11503">
        <v>156640649</v>
      </c>
      <c r="I11503">
        <v>156640659</v>
      </c>
    </row>
    <row r="11504" spans="1:9" x14ac:dyDescent="0.2">
      <c r="A11504" s="1" t="str">
        <f>"NET1"</f>
        <v>NET1</v>
      </c>
      <c r="B11504" t="s">
        <v>14</v>
      </c>
      <c r="C11504" t="s">
        <v>15</v>
      </c>
      <c r="D11504" t="s">
        <v>17</v>
      </c>
      <c r="E11504" t="s">
        <v>12</v>
      </c>
      <c r="F11504">
        <v>5488564</v>
      </c>
      <c r="G11504">
        <v>5488584</v>
      </c>
      <c r="H11504">
        <v>5488564</v>
      </c>
      <c r="I11504">
        <v>5488584</v>
      </c>
    </row>
    <row r="11505" spans="1:9" x14ac:dyDescent="0.2">
      <c r="A11505" s="1" t="str">
        <f>"NETO1"</f>
        <v>NETO1</v>
      </c>
      <c r="B11505" t="s">
        <v>14</v>
      </c>
      <c r="C11505" t="s">
        <v>43</v>
      </c>
      <c r="D11505" t="s">
        <v>11</v>
      </c>
      <c r="E11505" t="s">
        <v>12</v>
      </c>
      <c r="F11505">
        <v>70535177</v>
      </c>
      <c r="G11505">
        <v>70535254</v>
      </c>
      <c r="H11505">
        <v>70535459</v>
      </c>
      <c r="I11505">
        <v>70535476</v>
      </c>
    </row>
    <row r="11506" spans="1:9" x14ac:dyDescent="0.2">
      <c r="A11506" s="1" t="str">
        <f>"NETO2"</f>
        <v>NETO2</v>
      </c>
      <c r="B11506" t="s">
        <v>14</v>
      </c>
      <c r="C11506" t="s">
        <v>31</v>
      </c>
      <c r="D11506" t="s">
        <v>11</v>
      </c>
      <c r="E11506" t="s">
        <v>12</v>
      </c>
      <c r="F11506">
        <v>47177845</v>
      </c>
      <c r="G11506">
        <v>47177864</v>
      </c>
      <c r="H11506">
        <v>47177874</v>
      </c>
      <c r="I11506">
        <v>47177922</v>
      </c>
    </row>
    <row r="11507" spans="1:9" x14ac:dyDescent="0.2">
      <c r="A11507" s="1" t="str">
        <f>"NEU1"</f>
        <v>NEU1</v>
      </c>
      <c r="B11507" t="s">
        <v>14</v>
      </c>
      <c r="C11507" t="s">
        <v>32</v>
      </c>
      <c r="D11507" t="s">
        <v>11</v>
      </c>
      <c r="E11507" t="s">
        <v>12</v>
      </c>
      <c r="F11507">
        <v>31830586</v>
      </c>
      <c r="G11507">
        <v>31830624</v>
      </c>
      <c r="H11507">
        <v>31830633</v>
      </c>
      <c r="I11507">
        <v>31830644</v>
      </c>
    </row>
    <row r="11508" spans="1:9" x14ac:dyDescent="0.2">
      <c r="A11508" s="1" t="str">
        <f>"NEU2"</f>
        <v>NEU2</v>
      </c>
      <c r="B11508" t="s">
        <v>863</v>
      </c>
      <c r="C11508" t="s">
        <v>26</v>
      </c>
      <c r="D11508" t="s">
        <v>17</v>
      </c>
      <c r="E11508" t="s">
        <v>20</v>
      </c>
      <c r="F11508">
        <v>233897381</v>
      </c>
      <c r="G11508">
        <v>233897381</v>
      </c>
      <c r="H11508">
        <v>233897381</v>
      </c>
      <c r="I11508">
        <v>233897381</v>
      </c>
    </row>
    <row r="11509" spans="1:9" x14ac:dyDescent="0.2">
      <c r="A11509" s="1" t="str">
        <f>"NEU3"</f>
        <v>NEU3</v>
      </c>
      <c r="B11509" t="s">
        <v>14</v>
      </c>
      <c r="C11509" t="s">
        <v>27</v>
      </c>
      <c r="D11509" t="s">
        <v>17</v>
      </c>
      <c r="E11509" t="s">
        <v>12</v>
      </c>
      <c r="F11509">
        <v>74699942</v>
      </c>
      <c r="G11509">
        <v>74699999</v>
      </c>
      <c r="H11509">
        <v>74699703</v>
      </c>
      <c r="I11509">
        <v>74699725</v>
      </c>
    </row>
    <row r="11510" spans="1:9" x14ac:dyDescent="0.2">
      <c r="A11510" s="1" t="str">
        <f>"NEU4"</f>
        <v>NEU4</v>
      </c>
      <c r="B11510" t="s">
        <v>9</v>
      </c>
      <c r="C11510" t="s">
        <v>26</v>
      </c>
      <c r="D11510" t="s">
        <v>17</v>
      </c>
      <c r="E11510" t="s">
        <v>12</v>
      </c>
      <c r="F11510">
        <v>242755144</v>
      </c>
      <c r="G11510">
        <v>242755205</v>
      </c>
      <c r="H11510">
        <v>242755144</v>
      </c>
      <c r="I11510">
        <v>242755205</v>
      </c>
    </row>
    <row r="11511" spans="1:9" x14ac:dyDescent="0.2">
      <c r="A11511" s="1" t="str">
        <f>"NEU4"</f>
        <v>NEU4</v>
      </c>
      <c r="B11511" t="s">
        <v>13</v>
      </c>
      <c r="C11511" t="s">
        <v>26</v>
      </c>
      <c r="D11511" t="s">
        <v>17</v>
      </c>
      <c r="E11511" t="s">
        <v>12</v>
      </c>
      <c r="F11511">
        <v>242750274</v>
      </c>
      <c r="G11511">
        <v>242750298</v>
      </c>
      <c r="H11511">
        <v>242750274</v>
      </c>
      <c r="I11511">
        <v>242750298</v>
      </c>
    </row>
    <row r="11512" spans="1:9" x14ac:dyDescent="0.2">
      <c r="A11512" s="1" t="str">
        <f>"NEURL"</f>
        <v>NEURL</v>
      </c>
      <c r="B11512" t="s">
        <v>864</v>
      </c>
      <c r="C11512" t="s">
        <v>15</v>
      </c>
      <c r="D11512" t="s">
        <v>17</v>
      </c>
      <c r="E11512" t="s">
        <v>35</v>
      </c>
      <c r="F11512">
        <v>105253535</v>
      </c>
      <c r="G11512">
        <v>105253604</v>
      </c>
      <c r="H11512">
        <v>105253843</v>
      </c>
      <c r="I11512">
        <v>105253884</v>
      </c>
    </row>
    <row r="11513" spans="1:9" x14ac:dyDescent="0.2">
      <c r="A11513" s="1" t="str">
        <f>"NEURL1B"</f>
        <v>NEURL1B</v>
      </c>
      <c r="B11513" t="s">
        <v>14</v>
      </c>
      <c r="C11513" t="s">
        <v>46</v>
      </c>
      <c r="D11513" t="s">
        <v>17</v>
      </c>
      <c r="E11513" t="s">
        <v>12</v>
      </c>
      <c r="F11513">
        <v>172068232</v>
      </c>
      <c r="G11513">
        <v>172068320</v>
      </c>
      <c r="H11513">
        <v>172068213</v>
      </c>
      <c r="I11513">
        <v>172068220</v>
      </c>
    </row>
    <row r="11514" spans="1:9" x14ac:dyDescent="0.2">
      <c r="A11514" s="1" t="str">
        <f>"NEURL2"</f>
        <v>NEURL2</v>
      </c>
      <c r="B11514" t="s">
        <v>14</v>
      </c>
      <c r="C11514" t="s">
        <v>29</v>
      </c>
      <c r="D11514" t="s">
        <v>11</v>
      </c>
      <c r="E11514" t="s">
        <v>12</v>
      </c>
      <c r="F11514">
        <v>44519890</v>
      </c>
      <c r="G11514">
        <v>44519933</v>
      </c>
      <c r="H11514">
        <v>44519890</v>
      </c>
      <c r="I11514">
        <v>44519933</v>
      </c>
    </row>
    <row r="11515" spans="1:9" x14ac:dyDescent="0.2">
      <c r="A11515" s="1" t="str">
        <f>"NEURL4"</f>
        <v>NEURL4</v>
      </c>
      <c r="B11515" t="s">
        <v>14</v>
      </c>
      <c r="C11515" t="s">
        <v>28</v>
      </c>
      <c r="D11515" t="s">
        <v>11</v>
      </c>
      <c r="E11515" t="s">
        <v>12</v>
      </c>
      <c r="F11515">
        <v>7232630</v>
      </c>
      <c r="G11515">
        <v>7232688</v>
      </c>
      <c r="H11515">
        <v>7232727</v>
      </c>
      <c r="I11515">
        <v>7232747</v>
      </c>
    </row>
    <row r="11516" spans="1:9" x14ac:dyDescent="0.2">
      <c r="A11516" s="1" t="str">
        <f>"NEUROD1"</f>
        <v>NEUROD1</v>
      </c>
      <c r="B11516" t="s">
        <v>14</v>
      </c>
      <c r="C11516" t="s">
        <v>26</v>
      </c>
      <c r="D11516" t="s">
        <v>11</v>
      </c>
      <c r="E11516" t="s">
        <v>12</v>
      </c>
      <c r="F11516">
        <v>182545234</v>
      </c>
      <c r="G11516">
        <v>182545252</v>
      </c>
      <c r="H11516">
        <v>182545282</v>
      </c>
      <c r="I11516">
        <v>182545294</v>
      </c>
    </row>
    <row r="11517" spans="1:9" x14ac:dyDescent="0.2">
      <c r="A11517" s="1" t="str">
        <f>"NEUROD2"</f>
        <v>NEUROD2</v>
      </c>
      <c r="B11517" t="s">
        <v>14</v>
      </c>
      <c r="C11517" t="s">
        <v>28</v>
      </c>
      <c r="D11517" t="s">
        <v>11</v>
      </c>
      <c r="E11517" t="s">
        <v>12</v>
      </c>
      <c r="F11517">
        <v>37764128</v>
      </c>
      <c r="G11517">
        <v>37764258</v>
      </c>
      <c r="H11517">
        <v>37764312</v>
      </c>
      <c r="I11517">
        <v>37764326</v>
      </c>
    </row>
    <row r="11518" spans="1:9" x14ac:dyDescent="0.2">
      <c r="A11518" s="1" t="str">
        <f>"NEUROD4"</f>
        <v>NEUROD4</v>
      </c>
      <c r="B11518" t="s">
        <v>14</v>
      </c>
      <c r="C11518" t="s">
        <v>16</v>
      </c>
      <c r="D11518" t="s">
        <v>17</v>
      </c>
      <c r="E11518" t="s">
        <v>12</v>
      </c>
      <c r="F11518">
        <v>55413751</v>
      </c>
      <c r="G11518">
        <v>55413765</v>
      </c>
      <c r="H11518">
        <v>55413694</v>
      </c>
      <c r="I11518">
        <v>55413703</v>
      </c>
    </row>
    <row r="11519" spans="1:9" x14ac:dyDescent="0.2">
      <c r="A11519" s="1" t="str">
        <f>"NEUROD6"</f>
        <v>NEUROD6</v>
      </c>
      <c r="B11519" t="s">
        <v>14</v>
      </c>
      <c r="C11519" t="s">
        <v>33</v>
      </c>
      <c r="D11519" t="s">
        <v>11</v>
      </c>
      <c r="E11519" t="s">
        <v>12</v>
      </c>
      <c r="F11519">
        <v>31380292</v>
      </c>
      <c r="G11519">
        <v>31380351</v>
      </c>
      <c r="H11519">
        <v>31380379</v>
      </c>
      <c r="I11519">
        <v>31380392</v>
      </c>
    </row>
    <row r="11520" spans="1:9" x14ac:dyDescent="0.2">
      <c r="A11520" s="1" t="str">
        <f>"NEUROG1"</f>
        <v>NEUROG1</v>
      </c>
      <c r="B11520" t="s">
        <v>14</v>
      </c>
      <c r="C11520" t="s">
        <v>46</v>
      </c>
      <c r="D11520" t="s">
        <v>11</v>
      </c>
      <c r="E11520" t="s">
        <v>12</v>
      </c>
      <c r="F11520">
        <v>134871645</v>
      </c>
      <c r="G11520">
        <v>134871660</v>
      </c>
      <c r="H11520">
        <v>134871742</v>
      </c>
      <c r="I11520">
        <v>134871748</v>
      </c>
    </row>
    <row r="11521" spans="1:9" x14ac:dyDescent="0.2">
      <c r="A11521" s="1" t="str">
        <f>"NEUROG2"</f>
        <v>NEUROG2</v>
      </c>
      <c r="B11521" t="s">
        <v>14</v>
      </c>
      <c r="C11521" t="s">
        <v>23</v>
      </c>
      <c r="D11521" t="s">
        <v>11</v>
      </c>
      <c r="E11521" t="s">
        <v>12</v>
      </c>
      <c r="F11521">
        <v>113437332</v>
      </c>
      <c r="G11521">
        <v>113437337</v>
      </c>
      <c r="H11521">
        <v>113437711</v>
      </c>
      <c r="I11521">
        <v>113437753</v>
      </c>
    </row>
    <row r="11522" spans="1:9" x14ac:dyDescent="0.2">
      <c r="A11522" s="1" t="str">
        <f>"NEUROG3"</f>
        <v>NEUROG3</v>
      </c>
      <c r="B11522" t="s">
        <v>14</v>
      </c>
      <c r="C11522" t="s">
        <v>15</v>
      </c>
      <c r="D11522" t="s">
        <v>11</v>
      </c>
      <c r="E11522" t="s">
        <v>12</v>
      </c>
      <c r="F11522">
        <v>71333172</v>
      </c>
      <c r="G11522">
        <v>71333186</v>
      </c>
      <c r="H11522">
        <v>71333206</v>
      </c>
      <c r="I11522">
        <v>71333214</v>
      </c>
    </row>
    <row r="11523" spans="1:9" x14ac:dyDescent="0.2">
      <c r="A11523" s="1" t="str">
        <f>"NEXN"</f>
        <v>NEXN</v>
      </c>
      <c r="B11523" t="s">
        <v>14</v>
      </c>
      <c r="C11523" t="s">
        <v>19</v>
      </c>
      <c r="D11523" t="s">
        <v>17</v>
      </c>
      <c r="E11523" t="s">
        <v>12</v>
      </c>
      <c r="F11523">
        <v>78354297</v>
      </c>
      <c r="G11523">
        <v>78354320</v>
      </c>
      <c r="H11523">
        <v>78354243</v>
      </c>
      <c r="I11523">
        <v>78354293</v>
      </c>
    </row>
    <row r="11524" spans="1:9" x14ac:dyDescent="0.2">
      <c r="A11524" s="1" t="str">
        <f>"NF1"</f>
        <v>NF1</v>
      </c>
      <c r="B11524" t="s">
        <v>14</v>
      </c>
      <c r="C11524" t="s">
        <v>28</v>
      </c>
      <c r="D11524" t="s">
        <v>17</v>
      </c>
      <c r="E11524" t="s">
        <v>12</v>
      </c>
      <c r="F11524">
        <v>29421987</v>
      </c>
      <c r="G11524">
        <v>29422014</v>
      </c>
      <c r="H11524">
        <v>29421900</v>
      </c>
      <c r="I11524">
        <v>29421951</v>
      </c>
    </row>
    <row r="11525" spans="1:9" x14ac:dyDescent="0.2">
      <c r="A11525" s="1" t="str">
        <f>"NF2"</f>
        <v>NF2</v>
      </c>
      <c r="B11525" t="s">
        <v>14</v>
      </c>
      <c r="C11525" t="s">
        <v>21</v>
      </c>
      <c r="D11525" t="s">
        <v>17</v>
      </c>
      <c r="E11525" t="s">
        <v>12</v>
      </c>
      <c r="F11525">
        <v>29999549</v>
      </c>
      <c r="G11525">
        <v>29999646</v>
      </c>
      <c r="H11525">
        <v>29999647</v>
      </c>
      <c r="I11525">
        <v>29999669</v>
      </c>
    </row>
    <row r="11526" spans="1:9" x14ac:dyDescent="0.2">
      <c r="A11526" s="1" t="str">
        <f>"NFAM1"</f>
        <v>NFAM1</v>
      </c>
      <c r="B11526" t="s">
        <v>14</v>
      </c>
      <c r="C11526" t="s">
        <v>21</v>
      </c>
      <c r="D11526" t="s">
        <v>11</v>
      </c>
      <c r="E11526" t="s">
        <v>12</v>
      </c>
      <c r="F11526">
        <v>42828375</v>
      </c>
      <c r="G11526">
        <v>42828431</v>
      </c>
      <c r="H11526">
        <v>42828358</v>
      </c>
      <c r="I11526">
        <v>42828372</v>
      </c>
    </row>
    <row r="11527" spans="1:9" x14ac:dyDescent="0.2">
      <c r="A11527" s="1" t="str">
        <f>"NFASC"</f>
        <v>NFASC</v>
      </c>
      <c r="B11527" t="s">
        <v>14</v>
      </c>
      <c r="C11527" t="s">
        <v>19</v>
      </c>
      <c r="D11527" t="s">
        <v>17</v>
      </c>
      <c r="E11527" t="s">
        <v>12</v>
      </c>
      <c r="F11527">
        <v>204797749</v>
      </c>
      <c r="G11527">
        <v>204797855</v>
      </c>
      <c r="H11527">
        <v>204797749</v>
      </c>
      <c r="I11527">
        <v>204797855</v>
      </c>
    </row>
    <row r="11528" spans="1:9" x14ac:dyDescent="0.2">
      <c r="A11528" s="1" t="str">
        <f>"NFAT5"</f>
        <v>NFAT5</v>
      </c>
      <c r="B11528" t="s">
        <v>14</v>
      </c>
      <c r="C11528" t="s">
        <v>31</v>
      </c>
      <c r="D11528" t="s">
        <v>17</v>
      </c>
      <c r="E11528" t="s">
        <v>12</v>
      </c>
      <c r="F11528">
        <v>69599861</v>
      </c>
      <c r="G11528">
        <v>69599885</v>
      </c>
      <c r="H11528">
        <v>69599899</v>
      </c>
      <c r="I11528">
        <v>69599919</v>
      </c>
    </row>
    <row r="11529" spans="1:9" x14ac:dyDescent="0.2">
      <c r="A11529" s="1" t="str">
        <f>"NFATC1"</f>
        <v>NFATC1</v>
      </c>
      <c r="B11529" t="s">
        <v>9</v>
      </c>
      <c r="C11529" t="s">
        <v>43</v>
      </c>
      <c r="D11529" t="s">
        <v>17</v>
      </c>
      <c r="E11529" t="s">
        <v>12</v>
      </c>
      <c r="F11529">
        <v>77155922</v>
      </c>
      <c r="G11529">
        <v>77155939</v>
      </c>
      <c r="H11529">
        <v>77155922</v>
      </c>
      <c r="I11529">
        <v>77155939</v>
      </c>
    </row>
    <row r="11530" spans="1:9" x14ac:dyDescent="0.2">
      <c r="A11530" s="1" t="str">
        <f>"NFATC1"</f>
        <v>NFATC1</v>
      </c>
      <c r="B11530" t="s">
        <v>13</v>
      </c>
      <c r="C11530" t="s">
        <v>43</v>
      </c>
      <c r="D11530" t="s">
        <v>17</v>
      </c>
      <c r="E11530" t="s">
        <v>12</v>
      </c>
      <c r="F11530">
        <v>77160282</v>
      </c>
      <c r="G11530">
        <v>77160343</v>
      </c>
      <c r="H11530">
        <v>77160282</v>
      </c>
      <c r="I11530">
        <v>77160343</v>
      </c>
    </row>
    <row r="11531" spans="1:9" x14ac:dyDescent="0.2">
      <c r="A11531" s="1" t="str">
        <f>"NFATC2"</f>
        <v>NFATC2</v>
      </c>
      <c r="B11531" t="s">
        <v>9</v>
      </c>
      <c r="C11531" t="s">
        <v>29</v>
      </c>
      <c r="D11531" t="s">
        <v>11</v>
      </c>
      <c r="E11531" t="s">
        <v>12</v>
      </c>
      <c r="F11531">
        <v>50159198</v>
      </c>
      <c r="G11531">
        <v>50159299</v>
      </c>
      <c r="H11531">
        <v>50159198</v>
      </c>
      <c r="I11531">
        <v>50159299</v>
      </c>
    </row>
    <row r="11532" spans="1:9" x14ac:dyDescent="0.2">
      <c r="A11532" s="1" t="str">
        <f>"NFATC2"</f>
        <v>NFATC2</v>
      </c>
      <c r="B11532" t="s">
        <v>13</v>
      </c>
      <c r="C11532" t="s">
        <v>29</v>
      </c>
      <c r="D11532" t="s">
        <v>11</v>
      </c>
      <c r="E11532" t="s">
        <v>12</v>
      </c>
      <c r="F11532">
        <v>50179368</v>
      </c>
      <c r="G11532">
        <v>50179392</v>
      </c>
      <c r="H11532">
        <v>50179368</v>
      </c>
      <c r="I11532">
        <v>50179392</v>
      </c>
    </row>
    <row r="11533" spans="1:9" x14ac:dyDescent="0.2">
      <c r="A11533" s="1" t="str">
        <f>"NFATC2IP"</f>
        <v>NFATC2IP</v>
      </c>
      <c r="B11533" t="s">
        <v>14</v>
      </c>
      <c r="C11533" t="s">
        <v>31</v>
      </c>
      <c r="D11533" t="s">
        <v>17</v>
      </c>
      <c r="E11533" t="s">
        <v>12</v>
      </c>
      <c r="F11533">
        <v>28962303</v>
      </c>
      <c r="G11533">
        <v>28962335</v>
      </c>
      <c r="H11533">
        <v>28962123</v>
      </c>
      <c r="I11533">
        <v>28962141</v>
      </c>
    </row>
    <row r="11534" spans="1:9" x14ac:dyDescent="0.2">
      <c r="A11534" s="1" t="str">
        <f>"NFATC3"</f>
        <v>NFATC3</v>
      </c>
      <c r="B11534" t="s">
        <v>14</v>
      </c>
      <c r="C11534" t="s">
        <v>31</v>
      </c>
      <c r="D11534" t="s">
        <v>17</v>
      </c>
      <c r="E11534" t="s">
        <v>12</v>
      </c>
      <c r="F11534">
        <v>68119324</v>
      </c>
      <c r="G11534">
        <v>68119364</v>
      </c>
      <c r="H11534">
        <v>68119250</v>
      </c>
      <c r="I11534">
        <v>68119293</v>
      </c>
    </row>
    <row r="11535" spans="1:9" x14ac:dyDescent="0.2">
      <c r="A11535" s="1" t="str">
        <f>"NFATC4"</f>
        <v>NFATC4</v>
      </c>
      <c r="B11535" t="s">
        <v>14</v>
      </c>
      <c r="C11535" t="s">
        <v>41</v>
      </c>
      <c r="D11535" t="s">
        <v>17</v>
      </c>
      <c r="E11535" t="s">
        <v>12</v>
      </c>
      <c r="F11535">
        <v>24837368</v>
      </c>
      <c r="G11535">
        <v>24837401</v>
      </c>
      <c r="H11535">
        <v>24837339</v>
      </c>
      <c r="I11535">
        <v>24837352</v>
      </c>
    </row>
    <row r="11536" spans="1:9" x14ac:dyDescent="0.2">
      <c r="A11536" s="1" t="str">
        <f>"NFE2"</f>
        <v>NFE2</v>
      </c>
      <c r="B11536" t="s">
        <v>14</v>
      </c>
      <c r="C11536" t="s">
        <v>16</v>
      </c>
      <c r="D11536" t="s">
        <v>11</v>
      </c>
      <c r="E11536" t="s">
        <v>12</v>
      </c>
      <c r="F11536">
        <v>54694758</v>
      </c>
      <c r="G11536">
        <v>54694805</v>
      </c>
      <c r="H11536">
        <v>54694653</v>
      </c>
      <c r="I11536">
        <v>54694672</v>
      </c>
    </row>
    <row r="11537" spans="1:9" x14ac:dyDescent="0.2">
      <c r="A11537" s="1" t="str">
        <f>"NFE2L1"</f>
        <v>NFE2L1</v>
      </c>
      <c r="B11537" t="s">
        <v>14</v>
      </c>
      <c r="C11537" t="s">
        <v>28</v>
      </c>
      <c r="D11537" t="s">
        <v>17</v>
      </c>
      <c r="E11537" t="s">
        <v>12</v>
      </c>
      <c r="F11537">
        <v>46126136</v>
      </c>
      <c r="G11537">
        <v>46126152</v>
      </c>
      <c r="H11537">
        <v>46125707</v>
      </c>
      <c r="I11537">
        <v>46125746</v>
      </c>
    </row>
    <row r="11538" spans="1:9" x14ac:dyDescent="0.2">
      <c r="A11538" s="1" t="str">
        <f>"NFE2L2"</f>
        <v>NFE2L2</v>
      </c>
      <c r="B11538" t="s">
        <v>9</v>
      </c>
      <c r="C11538" t="s">
        <v>26</v>
      </c>
      <c r="D11538" t="s">
        <v>11</v>
      </c>
      <c r="E11538" t="s">
        <v>12</v>
      </c>
      <c r="F11538">
        <v>178129414</v>
      </c>
      <c r="G11538">
        <v>178129517</v>
      </c>
      <c r="H11538">
        <v>178129414</v>
      </c>
      <c r="I11538">
        <v>178129517</v>
      </c>
    </row>
    <row r="11539" spans="1:9" x14ac:dyDescent="0.2">
      <c r="A11539" s="1" t="str">
        <f>"NFE2L2"</f>
        <v>NFE2L2</v>
      </c>
      <c r="B11539" t="s">
        <v>13</v>
      </c>
      <c r="C11539" t="s">
        <v>26</v>
      </c>
      <c r="D11539" t="s">
        <v>11</v>
      </c>
      <c r="E11539" t="s">
        <v>12</v>
      </c>
      <c r="F11539">
        <v>178128149</v>
      </c>
      <c r="G11539">
        <v>178128198</v>
      </c>
      <c r="H11539">
        <v>178128149</v>
      </c>
      <c r="I11539">
        <v>178128198</v>
      </c>
    </row>
    <row r="11540" spans="1:9" x14ac:dyDescent="0.2">
      <c r="A11540" s="1" t="str">
        <f>"NFE2L3"</f>
        <v>NFE2L3</v>
      </c>
      <c r="B11540" t="s">
        <v>14</v>
      </c>
      <c r="C11540" t="s">
        <v>33</v>
      </c>
      <c r="D11540" t="s">
        <v>17</v>
      </c>
      <c r="E11540" t="s">
        <v>12</v>
      </c>
      <c r="F11540">
        <v>26191809</v>
      </c>
      <c r="G11540">
        <v>26191890</v>
      </c>
      <c r="H11540">
        <v>26192093</v>
      </c>
      <c r="I11540">
        <v>26192115</v>
      </c>
    </row>
    <row r="11541" spans="1:9" x14ac:dyDescent="0.2">
      <c r="A11541" s="1" t="str">
        <f>"NFE4"</f>
        <v>NFE4</v>
      </c>
      <c r="B11541" t="s">
        <v>14</v>
      </c>
      <c r="C11541" t="s">
        <v>33</v>
      </c>
      <c r="D11541" t="s">
        <v>17</v>
      </c>
      <c r="E11541" t="s">
        <v>67</v>
      </c>
      <c r="F11541">
        <v>102613997</v>
      </c>
      <c r="G11541">
        <v>102614016</v>
      </c>
      <c r="H11541">
        <v>102613930</v>
      </c>
      <c r="I11541">
        <v>102613944</v>
      </c>
    </row>
    <row r="11542" spans="1:9" x14ac:dyDescent="0.2">
      <c r="A11542" s="1" t="str">
        <f>"NFIA"</f>
        <v>NFIA</v>
      </c>
      <c r="B11542" t="s">
        <v>14</v>
      </c>
      <c r="C11542" t="s">
        <v>19</v>
      </c>
      <c r="D11542" t="s">
        <v>17</v>
      </c>
      <c r="E11542" t="s">
        <v>12</v>
      </c>
      <c r="F11542">
        <v>61548225</v>
      </c>
      <c r="G11542">
        <v>61548299</v>
      </c>
      <c r="H11542">
        <v>61547894</v>
      </c>
      <c r="I11542">
        <v>61547968</v>
      </c>
    </row>
    <row r="11543" spans="1:9" x14ac:dyDescent="0.2">
      <c r="A11543" s="1" t="str">
        <f>"NFIB"</f>
        <v>NFIB</v>
      </c>
      <c r="B11543" t="s">
        <v>14</v>
      </c>
      <c r="C11543" t="s">
        <v>24</v>
      </c>
      <c r="D11543" t="s">
        <v>11</v>
      </c>
      <c r="E11543" t="s">
        <v>12</v>
      </c>
      <c r="F11543">
        <v>14314566</v>
      </c>
      <c r="G11543">
        <v>14314618</v>
      </c>
      <c r="H11543">
        <v>14314131</v>
      </c>
      <c r="I11543">
        <v>14314147</v>
      </c>
    </row>
    <row r="11544" spans="1:9" x14ac:dyDescent="0.2">
      <c r="A11544" s="1" t="str">
        <f>"NFIC"</f>
        <v>NFIC</v>
      </c>
      <c r="B11544" t="s">
        <v>9</v>
      </c>
      <c r="C11544" t="s">
        <v>10</v>
      </c>
      <c r="D11544" t="s">
        <v>17</v>
      </c>
      <c r="E11544" t="s">
        <v>12</v>
      </c>
      <c r="F11544">
        <v>3366570</v>
      </c>
      <c r="G11544">
        <v>3366619</v>
      </c>
      <c r="H11544">
        <v>3366570</v>
      </c>
      <c r="I11544">
        <v>3366619</v>
      </c>
    </row>
    <row r="11545" spans="1:9" x14ac:dyDescent="0.2">
      <c r="A11545" s="1" t="str">
        <f>"NFIC"</f>
        <v>NFIC</v>
      </c>
      <c r="B11545" t="s">
        <v>13</v>
      </c>
      <c r="C11545" t="s">
        <v>10</v>
      </c>
      <c r="D11545" t="s">
        <v>17</v>
      </c>
      <c r="E11545" t="s">
        <v>12</v>
      </c>
      <c r="F11545">
        <v>3359591</v>
      </c>
      <c r="G11545">
        <v>3359667</v>
      </c>
      <c r="H11545">
        <v>3359591</v>
      </c>
      <c r="I11545">
        <v>3359667</v>
      </c>
    </row>
    <row r="11546" spans="1:9" x14ac:dyDescent="0.2">
      <c r="A11546" s="1" t="str">
        <f>"NFIL3"</f>
        <v>NFIL3</v>
      </c>
      <c r="B11546" t="s">
        <v>14</v>
      </c>
      <c r="C11546" t="s">
        <v>24</v>
      </c>
      <c r="D11546" t="s">
        <v>11</v>
      </c>
      <c r="E11546" t="s">
        <v>12</v>
      </c>
      <c r="F11546">
        <v>94186101</v>
      </c>
      <c r="G11546">
        <v>94186122</v>
      </c>
      <c r="H11546">
        <v>94186131</v>
      </c>
      <c r="I11546">
        <v>94186174</v>
      </c>
    </row>
    <row r="11547" spans="1:9" x14ac:dyDescent="0.2">
      <c r="A11547" s="1" t="str">
        <f>"NFIX"</f>
        <v>NFIX</v>
      </c>
      <c r="B11547" t="s">
        <v>9</v>
      </c>
      <c r="C11547" t="s">
        <v>10</v>
      </c>
      <c r="D11547" t="s">
        <v>17</v>
      </c>
      <c r="E11547" t="s">
        <v>12</v>
      </c>
      <c r="F11547">
        <v>13106214</v>
      </c>
      <c r="G11547">
        <v>13106382</v>
      </c>
      <c r="H11547">
        <v>13106214</v>
      </c>
      <c r="I11547">
        <v>13106382</v>
      </c>
    </row>
    <row r="11548" spans="1:9" x14ac:dyDescent="0.2">
      <c r="A11548" s="1" t="str">
        <f>"NFIX"</f>
        <v>NFIX</v>
      </c>
      <c r="B11548" t="s">
        <v>13</v>
      </c>
      <c r="C11548" t="s">
        <v>10</v>
      </c>
      <c r="D11548" t="s">
        <v>17</v>
      </c>
      <c r="E11548" t="s">
        <v>12</v>
      </c>
      <c r="F11548">
        <v>13134772</v>
      </c>
      <c r="G11548">
        <v>13134822</v>
      </c>
      <c r="H11548">
        <v>13134772</v>
      </c>
      <c r="I11548">
        <v>13134822</v>
      </c>
    </row>
    <row r="11549" spans="1:9" x14ac:dyDescent="0.2">
      <c r="A11549" s="1" t="str">
        <f>"NFKB1"</f>
        <v>NFKB1</v>
      </c>
      <c r="B11549" t="s">
        <v>14</v>
      </c>
      <c r="C11549" t="s">
        <v>23</v>
      </c>
      <c r="D11549" t="s">
        <v>17</v>
      </c>
      <c r="E11549" t="s">
        <v>12</v>
      </c>
      <c r="F11549">
        <v>103422499</v>
      </c>
      <c r="G11549">
        <v>103422632</v>
      </c>
      <c r="H11549">
        <v>103422471</v>
      </c>
      <c r="I11549">
        <v>103422495</v>
      </c>
    </row>
    <row r="11550" spans="1:9" x14ac:dyDescent="0.2">
      <c r="A11550" s="1" t="str">
        <f>"NFKB2"</f>
        <v>NFKB2</v>
      </c>
      <c r="B11550" t="s">
        <v>14</v>
      </c>
      <c r="C11550" t="s">
        <v>15</v>
      </c>
      <c r="D11550" t="s">
        <v>17</v>
      </c>
      <c r="E11550" t="s">
        <v>12</v>
      </c>
      <c r="F11550">
        <v>104155455</v>
      </c>
      <c r="G11550">
        <v>104155479</v>
      </c>
      <c r="H11550">
        <v>104155480</v>
      </c>
      <c r="I11550">
        <v>104155534</v>
      </c>
    </row>
    <row r="11551" spans="1:9" x14ac:dyDescent="0.2">
      <c r="A11551" s="1" t="str">
        <f>"NFKBIA"</f>
        <v>NFKBIA</v>
      </c>
      <c r="B11551" t="s">
        <v>9</v>
      </c>
      <c r="C11551" t="s">
        <v>41</v>
      </c>
      <c r="D11551" t="s">
        <v>11</v>
      </c>
      <c r="E11551" t="s">
        <v>12</v>
      </c>
      <c r="F11551">
        <v>35873947</v>
      </c>
      <c r="G11551">
        <v>35873965</v>
      </c>
      <c r="H11551">
        <v>35873947</v>
      </c>
      <c r="I11551">
        <v>35873965</v>
      </c>
    </row>
    <row r="11552" spans="1:9" x14ac:dyDescent="0.2">
      <c r="A11552" s="1" t="str">
        <f>"NFKBIA"</f>
        <v>NFKBIA</v>
      </c>
      <c r="B11552" t="s">
        <v>13</v>
      </c>
      <c r="C11552" t="s">
        <v>41</v>
      </c>
      <c r="D11552" t="s">
        <v>11</v>
      </c>
      <c r="E11552" t="s">
        <v>12</v>
      </c>
      <c r="F11552">
        <v>35872453</v>
      </c>
      <c r="G11552">
        <v>35872485</v>
      </c>
      <c r="H11552">
        <v>35872453</v>
      </c>
      <c r="I11552">
        <v>35872485</v>
      </c>
    </row>
    <row r="11553" spans="1:9" x14ac:dyDescent="0.2">
      <c r="A11553" s="1" t="str">
        <f>"NFKBIB"</f>
        <v>NFKBIB</v>
      </c>
      <c r="B11553" t="s">
        <v>14</v>
      </c>
      <c r="C11553" t="s">
        <v>10</v>
      </c>
      <c r="D11553" t="s">
        <v>17</v>
      </c>
      <c r="E11553" t="s">
        <v>12</v>
      </c>
      <c r="F11553">
        <v>39390587</v>
      </c>
      <c r="G11553">
        <v>39390646</v>
      </c>
      <c r="H11553">
        <v>39390574</v>
      </c>
      <c r="I11553">
        <v>39390585</v>
      </c>
    </row>
    <row r="11554" spans="1:9" x14ac:dyDescent="0.2">
      <c r="A11554" s="1" t="str">
        <f>"NFKBID"</f>
        <v>NFKBID</v>
      </c>
      <c r="B11554" t="s">
        <v>9</v>
      </c>
      <c r="C11554" t="s">
        <v>10</v>
      </c>
      <c r="D11554" t="s">
        <v>11</v>
      </c>
      <c r="E11554" t="s">
        <v>12</v>
      </c>
      <c r="F11554">
        <v>36391434</v>
      </c>
      <c r="G11554">
        <v>36391450</v>
      </c>
      <c r="H11554">
        <v>36391434</v>
      </c>
      <c r="I11554">
        <v>36391450</v>
      </c>
    </row>
    <row r="11555" spans="1:9" x14ac:dyDescent="0.2">
      <c r="A11555" s="1" t="str">
        <f>"NFKBID"</f>
        <v>NFKBID</v>
      </c>
      <c r="B11555" t="s">
        <v>13</v>
      </c>
      <c r="C11555" t="s">
        <v>10</v>
      </c>
      <c r="D11555" t="s">
        <v>11</v>
      </c>
      <c r="E11555" t="s">
        <v>12</v>
      </c>
      <c r="F11555">
        <v>36389872</v>
      </c>
      <c r="G11555">
        <v>36389901</v>
      </c>
      <c r="H11555">
        <v>36389872</v>
      </c>
      <c r="I11555">
        <v>36389901</v>
      </c>
    </row>
    <row r="11556" spans="1:9" x14ac:dyDescent="0.2">
      <c r="A11556" s="1" t="str">
        <f>"NFKBIE"</f>
        <v>NFKBIE</v>
      </c>
      <c r="B11556" t="s">
        <v>14</v>
      </c>
      <c r="C11556" t="s">
        <v>32</v>
      </c>
      <c r="D11556" t="s">
        <v>11</v>
      </c>
      <c r="E11556" t="s">
        <v>12</v>
      </c>
      <c r="F11556">
        <v>44233252</v>
      </c>
      <c r="G11556">
        <v>44233296</v>
      </c>
      <c r="H11556">
        <v>44233252</v>
      </c>
      <c r="I11556">
        <v>44233296</v>
      </c>
    </row>
    <row r="11557" spans="1:9" x14ac:dyDescent="0.2">
      <c r="A11557" s="1" t="str">
        <f>"NFKBIL1"</f>
        <v>NFKBIL1</v>
      </c>
      <c r="B11557" t="s">
        <v>14</v>
      </c>
      <c r="C11557" t="s">
        <v>32</v>
      </c>
      <c r="D11557" t="s">
        <v>17</v>
      </c>
      <c r="E11557" t="s">
        <v>12</v>
      </c>
      <c r="F11557">
        <v>31515337</v>
      </c>
      <c r="G11557">
        <v>31515420</v>
      </c>
      <c r="H11557">
        <v>31515469</v>
      </c>
      <c r="I11557">
        <v>31515486</v>
      </c>
    </row>
    <row r="11558" spans="1:9" x14ac:dyDescent="0.2">
      <c r="A11558" s="1" t="str">
        <f>"NFKBIZ"</f>
        <v>NFKBIZ</v>
      </c>
      <c r="B11558" t="s">
        <v>9</v>
      </c>
      <c r="C11558" t="s">
        <v>22</v>
      </c>
      <c r="D11558" t="s">
        <v>17</v>
      </c>
      <c r="E11558" t="s">
        <v>12</v>
      </c>
      <c r="F11558">
        <v>101568349</v>
      </c>
      <c r="G11558">
        <v>101568365</v>
      </c>
      <c r="H11558">
        <v>101568349</v>
      </c>
      <c r="I11558">
        <v>101568365</v>
      </c>
    </row>
    <row r="11559" spans="1:9" x14ac:dyDescent="0.2">
      <c r="A11559" s="1" t="str">
        <f>"NFKBIZ"</f>
        <v>NFKBIZ</v>
      </c>
      <c r="B11559" t="s">
        <v>13</v>
      </c>
      <c r="C11559" t="s">
        <v>22</v>
      </c>
      <c r="D11559" t="s">
        <v>17</v>
      </c>
      <c r="E11559" t="s">
        <v>12</v>
      </c>
      <c r="F11559">
        <v>101546827</v>
      </c>
      <c r="G11559">
        <v>101546847</v>
      </c>
      <c r="H11559">
        <v>101546827</v>
      </c>
      <c r="I11559">
        <v>101546847</v>
      </c>
    </row>
    <row r="11560" spans="1:9" x14ac:dyDescent="0.2">
      <c r="A11560" s="1" t="str">
        <f>"NFRKB"</f>
        <v>NFRKB</v>
      </c>
      <c r="B11560" t="s">
        <v>14</v>
      </c>
      <c r="C11560" t="s">
        <v>27</v>
      </c>
      <c r="D11560" t="s">
        <v>11</v>
      </c>
      <c r="E11560" t="s">
        <v>12</v>
      </c>
      <c r="F11560">
        <v>129765427</v>
      </c>
      <c r="G11560">
        <v>129765492</v>
      </c>
      <c r="H11560">
        <v>129765505</v>
      </c>
      <c r="I11560">
        <v>129765510</v>
      </c>
    </row>
    <row r="11561" spans="1:9" x14ac:dyDescent="0.2">
      <c r="A11561" s="1" t="str">
        <f>"NFS1"</f>
        <v>NFS1</v>
      </c>
      <c r="B11561" t="s">
        <v>14</v>
      </c>
      <c r="C11561" t="s">
        <v>29</v>
      </c>
      <c r="D11561" t="s">
        <v>11</v>
      </c>
      <c r="E11561" t="s">
        <v>12</v>
      </c>
      <c r="F11561">
        <v>34287259</v>
      </c>
      <c r="G11561">
        <v>34287282</v>
      </c>
      <c r="H11561">
        <v>34287239</v>
      </c>
      <c r="I11561">
        <v>34287254</v>
      </c>
    </row>
    <row r="11562" spans="1:9" x14ac:dyDescent="0.2">
      <c r="A11562" s="1" t="str">
        <f>"NFU1"</f>
        <v>NFU1</v>
      </c>
      <c r="B11562" t="s">
        <v>14</v>
      </c>
      <c r="C11562" t="s">
        <v>26</v>
      </c>
      <c r="D11562" t="s">
        <v>11</v>
      </c>
      <c r="E11562" t="s">
        <v>12</v>
      </c>
      <c r="F11562">
        <v>69664558</v>
      </c>
      <c r="G11562">
        <v>69664584</v>
      </c>
      <c r="H11562">
        <v>69664586</v>
      </c>
      <c r="I11562">
        <v>69664604</v>
      </c>
    </row>
    <row r="11563" spans="1:9" x14ac:dyDescent="0.2">
      <c r="A11563" s="1" t="str">
        <f>"NFX1"</f>
        <v>NFX1</v>
      </c>
      <c r="B11563" t="s">
        <v>14</v>
      </c>
      <c r="C11563" t="s">
        <v>24</v>
      </c>
      <c r="D11563" t="s">
        <v>17</v>
      </c>
      <c r="E11563" t="s">
        <v>12</v>
      </c>
      <c r="F11563">
        <v>33290491</v>
      </c>
      <c r="G11563">
        <v>33290564</v>
      </c>
      <c r="H11563">
        <v>33290491</v>
      </c>
      <c r="I11563">
        <v>33290564</v>
      </c>
    </row>
    <row r="11564" spans="1:9" x14ac:dyDescent="0.2">
      <c r="A11564" s="1" t="str">
        <f>"NFXL1"</f>
        <v>NFXL1</v>
      </c>
      <c r="B11564" t="s">
        <v>14</v>
      </c>
      <c r="C11564" t="s">
        <v>23</v>
      </c>
      <c r="D11564" t="s">
        <v>11</v>
      </c>
      <c r="E11564" t="s">
        <v>12</v>
      </c>
      <c r="F11564">
        <v>47916588</v>
      </c>
      <c r="G11564">
        <v>47916607</v>
      </c>
      <c r="H11564">
        <v>47916543</v>
      </c>
      <c r="I11564">
        <v>47916580</v>
      </c>
    </row>
    <row r="11565" spans="1:9" x14ac:dyDescent="0.2">
      <c r="A11565" s="1" t="str">
        <f>"NFYA"</f>
        <v>NFYA</v>
      </c>
      <c r="B11565" t="s">
        <v>14</v>
      </c>
      <c r="C11565" t="s">
        <v>32</v>
      </c>
      <c r="D11565" t="s">
        <v>17</v>
      </c>
      <c r="E11565" t="s">
        <v>12</v>
      </c>
      <c r="F11565">
        <v>41040678</v>
      </c>
      <c r="G11565">
        <v>41040722</v>
      </c>
      <c r="H11565">
        <v>41040923</v>
      </c>
      <c r="I11565">
        <v>41040952</v>
      </c>
    </row>
    <row r="11566" spans="1:9" x14ac:dyDescent="0.2">
      <c r="A11566" s="1" t="str">
        <f>"NFYB"</f>
        <v>NFYB</v>
      </c>
      <c r="B11566" t="s">
        <v>14</v>
      </c>
      <c r="C11566" t="s">
        <v>16</v>
      </c>
      <c r="D11566" t="s">
        <v>11</v>
      </c>
      <c r="E11566" t="s">
        <v>12</v>
      </c>
      <c r="F11566">
        <v>104531945</v>
      </c>
      <c r="G11566">
        <v>104531996</v>
      </c>
      <c r="H11566">
        <v>104531854</v>
      </c>
      <c r="I11566">
        <v>104531893</v>
      </c>
    </row>
    <row r="11567" spans="1:9" x14ac:dyDescent="0.2">
      <c r="A11567" s="1" t="str">
        <f>"NFYC"</f>
        <v>NFYC</v>
      </c>
      <c r="B11567" t="s">
        <v>14</v>
      </c>
      <c r="C11567" t="s">
        <v>19</v>
      </c>
      <c r="D11567" t="s">
        <v>17</v>
      </c>
      <c r="E11567" t="s">
        <v>12</v>
      </c>
      <c r="F11567">
        <v>41157363</v>
      </c>
      <c r="G11567">
        <v>41157416</v>
      </c>
      <c r="H11567">
        <v>41157421</v>
      </c>
      <c r="I11567">
        <v>41157482</v>
      </c>
    </row>
    <row r="11568" spans="1:9" x14ac:dyDescent="0.2">
      <c r="A11568" s="1" t="str">
        <f>"NGB"</f>
        <v>NGB</v>
      </c>
      <c r="B11568" t="s">
        <v>14</v>
      </c>
      <c r="C11568" t="s">
        <v>41</v>
      </c>
      <c r="D11568" t="s">
        <v>11</v>
      </c>
      <c r="E11568" t="s">
        <v>12</v>
      </c>
      <c r="F11568">
        <v>77737543</v>
      </c>
      <c r="G11568">
        <v>77737554</v>
      </c>
      <c r="H11568">
        <v>77737543</v>
      </c>
      <c r="I11568">
        <v>77737554</v>
      </c>
    </row>
    <row r="11569" spans="1:9" x14ac:dyDescent="0.2">
      <c r="A11569" s="1" t="str">
        <f>"NGDN"</f>
        <v>NGDN</v>
      </c>
      <c r="B11569" t="s">
        <v>14</v>
      </c>
      <c r="C11569" t="s">
        <v>41</v>
      </c>
      <c r="D11569" t="s">
        <v>17</v>
      </c>
      <c r="E11569" t="s">
        <v>12</v>
      </c>
      <c r="F11569">
        <v>23938891</v>
      </c>
      <c r="G11569">
        <v>23938924</v>
      </c>
      <c r="H11569">
        <v>23939250</v>
      </c>
      <c r="I11569">
        <v>23939265</v>
      </c>
    </row>
    <row r="11570" spans="1:9" x14ac:dyDescent="0.2">
      <c r="A11570" s="1" t="str">
        <f>"NGEF"</f>
        <v>NGEF</v>
      </c>
      <c r="B11570" t="s">
        <v>14</v>
      </c>
      <c r="C11570" t="s">
        <v>26</v>
      </c>
      <c r="D11570" t="s">
        <v>11</v>
      </c>
      <c r="E11570" t="s">
        <v>12</v>
      </c>
      <c r="F11570">
        <v>233792837</v>
      </c>
      <c r="G11570">
        <v>233792888</v>
      </c>
      <c r="H11570">
        <v>233792837</v>
      </c>
      <c r="I11570">
        <v>233792888</v>
      </c>
    </row>
    <row r="11571" spans="1:9" x14ac:dyDescent="0.2">
      <c r="A11571" s="1" t="str">
        <f>"NGF"</f>
        <v>NGF</v>
      </c>
      <c r="B11571" t="s">
        <v>14</v>
      </c>
      <c r="C11571" t="s">
        <v>19</v>
      </c>
      <c r="D11571" t="s">
        <v>11</v>
      </c>
      <c r="E11571" t="s">
        <v>12</v>
      </c>
      <c r="F11571">
        <v>115880852</v>
      </c>
      <c r="G11571">
        <v>115880877</v>
      </c>
      <c r="H11571">
        <v>115880852</v>
      </c>
      <c r="I11571">
        <v>115880877</v>
      </c>
    </row>
    <row r="11572" spans="1:9" x14ac:dyDescent="0.2">
      <c r="A11572" s="1" t="str">
        <f>"NGFR"</f>
        <v>NGFR</v>
      </c>
      <c r="B11572" t="s">
        <v>14</v>
      </c>
      <c r="C11572" t="s">
        <v>28</v>
      </c>
      <c r="D11572" t="s">
        <v>17</v>
      </c>
      <c r="E11572" t="s">
        <v>12</v>
      </c>
      <c r="F11572">
        <v>47572647</v>
      </c>
      <c r="G11572">
        <v>47572662</v>
      </c>
      <c r="H11572">
        <v>47572784</v>
      </c>
      <c r="I11572">
        <v>47572792</v>
      </c>
    </row>
    <row r="11573" spans="1:9" x14ac:dyDescent="0.2">
      <c r="A11573" s="1" t="str">
        <f>"NGFRAP1"</f>
        <v>NGFRAP1</v>
      </c>
      <c r="B11573" t="s">
        <v>14</v>
      </c>
      <c r="C11573" t="s">
        <v>37</v>
      </c>
      <c r="D11573" t="s">
        <v>17</v>
      </c>
      <c r="E11573" t="s">
        <v>12</v>
      </c>
      <c r="F11573">
        <v>102631457</v>
      </c>
      <c r="G11573">
        <v>102631472</v>
      </c>
      <c r="H11573">
        <v>102631431</v>
      </c>
      <c r="I11573">
        <v>102631442</v>
      </c>
    </row>
    <row r="11574" spans="1:9" x14ac:dyDescent="0.2">
      <c r="A11574" s="1" t="str">
        <f>"NGLY1"</f>
        <v>NGLY1</v>
      </c>
      <c r="B11574" t="s">
        <v>14</v>
      </c>
      <c r="C11574" t="s">
        <v>22</v>
      </c>
      <c r="D11574" t="s">
        <v>11</v>
      </c>
      <c r="E11574" t="s">
        <v>12</v>
      </c>
      <c r="F11574">
        <v>25824879</v>
      </c>
      <c r="G11574">
        <v>25824913</v>
      </c>
      <c r="H11574">
        <v>25824925</v>
      </c>
      <c r="I11574">
        <v>25824941</v>
      </c>
    </row>
    <row r="11575" spans="1:9" x14ac:dyDescent="0.2">
      <c r="A11575" s="1" t="str">
        <f>"NGRN"</f>
        <v>NGRN</v>
      </c>
      <c r="B11575" t="s">
        <v>14</v>
      </c>
      <c r="C11575" t="s">
        <v>25</v>
      </c>
      <c r="D11575" t="s">
        <v>17</v>
      </c>
      <c r="E11575" t="s">
        <v>12</v>
      </c>
      <c r="F11575">
        <v>90808889</v>
      </c>
      <c r="G11575">
        <v>90808917</v>
      </c>
      <c r="H11575">
        <v>90808919</v>
      </c>
      <c r="I11575">
        <v>90808930</v>
      </c>
    </row>
    <row r="11576" spans="1:9" x14ac:dyDescent="0.2">
      <c r="A11576" s="1" t="str">
        <f>"NHEJ1"</f>
        <v>NHEJ1</v>
      </c>
      <c r="B11576" t="s">
        <v>14</v>
      </c>
      <c r="C11576" t="s">
        <v>26</v>
      </c>
      <c r="D11576" t="s">
        <v>11</v>
      </c>
      <c r="E11576" t="s">
        <v>12</v>
      </c>
      <c r="F11576">
        <v>220025503</v>
      </c>
      <c r="G11576">
        <v>220025545</v>
      </c>
      <c r="H11576">
        <v>220025548</v>
      </c>
      <c r="I11576">
        <v>220025577</v>
      </c>
    </row>
    <row r="11577" spans="1:9" x14ac:dyDescent="0.2">
      <c r="A11577" s="1" t="str">
        <f>"NHLH1"</f>
        <v>NHLH1</v>
      </c>
      <c r="B11577" t="s">
        <v>14</v>
      </c>
      <c r="C11577" t="s">
        <v>19</v>
      </c>
      <c r="D11577" t="s">
        <v>17</v>
      </c>
      <c r="E11577" t="s">
        <v>12</v>
      </c>
      <c r="F11577">
        <v>160336851</v>
      </c>
      <c r="G11577">
        <v>160336868</v>
      </c>
      <c r="H11577">
        <v>160336929</v>
      </c>
      <c r="I11577">
        <v>160336938</v>
      </c>
    </row>
    <row r="11578" spans="1:9" x14ac:dyDescent="0.2">
      <c r="A11578" s="1" t="str">
        <f>"NHLH2"</f>
        <v>NHLH2</v>
      </c>
      <c r="B11578" t="s">
        <v>14</v>
      </c>
      <c r="C11578" t="s">
        <v>19</v>
      </c>
      <c r="D11578" t="s">
        <v>11</v>
      </c>
      <c r="E11578" t="s">
        <v>12</v>
      </c>
      <c r="F11578">
        <v>116383738</v>
      </c>
      <c r="G11578">
        <v>116383752</v>
      </c>
      <c r="H11578">
        <v>116383738</v>
      </c>
      <c r="I11578">
        <v>116383752</v>
      </c>
    </row>
    <row r="11579" spans="1:9" x14ac:dyDescent="0.2">
      <c r="A11579" s="1" t="str">
        <f>"NHLRC1"</f>
        <v>NHLRC1</v>
      </c>
      <c r="B11579" t="s">
        <v>14</v>
      </c>
      <c r="C11579" t="s">
        <v>32</v>
      </c>
      <c r="D11579" t="s">
        <v>11</v>
      </c>
      <c r="E11579" t="s">
        <v>12</v>
      </c>
      <c r="F11579">
        <v>18122843</v>
      </c>
      <c r="G11579">
        <v>18122916</v>
      </c>
      <c r="H11579">
        <v>18122630</v>
      </c>
      <c r="I11579">
        <v>18122651</v>
      </c>
    </row>
    <row r="11580" spans="1:9" x14ac:dyDescent="0.2">
      <c r="A11580" s="1" t="str">
        <f>"NHLRC2"</f>
        <v>NHLRC2</v>
      </c>
      <c r="B11580" t="s">
        <v>14</v>
      </c>
      <c r="C11580" t="s">
        <v>15</v>
      </c>
      <c r="D11580" t="s">
        <v>17</v>
      </c>
      <c r="E11580" t="s">
        <v>12</v>
      </c>
      <c r="F11580">
        <v>115614370</v>
      </c>
      <c r="G11580">
        <v>115614436</v>
      </c>
      <c r="H11580">
        <v>115614611</v>
      </c>
      <c r="I11580">
        <v>115614623</v>
      </c>
    </row>
    <row r="11581" spans="1:9" x14ac:dyDescent="0.2">
      <c r="A11581" s="1" t="str">
        <f>"NHLRC3"</f>
        <v>NHLRC3</v>
      </c>
      <c r="B11581" t="s">
        <v>14</v>
      </c>
      <c r="C11581" t="s">
        <v>39</v>
      </c>
      <c r="D11581" t="s">
        <v>17</v>
      </c>
      <c r="E11581" t="s">
        <v>12</v>
      </c>
      <c r="F11581">
        <v>39612485</v>
      </c>
      <c r="G11581">
        <v>39612599</v>
      </c>
      <c r="H11581">
        <v>39612442</v>
      </c>
      <c r="I11581">
        <v>39612482</v>
      </c>
    </row>
    <row r="11582" spans="1:9" x14ac:dyDescent="0.2">
      <c r="A11582" s="1" t="str">
        <f>"NHLRC4"</f>
        <v>NHLRC4</v>
      </c>
      <c r="B11582" t="s">
        <v>14</v>
      </c>
      <c r="C11582" t="s">
        <v>31</v>
      </c>
      <c r="D11582" t="s">
        <v>17</v>
      </c>
      <c r="E11582" t="s">
        <v>12</v>
      </c>
      <c r="F11582">
        <v>616999</v>
      </c>
      <c r="G11582">
        <v>617041</v>
      </c>
      <c r="H11582">
        <v>616999</v>
      </c>
      <c r="I11582">
        <v>617041</v>
      </c>
    </row>
    <row r="11583" spans="1:9" x14ac:dyDescent="0.2">
      <c r="A11583" s="1" t="str">
        <f>"NHP2"</f>
        <v>NHP2</v>
      </c>
      <c r="B11583" t="s">
        <v>14</v>
      </c>
      <c r="C11583" t="s">
        <v>46</v>
      </c>
      <c r="D11583" t="s">
        <v>11</v>
      </c>
      <c r="E11583" t="s">
        <v>12</v>
      </c>
      <c r="F11583">
        <v>177580855</v>
      </c>
      <c r="G11583">
        <v>177580927</v>
      </c>
      <c r="H11583">
        <v>177580933</v>
      </c>
      <c r="I11583">
        <v>177580947</v>
      </c>
    </row>
    <row r="11584" spans="1:9" x14ac:dyDescent="0.2">
      <c r="A11584" s="1" t="str">
        <f>"NHP2L1"</f>
        <v>NHP2L1</v>
      </c>
      <c r="B11584" t="s">
        <v>14</v>
      </c>
      <c r="C11584" t="s">
        <v>21</v>
      </c>
      <c r="D11584" t="s">
        <v>11</v>
      </c>
      <c r="E11584" t="s">
        <v>12</v>
      </c>
      <c r="F11584">
        <v>42084815</v>
      </c>
      <c r="G11584">
        <v>42084862</v>
      </c>
      <c r="H11584">
        <v>42084863</v>
      </c>
      <c r="I11584">
        <v>42084905</v>
      </c>
    </row>
    <row r="11585" spans="1:9" x14ac:dyDescent="0.2">
      <c r="A11585" s="1" t="str">
        <f>"NHS"</f>
        <v>NHS</v>
      </c>
      <c r="B11585" t="s">
        <v>14</v>
      </c>
      <c r="C11585" t="s">
        <v>37</v>
      </c>
      <c r="D11585" t="s">
        <v>17</v>
      </c>
      <c r="E11585" t="s">
        <v>12</v>
      </c>
      <c r="F11585">
        <v>17393355</v>
      </c>
      <c r="G11585">
        <v>17393388</v>
      </c>
      <c r="H11585">
        <v>17393355</v>
      </c>
      <c r="I11585">
        <v>17393388</v>
      </c>
    </row>
    <row r="11586" spans="1:9" x14ac:dyDescent="0.2">
      <c r="A11586" s="1" t="str">
        <f>"NHSL1"</f>
        <v>NHSL1</v>
      </c>
      <c r="B11586" t="s">
        <v>9</v>
      </c>
      <c r="C11586" t="s">
        <v>32</v>
      </c>
      <c r="D11586" t="s">
        <v>11</v>
      </c>
      <c r="E11586" t="s">
        <v>12</v>
      </c>
      <c r="F11586">
        <v>138820555</v>
      </c>
      <c r="G11586">
        <v>138820597</v>
      </c>
      <c r="H11586">
        <v>138820555</v>
      </c>
      <c r="I11586">
        <v>138820597</v>
      </c>
    </row>
    <row r="11587" spans="1:9" x14ac:dyDescent="0.2">
      <c r="A11587" s="1" t="str">
        <f>"NHSL1"</f>
        <v>NHSL1</v>
      </c>
      <c r="B11587" t="s">
        <v>13</v>
      </c>
      <c r="C11587" t="s">
        <v>32</v>
      </c>
      <c r="D11587" t="s">
        <v>11</v>
      </c>
      <c r="E11587" t="s">
        <v>12</v>
      </c>
      <c r="F11587">
        <v>138866863</v>
      </c>
      <c r="G11587">
        <v>138866887</v>
      </c>
      <c r="H11587">
        <v>138866863</v>
      </c>
      <c r="I11587">
        <v>138866887</v>
      </c>
    </row>
    <row r="11588" spans="1:9" x14ac:dyDescent="0.2">
      <c r="A11588" s="1" t="str">
        <f>"NHSL2"</f>
        <v>NHSL2</v>
      </c>
      <c r="B11588" t="s">
        <v>14</v>
      </c>
      <c r="C11588" t="s">
        <v>37</v>
      </c>
      <c r="D11588" t="s">
        <v>17</v>
      </c>
      <c r="E11588" t="s">
        <v>12</v>
      </c>
      <c r="F11588">
        <v>71130683</v>
      </c>
      <c r="G11588">
        <v>71130702</v>
      </c>
      <c r="H11588">
        <v>71130762</v>
      </c>
      <c r="I11588">
        <v>71130775</v>
      </c>
    </row>
    <row r="11589" spans="1:9" x14ac:dyDescent="0.2">
      <c r="A11589" s="1" t="str">
        <f>"NICN1"</f>
        <v>NICN1</v>
      </c>
      <c r="B11589" t="s">
        <v>14</v>
      </c>
      <c r="C11589" t="s">
        <v>22</v>
      </c>
      <c r="D11589" t="s">
        <v>11</v>
      </c>
      <c r="E11589" t="s">
        <v>12</v>
      </c>
      <c r="F11589">
        <v>49466686</v>
      </c>
      <c r="G11589">
        <v>49466764</v>
      </c>
      <c r="H11589">
        <v>49466569</v>
      </c>
      <c r="I11589">
        <v>49466576</v>
      </c>
    </row>
    <row r="11590" spans="1:9" x14ac:dyDescent="0.2">
      <c r="A11590" s="1" t="str">
        <f>"NID1"</f>
        <v>NID1</v>
      </c>
      <c r="B11590" t="s">
        <v>14</v>
      </c>
      <c r="C11590" t="s">
        <v>19</v>
      </c>
      <c r="D11590" t="s">
        <v>11</v>
      </c>
      <c r="E11590" t="s">
        <v>12</v>
      </c>
      <c r="F11590">
        <v>236228379</v>
      </c>
      <c r="G11590">
        <v>236228402</v>
      </c>
      <c r="H11590">
        <v>236228417</v>
      </c>
      <c r="I11590">
        <v>236228446</v>
      </c>
    </row>
    <row r="11591" spans="1:9" x14ac:dyDescent="0.2">
      <c r="A11591" s="1" t="str">
        <f>"NID2"</f>
        <v>NID2</v>
      </c>
      <c r="B11591" t="s">
        <v>14</v>
      </c>
      <c r="C11591" t="s">
        <v>41</v>
      </c>
      <c r="D11591" t="s">
        <v>11</v>
      </c>
      <c r="E11591" t="s">
        <v>12</v>
      </c>
      <c r="F11591">
        <v>52535757</v>
      </c>
      <c r="G11591">
        <v>52535831</v>
      </c>
      <c r="H11591">
        <v>52535726</v>
      </c>
      <c r="I11591">
        <v>52535753</v>
      </c>
    </row>
    <row r="11592" spans="1:9" x14ac:dyDescent="0.2">
      <c r="A11592" s="1" t="str">
        <f>"NIF3L1"</f>
        <v>NIF3L1</v>
      </c>
      <c r="B11592" t="s">
        <v>14</v>
      </c>
      <c r="C11592" t="s">
        <v>26</v>
      </c>
      <c r="D11592" t="s">
        <v>17</v>
      </c>
      <c r="E11592" t="s">
        <v>12</v>
      </c>
      <c r="F11592">
        <v>201754056</v>
      </c>
      <c r="G11592">
        <v>201754130</v>
      </c>
      <c r="H11592">
        <v>201754135</v>
      </c>
      <c r="I11592">
        <v>201754168</v>
      </c>
    </row>
    <row r="11593" spans="1:9" x14ac:dyDescent="0.2">
      <c r="A11593" s="1" t="str">
        <f>"NIM1"</f>
        <v>NIM1</v>
      </c>
      <c r="B11593" t="s">
        <v>14</v>
      </c>
      <c r="C11593" t="s">
        <v>46</v>
      </c>
      <c r="D11593" t="s">
        <v>17</v>
      </c>
      <c r="E11593" t="s">
        <v>12</v>
      </c>
      <c r="F11593">
        <v>43192311</v>
      </c>
      <c r="G11593">
        <v>43192384</v>
      </c>
      <c r="H11593">
        <v>43192144</v>
      </c>
      <c r="I11593">
        <v>43192191</v>
      </c>
    </row>
    <row r="11594" spans="1:9" x14ac:dyDescent="0.2">
      <c r="A11594" s="1" t="str">
        <f>"NIN"</f>
        <v>NIN</v>
      </c>
      <c r="B11594" t="s">
        <v>14</v>
      </c>
      <c r="C11594" t="s">
        <v>41</v>
      </c>
      <c r="D11594" t="s">
        <v>11</v>
      </c>
      <c r="E11594" t="s">
        <v>12</v>
      </c>
      <c r="F11594">
        <v>51297837</v>
      </c>
      <c r="G11594">
        <v>51297887</v>
      </c>
      <c r="H11594">
        <v>51297360</v>
      </c>
      <c r="I11594">
        <v>51297408</v>
      </c>
    </row>
    <row r="11595" spans="1:9" x14ac:dyDescent="0.2">
      <c r="A11595" s="1" t="str">
        <f>"NINJ1"</f>
        <v>NINJ1</v>
      </c>
      <c r="B11595" t="s">
        <v>14</v>
      </c>
      <c r="C11595" t="s">
        <v>24</v>
      </c>
      <c r="D11595" t="s">
        <v>11</v>
      </c>
      <c r="E11595" t="s">
        <v>12</v>
      </c>
      <c r="F11595">
        <v>95896516</v>
      </c>
      <c r="G11595">
        <v>95896543</v>
      </c>
      <c r="H11595">
        <v>95896550</v>
      </c>
      <c r="I11595">
        <v>95896561</v>
      </c>
    </row>
    <row r="11596" spans="1:9" x14ac:dyDescent="0.2">
      <c r="A11596" s="1" t="str">
        <f>"NINJ2"</f>
        <v>NINJ2</v>
      </c>
      <c r="B11596" t="s">
        <v>9</v>
      </c>
      <c r="C11596" t="s">
        <v>16</v>
      </c>
      <c r="D11596" t="s">
        <v>11</v>
      </c>
      <c r="E11596" t="s">
        <v>12</v>
      </c>
      <c r="F11596">
        <v>752786</v>
      </c>
      <c r="G11596">
        <v>752823</v>
      </c>
      <c r="H11596">
        <v>752786</v>
      </c>
      <c r="I11596">
        <v>752823</v>
      </c>
    </row>
    <row r="11597" spans="1:9" x14ac:dyDescent="0.2">
      <c r="A11597" s="1" t="str">
        <f>"NINJ2"</f>
        <v>NINJ2</v>
      </c>
      <c r="B11597" t="s">
        <v>13</v>
      </c>
      <c r="C11597" t="s">
        <v>16</v>
      </c>
      <c r="D11597" t="s">
        <v>11</v>
      </c>
      <c r="E11597" t="s">
        <v>12</v>
      </c>
      <c r="F11597">
        <v>772568</v>
      </c>
      <c r="G11597">
        <v>772583</v>
      </c>
      <c r="H11597">
        <v>772568</v>
      </c>
      <c r="I11597">
        <v>772583</v>
      </c>
    </row>
    <row r="11598" spans="1:9" x14ac:dyDescent="0.2">
      <c r="A11598" s="1" t="str">
        <f>"NINL"</f>
        <v>NINL</v>
      </c>
      <c r="B11598" t="s">
        <v>14</v>
      </c>
      <c r="C11598" t="s">
        <v>29</v>
      </c>
      <c r="D11598" t="s">
        <v>11</v>
      </c>
      <c r="E11598" t="s">
        <v>12</v>
      </c>
      <c r="F11598">
        <v>25566158</v>
      </c>
      <c r="G11598">
        <v>25566211</v>
      </c>
      <c r="H11598">
        <v>25566158</v>
      </c>
      <c r="I11598">
        <v>25566211</v>
      </c>
    </row>
    <row r="11599" spans="1:9" x14ac:dyDescent="0.2">
      <c r="A11599" s="1" t="str">
        <f>"NIP7"</f>
        <v>NIP7</v>
      </c>
      <c r="B11599" t="s">
        <v>14</v>
      </c>
      <c r="C11599" t="s">
        <v>31</v>
      </c>
      <c r="D11599" t="s">
        <v>17</v>
      </c>
      <c r="E11599" t="s">
        <v>12</v>
      </c>
      <c r="F11599">
        <v>69373661</v>
      </c>
      <c r="G11599">
        <v>69373711</v>
      </c>
      <c r="H11599">
        <v>69373529</v>
      </c>
      <c r="I11599">
        <v>69373601</v>
      </c>
    </row>
    <row r="11600" spans="1:9" x14ac:dyDescent="0.2">
      <c r="A11600" s="1" t="str">
        <f>"NIPA1"</f>
        <v>NIPA1</v>
      </c>
      <c r="B11600" t="s">
        <v>14</v>
      </c>
      <c r="C11600" t="s">
        <v>25</v>
      </c>
      <c r="D11600" t="s">
        <v>11</v>
      </c>
      <c r="E11600" t="s">
        <v>12</v>
      </c>
      <c r="F11600">
        <v>23086394</v>
      </c>
      <c r="G11600">
        <v>23086457</v>
      </c>
      <c r="H11600">
        <v>23086259</v>
      </c>
      <c r="I11600">
        <v>23086333</v>
      </c>
    </row>
    <row r="11601" spans="1:9" x14ac:dyDescent="0.2">
      <c r="A11601" s="1" t="str">
        <f>"NIPA2"</f>
        <v>NIPA2</v>
      </c>
      <c r="B11601" t="s">
        <v>14</v>
      </c>
      <c r="C11601" t="s">
        <v>25</v>
      </c>
      <c r="D11601" t="s">
        <v>11</v>
      </c>
      <c r="E11601" t="s">
        <v>12</v>
      </c>
      <c r="F11601">
        <v>23034322</v>
      </c>
      <c r="G11601">
        <v>23034432</v>
      </c>
      <c r="H11601">
        <v>23034271</v>
      </c>
      <c r="I11601">
        <v>23034285</v>
      </c>
    </row>
    <row r="11602" spans="1:9" x14ac:dyDescent="0.2">
      <c r="A11602" s="1" t="str">
        <f>"NIPAL1"</f>
        <v>NIPAL1</v>
      </c>
      <c r="B11602" t="s">
        <v>14</v>
      </c>
      <c r="C11602" t="s">
        <v>23</v>
      </c>
      <c r="D11602" t="s">
        <v>17</v>
      </c>
      <c r="E11602" t="s">
        <v>12</v>
      </c>
      <c r="F11602">
        <v>48018781</v>
      </c>
      <c r="G11602">
        <v>48018816</v>
      </c>
      <c r="H11602">
        <v>48018781</v>
      </c>
      <c r="I11602">
        <v>48018816</v>
      </c>
    </row>
    <row r="11603" spans="1:9" x14ac:dyDescent="0.2">
      <c r="A11603" s="1" t="str">
        <f>"NIPAL2"</f>
        <v>NIPAL2</v>
      </c>
      <c r="B11603" t="s">
        <v>14</v>
      </c>
      <c r="C11603" t="s">
        <v>30</v>
      </c>
      <c r="D11603" t="s">
        <v>11</v>
      </c>
      <c r="E11603" t="s">
        <v>12</v>
      </c>
      <c r="F11603">
        <v>99306423</v>
      </c>
      <c r="G11603">
        <v>99306472</v>
      </c>
      <c r="H11603">
        <v>99306566</v>
      </c>
      <c r="I11603">
        <v>99306607</v>
      </c>
    </row>
    <row r="11604" spans="1:9" x14ac:dyDescent="0.2">
      <c r="A11604" s="1" t="str">
        <f>"NIPAL3"</f>
        <v>NIPAL3</v>
      </c>
      <c r="B11604" t="s">
        <v>14</v>
      </c>
      <c r="C11604" t="s">
        <v>19</v>
      </c>
      <c r="D11604" t="s">
        <v>17</v>
      </c>
      <c r="E11604" t="s">
        <v>12</v>
      </c>
      <c r="F11604">
        <v>24742264</v>
      </c>
      <c r="G11604">
        <v>24742312</v>
      </c>
      <c r="H11604">
        <v>24742339</v>
      </c>
      <c r="I11604">
        <v>24742359</v>
      </c>
    </row>
    <row r="11605" spans="1:9" x14ac:dyDescent="0.2">
      <c r="A11605" s="1" t="str">
        <f>"NIPAL4"</f>
        <v>NIPAL4</v>
      </c>
      <c r="B11605" t="s">
        <v>14</v>
      </c>
      <c r="C11605" t="s">
        <v>46</v>
      </c>
      <c r="D11605" t="s">
        <v>17</v>
      </c>
      <c r="E11605" t="s">
        <v>12</v>
      </c>
      <c r="F11605">
        <v>156887204</v>
      </c>
      <c r="G11605">
        <v>156887239</v>
      </c>
      <c r="H11605">
        <v>156887244</v>
      </c>
      <c r="I11605">
        <v>156887258</v>
      </c>
    </row>
    <row r="11606" spans="1:9" x14ac:dyDescent="0.2">
      <c r="A11606" s="1" t="str">
        <f>"NIPBL"</f>
        <v>NIPBL</v>
      </c>
      <c r="B11606" t="s">
        <v>14</v>
      </c>
      <c r="C11606" t="s">
        <v>46</v>
      </c>
      <c r="D11606" t="s">
        <v>17</v>
      </c>
      <c r="E11606" t="s">
        <v>12</v>
      </c>
      <c r="F11606">
        <v>36876926</v>
      </c>
      <c r="G11606">
        <v>36876994</v>
      </c>
      <c r="H11606">
        <v>36876833</v>
      </c>
      <c r="I11606">
        <v>36876894</v>
      </c>
    </row>
    <row r="11607" spans="1:9" x14ac:dyDescent="0.2">
      <c r="A11607" s="1" t="str">
        <f>"NIPSNAP1"</f>
        <v>NIPSNAP1</v>
      </c>
      <c r="B11607" t="s">
        <v>14</v>
      </c>
      <c r="C11607" t="s">
        <v>21</v>
      </c>
      <c r="D11607" t="s">
        <v>11</v>
      </c>
      <c r="E11607" t="s">
        <v>12</v>
      </c>
      <c r="F11607">
        <v>29977073</v>
      </c>
      <c r="G11607">
        <v>29977108</v>
      </c>
      <c r="H11607">
        <v>29977117</v>
      </c>
      <c r="I11607">
        <v>29977123</v>
      </c>
    </row>
    <row r="11608" spans="1:9" x14ac:dyDescent="0.2">
      <c r="A11608" s="1" t="str">
        <f>"NIPSNAP3A"</f>
        <v>NIPSNAP3A</v>
      </c>
      <c r="B11608" t="s">
        <v>14</v>
      </c>
      <c r="C11608" t="s">
        <v>24</v>
      </c>
      <c r="D11608" t="s">
        <v>17</v>
      </c>
      <c r="E11608" t="s">
        <v>12</v>
      </c>
      <c r="F11608">
        <v>107509990</v>
      </c>
      <c r="G11608">
        <v>107510053</v>
      </c>
      <c r="H11608">
        <v>107509944</v>
      </c>
      <c r="I11608">
        <v>107509986</v>
      </c>
    </row>
    <row r="11609" spans="1:9" x14ac:dyDescent="0.2">
      <c r="A11609" s="1" t="str">
        <f>"NIPSNAP3B"</f>
        <v>NIPSNAP3B</v>
      </c>
      <c r="B11609" t="s">
        <v>14</v>
      </c>
      <c r="C11609" t="s">
        <v>24</v>
      </c>
      <c r="D11609" t="s">
        <v>17</v>
      </c>
      <c r="E11609" t="s">
        <v>12</v>
      </c>
      <c r="F11609">
        <v>107526443</v>
      </c>
      <c r="G11609">
        <v>107526477</v>
      </c>
      <c r="H11609">
        <v>107526404</v>
      </c>
      <c r="I11609">
        <v>107526430</v>
      </c>
    </row>
    <row r="11610" spans="1:9" x14ac:dyDescent="0.2">
      <c r="A11610" s="1" t="str">
        <f>"NISCH"</f>
        <v>NISCH</v>
      </c>
      <c r="B11610" t="s">
        <v>14</v>
      </c>
      <c r="C11610" t="s">
        <v>22</v>
      </c>
      <c r="D11610" t="s">
        <v>17</v>
      </c>
      <c r="E11610" t="s">
        <v>12</v>
      </c>
      <c r="F11610">
        <v>52489606</v>
      </c>
      <c r="G11610">
        <v>52489654</v>
      </c>
      <c r="H11610">
        <v>52489503</v>
      </c>
      <c r="I11610">
        <v>52489540</v>
      </c>
    </row>
    <row r="11611" spans="1:9" x14ac:dyDescent="0.2">
      <c r="A11611" s="1" t="str">
        <f>"NIT1"</f>
        <v>NIT1</v>
      </c>
      <c r="B11611" t="s">
        <v>14</v>
      </c>
      <c r="C11611" t="s">
        <v>19</v>
      </c>
      <c r="D11611" t="s">
        <v>17</v>
      </c>
      <c r="E11611" t="s">
        <v>12</v>
      </c>
      <c r="F11611">
        <v>161087873</v>
      </c>
      <c r="G11611">
        <v>161087925</v>
      </c>
      <c r="H11611">
        <v>161087390</v>
      </c>
      <c r="I11611">
        <v>161087425</v>
      </c>
    </row>
    <row r="11612" spans="1:9" x14ac:dyDescent="0.2">
      <c r="A11612" s="1" t="str">
        <f>"NIT2"</f>
        <v>NIT2</v>
      </c>
      <c r="B11612" t="s">
        <v>14</v>
      </c>
      <c r="C11612" t="s">
        <v>22</v>
      </c>
      <c r="D11612" t="s">
        <v>17</v>
      </c>
      <c r="E11612" t="s">
        <v>12</v>
      </c>
      <c r="F11612">
        <v>100053542</v>
      </c>
      <c r="G11612">
        <v>100053611</v>
      </c>
      <c r="H11612">
        <v>100053625</v>
      </c>
      <c r="I11612">
        <v>100053634</v>
      </c>
    </row>
    <row r="11613" spans="1:9" x14ac:dyDescent="0.2">
      <c r="A11613" s="1" t="str">
        <f>"NKAIN1"</f>
        <v>NKAIN1</v>
      </c>
      <c r="B11613" t="s">
        <v>14</v>
      </c>
      <c r="C11613" t="s">
        <v>19</v>
      </c>
      <c r="D11613" t="s">
        <v>11</v>
      </c>
      <c r="E11613" t="s">
        <v>12</v>
      </c>
      <c r="F11613">
        <v>31712727</v>
      </c>
      <c r="G11613">
        <v>31712756</v>
      </c>
      <c r="H11613">
        <v>31712757</v>
      </c>
      <c r="I11613">
        <v>31712839</v>
      </c>
    </row>
    <row r="11614" spans="1:9" x14ac:dyDescent="0.2">
      <c r="A11614" s="1" t="str">
        <f>"NKAIN2"</f>
        <v>NKAIN2</v>
      </c>
      <c r="B11614" t="s">
        <v>14</v>
      </c>
      <c r="C11614" t="s">
        <v>32</v>
      </c>
      <c r="D11614" t="s">
        <v>17</v>
      </c>
      <c r="E11614" t="s">
        <v>12</v>
      </c>
      <c r="F11614">
        <v>124125310</v>
      </c>
      <c r="G11614">
        <v>124125362</v>
      </c>
      <c r="H11614">
        <v>124124712</v>
      </c>
      <c r="I11614">
        <v>124124731</v>
      </c>
    </row>
    <row r="11615" spans="1:9" x14ac:dyDescent="0.2">
      <c r="A11615" s="1" t="str">
        <f>"NKAIN3"</f>
        <v>NKAIN3</v>
      </c>
      <c r="B11615" t="s">
        <v>14</v>
      </c>
      <c r="C11615" t="s">
        <v>30</v>
      </c>
      <c r="D11615" t="s">
        <v>17</v>
      </c>
      <c r="E11615" t="s">
        <v>12</v>
      </c>
      <c r="F11615">
        <v>63161400</v>
      </c>
      <c r="G11615">
        <v>63161421</v>
      </c>
      <c r="H11615">
        <v>63161491</v>
      </c>
      <c r="I11615">
        <v>63161506</v>
      </c>
    </row>
    <row r="11616" spans="1:9" x14ac:dyDescent="0.2">
      <c r="A11616" s="1" t="str">
        <f>"NKAIN4"</f>
        <v>NKAIN4</v>
      </c>
      <c r="B11616" t="s">
        <v>9</v>
      </c>
      <c r="C11616" t="s">
        <v>29</v>
      </c>
      <c r="D11616" t="s">
        <v>11</v>
      </c>
      <c r="E11616" t="s">
        <v>12</v>
      </c>
      <c r="F11616">
        <v>61885781</v>
      </c>
      <c r="G11616">
        <v>61885822</v>
      </c>
      <c r="H11616">
        <v>61885781</v>
      </c>
      <c r="I11616">
        <v>61885822</v>
      </c>
    </row>
    <row r="11617" spans="1:9" x14ac:dyDescent="0.2">
      <c r="A11617" s="1" t="str">
        <f>"NKAIN4"</f>
        <v>NKAIN4</v>
      </c>
      <c r="B11617" t="s">
        <v>13</v>
      </c>
      <c r="C11617" t="s">
        <v>29</v>
      </c>
      <c r="D11617" t="s">
        <v>11</v>
      </c>
      <c r="E11617" t="s">
        <v>12</v>
      </c>
      <c r="F11617">
        <v>61904061</v>
      </c>
      <c r="G11617">
        <v>61904101</v>
      </c>
      <c r="H11617">
        <v>61904061</v>
      </c>
      <c r="I11617">
        <v>61904101</v>
      </c>
    </row>
    <row r="11618" spans="1:9" x14ac:dyDescent="0.2">
      <c r="A11618" s="1" t="str">
        <f>"NKAP"</f>
        <v>NKAP</v>
      </c>
      <c r="B11618" t="s">
        <v>14</v>
      </c>
      <c r="C11618" t="s">
        <v>37</v>
      </c>
      <c r="D11618" t="s">
        <v>11</v>
      </c>
      <c r="E11618" t="s">
        <v>12</v>
      </c>
      <c r="F11618">
        <v>119077695</v>
      </c>
      <c r="G11618">
        <v>119077757</v>
      </c>
      <c r="H11618">
        <v>119077582</v>
      </c>
      <c r="I11618">
        <v>119077616</v>
      </c>
    </row>
    <row r="11619" spans="1:9" x14ac:dyDescent="0.2">
      <c r="A11619" s="1" t="str">
        <f>"NKAPL"</f>
        <v>NKAPL</v>
      </c>
      <c r="B11619" t="s">
        <v>14</v>
      </c>
      <c r="C11619" t="s">
        <v>32</v>
      </c>
      <c r="D11619" t="s">
        <v>17</v>
      </c>
      <c r="E11619" t="s">
        <v>12</v>
      </c>
      <c r="F11619">
        <v>28227063</v>
      </c>
      <c r="G11619">
        <v>28227117</v>
      </c>
      <c r="H11619">
        <v>28227118</v>
      </c>
      <c r="I11619">
        <v>28227126</v>
      </c>
    </row>
    <row r="11620" spans="1:9" x14ac:dyDescent="0.2">
      <c r="A11620" s="1" t="str">
        <f>"NKD1"</f>
        <v>NKD1</v>
      </c>
      <c r="B11620" t="s">
        <v>14</v>
      </c>
      <c r="C11620" t="s">
        <v>31</v>
      </c>
      <c r="D11620" t="s">
        <v>17</v>
      </c>
      <c r="E11620" t="s">
        <v>12</v>
      </c>
      <c r="F11620">
        <v>50582298</v>
      </c>
      <c r="G11620">
        <v>50582316</v>
      </c>
      <c r="H11620">
        <v>50582222</v>
      </c>
      <c r="I11620">
        <v>50582230</v>
      </c>
    </row>
    <row r="11621" spans="1:9" x14ac:dyDescent="0.2">
      <c r="A11621" s="1" t="str">
        <f>"NKD2"</f>
        <v>NKD2</v>
      </c>
      <c r="B11621" t="s">
        <v>14</v>
      </c>
      <c r="C11621" t="s">
        <v>46</v>
      </c>
      <c r="D11621" t="s">
        <v>17</v>
      </c>
      <c r="E11621" t="s">
        <v>12</v>
      </c>
      <c r="F11621">
        <v>1008910</v>
      </c>
      <c r="G11621">
        <v>1008924</v>
      </c>
      <c r="H11621">
        <v>1008686</v>
      </c>
      <c r="I11621">
        <v>1008703</v>
      </c>
    </row>
    <row r="11622" spans="1:9" x14ac:dyDescent="0.2">
      <c r="A11622" s="1" t="str">
        <f>"NKG7"</f>
        <v>NKG7</v>
      </c>
      <c r="B11622" t="s">
        <v>14</v>
      </c>
      <c r="C11622" t="s">
        <v>10</v>
      </c>
      <c r="D11622" t="s">
        <v>11</v>
      </c>
      <c r="E11622" t="s">
        <v>12</v>
      </c>
      <c r="F11622">
        <v>51875894</v>
      </c>
      <c r="G11622">
        <v>51875975</v>
      </c>
      <c r="H11622">
        <v>51875894</v>
      </c>
      <c r="I11622">
        <v>51875975</v>
      </c>
    </row>
    <row r="11623" spans="1:9" x14ac:dyDescent="0.2">
      <c r="A11623" s="1" t="str">
        <f>"NKIRAS1"</f>
        <v>NKIRAS1</v>
      </c>
      <c r="B11623" t="s">
        <v>14</v>
      </c>
      <c r="C11623" t="s">
        <v>22</v>
      </c>
      <c r="D11623" t="s">
        <v>11</v>
      </c>
      <c r="E11623" t="s">
        <v>12</v>
      </c>
      <c r="F11623">
        <v>23958402</v>
      </c>
      <c r="G11623">
        <v>23958488</v>
      </c>
      <c r="H11623">
        <v>23958506</v>
      </c>
      <c r="I11623">
        <v>23958550</v>
      </c>
    </row>
    <row r="11624" spans="1:9" x14ac:dyDescent="0.2">
      <c r="A11624" s="1" t="str">
        <f>"NKIRAS2"</f>
        <v>NKIRAS2</v>
      </c>
      <c r="B11624" t="s">
        <v>14</v>
      </c>
      <c r="C11624" t="s">
        <v>28</v>
      </c>
      <c r="D11624" t="s">
        <v>17</v>
      </c>
      <c r="E11624" t="s">
        <v>12</v>
      </c>
      <c r="F11624">
        <v>40172097</v>
      </c>
      <c r="G11624">
        <v>40172175</v>
      </c>
      <c r="H11624">
        <v>40172084</v>
      </c>
      <c r="I11624">
        <v>40172095</v>
      </c>
    </row>
    <row r="11625" spans="1:9" x14ac:dyDescent="0.2">
      <c r="A11625" s="1" t="str">
        <f>"NKPD1"</f>
        <v>NKPD1</v>
      </c>
      <c r="B11625" t="s">
        <v>14</v>
      </c>
      <c r="C11625" t="s">
        <v>10</v>
      </c>
      <c r="D11625" t="s">
        <v>11</v>
      </c>
      <c r="E11625" t="s">
        <v>12</v>
      </c>
      <c r="F11625">
        <v>45657034</v>
      </c>
      <c r="G11625">
        <v>45657044</v>
      </c>
      <c r="H11625">
        <v>45657034</v>
      </c>
      <c r="I11625">
        <v>45657044</v>
      </c>
    </row>
    <row r="11626" spans="1:9" x14ac:dyDescent="0.2">
      <c r="A11626" s="1" t="str">
        <f>"NKRF"</f>
        <v>NKRF</v>
      </c>
      <c r="B11626" t="s">
        <v>14</v>
      </c>
      <c r="C11626" t="s">
        <v>37</v>
      </c>
      <c r="D11626" t="s">
        <v>11</v>
      </c>
      <c r="E11626" t="s">
        <v>12</v>
      </c>
      <c r="F11626">
        <v>118739835</v>
      </c>
      <c r="G11626">
        <v>118739862</v>
      </c>
      <c r="H11626">
        <v>118739782</v>
      </c>
      <c r="I11626">
        <v>118739829</v>
      </c>
    </row>
    <row r="11627" spans="1:9" x14ac:dyDescent="0.2">
      <c r="A11627" s="1" t="str">
        <f>"NKTR"</f>
        <v>NKTR</v>
      </c>
      <c r="B11627" t="s">
        <v>14</v>
      </c>
      <c r="C11627" t="s">
        <v>22</v>
      </c>
      <c r="D11627" t="s">
        <v>17</v>
      </c>
      <c r="E11627" t="s">
        <v>12</v>
      </c>
      <c r="F11627">
        <v>42642138</v>
      </c>
      <c r="G11627">
        <v>42642200</v>
      </c>
      <c r="H11627">
        <v>42642444</v>
      </c>
      <c r="I11627">
        <v>42642491</v>
      </c>
    </row>
    <row r="11628" spans="1:9" x14ac:dyDescent="0.2">
      <c r="A11628" s="1" t="str">
        <f>"NKX1-1"</f>
        <v>NKX1-1</v>
      </c>
      <c r="B11628" t="s">
        <v>865</v>
      </c>
      <c r="C11628" t="s">
        <v>23</v>
      </c>
      <c r="D11628" t="s">
        <v>11</v>
      </c>
      <c r="E11628" t="s">
        <v>20</v>
      </c>
      <c r="F11628">
        <v>1400118</v>
      </c>
      <c r="G11628">
        <v>1400118</v>
      </c>
      <c r="H11628">
        <v>1400118</v>
      </c>
      <c r="I11628">
        <v>1400118</v>
      </c>
    </row>
    <row r="11629" spans="1:9" x14ac:dyDescent="0.2">
      <c r="A11629" s="1" t="str">
        <f>"NKX1-2"</f>
        <v>NKX1-2</v>
      </c>
      <c r="B11629" t="s">
        <v>14</v>
      </c>
      <c r="C11629" t="s">
        <v>15</v>
      </c>
      <c r="D11629" t="s">
        <v>11</v>
      </c>
      <c r="E11629" t="s">
        <v>12</v>
      </c>
      <c r="F11629">
        <v>126138597</v>
      </c>
      <c r="G11629">
        <v>126138612</v>
      </c>
      <c r="H11629">
        <v>126138622</v>
      </c>
      <c r="I11629">
        <v>126138638</v>
      </c>
    </row>
    <row r="11630" spans="1:9" x14ac:dyDescent="0.2">
      <c r="A11630" s="1" t="str">
        <f>"NKX2-1"</f>
        <v>NKX2-1</v>
      </c>
      <c r="B11630" t="s">
        <v>14</v>
      </c>
      <c r="C11630" t="s">
        <v>41</v>
      </c>
      <c r="D11630" t="s">
        <v>11</v>
      </c>
      <c r="E11630" t="s">
        <v>12</v>
      </c>
      <c r="F11630">
        <v>36989427</v>
      </c>
      <c r="G11630">
        <v>36989442</v>
      </c>
      <c r="H11630">
        <v>36989940</v>
      </c>
      <c r="I11630">
        <v>36989957</v>
      </c>
    </row>
    <row r="11631" spans="1:9" x14ac:dyDescent="0.2">
      <c r="A11631" s="1" t="str">
        <f>"NKX2-2"</f>
        <v>NKX2-2</v>
      </c>
      <c r="B11631" t="s">
        <v>14</v>
      </c>
      <c r="C11631" t="s">
        <v>29</v>
      </c>
      <c r="D11631" t="s">
        <v>11</v>
      </c>
      <c r="E11631" t="s">
        <v>12</v>
      </c>
      <c r="F11631">
        <v>21494684</v>
      </c>
      <c r="G11631">
        <v>21494708</v>
      </c>
      <c r="H11631">
        <v>21494654</v>
      </c>
      <c r="I11631">
        <v>21494678</v>
      </c>
    </row>
    <row r="11632" spans="1:9" x14ac:dyDescent="0.2">
      <c r="A11632" s="1" t="str">
        <f>"NKX2-3"</f>
        <v>NKX2-3</v>
      </c>
      <c r="B11632" t="s">
        <v>14</v>
      </c>
      <c r="C11632" t="s">
        <v>15</v>
      </c>
      <c r="D11632" t="s">
        <v>17</v>
      </c>
      <c r="E11632" t="s">
        <v>12</v>
      </c>
      <c r="F11632">
        <v>101292684</v>
      </c>
      <c r="G11632">
        <v>101292706</v>
      </c>
      <c r="H11632">
        <v>101292731</v>
      </c>
      <c r="I11632">
        <v>101292741</v>
      </c>
    </row>
    <row r="11633" spans="1:9" x14ac:dyDescent="0.2">
      <c r="A11633" s="1" t="str">
        <f>"NKX2-4"</f>
        <v>NKX2-4</v>
      </c>
      <c r="B11633" t="s">
        <v>14</v>
      </c>
      <c r="C11633" t="s">
        <v>29</v>
      </c>
      <c r="D11633" t="s">
        <v>11</v>
      </c>
      <c r="E11633" t="s">
        <v>12</v>
      </c>
      <c r="F11633">
        <v>21378152</v>
      </c>
      <c r="G11633">
        <v>21378169</v>
      </c>
      <c r="H11633">
        <v>21378152</v>
      </c>
      <c r="I11633">
        <v>21378169</v>
      </c>
    </row>
    <row r="11634" spans="1:9" x14ac:dyDescent="0.2">
      <c r="A11634" s="1" t="str">
        <f>"NKX2-5"</f>
        <v>NKX2-5</v>
      </c>
      <c r="B11634" t="s">
        <v>14</v>
      </c>
      <c r="C11634" t="s">
        <v>46</v>
      </c>
      <c r="D11634" t="s">
        <v>11</v>
      </c>
      <c r="E11634" t="s">
        <v>12</v>
      </c>
      <c r="F11634">
        <v>172662197</v>
      </c>
      <c r="G11634">
        <v>172662216</v>
      </c>
      <c r="H11634">
        <v>172662303</v>
      </c>
      <c r="I11634">
        <v>172662320</v>
      </c>
    </row>
    <row r="11635" spans="1:9" x14ac:dyDescent="0.2">
      <c r="A11635" s="1" t="str">
        <f>"NKX2-6"</f>
        <v>NKX2-6</v>
      </c>
      <c r="B11635" t="s">
        <v>14</v>
      </c>
      <c r="C11635" t="s">
        <v>30</v>
      </c>
      <c r="D11635" t="s">
        <v>11</v>
      </c>
      <c r="E11635" t="s">
        <v>12</v>
      </c>
      <c r="F11635">
        <v>23564065</v>
      </c>
      <c r="G11635">
        <v>23564087</v>
      </c>
      <c r="H11635">
        <v>23564198</v>
      </c>
      <c r="I11635">
        <v>23564204</v>
      </c>
    </row>
    <row r="11636" spans="1:9" x14ac:dyDescent="0.2">
      <c r="A11636" s="1" t="str">
        <f>"NKX2-8"</f>
        <v>NKX2-8</v>
      </c>
      <c r="B11636" t="s">
        <v>14</v>
      </c>
      <c r="C11636" t="s">
        <v>41</v>
      </c>
      <c r="D11636" t="s">
        <v>11</v>
      </c>
      <c r="E11636" t="s">
        <v>12</v>
      </c>
      <c r="F11636">
        <v>37051798</v>
      </c>
      <c r="G11636">
        <v>37051831</v>
      </c>
      <c r="H11636">
        <v>37051600</v>
      </c>
      <c r="I11636">
        <v>37051611</v>
      </c>
    </row>
    <row r="11637" spans="1:9" x14ac:dyDescent="0.2">
      <c r="A11637" s="1" t="str">
        <f>"NKX3-1"</f>
        <v>NKX3-1</v>
      </c>
      <c r="B11637" t="s">
        <v>14</v>
      </c>
      <c r="C11637" t="s">
        <v>30</v>
      </c>
      <c r="D11637" t="s">
        <v>11</v>
      </c>
      <c r="E11637" t="s">
        <v>12</v>
      </c>
      <c r="F11637">
        <v>23540441</v>
      </c>
      <c r="G11637">
        <v>23540466</v>
      </c>
      <c r="H11637">
        <v>23540419</v>
      </c>
      <c r="I11637">
        <v>23540435</v>
      </c>
    </row>
    <row r="11638" spans="1:9" x14ac:dyDescent="0.2">
      <c r="A11638" s="1" t="str">
        <f>"NKX3-2"</f>
        <v>NKX3-2</v>
      </c>
      <c r="B11638" t="s">
        <v>14</v>
      </c>
      <c r="C11638" t="s">
        <v>23</v>
      </c>
      <c r="D11638" t="s">
        <v>11</v>
      </c>
      <c r="E11638" t="s">
        <v>12</v>
      </c>
      <c r="F11638">
        <v>13546632</v>
      </c>
      <c r="G11638">
        <v>13546662</v>
      </c>
      <c r="H11638">
        <v>13546692</v>
      </c>
      <c r="I11638">
        <v>13546701</v>
      </c>
    </row>
    <row r="11639" spans="1:9" x14ac:dyDescent="0.2">
      <c r="A11639" s="1" t="str">
        <f>"NKX6-1"</f>
        <v>NKX6-1</v>
      </c>
      <c r="B11639" t="s">
        <v>14</v>
      </c>
      <c r="C11639" t="s">
        <v>23</v>
      </c>
      <c r="D11639" t="s">
        <v>11</v>
      </c>
      <c r="E11639" t="s">
        <v>12</v>
      </c>
      <c r="F11639">
        <v>85418973</v>
      </c>
      <c r="G11639">
        <v>85419010</v>
      </c>
      <c r="H11639">
        <v>85419420</v>
      </c>
      <c r="I11639">
        <v>85419439</v>
      </c>
    </row>
    <row r="11640" spans="1:9" x14ac:dyDescent="0.2">
      <c r="A11640" s="1" t="str">
        <f>"NKX6-2"</f>
        <v>NKX6-2</v>
      </c>
      <c r="B11640" t="s">
        <v>14</v>
      </c>
      <c r="C11640" t="s">
        <v>15</v>
      </c>
      <c r="D11640" t="s">
        <v>11</v>
      </c>
      <c r="E11640" t="s">
        <v>12</v>
      </c>
      <c r="F11640">
        <v>134599649</v>
      </c>
      <c r="G11640">
        <v>134599653</v>
      </c>
      <c r="H11640">
        <v>134599521</v>
      </c>
      <c r="I11640">
        <v>134599561</v>
      </c>
    </row>
    <row r="11641" spans="1:9" x14ac:dyDescent="0.2">
      <c r="A11641" s="1" t="str">
        <f>"NKX6-3"</f>
        <v>NKX6-3</v>
      </c>
      <c r="B11641" t="s">
        <v>14</v>
      </c>
      <c r="C11641" t="s">
        <v>30</v>
      </c>
      <c r="D11641" t="s">
        <v>11</v>
      </c>
      <c r="E11641" t="s">
        <v>12</v>
      </c>
      <c r="F11641">
        <v>41508327</v>
      </c>
      <c r="G11641">
        <v>41508355</v>
      </c>
      <c r="H11641">
        <v>41508327</v>
      </c>
      <c r="I11641">
        <v>41508355</v>
      </c>
    </row>
    <row r="11642" spans="1:9" x14ac:dyDescent="0.2">
      <c r="A11642" s="1" t="str">
        <f>"NLE1"</f>
        <v>NLE1</v>
      </c>
      <c r="B11642" t="s">
        <v>14</v>
      </c>
      <c r="C11642" t="s">
        <v>28</v>
      </c>
      <c r="D11642" t="s">
        <v>11</v>
      </c>
      <c r="E11642" t="s">
        <v>12</v>
      </c>
      <c r="F11642">
        <v>33469299</v>
      </c>
      <c r="G11642">
        <v>33469328</v>
      </c>
      <c r="H11642">
        <v>33469223</v>
      </c>
      <c r="I11642">
        <v>33469256</v>
      </c>
    </row>
    <row r="11643" spans="1:9" x14ac:dyDescent="0.2">
      <c r="A11643" s="1" t="str">
        <f>"NLGN1"</f>
        <v>NLGN1</v>
      </c>
      <c r="B11643" t="s">
        <v>866</v>
      </c>
      <c r="C11643" t="s">
        <v>22</v>
      </c>
      <c r="D11643" t="s">
        <v>17</v>
      </c>
      <c r="E11643" t="s">
        <v>20</v>
      </c>
      <c r="F11643">
        <v>173322388</v>
      </c>
      <c r="G11643">
        <v>173322388</v>
      </c>
      <c r="H11643">
        <v>173322388</v>
      </c>
      <c r="I11643">
        <v>173322388</v>
      </c>
    </row>
    <row r="11644" spans="1:9" x14ac:dyDescent="0.2">
      <c r="A11644" s="1" t="str">
        <f>"NLGN2"</f>
        <v>NLGN2</v>
      </c>
      <c r="B11644" t="s">
        <v>14</v>
      </c>
      <c r="C11644" t="s">
        <v>28</v>
      </c>
      <c r="D11644" t="s">
        <v>17</v>
      </c>
      <c r="E11644" t="s">
        <v>12</v>
      </c>
      <c r="F11644">
        <v>7311161</v>
      </c>
      <c r="G11644">
        <v>7311193</v>
      </c>
      <c r="H11644">
        <v>7311161</v>
      </c>
      <c r="I11644">
        <v>7311193</v>
      </c>
    </row>
    <row r="11645" spans="1:9" x14ac:dyDescent="0.2">
      <c r="A11645" s="1" t="str">
        <f>"NLGN3"</f>
        <v>NLGN3</v>
      </c>
      <c r="B11645" t="s">
        <v>14</v>
      </c>
      <c r="C11645" t="s">
        <v>37</v>
      </c>
      <c r="D11645" t="s">
        <v>17</v>
      </c>
      <c r="E11645" t="s">
        <v>12</v>
      </c>
      <c r="F11645">
        <v>70364667</v>
      </c>
      <c r="G11645">
        <v>70364721</v>
      </c>
      <c r="H11645">
        <v>70364725</v>
      </c>
      <c r="I11645">
        <v>70364737</v>
      </c>
    </row>
    <row r="11646" spans="1:9" x14ac:dyDescent="0.2">
      <c r="A11646" s="1" t="str">
        <f>"NLGN4X"</f>
        <v>NLGN4X</v>
      </c>
      <c r="B11646" t="s">
        <v>9</v>
      </c>
      <c r="C11646" t="s">
        <v>37</v>
      </c>
      <c r="D11646" t="s">
        <v>11</v>
      </c>
      <c r="E11646" t="s">
        <v>12</v>
      </c>
      <c r="F11646">
        <v>6146876</v>
      </c>
      <c r="G11646">
        <v>6146924</v>
      </c>
      <c r="H11646">
        <v>6146876</v>
      </c>
      <c r="I11646">
        <v>6146924</v>
      </c>
    </row>
    <row r="11647" spans="1:9" x14ac:dyDescent="0.2">
      <c r="A11647" s="1" t="str">
        <f>"NLGN4X"</f>
        <v>NLGN4X</v>
      </c>
      <c r="B11647" t="s">
        <v>13</v>
      </c>
      <c r="C11647" t="s">
        <v>37</v>
      </c>
      <c r="D11647" t="s">
        <v>11</v>
      </c>
      <c r="E11647" t="s">
        <v>12</v>
      </c>
      <c r="F11647">
        <v>6145088</v>
      </c>
      <c r="G11647">
        <v>6145147</v>
      </c>
      <c r="H11647">
        <v>6145088</v>
      </c>
      <c r="I11647">
        <v>6145147</v>
      </c>
    </row>
    <row r="11648" spans="1:9" x14ac:dyDescent="0.2">
      <c r="A11648" s="1" t="str">
        <f>"NLGN4Y"</f>
        <v>NLGN4Y</v>
      </c>
      <c r="B11648" t="s">
        <v>9</v>
      </c>
      <c r="C11648" t="s">
        <v>63</v>
      </c>
      <c r="D11648" t="s">
        <v>17</v>
      </c>
      <c r="E11648" t="s">
        <v>12</v>
      </c>
      <c r="F11648">
        <v>16636354</v>
      </c>
      <c r="G11648">
        <v>16636430</v>
      </c>
      <c r="H11648">
        <v>16636354</v>
      </c>
      <c r="I11648">
        <v>16636430</v>
      </c>
    </row>
    <row r="11649" spans="1:9" x14ac:dyDescent="0.2">
      <c r="A11649" s="1" t="str">
        <f>"NLGN4Y"</f>
        <v>NLGN4Y</v>
      </c>
      <c r="B11649" t="s">
        <v>13</v>
      </c>
      <c r="C11649" t="s">
        <v>63</v>
      </c>
      <c r="D11649" t="s">
        <v>17</v>
      </c>
      <c r="E11649" t="s">
        <v>12</v>
      </c>
      <c r="F11649">
        <v>16634483</v>
      </c>
      <c r="G11649">
        <v>16634526</v>
      </c>
      <c r="H11649">
        <v>16634483</v>
      </c>
      <c r="I11649">
        <v>16634526</v>
      </c>
    </row>
    <row r="11650" spans="1:9" x14ac:dyDescent="0.2">
      <c r="A11650" s="1" t="str">
        <f>"NLK"</f>
        <v>NLK</v>
      </c>
      <c r="B11650" t="s">
        <v>14</v>
      </c>
      <c r="C11650" t="s">
        <v>28</v>
      </c>
      <c r="D11650" t="s">
        <v>17</v>
      </c>
      <c r="E11650" t="s">
        <v>12</v>
      </c>
      <c r="F11650">
        <v>26368734</v>
      </c>
      <c r="G11650">
        <v>26368794</v>
      </c>
      <c r="H11650">
        <v>26369687</v>
      </c>
      <c r="I11650">
        <v>26369715</v>
      </c>
    </row>
    <row r="11651" spans="1:9" x14ac:dyDescent="0.2">
      <c r="A11651" s="1" t="str">
        <f>"NLN"</f>
        <v>NLN</v>
      </c>
      <c r="B11651" t="s">
        <v>14</v>
      </c>
      <c r="C11651" t="s">
        <v>46</v>
      </c>
      <c r="D11651" t="s">
        <v>17</v>
      </c>
      <c r="E11651" t="s">
        <v>12</v>
      </c>
      <c r="F11651">
        <v>65018017</v>
      </c>
      <c r="G11651">
        <v>65018088</v>
      </c>
      <c r="H11651">
        <v>65018094</v>
      </c>
      <c r="I11651">
        <v>65018105</v>
      </c>
    </row>
    <row r="11652" spans="1:9" x14ac:dyDescent="0.2">
      <c r="A11652" s="1" t="str">
        <f>"NLRC3"</f>
        <v>NLRC3</v>
      </c>
      <c r="B11652" t="s">
        <v>14</v>
      </c>
      <c r="C11652" t="s">
        <v>31</v>
      </c>
      <c r="D11652" t="s">
        <v>11</v>
      </c>
      <c r="E11652" t="s">
        <v>12</v>
      </c>
      <c r="F11652">
        <v>3627377</v>
      </c>
      <c r="G11652">
        <v>3627431</v>
      </c>
      <c r="H11652">
        <v>3627360</v>
      </c>
      <c r="I11652">
        <v>3627373</v>
      </c>
    </row>
    <row r="11653" spans="1:9" x14ac:dyDescent="0.2">
      <c r="A11653" s="1" t="str">
        <f>"NLRC4"</f>
        <v>NLRC4</v>
      </c>
      <c r="B11653" t="s">
        <v>14</v>
      </c>
      <c r="C11653" t="s">
        <v>26</v>
      </c>
      <c r="D11653" t="s">
        <v>11</v>
      </c>
      <c r="E11653" t="s">
        <v>12</v>
      </c>
      <c r="F11653">
        <v>32489922</v>
      </c>
      <c r="G11653">
        <v>32489962</v>
      </c>
      <c r="H11653">
        <v>32490859</v>
      </c>
      <c r="I11653">
        <v>32490889</v>
      </c>
    </row>
    <row r="11654" spans="1:9" x14ac:dyDescent="0.2">
      <c r="A11654" s="1" t="str">
        <f>"NLRC5"</f>
        <v>NLRC5</v>
      </c>
      <c r="B11654" t="s">
        <v>14</v>
      </c>
      <c r="C11654" t="s">
        <v>31</v>
      </c>
      <c r="D11654" t="s">
        <v>17</v>
      </c>
      <c r="E11654" t="s">
        <v>12</v>
      </c>
      <c r="F11654">
        <v>57023445</v>
      </c>
      <c r="G11654">
        <v>57023514</v>
      </c>
      <c r="H11654">
        <v>57023406</v>
      </c>
      <c r="I11654">
        <v>57023438</v>
      </c>
    </row>
    <row r="11655" spans="1:9" x14ac:dyDescent="0.2">
      <c r="A11655" s="1" t="str">
        <f>"NLRP1"</f>
        <v>NLRP1</v>
      </c>
      <c r="B11655" t="s">
        <v>14</v>
      </c>
      <c r="C11655" t="s">
        <v>28</v>
      </c>
      <c r="D11655" t="s">
        <v>11</v>
      </c>
      <c r="E11655" t="s">
        <v>12</v>
      </c>
      <c r="F11655">
        <v>5487779</v>
      </c>
      <c r="G11655">
        <v>5487837</v>
      </c>
      <c r="H11655">
        <v>5487779</v>
      </c>
      <c r="I11655">
        <v>5487837</v>
      </c>
    </row>
    <row r="11656" spans="1:9" x14ac:dyDescent="0.2">
      <c r="A11656" s="1" t="str">
        <f>"NLRP10"</f>
        <v>NLRP10</v>
      </c>
      <c r="B11656" t="s">
        <v>14</v>
      </c>
      <c r="C11656" t="s">
        <v>27</v>
      </c>
      <c r="D11656" t="s">
        <v>11</v>
      </c>
      <c r="E11656" t="s">
        <v>12</v>
      </c>
      <c r="F11656">
        <v>7986986</v>
      </c>
      <c r="G11656">
        <v>7987000</v>
      </c>
      <c r="H11656">
        <v>7987028</v>
      </c>
      <c r="I11656">
        <v>7987043</v>
      </c>
    </row>
    <row r="11657" spans="1:9" x14ac:dyDescent="0.2">
      <c r="A11657" s="1" t="str">
        <f>"NLRP11"</f>
        <v>NLRP11</v>
      </c>
      <c r="B11657" t="s">
        <v>9</v>
      </c>
      <c r="C11657" t="s">
        <v>10</v>
      </c>
      <c r="D11657" t="s">
        <v>11</v>
      </c>
      <c r="E11657" t="s">
        <v>12</v>
      </c>
      <c r="F11657">
        <v>56343355</v>
      </c>
      <c r="G11657">
        <v>56343378</v>
      </c>
      <c r="H11657">
        <v>56343355</v>
      </c>
      <c r="I11657">
        <v>56343378</v>
      </c>
    </row>
    <row r="11658" spans="1:9" x14ac:dyDescent="0.2">
      <c r="A11658" s="1" t="str">
        <f>"NLRP11"</f>
        <v>NLRP11</v>
      </c>
      <c r="B11658" t="s">
        <v>13</v>
      </c>
      <c r="C11658" t="s">
        <v>10</v>
      </c>
      <c r="D11658" t="s">
        <v>11</v>
      </c>
      <c r="E11658" t="s">
        <v>12</v>
      </c>
      <c r="F11658">
        <v>56320886</v>
      </c>
      <c r="G11658">
        <v>56320917</v>
      </c>
      <c r="H11658">
        <v>56320886</v>
      </c>
      <c r="I11658">
        <v>56320917</v>
      </c>
    </row>
    <row r="11659" spans="1:9" x14ac:dyDescent="0.2">
      <c r="A11659" s="1" t="str">
        <f>"NLRP12"</f>
        <v>NLRP12</v>
      </c>
      <c r="B11659" t="s">
        <v>14</v>
      </c>
      <c r="C11659" t="s">
        <v>10</v>
      </c>
      <c r="D11659" t="s">
        <v>11</v>
      </c>
      <c r="E11659" t="s">
        <v>12</v>
      </c>
      <c r="F11659">
        <v>54327542</v>
      </c>
      <c r="G11659">
        <v>54327591</v>
      </c>
      <c r="H11659">
        <v>54327436</v>
      </c>
      <c r="I11659">
        <v>54327445</v>
      </c>
    </row>
    <row r="11660" spans="1:9" x14ac:dyDescent="0.2">
      <c r="A11660" s="1" t="str">
        <f>"NLRP13"</f>
        <v>NLRP13</v>
      </c>
      <c r="B11660" t="s">
        <v>867</v>
      </c>
      <c r="C11660" t="s">
        <v>10</v>
      </c>
      <c r="D11660" t="s">
        <v>11</v>
      </c>
      <c r="E11660" t="s">
        <v>20</v>
      </c>
      <c r="F11660">
        <v>56443688</v>
      </c>
      <c r="G11660">
        <v>56443688</v>
      </c>
      <c r="H11660">
        <v>56443688</v>
      </c>
      <c r="I11660">
        <v>56443688</v>
      </c>
    </row>
    <row r="11661" spans="1:9" x14ac:dyDescent="0.2">
      <c r="A11661" s="1" t="str">
        <f>"NLRP14"</f>
        <v>NLRP14</v>
      </c>
      <c r="B11661" t="s">
        <v>14</v>
      </c>
      <c r="C11661" t="s">
        <v>27</v>
      </c>
      <c r="D11661" t="s">
        <v>17</v>
      </c>
      <c r="E11661" t="s">
        <v>12</v>
      </c>
      <c r="F11661">
        <v>7041708</v>
      </c>
      <c r="G11661">
        <v>7041748</v>
      </c>
      <c r="H11661">
        <v>7041708</v>
      </c>
      <c r="I11661">
        <v>7041748</v>
      </c>
    </row>
    <row r="11662" spans="1:9" x14ac:dyDescent="0.2">
      <c r="A11662" s="1" t="str">
        <f>"NLRP2"</f>
        <v>NLRP2</v>
      </c>
      <c r="B11662" t="s">
        <v>14</v>
      </c>
      <c r="C11662" t="s">
        <v>10</v>
      </c>
      <c r="D11662" t="s">
        <v>17</v>
      </c>
      <c r="E11662" t="s">
        <v>12</v>
      </c>
      <c r="F11662">
        <v>55477738</v>
      </c>
      <c r="G11662">
        <v>55477774</v>
      </c>
      <c r="H11662">
        <v>55477738</v>
      </c>
      <c r="I11662">
        <v>55477774</v>
      </c>
    </row>
    <row r="11663" spans="1:9" x14ac:dyDescent="0.2">
      <c r="A11663" s="1" t="str">
        <f>"NLRP3"</f>
        <v>NLRP3</v>
      </c>
      <c r="B11663" t="s">
        <v>14</v>
      </c>
      <c r="C11663" t="s">
        <v>19</v>
      </c>
      <c r="D11663" t="s">
        <v>17</v>
      </c>
      <c r="E11663" t="s">
        <v>12</v>
      </c>
      <c r="F11663">
        <v>247579468</v>
      </c>
      <c r="G11663">
        <v>247579486</v>
      </c>
      <c r="H11663">
        <v>247579451</v>
      </c>
      <c r="I11663">
        <v>247579465</v>
      </c>
    </row>
    <row r="11664" spans="1:9" x14ac:dyDescent="0.2">
      <c r="A11664" s="1" t="str">
        <f>"NLRP4"</f>
        <v>NLRP4</v>
      </c>
      <c r="B11664" t="s">
        <v>14</v>
      </c>
      <c r="C11664" t="s">
        <v>10</v>
      </c>
      <c r="D11664" t="s">
        <v>17</v>
      </c>
      <c r="E11664" t="s">
        <v>12</v>
      </c>
      <c r="F11664">
        <v>56368803</v>
      </c>
      <c r="G11664">
        <v>56368835</v>
      </c>
      <c r="H11664">
        <v>56368793</v>
      </c>
      <c r="I11664">
        <v>56368800</v>
      </c>
    </row>
    <row r="11665" spans="1:9" x14ac:dyDescent="0.2">
      <c r="A11665" s="1" t="str">
        <f>"NLRP5"</f>
        <v>NLRP5</v>
      </c>
      <c r="B11665" t="s">
        <v>868</v>
      </c>
      <c r="C11665" t="s">
        <v>10</v>
      </c>
      <c r="D11665" t="s">
        <v>17</v>
      </c>
      <c r="E11665" t="s">
        <v>20</v>
      </c>
      <c r="F11665">
        <v>56511091</v>
      </c>
      <c r="G11665">
        <v>56511091</v>
      </c>
      <c r="H11665">
        <v>56511091</v>
      </c>
      <c r="I11665">
        <v>56511091</v>
      </c>
    </row>
    <row r="11666" spans="1:9" x14ac:dyDescent="0.2">
      <c r="A11666" s="1" t="str">
        <f>"NLRP6"</f>
        <v>NLRP6</v>
      </c>
      <c r="B11666" t="s">
        <v>14</v>
      </c>
      <c r="C11666" t="s">
        <v>27</v>
      </c>
      <c r="D11666" t="s">
        <v>17</v>
      </c>
      <c r="E11666" t="s">
        <v>12</v>
      </c>
      <c r="F11666">
        <v>279403</v>
      </c>
      <c r="G11666">
        <v>279420</v>
      </c>
      <c r="H11666">
        <v>279403</v>
      </c>
      <c r="I11666">
        <v>279420</v>
      </c>
    </row>
    <row r="11667" spans="1:9" x14ac:dyDescent="0.2">
      <c r="A11667" s="1" t="str">
        <f>"NLRP7"</f>
        <v>NLRP7</v>
      </c>
      <c r="B11667" t="s">
        <v>9</v>
      </c>
      <c r="C11667" t="s">
        <v>10</v>
      </c>
      <c r="D11667" t="s">
        <v>11</v>
      </c>
      <c r="E11667" t="s">
        <v>12</v>
      </c>
      <c r="F11667">
        <v>55458860</v>
      </c>
      <c r="G11667">
        <v>55458904</v>
      </c>
      <c r="H11667">
        <v>55458860</v>
      </c>
      <c r="I11667">
        <v>55458904</v>
      </c>
    </row>
    <row r="11668" spans="1:9" x14ac:dyDescent="0.2">
      <c r="A11668" s="1" t="str">
        <f>"NLRP7"</f>
        <v>NLRP7</v>
      </c>
      <c r="B11668" t="s">
        <v>13</v>
      </c>
      <c r="C11668" t="s">
        <v>10</v>
      </c>
      <c r="D11668" t="s">
        <v>11</v>
      </c>
      <c r="E11668" t="s">
        <v>12</v>
      </c>
      <c r="F11668">
        <v>55452976</v>
      </c>
      <c r="G11668">
        <v>55452992</v>
      </c>
      <c r="H11668">
        <v>55452976</v>
      </c>
      <c r="I11668">
        <v>55452992</v>
      </c>
    </row>
    <row r="11669" spans="1:9" x14ac:dyDescent="0.2">
      <c r="A11669" s="1" t="str">
        <f>"NLRP8"</f>
        <v>NLRP8</v>
      </c>
      <c r="B11669" t="s">
        <v>869</v>
      </c>
      <c r="C11669" t="s">
        <v>10</v>
      </c>
      <c r="D11669" t="s">
        <v>17</v>
      </c>
      <c r="E11669" t="s">
        <v>20</v>
      </c>
      <c r="F11669">
        <v>56459197</v>
      </c>
      <c r="G11669">
        <v>56459197</v>
      </c>
      <c r="H11669">
        <v>56459197</v>
      </c>
      <c r="I11669">
        <v>56459197</v>
      </c>
    </row>
    <row r="11670" spans="1:9" x14ac:dyDescent="0.2">
      <c r="A11670" s="1" t="str">
        <f>"NLRP9"</f>
        <v>NLRP9</v>
      </c>
      <c r="B11670" t="s">
        <v>870</v>
      </c>
      <c r="C11670" t="s">
        <v>10</v>
      </c>
      <c r="D11670" t="s">
        <v>11</v>
      </c>
      <c r="E11670" t="s">
        <v>20</v>
      </c>
      <c r="F11670">
        <v>56249767</v>
      </c>
      <c r="G11670">
        <v>56249767</v>
      </c>
      <c r="H11670">
        <v>56249767</v>
      </c>
      <c r="I11670">
        <v>56249767</v>
      </c>
    </row>
    <row r="11671" spans="1:9" x14ac:dyDescent="0.2">
      <c r="A11671" s="1" t="str">
        <f>"NLRX1"</f>
        <v>NLRX1</v>
      </c>
      <c r="B11671" t="s">
        <v>14</v>
      </c>
      <c r="C11671" t="s">
        <v>27</v>
      </c>
      <c r="D11671" t="s">
        <v>17</v>
      </c>
      <c r="E11671" t="s">
        <v>12</v>
      </c>
      <c r="F11671">
        <v>119039414</v>
      </c>
      <c r="G11671">
        <v>119039442</v>
      </c>
      <c r="H11671">
        <v>119039446</v>
      </c>
      <c r="I11671">
        <v>119039481</v>
      </c>
    </row>
    <row r="11672" spans="1:9" x14ac:dyDescent="0.2">
      <c r="A11672" s="1" t="str">
        <f>"NMB"</f>
        <v>NMB</v>
      </c>
      <c r="B11672" t="s">
        <v>14</v>
      </c>
      <c r="C11672" t="s">
        <v>25</v>
      </c>
      <c r="D11672" t="s">
        <v>11</v>
      </c>
      <c r="E11672" t="s">
        <v>12</v>
      </c>
      <c r="F11672">
        <v>85201423</v>
      </c>
      <c r="G11672">
        <v>85201439</v>
      </c>
      <c r="H11672">
        <v>85201423</v>
      </c>
      <c r="I11672">
        <v>85201439</v>
      </c>
    </row>
    <row r="11673" spans="1:9" x14ac:dyDescent="0.2">
      <c r="A11673" s="1" t="str">
        <f>"NMBR"</f>
        <v>NMBR</v>
      </c>
      <c r="B11673" t="s">
        <v>14</v>
      </c>
      <c r="C11673" t="s">
        <v>32</v>
      </c>
      <c r="D11673" t="s">
        <v>11</v>
      </c>
      <c r="E11673" t="s">
        <v>12</v>
      </c>
      <c r="F11673">
        <v>142410202</v>
      </c>
      <c r="G11673">
        <v>142410237</v>
      </c>
      <c r="H11673">
        <v>142410036</v>
      </c>
      <c r="I11673">
        <v>142410038</v>
      </c>
    </row>
    <row r="11674" spans="1:9" x14ac:dyDescent="0.2">
      <c r="A11674" s="1" t="str">
        <f>"NMD3"</f>
        <v>NMD3</v>
      </c>
      <c r="B11674" t="s">
        <v>14</v>
      </c>
      <c r="C11674" t="s">
        <v>22</v>
      </c>
      <c r="D11674" t="s">
        <v>17</v>
      </c>
      <c r="E11674" t="s">
        <v>12</v>
      </c>
      <c r="F11674">
        <v>160939068</v>
      </c>
      <c r="G11674">
        <v>160939116</v>
      </c>
      <c r="H11674">
        <v>160939775</v>
      </c>
      <c r="I11674">
        <v>160939779</v>
      </c>
    </row>
    <row r="11675" spans="1:9" x14ac:dyDescent="0.2">
      <c r="A11675" s="1" t="str">
        <f>"NME1"</f>
        <v>NME1</v>
      </c>
      <c r="B11675" t="s">
        <v>9</v>
      </c>
      <c r="C11675" t="s">
        <v>28</v>
      </c>
      <c r="D11675" t="s">
        <v>17</v>
      </c>
      <c r="E11675" t="s">
        <v>12</v>
      </c>
      <c r="F11675">
        <v>49230905</v>
      </c>
      <c r="G11675">
        <v>49231005</v>
      </c>
      <c r="H11675">
        <v>49230905</v>
      </c>
      <c r="I11675">
        <v>49231005</v>
      </c>
    </row>
    <row r="11676" spans="1:9" x14ac:dyDescent="0.2">
      <c r="A11676" s="1" t="str">
        <f>"NME1"</f>
        <v>NME1</v>
      </c>
      <c r="B11676" t="s">
        <v>13</v>
      </c>
      <c r="C11676" t="s">
        <v>28</v>
      </c>
      <c r="D11676" t="s">
        <v>17</v>
      </c>
      <c r="E11676" t="s">
        <v>12</v>
      </c>
      <c r="F11676">
        <v>49232982</v>
      </c>
      <c r="G11676">
        <v>49233016</v>
      </c>
      <c r="H11676">
        <v>49232982</v>
      </c>
      <c r="I11676">
        <v>49233016</v>
      </c>
    </row>
    <row r="11677" spans="1:9" x14ac:dyDescent="0.2">
      <c r="A11677" s="1" t="str">
        <f>"NME1-NME2"</f>
        <v>NME1-NME2</v>
      </c>
      <c r="B11677" t="s">
        <v>14</v>
      </c>
      <c r="C11677" t="s">
        <v>28</v>
      </c>
      <c r="D11677" t="s">
        <v>17</v>
      </c>
      <c r="E11677" t="s">
        <v>12</v>
      </c>
      <c r="F11677">
        <v>49243759</v>
      </c>
      <c r="G11677">
        <v>49243787</v>
      </c>
      <c r="H11677">
        <v>49243792</v>
      </c>
      <c r="I11677">
        <v>49243828</v>
      </c>
    </row>
    <row r="11678" spans="1:9" x14ac:dyDescent="0.2">
      <c r="A11678" s="1" t="str">
        <f>"NME2"</f>
        <v>NME2</v>
      </c>
      <c r="B11678" t="s">
        <v>14</v>
      </c>
      <c r="C11678" t="s">
        <v>28</v>
      </c>
      <c r="D11678" t="s">
        <v>17</v>
      </c>
      <c r="E11678" t="s">
        <v>12</v>
      </c>
      <c r="F11678">
        <v>49243759</v>
      </c>
      <c r="G11678">
        <v>49243787</v>
      </c>
      <c r="H11678">
        <v>49243792</v>
      </c>
      <c r="I11678">
        <v>49243828</v>
      </c>
    </row>
    <row r="11679" spans="1:9" x14ac:dyDescent="0.2">
      <c r="A11679" s="1" t="str">
        <f>"NME3"</f>
        <v>NME3</v>
      </c>
      <c r="B11679" t="s">
        <v>14</v>
      </c>
      <c r="C11679" t="s">
        <v>31</v>
      </c>
      <c r="D11679" t="s">
        <v>11</v>
      </c>
      <c r="E11679" t="s">
        <v>12</v>
      </c>
      <c r="F11679">
        <v>1821500</v>
      </c>
      <c r="G11679">
        <v>1821563</v>
      </c>
      <c r="H11679">
        <v>1821721</v>
      </c>
      <c r="I11679">
        <v>1821747</v>
      </c>
    </row>
    <row r="11680" spans="1:9" x14ac:dyDescent="0.2">
      <c r="A11680" s="1" t="str">
        <f>"NME4"</f>
        <v>NME4</v>
      </c>
      <c r="B11680" t="s">
        <v>14</v>
      </c>
      <c r="C11680" t="s">
        <v>31</v>
      </c>
      <c r="D11680" t="s">
        <v>17</v>
      </c>
      <c r="E11680" t="s">
        <v>12</v>
      </c>
      <c r="F11680">
        <v>447183</v>
      </c>
      <c r="G11680">
        <v>447207</v>
      </c>
      <c r="H11680">
        <v>447209</v>
      </c>
      <c r="I11680">
        <v>447225</v>
      </c>
    </row>
    <row r="11681" spans="1:9" x14ac:dyDescent="0.2">
      <c r="A11681" s="1" t="str">
        <f>"NME5"</f>
        <v>NME5</v>
      </c>
      <c r="B11681" t="s">
        <v>14</v>
      </c>
      <c r="C11681" t="s">
        <v>46</v>
      </c>
      <c r="D11681" t="s">
        <v>11</v>
      </c>
      <c r="E11681" t="s">
        <v>12</v>
      </c>
      <c r="F11681">
        <v>137475071</v>
      </c>
      <c r="G11681">
        <v>137475122</v>
      </c>
      <c r="H11681">
        <v>137475128</v>
      </c>
      <c r="I11681">
        <v>137475135</v>
      </c>
    </row>
    <row r="11682" spans="1:9" x14ac:dyDescent="0.2">
      <c r="A11682" s="1" t="str">
        <f>"NME6"</f>
        <v>NME6</v>
      </c>
      <c r="B11682" t="s">
        <v>14</v>
      </c>
      <c r="C11682" t="s">
        <v>22</v>
      </c>
      <c r="D11682" t="s">
        <v>11</v>
      </c>
      <c r="E11682" t="s">
        <v>12</v>
      </c>
      <c r="F11682">
        <v>48342822</v>
      </c>
      <c r="G11682">
        <v>48342908</v>
      </c>
      <c r="H11682">
        <v>48343034</v>
      </c>
      <c r="I11682">
        <v>48343049</v>
      </c>
    </row>
    <row r="11683" spans="1:9" x14ac:dyDescent="0.2">
      <c r="A11683" s="1" t="str">
        <f>"NME7"</f>
        <v>NME7</v>
      </c>
      <c r="B11683" t="s">
        <v>14</v>
      </c>
      <c r="C11683" t="s">
        <v>19</v>
      </c>
      <c r="D11683" t="s">
        <v>11</v>
      </c>
      <c r="E11683" t="s">
        <v>12</v>
      </c>
      <c r="F11683">
        <v>169337004</v>
      </c>
      <c r="G11683">
        <v>169337045</v>
      </c>
      <c r="H11683">
        <v>169336984</v>
      </c>
      <c r="I11683">
        <v>169337003</v>
      </c>
    </row>
    <row r="11684" spans="1:9" x14ac:dyDescent="0.2">
      <c r="A11684" s="1" t="str">
        <f>"NME8"</f>
        <v>NME8</v>
      </c>
      <c r="B11684" t="s">
        <v>14</v>
      </c>
      <c r="C11684" t="s">
        <v>33</v>
      </c>
      <c r="D11684" t="s">
        <v>17</v>
      </c>
      <c r="E11684" t="s">
        <v>12</v>
      </c>
      <c r="F11684">
        <v>37888548</v>
      </c>
      <c r="G11684">
        <v>37888565</v>
      </c>
      <c r="H11684">
        <v>37888597</v>
      </c>
      <c r="I11684">
        <v>37888622</v>
      </c>
    </row>
    <row r="11685" spans="1:9" x14ac:dyDescent="0.2">
      <c r="A11685" s="1" t="str">
        <f>"NME9"</f>
        <v>NME9</v>
      </c>
      <c r="B11685" t="s">
        <v>14</v>
      </c>
      <c r="C11685" t="s">
        <v>22</v>
      </c>
      <c r="D11685" t="s">
        <v>11</v>
      </c>
      <c r="E11685" t="s">
        <v>12</v>
      </c>
      <c r="F11685">
        <v>138048653</v>
      </c>
      <c r="G11685">
        <v>138048677</v>
      </c>
      <c r="H11685">
        <v>138048682</v>
      </c>
      <c r="I11685">
        <v>138048698</v>
      </c>
    </row>
    <row r="11686" spans="1:9" x14ac:dyDescent="0.2">
      <c r="A11686" s="1" t="str">
        <f>"NMI"</f>
        <v>NMI</v>
      </c>
      <c r="B11686" t="s">
        <v>14</v>
      </c>
      <c r="C11686" t="s">
        <v>26</v>
      </c>
      <c r="D11686" t="s">
        <v>11</v>
      </c>
      <c r="E11686" t="s">
        <v>12</v>
      </c>
      <c r="F11686">
        <v>152146128</v>
      </c>
      <c r="G11686">
        <v>152146189</v>
      </c>
      <c r="H11686">
        <v>152146385</v>
      </c>
      <c r="I11686">
        <v>152146435</v>
      </c>
    </row>
    <row r="11687" spans="1:9" x14ac:dyDescent="0.2">
      <c r="A11687" s="1" t="str">
        <f>"NMNAT1"</f>
        <v>NMNAT1</v>
      </c>
      <c r="B11687" t="s">
        <v>14</v>
      </c>
      <c r="C11687" t="s">
        <v>19</v>
      </c>
      <c r="D11687" t="s">
        <v>17</v>
      </c>
      <c r="E11687" t="s">
        <v>12</v>
      </c>
      <c r="F11687">
        <v>10003486</v>
      </c>
      <c r="G11687">
        <v>10003551</v>
      </c>
      <c r="H11687">
        <v>10003486</v>
      </c>
      <c r="I11687">
        <v>10003551</v>
      </c>
    </row>
    <row r="11688" spans="1:9" x14ac:dyDescent="0.2">
      <c r="A11688" s="1" t="str">
        <f>"NMNAT2"</f>
        <v>NMNAT2</v>
      </c>
      <c r="B11688" t="s">
        <v>14</v>
      </c>
      <c r="C11688" t="s">
        <v>19</v>
      </c>
      <c r="D11688" t="s">
        <v>11</v>
      </c>
      <c r="E11688" t="s">
        <v>12</v>
      </c>
      <c r="F11688">
        <v>183387459</v>
      </c>
      <c r="G11688">
        <v>183387498</v>
      </c>
      <c r="H11688">
        <v>183387499</v>
      </c>
      <c r="I11688">
        <v>183387543</v>
      </c>
    </row>
    <row r="11689" spans="1:9" x14ac:dyDescent="0.2">
      <c r="A11689" s="1" t="str">
        <f>"NMNAT3"</f>
        <v>NMNAT3</v>
      </c>
      <c r="B11689" t="s">
        <v>14</v>
      </c>
      <c r="C11689" t="s">
        <v>22</v>
      </c>
      <c r="D11689" t="s">
        <v>11</v>
      </c>
      <c r="E11689" t="s">
        <v>12</v>
      </c>
      <c r="F11689">
        <v>139396801</v>
      </c>
      <c r="G11689">
        <v>139396841</v>
      </c>
      <c r="H11689">
        <v>139396853</v>
      </c>
      <c r="I11689">
        <v>139396879</v>
      </c>
    </row>
    <row r="11690" spans="1:9" x14ac:dyDescent="0.2">
      <c r="A11690" s="1" t="str">
        <f>"NMRAL1"</f>
        <v>NMRAL1</v>
      </c>
      <c r="B11690" t="s">
        <v>14</v>
      </c>
      <c r="C11690" t="s">
        <v>31</v>
      </c>
      <c r="D11690" t="s">
        <v>11</v>
      </c>
      <c r="E11690" t="s">
        <v>12</v>
      </c>
      <c r="F11690">
        <v>4524550</v>
      </c>
      <c r="G11690">
        <v>4524657</v>
      </c>
      <c r="H11690">
        <v>4524523</v>
      </c>
      <c r="I11690">
        <v>4524535</v>
      </c>
    </row>
    <row r="11691" spans="1:9" x14ac:dyDescent="0.2">
      <c r="A11691" s="1" t="str">
        <f>"NMRK1"</f>
        <v>NMRK1</v>
      </c>
      <c r="B11691" t="s">
        <v>14</v>
      </c>
      <c r="C11691" t="s">
        <v>24</v>
      </c>
      <c r="D11691" t="s">
        <v>11</v>
      </c>
      <c r="E11691" t="s">
        <v>12</v>
      </c>
      <c r="F11691">
        <v>77703056</v>
      </c>
      <c r="G11691">
        <v>77703113</v>
      </c>
      <c r="H11691">
        <v>77703115</v>
      </c>
      <c r="I11691">
        <v>77703160</v>
      </c>
    </row>
    <row r="11692" spans="1:9" x14ac:dyDescent="0.2">
      <c r="A11692" s="1" t="str">
        <f>"NMRK2"</f>
        <v>NMRK2</v>
      </c>
      <c r="B11692" t="s">
        <v>14</v>
      </c>
      <c r="C11692" t="s">
        <v>10</v>
      </c>
      <c r="D11692" t="s">
        <v>17</v>
      </c>
      <c r="E11692" t="s">
        <v>12</v>
      </c>
      <c r="F11692">
        <v>3933579</v>
      </c>
      <c r="G11692">
        <v>3933594</v>
      </c>
      <c r="H11692">
        <v>3933460</v>
      </c>
      <c r="I11692">
        <v>3933476</v>
      </c>
    </row>
    <row r="11693" spans="1:9" x14ac:dyDescent="0.2">
      <c r="A11693" s="1" t="str">
        <f>"NMS"</f>
        <v>NMS</v>
      </c>
      <c r="B11693" t="s">
        <v>14</v>
      </c>
      <c r="C11693" t="s">
        <v>26</v>
      </c>
      <c r="D11693" t="s">
        <v>17</v>
      </c>
      <c r="E11693" t="s">
        <v>12</v>
      </c>
      <c r="F11693">
        <v>101086842</v>
      </c>
      <c r="G11693">
        <v>101086846</v>
      </c>
      <c r="H11693">
        <v>101086842</v>
      </c>
      <c r="I11693">
        <v>101086846</v>
      </c>
    </row>
    <row r="11694" spans="1:9" x14ac:dyDescent="0.2">
      <c r="A11694" s="1" t="str">
        <f>"NMT1"</f>
        <v>NMT1</v>
      </c>
      <c r="B11694" t="s">
        <v>14</v>
      </c>
      <c r="C11694" t="s">
        <v>28</v>
      </c>
      <c r="D11694" t="s">
        <v>17</v>
      </c>
      <c r="E11694" t="s">
        <v>12</v>
      </c>
      <c r="F11694">
        <v>43138664</v>
      </c>
      <c r="G11694">
        <v>43138701</v>
      </c>
      <c r="H11694">
        <v>43138664</v>
      </c>
      <c r="I11694">
        <v>43138701</v>
      </c>
    </row>
    <row r="11695" spans="1:9" x14ac:dyDescent="0.2">
      <c r="A11695" s="1" t="str">
        <f>"NMT2"</f>
        <v>NMT2</v>
      </c>
      <c r="B11695" t="s">
        <v>14</v>
      </c>
      <c r="C11695" t="s">
        <v>15</v>
      </c>
      <c r="D11695" t="s">
        <v>11</v>
      </c>
      <c r="E11695" t="s">
        <v>12</v>
      </c>
      <c r="F11695">
        <v>15210666</v>
      </c>
      <c r="G11695">
        <v>15210707</v>
      </c>
      <c r="H11695">
        <v>15210615</v>
      </c>
      <c r="I11695">
        <v>15210654</v>
      </c>
    </row>
    <row r="11696" spans="1:9" x14ac:dyDescent="0.2">
      <c r="A11696" s="1" t="str">
        <f>"NMU"</f>
        <v>NMU</v>
      </c>
      <c r="B11696" t="s">
        <v>14</v>
      </c>
      <c r="C11696" t="s">
        <v>23</v>
      </c>
      <c r="D11696" t="s">
        <v>11</v>
      </c>
      <c r="E11696" t="s">
        <v>12</v>
      </c>
      <c r="F11696">
        <v>56502455</v>
      </c>
      <c r="G11696">
        <v>56502471</v>
      </c>
      <c r="H11696">
        <v>56502502</v>
      </c>
      <c r="I11696">
        <v>56502513</v>
      </c>
    </row>
    <row r="11697" spans="1:9" x14ac:dyDescent="0.2">
      <c r="A11697" s="1" t="str">
        <f>"NMUR1"</f>
        <v>NMUR1</v>
      </c>
      <c r="B11697" t="s">
        <v>14</v>
      </c>
      <c r="C11697" t="s">
        <v>26</v>
      </c>
      <c r="D11697" t="s">
        <v>11</v>
      </c>
      <c r="E11697" t="s">
        <v>12</v>
      </c>
      <c r="F11697">
        <v>232395139</v>
      </c>
      <c r="G11697">
        <v>232395162</v>
      </c>
      <c r="H11697">
        <v>232395169</v>
      </c>
      <c r="I11697">
        <v>232395182</v>
      </c>
    </row>
    <row r="11698" spans="1:9" x14ac:dyDescent="0.2">
      <c r="A11698" s="1" t="str">
        <f>"NMUR2"</f>
        <v>NMUR2</v>
      </c>
      <c r="B11698" t="s">
        <v>14</v>
      </c>
      <c r="C11698" t="s">
        <v>46</v>
      </c>
      <c r="D11698" t="s">
        <v>11</v>
      </c>
      <c r="E11698" t="s">
        <v>12</v>
      </c>
      <c r="F11698">
        <v>151784838</v>
      </c>
      <c r="G11698">
        <v>151784841</v>
      </c>
      <c r="H11698">
        <v>151784838</v>
      </c>
      <c r="I11698">
        <v>151784841</v>
      </c>
    </row>
    <row r="11699" spans="1:9" x14ac:dyDescent="0.2">
      <c r="A11699" s="1" t="str">
        <f>"NNAT"</f>
        <v>NNAT</v>
      </c>
      <c r="B11699" t="s">
        <v>14</v>
      </c>
      <c r="C11699" t="s">
        <v>29</v>
      </c>
      <c r="D11699" t="s">
        <v>17</v>
      </c>
      <c r="E11699" t="s">
        <v>12</v>
      </c>
      <c r="F11699">
        <v>36149602</v>
      </c>
      <c r="G11699">
        <v>36149665</v>
      </c>
      <c r="H11699">
        <v>36149718</v>
      </c>
      <c r="I11699">
        <v>36149732</v>
      </c>
    </row>
    <row r="11700" spans="1:9" x14ac:dyDescent="0.2">
      <c r="A11700" s="1" t="str">
        <f>"NNMT"</f>
        <v>NNMT</v>
      </c>
      <c r="B11700" t="s">
        <v>14</v>
      </c>
      <c r="C11700" t="s">
        <v>27</v>
      </c>
      <c r="D11700" t="s">
        <v>17</v>
      </c>
      <c r="E11700" t="s">
        <v>12</v>
      </c>
      <c r="F11700">
        <v>114167069</v>
      </c>
      <c r="G11700">
        <v>114167146</v>
      </c>
      <c r="H11700">
        <v>114167164</v>
      </c>
      <c r="I11700">
        <v>114167190</v>
      </c>
    </row>
    <row r="11701" spans="1:9" x14ac:dyDescent="0.2">
      <c r="A11701" s="1" t="str">
        <f>"NNT"</f>
        <v>NNT</v>
      </c>
      <c r="B11701" t="s">
        <v>14</v>
      </c>
      <c r="C11701" t="s">
        <v>46</v>
      </c>
      <c r="D11701" t="s">
        <v>17</v>
      </c>
      <c r="E11701" t="s">
        <v>12</v>
      </c>
      <c r="F11701">
        <v>43603259</v>
      </c>
      <c r="G11701">
        <v>43603356</v>
      </c>
      <c r="H11701">
        <v>43602750</v>
      </c>
      <c r="I11701">
        <v>43602838</v>
      </c>
    </row>
    <row r="11702" spans="1:9" x14ac:dyDescent="0.2">
      <c r="A11702" s="1" t="str">
        <f>"NOA1"</f>
        <v>NOA1</v>
      </c>
      <c r="B11702" t="s">
        <v>14</v>
      </c>
      <c r="C11702" t="s">
        <v>23</v>
      </c>
      <c r="D11702" t="s">
        <v>11</v>
      </c>
      <c r="E11702" t="s">
        <v>12</v>
      </c>
      <c r="F11702">
        <v>57843743</v>
      </c>
      <c r="G11702">
        <v>57843780</v>
      </c>
      <c r="H11702">
        <v>57843703</v>
      </c>
      <c r="I11702">
        <v>57843720</v>
      </c>
    </row>
    <row r="11703" spans="1:9" x14ac:dyDescent="0.2">
      <c r="A11703" s="1" t="str">
        <f>"NOB1"</f>
        <v>NOB1</v>
      </c>
      <c r="B11703" t="s">
        <v>14</v>
      </c>
      <c r="C11703" t="s">
        <v>31</v>
      </c>
      <c r="D11703" t="s">
        <v>11</v>
      </c>
      <c r="E11703" t="s">
        <v>12</v>
      </c>
      <c r="F11703">
        <v>69788816</v>
      </c>
      <c r="G11703">
        <v>69788846</v>
      </c>
      <c r="H11703">
        <v>69788816</v>
      </c>
      <c r="I11703">
        <v>69788846</v>
      </c>
    </row>
    <row r="11704" spans="1:9" x14ac:dyDescent="0.2">
      <c r="A11704" s="1" t="str">
        <f>"NOBOX"</f>
        <v>NOBOX</v>
      </c>
      <c r="B11704" t="s">
        <v>871</v>
      </c>
      <c r="C11704" t="s">
        <v>33</v>
      </c>
      <c r="D11704" t="s">
        <v>11</v>
      </c>
      <c r="E11704" t="s">
        <v>20</v>
      </c>
      <c r="F11704">
        <v>144100785</v>
      </c>
      <c r="G11704">
        <v>144100785</v>
      </c>
      <c r="H11704">
        <v>144100785</v>
      </c>
      <c r="I11704">
        <v>144100785</v>
      </c>
    </row>
    <row r="11705" spans="1:9" x14ac:dyDescent="0.2">
      <c r="A11705" s="1" t="str">
        <f>"NOBOX"</f>
        <v>NOBOX</v>
      </c>
      <c r="B11705" t="s">
        <v>872</v>
      </c>
      <c r="C11705" t="s">
        <v>33</v>
      </c>
      <c r="D11705" t="s">
        <v>11</v>
      </c>
      <c r="E11705" t="s">
        <v>20</v>
      </c>
      <c r="F11705">
        <v>144107319</v>
      </c>
      <c r="G11705">
        <v>144107319</v>
      </c>
      <c r="H11705">
        <v>144107319</v>
      </c>
      <c r="I11705">
        <v>144107319</v>
      </c>
    </row>
    <row r="11706" spans="1:9" x14ac:dyDescent="0.2">
      <c r="A11706" s="1" t="str">
        <f>"NOC2L"</f>
        <v>NOC2L</v>
      </c>
      <c r="B11706" t="s">
        <v>14</v>
      </c>
      <c r="C11706" t="s">
        <v>19</v>
      </c>
      <c r="D11706" t="s">
        <v>11</v>
      </c>
      <c r="E11706" t="s">
        <v>12</v>
      </c>
      <c r="F11706">
        <v>894620</v>
      </c>
      <c r="G11706">
        <v>894659</v>
      </c>
      <c r="H11706">
        <v>894306</v>
      </c>
      <c r="I11706">
        <v>894308</v>
      </c>
    </row>
    <row r="11707" spans="1:9" x14ac:dyDescent="0.2">
      <c r="A11707" s="1" t="str">
        <f>"NOC3L"</f>
        <v>NOC3L</v>
      </c>
      <c r="B11707" t="s">
        <v>14</v>
      </c>
      <c r="C11707" t="s">
        <v>15</v>
      </c>
      <c r="D11707" t="s">
        <v>11</v>
      </c>
      <c r="E11707" t="s">
        <v>12</v>
      </c>
      <c r="F11707">
        <v>96122682</v>
      </c>
      <c r="G11707">
        <v>96122730</v>
      </c>
      <c r="H11707">
        <v>96122645</v>
      </c>
      <c r="I11707">
        <v>96122675</v>
      </c>
    </row>
    <row r="11708" spans="1:9" x14ac:dyDescent="0.2">
      <c r="A11708" s="1" t="str">
        <f>"NOC4L"</f>
        <v>NOC4L</v>
      </c>
      <c r="B11708" t="s">
        <v>14</v>
      </c>
      <c r="C11708" t="s">
        <v>16</v>
      </c>
      <c r="D11708" t="s">
        <v>17</v>
      </c>
      <c r="E11708" t="s">
        <v>12</v>
      </c>
      <c r="F11708">
        <v>132628963</v>
      </c>
      <c r="G11708">
        <v>132629027</v>
      </c>
      <c r="H11708">
        <v>132628963</v>
      </c>
      <c r="I11708">
        <v>132629027</v>
      </c>
    </row>
    <row r="11709" spans="1:9" x14ac:dyDescent="0.2">
      <c r="A11709" s="1" t="str">
        <f>"NOD1"</f>
        <v>NOD1</v>
      </c>
      <c r="B11709" t="s">
        <v>14</v>
      </c>
      <c r="C11709" t="s">
        <v>33</v>
      </c>
      <c r="D11709" t="s">
        <v>11</v>
      </c>
      <c r="E11709" t="s">
        <v>12</v>
      </c>
      <c r="F11709">
        <v>30518304</v>
      </c>
      <c r="G11709">
        <v>30518386</v>
      </c>
      <c r="H11709">
        <v>30518387</v>
      </c>
      <c r="I11709">
        <v>30518411</v>
      </c>
    </row>
    <row r="11710" spans="1:9" x14ac:dyDescent="0.2">
      <c r="A11710" s="1" t="str">
        <f>"NOD2"</f>
        <v>NOD2</v>
      </c>
      <c r="B11710" t="s">
        <v>14</v>
      </c>
      <c r="C11710" t="s">
        <v>31</v>
      </c>
      <c r="D11710" t="s">
        <v>17</v>
      </c>
      <c r="E11710" t="s">
        <v>12</v>
      </c>
      <c r="F11710">
        <v>50727479</v>
      </c>
      <c r="G11710">
        <v>50727546</v>
      </c>
      <c r="H11710">
        <v>50727479</v>
      </c>
      <c r="I11710">
        <v>50727546</v>
      </c>
    </row>
    <row r="11711" spans="1:9" x14ac:dyDescent="0.2">
      <c r="A11711" s="1" t="str">
        <f>"NODAL"</f>
        <v>NODAL</v>
      </c>
      <c r="B11711" t="s">
        <v>14</v>
      </c>
      <c r="C11711" t="s">
        <v>15</v>
      </c>
      <c r="D11711" t="s">
        <v>11</v>
      </c>
      <c r="E11711" t="s">
        <v>12</v>
      </c>
      <c r="F11711">
        <v>72201429</v>
      </c>
      <c r="G11711">
        <v>72201443</v>
      </c>
      <c r="H11711">
        <v>72201370</v>
      </c>
      <c r="I11711">
        <v>72201379</v>
      </c>
    </row>
    <row r="11712" spans="1:9" x14ac:dyDescent="0.2">
      <c r="A11712" s="1" t="str">
        <f>"NOG"</f>
        <v>NOG</v>
      </c>
      <c r="B11712" t="s">
        <v>14</v>
      </c>
      <c r="C11712" t="s">
        <v>28</v>
      </c>
      <c r="D11712" t="s">
        <v>17</v>
      </c>
      <c r="E11712" t="s">
        <v>12</v>
      </c>
      <c r="F11712">
        <v>54671047</v>
      </c>
      <c r="G11712">
        <v>54671075</v>
      </c>
      <c r="H11712">
        <v>54671184</v>
      </c>
      <c r="I11712">
        <v>54671198</v>
      </c>
    </row>
    <row r="11713" spans="1:9" x14ac:dyDescent="0.2">
      <c r="A11713" s="1" t="str">
        <f>"NOL10"</f>
        <v>NOL10</v>
      </c>
      <c r="B11713" t="s">
        <v>14</v>
      </c>
      <c r="C11713" t="s">
        <v>26</v>
      </c>
      <c r="D11713" t="s">
        <v>11</v>
      </c>
      <c r="E11713" t="s">
        <v>12</v>
      </c>
      <c r="F11713">
        <v>10830094</v>
      </c>
      <c r="G11713">
        <v>10830109</v>
      </c>
      <c r="H11713">
        <v>10830094</v>
      </c>
      <c r="I11713">
        <v>10830109</v>
      </c>
    </row>
    <row r="11714" spans="1:9" x14ac:dyDescent="0.2">
      <c r="A11714" s="1" t="str">
        <f>"NOL11"</f>
        <v>NOL11</v>
      </c>
      <c r="B11714" t="s">
        <v>14</v>
      </c>
      <c r="C11714" t="s">
        <v>28</v>
      </c>
      <c r="D11714" t="s">
        <v>17</v>
      </c>
      <c r="E11714" t="s">
        <v>12</v>
      </c>
      <c r="F11714">
        <v>65714018</v>
      </c>
      <c r="G11714">
        <v>65714067</v>
      </c>
      <c r="H11714">
        <v>65713925</v>
      </c>
      <c r="I11714">
        <v>65713935</v>
      </c>
    </row>
    <row r="11715" spans="1:9" x14ac:dyDescent="0.2">
      <c r="A11715" s="1" t="str">
        <f>"NOL12"</f>
        <v>NOL12</v>
      </c>
      <c r="B11715" t="s">
        <v>14</v>
      </c>
      <c r="C11715" t="s">
        <v>21</v>
      </c>
      <c r="D11715" t="s">
        <v>17</v>
      </c>
      <c r="E11715" t="s">
        <v>12</v>
      </c>
      <c r="F11715">
        <v>38082338</v>
      </c>
      <c r="G11715">
        <v>38082381</v>
      </c>
      <c r="H11715">
        <v>38082385</v>
      </c>
      <c r="I11715">
        <v>38082412</v>
      </c>
    </row>
    <row r="11716" spans="1:9" x14ac:dyDescent="0.2">
      <c r="A11716" s="1" t="str">
        <f>"NOL3"</f>
        <v>NOL3</v>
      </c>
      <c r="B11716" t="s">
        <v>9</v>
      </c>
      <c r="C11716" t="s">
        <v>31</v>
      </c>
      <c r="D11716" t="s">
        <v>17</v>
      </c>
      <c r="E11716" t="s">
        <v>12</v>
      </c>
      <c r="F11716">
        <v>67204418</v>
      </c>
      <c r="G11716">
        <v>67204453</v>
      </c>
      <c r="H11716">
        <v>67204418</v>
      </c>
      <c r="I11716">
        <v>67204453</v>
      </c>
    </row>
    <row r="11717" spans="1:9" x14ac:dyDescent="0.2">
      <c r="A11717" s="1" t="str">
        <f>"NOL3"</f>
        <v>NOL3</v>
      </c>
      <c r="B11717" t="s">
        <v>13</v>
      </c>
      <c r="C11717" t="s">
        <v>31</v>
      </c>
      <c r="D11717" t="s">
        <v>17</v>
      </c>
      <c r="E11717" t="s">
        <v>12</v>
      </c>
      <c r="F11717">
        <v>67207838</v>
      </c>
      <c r="G11717">
        <v>67207870</v>
      </c>
      <c r="H11717">
        <v>67207838</v>
      </c>
      <c r="I11717">
        <v>67207870</v>
      </c>
    </row>
    <row r="11718" spans="1:9" x14ac:dyDescent="0.2">
      <c r="A11718" s="1" t="str">
        <f>"NOL4"</f>
        <v>NOL4</v>
      </c>
      <c r="B11718" t="s">
        <v>14</v>
      </c>
      <c r="C11718" t="s">
        <v>43</v>
      </c>
      <c r="D11718" t="s">
        <v>11</v>
      </c>
      <c r="E11718" t="s">
        <v>12</v>
      </c>
      <c r="F11718">
        <v>31802972</v>
      </c>
      <c r="G11718">
        <v>31803021</v>
      </c>
      <c r="H11718">
        <v>31803218</v>
      </c>
      <c r="I11718">
        <v>31803249</v>
      </c>
    </row>
    <row r="11719" spans="1:9" x14ac:dyDescent="0.2">
      <c r="A11719" s="1" t="str">
        <f>"NOL6"</f>
        <v>NOL6</v>
      </c>
      <c r="B11719" t="s">
        <v>14</v>
      </c>
      <c r="C11719" t="s">
        <v>24</v>
      </c>
      <c r="D11719" t="s">
        <v>11</v>
      </c>
      <c r="E11719" t="s">
        <v>12</v>
      </c>
      <c r="F11719">
        <v>33473882</v>
      </c>
      <c r="G11719">
        <v>33473927</v>
      </c>
      <c r="H11719">
        <v>33473853</v>
      </c>
      <c r="I11719">
        <v>33473873</v>
      </c>
    </row>
    <row r="11720" spans="1:9" x14ac:dyDescent="0.2">
      <c r="A11720" s="1" t="str">
        <f>"NOL7"</f>
        <v>NOL7</v>
      </c>
      <c r="B11720" t="s">
        <v>14</v>
      </c>
      <c r="C11720" t="s">
        <v>32</v>
      </c>
      <c r="D11720" t="s">
        <v>17</v>
      </c>
      <c r="E11720" t="s">
        <v>12</v>
      </c>
      <c r="F11720">
        <v>13615554</v>
      </c>
      <c r="G11720">
        <v>13615601</v>
      </c>
      <c r="H11720">
        <v>13615939</v>
      </c>
      <c r="I11720">
        <v>13615954</v>
      </c>
    </row>
    <row r="11721" spans="1:9" x14ac:dyDescent="0.2">
      <c r="A11721" s="1" t="str">
        <f>"NOL8"</f>
        <v>NOL8</v>
      </c>
      <c r="B11721" t="s">
        <v>14</v>
      </c>
      <c r="C11721" t="s">
        <v>24</v>
      </c>
      <c r="D11721" t="s">
        <v>11</v>
      </c>
      <c r="E11721" t="s">
        <v>12</v>
      </c>
      <c r="F11721">
        <v>95087604</v>
      </c>
      <c r="G11721">
        <v>95087658</v>
      </c>
      <c r="H11721">
        <v>95087859</v>
      </c>
      <c r="I11721">
        <v>95087894</v>
      </c>
    </row>
    <row r="11722" spans="1:9" x14ac:dyDescent="0.2">
      <c r="A11722" s="1" t="str">
        <f>"NOL9"</f>
        <v>NOL9</v>
      </c>
      <c r="B11722" t="s">
        <v>14</v>
      </c>
      <c r="C11722" t="s">
        <v>19</v>
      </c>
      <c r="D11722" t="s">
        <v>11</v>
      </c>
      <c r="E11722" t="s">
        <v>12</v>
      </c>
      <c r="F11722">
        <v>6614565</v>
      </c>
      <c r="G11722">
        <v>6614602</v>
      </c>
      <c r="H11722">
        <v>6614565</v>
      </c>
      <c r="I11722">
        <v>6614602</v>
      </c>
    </row>
    <row r="11723" spans="1:9" x14ac:dyDescent="0.2">
      <c r="A11723" s="1" t="str">
        <f>"NOLC1"</f>
        <v>NOLC1</v>
      </c>
      <c r="B11723" t="s">
        <v>14</v>
      </c>
      <c r="C11723" t="s">
        <v>15</v>
      </c>
      <c r="D11723" t="s">
        <v>17</v>
      </c>
      <c r="E11723" t="s">
        <v>12</v>
      </c>
      <c r="F11723">
        <v>103912137</v>
      </c>
      <c r="G11723">
        <v>103912159</v>
      </c>
      <c r="H11723">
        <v>103911926</v>
      </c>
      <c r="I11723">
        <v>103911967</v>
      </c>
    </row>
    <row r="11724" spans="1:9" x14ac:dyDescent="0.2">
      <c r="A11724" s="1" t="str">
        <f>"NOM1"</f>
        <v>NOM1</v>
      </c>
      <c r="B11724" t="s">
        <v>14</v>
      </c>
      <c r="C11724" t="s">
        <v>33</v>
      </c>
      <c r="D11724" t="s">
        <v>17</v>
      </c>
      <c r="E11724" t="s">
        <v>12</v>
      </c>
      <c r="F11724">
        <v>156742399</v>
      </c>
      <c r="G11724">
        <v>156742436</v>
      </c>
      <c r="H11724">
        <v>156742544</v>
      </c>
      <c r="I11724">
        <v>156742548</v>
      </c>
    </row>
    <row r="11725" spans="1:9" x14ac:dyDescent="0.2">
      <c r="A11725" s="1" t="str">
        <f>"NOMO1"</f>
        <v>NOMO1</v>
      </c>
      <c r="B11725" t="s">
        <v>14</v>
      </c>
      <c r="C11725" t="s">
        <v>31</v>
      </c>
      <c r="D11725" t="s">
        <v>17</v>
      </c>
      <c r="E11725" t="s">
        <v>12</v>
      </c>
      <c r="F11725">
        <v>14927576</v>
      </c>
      <c r="G11725">
        <v>14927578</v>
      </c>
      <c r="H11725">
        <v>14927576</v>
      </c>
      <c r="I11725">
        <v>14927578</v>
      </c>
    </row>
    <row r="11726" spans="1:9" x14ac:dyDescent="0.2">
      <c r="A11726" s="1" t="str">
        <f>"NOMO2"</f>
        <v>NOMO2</v>
      </c>
      <c r="B11726" t="s">
        <v>873</v>
      </c>
      <c r="C11726" t="s">
        <v>31</v>
      </c>
      <c r="D11726" t="s">
        <v>11</v>
      </c>
      <c r="E11726" t="s">
        <v>20</v>
      </c>
      <c r="F11726">
        <v>18573532</v>
      </c>
      <c r="G11726">
        <v>18573532</v>
      </c>
      <c r="H11726">
        <v>18573532</v>
      </c>
      <c r="I11726">
        <v>18573532</v>
      </c>
    </row>
    <row r="11727" spans="1:9" x14ac:dyDescent="0.2">
      <c r="A11727" s="1" t="str">
        <f>"NOMO3"</f>
        <v>NOMO3</v>
      </c>
      <c r="B11727" t="s">
        <v>14</v>
      </c>
      <c r="C11727" t="s">
        <v>31</v>
      </c>
      <c r="D11727" t="s">
        <v>17</v>
      </c>
      <c r="E11727" t="s">
        <v>12</v>
      </c>
      <c r="F11727">
        <v>16326373</v>
      </c>
      <c r="G11727">
        <v>16326388</v>
      </c>
      <c r="H11727">
        <v>16326373</v>
      </c>
      <c r="I11727">
        <v>16326388</v>
      </c>
    </row>
    <row r="11728" spans="1:9" x14ac:dyDescent="0.2">
      <c r="A11728" s="1" t="str">
        <f>"NONO"</f>
        <v>NONO</v>
      </c>
      <c r="B11728" t="s">
        <v>14</v>
      </c>
      <c r="C11728" t="s">
        <v>37</v>
      </c>
      <c r="D11728" t="s">
        <v>17</v>
      </c>
      <c r="E11728" t="s">
        <v>12</v>
      </c>
      <c r="F11728">
        <v>70503447</v>
      </c>
      <c r="G11728">
        <v>70503517</v>
      </c>
      <c r="H11728">
        <v>70503529</v>
      </c>
      <c r="I11728">
        <v>70503549</v>
      </c>
    </row>
    <row r="11729" spans="1:9" x14ac:dyDescent="0.2">
      <c r="A11729" s="1" t="str">
        <f>"NOP10"</f>
        <v>NOP10</v>
      </c>
      <c r="B11729" t="s">
        <v>14</v>
      </c>
      <c r="C11729" t="s">
        <v>25</v>
      </c>
      <c r="D11729" t="s">
        <v>11</v>
      </c>
      <c r="E11729" t="s">
        <v>12</v>
      </c>
      <c r="F11729">
        <v>34635314</v>
      </c>
      <c r="G11729">
        <v>34635368</v>
      </c>
      <c r="H11729">
        <v>34635297</v>
      </c>
      <c r="I11729">
        <v>34635308</v>
      </c>
    </row>
    <row r="11730" spans="1:9" x14ac:dyDescent="0.2">
      <c r="A11730" s="1" t="str">
        <f>"NOP14"</f>
        <v>NOP14</v>
      </c>
      <c r="B11730" t="s">
        <v>14</v>
      </c>
      <c r="C11730" t="s">
        <v>23</v>
      </c>
      <c r="D11730" t="s">
        <v>11</v>
      </c>
      <c r="E11730" t="s">
        <v>12</v>
      </c>
      <c r="F11730">
        <v>2965052</v>
      </c>
      <c r="G11730">
        <v>2965162</v>
      </c>
      <c r="H11730">
        <v>2965218</v>
      </c>
      <c r="I11730">
        <v>2965229</v>
      </c>
    </row>
    <row r="11731" spans="1:9" x14ac:dyDescent="0.2">
      <c r="A11731" s="1" t="str">
        <f>"NOP16"</f>
        <v>NOP16</v>
      </c>
      <c r="B11731" t="s">
        <v>14</v>
      </c>
      <c r="C11731" t="s">
        <v>46</v>
      </c>
      <c r="D11731" t="s">
        <v>11</v>
      </c>
      <c r="E11731" t="s">
        <v>12</v>
      </c>
      <c r="F11731">
        <v>175815565</v>
      </c>
      <c r="G11731">
        <v>175815615</v>
      </c>
      <c r="H11731">
        <v>175816032</v>
      </c>
      <c r="I11731">
        <v>175816056</v>
      </c>
    </row>
    <row r="11732" spans="1:9" x14ac:dyDescent="0.2">
      <c r="A11732" s="1" t="str">
        <f>"NOP2"</f>
        <v>NOP2</v>
      </c>
      <c r="B11732" t="s">
        <v>14</v>
      </c>
      <c r="C11732" t="s">
        <v>16</v>
      </c>
      <c r="D11732" t="s">
        <v>11</v>
      </c>
      <c r="E11732" t="s">
        <v>12</v>
      </c>
      <c r="F11732">
        <v>6677422</v>
      </c>
      <c r="G11732">
        <v>6677495</v>
      </c>
      <c r="H11732">
        <v>6677422</v>
      </c>
      <c r="I11732">
        <v>6677495</v>
      </c>
    </row>
    <row r="11733" spans="1:9" x14ac:dyDescent="0.2">
      <c r="A11733" s="1" t="str">
        <f>"NOP56"</f>
        <v>NOP56</v>
      </c>
      <c r="B11733" t="s">
        <v>14</v>
      </c>
      <c r="C11733" t="s">
        <v>29</v>
      </c>
      <c r="D11733" t="s">
        <v>17</v>
      </c>
      <c r="E11733" t="s">
        <v>12</v>
      </c>
      <c r="F11733">
        <v>2633269</v>
      </c>
      <c r="G11733">
        <v>2633287</v>
      </c>
      <c r="H11733">
        <v>2633232</v>
      </c>
      <c r="I11733">
        <v>2633252</v>
      </c>
    </row>
    <row r="11734" spans="1:9" x14ac:dyDescent="0.2">
      <c r="A11734" s="1" t="str">
        <f>"NOP58"</f>
        <v>NOP58</v>
      </c>
      <c r="B11734" t="s">
        <v>14</v>
      </c>
      <c r="C11734" t="s">
        <v>26</v>
      </c>
      <c r="D11734" t="s">
        <v>17</v>
      </c>
      <c r="E11734" t="s">
        <v>12</v>
      </c>
      <c r="F11734">
        <v>203130444</v>
      </c>
      <c r="G11734">
        <v>203130502</v>
      </c>
      <c r="H11734">
        <v>203130444</v>
      </c>
      <c r="I11734">
        <v>203130502</v>
      </c>
    </row>
    <row r="11735" spans="1:9" x14ac:dyDescent="0.2">
      <c r="A11735" s="1" t="str">
        <f>"NOP9"</f>
        <v>NOP9</v>
      </c>
      <c r="B11735" t="s">
        <v>14</v>
      </c>
      <c r="C11735" t="s">
        <v>41</v>
      </c>
      <c r="D11735" t="s">
        <v>17</v>
      </c>
      <c r="E11735" t="s">
        <v>12</v>
      </c>
      <c r="F11735">
        <v>24769043</v>
      </c>
      <c r="G11735">
        <v>24769110</v>
      </c>
      <c r="H11735">
        <v>24769114</v>
      </c>
      <c r="I11735">
        <v>24769121</v>
      </c>
    </row>
    <row r="11736" spans="1:9" x14ac:dyDescent="0.2">
      <c r="A11736" s="1" t="str">
        <f>"NOS1"</f>
        <v>NOS1</v>
      </c>
      <c r="B11736" t="s">
        <v>874</v>
      </c>
      <c r="C11736" t="s">
        <v>16</v>
      </c>
      <c r="D11736" t="s">
        <v>11</v>
      </c>
      <c r="E11736" t="s">
        <v>35</v>
      </c>
      <c r="F11736">
        <v>117799566</v>
      </c>
      <c r="G11736">
        <v>117799609</v>
      </c>
      <c r="H11736">
        <v>117799378</v>
      </c>
      <c r="I11736">
        <v>117799392</v>
      </c>
    </row>
    <row r="11737" spans="1:9" x14ac:dyDescent="0.2">
      <c r="A11737" s="1" t="str">
        <f>"NOS1AP"</f>
        <v>NOS1AP</v>
      </c>
      <c r="B11737" t="s">
        <v>14</v>
      </c>
      <c r="C11737" t="s">
        <v>19</v>
      </c>
      <c r="D11737" t="s">
        <v>17</v>
      </c>
      <c r="E11737" t="s">
        <v>12</v>
      </c>
      <c r="F11737">
        <v>162039465</v>
      </c>
      <c r="G11737">
        <v>162039548</v>
      </c>
      <c r="H11737">
        <v>162039558</v>
      </c>
      <c r="I11737">
        <v>162039587</v>
      </c>
    </row>
    <row r="11738" spans="1:9" x14ac:dyDescent="0.2">
      <c r="A11738" s="1" t="str">
        <f>"NOS2"</f>
        <v>NOS2</v>
      </c>
      <c r="B11738" t="s">
        <v>14</v>
      </c>
      <c r="C11738" t="s">
        <v>28</v>
      </c>
      <c r="D11738" t="s">
        <v>11</v>
      </c>
      <c r="E11738" t="s">
        <v>12</v>
      </c>
      <c r="F11738">
        <v>26127550</v>
      </c>
      <c r="G11738">
        <v>26127556</v>
      </c>
      <c r="H11738">
        <v>26127550</v>
      </c>
      <c r="I11738">
        <v>26127556</v>
      </c>
    </row>
    <row r="11739" spans="1:9" x14ac:dyDescent="0.2">
      <c r="A11739" s="1" t="str">
        <f>"NOS3"</f>
        <v>NOS3</v>
      </c>
      <c r="B11739" t="s">
        <v>14</v>
      </c>
      <c r="C11739" t="s">
        <v>33</v>
      </c>
      <c r="D11739" t="s">
        <v>17</v>
      </c>
      <c r="E11739" t="s">
        <v>12</v>
      </c>
      <c r="F11739">
        <v>150690857</v>
      </c>
      <c r="G11739">
        <v>150690878</v>
      </c>
      <c r="H11739">
        <v>150690837</v>
      </c>
      <c r="I11739">
        <v>150690856</v>
      </c>
    </row>
    <row r="11740" spans="1:9" x14ac:dyDescent="0.2">
      <c r="A11740" s="1" t="str">
        <f>"NOSIP"</f>
        <v>NOSIP</v>
      </c>
      <c r="B11740" t="s">
        <v>14</v>
      </c>
      <c r="C11740" t="s">
        <v>10</v>
      </c>
      <c r="D11740" t="s">
        <v>11</v>
      </c>
      <c r="E11740" t="s">
        <v>12</v>
      </c>
      <c r="F11740">
        <v>50083803</v>
      </c>
      <c r="G11740">
        <v>50083821</v>
      </c>
      <c r="H11740">
        <v>50083803</v>
      </c>
      <c r="I11740">
        <v>50083821</v>
      </c>
    </row>
    <row r="11741" spans="1:9" x14ac:dyDescent="0.2">
      <c r="A11741" s="1" t="str">
        <f>"NOSTRIN"</f>
        <v>NOSTRIN</v>
      </c>
      <c r="B11741" t="s">
        <v>14</v>
      </c>
      <c r="C11741" t="s">
        <v>26</v>
      </c>
      <c r="D11741" t="s">
        <v>17</v>
      </c>
      <c r="E11741" t="s">
        <v>12</v>
      </c>
      <c r="F11741">
        <v>169659121</v>
      </c>
      <c r="G11741">
        <v>169659153</v>
      </c>
      <c r="H11741">
        <v>169659075</v>
      </c>
      <c r="I11741">
        <v>169659113</v>
      </c>
    </row>
    <row r="11742" spans="1:9" x14ac:dyDescent="0.2">
      <c r="A11742" s="1" t="str">
        <f>"NOTCH1"</f>
        <v>NOTCH1</v>
      </c>
      <c r="B11742" t="s">
        <v>9</v>
      </c>
      <c r="C11742" t="s">
        <v>24</v>
      </c>
      <c r="D11742" t="s">
        <v>11</v>
      </c>
      <c r="E11742" t="s">
        <v>12</v>
      </c>
      <c r="F11742">
        <v>139440490</v>
      </c>
      <c r="G11742">
        <v>139440506</v>
      </c>
      <c r="H11742">
        <v>139440490</v>
      </c>
      <c r="I11742">
        <v>139440506</v>
      </c>
    </row>
    <row r="11743" spans="1:9" x14ac:dyDescent="0.2">
      <c r="A11743" s="1" t="str">
        <f>"NOTCH1"</f>
        <v>NOTCH1</v>
      </c>
      <c r="B11743" t="s">
        <v>13</v>
      </c>
      <c r="C11743" t="s">
        <v>24</v>
      </c>
      <c r="D11743" t="s">
        <v>11</v>
      </c>
      <c r="E11743" t="s">
        <v>12</v>
      </c>
      <c r="F11743">
        <v>139418377</v>
      </c>
      <c r="G11743">
        <v>139418423</v>
      </c>
      <c r="H11743">
        <v>139418377</v>
      </c>
      <c r="I11743">
        <v>139418423</v>
      </c>
    </row>
    <row r="11744" spans="1:9" x14ac:dyDescent="0.2">
      <c r="A11744" s="1" t="str">
        <f>"NOTCH2"</f>
        <v>NOTCH2</v>
      </c>
      <c r="B11744" t="s">
        <v>14</v>
      </c>
      <c r="C11744" t="s">
        <v>19</v>
      </c>
      <c r="D11744" t="s">
        <v>11</v>
      </c>
      <c r="E11744" t="s">
        <v>12</v>
      </c>
      <c r="F11744">
        <v>120612261</v>
      </c>
      <c r="G11744">
        <v>120612288</v>
      </c>
      <c r="H11744">
        <v>120612017</v>
      </c>
      <c r="I11744">
        <v>120612048</v>
      </c>
    </row>
    <row r="11745" spans="1:9" x14ac:dyDescent="0.2">
      <c r="A11745" s="1" t="str">
        <f>"NOTCH2NL"</f>
        <v>NOTCH2NL</v>
      </c>
      <c r="B11745" t="s">
        <v>14</v>
      </c>
      <c r="C11745" t="s">
        <v>19</v>
      </c>
      <c r="D11745" t="s">
        <v>17</v>
      </c>
      <c r="E11745" t="s">
        <v>12</v>
      </c>
      <c r="F11745">
        <v>145209092</v>
      </c>
      <c r="G11745">
        <v>145209163</v>
      </c>
      <c r="H11745">
        <v>145209092</v>
      </c>
      <c r="I11745">
        <v>145209163</v>
      </c>
    </row>
    <row r="11746" spans="1:9" x14ac:dyDescent="0.2">
      <c r="A11746" s="1" t="str">
        <f>"NOTCH3"</f>
        <v>NOTCH3</v>
      </c>
      <c r="B11746" t="s">
        <v>14</v>
      </c>
      <c r="C11746" t="s">
        <v>10</v>
      </c>
      <c r="D11746" t="s">
        <v>11</v>
      </c>
      <c r="E11746" t="s">
        <v>12</v>
      </c>
      <c r="F11746">
        <v>15311796</v>
      </c>
      <c r="G11746">
        <v>15311815</v>
      </c>
      <c r="H11746">
        <v>15311963</v>
      </c>
      <c r="I11746">
        <v>15312000</v>
      </c>
    </row>
    <row r="11747" spans="1:9" x14ac:dyDescent="0.2">
      <c r="A11747" s="1" t="str">
        <f>"NOTCH4"</f>
        <v>NOTCH4</v>
      </c>
      <c r="B11747" t="s">
        <v>9</v>
      </c>
      <c r="C11747" t="s">
        <v>32</v>
      </c>
      <c r="D11747" t="s">
        <v>11</v>
      </c>
      <c r="E11747" t="s">
        <v>12</v>
      </c>
      <c r="F11747">
        <v>32191834</v>
      </c>
      <c r="G11747">
        <v>32191863</v>
      </c>
      <c r="H11747">
        <v>32191834</v>
      </c>
      <c r="I11747">
        <v>32191863</v>
      </c>
    </row>
    <row r="11748" spans="1:9" x14ac:dyDescent="0.2">
      <c r="A11748" s="1" t="str">
        <f>"NOTCH4"</f>
        <v>NOTCH4</v>
      </c>
      <c r="B11748" t="s">
        <v>13</v>
      </c>
      <c r="C11748" t="s">
        <v>32</v>
      </c>
      <c r="D11748" t="s">
        <v>11</v>
      </c>
      <c r="E11748" t="s">
        <v>12</v>
      </c>
      <c r="F11748">
        <v>32164161</v>
      </c>
      <c r="G11748">
        <v>32164208</v>
      </c>
      <c r="H11748">
        <v>32164161</v>
      </c>
      <c r="I11748">
        <v>32164208</v>
      </c>
    </row>
    <row r="11749" spans="1:9" x14ac:dyDescent="0.2">
      <c r="A11749" s="1" t="str">
        <f>"NOTO"</f>
        <v>NOTO</v>
      </c>
      <c r="B11749" t="s">
        <v>14</v>
      </c>
      <c r="C11749" t="s">
        <v>26</v>
      </c>
      <c r="D11749" t="s">
        <v>17</v>
      </c>
      <c r="E11749" t="s">
        <v>12</v>
      </c>
      <c r="F11749">
        <v>73429698</v>
      </c>
      <c r="G11749">
        <v>73429707</v>
      </c>
      <c r="H11749">
        <v>73429698</v>
      </c>
      <c r="I11749">
        <v>73429707</v>
      </c>
    </row>
    <row r="11750" spans="1:9" x14ac:dyDescent="0.2">
      <c r="A11750" s="1" t="str">
        <f>"NOTUM"</f>
        <v>NOTUM</v>
      </c>
      <c r="B11750" t="s">
        <v>14</v>
      </c>
      <c r="C11750" t="s">
        <v>28</v>
      </c>
      <c r="D11750" t="s">
        <v>11</v>
      </c>
      <c r="E11750" t="s">
        <v>12</v>
      </c>
      <c r="F11750">
        <v>79919053</v>
      </c>
      <c r="G11750">
        <v>79919070</v>
      </c>
      <c r="H11750">
        <v>79919029</v>
      </c>
      <c r="I11750">
        <v>79919040</v>
      </c>
    </row>
    <row r="11751" spans="1:9" x14ac:dyDescent="0.2">
      <c r="A11751" s="1" t="str">
        <f>"NOV"</f>
        <v>NOV</v>
      </c>
      <c r="B11751" t="s">
        <v>14</v>
      </c>
      <c r="C11751" t="s">
        <v>30</v>
      </c>
      <c r="D11751" t="s">
        <v>17</v>
      </c>
      <c r="E11751" t="s">
        <v>12</v>
      </c>
      <c r="F11751">
        <v>120428678</v>
      </c>
      <c r="G11751">
        <v>120428695</v>
      </c>
      <c r="H11751">
        <v>120428600</v>
      </c>
      <c r="I11751">
        <v>120428642</v>
      </c>
    </row>
    <row r="11752" spans="1:9" x14ac:dyDescent="0.2">
      <c r="A11752" s="1" t="str">
        <f>"NOVA1"</f>
        <v>NOVA1</v>
      </c>
      <c r="B11752" t="s">
        <v>14</v>
      </c>
      <c r="C11752" t="s">
        <v>41</v>
      </c>
      <c r="D11752" t="s">
        <v>11</v>
      </c>
      <c r="E11752" t="s">
        <v>12</v>
      </c>
      <c r="F11752">
        <v>27067231</v>
      </c>
      <c r="G11752">
        <v>27067247</v>
      </c>
      <c r="H11752">
        <v>27067231</v>
      </c>
      <c r="I11752">
        <v>27067247</v>
      </c>
    </row>
    <row r="11753" spans="1:9" x14ac:dyDescent="0.2">
      <c r="A11753" s="1" t="str">
        <f>"NOVA2"</f>
        <v>NOVA2</v>
      </c>
      <c r="B11753" t="s">
        <v>14</v>
      </c>
      <c r="C11753" t="s">
        <v>10</v>
      </c>
      <c r="D11753" t="s">
        <v>11</v>
      </c>
      <c r="E11753" t="s">
        <v>12</v>
      </c>
      <c r="F11753">
        <v>46476791</v>
      </c>
      <c r="G11753">
        <v>46476819</v>
      </c>
      <c r="H11753">
        <v>46476654</v>
      </c>
      <c r="I11753">
        <v>46476725</v>
      </c>
    </row>
    <row r="11754" spans="1:9" x14ac:dyDescent="0.2">
      <c r="A11754" s="1" t="str">
        <f>"NOX1"</f>
        <v>NOX1</v>
      </c>
      <c r="B11754" t="s">
        <v>14</v>
      </c>
      <c r="C11754" t="s">
        <v>37</v>
      </c>
      <c r="D11754" t="s">
        <v>11</v>
      </c>
      <c r="E11754" t="s">
        <v>12</v>
      </c>
      <c r="F11754">
        <v>100129283</v>
      </c>
      <c r="G11754">
        <v>100129294</v>
      </c>
      <c r="H11754">
        <v>100129340</v>
      </c>
      <c r="I11754">
        <v>100129353</v>
      </c>
    </row>
    <row r="11755" spans="1:9" x14ac:dyDescent="0.2">
      <c r="A11755" s="1" t="str">
        <f>"NOX3"</f>
        <v>NOX3</v>
      </c>
      <c r="B11755" t="s">
        <v>14</v>
      </c>
      <c r="C11755" t="s">
        <v>32</v>
      </c>
      <c r="D11755" t="s">
        <v>11</v>
      </c>
      <c r="E11755" t="s">
        <v>12</v>
      </c>
      <c r="F11755">
        <v>155776966</v>
      </c>
      <c r="G11755">
        <v>155776979</v>
      </c>
      <c r="H11755">
        <v>155777055</v>
      </c>
      <c r="I11755">
        <v>155777084</v>
      </c>
    </row>
    <row r="11756" spans="1:9" x14ac:dyDescent="0.2">
      <c r="A11756" s="1" t="str">
        <f>"NOX4"</f>
        <v>NOX4</v>
      </c>
      <c r="B11756" t="s">
        <v>14</v>
      </c>
      <c r="C11756" t="s">
        <v>27</v>
      </c>
      <c r="D11756" t="s">
        <v>11</v>
      </c>
      <c r="E11756" t="s">
        <v>12</v>
      </c>
      <c r="F11756">
        <v>89224508</v>
      </c>
      <c r="G11756">
        <v>89224563</v>
      </c>
      <c r="H11756">
        <v>89224667</v>
      </c>
      <c r="I11756">
        <v>89224681</v>
      </c>
    </row>
    <row r="11757" spans="1:9" x14ac:dyDescent="0.2">
      <c r="A11757" s="1" t="str">
        <f>"NOX5"</f>
        <v>NOX5</v>
      </c>
      <c r="B11757" t="s">
        <v>14</v>
      </c>
      <c r="C11757" t="s">
        <v>25</v>
      </c>
      <c r="D11757" t="s">
        <v>17</v>
      </c>
      <c r="E11757" t="s">
        <v>12</v>
      </c>
      <c r="F11757">
        <v>69222827</v>
      </c>
      <c r="G11757">
        <v>69222904</v>
      </c>
      <c r="H11757">
        <v>69222909</v>
      </c>
      <c r="I11757">
        <v>69222922</v>
      </c>
    </row>
    <row r="11758" spans="1:9" x14ac:dyDescent="0.2">
      <c r="A11758" s="1" t="str">
        <f>"NOXA1"</f>
        <v>NOXA1</v>
      </c>
      <c r="B11758" t="s">
        <v>14</v>
      </c>
      <c r="C11758" t="s">
        <v>24</v>
      </c>
      <c r="D11758" t="s">
        <v>17</v>
      </c>
      <c r="E11758" t="s">
        <v>12</v>
      </c>
      <c r="F11758">
        <v>140317828</v>
      </c>
      <c r="G11758">
        <v>140317894</v>
      </c>
      <c r="H11758">
        <v>140317940</v>
      </c>
      <c r="I11758">
        <v>140317977</v>
      </c>
    </row>
    <row r="11759" spans="1:9" x14ac:dyDescent="0.2">
      <c r="A11759" s="1" t="str">
        <f>"NOXO1"</f>
        <v>NOXO1</v>
      </c>
      <c r="B11759" t="s">
        <v>14</v>
      </c>
      <c r="C11759" t="s">
        <v>31</v>
      </c>
      <c r="D11759" t="s">
        <v>11</v>
      </c>
      <c r="E11759" t="s">
        <v>12</v>
      </c>
      <c r="F11759">
        <v>2031464</v>
      </c>
      <c r="G11759">
        <v>2031475</v>
      </c>
      <c r="H11759">
        <v>2031433</v>
      </c>
      <c r="I11759">
        <v>2031447</v>
      </c>
    </row>
    <row r="11760" spans="1:9" x14ac:dyDescent="0.2">
      <c r="A11760" s="1" t="str">
        <f>"NOXRED1"</f>
        <v>NOXRED1</v>
      </c>
      <c r="B11760" t="s">
        <v>14</v>
      </c>
      <c r="C11760" t="s">
        <v>41</v>
      </c>
      <c r="D11760" t="s">
        <v>11</v>
      </c>
      <c r="E11760" t="s">
        <v>12</v>
      </c>
      <c r="F11760">
        <v>77889860</v>
      </c>
      <c r="G11760">
        <v>77889878</v>
      </c>
      <c r="H11760">
        <v>77889860</v>
      </c>
      <c r="I11760">
        <v>77889878</v>
      </c>
    </row>
    <row r="11761" spans="1:9" x14ac:dyDescent="0.2">
      <c r="A11761" s="1" t="str">
        <f>"NPAP1"</f>
        <v>NPAP1</v>
      </c>
      <c r="B11761" t="s">
        <v>14</v>
      </c>
      <c r="C11761" t="s">
        <v>25</v>
      </c>
      <c r="D11761" t="s">
        <v>17</v>
      </c>
      <c r="E11761" t="s">
        <v>12</v>
      </c>
      <c r="F11761">
        <v>24920916</v>
      </c>
      <c r="G11761">
        <v>24920926</v>
      </c>
      <c r="H11761">
        <v>24920916</v>
      </c>
      <c r="I11761">
        <v>24920926</v>
      </c>
    </row>
    <row r="11762" spans="1:9" x14ac:dyDescent="0.2">
      <c r="A11762" s="1" t="str">
        <f>"NPAS1"</f>
        <v>NPAS1</v>
      </c>
      <c r="B11762" t="s">
        <v>14</v>
      </c>
      <c r="C11762" t="s">
        <v>10</v>
      </c>
      <c r="D11762" t="s">
        <v>17</v>
      </c>
      <c r="E11762" t="s">
        <v>12</v>
      </c>
      <c r="F11762">
        <v>47523058</v>
      </c>
      <c r="G11762">
        <v>47523114</v>
      </c>
      <c r="H11762">
        <v>47523058</v>
      </c>
      <c r="I11762">
        <v>47523114</v>
      </c>
    </row>
    <row r="11763" spans="1:9" x14ac:dyDescent="0.2">
      <c r="A11763" s="1" t="str">
        <f>"NPAS2"</f>
        <v>NPAS2</v>
      </c>
      <c r="B11763" t="s">
        <v>14</v>
      </c>
      <c r="C11763" t="s">
        <v>26</v>
      </c>
      <c r="D11763" t="s">
        <v>17</v>
      </c>
      <c r="E11763" t="s">
        <v>12</v>
      </c>
      <c r="F11763">
        <v>101436564</v>
      </c>
      <c r="G11763">
        <v>101436647</v>
      </c>
      <c r="H11763">
        <v>101436564</v>
      </c>
      <c r="I11763">
        <v>101436647</v>
      </c>
    </row>
    <row r="11764" spans="1:9" x14ac:dyDescent="0.2">
      <c r="A11764" s="1" t="str">
        <f>"NPAS3"</f>
        <v>NPAS3</v>
      </c>
      <c r="B11764" t="s">
        <v>14</v>
      </c>
      <c r="C11764" t="s">
        <v>41</v>
      </c>
      <c r="D11764" t="s">
        <v>17</v>
      </c>
      <c r="E11764" t="s">
        <v>12</v>
      </c>
      <c r="F11764">
        <v>33403881</v>
      </c>
      <c r="G11764">
        <v>33403924</v>
      </c>
      <c r="H11764">
        <v>33403881</v>
      </c>
      <c r="I11764">
        <v>33403924</v>
      </c>
    </row>
    <row r="11765" spans="1:9" x14ac:dyDescent="0.2">
      <c r="A11765" s="1" t="str">
        <f>"NPAS4"</f>
        <v>NPAS4</v>
      </c>
      <c r="B11765" t="s">
        <v>14</v>
      </c>
      <c r="C11765" t="s">
        <v>27</v>
      </c>
      <c r="D11765" t="s">
        <v>17</v>
      </c>
      <c r="E11765" t="s">
        <v>12</v>
      </c>
      <c r="F11765">
        <v>66188503</v>
      </c>
      <c r="G11765">
        <v>66188511</v>
      </c>
      <c r="H11765">
        <v>66188382</v>
      </c>
      <c r="I11765">
        <v>66188385</v>
      </c>
    </row>
    <row r="11766" spans="1:9" x14ac:dyDescent="0.2">
      <c r="A11766" s="1" t="str">
        <f>"NPAT"</f>
        <v>NPAT</v>
      </c>
      <c r="B11766" t="s">
        <v>14</v>
      </c>
      <c r="C11766" t="s">
        <v>27</v>
      </c>
      <c r="D11766" t="s">
        <v>11</v>
      </c>
      <c r="E11766" t="s">
        <v>12</v>
      </c>
      <c r="F11766">
        <v>108093329</v>
      </c>
      <c r="G11766">
        <v>108093375</v>
      </c>
      <c r="H11766">
        <v>108093381</v>
      </c>
      <c r="I11766">
        <v>108093390</v>
      </c>
    </row>
    <row r="11767" spans="1:9" x14ac:dyDescent="0.2">
      <c r="A11767" s="1" t="str">
        <f>"NPB"</f>
        <v>NPB</v>
      </c>
      <c r="B11767" t="s">
        <v>14</v>
      </c>
      <c r="C11767" t="s">
        <v>28</v>
      </c>
      <c r="D11767" t="s">
        <v>17</v>
      </c>
      <c r="E11767" t="s">
        <v>12</v>
      </c>
      <c r="F11767">
        <v>79860053</v>
      </c>
      <c r="G11767">
        <v>79860090</v>
      </c>
      <c r="H11767">
        <v>79860107</v>
      </c>
      <c r="I11767">
        <v>79860120</v>
      </c>
    </row>
    <row r="11768" spans="1:9" x14ac:dyDescent="0.2">
      <c r="A11768" s="1" t="str">
        <f>"NPBWR1"</f>
        <v>NPBWR1</v>
      </c>
      <c r="B11768" t="s">
        <v>14</v>
      </c>
      <c r="C11768" t="s">
        <v>30</v>
      </c>
      <c r="D11768" t="s">
        <v>17</v>
      </c>
      <c r="E11768" t="s">
        <v>12</v>
      </c>
      <c r="F11768">
        <v>53852965</v>
      </c>
      <c r="G11768">
        <v>53852990</v>
      </c>
      <c r="H11768">
        <v>53852259</v>
      </c>
      <c r="I11768">
        <v>53852285</v>
      </c>
    </row>
    <row r="11769" spans="1:9" x14ac:dyDescent="0.2">
      <c r="A11769" s="1" t="str">
        <f>"NPBWR2"</f>
        <v>NPBWR2</v>
      </c>
      <c r="B11769" t="s">
        <v>14</v>
      </c>
      <c r="C11769" t="s">
        <v>29</v>
      </c>
      <c r="D11769" t="s">
        <v>11</v>
      </c>
      <c r="E11769" t="s">
        <v>12</v>
      </c>
      <c r="F11769">
        <v>62738899</v>
      </c>
      <c r="G11769">
        <v>62738931</v>
      </c>
      <c r="H11769">
        <v>62738899</v>
      </c>
      <c r="I11769">
        <v>62738931</v>
      </c>
    </row>
    <row r="11770" spans="1:9" x14ac:dyDescent="0.2">
      <c r="A11770" s="1" t="str">
        <f>"NPC1"</f>
        <v>NPC1</v>
      </c>
      <c r="B11770" t="s">
        <v>14</v>
      </c>
      <c r="C11770" t="s">
        <v>43</v>
      </c>
      <c r="D11770" t="s">
        <v>11</v>
      </c>
      <c r="E11770" t="s">
        <v>12</v>
      </c>
      <c r="F11770">
        <v>21166386</v>
      </c>
      <c r="G11770">
        <v>21166479</v>
      </c>
      <c r="H11770">
        <v>21166865</v>
      </c>
      <c r="I11770">
        <v>21166956</v>
      </c>
    </row>
    <row r="11771" spans="1:9" x14ac:dyDescent="0.2">
      <c r="A11771" s="1" t="str">
        <f>"NPC1L1"</f>
        <v>NPC1L1</v>
      </c>
      <c r="B11771" t="s">
        <v>14</v>
      </c>
      <c r="C11771" t="s">
        <v>33</v>
      </c>
      <c r="D11771" t="s">
        <v>11</v>
      </c>
      <c r="E11771" t="s">
        <v>12</v>
      </c>
      <c r="F11771">
        <v>44580861</v>
      </c>
      <c r="G11771">
        <v>44580912</v>
      </c>
      <c r="H11771">
        <v>44580918</v>
      </c>
      <c r="I11771">
        <v>44580934</v>
      </c>
    </row>
    <row r="11772" spans="1:9" x14ac:dyDescent="0.2">
      <c r="A11772" s="1" t="str">
        <f>"NPC2"</f>
        <v>NPC2</v>
      </c>
      <c r="B11772" t="s">
        <v>14</v>
      </c>
      <c r="C11772" t="s">
        <v>41</v>
      </c>
      <c r="D11772" t="s">
        <v>11</v>
      </c>
      <c r="E11772" t="s">
        <v>12</v>
      </c>
      <c r="F11772">
        <v>74959995</v>
      </c>
      <c r="G11772">
        <v>74960020</v>
      </c>
      <c r="H11772">
        <v>74960030</v>
      </c>
      <c r="I11772">
        <v>74960050</v>
      </c>
    </row>
    <row r="11773" spans="1:9" x14ac:dyDescent="0.2">
      <c r="A11773" s="1" t="str">
        <f>"NPDC1"</f>
        <v>NPDC1</v>
      </c>
      <c r="B11773" t="s">
        <v>14</v>
      </c>
      <c r="C11773" t="s">
        <v>24</v>
      </c>
      <c r="D11773" t="s">
        <v>11</v>
      </c>
      <c r="E11773" t="s">
        <v>12</v>
      </c>
      <c r="F11773">
        <v>139940608</v>
      </c>
      <c r="G11773">
        <v>139940686</v>
      </c>
      <c r="H11773">
        <v>139940480</v>
      </c>
      <c r="I11773">
        <v>139940605</v>
      </c>
    </row>
    <row r="11774" spans="1:9" x14ac:dyDescent="0.2">
      <c r="A11774" s="1" t="str">
        <f>"NPEPL1"</f>
        <v>NPEPL1</v>
      </c>
      <c r="B11774" t="s">
        <v>14</v>
      </c>
      <c r="C11774" t="s">
        <v>29</v>
      </c>
      <c r="D11774" t="s">
        <v>17</v>
      </c>
      <c r="E11774" t="s">
        <v>12</v>
      </c>
      <c r="F11774">
        <v>57267914</v>
      </c>
      <c r="G11774">
        <v>57267956</v>
      </c>
      <c r="H11774">
        <v>57267823</v>
      </c>
      <c r="I11774">
        <v>57267909</v>
      </c>
    </row>
    <row r="11775" spans="1:9" x14ac:dyDescent="0.2">
      <c r="A11775" s="1" t="str">
        <f>"NPEPPS"</f>
        <v>NPEPPS</v>
      </c>
      <c r="B11775" t="s">
        <v>14</v>
      </c>
      <c r="C11775" t="s">
        <v>28</v>
      </c>
      <c r="D11775" t="s">
        <v>17</v>
      </c>
      <c r="E11775" t="s">
        <v>12</v>
      </c>
      <c r="F11775">
        <v>45608455</v>
      </c>
      <c r="G11775">
        <v>45608490</v>
      </c>
      <c r="H11775">
        <v>45608551</v>
      </c>
      <c r="I11775">
        <v>45608585</v>
      </c>
    </row>
    <row r="11776" spans="1:9" x14ac:dyDescent="0.2">
      <c r="A11776" s="1" t="str">
        <f>"NPFF"</f>
        <v>NPFF</v>
      </c>
      <c r="B11776" t="s">
        <v>14</v>
      </c>
      <c r="C11776" t="s">
        <v>16</v>
      </c>
      <c r="D11776" t="s">
        <v>11</v>
      </c>
      <c r="E11776" t="s">
        <v>12</v>
      </c>
      <c r="F11776">
        <v>53901266</v>
      </c>
      <c r="G11776">
        <v>53901269</v>
      </c>
      <c r="H11776">
        <v>53901266</v>
      </c>
      <c r="I11776">
        <v>53901269</v>
      </c>
    </row>
    <row r="11777" spans="1:9" x14ac:dyDescent="0.2">
      <c r="A11777" s="1" t="str">
        <f>"NPFFR1"</f>
        <v>NPFFR1</v>
      </c>
      <c r="B11777" t="s">
        <v>14</v>
      </c>
      <c r="C11777" t="s">
        <v>15</v>
      </c>
      <c r="D11777" t="s">
        <v>11</v>
      </c>
      <c r="E11777" t="s">
        <v>12</v>
      </c>
      <c r="F11777">
        <v>72043668</v>
      </c>
      <c r="G11777">
        <v>72043706</v>
      </c>
      <c r="H11777">
        <v>72043668</v>
      </c>
      <c r="I11777">
        <v>72043706</v>
      </c>
    </row>
    <row r="11778" spans="1:9" x14ac:dyDescent="0.2">
      <c r="A11778" s="1" t="str">
        <f>"NPFFR2"</f>
        <v>NPFFR2</v>
      </c>
      <c r="B11778" t="s">
        <v>14</v>
      </c>
      <c r="C11778" t="s">
        <v>23</v>
      </c>
      <c r="D11778" t="s">
        <v>17</v>
      </c>
      <c r="E11778" t="s">
        <v>12</v>
      </c>
      <c r="F11778">
        <v>72897707</v>
      </c>
      <c r="G11778">
        <v>72897731</v>
      </c>
      <c r="H11778">
        <v>72897707</v>
      </c>
      <c r="I11778">
        <v>72897731</v>
      </c>
    </row>
    <row r="11779" spans="1:9" x14ac:dyDescent="0.2">
      <c r="A11779" s="1" t="str">
        <f>"NPHP1"</f>
        <v>NPHP1</v>
      </c>
      <c r="B11779" t="s">
        <v>14</v>
      </c>
      <c r="C11779" t="s">
        <v>26</v>
      </c>
      <c r="D11779" t="s">
        <v>11</v>
      </c>
      <c r="E11779" t="s">
        <v>12</v>
      </c>
      <c r="F11779">
        <v>110962544</v>
      </c>
      <c r="G11779">
        <v>110962608</v>
      </c>
      <c r="H11779">
        <v>110962531</v>
      </c>
      <c r="I11779">
        <v>110962542</v>
      </c>
    </row>
    <row r="11780" spans="1:9" x14ac:dyDescent="0.2">
      <c r="A11780" s="1" t="str">
        <f>"NPHP3"</f>
        <v>NPHP3</v>
      </c>
      <c r="B11780" t="s">
        <v>14</v>
      </c>
      <c r="C11780" t="s">
        <v>22</v>
      </c>
      <c r="D11780" t="s">
        <v>11</v>
      </c>
      <c r="E11780" t="s">
        <v>12</v>
      </c>
      <c r="F11780">
        <v>132441209</v>
      </c>
      <c r="G11780">
        <v>132441286</v>
      </c>
      <c r="H11780">
        <v>132441355</v>
      </c>
      <c r="I11780">
        <v>132441366</v>
      </c>
    </row>
    <row r="11781" spans="1:9" x14ac:dyDescent="0.2">
      <c r="A11781" s="1" t="str">
        <f>"NPHP4"</f>
        <v>NPHP4</v>
      </c>
      <c r="B11781" t="s">
        <v>14</v>
      </c>
      <c r="C11781" t="s">
        <v>19</v>
      </c>
      <c r="D11781" t="s">
        <v>11</v>
      </c>
      <c r="E11781" t="s">
        <v>12</v>
      </c>
      <c r="F11781">
        <v>6052463</v>
      </c>
      <c r="G11781">
        <v>6052542</v>
      </c>
      <c r="H11781">
        <v>6052426</v>
      </c>
      <c r="I11781">
        <v>6052437</v>
      </c>
    </row>
    <row r="11782" spans="1:9" x14ac:dyDescent="0.2">
      <c r="A11782" s="1" t="str">
        <f>"NPHS1"</f>
        <v>NPHS1</v>
      </c>
      <c r="B11782" t="s">
        <v>9</v>
      </c>
      <c r="C11782" t="s">
        <v>10</v>
      </c>
      <c r="D11782" t="s">
        <v>11</v>
      </c>
      <c r="E11782" t="s">
        <v>12</v>
      </c>
      <c r="F11782">
        <v>36343357</v>
      </c>
      <c r="G11782">
        <v>36343389</v>
      </c>
      <c r="H11782">
        <v>36343357</v>
      </c>
      <c r="I11782">
        <v>36343389</v>
      </c>
    </row>
    <row r="11783" spans="1:9" x14ac:dyDescent="0.2">
      <c r="A11783" s="1" t="str">
        <f>"NPHS1"</f>
        <v>NPHS1</v>
      </c>
      <c r="B11783" t="s">
        <v>13</v>
      </c>
      <c r="C11783" t="s">
        <v>10</v>
      </c>
      <c r="D11783" t="s">
        <v>11</v>
      </c>
      <c r="E11783" t="s">
        <v>12</v>
      </c>
      <c r="F11783">
        <v>36336374</v>
      </c>
      <c r="G11783">
        <v>36336378</v>
      </c>
      <c r="H11783">
        <v>36336374</v>
      </c>
      <c r="I11783">
        <v>36336378</v>
      </c>
    </row>
    <row r="11784" spans="1:9" x14ac:dyDescent="0.2">
      <c r="A11784" s="1" t="str">
        <f>"NPHS2"</f>
        <v>NPHS2</v>
      </c>
      <c r="B11784" t="s">
        <v>14</v>
      </c>
      <c r="C11784" t="s">
        <v>19</v>
      </c>
      <c r="D11784" t="s">
        <v>11</v>
      </c>
      <c r="E11784" t="s">
        <v>12</v>
      </c>
      <c r="F11784">
        <v>179545059</v>
      </c>
      <c r="G11784">
        <v>179545089</v>
      </c>
      <c r="H11784">
        <v>179544797</v>
      </c>
      <c r="I11784">
        <v>179544836</v>
      </c>
    </row>
    <row r="11785" spans="1:9" x14ac:dyDescent="0.2">
      <c r="A11785" s="1" t="str">
        <f>"NPIPA1"</f>
        <v>NPIPA1</v>
      </c>
      <c r="B11785" t="s">
        <v>875</v>
      </c>
      <c r="C11785" t="s">
        <v>31</v>
      </c>
      <c r="D11785" t="s">
        <v>17</v>
      </c>
      <c r="E11785" t="s">
        <v>20</v>
      </c>
      <c r="F11785">
        <v>15031299</v>
      </c>
      <c r="G11785">
        <v>15031299</v>
      </c>
      <c r="H11785">
        <v>15031299</v>
      </c>
      <c r="I11785">
        <v>15031299</v>
      </c>
    </row>
    <row r="11786" spans="1:9" x14ac:dyDescent="0.2">
      <c r="A11786" s="1" t="str">
        <f>"NPIPA2"</f>
        <v>NPIPA2</v>
      </c>
      <c r="B11786" t="s">
        <v>876</v>
      </c>
      <c r="C11786" t="s">
        <v>31</v>
      </c>
      <c r="D11786" t="s">
        <v>17</v>
      </c>
      <c r="E11786" t="s">
        <v>20</v>
      </c>
      <c r="F11786">
        <v>14841922</v>
      </c>
      <c r="G11786">
        <v>14841922</v>
      </c>
      <c r="H11786">
        <v>14841922</v>
      </c>
      <c r="I11786">
        <v>14841922</v>
      </c>
    </row>
    <row r="11787" spans="1:9" x14ac:dyDescent="0.2">
      <c r="A11787" s="1" t="str">
        <f>"NPIPA3"</f>
        <v>NPIPA3</v>
      </c>
      <c r="B11787" t="s">
        <v>877</v>
      </c>
      <c r="C11787" t="s">
        <v>31</v>
      </c>
      <c r="D11787" t="s">
        <v>17</v>
      </c>
      <c r="E11787" t="s">
        <v>20</v>
      </c>
      <c r="F11787">
        <v>14802800</v>
      </c>
      <c r="G11787">
        <v>14802800</v>
      </c>
      <c r="H11787">
        <v>14802800</v>
      </c>
      <c r="I11787">
        <v>14802800</v>
      </c>
    </row>
    <row r="11788" spans="1:9" x14ac:dyDescent="0.2">
      <c r="A11788" s="1" t="str">
        <f>"NPIPA5"</f>
        <v>NPIPA5</v>
      </c>
      <c r="B11788" t="s">
        <v>878</v>
      </c>
      <c r="C11788" t="s">
        <v>31</v>
      </c>
      <c r="D11788" t="s">
        <v>11</v>
      </c>
      <c r="E11788" t="s">
        <v>20</v>
      </c>
      <c r="F11788">
        <v>15474903</v>
      </c>
      <c r="G11788">
        <v>15474903</v>
      </c>
      <c r="H11788">
        <v>15474903</v>
      </c>
      <c r="I11788">
        <v>15474903</v>
      </c>
    </row>
    <row r="11789" spans="1:9" x14ac:dyDescent="0.2">
      <c r="A11789" s="1" t="str">
        <f>"NPIPA7"</f>
        <v>NPIPA7</v>
      </c>
      <c r="B11789" t="s">
        <v>879</v>
      </c>
      <c r="C11789" t="s">
        <v>31</v>
      </c>
      <c r="D11789" t="s">
        <v>17</v>
      </c>
      <c r="E11789" t="s">
        <v>20</v>
      </c>
      <c r="F11789">
        <v>16481597</v>
      </c>
      <c r="G11789">
        <v>16481597</v>
      </c>
      <c r="H11789">
        <v>16481597</v>
      </c>
      <c r="I11789">
        <v>16481597</v>
      </c>
    </row>
    <row r="11790" spans="1:9" x14ac:dyDescent="0.2">
      <c r="A11790" s="1" t="str">
        <f>"NPIPA7"</f>
        <v>NPIPA7</v>
      </c>
      <c r="B11790" t="s">
        <v>880</v>
      </c>
      <c r="C11790" t="s">
        <v>31</v>
      </c>
      <c r="D11790" t="s">
        <v>17</v>
      </c>
      <c r="E11790" t="s">
        <v>20</v>
      </c>
      <c r="F11790">
        <v>16472911</v>
      </c>
      <c r="G11790">
        <v>16472911</v>
      </c>
      <c r="H11790">
        <v>16472911</v>
      </c>
      <c r="I11790">
        <v>16472911</v>
      </c>
    </row>
    <row r="11791" spans="1:9" x14ac:dyDescent="0.2">
      <c r="A11791" s="1" t="str">
        <f>"NPIPA8"</f>
        <v>NPIPA8</v>
      </c>
      <c r="B11791" t="s">
        <v>881</v>
      </c>
      <c r="C11791" t="s">
        <v>31</v>
      </c>
      <c r="D11791" t="s">
        <v>11</v>
      </c>
      <c r="E11791" t="s">
        <v>20</v>
      </c>
      <c r="F11791">
        <v>18441130</v>
      </c>
      <c r="G11791">
        <v>18441130</v>
      </c>
      <c r="H11791">
        <v>18441130</v>
      </c>
      <c r="I11791">
        <v>18441130</v>
      </c>
    </row>
    <row r="11792" spans="1:9" x14ac:dyDescent="0.2">
      <c r="A11792" s="1" t="str">
        <f>"NPIPA8"</f>
        <v>NPIPA8</v>
      </c>
      <c r="B11792" t="s">
        <v>882</v>
      </c>
      <c r="C11792" t="s">
        <v>31</v>
      </c>
      <c r="D11792" t="s">
        <v>11</v>
      </c>
      <c r="E11792" t="s">
        <v>20</v>
      </c>
      <c r="F11792">
        <v>18430592</v>
      </c>
      <c r="G11792">
        <v>18430592</v>
      </c>
      <c r="H11792">
        <v>18430592</v>
      </c>
      <c r="I11792">
        <v>18430592</v>
      </c>
    </row>
    <row r="11793" spans="1:9" x14ac:dyDescent="0.2">
      <c r="A11793" s="1" t="str">
        <f>"NPIPB11"</f>
        <v>NPIPB11</v>
      </c>
      <c r="B11793" t="s">
        <v>883</v>
      </c>
      <c r="C11793" t="s">
        <v>31</v>
      </c>
      <c r="D11793" t="s">
        <v>11</v>
      </c>
      <c r="E11793" t="s">
        <v>20</v>
      </c>
      <c r="F11793">
        <v>29415349</v>
      </c>
      <c r="G11793">
        <v>29415349</v>
      </c>
      <c r="H11793">
        <v>29415349</v>
      </c>
      <c r="I11793">
        <v>29415349</v>
      </c>
    </row>
    <row r="11794" spans="1:9" x14ac:dyDescent="0.2">
      <c r="A11794" s="1" t="str">
        <f>"NPIPB15"</f>
        <v>NPIPB15</v>
      </c>
      <c r="B11794" t="s">
        <v>884</v>
      </c>
      <c r="C11794" t="s">
        <v>31</v>
      </c>
      <c r="D11794" t="s">
        <v>17</v>
      </c>
      <c r="E11794" t="s">
        <v>20</v>
      </c>
      <c r="F11794">
        <v>74411775</v>
      </c>
      <c r="G11794">
        <v>74411775</v>
      </c>
      <c r="H11794">
        <v>74411775</v>
      </c>
      <c r="I11794">
        <v>74411775</v>
      </c>
    </row>
    <row r="11795" spans="1:9" x14ac:dyDescent="0.2">
      <c r="A11795" s="1" t="str">
        <f>"NPIPB3"</f>
        <v>NPIPB3</v>
      </c>
      <c r="B11795" t="s">
        <v>885</v>
      </c>
      <c r="C11795" t="s">
        <v>31</v>
      </c>
      <c r="D11795" t="s">
        <v>11</v>
      </c>
      <c r="E11795" t="s">
        <v>20</v>
      </c>
      <c r="F11795">
        <v>21436458</v>
      </c>
      <c r="G11795">
        <v>21436458</v>
      </c>
      <c r="H11795">
        <v>21436458</v>
      </c>
      <c r="I11795">
        <v>21436458</v>
      </c>
    </row>
    <row r="11796" spans="1:9" x14ac:dyDescent="0.2">
      <c r="A11796" s="1" t="str">
        <f>"NPIPB4"</f>
        <v>NPIPB4</v>
      </c>
      <c r="B11796" t="s">
        <v>886</v>
      </c>
      <c r="C11796" t="s">
        <v>31</v>
      </c>
      <c r="D11796" t="s">
        <v>11</v>
      </c>
      <c r="E11796" t="s">
        <v>20</v>
      </c>
      <c r="F11796">
        <v>21868738</v>
      </c>
      <c r="G11796">
        <v>21868738</v>
      </c>
      <c r="H11796">
        <v>21868738</v>
      </c>
      <c r="I11796">
        <v>21868738</v>
      </c>
    </row>
    <row r="11797" spans="1:9" x14ac:dyDescent="0.2">
      <c r="A11797" s="1" t="str">
        <f>"NPIPB5"</f>
        <v>NPIPB5</v>
      </c>
      <c r="B11797" t="s">
        <v>887</v>
      </c>
      <c r="C11797" t="s">
        <v>31</v>
      </c>
      <c r="D11797" t="s">
        <v>17</v>
      </c>
      <c r="E11797" t="s">
        <v>20</v>
      </c>
      <c r="F11797">
        <v>22524868</v>
      </c>
      <c r="G11797">
        <v>22524868</v>
      </c>
      <c r="H11797">
        <v>22524868</v>
      </c>
      <c r="I11797">
        <v>22524868</v>
      </c>
    </row>
    <row r="11798" spans="1:9" x14ac:dyDescent="0.2">
      <c r="A11798" s="1" t="str">
        <f>"NPIPB6"</f>
        <v>NPIPB6</v>
      </c>
      <c r="B11798" t="s">
        <v>888</v>
      </c>
      <c r="C11798" t="s">
        <v>31</v>
      </c>
      <c r="D11798" t="s">
        <v>11</v>
      </c>
      <c r="E11798" t="s">
        <v>20</v>
      </c>
      <c r="F11798">
        <v>28374828</v>
      </c>
      <c r="G11798">
        <v>28374828</v>
      </c>
      <c r="H11798">
        <v>28374828</v>
      </c>
      <c r="I11798">
        <v>28374828</v>
      </c>
    </row>
    <row r="11799" spans="1:9" x14ac:dyDescent="0.2">
      <c r="A11799" s="1" t="str">
        <f>"NPIPB8"</f>
        <v>NPIPB8</v>
      </c>
      <c r="B11799" t="s">
        <v>889</v>
      </c>
      <c r="C11799" t="s">
        <v>31</v>
      </c>
      <c r="D11799" t="s">
        <v>17</v>
      </c>
      <c r="E11799" t="s">
        <v>20</v>
      </c>
      <c r="F11799">
        <v>28648974</v>
      </c>
      <c r="G11799">
        <v>28648974</v>
      </c>
      <c r="H11799">
        <v>28648974</v>
      </c>
      <c r="I11799">
        <v>28648974</v>
      </c>
    </row>
    <row r="11800" spans="1:9" x14ac:dyDescent="0.2">
      <c r="A11800" s="1" t="str">
        <f>"NPIPB9"</f>
        <v>NPIPB9</v>
      </c>
      <c r="B11800" t="s">
        <v>890</v>
      </c>
      <c r="C11800" t="s">
        <v>31</v>
      </c>
      <c r="D11800" t="s">
        <v>17</v>
      </c>
      <c r="E11800" t="s">
        <v>20</v>
      </c>
      <c r="F11800">
        <v>28770024</v>
      </c>
      <c r="G11800">
        <v>28770024</v>
      </c>
      <c r="H11800">
        <v>28770024</v>
      </c>
      <c r="I11800">
        <v>28770024</v>
      </c>
    </row>
    <row r="11801" spans="1:9" x14ac:dyDescent="0.2">
      <c r="A11801" s="1" t="str">
        <f>"NPL"</f>
        <v>NPL</v>
      </c>
      <c r="B11801" t="s">
        <v>14</v>
      </c>
      <c r="C11801" t="s">
        <v>19</v>
      </c>
      <c r="D11801" t="s">
        <v>17</v>
      </c>
      <c r="E11801" t="s">
        <v>12</v>
      </c>
      <c r="F11801">
        <v>182758900</v>
      </c>
      <c r="G11801">
        <v>182758918</v>
      </c>
      <c r="H11801">
        <v>182758633</v>
      </c>
      <c r="I11801">
        <v>182758658</v>
      </c>
    </row>
    <row r="11802" spans="1:9" x14ac:dyDescent="0.2">
      <c r="A11802" s="1" t="str">
        <f>"NPLOC4"</f>
        <v>NPLOC4</v>
      </c>
      <c r="B11802" t="s">
        <v>14</v>
      </c>
      <c r="C11802" t="s">
        <v>28</v>
      </c>
      <c r="D11802" t="s">
        <v>11</v>
      </c>
      <c r="E11802" t="s">
        <v>12</v>
      </c>
      <c r="F11802">
        <v>79604075</v>
      </c>
      <c r="G11802">
        <v>79604145</v>
      </c>
      <c r="H11802">
        <v>79604075</v>
      </c>
      <c r="I11802">
        <v>79604145</v>
      </c>
    </row>
    <row r="11803" spans="1:9" x14ac:dyDescent="0.2">
      <c r="A11803" s="1" t="str">
        <f>"NPM1"</f>
        <v>NPM1</v>
      </c>
      <c r="B11803" t="s">
        <v>14</v>
      </c>
      <c r="C11803" t="s">
        <v>46</v>
      </c>
      <c r="D11803" t="s">
        <v>17</v>
      </c>
      <c r="E11803" t="s">
        <v>12</v>
      </c>
      <c r="F11803">
        <v>170814846</v>
      </c>
      <c r="G11803">
        <v>170814864</v>
      </c>
      <c r="H11803">
        <v>170814636</v>
      </c>
      <c r="I11803">
        <v>170814674</v>
      </c>
    </row>
    <row r="11804" spans="1:9" x14ac:dyDescent="0.2">
      <c r="A11804" s="1" t="str">
        <f>"NPM2"</f>
        <v>NPM2</v>
      </c>
      <c r="B11804" t="s">
        <v>14</v>
      </c>
      <c r="C11804" t="s">
        <v>30</v>
      </c>
      <c r="D11804" t="s">
        <v>17</v>
      </c>
      <c r="E11804" t="s">
        <v>12</v>
      </c>
      <c r="F11804">
        <v>21881661</v>
      </c>
      <c r="G11804">
        <v>21881729</v>
      </c>
      <c r="H11804">
        <v>21881639</v>
      </c>
      <c r="I11804">
        <v>21881651</v>
      </c>
    </row>
    <row r="11805" spans="1:9" x14ac:dyDescent="0.2">
      <c r="A11805" s="1" t="str">
        <f>"NPM3"</f>
        <v>NPM3</v>
      </c>
      <c r="B11805" t="s">
        <v>14</v>
      </c>
      <c r="C11805" t="s">
        <v>15</v>
      </c>
      <c r="D11805" t="s">
        <v>11</v>
      </c>
      <c r="E11805" t="s">
        <v>12</v>
      </c>
      <c r="F11805">
        <v>103543145</v>
      </c>
      <c r="G11805">
        <v>103543177</v>
      </c>
      <c r="H11805">
        <v>103543068</v>
      </c>
      <c r="I11805">
        <v>103543081</v>
      </c>
    </row>
    <row r="11806" spans="1:9" x14ac:dyDescent="0.2">
      <c r="A11806" s="1" t="str">
        <f>"NPNT"</f>
        <v>NPNT</v>
      </c>
      <c r="B11806" t="s">
        <v>14</v>
      </c>
      <c r="C11806" t="s">
        <v>23</v>
      </c>
      <c r="D11806" t="s">
        <v>17</v>
      </c>
      <c r="E11806" t="s">
        <v>12</v>
      </c>
      <c r="F11806">
        <v>106816615</v>
      </c>
      <c r="G11806">
        <v>106816642</v>
      </c>
      <c r="H11806">
        <v>106816644</v>
      </c>
      <c r="I11806">
        <v>106816670</v>
      </c>
    </row>
    <row r="11807" spans="1:9" x14ac:dyDescent="0.2">
      <c r="A11807" s="1" t="str">
        <f>"NPPA"</f>
        <v>NPPA</v>
      </c>
      <c r="B11807" t="s">
        <v>14</v>
      </c>
      <c r="C11807" t="s">
        <v>19</v>
      </c>
      <c r="D11807" t="s">
        <v>11</v>
      </c>
      <c r="E11807" t="s">
        <v>12</v>
      </c>
      <c r="F11807">
        <v>11907829</v>
      </c>
      <c r="G11807">
        <v>11907847</v>
      </c>
      <c r="H11807">
        <v>11907829</v>
      </c>
      <c r="I11807">
        <v>11907847</v>
      </c>
    </row>
    <row r="11808" spans="1:9" x14ac:dyDescent="0.2">
      <c r="A11808" s="1" t="str">
        <f>"NPPB"</f>
        <v>NPPB</v>
      </c>
      <c r="B11808" t="s">
        <v>14</v>
      </c>
      <c r="C11808" t="s">
        <v>19</v>
      </c>
      <c r="D11808" t="s">
        <v>11</v>
      </c>
      <c r="E11808" t="s">
        <v>12</v>
      </c>
      <c r="F11808">
        <v>11918990</v>
      </c>
      <c r="G11808">
        <v>11919013</v>
      </c>
      <c r="H11808">
        <v>11919027</v>
      </c>
      <c r="I11808">
        <v>11919058</v>
      </c>
    </row>
    <row r="11809" spans="1:9" x14ac:dyDescent="0.2">
      <c r="A11809" s="1" t="str">
        <f>"NPPC"</f>
        <v>NPPC</v>
      </c>
      <c r="B11809" t="s">
        <v>14</v>
      </c>
      <c r="C11809" t="s">
        <v>26</v>
      </c>
      <c r="D11809" t="s">
        <v>11</v>
      </c>
      <c r="E11809" t="s">
        <v>12</v>
      </c>
      <c r="F11809">
        <v>232791098</v>
      </c>
      <c r="G11809">
        <v>232791113</v>
      </c>
      <c r="H11809">
        <v>232791098</v>
      </c>
      <c r="I11809">
        <v>232791113</v>
      </c>
    </row>
    <row r="11810" spans="1:9" x14ac:dyDescent="0.2">
      <c r="A11810" s="1" t="str">
        <f>"NPR1"</f>
        <v>NPR1</v>
      </c>
      <c r="B11810" t="s">
        <v>14</v>
      </c>
      <c r="C11810" t="s">
        <v>19</v>
      </c>
      <c r="D11810" t="s">
        <v>17</v>
      </c>
      <c r="E11810" t="s">
        <v>12</v>
      </c>
      <c r="F11810">
        <v>153651078</v>
      </c>
      <c r="G11810">
        <v>153651140</v>
      </c>
      <c r="H11810">
        <v>153651156</v>
      </c>
      <c r="I11810">
        <v>153651171</v>
      </c>
    </row>
    <row r="11811" spans="1:9" x14ac:dyDescent="0.2">
      <c r="A11811" s="1" t="str">
        <f>"NPR2"</f>
        <v>NPR2</v>
      </c>
      <c r="B11811" t="s">
        <v>14</v>
      </c>
      <c r="C11811" t="s">
        <v>24</v>
      </c>
      <c r="D11811" t="s">
        <v>17</v>
      </c>
      <c r="E11811" t="s">
        <v>12</v>
      </c>
      <c r="F11811">
        <v>35791710</v>
      </c>
      <c r="G11811">
        <v>35791741</v>
      </c>
      <c r="H11811">
        <v>35791710</v>
      </c>
      <c r="I11811">
        <v>35791741</v>
      </c>
    </row>
    <row r="11812" spans="1:9" x14ac:dyDescent="0.2">
      <c r="A11812" s="1" t="str">
        <f>"NPR3"</f>
        <v>NPR3</v>
      </c>
      <c r="B11812" t="s">
        <v>14</v>
      </c>
      <c r="C11812" t="s">
        <v>46</v>
      </c>
      <c r="D11812" t="s">
        <v>17</v>
      </c>
      <c r="E11812" t="s">
        <v>12</v>
      </c>
      <c r="F11812">
        <v>32711419</v>
      </c>
      <c r="G11812">
        <v>32711435</v>
      </c>
      <c r="H11812">
        <v>32710736</v>
      </c>
      <c r="I11812">
        <v>32710788</v>
      </c>
    </row>
    <row r="11813" spans="1:9" x14ac:dyDescent="0.2">
      <c r="A11813" s="1" t="str">
        <f>"NPRL2"</f>
        <v>NPRL2</v>
      </c>
      <c r="B11813" t="s">
        <v>14</v>
      </c>
      <c r="C11813" t="s">
        <v>22</v>
      </c>
      <c r="D11813" t="s">
        <v>11</v>
      </c>
      <c r="E11813" t="s">
        <v>12</v>
      </c>
      <c r="F11813">
        <v>50388141</v>
      </c>
      <c r="G11813">
        <v>50388245</v>
      </c>
      <c r="H11813">
        <v>50388445</v>
      </c>
      <c r="I11813">
        <v>50388495</v>
      </c>
    </row>
    <row r="11814" spans="1:9" x14ac:dyDescent="0.2">
      <c r="A11814" s="1" t="str">
        <f>"NPRL3"</f>
        <v>NPRL3</v>
      </c>
      <c r="B11814" t="s">
        <v>14</v>
      </c>
      <c r="C11814" t="s">
        <v>31</v>
      </c>
      <c r="D11814" t="s">
        <v>11</v>
      </c>
      <c r="E11814" t="s">
        <v>12</v>
      </c>
      <c r="F11814">
        <v>188624</v>
      </c>
      <c r="G11814">
        <v>188679</v>
      </c>
      <c r="H11814">
        <v>188600</v>
      </c>
      <c r="I11814">
        <v>188616</v>
      </c>
    </row>
    <row r="11815" spans="1:9" x14ac:dyDescent="0.2">
      <c r="A11815" s="1" t="str">
        <f>"NPS"</f>
        <v>NPS</v>
      </c>
      <c r="B11815" t="s">
        <v>14</v>
      </c>
      <c r="C11815" t="s">
        <v>15</v>
      </c>
      <c r="D11815" t="s">
        <v>17</v>
      </c>
      <c r="E11815" t="s">
        <v>12</v>
      </c>
      <c r="F11815">
        <v>129347568</v>
      </c>
      <c r="G11815">
        <v>129347575</v>
      </c>
      <c r="H11815">
        <v>129347568</v>
      </c>
      <c r="I11815">
        <v>129347575</v>
      </c>
    </row>
    <row r="11816" spans="1:9" x14ac:dyDescent="0.2">
      <c r="A11816" s="1" t="str">
        <f>"NPSR1"</f>
        <v>NPSR1</v>
      </c>
      <c r="B11816" t="s">
        <v>14</v>
      </c>
      <c r="C11816" t="s">
        <v>33</v>
      </c>
      <c r="D11816" t="s">
        <v>17</v>
      </c>
      <c r="E11816" t="s">
        <v>12</v>
      </c>
      <c r="F11816">
        <v>34697812</v>
      </c>
      <c r="G11816">
        <v>34697844</v>
      </c>
      <c r="H11816">
        <v>34697846</v>
      </c>
      <c r="I11816">
        <v>34697874</v>
      </c>
    </row>
    <row r="11817" spans="1:9" x14ac:dyDescent="0.2">
      <c r="A11817" s="1" t="str">
        <f>"NPTN"</f>
        <v>NPTN</v>
      </c>
      <c r="B11817" t="s">
        <v>14</v>
      </c>
      <c r="C11817" t="s">
        <v>25</v>
      </c>
      <c r="D11817" t="s">
        <v>11</v>
      </c>
      <c r="E11817" t="s">
        <v>12</v>
      </c>
      <c r="F11817">
        <v>73925651</v>
      </c>
      <c r="G11817">
        <v>73925773</v>
      </c>
      <c r="H11817">
        <v>73925575</v>
      </c>
      <c r="I11817">
        <v>73925594</v>
      </c>
    </row>
    <row r="11818" spans="1:9" x14ac:dyDescent="0.2">
      <c r="A11818" s="1" t="str">
        <f>"NPTX1"</f>
        <v>NPTX1</v>
      </c>
      <c r="B11818" t="s">
        <v>14</v>
      </c>
      <c r="C11818" t="s">
        <v>28</v>
      </c>
      <c r="D11818" t="s">
        <v>11</v>
      </c>
      <c r="E11818" t="s">
        <v>12</v>
      </c>
      <c r="F11818">
        <v>78450398</v>
      </c>
      <c r="G11818">
        <v>78450413</v>
      </c>
      <c r="H11818">
        <v>78450398</v>
      </c>
      <c r="I11818">
        <v>78450413</v>
      </c>
    </row>
    <row r="11819" spans="1:9" x14ac:dyDescent="0.2">
      <c r="A11819" s="1" t="str">
        <f>"NPTX2"</f>
        <v>NPTX2</v>
      </c>
      <c r="B11819" t="s">
        <v>14</v>
      </c>
      <c r="C11819" t="s">
        <v>33</v>
      </c>
      <c r="D11819" t="s">
        <v>17</v>
      </c>
      <c r="E11819" t="s">
        <v>12</v>
      </c>
      <c r="F11819">
        <v>98246588</v>
      </c>
      <c r="G11819">
        <v>98246604</v>
      </c>
      <c r="H11819">
        <v>98246983</v>
      </c>
      <c r="I11819">
        <v>98246995</v>
      </c>
    </row>
    <row r="11820" spans="1:9" x14ac:dyDescent="0.2">
      <c r="A11820" s="1" t="str">
        <f>"NPTXR"</f>
        <v>NPTXR</v>
      </c>
      <c r="B11820" t="s">
        <v>14</v>
      </c>
      <c r="C11820" t="s">
        <v>21</v>
      </c>
      <c r="D11820" t="s">
        <v>11</v>
      </c>
      <c r="E11820" t="s">
        <v>12</v>
      </c>
      <c r="F11820">
        <v>39240025</v>
      </c>
      <c r="G11820">
        <v>39240041</v>
      </c>
      <c r="H11820">
        <v>39240025</v>
      </c>
      <c r="I11820">
        <v>39240041</v>
      </c>
    </row>
    <row r="11821" spans="1:9" x14ac:dyDescent="0.2">
      <c r="A11821" s="1" t="str">
        <f>"NPVF"</f>
        <v>NPVF</v>
      </c>
      <c r="B11821" t="s">
        <v>14</v>
      </c>
      <c r="C11821" t="s">
        <v>33</v>
      </c>
      <c r="D11821" t="s">
        <v>11</v>
      </c>
      <c r="E11821" t="s">
        <v>12</v>
      </c>
      <c r="F11821">
        <v>25268104</v>
      </c>
      <c r="G11821">
        <v>25268106</v>
      </c>
      <c r="H11821">
        <v>25268104</v>
      </c>
      <c r="I11821">
        <v>25268106</v>
      </c>
    </row>
    <row r="11822" spans="1:9" x14ac:dyDescent="0.2">
      <c r="A11822" s="1" t="str">
        <f>"NPW"</f>
        <v>NPW</v>
      </c>
      <c r="B11822" t="s">
        <v>14</v>
      </c>
      <c r="C11822" t="s">
        <v>31</v>
      </c>
      <c r="D11822" t="s">
        <v>17</v>
      </c>
      <c r="E11822" t="s">
        <v>12</v>
      </c>
      <c r="F11822">
        <v>2069778</v>
      </c>
      <c r="G11822">
        <v>2069797</v>
      </c>
      <c r="H11822">
        <v>2069744</v>
      </c>
      <c r="I11822">
        <v>2069766</v>
      </c>
    </row>
    <row r="11823" spans="1:9" x14ac:dyDescent="0.2">
      <c r="A11823" s="1" t="str">
        <f>"NPY"</f>
        <v>NPY</v>
      </c>
      <c r="B11823" t="s">
        <v>9</v>
      </c>
      <c r="C11823" t="s">
        <v>33</v>
      </c>
      <c r="D11823" t="s">
        <v>17</v>
      </c>
      <c r="E11823" t="s">
        <v>12</v>
      </c>
      <c r="F11823">
        <v>24323800</v>
      </c>
      <c r="G11823">
        <v>24323815</v>
      </c>
      <c r="H11823">
        <v>24323800</v>
      </c>
      <c r="I11823">
        <v>24323815</v>
      </c>
    </row>
    <row r="11824" spans="1:9" x14ac:dyDescent="0.2">
      <c r="A11824" s="1" t="str">
        <f>"NPY"</f>
        <v>NPY</v>
      </c>
      <c r="B11824" t="s">
        <v>13</v>
      </c>
      <c r="C11824" t="s">
        <v>33</v>
      </c>
      <c r="D11824" t="s">
        <v>17</v>
      </c>
      <c r="E11824" t="s">
        <v>12</v>
      </c>
      <c r="F11824">
        <v>24324837</v>
      </c>
      <c r="G11824">
        <v>24324863</v>
      </c>
      <c r="H11824">
        <v>24324837</v>
      </c>
      <c r="I11824">
        <v>24324863</v>
      </c>
    </row>
    <row r="11825" spans="1:9" x14ac:dyDescent="0.2">
      <c r="A11825" s="1" t="str">
        <f>"NPY1R"</f>
        <v>NPY1R</v>
      </c>
      <c r="B11825" t="s">
        <v>14</v>
      </c>
      <c r="C11825" t="s">
        <v>23</v>
      </c>
      <c r="D11825" t="s">
        <v>11</v>
      </c>
      <c r="E11825" t="s">
        <v>12</v>
      </c>
      <c r="F11825">
        <v>164253738</v>
      </c>
      <c r="G11825">
        <v>164253756</v>
      </c>
      <c r="H11825">
        <v>164253738</v>
      </c>
      <c r="I11825">
        <v>164253756</v>
      </c>
    </row>
    <row r="11826" spans="1:9" x14ac:dyDescent="0.2">
      <c r="A11826" s="1" t="str">
        <f>"NPY2R"</f>
        <v>NPY2R</v>
      </c>
      <c r="B11826" t="s">
        <v>14</v>
      </c>
      <c r="C11826" t="s">
        <v>23</v>
      </c>
      <c r="D11826" t="s">
        <v>17</v>
      </c>
      <c r="E11826" t="s">
        <v>12</v>
      </c>
      <c r="F11826">
        <v>156129778</v>
      </c>
      <c r="G11826">
        <v>156129804</v>
      </c>
      <c r="H11826">
        <v>156129991</v>
      </c>
      <c r="I11826">
        <v>156130013</v>
      </c>
    </row>
    <row r="11827" spans="1:9" x14ac:dyDescent="0.2">
      <c r="A11827" s="1" t="str">
        <f>"NPY4R"</f>
        <v>NPY4R</v>
      </c>
      <c r="B11827" t="s">
        <v>14</v>
      </c>
      <c r="C11827" t="s">
        <v>15</v>
      </c>
      <c r="D11827" t="s">
        <v>17</v>
      </c>
      <c r="E11827" t="s">
        <v>12</v>
      </c>
      <c r="F11827">
        <v>47083454</v>
      </c>
      <c r="G11827">
        <v>47083472</v>
      </c>
      <c r="H11827">
        <v>47083454</v>
      </c>
      <c r="I11827">
        <v>47083472</v>
      </c>
    </row>
    <row r="11828" spans="1:9" x14ac:dyDescent="0.2">
      <c r="A11828" s="1" t="str">
        <f>"NPY5R"</f>
        <v>NPY5R</v>
      </c>
      <c r="B11828" t="s">
        <v>14</v>
      </c>
      <c r="C11828" t="s">
        <v>23</v>
      </c>
      <c r="D11828" t="s">
        <v>17</v>
      </c>
      <c r="E11828" t="s">
        <v>12</v>
      </c>
      <c r="F11828">
        <v>164265035</v>
      </c>
      <c r="G11828">
        <v>164265079</v>
      </c>
      <c r="H11828">
        <v>164265020</v>
      </c>
      <c r="I11828">
        <v>164265027</v>
      </c>
    </row>
    <row r="11829" spans="1:9" x14ac:dyDescent="0.2">
      <c r="A11829" s="1" t="str">
        <f>"NQO1"</f>
        <v>NQO1</v>
      </c>
      <c r="B11829" t="s">
        <v>9</v>
      </c>
      <c r="C11829" t="s">
        <v>31</v>
      </c>
      <c r="D11829" t="s">
        <v>11</v>
      </c>
      <c r="E11829" t="s">
        <v>12</v>
      </c>
      <c r="F11829">
        <v>69760453</v>
      </c>
      <c r="G11829">
        <v>69760476</v>
      </c>
      <c r="H11829">
        <v>69760453</v>
      </c>
      <c r="I11829">
        <v>69760476</v>
      </c>
    </row>
    <row r="11830" spans="1:9" x14ac:dyDescent="0.2">
      <c r="A11830" s="1" t="str">
        <f>"NQO1"</f>
        <v>NQO1</v>
      </c>
      <c r="B11830" t="s">
        <v>13</v>
      </c>
      <c r="C11830" t="s">
        <v>31</v>
      </c>
      <c r="D11830" t="s">
        <v>11</v>
      </c>
      <c r="E11830" t="s">
        <v>12</v>
      </c>
      <c r="F11830">
        <v>69752391</v>
      </c>
      <c r="G11830">
        <v>69752446</v>
      </c>
      <c r="H11830">
        <v>69752391</v>
      </c>
      <c r="I11830">
        <v>69752446</v>
      </c>
    </row>
    <row r="11831" spans="1:9" x14ac:dyDescent="0.2">
      <c r="A11831" s="1" t="str">
        <f>"NQO2"</f>
        <v>NQO2</v>
      </c>
      <c r="B11831" t="s">
        <v>14</v>
      </c>
      <c r="C11831" t="s">
        <v>32</v>
      </c>
      <c r="D11831" t="s">
        <v>17</v>
      </c>
      <c r="E11831" t="s">
        <v>12</v>
      </c>
      <c r="F11831">
        <v>3000057</v>
      </c>
      <c r="G11831">
        <v>3000118</v>
      </c>
      <c r="H11831">
        <v>3000119</v>
      </c>
      <c r="I11831">
        <v>3000136</v>
      </c>
    </row>
    <row r="11832" spans="1:9" x14ac:dyDescent="0.2">
      <c r="A11832" s="1" t="str">
        <f>"NR0B1"</f>
        <v>NR0B1</v>
      </c>
      <c r="B11832" t="s">
        <v>14</v>
      </c>
      <c r="C11832" t="s">
        <v>37</v>
      </c>
      <c r="D11832" t="s">
        <v>11</v>
      </c>
      <c r="E11832" t="s">
        <v>12</v>
      </c>
      <c r="F11832">
        <v>30327504</v>
      </c>
      <c r="G11832">
        <v>30327509</v>
      </c>
      <c r="H11832">
        <v>30326723</v>
      </c>
      <c r="I11832">
        <v>30326738</v>
      </c>
    </row>
    <row r="11833" spans="1:9" x14ac:dyDescent="0.2">
      <c r="A11833" s="1" t="str">
        <f>"NR0B2"</f>
        <v>NR0B2</v>
      </c>
      <c r="B11833" t="s">
        <v>14</v>
      </c>
      <c r="C11833" t="s">
        <v>19</v>
      </c>
      <c r="D11833" t="s">
        <v>11</v>
      </c>
      <c r="E11833" t="s">
        <v>12</v>
      </c>
      <c r="F11833">
        <v>27240455</v>
      </c>
      <c r="G11833">
        <v>27240474</v>
      </c>
      <c r="H11833">
        <v>27240361</v>
      </c>
      <c r="I11833">
        <v>27240377</v>
      </c>
    </row>
    <row r="11834" spans="1:9" x14ac:dyDescent="0.2">
      <c r="A11834" s="1" t="str">
        <f>"NR1D1"</f>
        <v>NR1D1</v>
      </c>
      <c r="B11834" t="s">
        <v>14</v>
      </c>
      <c r="C11834" t="s">
        <v>28</v>
      </c>
      <c r="D11834" t="s">
        <v>11</v>
      </c>
      <c r="E11834" t="s">
        <v>12</v>
      </c>
      <c r="F11834">
        <v>38256822</v>
      </c>
      <c r="G11834">
        <v>38256851</v>
      </c>
      <c r="H11834">
        <v>38256877</v>
      </c>
      <c r="I11834">
        <v>38256900</v>
      </c>
    </row>
    <row r="11835" spans="1:9" x14ac:dyDescent="0.2">
      <c r="A11835" s="1" t="str">
        <f>"NR1D2"</f>
        <v>NR1D2</v>
      </c>
      <c r="B11835" t="s">
        <v>14</v>
      </c>
      <c r="C11835" t="s">
        <v>22</v>
      </c>
      <c r="D11835" t="s">
        <v>17</v>
      </c>
      <c r="E11835" t="s">
        <v>12</v>
      </c>
      <c r="F11835">
        <v>23986762</v>
      </c>
      <c r="G11835">
        <v>23986821</v>
      </c>
      <c r="H11835">
        <v>23986824</v>
      </c>
      <c r="I11835">
        <v>23986848</v>
      </c>
    </row>
    <row r="11836" spans="1:9" x14ac:dyDescent="0.2">
      <c r="A11836" s="1" t="str">
        <f>"NR1H2"</f>
        <v>NR1H2</v>
      </c>
      <c r="B11836" t="s">
        <v>14</v>
      </c>
      <c r="C11836" t="s">
        <v>10</v>
      </c>
      <c r="D11836" t="s">
        <v>17</v>
      </c>
      <c r="E11836" t="s">
        <v>12</v>
      </c>
      <c r="F11836">
        <v>50879705</v>
      </c>
      <c r="G11836">
        <v>50879775</v>
      </c>
      <c r="H11836">
        <v>50879683</v>
      </c>
      <c r="I11836">
        <v>50879695</v>
      </c>
    </row>
    <row r="11837" spans="1:9" x14ac:dyDescent="0.2">
      <c r="A11837" s="1" t="str">
        <f>"NR1H3"</f>
        <v>NR1H3</v>
      </c>
      <c r="B11837" t="s">
        <v>9</v>
      </c>
      <c r="C11837" t="s">
        <v>27</v>
      </c>
      <c r="D11837" t="s">
        <v>17</v>
      </c>
      <c r="E11837" t="s">
        <v>12</v>
      </c>
      <c r="F11837">
        <v>47279504</v>
      </c>
      <c r="G11837">
        <v>47279563</v>
      </c>
      <c r="H11837">
        <v>47279504</v>
      </c>
      <c r="I11837">
        <v>47279563</v>
      </c>
    </row>
    <row r="11838" spans="1:9" x14ac:dyDescent="0.2">
      <c r="A11838" s="1" t="str">
        <f>"NR1H3"</f>
        <v>NR1H3</v>
      </c>
      <c r="B11838" t="s">
        <v>13</v>
      </c>
      <c r="C11838" t="s">
        <v>27</v>
      </c>
      <c r="D11838" t="s">
        <v>17</v>
      </c>
      <c r="E11838" t="s">
        <v>12</v>
      </c>
      <c r="F11838">
        <v>47270436</v>
      </c>
      <c r="G11838">
        <v>47270464</v>
      </c>
      <c r="H11838">
        <v>47270436</v>
      </c>
      <c r="I11838">
        <v>47270464</v>
      </c>
    </row>
    <row r="11839" spans="1:9" x14ac:dyDescent="0.2">
      <c r="A11839" s="1" t="str">
        <f>"NR1H4"</f>
        <v>NR1H4</v>
      </c>
      <c r="B11839" t="s">
        <v>14</v>
      </c>
      <c r="C11839" t="s">
        <v>16</v>
      </c>
      <c r="D11839" t="s">
        <v>17</v>
      </c>
      <c r="E11839" t="s">
        <v>12</v>
      </c>
      <c r="F11839">
        <v>100867627</v>
      </c>
      <c r="G11839">
        <v>100867652</v>
      </c>
      <c r="H11839">
        <v>100867653</v>
      </c>
      <c r="I11839">
        <v>100867677</v>
      </c>
    </row>
    <row r="11840" spans="1:9" x14ac:dyDescent="0.2">
      <c r="A11840" s="1" t="str">
        <f>"NR1I2"</f>
        <v>NR1I2</v>
      </c>
      <c r="B11840" t="s">
        <v>14</v>
      </c>
      <c r="C11840" t="s">
        <v>22</v>
      </c>
      <c r="D11840" t="s">
        <v>17</v>
      </c>
      <c r="E11840" t="s">
        <v>12</v>
      </c>
      <c r="F11840">
        <v>119500941</v>
      </c>
      <c r="G11840">
        <v>119500961</v>
      </c>
      <c r="H11840">
        <v>119500891</v>
      </c>
      <c r="I11840">
        <v>119500904</v>
      </c>
    </row>
    <row r="11841" spans="1:9" x14ac:dyDescent="0.2">
      <c r="A11841" s="1" t="str">
        <f>"NR1I3"</f>
        <v>NR1I3</v>
      </c>
      <c r="B11841" t="s">
        <v>14</v>
      </c>
      <c r="C11841" t="s">
        <v>19</v>
      </c>
      <c r="D11841" t="s">
        <v>11</v>
      </c>
      <c r="E11841" t="s">
        <v>12</v>
      </c>
      <c r="F11841">
        <v>161208013</v>
      </c>
      <c r="G11841">
        <v>161208038</v>
      </c>
      <c r="H11841">
        <v>161207986</v>
      </c>
      <c r="I11841">
        <v>161207998</v>
      </c>
    </row>
    <row r="11842" spans="1:9" x14ac:dyDescent="0.2">
      <c r="A11842" s="1" t="str">
        <f>"NR2C1"</f>
        <v>NR2C1</v>
      </c>
      <c r="B11842" t="s">
        <v>14</v>
      </c>
      <c r="C11842" t="s">
        <v>16</v>
      </c>
      <c r="D11842" t="s">
        <v>11</v>
      </c>
      <c r="E11842" t="s">
        <v>12</v>
      </c>
      <c r="F11842">
        <v>95467267</v>
      </c>
      <c r="G11842">
        <v>95467350</v>
      </c>
      <c r="H11842">
        <v>95467359</v>
      </c>
      <c r="I11842">
        <v>95467417</v>
      </c>
    </row>
    <row r="11843" spans="1:9" x14ac:dyDescent="0.2">
      <c r="A11843" s="1" t="str">
        <f>"NR2C2"</f>
        <v>NR2C2</v>
      </c>
      <c r="B11843" t="s">
        <v>14</v>
      </c>
      <c r="C11843" t="s">
        <v>22</v>
      </c>
      <c r="D11843" t="s">
        <v>17</v>
      </c>
      <c r="E11843" t="s">
        <v>12</v>
      </c>
      <c r="F11843">
        <v>14989076</v>
      </c>
      <c r="G11843">
        <v>14989113</v>
      </c>
      <c r="H11843">
        <v>14989050</v>
      </c>
      <c r="I11843">
        <v>14989069</v>
      </c>
    </row>
    <row r="11844" spans="1:9" x14ac:dyDescent="0.2">
      <c r="A11844" s="1" t="str">
        <f>"NR2C2AP"</f>
        <v>NR2C2AP</v>
      </c>
      <c r="B11844" t="s">
        <v>14</v>
      </c>
      <c r="C11844" t="s">
        <v>10</v>
      </c>
      <c r="D11844" t="s">
        <v>11</v>
      </c>
      <c r="E11844" t="s">
        <v>12</v>
      </c>
      <c r="F11844">
        <v>19314162</v>
      </c>
      <c r="G11844">
        <v>19314258</v>
      </c>
      <c r="H11844">
        <v>19314116</v>
      </c>
      <c r="I11844">
        <v>19314142</v>
      </c>
    </row>
    <row r="11845" spans="1:9" x14ac:dyDescent="0.2">
      <c r="A11845" s="1" t="str">
        <f>"NR2E1"</f>
        <v>NR2E1</v>
      </c>
      <c r="B11845" t="s">
        <v>14</v>
      </c>
      <c r="C11845" t="s">
        <v>32</v>
      </c>
      <c r="D11845" t="s">
        <v>17</v>
      </c>
      <c r="E11845" t="s">
        <v>12</v>
      </c>
      <c r="F11845">
        <v>108487289</v>
      </c>
      <c r="G11845">
        <v>108487302</v>
      </c>
      <c r="H11845">
        <v>108487220</v>
      </c>
      <c r="I11845">
        <v>108487236</v>
      </c>
    </row>
    <row r="11846" spans="1:9" x14ac:dyDescent="0.2">
      <c r="A11846" s="1" t="str">
        <f>"NR2E3"</f>
        <v>NR2E3</v>
      </c>
      <c r="B11846" t="s">
        <v>14</v>
      </c>
      <c r="C11846" t="s">
        <v>25</v>
      </c>
      <c r="D11846" t="s">
        <v>17</v>
      </c>
      <c r="E11846" t="s">
        <v>12</v>
      </c>
      <c r="F11846">
        <v>72102881</v>
      </c>
      <c r="G11846">
        <v>72102925</v>
      </c>
      <c r="H11846">
        <v>72102951</v>
      </c>
      <c r="I11846">
        <v>72102966</v>
      </c>
    </row>
    <row r="11847" spans="1:9" x14ac:dyDescent="0.2">
      <c r="A11847" s="1" t="str">
        <f>"NR2F1"</f>
        <v>NR2F1</v>
      </c>
      <c r="B11847" t="s">
        <v>14</v>
      </c>
      <c r="C11847" t="s">
        <v>46</v>
      </c>
      <c r="D11847" t="s">
        <v>17</v>
      </c>
      <c r="E11847" t="s">
        <v>12</v>
      </c>
      <c r="F11847">
        <v>92918919</v>
      </c>
      <c r="G11847">
        <v>92918942</v>
      </c>
      <c r="H11847">
        <v>92918894</v>
      </c>
      <c r="I11847">
        <v>92918912</v>
      </c>
    </row>
    <row r="11848" spans="1:9" x14ac:dyDescent="0.2">
      <c r="A11848" s="1" t="str">
        <f>"NR2F2"</f>
        <v>NR2F2</v>
      </c>
      <c r="B11848" t="s">
        <v>14</v>
      </c>
      <c r="C11848" t="s">
        <v>25</v>
      </c>
      <c r="D11848" t="s">
        <v>17</v>
      </c>
      <c r="E11848" t="s">
        <v>12</v>
      </c>
      <c r="F11848">
        <v>96873921</v>
      </c>
      <c r="G11848">
        <v>96873946</v>
      </c>
      <c r="H11848">
        <v>96874012</v>
      </c>
      <c r="I11848">
        <v>96874042</v>
      </c>
    </row>
    <row r="11849" spans="1:9" x14ac:dyDescent="0.2">
      <c r="A11849" s="1" t="str">
        <f>"NR2F6"</f>
        <v>NR2F6</v>
      </c>
      <c r="B11849" t="s">
        <v>14</v>
      </c>
      <c r="C11849" t="s">
        <v>10</v>
      </c>
      <c r="D11849" t="s">
        <v>11</v>
      </c>
      <c r="E11849" t="s">
        <v>12</v>
      </c>
      <c r="F11849">
        <v>17356697</v>
      </c>
      <c r="G11849">
        <v>17356762</v>
      </c>
      <c r="H11849">
        <v>17356189</v>
      </c>
      <c r="I11849">
        <v>17356221</v>
      </c>
    </row>
    <row r="11850" spans="1:9" x14ac:dyDescent="0.2">
      <c r="A11850" s="1" t="str">
        <f>"NR3C1"</f>
        <v>NR3C1</v>
      </c>
      <c r="B11850" t="s">
        <v>14</v>
      </c>
      <c r="C11850" t="s">
        <v>46</v>
      </c>
      <c r="D11850" t="s">
        <v>11</v>
      </c>
      <c r="E11850" t="s">
        <v>12</v>
      </c>
      <c r="F11850">
        <v>142783175</v>
      </c>
      <c r="G11850">
        <v>142783297</v>
      </c>
      <c r="H11850">
        <v>142784003</v>
      </c>
      <c r="I11850">
        <v>142784065</v>
      </c>
    </row>
    <row r="11851" spans="1:9" x14ac:dyDescent="0.2">
      <c r="A11851" s="1" t="str">
        <f>"NR3C2"</f>
        <v>NR3C2</v>
      </c>
      <c r="B11851" t="s">
        <v>14</v>
      </c>
      <c r="C11851" t="s">
        <v>23</v>
      </c>
      <c r="D11851" t="s">
        <v>11</v>
      </c>
      <c r="E11851" t="s">
        <v>12</v>
      </c>
      <c r="F11851">
        <v>149363494</v>
      </c>
      <c r="G11851">
        <v>149363543</v>
      </c>
      <c r="H11851">
        <v>149363475</v>
      </c>
      <c r="I11851">
        <v>149363492</v>
      </c>
    </row>
    <row r="11852" spans="1:9" x14ac:dyDescent="0.2">
      <c r="A11852" s="1" t="str">
        <f>"NR4A1"</f>
        <v>NR4A1</v>
      </c>
      <c r="B11852" t="s">
        <v>14</v>
      </c>
      <c r="C11852" t="s">
        <v>16</v>
      </c>
      <c r="D11852" t="s">
        <v>17</v>
      </c>
      <c r="E11852" t="s">
        <v>12</v>
      </c>
      <c r="F11852">
        <v>52445218</v>
      </c>
      <c r="G11852">
        <v>52445237</v>
      </c>
      <c r="H11852">
        <v>52445218</v>
      </c>
      <c r="I11852">
        <v>52445237</v>
      </c>
    </row>
    <row r="11853" spans="1:9" x14ac:dyDescent="0.2">
      <c r="A11853" s="1" t="str">
        <f>"NR4A2"</f>
        <v>NR4A2</v>
      </c>
      <c r="B11853" t="s">
        <v>9</v>
      </c>
      <c r="C11853" t="s">
        <v>26</v>
      </c>
      <c r="D11853" t="s">
        <v>11</v>
      </c>
      <c r="E11853" t="s">
        <v>12</v>
      </c>
      <c r="F11853">
        <v>157189180</v>
      </c>
      <c r="G11853">
        <v>157189290</v>
      </c>
      <c r="H11853">
        <v>157189180</v>
      </c>
      <c r="I11853">
        <v>157189290</v>
      </c>
    </row>
    <row r="11854" spans="1:9" x14ac:dyDescent="0.2">
      <c r="A11854" s="1" t="str">
        <f>"NR4A2"</f>
        <v>NR4A2</v>
      </c>
      <c r="B11854" t="s">
        <v>13</v>
      </c>
      <c r="C11854" t="s">
        <v>26</v>
      </c>
      <c r="D11854" t="s">
        <v>11</v>
      </c>
      <c r="E11854" t="s">
        <v>12</v>
      </c>
      <c r="F11854">
        <v>157198916</v>
      </c>
      <c r="G11854">
        <v>157198978</v>
      </c>
      <c r="H11854">
        <v>157198916</v>
      </c>
      <c r="I11854">
        <v>157198978</v>
      </c>
    </row>
    <row r="11855" spans="1:9" x14ac:dyDescent="0.2">
      <c r="A11855" s="1" t="str">
        <f>"NR4A3"</f>
        <v>NR4A3</v>
      </c>
      <c r="B11855" t="s">
        <v>14</v>
      </c>
      <c r="C11855" t="s">
        <v>24</v>
      </c>
      <c r="D11855" t="s">
        <v>17</v>
      </c>
      <c r="E11855" t="s">
        <v>12</v>
      </c>
      <c r="F11855">
        <v>102584262</v>
      </c>
      <c r="G11855">
        <v>102584276</v>
      </c>
      <c r="H11855">
        <v>102584159</v>
      </c>
      <c r="I11855">
        <v>102584174</v>
      </c>
    </row>
    <row r="11856" spans="1:9" x14ac:dyDescent="0.2">
      <c r="A11856" s="1" t="str">
        <f>"NR5A1"</f>
        <v>NR5A1</v>
      </c>
      <c r="B11856" t="s">
        <v>14</v>
      </c>
      <c r="C11856" t="s">
        <v>24</v>
      </c>
      <c r="D11856" t="s">
        <v>11</v>
      </c>
      <c r="E11856" t="s">
        <v>12</v>
      </c>
      <c r="F11856">
        <v>127269661</v>
      </c>
      <c r="G11856">
        <v>127269719</v>
      </c>
      <c r="H11856">
        <v>127269462</v>
      </c>
      <c r="I11856">
        <v>127269484</v>
      </c>
    </row>
    <row r="11857" spans="1:9" x14ac:dyDescent="0.2">
      <c r="A11857" s="1" t="str">
        <f>"NR5A2"</f>
        <v>NR5A2</v>
      </c>
      <c r="B11857" t="s">
        <v>9</v>
      </c>
      <c r="C11857" t="s">
        <v>19</v>
      </c>
      <c r="D11857" t="s">
        <v>17</v>
      </c>
      <c r="E11857" t="s">
        <v>12</v>
      </c>
      <c r="F11857">
        <v>199996733</v>
      </c>
      <c r="G11857">
        <v>199996781</v>
      </c>
      <c r="H11857">
        <v>199996733</v>
      </c>
      <c r="I11857">
        <v>199996781</v>
      </c>
    </row>
    <row r="11858" spans="1:9" x14ac:dyDescent="0.2">
      <c r="A11858" s="1" t="str">
        <f>"NR5A2"</f>
        <v>NR5A2</v>
      </c>
      <c r="B11858" t="s">
        <v>13</v>
      </c>
      <c r="C11858" t="s">
        <v>19</v>
      </c>
      <c r="D11858" t="s">
        <v>17</v>
      </c>
      <c r="E11858" t="s">
        <v>12</v>
      </c>
      <c r="F11858">
        <v>200008734</v>
      </c>
      <c r="G11858">
        <v>200008765</v>
      </c>
      <c r="H11858">
        <v>200008734</v>
      </c>
      <c r="I11858">
        <v>200008765</v>
      </c>
    </row>
    <row r="11859" spans="1:9" x14ac:dyDescent="0.2">
      <c r="A11859" s="1" t="str">
        <f>"NR6A1"</f>
        <v>NR6A1</v>
      </c>
      <c r="B11859" t="s">
        <v>14</v>
      </c>
      <c r="C11859" t="s">
        <v>24</v>
      </c>
      <c r="D11859" t="s">
        <v>11</v>
      </c>
      <c r="E11859" t="s">
        <v>12</v>
      </c>
      <c r="F11859">
        <v>127533582</v>
      </c>
      <c r="G11859">
        <v>127533615</v>
      </c>
      <c r="H11859">
        <v>127533519</v>
      </c>
      <c r="I11859">
        <v>127533573</v>
      </c>
    </row>
    <row r="11860" spans="1:9" x14ac:dyDescent="0.2">
      <c r="A11860" s="1" t="str">
        <f>"NRAP"</f>
        <v>NRAP</v>
      </c>
      <c r="B11860" t="s">
        <v>9</v>
      </c>
      <c r="C11860" t="s">
        <v>15</v>
      </c>
      <c r="D11860" t="s">
        <v>11</v>
      </c>
      <c r="E11860" t="s">
        <v>12</v>
      </c>
      <c r="F11860">
        <v>115423792</v>
      </c>
      <c r="G11860">
        <v>115423806</v>
      </c>
      <c r="H11860">
        <v>115423792</v>
      </c>
      <c r="I11860">
        <v>115423806</v>
      </c>
    </row>
    <row r="11861" spans="1:9" x14ac:dyDescent="0.2">
      <c r="A11861" s="1" t="str">
        <f>"NRAP"</f>
        <v>NRAP</v>
      </c>
      <c r="B11861" t="s">
        <v>13</v>
      </c>
      <c r="C11861" t="s">
        <v>15</v>
      </c>
      <c r="D11861" t="s">
        <v>11</v>
      </c>
      <c r="E11861" t="s">
        <v>12</v>
      </c>
      <c r="F11861">
        <v>115409857</v>
      </c>
      <c r="G11861">
        <v>115409868</v>
      </c>
      <c r="H11861">
        <v>115409857</v>
      </c>
      <c r="I11861">
        <v>115409868</v>
      </c>
    </row>
    <row r="11862" spans="1:9" x14ac:dyDescent="0.2">
      <c r="A11862" s="1" t="str">
        <f>"NRARP"</f>
        <v>NRARP</v>
      </c>
      <c r="B11862" t="s">
        <v>14</v>
      </c>
      <c r="C11862" t="s">
        <v>24</v>
      </c>
      <c r="D11862" t="s">
        <v>11</v>
      </c>
      <c r="E11862" t="s">
        <v>12</v>
      </c>
      <c r="F11862">
        <v>140196716</v>
      </c>
      <c r="G11862">
        <v>140196744</v>
      </c>
      <c r="H11862">
        <v>140196195</v>
      </c>
      <c r="I11862">
        <v>140196235</v>
      </c>
    </row>
    <row r="11863" spans="1:9" x14ac:dyDescent="0.2">
      <c r="A11863" s="1" t="str">
        <f>"NRAS"</f>
        <v>NRAS</v>
      </c>
      <c r="B11863" t="s">
        <v>14</v>
      </c>
      <c r="C11863" t="s">
        <v>19</v>
      </c>
      <c r="D11863" t="s">
        <v>11</v>
      </c>
      <c r="E11863" t="s">
        <v>12</v>
      </c>
      <c r="F11863">
        <v>115259337</v>
      </c>
      <c r="G11863">
        <v>115259407</v>
      </c>
      <c r="H11863">
        <v>115260100</v>
      </c>
      <c r="I11863">
        <v>115260128</v>
      </c>
    </row>
    <row r="11864" spans="1:9" x14ac:dyDescent="0.2">
      <c r="A11864" s="1" t="str">
        <f>"NRBF2"</f>
        <v>NRBF2</v>
      </c>
      <c r="B11864" t="s">
        <v>14</v>
      </c>
      <c r="C11864" t="s">
        <v>15</v>
      </c>
      <c r="D11864" t="s">
        <v>17</v>
      </c>
      <c r="E11864" t="s">
        <v>12</v>
      </c>
      <c r="F11864">
        <v>64893039</v>
      </c>
      <c r="G11864">
        <v>64893128</v>
      </c>
      <c r="H11864">
        <v>64893130</v>
      </c>
      <c r="I11864">
        <v>64893144</v>
      </c>
    </row>
    <row r="11865" spans="1:9" x14ac:dyDescent="0.2">
      <c r="A11865" s="1" t="str">
        <f>"NRBP1"</f>
        <v>NRBP1</v>
      </c>
      <c r="B11865" t="s">
        <v>14</v>
      </c>
      <c r="C11865" t="s">
        <v>26</v>
      </c>
      <c r="D11865" t="s">
        <v>17</v>
      </c>
      <c r="E11865" t="s">
        <v>12</v>
      </c>
      <c r="F11865">
        <v>27651478</v>
      </c>
      <c r="G11865">
        <v>27651507</v>
      </c>
      <c r="H11865">
        <v>27651519</v>
      </c>
      <c r="I11865">
        <v>27651539</v>
      </c>
    </row>
    <row r="11866" spans="1:9" x14ac:dyDescent="0.2">
      <c r="A11866" s="1" t="str">
        <f>"NRBP2"</f>
        <v>NRBP2</v>
      </c>
      <c r="B11866" t="s">
        <v>14</v>
      </c>
      <c r="C11866" t="s">
        <v>30</v>
      </c>
      <c r="D11866" t="s">
        <v>11</v>
      </c>
      <c r="E11866" t="s">
        <v>12</v>
      </c>
      <c r="F11866">
        <v>144923112</v>
      </c>
      <c r="G11866">
        <v>144923168</v>
      </c>
      <c r="H11866">
        <v>144923214</v>
      </c>
      <c r="I11866">
        <v>144923286</v>
      </c>
    </row>
    <row r="11867" spans="1:9" x14ac:dyDescent="0.2">
      <c r="A11867" s="1" t="str">
        <f>"NRCAM"</f>
        <v>NRCAM</v>
      </c>
      <c r="B11867" t="s">
        <v>14</v>
      </c>
      <c r="C11867" t="s">
        <v>33</v>
      </c>
      <c r="D11867" t="s">
        <v>11</v>
      </c>
      <c r="E11867" t="s">
        <v>12</v>
      </c>
      <c r="F11867">
        <v>108096822</v>
      </c>
      <c r="G11867">
        <v>108096889</v>
      </c>
      <c r="H11867">
        <v>108096770</v>
      </c>
      <c r="I11867">
        <v>108096784</v>
      </c>
    </row>
    <row r="11868" spans="1:9" x14ac:dyDescent="0.2">
      <c r="A11868" s="1" t="str">
        <f>"NRD1"</f>
        <v>NRD1</v>
      </c>
      <c r="B11868" t="s">
        <v>14</v>
      </c>
      <c r="C11868" t="s">
        <v>19</v>
      </c>
      <c r="D11868" t="s">
        <v>11</v>
      </c>
      <c r="E11868" t="s">
        <v>12</v>
      </c>
      <c r="F11868">
        <v>52344384</v>
      </c>
      <c r="G11868">
        <v>52344413</v>
      </c>
      <c r="H11868">
        <v>52344384</v>
      </c>
      <c r="I11868">
        <v>52344413</v>
      </c>
    </row>
    <row r="11869" spans="1:9" x14ac:dyDescent="0.2">
      <c r="A11869" s="1" t="str">
        <f>"NRDE2"</f>
        <v>NRDE2</v>
      </c>
      <c r="B11869" t="s">
        <v>14</v>
      </c>
      <c r="C11869" t="s">
        <v>41</v>
      </c>
      <c r="D11869" t="s">
        <v>11</v>
      </c>
      <c r="E11869" t="s">
        <v>12</v>
      </c>
      <c r="F11869">
        <v>90798273</v>
      </c>
      <c r="G11869">
        <v>90798323</v>
      </c>
      <c r="H11869">
        <v>90798332</v>
      </c>
      <c r="I11869">
        <v>90798351</v>
      </c>
    </row>
    <row r="11870" spans="1:9" x14ac:dyDescent="0.2">
      <c r="A11870" s="1" t="str">
        <f>"NREP"</f>
        <v>NREP</v>
      </c>
      <c r="B11870" t="s">
        <v>14</v>
      </c>
      <c r="C11870" t="s">
        <v>46</v>
      </c>
      <c r="D11870" t="s">
        <v>11</v>
      </c>
      <c r="E11870" t="s">
        <v>12</v>
      </c>
      <c r="F11870">
        <v>111092873</v>
      </c>
      <c r="G11870">
        <v>111092898</v>
      </c>
      <c r="H11870">
        <v>111093081</v>
      </c>
      <c r="I11870">
        <v>111093111</v>
      </c>
    </row>
    <row r="11871" spans="1:9" x14ac:dyDescent="0.2">
      <c r="A11871" s="1" t="str">
        <f>"NRF1"</f>
        <v>NRF1</v>
      </c>
      <c r="B11871" t="s">
        <v>14</v>
      </c>
      <c r="C11871" t="s">
        <v>33</v>
      </c>
      <c r="D11871" t="s">
        <v>17</v>
      </c>
      <c r="E11871" t="s">
        <v>12</v>
      </c>
      <c r="F11871">
        <v>129251531</v>
      </c>
      <c r="G11871">
        <v>129251601</v>
      </c>
      <c r="H11871">
        <v>129251614</v>
      </c>
      <c r="I11871">
        <v>129251630</v>
      </c>
    </row>
    <row r="11872" spans="1:9" x14ac:dyDescent="0.2">
      <c r="A11872" s="1" t="str">
        <f>"NRG1"</f>
        <v>NRG1</v>
      </c>
      <c r="B11872" t="s">
        <v>14</v>
      </c>
      <c r="C11872" t="s">
        <v>30</v>
      </c>
      <c r="D11872" t="s">
        <v>17</v>
      </c>
      <c r="E11872" t="s">
        <v>12</v>
      </c>
      <c r="F11872">
        <v>32405821</v>
      </c>
      <c r="G11872">
        <v>32405841</v>
      </c>
      <c r="H11872">
        <v>32405821</v>
      </c>
      <c r="I11872">
        <v>32405841</v>
      </c>
    </row>
    <row r="11873" spans="1:9" x14ac:dyDescent="0.2">
      <c r="A11873" s="1" t="str">
        <f>"NRG2"</f>
        <v>NRG2</v>
      </c>
      <c r="B11873" t="s">
        <v>14</v>
      </c>
      <c r="C11873" t="s">
        <v>46</v>
      </c>
      <c r="D11873" t="s">
        <v>11</v>
      </c>
      <c r="E11873" t="s">
        <v>12</v>
      </c>
      <c r="F11873">
        <v>139422833</v>
      </c>
      <c r="G11873">
        <v>139422898</v>
      </c>
      <c r="H11873">
        <v>139422833</v>
      </c>
      <c r="I11873">
        <v>139422898</v>
      </c>
    </row>
    <row r="11874" spans="1:9" x14ac:dyDescent="0.2">
      <c r="A11874" s="1" t="str">
        <f>"NRG3"</f>
        <v>NRG3</v>
      </c>
      <c r="B11874" t="s">
        <v>14</v>
      </c>
      <c r="C11874" t="s">
        <v>15</v>
      </c>
      <c r="D11874" t="s">
        <v>17</v>
      </c>
      <c r="E11874" t="s">
        <v>12</v>
      </c>
      <c r="F11874">
        <v>83634940</v>
      </c>
      <c r="G11874">
        <v>83634989</v>
      </c>
      <c r="H11874">
        <v>83635242</v>
      </c>
      <c r="I11874">
        <v>83635277</v>
      </c>
    </row>
    <row r="11875" spans="1:9" x14ac:dyDescent="0.2">
      <c r="A11875" s="1" t="str">
        <f>"NRG4"</f>
        <v>NRG4</v>
      </c>
      <c r="B11875" t="s">
        <v>14</v>
      </c>
      <c r="C11875" t="s">
        <v>25</v>
      </c>
      <c r="D11875" t="s">
        <v>11</v>
      </c>
      <c r="E11875" t="s">
        <v>12</v>
      </c>
      <c r="F11875">
        <v>76304731</v>
      </c>
      <c r="G11875">
        <v>76304779</v>
      </c>
      <c r="H11875">
        <v>76304731</v>
      </c>
      <c r="I11875">
        <v>76304779</v>
      </c>
    </row>
    <row r="11876" spans="1:9" x14ac:dyDescent="0.2">
      <c r="A11876" s="1" t="str">
        <f>"NRGN"</f>
        <v>NRGN</v>
      </c>
      <c r="B11876" t="s">
        <v>14</v>
      </c>
      <c r="C11876" t="s">
        <v>27</v>
      </c>
      <c r="D11876" t="s">
        <v>17</v>
      </c>
      <c r="E11876" t="s">
        <v>12</v>
      </c>
      <c r="F11876">
        <v>124609823</v>
      </c>
      <c r="G11876">
        <v>124609869</v>
      </c>
      <c r="H11876">
        <v>124609805</v>
      </c>
      <c r="I11876">
        <v>124609817</v>
      </c>
    </row>
    <row r="11877" spans="1:9" x14ac:dyDescent="0.2">
      <c r="A11877" s="1" t="str">
        <f>"NRIP1"</f>
        <v>NRIP1</v>
      </c>
      <c r="B11877" t="s">
        <v>14</v>
      </c>
      <c r="C11877" t="s">
        <v>42</v>
      </c>
      <c r="D11877" t="s">
        <v>11</v>
      </c>
      <c r="E11877" t="s">
        <v>12</v>
      </c>
      <c r="F11877">
        <v>16437293</v>
      </c>
      <c r="G11877">
        <v>16437340</v>
      </c>
      <c r="H11877">
        <v>16437347</v>
      </c>
      <c r="I11877">
        <v>16437360</v>
      </c>
    </row>
    <row r="11878" spans="1:9" x14ac:dyDescent="0.2">
      <c r="A11878" s="1" t="str">
        <f>"NRIP2"</f>
        <v>NRIP2</v>
      </c>
      <c r="B11878" t="s">
        <v>14</v>
      </c>
      <c r="C11878" t="s">
        <v>16</v>
      </c>
      <c r="D11878" t="s">
        <v>11</v>
      </c>
      <c r="E11878" t="s">
        <v>12</v>
      </c>
      <c r="F11878">
        <v>2944184</v>
      </c>
      <c r="G11878">
        <v>2944209</v>
      </c>
      <c r="H11878">
        <v>2944184</v>
      </c>
      <c r="I11878">
        <v>2944209</v>
      </c>
    </row>
    <row r="11879" spans="1:9" x14ac:dyDescent="0.2">
      <c r="A11879" s="1" t="str">
        <f>"NRIP3"</f>
        <v>NRIP3</v>
      </c>
      <c r="B11879" t="s">
        <v>14</v>
      </c>
      <c r="C11879" t="s">
        <v>27</v>
      </c>
      <c r="D11879" t="s">
        <v>11</v>
      </c>
      <c r="E11879" t="s">
        <v>12</v>
      </c>
      <c r="F11879">
        <v>9025541</v>
      </c>
      <c r="G11879">
        <v>9025555</v>
      </c>
      <c r="H11879">
        <v>9025541</v>
      </c>
      <c r="I11879">
        <v>9025555</v>
      </c>
    </row>
    <row r="11880" spans="1:9" x14ac:dyDescent="0.2">
      <c r="A11880" s="1" t="str">
        <f>"NRK"</f>
        <v>NRK</v>
      </c>
      <c r="B11880" t="s">
        <v>14</v>
      </c>
      <c r="C11880" t="s">
        <v>37</v>
      </c>
      <c r="D11880" t="s">
        <v>17</v>
      </c>
      <c r="E11880" t="s">
        <v>12</v>
      </c>
      <c r="F11880">
        <v>105066524</v>
      </c>
      <c r="G11880">
        <v>105066552</v>
      </c>
      <c r="H11880">
        <v>105066499</v>
      </c>
      <c r="I11880">
        <v>105066514</v>
      </c>
    </row>
    <row r="11881" spans="1:9" x14ac:dyDescent="0.2">
      <c r="A11881" s="1" t="str">
        <f>"NRL"</f>
        <v>NRL</v>
      </c>
      <c r="B11881" t="s">
        <v>9</v>
      </c>
      <c r="C11881" t="s">
        <v>41</v>
      </c>
      <c r="D11881" t="s">
        <v>11</v>
      </c>
      <c r="E11881" t="s">
        <v>12</v>
      </c>
      <c r="F11881">
        <v>24553835</v>
      </c>
      <c r="G11881">
        <v>24553850</v>
      </c>
      <c r="H11881">
        <v>24553835</v>
      </c>
      <c r="I11881">
        <v>24553850</v>
      </c>
    </row>
    <row r="11882" spans="1:9" x14ac:dyDescent="0.2">
      <c r="A11882" s="1" t="str">
        <f>"NRL"</f>
        <v>NRL</v>
      </c>
      <c r="B11882" t="s">
        <v>13</v>
      </c>
      <c r="C11882" t="s">
        <v>41</v>
      </c>
      <c r="D11882" t="s">
        <v>11</v>
      </c>
      <c r="E11882" t="s">
        <v>12</v>
      </c>
      <c r="F11882">
        <v>24584138</v>
      </c>
      <c r="G11882">
        <v>24584192</v>
      </c>
      <c r="H11882">
        <v>24584138</v>
      </c>
      <c r="I11882">
        <v>24584192</v>
      </c>
    </row>
    <row r="11883" spans="1:9" x14ac:dyDescent="0.2">
      <c r="A11883" s="1" t="str">
        <f>"NRM"</f>
        <v>NRM</v>
      </c>
      <c r="B11883" t="s">
        <v>14</v>
      </c>
      <c r="C11883" t="s">
        <v>32</v>
      </c>
      <c r="D11883" t="s">
        <v>11</v>
      </c>
      <c r="E11883" t="s">
        <v>12</v>
      </c>
      <c r="F11883">
        <v>30658745</v>
      </c>
      <c r="G11883">
        <v>30658786</v>
      </c>
      <c r="H11883">
        <v>30658745</v>
      </c>
      <c r="I11883">
        <v>30658786</v>
      </c>
    </row>
    <row r="11884" spans="1:9" x14ac:dyDescent="0.2">
      <c r="A11884" s="1" t="str">
        <f>"NRN1"</f>
        <v>NRN1</v>
      </c>
      <c r="B11884" t="s">
        <v>9</v>
      </c>
      <c r="C11884" t="s">
        <v>32</v>
      </c>
      <c r="D11884" t="s">
        <v>11</v>
      </c>
      <c r="E11884" t="s">
        <v>12</v>
      </c>
      <c r="F11884">
        <v>6007111</v>
      </c>
      <c r="G11884">
        <v>6007181</v>
      </c>
      <c r="H11884">
        <v>6007111</v>
      </c>
      <c r="I11884">
        <v>6007181</v>
      </c>
    </row>
    <row r="11885" spans="1:9" x14ac:dyDescent="0.2">
      <c r="A11885" s="1" t="str">
        <f>"NRN1"</f>
        <v>NRN1</v>
      </c>
      <c r="B11885" t="s">
        <v>13</v>
      </c>
      <c r="C11885" t="s">
        <v>32</v>
      </c>
      <c r="D11885" t="s">
        <v>11</v>
      </c>
      <c r="E11885" t="s">
        <v>12</v>
      </c>
      <c r="F11885">
        <v>6004273</v>
      </c>
      <c r="G11885">
        <v>6004340</v>
      </c>
      <c r="H11885">
        <v>6004273</v>
      </c>
      <c r="I11885">
        <v>6004340</v>
      </c>
    </row>
    <row r="11886" spans="1:9" x14ac:dyDescent="0.2">
      <c r="A11886" s="1" t="str">
        <f>"NRN1L"</f>
        <v>NRN1L</v>
      </c>
      <c r="B11886" t="s">
        <v>14</v>
      </c>
      <c r="C11886" t="s">
        <v>31</v>
      </c>
      <c r="D11886" t="s">
        <v>17</v>
      </c>
      <c r="E11886" t="s">
        <v>12</v>
      </c>
      <c r="F11886">
        <v>67918770</v>
      </c>
      <c r="G11886">
        <v>67918820</v>
      </c>
      <c r="H11886">
        <v>67918763</v>
      </c>
      <c r="I11886">
        <v>67918768</v>
      </c>
    </row>
    <row r="11887" spans="1:9" x14ac:dyDescent="0.2">
      <c r="A11887" s="1" t="str">
        <f>"NRP1"</f>
        <v>NRP1</v>
      </c>
      <c r="B11887" t="s">
        <v>14</v>
      </c>
      <c r="C11887" t="s">
        <v>15</v>
      </c>
      <c r="D11887" t="s">
        <v>11</v>
      </c>
      <c r="E11887" t="s">
        <v>12</v>
      </c>
      <c r="F11887">
        <v>33623784</v>
      </c>
      <c r="G11887">
        <v>33623806</v>
      </c>
      <c r="H11887">
        <v>33623574</v>
      </c>
      <c r="I11887">
        <v>33623603</v>
      </c>
    </row>
    <row r="11888" spans="1:9" x14ac:dyDescent="0.2">
      <c r="A11888" s="1" t="str">
        <f>"NRP2"</f>
        <v>NRP2</v>
      </c>
      <c r="B11888" t="s">
        <v>14</v>
      </c>
      <c r="C11888" t="s">
        <v>26</v>
      </c>
      <c r="D11888" t="s">
        <v>17</v>
      </c>
      <c r="E11888" t="s">
        <v>12</v>
      </c>
      <c r="F11888">
        <v>206547215</v>
      </c>
      <c r="G11888">
        <v>206547232</v>
      </c>
      <c r="H11888">
        <v>206547166</v>
      </c>
      <c r="I11888">
        <v>206547186</v>
      </c>
    </row>
    <row r="11889" spans="1:9" x14ac:dyDescent="0.2">
      <c r="A11889" s="1" t="str">
        <f>"NRROS"</f>
        <v>NRROS</v>
      </c>
      <c r="B11889" t="s">
        <v>14</v>
      </c>
      <c r="C11889" t="s">
        <v>22</v>
      </c>
      <c r="D11889" t="s">
        <v>17</v>
      </c>
      <c r="E11889" t="s">
        <v>12</v>
      </c>
      <c r="F11889">
        <v>196366616</v>
      </c>
      <c r="G11889">
        <v>196366690</v>
      </c>
      <c r="H11889">
        <v>196366555</v>
      </c>
      <c r="I11889">
        <v>196366572</v>
      </c>
    </row>
    <row r="11890" spans="1:9" x14ac:dyDescent="0.2">
      <c r="A11890" s="1" t="str">
        <f>"NRSN1"</f>
        <v>NRSN1</v>
      </c>
      <c r="B11890" t="s">
        <v>14</v>
      </c>
      <c r="C11890" t="s">
        <v>32</v>
      </c>
      <c r="D11890" t="s">
        <v>17</v>
      </c>
      <c r="E11890" t="s">
        <v>12</v>
      </c>
      <c r="F11890">
        <v>24126427</v>
      </c>
      <c r="G11890">
        <v>24126497</v>
      </c>
      <c r="H11890">
        <v>24126427</v>
      </c>
      <c r="I11890">
        <v>24126497</v>
      </c>
    </row>
    <row r="11891" spans="1:9" x14ac:dyDescent="0.2">
      <c r="A11891" s="1" t="str">
        <f>"NRSN2"</f>
        <v>NRSN2</v>
      </c>
      <c r="B11891" t="s">
        <v>14</v>
      </c>
      <c r="C11891" t="s">
        <v>29</v>
      </c>
      <c r="D11891" t="s">
        <v>17</v>
      </c>
      <c r="E11891" t="s">
        <v>12</v>
      </c>
      <c r="F11891">
        <v>327736</v>
      </c>
      <c r="G11891">
        <v>327767</v>
      </c>
      <c r="H11891">
        <v>327413</v>
      </c>
      <c r="I11891">
        <v>327489</v>
      </c>
    </row>
    <row r="11892" spans="1:9" x14ac:dyDescent="0.2">
      <c r="A11892" s="1" t="str">
        <f>"NRTN"</f>
        <v>NRTN</v>
      </c>
      <c r="B11892" t="s">
        <v>891</v>
      </c>
      <c r="C11892" t="s">
        <v>10</v>
      </c>
      <c r="D11892" t="s">
        <v>17</v>
      </c>
      <c r="E11892" t="s">
        <v>20</v>
      </c>
      <c r="F11892">
        <v>5823812</v>
      </c>
      <c r="G11892">
        <v>5823812</v>
      </c>
      <c r="H11892">
        <v>5823812</v>
      </c>
      <c r="I11892">
        <v>5823812</v>
      </c>
    </row>
    <row r="11893" spans="1:9" x14ac:dyDescent="0.2">
      <c r="A11893" s="1" t="str">
        <f>"NRXN1"</f>
        <v>NRXN1</v>
      </c>
      <c r="B11893" t="s">
        <v>14</v>
      </c>
      <c r="C11893" t="s">
        <v>26</v>
      </c>
      <c r="D11893" t="s">
        <v>11</v>
      </c>
      <c r="E11893" t="s">
        <v>12</v>
      </c>
      <c r="F11893">
        <v>51259229</v>
      </c>
      <c r="G11893">
        <v>51259279</v>
      </c>
      <c r="H11893">
        <v>51259229</v>
      </c>
      <c r="I11893">
        <v>51259279</v>
      </c>
    </row>
    <row r="11894" spans="1:9" x14ac:dyDescent="0.2">
      <c r="A11894" s="1" t="str">
        <f>"NRXN2"</f>
        <v>NRXN2</v>
      </c>
      <c r="B11894" t="s">
        <v>892</v>
      </c>
      <c r="C11894" t="s">
        <v>27</v>
      </c>
      <c r="D11894" t="s">
        <v>11</v>
      </c>
      <c r="E11894" t="s">
        <v>35</v>
      </c>
      <c r="F11894">
        <v>64490676</v>
      </c>
      <c r="G11894">
        <v>64490692</v>
      </c>
      <c r="H11894">
        <v>64490531</v>
      </c>
      <c r="I11894">
        <v>64490542</v>
      </c>
    </row>
    <row r="11895" spans="1:9" x14ac:dyDescent="0.2">
      <c r="A11895" s="1" t="str">
        <f>"NRXN2"</f>
        <v>NRXN2</v>
      </c>
      <c r="B11895" t="s">
        <v>893</v>
      </c>
      <c r="C11895" t="s">
        <v>27</v>
      </c>
      <c r="D11895" t="s">
        <v>11</v>
      </c>
      <c r="E11895" t="s">
        <v>20</v>
      </c>
      <c r="F11895">
        <v>64481398</v>
      </c>
      <c r="G11895">
        <v>64481398</v>
      </c>
      <c r="H11895">
        <v>64481398</v>
      </c>
      <c r="I11895">
        <v>64481398</v>
      </c>
    </row>
    <row r="11896" spans="1:9" x14ac:dyDescent="0.2">
      <c r="A11896" s="1" t="str">
        <f>"NRXN3"</f>
        <v>NRXN3</v>
      </c>
      <c r="B11896" t="s">
        <v>894</v>
      </c>
      <c r="C11896" t="s">
        <v>41</v>
      </c>
      <c r="D11896" t="s">
        <v>17</v>
      </c>
      <c r="E11896" t="s">
        <v>20</v>
      </c>
      <c r="F11896">
        <v>79081274</v>
      </c>
      <c r="G11896">
        <v>79081274</v>
      </c>
      <c r="H11896">
        <v>79081274</v>
      </c>
      <c r="I11896">
        <v>79081274</v>
      </c>
    </row>
    <row r="11897" spans="1:9" x14ac:dyDescent="0.2">
      <c r="A11897" s="1" t="str">
        <f>"NRXN3"</f>
        <v>NRXN3</v>
      </c>
      <c r="B11897" t="s">
        <v>895</v>
      </c>
      <c r="C11897" t="s">
        <v>41</v>
      </c>
      <c r="D11897" t="s">
        <v>17</v>
      </c>
      <c r="E11897" t="s">
        <v>75</v>
      </c>
      <c r="F11897">
        <v>78869935</v>
      </c>
      <c r="G11897">
        <v>78869942</v>
      </c>
      <c r="H11897">
        <v>78870030</v>
      </c>
      <c r="I11897">
        <v>78870098</v>
      </c>
    </row>
    <row r="11898" spans="1:9" x14ac:dyDescent="0.2">
      <c r="A11898" s="1" t="str">
        <f>"NSA2"</f>
        <v>NSA2</v>
      </c>
      <c r="B11898" t="s">
        <v>14</v>
      </c>
      <c r="C11898" t="s">
        <v>46</v>
      </c>
      <c r="D11898" t="s">
        <v>17</v>
      </c>
      <c r="E11898" t="s">
        <v>12</v>
      </c>
      <c r="F11898">
        <v>74063059</v>
      </c>
      <c r="G11898">
        <v>74063089</v>
      </c>
      <c r="H11898">
        <v>74063120</v>
      </c>
      <c r="I11898">
        <v>74063131</v>
      </c>
    </row>
    <row r="11899" spans="1:9" x14ac:dyDescent="0.2">
      <c r="A11899" s="1" t="str">
        <f>"NSD1"</f>
        <v>NSD1</v>
      </c>
      <c r="B11899" t="s">
        <v>14</v>
      </c>
      <c r="C11899" t="s">
        <v>46</v>
      </c>
      <c r="D11899" t="s">
        <v>17</v>
      </c>
      <c r="E11899" t="s">
        <v>12</v>
      </c>
      <c r="F11899">
        <v>176560742</v>
      </c>
      <c r="G11899">
        <v>176560826</v>
      </c>
      <c r="H11899">
        <v>176560595</v>
      </c>
      <c r="I11899">
        <v>176560620</v>
      </c>
    </row>
    <row r="11900" spans="1:9" x14ac:dyDescent="0.2">
      <c r="A11900" s="1" t="str">
        <f>"NSDHL"</f>
        <v>NSDHL</v>
      </c>
      <c r="B11900" t="s">
        <v>14</v>
      </c>
      <c r="C11900" t="s">
        <v>37</v>
      </c>
      <c r="D11900" t="s">
        <v>17</v>
      </c>
      <c r="E11900" t="s">
        <v>12</v>
      </c>
      <c r="F11900">
        <v>151999599</v>
      </c>
      <c r="G11900">
        <v>151999615</v>
      </c>
      <c r="H11900">
        <v>151999535</v>
      </c>
      <c r="I11900">
        <v>151999561</v>
      </c>
    </row>
    <row r="11901" spans="1:9" x14ac:dyDescent="0.2">
      <c r="A11901" s="1" t="str">
        <f>"NSF"</f>
        <v>NSF</v>
      </c>
      <c r="B11901" t="s">
        <v>896</v>
      </c>
      <c r="C11901" t="s">
        <v>28</v>
      </c>
      <c r="D11901" t="s">
        <v>17</v>
      </c>
      <c r="E11901" t="s">
        <v>20</v>
      </c>
      <c r="F11901">
        <v>44668034</v>
      </c>
      <c r="G11901">
        <v>44668034</v>
      </c>
      <c r="H11901">
        <v>44668034</v>
      </c>
      <c r="I11901">
        <v>44668034</v>
      </c>
    </row>
    <row r="11902" spans="1:9" x14ac:dyDescent="0.2">
      <c r="A11902" s="1" t="str">
        <f>"NSFL1C"</f>
        <v>NSFL1C</v>
      </c>
      <c r="B11902" t="s">
        <v>14</v>
      </c>
      <c r="C11902" t="s">
        <v>29</v>
      </c>
      <c r="D11902" t="s">
        <v>11</v>
      </c>
      <c r="E11902" t="s">
        <v>12</v>
      </c>
      <c r="F11902">
        <v>1447467</v>
      </c>
      <c r="G11902">
        <v>1447501</v>
      </c>
      <c r="H11902">
        <v>1447547</v>
      </c>
      <c r="I11902">
        <v>1447564</v>
      </c>
    </row>
    <row r="11903" spans="1:9" x14ac:dyDescent="0.2">
      <c r="A11903" s="1" t="str">
        <f>"NSL1"</f>
        <v>NSL1</v>
      </c>
      <c r="B11903" t="s">
        <v>14</v>
      </c>
      <c r="C11903" t="s">
        <v>19</v>
      </c>
      <c r="D11903" t="s">
        <v>11</v>
      </c>
      <c r="E11903" t="s">
        <v>12</v>
      </c>
      <c r="F11903">
        <v>212965104</v>
      </c>
      <c r="G11903">
        <v>212965141</v>
      </c>
      <c r="H11903">
        <v>212965104</v>
      </c>
      <c r="I11903">
        <v>212965141</v>
      </c>
    </row>
    <row r="11904" spans="1:9" x14ac:dyDescent="0.2">
      <c r="A11904" s="1" t="str">
        <f>"NSMAF"</f>
        <v>NSMAF</v>
      </c>
      <c r="B11904" t="s">
        <v>14</v>
      </c>
      <c r="C11904" t="s">
        <v>30</v>
      </c>
      <c r="D11904" t="s">
        <v>11</v>
      </c>
      <c r="E11904" t="s">
        <v>12</v>
      </c>
      <c r="F11904">
        <v>59572301</v>
      </c>
      <c r="G11904">
        <v>59572435</v>
      </c>
      <c r="H11904">
        <v>59572237</v>
      </c>
      <c r="I11904">
        <v>59572296</v>
      </c>
    </row>
    <row r="11905" spans="1:9" x14ac:dyDescent="0.2">
      <c r="A11905" s="1" t="str">
        <f>"NSMCE1"</f>
        <v>NSMCE1</v>
      </c>
      <c r="B11905" t="s">
        <v>14</v>
      </c>
      <c r="C11905" t="s">
        <v>31</v>
      </c>
      <c r="D11905" t="s">
        <v>11</v>
      </c>
      <c r="E11905" t="s">
        <v>12</v>
      </c>
      <c r="F11905">
        <v>27280050</v>
      </c>
      <c r="G11905">
        <v>27280101</v>
      </c>
      <c r="H11905">
        <v>27280050</v>
      </c>
      <c r="I11905">
        <v>27280101</v>
      </c>
    </row>
    <row r="11906" spans="1:9" x14ac:dyDescent="0.2">
      <c r="A11906" s="1" t="str">
        <f>"NSMCE2"</f>
        <v>NSMCE2</v>
      </c>
      <c r="B11906" t="s">
        <v>14</v>
      </c>
      <c r="C11906" t="s">
        <v>30</v>
      </c>
      <c r="D11906" t="s">
        <v>17</v>
      </c>
      <c r="E11906" t="s">
        <v>12</v>
      </c>
      <c r="F11906">
        <v>126104076</v>
      </c>
      <c r="G11906">
        <v>126104117</v>
      </c>
      <c r="H11906">
        <v>126104060</v>
      </c>
      <c r="I11906">
        <v>126104071</v>
      </c>
    </row>
    <row r="11907" spans="1:9" x14ac:dyDescent="0.2">
      <c r="A11907" s="1" t="str">
        <f>"NSMCE4A"</f>
        <v>NSMCE4A</v>
      </c>
      <c r="B11907" t="s">
        <v>14</v>
      </c>
      <c r="C11907" t="s">
        <v>15</v>
      </c>
      <c r="D11907" t="s">
        <v>11</v>
      </c>
      <c r="E11907" t="s">
        <v>12</v>
      </c>
      <c r="F11907">
        <v>123734683</v>
      </c>
      <c r="G11907">
        <v>123734738</v>
      </c>
      <c r="H11907">
        <v>123734766</v>
      </c>
      <c r="I11907">
        <v>123734779</v>
      </c>
    </row>
    <row r="11908" spans="1:9" x14ac:dyDescent="0.2">
      <c r="A11908" s="1" t="str">
        <f>"NSMF"</f>
        <v>NSMF</v>
      </c>
      <c r="B11908" t="s">
        <v>14</v>
      </c>
      <c r="C11908" t="s">
        <v>24</v>
      </c>
      <c r="D11908" t="s">
        <v>11</v>
      </c>
      <c r="E11908" t="s">
        <v>12</v>
      </c>
      <c r="F11908">
        <v>140353748</v>
      </c>
      <c r="G11908">
        <v>140353795</v>
      </c>
      <c r="H11908">
        <v>140353799</v>
      </c>
      <c r="I11908">
        <v>140353811</v>
      </c>
    </row>
    <row r="11909" spans="1:9" x14ac:dyDescent="0.2">
      <c r="A11909" s="1" t="str">
        <f>"NSRP1"</f>
        <v>NSRP1</v>
      </c>
      <c r="B11909" t="s">
        <v>14</v>
      </c>
      <c r="C11909" t="s">
        <v>28</v>
      </c>
      <c r="D11909" t="s">
        <v>17</v>
      </c>
      <c r="E11909" t="s">
        <v>12</v>
      </c>
      <c r="F11909">
        <v>28443819</v>
      </c>
      <c r="G11909">
        <v>28443856</v>
      </c>
      <c r="H11909">
        <v>28443802</v>
      </c>
      <c r="I11909">
        <v>28443813</v>
      </c>
    </row>
    <row r="11910" spans="1:9" x14ac:dyDescent="0.2">
      <c r="A11910" s="1" t="str">
        <f>"NSUN2"</f>
        <v>NSUN2</v>
      </c>
      <c r="B11910" t="s">
        <v>14</v>
      </c>
      <c r="C11910" t="s">
        <v>46</v>
      </c>
      <c r="D11910" t="s">
        <v>11</v>
      </c>
      <c r="E11910" t="s">
        <v>12</v>
      </c>
      <c r="F11910">
        <v>6633114</v>
      </c>
      <c r="G11910">
        <v>6633204</v>
      </c>
      <c r="H11910">
        <v>6633397</v>
      </c>
      <c r="I11910">
        <v>6633445</v>
      </c>
    </row>
    <row r="11911" spans="1:9" x14ac:dyDescent="0.2">
      <c r="A11911" s="1" t="str">
        <f>"NSUN3"</f>
        <v>NSUN3</v>
      </c>
      <c r="B11911" t="s">
        <v>14</v>
      </c>
      <c r="C11911" t="s">
        <v>22</v>
      </c>
      <c r="D11911" t="s">
        <v>17</v>
      </c>
      <c r="E11911" t="s">
        <v>12</v>
      </c>
      <c r="F11911">
        <v>93781818</v>
      </c>
      <c r="G11911">
        <v>93781915</v>
      </c>
      <c r="H11911">
        <v>93781920</v>
      </c>
      <c r="I11911">
        <v>93781933</v>
      </c>
    </row>
    <row r="11912" spans="1:9" x14ac:dyDescent="0.2">
      <c r="A11912" s="1" t="str">
        <f>"NSUN4"</f>
        <v>NSUN4</v>
      </c>
      <c r="B11912" t="s">
        <v>14</v>
      </c>
      <c r="C11912" t="s">
        <v>19</v>
      </c>
      <c r="D11912" t="s">
        <v>17</v>
      </c>
      <c r="E11912" t="s">
        <v>12</v>
      </c>
      <c r="F11912">
        <v>46806452</v>
      </c>
      <c r="G11912">
        <v>46806496</v>
      </c>
      <c r="H11912">
        <v>46806383</v>
      </c>
      <c r="I11912">
        <v>46806450</v>
      </c>
    </row>
    <row r="11913" spans="1:9" x14ac:dyDescent="0.2">
      <c r="A11913" s="1" t="str">
        <f>"NSUN5"</f>
        <v>NSUN5</v>
      </c>
      <c r="B11913" t="s">
        <v>14</v>
      </c>
      <c r="C11913" t="s">
        <v>33</v>
      </c>
      <c r="D11913" t="s">
        <v>11</v>
      </c>
      <c r="E11913" t="s">
        <v>12</v>
      </c>
      <c r="F11913">
        <v>72722783</v>
      </c>
      <c r="G11913">
        <v>72722837</v>
      </c>
      <c r="H11913">
        <v>72722849</v>
      </c>
      <c r="I11913">
        <v>72722862</v>
      </c>
    </row>
    <row r="11914" spans="1:9" x14ac:dyDescent="0.2">
      <c r="A11914" s="1" t="str">
        <f>"NSUN6"</f>
        <v>NSUN6</v>
      </c>
      <c r="B11914" t="s">
        <v>14</v>
      </c>
      <c r="C11914" t="s">
        <v>15</v>
      </c>
      <c r="D11914" t="s">
        <v>11</v>
      </c>
      <c r="E11914" t="s">
        <v>12</v>
      </c>
      <c r="F11914">
        <v>18940501</v>
      </c>
      <c r="G11914">
        <v>18940583</v>
      </c>
      <c r="H11914">
        <v>18940468</v>
      </c>
      <c r="I11914">
        <v>18940489</v>
      </c>
    </row>
    <row r="11915" spans="1:9" x14ac:dyDescent="0.2">
      <c r="A11915" s="1" t="str">
        <f>"NSUN7"</f>
        <v>NSUN7</v>
      </c>
      <c r="B11915" t="s">
        <v>14</v>
      </c>
      <c r="C11915" t="s">
        <v>23</v>
      </c>
      <c r="D11915" t="s">
        <v>17</v>
      </c>
      <c r="E11915" t="s">
        <v>12</v>
      </c>
      <c r="F11915">
        <v>40751927</v>
      </c>
      <c r="G11915">
        <v>40751995</v>
      </c>
      <c r="H11915">
        <v>40752184</v>
      </c>
      <c r="I11915">
        <v>40752240</v>
      </c>
    </row>
    <row r="11916" spans="1:9" x14ac:dyDescent="0.2">
      <c r="A11916" s="1" t="str">
        <f>"NT5C"</f>
        <v>NT5C</v>
      </c>
      <c r="B11916" t="s">
        <v>14</v>
      </c>
      <c r="C11916" t="s">
        <v>28</v>
      </c>
      <c r="D11916" t="s">
        <v>11</v>
      </c>
      <c r="E11916" t="s">
        <v>12</v>
      </c>
      <c r="F11916">
        <v>73127826</v>
      </c>
      <c r="G11916">
        <v>73127883</v>
      </c>
      <c r="H11916">
        <v>73127808</v>
      </c>
      <c r="I11916">
        <v>73127821</v>
      </c>
    </row>
    <row r="11917" spans="1:9" x14ac:dyDescent="0.2">
      <c r="A11917" s="1" t="str">
        <f>"NT5C1A"</f>
        <v>NT5C1A</v>
      </c>
      <c r="B11917" t="s">
        <v>14</v>
      </c>
      <c r="C11917" t="s">
        <v>19</v>
      </c>
      <c r="D11917" t="s">
        <v>11</v>
      </c>
      <c r="E11917" t="s">
        <v>12</v>
      </c>
      <c r="F11917">
        <v>40137752</v>
      </c>
      <c r="G11917">
        <v>40137824</v>
      </c>
      <c r="H11917">
        <v>40137922</v>
      </c>
      <c r="I11917">
        <v>40137962</v>
      </c>
    </row>
    <row r="11918" spans="1:9" x14ac:dyDescent="0.2">
      <c r="A11918" s="1" t="str">
        <f>"NT5C1B"</f>
        <v>NT5C1B</v>
      </c>
      <c r="B11918" t="s">
        <v>14</v>
      </c>
      <c r="C11918" t="s">
        <v>26</v>
      </c>
      <c r="D11918" t="s">
        <v>11</v>
      </c>
      <c r="E11918" t="s">
        <v>12</v>
      </c>
      <c r="F11918">
        <v>18770813</v>
      </c>
      <c r="G11918">
        <v>18770839</v>
      </c>
      <c r="H11918">
        <v>18770813</v>
      </c>
      <c r="I11918">
        <v>18770839</v>
      </c>
    </row>
    <row r="11919" spans="1:9" x14ac:dyDescent="0.2">
      <c r="A11919" s="1" t="str">
        <f>"NT5C1B-RDH14"</f>
        <v>NT5C1B-RDH14</v>
      </c>
      <c r="B11919" t="s">
        <v>14</v>
      </c>
      <c r="C11919" t="s">
        <v>26</v>
      </c>
      <c r="D11919" t="s">
        <v>11</v>
      </c>
      <c r="E11919" t="s">
        <v>12</v>
      </c>
      <c r="F11919">
        <v>18770813</v>
      </c>
      <c r="G11919">
        <v>18770839</v>
      </c>
      <c r="H11919">
        <v>18770813</v>
      </c>
      <c r="I11919">
        <v>18770839</v>
      </c>
    </row>
    <row r="11920" spans="1:9" x14ac:dyDescent="0.2">
      <c r="A11920" s="1" t="str">
        <f>"NT5C2"</f>
        <v>NT5C2</v>
      </c>
      <c r="B11920" t="s">
        <v>14</v>
      </c>
      <c r="C11920" t="s">
        <v>15</v>
      </c>
      <c r="D11920" t="s">
        <v>11</v>
      </c>
      <c r="E11920" t="s">
        <v>12</v>
      </c>
      <c r="F11920">
        <v>104953009</v>
      </c>
      <c r="G11920">
        <v>104953061</v>
      </c>
      <c r="H11920">
        <v>104953009</v>
      </c>
      <c r="I11920">
        <v>104953061</v>
      </c>
    </row>
    <row r="11921" spans="1:9" x14ac:dyDescent="0.2">
      <c r="A11921" s="1" t="str">
        <f>"NT5C3A"</f>
        <v>NT5C3A</v>
      </c>
      <c r="B11921" t="s">
        <v>9</v>
      </c>
      <c r="C11921" t="s">
        <v>33</v>
      </c>
      <c r="D11921" t="s">
        <v>11</v>
      </c>
      <c r="E11921" t="s">
        <v>12</v>
      </c>
      <c r="F11921">
        <v>33102338</v>
      </c>
      <c r="G11921">
        <v>33102395</v>
      </c>
      <c r="H11921">
        <v>33102338</v>
      </c>
      <c r="I11921">
        <v>33102395</v>
      </c>
    </row>
    <row r="11922" spans="1:9" x14ac:dyDescent="0.2">
      <c r="A11922" s="1" t="str">
        <f>"NT5C3A"</f>
        <v>NT5C3A</v>
      </c>
      <c r="B11922" t="s">
        <v>13</v>
      </c>
      <c r="C11922" t="s">
        <v>33</v>
      </c>
      <c r="D11922" t="s">
        <v>11</v>
      </c>
      <c r="E11922" t="s">
        <v>12</v>
      </c>
      <c r="F11922">
        <v>33080506</v>
      </c>
      <c r="G11922">
        <v>33080528</v>
      </c>
      <c r="H11922">
        <v>33080506</v>
      </c>
      <c r="I11922">
        <v>33080528</v>
      </c>
    </row>
    <row r="11923" spans="1:9" x14ac:dyDescent="0.2">
      <c r="A11923" s="1" t="str">
        <f>"NT5C3B"</f>
        <v>NT5C3B</v>
      </c>
      <c r="B11923" t="s">
        <v>14</v>
      </c>
      <c r="C11923" t="s">
        <v>28</v>
      </c>
      <c r="D11923" t="s">
        <v>11</v>
      </c>
      <c r="E11923" t="s">
        <v>12</v>
      </c>
      <c r="F11923">
        <v>39992445</v>
      </c>
      <c r="G11923">
        <v>39992506</v>
      </c>
      <c r="H11923">
        <v>39992517</v>
      </c>
      <c r="I11923">
        <v>39992528</v>
      </c>
    </row>
    <row r="11924" spans="1:9" x14ac:dyDescent="0.2">
      <c r="A11924" s="1" t="str">
        <f>"NT5DC1"</f>
        <v>NT5DC1</v>
      </c>
      <c r="B11924" t="s">
        <v>14</v>
      </c>
      <c r="C11924" t="s">
        <v>32</v>
      </c>
      <c r="D11924" t="s">
        <v>17</v>
      </c>
      <c r="E11924" t="s">
        <v>12</v>
      </c>
      <c r="F11924">
        <v>116421976</v>
      </c>
      <c r="G11924">
        <v>116422054</v>
      </c>
      <c r="H11924">
        <v>116421976</v>
      </c>
      <c r="I11924">
        <v>116422054</v>
      </c>
    </row>
    <row r="11925" spans="1:9" x14ac:dyDescent="0.2">
      <c r="A11925" s="1" t="str">
        <f>"NT5DC2"</f>
        <v>NT5DC2</v>
      </c>
      <c r="B11925" t="s">
        <v>14</v>
      </c>
      <c r="C11925" t="s">
        <v>22</v>
      </c>
      <c r="D11925" t="s">
        <v>11</v>
      </c>
      <c r="E11925" t="s">
        <v>12</v>
      </c>
      <c r="F11925">
        <v>52567819</v>
      </c>
      <c r="G11925">
        <v>52567884</v>
      </c>
      <c r="H11925">
        <v>52567747</v>
      </c>
      <c r="I11925">
        <v>52567788</v>
      </c>
    </row>
    <row r="11926" spans="1:9" x14ac:dyDescent="0.2">
      <c r="A11926" s="1" t="str">
        <f>"NT5DC3"</f>
        <v>NT5DC3</v>
      </c>
      <c r="B11926" t="s">
        <v>14</v>
      </c>
      <c r="C11926" t="s">
        <v>16</v>
      </c>
      <c r="D11926" t="s">
        <v>11</v>
      </c>
      <c r="E11926" t="s">
        <v>12</v>
      </c>
      <c r="F11926">
        <v>104234989</v>
      </c>
      <c r="G11926">
        <v>104235022</v>
      </c>
      <c r="H11926">
        <v>104235025</v>
      </c>
      <c r="I11926">
        <v>104235067</v>
      </c>
    </row>
    <row r="11927" spans="1:9" x14ac:dyDescent="0.2">
      <c r="A11927" s="1" t="str">
        <f>"NT5DC4"</f>
        <v>NT5DC4</v>
      </c>
      <c r="B11927" t="s">
        <v>14</v>
      </c>
      <c r="C11927" t="s">
        <v>26</v>
      </c>
      <c r="D11927" t="s">
        <v>17</v>
      </c>
      <c r="E11927" t="s">
        <v>12</v>
      </c>
      <c r="F11927">
        <v>113483700</v>
      </c>
      <c r="G11927">
        <v>113483732</v>
      </c>
      <c r="H11927">
        <v>113483649</v>
      </c>
      <c r="I11927">
        <v>113483669</v>
      </c>
    </row>
    <row r="11928" spans="1:9" x14ac:dyDescent="0.2">
      <c r="A11928" s="1" t="str">
        <f>"NT5E"</f>
        <v>NT5E</v>
      </c>
      <c r="B11928" t="s">
        <v>14</v>
      </c>
      <c r="C11928" t="s">
        <v>32</v>
      </c>
      <c r="D11928" t="s">
        <v>17</v>
      </c>
      <c r="E11928" t="s">
        <v>12</v>
      </c>
      <c r="F11928">
        <v>86159765</v>
      </c>
      <c r="G11928">
        <v>86159820</v>
      </c>
      <c r="H11928">
        <v>86159821</v>
      </c>
      <c r="I11928">
        <v>86159839</v>
      </c>
    </row>
    <row r="11929" spans="1:9" x14ac:dyDescent="0.2">
      <c r="A11929" s="1" t="str">
        <f>"NT5M"</f>
        <v>NT5M</v>
      </c>
      <c r="B11929" t="s">
        <v>14</v>
      </c>
      <c r="C11929" t="s">
        <v>28</v>
      </c>
      <c r="D11929" t="s">
        <v>17</v>
      </c>
      <c r="E11929" t="s">
        <v>12</v>
      </c>
      <c r="F11929">
        <v>17206635</v>
      </c>
      <c r="G11929">
        <v>17206705</v>
      </c>
      <c r="H11929">
        <v>17206718</v>
      </c>
      <c r="I11929">
        <v>17206744</v>
      </c>
    </row>
    <row r="11930" spans="1:9" x14ac:dyDescent="0.2">
      <c r="A11930" s="1" t="str">
        <f>"NTAN1"</f>
        <v>NTAN1</v>
      </c>
      <c r="B11930" t="s">
        <v>14</v>
      </c>
      <c r="C11930" t="s">
        <v>31</v>
      </c>
      <c r="D11930" t="s">
        <v>11</v>
      </c>
      <c r="E11930" t="s">
        <v>12</v>
      </c>
      <c r="F11930">
        <v>15149828</v>
      </c>
      <c r="G11930">
        <v>15149912</v>
      </c>
      <c r="H11930">
        <v>15149917</v>
      </c>
      <c r="I11930">
        <v>15149946</v>
      </c>
    </row>
    <row r="11931" spans="1:9" x14ac:dyDescent="0.2">
      <c r="A11931" s="1" t="str">
        <f>"NTF3"</f>
        <v>NTF3</v>
      </c>
      <c r="B11931" t="s">
        <v>14</v>
      </c>
      <c r="C11931" t="s">
        <v>16</v>
      </c>
      <c r="D11931" t="s">
        <v>17</v>
      </c>
      <c r="E11931" t="s">
        <v>12</v>
      </c>
      <c r="F11931">
        <v>5541267</v>
      </c>
      <c r="G11931">
        <v>5541285</v>
      </c>
      <c r="H11931">
        <v>5541253</v>
      </c>
      <c r="I11931">
        <v>5541258</v>
      </c>
    </row>
    <row r="11932" spans="1:9" x14ac:dyDescent="0.2">
      <c r="A11932" s="1" t="str">
        <f>"NTF4"</f>
        <v>NTF4</v>
      </c>
      <c r="B11932" t="s">
        <v>897</v>
      </c>
      <c r="C11932" t="s">
        <v>10</v>
      </c>
      <c r="D11932" t="s">
        <v>11</v>
      </c>
      <c r="E11932" t="s">
        <v>20</v>
      </c>
      <c r="F11932">
        <v>49567123</v>
      </c>
      <c r="G11932">
        <v>49567123</v>
      </c>
      <c r="H11932">
        <v>49567123</v>
      </c>
      <c r="I11932">
        <v>49567123</v>
      </c>
    </row>
    <row r="11933" spans="1:9" x14ac:dyDescent="0.2">
      <c r="A11933" s="1" t="str">
        <f>"NTF4"</f>
        <v>NTF4</v>
      </c>
      <c r="B11933" t="s">
        <v>898</v>
      </c>
      <c r="C11933" t="s">
        <v>10</v>
      </c>
      <c r="D11933" t="s">
        <v>11</v>
      </c>
      <c r="E11933" t="s">
        <v>20</v>
      </c>
      <c r="F11933">
        <v>49565253</v>
      </c>
      <c r="G11933">
        <v>49565253</v>
      </c>
      <c r="H11933">
        <v>49565253</v>
      </c>
      <c r="I11933">
        <v>49565253</v>
      </c>
    </row>
    <row r="11934" spans="1:9" x14ac:dyDescent="0.2">
      <c r="A11934" s="1" t="str">
        <f>"NTHL1"</f>
        <v>NTHL1</v>
      </c>
      <c r="B11934" t="s">
        <v>14</v>
      </c>
      <c r="C11934" t="s">
        <v>31</v>
      </c>
      <c r="D11934" t="s">
        <v>11</v>
      </c>
      <c r="E11934" t="s">
        <v>12</v>
      </c>
      <c r="F11934">
        <v>2097807</v>
      </c>
      <c r="G11934">
        <v>2097856</v>
      </c>
      <c r="H11934">
        <v>2097735</v>
      </c>
      <c r="I11934">
        <v>2097752</v>
      </c>
    </row>
    <row r="11935" spans="1:9" x14ac:dyDescent="0.2">
      <c r="A11935" s="1" t="str">
        <f>"NTM"</f>
        <v>NTM</v>
      </c>
      <c r="B11935" t="s">
        <v>899</v>
      </c>
      <c r="C11935" t="s">
        <v>27</v>
      </c>
      <c r="D11935" t="s">
        <v>17</v>
      </c>
      <c r="E11935" t="s">
        <v>35</v>
      </c>
      <c r="F11935">
        <v>131780724</v>
      </c>
      <c r="G11935">
        <v>131780733</v>
      </c>
      <c r="H11935">
        <v>131781000</v>
      </c>
      <c r="I11935">
        <v>131781003</v>
      </c>
    </row>
    <row r="11936" spans="1:9" x14ac:dyDescent="0.2">
      <c r="A11936" s="1" t="str">
        <f>"NTMT1"</f>
        <v>NTMT1</v>
      </c>
      <c r="B11936" t="s">
        <v>14</v>
      </c>
      <c r="C11936" t="s">
        <v>24</v>
      </c>
      <c r="D11936" t="s">
        <v>17</v>
      </c>
      <c r="E11936" t="s">
        <v>12</v>
      </c>
      <c r="F11936">
        <v>132388423</v>
      </c>
      <c r="G11936">
        <v>132388477</v>
      </c>
      <c r="H11936">
        <v>132388566</v>
      </c>
      <c r="I11936">
        <v>132388581</v>
      </c>
    </row>
    <row r="11937" spans="1:9" x14ac:dyDescent="0.2">
      <c r="A11937" s="1" t="str">
        <f>"NTN1"</f>
        <v>NTN1</v>
      </c>
      <c r="B11937" t="s">
        <v>14</v>
      </c>
      <c r="C11937" t="s">
        <v>28</v>
      </c>
      <c r="D11937" t="s">
        <v>17</v>
      </c>
      <c r="E11937" t="s">
        <v>12</v>
      </c>
      <c r="F11937">
        <v>8924820</v>
      </c>
      <c r="G11937">
        <v>8924832</v>
      </c>
      <c r="H11937">
        <v>8924897</v>
      </c>
      <c r="I11937">
        <v>8924916</v>
      </c>
    </row>
    <row r="11938" spans="1:9" x14ac:dyDescent="0.2">
      <c r="A11938" s="1" t="str">
        <f>"NTN3"</f>
        <v>NTN3</v>
      </c>
      <c r="B11938" t="s">
        <v>14</v>
      </c>
      <c r="C11938" t="s">
        <v>31</v>
      </c>
      <c r="D11938" t="s">
        <v>17</v>
      </c>
      <c r="E11938" t="s">
        <v>12</v>
      </c>
      <c r="F11938">
        <v>2521286</v>
      </c>
      <c r="G11938">
        <v>2521310</v>
      </c>
      <c r="H11938">
        <v>2521470</v>
      </c>
      <c r="I11938">
        <v>2521487</v>
      </c>
    </row>
    <row r="11939" spans="1:9" x14ac:dyDescent="0.2">
      <c r="A11939" s="1" t="str">
        <f>"NTN4"</f>
        <v>NTN4</v>
      </c>
      <c r="B11939" t="s">
        <v>14</v>
      </c>
      <c r="C11939" t="s">
        <v>16</v>
      </c>
      <c r="D11939" t="s">
        <v>11</v>
      </c>
      <c r="E11939" t="s">
        <v>12</v>
      </c>
      <c r="F11939">
        <v>96184533</v>
      </c>
      <c r="G11939">
        <v>96184549</v>
      </c>
      <c r="H11939">
        <v>96184555</v>
      </c>
      <c r="I11939">
        <v>96184609</v>
      </c>
    </row>
    <row r="11940" spans="1:9" x14ac:dyDescent="0.2">
      <c r="A11940" s="1" t="str">
        <f>"NTN5"</f>
        <v>NTN5</v>
      </c>
      <c r="B11940" t="s">
        <v>900</v>
      </c>
      <c r="C11940" t="s">
        <v>10</v>
      </c>
      <c r="D11940" t="s">
        <v>11</v>
      </c>
      <c r="E11940" t="s">
        <v>20</v>
      </c>
      <c r="F11940">
        <v>49176263</v>
      </c>
      <c r="G11940">
        <v>49176263</v>
      </c>
      <c r="H11940">
        <v>49176263</v>
      </c>
      <c r="I11940">
        <v>49176263</v>
      </c>
    </row>
    <row r="11941" spans="1:9" x14ac:dyDescent="0.2">
      <c r="A11941" s="1" t="str">
        <f>"NTNG1"</f>
        <v>NTNG1</v>
      </c>
      <c r="B11941" t="s">
        <v>9</v>
      </c>
      <c r="C11941" t="s">
        <v>19</v>
      </c>
      <c r="D11941" t="s">
        <v>17</v>
      </c>
      <c r="E11941" t="s">
        <v>12</v>
      </c>
      <c r="F11941">
        <v>107682694</v>
      </c>
      <c r="G11941">
        <v>107682765</v>
      </c>
      <c r="H11941">
        <v>107682694</v>
      </c>
      <c r="I11941">
        <v>107682765</v>
      </c>
    </row>
    <row r="11942" spans="1:9" x14ac:dyDescent="0.2">
      <c r="A11942" s="1" t="str">
        <f>"NTNG1"</f>
        <v>NTNG1</v>
      </c>
      <c r="B11942" t="s">
        <v>13</v>
      </c>
      <c r="C11942" t="s">
        <v>19</v>
      </c>
      <c r="D11942" t="s">
        <v>17</v>
      </c>
      <c r="E11942" t="s">
        <v>12</v>
      </c>
      <c r="F11942">
        <v>107683775</v>
      </c>
      <c r="G11942">
        <v>107683816</v>
      </c>
      <c r="H11942">
        <v>107683775</v>
      </c>
      <c r="I11942">
        <v>107683816</v>
      </c>
    </row>
    <row r="11943" spans="1:9" x14ac:dyDescent="0.2">
      <c r="A11943" s="1" t="str">
        <f>"NTNG2"</f>
        <v>NTNG2</v>
      </c>
      <c r="B11943" t="s">
        <v>14</v>
      </c>
      <c r="C11943" t="s">
        <v>24</v>
      </c>
      <c r="D11943" t="s">
        <v>17</v>
      </c>
      <c r="E11943" t="s">
        <v>12</v>
      </c>
      <c r="F11943">
        <v>135037060</v>
      </c>
      <c r="G11943">
        <v>135037134</v>
      </c>
      <c r="H11943">
        <v>135037060</v>
      </c>
      <c r="I11943">
        <v>135037134</v>
      </c>
    </row>
    <row r="11944" spans="1:9" x14ac:dyDescent="0.2">
      <c r="A11944" s="1" t="str">
        <f>"NTPCR"</f>
        <v>NTPCR</v>
      </c>
      <c r="B11944" t="s">
        <v>14</v>
      </c>
      <c r="C11944" t="s">
        <v>19</v>
      </c>
      <c r="D11944" t="s">
        <v>17</v>
      </c>
      <c r="E11944" t="s">
        <v>12</v>
      </c>
      <c r="F11944">
        <v>233086326</v>
      </c>
      <c r="G11944">
        <v>233086415</v>
      </c>
      <c r="H11944">
        <v>233086304</v>
      </c>
      <c r="I11944">
        <v>233086325</v>
      </c>
    </row>
    <row r="11945" spans="1:9" x14ac:dyDescent="0.2">
      <c r="A11945" s="1" t="str">
        <f>"NTRK1"</f>
        <v>NTRK1</v>
      </c>
      <c r="B11945" t="s">
        <v>14</v>
      </c>
      <c r="C11945" t="s">
        <v>19</v>
      </c>
      <c r="D11945" t="s">
        <v>17</v>
      </c>
      <c r="E11945" t="s">
        <v>12</v>
      </c>
      <c r="F11945">
        <v>156830650</v>
      </c>
      <c r="G11945">
        <v>156830666</v>
      </c>
      <c r="H11945">
        <v>156830678</v>
      </c>
      <c r="I11945">
        <v>156830696</v>
      </c>
    </row>
    <row r="11946" spans="1:9" x14ac:dyDescent="0.2">
      <c r="A11946" s="1" t="str">
        <f>"NTRK2"</f>
        <v>NTRK2</v>
      </c>
      <c r="B11946" t="s">
        <v>14</v>
      </c>
      <c r="C11946" t="s">
        <v>24</v>
      </c>
      <c r="D11946" t="s">
        <v>17</v>
      </c>
      <c r="E11946" t="s">
        <v>12</v>
      </c>
      <c r="F11946">
        <v>87284675</v>
      </c>
      <c r="G11946">
        <v>87284698</v>
      </c>
      <c r="H11946">
        <v>87284675</v>
      </c>
      <c r="I11946">
        <v>87284698</v>
      </c>
    </row>
    <row r="11947" spans="1:9" x14ac:dyDescent="0.2">
      <c r="A11947" s="1" t="str">
        <f>"NTRK3"</f>
        <v>NTRK3</v>
      </c>
      <c r="B11947" t="s">
        <v>14</v>
      </c>
      <c r="C11947" t="s">
        <v>25</v>
      </c>
      <c r="D11947" t="s">
        <v>11</v>
      </c>
      <c r="E11947" t="s">
        <v>12</v>
      </c>
      <c r="F11947">
        <v>88799948</v>
      </c>
      <c r="G11947">
        <v>88799977</v>
      </c>
      <c r="H11947">
        <v>88799926</v>
      </c>
      <c r="I11947">
        <v>88799941</v>
      </c>
    </row>
    <row r="11948" spans="1:9" x14ac:dyDescent="0.2">
      <c r="A11948" s="1" t="str">
        <f>"NTS"</f>
        <v>NTS</v>
      </c>
      <c r="B11948" t="s">
        <v>14</v>
      </c>
      <c r="C11948" t="s">
        <v>16</v>
      </c>
      <c r="D11948" t="s">
        <v>17</v>
      </c>
      <c r="E11948" t="s">
        <v>12</v>
      </c>
      <c r="F11948">
        <v>86268065</v>
      </c>
      <c r="G11948">
        <v>86268080</v>
      </c>
      <c r="H11948">
        <v>86268065</v>
      </c>
      <c r="I11948">
        <v>86268080</v>
      </c>
    </row>
    <row r="11949" spans="1:9" x14ac:dyDescent="0.2">
      <c r="A11949" s="1" t="str">
        <f>"NTSR1"</f>
        <v>NTSR1</v>
      </c>
      <c r="B11949" t="s">
        <v>14</v>
      </c>
      <c r="C11949" t="s">
        <v>29</v>
      </c>
      <c r="D11949" t="s">
        <v>17</v>
      </c>
      <c r="E11949" t="s">
        <v>12</v>
      </c>
      <c r="F11949">
        <v>61340179</v>
      </c>
      <c r="G11949">
        <v>61340195</v>
      </c>
      <c r="H11949">
        <v>61340152</v>
      </c>
      <c r="I11949">
        <v>61340173</v>
      </c>
    </row>
    <row r="11950" spans="1:9" x14ac:dyDescent="0.2">
      <c r="A11950" s="1" t="str">
        <f>"NTSR2"</f>
        <v>NTSR2</v>
      </c>
      <c r="B11950" t="s">
        <v>14</v>
      </c>
      <c r="C11950" t="s">
        <v>26</v>
      </c>
      <c r="D11950" t="s">
        <v>11</v>
      </c>
      <c r="E11950" t="s">
        <v>12</v>
      </c>
      <c r="F11950">
        <v>11810312</v>
      </c>
      <c r="G11950">
        <v>11810327</v>
      </c>
      <c r="H11950">
        <v>11810312</v>
      </c>
      <c r="I11950">
        <v>11810327</v>
      </c>
    </row>
    <row r="11951" spans="1:9" x14ac:dyDescent="0.2">
      <c r="A11951" s="1" t="str">
        <f>"NUAK1"</f>
        <v>NUAK1</v>
      </c>
      <c r="B11951" t="s">
        <v>14</v>
      </c>
      <c r="C11951" t="s">
        <v>16</v>
      </c>
      <c r="D11951" t="s">
        <v>11</v>
      </c>
      <c r="E11951" t="s">
        <v>12</v>
      </c>
      <c r="F11951">
        <v>106532724</v>
      </c>
      <c r="G11951">
        <v>106532740</v>
      </c>
      <c r="H11951">
        <v>106532724</v>
      </c>
      <c r="I11951">
        <v>106532740</v>
      </c>
    </row>
    <row r="11952" spans="1:9" x14ac:dyDescent="0.2">
      <c r="A11952" s="1" t="str">
        <f>"NUAK2"</f>
        <v>NUAK2</v>
      </c>
      <c r="B11952" t="s">
        <v>14</v>
      </c>
      <c r="C11952" t="s">
        <v>19</v>
      </c>
      <c r="D11952" t="s">
        <v>11</v>
      </c>
      <c r="E11952" t="s">
        <v>12</v>
      </c>
      <c r="F11952">
        <v>205290865</v>
      </c>
      <c r="G11952">
        <v>205290891</v>
      </c>
      <c r="H11952">
        <v>205290865</v>
      </c>
      <c r="I11952">
        <v>205290891</v>
      </c>
    </row>
    <row r="11953" spans="1:9" x14ac:dyDescent="0.2">
      <c r="A11953" s="1" t="str">
        <f>"NUB1"</f>
        <v>NUB1</v>
      </c>
      <c r="B11953" t="s">
        <v>14</v>
      </c>
      <c r="C11953" t="s">
        <v>33</v>
      </c>
      <c r="D11953" t="s">
        <v>17</v>
      </c>
      <c r="E11953" t="s">
        <v>12</v>
      </c>
      <c r="F11953">
        <v>151038850</v>
      </c>
      <c r="G11953">
        <v>151038915</v>
      </c>
      <c r="H11953">
        <v>151038789</v>
      </c>
      <c r="I11953">
        <v>151038800</v>
      </c>
    </row>
    <row r="11954" spans="1:9" x14ac:dyDescent="0.2">
      <c r="A11954" s="1" t="str">
        <f>"NUBP1"</f>
        <v>NUBP1</v>
      </c>
      <c r="B11954" t="s">
        <v>14</v>
      </c>
      <c r="C11954" t="s">
        <v>31</v>
      </c>
      <c r="D11954" t="s">
        <v>17</v>
      </c>
      <c r="E11954" t="s">
        <v>12</v>
      </c>
      <c r="F11954">
        <v>10837670</v>
      </c>
      <c r="G11954">
        <v>10837714</v>
      </c>
      <c r="H11954">
        <v>10837670</v>
      </c>
      <c r="I11954">
        <v>10837714</v>
      </c>
    </row>
    <row r="11955" spans="1:9" x14ac:dyDescent="0.2">
      <c r="A11955" s="1" t="str">
        <f>"NUBP2"</f>
        <v>NUBP2</v>
      </c>
      <c r="B11955" t="s">
        <v>14</v>
      </c>
      <c r="C11955" t="s">
        <v>31</v>
      </c>
      <c r="D11955" t="s">
        <v>17</v>
      </c>
      <c r="E11955" t="s">
        <v>12</v>
      </c>
      <c r="F11955">
        <v>1832923</v>
      </c>
      <c r="G11955">
        <v>1833008</v>
      </c>
      <c r="H11955">
        <v>1832771</v>
      </c>
      <c r="I11955">
        <v>1832772</v>
      </c>
    </row>
    <row r="11956" spans="1:9" x14ac:dyDescent="0.2">
      <c r="A11956" s="1" t="str">
        <f>"NUBPL"</f>
        <v>NUBPL</v>
      </c>
      <c r="B11956" t="s">
        <v>14</v>
      </c>
      <c r="C11956" t="s">
        <v>41</v>
      </c>
      <c r="D11956" t="s">
        <v>17</v>
      </c>
      <c r="E11956" t="s">
        <v>12</v>
      </c>
      <c r="F11956">
        <v>32030582</v>
      </c>
      <c r="G11956">
        <v>32030661</v>
      </c>
      <c r="H11956">
        <v>32030694</v>
      </c>
      <c r="I11956">
        <v>32030714</v>
      </c>
    </row>
    <row r="11957" spans="1:9" x14ac:dyDescent="0.2">
      <c r="A11957" s="1" t="str">
        <f>"NUCB1"</f>
        <v>NUCB1</v>
      </c>
      <c r="B11957" t="s">
        <v>14</v>
      </c>
      <c r="C11957" t="s">
        <v>10</v>
      </c>
      <c r="D11957" t="s">
        <v>17</v>
      </c>
      <c r="E11957" t="s">
        <v>12</v>
      </c>
      <c r="F11957">
        <v>49403562</v>
      </c>
      <c r="G11957">
        <v>49403614</v>
      </c>
      <c r="H11957">
        <v>49403530</v>
      </c>
      <c r="I11957">
        <v>49403543</v>
      </c>
    </row>
    <row r="11958" spans="1:9" x14ac:dyDescent="0.2">
      <c r="A11958" s="1" t="str">
        <f>"NUCB2"</f>
        <v>NUCB2</v>
      </c>
      <c r="B11958" t="s">
        <v>14</v>
      </c>
      <c r="C11958" t="s">
        <v>27</v>
      </c>
      <c r="D11958" t="s">
        <v>17</v>
      </c>
      <c r="E11958" t="s">
        <v>12</v>
      </c>
      <c r="F11958">
        <v>17298297</v>
      </c>
      <c r="G11958">
        <v>17298341</v>
      </c>
      <c r="H11958">
        <v>17298255</v>
      </c>
      <c r="I11958">
        <v>17298296</v>
      </c>
    </row>
    <row r="11959" spans="1:9" x14ac:dyDescent="0.2">
      <c r="A11959" s="1" t="str">
        <f>"NUCKS1"</f>
        <v>NUCKS1</v>
      </c>
      <c r="B11959" t="s">
        <v>14</v>
      </c>
      <c r="C11959" t="s">
        <v>19</v>
      </c>
      <c r="D11959" t="s">
        <v>11</v>
      </c>
      <c r="E11959" t="s">
        <v>12</v>
      </c>
      <c r="F11959">
        <v>205719295</v>
      </c>
      <c r="G11959">
        <v>205719353</v>
      </c>
      <c r="H11959">
        <v>205719122</v>
      </c>
      <c r="I11959">
        <v>205719157</v>
      </c>
    </row>
    <row r="11960" spans="1:9" x14ac:dyDescent="0.2">
      <c r="A11960" s="1" t="str">
        <f>"NUDC"</f>
        <v>NUDC</v>
      </c>
      <c r="B11960" t="s">
        <v>14</v>
      </c>
      <c r="C11960" t="s">
        <v>19</v>
      </c>
      <c r="D11960" t="s">
        <v>17</v>
      </c>
      <c r="E11960" t="s">
        <v>12</v>
      </c>
      <c r="F11960">
        <v>27248203</v>
      </c>
      <c r="G11960">
        <v>27248288</v>
      </c>
      <c r="H11960">
        <v>27248294</v>
      </c>
      <c r="I11960">
        <v>27248308</v>
      </c>
    </row>
    <row r="11961" spans="1:9" x14ac:dyDescent="0.2">
      <c r="A11961" s="1" t="str">
        <f>"NUDCD1"</f>
        <v>NUDCD1</v>
      </c>
      <c r="B11961" t="s">
        <v>14</v>
      </c>
      <c r="C11961" t="s">
        <v>30</v>
      </c>
      <c r="D11961" t="s">
        <v>11</v>
      </c>
      <c r="E11961" t="s">
        <v>12</v>
      </c>
      <c r="F11961">
        <v>110346270</v>
      </c>
      <c r="G11961">
        <v>110346365</v>
      </c>
      <c r="H11961">
        <v>110346254</v>
      </c>
      <c r="I11961">
        <v>110346265</v>
      </c>
    </row>
    <row r="11962" spans="1:9" x14ac:dyDescent="0.2">
      <c r="A11962" s="1" t="str">
        <f>"NUDCD2"</f>
        <v>NUDCD2</v>
      </c>
      <c r="B11962" t="s">
        <v>14</v>
      </c>
      <c r="C11962" t="s">
        <v>46</v>
      </c>
      <c r="D11962" t="s">
        <v>11</v>
      </c>
      <c r="E11962" t="s">
        <v>12</v>
      </c>
      <c r="F11962">
        <v>162887071</v>
      </c>
      <c r="G11962">
        <v>162887166</v>
      </c>
      <c r="H11962">
        <v>162887054</v>
      </c>
      <c r="I11962">
        <v>162887067</v>
      </c>
    </row>
    <row r="11963" spans="1:9" x14ac:dyDescent="0.2">
      <c r="A11963" s="1" t="str">
        <f>"NUDCD3"</f>
        <v>NUDCD3</v>
      </c>
      <c r="B11963" t="s">
        <v>14</v>
      </c>
      <c r="C11963" t="s">
        <v>33</v>
      </c>
      <c r="D11963" t="s">
        <v>11</v>
      </c>
      <c r="E11963" t="s">
        <v>12</v>
      </c>
      <c r="F11963">
        <v>44530208</v>
      </c>
      <c r="G11963">
        <v>44530263</v>
      </c>
      <c r="H11963">
        <v>44530394</v>
      </c>
      <c r="I11963">
        <v>44530452</v>
      </c>
    </row>
    <row r="11964" spans="1:9" x14ac:dyDescent="0.2">
      <c r="A11964" s="1" t="str">
        <f>"NUDT1"</f>
        <v>NUDT1</v>
      </c>
      <c r="B11964" t="s">
        <v>14</v>
      </c>
      <c r="C11964" t="s">
        <v>33</v>
      </c>
      <c r="D11964" t="s">
        <v>17</v>
      </c>
      <c r="E11964" t="s">
        <v>12</v>
      </c>
      <c r="F11964">
        <v>2281843</v>
      </c>
      <c r="G11964">
        <v>2281869</v>
      </c>
      <c r="H11964">
        <v>2281882</v>
      </c>
      <c r="I11964">
        <v>2281901</v>
      </c>
    </row>
    <row r="11965" spans="1:9" x14ac:dyDescent="0.2">
      <c r="A11965" s="1" t="str">
        <f>"NUDT10"</f>
        <v>NUDT10</v>
      </c>
      <c r="B11965" t="s">
        <v>14</v>
      </c>
      <c r="C11965" t="s">
        <v>37</v>
      </c>
      <c r="D11965" t="s">
        <v>17</v>
      </c>
      <c r="E11965" t="s">
        <v>12</v>
      </c>
      <c r="F11965">
        <v>51075658</v>
      </c>
      <c r="G11965">
        <v>51075686</v>
      </c>
      <c r="H11965">
        <v>51075713</v>
      </c>
      <c r="I11965">
        <v>51075730</v>
      </c>
    </row>
    <row r="11966" spans="1:9" x14ac:dyDescent="0.2">
      <c r="A11966" s="1" t="str">
        <f>"NUDT11"</f>
        <v>NUDT11</v>
      </c>
      <c r="B11966" t="s">
        <v>14</v>
      </c>
      <c r="C11966" t="s">
        <v>37</v>
      </c>
      <c r="D11966" t="s">
        <v>11</v>
      </c>
      <c r="E11966" t="s">
        <v>12</v>
      </c>
      <c r="F11966">
        <v>51239368</v>
      </c>
      <c r="G11966">
        <v>51239410</v>
      </c>
      <c r="H11966">
        <v>51239425</v>
      </c>
      <c r="I11966">
        <v>51239453</v>
      </c>
    </row>
    <row r="11967" spans="1:9" x14ac:dyDescent="0.2">
      <c r="A11967" s="1" t="str">
        <f>"NUDT12"</f>
        <v>NUDT12</v>
      </c>
      <c r="B11967" t="s">
        <v>14</v>
      </c>
      <c r="C11967" t="s">
        <v>46</v>
      </c>
      <c r="D11967" t="s">
        <v>11</v>
      </c>
      <c r="E11967" t="s">
        <v>12</v>
      </c>
      <c r="F11967">
        <v>102898465</v>
      </c>
      <c r="G11967">
        <v>102898518</v>
      </c>
      <c r="H11967">
        <v>102898443</v>
      </c>
      <c r="I11967">
        <v>102898460</v>
      </c>
    </row>
    <row r="11968" spans="1:9" x14ac:dyDescent="0.2">
      <c r="A11968" s="1" t="str">
        <f>"NUDT13"</f>
        <v>NUDT13</v>
      </c>
      <c r="B11968" t="s">
        <v>14</v>
      </c>
      <c r="C11968" t="s">
        <v>15</v>
      </c>
      <c r="D11968" t="s">
        <v>17</v>
      </c>
      <c r="E11968" t="s">
        <v>12</v>
      </c>
      <c r="F11968">
        <v>74870253</v>
      </c>
      <c r="G11968">
        <v>74870287</v>
      </c>
      <c r="H11968">
        <v>74870206</v>
      </c>
      <c r="I11968">
        <v>74870219</v>
      </c>
    </row>
    <row r="11969" spans="1:9" x14ac:dyDescent="0.2">
      <c r="A11969" s="1" t="str">
        <f>"NUDT14"</f>
        <v>NUDT14</v>
      </c>
      <c r="B11969" t="s">
        <v>14</v>
      </c>
      <c r="C11969" t="s">
        <v>41</v>
      </c>
      <c r="D11969" t="s">
        <v>11</v>
      </c>
      <c r="E11969" t="s">
        <v>12</v>
      </c>
      <c r="F11969">
        <v>105647606</v>
      </c>
      <c r="G11969">
        <v>105647657</v>
      </c>
      <c r="H11969">
        <v>105647577</v>
      </c>
      <c r="I11969">
        <v>105647582</v>
      </c>
    </row>
    <row r="11970" spans="1:9" x14ac:dyDescent="0.2">
      <c r="A11970" s="1" t="str">
        <f>"NUDT15"</f>
        <v>NUDT15</v>
      </c>
      <c r="B11970" t="s">
        <v>14</v>
      </c>
      <c r="C11970" t="s">
        <v>39</v>
      </c>
      <c r="D11970" t="s">
        <v>17</v>
      </c>
      <c r="E11970" t="s">
        <v>12</v>
      </c>
      <c r="F11970">
        <v>48611829</v>
      </c>
      <c r="G11970">
        <v>48611904</v>
      </c>
      <c r="H11970">
        <v>48611919</v>
      </c>
      <c r="I11970">
        <v>48611930</v>
      </c>
    </row>
    <row r="11971" spans="1:9" x14ac:dyDescent="0.2">
      <c r="A11971" s="1" t="str">
        <f>"NUDT16"</f>
        <v>NUDT16</v>
      </c>
      <c r="B11971" t="s">
        <v>14</v>
      </c>
      <c r="C11971" t="s">
        <v>22</v>
      </c>
      <c r="D11971" t="s">
        <v>17</v>
      </c>
      <c r="E11971" t="s">
        <v>12</v>
      </c>
      <c r="F11971">
        <v>131100600</v>
      </c>
      <c r="G11971">
        <v>131100654</v>
      </c>
      <c r="H11971">
        <v>131100600</v>
      </c>
      <c r="I11971">
        <v>131100654</v>
      </c>
    </row>
    <row r="11972" spans="1:9" x14ac:dyDescent="0.2">
      <c r="A11972" s="1" t="str">
        <f>"NUDT16L1"</f>
        <v>NUDT16L1</v>
      </c>
      <c r="B11972" t="s">
        <v>14</v>
      </c>
      <c r="C11972" t="s">
        <v>31</v>
      </c>
      <c r="D11972" t="s">
        <v>17</v>
      </c>
      <c r="E11972" t="s">
        <v>12</v>
      </c>
      <c r="F11972">
        <v>4743707</v>
      </c>
      <c r="G11972">
        <v>4743728</v>
      </c>
      <c r="H11972">
        <v>4743688</v>
      </c>
      <c r="I11972">
        <v>4743706</v>
      </c>
    </row>
    <row r="11973" spans="1:9" x14ac:dyDescent="0.2">
      <c r="A11973" s="1" t="str">
        <f>"NUDT17"</f>
        <v>NUDT17</v>
      </c>
      <c r="B11973" t="s">
        <v>14</v>
      </c>
      <c r="C11973" t="s">
        <v>19</v>
      </c>
      <c r="D11973" t="s">
        <v>11</v>
      </c>
      <c r="E11973" t="s">
        <v>12</v>
      </c>
      <c r="F11973">
        <v>145589424</v>
      </c>
      <c r="G11973">
        <v>145589471</v>
      </c>
      <c r="H11973">
        <v>145589089</v>
      </c>
      <c r="I11973">
        <v>145589106</v>
      </c>
    </row>
    <row r="11974" spans="1:9" x14ac:dyDescent="0.2">
      <c r="A11974" s="1" t="str">
        <f>"NUDT18"</f>
        <v>NUDT18</v>
      </c>
      <c r="B11974" t="s">
        <v>14</v>
      </c>
      <c r="C11974" t="s">
        <v>30</v>
      </c>
      <c r="D11974" t="s">
        <v>11</v>
      </c>
      <c r="E11974" t="s">
        <v>12</v>
      </c>
      <c r="F11974">
        <v>21966893</v>
      </c>
      <c r="G11974">
        <v>21966957</v>
      </c>
      <c r="H11974">
        <v>21966873</v>
      </c>
      <c r="I11974">
        <v>21966887</v>
      </c>
    </row>
    <row r="11975" spans="1:9" x14ac:dyDescent="0.2">
      <c r="A11975" s="1" t="str">
        <f>"NUDT19"</f>
        <v>NUDT19</v>
      </c>
      <c r="B11975" t="s">
        <v>14</v>
      </c>
      <c r="C11975" t="s">
        <v>10</v>
      </c>
      <c r="D11975" t="s">
        <v>17</v>
      </c>
      <c r="E11975" t="s">
        <v>12</v>
      </c>
      <c r="F11975">
        <v>33182691</v>
      </c>
      <c r="G11975">
        <v>33182774</v>
      </c>
      <c r="H11975">
        <v>33182823</v>
      </c>
      <c r="I11975">
        <v>33182845</v>
      </c>
    </row>
    <row r="11976" spans="1:9" x14ac:dyDescent="0.2">
      <c r="A11976" s="1" t="str">
        <f>"NUDT2"</f>
        <v>NUDT2</v>
      </c>
      <c r="B11976" t="s">
        <v>14</v>
      </c>
      <c r="C11976" t="s">
        <v>24</v>
      </c>
      <c r="D11976" t="s">
        <v>17</v>
      </c>
      <c r="E11976" t="s">
        <v>12</v>
      </c>
      <c r="F11976">
        <v>34329543</v>
      </c>
      <c r="G11976">
        <v>34329593</v>
      </c>
      <c r="H11976">
        <v>34329543</v>
      </c>
      <c r="I11976">
        <v>34329593</v>
      </c>
    </row>
    <row r="11977" spans="1:9" x14ac:dyDescent="0.2">
      <c r="A11977" s="1" t="str">
        <f>"NUDT21"</f>
        <v>NUDT21</v>
      </c>
      <c r="B11977" t="s">
        <v>14</v>
      </c>
      <c r="C11977" t="s">
        <v>31</v>
      </c>
      <c r="D11977" t="s">
        <v>11</v>
      </c>
      <c r="E11977" t="s">
        <v>12</v>
      </c>
      <c r="F11977">
        <v>56485228</v>
      </c>
      <c r="G11977">
        <v>56485251</v>
      </c>
      <c r="H11977">
        <v>56485257</v>
      </c>
      <c r="I11977">
        <v>56485268</v>
      </c>
    </row>
    <row r="11978" spans="1:9" x14ac:dyDescent="0.2">
      <c r="A11978" s="1" t="str">
        <f>"NUDT22"</f>
        <v>NUDT22</v>
      </c>
      <c r="B11978" t="s">
        <v>14</v>
      </c>
      <c r="C11978" t="s">
        <v>27</v>
      </c>
      <c r="D11978" t="s">
        <v>17</v>
      </c>
      <c r="E11978" t="s">
        <v>12</v>
      </c>
      <c r="F11978">
        <v>63993738</v>
      </c>
      <c r="G11978">
        <v>63993778</v>
      </c>
      <c r="H11978">
        <v>63993779</v>
      </c>
      <c r="I11978">
        <v>63993796</v>
      </c>
    </row>
    <row r="11979" spans="1:9" x14ac:dyDescent="0.2">
      <c r="A11979" s="1" t="str">
        <f>"NUDT3"</f>
        <v>NUDT3</v>
      </c>
      <c r="B11979" t="s">
        <v>14</v>
      </c>
      <c r="C11979" t="s">
        <v>32</v>
      </c>
      <c r="D11979" t="s">
        <v>11</v>
      </c>
      <c r="E11979" t="s">
        <v>12</v>
      </c>
      <c r="F11979">
        <v>34360413</v>
      </c>
      <c r="G11979">
        <v>34360453</v>
      </c>
      <c r="H11979">
        <v>34360344</v>
      </c>
      <c r="I11979">
        <v>34360382</v>
      </c>
    </row>
    <row r="11980" spans="1:9" x14ac:dyDescent="0.2">
      <c r="A11980" s="1" t="str">
        <f>"NUDT4"</f>
        <v>NUDT4</v>
      </c>
      <c r="B11980" t="s">
        <v>14</v>
      </c>
      <c r="C11980" t="s">
        <v>16</v>
      </c>
      <c r="D11980" t="s">
        <v>17</v>
      </c>
      <c r="E11980" t="s">
        <v>12</v>
      </c>
      <c r="F11980">
        <v>93771692</v>
      </c>
      <c r="G11980">
        <v>93771710</v>
      </c>
      <c r="H11980">
        <v>93772346</v>
      </c>
      <c r="I11980">
        <v>93772384</v>
      </c>
    </row>
    <row r="11981" spans="1:9" x14ac:dyDescent="0.2">
      <c r="A11981" s="1" t="str">
        <f>"NUDT5"</f>
        <v>NUDT5</v>
      </c>
      <c r="B11981" t="s">
        <v>14</v>
      </c>
      <c r="C11981" t="s">
        <v>15</v>
      </c>
      <c r="D11981" t="s">
        <v>11</v>
      </c>
      <c r="E11981" t="s">
        <v>12</v>
      </c>
      <c r="F11981">
        <v>12237836</v>
      </c>
      <c r="G11981">
        <v>12237900</v>
      </c>
      <c r="H11981">
        <v>12237820</v>
      </c>
      <c r="I11981">
        <v>12237834</v>
      </c>
    </row>
    <row r="11982" spans="1:9" x14ac:dyDescent="0.2">
      <c r="A11982" s="1" t="str">
        <f>"NUDT6"</f>
        <v>NUDT6</v>
      </c>
      <c r="B11982" t="s">
        <v>14</v>
      </c>
      <c r="C11982" t="s">
        <v>23</v>
      </c>
      <c r="D11982" t="s">
        <v>11</v>
      </c>
      <c r="E11982" t="s">
        <v>12</v>
      </c>
      <c r="F11982">
        <v>123843707</v>
      </c>
      <c r="G11982">
        <v>123843766</v>
      </c>
      <c r="H11982">
        <v>123844084</v>
      </c>
      <c r="I11982">
        <v>123844134</v>
      </c>
    </row>
    <row r="11983" spans="1:9" x14ac:dyDescent="0.2">
      <c r="A11983" s="1" t="str">
        <f>"NUDT7"</f>
        <v>NUDT7</v>
      </c>
      <c r="B11983" t="s">
        <v>14</v>
      </c>
      <c r="C11983" t="s">
        <v>31</v>
      </c>
      <c r="D11983" t="s">
        <v>17</v>
      </c>
      <c r="E11983" t="s">
        <v>12</v>
      </c>
      <c r="F11983">
        <v>77756399</v>
      </c>
      <c r="G11983">
        <v>77756444</v>
      </c>
      <c r="H11983">
        <v>77756370</v>
      </c>
      <c r="I11983">
        <v>77756383</v>
      </c>
    </row>
    <row r="11984" spans="1:9" x14ac:dyDescent="0.2">
      <c r="A11984" s="1" t="str">
        <f>"NUDT8"</f>
        <v>NUDT8</v>
      </c>
      <c r="B11984" t="s">
        <v>14</v>
      </c>
      <c r="C11984" t="s">
        <v>27</v>
      </c>
      <c r="D11984" t="s">
        <v>11</v>
      </c>
      <c r="E11984" t="s">
        <v>12</v>
      </c>
      <c r="F11984">
        <v>67397371</v>
      </c>
      <c r="G11984">
        <v>67397416</v>
      </c>
      <c r="H11984">
        <v>67397371</v>
      </c>
      <c r="I11984">
        <v>67397416</v>
      </c>
    </row>
    <row r="11985" spans="1:9" x14ac:dyDescent="0.2">
      <c r="A11985" s="1" t="str">
        <f>"NUDT9"</f>
        <v>NUDT9</v>
      </c>
      <c r="B11985" t="s">
        <v>14</v>
      </c>
      <c r="C11985" t="s">
        <v>23</v>
      </c>
      <c r="D11985" t="s">
        <v>17</v>
      </c>
      <c r="E11985" t="s">
        <v>12</v>
      </c>
      <c r="F11985">
        <v>88343717</v>
      </c>
      <c r="G11985">
        <v>88343800</v>
      </c>
      <c r="H11985">
        <v>88343997</v>
      </c>
      <c r="I11985">
        <v>88344042</v>
      </c>
    </row>
    <row r="11986" spans="1:9" x14ac:dyDescent="0.2">
      <c r="A11986" s="1" t="str">
        <f>"NUF2"</f>
        <v>NUF2</v>
      </c>
      <c r="B11986" t="s">
        <v>14</v>
      </c>
      <c r="C11986" t="s">
        <v>19</v>
      </c>
      <c r="D11986" t="s">
        <v>17</v>
      </c>
      <c r="E11986" t="s">
        <v>12</v>
      </c>
      <c r="F11986">
        <v>163291732</v>
      </c>
      <c r="G11986">
        <v>163291812</v>
      </c>
      <c r="H11986">
        <v>163291814</v>
      </c>
      <c r="I11986">
        <v>163291855</v>
      </c>
    </row>
    <row r="11987" spans="1:9" x14ac:dyDescent="0.2">
      <c r="A11987" s="1" t="str">
        <f>"NUFIP1"</f>
        <v>NUFIP1</v>
      </c>
      <c r="B11987" t="s">
        <v>14</v>
      </c>
      <c r="C11987" t="s">
        <v>39</v>
      </c>
      <c r="D11987" t="s">
        <v>11</v>
      </c>
      <c r="E11987" t="s">
        <v>12</v>
      </c>
      <c r="F11987">
        <v>45563571</v>
      </c>
      <c r="G11987">
        <v>45563620</v>
      </c>
      <c r="H11987">
        <v>45563624</v>
      </c>
      <c r="I11987">
        <v>45563631</v>
      </c>
    </row>
    <row r="11988" spans="1:9" x14ac:dyDescent="0.2">
      <c r="A11988" s="1" t="str">
        <f>"NUFIP2"</f>
        <v>NUFIP2</v>
      </c>
      <c r="B11988" t="s">
        <v>14</v>
      </c>
      <c r="C11988" t="s">
        <v>28</v>
      </c>
      <c r="D11988" t="s">
        <v>11</v>
      </c>
      <c r="E11988" t="s">
        <v>12</v>
      </c>
      <c r="F11988">
        <v>27621125</v>
      </c>
      <c r="G11988">
        <v>27621143</v>
      </c>
      <c r="H11988">
        <v>27621159</v>
      </c>
      <c r="I11988">
        <v>27621172</v>
      </c>
    </row>
    <row r="11989" spans="1:9" x14ac:dyDescent="0.2">
      <c r="A11989" s="1" t="str">
        <f>"NUGGC"</f>
        <v>NUGGC</v>
      </c>
      <c r="B11989" t="s">
        <v>14</v>
      </c>
      <c r="C11989" t="s">
        <v>30</v>
      </c>
      <c r="D11989" t="s">
        <v>11</v>
      </c>
      <c r="E11989" t="s">
        <v>12</v>
      </c>
      <c r="F11989">
        <v>27941428</v>
      </c>
      <c r="G11989">
        <v>27941459</v>
      </c>
      <c r="H11989">
        <v>27941380</v>
      </c>
      <c r="I11989">
        <v>27941403</v>
      </c>
    </row>
    <row r="11990" spans="1:9" x14ac:dyDescent="0.2">
      <c r="A11990" s="1" t="str">
        <f>"NUMA1"</f>
        <v>NUMA1</v>
      </c>
      <c r="B11990" t="s">
        <v>901</v>
      </c>
      <c r="C11990" t="s">
        <v>27</v>
      </c>
      <c r="D11990" t="s">
        <v>11</v>
      </c>
      <c r="E11990" t="s">
        <v>35</v>
      </c>
      <c r="F11990">
        <v>71791726</v>
      </c>
      <c r="G11990">
        <v>71791756</v>
      </c>
      <c r="H11990">
        <v>71791518</v>
      </c>
      <c r="I11990">
        <v>71791605</v>
      </c>
    </row>
    <row r="11991" spans="1:9" x14ac:dyDescent="0.2">
      <c r="A11991" s="1" t="str">
        <f>"NUMB"</f>
        <v>NUMB</v>
      </c>
      <c r="B11991" t="s">
        <v>9</v>
      </c>
      <c r="C11991" t="s">
        <v>41</v>
      </c>
      <c r="D11991" t="s">
        <v>11</v>
      </c>
      <c r="E11991" t="s">
        <v>12</v>
      </c>
      <c r="F11991">
        <v>73925225</v>
      </c>
      <c r="G11991">
        <v>73925293</v>
      </c>
      <c r="H11991">
        <v>73925225</v>
      </c>
      <c r="I11991">
        <v>73925293</v>
      </c>
    </row>
    <row r="11992" spans="1:9" x14ac:dyDescent="0.2">
      <c r="A11992" s="1" t="str">
        <f>"NUMB"</f>
        <v>NUMB</v>
      </c>
      <c r="B11992" t="s">
        <v>13</v>
      </c>
      <c r="C11992" t="s">
        <v>41</v>
      </c>
      <c r="D11992" t="s">
        <v>11</v>
      </c>
      <c r="E11992" t="s">
        <v>12</v>
      </c>
      <c r="F11992">
        <v>73930324</v>
      </c>
      <c r="G11992">
        <v>73930350</v>
      </c>
      <c r="H11992">
        <v>73930324</v>
      </c>
      <c r="I11992">
        <v>73930350</v>
      </c>
    </row>
    <row r="11993" spans="1:9" x14ac:dyDescent="0.2">
      <c r="A11993" s="1" t="str">
        <f>"NUMBL"</f>
        <v>NUMBL</v>
      </c>
      <c r="B11993" t="s">
        <v>14</v>
      </c>
      <c r="C11993" t="s">
        <v>10</v>
      </c>
      <c r="D11993" t="s">
        <v>11</v>
      </c>
      <c r="E11993" t="s">
        <v>12</v>
      </c>
      <c r="F11993">
        <v>41196534</v>
      </c>
      <c r="G11993">
        <v>41196568</v>
      </c>
      <c r="H11993">
        <v>41196498</v>
      </c>
      <c r="I11993">
        <v>41196532</v>
      </c>
    </row>
    <row r="11994" spans="1:9" x14ac:dyDescent="0.2">
      <c r="A11994" s="1" t="str">
        <f>"NUP107"</f>
        <v>NUP107</v>
      </c>
      <c r="B11994" t="s">
        <v>14</v>
      </c>
      <c r="C11994" t="s">
        <v>16</v>
      </c>
      <c r="D11994" t="s">
        <v>17</v>
      </c>
      <c r="E11994" t="s">
        <v>12</v>
      </c>
      <c r="F11994">
        <v>69080734</v>
      </c>
      <c r="G11994">
        <v>69080808</v>
      </c>
      <c r="H11994">
        <v>69080734</v>
      </c>
      <c r="I11994">
        <v>69080808</v>
      </c>
    </row>
    <row r="11995" spans="1:9" x14ac:dyDescent="0.2">
      <c r="A11995" s="1" t="str">
        <f>"NUP133"</f>
        <v>NUP133</v>
      </c>
      <c r="B11995" t="s">
        <v>14</v>
      </c>
      <c r="C11995" t="s">
        <v>19</v>
      </c>
      <c r="D11995" t="s">
        <v>11</v>
      </c>
      <c r="E11995" t="s">
        <v>12</v>
      </c>
      <c r="F11995">
        <v>229644034</v>
      </c>
      <c r="G11995">
        <v>229644123</v>
      </c>
      <c r="H11995">
        <v>229644364</v>
      </c>
      <c r="I11995">
        <v>229644370</v>
      </c>
    </row>
    <row r="11996" spans="1:9" x14ac:dyDescent="0.2">
      <c r="A11996" s="1" t="str">
        <f>"NUP153"</f>
        <v>NUP153</v>
      </c>
      <c r="B11996" t="s">
        <v>14</v>
      </c>
      <c r="C11996" t="s">
        <v>32</v>
      </c>
      <c r="D11996" t="s">
        <v>11</v>
      </c>
      <c r="E11996" t="s">
        <v>12</v>
      </c>
      <c r="F11996">
        <v>17707083</v>
      </c>
      <c r="G11996">
        <v>17707173</v>
      </c>
      <c r="H11996">
        <v>17706978</v>
      </c>
      <c r="I11996">
        <v>17707056</v>
      </c>
    </row>
    <row r="11997" spans="1:9" x14ac:dyDescent="0.2">
      <c r="A11997" s="1" t="str">
        <f>"NUP155"</f>
        <v>NUP155</v>
      </c>
      <c r="B11997" t="s">
        <v>14</v>
      </c>
      <c r="C11997" t="s">
        <v>46</v>
      </c>
      <c r="D11997" t="s">
        <v>11</v>
      </c>
      <c r="E11997" t="s">
        <v>12</v>
      </c>
      <c r="F11997">
        <v>37371163</v>
      </c>
      <c r="G11997">
        <v>37371231</v>
      </c>
      <c r="H11997">
        <v>37371163</v>
      </c>
      <c r="I11997">
        <v>37371231</v>
      </c>
    </row>
    <row r="11998" spans="1:9" x14ac:dyDescent="0.2">
      <c r="A11998" s="1" t="str">
        <f>"NUP160"</f>
        <v>NUP160</v>
      </c>
      <c r="B11998" t="s">
        <v>14</v>
      </c>
      <c r="C11998" t="s">
        <v>27</v>
      </c>
      <c r="D11998" t="s">
        <v>11</v>
      </c>
      <c r="E11998" t="s">
        <v>12</v>
      </c>
      <c r="F11998">
        <v>47869866</v>
      </c>
      <c r="G11998">
        <v>47869914</v>
      </c>
      <c r="H11998">
        <v>47870091</v>
      </c>
      <c r="I11998">
        <v>47870121</v>
      </c>
    </row>
    <row r="11999" spans="1:9" x14ac:dyDescent="0.2">
      <c r="A11999" s="1" t="str">
        <f>"NUP188"</f>
        <v>NUP188</v>
      </c>
      <c r="B11999" t="s">
        <v>14</v>
      </c>
      <c r="C11999" t="s">
        <v>24</v>
      </c>
      <c r="D11999" t="s">
        <v>17</v>
      </c>
      <c r="E11999" t="s">
        <v>12</v>
      </c>
      <c r="F11999">
        <v>131709966</v>
      </c>
      <c r="G11999">
        <v>131710000</v>
      </c>
      <c r="H11999">
        <v>131709966</v>
      </c>
      <c r="I11999">
        <v>131710000</v>
      </c>
    </row>
    <row r="12000" spans="1:9" x14ac:dyDescent="0.2">
      <c r="A12000" s="1" t="str">
        <f>"NUP205"</f>
        <v>NUP205</v>
      </c>
      <c r="B12000" t="s">
        <v>14</v>
      </c>
      <c r="C12000" t="s">
        <v>33</v>
      </c>
      <c r="D12000" t="s">
        <v>17</v>
      </c>
      <c r="E12000" t="s">
        <v>12</v>
      </c>
      <c r="F12000">
        <v>135242652</v>
      </c>
      <c r="G12000">
        <v>135242689</v>
      </c>
      <c r="H12000">
        <v>135242652</v>
      </c>
      <c r="I12000">
        <v>135242689</v>
      </c>
    </row>
    <row r="12001" spans="1:9" x14ac:dyDescent="0.2">
      <c r="A12001" s="1" t="str">
        <f>"NUP210"</f>
        <v>NUP210</v>
      </c>
      <c r="B12001" t="s">
        <v>14</v>
      </c>
      <c r="C12001" t="s">
        <v>22</v>
      </c>
      <c r="D12001" t="s">
        <v>11</v>
      </c>
      <c r="E12001" t="s">
        <v>12</v>
      </c>
      <c r="F12001">
        <v>13461724</v>
      </c>
      <c r="G12001">
        <v>13461800</v>
      </c>
      <c r="H12001">
        <v>13461807</v>
      </c>
      <c r="I12001">
        <v>13461857</v>
      </c>
    </row>
    <row r="12002" spans="1:9" x14ac:dyDescent="0.2">
      <c r="A12002" s="1" t="str">
        <f>"NUP210L"</f>
        <v>NUP210L</v>
      </c>
      <c r="B12002" t="s">
        <v>14</v>
      </c>
      <c r="C12002" t="s">
        <v>19</v>
      </c>
      <c r="D12002" t="s">
        <v>11</v>
      </c>
      <c r="E12002" t="s">
        <v>12</v>
      </c>
      <c r="F12002">
        <v>154127518</v>
      </c>
      <c r="G12002">
        <v>154127560</v>
      </c>
      <c r="H12002">
        <v>154127518</v>
      </c>
      <c r="I12002">
        <v>154127560</v>
      </c>
    </row>
    <row r="12003" spans="1:9" x14ac:dyDescent="0.2">
      <c r="A12003" s="1" t="str">
        <f>"NUP214"</f>
        <v>NUP214</v>
      </c>
      <c r="B12003" t="s">
        <v>14</v>
      </c>
      <c r="C12003" t="s">
        <v>24</v>
      </c>
      <c r="D12003" t="s">
        <v>17</v>
      </c>
      <c r="E12003" t="s">
        <v>12</v>
      </c>
      <c r="F12003">
        <v>134000965</v>
      </c>
      <c r="G12003">
        <v>134001043</v>
      </c>
      <c r="H12003">
        <v>134000965</v>
      </c>
      <c r="I12003">
        <v>134001043</v>
      </c>
    </row>
    <row r="12004" spans="1:9" x14ac:dyDescent="0.2">
      <c r="A12004" s="1" t="str">
        <f>"NUP35"</f>
        <v>NUP35</v>
      </c>
      <c r="B12004" t="s">
        <v>14</v>
      </c>
      <c r="C12004" t="s">
        <v>26</v>
      </c>
      <c r="D12004" t="s">
        <v>17</v>
      </c>
      <c r="E12004" t="s">
        <v>12</v>
      </c>
      <c r="F12004">
        <v>183989157</v>
      </c>
      <c r="G12004">
        <v>183989179</v>
      </c>
      <c r="H12004">
        <v>183989115</v>
      </c>
      <c r="I12004">
        <v>183989151</v>
      </c>
    </row>
    <row r="12005" spans="1:9" x14ac:dyDescent="0.2">
      <c r="A12005" s="1" t="str">
        <f>"NUP37"</f>
        <v>NUP37</v>
      </c>
      <c r="B12005" t="s">
        <v>14</v>
      </c>
      <c r="C12005" t="s">
        <v>16</v>
      </c>
      <c r="D12005" t="s">
        <v>11</v>
      </c>
      <c r="E12005" t="s">
        <v>12</v>
      </c>
      <c r="F12005">
        <v>102513843</v>
      </c>
      <c r="G12005">
        <v>102513908</v>
      </c>
      <c r="H12005">
        <v>102514027</v>
      </c>
      <c r="I12005">
        <v>102514036</v>
      </c>
    </row>
    <row r="12006" spans="1:9" x14ac:dyDescent="0.2">
      <c r="A12006" s="1" t="str">
        <f>"NUP43"</f>
        <v>NUP43</v>
      </c>
      <c r="B12006" t="s">
        <v>14</v>
      </c>
      <c r="C12006" t="s">
        <v>32</v>
      </c>
      <c r="D12006" t="s">
        <v>11</v>
      </c>
      <c r="E12006" t="s">
        <v>12</v>
      </c>
      <c r="F12006">
        <v>150067632</v>
      </c>
      <c r="G12006">
        <v>150067693</v>
      </c>
      <c r="H12006">
        <v>150067696</v>
      </c>
      <c r="I12006">
        <v>150067697</v>
      </c>
    </row>
    <row r="12007" spans="1:9" x14ac:dyDescent="0.2">
      <c r="A12007" s="1" t="str">
        <f>"NUP50"</f>
        <v>NUP50</v>
      </c>
      <c r="B12007" t="s">
        <v>14</v>
      </c>
      <c r="C12007" t="s">
        <v>21</v>
      </c>
      <c r="D12007" t="s">
        <v>17</v>
      </c>
      <c r="E12007" t="s">
        <v>12</v>
      </c>
      <c r="F12007">
        <v>45559791</v>
      </c>
      <c r="G12007">
        <v>45559834</v>
      </c>
      <c r="H12007">
        <v>45559791</v>
      </c>
      <c r="I12007">
        <v>45559834</v>
      </c>
    </row>
    <row r="12008" spans="1:9" x14ac:dyDescent="0.2">
      <c r="A12008" s="1" t="str">
        <f>"NUP54"</f>
        <v>NUP54</v>
      </c>
      <c r="B12008" t="s">
        <v>14</v>
      </c>
      <c r="C12008" t="s">
        <v>23</v>
      </c>
      <c r="D12008" t="s">
        <v>11</v>
      </c>
      <c r="E12008" t="s">
        <v>12</v>
      </c>
      <c r="F12008">
        <v>77069533</v>
      </c>
      <c r="G12008">
        <v>77069563</v>
      </c>
      <c r="H12008">
        <v>77069573</v>
      </c>
      <c r="I12008">
        <v>77069592</v>
      </c>
    </row>
    <row r="12009" spans="1:9" x14ac:dyDescent="0.2">
      <c r="A12009" s="1" t="str">
        <f>"NUP62"</f>
        <v>NUP62</v>
      </c>
      <c r="B12009" t="s">
        <v>14</v>
      </c>
      <c r="C12009" t="s">
        <v>10</v>
      </c>
      <c r="D12009" t="s">
        <v>11</v>
      </c>
      <c r="E12009" t="s">
        <v>12</v>
      </c>
      <c r="F12009">
        <v>50432711</v>
      </c>
      <c r="G12009">
        <v>50432778</v>
      </c>
      <c r="H12009">
        <v>50432654</v>
      </c>
      <c r="I12009">
        <v>50432702</v>
      </c>
    </row>
    <row r="12010" spans="1:9" x14ac:dyDescent="0.2">
      <c r="A12010" s="1" t="str">
        <f>"NUP62CL"</f>
        <v>NUP62CL</v>
      </c>
      <c r="B12010" t="s">
        <v>14</v>
      </c>
      <c r="C12010" t="s">
        <v>37</v>
      </c>
      <c r="D12010" t="s">
        <v>11</v>
      </c>
      <c r="E12010" t="s">
        <v>12</v>
      </c>
      <c r="F12010">
        <v>106449656</v>
      </c>
      <c r="G12010">
        <v>106449675</v>
      </c>
      <c r="H12010">
        <v>106449636</v>
      </c>
      <c r="I12010">
        <v>106449652</v>
      </c>
    </row>
    <row r="12011" spans="1:9" x14ac:dyDescent="0.2">
      <c r="A12011" s="1" t="str">
        <f>"NUP85"</f>
        <v>NUP85</v>
      </c>
      <c r="B12011" t="s">
        <v>14</v>
      </c>
      <c r="C12011" t="s">
        <v>28</v>
      </c>
      <c r="D12011" t="s">
        <v>17</v>
      </c>
      <c r="E12011" t="s">
        <v>12</v>
      </c>
      <c r="F12011">
        <v>73201760</v>
      </c>
      <c r="G12011">
        <v>73201840</v>
      </c>
      <c r="H12011">
        <v>73201632</v>
      </c>
      <c r="I12011">
        <v>73201643</v>
      </c>
    </row>
    <row r="12012" spans="1:9" x14ac:dyDescent="0.2">
      <c r="A12012" s="1" t="str">
        <f>"NUP88"</f>
        <v>NUP88</v>
      </c>
      <c r="B12012" t="s">
        <v>14</v>
      </c>
      <c r="C12012" t="s">
        <v>28</v>
      </c>
      <c r="D12012" t="s">
        <v>11</v>
      </c>
      <c r="E12012" t="s">
        <v>12</v>
      </c>
      <c r="F12012">
        <v>5322967</v>
      </c>
      <c r="G12012">
        <v>5322998</v>
      </c>
      <c r="H12012">
        <v>5322967</v>
      </c>
      <c r="I12012">
        <v>5322998</v>
      </c>
    </row>
    <row r="12013" spans="1:9" x14ac:dyDescent="0.2">
      <c r="A12013" s="1" t="str">
        <f>"NUP93"</f>
        <v>NUP93</v>
      </c>
      <c r="B12013" t="s">
        <v>14</v>
      </c>
      <c r="C12013" t="s">
        <v>31</v>
      </c>
      <c r="D12013" t="s">
        <v>17</v>
      </c>
      <c r="E12013" t="s">
        <v>12</v>
      </c>
      <c r="F12013">
        <v>56764022</v>
      </c>
      <c r="G12013">
        <v>56764098</v>
      </c>
      <c r="H12013">
        <v>56764022</v>
      </c>
      <c r="I12013">
        <v>56764098</v>
      </c>
    </row>
    <row r="12014" spans="1:9" x14ac:dyDescent="0.2">
      <c r="A12014" s="1" t="str">
        <f>"NUP98"</f>
        <v>NUP98</v>
      </c>
      <c r="B12014" t="s">
        <v>14</v>
      </c>
      <c r="C12014" t="s">
        <v>27</v>
      </c>
      <c r="D12014" t="s">
        <v>11</v>
      </c>
      <c r="E12014" t="s">
        <v>12</v>
      </c>
      <c r="F12014">
        <v>3818756</v>
      </c>
      <c r="G12014">
        <v>3818793</v>
      </c>
      <c r="H12014">
        <v>3818932</v>
      </c>
      <c r="I12014">
        <v>3819007</v>
      </c>
    </row>
    <row r="12015" spans="1:9" x14ac:dyDescent="0.2">
      <c r="A12015" s="1" t="str">
        <f>"NUPL1"</f>
        <v>NUPL1</v>
      </c>
      <c r="B12015" t="s">
        <v>14</v>
      </c>
      <c r="C12015" t="s">
        <v>39</v>
      </c>
      <c r="D12015" t="s">
        <v>17</v>
      </c>
      <c r="E12015" t="s">
        <v>12</v>
      </c>
      <c r="F12015">
        <v>25875755</v>
      </c>
      <c r="G12015">
        <v>25875782</v>
      </c>
      <c r="H12015">
        <v>25875786</v>
      </c>
      <c r="I12015">
        <v>25875808</v>
      </c>
    </row>
    <row r="12016" spans="1:9" x14ac:dyDescent="0.2">
      <c r="A12016" s="1" t="str">
        <f>"NUPL2"</f>
        <v>NUPL2</v>
      </c>
      <c r="B12016" t="s">
        <v>14</v>
      </c>
      <c r="C12016" t="s">
        <v>33</v>
      </c>
      <c r="D12016" t="s">
        <v>17</v>
      </c>
      <c r="E12016" t="s">
        <v>12</v>
      </c>
      <c r="F12016">
        <v>23221613</v>
      </c>
      <c r="G12016">
        <v>23221692</v>
      </c>
      <c r="H12016">
        <v>23221588</v>
      </c>
      <c r="I12016">
        <v>23221611</v>
      </c>
    </row>
    <row r="12017" spans="1:9" x14ac:dyDescent="0.2">
      <c r="A12017" s="1" t="str">
        <f>"NUPR1"</f>
        <v>NUPR1</v>
      </c>
      <c r="B12017" t="s">
        <v>14</v>
      </c>
      <c r="C12017" t="s">
        <v>31</v>
      </c>
      <c r="D12017" t="s">
        <v>11</v>
      </c>
      <c r="E12017" t="s">
        <v>12</v>
      </c>
      <c r="F12017">
        <v>28550272</v>
      </c>
      <c r="G12017">
        <v>28550303</v>
      </c>
      <c r="H12017">
        <v>28550320</v>
      </c>
      <c r="I12017">
        <v>28550345</v>
      </c>
    </row>
    <row r="12018" spans="1:9" x14ac:dyDescent="0.2">
      <c r="A12018" s="1" t="str">
        <f>"NUPR1L"</f>
        <v>NUPR1L</v>
      </c>
      <c r="B12018" t="s">
        <v>14</v>
      </c>
      <c r="C12018" t="s">
        <v>33</v>
      </c>
      <c r="D12018" t="s">
        <v>11</v>
      </c>
      <c r="E12018" t="s">
        <v>67</v>
      </c>
      <c r="F12018">
        <v>56184093</v>
      </c>
      <c r="G12018">
        <v>56184115</v>
      </c>
      <c r="H12018">
        <v>56184127</v>
      </c>
      <c r="I12018">
        <v>56184128</v>
      </c>
    </row>
    <row r="12019" spans="1:9" x14ac:dyDescent="0.2">
      <c r="A12019" s="1" t="str">
        <f>"NUS1"</f>
        <v>NUS1</v>
      </c>
      <c r="B12019" t="s">
        <v>14</v>
      </c>
      <c r="C12019" t="s">
        <v>32</v>
      </c>
      <c r="D12019" t="s">
        <v>17</v>
      </c>
      <c r="E12019" t="s">
        <v>12</v>
      </c>
      <c r="F12019">
        <v>117996621</v>
      </c>
      <c r="G12019">
        <v>117996640</v>
      </c>
      <c r="H12019">
        <v>117996596</v>
      </c>
      <c r="I12019">
        <v>117996601</v>
      </c>
    </row>
    <row r="12020" spans="1:9" x14ac:dyDescent="0.2">
      <c r="A12020" s="1" t="str">
        <f>"NUSAP1"</f>
        <v>NUSAP1</v>
      </c>
      <c r="B12020" t="s">
        <v>14</v>
      </c>
      <c r="C12020" t="s">
        <v>25</v>
      </c>
      <c r="D12020" t="s">
        <v>17</v>
      </c>
      <c r="E12020" t="s">
        <v>12</v>
      </c>
      <c r="F12020">
        <v>41625060</v>
      </c>
      <c r="G12020">
        <v>41625088</v>
      </c>
      <c r="H12020">
        <v>41625060</v>
      </c>
      <c r="I12020">
        <v>41625088</v>
      </c>
    </row>
    <row r="12021" spans="1:9" x14ac:dyDescent="0.2">
      <c r="A12021" s="1" t="str">
        <f>"NUTF2"</f>
        <v>NUTF2</v>
      </c>
      <c r="B12021" t="s">
        <v>14</v>
      </c>
      <c r="C12021" t="s">
        <v>31</v>
      </c>
      <c r="D12021" t="s">
        <v>17</v>
      </c>
      <c r="E12021" t="s">
        <v>12</v>
      </c>
      <c r="F12021">
        <v>67880820</v>
      </c>
      <c r="G12021">
        <v>67880844</v>
      </c>
      <c r="H12021">
        <v>67880779</v>
      </c>
      <c r="I12021">
        <v>67880790</v>
      </c>
    </row>
    <row r="12022" spans="1:9" x14ac:dyDescent="0.2">
      <c r="A12022" s="1" t="str">
        <f>"NUTM1"</f>
        <v>NUTM1</v>
      </c>
      <c r="B12022" t="s">
        <v>14</v>
      </c>
      <c r="C12022" t="s">
        <v>25</v>
      </c>
      <c r="D12022" t="s">
        <v>17</v>
      </c>
      <c r="E12022" t="s">
        <v>12</v>
      </c>
      <c r="F12022">
        <v>34635228</v>
      </c>
      <c r="G12022">
        <v>34635245</v>
      </c>
      <c r="H12022">
        <v>34635228</v>
      </c>
      <c r="I12022">
        <v>34635245</v>
      </c>
    </row>
    <row r="12023" spans="1:9" x14ac:dyDescent="0.2">
      <c r="A12023" s="1" t="str">
        <f>"NUTM2A"</f>
        <v>NUTM2A</v>
      </c>
      <c r="B12023" t="s">
        <v>902</v>
      </c>
      <c r="C12023" t="s">
        <v>15</v>
      </c>
      <c r="D12023" t="s">
        <v>17</v>
      </c>
      <c r="E12023" t="s">
        <v>20</v>
      </c>
      <c r="F12023">
        <v>88985204</v>
      </c>
      <c r="G12023">
        <v>88985204</v>
      </c>
      <c r="H12023">
        <v>88985204</v>
      </c>
      <c r="I12023">
        <v>88985204</v>
      </c>
    </row>
    <row r="12024" spans="1:9" x14ac:dyDescent="0.2">
      <c r="A12024" s="1" t="str">
        <f>"NUTM2B"</f>
        <v>NUTM2B</v>
      </c>
      <c r="B12024" t="s">
        <v>903</v>
      </c>
      <c r="C12024" t="s">
        <v>15</v>
      </c>
      <c r="D12024" t="s">
        <v>17</v>
      </c>
      <c r="E12024" t="s">
        <v>20</v>
      </c>
      <c r="F12024">
        <v>81462982</v>
      </c>
      <c r="G12024">
        <v>81462982</v>
      </c>
      <c r="H12024">
        <v>81462982</v>
      </c>
      <c r="I12024">
        <v>81462982</v>
      </c>
    </row>
    <row r="12025" spans="1:9" x14ac:dyDescent="0.2">
      <c r="A12025" s="1" t="str">
        <f>"NUTM2F"</f>
        <v>NUTM2F</v>
      </c>
      <c r="B12025" t="s">
        <v>904</v>
      </c>
      <c r="C12025" t="s">
        <v>24</v>
      </c>
      <c r="D12025" t="s">
        <v>11</v>
      </c>
      <c r="E12025" t="s">
        <v>20</v>
      </c>
      <c r="F12025">
        <v>97090925</v>
      </c>
      <c r="G12025">
        <v>97090925</v>
      </c>
      <c r="H12025">
        <v>97090925</v>
      </c>
      <c r="I12025">
        <v>97090925</v>
      </c>
    </row>
    <row r="12026" spans="1:9" x14ac:dyDescent="0.2">
      <c r="A12026" s="1" t="str">
        <f>"NUTM2G"</f>
        <v>NUTM2G</v>
      </c>
      <c r="B12026" t="s">
        <v>905</v>
      </c>
      <c r="C12026" t="s">
        <v>24</v>
      </c>
      <c r="D12026" t="s">
        <v>17</v>
      </c>
      <c r="E12026" t="s">
        <v>20</v>
      </c>
      <c r="F12026">
        <v>99690591</v>
      </c>
      <c r="G12026">
        <v>99690591</v>
      </c>
      <c r="H12026">
        <v>99690591</v>
      </c>
      <c r="I12026">
        <v>99690591</v>
      </c>
    </row>
    <row r="12027" spans="1:9" x14ac:dyDescent="0.2">
      <c r="A12027" s="1" t="str">
        <f>"NUTM2G"</f>
        <v>NUTM2G</v>
      </c>
      <c r="B12027" t="s">
        <v>906</v>
      </c>
      <c r="C12027" t="s">
        <v>24</v>
      </c>
      <c r="D12027" t="s">
        <v>17</v>
      </c>
      <c r="E12027" t="s">
        <v>20</v>
      </c>
      <c r="F12027">
        <v>99691285</v>
      </c>
      <c r="G12027">
        <v>99691285</v>
      </c>
      <c r="H12027">
        <v>99691285</v>
      </c>
      <c r="I12027">
        <v>99691285</v>
      </c>
    </row>
    <row r="12028" spans="1:9" x14ac:dyDescent="0.2">
      <c r="A12028" s="1" t="str">
        <f>"NVL"</f>
        <v>NVL</v>
      </c>
      <c r="B12028" t="s">
        <v>14</v>
      </c>
      <c r="C12028" t="s">
        <v>19</v>
      </c>
      <c r="D12028" t="s">
        <v>11</v>
      </c>
      <c r="E12028" t="s">
        <v>12</v>
      </c>
      <c r="F12028">
        <v>224517832</v>
      </c>
      <c r="G12028">
        <v>224517896</v>
      </c>
      <c r="H12028">
        <v>224518117</v>
      </c>
      <c r="I12028">
        <v>224518127</v>
      </c>
    </row>
    <row r="12029" spans="1:9" x14ac:dyDescent="0.2">
      <c r="A12029" s="1" t="str">
        <f>"NWD1"</f>
        <v>NWD1</v>
      </c>
      <c r="B12029" t="s">
        <v>14</v>
      </c>
      <c r="C12029" t="s">
        <v>10</v>
      </c>
      <c r="D12029" t="s">
        <v>17</v>
      </c>
      <c r="E12029" t="s">
        <v>12</v>
      </c>
      <c r="F12029">
        <v>16830774</v>
      </c>
      <c r="G12029">
        <v>16830814</v>
      </c>
      <c r="H12029">
        <v>16830815</v>
      </c>
      <c r="I12029">
        <v>16830831</v>
      </c>
    </row>
    <row r="12030" spans="1:9" x14ac:dyDescent="0.2">
      <c r="A12030" s="1" t="str">
        <f>"NXF1"</f>
        <v>NXF1</v>
      </c>
      <c r="B12030" t="s">
        <v>9</v>
      </c>
      <c r="C12030" t="s">
        <v>27</v>
      </c>
      <c r="D12030" t="s">
        <v>11</v>
      </c>
      <c r="E12030" t="s">
        <v>12</v>
      </c>
      <c r="F12030">
        <v>62572901</v>
      </c>
      <c r="G12030">
        <v>62572919</v>
      </c>
      <c r="H12030">
        <v>62572901</v>
      </c>
      <c r="I12030">
        <v>62572919</v>
      </c>
    </row>
    <row r="12031" spans="1:9" x14ac:dyDescent="0.2">
      <c r="A12031" s="1" t="str">
        <f>"NXF1"</f>
        <v>NXF1</v>
      </c>
      <c r="B12031" t="s">
        <v>13</v>
      </c>
      <c r="C12031" t="s">
        <v>27</v>
      </c>
      <c r="D12031" t="s">
        <v>11</v>
      </c>
      <c r="E12031" t="s">
        <v>12</v>
      </c>
      <c r="F12031">
        <v>62566692</v>
      </c>
      <c r="G12031">
        <v>62566729</v>
      </c>
      <c r="H12031">
        <v>62566692</v>
      </c>
      <c r="I12031">
        <v>62566729</v>
      </c>
    </row>
    <row r="12032" spans="1:9" x14ac:dyDescent="0.2">
      <c r="A12032" s="1" t="str">
        <f>"NXF2"</f>
        <v>NXF2</v>
      </c>
      <c r="B12032" t="s">
        <v>907</v>
      </c>
      <c r="C12032" t="s">
        <v>37</v>
      </c>
      <c r="D12032" t="s">
        <v>17</v>
      </c>
      <c r="E12032" t="s">
        <v>20</v>
      </c>
      <c r="F12032">
        <v>101470279</v>
      </c>
      <c r="G12032">
        <v>101470279</v>
      </c>
      <c r="H12032">
        <v>101470279</v>
      </c>
      <c r="I12032">
        <v>101470279</v>
      </c>
    </row>
    <row r="12033" spans="1:9" x14ac:dyDescent="0.2">
      <c r="A12033" s="1" t="str">
        <f>"NXF2"</f>
        <v>NXF2</v>
      </c>
      <c r="B12033" t="s">
        <v>908</v>
      </c>
      <c r="C12033" t="s">
        <v>37</v>
      </c>
      <c r="D12033" t="s">
        <v>17</v>
      </c>
      <c r="E12033" t="s">
        <v>20</v>
      </c>
      <c r="F12033">
        <v>101502169</v>
      </c>
      <c r="G12033">
        <v>101502169</v>
      </c>
      <c r="H12033">
        <v>101502169</v>
      </c>
      <c r="I12033">
        <v>101502169</v>
      </c>
    </row>
    <row r="12034" spans="1:9" x14ac:dyDescent="0.2">
      <c r="A12034" s="1" t="str">
        <f>"NXF2"</f>
        <v>NXF2</v>
      </c>
      <c r="B12034" t="s">
        <v>909</v>
      </c>
      <c r="C12034" t="s">
        <v>37</v>
      </c>
      <c r="D12034" t="s">
        <v>17</v>
      </c>
      <c r="E12034" t="s">
        <v>20</v>
      </c>
      <c r="F12034">
        <v>101478938</v>
      </c>
      <c r="G12034">
        <v>101478938</v>
      </c>
      <c r="H12034">
        <v>101478938</v>
      </c>
      <c r="I12034">
        <v>101478938</v>
      </c>
    </row>
    <row r="12035" spans="1:9" x14ac:dyDescent="0.2">
      <c r="A12035" s="1" t="str">
        <f>"NXF2B"</f>
        <v>NXF2B</v>
      </c>
      <c r="B12035" t="s">
        <v>910</v>
      </c>
      <c r="C12035" t="s">
        <v>37</v>
      </c>
      <c r="D12035" t="s">
        <v>11</v>
      </c>
      <c r="E12035" t="s">
        <v>20</v>
      </c>
      <c r="F12035">
        <v>101694852</v>
      </c>
      <c r="G12035">
        <v>101694852</v>
      </c>
      <c r="H12035">
        <v>101694852</v>
      </c>
      <c r="I12035">
        <v>101694852</v>
      </c>
    </row>
    <row r="12036" spans="1:9" x14ac:dyDescent="0.2">
      <c r="A12036" s="1" t="str">
        <f>"NXF2B"</f>
        <v>NXF2B</v>
      </c>
      <c r="B12036" t="s">
        <v>911</v>
      </c>
      <c r="C12036" t="s">
        <v>37</v>
      </c>
      <c r="D12036" t="s">
        <v>11</v>
      </c>
      <c r="E12036" t="s">
        <v>20</v>
      </c>
      <c r="F12036">
        <v>101718084</v>
      </c>
      <c r="G12036">
        <v>101718084</v>
      </c>
      <c r="H12036">
        <v>101718084</v>
      </c>
      <c r="I12036">
        <v>101718084</v>
      </c>
    </row>
    <row r="12037" spans="1:9" x14ac:dyDescent="0.2">
      <c r="A12037" s="1" t="str">
        <f>"NXF2B"</f>
        <v>NXF2B</v>
      </c>
      <c r="B12037" t="s">
        <v>912</v>
      </c>
      <c r="C12037" t="s">
        <v>37</v>
      </c>
      <c r="D12037" t="s">
        <v>11</v>
      </c>
      <c r="E12037" t="s">
        <v>20</v>
      </c>
      <c r="F12037">
        <v>101726731</v>
      </c>
      <c r="G12037">
        <v>101726731</v>
      </c>
      <c r="H12037">
        <v>101726731</v>
      </c>
      <c r="I12037">
        <v>101726731</v>
      </c>
    </row>
    <row r="12038" spans="1:9" x14ac:dyDescent="0.2">
      <c r="A12038" s="1" t="str">
        <f>"NXF3"</f>
        <v>NXF3</v>
      </c>
      <c r="B12038" t="s">
        <v>14</v>
      </c>
      <c r="C12038" t="s">
        <v>37</v>
      </c>
      <c r="D12038" t="s">
        <v>11</v>
      </c>
      <c r="E12038" t="s">
        <v>12</v>
      </c>
      <c r="F12038">
        <v>102348017</v>
      </c>
      <c r="G12038">
        <v>102348100</v>
      </c>
      <c r="H12038">
        <v>102348017</v>
      </c>
      <c r="I12038">
        <v>102348100</v>
      </c>
    </row>
    <row r="12039" spans="1:9" x14ac:dyDescent="0.2">
      <c r="A12039" s="1" t="str">
        <f>"NXF5"</f>
        <v>NXF5</v>
      </c>
      <c r="B12039" t="s">
        <v>913</v>
      </c>
      <c r="C12039" t="s">
        <v>37</v>
      </c>
      <c r="D12039" t="s">
        <v>11</v>
      </c>
      <c r="E12039" t="s">
        <v>20</v>
      </c>
      <c r="F12039">
        <v>101098170</v>
      </c>
      <c r="G12039">
        <v>101098170</v>
      </c>
      <c r="H12039">
        <v>101098170</v>
      </c>
      <c r="I12039">
        <v>101098170</v>
      </c>
    </row>
    <row r="12040" spans="1:9" x14ac:dyDescent="0.2">
      <c r="A12040" s="1" t="str">
        <f>"NXF5"</f>
        <v>NXF5</v>
      </c>
      <c r="B12040" t="s">
        <v>914</v>
      </c>
      <c r="C12040" t="s">
        <v>37</v>
      </c>
      <c r="D12040" t="s">
        <v>11</v>
      </c>
      <c r="E12040" t="s">
        <v>20</v>
      </c>
      <c r="F12040">
        <v>101112548</v>
      </c>
      <c r="G12040">
        <v>101112548</v>
      </c>
      <c r="H12040">
        <v>101112548</v>
      </c>
      <c r="I12040">
        <v>101112548</v>
      </c>
    </row>
    <row r="12041" spans="1:9" x14ac:dyDescent="0.2">
      <c r="A12041" s="1" t="str">
        <f>"NXN"</f>
        <v>NXN</v>
      </c>
      <c r="B12041" t="s">
        <v>14</v>
      </c>
      <c r="C12041" t="s">
        <v>28</v>
      </c>
      <c r="D12041" t="s">
        <v>11</v>
      </c>
      <c r="E12041" t="s">
        <v>12</v>
      </c>
      <c r="F12041">
        <v>882966</v>
      </c>
      <c r="G12041">
        <v>883036</v>
      </c>
      <c r="H12041">
        <v>882947</v>
      </c>
      <c r="I12041">
        <v>882958</v>
      </c>
    </row>
    <row r="12042" spans="1:9" x14ac:dyDescent="0.2">
      <c r="A12042" s="1" t="str">
        <f>"NXNL1"</f>
        <v>NXNL1</v>
      </c>
      <c r="B12042" t="s">
        <v>14</v>
      </c>
      <c r="C12042" t="s">
        <v>10</v>
      </c>
      <c r="D12042" t="s">
        <v>11</v>
      </c>
      <c r="E12042" t="s">
        <v>12</v>
      </c>
      <c r="F12042">
        <v>17571722</v>
      </c>
      <c r="G12042">
        <v>17571754</v>
      </c>
      <c r="H12042">
        <v>17571696</v>
      </c>
      <c r="I12042">
        <v>17571711</v>
      </c>
    </row>
    <row r="12043" spans="1:9" x14ac:dyDescent="0.2">
      <c r="A12043" s="1" t="str">
        <f>"NXNL2"</f>
        <v>NXNL2</v>
      </c>
      <c r="B12043" t="s">
        <v>14</v>
      </c>
      <c r="C12043" t="s">
        <v>24</v>
      </c>
      <c r="D12043" t="s">
        <v>17</v>
      </c>
      <c r="E12043" t="s">
        <v>12</v>
      </c>
      <c r="F12043">
        <v>91150087</v>
      </c>
      <c r="G12043">
        <v>91150100</v>
      </c>
      <c r="H12043">
        <v>91150043</v>
      </c>
      <c r="I12043">
        <v>91150055</v>
      </c>
    </row>
    <row r="12044" spans="1:9" x14ac:dyDescent="0.2">
      <c r="A12044" s="1" t="str">
        <f>"NXPE1"</f>
        <v>NXPE1</v>
      </c>
      <c r="B12044" t="s">
        <v>14</v>
      </c>
      <c r="C12044" t="s">
        <v>27</v>
      </c>
      <c r="D12044" t="s">
        <v>11</v>
      </c>
      <c r="E12044" t="s">
        <v>12</v>
      </c>
      <c r="F12044">
        <v>114430588</v>
      </c>
      <c r="G12044">
        <v>114430608</v>
      </c>
      <c r="H12044">
        <v>114430570</v>
      </c>
      <c r="I12044">
        <v>114430581</v>
      </c>
    </row>
    <row r="12045" spans="1:9" x14ac:dyDescent="0.2">
      <c r="A12045" s="1" t="str">
        <f>"NXPE2"</f>
        <v>NXPE2</v>
      </c>
      <c r="B12045" t="s">
        <v>14</v>
      </c>
      <c r="C12045" t="s">
        <v>27</v>
      </c>
      <c r="D12045" t="s">
        <v>17</v>
      </c>
      <c r="E12045" t="s">
        <v>12</v>
      </c>
      <c r="F12045">
        <v>114549243</v>
      </c>
      <c r="G12045">
        <v>114549263</v>
      </c>
      <c r="H12045">
        <v>114549168</v>
      </c>
      <c r="I12045">
        <v>114549178</v>
      </c>
    </row>
    <row r="12046" spans="1:9" x14ac:dyDescent="0.2">
      <c r="A12046" s="1" t="str">
        <f>"NXPE3"</f>
        <v>NXPE3</v>
      </c>
      <c r="B12046" t="s">
        <v>14</v>
      </c>
      <c r="C12046" t="s">
        <v>22</v>
      </c>
      <c r="D12046" t="s">
        <v>17</v>
      </c>
      <c r="E12046" t="s">
        <v>12</v>
      </c>
      <c r="F12046">
        <v>101498026</v>
      </c>
      <c r="G12046">
        <v>101498067</v>
      </c>
      <c r="H12046">
        <v>101498482</v>
      </c>
      <c r="I12046">
        <v>101498540</v>
      </c>
    </row>
    <row r="12047" spans="1:9" x14ac:dyDescent="0.2">
      <c r="A12047" s="1" t="str">
        <f>"NXPE4"</f>
        <v>NXPE4</v>
      </c>
      <c r="B12047" t="s">
        <v>14</v>
      </c>
      <c r="C12047" t="s">
        <v>27</v>
      </c>
      <c r="D12047" t="s">
        <v>11</v>
      </c>
      <c r="E12047" t="s">
        <v>12</v>
      </c>
      <c r="F12047">
        <v>114466477</v>
      </c>
      <c r="G12047">
        <v>114466489</v>
      </c>
      <c r="H12047">
        <v>114466397</v>
      </c>
      <c r="I12047">
        <v>114466426</v>
      </c>
    </row>
    <row r="12048" spans="1:9" x14ac:dyDescent="0.2">
      <c r="A12048" s="1" t="str">
        <f>"NXPH1"</f>
        <v>NXPH1</v>
      </c>
      <c r="B12048" t="s">
        <v>14</v>
      </c>
      <c r="C12048" t="s">
        <v>33</v>
      </c>
      <c r="D12048" t="s">
        <v>17</v>
      </c>
      <c r="E12048" t="s">
        <v>12</v>
      </c>
      <c r="F12048">
        <v>8473232</v>
      </c>
      <c r="G12048">
        <v>8473245</v>
      </c>
      <c r="H12048">
        <v>8474150</v>
      </c>
      <c r="I12048">
        <v>8474168</v>
      </c>
    </row>
    <row r="12049" spans="1:9" x14ac:dyDescent="0.2">
      <c r="A12049" s="1" t="str">
        <f>"NXPH2"</f>
        <v>NXPH2</v>
      </c>
      <c r="B12049" t="s">
        <v>14</v>
      </c>
      <c r="C12049" t="s">
        <v>26</v>
      </c>
      <c r="D12049" t="s">
        <v>11</v>
      </c>
      <c r="E12049" t="s">
        <v>12</v>
      </c>
      <c r="F12049">
        <v>139537950</v>
      </c>
      <c r="G12049">
        <v>139537983</v>
      </c>
      <c r="H12049">
        <v>139537925</v>
      </c>
      <c r="I12049">
        <v>139537946</v>
      </c>
    </row>
    <row r="12050" spans="1:9" x14ac:dyDescent="0.2">
      <c r="A12050" s="1" t="str">
        <f>"NXPH3"</f>
        <v>NXPH3</v>
      </c>
      <c r="B12050" t="s">
        <v>14</v>
      </c>
      <c r="C12050" t="s">
        <v>28</v>
      </c>
      <c r="D12050" t="s">
        <v>17</v>
      </c>
      <c r="E12050" t="s">
        <v>12</v>
      </c>
      <c r="F12050">
        <v>47653178</v>
      </c>
      <c r="G12050">
        <v>47653241</v>
      </c>
      <c r="H12050">
        <v>47653471</v>
      </c>
      <c r="I12050">
        <v>47653492</v>
      </c>
    </row>
    <row r="12051" spans="1:9" x14ac:dyDescent="0.2">
      <c r="A12051" s="1" t="str">
        <f>"NXPH4"</f>
        <v>NXPH4</v>
      </c>
      <c r="B12051" t="s">
        <v>9</v>
      </c>
      <c r="C12051" t="s">
        <v>16</v>
      </c>
      <c r="D12051" t="s">
        <v>17</v>
      </c>
      <c r="E12051" t="s">
        <v>12</v>
      </c>
      <c r="F12051">
        <v>57610562</v>
      </c>
      <c r="G12051">
        <v>57610608</v>
      </c>
      <c r="H12051">
        <v>57610562</v>
      </c>
      <c r="I12051">
        <v>57610608</v>
      </c>
    </row>
    <row r="12052" spans="1:9" x14ac:dyDescent="0.2">
      <c r="A12052" s="1" t="str">
        <f>"NXPH4"</f>
        <v>NXPH4</v>
      </c>
      <c r="B12052" t="s">
        <v>13</v>
      </c>
      <c r="C12052" t="s">
        <v>16</v>
      </c>
      <c r="D12052" t="s">
        <v>17</v>
      </c>
      <c r="E12052" t="s">
        <v>12</v>
      </c>
      <c r="F12052">
        <v>57619247</v>
      </c>
      <c r="G12052">
        <v>57619278</v>
      </c>
      <c r="H12052">
        <v>57619247</v>
      </c>
      <c r="I12052">
        <v>57619278</v>
      </c>
    </row>
    <row r="12053" spans="1:9" x14ac:dyDescent="0.2">
      <c r="A12053" s="1" t="str">
        <f>"NXT1"</f>
        <v>NXT1</v>
      </c>
      <c r="B12053" t="s">
        <v>14</v>
      </c>
      <c r="C12053" t="s">
        <v>29</v>
      </c>
      <c r="D12053" t="s">
        <v>17</v>
      </c>
      <c r="E12053" t="s">
        <v>12</v>
      </c>
      <c r="F12053">
        <v>23331392</v>
      </c>
      <c r="G12053">
        <v>23331480</v>
      </c>
      <c r="H12053">
        <v>23331500</v>
      </c>
      <c r="I12053">
        <v>23331522</v>
      </c>
    </row>
    <row r="12054" spans="1:9" x14ac:dyDescent="0.2">
      <c r="A12054" s="1" t="str">
        <f>"NXT2"</f>
        <v>NXT2</v>
      </c>
      <c r="B12054" t="s">
        <v>14</v>
      </c>
      <c r="C12054" t="s">
        <v>37</v>
      </c>
      <c r="D12054" t="s">
        <v>17</v>
      </c>
      <c r="E12054" t="s">
        <v>12</v>
      </c>
      <c r="F12054">
        <v>108780419</v>
      </c>
      <c r="G12054">
        <v>108780470</v>
      </c>
      <c r="H12054">
        <v>108780062</v>
      </c>
      <c r="I12054">
        <v>108780097</v>
      </c>
    </row>
    <row r="12055" spans="1:9" x14ac:dyDescent="0.2">
      <c r="A12055" s="1" t="str">
        <f>"NYAP1"</f>
        <v>NYAP1</v>
      </c>
      <c r="B12055" t="s">
        <v>14</v>
      </c>
      <c r="C12055" t="s">
        <v>33</v>
      </c>
      <c r="D12055" t="s">
        <v>17</v>
      </c>
      <c r="E12055" t="s">
        <v>12</v>
      </c>
      <c r="F12055">
        <v>100081542</v>
      </c>
      <c r="G12055">
        <v>100081567</v>
      </c>
      <c r="H12055">
        <v>100081505</v>
      </c>
      <c r="I12055">
        <v>100081541</v>
      </c>
    </row>
    <row r="12056" spans="1:9" x14ac:dyDescent="0.2">
      <c r="A12056" s="1" t="str">
        <f>"NYAP2"</f>
        <v>NYAP2</v>
      </c>
      <c r="B12056" t="s">
        <v>14</v>
      </c>
      <c r="C12056" t="s">
        <v>26</v>
      </c>
      <c r="D12056" t="s">
        <v>17</v>
      </c>
      <c r="E12056" t="s">
        <v>12</v>
      </c>
      <c r="F12056">
        <v>226265161</v>
      </c>
      <c r="G12056">
        <v>226265212</v>
      </c>
      <c r="H12056">
        <v>226265161</v>
      </c>
      <c r="I12056">
        <v>226265212</v>
      </c>
    </row>
    <row r="12057" spans="1:9" x14ac:dyDescent="0.2">
      <c r="A12057" s="1" t="str">
        <f>"NYNRIN"</f>
        <v>NYNRIN</v>
      </c>
      <c r="B12057" t="s">
        <v>14</v>
      </c>
      <c r="C12057" t="s">
        <v>41</v>
      </c>
      <c r="D12057" t="s">
        <v>17</v>
      </c>
      <c r="E12057" t="s">
        <v>12</v>
      </c>
      <c r="F12057">
        <v>24868192</v>
      </c>
      <c r="G12057">
        <v>24868253</v>
      </c>
      <c r="H12057">
        <v>24868192</v>
      </c>
      <c r="I12057">
        <v>24868253</v>
      </c>
    </row>
    <row r="12058" spans="1:9" x14ac:dyDescent="0.2">
      <c r="A12058" s="1" t="str">
        <f>"NYX"</f>
        <v>NYX</v>
      </c>
      <c r="B12058" t="s">
        <v>14</v>
      </c>
      <c r="C12058" t="s">
        <v>37</v>
      </c>
      <c r="D12058" t="s">
        <v>17</v>
      </c>
      <c r="E12058" t="s">
        <v>12</v>
      </c>
      <c r="F12058">
        <v>41306575</v>
      </c>
      <c r="G12058">
        <v>41306614</v>
      </c>
      <c r="H12058">
        <v>41306575</v>
      </c>
      <c r="I12058">
        <v>41306614</v>
      </c>
    </row>
    <row r="12059" spans="1:9" x14ac:dyDescent="0.2">
      <c r="A12059" s="1" t="str">
        <f>"OAF"</f>
        <v>OAF</v>
      </c>
      <c r="B12059" t="s">
        <v>14</v>
      </c>
      <c r="C12059" t="s">
        <v>27</v>
      </c>
      <c r="D12059" t="s">
        <v>17</v>
      </c>
      <c r="E12059" t="s">
        <v>12</v>
      </c>
      <c r="F12059">
        <v>120081699</v>
      </c>
      <c r="G12059">
        <v>120081755</v>
      </c>
      <c r="H12059">
        <v>120081477</v>
      </c>
      <c r="I12059">
        <v>120081488</v>
      </c>
    </row>
    <row r="12060" spans="1:9" x14ac:dyDescent="0.2">
      <c r="A12060" s="1" t="str">
        <f>"OARD1"</f>
        <v>OARD1</v>
      </c>
      <c r="B12060" t="s">
        <v>14</v>
      </c>
      <c r="C12060" t="s">
        <v>32</v>
      </c>
      <c r="D12060" t="s">
        <v>11</v>
      </c>
      <c r="E12060" t="s">
        <v>12</v>
      </c>
      <c r="F12060">
        <v>41040070</v>
      </c>
      <c r="G12060">
        <v>41040106</v>
      </c>
      <c r="H12060">
        <v>41040195</v>
      </c>
      <c r="I12060">
        <v>41040258</v>
      </c>
    </row>
    <row r="12061" spans="1:9" x14ac:dyDescent="0.2">
      <c r="A12061" s="1" t="str">
        <f>"OAS1"</f>
        <v>OAS1</v>
      </c>
      <c r="B12061" t="s">
        <v>14</v>
      </c>
      <c r="C12061" t="s">
        <v>16</v>
      </c>
      <c r="D12061" t="s">
        <v>17</v>
      </c>
      <c r="E12061" t="s">
        <v>12</v>
      </c>
      <c r="F12061">
        <v>113344755</v>
      </c>
      <c r="G12061">
        <v>113344805</v>
      </c>
      <c r="H12061">
        <v>113344811</v>
      </c>
      <c r="I12061">
        <v>113344832</v>
      </c>
    </row>
    <row r="12062" spans="1:9" x14ac:dyDescent="0.2">
      <c r="A12062" s="1" t="str">
        <f>"OAS2"</f>
        <v>OAS2</v>
      </c>
      <c r="B12062" t="s">
        <v>14</v>
      </c>
      <c r="C12062" t="s">
        <v>16</v>
      </c>
      <c r="D12062" t="s">
        <v>17</v>
      </c>
      <c r="E12062" t="s">
        <v>12</v>
      </c>
      <c r="F12062">
        <v>113416367</v>
      </c>
      <c r="G12062">
        <v>113416393</v>
      </c>
      <c r="H12062">
        <v>113416311</v>
      </c>
      <c r="I12062">
        <v>113416336</v>
      </c>
    </row>
    <row r="12063" spans="1:9" x14ac:dyDescent="0.2">
      <c r="A12063" s="1" t="str">
        <f>"OAS3"</f>
        <v>OAS3</v>
      </c>
      <c r="B12063" t="s">
        <v>14</v>
      </c>
      <c r="C12063" t="s">
        <v>16</v>
      </c>
      <c r="D12063" t="s">
        <v>17</v>
      </c>
      <c r="E12063" t="s">
        <v>12</v>
      </c>
      <c r="F12063">
        <v>113376261</v>
      </c>
      <c r="G12063">
        <v>113376324</v>
      </c>
      <c r="H12063">
        <v>113376191</v>
      </c>
      <c r="I12063">
        <v>113376212</v>
      </c>
    </row>
    <row r="12064" spans="1:9" x14ac:dyDescent="0.2">
      <c r="A12064" s="1" t="str">
        <f>"OASL"</f>
        <v>OASL</v>
      </c>
      <c r="B12064" t="s">
        <v>14</v>
      </c>
      <c r="C12064" t="s">
        <v>16</v>
      </c>
      <c r="D12064" t="s">
        <v>11</v>
      </c>
      <c r="E12064" t="s">
        <v>12</v>
      </c>
      <c r="F12064">
        <v>121476770</v>
      </c>
      <c r="G12064">
        <v>121476790</v>
      </c>
      <c r="H12064">
        <v>121476986</v>
      </c>
      <c r="I12064">
        <v>121477003</v>
      </c>
    </row>
    <row r="12065" spans="1:9" x14ac:dyDescent="0.2">
      <c r="A12065" s="1" t="str">
        <f>"OAT"</f>
        <v>OAT</v>
      </c>
      <c r="B12065" t="s">
        <v>14</v>
      </c>
      <c r="C12065" t="s">
        <v>15</v>
      </c>
      <c r="D12065" t="s">
        <v>11</v>
      </c>
      <c r="E12065" t="s">
        <v>12</v>
      </c>
      <c r="F12065">
        <v>126107482</v>
      </c>
      <c r="G12065">
        <v>126107501</v>
      </c>
      <c r="H12065">
        <v>126107049</v>
      </c>
      <c r="I12065">
        <v>126107098</v>
      </c>
    </row>
    <row r="12066" spans="1:9" x14ac:dyDescent="0.2">
      <c r="A12066" s="1" t="str">
        <f>"OAZ1"</f>
        <v>OAZ1</v>
      </c>
      <c r="B12066" t="s">
        <v>14</v>
      </c>
      <c r="C12066" t="s">
        <v>10</v>
      </c>
      <c r="D12066" t="s">
        <v>17</v>
      </c>
      <c r="E12066" t="s">
        <v>12</v>
      </c>
      <c r="F12066">
        <v>2269520</v>
      </c>
      <c r="G12066">
        <v>2269526</v>
      </c>
      <c r="H12066">
        <v>2269520</v>
      </c>
      <c r="I12066">
        <v>2269526</v>
      </c>
    </row>
    <row r="12067" spans="1:9" x14ac:dyDescent="0.2">
      <c r="A12067" s="1" t="str">
        <f>"OAZ2"</f>
        <v>OAZ2</v>
      </c>
      <c r="B12067" t="s">
        <v>14</v>
      </c>
      <c r="C12067" t="s">
        <v>25</v>
      </c>
      <c r="D12067" t="s">
        <v>11</v>
      </c>
      <c r="E12067" t="s">
        <v>12</v>
      </c>
      <c r="F12067">
        <v>64995399</v>
      </c>
      <c r="G12067">
        <v>64995422</v>
      </c>
      <c r="H12067">
        <v>64995399</v>
      </c>
      <c r="I12067">
        <v>64995422</v>
      </c>
    </row>
    <row r="12068" spans="1:9" x14ac:dyDescent="0.2">
      <c r="A12068" s="1" t="str">
        <f>"OAZ3"</f>
        <v>OAZ3</v>
      </c>
      <c r="B12068" t="s">
        <v>9</v>
      </c>
      <c r="C12068" t="s">
        <v>19</v>
      </c>
      <c r="D12068" t="s">
        <v>17</v>
      </c>
      <c r="E12068" t="s">
        <v>12</v>
      </c>
      <c r="F12068">
        <v>151739157</v>
      </c>
      <c r="G12068">
        <v>151739177</v>
      </c>
      <c r="H12068">
        <v>151739157</v>
      </c>
      <c r="I12068">
        <v>151739177</v>
      </c>
    </row>
    <row r="12069" spans="1:9" x14ac:dyDescent="0.2">
      <c r="A12069" s="1" t="str">
        <f>"OAZ3"</f>
        <v>OAZ3</v>
      </c>
      <c r="B12069" t="s">
        <v>13</v>
      </c>
      <c r="C12069" t="s">
        <v>19</v>
      </c>
      <c r="D12069" t="s">
        <v>17</v>
      </c>
      <c r="E12069" t="s">
        <v>12</v>
      </c>
      <c r="F12069">
        <v>151735560</v>
      </c>
      <c r="G12069">
        <v>151735598</v>
      </c>
      <c r="H12069">
        <v>151735560</v>
      </c>
      <c r="I12069">
        <v>151735598</v>
      </c>
    </row>
    <row r="12070" spans="1:9" x14ac:dyDescent="0.2">
      <c r="A12070" s="1" t="str">
        <f>"OBFC1"</f>
        <v>OBFC1</v>
      </c>
      <c r="B12070" t="s">
        <v>14</v>
      </c>
      <c r="C12070" t="s">
        <v>15</v>
      </c>
      <c r="D12070" t="s">
        <v>11</v>
      </c>
      <c r="E12070" t="s">
        <v>12</v>
      </c>
      <c r="F12070">
        <v>105677886</v>
      </c>
      <c r="G12070">
        <v>105677995</v>
      </c>
      <c r="H12070">
        <v>105677535</v>
      </c>
      <c r="I12070">
        <v>105677580</v>
      </c>
    </row>
    <row r="12071" spans="1:9" x14ac:dyDescent="0.2">
      <c r="A12071" s="1" t="str">
        <f>"OBP2A"</f>
        <v>OBP2A</v>
      </c>
      <c r="B12071" t="s">
        <v>915</v>
      </c>
      <c r="C12071" t="s">
        <v>24</v>
      </c>
      <c r="D12071" t="s">
        <v>17</v>
      </c>
      <c r="E12071" t="s">
        <v>20</v>
      </c>
      <c r="F12071">
        <v>138437992</v>
      </c>
      <c r="G12071">
        <v>138437992</v>
      </c>
      <c r="H12071">
        <v>138437992</v>
      </c>
      <c r="I12071">
        <v>138437992</v>
      </c>
    </row>
    <row r="12072" spans="1:9" x14ac:dyDescent="0.2">
      <c r="A12072" s="1" t="str">
        <f>"OBP2B"</f>
        <v>OBP2B</v>
      </c>
      <c r="B12072" t="s">
        <v>916</v>
      </c>
      <c r="C12072" t="s">
        <v>24</v>
      </c>
      <c r="D12072" t="s">
        <v>11</v>
      </c>
      <c r="E12072" t="s">
        <v>20</v>
      </c>
      <c r="F12072">
        <v>136084627</v>
      </c>
      <c r="G12072">
        <v>136084627</v>
      </c>
      <c r="H12072">
        <v>136084627</v>
      </c>
      <c r="I12072">
        <v>136084627</v>
      </c>
    </row>
    <row r="12073" spans="1:9" x14ac:dyDescent="0.2">
      <c r="A12073" s="1" t="str">
        <f>"OBSCN"</f>
        <v>OBSCN</v>
      </c>
      <c r="B12073" t="s">
        <v>14</v>
      </c>
      <c r="C12073" t="s">
        <v>19</v>
      </c>
      <c r="D12073" t="s">
        <v>17</v>
      </c>
      <c r="E12073" t="s">
        <v>12</v>
      </c>
      <c r="F12073">
        <v>228395726</v>
      </c>
      <c r="G12073">
        <v>228395751</v>
      </c>
      <c r="H12073">
        <v>228395755</v>
      </c>
      <c r="I12073">
        <v>228395766</v>
      </c>
    </row>
    <row r="12074" spans="1:9" x14ac:dyDescent="0.2">
      <c r="A12074" s="1" t="str">
        <f>"OBSL1"</f>
        <v>OBSL1</v>
      </c>
      <c r="B12074" t="s">
        <v>14</v>
      </c>
      <c r="C12074" t="s">
        <v>26</v>
      </c>
      <c r="D12074" t="s">
        <v>11</v>
      </c>
      <c r="E12074" t="s">
        <v>12</v>
      </c>
      <c r="F12074">
        <v>220436126</v>
      </c>
      <c r="G12074">
        <v>220436210</v>
      </c>
      <c r="H12074">
        <v>220436248</v>
      </c>
      <c r="I12074">
        <v>220436282</v>
      </c>
    </row>
    <row r="12075" spans="1:9" x14ac:dyDescent="0.2">
      <c r="A12075" s="1" t="str">
        <f>"OC90"</f>
        <v>OC90</v>
      </c>
      <c r="B12075" t="s">
        <v>14</v>
      </c>
      <c r="C12075" t="s">
        <v>30</v>
      </c>
      <c r="D12075" t="s">
        <v>11</v>
      </c>
      <c r="E12075" t="s">
        <v>12</v>
      </c>
      <c r="F12075">
        <v>133071626</v>
      </c>
      <c r="G12075">
        <v>133071634</v>
      </c>
      <c r="H12075">
        <v>133071626</v>
      </c>
      <c r="I12075">
        <v>133071634</v>
      </c>
    </row>
    <row r="12076" spans="1:9" x14ac:dyDescent="0.2">
      <c r="A12076" s="1" t="str">
        <f>"OCA2"</f>
        <v>OCA2</v>
      </c>
      <c r="B12076" t="s">
        <v>14</v>
      </c>
      <c r="C12076" t="s">
        <v>25</v>
      </c>
      <c r="D12076" t="s">
        <v>11</v>
      </c>
      <c r="E12076" t="s">
        <v>12</v>
      </c>
      <c r="F12076">
        <v>28344444</v>
      </c>
      <c r="G12076">
        <v>28344469</v>
      </c>
      <c r="H12076">
        <v>28344426</v>
      </c>
      <c r="I12076">
        <v>28344431</v>
      </c>
    </row>
    <row r="12077" spans="1:9" x14ac:dyDescent="0.2">
      <c r="A12077" s="1" t="str">
        <f>"OCEL1"</f>
        <v>OCEL1</v>
      </c>
      <c r="B12077" t="s">
        <v>14</v>
      </c>
      <c r="C12077" t="s">
        <v>10</v>
      </c>
      <c r="D12077" t="s">
        <v>17</v>
      </c>
      <c r="E12077" t="s">
        <v>12</v>
      </c>
      <c r="F12077">
        <v>17337027</v>
      </c>
      <c r="G12077">
        <v>17337060</v>
      </c>
      <c r="H12077">
        <v>17337406</v>
      </c>
      <c r="I12077">
        <v>17337461</v>
      </c>
    </row>
    <row r="12078" spans="1:9" x14ac:dyDescent="0.2">
      <c r="A12078" s="1" t="str">
        <f>"OCIAD1"</f>
        <v>OCIAD1</v>
      </c>
      <c r="B12078" t="s">
        <v>14</v>
      </c>
      <c r="C12078" t="s">
        <v>23</v>
      </c>
      <c r="D12078" t="s">
        <v>17</v>
      </c>
      <c r="E12078" t="s">
        <v>12</v>
      </c>
      <c r="F12078">
        <v>48833070</v>
      </c>
      <c r="G12078">
        <v>48833118</v>
      </c>
      <c r="H12078">
        <v>48833119</v>
      </c>
      <c r="I12078">
        <v>48833157</v>
      </c>
    </row>
    <row r="12079" spans="1:9" x14ac:dyDescent="0.2">
      <c r="A12079" s="1" t="str">
        <f>"OCIAD2"</f>
        <v>OCIAD2</v>
      </c>
      <c r="B12079" t="s">
        <v>14</v>
      </c>
      <c r="C12079" t="s">
        <v>23</v>
      </c>
      <c r="D12079" t="s">
        <v>11</v>
      </c>
      <c r="E12079" t="s">
        <v>12</v>
      </c>
      <c r="F12079">
        <v>48908737</v>
      </c>
      <c r="G12079">
        <v>48908799</v>
      </c>
      <c r="H12079">
        <v>48908806</v>
      </c>
      <c r="I12079">
        <v>48908821</v>
      </c>
    </row>
    <row r="12080" spans="1:9" x14ac:dyDescent="0.2">
      <c r="A12080" s="1" t="str">
        <f>"OCLM"</f>
        <v>OCLM</v>
      </c>
      <c r="B12080" t="s">
        <v>14</v>
      </c>
      <c r="C12080" t="s">
        <v>19</v>
      </c>
      <c r="D12080" t="s">
        <v>17</v>
      </c>
      <c r="E12080" t="s">
        <v>12</v>
      </c>
      <c r="F12080">
        <v>186370177</v>
      </c>
      <c r="G12080">
        <v>186370225</v>
      </c>
      <c r="H12080">
        <v>186370177</v>
      </c>
      <c r="I12080">
        <v>186370225</v>
      </c>
    </row>
    <row r="12081" spans="1:9" x14ac:dyDescent="0.2">
      <c r="A12081" s="1" t="str">
        <f>"OCLN"</f>
        <v>OCLN</v>
      </c>
      <c r="B12081" t="s">
        <v>14</v>
      </c>
      <c r="C12081" t="s">
        <v>46</v>
      </c>
      <c r="D12081" t="s">
        <v>17</v>
      </c>
      <c r="E12081" t="s">
        <v>12</v>
      </c>
      <c r="F12081">
        <v>68788594</v>
      </c>
      <c r="G12081">
        <v>68788656</v>
      </c>
      <c r="H12081">
        <v>68788594</v>
      </c>
      <c r="I12081">
        <v>68788656</v>
      </c>
    </row>
    <row r="12082" spans="1:9" x14ac:dyDescent="0.2">
      <c r="A12082" s="1" t="str">
        <f>"OCM"</f>
        <v>OCM</v>
      </c>
      <c r="B12082" t="s">
        <v>917</v>
      </c>
      <c r="C12082" t="s">
        <v>33</v>
      </c>
      <c r="D12082" t="s">
        <v>17</v>
      </c>
      <c r="E12082" t="s">
        <v>20</v>
      </c>
      <c r="F12082">
        <v>5920428</v>
      </c>
      <c r="G12082">
        <v>5920428</v>
      </c>
      <c r="H12082">
        <v>5920428</v>
      </c>
      <c r="I12082">
        <v>5920428</v>
      </c>
    </row>
    <row r="12083" spans="1:9" x14ac:dyDescent="0.2">
      <c r="A12083" s="1" t="str">
        <f>"OCM"</f>
        <v>OCM</v>
      </c>
      <c r="B12083" t="s">
        <v>918</v>
      </c>
      <c r="C12083" t="s">
        <v>33</v>
      </c>
      <c r="D12083" t="s">
        <v>17</v>
      </c>
      <c r="E12083" t="s">
        <v>20</v>
      </c>
      <c r="F12083">
        <v>5919457</v>
      </c>
      <c r="G12083">
        <v>5919457</v>
      </c>
      <c r="H12083">
        <v>5919457</v>
      </c>
      <c r="I12083">
        <v>5919457</v>
      </c>
    </row>
    <row r="12084" spans="1:9" x14ac:dyDescent="0.2">
      <c r="A12084" s="1" t="str">
        <f>"OCM2"</f>
        <v>OCM2</v>
      </c>
      <c r="B12084" t="s">
        <v>919</v>
      </c>
      <c r="C12084" t="s">
        <v>33</v>
      </c>
      <c r="D12084" t="s">
        <v>11</v>
      </c>
      <c r="E12084" t="s">
        <v>20</v>
      </c>
      <c r="F12084">
        <v>97619507</v>
      </c>
      <c r="G12084">
        <v>97619507</v>
      </c>
      <c r="H12084">
        <v>97619507</v>
      </c>
      <c r="I12084">
        <v>97619507</v>
      </c>
    </row>
    <row r="12085" spans="1:9" x14ac:dyDescent="0.2">
      <c r="A12085" s="1" t="str">
        <f>"OCRL"</f>
        <v>OCRL</v>
      </c>
      <c r="B12085" t="s">
        <v>14</v>
      </c>
      <c r="C12085" t="s">
        <v>37</v>
      </c>
      <c r="D12085" t="s">
        <v>17</v>
      </c>
      <c r="E12085" t="s">
        <v>12</v>
      </c>
      <c r="F12085">
        <v>128674213</v>
      </c>
      <c r="G12085">
        <v>128674285</v>
      </c>
      <c r="H12085">
        <v>128674181</v>
      </c>
      <c r="I12085">
        <v>128674195</v>
      </c>
    </row>
    <row r="12086" spans="1:9" x14ac:dyDescent="0.2">
      <c r="A12086" s="1" t="str">
        <f>"OCSTAMP"</f>
        <v>OCSTAMP</v>
      </c>
      <c r="B12086" t="s">
        <v>14</v>
      </c>
      <c r="C12086" t="s">
        <v>29</v>
      </c>
      <c r="D12086" t="s">
        <v>11</v>
      </c>
      <c r="E12086" t="s">
        <v>12</v>
      </c>
      <c r="F12086">
        <v>45179283</v>
      </c>
      <c r="G12086">
        <v>45179298</v>
      </c>
      <c r="H12086">
        <v>45179283</v>
      </c>
      <c r="I12086">
        <v>45179298</v>
      </c>
    </row>
    <row r="12087" spans="1:9" x14ac:dyDescent="0.2">
      <c r="A12087" s="1" t="str">
        <f>"ODAM"</f>
        <v>ODAM</v>
      </c>
      <c r="B12087" t="s">
        <v>14</v>
      </c>
      <c r="C12087" t="s">
        <v>23</v>
      </c>
      <c r="D12087" t="s">
        <v>17</v>
      </c>
      <c r="E12087" t="s">
        <v>12</v>
      </c>
      <c r="F12087">
        <v>71063815</v>
      </c>
      <c r="G12087">
        <v>71063857</v>
      </c>
      <c r="H12087">
        <v>71063785</v>
      </c>
      <c r="I12087">
        <v>71063813</v>
      </c>
    </row>
    <row r="12088" spans="1:9" x14ac:dyDescent="0.2">
      <c r="A12088" s="1" t="str">
        <f>"ODC1"</f>
        <v>ODC1</v>
      </c>
      <c r="B12088" t="s">
        <v>14</v>
      </c>
      <c r="C12088" t="s">
        <v>26</v>
      </c>
      <c r="D12088" t="s">
        <v>11</v>
      </c>
      <c r="E12088" t="s">
        <v>12</v>
      </c>
      <c r="F12088">
        <v>10588445</v>
      </c>
      <c r="G12088">
        <v>10588461</v>
      </c>
      <c r="H12088">
        <v>10588513</v>
      </c>
      <c r="I12088">
        <v>10588524</v>
      </c>
    </row>
    <row r="12089" spans="1:9" x14ac:dyDescent="0.2">
      <c r="A12089" s="1" t="str">
        <f>"ODF1"</f>
        <v>ODF1</v>
      </c>
      <c r="B12089" t="s">
        <v>14</v>
      </c>
      <c r="C12089" t="s">
        <v>30</v>
      </c>
      <c r="D12089" t="s">
        <v>17</v>
      </c>
      <c r="E12089" t="s">
        <v>12</v>
      </c>
      <c r="F12089">
        <v>103563811</v>
      </c>
      <c r="G12089">
        <v>103563830</v>
      </c>
      <c r="H12089">
        <v>103563856</v>
      </c>
      <c r="I12089">
        <v>103563873</v>
      </c>
    </row>
    <row r="12090" spans="1:9" x14ac:dyDescent="0.2">
      <c r="A12090" s="1" t="str">
        <f>"ODF2"</f>
        <v>ODF2</v>
      </c>
      <c r="B12090" t="s">
        <v>14</v>
      </c>
      <c r="C12090" t="s">
        <v>24</v>
      </c>
      <c r="D12090" t="s">
        <v>17</v>
      </c>
      <c r="E12090" t="s">
        <v>12</v>
      </c>
      <c r="F12090">
        <v>131218414</v>
      </c>
      <c r="G12090">
        <v>131218443</v>
      </c>
      <c r="H12090">
        <v>131218698</v>
      </c>
      <c r="I12090">
        <v>131218750</v>
      </c>
    </row>
    <row r="12091" spans="1:9" x14ac:dyDescent="0.2">
      <c r="A12091" s="1" t="str">
        <f>"ODF2L"</f>
        <v>ODF2L</v>
      </c>
      <c r="B12091" t="s">
        <v>14</v>
      </c>
      <c r="C12091" t="s">
        <v>19</v>
      </c>
      <c r="D12091" t="s">
        <v>11</v>
      </c>
      <c r="E12091" t="s">
        <v>12</v>
      </c>
      <c r="F12091">
        <v>86861948</v>
      </c>
      <c r="G12091">
        <v>86862020</v>
      </c>
      <c r="H12091">
        <v>86861733</v>
      </c>
      <c r="I12091">
        <v>86861763</v>
      </c>
    </row>
    <row r="12092" spans="1:9" x14ac:dyDescent="0.2">
      <c r="A12092" s="1" t="str">
        <f>"ODF3"</f>
        <v>ODF3</v>
      </c>
      <c r="B12092" t="s">
        <v>14</v>
      </c>
      <c r="C12092" t="s">
        <v>27</v>
      </c>
      <c r="D12092" t="s">
        <v>17</v>
      </c>
      <c r="E12092" t="s">
        <v>12</v>
      </c>
      <c r="F12092">
        <v>196765</v>
      </c>
      <c r="G12092">
        <v>196779</v>
      </c>
      <c r="H12092">
        <v>196765</v>
      </c>
      <c r="I12092">
        <v>196779</v>
      </c>
    </row>
    <row r="12093" spans="1:9" x14ac:dyDescent="0.2">
      <c r="A12093" s="1" t="str">
        <f>"ODF3B"</f>
        <v>ODF3B</v>
      </c>
      <c r="B12093" t="s">
        <v>14</v>
      </c>
      <c r="C12093" t="s">
        <v>21</v>
      </c>
      <c r="D12093" t="s">
        <v>11</v>
      </c>
      <c r="E12093" t="s">
        <v>12</v>
      </c>
      <c r="F12093">
        <v>50970566</v>
      </c>
      <c r="G12093">
        <v>50970644</v>
      </c>
      <c r="H12093">
        <v>50970919</v>
      </c>
      <c r="I12093">
        <v>50970965</v>
      </c>
    </row>
    <row r="12094" spans="1:9" x14ac:dyDescent="0.2">
      <c r="A12094" s="1" t="str">
        <f>"ODF3L1"</f>
        <v>ODF3L1</v>
      </c>
      <c r="B12094" t="s">
        <v>14</v>
      </c>
      <c r="C12094" t="s">
        <v>25</v>
      </c>
      <c r="D12094" t="s">
        <v>17</v>
      </c>
      <c r="E12094" t="s">
        <v>12</v>
      </c>
      <c r="F12094">
        <v>76016375</v>
      </c>
      <c r="G12094">
        <v>76016392</v>
      </c>
      <c r="H12094">
        <v>76016293</v>
      </c>
      <c r="I12094">
        <v>76016321</v>
      </c>
    </row>
    <row r="12095" spans="1:9" x14ac:dyDescent="0.2">
      <c r="A12095" s="1" t="str">
        <f>"ODF3L2"</f>
        <v>ODF3L2</v>
      </c>
      <c r="B12095" t="s">
        <v>14</v>
      </c>
      <c r="C12095" t="s">
        <v>10</v>
      </c>
      <c r="D12095" t="s">
        <v>11</v>
      </c>
      <c r="E12095" t="s">
        <v>12</v>
      </c>
      <c r="F12095">
        <v>474978</v>
      </c>
      <c r="G12095">
        <v>474986</v>
      </c>
      <c r="H12095">
        <v>475008</v>
      </c>
      <c r="I12095">
        <v>475033</v>
      </c>
    </row>
    <row r="12096" spans="1:9" x14ac:dyDescent="0.2">
      <c r="A12096" s="1" t="str">
        <f>"ODF4"</f>
        <v>ODF4</v>
      </c>
      <c r="B12096" t="s">
        <v>14</v>
      </c>
      <c r="C12096" t="s">
        <v>28</v>
      </c>
      <c r="D12096" t="s">
        <v>17</v>
      </c>
      <c r="E12096" t="s">
        <v>12</v>
      </c>
      <c r="F12096">
        <v>8243154</v>
      </c>
      <c r="G12096">
        <v>8243164</v>
      </c>
      <c r="H12096">
        <v>8243154</v>
      </c>
      <c r="I12096">
        <v>8243164</v>
      </c>
    </row>
    <row r="12097" spans="1:9" x14ac:dyDescent="0.2">
      <c r="A12097" s="1" t="str">
        <f>"OFCC1"</f>
        <v>OFCC1</v>
      </c>
      <c r="B12097" t="s">
        <v>920</v>
      </c>
      <c r="C12097" t="s">
        <v>32</v>
      </c>
      <c r="D12097" t="s">
        <v>11</v>
      </c>
      <c r="E12097" t="s">
        <v>20</v>
      </c>
      <c r="F12097">
        <v>9977800</v>
      </c>
      <c r="G12097">
        <v>9977800</v>
      </c>
      <c r="H12097">
        <v>9977800</v>
      </c>
      <c r="I12097">
        <v>9977800</v>
      </c>
    </row>
    <row r="12098" spans="1:9" x14ac:dyDescent="0.2">
      <c r="A12098" s="1" t="str">
        <f>"OFD1"</f>
        <v>OFD1</v>
      </c>
      <c r="B12098" t="s">
        <v>14</v>
      </c>
      <c r="C12098" t="s">
        <v>37</v>
      </c>
      <c r="D12098" t="s">
        <v>17</v>
      </c>
      <c r="E12098" t="s">
        <v>12</v>
      </c>
      <c r="F12098">
        <v>13752832</v>
      </c>
      <c r="G12098">
        <v>13752889</v>
      </c>
      <c r="H12098">
        <v>13752917</v>
      </c>
      <c r="I12098">
        <v>13752977</v>
      </c>
    </row>
    <row r="12099" spans="1:9" x14ac:dyDescent="0.2">
      <c r="A12099" s="1" t="str">
        <f>"OGDH"</f>
        <v>OGDH</v>
      </c>
      <c r="B12099" t="s">
        <v>14</v>
      </c>
      <c r="C12099" t="s">
        <v>33</v>
      </c>
      <c r="D12099" t="s">
        <v>17</v>
      </c>
      <c r="E12099" t="s">
        <v>12</v>
      </c>
      <c r="F12099">
        <v>44646218</v>
      </c>
      <c r="G12099">
        <v>44646232</v>
      </c>
      <c r="H12099">
        <v>44646177</v>
      </c>
      <c r="I12099">
        <v>44646201</v>
      </c>
    </row>
    <row r="12100" spans="1:9" x14ac:dyDescent="0.2">
      <c r="A12100" s="1" t="str">
        <f>"OGDHL"</f>
        <v>OGDHL</v>
      </c>
      <c r="B12100" t="s">
        <v>14</v>
      </c>
      <c r="C12100" t="s">
        <v>15</v>
      </c>
      <c r="D12100" t="s">
        <v>11</v>
      </c>
      <c r="E12100" t="s">
        <v>12</v>
      </c>
      <c r="F12100">
        <v>50970322</v>
      </c>
      <c r="G12100">
        <v>50970381</v>
      </c>
      <c r="H12100">
        <v>50970382</v>
      </c>
      <c r="I12100">
        <v>50970399</v>
      </c>
    </row>
    <row r="12101" spans="1:9" x14ac:dyDescent="0.2">
      <c r="A12101" s="1" t="str">
        <f>"OGFOD1"</f>
        <v>OGFOD1</v>
      </c>
      <c r="B12101" t="s">
        <v>14</v>
      </c>
      <c r="C12101" t="s">
        <v>31</v>
      </c>
      <c r="D12101" t="s">
        <v>17</v>
      </c>
      <c r="E12101" t="s">
        <v>12</v>
      </c>
      <c r="F12101">
        <v>56485425</v>
      </c>
      <c r="G12101">
        <v>56485490</v>
      </c>
      <c r="H12101">
        <v>56485491</v>
      </c>
      <c r="I12101">
        <v>56485500</v>
      </c>
    </row>
    <row r="12102" spans="1:9" x14ac:dyDescent="0.2">
      <c r="A12102" s="1" t="str">
        <f>"OGFOD2"</f>
        <v>OGFOD2</v>
      </c>
      <c r="B12102" t="s">
        <v>14</v>
      </c>
      <c r="C12102" t="s">
        <v>16</v>
      </c>
      <c r="D12102" t="s">
        <v>17</v>
      </c>
      <c r="E12102" t="s">
        <v>12</v>
      </c>
      <c r="F12102">
        <v>123459747</v>
      </c>
      <c r="G12102">
        <v>123459801</v>
      </c>
      <c r="H12102">
        <v>123459264</v>
      </c>
      <c r="I12102">
        <v>123459310</v>
      </c>
    </row>
    <row r="12103" spans="1:9" x14ac:dyDescent="0.2">
      <c r="A12103" s="1" t="str">
        <f>"OGFOD3"</f>
        <v>OGFOD3</v>
      </c>
      <c r="B12103" t="s">
        <v>14</v>
      </c>
      <c r="C12103" t="s">
        <v>28</v>
      </c>
      <c r="D12103" t="s">
        <v>11</v>
      </c>
      <c r="E12103" t="s">
        <v>12</v>
      </c>
      <c r="F12103">
        <v>80376450</v>
      </c>
      <c r="G12103">
        <v>80376477</v>
      </c>
      <c r="H12103">
        <v>80376420</v>
      </c>
      <c r="I12103">
        <v>80376429</v>
      </c>
    </row>
    <row r="12104" spans="1:9" x14ac:dyDescent="0.2">
      <c r="A12104" s="1" t="str">
        <f>"OGFR"</f>
        <v>OGFR</v>
      </c>
      <c r="B12104" t="s">
        <v>14</v>
      </c>
      <c r="C12104" t="s">
        <v>29</v>
      </c>
      <c r="D12104" t="s">
        <v>17</v>
      </c>
      <c r="E12104" t="s">
        <v>12</v>
      </c>
      <c r="F12104">
        <v>61436146</v>
      </c>
      <c r="G12104">
        <v>61436197</v>
      </c>
      <c r="H12104">
        <v>61436307</v>
      </c>
      <c r="I12104">
        <v>61436346</v>
      </c>
    </row>
    <row r="12105" spans="1:9" x14ac:dyDescent="0.2">
      <c r="A12105" s="1" t="str">
        <f>"OGFRL1"</f>
        <v>OGFRL1</v>
      </c>
      <c r="B12105" t="s">
        <v>14</v>
      </c>
      <c r="C12105" t="s">
        <v>32</v>
      </c>
      <c r="D12105" t="s">
        <v>17</v>
      </c>
      <c r="E12105" t="s">
        <v>12</v>
      </c>
      <c r="F12105">
        <v>71998506</v>
      </c>
      <c r="G12105">
        <v>71998522</v>
      </c>
      <c r="H12105">
        <v>71998506</v>
      </c>
      <c r="I12105">
        <v>71998522</v>
      </c>
    </row>
    <row r="12106" spans="1:9" x14ac:dyDescent="0.2">
      <c r="A12106" s="1" t="str">
        <f>"OGG1"</f>
        <v>OGG1</v>
      </c>
      <c r="B12106" t="s">
        <v>14</v>
      </c>
      <c r="C12106" t="s">
        <v>22</v>
      </c>
      <c r="D12106" t="s">
        <v>17</v>
      </c>
      <c r="E12106" t="s">
        <v>12</v>
      </c>
      <c r="F12106">
        <v>9791936</v>
      </c>
      <c r="G12106">
        <v>9792006</v>
      </c>
      <c r="H12106">
        <v>9791621</v>
      </c>
      <c r="I12106">
        <v>9791696</v>
      </c>
    </row>
    <row r="12107" spans="1:9" x14ac:dyDescent="0.2">
      <c r="A12107" s="1" t="str">
        <f>"OGN"</f>
        <v>OGN</v>
      </c>
      <c r="B12107" t="s">
        <v>9</v>
      </c>
      <c r="C12107" t="s">
        <v>24</v>
      </c>
      <c r="D12107" t="s">
        <v>11</v>
      </c>
      <c r="E12107" t="s">
        <v>12</v>
      </c>
      <c r="F12107">
        <v>95166842</v>
      </c>
      <c r="G12107">
        <v>95166867</v>
      </c>
      <c r="H12107">
        <v>95166842</v>
      </c>
      <c r="I12107">
        <v>95166867</v>
      </c>
    </row>
    <row r="12108" spans="1:9" x14ac:dyDescent="0.2">
      <c r="A12108" s="1" t="str">
        <f>"OGN"</f>
        <v>OGN</v>
      </c>
      <c r="B12108" t="s">
        <v>13</v>
      </c>
      <c r="C12108" t="s">
        <v>24</v>
      </c>
      <c r="D12108" t="s">
        <v>11</v>
      </c>
      <c r="E12108" t="s">
        <v>12</v>
      </c>
      <c r="F12108">
        <v>95165737</v>
      </c>
      <c r="G12108">
        <v>95165800</v>
      </c>
      <c r="H12108">
        <v>95165737</v>
      </c>
      <c r="I12108">
        <v>95165800</v>
      </c>
    </row>
    <row r="12109" spans="1:9" x14ac:dyDescent="0.2">
      <c r="A12109" s="1" t="str">
        <f>"OGT"</f>
        <v>OGT</v>
      </c>
      <c r="B12109" t="s">
        <v>14</v>
      </c>
      <c r="C12109" t="s">
        <v>37</v>
      </c>
      <c r="D12109" t="s">
        <v>17</v>
      </c>
      <c r="E12109" t="s">
        <v>12</v>
      </c>
      <c r="F12109">
        <v>70752945</v>
      </c>
      <c r="G12109">
        <v>70752965</v>
      </c>
      <c r="H12109">
        <v>70752917</v>
      </c>
      <c r="I12109">
        <v>70752933</v>
      </c>
    </row>
    <row r="12110" spans="1:9" x14ac:dyDescent="0.2">
      <c r="A12110" s="1" t="str">
        <f>"OIP5"</f>
        <v>OIP5</v>
      </c>
      <c r="B12110" t="s">
        <v>14</v>
      </c>
      <c r="C12110" t="s">
        <v>25</v>
      </c>
      <c r="D12110" t="s">
        <v>11</v>
      </c>
      <c r="E12110" t="s">
        <v>12</v>
      </c>
      <c r="F12110">
        <v>41624754</v>
      </c>
      <c r="G12110">
        <v>41624796</v>
      </c>
      <c r="H12110">
        <v>41624486</v>
      </c>
      <c r="I12110">
        <v>41624524</v>
      </c>
    </row>
    <row r="12111" spans="1:9" x14ac:dyDescent="0.2">
      <c r="A12111" s="1" t="str">
        <f>"OIT3"</f>
        <v>OIT3</v>
      </c>
      <c r="B12111" t="s">
        <v>14</v>
      </c>
      <c r="C12111" t="s">
        <v>15</v>
      </c>
      <c r="D12111" t="s">
        <v>17</v>
      </c>
      <c r="E12111" t="s">
        <v>12</v>
      </c>
      <c r="F12111">
        <v>74653506</v>
      </c>
      <c r="G12111">
        <v>74653521</v>
      </c>
      <c r="H12111">
        <v>74653506</v>
      </c>
      <c r="I12111">
        <v>74653521</v>
      </c>
    </row>
    <row r="12112" spans="1:9" x14ac:dyDescent="0.2">
      <c r="A12112" s="1" t="str">
        <f>"OLA1"</f>
        <v>OLA1</v>
      </c>
      <c r="B12112" t="s">
        <v>14</v>
      </c>
      <c r="C12112" t="s">
        <v>26</v>
      </c>
      <c r="D12112" t="s">
        <v>11</v>
      </c>
      <c r="E12112" t="s">
        <v>12</v>
      </c>
      <c r="F12112">
        <v>175113250</v>
      </c>
      <c r="G12112">
        <v>175113273</v>
      </c>
      <c r="H12112">
        <v>175113217</v>
      </c>
      <c r="I12112">
        <v>175113249</v>
      </c>
    </row>
    <row r="12113" spans="1:9" x14ac:dyDescent="0.2">
      <c r="A12113" s="1" t="str">
        <f>"OLAH"</f>
        <v>OLAH</v>
      </c>
      <c r="B12113" t="s">
        <v>14</v>
      </c>
      <c r="C12113" t="s">
        <v>15</v>
      </c>
      <c r="D12113" t="s">
        <v>17</v>
      </c>
      <c r="E12113" t="s">
        <v>12</v>
      </c>
      <c r="F12113">
        <v>15085936</v>
      </c>
      <c r="G12113">
        <v>15085963</v>
      </c>
      <c r="H12113">
        <v>15085918</v>
      </c>
      <c r="I12113">
        <v>15085932</v>
      </c>
    </row>
    <row r="12114" spans="1:9" x14ac:dyDescent="0.2">
      <c r="A12114" s="1" t="str">
        <f>"OLFM1"</f>
        <v>OLFM1</v>
      </c>
      <c r="B12114" t="s">
        <v>9</v>
      </c>
      <c r="C12114" t="s">
        <v>24</v>
      </c>
      <c r="D12114" t="s">
        <v>17</v>
      </c>
      <c r="E12114" t="s">
        <v>12</v>
      </c>
      <c r="F12114">
        <v>137979506</v>
      </c>
      <c r="G12114">
        <v>137979530</v>
      </c>
      <c r="H12114">
        <v>137979506</v>
      </c>
      <c r="I12114">
        <v>137979530</v>
      </c>
    </row>
    <row r="12115" spans="1:9" x14ac:dyDescent="0.2">
      <c r="A12115" s="1" t="str">
        <f>"OLFM1"</f>
        <v>OLFM1</v>
      </c>
      <c r="B12115" t="s">
        <v>13</v>
      </c>
      <c r="C12115" t="s">
        <v>24</v>
      </c>
      <c r="D12115" t="s">
        <v>17</v>
      </c>
      <c r="E12115" t="s">
        <v>12</v>
      </c>
      <c r="F12115">
        <v>137967395</v>
      </c>
      <c r="G12115">
        <v>137967412</v>
      </c>
      <c r="H12115">
        <v>137967395</v>
      </c>
      <c r="I12115">
        <v>137967412</v>
      </c>
    </row>
    <row r="12116" spans="1:9" x14ac:dyDescent="0.2">
      <c r="A12116" s="1" t="str">
        <f>"OLFM2"</f>
        <v>OLFM2</v>
      </c>
      <c r="B12116" t="s">
        <v>14</v>
      </c>
      <c r="C12116" t="s">
        <v>10</v>
      </c>
      <c r="D12116" t="s">
        <v>11</v>
      </c>
      <c r="E12116" t="s">
        <v>12</v>
      </c>
      <c r="F12116">
        <v>10047177</v>
      </c>
      <c r="G12116">
        <v>10047201</v>
      </c>
      <c r="H12116">
        <v>10047135</v>
      </c>
      <c r="I12116">
        <v>10047164</v>
      </c>
    </row>
    <row r="12117" spans="1:9" x14ac:dyDescent="0.2">
      <c r="A12117" s="1" t="str">
        <f>"OLFM3"</f>
        <v>OLFM3</v>
      </c>
      <c r="B12117" t="s">
        <v>921</v>
      </c>
      <c r="C12117" t="s">
        <v>19</v>
      </c>
      <c r="D12117" t="s">
        <v>11</v>
      </c>
      <c r="E12117" t="s">
        <v>75</v>
      </c>
      <c r="F12117">
        <v>102312620</v>
      </c>
      <c r="G12117">
        <v>102312642</v>
      </c>
      <c r="H12117">
        <v>102312517</v>
      </c>
      <c r="I12117">
        <v>102312566</v>
      </c>
    </row>
    <row r="12118" spans="1:9" x14ac:dyDescent="0.2">
      <c r="A12118" s="1" t="str">
        <f>"OLFM4"</f>
        <v>OLFM4</v>
      </c>
      <c r="B12118" t="s">
        <v>14</v>
      </c>
      <c r="C12118" t="s">
        <v>39</v>
      </c>
      <c r="D12118" t="s">
        <v>17</v>
      </c>
      <c r="E12118" t="s">
        <v>12</v>
      </c>
      <c r="F12118">
        <v>53602936</v>
      </c>
      <c r="G12118">
        <v>53602955</v>
      </c>
      <c r="H12118">
        <v>53602900</v>
      </c>
      <c r="I12118">
        <v>53602924</v>
      </c>
    </row>
    <row r="12119" spans="1:9" x14ac:dyDescent="0.2">
      <c r="A12119" s="1" t="str">
        <f>"OLFML1"</f>
        <v>OLFML1</v>
      </c>
      <c r="B12119" t="s">
        <v>14</v>
      </c>
      <c r="C12119" t="s">
        <v>27</v>
      </c>
      <c r="D12119" t="s">
        <v>17</v>
      </c>
      <c r="E12119" t="s">
        <v>12</v>
      </c>
      <c r="F12119">
        <v>7506724</v>
      </c>
      <c r="G12119">
        <v>7506773</v>
      </c>
      <c r="H12119">
        <v>7506724</v>
      </c>
      <c r="I12119">
        <v>7506773</v>
      </c>
    </row>
    <row r="12120" spans="1:9" x14ac:dyDescent="0.2">
      <c r="A12120" s="1" t="str">
        <f>"OLFML2A"</f>
        <v>OLFML2A</v>
      </c>
      <c r="B12120" t="s">
        <v>14</v>
      </c>
      <c r="C12120" t="s">
        <v>24</v>
      </c>
      <c r="D12120" t="s">
        <v>17</v>
      </c>
      <c r="E12120" t="s">
        <v>12</v>
      </c>
      <c r="F12120">
        <v>127539377</v>
      </c>
      <c r="G12120">
        <v>127539423</v>
      </c>
      <c r="H12120">
        <v>127539425</v>
      </c>
      <c r="I12120">
        <v>127539448</v>
      </c>
    </row>
    <row r="12121" spans="1:9" x14ac:dyDescent="0.2">
      <c r="A12121" s="1" t="str">
        <f>"OLFML2B"</f>
        <v>OLFML2B</v>
      </c>
      <c r="B12121" t="s">
        <v>14</v>
      </c>
      <c r="C12121" t="s">
        <v>19</v>
      </c>
      <c r="D12121" t="s">
        <v>11</v>
      </c>
      <c r="E12121" t="s">
        <v>12</v>
      </c>
      <c r="F12121">
        <v>161993616</v>
      </c>
      <c r="G12121">
        <v>161993701</v>
      </c>
      <c r="H12121">
        <v>161993422</v>
      </c>
      <c r="I12121">
        <v>161993435</v>
      </c>
    </row>
    <row r="12122" spans="1:9" x14ac:dyDescent="0.2">
      <c r="A12122" s="1" t="str">
        <f>"OLFML3"</f>
        <v>OLFML3</v>
      </c>
      <c r="B12122" t="s">
        <v>14</v>
      </c>
      <c r="C12122" t="s">
        <v>19</v>
      </c>
      <c r="D12122" t="s">
        <v>17</v>
      </c>
      <c r="E12122" t="s">
        <v>12</v>
      </c>
      <c r="F12122">
        <v>114522049</v>
      </c>
      <c r="G12122">
        <v>114522131</v>
      </c>
      <c r="H12122">
        <v>114522042</v>
      </c>
      <c r="I12122">
        <v>114522046</v>
      </c>
    </row>
    <row r="12123" spans="1:9" x14ac:dyDescent="0.2">
      <c r="A12123" s="1" t="str">
        <f>"OLIG1"</f>
        <v>OLIG1</v>
      </c>
      <c r="B12123" t="s">
        <v>14</v>
      </c>
      <c r="C12123" t="s">
        <v>42</v>
      </c>
      <c r="D12123" t="s">
        <v>17</v>
      </c>
      <c r="E12123" t="s">
        <v>12</v>
      </c>
      <c r="F12123">
        <v>34442439</v>
      </c>
      <c r="G12123">
        <v>34442455</v>
      </c>
      <c r="H12123">
        <v>34442540</v>
      </c>
      <c r="I12123">
        <v>34442560</v>
      </c>
    </row>
    <row r="12124" spans="1:9" x14ac:dyDescent="0.2">
      <c r="A12124" s="1" t="str">
        <f>"OLIG2"</f>
        <v>OLIG2</v>
      </c>
      <c r="B12124" t="s">
        <v>14</v>
      </c>
      <c r="C12124" t="s">
        <v>42</v>
      </c>
      <c r="D12124" t="s">
        <v>17</v>
      </c>
      <c r="E12124" t="s">
        <v>12</v>
      </c>
      <c r="F12124">
        <v>34398234</v>
      </c>
      <c r="G12124">
        <v>34398250</v>
      </c>
      <c r="H12124">
        <v>34398234</v>
      </c>
      <c r="I12124">
        <v>34398250</v>
      </c>
    </row>
    <row r="12125" spans="1:9" x14ac:dyDescent="0.2">
      <c r="A12125" s="1" t="str">
        <f>"OLIG3"</f>
        <v>OLIG3</v>
      </c>
      <c r="B12125" t="s">
        <v>14</v>
      </c>
      <c r="C12125" t="s">
        <v>32</v>
      </c>
      <c r="D12125" t="s">
        <v>11</v>
      </c>
      <c r="E12125" t="s">
        <v>12</v>
      </c>
      <c r="F12125">
        <v>137815524</v>
      </c>
      <c r="G12125">
        <v>137815537</v>
      </c>
      <c r="H12125">
        <v>137815425</v>
      </c>
      <c r="I12125">
        <v>137815444</v>
      </c>
    </row>
    <row r="12126" spans="1:9" x14ac:dyDescent="0.2">
      <c r="A12126" s="1" t="str">
        <f>"OLR1"</f>
        <v>OLR1</v>
      </c>
      <c r="B12126" t="s">
        <v>14</v>
      </c>
      <c r="C12126" t="s">
        <v>16</v>
      </c>
      <c r="D12126" t="s">
        <v>11</v>
      </c>
      <c r="E12126" t="s">
        <v>12</v>
      </c>
      <c r="F12126">
        <v>10324717</v>
      </c>
      <c r="G12126">
        <v>10324742</v>
      </c>
      <c r="H12126">
        <v>10324717</v>
      </c>
      <c r="I12126">
        <v>10324742</v>
      </c>
    </row>
    <row r="12127" spans="1:9" x14ac:dyDescent="0.2">
      <c r="A12127" s="1" t="str">
        <f>"OMA1"</f>
        <v>OMA1</v>
      </c>
      <c r="B12127" t="s">
        <v>14</v>
      </c>
      <c r="C12127" t="s">
        <v>19</v>
      </c>
      <c r="D12127" t="s">
        <v>11</v>
      </c>
      <c r="E12127" t="s">
        <v>12</v>
      </c>
      <c r="F12127">
        <v>59012365</v>
      </c>
      <c r="G12127">
        <v>59012437</v>
      </c>
      <c r="H12127">
        <v>59012463</v>
      </c>
      <c r="I12127">
        <v>59012474</v>
      </c>
    </row>
    <row r="12128" spans="1:9" x14ac:dyDescent="0.2">
      <c r="A12128" s="1" t="str">
        <f>"OMD"</f>
        <v>OMD</v>
      </c>
      <c r="B12128" t="s">
        <v>14</v>
      </c>
      <c r="C12128" t="s">
        <v>24</v>
      </c>
      <c r="D12128" t="s">
        <v>11</v>
      </c>
      <c r="E12128" t="s">
        <v>12</v>
      </c>
      <c r="F12128">
        <v>95186583</v>
      </c>
      <c r="G12128">
        <v>95186648</v>
      </c>
      <c r="H12128">
        <v>95186739</v>
      </c>
      <c r="I12128">
        <v>95186763</v>
      </c>
    </row>
    <row r="12129" spans="1:9" x14ac:dyDescent="0.2">
      <c r="A12129" s="1" t="str">
        <f>"OMG"</f>
        <v>OMG</v>
      </c>
      <c r="B12129" t="s">
        <v>14</v>
      </c>
      <c r="C12129" t="s">
        <v>28</v>
      </c>
      <c r="D12129" t="s">
        <v>11</v>
      </c>
      <c r="E12129" t="s">
        <v>12</v>
      </c>
      <c r="F12129">
        <v>29624272</v>
      </c>
      <c r="G12129">
        <v>29624319</v>
      </c>
      <c r="H12129">
        <v>29624249</v>
      </c>
      <c r="I12129">
        <v>29624268</v>
      </c>
    </row>
    <row r="12130" spans="1:9" x14ac:dyDescent="0.2">
      <c r="A12130" s="1" t="str">
        <f>"OMP"</f>
        <v>OMP</v>
      </c>
      <c r="B12130" t="s">
        <v>922</v>
      </c>
      <c r="C12130" t="s">
        <v>27</v>
      </c>
      <c r="D12130" t="s">
        <v>17</v>
      </c>
      <c r="E12130" t="s">
        <v>20</v>
      </c>
      <c r="F12130">
        <v>76813885</v>
      </c>
      <c r="G12130">
        <v>76813885</v>
      </c>
      <c r="H12130">
        <v>76813885</v>
      </c>
      <c r="I12130">
        <v>76813885</v>
      </c>
    </row>
    <row r="12131" spans="1:9" x14ac:dyDescent="0.2">
      <c r="A12131" s="1" t="str">
        <f>"ONECUT1"</f>
        <v>ONECUT1</v>
      </c>
      <c r="B12131" t="s">
        <v>14</v>
      </c>
      <c r="C12131" t="s">
        <v>25</v>
      </c>
      <c r="D12131" t="s">
        <v>11</v>
      </c>
      <c r="E12131" t="s">
        <v>12</v>
      </c>
      <c r="F12131">
        <v>53082521</v>
      </c>
      <c r="G12131">
        <v>53082549</v>
      </c>
      <c r="H12131">
        <v>53082521</v>
      </c>
      <c r="I12131">
        <v>53082549</v>
      </c>
    </row>
    <row r="12132" spans="1:9" x14ac:dyDescent="0.2">
      <c r="A12132" s="1" t="str">
        <f>"ONECUT2"</f>
        <v>ONECUT2</v>
      </c>
      <c r="B12132" t="s">
        <v>14</v>
      </c>
      <c r="C12132" t="s">
        <v>43</v>
      </c>
      <c r="D12132" t="s">
        <v>17</v>
      </c>
      <c r="E12132" t="s">
        <v>12</v>
      </c>
      <c r="F12132">
        <v>55102598</v>
      </c>
      <c r="G12132">
        <v>55102623</v>
      </c>
      <c r="H12132">
        <v>55102598</v>
      </c>
      <c r="I12132">
        <v>55102623</v>
      </c>
    </row>
    <row r="12133" spans="1:9" x14ac:dyDescent="0.2">
      <c r="A12133" s="1" t="str">
        <f>"ONECUT3"</f>
        <v>ONECUT3</v>
      </c>
      <c r="B12133" t="s">
        <v>14</v>
      </c>
      <c r="C12133" t="s">
        <v>10</v>
      </c>
      <c r="D12133" t="s">
        <v>17</v>
      </c>
      <c r="E12133" t="s">
        <v>12</v>
      </c>
      <c r="F12133">
        <v>1753498</v>
      </c>
      <c r="G12133">
        <v>1753519</v>
      </c>
      <c r="H12133">
        <v>1753498</v>
      </c>
      <c r="I12133">
        <v>1753519</v>
      </c>
    </row>
    <row r="12134" spans="1:9" x14ac:dyDescent="0.2">
      <c r="A12134" s="1" t="str">
        <f>"OOEP"</f>
        <v>OOEP</v>
      </c>
      <c r="B12134" t="s">
        <v>14</v>
      </c>
      <c r="C12134" t="s">
        <v>32</v>
      </c>
      <c r="D12134" t="s">
        <v>11</v>
      </c>
      <c r="E12134" t="s">
        <v>12</v>
      </c>
      <c r="F12134">
        <v>74104859</v>
      </c>
      <c r="G12134">
        <v>74104904</v>
      </c>
      <c r="H12134">
        <v>74104823</v>
      </c>
      <c r="I12134">
        <v>74104851</v>
      </c>
    </row>
    <row r="12135" spans="1:9" x14ac:dyDescent="0.2">
      <c r="A12135" s="1" t="str">
        <f>"OOSP1"</f>
        <v>OOSP1</v>
      </c>
      <c r="B12135" t="s">
        <v>923</v>
      </c>
      <c r="C12135" t="s">
        <v>27</v>
      </c>
      <c r="D12135" t="s">
        <v>17</v>
      </c>
      <c r="E12135" t="s">
        <v>20</v>
      </c>
      <c r="F12135">
        <v>59705927</v>
      </c>
      <c r="G12135">
        <v>59705927</v>
      </c>
      <c r="H12135">
        <v>59705927</v>
      </c>
      <c r="I12135">
        <v>59705927</v>
      </c>
    </row>
    <row r="12136" spans="1:9" x14ac:dyDescent="0.2">
      <c r="A12136" s="1" t="str">
        <f>"OPA1"</f>
        <v>OPA1</v>
      </c>
      <c r="B12136" t="s">
        <v>14</v>
      </c>
      <c r="C12136" t="s">
        <v>22</v>
      </c>
      <c r="D12136" t="s">
        <v>17</v>
      </c>
      <c r="E12136" t="s">
        <v>12</v>
      </c>
      <c r="F12136">
        <v>193310969</v>
      </c>
      <c r="G12136">
        <v>193311053</v>
      </c>
      <c r="H12136">
        <v>193311056</v>
      </c>
      <c r="I12136">
        <v>193311087</v>
      </c>
    </row>
    <row r="12137" spans="1:9" x14ac:dyDescent="0.2">
      <c r="A12137" s="1" t="str">
        <f>"OPA3"</f>
        <v>OPA3</v>
      </c>
      <c r="B12137" t="s">
        <v>9</v>
      </c>
      <c r="C12137" t="s">
        <v>10</v>
      </c>
      <c r="D12137" t="s">
        <v>11</v>
      </c>
      <c r="E12137" t="s">
        <v>12</v>
      </c>
      <c r="F12137">
        <v>46088027</v>
      </c>
      <c r="G12137">
        <v>46088067</v>
      </c>
      <c r="H12137">
        <v>46088027</v>
      </c>
      <c r="I12137">
        <v>46088067</v>
      </c>
    </row>
    <row r="12138" spans="1:9" x14ac:dyDescent="0.2">
      <c r="A12138" s="1" t="str">
        <f>"OPA3"</f>
        <v>OPA3</v>
      </c>
      <c r="B12138" t="s">
        <v>13</v>
      </c>
      <c r="C12138" t="s">
        <v>10</v>
      </c>
      <c r="D12138" t="s">
        <v>11</v>
      </c>
      <c r="E12138" t="s">
        <v>12</v>
      </c>
      <c r="F12138">
        <v>46105411</v>
      </c>
      <c r="G12138">
        <v>46105481</v>
      </c>
      <c r="H12138">
        <v>46105411</v>
      </c>
      <c r="I12138">
        <v>46105481</v>
      </c>
    </row>
    <row r="12139" spans="1:9" x14ac:dyDescent="0.2">
      <c r="A12139" s="1" t="str">
        <f>"OPALIN"</f>
        <v>OPALIN</v>
      </c>
      <c r="B12139" t="s">
        <v>14</v>
      </c>
      <c r="C12139" t="s">
        <v>15</v>
      </c>
      <c r="D12139" t="s">
        <v>11</v>
      </c>
      <c r="E12139" t="s">
        <v>12</v>
      </c>
      <c r="F12139">
        <v>98118746</v>
      </c>
      <c r="G12139">
        <v>98118772</v>
      </c>
      <c r="H12139">
        <v>98118704</v>
      </c>
      <c r="I12139">
        <v>98118719</v>
      </c>
    </row>
    <row r="12140" spans="1:9" x14ac:dyDescent="0.2">
      <c r="A12140" s="1" t="str">
        <f>"OPCML"</f>
        <v>OPCML</v>
      </c>
      <c r="B12140" t="s">
        <v>924</v>
      </c>
      <c r="C12140" t="s">
        <v>27</v>
      </c>
      <c r="D12140" t="s">
        <v>11</v>
      </c>
      <c r="E12140" t="s">
        <v>35</v>
      </c>
      <c r="F12140">
        <v>132813716</v>
      </c>
      <c r="G12140">
        <v>132813736</v>
      </c>
      <c r="H12140">
        <v>132813363</v>
      </c>
      <c r="I12140">
        <v>132813367</v>
      </c>
    </row>
    <row r="12141" spans="1:9" x14ac:dyDescent="0.2">
      <c r="A12141" s="1" t="str">
        <f>"OPHN1"</f>
        <v>OPHN1</v>
      </c>
      <c r="B12141" t="s">
        <v>14</v>
      </c>
      <c r="C12141" t="s">
        <v>37</v>
      </c>
      <c r="D12141" t="s">
        <v>11</v>
      </c>
      <c r="E12141" t="s">
        <v>12</v>
      </c>
      <c r="F12141">
        <v>67653291</v>
      </c>
      <c r="G12141">
        <v>67653369</v>
      </c>
      <c r="H12141">
        <v>67653661</v>
      </c>
      <c r="I12141">
        <v>67653688</v>
      </c>
    </row>
    <row r="12142" spans="1:9" x14ac:dyDescent="0.2">
      <c r="A12142" s="1" t="str">
        <f>"OPLAH"</f>
        <v>OPLAH</v>
      </c>
      <c r="B12142" t="s">
        <v>14</v>
      </c>
      <c r="C12142" t="s">
        <v>30</v>
      </c>
      <c r="D12142" t="s">
        <v>11</v>
      </c>
      <c r="E12142" t="s">
        <v>12</v>
      </c>
      <c r="F12142">
        <v>145115584</v>
      </c>
      <c r="G12142">
        <v>145115606</v>
      </c>
      <c r="H12142">
        <v>145115609</v>
      </c>
      <c r="I12142">
        <v>145115630</v>
      </c>
    </row>
    <row r="12143" spans="1:9" x14ac:dyDescent="0.2">
      <c r="A12143" s="1" t="str">
        <f>"OPN1LW"</f>
        <v>OPN1LW</v>
      </c>
      <c r="B12143" t="s">
        <v>14</v>
      </c>
      <c r="C12143" t="s">
        <v>37</v>
      </c>
      <c r="D12143" t="s">
        <v>17</v>
      </c>
      <c r="E12143" t="s">
        <v>12</v>
      </c>
      <c r="F12143">
        <v>153409714</v>
      </c>
      <c r="G12143">
        <v>153409717</v>
      </c>
      <c r="H12143">
        <v>153409678</v>
      </c>
      <c r="I12143">
        <v>153409686</v>
      </c>
    </row>
    <row r="12144" spans="1:9" x14ac:dyDescent="0.2">
      <c r="A12144" s="1" t="str">
        <f>"OPN1MW"</f>
        <v>OPN1MW</v>
      </c>
      <c r="B12144" t="s">
        <v>925</v>
      </c>
      <c r="C12144" t="s">
        <v>37</v>
      </c>
      <c r="D12144" t="s">
        <v>17</v>
      </c>
      <c r="E12144" t="s">
        <v>20</v>
      </c>
      <c r="F12144">
        <v>153448106</v>
      </c>
      <c r="G12144">
        <v>153448106</v>
      </c>
      <c r="H12144">
        <v>153448106</v>
      </c>
      <c r="I12144">
        <v>153448106</v>
      </c>
    </row>
    <row r="12145" spans="1:9" x14ac:dyDescent="0.2">
      <c r="A12145" s="1" t="str">
        <f>"OPN1MW2"</f>
        <v>OPN1MW2</v>
      </c>
      <c r="B12145" t="s">
        <v>926</v>
      </c>
      <c r="C12145" t="s">
        <v>37</v>
      </c>
      <c r="D12145" t="s">
        <v>17</v>
      </c>
      <c r="E12145" t="s">
        <v>20</v>
      </c>
      <c r="F12145">
        <v>153485224</v>
      </c>
      <c r="G12145">
        <v>153485224</v>
      </c>
      <c r="H12145">
        <v>153485224</v>
      </c>
      <c r="I12145">
        <v>153485224</v>
      </c>
    </row>
    <row r="12146" spans="1:9" x14ac:dyDescent="0.2">
      <c r="A12146" s="1" t="str">
        <f>"OPN1SW"</f>
        <v>OPN1SW</v>
      </c>
      <c r="B12146" t="s">
        <v>14</v>
      </c>
      <c r="C12146" t="s">
        <v>33</v>
      </c>
      <c r="D12146" t="s">
        <v>11</v>
      </c>
      <c r="E12146" t="s">
        <v>12</v>
      </c>
      <c r="F12146">
        <v>128415847</v>
      </c>
      <c r="G12146">
        <v>128415849</v>
      </c>
      <c r="H12146">
        <v>128415884</v>
      </c>
      <c r="I12146">
        <v>128415887</v>
      </c>
    </row>
    <row r="12147" spans="1:9" x14ac:dyDescent="0.2">
      <c r="A12147" s="1" t="str">
        <f>"OPN3"</f>
        <v>OPN3</v>
      </c>
      <c r="B12147" t="s">
        <v>14</v>
      </c>
      <c r="C12147" t="s">
        <v>19</v>
      </c>
      <c r="D12147" t="s">
        <v>11</v>
      </c>
      <c r="E12147" t="s">
        <v>12</v>
      </c>
      <c r="F12147">
        <v>241803649</v>
      </c>
      <c r="G12147">
        <v>241803678</v>
      </c>
      <c r="H12147">
        <v>241803620</v>
      </c>
      <c r="I12147">
        <v>241803642</v>
      </c>
    </row>
    <row r="12148" spans="1:9" x14ac:dyDescent="0.2">
      <c r="A12148" s="1" t="str">
        <f>"OPN4"</f>
        <v>OPN4</v>
      </c>
      <c r="B12148" t="s">
        <v>14</v>
      </c>
      <c r="C12148" t="s">
        <v>15</v>
      </c>
      <c r="D12148" t="s">
        <v>17</v>
      </c>
      <c r="E12148" t="s">
        <v>12</v>
      </c>
      <c r="F12148">
        <v>88414298</v>
      </c>
      <c r="G12148">
        <v>88414311</v>
      </c>
      <c r="H12148">
        <v>88414338</v>
      </c>
      <c r="I12148">
        <v>88414356</v>
      </c>
    </row>
    <row r="12149" spans="1:9" x14ac:dyDescent="0.2">
      <c r="A12149" s="1" t="str">
        <f>"OPN5"</f>
        <v>OPN5</v>
      </c>
      <c r="B12149" t="s">
        <v>14</v>
      </c>
      <c r="C12149" t="s">
        <v>32</v>
      </c>
      <c r="D12149" t="s">
        <v>17</v>
      </c>
      <c r="E12149" t="s">
        <v>12</v>
      </c>
      <c r="F12149">
        <v>47754808</v>
      </c>
      <c r="G12149">
        <v>47754819</v>
      </c>
      <c r="H12149">
        <v>47754800</v>
      </c>
      <c r="I12149">
        <v>47754807</v>
      </c>
    </row>
    <row r="12150" spans="1:9" x14ac:dyDescent="0.2">
      <c r="A12150" s="1" t="str">
        <f>"OPRD1"</f>
        <v>OPRD1</v>
      </c>
      <c r="B12150" t="s">
        <v>14</v>
      </c>
      <c r="C12150" t="s">
        <v>19</v>
      </c>
      <c r="D12150" t="s">
        <v>17</v>
      </c>
      <c r="E12150" t="s">
        <v>12</v>
      </c>
      <c r="F12150">
        <v>29138672</v>
      </c>
      <c r="G12150">
        <v>29138687</v>
      </c>
      <c r="H12150">
        <v>29138650</v>
      </c>
      <c r="I12150">
        <v>29138668</v>
      </c>
    </row>
    <row r="12151" spans="1:9" x14ac:dyDescent="0.2">
      <c r="A12151" s="1" t="str">
        <f>"OPRK1"</f>
        <v>OPRK1</v>
      </c>
      <c r="B12151" t="s">
        <v>14</v>
      </c>
      <c r="C12151" t="s">
        <v>30</v>
      </c>
      <c r="D12151" t="s">
        <v>11</v>
      </c>
      <c r="E12151" t="s">
        <v>12</v>
      </c>
      <c r="F12151">
        <v>54164145</v>
      </c>
      <c r="G12151">
        <v>54164187</v>
      </c>
      <c r="H12151">
        <v>54164189</v>
      </c>
      <c r="I12151">
        <v>54164202</v>
      </c>
    </row>
    <row r="12152" spans="1:9" x14ac:dyDescent="0.2">
      <c r="A12152" s="1" t="str">
        <f>"OPRL1"</f>
        <v>OPRL1</v>
      </c>
      <c r="B12152" t="s">
        <v>9</v>
      </c>
      <c r="C12152" t="s">
        <v>29</v>
      </c>
      <c r="D12152" t="s">
        <v>17</v>
      </c>
      <c r="E12152" t="s">
        <v>12</v>
      </c>
      <c r="F12152">
        <v>62723307</v>
      </c>
      <c r="G12152">
        <v>62723341</v>
      </c>
      <c r="H12152">
        <v>62723307</v>
      </c>
      <c r="I12152">
        <v>62723341</v>
      </c>
    </row>
    <row r="12153" spans="1:9" x14ac:dyDescent="0.2">
      <c r="A12153" s="1" t="str">
        <f>"OPRL1"</f>
        <v>OPRL1</v>
      </c>
      <c r="B12153" t="s">
        <v>13</v>
      </c>
      <c r="C12153" t="s">
        <v>29</v>
      </c>
      <c r="D12153" t="s">
        <v>17</v>
      </c>
      <c r="E12153" t="s">
        <v>12</v>
      </c>
      <c r="F12153">
        <v>62711425</v>
      </c>
      <c r="G12153">
        <v>62711470</v>
      </c>
      <c r="H12153">
        <v>62711425</v>
      </c>
      <c r="I12153">
        <v>62711470</v>
      </c>
    </row>
    <row r="12154" spans="1:9" x14ac:dyDescent="0.2">
      <c r="A12154" s="1" t="str">
        <f>"OPRM1"</f>
        <v>OPRM1</v>
      </c>
      <c r="B12154" t="s">
        <v>14</v>
      </c>
      <c r="C12154" t="s">
        <v>32</v>
      </c>
      <c r="D12154" t="s">
        <v>17</v>
      </c>
      <c r="E12154" t="s">
        <v>12</v>
      </c>
      <c r="F12154">
        <v>154360357</v>
      </c>
      <c r="G12154">
        <v>154360427</v>
      </c>
      <c r="H12154">
        <v>154360476</v>
      </c>
      <c r="I12154">
        <v>154360504</v>
      </c>
    </row>
    <row r="12155" spans="1:9" x14ac:dyDescent="0.2">
      <c r="A12155" s="1" t="str">
        <f>"OPTC"</f>
        <v>OPTC</v>
      </c>
      <c r="B12155" t="s">
        <v>9</v>
      </c>
      <c r="C12155" t="s">
        <v>19</v>
      </c>
      <c r="D12155" t="s">
        <v>17</v>
      </c>
      <c r="E12155" t="s">
        <v>12</v>
      </c>
      <c r="F12155">
        <v>203463245</v>
      </c>
      <c r="G12155">
        <v>203463294</v>
      </c>
      <c r="H12155">
        <v>203463245</v>
      </c>
      <c r="I12155">
        <v>203463294</v>
      </c>
    </row>
    <row r="12156" spans="1:9" x14ac:dyDescent="0.2">
      <c r="A12156" s="1" t="str">
        <f>"OPTC"</f>
        <v>OPTC</v>
      </c>
      <c r="B12156" t="s">
        <v>13</v>
      </c>
      <c r="C12156" t="s">
        <v>19</v>
      </c>
      <c r="D12156" t="s">
        <v>17</v>
      </c>
      <c r="E12156" t="s">
        <v>12</v>
      </c>
      <c r="F12156">
        <v>203465089</v>
      </c>
      <c r="G12156">
        <v>203465121</v>
      </c>
      <c r="H12156">
        <v>203465089</v>
      </c>
      <c r="I12156">
        <v>203465121</v>
      </c>
    </row>
    <row r="12157" spans="1:9" x14ac:dyDescent="0.2">
      <c r="A12157" s="1" t="str">
        <f>"OPTN"</f>
        <v>OPTN</v>
      </c>
      <c r="B12157" t="s">
        <v>14</v>
      </c>
      <c r="C12157" t="s">
        <v>15</v>
      </c>
      <c r="D12157" t="s">
        <v>17</v>
      </c>
      <c r="E12157" t="s">
        <v>12</v>
      </c>
      <c r="F12157">
        <v>13142075</v>
      </c>
      <c r="G12157">
        <v>13142193</v>
      </c>
      <c r="H12157">
        <v>13142198</v>
      </c>
      <c r="I12157">
        <v>13142210</v>
      </c>
    </row>
    <row r="12158" spans="1:9" x14ac:dyDescent="0.2">
      <c r="A12158" s="1" t="str">
        <f>"OR10A2"</f>
        <v>OR10A2</v>
      </c>
      <c r="B12158" t="s">
        <v>927</v>
      </c>
      <c r="C12158" t="s">
        <v>27</v>
      </c>
      <c r="D12158" t="s">
        <v>17</v>
      </c>
      <c r="E12158" t="s">
        <v>20</v>
      </c>
      <c r="F12158">
        <v>6890923</v>
      </c>
      <c r="G12158">
        <v>6890923</v>
      </c>
      <c r="H12158">
        <v>6890923</v>
      </c>
      <c r="I12158">
        <v>6890923</v>
      </c>
    </row>
    <row r="12159" spans="1:9" x14ac:dyDescent="0.2">
      <c r="A12159" s="1" t="str">
        <f>"OR10A3"</f>
        <v>OR10A3</v>
      </c>
      <c r="B12159" t="s">
        <v>928</v>
      </c>
      <c r="C12159" t="s">
        <v>27</v>
      </c>
      <c r="D12159" t="s">
        <v>11</v>
      </c>
      <c r="E12159" t="s">
        <v>20</v>
      </c>
      <c r="F12159">
        <v>7961140</v>
      </c>
      <c r="G12159">
        <v>7961140</v>
      </c>
      <c r="H12159">
        <v>7961140</v>
      </c>
      <c r="I12159">
        <v>7961140</v>
      </c>
    </row>
    <row r="12160" spans="1:9" x14ac:dyDescent="0.2">
      <c r="A12160" s="1" t="str">
        <f>"OR10A4"</f>
        <v>OR10A4</v>
      </c>
      <c r="B12160" t="s">
        <v>929</v>
      </c>
      <c r="C12160" t="s">
        <v>27</v>
      </c>
      <c r="D12160" t="s">
        <v>17</v>
      </c>
      <c r="E12160" t="s">
        <v>20</v>
      </c>
      <c r="F12160">
        <v>6897855</v>
      </c>
      <c r="G12160">
        <v>6897855</v>
      </c>
      <c r="H12160">
        <v>6897855</v>
      </c>
      <c r="I12160">
        <v>6897855</v>
      </c>
    </row>
    <row r="12161" spans="1:9" x14ac:dyDescent="0.2">
      <c r="A12161" s="1" t="str">
        <f>"OR10A5"</f>
        <v>OR10A5</v>
      </c>
      <c r="B12161" t="s">
        <v>930</v>
      </c>
      <c r="C12161" t="s">
        <v>27</v>
      </c>
      <c r="D12161" t="s">
        <v>17</v>
      </c>
      <c r="E12161" t="s">
        <v>20</v>
      </c>
      <c r="F12161">
        <v>6866882</v>
      </c>
      <c r="G12161">
        <v>6866882</v>
      </c>
      <c r="H12161">
        <v>6866882</v>
      </c>
      <c r="I12161">
        <v>6866882</v>
      </c>
    </row>
    <row r="12162" spans="1:9" x14ac:dyDescent="0.2">
      <c r="A12162" s="1" t="str">
        <f>"OR10A6"</f>
        <v>OR10A6</v>
      </c>
      <c r="B12162" t="s">
        <v>931</v>
      </c>
      <c r="C12162" t="s">
        <v>27</v>
      </c>
      <c r="D12162" t="s">
        <v>11</v>
      </c>
      <c r="E12162" t="s">
        <v>20</v>
      </c>
      <c r="F12162">
        <v>7950208</v>
      </c>
      <c r="G12162">
        <v>7950208</v>
      </c>
      <c r="H12162">
        <v>7950208</v>
      </c>
      <c r="I12162">
        <v>7950208</v>
      </c>
    </row>
    <row r="12163" spans="1:9" x14ac:dyDescent="0.2">
      <c r="A12163" s="1" t="str">
        <f>"OR10A7"</f>
        <v>OR10A7</v>
      </c>
      <c r="B12163" t="s">
        <v>932</v>
      </c>
      <c r="C12163" t="s">
        <v>16</v>
      </c>
      <c r="D12163" t="s">
        <v>17</v>
      </c>
      <c r="E12163" t="s">
        <v>20</v>
      </c>
      <c r="F12163">
        <v>55614808</v>
      </c>
      <c r="G12163">
        <v>55614808</v>
      </c>
      <c r="H12163">
        <v>55614808</v>
      </c>
      <c r="I12163">
        <v>55614808</v>
      </c>
    </row>
    <row r="12164" spans="1:9" x14ac:dyDescent="0.2">
      <c r="A12164" s="1" t="str">
        <f>"OR10AD1"</f>
        <v>OR10AD1</v>
      </c>
      <c r="B12164" t="s">
        <v>933</v>
      </c>
      <c r="C12164" t="s">
        <v>16</v>
      </c>
      <c r="D12164" t="s">
        <v>11</v>
      </c>
      <c r="E12164" t="s">
        <v>20</v>
      </c>
      <c r="F12164">
        <v>48597169</v>
      </c>
      <c r="G12164">
        <v>48597169</v>
      </c>
      <c r="H12164">
        <v>48597169</v>
      </c>
      <c r="I12164">
        <v>48597169</v>
      </c>
    </row>
    <row r="12165" spans="1:9" x14ac:dyDescent="0.2">
      <c r="A12165" s="1" t="str">
        <f>"OR10AG1"</f>
        <v>OR10AG1</v>
      </c>
      <c r="B12165" t="s">
        <v>934</v>
      </c>
      <c r="C12165" t="s">
        <v>27</v>
      </c>
      <c r="D12165" t="s">
        <v>11</v>
      </c>
      <c r="E12165" t="s">
        <v>20</v>
      </c>
      <c r="F12165">
        <v>55735989</v>
      </c>
      <c r="G12165">
        <v>55735989</v>
      </c>
      <c r="H12165">
        <v>55735989</v>
      </c>
      <c r="I12165">
        <v>55735989</v>
      </c>
    </row>
    <row r="12166" spans="1:9" x14ac:dyDescent="0.2">
      <c r="A12166" s="1" t="str">
        <f>"OR10C1"</f>
        <v>OR10C1</v>
      </c>
      <c r="B12166" t="s">
        <v>935</v>
      </c>
      <c r="C12166" t="s">
        <v>32</v>
      </c>
      <c r="D12166" t="s">
        <v>17</v>
      </c>
      <c r="E12166" t="s">
        <v>20</v>
      </c>
      <c r="F12166">
        <v>29407082</v>
      </c>
      <c r="G12166">
        <v>29407082</v>
      </c>
      <c r="H12166">
        <v>29407082</v>
      </c>
      <c r="I12166">
        <v>29407082</v>
      </c>
    </row>
    <row r="12167" spans="1:9" x14ac:dyDescent="0.2">
      <c r="A12167" s="1" t="str">
        <f>"OR10G2"</f>
        <v>OR10G2</v>
      </c>
      <c r="B12167" t="s">
        <v>936</v>
      </c>
      <c r="C12167" t="s">
        <v>41</v>
      </c>
      <c r="D12167" t="s">
        <v>11</v>
      </c>
      <c r="E12167" t="s">
        <v>20</v>
      </c>
      <c r="F12167">
        <v>22103095</v>
      </c>
      <c r="G12167">
        <v>22103095</v>
      </c>
      <c r="H12167">
        <v>22103095</v>
      </c>
      <c r="I12167">
        <v>22103095</v>
      </c>
    </row>
    <row r="12168" spans="1:9" x14ac:dyDescent="0.2">
      <c r="A12168" s="1" t="str">
        <f>"OR10G3"</f>
        <v>OR10G3</v>
      </c>
      <c r="B12168" t="s">
        <v>937</v>
      </c>
      <c r="C12168" t="s">
        <v>41</v>
      </c>
      <c r="D12168" t="s">
        <v>11</v>
      </c>
      <c r="E12168" t="s">
        <v>20</v>
      </c>
      <c r="F12168">
        <v>22038874</v>
      </c>
      <c r="G12168">
        <v>22038874</v>
      </c>
      <c r="H12168">
        <v>22038874</v>
      </c>
      <c r="I12168">
        <v>22038874</v>
      </c>
    </row>
    <row r="12169" spans="1:9" x14ac:dyDescent="0.2">
      <c r="A12169" s="1" t="str">
        <f>"OR10G4"</f>
        <v>OR10G4</v>
      </c>
      <c r="B12169" t="s">
        <v>938</v>
      </c>
      <c r="C12169" t="s">
        <v>27</v>
      </c>
      <c r="D12169" t="s">
        <v>17</v>
      </c>
      <c r="E12169" t="s">
        <v>20</v>
      </c>
      <c r="F12169">
        <v>123886281</v>
      </c>
      <c r="G12169">
        <v>123886281</v>
      </c>
      <c r="H12169">
        <v>123886281</v>
      </c>
      <c r="I12169">
        <v>123886281</v>
      </c>
    </row>
    <row r="12170" spans="1:9" x14ac:dyDescent="0.2">
      <c r="A12170" s="1" t="str">
        <f>"OR10G7"</f>
        <v>OR10G7</v>
      </c>
      <c r="B12170" t="s">
        <v>939</v>
      </c>
      <c r="C12170" t="s">
        <v>27</v>
      </c>
      <c r="D12170" t="s">
        <v>11</v>
      </c>
      <c r="E12170" t="s">
        <v>20</v>
      </c>
      <c r="F12170">
        <v>123909716</v>
      </c>
      <c r="G12170">
        <v>123909716</v>
      </c>
      <c r="H12170">
        <v>123909716</v>
      </c>
      <c r="I12170">
        <v>123909716</v>
      </c>
    </row>
    <row r="12171" spans="1:9" x14ac:dyDescent="0.2">
      <c r="A12171" s="1" t="str">
        <f>"OR10G8"</f>
        <v>OR10G8</v>
      </c>
      <c r="B12171" t="s">
        <v>940</v>
      </c>
      <c r="C12171" t="s">
        <v>27</v>
      </c>
      <c r="D12171" t="s">
        <v>17</v>
      </c>
      <c r="E12171" t="s">
        <v>20</v>
      </c>
      <c r="F12171">
        <v>123900296</v>
      </c>
      <c r="G12171">
        <v>123900296</v>
      </c>
      <c r="H12171">
        <v>123900296</v>
      </c>
      <c r="I12171">
        <v>123900296</v>
      </c>
    </row>
    <row r="12172" spans="1:9" x14ac:dyDescent="0.2">
      <c r="A12172" s="1" t="str">
        <f>"OR10G9"</f>
        <v>OR10G9</v>
      </c>
      <c r="B12172" t="s">
        <v>941</v>
      </c>
      <c r="C12172" t="s">
        <v>27</v>
      </c>
      <c r="D12172" t="s">
        <v>17</v>
      </c>
      <c r="E12172" t="s">
        <v>20</v>
      </c>
      <c r="F12172">
        <v>123893719</v>
      </c>
      <c r="G12172">
        <v>123893719</v>
      </c>
      <c r="H12172">
        <v>123893719</v>
      </c>
      <c r="I12172">
        <v>123893719</v>
      </c>
    </row>
    <row r="12173" spans="1:9" x14ac:dyDescent="0.2">
      <c r="A12173" s="1" t="str">
        <f>"OR10H1"</f>
        <v>OR10H1</v>
      </c>
      <c r="B12173" t="s">
        <v>942</v>
      </c>
      <c r="C12173" t="s">
        <v>10</v>
      </c>
      <c r="D12173" t="s">
        <v>11</v>
      </c>
      <c r="E12173" t="s">
        <v>20</v>
      </c>
      <c r="F12173">
        <v>15918935</v>
      </c>
      <c r="G12173">
        <v>15918935</v>
      </c>
      <c r="H12173">
        <v>15918935</v>
      </c>
      <c r="I12173">
        <v>15918935</v>
      </c>
    </row>
    <row r="12174" spans="1:9" x14ac:dyDescent="0.2">
      <c r="A12174" s="1" t="str">
        <f>"OR10H2"</f>
        <v>OR10H2</v>
      </c>
      <c r="B12174" t="s">
        <v>943</v>
      </c>
      <c r="C12174" t="s">
        <v>10</v>
      </c>
      <c r="D12174" t="s">
        <v>17</v>
      </c>
      <c r="E12174" t="s">
        <v>20</v>
      </c>
      <c r="F12174">
        <v>15838833</v>
      </c>
      <c r="G12174">
        <v>15838833</v>
      </c>
      <c r="H12174">
        <v>15838833</v>
      </c>
      <c r="I12174">
        <v>15838833</v>
      </c>
    </row>
    <row r="12175" spans="1:9" x14ac:dyDescent="0.2">
      <c r="A12175" s="1" t="str">
        <f>"OR10H3"</f>
        <v>OR10H3</v>
      </c>
      <c r="B12175" t="s">
        <v>944</v>
      </c>
      <c r="C12175" t="s">
        <v>10</v>
      </c>
      <c r="D12175" t="s">
        <v>17</v>
      </c>
      <c r="E12175" t="s">
        <v>20</v>
      </c>
      <c r="F12175">
        <v>15852202</v>
      </c>
      <c r="G12175">
        <v>15852202</v>
      </c>
      <c r="H12175">
        <v>15852202</v>
      </c>
      <c r="I12175">
        <v>15852202</v>
      </c>
    </row>
    <row r="12176" spans="1:9" x14ac:dyDescent="0.2">
      <c r="A12176" s="1" t="str">
        <f>"OR10H4"</f>
        <v>OR10H4</v>
      </c>
      <c r="B12176" t="s">
        <v>945</v>
      </c>
      <c r="C12176" t="s">
        <v>10</v>
      </c>
      <c r="D12176" t="s">
        <v>17</v>
      </c>
      <c r="E12176" t="s">
        <v>20</v>
      </c>
      <c r="F12176">
        <v>16059817</v>
      </c>
      <c r="G12176">
        <v>16059817</v>
      </c>
      <c r="H12176">
        <v>16059817</v>
      </c>
      <c r="I12176">
        <v>16059817</v>
      </c>
    </row>
    <row r="12177" spans="1:9" x14ac:dyDescent="0.2">
      <c r="A12177" s="1" t="str">
        <f>"OR10H5"</f>
        <v>OR10H5</v>
      </c>
      <c r="B12177" t="s">
        <v>946</v>
      </c>
      <c r="C12177" t="s">
        <v>10</v>
      </c>
      <c r="D12177" t="s">
        <v>17</v>
      </c>
      <c r="E12177" t="s">
        <v>20</v>
      </c>
      <c r="F12177">
        <v>15904760</v>
      </c>
      <c r="G12177">
        <v>15904760</v>
      </c>
      <c r="H12177">
        <v>15904760</v>
      </c>
      <c r="I12177">
        <v>15904760</v>
      </c>
    </row>
    <row r="12178" spans="1:9" x14ac:dyDescent="0.2">
      <c r="A12178" s="1" t="str">
        <f>"OR10J1"</f>
        <v>OR10J1</v>
      </c>
      <c r="B12178" t="s">
        <v>947</v>
      </c>
      <c r="C12178" t="s">
        <v>19</v>
      </c>
      <c r="D12178" t="s">
        <v>17</v>
      </c>
      <c r="E12178" t="s">
        <v>20</v>
      </c>
      <c r="F12178">
        <v>159409511</v>
      </c>
      <c r="G12178">
        <v>159409511</v>
      </c>
      <c r="H12178">
        <v>159409511</v>
      </c>
      <c r="I12178">
        <v>159409511</v>
      </c>
    </row>
    <row r="12179" spans="1:9" x14ac:dyDescent="0.2">
      <c r="A12179" s="1" t="str">
        <f>"OR10J3"</f>
        <v>OR10J3</v>
      </c>
      <c r="B12179" t="s">
        <v>948</v>
      </c>
      <c r="C12179" t="s">
        <v>19</v>
      </c>
      <c r="D12179" t="s">
        <v>11</v>
      </c>
      <c r="E12179" t="s">
        <v>20</v>
      </c>
      <c r="F12179">
        <v>159284448</v>
      </c>
      <c r="G12179">
        <v>159284448</v>
      </c>
      <c r="H12179">
        <v>159284448</v>
      </c>
      <c r="I12179">
        <v>159284448</v>
      </c>
    </row>
    <row r="12180" spans="1:9" x14ac:dyDescent="0.2">
      <c r="A12180" s="1" t="str">
        <f>"OR10J5"</f>
        <v>OR10J5</v>
      </c>
      <c r="B12180" t="s">
        <v>949</v>
      </c>
      <c r="C12180" t="s">
        <v>19</v>
      </c>
      <c r="D12180" t="s">
        <v>11</v>
      </c>
      <c r="E12180" t="s">
        <v>20</v>
      </c>
      <c r="F12180">
        <v>159505841</v>
      </c>
      <c r="G12180">
        <v>159505841</v>
      </c>
      <c r="H12180">
        <v>159505841</v>
      </c>
      <c r="I12180">
        <v>159505841</v>
      </c>
    </row>
    <row r="12181" spans="1:9" x14ac:dyDescent="0.2">
      <c r="A12181" s="1" t="str">
        <f>"OR10K1"</f>
        <v>OR10K1</v>
      </c>
      <c r="B12181" t="s">
        <v>950</v>
      </c>
      <c r="C12181" t="s">
        <v>19</v>
      </c>
      <c r="D12181" t="s">
        <v>17</v>
      </c>
      <c r="E12181" t="s">
        <v>20</v>
      </c>
      <c r="F12181">
        <v>158435271</v>
      </c>
      <c r="G12181">
        <v>158435271</v>
      </c>
      <c r="H12181">
        <v>158435271</v>
      </c>
      <c r="I12181">
        <v>158435271</v>
      </c>
    </row>
    <row r="12182" spans="1:9" x14ac:dyDescent="0.2">
      <c r="A12182" s="1" t="str">
        <f>"OR10K2"</f>
        <v>OR10K2</v>
      </c>
      <c r="B12182" t="s">
        <v>951</v>
      </c>
      <c r="C12182" t="s">
        <v>19</v>
      </c>
      <c r="D12182" t="s">
        <v>11</v>
      </c>
      <c r="E12182" t="s">
        <v>20</v>
      </c>
      <c r="F12182">
        <v>158390655</v>
      </c>
      <c r="G12182">
        <v>158390655</v>
      </c>
      <c r="H12182">
        <v>158390655</v>
      </c>
      <c r="I12182">
        <v>158390655</v>
      </c>
    </row>
    <row r="12183" spans="1:9" x14ac:dyDescent="0.2">
      <c r="A12183" s="1" t="str">
        <f>"OR10P1"</f>
        <v>OR10P1</v>
      </c>
      <c r="B12183" t="s">
        <v>952</v>
      </c>
      <c r="C12183" t="s">
        <v>16</v>
      </c>
      <c r="D12183" t="s">
        <v>17</v>
      </c>
      <c r="E12183" t="s">
        <v>20</v>
      </c>
      <c r="F12183">
        <v>56030643</v>
      </c>
      <c r="G12183">
        <v>56030643</v>
      </c>
      <c r="H12183">
        <v>56030643</v>
      </c>
      <c r="I12183">
        <v>56030643</v>
      </c>
    </row>
    <row r="12184" spans="1:9" x14ac:dyDescent="0.2">
      <c r="A12184" s="1" t="str">
        <f>"OR10Q1"</f>
        <v>OR10Q1</v>
      </c>
      <c r="B12184" t="s">
        <v>953</v>
      </c>
      <c r="C12184" t="s">
        <v>27</v>
      </c>
      <c r="D12184" t="s">
        <v>11</v>
      </c>
      <c r="E12184" t="s">
        <v>20</v>
      </c>
      <c r="F12184">
        <v>57996389</v>
      </c>
      <c r="G12184">
        <v>57996389</v>
      </c>
      <c r="H12184">
        <v>57996389</v>
      </c>
      <c r="I12184">
        <v>57996389</v>
      </c>
    </row>
    <row r="12185" spans="1:9" x14ac:dyDescent="0.2">
      <c r="A12185" s="1" t="str">
        <f>"OR10R2"</f>
        <v>OR10R2</v>
      </c>
      <c r="B12185" t="s">
        <v>954</v>
      </c>
      <c r="C12185" t="s">
        <v>19</v>
      </c>
      <c r="D12185" t="s">
        <v>17</v>
      </c>
      <c r="E12185" t="s">
        <v>20</v>
      </c>
      <c r="F12185">
        <v>158449667</v>
      </c>
      <c r="G12185">
        <v>158449667</v>
      </c>
      <c r="H12185">
        <v>158449667</v>
      </c>
      <c r="I12185">
        <v>158449667</v>
      </c>
    </row>
    <row r="12186" spans="1:9" x14ac:dyDescent="0.2">
      <c r="A12186" s="1" t="str">
        <f>"OR10S1"</f>
        <v>OR10S1</v>
      </c>
      <c r="B12186" t="s">
        <v>14</v>
      </c>
      <c r="C12186" t="s">
        <v>27</v>
      </c>
      <c r="D12186" t="s">
        <v>11</v>
      </c>
      <c r="E12186" t="s">
        <v>12</v>
      </c>
      <c r="F12186">
        <v>123848780</v>
      </c>
      <c r="G12186">
        <v>123848803</v>
      </c>
      <c r="H12186">
        <v>123848780</v>
      </c>
      <c r="I12186">
        <v>123848803</v>
      </c>
    </row>
    <row r="12187" spans="1:9" x14ac:dyDescent="0.2">
      <c r="A12187" s="1" t="str">
        <f>"OR10T2"</f>
        <v>OR10T2</v>
      </c>
      <c r="B12187" t="s">
        <v>955</v>
      </c>
      <c r="C12187" t="s">
        <v>19</v>
      </c>
      <c r="D12187" t="s">
        <v>11</v>
      </c>
      <c r="E12187" t="s">
        <v>20</v>
      </c>
      <c r="F12187">
        <v>158369255</v>
      </c>
      <c r="G12187">
        <v>158369255</v>
      </c>
      <c r="H12187">
        <v>158369255</v>
      </c>
      <c r="I12187">
        <v>158369255</v>
      </c>
    </row>
    <row r="12188" spans="1:9" x14ac:dyDescent="0.2">
      <c r="A12188" s="1" t="str">
        <f>"OR10V1"</f>
        <v>OR10V1</v>
      </c>
      <c r="B12188" t="s">
        <v>956</v>
      </c>
      <c r="C12188" t="s">
        <v>27</v>
      </c>
      <c r="D12188" t="s">
        <v>11</v>
      </c>
      <c r="E12188" t="s">
        <v>20</v>
      </c>
      <c r="F12188">
        <v>59481336</v>
      </c>
      <c r="G12188">
        <v>59481336</v>
      </c>
      <c r="H12188">
        <v>59481336</v>
      </c>
      <c r="I12188">
        <v>59481336</v>
      </c>
    </row>
    <row r="12189" spans="1:9" x14ac:dyDescent="0.2">
      <c r="A12189" s="1" t="str">
        <f>"OR10W1"</f>
        <v>OR10W1</v>
      </c>
      <c r="B12189" t="s">
        <v>957</v>
      </c>
      <c r="C12189" t="s">
        <v>27</v>
      </c>
      <c r="D12189" t="s">
        <v>11</v>
      </c>
      <c r="E12189" t="s">
        <v>20</v>
      </c>
      <c r="F12189">
        <v>58035731</v>
      </c>
      <c r="G12189">
        <v>58035731</v>
      </c>
      <c r="H12189">
        <v>58035731</v>
      </c>
      <c r="I12189">
        <v>58035731</v>
      </c>
    </row>
    <row r="12190" spans="1:9" x14ac:dyDescent="0.2">
      <c r="A12190" s="1" t="str">
        <f>"OR10X1"</f>
        <v>OR10X1</v>
      </c>
      <c r="B12190" t="s">
        <v>958</v>
      </c>
      <c r="C12190" t="s">
        <v>19</v>
      </c>
      <c r="D12190" t="s">
        <v>11</v>
      </c>
      <c r="E12190" t="s">
        <v>20</v>
      </c>
      <c r="F12190">
        <v>158549688</v>
      </c>
      <c r="G12190">
        <v>158549688</v>
      </c>
      <c r="H12190">
        <v>158549688</v>
      </c>
      <c r="I12190">
        <v>158549688</v>
      </c>
    </row>
    <row r="12191" spans="1:9" x14ac:dyDescent="0.2">
      <c r="A12191" s="1" t="str">
        <f>"OR10Z1"</f>
        <v>OR10Z1</v>
      </c>
      <c r="B12191" t="s">
        <v>959</v>
      </c>
      <c r="C12191" t="s">
        <v>19</v>
      </c>
      <c r="D12191" t="s">
        <v>17</v>
      </c>
      <c r="E12191" t="s">
        <v>20</v>
      </c>
      <c r="F12191">
        <v>158576228</v>
      </c>
      <c r="G12191">
        <v>158576228</v>
      </c>
      <c r="H12191">
        <v>158576228</v>
      </c>
      <c r="I12191">
        <v>158576228</v>
      </c>
    </row>
    <row r="12192" spans="1:9" x14ac:dyDescent="0.2">
      <c r="A12192" s="1" t="str">
        <f>"OR11A1"</f>
        <v>OR11A1</v>
      </c>
      <c r="B12192" t="s">
        <v>14</v>
      </c>
      <c r="C12192" t="s">
        <v>32</v>
      </c>
      <c r="D12192" t="s">
        <v>11</v>
      </c>
      <c r="E12192" t="s">
        <v>12</v>
      </c>
      <c r="F12192">
        <v>29424835</v>
      </c>
      <c r="G12192">
        <v>29424873</v>
      </c>
      <c r="H12192">
        <v>29424835</v>
      </c>
      <c r="I12192">
        <v>29424873</v>
      </c>
    </row>
    <row r="12193" spans="1:9" x14ac:dyDescent="0.2">
      <c r="A12193" s="1" t="str">
        <f>"OR11G2"</f>
        <v>OR11G2</v>
      </c>
      <c r="B12193" t="s">
        <v>960</v>
      </c>
      <c r="C12193" t="s">
        <v>41</v>
      </c>
      <c r="D12193" t="s">
        <v>17</v>
      </c>
      <c r="E12193" t="s">
        <v>20</v>
      </c>
      <c r="F12193">
        <v>20665494</v>
      </c>
      <c r="G12193">
        <v>20665494</v>
      </c>
      <c r="H12193">
        <v>20665494</v>
      </c>
      <c r="I12193">
        <v>20665494</v>
      </c>
    </row>
    <row r="12194" spans="1:9" x14ac:dyDescent="0.2">
      <c r="A12194" s="1" t="str">
        <f>"OR11H1"</f>
        <v>OR11H1</v>
      </c>
      <c r="B12194" t="s">
        <v>961</v>
      </c>
      <c r="C12194" t="s">
        <v>21</v>
      </c>
      <c r="D12194" t="s">
        <v>11</v>
      </c>
      <c r="E12194" t="s">
        <v>20</v>
      </c>
      <c r="F12194">
        <v>16449804</v>
      </c>
      <c r="G12194">
        <v>16449804</v>
      </c>
      <c r="H12194">
        <v>16449804</v>
      </c>
      <c r="I12194">
        <v>16449804</v>
      </c>
    </row>
    <row r="12195" spans="1:9" x14ac:dyDescent="0.2">
      <c r="A12195" s="1" t="str">
        <f>"OR11H12"</f>
        <v>OR11H12</v>
      </c>
      <c r="B12195" t="s">
        <v>962</v>
      </c>
      <c r="C12195" t="s">
        <v>41</v>
      </c>
      <c r="D12195" t="s">
        <v>17</v>
      </c>
      <c r="E12195" t="s">
        <v>20</v>
      </c>
      <c r="F12195">
        <v>19377521</v>
      </c>
      <c r="G12195">
        <v>19377521</v>
      </c>
      <c r="H12195">
        <v>19377521</v>
      </c>
      <c r="I12195">
        <v>19377521</v>
      </c>
    </row>
    <row r="12196" spans="1:9" x14ac:dyDescent="0.2">
      <c r="A12196" s="1" t="str">
        <f>"OR11H4"</f>
        <v>OR11H4</v>
      </c>
      <c r="B12196" t="s">
        <v>963</v>
      </c>
      <c r="C12196" t="s">
        <v>41</v>
      </c>
      <c r="D12196" t="s">
        <v>17</v>
      </c>
      <c r="E12196" t="s">
        <v>20</v>
      </c>
      <c r="F12196">
        <v>20710897</v>
      </c>
      <c r="G12196">
        <v>20710897</v>
      </c>
      <c r="H12196">
        <v>20710897</v>
      </c>
      <c r="I12196">
        <v>20710897</v>
      </c>
    </row>
    <row r="12197" spans="1:9" x14ac:dyDescent="0.2">
      <c r="A12197" s="1" t="str">
        <f>"OR11H6"</f>
        <v>OR11H6</v>
      </c>
      <c r="B12197" t="s">
        <v>964</v>
      </c>
      <c r="C12197" t="s">
        <v>41</v>
      </c>
      <c r="D12197" t="s">
        <v>17</v>
      </c>
      <c r="E12197" t="s">
        <v>20</v>
      </c>
      <c r="F12197">
        <v>20691790</v>
      </c>
      <c r="G12197">
        <v>20691790</v>
      </c>
      <c r="H12197">
        <v>20691790</v>
      </c>
      <c r="I12197">
        <v>20691790</v>
      </c>
    </row>
    <row r="12198" spans="1:9" x14ac:dyDescent="0.2">
      <c r="A12198" s="1" t="str">
        <f>"OR11L1"</f>
        <v>OR11L1</v>
      </c>
      <c r="B12198" t="s">
        <v>965</v>
      </c>
      <c r="C12198" t="s">
        <v>19</v>
      </c>
      <c r="D12198" t="s">
        <v>11</v>
      </c>
      <c r="E12198" t="s">
        <v>20</v>
      </c>
      <c r="F12198">
        <v>248005253</v>
      </c>
      <c r="G12198">
        <v>248005253</v>
      </c>
      <c r="H12198">
        <v>248005253</v>
      </c>
      <c r="I12198">
        <v>248005253</v>
      </c>
    </row>
    <row r="12199" spans="1:9" x14ac:dyDescent="0.2">
      <c r="A12199" s="1" t="str">
        <f>"OR12D2"</f>
        <v>OR12D2</v>
      </c>
      <c r="B12199" t="s">
        <v>966</v>
      </c>
      <c r="C12199" t="s">
        <v>32</v>
      </c>
      <c r="D12199" t="s">
        <v>17</v>
      </c>
      <c r="E12199" t="s">
        <v>20</v>
      </c>
      <c r="F12199">
        <v>29364415</v>
      </c>
      <c r="G12199">
        <v>29364415</v>
      </c>
      <c r="H12199">
        <v>29364415</v>
      </c>
      <c r="I12199">
        <v>29364415</v>
      </c>
    </row>
    <row r="12200" spans="1:9" x14ac:dyDescent="0.2">
      <c r="A12200" s="1" t="str">
        <f>"OR12D3"</f>
        <v>OR12D3</v>
      </c>
      <c r="B12200" t="s">
        <v>967</v>
      </c>
      <c r="C12200" t="s">
        <v>32</v>
      </c>
      <c r="D12200" t="s">
        <v>11</v>
      </c>
      <c r="E12200" t="s">
        <v>20</v>
      </c>
      <c r="F12200">
        <v>29343067</v>
      </c>
      <c r="G12200">
        <v>29343067</v>
      </c>
      <c r="H12200">
        <v>29343067</v>
      </c>
      <c r="I12200">
        <v>29343067</v>
      </c>
    </row>
    <row r="12201" spans="1:9" x14ac:dyDescent="0.2">
      <c r="A12201" s="1" t="str">
        <f>"OR13A1"</f>
        <v>OR13A1</v>
      </c>
      <c r="B12201" t="s">
        <v>968</v>
      </c>
      <c r="C12201" t="s">
        <v>15</v>
      </c>
      <c r="D12201" t="s">
        <v>11</v>
      </c>
      <c r="E12201" t="s">
        <v>20</v>
      </c>
      <c r="F12201">
        <v>45802906</v>
      </c>
      <c r="G12201">
        <v>45802906</v>
      </c>
      <c r="H12201">
        <v>45802906</v>
      </c>
      <c r="I12201">
        <v>45802906</v>
      </c>
    </row>
    <row r="12202" spans="1:9" x14ac:dyDescent="0.2">
      <c r="A12202" s="1" t="str">
        <f>"OR13A1"</f>
        <v>OR13A1</v>
      </c>
      <c r="B12202" t="s">
        <v>969</v>
      </c>
      <c r="C12202" t="s">
        <v>15</v>
      </c>
      <c r="D12202" t="s">
        <v>11</v>
      </c>
      <c r="E12202" t="s">
        <v>20</v>
      </c>
      <c r="F12202">
        <v>45803285</v>
      </c>
      <c r="G12202">
        <v>45803285</v>
      </c>
      <c r="H12202">
        <v>45803285</v>
      </c>
      <c r="I12202">
        <v>45803285</v>
      </c>
    </row>
    <row r="12203" spans="1:9" x14ac:dyDescent="0.2">
      <c r="A12203" s="1" t="str">
        <f>"OR13A1"</f>
        <v>OR13A1</v>
      </c>
      <c r="B12203" t="s">
        <v>970</v>
      </c>
      <c r="C12203" t="s">
        <v>15</v>
      </c>
      <c r="D12203" t="s">
        <v>11</v>
      </c>
      <c r="E12203" t="s">
        <v>20</v>
      </c>
      <c r="F12203">
        <v>45811055</v>
      </c>
      <c r="G12203">
        <v>45811055</v>
      </c>
      <c r="H12203">
        <v>45811055</v>
      </c>
      <c r="I12203">
        <v>45811055</v>
      </c>
    </row>
    <row r="12204" spans="1:9" x14ac:dyDescent="0.2">
      <c r="A12204" s="1" t="str">
        <f>"OR13C2"</f>
        <v>OR13C2</v>
      </c>
      <c r="B12204" t="s">
        <v>971</v>
      </c>
      <c r="C12204" t="s">
        <v>24</v>
      </c>
      <c r="D12204" t="s">
        <v>11</v>
      </c>
      <c r="E12204" t="s">
        <v>20</v>
      </c>
      <c r="F12204">
        <v>107367950</v>
      </c>
      <c r="G12204">
        <v>107367950</v>
      </c>
      <c r="H12204">
        <v>107367950</v>
      </c>
      <c r="I12204">
        <v>107367950</v>
      </c>
    </row>
    <row r="12205" spans="1:9" x14ac:dyDescent="0.2">
      <c r="A12205" s="1" t="str">
        <f>"OR13C3"</f>
        <v>OR13C3</v>
      </c>
      <c r="B12205" t="s">
        <v>972</v>
      </c>
      <c r="C12205" t="s">
        <v>24</v>
      </c>
      <c r="D12205" t="s">
        <v>11</v>
      </c>
      <c r="E12205" t="s">
        <v>20</v>
      </c>
      <c r="F12205">
        <v>107299136</v>
      </c>
      <c r="G12205">
        <v>107299136</v>
      </c>
      <c r="H12205">
        <v>107299136</v>
      </c>
      <c r="I12205">
        <v>107299136</v>
      </c>
    </row>
    <row r="12206" spans="1:9" x14ac:dyDescent="0.2">
      <c r="A12206" s="1" t="str">
        <f>"OR13C4"</f>
        <v>OR13C4</v>
      </c>
      <c r="B12206" t="s">
        <v>973</v>
      </c>
      <c r="C12206" t="s">
        <v>24</v>
      </c>
      <c r="D12206" t="s">
        <v>11</v>
      </c>
      <c r="E12206" t="s">
        <v>20</v>
      </c>
      <c r="F12206">
        <v>107289489</v>
      </c>
      <c r="G12206">
        <v>107289489</v>
      </c>
      <c r="H12206">
        <v>107289489</v>
      </c>
      <c r="I12206">
        <v>107289489</v>
      </c>
    </row>
    <row r="12207" spans="1:9" x14ac:dyDescent="0.2">
      <c r="A12207" s="1" t="str">
        <f>"OR13C5"</f>
        <v>OR13C5</v>
      </c>
      <c r="B12207" t="s">
        <v>974</v>
      </c>
      <c r="C12207" t="s">
        <v>24</v>
      </c>
      <c r="D12207" t="s">
        <v>11</v>
      </c>
      <c r="E12207" t="s">
        <v>20</v>
      </c>
      <c r="F12207">
        <v>107361787</v>
      </c>
      <c r="G12207">
        <v>107361787</v>
      </c>
      <c r="H12207">
        <v>107361787</v>
      </c>
      <c r="I12207">
        <v>107361787</v>
      </c>
    </row>
    <row r="12208" spans="1:9" x14ac:dyDescent="0.2">
      <c r="A12208" s="1" t="str">
        <f>"OR13C8"</f>
        <v>OR13C8</v>
      </c>
      <c r="B12208" t="s">
        <v>975</v>
      </c>
      <c r="C12208" t="s">
        <v>24</v>
      </c>
      <c r="D12208" t="s">
        <v>17</v>
      </c>
      <c r="E12208" t="s">
        <v>20</v>
      </c>
      <c r="F12208">
        <v>107331448</v>
      </c>
      <c r="G12208">
        <v>107331448</v>
      </c>
      <c r="H12208">
        <v>107331448</v>
      </c>
      <c r="I12208">
        <v>107331448</v>
      </c>
    </row>
    <row r="12209" spans="1:9" x14ac:dyDescent="0.2">
      <c r="A12209" s="1" t="str">
        <f>"OR13C9"</f>
        <v>OR13C9</v>
      </c>
      <c r="B12209" t="s">
        <v>976</v>
      </c>
      <c r="C12209" t="s">
        <v>24</v>
      </c>
      <c r="D12209" t="s">
        <v>11</v>
      </c>
      <c r="E12209" t="s">
        <v>20</v>
      </c>
      <c r="F12209">
        <v>107380484</v>
      </c>
      <c r="G12209">
        <v>107380484</v>
      </c>
      <c r="H12209">
        <v>107380484</v>
      </c>
      <c r="I12209">
        <v>107380484</v>
      </c>
    </row>
    <row r="12210" spans="1:9" x14ac:dyDescent="0.2">
      <c r="A12210" s="1" t="str">
        <f>"OR13D1"</f>
        <v>OR13D1</v>
      </c>
      <c r="B12210" t="s">
        <v>977</v>
      </c>
      <c r="C12210" t="s">
        <v>24</v>
      </c>
      <c r="D12210" t="s">
        <v>17</v>
      </c>
      <c r="E12210" t="s">
        <v>20</v>
      </c>
      <c r="F12210">
        <v>107456659</v>
      </c>
      <c r="G12210">
        <v>107456659</v>
      </c>
      <c r="H12210">
        <v>107456659</v>
      </c>
      <c r="I12210">
        <v>107456659</v>
      </c>
    </row>
    <row r="12211" spans="1:9" x14ac:dyDescent="0.2">
      <c r="A12211" s="1" t="str">
        <f>"OR13F1"</f>
        <v>OR13F1</v>
      </c>
      <c r="B12211" t="s">
        <v>978</v>
      </c>
      <c r="C12211" t="s">
        <v>24</v>
      </c>
      <c r="D12211" t="s">
        <v>17</v>
      </c>
      <c r="E12211" t="s">
        <v>20</v>
      </c>
      <c r="F12211">
        <v>107266454</v>
      </c>
      <c r="G12211">
        <v>107266454</v>
      </c>
      <c r="H12211">
        <v>107266454</v>
      </c>
      <c r="I12211">
        <v>107266454</v>
      </c>
    </row>
    <row r="12212" spans="1:9" x14ac:dyDescent="0.2">
      <c r="A12212" s="1" t="str">
        <f>"OR13G1"</f>
        <v>OR13G1</v>
      </c>
      <c r="B12212" t="s">
        <v>979</v>
      </c>
      <c r="C12212" t="s">
        <v>19</v>
      </c>
      <c r="D12212" t="s">
        <v>11</v>
      </c>
      <c r="E12212" t="s">
        <v>20</v>
      </c>
      <c r="F12212">
        <v>247836364</v>
      </c>
      <c r="G12212">
        <v>247836364</v>
      </c>
      <c r="H12212">
        <v>247836364</v>
      </c>
      <c r="I12212">
        <v>247836364</v>
      </c>
    </row>
    <row r="12213" spans="1:9" x14ac:dyDescent="0.2">
      <c r="A12213" s="1" t="str">
        <f>"OR13H1"</f>
        <v>OR13H1</v>
      </c>
      <c r="B12213" t="s">
        <v>980</v>
      </c>
      <c r="C12213" t="s">
        <v>37</v>
      </c>
      <c r="D12213" t="s">
        <v>17</v>
      </c>
      <c r="E12213" t="s">
        <v>20</v>
      </c>
      <c r="F12213">
        <v>130677949</v>
      </c>
      <c r="G12213">
        <v>130677949</v>
      </c>
      <c r="H12213">
        <v>130677949</v>
      </c>
      <c r="I12213">
        <v>130677949</v>
      </c>
    </row>
    <row r="12214" spans="1:9" x14ac:dyDescent="0.2">
      <c r="A12214" s="1" t="str">
        <f>"OR13J1"</f>
        <v>OR13J1</v>
      </c>
      <c r="B12214" t="s">
        <v>981</v>
      </c>
      <c r="C12214" t="s">
        <v>24</v>
      </c>
      <c r="D12214" t="s">
        <v>11</v>
      </c>
      <c r="E12214" t="s">
        <v>20</v>
      </c>
      <c r="F12214">
        <v>35870460</v>
      </c>
      <c r="G12214">
        <v>35870460</v>
      </c>
      <c r="H12214">
        <v>35870460</v>
      </c>
      <c r="I12214">
        <v>35870460</v>
      </c>
    </row>
    <row r="12215" spans="1:9" x14ac:dyDescent="0.2">
      <c r="A12215" s="1" t="str">
        <f>"OR14A16"</f>
        <v>OR14A16</v>
      </c>
      <c r="B12215" t="s">
        <v>982</v>
      </c>
      <c r="C12215" t="s">
        <v>19</v>
      </c>
      <c r="D12215" t="s">
        <v>11</v>
      </c>
      <c r="E12215" t="s">
        <v>20</v>
      </c>
      <c r="F12215">
        <v>247979030</v>
      </c>
      <c r="G12215">
        <v>247979030</v>
      </c>
      <c r="H12215">
        <v>247979030</v>
      </c>
      <c r="I12215">
        <v>247979030</v>
      </c>
    </row>
    <row r="12216" spans="1:9" x14ac:dyDescent="0.2">
      <c r="A12216" s="1" t="str">
        <f>"OR14C36"</f>
        <v>OR14C36</v>
      </c>
      <c r="B12216" t="s">
        <v>983</v>
      </c>
      <c r="C12216" t="s">
        <v>19</v>
      </c>
      <c r="D12216" t="s">
        <v>17</v>
      </c>
      <c r="E12216" t="s">
        <v>20</v>
      </c>
      <c r="F12216">
        <v>248512076</v>
      </c>
      <c r="G12216">
        <v>248512076</v>
      </c>
      <c r="H12216">
        <v>248512076</v>
      </c>
      <c r="I12216">
        <v>248512076</v>
      </c>
    </row>
    <row r="12217" spans="1:9" x14ac:dyDescent="0.2">
      <c r="A12217" s="1" t="str">
        <f>"OR14I1"</f>
        <v>OR14I1</v>
      </c>
      <c r="B12217" t="s">
        <v>984</v>
      </c>
      <c r="C12217" t="s">
        <v>19</v>
      </c>
      <c r="D12217" t="s">
        <v>11</v>
      </c>
      <c r="E12217" t="s">
        <v>20</v>
      </c>
      <c r="F12217">
        <v>248845628</v>
      </c>
      <c r="G12217">
        <v>248845628</v>
      </c>
      <c r="H12217">
        <v>248845628</v>
      </c>
      <c r="I12217">
        <v>248845628</v>
      </c>
    </row>
    <row r="12218" spans="1:9" x14ac:dyDescent="0.2">
      <c r="A12218" s="1" t="str">
        <f>"OR14J1"</f>
        <v>OR14J1</v>
      </c>
      <c r="B12218" t="s">
        <v>985</v>
      </c>
      <c r="C12218" t="s">
        <v>32</v>
      </c>
      <c r="D12218" t="s">
        <v>17</v>
      </c>
      <c r="E12218" t="s">
        <v>20</v>
      </c>
      <c r="F12218">
        <v>29274402</v>
      </c>
      <c r="G12218">
        <v>29274402</v>
      </c>
      <c r="H12218">
        <v>29274402</v>
      </c>
      <c r="I12218">
        <v>29274402</v>
      </c>
    </row>
    <row r="12219" spans="1:9" x14ac:dyDescent="0.2">
      <c r="A12219" s="1" t="str">
        <f>"OR1A1"</f>
        <v>OR1A1</v>
      </c>
      <c r="B12219" t="s">
        <v>986</v>
      </c>
      <c r="C12219" t="s">
        <v>28</v>
      </c>
      <c r="D12219" t="s">
        <v>17</v>
      </c>
      <c r="E12219" t="s">
        <v>20</v>
      </c>
      <c r="F12219">
        <v>3118914</v>
      </c>
      <c r="G12219">
        <v>3118914</v>
      </c>
      <c r="H12219">
        <v>3118914</v>
      </c>
      <c r="I12219">
        <v>3118914</v>
      </c>
    </row>
    <row r="12220" spans="1:9" x14ac:dyDescent="0.2">
      <c r="A12220" s="1" t="str">
        <f>"OR1A2"</f>
        <v>OR1A2</v>
      </c>
      <c r="B12220" t="s">
        <v>987</v>
      </c>
      <c r="C12220" t="s">
        <v>28</v>
      </c>
      <c r="D12220" t="s">
        <v>17</v>
      </c>
      <c r="E12220" t="s">
        <v>20</v>
      </c>
      <c r="F12220">
        <v>3100812</v>
      </c>
      <c r="G12220">
        <v>3100812</v>
      </c>
      <c r="H12220">
        <v>3100812</v>
      </c>
      <c r="I12220">
        <v>3100812</v>
      </c>
    </row>
    <row r="12221" spans="1:9" x14ac:dyDescent="0.2">
      <c r="A12221" s="1" t="str">
        <f>"OR1B1"</f>
        <v>OR1B1</v>
      </c>
      <c r="B12221" t="s">
        <v>988</v>
      </c>
      <c r="C12221" t="s">
        <v>24</v>
      </c>
      <c r="D12221" t="s">
        <v>11</v>
      </c>
      <c r="E12221" t="s">
        <v>20</v>
      </c>
      <c r="F12221">
        <v>125391851</v>
      </c>
      <c r="G12221">
        <v>125391851</v>
      </c>
      <c r="H12221">
        <v>125391851</v>
      </c>
      <c r="I12221">
        <v>125391851</v>
      </c>
    </row>
    <row r="12222" spans="1:9" x14ac:dyDescent="0.2">
      <c r="A12222" s="1" t="str">
        <f>"OR1C1"</f>
        <v>OR1C1</v>
      </c>
      <c r="B12222" t="s">
        <v>989</v>
      </c>
      <c r="C12222" t="s">
        <v>19</v>
      </c>
      <c r="D12222" t="s">
        <v>11</v>
      </c>
      <c r="E12222" t="s">
        <v>20</v>
      </c>
      <c r="F12222">
        <v>247921981</v>
      </c>
      <c r="G12222">
        <v>247921981</v>
      </c>
      <c r="H12222">
        <v>247921981</v>
      </c>
      <c r="I12222">
        <v>247921981</v>
      </c>
    </row>
    <row r="12223" spans="1:9" x14ac:dyDescent="0.2">
      <c r="A12223" s="1" t="str">
        <f>"OR1D2"</f>
        <v>OR1D2</v>
      </c>
      <c r="B12223" t="s">
        <v>990</v>
      </c>
      <c r="C12223" t="s">
        <v>28</v>
      </c>
      <c r="D12223" t="s">
        <v>11</v>
      </c>
      <c r="E12223" t="s">
        <v>20</v>
      </c>
      <c r="F12223">
        <v>2996289</v>
      </c>
      <c r="G12223">
        <v>2996289</v>
      </c>
      <c r="H12223">
        <v>2996289</v>
      </c>
      <c r="I12223">
        <v>2996289</v>
      </c>
    </row>
    <row r="12224" spans="1:9" x14ac:dyDescent="0.2">
      <c r="A12224" s="1" t="str">
        <f>"OR1D5"</f>
        <v>OR1D5</v>
      </c>
      <c r="B12224" t="s">
        <v>991</v>
      </c>
      <c r="C12224" t="s">
        <v>28</v>
      </c>
      <c r="D12224" t="s">
        <v>11</v>
      </c>
      <c r="E12224" t="s">
        <v>20</v>
      </c>
      <c r="F12224">
        <v>2966900</v>
      </c>
      <c r="G12224">
        <v>2966900</v>
      </c>
      <c r="H12224">
        <v>2966900</v>
      </c>
      <c r="I12224">
        <v>2966900</v>
      </c>
    </row>
    <row r="12225" spans="1:9" x14ac:dyDescent="0.2">
      <c r="A12225" s="1" t="str">
        <f>"OR1E1"</f>
        <v>OR1E1</v>
      </c>
      <c r="B12225" t="s">
        <v>992</v>
      </c>
      <c r="C12225" t="s">
        <v>28</v>
      </c>
      <c r="D12225" t="s">
        <v>11</v>
      </c>
      <c r="E12225" t="s">
        <v>20</v>
      </c>
      <c r="F12225">
        <v>3301703</v>
      </c>
      <c r="G12225">
        <v>3301703</v>
      </c>
      <c r="H12225">
        <v>3301703</v>
      </c>
      <c r="I12225">
        <v>3301703</v>
      </c>
    </row>
    <row r="12226" spans="1:9" x14ac:dyDescent="0.2">
      <c r="A12226" s="1" t="str">
        <f>"OR1E2"</f>
        <v>OR1E2</v>
      </c>
      <c r="B12226" t="s">
        <v>993</v>
      </c>
      <c r="C12226" t="s">
        <v>28</v>
      </c>
      <c r="D12226" t="s">
        <v>11</v>
      </c>
      <c r="E12226" t="s">
        <v>20</v>
      </c>
      <c r="F12226">
        <v>3337134</v>
      </c>
      <c r="G12226">
        <v>3337134</v>
      </c>
      <c r="H12226">
        <v>3337134</v>
      </c>
      <c r="I12226">
        <v>3337134</v>
      </c>
    </row>
    <row r="12227" spans="1:9" x14ac:dyDescent="0.2">
      <c r="A12227" s="1" t="str">
        <f>"OR1F1"</f>
        <v>OR1F1</v>
      </c>
      <c r="B12227" t="s">
        <v>994</v>
      </c>
      <c r="C12227" t="s">
        <v>31</v>
      </c>
      <c r="D12227" t="s">
        <v>17</v>
      </c>
      <c r="E12227" t="s">
        <v>20</v>
      </c>
      <c r="F12227">
        <v>3254246</v>
      </c>
      <c r="G12227">
        <v>3254246</v>
      </c>
      <c r="H12227">
        <v>3254246</v>
      </c>
      <c r="I12227">
        <v>3254246</v>
      </c>
    </row>
    <row r="12228" spans="1:9" x14ac:dyDescent="0.2">
      <c r="A12228" s="1" t="str">
        <f>"OR1G1"</f>
        <v>OR1G1</v>
      </c>
      <c r="B12228" t="s">
        <v>995</v>
      </c>
      <c r="C12228" t="s">
        <v>28</v>
      </c>
      <c r="D12228" t="s">
        <v>11</v>
      </c>
      <c r="E12228" t="s">
        <v>20</v>
      </c>
      <c r="F12228">
        <v>3030874</v>
      </c>
      <c r="G12228">
        <v>3030874</v>
      </c>
      <c r="H12228">
        <v>3030874</v>
      </c>
      <c r="I12228">
        <v>3030874</v>
      </c>
    </row>
    <row r="12229" spans="1:9" x14ac:dyDescent="0.2">
      <c r="A12229" s="1" t="str">
        <f>"OR1I1"</f>
        <v>OR1I1</v>
      </c>
      <c r="B12229" t="s">
        <v>996</v>
      </c>
      <c r="C12229" t="s">
        <v>10</v>
      </c>
      <c r="D12229" t="s">
        <v>17</v>
      </c>
      <c r="E12229" t="s">
        <v>20</v>
      </c>
      <c r="F12229">
        <v>15197790</v>
      </c>
      <c r="G12229">
        <v>15197790</v>
      </c>
      <c r="H12229">
        <v>15197790</v>
      </c>
      <c r="I12229">
        <v>15197790</v>
      </c>
    </row>
    <row r="12230" spans="1:9" x14ac:dyDescent="0.2">
      <c r="A12230" s="1" t="str">
        <f>"OR1J1"</f>
        <v>OR1J1</v>
      </c>
      <c r="B12230" t="s">
        <v>997</v>
      </c>
      <c r="C12230" t="s">
        <v>24</v>
      </c>
      <c r="D12230" t="s">
        <v>11</v>
      </c>
      <c r="E12230" t="s">
        <v>20</v>
      </c>
      <c r="F12230">
        <v>125240234</v>
      </c>
      <c r="G12230">
        <v>125240234</v>
      </c>
      <c r="H12230">
        <v>125240234</v>
      </c>
      <c r="I12230">
        <v>125240234</v>
      </c>
    </row>
    <row r="12231" spans="1:9" x14ac:dyDescent="0.2">
      <c r="A12231" s="1" t="str">
        <f>"OR1J2"</f>
        <v>OR1J2</v>
      </c>
      <c r="B12231" t="s">
        <v>998</v>
      </c>
      <c r="C12231" t="s">
        <v>24</v>
      </c>
      <c r="D12231" t="s">
        <v>17</v>
      </c>
      <c r="E12231" t="s">
        <v>20</v>
      </c>
      <c r="F12231">
        <v>125273080</v>
      </c>
      <c r="G12231">
        <v>125273080</v>
      </c>
      <c r="H12231">
        <v>125273080</v>
      </c>
      <c r="I12231">
        <v>125273080</v>
      </c>
    </row>
    <row r="12232" spans="1:9" x14ac:dyDescent="0.2">
      <c r="A12232" s="1" t="str">
        <f>"OR1J4"</f>
        <v>OR1J4</v>
      </c>
      <c r="B12232" t="s">
        <v>999</v>
      </c>
      <c r="C12232" t="s">
        <v>24</v>
      </c>
      <c r="D12232" t="s">
        <v>17</v>
      </c>
      <c r="E12232" t="s">
        <v>20</v>
      </c>
      <c r="F12232">
        <v>125281419</v>
      </c>
      <c r="G12232">
        <v>125281419</v>
      </c>
      <c r="H12232">
        <v>125281419</v>
      </c>
      <c r="I12232">
        <v>125281419</v>
      </c>
    </row>
    <row r="12233" spans="1:9" x14ac:dyDescent="0.2">
      <c r="A12233" s="1" t="str">
        <f>"OR1K1"</f>
        <v>OR1K1</v>
      </c>
      <c r="B12233" t="s">
        <v>1000</v>
      </c>
      <c r="C12233" t="s">
        <v>24</v>
      </c>
      <c r="D12233" t="s">
        <v>17</v>
      </c>
      <c r="E12233" t="s">
        <v>20</v>
      </c>
      <c r="F12233">
        <v>125562369</v>
      </c>
      <c r="G12233">
        <v>125562369</v>
      </c>
      <c r="H12233">
        <v>125562369</v>
      </c>
      <c r="I12233">
        <v>125562369</v>
      </c>
    </row>
    <row r="12234" spans="1:9" x14ac:dyDescent="0.2">
      <c r="A12234" s="1" t="str">
        <f>"OR1L1"</f>
        <v>OR1L1</v>
      </c>
      <c r="B12234" t="s">
        <v>1001</v>
      </c>
      <c r="C12234" t="s">
        <v>24</v>
      </c>
      <c r="D12234" t="s">
        <v>17</v>
      </c>
      <c r="E12234" t="s">
        <v>20</v>
      </c>
      <c r="F12234">
        <v>125423994</v>
      </c>
      <c r="G12234">
        <v>125423994</v>
      </c>
      <c r="H12234">
        <v>125423994</v>
      </c>
      <c r="I12234">
        <v>125423994</v>
      </c>
    </row>
    <row r="12235" spans="1:9" x14ac:dyDescent="0.2">
      <c r="A12235" s="1" t="str">
        <f>"OR1L3"</f>
        <v>OR1L3</v>
      </c>
      <c r="B12235" t="s">
        <v>1002</v>
      </c>
      <c r="C12235" t="s">
        <v>24</v>
      </c>
      <c r="D12235" t="s">
        <v>17</v>
      </c>
      <c r="E12235" t="s">
        <v>20</v>
      </c>
      <c r="F12235">
        <v>125437314</v>
      </c>
      <c r="G12235">
        <v>125437314</v>
      </c>
      <c r="H12235">
        <v>125437314</v>
      </c>
      <c r="I12235">
        <v>125437314</v>
      </c>
    </row>
    <row r="12236" spans="1:9" x14ac:dyDescent="0.2">
      <c r="A12236" s="1" t="str">
        <f>"OR1L4"</f>
        <v>OR1L4</v>
      </c>
      <c r="B12236" t="s">
        <v>1003</v>
      </c>
      <c r="C12236" t="s">
        <v>24</v>
      </c>
      <c r="D12236" t="s">
        <v>17</v>
      </c>
      <c r="E12236" t="s">
        <v>20</v>
      </c>
      <c r="F12236">
        <v>125486268</v>
      </c>
      <c r="G12236">
        <v>125486268</v>
      </c>
      <c r="H12236">
        <v>125486268</v>
      </c>
      <c r="I12236">
        <v>125486268</v>
      </c>
    </row>
    <row r="12237" spans="1:9" x14ac:dyDescent="0.2">
      <c r="A12237" s="1" t="str">
        <f>"OR1L6"</f>
        <v>OR1L6</v>
      </c>
      <c r="B12237" t="s">
        <v>1004</v>
      </c>
      <c r="C12237" t="s">
        <v>24</v>
      </c>
      <c r="D12237" t="s">
        <v>17</v>
      </c>
      <c r="E12237" t="s">
        <v>20</v>
      </c>
      <c r="F12237">
        <v>125512126</v>
      </c>
      <c r="G12237">
        <v>125512126</v>
      </c>
      <c r="H12237">
        <v>125512126</v>
      </c>
      <c r="I12237">
        <v>125512126</v>
      </c>
    </row>
    <row r="12238" spans="1:9" x14ac:dyDescent="0.2">
      <c r="A12238" s="1" t="str">
        <f>"OR1L8"</f>
        <v>OR1L8</v>
      </c>
      <c r="B12238" t="s">
        <v>1005</v>
      </c>
      <c r="C12238" t="s">
        <v>24</v>
      </c>
      <c r="D12238" t="s">
        <v>11</v>
      </c>
      <c r="E12238" t="s">
        <v>20</v>
      </c>
      <c r="F12238">
        <v>125330837</v>
      </c>
      <c r="G12238">
        <v>125330837</v>
      </c>
      <c r="H12238">
        <v>125330837</v>
      </c>
      <c r="I12238">
        <v>125330837</v>
      </c>
    </row>
    <row r="12239" spans="1:9" x14ac:dyDescent="0.2">
      <c r="A12239" s="1" t="str">
        <f>"OR1M1"</f>
        <v>OR1M1</v>
      </c>
      <c r="B12239" t="s">
        <v>1006</v>
      </c>
      <c r="C12239" t="s">
        <v>10</v>
      </c>
      <c r="D12239" t="s">
        <v>17</v>
      </c>
      <c r="E12239" t="s">
        <v>20</v>
      </c>
      <c r="F12239">
        <v>9203854</v>
      </c>
      <c r="G12239">
        <v>9203854</v>
      </c>
      <c r="H12239">
        <v>9203854</v>
      </c>
      <c r="I12239">
        <v>9203854</v>
      </c>
    </row>
    <row r="12240" spans="1:9" x14ac:dyDescent="0.2">
      <c r="A12240" s="1" t="str">
        <f>"OR1N1"</f>
        <v>OR1N1</v>
      </c>
      <c r="B12240" t="s">
        <v>1007</v>
      </c>
      <c r="C12240" t="s">
        <v>24</v>
      </c>
      <c r="D12240" t="s">
        <v>11</v>
      </c>
      <c r="E12240" t="s">
        <v>20</v>
      </c>
      <c r="F12240">
        <v>125289571</v>
      </c>
      <c r="G12240">
        <v>125289571</v>
      </c>
      <c r="H12240">
        <v>125289571</v>
      </c>
      <c r="I12240">
        <v>125289571</v>
      </c>
    </row>
    <row r="12241" spans="1:9" x14ac:dyDescent="0.2">
      <c r="A12241" s="1" t="str">
        <f>"OR1N2"</f>
        <v>OR1N2</v>
      </c>
      <c r="B12241" t="s">
        <v>1008</v>
      </c>
      <c r="C12241" t="s">
        <v>24</v>
      </c>
      <c r="D12241" t="s">
        <v>17</v>
      </c>
      <c r="E12241" t="s">
        <v>20</v>
      </c>
      <c r="F12241">
        <v>125315390</v>
      </c>
      <c r="G12241">
        <v>125315390</v>
      </c>
      <c r="H12241">
        <v>125315390</v>
      </c>
      <c r="I12241">
        <v>125315390</v>
      </c>
    </row>
    <row r="12242" spans="1:9" x14ac:dyDescent="0.2">
      <c r="A12242" s="1" t="str">
        <f>"OR1Q1"</f>
        <v>OR1Q1</v>
      </c>
      <c r="B12242" t="s">
        <v>1009</v>
      </c>
      <c r="C12242" t="s">
        <v>24</v>
      </c>
      <c r="D12242" t="s">
        <v>17</v>
      </c>
      <c r="E12242" t="s">
        <v>20</v>
      </c>
      <c r="F12242">
        <v>125376947</v>
      </c>
      <c r="G12242">
        <v>125376947</v>
      </c>
      <c r="H12242">
        <v>125376947</v>
      </c>
      <c r="I12242">
        <v>125376947</v>
      </c>
    </row>
    <row r="12243" spans="1:9" x14ac:dyDescent="0.2">
      <c r="A12243" s="1" t="str">
        <f>"OR1S1"</f>
        <v>OR1S1</v>
      </c>
      <c r="B12243" t="s">
        <v>1010</v>
      </c>
      <c r="C12243" t="s">
        <v>27</v>
      </c>
      <c r="D12243" t="s">
        <v>17</v>
      </c>
      <c r="E12243" t="s">
        <v>20</v>
      </c>
      <c r="F12243">
        <v>57982216</v>
      </c>
      <c r="G12243">
        <v>57982216</v>
      </c>
      <c r="H12243">
        <v>57982216</v>
      </c>
      <c r="I12243">
        <v>57982216</v>
      </c>
    </row>
    <row r="12244" spans="1:9" x14ac:dyDescent="0.2">
      <c r="A12244" s="1" t="str">
        <f>"OR1S2"</f>
        <v>OR1S2</v>
      </c>
      <c r="B12244" t="s">
        <v>1011</v>
      </c>
      <c r="C12244" t="s">
        <v>27</v>
      </c>
      <c r="D12244" t="s">
        <v>11</v>
      </c>
      <c r="E12244" t="s">
        <v>20</v>
      </c>
      <c r="F12244">
        <v>57971652</v>
      </c>
      <c r="G12244">
        <v>57971652</v>
      </c>
      <c r="H12244">
        <v>57971652</v>
      </c>
      <c r="I12244">
        <v>57971652</v>
      </c>
    </row>
    <row r="12245" spans="1:9" x14ac:dyDescent="0.2">
      <c r="A12245" s="1" t="str">
        <f>"OR2A1"</f>
        <v>OR2A1</v>
      </c>
      <c r="B12245" t="s">
        <v>1012</v>
      </c>
      <c r="C12245" t="s">
        <v>33</v>
      </c>
      <c r="D12245" t="s">
        <v>17</v>
      </c>
      <c r="E12245" t="s">
        <v>20</v>
      </c>
      <c r="F12245">
        <v>144015217</v>
      </c>
      <c r="G12245">
        <v>144015217</v>
      </c>
      <c r="H12245">
        <v>144015217</v>
      </c>
      <c r="I12245">
        <v>144015217</v>
      </c>
    </row>
    <row r="12246" spans="1:9" x14ac:dyDescent="0.2">
      <c r="A12246" s="1" t="str">
        <f>"OR2A12"</f>
        <v>OR2A12</v>
      </c>
      <c r="B12246" t="s">
        <v>1013</v>
      </c>
      <c r="C12246" t="s">
        <v>33</v>
      </c>
      <c r="D12246" t="s">
        <v>17</v>
      </c>
      <c r="E12246" t="s">
        <v>20</v>
      </c>
      <c r="F12246">
        <v>143792140</v>
      </c>
      <c r="G12246">
        <v>143792140</v>
      </c>
      <c r="H12246">
        <v>143792140</v>
      </c>
      <c r="I12246">
        <v>143792140</v>
      </c>
    </row>
    <row r="12247" spans="1:9" x14ac:dyDescent="0.2">
      <c r="A12247" s="1" t="str">
        <f>"OR2A14"</f>
        <v>OR2A14</v>
      </c>
      <c r="B12247" t="s">
        <v>1014</v>
      </c>
      <c r="C12247" t="s">
        <v>33</v>
      </c>
      <c r="D12247" t="s">
        <v>17</v>
      </c>
      <c r="E12247" t="s">
        <v>20</v>
      </c>
      <c r="F12247">
        <v>143826150</v>
      </c>
      <c r="G12247">
        <v>143826150</v>
      </c>
      <c r="H12247">
        <v>143826150</v>
      </c>
      <c r="I12247">
        <v>143826150</v>
      </c>
    </row>
    <row r="12248" spans="1:9" x14ac:dyDescent="0.2">
      <c r="A12248" s="1" t="str">
        <f>"OR2A2"</f>
        <v>OR2A2</v>
      </c>
      <c r="B12248" t="s">
        <v>1015</v>
      </c>
      <c r="C12248" t="s">
        <v>33</v>
      </c>
      <c r="D12248" t="s">
        <v>17</v>
      </c>
      <c r="E12248" t="s">
        <v>20</v>
      </c>
      <c r="F12248">
        <v>143806606</v>
      </c>
      <c r="G12248">
        <v>143806606</v>
      </c>
      <c r="H12248">
        <v>143806606</v>
      </c>
      <c r="I12248">
        <v>143806606</v>
      </c>
    </row>
    <row r="12249" spans="1:9" x14ac:dyDescent="0.2">
      <c r="A12249" s="1" t="str">
        <f>"OR2A25"</f>
        <v>OR2A25</v>
      </c>
      <c r="B12249" t="s">
        <v>1016</v>
      </c>
      <c r="C12249" t="s">
        <v>33</v>
      </c>
      <c r="D12249" t="s">
        <v>17</v>
      </c>
      <c r="E12249" t="s">
        <v>20</v>
      </c>
      <c r="F12249">
        <v>143771274</v>
      </c>
      <c r="G12249">
        <v>143771274</v>
      </c>
      <c r="H12249">
        <v>143771274</v>
      </c>
      <c r="I12249">
        <v>143771274</v>
      </c>
    </row>
    <row r="12250" spans="1:9" x14ac:dyDescent="0.2">
      <c r="A12250" s="1" t="str">
        <f>"OR2A4"</f>
        <v>OR2A4</v>
      </c>
      <c r="B12250" t="s">
        <v>1017</v>
      </c>
      <c r="C12250" t="s">
        <v>32</v>
      </c>
      <c r="D12250" t="s">
        <v>11</v>
      </c>
      <c r="E12250" t="s">
        <v>20</v>
      </c>
      <c r="F12250">
        <v>132022634</v>
      </c>
      <c r="G12250">
        <v>132022634</v>
      </c>
      <c r="H12250">
        <v>132022634</v>
      </c>
      <c r="I12250">
        <v>132022634</v>
      </c>
    </row>
    <row r="12251" spans="1:9" x14ac:dyDescent="0.2">
      <c r="A12251" s="1" t="str">
        <f>"OR2A42"</f>
        <v>OR2A42</v>
      </c>
      <c r="B12251" t="s">
        <v>1018</v>
      </c>
      <c r="C12251" t="s">
        <v>33</v>
      </c>
      <c r="D12251" t="s">
        <v>11</v>
      </c>
      <c r="E12251" t="s">
        <v>20</v>
      </c>
      <c r="F12251">
        <v>143929935</v>
      </c>
      <c r="G12251">
        <v>143929935</v>
      </c>
      <c r="H12251">
        <v>143929935</v>
      </c>
      <c r="I12251">
        <v>143929935</v>
      </c>
    </row>
    <row r="12252" spans="1:9" x14ac:dyDescent="0.2">
      <c r="A12252" s="1" t="str">
        <f>"OR2A5"</f>
        <v>OR2A5</v>
      </c>
      <c r="B12252" t="s">
        <v>1019</v>
      </c>
      <c r="C12252" t="s">
        <v>33</v>
      </c>
      <c r="D12252" t="s">
        <v>17</v>
      </c>
      <c r="E12252" t="s">
        <v>20</v>
      </c>
      <c r="F12252">
        <v>143747460</v>
      </c>
      <c r="G12252">
        <v>143747460</v>
      </c>
      <c r="H12252">
        <v>143747460</v>
      </c>
      <c r="I12252">
        <v>143747460</v>
      </c>
    </row>
    <row r="12253" spans="1:9" x14ac:dyDescent="0.2">
      <c r="A12253" s="1" t="str">
        <f>"OR2A7"</f>
        <v>OR2A7</v>
      </c>
      <c r="B12253" t="s">
        <v>1020</v>
      </c>
      <c r="C12253" t="s">
        <v>33</v>
      </c>
      <c r="D12253" t="s">
        <v>11</v>
      </c>
      <c r="E12253" t="s">
        <v>20</v>
      </c>
      <c r="F12253">
        <v>143956814</v>
      </c>
      <c r="G12253">
        <v>143956814</v>
      </c>
      <c r="H12253">
        <v>143956814</v>
      </c>
      <c r="I12253">
        <v>143956814</v>
      </c>
    </row>
    <row r="12254" spans="1:9" x14ac:dyDescent="0.2">
      <c r="A12254" s="1" t="str">
        <f>"OR2AE1"</f>
        <v>OR2AE1</v>
      </c>
      <c r="B12254" t="s">
        <v>1021</v>
      </c>
      <c r="C12254" t="s">
        <v>33</v>
      </c>
      <c r="D12254" t="s">
        <v>11</v>
      </c>
      <c r="E12254" t="s">
        <v>20</v>
      </c>
      <c r="F12254">
        <v>99474679</v>
      </c>
      <c r="G12254">
        <v>99474679</v>
      </c>
      <c r="H12254">
        <v>99474679</v>
      </c>
      <c r="I12254">
        <v>99474679</v>
      </c>
    </row>
    <row r="12255" spans="1:9" x14ac:dyDescent="0.2">
      <c r="A12255" s="1" t="str">
        <f>"OR2AG1"</f>
        <v>OR2AG1</v>
      </c>
      <c r="B12255" t="s">
        <v>1022</v>
      </c>
      <c r="C12255" t="s">
        <v>27</v>
      </c>
      <c r="D12255" t="s">
        <v>17</v>
      </c>
      <c r="E12255" t="s">
        <v>20</v>
      </c>
      <c r="F12255">
        <v>6806247</v>
      </c>
      <c r="G12255">
        <v>6806247</v>
      </c>
      <c r="H12255">
        <v>6806247</v>
      </c>
      <c r="I12255">
        <v>6806247</v>
      </c>
    </row>
    <row r="12256" spans="1:9" x14ac:dyDescent="0.2">
      <c r="A12256" s="1" t="str">
        <f>"OR2AG2"</f>
        <v>OR2AG2</v>
      </c>
      <c r="B12256" t="s">
        <v>1023</v>
      </c>
      <c r="C12256" t="s">
        <v>27</v>
      </c>
      <c r="D12256" t="s">
        <v>11</v>
      </c>
      <c r="E12256" t="s">
        <v>20</v>
      </c>
      <c r="F12256">
        <v>6790285</v>
      </c>
      <c r="G12256">
        <v>6790285</v>
      </c>
      <c r="H12256">
        <v>6790285</v>
      </c>
      <c r="I12256">
        <v>6790285</v>
      </c>
    </row>
    <row r="12257" spans="1:9" x14ac:dyDescent="0.2">
      <c r="A12257" s="1" t="str">
        <f>"OR2AK2"</f>
        <v>OR2AK2</v>
      </c>
      <c r="B12257" t="s">
        <v>1024</v>
      </c>
      <c r="C12257" t="s">
        <v>19</v>
      </c>
      <c r="D12257" t="s">
        <v>17</v>
      </c>
      <c r="E12257" t="s">
        <v>20</v>
      </c>
      <c r="F12257">
        <v>248128534</v>
      </c>
      <c r="G12257">
        <v>248128534</v>
      </c>
      <c r="H12257">
        <v>248128534</v>
      </c>
      <c r="I12257">
        <v>248128534</v>
      </c>
    </row>
    <row r="12258" spans="1:9" x14ac:dyDescent="0.2">
      <c r="A12258" s="1" t="str">
        <f>"OR2AP1"</f>
        <v>OR2AP1</v>
      </c>
      <c r="B12258" t="s">
        <v>1025</v>
      </c>
      <c r="C12258" t="s">
        <v>16</v>
      </c>
      <c r="D12258" t="s">
        <v>17</v>
      </c>
      <c r="E12258" t="s">
        <v>20</v>
      </c>
      <c r="F12258">
        <v>55968198</v>
      </c>
      <c r="G12258">
        <v>55968198</v>
      </c>
      <c r="H12258">
        <v>55968198</v>
      </c>
      <c r="I12258">
        <v>55968198</v>
      </c>
    </row>
    <row r="12259" spans="1:9" x14ac:dyDescent="0.2">
      <c r="A12259" s="1" t="str">
        <f>"OR2AT4"</f>
        <v>OR2AT4</v>
      </c>
      <c r="B12259" t="s">
        <v>1026</v>
      </c>
      <c r="C12259" t="s">
        <v>27</v>
      </c>
      <c r="D12259" t="s">
        <v>11</v>
      </c>
      <c r="E12259" t="s">
        <v>20</v>
      </c>
      <c r="F12259">
        <v>74800798</v>
      </c>
      <c r="G12259">
        <v>74800798</v>
      </c>
      <c r="H12259">
        <v>74800798</v>
      </c>
      <c r="I12259">
        <v>74800798</v>
      </c>
    </row>
    <row r="12260" spans="1:9" x14ac:dyDescent="0.2">
      <c r="A12260" s="1" t="str">
        <f>"OR2B11"</f>
        <v>OR2B11</v>
      </c>
      <c r="B12260" t="s">
        <v>1027</v>
      </c>
      <c r="C12260" t="s">
        <v>19</v>
      </c>
      <c r="D12260" t="s">
        <v>11</v>
      </c>
      <c r="E12260" t="s">
        <v>20</v>
      </c>
      <c r="F12260">
        <v>247615307</v>
      </c>
      <c r="G12260">
        <v>247615307</v>
      </c>
      <c r="H12260">
        <v>247615307</v>
      </c>
      <c r="I12260">
        <v>247615307</v>
      </c>
    </row>
    <row r="12261" spans="1:9" x14ac:dyDescent="0.2">
      <c r="A12261" s="1" t="str">
        <f>"OR2B2"</f>
        <v>OR2B2</v>
      </c>
      <c r="B12261" t="s">
        <v>1028</v>
      </c>
      <c r="C12261" t="s">
        <v>32</v>
      </c>
      <c r="D12261" t="s">
        <v>11</v>
      </c>
      <c r="E12261" t="s">
        <v>20</v>
      </c>
      <c r="F12261">
        <v>27880173</v>
      </c>
      <c r="G12261">
        <v>27880173</v>
      </c>
      <c r="H12261">
        <v>27880173</v>
      </c>
      <c r="I12261">
        <v>27880173</v>
      </c>
    </row>
    <row r="12262" spans="1:9" x14ac:dyDescent="0.2">
      <c r="A12262" s="1" t="str">
        <f>"OR2B3"</f>
        <v>OR2B3</v>
      </c>
      <c r="B12262" t="s">
        <v>1029</v>
      </c>
      <c r="C12262" t="s">
        <v>32</v>
      </c>
      <c r="D12262" t="s">
        <v>11</v>
      </c>
      <c r="E12262" t="s">
        <v>20</v>
      </c>
      <c r="F12262">
        <v>29055089</v>
      </c>
      <c r="G12262">
        <v>29055089</v>
      </c>
      <c r="H12262">
        <v>29055089</v>
      </c>
      <c r="I12262">
        <v>29055089</v>
      </c>
    </row>
    <row r="12263" spans="1:9" x14ac:dyDescent="0.2">
      <c r="A12263" s="1" t="str">
        <f>"OR2B6"</f>
        <v>OR2B6</v>
      </c>
      <c r="B12263" t="s">
        <v>1030</v>
      </c>
      <c r="C12263" t="s">
        <v>32</v>
      </c>
      <c r="D12263" t="s">
        <v>17</v>
      </c>
      <c r="E12263" t="s">
        <v>20</v>
      </c>
      <c r="F12263">
        <v>27925018</v>
      </c>
      <c r="G12263">
        <v>27925018</v>
      </c>
      <c r="H12263">
        <v>27925018</v>
      </c>
      <c r="I12263">
        <v>27925018</v>
      </c>
    </row>
    <row r="12264" spans="1:9" x14ac:dyDescent="0.2">
      <c r="A12264" s="1" t="str">
        <f>"OR2C1"</f>
        <v>OR2C1</v>
      </c>
      <c r="B12264" t="s">
        <v>1031</v>
      </c>
      <c r="C12264" t="s">
        <v>31</v>
      </c>
      <c r="D12264" t="s">
        <v>17</v>
      </c>
      <c r="E12264" t="s">
        <v>20</v>
      </c>
      <c r="F12264">
        <v>3405888</v>
      </c>
      <c r="G12264">
        <v>3405888</v>
      </c>
      <c r="H12264">
        <v>3405888</v>
      </c>
      <c r="I12264">
        <v>3405888</v>
      </c>
    </row>
    <row r="12265" spans="1:9" x14ac:dyDescent="0.2">
      <c r="A12265" s="1" t="str">
        <f>"OR2C3"</f>
        <v>OR2C3</v>
      </c>
      <c r="B12265" t="s">
        <v>1032</v>
      </c>
      <c r="C12265" t="s">
        <v>19</v>
      </c>
      <c r="D12265" t="s">
        <v>11</v>
      </c>
      <c r="E12265" t="s">
        <v>20</v>
      </c>
      <c r="F12265">
        <v>247697140</v>
      </c>
      <c r="G12265">
        <v>247697140</v>
      </c>
      <c r="H12265">
        <v>247697140</v>
      </c>
      <c r="I12265">
        <v>247697140</v>
      </c>
    </row>
    <row r="12266" spans="1:9" x14ac:dyDescent="0.2">
      <c r="A12266" s="1" t="str">
        <f>"OR2D2"</f>
        <v>OR2D2</v>
      </c>
      <c r="B12266" t="s">
        <v>1033</v>
      </c>
      <c r="C12266" t="s">
        <v>27</v>
      </c>
      <c r="D12266" t="s">
        <v>11</v>
      </c>
      <c r="E12266" t="s">
        <v>20</v>
      </c>
      <c r="F12266">
        <v>6913829</v>
      </c>
      <c r="G12266">
        <v>6913829</v>
      </c>
      <c r="H12266">
        <v>6913829</v>
      </c>
      <c r="I12266">
        <v>6913829</v>
      </c>
    </row>
    <row r="12267" spans="1:9" x14ac:dyDescent="0.2">
      <c r="A12267" s="1" t="str">
        <f>"OR2D3"</f>
        <v>OR2D3</v>
      </c>
      <c r="B12267" t="s">
        <v>1034</v>
      </c>
      <c r="C12267" t="s">
        <v>27</v>
      </c>
      <c r="D12267" t="s">
        <v>17</v>
      </c>
      <c r="E12267" t="s">
        <v>20</v>
      </c>
      <c r="F12267">
        <v>6942204</v>
      </c>
      <c r="G12267">
        <v>6942204</v>
      </c>
      <c r="H12267">
        <v>6942204</v>
      </c>
      <c r="I12267">
        <v>6942204</v>
      </c>
    </row>
    <row r="12268" spans="1:9" x14ac:dyDescent="0.2">
      <c r="A12268" s="1" t="str">
        <f>"OR2F1"</f>
        <v>OR2F1</v>
      </c>
      <c r="B12268" t="s">
        <v>1035</v>
      </c>
      <c r="C12268" t="s">
        <v>33</v>
      </c>
      <c r="D12268" t="s">
        <v>17</v>
      </c>
      <c r="E12268" t="s">
        <v>20</v>
      </c>
      <c r="F12268">
        <v>143657026</v>
      </c>
      <c r="G12268">
        <v>143657026</v>
      </c>
      <c r="H12268">
        <v>143657026</v>
      </c>
      <c r="I12268">
        <v>143657026</v>
      </c>
    </row>
    <row r="12269" spans="1:9" x14ac:dyDescent="0.2">
      <c r="A12269" s="1" t="str">
        <f>"OR2F2"</f>
        <v>OR2F2</v>
      </c>
      <c r="B12269" t="s">
        <v>1036</v>
      </c>
      <c r="C12269" t="s">
        <v>33</v>
      </c>
      <c r="D12269" t="s">
        <v>17</v>
      </c>
      <c r="E12269" t="s">
        <v>20</v>
      </c>
      <c r="F12269">
        <v>143632258</v>
      </c>
      <c r="G12269">
        <v>143632258</v>
      </c>
      <c r="H12269">
        <v>143632258</v>
      </c>
      <c r="I12269">
        <v>143632258</v>
      </c>
    </row>
    <row r="12270" spans="1:9" x14ac:dyDescent="0.2">
      <c r="A12270" s="1" t="str">
        <f>"OR2G2"</f>
        <v>OR2G2</v>
      </c>
      <c r="B12270" t="s">
        <v>1037</v>
      </c>
      <c r="C12270" t="s">
        <v>19</v>
      </c>
      <c r="D12270" t="s">
        <v>17</v>
      </c>
      <c r="E12270" t="s">
        <v>20</v>
      </c>
      <c r="F12270">
        <v>247751661</v>
      </c>
      <c r="G12270">
        <v>247751661</v>
      </c>
      <c r="H12270">
        <v>247751661</v>
      </c>
      <c r="I12270">
        <v>247751661</v>
      </c>
    </row>
    <row r="12271" spans="1:9" x14ac:dyDescent="0.2">
      <c r="A12271" s="1" t="str">
        <f>"OR2G3"</f>
        <v>OR2G3</v>
      </c>
      <c r="B12271" t="s">
        <v>1038</v>
      </c>
      <c r="C12271" t="s">
        <v>19</v>
      </c>
      <c r="D12271" t="s">
        <v>17</v>
      </c>
      <c r="E12271" t="s">
        <v>20</v>
      </c>
      <c r="F12271">
        <v>247768855</v>
      </c>
      <c r="G12271">
        <v>247768855</v>
      </c>
      <c r="H12271">
        <v>247768855</v>
      </c>
      <c r="I12271">
        <v>247768855</v>
      </c>
    </row>
    <row r="12272" spans="1:9" x14ac:dyDescent="0.2">
      <c r="A12272" s="1" t="str">
        <f>"OR2G6"</f>
        <v>OR2G6</v>
      </c>
      <c r="B12272" t="s">
        <v>1039</v>
      </c>
      <c r="C12272" t="s">
        <v>19</v>
      </c>
      <c r="D12272" t="s">
        <v>17</v>
      </c>
      <c r="E12272" t="s">
        <v>20</v>
      </c>
      <c r="F12272">
        <v>248684915</v>
      </c>
      <c r="G12272">
        <v>248684915</v>
      </c>
      <c r="H12272">
        <v>248684915</v>
      </c>
      <c r="I12272">
        <v>248684915</v>
      </c>
    </row>
    <row r="12273" spans="1:9" x14ac:dyDescent="0.2">
      <c r="A12273" s="1" t="str">
        <f>"OR2H1"</f>
        <v>OR2H1</v>
      </c>
      <c r="B12273" t="s">
        <v>14</v>
      </c>
      <c r="C12273" t="s">
        <v>32</v>
      </c>
      <c r="D12273" t="s">
        <v>17</v>
      </c>
      <c r="E12273" t="s">
        <v>12</v>
      </c>
      <c r="F12273">
        <v>29426272</v>
      </c>
      <c r="G12273">
        <v>29426304</v>
      </c>
      <c r="H12273">
        <v>29426272</v>
      </c>
      <c r="I12273">
        <v>29426304</v>
      </c>
    </row>
    <row r="12274" spans="1:9" x14ac:dyDescent="0.2">
      <c r="A12274" s="1" t="str">
        <f>"OR2H2"</f>
        <v>OR2H2</v>
      </c>
      <c r="B12274" t="s">
        <v>1040</v>
      </c>
      <c r="C12274" t="s">
        <v>32</v>
      </c>
      <c r="D12274" t="s">
        <v>17</v>
      </c>
      <c r="E12274" t="s">
        <v>20</v>
      </c>
      <c r="F12274">
        <v>29555682</v>
      </c>
      <c r="G12274">
        <v>29555682</v>
      </c>
      <c r="H12274">
        <v>29555682</v>
      </c>
      <c r="I12274">
        <v>29555682</v>
      </c>
    </row>
    <row r="12275" spans="1:9" x14ac:dyDescent="0.2">
      <c r="A12275" s="1" t="str">
        <f>"OR2J2"</f>
        <v>OR2J2</v>
      </c>
      <c r="B12275" t="s">
        <v>1041</v>
      </c>
      <c r="C12275" t="s">
        <v>32</v>
      </c>
      <c r="D12275" t="s">
        <v>17</v>
      </c>
      <c r="E12275" t="s">
        <v>20</v>
      </c>
      <c r="F12275">
        <v>29141310</v>
      </c>
      <c r="G12275">
        <v>29141310</v>
      </c>
      <c r="H12275">
        <v>29141310</v>
      </c>
      <c r="I12275">
        <v>29141310</v>
      </c>
    </row>
    <row r="12276" spans="1:9" x14ac:dyDescent="0.2">
      <c r="A12276" s="1" t="str">
        <f>"OR2J3"</f>
        <v>OR2J3</v>
      </c>
      <c r="B12276" t="s">
        <v>1042</v>
      </c>
      <c r="C12276" t="s">
        <v>32</v>
      </c>
      <c r="D12276" t="s">
        <v>17</v>
      </c>
      <c r="E12276" t="s">
        <v>20</v>
      </c>
      <c r="F12276">
        <v>29079667</v>
      </c>
      <c r="G12276">
        <v>29079667</v>
      </c>
      <c r="H12276">
        <v>29079667</v>
      </c>
      <c r="I12276">
        <v>29079667</v>
      </c>
    </row>
    <row r="12277" spans="1:9" x14ac:dyDescent="0.2">
      <c r="A12277" s="1" t="str">
        <f>"OR2K2"</f>
        <v>OR2K2</v>
      </c>
      <c r="B12277" t="s">
        <v>1043</v>
      </c>
      <c r="C12277" t="s">
        <v>24</v>
      </c>
      <c r="D12277" t="s">
        <v>11</v>
      </c>
      <c r="E12277" t="s">
        <v>20</v>
      </c>
      <c r="F12277">
        <v>114090712</v>
      </c>
      <c r="G12277">
        <v>114090712</v>
      </c>
      <c r="H12277">
        <v>114090712</v>
      </c>
      <c r="I12277">
        <v>114090712</v>
      </c>
    </row>
    <row r="12278" spans="1:9" x14ac:dyDescent="0.2">
      <c r="A12278" s="1" t="str">
        <f>"OR2L13"</f>
        <v>OR2L13</v>
      </c>
      <c r="B12278" t="s">
        <v>14</v>
      </c>
      <c r="C12278" t="s">
        <v>19</v>
      </c>
      <c r="D12278" t="s">
        <v>17</v>
      </c>
      <c r="E12278" t="s">
        <v>12</v>
      </c>
      <c r="F12278">
        <v>248100459</v>
      </c>
      <c r="G12278">
        <v>248100493</v>
      </c>
      <c r="H12278">
        <v>248100497</v>
      </c>
      <c r="I12278">
        <v>248100514</v>
      </c>
    </row>
    <row r="12279" spans="1:9" x14ac:dyDescent="0.2">
      <c r="A12279" s="1" t="str">
        <f>"OR2L2"</f>
        <v>OR2L2</v>
      </c>
      <c r="B12279" t="s">
        <v>1044</v>
      </c>
      <c r="C12279" t="s">
        <v>19</v>
      </c>
      <c r="D12279" t="s">
        <v>17</v>
      </c>
      <c r="E12279" t="s">
        <v>20</v>
      </c>
      <c r="F12279">
        <v>248201473</v>
      </c>
      <c r="G12279">
        <v>248201473</v>
      </c>
      <c r="H12279">
        <v>248201473</v>
      </c>
      <c r="I12279">
        <v>248201473</v>
      </c>
    </row>
    <row r="12280" spans="1:9" x14ac:dyDescent="0.2">
      <c r="A12280" s="1" t="str">
        <f>"OR2L3"</f>
        <v>OR2L3</v>
      </c>
      <c r="B12280" t="s">
        <v>1045</v>
      </c>
      <c r="C12280" t="s">
        <v>19</v>
      </c>
      <c r="D12280" t="s">
        <v>17</v>
      </c>
      <c r="E12280" t="s">
        <v>20</v>
      </c>
      <c r="F12280">
        <v>248223983</v>
      </c>
      <c r="G12280">
        <v>248223983</v>
      </c>
      <c r="H12280">
        <v>248223983</v>
      </c>
      <c r="I12280">
        <v>248223983</v>
      </c>
    </row>
    <row r="12281" spans="1:9" x14ac:dyDescent="0.2">
      <c r="A12281" s="1" t="str">
        <f>"OR2L5"</f>
        <v>OR2L5</v>
      </c>
      <c r="B12281" t="s">
        <v>1046</v>
      </c>
      <c r="C12281" t="s">
        <v>19</v>
      </c>
      <c r="D12281" t="s">
        <v>17</v>
      </c>
      <c r="E12281" t="s">
        <v>20</v>
      </c>
      <c r="F12281">
        <v>248185249</v>
      </c>
      <c r="G12281">
        <v>248185249</v>
      </c>
      <c r="H12281">
        <v>248185249</v>
      </c>
      <c r="I12281">
        <v>248185249</v>
      </c>
    </row>
    <row r="12282" spans="1:9" x14ac:dyDescent="0.2">
      <c r="A12282" s="1" t="str">
        <f>"OR2L8"</f>
        <v>OR2L8</v>
      </c>
      <c r="B12282" t="s">
        <v>1047</v>
      </c>
      <c r="C12282" t="s">
        <v>19</v>
      </c>
      <c r="D12282" t="s">
        <v>17</v>
      </c>
      <c r="E12282" t="s">
        <v>20</v>
      </c>
      <c r="F12282">
        <v>248112159</v>
      </c>
      <c r="G12282">
        <v>248112159</v>
      </c>
      <c r="H12282">
        <v>248112159</v>
      </c>
      <c r="I12282">
        <v>248112159</v>
      </c>
    </row>
    <row r="12283" spans="1:9" x14ac:dyDescent="0.2">
      <c r="A12283" s="1" t="str">
        <f>"OR2M2"</f>
        <v>OR2M2</v>
      </c>
      <c r="B12283" t="s">
        <v>1048</v>
      </c>
      <c r="C12283" t="s">
        <v>19</v>
      </c>
      <c r="D12283" t="s">
        <v>17</v>
      </c>
      <c r="E12283" t="s">
        <v>20</v>
      </c>
      <c r="F12283">
        <v>248343287</v>
      </c>
      <c r="G12283">
        <v>248343287</v>
      </c>
      <c r="H12283">
        <v>248343287</v>
      </c>
      <c r="I12283">
        <v>248343287</v>
      </c>
    </row>
    <row r="12284" spans="1:9" x14ac:dyDescent="0.2">
      <c r="A12284" s="1" t="str">
        <f>"OR2M3"</f>
        <v>OR2M3</v>
      </c>
      <c r="B12284" t="s">
        <v>14</v>
      </c>
      <c r="C12284" t="s">
        <v>19</v>
      </c>
      <c r="D12284" t="s">
        <v>17</v>
      </c>
      <c r="E12284" t="s">
        <v>12</v>
      </c>
      <c r="F12284">
        <v>248366073</v>
      </c>
      <c r="G12284">
        <v>248366074</v>
      </c>
      <c r="H12284">
        <v>248366073</v>
      </c>
      <c r="I12284">
        <v>248366074</v>
      </c>
    </row>
    <row r="12285" spans="1:9" x14ac:dyDescent="0.2">
      <c r="A12285" s="1" t="str">
        <f>"OR2M4"</f>
        <v>OR2M4</v>
      </c>
      <c r="B12285" t="s">
        <v>1049</v>
      </c>
      <c r="C12285" t="s">
        <v>19</v>
      </c>
      <c r="D12285" t="s">
        <v>17</v>
      </c>
      <c r="E12285" t="s">
        <v>20</v>
      </c>
      <c r="F12285">
        <v>248402230</v>
      </c>
      <c r="G12285">
        <v>248402230</v>
      </c>
      <c r="H12285">
        <v>248402230</v>
      </c>
      <c r="I12285">
        <v>248402230</v>
      </c>
    </row>
    <row r="12286" spans="1:9" x14ac:dyDescent="0.2">
      <c r="A12286" s="1" t="str">
        <f>"OR2M5"</f>
        <v>OR2M5</v>
      </c>
      <c r="B12286" t="s">
        <v>1050</v>
      </c>
      <c r="C12286" t="s">
        <v>19</v>
      </c>
      <c r="D12286" t="s">
        <v>17</v>
      </c>
      <c r="E12286" t="s">
        <v>20</v>
      </c>
      <c r="F12286">
        <v>248308449</v>
      </c>
      <c r="G12286">
        <v>248308449</v>
      </c>
      <c r="H12286">
        <v>248308449</v>
      </c>
      <c r="I12286">
        <v>248308449</v>
      </c>
    </row>
    <row r="12287" spans="1:9" x14ac:dyDescent="0.2">
      <c r="A12287" s="1" t="str">
        <f>"OR2M7"</f>
        <v>OR2M7</v>
      </c>
      <c r="B12287" t="s">
        <v>1051</v>
      </c>
      <c r="C12287" t="s">
        <v>19</v>
      </c>
      <c r="D12287" t="s">
        <v>11</v>
      </c>
      <c r="E12287" t="s">
        <v>20</v>
      </c>
      <c r="F12287">
        <v>248487898</v>
      </c>
      <c r="G12287">
        <v>248487898</v>
      </c>
      <c r="H12287">
        <v>248487898</v>
      </c>
      <c r="I12287">
        <v>248487898</v>
      </c>
    </row>
    <row r="12288" spans="1:9" x14ac:dyDescent="0.2">
      <c r="A12288" s="1" t="str">
        <f>"OR2S2"</f>
        <v>OR2S2</v>
      </c>
      <c r="B12288" t="s">
        <v>1052</v>
      </c>
      <c r="C12288" t="s">
        <v>24</v>
      </c>
      <c r="D12288" t="s">
        <v>11</v>
      </c>
      <c r="E12288" t="s">
        <v>20</v>
      </c>
      <c r="F12288">
        <v>35958150</v>
      </c>
      <c r="G12288">
        <v>35958150</v>
      </c>
      <c r="H12288">
        <v>35958150</v>
      </c>
      <c r="I12288">
        <v>35958150</v>
      </c>
    </row>
    <row r="12289" spans="1:9" x14ac:dyDescent="0.2">
      <c r="A12289" s="1" t="str">
        <f>"OR2T1"</f>
        <v>OR2T1</v>
      </c>
      <c r="B12289" t="s">
        <v>1053</v>
      </c>
      <c r="C12289" t="s">
        <v>19</v>
      </c>
      <c r="D12289" t="s">
        <v>17</v>
      </c>
      <c r="E12289" t="s">
        <v>20</v>
      </c>
      <c r="F12289">
        <v>248569295</v>
      </c>
      <c r="G12289">
        <v>248569295</v>
      </c>
      <c r="H12289">
        <v>248569295</v>
      </c>
      <c r="I12289">
        <v>248569295</v>
      </c>
    </row>
    <row r="12290" spans="1:9" x14ac:dyDescent="0.2">
      <c r="A12290" s="1" t="str">
        <f>"OR2T10"</f>
        <v>OR2T10</v>
      </c>
      <c r="B12290" t="s">
        <v>1054</v>
      </c>
      <c r="C12290" t="s">
        <v>19</v>
      </c>
      <c r="D12290" t="s">
        <v>11</v>
      </c>
      <c r="E12290" t="s">
        <v>20</v>
      </c>
      <c r="F12290">
        <v>248757099</v>
      </c>
      <c r="G12290">
        <v>248757099</v>
      </c>
      <c r="H12290">
        <v>248757099</v>
      </c>
      <c r="I12290">
        <v>248757099</v>
      </c>
    </row>
    <row r="12291" spans="1:9" x14ac:dyDescent="0.2">
      <c r="A12291" s="1" t="str">
        <f>"OR2T11"</f>
        <v>OR2T11</v>
      </c>
      <c r="B12291" t="s">
        <v>1055</v>
      </c>
      <c r="C12291" t="s">
        <v>19</v>
      </c>
      <c r="D12291" t="s">
        <v>11</v>
      </c>
      <c r="E12291" t="s">
        <v>20</v>
      </c>
      <c r="F12291">
        <v>248790490</v>
      </c>
      <c r="G12291">
        <v>248790490</v>
      </c>
      <c r="H12291">
        <v>248790490</v>
      </c>
      <c r="I12291">
        <v>248790490</v>
      </c>
    </row>
    <row r="12292" spans="1:9" x14ac:dyDescent="0.2">
      <c r="A12292" s="1" t="str">
        <f>"OR2T12"</f>
        <v>OR2T12</v>
      </c>
      <c r="B12292" t="s">
        <v>1056</v>
      </c>
      <c r="C12292" t="s">
        <v>19</v>
      </c>
      <c r="D12292" t="s">
        <v>11</v>
      </c>
      <c r="E12292" t="s">
        <v>20</v>
      </c>
      <c r="F12292">
        <v>248458879</v>
      </c>
      <c r="G12292">
        <v>248458879</v>
      </c>
      <c r="H12292">
        <v>248458879</v>
      </c>
      <c r="I12292">
        <v>248458879</v>
      </c>
    </row>
    <row r="12293" spans="1:9" x14ac:dyDescent="0.2">
      <c r="A12293" s="1" t="str">
        <f>"OR2T2"</f>
        <v>OR2T2</v>
      </c>
      <c r="B12293" t="s">
        <v>1057</v>
      </c>
      <c r="C12293" t="s">
        <v>19</v>
      </c>
      <c r="D12293" t="s">
        <v>17</v>
      </c>
      <c r="E12293" t="s">
        <v>20</v>
      </c>
      <c r="F12293">
        <v>248616076</v>
      </c>
      <c r="G12293">
        <v>248616076</v>
      </c>
      <c r="H12293">
        <v>248616076</v>
      </c>
      <c r="I12293">
        <v>248616076</v>
      </c>
    </row>
    <row r="12294" spans="1:9" x14ac:dyDescent="0.2">
      <c r="A12294" s="1" t="str">
        <f>"OR2T27"</f>
        <v>OR2T27</v>
      </c>
      <c r="B12294" t="s">
        <v>1058</v>
      </c>
      <c r="C12294" t="s">
        <v>19</v>
      </c>
      <c r="D12294" t="s">
        <v>11</v>
      </c>
      <c r="E12294" t="s">
        <v>20</v>
      </c>
      <c r="F12294">
        <v>248814184</v>
      </c>
      <c r="G12294">
        <v>248814184</v>
      </c>
      <c r="H12294">
        <v>248814184</v>
      </c>
      <c r="I12294">
        <v>248814184</v>
      </c>
    </row>
    <row r="12295" spans="1:9" x14ac:dyDescent="0.2">
      <c r="A12295" s="1" t="str">
        <f>"OR2T29"</f>
        <v>OR2T29</v>
      </c>
      <c r="B12295" t="s">
        <v>1059</v>
      </c>
      <c r="C12295" t="s">
        <v>19</v>
      </c>
      <c r="D12295" t="s">
        <v>11</v>
      </c>
      <c r="E12295" t="s">
        <v>20</v>
      </c>
      <c r="F12295">
        <v>248722796</v>
      </c>
      <c r="G12295">
        <v>248722796</v>
      </c>
      <c r="H12295">
        <v>248722796</v>
      </c>
      <c r="I12295">
        <v>248722796</v>
      </c>
    </row>
    <row r="12296" spans="1:9" x14ac:dyDescent="0.2">
      <c r="A12296" s="1" t="str">
        <f>"OR2T3"</f>
        <v>OR2T3</v>
      </c>
      <c r="B12296" t="s">
        <v>1060</v>
      </c>
      <c r="C12296" t="s">
        <v>19</v>
      </c>
      <c r="D12296" t="s">
        <v>17</v>
      </c>
      <c r="E12296" t="s">
        <v>20</v>
      </c>
      <c r="F12296">
        <v>248636626</v>
      </c>
      <c r="G12296">
        <v>248636626</v>
      </c>
      <c r="H12296">
        <v>248636626</v>
      </c>
      <c r="I12296">
        <v>248636626</v>
      </c>
    </row>
    <row r="12297" spans="1:9" x14ac:dyDescent="0.2">
      <c r="A12297" s="1" t="str">
        <f>"OR2T33"</f>
        <v>OR2T33</v>
      </c>
      <c r="B12297" t="s">
        <v>1061</v>
      </c>
      <c r="C12297" t="s">
        <v>19</v>
      </c>
      <c r="D12297" t="s">
        <v>11</v>
      </c>
      <c r="E12297" t="s">
        <v>20</v>
      </c>
      <c r="F12297">
        <v>248437137</v>
      </c>
      <c r="G12297">
        <v>248437137</v>
      </c>
      <c r="H12297">
        <v>248437137</v>
      </c>
      <c r="I12297">
        <v>248437137</v>
      </c>
    </row>
    <row r="12298" spans="1:9" x14ac:dyDescent="0.2">
      <c r="A12298" s="1" t="str">
        <f>"OR2T34"</f>
        <v>OR2T34</v>
      </c>
      <c r="B12298" t="s">
        <v>1062</v>
      </c>
      <c r="C12298" t="s">
        <v>19</v>
      </c>
      <c r="D12298" t="s">
        <v>11</v>
      </c>
      <c r="E12298" t="s">
        <v>20</v>
      </c>
      <c r="F12298">
        <v>248738079</v>
      </c>
      <c r="G12298">
        <v>248738079</v>
      </c>
      <c r="H12298">
        <v>248738079</v>
      </c>
      <c r="I12298">
        <v>248738079</v>
      </c>
    </row>
    <row r="12299" spans="1:9" x14ac:dyDescent="0.2">
      <c r="A12299" s="1" t="str">
        <f>"OR2T35"</f>
        <v>OR2T35</v>
      </c>
      <c r="B12299" t="s">
        <v>1063</v>
      </c>
      <c r="C12299" t="s">
        <v>19</v>
      </c>
      <c r="D12299" t="s">
        <v>11</v>
      </c>
      <c r="E12299" t="s">
        <v>20</v>
      </c>
      <c r="F12299">
        <v>248802558</v>
      </c>
      <c r="G12299">
        <v>248802558</v>
      </c>
      <c r="H12299">
        <v>248802558</v>
      </c>
      <c r="I12299">
        <v>248802558</v>
      </c>
    </row>
    <row r="12300" spans="1:9" x14ac:dyDescent="0.2">
      <c r="A12300" s="1" t="str">
        <f>"OR2T4"</f>
        <v>OR2T4</v>
      </c>
      <c r="B12300" t="s">
        <v>1064</v>
      </c>
      <c r="C12300" t="s">
        <v>19</v>
      </c>
      <c r="D12300" t="s">
        <v>17</v>
      </c>
      <c r="E12300" t="s">
        <v>20</v>
      </c>
      <c r="F12300">
        <v>248524882</v>
      </c>
      <c r="G12300">
        <v>248524882</v>
      </c>
      <c r="H12300">
        <v>248524882</v>
      </c>
      <c r="I12300">
        <v>248524882</v>
      </c>
    </row>
    <row r="12301" spans="1:9" x14ac:dyDescent="0.2">
      <c r="A12301" s="1" t="str">
        <f>"OR2T5"</f>
        <v>OR2T5</v>
      </c>
      <c r="B12301" t="s">
        <v>1065</v>
      </c>
      <c r="C12301" t="s">
        <v>19</v>
      </c>
      <c r="D12301" t="s">
        <v>17</v>
      </c>
      <c r="E12301" t="s">
        <v>20</v>
      </c>
      <c r="F12301">
        <v>248651884</v>
      </c>
      <c r="G12301">
        <v>248651884</v>
      </c>
      <c r="H12301">
        <v>248651884</v>
      </c>
      <c r="I12301">
        <v>248651884</v>
      </c>
    </row>
    <row r="12302" spans="1:9" x14ac:dyDescent="0.2">
      <c r="A12302" s="1" t="str">
        <f>"OR2T6"</f>
        <v>OR2T6</v>
      </c>
      <c r="B12302" t="s">
        <v>1066</v>
      </c>
      <c r="C12302" t="s">
        <v>19</v>
      </c>
      <c r="D12302" t="s">
        <v>17</v>
      </c>
      <c r="E12302" t="s">
        <v>20</v>
      </c>
      <c r="F12302">
        <v>248550909</v>
      </c>
      <c r="G12302">
        <v>248550909</v>
      </c>
      <c r="H12302">
        <v>248550909</v>
      </c>
      <c r="I12302">
        <v>248550909</v>
      </c>
    </row>
    <row r="12303" spans="1:9" x14ac:dyDescent="0.2">
      <c r="A12303" s="1" t="str">
        <f>"OR2T8"</f>
        <v>OR2T8</v>
      </c>
      <c r="B12303" t="s">
        <v>1067</v>
      </c>
      <c r="C12303" t="s">
        <v>19</v>
      </c>
      <c r="D12303" t="s">
        <v>17</v>
      </c>
      <c r="E12303" t="s">
        <v>20</v>
      </c>
      <c r="F12303">
        <v>248084319</v>
      </c>
      <c r="G12303">
        <v>248084319</v>
      </c>
      <c r="H12303">
        <v>248084319</v>
      </c>
      <c r="I12303">
        <v>248084319</v>
      </c>
    </row>
    <row r="12304" spans="1:9" x14ac:dyDescent="0.2">
      <c r="A12304" s="1" t="str">
        <f>"OR2V1"</f>
        <v>OR2V1</v>
      </c>
      <c r="B12304" t="s">
        <v>1068</v>
      </c>
      <c r="C12304" t="s">
        <v>46</v>
      </c>
      <c r="D12304" t="s">
        <v>11</v>
      </c>
      <c r="E12304" t="s">
        <v>20</v>
      </c>
      <c r="F12304">
        <v>180552303</v>
      </c>
      <c r="G12304">
        <v>180552303</v>
      </c>
      <c r="H12304">
        <v>180552303</v>
      </c>
      <c r="I12304">
        <v>180552303</v>
      </c>
    </row>
    <row r="12305" spans="1:9" x14ac:dyDescent="0.2">
      <c r="A12305" s="1" t="str">
        <f>"OR2V2"</f>
        <v>OR2V2</v>
      </c>
      <c r="B12305" t="s">
        <v>1069</v>
      </c>
      <c r="C12305" t="s">
        <v>46</v>
      </c>
      <c r="D12305" t="s">
        <v>17</v>
      </c>
      <c r="E12305" t="s">
        <v>20</v>
      </c>
      <c r="F12305">
        <v>180581942</v>
      </c>
      <c r="G12305">
        <v>180581942</v>
      </c>
      <c r="H12305">
        <v>180581942</v>
      </c>
      <c r="I12305">
        <v>180581942</v>
      </c>
    </row>
    <row r="12306" spans="1:9" x14ac:dyDescent="0.2">
      <c r="A12306" s="1" t="str">
        <f>"OR2W1"</f>
        <v>OR2W1</v>
      </c>
      <c r="B12306" t="s">
        <v>1070</v>
      </c>
      <c r="C12306" t="s">
        <v>32</v>
      </c>
      <c r="D12306" t="s">
        <v>11</v>
      </c>
      <c r="E12306" t="s">
        <v>20</v>
      </c>
      <c r="F12306">
        <v>29013016</v>
      </c>
      <c r="G12306">
        <v>29013016</v>
      </c>
      <c r="H12306">
        <v>29013016</v>
      </c>
      <c r="I12306">
        <v>29013016</v>
      </c>
    </row>
    <row r="12307" spans="1:9" x14ac:dyDescent="0.2">
      <c r="A12307" s="1" t="str">
        <f>"OR2W3"</f>
        <v>OR2W3</v>
      </c>
      <c r="B12307" t="s">
        <v>1071</v>
      </c>
      <c r="C12307" t="s">
        <v>19</v>
      </c>
      <c r="D12307" t="s">
        <v>17</v>
      </c>
      <c r="E12307" t="s">
        <v>20</v>
      </c>
      <c r="F12307">
        <v>248058888</v>
      </c>
      <c r="G12307">
        <v>248058888</v>
      </c>
      <c r="H12307">
        <v>248058888</v>
      </c>
      <c r="I12307">
        <v>248058888</v>
      </c>
    </row>
    <row r="12308" spans="1:9" x14ac:dyDescent="0.2">
      <c r="A12308" s="1" t="str">
        <f>"OR2W3"</f>
        <v>OR2W3</v>
      </c>
      <c r="B12308" t="s">
        <v>1072</v>
      </c>
      <c r="C12308" t="s">
        <v>19</v>
      </c>
      <c r="D12308" t="s">
        <v>17</v>
      </c>
      <c r="E12308" t="s">
        <v>20</v>
      </c>
      <c r="F12308">
        <v>248031276</v>
      </c>
      <c r="G12308">
        <v>248031276</v>
      </c>
      <c r="H12308">
        <v>248031276</v>
      </c>
      <c r="I12308">
        <v>248031276</v>
      </c>
    </row>
    <row r="12309" spans="1:9" x14ac:dyDescent="0.2">
      <c r="A12309" s="1" t="str">
        <f>"OR2Y1"</f>
        <v>OR2Y1</v>
      </c>
      <c r="B12309" t="s">
        <v>1073</v>
      </c>
      <c r="C12309" t="s">
        <v>46</v>
      </c>
      <c r="D12309" t="s">
        <v>11</v>
      </c>
      <c r="E12309" t="s">
        <v>20</v>
      </c>
      <c r="F12309">
        <v>180167098</v>
      </c>
      <c r="G12309">
        <v>180167098</v>
      </c>
      <c r="H12309">
        <v>180167098</v>
      </c>
      <c r="I12309">
        <v>180167098</v>
      </c>
    </row>
    <row r="12310" spans="1:9" x14ac:dyDescent="0.2">
      <c r="A12310" s="1" t="str">
        <f>"OR2Z1"</f>
        <v>OR2Z1</v>
      </c>
      <c r="B12310" t="s">
        <v>1074</v>
      </c>
      <c r="C12310" t="s">
        <v>10</v>
      </c>
      <c r="D12310" t="s">
        <v>17</v>
      </c>
      <c r="E12310" t="s">
        <v>20</v>
      </c>
      <c r="F12310">
        <v>8841315</v>
      </c>
      <c r="G12310">
        <v>8841315</v>
      </c>
      <c r="H12310">
        <v>8841315</v>
      </c>
      <c r="I12310">
        <v>8841315</v>
      </c>
    </row>
    <row r="12311" spans="1:9" x14ac:dyDescent="0.2">
      <c r="A12311" s="1" t="str">
        <f>"OR3A1"</f>
        <v>OR3A1</v>
      </c>
      <c r="B12311" t="s">
        <v>1075</v>
      </c>
      <c r="C12311" t="s">
        <v>28</v>
      </c>
      <c r="D12311" t="s">
        <v>11</v>
      </c>
      <c r="E12311" t="s">
        <v>20</v>
      </c>
      <c r="F12311">
        <v>3195875</v>
      </c>
      <c r="G12311">
        <v>3195875</v>
      </c>
      <c r="H12311">
        <v>3195875</v>
      </c>
      <c r="I12311">
        <v>3195875</v>
      </c>
    </row>
    <row r="12312" spans="1:9" x14ac:dyDescent="0.2">
      <c r="A12312" s="1" t="str">
        <f>"OR3A2"</f>
        <v>OR3A2</v>
      </c>
      <c r="B12312" t="s">
        <v>1076</v>
      </c>
      <c r="C12312" t="s">
        <v>28</v>
      </c>
      <c r="D12312" t="s">
        <v>11</v>
      </c>
      <c r="E12312" t="s">
        <v>20</v>
      </c>
      <c r="F12312">
        <v>3182267</v>
      </c>
      <c r="G12312">
        <v>3182267</v>
      </c>
      <c r="H12312">
        <v>3182267</v>
      </c>
      <c r="I12312">
        <v>3182267</v>
      </c>
    </row>
    <row r="12313" spans="1:9" x14ac:dyDescent="0.2">
      <c r="A12313" s="1" t="str">
        <f>"OR3A3"</f>
        <v>OR3A3</v>
      </c>
      <c r="B12313" t="s">
        <v>1077</v>
      </c>
      <c r="C12313" t="s">
        <v>28</v>
      </c>
      <c r="D12313" t="s">
        <v>17</v>
      </c>
      <c r="E12313" t="s">
        <v>20</v>
      </c>
      <c r="F12313">
        <v>3323861</v>
      </c>
      <c r="G12313">
        <v>3323861</v>
      </c>
      <c r="H12313">
        <v>3323861</v>
      </c>
      <c r="I12313">
        <v>3323861</v>
      </c>
    </row>
    <row r="12314" spans="1:9" x14ac:dyDescent="0.2">
      <c r="A12314" s="1" t="str">
        <f>"OR4A15"</f>
        <v>OR4A15</v>
      </c>
      <c r="B12314" t="s">
        <v>1078</v>
      </c>
      <c r="C12314" t="s">
        <v>27</v>
      </c>
      <c r="D12314" t="s">
        <v>17</v>
      </c>
      <c r="E12314" t="s">
        <v>20</v>
      </c>
      <c r="F12314">
        <v>55135359</v>
      </c>
      <c r="G12314">
        <v>55135359</v>
      </c>
      <c r="H12314">
        <v>55135359</v>
      </c>
      <c r="I12314">
        <v>55135359</v>
      </c>
    </row>
    <row r="12315" spans="1:9" x14ac:dyDescent="0.2">
      <c r="A12315" s="1" t="str">
        <f>"OR4A16"</f>
        <v>OR4A16</v>
      </c>
      <c r="B12315" t="s">
        <v>1079</v>
      </c>
      <c r="C12315" t="s">
        <v>27</v>
      </c>
      <c r="D12315" t="s">
        <v>17</v>
      </c>
      <c r="E12315" t="s">
        <v>20</v>
      </c>
      <c r="F12315">
        <v>55110626</v>
      </c>
      <c r="G12315">
        <v>55110626</v>
      </c>
      <c r="H12315">
        <v>55110626</v>
      </c>
      <c r="I12315">
        <v>55110626</v>
      </c>
    </row>
    <row r="12316" spans="1:9" x14ac:dyDescent="0.2">
      <c r="A12316" s="1" t="str">
        <f>"OR4A47"</f>
        <v>OR4A47</v>
      </c>
      <c r="B12316" t="s">
        <v>1080</v>
      </c>
      <c r="C12316" t="s">
        <v>27</v>
      </c>
      <c r="D12316" t="s">
        <v>17</v>
      </c>
      <c r="E12316" t="s">
        <v>20</v>
      </c>
      <c r="F12316">
        <v>48510268</v>
      </c>
      <c r="G12316">
        <v>48510268</v>
      </c>
      <c r="H12316">
        <v>48510268</v>
      </c>
      <c r="I12316">
        <v>48510268</v>
      </c>
    </row>
    <row r="12317" spans="1:9" x14ac:dyDescent="0.2">
      <c r="A12317" s="1" t="str">
        <f>"OR4A5"</f>
        <v>OR4A5</v>
      </c>
      <c r="B12317" t="s">
        <v>1081</v>
      </c>
      <c r="C12317" t="s">
        <v>27</v>
      </c>
      <c r="D12317" t="s">
        <v>11</v>
      </c>
      <c r="E12317" t="s">
        <v>20</v>
      </c>
      <c r="F12317">
        <v>51412447</v>
      </c>
      <c r="G12317">
        <v>51412447</v>
      </c>
      <c r="H12317">
        <v>51412447</v>
      </c>
      <c r="I12317">
        <v>51412447</v>
      </c>
    </row>
    <row r="12318" spans="1:9" x14ac:dyDescent="0.2">
      <c r="A12318" s="1" t="str">
        <f>"OR4B1"</f>
        <v>OR4B1</v>
      </c>
      <c r="B12318" t="s">
        <v>1082</v>
      </c>
      <c r="C12318" t="s">
        <v>27</v>
      </c>
      <c r="D12318" t="s">
        <v>17</v>
      </c>
      <c r="E12318" t="s">
        <v>20</v>
      </c>
      <c r="F12318">
        <v>48238343</v>
      </c>
      <c r="G12318">
        <v>48238343</v>
      </c>
      <c r="H12318">
        <v>48238343</v>
      </c>
      <c r="I12318">
        <v>48238343</v>
      </c>
    </row>
    <row r="12319" spans="1:9" x14ac:dyDescent="0.2">
      <c r="A12319" s="1" t="str">
        <f>"OR4C11"</f>
        <v>OR4C11</v>
      </c>
      <c r="B12319" t="s">
        <v>1083</v>
      </c>
      <c r="C12319" t="s">
        <v>27</v>
      </c>
      <c r="D12319" t="s">
        <v>11</v>
      </c>
      <c r="E12319" t="s">
        <v>20</v>
      </c>
      <c r="F12319">
        <v>55371873</v>
      </c>
      <c r="G12319">
        <v>55371873</v>
      </c>
      <c r="H12319">
        <v>55371873</v>
      </c>
      <c r="I12319">
        <v>55371873</v>
      </c>
    </row>
    <row r="12320" spans="1:9" x14ac:dyDescent="0.2">
      <c r="A12320" s="1" t="str">
        <f>"OR4C12"</f>
        <v>OR4C12</v>
      </c>
      <c r="B12320" t="s">
        <v>1084</v>
      </c>
      <c r="C12320" t="s">
        <v>27</v>
      </c>
      <c r="D12320" t="s">
        <v>11</v>
      </c>
      <c r="E12320" t="s">
        <v>20</v>
      </c>
      <c r="F12320">
        <v>50004070</v>
      </c>
      <c r="G12320">
        <v>50004070</v>
      </c>
      <c r="H12320">
        <v>50004070</v>
      </c>
      <c r="I12320">
        <v>50004070</v>
      </c>
    </row>
    <row r="12321" spans="1:9" x14ac:dyDescent="0.2">
      <c r="A12321" s="1" t="str">
        <f>"OR4C13"</f>
        <v>OR4C13</v>
      </c>
      <c r="B12321" t="s">
        <v>1085</v>
      </c>
      <c r="C12321" t="s">
        <v>27</v>
      </c>
      <c r="D12321" t="s">
        <v>17</v>
      </c>
      <c r="E12321" t="s">
        <v>20</v>
      </c>
      <c r="F12321">
        <v>49973942</v>
      </c>
      <c r="G12321">
        <v>49973942</v>
      </c>
      <c r="H12321">
        <v>49973942</v>
      </c>
      <c r="I12321">
        <v>49973942</v>
      </c>
    </row>
    <row r="12322" spans="1:9" x14ac:dyDescent="0.2">
      <c r="A12322" s="1" t="str">
        <f>"OR4C15"</f>
        <v>OR4C15</v>
      </c>
      <c r="B12322" t="s">
        <v>1086</v>
      </c>
      <c r="C12322" t="s">
        <v>27</v>
      </c>
      <c r="D12322" t="s">
        <v>17</v>
      </c>
      <c r="E12322" t="s">
        <v>20</v>
      </c>
      <c r="F12322">
        <v>55321782</v>
      </c>
      <c r="G12322">
        <v>55321782</v>
      </c>
      <c r="H12322">
        <v>55321782</v>
      </c>
      <c r="I12322">
        <v>55321782</v>
      </c>
    </row>
    <row r="12323" spans="1:9" x14ac:dyDescent="0.2">
      <c r="A12323" s="1" t="str">
        <f>"OR4C16"</f>
        <v>OR4C16</v>
      </c>
      <c r="B12323" t="s">
        <v>1087</v>
      </c>
      <c r="C12323" t="s">
        <v>27</v>
      </c>
      <c r="D12323" t="s">
        <v>17</v>
      </c>
      <c r="E12323" t="s">
        <v>20</v>
      </c>
      <c r="F12323">
        <v>55339603</v>
      </c>
      <c r="G12323">
        <v>55339603</v>
      </c>
      <c r="H12323">
        <v>55339603</v>
      </c>
      <c r="I12323">
        <v>55339603</v>
      </c>
    </row>
    <row r="12324" spans="1:9" x14ac:dyDescent="0.2">
      <c r="A12324" s="1" t="str">
        <f>"OR4C3"</f>
        <v>OR4C3</v>
      </c>
      <c r="B12324" t="s">
        <v>1088</v>
      </c>
      <c r="C12324" t="s">
        <v>27</v>
      </c>
      <c r="D12324" t="s">
        <v>17</v>
      </c>
      <c r="E12324" t="s">
        <v>20</v>
      </c>
      <c r="F12324">
        <v>48346471</v>
      </c>
      <c r="G12324">
        <v>48346471</v>
      </c>
      <c r="H12324">
        <v>48346471</v>
      </c>
      <c r="I12324">
        <v>48346471</v>
      </c>
    </row>
    <row r="12325" spans="1:9" x14ac:dyDescent="0.2">
      <c r="A12325" s="1" t="str">
        <f>"OR4C45"</f>
        <v>OR4C45</v>
      </c>
      <c r="B12325" t="s">
        <v>1089</v>
      </c>
      <c r="C12325" t="s">
        <v>27</v>
      </c>
      <c r="D12325" t="s">
        <v>11</v>
      </c>
      <c r="E12325" t="s">
        <v>20</v>
      </c>
      <c r="F12325">
        <v>48373998</v>
      </c>
      <c r="G12325">
        <v>48373998</v>
      </c>
      <c r="H12325">
        <v>48373998</v>
      </c>
      <c r="I12325">
        <v>48373998</v>
      </c>
    </row>
    <row r="12326" spans="1:9" x14ac:dyDescent="0.2">
      <c r="A12326" s="1" t="str">
        <f>"OR4C46"</f>
        <v>OR4C46</v>
      </c>
      <c r="B12326" t="s">
        <v>1090</v>
      </c>
      <c r="C12326" t="s">
        <v>27</v>
      </c>
      <c r="D12326" t="s">
        <v>17</v>
      </c>
      <c r="E12326" t="s">
        <v>20</v>
      </c>
      <c r="F12326">
        <v>51515281</v>
      </c>
      <c r="G12326">
        <v>51515281</v>
      </c>
      <c r="H12326">
        <v>51515281</v>
      </c>
      <c r="I12326">
        <v>51515281</v>
      </c>
    </row>
    <row r="12327" spans="1:9" x14ac:dyDescent="0.2">
      <c r="A12327" s="1" t="str">
        <f>"OR4C6"</f>
        <v>OR4C6</v>
      </c>
      <c r="B12327" t="s">
        <v>14</v>
      </c>
      <c r="C12327" t="s">
        <v>27</v>
      </c>
      <c r="D12327" t="s">
        <v>17</v>
      </c>
      <c r="E12327" t="s">
        <v>12</v>
      </c>
      <c r="F12327">
        <v>55425731</v>
      </c>
      <c r="G12327">
        <v>55425734</v>
      </c>
      <c r="H12327">
        <v>55425731</v>
      </c>
      <c r="I12327">
        <v>55425734</v>
      </c>
    </row>
    <row r="12328" spans="1:9" x14ac:dyDescent="0.2">
      <c r="A12328" s="1" t="str">
        <f>"OR4D1"</f>
        <v>OR4D1</v>
      </c>
      <c r="B12328" t="s">
        <v>1091</v>
      </c>
      <c r="C12328" t="s">
        <v>28</v>
      </c>
      <c r="D12328" t="s">
        <v>17</v>
      </c>
      <c r="E12328" t="s">
        <v>20</v>
      </c>
      <c r="F12328">
        <v>56232493</v>
      </c>
      <c r="G12328">
        <v>56232493</v>
      </c>
      <c r="H12328">
        <v>56232493</v>
      </c>
      <c r="I12328">
        <v>56232493</v>
      </c>
    </row>
    <row r="12329" spans="1:9" x14ac:dyDescent="0.2">
      <c r="A12329" s="1" t="str">
        <f>"OR4D10"</f>
        <v>OR4D10</v>
      </c>
      <c r="B12329" t="s">
        <v>1092</v>
      </c>
      <c r="C12329" t="s">
        <v>27</v>
      </c>
      <c r="D12329" t="s">
        <v>17</v>
      </c>
      <c r="E12329" t="s">
        <v>20</v>
      </c>
      <c r="F12329">
        <v>59244845</v>
      </c>
      <c r="G12329">
        <v>59244845</v>
      </c>
      <c r="H12329">
        <v>59244845</v>
      </c>
      <c r="I12329">
        <v>59244845</v>
      </c>
    </row>
    <row r="12330" spans="1:9" x14ac:dyDescent="0.2">
      <c r="A12330" s="1" t="str">
        <f>"OR4D11"</f>
        <v>OR4D11</v>
      </c>
      <c r="B12330" t="s">
        <v>1093</v>
      </c>
      <c r="C12330" t="s">
        <v>27</v>
      </c>
      <c r="D12330" t="s">
        <v>17</v>
      </c>
      <c r="E12330" t="s">
        <v>20</v>
      </c>
      <c r="F12330">
        <v>59271048</v>
      </c>
      <c r="G12330">
        <v>59271048</v>
      </c>
      <c r="H12330">
        <v>59271048</v>
      </c>
      <c r="I12330">
        <v>59271048</v>
      </c>
    </row>
    <row r="12331" spans="1:9" x14ac:dyDescent="0.2">
      <c r="A12331" s="1" t="str">
        <f>"OR4D2"</f>
        <v>OR4D2</v>
      </c>
      <c r="B12331" t="s">
        <v>1094</v>
      </c>
      <c r="C12331" t="s">
        <v>28</v>
      </c>
      <c r="D12331" t="s">
        <v>17</v>
      </c>
      <c r="E12331" t="s">
        <v>20</v>
      </c>
      <c r="F12331">
        <v>56247016</v>
      </c>
      <c r="G12331">
        <v>56247016</v>
      </c>
      <c r="H12331">
        <v>56247016</v>
      </c>
      <c r="I12331">
        <v>56247016</v>
      </c>
    </row>
    <row r="12332" spans="1:9" x14ac:dyDescent="0.2">
      <c r="A12332" s="1" t="str">
        <f>"OR4D5"</f>
        <v>OR4D5</v>
      </c>
      <c r="B12332" t="s">
        <v>1095</v>
      </c>
      <c r="C12332" t="s">
        <v>27</v>
      </c>
      <c r="D12332" t="s">
        <v>17</v>
      </c>
      <c r="E12332" t="s">
        <v>20</v>
      </c>
      <c r="F12332">
        <v>123810249</v>
      </c>
      <c r="G12332">
        <v>123810249</v>
      </c>
      <c r="H12332">
        <v>123810249</v>
      </c>
      <c r="I12332">
        <v>123810249</v>
      </c>
    </row>
    <row r="12333" spans="1:9" x14ac:dyDescent="0.2">
      <c r="A12333" s="1" t="str">
        <f>"OR4D6"</f>
        <v>OR4D6</v>
      </c>
      <c r="B12333" t="s">
        <v>1096</v>
      </c>
      <c r="C12333" t="s">
        <v>27</v>
      </c>
      <c r="D12333" t="s">
        <v>17</v>
      </c>
      <c r="E12333" t="s">
        <v>20</v>
      </c>
      <c r="F12333">
        <v>59224410</v>
      </c>
      <c r="G12333">
        <v>59224410</v>
      </c>
      <c r="H12333">
        <v>59224410</v>
      </c>
      <c r="I12333">
        <v>59224410</v>
      </c>
    </row>
    <row r="12334" spans="1:9" x14ac:dyDescent="0.2">
      <c r="A12334" s="1" t="str">
        <f>"OR4D9"</f>
        <v>OR4D9</v>
      </c>
      <c r="B12334" t="s">
        <v>1097</v>
      </c>
      <c r="C12334" t="s">
        <v>27</v>
      </c>
      <c r="D12334" t="s">
        <v>17</v>
      </c>
      <c r="E12334" t="s">
        <v>20</v>
      </c>
      <c r="F12334">
        <v>59282385</v>
      </c>
      <c r="G12334">
        <v>59282385</v>
      </c>
      <c r="H12334">
        <v>59282385</v>
      </c>
      <c r="I12334">
        <v>59282385</v>
      </c>
    </row>
    <row r="12335" spans="1:9" x14ac:dyDescent="0.2">
      <c r="A12335" s="1" t="str">
        <f>"OR4E2"</f>
        <v>OR4E2</v>
      </c>
      <c r="B12335" t="s">
        <v>1098</v>
      </c>
      <c r="C12335" t="s">
        <v>41</v>
      </c>
      <c r="D12335" t="s">
        <v>17</v>
      </c>
      <c r="E12335" t="s">
        <v>20</v>
      </c>
      <c r="F12335">
        <v>22133296</v>
      </c>
      <c r="G12335">
        <v>22133296</v>
      </c>
      <c r="H12335">
        <v>22133296</v>
      </c>
      <c r="I12335">
        <v>22133296</v>
      </c>
    </row>
    <row r="12336" spans="1:9" x14ac:dyDescent="0.2">
      <c r="A12336" s="1" t="str">
        <f>"OR4F15"</f>
        <v>OR4F15</v>
      </c>
      <c r="B12336" t="s">
        <v>1099</v>
      </c>
      <c r="C12336" t="s">
        <v>25</v>
      </c>
      <c r="D12336" t="s">
        <v>17</v>
      </c>
      <c r="E12336" t="s">
        <v>20</v>
      </c>
      <c r="F12336">
        <v>102358365</v>
      </c>
      <c r="G12336">
        <v>102358365</v>
      </c>
      <c r="H12336">
        <v>102358365</v>
      </c>
      <c r="I12336">
        <v>102358365</v>
      </c>
    </row>
    <row r="12337" spans="1:9" x14ac:dyDescent="0.2">
      <c r="A12337" s="1" t="str">
        <f>"OR4F16"</f>
        <v>OR4F16</v>
      </c>
      <c r="B12337" t="s">
        <v>1100</v>
      </c>
      <c r="C12337" t="s">
        <v>19</v>
      </c>
      <c r="D12337" t="s">
        <v>11</v>
      </c>
      <c r="E12337" t="s">
        <v>20</v>
      </c>
      <c r="F12337">
        <v>622052</v>
      </c>
      <c r="G12337">
        <v>622052</v>
      </c>
      <c r="H12337">
        <v>622052</v>
      </c>
      <c r="I12337">
        <v>622052</v>
      </c>
    </row>
    <row r="12338" spans="1:9" x14ac:dyDescent="0.2">
      <c r="A12338" s="1" t="str">
        <f>"OR4F17"</f>
        <v>OR4F17</v>
      </c>
      <c r="B12338" t="s">
        <v>1101</v>
      </c>
      <c r="C12338" t="s">
        <v>10</v>
      </c>
      <c r="D12338" t="s">
        <v>17</v>
      </c>
      <c r="E12338" t="s">
        <v>20</v>
      </c>
      <c r="F12338">
        <v>110678</v>
      </c>
      <c r="G12338">
        <v>110678</v>
      </c>
      <c r="H12338">
        <v>110678</v>
      </c>
      <c r="I12338">
        <v>110678</v>
      </c>
    </row>
    <row r="12339" spans="1:9" x14ac:dyDescent="0.2">
      <c r="A12339" s="1" t="str">
        <f>"OR4F17"</f>
        <v>OR4F17</v>
      </c>
      <c r="B12339" t="s">
        <v>1102</v>
      </c>
      <c r="C12339" t="s">
        <v>10</v>
      </c>
      <c r="D12339" t="s">
        <v>17</v>
      </c>
      <c r="E12339" t="s">
        <v>20</v>
      </c>
      <c r="F12339">
        <v>107470</v>
      </c>
      <c r="G12339">
        <v>107470</v>
      </c>
      <c r="H12339">
        <v>107470</v>
      </c>
      <c r="I12339">
        <v>107470</v>
      </c>
    </row>
    <row r="12340" spans="1:9" x14ac:dyDescent="0.2">
      <c r="A12340" s="1" t="str">
        <f>"OR4F21"</f>
        <v>OR4F21</v>
      </c>
      <c r="B12340" t="s">
        <v>1103</v>
      </c>
      <c r="C12340" t="s">
        <v>30</v>
      </c>
      <c r="D12340" t="s">
        <v>11</v>
      </c>
      <c r="E12340" t="s">
        <v>20</v>
      </c>
      <c r="F12340">
        <v>117042</v>
      </c>
      <c r="G12340">
        <v>117042</v>
      </c>
      <c r="H12340">
        <v>117042</v>
      </c>
      <c r="I12340">
        <v>117042</v>
      </c>
    </row>
    <row r="12341" spans="1:9" x14ac:dyDescent="0.2">
      <c r="A12341" s="1" t="str">
        <f>"OR4F29"</f>
        <v>OR4F29</v>
      </c>
      <c r="B12341" t="s">
        <v>1104</v>
      </c>
      <c r="C12341" t="s">
        <v>19</v>
      </c>
      <c r="D12341" t="s">
        <v>17</v>
      </c>
      <c r="E12341" t="s">
        <v>20</v>
      </c>
      <c r="F12341">
        <v>367639</v>
      </c>
      <c r="G12341">
        <v>367639</v>
      </c>
      <c r="H12341">
        <v>367639</v>
      </c>
      <c r="I12341">
        <v>367639</v>
      </c>
    </row>
    <row r="12342" spans="1:9" x14ac:dyDescent="0.2">
      <c r="A12342" s="1" t="str">
        <f>"OR4F3"</f>
        <v>OR4F3</v>
      </c>
      <c r="B12342" t="s">
        <v>1105</v>
      </c>
      <c r="C12342" t="s">
        <v>46</v>
      </c>
      <c r="D12342" t="s">
        <v>17</v>
      </c>
      <c r="E12342" t="s">
        <v>20</v>
      </c>
      <c r="F12342">
        <v>180794268</v>
      </c>
      <c r="G12342">
        <v>180794268</v>
      </c>
      <c r="H12342">
        <v>180794268</v>
      </c>
      <c r="I12342">
        <v>180794268</v>
      </c>
    </row>
    <row r="12343" spans="1:9" x14ac:dyDescent="0.2">
      <c r="A12343" s="1" t="str">
        <f>"OR4F4"</f>
        <v>OR4F4</v>
      </c>
      <c r="B12343" t="s">
        <v>1106</v>
      </c>
      <c r="C12343" t="s">
        <v>25</v>
      </c>
      <c r="D12343" t="s">
        <v>11</v>
      </c>
      <c r="E12343" t="s">
        <v>20</v>
      </c>
      <c r="F12343">
        <v>102463297</v>
      </c>
      <c r="G12343">
        <v>102463297</v>
      </c>
      <c r="H12343">
        <v>102463297</v>
      </c>
      <c r="I12343">
        <v>102463297</v>
      </c>
    </row>
    <row r="12344" spans="1:9" x14ac:dyDescent="0.2">
      <c r="A12344" s="1" t="str">
        <f>"OR4F5"</f>
        <v>OR4F5</v>
      </c>
      <c r="B12344" t="s">
        <v>1107</v>
      </c>
      <c r="C12344" t="s">
        <v>19</v>
      </c>
      <c r="D12344" t="s">
        <v>17</v>
      </c>
      <c r="E12344" t="s">
        <v>20</v>
      </c>
      <c r="F12344">
        <v>69090</v>
      </c>
      <c r="G12344">
        <v>69090</v>
      </c>
      <c r="H12344">
        <v>69090</v>
      </c>
      <c r="I12344">
        <v>69090</v>
      </c>
    </row>
    <row r="12345" spans="1:9" x14ac:dyDescent="0.2">
      <c r="A12345" s="1" t="str">
        <f>"OR4F6"</f>
        <v>OR4F6</v>
      </c>
      <c r="B12345" t="s">
        <v>1108</v>
      </c>
      <c r="C12345" t="s">
        <v>25</v>
      </c>
      <c r="D12345" t="s">
        <v>17</v>
      </c>
      <c r="E12345" t="s">
        <v>20</v>
      </c>
      <c r="F12345">
        <v>102345901</v>
      </c>
      <c r="G12345">
        <v>102345901</v>
      </c>
      <c r="H12345">
        <v>102345901</v>
      </c>
      <c r="I12345">
        <v>102345901</v>
      </c>
    </row>
    <row r="12346" spans="1:9" x14ac:dyDescent="0.2">
      <c r="A12346" s="1" t="str">
        <f>"OR4K1"</f>
        <v>OR4K1</v>
      </c>
      <c r="B12346" t="s">
        <v>1109</v>
      </c>
      <c r="C12346" t="s">
        <v>41</v>
      </c>
      <c r="D12346" t="s">
        <v>17</v>
      </c>
      <c r="E12346" t="s">
        <v>20</v>
      </c>
      <c r="F12346">
        <v>20403766</v>
      </c>
      <c r="G12346">
        <v>20403766</v>
      </c>
      <c r="H12346">
        <v>20403766</v>
      </c>
      <c r="I12346">
        <v>20403766</v>
      </c>
    </row>
    <row r="12347" spans="1:9" x14ac:dyDescent="0.2">
      <c r="A12347" s="1" t="str">
        <f>"OR4K13"</f>
        <v>OR4K13</v>
      </c>
      <c r="B12347" t="s">
        <v>1110</v>
      </c>
      <c r="C12347" t="s">
        <v>41</v>
      </c>
      <c r="D12347" t="s">
        <v>11</v>
      </c>
      <c r="E12347" t="s">
        <v>20</v>
      </c>
      <c r="F12347">
        <v>20502918</v>
      </c>
      <c r="G12347">
        <v>20502918</v>
      </c>
      <c r="H12347">
        <v>20502918</v>
      </c>
      <c r="I12347">
        <v>20502918</v>
      </c>
    </row>
    <row r="12348" spans="1:9" x14ac:dyDescent="0.2">
      <c r="A12348" s="1" t="str">
        <f>"OR4K14"</f>
        <v>OR4K14</v>
      </c>
      <c r="B12348" t="s">
        <v>1111</v>
      </c>
      <c r="C12348" t="s">
        <v>41</v>
      </c>
      <c r="D12348" t="s">
        <v>11</v>
      </c>
      <c r="E12348" t="s">
        <v>20</v>
      </c>
      <c r="F12348">
        <v>20483351</v>
      </c>
      <c r="G12348">
        <v>20483351</v>
      </c>
      <c r="H12348">
        <v>20483351</v>
      </c>
      <c r="I12348">
        <v>20483351</v>
      </c>
    </row>
    <row r="12349" spans="1:9" x14ac:dyDescent="0.2">
      <c r="A12349" s="1" t="str">
        <f>"OR4K15"</f>
        <v>OR4K15</v>
      </c>
      <c r="B12349" t="s">
        <v>1112</v>
      </c>
      <c r="C12349" t="s">
        <v>41</v>
      </c>
      <c r="D12349" t="s">
        <v>17</v>
      </c>
      <c r="E12349" t="s">
        <v>20</v>
      </c>
      <c r="F12349">
        <v>20443602</v>
      </c>
      <c r="G12349">
        <v>20443602</v>
      </c>
      <c r="H12349">
        <v>20443602</v>
      </c>
      <c r="I12349">
        <v>20443602</v>
      </c>
    </row>
    <row r="12350" spans="1:9" x14ac:dyDescent="0.2">
      <c r="A12350" s="1" t="str">
        <f>"OR4K17"</f>
        <v>OR4K17</v>
      </c>
      <c r="B12350" t="s">
        <v>1113</v>
      </c>
      <c r="C12350" t="s">
        <v>41</v>
      </c>
      <c r="D12350" t="s">
        <v>17</v>
      </c>
      <c r="E12350" t="s">
        <v>20</v>
      </c>
      <c r="F12350">
        <v>20585565</v>
      </c>
      <c r="G12350">
        <v>20585565</v>
      </c>
      <c r="H12350">
        <v>20585565</v>
      </c>
      <c r="I12350">
        <v>20585565</v>
      </c>
    </row>
    <row r="12351" spans="1:9" x14ac:dyDescent="0.2">
      <c r="A12351" s="1" t="str">
        <f>"OR4K2"</f>
        <v>OR4K2</v>
      </c>
      <c r="B12351" t="s">
        <v>1114</v>
      </c>
      <c r="C12351" t="s">
        <v>41</v>
      </c>
      <c r="D12351" t="s">
        <v>17</v>
      </c>
      <c r="E12351" t="s">
        <v>20</v>
      </c>
      <c r="F12351">
        <v>20344390</v>
      </c>
      <c r="G12351">
        <v>20344390</v>
      </c>
      <c r="H12351">
        <v>20344390</v>
      </c>
      <c r="I12351">
        <v>20344390</v>
      </c>
    </row>
    <row r="12352" spans="1:9" x14ac:dyDescent="0.2">
      <c r="A12352" s="1" t="str">
        <f>"OR4K5"</f>
        <v>OR4K5</v>
      </c>
      <c r="B12352" t="s">
        <v>1115</v>
      </c>
      <c r="C12352" t="s">
        <v>41</v>
      </c>
      <c r="D12352" t="s">
        <v>17</v>
      </c>
      <c r="E12352" t="s">
        <v>20</v>
      </c>
      <c r="F12352">
        <v>20388740</v>
      </c>
      <c r="G12352">
        <v>20388740</v>
      </c>
      <c r="H12352">
        <v>20388740</v>
      </c>
      <c r="I12352">
        <v>20388740</v>
      </c>
    </row>
    <row r="12353" spans="1:9" x14ac:dyDescent="0.2">
      <c r="A12353" s="1" t="str">
        <f>"OR4L1"</f>
        <v>OR4L1</v>
      </c>
      <c r="B12353" t="s">
        <v>1116</v>
      </c>
      <c r="C12353" t="s">
        <v>41</v>
      </c>
      <c r="D12353" t="s">
        <v>17</v>
      </c>
      <c r="E12353" t="s">
        <v>20</v>
      </c>
      <c r="F12353">
        <v>20528203</v>
      </c>
      <c r="G12353">
        <v>20528203</v>
      </c>
      <c r="H12353">
        <v>20528203</v>
      </c>
      <c r="I12353">
        <v>20528203</v>
      </c>
    </row>
    <row r="12354" spans="1:9" x14ac:dyDescent="0.2">
      <c r="A12354" s="1" t="str">
        <f>"OR4M1"</f>
        <v>OR4M1</v>
      </c>
      <c r="B12354" t="s">
        <v>1117</v>
      </c>
      <c r="C12354" t="s">
        <v>41</v>
      </c>
      <c r="D12354" t="s">
        <v>17</v>
      </c>
      <c r="E12354" t="s">
        <v>20</v>
      </c>
      <c r="F12354">
        <v>20248400</v>
      </c>
      <c r="G12354">
        <v>20248400</v>
      </c>
      <c r="H12354">
        <v>20248400</v>
      </c>
      <c r="I12354">
        <v>20248400</v>
      </c>
    </row>
    <row r="12355" spans="1:9" x14ac:dyDescent="0.2">
      <c r="A12355" s="1" t="str">
        <f>"OR4M2"</f>
        <v>OR4M2</v>
      </c>
      <c r="B12355" t="s">
        <v>1118</v>
      </c>
      <c r="C12355" t="s">
        <v>25</v>
      </c>
      <c r="D12355" t="s">
        <v>17</v>
      </c>
      <c r="E12355" t="s">
        <v>20</v>
      </c>
      <c r="F12355">
        <v>22368477</v>
      </c>
      <c r="G12355">
        <v>22368477</v>
      </c>
      <c r="H12355">
        <v>22368477</v>
      </c>
      <c r="I12355">
        <v>22368477</v>
      </c>
    </row>
    <row r="12356" spans="1:9" x14ac:dyDescent="0.2">
      <c r="A12356" s="1" t="str">
        <f>"OR4N2"</f>
        <v>OR4N2</v>
      </c>
      <c r="B12356" t="s">
        <v>1119</v>
      </c>
      <c r="C12356" t="s">
        <v>41</v>
      </c>
      <c r="D12356" t="s">
        <v>17</v>
      </c>
      <c r="E12356" t="s">
        <v>20</v>
      </c>
      <c r="F12356">
        <v>20295607</v>
      </c>
      <c r="G12356">
        <v>20295607</v>
      </c>
      <c r="H12356">
        <v>20295607</v>
      </c>
      <c r="I12356">
        <v>20295607</v>
      </c>
    </row>
    <row r="12357" spans="1:9" x14ac:dyDescent="0.2">
      <c r="A12357" s="1" t="str">
        <f>"OR4N4"</f>
        <v>OR4N4</v>
      </c>
      <c r="B12357" t="s">
        <v>1120</v>
      </c>
      <c r="C12357" t="s">
        <v>25</v>
      </c>
      <c r="D12357" t="s">
        <v>17</v>
      </c>
      <c r="E12357" t="s">
        <v>20</v>
      </c>
      <c r="F12357">
        <v>22382381</v>
      </c>
      <c r="G12357">
        <v>22382381</v>
      </c>
      <c r="H12357">
        <v>22382381</v>
      </c>
      <c r="I12357">
        <v>22382381</v>
      </c>
    </row>
    <row r="12358" spans="1:9" x14ac:dyDescent="0.2">
      <c r="A12358" s="1" t="str">
        <f>"OR4N5"</f>
        <v>OR4N5</v>
      </c>
      <c r="B12358" t="s">
        <v>1121</v>
      </c>
      <c r="C12358" t="s">
        <v>41</v>
      </c>
      <c r="D12358" t="s">
        <v>17</v>
      </c>
      <c r="E12358" t="s">
        <v>20</v>
      </c>
      <c r="F12358">
        <v>20611894</v>
      </c>
      <c r="G12358">
        <v>20611894</v>
      </c>
      <c r="H12358">
        <v>20611894</v>
      </c>
      <c r="I12358">
        <v>20611894</v>
      </c>
    </row>
    <row r="12359" spans="1:9" x14ac:dyDescent="0.2">
      <c r="A12359" s="1" t="str">
        <f>"OR4P4"</f>
        <v>OR4P4</v>
      </c>
      <c r="B12359" t="s">
        <v>1122</v>
      </c>
      <c r="C12359" t="s">
        <v>27</v>
      </c>
      <c r="D12359" t="s">
        <v>17</v>
      </c>
      <c r="E12359" t="s">
        <v>20</v>
      </c>
      <c r="F12359">
        <v>55405833</v>
      </c>
      <c r="G12359">
        <v>55405833</v>
      </c>
      <c r="H12359">
        <v>55405833</v>
      </c>
      <c r="I12359">
        <v>55405833</v>
      </c>
    </row>
    <row r="12360" spans="1:9" x14ac:dyDescent="0.2">
      <c r="A12360" s="1" t="str">
        <f>"OR4Q3"</f>
        <v>OR4Q3</v>
      </c>
      <c r="B12360" t="s">
        <v>1123</v>
      </c>
      <c r="C12360" t="s">
        <v>41</v>
      </c>
      <c r="D12360" t="s">
        <v>17</v>
      </c>
      <c r="E12360" t="s">
        <v>20</v>
      </c>
      <c r="F12360">
        <v>20215586</v>
      </c>
      <c r="G12360">
        <v>20215586</v>
      </c>
      <c r="H12360">
        <v>20215586</v>
      </c>
      <c r="I12360">
        <v>20215586</v>
      </c>
    </row>
    <row r="12361" spans="1:9" x14ac:dyDescent="0.2">
      <c r="A12361" s="1" t="str">
        <f>"OR4S1"</f>
        <v>OR4S1</v>
      </c>
      <c r="B12361" t="s">
        <v>1124</v>
      </c>
      <c r="C12361" t="s">
        <v>27</v>
      </c>
      <c r="D12361" t="s">
        <v>17</v>
      </c>
      <c r="E12361" t="s">
        <v>20</v>
      </c>
      <c r="F12361">
        <v>48327774</v>
      </c>
      <c r="G12361">
        <v>48327774</v>
      </c>
      <c r="H12361">
        <v>48327774</v>
      </c>
      <c r="I12361">
        <v>48327774</v>
      </c>
    </row>
    <row r="12362" spans="1:9" x14ac:dyDescent="0.2">
      <c r="A12362" s="1" t="str">
        <f>"OR4S2"</f>
        <v>OR4S2</v>
      </c>
      <c r="B12362" t="s">
        <v>1125</v>
      </c>
      <c r="C12362" t="s">
        <v>27</v>
      </c>
      <c r="D12362" t="s">
        <v>17</v>
      </c>
      <c r="E12362" t="s">
        <v>20</v>
      </c>
      <c r="F12362">
        <v>55418379</v>
      </c>
      <c r="G12362">
        <v>55418379</v>
      </c>
      <c r="H12362">
        <v>55418379</v>
      </c>
      <c r="I12362">
        <v>55418379</v>
      </c>
    </row>
    <row r="12363" spans="1:9" x14ac:dyDescent="0.2">
      <c r="A12363" s="1" t="str">
        <f>"OR4X1"</f>
        <v>OR4X1</v>
      </c>
      <c r="B12363" t="s">
        <v>1126</v>
      </c>
      <c r="C12363" t="s">
        <v>27</v>
      </c>
      <c r="D12363" t="s">
        <v>17</v>
      </c>
      <c r="E12363" t="s">
        <v>20</v>
      </c>
      <c r="F12363">
        <v>48285412</v>
      </c>
      <c r="G12363">
        <v>48285412</v>
      </c>
      <c r="H12363">
        <v>48285412</v>
      </c>
      <c r="I12363">
        <v>48285412</v>
      </c>
    </row>
    <row r="12364" spans="1:9" x14ac:dyDescent="0.2">
      <c r="A12364" s="1" t="str">
        <f>"OR4X2"</f>
        <v>OR4X2</v>
      </c>
      <c r="B12364" t="s">
        <v>1127</v>
      </c>
      <c r="C12364" t="s">
        <v>27</v>
      </c>
      <c r="D12364" t="s">
        <v>17</v>
      </c>
      <c r="E12364" t="s">
        <v>20</v>
      </c>
      <c r="F12364">
        <v>48266607</v>
      </c>
      <c r="G12364">
        <v>48266607</v>
      </c>
      <c r="H12364">
        <v>48266607</v>
      </c>
      <c r="I12364">
        <v>48266607</v>
      </c>
    </row>
    <row r="12365" spans="1:9" x14ac:dyDescent="0.2">
      <c r="A12365" s="1" t="str">
        <f>"OR51A2"</f>
        <v>OR51A2</v>
      </c>
      <c r="B12365" t="s">
        <v>1128</v>
      </c>
      <c r="C12365" t="s">
        <v>27</v>
      </c>
      <c r="D12365" t="s">
        <v>11</v>
      </c>
      <c r="E12365" t="s">
        <v>20</v>
      </c>
      <c r="F12365">
        <v>4976942</v>
      </c>
      <c r="G12365">
        <v>4976942</v>
      </c>
      <c r="H12365">
        <v>4976942</v>
      </c>
      <c r="I12365">
        <v>4976942</v>
      </c>
    </row>
    <row r="12366" spans="1:9" x14ac:dyDescent="0.2">
      <c r="A12366" s="1" t="str">
        <f>"OR51A4"</f>
        <v>OR51A4</v>
      </c>
      <c r="B12366" t="s">
        <v>1129</v>
      </c>
      <c r="C12366" t="s">
        <v>27</v>
      </c>
      <c r="D12366" t="s">
        <v>11</v>
      </c>
      <c r="E12366" t="s">
        <v>20</v>
      </c>
      <c r="F12366">
        <v>4968355</v>
      </c>
      <c r="G12366">
        <v>4968355</v>
      </c>
      <c r="H12366">
        <v>4968355</v>
      </c>
      <c r="I12366">
        <v>4968355</v>
      </c>
    </row>
    <row r="12367" spans="1:9" x14ac:dyDescent="0.2">
      <c r="A12367" s="1" t="str">
        <f>"OR51A7"</f>
        <v>OR51A7</v>
      </c>
      <c r="B12367" t="s">
        <v>1130</v>
      </c>
      <c r="C12367" t="s">
        <v>27</v>
      </c>
      <c r="D12367" t="s">
        <v>17</v>
      </c>
      <c r="E12367" t="s">
        <v>20</v>
      </c>
      <c r="F12367">
        <v>4928599</v>
      </c>
      <c r="G12367">
        <v>4928599</v>
      </c>
      <c r="H12367">
        <v>4928599</v>
      </c>
      <c r="I12367">
        <v>4928599</v>
      </c>
    </row>
    <row r="12368" spans="1:9" x14ac:dyDescent="0.2">
      <c r="A12368" s="1" t="str">
        <f>"OR51B2"</f>
        <v>OR51B2</v>
      </c>
      <c r="B12368" t="s">
        <v>1131</v>
      </c>
      <c r="C12368" t="s">
        <v>27</v>
      </c>
      <c r="D12368" t="s">
        <v>11</v>
      </c>
      <c r="E12368" t="s">
        <v>20</v>
      </c>
      <c r="F12368">
        <v>5345581</v>
      </c>
      <c r="G12368">
        <v>5345581</v>
      </c>
      <c r="H12368">
        <v>5345581</v>
      </c>
      <c r="I12368">
        <v>5345581</v>
      </c>
    </row>
    <row r="12369" spans="1:9" x14ac:dyDescent="0.2">
      <c r="A12369" s="1" t="str">
        <f>"OR51B4"</f>
        <v>OR51B4</v>
      </c>
      <c r="B12369" t="s">
        <v>1132</v>
      </c>
      <c r="C12369" t="s">
        <v>27</v>
      </c>
      <c r="D12369" t="s">
        <v>11</v>
      </c>
      <c r="E12369" t="s">
        <v>20</v>
      </c>
      <c r="F12369">
        <v>5323225</v>
      </c>
      <c r="G12369">
        <v>5323225</v>
      </c>
      <c r="H12369">
        <v>5323225</v>
      </c>
      <c r="I12369">
        <v>5323225</v>
      </c>
    </row>
    <row r="12370" spans="1:9" x14ac:dyDescent="0.2">
      <c r="A12370" s="1" t="str">
        <f>"OR51B5"</f>
        <v>OR51B5</v>
      </c>
      <c r="B12370" t="s">
        <v>1133</v>
      </c>
      <c r="C12370" t="s">
        <v>27</v>
      </c>
      <c r="D12370" t="s">
        <v>11</v>
      </c>
      <c r="E12370" t="s">
        <v>20</v>
      </c>
      <c r="F12370">
        <v>5364808</v>
      </c>
      <c r="G12370">
        <v>5364808</v>
      </c>
      <c r="H12370">
        <v>5364808</v>
      </c>
      <c r="I12370">
        <v>5364808</v>
      </c>
    </row>
    <row r="12371" spans="1:9" x14ac:dyDescent="0.2">
      <c r="A12371" s="1" t="str">
        <f>"OR51B6"</f>
        <v>OR51B6</v>
      </c>
      <c r="B12371" t="s">
        <v>1134</v>
      </c>
      <c r="C12371" t="s">
        <v>27</v>
      </c>
      <c r="D12371" t="s">
        <v>17</v>
      </c>
      <c r="E12371" t="s">
        <v>20</v>
      </c>
      <c r="F12371">
        <v>5372737</v>
      </c>
      <c r="G12371">
        <v>5372737</v>
      </c>
      <c r="H12371">
        <v>5372737</v>
      </c>
      <c r="I12371">
        <v>5372737</v>
      </c>
    </row>
    <row r="12372" spans="1:9" x14ac:dyDescent="0.2">
      <c r="A12372" s="1" t="str">
        <f>"OR51D1"</f>
        <v>OR51D1</v>
      </c>
      <c r="B12372" t="s">
        <v>1135</v>
      </c>
      <c r="C12372" t="s">
        <v>27</v>
      </c>
      <c r="D12372" t="s">
        <v>17</v>
      </c>
      <c r="E12372" t="s">
        <v>20</v>
      </c>
      <c r="F12372">
        <v>4660944</v>
      </c>
      <c r="G12372">
        <v>4660944</v>
      </c>
      <c r="H12372">
        <v>4660944</v>
      </c>
      <c r="I12372">
        <v>4660944</v>
      </c>
    </row>
    <row r="12373" spans="1:9" x14ac:dyDescent="0.2">
      <c r="A12373" s="1" t="str">
        <f>"OR51E1"</f>
        <v>OR51E1</v>
      </c>
      <c r="B12373" t="s">
        <v>14</v>
      </c>
      <c r="C12373" t="s">
        <v>27</v>
      </c>
      <c r="D12373" t="s">
        <v>17</v>
      </c>
      <c r="E12373" t="s">
        <v>12</v>
      </c>
      <c r="F12373">
        <v>4665195</v>
      </c>
      <c r="G12373">
        <v>4665219</v>
      </c>
      <c r="H12373">
        <v>4665150</v>
      </c>
      <c r="I12373">
        <v>4665166</v>
      </c>
    </row>
    <row r="12374" spans="1:9" x14ac:dyDescent="0.2">
      <c r="A12374" s="1" t="str">
        <f>"OR51E2"</f>
        <v>OR51E2</v>
      </c>
      <c r="B12374" t="s">
        <v>14</v>
      </c>
      <c r="C12374" t="s">
        <v>27</v>
      </c>
      <c r="D12374" t="s">
        <v>11</v>
      </c>
      <c r="E12374" t="s">
        <v>12</v>
      </c>
      <c r="F12374">
        <v>4719072</v>
      </c>
      <c r="G12374">
        <v>4719089</v>
      </c>
      <c r="H12374">
        <v>4719072</v>
      </c>
      <c r="I12374">
        <v>4719089</v>
      </c>
    </row>
    <row r="12375" spans="1:9" x14ac:dyDescent="0.2">
      <c r="A12375" s="1" t="str">
        <f>"OR51F1"</f>
        <v>OR51F1</v>
      </c>
      <c r="B12375" t="s">
        <v>1136</v>
      </c>
      <c r="C12375" t="s">
        <v>27</v>
      </c>
      <c r="D12375" t="s">
        <v>11</v>
      </c>
      <c r="E12375" t="s">
        <v>20</v>
      </c>
      <c r="F12375">
        <v>4791167</v>
      </c>
      <c r="G12375">
        <v>4791167</v>
      </c>
      <c r="H12375">
        <v>4791167</v>
      </c>
      <c r="I12375">
        <v>4791167</v>
      </c>
    </row>
    <row r="12376" spans="1:9" x14ac:dyDescent="0.2">
      <c r="A12376" s="1" t="str">
        <f>"OR51F2"</f>
        <v>OR51F2</v>
      </c>
      <c r="B12376" t="s">
        <v>1137</v>
      </c>
      <c r="C12376" t="s">
        <v>27</v>
      </c>
      <c r="D12376" t="s">
        <v>17</v>
      </c>
      <c r="E12376" t="s">
        <v>20</v>
      </c>
      <c r="F12376">
        <v>4842550</v>
      </c>
      <c r="G12376">
        <v>4842550</v>
      </c>
      <c r="H12376">
        <v>4842550</v>
      </c>
      <c r="I12376">
        <v>4842550</v>
      </c>
    </row>
    <row r="12377" spans="1:9" x14ac:dyDescent="0.2">
      <c r="A12377" s="1" t="str">
        <f>"OR51G1"</f>
        <v>OR51G1</v>
      </c>
      <c r="B12377" t="s">
        <v>1138</v>
      </c>
      <c r="C12377" t="s">
        <v>27</v>
      </c>
      <c r="D12377" t="s">
        <v>11</v>
      </c>
      <c r="E12377" t="s">
        <v>20</v>
      </c>
      <c r="F12377">
        <v>4945636</v>
      </c>
      <c r="G12377">
        <v>4945636</v>
      </c>
      <c r="H12377">
        <v>4945636</v>
      </c>
      <c r="I12377">
        <v>4945636</v>
      </c>
    </row>
    <row r="12378" spans="1:9" x14ac:dyDescent="0.2">
      <c r="A12378" s="1" t="str">
        <f>"OR51G2"</f>
        <v>OR51G2</v>
      </c>
      <c r="B12378" t="s">
        <v>1139</v>
      </c>
      <c r="C12378" t="s">
        <v>27</v>
      </c>
      <c r="D12378" t="s">
        <v>11</v>
      </c>
      <c r="E12378" t="s">
        <v>20</v>
      </c>
      <c r="F12378">
        <v>4936921</v>
      </c>
      <c r="G12378">
        <v>4936921</v>
      </c>
      <c r="H12378">
        <v>4936921</v>
      </c>
      <c r="I12378">
        <v>4936921</v>
      </c>
    </row>
    <row r="12379" spans="1:9" x14ac:dyDescent="0.2">
      <c r="A12379" s="1" t="str">
        <f>"OR51I1"</f>
        <v>OR51I1</v>
      </c>
      <c r="B12379" t="s">
        <v>1140</v>
      </c>
      <c r="C12379" t="s">
        <v>27</v>
      </c>
      <c r="D12379" t="s">
        <v>11</v>
      </c>
      <c r="E12379" t="s">
        <v>20</v>
      </c>
      <c r="F12379">
        <v>5462743</v>
      </c>
      <c r="G12379">
        <v>5462743</v>
      </c>
      <c r="H12379">
        <v>5462743</v>
      </c>
      <c r="I12379">
        <v>5462743</v>
      </c>
    </row>
    <row r="12380" spans="1:9" x14ac:dyDescent="0.2">
      <c r="A12380" s="1" t="str">
        <f>"OR51I2"</f>
        <v>OR51I2</v>
      </c>
      <c r="B12380" t="s">
        <v>1141</v>
      </c>
      <c r="C12380" t="s">
        <v>27</v>
      </c>
      <c r="D12380" t="s">
        <v>17</v>
      </c>
      <c r="E12380" t="s">
        <v>20</v>
      </c>
      <c r="F12380">
        <v>5474637</v>
      </c>
      <c r="G12380">
        <v>5474637</v>
      </c>
      <c r="H12380">
        <v>5474637</v>
      </c>
      <c r="I12380">
        <v>5474637</v>
      </c>
    </row>
    <row r="12381" spans="1:9" x14ac:dyDescent="0.2">
      <c r="A12381" s="1" t="str">
        <f>"OR51L1"</f>
        <v>OR51L1</v>
      </c>
      <c r="B12381" t="s">
        <v>1142</v>
      </c>
      <c r="C12381" t="s">
        <v>27</v>
      </c>
      <c r="D12381" t="s">
        <v>17</v>
      </c>
      <c r="E12381" t="s">
        <v>20</v>
      </c>
      <c r="F12381">
        <v>5020212</v>
      </c>
      <c r="G12381">
        <v>5020212</v>
      </c>
      <c r="H12381">
        <v>5020212</v>
      </c>
      <c r="I12381">
        <v>5020212</v>
      </c>
    </row>
    <row r="12382" spans="1:9" x14ac:dyDescent="0.2">
      <c r="A12382" s="1" t="str">
        <f>"OR51M1"</f>
        <v>OR51M1</v>
      </c>
      <c r="B12382" t="s">
        <v>1143</v>
      </c>
      <c r="C12382" t="s">
        <v>27</v>
      </c>
      <c r="D12382" t="s">
        <v>17</v>
      </c>
      <c r="E12382" t="s">
        <v>20</v>
      </c>
      <c r="F12382">
        <v>5410606</v>
      </c>
      <c r="G12382">
        <v>5410606</v>
      </c>
      <c r="H12382">
        <v>5410606</v>
      </c>
      <c r="I12382">
        <v>5410606</v>
      </c>
    </row>
    <row r="12383" spans="1:9" x14ac:dyDescent="0.2">
      <c r="A12383" s="1" t="str">
        <f>"OR51Q1"</f>
        <v>OR51Q1</v>
      </c>
      <c r="B12383" t="s">
        <v>1144</v>
      </c>
      <c r="C12383" t="s">
        <v>27</v>
      </c>
      <c r="D12383" t="s">
        <v>17</v>
      </c>
      <c r="E12383" t="s">
        <v>20</v>
      </c>
      <c r="F12383">
        <v>5443340</v>
      </c>
      <c r="G12383">
        <v>5443340</v>
      </c>
      <c r="H12383">
        <v>5443340</v>
      </c>
      <c r="I12383">
        <v>5443340</v>
      </c>
    </row>
    <row r="12384" spans="1:9" x14ac:dyDescent="0.2">
      <c r="A12384" s="1" t="str">
        <f>"OR51S1"</f>
        <v>OR51S1</v>
      </c>
      <c r="B12384" t="s">
        <v>1145</v>
      </c>
      <c r="C12384" t="s">
        <v>27</v>
      </c>
      <c r="D12384" t="s">
        <v>11</v>
      </c>
      <c r="E12384" t="s">
        <v>20</v>
      </c>
      <c r="F12384">
        <v>4870513</v>
      </c>
      <c r="G12384">
        <v>4870513</v>
      </c>
      <c r="H12384">
        <v>4870513</v>
      </c>
      <c r="I12384">
        <v>4870513</v>
      </c>
    </row>
    <row r="12385" spans="1:9" x14ac:dyDescent="0.2">
      <c r="A12385" s="1" t="str">
        <f>"OR51T1"</f>
        <v>OR51T1</v>
      </c>
      <c r="B12385" t="s">
        <v>1146</v>
      </c>
      <c r="C12385" t="s">
        <v>27</v>
      </c>
      <c r="D12385" t="s">
        <v>17</v>
      </c>
      <c r="E12385" t="s">
        <v>20</v>
      </c>
      <c r="F12385">
        <v>4903088</v>
      </c>
      <c r="G12385">
        <v>4903088</v>
      </c>
      <c r="H12385">
        <v>4903088</v>
      </c>
      <c r="I12385">
        <v>4903088</v>
      </c>
    </row>
    <row r="12386" spans="1:9" x14ac:dyDescent="0.2">
      <c r="A12386" s="1" t="str">
        <f>"OR51V1"</f>
        <v>OR51V1</v>
      </c>
      <c r="B12386" t="s">
        <v>1147</v>
      </c>
      <c r="C12386" t="s">
        <v>27</v>
      </c>
      <c r="D12386" t="s">
        <v>11</v>
      </c>
      <c r="E12386" t="s">
        <v>20</v>
      </c>
      <c r="F12386">
        <v>5221929</v>
      </c>
      <c r="G12386">
        <v>5221929</v>
      </c>
      <c r="H12386">
        <v>5221929</v>
      </c>
      <c r="I12386">
        <v>5221929</v>
      </c>
    </row>
    <row r="12387" spans="1:9" x14ac:dyDescent="0.2">
      <c r="A12387" s="1" t="str">
        <f>"OR52A1"</f>
        <v>OR52A1</v>
      </c>
      <c r="B12387" t="s">
        <v>1148</v>
      </c>
      <c r="C12387" t="s">
        <v>27</v>
      </c>
      <c r="D12387" t="s">
        <v>11</v>
      </c>
      <c r="E12387" t="s">
        <v>20</v>
      </c>
      <c r="F12387">
        <v>5173598</v>
      </c>
      <c r="G12387">
        <v>5173598</v>
      </c>
      <c r="H12387">
        <v>5173598</v>
      </c>
      <c r="I12387">
        <v>5173598</v>
      </c>
    </row>
    <row r="12388" spans="1:9" x14ac:dyDescent="0.2">
      <c r="A12388" s="1" t="str">
        <f>"OR52A1"</f>
        <v>OR52A1</v>
      </c>
      <c r="B12388" t="s">
        <v>1149</v>
      </c>
      <c r="C12388" t="s">
        <v>27</v>
      </c>
      <c r="D12388" t="s">
        <v>11</v>
      </c>
      <c r="E12388" t="s">
        <v>20</v>
      </c>
      <c r="F12388">
        <v>5207611</v>
      </c>
      <c r="G12388">
        <v>5207611</v>
      </c>
      <c r="H12388">
        <v>5207611</v>
      </c>
      <c r="I12388">
        <v>5207611</v>
      </c>
    </row>
    <row r="12389" spans="1:9" x14ac:dyDescent="0.2">
      <c r="A12389" s="1" t="str">
        <f>"OR52A5"</f>
        <v>OR52A5</v>
      </c>
      <c r="B12389" t="s">
        <v>1150</v>
      </c>
      <c r="C12389" t="s">
        <v>27</v>
      </c>
      <c r="D12389" t="s">
        <v>11</v>
      </c>
      <c r="E12389" t="s">
        <v>20</v>
      </c>
      <c r="F12389">
        <v>5153871</v>
      </c>
      <c r="G12389">
        <v>5153871</v>
      </c>
      <c r="H12389">
        <v>5153871</v>
      </c>
      <c r="I12389">
        <v>5153871</v>
      </c>
    </row>
    <row r="12390" spans="1:9" x14ac:dyDescent="0.2">
      <c r="A12390" s="1" t="str">
        <f>"OR52B2"</f>
        <v>OR52B2</v>
      </c>
      <c r="B12390" t="s">
        <v>1151</v>
      </c>
      <c r="C12390" t="s">
        <v>27</v>
      </c>
      <c r="D12390" t="s">
        <v>11</v>
      </c>
      <c r="E12390" t="s">
        <v>20</v>
      </c>
      <c r="F12390">
        <v>6191637</v>
      </c>
      <c r="G12390">
        <v>6191637</v>
      </c>
      <c r="H12390">
        <v>6191637</v>
      </c>
      <c r="I12390">
        <v>6191637</v>
      </c>
    </row>
    <row r="12391" spans="1:9" x14ac:dyDescent="0.2">
      <c r="A12391" s="1" t="str">
        <f>"OR52B4"</f>
        <v>OR52B4</v>
      </c>
      <c r="B12391" t="s">
        <v>1152</v>
      </c>
      <c r="C12391" t="s">
        <v>27</v>
      </c>
      <c r="D12391" t="s">
        <v>11</v>
      </c>
      <c r="E12391" t="s">
        <v>20</v>
      </c>
      <c r="F12391">
        <v>4389615</v>
      </c>
      <c r="G12391">
        <v>4389615</v>
      </c>
      <c r="H12391">
        <v>4389615</v>
      </c>
      <c r="I12391">
        <v>4389615</v>
      </c>
    </row>
    <row r="12392" spans="1:9" x14ac:dyDescent="0.2">
      <c r="A12392" s="1" t="str">
        <f>"OR52B6"</f>
        <v>OR52B6</v>
      </c>
      <c r="B12392" t="s">
        <v>1153</v>
      </c>
      <c r="C12392" t="s">
        <v>27</v>
      </c>
      <c r="D12392" t="s">
        <v>17</v>
      </c>
      <c r="E12392" t="s">
        <v>20</v>
      </c>
      <c r="F12392">
        <v>5602106</v>
      </c>
      <c r="G12392">
        <v>5602106</v>
      </c>
      <c r="H12392">
        <v>5602106</v>
      </c>
      <c r="I12392">
        <v>5602106</v>
      </c>
    </row>
    <row r="12393" spans="1:9" x14ac:dyDescent="0.2">
      <c r="A12393" s="1" t="str">
        <f>"OR52D1"</f>
        <v>OR52D1</v>
      </c>
      <c r="B12393" t="s">
        <v>1154</v>
      </c>
      <c r="C12393" t="s">
        <v>27</v>
      </c>
      <c r="D12393" t="s">
        <v>17</v>
      </c>
      <c r="E12393" t="s">
        <v>20</v>
      </c>
      <c r="F12393">
        <v>5509914</v>
      </c>
      <c r="G12393">
        <v>5509914</v>
      </c>
      <c r="H12393">
        <v>5509914</v>
      </c>
      <c r="I12393">
        <v>5509914</v>
      </c>
    </row>
    <row r="12394" spans="1:9" x14ac:dyDescent="0.2">
      <c r="A12394" s="1" t="str">
        <f>"OR52E2"</f>
        <v>OR52E2</v>
      </c>
      <c r="B12394" t="s">
        <v>1155</v>
      </c>
      <c r="C12394" t="s">
        <v>27</v>
      </c>
      <c r="D12394" t="s">
        <v>11</v>
      </c>
      <c r="E12394" t="s">
        <v>20</v>
      </c>
      <c r="F12394">
        <v>5080856</v>
      </c>
      <c r="G12394">
        <v>5080856</v>
      </c>
      <c r="H12394">
        <v>5080856</v>
      </c>
      <c r="I12394">
        <v>5080856</v>
      </c>
    </row>
    <row r="12395" spans="1:9" x14ac:dyDescent="0.2">
      <c r="A12395" s="1" t="str">
        <f>"OR52E4"</f>
        <v>OR52E4</v>
      </c>
      <c r="B12395" t="s">
        <v>1156</v>
      </c>
      <c r="C12395" t="s">
        <v>27</v>
      </c>
      <c r="D12395" t="s">
        <v>17</v>
      </c>
      <c r="E12395" t="s">
        <v>20</v>
      </c>
      <c r="F12395">
        <v>5905500</v>
      </c>
      <c r="G12395">
        <v>5905500</v>
      </c>
      <c r="H12395">
        <v>5905500</v>
      </c>
      <c r="I12395">
        <v>5905500</v>
      </c>
    </row>
    <row r="12396" spans="1:9" x14ac:dyDescent="0.2">
      <c r="A12396" s="1" t="str">
        <f>"OR52E6"</f>
        <v>OR52E6</v>
      </c>
      <c r="B12396" t="s">
        <v>1157</v>
      </c>
      <c r="C12396" t="s">
        <v>27</v>
      </c>
      <c r="D12396" t="s">
        <v>11</v>
      </c>
      <c r="E12396" t="s">
        <v>20</v>
      </c>
      <c r="F12396">
        <v>5863126</v>
      </c>
      <c r="G12396">
        <v>5863126</v>
      </c>
      <c r="H12396">
        <v>5863126</v>
      </c>
      <c r="I12396">
        <v>5863126</v>
      </c>
    </row>
    <row r="12397" spans="1:9" x14ac:dyDescent="0.2">
      <c r="A12397" s="1" t="str">
        <f>"OR52E8"</f>
        <v>OR52E8</v>
      </c>
      <c r="B12397" t="s">
        <v>1158</v>
      </c>
      <c r="C12397" t="s">
        <v>27</v>
      </c>
      <c r="D12397" t="s">
        <v>11</v>
      </c>
      <c r="E12397" t="s">
        <v>20</v>
      </c>
      <c r="F12397">
        <v>5878963</v>
      </c>
      <c r="G12397">
        <v>5878963</v>
      </c>
      <c r="H12397">
        <v>5878963</v>
      </c>
      <c r="I12397">
        <v>5878963</v>
      </c>
    </row>
    <row r="12398" spans="1:9" x14ac:dyDescent="0.2">
      <c r="A12398" s="1" t="str">
        <f>"OR52H1"</f>
        <v>OR52H1</v>
      </c>
      <c r="B12398" t="s">
        <v>1159</v>
      </c>
      <c r="C12398" t="s">
        <v>27</v>
      </c>
      <c r="D12398" t="s">
        <v>11</v>
      </c>
      <c r="E12398" t="s">
        <v>20</v>
      </c>
      <c r="F12398">
        <v>5566778</v>
      </c>
      <c r="G12398">
        <v>5566778</v>
      </c>
      <c r="H12398">
        <v>5566778</v>
      </c>
      <c r="I12398">
        <v>5566778</v>
      </c>
    </row>
    <row r="12399" spans="1:9" x14ac:dyDescent="0.2">
      <c r="A12399" s="1" t="str">
        <f>"OR52I1"</f>
        <v>OR52I1</v>
      </c>
      <c r="B12399" t="s">
        <v>1160</v>
      </c>
      <c r="C12399" t="s">
        <v>27</v>
      </c>
      <c r="D12399" t="s">
        <v>17</v>
      </c>
      <c r="E12399" t="s">
        <v>20</v>
      </c>
      <c r="F12399">
        <v>4615268</v>
      </c>
      <c r="G12399">
        <v>4615268</v>
      </c>
      <c r="H12399">
        <v>4615268</v>
      </c>
      <c r="I12399">
        <v>4615268</v>
      </c>
    </row>
    <row r="12400" spans="1:9" x14ac:dyDescent="0.2">
      <c r="A12400" s="1" t="str">
        <f>"OR52I2"</f>
        <v>OR52I2</v>
      </c>
      <c r="B12400" t="s">
        <v>1161</v>
      </c>
      <c r="C12400" t="s">
        <v>27</v>
      </c>
      <c r="D12400" t="s">
        <v>17</v>
      </c>
      <c r="E12400" t="s">
        <v>20</v>
      </c>
      <c r="F12400">
        <v>4608020</v>
      </c>
      <c r="G12400">
        <v>4608020</v>
      </c>
      <c r="H12400">
        <v>4608020</v>
      </c>
      <c r="I12400">
        <v>4608020</v>
      </c>
    </row>
    <row r="12401" spans="1:9" x14ac:dyDescent="0.2">
      <c r="A12401" s="1" t="str">
        <f>"OR52J3"</f>
        <v>OR52J3</v>
      </c>
      <c r="B12401" t="s">
        <v>1162</v>
      </c>
      <c r="C12401" t="s">
        <v>27</v>
      </c>
      <c r="D12401" t="s">
        <v>17</v>
      </c>
      <c r="E12401" t="s">
        <v>20</v>
      </c>
      <c r="F12401">
        <v>5067755</v>
      </c>
      <c r="G12401">
        <v>5067755</v>
      </c>
      <c r="H12401">
        <v>5067755</v>
      </c>
      <c r="I12401">
        <v>5067755</v>
      </c>
    </row>
    <row r="12402" spans="1:9" x14ac:dyDescent="0.2">
      <c r="A12402" s="1" t="str">
        <f>"OR52K1"</f>
        <v>OR52K1</v>
      </c>
      <c r="B12402" t="s">
        <v>1163</v>
      </c>
      <c r="C12402" t="s">
        <v>27</v>
      </c>
      <c r="D12402" t="s">
        <v>17</v>
      </c>
      <c r="E12402" t="s">
        <v>20</v>
      </c>
      <c r="F12402">
        <v>4510108</v>
      </c>
      <c r="G12402">
        <v>4510108</v>
      </c>
      <c r="H12402">
        <v>4510108</v>
      </c>
      <c r="I12402">
        <v>4510108</v>
      </c>
    </row>
    <row r="12403" spans="1:9" x14ac:dyDescent="0.2">
      <c r="A12403" s="1" t="str">
        <f>"OR52K2"</f>
        <v>OR52K2</v>
      </c>
      <c r="B12403" t="s">
        <v>1164</v>
      </c>
      <c r="C12403" t="s">
        <v>27</v>
      </c>
      <c r="D12403" t="s">
        <v>17</v>
      </c>
      <c r="E12403" t="s">
        <v>20</v>
      </c>
      <c r="F12403">
        <v>4470524</v>
      </c>
      <c r="G12403">
        <v>4470524</v>
      </c>
      <c r="H12403">
        <v>4470524</v>
      </c>
      <c r="I12403">
        <v>4470524</v>
      </c>
    </row>
    <row r="12404" spans="1:9" x14ac:dyDescent="0.2">
      <c r="A12404" s="1" t="str">
        <f>"OR52L1"</f>
        <v>OR52L1</v>
      </c>
      <c r="B12404" t="s">
        <v>1165</v>
      </c>
      <c r="C12404" t="s">
        <v>27</v>
      </c>
      <c r="D12404" t="s">
        <v>11</v>
      </c>
      <c r="E12404" t="s">
        <v>20</v>
      </c>
      <c r="F12404">
        <v>6008214</v>
      </c>
      <c r="G12404">
        <v>6008214</v>
      </c>
      <c r="H12404">
        <v>6008214</v>
      </c>
      <c r="I12404">
        <v>6008214</v>
      </c>
    </row>
    <row r="12405" spans="1:9" x14ac:dyDescent="0.2">
      <c r="A12405" s="1" t="str">
        <f>"OR52M1"</f>
        <v>OR52M1</v>
      </c>
      <c r="B12405" t="s">
        <v>1166</v>
      </c>
      <c r="C12405" t="s">
        <v>27</v>
      </c>
      <c r="D12405" t="s">
        <v>17</v>
      </c>
      <c r="E12405" t="s">
        <v>20</v>
      </c>
      <c r="F12405">
        <v>4566420</v>
      </c>
      <c r="G12405">
        <v>4566420</v>
      </c>
      <c r="H12405">
        <v>4566420</v>
      </c>
      <c r="I12405">
        <v>4566420</v>
      </c>
    </row>
    <row r="12406" spans="1:9" x14ac:dyDescent="0.2">
      <c r="A12406" s="1" t="str">
        <f>"OR52N1"</f>
        <v>OR52N1</v>
      </c>
      <c r="B12406" t="s">
        <v>1167</v>
      </c>
      <c r="C12406" t="s">
        <v>27</v>
      </c>
      <c r="D12406" t="s">
        <v>11</v>
      </c>
      <c r="E12406" t="s">
        <v>20</v>
      </c>
      <c r="F12406">
        <v>5810045</v>
      </c>
      <c r="G12406">
        <v>5810045</v>
      </c>
      <c r="H12406">
        <v>5810045</v>
      </c>
      <c r="I12406">
        <v>5810045</v>
      </c>
    </row>
    <row r="12407" spans="1:9" x14ac:dyDescent="0.2">
      <c r="A12407" s="1" t="str">
        <f>"OR52N2"</f>
        <v>OR52N2</v>
      </c>
      <c r="B12407" t="s">
        <v>1168</v>
      </c>
      <c r="C12407" t="s">
        <v>27</v>
      </c>
      <c r="D12407" t="s">
        <v>17</v>
      </c>
      <c r="E12407" t="s">
        <v>20</v>
      </c>
      <c r="F12407">
        <v>5841543</v>
      </c>
      <c r="G12407">
        <v>5841543</v>
      </c>
      <c r="H12407">
        <v>5841543</v>
      </c>
      <c r="I12407">
        <v>5841543</v>
      </c>
    </row>
    <row r="12408" spans="1:9" x14ac:dyDescent="0.2">
      <c r="A12408" s="1" t="str">
        <f>"OR52N4"</f>
        <v>OR52N4</v>
      </c>
      <c r="B12408" t="s">
        <v>1169</v>
      </c>
      <c r="C12408" t="s">
        <v>27</v>
      </c>
      <c r="D12408" t="s">
        <v>17</v>
      </c>
      <c r="E12408" t="s">
        <v>20</v>
      </c>
      <c r="F12408">
        <v>5775922</v>
      </c>
      <c r="G12408">
        <v>5775922</v>
      </c>
      <c r="H12408">
        <v>5775922</v>
      </c>
      <c r="I12408">
        <v>5775922</v>
      </c>
    </row>
    <row r="12409" spans="1:9" x14ac:dyDescent="0.2">
      <c r="A12409" s="1" t="str">
        <f>"OR52N5"</f>
        <v>OR52N5</v>
      </c>
      <c r="B12409" t="s">
        <v>1170</v>
      </c>
      <c r="C12409" t="s">
        <v>27</v>
      </c>
      <c r="D12409" t="s">
        <v>11</v>
      </c>
      <c r="E12409" t="s">
        <v>20</v>
      </c>
      <c r="F12409">
        <v>5799896</v>
      </c>
      <c r="G12409">
        <v>5799896</v>
      </c>
      <c r="H12409">
        <v>5799896</v>
      </c>
      <c r="I12409">
        <v>5799896</v>
      </c>
    </row>
    <row r="12410" spans="1:9" x14ac:dyDescent="0.2">
      <c r="A12410" s="1" t="str">
        <f>"OR52R1"</f>
        <v>OR52R1</v>
      </c>
      <c r="B12410" t="s">
        <v>1171</v>
      </c>
      <c r="C12410" t="s">
        <v>27</v>
      </c>
      <c r="D12410" t="s">
        <v>11</v>
      </c>
      <c r="E12410" t="s">
        <v>20</v>
      </c>
      <c r="F12410">
        <v>4825609</v>
      </c>
      <c r="G12410">
        <v>4825609</v>
      </c>
      <c r="H12410">
        <v>4825609</v>
      </c>
      <c r="I12410">
        <v>4825609</v>
      </c>
    </row>
    <row r="12411" spans="1:9" x14ac:dyDescent="0.2">
      <c r="A12411" s="1" t="str">
        <f>"OR52W1"</f>
        <v>OR52W1</v>
      </c>
      <c r="B12411" t="s">
        <v>1172</v>
      </c>
      <c r="C12411" t="s">
        <v>27</v>
      </c>
      <c r="D12411" t="s">
        <v>17</v>
      </c>
      <c r="E12411" t="s">
        <v>20</v>
      </c>
      <c r="F12411">
        <v>6220375</v>
      </c>
      <c r="G12411">
        <v>6220375</v>
      </c>
      <c r="H12411">
        <v>6220375</v>
      </c>
      <c r="I12411">
        <v>6220375</v>
      </c>
    </row>
    <row r="12412" spans="1:9" x14ac:dyDescent="0.2">
      <c r="A12412" s="1" t="str">
        <f>"OR56A1"</f>
        <v>OR56A1</v>
      </c>
      <c r="B12412" t="s">
        <v>1173</v>
      </c>
      <c r="C12412" t="s">
        <v>27</v>
      </c>
      <c r="D12412" t="s">
        <v>11</v>
      </c>
      <c r="E12412" t="s">
        <v>20</v>
      </c>
      <c r="F12412">
        <v>6048970</v>
      </c>
      <c r="G12412">
        <v>6048970</v>
      </c>
      <c r="H12412">
        <v>6048970</v>
      </c>
      <c r="I12412">
        <v>6048970</v>
      </c>
    </row>
    <row r="12413" spans="1:9" x14ac:dyDescent="0.2">
      <c r="A12413" s="1" t="str">
        <f>"OR56A3"</f>
        <v>OR56A3</v>
      </c>
      <c r="B12413" t="s">
        <v>1174</v>
      </c>
      <c r="C12413" t="s">
        <v>27</v>
      </c>
      <c r="D12413" t="s">
        <v>17</v>
      </c>
      <c r="E12413" t="s">
        <v>20</v>
      </c>
      <c r="F12413">
        <v>5968569</v>
      </c>
      <c r="G12413">
        <v>5968569</v>
      </c>
      <c r="H12413">
        <v>5968569</v>
      </c>
      <c r="I12413">
        <v>5968569</v>
      </c>
    </row>
    <row r="12414" spans="1:9" x14ac:dyDescent="0.2">
      <c r="A12414" s="1" t="str">
        <f>"OR56A4"</f>
        <v>OR56A4</v>
      </c>
      <c r="B12414" t="s">
        <v>1175</v>
      </c>
      <c r="C12414" t="s">
        <v>27</v>
      </c>
      <c r="D12414" t="s">
        <v>11</v>
      </c>
      <c r="E12414" t="s">
        <v>20</v>
      </c>
      <c r="F12414">
        <v>6024423</v>
      </c>
      <c r="G12414">
        <v>6024423</v>
      </c>
      <c r="H12414">
        <v>6024423</v>
      </c>
      <c r="I12414">
        <v>6024423</v>
      </c>
    </row>
    <row r="12415" spans="1:9" x14ac:dyDescent="0.2">
      <c r="A12415" s="1" t="str">
        <f>"OR56A5"</f>
        <v>OR56A5</v>
      </c>
      <c r="B12415" t="s">
        <v>1176</v>
      </c>
      <c r="C12415" t="s">
        <v>27</v>
      </c>
      <c r="D12415" t="s">
        <v>11</v>
      </c>
      <c r="E12415" t="s">
        <v>20</v>
      </c>
      <c r="F12415">
        <v>5989723</v>
      </c>
      <c r="G12415">
        <v>5989723</v>
      </c>
      <c r="H12415">
        <v>5989723</v>
      </c>
      <c r="I12415">
        <v>5989723</v>
      </c>
    </row>
    <row r="12416" spans="1:9" x14ac:dyDescent="0.2">
      <c r="A12416" s="1" t="str">
        <f>"OR56B1"</f>
        <v>OR56B1</v>
      </c>
      <c r="B12416" t="s">
        <v>14</v>
      </c>
      <c r="C12416" t="s">
        <v>27</v>
      </c>
      <c r="D12416" t="s">
        <v>17</v>
      </c>
      <c r="E12416" t="s">
        <v>12</v>
      </c>
      <c r="F12416">
        <v>5729407</v>
      </c>
      <c r="G12416">
        <v>5729423</v>
      </c>
      <c r="H12416">
        <v>5729407</v>
      </c>
      <c r="I12416">
        <v>5729423</v>
      </c>
    </row>
    <row r="12417" spans="1:9" x14ac:dyDescent="0.2">
      <c r="A12417" s="1" t="str">
        <f>"OR56B4"</f>
        <v>OR56B4</v>
      </c>
      <c r="B12417" t="s">
        <v>1177</v>
      </c>
      <c r="C12417" t="s">
        <v>27</v>
      </c>
      <c r="D12417" t="s">
        <v>17</v>
      </c>
      <c r="E12417" t="s">
        <v>20</v>
      </c>
      <c r="F12417">
        <v>6128913</v>
      </c>
      <c r="G12417">
        <v>6128913</v>
      </c>
      <c r="H12417">
        <v>6128913</v>
      </c>
      <c r="I12417">
        <v>6128913</v>
      </c>
    </row>
    <row r="12418" spans="1:9" x14ac:dyDescent="0.2">
      <c r="A12418" s="1" t="str">
        <f>"OR5A1"</f>
        <v>OR5A1</v>
      </c>
      <c r="B12418" t="s">
        <v>1178</v>
      </c>
      <c r="C12418" t="s">
        <v>27</v>
      </c>
      <c r="D12418" t="s">
        <v>17</v>
      </c>
      <c r="E12418" t="s">
        <v>20</v>
      </c>
      <c r="F12418">
        <v>59210616</v>
      </c>
      <c r="G12418">
        <v>59210616</v>
      </c>
      <c r="H12418">
        <v>59210616</v>
      </c>
      <c r="I12418">
        <v>59210616</v>
      </c>
    </row>
    <row r="12419" spans="1:9" x14ac:dyDescent="0.2">
      <c r="A12419" s="1" t="str">
        <f>"OR5A2"</f>
        <v>OR5A2</v>
      </c>
      <c r="B12419" t="s">
        <v>1179</v>
      </c>
      <c r="C12419" t="s">
        <v>27</v>
      </c>
      <c r="D12419" t="s">
        <v>11</v>
      </c>
      <c r="E12419" t="s">
        <v>20</v>
      </c>
      <c r="F12419">
        <v>59190448</v>
      </c>
      <c r="G12419">
        <v>59190448</v>
      </c>
      <c r="H12419">
        <v>59190448</v>
      </c>
      <c r="I12419">
        <v>59190448</v>
      </c>
    </row>
    <row r="12420" spans="1:9" x14ac:dyDescent="0.2">
      <c r="A12420" s="1" t="str">
        <f>"OR5AC2"</f>
        <v>OR5AC2</v>
      </c>
      <c r="B12420" t="s">
        <v>1180</v>
      </c>
      <c r="C12420" t="s">
        <v>22</v>
      </c>
      <c r="D12420" t="s">
        <v>17</v>
      </c>
      <c r="E12420" t="s">
        <v>20</v>
      </c>
      <c r="F12420">
        <v>97806016</v>
      </c>
      <c r="G12420">
        <v>97806016</v>
      </c>
      <c r="H12420">
        <v>97806016</v>
      </c>
      <c r="I12420">
        <v>97806016</v>
      </c>
    </row>
    <row r="12421" spans="1:9" x14ac:dyDescent="0.2">
      <c r="A12421" s="1" t="str">
        <f>"OR5AK2"</f>
        <v>OR5AK2</v>
      </c>
      <c r="B12421" t="s">
        <v>1181</v>
      </c>
      <c r="C12421" t="s">
        <v>27</v>
      </c>
      <c r="D12421" t="s">
        <v>17</v>
      </c>
      <c r="E12421" t="s">
        <v>20</v>
      </c>
      <c r="F12421">
        <v>56756346</v>
      </c>
      <c r="G12421">
        <v>56756346</v>
      </c>
      <c r="H12421">
        <v>56756346</v>
      </c>
      <c r="I12421">
        <v>56756346</v>
      </c>
    </row>
    <row r="12422" spans="1:9" x14ac:dyDescent="0.2">
      <c r="A12422" s="1" t="str">
        <f>"OR5AN1"</f>
        <v>OR5AN1</v>
      </c>
      <c r="B12422" t="s">
        <v>1182</v>
      </c>
      <c r="C12422" t="s">
        <v>27</v>
      </c>
      <c r="D12422" t="s">
        <v>17</v>
      </c>
      <c r="E12422" t="s">
        <v>20</v>
      </c>
      <c r="F12422">
        <v>59131884</v>
      </c>
      <c r="G12422">
        <v>59131884</v>
      </c>
      <c r="H12422">
        <v>59131884</v>
      </c>
      <c r="I12422">
        <v>59131884</v>
      </c>
    </row>
    <row r="12423" spans="1:9" x14ac:dyDescent="0.2">
      <c r="A12423" s="1" t="str">
        <f>"OR5AP2"</f>
        <v>OR5AP2</v>
      </c>
      <c r="B12423" t="s">
        <v>1183</v>
      </c>
      <c r="C12423" t="s">
        <v>27</v>
      </c>
      <c r="D12423" t="s">
        <v>11</v>
      </c>
      <c r="E12423" t="s">
        <v>20</v>
      </c>
      <c r="F12423">
        <v>56409930</v>
      </c>
      <c r="G12423">
        <v>56409930</v>
      </c>
      <c r="H12423">
        <v>56409930</v>
      </c>
      <c r="I12423">
        <v>56409930</v>
      </c>
    </row>
    <row r="12424" spans="1:9" x14ac:dyDescent="0.2">
      <c r="A12424" s="1" t="str">
        <f>"OR5AR1"</f>
        <v>OR5AR1</v>
      </c>
      <c r="B12424" t="s">
        <v>1184</v>
      </c>
      <c r="C12424" t="s">
        <v>27</v>
      </c>
      <c r="D12424" t="s">
        <v>17</v>
      </c>
      <c r="E12424" t="s">
        <v>20</v>
      </c>
      <c r="F12424">
        <v>56431137</v>
      </c>
      <c r="G12424">
        <v>56431137</v>
      </c>
      <c r="H12424">
        <v>56431137</v>
      </c>
      <c r="I12424">
        <v>56431137</v>
      </c>
    </row>
    <row r="12425" spans="1:9" x14ac:dyDescent="0.2">
      <c r="A12425" s="1" t="str">
        <f>"OR5AS1"</f>
        <v>OR5AS1</v>
      </c>
      <c r="B12425" t="s">
        <v>1185</v>
      </c>
      <c r="C12425" t="s">
        <v>27</v>
      </c>
      <c r="D12425" t="s">
        <v>17</v>
      </c>
      <c r="E12425" t="s">
        <v>20</v>
      </c>
      <c r="F12425">
        <v>55797894</v>
      </c>
      <c r="G12425">
        <v>55797894</v>
      </c>
      <c r="H12425">
        <v>55797894</v>
      </c>
      <c r="I12425">
        <v>55797894</v>
      </c>
    </row>
    <row r="12426" spans="1:9" x14ac:dyDescent="0.2">
      <c r="A12426" s="1" t="str">
        <f>"OR5AU1"</f>
        <v>OR5AU1</v>
      </c>
      <c r="B12426" t="s">
        <v>1186</v>
      </c>
      <c r="C12426" t="s">
        <v>41</v>
      </c>
      <c r="D12426" t="s">
        <v>11</v>
      </c>
      <c r="E12426" t="s">
        <v>20</v>
      </c>
      <c r="F12426">
        <v>21624221</v>
      </c>
      <c r="G12426">
        <v>21624221</v>
      </c>
      <c r="H12426">
        <v>21624221</v>
      </c>
      <c r="I12426">
        <v>21624221</v>
      </c>
    </row>
    <row r="12427" spans="1:9" x14ac:dyDescent="0.2">
      <c r="A12427" s="1" t="str">
        <f>"OR5B12"</f>
        <v>OR5B12</v>
      </c>
      <c r="B12427" t="s">
        <v>1187</v>
      </c>
      <c r="C12427" t="s">
        <v>27</v>
      </c>
      <c r="D12427" t="s">
        <v>11</v>
      </c>
      <c r="E12427" t="s">
        <v>20</v>
      </c>
      <c r="F12427">
        <v>58207645</v>
      </c>
      <c r="G12427">
        <v>58207645</v>
      </c>
      <c r="H12427">
        <v>58207645</v>
      </c>
      <c r="I12427">
        <v>58207645</v>
      </c>
    </row>
    <row r="12428" spans="1:9" x14ac:dyDescent="0.2">
      <c r="A12428" s="1" t="str">
        <f>"OR5B17"</f>
        <v>OR5B17</v>
      </c>
      <c r="B12428" t="s">
        <v>1188</v>
      </c>
      <c r="C12428" t="s">
        <v>27</v>
      </c>
      <c r="D12428" t="s">
        <v>11</v>
      </c>
      <c r="E12428" t="s">
        <v>20</v>
      </c>
      <c r="F12428">
        <v>58126541</v>
      </c>
      <c r="G12428">
        <v>58126541</v>
      </c>
      <c r="H12428">
        <v>58126541</v>
      </c>
      <c r="I12428">
        <v>58126541</v>
      </c>
    </row>
    <row r="12429" spans="1:9" x14ac:dyDescent="0.2">
      <c r="A12429" s="1" t="str">
        <f>"OR5B2"</f>
        <v>OR5B2</v>
      </c>
      <c r="B12429" t="s">
        <v>1189</v>
      </c>
      <c r="C12429" t="s">
        <v>27</v>
      </c>
      <c r="D12429" t="s">
        <v>11</v>
      </c>
      <c r="E12429" t="s">
        <v>20</v>
      </c>
      <c r="F12429">
        <v>58190785</v>
      </c>
      <c r="G12429">
        <v>58190785</v>
      </c>
      <c r="H12429">
        <v>58190785</v>
      </c>
      <c r="I12429">
        <v>58190785</v>
      </c>
    </row>
    <row r="12430" spans="1:9" x14ac:dyDescent="0.2">
      <c r="A12430" s="1" t="str">
        <f>"OR5B21"</f>
        <v>OR5B21</v>
      </c>
      <c r="B12430" t="s">
        <v>1190</v>
      </c>
      <c r="C12430" t="s">
        <v>27</v>
      </c>
      <c r="D12430" t="s">
        <v>11</v>
      </c>
      <c r="E12430" t="s">
        <v>20</v>
      </c>
      <c r="F12430">
        <v>58275577</v>
      </c>
      <c r="G12430">
        <v>58275577</v>
      </c>
      <c r="H12430">
        <v>58275577</v>
      </c>
      <c r="I12430">
        <v>58275577</v>
      </c>
    </row>
    <row r="12431" spans="1:9" x14ac:dyDescent="0.2">
      <c r="A12431" s="1" t="str">
        <f>"OR5B3"</f>
        <v>OR5B3</v>
      </c>
      <c r="B12431" t="s">
        <v>1191</v>
      </c>
      <c r="C12431" t="s">
        <v>27</v>
      </c>
      <c r="D12431" t="s">
        <v>11</v>
      </c>
      <c r="E12431" t="s">
        <v>20</v>
      </c>
      <c r="F12431">
        <v>58170881</v>
      </c>
      <c r="G12431">
        <v>58170881</v>
      </c>
      <c r="H12431">
        <v>58170881</v>
      </c>
      <c r="I12431">
        <v>58170881</v>
      </c>
    </row>
    <row r="12432" spans="1:9" x14ac:dyDescent="0.2">
      <c r="A12432" s="1" t="str">
        <f>"OR5C1"</f>
        <v>OR5C1</v>
      </c>
      <c r="B12432" t="s">
        <v>14</v>
      </c>
      <c r="C12432" t="s">
        <v>24</v>
      </c>
      <c r="D12432" t="s">
        <v>17</v>
      </c>
      <c r="E12432" t="s">
        <v>12</v>
      </c>
      <c r="F12432">
        <v>125551214</v>
      </c>
      <c r="G12432">
        <v>125551215</v>
      </c>
      <c r="H12432">
        <v>125551214</v>
      </c>
      <c r="I12432">
        <v>125551215</v>
      </c>
    </row>
    <row r="12433" spans="1:9" x14ac:dyDescent="0.2">
      <c r="A12433" s="1" t="str">
        <f>"OR5D13"</f>
        <v>OR5D13</v>
      </c>
      <c r="B12433" t="s">
        <v>1192</v>
      </c>
      <c r="C12433" t="s">
        <v>27</v>
      </c>
      <c r="D12433" t="s">
        <v>17</v>
      </c>
      <c r="E12433" t="s">
        <v>20</v>
      </c>
      <c r="F12433">
        <v>55540913</v>
      </c>
      <c r="G12433">
        <v>55540913</v>
      </c>
      <c r="H12433">
        <v>55540913</v>
      </c>
      <c r="I12433">
        <v>55540913</v>
      </c>
    </row>
    <row r="12434" spans="1:9" x14ac:dyDescent="0.2">
      <c r="A12434" s="1" t="str">
        <f>"OR5D14"</f>
        <v>OR5D14</v>
      </c>
      <c r="B12434" t="s">
        <v>1193</v>
      </c>
      <c r="C12434" t="s">
        <v>27</v>
      </c>
      <c r="D12434" t="s">
        <v>17</v>
      </c>
      <c r="E12434" t="s">
        <v>20</v>
      </c>
      <c r="F12434">
        <v>55563031</v>
      </c>
      <c r="G12434">
        <v>55563031</v>
      </c>
      <c r="H12434">
        <v>55563031</v>
      </c>
      <c r="I12434">
        <v>55563031</v>
      </c>
    </row>
    <row r="12435" spans="1:9" x14ac:dyDescent="0.2">
      <c r="A12435" s="1" t="str">
        <f>"OR5D16"</f>
        <v>OR5D16</v>
      </c>
      <c r="B12435" t="s">
        <v>1194</v>
      </c>
      <c r="C12435" t="s">
        <v>27</v>
      </c>
      <c r="D12435" t="s">
        <v>17</v>
      </c>
      <c r="E12435" t="s">
        <v>20</v>
      </c>
      <c r="F12435">
        <v>55606227</v>
      </c>
      <c r="G12435">
        <v>55606227</v>
      </c>
      <c r="H12435">
        <v>55606227</v>
      </c>
      <c r="I12435">
        <v>55606227</v>
      </c>
    </row>
    <row r="12436" spans="1:9" x14ac:dyDescent="0.2">
      <c r="A12436" s="1" t="str">
        <f>"OR5D18"</f>
        <v>OR5D18</v>
      </c>
      <c r="B12436" t="s">
        <v>1195</v>
      </c>
      <c r="C12436" t="s">
        <v>27</v>
      </c>
      <c r="D12436" t="s">
        <v>17</v>
      </c>
      <c r="E12436" t="s">
        <v>20</v>
      </c>
      <c r="F12436">
        <v>55587085</v>
      </c>
      <c r="G12436">
        <v>55587085</v>
      </c>
      <c r="H12436">
        <v>55587085</v>
      </c>
      <c r="I12436">
        <v>55587085</v>
      </c>
    </row>
    <row r="12437" spans="1:9" x14ac:dyDescent="0.2">
      <c r="A12437" s="1" t="str">
        <f>"OR5F1"</f>
        <v>OR5F1</v>
      </c>
      <c r="B12437" t="s">
        <v>1196</v>
      </c>
      <c r="C12437" t="s">
        <v>27</v>
      </c>
      <c r="D12437" t="s">
        <v>11</v>
      </c>
      <c r="E12437" t="s">
        <v>20</v>
      </c>
      <c r="F12437">
        <v>55762100</v>
      </c>
      <c r="G12437">
        <v>55762100</v>
      </c>
      <c r="H12437">
        <v>55762100</v>
      </c>
      <c r="I12437">
        <v>55762100</v>
      </c>
    </row>
    <row r="12438" spans="1:9" x14ac:dyDescent="0.2">
      <c r="A12438" s="1" t="str">
        <f>"OR5H1"</f>
        <v>OR5H1</v>
      </c>
      <c r="B12438" t="s">
        <v>1197</v>
      </c>
      <c r="C12438" t="s">
        <v>22</v>
      </c>
      <c r="D12438" t="s">
        <v>17</v>
      </c>
      <c r="E12438" t="s">
        <v>20</v>
      </c>
      <c r="F12438">
        <v>97851541</v>
      </c>
      <c r="G12438">
        <v>97851541</v>
      </c>
      <c r="H12438">
        <v>97851541</v>
      </c>
      <c r="I12438">
        <v>97851541</v>
      </c>
    </row>
    <row r="12439" spans="1:9" x14ac:dyDescent="0.2">
      <c r="A12439" s="1" t="str">
        <f>"OR5H14"</f>
        <v>OR5H14</v>
      </c>
      <c r="B12439" t="s">
        <v>1198</v>
      </c>
      <c r="C12439" t="s">
        <v>22</v>
      </c>
      <c r="D12439" t="s">
        <v>17</v>
      </c>
      <c r="E12439" t="s">
        <v>20</v>
      </c>
      <c r="F12439">
        <v>97868169</v>
      </c>
      <c r="G12439">
        <v>97868169</v>
      </c>
      <c r="H12439">
        <v>97868169</v>
      </c>
      <c r="I12439">
        <v>97868169</v>
      </c>
    </row>
    <row r="12440" spans="1:9" x14ac:dyDescent="0.2">
      <c r="A12440" s="1" t="str">
        <f>"OR5H15"</f>
        <v>OR5H15</v>
      </c>
      <c r="B12440" t="s">
        <v>1199</v>
      </c>
      <c r="C12440" t="s">
        <v>22</v>
      </c>
      <c r="D12440" t="s">
        <v>17</v>
      </c>
      <c r="E12440" t="s">
        <v>20</v>
      </c>
      <c r="F12440">
        <v>97887543</v>
      </c>
      <c r="G12440">
        <v>97887543</v>
      </c>
      <c r="H12440">
        <v>97887543</v>
      </c>
      <c r="I12440">
        <v>97887543</v>
      </c>
    </row>
    <row r="12441" spans="1:9" x14ac:dyDescent="0.2">
      <c r="A12441" s="1" t="str">
        <f>"OR5H2"</f>
        <v>OR5H2</v>
      </c>
      <c r="B12441" t="s">
        <v>1200</v>
      </c>
      <c r="C12441" t="s">
        <v>22</v>
      </c>
      <c r="D12441" t="s">
        <v>17</v>
      </c>
      <c r="E12441" t="s">
        <v>20</v>
      </c>
      <c r="F12441">
        <v>98001731</v>
      </c>
      <c r="G12441">
        <v>98001731</v>
      </c>
      <c r="H12441">
        <v>98001731</v>
      </c>
      <c r="I12441">
        <v>98001731</v>
      </c>
    </row>
    <row r="12442" spans="1:9" x14ac:dyDescent="0.2">
      <c r="A12442" s="1" t="str">
        <f>"OR5H6"</f>
        <v>OR5H6</v>
      </c>
      <c r="B12442" t="s">
        <v>1201</v>
      </c>
      <c r="C12442" t="s">
        <v>22</v>
      </c>
      <c r="D12442" t="s">
        <v>17</v>
      </c>
      <c r="E12442" t="s">
        <v>20</v>
      </c>
      <c r="F12442">
        <v>97983087</v>
      </c>
      <c r="G12442">
        <v>97983087</v>
      </c>
      <c r="H12442">
        <v>97983087</v>
      </c>
      <c r="I12442">
        <v>97983087</v>
      </c>
    </row>
    <row r="12443" spans="1:9" x14ac:dyDescent="0.2">
      <c r="A12443" s="1" t="str">
        <f>"OR5I1"</f>
        <v>OR5I1</v>
      </c>
      <c r="B12443" t="s">
        <v>1202</v>
      </c>
      <c r="C12443" t="s">
        <v>27</v>
      </c>
      <c r="D12443" t="s">
        <v>11</v>
      </c>
      <c r="E12443" t="s">
        <v>20</v>
      </c>
      <c r="F12443">
        <v>55703875</v>
      </c>
      <c r="G12443">
        <v>55703875</v>
      </c>
      <c r="H12443">
        <v>55703875</v>
      </c>
      <c r="I12443">
        <v>55703875</v>
      </c>
    </row>
    <row r="12444" spans="1:9" x14ac:dyDescent="0.2">
      <c r="A12444" s="1" t="str">
        <f>"OR5J2"</f>
        <v>OR5J2</v>
      </c>
      <c r="B12444" t="s">
        <v>1203</v>
      </c>
      <c r="C12444" t="s">
        <v>27</v>
      </c>
      <c r="D12444" t="s">
        <v>17</v>
      </c>
      <c r="E12444" t="s">
        <v>20</v>
      </c>
      <c r="F12444">
        <v>55944093</v>
      </c>
      <c r="G12444">
        <v>55944093</v>
      </c>
      <c r="H12444">
        <v>55944093</v>
      </c>
      <c r="I12444">
        <v>55944093</v>
      </c>
    </row>
    <row r="12445" spans="1:9" x14ac:dyDescent="0.2">
      <c r="A12445" s="1" t="str">
        <f>"OR5K1"</f>
        <v>OR5K1</v>
      </c>
      <c r="B12445" t="s">
        <v>1204</v>
      </c>
      <c r="C12445" t="s">
        <v>22</v>
      </c>
      <c r="D12445" t="s">
        <v>17</v>
      </c>
      <c r="E12445" t="s">
        <v>20</v>
      </c>
      <c r="F12445">
        <v>98188323</v>
      </c>
      <c r="G12445">
        <v>98188323</v>
      </c>
      <c r="H12445">
        <v>98188323</v>
      </c>
      <c r="I12445">
        <v>98188323</v>
      </c>
    </row>
    <row r="12446" spans="1:9" x14ac:dyDescent="0.2">
      <c r="A12446" s="1" t="str">
        <f>"OR5K2"</f>
        <v>OR5K2</v>
      </c>
      <c r="B12446" t="s">
        <v>1205</v>
      </c>
      <c r="C12446" t="s">
        <v>22</v>
      </c>
      <c r="D12446" t="s">
        <v>17</v>
      </c>
      <c r="E12446" t="s">
        <v>20</v>
      </c>
      <c r="F12446">
        <v>98216447</v>
      </c>
      <c r="G12446">
        <v>98216447</v>
      </c>
      <c r="H12446">
        <v>98216447</v>
      </c>
      <c r="I12446">
        <v>98216447</v>
      </c>
    </row>
    <row r="12447" spans="1:9" x14ac:dyDescent="0.2">
      <c r="A12447" s="1" t="str">
        <f>"OR5K3"</f>
        <v>OR5K3</v>
      </c>
      <c r="B12447" t="s">
        <v>1206</v>
      </c>
      <c r="C12447" t="s">
        <v>22</v>
      </c>
      <c r="D12447" t="s">
        <v>17</v>
      </c>
      <c r="E12447" t="s">
        <v>20</v>
      </c>
      <c r="F12447">
        <v>98109509</v>
      </c>
      <c r="G12447">
        <v>98109509</v>
      </c>
      <c r="H12447">
        <v>98109509</v>
      </c>
      <c r="I12447">
        <v>98109509</v>
      </c>
    </row>
    <row r="12448" spans="1:9" x14ac:dyDescent="0.2">
      <c r="A12448" s="1" t="str">
        <f>"OR5K4"</f>
        <v>OR5K4</v>
      </c>
      <c r="B12448" t="s">
        <v>1207</v>
      </c>
      <c r="C12448" t="s">
        <v>22</v>
      </c>
      <c r="D12448" t="s">
        <v>17</v>
      </c>
      <c r="E12448" t="s">
        <v>20</v>
      </c>
      <c r="F12448">
        <v>98072697</v>
      </c>
      <c r="G12448">
        <v>98072697</v>
      </c>
      <c r="H12448">
        <v>98072697</v>
      </c>
      <c r="I12448">
        <v>98072697</v>
      </c>
    </row>
    <row r="12449" spans="1:9" x14ac:dyDescent="0.2">
      <c r="A12449" s="1" t="str">
        <f>"OR5L1"</f>
        <v>OR5L1</v>
      </c>
      <c r="B12449" t="s">
        <v>1208</v>
      </c>
      <c r="C12449" t="s">
        <v>27</v>
      </c>
      <c r="D12449" t="s">
        <v>17</v>
      </c>
      <c r="E12449" t="s">
        <v>20</v>
      </c>
      <c r="F12449">
        <v>55578853</v>
      </c>
      <c r="G12449">
        <v>55578853</v>
      </c>
      <c r="H12449">
        <v>55578853</v>
      </c>
      <c r="I12449">
        <v>55578853</v>
      </c>
    </row>
    <row r="12450" spans="1:9" x14ac:dyDescent="0.2">
      <c r="A12450" s="1" t="str">
        <f>"OR5L2"</f>
        <v>OR5L2</v>
      </c>
      <c r="B12450" t="s">
        <v>1209</v>
      </c>
      <c r="C12450" t="s">
        <v>27</v>
      </c>
      <c r="D12450" t="s">
        <v>17</v>
      </c>
      <c r="E12450" t="s">
        <v>20</v>
      </c>
      <c r="F12450">
        <v>55594694</v>
      </c>
      <c r="G12450">
        <v>55594694</v>
      </c>
      <c r="H12450">
        <v>55594694</v>
      </c>
      <c r="I12450">
        <v>55594694</v>
      </c>
    </row>
    <row r="12451" spans="1:9" x14ac:dyDescent="0.2">
      <c r="A12451" s="1" t="str">
        <f>"OR5M1"</f>
        <v>OR5M1</v>
      </c>
      <c r="B12451" t="s">
        <v>1210</v>
      </c>
      <c r="C12451" t="s">
        <v>27</v>
      </c>
      <c r="D12451" t="s">
        <v>11</v>
      </c>
      <c r="E12451" t="s">
        <v>20</v>
      </c>
      <c r="F12451">
        <v>56380977</v>
      </c>
      <c r="G12451">
        <v>56380977</v>
      </c>
      <c r="H12451">
        <v>56380977</v>
      </c>
      <c r="I12451">
        <v>56380977</v>
      </c>
    </row>
    <row r="12452" spans="1:9" x14ac:dyDescent="0.2">
      <c r="A12452" s="1" t="str">
        <f>"OR5M10"</f>
        <v>OR5M10</v>
      </c>
      <c r="B12452" t="s">
        <v>1211</v>
      </c>
      <c r="C12452" t="s">
        <v>27</v>
      </c>
      <c r="D12452" t="s">
        <v>11</v>
      </c>
      <c r="E12452" t="s">
        <v>20</v>
      </c>
      <c r="F12452">
        <v>56345262</v>
      </c>
      <c r="G12452">
        <v>56345262</v>
      </c>
      <c r="H12452">
        <v>56345262</v>
      </c>
      <c r="I12452">
        <v>56345262</v>
      </c>
    </row>
    <row r="12453" spans="1:9" x14ac:dyDescent="0.2">
      <c r="A12453" s="1" t="str">
        <f>"OR5M11"</f>
        <v>OR5M11</v>
      </c>
      <c r="B12453" t="s">
        <v>1212</v>
      </c>
      <c r="C12453" t="s">
        <v>27</v>
      </c>
      <c r="D12453" t="s">
        <v>11</v>
      </c>
      <c r="E12453" t="s">
        <v>20</v>
      </c>
      <c r="F12453">
        <v>56310756</v>
      </c>
      <c r="G12453">
        <v>56310756</v>
      </c>
      <c r="H12453">
        <v>56310756</v>
      </c>
      <c r="I12453">
        <v>56310756</v>
      </c>
    </row>
    <row r="12454" spans="1:9" x14ac:dyDescent="0.2">
      <c r="A12454" s="1" t="str">
        <f>"OR5M3"</f>
        <v>OR5M3</v>
      </c>
      <c r="B12454" t="s">
        <v>1213</v>
      </c>
      <c r="C12454" t="s">
        <v>27</v>
      </c>
      <c r="D12454" t="s">
        <v>11</v>
      </c>
      <c r="E12454" t="s">
        <v>20</v>
      </c>
      <c r="F12454">
        <v>56238013</v>
      </c>
      <c r="G12454">
        <v>56238013</v>
      </c>
      <c r="H12454">
        <v>56238013</v>
      </c>
      <c r="I12454">
        <v>56238013</v>
      </c>
    </row>
    <row r="12455" spans="1:9" x14ac:dyDescent="0.2">
      <c r="A12455" s="1" t="str">
        <f>"OR5M8"</f>
        <v>OR5M8</v>
      </c>
      <c r="B12455" t="s">
        <v>1214</v>
      </c>
      <c r="C12455" t="s">
        <v>27</v>
      </c>
      <c r="D12455" t="s">
        <v>11</v>
      </c>
      <c r="E12455" t="s">
        <v>20</v>
      </c>
      <c r="F12455">
        <v>56258870</v>
      </c>
      <c r="G12455">
        <v>56258870</v>
      </c>
      <c r="H12455">
        <v>56258870</v>
      </c>
      <c r="I12455">
        <v>56258870</v>
      </c>
    </row>
    <row r="12456" spans="1:9" x14ac:dyDescent="0.2">
      <c r="A12456" s="1" t="str">
        <f>"OR5M9"</f>
        <v>OR5M9</v>
      </c>
      <c r="B12456" t="s">
        <v>1215</v>
      </c>
      <c r="C12456" t="s">
        <v>27</v>
      </c>
      <c r="D12456" t="s">
        <v>11</v>
      </c>
      <c r="E12456" t="s">
        <v>20</v>
      </c>
      <c r="F12456">
        <v>56230876</v>
      </c>
      <c r="G12456">
        <v>56230876</v>
      </c>
      <c r="H12456">
        <v>56230876</v>
      </c>
      <c r="I12456">
        <v>56230876</v>
      </c>
    </row>
    <row r="12457" spans="1:9" x14ac:dyDescent="0.2">
      <c r="A12457" s="1" t="str">
        <f>"OR5P2"</f>
        <v>OR5P2</v>
      </c>
      <c r="B12457" t="s">
        <v>1216</v>
      </c>
      <c r="C12457" t="s">
        <v>27</v>
      </c>
      <c r="D12457" t="s">
        <v>11</v>
      </c>
      <c r="E12457" t="s">
        <v>20</v>
      </c>
      <c r="F12457">
        <v>7818519</v>
      </c>
      <c r="G12457">
        <v>7818519</v>
      </c>
      <c r="H12457">
        <v>7818519</v>
      </c>
      <c r="I12457">
        <v>7818519</v>
      </c>
    </row>
    <row r="12458" spans="1:9" x14ac:dyDescent="0.2">
      <c r="A12458" s="1" t="str">
        <f>"OR5P3"</f>
        <v>OR5P3</v>
      </c>
      <c r="B12458" t="s">
        <v>1217</v>
      </c>
      <c r="C12458" t="s">
        <v>27</v>
      </c>
      <c r="D12458" t="s">
        <v>11</v>
      </c>
      <c r="E12458" t="s">
        <v>20</v>
      </c>
      <c r="F12458">
        <v>7847518</v>
      </c>
      <c r="G12458">
        <v>7847518</v>
      </c>
      <c r="H12458">
        <v>7847518</v>
      </c>
      <c r="I12458">
        <v>7847518</v>
      </c>
    </row>
    <row r="12459" spans="1:9" x14ac:dyDescent="0.2">
      <c r="A12459" s="1" t="str">
        <f>"OR5R1"</f>
        <v>OR5R1</v>
      </c>
      <c r="B12459" t="s">
        <v>1218</v>
      </c>
      <c r="C12459" t="s">
        <v>27</v>
      </c>
      <c r="D12459" t="s">
        <v>11</v>
      </c>
      <c r="E12459" t="s">
        <v>20</v>
      </c>
      <c r="F12459">
        <v>56185707</v>
      </c>
      <c r="G12459">
        <v>56185707</v>
      </c>
      <c r="H12459">
        <v>56185707</v>
      </c>
      <c r="I12459">
        <v>56185707</v>
      </c>
    </row>
    <row r="12460" spans="1:9" x14ac:dyDescent="0.2">
      <c r="A12460" s="1" t="str">
        <f>"OR5T1"</f>
        <v>OR5T1</v>
      </c>
      <c r="B12460" t="s">
        <v>1219</v>
      </c>
      <c r="C12460" t="s">
        <v>27</v>
      </c>
      <c r="D12460" t="s">
        <v>17</v>
      </c>
      <c r="E12460" t="s">
        <v>20</v>
      </c>
      <c r="F12460">
        <v>56043028</v>
      </c>
      <c r="G12460">
        <v>56043028</v>
      </c>
      <c r="H12460">
        <v>56043028</v>
      </c>
      <c r="I12460">
        <v>56043028</v>
      </c>
    </row>
    <row r="12461" spans="1:9" x14ac:dyDescent="0.2">
      <c r="A12461" s="1" t="str">
        <f>"OR5T2"</f>
        <v>OR5T2</v>
      </c>
      <c r="B12461" t="s">
        <v>1220</v>
      </c>
      <c r="C12461" t="s">
        <v>27</v>
      </c>
      <c r="D12461" t="s">
        <v>11</v>
      </c>
      <c r="E12461" t="s">
        <v>20</v>
      </c>
      <c r="F12461">
        <v>56000736</v>
      </c>
      <c r="G12461">
        <v>56000736</v>
      </c>
      <c r="H12461">
        <v>56000736</v>
      </c>
      <c r="I12461">
        <v>56000736</v>
      </c>
    </row>
    <row r="12462" spans="1:9" x14ac:dyDescent="0.2">
      <c r="A12462" s="1" t="str">
        <f>"OR5T3"</f>
        <v>OR5T3</v>
      </c>
      <c r="B12462" t="s">
        <v>1221</v>
      </c>
      <c r="C12462" t="s">
        <v>27</v>
      </c>
      <c r="D12462" t="s">
        <v>17</v>
      </c>
      <c r="E12462" t="s">
        <v>20</v>
      </c>
      <c r="F12462">
        <v>56019675</v>
      </c>
      <c r="G12462">
        <v>56019675</v>
      </c>
      <c r="H12462">
        <v>56019675</v>
      </c>
      <c r="I12462">
        <v>56019675</v>
      </c>
    </row>
    <row r="12463" spans="1:9" x14ac:dyDescent="0.2">
      <c r="A12463" s="1" t="str">
        <f>"OR5V1"</f>
        <v>OR5V1</v>
      </c>
      <c r="B12463" t="s">
        <v>1222</v>
      </c>
      <c r="C12463" t="s">
        <v>32</v>
      </c>
      <c r="D12463" t="s">
        <v>11</v>
      </c>
      <c r="E12463" t="s">
        <v>20</v>
      </c>
      <c r="F12463">
        <v>29399743</v>
      </c>
      <c r="G12463">
        <v>29399743</v>
      </c>
      <c r="H12463">
        <v>29399743</v>
      </c>
      <c r="I12463">
        <v>29399743</v>
      </c>
    </row>
    <row r="12464" spans="1:9" x14ac:dyDescent="0.2">
      <c r="A12464" s="1" t="str">
        <f>"OR5V1"</f>
        <v>OR5V1</v>
      </c>
      <c r="B12464" t="s">
        <v>1223</v>
      </c>
      <c r="C12464" t="s">
        <v>32</v>
      </c>
      <c r="D12464" t="s">
        <v>11</v>
      </c>
      <c r="E12464" t="s">
        <v>20</v>
      </c>
      <c r="F12464">
        <v>29324053</v>
      </c>
      <c r="G12464">
        <v>29324053</v>
      </c>
      <c r="H12464">
        <v>29324053</v>
      </c>
      <c r="I12464">
        <v>29324053</v>
      </c>
    </row>
    <row r="12465" spans="1:9" x14ac:dyDescent="0.2">
      <c r="A12465" s="1" t="str">
        <f>"OR5W2"</f>
        <v>OR5W2</v>
      </c>
      <c r="B12465" t="s">
        <v>1224</v>
      </c>
      <c r="C12465" t="s">
        <v>27</v>
      </c>
      <c r="D12465" t="s">
        <v>11</v>
      </c>
      <c r="E12465" t="s">
        <v>20</v>
      </c>
      <c r="F12465">
        <v>55682057</v>
      </c>
      <c r="G12465">
        <v>55682057</v>
      </c>
      <c r="H12465">
        <v>55682057</v>
      </c>
      <c r="I12465">
        <v>55682057</v>
      </c>
    </row>
    <row r="12466" spans="1:9" x14ac:dyDescent="0.2">
      <c r="A12466" s="1" t="str">
        <f>"OR6A2"</f>
        <v>OR6A2</v>
      </c>
      <c r="B12466" t="s">
        <v>1225</v>
      </c>
      <c r="C12466" t="s">
        <v>27</v>
      </c>
      <c r="D12466" t="s">
        <v>11</v>
      </c>
      <c r="E12466" t="s">
        <v>20</v>
      </c>
      <c r="F12466">
        <v>6817127</v>
      </c>
      <c r="G12466">
        <v>6817127</v>
      </c>
      <c r="H12466">
        <v>6817127</v>
      </c>
      <c r="I12466">
        <v>6817127</v>
      </c>
    </row>
    <row r="12467" spans="1:9" x14ac:dyDescent="0.2">
      <c r="A12467" s="1" t="str">
        <f>"OR6B1"</f>
        <v>OR6B1</v>
      </c>
      <c r="B12467" t="s">
        <v>1226</v>
      </c>
      <c r="C12467" t="s">
        <v>33</v>
      </c>
      <c r="D12467" t="s">
        <v>17</v>
      </c>
      <c r="E12467" t="s">
        <v>20</v>
      </c>
      <c r="F12467">
        <v>143701021</v>
      </c>
      <c r="G12467">
        <v>143701021</v>
      </c>
      <c r="H12467">
        <v>143701021</v>
      </c>
      <c r="I12467">
        <v>143701021</v>
      </c>
    </row>
    <row r="12468" spans="1:9" x14ac:dyDescent="0.2">
      <c r="A12468" s="1" t="str">
        <f>"OR6B2"</f>
        <v>OR6B2</v>
      </c>
      <c r="B12468" t="s">
        <v>1227</v>
      </c>
      <c r="C12468" t="s">
        <v>26</v>
      </c>
      <c r="D12468" t="s">
        <v>11</v>
      </c>
      <c r="E12468" t="s">
        <v>20</v>
      </c>
      <c r="F12468">
        <v>240969905</v>
      </c>
      <c r="G12468">
        <v>240969905</v>
      </c>
      <c r="H12468">
        <v>240969905</v>
      </c>
      <c r="I12468">
        <v>240969905</v>
      </c>
    </row>
    <row r="12469" spans="1:9" x14ac:dyDescent="0.2">
      <c r="A12469" s="1" t="str">
        <f>"OR6B3"</f>
        <v>OR6B3</v>
      </c>
      <c r="B12469" t="s">
        <v>1228</v>
      </c>
      <c r="C12469" t="s">
        <v>26</v>
      </c>
      <c r="D12469" t="s">
        <v>11</v>
      </c>
      <c r="E12469" t="s">
        <v>20</v>
      </c>
      <c r="F12469">
        <v>240985488</v>
      </c>
      <c r="G12469">
        <v>240985488</v>
      </c>
      <c r="H12469">
        <v>240985488</v>
      </c>
      <c r="I12469">
        <v>240985488</v>
      </c>
    </row>
    <row r="12470" spans="1:9" x14ac:dyDescent="0.2">
      <c r="A12470" s="1" t="str">
        <f>"OR6C1"</f>
        <v>OR6C1</v>
      </c>
      <c r="B12470" t="s">
        <v>1229</v>
      </c>
      <c r="C12470" t="s">
        <v>16</v>
      </c>
      <c r="D12470" t="s">
        <v>17</v>
      </c>
      <c r="E12470" t="s">
        <v>20</v>
      </c>
      <c r="F12470">
        <v>55714345</v>
      </c>
      <c r="G12470">
        <v>55714345</v>
      </c>
      <c r="H12470">
        <v>55714345</v>
      </c>
      <c r="I12470">
        <v>55714345</v>
      </c>
    </row>
    <row r="12471" spans="1:9" x14ac:dyDescent="0.2">
      <c r="A12471" s="1" t="str">
        <f>"OR6C2"</f>
        <v>OR6C2</v>
      </c>
      <c r="B12471" t="s">
        <v>1230</v>
      </c>
      <c r="C12471" t="s">
        <v>16</v>
      </c>
      <c r="D12471" t="s">
        <v>17</v>
      </c>
      <c r="E12471" t="s">
        <v>20</v>
      </c>
      <c r="F12471">
        <v>55845997</v>
      </c>
      <c r="G12471">
        <v>55845997</v>
      </c>
      <c r="H12471">
        <v>55845997</v>
      </c>
      <c r="I12471">
        <v>55845997</v>
      </c>
    </row>
    <row r="12472" spans="1:9" x14ac:dyDescent="0.2">
      <c r="A12472" s="1" t="str">
        <f>"OR6C3"</f>
        <v>OR6C3</v>
      </c>
      <c r="B12472" t="s">
        <v>1231</v>
      </c>
      <c r="C12472" t="s">
        <v>16</v>
      </c>
      <c r="D12472" t="s">
        <v>17</v>
      </c>
      <c r="E12472" t="s">
        <v>20</v>
      </c>
      <c r="F12472">
        <v>55725484</v>
      </c>
      <c r="G12472">
        <v>55725484</v>
      </c>
      <c r="H12472">
        <v>55725484</v>
      </c>
      <c r="I12472">
        <v>55725484</v>
      </c>
    </row>
    <row r="12473" spans="1:9" x14ac:dyDescent="0.2">
      <c r="A12473" s="1" t="str">
        <f>"OR6C4"</f>
        <v>OR6C4</v>
      </c>
      <c r="B12473" t="s">
        <v>1232</v>
      </c>
      <c r="C12473" t="s">
        <v>16</v>
      </c>
      <c r="D12473" t="s">
        <v>17</v>
      </c>
      <c r="E12473" t="s">
        <v>20</v>
      </c>
      <c r="F12473">
        <v>55944982</v>
      </c>
      <c r="G12473">
        <v>55944982</v>
      </c>
      <c r="H12473">
        <v>55944982</v>
      </c>
      <c r="I12473">
        <v>55944982</v>
      </c>
    </row>
    <row r="12474" spans="1:9" x14ac:dyDescent="0.2">
      <c r="A12474" s="1" t="str">
        <f>"OR6C6"</f>
        <v>OR6C6</v>
      </c>
      <c r="B12474" t="s">
        <v>1233</v>
      </c>
      <c r="C12474" t="s">
        <v>16</v>
      </c>
      <c r="D12474" t="s">
        <v>11</v>
      </c>
      <c r="E12474" t="s">
        <v>20</v>
      </c>
      <c r="F12474">
        <v>55689015</v>
      </c>
      <c r="G12474">
        <v>55689015</v>
      </c>
      <c r="H12474">
        <v>55689015</v>
      </c>
      <c r="I12474">
        <v>55689015</v>
      </c>
    </row>
    <row r="12475" spans="1:9" x14ac:dyDescent="0.2">
      <c r="A12475" s="1" t="str">
        <f>"OR6C65"</f>
        <v>OR6C65</v>
      </c>
      <c r="B12475" t="s">
        <v>1234</v>
      </c>
      <c r="C12475" t="s">
        <v>16</v>
      </c>
      <c r="D12475" t="s">
        <v>17</v>
      </c>
      <c r="E12475" t="s">
        <v>20</v>
      </c>
      <c r="F12475">
        <v>55794213</v>
      </c>
      <c r="G12475">
        <v>55794213</v>
      </c>
      <c r="H12475">
        <v>55794213</v>
      </c>
      <c r="I12475">
        <v>55794213</v>
      </c>
    </row>
    <row r="12476" spans="1:9" x14ac:dyDescent="0.2">
      <c r="A12476" s="1" t="str">
        <f>"OR6C68"</f>
        <v>OR6C68</v>
      </c>
      <c r="B12476" t="s">
        <v>1235</v>
      </c>
      <c r="C12476" t="s">
        <v>16</v>
      </c>
      <c r="D12476" t="s">
        <v>17</v>
      </c>
      <c r="E12476" t="s">
        <v>20</v>
      </c>
      <c r="F12476">
        <v>55886161</v>
      </c>
      <c r="G12476">
        <v>55886161</v>
      </c>
      <c r="H12476">
        <v>55886161</v>
      </c>
      <c r="I12476">
        <v>55886161</v>
      </c>
    </row>
    <row r="12477" spans="1:9" x14ac:dyDescent="0.2">
      <c r="A12477" s="1" t="str">
        <f>"OR6C70"</f>
        <v>OR6C70</v>
      </c>
      <c r="B12477" t="s">
        <v>1236</v>
      </c>
      <c r="C12477" t="s">
        <v>16</v>
      </c>
      <c r="D12477" t="s">
        <v>11</v>
      </c>
      <c r="E12477" t="s">
        <v>20</v>
      </c>
      <c r="F12477">
        <v>55863921</v>
      </c>
      <c r="G12477">
        <v>55863921</v>
      </c>
      <c r="H12477">
        <v>55863921</v>
      </c>
      <c r="I12477">
        <v>55863921</v>
      </c>
    </row>
    <row r="12478" spans="1:9" x14ac:dyDescent="0.2">
      <c r="A12478" s="1" t="str">
        <f>"OR6C74"</f>
        <v>OR6C74</v>
      </c>
      <c r="B12478" t="s">
        <v>1237</v>
      </c>
      <c r="C12478" t="s">
        <v>16</v>
      </c>
      <c r="D12478" t="s">
        <v>17</v>
      </c>
      <c r="E12478" t="s">
        <v>20</v>
      </c>
      <c r="F12478">
        <v>55640981</v>
      </c>
      <c r="G12478">
        <v>55640981</v>
      </c>
      <c r="H12478">
        <v>55640981</v>
      </c>
      <c r="I12478">
        <v>55640981</v>
      </c>
    </row>
    <row r="12479" spans="1:9" x14ac:dyDescent="0.2">
      <c r="A12479" s="1" t="str">
        <f>"OR6C75"</f>
        <v>OR6C75</v>
      </c>
      <c r="B12479" t="s">
        <v>1238</v>
      </c>
      <c r="C12479" t="s">
        <v>16</v>
      </c>
      <c r="D12479" t="s">
        <v>17</v>
      </c>
      <c r="E12479" t="s">
        <v>20</v>
      </c>
      <c r="F12479">
        <v>55758894</v>
      </c>
      <c r="G12479">
        <v>55758894</v>
      </c>
      <c r="H12479">
        <v>55758894</v>
      </c>
      <c r="I12479">
        <v>55758894</v>
      </c>
    </row>
    <row r="12480" spans="1:9" x14ac:dyDescent="0.2">
      <c r="A12480" s="1" t="str">
        <f>"OR6C76"</f>
        <v>OR6C76</v>
      </c>
      <c r="B12480" t="s">
        <v>1239</v>
      </c>
      <c r="C12480" t="s">
        <v>16</v>
      </c>
      <c r="D12480" t="s">
        <v>17</v>
      </c>
      <c r="E12480" t="s">
        <v>20</v>
      </c>
      <c r="F12480">
        <v>55820037</v>
      </c>
      <c r="G12480">
        <v>55820037</v>
      </c>
      <c r="H12480">
        <v>55820037</v>
      </c>
      <c r="I12480">
        <v>55820037</v>
      </c>
    </row>
    <row r="12481" spans="1:9" x14ac:dyDescent="0.2">
      <c r="A12481" s="1" t="str">
        <f>"OR6F1"</f>
        <v>OR6F1</v>
      </c>
      <c r="B12481" t="s">
        <v>1240</v>
      </c>
      <c r="C12481" t="s">
        <v>19</v>
      </c>
      <c r="D12481" t="s">
        <v>11</v>
      </c>
      <c r="E12481" t="s">
        <v>20</v>
      </c>
      <c r="F12481">
        <v>247876104</v>
      </c>
      <c r="G12481">
        <v>247876104</v>
      </c>
      <c r="H12481">
        <v>247876104</v>
      </c>
      <c r="I12481">
        <v>247876104</v>
      </c>
    </row>
    <row r="12482" spans="1:9" x14ac:dyDescent="0.2">
      <c r="A12482" s="1" t="str">
        <f>"OR6K2"</f>
        <v>OR6K2</v>
      </c>
      <c r="B12482" t="s">
        <v>1241</v>
      </c>
      <c r="C12482" t="s">
        <v>19</v>
      </c>
      <c r="D12482" t="s">
        <v>11</v>
      </c>
      <c r="E12482" t="s">
        <v>20</v>
      </c>
      <c r="F12482">
        <v>158670485</v>
      </c>
      <c r="G12482">
        <v>158670485</v>
      </c>
      <c r="H12482">
        <v>158670485</v>
      </c>
      <c r="I12482">
        <v>158670485</v>
      </c>
    </row>
    <row r="12483" spans="1:9" x14ac:dyDescent="0.2">
      <c r="A12483" s="1" t="str">
        <f>"OR6K3"</f>
        <v>OR6K3</v>
      </c>
      <c r="B12483" t="s">
        <v>1242</v>
      </c>
      <c r="C12483" t="s">
        <v>19</v>
      </c>
      <c r="D12483" t="s">
        <v>11</v>
      </c>
      <c r="E12483" t="s">
        <v>20</v>
      </c>
      <c r="F12483">
        <v>158687904</v>
      </c>
      <c r="G12483">
        <v>158687904</v>
      </c>
      <c r="H12483">
        <v>158687904</v>
      </c>
      <c r="I12483">
        <v>158687904</v>
      </c>
    </row>
    <row r="12484" spans="1:9" x14ac:dyDescent="0.2">
      <c r="A12484" s="1" t="str">
        <f>"OR6K6"</f>
        <v>OR6K6</v>
      </c>
      <c r="B12484" t="s">
        <v>1243</v>
      </c>
      <c r="C12484" t="s">
        <v>19</v>
      </c>
      <c r="D12484" t="s">
        <v>17</v>
      </c>
      <c r="E12484" t="s">
        <v>20</v>
      </c>
      <c r="F12484">
        <v>158724509</v>
      </c>
      <c r="G12484">
        <v>158724509</v>
      </c>
      <c r="H12484">
        <v>158724509</v>
      </c>
      <c r="I12484">
        <v>158724509</v>
      </c>
    </row>
    <row r="12485" spans="1:9" x14ac:dyDescent="0.2">
      <c r="A12485" s="1" t="str">
        <f>"OR6M1"</f>
        <v>OR6M1</v>
      </c>
      <c r="B12485" t="s">
        <v>1244</v>
      </c>
      <c r="C12485" t="s">
        <v>27</v>
      </c>
      <c r="D12485" t="s">
        <v>11</v>
      </c>
      <c r="E12485" t="s">
        <v>20</v>
      </c>
      <c r="F12485">
        <v>123677094</v>
      </c>
      <c r="G12485">
        <v>123677094</v>
      </c>
      <c r="H12485">
        <v>123677094</v>
      </c>
      <c r="I12485">
        <v>123677094</v>
      </c>
    </row>
    <row r="12486" spans="1:9" x14ac:dyDescent="0.2">
      <c r="A12486" s="1" t="str">
        <f>"OR6N1"</f>
        <v>OR6N1</v>
      </c>
      <c r="B12486" t="s">
        <v>1245</v>
      </c>
      <c r="C12486" t="s">
        <v>19</v>
      </c>
      <c r="D12486" t="s">
        <v>11</v>
      </c>
      <c r="E12486" t="s">
        <v>20</v>
      </c>
      <c r="F12486">
        <v>158736491</v>
      </c>
      <c r="G12486">
        <v>158736491</v>
      </c>
      <c r="H12486">
        <v>158736491</v>
      </c>
      <c r="I12486">
        <v>158736491</v>
      </c>
    </row>
    <row r="12487" spans="1:9" x14ac:dyDescent="0.2">
      <c r="A12487" s="1" t="str">
        <f>"OR6N2"</f>
        <v>OR6N2</v>
      </c>
      <c r="B12487" t="s">
        <v>1246</v>
      </c>
      <c r="C12487" t="s">
        <v>19</v>
      </c>
      <c r="D12487" t="s">
        <v>11</v>
      </c>
      <c r="E12487" t="s">
        <v>20</v>
      </c>
      <c r="F12487">
        <v>158747424</v>
      </c>
      <c r="G12487">
        <v>158747424</v>
      </c>
      <c r="H12487">
        <v>158747424</v>
      </c>
      <c r="I12487">
        <v>158747424</v>
      </c>
    </row>
    <row r="12488" spans="1:9" x14ac:dyDescent="0.2">
      <c r="A12488" s="1" t="str">
        <f>"OR6P1"</f>
        <v>OR6P1</v>
      </c>
      <c r="B12488" t="s">
        <v>1247</v>
      </c>
      <c r="C12488" t="s">
        <v>19</v>
      </c>
      <c r="D12488" t="s">
        <v>11</v>
      </c>
      <c r="E12488" t="s">
        <v>20</v>
      </c>
      <c r="F12488">
        <v>158533393</v>
      </c>
      <c r="G12488">
        <v>158533393</v>
      </c>
      <c r="H12488">
        <v>158533393</v>
      </c>
      <c r="I12488">
        <v>158533393</v>
      </c>
    </row>
    <row r="12489" spans="1:9" x14ac:dyDescent="0.2">
      <c r="A12489" s="1" t="str">
        <f>"OR6Q1"</f>
        <v>OR6Q1</v>
      </c>
      <c r="B12489" t="s">
        <v>1248</v>
      </c>
      <c r="C12489" t="s">
        <v>27</v>
      </c>
      <c r="D12489" t="s">
        <v>17</v>
      </c>
      <c r="E12489" t="s">
        <v>20</v>
      </c>
      <c r="F12489">
        <v>57798401</v>
      </c>
      <c r="G12489">
        <v>57798401</v>
      </c>
      <c r="H12489">
        <v>57798401</v>
      </c>
      <c r="I12489">
        <v>57798401</v>
      </c>
    </row>
    <row r="12490" spans="1:9" x14ac:dyDescent="0.2">
      <c r="A12490" s="1" t="str">
        <f>"OR6S1"</f>
        <v>OR6S1</v>
      </c>
      <c r="B12490" t="s">
        <v>1249</v>
      </c>
      <c r="C12490" t="s">
        <v>41</v>
      </c>
      <c r="D12490" t="s">
        <v>11</v>
      </c>
      <c r="E12490" t="s">
        <v>20</v>
      </c>
      <c r="F12490">
        <v>21109849</v>
      </c>
      <c r="G12490">
        <v>21109849</v>
      </c>
      <c r="H12490">
        <v>21109849</v>
      </c>
      <c r="I12490">
        <v>21109849</v>
      </c>
    </row>
    <row r="12491" spans="1:9" x14ac:dyDescent="0.2">
      <c r="A12491" s="1" t="str">
        <f>"OR6T1"</f>
        <v>OR6T1</v>
      </c>
      <c r="B12491" t="s">
        <v>1250</v>
      </c>
      <c r="C12491" t="s">
        <v>27</v>
      </c>
      <c r="D12491" t="s">
        <v>11</v>
      </c>
      <c r="E12491" t="s">
        <v>20</v>
      </c>
      <c r="F12491">
        <v>123814579</v>
      </c>
      <c r="G12491">
        <v>123814579</v>
      </c>
      <c r="H12491">
        <v>123814579</v>
      </c>
      <c r="I12491">
        <v>123814579</v>
      </c>
    </row>
    <row r="12492" spans="1:9" x14ac:dyDescent="0.2">
      <c r="A12492" s="1" t="str">
        <f>"OR6V1"</f>
        <v>OR6V1</v>
      </c>
      <c r="B12492" t="s">
        <v>1251</v>
      </c>
      <c r="C12492" t="s">
        <v>33</v>
      </c>
      <c r="D12492" t="s">
        <v>17</v>
      </c>
      <c r="E12492" t="s">
        <v>20</v>
      </c>
      <c r="F12492">
        <v>142749416</v>
      </c>
      <c r="G12492">
        <v>142749416</v>
      </c>
      <c r="H12492">
        <v>142749416</v>
      </c>
      <c r="I12492">
        <v>142749416</v>
      </c>
    </row>
    <row r="12493" spans="1:9" x14ac:dyDescent="0.2">
      <c r="A12493" s="1" t="str">
        <f>"OR6X1"</f>
        <v>OR6X1</v>
      </c>
      <c r="B12493" t="s">
        <v>1252</v>
      </c>
      <c r="C12493" t="s">
        <v>27</v>
      </c>
      <c r="D12493" t="s">
        <v>11</v>
      </c>
      <c r="E12493" t="s">
        <v>20</v>
      </c>
      <c r="F12493">
        <v>123625252</v>
      </c>
      <c r="G12493">
        <v>123625252</v>
      </c>
      <c r="H12493">
        <v>123625252</v>
      </c>
      <c r="I12493">
        <v>123625252</v>
      </c>
    </row>
    <row r="12494" spans="1:9" x14ac:dyDescent="0.2">
      <c r="A12494" s="1" t="str">
        <f>"OR6Y1"</f>
        <v>OR6Y1</v>
      </c>
      <c r="B12494" t="s">
        <v>1253</v>
      </c>
      <c r="C12494" t="s">
        <v>19</v>
      </c>
      <c r="D12494" t="s">
        <v>11</v>
      </c>
      <c r="E12494" t="s">
        <v>20</v>
      </c>
      <c r="F12494">
        <v>158517894</v>
      </c>
      <c r="G12494">
        <v>158517894</v>
      </c>
      <c r="H12494">
        <v>158517894</v>
      </c>
      <c r="I12494">
        <v>158517894</v>
      </c>
    </row>
    <row r="12495" spans="1:9" x14ac:dyDescent="0.2">
      <c r="A12495" s="1" t="str">
        <f>"OR7A10"</f>
        <v>OR7A10</v>
      </c>
      <c r="B12495" t="s">
        <v>1254</v>
      </c>
      <c r="C12495" t="s">
        <v>10</v>
      </c>
      <c r="D12495" t="s">
        <v>11</v>
      </c>
      <c r="E12495" t="s">
        <v>20</v>
      </c>
      <c r="F12495">
        <v>14952688</v>
      </c>
      <c r="G12495">
        <v>14952688</v>
      </c>
      <c r="H12495">
        <v>14952688</v>
      </c>
      <c r="I12495">
        <v>14952688</v>
      </c>
    </row>
    <row r="12496" spans="1:9" x14ac:dyDescent="0.2">
      <c r="A12496" s="1" t="str">
        <f>"OR7A17"</f>
        <v>OR7A17</v>
      </c>
      <c r="B12496" t="s">
        <v>1255</v>
      </c>
      <c r="C12496" t="s">
        <v>10</v>
      </c>
      <c r="D12496" t="s">
        <v>11</v>
      </c>
      <c r="E12496" t="s">
        <v>20</v>
      </c>
      <c r="F12496">
        <v>14992263</v>
      </c>
      <c r="G12496">
        <v>14992263</v>
      </c>
      <c r="H12496">
        <v>14992263</v>
      </c>
      <c r="I12496">
        <v>14992263</v>
      </c>
    </row>
    <row r="12497" spans="1:9" x14ac:dyDescent="0.2">
      <c r="A12497" s="1" t="str">
        <f>"OR7A5"</f>
        <v>OR7A5</v>
      </c>
      <c r="B12497" t="s">
        <v>14</v>
      </c>
      <c r="C12497" t="s">
        <v>10</v>
      </c>
      <c r="D12497" t="s">
        <v>11</v>
      </c>
      <c r="E12497" t="s">
        <v>12</v>
      </c>
      <c r="F12497">
        <v>14945975</v>
      </c>
      <c r="G12497">
        <v>14946014</v>
      </c>
      <c r="H12497">
        <v>14945933</v>
      </c>
      <c r="I12497">
        <v>14945972</v>
      </c>
    </row>
    <row r="12498" spans="1:9" x14ac:dyDescent="0.2">
      <c r="A12498" s="1" t="str">
        <f>"OR7C1"</f>
        <v>OR7C1</v>
      </c>
      <c r="B12498" t="s">
        <v>14</v>
      </c>
      <c r="C12498" t="s">
        <v>10</v>
      </c>
      <c r="D12498" t="s">
        <v>11</v>
      </c>
      <c r="E12498" t="s">
        <v>12</v>
      </c>
      <c r="F12498">
        <v>14911494</v>
      </c>
      <c r="G12498">
        <v>14911517</v>
      </c>
      <c r="H12498">
        <v>14911494</v>
      </c>
      <c r="I12498">
        <v>14911517</v>
      </c>
    </row>
    <row r="12499" spans="1:9" x14ac:dyDescent="0.2">
      <c r="A12499" s="1" t="str">
        <f>"OR7C2"</f>
        <v>OR7C2</v>
      </c>
      <c r="B12499" t="s">
        <v>1256</v>
      </c>
      <c r="C12499" t="s">
        <v>10</v>
      </c>
      <c r="D12499" t="s">
        <v>17</v>
      </c>
      <c r="E12499" t="s">
        <v>20</v>
      </c>
      <c r="F12499">
        <v>15052300</v>
      </c>
      <c r="G12499">
        <v>15052300</v>
      </c>
      <c r="H12499">
        <v>15052300</v>
      </c>
      <c r="I12499">
        <v>15052300</v>
      </c>
    </row>
    <row r="12500" spans="1:9" x14ac:dyDescent="0.2">
      <c r="A12500" s="1" t="str">
        <f>"OR7D2"</f>
        <v>OR7D2</v>
      </c>
      <c r="B12500" t="s">
        <v>1257</v>
      </c>
      <c r="C12500" t="s">
        <v>10</v>
      </c>
      <c r="D12500" t="s">
        <v>17</v>
      </c>
      <c r="E12500" t="s">
        <v>20</v>
      </c>
      <c r="F12500">
        <v>9296278</v>
      </c>
      <c r="G12500">
        <v>9296278</v>
      </c>
      <c r="H12500">
        <v>9296278</v>
      </c>
      <c r="I12500">
        <v>9296278</v>
      </c>
    </row>
    <row r="12501" spans="1:9" x14ac:dyDescent="0.2">
      <c r="A12501" s="1" t="str">
        <f>"OR7D4"</f>
        <v>OR7D4</v>
      </c>
      <c r="B12501" t="s">
        <v>1258</v>
      </c>
      <c r="C12501" t="s">
        <v>10</v>
      </c>
      <c r="D12501" t="s">
        <v>11</v>
      </c>
      <c r="E12501" t="s">
        <v>20</v>
      </c>
      <c r="F12501">
        <v>9325541</v>
      </c>
      <c r="G12501">
        <v>9325541</v>
      </c>
      <c r="H12501">
        <v>9325541</v>
      </c>
      <c r="I12501">
        <v>9325541</v>
      </c>
    </row>
    <row r="12502" spans="1:9" x14ac:dyDescent="0.2">
      <c r="A12502" s="1" t="str">
        <f>"OR7E24"</f>
        <v>OR7E24</v>
      </c>
      <c r="B12502" t="s">
        <v>1259</v>
      </c>
      <c r="C12502" t="s">
        <v>10</v>
      </c>
      <c r="D12502" t="s">
        <v>17</v>
      </c>
      <c r="E12502" t="s">
        <v>20</v>
      </c>
      <c r="F12502">
        <v>9361605</v>
      </c>
      <c r="G12502">
        <v>9361605</v>
      </c>
      <c r="H12502">
        <v>9361605</v>
      </c>
      <c r="I12502">
        <v>9361605</v>
      </c>
    </row>
    <row r="12503" spans="1:9" x14ac:dyDescent="0.2">
      <c r="A12503" s="1" t="str">
        <f>"OR7G1"</f>
        <v>OR7G1</v>
      </c>
      <c r="B12503" t="s">
        <v>1260</v>
      </c>
      <c r="C12503" t="s">
        <v>10</v>
      </c>
      <c r="D12503" t="s">
        <v>11</v>
      </c>
      <c r="E12503" t="s">
        <v>20</v>
      </c>
      <c r="F12503">
        <v>9226438</v>
      </c>
      <c r="G12503">
        <v>9226438</v>
      </c>
      <c r="H12503">
        <v>9226438</v>
      </c>
      <c r="I12503">
        <v>9226438</v>
      </c>
    </row>
    <row r="12504" spans="1:9" x14ac:dyDescent="0.2">
      <c r="A12504" s="1" t="str">
        <f>"OR7G2"</f>
        <v>OR7G2</v>
      </c>
      <c r="B12504" t="s">
        <v>1261</v>
      </c>
      <c r="C12504" t="s">
        <v>10</v>
      </c>
      <c r="D12504" t="s">
        <v>11</v>
      </c>
      <c r="E12504" t="s">
        <v>20</v>
      </c>
      <c r="F12504">
        <v>9213981</v>
      </c>
      <c r="G12504">
        <v>9213981</v>
      </c>
      <c r="H12504">
        <v>9213981</v>
      </c>
      <c r="I12504">
        <v>9213981</v>
      </c>
    </row>
    <row r="12505" spans="1:9" x14ac:dyDescent="0.2">
      <c r="A12505" s="1" t="str">
        <f>"OR7G3"</f>
        <v>OR7G3</v>
      </c>
      <c r="B12505" t="s">
        <v>1262</v>
      </c>
      <c r="C12505" t="s">
        <v>10</v>
      </c>
      <c r="D12505" t="s">
        <v>11</v>
      </c>
      <c r="E12505" t="s">
        <v>20</v>
      </c>
      <c r="F12505">
        <v>9237625</v>
      </c>
      <c r="G12505">
        <v>9237625</v>
      </c>
      <c r="H12505">
        <v>9237625</v>
      </c>
      <c r="I12505">
        <v>9237625</v>
      </c>
    </row>
    <row r="12506" spans="1:9" x14ac:dyDescent="0.2">
      <c r="A12506" s="1" t="str">
        <f>"OR8A1"</f>
        <v>OR8A1</v>
      </c>
      <c r="B12506" t="s">
        <v>1263</v>
      </c>
      <c r="C12506" t="s">
        <v>27</v>
      </c>
      <c r="D12506" t="s">
        <v>17</v>
      </c>
      <c r="E12506" t="s">
        <v>20</v>
      </c>
      <c r="F12506">
        <v>124439892</v>
      </c>
      <c r="G12506">
        <v>124439892</v>
      </c>
      <c r="H12506">
        <v>124439892</v>
      </c>
      <c r="I12506">
        <v>124439892</v>
      </c>
    </row>
    <row r="12507" spans="1:9" x14ac:dyDescent="0.2">
      <c r="A12507" s="1" t="str">
        <f>"OR8B12"</f>
        <v>OR8B12</v>
      </c>
      <c r="B12507" t="s">
        <v>1264</v>
      </c>
      <c r="C12507" t="s">
        <v>27</v>
      </c>
      <c r="D12507" t="s">
        <v>11</v>
      </c>
      <c r="E12507" t="s">
        <v>20</v>
      </c>
      <c r="F12507">
        <v>124413574</v>
      </c>
      <c r="G12507">
        <v>124413574</v>
      </c>
      <c r="H12507">
        <v>124413574</v>
      </c>
      <c r="I12507">
        <v>124413574</v>
      </c>
    </row>
    <row r="12508" spans="1:9" x14ac:dyDescent="0.2">
      <c r="A12508" s="1" t="str">
        <f>"OR8B2"</f>
        <v>OR8B2</v>
      </c>
      <c r="B12508" t="s">
        <v>1265</v>
      </c>
      <c r="C12508" t="s">
        <v>27</v>
      </c>
      <c r="D12508" t="s">
        <v>11</v>
      </c>
      <c r="E12508" t="s">
        <v>20</v>
      </c>
      <c r="F12508">
        <v>124253257</v>
      </c>
      <c r="G12508">
        <v>124253257</v>
      </c>
      <c r="H12508">
        <v>124253257</v>
      </c>
      <c r="I12508">
        <v>124253257</v>
      </c>
    </row>
    <row r="12509" spans="1:9" x14ac:dyDescent="0.2">
      <c r="A12509" s="1" t="str">
        <f>"OR8B3"</f>
        <v>OR8B3</v>
      </c>
      <c r="B12509" t="s">
        <v>1266</v>
      </c>
      <c r="C12509" t="s">
        <v>27</v>
      </c>
      <c r="D12509" t="s">
        <v>11</v>
      </c>
      <c r="E12509" t="s">
        <v>20</v>
      </c>
      <c r="F12509">
        <v>124267263</v>
      </c>
      <c r="G12509">
        <v>124267263</v>
      </c>
      <c r="H12509">
        <v>124267263</v>
      </c>
      <c r="I12509">
        <v>124267263</v>
      </c>
    </row>
    <row r="12510" spans="1:9" x14ac:dyDescent="0.2">
      <c r="A12510" s="1" t="str">
        <f>"OR8B4"</f>
        <v>OR8B4</v>
      </c>
      <c r="B12510" t="s">
        <v>1267</v>
      </c>
      <c r="C12510" t="s">
        <v>27</v>
      </c>
      <c r="D12510" t="s">
        <v>11</v>
      </c>
      <c r="E12510" t="s">
        <v>20</v>
      </c>
      <c r="F12510">
        <v>124294788</v>
      </c>
      <c r="G12510">
        <v>124294788</v>
      </c>
      <c r="H12510">
        <v>124294788</v>
      </c>
      <c r="I12510">
        <v>124294788</v>
      </c>
    </row>
    <row r="12511" spans="1:9" x14ac:dyDescent="0.2">
      <c r="A12511" s="1" t="str">
        <f>"OR8B8"</f>
        <v>OR8B8</v>
      </c>
      <c r="B12511" t="s">
        <v>1268</v>
      </c>
      <c r="C12511" t="s">
        <v>27</v>
      </c>
      <c r="D12511" t="s">
        <v>11</v>
      </c>
      <c r="E12511" t="s">
        <v>20</v>
      </c>
      <c r="F12511">
        <v>124311053</v>
      </c>
      <c r="G12511">
        <v>124311053</v>
      </c>
      <c r="H12511">
        <v>124311053</v>
      </c>
      <c r="I12511">
        <v>124311053</v>
      </c>
    </row>
    <row r="12512" spans="1:9" x14ac:dyDescent="0.2">
      <c r="A12512" s="1" t="str">
        <f>"OR8D1"</f>
        <v>OR8D1</v>
      </c>
      <c r="B12512" t="s">
        <v>1269</v>
      </c>
      <c r="C12512" t="s">
        <v>27</v>
      </c>
      <c r="D12512" t="s">
        <v>11</v>
      </c>
      <c r="E12512" t="s">
        <v>20</v>
      </c>
      <c r="F12512">
        <v>124180732</v>
      </c>
      <c r="G12512">
        <v>124180732</v>
      </c>
      <c r="H12512">
        <v>124180732</v>
      </c>
      <c r="I12512">
        <v>124180732</v>
      </c>
    </row>
    <row r="12513" spans="1:9" x14ac:dyDescent="0.2">
      <c r="A12513" s="1" t="str">
        <f>"OR8D2"</f>
        <v>OR8D2</v>
      </c>
      <c r="B12513" t="s">
        <v>1270</v>
      </c>
      <c r="C12513" t="s">
        <v>27</v>
      </c>
      <c r="D12513" t="s">
        <v>11</v>
      </c>
      <c r="E12513" t="s">
        <v>20</v>
      </c>
      <c r="F12513">
        <v>124190183</v>
      </c>
      <c r="G12513">
        <v>124190183</v>
      </c>
      <c r="H12513">
        <v>124190183</v>
      </c>
      <c r="I12513">
        <v>124190183</v>
      </c>
    </row>
    <row r="12514" spans="1:9" x14ac:dyDescent="0.2">
      <c r="A12514" s="1" t="str">
        <f>"OR8D4"</f>
        <v>OR8D4</v>
      </c>
      <c r="B12514" t="s">
        <v>1271</v>
      </c>
      <c r="C12514" t="s">
        <v>27</v>
      </c>
      <c r="D12514" t="s">
        <v>17</v>
      </c>
      <c r="E12514" t="s">
        <v>20</v>
      </c>
      <c r="F12514">
        <v>123777108</v>
      </c>
      <c r="G12514">
        <v>123777108</v>
      </c>
      <c r="H12514">
        <v>123777108</v>
      </c>
      <c r="I12514">
        <v>123777108</v>
      </c>
    </row>
    <row r="12515" spans="1:9" x14ac:dyDescent="0.2">
      <c r="A12515" s="1" t="str">
        <f>"OR8G1"</f>
        <v>OR8G1</v>
      </c>
      <c r="B12515" t="s">
        <v>14</v>
      </c>
      <c r="C12515" t="s">
        <v>27</v>
      </c>
      <c r="D12515" t="s">
        <v>17</v>
      </c>
      <c r="E12515" t="s">
        <v>12</v>
      </c>
      <c r="F12515">
        <v>124135254</v>
      </c>
      <c r="G12515">
        <v>124135271</v>
      </c>
      <c r="H12515">
        <v>124135254</v>
      </c>
      <c r="I12515">
        <v>124135271</v>
      </c>
    </row>
    <row r="12516" spans="1:9" x14ac:dyDescent="0.2">
      <c r="A12516" s="1" t="str">
        <f>"OR8G2P"</f>
        <v>OR8G2P</v>
      </c>
      <c r="B12516" t="s">
        <v>1272</v>
      </c>
      <c r="C12516" t="s">
        <v>27</v>
      </c>
      <c r="D12516" t="s">
        <v>17</v>
      </c>
      <c r="E12516" t="s">
        <v>20</v>
      </c>
      <c r="F12516">
        <v>124095436</v>
      </c>
      <c r="G12516">
        <v>124095436</v>
      </c>
      <c r="H12516">
        <v>124095436</v>
      </c>
      <c r="I12516">
        <v>124095436</v>
      </c>
    </row>
    <row r="12517" spans="1:9" x14ac:dyDescent="0.2">
      <c r="A12517" s="1" t="str">
        <f>"OR8G5"</f>
        <v>OR8G5</v>
      </c>
      <c r="B12517" t="s">
        <v>1273</v>
      </c>
      <c r="C12517" t="s">
        <v>27</v>
      </c>
      <c r="D12517" t="s">
        <v>17</v>
      </c>
      <c r="E12517" t="s">
        <v>20</v>
      </c>
      <c r="F12517">
        <v>124134722</v>
      </c>
      <c r="G12517">
        <v>124134722</v>
      </c>
      <c r="H12517">
        <v>124134722</v>
      </c>
      <c r="I12517">
        <v>124134722</v>
      </c>
    </row>
    <row r="12518" spans="1:9" x14ac:dyDescent="0.2">
      <c r="A12518" s="1" t="str">
        <f>"OR8H1"</f>
        <v>OR8H1</v>
      </c>
      <c r="B12518" t="s">
        <v>1274</v>
      </c>
      <c r="C12518" t="s">
        <v>27</v>
      </c>
      <c r="D12518" t="s">
        <v>11</v>
      </c>
      <c r="E12518" t="s">
        <v>20</v>
      </c>
      <c r="F12518">
        <v>56058565</v>
      </c>
      <c r="G12518">
        <v>56058565</v>
      </c>
      <c r="H12518">
        <v>56058565</v>
      </c>
      <c r="I12518">
        <v>56058565</v>
      </c>
    </row>
    <row r="12519" spans="1:9" x14ac:dyDescent="0.2">
      <c r="A12519" s="1" t="str">
        <f>"OR8H2"</f>
        <v>OR8H2</v>
      </c>
      <c r="B12519" t="s">
        <v>1275</v>
      </c>
      <c r="C12519" t="s">
        <v>27</v>
      </c>
      <c r="D12519" t="s">
        <v>17</v>
      </c>
      <c r="E12519" t="s">
        <v>20</v>
      </c>
      <c r="F12519">
        <v>55872518</v>
      </c>
      <c r="G12519">
        <v>55872518</v>
      </c>
      <c r="H12519">
        <v>55872518</v>
      </c>
      <c r="I12519">
        <v>55872518</v>
      </c>
    </row>
    <row r="12520" spans="1:9" x14ac:dyDescent="0.2">
      <c r="A12520" s="1" t="str">
        <f>"OR8H3"</f>
        <v>OR8H3</v>
      </c>
      <c r="B12520" t="s">
        <v>1276</v>
      </c>
      <c r="C12520" t="s">
        <v>27</v>
      </c>
      <c r="D12520" t="s">
        <v>17</v>
      </c>
      <c r="E12520" t="s">
        <v>20</v>
      </c>
      <c r="F12520">
        <v>55889848</v>
      </c>
      <c r="G12520">
        <v>55889848</v>
      </c>
      <c r="H12520">
        <v>55889848</v>
      </c>
      <c r="I12520">
        <v>55889848</v>
      </c>
    </row>
    <row r="12521" spans="1:9" x14ac:dyDescent="0.2">
      <c r="A12521" s="1" t="str">
        <f>"OR8I2"</f>
        <v>OR8I2</v>
      </c>
      <c r="B12521" t="s">
        <v>1277</v>
      </c>
      <c r="C12521" t="s">
        <v>27</v>
      </c>
      <c r="D12521" t="s">
        <v>17</v>
      </c>
      <c r="E12521" t="s">
        <v>20</v>
      </c>
      <c r="F12521">
        <v>55860752</v>
      </c>
      <c r="G12521">
        <v>55860752</v>
      </c>
      <c r="H12521">
        <v>55860752</v>
      </c>
      <c r="I12521">
        <v>55860752</v>
      </c>
    </row>
    <row r="12522" spans="1:9" x14ac:dyDescent="0.2">
      <c r="A12522" s="1" t="str">
        <f>"OR8J1"</f>
        <v>OR8J1</v>
      </c>
      <c r="B12522" t="s">
        <v>1278</v>
      </c>
      <c r="C12522" t="s">
        <v>27</v>
      </c>
      <c r="D12522" t="s">
        <v>17</v>
      </c>
      <c r="E12522" t="s">
        <v>20</v>
      </c>
      <c r="F12522">
        <v>56127690</v>
      </c>
      <c r="G12522">
        <v>56127690</v>
      </c>
      <c r="H12522">
        <v>56127690</v>
      </c>
      <c r="I12522">
        <v>56127690</v>
      </c>
    </row>
    <row r="12523" spans="1:9" x14ac:dyDescent="0.2">
      <c r="A12523" s="1" t="str">
        <f>"OR8J3"</f>
        <v>OR8J3</v>
      </c>
      <c r="B12523" t="s">
        <v>1279</v>
      </c>
      <c r="C12523" t="s">
        <v>27</v>
      </c>
      <c r="D12523" t="s">
        <v>11</v>
      </c>
      <c r="E12523" t="s">
        <v>20</v>
      </c>
      <c r="F12523">
        <v>55905193</v>
      </c>
      <c r="G12523">
        <v>55905193</v>
      </c>
      <c r="H12523">
        <v>55905193</v>
      </c>
      <c r="I12523">
        <v>55905193</v>
      </c>
    </row>
    <row r="12524" spans="1:9" x14ac:dyDescent="0.2">
      <c r="A12524" s="1" t="str">
        <f>"OR8K1"</f>
        <v>OR8K1</v>
      </c>
      <c r="B12524" t="s">
        <v>1280</v>
      </c>
      <c r="C12524" t="s">
        <v>27</v>
      </c>
      <c r="D12524" t="s">
        <v>17</v>
      </c>
      <c r="E12524" t="s">
        <v>20</v>
      </c>
      <c r="F12524">
        <v>56113420</v>
      </c>
      <c r="G12524">
        <v>56113420</v>
      </c>
      <c r="H12524">
        <v>56113420</v>
      </c>
      <c r="I12524">
        <v>56113420</v>
      </c>
    </row>
    <row r="12525" spans="1:9" x14ac:dyDescent="0.2">
      <c r="A12525" s="1" t="str">
        <f>"OR8K3"</f>
        <v>OR8K3</v>
      </c>
      <c r="B12525" t="s">
        <v>1281</v>
      </c>
      <c r="C12525" t="s">
        <v>27</v>
      </c>
      <c r="D12525" t="s">
        <v>17</v>
      </c>
      <c r="E12525" t="s">
        <v>20</v>
      </c>
      <c r="F12525">
        <v>56085782</v>
      </c>
      <c r="G12525">
        <v>56085782</v>
      </c>
      <c r="H12525">
        <v>56085782</v>
      </c>
      <c r="I12525">
        <v>56085782</v>
      </c>
    </row>
    <row r="12526" spans="1:9" x14ac:dyDescent="0.2">
      <c r="A12526" s="1" t="str">
        <f>"OR8K5"</f>
        <v>OR8K5</v>
      </c>
      <c r="B12526" t="s">
        <v>1282</v>
      </c>
      <c r="C12526" t="s">
        <v>27</v>
      </c>
      <c r="D12526" t="s">
        <v>11</v>
      </c>
      <c r="E12526" t="s">
        <v>20</v>
      </c>
      <c r="F12526">
        <v>55927792</v>
      </c>
      <c r="G12526">
        <v>55927792</v>
      </c>
      <c r="H12526">
        <v>55927792</v>
      </c>
      <c r="I12526">
        <v>55927792</v>
      </c>
    </row>
    <row r="12527" spans="1:9" x14ac:dyDescent="0.2">
      <c r="A12527" s="1" t="str">
        <f>"OR8S1"</f>
        <v>OR8S1</v>
      </c>
      <c r="B12527" t="s">
        <v>14</v>
      </c>
      <c r="C12527" t="s">
        <v>16</v>
      </c>
      <c r="D12527" t="s">
        <v>17</v>
      </c>
      <c r="E12527" t="s">
        <v>12</v>
      </c>
      <c r="F12527">
        <v>48901069</v>
      </c>
      <c r="G12527">
        <v>48901070</v>
      </c>
      <c r="H12527">
        <v>48901069</v>
      </c>
      <c r="I12527">
        <v>48901070</v>
      </c>
    </row>
    <row r="12528" spans="1:9" x14ac:dyDescent="0.2">
      <c r="A12528" s="1" t="str">
        <f>"OR8U1"</f>
        <v>OR8U1</v>
      </c>
      <c r="B12528" t="s">
        <v>1283</v>
      </c>
      <c r="C12528" t="s">
        <v>27</v>
      </c>
      <c r="D12528" t="s">
        <v>17</v>
      </c>
      <c r="E12528" t="s">
        <v>20</v>
      </c>
      <c r="F12528">
        <v>56143099</v>
      </c>
      <c r="G12528">
        <v>56143099</v>
      </c>
      <c r="H12528">
        <v>56143099</v>
      </c>
      <c r="I12528">
        <v>56143099</v>
      </c>
    </row>
    <row r="12529" spans="1:9" x14ac:dyDescent="0.2">
      <c r="A12529" s="1" t="str">
        <f>"OR9A2"</f>
        <v>OR9A2</v>
      </c>
      <c r="B12529" t="s">
        <v>1284</v>
      </c>
      <c r="C12529" t="s">
        <v>33</v>
      </c>
      <c r="D12529" t="s">
        <v>11</v>
      </c>
      <c r="E12529" t="s">
        <v>20</v>
      </c>
      <c r="F12529">
        <v>142724281</v>
      </c>
      <c r="G12529">
        <v>142724281</v>
      </c>
      <c r="H12529">
        <v>142724281</v>
      </c>
      <c r="I12529">
        <v>142724281</v>
      </c>
    </row>
    <row r="12530" spans="1:9" x14ac:dyDescent="0.2">
      <c r="A12530" s="1" t="str">
        <f>"OR9A4"</f>
        <v>OR9A4</v>
      </c>
      <c r="B12530" t="s">
        <v>1285</v>
      </c>
      <c r="C12530" t="s">
        <v>33</v>
      </c>
      <c r="D12530" t="s">
        <v>17</v>
      </c>
      <c r="E12530" t="s">
        <v>20</v>
      </c>
      <c r="F12530">
        <v>141618616</v>
      </c>
      <c r="G12530">
        <v>141618616</v>
      </c>
      <c r="H12530">
        <v>141618616</v>
      </c>
      <c r="I12530">
        <v>141618616</v>
      </c>
    </row>
    <row r="12531" spans="1:9" x14ac:dyDescent="0.2">
      <c r="A12531" s="1" t="str">
        <f>"OR9G1"</f>
        <v>OR9G1</v>
      </c>
      <c r="B12531" t="s">
        <v>1286</v>
      </c>
      <c r="C12531" t="s">
        <v>27</v>
      </c>
      <c r="D12531" t="s">
        <v>17</v>
      </c>
      <c r="E12531" t="s">
        <v>20</v>
      </c>
      <c r="F12531">
        <v>56467863</v>
      </c>
      <c r="G12531">
        <v>56467863</v>
      </c>
      <c r="H12531">
        <v>56467863</v>
      </c>
      <c r="I12531">
        <v>56467863</v>
      </c>
    </row>
    <row r="12532" spans="1:9" x14ac:dyDescent="0.2">
      <c r="A12532" s="1" t="str">
        <f>"OR9G4"</f>
        <v>OR9G4</v>
      </c>
      <c r="B12532" t="s">
        <v>1287</v>
      </c>
      <c r="C12532" t="s">
        <v>27</v>
      </c>
      <c r="D12532" t="s">
        <v>11</v>
      </c>
      <c r="E12532" t="s">
        <v>20</v>
      </c>
      <c r="F12532">
        <v>56511286</v>
      </c>
      <c r="G12532">
        <v>56511286</v>
      </c>
      <c r="H12532">
        <v>56511286</v>
      </c>
      <c r="I12532">
        <v>56511286</v>
      </c>
    </row>
    <row r="12533" spans="1:9" x14ac:dyDescent="0.2">
      <c r="A12533" s="1" t="str">
        <f>"OR9I1"</f>
        <v>OR9I1</v>
      </c>
      <c r="B12533" t="s">
        <v>1288</v>
      </c>
      <c r="C12533" t="s">
        <v>27</v>
      </c>
      <c r="D12533" t="s">
        <v>11</v>
      </c>
      <c r="E12533" t="s">
        <v>20</v>
      </c>
      <c r="F12533">
        <v>57886915</v>
      </c>
      <c r="G12533">
        <v>57886915</v>
      </c>
      <c r="H12533">
        <v>57886915</v>
      </c>
      <c r="I12533">
        <v>57886915</v>
      </c>
    </row>
    <row r="12534" spans="1:9" x14ac:dyDescent="0.2">
      <c r="A12534" s="1" t="str">
        <f>"OR9K2"</f>
        <v>OR9K2</v>
      </c>
      <c r="B12534" t="s">
        <v>1289</v>
      </c>
      <c r="C12534" t="s">
        <v>16</v>
      </c>
      <c r="D12534" t="s">
        <v>17</v>
      </c>
      <c r="E12534" t="s">
        <v>20</v>
      </c>
      <c r="F12534">
        <v>55523464</v>
      </c>
      <c r="G12534">
        <v>55523464</v>
      </c>
      <c r="H12534">
        <v>55523464</v>
      </c>
      <c r="I12534">
        <v>55523464</v>
      </c>
    </row>
    <row r="12535" spans="1:9" x14ac:dyDescent="0.2">
      <c r="A12535" s="1" t="str">
        <f>"OR9Q1"</f>
        <v>OR9Q1</v>
      </c>
      <c r="B12535" t="s">
        <v>1290</v>
      </c>
      <c r="C12535" t="s">
        <v>27</v>
      </c>
      <c r="D12535" t="s">
        <v>17</v>
      </c>
      <c r="E12535" t="s">
        <v>20</v>
      </c>
      <c r="F12535">
        <v>57791352</v>
      </c>
      <c r="G12535">
        <v>57791352</v>
      </c>
      <c r="H12535">
        <v>57791352</v>
      </c>
      <c r="I12535">
        <v>57791352</v>
      </c>
    </row>
    <row r="12536" spans="1:9" x14ac:dyDescent="0.2">
      <c r="A12536" s="1" t="str">
        <f>"OR9Q2"</f>
        <v>OR9Q2</v>
      </c>
      <c r="B12536" t="s">
        <v>1291</v>
      </c>
      <c r="C12536" t="s">
        <v>27</v>
      </c>
      <c r="D12536" t="s">
        <v>17</v>
      </c>
      <c r="E12536" t="s">
        <v>20</v>
      </c>
      <c r="F12536">
        <v>57957905</v>
      </c>
      <c r="G12536">
        <v>57957905</v>
      </c>
      <c r="H12536">
        <v>57957905</v>
      </c>
      <c r="I12536">
        <v>57957905</v>
      </c>
    </row>
    <row r="12537" spans="1:9" x14ac:dyDescent="0.2">
      <c r="A12537" s="1" t="str">
        <f>"ORAI1"</f>
        <v>ORAI1</v>
      </c>
      <c r="B12537" t="s">
        <v>14</v>
      </c>
      <c r="C12537" t="s">
        <v>16</v>
      </c>
      <c r="D12537" t="s">
        <v>17</v>
      </c>
      <c r="E12537" t="s">
        <v>12</v>
      </c>
      <c r="F12537">
        <v>122064398</v>
      </c>
      <c r="G12537">
        <v>122064484</v>
      </c>
      <c r="H12537">
        <v>122064673</v>
      </c>
      <c r="I12537">
        <v>122064731</v>
      </c>
    </row>
    <row r="12538" spans="1:9" x14ac:dyDescent="0.2">
      <c r="A12538" s="1" t="str">
        <f>"ORAI2"</f>
        <v>ORAI2</v>
      </c>
      <c r="B12538" t="s">
        <v>14</v>
      </c>
      <c r="C12538" t="s">
        <v>33</v>
      </c>
      <c r="D12538" t="s">
        <v>17</v>
      </c>
      <c r="E12538" t="s">
        <v>12</v>
      </c>
      <c r="F12538">
        <v>102073966</v>
      </c>
      <c r="G12538">
        <v>102074072</v>
      </c>
      <c r="H12538">
        <v>102073903</v>
      </c>
      <c r="I12538">
        <v>102073911</v>
      </c>
    </row>
    <row r="12539" spans="1:9" x14ac:dyDescent="0.2">
      <c r="A12539" s="1" t="str">
        <f>"ORAI3"</f>
        <v>ORAI3</v>
      </c>
      <c r="B12539" t="s">
        <v>14</v>
      </c>
      <c r="C12539" t="s">
        <v>31</v>
      </c>
      <c r="D12539" t="s">
        <v>17</v>
      </c>
      <c r="E12539" t="s">
        <v>12</v>
      </c>
      <c r="F12539">
        <v>30960375</v>
      </c>
      <c r="G12539">
        <v>30960448</v>
      </c>
      <c r="H12539">
        <v>30960375</v>
      </c>
      <c r="I12539">
        <v>30960448</v>
      </c>
    </row>
    <row r="12540" spans="1:9" x14ac:dyDescent="0.2">
      <c r="A12540" s="1" t="str">
        <f>"ORAOV1"</f>
        <v>ORAOV1</v>
      </c>
      <c r="B12540" t="s">
        <v>14</v>
      </c>
      <c r="C12540" t="s">
        <v>27</v>
      </c>
      <c r="D12540" t="s">
        <v>11</v>
      </c>
      <c r="E12540" t="s">
        <v>12</v>
      </c>
      <c r="F12540">
        <v>69490073</v>
      </c>
      <c r="G12540">
        <v>69490132</v>
      </c>
      <c r="H12540">
        <v>69490135</v>
      </c>
      <c r="I12540">
        <v>69490154</v>
      </c>
    </row>
    <row r="12541" spans="1:9" x14ac:dyDescent="0.2">
      <c r="A12541" s="1" t="str">
        <f>"ORC1"</f>
        <v>ORC1</v>
      </c>
      <c r="B12541" t="s">
        <v>14</v>
      </c>
      <c r="C12541" t="s">
        <v>19</v>
      </c>
      <c r="D12541" t="s">
        <v>11</v>
      </c>
      <c r="E12541" t="s">
        <v>12</v>
      </c>
      <c r="F12541">
        <v>52870063</v>
      </c>
      <c r="G12541">
        <v>52870102</v>
      </c>
      <c r="H12541">
        <v>52870104</v>
      </c>
      <c r="I12541">
        <v>52870134</v>
      </c>
    </row>
    <row r="12542" spans="1:9" x14ac:dyDescent="0.2">
      <c r="A12542" s="1" t="str">
        <f>"ORC2"</f>
        <v>ORC2</v>
      </c>
      <c r="B12542" t="s">
        <v>14</v>
      </c>
      <c r="C12542" t="s">
        <v>26</v>
      </c>
      <c r="D12542" t="s">
        <v>11</v>
      </c>
      <c r="E12542" t="s">
        <v>12</v>
      </c>
      <c r="F12542">
        <v>201828356</v>
      </c>
      <c r="G12542">
        <v>201828412</v>
      </c>
      <c r="H12542">
        <v>201828420</v>
      </c>
      <c r="I12542">
        <v>201828427</v>
      </c>
    </row>
    <row r="12543" spans="1:9" x14ac:dyDescent="0.2">
      <c r="A12543" s="1" t="str">
        <f>"ORC3"</f>
        <v>ORC3</v>
      </c>
      <c r="B12543" t="s">
        <v>14</v>
      </c>
      <c r="C12543" t="s">
        <v>32</v>
      </c>
      <c r="D12543" t="s">
        <v>17</v>
      </c>
      <c r="E12543" t="s">
        <v>12</v>
      </c>
      <c r="F12543">
        <v>88299833</v>
      </c>
      <c r="G12543">
        <v>88299887</v>
      </c>
      <c r="H12543">
        <v>88299833</v>
      </c>
      <c r="I12543">
        <v>88299887</v>
      </c>
    </row>
    <row r="12544" spans="1:9" x14ac:dyDescent="0.2">
      <c r="A12544" s="1" t="str">
        <f>"ORC4"</f>
        <v>ORC4</v>
      </c>
      <c r="B12544" t="s">
        <v>14</v>
      </c>
      <c r="C12544" t="s">
        <v>26</v>
      </c>
      <c r="D12544" t="s">
        <v>11</v>
      </c>
      <c r="E12544" t="s">
        <v>12</v>
      </c>
      <c r="F12544">
        <v>148778258</v>
      </c>
      <c r="G12544">
        <v>148778319</v>
      </c>
      <c r="H12544">
        <v>148778323</v>
      </c>
      <c r="I12544">
        <v>148778337</v>
      </c>
    </row>
    <row r="12545" spans="1:9" x14ac:dyDescent="0.2">
      <c r="A12545" s="1" t="str">
        <f>"ORC5"</f>
        <v>ORC5</v>
      </c>
      <c r="B12545" t="s">
        <v>14</v>
      </c>
      <c r="C12545" t="s">
        <v>33</v>
      </c>
      <c r="D12545" t="s">
        <v>11</v>
      </c>
      <c r="E12545" t="s">
        <v>12</v>
      </c>
      <c r="F12545">
        <v>103848422</v>
      </c>
      <c r="G12545">
        <v>103848492</v>
      </c>
      <c r="H12545">
        <v>103848422</v>
      </c>
      <c r="I12545">
        <v>103848492</v>
      </c>
    </row>
    <row r="12546" spans="1:9" x14ac:dyDescent="0.2">
      <c r="A12546" s="1" t="str">
        <f>"ORC6"</f>
        <v>ORC6</v>
      </c>
      <c r="B12546" t="s">
        <v>14</v>
      </c>
      <c r="C12546" t="s">
        <v>31</v>
      </c>
      <c r="D12546" t="s">
        <v>17</v>
      </c>
      <c r="E12546" t="s">
        <v>12</v>
      </c>
      <c r="F12546">
        <v>46723552</v>
      </c>
      <c r="G12546">
        <v>46723612</v>
      </c>
      <c r="H12546">
        <v>46723526</v>
      </c>
      <c r="I12546">
        <v>46723534</v>
      </c>
    </row>
    <row r="12547" spans="1:9" x14ac:dyDescent="0.2">
      <c r="A12547" s="1" t="str">
        <f>"ORM1"</f>
        <v>ORM1</v>
      </c>
      <c r="B12547" t="s">
        <v>14</v>
      </c>
      <c r="C12547" t="s">
        <v>24</v>
      </c>
      <c r="D12547" t="s">
        <v>17</v>
      </c>
      <c r="E12547" t="s">
        <v>12</v>
      </c>
      <c r="F12547">
        <v>117086005</v>
      </c>
      <c r="G12547">
        <v>117086035</v>
      </c>
      <c r="H12547">
        <v>117086005</v>
      </c>
      <c r="I12547">
        <v>117086035</v>
      </c>
    </row>
    <row r="12548" spans="1:9" x14ac:dyDescent="0.2">
      <c r="A12548" s="1" t="str">
        <f>"ORM2"</f>
        <v>ORM2</v>
      </c>
      <c r="B12548" t="s">
        <v>1292</v>
      </c>
      <c r="C12548" t="s">
        <v>24</v>
      </c>
      <c r="D12548" t="s">
        <v>17</v>
      </c>
      <c r="E12548" t="s">
        <v>20</v>
      </c>
      <c r="F12548">
        <v>117092148</v>
      </c>
      <c r="G12548">
        <v>117092148</v>
      </c>
      <c r="H12548">
        <v>117092148</v>
      </c>
      <c r="I12548">
        <v>117092148</v>
      </c>
    </row>
    <row r="12549" spans="1:9" x14ac:dyDescent="0.2">
      <c r="A12549" s="1" t="str">
        <f>"ORMDL1"</f>
        <v>ORMDL1</v>
      </c>
      <c r="B12549" t="s">
        <v>14</v>
      </c>
      <c r="C12549" t="s">
        <v>26</v>
      </c>
      <c r="D12549" t="s">
        <v>11</v>
      </c>
      <c r="E12549" t="s">
        <v>12</v>
      </c>
      <c r="F12549">
        <v>190649023</v>
      </c>
      <c r="G12549">
        <v>190649081</v>
      </c>
      <c r="H12549">
        <v>190648699</v>
      </c>
      <c r="I12549">
        <v>190648771</v>
      </c>
    </row>
    <row r="12550" spans="1:9" x14ac:dyDescent="0.2">
      <c r="A12550" s="1" t="str">
        <f>"ORMDL2"</f>
        <v>ORMDL2</v>
      </c>
      <c r="B12550" t="s">
        <v>14</v>
      </c>
      <c r="C12550" t="s">
        <v>16</v>
      </c>
      <c r="D12550" t="s">
        <v>17</v>
      </c>
      <c r="E12550" t="s">
        <v>12</v>
      </c>
      <c r="F12550">
        <v>56211817</v>
      </c>
      <c r="G12550">
        <v>56211858</v>
      </c>
      <c r="H12550">
        <v>56211863</v>
      </c>
      <c r="I12550">
        <v>56211876</v>
      </c>
    </row>
    <row r="12551" spans="1:9" x14ac:dyDescent="0.2">
      <c r="A12551" s="1" t="str">
        <f>"ORMDL3"</f>
        <v>ORMDL3</v>
      </c>
      <c r="B12551" t="s">
        <v>14</v>
      </c>
      <c r="C12551" t="s">
        <v>28</v>
      </c>
      <c r="D12551" t="s">
        <v>11</v>
      </c>
      <c r="E12551" t="s">
        <v>12</v>
      </c>
      <c r="F12551">
        <v>38083802</v>
      </c>
      <c r="G12551">
        <v>38083841</v>
      </c>
      <c r="H12551">
        <v>38083843</v>
      </c>
      <c r="I12551">
        <v>38083864</v>
      </c>
    </row>
    <row r="12552" spans="1:9" x14ac:dyDescent="0.2">
      <c r="A12552" s="1" t="str">
        <f>"OS9"</f>
        <v>OS9</v>
      </c>
      <c r="B12552" t="s">
        <v>14</v>
      </c>
      <c r="C12552" t="s">
        <v>16</v>
      </c>
      <c r="D12552" t="s">
        <v>17</v>
      </c>
      <c r="E12552" t="s">
        <v>12</v>
      </c>
      <c r="F12552">
        <v>58087901</v>
      </c>
      <c r="G12552">
        <v>58087947</v>
      </c>
      <c r="H12552">
        <v>58087901</v>
      </c>
      <c r="I12552">
        <v>58087947</v>
      </c>
    </row>
    <row r="12553" spans="1:9" x14ac:dyDescent="0.2">
      <c r="A12553" s="1" t="str">
        <f>"OSBP"</f>
        <v>OSBP</v>
      </c>
      <c r="B12553" t="s">
        <v>14</v>
      </c>
      <c r="C12553" t="s">
        <v>27</v>
      </c>
      <c r="D12553" t="s">
        <v>11</v>
      </c>
      <c r="E12553" t="s">
        <v>12</v>
      </c>
      <c r="F12553">
        <v>59383188</v>
      </c>
      <c r="G12553">
        <v>59383261</v>
      </c>
      <c r="H12553">
        <v>59383146</v>
      </c>
      <c r="I12553">
        <v>59383179</v>
      </c>
    </row>
    <row r="12554" spans="1:9" x14ac:dyDescent="0.2">
      <c r="A12554" s="1" t="str">
        <f>"OSBP2"</f>
        <v>OSBP2</v>
      </c>
      <c r="B12554" t="s">
        <v>1293</v>
      </c>
      <c r="C12554" t="s">
        <v>21</v>
      </c>
      <c r="D12554" t="s">
        <v>17</v>
      </c>
      <c r="E12554" t="s">
        <v>35</v>
      </c>
      <c r="F12554">
        <v>31090649</v>
      </c>
      <c r="G12554">
        <v>31090665</v>
      </c>
      <c r="H12554">
        <v>31090981</v>
      </c>
      <c r="I12554">
        <v>31090998</v>
      </c>
    </row>
    <row r="12555" spans="1:9" x14ac:dyDescent="0.2">
      <c r="A12555" s="1" t="str">
        <f>"OSBPL10"</f>
        <v>OSBPL10</v>
      </c>
      <c r="B12555" t="s">
        <v>14</v>
      </c>
      <c r="C12555" t="s">
        <v>22</v>
      </c>
      <c r="D12555" t="s">
        <v>11</v>
      </c>
      <c r="E12555" t="s">
        <v>12</v>
      </c>
      <c r="F12555">
        <v>32022733</v>
      </c>
      <c r="G12555">
        <v>32022809</v>
      </c>
      <c r="H12555">
        <v>32023114</v>
      </c>
      <c r="I12555">
        <v>32023135</v>
      </c>
    </row>
    <row r="12556" spans="1:9" x14ac:dyDescent="0.2">
      <c r="A12556" s="1" t="str">
        <f>"OSBPL11"</f>
        <v>OSBPL11</v>
      </c>
      <c r="B12556" t="s">
        <v>14</v>
      </c>
      <c r="C12556" t="s">
        <v>22</v>
      </c>
      <c r="D12556" t="s">
        <v>11</v>
      </c>
      <c r="E12556" t="s">
        <v>12</v>
      </c>
      <c r="F12556">
        <v>125314332</v>
      </c>
      <c r="G12556">
        <v>125314421</v>
      </c>
      <c r="H12556">
        <v>125314128</v>
      </c>
      <c r="I12556">
        <v>125314192</v>
      </c>
    </row>
    <row r="12557" spans="1:9" x14ac:dyDescent="0.2">
      <c r="A12557" s="1" t="str">
        <f>"OSBPL1A"</f>
        <v>OSBPL1A</v>
      </c>
      <c r="B12557" t="s">
        <v>14</v>
      </c>
      <c r="C12557" t="s">
        <v>43</v>
      </c>
      <c r="D12557" t="s">
        <v>11</v>
      </c>
      <c r="E12557" t="s">
        <v>12</v>
      </c>
      <c r="F12557">
        <v>21977748</v>
      </c>
      <c r="G12557">
        <v>21977821</v>
      </c>
      <c r="H12557">
        <v>21977748</v>
      </c>
      <c r="I12557">
        <v>21977821</v>
      </c>
    </row>
    <row r="12558" spans="1:9" x14ac:dyDescent="0.2">
      <c r="A12558" s="1" t="str">
        <f>"OSBPL2"</f>
        <v>OSBPL2</v>
      </c>
      <c r="B12558" t="s">
        <v>14</v>
      </c>
      <c r="C12558" t="s">
        <v>29</v>
      </c>
      <c r="D12558" t="s">
        <v>17</v>
      </c>
      <c r="E12558" t="s">
        <v>12</v>
      </c>
      <c r="F12558">
        <v>60813597</v>
      </c>
      <c r="G12558">
        <v>60813627</v>
      </c>
      <c r="H12558">
        <v>60813535</v>
      </c>
      <c r="I12558">
        <v>60813592</v>
      </c>
    </row>
    <row r="12559" spans="1:9" x14ac:dyDescent="0.2">
      <c r="A12559" s="1" t="str">
        <f>"OSBPL3"</f>
        <v>OSBPL3</v>
      </c>
      <c r="B12559" t="s">
        <v>14</v>
      </c>
      <c r="C12559" t="s">
        <v>33</v>
      </c>
      <c r="D12559" t="s">
        <v>11</v>
      </c>
      <c r="E12559" t="s">
        <v>12</v>
      </c>
      <c r="F12559">
        <v>25019766</v>
      </c>
      <c r="G12559">
        <v>25019855</v>
      </c>
      <c r="H12559">
        <v>25019766</v>
      </c>
      <c r="I12559">
        <v>25019855</v>
      </c>
    </row>
    <row r="12560" spans="1:9" x14ac:dyDescent="0.2">
      <c r="A12560" s="1" t="str">
        <f>"OSBPL5"</f>
        <v>OSBPL5</v>
      </c>
      <c r="B12560" t="s">
        <v>14</v>
      </c>
      <c r="C12560" t="s">
        <v>27</v>
      </c>
      <c r="D12560" t="s">
        <v>11</v>
      </c>
      <c r="E12560" t="s">
        <v>12</v>
      </c>
      <c r="F12560">
        <v>3186494</v>
      </c>
      <c r="G12560">
        <v>3186545</v>
      </c>
      <c r="H12560">
        <v>3186494</v>
      </c>
      <c r="I12560">
        <v>3186545</v>
      </c>
    </row>
    <row r="12561" spans="1:9" x14ac:dyDescent="0.2">
      <c r="A12561" s="1" t="str">
        <f>"OSBPL6"</f>
        <v>OSBPL6</v>
      </c>
      <c r="B12561" t="s">
        <v>14</v>
      </c>
      <c r="C12561" t="s">
        <v>26</v>
      </c>
      <c r="D12561" t="s">
        <v>17</v>
      </c>
      <c r="E12561" t="s">
        <v>12</v>
      </c>
      <c r="F12561">
        <v>179059188</v>
      </c>
      <c r="G12561">
        <v>179059250</v>
      </c>
      <c r="H12561">
        <v>179059251</v>
      </c>
      <c r="I12561">
        <v>179059270</v>
      </c>
    </row>
    <row r="12562" spans="1:9" x14ac:dyDescent="0.2">
      <c r="A12562" s="1" t="str">
        <f>"OSBPL7"</f>
        <v>OSBPL7</v>
      </c>
      <c r="B12562" t="s">
        <v>14</v>
      </c>
      <c r="C12562" t="s">
        <v>28</v>
      </c>
      <c r="D12562" t="s">
        <v>11</v>
      </c>
      <c r="E12562" t="s">
        <v>12</v>
      </c>
      <c r="F12562">
        <v>45899126</v>
      </c>
      <c r="G12562">
        <v>45899178</v>
      </c>
      <c r="H12562">
        <v>45899077</v>
      </c>
      <c r="I12562">
        <v>45899088</v>
      </c>
    </row>
    <row r="12563" spans="1:9" x14ac:dyDescent="0.2">
      <c r="A12563" s="1" t="str">
        <f>"OSBPL8"</f>
        <v>OSBPL8</v>
      </c>
      <c r="B12563" t="s">
        <v>14</v>
      </c>
      <c r="C12563" t="s">
        <v>16</v>
      </c>
      <c r="D12563" t="s">
        <v>11</v>
      </c>
      <c r="E12563" t="s">
        <v>12</v>
      </c>
      <c r="F12563">
        <v>76953542</v>
      </c>
      <c r="G12563">
        <v>76953561</v>
      </c>
      <c r="H12563">
        <v>76953453</v>
      </c>
      <c r="I12563">
        <v>76953508</v>
      </c>
    </row>
    <row r="12564" spans="1:9" x14ac:dyDescent="0.2">
      <c r="A12564" s="1" t="str">
        <f>"OSBPL9"</f>
        <v>OSBPL9</v>
      </c>
      <c r="B12564" t="s">
        <v>14</v>
      </c>
      <c r="C12564" t="s">
        <v>19</v>
      </c>
      <c r="D12564" t="s">
        <v>17</v>
      </c>
      <c r="E12564" t="s">
        <v>12</v>
      </c>
      <c r="F12564">
        <v>52082751</v>
      </c>
      <c r="G12564">
        <v>52082770</v>
      </c>
      <c r="H12564">
        <v>52082751</v>
      </c>
      <c r="I12564">
        <v>52082770</v>
      </c>
    </row>
    <row r="12565" spans="1:9" x14ac:dyDescent="0.2">
      <c r="A12565" s="1" t="str">
        <f>"OSCAR"</f>
        <v>OSCAR</v>
      </c>
      <c r="B12565" t="s">
        <v>9</v>
      </c>
      <c r="C12565" t="s">
        <v>10</v>
      </c>
      <c r="D12565" t="s">
        <v>11</v>
      </c>
      <c r="E12565" t="s">
        <v>12</v>
      </c>
      <c r="F12565">
        <v>54604084</v>
      </c>
      <c r="G12565">
        <v>54604131</v>
      </c>
      <c r="H12565">
        <v>54604084</v>
      </c>
      <c r="I12565">
        <v>54604131</v>
      </c>
    </row>
    <row r="12566" spans="1:9" x14ac:dyDescent="0.2">
      <c r="A12566" s="1" t="str">
        <f>"OSCAR"</f>
        <v>OSCAR</v>
      </c>
      <c r="B12566" t="s">
        <v>13</v>
      </c>
      <c r="C12566" t="s">
        <v>10</v>
      </c>
      <c r="D12566" t="s">
        <v>11</v>
      </c>
      <c r="E12566" t="s">
        <v>12</v>
      </c>
      <c r="F12566">
        <v>54605977</v>
      </c>
      <c r="G12566">
        <v>54605997</v>
      </c>
      <c r="H12566">
        <v>54605977</v>
      </c>
      <c r="I12566">
        <v>54605997</v>
      </c>
    </row>
    <row r="12567" spans="1:9" x14ac:dyDescent="0.2">
      <c r="A12567" s="1" t="str">
        <f>"OSCP1"</f>
        <v>OSCP1</v>
      </c>
      <c r="B12567" t="s">
        <v>14</v>
      </c>
      <c r="C12567" t="s">
        <v>19</v>
      </c>
      <c r="D12567" t="s">
        <v>11</v>
      </c>
      <c r="E12567" t="s">
        <v>12</v>
      </c>
      <c r="F12567">
        <v>36916011</v>
      </c>
      <c r="G12567">
        <v>36916057</v>
      </c>
      <c r="H12567">
        <v>36916066</v>
      </c>
      <c r="I12567">
        <v>36916092</v>
      </c>
    </row>
    <row r="12568" spans="1:9" x14ac:dyDescent="0.2">
      <c r="A12568" s="1" t="str">
        <f>"OSER1"</f>
        <v>OSER1</v>
      </c>
      <c r="B12568" t="s">
        <v>14</v>
      </c>
      <c r="C12568" t="s">
        <v>29</v>
      </c>
      <c r="D12568" t="s">
        <v>11</v>
      </c>
      <c r="E12568" t="s">
        <v>12</v>
      </c>
      <c r="F12568">
        <v>42839378</v>
      </c>
      <c r="G12568">
        <v>42839477</v>
      </c>
      <c r="H12568">
        <v>42839357</v>
      </c>
      <c r="I12568">
        <v>42839376</v>
      </c>
    </row>
    <row r="12569" spans="1:9" x14ac:dyDescent="0.2">
      <c r="A12569" s="1" t="str">
        <f>"OSGEP"</f>
        <v>OSGEP</v>
      </c>
      <c r="B12569" t="s">
        <v>14</v>
      </c>
      <c r="C12569" t="s">
        <v>41</v>
      </c>
      <c r="D12569" t="s">
        <v>11</v>
      </c>
      <c r="E12569" t="s">
        <v>12</v>
      </c>
      <c r="F12569">
        <v>20922960</v>
      </c>
      <c r="G12569">
        <v>20922999</v>
      </c>
      <c r="H12569">
        <v>20922932</v>
      </c>
      <c r="I12569">
        <v>20922956</v>
      </c>
    </row>
    <row r="12570" spans="1:9" x14ac:dyDescent="0.2">
      <c r="A12570" s="1" t="str">
        <f>"OSGEPL1"</f>
        <v>OSGEPL1</v>
      </c>
      <c r="B12570" t="s">
        <v>14</v>
      </c>
      <c r="C12570" t="s">
        <v>26</v>
      </c>
      <c r="D12570" t="s">
        <v>11</v>
      </c>
      <c r="E12570" t="s">
        <v>12</v>
      </c>
      <c r="F12570">
        <v>190627481</v>
      </c>
      <c r="G12570">
        <v>190627527</v>
      </c>
      <c r="H12570">
        <v>190627460</v>
      </c>
      <c r="I12570">
        <v>190627474</v>
      </c>
    </row>
    <row r="12571" spans="1:9" x14ac:dyDescent="0.2">
      <c r="A12571" s="1" t="str">
        <f>"OSGIN1"</f>
        <v>OSGIN1</v>
      </c>
      <c r="B12571" t="s">
        <v>14</v>
      </c>
      <c r="C12571" t="s">
        <v>31</v>
      </c>
      <c r="D12571" t="s">
        <v>17</v>
      </c>
      <c r="E12571" t="s">
        <v>12</v>
      </c>
      <c r="F12571">
        <v>83986837</v>
      </c>
      <c r="G12571">
        <v>83986852</v>
      </c>
      <c r="H12571">
        <v>83986837</v>
      </c>
      <c r="I12571">
        <v>83986852</v>
      </c>
    </row>
    <row r="12572" spans="1:9" x14ac:dyDescent="0.2">
      <c r="A12572" s="1" t="str">
        <f>"OSGIN2"</f>
        <v>OSGIN2</v>
      </c>
      <c r="B12572" t="s">
        <v>14</v>
      </c>
      <c r="C12572" t="s">
        <v>30</v>
      </c>
      <c r="D12572" t="s">
        <v>17</v>
      </c>
      <c r="E12572" t="s">
        <v>12</v>
      </c>
      <c r="F12572">
        <v>90914757</v>
      </c>
      <c r="G12572">
        <v>90914856</v>
      </c>
      <c r="H12572">
        <v>90914859</v>
      </c>
      <c r="I12572">
        <v>90914872</v>
      </c>
    </row>
    <row r="12573" spans="1:9" x14ac:dyDescent="0.2">
      <c r="A12573" s="1" t="str">
        <f>"OSM"</f>
        <v>OSM</v>
      </c>
      <c r="B12573" t="s">
        <v>14</v>
      </c>
      <c r="C12573" t="s">
        <v>21</v>
      </c>
      <c r="D12573" t="s">
        <v>11</v>
      </c>
      <c r="E12573" t="s">
        <v>12</v>
      </c>
      <c r="F12573">
        <v>30662832</v>
      </c>
      <c r="G12573">
        <v>30662847</v>
      </c>
      <c r="H12573">
        <v>30662832</v>
      </c>
      <c r="I12573">
        <v>30662847</v>
      </c>
    </row>
    <row r="12574" spans="1:9" x14ac:dyDescent="0.2">
      <c r="A12574" s="1" t="str">
        <f>"OSMR"</f>
        <v>OSMR</v>
      </c>
      <c r="B12574" t="s">
        <v>14</v>
      </c>
      <c r="C12574" t="s">
        <v>46</v>
      </c>
      <c r="D12574" t="s">
        <v>17</v>
      </c>
      <c r="E12574" t="s">
        <v>12</v>
      </c>
      <c r="F12574">
        <v>38846106</v>
      </c>
      <c r="G12574">
        <v>38846174</v>
      </c>
      <c r="H12574">
        <v>38846076</v>
      </c>
      <c r="I12574">
        <v>38846089</v>
      </c>
    </row>
    <row r="12575" spans="1:9" x14ac:dyDescent="0.2">
      <c r="A12575" s="1" t="str">
        <f>"OSR1"</f>
        <v>OSR1</v>
      </c>
      <c r="B12575" t="s">
        <v>14</v>
      </c>
      <c r="C12575" t="s">
        <v>26</v>
      </c>
      <c r="D12575" t="s">
        <v>11</v>
      </c>
      <c r="E12575" t="s">
        <v>12</v>
      </c>
      <c r="F12575">
        <v>19558373</v>
      </c>
      <c r="G12575">
        <v>19558392</v>
      </c>
      <c r="H12575">
        <v>19558327</v>
      </c>
      <c r="I12575">
        <v>19558334</v>
      </c>
    </row>
    <row r="12576" spans="1:9" x14ac:dyDescent="0.2">
      <c r="A12576" s="1" t="str">
        <f>"OSR2"</f>
        <v>OSR2</v>
      </c>
      <c r="B12576" t="s">
        <v>14</v>
      </c>
      <c r="C12576" t="s">
        <v>30</v>
      </c>
      <c r="D12576" t="s">
        <v>17</v>
      </c>
      <c r="E12576" t="s">
        <v>12</v>
      </c>
      <c r="F12576">
        <v>99956662</v>
      </c>
      <c r="G12576">
        <v>99956684</v>
      </c>
      <c r="H12576">
        <v>99956618</v>
      </c>
      <c r="I12576">
        <v>99956659</v>
      </c>
    </row>
    <row r="12577" spans="1:9" x14ac:dyDescent="0.2">
      <c r="A12577" s="1" t="str">
        <f>"OST4"</f>
        <v>OST4</v>
      </c>
      <c r="B12577" t="s">
        <v>14</v>
      </c>
      <c r="C12577" t="s">
        <v>26</v>
      </c>
      <c r="D12577" t="s">
        <v>11</v>
      </c>
      <c r="E12577" t="s">
        <v>12</v>
      </c>
      <c r="F12577">
        <v>27294500</v>
      </c>
      <c r="G12577">
        <v>27294542</v>
      </c>
      <c r="H12577">
        <v>27294814</v>
      </c>
      <c r="I12577">
        <v>27294861</v>
      </c>
    </row>
    <row r="12578" spans="1:9" x14ac:dyDescent="0.2">
      <c r="A12578" s="1" t="str">
        <f>"OSTC"</f>
        <v>OSTC</v>
      </c>
      <c r="B12578" t="s">
        <v>14</v>
      </c>
      <c r="C12578" t="s">
        <v>23</v>
      </c>
      <c r="D12578" t="s">
        <v>17</v>
      </c>
      <c r="E12578" t="s">
        <v>12</v>
      </c>
      <c r="F12578">
        <v>109571747</v>
      </c>
      <c r="G12578">
        <v>109571792</v>
      </c>
      <c r="H12578">
        <v>109571800</v>
      </c>
      <c r="I12578">
        <v>109571811</v>
      </c>
    </row>
    <row r="12579" spans="1:9" x14ac:dyDescent="0.2">
      <c r="A12579" s="1" t="str">
        <f>"OSTF1"</f>
        <v>OSTF1</v>
      </c>
      <c r="B12579" t="s">
        <v>14</v>
      </c>
      <c r="C12579" t="s">
        <v>24</v>
      </c>
      <c r="D12579" t="s">
        <v>17</v>
      </c>
      <c r="E12579" t="s">
        <v>12</v>
      </c>
      <c r="F12579">
        <v>77703414</v>
      </c>
      <c r="G12579">
        <v>77703479</v>
      </c>
      <c r="H12579">
        <v>77703388</v>
      </c>
      <c r="I12579">
        <v>77703409</v>
      </c>
    </row>
    <row r="12580" spans="1:9" x14ac:dyDescent="0.2">
      <c r="A12580" s="1" t="str">
        <f>"OSTM1"</f>
        <v>OSTM1</v>
      </c>
      <c r="B12580" t="s">
        <v>14</v>
      </c>
      <c r="C12580" t="s">
        <v>32</v>
      </c>
      <c r="D12580" t="s">
        <v>11</v>
      </c>
      <c r="E12580" t="s">
        <v>12</v>
      </c>
      <c r="F12580">
        <v>108395907</v>
      </c>
      <c r="G12580">
        <v>108395971</v>
      </c>
      <c r="H12580">
        <v>108395891</v>
      </c>
      <c r="I12580">
        <v>108395902</v>
      </c>
    </row>
    <row r="12581" spans="1:9" x14ac:dyDescent="0.2">
      <c r="A12581" s="1" t="str">
        <f>"OSTN"</f>
        <v>OSTN</v>
      </c>
      <c r="B12581" t="s">
        <v>14</v>
      </c>
      <c r="C12581" t="s">
        <v>22</v>
      </c>
      <c r="D12581" t="s">
        <v>17</v>
      </c>
      <c r="E12581" t="s">
        <v>12</v>
      </c>
      <c r="F12581">
        <v>190917023</v>
      </c>
      <c r="G12581">
        <v>190917037</v>
      </c>
      <c r="H12581">
        <v>190917023</v>
      </c>
      <c r="I12581">
        <v>190917037</v>
      </c>
    </row>
    <row r="12582" spans="1:9" x14ac:dyDescent="0.2">
      <c r="A12582" s="1" t="str">
        <f>"OTC"</f>
        <v>OTC</v>
      </c>
      <c r="B12582" t="s">
        <v>14</v>
      </c>
      <c r="C12582" t="s">
        <v>37</v>
      </c>
      <c r="D12582" t="s">
        <v>17</v>
      </c>
      <c r="E12582" t="s">
        <v>12</v>
      </c>
      <c r="F12582">
        <v>38211826</v>
      </c>
      <c r="G12582">
        <v>38211874</v>
      </c>
      <c r="H12582">
        <v>38211777</v>
      </c>
      <c r="I12582">
        <v>38211791</v>
      </c>
    </row>
    <row r="12583" spans="1:9" x14ac:dyDescent="0.2">
      <c r="A12583" s="1" t="str">
        <f>"OTOA"</f>
        <v>OTOA</v>
      </c>
      <c r="B12583" t="s">
        <v>1294</v>
      </c>
      <c r="C12583" t="s">
        <v>31</v>
      </c>
      <c r="D12583" t="s">
        <v>17</v>
      </c>
      <c r="E12583" t="s">
        <v>20</v>
      </c>
      <c r="F12583">
        <v>21689834</v>
      </c>
      <c r="G12583">
        <v>21689834</v>
      </c>
      <c r="H12583">
        <v>21689834</v>
      </c>
      <c r="I12583">
        <v>21689834</v>
      </c>
    </row>
    <row r="12584" spans="1:9" x14ac:dyDescent="0.2">
      <c r="A12584" s="1" t="str">
        <f>"OTOF"</f>
        <v>OTOF</v>
      </c>
      <c r="B12584" t="s">
        <v>14</v>
      </c>
      <c r="C12584" t="s">
        <v>26</v>
      </c>
      <c r="D12584" t="s">
        <v>11</v>
      </c>
      <c r="E12584" t="s">
        <v>12</v>
      </c>
      <c r="F12584">
        <v>26781616</v>
      </c>
      <c r="G12584">
        <v>26781641</v>
      </c>
      <c r="H12584">
        <v>26781521</v>
      </c>
      <c r="I12584">
        <v>26781537</v>
      </c>
    </row>
    <row r="12585" spans="1:9" x14ac:dyDescent="0.2">
      <c r="A12585" s="1" t="str">
        <f>"OTOG"</f>
        <v>OTOG</v>
      </c>
      <c r="B12585" t="s">
        <v>14</v>
      </c>
      <c r="C12585" t="s">
        <v>27</v>
      </c>
      <c r="D12585" t="s">
        <v>17</v>
      </c>
      <c r="E12585" t="s">
        <v>12</v>
      </c>
      <c r="F12585">
        <v>17568800</v>
      </c>
      <c r="G12585">
        <v>17568812</v>
      </c>
      <c r="H12585">
        <v>17568800</v>
      </c>
      <c r="I12585">
        <v>17568812</v>
      </c>
    </row>
    <row r="12586" spans="1:9" x14ac:dyDescent="0.2">
      <c r="A12586" s="1" t="str">
        <f>"OTOGL"</f>
        <v>OTOGL</v>
      </c>
      <c r="B12586" t="s">
        <v>14</v>
      </c>
      <c r="C12586" t="s">
        <v>16</v>
      </c>
      <c r="D12586" t="s">
        <v>17</v>
      </c>
      <c r="E12586" t="s">
        <v>12</v>
      </c>
      <c r="F12586">
        <v>80603044</v>
      </c>
      <c r="G12586">
        <v>80603046</v>
      </c>
      <c r="H12586">
        <v>80603044</v>
      </c>
      <c r="I12586">
        <v>80603046</v>
      </c>
    </row>
    <row r="12587" spans="1:9" x14ac:dyDescent="0.2">
      <c r="A12587" s="1" t="str">
        <f>"OTOL1"</f>
        <v>OTOL1</v>
      </c>
      <c r="B12587" t="s">
        <v>1295</v>
      </c>
      <c r="C12587" t="s">
        <v>22</v>
      </c>
      <c r="D12587" t="s">
        <v>17</v>
      </c>
      <c r="E12587" t="s">
        <v>20</v>
      </c>
      <c r="F12587">
        <v>161214595</v>
      </c>
      <c r="G12587">
        <v>161214595</v>
      </c>
      <c r="H12587">
        <v>161214595</v>
      </c>
      <c r="I12587">
        <v>161214595</v>
      </c>
    </row>
    <row r="12588" spans="1:9" x14ac:dyDescent="0.2">
      <c r="A12588" s="1" t="str">
        <f>"OTOP1"</f>
        <v>OTOP1</v>
      </c>
      <c r="B12588" t="s">
        <v>14</v>
      </c>
      <c r="C12588" t="s">
        <v>23</v>
      </c>
      <c r="D12588" t="s">
        <v>11</v>
      </c>
      <c r="E12588" t="s">
        <v>12</v>
      </c>
      <c r="F12588">
        <v>4228594</v>
      </c>
      <c r="G12588">
        <v>4228635</v>
      </c>
      <c r="H12588">
        <v>4228594</v>
      </c>
      <c r="I12588">
        <v>4228635</v>
      </c>
    </row>
    <row r="12589" spans="1:9" x14ac:dyDescent="0.2">
      <c r="A12589" s="1" t="str">
        <f>"OTOP2"</f>
        <v>OTOP2</v>
      </c>
      <c r="B12589" t="s">
        <v>14</v>
      </c>
      <c r="C12589" t="s">
        <v>28</v>
      </c>
      <c r="D12589" t="s">
        <v>17</v>
      </c>
      <c r="E12589" t="s">
        <v>12</v>
      </c>
      <c r="F12589">
        <v>72920366</v>
      </c>
      <c r="G12589">
        <v>72920373</v>
      </c>
      <c r="H12589">
        <v>72920366</v>
      </c>
      <c r="I12589">
        <v>72920373</v>
      </c>
    </row>
    <row r="12590" spans="1:9" x14ac:dyDescent="0.2">
      <c r="A12590" s="1" t="str">
        <f>"OTOP3"</f>
        <v>OTOP3</v>
      </c>
      <c r="B12590" t="s">
        <v>14</v>
      </c>
      <c r="C12590" t="s">
        <v>28</v>
      </c>
      <c r="D12590" t="s">
        <v>17</v>
      </c>
      <c r="E12590" t="s">
        <v>12</v>
      </c>
      <c r="F12590">
        <v>72931942</v>
      </c>
      <c r="G12590">
        <v>72931981</v>
      </c>
      <c r="H12590">
        <v>72931942</v>
      </c>
      <c r="I12590">
        <v>72931981</v>
      </c>
    </row>
    <row r="12591" spans="1:9" x14ac:dyDescent="0.2">
      <c r="A12591" s="1" t="str">
        <f>"OTOR"</f>
        <v>OTOR</v>
      </c>
      <c r="B12591" t="s">
        <v>14</v>
      </c>
      <c r="C12591" t="s">
        <v>29</v>
      </c>
      <c r="D12591" t="s">
        <v>17</v>
      </c>
      <c r="E12591" t="s">
        <v>12</v>
      </c>
      <c r="F12591">
        <v>16729000</v>
      </c>
      <c r="G12591">
        <v>16729003</v>
      </c>
      <c r="H12591">
        <v>16729000</v>
      </c>
      <c r="I12591">
        <v>16729003</v>
      </c>
    </row>
    <row r="12592" spans="1:9" x14ac:dyDescent="0.2">
      <c r="A12592" s="1" t="str">
        <f>"OTOS"</f>
        <v>OTOS</v>
      </c>
      <c r="B12592" t="s">
        <v>14</v>
      </c>
      <c r="C12592" t="s">
        <v>26</v>
      </c>
      <c r="D12592" t="s">
        <v>11</v>
      </c>
      <c r="E12592" t="s">
        <v>12</v>
      </c>
      <c r="F12592">
        <v>241080069</v>
      </c>
      <c r="G12592">
        <v>241080082</v>
      </c>
      <c r="H12592">
        <v>241079838</v>
      </c>
      <c r="I12592">
        <v>241079883</v>
      </c>
    </row>
    <row r="12593" spans="1:9" x14ac:dyDescent="0.2">
      <c r="A12593" s="1" t="str">
        <f>"OTP"</f>
        <v>OTP</v>
      </c>
      <c r="B12593" t="s">
        <v>14</v>
      </c>
      <c r="C12593" t="s">
        <v>46</v>
      </c>
      <c r="D12593" t="s">
        <v>11</v>
      </c>
      <c r="E12593" t="s">
        <v>12</v>
      </c>
      <c r="F12593">
        <v>76934534</v>
      </c>
      <c r="G12593">
        <v>76934572</v>
      </c>
      <c r="H12593">
        <v>76934505</v>
      </c>
      <c r="I12593">
        <v>76934511</v>
      </c>
    </row>
    <row r="12594" spans="1:9" x14ac:dyDescent="0.2">
      <c r="A12594" s="1" t="str">
        <f>"OTUB1"</f>
        <v>OTUB1</v>
      </c>
      <c r="B12594" t="s">
        <v>14</v>
      </c>
      <c r="C12594" t="s">
        <v>27</v>
      </c>
      <c r="D12594" t="s">
        <v>17</v>
      </c>
      <c r="E12594" t="s">
        <v>12</v>
      </c>
      <c r="F12594">
        <v>63753883</v>
      </c>
      <c r="G12594">
        <v>63753929</v>
      </c>
      <c r="H12594">
        <v>63754294</v>
      </c>
      <c r="I12594">
        <v>63754323</v>
      </c>
    </row>
    <row r="12595" spans="1:9" x14ac:dyDescent="0.2">
      <c r="A12595" s="1" t="str">
        <f>"OTUB2"</f>
        <v>OTUB2</v>
      </c>
      <c r="B12595" t="s">
        <v>14</v>
      </c>
      <c r="C12595" t="s">
        <v>41</v>
      </c>
      <c r="D12595" t="s">
        <v>17</v>
      </c>
      <c r="E12595" t="s">
        <v>12</v>
      </c>
      <c r="F12595">
        <v>94492674</v>
      </c>
      <c r="G12595">
        <v>94492733</v>
      </c>
      <c r="H12595">
        <v>94492742</v>
      </c>
      <c r="I12595">
        <v>94492755</v>
      </c>
    </row>
    <row r="12596" spans="1:9" x14ac:dyDescent="0.2">
      <c r="A12596" s="1" t="str">
        <f>"OTUD1"</f>
        <v>OTUD1</v>
      </c>
      <c r="B12596" t="s">
        <v>14</v>
      </c>
      <c r="C12596" t="s">
        <v>15</v>
      </c>
      <c r="D12596" t="s">
        <v>17</v>
      </c>
      <c r="E12596" t="s">
        <v>12</v>
      </c>
      <c r="F12596">
        <v>23728380</v>
      </c>
      <c r="G12596">
        <v>23728397</v>
      </c>
      <c r="H12596">
        <v>23727989</v>
      </c>
      <c r="I12596">
        <v>23728040</v>
      </c>
    </row>
    <row r="12597" spans="1:9" x14ac:dyDescent="0.2">
      <c r="A12597" s="1" t="str">
        <f>"OTUD3"</f>
        <v>OTUD3</v>
      </c>
      <c r="B12597" t="s">
        <v>14</v>
      </c>
      <c r="C12597" t="s">
        <v>19</v>
      </c>
      <c r="D12597" t="s">
        <v>17</v>
      </c>
      <c r="E12597" t="s">
        <v>12</v>
      </c>
      <c r="F12597">
        <v>20208870</v>
      </c>
      <c r="G12597">
        <v>20208938</v>
      </c>
      <c r="H12597">
        <v>20208854</v>
      </c>
      <c r="I12597">
        <v>20208864</v>
      </c>
    </row>
    <row r="12598" spans="1:9" x14ac:dyDescent="0.2">
      <c r="A12598" s="1" t="str">
        <f>"OTUD4"</f>
        <v>OTUD4</v>
      </c>
      <c r="B12598" t="s">
        <v>14</v>
      </c>
      <c r="C12598" t="s">
        <v>23</v>
      </c>
      <c r="D12598" t="s">
        <v>11</v>
      </c>
      <c r="E12598" t="s">
        <v>12</v>
      </c>
      <c r="F12598">
        <v>146101648</v>
      </c>
      <c r="G12598">
        <v>146101755</v>
      </c>
      <c r="H12598">
        <v>146100812</v>
      </c>
      <c r="I12598">
        <v>146100851</v>
      </c>
    </row>
    <row r="12599" spans="1:9" x14ac:dyDescent="0.2">
      <c r="A12599" s="1" t="str">
        <f>"OTUD5"</f>
        <v>OTUD5</v>
      </c>
      <c r="B12599" t="s">
        <v>14</v>
      </c>
      <c r="C12599" t="s">
        <v>37</v>
      </c>
      <c r="D12599" t="s">
        <v>11</v>
      </c>
      <c r="E12599" t="s">
        <v>12</v>
      </c>
      <c r="F12599">
        <v>48814810</v>
      </c>
      <c r="G12599">
        <v>48814898</v>
      </c>
      <c r="H12599">
        <v>48815133</v>
      </c>
      <c r="I12599">
        <v>48815189</v>
      </c>
    </row>
    <row r="12600" spans="1:9" x14ac:dyDescent="0.2">
      <c r="A12600" s="1" t="str">
        <f>"OTUD6A"</f>
        <v>OTUD6A</v>
      </c>
      <c r="B12600" t="s">
        <v>14</v>
      </c>
      <c r="C12600" t="s">
        <v>37</v>
      </c>
      <c r="D12600" t="s">
        <v>17</v>
      </c>
      <c r="E12600" t="s">
        <v>12</v>
      </c>
      <c r="F12600">
        <v>69282303</v>
      </c>
      <c r="G12600">
        <v>69282312</v>
      </c>
      <c r="H12600">
        <v>69282276</v>
      </c>
      <c r="I12600">
        <v>69282282</v>
      </c>
    </row>
    <row r="12601" spans="1:9" x14ac:dyDescent="0.2">
      <c r="A12601" s="1" t="str">
        <f>"OTUD6B"</f>
        <v>OTUD6B</v>
      </c>
      <c r="B12601" t="s">
        <v>14</v>
      </c>
      <c r="C12601" t="s">
        <v>30</v>
      </c>
      <c r="D12601" t="s">
        <v>17</v>
      </c>
      <c r="E12601" t="s">
        <v>12</v>
      </c>
      <c r="F12601">
        <v>92082535</v>
      </c>
      <c r="G12601">
        <v>92082597</v>
      </c>
      <c r="H12601">
        <v>92082513</v>
      </c>
      <c r="I12601">
        <v>92082525</v>
      </c>
    </row>
    <row r="12602" spans="1:9" x14ac:dyDescent="0.2">
      <c r="A12602" s="1" t="str">
        <f>"OTUD7A"</f>
        <v>OTUD7A</v>
      </c>
      <c r="B12602" t="s">
        <v>1296</v>
      </c>
      <c r="C12602" t="s">
        <v>25</v>
      </c>
      <c r="D12602" t="s">
        <v>11</v>
      </c>
      <c r="E12602" t="s">
        <v>20</v>
      </c>
      <c r="F12602">
        <v>31947541</v>
      </c>
      <c r="G12602">
        <v>31947541</v>
      </c>
      <c r="H12602">
        <v>31947541</v>
      </c>
      <c r="I12602">
        <v>31947541</v>
      </c>
    </row>
    <row r="12603" spans="1:9" x14ac:dyDescent="0.2">
      <c r="A12603" s="1" t="str">
        <f>"OTUD7B"</f>
        <v>OTUD7B</v>
      </c>
      <c r="B12603" t="s">
        <v>14</v>
      </c>
      <c r="C12603" t="s">
        <v>19</v>
      </c>
      <c r="D12603" t="s">
        <v>11</v>
      </c>
      <c r="E12603" t="s">
        <v>12</v>
      </c>
      <c r="F12603">
        <v>149982638</v>
      </c>
      <c r="G12603">
        <v>149982719</v>
      </c>
      <c r="H12603">
        <v>149982575</v>
      </c>
      <c r="I12603">
        <v>149982601</v>
      </c>
    </row>
    <row r="12604" spans="1:9" x14ac:dyDescent="0.2">
      <c r="A12604" s="1" t="str">
        <f>"OTX1"</f>
        <v>OTX1</v>
      </c>
      <c r="B12604" t="s">
        <v>14</v>
      </c>
      <c r="C12604" t="s">
        <v>26</v>
      </c>
      <c r="D12604" t="s">
        <v>17</v>
      </c>
      <c r="E12604" t="s">
        <v>12</v>
      </c>
      <c r="F12604">
        <v>63277948</v>
      </c>
      <c r="G12604">
        <v>63277974</v>
      </c>
      <c r="H12604">
        <v>63277978</v>
      </c>
      <c r="I12604">
        <v>63277995</v>
      </c>
    </row>
    <row r="12605" spans="1:9" x14ac:dyDescent="0.2">
      <c r="A12605" s="1" t="str">
        <f>"OTX2"</f>
        <v>OTX2</v>
      </c>
      <c r="B12605" t="s">
        <v>14</v>
      </c>
      <c r="C12605" t="s">
        <v>41</v>
      </c>
      <c r="D12605" t="s">
        <v>11</v>
      </c>
      <c r="E12605" t="s">
        <v>12</v>
      </c>
      <c r="F12605">
        <v>57277178</v>
      </c>
      <c r="G12605">
        <v>57277203</v>
      </c>
      <c r="H12605">
        <v>57277178</v>
      </c>
      <c r="I12605">
        <v>57277203</v>
      </c>
    </row>
    <row r="12606" spans="1:9" x14ac:dyDescent="0.2">
      <c r="A12606" s="1" t="str">
        <f>"OVCA2"</f>
        <v>OVCA2</v>
      </c>
      <c r="B12606" t="s">
        <v>14</v>
      </c>
      <c r="C12606" t="s">
        <v>28</v>
      </c>
      <c r="D12606" t="s">
        <v>17</v>
      </c>
      <c r="E12606" t="s">
        <v>12</v>
      </c>
      <c r="F12606">
        <v>1945301</v>
      </c>
      <c r="G12606">
        <v>1945344</v>
      </c>
      <c r="H12606">
        <v>1945405</v>
      </c>
      <c r="I12606">
        <v>1945416</v>
      </c>
    </row>
    <row r="12607" spans="1:9" x14ac:dyDescent="0.2">
      <c r="A12607" s="1" t="str">
        <f>"OVCH1"</f>
        <v>OVCH1</v>
      </c>
      <c r="B12607" t="s">
        <v>1297</v>
      </c>
      <c r="C12607" t="s">
        <v>16</v>
      </c>
      <c r="D12607" t="s">
        <v>11</v>
      </c>
      <c r="E12607" t="s">
        <v>20</v>
      </c>
      <c r="F12607">
        <v>29650618</v>
      </c>
      <c r="G12607">
        <v>29650618</v>
      </c>
      <c r="H12607">
        <v>29650618</v>
      </c>
      <c r="I12607">
        <v>29650618</v>
      </c>
    </row>
    <row r="12608" spans="1:9" x14ac:dyDescent="0.2">
      <c r="A12608" s="1" t="str">
        <f>"OVCH2"</f>
        <v>OVCH2</v>
      </c>
      <c r="B12608" t="s">
        <v>14</v>
      </c>
      <c r="C12608" t="s">
        <v>27</v>
      </c>
      <c r="D12608" t="s">
        <v>11</v>
      </c>
      <c r="E12608" t="s">
        <v>12</v>
      </c>
      <c r="F12608">
        <v>7727995</v>
      </c>
      <c r="G12608">
        <v>7728008</v>
      </c>
      <c r="H12608">
        <v>7728016</v>
      </c>
      <c r="I12608">
        <v>7728029</v>
      </c>
    </row>
    <row r="12609" spans="1:9" x14ac:dyDescent="0.2">
      <c r="A12609" s="1" t="str">
        <f>"OVGP1"</f>
        <v>OVGP1</v>
      </c>
      <c r="B12609" t="s">
        <v>9</v>
      </c>
      <c r="C12609" t="s">
        <v>19</v>
      </c>
      <c r="D12609" t="s">
        <v>11</v>
      </c>
      <c r="E12609" t="s">
        <v>12</v>
      </c>
      <c r="F12609">
        <v>111965660</v>
      </c>
      <c r="G12609">
        <v>111965680</v>
      </c>
      <c r="H12609">
        <v>111965660</v>
      </c>
      <c r="I12609">
        <v>111965680</v>
      </c>
    </row>
    <row r="12610" spans="1:9" x14ac:dyDescent="0.2">
      <c r="A12610" s="1" t="str">
        <f>"OVGP1"</f>
        <v>OVGP1</v>
      </c>
      <c r="B12610" t="s">
        <v>13</v>
      </c>
      <c r="C12610" t="s">
        <v>19</v>
      </c>
      <c r="D12610" t="s">
        <v>11</v>
      </c>
      <c r="E12610" t="s">
        <v>12</v>
      </c>
      <c r="F12610">
        <v>111970353</v>
      </c>
      <c r="G12610">
        <v>111970358</v>
      </c>
      <c r="H12610">
        <v>111970353</v>
      </c>
      <c r="I12610">
        <v>111970358</v>
      </c>
    </row>
    <row r="12611" spans="1:9" x14ac:dyDescent="0.2">
      <c r="A12611" s="1" t="str">
        <f>"OVOL1"</f>
        <v>OVOL1</v>
      </c>
      <c r="B12611" t="s">
        <v>14</v>
      </c>
      <c r="C12611" t="s">
        <v>27</v>
      </c>
      <c r="D12611" t="s">
        <v>17</v>
      </c>
      <c r="E12611" t="s">
        <v>12</v>
      </c>
      <c r="F12611">
        <v>65554528</v>
      </c>
      <c r="G12611">
        <v>65554546</v>
      </c>
      <c r="H12611">
        <v>65554563</v>
      </c>
      <c r="I12611">
        <v>65554576</v>
      </c>
    </row>
    <row r="12612" spans="1:9" x14ac:dyDescent="0.2">
      <c r="A12612" s="1" t="str">
        <f>"OVOL2"</f>
        <v>OVOL2</v>
      </c>
      <c r="B12612" t="s">
        <v>14</v>
      </c>
      <c r="C12612" t="s">
        <v>29</v>
      </c>
      <c r="D12612" t="s">
        <v>11</v>
      </c>
      <c r="E12612" t="s">
        <v>12</v>
      </c>
      <c r="F12612">
        <v>18038521</v>
      </c>
      <c r="G12612">
        <v>18038571</v>
      </c>
      <c r="H12612">
        <v>18038486</v>
      </c>
      <c r="I12612">
        <v>18038520</v>
      </c>
    </row>
    <row r="12613" spans="1:9" x14ac:dyDescent="0.2">
      <c r="A12613" s="1" t="str">
        <f>"OVOL3"</f>
        <v>OVOL3</v>
      </c>
      <c r="B12613" t="s">
        <v>1298</v>
      </c>
      <c r="C12613" t="s">
        <v>10</v>
      </c>
      <c r="D12613" t="s">
        <v>17</v>
      </c>
      <c r="E12613" t="s">
        <v>20</v>
      </c>
      <c r="F12613">
        <v>36602104</v>
      </c>
      <c r="G12613">
        <v>36602104</v>
      </c>
      <c r="H12613">
        <v>36602104</v>
      </c>
      <c r="I12613">
        <v>36602104</v>
      </c>
    </row>
    <row r="12614" spans="1:9" x14ac:dyDescent="0.2">
      <c r="A12614" s="1" t="str">
        <f>"OXA1L"</f>
        <v>OXA1L</v>
      </c>
      <c r="B12614" t="s">
        <v>14</v>
      </c>
      <c r="C12614" t="s">
        <v>41</v>
      </c>
      <c r="D12614" t="s">
        <v>17</v>
      </c>
      <c r="E12614" t="s">
        <v>12</v>
      </c>
      <c r="F12614">
        <v>23235886</v>
      </c>
      <c r="G12614">
        <v>23235913</v>
      </c>
      <c r="H12614">
        <v>23236100</v>
      </c>
      <c r="I12614">
        <v>23236142</v>
      </c>
    </row>
    <row r="12615" spans="1:9" x14ac:dyDescent="0.2">
      <c r="A12615" s="1" t="str">
        <f>"OXCT1"</f>
        <v>OXCT1</v>
      </c>
      <c r="B12615" t="s">
        <v>14</v>
      </c>
      <c r="C12615" t="s">
        <v>46</v>
      </c>
      <c r="D12615" t="s">
        <v>11</v>
      </c>
      <c r="E12615" t="s">
        <v>12</v>
      </c>
      <c r="F12615">
        <v>41870518</v>
      </c>
      <c r="G12615">
        <v>41870535</v>
      </c>
      <c r="H12615">
        <v>41870475</v>
      </c>
      <c r="I12615">
        <v>41870494</v>
      </c>
    </row>
    <row r="12616" spans="1:9" x14ac:dyDescent="0.2">
      <c r="A12616" s="1" t="str">
        <f>"OXCT2"</f>
        <v>OXCT2</v>
      </c>
      <c r="B12616" t="s">
        <v>14</v>
      </c>
      <c r="C12616" t="s">
        <v>19</v>
      </c>
      <c r="D12616" t="s">
        <v>11</v>
      </c>
      <c r="E12616" t="s">
        <v>12</v>
      </c>
      <c r="F12616">
        <v>40236959</v>
      </c>
      <c r="G12616">
        <v>40236970</v>
      </c>
      <c r="H12616">
        <v>40236959</v>
      </c>
      <c r="I12616">
        <v>40236970</v>
      </c>
    </row>
    <row r="12617" spans="1:9" x14ac:dyDescent="0.2">
      <c r="A12617" s="1" t="str">
        <f>"OXER1"</f>
        <v>OXER1</v>
      </c>
      <c r="B12617" t="s">
        <v>14</v>
      </c>
      <c r="C12617" t="s">
        <v>26</v>
      </c>
      <c r="D12617" t="s">
        <v>11</v>
      </c>
      <c r="E12617" t="s">
        <v>12</v>
      </c>
      <c r="F12617">
        <v>42991230</v>
      </c>
      <c r="G12617">
        <v>42991241</v>
      </c>
      <c r="H12617">
        <v>42991242</v>
      </c>
      <c r="I12617">
        <v>42991251</v>
      </c>
    </row>
    <row r="12618" spans="1:9" x14ac:dyDescent="0.2">
      <c r="A12618" s="1" t="str">
        <f>"OXGR1"</f>
        <v>OXGR1</v>
      </c>
      <c r="B12618" t="s">
        <v>14</v>
      </c>
      <c r="C12618" t="s">
        <v>39</v>
      </c>
      <c r="D12618" t="s">
        <v>11</v>
      </c>
      <c r="E12618" t="s">
        <v>12</v>
      </c>
      <c r="F12618">
        <v>97646592</v>
      </c>
      <c r="G12618">
        <v>97646641</v>
      </c>
      <c r="H12618">
        <v>97646682</v>
      </c>
      <c r="I12618">
        <v>97646693</v>
      </c>
    </row>
    <row r="12619" spans="1:9" x14ac:dyDescent="0.2">
      <c r="A12619" s="1" t="str">
        <f>"OXLD1"</f>
        <v>OXLD1</v>
      </c>
      <c r="B12619" t="s">
        <v>14</v>
      </c>
      <c r="C12619" t="s">
        <v>28</v>
      </c>
      <c r="D12619" t="s">
        <v>11</v>
      </c>
      <c r="E12619" t="s">
        <v>12</v>
      </c>
      <c r="F12619">
        <v>79633590</v>
      </c>
      <c r="G12619">
        <v>79633678</v>
      </c>
      <c r="H12619">
        <v>79633710</v>
      </c>
      <c r="I12619">
        <v>79633726</v>
      </c>
    </row>
    <row r="12620" spans="1:9" x14ac:dyDescent="0.2">
      <c r="A12620" s="1" t="str">
        <f>"OXNAD1"</f>
        <v>OXNAD1</v>
      </c>
      <c r="B12620" t="s">
        <v>9</v>
      </c>
      <c r="C12620" t="s">
        <v>22</v>
      </c>
      <c r="D12620" t="s">
        <v>17</v>
      </c>
      <c r="E12620" t="s">
        <v>12</v>
      </c>
      <c r="F12620">
        <v>16306691</v>
      </c>
      <c r="G12620">
        <v>16306752</v>
      </c>
      <c r="H12620">
        <v>16306691</v>
      </c>
      <c r="I12620">
        <v>16306752</v>
      </c>
    </row>
    <row r="12621" spans="1:9" x14ac:dyDescent="0.2">
      <c r="A12621" s="1" t="str">
        <f>"OXNAD1"</f>
        <v>OXNAD1</v>
      </c>
      <c r="B12621" t="s">
        <v>13</v>
      </c>
      <c r="C12621" t="s">
        <v>22</v>
      </c>
      <c r="D12621" t="s">
        <v>17</v>
      </c>
      <c r="E12621" t="s">
        <v>12</v>
      </c>
      <c r="F12621">
        <v>16327836</v>
      </c>
      <c r="G12621">
        <v>16327853</v>
      </c>
      <c r="H12621">
        <v>16327836</v>
      </c>
      <c r="I12621">
        <v>16327853</v>
      </c>
    </row>
    <row r="12622" spans="1:9" x14ac:dyDescent="0.2">
      <c r="A12622" s="1" t="str">
        <f>"OXR1"</f>
        <v>OXR1</v>
      </c>
      <c r="B12622" t="s">
        <v>1299</v>
      </c>
      <c r="C12622" t="s">
        <v>30</v>
      </c>
      <c r="D12622" t="s">
        <v>17</v>
      </c>
      <c r="E12622" t="s">
        <v>35</v>
      </c>
      <c r="F12622">
        <v>107669907</v>
      </c>
      <c r="G12622">
        <v>107669913</v>
      </c>
      <c r="H12622">
        <v>107670140</v>
      </c>
      <c r="I12622">
        <v>107670152</v>
      </c>
    </row>
    <row r="12623" spans="1:9" x14ac:dyDescent="0.2">
      <c r="A12623" s="1" t="str">
        <f>"OXSM"</f>
        <v>OXSM</v>
      </c>
      <c r="B12623" t="s">
        <v>14</v>
      </c>
      <c r="C12623" t="s">
        <v>22</v>
      </c>
      <c r="D12623" t="s">
        <v>17</v>
      </c>
      <c r="E12623" t="s">
        <v>12</v>
      </c>
      <c r="F12623">
        <v>25831567</v>
      </c>
      <c r="G12623">
        <v>25831602</v>
      </c>
      <c r="H12623">
        <v>25831555</v>
      </c>
      <c r="I12623">
        <v>25831566</v>
      </c>
    </row>
    <row r="12624" spans="1:9" x14ac:dyDescent="0.2">
      <c r="A12624" s="1" t="str">
        <f>"OXSR1"</f>
        <v>OXSR1</v>
      </c>
      <c r="B12624" t="s">
        <v>14</v>
      </c>
      <c r="C12624" t="s">
        <v>22</v>
      </c>
      <c r="D12624" t="s">
        <v>17</v>
      </c>
      <c r="E12624" t="s">
        <v>12</v>
      </c>
      <c r="F12624">
        <v>38206975</v>
      </c>
      <c r="G12624">
        <v>38207101</v>
      </c>
      <c r="H12624">
        <v>38207105</v>
      </c>
      <c r="I12624">
        <v>38207146</v>
      </c>
    </row>
    <row r="12625" spans="1:9" x14ac:dyDescent="0.2">
      <c r="A12625" s="1" t="str">
        <f>"OXT"</f>
        <v>OXT</v>
      </c>
      <c r="B12625" t="s">
        <v>14</v>
      </c>
      <c r="C12625" t="s">
        <v>29</v>
      </c>
      <c r="D12625" t="s">
        <v>17</v>
      </c>
      <c r="E12625" t="s">
        <v>12</v>
      </c>
      <c r="F12625">
        <v>3052264</v>
      </c>
      <c r="G12625">
        <v>3052270</v>
      </c>
      <c r="H12625">
        <v>3052578</v>
      </c>
      <c r="I12625">
        <v>3052597</v>
      </c>
    </row>
    <row r="12626" spans="1:9" x14ac:dyDescent="0.2">
      <c r="A12626" s="1" t="str">
        <f>"OXTR"</f>
        <v>OXTR</v>
      </c>
      <c r="B12626" t="s">
        <v>14</v>
      </c>
      <c r="C12626" t="s">
        <v>22</v>
      </c>
      <c r="D12626" t="s">
        <v>11</v>
      </c>
      <c r="E12626" t="s">
        <v>12</v>
      </c>
      <c r="F12626">
        <v>8811288</v>
      </c>
      <c r="G12626">
        <v>8811305</v>
      </c>
      <c r="H12626">
        <v>8811108</v>
      </c>
      <c r="I12626">
        <v>8811149</v>
      </c>
    </row>
    <row r="12627" spans="1:9" x14ac:dyDescent="0.2">
      <c r="A12627" s="1" t="str">
        <f>"P2RX1"</f>
        <v>P2RX1</v>
      </c>
      <c r="B12627" t="s">
        <v>14</v>
      </c>
      <c r="C12627" t="s">
        <v>28</v>
      </c>
      <c r="D12627" t="s">
        <v>11</v>
      </c>
      <c r="E12627" t="s">
        <v>12</v>
      </c>
      <c r="F12627">
        <v>3819751</v>
      </c>
      <c r="G12627">
        <v>3819767</v>
      </c>
      <c r="H12627">
        <v>3819751</v>
      </c>
      <c r="I12627">
        <v>3819767</v>
      </c>
    </row>
    <row r="12628" spans="1:9" x14ac:dyDescent="0.2">
      <c r="A12628" s="1" t="str">
        <f>"P2RX2"</f>
        <v>P2RX2</v>
      </c>
      <c r="B12628" t="s">
        <v>14</v>
      </c>
      <c r="C12628" t="s">
        <v>16</v>
      </c>
      <c r="D12628" t="s">
        <v>17</v>
      </c>
      <c r="E12628" t="s">
        <v>12</v>
      </c>
      <c r="F12628">
        <v>133195310</v>
      </c>
      <c r="G12628">
        <v>133195333</v>
      </c>
      <c r="H12628">
        <v>133195334</v>
      </c>
      <c r="I12628">
        <v>133195346</v>
      </c>
    </row>
    <row r="12629" spans="1:9" x14ac:dyDescent="0.2">
      <c r="A12629" s="1" t="str">
        <f>"P2RX3"</f>
        <v>P2RX3</v>
      </c>
      <c r="B12629" t="s">
        <v>14</v>
      </c>
      <c r="C12629" t="s">
        <v>27</v>
      </c>
      <c r="D12629" t="s">
        <v>17</v>
      </c>
      <c r="E12629" t="s">
        <v>12</v>
      </c>
      <c r="F12629">
        <v>57105819</v>
      </c>
      <c r="G12629">
        <v>57105834</v>
      </c>
      <c r="H12629">
        <v>57105836</v>
      </c>
      <c r="I12629">
        <v>57105844</v>
      </c>
    </row>
    <row r="12630" spans="1:9" x14ac:dyDescent="0.2">
      <c r="A12630" s="1" t="str">
        <f>"P2RX4"</f>
        <v>P2RX4</v>
      </c>
      <c r="B12630" t="s">
        <v>14</v>
      </c>
      <c r="C12630" t="s">
        <v>16</v>
      </c>
      <c r="D12630" t="s">
        <v>17</v>
      </c>
      <c r="E12630" t="s">
        <v>12</v>
      </c>
      <c r="F12630">
        <v>121647887</v>
      </c>
      <c r="G12630">
        <v>121647957</v>
      </c>
      <c r="H12630">
        <v>121647887</v>
      </c>
      <c r="I12630">
        <v>121647957</v>
      </c>
    </row>
    <row r="12631" spans="1:9" x14ac:dyDescent="0.2">
      <c r="A12631" s="1" t="str">
        <f>"P2RX5"</f>
        <v>P2RX5</v>
      </c>
      <c r="B12631" t="s">
        <v>14</v>
      </c>
      <c r="C12631" t="s">
        <v>28</v>
      </c>
      <c r="D12631" t="s">
        <v>11</v>
      </c>
      <c r="E12631" t="s">
        <v>12</v>
      </c>
      <c r="F12631">
        <v>3599492</v>
      </c>
      <c r="G12631">
        <v>3599568</v>
      </c>
      <c r="H12631">
        <v>3599396</v>
      </c>
      <c r="I12631">
        <v>3599410</v>
      </c>
    </row>
    <row r="12632" spans="1:9" x14ac:dyDescent="0.2">
      <c r="A12632" s="1" t="str">
        <f>"P2RX6"</f>
        <v>P2RX6</v>
      </c>
      <c r="B12632" t="s">
        <v>14</v>
      </c>
      <c r="C12632" t="s">
        <v>21</v>
      </c>
      <c r="D12632" t="s">
        <v>17</v>
      </c>
      <c r="E12632" t="s">
        <v>12</v>
      </c>
      <c r="F12632">
        <v>21369346</v>
      </c>
      <c r="G12632">
        <v>21369394</v>
      </c>
      <c r="H12632">
        <v>21369253</v>
      </c>
      <c r="I12632">
        <v>21369267</v>
      </c>
    </row>
    <row r="12633" spans="1:9" x14ac:dyDescent="0.2">
      <c r="A12633" s="1" t="str">
        <f>"P2RX7"</f>
        <v>P2RX7</v>
      </c>
      <c r="B12633" t="s">
        <v>14</v>
      </c>
      <c r="C12633" t="s">
        <v>16</v>
      </c>
      <c r="D12633" t="s">
        <v>17</v>
      </c>
      <c r="E12633" t="s">
        <v>12</v>
      </c>
      <c r="F12633">
        <v>121570672</v>
      </c>
      <c r="G12633">
        <v>121570772</v>
      </c>
      <c r="H12633">
        <v>121570643</v>
      </c>
      <c r="I12633">
        <v>121570651</v>
      </c>
    </row>
    <row r="12634" spans="1:9" x14ac:dyDescent="0.2">
      <c r="A12634" s="1" t="str">
        <f>"P2RY1"</f>
        <v>P2RY1</v>
      </c>
      <c r="B12634" t="s">
        <v>14</v>
      </c>
      <c r="C12634" t="s">
        <v>22</v>
      </c>
      <c r="D12634" t="s">
        <v>17</v>
      </c>
      <c r="E12634" t="s">
        <v>12</v>
      </c>
      <c r="F12634">
        <v>152552911</v>
      </c>
      <c r="G12634">
        <v>152552926</v>
      </c>
      <c r="H12634">
        <v>152552685</v>
      </c>
      <c r="I12634">
        <v>152552731</v>
      </c>
    </row>
    <row r="12635" spans="1:9" x14ac:dyDescent="0.2">
      <c r="A12635" s="1" t="str">
        <f>"P2RY10"</f>
        <v>P2RY10</v>
      </c>
      <c r="B12635" t="s">
        <v>14</v>
      </c>
      <c r="C12635" t="s">
        <v>37</v>
      </c>
      <c r="D12635" t="s">
        <v>17</v>
      </c>
      <c r="E12635" t="s">
        <v>12</v>
      </c>
      <c r="F12635">
        <v>78200857</v>
      </c>
      <c r="G12635">
        <v>78200909</v>
      </c>
      <c r="H12635">
        <v>78200913</v>
      </c>
      <c r="I12635">
        <v>78200947</v>
      </c>
    </row>
    <row r="12636" spans="1:9" x14ac:dyDescent="0.2">
      <c r="A12636" s="1" t="str">
        <f>"P2RY11"</f>
        <v>P2RY11</v>
      </c>
      <c r="B12636" t="s">
        <v>14</v>
      </c>
      <c r="C12636" t="s">
        <v>10</v>
      </c>
      <c r="D12636" t="s">
        <v>17</v>
      </c>
      <c r="E12636" t="s">
        <v>12</v>
      </c>
      <c r="F12636">
        <v>10222364</v>
      </c>
      <c r="G12636">
        <v>10222370</v>
      </c>
      <c r="H12636">
        <v>10222364</v>
      </c>
      <c r="I12636">
        <v>10222370</v>
      </c>
    </row>
    <row r="12637" spans="1:9" x14ac:dyDescent="0.2">
      <c r="A12637" s="1" t="str">
        <f>"P2RY12"</f>
        <v>P2RY12</v>
      </c>
      <c r="B12637" t="s">
        <v>14</v>
      </c>
      <c r="C12637" t="s">
        <v>22</v>
      </c>
      <c r="D12637" t="s">
        <v>11</v>
      </c>
      <c r="E12637" t="s">
        <v>12</v>
      </c>
      <c r="F12637">
        <v>151102529</v>
      </c>
      <c r="G12637">
        <v>151102553</v>
      </c>
      <c r="H12637">
        <v>151102529</v>
      </c>
      <c r="I12637">
        <v>151102553</v>
      </c>
    </row>
    <row r="12638" spans="1:9" x14ac:dyDescent="0.2">
      <c r="A12638" s="1" t="str">
        <f>"P2RY13"</f>
        <v>P2RY13</v>
      </c>
      <c r="B12638" t="s">
        <v>14</v>
      </c>
      <c r="C12638" t="s">
        <v>22</v>
      </c>
      <c r="D12638" t="s">
        <v>11</v>
      </c>
      <c r="E12638" t="s">
        <v>12</v>
      </c>
      <c r="F12638">
        <v>151047327</v>
      </c>
      <c r="G12638">
        <v>151047343</v>
      </c>
      <c r="H12638">
        <v>151047327</v>
      </c>
      <c r="I12638">
        <v>151047343</v>
      </c>
    </row>
    <row r="12639" spans="1:9" x14ac:dyDescent="0.2">
      <c r="A12639" s="1" t="str">
        <f>"P2RY14"</f>
        <v>P2RY14</v>
      </c>
      <c r="B12639" t="s">
        <v>14</v>
      </c>
      <c r="C12639" t="s">
        <v>22</v>
      </c>
      <c r="D12639" t="s">
        <v>11</v>
      </c>
      <c r="E12639" t="s">
        <v>12</v>
      </c>
      <c r="F12639">
        <v>150996146</v>
      </c>
      <c r="G12639">
        <v>150996163</v>
      </c>
      <c r="H12639">
        <v>150996322</v>
      </c>
      <c r="I12639">
        <v>150996336</v>
      </c>
    </row>
    <row r="12640" spans="1:9" x14ac:dyDescent="0.2">
      <c r="A12640" s="1" t="str">
        <f>"P2RY2"</f>
        <v>P2RY2</v>
      </c>
      <c r="B12640" t="s">
        <v>14</v>
      </c>
      <c r="C12640" t="s">
        <v>27</v>
      </c>
      <c r="D12640" t="s">
        <v>17</v>
      </c>
      <c r="E12640" t="s">
        <v>12</v>
      </c>
      <c r="F12640">
        <v>72929319</v>
      </c>
      <c r="G12640">
        <v>72929342</v>
      </c>
      <c r="H12640">
        <v>72929601</v>
      </c>
      <c r="I12640">
        <v>72929643</v>
      </c>
    </row>
    <row r="12641" spans="1:9" x14ac:dyDescent="0.2">
      <c r="A12641" s="1" t="str">
        <f>"P2RY4"</f>
        <v>P2RY4</v>
      </c>
      <c r="B12641" t="s">
        <v>14</v>
      </c>
      <c r="C12641" t="s">
        <v>37</v>
      </c>
      <c r="D12641" t="s">
        <v>11</v>
      </c>
      <c r="E12641" t="s">
        <v>12</v>
      </c>
      <c r="F12641">
        <v>69480048</v>
      </c>
      <c r="G12641">
        <v>69480055</v>
      </c>
      <c r="H12641">
        <v>69480048</v>
      </c>
      <c r="I12641">
        <v>69480055</v>
      </c>
    </row>
    <row r="12642" spans="1:9" x14ac:dyDescent="0.2">
      <c r="A12642" s="1" t="str">
        <f>"P2RY6"</f>
        <v>P2RY6</v>
      </c>
      <c r="B12642" t="s">
        <v>14</v>
      </c>
      <c r="C12642" t="s">
        <v>27</v>
      </c>
      <c r="D12642" t="s">
        <v>17</v>
      </c>
      <c r="E12642" t="s">
        <v>12</v>
      </c>
      <c r="F12642">
        <v>72983377</v>
      </c>
      <c r="G12642">
        <v>72983428</v>
      </c>
      <c r="H12642">
        <v>72983280</v>
      </c>
      <c r="I12642">
        <v>72983298</v>
      </c>
    </row>
    <row r="12643" spans="1:9" x14ac:dyDescent="0.2">
      <c r="A12643" s="1" t="str">
        <f>"P2RY8"</f>
        <v>P2RY8</v>
      </c>
      <c r="B12643" t="s">
        <v>14</v>
      </c>
      <c r="C12643" t="s">
        <v>37</v>
      </c>
      <c r="D12643" t="s">
        <v>11</v>
      </c>
      <c r="E12643" t="s">
        <v>12</v>
      </c>
      <c r="F12643">
        <v>1656059</v>
      </c>
      <c r="G12643">
        <v>1656085</v>
      </c>
      <c r="H12643">
        <v>1656004</v>
      </c>
      <c r="I12643">
        <v>1656043</v>
      </c>
    </row>
    <row r="12644" spans="1:9" x14ac:dyDescent="0.2">
      <c r="A12644" s="1" t="str">
        <f>"P4HA1"</f>
        <v>P4HA1</v>
      </c>
      <c r="B12644" t="s">
        <v>14</v>
      </c>
      <c r="C12644" t="s">
        <v>15</v>
      </c>
      <c r="D12644" t="s">
        <v>11</v>
      </c>
      <c r="E12644" t="s">
        <v>12</v>
      </c>
      <c r="F12644">
        <v>74856613</v>
      </c>
      <c r="G12644">
        <v>74856631</v>
      </c>
      <c r="H12644">
        <v>74856613</v>
      </c>
      <c r="I12644">
        <v>74856631</v>
      </c>
    </row>
    <row r="12645" spans="1:9" x14ac:dyDescent="0.2">
      <c r="A12645" s="1" t="str">
        <f>"P4HA2"</f>
        <v>P4HA2</v>
      </c>
      <c r="B12645" t="s">
        <v>14</v>
      </c>
      <c r="C12645" t="s">
        <v>46</v>
      </c>
      <c r="D12645" t="s">
        <v>11</v>
      </c>
      <c r="E12645" t="s">
        <v>12</v>
      </c>
      <c r="F12645">
        <v>131563501</v>
      </c>
      <c r="G12645">
        <v>131563570</v>
      </c>
      <c r="H12645">
        <v>131563474</v>
      </c>
      <c r="I12645">
        <v>131563497</v>
      </c>
    </row>
    <row r="12646" spans="1:9" x14ac:dyDescent="0.2">
      <c r="A12646" s="1" t="str">
        <f>"P4HA3"</f>
        <v>P4HA3</v>
      </c>
      <c r="B12646" t="s">
        <v>14</v>
      </c>
      <c r="C12646" t="s">
        <v>27</v>
      </c>
      <c r="D12646" t="s">
        <v>11</v>
      </c>
      <c r="E12646" t="s">
        <v>12</v>
      </c>
      <c r="F12646">
        <v>74022658</v>
      </c>
      <c r="G12646">
        <v>74022704</v>
      </c>
      <c r="H12646">
        <v>74022708</v>
      </c>
      <c r="I12646">
        <v>74022714</v>
      </c>
    </row>
    <row r="12647" spans="1:9" x14ac:dyDescent="0.2">
      <c r="A12647" s="1" t="str">
        <f>"P4HB"</f>
        <v>P4HB</v>
      </c>
      <c r="B12647" t="s">
        <v>14</v>
      </c>
      <c r="C12647" t="s">
        <v>28</v>
      </c>
      <c r="D12647" t="s">
        <v>11</v>
      </c>
      <c r="E12647" t="s">
        <v>12</v>
      </c>
      <c r="F12647">
        <v>79818402</v>
      </c>
      <c r="G12647">
        <v>79818418</v>
      </c>
      <c r="H12647">
        <v>79818402</v>
      </c>
      <c r="I12647">
        <v>79818418</v>
      </c>
    </row>
    <row r="12648" spans="1:9" x14ac:dyDescent="0.2">
      <c r="A12648" s="1" t="str">
        <f>"P4HTM"</f>
        <v>P4HTM</v>
      </c>
      <c r="B12648" t="s">
        <v>14</v>
      </c>
      <c r="C12648" t="s">
        <v>22</v>
      </c>
      <c r="D12648" t="s">
        <v>17</v>
      </c>
      <c r="E12648" t="s">
        <v>12</v>
      </c>
      <c r="F12648">
        <v>49027647</v>
      </c>
      <c r="G12648">
        <v>49027696</v>
      </c>
      <c r="H12648">
        <v>49027308</v>
      </c>
      <c r="I12648">
        <v>49027340</v>
      </c>
    </row>
    <row r="12649" spans="1:9" x14ac:dyDescent="0.2">
      <c r="A12649" s="1" t="str">
        <f>"PA2G4"</f>
        <v>PA2G4</v>
      </c>
      <c r="B12649" t="s">
        <v>14</v>
      </c>
      <c r="C12649" t="s">
        <v>16</v>
      </c>
      <c r="D12649" t="s">
        <v>17</v>
      </c>
      <c r="E12649" t="s">
        <v>12</v>
      </c>
      <c r="F12649">
        <v>56498312</v>
      </c>
      <c r="G12649">
        <v>56498413</v>
      </c>
      <c r="H12649">
        <v>56498685</v>
      </c>
      <c r="I12649">
        <v>56498714</v>
      </c>
    </row>
    <row r="12650" spans="1:9" x14ac:dyDescent="0.2">
      <c r="A12650" s="1" t="str">
        <f>"PAAF1"</f>
        <v>PAAF1</v>
      </c>
      <c r="B12650" t="s">
        <v>14</v>
      </c>
      <c r="C12650" t="s">
        <v>27</v>
      </c>
      <c r="D12650" t="s">
        <v>17</v>
      </c>
      <c r="E12650" t="s">
        <v>12</v>
      </c>
      <c r="F12650">
        <v>73588029</v>
      </c>
      <c r="G12650">
        <v>73588072</v>
      </c>
      <c r="H12650">
        <v>73587734</v>
      </c>
      <c r="I12650">
        <v>73587760</v>
      </c>
    </row>
    <row r="12651" spans="1:9" x14ac:dyDescent="0.2">
      <c r="A12651" s="1" t="str">
        <f>"PABPC1"</f>
        <v>PABPC1</v>
      </c>
      <c r="B12651" t="s">
        <v>14</v>
      </c>
      <c r="C12651" t="s">
        <v>30</v>
      </c>
      <c r="D12651" t="s">
        <v>11</v>
      </c>
      <c r="E12651" t="s">
        <v>12</v>
      </c>
      <c r="F12651">
        <v>101734308</v>
      </c>
      <c r="G12651">
        <v>101734321</v>
      </c>
      <c r="H12651">
        <v>101734085</v>
      </c>
      <c r="I12651">
        <v>101734133</v>
      </c>
    </row>
    <row r="12652" spans="1:9" x14ac:dyDescent="0.2">
      <c r="A12652" s="1" t="str">
        <f>"PABPC1L"</f>
        <v>PABPC1L</v>
      </c>
      <c r="B12652" t="s">
        <v>14</v>
      </c>
      <c r="C12652" t="s">
        <v>29</v>
      </c>
      <c r="D12652" t="s">
        <v>17</v>
      </c>
      <c r="E12652" t="s">
        <v>12</v>
      </c>
      <c r="F12652">
        <v>43538692</v>
      </c>
      <c r="G12652">
        <v>43538742</v>
      </c>
      <c r="H12652">
        <v>43538756</v>
      </c>
      <c r="I12652">
        <v>43538769</v>
      </c>
    </row>
    <row r="12653" spans="1:9" x14ac:dyDescent="0.2">
      <c r="A12653" s="1" t="str">
        <f>"PABPC1L2A"</f>
        <v>PABPC1L2A</v>
      </c>
      <c r="B12653" t="s">
        <v>14</v>
      </c>
      <c r="C12653" t="s">
        <v>37</v>
      </c>
      <c r="D12653" t="s">
        <v>11</v>
      </c>
      <c r="E12653" t="s">
        <v>12</v>
      </c>
      <c r="F12653">
        <v>72299342</v>
      </c>
      <c r="G12653">
        <v>72299352</v>
      </c>
      <c r="H12653">
        <v>72299342</v>
      </c>
      <c r="I12653">
        <v>72299352</v>
      </c>
    </row>
    <row r="12654" spans="1:9" x14ac:dyDescent="0.2">
      <c r="A12654" s="1" t="str">
        <f>"PABPC1L2B"</f>
        <v>PABPC1L2B</v>
      </c>
      <c r="B12654" t="s">
        <v>1300</v>
      </c>
      <c r="C12654" t="s">
        <v>37</v>
      </c>
      <c r="D12654" t="s">
        <v>17</v>
      </c>
      <c r="E12654" t="s">
        <v>20</v>
      </c>
      <c r="F12654">
        <v>72223399</v>
      </c>
      <c r="G12654">
        <v>72223399</v>
      </c>
      <c r="H12654">
        <v>72223399</v>
      </c>
      <c r="I12654">
        <v>72223399</v>
      </c>
    </row>
    <row r="12655" spans="1:9" x14ac:dyDescent="0.2">
      <c r="A12655" s="1" t="str">
        <f>"PABPC3"</f>
        <v>PABPC3</v>
      </c>
      <c r="B12655" t="s">
        <v>14</v>
      </c>
      <c r="C12655" t="s">
        <v>39</v>
      </c>
      <c r="D12655" t="s">
        <v>17</v>
      </c>
      <c r="E12655" t="s">
        <v>12</v>
      </c>
      <c r="F12655">
        <v>25670268</v>
      </c>
      <c r="G12655">
        <v>25670315</v>
      </c>
      <c r="H12655">
        <v>25670268</v>
      </c>
      <c r="I12655">
        <v>25670315</v>
      </c>
    </row>
    <row r="12656" spans="1:9" x14ac:dyDescent="0.2">
      <c r="A12656" s="1" t="str">
        <f>"PABPC4"</f>
        <v>PABPC4</v>
      </c>
      <c r="B12656" t="s">
        <v>14</v>
      </c>
      <c r="C12656" t="s">
        <v>19</v>
      </c>
      <c r="D12656" t="s">
        <v>11</v>
      </c>
      <c r="E12656" t="s">
        <v>12</v>
      </c>
      <c r="F12656">
        <v>40042452</v>
      </c>
      <c r="G12656">
        <v>40042470</v>
      </c>
      <c r="H12656">
        <v>40042506</v>
      </c>
      <c r="I12656">
        <v>40042530</v>
      </c>
    </row>
    <row r="12657" spans="1:9" x14ac:dyDescent="0.2">
      <c r="A12657" s="1" t="str">
        <f>"PABPC4L"</f>
        <v>PABPC4L</v>
      </c>
      <c r="B12657" t="s">
        <v>14</v>
      </c>
      <c r="C12657" t="s">
        <v>23</v>
      </c>
      <c r="D12657" t="s">
        <v>11</v>
      </c>
      <c r="E12657" t="s">
        <v>12</v>
      </c>
      <c r="F12657">
        <v>135122928</v>
      </c>
      <c r="G12657">
        <v>135122954</v>
      </c>
      <c r="H12657">
        <v>135123028</v>
      </c>
      <c r="I12657">
        <v>135123047</v>
      </c>
    </row>
    <row r="12658" spans="1:9" x14ac:dyDescent="0.2">
      <c r="A12658" s="1" t="str">
        <f>"PABPC5"</f>
        <v>PABPC5</v>
      </c>
      <c r="B12658" t="s">
        <v>14</v>
      </c>
      <c r="C12658" t="s">
        <v>37</v>
      </c>
      <c r="D12658" t="s">
        <v>17</v>
      </c>
      <c r="E12658" t="s">
        <v>12</v>
      </c>
      <c r="F12658">
        <v>90689829</v>
      </c>
      <c r="G12658">
        <v>90689846</v>
      </c>
      <c r="H12658">
        <v>90689810</v>
      </c>
      <c r="I12658">
        <v>90689826</v>
      </c>
    </row>
    <row r="12659" spans="1:9" x14ac:dyDescent="0.2">
      <c r="A12659" s="1" t="str">
        <f>"PABPN1"</f>
        <v>PABPN1</v>
      </c>
      <c r="B12659" t="s">
        <v>14</v>
      </c>
      <c r="C12659" t="s">
        <v>41</v>
      </c>
      <c r="D12659" t="s">
        <v>17</v>
      </c>
      <c r="E12659" t="s">
        <v>12</v>
      </c>
      <c r="F12659">
        <v>23790655</v>
      </c>
      <c r="G12659">
        <v>23790680</v>
      </c>
      <c r="H12659">
        <v>23791159</v>
      </c>
      <c r="I12659">
        <v>23791223</v>
      </c>
    </row>
    <row r="12660" spans="1:9" x14ac:dyDescent="0.2">
      <c r="A12660" s="1" t="str">
        <f>"PABPN1L"</f>
        <v>PABPN1L</v>
      </c>
      <c r="B12660" t="s">
        <v>1301</v>
      </c>
      <c r="C12660" t="s">
        <v>31</v>
      </c>
      <c r="D12660" t="s">
        <v>11</v>
      </c>
      <c r="E12660" t="s">
        <v>20</v>
      </c>
      <c r="F12660">
        <v>88933025</v>
      </c>
      <c r="G12660">
        <v>88933025</v>
      </c>
      <c r="H12660">
        <v>88933025</v>
      </c>
      <c r="I12660">
        <v>88933025</v>
      </c>
    </row>
    <row r="12661" spans="1:9" x14ac:dyDescent="0.2">
      <c r="A12661" s="1" t="str">
        <f>"PACRG"</f>
        <v>PACRG</v>
      </c>
      <c r="B12661" t="s">
        <v>14</v>
      </c>
      <c r="C12661" t="s">
        <v>32</v>
      </c>
      <c r="D12661" t="s">
        <v>17</v>
      </c>
      <c r="E12661" t="s">
        <v>12</v>
      </c>
      <c r="F12661">
        <v>163148973</v>
      </c>
      <c r="G12661">
        <v>163149044</v>
      </c>
      <c r="H12661">
        <v>163149056</v>
      </c>
      <c r="I12661">
        <v>163149101</v>
      </c>
    </row>
    <row r="12662" spans="1:9" x14ac:dyDescent="0.2">
      <c r="A12662" s="1" t="str">
        <f>"PACRGL"</f>
        <v>PACRGL</v>
      </c>
      <c r="B12662" t="s">
        <v>14</v>
      </c>
      <c r="C12662" t="s">
        <v>23</v>
      </c>
      <c r="D12662" t="s">
        <v>17</v>
      </c>
      <c r="E12662" t="s">
        <v>12</v>
      </c>
      <c r="F12662">
        <v>20702063</v>
      </c>
      <c r="G12662">
        <v>20702094</v>
      </c>
      <c r="H12662">
        <v>20702030</v>
      </c>
      <c r="I12662">
        <v>20702051</v>
      </c>
    </row>
    <row r="12663" spans="1:9" x14ac:dyDescent="0.2">
      <c r="A12663" s="1" t="str">
        <f>"PACS1"</f>
        <v>PACS1</v>
      </c>
      <c r="B12663" t="s">
        <v>14</v>
      </c>
      <c r="C12663" t="s">
        <v>27</v>
      </c>
      <c r="D12663" t="s">
        <v>17</v>
      </c>
      <c r="E12663" t="s">
        <v>12</v>
      </c>
      <c r="F12663">
        <v>65837727</v>
      </c>
      <c r="G12663">
        <v>65837866</v>
      </c>
      <c r="H12663">
        <v>65837596</v>
      </c>
      <c r="I12663">
        <v>65837653</v>
      </c>
    </row>
    <row r="12664" spans="1:9" x14ac:dyDescent="0.2">
      <c r="A12664" s="1" t="str">
        <f>"PACS2"</f>
        <v>PACS2</v>
      </c>
      <c r="B12664" t="s">
        <v>14</v>
      </c>
      <c r="C12664" t="s">
        <v>41</v>
      </c>
      <c r="D12664" t="s">
        <v>17</v>
      </c>
      <c r="E12664" t="s">
        <v>12</v>
      </c>
      <c r="F12664">
        <v>105781102</v>
      </c>
      <c r="G12664">
        <v>105781230</v>
      </c>
      <c r="H12664">
        <v>105781048</v>
      </c>
      <c r="I12664">
        <v>105781101</v>
      </c>
    </row>
    <row r="12665" spans="1:9" x14ac:dyDescent="0.2">
      <c r="A12665" s="1" t="str">
        <f>"PACSIN1"</f>
        <v>PACSIN1</v>
      </c>
      <c r="B12665" t="s">
        <v>9</v>
      </c>
      <c r="C12665" t="s">
        <v>32</v>
      </c>
      <c r="D12665" t="s">
        <v>17</v>
      </c>
      <c r="E12665" t="s">
        <v>12</v>
      </c>
      <c r="F12665">
        <v>34433844</v>
      </c>
      <c r="G12665">
        <v>34433921</v>
      </c>
      <c r="H12665">
        <v>34433844</v>
      </c>
      <c r="I12665">
        <v>34433921</v>
      </c>
    </row>
    <row r="12666" spans="1:9" x14ac:dyDescent="0.2">
      <c r="A12666" s="1" t="str">
        <f>"PACSIN1"</f>
        <v>PACSIN1</v>
      </c>
      <c r="B12666" t="s">
        <v>13</v>
      </c>
      <c r="C12666" t="s">
        <v>32</v>
      </c>
      <c r="D12666" t="s">
        <v>17</v>
      </c>
      <c r="E12666" t="s">
        <v>12</v>
      </c>
      <c r="F12666">
        <v>34482630</v>
      </c>
      <c r="G12666">
        <v>34482655</v>
      </c>
      <c r="H12666">
        <v>34482630</v>
      </c>
      <c r="I12666">
        <v>34482655</v>
      </c>
    </row>
    <row r="12667" spans="1:9" x14ac:dyDescent="0.2">
      <c r="A12667" s="1" t="str">
        <f>"PACSIN2"</f>
        <v>PACSIN2</v>
      </c>
      <c r="B12667" t="s">
        <v>14</v>
      </c>
      <c r="C12667" t="s">
        <v>21</v>
      </c>
      <c r="D12667" t="s">
        <v>11</v>
      </c>
      <c r="E12667" t="s">
        <v>12</v>
      </c>
      <c r="F12667">
        <v>43411106</v>
      </c>
      <c r="G12667">
        <v>43411165</v>
      </c>
      <c r="H12667">
        <v>43411167</v>
      </c>
      <c r="I12667">
        <v>43411187</v>
      </c>
    </row>
    <row r="12668" spans="1:9" x14ac:dyDescent="0.2">
      <c r="A12668" s="1" t="str">
        <f>"PACSIN3"</f>
        <v>PACSIN3</v>
      </c>
      <c r="B12668" t="s">
        <v>14</v>
      </c>
      <c r="C12668" t="s">
        <v>27</v>
      </c>
      <c r="D12668" t="s">
        <v>11</v>
      </c>
      <c r="E12668" t="s">
        <v>12</v>
      </c>
      <c r="F12668">
        <v>47207950</v>
      </c>
      <c r="G12668">
        <v>47208000</v>
      </c>
      <c r="H12668">
        <v>47207950</v>
      </c>
      <c r="I12668">
        <v>47208000</v>
      </c>
    </row>
    <row r="12669" spans="1:9" x14ac:dyDescent="0.2">
      <c r="A12669" s="1" t="str">
        <f>"PADI1"</f>
        <v>PADI1</v>
      </c>
      <c r="B12669" t="s">
        <v>14</v>
      </c>
      <c r="C12669" t="s">
        <v>19</v>
      </c>
      <c r="D12669" t="s">
        <v>17</v>
      </c>
      <c r="E12669" t="s">
        <v>12</v>
      </c>
      <c r="F12669">
        <v>17531614</v>
      </c>
      <c r="G12669">
        <v>17531630</v>
      </c>
      <c r="H12669">
        <v>17531614</v>
      </c>
      <c r="I12669">
        <v>17531630</v>
      </c>
    </row>
    <row r="12670" spans="1:9" x14ac:dyDescent="0.2">
      <c r="A12670" s="1" t="str">
        <f>"PADI2"</f>
        <v>PADI2</v>
      </c>
      <c r="B12670" t="s">
        <v>14</v>
      </c>
      <c r="C12670" t="s">
        <v>19</v>
      </c>
      <c r="D12670" t="s">
        <v>11</v>
      </c>
      <c r="E12670" t="s">
        <v>12</v>
      </c>
      <c r="F12670">
        <v>17445939</v>
      </c>
      <c r="G12670">
        <v>17445954</v>
      </c>
      <c r="H12670">
        <v>17445939</v>
      </c>
      <c r="I12670">
        <v>17445954</v>
      </c>
    </row>
    <row r="12671" spans="1:9" x14ac:dyDescent="0.2">
      <c r="A12671" s="1" t="str">
        <f>"PADI3"</f>
        <v>PADI3</v>
      </c>
      <c r="B12671" t="s">
        <v>14</v>
      </c>
      <c r="C12671" t="s">
        <v>19</v>
      </c>
      <c r="D12671" t="s">
        <v>17</v>
      </c>
      <c r="E12671" t="s">
        <v>12</v>
      </c>
      <c r="F12671">
        <v>17575584</v>
      </c>
      <c r="G12671">
        <v>17575598</v>
      </c>
      <c r="H12671">
        <v>17575584</v>
      </c>
      <c r="I12671">
        <v>17575598</v>
      </c>
    </row>
    <row r="12672" spans="1:9" x14ac:dyDescent="0.2">
      <c r="A12672" s="1" t="str">
        <f>"PADI4"</f>
        <v>PADI4</v>
      </c>
      <c r="B12672" t="s">
        <v>14</v>
      </c>
      <c r="C12672" t="s">
        <v>19</v>
      </c>
      <c r="D12672" t="s">
        <v>17</v>
      </c>
      <c r="E12672" t="s">
        <v>12</v>
      </c>
      <c r="F12672">
        <v>17634689</v>
      </c>
      <c r="G12672">
        <v>17634696</v>
      </c>
      <c r="H12672">
        <v>17634689</v>
      </c>
      <c r="I12672">
        <v>17634696</v>
      </c>
    </row>
    <row r="12673" spans="1:9" x14ac:dyDescent="0.2">
      <c r="A12673" s="1" t="str">
        <f>"PADI6"</f>
        <v>PADI6</v>
      </c>
      <c r="B12673" t="s">
        <v>14</v>
      </c>
      <c r="C12673" t="s">
        <v>19</v>
      </c>
      <c r="D12673" t="s">
        <v>17</v>
      </c>
      <c r="E12673" t="s">
        <v>12</v>
      </c>
      <c r="F12673">
        <v>17698689</v>
      </c>
      <c r="G12673">
        <v>17698692</v>
      </c>
      <c r="H12673">
        <v>17698689</v>
      </c>
      <c r="I12673">
        <v>17698692</v>
      </c>
    </row>
    <row r="12674" spans="1:9" x14ac:dyDescent="0.2">
      <c r="A12674" s="1" t="str">
        <f>"PAEP"</f>
        <v>PAEP</v>
      </c>
      <c r="B12674" t="s">
        <v>14</v>
      </c>
      <c r="C12674" t="s">
        <v>24</v>
      </c>
      <c r="D12674" t="s">
        <v>17</v>
      </c>
      <c r="E12674" t="s">
        <v>12</v>
      </c>
      <c r="F12674">
        <v>138453595</v>
      </c>
      <c r="G12674">
        <v>138453608</v>
      </c>
      <c r="H12674">
        <v>138453595</v>
      </c>
      <c r="I12674">
        <v>138453608</v>
      </c>
    </row>
    <row r="12675" spans="1:9" x14ac:dyDescent="0.2">
      <c r="A12675" s="1" t="str">
        <f>"PAF1"</f>
        <v>PAF1</v>
      </c>
      <c r="B12675" t="s">
        <v>14</v>
      </c>
      <c r="C12675" t="s">
        <v>10</v>
      </c>
      <c r="D12675" t="s">
        <v>11</v>
      </c>
      <c r="E12675" t="s">
        <v>12</v>
      </c>
      <c r="F12675">
        <v>39881669</v>
      </c>
      <c r="G12675">
        <v>39881773</v>
      </c>
      <c r="H12675">
        <v>39881504</v>
      </c>
      <c r="I12675">
        <v>39881543</v>
      </c>
    </row>
    <row r="12676" spans="1:9" x14ac:dyDescent="0.2">
      <c r="A12676" s="1" t="str">
        <f>"PAFAH1B1"</f>
        <v>PAFAH1B1</v>
      </c>
      <c r="B12676" t="s">
        <v>14</v>
      </c>
      <c r="C12676" t="s">
        <v>28</v>
      </c>
      <c r="D12676" t="s">
        <v>17</v>
      </c>
      <c r="E12676" t="s">
        <v>12</v>
      </c>
      <c r="F12676">
        <v>2496922</v>
      </c>
      <c r="G12676">
        <v>2496954</v>
      </c>
      <c r="H12676">
        <v>2497218</v>
      </c>
      <c r="I12676">
        <v>2497268</v>
      </c>
    </row>
    <row r="12677" spans="1:9" x14ac:dyDescent="0.2">
      <c r="A12677" s="1" t="str">
        <f>"PAFAH1B2"</f>
        <v>PAFAH1B2</v>
      </c>
      <c r="B12677" t="s">
        <v>14</v>
      </c>
      <c r="C12677" t="s">
        <v>27</v>
      </c>
      <c r="D12677" t="s">
        <v>17</v>
      </c>
      <c r="E12677" t="s">
        <v>12</v>
      </c>
      <c r="F12677">
        <v>117014993</v>
      </c>
      <c r="G12677">
        <v>117015017</v>
      </c>
      <c r="H12677">
        <v>117015024</v>
      </c>
      <c r="I12677">
        <v>117015035</v>
      </c>
    </row>
    <row r="12678" spans="1:9" x14ac:dyDescent="0.2">
      <c r="A12678" s="1" t="str">
        <f>"PAFAH1B3"</f>
        <v>PAFAH1B3</v>
      </c>
      <c r="B12678" t="s">
        <v>14</v>
      </c>
      <c r="C12678" t="s">
        <v>10</v>
      </c>
      <c r="D12678" t="s">
        <v>11</v>
      </c>
      <c r="E12678" t="s">
        <v>12</v>
      </c>
      <c r="F12678">
        <v>42806728</v>
      </c>
      <c r="G12678">
        <v>42806795</v>
      </c>
      <c r="H12678">
        <v>42806590</v>
      </c>
      <c r="I12678">
        <v>42806657</v>
      </c>
    </row>
    <row r="12679" spans="1:9" x14ac:dyDescent="0.2">
      <c r="A12679" s="1" t="str">
        <f>"PAFAH2"</f>
        <v>PAFAH2</v>
      </c>
      <c r="B12679" t="s">
        <v>14</v>
      </c>
      <c r="C12679" t="s">
        <v>19</v>
      </c>
      <c r="D12679" t="s">
        <v>11</v>
      </c>
      <c r="E12679" t="s">
        <v>12</v>
      </c>
      <c r="F12679">
        <v>26324534</v>
      </c>
      <c r="G12679">
        <v>26324589</v>
      </c>
      <c r="H12679">
        <v>26324534</v>
      </c>
      <c r="I12679">
        <v>26324589</v>
      </c>
    </row>
    <row r="12680" spans="1:9" x14ac:dyDescent="0.2">
      <c r="A12680" s="1" t="str">
        <f>"PAG1"</f>
        <v>PAG1</v>
      </c>
      <c r="B12680" t="s">
        <v>14</v>
      </c>
      <c r="C12680" t="s">
        <v>30</v>
      </c>
      <c r="D12680" t="s">
        <v>11</v>
      </c>
      <c r="E12680" t="s">
        <v>12</v>
      </c>
      <c r="F12680">
        <v>82024290</v>
      </c>
      <c r="G12680">
        <v>82024310</v>
      </c>
      <c r="H12680">
        <v>82024345</v>
      </c>
      <c r="I12680">
        <v>82024356</v>
      </c>
    </row>
    <row r="12681" spans="1:9" x14ac:dyDescent="0.2">
      <c r="A12681" s="1" t="str">
        <f>"PAGE1"</f>
        <v>PAGE1</v>
      </c>
      <c r="B12681" t="s">
        <v>14</v>
      </c>
      <c r="C12681" t="s">
        <v>37</v>
      </c>
      <c r="D12681" t="s">
        <v>11</v>
      </c>
      <c r="E12681" t="s">
        <v>12</v>
      </c>
      <c r="F12681">
        <v>49460578</v>
      </c>
      <c r="G12681">
        <v>49460597</v>
      </c>
      <c r="H12681">
        <v>49460603</v>
      </c>
      <c r="I12681">
        <v>49460612</v>
      </c>
    </row>
    <row r="12682" spans="1:9" x14ac:dyDescent="0.2">
      <c r="A12682" s="1" t="str">
        <f>"PAGE2"</f>
        <v>PAGE2</v>
      </c>
      <c r="B12682" t="s">
        <v>14</v>
      </c>
      <c r="C12682" t="s">
        <v>37</v>
      </c>
      <c r="D12682" t="s">
        <v>17</v>
      </c>
      <c r="E12682" t="s">
        <v>12</v>
      </c>
      <c r="F12682">
        <v>55115443</v>
      </c>
      <c r="G12682">
        <v>55115463</v>
      </c>
      <c r="H12682">
        <v>55115467</v>
      </c>
      <c r="I12682">
        <v>55115475</v>
      </c>
    </row>
    <row r="12683" spans="1:9" x14ac:dyDescent="0.2">
      <c r="A12683" s="1" t="str">
        <f>"PAGE2B"</f>
        <v>PAGE2B</v>
      </c>
      <c r="B12683" t="s">
        <v>14</v>
      </c>
      <c r="C12683" t="s">
        <v>37</v>
      </c>
      <c r="D12683" t="s">
        <v>17</v>
      </c>
      <c r="E12683" t="s">
        <v>12</v>
      </c>
      <c r="F12683">
        <v>55101450</v>
      </c>
      <c r="G12683">
        <v>55101482</v>
      </c>
      <c r="H12683">
        <v>55101495</v>
      </c>
      <c r="I12683">
        <v>55101519</v>
      </c>
    </row>
    <row r="12684" spans="1:9" x14ac:dyDescent="0.2">
      <c r="A12684" s="1" t="str">
        <f>"PAGE4"</f>
        <v>PAGE4</v>
      </c>
      <c r="B12684" t="s">
        <v>14</v>
      </c>
      <c r="C12684" t="s">
        <v>37</v>
      </c>
      <c r="D12684" t="s">
        <v>17</v>
      </c>
      <c r="E12684" t="s">
        <v>12</v>
      </c>
      <c r="F12684">
        <v>49593888</v>
      </c>
      <c r="G12684">
        <v>49593929</v>
      </c>
      <c r="H12684">
        <v>49593888</v>
      </c>
      <c r="I12684">
        <v>49593929</v>
      </c>
    </row>
    <row r="12685" spans="1:9" x14ac:dyDescent="0.2">
      <c r="A12685" s="1" t="str">
        <f>"PAGE5"</f>
        <v>PAGE5</v>
      </c>
      <c r="B12685" t="s">
        <v>14</v>
      </c>
      <c r="C12685" t="s">
        <v>37</v>
      </c>
      <c r="D12685" t="s">
        <v>17</v>
      </c>
      <c r="E12685" t="s">
        <v>12</v>
      </c>
      <c r="F12685">
        <v>55246771</v>
      </c>
      <c r="G12685">
        <v>55246793</v>
      </c>
      <c r="H12685">
        <v>55246818</v>
      </c>
      <c r="I12685">
        <v>55246829</v>
      </c>
    </row>
    <row r="12686" spans="1:9" x14ac:dyDescent="0.2">
      <c r="A12686" s="1" t="str">
        <f>"PAGR1"</f>
        <v>PAGR1</v>
      </c>
      <c r="B12686" t="s">
        <v>14</v>
      </c>
      <c r="C12686" t="s">
        <v>31</v>
      </c>
      <c r="D12686" t="s">
        <v>17</v>
      </c>
      <c r="E12686" t="s">
        <v>12</v>
      </c>
      <c r="F12686">
        <v>29827406</v>
      </c>
      <c r="G12686">
        <v>29827529</v>
      </c>
      <c r="H12686">
        <v>29827777</v>
      </c>
      <c r="I12686">
        <v>29827828</v>
      </c>
    </row>
    <row r="12687" spans="1:9" x14ac:dyDescent="0.2">
      <c r="A12687" s="1" t="str">
        <f>"PAH"</f>
        <v>PAH</v>
      </c>
      <c r="B12687" t="s">
        <v>14</v>
      </c>
      <c r="C12687" t="s">
        <v>16</v>
      </c>
      <c r="D12687" t="s">
        <v>11</v>
      </c>
      <c r="E12687" t="s">
        <v>12</v>
      </c>
      <c r="F12687">
        <v>103310987</v>
      </c>
      <c r="G12687">
        <v>103311037</v>
      </c>
      <c r="H12687">
        <v>103310959</v>
      </c>
      <c r="I12687">
        <v>103310974</v>
      </c>
    </row>
    <row r="12688" spans="1:9" x14ac:dyDescent="0.2">
      <c r="A12688" s="1" t="str">
        <f>"PAICS"</f>
        <v>PAICS</v>
      </c>
      <c r="B12688" t="s">
        <v>14</v>
      </c>
      <c r="C12688" t="s">
        <v>23</v>
      </c>
      <c r="D12688" t="s">
        <v>17</v>
      </c>
      <c r="E12688" t="s">
        <v>12</v>
      </c>
      <c r="F12688">
        <v>57302399</v>
      </c>
      <c r="G12688">
        <v>57302441</v>
      </c>
      <c r="H12688">
        <v>57302297</v>
      </c>
      <c r="I12688">
        <v>57302322</v>
      </c>
    </row>
    <row r="12689" spans="1:9" x14ac:dyDescent="0.2">
      <c r="A12689" s="1" t="str">
        <f>"PAIP1"</f>
        <v>PAIP1</v>
      </c>
      <c r="B12689" t="s">
        <v>14</v>
      </c>
      <c r="C12689" t="s">
        <v>46</v>
      </c>
      <c r="D12689" t="s">
        <v>11</v>
      </c>
      <c r="E12689" t="s">
        <v>12</v>
      </c>
      <c r="F12689">
        <v>43557129</v>
      </c>
      <c r="G12689">
        <v>43557200</v>
      </c>
      <c r="H12689">
        <v>43556916</v>
      </c>
      <c r="I12689">
        <v>43556962</v>
      </c>
    </row>
    <row r="12690" spans="1:9" x14ac:dyDescent="0.2">
      <c r="A12690" s="1" t="str">
        <f>"PAIP2"</f>
        <v>PAIP2</v>
      </c>
      <c r="B12690" t="s">
        <v>14</v>
      </c>
      <c r="C12690" t="s">
        <v>46</v>
      </c>
      <c r="D12690" t="s">
        <v>17</v>
      </c>
      <c r="E12690" t="s">
        <v>12</v>
      </c>
      <c r="F12690">
        <v>138677515</v>
      </c>
      <c r="G12690">
        <v>138677581</v>
      </c>
      <c r="H12690">
        <v>138677515</v>
      </c>
      <c r="I12690">
        <v>138677581</v>
      </c>
    </row>
    <row r="12691" spans="1:9" x14ac:dyDescent="0.2">
      <c r="A12691" s="1" t="str">
        <f>"PAIP2B"</f>
        <v>PAIP2B</v>
      </c>
      <c r="B12691" t="s">
        <v>14</v>
      </c>
      <c r="C12691" t="s">
        <v>26</v>
      </c>
      <c r="D12691" t="s">
        <v>11</v>
      </c>
      <c r="E12691" t="s">
        <v>12</v>
      </c>
      <c r="F12691">
        <v>71454185</v>
      </c>
      <c r="G12691">
        <v>71454242</v>
      </c>
      <c r="H12691">
        <v>71454167</v>
      </c>
      <c r="I12691">
        <v>71454178</v>
      </c>
    </row>
    <row r="12692" spans="1:9" x14ac:dyDescent="0.2">
      <c r="A12692" s="1" t="str">
        <f>"PAK1"</f>
        <v>PAK1</v>
      </c>
      <c r="B12692" t="s">
        <v>1302</v>
      </c>
      <c r="C12692" t="s">
        <v>27</v>
      </c>
      <c r="D12692" t="s">
        <v>11</v>
      </c>
      <c r="E12692" t="s">
        <v>35</v>
      </c>
      <c r="F12692">
        <v>77185301</v>
      </c>
      <c r="G12692">
        <v>77185304</v>
      </c>
      <c r="H12692">
        <v>77184914</v>
      </c>
      <c r="I12692">
        <v>77184962</v>
      </c>
    </row>
    <row r="12693" spans="1:9" x14ac:dyDescent="0.2">
      <c r="A12693" s="1" t="str">
        <f>"PAK1IP1"</f>
        <v>PAK1IP1</v>
      </c>
      <c r="B12693" t="s">
        <v>14</v>
      </c>
      <c r="C12693" t="s">
        <v>32</v>
      </c>
      <c r="D12693" t="s">
        <v>17</v>
      </c>
      <c r="E12693" t="s">
        <v>12</v>
      </c>
      <c r="F12693">
        <v>10695149</v>
      </c>
      <c r="G12693">
        <v>10695212</v>
      </c>
      <c r="H12693">
        <v>10694900</v>
      </c>
      <c r="I12693">
        <v>10694930</v>
      </c>
    </row>
    <row r="12694" spans="1:9" x14ac:dyDescent="0.2">
      <c r="A12694" s="1" t="str">
        <f>"PAK2"</f>
        <v>PAK2</v>
      </c>
      <c r="B12694" t="s">
        <v>14</v>
      </c>
      <c r="C12694" t="s">
        <v>22</v>
      </c>
      <c r="D12694" t="s">
        <v>17</v>
      </c>
      <c r="E12694" t="s">
        <v>12</v>
      </c>
      <c r="F12694">
        <v>196466710</v>
      </c>
      <c r="G12694">
        <v>196466824</v>
      </c>
      <c r="H12694">
        <v>196466827</v>
      </c>
      <c r="I12694">
        <v>196466857</v>
      </c>
    </row>
    <row r="12695" spans="1:9" x14ac:dyDescent="0.2">
      <c r="A12695" s="1" t="str">
        <f>"PAK3"</f>
        <v>PAK3</v>
      </c>
      <c r="B12695" t="s">
        <v>14</v>
      </c>
      <c r="C12695" t="s">
        <v>37</v>
      </c>
      <c r="D12695" t="s">
        <v>17</v>
      </c>
      <c r="E12695" t="s">
        <v>12</v>
      </c>
      <c r="F12695">
        <v>110339367</v>
      </c>
      <c r="G12695">
        <v>110339429</v>
      </c>
      <c r="H12695">
        <v>110339367</v>
      </c>
      <c r="I12695">
        <v>110339429</v>
      </c>
    </row>
    <row r="12696" spans="1:9" x14ac:dyDescent="0.2">
      <c r="A12696" s="1" t="str">
        <f>"PAK4"</f>
        <v>PAK4</v>
      </c>
      <c r="B12696" t="s">
        <v>14</v>
      </c>
      <c r="C12696" t="s">
        <v>10</v>
      </c>
      <c r="D12696" t="s">
        <v>17</v>
      </c>
      <c r="E12696" t="s">
        <v>12</v>
      </c>
      <c r="F12696">
        <v>39616410</v>
      </c>
      <c r="G12696">
        <v>39616452</v>
      </c>
      <c r="H12696">
        <v>39616410</v>
      </c>
      <c r="I12696">
        <v>39616452</v>
      </c>
    </row>
    <row r="12697" spans="1:9" x14ac:dyDescent="0.2">
      <c r="A12697" s="1" t="str">
        <f>"PAK6"</f>
        <v>PAK6</v>
      </c>
      <c r="B12697" t="s">
        <v>9</v>
      </c>
      <c r="C12697" t="s">
        <v>25</v>
      </c>
      <c r="D12697" t="s">
        <v>17</v>
      </c>
      <c r="E12697" t="s">
        <v>12</v>
      </c>
      <c r="F12697">
        <v>40544822</v>
      </c>
      <c r="G12697">
        <v>40544871</v>
      </c>
      <c r="H12697">
        <v>40544822</v>
      </c>
      <c r="I12697">
        <v>40544871</v>
      </c>
    </row>
    <row r="12698" spans="1:9" x14ac:dyDescent="0.2">
      <c r="A12698" s="1" t="str">
        <f>"PAK6"</f>
        <v>PAK6</v>
      </c>
      <c r="B12698" t="s">
        <v>13</v>
      </c>
      <c r="C12698" t="s">
        <v>25</v>
      </c>
      <c r="D12698" t="s">
        <v>17</v>
      </c>
      <c r="E12698" t="s">
        <v>12</v>
      </c>
      <c r="F12698">
        <v>40531243</v>
      </c>
      <c r="G12698">
        <v>40531304</v>
      </c>
      <c r="H12698">
        <v>40531243</v>
      </c>
      <c r="I12698">
        <v>40531304</v>
      </c>
    </row>
    <row r="12699" spans="1:9" x14ac:dyDescent="0.2">
      <c r="A12699" s="1" t="str">
        <f>"PAK7"</f>
        <v>PAK7</v>
      </c>
      <c r="B12699" t="s">
        <v>14</v>
      </c>
      <c r="C12699" t="s">
        <v>29</v>
      </c>
      <c r="D12699" t="s">
        <v>11</v>
      </c>
      <c r="E12699" t="s">
        <v>12</v>
      </c>
      <c r="F12699">
        <v>9819483</v>
      </c>
      <c r="G12699">
        <v>9819532</v>
      </c>
      <c r="H12699">
        <v>9819674</v>
      </c>
      <c r="I12699">
        <v>9819728</v>
      </c>
    </row>
    <row r="12700" spans="1:9" x14ac:dyDescent="0.2">
      <c r="A12700" s="1" t="str">
        <f>"PALB2"</f>
        <v>PALB2</v>
      </c>
      <c r="B12700" t="s">
        <v>14</v>
      </c>
      <c r="C12700" t="s">
        <v>31</v>
      </c>
      <c r="D12700" t="s">
        <v>11</v>
      </c>
      <c r="E12700" t="s">
        <v>12</v>
      </c>
      <c r="F12700">
        <v>23652570</v>
      </c>
      <c r="G12700">
        <v>23652663</v>
      </c>
      <c r="H12700">
        <v>23652670</v>
      </c>
      <c r="I12700">
        <v>23652677</v>
      </c>
    </row>
    <row r="12701" spans="1:9" x14ac:dyDescent="0.2">
      <c r="A12701" s="1" t="str">
        <f>"PALD1"</f>
        <v>PALD1</v>
      </c>
      <c r="B12701" t="s">
        <v>14</v>
      </c>
      <c r="C12701" t="s">
        <v>15</v>
      </c>
      <c r="D12701" t="s">
        <v>17</v>
      </c>
      <c r="E12701" t="s">
        <v>12</v>
      </c>
      <c r="F12701">
        <v>72238517</v>
      </c>
      <c r="G12701">
        <v>72238595</v>
      </c>
      <c r="H12701">
        <v>72238517</v>
      </c>
      <c r="I12701">
        <v>72238595</v>
      </c>
    </row>
    <row r="12702" spans="1:9" x14ac:dyDescent="0.2">
      <c r="A12702" s="1" t="str">
        <f>"PALLD"</f>
        <v>PALLD</v>
      </c>
      <c r="B12702" t="s">
        <v>1303</v>
      </c>
      <c r="C12702" t="s">
        <v>23</v>
      </c>
      <c r="D12702" t="s">
        <v>17</v>
      </c>
      <c r="E12702" t="s">
        <v>35</v>
      </c>
      <c r="F12702">
        <v>169418195</v>
      </c>
      <c r="G12702">
        <v>169418211</v>
      </c>
      <c r="H12702">
        <v>169418301</v>
      </c>
      <c r="I12702">
        <v>169418317</v>
      </c>
    </row>
    <row r="12703" spans="1:9" x14ac:dyDescent="0.2">
      <c r="A12703" s="1" t="str">
        <f>"PALM"</f>
        <v>PALM</v>
      </c>
      <c r="B12703" t="s">
        <v>14</v>
      </c>
      <c r="C12703" t="s">
        <v>10</v>
      </c>
      <c r="D12703" t="s">
        <v>17</v>
      </c>
      <c r="E12703" t="s">
        <v>12</v>
      </c>
      <c r="F12703">
        <v>708910</v>
      </c>
      <c r="G12703">
        <v>708975</v>
      </c>
      <c r="H12703">
        <v>709113</v>
      </c>
      <c r="I12703">
        <v>709131</v>
      </c>
    </row>
    <row r="12704" spans="1:9" x14ac:dyDescent="0.2">
      <c r="A12704" s="1" t="str">
        <f>"PALM2"</f>
        <v>PALM2</v>
      </c>
      <c r="B12704" t="s">
        <v>14</v>
      </c>
      <c r="C12704" t="s">
        <v>24</v>
      </c>
      <c r="D12704" t="s">
        <v>17</v>
      </c>
      <c r="E12704" t="s">
        <v>12</v>
      </c>
      <c r="F12704">
        <v>112542441</v>
      </c>
      <c r="G12704">
        <v>112542534</v>
      </c>
      <c r="H12704">
        <v>112542441</v>
      </c>
      <c r="I12704">
        <v>112542534</v>
      </c>
    </row>
    <row r="12705" spans="1:9" x14ac:dyDescent="0.2">
      <c r="A12705" s="1" t="str">
        <f>"PALM2-AKAP2"</f>
        <v>PALM2-AKAP2</v>
      </c>
      <c r="B12705" t="s">
        <v>14</v>
      </c>
      <c r="C12705" t="s">
        <v>24</v>
      </c>
      <c r="D12705" t="s">
        <v>17</v>
      </c>
      <c r="E12705" t="s">
        <v>67</v>
      </c>
      <c r="F12705">
        <v>112542441</v>
      </c>
      <c r="G12705">
        <v>112542534</v>
      </c>
      <c r="H12705">
        <v>112542441</v>
      </c>
      <c r="I12705">
        <v>112542534</v>
      </c>
    </row>
    <row r="12706" spans="1:9" x14ac:dyDescent="0.2">
      <c r="A12706" s="1" t="str">
        <f>"PALM3"</f>
        <v>PALM3</v>
      </c>
      <c r="B12706" t="s">
        <v>1304</v>
      </c>
      <c r="C12706" t="s">
        <v>10</v>
      </c>
      <c r="D12706" t="s">
        <v>11</v>
      </c>
      <c r="E12706" t="s">
        <v>20</v>
      </c>
      <c r="F12706">
        <v>14169970</v>
      </c>
      <c r="G12706">
        <v>14169970</v>
      </c>
      <c r="H12706">
        <v>14169970</v>
      </c>
      <c r="I12706">
        <v>14169970</v>
      </c>
    </row>
    <row r="12707" spans="1:9" x14ac:dyDescent="0.2">
      <c r="A12707" s="1" t="str">
        <f>"PALMD"</f>
        <v>PALMD</v>
      </c>
      <c r="B12707" t="s">
        <v>14</v>
      </c>
      <c r="C12707" t="s">
        <v>19</v>
      </c>
      <c r="D12707" t="s">
        <v>17</v>
      </c>
      <c r="E12707" t="s">
        <v>12</v>
      </c>
      <c r="F12707">
        <v>100111580</v>
      </c>
      <c r="G12707">
        <v>100111773</v>
      </c>
      <c r="H12707">
        <v>100111580</v>
      </c>
      <c r="I12707">
        <v>100111773</v>
      </c>
    </row>
    <row r="12708" spans="1:9" x14ac:dyDescent="0.2">
      <c r="A12708" s="1" t="str">
        <f>"PAM"</f>
        <v>PAM</v>
      </c>
      <c r="B12708" t="s">
        <v>1305</v>
      </c>
      <c r="C12708" t="s">
        <v>46</v>
      </c>
      <c r="D12708" t="s">
        <v>17</v>
      </c>
      <c r="E12708" t="s">
        <v>35</v>
      </c>
      <c r="F12708">
        <v>102201509</v>
      </c>
      <c r="G12708">
        <v>102201528</v>
      </c>
      <c r="H12708">
        <v>102201722</v>
      </c>
      <c r="I12708">
        <v>102201750</v>
      </c>
    </row>
    <row r="12709" spans="1:9" x14ac:dyDescent="0.2">
      <c r="A12709" s="1" t="str">
        <f>"PAM"</f>
        <v>PAM</v>
      </c>
      <c r="B12709" t="s">
        <v>1306</v>
      </c>
      <c r="C12709" t="s">
        <v>46</v>
      </c>
      <c r="D12709" t="s">
        <v>17</v>
      </c>
      <c r="E12709" t="s">
        <v>35</v>
      </c>
      <c r="F12709">
        <v>102201226</v>
      </c>
      <c r="G12709">
        <v>102201231</v>
      </c>
      <c r="H12709">
        <v>102201610</v>
      </c>
      <c r="I12709">
        <v>102201628</v>
      </c>
    </row>
    <row r="12710" spans="1:9" x14ac:dyDescent="0.2">
      <c r="A12710" s="1" t="str">
        <f>"PAM16"</f>
        <v>PAM16</v>
      </c>
      <c r="B12710" t="s">
        <v>14</v>
      </c>
      <c r="C12710" t="s">
        <v>31</v>
      </c>
      <c r="D12710" t="s">
        <v>11</v>
      </c>
      <c r="E12710" t="s">
        <v>12</v>
      </c>
      <c r="F12710">
        <v>4401284</v>
      </c>
      <c r="G12710">
        <v>4401340</v>
      </c>
      <c r="H12710">
        <v>4401258</v>
      </c>
      <c r="I12710">
        <v>4401277</v>
      </c>
    </row>
    <row r="12711" spans="1:9" x14ac:dyDescent="0.2">
      <c r="A12711" s="1" t="str">
        <f>"PAMR1"</f>
        <v>PAMR1</v>
      </c>
      <c r="B12711" t="s">
        <v>14</v>
      </c>
      <c r="C12711" t="s">
        <v>27</v>
      </c>
      <c r="D12711" t="s">
        <v>11</v>
      </c>
      <c r="E12711" t="s">
        <v>12</v>
      </c>
      <c r="F12711">
        <v>35547154</v>
      </c>
      <c r="G12711">
        <v>35547191</v>
      </c>
      <c r="H12711">
        <v>35547277</v>
      </c>
      <c r="I12711">
        <v>35547288</v>
      </c>
    </row>
    <row r="12712" spans="1:9" x14ac:dyDescent="0.2">
      <c r="A12712" s="1" t="str">
        <f>"PAN2"</f>
        <v>PAN2</v>
      </c>
      <c r="B12712" t="s">
        <v>14</v>
      </c>
      <c r="C12712" t="s">
        <v>16</v>
      </c>
      <c r="D12712" t="s">
        <v>11</v>
      </c>
      <c r="E12712" t="s">
        <v>12</v>
      </c>
      <c r="F12712">
        <v>56727676</v>
      </c>
      <c r="G12712">
        <v>56727806</v>
      </c>
      <c r="H12712">
        <v>56727427</v>
      </c>
      <c r="I12712">
        <v>56727485</v>
      </c>
    </row>
    <row r="12713" spans="1:9" x14ac:dyDescent="0.2">
      <c r="A12713" s="1" t="str">
        <f>"PAN3"</f>
        <v>PAN3</v>
      </c>
      <c r="B12713" t="s">
        <v>14</v>
      </c>
      <c r="C12713" t="s">
        <v>39</v>
      </c>
      <c r="D12713" t="s">
        <v>17</v>
      </c>
      <c r="E12713" t="s">
        <v>12</v>
      </c>
      <c r="F12713">
        <v>28712299</v>
      </c>
      <c r="G12713">
        <v>28712376</v>
      </c>
      <c r="H12713">
        <v>28712614</v>
      </c>
      <c r="I12713">
        <v>28712703</v>
      </c>
    </row>
    <row r="12714" spans="1:9" x14ac:dyDescent="0.2">
      <c r="A12714" s="1" t="str">
        <f>"PANK1"</f>
        <v>PANK1</v>
      </c>
      <c r="B12714" t="s">
        <v>9</v>
      </c>
      <c r="C12714" t="s">
        <v>15</v>
      </c>
      <c r="D12714" t="s">
        <v>11</v>
      </c>
      <c r="E12714" t="s">
        <v>12</v>
      </c>
      <c r="F12714">
        <v>91404961</v>
      </c>
      <c r="G12714">
        <v>91405020</v>
      </c>
      <c r="H12714">
        <v>91404961</v>
      </c>
      <c r="I12714">
        <v>91405020</v>
      </c>
    </row>
    <row r="12715" spans="1:9" x14ac:dyDescent="0.2">
      <c r="A12715" s="1" t="str">
        <f>"PANK1"</f>
        <v>PANK1</v>
      </c>
      <c r="B12715" t="s">
        <v>13</v>
      </c>
      <c r="C12715" t="s">
        <v>15</v>
      </c>
      <c r="D12715" t="s">
        <v>11</v>
      </c>
      <c r="E12715" t="s">
        <v>12</v>
      </c>
      <c r="F12715">
        <v>91403656</v>
      </c>
      <c r="G12715">
        <v>91403688</v>
      </c>
      <c r="H12715">
        <v>91403656</v>
      </c>
      <c r="I12715">
        <v>91403688</v>
      </c>
    </row>
    <row r="12716" spans="1:9" x14ac:dyDescent="0.2">
      <c r="A12716" s="1" t="str">
        <f>"PANK2"</f>
        <v>PANK2</v>
      </c>
      <c r="B12716" t="s">
        <v>14</v>
      </c>
      <c r="C12716" t="s">
        <v>29</v>
      </c>
      <c r="D12716" t="s">
        <v>17</v>
      </c>
      <c r="E12716" t="s">
        <v>12</v>
      </c>
      <c r="F12716">
        <v>3870024</v>
      </c>
      <c r="G12716">
        <v>3870072</v>
      </c>
      <c r="H12716">
        <v>3869999</v>
      </c>
      <c r="I12716">
        <v>3870018</v>
      </c>
    </row>
    <row r="12717" spans="1:9" x14ac:dyDescent="0.2">
      <c r="A12717" s="1" t="str">
        <f>"PANK3"</f>
        <v>PANK3</v>
      </c>
      <c r="B12717" t="s">
        <v>14</v>
      </c>
      <c r="C12717" t="s">
        <v>46</v>
      </c>
      <c r="D12717" t="s">
        <v>11</v>
      </c>
      <c r="E12717" t="s">
        <v>12</v>
      </c>
      <c r="F12717">
        <v>168006324</v>
      </c>
      <c r="G12717">
        <v>168006400</v>
      </c>
      <c r="H12717">
        <v>168006591</v>
      </c>
      <c r="I12717">
        <v>168006638</v>
      </c>
    </row>
    <row r="12718" spans="1:9" x14ac:dyDescent="0.2">
      <c r="A12718" s="1" t="str">
        <f>"PANK4"</f>
        <v>PANK4</v>
      </c>
      <c r="B12718" t="s">
        <v>14</v>
      </c>
      <c r="C12718" t="s">
        <v>19</v>
      </c>
      <c r="D12718" t="s">
        <v>11</v>
      </c>
      <c r="E12718" t="s">
        <v>12</v>
      </c>
      <c r="F12718">
        <v>2458026</v>
      </c>
      <c r="G12718">
        <v>2458056</v>
      </c>
      <c r="H12718">
        <v>2457595</v>
      </c>
      <c r="I12718">
        <v>2457637</v>
      </c>
    </row>
    <row r="12719" spans="1:9" x14ac:dyDescent="0.2">
      <c r="A12719" s="1" t="str">
        <f>"PANX1"</f>
        <v>PANX1</v>
      </c>
      <c r="B12719" t="s">
        <v>14</v>
      </c>
      <c r="C12719" t="s">
        <v>27</v>
      </c>
      <c r="D12719" t="s">
        <v>17</v>
      </c>
      <c r="E12719" t="s">
        <v>12</v>
      </c>
      <c r="F12719">
        <v>93861993</v>
      </c>
      <c r="G12719">
        <v>93862102</v>
      </c>
      <c r="H12719">
        <v>93862245</v>
      </c>
      <c r="I12719">
        <v>93862344</v>
      </c>
    </row>
    <row r="12720" spans="1:9" x14ac:dyDescent="0.2">
      <c r="A12720" s="1" t="str">
        <f>"PANX2"</f>
        <v>PANX2</v>
      </c>
      <c r="B12720" t="s">
        <v>14</v>
      </c>
      <c r="C12720" t="s">
        <v>21</v>
      </c>
      <c r="D12720" t="s">
        <v>17</v>
      </c>
      <c r="E12720" t="s">
        <v>12</v>
      </c>
      <c r="F12720">
        <v>50608676</v>
      </c>
      <c r="G12720">
        <v>50608726</v>
      </c>
      <c r="H12720">
        <v>50608676</v>
      </c>
      <c r="I12720">
        <v>50608726</v>
      </c>
    </row>
    <row r="12721" spans="1:9" x14ac:dyDescent="0.2">
      <c r="A12721" s="1" t="str">
        <f>"PANX3"</f>
        <v>PANX3</v>
      </c>
      <c r="B12721" t="s">
        <v>14</v>
      </c>
      <c r="C12721" t="s">
        <v>27</v>
      </c>
      <c r="D12721" t="s">
        <v>17</v>
      </c>
      <c r="E12721" t="s">
        <v>12</v>
      </c>
      <c r="F12721">
        <v>124481316</v>
      </c>
      <c r="G12721">
        <v>124481334</v>
      </c>
      <c r="H12721">
        <v>124481361</v>
      </c>
      <c r="I12721">
        <v>124481366</v>
      </c>
    </row>
    <row r="12722" spans="1:9" x14ac:dyDescent="0.2">
      <c r="A12722" s="1" t="str">
        <f>"PAOX"</f>
        <v>PAOX</v>
      </c>
      <c r="B12722" t="s">
        <v>14</v>
      </c>
      <c r="C12722" t="s">
        <v>15</v>
      </c>
      <c r="D12722" t="s">
        <v>17</v>
      </c>
      <c r="E12722" t="s">
        <v>12</v>
      </c>
      <c r="F12722">
        <v>135192740</v>
      </c>
      <c r="G12722">
        <v>135192780</v>
      </c>
      <c r="H12722">
        <v>135192782</v>
      </c>
      <c r="I12722">
        <v>135192805</v>
      </c>
    </row>
    <row r="12723" spans="1:9" x14ac:dyDescent="0.2">
      <c r="A12723" s="1" t="str">
        <f>"PAPD4"</f>
        <v>PAPD4</v>
      </c>
      <c r="B12723" t="s">
        <v>14</v>
      </c>
      <c r="C12723" t="s">
        <v>46</v>
      </c>
      <c r="D12723" t="s">
        <v>17</v>
      </c>
      <c r="E12723" t="s">
        <v>12</v>
      </c>
      <c r="F12723">
        <v>78908233</v>
      </c>
      <c r="G12723">
        <v>78908316</v>
      </c>
      <c r="H12723">
        <v>78908388</v>
      </c>
      <c r="I12723">
        <v>78908406</v>
      </c>
    </row>
    <row r="12724" spans="1:9" x14ac:dyDescent="0.2">
      <c r="A12724" s="1" t="str">
        <f>"PAPD5"</f>
        <v>PAPD5</v>
      </c>
      <c r="B12724" t="s">
        <v>14</v>
      </c>
      <c r="C12724" t="s">
        <v>31</v>
      </c>
      <c r="D12724" t="s">
        <v>17</v>
      </c>
      <c r="E12724" t="s">
        <v>12</v>
      </c>
      <c r="F12724">
        <v>50186811</v>
      </c>
      <c r="G12724">
        <v>50186850</v>
      </c>
      <c r="H12724">
        <v>50186811</v>
      </c>
      <c r="I12724">
        <v>50186850</v>
      </c>
    </row>
    <row r="12725" spans="1:9" x14ac:dyDescent="0.2">
      <c r="A12725" s="1" t="str">
        <f>"PAPD7"</f>
        <v>PAPD7</v>
      </c>
      <c r="B12725" t="s">
        <v>1307</v>
      </c>
      <c r="C12725" t="s">
        <v>46</v>
      </c>
      <c r="D12725" t="s">
        <v>17</v>
      </c>
      <c r="E12725" t="s">
        <v>35</v>
      </c>
      <c r="F12725">
        <v>6714538</v>
      </c>
      <c r="G12725">
        <v>6714540</v>
      </c>
      <c r="H12725">
        <v>6714538</v>
      </c>
      <c r="I12725">
        <v>6714540</v>
      </c>
    </row>
    <row r="12726" spans="1:9" x14ac:dyDescent="0.2">
      <c r="A12726" s="1" t="str">
        <f>"PAPLN"</f>
        <v>PAPLN</v>
      </c>
      <c r="B12726" t="s">
        <v>9</v>
      </c>
      <c r="C12726" t="s">
        <v>41</v>
      </c>
      <c r="D12726" t="s">
        <v>17</v>
      </c>
      <c r="E12726" t="s">
        <v>12</v>
      </c>
      <c r="F12726">
        <v>73704201</v>
      </c>
      <c r="G12726">
        <v>73704277</v>
      </c>
      <c r="H12726">
        <v>73704201</v>
      </c>
      <c r="I12726">
        <v>73704277</v>
      </c>
    </row>
    <row r="12727" spans="1:9" x14ac:dyDescent="0.2">
      <c r="A12727" s="1" t="str">
        <f>"PAPLN"</f>
        <v>PAPLN</v>
      </c>
      <c r="B12727" t="s">
        <v>13</v>
      </c>
      <c r="C12727" t="s">
        <v>41</v>
      </c>
      <c r="D12727" t="s">
        <v>17</v>
      </c>
      <c r="E12727" t="s">
        <v>12</v>
      </c>
      <c r="F12727">
        <v>73706308</v>
      </c>
      <c r="G12727">
        <v>73706331</v>
      </c>
      <c r="H12727">
        <v>73706308</v>
      </c>
      <c r="I12727">
        <v>73706331</v>
      </c>
    </row>
    <row r="12728" spans="1:9" x14ac:dyDescent="0.2">
      <c r="A12728" s="1" t="str">
        <f>"PAPOLA"</f>
        <v>PAPOLA</v>
      </c>
      <c r="B12728" t="s">
        <v>14</v>
      </c>
      <c r="C12728" t="s">
        <v>41</v>
      </c>
      <c r="D12728" t="s">
        <v>17</v>
      </c>
      <c r="E12728" t="s">
        <v>12</v>
      </c>
      <c r="F12728">
        <v>96968707</v>
      </c>
      <c r="G12728">
        <v>96968788</v>
      </c>
      <c r="H12728">
        <v>96968802</v>
      </c>
      <c r="I12728">
        <v>96968817</v>
      </c>
    </row>
    <row r="12729" spans="1:9" x14ac:dyDescent="0.2">
      <c r="A12729" s="1" t="str">
        <f>"PAPOLB"</f>
        <v>PAPOLB</v>
      </c>
      <c r="B12729" t="s">
        <v>14</v>
      </c>
      <c r="C12729" t="s">
        <v>33</v>
      </c>
      <c r="D12729" t="s">
        <v>11</v>
      </c>
      <c r="E12729" t="s">
        <v>12</v>
      </c>
      <c r="F12729">
        <v>4901635</v>
      </c>
      <c r="G12729">
        <v>4901666</v>
      </c>
      <c r="H12729">
        <v>4901268</v>
      </c>
      <c r="I12729">
        <v>4901281</v>
      </c>
    </row>
    <row r="12730" spans="1:9" x14ac:dyDescent="0.2">
      <c r="A12730" s="1" t="str">
        <f>"PAPOLG"</f>
        <v>PAPOLG</v>
      </c>
      <c r="B12730" t="s">
        <v>14</v>
      </c>
      <c r="C12730" t="s">
        <v>26</v>
      </c>
      <c r="D12730" t="s">
        <v>17</v>
      </c>
      <c r="E12730" t="s">
        <v>12</v>
      </c>
      <c r="F12730">
        <v>60983361</v>
      </c>
      <c r="G12730">
        <v>60983418</v>
      </c>
      <c r="H12730">
        <v>60983451</v>
      </c>
      <c r="I12730">
        <v>60983466</v>
      </c>
    </row>
    <row r="12731" spans="1:9" x14ac:dyDescent="0.2">
      <c r="A12731" s="1" t="str">
        <f>"PAPPA"</f>
        <v>PAPPA</v>
      </c>
      <c r="B12731" t="s">
        <v>14</v>
      </c>
      <c r="C12731" t="s">
        <v>24</v>
      </c>
      <c r="D12731" t="s">
        <v>17</v>
      </c>
      <c r="E12731" t="s">
        <v>12</v>
      </c>
      <c r="F12731">
        <v>118916082</v>
      </c>
      <c r="G12731">
        <v>118916108</v>
      </c>
      <c r="H12731">
        <v>118916063</v>
      </c>
      <c r="I12731">
        <v>118916077</v>
      </c>
    </row>
    <row r="12732" spans="1:9" x14ac:dyDescent="0.2">
      <c r="A12732" s="1" t="str">
        <f>"PAPPA2"</f>
        <v>PAPPA2</v>
      </c>
      <c r="B12732" t="s">
        <v>14</v>
      </c>
      <c r="C12732" t="s">
        <v>19</v>
      </c>
      <c r="D12732" t="s">
        <v>17</v>
      </c>
      <c r="E12732" t="s">
        <v>12</v>
      </c>
      <c r="F12732">
        <v>176432298</v>
      </c>
      <c r="G12732">
        <v>176432319</v>
      </c>
      <c r="H12732">
        <v>176432298</v>
      </c>
      <c r="I12732">
        <v>176432319</v>
      </c>
    </row>
    <row r="12733" spans="1:9" x14ac:dyDescent="0.2">
      <c r="A12733" s="1" t="str">
        <f>"PAPSS1"</f>
        <v>PAPSS1</v>
      </c>
      <c r="B12733" t="s">
        <v>14</v>
      </c>
      <c r="C12733" t="s">
        <v>23</v>
      </c>
      <c r="D12733" t="s">
        <v>11</v>
      </c>
      <c r="E12733" t="s">
        <v>12</v>
      </c>
      <c r="F12733">
        <v>108641345</v>
      </c>
      <c r="G12733">
        <v>108641431</v>
      </c>
      <c r="H12733">
        <v>108641066</v>
      </c>
      <c r="I12733">
        <v>108641110</v>
      </c>
    </row>
    <row r="12734" spans="1:9" x14ac:dyDescent="0.2">
      <c r="A12734" s="1" t="str">
        <f>"PAPSS2"</f>
        <v>PAPSS2</v>
      </c>
      <c r="B12734" t="s">
        <v>14</v>
      </c>
      <c r="C12734" t="s">
        <v>15</v>
      </c>
      <c r="D12734" t="s">
        <v>17</v>
      </c>
      <c r="E12734" t="s">
        <v>12</v>
      </c>
      <c r="F12734">
        <v>89419595</v>
      </c>
      <c r="G12734">
        <v>89419643</v>
      </c>
      <c r="H12734">
        <v>89419667</v>
      </c>
      <c r="I12734">
        <v>89419678</v>
      </c>
    </row>
    <row r="12735" spans="1:9" x14ac:dyDescent="0.2">
      <c r="A12735" s="1" t="str">
        <f>"PAQR3"</f>
        <v>PAQR3</v>
      </c>
      <c r="B12735" t="s">
        <v>14</v>
      </c>
      <c r="C12735" t="s">
        <v>23</v>
      </c>
      <c r="D12735" t="s">
        <v>11</v>
      </c>
      <c r="E12735" t="s">
        <v>12</v>
      </c>
      <c r="F12735">
        <v>79860506</v>
      </c>
      <c r="G12735">
        <v>79860600</v>
      </c>
      <c r="H12735">
        <v>79860365</v>
      </c>
      <c r="I12735">
        <v>79860389</v>
      </c>
    </row>
    <row r="12736" spans="1:9" x14ac:dyDescent="0.2">
      <c r="A12736" s="1" t="str">
        <f>"PAQR4"</f>
        <v>PAQR4</v>
      </c>
      <c r="B12736" t="s">
        <v>14</v>
      </c>
      <c r="C12736" t="s">
        <v>31</v>
      </c>
      <c r="D12736" t="s">
        <v>17</v>
      </c>
      <c r="E12736" t="s">
        <v>12</v>
      </c>
      <c r="F12736">
        <v>3019309</v>
      </c>
      <c r="G12736">
        <v>3019356</v>
      </c>
      <c r="H12736">
        <v>3019291</v>
      </c>
      <c r="I12736">
        <v>3019304</v>
      </c>
    </row>
    <row r="12737" spans="1:9" x14ac:dyDescent="0.2">
      <c r="A12737" s="1" t="str">
        <f>"PAQR5"</f>
        <v>PAQR5</v>
      </c>
      <c r="B12737" t="s">
        <v>14</v>
      </c>
      <c r="C12737" t="s">
        <v>25</v>
      </c>
      <c r="D12737" t="s">
        <v>17</v>
      </c>
      <c r="E12737" t="s">
        <v>12</v>
      </c>
      <c r="F12737">
        <v>69591235</v>
      </c>
      <c r="G12737">
        <v>69591299</v>
      </c>
      <c r="H12737">
        <v>69591304</v>
      </c>
      <c r="I12737">
        <v>69591307</v>
      </c>
    </row>
    <row r="12738" spans="1:9" x14ac:dyDescent="0.2">
      <c r="A12738" s="1" t="str">
        <f>"PAQR6"</f>
        <v>PAQR6</v>
      </c>
      <c r="B12738" t="s">
        <v>14</v>
      </c>
      <c r="C12738" t="s">
        <v>19</v>
      </c>
      <c r="D12738" t="s">
        <v>11</v>
      </c>
      <c r="E12738" t="s">
        <v>12</v>
      </c>
      <c r="F12738">
        <v>156217831</v>
      </c>
      <c r="G12738">
        <v>156217867</v>
      </c>
      <c r="H12738">
        <v>156217805</v>
      </c>
      <c r="I12738">
        <v>156217817</v>
      </c>
    </row>
    <row r="12739" spans="1:9" x14ac:dyDescent="0.2">
      <c r="A12739" s="1" t="str">
        <f>"PAQR7"</f>
        <v>PAQR7</v>
      </c>
      <c r="B12739" t="s">
        <v>14</v>
      </c>
      <c r="C12739" t="s">
        <v>19</v>
      </c>
      <c r="D12739" t="s">
        <v>11</v>
      </c>
      <c r="E12739" t="s">
        <v>12</v>
      </c>
      <c r="F12739">
        <v>26189996</v>
      </c>
      <c r="G12739">
        <v>26190033</v>
      </c>
      <c r="H12739">
        <v>26190180</v>
      </c>
      <c r="I12739">
        <v>26190227</v>
      </c>
    </row>
    <row r="12740" spans="1:9" x14ac:dyDescent="0.2">
      <c r="A12740" s="1" t="str">
        <f>"PAQR8"</f>
        <v>PAQR8</v>
      </c>
      <c r="B12740" t="s">
        <v>14</v>
      </c>
      <c r="C12740" t="s">
        <v>32</v>
      </c>
      <c r="D12740" t="s">
        <v>17</v>
      </c>
      <c r="E12740" t="s">
        <v>12</v>
      </c>
      <c r="F12740">
        <v>52226897</v>
      </c>
      <c r="G12740">
        <v>52226969</v>
      </c>
      <c r="H12740">
        <v>52226874</v>
      </c>
      <c r="I12740">
        <v>52226879</v>
      </c>
    </row>
    <row r="12741" spans="1:9" x14ac:dyDescent="0.2">
      <c r="A12741" s="1" t="str">
        <f>"PAQR9"</f>
        <v>PAQR9</v>
      </c>
      <c r="B12741" t="s">
        <v>14</v>
      </c>
      <c r="C12741" t="s">
        <v>22</v>
      </c>
      <c r="D12741" t="s">
        <v>11</v>
      </c>
      <c r="E12741" t="s">
        <v>12</v>
      </c>
      <c r="F12741">
        <v>142682429</v>
      </c>
      <c r="G12741">
        <v>142682473</v>
      </c>
      <c r="H12741">
        <v>142682429</v>
      </c>
      <c r="I12741">
        <v>142682473</v>
      </c>
    </row>
    <row r="12742" spans="1:9" x14ac:dyDescent="0.2">
      <c r="A12742" s="1" t="str">
        <f>"PARD3"</f>
        <v>PARD3</v>
      </c>
      <c r="B12742" t="s">
        <v>14</v>
      </c>
      <c r="C12742" t="s">
        <v>15</v>
      </c>
      <c r="D12742" t="s">
        <v>11</v>
      </c>
      <c r="E12742" t="s">
        <v>12</v>
      </c>
      <c r="F12742">
        <v>35104185</v>
      </c>
      <c r="G12742">
        <v>35104267</v>
      </c>
      <c r="H12742">
        <v>35104315</v>
      </c>
      <c r="I12742">
        <v>35104366</v>
      </c>
    </row>
    <row r="12743" spans="1:9" x14ac:dyDescent="0.2">
      <c r="A12743" s="1" t="str">
        <f>"PARD3B"</f>
        <v>PARD3B</v>
      </c>
      <c r="B12743" t="s">
        <v>14</v>
      </c>
      <c r="C12743" t="s">
        <v>26</v>
      </c>
      <c r="D12743" t="s">
        <v>17</v>
      </c>
      <c r="E12743" t="s">
        <v>12</v>
      </c>
      <c r="F12743">
        <v>205410219</v>
      </c>
      <c r="G12743">
        <v>205410268</v>
      </c>
      <c r="H12743">
        <v>205410219</v>
      </c>
      <c r="I12743">
        <v>205410268</v>
      </c>
    </row>
    <row r="12744" spans="1:9" x14ac:dyDescent="0.2">
      <c r="A12744" s="1" t="str">
        <f>"PARD6A"</f>
        <v>PARD6A</v>
      </c>
      <c r="B12744" t="s">
        <v>14</v>
      </c>
      <c r="C12744" t="s">
        <v>31</v>
      </c>
      <c r="D12744" t="s">
        <v>17</v>
      </c>
      <c r="E12744" t="s">
        <v>12</v>
      </c>
      <c r="F12744">
        <v>67694849</v>
      </c>
      <c r="G12744">
        <v>67694894</v>
      </c>
      <c r="H12744">
        <v>67694819</v>
      </c>
      <c r="I12744">
        <v>67694845</v>
      </c>
    </row>
    <row r="12745" spans="1:9" x14ac:dyDescent="0.2">
      <c r="A12745" s="1" t="str">
        <f>"PARD6B"</f>
        <v>PARD6B</v>
      </c>
      <c r="B12745" t="s">
        <v>14</v>
      </c>
      <c r="C12745" t="s">
        <v>29</v>
      </c>
      <c r="D12745" t="s">
        <v>17</v>
      </c>
      <c r="E12745" t="s">
        <v>12</v>
      </c>
      <c r="F12745">
        <v>49348109</v>
      </c>
      <c r="G12745">
        <v>49348123</v>
      </c>
      <c r="H12745">
        <v>49348020</v>
      </c>
      <c r="I12745">
        <v>49348069</v>
      </c>
    </row>
    <row r="12746" spans="1:9" x14ac:dyDescent="0.2">
      <c r="A12746" s="1" t="str">
        <f>"PARD6G"</f>
        <v>PARD6G</v>
      </c>
      <c r="B12746" t="s">
        <v>14</v>
      </c>
      <c r="C12746" t="s">
        <v>43</v>
      </c>
      <c r="D12746" t="s">
        <v>11</v>
      </c>
      <c r="E12746" t="s">
        <v>12</v>
      </c>
      <c r="F12746">
        <v>78005362</v>
      </c>
      <c r="G12746">
        <v>78005435</v>
      </c>
      <c r="H12746">
        <v>78005356</v>
      </c>
      <c r="I12746">
        <v>78005359</v>
      </c>
    </row>
    <row r="12747" spans="1:9" x14ac:dyDescent="0.2">
      <c r="A12747" s="1" t="str">
        <f>"PARG"</f>
        <v>PARG</v>
      </c>
      <c r="B12747" t="s">
        <v>1308</v>
      </c>
      <c r="C12747" t="s">
        <v>15</v>
      </c>
      <c r="D12747" t="s">
        <v>11</v>
      </c>
      <c r="E12747" t="s">
        <v>20</v>
      </c>
      <c r="F12747">
        <v>51130714</v>
      </c>
      <c r="G12747">
        <v>51130714</v>
      </c>
      <c r="H12747">
        <v>51130714</v>
      </c>
      <c r="I12747">
        <v>51130714</v>
      </c>
    </row>
    <row r="12748" spans="1:9" x14ac:dyDescent="0.2">
      <c r="A12748" s="1" t="str">
        <f>"PARK2"</f>
        <v>PARK2</v>
      </c>
      <c r="B12748" t="s">
        <v>14</v>
      </c>
      <c r="C12748" t="s">
        <v>32</v>
      </c>
      <c r="D12748" t="s">
        <v>11</v>
      </c>
      <c r="E12748" t="s">
        <v>12</v>
      </c>
      <c r="F12748">
        <v>163148780</v>
      </c>
      <c r="G12748">
        <v>163148813</v>
      </c>
      <c r="H12748">
        <v>163148760</v>
      </c>
      <c r="I12748">
        <v>163148773</v>
      </c>
    </row>
    <row r="12749" spans="1:9" x14ac:dyDescent="0.2">
      <c r="A12749" s="1" t="str">
        <f>"PARK7"</f>
        <v>PARK7</v>
      </c>
      <c r="B12749" t="s">
        <v>14</v>
      </c>
      <c r="C12749" t="s">
        <v>19</v>
      </c>
      <c r="D12749" t="s">
        <v>17</v>
      </c>
      <c r="E12749" t="s">
        <v>12</v>
      </c>
      <c r="F12749">
        <v>8021713</v>
      </c>
      <c r="G12749">
        <v>8021788</v>
      </c>
      <c r="H12749">
        <v>8021967</v>
      </c>
      <c r="I12749">
        <v>8022038</v>
      </c>
    </row>
    <row r="12750" spans="1:9" x14ac:dyDescent="0.2">
      <c r="A12750" s="1" t="str">
        <f>"PARL"</f>
        <v>PARL</v>
      </c>
      <c r="B12750" t="s">
        <v>14</v>
      </c>
      <c r="C12750" t="s">
        <v>22</v>
      </c>
      <c r="D12750" t="s">
        <v>11</v>
      </c>
      <c r="E12750" t="s">
        <v>12</v>
      </c>
      <c r="F12750">
        <v>183602632</v>
      </c>
      <c r="G12750">
        <v>183602697</v>
      </c>
      <c r="H12750">
        <v>183602632</v>
      </c>
      <c r="I12750">
        <v>183602697</v>
      </c>
    </row>
    <row r="12751" spans="1:9" x14ac:dyDescent="0.2">
      <c r="A12751" s="1" t="str">
        <f>"PARM1"</f>
        <v>PARM1</v>
      </c>
      <c r="B12751" t="s">
        <v>14</v>
      </c>
      <c r="C12751" t="s">
        <v>23</v>
      </c>
      <c r="D12751" t="s">
        <v>17</v>
      </c>
      <c r="E12751" t="s">
        <v>12</v>
      </c>
      <c r="F12751">
        <v>75858318</v>
      </c>
      <c r="G12751">
        <v>75858339</v>
      </c>
      <c r="H12751">
        <v>75858349</v>
      </c>
      <c r="I12751">
        <v>75858360</v>
      </c>
    </row>
    <row r="12752" spans="1:9" x14ac:dyDescent="0.2">
      <c r="A12752" s="1" t="str">
        <f>"PARN"</f>
        <v>PARN</v>
      </c>
      <c r="B12752" t="s">
        <v>14</v>
      </c>
      <c r="C12752" t="s">
        <v>31</v>
      </c>
      <c r="D12752" t="s">
        <v>11</v>
      </c>
      <c r="E12752" t="s">
        <v>12</v>
      </c>
      <c r="F12752">
        <v>14724057</v>
      </c>
      <c r="G12752">
        <v>14724130</v>
      </c>
      <c r="H12752">
        <v>14724131</v>
      </c>
      <c r="I12752">
        <v>14724142</v>
      </c>
    </row>
    <row r="12753" spans="1:9" x14ac:dyDescent="0.2">
      <c r="A12753" s="1" t="str">
        <f>"PARP1"</f>
        <v>PARP1</v>
      </c>
      <c r="B12753" t="s">
        <v>14</v>
      </c>
      <c r="C12753" t="s">
        <v>19</v>
      </c>
      <c r="D12753" t="s">
        <v>11</v>
      </c>
      <c r="E12753" t="s">
        <v>12</v>
      </c>
      <c r="F12753">
        <v>226595741</v>
      </c>
      <c r="G12753">
        <v>226595818</v>
      </c>
      <c r="H12753">
        <v>226595726</v>
      </c>
      <c r="I12753">
        <v>226595737</v>
      </c>
    </row>
    <row r="12754" spans="1:9" x14ac:dyDescent="0.2">
      <c r="A12754" s="1" t="str">
        <f>"PARP10"</f>
        <v>PARP10</v>
      </c>
      <c r="B12754" t="s">
        <v>14</v>
      </c>
      <c r="C12754" t="s">
        <v>30</v>
      </c>
      <c r="D12754" t="s">
        <v>11</v>
      </c>
      <c r="E12754" t="s">
        <v>12</v>
      </c>
      <c r="F12754">
        <v>145060593</v>
      </c>
      <c r="G12754">
        <v>145060634</v>
      </c>
      <c r="H12754">
        <v>145060559</v>
      </c>
      <c r="I12754">
        <v>145060592</v>
      </c>
    </row>
    <row r="12755" spans="1:9" x14ac:dyDescent="0.2">
      <c r="A12755" s="1" t="str">
        <f>"PARP11"</f>
        <v>PARP11</v>
      </c>
      <c r="B12755" t="s">
        <v>14</v>
      </c>
      <c r="C12755" t="s">
        <v>16</v>
      </c>
      <c r="D12755" t="s">
        <v>11</v>
      </c>
      <c r="E12755" t="s">
        <v>12</v>
      </c>
      <c r="F12755">
        <v>3982511</v>
      </c>
      <c r="G12755">
        <v>3982542</v>
      </c>
      <c r="H12755">
        <v>3982548</v>
      </c>
      <c r="I12755">
        <v>3982575</v>
      </c>
    </row>
    <row r="12756" spans="1:9" x14ac:dyDescent="0.2">
      <c r="A12756" s="1" t="str">
        <f>"PARP12"</f>
        <v>PARP12</v>
      </c>
      <c r="B12756" t="s">
        <v>14</v>
      </c>
      <c r="C12756" t="s">
        <v>33</v>
      </c>
      <c r="D12756" t="s">
        <v>11</v>
      </c>
      <c r="E12756" t="s">
        <v>12</v>
      </c>
      <c r="F12756">
        <v>139762641</v>
      </c>
      <c r="G12756">
        <v>139762768</v>
      </c>
      <c r="H12756">
        <v>139762578</v>
      </c>
      <c r="I12756">
        <v>139762589</v>
      </c>
    </row>
    <row r="12757" spans="1:9" x14ac:dyDescent="0.2">
      <c r="A12757" s="1" t="str">
        <f>"PARP14"</f>
        <v>PARP14</v>
      </c>
      <c r="B12757" t="s">
        <v>14</v>
      </c>
      <c r="C12757" t="s">
        <v>22</v>
      </c>
      <c r="D12757" t="s">
        <v>17</v>
      </c>
      <c r="E12757" t="s">
        <v>12</v>
      </c>
      <c r="F12757">
        <v>122399656</v>
      </c>
      <c r="G12757">
        <v>122399694</v>
      </c>
      <c r="H12757">
        <v>122399697</v>
      </c>
      <c r="I12757">
        <v>122399719</v>
      </c>
    </row>
    <row r="12758" spans="1:9" x14ac:dyDescent="0.2">
      <c r="A12758" s="1" t="str">
        <f>"PARP15"</f>
        <v>PARP15</v>
      </c>
      <c r="B12758" t="s">
        <v>14</v>
      </c>
      <c r="C12758" t="s">
        <v>22</v>
      </c>
      <c r="D12758" t="s">
        <v>17</v>
      </c>
      <c r="E12758" t="s">
        <v>12</v>
      </c>
      <c r="F12758">
        <v>122296477</v>
      </c>
      <c r="G12758">
        <v>122296503</v>
      </c>
      <c r="H12758">
        <v>122296465</v>
      </c>
      <c r="I12758">
        <v>122296476</v>
      </c>
    </row>
    <row r="12759" spans="1:9" x14ac:dyDescent="0.2">
      <c r="A12759" s="1" t="str">
        <f>"PARP16"</f>
        <v>PARP16</v>
      </c>
      <c r="B12759" t="s">
        <v>9</v>
      </c>
      <c r="C12759" t="s">
        <v>25</v>
      </c>
      <c r="D12759" t="s">
        <v>11</v>
      </c>
      <c r="E12759" t="s">
        <v>12</v>
      </c>
      <c r="F12759">
        <v>65579177</v>
      </c>
      <c r="G12759">
        <v>65579253</v>
      </c>
      <c r="H12759">
        <v>65579177</v>
      </c>
      <c r="I12759">
        <v>65579253</v>
      </c>
    </row>
    <row r="12760" spans="1:9" x14ac:dyDescent="0.2">
      <c r="A12760" s="1" t="str">
        <f>"PARP16"</f>
        <v>PARP16</v>
      </c>
      <c r="B12760" t="s">
        <v>13</v>
      </c>
      <c r="C12760" t="s">
        <v>25</v>
      </c>
      <c r="D12760" t="s">
        <v>11</v>
      </c>
      <c r="E12760" t="s">
        <v>12</v>
      </c>
      <c r="F12760">
        <v>65592968</v>
      </c>
      <c r="G12760">
        <v>65592974</v>
      </c>
      <c r="H12760">
        <v>65592968</v>
      </c>
      <c r="I12760">
        <v>65592974</v>
      </c>
    </row>
    <row r="12761" spans="1:9" x14ac:dyDescent="0.2">
      <c r="A12761" s="1" t="str">
        <f>"PARP2"</f>
        <v>PARP2</v>
      </c>
      <c r="B12761" t="s">
        <v>14</v>
      </c>
      <c r="C12761" t="s">
        <v>41</v>
      </c>
      <c r="D12761" t="s">
        <v>17</v>
      </c>
      <c r="E12761" t="s">
        <v>12</v>
      </c>
      <c r="F12761">
        <v>20811766</v>
      </c>
      <c r="G12761">
        <v>20811801</v>
      </c>
      <c r="H12761">
        <v>20811766</v>
      </c>
      <c r="I12761">
        <v>20811801</v>
      </c>
    </row>
    <row r="12762" spans="1:9" x14ac:dyDescent="0.2">
      <c r="A12762" s="1" t="str">
        <f>"PARP3"</f>
        <v>PARP3</v>
      </c>
      <c r="B12762" t="s">
        <v>14</v>
      </c>
      <c r="C12762" t="s">
        <v>22</v>
      </c>
      <c r="D12762" t="s">
        <v>17</v>
      </c>
      <c r="E12762" t="s">
        <v>12</v>
      </c>
      <c r="F12762">
        <v>51976338</v>
      </c>
      <c r="G12762">
        <v>51976429</v>
      </c>
      <c r="H12762">
        <v>51976988</v>
      </c>
      <c r="I12762">
        <v>51977042</v>
      </c>
    </row>
    <row r="12763" spans="1:9" x14ac:dyDescent="0.2">
      <c r="A12763" s="1" t="str">
        <f>"PARP4"</f>
        <v>PARP4</v>
      </c>
      <c r="B12763" t="s">
        <v>14</v>
      </c>
      <c r="C12763" t="s">
        <v>39</v>
      </c>
      <c r="D12763" t="s">
        <v>11</v>
      </c>
      <c r="E12763" t="s">
        <v>12</v>
      </c>
      <c r="F12763">
        <v>25086879</v>
      </c>
      <c r="G12763">
        <v>25086929</v>
      </c>
      <c r="H12763">
        <v>25086879</v>
      </c>
      <c r="I12763">
        <v>25086929</v>
      </c>
    </row>
    <row r="12764" spans="1:9" x14ac:dyDescent="0.2">
      <c r="A12764" s="1" t="str">
        <f>"PARP6"</f>
        <v>PARP6</v>
      </c>
      <c r="B12764" t="s">
        <v>14</v>
      </c>
      <c r="C12764" t="s">
        <v>25</v>
      </c>
      <c r="D12764" t="s">
        <v>11</v>
      </c>
      <c r="E12764" t="s">
        <v>12</v>
      </c>
      <c r="F12764">
        <v>72563514</v>
      </c>
      <c r="G12764">
        <v>72563535</v>
      </c>
      <c r="H12764">
        <v>72563585</v>
      </c>
      <c r="I12764">
        <v>72563593</v>
      </c>
    </row>
    <row r="12765" spans="1:9" x14ac:dyDescent="0.2">
      <c r="A12765" s="1" t="str">
        <f>"PARP8"</f>
        <v>PARP8</v>
      </c>
      <c r="B12765" t="s">
        <v>14</v>
      </c>
      <c r="C12765" t="s">
        <v>46</v>
      </c>
      <c r="D12765" t="s">
        <v>17</v>
      </c>
      <c r="E12765" t="s">
        <v>12</v>
      </c>
      <c r="F12765">
        <v>49962495</v>
      </c>
      <c r="G12765">
        <v>49962577</v>
      </c>
      <c r="H12765">
        <v>49962784</v>
      </c>
      <c r="I12765">
        <v>49962805</v>
      </c>
    </row>
    <row r="12766" spans="1:9" x14ac:dyDescent="0.2">
      <c r="A12766" s="1" t="str">
        <f>"PARP9"</f>
        <v>PARP9</v>
      </c>
      <c r="B12766" t="s">
        <v>14</v>
      </c>
      <c r="C12766" t="s">
        <v>22</v>
      </c>
      <c r="D12766" t="s">
        <v>11</v>
      </c>
      <c r="E12766" t="s">
        <v>12</v>
      </c>
      <c r="F12766">
        <v>122283100</v>
      </c>
      <c r="G12766">
        <v>122283153</v>
      </c>
      <c r="H12766">
        <v>122283079</v>
      </c>
      <c r="I12766">
        <v>122283095</v>
      </c>
    </row>
    <row r="12767" spans="1:9" x14ac:dyDescent="0.2">
      <c r="A12767" s="1" t="str">
        <f>"PARPBP"</f>
        <v>PARPBP</v>
      </c>
      <c r="B12767" t="s">
        <v>14</v>
      </c>
      <c r="C12767" t="s">
        <v>16</v>
      </c>
      <c r="D12767" t="s">
        <v>17</v>
      </c>
      <c r="E12767" t="s">
        <v>12</v>
      </c>
      <c r="F12767">
        <v>102513950</v>
      </c>
      <c r="G12767">
        <v>102513996</v>
      </c>
      <c r="H12767">
        <v>102513998</v>
      </c>
      <c r="I12767">
        <v>102514017</v>
      </c>
    </row>
    <row r="12768" spans="1:9" x14ac:dyDescent="0.2">
      <c r="A12768" s="1" t="str">
        <f>"PARS2"</f>
        <v>PARS2</v>
      </c>
      <c r="B12768" t="s">
        <v>14</v>
      </c>
      <c r="C12768" t="s">
        <v>19</v>
      </c>
      <c r="D12768" t="s">
        <v>11</v>
      </c>
      <c r="E12768" t="s">
        <v>12</v>
      </c>
      <c r="F12768">
        <v>55230165</v>
      </c>
      <c r="G12768">
        <v>55230222</v>
      </c>
      <c r="H12768">
        <v>55230158</v>
      </c>
      <c r="I12768">
        <v>55230163</v>
      </c>
    </row>
    <row r="12769" spans="1:9" x14ac:dyDescent="0.2">
      <c r="A12769" s="1" t="str">
        <f>"PARVA"</f>
        <v>PARVA</v>
      </c>
      <c r="B12769" t="s">
        <v>14</v>
      </c>
      <c r="C12769" t="s">
        <v>27</v>
      </c>
      <c r="D12769" t="s">
        <v>17</v>
      </c>
      <c r="E12769" t="s">
        <v>12</v>
      </c>
      <c r="F12769">
        <v>12399071</v>
      </c>
      <c r="G12769">
        <v>12399185</v>
      </c>
      <c r="H12769">
        <v>12399071</v>
      </c>
      <c r="I12769">
        <v>12399185</v>
      </c>
    </row>
    <row r="12770" spans="1:9" x14ac:dyDescent="0.2">
      <c r="A12770" s="1" t="str">
        <f>"PARVB"</f>
        <v>PARVB</v>
      </c>
      <c r="B12770" t="s">
        <v>14</v>
      </c>
      <c r="C12770" t="s">
        <v>21</v>
      </c>
      <c r="D12770" t="s">
        <v>17</v>
      </c>
      <c r="E12770" t="s">
        <v>12</v>
      </c>
      <c r="F12770">
        <v>44420149</v>
      </c>
      <c r="G12770">
        <v>44420193</v>
      </c>
      <c r="H12770">
        <v>44420203</v>
      </c>
      <c r="I12770">
        <v>44420214</v>
      </c>
    </row>
    <row r="12771" spans="1:9" x14ac:dyDescent="0.2">
      <c r="A12771" s="1" t="str">
        <f>"PARVG"</f>
        <v>PARVG</v>
      </c>
      <c r="B12771" t="s">
        <v>14</v>
      </c>
      <c r="C12771" t="s">
        <v>21</v>
      </c>
      <c r="D12771" t="s">
        <v>17</v>
      </c>
      <c r="E12771" t="s">
        <v>12</v>
      </c>
      <c r="F12771">
        <v>44577612</v>
      </c>
      <c r="G12771">
        <v>44577668</v>
      </c>
      <c r="H12771">
        <v>44577210</v>
      </c>
      <c r="I12771">
        <v>44577236</v>
      </c>
    </row>
    <row r="12772" spans="1:9" x14ac:dyDescent="0.2">
      <c r="A12772" s="1" t="str">
        <f>"PASD1"</f>
        <v>PASD1</v>
      </c>
      <c r="B12772" t="s">
        <v>14</v>
      </c>
      <c r="C12772" t="s">
        <v>37</v>
      </c>
      <c r="D12772" t="s">
        <v>17</v>
      </c>
      <c r="E12772" t="s">
        <v>12</v>
      </c>
      <c r="F12772">
        <v>150732134</v>
      </c>
      <c r="G12772">
        <v>150732184</v>
      </c>
      <c r="H12772">
        <v>150732190</v>
      </c>
      <c r="I12772">
        <v>150732207</v>
      </c>
    </row>
    <row r="12773" spans="1:9" x14ac:dyDescent="0.2">
      <c r="A12773" s="1" t="str">
        <f>"PASK"</f>
        <v>PASK</v>
      </c>
      <c r="B12773" t="s">
        <v>14</v>
      </c>
      <c r="C12773" t="s">
        <v>26</v>
      </c>
      <c r="D12773" t="s">
        <v>11</v>
      </c>
      <c r="E12773" t="s">
        <v>12</v>
      </c>
      <c r="F12773">
        <v>242088856</v>
      </c>
      <c r="G12773">
        <v>242088914</v>
      </c>
      <c r="H12773">
        <v>242088856</v>
      </c>
      <c r="I12773">
        <v>242088914</v>
      </c>
    </row>
    <row r="12774" spans="1:9" x14ac:dyDescent="0.2">
      <c r="A12774" s="1" t="str">
        <f>"PATE1"</f>
        <v>PATE1</v>
      </c>
      <c r="B12774" t="s">
        <v>14</v>
      </c>
      <c r="C12774" t="s">
        <v>27</v>
      </c>
      <c r="D12774" t="s">
        <v>17</v>
      </c>
      <c r="E12774" t="s">
        <v>12</v>
      </c>
      <c r="F12774">
        <v>125616155</v>
      </c>
      <c r="G12774">
        <v>125616181</v>
      </c>
      <c r="H12774">
        <v>125616184</v>
      </c>
      <c r="I12774">
        <v>125616201</v>
      </c>
    </row>
    <row r="12775" spans="1:9" x14ac:dyDescent="0.2">
      <c r="A12775" s="1" t="str">
        <f>"PATE2"</f>
        <v>PATE2</v>
      </c>
      <c r="B12775" t="s">
        <v>14</v>
      </c>
      <c r="C12775" t="s">
        <v>27</v>
      </c>
      <c r="D12775" t="s">
        <v>11</v>
      </c>
      <c r="E12775" t="s">
        <v>12</v>
      </c>
      <c r="F12775">
        <v>125648690</v>
      </c>
      <c r="G12775">
        <v>125648734</v>
      </c>
      <c r="H12775">
        <v>125648641</v>
      </c>
      <c r="I12775">
        <v>125648646</v>
      </c>
    </row>
    <row r="12776" spans="1:9" x14ac:dyDescent="0.2">
      <c r="A12776" s="1" t="str">
        <f>"PATE3"</f>
        <v>PATE3</v>
      </c>
      <c r="B12776" t="s">
        <v>14</v>
      </c>
      <c r="C12776" t="s">
        <v>27</v>
      </c>
      <c r="D12776" t="s">
        <v>17</v>
      </c>
      <c r="E12776" t="s">
        <v>12</v>
      </c>
      <c r="F12776">
        <v>125658009</v>
      </c>
      <c r="G12776">
        <v>125658027</v>
      </c>
      <c r="H12776">
        <v>125657963</v>
      </c>
      <c r="I12776">
        <v>125657969</v>
      </c>
    </row>
    <row r="12777" spans="1:9" x14ac:dyDescent="0.2">
      <c r="A12777" s="1" t="str">
        <f>"PATE4"</f>
        <v>PATE4</v>
      </c>
      <c r="B12777" t="s">
        <v>14</v>
      </c>
      <c r="C12777" t="s">
        <v>27</v>
      </c>
      <c r="D12777" t="s">
        <v>17</v>
      </c>
      <c r="E12777" t="s">
        <v>12</v>
      </c>
      <c r="F12777">
        <v>125703204</v>
      </c>
      <c r="G12777">
        <v>125703221</v>
      </c>
      <c r="H12777">
        <v>125703204</v>
      </c>
      <c r="I12777">
        <v>125703221</v>
      </c>
    </row>
    <row r="12778" spans="1:9" x14ac:dyDescent="0.2">
      <c r="A12778" s="1" t="str">
        <f>"PATL1"</f>
        <v>PATL1</v>
      </c>
      <c r="B12778" t="s">
        <v>14</v>
      </c>
      <c r="C12778" t="s">
        <v>27</v>
      </c>
      <c r="D12778" t="s">
        <v>11</v>
      </c>
      <c r="E12778" t="s">
        <v>12</v>
      </c>
      <c r="F12778">
        <v>59436453</v>
      </c>
      <c r="G12778">
        <v>59436530</v>
      </c>
      <c r="H12778">
        <v>59436609</v>
      </c>
      <c r="I12778">
        <v>59436650</v>
      </c>
    </row>
    <row r="12779" spans="1:9" x14ac:dyDescent="0.2">
      <c r="A12779" s="1" t="str">
        <f>"PATL2"</f>
        <v>PATL2</v>
      </c>
      <c r="B12779" t="s">
        <v>1309</v>
      </c>
      <c r="C12779" t="s">
        <v>25</v>
      </c>
      <c r="D12779" t="s">
        <v>11</v>
      </c>
      <c r="E12779" t="s">
        <v>35</v>
      </c>
      <c r="F12779">
        <v>44969086</v>
      </c>
      <c r="G12779">
        <v>44969121</v>
      </c>
      <c r="H12779">
        <v>44968963</v>
      </c>
      <c r="I12779">
        <v>44969000</v>
      </c>
    </row>
    <row r="12780" spans="1:9" x14ac:dyDescent="0.2">
      <c r="A12780" s="1" t="str">
        <f>"PATL2"</f>
        <v>PATL2</v>
      </c>
      <c r="B12780" t="s">
        <v>1310</v>
      </c>
      <c r="C12780" t="s">
        <v>25</v>
      </c>
      <c r="D12780" t="s">
        <v>11</v>
      </c>
      <c r="E12780" t="s">
        <v>20</v>
      </c>
      <c r="F12780">
        <v>44968747</v>
      </c>
      <c r="G12780">
        <v>44968747</v>
      </c>
      <c r="H12780">
        <v>44968747</v>
      </c>
      <c r="I12780">
        <v>44968747</v>
      </c>
    </row>
    <row r="12781" spans="1:9" x14ac:dyDescent="0.2">
      <c r="A12781" s="1" t="str">
        <f>"PATZ1"</f>
        <v>PATZ1</v>
      </c>
      <c r="B12781" t="s">
        <v>9</v>
      </c>
      <c r="C12781" t="s">
        <v>21</v>
      </c>
      <c r="D12781" t="s">
        <v>11</v>
      </c>
      <c r="E12781" t="s">
        <v>12</v>
      </c>
      <c r="F12781">
        <v>31742303</v>
      </c>
      <c r="G12781">
        <v>31742350</v>
      </c>
      <c r="H12781">
        <v>31742303</v>
      </c>
      <c r="I12781">
        <v>31742350</v>
      </c>
    </row>
    <row r="12782" spans="1:9" x14ac:dyDescent="0.2">
      <c r="A12782" s="1" t="str">
        <f>"PATZ1"</f>
        <v>PATZ1</v>
      </c>
      <c r="B12782" t="s">
        <v>13</v>
      </c>
      <c r="C12782" t="s">
        <v>21</v>
      </c>
      <c r="D12782" t="s">
        <v>11</v>
      </c>
      <c r="E12782" t="s">
        <v>12</v>
      </c>
      <c r="F12782">
        <v>31739291</v>
      </c>
      <c r="G12782">
        <v>31739311</v>
      </c>
      <c r="H12782">
        <v>31739291</v>
      </c>
      <c r="I12782">
        <v>31739311</v>
      </c>
    </row>
    <row r="12783" spans="1:9" x14ac:dyDescent="0.2">
      <c r="A12783" s="1" t="str">
        <f>"PAWR"</f>
        <v>PAWR</v>
      </c>
      <c r="B12783" t="s">
        <v>14</v>
      </c>
      <c r="C12783" t="s">
        <v>16</v>
      </c>
      <c r="D12783" t="s">
        <v>11</v>
      </c>
      <c r="E12783" t="s">
        <v>12</v>
      </c>
      <c r="F12783">
        <v>80084303</v>
      </c>
      <c r="G12783">
        <v>80084332</v>
      </c>
      <c r="H12783">
        <v>80084768</v>
      </c>
      <c r="I12783">
        <v>80084821</v>
      </c>
    </row>
    <row r="12784" spans="1:9" x14ac:dyDescent="0.2">
      <c r="A12784" s="1" t="str">
        <f>"PAX1"</f>
        <v>PAX1</v>
      </c>
      <c r="B12784" t="s">
        <v>14</v>
      </c>
      <c r="C12784" t="s">
        <v>29</v>
      </c>
      <c r="D12784" t="s">
        <v>17</v>
      </c>
      <c r="E12784" t="s">
        <v>12</v>
      </c>
      <c r="F12784">
        <v>21686317</v>
      </c>
      <c r="G12784">
        <v>21686350</v>
      </c>
      <c r="H12784">
        <v>21686290</v>
      </c>
      <c r="I12784">
        <v>21686311</v>
      </c>
    </row>
    <row r="12785" spans="1:9" x14ac:dyDescent="0.2">
      <c r="A12785" s="1" t="str">
        <f>"PAX2"</f>
        <v>PAX2</v>
      </c>
      <c r="B12785" t="s">
        <v>14</v>
      </c>
      <c r="C12785" t="s">
        <v>15</v>
      </c>
      <c r="D12785" t="s">
        <v>17</v>
      </c>
      <c r="E12785" t="s">
        <v>12</v>
      </c>
      <c r="F12785">
        <v>102505327</v>
      </c>
      <c r="G12785">
        <v>102505344</v>
      </c>
      <c r="H12785">
        <v>102505493</v>
      </c>
      <c r="I12785">
        <v>102505546</v>
      </c>
    </row>
    <row r="12786" spans="1:9" x14ac:dyDescent="0.2">
      <c r="A12786" s="1" t="str">
        <f>"PAX3"</f>
        <v>PAX3</v>
      </c>
      <c r="B12786" t="s">
        <v>14</v>
      </c>
      <c r="C12786" t="s">
        <v>26</v>
      </c>
      <c r="D12786" t="s">
        <v>11</v>
      </c>
      <c r="E12786" t="s">
        <v>12</v>
      </c>
      <c r="F12786">
        <v>223163706</v>
      </c>
      <c r="G12786">
        <v>223163730</v>
      </c>
      <c r="H12786">
        <v>223163706</v>
      </c>
      <c r="I12786">
        <v>223163730</v>
      </c>
    </row>
    <row r="12787" spans="1:9" x14ac:dyDescent="0.2">
      <c r="A12787" s="1" t="str">
        <f>"PAX4"</f>
        <v>PAX4</v>
      </c>
      <c r="B12787" t="s">
        <v>1311</v>
      </c>
      <c r="C12787" t="s">
        <v>33</v>
      </c>
      <c r="D12787" t="s">
        <v>11</v>
      </c>
      <c r="E12787" t="s">
        <v>20</v>
      </c>
      <c r="F12787">
        <v>127255779</v>
      </c>
      <c r="G12787">
        <v>127255779</v>
      </c>
      <c r="H12787">
        <v>127255779</v>
      </c>
      <c r="I12787">
        <v>127255779</v>
      </c>
    </row>
    <row r="12788" spans="1:9" x14ac:dyDescent="0.2">
      <c r="A12788" s="1" t="str">
        <f>"PAX5"</f>
        <v>PAX5</v>
      </c>
      <c r="B12788" t="s">
        <v>14</v>
      </c>
      <c r="C12788" t="s">
        <v>24</v>
      </c>
      <c r="D12788" t="s">
        <v>11</v>
      </c>
      <c r="E12788" t="s">
        <v>12</v>
      </c>
      <c r="F12788">
        <v>37034469</v>
      </c>
      <c r="G12788">
        <v>37034474</v>
      </c>
      <c r="H12788">
        <v>37034186</v>
      </c>
      <c r="I12788">
        <v>37034216</v>
      </c>
    </row>
    <row r="12789" spans="1:9" x14ac:dyDescent="0.2">
      <c r="A12789" s="1" t="str">
        <f>"PAX6"</f>
        <v>PAX6</v>
      </c>
      <c r="B12789" t="s">
        <v>14</v>
      </c>
      <c r="C12789" t="s">
        <v>27</v>
      </c>
      <c r="D12789" t="s">
        <v>11</v>
      </c>
      <c r="E12789" t="s">
        <v>12</v>
      </c>
      <c r="F12789">
        <v>31832658</v>
      </c>
      <c r="G12789">
        <v>31832681</v>
      </c>
      <c r="H12789">
        <v>31832862</v>
      </c>
      <c r="I12789">
        <v>31832884</v>
      </c>
    </row>
    <row r="12790" spans="1:9" x14ac:dyDescent="0.2">
      <c r="A12790" s="1" t="str">
        <f>"PAX7"</f>
        <v>PAX7</v>
      </c>
      <c r="B12790" t="s">
        <v>14</v>
      </c>
      <c r="C12790" t="s">
        <v>19</v>
      </c>
      <c r="D12790" t="s">
        <v>17</v>
      </c>
      <c r="E12790" t="s">
        <v>12</v>
      </c>
      <c r="F12790">
        <v>18957333</v>
      </c>
      <c r="G12790">
        <v>18957375</v>
      </c>
      <c r="H12790">
        <v>18958008</v>
      </c>
      <c r="I12790">
        <v>18958023</v>
      </c>
    </row>
    <row r="12791" spans="1:9" x14ac:dyDescent="0.2">
      <c r="A12791" s="1" t="str">
        <f>"PAX8"</f>
        <v>PAX8</v>
      </c>
      <c r="B12791" t="s">
        <v>14</v>
      </c>
      <c r="C12791" t="s">
        <v>26</v>
      </c>
      <c r="D12791" t="s">
        <v>11</v>
      </c>
      <c r="E12791" t="s">
        <v>12</v>
      </c>
      <c r="F12791">
        <v>114036488</v>
      </c>
      <c r="G12791">
        <v>114036504</v>
      </c>
      <c r="H12791">
        <v>114036488</v>
      </c>
      <c r="I12791">
        <v>114036504</v>
      </c>
    </row>
    <row r="12792" spans="1:9" x14ac:dyDescent="0.2">
      <c r="A12792" s="1" t="str">
        <f>"PAX9"</f>
        <v>PAX9</v>
      </c>
      <c r="B12792" t="s">
        <v>9</v>
      </c>
      <c r="C12792" t="s">
        <v>41</v>
      </c>
      <c r="D12792" t="s">
        <v>17</v>
      </c>
      <c r="E12792" t="s">
        <v>12</v>
      </c>
      <c r="F12792">
        <v>37131058</v>
      </c>
      <c r="G12792">
        <v>37131139</v>
      </c>
      <c r="H12792">
        <v>37131058</v>
      </c>
      <c r="I12792">
        <v>37131139</v>
      </c>
    </row>
    <row r="12793" spans="1:9" x14ac:dyDescent="0.2">
      <c r="A12793" s="1" t="str">
        <f>"PAX9"</f>
        <v>PAX9</v>
      </c>
      <c r="B12793" t="s">
        <v>13</v>
      </c>
      <c r="C12793" t="s">
        <v>41</v>
      </c>
      <c r="D12793" t="s">
        <v>17</v>
      </c>
      <c r="E12793" t="s">
        <v>12</v>
      </c>
      <c r="F12793">
        <v>37126765</v>
      </c>
      <c r="G12793">
        <v>37126799</v>
      </c>
      <c r="H12793">
        <v>37126765</v>
      </c>
      <c r="I12793">
        <v>37126799</v>
      </c>
    </row>
    <row r="12794" spans="1:9" x14ac:dyDescent="0.2">
      <c r="A12794" s="1" t="str">
        <f>"PAXBP1"</f>
        <v>PAXBP1</v>
      </c>
      <c r="B12794" t="s">
        <v>14</v>
      </c>
      <c r="C12794" t="s">
        <v>42</v>
      </c>
      <c r="D12794" t="s">
        <v>11</v>
      </c>
      <c r="E12794" t="s">
        <v>12</v>
      </c>
      <c r="F12794">
        <v>34144024</v>
      </c>
      <c r="G12794">
        <v>34144111</v>
      </c>
      <c r="H12794">
        <v>34144115</v>
      </c>
      <c r="I12794">
        <v>34144138</v>
      </c>
    </row>
    <row r="12795" spans="1:9" x14ac:dyDescent="0.2">
      <c r="A12795" s="1" t="str">
        <f>"PAXIP1"</f>
        <v>PAXIP1</v>
      </c>
      <c r="B12795" t="s">
        <v>14</v>
      </c>
      <c r="C12795" t="s">
        <v>33</v>
      </c>
      <c r="D12795" t="s">
        <v>11</v>
      </c>
      <c r="E12795" t="s">
        <v>12</v>
      </c>
      <c r="F12795">
        <v>154794646</v>
      </c>
      <c r="G12795">
        <v>154794686</v>
      </c>
      <c r="H12795">
        <v>154794827</v>
      </c>
      <c r="I12795">
        <v>154794875</v>
      </c>
    </row>
    <row r="12796" spans="1:9" x14ac:dyDescent="0.2">
      <c r="A12796" s="1" t="str">
        <f>"PBDC1"</f>
        <v>PBDC1</v>
      </c>
      <c r="B12796" t="s">
        <v>14</v>
      </c>
      <c r="C12796" t="s">
        <v>37</v>
      </c>
      <c r="D12796" t="s">
        <v>17</v>
      </c>
      <c r="E12796" t="s">
        <v>12</v>
      </c>
      <c r="F12796">
        <v>75392845</v>
      </c>
      <c r="G12796">
        <v>75392921</v>
      </c>
      <c r="H12796">
        <v>75392944</v>
      </c>
      <c r="I12796">
        <v>75392977</v>
      </c>
    </row>
    <row r="12797" spans="1:9" x14ac:dyDescent="0.2">
      <c r="A12797" s="1" t="str">
        <f>"PBK"</f>
        <v>PBK</v>
      </c>
      <c r="B12797" t="s">
        <v>14</v>
      </c>
      <c r="C12797" t="s">
        <v>30</v>
      </c>
      <c r="D12797" t="s">
        <v>11</v>
      </c>
      <c r="E12797" t="s">
        <v>12</v>
      </c>
      <c r="F12797">
        <v>27695282</v>
      </c>
      <c r="G12797">
        <v>27695359</v>
      </c>
      <c r="H12797">
        <v>27695364</v>
      </c>
      <c r="I12797">
        <v>27695388</v>
      </c>
    </row>
    <row r="12798" spans="1:9" x14ac:dyDescent="0.2">
      <c r="A12798" s="1" t="str">
        <f>"PBLD"</f>
        <v>PBLD</v>
      </c>
      <c r="B12798" t="s">
        <v>9</v>
      </c>
      <c r="C12798" t="s">
        <v>15</v>
      </c>
      <c r="D12798" t="s">
        <v>11</v>
      </c>
      <c r="E12798" t="s">
        <v>12</v>
      </c>
      <c r="F12798">
        <v>70092671</v>
      </c>
      <c r="G12798">
        <v>70092718</v>
      </c>
      <c r="H12798">
        <v>70092671</v>
      </c>
      <c r="I12798">
        <v>70092718</v>
      </c>
    </row>
    <row r="12799" spans="1:9" x14ac:dyDescent="0.2">
      <c r="A12799" s="1" t="str">
        <f>"PBLD"</f>
        <v>PBLD</v>
      </c>
      <c r="B12799" t="s">
        <v>13</v>
      </c>
      <c r="C12799" t="s">
        <v>15</v>
      </c>
      <c r="D12799" t="s">
        <v>11</v>
      </c>
      <c r="E12799" t="s">
        <v>12</v>
      </c>
      <c r="F12799">
        <v>70066616</v>
      </c>
      <c r="G12799">
        <v>70066659</v>
      </c>
      <c r="H12799">
        <v>70066616</v>
      </c>
      <c r="I12799">
        <v>70066659</v>
      </c>
    </row>
    <row r="12800" spans="1:9" x14ac:dyDescent="0.2">
      <c r="A12800" s="1" t="str">
        <f>"PBOV1"</f>
        <v>PBOV1</v>
      </c>
      <c r="B12800" t="s">
        <v>1312</v>
      </c>
      <c r="C12800" t="s">
        <v>32</v>
      </c>
      <c r="D12800" t="s">
        <v>11</v>
      </c>
      <c r="E12800" t="s">
        <v>20</v>
      </c>
      <c r="F12800">
        <v>138539626</v>
      </c>
      <c r="G12800">
        <v>138539626</v>
      </c>
      <c r="H12800">
        <v>138539626</v>
      </c>
      <c r="I12800">
        <v>138539626</v>
      </c>
    </row>
    <row r="12801" spans="1:9" x14ac:dyDescent="0.2">
      <c r="A12801" s="1" t="str">
        <f>"PBRM1"</f>
        <v>PBRM1</v>
      </c>
      <c r="B12801" t="s">
        <v>14</v>
      </c>
      <c r="C12801" t="s">
        <v>22</v>
      </c>
      <c r="D12801" t="s">
        <v>11</v>
      </c>
      <c r="E12801" t="s">
        <v>12</v>
      </c>
      <c r="F12801">
        <v>52719912</v>
      </c>
      <c r="G12801">
        <v>52719995</v>
      </c>
      <c r="H12801">
        <v>52719888</v>
      </c>
      <c r="I12801">
        <v>52719908</v>
      </c>
    </row>
    <row r="12802" spans="1:9" x14ac:dyDescent="0.2">
      <c r="A12802" s="1" t="str">
        <f>"PBX1"</f>
        <v>PBX1</v>
      </c>
      <c r="B12802" t="s">
        <v>14</v>
      </c>
      <c r="C12802" t="s">
        <v>19</v>
      </c>
      <c r="D12802" t="s">
        <v>17</v>
      </c>
      <c r="E12802" t="s">
        <v>12</v>
      </c>
      <c r="F12802">
        <v>164528410</v>
      </c>
      <c r="G12802">
        <v>164528428</v>
      </c>
      <c r="H12802">
        <v>164528445</v>
      </c>
      <c r="I12802">
        <v>164528459</v>
      </c>
    </row>
    <row r="12803" spans="1:9" x14ac:dyDescent="0.2">
      <c r="A12803" s="1" t="str">
        <f>"PBX2"</f>
        <v>PBX2</v>
      </c>
      <c r="B12803" t="s">
        <v>14</v>
      </c>
      <c r="C12803" t="s">
        <v>32</v>
      </c>
      <c r="D12803" t="s">
        <v>11</v>
      </c>
      <c r="E12803" t="s">
        <v>12</v>
      </c>
      <c r="F12803">
        <v>32157947</v>
      </c>
      <c r="G12803">
        <v>32157992</v>
      </c>
      <c r="H12803">
        <v>32158004</v>
      </c>
      <c r="I12803">
        <v>32158015</v>
      </c>
    </row>
    <row r="12804" spans="1:9" x14ac:dyDescent="0.2">
      <c r="A12804" s="1" t="str">
        <f>"PBX3"</f>
        <v>PBX3</v>
      </c>
      <c r="B12804" t="s">
        <v>14</v>
      </c>
      <c r="C12804" t="s">
        <v>24</v>
      </c>
      <c r="D12804" t="s">
        <v>17</v>
      </c>
      <c r="E12804" t="s">
        <v>12</v>
      </c>
      <c r="F12804">
        <v>128509663</v>
      </c>
      <c r="G12804">
        <v>128509715</v>
      </c>
      <c r="H12804">
        <v>128509635</v>
      </c>
      <c r="I12804">
        <v>128509658</v>
      </c>
    </row>
    <row r="12805" spans="1:9" x14ac:dyDescent="0.2">
      <c r="A12805" s="1" t="str">
        <f>"PBX4"</f>
        <v>PBX4</v>
      </c>
      <c r="B12805" t="s">
        <v>14</v>
      </c>
      <c r="C12805" t="s">
        <v>10</v>
      </c>
      <c r="D12805" t="s">
        <v>11</v>
      </c>
      <c r="E12805" t="s">
        <v>12</v>
      </c>
      <c r="F12805">
        <v>19729477</v>
      </c>
      <c r="G12805">
        <v>19729542</v>
      </c>
      <c r="H12805">
        <v>19729458</v>
      </c>
      <c r="I12805">
        <v>19729469</v>
      </c>
    </row>
    <row r="12806" spans="1:9" x14ac:dyDescent="0.2">
      <c r="A12806" s="1" t="str">
        <f>"PBXIP1"</f>
        <v>PBXIP1</v>
      </c>
      <c r="B12806" t="s">
        <v>14</v>
      </c>
      <c r="C12806" t="s">
        <v>19</v>
      </c>
      <c r="D12806" t="s">
        <v>11</v>
      </c>
      <c r="E12806" t="s">
        <v>12</v>
      </c>
      <c r="F12806">
        <v>154928562</v>
      </c>
      <c r="G12806">
        <v>154928629</v>
      </c>
      <c r="H12806">
        <v>154927768</v>
      </c>
      <c r="I12806">
        <v>154927782</v>
      </c>
    </row>
    <row r="12807" spans="1:9" x14ac:dyDescent="0.2">
      <c r="A12807" s="1" t="str">
        <f>"PC"</f>
        <v>PC</v>
      </c>
      <c r="B12807" t="s">
        <v>14</v>
      </c>
      <c r="C12807" t="s">
        <v>27</v>
      </c>
      <c r="D12807" t="s">
        <v>11</v>
      </c>
      <c r="E12807" t="s">
        <v>12</v>
      </c>
      <c r="F12807">
        <v>66725837</v>
      </c>
      <c r="G12807">
        <v>66725869</v>
      </c>
      <c r="H12807">
        <v>66725820</v>
      </c>
      <c r="I12807">
        <v>66725831</v>
      </c>
    </row>
    <row r="12808" spans="1:9" x14ac:dyDescent="0.2">
      <c r="A12808" s="1" t="str">
        <f>"PCBD1"</f>
        <v>PCBD1</v>
      </c>
      <c r="B12808" t="s">
        <v>14</v>
      </c>
      <c r="C12808" t="s">
        <v>15</v>
      </c>
      <c r="D12808" t="s">
        <v>11</v>
      </c>
      <c r="E12808" t="s">
        <v>12</v>
      </c>
      <c r="F12808">
        <v>72648303</v>
      </c>
      <c r="G12808">
        <v>72648373</v>
      </c>
      <c r="H12808">
        <v>72647978</v>
      </c>
      <c r="I12808">
        <v>72648015</v>
      </c>
    </row>
    <row r="12809" spans="1:9" x14ac:dyDescent="0.2">
      <c r="A12809" s="1" t="str">
        <f>"PCBD2"</f>
        <v>PCBD2</v>
      </c>
      <c r="B12809" t="s">
        <v>14</v>
      </c>
      <c r="C12809" t="s">
        <v>46</v>
      </c>
      <c r="D12809" t="s">
        <v>17</v>
      </c>
      <c r="E12809" t="s">
        <v>12</v>
      </c>
      <c r="F12809">
        <v>134240800</v>
      </c>
      <c r="G12809">
        <v>134240842</v>
      </c>
      <c r="H12809">
        <v>134240850</v>
      </c>
      <c r="I12809">
        <v>134240896</v>
      </c>
    </row>
    <row r="12810" spans="1:9" x14ac:dyDescent="0.2">
      <c r="A12810" s="1" t="str">
        <f>"PCBP1"</f>
        <v>PCBP1</v>
      </c>
      <c r="B12810" t="s">
        <v>14</v>
      </c>
      <c r="C12810" t="s">
        <v>26</v>
      </c>
      <c r="D12810" t="s">
        <v>17</v>
      </c>
      <c r="E12810" t="s">
        <v>12</v>
      </c>
      <c r="F12810">
        <v>70314601</v>
      </c>
      <c r="G12810">
        <v>70314622</v>
      </c>
      <c r="H12810">
        <v>70314579</v>
      </c>
      <c r="I12810">
        <v>70314590</v>
      </c>
    </row>
    <row r="12811" spans="1:9" x14ac:dyDescent="0.2">
      <c r="A12811" s="1" t="str">
        <f>"PCBP2"</f>
        <v>PCBP2</v>
      </c>
      <c r="B12811" t="s">
        <v>9</v>
      </c>
      <c r="C12811" t="s">
        <v>16</v>
      </c>
      <c r="D12811" t="s">
        <v>17</v>
      </c>
      <c r="E12811" t="s">
        <v>12</v>
      </c>
      <c r="F12811">
        <v>53845879</v>
      </c>
      <c r="G12811">
        <v>53845894</v>
      </c>
      <c r="H12811">
        <v>53845879</v>
      </c>
      <c r="I12811">
        <v>53845894</v>
      </c>
    </row>
    <row r="12812" spans="1:9" x14ac:dyDescent="0.2">
      <c r="A12812" s="1" t="str">
        <f>"PCBP2"</f>
        <v>PCBP2</v>
      </c>
      <c r="B12812" t="s">
        <v>13</v>
      </c>
      <c r="C12812" t="s">
        <v>16</v>
      </c>
      <c r="D12812" t="s">
        <v>17</v>
      </c>
      <c r="E12812" t="s">
        <v>12</v>
      </c>
      <c r="F12812">
        <v>53835508</v>
      </c>
      <c r="G12812">
        <v>53835533</v>
      </c>
      <c r="H12812">
        <v>53835508</v>
      </c>
      <c r="I12812">
        <v>53835533</v>
      </c>
    </row>
    <row r="12813" spans="1:9" x14ac:dyDescent="0.2">
      <c r="A12813" s="1" t="str">
        <f>"PCBP3"</f>
        <v>PCBP3</v>
      </c>
      <c r="B12813" t="s">
        <v>1313</v>
      </c>
      <c r="C12813" t="s">
        <v>42</v>
      </c>
      <c r="D12813" t="s">
        <v>17</v>
      </c>
      <c r="E12813" t="s">
        <v>20</v>
      </c>
      <c r="F12813">
        <v>47316207</v>
      </c>
      <c r="G12813">
        <v>47316207</v>
      </c>
      <c r="H12813">
        <v>47316207</v>
      </c>
      <c r="I12813">
        <v>47316207</v>
      </c>
    </row>
    <row r="12814" spans="1:9" x14ac:dyDescent="0.2">
      <c r="A12814" s="1" t="str">
        <f>"PCBP4"</f>
        <v>PCBP4</v>
      </c>
      <c r="B12814" t="s">
        <v>9</v>
      </c>
      <c r="C12814" t="s">
        <v>22</v>
      </c>
      <c r="D12814" t="s">
        <v>11</v>
      </c>
      <c r="E12814" t="s">
        <v>12</v>
      </c>
      <c r="F12814">
        <v>52008016</v>
      </c>
      <c r="G12814">
        <v>52008071</v>
      </c>
      <c r="H12814">
        <v>52008016</v>
      </c>
      <c r="I12814">
        <v>52008071</v>
      </c>
    </row>
    <row r="12815" spans="1:9" x14ac:dyDescent="0.2">
      <c r="A12815" s="1" t="str">
        <f>"PCBP4"</f>
        <v>PCBP4</v>
      </c>
      <c r="B12815" t="s">
        <v>13</v>
      </c>
      <c r="C12815" t="s">
        <v>22</v>
      </c>
      <c r="D12815" t="s">
        <v>11</v>
      </c>
      <c r="E12815" t="s">
        <v>12</v>
      </c>
      <c r="F12815">
        <v>52001448</v>
      </c>
      <c r="G12815">
        <v>52001478</v>
      </c>
      <c r="H12815">
        <v>52001448</v>
      </c>
      <c r="I12815">
        <v>52001478</v>
      </c>
    </row>
    <row r="12816" spans="1:9" x14ac:dyDescent="0.2">
      <c r="A12816" s="1" t="str">
        <f>"PCCA"</f>
        <v>PCCA</v>
      </c>
      <c r="B12816" t="s">
        <v>14</v>
      </c>
      <c r="C12816" t="s">
        <v>39</v>
      </c>
      <c r="D12816" t="s">
        <v>17</v>
      </c>
      <c r="E12816" t="s">
        <v>12</v>
      </c>
      <c r="F12816">
        <v>100741303</v>
      </c>
      <c r="G12816">
        <v>100741377</v>
      </c>
      <c r="H12816">
        <v>100741303</v>
      </c>
      <c r="I12816">
        <v>100741377</v>
      </c>
    </row>
    <row r="12817" spans="1:9" x14ac:dyDescent="0.2">
      <c r="A12817" s="1" t="str">
        <f>"PCCB"</f>
        <v>PCCB</v>
      </c>
      <c r="B12817" t="s">
        <v>9</v>
      </c>
      <c r="C12817" t="s">
        <v>22</v>
      </c>
      <c r="D12817" t="s">
        <v>17</v>
      </c>
      <c r="E12817" t="s">
        <v>12</v>
      </c>
      <c r="F12817">
        <v>135969172</v>
      </c>
      <c r="G12817">
        <v>135969219</v>
      </c>
      <c r="H12817">
        <v>135969172</v>
      </c>
      <c r="I12817">
        <v>135969219</v>
      </c>
    </row>
    <row r="12818" spans="1:9" x14ac:dyDescent="0.2">
      <c r="A12818" s="1" t="str">
        <f>"PCCB"</f>
        <v>PCCB</v>
      </c>
      <c r="B12818" t="s">
        <v>13</v>
      </c>
      <c r="C12818" t="s">
        <v>22</v>
      </c>
      <c r="D12818" t="s">
        <v>17</v>
      </c>
      <c r="E12818" t="s">
        <v>12</v>
      </c>
      <c r="F12818">
        <v>135974707</v>
      </c>
      <c r="G12818">
        <v>135974741</v>
      </c>
      <c r="H12818">
        <v>135974707</v>
      </c>
      <c r="I12818">
        <v>135974741</v>
      </c>
    </row>
    <row r="12819" spans="1:9" x14ac:dyDescent="0.2">
      <c r="A12819" s="1" t="str">
        <f>"PCDH1"</f>
        <v>PCDH1</v>
      </c>
      <c r="B12819" t="s">
        <v>14</v>
      </c>
      <c r="C12819" t="s">
        <v>46</v>
      </c>
      <c r="D12819" t="s">
        <v>11</v>
      </c>
      <c r="E12819" t="s">
        <v>12</v>
      </c>
      <c r="F12819">
        <v>141257961</v>
      </c>
      <c r="G12819">
        <v>141258006</v>
      </c>
      <c r="H12819">
        <v>141258027</v>
      </c>
      <c r="I12819">
        <v>141258045</v>
      </c>
    </row>
    <row r="12820" spans="1:9" x14ac:dyDescent="0.2">
      <c r="A12820" s="1" t="str">
        <f>"PCDH10"</f>
        <v>PCDH10</v>
      </c>
      <c r="B12820" t="s">
        <v>9</v>
      </c>
      <c r="C12820" t="s">
        <v>23</v>
      </c>
      <c r="D12820" t="s">
        <v>17</v>
      </c>
      <c r="E12820" t="s">
        <v>12</v>
      </c>
      <c r="F12820">
        <v>134070439</v>
      </c>
      <c r="G12820">
        <v>134070456</v>
      </c>
      <c r="H12820">
        <v>134070439</v>
      </c>
      <c r="I12820">
        <v>134070456</v>
      </c>
    </row>
    <row r="12821" spans="1:9" x14ac:dyDescent="0.2">
      <c r="A12821" s="1" t="str">
        <f>"PCDH10"</f>
        <v>PCDH10</v>
      </c>
      <c r="B12821" t="s">
        <v>13</v>
      </c>
      <c r="C12821" t="s">
        <v>23</v>
      </c>
      <c r="D12821" t="s">
        <v>17</v>
      </c>
      <c r="E12821" t="s">
        <v>12</v>
      </c>
      <c r="F12821">
        <v>134073241</v>
      </c>
      <c r="G12821">
        <v>134073270</v>
      </c>
      <c r="H12821">
        <v>134073241</v>
      </c>
      <c r="I12821">
        <v>134073270</v>
      </c>
    </row>
    <row r="12822" spans="1:9" x14ac:dyDescent="0.2">
      <c r="A12822" s="1" t="str">
        <f>"PCDH11X"</f>
        <v>PCDH11X</v>
      </c>
      <c r="B12822" t="s">
        <v>14</v>
      </c>
      <c r="C12822" t="s">
        <v>37</v>
      </c>
      <c r="D12822" t="s">
        <v>17</v>
      </c>
      <c r="E12822" t="s">
        <v>12</v>
      </c>
      <c r="F12822">
        <v>91034366</v>
      </c>
      <c r="G12822">
        <v>91034380</v>
      </c>
      <c r="H12822">
        <v>91034417</v>
      </c>
      <c r="I12822">
        <v>91034421</v>
      </c>
    </row>
    <row r="12823" spans="1:9" x14ac:dyDescent="0.2">
      <c r="A12823" s="1" t="str">
        <f>"PCDH11Y"</f>
        <v>PCDH11Y</v>
      </c>
      <c r="B12823" t="s">
        <v>14</v>
      </c>
      <c r="C12823" t="s">
        <v>63</v>
      </c>
      <c r="D12823" t="s">
        <v>17</v>
      </c>
      <c r="E12823" t="s">
        <v>12</v>
      </c>
      <c r="F12823">
        <v>4868334</v>
      </c>
      <c r="G12823">
        <v>4868338</v>
      </c>
      <c r="H12823">
        <v>4868334</v>
      </c>
      <c r="I12823">
        <v>4868338</v>
      </c>
    </row>
    <row r="12824" spans="1:9" x14ac:dyDescent="0.2">
      <c r="A12824" s="1" t="str">
        <f>"PCDH12"</f>
        <v>PCDH12</v>
      </c>
      <c r="B12824" t="s">
        <v>14</v>
      </c>
      <c r="C12824" t="s">
        <v>46</v>
      </c>
      <c r="D12824" t="s">
        <v>11</v>
      </c>
      <c r="E12824" t="s">
        <v>12</v>
      </c>
      <c r="F12824">
        <v>141337739</v>
      </c>
      <c r="G12824">
        <v>141337772</v>
      </c>
      <c r="H12824">
        <v>141337686</v>
      </c>
      <c r="I12824">
        <v>141337697</v>
      </c>
    </row>
    <row r="12825" spans="1:9" x14ac:dyDescent="0.2">
      <c r="A12825" s="1" t="str">
        <f>"PCDH15"</f>
        <v>PCDH15</v>
      </c>
      <c r="B12825" t="s">
        <v>14</v>
      </c>
      <c r="C12825" t="s">
        <v>15</v>
      </c>
      <c r="D12825" t="s">
        <v>11</v>
      </c>
      <c r="E12825" t="s">
        <v>12</v>
      </c>
      <c r="F12825">
        <v>56560981</v>
      </c>
      <c r="G12825">
        <v>56560999</v>
      </c>
      <c r="H12825">
        <v>56560953</v>
      </c>
      <c r="I12825">
        <v>56560969</v>
      </c>
    </row>
    <row r="12826" spans="1:9" x14ac:dyDescent="0.2">
      <c r="A12826" s="1" t="str">
        <f>"PCDH17"</f>
        <v>PCDH17</v>
      </c>
      <c r="B12826" t="s">
        <v>14</v>
      </c>
      <c r="C12826" t="s">
        <v>39</v>
      </c>
      <c r="D12826" t="s">
        <v>17</v>
      </c>
      <c r="E12826" t="s">
        <v>12</v>
      </c>
      <c r="F12826">
        <v>58205930</v>
      </c>
      <c r="G12826">
        <v>58205965</v>
      </c>
      <c r="H12826">
        <v>58205869</v>
      </c>
      <c r="I12826">
        <v>58205900</v>
      </c>
    </row>
    <row r="12827" spans="1:9" x14ac:dyDescent="0.2">
      <c r="A12827" s="1" t="str">
        <f>"PCDH18"</f>
        <v>PCDH18</v>
      </c>
      <c r="B12827" t="s">
        <v>14</v>
      </c>
      <c r="C12827" t="s">
        <v>23</v>
      </c>
      <c r="D12827" t="s">
        <v>11</v>
      </c>
      <c r="E12827" t="s">
        <v>12</v>
      </c>
      <c r="F12827">
        <v>138453606</v>
      </c>
      <c r="G12827">
        <v>138453673</v>
      </c>
      <c r="H12827">
        <v>138453606</v>
      </c>
      <c r="I12827">
        <v>138453673</v>
      </c>
    </row>
    <row r="12828" spans="1:9" x14ac:dyDescent="0.2">
      <c r="A12828" s="1" t="str">
        <f>"PCDH19"</f>
        <v>PCDH19</v>
      </c>
      <c r="B12828" t="s">
        <v>14</v>
      </c>
      <c r="C12828" t="s">
        <v>37</v>
      </c>
      <c r="D12828" t="s">
        <v>11</v>
      </c>
      <c r="E12828" t="s">
        <v>12</v>
      </c>
      <c r="F12828">
        <v>99665262</v>
      </c>
      <c r="G12828">
        <v>99665280</v>
      </c>
      <c r="H12828">
        <v>99665097</v>
      </c>
      <c r="I12828">
        <v>99665125</v>
      </c>
    </row>
    <row r="12829" spans="1:9" x14ac:dyDescent="0.2">
      <c r="A12829" s="1" t="str">
        <f>"PCDH20"</f>
        <v>PCDH20</v>
      </c>
      <c r="B12829" t="s">
        <v>14</v>
      </c>
      <c r="C12829" t="s">
        <v>39</v>
      </c>
      <c r="D12829" t="s">
        <v>11</v>
      </c>
      <c r="E12829" t="s">
        <v>12</v>
      </c>
      <c r="F12829">
        <v>61989278</v>
      </c>
      <c r="G12829">
        <v>61989337</v>
      </c>
      <c r="H12829">
        <v>61989268</v>
      </c>
      <c r="I12829">
        <v>61989276</v>
      </c>
    </row>
    <row r="12830" spans="1:9" x14ac:dyDescent="0.2">
      <c r="A12830" s="1" t="str">
        <f>"PCDH7"</f>
        <v>PCDH7</v>
      </c>
      <c r="B12830" t="s">
        <v>14</v>
      </c>
      <c r="C12830" t="s">
        <v>23</v>
      </c>
      <c r="D12830" t="s">
        <v>17</v>
      </c>
      <c r="E12830" t="s">
        <v>12</v>
      </c>
      <c r="F12830">
        <v>30721968</v>
      </c>
      <c r="G12830">
        <v>30722034</v>
      </c>
      <c r="H12830">
        <v>30721690</v>
      </c>
      <c r="I12830">
        <v>30721722</v>
      </c>
    </row>
    <row r="12831" spans="1:9" x14ac:dyDescent="0.2">
      <c r="A12831" s="1" t="str">
        <f>"PCDH8"</f>
        <v>PCDH8</v>
      </c>
      <c r="B12831" t="s">
        <v>14</v>
      </c>
      <c r="C12831" t="s">
        <v>39</v>
      </c>
      <c r="D12831" t="s">
        <v>11</v>
      </c>
      <c r="E12831" t="s">
        <v>12</v>
      </c>
      <c r="F12831">
        <v>53422767</v>
      </c>
      <c r="G12831">
        <v>53422780</v>
      </c>
      <c r="H12831">
        <v>53422767</v>
      </c>
      <c r="I12831">
        <v>53422780</v>
      </c>
    </row>
    <row r="12832" spans="1:9" x14ac:dyDescent="0.2">
      <c r="A12832" s="1" t="str">
        <f>"PCDH9"</f>
        <v>PCDH9</v>
      </c>
      <c r="B12832" t="s">
        <v>14</v>
      </c>
      <c r="C12832" t="s">
        <v>39</v>
      </c>
      <c r="D12832" t="s">
        <v>11</v>
      </c>
      <c r="E12832" t="s">
        <v>12</v>
      </c>
      <c r="F12832">
        <v>67804445</v>
      </c>
      <c r="G12832">
        <v>67804475</v>
      </c>
      <c r="H12832">
        <v>67804476</v>
      </c>
      <c r="I12832">
        <v>67804487</v>
      </c>
    </row>
    <row r="12833" spans="1:9" x14ac:dyDescent="0.2">
      <c r="A12833" s="1" t="str">
        <f>"PCDHA1"</f>
        <v>PCDHA1</v>
      </c>
      <c r="B12833" t="s">
        <v>14</v>
      </c>
      <c r="C12833" t="s">
        <v>46</v>
      </c>
      <c r="D12833" t="s">
        <v>17</v>
      </c>
      <c r="E12833" t="s">
        <v>12</v>
      </c>
      <c r="F12833">
        <v>140165748</v>
      </c>
      <c r="G12833">
        <v>140165764</v>
      </c>
      <c r="H12833">
        <v>140165748</v>
      </c>
      <c r="I12833">
        <v>140165764</v>
      </c>
    </row>
    <row r="12834" spans="1:9" x14ac:dyDescent="0.2">
      <c r="A12834" s="1" t="str">
        <f>"PCDHA10"</f>
        <v>PCDHA10</v>
      </c>
      <c r="B12834" t="s">
        <v>14</v>
      </c>
      <c r="C12834" t="s">
        <v>46</v>
      </c>
      <c r="D12834" t="s">
        <v>17</v>
      </c>
      <c r="E12834" t="s">
        <v>12</v>
      </c>
      <c r="F12834">
        <v>140235469</v>
      </c>
      <c r="G12834">
        <v>140235541</v>
      </c>
      <c r="H12834">
        <v>140235543</v>
      </c>
      <c r="I12834">
        <v>140235548</v>
      </c>
    </row>
    <row r="12835" spans="1:9" x14ac:dyDescent="0.2">
      <c r="A12835" s="1" t="str">
        <f>"PCDHA11"</f>
        <v>PCDHA11</v>
      </c>
      <c r="B12835" t="s">
        <v>14</v>
      </c>
      <c r="C12835" t="s">
        <v>46</v>
      </c>
      <c r="D12835" t="s">
        <v>17</v>
      </c>
      <c r="E12835" t="s">
        <v>12</v>
      </c>
      <c r="F12835">
        <v>140248518</v>
      </c>
      <c r="G12835">
        <v>140248564</v>
      </c>
      <c r="H12835">
        <v>140248518</v>
      </c>
      <c r="I12835">
        <v>140248564</v>
      </c>
    </row>
    <row r="12836" spans="1:9" x14ac:dyDescent="0.2">
      <c r="A12836" s="1" t="str">
        <f>"PCDHA12"</f>
        <v>PCDHA12</v>
      </c>
      <c r="B12836" t="s">
        <v>14</v>
      </c>
      <c r="C12836" t="s">
        <v>46</v>
      </c>
      <c r="D12836" t="s">
        <v>17</v>
      </c>
      <c r="E12836" t="s">
        <v>12</v>
      </c>
      <c r="F12836">
        <v>140254884</v>
      </c>
      <c r="G12836">
        <v>140254911</v>
      </c>
      <c r="H12836">
        <v>140254831</v>
      </c>
      <c r="I12836">
        <v>140254841</v>
      </c>
    </row>
    <row r="12837" spans="1:9" x14ac:dyDescent="0.2">
      <c r="A12837" s="1" t="str">
        <f>"PCDHA13"</f>
        <v>PCDHA13</v>
      </c>
      <c r="B12837" t="s">
        <v>14</v>
      </c>
      <c r="C12837" t="s">
        <v>46</v>
      </c>
      <c r="D12837" t="s">
        <v>17</v>
      </c>
      <c r="E12837" t="s">
        <v>12</v>
      </c>
      <c r="F12837">
        <v>140261723</v>
      </c>
      <c r="G12837">
        <v>140261742</v>
      </c>
      <c r="H12837">
        <v>140261703</v>
      </c>
      <c r="I12837">
        <v>140261717</v>
      </c>
    </row>
    <row r="12838" spans="1:9" x14ac:dyDescent="0.2">
      <c r="A12838" s="1" t="str">
        <f>"PCDHA2"</f>
        <v>PCDHA2</v>
      </c>
      <c r="B12838" t="s">
        <v>14</v>
      </c>
      <c r="C12838" t="s">
        <v>46</v>
      </c>
      <c r="D12838" t="s">
        <v>17</v>
      </c>
      <c r="E12838" t="s">
        <v>12</v>
      </c>
      <c r="F12838">
        <v>140174429</v>
      </c>
      <c r="G12838">
        <v>140174448</v>
      </c>
      <c r="H12838">
        <v>140174417</v>
      </c>
      <c r="I12838">
        <v>140174428</v>
      </c>
    </row>
    <row r="12839" spans="1:9" x14ac:dyDescent="0.2">
      <c r="A12839" s="1" t="str">
        <f>"PCDHA3"</f>
        <v>PCDHA3</v>
      </c>
      <c r="B12839" t="s">
        <v>14</v>
      </c>
      <c r="C12839" t="s">
        <v>46</v>
      </c>
      <c r="D12839" t="s">
        <v>17</v>
      </c>
      <c r="E12839" t="s">
        <v>12</v>
      </c>
      <c r="F12839">
        <v>140180635</v>
      </c>
      <c r="G12839">
        <v>140180677</v>
      </c>
      <c r="H12839">
        <v>140180635</v>
      </c>
      <c r="I12839">
        <v>140180677</v>
      </c>
    </row>
    <row r="12840" spans="1:9" x14ac:dyDescent="0.2">
      <c r="A12840" s="1" t="str">
        <f>"PCDHA4"</f>
        <v>PCDHA4</v>
      </c>
      <c r="B12840" t="s">
        <v>14</v>
      </c>
      <c r="C12840" t="s">
        <v>46</v>
      </c>
      <c r="D12840" t="s">
        <v>17</v>
      </c>
      <c r="E12840" t="s">
        <v>12</v>
      </c>
      <c r="F12840">
        <v>140186647</v>
      </c>
      <c r="G12840">
        <v>140186672</v>
      </c>
      <c r="H12840">
        <v>140186625</v>
      </c>
      <c r="I12840">
        <v>140186646</v>
      </c>
    </row>
    <row r="12841" spans="1:9" x14ac:dyDescent="0.2">
      <c r="A12841" s="1" t="str">
        <f>"PCDHA5"</f>
        <v>PCDHA5</v>
      </c>
      <c r="B12841" t="s">
        <v>14</v>
      </c>
      <c r="C12841" t="s">
        <v>46</v>
      </c>
      <c r="D12841" t="s">
        <v>17</v>
      </c>
      <c r="E12841" t="s">
        <v>12</v>
      </c>
      <c r="F12841">
        <v>140201183</v>
      </c>
      <c r="G12841">
        <v>140201218</v>
      </c>
      <c r="H12841">
        <v>140201163</v>
      </c>
      <c r="I12841">
        <v>140201170</v>
      </c>
    </row>
    <row r="12842" spans="1:9" x14ac:dyDescent="0.2">
      <c r="A12842" s="1" t="str">
        <f>"PCDHA6"</f>
        <v>PCDHA6</v>
      </c>
      <c r="B12842" t="s">
        <v>14</v>
      </c>
      <c r="C12842" t="s">
        <v>46</v>
      </c>
      <c r="D12842" t="s">
        <v>17</v>
      </c>
      <c r="E12842" t="s">
        <v>12</v>
      </c>
      <c r="F12842">
        <v>140207536</v>
      </c>
      <c r="G12842">
        <v>140207569</v>
      </c>
      <c r="H12842">
        <v>140207536</v>
      </c>
      <c r="I12842">
        <v>140207569</v>
      </c>
    </row>
    <row r="12843" spans="1:9" x14ac:dyDescent="0.2">
      <c r="A12843" s="1" t="str">
        <f>"PCDHA7"</f>
        <v>PCDHA7</v>
      </c>
      <c r="B12843" t="s">
        <v>14</v>
      </c>
      <c r="C12843" t="s">
        <v>46</v>
      </c>
      <c r="D12843" t="s">
        <v>17</v>
      </c>
      <c r="E12843" t="s">
        <v>12</v>
      </c>
      <c r="F12843">
        <v>140213815</v>
      </c>
      <c r="G12843">
        <v>140213854</v>
      </c>
      <c r="H12843">
        <v>140213815</v>
      </c>
      <c r="I12843">
        <v>140213854</v>
      </c>
    </row>
    <row r="12844" spans="1:9" x14ac:dyDescent="0.2">
      <c r="A12844" s="1" t="str">
        <f>"PCDHA8"</f>
        <v>PCDHA8</v>
      </c>
      <c r="B12844" t="s">
        <v>14</v>
      </c>
      <c r="C12844" t="s">
        <v>46</v>
      </c>
      <c r="D12844" t="s">
        <v>17</v>
      </c>
      <c r="E12844" t="s">
        <v>12</v>
      </c>
      <c r="F12844">
        <v>140220769</v>
      </c>
      <c r="G12844">
        <v>140220797</v>
      </c>
      <c r="H12844">
        <v>140220769</v>
      </c>
      <c r="I12844">
        <v>140220797</v>
      </c>
    </row>
    <row r="12845" spans="1:9" x14ac:dyDescent="0.2">
      <c r="A12845" s="1" t="str">
        <f>"PCDHA9"</f>
        <v>PCDHA9</v>
      </c>
      <c r="B12845" t="s">
        <v>14</v>
      </c>
      <c r="C12845" t="s">
        <v>46</v>
      </c>
      <c r="D12845" t="s">
        <v>17</v>
      </c>
      <c r="E12845" t="s">
        <v>12</v>
      </c>
      <c r="F12845">
        <v>140227945</v>
      </c>
      <c r="G12845">
        <v>140227976</v>
      </c>
      <c r="H12845">
        <v>140227945</v>
      </c>
      <c r="I12845">
        <v>140227976</v>
      </c>
    </row>
    <row r="12846" spans="1:9" x14ac:dyDescent="0.2">
      <c r="A12846" s="1" t="str">
        <f>"PCDHAC1"</f>
        <v>PCDHAC1</v>
      </c>
      <c r="B12846" t="s">
        <v>14</v>
      </c>
      <c r="C12846" t="s">
        <v>46</v>
      </c>
      <c r="D12846" t="s">
        <v>17</v>
      </c>
      <c r="E12846" t="s">
        <v>12</v>
      </c>
      <c r="F12846">
        <v>140305917</v>
      </c>
      <c r="G12846">
        <v>140305933</v>
      </c>
      <c r="H12846">
        <v>140306284</v>
      </c>
      <c r="I12846">
        <v>140306303</v>
      </c>
    </row>
    <row r="12847" spans="1:9" x14ac:dyDescent="0.2">
      <c r="A12847" s="1" t="str">
        <f>"PCDHAC2"</f>
        <v>PCDHAC2</v>
      </c>
      <c r="B12847" t="s">
        <v>14</v>
      </c>
      <c r="C12847" t="s">
        <v>46</v>
      </c>
      <c r="D12847" t="s">
        <v>17</v>
      </c>
      <c r="E12847" t="s">
        <v>12</v>
      </c>
      <c r="F12847">
        <v>140346050</v>
      </c>
      <c r="G12847">
        <v>140346095</v>
      </c>
      <c r="H12847">
        <v>140346102</v>
      </c>
      <c r="I12847">
        <v>140346123</v>
      </c>
    </row>
    <row r="12848" spans="1:9" x14ac:dyDescent="0.2">
      <c r="A12848" s="1" t="str">
        <f>"PCDHB1"</f>
        <v>PCDHB1</v>
      </c>
      <c r="B12848" t="s">
        <v>1314</v>
      </c>
      <c r="C12848" t="s">
        <v>46</v>
      </c>
      <c r="D12848" t="s">
        <v>17</v>
      </c>
      <c r="E12848" t="s">
        <v>20</v>
      </c>
      <c r="F12848">
        <v>140430978</v>
      </c>
      <c r="G12848">
        <v>140430978</v>
      </c>
      <c r="H12848">
        <v>140430978</v>
      </c>
      <c r="I12848">
        <v>140430978</v>
      </c>
    </row>
    <row r="12849" spans="1:9" x14ac:dyDescent="0.2">
      <c r="A12849" s="1" t="str">
        <f>"PCDHB10"</f>
        <v>PCDHB10</v>
      </c>
      <c r="B12849" t="s">
        <v>14</v>
      </c>
      <c r="C12849" t="s">
        <v>46</v>
      </c>
      <c r="D12849" t="s">
        <v>17</v>
      </c>
      <c r="E12849" t="s">
        <v>12</v>
      </c>
      <c r="F12849">
        <v>140571902</v>
      </c>
      <c r="G12849">
        <v>140571967</v>
      </c>
      <c r="H12849">
        <v>140571968</v>
      </c>
      <c r="I12849">
        <v>140571978</v>
      </c>
    </row>
    <row r="12850" spans="1:9" x14ac:dyDescent="0.2">
      <c r="A12850" s="1" t="str">
        <f>"PCDHB11"</f>
        <v>PCDHB11</v>
      </c>
      <c r="B12850" t="s">
        <v>14</v>
      </c>
      <c r="C12850" t="s">
        <v>46</v>
      </c>
      <c r="D12850" t="s">
        <v>17</v>
      </c>
      <c r="E12850" t="s">
        <v>12</v>
      </c>
      <c r="F12850">
        <v>140579162</v>
      </c>
      <c r="G12850">
        <v>140579209</v>
      </c>
      <c r="H12850">
        <v>140579139</v>
      </c>
      <c r="I12850">
        <v>140579161</v>
      </c>
    </row>
    <row r="12851" spans="1:9" x14ac:dyDescent="0.2">
      <c r="A12851" s="1" t="str">
        <f>"PCDHB12"</f>
        <v>PCDHB12</v>
      </c>
      <c r="B12851" t="s">
        <v>14</v>
      </c>
      <c r="C12851" t="s">
        <v>46</v>
      </c>
      <c r="D12851" t="s">
        <v>17</v>
      </c>
      <c r="E12851" t="s">
        <v>12</v>
      </c>
      <c r="F12851">
        <v>140588283</v>
      </c>
      <c r="G12851">
        <v>140588299</v>
      </c>
      <c r="H12851">
        <v>140588307</v>
      </c>
      <c r="I12851">
        <v>140588321</v>
      </c>
    </row>
    <row r="12852" spans="1:9" x14ac:dyDescent="0.2">
      <c r="A12852" s="1" t="str">
        <f>"PCDHB13"</f>
        <v>PCDHB13</v>
      </c>
      <c r="B12852" t="s">
        <v>1315</v>
      </c>
      <c r="C12852" t="s">
        <v>46</v>
      </c>
      <c r="D12852" t="s">
        <v>17</v>
      </c>
      <c r="E12852" t="s">
        <v>20</v>
      </c>
      <c r="F12852">
        <v>140593508</v>
      </c>
      <c r="G12852">
        <v>140593508</v>
      </c>
      <c r="H12852">
        <v>140593508</v>
      </c>
      <c r="I12852">
        <v>140593508</v>
      </c>
    </row>
    <row r="12853" spans="1:9" x14ac:dyDescent="0.2">
      <c r="A12853" s="1" t="str">
        <f>"PCDHB14"</f>
        <v>PCDHB14</v>
      </c>
      <c r="B12853" t="s">
        <v>14</v>
      </c>
      <c r="C12853" t="s">
        <v>46</v>
      </c>
      <c r="D12853" t="s">
        <v>17</v>
      </c>
      <c r="E12853" t="s">
        <v>12</v>
      </c>
      <c r="F12853">
        <v>140602904</v>
      </c>
      <c r="G12853">
        <v>140602970</v>
      </c>
      <c r="H12853">
        <v>140602904</v>
      </c>
      <c r="I12853">
        <v>140602970</v>
      </c>
    </row>
    <row r="12854" spans="1:9" x14ac:dyDescent="0.2">
      <c r="A12854" s="1" t="str">
        <f>"PCDHB15"</f>
        <v>PCDHB15</v>
      </c>
      <c r="B12854" t="s">
        <v>14</v>
      </c>
      <c r="C12854" t="s">
        <v>46</v>
      </c>
      <c r="D12854" t="s">
        <v>17</v>
      </c>
      <c r="E12854" t="s">
        <v>12</v>
      </c>
      <c r="F12854">
        <v>140624953</v>
      </c>
      <c r="G12854">
        <v>140624984</v>
      </c>
      <c r="H12854">
        <v>140624953</v>
      </c>
      <c r="I12854">
        <v>140624984</v>
      </c>
    </row>
    <row r="12855" spans="1:9" x14ac:dyDescent="0.2">
      <c r="A12855" s="1" t="str">
        <f>"PCDHB16"</f>
        <v>PCDHB16</v>
      </c>
      <c r="B12855" t="s">
        <v>14</v>
      </c>
      <c r="C12855" t="s">
        <v>46</v>
      </c>
      <c r="D12855" t="s">
        <v>17</v>
      </c>
      <c r="E12855" t="s">
        <v>12</v>
      </c>
      <c r="F12855">
        <v>140561944</v>
      </c>
      <c r="G12855">
        <v>140561991</v>
      </c>
      <c r="H12855">
        <v>140562009</v>
      </c>
      <c r="I12855">
        <v>140562018</v>
      </c>
    </row>
    <row r="12856" spans="1:9" x14ac:dyDescent="0.2">
      <c r="A12856" s="1" t="str">
        <f>"PCDHB2"</f>
        <v>PCDHB2</v>
      </c>
      <c r="B12856" t="s">
        <v>14</v>
      </c>
      <c r="C12856" t="s">
        <v>46</v>
      </c>
      <c r="D12856" t="s">
        <v>17</v>
      </c>
      <c r="E12856" t="s">
        <v>12</v>
      </c>
      <c r="F12856">
        <v>140474181</v>
      </c>
      <c r="G12856">
        <v>140474227</v>
      </c>
      <c r="H12856">
        <v>140474230</v>
      </c>
      <c r="I12856">
        <v>140474249</v>
      </c>
    </row>
    <row r="12857" spans="1:9" x14ac:dyDescent="0.2">
      <c r="A12857" s="1" t="str">
        <f>"PCDHB3"</f>
        <v>PCDHB3</v>
      </c>
      <c r="B12857" t="s">
        <v>14</v>
      </c>
      <c r="C12857" t="s">
        <v>46</v>
      </c>
      <c r="D12857" t="s">
        <v>17</v>
      </c>
      <c r="E12857" t="s">
        <v>12</v>
      </c>
      <c r="F12857">
        <v>140480050</v>
      </c>
      <c r="G12857">
        <v>140480065</v>
      </c>
      <c r="H12857">
        <v>140480050</v>
      </c>
      <c r="I12857">
        <v>140480065</v>
      </c>
    </row>
    <row r="12858" spans="1:9" x14ac:dyDescent="0.2">
      <c r="A12858" s="1" t="str">
        <f>"PCDHB4"</f>
        <v>PCDHB4</v>
      </c>
      <c r="B12858" t="s">
        <v>14</v>
      </c>
      <c r="C12858" t="s">
        <v>46</v>
      </c>
      <c r="D12858" t="s">
        <v>17</v>
      </c>
      <c r="E12858" t="s">
        <v>12</v>
      </c>
      <c r="F12858">
        <v>140501375</v>
      </c>
      <c r="G12858">
        <v>140501407</v>
      </c>
      <c r="H12858">
        <v>140501375</v>
      </c>
      <c r="I12858">
        <v>140501407</v>
      </c>
    </row>
    <row r="12859" spans="1:9" x14ac:dyDescent="0.2">
      <c r="A12859" s="1" t="str">
        <f>"PCDHB5"</f>
        <v>PCDHB5</v>
      </c>
      <c r="B12859" t="s">
        <v>14</v>
      </c>
      <c r="C12859" t="s">
        <v>46</v>
      </c>
      <c r="D12859" t="s">
        <v>17</v>
      </c>
      <c r="E12859" t="s">
        <v>12</v>
      </c>
      <c r="F12859">
        <v>140514782</v>
      </c>
      <c r="G12859">
        <v>140514851</v>
      </c>
      <c r="H12859">
        <v>140514782</v>
      </c>
      <c r="I12859">
        <v>140514851</v>
      </c>
    </row>
    <row r="12860" spans="1:9" x14ac:dyDescent="0.2">
      <c r="A12860" s="1" t="str">
        <f>"PCDHB6"</f>
        <v>PCDHB6</v>
      </c>
      <c r="B12860" t="s">
        <v>14</v>
      </c>
      <c r="C12860" t="s">
        <v>46</v>
      </c>
      <c r="D12860" t="s">
        <v>17</v>
      </c>
      <c r="E12860" t="s">
        <v>12</v>
      </c>
      <c r="F12860">
        <v>140529630</v>
      </c>
      <c r="G12860">
        <v>140529675</v>
      </c>
      <c r="H12860">
        <v>140529614</v>
      </c>
      <c r="I12860">
        <v>140529628</v>
      </c>
    </row>
    <row r="12861" spans="1:9" x14ac:dyDescent="0.2">
      <c r="A12861" s="1" t="str">
        <f>"PCDHB7"</f>
        <v>PCDHB7</v>
      </c>
      <c r="B12861" t="s">
        <v>14</v>
      </c>
      <c r="C12861" t="s">
        <v>46</v>
      </c>
      <c r="D12861" t="s">
        <v>17</v>
      </c>
      <c r="E12861" t="s">
        <v>12</v>
      </c>
      <c r="F12861">
        <v>140552218</v>
      </c>
      <c r="G12861">
        <v>140552244</v>
      </c>
      <c r="H12861">
        <v>140552199</v>
      </c>
      <c r="I12861">
        <v>140552200</v>
      </c>
    </row>
    <row r="12862" spans="1:9" x14ac:dyDescent="0.2">
      <c r="A12862" s="1" t="str">
        <f>"PCDHB8"</f>
        <v>PCDHB8</v>
      </c>
      <c r="B12862" t="s">
        <v>1316</v>
      </c>
      <c r="C12862" t="s">
        <v>46</v>
      </c>
      <c r="D12862" t="s">
        <v>17</v>
      </c>
      <c r="E12862" t="s">
        <v>20</v>
      </c>
      <c r="F12862">
        <v>140557370</v>
      </c>
      <c r="G12862">
        <v>140557370</v>
      </c>
      <c r="H12862">
        <v>140557370</v>
      </c>
      <c r="I12862">
        <v>140557370</v>
      </c>
    </row>
    <row r="12863" spans="1:9" x14ac:dyDescent="0.2">
      <c r="A12863" s="1" t="str">
        <f>"PCDHB9"</f>
        <v>PCDHB9</v>
      </c>
      <c r="B12863" t="s">
        <v>14</v>
      </c>
      <c r="C12863" t="s">
        <v>46</v>
      </c>
      <c r="D12863" t="s">
        <v>17</v>
      </c>
      <c r="E12863" t="s">
        <v>12</v>
      </c>
      <c r="F12863">
        <v>140571902</v>
      </c>
      <c r="G12863">
        <v>140571967</v>
      </c>
      <c r="H12863">
        <v>140571902</v>
      </c>
      <c r="I12863">
        <v>140571967</v>
      </c>
    </row>
    <row r="12864" spans="1:9" x14ac:dyDescent="0.2">
      <c r="A12864" s="1" t="str">
        <f>"PCDHGA1"</f>
        <v>PCDHGA1</v>
      </c>
      <c r="B12864" t="s">
        <v>14</v>
      </c>
      <c r="C12864" t="s">
        <v>46</v>
      </c>
      <c r="D12864" t="s">
        <v>17</v>
      </c>
      <c r="E12864" t="s">
        <v>12</v>
      </c>
      <c r="F12864">
        <v>140710061</v>
      </c>
      <c r="G12864">
        <v>140710103</v>
      </c>
      <c r="H12864">
        <v>140710061</v>
      </c>
      <c r="I12864">
        <v>140710103</v>
      </c>
    </row>
    <row r="12865" spans="1:9" x14ac:dyDescent="0.2">
      <c r="A12865" s="1" t="str">
        <f>"PCDHGA10"</f>
        <v>PCDHGA10</v>
      </c>
      <c r="B12865" t="s">
        <v>14</v>
      </c>
      <c r="C12865" t="s">
        <v>46</v>
      </c>
      <c r="D12865" t="s">
        <v>17</v>
      </c>
      <c r="E12865" t="s">
        <v>12</v>
      </c>
      <c r="F12865">
        <v>140792565</v>
      </c>
      <c r="G12865">
        <v>140792598</v>
      </c>
      <c r="H12865">
        <v>140792565</v>
      </c>
      <c r="I12865">
        <v>140792598</v>
      </c>
    </row>
    <row r="12866" spans="1:9" x14ac:dyDescent="0.2">
      <c r="A12866" s="1" t="str">
        <f>"PCDHGA11"</f>
        <v>PCDHGA11</v>
      </c>
      <c r="B12866" t="s">
        <v>14</v>
      </c>
      <c r="C12866" t="s">
        <v>46</v>
      </c>
      <c r="D12866" t="s">
        <v>17</v>
      </c>
      <c r="E12866" t="s">
        <v>12</v>
      </c>
      <c r="F12866">
        <v>140800587</v>
      </c>
      <c r="G12866">
        <v>140800630</v>
      </c>
      <c r="H12866">
        <v>140800638</v>
      </c>
      <c r="I12866">
        <v>140800653</v>
      </c>
    </row>
    <row r="12867" spans="1:9" x14ac:dyDescent="0.2">
      <c r="A12867" s="1" t="str">
        <f>"PCDHGA12"</f>
        <v>PCDHGA12</v>
      </c>
      <c r="B12867" t="s">
        <v>14</v>
      </c>
      <c r="C12867" t="s">
        <v>46</v>
      </c>
      <c r="D12867" t="s">
        <v>17</v>
      </c>
      <c r="E12867" t="s">
        <v>12</v>
      </c>
      <c r="F12867">
        <v>140810132</v>
      </c>
      <c r="G12867">
        <v>140810214</v>
      </c>
      <c r="H12867">
        <v>140810067</v>
      </c>
      <c r="I12867">
        <v>140810089</v>
      </c>
    </row>
    <row r="12868" spans="1:9" x14ac:dyDescent="0.2">
      <c r="A12868" s="1" t="str">
        <f>"PCDHGA2"</f>
        <v>PCDHGA2</v>
      </c>
      <c r="B12868" t="s">
        <v>14</v>
      </c>
      <c r="C12868" t="s">
        <v>46</v>
      </c>
      <c r="D12868" t="s">
        <v>17</v>
      </c>
      <c r="E12868" t="s">
        <v>12</v>
      </c>
      <c r="F12868">
        <v>140718320</v>
      </c>
      <c r="G12868">
        <v>140718343</v>
      </c>
      <c r="H12868">
        <v>140718370</v>
      </c>
      <c r="I12868">
        <v>140718395</v>
      </c>
    </row>
    <row r="12869" spans="1:9" x14ac:dyDescent="0.2">
      <c r="A12869" s="1" t="str">
        <f>"PCDHGA3"</f>
        <v>PCDHGA3</v>
      </c>
      <c r="B12869" t="s">
        <v>14</v>
      </c>
      <c r="C12869" t="s">
        <v>46</v>
      </c>
      <c r="D12869" t="s">
        <v>17</v>
      </c>
      <c r="E12869" t="s">
        <v>12</v>
      </c>
      <c r="F12869">
        <v>140723385</v>
      </c>
      <c r="G12869">
        <v>140723448</v>
      </c>
      <c r="H12869">
        <v>140723385</v>
      </c>
      <c r="I12869">
        <v>140723448</v>
      </c>
    </row>
    <row r="12870" spans="1:9" x14ac:dyDescent="0.2">
      <c r="A12870" s="1" t="str">
        <f>"PCDHGA4"</f>
        <v>PCDHGA4</v>
      </c>
      <c r="B12870" t="s">
        <v>14</v>
      </c>
      <c r="C12870" t="s">
        <v>46</v>
      </c>
      <c r="D12870" t="s">
        <v>17</v>
      </c>
      <c r="E12870" t="s">
        <v>12</v>
      </c>
      <c r="F12870">
        <v>140734570</v>
      </c>
      <c r="G12870">
        <v>140734631</v>
      </c>
      <c r="H12870">
        <v>140734570</v>
      </c>
      <c r="I12870">
        <v>140734631</v>
      </c>
    </row>
    <row r="12871" spans="1:9" x14ac:dyDescent="0.2">
      <c r="A12871" s="1" t="str">
        <f>"PCDHGA5"</f>
        <v>PCDHGA5</v>
      </c>
      <c r="B12871" t="s">
        <v>14</v>
      </c>
      <c r="C12871" t="s">
        <v>46</v>
      </c>
      <c r="D12871" t="s">
        <v>17</v>
      </c>
      <c r="E12871" t="s">
        <v>12</v>
      </c>
      <c r="F12871">
        <v>140743737</v>
      </c>
      <c r="G12871">
        <v>140743773</v>
      </c>
      <c r="H12871">
        <v>140743859</v>
      </c>
      <c r="I12871">
        <v>140743876</v>
      </c>
    </row>
    <row r="12872" spans="1:9" x14ac:dyDescent="0.2">
      <c r="A12872" s="1" t="str">
        <f>"PCDHGA6"</f>
        <v>PCDHGA6</v>
      </c>
      <c r="B12872" t="s">
        <v>14</v>
      </c>
      <c r="C12872" t="s">
        <v>46</v>
      </c>
      <c r="D12872" t="s">
        <v>17</v>
      </c>
      <c r="E12872" t="s">
        <v>12</v>
      </c>
      <c r="F12872">
        <v>140753444</v>
      </c>
      <c r="G12872">
        <v>140753518</v>
      </c>
      <c r="H12872">
        <v>140753444</v>
      </c>
      <c r="I12872">
        <v>140753518</v>
      </c>
    </row>
    <row r="12873" spans="1:9" x14ac:dyDescent="0.2">
      <c r="A12873" s="1" t="str">
        <f>"PCDHGA7"</f>
        <v>PCDHGA7</v>
      </c>
      <c r="B12873" t="s">
        <v>14</v>
      </c>
      <c r="C12873" t="s">
        <v>46</v>
      </c>
      <c r="D12873" t="s">
        <v>17</v>
      </c>
      <c r="E12873" t="s">
        <v>12</v>
      </c>
      <c r="F12873">
        <v>140762268</v>
      </c>
      <c r="G12873">
        <v>140762318</v>
      </c>
      <c r="H12873">
        <v>140762268</v>
      </c>
      <c r="I12873">
        <v>140762318</v>
      </c>
    </row>
    <row r="12874" spans="1:9" x14ac:dyDescent="0.2">
      <c r="A12874" s="1" t="str">
        <f>"PCDHGA8"</f>
        <v>PCDHGA8</v>
      </c>
      <c r="B12874" t="s">
        <v>14</v>
      </c>
      <c r="C12874" t="s">
        <v>46</v>
      </c>
      <c r="D12874" t="s">
        <v>17</v>
      </c>
      <c r="E12874" t="s">
        <v>12</v>
      </c>
      <c r="F12874">
        <v>140772184</v>
      </c>
      <c r="G12874">
        <v>140772205</v>
      </c>
      <c r="H12874">
        <v>140772184</v>
      </c>
      <c r="I12874">
        <v>140772205</v>
      </c>
    </row>
    <row r="12875" spans="1:9" x14ac:dyDescent="0.2">
      <c r="A12875" s="1" t="str">
        <f>"PCDHGA9"</f>
        <v>PCDHGA9</v>
      </c>
      <c r="B12875" t="s">
        <v>14</v>
      </c>
      <c r="C12875" t="s">
        <v>46</v>
      </c>
      <c r="D12875" t="s">
        <v>17</v>
      </c>
      <c r="E12875" t="s">
        <v>12</v>
      </c>
      <c r="F12875">
        <v>140782351</v>
      </c>
      <c r="G12875">
        <v>140782380</v>
      </c>
      <c r="H12875">
        <v>140782351</v>
      </c>
      <c r="I12875">
        <v>140782380</v>
      </c>
    </row>
    <row r="12876" spans="1:9" x14ac:dyDescent="0.2">
      <c r="A12876" s="1" t="str">
        <f>"PCDHGB1"</f>
        <v>PCDHGB1</v>
      </c>
      <c r="B12876" t="s">
        <v>14</v>
      </c>
      <c r="C12876" t="s">
        <v>46</v>
      </c>
      <c r="D12876" t="s">
        <v>17</v>
      </c>
      <c r="E12876" t="s">
        <v>12</v>
      </c>
      <c r="F12876">
        <v>140729649</v>
      </c>
      <c r="G12876">
        <v>140729713</v>
      </c>
      <c r="H12876">
        <v>140729649</v>
      </c>
      <c r="I12876">
        <v>140729713</v>
      </c>
    </row>
    <row r="12877" spans="1:9" x14ac:dyDescent="0.2">
      <c r="A12877" s="1" t="str">
        <f>"PCDHGB2"</f>
        <v>PCDHGB2</v>
      </c>
      <c r="B12877" t="s">
        <v>14</v>
      </c>
      <c r="C12877" t="s">
        <v>46</v>
      </c>
      <c r="D12877" t="s">
        <v>17</v>
      </c>
      <c r="E12877" t="s">
        <v>12</v>
      </c>
      <c r="F12877">
        <v>140739537</v>
      </c>
      <c r="G12877">
        <v>140739595</v>
      </c>
      <c r="H12877">
        <v>140739619</v>
      </c>
      <c r="I12877">
        <v>140739631</v>
      </c>
    </row>
    <row r="12878" spans="1:9" x14ac:dyDescent="0.2">
      <c r="A12878" s="1" t="str">
        <f>"PCDHGB3"</f>
        <v>PCDHGB3</v>
      </c>
      <c r="B12878" t="s">
        <v>14</v>
      </c>
      <c r="C12878" t="s">
        <v>46</v>
      </c>
      <c r="D12878" t="s">
        <v>17</v>
      </c>
      <c r="E12878" t="s">
        <v>12</v>
      </c>
      <c r="F12878">
        <v>140749803</v>
      </c>
      <c r="G12878">
        <v>140749821</v>
      </c>
      <c r="H12878">
        <v>140749803</v>
      </c>
      <c r="I12878">
        <v>140749821</v>
      </c>
    </row>
    <row r="12879" spans="1:9" x14ac:dyDescent="0.2">
      <c r="A12879" s="1" t="str">
        <f>"PCDHGB4"</f>
        <v>PCDHGB4</v>
      </c>
      <c r="B12879" t="s">
        <v>14</v>
      </c>
      <c r="C12879" t="s">
        <v>46</v>
      </c>
      <c r="D12879" t="s">
        <v>17</v>
      </c>
      <c r="E12879" t="s">
        <v>12</v>
      </c>
      <c r="F12879">
        <v>140767262</v>
      </c>
      <c r="G12879">
        <v>140767303</v>
      </c>
      <c r="H12879">
        <v>140767262</v>
      </c>
      <c r="I12879">
        <v>140767303</v>
      </c>
    </row>
    <row r="12880" spans="1:9" x14ac:dyDescent="0.2">
      <c r="A12880" s="1" t="str">
        <f>"PCDHGB5"</f>
        <v>PCDHGB5</v>
      </c>
      <c r="B12880" t="s">
        <v>14</v>
      </c>
      <c r="C12880" t="s">
        <v>46</v>
      </c>
      <c r="D12880" t="s">
        <v>17</v>
      </c>
      <c r="E12880" t="s">
        <v>12</v>
      </c>
      <c r="F12880">
        <v>140777508</v>
      </c>
      <c r="G12880">
        <v>140777550</v>
      </c>
      <c r="H12880">
        <v>140777508</v>
      </c>
      <c r="I12880">
        <v>140777550</v>
      </c>
    </row>
    <row r="12881" spans="1:9" x14ac:dyDescent="0.2">
      <c r="A12881" s="1" t="str">
        <f>"PCDHGB6"</f>
        <v>PCDHGB6</v>
      </c>
      <c r="B12881" t="s">
        <v>14</v>
      </c>
      <c r="C12881" t="s">
        <v>46</v>
      </c>
      <c r="D12881" t="s">
        <v>17</v>
      </c>
      <c r="E12881" t="s">
        <v>12</v>
      </c>
      <c r="F12881">
        <v>140787568</v>
      </c>
      <c r="G12881">
        <v>140787594</v>
      </c>
      <c r="H12881">
        <v>140787568</v>
      </c>
      <c r="I12881">
        <v>140787594</v>
      </c>
    </row>
    <row r="12882" spans="1:9" x14ac:dyDescent="0.2">
      <c r="A12882" s="1" t="str">
        <f>"PCDHGB7"</f>
        <v>PCDHGB7</v>
      </c>
      <c r="B12882" t="s">
        <v>14</v>
      </c>
      <c r="C12882" t="s">
        <v>46</v>
      </c>
      <c r="D12882" t="s">
        <v>17</v>
      </c>
      <c r="E12882" t="s">
        <v>12</v>
      </c>
      <c r="F12882">
        <v>140797229</v>
      </c>
      <c r="G12882">
        <v>140797295</v>
      </c>
      <c r="H12882">
        <v>140797208</v>
      </c>
      <c r="I12882">
        <v>140797219</v>
      </c>
    </row>
    <row r="12883" spans="1:9" x14ac:dyDescent="0.2">
      <c r="A12883" s="1" t="str">
        <f>"PCDHGC3"</f>
        <v>PCDHGC3</v>
      </c>
      <c r="B12883" t="s">
        <v>14</v>
      </c>
      <c r="C12883" t="s">
        <v>46</v>
      </c>
      <c r="D12883" t="s">
        <v>17</v>
      </c>
      <c r="E12883" t="s">
        <v>12</v>
      </c>
      <c r="F12883">
        <v>140855495</v>
      </c>
      <c r="G12883">
        <v>140855577</v>
      </c>
      <c r="H12883">
        <v>140855495</v>
      </c>
      <c r="I12883">
        <v>140855577</v>
      </c>
    </row>
    <row r="12884" spans="1:9" x14ac:dyDescent="0.2">
      <c r="A12884" s="1" t="str">
        <f>"PCDHGC4"</f>
        <v>PCDHGC4</v>
      </c>
      <c r="B12884" t="s">
        <v>14</v>
      </c>
      <c r="C12884" t="s">
        <v>46</v>
      </c>
      <c r="D12884" t="s">
        <v>17</v>
      </c>
      <c r="E12884" t="s">
        <v>12</v>
      </c>
      <c r="F12884">
        <v>140864581</v>
      </c>
      <c r="G12884">
        <v>140864634</v>
      </c>
      <c r="H12884">
        <v>140864649</v>
      </c>
      <c r="I12884">
        <v>140864664</v>
      </c>
    </row>
    <row r="12885" spans="1:9" x14ac:dyDescent="0.2">
      <c r="A12885" s="1" t="str">
        <f>"PCDHGC5"</f>
        <v>PCDHGC5</v>
      </c>
      <c r="B12885" t="s">
        <v>14</v>
      </c>
      <c r="C12885" t="s">
        <v>46</v>
      </c>
      <c r="D12885" t="s">
        <v>17</v>
      </c>
      <c r="E12885" t="s">
        <v>12</v>
      </c>
      <c r="F12885">
        <v>140868673</v>
      </c>
      <c r="G12885">
        <v>140868706</v>
      </c>
      <c r="H12885">
        <v>140868673</v>
      </c>
      <c r="I12885">
        <v>140868706</v>
      </c>
    </row>
    <row r="12886" spans="1:9" x14ac:dyDescent="0.2">
      <c r="A12886" s="1" t="str">
        <f>"PCDP1"</f>
        <v>PCDP1</v>
      </c>
      <c r="B12886" t="s">
        <v>14</v>
      </c>
      <c r="C12886" t="s">
        <v>26</v>
      </c>
      <c r="D12886" t="s">
        <v>17</v>
      </c>
      <c r="E12886" t="s">
        <v>12</v>
      </c>
      <c r="F12886">
        <v>120301997</v>
      </c>
      <c r="G12886">
        <v>120302038</v>
      </c>
      <c r="H12886">
        <v>120302041</v>
      </c>
      <c r="I12886">
        <v>120302052</v>
      </c>
    </row>
    <row r="12887" spans="1:9" x14ac:dyDescent="0.2">
      <c r="A12887" s="1" t="str">
        <f>"PCED1A"</f>
        <v>PCED1A</v>
      </c>
      <c r="B12887" t="s">
        <v>14</v>
      </c>
      <c r="C12887" t="s">
        <v>29</v>
      </c>
      <c r="D12887" t="s">
        <v>11</v>
      </c>
      <c r="E12887" t="s">
        <v>12</v>
      </c>
      <c r="F12887">
        <v>2821271</v>
      </c>
      <c r="G12887">
        <v>2821343</v>
      </c>
      <c r="H12887">
        <v>2821756</v>
      </c>
      <c r="I12887">
        <v>2821813</v>
      </c>
    </row>
    <row r="12888" spans="1:9" x14ac:dyDescent="0.2">
      <c r="A12888" s="1" t="str">
        <f>"PCED1B"</f>
        <v>PCED1B</v>
      </c>
      <c r="B12888" t="s">
        <v>9</v>
      </c>
      <c r="C12888" t="s">
        <v>16</v>
      </c>
      <c r="D12888" t="s">
        <v>17</v>
      </c>
      <c r="E12888" t="s">
        <v>12</v>
      </c>
      <c r="F12888">
        <v>47610315</v>
      </c>
      <c r="G12888">
        <v>47610386</v>
      </c>
      <c r="H12888">
        <v>47610315</v>
      </c>
      <c r="I12888">
        <v>47610386</v>
      </c>
    </row>
    <row r="12889" spans="1:9" x14ac:dyDescent="0.2">
      <c r="A12889" s="1" t="str">
        <f>"PCED1B"</f>
        <v>PCED1B</v>
      </c>
      <c r="B12889" t="s">
        <v>13</v>
      </c>
      <c r="C12889" t="s">
        <v>16</v>
      </c>
      <c r="D12889" t="s">
        <v>17</v>
      </c>
      <c r="E12889" t="s">
        <v>12</v>
      </c>
      <c r="F12889">
        <v>47473369</v>
      </c>
      <c r="G12889">
        <v>47473438</v>
      </c>
      <c r="H12889">
        <v>47473369</v>
      </c>
      <c r="I12889">
        <v>47473438</v>
      </c>
    </row>
    <row r="12890" spans="1:9" x14ac:dyDescent="0.2">
      <c r="A12890" s="1" t="str">
        <f>"PCF11"</f>
        <v>PCF11</v>
      </c>
      <c r="B12890" t="s">
        <v>14</v>
      </c>
      <c r="C12890" t="s">
        <v>27</v>
      </c>
      <c r="D12890" t="s">
        <v>17</v>
      </c>
      <c r="E12890" t="s">
        <v>12</v>
      </c>
      <c r="F12890">
        <v>82868189</v>
      </c>
      <c r="G12890">
        <v>82868212</v>
      </c>
      <c r="H12890">
        <v>82868158</v>
      </c>
      <c r="I12890">
        <v>82868179</v>
      </c>
    </row>
    <row r="12891" spans="1:9" x14ac:dyDescent="0.2">
      <c r="A12891" s="1" t="str">
        <f>"PCGF1"</f>
        <v>PCGF1</v>
      </c>
      <c r="B12891" t="s">
        <v>14</v>
      </c>
      <c r="C12891" t="s">
        <v>26</v>
      </c>
      <c r="D12891" t="s">
        <v>11</v>
      </c>
      <c r="E12891" t="s">
        <v>12</v>
      </c>
      <c r="F12891">
        <v>74734791</v>
      </c>
      <c r="G12891">
        <v>74734840</v>
      </c>
      <c r="H12891">
        <v>74734505</v>
      </c>
      <c r="I12891">
        <v>74734571</v>
      </c>
    </row>
    <row r="12892" spans="1:9" x14ac:dyDescent="0.2">
      <c r="A12892" s="1" t="str">
        <f>"PCGF2"</f>
        <v>PCGF2</v>
      </c>
      <c r="B12892" t="s">
        <v>9</v>
      </c>
      <c r="C12892" t="s">
        <v>28</v>
      </c>
      <c r="D12892" t="s">
        <v>11</v>
      </c>
      <c r="E12892" t="s">
        <v>12</v>
      </c>
      <c r="F12892">
        <v>36904548</v>
      </c>
      <c r="G12892">
        <v>36904616</v>
      </c>
      <c r="H12892">
        <v>36904548</v>
      </c>
      <c r="I12892">
        <v>36904616</v>
      </c>
    </row>
    <row r="12893" spans="1:9" x14ac:dyDescent="0.2">
      <c r="A12893" s="1" t="str">
        <f>"PCGF2"</f>
        <v>PCGF2</v>
      </c>
      <c r="B12893" t="s">
        <v>13</v>
      </c>
      <c r="C12893" t="s">
        <v>28</v>
      </c>
      <c r="D12893" t="s">
        <v>11</v>
      </c>
      <c r="E12893" t="s">
        <v>12</v>
      </c>
      <c r="F12893">
        <v>36906019</v>
      </c>
      <c r="G12893">
        <v>36906052</v>
      </c>
      <c r="H12893">
        <v>36906019</v>
      </c>
      <c r="I12893">
        <v>36906052</v>
      </c>
    </row>
    <row r="12894" spans="1:9" x14ac:dyDescent="0.2">
      <c r="A12894" s="1" t="str">
        <f>"PCGF3"</f>
        <v>PCGF3</v>
      </c>
      <c r="B12894" t="s">
        <v>14</v>
      </c>
      <c r="C12894" t="s">
        <v>23</v>
      </c>
      <c r="D12894" t="s">
        <v>17</v>
      </c>
      <c r="E12894" t="s">
        <v>12</v>
      </c>
      <c r="F12894">
        <v>699610</v>
      </c>
      <c r="G12894">
        <v>699639</v>
      </c>
      <c r="H12894">
        <v>699550</v>
      </c>
      <c r="I12894">
        <v>699600</v>
      </c>
    </row>
    <row r="12895" spans="1:9" x14ac:dyDescent="0.2">
      <c r="A12895" s="1" t="str">
        <f>"PCGF5"</f>
        <v>PCGF5</v>
      </c>
      <c r="B12895" t="s">
        <v>1317</v>
      </c>
      <c r="C12895" t="s">
        <v>15</v>
      </c>
      <c r="D12895" t="s">
        <v>17</v>
      </c>
      <c r="E12895" t="s">
        <v>35</v>
      </c>
      <c r="F12895">
        <v>92980343</v>
      </c>
      <c r="G12895">
        <v>92980348</v>
      </c>
      <c r="H12895">
        <v>92980517</v>
      </c>
      <c r="I12895">
        <v>92980550</v>
      </c>
    </row>
    <row r="12896" spans="1:9" x14ac:dyDescent="0.2">
      <c r="A12896" s="1" t="str">
        <f>"PCGF5"</f>
        <v>PCGF5</v>
      </c>
      <c r="B12896" t="s">
        <v>1318</v>
      </c>
      <c r="C12896" t="s">
        <v>15</v>
      </c>
      <c r="D12896" t="s">
        <v>17</v>
      </c>
      <c r="E12896" t="s">
        <v>35</v>
      </c>
      <c r="F12896">
        <v>92979906</v>
      </c>
      <c r="G12896">
        <v>92979914</v>
      </c>
      <c r="H12896">
        <v>92980043</v>
      </c>
      <c r="I12896">
        <v>92980045</v>
      </c>
    </row>
    <row r="12897" spans="1:9" x14ac:dyDescent="0.2">
      <c r="A12897" s="1" t="str">
        <f>"PCGF6"</f>
        <v>PCGF6</v>
      </c>
      <c r="B12897" t="s">
        <v>14</v>
      </c>
      <c r="C12897" t="s">
        <v>15</v>
      </c>
      <c r="D12897" t="s">
        <v>11</v>
      </c>
      <c r="E12897" t="s">
        <v>12</v>
      </c>
      <c r="F12897">
        <v>105110831</v>
      </c>
      <c r="G12897">
        <v>105110885</v>
      </c>
      <c r="H12897">
        <v>105110890</v>
      </c>
      <c r="I12897">
        <v>105110914</v>
      </c>
    </row>
    <row r="12898" spans="1:9" x14ac:dyDescent="0.2">
      <c r="A12898" s="1" t="str">
        <f>"PCID2"</f>
        <v>PCID2</v>
      </c>
      <c r="B12898" t="s">
        <v>9</v>
      </c>
      <c r="C12898" t="s">
        <v>39</v>
      </c>
      <c r="D12898" t="s">
        <v>11</v>
      </c>
      <c r="E12898" t="s">
        <v>12</v>
      </c>
      <c r="F12898">
        <v>113862948</v>
      </c>
      <c r="G12898">
        <v>113863016</v>
      </c>
      <c r="H12898">
        <v>113862948</v>
      </c>
      <c r="I12898">
        <v>113863016</v>
      </c>
    </row>
    <row r="12899" spans="1:9" x14ac:dyDescent="0.2">
      <c r="A12899" s="1" t="str">
        <f>"PCID2"</f>
        <v>PCID2</v>
      </c>
      <c r="B12899" t="s">
        <v>13</v>
      </c>
      <c r="C12899" t="s">
        <v>39</v>
      </c>
      <c r="D12899" t="s">
        <v>11</v>
      </c>
      <c r="E12899" t="s">
        <v>12</v>
      </c>
      <c r="F12899">
        <v>113841579</v>
      </c>
      <c r="G12899">
        <v>113841679</v>
      </c>
      <c r="H12899">
        <v>113841579</v>
      </c>
      <c r="I12899">
        <v>113841679</v>
      </c>
    </row>
    <row r="12900" spans="1:9" x14ac:dyDescent="0.2">
      <c r="A12900" s="1" t="str">
        <f>"PCIF1"</f>
        <v>PCIF1</v>
      </c>
      <c r="B12900" t="s">
        <v>14</v>
      </c>
      <c r="C12900" t="s">
        <v>29</v>
      </c>
      <c r="D12900" t="s">
        <v>17</v>
      </c>
      <c r="E12900" t="s">
        <v>12</v>
      </c>
      <c r="F12900">
        <v>44563311</v>
      </c>
      <c r="G12900">
        <v>44563354</v>
      </c>
      <c r="H12900">
        <v>44563021</v>
      </c>
      <c r="I12900">
        <v>44563066</v>
      </c>
    </row>
    <row r="12901" spans="1:9" x14ac:dyDescent="0.2">
      <c r="A12901" s="1" t="str">
        <f>"PCK1"</f>
        <v>PCK1</v>
      </c>
      <c r="B12901" t="s">
        <v>14</v>
      </c>
      <c r="C12901" t="s">
        <v>29</v>
      </c>
      <c r="D12901" t="s">
        <v>17</v>
      </c>
      <c r="E12901" t="s">
        <v>12</v>
      </c>
      <c r="F12901">
        <v>56136159</v>
      </c>
      <c r="G12901">
        <v>56136173</v>
      </c>
      <c r="H12901">
        <v>56136159</v>
      </c>
      <c r="I12901">
        <v>56136173</v>
      </c>
    </row>
    <row r="12902" spans="1:9" x14ac:dyDescent="0.2">
      <c r="A12902" s="1" t="str">
        <f>"PCK2"</f>
        <v>PCK2</v>
      </c>
      <c r="B12902" t="s">
        <v>14</v>
      </c>
      <c r="C12902" t="s">
        <v>41</v>
      </c>
      <c r="D12902" t="s">
        <v>17</v>
      </c>
      <c r="E12902" t="s">
        <v>12</v>
      </c>
      <c r="F12902">
        <v>24563512</v>
      </c>
      <c r="G12902">
        <v>24563528</v>
      </c>
      <c r="H12902">
        <v>24563348</v>
      </c>
      <c r="I12902">
        <v>24563400</v>
      </c>
    </row>
    <row r="12903" spans="1:9" x14ac:dyDescent="0.2">
      <c r="A12903" s="1" t="str">
        <f>"PCLO"</f>
        <v>PCLO</v>
      </c>
      <c r="B12903" t="s">
        <v>14</v>
      </c>
      <c r="C12903" t="s">
        <v>33</v>
      </c>
      <c r="D12903" t="s">
        <v>11</v>
      </c>
      <c r="E12903" t="s">
        <v>12</v>
      </c>
      <c r="F12903">
        <v>82792174</v>
      </c>
      <c r="G12903">
        <v>82792212</v>
      </c>
      <c r="H12903">
        <v>82792215</v>
      </c>
      <c r="I12903">
        <v>82792230</v>
      </c>
    </row>
    <row r="12904" spans="1:9" x14ac:dyDescent="0.2">
      <c r="A12904" s="1" t="str">
        <f>"PCM1"</f>
        <v>PCM1</v>
      </c>
      <c r="B12904" t="s">
        <v>14</v>
      </c>
      <c r="C12904" t="s">
        <v>30</v>
      </c>
      <c r="D12904" t="s">
        <v>17</v>
      </c>
      <c r="E12904" t="s">
        <v>12</v>
      </c>
      <c r="F12904">
        <v>17780483</v>
      </c>
      <c r="G12904">
        <v>17780510</v>
      </c>
      <c r="H12904">
        <v>17780346</v>
      </c>
      <c r="I12904">
        <v>17780375</v>
      </c>
    </row>
    <row r="12905" spans="1:9" x14ac:dyDescent="0.2">
      <c r="A12905" s="1" t="str">
        <f>"PCMT1"</f>
        <v>PCMT1</v>
      </c>
      <c r="B12905" t="s">
        <v>14</v>
      </c>
      <c r="C12905" t="s">
        <v>32</v>
      </c>
      <c r="D12905" t="s">
        <v>17</v>
      </c>
      <c r="E12905" t="s">
        <v>12</v>
      </c>
      <c r="F12905">
        <v>150070857</v>
      </c>
      <c r="G12905">
        <v>150070920</v>
      </c>
      <c r="H12905">
        <v>150070847</v>
      </c>
      <c r="I12905">
        <v>150070856</v>
      </c>
    </row>
    <row r="12906" spans="1:9" x14ac:dyDescent="0.2">
      <c r="A12906" s="1" t="str">
        <f>"PCMTD1"</f>
        <v>PCMTD1</v>
      </c>
      <c r="B12906" t="s">
        <v>14</v>
      </c>
      <c r="C12906" t="s">
        <v>30</v>
      </c>
      <c r="D12906" t="s">
        <v>11</v>
      </c>
      <c r="E12906" t="s">
        <v>12</v>
      </c>
      <c r="F12906">
        <v>52811564</v>
      </c>
      <c r="G12906">
        <v>52811634</v>
      </c>
      <c r="H12906">
        <v>52811640</v>
      </c>
      <c r="I12906">
        <v>52811696</v>
      </c>
    </row>
    <row r="12907" spans="1:9" x14ac:dyDescent="0.2">
      <c r="A12907" s="1" t="str">
        <f>"PCMTD2"</f>
        <v>PCMTD2</v>
      </c>
      <c r="B12907" t="s">
        <v>14</v>
      </c>
      <c r="C12907" t="s">
        <v>29</v>
      </c>
      <c r="D12907" t="s">
        <v>17</v>
      </c>
      <c r="E12907" t="s">
        <v>12</v>
      </c>
      <c r="F12907">
        <v>62887081</v>
      </c>
      <c r="G12907">
        <v>62887137</v>
      </c>
      <c r="H12907">
        <v>62887139</v>
      </c>
      <c r="I12907">
        <v>62887158</v>
      </c>
    </row>
    <row r="12908" spans="1:9" x14ac:dyDescent="0.2">
      <c r="A12908" s="1" t="str">
        <f>"PCNA"</f>
        <v>PCNA</v>
      </c>
      <c r="B12908" t="s">
        <v>14</v>
      </c>
      <c r="C12908" t="s">
        <v>29</v>
      </c>
      <c r="D12908" t="s">
        <v>11</v>
      </c>
      <c r="E12908" t="s">
        <v>12</v>
      </c>
      <c r="F12908">
        <v>5100591</v>
      </c>
      <c r="G12908">
        <v>5100611</v>
      </c>
      <c r="H12908">
        <v>5100567</v>
      </c>
      <c r="I12908">
        <v>5100581</v>
      </c>
    </row>
    <row r="12909" spans="1:9" x14ac:dyDescent="0.2">
      <c r="A12909" s="1" t="str">
        <f>"PCNP"</f>
        <v>PCNP</v>
      </c>
      <c r="B12909" t="s">
        <v>14</v>
      </c>
      <c r="C12909" t="s">
        <v>22</v>
      </c>
      <c r="D12909" t="s">
        <v>17</v>
      </c>
      <c r="E12909" t="s">
        <v>12</v>
      </c>
      <c r="F12909">
        <v>101293001</v>
      </c>
      <c r="G12909">
        <v>101293063</v>
      </c>
      <c r="H12909">
        <v>101293001</v>
      </c>
      <c r="I12909">
        <v>101293063</v>
      </c>
    </row>
    <row r="12910" spans="1:9" x14ac:dyDescent="0.2">
      <c r="A12910" s="1" t="str">
        <f>"PCNT"</f>
        <v>PCNT</v>
      </c>
      <c r="B12910" t="s">
        <v>14</v>
      </c>
      <c r="C12910" t="s">
        <v>42</v>
      </c>
      <c r="D12910" t="s">
        <v>17</v>
      </c>
      <c r="E12910" t="s">
        <v>12</v>
      </c>
      <c r="F12910">
        <v>47743995</v>
      </c>
      <c r="G12910">
        <v>47744111</v>
      </c>
      <c r="H12910">
        <v>47744566</v>
      </c>
      <c r="I12910">
        <v>47744621</v>
      </c>
    </row>
    <row r="12911" spans="1:9" x14ac:dyDescent="0.2">
      <c r="A12911" s="1" t="str">
        <f>"PCNX"</f>
        <v>PCNX</v>
      </c>
      <c r="B12911" t="s">
        <v>14</v>
      </c>
      <c r="C12911" t="s">
        <v>41</v>
      </c>
      <c r="D12911" t="s">
        <v>17</v>
      </c>
      <c r="E12911" t="s">
        <v>12</v>
      </c>
      <c r="F12911">
        <v>71374136</v>
      </c>
      <c r="G12911">
        <v>71374193</v>
      </c>
      <c r="H12911">
        <v>71374264</v>
      </c>
      <c r="I12911">
        <v>71374297</v>
      </c>
    </row>
    <row r="12912" spans="1:9" x14ac:dyDescent="0.2">
      <c r="A12912" s="1" t="str">
        <f>"PCNXL2"</f>
        <v>PCNXL2</v>
      </c>
      <c r="B12912" t="s">
        <v>14</v>
      </c>
      <c r="C12912" t="s">
        <v>19</v>
      </c>
      <c r="D12912" t="s">
        <v>11</v>
      </c>
      <c r="E12912" t="s">
        <v>12</v>
      </c>
      <c r="F12912">
        <v>233431458</v>
      </c>
      <c r="G12912">
        <v>233431489</v>
      </c>
      <c r="H12912">
        <v>233431458</v>
      </c>
      <c r="I12912">
        <v>233431489</v>
      </c>
    </row>
    <row r="12913" spans="1:9" x14ac:dyDescent="0.2">
      <c r="A12913" s="1" t="str">
        <f>"PCNXL3"</f>
        <v>PCNXL3</v>
      </c>
      <c r="B12913" t="s">
        <v>14</v>
      </c>
      <c r="C12913" t="s">
        <v>27</v>
      </c>
      <c r="D12913" t="s">
        <v>17</v>
      </c>
      <c r="E12913" t="s">
        <v>12</v>
      </c>
      <c r="F12913">
        <v>65383227</v>
      </c>
      <c r="G12913">
        <v>65383317</v>
      </c>
      <c r="H12913">
        <v>65383212</v>
      </c>
      <c r="I12913">
        <v>65383219</v>
      </c>
    </row>
    <row r="12914" spans="1:9" x14ac:dyDescent="0.2">
      <c r="A12914" s="1" t="str">
        <f>"PCNXL4"</f>
        <v>PCNXL4</v>
      </c>
      <c r="B12914" t="s">
        <v>14</v>
      </c>
      <c r="C12914" t="s">
        <v>41</v>
      </c>
      <c r="D12914" t="s">
        <v>17</v>
      </c>
      <c r="E12914" t="s">
        <v>12</v>
      </c>
      <c r="F12914">
        <v>60558627</v>
      </c>
      <c r="G12914">
        <v>60558738</v>
      </c>
      <c r="H12914">
        <v>60558863</v>
      </c>
      <c r="I12914">
        <v>60558932</v>
      </c>
    </row>
    <row r="12915" spans="1:9" x14ac:dyDescent="0.2">
      <c r="A12915" s="1" t="str">
        <f>"PCOLCE"</f>
        <v>PCOLCE</v>
      </c>
      <c r="B12915" t="s">
        <v>14</v>
      </c>
      <c r="C12915" t="s">
        <v>33</v>
      </c>
      <c r="D12915" t="s">
        <v>17</v>
      </c>
      <c r="E12915" t="s">
        <v>12</v>
      </c>
      <c r="F12915">
        <v>100199967</v>
      </c>
      <c r="G12915">
        <v>100200012</v>
      </c>
      <c r="H12915">
        <v>100200018</v>
      </c>
      <c r="I12915">
        <v>100200030</v>
      </c>
    </row>
    <row r="12916" spans="1:9" x14ac:dyDescent="0.2">
      <c r="A12916" s="1" t="str">
        <f>"PCOLCE2"</f>
        <v>PCOLCE2</v>
      </c>
      <c r="B12916" t="s">
        <v>14</v>
      </c>
      <c r="C12916" t="s">
        <v>22</v>
      </c>
      <c r="D12916" t="s">
        <v>11</v>
      </c>
      <c r="E12916" t="s">
        <v>12</v>
      </c>
      <c r="F12916">
        <v>142608001</v>
      </c>
      <c r="G12916">
        <v>142608053</v>
      </c>
      <c r="H12916">
        <v>142607822</v>
      </c>
      <c r="I12916">
        <v>142607869</v>
      </c>
    </row>
    <row r="12917" spans="1:9" x14ac:dyDescent="0.2">
      <c r="A12917" s="1" t="str">
        <f>"PCP2"</f>
        <v>PCP2</v>
      </c>
      <c r="B12917" t="s">
        <v>14</v>
      </c>
      <c r="C12917" t="s">
        <v>10</v>
      </c>
      <c r="D12917" t="s">
        <v>11</v>
      </c>
      <c r="E12917" t="s">
        <v>12</v>
      </c>
      <c r="F12917">
        <v>7698568</v>
      </c>
      <c r="G12917">
        <v>7698592</v>
      </c>
      <c r="H12917">
        <v>7698568</v>
      </c>
      <c r="I12917">
        <v>7698592</v>
      </c>
    </row>
    <row r="12918" spans="1:9" x14ac:dyDescent="0.2">
      <c r="A12918" s="1" t="str">
        <f>"PCP4"</f>
        <v>PCP4</v>
      </c>
      <c r="B12918" t="s">
        <v>14</v>
      </c>
      <c r="C12918" t="s">
        <v>42</v>
      </c>
      <c r="D12918" t="s">
        <v>17</v>
      </c>
      <c r="E12918" t="s">
        <v>12</v>
      </c>
      <c r="F12918">
        <v>41239344</v>
      </c>
      <c r="G12918">
        <v>41239371</v>
      </c>
      <c r="H12918">
        <v>41239376</v>
      </c>
      <c r="I12918">
        <v>41239379</v>
      </c>
    </row>
    <row r="12919" spans="1:9" x14ac:dyDescent="0.2">
      <c r="A12919" s="1" t="str">
        <f>"PCP4L1"</f>
        <v>PCP4L1</v>
      </c>
      <c r="B12919" t="s">
        <v>14</v>
      </c>
      <c r="C12919" t="s">
        <v>19</v>
      </c>
      <c r="D12919" t="s">
        <v>17</v>
      </c>
      <c r="E12919" t="s">
        <v>12</v>
      </c>
      <c r="F12919">
        <v>161228524</v>
      </c>
      <c r="G12919">
        <v>161228542</v>
      </c>
      <c r="H12919">
        <v>161228524</v>
      </c>
      <c r="I12919">
        <v>161228542</v>
      </c>
    </row>
    <row r="12920" spans="1:9" x14ac:dyDescent="0.2">
      <c r="A12920" s="1" t="str">
        <f>"PCSK1"</f>
        <v>PCSK1</v>
      </c>
      <c r="B12920" t="s">
        <v>14</v>
      </c>
      <c r="C12920" t="s">
        <v>46</v>
      </c>
      <c r="D12920" t="s">
        <v>11</v>
      </c>
      <c r="E12920" t="s">
        <v>12</v>
      </c>
      <c r="F12920">
        <v>95768919</v>
      </c>
      <c r="G12920">
        <v>95768964</v>
      </c>
      <c r="H12920">
        <v>95768973</v>
      </c>
      <c r="I12920">
        <v>95768987</v>
      </c>
    </row>
    <row r="12921" spans="1:9" x14ac:dyDescent="0.2">
      <c r="A12921" s="1" t="str">
        <f>"PCSK1N"</f>
        <v>PCSK1N</v>
      </c>
      <c r="B12921" t="s">
        <v>14</v>
      </c>
      <c r="C12921" t="s">
        <v>37</v>
      </c>
      <c r="D12921" t="s">
        <v>11</v>
      </c>
      <c r="E12921" t="s">
        <v>12</v>
      </c>
      <c r="F12921">
        <v>48693955</v>
      </c>
      <c r="G12921">
        <v>48694025</v>
      </c>
      <c r="H12921">
        <v>48693046</v>
      </c>
      <c r="I12921">
        <v>48693067</v>
      </c>
    </row>
    <row r="12922" spans="1:9" x14ac:dyDescent="0.2">
      <c r="A12922" s="1" t="str">
        <f>"PCSK2"</f>
        <v>PCSK2</v>
      </c>
      <c r="B12922" t="s">
        <v>14</v>
      </c>
      <c r="C12922" t="s">
        <v>29</v>
      </c>
      <c r="D12922" t="s">
        <v>17</v>
      </c>
      <c r="E12922" t="s">
        <v>12</v>
      </c>
      <c r="F12922">
        <v>17207665</v>
      </c>
      <c r="G12922">
        <v>17207699</v>
      </c>
      <c r="H12922">
        <v>17207640</v>
      </c>
      <c r="I12922">
        <v>17207661</v>
      </c>
    </row>
    <row r="12923" spans="1:9" x14ac:dyDescent="0.2">
      <c r="A12923" s="1" t="str">
        <f>"PCSK4"</f>
        <v>PCSK4</v>
      </c>
      <c r="B12923" t="s">
        <v>14</v>
      </c>
      <c r="C12923" t="s">
        <v>10</v>
      </c>
      <c r="D12923" t="s">
        <v>11</v>
      </c>
      <c r="E12923" t="s">
        <v>12</v>
      </c>
      <c r="F12923">
        <v>1490316</v>
      </c>
      <c r="G12923">
        <v>1490360</v>
      </c>
      <c r="H12923">
        <v>1490362</v>
      </c>
      <c r="I12923">
        <v>1490375</v>
      </c>
    </row>
    <row r="12924" spans="1:9" x14ac:dyDescent="0.2">
      <c r="A12924" s="1" t="str">
        <f>"PCSK5"</f>
        <v>PCSK5</v>
      </c>
      <c r="B12924" t="s">
        <v>14</v>
      </c>
      <c r="C12924" t="s">
        <v>24</v>
      </c>
      <c r="D12924" t="s">
        <v>17</v>
      </c>
      <c r="E12924" t="s">
        <v>12</v>
      </c>
      <c r="F12924">
        <v>78505581</v>
      </c>
      <c r="G12924">
        <v>78505603</v>
      </c>
      <c r="H12924">
        <v>78505554</v>
      </c>
      <c r="I12924">
        <v>78505573</v>
      </c>
    </row>
    <row r="12925" spans="1:9" x14ac:dyDescent="0.2">
      <c r="A12925" s="1" t="str">
        <f>"PCSK6"</f>
        <v>PCSK6</v>
      </c>
      <c r="B12925" t="s">
        <v>14</v>
      </c>
      <c r="C12925" t="s">
        <v>25</v>
      </c>
      <c r="D12925" t="s">
        <v>11</v>
      </c>
      <c r="E12925" t="s">
        <v>12</v>
      </c>
      <c r="F12925">
        <v>102029900</v>
      </c>
      <c r="G12925">
        <v>102029917</v>
      </c>
      <c r="H12925">
        <v>102029602</v>
      </c>
      <c r="I12925">
        <v>102029651</v>
      </c>
    </row>
    <row r="12926" spans="1:9" x14ac:dyDescent="0.2">
      <c r="A12926" s="1" t="str">
        <f>"PCSK7"</f>
        <v>PCSK7</v>
      </c>
      <c r="B12926" t="s">
        <v>14</v>
      </c>
      <c r="C12926" t="s">
        <v>27</v>
      </c>
      <c r="D12926" t="s">
        <v>11</v>
      </c>
      <c r="E12926" t="s">
        <v>12</v>
      </c>
      <c r="F12926">
        <v>117102768</v>
      </c>
      <c r="G12926">
        <v>117102820</v>
      </c>
      <c r="H12926">
        <v>117103208</v>
      </c>
      <c r="I12926">
        <v>117103288</v>
      </c>
    </row>
    <row r="12927" spans="1:9" x14ac:dyDescent="0.2">
      <c r="A12927" s="1" t="str">
        <f>"PCSK9"</f>
        <v>PCSK9</v>
      </c>
      <c r="B12927" t="s">
        <v>14</v>
      </c>
      <c r="C12927" t="s">
        <v>19</v>
      </c>
      <c r="D12927" t="s">
        <v>17</v>
      </c>
      <c r="E12927" t="s">
        <v>12</v>
      </c>
      <c r="F12927">
        <v>55505184</v>
      </c>
      <c r="G12927">
        <v>55505247</v>
      </c>
      <c r="H12927">
        <v>55505258</v>
      </c>
      <c r="I12927">
        <v>55505275</v>
      </c>
    </row>
    <row r="12928" spans="1:9" x14ac:dyDescent="0.2">
      <c r="A12928" s="1" t="str">
        <f>"PCTP"</f>
        <v>PCTP</v>
      </c>
      <c r="B12928" t="s">
        <v>14</v>
      </c>
      <c r="C12928" t="s">
        <v>28</v>
      </c>
      <c r="D12928" t="s">
        <v>17</v>
      </c>
      <c r="E12928" t="s">
        <v>12</v>
      </c>
      <c r="F12928">
        <v>53828432</v>
      </c>
      <c r="G12928">
        <v>53828474</v>
      </c>
      <c r="H12928">
        <v>53828381</v>
      </c>
      <c r="I12928">
        <v>53828430</v>
      </c>
    </row>
    <row r="12929" spans="1:9" x14ac:dyDescent="0.2">
      <c r="A12929" s="1" t="str">
        <f>"PCYOX1"</f>
        <v>PCYOX1</v>
      </c>
      <c r="B12929" t="s">
        <v>14</v>
      </c>
      <c r="C12929" t="s">
        <v>26</v>
      </c>
      <c r="D12929" t="s">
        <v>17</v>
      </c>
      <c r="E12929" t="s">
        <v>12</v>
      </c>
      <c r="F12929">
        <v>70485220</v>
      </c>
      <c r="G12929">
        <v>70485293</v>
      </c>
      <c r="H12929">
        <v>70485220</v>
      </c>
      <c r="I12929">
        <v>70485293</v>
      </c>
    </row>
    <row r="12930" spans="1:9" x14ac:dyDescent="0.2">
      <c r="A12930" s="1" t="str">
        <f>"PCYOX1L"</f>
        <v>PCYOX1L</v>
      </c>
      <c r="B12930" t="s">
        <v>14</v>
      </c>
      <c r="C12930" t="s">
        <v>46</v>
      </c>
      <c r="D12930" t="s">
        <v>17</v>
      </c>
      <c r="E12930" t="s">
        <v>12</v>
      </c>
      <c r="F12930">
        <v>148737562</v>
      </c>
      <c r="G12930">
        <v>148737621</v>
      </c>
      <c r="H12930">
        <v>148737562</v>
      </c>
      <c r="I12930">
        <v>148737621</v>
      </c>
    </row>
    <row r="12931" spans="1:9" x14ac:dyDescent="0.2">
      <c r="A12931" s="1" t="str">
        <f>"PCYT1A"</f>
        <v>PCYT1A</v>
      </c>
      <c r="B12931" t="s">
        <v>14</v>
      </c>
      <c r="C12931" t="s">
        <v>22</v>
      </c>
      <c r="D12931" t="s">
        <v>11</v>
      </c>
      <c r="E12931" t="s">
        <v>12</v>
      </c>
      <c r="F12931">
        <v>196014520</v>
      </c>
      <c r="G12931">
        <v>196014629</v>
      </c>
      <c r="H12931">
        <v>196015113</v>
      </c>
      <c r="I12931">
        <v>196015158</v>
      </c>
    </row>
    <row r="12932" spans="1:9" x14ac:dyDescent="0.2">
      <c r="A12932" s="1" t="str">
        <f>"PCYT1B"</f>
        <v>PCYT1B</v>
      </c>
      <c r="B12932" t="s">
        <v>14</v>
      </c>
      <c r="C12932" t="s">
        <v>37</v>
      </c>
      <c r="D12932" t="s">
        <v>11</v>
      </c>
      <c r="E12932" t="s">
        <v>12</v>
      </c>
      <c r="F12932">
        <v>24665417</v>
      </c>
      <c r="G12932">
        <v>24665469</v>
      </c>
      <c r="H12932">
        <v>24665144</v>
      </c>
      <c r="I12932">
        <v>24665178</v>
      </c>
    </row>
    <row r="12933" spans="1:9" x14ac:dyDescent="0.2">
      <c r="A12933" s="1" t="str">
        <f>"PCYT2"</f>
        <v>PCYT2</v>
      </c>
      <c r="B12933" t="s">
        <v>14</v>
      </c>
      <c r="C12933" t="s">
        <v>28</v>
      </c>
      <c r="D12933" t="s">
        <v>11</v>
      </c>
      <c r="E12933" t="s">
        <v>12</v>
      </c>
      <c r="F12933">
        <v>79869243</v>
      </c>
      <c r="G12933">
        <v>79869335</v>
      </c>
      <c r="H12933">
        <v>79869028</v>
      </c>
      <c r="I12933">
        <v>79869075</v>
      </c>
    </row>
    <row r="12934" spans="1:9" x14ac:dyDescent="0.2">
      <c r="A12934" s="1" t="str">
        <f>"PDAP1"</f>
        <v>PDAP1</v>
      </c>
      <c r="B12934" t="s">
        <v>14</v>
      </c>
      <c r="C12934" t="s">
        <v>33</v>
      </c>
      <c r="D12934" t="s">
        <v>11</v>
      </c>
      <c r="E12934" t="s">
        <v>12</v>
      </c>
      <c r="F12934">
        <v>99006181</v>
      </c>
      <c r="G12934">
        <v>99006238</v>
      </c>
      <c r="H12934">
        <v>99006443</v>
      </c>
      <c r="I12934">
        <v>99006454</v>
      </c>
    </row>
    <row r="12935" spans="1:9" x14ac:dyDescent="0.2">
      <c r="A12935" s="1" t="str">
        <f>"PDC"</f>
        <v>PDC</v>
      </c>
      <c r="B12935" t="s">
        <v>14</v>
      </c>
      <c r="C12935" t="s">
        <v>19</v>
      </c>
      <c r="D12935" t="s">
        <v>11</v>
      </c>
      <c r="E12935" t="s">
        <v>12</v>
      </c>
      <c r="F12935">
        <v>186430222</v>
      </c>
      <c r="G12935">
        <v>186430262</v>
      </c>
      <c r="H12935">
        <v>186430270</v>
      </c>
      <c r="I12935">
        <v>186430273</v>
      </c>
    </row>
    <row r="12936" spans="1:9" x14ac:dyDescent="0.2">
      <c r="A12936" s="1" t="str">
        <f>"PDCD1"</f>
        <v>PDCD1</v>
      </c>
      <c r="B12936" t="s">
        <v>14</v>
      </c>
      <c r="C12936" t="s">
        <v>26</v>
      </c>
      <c r="D12936" t="s">
        <v>11</v>
      </c>
      <c r="E12936" t="s">
        <v>12</v>
      </c>
      <c r="F12936">
        <v>242801031</v>
      </c>
      <c r="G12936">
        <v>242801063</v>
      </c>
      <c r="H12936">
        <v>242801011</v>
      </c>
      <c r="I12936">
        <v>242801016</v>
      </c>
    </row>
    <row r="12937" spans="1:9" x14ac:dyDescent="0.2">
      <c r="A12937" s="1" t="str">
        <f>"PDCD10"</f>
        <v>PDCD10</v>
      </c>
      <c r="B12937" t="s">
        <v>14</v>
      </c>
      <c r="C12937" t="s">
        <v>22</v>
      </c>
      <c r="D12937" t="s">
        <v>11</v>
      </c>
      <c r="E12937" t="s">
        <v>12</v>
      </c>
      <c r="F12937">
        <v>167452633</v>
      </c>
      <c r="G12937">
        <v>167452697</v>
      </c>
      <c r="H12937">
        <v>167452262</v>
      </c>
      <c r="I12937">
        <v>167452281</v>
      </c>
    </row>
    <row r="12938" spans="1:9" x14ac:dyDescent="0.2">
      <c r="A12938" s="1" t="str">
        <f>"PDCD11"</f>
        <v>PDCD11</v>
      </c>
      <c r="B12938" t="s">
        <v>14</v>
      </c>
      <c r="C12938" t="s">
        <v>15</v>
      </c>
      <c r="D12938" t="s">
        <v>17</v>
      </c>
      <c r="E12938" t="s">
        <v>12</v>
      </c>
      <c r="F12938">
        <v>105156364</v>
      </c>
      <c r="G12938">
        <v>105156448</v>
      </c>
      <c r="H12938">
        <v>105156450</v>
      </c>
      <c r="I12938">
        <v>105156461</v>
      </c>
    </row>
    <row r="12939" spans="1:9" x14ac:dyDescent="0.2">
      <c r="A12939" s="1" t="str">
        <f>"PDCD1LG2"</f>
        <v>PDCD1LG2</v>
      </c>
      <c r="B12939" t="s">
        <v>14</v>
      </c>
      <c r="C12939" t="s">
        <v>24</v>
      </c>
      <c r="D12939" t="s">
        <v>17</v>
      </c>
      <c r="E12939" t="s">
        <v>12</v>
      </c>
      <c r="F12939">
        <v>5510492</v>
      </c>
      <c r="G12939">
        <v>5510552</v>
      </c>
      <c r="H12939">
        <v>5510558</v>
      </c>
      <c r="I12939">
        <v>5510567</v>
      </c>
    </row>
    <row r="12940" spans="1:9" x14ac:dyDescent="0.2">
      <c r="A12940" s="1" t="str">
        <f>"PDCD2"</f>
        <v>PDCD2</v>
      </c>
      <c r="B12940" t="s">
        <v>14</v>
      </c>
      <c r="C12940" t="s">
        <v>32</v>
      </c>
      <c r="D12940" t="s">
        <v>11</v>
      </c>
      <c r="E12940" t="s">
        <v>12</v>
      </c>
      <c r="F12940">
        <v>170893672</v>
      </c>
      <c r="G12940">
        <v>170893740</v>
      </c>
      <c r="H12940">
        <v>170893742</v>
      </c>
      <c r="I12940">
        <v>170893754</v>
      </c>
    </row>
    <row r="12941" spans="1:9" x14ac:dyDescent="0.2">
      <c r="A12941" s="1" t="str">
        <f>"PDCD2L"</f>
        <v>PDCD2L</v>
      </c>
      <c r="B12941" t="s">
        <v>14</v>
      </c>
      <c r="C12941" t="s">
        <v>10</v>
      </c>
      <c r="D12941" t="s">
        <v>17</v>
      </c>
      <c r="E12941" t="s">
        <v>12</v>
      </c>
      <c r="F12941">
        <v>34895296</v>
      </c>
      <c r="G12941">
        <v>34895331</v>
      </c>
      <c r="H12941">
        <v>34895263</v>
      </c>
      <c r="I12941">
        <v>34895279</v>
      </c>
    </row>
    <row r="12942" spans="1:9" x14ac:dyDescent="0.2">
      <c r="A12942" s="1" t="str">
        <f>"PDCD4"</f>
        <v>PDCD4</v>
      </c>
      <c r="B12942" t="s">
        <v>9</v>
      </c>
      <c r="C12942" t="s">
        <v>15</v>
      </c>
      <c r="D12942" t="s">
        <v>17</v>
      </c>
      <c r="E12942" t="s">
        <v>12</v>
      </c>
      <c r="F12942">
        <v>112631661</v>
      </c>
      <c r="G12942">
        <v>112631695</v>
      </c>
      <c r="H12942">
        <v>112631661</v>
      </c>
      <c r="I12942">
        <v>112631695</v>
      </c>
    </row>
    <row r="12943" spans="1:9" x14ac:dyDescent="0.2">
      <c r="A12943" s="1" t="str">
        <f>"PDCD4"</f>
        <v>PDCD4</v>
      </c>
      <c r="B12943" t="s">
        <v>13</v>
      </c>
      <c r="C12943" t="s">
        <v>15</v>
      </c>
      <c r="D12943" t="s">
        <v>17</v>
      </c>
      <c r="E12943" t="s">
        <v>12</v>
      </c>
      <c r="F12943">
        <v>112657929</v>
      </c>
      <c r="G12943">
        <v>112657944</v>
      </c>
      <c r="H12943">
        <v>112657929</v>
      </c>
      <c r="I12943">
        <v>112657944</v>
      </c>
    </row>
    <row r="12944" spans="1:9" x14ac:dyDescent="0.2">
      <c r="A12944" s="1" t="str">
        <f>"PDCD5"</f>
        <v>PDCD5</v>
      </c>
      <c r="B12944" t="s">
        <v>14</v>
      </c>
      <c r="C12944" t="s">
        <v>10</v>
      </c>
      <c r="D12944" t="s">
        <v>17</v>
      </c>
      <c r="E12944" t="s">
        <v>12</v>
      </c>
      <c r="F12944">
        <v>33072084</v>
      </c>
      <c r="G12944">
        <v>33072159</v>
      </c>
      <c r="H12944">
        <v>33072084</v>
      </c>
      <c r="I12944">
        <v>33072159</v>
      </c>
    </row>
    <row r="12945" spans="1:9" x14ac:dyDescent="0.2">
      <c r="A12945" s="1" t="str">
        <f>"PDCD6"</f>
        <v>PDCD6</v>
      </c>
      <c r="B12945" t="s">
        <v>14</v>
      </c>
      <c r="C12945" t="s">
        <v>46</v>
      </c>
      <c r="D12945" t="s">
        <v>17</v>
      </c>
      <c r="E12945" t="s">
        <v>12</v>
      </c>
      <c r="F12945">
        <v>271752</v>
      </c>
      <c r="G12945">
        <v>271801</v>
      </c>
      <c r="H12945">
        <v>271733</v>
      </c>
      <c r="I12945">
        <v>271744</v>
      </c>
    </row>
    <row r="12946" spans="1:9" x14ac:dyDescent="0.2">
      <c r="A12946" s="1" t="str">
        <f>"PDCD6IP"</f>
        <v>PDCD6IP</v>
      </c>
      <c r="B12946" t="s">
        <v>14</v>
      </c>
      <c r="C12946" t="s">
        <v>22</v>
      </c>
      <c r="D12946" t="s">
        <v>17</v>
      </c>
      <c r="E12946" t="s">
        <v>12</v>
      </c>
      <c r="F12946">
        <v>33840050</v>
      </c>
      <c r="G12946">
        <v>33840177</v>
      </c>
      <c r="H12946">
        <v>33840050</v>
      </c>
      <c r="I12946">
        <v>33840177</v>
      </c>
    </row>
    <row r="12947" spans="1:9" x14ac:dyDescent="0.2">
      <c r="A12947" s="1" t="str">
        <f>"PDCD7"</f>
        <v>PDCD7</v>
      </c>
      <c r="B12947" t="s">
        <v>14</v>
      </c>
      <c r="C12947" t="s">
        <v>25</v>
      </c>
      <c r="D12947" t="s">
        <v>11</v>
      </c>
      <c r="E12947" t="s">
        <v>12</v>
      </c>
      <c r="F12947">
        <v>65426117</v>
      </c>
      <c r="G12947">
        <v>65426173</v>
      </c>
      <c r="H12947">
        <v>65425937</v>
      </c>
      <c r="I12947">
        <v>65425986</v>
      </c>
    </row>
    <row r="12948" spans="1:9" x14ac:dyDescent="0.2">
      <c r="A12948" s="1" t="str">
        <f>"PDCL"</f>
        <v>PDCL</v>
      </c>
      <c r="B12948" t="s">
        <v>14</v>
      </c>
      <c r="C12948" t="s">
        <v>24</v>
      </c>
      <c r="D12948" t="s">
        <v>11</v>
      </c>
      <c r="E12948" t="s">
        <v>12</v>
      </c>
      <c r="F12948">
        <v>125590818</v>
      </c>
      <c r="G12948">
        <v>125590898</v>
      </c>
      <c r="H12948">
        <v>125590800</v>
      </c>
      <c r="I12948">
        <v>125590811</v>
      </c>
    </row>
    <row r="12949" spans="1:9" x14ac:dyDescent="0.2">
      <c r="A12949" s="1" t="str">
        <f>"PDCL2"</f>
        <v>PDCL2</v>
      </c>
      <c r="B12949" t="s">
        <v>14</v>
      </c>
      <c r="C12949" t="s">
        <v>23</v>
      </c>
      <c r="D12949" t="s">
        <v>11</v>
      </c>
      <c r="E12949" t="s">
        <v>12</v>
      </c>
      <c r="F12949">
        <v>56458392</v>
      </c>
      <c r="G12949">
        <v>56458419</v>
      </c>
      <c r="H12949">
        <v>56458374</v>
      </c>
      <c r="I12949">
        <v>56458386</v>
      </c>
    </row>
    <row r="12950" spans="1:9" x14ac:dyDescent="0.2">
      <c r="A12950" s="1" t="str">
        <f>"PDCL3"</f>
        <v>PDCL3</v>
      </c>
      <c r="B12950" t="s">
        <v>14</v>
      </c>
      <c r="C12950" t="s">
        <v>26</v>
      </c>
      <c r="D12950" t="s">
        <v>17</v>
      </c>
      <c r="E12950" t="s">
        <v>12</v>
      </c>
      <c r="F12950">
        <v>101179403</v>
      </c>
      <c r="G12950">
        <v>101179470</v>
      </c>
      <c r="H12950">
        <v>101179484</v>
      </c>
      <c r="I12950">
        <v>101179502</v>
      </c>
    </row>
    <row r="12951" spans="1:9" x14ac:dyDescent="0.2">
      <c r="A12951" s="1" t="str">
        <f>"PDDC1"</f>
        <v>PDDC1</v>
      </c>
      <c r="B12951" t="s">
        <v>14</v>
      </c>
      <c r="C12951" t="s">
        <v>27</v>
      </c>
      <c r="D12951" t="s">
        <v>11</v>
      </c>
      <c r="E12951" t="s">
        <v>12</v>
      </c>
      <c r="F12951">
        <v>777467</v>
      </c>
      <c r="G12951">
        <v>777507</v>
      </c>
      <c r="H12951">
        <v>777114</v>
      </c>
      <c r="I12951">
        <v>777123</v>
      </c>
    </row>
    <row r="12952" spans="1:9" x14ac:dyDescent="0.2">
      <c r="A12952" s="1" t="str">
        <f>"PDE10A"</f>
        <v>PDE10A</v>
      </c>
      <c r="B12952" t="s">
        <v>14</v>
      </c>
      <c r="C12952" t="s">
        <v>32</v>
      </c>
      <c r="D12952" t="s">
        <v>11</v>
      </c>
      <c r="E12952" t="s">
        <v>12</v>
      </c>
      <c r="F12952">
        <v>166076038</v>
      </c>
      <c r="G12952">
        <v>166076072</v>
      </c>
      <c r="H12952">
        <v>166076038</v>
      </c>
      <c r="I12952">
        <v>166076072</v>
      </c>
    </row>
    <row r="12953" spans="1:9" x14ac:dyDescent="0.2">
      <c r="A12953" s="1" t="str">
        <f>"PDE11A"</f>
        <v>PDE11A</v>
      </c>
      <c r="B12953" t="s">
        <v>14</v>
      </c>
      <c r="C12953" t="s">
        <v>26</v>
      </c>
      <c r="D12953" t="s">
        <v>11</v>
      </c>
      <c r="E12953" t="s">
        <v>12</v>
      </c>
      <c r="F12953">
        <v>178937478</v>
      </c>
      <c r="G12953">
        <v>178937510</v>
      </c>
      <c r="H12953">
        <v>178937478</v>
      </c>
      <c r="I12953">
        <v>178937510</v>
      </c>
    </row>
    <row r="12954" spans="1:9" x14ac:dyDescent="0.2">
      <c r="A12954" s="1" t="str">
        <f>"PDE12"</f>
        <v>PDE12</v>
      </c>
      <c r="B12954" t="s">
        <v>14</v>
      </c>
      <c r="C12954" t="s">
        <v>22</v>
      </c>
      <c r="D12954" t="s">
        <v>17</v>
      </c>
      <c r="E12954" t="s">
        <v>12</v>
      </c>
      <c r="F12954">
        <v>57541975</v>
      </c>
      <c r="G12954">
        <v>57542060</v>
      </c>
      <c r="H12954">
        <v>57542797</v>
      </c>
      <c r="I12954">
        <v>57542810</v>
      </c>
    </row>
    <row r="12955" spans="1:9" x14ac:dyDescent="0.2">
      <c r="A12955" s="1" t="str">
        <f>"PDE1A"</f>
        <v>PDE1A</v>
      </c>
      <c r="B12955" t="s">
        <v>1319</v>
      </c>
      <c r="C12955" t="s">
        <v>26</v>
      </c>
      <c r="D12955" t="s">
        <v>11</v>
      </c>
      <c r="E12955" t="s">
        <v>35</v>
      </c>
      <c r="F12955">
        <v>183387283</v>
      </c>
      <c r="G12955">
        <v>183387294</v>
      </c>
      <c r="H12955">
        <v>183387244</v>
      </c>
      <c r="I12955">
        <v>183387259</v>
      </c>
    </row>
    <row r="12956" spans="1:9" x14ac:dyDescent="0.2">
      <c r="A12956" s="1" t="str">
        <f>"PDE1A"</f>
        <v>PDE1A</v>
      </c>
      <c r="B12956" t="s">
        <v>1320</v>
      </c>
      <c r="C12956" t="s">
        <v>26</v>
      </c>
      <c r="D12956" t="s">
        <v>11</v>
      </c>
      <c r="E12956" t="s">
        <v>35</v>
      </c>
      <c r="F12956">
        <v>183387492</v>
      </c>
      <c r="G12956">
        <v>183387514</v>
      </c>
      <c r="H12956">
        <v>183387244</v>
      </c>
      <c r="I12956">
        <v>183387259</v>
      </c>
    </row>
    <row r="12957" spans="1:9" x14ac:dyDescent="0.2">
      <c r="A12957" s="1" t="str">
        <f>"PDE1B"</f>
        <v>PDE1B</v>
      </c>
      <c r="B12957" t="s">
        <v>9</v>
      </c>
      <c r="C12957" t="s">
        <v>16</v>
      </c>
      <c r="D12957" t="s">
        <v>17</v>
      </c>
      <c r="E12957" t="s">
        <v>12</v>
      </c>
      <c r="F12957">
        <v>54943370</v>
      </c>
      <c r="G12957">
        <v>54943457</v>
      </c>
      <c r="H12957">
        <v>54943370</v>
      </c>
      <c r="I12957">
        <v>54943457</v>
      </c>
    </row>
    <row r="12958" spans="1:9" x14ac:dyDescent="0.2">
      <c r="A12958" s="1" t="str">
        <f>"PDE1B"</f>
        <v>PDE1B</v>
      </c>
      <c r="B12958" t="s">
        <v>13</v>
      </c>
      <c r="C12958" t="s">
        <v>16</v>
      </c>
      <c r="D12958" t="s">
        <v>17</v>
      </c>
      <c r="E12958" t="s">
        <v>12</v>
      </c>
      <c r="F12958">
        <v>54955235</v>
      </c>
      <c r="G12958">
        <v>54955255</v>
      </c>
      <c r="H12958">
        <v>54955235</v>
      </c>
      <c r="I12958">
        <v>54955255</v>
      </c>
    </row>
    <row r="12959" spans="1:9" x14ac:dyDescent="0.2">
      <c r="A12959" s="1" t="str">
        <f>"PDE1C"</f>
        <v>PDE1C</v>
      </c>
      <c r="B12959" t="s">
        <v>14</v>
      </c>
      <c r="C12959" t="s">
        <v>33</v>
      </c>
      <c r="D12959" t="s">
        <v>11</v>
      </c>
      <c r="E12959" t="s">
        <v>12</v>
      </c>
      <c r="F12959">
        <v>32110451</v>
      </c>
      <c r="G12959">
        <v>32110523</v>
      </c>
      <c r="H12959">
        <v>32110594</v>
      </c>
      <c r="I12959">
        <v>32110649</v>
      </c>
    </row>
    <row r="12960" spans="1:9" x14ac:dyDescent="0.2">
      <c r="A12960" s="1" t="str">
        <f>"PDE2A"</f>
        <v>PDE2A</v>
      </c>
      <c r="B12960" t="s">
        <v>1321</v>
      </c>
      <c r="C12960" t="s">
        <v>27</v>
      </c>
      <c r="D12960" t="s">
        <v>11</v>
      </c>
      <c r="E12960" t="s">
        <v>75</v>
      </c>
      <c r="F12960">
        <v>72385437</v>
      </c>
      <c r="G12960">
        <v>72385472</v>
      </c>
      <c r="H12960">
        <v>72385437</v>
      </c>
      <c r="I12960">
        <v>72385472</v>
      </c>
    </row>
    <row r="12961" spans="1:9" x14ac:dyDescent="0.2">
      <c r="A12961" s="1" t="str">
        <f>"PDE3A"</f>
        <v>PDE3A</v>
      </c>
      <c r="B12961" t="s">
        <v>14</v>
      </c>
      <c r="C12961" t="s">
        <v>16</v>
      </c>
      <c r="D12961" t="s">
        <v>17</v>
      </c>
      <c r="E12961" t="s">
        <v>12</v>
      </c>
      <c r="F12961">
        <v>20522622</v>
      </c>
      <c r="G12961">
        <v>20522638</v>
      </c>
      <c r="H12961">
        <v>20522622</v>
      </c>
      <c r="I12961">
        <v>20522638</v>
      </c>
    </row>
    <row r="12962" spans="1:9" x14ac:dyDescent="0.2">
      <c r="A12962" s="1" t="str">
        <f>"PDE3B"</f>
        <v>PDE3B</v>
      </c>
      <c r="B12962" t="s">
        <v>14</v>
      </c>
      <c r="C12962" t="s">
        <v>27</v>
      </c>
      <c r="D12962" t="s">
        <v>17</v>
      </c>
      <c r="E12962" t="s">
        <v>12</v>
      </c>
      <c r="F12962">
        <v>14665329</v>
      </c>
      <c r="G12962">
        <v>14665356</v>
      </c>
      <c r="H12962">
        <v>14665275</v>
      </c>
      <c r="I12962">
        <v>14665316</v>
      </c>
    </row>
    <row r="12963" spans="1:9" x14ac:dyDescent="0.2">
      <c r="A12963" s="1" t="str">
        <f>"PDE4A"</f>
        <v>PDE4A</v>
      </c>
      <c r="B12963" t="s">
        <v>9</v>
      </c>
      <c r="C12963" t="s">
        <v>10</v>
      </c>
      <c r="D12963" t="s">
        <v>17</v>
      </c>
      <c r="E12963" t="s">
        <v>12</v>
      </c>
      <c r="F12963">
        <v>10563567</v>
      </c>
      <c r="G12963">
        <v>10563617</v>
      </c>
      <c r="H12963">
        <v>10563567</v>
      </c>
      <c r="I12963">
        <v>10563617</v>
      </c>
    </row>
    <row r="12964" spans="1:9" x14ac:dyDescent="0.2">
      <c r="A12964" s="1" t="str">
        <f>"PDE4A"</f>
        <v>PDE4A</v>
      </c>
      <c r="B12964" t="s">
        <v>13</v>
      </c>
      <c r="C12964" t="s">
        <v>10</v>
      </c>
      <c r="D12964" t="s">
        <v>17</v>
      </c>
      <c r="E12964" t="s">
        <v>12</v>
      </c>
      <c r="F12964">
        <v>10541462</v>
      </c>
      <c r="G12964">
        <v>10541526</v>
      </c>
      <c r="H12964">
        <v>10541462</v>
      </c>
      <c r="I12964">
        <v>10541526</v>
      </c>
    </row>
    <row r="12965" spans="1:9" x14ac:dyDescent="0.2">
      <c r="A12965" s="1" t="str">
        <f>"PDE4B"</f>
        <v>PDE4B</v>
      </c>
      <c r="B12965" t="s">
        <v>1322</v>
      </c>
      <c r="C12965" t="s">
        <v>19</v>
      </c>
      <c r="D12965" t="s">
        <v>17</v>
      </c>
      <c r="E12965" t="s">
        <v>35</v>
      </c>
      <c r="F12965">
        <v>66458072</v>
      </c>
      <c r="G12965">
        <v>66458109</v>
      </c>
      <c r="H12965">
        <v>66458291</v>
      </c>
      <c r="I12965">
        <v>66458304</v>
      </c>
    </row>
    <row r="12966" spans="1:9" x14ac:dyDescent="0.2">
      <c r="A12966" s="1" t="str">
        <f>"PDE4C"</f>
        <v>PDE4C</v>
      </c>
      <c r="B12966" t="s">
        <v>9</v>
      </c>
      <c r="C12966" t="s">
        <v>10</v>
      </c>
      <c r="D12966" t="s">
        <v>11</v>
      </c>
      <c r="E12966" t="s">
        <v>12</v>
      </c>
      <c r="F12966">
        <v>18366144</v>
      </c>
      <c r="G12966">
        <v>18366181</v>
      </c>
      <c r="H12966">
        <v>18366144</v>
      </c>
      <c r="I12966">
        <v>18366181</v>
      </c>
    </row>
    <row r="12967" spans="1:9" x14ac:dyDescent="0.2">
      <c r="A12967" s="1" t="str">
        <f>"PDE4C"</f>
        <v>PDE4C</v>
      </c>
      <c r="B12967" t="s">
        <v>13</v>
      </c>
      <c r="C12967" t="s">
        <v>10</v>
      </c>
      <c r="D12967" t="s">
        <v>11</v>
      </c>
      <c r="E12967" t="s">
        <v>12</v>
      </c>
      <c r="F12967">
        <v>18337240</v>
      </c>
      <c r="G12967">
        <v>18337253</v>
      </c>
      <c r="H12967">
        <v>18337240</v>
      </c>
      <c r="I12967">
        <v>18337253</v>
      </c>
    </row>
    <row r="12968" spans="1:9" x14ac:dyDescent="0.2">
      <c r="A12968" s="1" t="str">
        <f>"PDE4D"</f>
        <v>PDE4D</v>
      </c>
      <c r="B12968" t="s">
        <v>14</v>
      </c>
      <c r="C12968" t="s">
        <v>46</v>
      </c>
      <c r="D12968" t="s">
        <v>11</v>
      </c>
      <c r="E12968" t="s">
        <v>12</v>
      </c>
      <c r="F12968">
        <v>59064458</v>
      </c>
      <c r="G12968">
        <v>59064511</v>
      </c>
      <c r="H12968">
        <v>59064458</v>
      </c>
      <c r="I12968">
        <v>59064511</v>
      </c>
    </row>
    <row r="12969" spans="1:9" x14ac:dyDescent="0.2">
      <c r="A12969" s="1" t="str">
        <f>"PDE4DIP"</f>
        <v>PDE4DIP</v>
      </c>
      <c r="B12969" t="s">
        <v>1323</v>
      </c>
      <c r="C12969" t="s">
        <v>19</v>
      </c>
      <c r="D12969" t="s">
        <v>11</v>
      </c>
      <c r="E12969" t="s">
        <v>35</v>
      </c>
      <c r="F12969">
        <v>144932550</v>
      </c>
      <c r="G12969">
        <v>144932553</v>
      </c>
      <c r="H12969">
        <v>144932202</v>
      </c>
      <c r="I12969">
        <v>144932210</v>
      </c>
    </row>
    <row r="12970" spans="1:9" x14ac:dyDescent="0.2">
      <c r="A12970" s="1" t="str">
        <f>"PDE5A"</f>
        <v>PDE5A</v>
      </c>
      <c r="B12970" t="s">
        <v>14</v>
      </c>
      <c r="C12970" t="s">
        <v>23</v>
      </c>
      <c r="D12970" t="s">
        <v>11</v>
      </c>
      <c r="E12970" t="s">
        <v>12</v>
      </c>
      <c r="F12970">
        <v>120549851</v>
      </c>
      <c r="G12970">
        <v>120549880</v>
      </c>
      <c r="H12970">
        <v>120549947</v>
      </c>
      <c r="I12970">
        <v>120549969</v>
      </c>
    </row>
    <row r="12971" spans="1:9" x14ac:dyDescent="0.2">
      <c r="A12971" s="1" t="str">
        <f>"PDE6A"</f>
        <v>PDE6A</v>
      </c>
      <c r="B12971" t="s">
        <v>14</v>
      </c>
      <c r="C12971" t="s">
        <v>46</v>
      </c>
      <c r="D12971" t="s">
        <v>11</v>
      </c>
      <c r="E12971" t="s">
        <v>12</v>
      </c>
      <c r="F12971">
        <v>149324306</v>
      </c>
      <c r="G12971">
        <v>149324362</v>
      </c>
      <c r="H12971">
        <v>149324367</v>
      </c>
      <c r="I12971">
        <v>149324384</v>
      </c>
    </row>
    <row r="12972" spans="1:9" x14ac:dyDescent="0.2">
      <c r="A12972" s="1" t="str">
        <f>"PDE6B"</f>
        <v>PDE6B</v>
      </c>
      <c r="B12972" t="s">
        <v>1324</v>
      </c>
      <c r="C12972" t="s">
        <v>23</v>
      </c>
      <c r="D12972" t="s">
        <v>17</v>
      </c>
      <c r="E12972" t="s">
        <v>35</v>
      </c>
      <c r="F12972">
        <v>619347</v>
      </c>
      <c r="G12972">
        <v>619382</v>
      </c>
      <c r="H12972">
        <v>619386</v>
      </c>
      <c r="I12972">
        <v>619407</v>
      </c>
    </row>
    <row r="12973" spans="1:9" x14ac:dyDescent="0.2">
      <c r="A12973" s="1" t="str">
        <f>"PDE6C"</f>
        <v>PDE6C</v>
      </c>
      <c r="B12973" t="s">
        <v>14</v>
      </c>
      <c r="C12973" t="s">
        <v>15</v>
      </c>
      <c r="D12973" t="s">
        <v>17</v>
      </c>
      <c r="E12973" t="s">
        <v>12</v>
      </c>
      <c r="F12973">
        <v>95372289</v>
      </c>
      <c r="G12973">
        <v>95372299</v>
      </c>
      <c r="H12973">
        <v>95372314</v>
      </c>
      <c r="I12973">
        <v>95372319</v>
      </c>
    </row>
    <row r="12974" spans="1:9" x14ac:dyDescent="0.2">
      <c r="A12974" s="1" t="str">
        <f>"PDE6D"</f>
        <v>PDE6D</v>
      </c>
      <c r="B12974" t="s">
        <v>14</v>
      </c>
      <c r="C12974" t="s">
        <v>26</v>
      </c>
      <c r="D12974" t="s">
        <v>11</v>
      </c>
      <c r="E12974" t="s">
        <v>12</v>
      </c>
      <c r="F12974">
        <v>232645977</v>
      </c>
      <c r="G12974">
        <v>232646009</v>
      </c>
      <c r="H12974">
        <v>232645963</v>
      </c>
      <c r="I12974">
        <v>232645975</v>
      </c>
    </row>
    <row r="12975" spans="1:9" x14ac:dyDescent="0.2">
      <c r="A12975" s="1" t="str">
        <f>"PDE6G"</f>
        <v>PDE6G</v>
      </c>
      <c r="B12975" t="s">
        <v>14</v>
      </c>
      <c r="C12975" t="s">
        <v>28</v>
      </c>
      <c r="D12975" t="s">
        <v>11</v>
      </c>
      <c r="E12975" t="s">
        <v>12</v>
      </c>
      <c r="F12975">
        <v>79623545</v>
      </c>
      <c r="G12975">
        <v>79623592</v>
      </c>
      <c r="H12975">
        <v>79623545</v>
      </c>
      <c r="I12975">
        <v>79623592</v>
      </c>
    </row>
    <row r="12976" spans="1:9" x14ac:dyDescent="0.2">
      <c r="A12976" s="1" t="str">
        <f>"PDE6H"</f>
        <v>PDE6H</v>
      </c>
      <c r="B12976" t="s">
        <v>14</v>
      </c>
      <c r="C12976" t="s">
        <v>16</v>
      </c>
      <c r="D12976" t="s">
        <v>17</v>
      </c>
      <c r="E12976" t="s">
        <v>12</v>
      </c>
      <c r="F12976">
        <v>15125954</v>
      </c>
      <c r="G12976">
        <v>15125982</v>
      </c>
      <c r="H12976">
        <v>15125954</v>
      </c>
      <c r="I12976">
        <v>15125982</v>
      </c>
    </row>
    <row r="12977" spans="1:9" x14ac:dyDescent="0.2">
      <c r="A12977" s="1" t="str">
        <f>"PDE7A"</f>
        <v>PDE7A</v>
      </c>
      <c r="B12977" t="s">
        <v>14</v>
      </c>
      <c r="C12977" t="s">
        <v>30</v>
      </c>
      <c r="D12977" t="s">
        <v>11</v>
      </c>
      <c r="E12977" t="s">
        <v>12</v>
      </c>
      <c r="F12977">
        <v>66754286</v>
      </c>
      <c r="G12977">
        <v>66754310</v>
      </c>
      <c r="H12977">
        <v>66754259</v>
      </c>
      <c r="I12977">
        <v>66754276</v>
      </c>
    </row>
    <row r="12978" spans="1:9" x14ac:dyDescent="0.2">
      <c r="A12978" s="1" t="str">
        <f>"PDE7B"</f>
        <v>PDE7B</v>
      </c>
      <c r="B12978" t="s">
        <v>14</v>
      </c>
      <c r="C12978" t="s">
        <v>32</v>
      </c>
      <c r="D12978" t="s">
        <v>17</v>
      </c>
      <c r="E12978" t="s">
        <v>12</v>
      </c>
      <c r="F12978">
        <v>136173008</v>
      </c>
      <c r="G12978">
        <v>136173013</v>
      </c>
      <c r="H12978">
        <v>136172820</v>
      </c>
      <c r="I12978">
        <v>136172846</v>
      </c>
    </row>
    <row r="12979" spans="1:9" x14ac:dyDescent="0.2">
      <c r="A12979" s="1" t="str">
        <f>"PDE8A"</f>
        <v>PDE8A</v>
      </c>
      <c r="B12979" t="s">
        <v>9</v>
      </c>
      <c r="C12979" t="s">
        <v>25</v>
      </c>
      <c r="D12979" t="s">
        <v>17</v>
      </c>
      <c r="E12979" t="s">
        <v>12</v>
      </c>
      <c r="F12979">
        <v>85525066</v>
      </c>
      <c r="G12979">
        <v>85525136</v>
      </c>
      <c r="H12979">
        <v>85525066</v>
      </c>
      <c r="I12979">
        <v>85525136</v>
      </c>
    </row>
    <row r="12980" spans="1:9" x14ac:dyDescent="0.2">
      <c r="A12980" s="1" t="str">
        <f>"PDE8A"</f>
        <v>PDE8A</v>
      </c>
      <c r="B12980" t="s">
        <v>13</v>
      </c>
      <c r="C12980" t="s">
        <v>25</v>
      </c>
      <c r="D12980" t="s">
        <v>17</v>
      </c>
      <c r="E12980" t="s">
        <v>12</v>
      </c>
      <c r="F12980">
        <v>85523687</v>
      </c>
      <c r="G12980">
        <v>85523747</v>
      </c>
      <c r="H12980">
        <v>85523687</v>
      </c>
      <c r="I12980">
        <v>85523747</v>
      </c>
    </row>
    <row r="12981" spans="1:9" x14ac:dyDescent="0.2">
      <c r="A12981" s="1" t="str">
        <f>"PDE8B"</f>
        <v>PDE8B</v>
      </c>
      <c r="B12981" t="s">
        <v>14</v>
      </c>
      <c r="C12981" t="s">
        <v>46</v>
      </c>
      <c r="D12981" t="s">
        <v>17</v>
      </c>
      <c r="E12981" t="s">
        <v>12</v>
      </c>
      <c r="F12981">
        <v>76506493</v>
      </c>
      <c r="G12981">
        <v>76506540</v>
      </c>
      <c r="H12981">
        <v>76506108</v>
      </c>
      <c r="I12981">
        <v>76506143</v>
      </c>
    </row>
    <row r="12982" spans="1:9" x14ac:dyDescent="0.2">
      <c r="A12982" s="1" t="str">
        <f>"PDE9A"</f>
        <v>PDE9A</v>
      </c>
      <c r="B12982" t="s">
        <v>14</v>
      </c>
      <c r="C12982" t="s">
        <v>42</v>
      </c>
      <c r="D12982" t="s">
        <v>17</v>
      </c>
      <c r="E12982" t="s">
        <v>12</v>
      </c>
      <c r="F12982">
        <v>44073695</v>
      </c>
      <c r="G12982">
        <v>44073743</v>
      </c>
      <c r="H12982">
        <v>44073874</v>
      </c>
      <c r="I12982">
        <v>44073904</v>
      </c>
    </row>
    <row r="12983" spans="1:9" x14ac:dyDescent="0.2">
      <c r="A12983" s="1" t="str">
        <f>"PDF"</f>
        <v>PDF</v>
      </c>
      <c r="B12983" t="s">
        <v>14</v>
      </c>
      <c r="C12983" t="s">
        <v>31</v>
      </c>
      <c r="D12983" t="s">
        <v>11</v>
      </c>
      <c r="E12983" t="s">
        <v>12</v>
      </c>
      <c r="F12983">
        <v>69364467</v>
      </c>
      <c r="G12983">
        <v>69364516</v>
      </c>
      <c r="H12983">
        <v>69364449</v>
      </c>
      <c r="I12983">
        <v>69364465</v>
      </c>
    </row>
    <row r="12984" spans="1:9" x14ac:dyDescent="0.2">
      <c r="A12984" s="1" t="str">
        <f>"PDGFA"</f>
        <v>PDGFA</v>
      </c>
      <c r="B12984" t="s">
        <v>14</v>
      </c>
      <c r="C12984" t="s">
        <v>33</v>
      </c>
      <c r="D12984" t="s">
        <v>11</v>
      </c>
      <c r="E12984" t="s">
        <v>12</v>
      </c>
      <c r="F12984">
        <v>558802</v>
      </c>
      <c r="G12984">
        <v>558864</v>
      </c>
      <c r="H12984">
        <v>559475</v>
      </c>
      <c r="I12984">
        <v>559492</v>
      </c>
    </row>
    <row r="12985" spans="1:9" x14ac:dyDescent="0.2">
      <c r="A12985" s="1" t="str">
        <f>"PDGFB"</f>
        <v>PDGFB</v>
      </c>
      <c r="B12985" t="s">
        <v>9</v>
      </c>
      <c r="C12985" t="s">
        <v>21</v>
      </c>
      <c r="D12985" t="s">
        <v>11</v>
      </c>
      <c r="E12985" t="s">
        <v>12</v>
      </c>
      <c r="F12985">
        <v>39640974</v>
      </c>
      <c r="G12985">
        <v>39640994</v>
      </c>
      <c r="H12985">
        <v>39640974</v>
      </c>
      <c r="I12985">
        <v>39640994</v>
      </c>
    </row>
    <row r="12986" spans="1:9" x14ac:dyDescent="0.2">
      <c r="A12986" s="1" t="str">
        <f>"PDGFB"</f>
        <v>PDGFB</v>
      </c>
      <c r="B12986" t="s">
        <v>13</v>
      </c>
      <c r="C12986" t="s">
        <v>21</v>
      </c>
      <c r="D12986" t="s">
        <v>11</v>
      </c>
      <c r="E12986" t="s">
        <v>12</v>
      </c>
      <c r="F12986">
        <v>39639961</v>
      </c>
      <c r="G12986">
        <v>39639988</v>
      </c>
      <c r="H12986">
        <v>39639961</v>
      </c>
      <c r="I12986">
        <v>39639988</v>
      </c>
    </row>
    <row r="12987" spans="1:9" x14ac:dyDescent="0.2">
      <c r="A12987" s="1" t="str">
        <f>"PDGFC"</f>
        <v>PDGFC</v>
      </c>
      <c r="B12987" t="s">
        <v>14</v>
      </c>
      <c r="C12987" t="s">
        <v>23</v>
      </c>
      <c r="D12987" t="s">
        <v>11</v>
      </c>
      <c r="E12987" t="s">
        <v>12</v>
      </c>
      <c r="F12987">
        <v>157892921</v>
      </c>
      <c r="G12987">
        <v>157892990</v>
      </c>
      <c r="H12987">
        <v>157892498</v>
      </c>
      <c r="I12987">
        <v>157892532</v>
      </c>
    </row>
    <row r="12988" spans="1:9" x14ac:dyDescent="0.2">
      <c r="A12988" s="1" t="str">
        <f>"PDGFD"</f>
        <v>PDGFD</v>
      </c>
      <c r="B12988" t="s">
        <v>14</v>
      </c>
      <c r="C12988" t="s">
        <v>27</v>
      </c>
      <c r="D12988" t="s">
        <v>11</v>
      </c>
      <c r="E12988" t="s">
        <v>12</v>
      </c>
      <c r="F12988">
        <v>104034827</v>
      </c>
      <c r="G12988">
        <v>104034850</v>
      </c>
      <c r="H12988">
        <v>104034748</v>
      </c>
      <c r="I12988">
        <v>104034809</v>
      </c>
    </row>
    <row r="12989" spans="1:9" x14ac:dyDescent="0.2">
      <c r="A12989" s="1" t="str">
        <f>"PDGFRA"</f>
        <v>PDGFRA</v>
      </c>
      <c r="B12989" t="s">
        <v>1325</v>
      </c>
      <c r="C12989" t="s">
        <v>23</v>
      </c>
      <c r="D12989" t="s">
        <v>17</v>
      </c>
      <c r="E12989" t="s">
        <v>35</v>
      </c>
      <c r="F12989">
        <v>55095379</v>
      </c>
      <c r="G12989">
        <v>55095390</v>
      </c>
      <c r="H12989">
        <v>55095428</v>
      </c>
      <c r="I12989">
        <v>55095475</v>
      </c>
    </row>
    <row r="12990" spans="1:9" x14ac:dyDescent="0.2">
      <c r="A12990" s="1" t="str">
        <f>"PDGFRB"</f>
        <v>PDGFRB</v>
      </c>
      <c r="B12990" t="s">
        <v>14</v>
      </c>
      <c r="C12990" t="s">
        <v>46</v>
      </c>
      <c r="D12990" t="s">
        <v>11</v>
      </c>
      <c r="E12990" t="s">
        <v>12</v>
      </c>
      <c r="F12990">
        <v>149535392</v>
      </c>
      <c r="G12990">
        <v>149535417</v>
      </c>
      <c r="H12990">
        <v>149535421</v>
      </c>
      <c r="I12990">
        <v>149535441</v>
      </c>
    </row>
    <row r="12991" spans="1:9" x14ac:dyDescent="0.2">
      <c r="A12991" s="1" t="str">
        <f>"PDGFRL"</f>
        <v>PDGFRL</v>
      </c>
      <c r="B12991" t="s">
        <v>14</v>
      </c>
      <c r="C12991" t="s">
        <v>30</v>
      </c>
      <c r="D12991" t="s">
        <v>17</v>
      </c>
      <c r="E12991" t="s">
        <v>12</v>
      </c>
      <c r="F12991">
        <v>17434689</v>
      </c>
      <c r="G12991">
        <v>17434763</v>
      </c>
      <c r="H12991">
        <v>17434639</v>
      </c>
      <c r="I12991">
        <v>17434645</v>
      </c>
    </row>
    <row r="12992" spans="1:9" x14ac:dyDescent="0.2">
      <c r="A12992" s="1" t="str">
        <f>"PDHA1"</f>
        <v>PDHA1</v>
      </c>
      <c r="B12992" t="s">
        <v>14</v>
      </c>
      <c r="C12992" t="s">
        <v>37</v>
      </c>
      <c r="D12992" t="s">
        <v>17</v>
      </c>
      <c r="E12992" t="s">
        <v>12</v>
      </c>
      <c r="F12992">
        <v>19362015</v>
      </c>
      <c r="G12992">
        <v>19362122</v>
      </c>
      <c r="H12992">
        <v>19362015</v>
      </c>
      <c r="I12992">
        <v>19362122</v>
      </c>
    </row>
    <row r="12993" spans="1:9" x14ac:dyDescent="0.2">
      <c r="A12993" s="1" t="str">
        <f>"PDHA2"</f>
        <v>PDHA2</v>
      </c>
      <c r="B12993" t="s">
        <v>14</v>
      </c>
      <c r="C12993" t="s">
        <v>23</v>
      </c>
      <c r="D12993" t="s">
        <v>17</v>
      </c>
      <c r="E12993" t="s">
        <v>12</v>
      </c>
      <c r="F12993">
        <v>96761238</v>
      </c>
      <c r="G12993">
        <v>96761280</v>
      </c>
      <c r="H12993">
        <v>96761238</v>
      </c>
      <c r="I12993">
        <v>96761280</v>
      </c>
    </row>
    <row r="12994" spans="1:9" x14ac:dyDescent="0.2">
      <c r="A12994" s="1" t="str">
        <f>"PDHB"</f>
        <v>PDHB</v>
      </c>
      <c r="B12994" t="s">
        <v>14</v>
      </c>
      <c r="C12994" t="s">
        <v>22</v>
      </c>
      <c r="D12994" t="s">
        <v>11</v>
      </c>
      <c r="E12994" t="s">
        <v>12</v>
      </c>
      <c r="F12994">
        <v>58419537</v>
      </c>
      <c r="G12994">
        <v>58419583</v>
      </c>
      <c r="H12994">
        <v>58419379</v>
      </c>
      <c r="I12994">
        <v>58419406</v>
      </c>
    </row>
    <row r="12995" spans="1:9" x14ac:dyDescent="0.2">
      <c r="A12995" s="1" t="str">
        <f>"PDHX"</f>
        <v>PDHX</v>
      </c>
      <c r="B12995" t="s">
        <v>14</v>
      </c>
      <c r="C12995" t="s">
        <v>27</v>
      </c>
      <c r="D12995" t="s">
        <v>17</v>
      </c>
      <c r="E12995" t="s">
        <v>12</v>
      </c>
      <c r="F12995">
        <v>34938158</v>
      </c>
      <c r="G12995">
        <v>34938204</v>
      </c>
      <c r="H12995">
        <v>34937973</v>
      </c>
      <c r="I12995">
        <v>34938014</v>
      </c>
    </row>
    <row r="12996" spans="1:9" x14ac:dyDescent="0.2">
      <c r="A12996" s="1" t="str">
        <f>"PDIA2"</f>
        <v>PDIA2</v>
      </c>
      <c r="B12996" t="s">
        <v>14</v>
      </c>
      <c r="C12996" t="s">
        <v>31</v>
      </c>
      <c r="D12996" t="s">
        <v>17</v>
      </c>
      <c r="E12996" t="s">
        <v>12</v>
      </c>
      <c r="F12996">
        <v>330581</v>
      </c>
      <c r="G12996">
        <v>330613</v>
      </c>
      <c r="H12996">
        <v>330581</v>
      </c>
      <c r="I12996">
        <v>330613</v>
      </c>
    </row>
    <row r="12997" spans="1:9" x14ac:dyDescent="0.2">
      <c r="A12997" s="1" t="str">
        <f>"PDIA3"</f>
        <v>PDIA3</v>
      </c>
      <c r="B12997" t="s">
        <v>14</v>
      </c>
      <c r="C12997" t="s">
        <v>25</v>
      </c>
      <c r="D12997" t="s">
        <v>17</v>
      </c>
      <c r="E12997" t="s">
        <v>12</v>
      </c>
      <c r="F12997">
        <v>44038609</v>
      </c>
      <c r="G12997">
        <v>44038643</v>
      </c>
      <c r="H12997">
        <v>44038789</v>
      </c>
      <c r="I12997">
        <v>44038819</v>
      </c>
    </row>
    <row r="12998" spans="1:9" x14ac:dyDescent="0.2">
      <c r="A12998" s="1" t="str">
        <f>"PDIA4"</f>
        <v>PDIA4</v>
      </c>
      <c r="B12998" t="s">
        <v>14</v>
      </c>
      <c r="C12998" t="s">
        <v>33</v>
      </c>
      <c r="D12998" t="s">
        <v>11</v>
      </c>
      <c r="E12998" t="s">
        <v>12</v>
      </c>
      <c r="F12998">
        <v>148725544</v>
      </c>
      <c r="G12998">
        <v>148725630</v>
      </c>
      <c r="H12998">
        <v>148725745</v>
      </c>
      <c r="I12998">
        <v>148725759</v>
      </c>
    </row>
    <row r="12999" spans="1:9" x14ac:dyDescent="0.2">
      <c r="A12999" s="1" t="str">
        <f>"PDIA5"</f>
        <v>PDIA5</v>
      </c>
      <c r="B12999" t="s">
        <v>14</v>
      </c>
      <c r="C12999" t="s">
        <v>22</v>
      </c>
      <c r="D12999" t="s">
        <v>17</v>
      </c>
      <c r="E12999" t="s">
        <v>12</v>
      </c>
      <c r="F12999">
        <v>122785895</v>
      </c>
      <c r="G12999">
        <v>122786001</v>
      </c>
      <c r="H12999">
        <v>122785864</v>
      </c>
      <c r="I12999">
        <v>122785881</v>
      </c>
    </row>
    <row r="13000" spans="1:9" x14ac:dyDescent="0.2">
      <c r="A13000" s="1" t="str">
        <f>"PDIA6"</f>
        <v>PDIA6</v>
      </c>
      <c r="B13000" t="s">
        <v>14</v>
      </c>
      <c r="C13000" t="s">
        <v>26</v>
      </c>
      <c r="D13000" t="s">
        <v>11</v>
      </c>
      <c r="E13000" t="s">
        <v>12</v>
      </c>
      <c r="F13000">
        <v>10952832</v>
      </c>
      <c r="G13000">
        <v>10952918</v>
      </c>
      <c r="H13000">
        <v>10952922</v>
      </c>
      <c r="I13000">
        <v>10952951</v>
      </c>
    </row>
    <row r="13001" spans="1:9" x14ac:dyDescent="0.2">
      <c r="A13001" s="1" t="str">
        <f>"PDIK1L"</f>
        <v>PDIK1L</v>
      </c>
      <c r="B13001" t="s">
        <v>14</v>
      </c>
      <c r="C13001" t="s">
        <v>19</v>
      </c>
      <c r="D13001" t="s">
        <v>17</v>
      </c>
      <c r="E13001" t="s">
        <v>12</v>
      </c>
      <c r="F13001">
        <v>26438289</v>
      </c>
      <c r="G13001">
        <v>26438352</v>
      </c>
      <c r="H13001">
        <v>26437631</v>
      </c>
      <c r="I13001">
        <v>26437665</v>
      </c>
    </row>
    <row r="13002" spans="1:9" x14ac:dyDescent="0.2">
      <c r="A13002" s="1" t="str">
        <f>"PDILT"</f>
        <v>PDILT</v>
      </c>
      <c r="B13002" t="s">
        <v>14</v>
      </c>
      <c r="C13002" t="s">
        <v>31</v>
      </c>
      <c r="D13002" t="s">
        <v>11</v>
      </c>
      <c r="E13002" t="s">
        <v>12</v>
      </c>
      <c r="F13002">
        <v>20416053</v>
      </c>
      <c r="G13002">
        <v>20416064</v>
      </c>
      <c r="H13002">
        <v>20416042</v>
      </c>
      <c r="I13002">
        <v>20416047</v>
      </c>
    </row>
    <row r="13003" spans="1:9" x14ac:dyDescent="0.2">
      <c r="A13003" s="1" t="str">
        <f>"PDK1"</f>
        <v>PDK1</v>
      </c>
      <c r="B13003" t="s">
        <v>14</v>
      </c>
      <c r="C13003" t="s">
        <v>26</v>
      </c>
      <c r="D13003" t="s">
        <v>17</v>
      </c>
      <c r="E13003" t="s">
        <v>12</v>
      </c>
      <c r="F13003">
        <v>173420768</v>
      </c>
      <c r="G13003">
        <v>173420873</v>
      </c>
      <c r="H13003">
        <v>173420720</v>
      </c>
      <c r="I13003">
        <v>173420733</v>
      </c>
    </row>
    <row r="13004" spans="1:9" x14ac:dyDescent="0.2">
      <c r="A13004" s="1" t="str">
        <f>"PDK2"</f>
        <v>PDK2</v>
      </c>
      <c r="B13004" t="s">
        <v>14</v>
      </c>
      <c r="C13004" t="s">
        <v>28</v>
      </c>
      <c r="D13004" t="s">
        <v>17</v>
      </c>
      <c r="E13004" t="s">
        <v>12</v>
      </c>
      <c r="F13004">
        <v>48172695</v>
      </c>
      <c r="G13004">
        <v>48172780</v>
      </c>
      <c r="H13004">
        <v>48172675</v>
      </c>
      <c r="I13004">
        <v>48172692</v>
      </c>
    </row>
    <row r="13005" spans="1:9" x14ac:dyDescent="0.2">
      <c r="A13005" s="1" t="str">
        <f>"PDK3"</f>
        <v>PDK3</v>
      </c>
      <c r="B13005" t="s">
        <v>14</v>
      </c>
      <c r="C13005" t="s">
        <v>37</v>
      </c>
      <c r="D13005" t="s">
        <v>17</v>
      </c>
      <c r="E13005" t="s">
        <v>12</v>
      </c>
      <c r="F13005">
        <v>24483341</v>
      </c>
      <c r="G13005">
        <v>24483444</v>
      </c>
      <c r="H13005">
        <v>24483341</v>
      </c>
      <c r="I13005">
        <v>24483444</v>
      </c>
    </row>
    <row r="13006" spans="1:9" x14ac:dyDescent="0.2">
      <c r="A13006" s="1" t="str">
        <f>"PDK4"</f>
        <v>PDK4</v>
      </c>
      <c r="B13006" t="s">
        <v>14</v>
      </c>
      <c r="C13006" t="s">
        <v>33</v>
      </c>
      <c r="D13006" t="s">
        <v>11</v>
      </c>
      <c r="E13006" t="s">
        <v>12</v>
      </c>
      <c r="F13006">
        <v>95225768</v>
      </c>
      <c r="G13006">
        <v>95225967</v>
      </c>
      <c r="H13006">
        <v>95225631</v>
      </c>
      <c r="I13006">
        <v>95225666</v>
      </c>
    </row>
    <row r="13007" spans="1:9" x14ac:dyDescent="0.2">
      <c r="A13007" s="1" t="str">
        <f>"PDLIM1"</f>
        <v>PDLIM1</v>
      </c>
      <c r="B13007" t="s">
        <v>14</v>
      </c>
      <c r="C13007" t="s">
        <v>15</v>
      </c>
      <c r="D13007" t="s">
        <v>11</v>
      </c>
      <c r="E13007" t="s">
        <v>12</v>
      </c>
      <c r="F13007">
        <v>97050749</v>
      </c>
      <c r="G13007">
        <v>97050772</v>
      </c>
      <c r="H13007">
        <v>97050777</v>
      </c>
      <c r="I13007">
        <v>97050806</v>
      </c>
    </row>
    <row r="13008" spans="1:9" x14ac:dyDescent="0.2">
      <c r="A13008" s="1" t="str">
        <f>"PDLIM2"</f>
        <v>PDLIM2</v>
      </c>
      <c r="B13008" t="s">
        <v>9</v>
      </c>
      <c r="C13008" t="s">
        <v>30</v>
      </c>
      <c r="D13008" t="s">
        <v>17</v>
      </c>
      <c r="E13008" t="s">
        <v>12</v>
      </c>
      <c r="F13008">
        <v>22446763</v>
      </c>
      <c r="G13008">
        <v>22446862</v>
      </c>
      <c r="H13008">
        <v>22446763</v>
      </c>
      <c r="I13008">
        <v>22446862</v>
      </c>
    </row>
    <row r="13009" spans="1:9" x14ac:dyDescent="0.2">
      <c r="A13009" s="1" t="str">
        <f>"PDLIM2"</f>
        <v>PDLIM2</v>
      </c>
      <c r="B13009" t="s">
        <v>13</v>
      </c>
      <c r="C13009" t="s">
        <v>30</v>
      </c>
      <c r="D13009" t="s">
        <v>17</v>
      </c>
      <c r="E13009" t="s">
        <v>12</v>
      </c>
      <c r="F13009">
        <v>22436635</v>
      </c>
      <c r="G13009">
        <v>22436650</v>
      </c>
      <c r="H13009">
        <v>22436635</v>
      </c>
      <c r="I13009">
        <v>22436650</v>
      </c>
    </row>
    <row r="13010" spans="1:9" x14ac:dyDescent="0.2">
      <c r="A13010" s="1" t="str">
        <f>"PDLIM3"</f>
        <v>PDLIM3</v>
      </c>
      <c r="B13010" t="s">
        <v>14</v>
      </c>
      <c r="C13010" t="s">
        <v>23</v>
      </c>
      <c r="D13010" t="s">
        <v>11</v>
      </c>
      <c r="E13010" t="s">
        <v>12</v>
      </c>
      <c r="F13010">
        <v>186456652</v>
      </c>
      <c r="G13010">
        <v>186456668</v>
      </c>
      <c r="H13010">
        <v>186456610</v>
      </c>
      <c r="I13010">
        <v>186456621</v>
      </c>
    </row>
    <row r="13011" spans="1:9" x14ac:dyDescent="0.2">
      <c r="A13011" s="1" t="str">
        <f>"PDLIM4"</f>
        <v>PDLIM4</v>
      </c>
      <c r="B13011" t="s">
        <v>14</v>
      </c>
      <c r="C13011" t="s">
        <v>46</v>
      </c>
      <c r="D13011" t="s">
        <v>17</v>
      </c>
      <c r="E13011" t="s">
        <v>12</v>
      </c>
      <c r="F13011">
        <v>131593366</v>
      </c>
      <c r="G13011">
        <v>131593397</v>
      </c>
      <c r="H13011">
        <v>131593332</v>
      </c>
      <c r="I13011">
        <v>131593355</v>
      </c>
    </row>
    <row r="13012" spans="1:9" x14ac:dyDescent="0.2">
      <c r="A13012" s="1" t="str">
        <f>"PDLIM5"</f>
        <v>PDLIM5</v>
      </c>
      <c r="B13012" t="s">
        <v>14</v>
      </c>
      <c r="C13012" t="s">
        <v>23</v>
      </c>
      <c r="D13012" t="s">
        <v>17</v>
      </c>
      <c r="E13012" t="s">
        <v>12</v>
      </c>
      <c r="F13012">
        <v>95373080</v>
      </c>
      <c r="G13012">
        <v>95373104</v>
      </c>
      <c r="H13012">
        <v>95373080</v>
      </c>
      <c r="I13012">
        <v>95373104</v>
      </c>
    </row>
    <row r="13013" spans="1:9" x14ac:dyDescent="0.2">
      <c r="A13013" s="1" t="str">
        <f>"PDLIM7"</f>
        <v>PDLIM7</v>
      </c>
      <c r="B13013" t="s">
        <v>9</v>
      </c>
      <c r="C13013" t="s">
        <v>46</v>
      </c>
      <c r="D13013" t="s">
        <v>11</v>
      </c>
      <c r="E13013" t="s">
        <v>12</v>
      </c>
      <c r="F13013">
        <v>176924595</v>
      </c>
      <c r="G13013">
        <v>176924611</v>
      </c>
      <c r="H13013">
        <v>176924595</v>
      </c>
      <c r="I13013">
        <v>176924611</v>
      </c>
    </row>
    <row r="13014" spans="1:9" x14ac:dyDescent="0.2">
      <c r="A13014" s="1" t="str">
        <f>"PDLIM7"</f>
        <v>PDLIM7</v>
      </c>
      <c r="B13014" t="s">
        <v>13</v>
      </c>
      <c r="C13014" t="s">
        <v>46</v>
      </c>
      <c r="D13014" t="s">
        <v>11</v>
      </c>
      <c r="E13014" t="s">
        <v>12</v>
      </c>
      <c r="F13014">
        <v>176919658</v>
      </c>
      <c r="G13014">
        <v>176919672</v>
      </c>
      <c r="H13014">
        <v>176919658</v>
      </c>
      <c r="I13014">
        <v>176919672</v>
      </c>
    </row>
    <row r="13015" spans="1:9" x14ac:dyDescent="0.2">
      <c r="A13015" s="1" t="str">
        <f>"PDP1"</f>
        <v>PDP1</v>
      </c>
      <c r="B13015" t="s">
        <v>14</v>
      </c>
      <c r="C13015" t="s">
        <v>30</v>
      </c>
      <c r="D13015" t="s">
        <v>17</v>
      </c>
      <c r="E13015" t="s">
        <v>12</v>
      </c>
      <c r="F13015">
        <v>94929168</v>
      </c>
      <c r="G13015">
        <v>94929235</v>
      </c>
      <c r="H13015">
        <v>94930034</v>
      </c>
      <c r="I13015">
        <v>94930089</v>
      </c>
    </row>
    <row r="13016" spans="1:9" x14ac:dyDescent="0.2">
      <c r="A13016" s="1" t="str">
        <f>"PDP2"</f>
        <v>PDP2</v>
      </c>
      <c r="B13016" t="s">
        <v>14</v>
      </c>
      <c r="C13016" t="s">
        <v>31</v>
      </c>
      <c r="D13016" t="s">
        <v>17</v>
      </c>
      <c r="E13016" t="s">
        <v>12</v>
      </c>
      <c r="F13016">
        <v>66914406</v>
      </c>
      <c r="G13016">
        <v>66914516</v>
      </c>
      <c r="H13016">
        <v>66914406</v>
      </c>
      <c r="I13016">
        <v>66914516</v>
      </c>
    </row>
    <row r="13017" spans="1:9" x14ac:dyDescent="0.2">
      <c r="A13017" s="1" t="str">
        <f>"PDPK1"</f>
        <v>PDPK1</v>
      </c>
      <c r="B13017" t="s">
        <v>14</v>
      </c>
      <c r="C13017" t="s">
        <v>31</v>
      </c>
      <c r="D13017" t="s">
        <v>17</v>
      </c>
      <c r="E13017" t="s">
        <v>12</v>
      </c>
      <c r="F13017">
        <v>2588012</v>
      </c>
      <c r="G13017">
        <v>2588031</v>
      </c>
      <c r="H13017">
        <v>2587980</v>
      </c>
      <c r="I13017">
        <v>2587994</v>
      </c>
    </row>
    <row r="13018" spans="1:9" x14ac:dyDescent="0.2">
      <c r="A13018" s="1" t="str">
        <f>"PDPN"</f>
        <v>PDPN</v>
      </c>
      <c r="B13018" t="s">
        <v>14</v>
      </c>
      <c r="C13018" t="s">
        <v>19</v>
      </c>
      <c r="D13018" t="s">
        <v>17</v>
      </c>
      <c r="E13018" t="s">
        <v>12</v>
      </c>
      <c r="F13018">
        <v>13910194</v>
      </c>
      <c r="G13018">
        <v>13910339</v>
      </c>
      <c r="H13018">
        <v>13910479</v>
      </c>
      <c r="I13018">
        <v>13910490</v>
      </c>
    </row>
    <row r="13019" spans="1:9" x14ac:dyDescent="0.2">
      <c r="A13019" s="1" t="str">
        <f>"PDPR"</f>
        <v>PDPR</v>
      </c>
      <c r="B13019" t="s">
        <v>14</v>
      </c>
      <c r="C13019" t="s">
        <v>31</v>
      </c>
      <c r="D13019" t="s">
        <v>17</v>
      </c>
      <c r="E13019" t="s">
        <v>12</v>
      </c>
      <c r="F13019">
        <v>70148230</v>
      </c>
      <c r="G13019">
        <v>70148270</v>
      </c>
      <c r="H13019">
        <v>70148127</v>
      </c>
      <c r="I13019">
        <v>70148149</v>
      </c>
    </row>
    <row r="13020" spans="1:9" x14ac:dyDescent="0.2">
      <c r="A13020" s="1" t="str">
        <f>"PDRG1"</f>
        <v>PDRG1</v>
      </c>
      <c r="B13020" t="s">
        <v>14</v>
      </c>
      <c r="C13020" t="s">
        <v>29</v>
      </c>
      <c r="D13020" t="s">
        <v>11</v>
      </c>
      <c r="E13020" t="s">
        <v>12</v>
      </c>
      <c r="F13020">
        <v>30539773</v>
      </c>
      <c r="G13020">
        <v>30539882</v>
      </c>
      <c r="H13020">
        <v>30539741</v>
      </c>
      <c r="I13020">
        <v>30539752</v>
      </c>
    </row>
    <row r="13021" spans="1:9" x14ac:dyDescent="0.2">
      <c r="A13021" s="1" t="str">
        <f>"PDS5A"</f>
        <v>PDS5A</v>
      </c>
      <c r="B13021" t="s">
        <v>14</v>
      </c>
      <c r="C13021" t="s">
        <v>23</v>
      </c>
      <c r="D13021" t="s">
        <v>11</v>
      </c>
      <c r="E13021" t="s">
        <v>12</v>
      </c>
      <c r="F13021">
        <v>39979443</v>
      </c>
      <c r="G13021">
        <v>39979563</v>
      </c>
      <c r="H13021">
        <v>39979211</v>
      </c>
      <c r="I13021">
        <v>39979269</v>
      </c>
    </row>
    <row r="13022" spans="1:9" x14ac:dyDescent="0.2">
      <c r="A13022" s="1" t="str">
        <f>"PDS5B"</f>
        <v>PDS5B</v>
      </c>
      <c r="B13022" t="s">
        <v>14</v>
      </c>
      <c r="C13022" t="s">
        <v>39</v>
      </c>
      <c r="D13022" t="s">
        <v>17</v>
      </c>
      <c r="E13022" t="s">
        <v>12</v>
      </c>
      <c r="F13022">
        <v>33160668</v>
      </c>
      <c r="G13022">
        <v>33160714</v>
      </c>
      <c r="H13022">
        <v>33160579</v>
      </c>
      <c r="I13022">
        <v>33160617</v>
      </c>
    </row>
    <row r="13023" spans="1:9" x14ac:dyDescent="0.2">
      <c r="A13023" s="1" t="str">
        <f>"PDSS1"</f>
        <v>PDSS1</v>
      </c>
      <c r="B13023" t="s">
        <v>14</v>
      </c>
      <c r="C13023" t="s">
        <v>15</v>
      </c>
      <c r="D13023" t="s">
        <v>17</v>
      </c>
      <c r="E13023" t="s">
        <v>12</v>
      </c>
      <c r="F13023">
        <v>26986582</v>
      </c>
      <c r="G13023">
        <v>26986640</v>
      </c>
      <c r="H13023">
        <v>26986582</v>
      </c>
      <c r="I13023">
        <v>26986640</v>
      </c>
    </row>
    <row r="13024" spans="1:9" x14ac:dyDescent="0.2">
      <c r="A13024" s="1" t="str">
        <f>"PDSS2"</f>
        <v>PDSS2</v>
      </c>
      <c r="B13024" t="s">
        <v>14</v>
      </c>
      <c r="C13024" t="s">
        <v>32</v>
      </c>
      <c r="D13024" t="s">
        <v>11</v>
      </c>
      <c r="E13024" t="s">
        <v>12</v>
      </c>
      <c r="F13024">
        <v>107780751</v>
      </c>
      <c r="G13024">
        <v>107780786</v>
      </c>
      <c r="H13024">
        <v>107780708</v>
      </c>
      <c r="I13024">
        <v>107780748</v>
      </c>
    </row>
    <row r="13025" spans="1:9" x14ac:dyDescent="0.2">
      <c r="A13025" s="1" t="str">
        <f>"PDX1"</f>
        <v>PDX1</v>
      </c>
      <c r="B13025" t="s">
        <v>14</v>
      </c>
      <c r="C13025" t="s">
        <v>39</v>
      </c>
      <c r="D13025" t="s">
        <v>17</v>
      </c>
      <c r="E13025" t="s">
        <v>12</v>
      </c>
      <c r="F13025">
        <v>28494130</v>
      </c>
      <c r="G13025">
        <v>28494168</v>
      </c>
      <c r="H13025">
        <v>28494109</v>
      </c>
      <c r="I13025">
        <v>28494122</v>
      </c>
    </row>
    <row r="13026" spans="1:9" x14ac:dyDescent="0.2">
      <c r="A13026" s="1" t="str">
        <f>"PDXDC1"</f>
        <v>PDXDC1</v>
      </c>
      <c r="B13026" t="s">
        <v>14</v>
      </c>
      <c r="C13026" t="s">
        <v>31</v>
      </c>
      <c r="D13026" t="s">
        <v>17</v>
      </c>
      <c r="E13026" t="s">
        <v>12</v>
      </c>
      <c r="F13026">
        <v>15068831</v>
      </c>
      <c r="G13026">
        <v>15068900</v>
      </c>
      <c r="H13026">
        <v>15068955</v>
      </c>
      <c r="I13026">
        <v>15068991</v>
      </c>
    </row>
    <row r="13027" spans="1:9" x14ac:dyDescent="0.2">
      <c r="A13027" s="1" t="str">
        <f>"PDXK"</f>
        <v>PDXK</v>
      </c>
      <c r="B13027" t="s">
        <v>14</v>
      </c>
      <c r="C13027" t="s">
        <v>42</v>
      </c>
      <c r="D13027" t="s">
        <v>17</v>
      </c>
      <c r="E13027" t="s">
        <v>12</v>
      </c>
      <c r="F13027">
        <v>45138941</v>
      </c>
      <c r="G13027">
        <v>45139084</v>
      </c>
      <c r="H13027">
        <v>45138941</v>
      </c>
      <c r="I13027">
        <v>45139084</v>
      </c>
    </row>
    <row r="13028" spans="1:9" x14ac:dyDescent="0.2">
      <c r="A13028" s="1" t="str">
        <f>"PDXP"</f>
        <v>PDXP</v>
      </c>
      <c r="B13028" t="s">
        <v>14</v>
      </c>
      <c r="C13028" t="s">
        <v>21</v>
      </c>
      <c r="D13028" t="s">
        <v>17</v>
      </c>
      <c r="E13028" t="s">
        <v>12</v>
      </c>
      <c r="F13028">
        <v>38054743</v>
      </c>
      <c r="G13028">
        <v>38054784</v>
      </c>
      <c r="H13028">
        <v>38054721</v>
      </c>
      <c r="I13028">
        <v>38054737</v>
      </c>
    </row>
    <row r="13029" spans="1:9" x14ac:dyDescent="0.2">
      <c r="A13029" s="1" t="str">
        <f>"PDYN"</f>
        <v>PDYN</v>
      </c>
      <c r="B13029" t="s">
        <v>14</v>
      </c>
      <c r="C13029" t="s">
        <v>29</v>
      </c>
      <c r="D13029" t="s">
        <v>11</v>
      </c>
      <c r="E13029" t="s">
        <v>12</v>
      </c>
      <c r="F13029">
        <v>1974692</v>
      </c>
      <c r="G13029">
        <v>1974712</v>
      </c>
      <c r="H13029">
        <v>1974692</v>
      </c>
      <c r="I13029">
        <v>1974712</v>
      </c>
    </row>
    <row r="13030" spans="1:9" x14ac:dyDescent="0.2">
      <c r="A13030" s="1" t="str">
        <f>"PDZD11"</f>
        <v>PDZD11</v>
      </c>
      <c r="B13030" t="s">
        <v>14</v>
      </c>
      <c r="C13030" t="s">
        <v>37</v>
      </c>
      <c r="D13030" t="s">
        <v>11</v>
      </c>
      <c r="E13030" t="s">
        <v>12</v>
      </c>
      <c r="F13030">
        <v>69509738</v>
      </c>
      <c r="G13030">
        <v>69509803</v>
      </c>
      <c r="H13030">
        <v>69509738</v>
      </c>
      <c r="I13030">
        <v>69509803</v>
      </c>
    </row>
    <row r="13031" spans="1:9" x14ac:dyDescent="0.2">
      <c r="A13031" s="1" t="str">
        <f>"PDZD2"</f>
        <v>PDZD2</v>
      </c>
      <c r="B13031" t="s">
        <v>14</v>
      </c>
      <c r="C13031" t="s">
        <v>46</v>
      </c>
      <c r="D13031" t="s">
        <v>17</v>
      </c>
      <c r="E13031" t="s">
        <v>12</v>
      </c>
      <c r="F13031">
        <v>31639211</v>
      </c>
      <c r="G13031">
        <v>31639288</v>
      </c>
      <c r="H13031">
        <v>31639211</v>
      </c>
      <c r="I13031">
        <v>31639288</v>
      </c>
    </row>
    <row r="13032" spans="1:9" x14ac:dyDescent="0.2">
      <c r="A13032" s="1" t="str">
        <f>"PDZD3"</f>
        <v>PDZD3</v>
      </c>
      <c r="B13032" t="s">
        <v>14</v>
      </c>
      <c r="C13032" t="s">
        <v>27</v>
      </c>
      <c r="D13032" t="s">
        <v>17</v>
      </c>
      <c r="E13032" t="s">
        <v>12</v>
      </c>
      <c r="F13032">
        <v>119056178</v>
      </c>
      <c r="G13032">
        <v>119056200</v>
      </c>
      <c r="H13032">
        <v>119056158</v>
      </c>
      <c r="I13032">
        <v>119056172</v>
      </c>
    </row>
    <row r="13033" spans="1:9" x14ac:dyDescent="0.2">
      <c r="A13033" s="1" t="str">
        <f>"PDZD4"</f>
        <v>PDZD4</v>
      </c>
      <c r="B13033" t="s">
        <v>14</v>
      </c>
      <c r="C13033" t="s">
        <v>37</v>
      </c>
      <c r="D13033" t="s">
        <v>11</v>
      </c>
      <c r="E13033" t="s">
        <v>12</v>
      </c>
      <c r="F13033">
        <v>153096326</v>
      </c>
      <c r="G13033">
        <v>153096390</v>
      </c>
      <c r="H13033">
        <v>153095982</v>
      </c>
      <c r="I13033">
        <v>153096013</v>
      </c>
    </row>
    <row r="13034" spans="1:9" x14ac:dyDescent="0.2">
      <c r="A13034" s="1" t="str">
        <f>"PDZD7"</f>
        <v>PDZD7</v>
      </c>
      <c r="B13034" t="s">
        <v>14</v>
      </c>
      <c r="C13034" t="s">
        <v>15</v>
      </c>
      <c r="D13034" t="s">
        <v>11</v>
      </c>
      <c r="E13034" t="s">
        <v>12</v>
      </c>
      <c r="F13034">
        <v>102790852</v>
      </c>
      <c r="G13034">
        <v>102790909</v>
      </c>
      <c r="H13034">
        <v>102790910</v>
      </c>
      <c r="I13034">
        <v>102790917</v>
      </c>
    </row>
    <row r="13035" spans="1:9" x14ac:dyDescent="0.2">
      <c r="A13035" s="1" t="str">
        <f>"PDZD8"</f>
        <v>PDZD8</v>
      </c>
      <c r="B13035" t="s">
        <v>14</v>
      </c>
      <c r="C13035" t="s">
        <v>15</v>
      </c>
      <c r="D13035" t="s">
        <v>11</v>
      </c>
      <c r="E13035" t="s">
        <v>12</v>
      </c>
      <c r="F13035">
        <v>119134918</v>
      </c>
      <c r="G13035">
        <v>119134986</v>
      </c>
      <c r="H13035">
        <v>119134918</v>
      </c>
      <c r="I13035">
        <v>119134986</v>
      </c>
    </row>
    <row r="13036" spans="1:9" x14ac:dyDescent="0.2">
      <c r="A13036" s="1" t="str">
        <f>"PDZD9"</f>
        <v>PDZD9</v>
      </c>
      <c r="B13036" t="s">
        <v>14</v>
      </c>
      <c r="C13036" t="s">
        <v>31</v>
      </c>
      <c r="D13036" t="s">
        <v>11</v>
      </c>
      <c r="E13036" t="s">
        <v>12</v>
      </c>
      <c r="F13036">
        <v>22012422</v>
      </c>
      <c r="G13036">
        <v>22012452</v>
      </c>
      <c r="H13036">
        <v>22012422</v>
      </c>
      <c r="I13036">
        <v>22012452</v>
      </c>
    </row>
    <row r="13037" spans="1:9" x14ac:dyDescent="0.2">
      <c r="A13037" s="1" t="str">
        <f>"PDZK1"</f>
        <v>PDZK1</v>
      </c>
      <c r="B13037" t="s">
        <v>14</v>
      </c>
      <c r="C13037" t="s">
        <v>19</v>
      </c>
      <c r="D13037" t="s">
        <v>17</v>
      </c>
      <c r="E13037" t="s">
        <v>12</v>
      </c>
      <c r="F13037">
        <v>145727681</v>
      </c>
      <c r="G13037">
        <v>145727720</v>
      </c>
      <c r="H13037">
        <v>145727652</v>
      </c>
      <c r="I13037">
        <v>145727678</v>
      </c>
    </row>
    <row r="13038" spans="1:9" x14ac:dyDescent="0.2">
      <c r="A13038" s="1" t="str">
        <f>"PDZK1IP1"</f>
        <v>PDZK1IP1</v>
      </c>
      <c r="B13038" t="s">
        <v>14</v>
      </c>
      <c r="C13038" t="s">
        <v>19</v>
      </c>
      <c r="D13038" t="s">
        <v>11</v>
      </c>
      <c r="E13038" t="s">
        <v>12</v>
      </c>
      <c r="F13038">
        <v>47655686</v>
      </c>
      <c r="G13038">
        <v>47655743</v>
      </c>
      <c r="H13038">
        <v>47655686</v>
      </c>
      <c r="I13038">
        <v>47655743</v>
      </c>
    </row>
    <row r="13039" spans="1:9" x14ac:dyDescent="0.2">
      <c r="A13039" s="1" t="str">
        <f>"PDZRN3"</f>
        <v>PDZRN3</v>
      </c>
      <c r="B13039" t="s">
        <v>14</v>
      </c>
      <c r="C13039" t="s">
        <v>22</v>
      </c>
      <c r="D13039" t="s">
        <v>11</v>
      </c>
      <c r="E13039" t="s">
        <v>12</v>
      </c>
      <c r="F13039">
        <v>73674085</v>
      </c>
      <c r="G13039">
        <v>73674099</v>
      </c>
      <c r="H13039">
        <v>73674085</v>
      </c>
      <c r="I13039">
        <v>73674099</v>
      </c>
    </row>
    <row r="13040" spans="1:9" x14ac:dyDescent="0.2">
      <c r="A13040" s="1" t="str">
        <f>"PDZRN4"</f>
        <v>PDZRN4</v>
      </c>
      <c r="B13040" t="s">
        <v>14</v>
      </c>
      <c r="C13040" t="s">
        <v>16</v>
      </c>
      <c r="D13040" t="s">
        <v>17</v>
      </c>
      <c r="E13040" t="s">
        <v>12</v>
      </c>
      <c r="F13040">
        <v>41582517</v>
      </c>
      <c r="G13040">
        <v>41582535</v>
      </c>
      <c r="H13040">
        <v>41582767</v>
      </c>
      <c r="I13040">
        <v>41582791</v>
      </c>
    </row>
    <row r="13041" spans="1:9" x14ac:dyDescent="0.2">
      <c r="A13041" s="1" t="str">
        <f>"PEA15"</f>
        <v>PEA15</v>
      </c>
      <c r="B13041" t="s">
        <v>14</v>
      </c>
      <c r="C13041" t="s">
        <v>19</v>
      </c>
      <c r="D13041" t="s">
        <v>17</v>
      </c>
      <c r="E13041" t="s">
        <v>12</v>
      </c>
      <c r="F13041">
        <v>160175166</v>
      </c>
      <c r="G13041">
        <v>160175195</v>
      </c>
      <c r="H13041">
        <v>160175117</v>
      </c>
      <c r="I13041">
        <v>160175136</v>
      </c>
    </row>
    <row r="13042" spans="1:9" x14ac:dyDescent="0.2">
      <c r="A13042" s="1" t="str">
        <f>"PEAK1"</f>
        <v>PEAK1</v>
      </c>
      <c r="B13042" t="s">
        <v>14</v>
      </c>
      <c r="C13042" t="s">
        <v>25</v>
      </c>
      <c r="D13042" t="s">
        <v>11</v>
      </c>
      <c r="E13042" t="s">
        <v>12</v>
      </c>
      <c r="F13042">
        <v>77712429</v>
      </c>
      <c r="G13042">
        <v>77712473</v>
      </c>
      <c r="H13042">
        <v>77712477</v>
      </c>
      <c r="I13042">
        <v>77712499</v>
      </c>
    </row>
    <row r="13043" spans="1:9" x14ac:dyDescent="0.2">
      <c r="A13043" s="1" t="str">
        <f>"PEAR1"</f>
        <v>PEAR1</v>
      </c>
      <c r="B13043" t="s">
        <v>14</v>
      </c>
      <c r="C13043" t="s">
        <v>19</v>
      </c>
      <c r="D13043" t="s">
        <v>17</v>
      </c>
      <c r="E13043" t="s">
        <v>12</v>
      </c>
      <c r="F13043">
        <v>156863470</v>
      </c>
      <c r="G13043">
        <v>156863521</v>
      </c>
      <c r="H13043">
        <v>156863447</v>
      </c>
      <c r="I13043">
        <v>156863464</v>
      </c>
    </row>
    <row r="13044" spans="1:9" x14ac:dyDescent="0.2">
      <c r="A13044" s="1" t="str">
        <f>"PEBP1"</f>
        <v>PEBP1</v>
      </c>
      <c r="B13044" t="s">
        <v>14</v>
      </c>
      <c r="C13044" t="s">
        <v>16</v>
      </c>
      <c r="D13044" t="s">
        <v>17</v>
      </c>
      <c r="E13044" t="s">
        <v>12</v>
      </c>
      <c r="F13044">
        <v>118573891</v>
      </c>
      <c r="G13044">
        <v>118573969</v>
      </c>
      <c r="H13044">
        <v>118573978</v>
      </c>
      <c r="I13044">
        <v>118573987</v>
      </c>
    </row>
    <row r="13045" spans="1:9" x14ac:dyDescent="0.2">
      <c r="A13045" s="1" t="str">
        <f>"PEBP4"</f>
        <v>PEBP4</v>
      </c>
      <c r="B13045" t="s">
        <v>14</v>
      </c>
      <c r="C13045" t="s">
        <v>30</v>
      </c>
      <c r="D13045" t="s">
        <v>11</v>
      </c>
      <c r="E13045" t="s">
        <v>12</v>
      </c>
      <c r="F13045">
        <v>22785404</v>
      </c>
      <c r="G13045">
        <v>22785433</v>
      </c>
      <c r="H13045">
        <v>22785376</v>
      </c>
      <c r="I13045">
        <v>22785399</v>
      </c>
    </row>
    <row r="13046" spans="1:9" x14ac:dyDescent="0.2">
      <c r="A13046" s="1" t="str">
        <f>"PECAM1"</f>
        <v>PECAM1</v>
      </c>
      <c r="B13046" t="s">
        <v>14</v>
      </c>
      <c r="C13046" t="s">
        <v>28</v>
      </c>
      <c r="D13046" t="s">
        <v>11</v>
      </c>
      <c r="E13046" t="s">
        <v>12</v>
      </c>
      <c r="F13046">
        <v>62400965</v>
      </c>
      <c r="G13046">
        <v>62400981</v>
      </c>
      <c r="H13046">
        <v>62400965</v>
      </c>
      <c r="I13046">
        <v>62400981</v>
      </c>
    </row>
    <row r="13047" spans="1:9" x14ac:dyDescent="0.2">
      <c r="A13047" s="1" t="str">
        <f>"PECR"</f>
        <v>PECR</v>
      </c>
      <c r="B13047" t="s">
        <v>14</v>
      </c>
      <c r="C13047" t="s">
        <v>26</v>
      </c>
      <c r="D13047" t="s">
        <v>11</v>
      </c>
      <c r="E13047" t="s">
        <v>12</v>
      </c>
      <c r="F13047">
        <v>216946500</v>
      </c>
      <c r="G13047">
        <v>216946548</v>
      </c>
      <c r="H13047">
        <v>216946482</v>
      </c>
      <c r="I13047">
        <v>216946499</v>
      </c>
    </row>
    <row r="13048" spans="1:9" x14ac:dyDescent="0.2">
      <c r="A13048" s="1" t="str">
        <f>"PEF1"</f>
        <v>PEF1</v>
      </c>
      <c r="B13048" t="s">
        <v>14</v>
      </c>
      <c r="C13048" t="s">
        <v>19</v>
      </c>
      <c r="D13048" t="s">
        <v>11</v>
      </c>
      <c r="E13048" t="s">
        <v>12</v>
      </c>
      <c r="F13048">
        <v>32110467</v>
      </c>
      <c r="G13048">
        <v>32110491</v>
      </c>
      <c r="H13048">
        <v>32110208</v>
      </c>
      <c r="I13048">
        <v>32110230</v>
      </c>
    </row>
    <row r="13049" spans="1:9" x14ac:dyDescent="0.2">
      <c r="A13049" s="1" t="str">
        <f>"PEG10"</f>
        <v>PEG10</v>
      </c>
      <c r="B13049" t="s">
        <v>9</v>
      </c>
      <c r="C13049" t="s">
        <v>33</v>
      </c>
      <c r="D13049" t="s">
        <v>17</v>
      </c>
      <c r="E13049" t="s">
        <v>12</v>
      </c>
      <c r="F13049">
        <v>94285674</v>
      </c>
      <c r="G13049">
        <v>94285689</v>
      </c>
      <c r="H13049">
        <v>94285674</v>
      </c>
      <c r="I13049">
        <v>94285689</v>
      </c>
    </row>
    <row r="13050" spans="1:9" x14ac:dyDescent="0.2">
      <c r="A13050" s="1" t="str">
        <f>"PEG10"</f>
        <v>PEG10</v>
      </c>
      <c r="B13050" t="s">
        <v>13</v>
      </c>
      <c r="C13050" t="s">
        <v>33</v>
      </c>
      <c r="D13050" t="s">
        <v>17</v>
      </c>
      <c r="E13050" t="s">
        <v>12</v>
      </c>
      <c r="F13050">
        <v>94292734</v>
      </c>
      <c r="G13050">
        <v>94292850</v>
      </c>
      <c r="H13050">
        <v>94292734</v>
      </c>
      <c r="I13050">
        <v>94292850</v>
      </c>
    </row>
    <row r="13051" spans="1:9" x14ac:dyDescent="0.2">
      <c r="A13051" s="1" t="str">
        <f>"PEG3"</f>
        <v>PEG3</v>
      </c>
      <c r="B13051" t="s">
        <v>14</v>
      </c>
      <c r="C13051" t="s">
        <v>10</v>
      </c>
      <c r="D13051" t="s">
        <v>11</v>
      </c>
      <c r="E13051" t="s">
        <v>12</v>
      </c>
      <c r="F13051">
        <v>57352087</v>
      </c>
      <c r="G13051">
        <v>57352102</v>
      </c>
      <c r="H13051">
        <v>57352087</v>
      </c>
      <c r="I13051">
        <v>57352102</v>
      </c>
    </row>
    <row r="13052" spans="1:9" x14ac:dyDescent="0.2">
      <c r="A13052" s="1" t="str">
        <f>"PELI1"</f>
        <v>PELI1</v>
      </c>
      <c r="B13052" t="s">
        <v>14</v>
      </c>
      <c r="C13052" t="s">
        <v>26</v>
      </c>
      <c r="D13052" t="s">
        <v>11</v>
      </c>
      <c r="E13052" t="s">
        <v>12</v>
      </c>
      <c r="F13052">
        <v>64371546</v>
      </c>
      <c r="G13052">
        <v>64371560</v>
      </c>
      <c r="H13052">
        <v>64371523</v>
      </c>
      <c r="I13052">
        <v>64371535</v>
      </c>
    </row>
    <row r="13053" spans="1:9" x14ac:dyDescent="0.2">
      <c r="A13053" s="1" t="str">
        <f>"PELI2"</f>
        <v>PELI2</v>
      </c>
      <c r="B13053" t="s">
        <v>14</v>
      </c>
      <c r="C13053" t="s">
        <v>41</v>
      </c>
      <c r="D13053" t="s">
        <v>17</v>
      </c>
      <c r="E13053" t="s">
        <v>12</v>
      </c>
      <c r="F13053">
        <v>56585048</v>
      </c>
      <c r="G13053">
        <v>56585150</v>
      </c>
      <c r="H13053">
        <v>56585009</v>
      </c>
      <c r="I13053">
        <v>56585037</v>
      </c>
    </row>
    <row r="13054" spans="1:9" x14ac:dyDescent="0.2">
      <c r="A13054" s="1" t="str">
        <f>"PELI3"</f>
        <v>PELI3</v>
      </c>
      <c r="B13054" t="s">
        <v>14</v>
      </c>
      <c r="C13054" t="s">
        <v>27</v>
      </c>
      <c r="D13054" t="s">
        <v>17</v>
      </c>
      <c r="E13054" t="s">
        <v>12</v>
      </c>
      <c r="F13054">
        <v>66234337</v>
      </c>
      <c r="G13054">
        <v>66234424</v>
      </c>
      <c r="H13054">
        <v>66234337</v>
      </c>
      <c r="I13054">
        <v>66234424</v>
      </c>
    </row>
    <row r="13055" spans="1:9" x14ac:dyDescent="0.2">
      <c r="A13055" s="1" t="str">
        <f>"PELO"</f>
        <v>PELO</v>
      </c>
      <c r="B13055" t="s">
        <v>9</v>
      </c>
      <c r="C13055" t="s">
        <v>46</v>
      </c>
      <c r="D13055" t="s">
        <v>17</v>
      </c>
      <c r="E13055" t="s">
        <v>12</v>
      </c>
      <c r="F13055">
        <v>52095914</v>
      </c>
      <c r="G13055">
        <v>52095954</v>
      </c>
      <c r="H13055">
        <v>52095914</v>
      </c>
      <c r="I13055">
        <v>52095954</v>
      </c>
    </row>
    <row r="13056" spans="1:9" x14ac:dyDescent="0.2">
      <c r="A13056" s="1" t="str">
        <f>"PELO"</f>
        <v>PELO</v>
      </c>
      <c r="B13056" t="s">
        <v>13</v>
      </c>
      <c r="C13056" t="s">
        <v>46</v>
      </c>
      <c r="D13056" t="s">
        <v>17</v>
      </c>
      <c r="E13056" t="s">
        <v>12</v>
      </c>
      <c r="F13056">
        <v>52083733</v>
      </c>
      <c r="G13056">
        <v>52083821</v>
      </c>
      <c r="H13056">
        <v>52083733</v>
      </c>
      <c r="I13056">
        <v>52083821</v>
      </c>
    </row>
    <row r="13057" spans="1:9" x14ac:dyDescent="0.2">
      <c r="A13057" s="1" t="str">
        <f>"PELP1"</f>
        <v>PELP1</v>
      </c>
      <c r="B13057" t="s">
        <v>14</v>
      </c>
      <c r="C13057" t="s">
        <v>28</v>
      </c>
      <c r="D13057" t="s">
        <v>11</v>
      </c>
      <c r="E13057" t="s">
        <v>12</v>
      </c>
      <c r="F13057">
        <v>4607607</v>
      </c>
      <c r="G13057">
        <v>4607618</v>
      </c>
      <c r="H13057">
        <v>4607629</v>
      </c>
      <c r="I13057">
        <v>4607634</v>
      </c>
    </row>
    <row r="13058" spans="1:9" x14ac:dyDescent="0.2">
      <c r="A13058" s="1" t="str">
        <f>"PEMT"</f>
        <v>PEMT</v>
      </c>
      <c r="B13058" t="s">
        <v>14</v>
      </c>
      <c r="C13058" t="s">
        <v>28</v>
      </c>
      <c r="D13058" t="s">
        <v>11</v>
      </c>
      <c r="E13058" t="s">
        <v>12</v>
      </c>
      <c r="F13058">
        <v>17494972</v>
      </c>
      <c r="G13058">
        <v>17495037</v>
      </c>
      <c r="H13058">
        <v>17494903</v>
      </c>
      <c r="I13058">
        <v>17494943</v>
      </c>
    </row>
    <row r="13059" spans="1:9" x14ac:dyDescent="0.2">
      <c r="A13059" s="1" t="str">
        <f>"PENK"</f>
        <v>PENK</v>
      </c>
      <c r="B13059" t="s">
        <v>14</v>
      </c>
      <c r="C13059" t="s">
        <v>30</v>
      </c>
      <c r="D13059" t="s">
        <v>11</v>
      </c>
      <c r="E13059" t="s">
        <v>12</v>
      </c>
      <c r="F13059">
        <v>57359192</v>
      </c>
      <c r="G13059">
        <v>57359208</v>
      </c>
      <c r="H13059">
        <v>57358393</v>
      </c>
      <c r="I13059">
        <v>57358427</v>
      </c>
    </row>
    <row r="13060" spans="1:9" x14ac:dyDescent="0.2">
      <c r="A13060" s="1" t="str">
        <f>"PEPD"</f>
        <v>PEPD</v>
      </c>
      <c r="B13060" t="s">
        <v>14</v>
      </c>
      <c r="C13060" t="s">
        <v>10</v>
      </c>
      <c r="D13060" t="s">
        <v>11</v>
      </c>
      <c r="E13060" t="s">
        <v>12</v>
      </c>
      <c r="F13060">
        <v>34012674</v>
      </c>
      <c r="G13060">
        <v>34012704</v>
      </c>
      <c r="H13060">
        <v>34012674</v>
      </c>
      <c r="I13060">
        <v>34012704</v>
      </c>
    </row>
    <row r="13061" spans="1:9" x14ac:dyDescent="0.2">
      <c r="A13061" s="1" t="str">
        <f>"PER1"</f>
        <v>PER1</v>
      </c>
      <c r="B13061" t="s">
        <v>9</v>
      </c>
      <c r="C13061" t="s">
        <v>28</v>
      </c>
      <c r="D13061" t="s">
        <v>11</v>
      </c>
      <c r="E13061" t="s">
        <v>12</v>
      </c>
      <c r="F13061">
        <v>8059638</v>
      </c>
      <c r="G13061">
        <v>8059683</v>
      </c>
      <c r="H13061">
        <v>8059638</v>
      </c>
      <c r="I13061">
        <v>8059683</v>
      </c>
    </row>
    <row r="13062" spans="1:9" x14ac:dyDescent="0.2">
      <c r="A13062" s="1" t="str">
        <f>"PER1"</f>
        <v>PER1</v>
      </c>
      <c r="B13062" t="s">
        <v>13</v>
      </c>
      <c r="C13062" t="s">
        <v>28</v>
      </c>
      <c r="D13062" t="s">
        <v>11</v>
      </c>
      <c r="E13062" t="s">
        <v>12</v>
      </c>
      <c r="F13062">
        <v>8055699</v>
      </c>
      <c r="G13062">
        <v>8055729</v>
      </c>
      <c r="H13062">
        <v>8055699</v>
      </c>
      <c r="I13062">
        <v>8055729</v>
      </c>
    </row>
    <row r="13063" spans="1:9" x14ac:dyDescent="0.2">
      <c r="A13063" s="1" t="str">
        <f>"PER2"</f>
        <v>PER2</v>
      </c>
      <c r="B13063" t="s">
        <v>14</v>
      </c>
      <c r="C13063" t="s">
        <v>26</v>
      </c>
      <c r="D13063" t="s">
        <v>11</v>
      </c>
      <c r="E13063" t="s">
        <v>12</v>
      </c>
      <c r="F13063">
        <v>239197399</v>
      </c>
      <c r="G13063">
        <v>239197467</v>
      </c>
      <c r="H13063">
        <v>239197379</v>
      </c>
      <c r="I13063">
        <v>239197398</v>
      </c>
    </row>
    <row r="13064" spans="1:9" x14ac:dyDescent="0.2">
      <c r="A13064" s="1" t="str">
        <f>"PER3"</f>
        <v>PER3</v>
      </c>
      <c r="B13064" t="s">
        <v>14</v>
      </c>
      <c r="C13064" t="s">
        <v>19</v>
      </c>
      <c r="D13064" t="s">
        <v>17</v>
      </c>
      <c r="E13064" t="s">
        <v>12</v>
      </c>
      <c r="F13064">
        <v>7844312</v>
      </c>
      <c r="G13064">
        <v>7844411</v>
      </c>
      <c r="H13064">
        <v>7844312</v>
      </c>
      <c r="I13064">
        <v>7844411</v>
      </c>
    </row>
    <row r="13065" spans="1:9" x14ac:dyDescent="0.2">
      <c r="A13065" s="1" t="str">
        <f>"PERP"</f>
        <v>PERP</v>
      </c>
      <c r="B13065" t="s">
        <v>14</v>
      </c>
      <c r="C13065" t="s">
        <v>32</v>
      </c>
      <c r="D13065" t="s">
        <v>11</v>
      </c>
      <c r="E13065" t="s">
        <v>12</v>
      </c>
      <c r="F13065">
        <v>138428549</v>
      </c>
      <c r="G13065">
        <v>138428563</v>
      </c>
      <c r="H13065">
        <v>138428580</v>
      </c>
      <c r="I13065">
        <v>138428599</v>
      </c>
    </row>
    <row r="13066" spans="1:9" x14ac:dyDescent="0.2">
      <c r="A13066" s="1" t="str">
        <f>"PES1"</f>
        <v>PES1</v>
      </c>
      <c r="B13066" t="s">
        <v>14</v>
      </c>
      <c r="C13066" t="s">
        <v>21</v>
      </c>
      <c r="D13066" t="s">
        <v>11</v>
      </c>
      <c r="E13066" t="s">
        <v>12</v>
      </c>
      <c r="F13066">
        <v>30987849</v>
      </c>
      <c r="G13066">
        <v>30987904</v>
      </c>
      <c r="H13066">
        <v>30987837</v>
      </c>
      <c r="I13066">
        <v>30987848</v>
      </c>
    </row>
    <row r="13067" spans="1:9" x14ac:dyDescent="0.2">
      <c r="A13067" s="1" t="str">
        <f>"PET100"</f>
        <v>PET100</v>
      </c>
      <c r="B13067" t="s">
        <v>14</v>
      </c>
      <c r="C13067" t="s">
        <v>10</v>
      </c>
      <c r="D13067" t="s">
        <v>17</v>
      </c>
      <c r="E13067" t="s">
        <v>12</v>
      </c>
      <c r="F13067">
        <v>7694658</v>
      </c>
      <c r="G13067">
        <v>7694709</v>
      </c>
      <c r="H13067">
        <v>7694615</v>
      </c>
      <c r="I13067">
        <v>7694622</v>
      </c>
    </row>
    <row r="13068" spans="1:9" x14ac:dyDescent="0.2">
      <c r="A13068" s="1" t="str">
        <f>"PET112"</f>
        <v>PET112</v>
      </c>
      <c r="B13068" t="s">
        <v>14</v>
      </c>
      <c r="C13068" t="s">
        <v>23</v>
      </c>
      <c r="D13068" t="s">
        <v>11</v>
      </c>
      <c r="E13068" t="s">
        <v>12</v>
      </c>
      <c r="F13068">
        <v>152682129</v>
      </c>
      <c r="G13068">
        <v>152682170</v>
      </c>
      <c r="H13068">
        <v>152682129</v>
      </c>
      <c r="I13068">
        <v>152682170</v>
      </c>
    </row>
    <row r="13069" spans="1:9" x14ac:dyDescent="0.2">
      <c r="A13069" s="1" t="str">
        <f>"PET117"</f>
        <v>PET117</v>
      </c>
      <c r="B13069" t="s">
        <v>14</v>
      </c>
      <c r="C13069" t="s">
        <v>29</v>
      </c>
      <c r="D13069" t="s">
        <v>17</v>
      </c>
      <c r="E13069" t="s">
        <v>67</v>
      </c>
      <c r="F13069">
        <v>18118486</v>
      </c>
      <c r="G13069">
        <v>18118525</v>
      </c>
      <c r="H13069">
        <v>18118529</v>
      </c>
      <c r="I13069">
        <v>18118555</v>
      </c>
    </row>
    <row r="13070" spans="1:9" x14ac:dyDescent="0.2">
      <c r="A13070" s="1" t="str">
        <f>"PEX1"</f>
        <v>PEX1</v>
      </c>
      <c r="B13070" t="s">
        <v>14</v>
      </c>
      <c r="C13070" t="s">
        <v>33</v>
      </c>
      <c r="D13070" t="s">
        <v>11</v>
      </c>
      <c r="E13070" t="s">
        <v>12</v>
      </c>
      <c r="F13070">
        <v>92157760</v>
      </c>
      <c r="G13070">
        <v>92157854</v>
      </c>
      <c r="H13070">
        <v>92157696</v>
      </c>
      <c r="I13070">
        <v>92157707</v>
      </c>
    </row>
    <row r="13071" spans="1:9" x14ac:dyDescent="0.2">
      <c r="A13071" s="1" t="str">
        <f>"PEX10"</f>
        <v>PEX10</v>
      </c>
      <c r="B13071" t="s">
        <v>9</v>
      </c>
      <c r="C13071" t="s">
        <v>19</v>
      </c>
      <c r="D13071" t="s">
        <v>11</v>
      </c>
      <c r="E13071" t="s">
        <v>12</v>
      </c>
      <c r="F13071">
        <v>2343951</v>
      </c>
      <c r="G13071">
        <v>2344018</v>
      </c>
      <c r="H13071">
        <v>2343951</v>
      </c>
      <c r="I13071">
        <v>2344018</v>
      </c>
    </row>
    <row r="13072" spans="1:9" x14ac:dyDescent="0.2">
      <c r="A13072" s="1" t="str">
        <f>"PEX10"</f>
        <v>PEX10</v>
      </c>
      <c r="B13072" t="s">
        <v>13</v>
      </c>
      <c r="C13072" t="s">
        <v>19</v>
      </c>
      <c r="D13072" t="s">
        <v>11</v>
      </c>
      <c r="E13072" t="s">
        <v>12</v>
      </c>
      <c r="F13072">
        <v>2345260</v>
      </c>
      <c r="G13072">
        <v>2345297</v>
      </c>
      <c r="H13072">
        <v>2345260</v>
      </c>
      <c r="I13072">
        <v>2345297</v>
      </c>
    </row>
    <row r="13073" spans="1:9" x14ac:dyDescent="0.2">
      <c r="A13073" s="1" t="str">
        <f>"PEX11A"</f>
        <v>PEX11A</v>
      </c>
      <c r="B13073" t="s">
        <v>14</v>
      </c>
      <c r="C13073" t="s">
        <v>25</v>
      </c>
      <c r="D13073" t="s">
        <v>11</v>
      </c>
      <c r="E13073" t="s">
        <v>12</v>
      </c>
      <c r="F13073">
        <v>90233907</v>
      </c>
      <c r="G13073">
        <v>90233991</v>
      </c>
      <c r="H13073">
        <v>90233866</v>
      </c>
      <c r="I13073">
        <v>90233883</v>
      </c>
    </row>
    <row r="13074" spans="1:9" x14ac:dyDescent="0.2">
      <c r="A13074" s="1" t="str">
        <f>"PEX11B"</f>
        <v>PEX11B</v>
      </c>
      <c r="B13074" t="s">
        <v>14</v>
      </c>
      <c r="C13074" t="s">
        <v>19</v>
      </c>
      <c r="D13074" t="s">
        <v>17</v>
      </c>
      <c r="E13074" t="s">
        <v>12</v>
      </c>
      <c r="F13074">
        <v>145516358</v>
      </c>
      <c r="G13074">
        <v>145516403</v>
      </c>
      <c r="H13074">
        <v>145516574</v>
      </c>
      <c r="I13074">
        <v>145516603</v>
      </c>
    </row>
    <row r="13075" spans="1:9" x14ac:dyDescent="0.2">
      <c r="A13075" s="1" t="str">
        <f>"PEX11G"</f>
        <v>PEX11G</v>
      </c>
      <c r="B13075" t="s">
        <v>14</v>
      </c>
      <c r="C13075" t="s">
        <v>10</v>
      </c>
      <c r="D13075" t="s">
        <v>11</v>
      </c>
      <c r="E13075" t="s">
        <v>12</v>
      </c>
      <c r="F13075">
        <v>7553889</v>
      </c>
      <c r="G13075">
        <v>7553929</v>
      </c>
      <c r="H13075">
        <v>7553852</v>
      </c>
      <c r="I13075">
        <v>7553874</v>
      </c>
    </row>
    <row r="13076" spans="1:9" x14ac:dyDescent="0.2">
      <c r="A13076" s="1" t="str">
        <f>"PEX12"</f>
        <v>PEX12</v>
      </c>
      <c r="B13076" t="s">
        <v>14</v>
      </c>
      <c r="C13076" t="s">
        <v>28</v>
      </c>
      <c r="D13076" t="s">
        <v>11</v>
      </c>
      <c r="E13076" t="s">
        <v>12</v>
      </c>
      <c r="F13076">
        <v>33905521</v>
      </c>
      <c r="G13076">
        <v>33905614</v>
      </c>
      <c r="H13076">
        <v>33905616</v>
      </c>
      <c r="I13076">
        <v>33905637</v>
      </c>
    </row>
    <row r="13077" spans="1:9" x14ac:dyDescent="0.2">
      <c r="A13077" s="1" t="str">
        <f>"PEX13"</f>
        <v>PEX13</v>
      </c>
      <c r="B13077" t="s">
        <v>14</v>
      </c>
      <c r="C13077" t="s">
        <v>26</v>
      </c>
      <c r="D13077" t="s">
        <v>17</v>
      </c>
      <c r="E13077" t="s">
        <v>12</v>
      </c>
      <c r="F13077">
        <v>61244823</v>
      </c>
      <c r="G13077">
        <v>61244888</v>
      </c>
      <c r="H13077">
        <v>61244621</v>
      </c>
      <c r="I13077">
        <v>61244642</v>
      </c>
    </row>
    <row r="13078" spans="1:9" x14ac:dyDescent="0.2">
      <c r="A13078" s="1" t="str">
        <f>"PEX14"</f>
        <v>PEX14</v>
      </c>
      <c r="B13078" t="s">
        <v>14</v>
      </c>
      <c r="C13078" t="s">
        <v>19</v>
      </c>
      <c r="D13078" t="s">
        <v>17</v>
      </c>
      <c r="E13078" t="s">
        <v>12</v>
      </c>
      <c r="F13078">
        <v>10534993</v>
      </c>
      <c r="G13078">
        <v>10535025</v>
      </c>
      <c r="H13078">
        <v>10534993</v>
      </c>
      <c r="I13078">
        <v>10535025</v>
      </c>
    </row>
    <row r="13079" spans="1:9" x14ac:dyDescent="0.2">
      <c r="A13079" s="1" t="str">
        <f>"PEX16"</f>
        <v>PEX16</v>
      </c>
      <c r="B13079" t="s">
        <v>14</v>
      </c>
      <c r="C13079" t="s">
        <v>27</v>
      </c>
      <c r="D13079" t="s">
        <v>11</v>
      </c>
      <c r="E13079" t="s">
        <v>12</v>
      </c>
      <c r="F13079">
        <v>45939374</v>
      </c>
      <c r="G13079">
        <v>45939402</v>
      </c>
      <c r="H13079">
        <v>45939419</v>
      </c>
      <c r="I13079">
        <v>45939441</v>
      </c>
    </row>
    <row r="13080" spans="1:9" x14ac:dyDescent="0.2">
      <c r="A13080" s="1" t="str">
        <f>"PEX19"</f>
        <v>PEX19</v>
      </c>
      <c r="B13080" t="s">
        <v>14</v>
      </c>
      <c r="C13080" t="s">
        <v>19</v>
      </c>
      <c r="D13080" t="s">
        <v>11</v>
      </c>
      <c r="E13080" t="s">
        <v>12</v>
      </c>
      <c r="F13080">
        <v>160254913</v>
      </c>
      <c r="G13080">
        <v>160254943</v>
      </c>
      <c r="H13080">
        <v>160254913</v>
      </c>
      <c r="I13080">
        <v>160254943</v>
      </c>
    </row>
    <row r="13081" spans="1:9" x14ac:dyDescent="0.2">
      <c r="A13081" s="1" t="str">
        <f>"PEX2"</f>
        <v>PEX2</v>
      </c>
      <c r="B13081" t="s">
        <v>14</v>
      </c>
      <c r="C13081" t="s">
        <v>30</v>
      </c>
      <c r="D13081" t="s">
        <v>11</v>
      </c>
      <c r="E13081" t="s">
        <v>12</v>
      </c>
      <c r="F13081">
        <v>77912307</v>
      </c>
      <c r="G13081">
        <v>77912371</v>
      </c>
      <c r="H13081">
        <v>77912431</v>
      </c>
      <c r="I13081">
        <v>77912483</v>
      </c>
    </row>
    <row r="13082" spans="1:9" x14ac:dyDescent="0.2">
      <c r="A13082" s="1" t="str">
        <f>"PEX26"</f>
        <v>PEX26</v>
      </c>
      <c r="B13082" t="s">
        <v>14</v>
      </c>
      <c r="C13082" t="s">
        <v>21</v>
      </c>
      <c r="D13082" t="s">
        <v>17</v>
      </c>
      <c r="E13082" t="s">
        <v>12</v>
      </c>
      <c r="F13082">
        <v>18560743</v>
      </c>
      <c r="G13082">
        <v>18560793</v>
      </c>
      <c r="H13082">
        <v>18560675</v>
      </c>
      <c r="I13082">
        <v>18560695</v>
      </c>
    </row>
    <row r="13083" spans="1:9" x14ac:dyDescent="0.2">
      <c r="A13083" s="1" t="str">
        <f>"PEX3"</f>
        <v>PEX3</v>
      </c>
      <c r="B13083" t="s">
        <v>14</v>
      </c>
      <c r="C13083" t="s">
        <v>32</v>
      </c>
      <c r="D13083" t="s">
        <v>17</v>
      </c>
      <c r="E13083" t="s">
        <v>12</v>
      </c>
      <c r="F13083">
        <v>143771966</v>
      </c>
      <c r="G13083">
        <v>143772029</v>
      </c>
      <c r="H13083">
        <v>143771934</v>
      </c>
      <c r="I13083">
        <v>143771948</v>
      </c>
    </row>
    <row r="13084" spans="1:9" x14ac:dyDescent="0.2">
      <c r="A13084" s="1" t="str">
        <f>"PEX5"</f>
        <v>PEX5</v>
      </c>
      <c r="B13084" t="s">
        <v>14</v>
      </c>
      <c r="C13084" t="s">
        <v>16</v>
      </c>
      <c r="D13084" t="s">
        <v>17</v>
      </c>
      <c r="E13084" t="s">
        <v>12</v>
      </c>
      <c r="F13084">
        <v>7342271</v>
      </c>
      <c r="G13084">
        <v>7342317</v>
      </c>
      <c r="H13084">
        <v>7342318</v>
      </c>
      <c r="I13084">
        <v>7342342</v>
      </c>
    </row>
    <row r="13085" spans="1:9" x14ac:dyDescent="0.2">
      <c r="A13085" s="1" t="str">
        <f>"PEX5L"</f>
        <v>PEX5L</v>
      </c>
      <c r="B13085" t="s">
        <v>1326</v>
      </c>
      <c r="C13085" t="s">
        <v>22</v>
      </c>
      <c r="D13085" t="s">
        <v>11</v>
      </c>
      <c r="E13085" t="s">
        <v>20</v>
      </c>
      <c r="F13085">
        <v>179615997</v>
      </c>
      <c r="G13085">
        <v>179615997</v>
      </c>
      <c r="H13085">
        <v>179615997</v>
      </c>
      <c r="I13085">
        <v>179615997</v>
      </c>
    </row>
    <row r="13086" spans="1:9" x14ac:dyDescent="0.2">
      <c r="A13086" s="1" t="str">
        <f>"PEX5L"</f>
        <v>PEX5L</v>
      </c>
      <c r="B13086" t="s">
        <v>1327</v>
      </c>
      <c r="C13086" t="s">
        <v>22</v>
      </c>
      <c r="D13086" t="s">
        <v>11</v>
      </c>
      <c r="E13086" t="s">
        <v>35</v>
      </c>
      <c r="F13086">
        <v>179754806</v>
      </c>
      <c r="G13086">
        <v>179754872</v>
      </c>
      <c r="H13086">
        <v>179754556</v>
      </c>
      <c r="I13086">
        <v>179754577</v>
      </c>
    </row>
    <row r="13087" spans="1:9" x14ac:dyDescent="0.2">
      <c r="A13087" s="1" t="str">
        <f>"PEX6"</f>
        <v>PEX6</v>
      </c>
      <c r="B13087" t="s">
        <v>14</v>
      </c>
      <c r="C13087" t="s">
        <v>32</v>
      </c>
      <c r="D13087" t="s">
        <v>11</v>
      </c>
      <c r="E13087" t="s">
        <v>12</v>
      </c>
      <c r="F13087">
        <v>42946893</v>
      </c>
      <c r="G13087">
        <v>42946942</v>
      </c>
      <c r="H13087">
        <v>42946947</v>
      </c>
      <c r="I13087">
        <v>42946965</v>
      </c>
    </row>
    <row r="13088" spans="1:9" x14ac:dyDescent="0.2">
      <c r="A13088" s="1" t="str">
        <f>"PEX7"</f>
        <v>PEX7</v>
      </c>
      <c r="B13088" t="s">
        <v>14</v>
      </c>
      <c r="C13088" t="s">
        <v>32</v>
      </c>
      <c r="D13088" t="s">
        <v>17</v>
      </c>
      <c r="E13088" t="s">
        <v>12</v>
      </c>
      <c r="F13088">
        <v>137143694</v>
      </c>
      <c r="G13088">
        <v>137143755</v>
      </c>
      <c r="H13088">
        <v>137143805</v>
      </c>
      <c r="I13088">
        <v>137143815</v>
      </c>
    </row>
    <row r="13089" spans="1:9" x14ac:dyDescent="0.2">
      <c r="A13089" s="1" t="str">
        <f>"PF4"</f>
        <v>PF4</v>
      </c>
      <c r="B13089" t="s">
        <v>14</v>
      </c>
      <c r="C13089" t="s">
        <v>23</v>
      </c>
      <c r="D13089" t="s">
        <v>11</v>
      </c>
      <c r="E13089" t="s">
        <v>12</v>
      </c>
      <c r="F13089">
        <v>74847731</v>
      </c>
      <c r="G13089">
        <v>74847751</v>
      </c>
      <c r="H13089">
        <v>74847682</v>
      </c>
      <c r="I13089">
        <v>74847730</v>
      </c>
    </row>
    <row r="13090" spans="1:9" x14ac:dyDescent="0.2">
      <c r="A13090" s="1" t="str">
        <f>"PF4V1"</f>
        <v>PF4V1</v>
      </c>
      <c r="B13090" t="s">
        <v>14</v>
      </c>
      <c r="C13090" t="s">
        <v>23</v>
      </c>
      <c r="D13090" t="s">
        <v>17</v>
      </c>
      <c r="E13090" t="s">
        <v>12</v>
      </c>
      <c r="F13090">
        <v>74719006</v>
      </c>
      <c r="G13090">
        <v>74719055</v>
      </c>
      <c r="H13090">
        <v>74718916</v>
      </c>
      <c r="I13090">
        <v>74718937</v>
      </c>
    </row>
    <row r="13091" spans="1:9" x14ac:dyDescent="0.2">
      <c r="A13091" s="1" t="str">
        <f>"PFAS"</f>
        <v>PFAS</v>
      </c>
      <c r="B13091" t="s">
        <v>14</v>
      </c>
      <c r="C13091" t="s">
        <v>28</v>
      </c>
      <c r="D13091" t="s">
        <v>17</v>
      </c>
      <c r="E13091" t="s">
        <v>12</v>
      </c>
      <c r="F13091">
        <v>8152590</v>
      </c>
      <c r="G13091">
        <v>8152635</v>
      </c>
      <c r="H13091">
        <v>8152590</v>
      </c>
      <c r="I13091">
        <v>8152635</v>
      </c>
    </row>
    <row r="13092" spans="1:9" x14ac:dyDescent="0.2">
      <c r="A13092" s="1" t="str">
        <f>"PFDN1"</f>
        <v>PFDN1</v>
      </c>
      <c r="B13092" t="s">
        <v>14</v>
      </c>
      <c r="C13092" t="s">
        <v>46</v>
      </c>
      <c r="D13092" t="s">
        <v>11</v>
      </c>
      <c r="E13092" t="s">
        <v>12</v>
      </c>
      <c r="F13092">
        <v>139682658</v>
      </c>
      <c r="G13092">
        <v>139682704</v>
      </c>
      <c r="H13092">
        <v>139682658</v>
      </c>
      <c r="I13092">
        <v>139682704</v>
      </c>
    </row>
    <row r="13093" spans="1:9" x14ac:dyDescent="0.2">
      <c r="A13093" s="1" t="str">
        <f>"PFDN2"</f>
        <v>PFDN2</v>
      </c>
      <c r="B13093" t="s">
        <v>14</v>
      </c>
      <c r="C13093" t="s">
        <v>19</v>
      </c>
      <c r="D13093" t="s">
        <v>11</v>
      </c>
      <c r="E13093" t="s">
        <v>12</v>
      </c>
      <c r="F13093">
        <v>161087802</v>
      </c>
      <c r="G13093">
        <v>161087860</v>
      </c>
      <c r="H13093">
        <v>161087869</v>
      </c>
      <c r="I13093">
        <v>161087876</v>
      </c>
    </row>
    <row r="13094" spans="1:9" x14ac:dyDescent="0.2">
      <c r="A13094" s="1" t="str">
        <f>"PFDN4"</f>
        <v>PFDN4</v>
      </c>
      <c r="B13094" t="s">
        <v>14</v>
      </c>
      <c r="C13094" t="s">
        <v>29</v>
      </c>
      <c r="D13094" t="s">
        <v>17</v>
      </c>
      <c r="E13094" t="s">
        <v>12</v>
      </c>
      <c r="F13094">
        <v>52824611</v>
      </c>
      <c r="G13094">
        <v>52824642</v>
      </c>
      <c r="H13094">
        <v>52824441</v>
      </c>
      <c r="I13094">
        <v>52824471</v>
      </c>
    </row>
    <row r="13095" spans="1:9" x14ac:dyDescent="0.2">
      <c r="A13095" s="1" t="str">
        <f>"PFDN5"</f>
        <v>PFDN5</v>
      </c>
      <c r="B13095" t="s">
        <v>14</v>
      </c>
      <c r="C13095" t="s">
        <v>16</v>
      </c>
      <c r="D13095" t="s">
        <v>17</v>
      </c>
      <c r="E13095" t="s">
        <v>12</v>
      </c>
      <c r="F13095">
        <v>53689319</v>
      </c>
      <c r="G13095">
        <v>53689349</v>
      </c>
      <c r="H13095">
        <v>53689319</v>
      </c>
      <c r="I13095">
        <v>53689349</v>
      </c>
    </row>
    <row r="13096" spans="1:9" x14ac:dyDescent="0.2">
      <c r="A13096" s="1" t="str">
        <f>"PFDN6"</f>
        <v>PFDN6</v>
      </c>
      <c r="B13096" t="s">
        <v>14</v>
      </c>
      <c r="C13096" t="s">
        <v>32</v>
      </c>
      <c r="D13096" t="s">
        <v>17</v>
      </c>
      <c r="E13096" t="s">
        <v>12</v>
      </c>
      <c r="F13096">
        <v>33257346</v>
      </c>
      <c r="G13096">
        <v>33257426</v>
      </c>
      <c r="H13096">
        <v>33257427</v>
      </c>
      <c r="I13096">
        <v>33257442</v>
      </c>
    </row>
    <row r="13097" spans="1:9" x14ac:dyDescent="0.2">
      <c r="A13097" s="1" t="str">
        <f>"PFKFB1"</f>
        <v>PFKFB1</v>
      </c>
      <c r="B13097" t="s">
        <v>14</v>
      </c>
      <c r="C13097" t="s">
        <v>37</v>
      </c>
      <c r="D13097" t="s">
        <v>11</v>
      </c>
      <c r="E13097" t="s">
        <v>12</v>
      </c>
      <c r="F13097">
        <v>55025212</v>
      </c>
      <c r="G13097">
        <v>55025248</v>
      </c>
      <c r="H13097">
        <v>55025212</v>
      </c>
      <c r="I13097">
        <v>55025248</v>
      </c>
    </row>
    <row r="13098" spans="1:9" x14ac:dyDescent="0.2">
      <c r="A13098" s="1" t="str">
        <f>"PFKFB2"</f>
        <v>PFKFB2</v>
      </c>
      <c r="B13098" t="s">
        <v>14</v>
      </c>
      <c r="C13098" t="s">
        <v>19</v>
      </c>
      <c r="D13098" t="s">
        <v>17</v>
      </c>
      <c r="E13098" t="s">
        <v>12</v>
      </c>
      <c r="F13098">
        <v>207226574</v>
      </c>
      <c r="G13098">
        <v>207226646</v>
      </c>
      <c r="H13098">
        <v>207226574</v>
      </c>
      <c r="I13098">
        <v>207226646</v>
      </c>
    </row>
    <row r="13099" spans="1:9" x14ac:dyDescent="0.2">
      <c r="A13099" s="1" t="str">
        <f>"PFKFB3"</f>
        <v>PFKFB3</v>
      </c>
      <c r="B13099" t="s">
        <v>14</v>
      </c>
      <c r="C13099" t="s">
        <v>15</v>
      </c>
      <c r="D13099" t="s">
        <v>17</v>
      </c>
      <c r="E13099" t="s">
        <v>12</v>
      </c>
      <c r="F13099">
        <v>6244887</v>
      </c>
      <c r="G13099">
        <v>6244904</v>
      </c>
      <c r="H13099">
        <v>6244887</v>
      </c>
      <c r="I13099">
        <v>6244904</v>
      </c>
    </row>
    <row r="13100" spans="1:9" x14ac:dyDescent="0.2">
      <c r="A13100" s="1" t="str">
        <f>"PFKFB4"</f>
        <v>PFKFB4</v>
      </c>
      <c r="B13100" t="s">
        <v>14</v>
      </c>
      <c r="C13100" t="s">
        <v>22</v>
      </c>
      <c r="D13100" t="s">
        <v>11</v>
      </c>
      <c r="E13100" t="s">
        <v>12</v>
      </c>
      <c r="F13100">
        <v>48594225</v>
      </c>
      <c r="G13100">
        <v>48594243</v>
      </c>
      <c r="H13100">
        <v>48594248</v>
      </c>
      <c r="I13100">
        <v>48594293</v>
      </c>
    </row>
    <row r="13101" spans="1:9" x14ac:dyDescent="0.2">
      <c r="A13101" s="1" t="str">
        <f>"PFKL"</f>
        <v>PFKL</v>
      </c>
      <c r="B13101" t="s">
        <v>9</v>
      </c>
      <c r="C13101" t="s">
        <v>42</v>
      </c>
      <c r="D13101" t="s">
        <v>17</v>
      </c>
      <c r="E13101" t="s">
        <v>12</v>
      </c>
      <c r="F13101">
        <v>45719921</v>
      </c>
      <c r="G13101">
        <v>45719984</v>
      </c>
      <c r="H13101">
        <v>45719921</v>
      </c>
      <c r="I13101">
        <v>45719984</v>
      </c>
    </row>
    <row r="13102" spans="1:9" x14ac:dyDescent="0.2">
      <c r="A13102" s="1" t="str">
        <f>"PFKL"</f>
        <v>PFKL</v>
      </c>
      <c r="B13102" t="s">
        <v>13</v>
      </c>
      <c r="C13102" t="s">
        <v>42</v>
      </c>
      <c r="D13102" t="s">
        <v>17</v>
      </c>
      <c r="E13102" t="s">
        <v>12</v>
      </c>
      <c r="F13102">
        <v>45725050</v>
      </c>
      <c r="G13102">
        <v>45725074</v>
      </c>
      <c r="H13102">
        <v>45725050</v>
      </c>
      <c r="I13102">
        <v>45725074</v>
      </c>
    </row>
    <row r="13103" spans="1:9" x14ac:dyDescent="0.2">
      <c r="A13103" s="1" t="str">
        <f>"PFKM"</f>
        <v>PFKM</v>
      </c>
      <c r="B13103" t="s">
        <v>9</v>
      </c>
      <c r="C13103" t="s">
        <v>16</v>
      </c>
      <c r="D13103" t="s">
        <v>17</v>
      </c>
      <c r="E13103" t="s">
        <v>12</v>
      </c>
      <c r="F13103">
        <v>48513106</v>
      </c>
      <c r="G13103">
        <v>48513157</v>
      </c>
      <c r="H13103">
        <v>48513106</v>
      </c>
      <c r="I13103">
        <v>48513157</v>
      </c>
    </row>
    <row r="13104" spans="1:9" x14ac:dyDescent="0.2">
      <c r="A13104" s="1" t="str">
        <f>"PFKM"</f>
        <v>PFKM</v>
      </c>
      <c r="B13104" t="s">
        <v>13</v>
      </c>
      <c r="C13104" t="s">
        <v>16</v>
      </c>
      <c r="D13104" t="s">
        <v>17</v>
      </c>
      <c r="E13104" t="s">
        <v>12</v>
      </c>
      <c r="F13104">
        <v>48516423</v>
      </c>
      <c r="G13104">
        <v>48516436</v>
      </c>
      <c r="H13104">
        <v>48516423</v>
      </c>
      <c r="I13104">
        <v>48516436</v>
      </c>
    </row>
    <row r="13105" spans="1:9" x14ac:dyDescent="0.2">
      <c r="A13105" s="1" t="str">
        <f>"PFKP"</f>
        <v>PFKP</v>
      </c>
      <c r="B13105" t="s">
        <v>14</v>
      </c>
      <c r="C13105" t="s">
        <v>15</v>
      </c>
      <c r="D13105" t="s">
        <v>17</v>
      </c>
      <c r="E13105" t="s">
        <v>12</v>
      </c>
      <c r="F13105">
        <v>3109695</v>
      </c>
      <c r="G13105">
        <v>3109749</v>
      </c>
      <c r="H13105">
        <v>3109695</v>
      </c>
      <c r="I13105">
        <v>3109749</v>
      </c>
    </row>
    <row r="13106" spans="1:9" x14ac:dyDescent="0.2">
      <c r="A13106" s="1" t="str">
        <f>"PFN1"</f>
        <v>PFN1</v>
      </c>
      <c r="B13106" t="s">
        <v>14</v>
      </c>
      <c r="C13106" t="s">
        <v>28</v>
      </c>
      <c r="D13106" t="s">
        <v>11</v>
      </c>
      <c r="E13106" t="s">
        <v>12</v>
      </c>
      <c r="F13106">
        <v>4851819</v>
      </c>
      <c r="G13106">
        <v>4851832</v>
      </c>
      <c r="H13106">
        <v>4851851</v>
      </c>
      <c r="I13106">
        <v>4851861</v>
      </c>
    </row>
    <row r="13107" spans="1:9" x14ac:dyDescent="0.2">
      <c r="A13107" s="1" t="str">
        <f>"PFN2"</f>
        <v>PFN2</v>
      </c>
      <c r="B13107" t="s">
        <v>14</v>
      </c>
      <c r="C13107" t="s">
        <v>22</v>
      </c>
      <c r="D13107" t="s">
        <v>11</v>
      </c>
      <c r="E13107" t="s">
        <v>12</v>
      </c>
      <c r="F13107">
        <v>149688655</v>
      </c>
      <c r="G13107">
        <v>149688714</v>
      </c>
      <c r="H13107">
        <v>149688909</v>
      </c>
      <c r="I13107">
        <v>149688970</v>
      </c>
    </row>
    <row r="13108" spans="1:9" x14ac:dyDescent="0.2">
      <c r="A13108" s="1" t="str">
        <f>"PFN3"</f>
        <v>PFN3</v>
      </c>
      <c r="B13108" t="s">
        <v>14</v>
      </c>
      <c r="C13108" t="s">
        <v>46</v>
      </c>
      <c r="D13108" t="s">
        <v>11</v>
      </c>
      <c r="E13108" t="s">
        <v>12</v>
      </c>
      <c r="F13108">
        <v>176827652</v>
      </c>
      <c r="G13108">
        <v>176827665</v>
      </c>
      <c r="H13108">
        <v>176827616</v>
      </c>
      <c r="I13108">
        <v>176827628</v>
      </c>
    </row>
    <row r="13109" spans="1:9" x14ac:dyDescent="0.2">
      <c r="A13109" s="1" t="str">
        <f>"PFN4"</f>
        <v>PFN4</v>
      </c>
      <c r="B13109" t="s">
        <v>14</v>
      </c>
      <c r="C13109" t="s">
        <v>26</v>
      </c>
      <c r="D13109" t="s">
        <v>11</v>
      </c>
      <c r="E13109" t="s">
        <v>12</v>
      </c>
      <c r="F13109">
        <v>24346135</v>
      </c>
      <c r="G13109">
        <v>24346162</v>
      </c>
      <c r="H13109">
        <v>24346181</v>
      </c>
      <c r="I13109">
        <v>24346216</v>
      </c>
    </row>
    <row r="13110" spans="1:9" x14ac:dyDescent="0.2">
      <c r="A13110" s="1" t="str">
        <f>"PGA3"</f>
        <v>PGA3</v>
      </c>
      <c r="B13110" t="s">
        <v>14</v>
      </c>
      <c r="C13110" t="s">
        <v>27</v>
      </c>
      <c r="D13110" t="s">
        <v>17</v>
      </c>
      <c r="E13110" t="s">
        <v>12</v>
      </c>
      <c r="F13110">
        <v>60970984</v>
      </c>
      <c r="G13110">
        <v>60970989</v>
      </c>
      <c r="H13110">
        <v>60970984</v>
      </c>
      <c r="I13110">
        <v>60970989</v>
      </c>
    </row>
    <row r="13111" spans="1:9" x14ac:dyDescent="0.2">
      <c r="A13111" s="1" t="str">
        <f>"PGA4"</f>
        <v>PGA4</v>
      </c>
      <c r="B13111" t="s">
        <v>1328</v>
      </c>
      <c r="C13111" t="s">
        <v>27</v>
      </c>
      <c r="D13111" t="s">
        <v>17</v>
      </c>
      <c r="E13111" t="s">
        <v>20</v>
      </c>
      <c r="F13111">
        <v>60989687</v>
      </c>
      <c r="G13111">
        <v>60989687</v>
      </c>
      <c r="H13111">
        <v>60989687</v>
      </c>
      <c r="I13111">
        <v>60989687</v>
      </c>
    </row>
    <row r="13112" spans="1:9" x14ac:dyDescent="0.2">
      <c r="A13112" s="1" t="str">
        <f>"PGA5"</f>
        <v>PGA5</v>
      </c>
      <c r="B13112" t="s">
        <v>14</v>
      </c>
      <c r="C13112" t="s">
        <v>27</v>
      </c>
      <c r="D13112" t="s">
        <v>17</v>
      </c>
      <c r="E13112" t="s">
        <v>12</v>
      </c>
      <c r="F13112">
        <v>61016890</v>
      </c>
      <c r="G13112">
        <v>61016917</v>
      </c>
      <c r="H13112">
        <v>61016890</v>
      </c>
      <c r="I13112">
        <v>61016917</v>
      </c>
    </row>
    <row r="13113" spans="1:9" x14ac:dyDescent="0.2">
      <c r="A13113" s="1" t="str">
        <f>"PGAM1"</f>
        <v>PGAM1</v>
      </c>
      <c r="B13113" t="s">
        <v>14</v>
      </c>
      <c r="C13113" t="s">
        <v>15</v>
      </c>
      <c r="D13113" t="s">
        <v>17</v>
      </c>
      <c r="E13113" t="s">
        <v>12</v>
      </c>
      <c r="F13113">
        <v>99185993</v>
      </c>
      <c r="G13113">
        <v>99186014</v>
      </c>
      <c r="H13113">
        <v>99185919</v>
      </c>
      <c r="I13113">
        <v>99185956</v>
      </c>
    </row>
    <row r="13114" spans="1:9" x14ac:dyDescent="0.2">
      <c r="A13114" s="1" t="str">
        <f>"PGAM2"</f>
        <v>PGAM2</v>
      </c>
      <c r="B13114" t="s">
        <v>14</v>
      </c>
      <c r="C13114" t="s">
        <v>33</v>
      </c>
      <c r="D13114" t="s">
        <v>11</v>
      </c>
      <c r="E13114" t="s">
        <v>12</v>
      </c>
      <c r="F13114">
        <v>44105158</v>
      </c>
      <c r="G13114">
        <v>44105173</v>
      </c>
      <c r="H13114">
        <v>44105158</v>
      </c>
      <c r="I13114">
        <v>44105173</v>
      </c>
    </row>
    <row r="13115" spans="1:9" x14ac:dyDescent="0.2">
      <c r="A13115" s="1" t="str">
        <f>"PGAM4"</f>
        <v>PGAM4</v>
      </c>
      <c r="B13115" t="s">
        <v>1329</v>
      </c>
      <c r="C13115" t="s">
        <v>37</v>
      </c>
      <c r="D13115" t="s">
        <v>11</v>
      </c>
      <c r="E13115" t="s">
        <v>20</v>
      </c>
      <c r="F13115">
        <v>77225134</v>
      </c>
      <c r="G13115">
        <v>77225134</v>
      </c>
      <c r="H13115">
        <v>77225134</v>
      </c>
      <c r="I13115">
        <v>77225134</v>
      </c>
    </row>
    <row r="13116" spans="1:9" x14ac:dyDescent="0.2">
      <c r="A13116" s="1" t="str">
        <f>"PGAM5"</f>
        <v>PGAM5</v>
      </c>
      <c r="B13116" t="s">
        <v>14</v>
      </c>
      <c r="C13116" t="s">
        <v>16</v>
      </c>
      <c r="D13116" t="s">
        <v>17</v>
      </c>
      <c r="E13116" t="s">
        <v>12</v>
      </c>
      <c r="F13116">
        <v>133287419</v>
      </c>
      <c r="G13116">
        <v>133287465</v>
      </c>
      <c r="H13116">
        <v>133287392</v>
      </c>
      <c r="I13116">
        <v>133287412</v>
      </c>
    </row>
    <row r="13117" spans="1:9" x14ac:dyDescent="0.2">
      <c r="A13117" s="1" t="str">
        <f>"PGAP1"</f>
        <v>PGAP1</v>
      </c>
      <c r="B13117" t="s">
        <v>14</v>
      </c>
      <c r="C13117" t="s">
        <v>26</v>
      </c>
      <c r="D13117" t="s">
        <v>11</v>
      </c>
      <c r="E13117" t="s">
        <v>12</v>
      </c>
      <c r="F13117">
        <v>197791441</v>
      </c>
      <c r="G13117">
        <v>197791525</v>
      </c>
      <c r="H13117">
        <v>197791423</v>
      </c>
      <c r="I13117">
        <v>197791438</v>
      </c>
    </row>
    <row r="13118" spans="1:9" x14ac:dyDescent="0.2">
      <c r="A13118" s="1" t="str">
        <f>"PGAP2"</f>
        <v>PGAP2</v>
      </c>
      <c r="B13118" t="s">
        <v>9</v>
      </c>
      <c r="C13118" t="s">
        <v>27</v>
      </c>
      <c r="D13118" t="s">
        <v>17</v>
      </c>
      <c r="E13118" t="s">
        <v>12</v>
      </c>
      <c r="F13118">
        <v>3819121</v>
      </c>
      <c r="G13118">
        <v>3819174</v>
      </c>
      <c r="H13118">
        <v>3819121</v>
      </c>
      <c r="I13118">
        <v>3819174</v>
      </c>
    </row>
    <row r="13119" spans="1:9" x14ac:dyDescent="0.2">
      <c r="A13119" s="1" t="str">
        <f>"PGAP2"</f>
        <v>PGAP2</v>
      </c>
      <c r="B13119" t="s">
        <v>13</v>
      </c>
      <c r="C13119" t="s">
        <v>27</v>
      </c>
      <c r="D13119" t="s">
        <v>17</v>
      </c>
      <c r="E13119" t="s">
        <v>12</v>
      </c>
      <c r="F13119">
        <v>3829763</v>
      </c>
      <c r="G13119">
        <v>3829832</v>
      </c>
      <c r="H13119">
        <v>3829763</v>
      </c>
      <c r="I13119">
        <v>3829832</v>
      </c>
    </row>
    <row r="13120" spans="1:9" x14ac:dyDescent="0.2">
      <c r="A13120" s="1" t="str">
        <f>"PGAP3"</f>
        <v>PGAP3</v>
      </c>
      <c r="B13120" t="s">
        <v>14</v>
      </c>
      <c r="C13120" t="s">
        <v>28</v>
      </c>
      <c r="D13120" t="s">
        <v>11</v>
      </c>
      <c r="E13120" t="s">
        <v>12</v>
      </c>
      <c r="F13120">
        <v>37844267</v>
      </c>
      <c r="G13120">
        <v>37844316</v>
      </c>
      <c r="H13120">
        <v>37844267</v>
      </c>
      <c r="I13120">
        <v>37844316</v>
      </c>
    </row>
    <row r="13121" spans="1:9" x14ac:dyDescent="0.2">
      <c r="A13121" s="1" t="str">
        <f>"PGBD1"</f>
        <v>PGBD1</v>
      </c>
      <c r="B13121" t="s">
        <v>14</v>
      </c>
      <c r="C13121" t="s">
        <v>32</v>
      </c>
      <c r="D13121" t="s">
        <v>17</v>
      </c>
      <c r="E13121" t="s">
        <v>12</v>
      </c>
      <c r="F13121">
        <v>28249332</v>
      </c>
      <c r="G13121">
        <v>28249391</v>
      </c>
      <c r="H13121">
        <v>28249299</v>
      </c>
      <c r="I13121">
        <v>28249319</v>
      </c>
    </row>
    <row r="13122" spans="1:9" x14ac:dyDescent="0.2">
      <c r="A13122" s="1" t="str">
        <f>"PGBD2"</f>
        <v>PGBD2</v>
      </c>
      <c r="B13122" t="s">
        <v>14</v>
      </c>
      <c r="C13122" t="s">
        <v>19</v>
      </c>
      <c r="D13122" t="s">
        <v>17</v>
      </c>
      <c r="E13122" t="s">
        <v>12</v>
      </c>
      <c r="F13122">
        <v>249200417</v>
      </c>
      <c r="G13122">
        <v>249200491</v>
      </c>
      <c r="H13122">
        <v>249200390</v>
      </c>
      <c r="I13122">
        <v>249200404</v>
      </c>
    </row>
    <row r="13123" spans="1:9" x14ac:dyDescent="0.2">
      <c r="A13123" s="1" t="str">
        <f>"PGBD3"</f>
        <v>PGBD3</v>
      </c>
      <c r="B13123" t="s">
        <v>14</v>
      </c>
      <c r="C13123" t="s">
        <v>15</v>
      </c>
      <c r="D13123" t="s">
        <v>11</v>
      </c>
      <c r="E13123" t="s">
        <v>12</v>
      </c>
      <c r="F13123">
        <v>50747064</v>
      </c>
      <c r="G13123">
        <v>50747124</v>
      </c>
      <c r="H13123">
        <v>50747158</v>
      </c>
      <c r="I13123">
        <v>50747175</v>
      </c>
    </row>
    <row r="13124" spans="1:9" x14ac:dyDescent="0.2">
      <c r="A13124" s="1" t="str">
        <f>"PGBD4"</f>
        <v>PGBD4</v>
      </c>
      <c r="B13124" t="s">
        <v>14</v>
      </c>
      <c r="C13124" t="s">
        <v>25</v>
      </c>
      <c r="D13124" t="s">
        <v>17</v>
      </c>
      <c r="E13124" t="s">
        <v>12</v>
      </c>
      <c r="F13124">
        <v>34394292</v>
      </c>
      <c r="G13124">
        <v>34394326</v>
      </c>
      <c r="H13124">
        <v>34394257</v>
      </c>
      <c r="I13124">
        <v>34394290</v>
      </c>
    </row>
    <row r="13125" spans="1:9" x14ac:dyDescent="0.2">
      <c r="A13125" s="1" t="str">
        <f>"PGBD5"</f>
        <v>PGBD5</v>
      </c>
      <c r="B13125" t="s">
        <v>14</v>
      </c>
      <c r="C13125" t="s">
        <v>19</v>
      </c>
      <c r="D13125" t="s">
        <v>11</v>
      </c>
      <c r="E13125" t="s">
        <v>12</v>
      </c>
      <c r="F13125">
        <v>230561607</v>
      </c>
      <c r="G13125">
        <v>230561618</v>
      </c>
      <c r="H13125">
        <v>230561607</v>
      </c>
      <c r="I13125">
        <v>230561618</v>
      </c>
    </row>
    <row r="13126" spans="1:9" x14ac:dyDescent="0.2">
      <c r="A13126" s="1" t="str">
        <f>"PGC"</f>
        <v>PGC</v>
      </c>
      <c r="B13126" t="s">
        <v>9</v>
      </c>
      <c r="C13126" t="s">
        <v>32</v>
      </c>
      <c r="D13126" t="s">
        <v>11</v>
      </c>
      <c r="E13126" t="s">
        <v>12</v>
      </c>
      <c r="F13126">
        <v>41715128</v>
      </c>
      <c r="G13126">
        <v>41715142</v>
      </c>
      <c r="H13126">
        <v>41715128</v>
      </c>
      <c r="I13126">
        <v>41715142</v>
      </c>
    </row>
    <row r="13127" spans="1:9" x14ac:dyDescent="0.2">
      <c r="A13127" s="1" t="str">
        <f>"PGC"</f>
        <v>PGC</v>
      </c>
      <c r="B13127" t="s">
        <v>13</v>
      </c>
      <c r="C13127" t="s">
        <v>32</v>
      </c>
      <c r="D13127" t="s">
        <v>11</v>
      </c>
      <c r="E13127" t="s">
        <v>12</v>
      </c>
      <c r="F13127">
        <v>41721873</v>
      </c>
      <c r="G13127">
        <v>41721885</v>
      </c>
      <c r="H13127">
        <v>41721873</v>
      </c>
      <c r="I13127">
        <v>41721885</v>
      </c>
    </row>
    <row r="13128" spans="1:9" x14ac:dyDescent="0.2">
      <c r="A13128" s="1" t="str">
        <f>"PGD"</f>
        <v>PGD</v>
      </c>
      <c r="B13128" t="s">
        <v>14</v>
      </c>
      <c r="C13128" t="s">
        <v>19</v>
      </c>
      <c r="D13128" t="s">
        <v>17</v>
      </c>
      <c r="E13128" t="s">
        <v>12</v>
      </c>
      <c r="F13128">
        <v>10459111</v>
      </c>
      <c r="G13128">
        <v>10459138</v>
      </c>
      <c r="H13128">
        <v>10459497</v>
      </c>
      <c r="I13128">
        <v>10459558</v>
      </c>
    </row>
    <row r="13129" spans="1:9" x14ac:dyDescent="0.2">
      <c r="A13129" s="1" t="str">
        <f>"PGF"</f>
        <v>PGF</v>
      </c>
      <c r="B13129" t="s">
        <v>14</v>
      </c>
      <c r="C13129" t="s">
        <v>41</v>
      </c>
      <c r="D13129" t="s">
        <v>11</v>
      </c>
      <c r="E13129" t="s">
        <v>12</v>
      </c>
      <c r="F13129">
        <v>75422292</v>
      </c>
      <c r="G13129">
        <v>75422308</v>
      </c>
      <c r="H13129">
        <v>75422292</v>
      </c>
      <c r="I13129">
        <v>75422308</v>
      </c>
    </row>
    <row r="13130" spans="1:9" x14ac:dyDescent="0.2">
      <c r="A13130" s="1" t="str">
        <f>"PGGT1B"</f>
        <v>PGGT1B</v>
      </c>
      <c r="B13130" t="s">
        <v>14</v>
      </c>
      <c r="C13130" t="s">
        <v>46</v>
      </c>
      <c r="D13130" t="s">
        <v>11</v>
      </c>
      <c r="E13130" t="s">
        <v>12</v>
      </c>
      <c r="F13130">
        <v>114598553</v>
      </c>
      <c r="G13130">
        <v>114598579</v>
      </c>
      <c r="H13130">
        <v>114598494</v>
      </c>
      <c r="I13130">
        <v>114598505</v>
      </c>
    </row>
    <row r="13131" spans="1:9" x14ac:dyDescent="0.2">
      <c r="A13131" s="1" t="str">
        <f>"PGK1"</f>
        <v>PGK1</v>
      </c>
      <c r="B13131" t="s">
        <v>14</v>
      </c>
      <c r="C13131" t="s">
        <v>37</v>
      </c>
      <c r="D13131" t="s">
        <v>17</v>
      </c>
      <c r="E13131" t="s">
        <v>12</v>
      </c>
      <c r="F13131">
        <v>77359726</v>
      </c>
      <c r="G13131">
        <v>77359762</v>
      </c>
      <c r="H13131">
        <v>77359710</v>
      </c>
      <c r="I13131">
        <v>77359721</v>
      </c>
    </row>
    <row r="13132" spans="1:9" x14ac:dyDescent="0.2">
      <c r="A13132" s="1" t="str">
        <f>"PGK2"</f>
        <v>PGK2</v>
      </c>
      <c r="B13132" t="s">
        <v>14</v>
      </c>
      <c r="C13132" t="s">
        <v>32</v>
      </c>
      <c r="D13132" t="s">
        <v>11</v>
      </c>
      <c r="E13132" t="s">
        <v>12</v>
      </c>
      <c r="F13132">
        <v>49754977</v>
      </c>
      <c r="G13132">
        <v>49755018</v>
      </c>
      <c r="H13132">
        <v>49755019</v>
      </c>
      <c r="I13132">
        <v>49755028</v>
      </c>
    </row>
    <row r="13133" spans="1:9" x14ac:dyDescent="0.2">
      <c r="A13133" s="1" t="str">
        <f>"PGLS"</f>
        <v>PGLS</v>
      </c>
      <c r="B13133" t="s">
        <v>14</v>
      </c>
      <c r="C13133" t="s">
        <v>10</v>
      </c>
      <c r="D13133" t="s">
        <v>17</v>
      </c>
      <c r="E13133" t="s">
        <v>12</v>
      </c>
      <c r="F13133">
        <v>17622415</v>
      </c>
      <c r="G13133">
        <v>17622481</v>
      </c>
      <c r="H13133">
        <v>17622415</v>
      </c>
      <c r="I13133">
        <v>17622481</v>
      </c>
    </row>
    <row r="13134" spans="1:9" x14ac:dyDescent="0.2">
      <c r="A13134" s="1" t="str">
        <f>"PGLYRP1"</f>
        <v>PGLYRP1</v>
      </c>
      <c r="B13134" t="s">
        <v>14</v>
      </c>
      <c r="C13134" t="s">
        <v>10</v>
      </c>
      <c r="D13134" t="s">
        <v>11</v>
      </c>
      <c r="E13134" t="s">
        <v>12</v>
      </c>
      <c r="F13134">
        <v>46526304</v>
      </c>
      <c r="G13134">
        <v>46526317</v>
      </c>
      <c r="H13134">
        <v>46526602</v>
      </c>
      <c r="I13134">
        <v>46526625</v>
      </c>
    </row>
    <row r="13135" spans="1:9" x14ac:dyDescent="0.2">
      <c r="A13135" s="1" t="str">
        <f>"PGLYRP2"</f>
        <v>PGLYRP2</v>
      </c>
      <c r="B13135" t="s">
        <v>14</v>
      </c>
      <c r="C13135" t="s">
        <v>10</v>
      </c>
      <c r="D13135" t="s">
        <v>11</v>
      </c>
      <c r="E13135" t="s">
        <v>12</v>
      </c>
      <c r="F13135">
        <v>15590242</v>
      </c>
      <c r="G13135">
        <v>15590278</v>
      </c>
      <c r="H13135">
        <v>15590306</v>
      </c>
      <c r="I13135">
        <v>15590318</v>
      </c>
    </row>
    <row r="13136" spans="1:9" x14ac:dyDescent="0.2">
      <c r="A13136" s="1" t="str">
        <f>"PGLYRP3"</f>
        <v>PGLYRP3</v>
      </c>
      <c r="B13136" t="s">
        <v>1330</v>
      </c>
      <c r="C13136" t="s">
        <v>19</v>
      </c>
      <c r="D13136" t="s">
        <v>11</v>
      </c>
      <c r="E13136" t="s">
        <v>20</v>
      </c>
      <c r="F13136">
        <v>153283193</v>
      </c>
      <c r="G13136">
        <v>153283193</v>
      </c>
      <c r="H13136">
        <v>153283193</v>
      </c>
      <c r="I13136">
        <v>153283193</v>
      </c>
    </row>
    <row r="13137" spans="1:9" x14ac:dyDescent="0.2">
      <c r="A13137" s="1" t="str">
        <f>"PGLYRP4"</f>
        <v>PGLYRP4</v>
      </c>
      <c r="B13137" t="s">
        <v>14</v>
      </c>
      <c r="C13137" t="s">
        <v>19</v>
      </c>
      <c r="D13137" t="s">
        <v>11</v>
      </c>
      <c r="E13137" t="s">
        <v>12</v>
      </c>
      <c r="F13137">
        <v>153321301</v>
      </c>
      <c r="G13137">
        <v>153321325</v>
      </c>
      <c r="H13137">
        <v>153321274</v>
      </c>
      <c r="I13137">
        <v>153321283</v>
      </c>
    </row>
    <row r="13138" spans="1:9" x14ac:dyDescent="0.2">
      <c r="A13138" s="1" t="str">
        <f>"PGM1"</f>
        <v>PGM1</v>
      </c>
      <c r="B13138" t="s">
        <v>14</v>
      </c>
      <c r="C13138" t="s">
        <v>19</v>
      </c>
      <c r="D13138" t="s">
        <v>17</v>
      </c>
      <c r="E13138" t="s">
        <v>12</v>
      </c>
      <c r="F13138">
        <v>64059025</v>
      </c>
      <c r="G13138">
        <v>64059107</v>
      </c>
      <c r="H13138">
        <v>64058939</v>
      </c>
      <c r="I13138">
        <v>64058965</v>
      </c>
    </row>
    <row r="13139" spans="1:9" x14ac:dyDescent="0.2">
      <c r="A13139" s="1" t="str">
        <f>"PGM2"</f>
        <v>PGM2</v>
      </c>
      <c r="B13139" t="s">
        <v>14</v>
      </c>
      <c r="C13139" t="s">
        <v>23</v>
      </c>
      <c r="D13139" t="s">
        <v>17</v>
      </c>
      <c r="E13139" t="s">
        <v>12</v>
      </c>
      <c r="F13139">
        <v>37828300</v>
      </c>
      <c r="G13139">
        <v>37828350</v>
      </c>
      <c r="H13139">
        <v>37828300</v>
      </c>
      <c r="I13139">
        <v>37828350</v>
      </c>
    </row>
    <row r="13140" spans="1:9" x14ac:dyDescent="0.2">
      <c r="A13140" s="1" t="str">
        <f>"PGM2L1"</f>
        <v>PGM2L1</v>
      </c>
      <c r="B13140" t="s">
        <v>14</v>
      </c>
      <c r="C13140" t="s">
        <v>27</v>
      </c>
      <c r="D13140" t="s">
        <v>11</v>
      </c>
      <c r="E13140" t="s">
        <v>12</v>
      </c>
      <c r="F13140">
        <v>74109422</v>
      </c>
      <c r="G13140">
        <v>74109512</v>
      </c>
      <c r="H13140">
        <v>74109422</v>
      </c>
      <c r="I13140">
        <v>74109512</v>
      </c>
    </row>
    <row r="13141" spans="1:9" x14ac:dyDescent="0.2">
      <c r="A13141" s="1" t="str">
        <f>"PGM3"</f>
        <v>PGM3</v>
      </c>
      <c r="B13141" t="s">
        <v>14</v>
      </c>
      <c r="C13141" t="s">
        <v>32</v>
      </c>
      <c r="D13141" t="s">
        <v>11</v>
      </c>
      <c r="E13141" t="s">
        <v>12</v>
      </c>
      <c r="F13141">
        <v>83902933</v>
      </c>
      <c r="G13141">
        <v>83903005</v>
      </c>
      <c r="H13141">
        <v>83903600</v>
      </c>
      <c r="I13141">
        <v>83903633</v>
      </c>
    </row>
    <row r="13142" spans="1:9" x14ac:dyDescent="0.2">
      <c r="A13142" s="1" t="str">
        <f>"PGM5"</f>
        <v>PGM5</v>
      </c>
      <c r="B13142" t="s">
        <v>14</v>
      </c>
      <c r="C13142" t="s">
        <v>24</v>
      </c>
      <c r="D13142" t="s">
        <v>17</v>
      </c>
      <c r="E13142" t="s">
        <v>12</v>
      </c>
      <c r="F13142">
        <v>70971518</v>
      </c>
      <c r="G13142">
        <v>70971534</v>
      </c>
      <c r="H13142">
        <v>70971821</v>
      </c>
      <c r="I13142">
        <v>70971841</v>
      </c>
    </row>
    <row r="13143" spans="1:9" x14ac:dyDescent="0.2">
      <c r="A13143" s="1" t="str">
        <f>"PGP"</f>
        <v>PGP</v>
      </c>
      <c r="B13143" t="s">
        <v>14</v>
      </c>
      <c r="C13143" t="s">
        <v>31</v>
      </c>
      <c r="D13143" t="s">
        <v>11</v>
      </c>
      <c r="E13143" t="s">
        <v>12</v>
      </c>
      <c r="F13143">
        <v>2264779</v>
      </c>
      <c r="G13143">
        <v>2264847</v>
      </c>
      <c r="H13143">
        <v>2264779</v>
      </c>
      <c r="I13143">
        <v>2264847</v>
      </c>
    </row>
    <row r="13144" spans="1:9" x14ac:dyDescent="0.2">
      <c r="A13144" s="1" t="str">
        <f>"PGPEP1"</f>
        <v>PGPEP1</v>
      </c>
      <c r="B13144" t="s">
        <v>14</v>
      </c>
      <c r="C13144" t="s">
        <v>10</v>
      </c>
      <c r="D13144" t="s">
        <v>17</v>
      </c>
      <c r="E13144" t="s">
        <v>12</v>
      </c>
      <c r="F13144">
        <v>18451391</v>
      </c>
      <c r="G13144">
        <v>18451427</v>
      </c>
      <c r="H13144">
        <v>18451439</v>
      </c>
      <c r="I13144">
        <v>18451456</v>
      </c>
    </row>
    <row r="13145" spans="1:9" x14ac:dyDescent="0.2">
      <c r="A13145" s="1" t="str">
        <f>"PGPEP1L"</f>
        <v>PGPEP1L</v>
      </c>
      <c r="B13145" t="s">
        <v>9</v>
      </c>
      <c r="C13145" t="s">
        <v>25</v>
      </c>
      <c r="D13145" t="s">
        <v>11</v>
      </c>
      <c r="E13145" t="s">
        <v>12</v>
      </c>
      <c r="F13145">
        <v>99551018</v>
      </c>
      <c r="G13145">
        <v>99551022</v>
      </c>
      <c r="H13145">
        <v>99551018</v>
      </c>
      <c r="I13145">
        <v>99551022</v>
      </c>
    </row>
    <row r="13146" spans="1:9" x14ac:dyDescent="0.2">
      <c r="A13146" s="1" t="str">
        <f>"PGPEP1L"</f>
        <v>PGPEP1L</v>
      </c>
      <c r="B13146" t="s">
        <v>13</v>
      </c>
      <c r="C13146" t="s">
        <v>25</v>
      </c>
      <c r="D13146" t="s">
        <v>11</v>
      </c>
      <c r="E13146" t="s">
        <v>12</v>
      </c>
      <c r="F13146">
        <v>99548775</v>
      </c>
      <c r="G13146">
        <v>99548792</v>
      </c>
      <c r="H13146">
        <v>99548775</v>
      </c>
      <c r="I13146">
        <v>99548792</v>
      </c>
    </row>
    <row r="13147" spans="1:9" x14ac:dyDescent="0.2">
      <c r="A13147" s="1" t="str">
        <f>"PGR"</f>
        <v>PGR</v>
      </c>
      <c r="B13147" t="s">
        <v>14</v>
      </c>
      <c r="C13147" t="s">
        <v>27</v>
      </c>
      <c r="D13147" t="s">
        <v>11</v>
      </c>
      <c r="E13147" t="s">
        <v>12</v>
      </c>
      <c r="F13147">
        <v>101000537</v>
      </c>
      <c r="G13147">
        <v>101000553</v>
      </c>
      <c r="H13147">
        <v>100999775</v>
      </c>
      <c r="I13147">
        <v>100999800</v>
      </c>
    </row>
    <row r="13148" spans="1:9" x14ac:dyDescent="0.2">
      <c r="A13148" s="1" t="str">
        <f>"PGRMC1"</f>
        <v>PGRMC1</v>
      </c>
      <c r="B13148" t="s">
        <v>14</v>
      </c>
      <c r="C13148" t="s">
        <v>37</v>
      </c>
      <c r="D13148" t="s">
        <v>17</v>
      </c>
      <c r="E13148" t="s">
        <v>12</v>
      </c>
      <c r="F13148">
        <v>118370237</v>
      </c>
      <c r="G13148">
        <v>118370254</v>
      </c>
      <c r="H13148">
        <v>118370292</v>
      </c>
      <c r="I13148">
        <v>118370325</v>
      </c>
    </row>
    <row r="13149" spans="1:9" x14ac:dyDescent="0.2">
      <c r="A13149" s="1" t="str">
        <f>"PGRMC2"</f>
        <v>PGRMC2</v>
      </c>
      <c r="B13149" t="s">
        <v>14</v>
      </c>
      <c r="C13149" t="s">
        <v>23</v>
      </c>
      <c r="D13149" t="s">
        <v>11</v>
      </c>
      <c r="E13149" t="s">
        <v>12</v>
      </c>
      <c r="F13149">
        <v>129208940</v>
      </c>
      <c r="G13149">
        <v>129208976</v>
      </c>
      <c r="H13149">
        <v>129208888</v>
      </c>
      <c r="I13149">
        <v>129208921</v>
      </c>
    </row>
    <row r="13150" spans="1:9" x14ac:dyDescent="0.2">
      <c r="A13150" s="1" t="str">
        <f>"PGS1"</f>
        <v>PGS1</v>
      </c>
      <c r="B13150" t="s">
        <v>14</v>
      </c>
      <c r="C13150" t="s">
        <v>28</v>
      </c>
      <c r="D13150" t="s">
        <v>17</v>
      </c>
      <c r="E13150" t="s">
        <v>12</v>
      </c>
      <c r="F13150">
        <v>76374714</v>
      </c>
      <c r="G13150">
        <v>76374754</v>
      </c>
      <c r="H13150">
        <v>76374714</v>
      </c>
      <c r="I13150">
        <v>76374754</v>
      </c>
    </row>
    <row r="13151" spans="1:9" x14ac:dyDescent="0.2">
      <c r="A13151" s="1" t="str">
        <f>"PHACTR1"</f>
        <v>PHACTR1</v>
      </c>
      <c r="B13151" t="s">
        <v>9</v>
      </c>
      <c r="C13151" t="s">
        <v>32</v>
      </c>
      <c r="D13151" t="s">
        <v>17</v>
      </c>
      <c r="E13151" t="s">
        <v>12</v>
      </c>
      <c r="F13151">
        <v>13272941</v>
      </c>
      <c r="G13151">
        <v>13272965</v>
      </c>
      <c r="H13151">
        <v>13272941</v>
      </c>
      <c r="I13151">
        <v>13272965</v>
      </c>
    </row>
    <row r="13152" spans="1:9" x14ac:dyDescent="0.2">
      <c r="A13152" s="1" t="str">
        <f>"PHACTR1"</f>
        <v>PHACTR1</v>
      </c>
      <c r="B13152" t="s">
        <v>13</v>
      </c>
      <c r="C13152" t="s">
        <v>32</v>
      </c>
      <c r="D13152" t="s">
        <v>17</v>
      </c>
      <c r="E13152" t="s">
        <v>12</v>
      </c>
      <c r="F13152">
        <v>12958137</v>
      </c>
      <c r="G13152">
        <v>12958234</v>
      </c>
      <c r="H13152">
        <v>12958137</v>
      </c>
      <c r="I13152">
        <v>12958234</v>
      </c>
    </row>
    <row r="13153" spans="1:9" x14ac:dyDescent="0.2">
      <c r="A13153" s="1" t="str">
        <f>"PHACTR2"</f>
        <v>PHACTR2</v>
      </c>
      <c r="B13153" t="s">
        <v>14</v>
      </c>
      <c r="C13153" t="s">
        <v>32</v>
      </c>
      <c r="D13153" t="s">
        <v>17</v>
      </c>
      <c r="E13153" t="s">
        <v>12</v>
      </c>
      <c r="F13153">
        <v>143999072</v>
      </c>
      <c r="G13153">
        <v>143999170</v>
      </c>
      <c r="H13153">
        <v>143999072</v>
      </c>
      <c r="I13153">
        <v>143999170</v>
      </c>
    </row>
    <row r="13154" spans="1:9" x14ac:dyDescent="0.2">
      <c r="A13154" s="1" t="str">
        <f>"PHACTR3"</f>
        <v>PHACTR3</v>
      </c>
      <c r="B13154" t="s">
        <v>14</v>
      </c>
      <c r="C13154" t="s">
        <v>29</v>
      </c>
      <c r="D13154" t="s">
        <v>17</v>
      </c>
      <c r="E13154" t="s">
        <v>12</v>
      </c>
      <c r="F13154">
        <v>58179582</v>
      </c>
      <c r="G13154">
        <v>58179601</v>
      </c>
      <c r="H13154">
        <v>58179554</v>
      </c>
      <c r="I13154">
        <v>58179578</v>
      </c>
    </row>
    <row r="13155" spans="1:9" x14ac:dyDescent="0.2">
      <c r="A13155" s="1" t="str">
        <f>"PHACTR4"</f>
        <v>PHACTR4</v>
      </c>
      <c r="B13155" t="s">
        <v>14</v>
      </c>
      <c r="C13155" t="s">
        <v>19</v>
      </c>
      <c r="D13155" t="s">
        <v>17</v>
      </c>
      <c r="E13155" t="s">
        <v>12</v>
      </c>
      <c r="F13155">
        <v>28696152</v>
      </c>
      <c r="G13155">
        <v>28696261</v>
      </c>
      <c r="H13155">
        <v>28696152</v>
      </c>
      <c r="I13155">
        <v>28696261</v>
      </c>
    </row>
    <row r="13156" spans="1:9" x14ac:dyDescent="0.2">
      <c r="A13156" s="1" t="str">
        <f>"PHAX"</f>
        <v>PHAX</v>
      </c>
      <c r="B13156" t="s">
        <v>9</v>
      </c>
      <c r="C13156" t="s">
        <v>46</v>
      </c>
      <c r="D13156" t="s">
        <v>17</v>
      </c>
      <c r="E13156" t="s">
        <v>12</v>
      </c>
      <c r="F13156">
        <v>125936606</v>
      </c>
      <c r="G13156">
        <v>125936664</v>
      </c>
      <c r="H13156">
        <v>125936606</v>
      </c>
      <c r="I13156">
        <v>125936664</v>
      </c>
    </row>
    <row r="13157" spans="1:9" x14ac:dyDescent="0.2">
      <c r="A13157" s="1" t="str">
        <f>"PHAX"</f>
        <v>PHAX</v>
      </c>
      <c r="B13157" t="s">
        <v>13</v>
      </c>
      <c r="C13157" t="s">
        <v>46</v>
      </c>
      <c r="D13157" t="s">
        <v>17</v>
      </c>
      <c r="E13157" t="s">
        <v>12</v>
      </c>
      <c r="F13157">
        <v>125939252</v>
      </c>
      <c r="G13157">
        <v>125939282</v>
      </c>
      <c r="H13157">
        <v>125939252</v>
      </c>
      <c r="I13157">
        <v>125939282</v>
      </c>
    </row>
    <row r="13158" spans="1:9" x14ac:dyDescent="0.2">
      <c r="A13158" s="1" t="str">
        <f>"PHB"</f>
        <v>PHB</v>
      </c>
      <c r="B13158" t="s">
        <v>14</v>
      </c>
      <c r="C13158" t="s">
        <v>28</v>
      </c>
      <c r="D13158" t="s">
        <v>11</v>
      </c>
      <c r="E13158" t="s">
        <v>12</v>
      </c>
      <c r="F13158">
        <v>47492236</v>
      </c>
      <c r="G13158">
        <v>47492251</v>
      </c>
      <c r="H13158">
        <v>47492252</v>
      </c>
      <c r="I13158">
        <v>47492265</v>
      </c>
    </row>
    <row r="13159" spans="1:9" x14ac:dyDescent="0.2">
      <c r="A13159" s="1" t="str">
        <f>"PHB2"</f>
        <v>PHB2</v>
      </c>
      <c r="B13159" t="s">
        <v>14</v>
      </c>
      <c r="C13159" t="s">
        <v>16</v>
      </c>
      <c r="D13159" t="s">
        <v>11</v>
      </c>
      <c r="E13159" t="s">
        <v>12</v>
      </c>
      <c r="F13159">
        <v>7079807</v>
      </c>
      <c r="G13159">
        <v>7079848</v>
      </c>
      <c r="H13159">
        <v>7079780</v>
      </c>
      <c r="I13159">
        <v>7079791</v>
      </c>
    </row>
    <row r="13160" spans="1:9" x14ac:dyDescent="0.2">
      <c r="A13160" s="1" t="str">
        <f>"PHC1"</f>
        <v>PHC1</v>
      </c>
      <c r="B13160" t="s">
        <v>14</v>
      </c>
      <c r="C13160" t="s">
        <v>16</v>
      </c>
      <c r="D13160" t="s">
        <v>17</v>
      </c>
      <c r="E13160" t="s">
        <v>12</v>
      </c>
      <c r="F13160">
        <v>9066766</v>
      </c>
      <c r="G13160">
        <v>9066866</v>
      </c>
      <c r="H13160">
        <v>9067059</v>
      </c>
      <c r="I13160">
        <v>9067109</v>
      </c>
    </row>
    <row r="13161" spans="1:9" x14ac:dyDescent="0.2">
      <c r="A13161" s="1" t="str">
        <f>"PHC2"</f>
        <v>PHC2</v>
      </c>
      <c r="B13161" t="s">
        <v>14</v>
      </c>
      <c r="C13161" t="s">
        <v>19</v>
      </c>
      <c r="D13161" t="s">
        <v>11</v>
      </c>
      <c r="E13161" t="s">
        <v>12</v>
      </c>
      <c r="F13161">
        <v>33815487</v>
      </c>
      <c r="G13161">
        <v>33815517</v>
      </c>
      <c r="H13161">
        <v>33815367</v>
      </c>
      <c r="I13161">
        <v>33815399</v>
      </c>
    </row>
    <row r="13162" spans="1:9" x14ac:dyDescent="0.2">
      <c r="A13162" s="1" t="str">
        <f>"PHC3"</f>
        <v>PHC3</v>
      </c>
      <c r="B13162" t="s">
        <v>14</v>
      </c>
      <c r="C13162" t="s">
        <v>22</v>
      </c>
      <c r="D13162" t="s">
        <v>11</v>
      </c>
      <c r="E13162" t="s">
        <v>12</v>
      </c>
      <c r="F13162">
        <v>169899504</v>
      </c>
      <c r="G13162">
        <v>169899542</v>
      </c>
      <c r="H13162">
        <v>169899504</v>
      </c>
      <c r="I13162">
        <v>169899542</v>
      </c>
    </row>
    <row r="13163" spans="1:9" x14ac:dyDescent="0.2">
      <c r="A13163" s="1" t="str">
        <f>"PHEX"</f>
        <v>PHEX</v>
      </c>
      <c r="B13163" t="s">
        <v>14</v>
      </c>
      <c r="C13163" t="s">
        <v>37</v>
      </c>
      <c r="D13163" t="s">
        <v>17</v>
      </c>
      <c r="E13163" t="s">
        <v>12</v>
      </c>
      <c r="F13163">
        <v>22050419</v>
      </c>
      <c r="G13163">
        <v>22050450</v>
      </c>
      <c r="H13163">
        <v>22050419</v>
      </c>
      <c r="I13163">
        <v>22050450</v>
      </c>
    </row>
    <row r="13164" spans="1:9" x14ac:dyDescent="0.2">
      <c r="A13164" s="1" t="str">
        <f>"PHF1"</f>
        <v>PHF1</v>
      </c>
      <c r="B13164" t="s">
        <v>14</v>
      </c>
      <c r="C13164" t="s">
        <v>32</v>
      </c>
      <c r="D13164" t="s">
        <v>17</v>
      </c>
      <c r="E13164" t="s">
        <v>12</v>
      </c>
      <c r="F13164">
        <v>33378780</v>
      </c>
      <c r="G13164">
        <v>33378838</v>
      </c>
      <c r="H13164">
        <v>33378441</v>
      </c>
      <c r="I13164">
        <v>33378502</v>
      </c>
    </row>
    <row r="13165" spans="1:9" x14ac:dyDescent="0.2">
      <c r="A13165" s="1" t="str">
        <f>"PHF10"</f>
        <v>PHF10</v>
      </c>
      <c r="B13165" t="s">
        <v>14</v>
      </c>
      <c r="C13165" t="s">
        <v>32</v>
      </c>
      <c r="D13165" t="s">
        <v>11</v>
      </c>
      <c r="E13165" t="s">
        <v>12</v>
      </c>
      <c r="F13165">
        <v>170124563</v>
      </c>
      <c r="G13165">
        <v>170124616</v>
      </c>
      <c r="H13165">
        <v>170124065</v>
      </c>
      <c r="I13165">
        <v>170124110</v>
      </c>
    </row>
    <row r="13166" spans="1:9" x14ac:dyDescent="0.2">
      <c r="A13166" s="1" t="str">
        <f>"PHF11"</f>
        <v>PHF11</v>
      </c>
      <c r="B13166" t="s">
        <v>14</v>
      </c>
      <c r="C13166" t="s">
        <v>39</v>
      </c>
      <c r="D13166" t="s">
        <v>17</v>
      </c>
      <c r="E13166" t="s">
        <v>12</v>
      </c>
      <c r="F13166">
        <v>50070077</v>
      </c>
      <c r="G13166">
        <v>50070150</v>
      </c>
      <c r="H13166">
        <v>50069710</v>
      </c>
      <c r="I13166">
        <v>50069753</v>
      </c>
    </row>
    <row r="13167" spans="1:9" x14ac:dyDescent="0.2">
      <c r="A13167" s="1" t="str">
        <f>"PHF12"</f>
        <v>PHF12</v>
      </c>
      <c r="B13167" t="s">
        <v>14</v>
      </c>
      <c r="C13167" t="s">
        <v>28</v>
      </c>
      <c r="D13167" t="s">
        <v>11</v>
      </c>
      <c r="E13167" t="s">
        <v>12</v>
      </c>
      <c r="F13167">
        <v>27278445</v>
      </c>
      <c r="G13167">
        <v>27278575</v>
      </c>
      <c r="H13167">
        <v>27278304</v>
      </c>
      <c r="I13167">
        <v>27278408</v>
      </c>
    </row>
    <row r="13168" spans="1:9" x14ac:dyDescent="0.2">
      <c r="A13168" s="1" t="str">
        <f>"PHF13"</f>
        <v>PHF13</v>
      </c>
      <c r="B13168" t="s">
        <v>14</v>
      </c>
      <c r="C13168" t="s">
        <v>19</v>
      </c>
      <c r="D13168" t="s">
        <v>17</v>
      </c>
      <c r="E13168" t="s">
        <v>12</v>
      </c>
      <c r="F13168">
        <v>6673782</v>
      </c>
      <c r="G13168">
        <v>6673830</v>
      </c>
      <c r="H13168">
        <v>6673834</v>
      </c>
      <c r="I13168">
        <v>6673871</v>
      </c>
    </row>
    <row r="13169" spans="1:9" x14ac:dyDescent="0.2">
      <c r="A13169" s="1" t="str">
        <f>"PHF14"</f>
        <v>PHF14</v>
      </c>
      <c r="B13169" t="s">
        <v>14</v>
      </c>
      <c r="C13169" t="s">
        <v>33</v>
      </c>
      <c r="D13169" t="s">
        <v>17</v>
      </c>
      <c r="E13169" t="s">
        <v>12</v>
      </c>
      <c r="F13169">
        <v>11013491</v>
      </c>
      <c r="G13169">
        <v>11013553</v>
      </c>
      <c r="H13169">
        <v>11013451</v>
      </c>
      <c r="I13169">
        <v>11013472</v>
      </c>
    </row>
    <row r="13170" spans="1:9" x14ac:dyDescent="0.2">
      <c r="A13170" s="1" t="str">
        <f>"PHF15"</f>
        <v>PHF15</v>
      </c>
      <c r="B13170" t="s">
        <v>9</v>
      </c>
      <c r="C13170" t="s">
        <v>46</v>
      </c>
      <c r="D13170" t="s">
        <v>17</v>
      </c>
      <c r="E13170" t="s">
        <v>12</v>
      </c>
      <c r="F13170">
        <v>133861339</v>
      </c>
      <c r="G13170">
        <v>133861386</v>
      </c>
      <c r="H13170">
        <v>133861339</v>
      </c>
      <c r="I13170">
        <v>133861386</v>
      </c>
    </row>
    <row r="13171" spans="1:9" x14ac:dyDescent="0.2">
      <c r="A13171" s="1" t="str">
        <f>"PHF15"</f>
        <v>PHF15</v>
      </c>
      <c r="B13171" t="s">
        <v>13</v>
      </c>
      <c r="C13171" t="s">
        <v>46</v>
      </c>
      <c r="D13171" t="s">
        <v>17</v>
      </c>
      <c r="E13171" t="s">
        <v>12</v>
      </c>
      <c r="F13171">
        <v>133859996</v>
      </c>
      <c r="G13171">
        <v>133860046</v>
      </c>
      <c r="H13171">
        <v>133859996</v>
      </c>
      <c r="I13171">
        <v>133860046</v>
      </c>
    </row>
    <row r="13172" spans="1:9" x14ac:dyDescent="0.2">
      <c r="A13172" s="1" t="str">
        <f>"PHF16"</f>
        <v>PHF16</v>
      </c>
      <c r="B13172" t="s">
        <v>14</v>
      </c>
      <c r="C13172" t="s">
        <v>37</v>
      </c>
      <c r="D13172" t="s">
        <v>17</v>
      </c>
      <c r="E13172" t="s">
        <v>12</v>
      </c>
      <c r="F13172">
        <v>46771848</v>
      </c>
      <c r="G13172">
        <v>46771910</v>
      </c>
      <c r="H13172">
        <v>46771722</v>
      </c>
      <c r="I13172">
        <v>46771745</v>
      </c>
    </row>
    <row r="13173" spans="1:9" x14ac:dyDescent="0.2">
      <c r="A13173" s="1" t="str">
        <f>"PHF17"</f>
        <v>PHF17</v>
      </c>
      <c r="B13173" t="s">
        <v>14</v>
      </c>
      <c r="C13173" t="s">
        <v>23</v>
      </c>
      <c r="D13173" t="s">
        <v>17</v>
      </c>
      <c r="E13173" t="s">
        <v>12</v>
      </c>
      <c r="F13173">
        <v>129730839</v>
      </c>
      <c r="G13173">
        <v>129730904</v>
      </c>
      <c r="H13173">
        <v>129730947</v>
      </c>
      <c r="I13173">
        <v>129730984</v>
      </c>
    </row>
    <row r="13174" spans="1:9" x14ac:dyDescent="0.2">
      <c r="A13174" s="1" t="str">
        <f>"PHF19"</f>
        <v>PHF19</v>
      </c>
      <c r="B13174" t="s">
        <v>14</v>
      </c>
      <c r="C13174" t="s">
        <v>24</v>
      </c>
      <c r="D13174" t="s">
        <v>11</v>
      </c>
      <c r="E13174" t="s">
        <v>12</v>
      </c>
      <c r="F13174">
        <v>123639445</v>
      </c>
      <c r="G13174">
        <v>123639476</v>
      </c>
      <c r="H13174">
        <v>123639480</v>
      </c>
      <c r="I13174">
        <v>123639503</v>
      </c>
    </row>
    <row r="13175" spans="1:9" x14ac:dyDescent="0.2">
      <c r="A13175" s="1" t="str">
        <f>"PHF2"</f>
        <v>PHF2</v>
      </c>
      <c r="B13175" t="s">
        <v>14</v>
      </c>
      <c r="C13175" t="s">
        <v>24</v>
      </c>
      <c r="D13175" t="s">
        <v>17</v>
      </c>
      <c r="E13175" t="s">
        <v>12</v>
      </c>
      <c r="F13175">
        <v>96338860</v>
      </c>
      <c r="G13175">
        <v>96338939</v>
      </c>
      <c r="H13175">
        <v>96339026</v>
      </c>
      <c r="I13175">
        <v>96339054</v>
      </c>
    </row>
    <row r="13176" spans="1:9" x14ac:dyDescent="0.2">
      <c r="A13176" s="1" t="str">
        <f>"PHF20"</f>
        <v>PHF20</v>
      </c>
      <c r="B13176" t="s">
        <v>14</v>
      </c>
      <c r="C13176" t="s">
        <v>29</v>
      </c>
      <c r="D13176" t="s">
        <v>17</v>
      </c>
      <c r="E13176" t="s">
        <v>12</v>
      </c>
      <c r="F13176">
        <v>34359925</v>
      </c>
      <c r="G13176">
        <v>34359991</v>
      </c>
      <c r="H13176">
        <v>34359925</v>
      </c>
      <c r="I13176">
        <v>34359991</v>
      </c>
    </row>
    <row r="13177" spans="1:9" x14ac:dyDescent="0.2">
      <c r="A13177" s="1" t="str">
        <f>"PHF20L1"</f>
        <v>PHF20L1</v>
      </c>
      <c r="B13177" t="s">
        <v>14</v>
      </c>
      <c r="C13177" t="s">
        <v>30</v>
      </c>
      <c r="D13177" t="s">
        <v>17</v>
      </c>
      <c r="E13177" t="s">
        <v>12</v>
      </c>
      <c r="F13177">
        <v>133787586</v>
      </c>
      <c r="G13177">
        <v>133787673</v>
      </c>
      <c r="H13177">
        <v>133787571</v>
      </c>
      <c r="I13177">
        <v>133787582</v>
      </c>
    </row>
    <row r="13178" spans="1:9" x14ac:dyDescent="0.2">
      <c r="A13178" s="1" t="str">
        <f>"PHF21A"</f>
        <v>PHF21A</v>
      </c>
      <c r="B13178" t="s">
        <v>14</v>
      </c>
      <c r="C13178" t="s">
        <v>27</v>
      </c>
      <c r="D13178" t="s">
        <v>11</v>
      </c>
      <c r="E13178" t="s">
        <v>12</v>
      </c>
      <c r="F13178">
        <v>46142948</v>
      </c>
      <c r="G13178">
        <v>46143043</v>
      </c>
      <c r="H13178">
        <v>46142615</v>
      </c>
      <c r="I13178">
        <v>46142697</v>
      </c>
    </row>
    <row r="13179" spans="1:9" x14ac:dyDescent="0.2">
      <c r="A13179" s="1" t="str">
        <f>"PHF21B"</f>
        <v>PHF21B</v>
      </c>
      <c r="B13179" t="s">
        <v>9</v>
      </c>
      <c r="C13179" t="s">
        <v>21</v>
      </c>
      <c r="D13179" t="s">
        <v>11</v>
      </c>
      <c r="E13179" t="s">
        <v>12</v>
      </c>
      <c r="F13179">
        <v>45405829</v>
      </c>
      <c r="G13179">
        <v>45405896</v>
      </c>
      <c r="H13179">
        <v>45405829</v>
      </c>
      <c r="I13179">
        <v>45405896</v>
      </c>
    </row>
    <row r="13180" spans="1:9" x14ac:dyDescent="0.2">
      <c r="A13180" s="1" t="str">
        <f>"PHF21B"</f>
        <v>PHF21B</v>
      </c>
      <c r="B13180" t="s">
        <v>13</v>
      </c>
      <c r="C13180" t="s">
        <v>21</v>
      </c>
      <c r="D13180" t="s">
        <v>11</v>
      </c>
      <c r="E13180" t="s">
        <v>12</v>
      </c>
      <c r="F13180">
        <v>45404770</v>
      </c>
      <c r="G13180">
        <v>45404812</v>
      </c>
      <c r="H13180">
        <v>45404770</v>
      </c>
      <c r="I13180">
        <v>45404812</v>
      </c>
    </row>
    <row r="13181" spans="1:9" x14ac:dyDescent="0.2">
      <c r="A13181" s="1" t="str">
        <f>"PHF23"</f>
        <v>PHF23</v>
      </c>
      <c r="B13181" t="s">
        <v>14</v>
      </c>
      <c r="C13181" t="s">
        <v>28</v>
      </c>
      <c r="D13181" t="s">
        <v>11</v>
      </c>
      <c r="E13181" t="s">
        <v>12</v>
      </c>
      <c r="F13181">
        <v>7142725</v>
      </c>
      <c r="G13181">
        <v>7142800</v>
      </c>
      <c r="H13181">
        <v>7142814</v>
      </c>
      <c r="I13181">
        <v>7142827</v>
      </c>
    </row>
    <row r="13182" spans="1:9" x14ac:dyDescent="0.2">
      <c r="A13182" s="1" t="str">
        <f>"PHF3"</f>
        <v>PHF3</v>
      </c>
      <c r="B13182" t="s">
        <v>14</v>
      </c>
      <c r="C13182" t="s">
        <v>32</v>
      </c>
      <c r="D13182" t="s">
        <v>17</v>
      </c>
      <c r="E13182" t="s">
        <v>12</v>
      </c>
      <c r="F13182">
        <v>64345971</v>
      </c>
      <c r="G13182">
        <v>64346036</v>
      </c>
      <c r="H13182">
        <v>64345698</v>
      </c>
      <c r="I13182">
        <v>64345750</v>
      </c>
    </row>
    <row r="13183" spans="1:9" x14ac:dyDescent="0.2">
      <c r="A13183" s="1" t="str">
        <f>"PHF5A"</f>
        <v>PHF5A</v>
      </c>
      <c r="B13183" t="s">
        <v>14</v>
      </c>
      <c r="C13183" t="s">
        <v>21</v>
      </c>
      <c r="D13183" t="s">
        <v>11</v>
      </c>
      <c r="E13183" t="s">
        <v>12</v>
      </c>
      <c r="F13183">
        <v>41864662</v>
      </c>
      <c r="G13183">
        <v>41864708</v>
      </c>
      <c r="H13183">
        <v>41864481</v>
      </c>
      <c r="I13183">
        <v>41864505</v>
      </c>
    </row>
    <row r="13184" spans="1:9" x14ac:dyDescent="0.2">
      <c r="A13184" s="1" t="str">
        <f>"PHF6"</f>
        <v>PHF6</v>
      </c>
      <c r="B13184" t="s">
        <v>14</v>
      </c>
      <c r="C13184" t="s">
        <v>37</v>
      </c>
      <c r="D13184" t="s">
        <v>17</v>
      </c>
      <c r="E13184" t="s">
        <v>12</v>
      </c>
      <c r="F13184">
        <v>133507327</v>
      </c>
      <c r="G13184">
        <v>133507386</v>
      </c>
      <c r="H13184">
        <v>133507389</v>
      </c>
      <c r="I13184">
        <v>133507429</v>
      </c>
    </row>
    <row r="13185" spans="1:9" x14ac:dyDescent="0.2">
      <c r="A13185" s="1" t="str">
        <f>"PHF7"</f>
        <v>PHF7</v>
      </c>
      <c r="B13185" t="s">
        <v>14</v>
      </c>
      <c r="C13185" t="s">
        <v>22</v>
      </c>
      <c r="D13185" t="s">
        <v>17</v>
      </c>
      <c r="E13185" t="s">
        <v>12</v>
      </c>
      <c r="F13185">
        <v>52444651</v>
      </c>
      <c r="G13185">
        <v>52444697</v>
      </c>
      <c r="H13185">
        <v>52444550</v>
      </c>
      <c r="I13185">
        <v>52444647</v>
      </c>
    </row>
    <row r="13186" spans="1:9" x14ac:dyDescent="0.2">
      <c r="A13186" s="1" t="str">
        <f>"PHF8"</f>
        <v>PHF8</v>
      </c>
      <c r="B13186" t="s">
        <v>14</v>
      </c>
      <c r="C13186" t="s">
        <v>37</v>
      </c>
      <c r="D13186" t="s">
        <v>11</v>
      </c>
      <c r="E13186" t="s">
        <v>12</v>
      </c>
      <c r="F13186">
        <v>54070731</v>
      </c>
      <c r="G13186">
        <v>54070781</v>
      </c>
      <c r="H13186">
        <v>54070879</v>
      </c>
      <c r="I13186">
        <v>54070917</v>
      </c>
    </row>
    <row r="13187" spans="1:9" x14ac:dyDescent="0.2">
      <c r="A13187" s="1" t="str">
        <f>"PHGDH"</f>
        <v>PHGDH</v>
      </c>
      <c r="B13187" t="s">
        <v>14</v>
      </c>
      <c r="C13187" t="s">
        <v>19</v>
      </c>
      <c r="D13187" t="s">
        <v>17</v>
      </c>
      <c r="E13187" t="s">
        <v>12</v>
      </c>
      <c r="F13187">
        <v>120254548</v>
      </c>
      <c r="G13187">
        <v>120254571</v>
      </c>
      <c r="H13187">
        <v>120254548</v>
      </c>
      <c r="I13187">
        <v>120254571</v>
      </c>
    </row>
    <row r="13188" spans="1:9" x14ac:dyDescent="0.2">
      <c r="A13188" s="1" t="str">
        <f>"PHGR1"</f>
        <v>PHGR1</v>
      </c>
      <c r="B13188" t="s">
        <v>14</v>
      </c>
      <c r="C13188" t="s">
        <v>25</v>
      </c>
      <c r="D13188" t="s">
        <v>17</v>
      </c>
      <c r="E13188" t="s">
        <v>12</v>
      </c>
      <c r="F13188">
        <v>40643227</v>
      </c>
      <c r="G13188">
        <v>40643240</v>
      </c>
      <c r="H13188">
        <v>40643227</v>
      </c>
      <c r="I13188">
        <v>40643240</v>
      </c>
    </row>
    <row r="13189" spans="1:9" x14ac:dyDescent="0.2">
      <c r="A13189" s="1" t="str">
        <f>"PHIP"</f>
        <v>PHIP</v>
      </c>
      <c r="B13189" t="s">
        <v>14</v>
      </c>
      <c r="C13189" t="s">
        <v>32</v>
      </c>
      <c r="D13189" t="s">
        <v>11</v>
      </c>
      <c r="E13189" t="s">
        <v>12</v>
      </c>
      <c r="F13189">
        <v>79787902</v>
      </c>
      <c r="G13189">
        <v>79787958</v>
      </c>
      <c r="H13189">
        <v>79787964</v>
      </c>
      <c r="I13189">
        <v>79787994</v>
      </c>
    </row>
    <row r="13190" spans="1:9" x14ac:dyDescent="0.2">
      <c r="A13190" s="1" t="str">
        <f>"PHKA1"</f>
        <v>PHKA1</v>
      </c>
      <c r="B13190" t="s">
        <v>14</v>
      </c>
      <c r="C13190" t="s">
        <v>37</v>
      </c>
      <c r="D13190" t="s">
        <v>11</v>
      </c>
      <c r="E13190" t="s">
        <v>12</v>
      </c>
      <c r="F13190">
        <v>71934126</v>
      </c>
      <c r="G13190">
        <v>71934180</v>
      </c>
      <c r="H13190">
        <v>71934029</v>
      </c>
      <c r="I13190">
        <v>71934044</v>
      </c>
    </row>
    <row r="13191" spans="1:9" x14ac:dyDescent="0.2">
      <c r="A13191" s="1" t="str">
        <f>"PHKA2"</f>
        <v>PHKA2</v>
      </c>
      <c r="B13191" t="s">
        <v>14</v>
      </c>
      <c r="C13191" t="s">
        <v>37</v>
      </c>
      <c r="D13191" t="s">
        <v>11</v>
      </c>
      <c r="E13191" t="s">
        <v>12</v>
      </c>
      <c r="F13191">
        <v>19002207</v>
      </c>
      <c r="G13191">
        <v>19002239</v>
      </c>
      <c r="H13191">
        <v>19002465</v>
      </c>
      <c r="I13191">
        <v>19002491</v>
      </c>
    </row>
    <row r="13192" spans="1:9" x14ac:dyDescent="0.2">
      <c r="A13192" s="1" t="str">
        <f>"PHKB"</f>
        <v>PHKB</v>
      </c>
      <c r="B13192" t="s">
        <v>14</v>
      </c>
      <c r="C13192" t="s">
        <v>31</v>
      </c>
      <c r="D13192" t="s">
        <v>17</v>
      </c>
      <c r="E13192" t="s">
        <v>12</v>
      </c>
      <c r="F13192">
        <v>47495225</v>
      </c>
      <c r="G13192">
        <v>47495259</v>
      </c>
      <c r="H13192">
        <v>47495201</v>
      </c>
      <c r="I13192">
        <v>47495215</v>
      </c>
    </row>
    <row r="13193" spans="1:9" x14ac:dyDescent="0.2">
      <c r="A13193" s="1" t="str">
        <f>"PHKG1"</f>
        <v>PHKG1</v>
      </c>
      <c r="B13193" t="s">
        <v>14</v>
      </c>
      <c r="C13193" t="s">
        <v>33</v>
      </c>
      <c r="D13193" t="s">
        <v>11</v>
      </c>
      <c r="E13193" t="s">
        <v>12</v>
      </c>
      <c r="F13193">
        <v>56160625</v>
      </c>
      <c r="G13193">
        <v>56160652</v>
      </c>
      <c r="H13193">
        <v>56160666</v>
      </c>
      <c r="I13193">
        <v>56160678</v>
      </c>
    </row>
    <row r="13194" spans="1:9" x14ac:dyDescent="0.2">
      <c r="A13194" s="1" t="str">
        <f>"PHKG2"</f>
        <v>PHKG2</v>
      </c>
      <c r="B13194" t="s">
        <v>14</v>
      </c>
      <c r="C13194" t="s">
        <v>31</v>
      </c>
      <c r="D13194" t="s">
        <v>17</v>
      </c>
      <c r="E13194" t="s">
        <v>12</v>
      </c>
      <c r="F13194">
        <v>30759700</v>
      </c>
      <c r="G13194">
        <v>30759771</v>
      </c>
      <c r="H13194">
        <v>30759844</v>
      </c>
      <c r="I13194">
        <v>30759894</v>
      </c>
    </row>
    <row r="13195" spans="1:9" x14ac:dyDescent="0.2">
      <c r="A13195" s="1" t="str">
        <f>"PHLDA1"</f>
        <v>PHLDA1</v>
      </c>
      <c r="B13195" t="s">
        <v>14</v>
      </c>
      <c r="C13195" t="s">
        <v>16</v>
      </c>
      <c r="D13195" t="s">
        <v>11</v>
      </c>
      <c r="E13195" t="s">
        <v>12</v>
      </c>
      <c r="F13195">
        <v>76425368</v>
      </c>
      <c r="G13195">
        <v>76425384</v>
      </c>
      <c r="H13195">
        <v>76425368</v>
      </c>
      <c r="I13195">
        <v>76425384</v>
      </c>
    </row>
    <row r="13196" spans="1:9" x14ac:dyDescent="0.2">
      <c r="A13196" s="1" t="str">
        <f>"PHLDA2"</f>
        <v>PHLDA2</v>
      </c>
      <c r="B13196" t="s">
        <v>14</v>
      </c>
      <c r="C13196" t="s">
        <v>27</v>
      </c>
      <c r="D13196" t="s">
        <v>11</v>
      </c>
      <c r="E13196" t="s">
        <v>12</v>
      </c>
      <c r="F13196">
        <v>2950642</v>
      </c>
      <c r="G13196">
        <v>2950658</v>
      </c>
      <c r="H13196">
        <v>2950642</v>
      </c>
      <c r="I13196">
        <v>2950658</v>
      </c>
    </row>
    <row r="13197" spans="1:9" x14ac:dyDescent="0.2">
      <c r="A13197" s="1" t="str">
        <f>"PHLDA3"</f>
        <v>PHLDA3</v>
      </c>
      <c r="B13197" t="s">
        <v>14</v>
      </c>
      <c r="C13197" t="s">
        <v>19</v>
      </c>
      <c r="D13197" t="s">
        <v>11</v>
      </c>
      <c r="E13197" t="s">
        <v>12</v>
      </c>
      <c r="F13197">
        <v>201438282</v>
      </c>
      <c r="G13197">
        <v>201438365</v>
      </c>
      <c r="H13197">
        <v>201438253</v>
      </c>
      <c r="I13197">
        <v>201438278</v>
      </c>
    </row>
    <row r="13198" spans="1:9" x14ac:dyDescent="0.2">
      <c r="A13198" s="1" t="str">
        <f>"PHLDB1"</f>
        <v>PHLDB1</v>
      </c>
      <c r="B13198" t="s">
        <v>9</v>
      </c>
      <c r="C13198" t="s">
        <v>27</v>
      </c>
      <c r="D13198" t="s">
        <v>17</v>
      </c>
      <c r="E13198" t="s">
        <v>12</v>
      </c>
      <c r="F13198">
        <v>118478313</v>
      </c>
      <c r="G13198">
        <v>118478358</v>
      </c>
      <c r="H13198">
        <v>118478313</v>
      </c>
      <c r="I13198">
        <v>118478358</v>
      </c>
    </row>
    <row r="13199" spans="1:9" x14ac:dyDescent="0.2">
      <c r="A13199" s="1" t="str">
        <f>"PHLDB1"</f>
        <v>PHLDB1</v>
      </c>
      <c r="B13199" t="s">
        <v>13</v>
      </c>
      <c r="C13199" t="s">
        <v>27</v>
      </c>
      <c r="D13199" t="s">
        <v>17</v>
      </c>
      <c r="E13199" t="s">
        <v>12</v>
      </c>
      <c r="F13199">
        <v>118492055</v>
      </c>
      <c r="G13199">
        <v>118492183</v>
      </c>
      <c r="H13199">
        <v>118492055</v>
      </c>
      <c r="I13199">
        <v>118492183</v>
      </c>
    </row>
    <row r="13200" spans="1:9" x14ac:dyDescent="0.2">
      <c r="A13200" s="1" t="str">
        <f>"PHLDB2"</f>
        <v>PHLDB2</v>
      </c>
      <c r="B13200" t="s">
        <v>14</v>
      </c>
      <c r="C13200" t="s">
        <v>22</v>
      </c>
      <c r="D13200" t="s">
        <v>17</v>
      </c>
      <c r="E13200" t="s">
        <v>12</v>
      </c>
      <c r="F13200">
        <v>111578105</v>
      </c>
      <c r="G13200">
        <v>111578122</v>
      </c>
      <c r="H13200">
        <v>111578650</v>
      </c>
      <c r="I13200">
        <v>111578707</v>
      </c>
    </row>
    <row r="13201" spans="1:9" x14ac:dyDescent="0.2">
      <c r="A13201" s="1" t="str">
        <f>"PHLDB3"</f>
        <v>PHLDB3</v>
      </c>
      <c r="B13201" t="s">
        <v>14</v>
      </c>
      <c r="C13201" t="s">
        <v>10</v>
      </c>
      <c r="D13201" t="s">
        <v>11</v>
      </c>
      <c r="E13201" t="s">
        <v>12</v>
      </c>
      <c r="F13201">
        <v>44008891</v>
      </c>
      <c r="G13201">
        <v>44008914</v>
      </c>
      <c r="H13201">
        <v>44008915</v>
      </c>
      <c r="I13201">
        <v>44008933</v>
      </c>
    </row>
    <row r="13202" spans="1:9" x14ac:dyDescent="0.2">
      <c r="A13202" s="1" t="str">
        <f>"PHLPP1"</f>
        <v>PHLPP1</v>
      </c>
      <c r="B13202" t="s">
        <v>14</v>
      </c>
      <c r="C13202" t="s">
        <v>43</v>
      </c>
      <c r="D13202" t="s">
        <v>17</v>
      </c>
      <c r="E13202" t="s">
        <v>12</v>
      </c>
      <c r="F13202">
        <v>60382759</v>
      </c>
      <c r="G13202">
        <v>60382786</v>
      </c>
      <c r="H13202">
        <v>60382703</v>
      </c>
      <c r="I13202">
        <v>60382752</v>
      </c>
    </row>
    <row r="13203" spans="1:9" x14ac:dyDescent="0.2">
      <c r="A13203" s="1" t="str">
        <f>"PHLPP2"</f>
        <v>PHLPP2</v>
      </c>
      <c r="B13203" t="s">
        <v>14</v>
      </c>
      <c r="C13203" t="s">
        <v>31</v>
      </c>
      <c r="D13203" t="s">
        <v>11</v>
      </c>
      <c r="E13203" t="s">
        <v>12</v>
      </c>
      <c r="F13203">
        <v>71757780</v>
      </c>
      <c r="G13203">
        <v>71757850</v>
      </c>
      <c r="H13203">
        <v>71758602</v>
      </c>
      <c r="I13203">
        <v>71758604</v>
      </c>
    </row>
    <row r="13204" spans="1:9" x14ac:dyDescent="0.2">
      <c r="A13204" s="1" t="str">
        <f>"PHOSPHO1"</f>
        <v>PHOSPHO1</v>
      </c>
      <c r="B13204" t="s">
        <v>14</v>
      </c>
      <c r="C13204" t="s">
        <v>28</v>
      </c>
      <c r="D13204" t="s">
        <v>11</v>
      </c>
      <c r="E13204" t="s">
        <v>12</v>
      </c>
      <c r="F13204">
        <v>47308129</v>
      </c>
      <c r="G13204">
        <v>47308176</v>
      </c>
      <c r="H13204">
        <v>47308059</v>
      </c>
      <c r="I13204">
        <v>47308071</v>
      </c>
    </row>
    <row r="13205" spans="1:9" x14ac:dyDescent="0.2">
      <c r="A13205" s="1" t="str">
        <f>"PHOSPHO2"</f>
        <v>PHOSPHO2</v>
      </c>
      <c r="B13205" t="s">
        <v>14</v>
      </c>
      <c r="C13205" t="s">
        <v>26</v>
      </c>
      <c r="D13205" t="s">
        <v>17</v>
      </c>
      <c r="E13205" t="s">
        <v>12</v>
      </c>
      <c r="F13205">
        <v>170550944</v>
      </c>
      <c r="G13205">
        <v>170551040</v>
      </c>
      <c r="H13205">
        <v>170551279</v>
      </c>
      <c r="I13205">
        <v>170551294</v>
      </c>
    </row>
    <row r="13206" spans="1:9" x14ac:dyDescent="0.2">
      <c r="A13206" s="1" t="str">
        <f>"PHOX2A"</f>
        <v>PHOX2A</v>
      </c>
      <c r="B13206" t="s">
        <v>14</v>
      </c>
      <c r="C13206" t="s">
        <v>27</v>
      </c>
      <c r="D13206" t="s">
        <v>11</v>
      </c>
      <c r="E13206" t="s">
        <v>12</v>
      </c>
      <c r="F13206">
        <v>71955210</v>
      </c>
      <c r="G13206">
        <v>71955227</v>
      </c>
      <c r="H13206">
        <v>71955210</v>
      </c>
      <c r="I13206">
        <v>71955227</v>
      </c>
    </row>
    <row r="13207" spans="1:9" x14ac:dyDescent="0.2">
      <c r="A13207" s="1" t="str">
        <f>"PHOX2B"</f>
        <v>PHOX2B</v>
      </c>
      <c r="B13207" t="s">
        <v>14</v>
      </c>
      <c r="C13207" t="s">
        <v>23</v>
      </c>
      <c r="D13207" t="s">
        <v>11</v>
      </c>
      <c r="E13207" t="s">
        <v>12</v>
      </c>
      <c r="F13207">
        <v>41750731</v>
      </c>
      <c r="G13207">
        <v>41750748</v>
      </c>
      <c r="H13207">
        <v>41750731</v>
      </c>
      <c r="I13207">
        <v>41750748</v>
      </c>
    </row>
    <row r="13208" spans="1:9" x14ac:dyDescent="0.2">
      <c r="A13208" s="1" t="str">
        <f>"PHPT1"</f>
        <v>PHPT1</v>
      </c>
      <c r="B13208" t="s">
        <v>14</v>
      </c>
      <c r="C13208" t="s">
        <v>24</v>
      </c>
      <c r="D13208" t="s">
        <v>17</v>
      </c>
      <c r="E13208" t="s">
        <v>12</v>
      </c>
      <c r="F13208">
        <v>139743853</v>
      </c>
      <c r="G13208">
        <v>139743878</v>
      </c>
      <c r="H13208">
        <v>139744155</v>
      </c>
      <c r="I13208">
        <v>139744222</v>
      </c>
    </row>
    <row r="13209" spans="1:9" x14ac:dyDescent="0.2">
      <c r="A13209" s="1" t="str">
        <f>"PHRF1"</f>
        <v>PHRF1</v>
      </c>
      <c r="B13209" t="s">
        <v>14</v>
      </c>
      <c r="C13209" t="s">
        <v>27</v>
      </c>
      <c r="D13209" t="s">
        <v>17</v>
      </c>
      <c r="E13209" t="s">
        <v>12</v>
      </c>
      <c r="F13209">
        <v>576457</v>
      </c>
      <c r="G13209">
        <v>576493</v>
      </c>
      <c r="H13209">
        <v>576419</v>
      </c>
      <c r="I13209">
        <v>576451</v>
      </c>
    </row>
    <row r="13210" spans="1:9" x14ac:dyDescent="0.2">
      <c r="A13210" s="1" t="str">
        <f>"PHTF1"</f>
        <v>PHTF1</v>
      </c>
      <c r="B13210" t="s">
        <v>14</v>
      </c>
      <c r="C13210" t="s">
        <v>19</v>
      </c>
      <c r="D13210" t="s">
        <v>11</v>
      </c>
      <c r="E13210" t="s">
        <v>12</v>
      </c>
      <c r="F13210">
        <v>114302086</v>
      </c>
      <c r="G13210">
        <v>114302174</v>
      </c>
      <c r="H13210">
        <v>114302066</v>
      </c>
      <c r="I13210">
        <v>114302080</v>
      </c>
    </row>
    <row r="13211" spans="1:9" x14ac:dyDescent="0.2">
      <c r="A13211" s="1" t="str">
        <f>"PHTF2"</f>
        <v>PHTF2</v>
      </c>
      <c r="B13211" t="s">
        <v>14</v>
      </c>
      <c r="C13211" t="s">
        <v>33</v>
      </c>
      <c r="D13211" t="s">
        <v>17</v>
      </c>
      <c r="E13211" t="s">
        <v>12</v>
      </c>
      <c r="F13211">
        <v>77428149</v>
      </c>
      <c r="G13211">
        <v>77428220</v>
      </c>
      <c r="H13211">
        <v>77428066</v>
      </c>
      <c r="I13211">
        <v>77428132</v>
      </c>
    </row>
    <row r="13212" spans="1:9" x14ac:dyDescent="0.2">
      <c r="A13212" s="1" t="str">
        <f>"PHYH"</f>
        <v>PHYH</v>
      </c>
      <c r="B13212" t="s">
        <v>14</v>
      </c>
      <c r="C13212" t="s">
        <v>15</v>
      </c>
      <c r="D13212" t="s">
        <v>11</v>
      </c>
      <c r="E13212" t="s">
        <v>12</v>
      </c>
      <c r="F13212">
        <v>13342051</v>
      </c>
      <c r="G13212">
        <v>13342071</v>
      </c>
      <c r="H13212">
        <v>13342097</v>
      </c>
      <c r="I13212">
        <v>13342116</v>
      </c>
    </row>
    <row r="13213" spans="1:9" x14ac:dyDescent="0.2">
      <c r="A13213" s="1" t="str">
        <f>"PHYHD1"</f>
        <v>PHYHD1</v>
      </c>
      <c r="B13213" t="s">
        <v>14</v>
      </c>
      <c r="C13213" t="s">
        <v>24</v>
      </c>
      <c r="D13213" t="s">
        <v>17</v>
      </c>
      <c r="E13213" t="s">
        <v>12</v>
      </c>
      <c r="F13213">
        <v>131684564</v>
      </c>
      <c r="G13213">
        <v>131684591</v>
      </c>
      <c r="H13213">
        <v>131684564</v>
      </c>
      <c r="I13213">
        <v>131684591</v>
      </c>
    </row>
    <row r="13214" spans="1:9" x14ac:dyDescent="0.2">
      <c r="A13214" s="1" t="str">
        <f>"PHYHIP"</f>
        <v>PHYHIP</v>
      </c>
      <c r="B13214" t="s">
        <v>14</v>
      </c>
      <c r="C13214" t="s">
        <v>30</v>
      </c>
      <c r="D13214" t="s">
        <v>11</v>
      </c>
      <c r="E13214" t="s">
        <v>12</v>
      </c>
      <c r="F13214">
        <v>22089533</v>
      </c>
      <c r="G13214">
        <v>22089625</v>
      </c>
      <c r="H13214">
        <v>22089845</v>
      </c>
      <c r="I13214">
        <v>22089871</v>
      </c>
    </row>
    <row r="13215" spans="1:9" x14ac:dyDescent="0.2">
      <c r="A13215" s="1" t="str">
        <f>"PHYHIPL"</f>
        <v>PHYHIPL</v>
      </c>
      <c r="B13215" t="s">
        <v>14</v>
      </c>
      <c r="C13215" t="s">
        <v>15</v>
      </c>
      <c r="D13215" t="s">
        <v>17</v>
      </c>
      <c r="E13215" t="s">
        <v>12</v>
      </c>
      <c r="F13215">
        <v>60936360</v>
      </c>
      <c r="G13215">
        <v>60936423</v>
      </c>
      <c r="H13215">
        <v>60936347</v>
      </c>
      <c r="I13215">
        <v>60936358</v>
      </c>
    </row>
    <row r="13216" spans="1:9" x14ac:dyDescent="0.2">
      <c r="A13216" s="1" t="str">
        <f>"PHYKPL"</f>
        <v>PHYKPL</v>
      </c>
      <c r="B13216" t="s">
        <v>14</v>
      </c>
      <c r="C13216" t="s">
        <v>46</v>
      </c>
      <c r="D13216" t="s">
        <v>11</v>
      </c>
      <c r="E13216" t="s">
        <v>12</v>
      </c>
      <c r="F13216">
        <v>177659761</v>
      </c>
      <c r="G13216">
        <v>177659832</v>
      </c>
      <c r="H13216">
        <v>177659539</v>
      </c>
      <c r="I13216">
        <v>177659598</v>
      </c>
    </row>
    <row r="13217" spans="1:9" x14ac:dyDescent="0.2">
      <c r="A13217" s="1" t="str">
        <f>"PI15"</f>
        <v>PI15</v>
      </c>
      <c r="B13217" t="s">
        <v>14</v>
      </c>
      <c r="C13217" t="s">
        <v>30</v>
      </c>
      <c r="D13217" t="s">
        <v>17</v>
      </c>
      <c r="E13217" t="s">
        <v>12</v>
      </c>
      <c r="F13217">
        <v>75736761</v>
      </c>
      <c r="G13217">
        <v>75736777</v>
      </c>
      <c r="H13217">
        <v>75736761</v>
      </c>
      <c r="I13217">
        <v>75736777</v>
      </c>
    </row>
    <row r="13218" spans="1:9" x14ac:dyDescent="0.2">
      <c r="A13218" s="1" t="str">
        <f>"PI16"</f>
        <v>PI16</v>
      </c>
      <c r="B13218" t="s">
        <v>9</v>
      </c>
      <c r="C13218" t="s">
        <v>32</v>
      </c>
      <c r="D13218" t="s">
        <v>17</v>
      </c>
      <c r="E13218" t="s">
        <v>12</v>
      </c>
      <c r="F13218">
        <v>36922505</v>
      </c>
      <c r="G13218">
        <v>36922522</v>
      </c>
      <c r="H13218">
        <v>36922505</v>
      </c>
      <c r="I13218">
        <v>36922522</v>
      </c>
    </row>
    <row r="13219" spans="1:9" x14ac:dyDescent="0.2">
      <c r="A13219" s="1" t="str">
        <f>"PI16"</f>
        <v>PI16</v>
      </c>
      <c r="B13219" t="s">
        <v>13</v>
      </c>
      <c r="C13219" t="s">
        <v>32</v>
      </c>
      <c r="D13219" t="s">
        <v>17</v>
      </c>
      <c r="E13219" t="s">
        <v>12</v>
      </c>
      <c r="F13219">
        <v>36916062</v>
      </c>
      <c r="G13219">
        <v>36916088</v>
      </c>
      <c r="H13219">
        <v>36916062</v>
      </c>
      <c r="I13219">
        <v>36916088</v>
      </c>
    </row>
    <row r="13220" spans="1:9" x14ac:dyDescent="0.2">
      <c r="A13220" s="1" t="str">
        <f>"PI3"</f>
        <v>PI3</v>
      </c>
      <c r="B13220" t="s">
        <v>14</v>
      </c>
      <c r="C13220" t="s">
        <v>29</v>
      </c>
      <c r="D13220" t="s">
        <v>17</v>
      </c>
      <c r="E13220" t="s">
        <v>12</v>
      </c>
      <c r="F13220">
        <v>43803535</v>
      </c>
      <c r="G13220">
        <v>43803553</v>
      </c>
      <c r="H13220">
        <v>43803535</v>
      </c>
      <c r="I13220">
        <v>43803553</v>
      </c>
    </row>
    <row r="13221" spans="1:9" x14ac:dyDescent="0.2">
      <c r="A13221" s="1" t="str">
        <f>"PI4K2A"</f>
        <v>PI4K2A</v>
      </c>
      <c r="B13221" t="s">
        <v>14</v>
      </c>
      <c r="C13221" t="s">
        <v>15</v>
      </c>
      <c r="D13221" t="s">
        <v>17</v>
      </c>
      <c r="E13221" t="s">
        <v>67</v>
      </c>
      <c r="F13221">
        <v>99344071</v>
      </c>
      <c r="G13221">
        <v>99344096</v>
      </c>
      <c r="H13221">
        <v>99344018</v>
      </c>
      <c r="I13221">
        <v>99344023</v>
      </c>
    </row>
    <row r="13222" spans="1:9" x14ac:dyDescent="0.2">
      <c r="A13222" s="1" t="str">
        <f>"PI4K2B"</f>
        <v>PI4K2B</v>
      </c>
      <c r="B13222" t="s">
        <v>14</v>
      </c>
      <c r="C13222" t="s">
        <v>23</v>
      </c>
      <c r="D13222" t="s">
        <v>17</v>
      </c>
      <c r="E13222" t="s">
        <v>12</v>
      </c>
      <c r="F13222">
        <v>25235625</v>
      </c>
      <c r="G13222">
        <v>25235692</v>
      </c>
      <c r="H13222">
        <v>25235625</v>
      </c>
      <c r="I13222">
        <v>25235692</v>
      </c>
    </row>
    <row r="13223" spans="1:9" x14ac:dyDescent="0.2">
      <c r="A13223" s="1" t="str">
        <f>"PI4KA"</f>
        <v>PI4KA</v>
      </c>
      <c r="B13223" t="s">
        <v>14</v>
      </c>
      <c r="C13223" t="s">
        <v>21</v>
      </c>
      <c r="D13223" t="s">
        <v>11</v>
      </c>
      <c r="E13223" t="s">
        <v>12</v>
      </c>
      <c r="F13223">
        <v>21213029</v>
      </c>
      <c r="G13223">
        <v>21213106</v>
      </c>
      <c r="H13223">
        <v>21213108</v>
      </c>
      <c r="I13223">
        <v>21213119</v>
      </c>
    </row>
    <row r="13224" spans="1:9" x14ac:dyDescent="0.2">
      <c r="A13224" s="1" t="str">
        <f>"PI4KB"</f>
        <v>PI4KB</v>
      </c>
      <c r="B13224" t="s">
        <v>14</v>
      </c>
      <c r="C13224" t="s">
        <v>19</v>
      </c>
      <c r="D13224" t="s">
        <v>11</v>
      </c>
      <c r="E13224" t="s">
        <v>12</v>
      </c>
      <c r="F13224">
        <v>151299842</v>
      </c>
      <c r="G13224">
        <v>151299921</v>
      </c>
      <c r="H13224">
        <v>151300126</v>
      </c>
      <c r="I13224">
        <v>151300152</v>
      </c>
    </row>
    <row r="13225" spans="1:9" x14ac:dyDescent="0.2">
      <c r="A13225" s="1" t="str">
        <f>"PIANP"</f>
        <v>PIANP</v>
      </c>
      <c r="B13225" t="s">
        <v>14</v>
      </c>
      <c r="C13225" t="s">
        <v>16</v>
      </c>
      <c r="D13225" t="s">
        <v>11</v>
      </c>
      <c r="E13225" t="s">
        <v>12</v>
      </c>
      <c r="F13225">
        <v>6809958</v>
      </c>
      <c r="G13225">
        <v>6809996</v>
      </c>
      <c r="H13225">
        <v>6809997</v>
      </c>
      <c r="I13225">
        <v>6810025</v>
      </c>
    </row>
    <row r="13226" spans="1:9" x14ac:dyDescent="0.2">
      <c r="A13226" s="1" t="str">
        <f>"PIAS1"</f>
        <v>PIAS1</v>
      </c>
      <c r="B13226" t="s">
        <v>14</v>
      </c>
      <c r="C13226" t="s">
        <v>25</v>
      </c>
      <c r="D13226" t="s">
        <v>17</v>
      </c>
      <c r="E13226" t="s">
        <v>12</v>
      </c>
      <c r="F13226">
        <v>68346646</v>
      </c>
      <c r="G13226">
        <v>68346665</v>
      </c>
      <c r="H13226">
        <v>68346707</v>
      </c>
      <c r="I13226">
        <v>68346718</v>
      </c>
    </row>
    <row r="13227" spans="1:9" x14ac:dyDescent="0.2">
      <c r="A13227" s="1" t="str">
        <f>"PIAS2"</f>
        <v>PIAS2</v>
      </c>
      <c r="B13227" t="s">
        <v>9</v>
      </c>
      <c r="C13227" t="s">
        <v>43</v>
      </c>
      <c r="D13227" t="s">
        <v>11</v>
      </c>
      <c r="E13227" t="s">
        <v>12</v>
      </c>
      <c r="F13227">
        <v>44497395</v>
      </c>
      <c r="G13227">
        <v>44497499</v>
      </c>
      <c r="H13227">
        <v>44497395</v>
      </c>
      <c r="I13227">
        <v>44497499</v>
      </c>
    </row>
    <row r="13228" spans="1:9" x14ac:dyDescent="0.2">
      <c r="A13228" s="1" t="str">
        <f>"PIAS2"</f>
        <v>PIAS2</v>
      </c>
      <c r="B13228" t="s">
        <v>13</v>
      </c>
      <c r="C13228" t="s">
        <v>43</v>
      </c>
      <c r="D13228" t="s">
        <v>11</v>
      </c>
      <c r="E13228" t="s">
        <v>12</v>
      </c>
      <c r="F13228">
        <v>44500101</v>
      </c>
      <c r="G13228">
        <v>44500115</v>
      </c>
      <c r="H13228">
        <v>44500101</v>
      </c>
      <c r="I13228">
        <v>44500115</v>
      </c>
    </row>
    <row r="13229" spans="1:9" x14ac:dyDescent="0.2">
      <c r="A13229" s="1" t="str">
        <f>"PIAS3"</f>
        <v>PIAS3</v>
      </c>
      <c r="B13229" t="s">
        <v>14</v>
      </c>
      <c r="C13229" t="s">
        <v>19</v>
      </c>
      <c r="D13229" t="s">
        <v>17</v>
      </c>
      <c r="E13229" t="s">
        <v>12</v>
      </c>
      <c r="F13229">
        <v>145575227</v>
      </c>
      <c r="G13229">
        <v>145575319</v>
      </c>
      <c r="H13229">
        <v>145576028</v>
      </c>
      <c r="I13229">
        <v>145576076</v>
      </c>
    </row>
    <row r="13230" spans="1:9" x14ac:dyDescent="0.2">
      <c r="A13230" s="1" t="str">
        <f>"PIAS4"</f>
        <v>PIAS4</v>
      </c>
      <c r="B13230" t="s">
        <v>14</v>
      </c>
      <c r="C13230" t="s">
        <v>10</v>
      </c>
      <c r="D13230" t="s">
        <v>17</v>
      </c>
      <c r="E13230" t="s">
        <v>12</v>
      </c>
      <c r="F13230">
        <v>4007713</v>
      </c>
      <c r="G13230">
        <v>4007759</v>
      </c>
      <c r="H13230">
        <v>4007687</v>
      </c>
      <c r="I13230">
        <v>4007699</v>
      </c>
    </row>
    <row r="13231" spans="1:9" x14ac:dyDescent="0.2">
      <c r="A13231" s="1" t="str">
        <f>"PIBF1"</f>
        <v>PIBF1</v>
      </c>
      <c r="B13231" t="s">
        <v>14</v>
      </c>
      <c r="C13231" t="s">
        <v>39</v>
      </c>
      <c r="D13231" t="s">
        <v>17</v>
      </c>
      <c r="E13231" t="s">
        <v>12</v>
      </c>
      <c r="F13231">
        <v>73356254</v>
      </c>
      <c r="G13231">
        <v>73356283</v>
      </c>
      <c r="H13231">
        <v>73356286</v>
      </c>
      <c r="I13231">
        <v>73356317</v>
      </c>
    </row>
    <row r="13232" spans="1:9" x14ac:dyDescent="0.2">
      <c r="A13232" s="1" t="str">
        <f>"PICALM"</f>
        <v>PICALM</v>
      </c>
      <c r="B13232" t="s">
        <v>14</v>
      </c>
      <c r="C13232" t="s">
        <v>27</v>
      </c>
      <c r="D13232" t="s">
        <v>11</v>
      </c>
      <c r="E13232" t="s">
        <v>12</v>
      </c>
      <c r="F13232">
        <v>85780086</v>
      </c>
      <c r="G13232">
        <v>85780161</v>
      </c>
      <c r="H13232">
        <v>85780015</v>
      </c>
      <c r="I13232">
        <v>85780042</v>
      </c>
    </row>
    <row r="13233" spans="1:9" x14ac:dyDescent="0.2">
      <c r="A13233" s="1" t="str">
        <f>"PICK1"</f>
        <v>PICK1</v>
      </c>
      <c r="B13233" t="s">
        <v>14</v>
      </c>
      <c r="C13233" t="s">
        <v>21</v>
      </c>
      <c r="D13233" t="s">
        <v>17</v>
      </c>
      <c r="E13233" t="s">
        <v>12</v>
      </c>
      <c r="F13233">
        <v>38453378</v>
      </c>
      <c r="G13233">
        <v>38453436</v>
      </c>
      <c r="H13233">
        <v>38453243</v>
      </c>
      <c r="I13233">
        <v>38453301</v>
      </c>
    </row>
    <row r="13234" spans="1:9" x14ac:dyDescent="0.2">
      <c r="A13234" s="1" t="str">
        <f>"PID1"</f>
        <v>PID1</v>
      </c>
      <c r="B13234" t="s">
        <v>14</v>
      </c>
      <c r="C13234" t="s">
        <v>26</v>
      </c>
      <c r="D13234" t="s">
        <v>11</v>
      </c>
      <c r="E13234" t="s">
        <v>12</v>
      </c>
      <c r="F13234">
        <v>230135937</v>
      </c>
      <c r="G13234">
        <v>230136016</v>
      </c>
      <c r="H13234">
        <v>230136086</v>
      </c>
      <c r="I13234">
        <v>230136104</v>
      </c>
    </row>
    <row r="13235" spans="1:9" x14ac:dyDescent="0.2">
      <c r="A13235" s="1" t="str">
        <f>"PIDD"</f>
        <v>PIDD</v>
      </c>
      <c r="B13235" t="s">
        <v>9</v>
      </c>
      <c r="C13235" t="s">
        <v>27</v>
      </c>
      <c r="D13235" t="s">
        <v>11</v>
      </c>
      <c r="E13235" t="s">
        <v>12</v>
      </c>
      <c r="F13235">
        <v>809509</v>
      </c>
      <c r="G13235">
        <v>809554</v>
      </c>
      <c r="H13235">
        <v>809509</v>
      </c>
      <c r="I13235">
        <v>809554</v>
      </c>
    </row>
    <row r="13236" spans="1:9" x14ac:dyDescent="0.2">
      <c r="A13236" s="1" t="str">
        <f>"PIDD"</f>
        <v>PIDD</v>
      </c>
      <c r="B13236" t="s">
        <v>13</v>
      </c>
      <c r="C13236" t="s">
        <v>27</v>
      </c>
      <c r="D13236" t="s">
        <v>11</v>
      </c>
      <c r="E13236" t="s">
        <v>12</v>
      </c>
      <c r="F13236">
        <v>805224</v>
      </c>
      <c r="G13236">
        <v>805259</v>
      </c>
      <c r="H13236">
        <v>805224</v>
      </c>
      <c r="I13236">
        <v>805259</v>
      </c>
    </row>
    <row r="13237" spans="1:9" x14ac:dyDescent="0.2">
      <c r="A13237" s="1" t="str">
        <f>"PIEZO1"</f>
        <v>PIEZO1</v>
      </c>
      <c r="B13237" t="s">
        <v>14</v>
      </c>
      <c r="C13237" t="s">
        <v>31</v>
      </c>
      <c r="D13237" t="s">
        <v>11</v>
      </c>
      <c r="E13237" t="s">
        <v>12</v>
      </c>
      <c r="F13237">
        <v>88851618</v>
      </c>
      <c r="G13237">
        <v>88851635</v>
      </c>
      <c r="H13237">
        <v>88851584</v>
      </c>
      <c r="I13237">
        <v>88851603</v>
      </c>
    </row>
    <row r="13238" spans="1:9" x14ac:dyDescent="0.2">
      <c r="A13238" s="1" t="str">
        <f>"PIEZO2"</f>
        <v>PIEZO2</v>
      </c>
      <c r="B13238" t="s">
        <v>1331</v>
      </c>
      <c r="C13238" t="s">
        <v>43</v>
      </c>
      <c r="D13238" t="s">
        <v>11</v>
      </c>
      <c r="E13238" t="s">
        <v>35</v>
      </c>
      <c r="F13238">
        <v>11148671</v>
      </c>
      <c r="G13238">
        <v>11148672</v>
      </c>
      <c r="H13238">
        <v>11148651</v>
      </c>
      <c r="I13238">
        <v>11148658</v>
      </c>
    </row>
    <row r="13239" spans="1:9" x14ac:dyDescent="0.2">
      <c r="A13239" s="1" t="str">
        <f>"PIF1"</f>
        <v>PIF1</v>
      </c>
      <c r="B13239" t="s">
        <v>9</v>
      </c>
      <c r="C13239" t="s">
        <v>25</v>
      </c>
      <c r="D13239" t="s">
        <v>11</v>
      </c>
      <c r="E13239" t="s">
        <v>12</v>
      </c>
      <c r="F13239">
        <v>65117807</v>
      </c>
      <c r="G13239">
        <v>65117857</v>
      </c>
      <c r="H13239">
        <v>65117807</v>
      </c>
      <c r="I13239">
        <v>65117857</v>
      </c>
    </row>
    <row r="13240" spans="1:9" x14ac:dyDescent="0.2">
      <c r="A13240" s="1" t="str">
        <f>"PIF1"</f>
        <v>PIF1</v>
      </c>
      <c r="B13240" t="s">
        <v>13</v>
      </c>
      <c r="C13240" t="s">
        <v>25</v>
      </c>
      <c r="D13240" t="s">
        <v>11</v>
      </c>
      <c r="E13240" t="s">
        <v>12</v>
      </c>
      <c r="F13240">
        <v>65116165</v>
      </c>
      <c r="G13240">
        <v>65116215</v>
      </c>
      <c r="H13240">
        <v>65116165</v>
      </c>
      <c r="I13240">
        <v>65116215</v>
      </c>
    </row>
    <row r="13241" spans="1:9" x14ac:dyDescent="0.2">
      <c r="A13241" s="1" t="str">
        <f>"PIFO"</f>
        <v>PIFO</v>
      </c>
      <c r="B13241" t="s">
        <v>14</v>
      </c>
      <c r="C13241" t="s">
        <v>19</v>
      </c>
      <c r="D13241" t="s">
        <v>17</v>
      </c>
      <c r="E13241" t="s">
        <v>12</v>
      </c>
      <c r="F13241">
        <v>111889212</v>
      </c>
      <c r="G13241">
        <v>111889269</v>
      </c>
      <c r="H13241">
        <v>111888890</v>
      </c>
      <c r="I13241">
        <v>111888915</v>
      </c>
    </row>
    <row r="13242" spans="1:9" x14ac:dyDescent="0.2">
      <c r="A13242" s="1" t="str">
        <f>"PIGA"</f>
        <v>PIGA</v>
      </c>
      <c r="B13242" t="s">
        <v>14</v>
      </c>
      <c r="C13242" t="s">
        <v>37</v>
      </c>
      <c r="D13242" t="s">
        <v>11</v>
      </c>
      <c r="E13242" t="s">
        <v>12</v>
      </c>
      <c r="F13242">
        <v>15353629</v>
      </c>
      <c r="G13242">
        <v>15353684</v>
      </c>
      <c r="H13242">
        <v>15353748</v>
      </c>
      <c r="I13242">
        <v>15353786</v>
      </c>
    </row>
    <row r="13243" spans="1:9" x14ac:dyDescent="0.2">
      <c r="A13243" s="1" t="str">
        <f>"PIGB"</f>
        <v>PIGB</v>
      </c>
      <c r="B13243" t="s">
        <v>14</v>
      </c>
      <c r="C13243" t="s">
        <v>25</v>
      </c>
      <c r="D13243" t="s">
        <v>17</v>
      </c>
      <c r="E13243" t="s">
        <v>12</v>
      </c>
      <c r="F13243">
        <v>55611401</v>
      </c>
      <c r="G13243">
        <v>55611450</v>
      </c>
      <c r="H13243">
        <v>55611128</v>
      </c>
      <c r="I13243">
        <v>55611179</v>
      </c>
    </row>
    <row r="13244" spans="1:9" x14ac:dyDescent="0.2">
      <c r="A13244" s="1" t="str">
        <f>"PIGC"</f>
        <v>PIGC</v>
      </c>
      <c r="B13244" t="s">
        <v>14</v>
      </c>
      <c r="C13244" t="s">
        <v>19</v>
      </c>
      <c r="D13244" t="s">
        <v>11</v>
      </c>
      <c r="E13244" t="s">
        <v>12</v>
      </c>
      <c r="F13244">
        <v>172413195</v>
      </c>
      <c r="G13244">
        <v>172413225</v>
      </c>
      <c r="H13244">
        <v>172413226</v>
      </c>
      <c r="I13244">
        <v>172413248</v>
      </c>
    </row>
    <row r="13245" spans="1:9" x14ac:dyDescent="0.2">
      <c r="A13245" s="1" t="str">
        <f>"PIGF"</f>
        <v>PIGF</v>
      </c>
      <c r="B13245" t="s">
        <v>14</v>
      </c>
      <c r="C13245" t="s">
        <v>26</v>
      </c>
      <c r="D13245" t="s">
        <v>11</v>
      </c>
      <c r="E13245" t="s">
        <v>12</v>
      </c>
      <c r="F13245">
        <v>46844159</v>
      </c>
      <c r="G13245">
        <v>46844209</v>
      </c>
      <c r="H13245">
        <v>46844141</v>
      </c>
      <c r="I13245">
        <v>46844154</v>
      </c>
    </row>
    <row r="13246" spans="1:9" x14ac:dyDescent="0.2">
      <c r="A13246" s="1" t="str">
        <f>"PIGG"</f>
        <v>PIGG</v>
      </c>
      <c r="B13246" t="s">
        <v>14</v>
      </c>
      <c r="C13246" t="s">
        <v>23</v>
      </c>
      <c r="D13246" t="s">
        <v>17</v>
      </c>
      <c r="E13246" t="s">
        <v>12</v>
      </c>
      <c r="F13246">
        <v>492985</v>
      </c>
      <c r="G13246">
        <v>493078</v>
      </c>
      <c r="H13246">
        <v>493080</v>
      </c>
      <c r="I13246">
        <v>493117</v>
      </c>
    </row>
    <row r="13247" spans="1:9" x14ac:dyDescent="0.2">
      <c r="A13247" s="1" t="str">
        <f>"PIGH"</f>
        <v>PIGH</v>
      </c>
      <c r="B13247" t="s">
        <v>14</v>
      </c>
      <c r="C13247" t="s">
        <v>41</v>
      </c>
      <c r="D13247" t="s">
        <v>11</v>
      </c>
      <c r="E13247" t="s">
        <v>12</v>
      </c>
      <c r="F13247">
        <v>68066975</v>
      </c>
      <c r="G13247">
        <v>68067027</v>
      </c>
      <c r="H13247">
        <v>68066952</v>
      </c>
      <c r="I13247">
        <v>68066972</v>
      </c>
    </row>
    <row r="13248" spans="1:9" x14ac:dyDescent="0.2">
      <c r="A13248" s="1" t="str">
        <f>"PIGK"</f>
        <v>PIGK</v>
      </c>
      <c r="B13248" t="s">
        <v>14</v>
      </c>
      <c r="C13248" t="s">
        <v>19</v>
      </c>
      <c r="D13248" t="s">
        <v>11</v>
      </c>
      <c r="E13248" t="s">
        <v>12</v>
      </c>
      <c r="F13248">
        <v>77685084</v>
      </c>
      <c r="G13248">
        <v>77685122</v>
      </c>
      <c r="H13248">
        <v>77685084</v>
      </c>
      <c r="I13248">
        <v>77685122</v>
      </c>
    </row>
    <row r="13249" spans="1:9" x14ac:dyDescent="0.2">
      <c r="A13249" s="1" t="str">
        <f>"PIGL"</f>
        <v>PIGL</v>
      </c>
      <c r="B13249" t="s">
        <v>14</v>
      </c>
      <c r="C13249" t="s">
        <v>28</v>
      </c>
      <c r="D13249" t="s">
        <v>17</v>
      </c>
      <c r="E13249" t="s">
        <v>12</v>
      </c>
      <c r="F13249">
        <v>16120512</v>
      </c>
      <c r="G13249">
        <v>16120546</v>
      </c>
      <c r="H13249">
        <v>16120614</v>
      </c>
      <c r="I13249">
        <v>16120618</v>
      </c>
    </row>
    <row r="13250" spans="1:9" x14ac:dyDescent="0.2">
      <c r="A13250" s="1" t="str">
        <f>"PIGM"</f>
        <v>PIGM</v>
      </c>
      <c r="B13250" t="s">
        <v>14</v>
      </c>
      <c r="C13250" t="s">
        <v>19</v>
      </c>
      <c r="D13250" t="s">
        <v>11</v>
      </c>
      <c r="E13250" t="s">
        <v>12</v>
      </c>
      <c r="F13250">
        <v>160001737</v>
      </c>
      <c r="G13250">
        <v>160001790</v>
      </c>
      <c r="H13250">
        <v>160001625</v>
      </c>
      <c r="I13250">
        <v>160001688</v>
      </c>
    </row>
    <row r="13251" spans="1:9" x14ac:dyDescent="0.2">
      <c r="A13251" s="1" t="str">
        <f>"PIGN"</f>
        <v>PIGN</v>
      </c>
      <c r="B13251" t="s">
        <v>14</v>
      </c>
      <c r="C13251" t="s">
        <v>43</v>
      </c>
      <c r="D13251" t="s">
        <v>11</v>
      </c>
      <c r="E13251" t="s">
        <v>12</v>
      </c>
      <c r="F13251">
        <v>59854203</v>
      </c>
      <c r="G13251">
        <v>59854303</v>
      </c>
      <c r="H13251">
        <v>59854170</v>
      </c>
      <c r="I13251">
        <v>59854201</v>
      </c>
    </row>
    <row r="13252" spans="1:9" x14ac:dyDescent="0.2">
      <c r="A13252" s="1" t="str">
        <f>"PIGO"</f>
        <v>PIGO</v>
      </c>
      <c r="B13252" t="s">
        <v>14</v>
      </c>
      <c r="C13252" t="s">
        <v>24</v>
      </c>
      <c r="D13252" t="s">
        <v>11</v>
      </c>
      <c r="E13252" t="s">
        <v>12</v>
      </c>
      <c r="F13252">
        <v>35096554</v>
      </c>
      <c r="G13252">
        <v>35096637</v>
      </c>
      <c r="H13252">
        <v>35096189</v>
      </c>
      <c r="I13252">
        <v>35096207</v>
      </c>
    </row>
    <row r="13253" spans="1:9" x14ac:dyDescent="0.2">
      <c r="A13253" s="1" t="str">
        <f>"PIGP"</f>
        <v>PIGP</v>
      </c>
      <c r="B13253" t="s">
        <v>14</v>
      </c>
      <c r="C13253" t="s">
        <v>42</v>
      </c>
      <c r="D13253" t="s">
        <v>11</v>
      </c>
      <c r="E13253" t="s">
        <v>12</v>
      </c>
      <c r="F13253">
        <v>38445319</v>
      </c>
      <c r="G13253">
        <v>38445420</v>
      </c>
      <c r="H13253">
        <v>38445473</v>
      </c>
      <c r="I13253">
        <v>38445491</v>
      </c>
    </row>
    <row r="13254" spans="1:9" x14ac:dyDescent="0.2">
      <c r="A13254" s="1" t="str">
        <f>"PIGQ"</f>
        <v>PIGQ</v>
      </c>
      <c r="B13254" t="s">
        <v>14</v>
      </c>
      <c r="C13254" t="s">
        <v>31</v>
      </c>
      <c r="D13254" t="s">
        <v>17</v>
      </c>
      <c r="E13254" t="s">
        <v>12</v>
      </c>
      <c r="F13254">
        <v>619931</v>
      </c>
      <c r="G13254">
        <v>620004</v>
      </c>
      <c r="H13254">
        <v>619931</v>
      </c>
      <c r="I13254">
        <v>620004</v>
      </c>
    </row>
    <row r="13255" spans="1:9" x14ac:dyDescent="0.2">
      <c r="A13255" s="1" t="str">
        <f>"PIGR"</f>
        <v>PIGR</v>
      </c>
      <c r="B13255" t="s">
        <v>14</v>
      </c>
      <c r="C13255" t="s">
        <v>19</v>
      </c>
      <c r="D13255" t="s">
        <v>11</v>
      </c>
      <c r="E13255" t="s">
        <v>12</v>
      </c>
      <c r="F13255">
        <v>207119738</v>
      </c>
      <c r="G13255">
        <v>207119839</v>
      </c>
      <c r="H13255">
        <v>207119708</v>
      </c>
      <c r="I13255">
        <v>207119720</v>
      </c>
    </row>
    <row r="13256" spans="1:9" x14ac:dyDescent="0.2">
      <c r="A13256" s="1" t="str">
        <f>"PIGS"</f>
        <v>PIGS</v>
      </c>
      <c r="B13256" t="s">
        <v>9</v>
      </c>
      <c r="C13256" t="s">
        <v>28</v>
      </c>
      <c r="D13256" t="s">
        <v>11</v>
      </c>
      <c r="E13256" t="s">
        <v>12</v>
      </c>
      <c r="F13256">
        <v>26898516</v>
      </c>
      <c r="G13256">
        <v>26898560</v>
      </c>
      <c r="H13256">
        <v>26898516</v>
      </c>
      <c r="I13256">
        <v>26898560</v>
      </c>
    </row>
    <row r="13257" spans="1:9" x14ac:dyDescent="0.2">
      <c r="A13257" s="1" t="str">
        <f>"PIGS"</f>
        <v>PIGS</v>
      </c>
      <c r="B13257" t="s">
        <v>13</v>
      </c>
      <c r="C13257" t="s">
        <v>28</v>
      </c>
      <c r="D13257" t="s">
        <v>11</v>
      </c>
      <c r="E13257" t="s">
        <v>12</v>
      </c>
      <c r="F13257">
        <v>26885568</v>
      </c>
      <c r="G13257">
        <v>26885585</v>
      </c>
      <c r="H13257">
        <v>26885568</v>
      </c>
      <c r="I13257">
        <v>26885585</v>
      </c>
    </row>
    <row r="13258" spans="1:9" x14ac:dyDescent="0.2">
      <c r="A13258" s="1" t="str">
        <f>"PIGT"</f>
        <v>PIGT</v>
      </c>
      <c r="B13258" t="s">
        <v>14</v>
      </c>
      <c r="C13258" t="s">
        <v>29</v>
      </c>
      <c r="D13258" t="s">
        <v>17</v>
      </c>
      <c r="E13258" t="s">
        <v>12</v>
      </c>
      <c r="F13258">
        <v>44044774</v>
      </c>
      <c r="G13258">
        <v>44044790</v>
      </c>
      <c r="H13258">
        <v>44044774</v>
      </c>
      <c r="I13258">
        <v>44044790</v>
      </c>
    </row>
    <row r="13259" spans="1:9" x14ac:dyDescent="0.2">
      <c r="A13259" s="1" t="str">
        <f>"PIGU"</f>
        <v>PIGU</v>
      </c>
      <c r="B13259" t="s">
        <v>14</v>
      </c>
      <c r="C13259" t="s">
        <v>29</v>
      </c>
      <c r="D13259" t="s">
        <v>11</v>
      </c>
      <c r="E13259" t="s">
        <v>12</v>
      </c>
      <c r="F13259">
        <v>33264886</v>
      </c>
      <c r="G13259">
        <v>33264924</v>
      </c>
      <c r="H13259">
        <v>33264886</v>
      </c>
      <c r="I13259">
        <v>33264924</v>
      </c>
    </row>
    <row r="13260" spans="1:9" x14ac:dyDescent="0.2">
      <c r="A13260" s="1" t="str">
        <f>"PIGV"</f>
        <v>PIGV</v>
      </c>
      <c r="B13260" t="s">
        <v>14</v>
      </c>
      <c r="C13260" t="s">
        <v>19</v>
      </c>
      <c r="D13260" t="s">
        <v>17</v>
      </c>
      <c r="E13260" t="s">
        <v>12</v>
      </c>
      <c r="F13260">
        <v>27114656</v>
      </c>
      <c r="G13260">
        <v>27114712</v>
      </c>
      <c r="H13260">
        <v>27114418</v>
      </c>
      <c r="I13260">
        <v>27114518</v>
      </c>
    </row>
    <row r="13261" spans="1:9" x14ac:dyDescent="0.2">
      <c r="A13261" s="1" t="str">
        <f>"PIGW"</f>
        <v>PIGW</v>
      </c>
      <c r="B13261" t="s">
        <v>14</v>
      </c>
      <c r="C13261" t="s">
        <v>28</v>
      </c>
      <c r="D13261" t="s">
        <v>17</v>
      </c>
      <c r="E13261" t="s">
        <v>12</v>
      </c>
      <c r="F13261">
        <v>34890807</v>
      </c>
      <c r="G13261">
        <v>34890864</v>
      </c>
      <c r="H13261">
        <v>34891336</v>
      </c>
      <c r="I13261">
        <v>34891412</v>
      </c>
    </row>
    <row r="13262" spans="1:9" x14ac:dyDescent="0.2">
      <c r="A13262" s="1" t="str">
        <f>"PIGX"</f>
        <v>PIGX</v>
      </c>
      <c r="B13262" t="s">
        <v>14</v>
      </c>
      <c r="C13262" t="s">
        <v>22</v>
      </c>
      <c r="D13262" t="s">
        <v>17</v>
      </c>
      <c r="E13262" t="s">
        <v>12</v>
      </c>
      <c r="F13262">
        <v>196439170</v>
      </c>
      <c r="G13262">
        <v>196439273</v>
      </c>
      <c r="H13262">
        <v>196439170</v>
      </c>
      <c r="I13262">
        <v>196439273</v>
      </c>
    </row>
    <row r="13263" spans="1:9" x14ac:dyDescent="0.2">
      <c r="A13263" s="1" t="str">
        <f>"PIGY"</f>
        <v>PIGY</v>
      </c>
      <c r="B13263" t="s">
        <v>14</v>
      </c>
      <c r="C13263" t="s">
        <v>23</v>
      </c>
      <c r="D13263" t="s">
        <v>11</v>
      </c>
      <c r="E13263" t="s">
        <v>12</v>
      </c>
      <c r="F13263">
        <v>89444883</v>
      </c>
      <c r="G13263">
        <v>89444945</v>
      </c>
      <c r="H13263">
        <v>89444845</v>
      </c>
      <c r="I13263">
        <v>89444874</v>
      </c>
    </row>
    <row r="13264" spans="1:9" x14ac:dyDescent="0.2">
      <c r="A13264" s="1" t="str">
        <f>"PIGZ"</f>
        <v>PIGZ</v>
      </c>
      <c r="B13264" t="s">
        <v>14</v>
      </c>
      <c r="C13264" t="s">
        <v>22</v>
      </c>
      <c r="D13264" t="s">
        <v>11</v>
      </c>
      <c r="E13264" t="s">
        <v>12</v>
      </c>
      <c r="F13264">
        <v>196695692</v>
      </c>
      <c r="G13264">
        <v>196695724</v>
      </c>
      <c r="H13264">
        <v>196695733</v>
      </c>
      <c r="I13264">
        <v>196695748</v>
      </c>
    </row>
    <row r="13265" spans="1:9" x14ac:dyDescent="0.2">
      <c r="A13265" s="1" t="str">
        <f>"PIH1D1"</f>
        <v>PIH1D1</v>
      </c>
      <c r="B13265" t="s">
        <v>14</v>
      </c>
      <c r="C13265" t="s">
        <v>10</v>
      </c>
      <c r="D13265" t="s">
        <v>11</v>
      </c>
      <c r="E13265" t="s">
        <v>12</v>
      </c>
      <c r="F13265">
        <v>49955050</v>
      </c>
      <c r="G13265">
        <v>49955095</v>
      </c>
      <c r="H13265">
        <v>49955018</v>
      </c>
      <c r="I13265">
        <v>49955046</v>
      </c>
    </row>
    <row r="13266" spans="1:9" x14ac:dyDescent="0.2">
      <c r="A13266" s="1" t="str">
        <f>"PIH1D2"</f>
        <v>PIH1D2</v>
      </c>
      <c r="B13266" t="s">
        <v>14</v>
      </c>
      <c r="C13266" t="s">
        <v>27</v>
      </c>
      <c r="D13266" t="s">
        <v>11</v>
      </c>
      <c r="E13266" t="s">
        <v>12</v>
      </c>
      <c r="F13266">
        <v>111944716</v>
      </c>
      <c r="G13266">
        <v>111944774</v>
      </c>
      <c r="H13266">
        <v>111944915</v>
      </c>
      <c r="I13266">
        <v>111944935</v>
      </c>
    </row>
    <row r="13267" spans="1:9" x14ac:dyDescent="0.2">
      <c r="A13267" s="1" t="str">
        <f>"PIH1D3"</f>
        <v>PIH1D3</v>
      </c>
      <c r="B13267" t="s">
        <v>14</v>
      </c>
      <c r="C13267" t="s">
        <v>37</v>
      </c>
      <c r="D13267" t="s">
        <v>17</v>
      </c>
      <c r="E13267" t="s">
        <v>12</v>
      </c>
      <c r="F13267">
        <v>106449835</v>
      </c>
      <c r="G13267">
        <v>106449852</v>
      </c>
      <c r="H13267">
        <v>106449869</v>
      </c>
      <c r="I13267">
        <v>106449880</v>
      </c>
    </row>
    <row r="13268" spans="1:9" x14ac:dyDescent="0.2">
      <c r="A13268" s="1" t="str">
        <f>"PIK3AP1"</f>
        <v>PIK3AP1</v>
      </c>
      <c r="B13268" t="s">
        <v>9</v>
      </c>
      <c r="C13268" t="s">
        <v>15</v>
      </c>
      <c r="D13268" t="s">
        <v>11</v>
      </c>
      <c r="E13268" t="s">
        <v>12</v>
      </c>
      <c r="F13268">
        <v>98480243</v>
      </c>
      <c r="G13268">
        <v>98480297</v>
      </c>
      <c r="H13268">
        <v>98480243</v>
      </c>
      <c r="I13268">
        <v>98480297</v>
      </c>
    </row>
    <row r="13269" spans="1:9" x14ac:dyDescent="0.2">
      <c r="A13269" s="1" t="str">
        <f>"PIK3AP1"</f>
        <v>PIK3AP1</v>
      </c>
      <c r="B13269" t="s">
        <v>13</v>
      </c>
      <c r="C13269" t="s">
        <v>15</v>
      </c>
      <c r="D13269" t="s">
        <v>11</v>
      </c>
      <c r="E13269" t="s">
        <v>12</v>
      </c>
      <c r="F13269">
        <v>98460583</v>
      </c>
      <c r="G13269">
        <v>98460643</v>
      </c>
      <c r="H13269">
        <v>98460583</v>
      </c>
      <c r="I13269">
        <v>98460643</v>
      </c>
    </row>
    <row r="13270" spans="1:9" x14ac:dyDescent="0.2">
      <c r="A13270" s="1" t="str">
        <f>"PIK3C2A"</f>
        <v>PIK3C2A</v>
      </c>
      <c r="B13270" t="s">
        <v>1332</v>
      </c>
      <c r="C13270" t="s">
        <v>27</v>
      </c>
      <c r="D13270" t="s">
        <v>11</v>
      </c>
      <c r="E13270" t="s">
        <v>75</v>
      </c>
      <c r="F13270">
        <v>17191351</v>
      </c>
      <c r="G13270">
        <v>17191354</v>
      </c>
      <c r="H13270">
        <v>17191299</v>
      </c>
      <c r="I13270">
        <v>17191313</v>
      </c>
    </row>
    <row r="13271" spans="1:9" x14ac:dyDescent="0.2">
      <c r="A13271" s="1" t="str">
        <f>"PIK3C2B"</f>
        <v>PIK3C2B</v>
      </c>
      <c r="B13271" t="s">
        <v>14</v>
      </c>
      <c r="C13271" t="s">
        <v>19</v>
      </c>
      <c r="D13271" t="s">
        <v>11</v>
      </c>
      <c r="E13271" t="s">
        <v>12</v>
      </c>
      <c r="F13271">
        <v>204463918</v>
      </c>
      <c r="G13271">
        <v>204463963</v>
      </c>
      <c r="H13271">
        <v>204463880</v>
      </c>
      <c r="I13271">
        <v>204463915</v>
      </c>
    </row>
    <row r="13272" spans="1:9" x14ac:dyDescent="0.2">
      <c r="A13272" s="1" t="str">
        <f>"PIK3C2G"</f>
        <v>PIK3C2G</v>
      </c>
      <c r="B13272" t="s">
        <v>14</v>
      </c>
      <c r="C13272" t="s">
        <v>16</v>
      </c>
      <c r="D13272" t="s">
        <v>17</v>
      </c>
      <c r="E13272" t="s">
        <v>12</v>
      </c>
      <c r="F13272">
        <v>18414446</v>
      </c>
      <c r="G13272">
        <v>18414457</v>
      </c>
      <c r="H13272">
        <v>18414412</v>
      </c>
      <c r="I13272">
        <v>18414427</v>
      </c>
    </row>
    <row r="13273" spans="1:9" x14ac:dyDescent="0.2">
      <c r="A13273" s="1" t="str">
        <f>"PIK3C3"</f>
        <v>PIK3C3</v>
      </c>
      <c r="B13273" t="s">
        <v>14</v>
      </c>
      <c r="C13273" t="s">
        <v>43</v>
      </c>
      <c r="D13273" t="s">
        <v>17</v>
      </c>
      <c r="E13273" t="s">
        <v>12</v>
      </c>
      <c r="F13273">
        <v>39535152</v>
      </c>
      <c r="G13273">
        <v>39535232</v>
      </c>
      <c r="H13273">
        <v>39535239</v>
      </c>
      <c r="I13273">
        <v>39535250</v>
      </c>
    </row>
    <row r="13274" spans="1:9" x14ac:dyDescent="0.2">
      <c r="A13274" s="1" t="str">
        <f>"PIK3CA"</f>
        <v>PIK3CA</v>
      </c>
      <c r="B13274" t="s">
        <v>14</v>
      </c>
      <c r="C13274" t="s">
        <v>22</v>
      </c>
      <c r="D13274" t="s">
        <v>17</v>
      </c>
      <c r="E13274" t="s">
        <v>12</v>
      </c>
      <c r="F13274">
        <v>178866130</v>
      </c>
      <c r="G13274">
        <v>178866177</v>
      </c>
      <c r="H13274">
        <v>178865887</v>
      </c>
      <c r="I13274">
        <v>178865938</v>
      </c>
    </row>
    <row r="13275" spans="1:9" x14ac:dyDescent="0.2">
      <c r="A13275" s="1" t="str">
        <f>"PIK3CB"</f>
        <v>PIK3CB</v>
      </c>
      <c r="B13275" t="s">
        <v>14</v>
      </c>
      <c r="C13275" t="s">
        <v>22</v>
      </c>
      <c r="D13275" t="s">
        <v>11</v>
      </c>
      <c r="E13275" t="s">
        <v>12</v>
      </c>
      <c r="F13275">
        <v>138553702</v>
      </c>
      <c r="G13275">
        <v>138553777</v>
      </c>
      <c r="H13275">
        <v>138553779</v>
      </c>
      <c r="I13275">
        <v>138553811</v>
      </c>
    </row>
    <row r="13276" spans="1:9" x14ac:dyDescent="0.2">
      <c r="A13276" s="1" t="str">
        <f>"PIK3CD"</f>
        <v>PIK3CD</v>
      </c>
      <c r="B13276" t="s">
        <v>14</v>
      </c>
      <c r="C13276" t="s">
        <v>19</v>
      </c>
      <c r="D13276" t="s">
        <v>17</v>
      </c>
      <c r="E13276" t="s">
        <v>12</v>
      </c>
      <c r="F13276">
        <v>9711781</v>
      </c>
      <c r="G13276">
        <v>9711813</v>
      </c>
      <c r="H13276">
        <v>9711821</v>
      </c>
      <c r="I13276">
        <v>9711832</v>
      </c>
    </row>
    <row r="13277" spans="1:9" x14ac:dyDescent="0.2">
      <c r="A13277" s="1" t="str">
        <f>"PIK3CG"</f>
        <v>PIK3CG</v>
      </c>
      <c r="B13277" t="s">
        <v>14</v>
      </c>
      <c r="C13277" t="s">
        <v>33</v>
      </c>
      <c r="D13277" t="s">
        <v>17</v>
      </c>
      <c r="E13277" t="s">
        <v>12</v>
      </c>
      <c r="F13277">
        <v>106505696</v>
      </c>
      <c r="G13277">
        <v>106505798</v>
      </c>
      <c r="H13277">
        <v>106505874</v>
      </c>
      <c r="I13277">
        <v>106505906</v>
      </c>
    </row>
    <row r="13278" spans="1:9" x14ac:dyDescent="0.2">
      <c r="A13278" s="1" t="str">
        <f>"PIK3IP1"</f>
        <v>PIK3IP1</v>
      </c>
      <c r="B13278" t="s">
        <v>9</v>
      </c>
      <c r="C13278" t="s">
        <v>21</v>
      </c>
      <c r="D13278" t="s">
        <v>11</v>
      </c>
      <c r="E13278" t="s">
        <v>12</v>
      </c>
      <c r="F13278">
        <v>31688431</v>
      </c>
      <c r="G13278">
        <v>31688480</v>
      </c>
      <c r="H13278">
        <v>31688431</v>
      </c>
      <c r="I13278">
        <v>31688480</v>
      </c>
    </row>
    <row r="13279" spans="1:9" x14ac:dyDescent="0.2">
      <c r="A13279" s="1" t="str">
        <f>"PIK3IP1"</f>
        <v>PIK3IP1</v>
      </c>
      <c r="B13279" t="s">
        <v>13</v>
      </c>
      <c r="C13279" t="s">
        <v>21</v>
      </c>
      <c r="D13279" t="s">
        <v>11</v>
      </c>
      <c r="E13279" t="s">
        <v>12</v>
      </c>
      <c r="F13279">
        <v>31686699</v>
      </c>
      <c r="G13279">
        <v>31686722</v>
      </c>
      <c r="H13279">
        <v>31686699</v>
      </c>
      <c r="I13279">
        <v>31686722</v>
      </c>
    </row>
    <row r="13280" spans="1:9" x14ac:dyDescent="0.2">
      <c r="A13280" s="1" t="str">
        <f>"PIK3R1"</f>
        <v>PIK3R1</v>
      </c>
      <c r="B13280" t="s">
        <v>14</v>
      </c>
      <c r="C13280" t="s">
        <v>46</v>
      </c>
      <c r="D13280" t="s">
        <v>17</v>
      </c>
      <c r="E13280" t="s">
        <v>12</v>
      </c>
      <c r="F13280">
        <v>67511524</v>
      </c>
      <c r="G13280">
        <v>67511628</v>
      </c>
      <c r="H13280">
        <v>67511524</v>
      </c>
      <c r="I13280">
        <v>67511628</v>
      </c>
    </row>
    <row r="13281" spans="1:9" x14ac:dyDescent="0.2">
      <c r="A13281" s="1" t="str">
        <f>"PIK3R2"</f>
        <v>PIK3R2</v>
      </c>
      <c r="B13281" t="s">
        <v>9</v>
      </c>
      <c r="C13281" t="s">
        <v>10</v>
      </c>
      <c r="D13281" t="s">
        <v>17</v>
      </c>
      <c r="E13281" t="s">
        <v>12</v>
      </c>
      <c r="F13281">
        <v>18263965</v>
      </c>
      <c r="G13281">
        <v>18264072</v>
      </c>
      <c r="H13281">
        <v>18263965</v>
      </c>
      <c r="I13281">
        <v>18264072</v>
      </c>
    </row>
    <row r="13282" spans="1:9" x14ac:dyDescent="0.2">
      <c r="A13282" s="1" t="str">
        <f>"PIK3R2"</f>
        <v>PIK3R2</v>
      </c>
      <c r="B13282" t="s">
        <v>13</v>
      </c>
      <c r="C13282" t="s">
        <v>10</v>
      </c>
      <c r="D13282" t="s">
        <v>17</v>
      </c>
      <c r="E13282" t="s">
        <v>12</v>
      </c>
      <c r="F13282">
        <v>18266371</v>
      </c>
      <c r="G13282">
        <v>18266392</v>
      </c>
      <c r="H13282">
        <v>18266371</v>
      </c>
      <c r="I13282">
        <v>18266392</v>
      </c>
    </row>
    <row r="13283" spans="1:9" x14ac:dyDescent="0.2">
      <c r="A13283" s="1" t="str">
        <f>"PIK3R3"</f>
        <v>PIK3R3</v>
      </c>
      <c r="B13283" t="s">
        <v>14</v>
      </c>
      <c r="C13283" t="s">
        <v>19</v>
      </c>
      <c r="D13283" t="s">
        <v>11</v>
      </c>
      <c r="E13283" t="s">
        <v>12</v>
      </c>
      <c r="F13283">
        <v>46598284</v>
      </c>
      <c r="G13283">
        <v>46598356</v>
      </c>
      <c r="H13283">
        <v>46598253</v>
      </c>
      <c r="I13283">
        <v>46598267</v>
      </c>
    </row>
    <row r="13284" spans="1:9" x14ac:dyDescent="0.2">
      <c r="A13284" s="1" t="str">
        <f>"PIK3R4"</f>
        <v>PIK3R4</v>
      </c>
      <c r="B13284" t="s">
        <v>14</v>
      </c>
      <c r="C13284" t="s">
        <v>22</v>
      </c>
      <c r="D13284" t="s">
        <v>11</v>
      </c>
      <c r="E13284" t="s">
        <v>12</v>
      </c>
      <c r="F13284">
        <v>130465604</v>
      </c>
      <c r="G13284">
        <v>130465682</v>
      </c>
      <c r="H13284">
        <v>130465690</v>
      </c>
      <c r="I13284">
        <v>130465701</v>
      </c>
    </row>
    <row r="13285" spans="1:9" x14ac:dyDescent="0.2">
      <c r="A13285" s="1" t="str">
        <f>"PIK3R5"</f>
        <v>PIK3R5</v>
      </c>
      <c r="B13285" t="s">
        <v>14</v>
      </c>
      <c r="C13285" t="s">
        <v>28</v>
      </c>
      <c r="D13285" t="s">
        <v>11</v>
      </c>
      <c r="E13285" t="s">
        <v>12</v>
      </c>
      <c r="F13285">
        <v>8868991</v>
      </c>
      <c r="G13285">
        <v>8869059</v>
      </c>
      <c r="H13285">
        <v>8868991</v>
      </c>
      <c r="I13285">
        <v>8869059</v>
      </c>
    </row>
    <row r="13286" spans="1:9" x14ac:dyDescent="0.2">
      <c r="A13286" s="1" t="str">
        <f>"PIK3R6"</f>
        <v>PIK3R6</v>
      </c>
      <c r="B13286" t="s">
        <v>14</v>
      </c>
      <c r="C13286" t="s">
        <v>28</v>
      </c>
      <c r="D13286" t="s">
        <v>11</v>
      </c>
      <c r="E13286" t="s">
        <v>12</v>
      </c>
      <c r="F13286">
        <v>8770956</v>
      </c>
      <c r="G13286">
        <v>8771027</v>
      </c>
      <c r="H13286">
        <v>8770956</v>
      </c>
      <c r="I13286">
        <v>8771027</v>
      </c>
    </row>
    <row r="13287" spans="1:9" x14ac:dyDescent="0.2">
      <c r="A13287" s="1" t="str">
        <f>"PIKFYVE"</f>
        <v>PIKFYVE</v>
      </c>
      <c r="B13287" t="s">
        <v>14</v>
      </c>
      <c r="C13287" t="s">
        <v>26</v>
      </c>
      <c r="D13287" t="s">
        <v>17</v>
      </c>
      <c r="E13287" t="s">
        <v>12</v>
      </c>
      <c r="F13287">
        <v>209130965</v>
      </c>
      <c r="G13287">
        <v>209131031</v>
      </c>
      <c r="H13287">
        <v>209130952</v>
      </c>
      <c r="I13287">
        <v>209130963</v>
      </c>
    </row>
    <row r="13288" spans="1:9" x14ac:dyDescent="0.2">
      <c r="A13288" s="1" t="str">
        <f>"PILRA"</f>
        <v>PILRA</v>
      </c>
      <c r="B13288" t="s">
        <v>14</v>
      </c>
      <c r="C13288" t="s">
        <v>33</v>
      </c>
      <c r="D13288" t="s">
        <v>17</v>
      </c>
      <c r="E13288" t="s">
        <v>12</v>
      </c>
      <c r="F13288">
        <v>99971101</v>
      </c>
      <c r="G13288">
        <v>99971128</v>
      </c>
      <c r="H13288">
        <v>99971129</v>
      </c>
      <c r="I13288">
        <v>99971167</v>
      </c>
    </row>
    <row r="13289" spans="1:9" x14ac:dyDescent="0.2">
      <c r="A13289" s="1" t="str">
        <f>"PILRB"</f>
        <v>PILRB</v>
      </c>
      <c r="B13289" t="s">
        <v>14</v>
      </c>
      <c r="C13289" t="s">
        <v>33</v>
      </c>
      <c r="D13289" t="s">
        <v>17</v>
      </c>
      <c r="E13289" t="s">
        <v>12</v>
      </c>
      <c r="F13289">
        <v>99933730</v>
      </c>
      <c r="G13289">
        <v>99933763</v>
      </c>
      <c r="H13289">
        <v>99933703</v>
      </c>
      <c r="I13289">
        <v>99933723</v>
      </c>
    </row>
    <row r="13290" spans="1:9" x14ac:dyDescent="0.2">
      <c r="A13290" s="1" t="str">
        <f>"PIM1"</f>
        <v>PIM1</v>
      </c>
      <c r="B13290" t="s">
        <v>14</v>
      </c>
      <c r="C13290" t="s">
        <v>32</v>
      </c>
      <c r="D13290" t="s">
        <v>17</v>
      </c>
      <c r="E13290" t="s">
        <v>12</v>
      </c>
      <c r="F13290">
        <v>37137939</v>
      </c>
      <c r="G13290">
        <v>37138004</v>
      </c>
      <c r="H13290">
        <v>37137909</v>
      </c>
      <c r="I13290">
        <v>37137936</v>
      </c>
    </row>
    <row r="13291" spans="1:9" x14ac:dyDescent="0.2">
      <c r="A13291" s="1" t="str">
        <f>"PIM2"</f>
        <v>PIM2</v>
      </c>
      <c r="B13291" t="s">
        <v>14</v>
      </c>
      <c r="C13291" t="s">
        <v>37</v>
      </c>
      <c r="D13291" t="s">
        <v>11</v>
      </c>
      <c r="E13291" t="s">
        <v>12</v>
      </c>
      <c r="F13291">
        <v>48776292</v>
      </c>
      <c r="G13291">
        <v>48776309</v>
      </c>
      <c r="H13291">
        <v>48776292</v>
      </c>
      <c r="I13291">
        <v>48776309</v>
      </c>
    </row>
    <row r="13292" spans="1:9" x14ac:dyDescent="0.2">
      <c r="A13292" s="1" t="str">
        <f>"PIM3"</f>
        <v>PIM3</v>
      </c>
      <c r="B13292" t="s">
        <v>14</v>
      </c>
      <c r="C13292" t="s">
        <v>21</v>
      </c>
      <c r="D13292" t="s">
        <v>17</v>
      </c>
      <c r="E13292" t="s">
        <v>12</v>
      </c>
      <c r="F13292">
        <v>50354412</v>
      </c>
      <c r="G13292">
        <v>50354431</v>
      </c>
      <c r="H13292">
        <v>50354104</v>
      </c>
      <c r="I13292">
        <v>50354157</v>
      </c>
    </row>
    <row r="13293" spans="1:9" x14ac:dyDescent="0.2">
      <c r="A13293" s="1" t="str">
        <f>"PIN1"</f>
        <v>PIN1</v>
      </c>
      <c r="B13293" t="s">
        <v>14</v>
      </c>
      <c r="C13293" t="s">
        <v>10</v>
      </c>
      <c r="D13293" t="s">
        <v>17</v>
      </c>
      <c r="E13293" t="s">
        <v>12</v>
      </c>
      <c r="F13293">
        <v>9945962</v>
      </c>
      <c r="G13293">
        <v>9946023</v>
      </c>
      <c r="H13293">
        <v>9946028</v>
      </c>
      <c r="I13293">
        <v>9946038</v>
      </c>
    </row>
    <row r="13294" spans="1:9" x14ac:dyDescent="0.2">
      <c r="A13294" s="1" t="str">
        <f>"PIN4"</f>
        <v>PIN4</v>
      </c>
      <c r="B13294" t="s">
        <v>14</v>
      </c>
      <c r="C13294" t="s">
        <v>37</v>
      </c>
      <c r="D13294" t="s">
        <v>17</v>
      </c>
      <c r="E13294" t="s">
        <v>12</v>
      </c>
      <c r="F13294">
        <v>71401570</v>
      </c>
      <c r="G13294">
        <v>71401628</v>
      </c>
      <c r="H13294">
        <v>71401550</v>
      </c>
      <c r="I13294">
        <v>71401561</v>
      </c>
    </row>
    <row r="13295" spans="1:9" x14ac:dyDescent="0.2">
      <c r="A13295" s="1" t="str">
        <f>"PINK1"</f>
        <v>PINK1</v>
      </c>
      <c r="B13295" t="s">
        <v>14</v>
      </c>
      <c r="C13295" t="s">
        <v>19</v>
      </c>
      <c r="D13295" t="s">
        <v>17</v>
      </c>
      <c r="E13295" t="s">
        <v>12</v>
      </c>
      <c r="F13295">
        <v>20959943</v>
      </c>
      <c r="G13295">
        <v>20959992</v>
      </c>
      <c r="H13295">
        <v>20960001</v>
      </c>
      <c r="I13295">
        <v>20960008</v>
      </c>
    </row>
    <row r="13296" spans="1:9" x14ac:dyDescent="0.2">
      <c r="A13296" s="1" t="str">
        <f>"PINLYP"</f>
        <v>PINLYP</v>
      </c>
      <c r="B13296" t="s">
        <v>1333</v>
      </c>
      <c r="C13296" t="s">
        <v>10</v>
      </c>
      <c r="D13296" t="s">
        <v>17</v>
      </c>
      <c r="E13296" t="s">
        <v>75</v>
      </c>
      <c r="F13296">
        <v>44081333</v>
      </c>
      <c r="G13296">
        <v>44081337</v>
      </c>
      <c r="H13296">
        <v>44081333</v>
      </c>
      <c r="I13296">
        <v>44081337</v>
      </c>
    </row>
    <row r="13297" spans="1:9" x14ac:dyDescent="0.2">
      <c r="A13297" s="1" t="str">
        <f>"PINX1"</f>
        <v>PINX1</v>
      </c>
      <c r="B13297" t="s">
        <v>14</v>
      </c>
      <c r="C13297" t="s">
        <v>30</v>
      </c>
      <c r="D13297" t="s">
        <v>11</v>
      </c>
      <c r="E13297" t="s">
        <v>12</v>
      </c>
      <c r="F13297">
        <v>10697370</v>
      </c>
      <c r="G13297">
        <v>10697414</v>
      </c>
      <c r="H13297">
        <v>10697329</v>
      </c>
      <c r="I13297">
        <v>10697365</v>
      </c>
    </row>
    <row r="13298" spans="1:9" x14ac:dyDescent="0.2">
      <c r="A13298" s="1" t="str">
        <f>"PIP"</f>
        <v>PIP</v>
      </c>
      <c r="B13298" t="s">
        <v>14</v>
      </c>
      <c r="C13298" t="s">
        <v>33</v>
      </c>
      <c r="D13298" t="s">
        <v>17</v>
      </c>
      <c r="E13298" t="s">
        <v>12</v>
      </c>
      <c r="F13298">
        <v>142829162</v>
      </c>
      <c r="G13298">
        <v>142829176</v>
      </c>
      <c r="H13298">
        <v>142829162</v>
      </c>
      <c r="I13298">
        <v>142829176</v>
      </c>
    </row>
    <row r="13299" spans="1:9" x14ac:dyDescent="0.2">
      <c r="A13299" s="1" t="str">
        <f>"PIP4K2A"</f>
        <v>PIP4K2A</v>
      </c>
      <c r="B13299" t="s">
        <v>14</v>
      </c>
      <c r="C13299" t="s">
        <v>15</v>
      </c>
      <c r="D13299" t="s">
        <v>11</v>
      </c>
      <c r="E13299" t="s">
        <v>12</v>
      </c>
      <c r="F13299">
        <v>23003460</v>
      </c>
      <c r="G13299">
        <v>23003562</v>
      </c>
      <c r="H13299">
        <v>23003460</v>
      </c>
      <c r="I13299">
        <v>23003562</v>
      </c>
    </row>
    <row r="13300" spans="1:9" x14ac:dyDescent="0.2">
      <c r="A13300" s="1" t="str">
        <f>"PIP4K2B"</f>
        <v>PIP4K2B</v>
      </c>
      <c r="B13300" t="s">
        <v>14</v>
      </c>
      <c r="C13300" t="s">
        <v>28</v>
      </c>
      <c r="D13300" t="s">
        <v>11</v>
      </c>
      <c r="E13300" t="s">
        <v>12</v>
      </c>
      <c r="F13300">
        <v>36955663</v>
      </c>
      <c r="G13300">
        <v>36955852</v>
      </c>
      <c r="H13300">
        <v>36956155</v>
      </c>
      <c r="I13300">
        <v>36956223</v>
      </c>
    </row>
    <row r="13301" spans="1:9" x14ac:dyDescent="0.2">
      <c r="A13301" s="1" t="str">
        <f>"PIP4K2C"</f>
        <v>PIP4K2C</v>
      </c>
      <c r="B13301" t="s">
        <v>14</v>
      </c>
      <c r="C13301" t="s">
        <v>16</v>
      </c>
      <c r="D13301" t="s">
        <v>17</v>
      </c>
      <c r="E13301" t="s">
        <v>12</v>
      </c>
      <c r="F13301">
        <v>57984965</v>
      </c>
      <c r="G13301">
        <v>57985059</v>
      </c>
      <c r="H13301">
        <v>57984943</v>
      </c>
      <c r="I13301">
        <v>57984964</v>
      </c>
    </row>
    <row r="13302" spans="1:9" x14ac:dyDescent="0.2">
      <c r="A13302" s="1" t="str">
        <f>"PIP5K1A"</f>
        <v>PIP5K1A</v>
      </c>
      <c r="B13302" t="s">
        <v>14</v>
      </c>
      <c r="C13302" t="s">
        <v>19</v>
      </c>
      <c r="D13302" t="s">
        <v>17</v>
      </c>
      <c r="E13302" t="s">
        <v>12</v>
      </c>
      <c r="F13302">
        <v>151171012</v>
      </c>
      <c r="G13302">
        <v>151171083</v>
      </c>
      <c r="H13302">
        <v>151171012</v>
      </c>
      <c r="I13302">
        <v>151171083</v>
      </c>
    </row>
    <row r="13303" spans="1:9" x14ac:dyDescent="0.2">
      <c r="A13303" s="1" t="str">
        <f>"PIP5K1B"</f>
        <v>PIP5K1B</v>
      </c>
      <c r="B13303" t="s">
        <v>14</v>
      </c>
      <c r="C13303" t="s">
        <v>24</v>
      </c>
      <c r="D13303" t="s">
        <v>17</v>
      </c>
      <c r="E13303" t="s">
        <v>12</v>
      </c>
      <c r="F13303">
        <v>71320146</v>
      </c>
      <c r="G13303">
        <v>71320167</v>
      </c>
      <c r="H13303">
        <v>71320100</v>
      </c>
      <c r="I13303">
        <v>71320142</v>
      </c>
    </row>
    <row r="13304" spans="1:9" x14ac:dyDescent="0.2">
      <c r="A13304" s="1" t="str">
        <f>"PIP5K1C"</f>
        <v>PIP5K1C</v>
      </c>
      <c r="B13304" t="s">
        <v>14</v>
      </c>
      <c r="C13304" t="s">
        <v>10</v>
      </c>
      <c r="D13304" t="s">
        <v>11</v>
      </c>
      <c r="E13304" t="s">
        <v>12</v>
      </c>
      <c r="F13304">
        <v>3700447</v>
      </c>
      <c r="G13304">
        <v>3700500</v>
      </c>
      <c r="H13304">
        <v>3700447</v>
      </c>
      <c r="I13304">
        <v>3700500</v>
      </c>
    </row>
    <row r="13305" spans="1:9" x14ac:dyDescent="0.2">
      <c r="A13305" s="1" t="str">
        <f>"PIP5KL1"</f>
        <v>PIP5KL1</v>
      </c>
      <c r="B13305" t="s">
        <v>14</v>
      </c>
      <c r="C13305" t="s">
        <v>24</v>
      </c>
      <c r="D13305" t="s">
        <v>11</v>
      </c>
      <c r="E13305" t="s">
        <v>12</v>
      </c>
      <c r="F13305">
        <v>130691070</v>
      </c>
      <c r="G13305">
        <v>130691090</v>
      </c>
      <c r="H13305">
        <v>130691054</v>
      </c>
      <c r="I13305">
        <v>130691069</v>
      </c>
    </row>
    <row r="13306" spans="1:9" x14ac:dyDescent="0.2">
      <c r="A13306" s="1" t="str">
        <f>"PIPOX"</f>
        <v>PIPOX</v>
      </c>
      <c r="B13306" t="s">
        <v>14</v>
      </c>
      <c r="C13306" t="s">
        <v>28</v>
      </c>
      <c r="D13306" t="s">
        <v>17</v>
      </c>
      <c r="E13306" t="s">
        <v>12</v>
      </c>
      <c r="F13306">
        <v>27370165</v>
      </c>
      <c r="G13306">
        <v>27370225</v>
      </c>
      <c r="H13306">
        <v>27370022</v>
      </c>
      <c r="I13306">
        <v>27370051</v>
      </c>
    </row>
    <row r="13307" spans="1:9" x14ac:dyDescent="0.2">
      <c r="A13307" s="1" t="str">
        <f>"PIR"</f>
        <v>PIR</v>
      </c>
      <c r="B13307" t="s">
        <v>14</v>
      </c>
      <c r="C13307" t="s">
        <v>37</v>
      </c>
      <c r="D13307" t="s">
        <v>11</v>
      </c>
      <c r="E13307" t="s">
        <v>12</v>
      </c>
      <c r="F13307">
        <v>15511357</v>
      </c>
      <c r="G13307">
        <v>15511433</v>
      </c>
      <c r="H13307">
        <v>15511438</v>
      </c>
      <c r="I13307">
        <v>15511463</v>
      </c>
    </row>
    <row r="13308" spans="1:9" x14ac:dyDescent="0.2">
      <c r="A13308" s="1" t="str">
        <f>"PIRT"</f>
        <v>PIRT</v>
      </c>
      <c r="B13308" t="s">
        <v>14</v>
      </c>
      <c r="C13308" t="s">
        <v>28</v>
      </c>
      <c r="D13308" t="s">
        <v>11</v>
      </c>
      <c r="E13308" t="s">
        <v>12</v>
      </c>
      <c r="F13308">
        <v>10741392</v>
      </c>
      <c r="G13308">
        <v>10741423</v>
      </c>
      <c r="H13308">
        <v>10741366</v>
      </c>
      <c r="I13308">
        <v>10741377</v>
      </c>
    </row>
    <row r="13309" spans="1:9" x14ac:dyDescent="0.2">
      <c r="A13309" s="1" t="str">
        <f>"PISD"</f>
        <v>PISD</v>
      </c>
      <c r="B13309" t="s">
        <v>1334</v>
      </c>
      <c r="C13309" t="s">
        <v>21</v>
      </c>
      <c r="D13309" t="s">
        <v>11</v>
      </c>
      <c r="E13309" t="s">
        <v>35</v>
      </c>
      <c r="F13309">
        <v>32026856</v>
      </c>
      <c r="G13309">
        <v>32026867</v>
      </c>
      <c r="H13309">
        <v>32026791</v>
      </c>
      <c r="I13309">
        <v>32026806</v>
      </c>
    </row>
    <row r="13310" spans="1:9" x14ac:dyDescent="0.2">
      <c r="A13310" s="1" t="str">
        <f>"PISD"</f>
        <v>PISD</v>
      </c>
      <c r="B13310" t="s">
        <v>1335</v>
      </c>
      <c r="C13310" t="s">
        <v>21</v>
      </c>
      <c r="D13310" t="s">
        <v>11</v>
      </c>
      <c r="E13310" t="s">
        <v>20</v>
      </c>
      <c r="F13310">
        <v>32024206</v>
      </c>
      <c r="G13310">
        <v>32024206</v>
      </c>
      <c r="H13310">
        <v>32024206</v>
      </c>
      <c r="I13310">
        <v>32024206</v>
      </c>
    </row>
    <row r="13311" spans="1:9" x14ac:dyDescent="0.2">
      <c r="A13311" s="1" t="str">
        <f>"PITHD1"</f>
        <v>PITHD1</v>
      </c>
      <c r="B13311" t="s">
        <v>14</v>
      </c>
      <c r="C13311" t="s">
        <v>19</v>
      </c>
      <c r="D13311" t="s">
        <v>17</v>
      </c>
      <c r="E13311" t="s">
        <v>12</v>
      </c>
      <c r="F13311">
        <v>24104869</v>
      </c>
      <c r="G13311">
        <v>24104918</v>
      </c>
      <c r="H13311">
        <v>24104869</v>
      </c>
      <c r="I13311">
        <v>24104918</v>
      </c>
    </row>
    <row r="13312" spans="1:9" x14ac:dyDescent="0.2">
      <c r="A13312" s="1" t="str">
        <f>"PITPNA"</f>
        <v>PITPNA</v>
      </c>
      <c r="B13312" t="s">
        <v>14</v>
      </c>
      <c r="C13312" t="s">
        <v>28</v>
      </c>
      <c r="D13312" t="s">
        <v>11</v>
      </c>
      <c r="E13312" t="s">
        <v>12</v>
      </c>
      <c r="F13312">
        <v>1466030</v>
      </c>
      <c r="G13312">
        <v>1466129</v>
      </c>
      <c r="H13312">
        <v>1465874</v>
      </c>
      <c r="I13312">
        <v>1465902</v>
      </c>
    </row>
    <row r="13313" spans="1:9" x14ac:dyDescent="0.2">
      <c r="A13313" s="1" t="str">
        <f>"PITPNB"</f>
        <v>PITPNB</v>
      </c>
      <c r="B13313" t="s">
        <v>14</v>
      </c>
      <c r="C13313" t="s">
        <v>21</v>
      </c>
      <c r="D13313" t="s">
        <v>11</v>
      </c>
      <c r="E13313" t="s">
        <v>12</v>
      </c>
      <c r="F13313">
        <v>28315208</v>
      </c>
      <c r="G13313">
        <v>28315260</v>
      </c>
      <c r="H13313">
        <v>28316116</v>
      </c>
      <c r="I13313">
        <v>28316135</v>
      </c>
    </row>
    <row r="13314" spans="1:9" x14ac:dyDescent="0.2">
      <c r="A13314" s="1" t="str">
        <f>"PITPNC1"</f>
        <v>PITPNC1</v>
      </c>
      <c r="B13314" t="s">
        <v>14</v>
      </c>
      <c r="C13314" t="s">
        <v>28</v>
      </c>
      <c r="D13314" t="s">
        <v>17</v>
      </c>
      <c r="E13314" t="s">
        <v>12</v>
      </c>
      <c r="F13314">
        <v>65373388</v>
      </c>
      <c r="G13314">
        <v>65373464</v>
      </c>
      <c r="H13314">
        <v>65373531</v>
      </c>
      <c r="I13314">
        <v>65373577</v>
      </c>
    </row>
    <row r="13315" spans="1:9" x14ac:dyDescent="0.2">
      <c r="A13315" s="1" t="str">
        <f>"PITPNM1"</f>
        <v>PITPNM1</v>
      </c>
      <c r="B13315" t="s">
        <v>14</v>
      </c>
      <c r="C13315" t="s">
        <v>27</v>
      </c>
      <c r="D13315" t="s">
        <v>11</v>
      </c>
      <c r="E13315" t="s">
        <v>12</v>
      </c>
      <c r="F13315">
        <v>67272794</v>
      </c>
      <c r="G13315">
        <v>67272855</v>
      </c>
      <c r="H13315">
        <v>67271845</v>
      </c>
      <c r="I13315">
        <v>67271902</v>
      </c>
    </row>
    <row r="13316" spans="1:9" x14ac:dyDescent="0.2">
      <c r="A13316" s="1" t="str">
        <f>"PITPNM2"</f>
        <v>PITPNM2</v>
      </c>
      <c r="B13316" t="s">
        <v>1336</v>
      </c>
      <c r="C13316" t="s">
        <v>16</v>
      </c>
      <c r="D13316" t="s">
        <v>11</v>
      </c>
      <c r="E13316" t="s">
        <v>20</v>
      </c>
      <c r="F13316">
        <v>123594974</v>
      </c>
      <c r="G13316">
        <v>123594974</v>
      </c>
      <c r="H13316">
        <v>123594974</v>
      </c>
      <c r="I13316">
        <v>123594974</v>
      </c>
    </row>
    <row r="13317" spans="1:9" x14ac:dyDescent="0.2">
      <c r="A13317" s="1" t="str">
        <f>"PITPNM2"</f>
        <v>PITPNM2</v>
      </c>
      <c r="B13317" t="s">
        <v>1337</v>
      </c>
      <c r="C13317" t="s">
        <v>16</v>
      </c>
      <c r="D13317" t="s">
        <v>11</v>
      </c>
      <c r="E13317" t="s">
        <v>20</v>
      </c>
      <c r="F13317">
        <v>123519200</v>
      </c>
      <c r="G13317">
        <v>123519200</v>
      </c>
      <c r="H13317">
        <v>123519200</v>
      </c>
      <c r="I13317">
        <v>123519200</v>
      </c>
    </row>
    <row r="13318" spans="1:9" x14ac:dyDescent="0.2">
      <c r="A13318" s="1" t="str">
        <f>"PITPNM3"</f>
        <v>PITPNM3</v>
      </c>
      <c r="B13318" t="s">
        <v>14</v>
      </c>
      <c r="C13318" t="s">
        <v>28</v>
      </c>
      <c r="D13318" t="s">
        <v>11</v>
      </c>
      <c r="E13318" t="s">
        <v>12</v>
      </c>
      <c r="F13318">
        <v>6459857</v>
      </c>
      <c r="G13318">
        <v>6459887</v>
      </c>
      <c r="H13318">
        <v>6459802</v>
      </c>
      <c r="I13318">
        <v>6459830</v>
      </c>
    </row>
    <row r="13319" spans="1:9" x14ac:dyDescent="0.2">
      <c r="A13319" s="1" t="str">
        <f>"PITRM1"</f>
        <v>PITRM1</v>
      </c>
      <c r="B13319" t="s">
        <v>14</v>
      </c>
      <c r="C13319" t="s">
        <v>15</v>
      </c>
      <c r="D13319" t="s">
        <v>11</v>
      </c>
      <c r="E13319" t="s">
        <v>12</v>
      </c>
      <c r="F13319">
        <v>3214965</v>
      </c>
      <c r="G13319">
        <v>3214984</v>
      </c>
      <c r="H13319">
        <v>3214965</v>
      </c>
      <c r="I13319">
        <v>3214984</v>
      </c>
    </row>
    <row r="13320" spans="1:9" x14ac:dyDescent="0.2">
      <c r="A13320" s="1" t="str">
        <f>"PITX1"</f>
        <v>PITX1</v>
      </c>
      <c r="B13320" t="s">
        <v>14</v>
      </c>
      <c r="C13320" t="s">
        <v>46</v>
      </c>
      <c r="D13320" t="s">
        <v>11</v>
      </c>
      <c r="E13320" t="s">
        <v>12</v>
      </c>
      <c r="F13320">
        <v>134369905</v>
      </c>
      <c r="G13320">
        <v>134369972</v>
      </c>
      <c r="H13320">
        <v>134369879</v>
      </c>
      <c r="I13320">
        <v>134369898</v>
      </c>
    </row>
    <row r="13321" spans="1:9" x14ac:dyDescent="0.2">
      <c r="A13321" s="1" t="str">
        <f>"PITX2"</f>
        <v>PITX2</v>
      </c>
      <c r="B13321" t="s">
        <v>9</v>
      </c>
      <c r="C13321" t="s">
        <v>23</v>
      </c>
      <c r="D13321" t="s">
        <v>11</v>
      </c>
      <c r="E13321" t="s">
        <v>12</v>
      </c>
      <c r="F13321">
        <v>111544219</v>
      </c>
      <c r="G13321">
        <v>111544240</v>
      </c>
      <c r="H13321">
        <v>111544219</v>
      </c>
      <c r="I13321">
        <v>111544240</v>
      </c>
    </row>
    <row r="13322" spans="1:9" x14ac:dyDescent="0.2">
      <c r="A13322" s="1" t="str">
        <f>"PITX2"</f>
        <v>PITX2</v>
      </c>
      <c r="B13322" t="s">
        <v>13</v>
      </c>
      <c r="C13322" t="s">
        <v>23</v>
      </c>
      <c r="D13322" t="s">
        <v>11</v>
      </c>
      <c r="E13322" t="s">
        <v>12</v>
      </c>
      <c r="F13322">
        <v>111558135</v>
      </c>
      <c r="G13322">
        <v>111558198</v>
      </c>
      <c r="H13322">
        <v>111558135</v>
      </c>
      <c r="I13322">
        <v>111558198</v>
      </c>
    </row>
    <row r="13323" spans="1:9" x14ac:dyDescent="0.2">
      <c r="A13323" s="1" t="str">
        <f>"PITX3"</f>
        <v>PITX3</v>
      </c>
      <c r="B13323" t="s">
        <v>14</v>
      </c>
      <c r="C13323" t="s">
        <v>15</v>
      </c>
      <c r="D13323" t="s">
        <v>11</v>
      </c>
      <c r="E13323" t="s">
        <v>12</v>
      </c>
      <c r="F13323">
        <v>104001259</v>
      </c>
      <c r="G13323">
        <v>104001274</v>
      </c>
      <c r="H13323">
        <v>104001289</v>
      </c>
      <c r="I13323">
        <v>104001310</v>
      </c>
    </row>
    <row r="13324" spans="1:9" x14ac:dyDescent="0.2">
      <c r="A13324" s="1" t="str">
        <f>"PIWIL1"</f>
        <v>PIWIL1</v>
      </c>
      <c r="B13324" t="s">
        <v>14</v>
      </c>
      <c r="C13324" t="s">
        <v>16</v>
      </c>
      <c r="D13324" t="s">
        <v>17</v>
      </c>
      <c r="E13324" t="s">
        <v>12</v>
      </c>
      <c r="F13324">
        <v>130822606</v>
      </c>
      <c r="G13324">
        <v>130822667</v>
      </c>
      <c r="H13324">
        <v>130822417</v>
      </c>
      <c r="I13324">
        <v>130822439</v>
      </c>
    </row>
    <row r="13325" spans="1:9" x14ac:dyDescent="0.2">
      <c r="A13325" s="1" t="str">
        <f>"PIWIL2"</f>
        <v>PIWIL2</v>
      </c>
      <c r="B13325" t="s">
        <v>14</v>
      </c>
      <c r="C13325" t="s">
        <v>30</v>
      </c>
      <c r="D13325" t="s">
        <v>17</v>
      </c>
      <c r="E13325" t="s">
        <v>12</v>
      </c>
      <c r="F13325">
        <v>22132847</v>
      </c>
      <c r="G13325">
        <v>22132876</v>
      </c>
      <c r="H13325">
        <v>22132822</v>
      </c>
      <c r="I13325">
        <v>22132844</v>
      </c>
    </row>
    <row r="13326" spans="1:9" x14ac:dyDescent="0.2">
      <c r="A13326" s="1" t="str">
        <f>"PIWIL3"</f>
        <v>PIWIL3</v>
      </c>
      <c r="B13326" t="s">
        <v>1338</v>
      </c>
      <c r="C13326" t="s">
        <v>21</v>
      </c>
      <c r="D13326" t="s">
        <v>11</v>
      </c>
      <c r="E13326" t="s">
        <v>20</v>
      </c>
      <c r="F13326">
        <v>25170682</v>
      </c>
      <c r="G13326">
        <v>25170682</v>
      </c>
      <c r="H13326">
        <v>25170682</v>
      </c>
      <c r="I13326">
        <v>25170682</v>
      </c>
    </row>
    <row r="13327" spans="1:9" x14ac:dyDescent="0.2">
      <c r="A13327" s="1" t="str">
        <f>"PIWIL4"</f>
        <v>PIWIL4</v>
      </c>
      <c r="B13327" t="s">
        <v>14</v>
      </c>
      <c r="C13327" t="s">
        <v>27</v>
      </c>
      <c r="D13327" t="s">
        <v>17</v>
      </c>
      <c r="E13327" t="s">
        <v>12</v>
      </c>
      <c r="F13327">
        <v>94278403</v>
      </c>
      <c r="G13327">
        <v>94278417</v>
      </c>
      <c r="H13327">
        <v>94278375</v>
      </c>
      <c r="I13327">
        <v>94278398</v>
      </c>
    </row>
    <row r="13328" spans="1:9" x14ac:dyDescent="0.2">
      <c r="A13328" s="1" t="str">
        <f>"PJA1"</f>
        <v>PJA1</v>
      </c>
      <c r="B13328" t="s">
        <v>14</v>
      </c>
      <c r="C13328" t="s">
        <v>37</v>
      </c>
      <c r="D13328" t="s">
        <v>11</v>
      </c>
      <c r="E13328" t="s">
        <v>12</v>
      </c>
      <c r="F13328">
        <v>68385274</v>
      </c>
      <c r="G13328">
        <v>68385350</v>
      </c>
      <c r="H13328">
        <v>68385354</v>
      </c>
      <c r="I13328">
        <v>68385369</v>
      </c>
    </row>
    <row r="13329" spans="1:9" x14ac:dyDescent="0.2">
      <c r="A13329" s="1" t="str">
        <f>"PJA2"</f>
        <v>PJA2</v>
      </c>
      <c r="B13329" t="s">
        <v>14</v>
      </c>
      <c r="C13329" t="s">
        <v>46</v>
      </c>
      <c r="D13329" t="s">
        <v>11</v>
      </c>
      <c r="E13329" t="s">
        <v>12</v>
      </c>
      <c r="F13329">
        <v>108745603</v>
      </c>
      <c r="G13329">
        <v>108745631</v>
      </c>
      <c r="H13329">
        <v>108745651</v>
      </c>
      <c r="I13329">
        <v>108745686</v>
      </c>
    </row>
    <row r="13330" spans="1:9" x14ac:dyDescent="0.2">
      <c r="A13330" s="1" t="str">
        <f>"PKD1"</f>
        <v>PKD1</v>
      </c>
      <c r="B13330" t="s">
        <v>1339</v>
      </c>
      <c r="C13330" t="s">
        <v>31</v>
      </c>
      <c r="D13330" t="s">
        <v>11</v>
      </c>
      <c r="E13330" t="s">
        <v>35</v>
      </c>
      <c r="F13330">
        <v>2185948</v>
      </c>
      <c r="G13330">
        <v>2185957</v>
      </c>
      <c r="H13330">
        <v>2185775</v>
      </c>
      <c r="I13330">
        <v>2185789</v>
      </c>
    </row>
    <row r="13331" spans="1:9" x14ac:dyDescent="0.2">
      <c r="A13331" s="1" t="str">
        <f>"PKD1L1"</f>
        <v>PKD1L1</v>
      </c>
      <c r="B13331" t="s">
        <v>14</v>
      </c>
      <c r="C13331" t="s">
        <v>33</v>
      </c>
      <c r="D13331" t="s">
        <v>11</v>
      </c>
      <c r="E13331" t="s">
        <v>12</v>
      </c>
      <c r="F13331">
        <v>47988045</v>
      </c>
      <c r="G13331">
        <v>47988072</v>
      </c>
      <c r="H13331">
        <v>47988099</v>
      </c>
      <c r="I13331">
        <v>47988115</v>
      </c>
    </row>
    <row r="13332" spans="1:9" x14ac:dyDescent="0.2">
      <c r="A13332" s="1" t="str">
        <f>"PKD1L2"</f>
        <v>PKD1L2</v>
      </c>
      <c r="B13332" t="s">
        <v>1340</v>
      </c>
      <c r="C13332" t="s">
        <v>31</v>
      </c>
      <c r="D13332" t="s">
        <v>11</v>
      </c>
      <c r="E13332" t="s">
        <v>35</v>
      </c>
      <c r="F13332">
        <v>81253986</v>
      </c>
      <c r="G13332">
        <v>81254016</v>
      </c>
      <c r="H13332">
        <v>81253954</v>
      </c>
      <c r="I13332">
        <v>81253956</v>
      </c>
    </row>
    <row r="13333" spans="1:9" x14ac:dyDescent="0.2">
      <c r="A13333" s="1" t="str">
        <f>"PKD1L3"</f>
        <v>PKD1L3</v>
      </c>
      <c r="B13333" t="s">
        <v>14</v>
      </c>
      <c r="C13333" t="s">
        <v>31</v>
      </c>
      <c r="D13333" t="s">
        <v>11</v>
      </c>
      <c r="E13333" t="s">
        <v>12</v>
      </c>
      <c r="F13333">
        <v>72033758</v>
      </c>
      <c r="G13333">
        <v>72033771</v>
      </c>
      <c r="H13333">
        <v>72033758</v>
      </c>
      <c r="I13333">
        <v>72033771</v>
      </c>
    </row>
    <row r="13334" spans="1:9" x14ac:dyDescent="0.2">
      <c r="A13334" s="1" t="str">
        <f>"PKD2"</f>
        <v>PKD2</v>
      </c>
      <c r="B13334" t="s">
        <v>14</v>
      </c>
      <c r="C13334" t="s">
        <v>23</v>
      </c>
      <c r="D13334" t="s">
        <v>17</v>
      </c>
      <c r="E13334" t="s">
        <v>12</v>
      </c>
      <c r="F13334">
        <v>88928777</v>
      </c>
      <c r="G13334">
        <v>88928822</v>
      </c>
      <c r="H13334">
        <v>88928777</v>
      </c>
      <c r="I13334">
        <v>88928822</v>
      </c>
    </row>
    <row r="13335" spans="1:9" x14ac:dyDescent="0.2">
      <c r="A13335" s="1" t="str">
        <f>"PKD2L1"</f>
        <v>PKD2L1</v>
      </c>
      <c r="B13335" t="s">
        <v>14</v>
      </c>
      <c r="C13335" t="s">
        <v>15</v>
      </c>
      <c r="D13335" t="s">
        <v>11</v>
      </c>
      <c r="E13335" t="s">
        <v>12</v>
      </c>
      <c r="F13335">
        <v>102089977</v>
      </c>
      <c r="G13335">
        <v>102089990</v>
      </c>
      <c r="H13335">
        <v>102089952</v>
      </c>
      <c r="I13335">
        <v>102089973</v>
      </c>
    </row>
    <row r="13336" spans="1:9" x14ac:dyDescent="0.2">
      <c r="A13336" s="1" t="str">
        <f>"PKD2L2"</f>
        <v>PKD2L2</v>
      </c>
      <c r="B13336" t="s">
        <v>14</v>
      </c>
      <c r="C13336" t="s">
        <v>46</v>
      </c>
      <c r="D13336" t="s">
        <v>17</v>
      </c>
      <c r="E13336" t="s">
        <v>12</v>
      </c>
      <c r="F13336">
        <v>137225140</v>
      </c>
      <c r="G13336">
        <v>137225154</v>
      </c>
      <c r="H13336">
        <v>137225159</v>
      </c>
      <c r="I13336">
        <v>137225171</v>
      </c>
    </row>
    <row r="13337" spans="1:9" x14ac:dyDescent="0.2">
      <c r="A13337" s="1" t="str">
        <f>"PKDCC"</f>
        <v>PKDCC</v>
      </c>
      <c r="B13337" t="s">
        <v>14</v>
      </c>
      <c r="C13337" t="s">
        <v>26</v>
      </c>
      <c r="D13337" t="s">
        <v>17</v>
      </c>
      <c r="E13337" t="s">
        <v>12</v>
      </c>
      <c r="F13337">
        <v>42275153</v>
      </c>
      <c r="G13337">
        <v>42275171</v>
      </c>
      <c r="H13337">
        <v>42275369</v>
      </c>
      <c r="I13337">
        <v>42275392</v>
      </c>
    </row>
    <row r="13338" spans="1:9" x14ac:dyDescent="0.2">
      <c r="A13338" s="1" t="str">
        <f>"PKDREJ"</f>
        <v>PKDREJ</v>
      </c>
      <c r="B13338" t="s">
        <v>14</v>
      </c>
      <c r="C13338" t="s">
        <v>21</v>
      </c>
      <c r="D13338" t="s">
        <v>11</v>
      </c>
      <c r="E13338" t="s">
        <v>12</v>
      </c>
      <c r="F13338">
        <v>46659234</v>
      </c>
      <c r="G13338">
        <v>46659244</v>
      </c>
      <c r="H13338">
        <v>46659247</v>
      </c>
      <c r="I13338">
        <v>46659253</v>
      </c>
    </row>
    <row r="13339" spans="1:9" x14ac:dyDescent="0.2">
      <c r="A13339" s="1" t="str">
        <f>"PKHD1"</f>
        <v>PKHD1</v>
      </c>
      <c r="B13339" t="s">
        <v>14</v>
      </c>
      <c r="C13339" t="s">
        <v>32</v>
      </c>
      <c r="D13339" t="s">
        <v>11</v>
      </c>
      <c r="E13339" t="s">
        <v>12</v>
      </c>
      <c r="F13339">
        <v>51952367</v>
      </c>
      <c r="G13339">
        <v>51952416</v>
      </c>
      <c r="H13339">
        <v>51952347</v>
      </c>
      <c r="I13339">
        <v>51952366</v>
      </c>
    </row>
    <row r="13340" spans="1:9" x14ac:dyDescent="0.2">
      <c r="A13340" s="1" t="str">
        <f>"PKHD1L1"</f>
        <v>PKHD1L1</v>
      </c>
      <c r="B13340" t="s">
        <v>14</v>
      </c>
      <c r="C13340" t="s">
        <v>30</v>
      </c>
      <c r="D13340" t="s">
        <v>17</v>
      </c>
      <c r="E13340" t="s">
        <v>12</v>
      </c>
      <c r="F13340">
        <v>110374683</v>
      </c>
      <c r="G13340">
        <v>110374759</v>
      </c>
      <c r="H13340">
        <v>110374683</v>
      </c>
      <c r="I13340">
        <v>110374759</v>
      </c>
    </row>
    <row r="13341" spans="1:9" x14ac:dyDescent="0.2">
      <c r="A13341" s="1" t="str">
        <f>"PKIA"</f>
        <v>PKIA</v>
      </c>
      <c r="B13341" t="s">
        <v>14</v>
      </c>
      <c r="C13341" t="s">
        <v>30</v>
      </c>
      <c r="D13341" t="s">
        <v>17</v>
      </c>
      <c r="E13341" t="s">
        <v>12</v>
      </c>
      <c r="F13341">
        <v>79428539</v>
      </c>
      <c r="G13341">
        <v>79428606</v>
      </c>
      <c r="H13341">
        <v>79428539</v>
      </c>
      <c r="I13341">
        <v>79428606</v>
      </c>
    </row>
    <row r="13342" spans="1:9" x14ac:dyDescent="0.2">
      <c r="A13342" s="1" t="str">
        <f>"PKIB"</f>
        <v>PKIB</v>
      </c>
      <c r="B13342" t="s">
        <v>9</v>
      </c>
      <c r="C13342" t="s">
        <v>32</v>
      </c>
      <c r="D13342" t="s">
        <v>17</v>
      </c>
      <c r="E13342" t="s">
        <v>12</v>
      </c>
      <c r="F13342">
        <v>122931536</v>
      </c>
      <c r="G13342">
        <v>122931556</v>
      </c>
      <c r="H13342">
        <v>122931536</v>
      </c>
      <c r="I13342">
        <v>122931556</v>
      </c>
    </row>
    <row r="13343" spans="1:9" x14ac:dyDescent="0.2">
      <c r="A13343" s="1" t="str">
        <f>"PKIB"</f>
        <v>PKIB</v>
      </c>
      <c r="B13343" t="s">
        <v>13</v>
      </c>
      <c r="C13343" t="s">
        <v>32</v>
      </c>
      <c r="D13343" t="s">
        <v>17</v>
      </c>
      <c r="E13343" t="s">
        <v>12</v>
      </c>
      <c r="F13343">
        <v>123038724</v>
      </c>
      <c r="G13343">
        <v>123038774</v>
      </c>
      <c r="H13343">
        <v>123038724</v>
      </c>
      <c r="I13343">
        <v>123038774</v>
      </c>
    </row>
    <row r="13344" spans="1:9" x14ac:dyDescent="0.2">
      <c r="A13344" s="1" t="str">
        <f>"PKIG"</f>
        <v>PKIG</v>
      </c>
      <c r="B13344" t="s">
        <v>14</v>
      </c>
      <c r="C13344" t="s">
        <v>29</v>
      </c>
      <c r="D13344" t="s">
        <v>17</v>
      </c>
      <c r="E13344" t="s">
        <v>12</v>
      </c>
      <c r="F13344">
        <v>43160458</v>
      </c>
      <c r="G13344">
        <v>43160598</v>
      </c>
      <c r="H13344">
        <v>43160458</v>
      </c>
      <c r="I13344">
        <v>43160598</v>
      </c>
    </row>
    <row r="13345" spans="1:9" x14ac:dyDescent="0.2">
      <c r="A13345" s="1" t="str">
        <f>"PKLR"</f>
        <v>PKLR</v>
      </c>
      <c r="B13345" t="s">
        <v>14</v>
      </c>
      <c r="C13345" t="s">
        <v>19</v>
      </c>
      <c r="D13345" t="s">
        <v>11</v>
      </c>
      <c r="E13345" t="s">
        <v>12</v>
      </c>
      <c r="F13345">
        <v>155270716</v>
      </c>
      <c r="G13345">
        <v>155270768</v>
      </c>
      <c r="H13345">
        <v>155271213</v>
      </c>
      <c r="I13345">
        <v>155271234</v>
      </c>
    </row>
    <row r="13346" spans="1:9" x14ac:dyDescent="0.2">
      <c r="A13346" s="1" t="str">
        <f>"PKM"</f>
        <v>PKM</v>
      </c>
      <c r="B13346" t="s">
        <v>9</v>
      </c>
      <c r="C13346" t="s">
        <v>25</v>
      </c>
      <c r="D13346" t="s">
        <v>11</v>
      </c>
      <c r="E13346" t="s">
        <v>12</v>
      </c>
      <c r="F13346">
        <v>72523523</v>
      </c>
      <c r="G13346">
        <v>72523560</v>
      </c>
      <c r="H13346">
        <v>72523523</v>
      </c>
      <c r="I13346">
        <v>72523560</v>
      </c>
    </row>
    <row r="13347" spans="1:9" x14ac:dyDescent="0.2">
      <c r="A13347" s="1" t="str">
        <f>"PKM"</f>
        <v>PKM</v>
      </c>
      <c r="B13347" t="s">
        <v>13</v>
      </c>
      <c r="C13347" t="s">
        <v>25</v>
      </c>
      <c r="D13347" t="s">
        <v>11</v>
      </c>
      <c r="E13347" t="s">
        <v>12</v>
      </c>
      <c r="F13347">
        <v>72501140</v>
      </c>
      <c r="G13347">
        <v>72501164</v>
      </c>
      <c r="H13347">
        <v>72501140</v>
      </c>
      <c r="I13347">
        <v>72501164</v>
      </c>
    </row>
    <row r="13348" spans="1:9" x14ac:dyDescent="0.2">
      <c r="A13348" s="1" t="str">
        <f>"PKMYT1"</f>
        <v>PKMYT1</v>
      </c>
      <c r="B13348" t="s">
        <v>14</v>
      </c>
      <c r="C13348" t="s">
        <v>31</v>
      </c>
      <c r="D13348" t="s">
        <v>11</v>
      </c>
      <c r="E13348" t="s">
        <v>12</v>
      </c>
      <c r="F13348">
        <v>3030407</v>
      </c>
      <c r="G13348">
        <v>3030489</v>
      </c>
      <c r="H13348">
        <v>3030386</v>
      </c>
      <c r="I13348">
        <v>3030400</v>
      </c>
    </row>
    <row r="13349" spans="1:9" x14ac:dyDescent="0.2">
      <c r="A13349" s="1" t="str">
        <f>"PKN1"</f>
        <v>PKN1</v>
      </c>
      <c r="B13349" t="s">
        <v>9</v>
      </c>
      <c r="C13349" t="s">
        <v>10</v>
      </c>
      <c r="D13349" t="s">
        <v>17</v>
      </c>
      <c r="E13349" t="s">
        <v>12</v>
      </c>
      <c r="F13349">
        <v>14544099</v>
      </c>
      <c r="G13349">
        <v>14544191</v>
      </c>
      <c r="H13349">
        <v>14544099</v>
      </c>
      <c r="I13349">
        <v>14544191</v>
      </c>
    </row>
    <row r="13350" spans="1:9" x14ac:dyDescent="0.2">
      <c r="A13350" s="1" t="str">
        <f>"PKN1"</f>
        <v>PKN1</v>
      </c>
      <c r="B13350" t="s">
        <v>13</v>
      </c>
      <c r="C13350" t="s">
        <v>10</v>
      </c>
      <c r="D13350" t="s">
        <v>17</v>
      </c>
      <c r="E13350" t="s">
        <v>12</v>
      </c>
      <c r="F13350">
        <v>14551066</v>
      </c>
      <c r="G13350">
        <v>14551097</v>
      </c>
      <c r="H13350">
        <v>14551066</v>
      </c>
      <c r="I13350">
        <v>14551097</v>
      </c>
    </row>
    <row r="13351" spans="1:9" x14ac:dyDescent="0.2">
      <c r="A13351" s="1" t="str">
        <f>"PKN2"</f>
        <v>PKN2</v>
      </c>
      <c r="B13351" t="s">
        <v>14</v>
      </c>
      <c r="C13351" t="s">
        <v>19</v>
      </c>
      <c r="D13351" t="s">
        <v>17</v>
      </c>
      <c r="E13351" t="s">
        <v>12</v>
      </c>
      <c r="F13351">
        <v>89149914</v>
      </c>
      <c r="G13351">
        <v>89149995</v>
      </c>
      <c r="H13351">
        <v>89150000</v>
      </c>
      <c r="I13351">
        <v>89150033</v>
      </c>
    </row>
    <row r="13352" spans="1:9" x14ac:dyDescent="0.2">
      <c r="A13352" s="1" t="str">
        <f>"PKN3"</f>
        <v>PKN3</v>
      </c>
      <c r="B13352" t="s">
        <v>14</v>
      </c>
      <c r="C13352" t="s">
        <v>24</v>
      </c>
      <c r="D13352" t="s">
        <v>17</v>
      </c>
      <c r="E13352" t="s">
        <v>12</v>
      </c>
      <c r="F13352">
        <v>131464767</v>
      </c>
      <c r="G13352">
        <v>131464811</v>
      </c>
      <c r="H13352">
        <v>131464767</v>
      </c>
      <c r="I13352">
        <v>131464811</v>
      </c>
    </row>
    <row r="13353" spans="1:9" x14ac:dyDescent="0.2">
      <c r="A13353" s="1" t="str">
        <f>"PKNOX1"</f>
        <v>PKNOX1</v>
      </c>
      <c r="B13353" t="s">
        <v>14</v>
      </c>
      <c r="C13353" t="s">
        <v>42</v>
      </c>
      <c r="D13353" t="s">
        <v>17</v>
      </c>
      <c r="E13353" t="s">
        <v>12</v>
      </c>
      <c r="F13353">
        <v>44394645</v>
      </c>
      <c r="G13353">
        <v>44394737</v>
      </c>
      <c r="H13353">
        <v>44394742</v>
      </c>
      <c r="I13353">
        <v>44394756</v>
      </c>
    </row>
    <row r="13354" spans="1:9" x14ac:dyDescent="0.2">
      <c r="A13354" s="1" t="str">
        <f>"PKNOX2"</f>
        <v>PKNOX2</v>
      </c>
      <c r="B13354" t="s">
        <v>14</v>
      </c>
      <c r="C13354" t="s">
        <v>27</v>
      </c>
      <c r="D13354" t="s">
        <v>17</v>
      </c>
      <c r="E13354" t="s">
        <v>12</v>
      </c>
      <c r="F13354">
        <v>125034640</v>
      </c>
      <c r="G13354">
        <v>125034655</v>
      </c>
      <c r="H13354">
        <v>125034605</v>
      </c>
      <c r="I13354">
        <v>125034636</v>
      </c>
    </row>
    <row r="13355" spans="1:9" x14ac:dyDescent="0.2">
      <c r="A13355" s="1" t="str">
        <f>"PKP1"</f>
        <v>PKP1</v>
      </c>
      <c r="B13355" t="s">
        <v>14</v>
      </c>
      <c r="C13355" t="s">
        <v>19</v>
      </c>
      <c r="D13355" t="s">
        <v>17</v>
      </c>
      <c r="E13355" t="s">
        <v>12</v>
      </c>
      <c r="F13355">
        <v>201252623</v>
      </c>
      <c r="G13355">
        <v>201252640</v>
      </c>
      <c r="H13355">
        <v>201252522</v>
      </c>
      <c r="I13355">
        <v>201252533</v>
      </c>
    </row>
    <row r="13356" spans="1:9" x14ac:dyDescent="0.2">
      <c r="A13356" s="1" t="str">
        <f>"PKP2"</f>
        <v>PKP2</v>
      </c>
      <c r="B13356" t="s">
        <v>14</v>
      </c>
      <c r="C13356" t="s">
        <v>16</v>
      </c>
      <c r="D13356" t="s">
        <v>11</v>
      </c>
      <c r="E13356" t="s">
        <v>12</v>
      </c>
      <c r="F13356">
        <v>33049691</v>
      </c>
      <c r="G13356">
        <v>33049756</v>
      </c>
      <c r="H13356">
        <v>33049843</v>
      </c>
      <c r="I13356">
        <v>33049881</v>
      </c>
    </row>
    <row r="13357" spans="1:9" x14ac:dyDescent="0.2">
      <c r="A13357" s="1" t="str">
        <f>"PKP3"</f>
        <v>PKP3</v>
      </c>
      <c r="B13357" t="s">
        <v>9</v>
      </c>
      <c r="C13357" t="s">
        <v>27</v>
      </c>
      <c r="D13357" t="s">
        <v>17</v>
      </c>
      <c r="E13357" t="s">
        <v>12</v>
      </c>
      <c r="F13357">
        <v>394196</v>
      </c>
      <c r="G13357">
        <v>394258</v>
      </c>
      <c r="H13357">
        <v>394196</v>
      </c>
      <c r="I13357">
        <v>394258</v>
      </c>
    </row>
    <row r="13358" spans="1:9" x14ac:dyDescent="0.2">
      <c r="A13358" s="1" t="str">
        <f>"PKP3"</f>
        <v>PKP3</v>
      </c>
      <c r="B13358" t="s">
        <v>13</v>
      </c>
      <c r="C13358" t="s">
        <v>27</v>
      </c>
      <c r="D13358" t="s">
        <v>17</v>
      </c>
      <c r="E13358" t="s">
        <v>12</v>
      </c>
      <c r="F13358">
        <v>392587</v>
      </c>
      <c r="G13358">
        <v>392618</v>
      </c>
      <c r="H13358">
        <v>392587</v>
      </c>
      <c r="I13358">
        <v>392618</v>
      </c>
    </row>
    <row r="13359" spans="1:9" x14ac:dyDescent="0.2">
      <c r="A13359" s="1" t="str">
        <f>"PKP4"</f>
        <v>PKP4</v>
      </c>
      <c r="B13359" t="s">
        <v>14</v>
      </c>
      <c r="C13359" t="s">
        <v>26</v>
      </c>
      <c r="D13359" t="s">
        <v>17</v>
      </c>
      <c r="E13359" t="s">
        <v>12</v>
      </c>
      <c r="F13359">
        <v>159313452</v>
      </c>
      <c r="G13359">
        <v>159313498</v>
      </c>
      <c r="H13359">
        <v>159313379</v>
      </c>
      <c r="I13359">
        <v>159313428</v>
      </c>
    </row>
    <row r="13360" spans="1:9" x14ac:dyDescent="0.2">
      <c r="A13360" s="1" t="str">
        <f>"PLA1A"</f>
        <v>PLA1A</v>
      </c>
      <c r="B13360" t="s">
        <v>14</v>
      </c>
      <c r="C13360" t="s">
        <v>22</v>
      </c>
      <c r="D13360" t="s">
        <v>17</v>
      </c>
      <c r="E13360" t="s">
        <v>12</v>
      </c>
      <c r="F13360">
        <v>119316721</v>
      </c>
      <c r="G13360">
        <v>119316739</v>
      </c>
      <c r="H13360">
        <v>119316703</v>
      </c>
      <c r="I13360">
        <v>119316710</v>
      </c>
    </row>
    <row r="13361" spans="1:9" x14ac:dyDescent="0.2">
      <c r="A13361" s="1" t="str">
        <f>"PLA2G10"</f>
        <v>PLA2G10</v>
      </c>
      <c r="B13361" t="s">
        <v>1341</v>
      </c>
      <c r="C13361" t="s">
        <v>31</v>
      </c>
      <c r="D13361" t="s">
        <v>11</v>
      </c>
      <c r="E13361" t="s">
        <v>20</v>
      </c>
      <c r="F13361">
        <v>14788525</v>
      </c>
      <c r="G13361">
        <v>14788525</v>
      </c>
      <c r="H13361">
        <v>14788525</v>
      </c>
      <c r="I13361">
        <v>14788525</v>
      </c>
    </row>
    <row r="13362" spans="1:9" x14ac:dyDescent="0.2">
      <c r="A13362" s="1" t="str">
        <f>"PLA2G12A"</f>
        <v>PLA2G12A</v>
      </c>
      <c r="B13362" t="s">
        <v>14</v>
      </c>
      <c r="C13362" t="s">
        <v>23</v>
      </c>
      <c r="D13362" t="s">
        <v>11</v>
      </c>
      <c r="E13362" t="s">
        <v>12</v>
      </c>
      <c r="F13362">
        <v>110651143</v>
      </c>
      <c r="G13362">
        <v>110651264</v>
      </c>
      <c r="H13362">
        <v>110651111</v>
      </c>
      <c r="I13362">
        <v>110651141</v>
      </c>
    </row>
    <row r="13363" spans="1:9" x14ac:dyDescent="0.2">
      <c r="A13363" s="1" t="str">
        <f>"PLA2G12B"</f>
        <v>PLA2G12B</v>
      </c>
      <c r="B13363" t="s">
        <v>14</v>
      </c>
      <c r="C13363" t="s">
        <v>15</v>
      </c>
      <c r="D13363" t="s">
        <v>11</v>
      </c>
      <c r="E13363" t="s">
        <v>12</v>
      </c>
      <c r="F13363">
        <v>74714533</v>
      </c>
      <c r="G13363">
        <v>74714580</v>
      </c>
      <c r="H13363">
        <v>74714588</v>
      </c>
      <c r="I13363">
        <v>74714609</v>
      </c>
    </row>
    <row r="13364" spans="1:9" x14ac:dyDescent="0.2">
      <c r="A13364" s="1" t="str">
        <f>"PLA2G15"</f>
        <v>PLA2G15</v>
      </c>
      <c r="B13364" t="s">
        <v>14</v>
      </c>
      <c r="C13364" t="s">
        <v>31</v>
      </c>
      <c r="D13364" t="s">
        <v>17</v>
      </c>
      <c r="E13364" t="s">
        <v>12</v>
      </c>
      <c r="F13364">
        <v>68279256</v>
      </c>
      <c r="G13364">
        <v>68279309</v>
      </c>
      <c r="H13364">
        <v>68279241</v>
      </c>
      <c r="I13364">
        <v>68279252</v>
      </c>
    </row>
    <row r="13365" spans="1:9" x14ac:dyDescent="0.2">
      <c r="A13365" s="1" t="str">
        <f>"PLA2G16"</f>
        <v>PLA2G16</v>
      </c>
      <c r="B13365" t="s">
        <v>14</v>
      </c>
      <c r="C13365" t="s">
        <v>27</v>
      </c>
      <c r="D13365" t="s">
        <v>11</v>
      </c>
      <c r="E13365" t="s">
        <v>12</v>
      </c>
      <c r="F13365">
        <v>63381898</v>
      </c>
      <c r="G13365">
        <v>63381917</v>
      </c>
      <c r="H13365">
        <v>63381872</v>
      </c>
      <c r="I13365">
        <v>63381895</v>
      </c>
    </row>
    <row r="13366" spans="1:9" x14ac:dyDescent="0.2">
      <c r="A13366" s="1" t="str">
        <f>"PLA2G1B"</f>
        <v>PLA2G1B</v>
      </c>
      <c r="B13366" t="s">
        <v>9</v>
      </c>
      <c r="C13366" t="s">
        <v>16</v>
      </c>
      <c r="D13366" t="s">
        <v>11</v>
      </c>
      <c r="E13366" t="s">
        <v>12</v>
      </c>
      <c r="F13366">
        <v>120765565</v>
      </c>
      <c r="G13366">
        <v>120765588</v>
      </c>
      <c r="H13366">
        <v>120765565</v>
      </c>
      <c r="I13366">
        <v>120765588</v>
      </c>
    </row>
    <row r="13367" spans="1:9" x14ac:dyDescent="0.2">
      <c r="A13367" s="1" t="str">
        <f>"PLA2G1B"</f>
        <v>PLA2G1B</v>
      </c>
      <c r="B13367" t="s">
        <v>13</v>
      </c>
      <c r="C13367" t="s">
        <v>16</v>
      </c>
      <c r="D13367" t="s">
        <v>11</v>
      </c>
      <c r="E13367" t="s">
        <v>12</v>
      </c>
      <c r="F13367">
        <v>120763938</v>
      </c>
      <c r="G13367">
        <v>120763946</v>
      </c>
      <c r="H13367">
        <v>120763938</v>
      </c>
      <c r="I13367">
        <v>120763946</v>
      </c>
    </row>
    <row r="13368" spans="1:9" x14ac:dyDescent="0.2">
      <c r="A13368" s="1" t="str">
        <f>"PLA2G2A"</f>
        <v>PLA2G2A</v>
      </c>
      <c r="B13368" t="s">
        <v>14</v>
      </c>
      <c r="C13368" t="s">
        <v>19</v>
      </c>
      <c r="D13368" t="s">
        <v>11</v>
      </c>
      <c r="E13368" t="s">
        <v>12</v>
      </c>
      <c r="F13368">
        <v>20306102</v>
      </c>
      <c r="G13368">
        <v>20306119</v>
      </c>
      <c r="H13368">
        <v>20306102</v>
      </c>
      <c r="I13368">
        <v>20306119</v>
      </c>
    </row>
    <row r="13369" spans="1:9" x14ac:dyDescent="0.2">
      <c r="A13369" s="1" t="str">
        <f>"PLA2G2C"</f>
        <v>PLA2G2C</v>
      </c>
      <c r="B13369" t="s">
        <v>14</v>
      </c>
      <c r="C13369" t="s">
        <v>19</v>
      </c>
      <c r="D13369" t="s">
        <v>11</v>
      </c>
      <c r="E13369" t="s">
        <v>12</v>
      </c>
      <c r="F13369">
        <v>20501577</v>
      </c>
      <c r="G13369">
        <v>20501584</v>
      </c>
      <c r="H13369">
        <v>20501563</v>
      </c>
      <c r="I13369">
        <v>20501566</v>
      </c>
    </row>
    <row r="13370" spans="1:9" x14ac:dyDescent="0.2">
      <c r="A13370" s="1" t="str">
        <f>"PLA2G2D"</f>
        <v>PLA2G2D</v>
      </c>
      <c r="B13370" t="s">
        <v>14</v>
      </c>
      <c r="C13370" t="s">
        <v>19</v>
      </c>
      <c r="D13370" t="s">
        <v>11</v>
      </c>
      <c r="E13370" t="s">
        <v>12</v>
      </c>
      <c r="F13370">
        <v>20446020</v>
      </c>
      <c r="G13370">
        <v>20446034</v>
      </c>
      <c r="H13370">
        <v>20446020</v>
      </c>
      <c r="I13370">
        <v>20446034</v>
      </c>
    </row>
    <row r="13371" spans="1:9" x14ac:dyDescent="0.2">
      <c r="A13371" s="1" t="str">
        <f>"PLA2G2E"</f>
        <v>PLA2G2E</v>
      </c>
      <c r="B13371" t="s">
        <v>14</v>
      </c>
      <c r="C13371" t="s">
        <v>19</v>
      </c>
      <c r="D13371" t="s">
        <v>11</v>
      </c>
      <c r="E13371" t="s">
        <v>12</v>
      </c>
      <c r="F13371">
        <v>20250122</v>
      </c>
      <c r="G13371">
        <v>20250123</v>
      </c>
      <c r="H13371">
        <v>20250122</v>
      </c>
      <c r="I13371">
        <v>20250123</v>
      </c>
    </row>
    <row r="13372" spans="1:9" x14ac:dyDescent="0.2">
      <c r="A13372" s="1" t="str">
        <f>"PLA2G2F"</f>
        <v>PLA2G2F</v>
      </c>
      <c r="B13372" t="s">
        <v>14</v>
      </c>
      <c r="C13372" t="s">
        <v>19</v>
      </c>
      <c r="D13372" t="s">
        <v>17</v>
      </c>
      <c r="E13372" t="s">
        <v>12</v>
      </c>
      <c r="F13372">
        <v>20465805</v>
      </c>
      <c r="G13372">
        <v>20465824</v>
      </c>
      <c r="H13372">
        <v>20465872</v>
      </c>
      <c r="I13372">
        <v>20465881</v>
      </c>
    </row>
    <row r="13373" spans="1:9" x14ac:dyDescent="0.2">
      <c r="A13373" s="1" t="str">
        <f>"PLA2G3"</f>
        <v>PLA2G3</v>
      </c>
      <c r="B13373" t="s">
        <v>14</v>
      </c>
      <c r="C13373" t="s">
        <v>21</v>
      </c>
      <c r="D13373" t="s">
        <v>11</v>
      </c>
      <c r="E13373" t="s">
        <v>12</v>
      </c>
      <c r="F13373">
        <v>31536457</v>
      </c>
      <c r="G13373">
        <v>31536474</v>
      </c>
      <c r="H13373">
        <v>31536408</v>
      </c>
      <c r="I13373">
        <v>31536430</v>
      </c>
    </row>
    <row r="13374" spans="1:9" x14ac:dyDescent="0.2">
      <c r="A13374" s="1" t="str">
        <f>"PLA2G4A"</f>
        <v>PLA2G4A</v>
      </c>
      <c r="B13374" t="s">
        <v>14</v>
      </c>
      <c r="C13374" t="s">
        <v>19</v>
      </c>
      <c r="D13374" t="s">
        <v>17</v>
      </c>
      <c r="E13374" t="s">
        <v>12</v>
      </c>
      <c r="F13374">
        <v>186798073</v>
      </c>
      <c r="G13374">
        <v>186798147</v>
      </c>
      <c r="H13374">
        <v>186798073</v>
      </c>
      <c r="I13374">
        <v>186798147</v>
      </c>
    </row>
    <row r="13375" spans="1:9" x14ac:dyDescent="0.2">
      <c r="A13375" s="1" t="str">
        <f>"PLA2G4B"</f>
        <v>PLA2G4B</v>
      </c>
      <c r="B13375" t="s">
        <v>9</v>
      </c>
      <c r="C13375" t="s">
        <v>25</v>
      </c>
      <c r="D13375" t="s">
        <v>17</v>
      </c>
      <c r="E13375" t="s">
        <v>12</v>
      </c>
      <c r="F13375">
        <v>42120283</v>
      </c>
      <c r="G13375">
        <v>42120332</v>
      </c>
      <c r="H13375">
        <v>42120283</v>
      </c>
      <c r="I13375">
        <v>42120332</v>
      </c>
    </row>
    <row r="13376" spans="1:9" x14ac:dyDescent="0.2">
      <c r="A13376" s="1" t="str">
        <f>"PLA2G4B"</f>
        <v>PLA2G4B</v>
      </c>
      <c r="B13376" t="s">
        <v>13</v>
      </c>
      <c r="C13376" t="s">
        <v>25</v>
      </c>
      <c r="D13376" t="s">
        <v>17</v>
      </c>
      <c r="E13376" t="s">
        <v>12</v>
      </c>
      <c r="F13376">
        <v>42131037</v>
      </c>
      <c r="G13376">
        <v>42131060</v>
      </c>
      <c r="H13376">
        <v>42131037</v>
      </c>
      <c r="I13376">
        <v>42131060</v>
      </c>
    </row>
    <row r="13377" spans="1:9" x14ac:dyDescent="0.2">
      <c r="A13377" s="1" t="str">
        <f>"PLA2G4C"</f>
        <v>PLA2G4C</v>
      </c>
      <c r="B13377" t="s">
        <v>14</v>
      </c>
      <c r="C13377" t="s">
        <v>10</v>
      </c>
      <c r="D13377" t="s">
        <v>11</v>
      </c>
      <c r="E13377" t="s">
        <v>12</v>
      </c>
      <c r="F13377">
        <v>48614063</v>
      </c>
      <c r="G13377">
        <v>48614093</v>
      </c>
      <c r="H13377">
        <v>48614095</v>
      </c>
      <c r="I13377">
        <v>48614113</v>
      </c>
    </row>
    <row r="13378" spans="1:9" x14ac:dyDescent="0.2">
      <c r="A13378" s="1" t="str">
        <f>"PLA2G4D"</f>
        <v>PLA2G4D</v>
      </c>
      <c r="B13378" t="s">
        <v>14</v>
      </c>
      <c r="C13378" t="s">
        <v>25</v>
      </c>
      <c r="D13378" t="s">
        <v>11</v>
      </c>
      <c r="E13378" t="s">
        <v>12</v>
      </c>
      <c r="F13378">
        <v>42386758</v>
      </c>
      <c r="G13378">
        <v>42386763</v>
      </c>
      <c r="H13378">
        <v>42386758</v>
      </c>
      <c r="I13378">
        <v>42386763</v>
      </c>
    </row>
    <row r="13379" spans="1:9" x14ac:dyDescent="0.2">
      <c r="A13379" s="1" t="str">
        <f>"PLA2G4E"</f>
        <v>PLA2G4E</v>
      </c>
      <c r="B13379" t="s">
        <v>1342</v>
      </c>
      <c r="C13379" t="s">
        <v>25</v>
      </c>
      <c r="D13379" t="s">
        <v>11</v>
      </c>
      <c r="E13379" t="s">
        <v>20</v>
      </c>
      <c r="F13379">
        <v>42343387</v>
      </c>
      <c r="G13379">
        <v>42343387</v>
      </c>
      <c r="H13379">
        <v>42343387</v>
      </c>
      <c r="I13379">
        <v>42343387</v>
      </c>
    </row>
    <row r="13380" spans="1:9" x14ac:dyDescent="0.2">
      <c r="A13380" s="1" t="str">
        <f>"PLA2G4F"</f>
        <v>PLA2G4F</v>
      </c>
      <c r="B13380" t="s">
        <v>14</v>
      </c>
      <c r="C13380" t="s">
        <v>25</v>
      </c>
      <c r="D13380" t="s">
        <v>11</v>
      </c>
      <c r="E13380" t="s">
        <v>12</v>
      </c>
      <c r="F13380">
        <v>42448788</v>
      </c>
      <c r="G13380">
        <v>42448849</v>
      </c>
      <c r="H13380">
        <v>42448777</v>
      </c>
      <c r="I13380">
        <v>42448782</v>
      </c>
    </row>
    <row r="13381" spans="1:9" x14ac:dyDescent="0.2">
      <c r="A13381" s="1" t="str">
        <f>"PLA2G5"</f>
        <v>PLA2G5</v>
      </c>
      <c r="B13381" t="s">
        <v>14</v>
      </c>
      <c r="C13381" t="s">
        <v>19</v>
      </c>
      <c r="D13381" t="s">
        <v>17</v>
      </c>
      <c r="E13381" t="s">
        <v>12</v>
      </c>
      <c r="F13381">
        <v>20396649</v>
      </c>
      <c r="G13381">
        <v>20396705</v>
      </c>
      <c r="H13381">
        <v>20396649</v>
      </c>
      <c r="I13381">
        <v>20396705</v>
      </c>
    </row>
    <row r="13382" spans="1:9" x14ac:dyDescent="0.2">
      <c r="A13382" s="1" t="str">
        <f>"PLA2G6"</f>
        <v>PLA2G6</v>
      </c>
      <c r="B13382" t="s">
        <v>14</v>
      </c>
      <c r="C13382" t="s">
        <v>21</v>
      </c>
      <c r="D13382" t="s">
        <v>11</v>
      </c>
      <c r="E13382" t="s">
        <v>12</v>
      </c>
      <c r="F13382">
        <v>38577782</v>
      </c>
      <c r="G13382">
        <v>38577858</v>
      </c>
      <c r="H13382">
        <v>38577731</v>
      </c>
      <c r="I13382">
        <v>38577766</v>
      </c>
    </row>
    <row r="13383" spans="1:9" x14ac:dyDescent="0.2">
      <c r="A13383" s="1" t="str">
        <f>"PLA2G7"</f>
        <v>PLA2G7</v>
      </c>
      <c r="B13383" t="s">
        <v>14</v>
      </c>
      <c r="C13383" t="s">
        <v>32</v>
      </c>
      <c r="D13383" t="s">
        <v>11</v>
      </c>
      <c r="E13383" t="s">
        <v>12</v>
      </c>
      <c r="F13383">
        <v>46703092</v>
      </c>
      <c r="G13383">
        <v>46703156</v>
      </c>
      <c r="H13383">
        <v>46703069</v>
      </c>
      <c r="I13383">
        <v>46703081</v>
      </c>
    </row>
    <row r="13384" spans="1:9" x14ac:dyDescent="0.2">
      <c r="A13384" s="1" t="str">
        <f>"PLA2R1"</f>
        <v>PLA2R1</v>
      </c>
      <c r="B13384" t="s">
        <v>14</v>
      </c>
      <c r="C13384" t="s">
        <v>26</v>
      </c>
      <c r="D13384" t="s">
        <v>11</v>
      </c>
      <c r="E13384" t="s">
        <v>12</v>
      </c>
      <c r="F13384">
        <v>160919112</v>
      </c>
      <c r="G13384">
        <v>160919162</v>
      </c>
      <c r="H13384">
        <v>160919007</v>
      </c>
      <c r="I13384">
        <v>160919027</v>
      </c>
    </row>
    <row r="13385" spans="1:9" x14ac:dyDescent="0.2">
      <c r="A13385" s="1" t="str">
        <f>"PLAA"</f>
        <v>PLAA</v>
      </c>
      <c r="B13385" t="s">
        <v>14</v>
      </c>
      <c r="C13385" t="s">
        <v>24</v>
      </c>
      <c r="D13385" t="s">
        <v>11</v>
      </c>
      <c r="E13385" t="s">
        <v>12</v>
      </c>
      <c r="F13385">
        <v>26947129</v>
      </c>
      <c r="G13385">
        <v>26947212</v>
      </c>
      <c r="H13385">
        <v>26947220</v>
      </c>
      <c r="I13385">
        <v>26947270</v>
      </c>
    </row>
    <row r="13386" spans="1:9" x14ac:dyDescent="0.2">
      <c r="A13386" s="1" t="str">
        <f>"PLAC1"</f>
        <v>PLAC1</v>
      </c>
      <c r="B13386" t="s">
        <v>14</v>
      </c>
      <c r="C13386" t="s">
        <v>37</v>
      </c>
      <c r="D13386" t="s">
        <v>11</v>
      </c>
      <c r="E13386" t="s">
        <v>12</v>
      </c>
      <c r="F13386">
        <v>133792480</v>
      </c>
      <c r="G13386">
        <v>133792522</v>
      </c>
      <c r="H13386">
        <v>133792480</v>
      </c>
      <c r="I13386">
        <v>133792522</v>
      </c>
    </row>
    <row r="13387" spans="1:9" x14ac:dyDescent="0.2">
      <c r="A13387" s="1" t="str">
        <f>"PLAC1L"</f>
        <v>PLAC1L</v>
      </c>
      <c r="B13387" t="s">
        <v>14</v>
      </c>
      <c r="C13387" t="s">
        <v>27</v>
      </c>
      <c r="D13387" t="s">
        <v>17</v>
      </c>
      <c r="E13387" t="s">
        <v>12</v>
      </c>
      <c r="F13387">
        <v>59807876</v>
      </c>
      <c r="G13387">
        <v>59807897</v>
      </c>
      <c r="H13387">
        <v>59807736</v>
      </c>
      <c r="I13387">
        <v>59807737</v>
      </c>
    </row>
    <row r="13388" spans="1:9" x14ac:dyDescent="0.2">
      <c r="A13388" s="1" t="str">
        <f>"PLAC4"</f>
        <v>PLAC4</v>
      </c>
      <c r="B13388" t="s">
        <v>14</v>
      </c>
      <c r="C13388" t="s">
        <v>42</v>
      </c>
      <c r="D13388" t="s">
        <v>11</v>
      </c>
      <c r="E13388" t="s">
        <v>12</v>
      </c>
      <c r="F13388">
        <v>42557218</v>
      </c>
      <c r="G13388">
        <v>42557229</v>
      </c>
      <c r="H13388">
        <v>42557218</v>
      </c>
      <c r="I13388">
        <v>42557229</v>
      </c>
    </row>
    <row r="13389" spans="1:9" x14ac:dyDescent="0.2">
      <c r="A13389" s="1" t="str">
        <f>"PLAC8"</f>
        <v>PLAC8</v>
      </c>
      <c r="B13389" t="s">
        <v>14</v>
      </c>
      <c r="C13389" t="s">
        <v>23</v>
      </c>
      <c r="D13389" t="s">
        <v>11</v>
      </c>
      <c r="E13389" t="s">
        <v>12</v>
      </c>
      <c r="F13389">
        <v>84035870</v>
      </c>
      <c r="G13389">
        <v>84035897</v>
      </c>
      <c r="H13389">
        <v>84035905</v>
      </c>
      <c r="I13389">
        <v>84035916</v>
      </c>
    </row>
    <row r="13390" spans="1:9" x14ac:dyDescent="0.2">
      <c r="A13390" s="1" t="str">
        <f>"PLAC8L1"</f>
        <v>PLAC8L1</v>
      </c>
      <c r="B13390" t="s">
        <v>14</v>
      </c>
      <c r="C13390" t="s">
        <v>46</v>
      </c>
      <c r="D13390" t="s">
        <v>11</v>
      </c>
      <c r="E13390" t="s">
        <v>12</v>
      </c>
      <c r="F13390">
        <v>145483934</v>
      </c>
      <c r="G13390">
        <v>145483979</v>
      </c>
      <c r="H13390">
        <v>145483934</v>
      </c>
      <c r="I13390">
        <v>145483979</v>
      </c>
    </row>
    <row r="13391" spans="1:9" x14ac:dyDescent="0.2">
      <c r="A13391" s="1" t="str">
        <f>"PLAC9"</f>
        <v>PLAC9</v>
      </c>
      <c r="B13391" t="s">
        <v>14</v>
      </c>
      <c r="C13391" t="s">
        <v>15</v>
      </c>
      <c r="D13391" t="s">
        <v>17</v>
      </c>
      <c r="E13391" t="s">
        <v>12</v>
      </c>
      <c r="F13391">
        <v>81892478</v>
      </c>
      <c r="G13391">
        <v>81892493</v>
      </c>
      <c r="H13391">
        <v>81892415</v>
      </c>
      <c r="I13391">
        <v>81892447</v>
      </c>
    </row>
    <row r="13392" spans="1:9" x14ac:dyDescent="0.2">
      <c r="A13392" s="1" t="str">
        <f>"PLAG1"</f>
        <v>PLAG1</v>
      </c>
      <c r="B13392" t="s">
        <v>14</v>
      </c>
      <c r="C13392" t="s">
        <v>30</v>
      </c>
      <c r="D13392" t="s">
        <v>11</v>
      </c>
      <c r="E13392" t="s">
        <v>12</v>
      </c>
      <c r="F13392">
        <v>57123815</v>
      </c>
      <c r="G13392">
        <v>57123867</v>
      </c>
      <c r="H13392">
        <v>57123873</v>
      </c>
      <c r="I13392">
        <v>57123894</v>
      </c>
    </row>
    <row r="13393" spans="1:9" x14ac:dyDescent="0.2">
      <c r="A13393" s="1" t="str">
        <f>"PLAGL1"</f>
        <v>PLAGL1</v>
      </c>
      <c r="B13393" t="s">
        <v>9</v>
      </c>
      <c r="C13393" t="s">
        <v>32</v>
      </c>
      <c r="D13393" t="s">
        <v>11</v>
      </c>
      <c r="E13393" t="s">
        <v>12</v>
      </c>
      <c r="F13393">
        <v>144329384</v>
      </c>
      <c r="G13393">
        <v>144329405</v>
      </c>
      <c r="H13393">
        <v>144329384</v>
      </c>
      <c r="I13393">
        <v>144329405</v>
      </c>
    </row>
    <row r="13394" spans="1:9" x14ac:dyDescent="0.2">
      <c r="A13394" s="1" t="str">
        <f>"PLAGL1"</f>
        <v>PLAGL1</v>
      </c>
      <c r="B13394" t="s">
        <v>13</v>
      </c>
      <c r="C13394" t="s">
        <v>32</v>
      </c>
      <c r="D13394" t="s">
        <v>11</v>
      </c>
      <c r="E13394" t="s">
        <v>12</v>
      </c>
      <c r="F13394">
        <v>144385698</v>
      </c>
      <c r="G13394">
        <v>144385742</v>
      </c>
      <c r="H13394">
        <v>144385698</v>
      </c>
      <c r="I13394">
        <v>144385742</v>
      </c>
    </row>
    <row r="13395" spans="1:9" x14ac:dyDescent="0.2">
      <c r="A13395" s="1" t="str">
        <f>"PLAGL2"</f>
        <v>PLAGL2</v>
      </c>
      <c r="B13395" t="s">
        <v>14</v>
      </c>
      <c r="C13395" t="s">
        <v>29</v>
      </c>
      <c r="D13395" t="s">
        <v>11</v>
      </c>
      <c r="E13395" t="s">
        <v>12</v>
      </c>
      <c r="F13395">
        <v>30795511</v>
      </c>
      <c r="G13395">
        <v>30795562</v>
      </c>
      <c r="H13395">
        <v>30795511</v>
      </c>
      <c r="I13395">
        <v>30795562</v>
      </c>
    </row>
    <row r="13396" spans="1:9" x14ac:dyDescent="0.2">
      <c r="A13396" s="1" t="str">
        <f>"PLAT"</f>
        <v>PLAT</v>
      </c>
      <c r="B13396" t="s">
        <v>14</v>
      </c>
      <c r="C13396" t="s">
        <v>30</v>
      </c>
      <c r="D13396" t="s">
        <v>11</v>
      </c>
      <c r="E13396" t="s">
        <v>12</v>
      </c>
      <c r="F13396">
        <v>42065075</v>
      </c>
      <c r="G13396">
        <v>42065090</v>
      </c>
      <c r="H13396">
        <v>42065075</v>
      </c>
      <c r="I13396">
        <v>42065090</v>
      </c>
    </row>
    <row r="13397" spans="1:9" x14ac:dyDescent="0.2">
      <c r="A13397" s="1" t="str">
        <f>"PLAU"</f>
        <v>PLAU</v>
      </c>
      <c r="B13397" t="s">
        <v>14</v>
      </c>
      <c r="C13397" t="s">
        <v>15</v>
      </c>
      <c r="D13397" t="s">
        <v>17</v>
      </c>
      <c r="E13397" t="s">
        <v>12</v>
      </c>
      <c r="F13397">
        <v>75670882</v>
      </c>
      <c r="G13397">
        <v>75670898</v>
      </c>
      <c r="H13397">
        <v>75670882</v>
      </c>
      <c r="I13397">
        <v>75670898</v>
      </c>
    </row>
    <row r="13398" spans="1:9" x14ac:dyDescent="0.2">
      <c r="A13398" s="1" t="str">
        <f>"PLAUR"</f>
        <v>PLAUR</v>
      </c>
      <c r="B13398" t="s">
        <v>14</v>
      </c>
      <c r="C13398" t="s">
        <v>10</v>
      </c>
      <c r="D13398" t="s">
        <v>11</v>
      </c>
      <c r="E13398" t="s">
        <v>12</v>
      </c>
      <c r="F13398">
        <v>44174310</v>
      </c>
      <c r="G13398">
        <v>44174329</v>
      </c>
      <c r="H13398">
        <v>44174310</v>
      </c>
      <c r="I13398">
        <v>44174329</v>
      </c>
    </row>
    <row r="13399" spans="1:9" x14ac:dyDescent="0.2">
      <c r="A13399" s="1" t="str">
        <f>"PLB1"</f>
        <v>PLB1</v>
      </c>
      <c r="B13399" t="s">
        <v>1343</v>
      </c>
      <c r="C13399" t="s">
        <v>26</v>
      </c>
      <c r="D13399" t="s">
        <v>17</v>
      </c>
      <c r="E13399" t="s">
        <v>20</v>
      </c>
      <c r="F13399">
        <v>28718937</v>
      </c>
      <c r="G13399">
        <v>28718937</v>
      </c>
      <c r="H13399">
        <v>28718937</v>
      </c>
      <c r="I13399">
        <v>28718937</v>
      </c>
    </row>
    <row r="13400" spans="1:9" x14ac:dyDescent="0.2">
      <c r="A13400" s="1" t="str">
        <f>"PLBD1"</f>
        <v>PLBD1</v>
      </c>
      <c r="B13400" t="s">
        <v>14</v>
      </c>
      <c r="C13400" t="s">
        <v>16</v>
      </c>
      <c r="D13400" t="s">
        <v>11</v>
      </c>
      <c r="E13400" t="s">
        <v>12</v>
      </c>
      <c r="F13400">
        <v>14720648</v>
      </c>
      <c r="G13400">
        <v>14720822</v>
      </c>
      <c r="H13400">
        <v>14720824</v>
      </c>
      <c r="I13400">
        <v>14720850</v>
      </c>
    </row>
    <row r="13401" spans="1:9" x14ac:dyDescent="0.2">
      <c r="A13401" s="1" t="str">
        <f>"PLBD2"</f>
        <v>PLBD2</v>
      </c>
      <c r="B13401" t="s">
        <v>14</v>
      </c>
      <c r="C13401" t="s">
        <v>16</v>
      </c>
      <c r="D13401" t="s">
        <v>17</v>
      </c>
      <c r="E13401" t="s">
        <v>12</v>
      </c>
      <c r="F13401">
        <v>113796347</v>
      </c>
      <c r="G13401">
        <v>113796404</v>
      </c>
      <c r="H13401">
        <v>113796410</v>
      </c>
      <c r="I13401">
        <v>113796421</v>
      </c>
    </row>
    <row r="13402" spans="1:9" x14ac:dyDescent="0.2">
      <c r="A13402" s="1" t="str">
        <f>"PLCB1"</f>
        <v>PLCB1</v>
      </c>
      <c r="B13402" t="s">
        <v>14</v>
      </c>
      <c r="C13402" t="s">
        <v>29</v>
      </c>
      <c r="D13402" t="s">
        <v>17</v>
      </c>
      <c r="E13402" t="s">
        <v>12</v>
      </c>
      <c r="F13402">
        <v>8112900</v>
      </c>
      <c r="G13402">
        <v>8112925</v>
      </c>
      <c r="H13402">
        <v>8112926</v>
      </c>
      <c r="I13402">
        <v>8112939</v>
      </c>
    </row>
    <row r="13403" spans="1:9" x14ac:dyDescent="0.2">
      <c r="A13403" s="1" t="str">
        <f>"PLCB2"</f>
        <v>PLCB2</v>
      </c>
      <c r="B13403" t="s">
        <v>14</v>
      </c>
      <c r="C13403" t="s">
        <v>25</v>
      </c>
      <c r="D13403" t="s">
        <v>11</v>
      </c>
      <c r="E13403" t="s">
        <v>12</v>
      </c>
      <c r="F13403">
        <v>40600115</v>
      </c>
      <c r="G13403">
        <v>40600166</v>
      </c>
      <c r="H13403">
        <v>40600028</v>
      </c>
      <c r="I13403">
        <v>40600061</v>
      </c>
    </row>
    <row r="13404" spans="1:9" x14ac:dyDescent="0.2">
      <c r="A13404" s="1" t="str">
        <f>"PLCB3"</f>
        <v>PLCB3</v>
      </c>
      <c r="B13404" t="s">
        <v>14</v>
      </c>
      <c r="C13404" t="s">
        <v>27</v>
      </c>
      <c r="D13404" t="s">
        <v>17</v>
      </c>
      <c r="E13404" t="s">
        <v>12</v>
      </c>
      <c r="F13404">
        <v>64018955</v>
      </c>
      <c r="G13404">
        <v>64019030</v>
      </c>
      <c r="H13404">
        <v>64019031</v>
      </c>
      <c r="I13404">
        <v>64019034</v>
      </c>
    </row>
    <row r="13405" spans="1:9" x14ac:dyDescent="0.2">
      <c r="A13405" s="1" t="str">
        <f>"PLCB4"</f>
        <v>PLCB4</v>
      </c>
      <c r="B13405" t="s">
        <v>14</v>
      </c>
      <c r="C13405" t="s">
        <v>29</v>
      </c>
      <c r="D13405" t="s">
        <v>17</v>
      </c>
      <c r="E13405" t="s">
        <v>12</v>
      </c>
      <c r="F13405">
        <v>9049303</v>
      </c>
      <c r="G13405">
        <v>9049387</v>
      </c>
      <c r="H13405">
        <v>9049723</v>
      </c>
      <c r="I13405">
        <v>9049741</v>
      </c>
    </row>
    <row r="13406" spans="1:9" x14ac:dyDescent="0.2">
      <c r="A13406" s="1" t="str">
        <f>"PLCD1"</f>
        <v>PLCD1</v>
      </c>
      <c r="B13406" t="s">
        <v>14</v>
      </c>
      <c r="C13406" t="s">
        <v>22</v>
      </c>
      <c r="D13406" t="s">
        <v>11</v>
      </c>
      <c r="E13406" t="s">
        <v>12</v>
      </c>
      <c r="F13406">
        <v>38071122</v>
      </c>
      <c r="G13406">
        <v>38071141</v>
      </c>
      <c r="H13406">
        <v>38071108</v>
      </c>
      <c r="I13406">
        <v>38071121</v>
      </c>
    </row>
    <row r="13407" spans="1:9" x14ac:dyDescent="0.2">
      <c r="A13407" s="1" t="str">
        <f>"PLCD3"</f>
        <v>PLCD3</v>
      </c>
      <c r="B13407" t="s">
        <v>14</v>
      </c>
      <c r="C13407" t="s">
        <v>28</v>
      </c>
      <c r="D13407" t="s">
        <v>11</v>
      </c>
      <c r="E13407" t="s">
        <v>12</v>
      </c>
      <c r="F13407">
        <v>43209862</v>
      </c>
      <c r="G13407">
        <v>43209896</v>
      </c>
      <c r="H13407">
        <v>43209904</v>
      </c>
      <c r="I13407">
        <v>43209916</v>
      </c>
    </row>
    <row r="13408" spans="1:9" x14ac:dyDescent="0.2">
      <c r="A13408" s="1" t="str">
        <f>"PLCD4"</f>
        <v>PLCD4</v>
      </c>
      <c r="B13408" t="s">
        <v>14</v>
      </c>
      <c r="C13408" t="s">
        <v>26</v>
      </c>
      <c r="D13408" t="s">
        <v>17</v>
      </c>
      <c r="E13408" t="s">
        <v>12</v>
      </c>
      <c r="F13408">
        <v>219472602</v>
      </c>
      <c r="G13408">
        <v>219472628</v>
      </c>
      <c r="H13408">
        <v>219472585</v>
      </c>
      <c r="I13408">
        <v>219472600</v>
      </c>
    </row>
    <row r="13409" spans="1:9" x14ac:dyDescent="0.2">
      <c r="A13409" s="1" t="str">
        <f>"PLCE1"</f>
        <v>PLCE1</v>
      </c>
      <c r="B13409" t="s">
        <v>14</v>
      </c>
      <c r="C13409" t="s">
        <v>15</v>
      </c>
      <c r="D13409" t="s">
        <v>17</v>
      </c>
      <c r="E13409" t="s">
        <v>12</v>
      </c>
      <c r="F13409">
        <v>95753654</v>
      </c>
      <c r="G13409">
        <v>95753713</v>
      </c>
      <c r="H13409">
        <v>95753654</v>
      </c>
      <c r="I13409">
        <v>95753713</v>
      </c>
    </row>
    <row r="13410" spans="1:9" x14ac:dyDescent="0.2">
      <c r="A13410" s="1" t="str">
        <f>"PLCG1"</f>
        <v>PLCG1</v>
      </c>
      <c r="B13410" t="s">
        <v>14</v>
      </c>
      <c r="C13410" t="s">
        <v>29</v>
      </c>
      <c r="D13410" t="s">
        <v>17</v>
      </c>
      <c r="E13410" t="s">
        <v>12</v>
      </c>
      <c r="F13410">
        <v>39766125</v>
      </c>
      <c r="G13410">
        <v>39766218</v>
      </c>
      <c r="H13410">
        <v>39765581</v>
      </c>
      <c r="I13410">
        <v>39765646</v>
      </c>
    </row>
    <row r="13411" spans="1:9" x14ac:dyDescent="0.2">
      <c r="A13411" s="1" t="str">
        <f>"PLCG2"</f>
        <v>PLCG2</v>
      </c>
      <c r="B13411" t="s">
        <v>14</v>
      </c>
      <c r="C13411" t="s">
        <v>31</v>
      </c>
      <c r="D13411" t="s">
        <v>17</v>
      </c>
      <c r="E13411" t="s">
        <v>12</v>
      </c>
      <c r="F13411">
        <v>81812884</v>
      </c>
      <c r="G13411">
        <v>81812907</v>
      </c>
      <c r="H13411">
        <v>81812917</v>
      </c>
      <c r="I13411">
        <v>81812933</v>
      </c>
    </row>
    <row r="13412" spans="1:9" x14ac:dyDescent="0.2">
      <c r="A13412" s="1" t="str">
        <f>"PLCH1"</f>
        <v>PLCH1</v>
      </c>
      <c r="B13412" t="s">
        <v>9</v>
      </c>
      <c r="C13412" t="s">
        <v>22</v>
      </c>
      <c r="D13412" t="s">
        <v>11</v>
      </c>
      <c r="E13412" t="s">
        <v>12</v>
      </c>
      <c r="F13412">
        <v>155462808</v>
      </c>
      <c r="G13412">
        <v>155462883</v>
      </c>
      <c r="H13412">
        <v>155462808</v>
      </c>
      <c r="I13412">
        <v>155462883</v>
      </c>
    </row>
    <row r="13413" spans="1:9" x14ac:dyDescent="0.2">
      <c r="A13413" s="1" t="str">
        <f>"PLCH1"</f>
        <v>PLCH1</v>
      </c>
      <c r="B13413" t="s">
        <v>13</v>
      </c>
      <c r="C13413" t="s">
        <v>22</v>
      </c>
      <c r="D13413" t="s">
        <v>11</v>
      </c>
      <c r="E13413" t="s">
        <v>12</v>
      </c>
      <c r="F13413">
        <v>155394118</v>
      </c>
      <c r="G13413">
        <v>155394139</v>
      </c>
      <c r="H13413">
        <v>155394118</v>
      </c>
      <c r="I13413">
        <v>155394139</v>
      </c>
    </row>
    <row r="13414" spans="1:9" x14ac:dyDescent="0.2">
      <c r="A13414" s="1" t="str">
        <f>"PLCH2"</f>
        <v>PLCH2</v>
      </c>
      <c r="B13414" t="s">
        <v>9</v>
      </c>
      <c r="C13414" t="s">
        <v>19</v>
      </c>
      <c r="D13414" t="s">
        <v>17</v>
      </c>
      <c r="E13414" t="s">
        <v>12</v>
      </c>
      <c r="F13414">
        <v>2398876</v>
      </c>
      <c r="G13414">
        <v>2398928</v>
      </c>
      <c r="H13414">
        <v>2398876</v>
      </c>
      <c r="I13414">
        <v>2398928</v>
      </c>
    </row>
    <row r="13415" spans="1:9" x14ac:dyDescent="0.2">
      <c r="A13415" s="1" t="str">
        <f>"PLCH2"</f>
        <v>PLCH2</v>
      </c>
      <c r="B13415" t="s">
        <v>13</v>
      </c>
      <c r="C13415" t="s">
        <v>19</v>
      </c>
      <c r="D13415" t="s">
        <v>17</v>
      </c>
      <c r="E13415" t="s">
        <v>12</v>
      </c>
      <c r="F13415">
        <v>2407754</v>
      </c>
      <c r="G13415">
        <v>2407773</v>
      </c>
      <c r="H13415">
        <v>2407754</v>
      </c>
      <c r="I13415">
        <v>2407773</v>
      </c>
    </row>
    <row r="13416" spans="1:9" x14ac:dyDescent="0.2">
      <c r="A13416" s="1" t="str">
        <f>"PLCL1"</f>
        <v>PLCL1</v>
      </c>
      <c r="B13416" t="s">
        <v>14</v>
      </c>
      <c r="C13416" t="s">
        <v>26</v>
      </c>
      <c r="D13416" t="s">
        <v>17</v>
      </c>
      <c r="E13416" t="s">
        <v>12</v>
      </c>
      <c r="F13416">
        <v>198669308</v>
      </c>
      <c r="G13416">
        <v>198669328</v>
      </c>
      <c r="H13416">
        <v>198669338</v>
      </c>
      <c r="I13416">
        <v>198669358</v>
      </c>
    </row>
    <row r="13417" spans="1:9" x14ac:dyDescent="0.2">
      <c r="A13417" s="1" t="str">
        <f>"PLCL2"</f>
        <v>PLCL2</v>
      </c>
      <c r="B13417" t="s">
        <v>14</v>
      </c>
      <c r="C13417" t="s">
        <v>22</v>
      </c>
      <c r="D13417" t="s">
        <v>17</v>
      </c>
      <c r="E13417" t="s">
        <v>12</v>
      </c>
      <c r="F13417">
        <v>16926484</v>
      </c>
      <c r="G13417">
        <v>16926502</v>
      </c>
      <c r="H13417">
        <v>16926441</v>
      </c>
      <c r="I13417">
        <v>16926463</v>
      </c>
    </row>
    <row r="13418" spans="1:9" x14ac:dyDescent="0.2">
      <c r="A13418" s="1" t="str">
        <f>"PLCXD1"</f>
        <v>PLCXD1</v>
      </c>
      <c r="B13418" t="s">
        <v>9</v>
      </c>
      <c r="C13418" t="s">
        <v>37</v>
      </c>
      <c r="D13418" t="s">
        <v>17</v>
      </c>
      <c r="E13418" t="s">
        <v>12</v>
      </c>
      <c r="F13418">
        <v>198034</v>
      </c>
      <c r="G13418">
        <v>198086</v>
      </c>
      <c r="H13418">
        <v>198034</v>
      </c>
      <c r="I13418">
        <v>198086</v>
      </c>
    </row>
    <row r="13419" spans="1:9" x14ac:dyDescent="0.2">
      <c r="A13419" s="1" t="str">
        <f>"PLCXD1"</f>
        <v>PLCXD1</v>
      </c>
      <c r="B13419" t="s">
        <v>13</v>
      </c>
      <c r="C13419" t="s">
        <v>37</v>
      </c>
      <c r="D13419" t="s">
        <v>17</v>
      </c>
      <c r="E13419" t="s">
        <v>12</v>
      </c>
      <c r="F13419">
        <v>193008</v>
      </c>
      <c r="G13419">
        <v>193045</v>
      </c>
      <c r="H13419">
        <v>193008</v>
      </c>
      <c r="I13419">
        <v>193045</v>
      </c>
    </row>
    <row r="13420" spans="1:9" x14ac:dyDescent="0.2">
      <c r="A13420" s="1" t="str">
        <f>"PLCXD2"</f>
        <v>PLCXD2</v>
      </c>
      <c r="B13420" t="s">
        <v>14</v>
      </c>
      <c r="C13420" t="s">
        <v>22</v>
      </c>
      <c r="D13420" t="s">
        <v>17</v>
      </c>
      <c r="E13420" t="s">
        <v>12</v>
      </c>
      <c r="F13420">
        <v>111393542</v>
      </c>
      <c r="G13420">
        <v>111393579</v>
      </c>
      <c r="H13420">
        <v>111393501</v>
      </c>
      <c r="I13420">
        <v>111393538</v>
      </c>
    </row>
    <row r="13421" spans="1:9" x14ac:dyDescent="0.2">
      <c r="A13421" s="1" t="str">
        <f>"PLCXD3"</f>
        <v>PLCXD3</v>
      </c>
      <c r="B13421" t="s">
        <v>14</v>
      </c>
      <c r="C13421" t="s">
        <v>46</v>
      </c>
      <c r="D13421" t="s">
        <v>11</v>
      </c>
      <c r="E13421" t="s">
        <v>12</v>
      </c>
      <c r="F13421">
        <v>41510656</v>
      </c>
      <c r="G13421">
        <v>41510713</v>
      </c>
      <c r="H13421">
        <v>41510836</v>
      </c>
      <c r="I13421">
        <v>41510855</v>
      </c>
    </row>
    <row r="13422" spans="1:9" x14ac:dyDescent="0.2">
      <c r="A13422" s="1" t="str">
        <f>"PLCZ1"</f>
        <v>PLCZ1</v>
      </c>
      <c r="B13422" t="s">
        <v>14</v>
      </c>
      <c r="C13422" t="s">
        <v>16</v>
      </c>
      <c r="D13422" t="s">
        <v>11</v>
      </c>
      <c r="E13422" t="s">
        <v>12</v>
      </c>
      <c r="F13422">
        <v>18890940</v>
      </c>
      <c r="G13422">
        <v>18890951</v>
      </c>
      <c r="H13422">
        <v>18890940</v>
      </c>
      <c r="I13422">
        <v>18890951</v>
      </c>
    </row>
    <row r="13423" spans="1:9" x14ac:dyDescent="0.2">
      <c r="A13423" s="1" t="str">
        <f>"PLD1"</f>
        <v>PLD1</v>
      </c>
      <c r="B13423" t="s">
        <v>14</v>
      </c>
      <c r="C13423" t="s">
        <v>22</v>
      </c>
      <c r="D13423" t="s">
        <v>11</v>
      </c>
      <c r="E13423" t="s">
        <v>12</v>
      </c>
      <c r="F13423">
        <v>171528227</v>
      </c>
      <c r="G13423">
        <v>171528298</v>
      </c>
      <c r="H13423">
        <v>171528227</v>
      </c>
      <c r="I13423">
        <v>171528298</v>
      </c>
    </row>
    <row r="13424" spans="1:9" x14ac:dyDescent="0.2">
      <c r="A13424" s="1" t="str">
        <f>"PLD2"</f>
        <v>PLD2</v>
      </c>
      <c r="B13424" t="s">
        <v>14</v>
      </c>
      <c r="C13424" t="s">
        <v>28</v>
      </c>
      <c r="D13424" t="s">
        <v>17</v>
      </c>
      <c r="E13424" t="s">
        <v>12</v>
      </c>
      <c r="F13424">
        <v>4710420</v>
      </c>
      <c r="G13424">
        <v>4710500</v>
      </c>
      <c r="H13424">
        <v>4711093</v>
      </c>
      <c r="I13424">
        <v>4711106</v>
      </c>
    </row>
    <row r="13425" spans="1:9" x14ac:dyDescent="0.2">
      <c r="A13425" s="1" t="str">
        <f>"PLD3"</f>
        <v>PLD3</v>
      </c>
      <c r="B13425" t="s">
        <v>9</v>
      </c>
      <c r="C13425" t="s">
        <v>10</v>
      </c>
      <c r="D13425" t="s">
        <v>17</v>
      </c>
      <c r="E13425" t="s">
        <v>12</v>
      </c>
      <c r="F13425">
        <v>40871734</v>
      </c>
      <c r="G13425">
        <v>40871809</v>
      </c>
      <c r="H13425">
        <v>40871734</v>
      </c>
      <c r="I13425">
        <v>40871809</v>
      </c>
    </row>
    <row r="13426" spans="1:9" x14ac:dyDescent="0.2">
      <c r="A13426" s="1" t="str">
        <f>"PLD3"</f>
        <v>PLD3</v>
      </c>
      <c r="B13426" t="s">
        <v>13</v>
      </c>
      <c r="C13426" t="s">
        <v>10</v>
      </c>
      <c r="D13426" t="s">
        <v>17</v>
      </c>
      <c r="E13426" t="s">
        <v>12</v>
      </c>
      <c r="F13426">
        <v>40854559</v>
      </c>
      <c r="G13426">
        <v>40854625</v>
      </c>
      <c r="H13426">
        <v>40854559</v>
      </c>
      <c r="I13426">
        <v>40854625</v>
      </c>
    </row>
    <row r="13427" spans="1:9" x14ac:dyDescent="0.2">
      <c r="A13427" s="1" t="str">
        <f>"PLD4"</f>
        <v>PLD4</v>
      </c>
      <c r="B13427" t="s">
        <v>14</v>
      </c>
      <c r="C13427" t="s">
        <v>41</v>
      </c>
      <c r="D13427" t="s">
        <v>17</v>
      </c>
      <c r="E13427" t="s">
        <v>12</v>
      </c>
      <c r="F13427">
        <v>105391181</v>
      </c>
      <c r="G13427">
        <v>105391241</v>
      </c>
      <c r="H13427">
        <v>105391147</v>
      </c>
      <c r="I13427">
        <v>105391158</v>
      </c>
    </row>
    <row r="13428" spans="1:9" x14ac:dyDescent="0.2">
      <c r="A13428" s="1" t="str">
        <f>"PLD5"</f>
        <v>PLD5</v>
      </c>
      <c r="B13428" t="s">
        <v>14</v>
      </c>
      <c r="C13428" t="s">
        <v>19</v>
      </c>
      <c r="D13428" t="s">
        <v>11</v>
      </c>
      <c r="E13428" t="s">
        <v>12</v>
      </c>
      <c r="F13428">
        <v>242687989</v>
      </c>
      <c r="G13428">
        <v>242688004</v>
      </c>
      <c r="H13428">
        <v>242687989</v>
      </c>
      <c r="I13428">
        <v>242688004</v>
      </c>
    </row>
    <row r="13429" spans="1:9" x14ac:dyDescent="0.2">
      <c r="A13429" s="1" t="str">
        <f>"PLD6"</f>
        <v>PLD6</v>
      </c>
      <c r="B13429" t="s">
        <v>1344</v>
      </c>
      <c r="C13429" t="s">
        <v>28</v>
      </c>
      <c r="D13429" t="s">
        <v>11</v>
      </c>
      <c r="E13429" t="s">
        <v>35</v>
      </c>
      <c r="F13429">
        <v>17109579</v>
      </c>
      <c r="G13429">
        <v>17109683</v>
      </c>
      <c r="H13429">
        <v>17109515</v>
      </c>
      <c r="I13429">
        <v>17109520</v>
      </c>
    </row>
    <row r="13430" spans="1:9" x14ac:dyDescent="0.2">
      <c r="A13430" s="1" t="str">
        <f>"PLEC"</f>
        <v>PLEC</v>
      </c>
      <c r="B13430" t="s">
        <v>9</v>
      </c>
      <c r="C13430" t="s">
        <v>30</v>
      </c>
      <c r="D13430" t="s">
        <v>11</v>
      </c>
      <c r="E13430" t="s">
        <v>12</v>
      </c>
      <c r="F13430">
        <v>145013711</v>
      </c>
      <c r="G13430">
        <v>145013786</v>
      </c>
      <c r="H13430">
        <v>145013711</v>
      </c>
      <c r="I13430">
        <v>145013786</v>
      </c>
    </row>
    <row r="13431" spans="1:9" x14ac:dyDescent="0.2">
      <c r="A13431" s="1" t="str">
        <f>"PLEC"</f>
        <v>PLEC</v>
      </c>
      <c r="B13431" t="s">
        <v>13</v>
      </c>
      <c r="C13431" t="s">
        <v>30</v>
      </c>
      <c r="D13431" t="s">
        <v>11</v>
      </c>
      <c r="E13431" t="s">
        <v>12</v>
      </c>
      <c r="F13431">
        <v>145025074</v>
      </c>
      <c r="G13431">
        <v>145025102</v>
      </c>
      <c r="H13431">
        <v>145025074</v>
      </c>
      <c r="I13431">
        <v>145025102</v>
      </c>
    </row>
    <row r="13432" spans="1:9" x14ac:dyDescent="0.2">
      <c r="A13432" s="1" t="str">
        <f>"PLEK"</f>
        <v>PLEK</v>
      </c>
      <c r="B13432" t="s">
        <v>14</v>
      </c>
      <c r="C13432" t="s">
        <v>26</v>
      </c>
      <c r="D13432" t="s">
        <v>17</v>
      </c>
      <c r="E13432" t="s">
        <v>12</v>
      </c>
      <c r="F13432">
        <v>68592406</v>
      </c>
      <c r="G13432">
        <v>68592424</v>
      </c>
      <c r="H13432">
        <v>68592394</v>
      </c>
      <c r="I13432">
        <v>68592405</v>
      </c>
    </row>
    <row r="13433" spans="1:9" x14ac:dyDescent="0.2">
      <c r="A13433" s="1" t="str">
        <f>"PLEK2"</f>
        <v>PLEK2</v>
      </c>
      <c r="B13433" t="s">
        <v>14</v>
      </c>
      <c r="C13433" t="s">
        <v>41</v>
      </c>
      <c r="D13433" t="s">
        <v>11</v>
      </c>
      <c r="E13433" t="s">
        <v>12</v>
      </c>
      <c r="F13433">
        <v>67878829</v>
      </c>
      <c r="G13433">
        <v>67878909</v>
      </c>
      <c r="H13433">
        <v>67878918</v>
      </c>
      <c r="I13433">
        <v>67878936</v>
      </c>
    </row>
    <row r="13434" spans="1:9" x14ac:dyDescent="0.2">
      <c r="A13434" s="1" t="str">
        <f>"PLEKHA1"</f>
        <v>PLEKHA1</v>
      </c>
      <c r="B13434" t="s">
        <v>14</v>
      </c>
      <c r="C13434" t="s">
        <v>15</v>
      </c>
      <c r="D13434" t="s">
        <v>17</v>
      </c>
      <c r="E13434" t="s">
        <v>12</v>
      </c>
      <c r="F13434">
        <v>124134201</v>
      </c>
      <c r="G13434">
        <v>124134282</v>
      </c>
      <c r="H13434">
        <v>124134155</v>
      </c>
      <c r="I13434">
        <v>124134196</v>
      </c>
    </row>
    <row r="13435" spans="1:9" x14ac:dyDescent="0.2">
      <c r="A13435" s="1" t="str">
        <f>"PLEKHA2"</f>
        <v>PLEKHA2</v>
      </c>
      <c r="B13435" t="s">
        <v>14</v>
      </c>
      <c r="C13435" t="s">
        <v>30</v>
      </c>
      <c r="D13435" t="s">
        <v>17</v>
      </c>
      <c r="E13435" t="s">
        <v>12</v>
      </c>
      <c r="F13435">
        <v>38759274</v>
      </c>
      <c r="G13435">
        <v>38759340</v>
      </c>
      <c r="H13435">
        <v>38758640</v>
      </c>
      <c r="I13435">
        <v>38758708</v>
      </c>
    </row>
    <row r="13436" spans="1:9" x14ac:dyDescent="0.2">
      <c r="A13436" s="1" t="str">
        <f>"PLEKHA3"</f>
        <v>PLEKHA3</v>
      </c>
      <c r="B13436" t="s">
        <v>14</v>
      </c>
      <c r="C13436" t="s">
        <v>26</v>
      </c>
      <c r="D13436" t="s">
        <v>17</v>
      </c>
      <c r="E13436" t="s">
        <v>12</v>
      </c>
      <c r="F13436">
        <v>179345173</v>
      </c>
      <c r="G13436">
        <v>179345221</v>
      </c>
      <c r="H13436">
        <v>179345073</v>
      </c>
      <c r="I13436">
        <v>179345097</v>
      </c>
    </row>
    <row r="13437" spans="1:9" x14ac:dyDescent="0.2">
      <c r="A13437" s="1" t="str">
        <f>"PLEKHA4"</f>
        <v>PLEKHA4</v>
      </c>
      <c r="B13437" t="s">
        <v>14</v>
      </c>
      <c r="C13437" t="s">
        <v>10</v>
      </c>
      <c r="D13437" t="s">
        <v>11</v>
      </c>
      <c r="E13437" t="s">
        <v>12</v>
      </c>
      <c r="F13437">
        <v>49371848</v>
      </c>
      <c r="G13437">
        <v>49371879</v>
      </c>
      <c r="H13437">
        <v>49371905</v>
      </c>
      <c r="I13437">
        <v>49371933</v>
      </c>
    </row>
    <row r="13438" spans="1:9" x14ac:dyDescent="0.2">
      <c r="A13438" s="1" t="str">
        <f>"PLEKHA5"</f>
        <v>PLEKHA5</v>
      </c>
      <c r="B13438" t="s">
        <v>14</v>
      </c>
      <c r="C13438" t="s">
        <v>16</v>
      </c>
      <c r="D13438" t="s">
        <v>17</v>
      </c>
      <c r="E13438" t="s">
        <v>12</v>
      </c>
      <c r="F13438">
        <v>19282643</v>
      </c>
      <c r="G13438">
        <v>19282710</v>
      </c>
      <c r="H13438">
        <v>19282643</v>
      </c>
      <c r="I13438">
        <v>19282710</v>
      </c>
    </row>
    <row r="13439" spans="1:9" x14ac:dyDescent="0.2">
      <c r="A13439" s="1" t="str">
        <f>"PLEKHA6"</f>
        <v>PLEKHA6</v>
      </c>
      <c r="B13439" t="s">
        <v>14</v>
      </c>
      <c r="C13439" t="s">
        <v>19</v>
      </c>
      <c r="D13439" t="s">
        <v>11</v>
      </c>
      <c r="E13439" t="s">
        <v>12</v>
      </c>
      <c r="F13439">
        <v>204329013</v>
      </c>
      <c r="G13439">
        <v>204329086</v>
      </c>
      <c r="H13439">
        <v>204329013</v>
      </c>
      <c r="I13439">
        <v>204329086</v>
      </c>
    </row>
    <row r="13440" spans="1:9" x14ac:dyDescent="0.2">
      <c r="A13440" s="1" t="str">
        <f>"PLEKHA7"</f>
        <v>PLEKHA7</v>
      </c>
      <c r="B13440" t="s">
        <v>14</v>
      </c>
      <c r="C13440" t="s">
        <v>27</v>
      </c>
      <c r="D13440" t="s">
        <v>11</v>
      </c>
      <c r="E13440" t="s">
        <v>12</v>
      </c>
      <c r="F13440">
        <v>17035943</v>
      </c>
      <c r="G13440">
        <v>17035981</v>
      </c>
      <c r="H13440">
        <v>17035943</v>
      </c>
      <c r="I13440">
        <v>17035981</v>
      </c>
    </row>
    <row r="13441" spans="1:9" x14ac:dyDescent="0.2">
      <c r="A13441" s="1" t="str">
        <f>"PLEKHA8"</f>
        <v>PLEKHA8</v>
      </c>
      <c r="B13441" t="s">
        <v>14</v>
      </c>
      <c r="C13441" t="s">
        <v>33</v>
      </c>
      <c r="D13441" t="s">
        <v>17</v>
      </c>
      <c r="E13441" t="s">
        <v>12</v>
      </c>
      <c r="F13441">
        <v>30067973</v>
      </c>
      <c r="G13441">
        <v>30068063</v>
      </c>
      <c r="H13441">
        <v>30068260</v>
      </c>
      <c r="I13441">
        <v>30068285</v>
      </c>
    </row>
    <row r="13442" spans="1:9" x14ac:dyDescent="0.2">
      <c r="A13442" s="1" t="str">
        <f>"PLEKHB1"</f>
        <v>PLEKHB1</v>
      </c>
      <c r="B13442" t="s">
        <v>14</v>
      </c>
      <c r="C13442" t="s">
        <v>27</v>
      </c>
      <c r="D13442" t="s">
        <v>17</v>
      </c>
      <c r="E13442" t="s">
        <v>12</v>
      </c>
      <c r="F13442">
        <v>73358690</v>
      </c>
      <c r="G13442">
        <v>73358736</v>
      </c>
      <c r="H13442">
        <v>73358663</v>
      </c>
      <c r="I13442">
        <v>73358687</v>
      </c>
    </row>
    <row r="13443" spans="1:9" x14ac:dyDescent="0.2">
      <c r="A13443" s="1" t="str">
        <f>"PLEKHB2"</f>
        <v>PLEKHB2</v>
      </c>
      <c r="B13443" t="s">
        <v>14</v>
      </c>
      <c r="C13443" t="s">
        <v>26</v>
      </c>
      <c r="D13443" t="s">
        <v>17</v>
      </c>
      <c r="E13443" t="s">
        <v>12</v>
      </c>
      <c r="F13443">
        <v>131862900</v>
      </c>
      <c r="G13443">
        <v>131862924</v>
      </c>
      <c r="H13443">
        <v>131862872</v>
      </c>
      <c r="I13443">
        <v>131862885</v>
      </c>
    </row>
    <row r="13444" spans="1:9" x14ac:dyDescent="0.2">
      <c r="A13444" s="1" t="str">
        <f>"PLEKHD1"</f>
        <v>PLEKHD1</v>
      </c>
      <c r="B13444" t="s">
        <v>14</v>
      </c>
      <c r="C13444" t="s">
        <v>41</v>
      </c>
      <c r="D13444" t="s">
        <v>17</v>
      </c>
      <c r="E13444" t="s">
        <v>12</v>
      </c>
      <c r="F13444">
        <v>69951399</v>
      </c>
      <c r="G13444">
        <v>69951420</v>
      </c>
      <c r="H13444">
        <v>69951439</v>
      </c>
      <c r="I13444">
        <v>69951452</v>
      </c>
    </row>
    <row r="13445" spans="1:9" x14ac:dyDescent="0.2">
      <c r="A13445" s="1" t="str">
        <f>"PLEKHF1"</f>
        <v>PLEKHF1</v>
      </c>
      <c r="B13445" t="s">
        <v>14</v>
      </c>
      <c r="C13445" t="s">
        <v>10</v>
      </c>
      <c r="D13445" t="s">
        <v>17</v>
      </c>
      <c r="E13445" t="s">
        <v>12</v>
      </c>
      <c r="F13445">
        <v>30156351</v>
      </c>
      <c r="G13445">
        <v>30156381</v>
      </c>
      <c r="H13445">
        <v>30156400</v>
      </c>
      <c r="I13445">
        <v>30156411</v>
      </c>
    </row>
    <row r="13446" spans="1:9" x14ac:dyDescent="0.2">
      <c r="A13446" s="1" t="str">
        <f>"PLEKHF2"</f>
        <v>PLEKHF2</v>
      </c>
      <c r="B13446" t="s">
        <v>14</v>
      </c>
      <c r="C13446" t="s">
        <v>30</v>
      </c>
      <c r="D13446" t="s">
        <v>17</v>
      </c>
      <c r="E13446" t="s">
        <v>12</v>
      </c>
      <c r="F13446">
        <v>96145974</v>
      </c>
      <c r="G13446">
        <v>96146041</v>
      </c>
      <c r="H13446">
        <v>96146132</v>
      </c>
      <c r="I13446">
        <v>96146155</v>
      </c>
    </row>
    <row r="13447" spans="1:9" x14ac:dyDescent="0.2">
      <c r="A13447" s="1" t="str">
        <f>"PLEKHG1"</f>
        <v>PLEKHG1</v>
      </c>
      <c r="B13447" t="s">
        <v>9</v>
      </c>
      <c r="C13447" t="s">
        <v>32</v>
      </c>
      <c r="D13447" t="s">
        <v>17</v>
      </c>
      <c r="E13447" t="s">
        <v>12</v>
      </c>
      <c r="F13447">
        <v>150920999</v>
      </c>
      <c r="G13447">
        <v>150921062</v>
      </c>
      <c r="H13447">
        <v>150920999</v>
      </c>
      <c r="I13447">
        <v>150921062</v>
      </c>
    </row>
    <row r="13448" spans="1:9" x14ac:dyDescent="0.2">
      <c r="A13448" s="1" t="str">
        <f>"PLEKHG1"</f>
        <v>PLEKHG1</v>
      </c>
      <c r="B13448" t="s">
        <v>13</v>
      </c>
      <c r="C13448" t="s">
        <v>32</v>
      </c>
      <c r="D13448" t="s">
        <v>17</v>
      </c>
      <c r="E13448" t="s">
        <v>12</v>
      </c>
      <c r="F13448">
        <v>151042248</v>
      </c>
      <c r="G13448">
        <v>151042293</v>
      </c>
      <c r="H13448">
        <v>151042248</v>
      </c>
      <c r="I13448">
        <v>151042293</v>
      </c>
    </row>
    <row r="13449" spans="1:9" x14ac:dyDescent="0.2">
      <c r="A13449" s="1" t="str">
        <f>"PLEKHG2"</f>
        <v>PLEKHG2</v>
      </c>
      <c r="B13449" t="s">
        <v>14</v>
      </c>
      <c r="C13449" t="s">
        <v>10</v>
      </c>
      <c r="D13449" t="s">
        <v>17</v>
      </c>
      <c r="E13449" t="s">
        <v>12</v>
      </c>
      <c r="F13449">
        <v>39903290</v>
      </c>
      <c r="G13449">
        <v>39903349</v>
      </c>
      <c r="H13449">
        <v>39903247</v>
      </c>
      <c r="I13449">
        <v>39903289</v>
      </c>
    </row>
    <row r="13450" spans="1:9" x14ac:dyDescent="0.2">
      <c r="A13450" s="1" t="str">
        <f>"PLEKHG3"</f>
        <v>PLEKHG3</v>
      </c>
      <c r="B13450" t="s">
        <v>14</v>
      </c>
      <c r="C13450" t="s">
        <v>41</v>
      </c>
      <c r="D13450" t="s">
        <v>17</v>
      </c>
      <c r="E13450" t="s">
        <v>12</v>
      </c>
      <c r="F13450">
        <v>65171099</v>
      </c>
      <c r="G13450">
        <v>65171210</v>
      </c>
      <c r="H13450">
        <v>65171322</v>
      </c>
      <c r="I13450">
        <v>65171368</v>
      </c>
    </row>
    <row r="13451" spans="1:9" x14ac:dyDescent="0.2">
      <c r="A13451" s="1" t="str">
        <f>"PLEKHG4"</f>
        <v>PLEKHG4</v>
      </c>
      <c r="B13451" t="s">
        <v>9</v>
      </c>
      <c r="C13451" t="s">
        <v>31</v>
      </c>
      <c r="D13451" t="s">
        <v>17</v>
      </c>
      <c r="E13451" t="s">
        <v>12</v>
      </c>
      <c r="F13451">
        <v>67313412</v>
      </c>
      <c r="G13451">
        <v>67313464</v>
      </c>
      <c r="H13451">
        <v>67313412</v>
      </c>
      <c r="I13451">
        <v>67313464</v>
      </c>
    </row>
    <row r="13452" spans="1:9" x14ac:dyDescent="0.2">
      <c r="A13452" s="1" t="str">
        <f>"PLEKHG4"</f>
        <v>PLEKHG4</v>
      </c>
      <c r="B13452" t="s">
        <v>13</v>
      </c>
      <c r="C13452" t="s">
        <v>31</v>
      </c>
      <c r="D13452" t="s">
        <v>17</v>
      </c>
      <c r="E13452" t="s">
        <v>12</v>
      </c>
      <c r="F13452">
        <v>67312049</v>
      </c>
      <c r="G13452">
        <v>67312115</v>
      </c>
      <c r="H13452">
        <v>67312049</v>
      </c>
      <c r="I13452">
        <v>67312115</v>
      </c>
    </row>
    <row r="13453" spans="1:9" x14ac:dyDescent="0.2">
      <c r="A13453" s="1" t="str">
        <f>"PLEKHG4B"</f>
        <v>PLEKHG4B</v>
      </c>
      <c r="B13453" t="s">
        <v>14</v>
      </c>
      <c r="C13453" t="s">
        <v>46</v>
      </c>
      <c r="D13453" t="s">
        <v>17</v>
      </c>
      <c r="E13453" t="s">
        <v>12</v>
      </c>
      <c r="F13453">
        <v>140566</v>
      </c>
      <c r="G13453">
        <v>140577</v>
      </c>
      <c r="H13453">
        <v>140566</v>
      </c>
      <c r="I13453">
        <v>140577</v>
      </c>
    </row>
    <row r="13454" spans="1:9" x14ac:dyDescent="0.2">
      <c r="A13454" s="1" t="str">
        <f>"PLEKHG5"</f>
        <v>PLEKHG5</v>
      </c>
      <c r="B13454" t="s">
        <v>9</v>
      </c>
      <c r="C13454" t="s">
        <v>19</v>
      </c>
      <c r="D13454" t="s">
        <v>11</v>
      </c>
      <c r="E13454" t="s">
        <v>12</v>
      </c>
      <c r="F13454">
        <v>6557463</v>
      </c>
      <c r="G13454">
        <v>6557513</v>
      </c>
      <c r="H13454">
        <v>6557463</v>
      </c>
      <c r="I13454">
        <v>6557513</v>
      </c>
    </row>
    <row r="13455" spans="1:9" x14ac:dyDescent="0.2">
      <c r="A13455" s="1" t="str">
        <f>"PLEKHG5"</f>
        <v>PLEKHG5</v>
      </c>
      <c r="B13455" t="s">
        <v>13</v>
      </c>
      <c r="C13455" t="s">
        <v>19</v>
      </c>
      <c r="D13455" t="s">
        <v>11</v>
      </c>
      <c r="E13455" t="s">
        <v>12</v>
      </c>
      <c r="F13455">
        <v>6545502</v>
      </c>
      <c r="G13455">
        <v>6545548</v>
      </c>
      <c r="H13455">
        <v>6545502</v>
      </c>
      <c r="I13455">
        <v>6545548</v>
      </c>
    </row>
    <row r="13456" spans="1:9" x14ac:dyDescent="0.2">
      <c r="A13456" s="1" t="str">
        <f>"PLEKHG6"</f>
        <v>PLEKHG6</v>
      </c>
      <c r="B13456" t="s">
        <v>14</v>
      </c>
      <c r="C13456" t="s">
        <v>16</v>
      </c>
      <c r="D13456" t="s">
        <v>17</v>
      </c>
      <c r="E13456" t="s">
        <v>12</v>
      </c>
      <c r="F13456">
        <v>6419836</v>
      </c>
      <c r="G13456">
        <v>6419874</v>
      </c>
      <c r="H13456">
        <v>6419877</v>
      </c>
      <c r="I13456">
        <v>6419905</v>
      </c>
    </row>
    <row r="13457" spans="1:9" x14ac:dyDescent="0.2">
      <c r="A13457" s="1" t="str">
        <f>"PLEKHG7"</f>
        <v>PLEKHG7</v>
      </c>
      <c r="B13457" t="s">
        <v>1345</v>
      </c>
      <c r="C13457" t="s">
        <v>16</v>
      </c>
      <c r="D13457" t="s">
        <v>17</v>
      </c>
      <c r="E13457" t="s">
        <v>20</v>
      </c>
      <c r="F13457">
        <v>93130310</v>
      </c>
      <c r="G13457">
        <v>93130310</v>
      </c>
      <c r="H13457">
        <v>93130310</v>
      </c>
      <c r="I13457">
        <v>93130310</v>
      </c>
    </row>
    <row r="13458" spans="1:9" x14ac:dyDescent="0.2">
      <c r="A13458" s="1" t="str">
        <f>"PLEKHH1"</f>
        <v>PLEKHH1</v>
      </c>
      <c r="B13458" t="s">
        <v>14</v>
      </c>
      <c r="C13458" t="s">
        <v>41</v>
      </c>
      <c r="D13458" t="s">
        <v>17</v>
      </c>
      <c r="E13458" t="s">
        <v>12</v>
      </c>
      <c r="F13458">
        <v>67999999</v>
      </c>
      <c r="G13458">
        <v>68000036</v>
      </c>
      <c r="H13458">
        <v>67999779</v>
      </c>
      <c r="I13458">
        <v>67999821</v>
      </c>
    </row>
    <row r="13459" spans="1:9" x14ac:dyDescent="0.2">
      <c r="A13459" s="1" t="str">
        <f>"PLEKHH2"</f>
        <v>PLEKHH2</v>
      </c>
      <c r="B13459" t="s">
        <v>14</v>
      </c>
      <c r="C13459" t="s">
        <v>26</v>
      </c>
      <c r="D13459" t="s">
        <v>17</v>
      </c>
      <c r="E13459" t="s">
        <v>12</v>
      </c>
      <c r="F13459">
        <v>43864387</v>
      </c>
      <c r="G13459">
        <v>43864472</v>
      </c>
      <c r="H13459">
        <v>43864387</v>
      </c>
      <c r="I13459">
        <v>43864472</v>
      </c>
    </row>
    <row r="13460" spans="1:9" x14ac:dyDescent="0.2">
      <c r="A13460" s="1" t="str">
        <f>"PLEKHH3"</f>
        <v>PLEKHH3</v>
      </c>
      <c r="B13460" t="s">
        <v>14</v>
      </c>
      <c r="C13460" t="s">
        <v>28</v>
      </c>
      <c r="D13460" t="s">
        <v>11</v>
      </c>
      <c r="E13460" t="s">
        <v>12</v>
      </c>
      <c r="F13460">
        <v>40828999</v>
      </c>
      <c r="G13460">
        <v>40829024</v>
      </c>
      <c r="H13460">
        <v>40829026</v>
      </c>
      <c r="I13460">
        <v>40829047</v>
      </c>
    </row>
    <row r="13461" spans="1:9" x14ac:dyDescent="0.2">
      <c r="A13461" s="1" t="str">
        <f>"PLEKHJ1"</f>
        <v>PLEKHJ1</v>
      </c>
      <c r="B13461" t="s">
        <v>14</v>
      </c>
      <c r="C13461" t="s">
        <v>10</v>
      </c>
      <c r="D13461" t="s">
        <v>11</v>
      </c>
      <c r="E13461" t="s">
        <v>12</v>
      </c>
      <c r="F13461">
        <v>2236290</v>
      </c>
      <c r="G13461">
        <v>2236336</v>
      </c>
      <c r="H13461">
        <v>2236246</v>
      </c>
      <c r="I13461">
        <v>2236286</v>
      </c>
    </row>
    <row r="13462" spans="1:9" x14ac:dyDescent="0.2">
      <c r="A13462" s="1" t="str">
        <f>"PLEKHM1"</f>
        <v>PLEKHM1</v>
      </c>
      <c r="B13462" t="s">
        <v>14</v>
      </c>
      <c r="C13462" t="s">
        <v>28</v>
      </c>
      <c r="D13462" t="s">
        <v>11</v>
      </c>
      <c r="E13462" t="s">
        <v>12</v>
      </c>
      <c r="F13462">
        <v>43568062</v>
      </c>
      <c r="G13462">
        <v>43568089</v>
      </c>
      <c r="H13462">
        <v>43568117</v>
      </c>
      <c r="I13462">
        <v>43568146</v>
      </c>
    </row>
    <row r="13463" spans="1:9" x14ac:dyDescent="0.2">
      <c r="A13463" s="1" t="str">
        <f>"PLEKHM2"</f>
        <v>PLEKHM2</v>
      </c>
      <c r="B13463" t="s">
        <v>14</v>
      </c>
      <c r="C13463" t="s">
        <v>19</v>
      </c>
      <c r="D13463" t="s">
        <v>17</v>
      </c>
      <c r="E13463" t="s">
        <v>12</v>
      </c>
      <c r="F13463">
        <v>16010779</v>
      </c>
      <c r="G13463">
        <v>16010860</v>
      </c>
      <c r="H13463">
        <v>16010919</v>
      </c>
      <c r="I13463">
        <v>16010936</v>
      </c>
    </row>
    <row r="13464" spans="1:9" x14ac:dyDescent="0.2">
      <c r="A13464" s="1" t="str">
        <f>"PLEKHM3"</f>
        <v>PLEKHM3</v>
      </c>
      <c r="B13464" t="s">
        <v>14</v>
      </c>
      <c r="C13464" t="s">
        <v>26</v>
      </c>
      <c r="D13464" t="s">
        <v>11</v>
      </c>
      <c r="E13464" t="s">
        <v>12</v>
      </c>
      <c r="F13464">
        <v>208890218</v>
      </c>
      <c r="G13464">
        <v>208890289</v>
      </c>
      <c r="H13464">
        <v>208890218</v>
      </c>
      <c r="I13464">
        <v>208890289</v>
      </c>
    </row>
    <row r="13465" spans="1:9" x14ac:dyDescent="0.2">
      <c r="A13465" s="1" t="str">
        <f>"PLEKHN1"</f>
        <v>PLEKHN1</v>
      </c>
      <c r="B13465" t="s">
        <v>14</v>
      </c>
      <c r="C13465" t="s">
        <v>19</v>
      </c>
      <c r="D13465" t="s">
        <v>17</v>
      </c>
      <c r="E13465" t="s">
        <v>12</v>
      </c>
      <c r="F13465">
        <v>901847</v>
      </c>
      <c r="G13465">
        <v>901907</v>
      </c>
      <c r="H13465">
        <v>901847</v>
      </c>
      <c r="I13465">
        <v>901907</v>
      </c>
    </row>
    <row r="13466" spans="1:9" x14ac:dyDescent="0.2">
      <c r="A13466" s="1" t="str">
        <f>"PLEKHO1"</f>
        <v>PLEKHO1</v>
      </c>
      <c r="B13466" t="s">
        <v>14</v>
      </c>
      <c r="C13466" t="s">
        <v>19</v>
      </c>
      <c r="D13466" t="s">
        <v>17</v>
      </c>
      <c r="E13466" t="s">
        <v>12</v>
      </c>
      <c r="F13466">
        <v>150122034</v>
      </c>
      <c r="G13466">
        <v>150122137</v>
      </c>
      <c r="H13466">
        <v>150122276</v>
      </c>
      <c r="I13466">
        <v>150122403</v>
      </c>
    </row>
    <row r="13467" spans="1:9" x14ac:dyDescent="0.2">
      <c r="A13467" s="1" t="str">
        <f>"PLEKHO2"</f>
        <v>PLEKHO2</v>
      </c>
      <c r="B13467" t="s">
        <v>14</v>
      </c>
      <c r="C13467" t="s">
        <v>25</v>
      </c>
      <c r="D13467" t="s">
        <v>17</v>
      </c>
      <c r="E13467" t="s">
        <v>12</v>
      </c>
      <c r="F13467">
        <v>65134105</v>
      </c>
      <c r="G13467">
        <v>65134122</v>
      </c>
      <c r="H13467">
        <v>65133628</v>
      </c>
      <c r="I13467">
        <v>65133660</v>
      </c>
    </row>
    <row r="13468" spans="1:9" x14ac:dyDescent="0.2">
      <c r="A13468" s="1" t="str">
        <f>"PLEKHS1"</f>
        <v>PLEKHS1</v>
      </c>
      <c r="B13468" t="s">
        <v>14</v>
      </c>
      <c r="C13468" t="s">
        <v>15</v>
      </c>
      <c r="D13468" t="s">
        <v>17</v>
      </c>
      <c r="E13468" t="s">
        <v>12</v>
      </c>
      <c r="F13468">
        <v>115511434</v>
      </c>
      <c r="G13468">
        <v>115511454</v>
      </c>
      <c r="H13468">
        <v>115511224</v>
      </c>
      <c r="I13468">
        <v>115511272</v>
      </c>
    </row>
    <row r="13469" spans="1:9" x14ac:dyDescent="0.2">
      <c r="A13469" s="1" t="str">
        <f>"PLG"</f>
        <v>PLG</v>
      </c>
      <c r="B13469" t="s">
        <v>9</v>
      </c>
      <c r="C13469" t="s">
        <v>32</v>
      </c>
      <c r="D13469" t="s">
        <v>17</v>
      </c>
      <c r="E13469" t="s">
        <v>12</v>
      </c>
      <c r="F13469">
        <v>161127479</v>
      </c>
      <c r="G13469">
        <v>161127505</v>
      </c>
      <c r="H13469">
        <v>161127479</v>
      </c>
      <c r="I13469">
        <v>161127505</v>
      </c>
    </row>
    <row r="13470" spans="1:9" x14ac:dyDescent="0.2">
      <c r="A13470" s="1" t="str">
        <f>"PLG"</f>
        <v>PLG</v>
      </c>
      <c r="B13470" t="s">
        <v>13</v>
      </c>
      <c r="C13470" t="s">
        <v>32</v>
      </c>
      <c r="D13470" t="s">
        <v>17</v>
      </c>
      <c r="E13470" t="s">
        <v>12</v>
      </c>
      <c r="F13470">
        <v>161139437</v>
      </c>
      <c r="G13470">
        <v>161139444</v>
      </c>
      <c r="H13470">
        <v>161139437</v>
      </c>
      <c r="I13470">
        <v>161139444</v>
      </c>
    </row>
    <row r="13471" spans="1:9" x14ac:dyDescent="0.2">
      <c r="A13471" s="1" t="str">
        <f>"PLGLB1"</f>
        <v>PLGLB1</v>
      </c>
      <c r="B13471" t="s">
        <v>1346</v>
      </c>
      <c r="C13471" t="s">
        <v>26</v>
      </c>
      <c r="D13471" t="s">
        <v>11</v>
      </c>
      <c r="E13471" t="s">
        <v>20</v>
      </c>
      <c r="F13471">
        <v>87248974</v>
      </c>
      <c r="G13471">
        <v>87248974</v>
      </c>
      <c r="H13471">
        <v>87248974</v>
      </c>
      <c r="I13471">
        <v>87248974</v>
      </c>
    </row>
    <row r="13472" spans="1:9" x14ac:dyDescent="0.2">
      <c r="A13472" s="1" t="str">
        <f>"PLGLB2"</f>
        <v>PLGLB2</v>
      </c>
      <c r="B13472" t="s">
        <v>1347</v>
      </c>
      <c r="C13472" t="s">
        <v>26</v>
      </c>
      <c r="D13472" t="s">
        <v>17</v>
      </c>
      <c r="E13472" t="s">
        <v>20</v>
      </c>
      <c r="F13472">
        <v>88047605</v>
      </c>
      <c r="G13472">
        <v>88047605</v>
      </c>
      <c r="H13472">
        <v>88047605</v>
      </c>
      <c r="I13472">
        <v>88047605</v>
      </c>
    </row>
    <row r="13473" spans="1:9" x14ac:dyDescent="0.2">
      <c r="A13473" s="1" t="str">
        <f>"PLGRKT"</f>
        <v>PLGRKT</v>
      </c>
      <c r="B13473" t="s">
        <v>14</v>
      </c>
      <c r="C13473" t="s">
        <v>24</v>
      </c>
      <c r="D13473" t="s">
        <v>11</v>
      </c>
      <c r="E13473" t="s">
        <v>12</v>
      </c>
      <c r="F13473">
        <v>5437818</v>
      </c>
      <c r="G13473">
        <v>5437903</v>
      </c>
      <c r="H13473">
        <v>5437909</v>
      </c>
      <c r="I13473">
        <v>5437934</v>
      </c>
    </row>
    <row r="13474" spans="1:9" x14ac:dyDescent="0.2">
      <c r="A13474" s="1" t="str">
        <f>"PLIN1"</f>
        <v>PLIN1</v>
      </c>
      <c r="B13474" t="s">
        <v>14</v>
      </c>
      <c r="C13474" t="s">
        <v>25</v>
      </c>
      <c r="D13474" t="s">
        <v>11</v>
      </c>
      <c r="E13474" t="s">
        <v>12</v>
      </c>
      <c r="F13474">
        <v>90222589</v>
      </c>
      <c r="G13474">
        <v>90222607</v>
      </c>
      <c r="H13474">
        <v>90222610</v>
      </c>
      <c r="I13474">
        <v>90222634</v>
      </c>
    </row>
    <row r="13475" spans="1:9" x14ac:dyDescent="0.2">
      <c r="A13475" s="1" t="str">
        <f>"PLIN2"</f>
        <v>PLIN2</v>
      </c>
      <c r="B13475" t="s">
        <v>9</v>
      </c>
      <c r="C13475" t="s">
        <v>24</v>
      </c>
      <c r="D13475" t="s">
        <v>11</v>
      </c>
      <c r="E13475" t="s">
        <v>12</v>
      </c>
      <c r="F13475">
        <v>19127478</v>
      </c>
      <c r="G13475">
        <v>19127497</v>
      </c>
      <c r="H13475">
        <v>19127478</v>
      </c>
      <c r="I13475">
        <v>19127497</v>
      </c>
    </row>
    <row r="13476" spans="1:9" x14ac:dyDescent="0.2">
      <c r="A13476" s="1" t="str">
        <f>"PLIN2"</f>
        <v>PLIN2</v>
      </c>
      <c r="B13476" t="s">
        <v>13</v>
      </c>
      <c r="C13476" t="s">
        <v>24</v>
      </c>
      <c r="D13476" t="s">
        <v>11</v>
      </c>
      <c r="E13476" t="s">
        <v>12</v>
      </c>
      <c r="F13476">
        <v>19149283</v>
      </c>
      <c r="G13476">
        <v>19149292</v>
      </c>
      <c r="H13476">
        <v>19149283</v>
      </c>
      <c r="I13476">
        <v>19149292</v>
      </c>
    </row>
    <row r="13477" spans="1:9" x14ac:dyDescent="0.2">
      <c r="A13477" s="1" t="str">
        <f>"PLIN3"</f>
        <v>PLIN3</v>
      </c>
      <c r="B13477" t="s">
        <v>14</v>
      </c>
      <c r="C13477" t="s">
        <v>10</v>
      </c>
      <c r="D13477" t="s">
        <v>11</v>
      </c>
      <c r="E13477" t="s">
        <v>12</v>
      </c>
      <c r="F13477">
        <v>4867666</v>
      </c>
      <c r="G13477">
        <v>4867686</v>
      </c>
      <c r="H13477">
        <v>4867643</v>
      </c>
      <c r="I13477">
        <v>4867654</v>
      </c>
    </row>
    <row r="13478" spans="1:9" x14ac:dyDescent="0.2">
      <c r="A13478" s="1" t="str">
        <f>"PLIN4"</f>
        <v>PLIN4</v>
      </c>
      <c r="B13478" t="s">
        <v>14</v>
      </c>
      <c r="C13478" t="s">
        <v>10</v>
      </c>
      <c r="D13478" t="s">
        <v>11</v>
      </c>
      <c r="E13478" t="s">
        <v>12</v>
      </c>
      <c r="F13478">
        <v>4513488</v>
      </c>
      <c r="G13478">
        <v>4513514</v>
      </c>
      <c r="H13478">
        <v>4512807</v>
      </c>
      <c r="I13478">
        <v>4512811</v>
      </c>
    </row>
    <row r="13479" spans="1:9" x14ac:dyDescent="0.2">
      <c r="A13479" s="1" t="str">
        <f>"PLIN5"</f>
        <v>PLIN5</v>
      </c>
      <c r="B13479" t="s">
        <v>14</v>
      </c>
      <c r="C13479" t="s">
        <v>10</v>
      </c>
      <c r="D13479" t="s">
        <v>11</v>
      </c>
      <c r="E13479" t="s">
        <v>12</v>
      </c>
      <c r="F13479">
        <v>4535233</v>
      </c>
      <c r="G13479">
        <v>4535238</v>
      </c>
      <c r="H13479">
        <v>4535280</v>
      </c>
      <c r="I13479">
        <v>4535304</v>
      </c>
    </row>
    <row r="13480" spans="1:9" x14ac:dyDescent="0.2">
      <c r="A13480" s="1" t="str">
        <f>"PLK1"</f>
        <v>PLK1</v>
      </c>
      <c r="B13480" t="s">
        <v>14</v>
      </c>
      <c r="C13480" t="s">
        <v>31</v>
      </c>
      <c r="D13480" t="s">
        <v>17</v>
      </c>
      <c r="E13480" t="s">
        <v>12</v>
      </c>
      <c r="F13480">
        <v>23690184</v>
      </c>
      <c r="G13480">
        <v>23690267</v>
      </c>
      <c r="H13480">
        <v>23690160</v>
      </c>
      <c r="I13480">
        <v>23690176</v>
      </c>
    </row>
    <row r="13481" spans="1:9" x14ac:dyDescent="0.2">
      <c r="A13481" s="1" t="str">
        <f>"PLK1S1"</f>
        <v>PLK1S1</v>
      </c>
      <c r="B13481" t="s">
        <v>14</v>
      </c>
      <c r="C13481" t="s">
        <v>29</v>
      </c>
      <c r="D13481" t="s">
        <v>17</v>
      </c>
      <c r="E13481" t="s">
        <v>12</v>
      </c>
      <c r="F13481">
        <v>21106715</v>
      </c>
      <c r="G13481">
        <v>21106735</v>
      </c>
      <c r="H13481">
        <v>21106678</v>
      </c>
      <c r="I13481">
        <v>21106706</v>
      </c>
    </row>
    <row r="13482" spans="1:9" x14ac:dyDescent="0.2">
      <c r="A13482" s="1" t="str">
        <f>"PLK2"</f>
        <v>PLK2</v>
      </c>
      <c r="B13482" t="s">
        <v>9</v>
      </c>
      <c r="C13482" t="s">
        <v>46</v>
      </c>
      <c r="D13482" t="s">
        <v>11</v>
      </c>
      <c r="E13482" t="s">
        <v>12</v>
      </c>
      <c r="F13482">
        <v>57755903</v>
      </c>
      <c r="G13482">
        <v>57755919</v>
      </c>
      <c r="H13482">
        <v>57755903</v>
      </c>
      <c r="I13482">
        <v>57755919</v>
      </c>
    </row>
    <row r="13483" spans="1:9" x14ac:dyDescent="0.2">
      <c r="A13483" s="1" t="str">
        <f>"PLK2"</f>
        <v>PLK2</v>
      </c>
      <c r="B13483" t="s">
        <v>13</v>
      </c>
      <c r="C13483" t="s">
        <v>46</v>
      </c>
      <c r="D13483" t="s">
        <v>11</v>
      </c>
      <c r="E13483" t="s">
        <v>12</v>
      </c>
      <c r="F13483">
        <v>57754831</v>
      </c>
      <c r="G13483">
        <v>57754868</v>
      </c>
      <c r="H13483">
        <v>57754831</v>
      </c>
      <c r="I13483">
        <v>57754868</v>
      </c>
    </row>
    <row r="13484" spans="1:9" x14ac:dyDescent="0.2">
      <c r="A13484" s="1" t="str">
        <f>"PLK3"</f>
        <v>PLK3</v>
      </c>
      <c r="B13484" t="s">
        <v>14</v>
      </c>
      <c r="C13484" t="s">
        <v>19</v>
      </c>
      <c r="D13484" t="s">
        <v>17</v>
      </c>
      <c r="E13484" t="s">
        <v>12</v>
      </c>
      <c r="F13484">
        <v>45266040</v>
      </c>
      <c r="G13484">
        <v>45266056</v>
      </c>
      <c r="H13484">
        <v>45266040</v>
      </c>
      <c r="I13484">
        <v>45266056</v>
      </c>
    </row>
    <row r="13485" spans="1:9" x14ac:dyDescent="0.2">
      <c r="A13485" s="1" t="str">
        <f>"PLK4"</f>
        <v>PLK4</v>
      </c>
      <c r="B13485" t="s">
        <v>14</v>
      </c>
      <c r="C13485" t="s">
        <v>23</v>
      </c>
      <c r="D13485" t="s">
        <v>17</v>
      </c>
      <c r="E13485" t="s">
        <v>12</v>
      </c>
      <c r="F13485">
        <v>128802038</v>
      </c>
      <c r="G13485">
        <v>128802095</v>
      </c>
      <c r="H13485">
        <v>128802523</v>
      </c>
      <c r="I13485">
        <v>128802537</v>
      </c>
    </row>
    <row r="13486" spans="1:9" x14ac:dyDescent="0.2">
      <c r="A13486" s="1" t="str">
        <f>"PLK5"</f>
        <v>PLK5</v>
      </c>
      <c r="B13486" t="s">
        <v>14</v>
      </c>
      <c r="C13486" t="s">
        <v>10</v>
      </c>
      <c r="D13486" t="s">
        <v>17</v>
      </c>
      <c r="E13486" t="s">
        <v>12</v>
      </c>
      <c r="F13486">
        <v>1524072</v>
      </c>
      <c r="G13486">
        <v>1524078</v>
      </c>
      <c r="H13486">
        <v>1524072</v>
      </c>
      <c r="I13486">
        <v>1524078</v>
      </c>
    </row>
    <row r="13487" spans="1:9" x14ac:dyDescent="0.2">
      <c r="A13487" s="1" t="str">
        <f>"PLLP"</f>
        <v>PLLP</v>
      </c>
      <c r="B13487" t="s">
        <v>14</v>
      </c>
      <c r="C13487" t="s">
        <v>31</v>
      </c>
      <c r="D13487" t="s">
        <v>11</v>
      </c>
      <c r="E13487" t="s">
        <v>12</v>
      </c>
      <c r="F13487">
        <v>57318566</v>
      </c>
      <c r="G13487">
        <v>57318595</v>
      </c>
      <c r="H13487">
        <v>57318553</v>
      </c>
      <c r="I13487">
        <v>57318564</v>
      </c>
    </row>
    <row r="13488" spans="1:9" x14ac:dyDescent="0.2">
      <c r="A13488" s="1" t="str">
        <f>"PLN"</f>
        <v>PLN</v>
      </c>
      <c r="B13488" t="s">
        <v>14</v>
      </c>
      <c r="C13488" t="s">
        <v>32</v>
      </c>
      <c r="D13488" t="s">
        <v>17</v>
      </c>
      <c r="E13488" t="s">
        <v>12</v>
      </c>
      <c r="F13488">
        <v>118869452</v>
      </c>
      <c r="G13488">
        <v>118869475</v>
      </c>
      <c r="H13488">
        <v>118869482</v>
      </c>
      <c r="I13488">
        <v>118869497</v>
      </c>
    </row>
    <row r="13489" spans="1:9" x14ac:dyDescent="0.2">
      <c r="A13489" s="1" t="str">
        <f>"PLOD1"</f>
        <v>PLOD1</v>
      </c>
      <c r="B13489" t="s">
        <v>14</v>
      </c>
      <c r="C13489" t="s">
        <v>19</v>
      </c>
      <c r="D13489" t="s">
        <v>17</v>
      </c>
      <c r="E13489" t="s">
        <v>12</v>
      </c>
      <c r="F13489">
        <v>11994715</v>
      </c>
      <c r="G13489">
        <v>11994833</v>
      </c>
      <c r="H13489">
        <v>11994715</v>
      </c>
      <c r="I13489">
        <v>11994833</v>
      </c>
    </row>
    <row r="13490" spans="1:9" x14ac:dyDescent="0.2">
      <c r="A13490" s="1" t="str">
        <f>"PLOD2"</f>
        <v>PLOD2</v>
      </c>
      <c r="B13490" t="s">
        <v>14</v>
      </c>
      <c r="C13490" t="s">
        <v>22</v>
      </c>
      <c r="D13490" t="s">
        <v>11</v>
      </c>
      <c r="E13490" t="s">
        <v>12</v>
      </c>
      <c r="F13490">
        <v>145878962</v>
      </c>
      <c r="G13490">
        <v>145878979</v>
      </c>
      <c r="H13490">
        <v>145879113</v>
      </c>
      <c r="I13490">
        <v>145879126</v>
      </c>
    </row>
    <row r="13491" spans="1:9" x14ac:dyDescent="0.2">
      <c r="A13491" s="1" t="str">
        <f>"PLOD3"</f>
        <v>PLOD3</v>
      </c>
      <c r="B13491" t="s">
        <v>14</v>
      </c>
      <c r="C13491" t="s">
        <v>33</v>
      </c>
      <c r="D13491" t="s">
        <v>11</v>
      </c>
      <c r="E13491" t="s">
        <v>12</v>
      </c>
      <c r="F13491">
        <v>100860851</v>
      </c>
      <c r="G13491">
        <v>100860897</v>
      </c>
      <c r="H13491">
        <v>100860628</v>
      </c>
      <c r="I13491">
        <v>100860719</v>
      </c>
    </row>
    <row r="13492" spans="1:9" x14ac:dyDescent="0.2">
      <c r="A13492" s="1" t="str">
        <f>"PLP1"</f>
        <v>PLP1</v>
      </c>
      <c r="B13492" t="s">
        <v>14</v>
      </c>
      <c r="C13492" t="s">
        <v>37</v>
      </c>
      <c r="D13492" t="s">
        <v>17</v>
      </c>
      <c r="E13492" t="s">
        <v>12</v>
      </c>
      <c r="F13492">
        <v>103031758</v>
      </c>
      <c r="G13492">
        <v>103031779</v>
      </c>
      <c r="H13492">
        <v>103031829</v>
      </c>
      <c r="I13492">
        <v>103031852</v>
      </c>
    </row>
    <row r="13493" spans="1:9" x14ac:dyDescent="0.2">
      <c r="A13493" s="1" t="str">
        <f>"PLP2"</f>
        <v>PLP2</v>
      </c>
      <c r="B13493" t="s">
        <v>14</v>
      </c>
      <c r="C13493" t="s">
        <v>37</v>
      </c>
      <c r="D13493" t="s">
        <v>17</v>
      </c>
      <c r="E13493" t="s">
        <v>12</v>
      </c>
      <c r="F13493">
        <v>49028236</v>
      </c>
      <c r="G13493">
        <v>49028261</v>
      </c>
      <c r="H13493">
        <v>49028265</v>
      </c>
      <c r="I13493">
        <v>49028289</v>
      </c>
    </row>
    <row r="13494" spans="1:9" x14ac:dyDescent="0.2">
      <c r="A13494" s="1" t="str">
        <f>"PLRG1"</f>
        <v>PLRG1</v>
      </c>
      <c r="B13494" t="s">
        <v>14</v>
      </c>
      <c r="C13494" t="s">
        <v>23</v>
      </c>
      <c r="D13494" t="s">
        <v>11</v>
      </c>
      <c r="E13494" t="s">
        <v>12</v>
      </c>
      <c r="F13494">
        <v>155471528</v>
      </c>
      <c r="G13494">
        <v>155471592</v>
      </c>
      <c r="H13494">
        <v>155471528</v>
      </c>
      <c r="I13494">
        <v>155471592</v>
      </c>
    </row>
    <row r="13495" spans="1:9" x14ac:dyDescent="0.2">
      <c r="A13495" s="1" t="str">
        <f>"PLS1"</f>
        <v>PLS1</v>
      </c>
      <c r="B13495" t="s">
        <v>9</v>
      </c>
      <c r="C13495" t="s">
        <v>22</v>
      </c>
      <c r="D13495" t="s">
        <v>17</v>
      </c>
      <c r="E13495" t="s">
        <v>12</v>
      </c>
      <c r="F13495">
        <v>142315225</v>
      </c>
      <c r="G13495">
        <v>142315290</v>
      </c>
      <c r="H13495">
        <v>142315225</v>
      </c>
      <c r="I13495">
        <v>142315290</v>
      </c>
    </row>
    <row r="13496" spans="1:9" x14ac:dyDescent="0.2">
      <c r="A13496" s="1" t="str">
        <f>"PLS1"</f>
        <v>PLS1</v>
      </c>
      <c r="B13496" t="s">
        <v>13</v>
      </c>
      <c r="C13496" t="s">
        <v>22</v>
      </c>
      <c r="D13496" t="s">
        <v>17</v>
      </c>
      <c r="E13496" t="s">
        <v>12</v>
      </c>
      <c r="F13496">
        <v>142342260</v>
      </c>
      <c r="G13496">
        <v>142342309</v>
      </c>
      <c r="H13496">
        <v>142342260</v>
      </c>
      <c r="I13496">
        <v>142342309</v>
      </c>
    </row>
    <row r="13497" spans="1:9" x14ac:dyDescent="0.2">
      <c r="A13497" s="1" t="str">
        <f>"PLS3"</f>
        <v>PLS3</v>
      </c>
      <c r="B13497" t="s">
        <v>14</v>
      </c>
      <c r="C13497" t="s">
        <v>37</v>
      </c>
      <c r="D13497" t="s">
        <v>17</v>
      </c>
      <c r="E13497" t="s">
        <v>12</v>
      </c>
      <c r="F13497">
        <v>114795489</v>
      </c>
      <c r="G13497">
        <v>114795530</v>
      </c>
      <c r="H13497">
        <v>114795489</v>
      </c>
      <c r="I13497">
        <v>114795530</v>
      </c>
    </row>
    <row r="13498" spans="1:9" x14ac:dyDescent="0.2">
      <c r="A13498" s="1" t="str">
        <f>"PLSCR1"</f>
        <v>PLSCR1</v>
      </c>
      <c r="B13498" t="s">
        <v>14</v>
      </c>
      <c r="C13498" t="s">
        <v>22</v>
      </c>
      <c r="D13498" t="s">
        <v>11</v>
      </c>
      <c r="E13498" t="s">
        <v>12</v>
      </c>
      <c r="F13498">
        <v>146262365</v>
      </c>
      <c r="G13498">
        <v>146262412</v>
      </c>
      <c r="H13498">
        <v>146262325</v>
      </c>
      <c r="I13498">
        <v>146262350</v>
      </c>
    </row>
    <row r="13499" spans="1:9" x14ac:dyDescent="0.2">
      <c r="A13499" s="1" t="str">
        <f>"PLSCR2"</f>
        <v>PLSCR2</v>
      </c>
      <c r="B13499" t="s">
        <v>14</v>
      </c>
      <c r="C13499" t="s">
        <v>22</v>
      </c>
      <c r="D13499" t="s">
        <v>11</v>
      </c>
      <c r="E13499" t="s">
        <v>12</v>
      </c>
      <c r="F13499">
        <v>146187346</v>
      </c>
      <c r="G13499">
        <v>146187359</v>
      </c>
      <c r="H13499">
        <v>146187129</v>
      </c>
      <c r="I13499">
        <v>146187145</v>
      </c>
    </row>
    <row r="13500" spans="1:9" x14ac:dyDescent="0.2">
      <c r="A13500" s="1" t="str">
        <f>"PLSCR3"</f>
        <v>PLSCR3</v>
      </c>
      <c r="B13500" t="s">
        <v>9</v>
      </c>
      <c r="C13500" t="s">
        <v>28</v>
      </c>
      <c r="D13500" t="s">
        <v>11</v>
      </c>
      <c r="E13500" t="s">
        <v>12</v>
      </c>
      <c r="F13500">
        <v>7307407</v>
      </c>
      <c r="G13500">
        <v>7307424</v>
      </c>
      <c r="H13500">
        <v>7307407</v>
      </c>
      <c r="I13500">
        <v>7307424</v>
      </c>
    </row>
    <row r="13501" spans="1:9" x14ac:dyDescent="0.2">
      <c r="A13501" s="1" t="str">
        <f>"PLSCR3"</f>
        <v>PLSCR3</v>
      </c>
      <c r="B13501" t="s">
        <v>13</v>
      </c>
      <c r="C13501" t="s">
        <v>28</v>
      </c>
      <c r="D13501" t="s">
        <v>11</v>
      </c>
      <c r="E13501" t="s">
        <v>12</v>
      </c>
      <c r="F13501">
        <v>7297833</v>
      </c>
      <c r="G13501">
        <v>7297871</v>
      </c>
      <c r="H13501">
        <v>7297833</v>
      </c>
      <c r="I13501">
        <v>7297871</v>
      </c>
    </row>
    <row r="13502" spans="1:9" x14ac:dyDescent="0.2">
      <c r="A13502" s="1" t="str">
        <f>"PLSCR4"</f>
        <v>PLSCR4</v>
      </c>
      <c r="B13502" t="s">
        <v>14</v>
      </c>
      <c r="C13502" t="s">
        <v>22</v>
      </c>
      <c r="D13502" t="s">
        <v>11</v>
      </c>
      <c r="E13502" t="s">
        <v>12</v>
      </c>
      <c r="F13502">
        <v>145968857</v>
      </c>
      <c r="G13502">
        <v>145968899</v>
      </c>
      <c r="H13502">
        <v>145968814</v>
      </c>
      <c r="I13502">
        <v>145968846</v>
      </c>
    </row>
    <row r="13503" spans="1:9" x14ac:dyDescent="0.2">
      <c r="A13503" s="1" t="str">
        <f>"PLSCR5"</f>
        <v>PLSCR5</v>
      </c>
      <c r="B13503" t="s">
        <v>14</v>
      </c>
      <c r="C13503" t="s">
        <v>22</v>
      </c>
      <c r="D13503" t="s">
        <v>11</v>
      </c>
      <c r="E13503" t="s">
        <v>12</v>
      </c>
      <c r="F13503">
        <v>146323019</v>
      </c>
      <c r="G13503">
        <v>146323049</v>
      </c>
      <c r="H13503">
        <v>146323019</v>
      </c>
      <c r="I13503">
        <v>146323049</v>
      </c>
    </row>
    <row r="13504" spans="1:9" x14ac:dyDescent="0.2">
      <c r="A13504" s="1" t="str">
        <f>"PLTP"</f>
        <v>PLTP</v>
      </c>
      <c r="B13504" t="s">
        <v>9</v>
      </c>
      <c r="C13504" t="s">
        <v>29</v>
      </c>
      <c r="D13504" t="s">
        <v>11</v>
      </c>
      <c r="E13504" t="s">
        <v>12</v>
      </c>
      <c r="F13504">
        <v>44540784</v>
      </c>
      <c r="G13504">
        <v>44540804</v>
      </c>
      <c r="H13504">
        <v>44540784</v>
      </c>
      <c r="I13504">
        <v>44540804</v>
      </c>
    </row>
    <row r="13505" spans="1:9" x14ac:dyDescent="0.2">
      <c r="A13505" s="1" t="str">
        <f>"PLTP"</f>
        <v>PLTP</v>
      </c>
      <c r="B13505" t="s">
        <v>13</v>
      </c>
      <c r="C13505" t="s">
        <v>29</v>
      </c>
      <c r="D13505" t="s">
        <v>11</v>
      </c>
      <c r="E13505" t="s">
        <v>12</v>
      </c>
      <c r="F13505">
        <v>44539556</v>
      </c>
      <c r="G13505">
        <v>44539610</v>
      </c>
      <c r="H13505">
        <v>44539556</v>
      </c>
      <c r="I13505">
        <v>44539610</v>
      </c>
    </row>
    <row r="13506" spans="1:9" x14ac:dyDescent="0.2">
      <c r="A13506" s="1" t="str">
        <f>"PLVAP"</f>
        <v>PLVAP</v>
      </c>
      <c r="B13506" t="s">
        <v>9</v>
      </c>
      <c r="C13506" t="s">
        <v>10</v>
      </c>
      <c r="D13506" t="s">
        <v>11</v>
      </c>
      <c r="E13506" t="s">
        <v>12</v>
      </c>
      <c r="F13506">
        <v>17488143</v>
      </c>
      <c r="G13506">
        <v>17488161</v>
      </c>
      <c r="H13506">
        <v>17488143</v>
      </c>
      <c r="I13506">
        <v>17488161</v>
      </c>
    </row>
    <row r="13507" spans="1:9" x14ac:dyDescent="0.2">
      <c r="A13507" s="1" t="str">
        <f>"PLVAP"</f>
        <v>PLVAP</v>
      </c>
      <c r="B13507" t="s">
        <v>13</v>
      </c>
      <c r="C13507" t="s">
        <v>10</v>
      </c>
      <c r="D13507" t="s">
        <v>11</v>
      </c>
      <c r="E13507" t="s">
        <v>12</v>
      </c>
      <c r="F13507">
        <v>17463063</v>
      </c>
      <c r="G13507">
        <v>17463091</v>
      </c>
      <c r="H13507">
        <v>17463063</v>
      </c>
      <c r="I13507">
        <v>17463091</v>
      </c>
    </row>
    <row r="13508" spans="1:9" x14ac:dyDescent="0.2">
      <c r="A13508" s="1" t="str">
        <f>"PLXDC1"</f>
        <v>PLXDC1</v>
      </c>
      <c r="B13508" t="s">
        <v>9</v>
      </c>
      <c r="C13508" t="s">
        <v>28</v>
      </c>
      <c r="D13508" t="s">
        <v>11</v>
      </c>
      <c r="E13508" t="s">
        <v>12</v>
      </c>
      <c r="F13508">
        <v>37307837</v>
      </c>
      <c r="G13508">
        <v>37307915</v>
      </c>
      <c r="H13508">
        <v>37307837</v>
      </c>
      <c r="I13508">
        <v>37307915</v>
      </c>
    </row>
    <row r="13509" spans="1:9" x14ac:dyDescent="0.2">
      <c r="A13509" s="1" t="str">
        <f>"PLXDC1"</f>
        <v>PLXDC1</v>
      </c>
      <c r="B13509" t="s">
        <v>13</v>
      </c>
      <c r="C13509" t="s">
        <v>28</v>
      </c>
      <c r="D13509" t="s">
        <v>11</v>
      </c>
      <c r="E13509" t="s">
        <v>12</v>
      </c>
      <c r="F13509">
        <v>37309212</v>
      </c>
      <c r="G13509">
        <v>37309229</v>
      </c>
      <c r="H13509">
        <v>37309212</v>
      </c>
      <c r="I13509">
        <v>37309229</v>
      </c>
    </row>
    <row r="13510" spans="1:9" x14ac:dyDescent="0.2">
      <c r="A13510" s="1" t="str">
        <f>"PLXDC2"</f>
        <v>PLXDC2</v>
      </c>
      <c r="B13510" t="s">
        <v>14</v>
      </c>
      <c r="C13510" t="s">
        <v>15</v>
      </c>
      <c r="D13510" t="s">
        <v>17</v>
      </c>
      <c r="E13510" t="s">
        <v>12</v>
      </c>
      <c r="F13510">
        <v>20105340</v>
      </c>
      <c r="G13510">
        <v>20105382</v>
      </c>
      <c r="H13510">
        <v>20105324</v>
      </c>
      <c r="I13510">
        <v>20105339</v>
      </c>
    </row>
    <row r="13511" spans="1:9" x14ac:dyDescent="0.2">
      <c r="A13511" s="1" t="str">
        <f>"PLXNA1"</f>
        <v>PLXNA1</v>
      </c>
      <c r="B13511" t="s">
        <v>1348</v>
      </c>
      <c r="C13511" t="s">
        <v>22</v>
      </c>
      <c r="D13511" t="s">
        <v>17</v>
      </c>
      <c r="E13511" t="s">
        <v>35</v>
      </c>
      <c r="F13511">
        <v>126707367</v>
      </c>
      <c r="G13511">
        <v>126707389</v>
      </c>
      <c r="H13511">
        <v>126707576</v>
      </c>
      <c r="I13511">
        <v>126707586</v>
      </c>
    </row>
    <row r="13512" spans="1:9" x14ac:dyDescent="0.2">
      <c r="A13512" s="1" t="str">
        <f>"PLXNA2"</f>
        <v>PLXNA2</v>
      </c>
      <c r="B13512" t="s">
        <v>14</v>
      </c>
      <c r="C13512" t="s">
        <v>19</v>
      </c>
      <c r="D13512" t="s">
        <v>11</v>
      </c>
      <c r="E13512" t="s">
        <v>12</v>
      </c>
      <c r="F13512">
        <v>208417620</v>
      </c>
      <c r="G13512">
        <v>208417680</v>
      </c>
      <c r="H13512">
        <v>208417720</v>
      </c>
      <c r="I13512">
        <v>208417736</v>
      </c>
    </row>
    <row r="13513" spans="1:9" x14ac:dyDescent="0.2">
      <c r="A13513" s="1" t="str">
        <f>"PLXNA3"</f>
        <v>PLXNA3</v>
      </c>
      <c r="B13513" t="s">
        <v>9</v>
      </c>
      <c r="C13513" t="s">
        <v>37</v>
      </c>
      <c r="D13513" t="s">
        <v>17</v>
      </c>
      <c r="E13513" t="s">
        <v>12</v>
      </c>
      <c r="F13513">
        <v>153686614</v>
      </c>
      <c r="G13513">
        <v>153686629</v>
      </c>
      <c r="H13513">
        <v>153686614</v>
      </c>
      <c r="I13513">
        <v>153686629</v>
      </c>
    </row>
    <row r="13514" spans="1:9" x14ac:dyDescent="0.2">
      <c r="A13514" s="1" t="str">
        <f>"PLXNA3"</f>
        <v>PLXNA3</v>
      </c>
      <c r="B13514" t="s">
        <v>13</v>
      </c>
      <c r="C13514" t="s">
        <v>37</v>
      </c>
      <c r="D13514" t="s">
        <v>17</v>
      </c>
      <c r="E13514" t="s">
        <v>12</v>
      </c>
      <c r="F13514">
        <v>153694758</v>
      </c>
      <c r="G13514">
        <v>153694776</v>
      </c>
      <c r="H13514">
        <v>153694758</v>
      </c>
      <c r="I13514">
        <v>153694776</v>
      </c>
    </row>
    <row r="13515" spans="1:9" x14ac:dyDescent="0.2">
      <c r="A13515" s="1" t="str">
        <f>"PLXNA4"</f>
        <v>PLXNA4</v>
      </c>
      <c r="B13515" t="s">
        <v>14</v>
      </c>
      <c r="C13515" t="s">
        <v>33</v>
      </c>
      <c r="D13515" t="s">
        <v>11</v>
      </c>
      <c r="E13515" t="s">
        <v>12</v>
      </c>
      <c r="F13515">
        <v>132262061</v>
      </c>
      <c r="G13515">
        <v>132262140</v>
      </c>
      <c r="H13515">
        <v>132261223</v>
      </c>
      <c r="I13515">
        <v>132261236</v>
      </c>
    </row>
    <row r="13516" spans="1:9" x14ac:dyDescent="0.2">
      <c r="A13516" s="1" t="str">
        <f>"PLXNB1"</f>
        <v>PLXNB1</v>
      </c>
      <c r="B13516" t="s">
        <v>14</v>
      </c>
      <c r="C13516" t="s">
        <v>22</v>
      </c>
      <c r="D13516" t="s">
        <v>11</v>
      </c>
      <c r="E13516" t="s">
        <v>12</v>
      </c>
      <c r="F13516">
        <v>48470746</v>
      </c>
      <c r="G13516">
        <v>48470759</v>
      </c>
      <c r="H13516">
        <v>48470838</v>
      </c>
      <c r="I13516">
        <v>48470867</v>
      </c>
    </row>
    <row r="13517" spans="1:9" x14ac:dyDescent="0.2">
      <c r="A13517" s="1" t="str">
        <f>"PLXNB2"</f>
        <v>PLXNB2</v>
      </c>
      <c r="B13517" t="s">
        <v>14</v>
      </c>
      <c r="C13517" t="s">
        <v>21</v>
      </c>
      <c r="D13517" t="s">
        <v>11</v>
      </c>
      <c r="E13517" t="s">
        <v>12</v>
      </c>
      <c r="F13517">
        <v>50746027</v>
      </c>
      <c r="G13517">
        <v>50746082</v>
      </c>
      <c r="H13517">
        <v>50746001</v>
      </c>
      <c r="I13517">
        <v>50746026</v>
      </c>
    </row>
    <row r="13518" spans="1:9" x14ac:dyDescent="0.2">
      <c r="A13518" s="1" t="str">
        <f>"PLXNB3"</f>
        <v>PLXNB3</v>
      </c>
      <c r="B13518" t="s">
        <v>14</v>
      </c>
      <c r="C13518" t="s">
        <v>37</v>
      </c>
      <c r="D13518" t="s">
        <v>17</v>
      </c>
      <c r="E13518" t="s">
        <v>12</v>
      </c>
      <c r="F13518">
        <v>153029633</v>
      </c>
      <c r="G13518">
        <v>153029738</v>
      </c>
      <c r="H13518">
        <v>153029633</v>
      </c>
      <c r="I13518">
        <v>153029738</v>
      </c>
    </row>
    <row r="13519" spans="1:9" x14ac:dyDescent="0.2">
      <c r="A13519" s="1" t="str">
        <f>"PLXNC1"</f>
        <v>PLXNC1</v>
      </c>
      <c r="B13519" t="s">
        <v>14</v>
      </c>
      <c r="C13519" t="s">
        <v>16</v>
      </c>
      <c r="D13519" t="s">
        <v>17</v>
      </c>
      <c r="E13519" t="s">
        <v>12</v>
      </c>
      <c r="F13519">
        <v>94542459</v>
      </c>
      <c r="G13519">
        <v>94542513</v>
      </c>
      <c r="H13519">
        <v>94542330</v>
      </c>
      <c r="I13519">
        <v>94542379</v>
      </c>
    </row>
    <row r="13520" spans="1:9" x14ac:dyDescent="0.2">
      <c r="A13520" s="1" t="str">
        <f>"PLXND1"</f>
        <v>PLXND1</v>
      </c>
      <c r="B13520" t="s">
        <v>14</v>
      </c>
      <c r="C13520" t="s">
        <v>22</v>
      </c>
      <c r="D13520" t="s">
        <v>11</v>
      </c>
      <c r="E13520" t="s">
        <v>12</v>
      </c>
      <c r="F13520">
        <v>129325504</v>
      </c>
      <c r="G13520">
        <v>129325567</v>
      </c>
      <c r="H13520">
        <v>129325612</v>
      </c>
      <c r="I13520">
        <v>129325625</v>
      </c>
    </row>
    <row r="13521" spans="1:9" x14ac:dyDescent="0.2">
      <c r="A13521" s="1" t="str">
        <f>"PM20D1"</f>
        <v>PM20D1</v>
      </c>
      <c r="B13521" t="s">
        <v>14</v>
      </c>
      <c r="C13521" t="s">
        <v>19</v>
      </c>
      <c r="D13521" t="s">
        <v>11</v>
      </c>
      <c r="E13521" t="s">
        <v>12</v>
      </c>
      <c r="F13521">
        <v>205819253</v>
      </c>
      <c r="G13521">
        <v>205819272</v>
      </c>
      <c r="H13521">
        <v>205819239</v>
      </c>
      <c r="I13521">
        <v>205819247</v>
      </c>
    </row>
    <row r="13522" spans="1:9" x14ac:dyDescent="0.2">
      <c r="A13522" s="1" t="str">
        <f>"PM20D2"</f>
        <v>PM20D2</v>
      </c>
      <c r="B13522" t="s">
        <v>14</v>
      </c>
      <c r="C13522" t="s">
        <v>32</v>
      </c>
      <c r="D13522" t="s">
        <v>17</v>
      </c>
      <c r="E13522" t="s">
        <v>12</v>
      </c>
      <c r="F13522">
        <v>89855765</v>
      </c>
      <c r="G13522">
        <v>89855823</v>
      </c>
      <c r="H13522">
        <v>89855828</v>
      </c>
      <c r="I13522">
        <v>89855846</v>
      </c>
    </row>
    <row r="13523" spans="1:9" x14ac:dyDescent="0.2">
      <c r="A13523" s="1" t="str">
        <f>"PMAIP1"</f>
        <v>PMAIP1</v>
      </c>
      <c r="B13523" t="s">
        <v>14</v>
      </c>
      <c r="C13523" t="s">
        <v>43</v>
      </c>
      <c r="D13523" t="s">
        <v>17</v>
      </c>
      <c r="E13523" t="s">
        <v>12</v>
      </c>
      <c r="F13523">
        <v>57567220</v>
      </c>
      <c r="G13523">
        <v>57567235</v>
      </c>
      <c r="H13523">
        <v>57567220</v>
      </c>
      <c r="I13523">
        <v>57567235</v>
      </c>
    </row>
    <row r="13524" spans="1:9" x14ac:dyDescent="0.2">
      <c r="A13524" s="1" t="str">
        <f>"PMCH"</f>
        <v>PMCH</v>
      </c>
      <c r="B13524" t="s">
        <v>14</v>
      </c>
      <c r="C13524" t="s">
        <v>16</v>
      </c>
      <c r="D13524" t="s">
        <v>11</v>
      </c>
      <c r="E13524" t="s">
        <v>12</v>
      </c>
      <c r="F13524">
        <v>102591576</v>
      </c>
      <c r="G13524">
        <v>102591596</v>
      </c>
      <c r="H13524">
        <v>102591604</v>
      </c>
      <c r="I13524">
        <v>102591616</v>
      </c>
    </row>
    <row r="13525" spans="1:9" x14ac:dyDescent="0.2">
      <c r="A13525" s="1" t="str">
        <f>"PMEL"</f>
        <v>PMEL</v>
      </c>
      <c r="B13525" t="s">
        <v>14</v>
      </c>
      <c r="C13525" t="s">
        <v>16</v>
      </c>
      <c r="D13525" t="s">
        <v>11</v>
      </c>
      <c r="E13525" t="s">
        <v>12</v>
      </c>
      <c r="F13525">
        <v>56359816</v>
      </c>
      <c r="G13525">
        <v>56359833</v>
      </c>
      <c r="H13525">
        <v>56359816</v>
      </c>
      <c r="I13525">
        <v>56359833</v>
      </c>
    </row>
    <row r="13526" spans="1:9" x14ac:dyDescent="0.2">
      <c r="A13526" s="1" t="str">
        <f>"PMEPA1"</f>
        <v>PMEPA1</v>
      </c>
      <c r="B13526" t="s">
        <v>14</v>
      </c>
      <c r="C13526" t="s">
        <v>29</v>
      </c>
      <c r="D13526" t="s">
        <v>11</v>
      </c>
      <c r="E13526" t="s">
        <v>12</v>
      </c>
      <c r="F13526">
        <v>56285061</v>
      </c>
      <c r="G13526">
        <v>56285080</v>
      </c>
      <c r="H13526">
        <v>56285010</v>
      </c>
      <c r="I13526">
        <v>56285034</v>
      </c>
    </row>
    <row r="13527" spans="1:9" x14ac:dyDescent="0.2">
      <c r="A13527" s="1" t="str">
        <f>"PMF1"</f>
        <v>PMF1</v>
      </c>
      <c r="B13527" t="s">
        <v>14</v>
      </c>
      <c r="C13527" t="s">
        <v>19</v>
      </c>
      <c r="D13527" t="s">
        <v>17</v>
      </c>
      <c r="E13527" t="s">
        <v>12</v>
      </c>
      <c r="F13527">
        <v>156182778</v>
      </c>
      <c r="G13527">
        <v>156182804</v>
      </c>
      <c r="H13527">
        <v>156182694</v>
      </c>
      <c r="I13527">
        <v>156182696</v>
      </c>
    </row>
    <row r="13528" spans="1:9" x14ac:dyDescent="0.2">
      <c r="A13528" s="1" t="str">
        <f>"PMF1-BGLAP"</f>
        <v>PMF1-BGLAP</v>
      </c>
      <c r="B13528" t="s">
        <v>14</v>
      </c>
      <c r="C13528" t="s">
        <v>19</v>
      </c>
      <c r="D13528" t="s">
        <v>17</v>
      </c>
      <c r="E13528" t="s">
        <v>12</v>
      </c>
      <c r="F13528">
        <v>156182778</v>
      </c>
      <c r="G13528">
        <v>156182804</v>
      </c>
      <c r="H13528">
        <v>156182694</v>
      </c>
      <c r="I13528">
        <v>156182696</v>
      </c>
    </row>
    <row r="13529" spans="1:9" x14ac:dyDescent="0.2">
      <c r="A13529" s="1" t="str">
        <f>"PMFBP1"</f>
        <v>PMFBP1</v>
      </c>
      <c r="B13529" t="s">
        <v>1349</v>
      </c>
      <c r="C13529" t="s">
        <v>31</v>
      </c>
      <c r="D13529" t="s">
        <v>11</v>
      </c>
      <c r="E13529" t="s">
        <v>20</v>
      </c>
      <c r="F13529">
        <v>72206153</v>
      </c>
      <c r="G13529">
        <v>72206153</v>
      </c>
      <c r="H13529">
        <v>72206153</v>
      </c>
      <c r="I13529">
        <v>72206153</v>
      </c>
    </row>
    <row r="13530" spans="1:9" x14ac:dyDescent="0.2">
      <c r="A13530" s="1" t="str">
        <f>"PMFBP1"</f>
        <v>PMFBP1</v>
      </c>
      <c r="B13530" t="s">
        <v>1350</v>
      </c>
      <c r="C13530" t="s">
        <v>31</v>
      </c>
      <c r="D13530" t="s">
        <v>11</v>
      </c>
      <c r="E13530" t="s">
        <v>20</v>
      </c>
      <c r="F13530">
        <v>72205169</v>
      </c>
      <c r="G13530">
        <v>72205169</v>
      </c>
      <c r="H13530">
        <v>72205169</v>
      </c>
      <c r="I13530">
        <v>72205169</v>
      </c>
    </row>
    <row r="13531" spans="1:9" x14ac:dyDescent="0.2">
      <c r="A13531" s="1" t="str">
        <f>"PML"</f>
        <v>PML</v>
      </c>
      <c r="B13531" t="s">
        <v>14</v>
      </c>
      <c r="C13531" t="s">
        <v>25</v>
      </c>
      <c r="D13531" t="s">
        <v>17</v>
      </c>
      <c r="E13531" t="s">
        <v>12</v>
      </c>
      <c r="F13531">
        <v>74287035</v>
      </c>
      <c r="G13531">
        <v>74287117</v>
      </c>
      <c r="H13531">
        <v>74287118</v>
      </c>
      <c r="I13531">
        <v>74287142</v>
      </c>
    </row>
    <row r="13532" spans="1:9" x14ac:dyDescent="0.2">
      <c r="A13532" s="1" t="str">
        <f>"PMM1"</f>
        <v>PMM1</v>
      </c>
      <c r="B13532" t="s">
        <v>14</v>
      </c>
      <c r="C13532" t="s">
        <v>21</v>
      </c>
      <c r="D13532" t="s">
        <v>11</v>
      </c>
      <c r="E13532" t="s">
        <v>12</v>
      </c>
      <c r="F13532">
        <v>41985798</v>
      </c>
      <c r="G13532">
        <v>41985852</v>
      </c>
      <c r="H13532">
        <v>41985865</v>
      </c>
      <c r="I13532">
        <v>41985876</v>
      </c>
    </row>
    <row r="13533" spans="1:9" x14ac:dyDescent="0.2">
      <c r="A13533" s="1" t="str">
        <f>"PMM2"</f>
        <v>PMM2</v>
      </c>
      <c r="B13533" t="s">
        <v>14</v>
      </c>
      <c r="C13533" t="s">
        <v>31</v>
      </c>
      <c r="D13533" t="s">
        <v>17</v>
      </c>
      <c r="E13533" t="s">
        <v>12</v>
      </c>
      <c r="F13533">
        <v>8891670</v>
      </c>
      <c r="G13533">
        <v>8891734</v>
      </c>
      <c r="H13533">
        <v>8891657</v>
      </c>
      <c r="I13533">
        <v>8891668</v>
      </c>
    </row>
    <row r="13534" spans="1:9" x14ac:dyDescent="0.2">
      <c r="A13534" s="1" t="str">
        <f>"PMP2"</f>
        <v>PMP2</v>
      </c>
      <c r="B13534" t="s">
        <v>14</v>
      </c>
      <c r="C13534" t="s">
        <v>30</v>
      </c>
      <c r="D13534" t="s">
        <v>11</v>
      </c>
      <c r="E13534" t="s">
        <v>12</v>
      </c>
      <c r="F13534">
        <v>82359662</v>
      </c>
      <c r="G13534">
        <v>82359681</v>
      </c>
      <c r="H13534">
        <v>82359662</v>
      </c>
      <c r="I13534">
        <v>82359681</v>
      </c>
    </row>
    <row r="13535" spans="1:9" x14ac:dyDescent="0.2">
      <c r="A13535" s="1" t="str">
        <f>"PMP22"</f>
        <v>PMP22</v>
      </c>
      <c r="B13535" t="s">
        <v>14</v>
      </c>
      <c r="C13535" t="s">
        <v>28</v>
      </c>
      <c r="D13535" t="s">
        <v>11</v>
      </c>
      <c r="E13535" t="s">
        <v>12</v>
      </c>
      <c r="F13535">
        <v>15165854</v>
      </c>
      <c r="G13535">
        <v>15165888</v>
      </c>
      <c r="H13535">
        <v>15165825</v>
      </c>
      <c r="I13535">
        <v>15165851</v>
      </c>
    </row>
    <row r="13536" spans="1:9" x14ac:dyDescent="0.2">
      <c r="A13536" s="1" t="str">
        <f>"PMPCA"</f>
        <v>PMPCA</v>
      </c>
      <c r="B13536" t="s">
        <v>14</v>
      </c>
      <c r="C13536" t="s">
        <v>24</v>
      </c>
      <c r="D13536" t="s">
        <v>17</v>
      </c>
      <c r="E13536" t="s">
        <v>12</v>
      </c>
      <c r="F13536">
        <v>139305102</v>
      </c>
      <c r="G13536">
        <v>139305123</v>
      </c>
      <c r="H13536">
        <v>139305092</v>
      </c>
      <c r="I13536">
        <v>139305099</v>
      </c>
    </row>
    <row r="13537" spans="1:9" x14ac:dyDescent="0.2">
      <c r="A13537" s="1" t="str">
        <f>"PMPCB"</f>
        <v>PMPCB</v>
      </c>
      <c r="B13537" t="s">
        <v>9</v>
      </c>
      <c r="C13537" t="s">
        <v>33</v>
      </c>
      <c r="D13537" t="s">
        <v>17</v>
      </c>
      <c r="E13537" t="s">
        <v>12</v>
      </c>
      <c r="F13537">
        <v>102937872</v>
      </c>
      <c r="G13537">
        <v>102937909</v>
      </c>
      <c r="H13537">
        <v>102937872</v>
      </c>
      <c r="I13537">
        <v>102937909</v>
      </c>
    </row>
    <row r="13538" spans="1:9" x14ac:dyDescent="0.2">
      <c r="A13538" s="1" t="str">
        <f>"PMPCB"</f>
        <v>PMPCB</v>
      </c>
      <c r="B13538" t="s">
        <v>13</v>
      </c>
      <c r="C13538" t="s">
        <v>33</v>
      </c>
      <c r="D13538" t="s">
        <v>17</v>
      </c>
      <c r="E13538" t="s">
        <v>12</v>
      </c>
      <c r="F13538">
        <v>102940666</v>
      </c>
      <c r="G13538">
        <v>102940697</v>
      </c>
      <c r="H13538">
        <v>102940666</v>
      </c>
      <c r="I13538">
        <v>102940697</v>
      </c>
    </row>
    <row r="13539" spans="1:9" x14ac:dyDescent="0.2">
      <c r="A13539" s="1" t="str">
        <f>"PMS1"</f>
        <v>PMS1</v>
      </c>
      <c r="B13539" t="s">
        <v>14</v>
      </c>
      <c r="C13539" t="s">
        <v>26</v>
      </c>
      <c r="D13539" t="s">
        <v>17</v>
      </c>
      <c r="E13539" t="s">
        <v>12</v>
      </c>
      <c r="F13539">
        <v>190649162</v>
      </c>
      <c r="G13539">
        <v>190649274</v>
      </c>
      <c r="H13539">
        <v>190648835</v>
      </c>
      <c r="I13539">
        <v>190648868</v>
      </c>
    </row>
    <row r="13540" spans="1:9" x14ac:dyDescent="0.2">
      <c r="A13540" s="1" t="str">
        <f>"PMS2"</f>
        <v>PMS2</v>
      </c>
      <c r="B13540" t="s">
        <v>14</v>
      </c>
      <c r="C13540" t="s">
        <v>33</v>
      </c>
      <c r="D13540" t="s">
        <v>11</v>
      </c>
      <c r="E13540" t="s">
        <v>12</v>
      </c>
      <c r="F13540">
        <v>6048655</v>
      </c>
      <c r="G13540">
        <v>6048687</v>
      </c>
      <c r="H13540">
        <v>6048702</v>
      </c>
      <c r="I13540">
        <v>6048734</v>
      </c>
    </row>
    <row r="13541" spans="1:9" x14ac:dyDescent="0.2">
      <c r="A13541" s="1" t="str">
        <f>"PMVK"</f>
        <v>PMVK</v>
      </c>
      <c r="B13541" t="s">
        <v>14</v>
      </c>
      <c r="C13541" t="s">
        <v>19</v>
      </c>
      <c r="D13541" t="s">
        <v>11</v>
      </c>
      <c r="E13541" t="s">
        <v>12</v>
      </c>
      <c r="F13541">
        <v>154909156</v>
      </c>
      <c r="G13541">
        <v>154909243</v>
      </c>
      <c r="H13541">
        <v>154909329</v>
      </c>
      <c r="I13541">
        <v>154909418</v>
      </c>
    </row>
    <row r="13542" spans="1:9" x14ac:dyDescent="0.2">
      <c r="A13542" s="1" t="str">
        <f>"PNCK"</f>
        <v>PNCK</v>
      </c>
      <c r="B13542" t="s">
        <v>14</v>
      </c>
      <c r="C13542" t="s">
        <v>37</v>
      </c>
      <c r="D13542" t="s">
        <v>11</v>
      </c>
      <c r="E13542" t="s">
        <v>12</v>
      </c>
      <c r="F13542">
        <v>152939252</v>
      </c>
      <c r="G13542">
        <v>152939291</v>
      </c>
      <c r="H13542">
        <v>152939089</v>
      </c>
      <c r="I13542">
        <v>152939119</v>
      </c>
    </row>
    <row r="13543" spans="1:9" x14ac:dyDescent="0.2">
      <c r="A13543" s="1" t="str">
        <f>"PNISR"</f>
        <v>PNISR</v>
      </c>
      <c r="B13543" t="s">
        <v>9</v>
      </c>
      <c r="C13543" t="s">
        <v>32</v>
      </c>
      <c r="D13543" t="s">
        <v>11</v>
      </c>
      <c r="E13543" t="s">
        <v>12</v>
      </c>
      <c r="F13543">
        <v>99873145</v>
      </c>
      <c r="G13543">
        <v>99873196</v>
      </c>
      <c r="H13543">
        <v>99873145</v>
      </c>
      <c r="I13543">
        <v>99873196</v>
      </c>
    </row>
    <row r="13544" spans="1:9" x14ac:dyDescent="0.2">
      <c r="A13544" s="1" t="str">
        <f>"PNISR"</f>
        <v>PNISR</v>
      </c>
      <c r="B13544" t="s">
        <v>13</v>
      </c>
      <c r="C13544" t="s">
        <v>32</v>
      </c>
      <c r="D13544" t="s">
        <v>11</v>
      </c>
      <c r="E13544" t="s">
        <v>12</v>
      </c>
      <c r="F13544">
        <v>99848922</v>
      </c>
      <c r="G13544">
        <v>99848992</v>
      </c>
      <c r="H13544">
        <v>99848922</v>
      </c>
      <c r="I13544">
        <v>99848992</v>
      </c>
    </row>
    <row r="13545" spans="1:9" x14ac:dyDescent="0.2">
      <c r="A13545" s="1" t="str">
        <f>"PNKD"</f>
        <v>PNKD</v>
      </c>
      <c r="B13545" t="s">
        <v>1351</v>
      </c>
      <c r="C13545" t="s">
        <v>26</v>
      </c>
      <c r="D13545" t="s">
        <v>17</v>
      </c>
      <c r="E13545" t="s">
        <v>35</v>
      </c>
      <c r="F13545">
        <v>219187771</v>
      </c>
      <c r="G13545">
        <v>219187819</v>
      </c>
      <c r="H13545">
        <v>219188066</v>
      </c>
      <c r="I13545">
        <v>219188077</v>
      </c>
    </row>
    <row r="13546" spans="1:9" x14ac:dyDescent="0.2">
      <c r="A13546" s="1" t="str">
        <f>"PNKP"</f>
        <v>PNKP</v>
      </c>
      <c r="B13546" t="s">
        <v>14</v>
      </c>
      <c r="C13546" t="s">
        <v>10</v>
      </c>
      <c r="D13546" t="s">
        <v>11</v>
      </c>
      <c r="E13546" t="s">
        <v>12</v>
      </c>
      <c r="F13546">
        <v>50370799</v>
      </c>
      <c r="G13546">
        <v>50370843</v>
      </c>
      <c r="H13546">
        <v>50370509</v>
      </c>
      <c r="I13546">
        <v>50370537</v>
      </c>
    </row>
    <row r="13547" spans="1:9" x14ac:dyDescent="0.2">
      <c r="A13547" s="1" t="str">
        <f>"PNLDC1"</f>
        <v>PNLDC1</v>
      </c>
      <c r="B13547" t="s">
        <v>14</v>
      </c>
      <c r="C13547" t="s">
        <v>32</v>
      </c>
      <c r="D13547" t="s">
        <v>17</v>
      </c>
      <c r="E13547" t="s">
        <v>12</v>
      </c>
      <c r="F13547">
        <v>160221293</v>
      </c>
      <c r="G13547">
        <v>160221332</v>
      </c>
      <c r="H13547">
        <v>160221337</v>
      </c>
      <c r="I13547">
        <v>160221349</v>
      </c>
    </row>
    <row r="13548" spans="1:9" x14ac:dyDescent="0.2">
      <c r="A13548" s="1" t="str">
        <f>"PNLIP"</f>
        <v>PNLIP</v>
      </c>
      <c r="B13548" t="s">
        <v>14</v>
      </c>
      <c r="C13548" t="s">
        <v>15</v>
      </c>
      <c r="D13548" t="s">
        <v>17</v>
      </c>
      <c r="E13548" t="s">
        <v>12</v>
      </c>
      <c r="F13548">
        <v>118305435</v>
      </c>
      <c r="G13548">
        <v>118305450</v>
      </c>
      <c r="H13548">
        <v>118305608</v>
      </c>
      <c r="I13548">
        <v>118305622</v>
      </c>
    </row>
    <row r="13549" spans="1:9" x14ac:dyDescent="0.2">
      <c r="A13549" s="1" t="str">
        <f>"PNLIPRP1"</f>
        <v>PNLIPRP1</v>
      </c>
      <c r="B13549" t="s">
        <v>14</v>
      </c>
      <c r="C13549" t="s">
        <v>15</v>
      </c>
      <c r="D13549" t="s">
        <v>17</v>
      </c>
      <c r="E13549" t="s">
        <v>12</v>
      </c>
      <c r="F13549">
        <v>118350468</v>
      </c>
      <c r="G13549">
        <v>118350480</v>
      </c>
      <c r="H13549">
        <v>118350522</v>
      </c>
      <c r="I13549">
        <v>118350533</v>
      </c>
    </row>
    <row r="13550" spans="1:9" x14ac:dyDescent="0.2">
      <c r="A13550" s="1" t="str">
        <f>"PNLIPRP2"</f>
        <v>PNLIPRP2</v>
      </c>
      <c r="B13550" t="s">
        <v>14</v>
      </c>
      <c r="C13550" t="s">
        <v>15</v>
      </c>
      <c r="D13550" t="s">
        <v>17</v>
      </c>
      <c r="E13550" t="s">
        <v>12</v>
      </c>
      <c r="F13550">
        <v>118380458</v>
      </c>
      <c r="G13550">
        <v>118380468</v>
      </c>
      <c r="H13550">
        <v>118380447</v>
      </c>
      <c r="I13550">
        <v>118380456</v>
      </c>
    </row>
    <row r="13551" spans="1:9" x14ac:dyDescent="0.2">
      <c r="A13551" s="1" t="str">
        <f>"PNLIPRP3"</f>
        <v>PNLIPRP3</v>
      </c>
      <c r="B13551" t="s">
        <v>14</v>
      </c>
      <c r="C13551" t="s">
        <v>15</v>
      </c>
      <c r="D13551" t="s">
        <v>17</v>
      </c>
      <c r="E13551" t="s">
        <v>12</v>
      </c>
      <c r="F13551">
        <v>118187398</v>
      </c>
      <c r="G13551">
        <v>118187461</v>
      </c>
      <c r="H13551">
        <v>118187351</v>
      </c>
      <c r="I13551">
        <v>118187372</v>
      </c>
    </row>
    <row r="13552" spans="1:9" x14ac:dyDescent="0.2">
      <c r="A13552" s="1" t="str">
        <f>"PNMA1"</f>
        <v>PNMA1</v>
      </c>
      <c r="B13552" t="s">
        <v>14</v>
      </c>
      <c r="C13552" t="s">
        <v>41</v>
      </c>
      <c r="D13552" t="s">
        <v>11</v>
      </c>
      <c r="E13552" t="s">
        <v>12</v>
      </c>
      <c r="F13552">
        <v>74181064</v>
      </c>
      <c r="G13552">
        <v>74181104</v>
      </c>
      <c r="H13552">
        <v>74181041</v>
      </c>
      <c r="I13552">
        <v>74181058</v>
      </c>
    </row>
    <row r="13553" spans="1:9" x14ac:dyDescent="0.2">
      <c r="A13553" s="1" t="str">
        <f>"PNMA2"</f>
        <v>PNMA2</v>
      </c>
      <c r="B13553" t="s">
        <v>14</v>
      </c>
      <c r="C13553" t="s">
        <v>30</v>
      </c>
      <c r="D13553" t="s">
        <v>11</v>
      </c>
      <c r="E13553" t="s">
        <v>12</v>
      </c>
      <c r="F13553">
        <v>26371381</v>
      </c>
      <c r="G13553">
        <v>26371398</v>
      </c>
      <c r="H13553">
        <v>26370447</v>
      </c>
      <c r="I13553">
        <v>26370491</v>
      </c>
    </row>
    <row r="13554" spans="1:9" x14ac:dyDescent="0.2">
      <c r="A13554" s="1" t="str">
        <f>"PNMA3"</f>
        <v>PNMA3</v>
      </c>
      <c r="B13554" t="s">
        <v>14</v>
      </c>
      <c r="C13554" t="s">
        <v>37</v>
      </c>
      <c r="D13554" t="s">
        <v>17</v>
      </c>
      <c r="E13554" t="s">
        <v>12</v>
      </c>
      <c r="F13554">
        <v>152224817</v>
      </c>
      <c r="G13554">
        <v>152224850</v>
      </c>
      <c r="H13554">
        <v>152224856</v>
      </c>
      <c r="I13554">
        <v>152224870</v>
      </c>
    </row>
    <row r="13555" spans="1:9" x14ac:dyDescent="0.2">
      <c r="A13555" s="1" t="str">
        <f>"PNMA5"</f>
        <v>PNMA5</v>
      </c>
      <c r="B13555" t="s">
        <v>14</v>
      </c>
      <c r="C13555" t="s">
        <v>37</v>
      </c>
      <c r="D13555" t="s">
        <v>11</v>
      </c>
      <c r="E13555" t="s">
        <v>12</v>
      </c>
      <c r="F13555">
        <v>152162653</v>
      </c>
      <c r="G13555">
        <v>152162667</v>
      </c>
      <c r="H13555">
        <v>152162673</v>
      </c>
      <c r="I13555">
        <v>152162689</v>
      </c>
    </row>
    <row r="13556" spans="1:9" x14ac:dyDescent="0.2">
      <c r="A13556" s="1" t="str">
        <f>"PNMA6A"</f>
        <v>PNMA6A</v>
      </c>
      <c r="B13556" t="s">
        <v>1352</v>
      </c>
      <c r="C13556" t="s">
        <v>37</v>
      </c>
      <c r="D13556" t="s">
        <v>17</v>
      </c>
      <c r="E13556" t="s">
        <v>20</v>
      </c>
      <c r="F13556">
        <v>152338300</v>
      </c>
      <c r="G13556">
        <v>152338300</v>
      </c>
      <c r="H13556">
        <v>152338300</v>
      </c>
      <c r="I13556">
        <v>152338300</v>
      </c>
    </row>
    <row r="13557" spans="1:9" x14ac:dyDescent="0.2">
      <c r="A13557" s="1" t="str">
        <f>"PNMA6A"</f>
        <v>PNMA6A</v>
      </c>
      <c r="B13557" t="s">
        <v>1353</v>
      </c>
      <c r="C13557" t="s">
        <v>37</v>
      </c>
      <c r="D13557" t="s">
        <v>17</v>
      </c>
      <c r="E13557" t="s">
        <v>20</v>
      </c>
      <c r="F13557">
        <v>152240838</v>
      </c>
      <c r="G13557">
        <v>152240838</v>
      </c>
      <c r="H13557">
        <v>152240838</v>
      </c>
      <c r="I13557">
        <v>152240838</v>
      </c>
    </row>
    <row r="13558" spans="1:9" x14ac:dyDescent="0.2">
      <c r="A13558" s="1" t="str">
        <f>"PNMA6B"</f>
        <v>PNMA6B</v>
      </c>
      <c r="B13558" t="s">
        <v>1354</v>
      </c>
      <c r="C13558" t="s">
        <v>37</v>
      </c>
      <c r="D13558" t="s">
        <v>11</v>
      </c>
      <c r="E13558" t="s">
        <v>20</v>
      </c>
      <c r="F13558">
        <v>152343393</v>
      </c>
      <c r="G13558">
        <v>152343393</v>
      </c>
      <c r="H13558">
        <v>152343393</v>
      </c>
      <c r="I13558">
        <v>152343393</v>
      </c>
    </row>
    <row r="13559" spans="1:9" x14ac:dyDescent="0.2">
      <c r="A13559" s="1" t="str">
        <f>"PNMAL1"</f>
        <v>PNMAL1</v>
      </c>
      <c r="B13559" t="s">
        <v>14</v>
      </c>
      <c r="C13559" t="s">
        <v>10</v>
      </c>
      <c r="D13559" t="s">
        <v>11</v>
      </c>
      <c r="E13559" t="s">
        <v>12</v>
      </c>
      <c r="F13559">
        <v>46974741</v>
      </c>
      <c r="G13559">
        <v>46974826</v>
      </c>
      <c r="H13559">
        <v>46974686</v>
      </c>
      <c r="I13559">
        <v>46974721</v>
      </c>
    </row>
    <row r="13560" spans="1:9" x14ac:dyDescent="0.2">
      <c r="A13560" s="1" t="str">
        <f>"PNMAL2"</f>
        <v>PNMAL2</v>
      </c>
      <c r="B13560" t="s">
        <v>14</v>
      </c>
      <c r="C13560" t="s">
        <v>10</v>
      </c>
      <c r="D13560" t="s">
        <v>11</v>
      </c>
      <c r="E13560" t="s">
        <v>12</v>
      </c>
      <c r="F13560">
        <v>46999114</v>
      </c>
      <c r="G13560">
        <v>46999129</v>
      </c>
      <c r="H13560">
        <v>46999131</v>
      </c>
      <c r="I13560">
        <v>46999174</v>
      </c>
    </row>
    <row r="13561" spans="1:9" x14ac:dyDescent="0.2">
      <c r="A13561" s="1" t="str">
        <f>"PNMT"</f>
        <v>PNMT</v>
      </c>
      <c r="B13561" t="s">
        <v>14</v>
      </c>
      <c r="C13561" t="s">
        <v>28</v>
      </c>
      <c r="D13561" t="s">
        <v>17</v>
      </c>
      <c r="E13561" t="s">
        <v>12</v>
      </c>
      <c r="F13561">
        <v>37824259</v>
      </c>
      <c r="G13561">
        <v>37824278</v>
      </c>
      <c r="H13561">
        <v>37824700</v>
      </c>
      <c r="I13561">
        <v>37824714</v>
      </c>
    </row>
    <row r="13562" spans="1:9" x14ac:dyDescent="0.2">
      <c r="A13562" s="1" t="str">
        <f>"PNN"</f>
        <v>PNN</v>
      </c>
      <c r="B13562" t="s">
        <v>14</v>
      </c>
      <c r="C13562" t="s">
        <v>41</v>
      </c>
      <c r="D13562" t="s">
        <v>17</v>
      </c>
      <c r="E13562" t="s">
        <v>12</v>
      </c>
      <c r="F13562">
        <v>39644425</v>
      </c>
      <c r="G13562">
        <v>39644470</v>
      </c>
      <c r="H13562">
        <v>39644395</v>
      </c>
      <c r="I13562">
        <v>39644417</v>
      </c>
    </row>
    <row r="13563" spans="1:9" x14ac:dyDescent="0.2">
      <c r="A13563" s="1" t="str">
        <f>"PNO1"</f>
        <v>PNO1</v>
      </c>
      <c r="B13563" t="s">
        <v>14</v>
      </c>
      <c r="C13563" t="s">
        <v>26</v>
      </c>
      <c r="D13563" t="s">
        <v>17</v>
      </c>
      <c r="E13563" t="s">
        <v>12</v>
      </c>
      <c r="F13563">
        <v>68385009</v>
      </c>
      <c r="G13563">
        <v>68385068</v>
      </c>
      <c r="H13563">
        <v>68384984</v>
      </c>
      <c r="I13563">
        <v>68385005</v>
      </c>
    </row>
    <row r="13564" spans="1:9" x14ac:dyDescent="0.2">
      <c r="A13564" s="1" t="str">
        <f>"PNOC"</f>
        <v>PNOC</v>
      </c>
      <c r="B13564" t="s">
        <v>9</v>
      </c>
      <c r="C13564" t="s">
        <v>30</v>
      </c>
      <c r="D13564" t="s">
        <v>17</v>
      </c>
      <c r="E13564" t="s">
        <v>12</v>
      </c>
      <c r="F13564">
        <v>28174777</v>
      </c>
      <c r="G13564">
        <v>28174794</v>
      </c>
      <c r="H13564">
        <v>28174777</v>
      </c>
      <c r="I13564">
        <v>28174794</v>
      </c>
    </row>
    <row r="13565" spans="1:9" x14ac:dyDescent="0.2">
      <c r="A13565" s="1" t="str">
        <f>"PNOC"</f>
        <v>PNOC</v>
      </c>
      <c r="B13565" t="s">
        <v>13</v>
      </c>
      <c r="C13565" t="s">
        <v>30</v>
      </c>
      <c r="D13565" t="s">
        <v>17</v>
      </c>
      <c r="E13565" t="s">
        <v>12</v>
      </c>
      <c r="F13565">
        <v>28196157</v>
      </c>
      <c r="G13565">
        <v>28196204</v>
      </c>
      <c r="H13565">
        <v>28196157</v>
      </c>
      <c r="I13565">
        <v>28196204</v>
      </c>
    </row>
    <row r="13566" spans="1:9" x14ac:dyDescent="0.2">
      <c r="A13566" s="1" t="str">
        <f>"PNP"</f>
        <v>PNP</v>
      </c>
      <c r="B13566" t="s">
        <v>14</v>
      </c>
      <c r="C13566" t="s">
        <v>41</v>
      </c>
      <c r="D13566" t="s">
        <v>17</v>
      </c>
      <c r="E13566" t="s">
        <v>12</v>
      </c>
      <c r="F13566">
        <v>20937557</v>
      </c>
      <c r="G13566">
        <v>20937574</v>
      </c>
      <c r="H13566">
        <v>20937557</v>
      </c>
      <c r="I13566">
        <v>20937574</v>
      </c>
    </row>
    <row r="13567" spans="1:9" x14ac:dyDescent="0.2">
      <c r="A13567" s="1" t="str">
        <f>"PNPLA1"</f>
        <v>PNPLA1</v>
      </c>
      <c r="B13567" t="s">
        <v>14</v>
      </c>
      <c r="C13567" t="s">
        <v>32</v>
      </c>
      <c r="D13567" t="s">
        <v>17</v>
      </c>
      <c r="E13567" t="s">
        <v>12</v>
      </c>
      <c r="F13567">
        <v>36210772</v>
      </c>
      <c r="G13567">
        <v>36210775</v>
      </c>
      <c r="H13567">
        <v>36210772</v>
      </c>
      <c r="I13567">
        <v>36210775</v>
      </c>
    </row>
    <row r="13568" spans="1:9" x14ac:dyDescent="0.2">
      <c r="A13568" s="1" t="str">
        <f>"PNPLA2"</f>
        <v>PNPLA2</v>
      </c>
      <c r="B13568" t="s">
        <v>14</v>
      </c>
      <c r="C13568" t="s">
        <v>27</v>
      </c>
      <c r="D13568" t="s">
        <v>17</v>
      </c>
      <c r="E13568" t="s">
        <v>12</v>
      </c>
      <c r="F13568">
        <v>819562</v>
      </c>
      <c r="G13568">
        <v>819579</v>
      </c>
      <c r="H13568">
        <v>818906</v>
      </c>
      <c r="I13568">
        <v>818924</v>
      </c>
    </row>
    <row r="13569" spans="1:9" x14ac:dyDescent="0.2">
      <c r="A13569" s="1" t="str">
        <f>"PNPLA3"</f>
        <v>PNPLA3</v>
      </c>
      <c r="B13569" t="s">
        <v>14</v>
      </c>
      <c r="C13569" t="s">
        <v>21</v>
      </c>
      <c r="D13569" t="s">
        <v>17</v>
      </c>
      <c r="E13569" t="s">
        <v>12</v>
      </c>
      <c r="F13569">
        <v>44319648</v>
      </c>
      <c r="G13569">
        <v>44319692</v>
      </c>
      <c r="H13569">
        <v>44319635</v>
      </c>
      <c r="I13569">
        <v>44319646</v>
      </c>
    </row>
    <row r="13570" spans="1:9" x14ac:dyDescent="0.2">
      <c r="A13570" s="1" t="str">
        <f>"PNPLA4"</f>
        <v>PNPLA4</v>
      </c>
      <c r="B13570" t="s">
        <v>14</v>
      </c>
      <c r="C13570" t="s">
        <v>37</v>
      </c>
      <c r="D13570" t="s">
        <v>11</v>
      </c>
      <c r="E13570" t="s">
        <v>12</v>
      </c>
      <c r="F13570">
        <v>7895419</v>
      </c>
      <c r="G13570">
        <v>7895477</v>
      </c>
      <c r="H13570">
        <v>7895755</v>
      </c>
      <c r="I13570">
        <v>7895772</v>
      </c>
    </row>
    <row r="13571" spans="1:9" x14ac:dyDescent="0.2">
      <c r="A13571" s="1" t="str">
        <f>"PNPLA5"</f>
        <v>PNPLA5</v>
      </c>
      <c r="B13571" t="s">
        <v>14</v>
      </c>
      <c r="C13571" t="s">
        <v>21</v>
      </c>
      <c r="D13571" t="s">
        <v>11</v>
      </c>
      <c r="E13571" t="s">
        <v>12</v>
      </c>
      <c r="F13571">
        <v>44287851</v>
      </c>
      <c r="G13571">
        <v>44287870</v>
      </c>
      <c r="H13571">
        <v>44287885</v>
      </c>
      <c r="I13571">
        <v>44287898</v>
      </c>
    </row>
    <row r="13572" spans="1:9" x14ac:dyDescent="0.2">
      <c r="A13572" s="1" t="str">
        <f>"PNPLA6"</f>
        <v>PNPLA6</v>
      </c>
      <c r="B13572" t="s">
        <v>14</v>
      </c>
      <c r="C13572" t="s">
        <v>10</v>
      </c>
      <c r="D13572" t="s">
        <v>17</v>
      </c>
      <c r="E13572" t="s">
        <v>12</v>
      </c>
      <c r="F13572">
        <v>7599597</v>
      </c>
      <c r="G13572">
        <v>7599642</v>
      </c>
      <c r="H13572">
        <v>7600584</v>
      </c>
      <c r="I13572">
        <v>7600634</v>
      </c>
    </row>
    <row r="13573" spans="1:9" x14ac:dyDescent="0.2">
      <c r="A13573" s="1" t="str">
        <f>"PNPLA7"</f>
        <v>PNPLA7</v>
      </c>
      <c r="B13573" t="s">
        <v>14</v>
      </c>
      <c r="C13573" t="s">
        <v>24</v>
      </c>
      <c r="D13573" t="s">
        <v>11</v>
      </c>
      <c r="E13573" t="s">
        <v>12</v>
      </c>
      <c r="F13573">
        <v>140444814</v>
      </c>
      <c r="G13573">
        <v>140444862</v>
      </c>
      <c r="H13573">
        <v>140444867</v>
      </c>
      <c r="I13573">
        <v>140444903</v>
      </c>
    </row>
    <row r="13574" spans="1:9" x14ac:dyDescent="0.2">
      <c r="A13574" s="1" t="str">
        <f>"PNPLA8"</f>
        <v>PNPLA8</v>
      </c>
      <c r="B13574" t="s">
        <v>14</v>
      </c>
      <c r="C13574" t="s">
        <v>33</v>
      </c>
      <c r="D13574" t="s">
        <v>11</v>
      </c>
      <c r="E13574" t="s">
        <v>12</v>
      </c>
      <c r="F13574">
        <v>108166505</v>
      </c>
      <c r="G13574">
        <v>108166613</v>
      </c>
      <c r="H13574">
        <v>108166505</v>
      </c>
      <c r="I13574">
        <v>108166613</v>
      </c>
    </row>
    <row r="13575" spans="1:9" x14ac:dyDescent="0.2">
      <c r="A13575" s="1" t="str">
        <f>"PNPO"</f>
        <v>PNPO</v>
      </c>
      <c r="B13575" t="s">
        <v>14</v>
      </c>
      <c r="C13575" t="s">
        <v>28</v>
      </c>
      <c r="D13575" t="s">
        <v>17</v>
      </c>
      <c r="E13575" t="s">
        <v>12</v>
      </c>
      <c r="F13575">
        <v>46018885</v>
      </c>
      <c r="G13575">
        <v>46019006</v>
      </c>
      <c r="H13575">
        <v>46019012</v>
      </c>
      <c r="I13575">
        <v>46019131</v>
      </c>
    </row>
    <row r="13576" spans="1:9" x14ac:dyDescent="0.2">
      <c r="A13576" s="1" t="str">
        <f>"PNPT1"</f>
        <v>PNPT1</v>
      </c>
      <c r="B13576" t="s">
        <v>14</v>
      </c>
      <c r="C13576" t="s">
        <v>26</v>
      </c>
      <c r="D13576" t="s">
        <v>11</v>
      </c>
      <c r="E13576" t="s">
        <v>12</v>
      </c>
      <c r="F13576">
        <v>55920952</v>
      </c>
      <c r="G13576">
        <v>55920993</v>
      </c>
      <c r="H13576">
        <v>55920952</v>
      </c>
      <c r="I13576">
        <v>55920993</v>
      </c>
    </row>
    <row r="13577" spans="1:9" x14ac:dyDescent="0.2">
      <c r="A13577" s="1" t="str">
        <f>"PNRC1"</f>
        <v>PNRC1</v>
      </c>
      <c r="B13577" t="s">
        <v>14</v>
      </c>
      <c r="C13577" t="s">
        <v>32</v>
      </c>
      <c r="D13577" t="s">
        <v>17</v>
      </c>
      <c r="E13577" t="s">
        <v>12</v>
      </c>
      <c r="F13577">
        <v>89790459</v>
      </c>
      <c r="G13577">
        <v>89790479</v>
      </c>
      <c r="H13577">
        <v>89790490</v>
      </c>
      <c r="I13577">
        <v>89790506</v>
      </c>
    </row>
    <row r="13578" spans="1:9" x14ac:dyDescent="0.2">
      <c r="A13578" s="1" t="str">
        <f>"PNRC2"</f>
        <v>PNRC2</v>
      </c>
      <c r="B13578" t="s">
        <v>14</v>
      </c>
      <c r="C13578" t="s">
        <v>19</v>
      </c>
      <c r="D13578" t="s">
        <v>17</v>
      </c>
      <c r="E13578" t="s">
        <v>12</v>
      </c>
      <c r="F13578">
        <v>24286287</v>
      </c>
      <c r="G13578">
        <v>24286326</v>
      </c>
      <c r="H13578">
        <v>24285675</v>
      </c>
      <c r="I13578">
        <v>24285712</v>
      </c>
    </row>
    <row r="13579" spans="1:9" x14ac:dyDescent="0.2">
      <c r="A13579" s="1" t="str">
        <f>"POC1A"</f>
        <v>POC1A</v>
      </c>
      <c r="B13579" t="s">
        <v>14</v>
      </c>
      <c r="C13579" t="s">
        <v>22</v>
      </c>
      <c r="D13579" t="s">
        <v>11</v>
      </c>
      <c r="E13579" t="s">
        <v>12</v>
      </c>
      <c r="F13579">
        <v>52188397</v>
      </c>
      <c r="G13579">
        <v>52188450</v>
      </c>
      <c r="H13579">
        <v>52188716</v>
      </c>
      <c r="I13579">
        <v>52188733</v>
      </c>
    </row>
    <row r="13580" spans="1:9" x14ac:dyDescent="0.2">
      <c r="A13580" s="1" t="str">
        <f>"POC1B"</f>
        <v>POC1B</v>
      </c>
      <c r="B13580" t="s">
        <v>14</v>
      </c>
      <c r="C13580" t="s">
        <v>16</v>
      </c>
      <c r="D13580" t="s">
        <v>11</v>
      </c>
      <c r="E13580" t="s">
        <v>12</v>
      </c>
      <c r="F13580">
        <v>89919765</v>
      </c>
      <c r="G13580">
        <v>89919849</v>
      </c>
      <c r="H13580">
        <v>89919675</v>
      </c>
      <c r="I13580">
        <v>89919693</v>
      </c>
    </row>
    <row r="13581" spans="1:9" x14ac:dyDescent="0.2">
      <c r="A13581" s="1" t="str">
        <f>"POC1B-GALNT4"</f>
        <v>POC1B-GALNT4</v>
      </c>
      <c r="B13581" t="s">
        <v>14</v>
      </c>
      <c r="C13581" t="s">
        <v>16</v>
      </c>
      <c r="D13581" t="s">
        <v>11</v>
      </c>
      <c r="E13581" t="s">
        <v>12</v>
      </c>
      <c r="F13581">
        <v>89919965</v>
      </c>
      <c r="G13581">
        <v>89919978</v>
      </c>
      <c r="H13581">
        <v>89919942</v>
      </c>
      <c r="I13581">
        <v>89919958</v>
      </c>
    </row>
    <row r="13582" spans="1:9" x14ac:dyDescent="0.2">
      <c r="A13582" s="1" t="str">
        <f>"POC5"</f>
        <v>POC5</v>
      </c>
      <c r="B13582" t="s">
        <v>14</v>
      </c>
      <c r="C13582" t="s">
        <v>46</v>
      </c>
      <c r="D13582" t="s">
        <v>11</v>
      </c>
      <c r="E13582" t="s">
        <v>12</v>
      </c>
      <c r="F13582">
        <v>75013193</v>
      </c>
      <c r="G13582">
        <v>75013278</v>
      </c>
      <c r="H13582">
        <v>75013193</v>
      </c>
      <c r="I13582">
        <v>75013278</v>
      </c>
    </row>
    <row r="13583" spans="1:9" x14ac:dyDescent="0.2">
      <c r="A13583" s="1" t="str">
        <f>"PODN"</f>
        <v>PODN</v>
      </c>
      <c r="B13583" t="s">
        <v>9</v>
      </c>
      <c r="C13583" t="s">
        <v>19</v>
      </c>
      <c r="D13583" t="s">
        <v>17</v>
      </c>
      <c r="E13583" t="s">
        <v>12</v>
      </c>
      <c r="F13583">
        <v>53527864</v>
      </c>
      <c r="G13583">
        <v>53527891</v>
      </c>
      <c r="H13583">
        <v>53527864</v>
      </c>
      <c r="I13583">
        <v>53527891</v>
      </c>
    </row>
    <row r="13584" spans="1:9" x14ac:dyDescent="0.2">
      <c r="A13584" s="1" t="str">
        <f>"PODN"</f>
        <v>PODN</v>
      </c>
      <c r="B13584" t="s">
        <v>13</v>
      </c>
      <c r="C13584" t="s">
        <v>19</v>
      </c>
      <c r="D13584" t="s">
        <v>17</v>
      </c>
      <c r="E13584" t="s">
        <v>12</v>
      </c>
      <c r="F13584">
        <v>53550333</v>
      </c>
      <c r="G13584">
        <v>53550383</v>
      </c>
      <c r="H13584">
        <v>53550333</v>
      </c>
      <c r="I13584">
        <v>53550383</v>
      </c>
    </row>
    <row r="13585" spans="1:9" x14ac:dyDescent="0.2">
      <c r="A13585" s="1" t="str">
        <f>"PODNL1"</f>
        <v>PODNL1</v>
      </c>
      <c r="B13585" t="s">
        <v>14</v>
      </c>
      <c r="C13585" t="s">
        <v>10</v>
      </c>
      <c r="D13585" t="s">
        <v>11</v>
      </c>
      <c r="E13585" t="s">
        <v>12</v>
      </c>
      <c r="F13585">
        <v>14049184</v>
      </c>
      <c r="G13585">
        <v>14049242</v>
      </c>
      <c r="H13585">
        <v>14049184</v>
      </c>
      <c r="I13585">
        <v>14049242</v>
      </c>
    </row>
    <row r="13586" spans="1:9" x14ac:dyDescent="0.2">
      <c r="A13586" s="1" t="str">
        <f>"PODXL"</f>
        <v>PODXL</v>
      </c>
      <c r="B13586" t="s">
        <v>14</v>
      </c>
      <c r="C13586" t="s">
        <v>33</v>
      </c>
      <c r="D13586" t="s">
        <v>11</v>
      </c>
      <c r="E13586" t="s">
        <v>12</v>
      </c>
      <c r="F13586">
        <v>131241361</v>
      </c>
      <c r="G13586">
        <v>131241398</v>
      </c>
      <c r="H13586">
        <v>131241308</v>
      </c>
      <c r="I13586">
        <v>131241331</v>
      </c>
    </row>
    <row r="13587" spans="1:9" x14ac:dyDescent="0.2">
      <c r="A13587" s="1" t="str">
        <f>"PODXL2"</f>
        <v>PODXL2</v>
      </c>
      <c r="B13587" t="s">
        <v>14</v>
      </c>
      <c r="C13587" t="s">
        <v>22</v>
      </c>
      <c r="D13587" t="s">
        <v>17</v>
      </c>
      <c r="E13587" t="s">
        <v>12</v>
      </c>
      <c r="F13587">
        <v>127348005</v>
      </c>
      <c r="G13587">
        <v>127348063</v>
      </c>
      <c r="H13587">
        <v>127347988</v>
      </c>
      <c r="I13587">
        <v>127348000</v>
      </c>
    </row>
    <row r="13588" spans="1:9" x14ac:dyDescent="0.2">
      <c r="A13588" s="1" t="str">
        <f>"POF1B"</f>
        <v>POF1B</v>
      </c>
      <c r="B13588" t="s">
        <v>14</v>
      </c>
      <c r="C13588" t="s">
        <v>37</v>
      </c>
      <c r="D13588" t="s">
        <v>11</v>
      </c>
      <c r="E13588" t="s">
        <v>12</v>
      </c>
      <c r="F13588">
        <v>84634664</v>
      </c>
      <c r="G13588">
        <v>84634676</v>
      </c>
      <c r="H13588">
        <v>84634683</v>
      </c>
      <c r="I13588">
        <v>84634705</v>
      </c>
    </row>
    <row r="13589" spans="1:9" x14ac:dyDescent="0.2">
      <c r="A13589" s="1" t="str">
        <f>"POFUT1"</f>
        <v>POFUT1</v>
      </c>
      <c r="B13589" t="s">
        <v>14</v>
      </c>
      <c r="C13589" t="s">
        <v>29</v>
      </c>
      <c r="D13589" t="s">
        <v>17</v>
      </c>
      <c r="E13589" t="s">
        <v>12</v>
      </c>
      <c r="F13589">
        <v>30795664</v>
      </c>
      <c r="G13589">
        <v>30795743</v>
      </c>
      <c r="H13589">
        <v>30795646</v>
      </c>
      <c r="I13589">
        <v>30795655</v>
      </c>
    </row>
    <row r="13590" spans="1:9" x14ac:dyDescent="0.2">
      <c r="A13590" s="1" t="str">
        <f>"POFUT2"</f>
        <v>POFUT2</v>
      </c>
      <c r="B13590" t="s">
        <v>14</v>
      </c>
      <c r="C13590" t="s">
        <v>42</v>
      </c>
      <c r="D13590" t="s">
        <v>11</v>
      </c>
      <c r="E13590" t="s">
        <v>12</v>
      </c>
      <c r="F13590">
        <v>46707793</v>
      </c>
      <c r="G13590">
        <v>46707815</v>
      </c>
      <c r="H13590">
        <v>46707768</v>
      </c>
      <c r="I13590">
        <v>46707787</v>
      </c>
    </row>
    <row r="13591" spans="1:9" x14ac:dyDescent="0.2">
      <c r="A13591" s="1" t="str">
        <f>"POGK"</f>
        <v>POGK</v>
      </c>
      <c r="B13591" t="s">
        <v>14</v>
      </c>
      <c r="C13591" t="s">
        <v>19</v>
      </c>
      <c r="D13591" t="s">
        <v>17</v>
      </c>
      <c r="E13591" t="s">
        <v>12</v>
      </c>
      <c r="F13591">
        <v>166808692</v>
      </c>
      <c r="G13591">
        <v>166808774</v>
      </c>
      <c r="H13591">
        <v>166808667</v>
      </c>
      <c r="I13591">
        <v>166808690</v>
      </c>
    </row>
    <row r="13592" spans="1:9" x14ac:dyDescent="0.2">
      <c r="A13592" s="1" t="str">
        <f>"POGLUT1"</f>
        <v>POGLUT1</v>
      </c>
      <c r="B13592" t="s">
        <v>14</v>
      </c>
      <c r="C13592" t="s">
        <v>22</v>
      </c>
      <c r="D13592" t="s">
        <v>17</v>
      </c>
      <c r="E13592" t="s">
        <v>12</v>
      </c>
      <c r="F13592">
        <v>119187800</v>
      </c>
      <c r="G13592">
        <v>119187863</v>
      </c>
      <c r="H13592">
        <v>119187908</v>
      </c>
      <c r="I13592">
        <v>119187910</v>
      </c>
    </row>
    <row r="13593" spans="1:9" x14ac:dyDescent="0.2">
      <c r="A13593" s="1" t="str">
        <f>"POGZ"</f>
        <v>POGZ</v>
      </c>
      <c r="B13593" t="s">
        <v>14</v>
      </c>
      <c r="C13593" t="s">
        <v>19</v>
      </c>
      <c r="D13593" t="s">
        <v>11</v>
      </c>
      <c r="E13593" t="s">
        <v>12</v>
      </c>
      <c r="F13593">
        <v>151431909</v>
      </c>
      <c r="G13593">
        <v>151431987</v>
      </c>
      <c r="H13593">
        <v>151431647</v>
      </c>
      <c r="I13593">
        <v>151431669</v>
      </c>
    </row>
    <row r="13594" spans="1:9" x14ac:dyDescent="0.2">
      <c r="A13594" s="1" t="str">
        <f>"POLA1"</f>
        <v>POLA1</v>
      </c>
      <c r="B13594" t="s">
        <v>14</v>
      </c>
      <c r="C13594" t="s">
        <v>37</v>
      </c>
      <c r="D13594" t="s">
        <v>17</v>
      </c>
      <c r="E13594" t="s">
        <v>12</v>
      </c>
      <c r="F13594">
        <v>24711997</v>
      </c>
      <c r="G13594">
        <v>24712075</v>
      </c>
      <c r="H13594">
        <v>24711971</v>
      </c>
      <c r="I13594">
        <v>24711984</v>
      </c>
    </row>
    <row r="13595" spans="1:9" x14ac:dyDescent="0.2">
      <c r="A13595" s="1" t="str">
        <f>"POLA2"</f>
        <v>POLA2</v>
      </c>
      <c r="B13595" t="s">
        <v>14</v>
      </c>
      <c r="C13595" t="s">
        <v>27</v>
      </c>
      <c r="D13595" t="s">
        <v>17</v>
      </c>
      <c r="E13595" t="s">
        <v>12</v>
      </c>
      <c r="F13595">
        <v>65029421</v>
      </c>
      <c r="G13595">
        <v>65029459</v>
      </c>
      <c r="H13595">
        <v>65029394</v>
      </c>
      <c r="I13595">
        <v>65029420</v>
      </c>
    </row>
    <row r="13596" spans="1:9" x14ac:dyDescent="0.2">
      <c r="A13596" s="1" t="str">
        <f>"POLB"</f>
        <v>POLB</v>
      </c>
      <c r="B13596" t="s">
        <v>14</v>
      </c>
      <c r="C13596" t="s">
        <v>30</v>
      </c>
      <c r="D13596" t="s">
        <v>17</v>
      </c>
      <c r="E13596" t="s">
        <v>12</v>
      </c>
      <c r="F13596">
        <v>42196001</v>
      </c>
      <c r="G13596">
        <v>42196021</v>
      </c>
      <c r="H13596">
        <v>42195978</v>
      </c>
      <c r="I13596">
        <v>42195991</v>
      </c>
    </row>
    <row r="13597" spans="1:9" x14ac:dyDescent="0.2">
      <c r="A13597" s="1" t="str">
        <f>"POLD1"</f>
        <v>POLD1</v>
      </c>
      <c r="B13597" t="s">
        <v>14</v>
      </c>
      <c r="C13597" t="s">
        <v>10</v>
      </c>
      <c r="D13597" t="s">
        <v>17</v>
      </c>
      <c r="E13597" t="s">
        <v>12</v>
      </c>
      <c r="F13597">
        <v>50887585</v>
      </c>
      <c r="G13597">
        <v>50887619</v>
      </c>
      <c r="H13597">
        <v>50887558</v>
      </c>
      <c r="I13597">
        <v>50887569</v>
      </c>
    </row>
    <row r="13598" spans="1:9" x14ac:dyDescent="0.2">
      <c r="A13598" s="1" t="str">
        <f>"POLD2"</f>
        <v>POLD2</v>
      </c>
      <c r="B13598" t="s">
        <v>14</v>
      </c>
      <c r="C13598" t="s">
        <v>33</v>
      </c>
      <c r="D13598" t="s">
        <v>11</v>
      </c>
      <c r="E13598" t="s">
        <v>12</v>
      </c>
      <c r="F13598">
        <v>44163126</v>
      </c>
      <c r="G13598">
        <v>44163155</v>
      </c>
      <c r="H13598">
        <v>44163126</v>
      </c>
      <c r="I13598">
        <v>44163155</v>
      </c>
    </row>
    <row r="13599" spans="1:9" x14ac:dyDescent="0.2">
      <c r="A13599" s="1" t="str">
        <f>"POLD3"</f>
        <v>POLD3</v>
      </c>
      <c r="B13599" t="s">
        <v>14</v>
      </c>
      <c r="C13599" t="s">
        <v>27</v>
      </c>
      <c r="D13599" t="s">
        <v>17</v>
      </c>
      <c r="E13599" t="s">
        <v>12</v>
      </c>
      <c r="F13599">
        <v>74303612</v>
      </c>
      <c r="G13599">
        <v>74303698</v>
      </c>
      <c r="H13599">
        <v>74303594</v>
      </c>
      <c r="I13599">
        <v>74303606</v>
      </c>
    </row>
    <row r="13600" spans="1:9" x14ac:dyDescent="0.2">
      <c r="A13600" s="1" t="str">
        <f>"POLD4"</f>
        <v>POLD4</v>
      </c>
      <c r="B13600" t="s">
        <v>14</v>
      </c>
      <c r="C13600" t="s">
        <v>27</v>
      </c>
      <c r="D13600" t="s">
        <v>11</v>
      </c>
      <c r="E13600" t="s">
        <v>12</v>
      </c>
      <c r="F13600">
        <v>67120974</v>
      </c>
      <c r="G13600">
        <v>67121041</v>
      </c>
      <c r="H13600">
        <v>67120956</v>
      </c>
      <c r="I13600">
        <v>67120972</v>
      </c>
    </row>
    <row r="13601" spans="1:9" x14ac:dyDescent="0.2">
      <c r="A13601" s="1" t="str">
        <f>"POLDIP2"</f>
        <v>POLDIP2</v>
      </c>
      <c r="B13601" t="s">
        <v>14</v>
      </c>
      <c r="C13601" t="s">
        <v>28</v>
      </c>
      <c r="D13601" t="s">
        <v>11</v>
      </c>
      <c r="E13601" t="s">
        <v>12</v>
      </c>
      <c r="F13601">
        <v>26684480</v>
      </c>
      <c r="G13601">
        <v>26684571</v>
      </c>
      <c r="H13601">
        <v>26684598</v>
      </c>
      <c r="I13601">
        <v>26684613</v>
      </c>
    </row>
    <row r="13602" spans="1:9" x14ac:dyDescent="0.2">
      <c r="A13602" s="1" t="str">
        <f>"POLDIP3"</f>
        <v>POLDIP3</v>
      </c>
      <c r="B13602" t="s">
        <v>14</v>
      </c>
      <c r="C13602" t="s">
        <v>21</v>
      </c>
      <c r="D13602" t="s">
        <v>11</v>
      </c>
      <c r="E13602" t="s">
        <v>12</v>
      </c>
      <c r="F13602">
        <v>43010877</v>
      </c>
      <c r="G13602">
        <v>43010903</v>
      </c>
      <c r="H13602">
        <v>43010928</v>
      </c>
      <c r="I13602">
        <v>43010947</v>
      </c>
    </row>
    <row r="13603" spans="1:9" x14ac:dyDescent="0.2">
      <c r="A13603" s="1" t="str">
        <f>"POLE"</f>
        <v>POLE</v>
      </c>
      <c r="B13603" t="s">
        <v>14</v>
      </c>
      <c r="C13603" t="s">
        <v>16</v>
      </c>
      <c r="D13603" t="s">
        <v>11</v>
      </c>
      <c r="E13603" t="s">
        <v>12</v>
      </c>
      <c r="F13603">
        <v>133263893</v>
      </c>
      <c r="G13603">
        <v>133263986</v>
      </c>
      <c r="H13603">
        <v>133264004</v>
      </c>
      <c r="I13603">
        <v>133264012</v>
      </c>
    </row>
    <row r="13604" spans="1:9" x14ac:dyDescent="0.2">
      <c r="A13604" s="1" t="str">
        <f>"POLE2"</f>
        <v>POLE2</v>
      </c>
      <c r="B13604" t="s">
        <v>14</v>
      </c>
      <c r="C13604" t="s">
        <v>41</v>
      </c>
      <c r="D13604" t="s">
        <v>11</v>
      </c>
      <c r="E13604" t="s">
        <v>12</v>
      </c>
      <c r="F13604">
        <v>50154924</v>
      </c>
      <c r="G13604">
        <v>50154935</v>
      </c>
      <c r="H13604">
        <v>50154891</v>
      </c>
      <c r="I13604">
        <v>50154894</v>
      </c>
    </row>
    <row r="13605" spans="1:9" x14ac:dyDescent="0.2">
      <c r="A13605" s="1" t="str">
        <f>"POLE3"</f>
        <v>POLE3</v>
      </c>
      <c r="B13605" t="s">
        <v>14</v>
      </c>
      <c r="C13605" t="s">
        <v>24</v>
      </c>
      <c r="D13605" t="s">
        <v>11</v>
      </c>
      <c r="E13605" t="s">
        <v>12</v>
      </c>
      <c r="F13605">
        <v>116172617</v>
      </c>
      <c r="G13605">
        <v>116172667</v>
      </c>
      <c r="H13605">
        <v>116172584</v>
      </c>
      <c r="I13605">
        <v>116172595</v>
      </c>
    </row>
    <row r="13606" spans="1:9" x14ac:dyDescent="0.2">
      <c r="A13606" s="1" t="str">
        <f>"POLE4"</f>
        <v>POLE4</v>
      </c>
      <c r="B13606" t="s">
        <v>14</v>
      </c>
      <c r="C13606" t="s">
        <v>26</v>
      </c>
      <c r="D13606" t="s">
        <v>17</v>
      </c>
      <c r="E13606" t="s">
        <v>12</v>
      </c>
      <c r="F13606">
        <v>75185762</v>
      </c>
      <c r="G13606">
        <v>75185803</v>
      </c>
      <c r="H13606">
        <v>75186125</v>
      </c>
      <c r="I13606">
        <v>75186158</v>
      </c>
    </row>
    <row r="13607" spans="1:9" x14ac:dyDescent="0.2">
      <c r="A13607" s="1" t="str">
        <f>"POLG"</f>
        <v>POLG</v>
      </c>
      <c r="B13607" t="s">
        <v>14</v>
      </c>
      <c r="C13607" t="s">
        <v>25</v>
      </c>
      <c r="D13607" t="s">
        <v>11</v>
      </c>
      <c r="E13607" t="s">
        <v>12</v>
      </c>
      <c r="F13607">
        <v>89878025</v>
      </c>
      <c r="G13607">
        <v>89878093</v>
      </c>
      <c r="H13607">
        <v>89878025</v>
      </c>
      <c r="I13607">
        <v>89878093</v>
      </c>
    </row>
    <row r="13608" spans="1:9" x14ac:dyDescent="0.2">
      <c r="A13608" s="1" t="str">
        <f>"POLG2"</f>
        <v>POLG2</v>
      </c>
      <c r="B13608" t="s">
        <v>14</v>
      </c>
      <c r="C13608" t="s">
        <v>28</v>
      </c>
      <c r="D13608" t="s">
        <v>11</v>
      </c>
      <c r="E13608" t="s">
        <v>12</v>
      </c>
      <c r="F13608">
        <v>62493131</v>
      </c>
      <c r="G13608">
        <v>62493183</v>
      </c>
      <c r="H13608">
        <v>62493184</v>
      </c>
      <c r="I13608">
        <v>62493193</v>
      </c>
    </row>
    <row r="13609" spans="1:9" x14ac:dyDescent="0.2">
      <c r="A13609" s="1" t="str">
        <f>"POLH"</f>
        <v>POLH</v>
      </c>
      <c r="B13609" t="s">
        <v>14</v>
      </c>
      <c r="C13609" t="s">
        <v>32</v>
      </c>
      <c r="D13609" t="s">
        <v>17</v>
      </c>
      <c r="E13609" t="s">
        <v>12</v>
      </c>
      <c r="F13609">
        <v>43543864</v>
      </c>
      <c r="G13609">
        <v>43543939</v>
      </c>
      <c r="H13609">
        <v>43543942</v>
      </c>
      <c r="I13609">
        <v>43543956</v>
      </c>
    </row>
    <row r="13610" spans="1:9" x14ac:dyDescent="0.2">
      <c r="A13610" s="1" t="str">
        <f>"POLI"</f>
        <v>POLI</v>
      </c>
      <c r="B13610" t="s">
        <v>14</v>
      </c>
      <c r="C13610" t="s">
        <v>43</v>
      </c>
      <c r="D13610" t="s">
        <v>17</v>
      </c>
      <c r="E13610" t="s">
        <v>12</v>
      </c>
      <c r="F13610">
        <v>51795865</v>
      </c>
      <c r="G13610">
        <v>51795984</v>
      </c>
      <c r="H13610">
        <v>51795865</v>
      </c>
      <c r="I13610">
        <v>51795984</v>
      </c>
    </row>
    <row r="13611" spans="1:9" x14ac:dyDescent="0.2">
      <c r="A13611" s="1" t="str">
        <f>"POLK"</f>
        <v>POLK</v>
      </c>
      <c r="B13611" t="s">
        <v>14</v>
      </c>
      <c r="C13611" t="s">
        <v>46</v>
      </c>
      <c r="D13611" t="s">
        <v>17</v>
      </c>
      <c r="E13611" t="s">
        <v>12</v>
      </c>
      <c r="F13611">
        <v>74807698</v>
      </c>
      <c r="G13611">
        <v>74807724</v>
      </c>
      <c r="H13611">
        <v>74807729</v>
      </c>
      <c r="I13611">
        <v>74807740</v>
      </c>
    </row>
    <row r="13612" spans="1:9" x14ac:dyDescent="0.2">
      <c r="A13612" s="1" t="str">
        <f>"POLL"</f>
        <v>POLL</v>
      </c>
      <c r="B13612" t="s">
        <v>14</v>
      </c>
      <c r="C13612" t="s">
        <v>15</v>
      </c>
      <c r="D13612" t="s">
        <v>11</v>
      </c>
      <c r="E13612" t="s">
        <v>12</v>
      </c>
      <c r="F13612">
        <v>103347907</v>
      </c>
      <c r="G13612">
        <v>103348019</v>
      </c>
      <c r="H13612">
        <v>103348024</v>
      </c>
      <c r="I13612">
        <v>103348026</v>
      </c>
    </row>
    <row r="13613" spans="1:9" x14ac:dyDescent="0.2">
      <c r="A13613" s="1" t="str">
        <f>"POLM"</f>
        <v>POLM</v>
      </c>
      <c r="B13613" t="s">
        <v>9</v>
      </c>
      <c r="C13613" t="s">
        <v>33</v>
      </c>
      <c r="D13613" t="s">
        <v>11</v>
      </c>
      <c r="E13613" t="s">
        <v>12</v>
      </c>
      <c r="F13613">
        <v>44122064</v>
      </c>
      <c r="G13613">
        <v>44122135</v>
      </c>
      <c r="H13613">
        <v>44122064</v>
      </c>
      <c r="I13613">
        <v>44122135</v>
      </c>
    </row>
    <row r="13614" spans="1:9" x14ac:dyDescent="0.2">
      <c r="A13614" s="1" t="str">
        <f>"POLM"</f>
        <v>POLM</v>
      </c>
      <c r="B13614" t="s">
        <v>13</v>
      </c>
      <c r="C13614" t="s">
        <v>33</v>
      </c>
      <c r="D13614" t="s">
        <v>11</v>
      </c>
      <c r="E13614" t="s">
        <v>12</v>
      </c>
      <c r="F13614">
        <v>44113744</v>
      </c>
      <c r="G13614">
        <v>44113781</v>
      </c>
      <c r="H13614">
        <v>44113744</v>
      </c>
      <c r="I13614">
        <v>44113781</v>
      </c>
    </row>
    <row r="13615" spans="1:9" x14ac:dyDescent="0.2">
      <c r="A13615" s="1" t="str">
        <f>"POLN"</f>
        <v>POLN</v>
      </c>
      <c r="B13615" t="s">
        <v>14</v>
      </c>
      <c r="C13615" t="s">
        <v>23</v>
      </c>
      <c r="D13615" t="s">
        <v>11</v>
      </c>
      <c r="E13615" t="s">
        <v>12</v>
      </c>
      <c r="F13615">
        <v>2243839</v>
      </c>
      <c r="G13615">
        <v>2243865</v>
      </c>
      <c r="H13615">
        <v>2243792</v>
      </c>
      <c r="I13615">
        <v>2243809</v>
      </c>
    </row>
    <row r="13616" spans="1:9" x14ac:dyDescent="0.2">
      <c r="A13616" s="1" t="str">
        <f>"POLQ"</f>
        <v>POLQ</v>
      </c>
      <c r="B13616" t="s">
        <v>14</v>
      </c>
      <c r="C13616" t="s">
        <v>22</v>
      </c>
      <c r="D13616" t="s">
        <v>11</v>
      </c>
      <c r="E13616" t="s">
        <v>12</v>
      </c>
      <c r="F13616">
        <v>121264813</v>
      </c>
      <c r="G13616">
        <v>121264846</v>
      </c>
      <c r="H13616">
        <v>121264848</v>
      </c>
      <c r="I13616">
        <v>121264859</v>
      </c>
    </row>
    <row r="13617" spans="1:9" x14ac:dyDescent="0.2">
      <c r="A13617" s="1" t="str">
        <f>"POLR1A"</f>
        <v>POLR1A</v>
      </c>
      <c r="B13617" t="s">
        <v>14</v>
      </c>
      <c r="C13617" t="s">
        <v>26</v>
      </c>
      <c r="D13617" t="s">
        <v>11</v>
      </c>
      <c r="E13617" t="s">
        <v>12</v>
      </c>
      <c r="F13617">
        <v>86332951</v>
      </c>
      <c r="G13617">
        <v>86333020</v>
      </c>
      <c r="H13617">
        <v>86333244</v>
      </c>
      <c r="I13617">
        <v>86333265</v>
      </c>
    </row>
    <row r="13618" spans="1:9" x14ac:dyDescent="0.2">
      <c r="A13618" s="1" t="str">
        <f>"POLR1B"</f>
        <v>POLR1B</v>
      </c>
      <c r="B13618" t="s">
        <v>14</v>
      </c>
      <c r="C13618" t="s">
        <v>26</v>
      </c>
      <c r="D13618" t="s">
        <v>17</v>
      </c>
      <c r="E13618" t="s">
        <v>12</v>
      </c>
      <c r="F13618">
        <v>113299990</v>
      </c>
      <c r="G13618">
        <v>113300077</v>
      </c>
      <c r="H13618">
        <v>113299736</v>
      </c>
      <c r="I13618">
        <v>113299789</v>
      </c>
    </row>
    <row r="13619" spans="1:9" x14ac:dyDescent="0.2">
      <c r="A13619" s="1" t="str">
        <f>"POLR1C"</f>
        <v>POLR1C</v>
      </c>
      <c r="B13619" t="s">
        <v>9</v>
      </c>
      <c r="C13619" t="s">
        <v>32</v>
      </c>
      <c r="D13619" t="s">
        <v>17</v>
      </c>
      <c r="E13619" t="s">
        <v>12</v>
      </c>
      <c r="F13619">
        <v>43484817</v>
      </c>
      <c r="G13619">
        <v>43484849</v>
      </c>
      <c r="H13619">
        <v>43484817</v>
      </c>
      <c r="I13619">
        <v>43484849</v>
      </c>
    </row>
    <row r="13620" spans="1:9" x14ac:dyDescent="0.2">
      <c r="A13620" s="1" t="str">
        <f>"POLR1C"</f>
        <v>POLR1C</v>
      </c>
      <c r="B13620" t="s">
        <v>13</v>
      </c>
      <c r="C13620" t="s">
        <v>32</v>
      </c>
      <c r="D13620" t="s">
        <v>17</v>
      </c>
      <c r="E13620" t="s">
        <v>12</v>
      </c>
      <c r="F13620">
        <v>43477454</v>
      </c>
      <c r="G13620">
        <v>43477462</v>
      </c>
      <c r="H13620">
        <v>43477454</v>
      </c>
      <c r="I13620">
        <v>43477462</v>
      </c>
    </row>
    <row r="13621" spans="1:9" x14ac:dyDescent="0.2">
      <c r="A13621" s="1" t="str">
        <f>"POLR1D"</f>
        <v>POLR1D</v>
      </c>
      <c r="B13621" t="s">
        <v>9</v>
      </c>
      <c r="C13621" t="s">
        <v>39</v>
      </c>
      <c r="D13621" t="s">
        <v>17</v>
      </c>
      <c r="E13621" t="s">
        <v>12</v>
      </c>
      <c r="F13621">
        <v>28195988</v>
      </c>
      <c r="G13621">
        <v>28196050</v>
      </c>
      <c r="H13621">
        <v>28195988</v>
      </c>
      <c r="I13621">
        <v>28196050</v>
      </c>
    </row>
    <row r="13622" spans="1:9" x14ac:dyDescent="0.2">
      <c r="A13622" s="1" t="str">
        <f>"POLR1D"</f>
        <v>POLR1D</v>
      </c>
      <c r="B13622" t="s">
        <v>13</v>
      </c>
      <c r="C13622" t="s">
        <v>39</v>
      </c>
      <c r="D13622" t="s">
        <v>17</v>
      </c>
      <c r="E13622" t="s">
        <v>12</v>
      </c>
      <c r="F13622">
        <v>28194873</v>
      </c>
      <c r="G13622">
        <v>28194954</v>
      </c>
      <c r="H13622">
        <v>28194873</v>
      </c>
      <c r="I13622">
        <v>28194954</v>
      </c>
    </row>
    <row r="13623" spans="1:9" x14ac:dyDescent="0.2">
      <c r="A13623" s="1" t="str">
        <f>"POLR1E"</f>
        <v>POLR1E</v>
      </c>
      <c r="B13623" t="s">
        <v>14</v>
      </c>
      <c r="C13623" t="s">
        <v>24</v>
      </c>
      <c r="D13623" t="s">
        <v>17</v>
      </c>
      <c r="E13623" t="s">
        <v>12</v>
      </c>
      <c r="F13623">
        <v>37485936</v>
      </c>
      <c r="G13623">
        <v>37485990</v>
      </c>
      <c r="H13623">
        <v>37486104</v>
      </c>
      <c r="I13623">
        <v>37486146</v>
      </c>
    </row>
    <row r="13624" spans="1:9" x14ac:dyDescent="0.2">
      <c r="A13624" s="1" t="str">
        <f>"POLR2A"</f>
        <v>POLR2A</v>
      </c>
      <c r="B13624" t="s">
        <v>14</v>
      </c>
      <c r="C13624" t="s">
        <v>28</v>
      </c>
      <c r="D13624" t="s">
        <v>17</v>
      </c>
      <c r="E13624" t="s">
        <v>12</v>
      </c>
      <c r="F13624">
        <v>7387677</v>
      </c>
      <c r="G13624">
        <v>7387691</v>
      </c>
      <c r="H13624">
        <v>7387677</v>
      </c>
      <c r="I13624">
        <v>7387691</v>
      </c>
    </row>
    <row r="13625" spans="1:9" x14ac:dyDescent="0.2">
      <c r="A13625" s="1" t="str">
        <f>"POLR2B"</f>
        <v>POLR2B</v>
      </c>
      <c r="B13625" t="s">
        <v>14</v>
      </c>
      <c r="C13625" t="s">
        <v>23</v>
      </c>
      <c r="D13625" t="s">
        <v>17</v>
      </c>
      <c r="E13625" t="s">
        <v>12</v>
      </c>
      <c r="F13625">
        <v>57845043</v>
      </c>
      <c r="G13625">
        <v>57845079</v>
      </c>
      <c r="H13625">
        <v>57845024</v>
      </c>
      <c r="I13625">
        <v>57845037</v>
      </c>
    </row>
    <row r="13626" spans="1:9" x14ac:dyDescent="0.2">
      <c r="A13626" s="1" t="str">
        <f>"POLR2C"</f>
        <v>POLR2C</v>
      </c>
      <c r="B13626" t="s">
        <v>14</v>
      </c>
      <c r="C13626" t="s">
        <v>31</v>
      </c>
      <c r="D13626" t="s">
        <v>17</v>
      </c>
      <c r="E13626" t="s">
        <v>12</v>
      </c>
      <c r="F13626">
        <v>57496545</v>
      </c>
      <c r="G13626">
        <v>57496616</v>
      </c>
      <c r="H13626">
        <v>57496634</v>
      </c>
      <c r="I13626">
        <v>57496635</v>
      </c>
    </row>
    <row r="13627" spans="1:9" x14ac:dyDescent="0.2">
      <c r="A13627" s="1" t="str">
        <f>"POLR2D"</f>
        <v>POLR2D</v>
      </c>
      <c r="B13627" t="s">
        <v>9</v>
      </c>
      <c r="C13627" t="s">
        <v>26</v>
      </c>
      <c r="D13627" t="s">
        <v>11</v>
      </c>
      <c r="E13627" t="s">
        <v>12</v>
      </c>
      <c r="F13627">
        <v>128615681</v>
      </c>
      <c r="G13627">
        <v>128615737</v>
      </c>
      <c r="H13627">
        <v>128615681</v>
      </c>
      <c r="I13627">
        <v>128615737</v>
      </c>
    </row>
    <row r="13628" spans="1:9" x14ac:dyDescent="0.2">
      <c r="A13628" s="1" t="str">
        <f>"POLR2D"</f>
        <v>POLR2D</v>
      </c>
      <c r="B13628" t="s">
        <v>13</v>
      </c>
      <c r="C13628" t="s">
        <v>26</v>
      </c>
      <c r="D13628" t="s">
        <v>11</v>
      </c>
      <c r="E13628" t="s">
        <v>12</v>
      </c>
      <c r="F13628">
        <v>128605204</v>
      </c>
      <c r="G13628">
        <v>128605208</v>
      </c>
      <c r="H13628">
        <v>128605204</v>
      </c>
      <c r="I13628">
        <v>128605208</v>
      </c>
    </row>
    <row r="13629" spans="1:9" x14ac:dyDescent="0.2">
      <c r="A13629" s="1" t="str">
        <f>"POLR2E"</f>
        <v>POLR2E</v>
      </c>
      <c r="B13629" t="s">
        <v>9</v>
      </c>
      <c r="C13629" t="s">
        <v>10</v>
      </c>
      <c r="D13629" t="s">
        <v>11</v>
      </c>
      <c r="E13629" t="s">
        <v>12</v>
      </c>
      <c r="F13629">
        <v>1095330</v>
      </c>
      <c r="G13629">
        <v>1095381</v>
      </c>
      <c r="H13629">
        <v>1095330</v>
      </c>
      <c r="I13629">
        <v>1095381</v>
      </c>
    </row>
    <row r="13630" spans="1:9" x14ac:dyDescent="0.2">
      <c r="A13630" s="1" t="str">
        <f>"POLR2E"</f>
        <v>POLR2E</v>
      </c>
      <c r="B13630" t="s">
        <v>13</v>
      </c>
      <c r="C13630" t="s">
        <v>10</v>
      </c>
      <c r="D13630" t="s">
        <v>11</v>
      </c>
      <c r="E13630" t="s">
        <v>12</v>
      </c>
      <c r="F13630">
        <v>1089919</v>
      </c>
      <c r="G13630">
        <v>1089933</v>
      </c>
      <c r="H13630">
        <v>1089919</v>
      </c>
      <c r="I13630">
        <v>1089933</v>
      </c>
    </row>
    <row r="13631" spans="1:9" x14ac:dyDescent="0.2">
      <c r="A13631" s="1" t="str">
        <f>"POLR2F"</f>
        <v>POLR2F</v>
      </c>
      <c r="B13631" t="s">
        <v>14</v>
      </c>
      <c r="C13631" t="s">
        <v>21</v>
      </c>
      <c r="D13631" t="s">
        <v>17</v>
      </c>
      <c r="E13631" t="s">
        <v>12</v>
      </c>
      <c r="F13631">
        <v>38349673</v>
      </c>
      <c r="G13631">
        <v>38349723</v>
      </c>
      <c r="H13631">
        <v>38349724</v>
      </c>
      <c r="I13631">
        <v>38349733</v>
      </c>
    </row>
    <row r="13632" spans="1:9" x14ac:dyDescent="0.2">
      <c r="A13632" s="1" t="str">
        <f>"POLR2G"</f>
        <v>POLR2G</v>
      </c>
      <c r="B13632" t="s">
        <v>14</v>
      </c>
      <c r="C13632" t="s">
        <v>27</v>
      </c>
      <c r="D13632" t="s">
        <v>17</v>
      </c>
      <c r="E13632" t="s">
        <v>12</v>
      </c>
      <c r="F13632">
        <v>62529042</v>
      </c>
      <c r="G13632">
        <v>62529070</v>
      </c>
      <c r="H13632">
        <v>62529008</v>
      </c>
      <c r="I13632">
        <v>62529033</v>
      </c>
    </row>
    <row r="13633" spans="1:9" x14ac:dyDescent="0.2">
      <c r="A13633" s="1" t="str">
        <f>"POLR2H"</f>
        <v>POLR2H</v>
      </c>
      <c r="B13633" t="s">
        <v>14</v>
      </c>
      <c r="C13633" t="s">
        <v>22</v>
      </c>
      <c r="D13633" t="s">
        <v>17</v>
      </c>
      <c r="E13633" t="s">
        <v>12</v>
      </c>
      <c r="F13633">
        <v>184081175</v>
      </c>
      <c r="G13633">
        <v>184081208</v>
      </c>
      <c r="H13633">
        <v>184081137</v>
      </c>
      <c r="I13633">
        <v>184081155</v>
      </c>
    </row>
    <row r="13634" spans="1:9" x14ac:dyDescent="0.2">
      <c r="A13634" s="1" t="str">
        <f>"POLR2I"</f>
        <v>POLR2I</v>
      </c>
      <c r="B13634" t="s">
        <v>14</v>
      </c>
      <c r="C13634" t="s">
        <v>10</v>
      </c>
      <c r="D13634" t="s">
        <v>11</v>
      </c>
      <c r="E13634" t="s">
        <v>12</v>
      </c>
      <c r="F13634">
        <v>36605752</v>
      </c>
      <c r="G13634">
        <v>36605833</v>
      </c>
      <c r="H13634">
        <v>36606078</v>
      </c>
      <c r="I13634">
        <v>36606128</v>
      </c>
    </row>
    <row r="13635" spans="1:9" x14ac:dyDescent="0.2">
      <c r="A13635" s="1" t="str">
        <f>"POLR2J"</f>
        <v>POLR2J</v>
      </c>
      <c r="B13635" t="s">
        <v>14</v>
      </c>
      <c r="C13635" t="s">
        <v>33</v>
      </c>
      <c r="D13635" t="s">
        <v>11</v>
      </c>
      <c r="E13635" t="s">
        <v>12</v>
      </c>
      <c r="F13635">
        <v>102119342</v>
      </c>
      <c r="G13635">
        <v>102119379</v>
      </c>
      <c r="H13635">
        <v>102119342</v>
      </c>
      <c r="I13635">
        <v>102119379</v>
      </c>
    </row>
    <row r="13636" spans="1:9" x14ac:dyDescent="0.2">
      <c r="A13636" s="1" t="str">
        <f>"POLR2J2"</f>
        <v>POLR2J2</v>
      </c>
      <c r="B13636" t="s">
        <v>14</v>
      </c>
      <c r="C13636" t="s">
        <v>33</v>
      </c>
      <c r="D13636" t="s">
        <v>11</v>
      </c>
      <c r="E13636" t="s">
        <v>12</v>
      </c>
      <c r="F13636">
        <v>102312169</v>
      </c>
      <c r="G13636">
        <v>102312199</v>
      </c>
      <c r="H13636">
        <v>102312074</v>
      </c>
      <c r="I13636">
        <v>102312121</v>
      </c>
    </row>
    <row r="13637" spans="1:9" x14ac:dyDescent="0.2">
      <c r="A13637" s="1" t="str">
        <f>"POLR2J3"</f>
        <v>POLR2J3</v>
      </c>
      <c r="B13637" t="s">
        <v>1355</v>
      </c>
      <c r="C13637" t="s">
        <v>33</v>
      </c>
      <c r="D13637" t="s">
        <v>11</v>
      </c>
      <c r="E13637" t="s">
        <v>20</v>
      </c>
      <c r="F13637">
        <v>102184082</v>
      </c>
      <c r="G13637">
        <v>102184082</v>
      </c>
      <c r="H13637">
        <v>102184082</v>
      </c>
      <c r="I13637">
        <v>102184082</v>
      </c>
    </row>
    <row r="13638" spans="1:9" x14ac:dyDescent="0.2">
      <c r="A13638" s="1" t="str">
        <f>"POLR2K"</f>
        <v>POLR2K</v>
      </c>
      <c r="B13638" t="s">
        <v>14</v>
      </c>
      <c r="C13638" t="s">
        <v>30</v>
      </c>
      <c r="D13638" t="s">
        <v>17</v>
      </c>
      <c r="E13638" t="s">
        <v>12</v>
      </c>
      <c r="F13638">
        <v>101162849</v>
      </c>
      <c r="G13638">
        <v>101162903</v>
      </c>
      <c r="H13638">
        <v>101163570</v>
      </c>
      <c r="I13638">
        <v>101163583</v>
      </c>
    </row>
    <row r="13639" spans="1:9" x14ac:dyDescent="0.2">
      <c r="A13639" s="1" t="str">
        <f>"POLR2L"</f>
        <v>POLR2L</v>
      </c>
      <c r="B13639" t="s">
        <v>14</v>
      </c>
      <c r="C13639" t="s">
        <v>27</v>
      </c>
      <c r="D13639" t="s">
        <v>11</v>
      </c>
      <c r="E13639" t="s">
        <v>12</v>
      </c>
      <c r="F13639">
        <v>842509</v>
      </c>
      <c r="G13639">
        <v>842537</v>
      </c>
      <c r="H13639">
        <v>842497</v>
      </c>
      <c r="I13639">
        <v>842506</v>
      </c>
    </row>
    <row r="13640" spans="1:9" x14ac:dyDescent="0.2">
      <c r="A13640" s="1" t="str">
        <f>"POLR2M"</f>
        <v>POLR2M</v>
      </c>
      <c r="B13640" t="s">
        <v>14</v>
      </c>
      <c r="C13640" t="s">
        <v>25</v>
      </c>
      <c r="D13640" t="s">
        <v>17</v>
      </c>
      <c r="E13640" t="s">
        <v>12</v>
      </c>
      <c r="F13640">
        <v>57998870</v>
      </c>
      <c r="G13640">
        <v>57998917</v>
      </c>
      <c r="H13640">
        <v>57998870</v>
      </c>
      <c r="I13640">
        <v>57998917</v>
      </c>
    </row>
    <row r="13641" spans="1:9" x14ac:dyDescent="0.2">
      <c r="A13641" s="1" t="str">
        <f>"POLR3A"</f>
        <v>POLR3A</v>
      </c>
      <c r="B13641" t="s">
        <v>14</v>
      </c>
      <c r="C13641" t="s">
        <v>15</v>
      </c>
      <c r="D13641" t="s">
        <v>11</v>
      </c>
      <c r="E13641" t="s">
        <v>12</v>
      </c>
      <c r="F13641">
        <v>79789245</v>
      </c>
      <c r="G13641">
        <v>79789284</v>
      </c>
      <c r="H13641">
        <v>79789291</v>
      </c>
      <c r="I13641">
        <v>79789309</v>
      </c>
    </row>
    <row r="13642" spans="1:9" x14ac:dyDescent="0.2">
      <c r="A13642" s="1" t="str">
        <f>"POLR3B"</f>
        <v>POLR3B</v>
      </c>
      <c r="B13642" t="s">
        <v>14</v>
      </c>
      <c r="C13642" t="s">
        <v>16</v>
      </c>
      <c r="D13642" t="s">
        <v>17</v>
      </c>
      <c r="E13642" t="s">
        <v>12</v>
      </c>
      <c r="F13642">
        <v>106751546</v>
      </c>
      <c r="G13642">
        <v>106751598</v>
      </c>
      <c r="H13642">
        <v>106751495</v>
      </c>
      <c r="I13642">
        <v>106751539</v>
      </c>
    </row>
    <row r="13643" spans="1:9" x14ac:dyDescent="0.2">
      <c r="A13643" s="1" t="str">
        <f>"POLR3C"</f>
        <v>POLR3C</v>
      </c>
      <c r="B13643" t="s">
        <v>14</v>
      </c>
      <c r="C13643" t="s">
        <v>19</v>
      </c>
      <c r="D13643" t="s">
        <v>11</v>
      </c>
      <c r="E13643" t="s">
        <v>12</v>
      </c>
      <c r="F13643">
        <v>145610869</v>
      </c>
      <c r="G13643">
        <v>145610942</v>
      </c>
      <c r="H13643">
        <v>145611035</v>
      </c>
      <c r="I13643">
        <v>145611051</v>
      </c>
    </row>
    <row r="13644" spans="1:9" x14ac:dyDescent="0.2">
      <c r="A13644" s="1" t="str">
        <f>"POLR3D"</f>
        <v>POLR3D</v>
      </c>
      <c r="B13644" t="s">
        <v>14</v>
      </c>
      <c r="C13644" t="s">
        <v>30</v>
      </c>
      <c r="D13644" t="s">
        <v>17</v>
      </c>
      <c r="E13644" t="s">
        <v>12</v>
      </c>
      <c r="F13644">
        <v>22102889</v>
      </c>
      <c r="G13644">
        <v>22102956</v>
      </c>
      <c r="H13644">
        <v>22102626</v>
      </c>
      <c r="I13644">
        <v>22102674</v>
      </c>
    </row>
    <row r="13645" spans="1:9" x14ac:dyDescent="0.2">
      <c r="A13645" s="1" t="str">
        <f>"POLR3E"</f>
        <v>POLR3E</v>
      </c>
      <c r="B13645" t="s">
        <v>14</v>
      </c>
      <c r="C13645" t="s">
        <v>31</v>
      </c>
      <c r="D13645" t="s">
        <v>17</v>
      </c>
      <c r="E13645" t="s">
        <v>12</v>
      </c>
      <c r="F13645">
        <v>22308717</v>
      </c>
      <c r="G13645">
        <v>22308764</v>
      </c>
      <c r="H13645">
        <v>22308717</v>
      </c>
      <c r="I13645">
        <v>22308764</v>
      </c>
    </row>
    <row r="13646" spans="1:9" x14ac:dyDescent="0.2">
      <c r="A13646" s="1" t="str">
        <f>"POLR3F"</f>
        <v>POLR3F</v>
      </c>
      <c r="B13646" t="s">
        <v>14</v>
      </c>
      <c r="C13646" t="s">
        <v>29</v>
      </c>
      <c r="D13646" t="s">
        <v>17</v>
      </c>
      <c r="E13646" t="s">
        <v>12</v>
      </c>
      <c r="F13646">
        <v>18448026</v>
      </c>
      <c r="G13646">
        <v>18448089</v>
      </c>
      <c r="H13646">
        <v>18447767</v>
      </c>
      <c r="I13646">
        <v>18447778</v>
      </c>
    </row>
    <row r="13647" spans="1:9" x14ac:dyDescent="0.2">
      <c r="A13647" s="1" t="str">
        <f>"POLR3G"</f>
        <v>POLR3G</v>
      </c>
      <c r="B13647" t="s">
        <v>14</v>
      </c>
      <c r="C13647" t="s">
        <v>46</v>
      </c>
      <c r="D13647" t="s">
        <v>17</v>
      </c>
      <c r="E13647" t="s">
        <v>12</v>
      </c>
      <c r="F13647">
        <v>89770696</v>
      </c>
      <c r="G13647">
        <v>89770727</v>
      </c>
      <c r="H13647">
        <v>89770664</v>
      </c>
      <c r="I13647">
        <v>89770688</v>
      </c>
    </row>
    <row r="13648" spans="1:9" x14ac:dyDescent="0.2">
      <c r="A13648" s="1" t="str">
        <f>"POLR3GL"</f>
        <v>POLR3GL</v>
      </c>
      <c r="B13648" t="s">
        <v>14</v>
      </c>
      <c r="C13648" t="s">
        <v>19</v>
      </c>
      <c r="D13648" t="s">
        <v>11</v>
      </c>
      <c r="E13648" t="s">
        <v>12</v>
      </c>
      <c r="F13648">
        <v>145470383</v>
      </c>
      <c r="G13648">
        <v>145470414</v>
      </c>
      <c r="H13648">
        <v>145470352</v>
      </c>
      <c r="I13648">
        <v>145470381</v>
      </c>
    </row>
    <row r="13649" spans="1:9" x14ac:dyDescent="0.2">
      <c r="A13649" s="1" t="str">
        <f>"POLR3H"</f>
        <v>POLR3H</v>
      </c>
      <c r="B13649" t="s">
        <v>14</v>
      </c>
      <c r="C13649" t="s">
        <v>21</v>
      </c>
      <c r="D13649" t="s">
        <v>11</v>
      </c>
      <c r="E13649" t="s">
        <v>12</v>
      </c>
      <c r="F13649">
        <v>41940404</v>
      </c>
      <c r="G13649">
        <v>41940500</v>
      </c>
      <c r="H13649">
        <v>41940317</v>
      </c>
      <c r="I13649">
        <v>41940370</v>
      </c>
    </row>
    <row r="13650" spans="1:9" x14ac:dyDescent="0.2">
      <c r="A13650" s="1" t="str">
        <f>"POLR3K"</f>
        <v>POLR3K</v>
      </c>
      <c r="B13650" t="s">
        <v>14</v>
      </c>
      <c r="C13650" t="s">
        <v>31</v>
      </c>
      <c r="D13650" t="s">
        <v>11</v>
      </c>
      <c r="E13650" t="s">
        <v>12</v>
      </c>
      <c r="F13650">
        <v>103572</v>
      </c>
      <c r="G13650">
        <v>103663</v>
      </c>
      <c r="H13650">
        <v>103959</v>
      </c>
      <c r="I13650">
        <v>103996</v>
      </c>
    </row>
    <row r="13651" spans="1:9" x14ac:dyDescent="0.2">
      <c r="A13651" s="1" t="str">
        <f>"POLRMT"</f>
        <v>POLRMT</v>
      </c>
      <c r="B13651" t="s">
        <v>14</v>
      </c>
      <c r="C13651" t="s">
        <v>10</v>
      </c>
      <c r="D13651" t="s">
        <v>11</v>
      </c>
      <c r="E13651" t="s">
        <v>12</v>
      </c>
      <c r="F13651">
        <v>633508</v>
      </c>
      <c r="G13651">
        <v>633568</v>
      </c>
      <c r="H13651">
        <v>633576</v>
      </c>
      <c r="I13651">
        <v>633589</v>
      </c>
    </row>
    <row r="13652" spans="1:9" x14ac:dyDescent="0.2">
      <c r="A13652" s="1" t="str">
        <f>"POM121"</f>
        <v>POM121</v>
      </c>
      <c r="B13652" t="s">
        <v>14</v>
      </c>
      <c r="C13652" t="s">
        <v>33</v>
      </c>
      <c r="D13652" t="s">
        <v>17</v>
      </c>
      <c r="E13652" t="s">
        <v>12</v>
      </c>
      <c r="F13652">
        <v>72349920</v>
      </c>
      <c r="G13652">
        <v>72349959</v>
      </c>
      <c r="H13652">
        <v>72349960</v>
      </c>
      <c r="I13652">
        <v>72349971</v>
      </c>
    </row>
    <row r="13653" spans="1:9" x14ac:dyDescent="0.2">
      <c r="A13653" s="1" t="str">
        <f>"POM121C"</f>
        <v>POM121C</v>
      </c>
      <c r="B13653" t="s">
        <v>14</v>
      </c>
      <c r="C13653" t="s">
        <v>33</v>
      </c>
      <c r="D13653" t="s">
        <v>11</v>
      </c>
      <c r="E13653" t="s">
        <v>12</v>
      </c>
      <c r="F13653">
        <v>75115563</v>
      </c>
      <c r="G13653">
        <v>75115586</v>
      </c>
      <c r="H13653">
        <v>75115534</v>
      </c>
      <c r="I13653">
        <v>75115541</v>
      </c>
    </row>
    <row r="13654" spans="1:9" x14ac:dyDescent="0.2">
      <c r="A13654" s="1" t="str">
        <f>"POM121L12"</f>
        <v>POM121L12</v>
      </c>
      <c r="B13654" t="s">
        <v>14</v>
      </c>
      <c r="C13654" t="s">
        <v>33</v>
      </c>
      <c r="D13654" t="s">
        <v>17</v>
      </c>
      <c r="E13654" t="s">
        <v>12</v>
      </c>
      <c r="F13654">
        <v>53103320</v>
      </c>
      <c r="G13654">
        <v>53103350</v>
      </c>
      <c r="H13654">
        <v>53103320</v>
      </c>
      <c r="I13654">
        <v>53103350</v>
      </c>
    </row>
    <row r="13655" spans="1:9" x14ac:dyDescent="0.2">
      <c r="A13655" s="1" t="str">
        <f>"POM121L2"</f>
        <v>POM121L2</v>
      </c>
      <c r="B13655" t="s">
        <v>14</v>
      </c>
      <c r="C13655" t="s">
        <v>32</v>
      </c>
      <c r="D13655" t="s">
        <v>11</v>
      </c>
      <c r="E13655" t="s">
        <v>12</v>
      </c>
      <c r="F13655">
        <v>27280036</v>
      </c>
      <c r="G13655">
        <v>27280057</v>
      </c>
      <c r="H13655">
        <v>27280062</v>
      </c>
      <c r="I13655">
        <v>27280068</v>
      </c>
    </row>
    <row r="13656" spans="1:9" x14ac:dyDescent="0.2">
      <c r="A13656" s="1" t="str">
        <f>"POMC"</f>
        <v>POMC</v>
      </c>
      <c r="B13656" t="s">
        <v>14</v>
      </c>
      <c r="C13656" t="s">
        <v>26</v>
      </c>
      <c r="D13656" t="s">
        <v>11</v>
      </c>
      <c r="E13656" t="s">
        <v>12</v>
      </c>
      <c r="F13656">
        <v>25391442</v>
      </c>
      <c r="G13656">
        <v>25391456</v>
      </c>
      <c r="H13656">
        <v>25391442</v>
      </c>
      <c r="I13656">
        <v>25391456</v>
      </c>
    </row>
    <row r="13657" spans="1:9" x14ac:dyDescent="0.2">
      <c r="A13657" s="1" t="str">
        <f>"POMGNT1"</f>
        <v>POMGNT1</v>
      </c>
      <c r="B13657" t="s">
        <v>14</v>
      </c>
      <c r="C13657" t="s">
        <v>19</v>
      </c>
      <c r="D13657" t="s">
        <v>11</v>
      </c>
      <c r="E13657" t="s">
        <v>12</v>
      </c>
      <c r="F13657">
        <v>46664074</v>
      </c>
      <c r="G13657">
        <v>46664126</v>
      </c>
      <c r="H13657">
        <v>46664048</v>
      </c>
      <c r="I13657">
        <v>46664059</v>
      </c>
    </row>
    <row r="13658" spans="1:9" x14ac:dyDescent="0.2">
      <c r="A13658" s="1" t="str">
        <f>"POMGNT2"</f>
        <v>POMGNT2</v>
      </c>
      <c r="B13658" t="s">
        <v>14</v>
      </c>
      <c r="C13658" t="s">
        <v>22</v>
      </c>
      <c r="D13658" t="s">
        <v>11</v>
      </c>
      <c r="E13658" t="s">
        <v>12</v>
      </c>
      <c r="F13658">
        <v>43147549</v>
      </c>
      <c r="G13658">
        <v>43147590</v>
      </c>
      <c r="H13658">
        <v>43147498</v>
      </c>
      <c r="I13658">
        <v>43147546</v>
      </c>
    </row>
    <row r="13659" spans="1:9" x14ac:dyDescent="0.2">
      <c r="A13659" s="1" t="str">
        <f>"POMP"</f>
        <v>POMP</v>
      </c>
      <c r="B13659" t="s">
        <v>14</v>
      </c>
      <c r="C13659" t="s">
        <v>39</v>
      </c>
      <c r="D13659" t="s">
        <v>17</v>
      </c>
      <c r="E13659" t="s">
        <v>12</v>
      </c>
      <c r="F13659">
        <v>29233218</v>
      </c>
      <c r="G13659">
        <v>29233332</v>
      </c>
      <c r="H13659">
        <v>29233127</v>
      </c>
      <c r="I13659">
        <v>29233149</v>
      </c>
    </row>
    <row r="13660" spans="1:9" x14ac:dyDescent="0.2">
      <c r="A13660" s="1" t="str">
        <f>"POMT1"</f>
        <v>POMT1</v>
      </c>
      <c r="B13660" t="s">
        <v>14</v>
      </c>
      <c r="C13660" t="s">
        <v>24</v>
      </c>
      <c r="D13660" t="s">
        <v>17</v>
      </c>
      <c r="E13660" t="s">
        <v>12</v>
      </c>
      <c r="F13660">
        <v>134378295</v>
      </c>
      <c r="G13660">
        <v>134378409</v>
      </c>
      <c r="H13660">
        <v>134378279</v>
      </c>
      <c r="I13660">
        <v>134378284</v>
      </c>
    </row>
    <row r="13661" spans="1:9" x14ac:dyDescent="0.2">
      <c r="A13661" s="1" t="str">
        <f>"POMT2"</f>
        <v>POMT2</v>
      </c>
      <c r="B13661" t="s">
        <v>14</v>
      </c>
      <c r="C13661" t="s">
        <v>41</v>
      </c>
      <c r="D13661" t="s">
        <v>11</v>
      </c>
      <c r="E13661" t="s">
        <v>12</v>
      </c>
      <c r="F13661">
        <v>77787198</v>
      </c>
      <c r="G13661">
        <v>77787244</v>
      </c>
      <c r="H13661">
        <v>77787177</v>
      </c>
      <c r="I13661">
        <v>77787190</v>
      </c>
    </row>
    <row r="13662" spans="1:9" x14ac:dyDescent="0.2">
      <c r="A13662" s="1" t="str">
        <f>"POMZP3"</f>
        <v>POMZP3</v>
      </c>
      <c r="B13662" t="s">
        <v>1356</v>
      </c>
      <c r="C13662" t="s">
        <v>33</v>
      </c>
      <c r="D13662" t="s">
        <v>11</v>
      </c>
      <c r="E13662" t="s">
        <v>20</v>
      </c>
      <c r="F13662">
        <v>76256557</v>
      </c>
      <c r="G13662">
        <v>76256557</v>
      </c>
      <c r="H13662">
        <v>76256557</v>
      </c>
      <c r="I13662">
        <v>76256557</v>
      </c>
    </row>
    <row r="13663" spans="1:9" x14ac:dyDescent="0.2">
      <c r="A13663" s="1" t="str">
        <f>"PON1"</f>
        <v>PON1</v>
      </c>
      <c r="B13663" t="s">
        <v>14</v>
      </c>
      <c r="C13663" t="s">
        <v>33</v>
      </c>
      <c r="D13663" t="s">
        <v>11</v>
      </c>
      <c r="E13663" t="s">
        <v>12</v>
      </c>
      <c r="F13663">
        <v>95025661</v>
      </c>
      <c r="G13663">
        <v>95025712</v>
      </c>
      <c r="H13663">
        <v>95025661</v>
      </c>
      <c r="I13663">
        <v>95025712</v>
      </c>
    </row>
    <row r="13664" spans="1:9" x14ac:dyDescent="0.2">
      <c r="A13664" s="1" t="str">
        <f>"PON2"</f>
        <v>PON2</v>
      </c>
      <c r="B13664" t="s">
        <v>14</v>
      </c>
      <c r="C13664" t="s">
        <v>33</v>
      </c>
      <c r="D13664" t="s">
        <v>11</v>
      </c>
      <c r="E13664" t="s">
        <v>12</v>
      </c>
      <c r="F13664">
        <v>95064264</v>
      </c>
      <c r="G13664">
        <v>95064367</v>
      </c>
      <c r="H13664">
        <v>95064264</v>
      </c>
      <c r="I13664">
        <v>95064367</v>
      </c>
    </row>
    <row r="13665" spans="1:9" x14ac:dyDescent="0.2">
      <c r="A13665" s="1" t="str">
        <f>"PON3"</f>
        <v>PON3</v>
      </c>
      <c r="B13665" t="s">
        <v>14</v>
      </c>
      <c r="C13665" t="s">
        <v>33</v>
      </c>
      <c r="D13665" t="s">
        <v>11</v>
      </c>
      <c r="E13665" t="s">
        <v>12</v>
      </c>
      <c r="F13665">
        <v>95025661</v>
      </c>
      <c r="G13665">
        <v>95025712</v>
      </c>
      <c r="H13665">
        <v>95025713</v>
      </c>
      <c r="I13665">
        <v>95025722</v>
      </c>
    </row>
    <row r="13666" spans="1:9" x14ac:dyDescent="0.2">
      <c r="A13666" s="1" t="str">
        <f>"POP1"</f>
        <v>POP1</v>
      </c>
      <c r="B13666" t="s">
        <v>14</v>
      </c>
      <c r="C13666" t="s">
        <v>30</v>
      </c>
      <c r="D13666" t="s">
        <v>17</v>
      </c>
      <c r="E13666" t="s">
        <v>12</v>
      </c>
      <c r="F13666">
        <v>99129513</v>
      </c>
      <c r="G13666">
        <v>99129570</v>
      </c>
      <c r="H13666">
        <v>99129578</v>
      </c>
      <c r="I13666">
        <v>99129589</v>
      </c>
    </row>
    <row r="13667" spans="1:9" x14ac:dyDescent="0.2">
      <c r="A13667" s="1" t="str">
        <f>"POP4"</f>
        <v>POP4</v>
      </c>
      <c r="B13667" t="s">
        <v>14</v>
      </c>
      <c r="C13667" t="s">
        <v>10</v>
      </c>
      <c r="D13667" t="s">
        <v>17</v>
      </c>
      <c r="E13667" t="s">
        <v>12</v>
      </c>
      <c r="F13667">
        <v>30097181</v>
      </c>
      <c r="G13667">
        <v>30097212</v>
      </c>
      <c r="H13667">
        <v>30097181</v>
      </c>
      <c r="I13667">
        <v>30097212</v>
      </c>
    </row>
    <row r="13668" spans="1:9" x14ac:dyDescent="0.2">
      <c r="A13668" s="1" t="str">
        <f>"POP5"</f>
        <v>POP5</v>
      </c>
      <c r="B13668" t="s">
        <v>14</v>
      </c>
      <c r="C13668" t="s">
        <v>16</v>
      </c>
      <c r="D13668" t="s">
        <v>11</v>
      </c>
      <c r="E13668" t="s">
        <v>12</v>
      </c>
      <c r="F13668">
        <v>121019165</v>
      </c>
      <c r="G13668">
        <v>121019212</v>
      </c>
      <c r="H13668">
        <v>121019017</v>
      </c>
      <c r="I13668">
        <v>121019021</v>
      </c>
    </row>
    <row r="13669" spans="1:9" x14ac:dyDescent="0.2">
      <c r="A13669" s="1" t="str">
        <f>"POP7"</f>
        <v>POP7</v>
      </c>
      <c r="B13669" t="s">
        <v>14</v>
      </c>
      <c r="C13669" t="s">
        <v>33</v>
      </c>
      <c r="D13669" t="s">
        <v>17</v>
      </c>
      <c r="E13669" t="s">
        <v>12</v>
      </c>
      <c r="F13669">
        <v>100303728</v>
      </c>
      <c r="G13669">
        <v>100303787</v>
      </c>
      <c r="H13669">
        <v>100303684</v>
      </c>
      <c r="I13669">
        <v>100303719</v>
      </c>
    </row>
    <row r="13670" spans="1:9" x14ac:dyDescent="0.2">
      <c r="A13670" s="1" t="str">
        <f>"POPDC2"</f>
        <v>POPDC2</v>
      </c>
      <c r="B13670" t="s">
        <v>14</v>
      </c>
      <c r="C13670" t="s">
        <v>22</v>
      </c>
      <c r="D13670" t="s">
        <v>11</v>
      </c>
      <c r="E13670" t="s">
        <v>12</v>
      </c>
      <c r="F13670">
        <v>119379427</v>
      </c>
      <c r="G13670">
        <v>119379442</v>
      </c>
      <c r="H13670">
        <v>119379719</v>
      </c>
      <c r="I13670">
        <v>119379737</v>
      </c>
    </row>
    <row r="13671" spans="1:9" x14ac:dyDescent="0.2">
      <c r="A13671" s="1" t="str">
        <f>"POPDC3"</f>
        <v>POPDC3</v>
      </c>
      <c r="B13671" t="s">
        <v>9</v>
      </c>
      <c r="C13671" t="s">
        <v>32</v>
      </c>
      <c r="D13671" t="s">
        <v>11</v>
      </c>
      <c r="E13671" t="s">
        <v>12</v>
      </c>
      <c r="F13671">
        <v>105627765</v>
      </c>
      <c r="G13671">
        <v>105627917</v>
      </c>
      <c r="H13671">
        <v>105627765</v>
      </c>
      <c r="I13671">
        <v>105627917</v>
      </c>
    </row>
    <row r="13672" spans="1:9" x14ac:dyDescent="0.2">
      <c r="A13672" s="1" t="str">
        <f>"POPDC3"</f>
        <v>POPDC3</v>
      </c>
      <c r="B13672" t="s">
        <v>13</v>
      </c>
      <c r="C13672" t="s">
        <v>32</v>
      </c>
      <c r="D13672" t="s">
        <v>11</v>
      </c>
      <c r="E13672" t="s">
        <v>12</v>
      </c>
      <c r="F13672">
        <v>105624123</v>
      </c>
      <c r="G13672">
        <v>105624136</v>
      </c>
      <c r="H13672">
        <v>105624123</v>
      </c>
      <c r="I13672">
        <v>105624136</v>
      </c>
    </row>
    <row r="13673" spans="1:9" x14ac:dyDescent="0.2">
      <c r="A13673" s="1" t="str">
        <f>"POR"</f>
        <v>POR</v>
      </c>
      <c r="B13673" t="s">
        <v>14</v>
      </c>
      <c r="C13673" t="s">
        <v>33</v>
      </c>
      <c r="D13673" t="s">
        <v>17</v>
      </c>
      <c r="E13673" t="s">
        <v>12</v>
      </c>
      <c r="F13673">
        <v>75544466</v>
      </c>
      <c r="G13673">
        <v>75544482</v>
      </c>
      <c r="H13673">
        <v>75544414</v>
      </c>
      <c r="I13673">
        <v>75544461</v>
      </c>
    </row>
    <row r="13674" spans="1:9" x14ac:dyDescent="0.2">
      <c r="A13674" s="1" t="str">
        <f>"PORCN"</f>
        <v>PORCN</v>
      </c>
      <c r="B13674" t="s">
        <v>9</v>
      </c>
      <c r="C13674" t="s">
        <v>37</v>
      </c>
      <c r="D13674" t="s">
        <v>17</v>
      </c>
      <c r="E13674" t="s">
        <v>12</v>
      </c>
      <c r="F13674">
        <v>48367338</v>
      </c>
      <c r="G13674">
        <v>48367424</v>
      </c>
      <c r="H13674">
        <v>48367338</v>
      </c>
      <c r="I13674">
        <v>48367424</v>
      </c>
    </row>
    <row r="13675" spans="1:9" x14ac:dyDescent="0.2">
      <c r="A13675" s="1" t="str">
        <f>"PORCN"</f>
        <v>PORCN</v>
      </c>
      <c r="B13675" t="s">
        <v>13</v>
      </c>
      <c r="C13675" t="s">
        <v>37</v>
      </c>
      <c r="D13675" t="s">
        <v>17</v>
      </c>
      <c r="E13675" t="s">
        <v>12</v>
      </c>
      <c r="F13675">
        <v>48369719</v>
      </c>
      <c r="G13675">
        <v>48369727</v>
      </c>
      <c r="H13675">
        <v>48369719</v>
      </c>
      <c r="I13675">
        <v>48369727</v>
      </c>
    </row>
    <row r="13676" spans="1:9" x14ac:dyDescent="0.2">
      <c r="A13676" s="1" t="str">
        <f>"POSTN"</f>
        <v>POSTN</v>
      </c>
      <c r="B13676" t="s">
        <v>9</v>
      </c>
      <c r="C13676" t="s">
        <v>39</v>
      </c>
      <c r="D13676" t="s">
        <v>11</v>
      </c>
      <c r="E13676" t="s">
        <v>12</v>
      </c>
      <c r="F13676">
        <v>38172896</v>
      </c>
      <c r="G13676">
        <v>38172911</v>
      </c>
      <c r="H13676">
        <v>38172896</v>
      </c>
      <c r="I13676">
        <v>38172911</v>
      </c>
    </row>
    <row r="13677" spans="1:9" x14ac:dyDescent="0.2">
      <c r="A13677" s="1" t="str">
        <f>"POSTN"</f>
        <v>POSTN</v>
      </c>
      <c r="B13677" t="s">
        <v>13</v>
      </c>
      <c r="C13677" t="s">
        <v>39</v>
      </c>
      <c r="D13677" t="s">
        <v>11</v>
      </c>
      <c r="E13677" t="s">
        <v>12</v>
      </c>
      <c r="F13677">
        <v>38154735</v>
      </c>
      <c r="G13677">
        <v>38154791</v>
      </c>
      <c r="H13677">
        <v>38154735</v>
      </c>
      <c r="I13677">
        <v>38154791</v>
      </c>
    </row>
    <row r="13678" spans="1:9" x14ac:dyDescent="0.2">
      <c r="A13678" s="1" t="str">
        <f>"POT1"</f>
        <v>POT1</v>
      </c>
      <c r="B13678" t="s">
        <v>14</v>
      </c>
      <c r="C13678" t="s">
        <v>33</v>
      </c>
      <c r="D13678" t="s">
        <v>11</v>
      </c>
      <c r="E13678" t="s">
        <v>12</v>
      </c>
      <c r="F13678">
        <v>124569864</v>
      </c>
      <c r="G13678">
        <v>124569918</v>
      </c>
      <c r="H13678">
        <v>124569991</v>
      </c>
      <c r="I13678">
        <v>124570044</v>
      </c>
    </row>
    <row r="13679" spans="1:9" x14ac:dyDescent="0.2">
      <c r="A13679" s="1" t="str">
        <f>"POTEB"</f>
        <v>POTEB</v>
      </c>
      <c r="B13679" t="s">
        <v>1357</v>
      </c>
      <c r="C13679" t="s">
        <v>25</v>
      </c>
      <c r="D13679" t="s">
        <v>11</v>
      </c>
      <c r="E13679" t="s">
        <v>20</v>
      </c>
      <c r="F13679">
        <v>22082821</v>
      </c>
      <c r="G13679">
        <v>22082821</v>
      </c>
      <c r="H13679">
        <v>22082821</v>
      </c>
      <c r="I13679">
        <v>22082821</v>
      </c>
    </row>
    <row r="13680" spans="1:9" x14ac:dyDescent="0.2">
      <c r="A13680" s="1" t="str">
        <f>"POTEB2"</f>
        <v>POTEB2</v>
      </c>
      <c r="B13680" t="s">
        <v>1358</v>
      </c>
      <c r="C13680" t="s">
        <v>25</v>
      </c>
      <c r="D13680" t="s">
        <v>11</v>
      </c>
      <c r="E13680" t="s">
        <v>20</v>
      </c>
      <c r="F13680">
        <v>21071642</v>
      </c>
      <c r="G13680">
        <v>21071642</v>
      </c>
      <c r="H13680">
        <v>21071642</v>
      </c>
      <c r="I13680">
        <v>21071642</v>
      </c>
    </row>
    <row r="13681" spans="1:9" x14ac:dyDescent="0.2">
      <c r="A13681" s="1" t="str">
        <f>"POTEC"</f>
        <v>POTEC</v>
      </c>
      <c r="B13681" t="s">
        <v>14</v>
      </c>
      <c r="C13681" t="s">
        <v>43</v>
      </c>
      <c r="D13681" t="s">
        <v>11</v>
      </c>
      <c r="E13681" t="s">
        <v>12</v>
      </c>
      <c r="F13681">
        <v>14543570</v>
      </c>
      <c r="G13681">
        <v>14543582</v>
      </c>
      <c r="H13681">
        <v>14543570</v>
      </c>
      <c r="I13681">
        <v>14543582</v>
      </c>
    </row>
    <row r="13682" spans="1:9" x14ac:dyDescent="0.2">
      <c r="A13682" s="1" t="str">
        <f>"POTED"</f>
        <v>POTED</v>
      </c>
      <c r="B13682" t="s">
        <v>14</v>
      </c>
      <c r="C13682" t="s">
        <v>42</v>
      </c>
      <c r="D13682" t="s">
        <v>17</v>
      </c>
      <c r="E13682" t="s">
        <v>12</v>
      </c>
      <c r="F13682">
        <v>14982071</v>
      </c>
      <c r="G13682">
        <v>14982114</v>
      </c>
      <c r="H13682">
        <v>14982071</v>
      </c>
      <c r="I13682">
        <v>14982114</v>
      </c>
    </row>
    <row r="13683" spans="1:9" x14ac:dyDescent="0.2">
      <c r="A13683" s="1" t="str">
        <f>"POTEE"</f>
        <v>POTEE</v>
      </c>
      <c r="B13683" t="s">
        <v>1359</v>
      </c>
      <c r="C13683" t="s">
        <v>26</v>
      </c>
      <c r="D13683" t="s">
        <v>17</v>
      </c>
      <c r="E13683" t="s">
        <v>20</v>
      </c>
      <c r="F13683">
        <v>131975881</v>
      </c>
      <c r="G13683">
        <v>131975881</v>
      </c>
      <c r="H13683">
        <v>131975881</v>
      </c>
      <c r="I13683">
        <v>131975881</v>
      </c>
    </row>
    <row r="13684" spans="1:9" x14ac:dyDescent="0.2">
      <c r="A13684" s="1" t="str">
        <f>"POTEF"</f>
        <v>POTEF</v>
      </c>
      <c r="B13684" t="s">
        <v>14</v>
      </c>
      <c r="C13684" t="s">
        <v>26</v>
      </c>
      <c r="D13684" t="s">
        <v>11</v>
      </c>
      <c r="E13684" t="s">
        <v>12</v>
      </c>
      <c r="F13684">
        <v>130886947</v>
      </c>
      <c r="G13684">
        <v>130886972</v>
      </c>
      <c r="H13684">
        <v>130886902</v>
      </c>
      <c r="I13684">
        <v>130886919</v>
      </c>
    </row>
    <row r="13685" spans="1:9" x14ac:dyDescent="0.2">
      <c r="A13685" s="1" t="str">
        <f>"POTEG"</f>
        <v>POTEG</v>
      </c>
      <c r="B13685" t="s">
        <v>1360</v>
      </c>
      <c r="C13685" t="s">
        <v>41</v>
      </c>
      <c r="D13685" t="s">
        <v>17</v>
      </c>
      <c r="E13685" t="s">
        <v>20</v>
      </c>
      <c r="F13685">
        <v>19553364</v>
      </c>
      <c r="G13685">
        <v>19553364</v>
      </c>
      <c r="H13685">
        <v>19553364</v>
      </c>
      <c r="I13685">
        <v>19553364</v>
      </c>
    </row>
    <row r="13686" spans="1:9" x14ac:dyDescent="0.2">
      <c r="A13686" s="1" t="str">
        <f>"POTEH"</f>
        <v>POTEH</v>
      </c>
      <c r="B13686" t="s">
        <v>1361</v>
      </c>
      <c r="C13686" t="s">
        <v>21</v>
      </c>
      <c r="D13686" t="s">
        <v>11</v>
      </c>
      <c r="E13686" t="s">
        <v>20</v>
      </c>
      <c r="F13686">
        <v>16287936</v>
      </c>
      <c r="G13686">
        <v>16287936</v>
      </c>
      <c r="H13686">
        <v>16287936</v>
      </c>
      <c r="I13686">
        <v>16287936</v>
      </c>
    </row>
    <row r="13687" spans="1:9" x14ac:dyDescent="0.2">
      <c r="A13687" s="1" t="str">
        <f>"POTEI"</f>
        <v>POTEI</v>
      </c>
      <c r="B13687" t="s">
        <v>1362</v>
      </c>
      <c r="C13687" t="s">
        <v>26</v>
      </c>
      <c r="D13687" t="s">
        <v>11</v>
      </c>
      <c r="E13687" t="s">
        <v>20</v>
      </c>
      <c r="F13687">
        <v>131267238</v>
      </c>
      <c r="G13687">
        <v>131267238</v>
      </c>
      <c r="H13687">
        <v>131267238</v>
      </c>
      <c r="I13687">
        <v>131267238</v>
      </c>
    </row>
    <row r="13688" spans="1:9" x14ac:dyDescent="0.2">
      <c r="A13688" s="1" t="str">
        <f>"POTEJ"</f>
        <v>POTEJ</v>
      </c>
      <c r="B13688" t="s">
        <v>1363</v>
      </c>
      <c r="C13688" t="s">
        <v>26</v>
      </c>
      <c r="D13688" t="s">
        <v>17</v>
      </c>
      <c r="E13688" t="s">
        <v>20</v>
      </c>
      <c r="F13688">
        <v>131369053</v>
      </c>
      <c r="G13688">
        <v>131369053</v>
      </c>
      <c r="H13688">
        <v>131369053</v>
      </c>
      <c r="I13688">
        <v>131369053</v>
      </c>
    </row>
    <row r="13689" spans="1:9" x14ac:dyDescent="0.2">
      <c r="A13689" s="1" t="str">
        <f>"POTEM"</f>
        <v>POTEM</v>
      </c>
      <c r="B13689" t="s">
        <v>1364</v>
      </c>
      <c r="C13689" t="s">
        <v>41</v>
      </c>
      <c r="D13689" t="s">
        <v>11</v>
      </c>
      <c r="E13689" t="s">
        <v>20</v>
      </c>
      <c r="F13689">
        <v>20020271</v>
      </c>
      <c r="G13689">
        <v>20020271</v>
      </c>
      <c r="H13689">
        <v>20020271</v>
      </c>
      <c r="I13689">
        <v>20020271</v>
      </c>
    </row>
    <row r="13690" spans="1:9" x14ac:dyDescent="0.2">
      <c r="A13690" s="1" t="str">
        <f>"POU1F1"</f>
        <v>POU1F1</v>
      </c>
      <c r="B13690" t="s">
        <v>14</v>
      </c>
      <c r="C13690" t="s">
        <v>22</v>
      </c>
      <c r="D13690" t="s">
        <v>11</v>
      </c>
      <c r="E13690" t="s">
        <v>12</v>
      </c>
      <c r="F13690">
        <v>87325728</v>
      </c>
      <c r="G13690">
        <v>87325739</v>
      </c>
      <c r="H13690">
        <v>87325636</v>
      </c>
      <c r="I13690">
        <v>87325643</v>
      </c>
    </row>
    <row r="13691" spans="1:9" x14ac:dyDescent="0.2">
      <c r="A13691" s="1" t="str">
        <f>"POU2AF1"</f>
        <v>POU2AF1</v>
      </c>
      <c r="B13691" t="s">
        <v>14</v>
      </c>
      <c r="C13691" t="s">
        <v>27</v>
      </c>
      <c r="D13691" t="s">
        <v>11</v>
      </c>
      <c r="E13691" t="s">
        <v>12</v>
      </c>
      <c r="F13691">
        <v>111249993</v>
      </c>
      <c r="G13691">
        <v>111250006</v>
      </c>
      <c r="H13691">
        <v>111249993</v>
      </c>
      <c r="I13691">
        <v>111250006</v>
      </c>
    </row>
    <row r="13692" spans="1:9" x14ac:dyDescent="0.2">
      <c r="A13692" s="1" t="str">
        <f>"POU2F1"</f>
        <v>POU2F1</v>
      </c>
      <c r="B13692" t="s">
        <v>9</v>
      </c>
      <c r="C13692" t="s">
        <v>19</v>
      </c>
      <c r="D13692" t="s">
        <v>17</v>
      </c>
      <c r="E13692" t="s">
        <v>12</v>
      </c>
      <c r="F13692">
        <v>167190091</v>
      </c>
      <c r="G13692">
        <v>167190156</v>
      </c>
      <c r="H13692">
        <v>167190091</v>
      </c>
      <c r="I13692">
        <v>167190156</v>
      </c>
    </row>
    <row r="13693" spans="1:9" x14ac:dyDescent="0.2">
      <c r="A13693" s="1" t="str">
        <f>"POU2F1"</f>
        <v>POU2F1</v>
      </c>
      <c r="B13693" t="s">
        <v>13</v>
      </c>
      <c r="C13693" t="s">
        <v>19</v>
      </c>
      <c r="D13693" t="s">
        <v>17</v>
      </c>
      <c r="E13693" t="s">
        <v>12</v>
      </c>
      <c r="F13693">
        <v>167298300</v>
      </c>
      <c r="G13693">
        <v>167298319</v>
      </c>
      <c r="H13693">
        <v>167298300</v>
      </c>
      <c r="I13693">
        <v>167298319</v>
      </c>
    </row>
    <row r="13694" spans="1:9" x14ac:dyDescent="0.2">
      <c r="A13694" s="1" t="str">
        <f>"POU2F2"</f>
        <v>POU2F2</v>
      </c>
      <c r="B13694" t="s">
        <v>14</v>
      </c>
      <c r="C13694" t="s">
        <v>10</v>
      </c>
      <c r="D13694" t="s">
        <v>11</v>
      </c>
      <c r="E13694" t="s">
        <v>12</v>
      </c>
      <c r="F13694">
        <v>42636586</v>
      </c>
      <c r="G13694">
        <v>42636607</v>
      </c>
      <c r="H13694">
        <v>42636625</v>
      </c>
      <c r="I13694">
        <v>42636632</v>
      </c>
    </row>
    <row r="13695" spans="1:9" x14ac:dyDescent="0.2">
      <c r="A13695" s="1" t="str">
        <f>"POU2F3"</f>
        <v>POU2F3</v>
      </c>
      <c r="B13695" t="s">
        <v>9</v>
      </c>
      <c r="C13695" t="s">
        <v>27</v>
      </c>
      <c r="D13695" t="s">
        <v>17</v>
      </c>
      <c r="E13695" t="s">
        <v>12</v>
      </c>
      <c r="F13695">
        <v>120107344</v>
      </c>
      <c r="G13695">
        <v>120107351</v>
      </c>
      <c r="H13695">
        <v>120107344</v>
      </c>
      <c r="I13695">
        <v>120107351</v>
      </c>
    </row>
    <row r="13696" spans="1:9" x14ac:dyDescent="0.2">
      <c r="A13696" s="1" t="str">
        <f>"POU2F3"</f>
        <v>POU2F3</v>
      </c>
      <c r="B13696" t="s">
        <v>13</v>
      </c>
      <c r="C13696" t="s">
        <v>27</v>
      </c>
      <c r="D13696" t="s">
        <v>17</v>
      </c>
      <c r="E13696" t="s">
        <v>12</v>
      </c>
      <c r="F13696">
        <v>120110863</v>
      </c>
      <c r="G13696">
        <v>120110908</v>
      </c>
      <c r="H13696">
        <v>120110863</v>
      </c>
      <c r="I13696">
        <v>120110908</v>
      </c>
    </row>
    <row r="13697" spans="1:9" x14ac:dyDescent="0.2">
      <c r="A13697" s="1" t="str">
        <f>"POU3F1"</f>
        <v>POU3F1</v>
      </c>
      <c r="B13697" t="s">
        <v>14</v>
      </c>
      <c r="C13697" t="s">
        <v>19</v>
      </c>
      <c r="D13697" t="s">
        <v>11</v>
      </c>
      <c r="E13697" t="s">
        <v>12</v>
      </c>
      <c r="F13697">
        <v>38512457</v>
      </c>
      <c r="G13697">
        <v>38512474</v>
      </c>
      <c r="H13697">
        <v>38512489</v>
      </c>
      <c r="I13697">
        <v>38512496</v>
      </c>
    </row>
    <row r="13698" spans="1:9" x14ac:dyDescent="0.2">
      <c r="A13698" s="1" t="str">
        <f>"POU3F2"</f>
        <v>POU3F2</v>
      </c>
      <c r="B13698" t="s">
        <v>14</v>
      </c>
      <c r="C13698" t="s">
        <v>32</v>
      </c>
      <c r="D13698" t="s">
        <v>17</v>
      </c>
      <c r="E13698" t="s">
        <v>12</v>
      </c>
      <c r="F13698">
        <v>99282475</v>
      </c>
      <c r="G13698">
        <v>99282501</v>
      </c>
      <c r="H13698">
        <v>99282438</v>
      </c>
      <c r="I13698">
        <v>99282457</v>
      </c>
    </row>
    <row r="13699" spans="1:9" x14ac:dyDescent="0.2">
      <c r="A13699" s="1" t="str">
        <f>"POU3F3"</f>
        <v>POU3F3</v>
      </c>
      <c r="B13699" t="s">
        <v>14</v>
      </c>
      <c r="C13699" t="s">
        <v>26</v>
      </c>
      <c r="D13699" t="s">
        <v>17</v>
      </c>
      <c r="E13699" t="s">
        <v>12</v>
      </c>
      <c r="F13699">
        <v>105472163</v>
      </c>
      <c r="G13699">
        <v>105472174</v>
      </c>
      <c r="H13699">
        <v>105471914</v>
      </c>
      <c r="I13699">
        <v>105471935</v>
      </c>
    </row>
    <row r="13700" spans="1:9" x14ac:dyDescent="0.2">
      <c r="A13700" s="1" t="str">
        <f>"POU3F4"</f>
        <v>POU3F4</v>
      </c>
      <c r="B13700" t="s">
        <v>14</v>
      </c>
      <c r="C13700" t="s">
        <v>37</v>
      </c>
      <c r="D13700" t="s">
        <v>17</v>
      </c>
      <c r="E13700" t="s">
        <v>12</v>
      </c>
      <c r="F13700">
        <v>82763292</v>
      </c>
      <c r="G13700">
        <v>82763317</v>
      </c>
      <c r="H13700">
        <v>82763265</v>
      </c>
      <c r="I13700">
        <v>82763283</v>
      </c>
    </row>
    <row r="13701" spans="1:9" x14ac:dyDescent="0.2">
      <c r="A13701" s="1" t="str">
        <f>"POU4F1"</f>
        <v>POU4F1</v>
      </c>
      <c r="B13701" t="s">
        <v>14</v>
      </c>
      <c r="C13701" t="s">
        <v>39</v>
      </c>
      <c r="D13701" t="s">
        <v>11</v>
      </c>
      <c r="E13701" t="s">
        <v>12</v>
      </c>
      <c r="F13701">
        <v>79177674</v>
      </c>
      <c r="G13701">
        <v>79177701</v>
      </c>
      <c r="H13701">
        <v>79177703</v>
      </c>
      <c r="I13701">
        <v>79177729</v>
      </c>
    </row>
    <row r="13702" spans="1:9" x14ac:dyDescent="0.2">
      <c r="A13702" s="1" t="str">
        <f>"POU4F2"</f>
        <v>POU4F2</v>
      </c>
      <c r="B13702" t="s">
        <v>14</v>
      </c>
      <c r="C13702" t="s">
        <v>23</v>
      </c>
      <c r="D13702" t="s">
        <v>17</v>
      </c>
      <c r="E13702" t="s">
        <v>12</v>
      </c>
      <c r="F13702">
        <v>147560042</v>
      </c>
      <c r="G13702">
        <v>147560046</v>
      </c>
      <c r="H13702">
        <v>147561021</v>
      </c>
      <c r="I13702">
        <v>147561055</v>
      </c>
    </row>
    <row r="13703" spans="1:9" x14ac:dyDescent="0.2">
      <c r="A13703" s="1" t="str">
        <f>"POU4F3"</f>
        <v>POU4F3</v>
      </c>
      <c r="B13703" t="s">
        <v>14</v>
      </c>
      <c r="C13703" t="s">
        <v>46</v>
      </c>
      <c r="D13703" t="s">
        <v>17</v>
      </c>
      <c r="E13703" t="s">
        <v>12</v>
      </c>
      <c r="F13703">
        <v>145718398</v>
      </c>
      <c r="G13703">
        <v>145718410</v>
      </c>
      <c r="H13703">
        <v>145718596</v>
      </c>
      <c r="I13703">
        <v>145718607</v>
      </c>
    </row>
    <row r="13704" spans="1:9" x14ac:dyDescent="0.2">
      <c r="A13704" s="1" t="str">
        <f>"POU5F1"</f>
        <v>POU5F1</v>
      </c>
      <c r="B13704" t="s">
        <v>9</v>
      </c>
      <c r="C13704" t="s">
        <v>32</v>
      </c>
      <c r="D13704" t="s">
        <v>11</v>
      </c>
      <c r="E13704" t="s">
        <v>12</v>
      </c>
      <c r="F13704">
        <v>31138439</v>
      </c>
      <c r="G13704">
        <v>31138475</v>
      </c>
      <c r="H13704">
        <v>31138439</v>
      </c>
      <c r="I13704">
        <v>31138475</v>
      </c>
    </row>
    <row r="13705" spans="1:9" x14ac:dyDescent="0.2">
      <c r="A13705" s="1" t="str">
        <f>"POU5F1"</f>
        <v>POU5F1</v>
      </c>
      <c r="B13705" t="s">
        <v>13</v>
      </c>
      <c r="C13705" t="s">
        <v>32</v>
      </c>
      <c r="D13705" t="s">
        <v>11</v>
      </c>
      <c r="E13705" t="s">
        <v>12</v>
      </c>
      <c r="F13705">
        <v>31148495</v>
      </c>
      <c r="G13705">
        <v>31148514</v>
      </c>
      <c r="H13705">
        <v>31148495</v>
      </c>
      <c r="I13705">
        <v>31148514</v>
      </c>
    </row>
    <row r="13706" spans="1:9" x14ac:dyDescent="0.2">
      <c r="A13706" s="1" t="str">
        <f>"POU5F1B"</f>
        <v>POU5F1B</v>
      </c>
      <c r="B13706" t="s">
        <v>14</v>
      </c>
      <c r="C13706" t="s">
        <v>30</v>
      </c>
      <c r="D13706" t="s">
        <v>17</v>
      </c>
      <c r="E13706" t="s">
        <v>12</v>
      </c>
      <c r="F13706">
        <v>128428066</v>
      </c>
      <c r="G13706">
        <v>128428078</v>
      </c>
      <c r="H13706">
        <v>128428066</v>
      </c>
      <c r="I13706">
        <v>128428078</v>
      </c>
    </row>
    <row r="13707" spans="1:9" x14ac:dyDescent="0.2">
      <c r="A13707" s="1" t="str">
        <f>"POU5F2"</f>
        <v>POU5F2</v>
      </c>
      <c r="B13707" t="s">
        <v>14</v>
      </c>
      <c r="C13707" t="s">
        <v>46</v>
      </c>
      <c r="D13707" t="s">
        <v>11</v>
      </c>
      <c r="E13707" t="s">
        <v>12</v>
      </c>
      <c r="F13707">
        <v>93077293</v>
      </c>
      <c r="G13707">
        <v>93077310</v>
      </c>
      <c r="H13707">
        <v>93077313</v>
      </c>
      <c r="I13707">
        <v>93077318</v>
      </c>
    </row>
    <row r="13708" spans="1:9" x14ac:dyDescent="0.2">
      <c r="A13708" s="1" t="str">
        <f>"POU6F1"</f>
        <v>POU6F1</v>
      </c>
      <c r="B13708" t="s">
        <v>14</v>
      </c>
      <c r="C13708" t="s">
        <v>16</v>
      </c>
      <c r="D13708" t="s">
        <v>11</v>
      </c>
      <c r="E13708" t="s">
        <v>12</v>
      </c>
      <c r="F13708">
        <v>51611815</v>
      </c>
      <c r="G13708">
        <v>51611855</v>
      </c>
      <c r="H13708">
        <v>51611815</v>
      </c>
      <c r="I13708">
        <v>51611855</v>
      </c>
    </row>
    <row r="13709" spans="1:9" x14ac:dyDescent="0.2">
      <c r="A13709" s="1" t="str">
        <f>"POU6F2"</f>
        <v>POU6F2</v>
      </c>
      <c r="B13709" t="s">
        <v>1365</v>
      </c>
      <c r="C13709" t="s">
        <v>33</v>
      </c>
      <c r="D13709" t="s">
        <v>17</v>
      </c>
      <c r="E13709" t="s">
        <v>20</v>
      </c>
      <c r="F13709">
        <v>39046407</v>
      </c>
      <c r="G13709">
        <v>39046407</v>
      </c>
      <c r="H13709">
        <v>39046407</v>
      </c>
      <c r="I13709">
        <v>39046407</v>
      </c>
    </row>
    <row r="13710" spans="1:9" x14ac:dyDescent="0.2">
      <c r="A13710" s="1" t="str">
        <f>"PP2D1"</f>
        <v>PP2D1</v>
      </c>
      <c r="B13710" t="s">
        <v>14</v>
      </c>
      <c r="C13710" t="s">
        <v>22</v>
      </c>
      <c r="D13710" t="s">
        <v>11</v>
      </c>
      <c r="E13710" t="s">
        <v>12</v>
      </c>
      <c r="F13710">
        <v>20053741</v>
      </c>
      <c r="G13710">
        <v>20053760</v>
      </c>
      <c r="H13710">
        <v>20053726</v>
      </c>
      <c r="I13710">
        <v>20053736</v>
      </c>
    </row>
    <row r="13711" spans="1:9" x14ac:dyDescent="0.2">
      <c r="A13711" s="1" t="str">
        <f>"PPA1"</f>
        <v>PPA1</v>
      </c>
      <c r="B13711" t="s">
        <v>14</v>
      </c>
      <c r="C13711" t="s">
        <v>15</v>
      </c>
      <c r="D13711" t="s">
        <v>11</v>
      </c>
      <c r="E13711" t="s">
        <v>12</v>
      </c>
      <c r="F13711">
        <v>71993138</v>
      </c>
      <c r="G13711">
        <v>71993163</v>
      </c>
      <c r="H13711">
        <v>71993176</v>
      </c>
      <c r="I13711">
        <v>71993193</v>
      </c>
    </row>
    <row r="13712" spans="1:9" x14ac:dyDescent="0.2">
      <c r="A13712" s="1" t="str">
        <f>"PPA2"</f>
        <v>PPA2</v>
      </c>
      <c r="B13712" t="s">
        <v>14</v>
      </c>
      <c r="C13712" t="s">
        <v>23</v>
      </c>
      <c r="D13712" t="s">
        <v>11</v>
      </c>
      <c r="E13712" t="s">
        <v>12</v>
      </c>
      <c r="F13712">
        <v>106395206</v>
      </c>
      <c r="G13712">
        <v>106395239</v>
      </c>
      <c r="H13712">
        <v>106395135</v>
      </c>
      <c r="I13712">
        <v>106395146</v>
      </c>
    </row>
    <row r="13713" spans="1:9" x14ac:dyDescent="0.2">
      <c r="A13713" s="1" t="str">
        <f>"PPAN"</f>
        <v>PPAN</v>
      </c>
      <c r="B13713" t="s">
        <v>14</v>
      </c>
      <c r="C13713" t="s">
        <v>10</v>
      </c>
      <c r="D13713" t="s">
        <v>17</v>
      </c>
      <c r="E13713" t="s">
        <v>12</v>
      </c>
      <c r="F13713">
        <v>10216998</v>
      </c>
      <c r="G13713">
        <v>10217061</v>
      </c>
      <c r="H13713">
        <v>10217270</v>
      </c>
      <c r="I13713">
        <v>10217321</v>
      </c>
    </row>
    <row r="13714" spans="1:9" x14ac:dyDescent="0.2">
      <c r="A13714" s="1" t="str">
        <f>"PPAN-P2RY11"</f>
        <v>PPAN-P2RY11</v>
      </c>
      <c r="B13714" t="s">
        <v>14</v>
      </c>
      <c r="C13714" t="s">
        <v>10</v>
      </c>
      <c r="D13714" t="s">
        <v>17</v>
      </c>
      <c r="E13714" t="s">
        <v>12</v>
      </c>
      <c r="F13714">
        <v>10216998</v>
      </c>
      <c r="G13714">
        <v>10217061</v>
      </c>
      <c r="H13714">
        <v>10217270</v>
      </c>
      <c r="I13714">
        <v>10217321</v>
      </c>
    </row>
    <row r="13715" spans="1:9" x14ac:dyDescent="0.2">
      <c r="A13715" s="1" t="str">
        <f>"PPAP2A"</f>
        <v>PPAP2A</v>
      </c>
      <c r="B13715" t="s">
        <v>14</v>
      </c>
      <c r="C13715" t="s">
        <v>46</v>
      </c>
      <c r="D13715" t="s">
        <v>11</v>
      </c>
      <c r="E13715" t="s">
        <v>12</v>
      </c>
      <c r="F13715">
        <v>54830784</v>
      </c>
      <c r="G13715">
        <v>54830799</v>
      </c>
      <c r="H13715">
        <v>54830808</v>
      </c>
      <c r="I13715">
        <v>54830868</v>
      </c>
    </row>
    <row r="13716" spans="1:9" x14ac:dyDescent="0.2">
      <c r="A13716" s="1" t="str">
        <f>"PPAP2B"</f>
        <v>PPAP2B</v>
      </c>
      <c r="B13716" t="s">
        <v>14</v>
      </c>
      <c r="C13716" t="s">
        <v>19</v>
      </c>
      <c r="D13716" t="s">
        <v>11</v>
      </c>
      <c r="E13716" t="s">
        <v>12</v>
      </c>
      <c r="F13716">
        <v>57044980</v>
      </c>
      <c r="G13716">
        <v>57045112</v>
      </c>
      <c r="H13716">
        <v>57045207</v>
      </c>
      <c r="I13716">
        <v>57045226</v>
      </c>
    </row>
    <row r="13717" spans="1:9" x14ac:dyDescent="0.2">
      <c r="A13717" s="1" t="str">
        <f>"PPAP2C"</f>
        <v>PPAP2C</v>
      </c>
      <c r="B13717" t="s">
        <v>14</v>
      </c>
      <c r="C13717" t="s">
        <v>10</v>
      </c>
      <c r="D13717" t="s">
        <v>11</v>
      </c>
      <c r="E13717" t="s">
        <v>12</v>
      </c>
      <c r="F13717">
        <v>291365</v>
      </c>
      <c r="G13717">
        <v>291427</v>
      </c>
      <c r="H13717">
        <v>291348</v>
      </c>
      <c r="I13717">
        <v>291363</v>
      </c>
    </row>
    <row r="13718" spans="1:9" x14ac:dyDescent="0.2">
      <c r="A13718" s="1" t="str">
        <f>"PPAPDC1A"</f>
        <v>PPAPDC1A</v>
      </c>
      <c r="B13718" t="s">
        <v>14</v>
      </c>
      <c r="C13718" t="s">
        <v>15</v>
      </c>
      <c r="D13718" t="s">
        <v>17</v>
      </c>
      <c r="E13718" t="s">
        <v>12</v>
      </c>
      <c r="F13718">
        <v>122216707</v>
      </c>
      <c r="G13718">
        <v>122216790</v>
      </c>
      <c r="H13718">
        <v>122216420</v>
      </c>
      <c r="I13718">
        <v>122216512</v>
      </c>
    </row>
    <row r="13719" spans="1:9" x14ac:dyDescent="0.2">
      <c r="A13719" s="1" t="str">
        <f>"PPAPDC1B"</f>
        <v>PPAPDC1B</v>
      </c>
      <c r="B13719" t="s">
        <v>14</v>
      </c>
      <c r="C13719" t="s">
        <v>30</v>
      </c>
      <c r="D13719" t="s">
        <v>11</v>
      </c>
      <c r="E13719" t="s">
        <v>12</v>
      </c>
      <c r="F13719">
        <v>38126675</v>
      </c>
      <c r="G13719">
        <v>38126757</v>
      </c>
      <c r="H13719">
        <v>38126635</v>
      </c>
      <c r="I13719">
        <v>38126668</v>
      </c>
    </row>
    <row r="13720" spans="1:9" x14ac:dyDescent="0.2">
      <c r="A13720" s="1" t="str">
        <f>"PPAPDC2"</f>
        <v>PPAPDC2</v>
      </c>
      <c r="B13720" t="s">
        <v>14</v>
      </c>
      <c r="C13720" t="s">
        <v>24</v>
      </c>
      <c r="D13720" t="s">
        <v>17</v>
      </c>
      <c r="E13720" t="s">
        <v>12</v>
      </c>
      <c r="F13720">
        <v>4662282</v>
      </c>
      <c r="G13720">
        <v>4662345</v>
      </c>
      <c r="H13720">
        <v>4662348</v>
      </c>
      <c r="I13720">
        <v>4662391</v>
      </c>
    </row>
    <row r="13721" spans="1:9" x14ac:dyDescent="0.2">
      <c r="A13721" s="1" t="str">
        <f>"PPAPDC3"</f>
        <v>PPAPDC3</v>
      </c>
      <c r="B13721" t="s">
        <v>14</v>
      </c>
      <c r="C13721" t="s">
        <v>24</v>
      </c>
      <c r="D13721" t="s">
        <v>17</v>
      </c>
      <c r="E13721" t="s">
        <v>12</v>
      </c>
      <c r="F13721">
        <v>134165063</v>
      </c>
      <c r="G13721">
        <v>134165134</v>
      </c>
      <c r="H13721">
        <v>134165245</v>
      </c>
      <c r="I13721">
        <v>134165266</v>
      </c>
    </row>
    <row r="13722" spans="1:9" x14ac:dyDescent="0.2">
      <c r="A13722" s="1" t="str">
        <f>"PPARA"</f>
        <v>PPARA</v>
      </c>
      <c r="B13722" t="s">
        <v>14</v>
      </c>
      <c r="C13722" t="s">
        <v>21</v>
      </c>
      <c r="D13722" t="s">
        <v>17</v>
      </c>
      <c r="E13722" t="s">
        <v>12</v>
      </c>
      <c r="F13722">
        <v>46546406</v>
      </c>
      <c r="G13722">
        <v>46546440</v>
      </c>
      <c r="H13722">
        <v>46546494</v>
      </c>
      <c r="I13722">
        <v>46546525</v>
      </c>
    </row>
    <row r="13723" spans="1:9" x14ac:dyDescent="0.2">
      <c r="A13723" s="1" t="str">
        <f>"PPARD"</f>
        <v>PPARD</v>
      </c>
      <c r="B13723" t="s">
        <v>14</v>
      </c>
      <c r="C13723" t="s">
        <v>32</v>
      </c>
      <c r="D13723" t="s">
        <v>17</v>
      </c>
      <c r="E13723" t="s">
        <v>12</v>
      </c>
      <c r="F13723">
        <v>35310312</v>
      </c>
      <c r="G13723">
        <v>35310359</v>
      </c>
      <c r="H13723">
        <v>35310395</v>
      </c>
      <c r="I13723">
        <v>35310410</v>
      </c>
    </row>
    <row r="13724" spans="1:9" x14ac:dyDescent="0.2">
      <c r="A13724" s="1" t="str">
        <f>"PPARG"</f>
        <v>PPARG</v>
      </c>
      <c r="B13724" t="s">
        <v>9</v>
      </c>
      <c r="C13724" t="s">
        <v>22</v>
      </c>
      <c r="D13724" t="s">
        <v>17</v>
      </c>
      <c r="E13724" t="s">
        <v>12</v>
      </c>
      <c r="F13724">
        <v>12330560</v>
      </c>
      <c r="G13724">
        <v>12330579</v>
      </c>
      <c r="H13724">
        <v>12330560</v>
      </c>
      <c r="I13724">
        <v>12330579</v>
      </c>
    </row>
    <row r="13725" spans="1:9" x14ac:dyDescent="0.2">
      <c r="A13725" s="1" t="str">
        <f>"PPARG"</f>
        <v>PPARG</v>
      </c>
      <c r="B13725" t="s">
        <v>13</v>
      </c>
      <c r="C13725" t="s">
        <v>22</v>
      </c>
      <c r="D13725" t="s">
        <v>17</v>
      </c>
      <c r="E13725" t="s">
        <v>12</v>
      </c>
      <c r="F13725">
        <v>12329397</v>
      </c>
      <c r="G13725">
        <v>12329433</v>
      </c>
      <c r="H13725">
        <v>12329397</v>
      </c>
      <c r="I13725">
        <v>12329433</v>
      </c>
    </row>
    <row r="13726" spans="1:9" x14ac:dyDescent="0.2">
      <c r="A13726" s="1" t="str">
        <f>"PPARGC1A"</f>
        <v>PPARGC1A</v>
      </c>
      <c r="B13726" t="s">
        <v>9</v>
      </c>
      <c r="C13726" t="s">
        <v>23</v>
      </c>
      <c r="D13726" t="s">
        <v>11</v>
      </c>
      <c r="E13726" t="s">
        <v>12</v>
      </c>
      <c r="F13726">
        <v>23891660</v>
      </c>
      <c r="G13726">
        <v>23891690</v>
      </c>
      <c r="H13726">
        <v>23891660</v>
      </c>
      <c r="I13726">
        <v>23891690</v>
      </c>
    </row>
    <row r="13727" spans="1:9" x14ac:dyDescent="0.2">
      <c r="A13727" s="1" t="str">
        <f>"PPARGC1A"</f>
        <v>PPARGC1A</v>
      </c>
      <c r="B13727" t="s">
        <v>13</v>
      </c>
      <c r="C13727" t="s">
        <v>23</v>
      </c>
      <c r="D13727" t="s">
        <v>11</v>
      </c>
      <c r="E13727" t="s">
        <v>12</v>
      </c>
      <c r="F13727">
        <v>23905703</v>
      </c>
      <c r="G13727">
        <v>23905719</v>
      </c>
      <c r="H13727">
        <v>23905703</v>
      </c>
      <c r="I13727">
        <v>23905719</v>
      </c>
    </row>
    <row r="13728" spans="1:9" x14ac:dyDescent="0.2">
      <c r="A13728" s="1" t="str">
        <f>"PPARGC1B"</f>
        <v>PPARGC1B</v>
      </c>
      <c r="B13728" t="s">
        <v>14</v>
      </c>
      <c r="C13728" t="s">
        <v>46</v>
      </c>
      <c r="D13728" t="s">
        <v>17</v>
      </c>
      <c r="E13728" t="s">
        <v>12</v>
      </c>
      <c r="F13728">
        <v>149109825</v>
      </c>
      <c r="G13728">
        <v>149109907</v>
      </c>
      <c r="H13728">
        <v>149109562</v>
      </c>
      <c r="I13728">
        <v>149109612</v>
      </c>
    </row>
    <row r="13729" spans="1:9" x14ac:dyDescent="0.2">
      <c r="A13729" s="1" t="str">
        <f>"PPAT"</f>
        <v>PPAT</v>
      </c>
      <c r="B13729" t="s">
        <v>14</v>
      </c>
      <c r="C13729" t="s">
        <v>23</v>
      </c>
      <c r="D13729" t="s">
        <v>11</v>
      </c>
      <c r="E13729" t="s">
        <v>12</v>
      </c>
      <c r="F13729">
        <v>57301748</v>
      </c>
      <c r="G13729">
        <v>57301791</v>
      </c>
      <c r="H13729">
        <v>57301645</v>
      </c>
      <c r="I13729">
        <v>57301675</v>
      </c>
    </row>
    <row r="13730" spans="1:9" x14ac:dyDescent="0.2">
      <c r="A13730" s="1" t="str">
        <f>"PPBP"</f>
        <v>PPBP</v>
      </c>
      <c r="B13730" t="s">
        <v>14</v>
      </c>
      <c r="C13730" t="s">
        <v>23</v>
      </c>
      <c r="D13730" t="s">
        <v>11</v>
      </c>
      <c r="E13730" t="s">
        <v>12</v>
      </c>
      <c r="F13730">
        <v>74853897</v>
      </c>
      <c r="G13730">
        <v>74853917</v>
      </c>
      <c r="H13730">
        <v>74853897</v>
      </c>
      <c r="I13730">
        <v>74853917</v>
      </c>
    </row>
    <row r="13731" spans="1:9" x14ac:dyDescent="0.2">
      <c r="A13731" s="1" t="str">
        <f>"PPCDC"</f>
        <v>PPCDC</v>
      </c>
      <c r="B13731" t="s">
        <v>9</v>
      </c>
      <c r="C13731" t="s">
        <v>25</v>
      </c>
      <c r="D13731" t="s">
        <v>17</v>
      </c>
      <c r="E13731" t="s">
        <v>12</v>
      </c>
      <c r="F13731">
        <v>75315922</v>
      </c>
      <c r="G13731">
        <v>75315956</v>
      </c>
      <c r="H13731">
        <v>75315922</v>
      </c>
      <c r="I13731">
        <v>75315956</v>
      </c>
    </row>
    <row r="13732" spans="1:9" x14ac:dyDescent="0.2">
      <c r="A13732" s="1" t="str">
        <f>"PPCDC"</f>
        <v>PPCDC</v>
      </c>
      <c r="B13732" t="s">
        <v>13</v>
      </c>
      <c r="C13732" t="s">
        <v>25</v>
      </c>
      <c r="D13732" t="s">
        <v>17</v>
      </c>
      <c r="E13732" t="s">
        <v>12</v>
      </c>
      <c r="F13732">
        <v>75335649</v>
      </c>
      <c r="G13732">
        <v>75335666</v>
      </c>
      <c r="H13732">
        <v>75335649</v>
      </c>
      <c r="I13732">
        <v>75335666</v>
      </c>
    </row>
    <row r="13733" spans="1:9" x14ac:dyDescent="0.2">
      <c r="A13733" s="1" t="str">
        <f>"PPCS"</f>
        <v>PPCS</v>
      </c>
      <c r="B13733" t="s">
        <v>14</v>
      </c>
      <c r="C13733" t="s">
        <v>19</v>
      </c>
      <c r="D13733" t="s">
        <v>17</v>
      </c>
      <c r="E13733" t="s">
        <v>12</v>
      </c>
      <c r="F13733">
        <v>42922196</v>
      </c>
      <c r="G13733">
        <v>42922241</v>
      </c>
      <c r="H13733">
        <v>42921761</v>
      </c>
      <c r="I13733">
        <v>42921785</v>
      </c>
    </row>
    <row r="13734" spans="1:9" x14ac:dyDescent="0.2">
      <c r="A13734" s="1" t="str">
        <f>"PPDPF"</f>
        <v>PPDPF</v>
      </c>
      <c r="B13734" t="s">
        <v>14</v>
      </c>
      <c r="C13734" t="s">
        <v>29</v>
      </c>
      <c r="D13734" t="s">
        <v>17</v>
      </c>
      <c r="E13734" t="s">
        <v>12</v>
      </c>
      <c r="F13734">
        <v>62152108</v>
      </c>
      <c r="G13734">
        <v>62152136</v>
      </c>
      <c r="H13734">
        <v>62152108</v>
      </c>
      <c r="I13734">
        <v>62152136</v>
      </c>
    </row>
    <row r="13735" spans="1:9" x14ac:dyDescent="0.2">
      <c r="A13735" s="1" t="str">
        <f>"PPEF1"</f>
        <v>PPEF1</v>
      </c>
      <c r="B13735" t="s">
        <v>14</v>
      </c>
      <c r="C13735" t="s">
        <v>37</v>
      </c>
      <c r="D13735" t="s">
        <v>17</v>
      </c>
      <c r="E13735" t="s">
        <v>12</v>
      </c>
      <c r="F13735">
        <v>18725758</v>
      </c>
      <c r="G13735">
        <v>18725784</v>
      </c>
      <c r="H13735">
        <v>18725758</v>
      </c>
      <c r="I13735">
        <v>18725784</v>
      </c>
    </row>
    <row r="13736" spans="1:9" x14ac:dyDescent="0.2">
      <c r="A13736" s="1" t="str">
        <f>"PPEF2"</f>
        <v>PPEF2</v>
      </c>
      <c r="B13736" t="s">
        <v>14</v>
      </c>
      <c r="C13736" t="s">
        <v>23</v>
      </c>
      <c r="D13736" t="s">
        <v>11</v>
      </c>
      <c r="E13736" t="s">
        <v>12</v>
      </c>
      <c r="F13736">
        <v>76823597</v>
      </c>
      <c r="G13736">
        <v>76823623</v>
      </c>
      <c r="H13736">
        <v>76823718</v>
      </c>
      <c r="I13736">
        <v>76823737</v>
      </c>
    </row>
    <row r="13737" spans="1:9" x14ac:dyDescent="0.2">
      <c r="A13737" s="1" t="str">
        <f>"PPFIA1"</f>
        <v>PPFIA1</v>
      </c>
      <c r="B13737" t="s">
        <v>14</v>
      </c>
      <c r="C13737" t="s">
        <v>27</v>
      </c>
      <c r="D13737" t="s">
        <v>17</v>
      </c>
      <c r="E13737" t="s">
        <v>12</v>
      </c>
      <c r="F13737">
        <v>70116779</v>
      </c>
      <c r="G13737">
        <v>70116858</v>
      </c>
      <c r="H13737">
        <v>70116779</v>
      </c>
      <c r="I13737">
        <v>70116858</v>
      </c>
    </row>
    <row r="13738" spans="1:9" x14ac:dyDescent="0.2">
      <c r="A13738" s="1" t="str">
        <f>"PPFIA2"</f>
        <v>PPFIA2</v>
      </c>
      <c r="B13738" t="s">
        <v>1366</v>
      </c>
      <c r="C13738" t="s">
        <v>16</v>
      </c>
      <c r="D13738" t="s">
        <v>11</v>
      </c>
      <c r="E13738" t="s">
        <v>35</v>
      </c>
      <c r="F13738">
        <v>82152583</v>
      </c>
      <c r="G13738">
        <v>82152598</v>
      </c>
      <c r="H13738">
        <v>82152254</v>
      </c>
      <c r="I13738">
        <v>82152268</v>
      </c>
    </row>
    <row r="13739" spans="1:9" x14ac:dyDescent="0.2">
      <c r="A13739" s="1" t="str">
        <f>"PPFIA2"</f>
        <v>PPFIA2</v>
      </c>
      <c r="B13739" t="s">
        <v>1367</v>
      </c>
      <c r="C13739" t="s">
        <v>16</v>
      </c>
      <c r="D13739" t="s">
        <v>11</v>
      </c>
      <c r="E13739" t="s">
        <v>35</v>
      </c>
      <c r="F13739">
        <v>82153298</v>
      </c>
      <c r="G13739">
        <v>82153309</v>
      </c>
      <c r="H13739">
        <v>82153087</v>
      </c>
      <c r="I13739">
        <v>82153138</v>
      </c>
    </row>
    <row r="13740" spans="1:9" x14ac:dyDescent="0.2">
      <c r="A13740" s="1" t="str">
        <f>"PPFIA3"</f>
        <v>PPFIA3</v>
      </c>
      <c r="B13740" t="s">
        <v>9</v>
      </c>
      <c r="C13740" t="s">
        <v>10</v>
      </c>
      <c r="D13740" t="s">
        <v>17</v>
      </c>
      <c r="E13740" t="s">
        <v>12</v>
      </c>
      <c r="F13740">
        <v>49631821</v>
      </c>
      <c r="G13740">
        <v>49631855</v>
      </c>
      <c r="H13740">
        <v>49631821</v>
      </c>
      <c r="I13740">
        <v>49631855</v>
      </c>
    </row>
    <row r="13741" spans="1:9" x14ac:dyDescent="0.2">
      <c r="A13741" s="1" t="str">
        <f>"PPFIA3"</f>
        <v>PPFIA3</v>
      </c>
      <c r="B13741" t="s">
        <v>13</v>
      </c>
      <c r="C13741" t="s">
        <v>10</v>
      </c>
      <c r="D13741" t="s">
        <v>17</v>
      </c>
      <c r="E13741" t="s">
        <v>12</v>
      </c>
      <c r="F13741">
        <v>49622787</v>
      </c>
      <c r="G13741">
        <v>49622854</v>
      </c>
      <c r="H13741">
        <v>49622787</v>
      </c>
      <c r="I13741">
        <v>49622854</v>
      </c>
    </row>
    <row r="13742" spans="1:9" x14ac:dyDescent="0.2">
      <c r="A13742" s="1" t="str">
        <f>"PPFIA4"</f>
        <v>PPFIA4</v>
      </c>
      <c r="B13742" t="s">
        <v>14</v>
      </c>
      <c r="C13742" t="s">
        <v>19</v>
      </c>
      <c r="D13742" t="s">
        <v>17</v>
      </c>
      <c r="E13742" t="s">
        <v>12</v>
      </c>
      <c r="F13742">
        <v>202995611</v>
      </c>
      <c r="G13742">
        <v>202995680</v>
      </c>
      <c r="H13742">
        <v>202995547</v>
      </c>
      <c r="I13742">
        <v>202995549</v>
      </c>
    </row>
    <row r="13743" spans="1:9" x14ac:dyDescent="0.2">
      <c r="A13743" s="1" t="str">
        <f>"PPFIBP1"</f>
        <v>PPFIBP1</v>
      </c>
      <c r="B13743" t="s">
        <v>14</v>
      </c>
      <c r="C13743" t="s">
        <v>16</v>
      </c>
      <c r="D13743" t="s">
        <v>17</v>
      </c>
      <c r="E13743" t="s">
        <v>12</v>
      </c>
      <c r="F13743">
        <v>27677085</v>
      </c>
      <c r="G13743">
        <v>27677155</v>
      </c>
      <c r="H13743">
        <v>27677085</v>
      </c>
      <c r="I13743">
        <v>27677155</v>
      </c>
    </row>
    <row r="13744" spans="1:9" x14ac:dyDescent="0.2">
      <c r="A13744" s="1" t="str">
        <f>"PPFIBP2"</f>
        <v>PPFIBP2</v>
      </c>
      <c r="B13744" t="s">
        <v>14</v>
      </c>
      <c r="C13744" t="s">
        <v>27</v>
      </c>
      <c r="D13744" t="s">
        <v>17</v>
      </c>
      <c r="E13744" t="s">
        <v>12</v>
      </c>
      <c r="F13744">
        <v>7535198</v>
      </c>
      <c r="G13744">
        <v>7535251</v>
      </c>
      <c r="H13744">
        <v>7535162</v>
      </c>
      <c r="I13744">
        <v>7535194</v>
      </c>
    </row>
    <row r="13745" spans="1:9" x14ac:dyDescent="0.2">
      <c r="A13745" s="1" t="str">
        <f>"PPHLN1"</f>
        <v>PPHLN1</v>
      </c>
      <c r="B13745" t="s">
        <v>14</v>
      </c>
      <c r="C13745" t="s">
        <v>16</v>
      </c>
      <c r="D13745" t="s">
        <v>17</v>
      </c>
      <c r="E13745" t="s">
        <v>12</v>
      </c>
      <c r="F13745">
        <v>42719947</v>
      </c>
      <c r="G13745">
        <v>42719983</v>
      </c>
      <c r="H13745">
        <v>42719984</v>
      </c>
      <c r="I13745">
        <v>42719998</v>
      </c>
    </row>
    <row r="13746" spans="1:9" x14ac:dyDescent="0.2">
      <c r="A13746" s="1" t="str">
        <f>"PPIA"</f>
        <v>PPIA</v>
      </c>
      <c r="B13746" t="s">
        <v>14</v>
      </c>
      <c r="C13746" t="s">
        <v>33</v>
      </c>
      <c r="D13746" t="s">
        <v>17</v>
      </c>
      <c r="E13746" t="s">
        <v>12</v>
      </c>
      <c r="F13746">
        <v>44836276</v>
      </c>
      <c r="G13746">
        <v>44836283</v>
      </c>
      <c r="H13746">
        <v>44837157</v>
      </c>
      <c r="I13746">
        <v>44837169</v>
      </c>
    </row>
    <row r="13747" spans="1:9" x14ac:dyDescent="0.2">
      <c r="A13747" s="1" t="str">
        <f>"PPIAL4A"</f>
        <v>PPIAL4A</v>
      </c>
      <c r="B13747" t="s">
        <v>1368</v>
      </c>
      <c r="C13747" t="s">
        <v>19</v>
      </c>
      <c r="D13747" t="s">
        <v>11</v>
      </c>
      <c r="E13747" t="s">
        <v>20</v>
      </c>
      <c r="F13747">
        <v>147955418</v>
      </c>
      <c r="G13747">
        <v>147955418</v>
      </c>
      <c r="H13747">
        <v>147955418</v>
      </c>
      <c r="I13747">
        <v>147955418</v>
      </c>
    </row>
    <row r="13748" spans="1:9" x14ac:dyDescent="0.2">
      <c r="A13748" s="1" t="str">
        <f>"PPIAL4C"</f>
        <v>PPIAL4C</v>
      </c>
      <c r="B13748" t="s">
        <v>1369</v>
      </c>
      <c r="C13748" t="s">
        <v>19</v>
      </c>
      <c r="D13748" t="s">
        <v>17</v>
      </c>
      <c r="E13748" t="s">
        <v>20</v>
      </c>
      <c r="F13748">
        <v>149553002</v>
      </c>
      <c r="G13748">
        <v>149553002</v>
      </c>
      <c r="H13748">
        <v>149553002</v>
      </c>
      <c r="I13748">
        <v>149553002</v>
      </c>
    </row>
    <row r="13749" spans="1:9" x14ac:dyDescent="0.2">
      <c r="A13749" s="1" t="str">
        <f>"PPIAL4D"</f>
        <v>PPIAL4D</v>
      </c>
      <c r="B13749" t="s">
        <v>1370</v>
      </c>
      <c r="C13749" t="s">
        <v>19</v>
      </c>
      <c r="D13749" t="s">
        <v>11</v>
      </c>
      <c r="E13749" t="s">
        <v>20</v>
      </c>
      <c r="F13749">
        <v>148202535</v>
      </c>
      <c r="G13749">
        <v>148202535</v>
      </c>
      <c r="H13749">
        <v>148202535</v>
      </c>
      <c r="I13749">
        <v>148202535</v>
      </c>
    </row>
    <row r="13750" spans="1:9" x14ac:dyDescent="0.2">
      <c r="A13750" s="1" t="str">
        <f>"PPIAL4G"</f>
        <v>PPIAL4G</v>
      </c>
      <c r="B13750" t="s">
        <v>1371</v>
      </c>
      <c r="C13750" t="s">
        <v>19</v>
      </c>
      <c r="D13750" t="s">
        <v>11</v>
      </c>
      <c r="E13750" t="s">
        <v>20</v>
      </c>
      <c r="F13750">
        <v>143767880</v>
      </c>
      <c r="G13750">
        <v>143767880</v>
      </c>
      <c r="H13750">
        <v>143767880</v>
      </c>
      <c r="I13750">
        <v>143767880</v>
      </c>
    </row>
    <row r="13751" spans="1:9" x14ac:dyDescent="0.2">
      <c r="A13751" s="1" t="str">
        <f>"PPIB"</f>
        <v>PPIB</v>
      </c>
      <c r="B13751" t="s">
        <v>14</v>
      </c>
      <c r="C13751" t="s">
        <v>25</v>
      </c>
      <c r="D13751" t="s">
        <v>11</v>
      </c>
      <c r="E13751" t="s">
        <v>12</v>
      </c>
      <c r="F13751">
        <v>64455164</v>
      </c>
      <c r="G13751">
        <v>64455227</v>
      </c>
      <c r="H13751">
        <v>64455164</v>
      </c>
      <c r="I13751">
        <v>64455227</v>
      </c>
    </row>
    <row r="13752" spans="1:9" x14ac:dyDescent="0.2">
      <c r="A13752" s="1" t="str">
        <f>"PPIC"</f>
        <v>PPIC</v>
      </c>
      <c r="B13752" t="s">
        <v>14</v>
      </c>
      <c r="C13752" t="s">
        <v>46</v>
      </c>
      <c r="D13752" t="s">
        <v>11</v>
      </c>
      <c r="E13752" t="s">
        <v>12</v>
      </c>
      <c r="F13752">
        <v>122372354</v>
      </c>
      <c r="G13752">
        <v>122372440</v>
      </c>
      <c r="H13752">
        <v>122372331</v>
      </c>
      <c r="I13752">
        <v>122372343</v>
      </c>
    </row>
    <row r="13753" spans="1:9" x14ac:dyDescent="0.2">
      <c r="A13753" s="1" t="str">
        <f>"PPID"</f>
        <v>PPID</v>
      </c>
      <c r="B13753" t="s">
        <v>14</v>
      </c>
      <c r="C13753" t="s">
        <v>23</v>
      </c>
      <c r="D13753" t="s">
        <v>11</v>
      </c>
      <c r="E13753" t="s">
        <v>12</v>
      </c>
      <c r="F13753">
        <v>159644507</v>
      </c>
      <c r="G13753">
        <v>159644584</v>
      </c>
      <c r="H13753">
        <v>159644465</v>
      </c>
      <c r="I13753">
        <v>159644491</v>
      </c>
    </row>
    <row r="13754" spans="1:9" x14ac:dyDescent="0.2">
      <c r="A13754" s="1" t="str">
        <f>"PPIE"</f>
        <v>PPIE</v>
      </c>
      <c r="B13754" t="s">
        <v>14</v>
      </c>
      <c r="C13754" t="s">
        <v>19</v>
      </c>
      <c r="D13754" t="s">
        <v>17</v>
      </c>
      <c r="E13754" t="s">
        <v>12</v>
      </c>
      <c r="F13754">
        <v>40204538</v>
      </c>
      <c r="G13754">
        <v>40204571</v>
      </c>
      <c r="H13754">
        <v>40204538</v>
      </c>
      <c r="I13754">
        <v>40204571</v>
      </c>
    </row>
    <row r="13755" spans="1:9" x14ac:dyDescent="0.2">
      <c r="A13755" s="1" t="str">
        <f>"PPIF"</f>
        <v>PPIF</v>
      </c>
      <c r="B13755" t="s">
        <v>14</v>
      </c>
      <c r="C13755" t="s">
        <v>15</v>
      </c>
      <c r="D13755" t="s">
        <v>17</v>
      </c>
      <c r="E13755" t="s">
        <v>12</v>
      </c>
      <c r="F13755">
        <v>81107216</v>
      </c>
      <c r="G13755">
        <v>81107237</v>
      </c>
      <c r="H13755">
        <v>81107271</v>
      </c>
      <c r="I13755">
        <v>81107296</v>
      </c>
    </row>
    <row r="13756" spans="1:9" x14ac:dyDescent="0.2">
      <c r="A13756" s="1" t="str">
        <f>"PPIG"</f>
        <v>PPIG</v>
      </c>
      <c r="B13756" t="s">
        <v>14</v>
      </c>
      <c r="C13756" t="s">
        <v>26</v>
      </c>
      <c r="D13756" t="s">
        <v>17</v>
      </c>
      <c r="E13756" t="s">
        <v>12</v>
      </c>
      <c r="F13756">
        <v>170440844</v>
      </c>
      <c r="G13756">
        <v>170440893</v>
      </c>
      <c r="H13756">
        <v>170441293</v>
      </c>
      <c r="I13756">
        <v>170441324</v>
      </c>
    </row>
    <row r="13757" spans="1:9" x14ac:dyDescent="0.2">
      <c r="A13757" s="1" t="str">
        <f>"PPIH"</f>
        <v>PPIH</v>
      </c>
      <c r="B13757" t="s">
        <v>14</v>
      </c>
      <c r="C13757" t="s">
        <v>19</v>
      </c>
      <c r="D13757" t="s">
        <v>17</v>
      </c>
      <c r="E13757" t="s">
        <v>12</v>
      </c>
      <c r="F13757">
        <v>43124087</v>
      </c>
      <c r="G13757">
        <v>43124112</v>
      </c>
      <c r="H13757">
        <v>43124368</v>
      </c>
      <c r="I13757">
        <v>43124393</v>
      </c>
    </row>
    <row r="13758" spans="1:9" x14ac:dyDescent="0.2">
      <c r="A13758" s="1" t="str">
        <f>"PPIL1"</f>
        <v>PPIL1</v>
      </c>
      <c r="B13758" t="s">
        <v>14</v>
      </c>
      <c r="C13758" t="s">
        <v>32</v>
      </c>
      <c r="D13758" t="s">
        <v>11</v>
      </c>
      <c r="E13758" t="s">
        <v>12</v>
      </c>
      <c r="F13758">
        <v>36842561</v>
      </c>
      <c r="G13758">
        <v>36842591</v>
      </c>
      <c r="H13758">
        <v>36842747</v>
      </c>
      <c r="I13758">
        <v>36842775</v>
      </c>
    </row>
    <row r="13759" spans="1:9" x14ac:dyDescent="0.2">
      <c r="A13759" s="1" t="str">
        <f>"PPIL2"</f>
        <v>PPIL2</v>
      </c>
      <c r="B13759" t="s">
        <v>14</v>
      </c>
      <c r="C13759" t="s">
        <v>21</v>
      </c>
      <c r="D13759" t="s">
        <v>17</v>
      </c>
      <c r="E13759" t="s">
        <v>12</v>
      </c>
      <c r="F13759">
        <v>22020283</v>
      </c>
      <c r="G13759">
        <v>22020344</v>
      </c>
      <c r="H13759">
        <v>22020353</v>
      </c>
      <c r="I13759">
        <v>22020364</v>
      </c>
    </row>
    <row r="13760" spans="1:9" x14ac:dyDescent="0.2">
      <c r="A13760" s="1" t="str">
        <f>"PPIL3"</f>
        <v>PPIL3</v>
      </c>
      <c r="B13760" t="s">
        <v>14</v>
      </c>
      <c r="C13760" t="s">
        <v>26</v>
      </c>
      <c r="D13760" t="s">
        <v>11</v>
      </c>
      <c r="E13760" t="s">
        <v>12</v>
      </c>
      <c r="F13760">
        <v>201753980</v>
      </c>
      <c r="G13760">
        <v>201754020</v>
      </c>
      <c r="H13760">
        <v>201753752</v>
      </c>
      <c r="I13760">
        <v>201753821</v>
      </c>
    </row>
    <row r="13761" spans="1:9" x14ac:dyDescent="0.2">
      <c r="A13761" s="1" t="str">
        <f>"PPIL4"</f>
        <v>PPIL4</v>
      </c>
      <c r="B13761" t="s">
        <v>14</v>
      </c>
      <c r="C13761" t="s">
        <v>32</v>
      </c>
      <c r="D13761" t="s">
        <v>11</v>
      </c>
      <c r="E13761" t="s">
        <v>12</v>
      </c>
      <c r="F13761">
        <v>149867122</v>
      </c>
      <c r="G13761">
        <v>149867201</v>
      </c>
      <c r="H13761">
        <v>149867206</v>
      </c>
      <c r="I13761">
        <v>149867224</v>
      </c>
    </row>
    <row r="13762" spans="1:9" x14ac:dyDescent="0.2">
      <c r="A13762" s="1" t="str">
        <f>"PPIL6"</f>
        <v>PPIL6</v>
      </c>
      <c r="B13762" t="s">
        <v>14</v>
      </c>
      <c r="C13762" t="s">
        <v>32</v>
      </c>
      <c r="D13762" t="s">
        <v>11</v>
      </c>
      <c r="E13762" t="s">
        <v>12</v>
      </c>
      <c r="F13762">
        <v>109761774</v>
      </c>
      <c r="G13762">
        <v>109761866</v>
      </c>
      <c r="H13762">
        <v>109761983</v>
      </c>
      <c r="I13762">
        <v>109762011</v>
      </c>
    </row>
    <row r="13763" spans="1:9" x14ac:dyDescent="0.2">
      <c r="A13763" s="1" t="str">
        <f>"PPIP5K1"</f>
        <v>PPIP5K1</v>
      </c>
      <c r="B13763" t="s">
        <v>1372</v>
      </c>
      <c r="C13763" t="s">
        <v>25</v>
      </c>
      <c r="D13763" t="s">
        <v>11</v>
      </c>
      <c r="E13763" t="s">
        <v>20</v>
      </c>
      <c r="F13763">
        <v>43882392</v>
      </c>
      <c r="G13763">
        <v>43882392</v>
      </c>
      <c r="H13763">
        <v>43882392</v>
      </c>
      <c r="I13763">
        <v>43882392</v>
      </c>
    </row>
    <row r="13764" spans="1:9" x14ac:dyDescent="0.2">
      <c r="A13764" s="1" t="str">
        <f>"PPIP5K1"</f>
        <v>PPIP5K1</v>
      </c>
      <c r="B13764" t="s">
        <v>1373</v>
      </c>
      <c r="C13764" t="s">
        <v>25</v>
      </c>
      <c r="D13764" t="s">
        <v>11</v>
      </c>
      <c r="E13764" t="s">
        <v>20</v>
      </c>
      <c r="F13764">
        <v>43876701</v>
      </c>
      <c r="G13764">
        <v>43876701</v>
      </c>
      <c r="H13764">
        <v>43876701</v>
      </c>
      <c r="I13764">
        <v>43876701</v>
      </c>
    </row>
    <row r="13765" spans="1:9" x14ac:dyDescent="0.2">
      <c r="A13765" s="1" t="str">
        <f>"PPIP5K1"</f>
        <v>PPIP5K1</v>
      </c>
      <c r="B13765" t="s">
        <v>1374</v>
      </c>
      <c r="C13765" t="s">
        <v>25</v>
      </c>
      <c r="D13765" t="s">
        <v>11</v>
      </c>
      <c r="E13765" t="s">
        <v>20</v>
      </c>
      <c r="F13765">
        <v>43877075</v>
      </c>
      <c r="G13765">
        <v>43877075</v>
      </c>
      <c r="H13765">
        <v>43877075</v>
      </c>
      <c r="I13765">
        <v>43877075</v>
      </c>
    </row>
    <row r="13766" spans="1:9" x14ac:dyDescent="0.2">
      <c r="A13766" s="1" t="str">
        <f>"PPIP5K2"</f>
        <v>PPIP5K2</v>
      </c>
      <c r="B13766" t="s">
        <v>14</v>
      </c>
      <c r="C13766" t="s">
        <v>46</v>
      </c>
      <c r="D13766" t="s">
        <v>17</v>
      </c>
      <c r="E13766" t="s">
        <v>12</v>
      </c>
      <c r="F13766">
        <v>102456019</v>
      </c>
      <c r="G13766">
        <v>102456075</v>
      </c>
      <c r="H13766">
        <v>102455968</v>
      </c>
      <c r="I13766">
        <v>102456013</v>
      </c>
    </row>
    <row r="13767" spans="1:9" x14ac:dyDescent="0.2">
      <c r="A13767" s="1" t="str">
        <f>"PPL"</f>
        <v>PPL</v>
      </c>
      <c r="B13767" t="s">
        <v>14</v>
      </c>
      <c r="C13767" t="s">
        <v>31</v>
      </c>
      <c r="D13767" t="s">
        <v>11</v>
      </c>
      <c r="E13767" t="s">
        <v>12</v>
      </c>
      <c r="F13767">
        <v>4987129</v>
      </c>
      <c r="G13767">
        <v>4987156</v>
      </c>
      <c r="H13767">
        <v>4987202</v>
      </c>
      <c r="I13767">
        <v>4987221</v>
      </c>
    </row>
    <row r="13768" spans="1:9" x14ac:dyDescent="0.2">
      <c r="A13768" s="1" t="str">
        <f>"PPM1A"</f>
        <v>PPM1A</v>
      </c>
      <c r="B13768" t="s">
        <v>14</v>
      </c>
      <c r="C13768" t="s">
        <v>41</v>
      </c>
      <c r="D13768" t="s">
        <v>17</v>
      </c>
      <c r="E13768" t="s">
        <v>12</v>
      </c>
      <c r="F13768">
        <v>60715928</v>
      </c>
      <c r="G13768">
        <v>60716007</v>
      </c>
      <c r="H13768">
        <v>60715908</v>
      </c>
      <c r="I13768">
        <v>60715926</v>
      </c>
    </row>
    <row r="13769" spans="1:9" x14ac:dyDescent="0.2">
      <c r="A13769" s="1" t="str">
        <f>"PPM1B"</f>
        <v>PPM1B</v>
      </c>
      <c r="B13769" t="s">
        <v>14</v>
      </c>
      <c r="C13769" t="s">
        <v>26</v>
      </c>
      <c r="D13769" t="s">
        <v>17</v>
      </c>
      <c r="E13769" t="s">
        <v>12</v>
      </c>
      <c r="F13769">
        <v>44396005</v>
      </c>
      <c r="G13769">
        <v>44396053</v>
      </c>
      <c r="H13769">
        <v>44396301</v>
      </c>
      <c r="I13769">
        <v>44396320</v>
      </c>
    </row>
    <row r="13770" spans="1:9" x14ac:dyDescent="0.2">
      <c r="A13770" s="1" t="str">
        <f>"PPM1D"</f>
        <v>PPM1D</v>
      </c>
      <c r="B13770" t="s">
        <v>14</v>
      </c>
      <c r="C13770" t="s">
        <v>28</v>
      </c>
      <c r="D13770" t="s">
        <v>17</v>
      </c>
      <c r="E13770" t="s">
        <v>12</v>
      </c>
      <c r="F13770">
        <v>58677539</v>
      </c>
      <c r="G13770">
        <v>58677610</v>
      </c>
      <c r="H13770">
        <v>58677652</v>
      </c>
      <c r="I13770">
        <v>58677698</v>
      </c>
    </row>
    <row r="13771" spans="1:9" x14ac:dyDescent="0.2">
      <c r="A13771" s="1" t="str">
        <f>"PPM1E"</f>
        <v>PPM1E</v>
      </c>
      <c r="B13771" t="s">
        <v>14</v>
      </c>
      <c r="C13771" t="s">
        <v>28</v>
      </c>
      <c r="D13771" t="s">
        <v>17</v>
      </c>
      <c r="E13771" t="s">
        <v>12</v>
      </c>
      <c r="F13771">
        <v>56833184</v>
      </c>
      <c r="G13771">
        <v>56833249</v>
      </c>
      <c r="H13771">
        <v>56833482</v>
      </c>
      <c r="I13771">
        <v>56833510</v>
      </c>
    </row>
    <row r="13772" spans="1:9" x14ac:dyDescent="0.2">
      <c r="A13772" s="1" t="str">
        <f>"PPM1F"</f>
        <v>PPM1F</v>
      </c>
      <c r="B13772" t="s">
        <v>14</v>
      </c>
      <c r="C13772" t="s">
        <v>21</v>
      </c>
      <c r="D13772" t="s">
        <v>11</v>
      </c>
      <c r="E13772" t="s">
        <v>12</v>
      </c>
      <c r="F13772">
        <v>22307199</v>
      </c>
      <c r="G13772">
        <v>22307242</v>
      </c>
      <c r="H13772">
        <v>22307182</v>
      </c>
      <c r="I13772">
        <v>22307197</v>
      </c>
    </row>
    <row r="13773" spans="1:9" x14ac:dyDescent="0.2">
      <c r="A13773" s="1" t="str">
        <f>"PPM1G"</f>
        <v>PPM1G</v>
      </c>
      <c r="B13773" t="s">
        <v>9</v>
      </c>
      <c r="C13773" t="s">
        <v>26</v>
      </c>
      <c r="D13773" t="s">
        <v>11</v>
      </c>
      <c r="E13773" t="s">
        <v>12</v>
      </c>
      <c r="F13773">
        <v>27632390</v>
      </c>
      <c r="G13773">
        <v>27632486</v>
      </c>
      <c r="H13773">
        <v>27632390</v>
      </c>
      <c r="I13773">
        <v>27632486</v>
      </c>
    </row>
    <row r="13774" spans="1:9" x14ac:dyDescent="0.2">
      <c r="A13774" s="1" t="str">
        <f>"PPM1G"</f>
        <v>PPM1G</v>
      </c>
      <c r="B13774" t="s">
        <v>13</v>
      </c>
      <c r="C13774" t="s">
        <v>26</v>
      </c>
      <c r="D13774" t="s">
        <v>11</v>
      </c>
      <c r="E13774" t="s">
        <v>12</v>
      </c>
      <c r="F13774">
        <v>27607641</v>
      </c>
      <c r="G13774">
        <v>27607663</v>
      </c>
      <c r="H13774">
        <v>27607641</v>
      </c>
      <c r="I13774">
        <v>27607663</v>
      </c>
    </row>
    <row r="13775" spans="1:9" x14ac:dyDescent="0.2">
      <c r="A13775" s="1" t="str">
        <f>"PPM1H"</f>
        <v>PPM1H</v>
      </c>
      <c r="B13775" t="s">
        <v>14</v>
      </c>
      <c r="C13775" t="s">
        <v>16</v>
      </c>
      <c r="D13775" t="s">
        <v>11</v>
      </c>
      <c r="E13775" t="s">
        <v>12</v>
      </c>
      <c r="F13775">
        <v>63328897</v>
      </c>
      <c r="G13775">
        <v>63328942</v>
      </c>
      <c r="H13775">
        <v>63328853</v>
      </c>
      <c r="I13775">
        <v>63328870</v>
      </c>
    </row>
    <row r="13776" spans="1:9" x14ac:dyDescent="0.2">
      <c r="A13776" s="1" t="str">
        <f>"PPM1J"</f>
        <v>PPM1J</v>
      </c>
      <c r="B13776" t="s">
        <v>14</v>
      </c>
      <c r="C13776" t="s">
        <v>19</v>
      </c>
      <c r="D13776" t="s">
        <v>11</v>
      </c>
      <c r="E13776" t="s">
        <v>12</v>
      </c>
      <c r="F13776">
        <v>113257905</v>
      </c>
      <c r="G13776">
        <v>113257958</v>
      </c>
      <c r="H13776">
        <v>113257796</v>
      </c>
      <c r="I13776">
        <v>113257811</v>
      </c>
    </row>
    <row r="13777" spans="1:9" x14ac:dyDescent="0.2">
      <c r="A13777" s="1" t="str">
        <f>"PPM1K"</f>
        <v>PPM1K</v>
      </c>
      <c r="B13777" t="s">
        <v>14</v>
      </c>
      <c r="C13777" t="s">
        <v>23</v>
      </c>
      <c r="D13777" t="s">
        <v>11</v>
      </c>
      <c r="E13777" t="s">
        <v>12</v>
      </c>
      <c r="F13777">
        <v>89205705</v>
      </c>
      <c r="G13777">
        <v>89205720</v>
      </c>
      <c r="H13777">
        <v>89205847</v>
      </c>
      <c r="I13777">
        <v>89205873</v>
      </c>
    </row>
    <row r="13778" spans="1:9" x14ac:dyDescent="0.2">
      <c r="A13778" s="1" t="str">
        <f>"PPM1L"</f>
        <v>PPM1L</v>
      </c>
      <c r="B13778" t="s">
        <v>14</v>
      </c>
      <c r="C13778" t="s">
        <v>22</v>
      </c>
      <c r="D13778" t="s">
        <v>17</v>
      </c>
      <c r="E13778" t="s">
        <v>12</v>
      </c>
      <c r="F13778">
        <v>160473343</v>
      </c>
      <c r="G13778">
        <v>160473400</v>
      </c>
      <c r="H13778">
        <v>160473403</v>
      </c>
      <c r="I13778">
        <v>160473426</v>
      </c>
    </row>
    <row r="13779" spans="1:9" x14ac:dyDescent="0.2">
      <c r="A13779" s="1" t="str">
        <f>"PPM1M"</f>
        <v>PPM1M</v>
      </c>
      <c r="B13779" t="s">
        <v>14</v>
      </c>
      <c r="C13779" t="s">
        <v>22</v>
      </c>
      <c r="D13779" t="s">
        <v>17</v>
      </c>
      <c r="E13779" t="s">
        <v>12</v>
      </c>
      <c r="F13779">
        <v>52279737</v>
      </c>
      <c r="G13779">
        <v>52279833</v>
      </c>
      <c r="H13779">
        <v>52280173</v>
      </c>
      <c r="I13779">
        <v>52280217</v>
      </c>
    </row>
    <row r="13780" spans="1:9" x14ac:dyDescent="0.2">
      <c r="A13780" s="1" t="str">
        <f>"PPM1N"</f>
        <v>PPM1N</v>
      </c>
      <c r="B13780" t="s">
        <v>14</v>
      </c>
      <c r="C13780" t="s">
        <v>10</v>
      </c>
      <c r="D13780" t="s">
        <v>17</v>
      </c>
      <c r="E13780" t="s">
        <v>12</v>
      </c>
      <c r="F13780">
        <v>46000479</v>
      </c>
      <c r="G13780">
        <v>46000502</v>
      </c>
      <c r="H13780">
        <v>46000506</v>
      </c>
      <c r="I13780">
        <v>46000536</v>
      </c>
    </row>
    <row r="13781" spans="1:9" x14ac:dyDescent="0.2">
      <c r="A13781" s="1" t="str">
        <f>"PPME1"</f>
        <v>PPME1</v>
      </c>
      <c r="B13781" t="s">
        <v>14</v>
      </c>
      <c r="C13781" t="s">
        <v>27</v>
      </c>
      <c r="D13781" t="s">
        <v>17</v>
      </c>
      <c r="E13781" t="s">
        <v>12</v>
      </c>
      <c r="F13781">
        <v>73882311</v>
      </c>
      <c r="G13781">
        <v>73882413</v>
      </c>
      <c r="H13781">
        <v>73882435</v>
      </c>
      <c r="I13781">
        <v>73882470</v>
      </c>
    </row>
    <row r="13782" spans="1:9" x14ac:dyDescent="0.2">
      <c r="A13782" s="1" t="str">
        <f>"PPOX"</f>
        <v>PPOX</v>
      </c>
      <c r="B13782" t="s">
        <v>14</v>
      </c>
      <c r="C13782" t="s">
        <v>19</v>
      </c>
      <c r="D13782" t="s">
        <v>17</v>
      </c>
      <c r="E13782" t="s">
        <v>12</v>
      </c>
      <c r="F13782">
        <v>161136180</v>
      </c>
      <c r="G13782">
        <v>161136313</v>
      </c>
      <c r="H13782">
        <v>161136451</v>
      </c>
      <c r="I13782">
        <v>161136467</v>
      </c>
    </row>
    <row r="13783" spans="1:9" x14ac:dyDescent="0.2">
      <c r="A13783" s="1" t="str">
        <f>"PPP1CA"</f>
        <v>PPP1CA</v>
      </c>
      <c r="B13783" t="s">
        <v>9</v>
      </c>
      <c r="C13783" t="s">
        <v>27</v>
      </c>
      <c r="D13783" t="s">
        <v>11</v>
      </c>
      <c r="E13783" t="s">
        <v>12</v>
      </c>
      <c r="F13783">
        <v>67169265</v>
      </c>
      <c r="G13783">
        <v>67169355</v>
      </c>
      <c r="H13783">
        <v>67169265</v>
      </c>
      <c r="I13783">
        <v>67169355</v>
      </c>
    </row>
    <row r="13784" spans="1:9" x14ac:dyDescent="0.2">
      <c r="A13784" s="1" t="str">
        <f>"PPP1CA"</f>
        <v>PPP1CA</v>
      </c>
      <c r="B13784" t="s">
        <v>13</v>
      </c>
      <c r="C13784" t="s">
        <v>27</v>
      </c>
      <c r="D13784" t="s">
        <v>11</v>
      </c>
      <c r="E13784" t="s">
        <v>12</v>
      </c>
      <c r="F13784">
        <v>67188642</v>
      </c>
      <c r="G13784">
        <v>67188666</v>
      </c>
      <c r="H13784">
        <v>67188642</v>
      </c>
      <c r="I13784">
        <v>67188666</v>
      </c>
    </row>
    <row r="13785" spans="1:9" x14ac:dyDescent="0.2">
      <c r="A13785" s="1" t="str">
        <f>"PPP1CB"</f>
        <v>PPP1CB</v>
      </c>
      <c r="B13785" t="s">
        <v>14</v>
      </c>
      <c r="C13785" t="s">
        <v>26</v>
      </c>
      <c r="D13785" t="s">
        <v>17</v>
      </c>
      <c r="E13785" t="s">
        <v>12</v>
      </c>
      <c r="F13785">
        <v>28974859</v>
      </c>
      <c r="G13785">
        <v>28974994</v>
      </c>
      <c r="H13785">
        <v>28974668</v>
      </c>
      <c r="I13785">
        <v>28974729</v>
      </c>
    </row>
    <row r="13786" spans="1:9" x14ac:dyDescent="0.2">
      <c r="A13786" s="1" t="str">
        <f>"PPP1CC"</f>
        <v>PPP1CC</v>
      </c>
      <c r="B13786" t="s">
        <v>14</v>
      </c>
      <c r="C13786" t="s">
        <v>16</v>
      </c>
      <c r="D13786" t="s">
        <v>11</v>
      </c>
      <c r="E13786" t="s">
        <v>12</v>
      </c>
      <c r="F13786">
        <v>111180684</v>
      </c>
      <c r="G13786">
        <v>111180710</v>
      </c>
      <c r="H13786">
        <v>111180684</v>
      </c>
      <c r="I13786">
        <v>111180710</v>
      </c>
    </row>
    <row r="13787" spans="1:9" x14ac:dyDescent="0.2">
      <c r="A13787" s="1" t="str">
        <f>"PPP1R10"</f>
        <v>PPP1R10</v>
      </c>
      <c r="B13787" t="s">
        <v>14</v>
      </c>
      <c r="C13787" t="s">
        <v>32</v>
      </c>
      <c r="D13787" t="s">
        <v>11</v>
      </c>
      <c r="E13787" t="s">
        <v>12</v>
      </c>
      <c r="F13787">
        <v>30585009</v>
      </c>
      <c r="G13787">
        <v>30585028</v>
      </c>
      <c r="H13787">
        <v>30584663</v>
      </c>
      <c r="I13787">
        <v>30584682</v>
      </c>
    </row>
    <row r="13788" spans="1:9" x14ac:dyDescent="0.2">
      <c r="A13788" s="1" t="str">
        <f>"PPP1R11"</f>
        <v>PPP1R11</v>
      </c>
      <c r="B13788" t="s">
        <v>14</v>
      </c>
      <c r="C13788" t="s">
        <v>32</v>
      </c>
      <c r="D13788" t="s">
        <v>17</v>
      </c>
      <c r="E13788" t="s">
        <v>12</v>
      </c>
      <c r="F13788">
        <v>30034966</v>
      </c>
      <c r="G13788">
        <v>30035030</v>
      </c>
      <c r="H13788">
        <v>30035053</v>
      </c>
      <c r="I13788">
        <v>30035065</v>
      </c>
    </row>
    <row r="13789" spans="1:9" x14ac:dyDescent="0.2">
      <c r="A13789" s="1" t="str">
        <f>"PPP1R12A"</f>
        <v>PPP1R12A</v>
      </c>
      <c r="B13789" t="s">
        <v>14</v>
      </c>
      <c r="C13789" t="s">
        <v>16</v>
      </c>
      <c r="D13789" t="s">
        <v>11</v>
      </c>
      <c r="E13789" t="s">
        <v>12</v>
      </c>
      <c r="F13789">
        <v>80328850</v>
      </c>
      <c r="G13789">
        <v>80328893</v>
      </c>
      <c r="H13789">
        <v>80328700</v>
      </c>
      <c r="I13789">
        <v>80328751</v>
      </c>
    </row>
    <row r="13790" spans="1:9" x14ac:dyDescent="0.2">
      <c r="A13790" s="1" t="str">
        <f>"PPP1R12B"</f>
        <v>PPP1R12B</v>
      </c>
      <c r="B13790" t="s">
        <v>14</v>
      </c>
      <c r="C13790" t="s">
        <v>19</v>
      </c>
      <c r="D13790" t="s">
        <v>17</v>
      </c>
      <c r="E13790" t="s">
        <v>12</v>
      </c>
      <c r="F13790">
        <v>202317815</v>
      </c>
      <c r="G13790">
        <v>202317854</v>
      </c>
      <c r="H13790">
        <v>202317869</v>
      </c>
      <c r="I13790">
        <v>202317884</v>
      </c>
    </row>
    <row r="13791" spans="1:9" x14ac:dyDescent="0.2">
      <c r="A13791" s="1" t="str">
        <f>"PPP1R12C"</f>
        <v>PPP1R12C</v>
      </c>
      <c r="B13791" t="s">
        <v>14</v>
      </c>
      <c r="C13791" t="s">
        <v>10</v>
      </c>
      <c r="D13791" t="s">
        <v>11</v>
      </c>
      <c r="E13791" t="s">
        <v>12</v>
      </c>
      <c r="F13791">
        <v>55628995</v>
      </c>
      <c r="G13791">
        <v>55629013</v>
      </c>
      <c r="H13791">
        <v>55628962</v>
      </c>
      <c r="I13791">
        <v>55628980</v>
      </c>
    </row>
    <row r="13792" spans="1:9" x14ac:dyDescent="0.2">
      <c r="A13792" s="1" t="str">
        <f>"PPP1R13B"</f>
        <v>PPP1R13B</v>
      </c>
      <c r="B13792" t="s">
        <v>14</v>
      </c>
      <c r="C13792" t="s">
        <v>41</v>
      </c>
      <c r="D13792" t="s">
        <v>11</v>
      </c>
      <c r="E13792" t="s">
        <v>12</v>
      </c>
      <c r="F13792">
        <v>104313901</v>
      </c>
      <c r="G13792">
        <v>104313957</v>
      </c>
      <c r="H13792">
        <v>104313901</v>
      </c>
      <c r="I13792">
        <v>104313957</v>
      </c>
    </row>
    <row r="13793" spans="1:9" x14ac:dyDescent="0.2">
      <c r="A13793" s="1" t="str">
        <f>"PPP1R13L"</f>
        <v>PPP1R13L</v>
      </c>
      <c r="B13793" t="s">
        <v>9</v>
      </c>
      <c r="C13793" t="s">
        <v>10</v>
      </c>
      <c r="D13793" t="s">
        <v>11</v>
      </c>
      <c r="E13793" t="s">
        <v>12</v>
      </c>
      <c r="F13793">
        <v>45908292</v>
      </c>
      <c r="G13793">
        <v>45908374</v>
      </c>
      <c r="H13793">
        <v>45908292</v>
      </c>
      <c r="I13793">
        <v>45908374</v>
      </c>
    </row>
    <row r="13794" spans="1:9" x14ac:dyDescent="0.2">
      <c r="A13794" s="1" t="str">
        <f>"PPP1R13L"</f>
        <v>PPP1R13L</v>
      </c>
      <c r="B13794" t="s">
        <v>13</v>
      </c>
      <c r="C13794" t="s">
        <v>10</v>
      </c>
      <c r="D13794" t="s">
        <v>11</v>
      </c>
      <c r="E13794" t="s">
        <v>12</v>
      </c>
      <c r="F13794">
        <v>45909594</v>
      </c>
      <c r="G13794">
        <v>45909625</v>
      </c>
      <c r="H13794">
        <v>45909594</v>
      </c>
      <c r="I13794">
        <v>45909625</v>
      </c>
    </row>
    <row r="13795" spans="1:9" x14ac:dyDescent="0.2">
      <c r="A13795" s="1" t="str">
        <f>"PPP1R14A"</f>
        <v>PPP1R14A</v>
      </c>
      <c r="B13795" t="s">
        <v>14</v>
      </c>
      <c r="C13795" t="s">
        <v>10</v>
      </c>
      <c r="D13795" t="s">
        <v>11</v>
      </c>
      <c r="E13795" t="s">
        <v>12</v>
      </c>
      <c r="F13795">
        <v>38746979</v>
      </c>
      <c r="G13795">
        <v>38747050</v>
      </c>
      <c r="H13795">
        <v>38747174</v>
      </c>
      <c r="I13795">
        <v>38747218</v>
      </c>
    </row>
    <row r="13796" spans="1:9" x14ac:dyDescent="0.2">
      <c r="A13796" s="1" t="str">
        <f>"PPP1R14B"</f>
        <v>PPP1R14B</v>
      </c>
      <c r="B13796" t="s">
        <v>14</v>
      </c>
      <c r="C13796" t="s">
        <v>27</v>
      </c>
      <c r="D13796" t="s">
        <v>11</v>
      </c>
      <c r="E13796" t="s">
        <v>12</v>
      </c>
      <c r="F13796">
        <v>64014379</v>
      </c>
      <c r="G13796">
        <v>64014428</v>
      </c>
      <c r="H13796">
        <v>64014165</v>
      </c>
      <c r="I13796">
        <v>64014186</v>
      </c>
    </row>
    <row r="13797" spans="1:9" x14ac:dyDescent="0.2">
      <c r="A13797" s="1" t="str">
        <f>"PPP1R14C"</f>
        <v>PPP1R14C</v>
      </c>
      <c r="B13797" t="s">
        <v>14</v>
      </c>
      <c r="C13797" t="s">
        <v>32</v>
      </c>
      <c r="D13797" t="s">
        <v>17</v>
      </c>
      <c r="E13797" t="s">
        <v>12</v>
      </c>
      <c r="F13797">
        <v>150464155</v>
      </c>
      <c r="G13797">
        <v>150464222</v>
      </c>
      <c r="H13797">
        <v>150464155</v>
      </c>
      <c r="I13797">
        <v>150464222</v>
      </c>
    </row>
    <row r="13798" spans="1:9" x14ac:dyDescent="0.2">
      <c r="A13798" s="1" t="str">
        <f>"PPP1R14D"</f>
        <v>PPP1R14D</v>
      </c>
      <c r="B13798" t="s">
        <v>14</v>
      </c>
      <c r="C13798" t="s">
        <v>25</v>
      </c>
      <c r="D13798" t="s">
        <v>11</v>
      </c>
      <c r="E13798" t="s">
        <v>12</v>
      </c>
      <c r="F13798">
        <v>41120896</v>
      </c>
      <c r="G13798">
        <v>41120922</v>
      </c>
      <c r="H13798">
        <v>41120932</v>
      </c>
      <c r="I13798">
        <v>41120960</v>
      </c>
    </row>
    <row r="13799" spans="1:9" x14ac:dyDescent="0.2">
      <c r="A13799" s="1" t="str">
        <f>"PPP1R15A"</f>
        <v>PPP1R15A</v>
      </c>
      <c r="B13799" t="s">
        <v>14</v>
      </c>
      <c r="C13799" t="s">
        <v>10</v>
      </c>
      <c r="D13799" t="s">
        <v>17</v>
      </c>
      <c r="E13799" t="s">
        <v>12</v>
      </c>
      <c r="F13799">
        <v>49375669</v>
      </c>
      <c r="G13799">
        <v>49375684</v>
      </c>
      <c r="H13799">
        <v>49376460</v>
      </c>
      <c r="I13799">
        <v>49376496</v>
      </c>
    </row>
    <row r="13800" spans="1:9" x14ac:dyDescent="0.2">
      <c r="A13800" s="1" t="str">
        <f>"PPP1R15B"</f>
        <v>PPP1R15B</v>
      </c>
      <c r="B13800" t="s">
        <v>14</v>
      </c>
      <c r="C13800" t="s">
        <v>19</v>
      </c>
      <c r="D13800" t="s">
        <v>11</v>
      </c>
      <c r="E13800" t="s">
        <v>12</v>
      </c>
      <c r="F13800">
        <v>204380932</v>
      </c>
      <c r="G13800">
        <v>204380953</v>
      </c>
      <c r="H13800">
        <v>204381010</v>
      </c>
      <c r="I13800">
        <v>204381023</v>
      </c>
    </row>
    <row r="13801" spans="1:9" x14ac:dyDescent="0.2">
      <c r="A13801" s="1" t="str">
        <f>"PPP1R16A"</f>
        <v>PPP1R16A</v>
      </c>
      <c r="B13801" t="s">
        <v>14</v>
      </c>
      <c r="C13801" t="s">
        <v>30</v>
      </c>
      <c r="D13801" t="s">
        <v>17</v>
      </c>
      <c r="E13801" t="s">
        <v>12</v>
      </c>
      <c r="F13801">
        <v>145703355</v>
      </c>
      <c r="G13801">
        <v>145703473</v>
      </c>
      <c r="H13801">
        <v>145703727</v>
      </c>
      <c r="I13801">
        <v>145703759</v>
      </c>
    </row>
    <row r="13802" spans="1:9" x14ac:dyDescent="0.2">
      <c r="A13802" s="1" t="str">
        <f>"PPP1R16B"</f>
        <v>PPP1R16B</v>
      </c>
      <c r="B13802" t="s">
        <v>14</v>
      </c>
      <c r="C13802" t="s">
        <v>29</v>
      </c>
      <c r="D13802" t="s">
        <v>17</v>
      </c>
      <c r="E13802" t="s">
        <v>12</v>
      </c>
      <c r="F13802">
        <v>37434329</v>
      </c>
      <c r="G13802">
        <v>37434371</v>
      </c>
      <c r="H13802">
        <v>37434329</v>
      </c>
      <c r="I13802">
        <v>37434371</v>
      </c>
    </row>
    <row r="13803" spans="1:9" x14ac:dyDescent="0.2">
      <c r="A13803" s="1" t="str">
        <f>"PPP1R17"</f>
        <v>PPP1R17</v>
      </c>
      <c r="B13803" t="s">
        <v>14</v>
      </c>
      <c r="C13803" t="s">
        <v>33</v>
      </c>
      <c r="D13803" t="s">
        <v>17</v>
      </c>
      <c r="E13803" t="s">
        <v>12</v>
      </c>
      <c r="F13803">
        <v>31726822</v>
      </c>
      <c r="G13803">
        <v>31726846</v>
      </c>
      <c r="H13803">
        <v>31726791</v>
      </c>
      <c r="I13803">
        <v>31726798</v>
      </c>
    </row>
    <row r="13804" spans="1:9" x14ac:dyDescent="0.2">
      <c r="A13804" s="1" t="str">
        <f>"PPP1R18"</f>
        <v>PPP1R18</v>
      </c>
      <c r="B13804" t="s">
        <v>9</v>
      </c>
      <c r="C13804" t="s">
        <v>32</v>
      </c>
      <c r="D13804" t="s">
        <v>11</v>
      </c>
      <c r="E13804" t="s">
        <v>12</v>
      </c>
      <c r="F13804">
        <v>30654401</v>
      </c>
      <c r="G13804">
        <v>30654477</v>
      </c>
      <c r="H13804">
        <v>30654401</v>
      </c>
      <c r="I13804">
        <v>30654477</v>
      </c>
    </row>
    <row r="13805" spans="1:9" x14ac:dyDescent="0.2">
      <c r="A13805" s="1" t="str">
        <f>"PPP1R18"</f>
        <v>PPP1R18</v>
      </c>
      <c r="B13805" t="s">
        <v>13</v>
      </c>
      <c r="C13805" t="s">
        <v>32</v>
      </c>
      <c r="D13805" t="s">
        <v>11</v>
      </c>
      <c r="E13805" t="s">
        <v>12</v>
      </c>
      <c r="F13805">
        <v>30652527</v>
      </c>
      <c r="G13805">
        <v>30652589</v>
      </c>
      <c r="H13805">
        <v>30652527</v>
      </c>
      <c r="I13805">
        <v>30652589</v>
      </c>
    </row>
    <row r="13806" spans="1:9" x14ac:dyDescent="0.2">
      <c r="A13806" s="1" t="str">
        <f>"PPP1R1A"</f>
        <v>PPP1R1A</v>
      </c>
      <c r="B13806" t="s">
        <v>14</v>
      </c>
      <c r="C13806" t="s">
        <v>16</v>
      </c>
      <c r="D13806" t="s">
        <v>11</v>
      </c>
      <c r="E13806" t="s">
        <v>12</v>
      </c>
      <c r="F13806">
        <v>54982420</v>
      </c>
      <c r="G13806">
        <v>54982461</v>
      </c>
      <c r="H13806">
        <v>54982378</v>
      </c>
      <c r="I13806">
        <v>54982417</v>
      </c>
    </row>
    <row r="13807" spans="1:9" x14ac:dyDescent="0.2">
      <c r="A13807" s="1" t="str">
        <f>"PPP1R1B"</f>
        <v>PPP1R1B</v>
      </c>
      <c r="B13807" t="s">
        <v>14</v>
      </c>
      <c r="C13807" t="s">
        <v>28</v>
      </c>
      <c r="D13807" t="s">
        <v>17</v>
      </c>
      <c r="E13807" t="s">
        <v>12</v>
      </c>
      <c r="F13807">
        <v>37783197</v>
      </c>
      <c r="G13807">
        <v>37783216</v>
      </c>
      <c r="H13807">
        <v>37783170</v>
      </c>
      <c r="I13807">
        <v>37783182</v>
      </c>
    </row>
    <row r="13808" spans="1:9" x14ac:dyDescent="0.2">
      <c r="A13808" s="1" t="str">
        <f>"PPP1R1C"</f>
        <v>PPP1R1C</v>
      </c>
      <c r="B13808" t="s">
        <v>1375</v>
      </c>
      <c r="C13808" t="s">
        <v>26</v>
      </c>
      <c r="D13808" t="s">
        <v>17</v>
      </c>
      <c r="E13808" t="s">
        <v>35</v>
      </c>
      <c r="F13808">
        <v>182850504</v>
      </c>
      <c r="G13808">
        <v>182850509</v>
      </c>
      <c r="H13808">
        <v>182850817</v>
      </c>
      <c r="I13808">
        <v>182850826</v>
      </c>
    </row>
    <row r="13809" spans="1:9" x14ac:dyDescent="0.2">
      <c r="A13809" s="1" t="str">
        <f>"PPP1R2"</f>
        <v>PPP1R2</v>
      </c>
      <c r="B13809" t="s">
        <v>14</v>
      </c>
      <c r="C13809" t="s">
        <v>22</v>
      </c>
      <c r="D13809" t="s">
        <v>11</v>
      </c>
      <c r="E13809" t="s">
        <v>12</v>
      </c>
      <c r="F13809">
        <v>195270131</v>
      </c>
      <c r="G13809">
        <v>195270160</v>
      </c>
      <c r="H13809">
        <v>195270162</v>
      </c>
      <c r="I13809">
        <v>195270181</v>
      </c>
    </row>
    <row r="13810" spans="1:9" x14ac:dyDescent="0.2">
      <c r="A13810" s="1" t="str">
        <f>"PPP1R21"</f>
        <v>PPP1R21</v>
      </c>
      <c r="B13810" t="s">
        <v>14</v>
      </c>
      <c r="C13810" t="s">
        <v>26</v>
      </c>
      <c r="D13810" t="s">
        <v>17</v>
      </c>
      <c r="E13810" t="s">
        <v>12</v>
      </c>
      <c r="F13810">
        <v>48667898</v>
      </c>
      <c r="G13810">
        <v>48667981</v>
      </c>
      <c r="H13810">
        <v>48667983</v>
      </c>
      <c r="I13810">
        <v>48668003</v>
      </c>
    </row>
    <row r="13811" spans="1:9" x14ac:dyDescent="0.2">
      <c r="A13811" s="1" t="str">
        <f>"PPP1R26"</f>
        <v>PPP1R26</v>
      </c>
      <c r="B13811" t="s">
        <v>14</v>
      </c>
      <c r="C13811" t="s">
        <v>24</v>
      </c>
      <c r="D13811" t="s">
        <v>17</v>
      </c>
      <c r="E13811" t="s">
        <v>12</v>
      </c>
      <c r="F13811">
        <v>138371618</v>
      </c>
      <c r="G13811">
        <v>138371657</v>
      </c>
      <c r="H13811">
        <v>138371503</v>
      </c>
      <c r="I13811">
        <v>138371546</v>
      </c>
    </row>
    <row r="13812" spans="1:9" x14ac:dyDescent="0.2">
      <c r="A13812" s="1" t="str">
        <f>"PPP1R27"</f>
        <v>PPP1R27</v>
      </c>
      <c r="B13812" t="s">
        <v>14</v>
      </c>
      <c r="C13812" t="s">
        <v>28</v>
      </c>
      <c r="D13812" t="s">
        <v>11</v>
      </c>
      <c r="E13812" t="s">
        <v>12</v>
      </c>
      <c r="F13812">
        <v>79792918</v>
      </c>
      <c r="G13812">
        <v>79792932</v>
      </c>
      <c r="H13812">
        <v>79792942</v>
      </c>
      <c r="I13812">
        <v>79792953</v>
      </c>
    </row>
    <row r="13813" spans="1:9" x14ac:dyDescent="0.2">
      <c r="A13813" s="1" t="str">
        <f>"PPP1R32"</f>
        <v>PPP1R32</v>
      </c>
      <c r="B13813" t="s">
        <v>14</v>
      </c>
      <c r="C13813" t="s">
        <v>27</v>
      </c>
      <c r="D13813" t="s">
        <v>17</v>
      </c>
      <c r="E13813" t="s">
        <v>12</v>
      </c>
      <c r="F13813">
        <v>61248609</v>
      </c>
      <c r="G13813">
        <v>61248648</v>
      </c>
      <c r="H13813">
        <v>61248583</v>
      </c>
      <c r="I13813">
        <v>61248600</v>
      </c>
    </row>
    <row r="13814" spans="1:9" x14ac:dyDescent="0.2">
      <c r="A13814" s="1" t="str">
        <f>"PPP1R35"</f>
        <v>PPP1R35</v>
      </c>
      <c r="B13814" t="s">
        <v>14</v>
      </c>
      <c r="C13814" t="s">
        <v>33</v>
      </c>
      <c r="D13814" t="s">
        <v>11</v>
      </c>
      <c r="E13814" t="s">
        <v>12</v>
      </c>
      <c r="F13814">
        <v>100034060</v>
      </c>
      <c r="G13814">
        <v>100034144</v>
      </c>
      <c r="H13814">
        <v>100033768</v>
      </c>
      <c r="I13814">
        <v>100033802</v>
      </c>
    </row>
    <row r="13815" spans="1:9" x14ac:dyDescent="0.2">
      <c r="A13815" s="1" t="str">
        <f>"PPP1R36"</f>
        <v>PPP1R36</v>
      </c>
      <c r="B13815" t="s">
        <v>14</v>
      </c>
      <c r="C13815" t="s">
        <v>41</v>
      </c>
      <c r="D13815" t="s">
        <v>17</v>
      </c>
      <c r="E13815" t="s">
        <v>12</v>
      </c>
      <c r="F13815">
        <v>65016672</v>
      </c>
      <c r="G13815">
        <v>65016686</v>
      </c>
      <c r="H13815">
        <v>65016630</v>
      </c>
      <c r="I13815">
        <v>65016664</v>
      </c>
    </row>
    <row r="13816" spans="1:9" x14ac:dyDescent="0.2">
      <c r="A13816" s="1" t="str">
        <f>"PPP1R37"</f>
        <v>PPP1R37</v>
      </c>
      <c r="B13816" t="s">
        <v>14</v>
      </c>
      <c r="C13816" t="s">
        <v>10</v>
      </c>
      <c r="D13816" t="s">
        <v>17</v>
      </c>
      <c r="E13816" t="s">
        <v>12</v>
      </c>
      <c r="F13816">
        <v>45596398</v>
      </c>
      <c r="G13816">
        <v>45596463</v>
      </c>
      <c r="H13816">
        <v>45596377</v>
      </c>
      <c r="I13816">
        <v>45596396</v>
      </c>
    </row>
    <row r="13817" spans="1:9" x14ac:dyDescent="0.2">
      <c r="A13817" s="1" t="str">
        <f>"PPP1R3A"</f>
        <v>PPP1R3A</v>
      </c>
      <c r="B13817" t="s">
        <v>14</v>
      </c>
      <c r="C13817" t="s">
        <v>33</v>
      </c>
      <c r="D13817" t="s">
        <v>11</v>
      </c>
      <c r="E13817" t="s">
        <v>12</v>
      </c>
      <c r="F13817">
        <v>113559055</v>
      </c>
      <c r="G13817">
        <v>113559100</v>
      </c>
      <c r="H13817">
        <v>113559055</v>
      </c>
      <c r="I13817">
        <v>113559100</v>
      </c>
    </row>
    <row r="13818" spans="1:9" x14ac:dyDescent="0.2">
      <c r="A13818" s="1" t="str">
        <f>"PPP1R3B"</f>
        <v>PPP1R3B</v>
      </c>
      <c r="B13818" t="s">
        <v>14</v>
      </c>
      <c r="C13818" t="s">
        <v>30</v>
      </c>
      <c r="D13818" t="s">
        <v>11</v>
      </c>
      <c r="E13818" t="s">
        <v>12</v>
      </c>
      <c r="F13818">
        <v>9008160</v>
      </c>
      <c r="G13818">
        <v>9008180</v>
      </c>
      <c r="H13818">
        <v>9008184</v>
      </c>
      <c r="I13818">
        <v>9008198</v>
      </c>
    </row>
    <row r="13819" spans="1:9" x14ac:dyDescent="0.2">
      <c r="A13819" s="1" t="str">
        <f>"PPP1R3C"</f>
        <v>PPP1R3C</v>
      </c>
      <c r="B13819" t="s">
        <v>14</v>
      </c>
      <c r="C13819" t="s">
        <v>15</v>
      </c>
      <c r="D13819" t="s">
        <v>11</v>
      </c>
      <c r="E13819" t="s">
        <v>12</v>
      </c>
      <c r="F13819">
        <v>93392811</v>
      </c>
      <c r="G13819">
        <v>93392835</v>
      </c>
      <c r="H13819">
        <v>93392851</v>
      </c>
      <c r="I13819">
        <v>93392876</v>
      </c>
    </row>
    <row r="13820" spans="1:9" x14ac:dyDescent="0.2">
      <c r="A13820" s="1" t="str">
        <f>"PPP1R3D"</f>
        <v>PPP1R3D</v>
      </c>
      <c r="B13820" t="s">
        <v>14</v>
      </c>
      <c r="C13820" t="s">
        <v>29</v>
      </c>
      <c r="D13820" t="s">
        <v>11</v>
      </c>
      <c r="E13820" t="s">
        <v>12</v>
      </c>
      <c r="F13820">
        <v>58515344</v>
      </c>
      <c r="G13820">
        <v>58515366</v>
      </c>
      <c r="H13820">
        <v>58515284</v>
      </c>
      <c r="I13820">
        <v>58515311</v>
      </c>
    </row>
    <row r="13821" spans="1:9" x14ac:dyDescent="0.2">
      <c r="A13821" s="1" t="str">
        <f>"PPP1R3E"</f>
        <v>PPP1R3E</v>
      </c>
      <c r="B13821" t="s">
        <v>9</v>
      </c>
      <c r="C13821" t="s">
        <v>41</v>
      </c>
      <c r="D13821" t="s">
        <v>11</v>
      </c>
      <c r="E13821" t="s">
        <v>12</v>
      </c>
      <c r="F13821">
        <v>23770683</v>
      </c>
      <c r="G13821">
        <v>23770767</v>
      </c>
      <c r="H13821">
        <v>23770683</v>
      </c>
      <c r="I13821">
        <v>23770767</v>
      </c>
    </row>
    <row r="13822" spans="1:9" x14ac:dyDescent="0.2">
      <c r="A13822" s="1" t="str">
        <f>"PPP1R3E"</f>
        <v>PPP1R3E</v>
      </c>
      <c r="B13822" t="s">
        <v>13</v>
      </c>
      <c r="C13822" t="s">
        <v>41</v>
      </c>
      <c r="D13822" t="s">
        <v>11</v>
      </c>
      <c r="E13822" t="s">
        <v>12</v>
      </c>
      <c r="F13822">
        <v>23772032</v>
      </c>
      <c r="G13822">
        <v>23772076</v>
      </c>
      <c r="H13822">
        <v>23772032</v>
      </c>
      <c r="I13822">
        <v>23772076</v>
      </c>
    </row>
    <row r="13823" spans="1:9" x14ac:dyDescent="0.2">
      <c r="A13823" s="1" t="str">
        <f>"PPP1R3F"</f>
        <v>PPP1R3F</v>
      </c>
      <c r="B13823" t="s">
        <v>14</v>
      </c>
      <c r="C13823" t="s">
        <v>37</v>
      </c>
      <c r="D13823" t="s">
        <v>17</v>
      </c>
      <c r="E13823" t="s">
        <v>12</v>
      </c>
      <c r="F13823">
        <v>49126242</v>
      </c>
      <c r="G13823">
        <v>49126291</v>
      </c>
      <c r="H13823">
        <v>49126294</v>
      </c>
      <c r="I13823">
        <v>49126337</v>
      </c>
    </row>
    <row r="13824" spans="1:9" x14ac:dyDescent="0.2">
      <c r="A13824" s="1" t="str">
        <f>"PPP1R3G"</f>
        <v>PPP1R3G</v>
      </c>
      <c r="B13824" t="s">
        <v>14</v>
      </c>
      <c r="C13824" t="s">
        <v>32</v>
      </c>
      <c r="D13824" t="s">
        <v>17</v>
      </c>
      <c r="E13824" t="s">
        <v>12</v>
      </c>
      <c r="F13824">
        <v>5085509</v>
      </c>
      <c r="G13824">
        <v>5085546</v>
      </c>
      <c r="H13824">
        <v>5085572</v>
      </c>
      <c r="I13824">
        <v>5085576</v>
      </c>
    </row>
    <row r="13825" spans="1:9" x14ac:dyDescent="0.2">
      <c r="A13825" s="1" t="str">
        <f>"PPP1R42"</f>
        <v>PPP1R42</v>
      </c>
      <c r="B13825" t="s">
        <v>14</v>
      </c>
      <c r="C13825" t="s">
        <v>30</v>
      </c>
      <c r="D13825" t="s">
        <v>11</v>
      </c>
      <c r="E13825" t="s">
        <v>12</v>
      </c>
      <c r="F13825">
        <v>67940755</v>
      </c>
      <c r="G13825">
        <v>67940821</v>
      </c>
      <c r="H13825">
        <v>67940755</v>
      </c>
      <c r="I13825">
        <v>67940821</v>
      </c>
    </row>
    <row r="13826" spans="1:9" x14ac:dyDescent="0.2">
      <c r="A13826" s="1" t="str">
        <f>"PPP1R7"</f>
        <v>PPP1R7</v>
      </c>
      <c r="B13826" t="s">
        <v>14</v>
      </c>
      <c r="C13826" t="s">
        <v>26</v>
      </c>
      <c r="D13826" t="s">
        <v>17</v>
      </c>
      <c r="E13826" t="s">
        <v>12</v>
      </c>
      <c r="F13826">
        <v>242089876</v>
      </c>
      <c r="G13826">
        <v>242089913</v>
      </c>
      <c r="H13826">
        <v>242088963</v>
      </c>
      <c r="I13826">
        <v>242089044</v>
      </c>
    </row>
    <row r="13827" spans="1:9" x14ac:dyDescent="0.2">
      <c r="A13827" s="1" t="str">
        <f>"PPP1R8"</f>
        <v>PPP1R8</v>
      </c>
      <c r="B13827" t="s">
        <v>14</v>
      </c>
      <c r="C13827" t="s">
        <v>19</v>
      </c>
      <c r="D13827" t="s">
        <v>17</v>
      </c>
      <c r="E13827" t="s">
        <v>12</v>
      </c>
      <c r="F13827">
        <v>28157273</v>
      </c>
      <c r="G13827">
        <v>28157348</v>
      </c>
      <c r="H13827">
        <v>28157273</v>
      </c>
      <c r="I13827">
        <v>28157348</v>
      </c>
    </row>
    <row r="13828" spans="1:9" x14ac:dyDescent="0.2">
      <c r="A13828" s="1" t="str">
        <f>"PPP1R9A"</f>
        <v>PPP1R9A</v>
      </c>
      <c r="B13828" t="s">
        <v>14</v>
      </c>
      <c r="C13828" t="s">
        <v>33</v>
      </c>
      <c r="D13828" t="s">
        <v>17</v>
      </c>
      <c r="E13828" t="s">
        <v>12</v>
      </c>
      <c r="F13828">
        <v>94536898</v>
      </c>
      <c r="G13828">
        <v>94536998</v>
      </c>
      <c r="H13828">
        <v>94537247</v>
      </c>
      <c r="I13828">
        <v>94537342</v>
      </c>
    </row>
    <row r="13829" spans="1:9" x14ac:dyDescent="0.2">
      <c r="A13829" s="1" t="str">
        <f>"PPP1R9B"</f>
        <v>PPP1R9B</v>
      </c>
      <c r="B13829" t="s">
        <v>14</v>
      </c>
      <c r="C13829" t="s">
        <v>28</v>
      </c>
      <c r="D13829" t="s">
        <v>11</v>
      </c>
      <c r="E13829" t="s">
        <v>12</v>
      </c>
      <c r="F13829">
        <v>48228420</v>
      </c>
      <c r="G13829">
        <v>48228510</v>
      </c>
      <c r="H13829">
        <v>48228036</v>
      </c>
      <c r="I13829">
        <v>48228051</v>
      </c>
    </row>
    <row r="13830" spans="1:9" x14ac:dyDescent="0.2">
      <c r="A13830" s="1" t="str">
        <f>"PPP2CA"</f>
        <v>PPP2CA</v>
      </c>
      <c r="B13830" t="s">
        <v>14</v>
      </c>
      <c r="C13830" t="s">
        <v>46</v>
      </c>
      <c r="D13830" t="s">
        <v>11</v>
      </c>
      <c r="E13830" t="s">
        <v>12</v>
      </c>
      <c r="F13830">
        <v>133561752</v>
      </c>
      <c r="G13830">
        <v>133561791</v>
      </c>
      <c r="H13830">
        <v>133561242</v>
      </c>
      <c r="I13830">
        <v>133561272</v>
      </c>
    </row>
    <row r="13831" spans="1:9" x14ac:dyDescent="0.2">
      <c r="A13831" s="1" t="str">
        <f>"PPP2CB"</f>
        <v>PPP2CB</v>
      </c>
      <c r="B13831" t="s">
        <v>14</v>
      </c>
      <c r="C13831" t="s">
        <v>30</v>
      </c>
      <c r="D13831" t="s">
        <v>11</v>
      </c>
      <c r="E13831" t="s">
        <v>12</v>
      </c>
      <c r="F13831">
        <v>30670289</v>
      </c>
      <c r="G13831">
        <v>30670354</v>
      </c>
      <c r="H13831">
        <v>30670368</v>
      </c>
      <c r="I13831">
        <v>30670379</v>
      </c>
    </row>
    <row r="13832" spans="1:9" x14ac:dyDescent="0.2">
      <c r="A13832" s="1" t="str">
        <f>"PPP2R1A"</f>
        <v>PPP2R1A</v>
      </c>
      <c r="B13832" t="s">
        <v>9</v>
      </c>
      <c r="C13832" t="s">
        <v>10</v>
      </c>
      <c r="D13832" t="s">
        <v>17</v>
      </c>
      <c r="E13832" t="s">
        <v>12</v>
      </c>
      <c r="F13832">
        <v>52693259</v>
      </c>
      <c r="G13832">
        <v>52693335</v>
      </c>
      <c r="H13832">
        <v>52693259</v>
      </c>
      <c r="I13832">
        <v>52693335</v>
      </c>
    </row>
    <row r="13833" spans="1:9" x14ac:dyDescent="0.2">
      <c r="A13833" s="1" t="str">
        <f>"PPP2R1A"</f>
        <v>PPP2R1A</v>
      </c>
      <c r="B13833" t="s">
        <v>13</v>
      </c>
      <c r="C13833" t="s">
        <v>10</v>
      </c>
      <c r="D13833" t="s">
        <v>17</v>
      </c>
      <c r="E13833" t="s">
        <v>12</v>
      </c>
      <c r="F13833">
        <v>52716000</v>
      </c>
      <c r="G13833">
        <v>52716026</v>
      </c>
      <c r="H13833">
        <v>52716000</v>
      </c>
      <c r="I13833">
        <v>52716026</v>
      </c>
    </row>
    <row r="13834" spans="1:9" x14ac:dyDescent="0.2">
      <c r="A13834" s="1" t="str">
        <f>"PPP2R1B"</f>
        <v>PPP2R1B</v>
      </c>
      <c r="B13834" t="s">
        <v>14</v>
      </c>
      <c r="C13834" t="s">
        <v>27</v>
      </c>
      <c r="D13834" t="s">
        <v>11</v>
      </c>
      <c r="E13834" t="s">
        <v>12</v>
      </c>
      <c r="F13834">
        <v>111637083</v>
      </c>
      <c r="G13834">
        <v>111637119</v>
      </c>
      <c r="H13834">
        <v>111637373</v>
      </c>
      <c r="I13834">
        <v>111637437</v>
      </c>
    </row>
    <row r="13835" spans="1:9" x14ac:dyDescent="0.2">
      <c r="A13835" s="1" t="str">
        <f>"PPP2R2A"</f>
        <v>PPP2R2A</v>
      </c>
      <c r="B13835" t="s">
        <v>14</v>
      </c>
      <c r="C13835" t="s">
        <v>30</v>
      </c>
      <c r="D13835" t="s">
        <v>17</v>
      </c>
      <c r="E13835" t="s">
        <v>12</v>
      </c>
      <c r="F13835">
        <v>26149011</v>
      </c>
      <c r="G13835">
        <v>26149061</v>
      </c>
      <c r="H13835">
        <v>26149078</v>
      </c>
      <c r="I13835">
        <v>26149101</v>
      </c>
    </row>
    <row r="13836" spans="1:9" x14ac:dyDescent="0.2">
      <c r="A13836" s="1" t="str">
        <f>"PPP2R2B"</f>
        <v>PPP2R2B</v>
      </c>
      <c r="B13836" t="s">
        <v>9</v>
      </c>
      <c r="C13836" t="s">
        <v>46</v>
      </c>
      <c r="D13836" t="s">
        <v>11</v>
      </c>
      <c r="E13836" t="s">
        <v>12</v>
      </c>
      <c r="F13836">
        <v>146258291</v>
      </c>
      <c r="G13836">
        <v>146258364</v>
      </c>
      <c r="H13836">
        <v>146258291</v>
      </c>
      <c r="I13836">
        <v>146258364</v>
      </c>
    </row>
    <row r="13837" spans="1:9" x14ac:dyDescent="0.2">
      <c r="A13837" s="1" t="str">
        <f>"PPP2R2B"</f>
        <v>PPP2R2B</v>
      </c>
      <c r="B13837" t="s">
        <v>13</v>
      </c>
      <c r="C13837" t="s">
        <v>46</v>
      </c>
      <c r="D13837" t="s">
        <v>11</v>
      </c>
      <c r="E13837" t="s">
        <v>12</v>
      </c>
      <c r="F13837">
        <v>146460870</v>
      </c>
      <c r="G13837">
        <v>146460953</v>
      </c>
      <c r="H13837">
        <v>146460870</v>
      </c>
      <c r="I13837">
        <v>146460953</v>
      </c>
    </row>
    <row r="13838" spans="1:9" x14ac:dyDescent="0.2">
      <c r="A13838" s="1" t="str">
        <f>"PPP2R2C"</f>
        <v>PPP2R2C</v>
      </c>
      <c r="B13838" t="s">
        <v>14</v>
      </c>
      <c r="C13838" t="s">
        <v>23</v>
      </c>
      <c r="D13838" t="s">
        <v>11</v>
      </c>
      <c r="E13838" t="s">
        <v>12</v>
      </c>
      <c r="F13838">
        <v>6474312</v>
      </c>
      <c r="G13838">
        <v>6474355</v>
      </c>
      <c r="H13838">
        <v>6474277</v>
      </c>
      <c r="I13838">
        <v>6474302</v>
      </c>
    </row>
    <row r="13839" spans="1:9" x14ac:dyDescent="0.2">
      <c r="A13839" s="1" t="str">
        <f>"PPP2R2D"</f>
        <v>PPP2R2D</v>
      </c>
      <c r="B13839" t="s">
        <v>14</v>
      </c>
      <c r="C13839" t="s">
        <v>15</v>
      </c>
      <c r="D13839" t="s">
        <v>17</v>
      </c>
      <c r="E13839" t="s">
        <v>12</v>
      </c>
      <c r="F13839">
        <v>133753634</v>
      </c>
      <c r="G13839">
        <v>133753657</v>
      </c>
      <c r="H13839">
        <v>133753634</v>
      </c>
      <c r="I13839">
        <v>133753657</v>
      </c>
    </row>
    <row r="13840" spans="1:9" x14ac:dyDescent="0.2">
      <c r="A13840" s="1" t="str">
        <f>"PPP2R3A"</f>
        <v>PPP2R3A</v>
      </c>
      <c r="B13840" t="s">
        <v>14</v>
      </c>
      <c r="C13840" t="s">
        <v>22</v>
      </c>
      <c r="D13840" t="s">
        <v>17</v>
      </c>
      <c r="E13840" t="s">
        <v>12</v>
      </c>
      <c r="F13840">
        <v>135684560</v>
      </c>
      <c r="G13840">
        <v>135684620</v>
      </c>
      <c r="H13840">
        <v>135684560</v>
      </c>
      <c r="I13840">
        <v>135684620</v>
      </c>
    </row>
    <row r="13841" spans="1:9" x14ac:dyDescent="0.2">
      <c r="A13841" s="1" t="str">
        <f>"PPP2R3B"</f>
        <v>PPP2R3B</v>
      </c>
      <c r="B13841" t="s">
        <v>14</v>
      </c>
      <c r="C13841" t="s">
        <v>37</v>
      </c>
      <c r="D13841" t="s">
        <v>11</v>
      </c>
      <c r="E13841" t="s">
        <v>12</v>
      </c>
      <c r="F13841">
        <v>347635</v>
      </c>
      <c r="G13841">
        <v>347703</v>
      </c>
      <c r="H13841">
        <v>347908</v>
      </c>
      <c r="I13841">
        <v>347941</v>
      </c>
    </row>
    <row r="13842" spans="1:9" x14ac:dyDescent="0.2">
      <c r="A13842" s="1" t="str">
        <f>"PPP2R3C"</f>
        <v>PPP2R3C</v>
      </c>
      <c r="B13842" t="s">
        <v>14</v>
      </c>
      <c r="C13842" t="s">
        <v>41</v>
      </c>
      <c r="D13842" t="s">
        <v>11</v>
      </c>
      <c r="E13842" t="s">
        <v>12</v>
      </c>
      <c r="F13842">
        <v>35591156</v>
      </c>
      <c r="G13842">
        <v>35591234</v>
      </c>
      <c r="H13842">
        <v>35591433</v>
      </c>
      <c r="I13842">
        <v>35591512</v>
      </c>
    </row>
    <row r="13843" spans="1:9" x14ac:dyDescent="0.2">
      <c r="A13843" s="1" t="str">
        <f>"PPP2R4"</f>
        <v>PPP2R4</v>
      </c>
      <c r="B13843" t="s">
        <v>14</v>
      </c>
      <c r="C13843" t="s">
        <v>24</v>
      </c>
      <c r="D13843" t="s">
        <v>17</v>
      </c>
      <c r="E13843" t="s">
        <v>12</v>
      </c>
      <c r="F13843">
        <v>131873659</v>
      </c>
      <c r="G13843">
        <v>131873703</v>
      </c>
      <c r="H13843">
        <v>131873591</v>
      </c>
      <c r="I13843">
        <v>131873622</v>
      </c>
    </row>
    <row r="13844" spans="1:9" x14ac:dyDescent="0.2">
      <c r="A13844" s="1" t="str">
        <f>"PPP2R5A"</f>
        <v>PPP2R5A</v>
      </c>
      <c r="B13844" t="s">
        <v>14</v>
      </c>
      <c r="C13844" t="s">
        <v>19</v>
      </c>
      <c r="D13844" t="s">
        <v>17</v>
      </c>
      <c r="E13844" t="s">
        <v>12</v>
      </c>
      <c r="F13844">
        <v>212458725</v>
      </c>
      <c r="G13844">
        <v>212458790</v>
      </c>
      <c r="H13844">
        <v>212458834</v>
      </c>
      <c r="I13844">
        <v>212458896</v>
      </c>
    </row>
    <row r="13845" spans="1:9" x14ac:dyDescent="0.2">
      <c r="A13845" s="1" t="str">
        <f>"PPP2R5B"</f>
        <v>PPP2R5B</v>
      </c>
      <c r="B13845" t="s">
        <v>9</v>
      </c>
      <c r="C13845" t="s">
        <v>27</v>
      </c>
      <c r="D13845" t="s">
        <v>17</v>
      </c>
      <c r="E13845" t="s">
        <v>12</v>
      </c>
      <c r="F13845">
        <v>64692145</v>
      </c>
      <c r="G13845">
        <v>64692202</v>
      </c>
      <c r="H13845">
        <v>64692145</v>
      </c>
      <c r="I13845">
        <v>64692202</v>
      </c>
    </row>
    <row r="13846" spans="1:9" x14ac:dyDescent="0.2">
      <c r="A13846" s="1" t="str">
        <f>"PPP2R5B"</f>
        <v>PPP2R5B</v>
      </c>
      <c r="B13846" t="s">
        <v>13</v>
      </c>
      <c r="C13846" t="s">
        <v>27</v>
      </c>
      <c r="D13846" t="s">
        <v>17</v>
      </c>
      <c r="E13846" t="s">
        <v>12</v>
      </c>
      <c r="F13846">
        <v>64685026</v>
      </c>
      <c r="G13846">
        <v>64685046</v>
      </c>
      <c r="H13846">
        <v>64685026</v>
      </c>
      <c r="I13846">
        <v>64685046</v>
      </c>
    </row>
    <row r="13847" spans="1:9" x14ac:dyDescent="0.2">
      <c r="A13847" s="1" t="str">
        <f>"PPP2R5C"</f>
        <v>PPP2R5C</v>
      </c>
      <c r="B13847" t="s">
        <v>14</v>
      </c>
      <c r="C13847" t="s">
        <v>41</v>
      </c>
      <c r="D13847" t="s">
        <v>17</v>
      </c>
      <c r="E13847" t="s">
        <v>12</v>
      </c>
      <c r="F13847">
        <v>102276209</v>
      </c>
      <c r="G13847">
        <v>102276229</v>
      </c>
      <c r="H13847">
        <v>102276132</v>
      </c>
      <c r="I13847">
        <v>102276178</v>
      </c>
    </row>
    <row r="13848" spans="1:9" x14ac:dyDescent="0.2">
      <c r="A13848" s="1" t="str">
        <f>"PPP2R5D"</f>
        <v>PPP2R5D</v>
      </c>
      <c r="B13848" t="s">
        <v>14</v>
      </c>
      <c r="C13848" t="s">
        <v>32</v>
      </c>
      <c r="D13848" t="s">
        <v>17</v>
      </c>
      <c r="E13848" t="s">
        <v>12</v>
      </c>
      <c r="F13848">
        <v>42952270</v>
      </c>
      <c r="G13848">
        <v>42952352</v>
      </c>
      <c r="H13848">
        <v>42952270</v>
      </c>
      <c r="I13848">
        <v>42952352</v>
      </c>
    </row>
    <row r="13849" spans="1:9" x14ac:dyDescent="0.2">
      <c r="A13849" s="1" t="str">
        <f>"PPP2R5E"</f>
        <v>PPP2R5E</v>
      </c>
      <c r="B13849" t="s">
        <v>14</v>
      </c>
      <c r="C13849" t="s">
        <v>41</v>
      </c>
      <c r="D13849" t="s">
        <v>11</v>
      </c>
      <c r="E13849" t="s">
        <v>12</v>
      </c>
      <c r="F13849">
        <v>64010046</v>
      </c>
      <c r="G13849">
        <v>64010107</v>
      </c>
      <c r="H13849">
        <v>64010006</v>
      </c>
      <c r="I13849">
        <v>64010023</v>
      </c>
    </row>
    <row r="13850" spans="1:9" x14ac:dyDescent="0.2">
      <c r="A13850" s="1" t="str">
        <f>"PPP3CA"</f>
        <v>PPP3CA</v>
      </c>
      <c r="B13850" t="s">
        <v>14</v>
      </c>
      <c r="C13850" t="s">
        <v>23</v>
      </c>
      <c r="D13850" t="s">
        <v>11</v>
      </c>
      <c r="E13850" t="s">
        <v>12</v>
      </c>
      <c r="F13850">
        <v>102268628</v>
      </c>
      <c r="G13850">
        <v>102268693</v>
      </c>
      <c r="H13850">
        <v>102268073</v>
      </c>
      <c r="I13850">
        <v>102268104</v>
      </c>
    </row>
    <row r="13851" spans="1:9" x14ac:dyDescent="0.2">
      <c r="A13851" s="1" t="str">
        <f>"PPP3CB"</f>
        <v>PPP3CB</v>
      </c>
      <c r="B13851" t="s">
        <v>14</v>
      </c>
      <c r="C13851" t="s">
        <v>15</v>
      </c>
      <c r="D13851" t="s">
        <v>11</v>
      </c>
      <c r="E13851" t="s">
        <v>12</v>
      </c>
      <c r="F13851">
        <v>75255724</v>
      </c>
      <c r="G13851">
        <v>75255792</v>
      </c>
      <c r="H13851">
        <v>75255668</v>
      </c>
      <c r="I13851">
        <v>75255679</v>
      </c>
    </row>
    <row r="13852" spans="1:9" x14ac:dyDescent="0.2">
      <c r="A13852" s="1" t="str">
        <f>"PPP3CC"</f>
        <v>PPP3CC</v>
      </c>
      <c r="B13852" t="s">
        <v>14</v>
      </c>
      <c r="C13852" t="s">
        <v>30</v>
      </c>
      <c r="D13852" t="s">
        <v>17</v>
      </c>
      <c r="E13852" t="s">
        <v>12</v>
      </c>
      <c r="F13852">
        <v>22298578</v>
      </c>
      <c r="G13852">
        <v>22298651</v>
      </c>
      <c r="H13852">
        <v>22298554</v>
      </c>
      <c r="I13852">
        <v>22298573</v>
      </c>
    </row>
    <row r="13853" spans="1:9" x14ac:dyDescent="0.2">
      <c r="A13853" s="1" t="str">
        <f>"PPP3R1"</f>
        <v>PPP3R1</v>
      </c>
      <c r="B13853" t="s">
        <v>14</v>
      </c>
      <c r="C13853" t="s">
        <v>26</v>
      </c>
      <c r="D13853" t="s">
        <v>11</v>
      </c>
      <c r="E13853" t="s">
        <v>12</v>
      </c>
      <c r="F13853">
        <v>68479614</v>
      </c>
      <c r="G13853">
        <v>68479685</v>
      </c>
      <c r="H13853">
        <v>68479697</v>
      </c>
      <c r="I13853">
        <v>68479708</v>
      </c>
    </row>
    <row r="13854" spans="1:9" x14ac:dyDescent="0.2">
      <c r="A13854" s="1" t="str">
        <f>"PPP3R2"</f>
        <v>PPP3R2</v>
      </c>
      <c r="B13854" t="s">
        <v>14</v>
      </c>
      <c r="C13854" t="s">
        <v>24</v>
      </c>
      <c r="D13854" t="s">
        <v>11</v>
      </c>
      <c r="E13854" t="s">
        <v>12</v>
      </c>
      <c r="F13854">
        <v>104357199</v>
      </c>
      <c r="G13854">
        <v>104357274</v>
      </c>
      <c r="H13854">
        <v>104357277</v>
      </c>
      <c r="I13854">
        <v>104357287</v>
      </c>
    </row>
    <row r="13855" spans="1:9" x14ac:dyDescent="0.2">
      <c r="A13855" s="1" t="str">
        <f>"PPP4C"</f>
        <v>PPP4C</v>
      </c>
      <c r="B13855" t="s">
        <v>14</v>
      </c>
      <c r="C13855" t="s">
        <v>31</v>
      </c>
      <c r="D13855" t="s">
        <v>17</v>
      </c>
      <c r="E13855" t="s">
        <v>12</v>
      </c>
      <c r="F13855">
        <v>30087288</v>
      </c>
      <c r="G13855">
        <v>30087360</v>
      </c>
      <c r="H13855">
        <v>30087701</v>
      </c>
      <c r="I13855">
        <v>30087712</v>
      </c>
    </row>
    <row r="13856" spans="1:9" x14ac:dyDescent="0.2">
      <c r="A13856" s="1" t="str">
        <f>"PPP4R1"</f>
        <v>PPP4R1</v>
      </c>
      <c r="B13856" t="s">
        <v>14</v>
      </c>
      <c r="C13856" t="s">
        <v>43</v>
      </c>
      <c r="D13856" t="s">
        <v>11</v>
      </c>
      <c r="E13856" t="s">
        <v>12</v>
      </c>
      <c r="F13856">
        <v>9614515</v>
      </c>
      <c r="G13856">
        <v>9614583</v>
      </c>
      <c r="H13856">
        <v>9614863</v>
      </c>
      <c r="I13856">
        <v>9614898</v>
      </c>
    </row>
    <row r="13857" spans="1:9" x14ac:dyDescent="0.2">
      <c r="A13857" s="1" t="str">
        <f>"PPP4R2"</f>
        <v>PPP4R2</v>
      </c>
      <c r="B13857" t="s">
        <v>14</v>
      </c>
      <c r="C13857" t="s">
        <v>22</v>
      </c>
      <c r="D13857" t="s">
        <v>17</v>
      </c>
      <c r="E13857" t="s">
        <v>12</v>
      </c>
      <c r="F13857">
        <v>73045937</v>
      </c>
      <c r="G13857">
        <v>73046030</v>
      </c>
      <c r="H13857">
        <v>73046047</v>
      </c>
      <c r="I13857">
        <v>73046058</v>
      </c>
    </row>
    <row r="13858" spans="1:9" x14ac:dyDescent="0.2">
      <c r="A13858" s="1" t="str">
        <f>"PPP4R4"</f>
        <v>PPP4R4</v>
      </c>
      <c r="B13858" t="s">
        <v>14</v>
      </c>
      <c r="C13858" t="s">
        <v>41</v>
      </c>
      <c r="D13858" t="s">
        <v>17</v>
      </c>
      <c r="E13858" t="s">
        <v>12</v>
      </c>
      <c r="F13858">
        <v>94640633</v>
      </c>
      <c r="G13858">
        <v>94640667</v>
      </c>
      <c r="H13858">
        <v>94640671</v>
      </c>
      <c r="I13858">
        <v>94640694</v>
      </c>
    </row>
    <row r="13859" spans="1:9" x14ac:dyDescent="0.2">
      <c r="A13859" s="1" t="str">
        <f>"PPP5C"</f>
        <v>PPP5C</v>
      </c>
      <c r="B13859" t="s">
        <v>14</v>
      </c>
      <c r="C13859" t="s">
        <v>10</v>
      </c>
      <c r="D13859" t="s">
        <v>17</v>
      </c>
      <c r="E13859" t="s">
        <v>12</v>
      </c>
      <c r="F13859">
        <v>46850320</v>
      </c>
      <c r="G13859">
        <v>46850362</v>
      </c>
      <c r="H13859">
        <v>46850254</v>
      </c>
      <c r="I13859">
        <v>46850285</v>
      </c>
    </row>
    <row r="13860" spans="1:9" x14ac:dyDescent="0.2">
      <c r="A13860" s="1" t="str">
        <f>"PPP5D1"</f>
        <v>PPP5D1</v>
      </c>
      <c r="B13860" t="s">
        <v>14</v>
      </c>
      <c r="C13860" t="s">
        <v>10</v>
      </c>
      <c r="D13860" t="s">
        <v>11</v>
      </c>
      <c r="E13860" t="s">
        <v>67</v>
      </c>
      <c r="F13860">
        <v>47104165</v>
      </c>
      <c r="G13860">
        <v>47104200</v>
      </c>
      <c r="H13860">
        <v>47104237</v>
      </c>
      <c r="I13860">
        <v>47104258</v>
      </c>
    </row>
    <row r="13861" spans="1:9" x14ac:dyDescent="0.2">
      <c r="A13861" s="1" t="str">
        <f>"PPP6C"</f>
        <v>PPP6C</v>
      </c>
      <c r="B13861" t="s">
        <v>14</v>
      </c>
      <c r="C13861" t="s">
        <v>24</v>
      </c>
      <c r="D13861" t="s">
        <v>11</v>
      </c>
      <c r="E13861" t="s">
        <v>12</v>
      </c>
      <c r="F13861">
        <v>127952032</v>
      </c>
      <c r="G13861">
        <v>127952098</v>
      </c>
      <c r="H13861">
        <v>127952000</v>
      </c>
      <c r="I13861">
        <v>127952014</v>
      </c>
    </row>
    <row r="13862" spans="1:9" x14ac:dyDescent="0.2">
      <c r="A13862" s="1" t="str">
        <f>"PPP6R1"</f>
        <v>PPP6R1</v>
      </c>
      <c r="B13862" t="s">
        <v>14</v>
      </c>
      <c r="C13862" t="s">
        <v>10</v>
      </c>
      <c r="D13862" t="s">
        <v>11</v>
      </c>
      <c r="E13862" t="s">
        <v>12</v>
      </c>
      <c r="F13862">
        <v>55770311</v>
      </c>
      <c r="G13862">
        <v>55770417</v>
      </c>
      <c r="H13862">
        <v>55769885</v>
      </c>
      <c r="I13862">
        <v>55769941</v>
      </c>
    </row>
    <row r="13863" spans="1:9" x14ac:dyDescent="0.2">
      <c r="A13863" s="1" t="str">
        <f>"PPP6R2"</f>
        <v>PPP6R2</v>
      </c>
      <c r="B13863" t="s">
        <v>14</v>
      </c>
      <c r="C13863" t="s">
        <v>21</v>
      </c>
      <c r="D13863" t="s">
        <v>17</v>
      </c>
      <c r="E13863" t="s">
        <v>12</v>
      </c>
      <c r="F13863">
        <v>50781723</v>
      </c>
      <c r="G13863">
        <v>50781784</v>
      </c>
      <c r="H13863">
        <v>50781785</v>
      </c>
      <c r="I13863">
        <v>50781809</v>
      </c>
    </row>
    <row r="13864" spans="1:9" x14ac:dyDescent="0.2">
      <c r="A13864" s="1" t="str">
        <f>"PPP6R3"</f>
        <v>PPP6R3</v>
      </c>
      <c r="B13864" t="s">
        <v>14</v>
      </c>
      <c r="C13864" t="s">
        <v>27</v>
      </c>
      <c r="D13864" t="s">
        <v>17</v>
      </c>
      <c r="E13864" t="s">
        <v>12</v>
      </c>
      <c r="F13864">
        <v>68228189</v>
      </c>
      <c r="G13864">
        <v>68228237</v>
      </c>
      <c r="H13864">
        <v>68228189</v>
      </c>
      <c r="I13864">
        <v>68228237</v>
      </c>
    </row>
    <row r="13865" spans="1:9" x14ac:dyDescent="0.2">
      <c r="A13865" s="1" t="str">
        <f>"PPRC1"</f>
        <v>PPRC1</v>
      </c>
      <c r="B13865" t="s">
        <v>14</v>
      </c>
      <c r="C13865" t="s">
        <v>15</v>
      </c>
      <c r="D13865" t="s">
        <v>17</v>
      </c>
      <c r="E13865" t="s">
        <v>12</v>
      </c>
      <c r="F13865">
        <v>103892788</v>
      </c>
      <c r="G13865">
        <v>103892821</v>
      </c>
      <c r="H13865">
        <v>103892788</v>
      </c>
      <c r="I13865">
        <v>103892821</v>
      </c>
    </row>
    <row r="13866" spans="1:9" x14ac:dyDescent="0.2">
      <c r="A13866" s="1" t="str">
        <f>"PPT1"</f>
        <v>PPT1</v>
      </c>
      <c r="B13866" t="s">
        <v>14</v>
      </c>
      <c r="C13866" t="s">
        <v>19</v>
      </c>
      <c r="D13866" t="s">
        <v>11</v>
      </c>
      <c r="E13866" t="s">
        <v>12</v>
      </c>
      <c r="F13866">
        <v>40562908</v>
      </c>
      <c r="G13866">
        <v>40562931</v>
      </c>
      <c r="H13866">
        <v>40563347</v>
      </c>
      <c r="I13866">
        <v>40563395</v>
      </c>
    </row>
    <row r="13867" spans="1:9" x14ac:dyDescent="0.2">
      <c r="A13867" s="1" t="str">
        <f>"PPT2"</f>
        <v>PPT2</v>
      </c>
      <c r="B13867" t="s">
        <v>14</v>
      </c>
      <c r="C13867" t="s">
        <v>32</v>
      </c>
      <c r="D13867" t="s">
        <v>17</v>
      </c>
      <c r="E13867" t="s">
        <v>12</v>
      </c>
      <c r="F13867">
        <v>32121908</v>
      </c>
      <c r="G13867">
        <v>32121998</v>
      </c>
      <c r="H13867">
        <v>32121295</v>
      </c>
      <c r="I13867">
        <v>32121346</v>
      </c>
    </row>
    <row r="13868" spans="1:9" x14ac:dyDescent="0.2">
      <c r="A13868" s="1" t="str">
        <f>"PPTC7"</f>
        <v>PPTC7</v>
      </c>
      <c r="B13868" t="s">
        <v>14</v>
      </c>
      <c r="C13868" t="s">
        <v>16</v>
      </c>
      <c r="D13868" t="s">
        <v>11</v>
      </c>
      <c r="E13868" t="s">
        <v>12</v>
      </c>
      <c r="F13868">
        <v>111021110</v>
      </c>
      <c r="G13868">
        <v>111021142</v>
      </c>
      <c r="H13868">
        <v>111020929</v>
      </c>
      <c r="I13868">
        <v>111020940</v>
      </c>
    </row>
    <row r="13869" spans="1:9" x14ac:dyDescent="0.2">
      <c r="A13869" s="1" t="str">
        <f>"PPWD1"</f>
        <v>PPWD1</v>
      </c>
      <c r="B13869" t="s">
        <v>14</v>
      </c>
      <c r="C13869" t="s">
        <v>46</v>
      </c>
      <c r="D13869" t="s">
        <v>17</v>
      </c>
      <c r="E13869" t="s">
        <v>12</v>
      </c>
      <c r="F13869">
        <v>64859094</v>
      </c>
      <c r="G13869">
        <v>64859136</v>
      </c>
      <c r="H13869">
        <v>64859227</v>
      </c>
      <c r="I13869">
        <v>64859241</v>
      </c>
    </row>
    <row r="13870" spans="1:9" x14ac:dyDescent="0.2">
      <c r="A13870" s="1" t="str">
        <f>"PPY"</f>
        <v>PPY</v>
      </c>
      <c r="B13870" t="s">
        <v>14</v>
      </c>
      <c r="C13870" t="s">
        <v>28</v>
      </c>
      <c r="D13870" t="s">
        <v>11</v>
      </c>
      <c r="E13870" t="s">
        <v>12</v>
      </c>
      <c r="F13870">
        <v>42019840</v>
      </c>
      <c r="G13870">
        <v>42019844</v>
      </c>
      <c r="H13870">
        <v>42019840</v>
      </c>
      <c r="I13870">
        <v>42019844</v>
      </c>
    </row>
    <row r="13871" spans="1:9" x14ac:dyDescent="0.2">
      <c r="A13871" s="1" t="str">
        <f>"PQBP1"</f>
        <v>PQBP1</v>
      </c>
      <c r="B13871" t="s">
        <v>14</v>
      </c>
      <c r="C13871" t="s">
        <v>37</v>
      </c>
      <c r="D13871" t="s">
        <v>17</v>
      </c>
      <c r="E13871" t="s">
        <v>12</v>
      </c>
      <c r="F13871">
        <v>48755202</v>
      </c>
      <c r="G13871">
        <v>48755223</v>
      </c>
      <c r="H13871">
        <v>48755183</v>
      </c>
      <c r="I13871">
        <v>48755194</v>
      </c>
    </row>
    <row r="13872" spans="1:9" x14ac:dyDescent="0.2">
      <c r="A13872" s="1" t="str">
        <f>"PQLC1"</f>
        <v>PQLC1</v>
      </c>
      <c r="B13872" t="s">
        <v>14</v>
      </c>
      <c r="C13872" t="s">
        <v>43</v>
      </c>
      <c r="D13872" t="s">
        <v>11</v>
      </c>
      <c r="E13872" t="s">
        <v>12</v>
      </c>
      <c r="F13872">
        <v>77711625</v>
      </c>
      <c r="G13872">
        <v>77711675</v>
      </c>
      <c r="H13872">
        <v>77710831</v>
      </c>
      <c r="I13872">
        <v>77710845</v>
      </c>
    </row>
    <row r="13873" spans="1:9" x14ac:dyDescent="0.2">
      <c r="A13873" s="1" t="str">
        <f>"PQLC2"</f>
        <v>PQLC2</v>
      </c>
      <c r="B13873" t="s">
        <v>14</v>
      </c>
      <c r="C13873" t="s">
        <v>19</v>
      </c>
      <c r="D13873" t="s">
        <v>17</v>
      </c>
      <c r="E13873" t="s">
        <v>12</v>
      </c>
      <c r="F13873">
        <v>19638788</v>
      </c>
      <c r="G13873">
        <v>19638828</v>
      </c>
      <c r="H13873">
        <v>19638777</v>
      </c>
      <c r="I13873">
        <v>19638787</v>
      </c>
    </row>
    <row r="13874" spans="1:9" x14ac:dyDescent="0.2">
      <c r="A13874" s="1" t="str">
        <f>"PQLC3"</f>
        <v>PQLC3</v>
      </c>
      <c r="B13874" t="s">
        <v>14</v>
      </c>
      <c r="C13874" t="s">
        <v>26</v>
      </c>
      <c r="D13874" t="s">
        <v>17</v>
      </c>
      <c r="E13874" t="s">
        <v>12</v>
      </c>
      <c r="F13874">
        <v>11295549</v>
      </c>
      <c r="G13874">
        <v>11295610</v>
      </c>
      <c r="H13874">
        <v>11295624</v>
      </c>
      <c r="I13874">
        <v>11295635</v>
      </c>
    </row>
    <row r="13875" spans="1:9" x14ac:dyDescent="0.2">
      <c r="A13875" s="1" t="str">
        <f>"PRAC1"</f>
        <v>PRAC1</v>
      </c>
      <c r="B13875" t="s">
        <v>14</v>
      </c>
      <c r="C13875" t="s">
        <v>28</v>
      </c>
      <c r="D13875" t="s">
        <v>11</v>
      </c>
      <c r="E13875" t="s">
        <v>12</v>
      </c>
      <c r="F13875">
        <v>46799872</v>
      </c>
      <c r="G13875">
        <v>46799887</v>
      </c>
      <c r="H13875">
        <v>46800319</v>
      </c>
      <c r="I13875">
        <v>46800343</v>
      </c>
    </row>
    <row r="13876" spans="1:9" x14ac:dyDescent="0.2">
      <c r="A13876" s="1" t="str">
        <f>"PRADC1"</f>
        <v>PRADC1</v>
      </c>
      <c r="B13876" t="s">
        <v>14</v>
      </c>
      <c r="C13876" t="s">
        <v>26</v>
      </c>
      <c r="D13876" t="s">
        <v>11</v>
      </c>
      <c r="E13876" t="s">
        <v>12</v>
      </c>
      <c r="F13876">
        <v>73460334</v>
      </c>
      <c r="G13876">
        <v>73460405</v>
      </c>
      <c r="H13876">
        <v>73460334</v>
      </c>
      <c r="I13876">
        <v>73460405</v>
      </c>
    </row>
    <row r="13877" spans="1:9" x14ac:dyDescent="0.2">
      <c r="A13877" s="1" t="str">
        <f>"PRAF2"</f>
        <v>PRAF2</v>
      </c>
      <c r="B13877" t="s">
        <v>9</v>
      </c>
      <c r="C13877" t="s">
        <v>37</v>
      </c>
      <c r="D13877" t="s">
        <v>11</v>
      </c>
      <c r="E13877" t="s">
        <v>12</v>
      </c>
      <c r="F13877">
        <v>48931650</v>
      </c>
      <c r="G13877">
        <v>48931681</v>
      </c>
      <c r="H13877">
        <v>48931650</v>
      </c>
      <c r="I13877">
        <v>48931681</v>
      </c>
    </row>
    <row r="13878" spans="1:9" x14ac:dyDescent="0.2">
      <c r="A13878" s="1" t="str">
        <f>"PRAF2"</f>
        <v>PRAF2</v>
      </c>
      <c r="B13878" t="s">
        <v>13</v>
      </c>
      <c r="C13878" t="s">
        <v>37</v>
      </c>
      <c r="D13878" t="s">
        <v>11</v>
      </c>
      <c r="E13878" t="s">
        <v>12</v>
      </c>
      <c r="F13878">
        <v>48937535</v>
      </c>
      <c r="G13878">
        <v>48937580</v>
      </c>
      <c r="H13878">
        <v>48937535</v>
      </c>
      <c r="I13878">
        <v>48937580</v>
      </c>
    </row>
    <row r="13879" spans="1:9" x14ac:dyDescent="0.2">
      <c r="A13879" s="1" t="str">
        <f>"PRAM1"</f>
        <v>PRAM1</v>
      </c>
      <c r="B13879" t="s">
        <v>14</v>
      </c>
      <c r="C13879" t="s">
        <v>10</v>
      </c>
      <c r="D13879" t="s">
        <v>11</v>
      </c>
      <c r="E13879" t="s">
        <v>12</v>
      </c>
      <c r="F13879">
        <v>8567505</v>
      </c>
      <c r="G13879">
        <v>8567540</v>
      </c>
      <c r="H13879">
        <v>8567478</v>
      </c>
      <c r="I13879">
        <v>8567493</v>
      </c>
    </row>
    <row r="13880" spans="1:9" x14ac:dyDescent="0.2">
      <c r="A13880" s="1" t="str">
        <f>"PRAME"</f>
        <v>PRAME</v>
      </c>
      <c r="B13880" t="s">
        <v>14</v>
      </c>
      <c r="C13880" t="s">
        <v>21</v>
      </c>
      <c r="D13880" t="s">
        <v>11</v>
      </c>
      <c r="E13880" t="s">
        <v>12</v>
      </c>
      <c r="F13880">
        <v>22901636</v>
      </c>
      <c r="G13880">
        <v>22901715</v>
      </c>
      <c r="H13880">
        <v>22901636</v>
      </c>
      <c r="I13880">
        <v>22901715</v>
      </c>
    </row>
    <row r="13881" spans="1:9" x14ac:dyDescent="0.2">
      <c r="A13881" s="1" t="str">
        <f>"PRAMEF1"</f>
        <v>PRAMEF1</v>
      </c>
      <c r="B13881" t="s">
        <v>14</v>
      </c>
      <c r="C13881" t="s">
        <v>19</v>
      </c>
      <c r="D13881" t="s">
        <v>17</v>
      </c>
      <c r="E13881" t="s">
        <v>12</v>
      </c>
      <c r="F13881">
        <v>12851545</v>
      </c>
      <c r="G13881">
        <v>12851549</v>
      </c>
      <c r="H13881">
        <v>12851545</v>
      </c>
      <c r="I13881">
        <v>12851549</v>
      </c>
    </row>
    <row r="13882" spans="1:9" x14ac:dyDescent="0.2">
      <c r="A13882" s="1" t="str">
        <f>"PRAMEF10"</f>
        <v>PRAMEF10</v>
      </c>
      <c r="B13882" t="s">
        <v>14</v>
      </c>
      <c r="C13882" t="s">
        <v>19</v>
      </c>
      <c r="D13882" t="s">
        <v>11</v>
      </c>
      <c r="E13882" t="s">
        <v>12</v>
      </c>
      <c r="F13882">
        <v>12958123</v>
      </c>
      <c r="G13882">
        <v>12958124</v>
      </c>
      <c r="H13882">
        <v>12958123</v>
      </c>
      <c r="I13882">
        <v>12958124</v>
      </c>
    </row>
    <row r="13883" spans="1:9" x14ac:dyDescent="0.2">
      <c r="A13883" s="1" t="str">
        <f>"PRAMEF11"</f>
        <v>PRAMEF11</v>
      </c>
      <c r="B13883" t="s">
        <v>1376</v>
      </c>
      <c r="C13883" t="s">
        <v>19</v>
      </c>
      <c r="D13883" t="s">
        <v>11</v>
      </c>
      <c r="E13883" t="s">
        <v>20</v>
      </c>
      <c r="F13883">
        <v>12891263</v>
      </c>
      <c r="G13883">
        <v>12891263</v>
      </c>
      <c r="H13883">
        <v>12891263</v>
      </c>
      <c r="I13883">
        <v>12891263</v>
      </c>
    </row>
    <row r="13884" spans="1:9" x14ac:dyDescent="0.2">
      <c r="A13884" s="1" t="str">
        <f>"PRAMEF12"</f>
        <v>PRAMEF12</v>
      </c>
      <c r="B13884" t="s">
        <v>1377</v>
      </c>
      <c r="C13884" t="s">
        <v>19</v>
      </c>
      <c r="D13884" t="s">
        <v>17</v>
      </c>
      <c r="E13884" t="s">
        <v>20</v>
      </c>
      <c r="F13884">
        <v>12834983</v>
      </c>
      <c r="G13884">
        <v>12834983</v>
      </c>
      <c r="H13884">
        <v>12834983</v>
      </c>
      <c r="I13884">
        <v>12834983</v>
      </c>
    </row>
    <row r="13885" spans="1:9" x14ac:dyDescent="0.2">
      <c r="A13885" s="1" t="str">
        <f>"PRAMEF13"</f>
        <v>PRAMEF13</v>
      </c>
      <c r="B13885" t="s">
        <v>1378</v>
      </c>
      <c r="C13885" t="s">
        <v>19</v>
      </c>
      <c r="D13885" t="s">
        <v>11</v>
      </c>
      <c r="E13885" t="s">
        <v>20</v>
      </c>
      <c r="F13885">
        <v>13452655</v>
      </c>
      <c r="G13885">
        <v>13452655</v>
      </c>
      <c r="H13885">
        <v>13452655</v>
      </c>
      <c r="I13885">
        <v>13452655</v>
      </c>
    </row>
    <row r="13886" spans="1:9" x14ac:dyDescent="0.2">
      <c r="A13886" s="1" t="str">
        <f>"PRAMEF15"</f>
        <v>PRAMEF15</v>
      </c>
      <c r="B13886" t="s">
        <v>1379</v>
      </c>
      <c r="C13886" t="s">
        <v>19</v>
      </c>
      <c r="D13886" t="s">
        <v>17</v>
      </c>
      <c r="E13886" t="s">
        <v>20</v>
      </c>
      <c r="F13886">
        <v>13641972</v>
      </c>
      <c r="G13886">
        <v>13641972</v>
      </c>
      <c r="H13886">
        <v>13641972</v>
      </c>
      <c r="I13886">
        <v>13641972</v>
      </c>
    </row>
    <row r="13887" spans="1:9" x14ac:dyDescent="0.2">
      <c r="A13887" s="1" t="str">
        <f>"PRAMEF16"</f>
        <v>PRAMEF16</v>
      </c>
      <c r="B13887" t="s">
        <v>1380</v>
      </c>
      <c r="C13887" t="s">
        <v>19</v>
      </c>
      <c r="D13887" t="s">
        <v>17</v>
      </c>
      <c r="E13887" t="s">
        <v>20</v>
      </c>
      <c r="F13887">
        <v>13495253</v>
      </c>
      <c r="G13887">
        <v>13495253</v>
      </c>
      <c r="H13887">
        <v>13495253</v>
      </c>
      <c r="I13887">
        <v>13495253</v>
      </c>
    </row>
    <row r="13888" spans="1:9" x14ac:dyDescent="0.2">
      <c r="A13888" s="1" t="str">
        <f>"PRAMEF17"</f>
        <v>PRAMEF17</v>
      </c>
      <c r="B13888" t="s">
        <v>1381</v>
      </c>
      <c r="C13888" t="s">
        <v>19</v>
      </c>
      <c r="D13888" t="s">
        <v>17</v>
      </c>
      <c r="E13888" t="s">
        <v>20</v>
      </c>
      <c r="F13888">
        <v>13716091</v>
      </c>
      <c r="G13888">
        <v>13716091</v>
      </c>
      <c r="H13888">
        <v>13716091</v>
      </c>
      <c r="I13888">
        <v>13716091</v>
      </c>
    </row>
    <row r="13889" spans="1:9" x14ac:dyDescent="0.2">
      <c r="A13889" s="1" t="str">
        <f>"PRAMEF18"</f>
        <v>PRAMEF18</v>
      </c>
      <c r="B13889" t="s">
        <v>1382</v>
      </c>
      <c r="C13889" t="s">
        <v>19</v>
      </c>
      <c r="D13889" t="s">
        <v>11</v>
      </c>
      <c r="E13889" t="s">
        <v>20</v>
      </c>
      <c r="F13889">
        <v>13477521</v>
      </c>
      <c r="G13889">
        <v>13477521</v>
      </c>
      <c r="H13889">
        <v>13477521</v>
      </c>
      <c r="I13889">
        <v>13477521</v>
      </c>
    </row>
    <row r="13890" spans="1:9" x14ac:dyDescent="0.2">
      <c r="A13890" s="1" t="str">
        <f>"PRAMEF19"</f>
        <v>PRAMEF19</v>
      </c>
      <c r="B13890" t="s">
        <v>1383</v>
      </c>
      <c r="C13890" t="s">
        <v>19</v>
      </c>
      <c r="D13890" t="s">
        <v>11</v>
      </c>
      <c r="E13890" t="s">
        <v>20</v>
      </c>
      <c r="F13890">
        <v>13698404</v>
      </c>
      <c r="G13890">
        <v>13698404</v>
      </c>
      <c r="H13890">
        <v>13698404</v>
      </c>
      <c r="I13890">
        <v>13698404</v>
      </c>
    </row>
    <row r="13891" spans="1:9" x14ac:dyDescent="0.2">
      <c r="A13891" s="1" t="str">
        <f>"PRAMEF2"</f>
        <v>PRAMEF2</v>
      </c>
      <c r="B13891" t="s">
        <v>14</v>
      </c>
      <c r="C13891" t="s">
        <v>19</v>
      </c>
      <c r="D13891" t="s">
        <v>17</v>
      </c>
      <c r="E13891" t="s">
        <v>12</v>
      </c>
      <c r="F13891">
        <v>12916923</v>
      </c>
      <c r="G13891">
        <v>12916928</v>
      </c>
      <c r="H13891">
        <v>12916923</v>
      </c>
      <c r="I13891">
        <v>12916928</v>
      </c>
    </row>
    <row r="13892" spans="1:9" x14ac:dyDescent="0.2">
      <c r="A13892" s="1" t="str">
        <f>"PRAMEF20"</f>
        <v>PRAMEF20</v>
      </c>
      <c r="B13892" t="s">
        <v>1384</v>
      </c>
      <c r="C13892" t="s">
        <v>19</v>
      </c>
      <c r="D13892" t="s">
        <v>17</v>
      </c>
      <c r="E13892" t="s">
        <v>20</v>
      </c>
      <c r="F13892">
        <v>13736906</v>
      </c>
      <c r="G13892">
        <v>13736906</v>
      </c>
      <c r="H13892">
        <v>13736906</v>
      </c>
      <c r="I13892">
        <v>13736906</v>
      </c>
    </row>
    <row r="13893" spans="1:9" x14ac:dyDescent="0.2">
      <c r="A13893" s="1" t="str">
        <f>"PRAMEF20"</f>
        <v>PRAMEF20</v>
      </c>
      <c r="B13893" t="s">
        <v>1385</v>
      </c>
      <c r="C13893" t="s">
        <v>19</v>
      </c>
      <c r="D13893" t="s">
        <v>17</v>
      </c>
      <c r="E13893" t="s">
        <v>20</v>
      </c>
      <c r="F13893">
        <v>13742807</v>
      </c>
      <c r="G13893">
        <v>13742807</v>
      </c>
      <c r="H13893">
        <v>13742807</v>
      </c>
      <c r="I13893">
        <v>13742807</v>
      </c>
    </row>
    <row r="13894" spans="1:9" x14ac:dyDescent="0.2">
      <c r="A13894" s="1" t="str">
        <f>"PRAMEF3"</f>
        <v>PRAMEF3</v>
      </c>
      <c r="B13894" t="s">
        <v>1386</v>
      </c>
      <c r="C13894" t="s">
        <v>19</v>
      </c>
      <c r="D13894" t="s">
        <v>11</v>
      </c>
      <c r="E13894" t="s">
        <v>20</v>
      </c>
      <c r="F13894">
        <v>13331691</v>
      </c>
      <c r="G13894">
        <v>13331691</v>
      </c>
      <c r="H13894">
        <v>13331691</v>
      </c>
      <c r="I13894">
        <v>13331691</v>
      </c>
    </row>
    <row r="13895" spans="1:9" x14ac:dyDescent="0.2">
      <c r="A13895" s="1" t="str">
        <f>"PRAMEF4"</f>
        <v>PRAMEF4</v>
      </c>
      <c r="B13895" t="s">
        <v>1387</v>
      </c>
      <c r="C13895" t="s">
        <v>19</v>
      </c>
      <c r="D13895" t="s">
        <v>11</v>
      </c>
      <c r="E13895" t="s">
        <v>20</v>
      </c>
      <c r="F13895">
        <v>12946024</v>
      </c>
      <c r="G13895">
        <v>12946024</v>
      </c>
      <c r="H13895">
        <v>12946024</v>
      </c>
      <c r="I13895">
        <v>12946024</v>
      </c>
    </row>
    <row r="13896" spans="1:9" x14ac:dyDescent="0.2">
      <c r="A13896" s="1" t="str">
        <f>"PRAMEF5"</f>
        <v>PRAMEF5</v>
      </c>
      <c r="B13896" t="s">
        <v>1388</v>
      </c>
      <c r="C13896" t="s">
        <v>19</v>
      </c>
      <c r="D13896" t="s">
        <v>17</v>
      </c>
      <c r="E13896" t="s">
        <v>20</v>
      </c>
      <c r="F13896">
        <v>13359818</v>
      </c>
      <c r="G13896">
        <v>13359818</v>
      </c>
      <c r="H13896">
        <v>13359818</v>
      </c>
      <c r="I13896">
        <v>13359818</v>
      </c>
    </row>
    <row r="13897" spans="1:9" x14ac:dyDescent="0.2">
      <c r="A13897" s="1" t="str">
        <f>"PRAMEF6"</f>
        <v>PRAMEF6</v>
      </c>
      <c r="B13897" t="s">
        <v>1389</v>
      </c>
      <c r="C13897" t="s">
        <v>19</v>
      </c>
      <c r="D13897" t="s">
        <v>11</v>
      </c>
      <c r="E13897" t="s">
        <v>20</v>
      </c>
      <c r="F13897">
        <v>13002347</v>
      </c>
      <c r="G13897">
        <v>13002347</v>
      </c>
      <c r="H13897">
        <v>13002347</v>
      </c>
      <c r="I13897">
        <v>13002347</v>
      </c>
    </row>
    <row r="13898" spans="1:9" x14ac:dyDescent="0.2">
      <c r="A13898" s="1" t="str">
        <f>"PRAMEF6"</f>
        <v>PRAMEF6</v>
      </c>
      <c r="B13898" t="s">
        <v>1390</v>
      </c>
      <c r="C13898" t="s">
        <v>19</v>
      </c>
      <c r="D13898" t="s">
        <v>11</v>
      </c>
      <c r="E13898" t="s">
        <v>20</v>
      </c>
      <c r="F13898">
        <v>13117750</v>
      </c>
      <c r="G13898">
        <v>13117750</v>
      </c>
      <c r="H13898">
        <v>13117750</v>
      </c>
      <c r="I13898">
        <v>13117750</v>
      </c>
    </row>
    <row r="13899" spans="1:9" x14ac:dyDescent="0.2">
      <c r="A13899" s="1" t="str">
        <f>"PRAMEF6"</f>
        <v>PRAMEF6</v>
      </c>
      <c r="B13899" t="s">
        <v>1391</v>
      </c>
      <c r="C13899" t="s">
        <v>19</v>
      </c>
      <c r="D13899" t="s">
        <v>11</v>
      </c>
      <c r="E13899" t="s">
        <v>20</v>
      </c>
      <c r="F13899">
        <v>13007419</v>
      </c>
      <c r="G13899">
        <v>13007419</v>
      </c>
      <c r="H13899">
        <v>13007419</v>
      </c>
      <c r="I13899">
        <v>13007419</v>
      </c>
    </row>
    <row r="13900" spans="1:9" x14ac:dyDescent="0.2">
      <c r="A13900" s="1" t="str">
        <f>"PRAMEF6"</f>
        <v>PRAMEF6</v>
      </c>
      <c r="B13900" t="s">
        <v>1392</v>
      </c>
      <c r="C13900" t="s">
        <v>19</v>
      </c>
      <c r="D13900" t="s">
        <v>11</v>
      </c>
      <c r="E13900" t="s">
        <v>20</v>
      </c>
      <c r="F13900">
        <v>13117735</v>
      </c>
      <c r="G13900">
        <v>13117735</v>
      </c>
      <c r="H13900">
        <v>13117735</v>
      </c>
      <c r="I13900">
        <v>13117735</v>
      </c>
    </row>
    <row r="13901" spans="1:9" x14ac:dyDescent="0.2">
      <c r="A13901" s="1" t="str">
        <f>"PRAMEF6"</f>
        <v>PRAMEF6</v>
      </c>
      <c r="B13901" t="s">
        <v>1393</v>
      </c>
      <c r="C13901" t="s">
        <v>19</v>
      </c>
      <c r="D13901" t="s">
        <v>11</v>
      </c>
      <c r="E13901" t="s">
        <v>20</v>
      </c>
      <c r="F13901">
        <v>13115577</v>
      </c>
      <c r="G13901">
        <v>13115577</v>
      </c>
      <c r="H13901">
        <v>13115577</v>
      </c>
      <c r="I13901">
        <v>13115577</v>
      </c>
    </row>
    <row r="13902" spans="1:9" x14ac:dyDescent="0.2">
      <c r="A13902" s="1" t="str">
        <f>"PRAMEF6"</f>
        <v>PRAMEF6</v>
      </c>
      <c r="B13902" t="s">
        <v>1394</v>
      </c>
      <c r="C13902" t="s">
        <v>19</v>
      </c>
      <c r="D13902" t="s">
        <v>11</v>
      </c>
      <c r="E13902" t="s">
        <v>20</v>
      </c>
      <c r="F13902">
        <v>13005245</v>
      </c>
      <c r="G13902">
        <v>13005245</v>
      </c>
      <c r="H13902">
        <v>13005245</v>
      </c>
      <c r="I13902">
        <v>13005245</v>
      </c>
    </row>
    <row r="13903" spans="1:9" x14ac:dyDescent="0.2">
      <c r="A13903" s="1" t="str">
        <f>"PRAMEF7"</f>
        <v>PRAMEF7</v>
      </c>
      <c r="B13903" t="s">
        <v>1395</v>
      </c>
      <c r="C13903" t="s">
        <v>19</v>
      </c>
      <c r="D13903" t="s">
        <v>17</v>
      </c>
      <c r="E13903" t="s">
        <v>20</v>
      </c>
      <c r="F13903">
        <v>12977512</v>
      </c>
      <c r="G13903">
        <v>12977512</v>
      </c>
      <c r="H13903">
        <v>12977512</v>
      </c>
      <c r="I13903">
        <v>12977512</v>
      </c>
    </row>
    <row r="13904" spans="1:9" x14ac:dyDescent="0.2">
      <c r="A13904" s="1" t="str">
        <f>"PRAMEF7"</f>
        <v>PRAMEF7</v>
      </c>
      <c r="B13904" t="s">
        <v>1396</v>
      </c>
      <c r="C13904" t="s">
        <v>19</v>
      </c>
      <c r="D13904" t="s">
        <v>17</v>
      </c>
      <c r="E13904" t="s">
        <v>20</v>
      </c>
      <c r="F13904">
        <v>12976449</v>
      </c>
      <c r="G13904">
        <v>12976449</v>
      </c>
      <c r="H13904">
        <v>12976449</v>
      </c>
      <c r="I13904">
        <v>12976449</v>
      </c>
    </row>
    <row r="13905" spans="1:9" x14ac:dyDescent="0.2">
      <c r="A13905" s="1" t="str">
        <f>"PRAMEF8"</f>
        <v>PRAMEF8</v>
      </c>
      <c r="B13905" t="s">
        <v>1397</v>
      </c>
      <c r="C13905" t="s">
        <v>19</v>
      </c>
      <c r="D13905" t="s">
        <v>11</v>
      </c>
      <c r="E13905" t="s">
        <v>20</v>
      </c>
      <c r="F13905">
        <v>13390764</v>
      </c>
      <c r="G13905">
        <v>13390764</v>
      </c>
      <c r="H13905">
        <v>13390764</v>
      </c>
      <c r="I13905">
        <v>13390764</v>
      </c>
    </row>
    <row r="13906" spans="1:9" x14ac:dyDescent="0.2">
      <c r="A13906" s="1" t="str">
        <f>"PRAMEF9"</f>
        <v>PRAMEF9</v>
      </c>
      <c r="B13906" t="s">
        <v>1398</v>
      </c>
      <c r="C13906" t="s">
        <v>19</v>
      </c>
      <c r="D13906" t="s">
        <v>17</v>
      </c>
      <c r="E13906" t="s">
        <v>20</v>
      </c>
      <c r="F13906">
        <v>13421175</v>
      </c>
      <c r="G13906">
        <v>13421175</v>
      </c>
      <c r="H13906">
        <v>13421175</v>
      </c>
      <c r="I13906">
        <v>13421175</v>
      </c>
    </row>
    <row r="13907" spans="1:9" x14ac:dyDescent="0.2">
      <c r="A13907" s="1" t="str">
        <f>"PRAP1"</f>
        <v>PRAP1</v>
      </c>
      <c r="B13907" t="s">
        <v>14</v>
      </c>
      <c r="C13907" t="s">
        <v>15</v>
      </c>
      <c r="D13907" t="s">
        <v>17</v>
      </c>
      <c r="E13907" t="s">
        <v>12</v>
      </c>
      <c r="F13907">
        <v>135160870</v>
      </c>
      <c r="G13907">
        <v>135160906</v>
      </c>
      <c r="H13907">
        <v>135160851</v>
      </c>
      <c r="I13907">
        <v>135160869</v>
      </c>
    </row>
    <row r="13908" spans="1:9" x14ac:dyDescent="0.2">
      <c r="A13908" s="1" t="str">
        <f>"PRB1"</f>
        <v>PRB1</v>
      </c>
      <c r="B13908" t="s">
        <v>14</v>
      </c>
      <c r="C13908" t="s">
        <v>16</v>
      </c>
      <c r="D13908" t="s">
        <v>11</v>
      </c>
      <c r="E13908" t="s">
        <v>12</v>
      </c>
      <c r="F13908">
        <v>11548496</v>
      </c>
      <c r="G13908">
        <v>11548505</v>
      </c>
      <c r="H13908">
        <v>11548496</v>
      </c>
      <c r="I13908">
        <v>11548505</v>
      </c>
    </row>
    <row r="13909" spans="1:9" x14ac:dyDescent="0.2">
      <c r="A13909" s="1" t="str">
        <f>"PRB2"</f>
        <v>PRB2</v>
      </c>
      <c r="B13909" t="s">
        <v>14</v>
      </c>
      <c r="C13909" t="s">
        <v>16</v>
      </c>
      <c r="D13909" t="s">
        <v>11</v>
      </c>
      <c r="E13909" t="s">
        <v>12</v>
      </c>
      <c r="F13909">
        <v>11546322</v>
      </c>
      <c r="G13909">
        <v>11546343</v>
      </c>
      <c r="H13909">
        <v>11546322</v>
      </c>
      <c r="I13909">
        <v>11546343</v>
      </c>
    </row>
    <row r="13910" spans="1:9" x14ac:dyDescent="0.2">
      <c r="A13910" s="1" t="str">
        <f>"PRB3"</f>
        <v>PRB3</v>
      </c>
      <c r="B13910" t="s">
        <v>14</v>
      </c>
      <c r="C13910" t="s">
        <v>16</v>
      </c>
      <c r="D13910" t="s">
        <v>11</v>
      </c>
      <c r="E13910" t="s">
        <v>12</v>
      </c>
      <c r="F13910">
        <v>11422630</v>
      </c>
      <c r="G13910">
        <v>11422648</v>
      </c>
      <c r="H13910">
        <v>11422630</v>
      </c>
      <c r="I13910">
        <v>11422648</v>
      </c>
    </row>
    <row r="13911" spans="1:9" x14ac:dyDescent="0.2">
      <c r="A13911" s="1" t="str">
        <f>"PRB4"</f>
        <v>PRB4</v>
      </c>
      <c r="B13911" t="s">
        <v>14</v>
      </c>
      <c r="C13911" t="s">
        <v>16</v>
      </c>
      <c r="D13911" t="s">
        <v>11</v>
      </c>
      <c r="E13911" t="s">
        <v>12</v>
      </c>
      <c r="F13911">
        <v>11463353</v>
      </c>
      <c r="G13911">
        <v>11463372</v>
      </c>
      <c r="H13911">
        <v>11463324</v>
      </c>
      <c r="I13911">
        <v>11463340</v>
      </c>
    </row>
    <row r="13912" spans="1:9" x14ac:dyDescent="0.2">
      <c r="A13912" s="1" t="str">
        <f>"PRC1"</f>
        <v>PRC1</v>
      </c>
      <c r="B13912" t="s">
        <v>14</v>
      </c>
      <c r="C13912" t="s">
        <v>25</v>
      </c>
      <c r="D13912" t="s">
        <v>11</v>
      </c>
      <c r="E13912" t="s">
        <v>12</v>
      </c>
      <c r="F13912">
        <v>91537723</v>
      </c>
      <c r="G13912">
        <v>91537804</v>
      </c>
      <c r="H13912">
        <v>91537809</v>
      </c>
      <c r="I13912">
        <v>91537824</v>
      </c>
    </row>
    <row r="13913" spans="1:9" x14ac:dyDescent="0.2">
      <c r="A13913" s="1" t="str">
        <f>"PRCC"</f>
        <v>PRCC</v>
      </c>
      <c r="B13913" t="s">
        <v>14</v>
      </c>
      <c r="C13913" t="s">
        <v>19</v>
      </c>
      <c r="D13913" t="s">
        <v>17</v>
      </c>
      <c r="E13913" t="s">
        <v>12</v>
      </c>
      <c r="F13913">
        <v>156737319</v>
      </c>
      <c r="G13913">
        <v>156737339</v>
      </c>
      <c r="H13913">
        <v>156737319</v>
      </c>
      <c r="I13913">
        <v>156737339</v>
      </c>
    </row>
    <row r="13914" spans="1:9" x14ac:dyDescent="0.2">
      <c r="A13914" s="1" t="str">
        <f>"PRCD"</f>
        <v>PRCD</v>
      </c>
      <c r="B13914" t="s">
        <v>9</v>
      </c>
      <c r="C13914" t="s">
        <v>28</v>
      </c>
      <c r="D13914" t="s">
        <v>17</v>
      </c>
      <c r="E13914" t="s">
        <v>12</v>
      </c>
      <c r="F13914">
        <v>74540357</v>
      </c>
      <c r="G13914">
        <v>74540388</v>
      </c>
      <c r="H13914">
        <v>74540357</v>
      </c>
      <c r="I13914">
        <v>74540388</v>
      </c>
    </row>
    <row r="13915" spans="1:9" x14ac:dyDescent="0.2">
      <c r="A13915" s="1" t="str">
        <f>"PRCD"</f>
        <v>PRCD</v>
      </c>
      <c r="B13915" t="s">
        <v>13</v>
      </c>
      <c r="C13915" t="s">
        <v>28</v>
      </c>
      <c r="D13915" t="s">
        <v>17</v>
      </c>
      <c r="E13915" t="s">
        <v>12</v>
      </c>
      <c r="F13915">
        <v>74536118</v>
      </c>
      <c r="G13915">
        <v>74536138</v>
      </c>
      <c r="H13915">
        <v>74536118</v>
      </c>
      <c r="I13915">
        <v>74536138</v>
      </c>
    </row>
    <row r="13916" spans="1:9" x14ac:dyDescent="0.2">
      <c r="A13916" s="1" t="str">
        <f>"PRCP"</f>
        <v>PRCP</v>
      </c>
      <c r="B13916" t="s">
        <v>9</v>
      </c>
      <c r="C13916" t="s">
        <v>27</v>
      </c>
      <c r="D13916" t="s">
        <v>11</v>
      </c>
      <c r="E13916" t="s">
        <v>12</v>
      </c>
      <c r="F13916">
        <v>82611448</v>
      </c>
      <c r="G13916">
        <v>82611492</v>
      </c>
      <c r="H13916">
        <v>82611448</v>
      </c>
      <c r="I13916">
        <v>82611492</v>
      </c>
    </row>
    <row r="13917" spans="1:9" x14ac:dyDescent="0.2">
      <c r="A13917" s="1" t="str">
        <f>"PRCP"</f>
        <v>PRCP</v>
      </c>
      <c r="B13917" t="s">
        <v>13</v>
      </c>
      <c r="C13917" t="s">
        <v>27</v>
      </c>
      <c r="D13917" t="s">
        <v>11</v>
      </c>
      <c r="E13917" t="s">
        <v>12</v>
      </c>
      <c r="F13917">
        <v>82612636</v>
      </c>
      <c r="G13917">
        <v>82612654</v>
      </c>
      <c r="H13917">
        <v>82612636</v>
      </c>
      <c r="I13917">
        <v>82612654</v>
      </c>
    </row>
    <row r="13918" spans="1:9" x14ac:dyDescent="0.2">
      <c r="A13918" s="1" t="str">
        <f>"PRDM1"</f>
        <v>PRDM1</v>
      </c>
      <c r="B13918" t="s">
        <v>14</v>
      </c>
      <c r="C13918" t="s">
        <v>32</v>
      </c>
      <c r="D13918" t="s">
        <v>17</v>
      </c>
      <c r="E13918" t="s">
        <v>12</v>
      </c>
      <c r="F13918">
        <v>106534192</v>
      </c>
      <c r="G13918">
        <v>106534224</v>
      </c>
      <c r="H13918">
        <v>106534230</v>
      </c>
      <c r="I13918">
        <v>106534254</v>
      </c>
    </row>
    <row r="13919" spans="1:9" x14ac:dyDescent="0.2">
      <c r="A13919" s="1" t="str">
        <f>"PRDM10"</f>
        <v>PRDM10</v>
      </c>
      <c r="B13919" t="s">
        <v>14</v>
      </c>
      <c r="C13919" t="s">
        <v>27</v>
      </c>
      <c r="D13919" t="s">
        <v>11</v>
      </c>
      <c r="E13919" t="s">
        <v>12</v>
      </c>
      <c r="F13919">
        <v>129872712</v>
      </c>
      <c r="G13919">
        <v>129872755</v>
      </c>
      <c r="H13919">
        <v>129872672</v>
      </c>
      <c r="I13919">
        <v>129872695</v>
      </c>
    </row>
    <row r="13920" spans="1:9" x14ac:dyDescent="0.2">
      <c r="A13920" s="1" t="str">
        <f>"PRDM11"</f>
        <v>PRDM11</v>
      </c>
      <c r="B13920" t="s">
        <v>1399</v>
      </c>
      <c r="C13920" t="s">
        <v>27</v>
      </c>
      <c r="D13920" t="s">
        <v>17</v>
      </c>
      <c r="E13920" t="s">
        <v>20</v>
      </c>
      <c r="F13920">
        <v>45115563</v>
      </c>
      <c r="G13920">
        <v>45115563</v>
      </c>
      <c r="H13920">
        <v>45115563</v>
      </c>
      <c r="I13920">
        <v>45115563</v>
      </c>
    </row>
    <row r="13921" spans="1:9" x14ac:dyDescent="0.2">
      <c r="A13921" s="1" t="str">
        <f>"PRDM11"</f>
        <v>PRDM11</v>
      </c>
      <c r="B13921" t="s">
        <v>1400</v>
      </c>
      <c r="C13921" t="s">
        <v>27</v>
      </c>
      <c r="D13921" t="s">
        <v>17</v>
      </c>
      <c r="E13921" t="s">
        <v>20</v>
      </c>
      <c r="F13921">
        <v>45117356</v>
      </c>
      <c r="G13921">
        <v>45117356</v>
      </c>
      <c r="H13921">
        <v>45117356</v>
      </c>
      <c r="I13921">
        <v>45117356</v>
      </c>
    </row>
    <row r="13922" spans="1:9" x14ac:dyDescent="0.2">
      <c r="A13922" s="1" t="str">
        <f>"PRDM12"</f>
        <v>PRDM12</v>
      </c>
      <c r="B13922" t="s">
        <v>14</v>
      </c>
      <c r="C13922" t="s">
        <v>24</v>
      </c>
      <c r="D13922" t="s">
        <v>17</v>
      </c>
      <c r="E13922" t="s">
        <v>12</v>
      </c>
      <c r="F13922">
        <v>133539789</v>
      </c>
      <c r="G13922">
        <v>133539819</v>
      </c>
      <c r="H13922">
        <v>133539532</v>
      </c>
      <c r="I13922">
        <v>133539533</v>
      </c>
    </row>
    <row r="13923" spans="1:9" x14ac:dyDescent="0.2">
      <c r="A13923" s="1" t="str">
        <f>"PRDM13"</f>
        <v>PRDM13</v>
      </c>
      <c r="B13923" t="s">
        <v>14</v>
      </c>
      <c r="C13923" t="s">
        <v>32</v>
      </c>
      <c r="D13923" t="s">
        <v>17</v>
      </c>
      <c r="E13923" t="s">
        <v>12</v>
      </c>
      <c r="F13923">
        <v>100061724</v>
      </c>
      <c r="G13923">
        <v>100061753</v>
      </c>
      <c r="H13923">
        <v>100061724</v>
      </c>
      <c r="I13923">
        <v>100061753</v>
      </c>
    </row>
    <row r="13924" spans="1:9" x14ac:dyDescent="0.2">
      <c r="A13924" s="1" t="str">
        <f>"PRDM14"</f>
        <v>PRDM14</v>
      </c>
      <c r="B13924" t="s">
        <v>14</v>
      </c>
      <c r="C13924" t="s">
        <v>30</v>
      </c>
      <c r="D13924" t="s">
        <v>11</v>
      </c>
      <c r="E13924" t="s">
        <v>12</v>
      </c>
      <c r="F13924">
        <v>70983476</v>
      </c>
      <c r="G13924">
        <v>70983493</v>
      </c>
      <c r="H13924">
        <v>70983443</v>
      </c>
      <c r="I13924">
        <v>70983460</v>
      </c>
    </row>
    <row r="13925" spans="1:9" x14ac:dyDescent="0.2">
      <c r="A13925" s="1" t="str">
        <f>"PRDM15"</f>
        <v>PRDM15</v>
      </c>
      <c r="B13925" t="s">
        <v>14</v>
      </c>
      <c r="C13925" t="s">
        <v>42</v>
      </c>
      <c r="D13925" t="s">
        <v>11</v>
      </c>
      <c r="E13925" t="s">
        <v>12</v>
      </c>
      <c r="F13925">
        <v>43299404</v>
      </c>
      <c r="G13925">
        <v>43299463</v>
      </c>
      <c r="H13925">
        <v>43299404</v>
      </c>
      <c r="I13925">
        <v>43299463</v>
      </c>
    </row>
    <row r="13926" spans="1:9" x14ac:dyDescent="0.2">
      <c r="A13926" s="1" t="str">
        <f>"PRDM16"</f>
        <v>PRDM16</v>
      </c>
      <c r="B13926" t="s">
        <v>14</v>
      </c>
      <c r="C13926" t="s">
        <v>19</v>
      </c>
      <c r="D13926" t="s">
        <v>17</v>
      </c>
      <c r="E13926" t="s">
        <v>12</v>
      </c>
      <c r="F13926">
        <v>2985760</v>
      </c>
      <c r="G13926">
        <v>2985774</v>
      </c>
      <c r="H13926">
        <v>2985726</v>
      </c>
      <c r="I13926">
        <v>2985752</v>
      </c>
    </row>
    <row r="13927" spans="1:9" x14ac:dyDescent="0.2">
      <c r="A13927" s="1" t="str">
        <f>"PRDM2"</f>
        <v>PRDM2</v>
      </c>
      <c r="B13927" t="s">
        <v>1401</v>
      </c>
      <c r="C13927" t="s">
        <v>19</v>
      </c>
      <c r="D13927" t="s">
        <v>17</v>
      </c>
      <c r="E13927" t="s">
        <v>20</v>
      </c>
      <c r="F13927">
        <v>14031349</v>
      </c>
      <c r="G13927">
        <v>14031349</v>
      </c>
      <c r="H13927">
        <v>14031349</v>
      </c>
      <c r="I13927">
        <v>14031349</v>
      </c>
    </row>
    <row r="13928" spans="1:9" x14ac:dyDescent="0.2">
      <c r="A13928" s="1" t="str">
        <f>"PRDM4"</f>
        <v>PRDM4</v>
      </c>
      <c r="B13928" t="s">
        <v>14</v>
      </c>
      <c r="C13928" t="s">
        <v>16</v>
      </c>
      <c r="D13928" t="s">
        <v>11</v>
      </c>
      <c r="E13928" t="s">
        <v>12</v>
      </c>
      <c r="F13928">
        <v>108154891</v>
      </c>
      <c r="G13928">
        <v>108154923</v>
      </c>
      <c r="H13928">
        <v>108154925</v>
      </c>
      <c r="I13928">
        <v>108154945</v>
      </c>
    </row>
    <row r="13929" spans="1:9" x14ac:dyDescent="0.2">
      <c r="A13929" s="1" t="str">
        <f>"PRDM5"</f>
        <v>PRDM5</v>
      </c>
      <c r="B13929" t="s">
        <v>14</v>
      </c>
      <c r="C13929" t="s">
        <v>23</v>
      </c>
      <c r="D13929" t="s">
        <v>11</v>
      </c>
      <c r="E13929" t="s">
        <v>12</v>
      </c>
      <c r="F13929">
        <v>121843844</v>
      </c>
      <c r="G13929">
        <v>121843904</v>
      </c>
      <c r="H13929">
        <v>121843985</v>
      </c>
      <c r="I13929">
        <v>121844024</v>
      </c>
    </row>
    <row r="13930" spans="1:9" x14ac:dyDescent="0.2">
      <c r="A13930" s="1" t="str">
        <f>"PRDM6"</f>
        <v>PRDM6</v>
      </c>
      <c r="B13930" t="s">
        <v>14</v>
      </c>
      <c r="C13930" t="s">
        <v>46</v>
      </c>
      <c r="D13930" t="s">
        <v>17</v>
      </c>
      <c r="E13930" t="s">
        <v>12</v>
      </c>
      <c r="F13930">
        <v>122424918</v>
      </c>
      <c r="G13930">
        <v>122424944</v>
      </c>
      <c r="H13930">
        <v>122424955</v>
      </c>
      <c r="I13930">
        <v>122424988</v>
      </c>
    </row>
    <row r="13931" spans="1:9" x14ac:dyDescent="0.2">
      <c r="A13931" s="1" t="str">
        <f>"PRDM7"</f>
        <v>PRDM7</v>
      </c>
      <c r="B13931" t="s">
        <v>1402</v>
      </c>
      <c r="C13931" t="s">
        <v>31</v>
      </c>
      <c r="D13931" t="s">
        <v>11</v>
      </c>
      <c r="E13931" t="s">
        <v>20</v>
      </c>
      <c r="F13931">
        <v>90142337</v>
      </c>
      <c r="G13931">
        <v>90142337</v>
      </c>
      <c r="H13931">
        <v>90142337</v>
      </c>
      <c r="I13931">
        <v>90142337</v>
      </c>
    </row>
    <row r="13932" spans="1:9" x14ac:dyDescent="0.2">
      <c r="A13932" s="1" t="str">
        <f>"PRDM8"</f>
        <v>PRDM8</v>
      </c>
      <c r="B13932" t="s">
        <v>9</v>
      </c>
      <c r="C13932" t="s">
        <v>23</v>
      </c>
      <c r="D13932" t="s">
        <v>17</v>
      </c>
      <c r="E13932" t="s">
        <v>12</v>
      </c>
      <c r="F13932">
        <v>81118647</v>
      </c>
      <c r="G13932">
        <v>81118666</v>
      </c>
      <c r="H13932">
        <v>81118647</v>
      </c>
      <c r="I13932">
        <v>81118666</v>
      </c>
    </row>
    <row r="13933" spans="1:9" x14ac:dyDescent="0.2">
      <c r="A13933" s="1" t="str">
        <f>"PRDM8"</f>
        <v>PRDM8</v>
      </c>
      <c r="B13933" t="s">
        <v>13</v>
      </c>
      <c r="C13933" t="s">
        <v>23</v>
      </c>
      <c r="D13933" t="s">
        <v>17</v>
      </c>
      <c r="E13933" t="s">
        <v>12</v>
      </c>
      <c r="F13933">
        <v>81104895</v>
      </c>
      <c r="G13933">
        <v>81104920</v>
      </c>
      <c r="H13933">
        <v>81104895</v>
      </c>
      <c r="I13933">
        <v>81104920</v>
      </c>
    </row>
    <row r="13934" spans="1:9" x14ac:dyDescent="0.2">
      <c r="A13934" s="1" t="str">
        <f>"PRDM9"</f>
        <v>PRDM9</v>
      </c>
      <c r="B13934" t="s">
        <v>14</v>
      </c>
      <c r="C13934" t="s">
        <v>46</v>
      </c>
      <c r="D13934" t="s">
        <v>17</v>
      </c>
      <c r="E13934" t="s">
        <v>12</v>
      </c>
      <c r="F13934">
        <v>23507692</v>
      </c>
      <c r="G13934">
        <v>23507732</v>
      </c>
      <c r="H13934">
        <v>23507692</v>
      </c>
      <c r="I13934">
        <v>23507732</v>
      </c>
    </row>
    <row r="13935" spans="1:9" x14ac:dyDescent="0.2">
      <c r="A13935" s="1" t="str">
        <f>"PRDX1"</f>
        <v>PRDX1</v>
      </c>
      <c r="B13935" t="s">
        <v>14</v>
      </c>
      <c r="C13935" t="s">
        <v>19</v>
      </c>
      <c r="D13935" t="s">
        <v>11</v>
      </c>
      <c r="E13935" t="s">
        <v>12</v>
      </c>
      <c r="F13935">
        <v>45987548</v>
      </c>
      <c r="G13935">
        <v>45987566</v>
      </c>
      <c r="H13935">
        <v>45988542</v>
      </c>
      <c r="I13935">
        <v>45988573</v>
      </c>
    </row>
    <row r="13936" spans="1:9" x14ac:dyDescent="0.2">
      <c r="A13936" s="1" t="str">
        <f>"PRDX2"</f>
        <v>PRDX2</v>
      </c>
      <c r="B13936" t="s">
        <v>14</v>
      </c>
      <c r="C13936" t="s">
        <v>10</v>
      </c>
      <c r="D13936" t="s">
        <v>11</v>
      </c>
      <c r="E13936" t="s">
        <v>12</v>
      </c>
      <c r="F13936">
        <v>12912607</v>
      </c>
      <c r="G13936">
        <v>12912621</v>
      </c>
      <c r="H13936">
        <v>12912657</v>
      </c>
      <c r="I13936">
        <v>12912669</v>
      </c>
    </row>
    <row r="13937" spans="1:9" x14ac:dyDescent="0.2">
      <c r="A13937" s="1" t="str">
        <f>"PRDX3"</f>
        <v>PRDX3</v>
      </c>
      <c r="B13937" t="s">
        <v>14</v>
      </c>
      <c r="C13937" t="s">
        <v>15</v>
      </c>
      <c r="D13937" t="s">
        <v>11</v>
      </c>
      <c r="E13937" t="s">
        <v>12</v>
      </c>
      <c r="F13937">
        <v>120938303</v>
      </c>
      <c r="G13937">
        <v>120938344</v>
      </c>
      <c r="H13937">
        <v>120938303</v>
      </c>
      <c r="I13937">
        <v>120938344</v>
      </c>
    </row>
    <row r="13938" spans="1:9" x14ac:dyDescent="0.2">
      <c r="A13938" s="1" t="str">
        <f>"PRDX4"</f>
        <v>PRDX4</v>
      </c>
      <c r="B13938" t="s">
        <v>14</v>
      </c>
      <c r="C13938" t="s">
        <v>37</v>
      </c>
      <c r="D13938" t="s">
        <v>17</v>
      </c>
      <c r="E13938" t="s">
        <v>12</v>
      </c>
      <c r="F13938">
        <v>23685581</v>
      </c>
      <c r="G13938">
        <v>23685648</v>
      </c>
      <c r="H13938">
        <v>23685653</v>
      </c>
      <c r="I13938">
        <v>23685681</v>
      </c>
    </row>
    <row r="13939" spans="1:9" x14ac:dyDescent="0.2">
      <c r="A13939" s="1" t="str">
        <f>"PRDX5"</f>
        <v>PRDX5</v>
      </c>
      <c r="B13939" t="s">
        <v>14</v>
      </c>
      <c r="C13939" t="s">
        <v>27</v>
      </c>
      <c r="D13939" t="s">
        <v>17</v>
      </c>
      <c r="E13939" t="s">
        <v>12</v>
      </c>
      <c r="F13939">
        <v>64085563</v>
      </c>
      <c r="G13939">
        <v>64085736</v>
      </c>
      <c r="H13939">
        <v>64085751</v>
      </c>
      <c r="I13939">
        <v>64085768</v>
      </c>
    </row>
    <row r="13940" spans="1:9" x14ac:dyDescent="0.2">
      <c r="A13940" s="1" t="str">
        <f>"PRDX6"</f>
        <v>PRDX6</v>
      </c>
      <c r="B13940" t="s">
        <v>14</v>
      </c>
      <c r="C13940" t="s">
        <v>19</v>
      </c>
      <c r="D13940" t="s">
        <v>17</v>
      </c>
      <c r="E13940" t="s">
        <v>12</v>
      </c>
      <c r="F13940">
        <v>173446463</v>
      </c>
      <c r="G13940">
        <v>173446490</v>
      </c>
      <c r="H13940">
        <v>173446516</v>
      </c>
      <c r="I13940">
        <v>173446533</v>
      </c>
    </row>
    <row r="13941" spans="1:9" x14ac:dyDescent="0.2">
      <c r="A13941" s="1" t="str">
        <f>"PREB"</f>
        <v>PREB</v>
      </c>
      <c r="B13941" t="s">
        <v>14</v>
      </c>
      <c r="C13941" t="s">
        <v>26</v>
      </c>
      <c r="D13941" t="s">
        <v>11</v>
      </c>
      <c r="E13941" t="s">
        <v>12</v>
      </c>
      <c r="F13941">
        <v>27357479</v>
      </c>
      <c r="G13941">
        <v>27357524</v>
      </c>
      <c r="H13941">
        <v>27357446</v>
      </c>
      <c r="I13941">
        <v>27357475</v>
      </c>
    </row>
    <row r="13942" spans="1:9" x14ac:dyDescent="0.2">
      <c r="A13942" s="1" t="str">
        <f>"PRELID1"</f>
        <v>PRELID1</v>
      </c>
      <c r="B13942" t="s">
        <v>14</v>
      </c>
      <c r="C13942" t="s">
        <v>46</v>
      </c>
      <c r="D13942" t="s">
        <v>17</v>
      </c>
      <c r="E13942" t="s">
        <v>12</v>
      </c>
      <c r="F13942">
        <v>176730769</v>
      </c>
      <c r="G13942">
        <v>176730820</v>
      </c>
      <c r="H13942">
        <v>176731572</v>
      </c>
      <c r="I13942">
        <v>176731618</v>
      </c>
    </row>
    <row r="13943" spans="1:9" x14ac:dyDescent="0.2">
      <c r="A13943" s="1" t="str">
        <f>"PRELID2"</f>
        <v>PRELID2</v>
      </c>
      <c r="B13943" t="s">
        <v>14</v>
      </c>
      <c r="C13943" t="s">
        <v>46</v>
      </c>
      <c r="D13943" t="s">
        <v>11</v>
      </c>
      <c r="E13943" t="s">
        <v>12</v>
      </c>
      <c r="F13943">
        <v>145214893</v>
      </c>
      <c r="G13943">
        <v>145214939</v>
      </c>
      <c r="H13943">
        <v>145214858</v>
      </c>
      <c r="I13943">
        <v>145214886</v>
      </c>
    </row>
    <row r="13944" spans="1:9" x14ac:dyDescent="0.2">
      <c r="A13944" s="1" t="str">
        <f>"PRELP"</f>
        <v>PRELP</v>
      </c>
      <c r="B13944" t="s">
        <v>14</v>
      </c>
      <c r="C13944" t="s">
        <v>19</v>
      </c>
      <c r="D13944" t="s">
        <v>17</v>
      </c>
      <c r="E13944" t="s">
        <v>12</v>
      </c>
      <c r="F13944">
        <v>203444887</v>
      </c>
      <c r="G13944">
        <v>203444975</v>
      </c>
      <c r="H13944">
        <v>203444887</v>
      </c>
      <c r="I13944">
        <v>203444975</v>
      </c>
    </row>
    <row r="13945" spans="1:9" x14ac:dyDescent="0.2">
      <c r="A13945" s="1" t="str">
        <f>"PREP"</f>
        <v>PREP</v>
      </c>
      <c r="B13945" t="s">
        <v>14</v>
      </c>
      <c r="C13945" t="s">
        <v>32</v>
      </c>
      <c r="D13945" t="s">
        <v>11</v>
      </c>
      <c r="E13945" t="s">
        <v>12</v>
      </c>
      <c r="F13945">
        <v>105850937</v>
      </c>
      <c r="G13945">
        <v>105850983</v>
      </c>
      <c r="H13945">
        <v>105850911</v>
      </c>
      <c r="I13945">
        <v>105850932</v>
      </c>
    </row>
    <row r="13946" spans="1:9" x14ac:dyDescent="0.2">
      <c r="A13946" s="1" t="str">
        <f>"PREPL"</f>
        <v>PREPL</v>
      </c>
      <c r="B13946" t="s">
        <v>14</v>
      </c>
      <c r="C13946" t="s">
        <v>26</v>
      </c>
      <c r="D13946" t="s">
        <v>11</v>
      </c>
      <c r="E13946" t="s">
        <v>12</v>
      </c>
      <c r="F13946">
        <v>44588624</v>
      </c>
      <c r="G13946">
        <v>44588640</v>
      </c>
      <c r="H13946">
        <v>44588679</v>
      </c>
      <c r="I13946">
        <v>44588693</v>
      </c>
    </row>
    <row r="13947" spans="1:9" x14ac:dyDescent="0.2">
      <c r="A13947" s="1" t="str">
        <f>"PREX1"</f>
        <v>PREX1</v>
      </c>
      <c r="B13947" t="s">
        <v>14</v>
      </c>
      <c r="C13947" t="s">
        <v>29</v>
      </c>
      <c r="D13947" t="s">
        <v>11</v>
      </c>
      <c r="E13947" t="s">
        <v>12</v>
      </c>
      <c r="F13947">
        <v>47444430</v>
      </c>
      <c r="G13947">
        <v>47444526</v>
      </c>
      <c r="H13947">
        <v>47444529</v>
      </c>
      <c r="I13947">
        <v>47444542</v>
      </c>
    </row>
    <row r="13948" spans="1:9" x14ac:dyDescent="0.2">
      <c r="A13948" s="1" t="str">
        <f>"PREX2"</f>
        <v>PREX2</v>
      </c>
      <c r="B13948" t="s">
        <v>14</v>
      </c>
      <c r="C13948" t="s">
        <v>30</v>
      </c>
      <c r="D13948" t="s">
        <v>17</v>
      </c>
      <c r="E13948" t="s">
        <v>12</v>
      </c>
      <c r="F13948">
        <v>68864598</v>
      </c>
      <c r="G13948">
        <v>68864664</v>
      </c>
      <c r="H13948">
        <v>68864263</v>
      </c>
      <c r="I13948">
        <v>68864328</v>
      </c>
    </row>
    <row r="13949" spans="1:9" x14ac:dyDescent="0.2">
      <c r="A13949" s="1" t="str">
        <f>"PRF1"</f>
        <v>PRF1</v>
      </c>
      <c r="B13949" t="s">
        <v>14</v>
      </c>
      <c r="C13949" t="s">
        <v>15</v>
      </c>
      <c r="D13949" t="s">
        <v>11</v>
      </c>
      <c r="E13949" t="s">
        <v>12</v>
      </c>
      <c r="F13949">
        <v>72362460</v>
      </c>
      <c r="G13949">
        <v>72362475</v>
      </c>
      <c r="H13949">
        <v>72362487</v>
      </c>
      <c r="I13949">
        <v>72362507</v>
      </c>
    </row>
    <row r="13950" spans="1:9" x14ac:dyDescent="0.2">
      <c r="A13950" s="1" t="str">
        <f>"PRG2"</f>
        <v>PRG2</v>
      </c>
      <c r="B13950" t="s">
        <v>14</v>
      </c>
      <c r="C13950" t="s">
        <v>27</v>
      </c>
      <c r="D13950" t="s">
        <v>11</v>
      </c>
      <c r="E13950" t="s">
        <v>12</v>
      </c>
      <c r="F13950">
        <v>57158110</v>
      </c>
      <c r="G13950">
        <v>57158129</v>
      </c>
      <c r="H13950">
        <v>57157382</v>
      </c>
      <c r="I13950">
        <v>57157430</v>
      </c>
    </row>
    <row r="13951" spans="1:9" x14ac:dyDescent="0.2">
      <c r="A13951" s="1" t="str">
        <f>"PRG3"</f>
        <v>PRG3</v>
      </c>
      <c r="B13951" t="s">
        <v>14</v>
      </c>
      <c r="C13951" t="s">
        <v>27</v>
      </c>
      <c r="D13951" t="s">
        <v>11</v>
      </c>
      <c r="E13951" t="s">
        <v>12</v>
      </c>
      <c r="F13951">
        <v>57148619</v>
      </c>
      <c r="G13951">
        <v>57148624</v>
      </c>
      <c r="H13951">
        <v>57148619</v>
      </c>
      <c r="I13951">
        <v>57148624</v>
      </c>
    </row>
    <row r="13952" spans="1:9" x14ac:dyDescent="0.2">
      <c r="A13952" s="1" t="str">
        <f>"PRG4"</f>
        <v>PRG4</v>
      </c>
      <c r="B13952" t="s">
        <v>14</v>
      </c>
      <c r="C13952" t="s">
        <v>19</v>
      </c>
      <c r="D13952" t="s">
        <v>17</v>
      </c>
      <c r="E13952" t="s">
        <v>12</v>
      </c>
      <c r="F13952">
        <v>186265958</v>
      </c>
      <c r="G13952">
        <v>186265975</v>
      </c>
      <c r="H13952">
        <v>186265353</v>
      </c>
      <c r="I13952">
        <v>186265386</v>
      </c>
    </row>
    <row r="13953" spans="1:9" x14ac:dyDescent="0.2">
      <c r="A13953" s="1" t="str">
        <f>"PRH1"</f>
        <v>PRH1</v>
      </c>
      <c r="B13953" t="s">
        <v>14</v>
      </c>
      <c r="C13953" t="s">
        <v>16</v>
      </c>
      <c r="D13953" t="s">
        <v>11</v>
      </c>
      <c r="E13953" t="s">
        <v>12</v>
      </c>
      <c r="F13953">
        <v>11036844</v>
      </c>
      <c r="G13953">
        <v>11036861</v>
      </c>
      <c r="H13953">
        <v>11036844</v>
      </c>
      <c r="I13953">
        <v>11036861</v>
      </c>
    </row>
    <row r="13954" spans="1:9" x14ac:dyDescent="0.2">
      <c r="A13954" s="1" t="str">
        <f>"PRH2"</f>
        <v>PRH2</v>
      </c>
      <c r="B13954" t="s">
        <v>14</v>
      </c>
      <c r="C13954" t="s">
        <v>16</v>
      </c>
      <c r="D13954" t="s">
        <v>17</v>
      </c>
      <c r="E13954" t="s">
        <v>12</v>
      </c>
      <c r="F13954">
        <v>11081828</v>
      </c>
      <c r="G13954">
        <v>11081843</v>
      </c>
      <c r="H13954">
        <v>11081828</v>
      </c>
      <c r="I13954">
        <v>11081843</v>
      </c>
    </row>
    <row r="13955" spans="1:9" x14ac:dyDescent="0.2">
      <c r="A13955" s="1" t="str">
        <f>"PRICKLE1"</f>
        <v>PRICKLE1</v>
      </c>
      <c r="B13955" t="s">
        <v>14</v>
      </c>
      <c r="C13955" t="s">
        <v>16</v>
      </c>
      <c r="D13955" t="s">
        <v>11</v>
      </c>
      <c r="E13955" t="s">
        <v>12</v>
      </c>
      <c r="F13955">
        <v>42983539</v>
      </c>
      <c r="G13955">
        <v>42983555</v>
      </c>
      <c r="H13955">
        <v>42983539</v>
      </c>
      <c r="I13955">
        <v>42983555</v>
      </c>
    </row>
    <row r="13956" spans="1:9" x14ac:dyDescent="0.2">
      <c r="A13956" s="1" t="str">
        <f>"PRICKLE2"</f>
        <v>PRICKLE2</v>
      </c>
      <c r="B13956" t="s">
        <v>14</v>
      </c>
      <c r="C13956" t="s">
        <v>22</v>
      </c>
      <c r="D13956" t="s">
        <v>11</v>
      </c>
      <c r="E13956" t="s">
        <v>67</v>
      </c>
      <c r="F13956">
        <v>64431146</v>
      </c>
      <c r="G13956">
        <v>64431202</v>
      </c>
      <c r="H13956">
        <v>64431072</v>
      </c>
      <c r="I13956">
        <v>64431102</v>
      </c>
    </row>
    <row r="13957" spans="1:9" x14ac:dyDescent="0.2">
      <c r="A13957" s="1" t="str">
        <f>"PRICKLE3"</f>
        <v>PRICKLE3</v>
      </c>
      <c r="B13957" t="s">
        <v>14</v>
      </c>
      <c r="C13957" t="s">
        <v>37</v>
      </c>
      <c r="D13957" t="s">
        <v>11</v>
      </c>
      <c r="E13957" t="s">
        <v>12</v>
      </c>
      <c r="F13957">
        <v>49042778</v>
      </c>
      <c r="G13957">
        <v>49042861</v>
      </c>
      <c r="H13957">
        <v>49042762</v>
      </c>
      <c r="I13957">
        <v>49042774</v>
      </c>
    </row>
    <row r="13958" spans="1:9" x14ac:dyDescent="0.2">
      <c r="A13958" s="1" t="str">
        <f>"PRICKLE4"</f>
        <v>PRICKLE4</v>
      </c>
      <c r="B13958" t="s">
        <v>14</v>
      </c>
      <c r="C13958" t="s">
        <v>32</v>
      </c>
      <c r="D13958" t="s">
        <v>17</v>
      </c>
      <c r="E13958" t="s">
        <v>12</v>
      </c>
      <c r="F13958">
        <v>41748506</v>
      </c>
      <c r="G13958">
        <v>41748543</v>
      </c>
      <c r="H13958">
        <v>41748506</v>
      </c>
      <c r="I13958">
        <v>41748543</v>
      </c>
    </row>
    <row r="13959" spans="1:9" x14ac:dyDescent="0.2">
      <c r="A13959" s="1" t="str">
        <f>"PRIM1"</f>
        <v>PRIM1</v>
      </c>
      <c r="B13959" t="s">
        <v>14</v>
      </c>
      <c r="C13959" t="s">
        <v>16</v>
      </c>
      <c r="D13959" t="s">
        <v>11</v>
      </c>
      <c r="E13959" t="s">
        <v>12</v>
      </c>
      <c r="F13959">
        <v>57146095</v>
      </c>
      <c r="G13959">
        <v>57146149</v>
      </c>
      <c r="H13959">
        <v>57146150</v>
      </c>
      <c r="I13959">
        <v>57146163</v>
      </c>
    </row>
    <row r="13960" spans="1:9" x14ac:dyDescent="0.2">
      <c r="A13960" s="1" t="str">
        <f>"PRIM2"</f>
        <v>PRIM2</v>
      </c>
      <c r="B13960" t="s">
        <v>14</v>
      </c>
      <c r="C13960" t="s">
        <v>32</v>
      </c>
      <c r="D13960" t="s">
        <v>17</v>
      </c>
      <c r="E13960" t="s">
        <v>12</v>
      </c>
      <c r="F13960">
        <v>57182400</v>
      </c>
      <c r="G13960">
        <v>57182440</v>
      </c>
      <c r="H13960">
        <v>57182453</v>
      </c>
      <c r="I13960">
        <v>57182462</v>
      </c>
    </row>
    <row r="13961" spans="1:9" x14ac:dyDescent="0.2">
      <c r="A13961" s="1" t="str">
        <f>"PRIMA1"</f>
        <v>PRIMA1</v>
      </c>
      <c r="B13961" t="s">
        <v>14</v>
      </c>
      <c r="C13961" t="s">
        <v>41</v>
      </c>
      <c r="D13961" t="s">
        <v>11</v>
      </c>
      <c r="E13961" t="s">
        <v>12</v>
      </c>
      <c r="F13961">
        <v>94255033</v>
      </c>
      <c r="G13961">
        <v>94255103</v>
      </c>
      <c r="H13961">
        <v>94254821</v>
      </c>
      <c r="I13961">
        <v>94254836</v>
      </c>
    </row>
    <row r="13962" spans="1:9" x14ac:dyDescent="0.2">
      <c r="A13962" s="1" t="str">
        <f>"PRIMPOL"</f>
        <v>PRIMPOL</v>
      </c>
      <c r="B13962" t="s">
        <v>14</v>
      </c>
      <c r="C13962" t="s">
        <v>23</v>
      </c>
      <c r="D13962" t="s">
        <v>17</v>
      </c>
      <c r="E13962" t="s">
        <v>12</v>
      </c>
      <c r="F13962">
        <v>185570871</v>
      </c>
      <c r="G13962">
        <v>185570930</v>
      </c>
      <c r="H13962">
        <v>185570815</v>
      </c>
      <c r="I13962">
        <v>185570835</v>
      </c>
    </row>
    <row r="13963" spans="1:9" x14ac:dyDescent="0.2">
      <c r="A13963" s="1" t="str">
        <f>"PRKAA1"</f>
        <v>PRKAA1</v>
      </c>
      <c r="B13963" t="s">
        <v>14</v>
      </c>
      <c r="C13963" t="s">
        <v>46</v>
      </c>
      <c r="D13963" t="s">
        <v>11</v>
      </c>
      <c r="E13963" t="s">
        <v>12</v>
      </c>
      <c r="F13963">
        <v>40798263</v>
      </c>
      <c r="G13963">
        <v>40798292</v>
      </c>
      <c r="H13963">
        <v>40798416</v>
      </c>
      <c r="I13963">
        <v>40798448</v>
      </c>
    </row>
    <row r="13964" spans="1:9" x14ac:dyDescent="0.2">
      <c r="A13964" s="1" t="str">
        <f>"PRKAA2"</f>
        <v>PRKAA2</v>
      </c>
      <c r="B13964" t="s">
        <v>14</v>
      </c>
      <c r="C13964" t="s">
        <v>19</v>
      </c>
      <c r="D13964" t="s">
        <v>17</v>
      </c>
      <c r="E13964" t="s">
        <v>12</v>
      </c>
      <c r="F13964">
        <v>57110972</v>
      </c>
      <c r="G13964">
        <v>57111062</v>
      </c>
      <c r="H13964">
        <v>57110857</v>
      </c>
      <c r="I13964">
        <v>57110886</v>
      </c>
    </row>
    <row r="13965" spans="1:9" x14ac:dyDescent="0.2">
      <c r="A13965" s="1" t="str">
        <f>"PRKAB1"</f>
        <v>PRKAB1</v>
      </c>
      <c r="B13965" t="s">
        <v>14</v>
      </c>
      <c r="C13965" t="s">
        <v>16</v>
      </c>
      <c r="D13965" t="s">
        <v>17</v>
      </c>
      <c r="E13965" t="s">
        <v>12</v>
      </c>
      <c r="F13965">
        <v>120105725</v>
      </c>
      <c r="G13965">
        <v>120105841</v>
      </c>
      <c r="H13965">
        <v>120105914</v>
      </c>
      <c r="I13965">
        <v>120105973</v>
      </c>
    </row>
    <row r="13966" spans="1:9" x14ac:dyDescent="0.2">
      <c r="A13966" s="1" t="str">
        <f>"PRKAB2"</f>
        <v>PRKAB2</v>
      </c>
      <c r="B13966" t="s">
        <v>14</v>
      </c>
      <c r="C13966" t="s">
        <v>19</v>
      </c>
      <c r="D13966" t="s">
        <v>11</v>
      </c>
      <c r="E13966" t="s">
        <v>12</v>
      </c>
      <c r="F13966">
        <v>146644036</v>
      </c>
      <c r="G13966">
        <v>146644086</v>
      </c>
      <c r="H13966">
        <v>146643723</v>
      </c>
      <c r="I13966">
        <v>146643782</v>
      </c>
    </row>
    <row r="13967" spans="1:9" x14ac:dyDescent="0.2">
      <c r="A13967" s="1" t="str">
        <f>"PRKACA"</f>
        <v>PRKACA</v>
      </c>
      <c r="B13967" t="s">
        <v>14</v>
      </c>
      <c r="C13967" t="s">
        <v>10</v>
      </c>
      <c r="D13967" t="s">
        <v>11</v>
      </c>
      <c r="E13967" t="s">
        <v>12</v>
      </c>
      <c r="F13967">
        <v>14228541</v>
      </c>
      <c r="G13967">
        <v>14228582</v>
      </c>
      <c r="H13967">
        <v>14228521</v>
      </c>
      <c r="I13967">
        <v>14228536</v>
      </c>
    </row>
    <row r="13968" spans="1:9" x14ac:dyDescent="0.2">
      <c r="A13968" s="1" t="str">
        <f>"PRKACB"</f>
        <v>PRKACB</v>
      </c>
      <c r="B13968" t="s">
        <v>1403</v>
      </c>
      <c r="C13968" t="s">
        <v>19</v>
      </c>
      <c r="D13968" t="s">
        <v>17</v>
      </c>
      <c r="E13968" t="s">
        <v>35</v>
      </c>
      <c r="F13968">
        <v>84609944</v>
      </c>
      <c r="G13968">
        <v>84609964</v>
      </c>
      <c r="H13968">
        <v>84609965</v>
      </c>
      <c r="I13968">
        <v>84610025</v>
      </c>
    </row>
    <row r="13969" spans="1:9" x14ac:dyDescent="0.2">
      <c r="A13969" s="1" t="str">
        <f>"PRKACG"</f>
        <v>PRKACG</v>
      </c>
      <c r="B13969" t="s">
        <v>14</v>
      </c>
      <c r="C13969" t="s">
        <v>24</v>
      </c>
      <c r="D13969" t="s">
        <v>11</v>
      </c>
      <c r="E13969" t="s">
        <v>12</v>
      </c>
      <c r="F13969">
        <v>71629010</v>
      </c>
      <c r="G13969">
        <v>71629040</v>
      </c>
      <c r="H13969">
        <v>71629010</v>
      </c>
      <c r="I13969">
        <v>71629040</v>
      </c>
    </row>
    <row r="13970" spans="1:9" x14ac:dyDescent="0.2">
      <c r="A13970" s="1" t="str">
        <f>"PRKAG1"</f>
        <v>PRKAG1</v>
      </c>
      <c r="B13970" t="s">
        <v>14</v>
      </c>
      <c r="C13970" t="s">
        <v>16</v>
      </c>
      <c r="D13970" t="s">
        <v>11</v>
      </c>
      <c r="E13970" t="s">
        <v>12</v>
      </c>
      <c r="F13970">
        <v>49412541</v>
      </c>
      <c r="G13970">
        <v>49412580</v>
      </c>
      <c r="H13970">
        <v>49412525</v>
      </c>
      <c r="I13970">
        <v>49412539</v>
      </c>
    </row>
    <row r="13971" spans="1:9" x14ac:dyDescent="0.2">
      <c r="A13971" s="1" t="str">
        <f>"PRKAG2"</f>
        <v>PRKAG2</v>
      </c>
      <c r="B13971" t="s">
        <v>1404</v>
      </c>
      <c r="C13971" t="s">
        <v>33</v>
      </c>
      <c r="D13971" t="s">
        <v>11</v>
      </c>
      <c r="E13971" t="s">
        <v>35</v>
      </c>
      <c r="F13971">
        <v>151574247</v>
      </c>
      <c r="G13971">
        <v>151574272</v>
      </c>
      <c r="H13971">
        <v>151573985</v>
      </c>
      <c r="I13971">
        <v>151574012</v>
      </c>
    </row>
    <row r="13972" spans="1:9" x14ac:dyDescent="0.2">
      <c r="A13972" s="1" t="str">
        <f>"PRKAG3"</f>
        <v>PRKAG3</v>
      </c>
      <c r="B13972" t="s">
        <v>14</v>
      </c>
      <c r="C13972" t="s">
        <v>26</v>
      </c>
      <c r="D13972" t="s">
        <v>11</v>
      </c>
      <c r="E13972" t="s">
        <v>12</v>
      </c>
      <c r="F13972">
        <v>219696519</v>
      </c>
      <c r="G13972">
        <v>219696532</v>
      </c>
      <c r="H13972">
        <v>219696548</v>
      </c>
      <c r="I13972">
        <v>219696558</v>
      </c>
    </row>
    <row r="13973" spans="1:9" x14ac:dyDescent="0.2">
      <c r="A13973" s="1" t="str">
        <f>"PRKAR1A"</f>
        <v>PRKAR1A</v>
      </c>
      <c r="B13973" t="s">
        <v>14</v>
      </c>
      <c r="C13973" t="s">
        <v>28</v>
      </c>
      <c r="D13973" t="s">
        <v>17</v>
      </c>
      <c r="E13973" t="s">
        <v>12</v>
      </c>
      <c r="F13973">
        <v>66508537</v>
      </c>
      <c r="G13973">
        <v>66508650</v>
      </c>
      <c r="H13973">
        <v>66508122</v>
      </c>
      <c r="I13973">
        <v>66508152</v>
      </c>
    </row>
    <row r="13974" spans="1:9" x14ac:dyDescent="0.2">
      <c r="A13974" s="1" t="str">
        <f>"PRKAR1B"</f>
        <v>PRKAR1B</v>
      </c>
      <c r="B13974" t="s">
        <v>9</v>
      </c>
      <c r="C13974" t="s">
        <v>33</v>
      </c>
      <c r="D13974" t="s">
        <v>11</v>
      </c>
      <c r="E13974" t="s">
        <v>12</v>
      </c>
      <c r="F13974">
        <v>752074</v>
      </c>
      <c r="G13974">
        <v>752169</v>
      </c>
      <c r="H13974">
        <v>752074</v>
      </c>
      <c r="I13974">
        <v>752169</v>
      </c>
    </row>
    <row r="13975" spans="1:9" x14ac:dyDescent="0.2">
      <c r="A13975" s="1" t="str">
        <f>"PRKAR1B"</f>
        <v>PRKAR1B</v>
      </c>
      <c r="B13975" t="s">
        <v>13</v>
      </c>
      <c r="C13975" t="s">
        <v>33</v>
      </c>
      <c r="D13975" t="s">
        <v>11</v>
      </c>
      <c r="E13975" t="s">
        <v>12</v>
      </c>
      <c r="F13975">
        <v>766879</v>
      </c>
      <c r="G13975">
        <v>766963</v>
      </c>
      <c r="H13975">
        <v>766879</v>
      </c>
      <c r="I13975">
        <v>766963</v>
      </c>
    </row>
    <row r="13976" spans="1:9" x14ac:dyDescent="0.2">
      <c r="A13976" s="1" t="str">
        <f>"PRKAR2A"</f>
        <v>PRKAR2A</v>
      </c>
      <c r="B13976" t="s">
        <v>14</v>
      </c>
      <c r="C13976" t="s">
        <v>22</v>
      </c>
      <c r="D13976" t="s">
        <v>11</v>
      </c>
      <c r="E13976" t="s">
        <v>12</v>
      </c>
      <c r="F13976">
        <v>48885228</v>
      </c>
      <c r="G13976">
        <v>48885327</v>
      </c>
      <c r="H13976">
        <v>48885157</v>
      </c>
      <c r="I13976">
        <v>48885185</v>
      </c>
    </row>
    <row r="13977" spans="1:9" x14ac:dyDescent="0.2">
      <c r="A13977" s="1" t="str">
        <f>"PRKAR2B"</f>
        <v>PRKAR2B</v>
      </c>
      <c r="B13977" t="s">
        <v>14</v>
      </c>
      <c r="C13977" t="s">
        <v>33</v>
      </c>
      <c r="D13977" t="s">
        <v>17</v>
      </c>
      <c r="E13977" t="s">
        <v>12</v>
      </c>
      <c r="F13977">
        <v>106685133</v>
      </c>
      <c r="G13977">
        <v>106685186</v>
      </c>
      <c r="H13977">
        <v>106685105</v>
      </c>
      <c r="I13977">
        <v>106685126</v>
      </c>
    </row>
    <row r="13978" spans="1:9" x14ac:dyDescent="0.2">
      <c r="A13978" s="1" t="str">
        <f>"PRKCA"</f>
        <v>PRKCA</v>
      </c>
      <c r="B13978" t="s">
        <v>14</v>
      </c>
      <c r="C13978" t="s">
        <v>28</v>
      </c>
      <c r="D13978" t="s">
        <v>17</v>
      </c>
      <c r="E13978" t="s">
        <v>12</v>
      </c>
      <c r="F13978">
        <v>64298724</v>
      </c>
      <c r="G13978">
        <v>64298742</v>
      </c>
      <c r="H13978">
        <v>64298724</v>
      </c>
      <c r="I13978">
        <v>64298742</v>
      </c>
    </row>
    <row r="13979" spans="1:9" x14ac:dyDescent="0.2">
      <c r="A13979" s="1" t="str">
        <f>"PRKCB"</f>
        <v>PRKCB</v>
      </c>
      <c r="B13979" t="s">
        <v>14</v>
      </c>
      <c r="C13979" t="s">
        <v>31</v>
      </c>
      <c r="D13979" t="s">
        <v>17</v>
      </c>
      <c r="E13979" t="s">
        <v>12</v>
      </c>
      <c r="F13979">
        <v>23847267</v>
      </c>
      <c r="G13979">
        <v>23847335</v>
      </c>
      <c r="H13979">
        <v>23847254</v>
      </c>
      <c r="I13979">
        <v>23847261</v>
      </c>
    </row>
    <row r="13980" spans="1:9" x14ac:dyDescent="0.2">
      <c r="A13980" s="1" t="str">
        <f>"PRKCD"</f>
        <v>PRKCD</v>
      </c>
      <c r="B13980" t="s">
        <v>14</v>
      </c>
      <c r="C13980" t="s">
        <v>22</v>
      </c>
      <c r="D13980" t="s">
        <v>17</v>
      </c>
      <c r="E13980" t="s">
        <v>12</v>
      </c>
      <c r="F13980">
        <v>53195216</v>
      </c>
      <c r="G13980">
        <v>53195240</v>
      </c>
      <c r="H13980">
        <v>53195258</v>
      </c>
      <c r="I13980">
        <v>53195279</v>
      </c>
    </row>
    <row r="13981" spans="1:9" x14ac:dyDescent="0.2">
      <c r="A13981" s="1" t="str">
        <f>"PRKCDBP"</f>
        <v>PRKCDBP</v>
      </c>
      <c r="B13981" t="s">
        <v>14</v>
      </c>
      <c r="C13981" t="s">
        <v>27</v>
      </c>
      <c r="D13981" t="s">
        <v>11</v>
      </c>
      <c r="E13981" t="s">
        <v>12</v>
      </c>
      <c r="F13981">
        <v>6341724</v>
      </c>
      <c r="G13981">
        <v>6341760</v>
      </c>
      <c r="H13981">
        <v>6341724</v>
      </c>
      <c r="I13981">
        <v>6341760</v>
      </c>
    </row>
    <row r="13982" spans="1:9" x14ac:dyDescent="0.2">
      <c r="A13982" s="1" t="str">
        <f>"PRKCE"</f>
        <v>PRKCE</v>
      </c>
      <c r="B13982" t="s">
        <v>14</v>
      </c>
      <c r="C13982" t="s">
        <v>26</v>
      </c>
      <c r="D13982" t="s">
        <v>17</v>
      </c>
      <c r="E13982" t="s">
        <v>12</v>
      </c>
      <c r="F13982">
        <v>45878407</v>
      </c>
      <c r="G13982">
        <v>45878491</v>
      </c>
      <c r="H13982">
        <v>45878407</v>
      </c>
      <c r="I13982">
        <v>45878491</v>
      </c>
    </row>
    <row r="13983" spans="1:9" x14ac:dyDescent="0.2">
      <c r="A13983" s="1" t="str">
        <f>"PRKCG"</f>
        <v>PRKCG</v>
      </c>
      <c r="B13983" t="s">
        <v>14</v>
      </c>
      <c r="C13983" t="s">
        <v>10</v>
      </c>
      <c r="D13983" t="s">
        <v>17</v>
      </c>
      <c r="E13983" t="s">
        <v>12</v>
      </c>
      <c r="F13983">
        <v>54385439</v>
      </c>
      <c r="G13983">
        <v>54385490</v>
      </c>
      <c r="H13983">
        <v>54385534</v>
      </c>
      <c r="I13983">
        <v>54385545</v>
      </c>
    </row>
    <row r="13984" spans="1:9" x14ac:dyDescent="0.2">
      <c r="A13984" s="1" t="str">
        <f>"PRKCH"</f>
        <v>PRKCH</v>
      </c>
      <c r="B13984" t="s">
        <v>14</v>
      </c>
      <c r="C13984" t="s">
        <v>41</v>
      </c>
      <c r="D13984" t="s">
        <v>17</v>
      </c>
      <c r="E13984" t="s">
        <v>12</v>
      </c>
      <c r="F13984">
        <v>61788429</v>
      </c>
      <c r="G13984">
        <v>61788501</v>
      </c>
      <c r="H13984">
        <v>61788429</v>
      </c>
      <c r="I13984">
        <v>61788501</v>
      </c>
    </row>
    <row r="13985" spans="1:9" x14ac:dyDescent="0.2">
      <c r="A13985" s="1" t="str">
        <f>"PRKCI"</f>
        <v>PRKCI</v>
      </c>
      <c r="B13985" t="s">
        <v>14</v>
      </c>
      <c r="C13985" t="s">
        <v>22</v>
      </c>
      <c r="D13985" t="s">
        <v>17</v>
      </c>
      <c r="E13985" t="s">
        <v>12</v>
      </c>
      <c r="F13985">
        <v>169940261</v>
      </c>
      <c r="G13985">
        <v>169940327</v>
      </c>
      <c r="H13985">
        <v>169940200</v>
      </c>
      <c r="I13985">
        <v>169940235</v>
      </c>
    </row>
    <row r="13986" spans="1:9" x14ac:dyDescent="0.2">
      <c r="A13986" s="1" t="str">
        <f>"PRKCQ"</f>
        <v>PRKCQ</v>
      </c>
      <c r="B13986" t="s">
        <v>14</v>
      </c>
      <c r="C13986" t="s">
        <v>15</v>
      </c>
      <c r="D13986" t="s">
        <v>11</v>
      </c>
      <c r="E13986" t="s">
        <v>12</v>
      </c>
      <c r="F13986">
        <v>6622204</v>
      </c>
      <c r="G13986">
        <v>6622254</v>
      </c>
      <c r="H13986">
        <v>6622296</v>
      </c>
      <c r="I13986">
        <v>6622325</v>
      </c>
    </row>
    <row r="13987" spans="1:9" x14ac:dyDescent="0.2">
      <c r="A13987" s="1" t="str">
        <f>"PRKCSH"</f>
        <v>PRKCSH</v>
      </c>
      <c r="B13987" t="s">
        <v>14</v>
      </c>
      <c r="C13987" t="s">
        <v>10</v>
      </c>
      <c r="D13987" t="s">
        <v>17</v>
      </c>
      <c r="E13987" t="s">
        <v>12</v>
      </c>
      <c r="F13987">
        <v>11546443</v>
      </c>
      <c r="G13987">
        <v>11546485</v>
      </c>
      <c r="H13987">
        <v>11546443</v>
      </c>
      <c r="I13987">
        <v>11546485</v>
      </c>
    </row>
    <row r="13988" spans="1:9" x14ac:dyDescent="0.2">
      <c r="A13988" s="1" t="str">
        <f>"PRKCZ"</f>
        <v>PRKCZ</v>
      </c>
      <c r="B13988" t="s">
        <v>9</v>
      </c>
      <c r="C13988" t="s">
        <v>19</v>
      </c>
      <c r="D13988" t="s">
        <v>17</v>
      </c>
      <c r="E13988" t="s">
        <v>12</v>
      </c>
      <c r="F13988">
        <v>2005046</v>
      </c>
      <c r="G13988">
        <v>2005122</v>
      </c>
      <c r="H13988">
        <v>2005046</v>
      </c>
      <c r="I13988">
        <v>2005122</v>
      </c>
    </row>
    <row r="13989" spans="1:9" x14ac:dyDescent="0.2">
      <c r="A13989" s="1" t="str">
        <f>"PRKCZ"</f>
        <v>PRKCZ</v>
      </c>
      <c r="B13989" t="s">
        <v>13</v>
      </c>
      <c r="C13989" t="s">
        <v>19</v>
      </c>
      <c r="D13989" t="s">
        <v>17</v>
      </c>
      <c r="E13989" t="s">
        <v>12</v>
      </c>
      <c r="F13989">
        <v>1981890</v>
      </c>
      <c r="G13989">
        <v>1981945</v>
      </c>
      <c r="H13989">
        <v>1981890</v>
      </c>
      <c r="I13989">
        <v>1981945</v>
      </c>
    </row>
    <row r="13990" spans="1:9" x14ac:dyDescent="0.2">
      <c r="A13990" s="1" t="str">
        <f>"PRKD1"</f>
        <v>PRKD1</v>
      </c>
      <c r="B13990" t="s">
        <v>14</v>
      </c>
      <c r="C13990" t="s">
        <v>41</v>
      </c>
      <c r="D13990" t="s">
        <v>11</v>
      </c>
      <c r="E13990" t="s">
        <v>12</v>
      </c>
      <c r="F13990">
        <v>30397007</v>
      </c>
      <c r="G13990">
        <v>30397079</v>
      </c>
      <c r="H13990">
        <v>30396802</v>
      </c>
      <c r="I13990">
        <v>30396859</v>
      </c>
    </row>
    <row r="13991" spans="1:9" x14ac:dyDescent="0.2">
      <c r="A13991" s="1" t="str">
        <f>"PRKD2"</f>
        <v>PRKD2</v>
      </c>
      <c r="B13991" t="s">
        <v>9</v>
      </c>
      <c r="C13991" t="s">
        <v>10</v>
      </c>
      <c r="D13991" t="s">
        <v>11</v>
      </c>
      <c r="E13991" t="s">
        <v>12</v>
      </c>
      <c r="F13991">
        <v>47220335</v>
      </c>
      <c r="G13991">
        <v>47220401</v>
      </c>
      <c r="H13991">
        <v>47220335</v>
      </c>
      <c r="I13991">
        <v>47220401</v>
      </c>
    </row>
    <row r="13992" spans="1:9" x14ac:dyDescent="0.2">
      <c r="A13992" s="1" t="str">
        <f>"PRKD2"</f>
        <v>PRKD2</v>
      </c>
      <c r="B13992" t="s">
        <v>13</v>
      </c>
      <c r="C13992" t="s">
        <v>10</v>
      </c>
      <c r="D13992" t="s">
        <v>11</v>
      </c>
      <c r="E13992" t="s">
        <v>12</v>
      </c>
      <c r="F13992">
        <v>47217526</v>
      </c>
      <c r="G13992">
        <v>47217581</v>
      </c>
      <c r="H13992">
        <v>47217526</v>
      </c>
      <c r="I13992">
        <v>47217581</v>
      </c>
    </row>
    <row r="13993" spans="1:9" x14ac:dyDescent="0.2">
      <c r="A13993" s="1" t="str">
        <f>"PRKD3"</f>
        <v>PRKD3</v>
      </c>
      <c r="B13993" t="s">
        <v>14</v>
      </c>
      <c r="C13993" t="s">
        <v>26</v>
      </c>
      <c r="D13993" t="s">
        <v>11</v>
      </c>
      <c r="E13993" t="s">
        <v>12</v>
      </c>
      <c r="F13993">
        <v>37551846</v>
      </c>
      <c r="G13993">
        <v>37551952</v>
      </c>
      <c r="H13993">
        <v>37551970</v>
      </c>
      <c r="I13993">
        <v>37551982</v>
      </c>
    </row>
    <row r="13994" spans="1:9" x14ac:dyDescent="0.2">
      <c r="A13994" s="1" t="str">
        <f>"PRKDC"</f>
        <v>PRKDC</v>
      </c>
      <c r="B13994" t="s">
        <v>14</v>
      </c>
      <c r="C13994" t="s">
        <v>30</v>
      </c>
      <c r="D13994" t="s">
        <v>11</v>
      </c>
      <c r="E13994" t="s">
        <v>12</v>
      </c>
      <c r="F13994">
        <v>48872686</v>
      </c>
      <c r="G13994">
        <v>48872718</v>
      </c>
      <c r="H13994">
        <v>48872686</v>
      </c>
      <c r="I13994">
        <v>48872718</v>
      </c>
    </row>
    <row r="13995" spans="1:9" x14ac:dyDescent="0.2">
      <c r="A13995" s="1" t="str">
        <f>"PRKG1"</f>
        <v>PRKG1</v>
      </c>
      <c r="B13995" t="s">
        <v>1405</v>
      </c>
      <c r="C13995" t="s">
        <v>15</v>
      </c>
      <c r="D13995" t="s">
        <v>17</v>
      </c>
      <c r="E13995" t="s">
        <v>35</v>
      </c>
      <c r="F13995">
        <v>52750758</v>
      </c>
      <c r="G13995">
        <v>52750762</v>
      </c>
      <c r="H13995">
        <v>52751124</v>
      </c>
      <c r="I13995">
        <v>52751135</v>
      </c>
    </row>
    <row r="13996" spans="1:9" x14ac:dyDescent="0.2">
      <c r="A13996" s="1" t="str">
        <f>"PRKG2"</f>
        <v>PRKG2</v>
      </c>
      <c r="B13996" t="s">
        <v>14</v>
      </c>
      <c r="C13996" t="s">
        <v>23</v>
      </c>
      <c r="D13996" t="s">
        <v>11</v>
      </c>
      <c r="E13996" t="s">
        <v>12</v>
      </c>
      <c r="F13996">
        <v>82136339</v>
      </c>
      <c r="G13996">
        <v>82136392</v>
      </c>
      <c r="H13996">
        <v>82136311</v>
      </c>
      <c r="I13996">
        <v>82136326</v>
      </c>
    </row>
    <row r="13997" spans="1:9" x14ac:dyDescent="0.2">
      <c r="A13997" s="1" t="str">
        <f>"PRKRA"</f>
        <v>PRKRA</v>
      </c>
      <c r="B13997" t="s">
        <v>14</v>
      </c>
      <c r="C13997" t="s">
        <v>26</v>
      </c>
      <c r="D13997" t="s">
        <v>11</v>
      </c>
      <c r="E13997" t="s">
        <v>12</v>
      </c>
      <c r="F13997">
        <v>179315814</v>
      </c>
      <c r="G13997">
        <v>179315936</v>
      </c>
      <c r="H13997">
        <v>179315453</v>
      </c>
      <c r="I13997">
        <v>179315479</v>
      </c>
    </row>
    <row r="13998" spans="1:9" x14ac:dyDescent="0.2">
      <c r="A13998" s="1" t="str">
        <f>"PRKRIP1"</f>
        <v>PRKRIP1</v>
      </c>
      <c r="B13998" t="s">
        <v>9</v>
      </c>
      <c r="C13998" t="s">
        <v>33</v>
      </c>
      <c r="D13998" t="s">
        <v>17</v>
      </c>
      <c r="E13998" t="s">
        <v>12</v>
      </c>
      <c r="F13998">
        <v>102036798</v>
      </c>
      <c r="G13998">
        <v>102036868</v>
      </c>
      <c r="H13998">
        <v>102036798</v>
      </c>
      <c r="I13998">
        <v>102036868</v>
      </c>
    </row>
    <row r="13999" spans="1:9" x14ac:dyDescent="0.2">
      <c r="A13999" s="1" t="str">
        <f>"PRKRIP1"</f>
        <v>PRKRIP1</v>
      </c>
      <c r="B13999" t="s">
        <v>13</v>
      </c>
      <c r="C13999" t="s">
        <v>33</v>
      </c>
      <c r="D13999" t="s">
        <v>17</v>
      </c>
      <c r="E13999" t="s">
        <v>12</v>
      </c>
      <c r="F13999">
        <v>102004322</v>
      </c>
      <c r="G13999">
        <v>102004343</v>
      </c>
      <c r="H13999">
        <v>102004322</v>
      </c>
      <c r="I13999">
        <v>102004343</v>
      </c>
    </row>
    <row r="14000" spans="1:9" x14ac:dyDescent="0.2">
      <c r="A14000" s="1" t="str">
        <f>"PRKRIR"</f>
        <v>PRKRIR</v>
      </c>
      <c r="B14000" t="s">
        <v>14</v>
      </c>
      <c r="C14000" t="s">
        <v>27</v>
      </c>
      <c r="D14000" t="s">
        <v>11</v>
      </c>
      <c r="E14000" t="s">
        <v>12</v>
      </c>
      <c r="F14000">
        <v>76092097</v>
      </c>
      <c r="G14000">
        <v>76092183</v>
      </c>
      <c r="H14000">
        <v>76092078</v>
      </c>
      <c r="I14000">
        <v>76092095</v>
      </c>
    </row>
    <row r="14001" spans="1:9" x14ac:dyDescent="0.2">
      <c r="A14001" s="1" t="str">
        <f>"PRKX"</f>
        <v>PRKX</v>
      </c>
      <c r="B14001" t="s">
        <v>14</v>
      </c>
      <c r="C14001" t="s">
        <v>37</v>
      </c>
      <c r="D14001" t="s">
        <v>11</v>
      </c>
      <c r="E14001" t="s">
        <v>12</v>
      </c>
      <c r="F14001">
        <v>3631635</v>
      </c>
      <c r="G14001">
        <v>3631698</v>
      </c>
      <c r="H14001">
        <v>3631533</v>
      </c>
      <c r="I14001">
        <v>3631552</v>
      </c>
    </row>
    <row r="14002" spans="1:9" x14ac:dyDescent="0.2">
      <c r="A14002" s="1" t="str">
        <f>"PRL"</f>
        <v>PRL</v>
      </c>
      <c r="B14002" t="s">
        <v>9</v>
      </c>
      <c r="C14002" t="s">
        <v>32</v>
      </c>
      <c r="D14002" t="s">
        <v>11</v>
      </c>
      <c r="E14002" t="s">
        <v>12</v>
      </c>
      <c r="F14002">
        <v>22297257</v>
      </c>
      <c r="G14002">
        <v>22297272</v>
      </c>
      <c r="H14002">
        <v>22297257</v>
      </c>
      <c r="I14002">
        <v>22297272</v>
      </c>
    </row>
    <row r="14003" spans="1:9" x14ac:dyDescent="0.2">
      <c r="A14003" s="1" t="str">
        <f>"PRL"</f>
        <v>PRL</v>
      </c>
      <c r="B14003" t="s">
        <v>13</v>
      </c>
      <c r="C14003" t="s">
        <v>32</v>
      </c>
      <c r="D14003" t="s">
        <v>11</v>
      </c>
      <c r="E14003" t="s">
        <v>12</v>
      </c>
      <c r="F14003">
        <v>22294671</v>
      </c>
      <c r="G14003">
        <v>22294709</v>
      </c>
      <c r="H14003">
        <v>22294671</v>
      </c>
      <c r="I14003">
        <v>22294709</v>
      </c>
    </row>
    <row r="14004" spans="1:9" x14ac:dyDescent="0.2">
      <c r="A14004" s="1" t="str">
        <f>"PRLH"</f>
        <v>PRLH</v>
      </c>
      <c r="B14004" t="s">
        <v>1406</v>
      </c>
      <c r="C14004" t="s">
        <v>26</v>
      </c>
      <c r="D14004" t="s">
        <v>17</v>
      </c>
      <c r="E14004" t="s">
        <v>20</v>
      </c>
      <c r="F14004">
        <v>238475216</v>
      </c>
      <c r="G14004">
        <v>238475216</v>
      </c>
      <c r="H14004">
        <v>238475216</v>
      </c>
      <c r="I14004">
        <v>238475216</v>
      </c>
    </row>
    <row r="14005" spans="1:9" x14ac:dyDescent="0.2">
      <c r="A14005" s="1" t="str">
        <f>"PRLHR"</f>
        <v>PRLHR</v>
      </c>
      <c r="B14005" t="s">
        <v>14</v>
      </c>
      <c r="C14005" t="s">
        <v>15</v>
      </c>
      <c r="D14005" t="s">
        <v>11</v>
      </c>
      <c r="E14005" t="s">
        <v>12</v>
      </c>
      <c r="F14005">
        <v>120355149</v>
      </c>
      <c r="G14005">
        <v>120355165</v>
      </c>
      <c r="H14005">
        <v>120355181</v>
      </c>
      <c r="I14005">
        <v>120355190</v>
      </c>
    </row>
    <row r="14006" spans="1:9" x14ac:dyDescent="0.2">
      <c r="A14006" s="1" t="str">
        <f>"PRLR"</f>
        <v>PRLR</v>
      </c>
      <c r="B14006" t="s">
        <v>14</v>
      </c>
      <c r="C14006" t="s">
        <v>46</v>
      </c>
      <c r="D14006" t="s">
        <v>11</v>
      </c>
      <c r="E14006" t="s">
        <v>12</v>
      </c>
      <c r="F14006">
        <v>35230569</v>
      </c>
      <c r="G14006">
        <v>35230602</v>
      </c>
      <c r="H14006">
        <v>35230613</v>
      </c>
      <c r="I14006">
        <v>35230638</v>
      </c>
    </row>
    <row r="14007" spans="1:9" x14ac:dyDescent="0.2">
      <c r="A14007" s="1" t="str">
        <f>"PRM1"</f>
        <v>PRM1</v>
      </c>
      <c r="B14007" t="s">
        <v>14</v>
      </c>
      <c r="C14007" t="s">
        <v>31</v>
      </c>
      <c r="D14007" t="s">
        <v>11</v>
      </c>
      <c r="E14007" t="s">
        <v>12</v>
      </c>
      <c r="F14007">
        <v>11375179</v>
      </c>
      <c r="G14007">
        <v>11375197</v>
      </c>
      <c r="H14007">
        <v>11375157</v>
      </c>
      <c r="I14007">
        <v>11375168</v>
      </c>
    </row>
    <row r="14008" spans="1:9" x14ac:dyDescent="0.2">
      <c r="A14008" s="1" t="str">
        <f>"PRM2"</f>
        <v>PRM2</v>
      </c>
      <c r="B14008" t="s">
        <v>14</v>
      </c>
      <c r="C14008" t="s">
        <v>31</v>
      </c>
      <c r="D14008" t="s">
        <v>11</v>
      </c>
      <c r="E14008" t="s">
        <v>12</v>
      </c>
      <c r="F14008">
        <v>11370330</v>
      </c>
      <c r="G14008">
        <v>11370342</v>
      </c>
      <c r="H14008">
        <v>11370330</v>
      </c>
      <c r="I14008">
        <v>11370342</v>
      </c>
    </row>
    <row r="14009" spans="1:9" x14ac:dyDescent="0.2">
      <c r="A14009" s="1" t="str">
        <f>"PRM3"</f>
        <v>PRM3</v>
      </c>
      <c r="B14009" t="s">
        <v>14</v>
      </c>
      <c r="C14009" t="s">
        <v>31</v>
      </c>
      <c r="D14009" t="s">
        <v>11</v>
      </c>
      <c r="E14009" t="s">
        <v>12</v>
      </c>
      <c r="F14009">
        <v>11367467</v>
      </c>
      <c r="G14009">
        <v>11367491</v>
      </c>
      <c r="H14009">
        <v>11367510</v>
      </c>
      <c r="I14009">
        <v>11367515</v>
      </c>
    </row>
    <row r="14010" spans="1:9" x14ac:dyDescent="0.2">
      <c r="A14010" s="1" t="str">
        <f>"PRMT1"</f>
        <v>PRMT1</v>
      </c>
      <c r="B14010" t="s">
        <v>14</v>
      </c>
      <c r="C14010" t="s">
        <v>10</v>
      </c>
      <c r="D14010" t="s">
        <v>17</v>
      </c>
      <c r="E14010" t="s">
        <v>12</v>
      </c>
      <c r="F14010">
        <v>50180507</v>
      </c>
      <c r="G14010">
        <v>50180540</v>
      </c>
      <c r="H14010">
        <v>50180485</v>
      </c>
      <c r="I14010">
        <v>50180501</v>
      </c>
    </row>
    <row r="14011" spans="1:9" x14ac:dyDescent="0.2">
      <c r="A14011" s="1" t="str">
        <f>"PRMT10"</f>
        <v>PRMT10</v>
      </c>
      <c r="B14011" t="s">
        <v>14</v>
      </c>
      <c r="C14011" t="s">
        <v>23</v>
      </c>
      <c r="D14011" t="s">
        <v>11</v>
      </c>
      <c r="E14011" t="s">
        <v>12</v>
      </c>
      <c r="F14011">
        <v>148605265</v>
      </c>
      <c r="G14011">
        <v>148605322</v>
      </c>
      <c r="H14011">
        <v>148605219</v>
      </c>
      <c r="I14011">
        <v>148605264</v>
      </c>
    </row>
    <row r="14012" spans="1:9" x14ac:dyDescent="0.2">
      <c r="A14012" s="1" t="str">
        <f>"PRMT2"</f>
        <v>PRMT2</v>
      </c>
      <c r="B14012" t="s">
        <v>14</v>
      </c>
      <c r="C14012" t="s">
        <v>42</v>
      </c>
      <c r="D14012" t="s">
        <v>17</v>
      </c>
      <c r="E14012" t="s">
        <v>12</v>
      </c>
      <c r="F14012">
        <v>48055548</v>
      </c>
      <c r="G14012">
        <v>48055608</v>
      </c>
      <c r="H14012">
        <v>48055633</v>
      </c>
      <c r="I14012">
        <v>48055642</v>
      </c>
    </row>
    <row r="14013" spans="1:9" x14ac:dyDescent="0.2">
      <c r="A14013" s="1" t="str">
        <f>"PRMT3"</f>
        <v>PRMT3</v>
      </c>
      <c r="B14013" t="s">
        <v>14</v>
      </c>
      <c r="C14013" t="s">
        <v>27</v>
      </c>
      <c r="D14013" t="s">
        <v>17</v>
      </c>
      <c r="E14013" t="s">
        <v>12</v>
      </c>
      <c r="F14013">
        <v>20409227</v>
      </c>
      <c r="G14013">
        <v>20409298</v>
      </c>
      <c r="H14013">
        <v>20409070</v>
      </c>
      <c r="I14013">
        <v>20409164</v>
      </c>
    </row>
    <row r="14014" spans="1:9" x14ac:dyDescent="0.2">
      <c r="A14014" s="1" t="str">
        <f>"PRMT5"</f>
        <v>PRMT5</v>
      </c>
      <c r="B14014" t="s">
        <v>9</v>
      </c>
      <c r="C14014" t="s">
        <v>41</v>
      </c>
      <c r="D14014" t="s">
        <v>11</v>
      </c>
      <c r="E14014" t="s">
        <v>12</v>
      </c>
      <c r="F14014">
        <v>23398566</v>
      </c>
      <c r="G14014">
        <v>23398614</v>
      </c>
      <c r="H14014">
        <v>23398566</v>
      </c>
      <c r="I14014">
        <v>23398614</v>
      </c>
    </row>
    <row r="14015" spans="1:9" x14ac:dyDescent="0.2">
      <c r="A14015" s="1" t="str">
        <f>"PRMT5"</f>
        <v>PRMT5</v>
      </c>
      <c r="B14015" t="s">
        <v>13</v>
      </c>
      <c r="C14015" t="s">
        <v>41</v>
      </c>
      <c r="D14015" t="s">
        <v>11</v>
      </c>
      <c r="E14015" t="s">
        <v>12</v>
      </c>
      <c r="F14015">
        <v>23395623</v>
      </c>
      <c r="G14015">
        <v>23395650</v>
      </c>
      <c r="H14015">
        <v>23395623</v>
      </c>
      <c r="I14015">
        <v>23395650</v>
      </c>
    </row>
    <row r="14016" spans="1:9" x14ac:dyDescent="0.2">
      <c r="A14016" s="1" t="str">
        <f>"PRMT6"</f>
        <v>PRMT6</v>
      </c>
      <c r="B14016" t="s">
        <v>14</v>
      </c>
      <c r="C14016" t="s">
        <v>19</v>
      </c>
      <c r="D14016" t="s">
        <v>17</v>
      </c>
      <c r="E14016" t="s">
        <v>12</v>
      </c>
      <c r="F14016">
        <v>107599280</v>
      </c>
      <c r="G14016">
        <v>107599340</v>
      </c>
      <c r="H14016">
        <v>107599515</v>
      </c>
      <c r="I14016">
        <v>107599518</v>
      </c>
    </row>
    <row r="14017" spans="1:9" x14ac:dyDescent="0.2">
      <c r="A14017" s="1" t="str">
        <f>"PRMT7"</f>
        <v>PRMT7</v>
      </c>
      <c r="B14017" t="s">
        <v>14</v>
      </c>
      <c r="C14017" t="s">
        <v>31</v>
      </c>
      <c r="D14017" t="s">
        <v>17</v>
      </c>
      <c r="E14017" t="s">
        <v>12</v>
      </c>
      <c r="F14017">
        <v>68344879</v>
      </c>
      <c r="G14017">
        <v>68344970</v>
      </c>
      <c r="H14017">
        <v>68344981</v>
      </c>
      <c r="I14017">
        <v>68344992</v>
      </c>
    </row>
    <row r="14018" spans="1:9" x14ac:dyDescent="0.2">
      <c r="A14018" s="1" t="str">
        <f>"PRMT8"</f>
        <v>PRMT8</v>
      </c>
      <c r="B14018" t="s">
        <v>14</v>
      </c>
      <c r="C14018" t="s">
        <v>16</v>
      </c>
      <c r="D14018" t="s">
        <v>17</v>
      </c>
      <c r="E14018" t="s">
        <v>12</v>
      </c>
      <c r="F14018">
        <v>3600356</v>
      </c>
      <c r="G14018">
        <v>3600406</v>
      </c>
      <c r="H14018">
        <v>3600356</v>
      </c>
      <c r="I14018">
        <v>3600406</v>
      </c>
    </row>
    <row r="14019" spans="1:9" x14ac:dyDescent="0.2">
      <c r="A14019" s="1" t="str">
        <f>"PRND"</f>
        <v>PRND</v>
      </c>
      <c r="B14019" t="s">
        <v>14</v>
      </c>
      <c r="C14019" t="s">
        <v>29</v>
      </c>
      <c r="D14019" t="s">
        <v>17</v>
      </c>
      <c r="E14019" t="s">
        <v>12</v>
      </c>
      <c r="F14019">
        <v>4702548</v>
      </c>
      <c r="G14019">
        <v>4702565</v>
      </c>
      <c r="H14019">
        <v>4702548</v>
      </c>
      <c r="I14019">
        <v>4702565</v>
      </c>
    </row>
    <row r="14020" spans="1:9" x14ac:dyDescent="0.2">
      <c r="A14020" s="1" t="str">
        <f>"PRNP"</f>
        <v>PRNP</v>
      </c>
      <c r="B14020" t="s">
        <v>14</v>
      </c>
      <c r="C14020" t="s">
        <v>29</v>
      </c>
      <c r="D14020" t="s">
        <v>17</v>
      </c>
      <c r="E14020" t="s">
        <v>12</v>
      </c>
      <c r="F14020">
        <v>4667094</v>
      </c>
      <c r="G14020">
        <v>4667111</v>
      </c>
      <c r="H14020">
        <v>4666966</v>
      </c>
      <c r="I14020">
        <v>4666983</v>
      </c>
    </row>
    <row r="14021" spans="1:9" x14ac:dyDescent="0.2">
      <c r="A14021" s="1" t="str">
        <f>"PROB1"</f>
        <v>PROB1</v>
      </c>
      <c r="B14021" t="s">
        <v>14</v>
      </c>
      <c r="C14021" t="s">
        <v>46</v>
      </c>
      <c r="D14021" t="s">
        <v>11</v>
      </c>
      <c r="E14021" t="s">
        <v>12</v>
      </c>
      <c r="F14021">
        <v>138730785</v>
      </c>
      <c r="G14021">
        <v>138730801</v>
      </c>
      <c r="H14021">
        <v>138730817</v>
      </c>
      <c r="I14021">
        <v>138730838</v>
      </c>
    </row>
    <row r="14022" spans="1:9" x14ac:dyDescent="0.2">
      <c r="A14022" s="1" t="str">
        <f>"PROC"</f>
        <v>PROC</v>
      </c>
      <c r="B14022" t="s">
        <v>9</v>
      </c>
      <c r="C14022" t="s">
        <v>26</v>
      </c>
      <c r="D14022" t="s">
        <v>17</v>
      </c>
      <c r="E14022" t="s">
        <v>12</v>
      </c>
      <c r="F14022">
        <v>128175997</v>
      </c>
      <c r="G14022">
        <v>128176020</v>
      </c>
      <c r="H14022">
        <v>128175997</v>
      </c>
      <c r="I14022">
        <v>128176020</v>
      </c>
    </row>
    <row r="14023" spans="1:9" x14ac:dyDescent="0.2">
      <c r="A14023" s="1" t="str">
        <f>"PROC"</f>
        <v>PROC</v>
      </c>
      <c r="B14023" t="s">
        <v>13</v>
      </c>
      <c r="C14023" t="s">
        <v>26</v>
      </c>
      <c r="D14023" t="s">
        <v>17</v>
      </c>
      <c r="E14023" t="s">
        <v>12</v>
      </c>
      <c r="F14023">
        <v>128180842</v>
      </c>
      <c r="G14023">
        <v>128180878</v>
      </c>
      <c r="H14023">
        <v>128180842</v>
      </c>
      <c r="I14023">
        <v>128180878</v>
      </c>
    </row>
    <row r="14024" spans="1:9" x14ac:dyDescent="0.2">
      <c r="A14024" s="1" t="str">
        <f>"PROCA1"</f>
        <v>PROCA1</v>
      </c>
      <c r="B14024" t="s">
        <v>14</v>
      </c>
      <c r="C14024" t="s">
        <v>28</v>
      </c>
      <c r="D14024" t="s">
        <v>11</v>
      </c>
      <c r="E14024" t="s">
        <v>12</v>
      </c>
      <c r="F14024">
        <v>27038292</v>
      </c>
      <c r="G14024">
        <v>27038330</v>
      </c>
      <c r="H14024">
        <v>27038063</v>
      </c>
      <c r="I14024">
        <v>27038117</v>
      </c>
    </row>
    <row r="14025" spans="1:9" x14ac:dyDescent="0.2">
      <c r="A14025" s="1" t="str">
        <f>"PROCR"</f>
        <v>PROCR</v>
      </c>
      <c r="B14025" t="s">
        <v>14</v>
      </c>
      <c r="C14025" t="s">
        <v>29</v>
      </c>
      <c r="D14025" t="s">
        <v>17</v>
      </c>
      <c r="E14025" t="s">
        <v>12</v>
      </c>
      <c r="F14025">
        <v>33759854</v>
      </c>
      <c r="G14025">
        <v>33759916</v>
      </c>
      <c r="H14025">
        <v>33759758</v>
      </c>
      <c r="I14025">
        <v>33759801</v>
      </c>
    </row>
    <row r="14026" spans="1:9" x14ac:dyDescent="0.2">
      <c r="A14026" s="1" t="str">
        <f>"PRODH"</f>
        <v>PRODH</v>
      </c>
      <c r="B14026" t="s">
        <v>9</v>
      </c>
      <c r="C14026" t="s">
        <v>21</v>
      </c>
      <c r="D14026" t="s">
        <v>11</v>
      </c>
      <c r="E14026" t="s">
        <v>12</v>
      </c>
      <c r="F14026">
        <v>18923796</v>
      </c>
      <c r="G14026">
        <v>18923814</v>
      </c>
      <c r="H14026">
        <v>18923796</v>
      </c>
      <c r="I14026">
        <v>18923814</v>
      </c>
    </row>
    <row r="14027" spans="1:9" x14ac:dyDescent="0.2">
      <c r="A14027" s="1" t="str">
        <f>"PRODH"</f>
        <v>PRODH</v>
      </c>
      <c r="B14027" t="s">
        <v>13</v>
      </c>
      <c r="C14027" t="s">
        <v>21</v>
      </c>
      <c r="D14027" t="s">
        <v>11</v>
      </c>
      <c r="E14027" t="s">
        <v>12</v>
      </c>
      <c r="F14027">
        <v>18905904</v>
      </c>
      <c r="G14027">
        <v>18905929</v>
      </c>
      <c r="H14027">
        <v>18905904</v>
      </c>
      <c r="I14027">
        <v>18905929</v>
      </c>
    </row>
    <row r="14028" spans="1:9" x14ac:dyDescent="0.2">
      <c r="A14028" s="1" t="str">
        <f>"PRODH2"</f>
        <v>PRODH2</v>
      </c>
      <c r="B14028" t="s">
        <v>14</v>
      </c>
      <c r="C14028" t="s">
        <v>10</v>
      </c>
      <c r="D14028" t="s">
        <v>11</v>
      </c>
      <c r="E14028" t="s">
        <v>12</v>
      </c>
      <c r="F14028">
        <v>36303740</v>
      </c>
      <c r="G14028">
        <v>36303752</v>
      </c>
      <c r="H14028">
        <v>36303788</v>
      </c>
      <c r="I14028">
        <v>36303807</v>
      </c>
    </row>
    <row r="14029" spans="1:9" x14ac:dyDescent="0.2">
      <c r="A14029" s="1" t="str">
        <f>"PROK1"</f>
        <v>PROK1</v>
      </c>
      <c r="B14029" t="s">
        <v>14</v>
      </c>
      <c r="C14029" t="s">
        <v>19</v>
      </c>
      <c r="D14029" t="s">
        <v>17</v>
      </c>
      <c r="E14029" t="s">
        <v>12</v>
      </c>
      <c r="F14029">
        <v>110993754</v>
      </c>
      <c r="G14029">
        <v>110993788</v>
      </c>
      <c r="H14029">
        <v>110993795</v>
      </c>
      <c r="I14029">
        <v>110993824</v>
      </c>
    </row>
    <row r="14030" spans="1:9" x14ac:dyDescent="0.2">
      <c r="A14030" s="1" t="str">
        <f>"PROK2"</f>
        <v>PROK2</v>
      </c>
      <c r="B14030" t="s">
        <v>14</v>
      </c>
      <c r="C14030" t="s">
        <v>22</v>
      </c>
      <c r="D14030" t="s">
        <v>11</v>
      </c>
      <c r="E14030" t="s">
        <v>12</v>
      </c>
      <c r="F14030">
        <v>71834290</v>
      </c>
      <c r="G14030">
        <v>71834306</v>
      </c>
      <c r="H14030">
        <v>71834207</v>
      </c>
      <c r="I14030">
        <v>71834244</v>
      </c>
    </row>
    <row r="14031" spans="1:9" x14ac:dyDescent="0.2">
      <c r="A14031" s="1" t="str">
        <f>"PROKR1"</f>
        <v>PROKR1</v>
      </c>
      <c r="B14031" t="s">
        <v>14</v>
      </c>
      <c r="C14031" t="s">
        <v>26</v>
      </c>
      <c r="D14031" t="s">
        <v>17</v>
      </c>
      <c r="E14031" t="s">
        <v>12</v>
      </c>
      <c r="F14031">
        <v>68870228</v>
      </c>
      <c r="G14031">
        <v>68870244</v>
      </c>
      <c r="H14031">
        <v>68870214</v>
      </c>
      <c r="I14031">
        <v>68870224</v>
      </c>
    </row>
    <row r="14032" spans="1:9" x14ac:dyDescent="0.2">
      <c r="A14032" s="1" t="str">
        <f>"PROKR2"</f>
        <v>PROKR2</v>
      </c>
      <c r="B14032" t="s">
        <v>14</v>
      </c>
      <c r="C14032" t="s">
        <v>29</v>
      </c>
      <c r="D14032" t="s">
        <v>11</v>
      </c>
      <c r="E14032" t="s">
        <v>12</v>
      </c>
      <c r="F14032">
        <v>5297594</v>
      </c>
      <c r="G14032">
        <v>5297605</v>
      </c>
      <c r="H14032">
        <v>5297340</v>
      </c>
      <c r="I14032">
        <v>5297357</v>
      </c>
    </row>
    <row r="14033" spans="1:9" x14ac:dyDescent="0.2">
      <c r="A14033" s="1" t="str">
        <f>"PROL1"</f>
        <v>PROL1</v>
      </c>
      <c r="B14033" t="s">
        <v>14</v>
      </c>
      <c r="C14033" t="s">
        <v>23</v>
      </c>
      <c r="D14033" t="s">
        <v>17</v>
      </c>
      <c r="E14033" t="s">
        <v>12</v>
      </c>
      <c r="F14033">
        <v>71263648</v>
      </c>
      <c r="G14033">
        <v>71263668</v>
      </c>
      <c r="H14033">
        <v>71263648</v>
      </c>
      <c r="I14033">
        <v>71263668</v>
      </c>
    </row>
    <row r="14034" spans="1:9" x14ac:dyDescent="0.2">
      <c r="A14034" s="1" t="str">
        <f>"PROM1"</f>
        <v>PROM1</v>
      </c>
      <c r="B14034" t="s">
        <v>9</v>
      </c>
      <c r="C14034" t="s">
        <v>23</v>
      </c>
      <c r="D14034" t="s">
        <v>11</v>
      </c>
      <c r="E14034" t="s">
        <v>12</v>
      </c>
      <c r="F14034">
        <v>16085625</v>
      </c>
      <c r="G14034">
        <v>16085652</v>
      </c>
      <c r="H14034">
        <v>16085625</v>
      </c>
      <c r="I14034">
        <v>16085652</v>
      </c>
    </row>
    <row r="14035" spans="1:9" x14ac:dyDescent="0.2">
      <c r="A14035" s="1" t="str">
        <f>"PROM1"</f>
        <v>PROM1</v>
      </c>
      <c r="B14035" t="s">
        <v>13</v>
      </c>
      <c r="C14035" t="s">
        <v>23</v>
      </c>
      <c r="D14035" t="s">
        <v>11</v>
      </c>
      <c r="E14035" t="s">
        <v>12</v>
      </c>
      <c r="F14035">
        <v>16077778</v>
      </c>
      <c r="G14035">
        <v>16077810</v>
      </c>
      <c r="H14035">
        <v>16077778</v>
      </c>
      <c r="I14035">
        <v>16077810</v>
      </c>
    </row>
    <row r="14036" spans="1:9" x14ac:dyDescent="0.2">
      <c r="A14036" s="1" t="str">
        <f>"PROM2"</f>
        <v>PROM2</v>
      </c>
      <c r="B14036" t="s">
        <v>14</v>
      </c>
      <c r="C14036" t="s">
        <v>26</v>
      </c>
      <c r="D14036" t="s">
        <v>17</v>
      </c>
      <c r="E14036" t="s">
        <v>12</v>
      </c>
      <c r="F14036">
        <v>95940220</v>
      </c>
      <c r="G14036">
        <v>95940275</v>
      </c>
      <c r="H14036">
        <v>95940186</v>
      </c>
      <c r="I14036">
        <v>95940205</v>
      </c>
    </row>
    <row r="14037" spans="1:9" x14ac:dyDescent="0.2">
      <c r="A14037" s="1" t="str">
        <f>"PROP1"</f>
        <v>PROP1</v>
      </c>
      <c r="B14037" t="s">
        <v>14</v>
      </c>
      <c r="C14037" t="s">
        <v>46</v>
      </c>
      <c r="D14037" t="s">
        <v>11</v>
      </c>
      <c r="E14037" t="s">
        <v>12</v>
      </c>
      <c r="F14037">
        <v>177423250</v>
      </c>
      <c r="G14037">
        <v>177423276</v>
      </c>
      <c r="H14037">
        <v>177423250</v>
      </c>
      <c r="I14037">
        <v>177423276</v>
      </c>
    </row>
    <row r="14038" spans="1:9" x14ac:dyDescent="0.2">
      <c r="A14038" s="1" t="str">
        <f>"PROS1"</f>
        <v>PROS1</v>
      </c>
      <c r="B14038" t="s">
        <v>14</v>
      </c>
      <c r="C14038" t="s">
        <v>22</v>
      </c>
      <c r="D14038" t="s">
        <v>11</v>
      </c>
      <c r="E14038" t="s">
        <v>12</v>
      </c>
      <c r="F14038">
        <v>93692681</v>
      </c>
      <c r="G14038">
        <v>93692762</v>
      </c>
      <c r="H14038">
        <v>93692781</v>
      </c>
      <c r="I14038">
        <v>93692799</v>
      </c>
    </row>
    <row r="14039" spans="1:9" x14ac:dyDescent="0.2">
      <c r="A14039" s="1" t="str">
        <f>"PROSC"</f>
        <v>PROSC</v>
      </c>
      <c r="B14039" t="s">
        <v>14</v>
      </c>
      <c r="C14039" t="s">
        <v>30</v>
      </c>
      <c r="D14039" t="s">
        <v>17</v>
      </c>
      <c r="E14039" t="s">
        <v>12</v>
      </c>
      <c r="F14039">
        <v>37620097</v>
      </c>
      <c r="G14039">
        <v>37620146</v>
      </c>
      <c r="H14039">
        <v>37620149</v>
      </c>
      <c r="I14039">
        <v>37620171</v>
      </c>
    </row>
    <row r="14040" spans="1:9" x14ac:dyDescent="0.2">
      <c r="A14040" s="1" t="str">
        <f>"PROSER1"</f>
        <v>PROSER1</v>
      </c>
      <c r="B14040" t="s">
        <v>14</v>
      </c>
      <c r="C14040" t="s">
        <v>39</v>
      </c>
      <c r="D14040" t="s">
        <v>11</v>
      </c>
      <c r="E14040" t="s">
        <v>12</v>
      </c>
      <c r="F14040">
        <v>39612176</v>
      </c>
      <c r="G14040">
        <v>39612258</v>
      </c>
      <c r="H14040">
        <v>39611977</v>
      </c>
      <c r="I14040">
        <v>39612040</v>
      </c>
    </row>
    <row r="14041" spans="1:9" x14ac:dyDescent="0.2">
      <c r="A14041" s="1" t="str">
        <f>"PROSER2"</f>
        <v>PROSER2</v>
      </c>
      <c r="B14041" t="s">
        <v>14</v>
      </c>
      <c r="C14041" t="s">
        <v>15</v>
      </c>
      <c r="D14041" t="s">
        <v>17</v>
      </c>
      <c r="E14041" t="s">
        <v>12</v>
      </c>
      <c r="F14041">
        <v>11865347</v>
      </c>
      <c r="G14041">
        <v>11865411</v>
      </c>
      <c r="H14041">
        <v>11865317</v>
      </c>
      <c r="I14041">
        <v>11865332</v>
      </c>
    </row>
    <row r="14042" spans="1:9" x14ac:dyDescent="0.2">
      <c r="A14042" s="1" t="str">
        <f>"PROX1"</f>
        <v>PROX1</v>
      </c>
      <c r="B14042" t="s">
        <v>14</v>
      </c>
      <c r="C14042" t="s">
        <v>19</v>
      </c>
      <c r="D14042" t="s">
        <v>17</v>
      </c>
      <c r="E14042" t="s">
        <v>12</v>
      </c>
      <c r="F14042">
        <v>214161272</v>
      </c>
      <c r="G14042">
        <v>214161322</v>
      </c>
      <c r="H14042">
        <v>214161328</v>
      </c>
      <c r="I14042">
        <v>214161348</v>
      </c>
    </row>
    <row r="14043" spans="1:9" x14ac:dyDescent="0.2">
      <c r="A14043" s="1" t="str">
        <f>"PROX2"</f>
        <v>PROX2</v>
      </c>
      <c r="B14043" t="s">
        <v>1407</v>
      </c>
      <c r="C14043" t="s">
        <v>41</v>
      </c>
      <c r="D14043" t="s">
        <v>11</v>
      </c>
      <c r="E14043" t="s">
        <v>20</v>
      </c>
      <c r="F14043">
        <v>75330536</v>
      </c>
      <c r="G14043">
        <v>75330536</v>
      </c>
      <c r="H14043">
        <v>75330536</v>
      </c>
      <c r="I14043">
        <v>75330536</v>
      </c>
    </row>
    <row r="14044" spans="1:9" x14ac:dyDescent="0.2">
      <c r="A14044" s="1" t="str">
        <f>"PROZ"</f>
        <v>PROZ</v>
      </c>
      <c r="B14044" t="s">
        <v>14</v>
      </c>
      <c r="C14044" t="s">
        <v>39</v>
      </c>
      <c r="D14044" t="s">
        <v>17</v>
      </c>
      <c r="E14044" t="s">
        <v>12</v>
      </c>
      <c r="F14044">
        <v>113812956</v>
      </c>
      <c r="G14044">
        <v>113812967</v>
      </c>
      <c r="H14044">
        <v>113812939</v>
      </c>
      <c r="I14044">
        <v>113812950</v>
      </c>
    </row>
    <row r="14045" spans="1:9" x14ac:dyDescent="0.2">
      <c r="A14045" s="1" t="str">
        <f>"PRPF18"</f>
        <v>PRPF18</v>
      </c>
      <c r="B14045" t="s">
        <v>14</v>
      </c>
      <c r="C14045" t="s">
        <v>15</v>
      </c>
      <c r="D14045" t="s">
        <v>17</v>
      </c>
      <c r="E14045" t="s">
        <v>12</v>
      </c>
      <c r="F14045">
        <v>13628933</v>
      </c>
      <c r="G14045">
        <v>13629012</v>
      </c>
      <c r="H14045">
        <v>13628921</v>
      </c>
      <c r="I14045">
        <v>13628928</v>
      </c>
    </row>
    <row r="14046" spans="1:9" x14ac:dyDescent="0.2">
      <c r="A14046" s="1" t="str">
        <f>"PRPF19"</f>
        <v>PRPF19</v>
      </c>
      <c r="B14046" t="s">
        <v>14</v>
      </c>
      <c r="C14046" t="s">
        <v>27</v>
      </c>
      <c r="D14046" t="s">
        <v>11</v>
      </c>
      <c r="E14046" t="s">
        <v>12</v>
      </c>
      <c r="F14046">
        <v>60674037</v>
      </c>
      <c r="G14046">
        <v>60674079</v>
      </c>
      <c r="H14046">
        <v>60674000</v>
      </c>
      <c r="I14046">
        <v>60674029</v>
      </c>
    </row>
    <row r="14047" spans="1:9" x14ac:dyDescent="0.2">
      <c r="A14047" s="1" t="str">
        <f>"PRPF3"</f>
        <v>PRPF3</v>
      </c>
      <c r="B14047" t="s">
        <v>14</v>
      </c>
      <c r="C14047" t="s">
        <v>19</v>
      </c>
      <c r="D14047" t="s">
        <v>17</v>
      </c>
      <c r="E14047" t="s">
        <v>12</v>
      </c>
      <c r="F14047">
        <v>150293973</v>
      </c>
      <c r="G14047">
        <v>150294028</v>
      </c>
      <c r="H14047">
        <v>150293921</v>
      </c>
      <c r="I14047">
        <v>150293932</v>
      </c>
    </row>
    <row r="14048" spans="1:9" x14ac:dyDescent="0.2">
      <c r="A14048" s="1" t="str">
        <f>"PRPF31"</f>
        <v>PRPF31</v>
      </c>
      <c r="B14048" t="s">
        <v>14</v>
      </c>
      <c r="C14048" t="s">
        <v>10</v>
      </c>
      <c r="D14048" t="s">
        <v>17</v>
      </c>
      <c r="E14048" t="s">
        <v>12</v>
      </c>
      <c r="F14048">
        <v>54619125</v>
      </c>
      <c r="G14048">
        <v>54619158</v>
      </c>
      <c r="H14048">
        <v>54618788</v>
      </c>
      <c r="I14048">
        <v>54618805</v>
      </c>
    </row>
    <row r="14049" spans="1:9" x14ac:dyDescent="0.2">
      <c r="A14049" s="1" t="str">
        <f>"PRPF38A"</f>
        <v>PRPF38A</v>
      </c>
      <c r="B14049" t="s">
        <v>14</v>
      </c>
      <c r="C14049" t="s">
        <v>19</v>
      </c>
      <c r="D14049" t="s">
        <v>17</v>
      </c>
      <c r="E14049" t="s">
        <v>12</v>
      </c>
      <c r="F14049">
        <v>52870263</v>
      </c>
      <c r="G14049">
        <v>52870294</v>
      </c>
      <c r="H14049">
        <v>52870227</v>
      </c>
      <c r="I14049">
        <v>52870243</v>
      </c>
    </row>
    <row r="14050" spans="1:9" x14ac:dyDescent="0.2">
      <c r="A14050" s="1" t="str">
        <f>"PRPF38B"</f>
        <v>PRPF38B</v>
      </c>
      <c r="B14050" t="s">
        <v>14</v>
      </c>
      <c r="C14050" t="s">
        <v>19</v>
      </c>
      <c r="D14050" t="s">
        <v>17</v>
      </c>
      <c r="E14050" t="s">
        <v>12</v>
      </c>
      <c r="F14050">
        <v>109234907</v>
      </c>
      <c r="G14050">
        <v>109234996</v>
      </c>
      <c r="H14050">
        <v>109234907</v>
      </c>
      <c r="I14050">
        <v>109234996</v>
      </c>
    </row>
    <row r="14051" spans="1:9" x14ac:dyDescent="0.2">
      <c r="A14051" s="1" t="str">
        <f>"PRPF39"</f>
        <v>PRPF39</v>
      </c>
      <c r="B14051" t="s">
        <v>14</v>
      </c>
      <c r="C14051" t="s">
        <v>41</v>
      </c>
      <c r="D14051" t="s">
        <v>17</v>
      </c>
      <c r="E14051" t="s">
        <v>12</v>
      </c>
      <c r="F14051">
        <v>45553296</v>
      </c>
      <c r="G14051">
        <v>45553340</v>
      </c>
      <c r="H14051">
        <v>45553296</v>
      </c>
      <c r="I14051">
        <v>45553340</v>
      </c>
    </row>
    <row r="14052" spans="1:9" x14ac:dyDescent="0.2">
      <c r="A14052" s="1" t="str">
        <f>"PRPF4"</f>
        <v>PRPF4</v>
      </c>
      <c r="B14052" t="s">
        <v>14</v>
      </c>
      <c r="C14052" t="s">
        <v>24</v>
      </c>
      <c r="D14052" t="s">
        <v>17</v>
      </c>
      <c r="E14052" t="s">
        <v>12</v>
      </c>
      <c r="F14052">
        <v>116037926</v>
      </c>
      <c r="G14052">
        <v>116037975</v>
      </c>
      <c r="H14052">
        <v>116037996</v>
      </c>
      <c r="I14052">
        <v>116038008</v>
      </c>
    </row>
    <row r="14053" spans="1:9" x14ac:dyDescent="0.2">
      <c r="A14053" s="1" t="str">
        <f>"PRPF40A"</f>
        <v>PRPF40A</v>
      </c>
      <c r="B14053" t="s">
        <v>14</v>
      </c>
      <c r="C14053" t="s">
        <v>26</v>
      </c>
      <c r="D14053" t="s">
        <v>11</v>
      </c>
      <c r="E14053" t="s">
        <v>12</v>
      </c>
      <c r="F14053">
        <v>153573935</v>
      </c>
      <c r="G14053">
        <v>153573964</v>
      </c>
      <c r="H14053">
        <v>153573916</v>
      </c>
      <c r="I14053">
        <v>153573930</v>
      </c>
    </row>
    <row r="14054" spans="1:9" x14ac:dyDescent="0.2">
      <c r="A14054" s="1" t="str">
        <f>"PRPF40B"</f>
        <v>PRPF40B</v>
      </c>
      <c r="B14054" t="s">
        <v>14</v>
      </c>
      <c r="C14054" t="s">
        <v>16</v>
      </c>
      <c r="D14054" t="s">
        <v>17</v>
      </c>
      <c r="E14054" t="s">
        <v>12</v>
      </c>
      <c r="F14054">
        <v>50017327</v>
      </c>
      <c r="G14054">
        <v>50017359</v>
      </c>
      <c r="H14054">
        <v>50017184</v>
      </c>
      <c r="I14054">
        <v>50017214</v>
      </c>
    </row>
    <row r="14055" spans="1:9" x14ac:dyDescent="0.2">
      <c r="A14055" s="1" t="str">
        <f>"PRPF4B"</f>
        <v>PRPF4B</v>
      </c>
      <c r="B14055" t="s">
        <v>14</v>
      </c>
      <c r="C14055" t="s">
        <v>32</v>
      </c>
      <c r="D14055" t="s">
        <v>17</v>
      </c>
      <c r="E14055" t="s">
        <v>12</v>
      </c>
      <c r="F14055">
        <v>4021554</v>
      </c>
      <c r="G14055">
        <v>4021656</v>
      </c>
      <c r="H14055">
        <v>4021527</v>
      </c>
      <c r="I14055">
        <v>4021553</v>
      </c>
    </row>
    <row r="14056" spans="1:9" x14ac:dyDescent="0.2">
      <c r="A14056" s="1" t="str">
        <f>"PRPF6"</f>
        <v>PRPF6</v>
      </c>
      <c r="B14056" t="s">
        <v>14</v>
      </c>
      <c r="C14056" t="s">
        <v>29</v>
      </c>
      <c r="D14056" t="s">
        <v>17</v>
      </c>
      <c r="E14056" t="s">
        <v>12</v>
      </c>
      <c r="F14056">
        <v>62612470</v>
      </c>
      <c r="G14056">
        <v>62612516</v>
      </c>
      <c r="H14056">
        <v>62612553</v>
      </c>
      <c r="I14056">
        <v>62612576</v>
      </c>
    </row>
    <row r="14057" spans="1:9" x14ac:dyDescent="0.2">
      <c r="A14057" s="1" t="str">
        <f>"PRPF8"</f>
        <v>PRPF8</v>
      </c>
      <c r="B14057" t="s">
        <v>14</v>
      </c>
      <c r="C14057" t="s">
        <v>28</v>
      </c>
      <c r="D14057" t="s">
        <v>11</v>
      </c>
      <c r="E14057" t="s">
        <v>12</v>
      </c>
      <c r="F14057">
        <v>1588108</v>
      </c>
      <c r="G14057">
        <v>1588172</v>
      </c>
      <c r="H14057">
        <v>1588108</v>
      </c>
      <c r="I14057">
        <v>1588172</v>
      </c>
    </row>
    <row r="14058" spans="1:9" x14ac:dyDescent="0.2">
      <c r="A14058" s="1" t="str">
        <f>"PRPH"</f>
        <v>PRPH</v>
      </c>
      <c r="B14058" t="s">
        <v>14</v>
      </c>
      <c r="C14058" t="s">
        <v>16</v>
      </c>
      <c r="D14058" t="s">
        <v>17</v>
      </c>
      <c r="E14058" t="s">
        <v>12</v>
      </c>
      <c r="F14058">
        <v>49688923</v>
      </c>
      <c r="G14058">
        <v>49688936</v>
      </c>
      <c r="H14058">
        <v>49689478</v>
      </c>
      <c r="I14058">
        <v>49689514</v>
      </c>
    </row>
    <row r="14059" spans="1:9" x14ac:dyDescent="0.2">
      <c r="A14059" s="1" t="str">
        <f>"PRPH2"</f>
        <v>PRPH2</v>
      </c>
      <c r="B14059" t="s">
        <v>14</v>
      </c>
      <c r="C14059" t="s">
        <v>32</v>
      </c>
      <c r="D14059" t="s">
        <v>11</v>
      </c>
      <c r="E14059" t="s">
        <v>12</v>
      </c>
      <c r="F14059">
        <v>42690328</v>
      </c>
      <c r="G14059">
        <v>42690344</v>
      </c>
      <c r="H14059">
        <v>42690348</v>
      </c>
      <c r="I14059">
        <v>42690359</v>
      </c>
    </row>
    <row r="14060" spans="1:9" x14ac:dyDescent="0.2">
      <c r="A14060" s="1" t="str">
        <f>"PRPS1"</f>
        <v>PRPS1</v>
      </c>
      <c r="B14060" t="s">
        <v>14</v>
      </c>
      <c r="C14060" t="s">
        <v>37</v>
      </c>
      <c r="D14060" t="s">
        <v>17</v>
      </c>
      <c r="E14060" t="s">
        <v>12</v>
      </c>
      <c r="F14060">
        <v>106871713</v>
      </c>
      <c r="G14060">
        <v>106871753</v>
      </c>
      <c r="H14060">
        <v>106871548</v>
      </c>
      <c r="I14060">
        <v>106871557</v>
      </c>
    </row>
    <row r="14061" spans="1:9" x14ac:dyDescent="0.2">
      <c r="A14061" s="1" t="str">
        <f>"PRPS1L1"</f>
        <v>PRPS1L1</v>
      </c>
      <c r="B14061" t="s">
        <v>14</v>
      </c>
      <c r="C14061" t="s">
        <v>33</v>
      </c>
      <c r="D14061" t="s">
        <v>11</v>
      </c>
      <c r="E14061" t="s">
        <v>12</v>
      </c>
      <c r="F14061">
        <v>18067463</v>
      </c>
      <c r="G14061">
        <v>18067476</v>
      </c>
      <c r="H14061">
        <v>18067478</v>
      </c>
      <c r="I14061">
        <v>18067490</v>
      </c>
    </row>
    <row r="14062" spans="1:9" x14ac:dyDescent="0.2">
      <c r="A14062" s="1" t="str">
        <f>"PRPS2"</f>
        <v>PRPS2</v>
      </c>
      <c r="B14062" t="s">
        <v>14</v>
      </c>
      <c r="C14062" t="s">
        <v>37</v>
      </c>
      <c r="D14062" t="s">
        <v>17</v>
      </c>
      <c r="E14062" t="s">
        <v>12</v>
      </c>
      <c r="F14062">
        <v>12809463</v>
      </c>
      <c r="G14062">
        <v>12809563</v>
      </c>
      <c r="H14062">
        <v>12809582</v>
      </c>
      <c r="I14062">
        <v>12809592</v>
      </c>
    </row>
    <row r="14063" spans="1:9" x14ac:dyDescent="0.2">
      <c r="A14063" s="1" t="str">
        <f>"PRPSAP1"</f>
        <v>PRPSAP1</v>
      </c>
      <c r="B14063" t="s">
        <v>14</v>
      </c>
      <c r="C14063" t="s">
        <v>28</v>
      </c>
      <c r="D14063" t="s">
        <v>11</v>
      </c>
      <c r="E14063" t="s">
        <v>12</v>
      </c>
      <c r="F14063">
        <v>74349932</v>
      </c>
      <c r="G14063">
        <v>74350017</v>
      </c>
      <c r="H14063">
        <v>74349699</v>
      </c>
      <c r="I14063">
        <v>74349736</v>
      </c>
    </row>
    <row r="14064" spans="1:9" x14ac:dyDescent="0.2">
      <c r="A14064" s="1" t="str">
        <f>"PRPSAP2"</f>
        <v>PRPSAP2</v>
      </c>
      <c r="B14064" t="s">
        <v>9</v>
      </c>
      <c r="C14064" t="s">
        <v>28</v>
      </c>
      <c r="D14064" t="s">
        <v>17</v>
      </c>
      <c r="E14064" t="s">
        <v>12</v>
      </c>
      <c r="F14064">
        <v>18761430</v>
      </c>
      <c r="G14064">
        <v>18761494</v>
      </c>
      <c r="H14064">
        <v>18761430</v>
      </c>
      <c r="I14064">
        <v>18761494</v>
      </c>
    </row>
    <row r="14065" spans="1:9" x14ac:dyDescent="0.2">
      <c r="A14065" s="1" t="str">
        <f>"PRPSAP2"</f>
        <v>PRPSAP2</v>
      </c>
      <c r="B14065" t="s">
        <v>13</v>
      </c>
      <c r="C14065" t="s">
        <v>28</v>
      </c>
      <c r="D14065" t="s">
        <v>17</v>
      </c>
      <c r="E14065" t="s">
        <v>12</v>
      </c>
      <c r="F14065">
        <v>18759626</v>
      </c>
      <c r="G14065">
        <v>18759689</v>
      </c>
      <c r="H14065">
        <v>18759626</v>
      </c>
      <c r="I14065">
        <v>18759689</v>
      </c>
    </row>
    <row r="14066" spans="1:9" x14ac:dyDescent="0.2">
      <c r="A14066" s="1" t="str">
        <f>"PRR11"</f>
        <v>PRR11</v>
      </c>
      <c r="B14066" t="s">
        <v>14</v>
      </c>
      <c r="C14066" t="s">
        <v>28</v>
      </c>
      <c r="D14066" t="s">
        <v>17</v>
      </c>
      <c r="E14066" t="s">
        <v>12</v>
      </c>
      <c r="F14066">
        <v>57233087</v>
      </c>
      <c r="G14066">
        <v>57233146</v>
      </c>
      <c r="H14066">
        <v>57233046</v>
      </c>
      <c r="I14066">
        <v>57233064</v>
      </c>
    </row>
    <row r="14067" spans="1:9" x14ac:dyDescent="0.2">
      <c r="A14067" s="1" t="str">
        <f>"PRR12"</f>
        <v>PRR12</v>
      </c>
      <c r="B14067" t="s">
        <v>14</v>
      </c>
      <c r="C14067" t="s">
        <v>10</v>
      </c>
      <c r="D14067" t="s">
        <v>17</v>
      </c>
      <c r="E14067" t="s">
        <v>12</v>
      </c>
      <c r="F14067">
        <v>50094427</v>
      </c>
      <c r="G14067">
        <v>50094469</v>
      </c>
      <c r="H14067">
        <v>50094427</v>
      </c>
      <c r="I14067">
        <v>50094469</v>
      </c>
    </row>
    <row r="14068" spans="1:9" x14ac:dyDescent="0.2">
      <c r="A14068" s="1" t="str">
        <f>"PRR13"</f>
        <v>PRR13</v>
      </c>
      <c r="B14068" t="s">
        <v>14</v>
      </c>
      <c r="C14068" t="s">
        <v>16</v>
      </c>
      <c r="D14068" t="s">
        <v>17</v>
      </c>
      <c r="E14068" t="s">
        <v>12</v>
      </c>
      <c r="F14068">
        <v>53835508</v>
      </c>
      <c r="G14068">
        <v>53835533</v>
      </c>
      <c r="H14068">
        <v>53835539</v>
      </c>
      <c r="I14068">
        <v>53835556</v>
      </c>
    </row>
    <row r="14069" spans="1:9" x14ac:dyDescent="0.2">
      <c r="A14069" s="1" t="str">
        <f>"PRR14"</f>
        <v>PRR14</v>
      </c>
      <c r="B14069" t="s">
        <v>14</v>
      </c>
      <c r="C14069" t="s">
        <v>31</v>
      </c>
      <c r="D14069" t="s">
        <v>17</v>
      </c>
      <c r="E14069" t="s">
        <v>12</v>
      </c>
      <c r="F14069">
        <v>30662255</v>
      </c>
      <c r="G14069">
        <v>30662350</v>
      </c>
      <c r="H14069">
        <v>30662085</v>
      </c>
      <c r="I14069">
        <v>30662108</v>
      </c>
    </row>
    <row r="14070" spans="1:9" x14ac:dyDescent="0.2">
      <c r="A14070" s="1" t="str">
        <f>"PRR14L"</f>
        <v>PRR14L</v>
      </c>
      <c r="B14070" t="s">
        <v>14</v>
      </c>
      <c r="C14070" t="s">
        <v>21</v>
      </c>
      <c r="D14070" t="s">
        <v>11</v>
      </c>
      <c r="E14070" t="s">
        <v>12</v>
      </c>
      <c r="F14070">
        <v>32146106</v>
      </c>
      <c r="G14070">
        <v>32146141</v>
      </c>
      <c r="H14070">
        <v>32146045</v>
      </c>
      <c r="I14070">
        <v>32146099</v>
      </c>
    </row>
    <row r="14071" spans="1:9" x14ac:dyDescent="0.2">
      <c r="A14071" s="1" t="str">
        <f>"PRR15"</f>
        <v>PRR15</v>
      </c>
      <c r="B14071" t="s">
        <v>14</v>
      </c>
      <c r="C14071" t="s">
        <v>33</v>
      </c>
      <c r="D14071" t="s">
        <v>17</v>
      </c>
      <c r="E14071" t="s">
        <v>12</v>
      </c>
      <c r="F14071">
        <v>29603436</v>
      </c>
      <c r="G14071">
        <v>29603471</v>
      </c>
      <c r="H14071">
        <v>29603477</v>
      </c>
      <c r="I14071">
        <v>29603510</v>
      </c>
    </row>
    <row r="14072" spans="1:9" x14ac:dyDescent="0.2">
      <c r="A14072" s="1" t="str">
        <f>"PRR15L"</f>
        <v>PRR15L</v>
      </c>
      <c r="B14072" t="s">
        <v>14</v>
      </c>
      <c r="C14072" t="s">
        <v>28</v>
      </c>
      <c r="D14072" t="s">
        <v>11</v>
      </c>
      <c r="E14072" t="s">
        <v>12</v>
      </c>
      <c r="F14072">
        <v>46035187</v>
      </c>
      <c r="G14072">
        <v>46035260</v>
      </c>
      <c r="H14072">
        <v>46035187</v>
      </c>
      <c r="I14072">
        <v>46035260</v>
      </c>
    </row>
    <row r="14073" spans="1:9" x14ac:dyDescent="0.2">
      <c r="A14073" s="1" t="str">
        <f>"PRR16"</f>
        <v>PRR16</v>
      </c>
      <c r="B14073" t="s">
        <v>9</v>
      </c>
      <c r="C14073" t="s">
        <v>46</v>
      </c>
      <c r="D14073" t="s">
        <v>17</v>
      </c>
      <c r="E14073" t="s">
        <v>12</v>
      </c>
      <c r="F14073">
        <v>119799927</v>
      </c>
      <c r="G14073">
        <v>119800064</v>
      </c>
      <c r="H14073">
        <v>119799927</v>
      </c>
      <c r="I14073">
        <v>119800064</v>
      </c>
    </row>
    <row r="14074" spans="1:9" x14ac:dyDescent="0.2">
      <c r="A14074" s="1" t="str">
        <f>"PRR16"</f>
        <v>PRR16</v>
      </c>
      <c r="B14074" t="s">
        <v>13</v>
      </c>
      <c r="C14074" t="s">
        <v>46</v>
      </c>
      <c r="D14074" t="s">
        <v>17</v>
      </c>
      <c r="E14074" t="s">
        <v>12</v>
      </c>
      <c r="F14074">
        <v>119801305</v>
      </c>
      <c r="G14074">
        <v>119801337</v>
      </c>
      <c r="H14074">
        <v>119801305</v>
      </c>
      <c r="I14074">
        <v>119801337</v>
      </c>
    </row>
    <row r="14075" spans="1:9" x14ac:dyDescent="0.2">
      <c r="A14075" s="1" t="str">
        <f>"PRR18"</f>
        <v>PRR18</v>
      </c>
      <c r="B14075" t="s">
        <v>14</v>
      </c>
      <c r="C14075" t="s">
        <v>32</v>
      </c>
      <c r="D14075" t="s">
        <v>11</v>
      </c>
      <c r="E14075" t="s">
        <v>12</v>
      </c>
      <c r="F14075">
        <v>166721873</v>
      </c>
      <c r="G14075">
        <v>166721887</v>
      </c>
      <c r="H14075">
        <v>166722000</v>
      </c>
      <c r="I14075">
        <v>166722029</v>
      </c>
    </row>
    <row r="14076" spans="1:9" x14ac:dyDescent="0.2">
      <c r="A14076" s="1" t="str">
        <f>"PRR19"</f>
        <v>PRR19</v>
      </c>
      <c r="B14076" t="s">
        <v>14</v>
      </c>
      <c r="C14076" t="s">
        <v>10</v>
      </c>
      <c r="D14076" t="s">
        <v>17</v>
      </c>
      <c r="E14076" t="s">
        <v>12</v>
      </c>
      <c r="F14076">
        <v>42806276</v>
      </c>
      <c r="G14076">
        <v>42806298</v>
      </c>
      <c r="H14076">
        <v>42806276</v>
      </c>
      <c r="I14076">
        <v>42806298</v>
      </c>
    </row>
    <row r="14077" spans="1:9" x14ac:dyDescent="0.2">
      <c r="A14077" s="1" t="str">
        <f>"PRR20A"</f>
        <v>PRR20A</v>
      </c>
      <c r="B14077" t="s">
        <v>1408</v>
      </c>
      <c r="C14077" t="s">
        <v>39</v>
      </c>
      <c r="D14077" t="s">
        <v>17</v>
      </c>
      <c r="E14077" t="s">
        <v>20</v>
      </c>
      <c r="F14077">
        <v>57715051</v>
      </c>
      <c r="G14077">
        <v>57715051</v>
      </c>
      <c r="H14077">
        <v>57715051</v>
      </c>
      <c r="I14077">
        <v>57715051</v>
      </c>
    </row>
    <row r="14078" spans="1:9" x14ac:dyDescent="0.2">
      <c r="A14078" s="1" t="str">
        <f>"PRR20B"</f>
        <v>PRR20B</v>
      </c>
      <c r="B14078" t="s">
        <v>1409</v>
      </c>
      <c r="C14078" t="s">
        <v>39</v>
      </c>
      <c r="D14078" t="s">
        <v>17</v>
      </c>
      <c r="E14078" t="s">
        <v>20</v>
      </c>
      <c r="F14078">
        <v>57721621</v>
      </c>
      <c r="G14078">
        <v>57721621</v>
      </c>
      <c r="H14078">
        <v>57721621</v>
      </c>
      <c r="I14078">
        <v>57721621</v>
      </c>
    </row>
    <row r="14079" spans="1:9" x14ac:dyDescent="0.2">
      <c r="A14079" s="1" t="str">
        <f>"PRR20C"</f>
        <v>PRR20C</v>
      </c>
      <c r="B14079" t="s">
        <v>1410</v>
      </c>
      <c r="C14079" t="s">
        <v>39</v>
      </c>
      <c r="D14079" t="s">
        <v>17</v>
      </c>
      <c r="E14079" t="s">
        <v>20</v>
      </c>
      <c r="F14079">
        <v>57728194</v>
      </c>
      <c r="G14079">
        <v>57728194</v>
      </c>
      <c r="H14079">
        <v>57728194</v>
      </c>
      <c r="I14079">
        <v>57728194</v>
      </c>
    </row>
    <row r="14080" spans="1:9" x14ac:dyDescent="0.2">
      <c r="A14080" s="1" t="str">
        <f>"PRR20D"</f>
        <v>PRR20D</v>
      </c>
      <c r="B14080" t="s">
        <v>1411</v>
      </c>
      <c r="C14080" t="s">
        <v>39</v>
      </c>
      <c r="D14080" t="s">
        <v>17</v>
      </c>
      <c r="E14080" t="s">
        <v>20</v>
      </c>
      <c r="F14080">
        <v>57734765</v>
      </c>
      <c r="G14080">
        <v>57734765</v>
      </c>
      <c r="H14080">
        <v>57734765</v>
      </c>
      <c r="I14080">
        <v>57734765</v>
      </c>
    </row>
    <row r="14081" spans="1:9" x14ac:dyDescent="0.2">
      <c r="A14081" s="1" t="str">
        <f>"PRR20E"</f>
        <v>PRR20E</v>
      </c>
      <c r="B14081" t="s">
        <v>1412</v>
      </c>
      <c r="C14081" t="s">
        <v>39</v>
      </c>
      <c r="D14081" t="s">
        <v>17</v>
      </c>
      <c r="E14081" t="s">
        <v>20</v>
      </c>
      <c r="F14081">
        <v>57741330</v>
      </c>
      <c r="G14081">
        <v>57741330</v>
      </c>
      <c r="H14081">
        <v>57741330</v>
      </c>
      <c r="I14081">
        <v>57741330</v>
      </c>
    </row>
    <row r="14082" spans="1:9" x14ac:dyDescent="0.2">
      <c r="A14082" s="1" t="str">
        <f>"PRR20E"</f>
        <v>PRR20E</v>
      </c>
      <c r="B14082" t="s">
        <v>1413</v>
      </c>
      <c r="C14082" t="s">
        <v>39</v>
      </c>
      <c r="D14082" t="s">
        <v>17</v>
      </c>
      <c r="E14082" t="s">
        <v>20</v>
      </c>
      <c r="F14082">
        <v>57741717</v>
      </c>
      <c r="G14082">
        <v>57741717</v>
      </c>
      <c r="H14082">
        <v>57741717</v>
      </c>
      <c r="I14082">
        <v>57741717</v>
      </c>
    </row>
    <row r="14083" spans="1:9" x14ac:dyDescent="0.2">
      <c r="A14083" s="1" t="str">
        <f>"PRR21"</f>
        <v>PRR21</v>
      </c>
      <c r="B14083" t="s">
        <v>1414</v>
      </c>
      <c r="C14083" t="s">
        <v>26</v>
      </c>
      <c r="D14083" t="s">
        <v>11</v>
      </c>
      <c r="E14083" t="s">
        <v>20</v>
      </c>
      <c r="F14083">
        <v>240982398</v>
      </c>
      <c r="G14083">
        <v>240982398</v>
      </c>
      <c r="H14083">
        <v>240982398</v>
      </c>
      <c r="I14083">
        <v>240982398</v>
      </c>
    </row>
    <row r="14084" spans="1:9" x14ac:dyDescent="0.2">
      <c r="A14084" s="1" t="str">
        <f>"PRR22"</f>
        <v>PRR22</v>
      </c>
      <c r="B14084" t="s">
        <v>14</v>
      </c>
      <c r="C14084" t="s">
        <v>10</v>
      </c>
      <c r="D14084" t="s">
        <v>11</v>
      </c>
      <c r="E14084" t="s">
        <v>12</v>
      </c>
      <c r="F14084">
        <v>5784710</v>
      </c>
      <c r="G14084">
        <v>5784763</v>
      </c>
      <c r="H14084">
        <v>5784424</v>
      </c>
      <c r="I14084">
        <v>5784437</v>
      </c>
    </row>
    <row r="14085" spans="1:9" x14ac:dyDescent="0.2">
      <c r="A14085" s="1" t="str">
        <f>"PRR23A"</f>
        <v>PRR23A</v>
      </c>
      <c r="B14085" t="s">
        <v>14</v>
      </c>
      <c r="C14085" t="s">
        <v>22</v>
      </c>
      <c r="D14085" t="s">
        <v>11</v>
      </c>
      <c r="E14085" t="s">
        <v>12</v>
      </c>
      <c r="F14085">
        <v>138725318</v>
      </c>
      <c r="G14085">
        <v>138725320</v>
      </c>
      <c r="H14085">
        <v>138725318</v>
      </c>
      <c r="I14085">
        <v>138725320</v>
      </c>
    </row>
    <row r="14086" spans="1:9" x14ac:dyDescent="0.2">
      <c r="A14086" s="1" t="str">
        <f>"PRR23B"</f>
        <v>PRR23B</v>
      </c>
      <c r="B14086" t="s">
        <v>14</v>
      </c>
      <c r="C14086" t="s">
        <v>22</v>
      </c>
      <c r="D14086" t="s">
        <v>11</v>
      </c>
      <c r="E14086" t="s">
        <v>12</v>
      </c>
      <c r="F14086">
        <v>138739757</v>
      </c>
      <c r="G14086">
        <v>138739778</v>
      </c>
      <c r="H14086">
        <v>138739757</v>
      </c>
      <c r="I14086">
        <v>138739778</v>
      </c>
    </row>
    <row r="14087" spans="1:9" x14ac:dyDescent="0.2">
      <c r="A14087" s="1" t="str">
        <f>"PRR23C"</f>
        <v>PRR23C</v>
      </c>
      <c r="B14087" t="s">
        <v>1415</v>
      </c>
      <c r="C14087" t="s">
        <v>22</v>
      </c>
      <c r="D14087" t="s">
        <v>11</v>
      </c>
      <c r="E14087" t="s">
        <v>20</v>
      </c>
      <c r="F14087">
        <v>138763733</v>
      </c>
      <c r="G14087">
        <v>138763733</v>
      </c>
      <c r="H14087">
        <v>138763733</v>
      </c>
      <c r="I14087">
        <v>138763733</v>
      </c>
    </row>
    <row r="14088" spans="1:9" x14ac:dyDescent="0.2">
      <c r="A14088" s="1" t="str">
        <f>"PRR24"</f>
        <v>PRR24</v>
      </c>
      <c r="B14088" t="s">
        <v>14</v>
      </c>
      <c r="C14088" t="s">
        <v>10</v>
      </c>
      <c r="D14088" t="s">
        <v>17</v>
      </c>
      <c r="E14088" t="s">
        <v>12</v>
      </c>
      <c r="F14088">
        <v>47778119</v>
      </c>
      <c r="G14088">
        <v>47778195</v>
      </c>
      <c r="H14088">
        <v>47777665</v>
      </c>
      <c r="I14088">
        <v>47777711</v>
      </c>
    </row>
    <row r="14089" spans="1:9" x14ac:dyDescent="0.2">
      <c r="A14089" s="1" t="str">
        <f>"PRR25"</f>
        <v>PRR25</v>
      </c>
      <c r="B14089" t="s">
        <v>1416</v>
      </c>
      <c r="C14089" t="s">
        <v>31</v>
      </c>
      <c r="D14089" t="s">
        <v>17</v>
      </c>
      <c r="E14089" t="s">
        <v>20</v>
      </c>
      <c r="F14089">
        <v>855442</v>
      </c>
      <c r="G14089">
        <v>855442</v>
      </c>
      <c r="H14089">
        <v>855442</v>
      </c>
      <c r="I14089">
        <v>855442</v>
      </c>
    </row>
    <row r="14090" spans="1:9" x14ac:dyDescent="0.2">
      <c r="A14090" s="1" t="str">
        <f>"PRR3"</f>
        <v>PRR3</v>
      </c>
      <c r="B14090" t="s">
        <v>14</v>
      </c>
      <c r="C14090" t="s">
        <v>32</v>
      </c>
      <c r="D14090" t="s">
        <v>17</v>
      </c>
      <c r="E14090" t="s">
        <v>12</v>
      </c>
      <c r="F14090">
        <v>30525064</v>
      </c>
      <c r="G14090">
        <v>30525098</v>
      </c>
      <c r="H14090">
        <v>30525100</v>
      </c>
      <c r="I14090">
        <v>30525120</v>
      </c>
    </row>
    <row r="14091" spans="1:9" x14ac:dyDescent="0.2">
      <c r="A14091" s="1" t="str">
        <f>"PRR4"</f>
        <v>PRR4</v>
      </c>
      <c r="B14091" t="s">
        <v>14</v>
      </c>
      <c r="C14091" t="s">
        <v>16</v>
      </c>
      <c r="D14091" t="s">
        <v>11</v>
      </c>
      <c r="E14091" t="s">
        <v>12</v>
      </c>
      <c r="F14091">
        <v>11002063</v>
      </c>
      <c r="G14091">
        <v>11002081</v>
      </c>
      <c r="H14091">
        <v>11002063</v>
      </c>
      <c r="I14091">
        <v>11002081</v>
      </c>
    </row>
    <row r="14092" spans="1:9" x14ac:dyDescent="0.2">
      <c r="A14092" s="1" t="str">
        <f>"PRR5"</f>
        <v>PRR5</v>
      </c>
      <c r="B14092" t="s">
        <v>14</v>
      </c>
      <c r="C14092" t="s">
        <v>21</v>
      </c>
      <c r="D14092" t="s">
        <v>17</v>
      </c>
      <c r="E14092" t="s">
        <v>12</v>
      </c>
      <c r="F14092">
        <v>45098067</v>
      </c>
      <c r="G14092">
        <v>45098143</v>
      </c>
      <c r="H14092">
        <v>45098067</v>
      </c>
      <c r="I14092">
        <v>45098143</v>
      </c>
    </row>
    <row r="14093" spans="1:9" x14ac:dyDescent="0.2">
      <c r="A14093" s="1" t="str">
        <f>"PRR5-ARHGAP8"</f>
        <v>PRR5-ARHGAP8</v>
      </c>
      <c r="B14093" t="s">
        <v>9</v>
      </c>
      <c r="C14093" t="s">
        <v>21</v>
      </c>
      <c r="D14093" t="s">
        <v>17</v>
      </c>
      <c r="E14093" t="s">
        <v>12</v>
      </c>
      <c r="F14093">
        <v>45098067</v>
      </c>
      <c r="G14093">
        <v>45098143</v>
      </c>
      <c r="H14093">
        <v>45098067</v>
      </c>
      <c r="I14093">
        <v>45098143</v>
      </c>
    </row>
    <row r="14094" spans="1:9" x14ac:dyDescent="0.2">
      <c r="A14094" s="1" t="str">
        <f>"PRR5-ARHGAP8"</f>
        <v>PRR5-ARHGAP8</v>
      </c>
      <c r="B14094" t="s">
        <v>13</v>
      </c>
      <c r="C14094" t="s">
        <v>21</v>
      </c>
      <c r="D14094" t="s">
        <v>17</v>
      </c>
      <c r="E14094" t="s">
        <v>12</v>
      </c>
      <c r="F14094">
        <v>45148432</v>
      </c>
      <c r="G14094">
        <v>45148472</v>
      </c>
      <c r="H14094">
        <v>45148432</v>
      </c>
      <c r="I14094">
        <v>45148472</v>
      </c>
    </row>
    <row r="14095" spans="1:9" x14ac:dyDescent="0.2">
      <c r="A14095" s="1" t="str">
        <f>"PRR5L"</f>
        <v>PRR5L</v>
      </c>
      <c r="B14095" t="s">
        <v>14</v>
      </c>
      <c r="C14095" t="s">
        <v>27</v>
      </c>
      <c r="D14095" t="s">
        <v>17</v>
      </c>
      <c r="E14095" t="s">
        <v>12</v>
      </c>
      <c r="F14095">
        <v>36397915</v>
      </c>
      <c r="G14095">
        <v>36397982</v>
      </c>
      <c r="H14095">
        <v>36397983</v>
      </c>
      <c r="I14095">
        <v>36398010</v>
      </c>
    </row>
    <row r="14096" spans="1:9" x14ac:dyDescent="0.2">
      <c r="A14096" s="1" t="str">
        <f>"PRR7"</f>
        <v>PRR7</v>
      </c>
      <c r="B14096" t="s">
        <v>14</v>
      </c>
      <c r="C14096" t="s">
        <v>46</v>
      </c>
      <c r="D14096" t="s">
        <v>17</v>
      </c>
      <c r="E14096" t="s">
        <v>12</v>
      </c>
      <c r="F14096">
        <v>176873789</v>
      </c>
      <c r="G14096">
        <v>176873853</v>
      </c>
      <c r="H14096">
        <v>176873479</v>
      </c>
      <c r="I14096">
        <v>176873516</v>
      </c>
    </row>
    <row r="14097" spans="1:9" x14ac:dyDescent="0.2">
      <c r="A14097" s="1" t="str">
        <f>"PRR9"</f>
        <v>PRR9</v>
      </c>
      <c r="B14097" t="s">
        <v>14</v>
      </c>
      <c r="C14097" t="s">
        <v>19</v>
      </c>
      <c r="D14097" t="s">
        <v>17</v>
      </c>
      <c r="E14097" t="s">
        <v>12</v>
      </c>
      <c r="F14097">
        <v>153190053</v>
      </c>
      <c r="G14097">
        <v>153190067</v>
      </c>
      <c r="H14097">
        <v>153190053</v>
      </c>
      <c r="I14097">
        <v>153190067</v>
      </c>
    </row>
    <row r="14098" spans="1:9" x14ac:dyDescent="0.2">
      <c r="A14098" s="1" t="str">
        <f>"PRRC1"</f>
        <v>PRRC1</v>
      </c>
      <c r="B14098" t="s">
        <v>14</v>
      </c>
      <c r="C14098" t="s">
        <v>46</v>
      </c>
      <c r="D14098" t="s">
        <v>17</v>
      </c>
      <c r="E14098" t="s">
        <v>12</v>
      </c>
      <c r="F14098">
        <v>126853316</v>
      </c>
      <c r="G14098">
        <v>126853374</v>
      </c>
      <c r="H14098">
        <v>126853376</v>
      </c>
      <c r="I14098">
        <v>126853407</v>
      </c>
    </row>
    <row r="14099" spans="1:9" x14ac:dyDescent="0.2">
      <c r="A14099" s="1" t="str">
        <f>"PRRC2A"</f>
        <v>PRRC2A</v>
      </c>
      <c r="B14099" t="s">
        <v>14</v>
      </c>
      <c r="C14099" t="s">
        <v>32</v>
      </c>
      <c r="D14099" t="s">
        <v>17</v>
      </c>
      <c r="E14099" t="s">
        <v>12</v>
      </c>
      <c r="F14099">
        <v>31588478</v>
      </c>
      <c r="G14099">
        <v>31588508</v>
      </c>
      <c r="H14099">
        <v>31588512</v>
      </c>
      <c r="I14099">
        <v>31588554</v>
      </c>
    </row>
    <row r="14100" spans="1:9" x14ac:dyDescent="0.2">
      <c r="A14100" s="1" t="str">
        <f>"PRRC2B"</f>
        <v>PRRC2B</v>
      </c>
      <c r="B14100" t="s">
        <v>14</v>
      </c>
      <c r="C14100" t="s">
        <v>24</v>
      </c>
      <c r="D14100" t="s">
        <v>17</v>
      </c>
      <c r="E14100" t="s">
        <v>67</v>
      </c>
      <c r="F14100">
        <v>134305558</v>
      </c>
      <c r="G14100">
        <v>134305585</v>
      </c>
      <c r="H14100">
        <v>134305543</v>
      </c>
      <c r="I14100">
        <v>134305554</v>
      </c>
    </row>
    <row r="14101" spans="1:9" x14ac:dyDescent="0.2">
      <c r="A14101" s="1" t="str">
        <f>"PRRC2C"</f>
        <v>PRRC2C</v>
      </c>
      <c r="B14101" t="s">
        <v>14</v>
      </c>
      <c r="C14101" t="s">
        <v>19</v>
      </c>
      <c r="D14101" t="s">
        <v>17</v>
      </c>
      <c r="E14101" t="s">
        <v>12</v>
      </c>
      <c r="F14101">
        <v>171454659</v>
      </c>
      <c r="G14101">
        <v>171454723</v>
      </c>
      <c r="H14101">
        <v>171454639</v>
      </c>
      <c r="I14101">
        <v>171454657</v>
      </c>
    </row>
    <row r="14102" spans="1:9" x14ac:dyDescent="0.2">
      <c r="A14102" s="1" t="str">
        <f>"PRRG1"</f>
        <v>PRRG1</v>
      </c>
      <c r="B14102" t="s">
        <v>14</v>
      </c>
      <c r="C14102" t="s">
        <v>37</v>
      </c>
      <c r="D14102" t="s">
        <v>17</v>
      </c>
      <c r="E14102" t="s">
        <v>12</v>
      </c>
      <c r="F14102">
        <v>37208540</v>
      </c>
      <c r="G14102">
        <v>37208625</v>
      </c>
      <c r="H14102">
        <v>37208521</v>
      </c>
      <c r="I14102">
        <v>37208539</v>
      </c>
    </row>
    <row r="14103" spans="1:9" x14ac:dyDescent="0.2">
      <c r="A14103" s="1" t="str">
        <f>"PRRG2"</f>
        <v>PRRG2</v>
      </c>
      <c r="B14103" t="s">
        <v>14</v>
      </c>
      <c r="C14103" t="s">
        <v>10</v>
      </c>
      <c r="D14103" t="s">
        <v>17</v>
      </c>
      <c r="E14103" t="s">
        <v>12</v>
      </c>
      <c r="F14103">
        <v>50084561</v>
      </c>
      <c r="G14103">
        <v>50084603</v>
      </c>
      <c r="H14103">
        <v>50084621</v>
      </c>
      <c r="I14103">
        <v>50084673</v>
      </c>
    </row>
    <row r="14104" spans="1:9" x14ac:dyDescent="0.2">
      <c r="A14104" s="1" t="str">
        <f>"PRRG3"</f>
        <v>PRRG3</v>
      </c>
      <c r="B14104" t="s">
        <v>14</v>
      </c>
      <c r="C14104" t="s">
        <v>37</v>
      </c>
      <c r="D14104" t="s">
        <v>17</v>
      </c>
      <c r="E14104" t="s">
        <v>12</v>
      </c>
      <c r="F14104">
        <v>150863439</v>
      </c>
      <c r="G14104">
        <v>150863476</v>
      </c>
      <c r="H14104">
        <v>150863939</v>
      </c>
      <c r="I14104">
        <v>150863959</v>
      </c>
    </row>
    <row r="14105" spans="1:9" x14ac:dyDescent="0.2">
      <c r="A14105" s="1" t="str">
        <f>"PRRG4"</f>
        <v>PRRG4</v>
      </c>
      <c r="B14105" t="s">
        <v>14</v>
      </c>
      <c r="C14105" t="s">
        <v>27</v>
      </c>
      <c r="D14105" t="s">
        <v>17</v>
      </c>
      <c r="E14105" t="s">
        <v>12</v>
      </c>
      <c r="F14105">
        <v>32851450</v>
      </c>
      <c r="G14105">
        <v>32851485</v>
      </c>
      <c r="H14105">
        <v>32851325</v>
      </c>
      <c r="I14105">
        <v>32851341</v>
      </c>
    </row>
    <row r="14106" spans="1:9" x14ac:dyDescent="0.2">
      <c r="A14106" s="1" t="str">
        <f>"PRRT1"</f>
        <v>PRRT1</v>
      </c>
      <c r="B14106" t="s">
        <v>9</v>
      </c>
      <c r="C14106" t="s">
        <v>32</v>
      </c>
      <c r="D14106" t="s">
        <v>11</v>
      </c>
      <c r="E14106" t="s">
        <v>12</v>
      </c>
      <c r="F14106">
        <v>32119676</v>
      </c>
      <c r="G14106">
        <v>32119728</v>
      </c>
      <c r="H14106">
        <v>32119676</v>
      </c>
      <c r="I14106">
        <v>32119728</v>
      </c>
    </row>
    <row r="14107" spans="1:9" x14ac:dyDescent="0.2">
      <c r="A14107" s="1" t="str">
        <f>"PRRT1"</f>
        <v>PRRT1</v>
      </c>
      <c r="B14107" t="s">
        <v>13</v>
      </c>
      <c r="C14107" t="s">
        <v>32</v>
      </c>
      <c r="D14107" t="s">
        <v>11</v>
      </c>
      <c r="E14107" t="s">
        <v>12</v>
      </c>
      <c r="F14107">
        <v>32122106</v>
      </c>
      <c r="G14107">
        <v>32122177</v>
      </c>
      <c r="H14107">
        <v>32122106</v>
      </c>
      <c r="I14107">
        <v>32122177</v>
      </c>
    </row>
    <row r="14108" spans="1:9" x14ac:dyDescent="0.2">
      <c r="A14108" s="1" t="str">
        <f>"PRRT2"</f>
        <v>PRRT2</v>
      </c>
      <c r="B14108" t="s">
        <v>14</v>
      </c>
      <c r="C14108" t="s">
        <v>31</v>
      </c>
      <c r="D14108" t="s">
        <v>17</v>
      </c>
      <c r="E14108" t="s">
        <v>12</v>
      </c>
      <c r="F14108">
        <v>29823552</v>
      </c>
      <c r="G14108">
        <v>29823612</v>
      </c>
      <c r="H14108">
        <v>29823487</v>
      </c>
      <c r="I14108">
        <v>29823546</v>
      </c>
    </row>
    <row r="14109" spans="1:9" x14ac:dyDescent="0.2">
      <c r="A14109" s="1" t="str">
        <f>"PRRT3"</f>
        <v>PRRT3</v>
      </c>
      <c r="B14109" t="s">
        <v>14</v>
      </c>
      <c r="C14109" t="s">
        <v>22</v>
      </c>
      <c r="D14109" t="s">
        <v>11</v>
      </c>
      <c r="E14109" t="s">
        <v>12</v>
      </c>
      <c r="F14109">
        <v>9994021</v>
      </c>
      <c r="G14109">
        <v>9994126</v>
      </c>
      <c r="H14109">
        <v>9994021</v>
      </c>
      <c r="I14109">
        <v>9994126</v>
      </c>
    </row>
    <row r="14110" spans="1:9" x14ac:dyDescent="0.2">
      <c r="A14110" s="1" t="str">
        <f>"PRRT4"</f>
        <v>PRRT4</v>
      </c>
      <c r="B14110" t="s">
        <v>14</v>
      </c>
      <c r="C14110" t="s">
        <v>33</v>
      </c>
      <c r="D14110" t="s">
        <v>11</v>
      </c>
      <c r="E14110" t="s">
        <v>12</v>
      </c>
      <c r="F14110">
        <v>128001971</v>
      </c>
      <c r="G14110">
        <v>128001994</v>
      </c>
      <c r="H14110">
        <v>128001737</v>
      </c>
      <c r="I14110">
        <v>128001749</v>
      </c>
    </row>
    <row r="14111" spans="1:9" x14ac:dyDescent="0.2">
      <c r="A14111" s="1" t="str">
        <f>"PRRX1"</f>
        <v>PRRX1</v>
      </c>
      <c r="B14111" t="s">
        <v>9</v>
      </c>
      <c r="C14111" t="s">
        <v>19</v>
      </c>
      <c r="D14111" t="s">
        <v>17</v>
      </c>
      <c r="E14111" t="s">
        <v>12</v>
      </c>
      <c r="F14111">
        <v>170632285</v>
      </c>
      <c r="G14111">
        <v>170632309</v>
      </c>
      <c r="H14111">
        <v>170632285</v>
      </c>
      <c r="I14111">
        <v>170632309</v>
      </c>
    </row>
    <row r="14112" spans="1:9" x14ac:dyDescent="0.2">
      <c r="A14112" s="1" t="str">
        <f>"PRRX1"</f>
        <v>PRRX1</v>
      </c>
      <c r="B14112" t="s">
        <v>13</v>
      </c>
      <c r="C14112" t="s">
        <v>19</v>
      </c>
      <c r="D14112" t="s">
        <v>17</v>
      </c>
      <c r="E14112" t="s">
        <v>12</v>
      </c>
      <c r="F14112">
        <v>170633348</v>
      </c>
      <c r="G14112">
        <v>170633399</v>
      </c>
      <c r="H14112">
        <v>170633348</v>
      </c>
      <c r="I14112">
        <v>170633399</v>
      </c>
    </row>
    <row r="14113" spans="1:9" x14ac:dyDescent="0.2">
      <c r="A14113" s="1" t="str">
        <f>"PRRX2"</f>
        <v>PRRX2</v>
      </c>
      <c r="B14113" t="s">
        <v>14</v>
      </c>
      <c r="C14113" t="s">
        <v>24</v>
      </c>
      <c r="D14113" t="s">
        <v>17</v>
      </c>
      <c r="E14113" t="s">
        <v>12</v>
      </c>
      <c r="F14113">
        <v>132427972</v>
      </c>
      <c r="G14113">
        <v>132428056</v>
      </c>
      <c r="H14113">
        <v>132427883</v>
      </c>
      <c r="I14113">
        <v>132427951</v>
      </c>
    </row>
    <row r="14114" spans="1:9" x14ac:dyDescent="0.2">
      <c r="A14114" s="1" t="str">
        <f>"PRSS1"</f>
        <v>PRSS1</v>
      </c>
      <c r="B14114" t="s">
        <v>9</v>
      </c>
      <c r="C14114" t="s">
        <v>33</v>
      </c>
      <c r="D14114" t="s">
        <v>17</v>
      </c>
      <c r="E14114" t="s">
        <v>12</v>
      </c>
      <c r="F14114">
        <v>142457315</v>
      </c>
      <c r="G14114">
        <v>142457330</v>
      </c>
      <c r="H14114">
        <v>142457315</v>
      </c>
      <c r="I14114">
        <v>142457330</v>
      </c>
    </row>
    <row r="14115" spans="1:9" x14ac:dyDescent="0.2">
      <c r="A14115" s="1" t="str">
        <f>"PRSS1"</f>
        <v>PRSS1</v>
      </c>
      <c r="B14115" t="s">
        <v>13</v>
      </c>
      <c r="C14115" t="s">
        <v>33</v>
      </c>
      <c r="D14115" t="s">
        <v>17</v>
      </c>
      <c r="E14115" t="s">
        <v>12</v>
      </c>
      <c r="F14115">
        <v>142458475</v>
      </c>
      <c r="G14115">
        <v>142458501</v>
      </c>
      <c r="H14115">
        <v>142458475</v>
      </c>
      <c r="I14115">
        <v>142458501</v>
      </c>
    </row>
    <row r="14116" spans="1:9" x14ac:dyDescent="0.2">
      <c r="A14116" s="1" t="str">
        <f>"PRSS12"</f>
        <v>PRSS12</v>
      </c>
      <c r="B14116" t="s">
        <v>14</v>
      </c>
      <c r="C14116" t="s">
        <v>23</v>
      </c>
      <c r="D14116" t="s">
        <v>11</v>
      </c>
      <c r="E14116" t="s">
        <v>12</v>
      </c>
      <c r="F14116">
        <v>119274121</v>
      </c>
      <c r="G14116">
        <v>119274219</v>
      </c>
      <c r="H14116">
        <v>119273889</v>
      </c>
      <c r="I14116">
        <v>119273914</v>
      </c>
    </row>
    <row r="14117" spans="1:9" x14ac:dyDescent="0.2">
      <c r="A14117" s="1" t="str">
        <f>"PRSS16"</f>
        <v>PRSS16</v>
      </c>
      <c r="B14117" t="s">
        <v>9</v>
      </c>
      <c r="C14117" t="s">
        <v>32</v>
      </c>
      <c r="D14117" t="s">
        <v>17</v>
      </c>
      <c r="E14117" t="s">
        <v>12</v>
      </c>
      <c r="F14117">
        <v>27215494</v>
      </c>
      <c r="G14117">
        <v>27215516</v>
      </c>
      <c r="H14117">
        <v>27215494</v>
      </c>
      <c r="I14117">
        <v>27215516</v>
      </c>
    </row>
    <row r="14118" spans="1:9" x14ac:dyDescent="0.2">
      <c r="A14118" s="1" t="str">
        <f>"PRSS16"</f>
        <v>PRSS16</v>
      </c>
      <c r="B14118" t="s">
        <v>13</v>
      </c>
      <c r="C14118" t="s">
        <v>32</v>
      </c>
      <c r="D14118" t="s">
        <v>17</v>
      </c>
      <c r="E14118" t="s">
        <v>12</v>
      </c>
      <c r="F14118">
        <v>27218970</v>
      </c>
      <c r="G14118">
        <v>27219009</v>
      </c>
      <c r="H14118">
        <v>27218970</v>
      </c>
      <c r="I14118">
        <v>27219009</v>
      </c>
    </row>
    <row r="14119" spans="1:9" x14ac:dyDescent="0.2">
      <c r="A14119" s="1" t="str">
        <f>"PRSS2"</f>
        <v>PRSS2</v>
      </c>
      <c r="B14119" t="s">
        <v>14</v>
      </c>
      <c r="C14119" t="s">
        <v>33</v>
      </c>
      <c r="D14119" t="s">
        <v>17</v>
      </c>
      <c r="E14119" t="s">
        <v>12</v>
      </c>
      <c r="F14119">
        <v>142478818</v>
      </c>
      <c r="G14119">
        <v>142478827</v>
      </c>
      <c r="H14119">
        <v>142478818</v>
      </c>
      <c r="I14119">
        <v>142478827</v>
      </c>
    </row>
    <row r="14120" spans="1:9" x14ac:dyDescent="0.2">
      <c r="A14120" s="1" t="str">
        <f>"PRSS21"</f>
        <v>PRSS21</v>
      </c>
      <c r="B14120" t="s">
        <v>14</v>
      </c>
      <c r="C14120" t="s">
        <v>31</v>
      </c>
      <c r="D14120" t="s">
        <v>17</v>
      </c>
      <c r="E14120" t="s">
        <v>12</v>
      </c>
      <c r="F14120">
        <v>2867231</v>
      </c>
      <c r="G14120">
        <v>2867246</v>
      </c>
      <c r="H14120">
        <v>2867201</v>
      </c>
      <c r="I14120">
        <v>2867209</v>
      </c>
    </row>
    <row r="14121" spans="1:9" x14ac:dyDescent="0.2">
      <c r="A14121" s="1" t="str">
        <f>"PRSS22"</f>
        <v>PRSS22</v>
      </c>
      <c r="B14121" t="s">
        <v>14</v>
      </c>
      <c r="C14121" t="s">
        <v>31</v>
      </c>
      <c r="D14121" t="s">
        <v>11</v>
      </c>
      <c r="E14121" t="s">
        <v>12</v>
      </c>
      <c r="F14121">
        <v>2908163</v>
      </c>
      <c r="G14121">
        <v>2908178</v>
      </c>
      <c r="H14121">
        <v>2907916</v>
      </c>
      <c r="I14121">
        <v>2907972</v>
      </c>
    </row>
    <row r="14122" spans="1:9" x14ac:dyDescent="0.2">
      <c r="A14122" s="1" t="str">
        <f>"PRSS23"</f>
        <v>PRSS23</v>
      </c>
      <c r="B14122" t="s">
        <v>14</v>
      </c>
      <c r="C14122" t="s">
        <v>27</v>
      </c>
      <c r="D14122" t="s">
        <v>17</v>
      </c>
      <c r="E14122" t="s">
        <v>12</v>
      </c>
      <c r="F14122">
        <v>86511569</v>
      </c>
      <c r="G14122">
        <v>86511599</v>
      </c>
      <c r="H14122">
        <v>86511549</v>
      </c>
      <c r="I14122">
        <v>86511560</v>
      </c>
    </row>
    <row r="14123" spans="1:9" x14ac:dyDescent="0.2">
      <c r="A14123" s="1" t="str">
        <f>"PRSS27"</f>
        <v>PRSS27</v>
      </c>
      <c r="B14123" t="s">
        <v>14</v>
      </c>
      <c r="C14123" t="s">
        <v>31</v>
      </c>
      <c r="D14123" t="s">
        <v>11</v>
      </c>
      <c r="E14123" t="s">
        <v>12</v>
      </c>
      <c r="F14123">
        <v>2770218</v>
      </c>
      <c r="G14123">
        <v>2770233</v>
      </c>
      <c r="H14123">
        <v>2770218</v>
      </c>
      <c r="I14123">
        <v>2770233</v>
      </c>
    </row>
    <row r="14124" spans="1:9" x14ac:dyDescent="0.2">
      <c r="A14124" s="1" t="str">
        <f>"PRSS3"</f>
        <v>PRSS3</v>
      </c>
      <c r="B14124" t="s">
        <v>1417</v>
      </c>
      <c r="C14124" t="s">
        <v>24</v>
      </c>
      <c r="D14124" t="s">
        <v>17</v>
      </c>
      <c r="E14124" t="s">
        <v>75</v>
      </c>
      <c r="F14124">
        <v>33795491</v>
      </c>
      <c r="G14124">
        <v>33795501</v>
      </c>
      <c r="H14124">
        <v>33795549</v>
      </c>
      <c r="I14124">
        <v>33795562</v>
      </c>
    </row>
    <row r="14125" spans="1:9" x14ac:dyDescent="0.2">
      <c r="A14125" s="1" t="str">
        <f>"PRSS33"</f>
        <v>PRSS33</v>
      </c>
      <c r="B14125" t="s">
        <v>1418</v>
      </c>
      <c r="C14125" t="s">
        <v>31</v>
      </c>
      <c r="D14125" t="s">
        <v>11</v>
      </c>
      <c r="E14125" t="s">
        <v>20</v>
      </c>
      <c r="F14125">
        <v>2836707</v>
      </c>
      <c r="G14125">
        <v>2836707</v>
      </c>
      <c r="H14125">
        <v>2836707</v>
      </c>
      <c r="I14125">
        <v>2836707</v>
      </c>
    </row>
    <row r="14126" spans="1:9" x14ac:dyDescent="0.2">
      <c r="A14126" s="1" t="str">
        <f>"PRSS33"</f>
        <v>PRSS33</v>
      </c>
      <c r="B14126" t="s">
        <v>1419</v>
      </c>
      <c r="C14126" t="s">
        <v>31</v>
      </c>
      <c r="D14126" t="s">
        <v>11</v>
      </c>
      <c r="E14126" t="s">
        <v>20</v>
      </c>
      <c r="F14126">
        <v>2837948</v>
      </c>
      <c r="G14126">
        <v>2837948</v>
      </c>
      <c r="H14126">
        <v>2837948</v>
      </c>
      <c r="I14126">
        <v>2837948</v>
      </c>
    </row>
    <row r="14127" spans="1:9" x14ac:dyDescent="0.2">
      <c r="A14127" s="1" t="str">
        <f>"PRSS35"</f>
        <v>PRSS35</v>
      </c>
      <c r="B14127" t="s">
        <v>14</v>
      </c>
      <c r="C14127" t="s">
        <v>32</v>
      </c>
      <c r="D14127" t="s">
        <v>17</v>
      </c>
      <c r="E14127" t="s">
        <v>12</v>
      </c>
      <c r="F14127">
        <v>84222220</v>
      </c>
      <c r="G14127">
        <v>84222266</v>
      </c>
      <c r="H14127">
        <v>84222196</v>
      </c>
      <c r="I14127">
        <v>84222218</v>
      </c>
    </row>
    <row r="14128" spans="1:9" x14ac:dyDescent="0.2">
      <c r="A14128" s="1" t="str">
        <f>"PRSS36"</f>
        <v>PRSS36</v>
      </c>
      <c r="B14128" t="s">
        <v>14</v>
      </c>
      <c r="C14128" t="s">
        <v>31</v>
      </c>
      <c r="D14128" t="s">
        <v>11</v>
      </c>
      <c r="E14128" t="s">
        <v>12</v>
      </c>
      <c r="F14128">
        <v>31161380</v>
      </c>
      <c r="G14128">
        <v>31161393</v>
      </c>
      <c r="H14128">
        <v>31161409</v>
      </c>
      <c r="I14128">
        <v>31161421</v>
      </c>
    </row>
    <row r="14129" spans="1:9" x14ac:dyDescent="0.2">
      <c r="A14129" s="1" t="str">
        <f>"PRSS37"</f>
        <v>PRSS37</v>
      </c>
      <c r="B14129" t="s">
        <v>14</v>
      </c>
      <c r="C14129" t="s">
        <v>33</v>
      </c>
      <c r="D14129" t="s">
        <v>11</v>
      </c>
      <c r="E14129" t="s">
        <v>12</v>
      </c>
      <c r="F14129">
        <v>141541274</v>
      </c>
      <c r="G14129">
        <v>141541290</v>
      </c>
      <c r="H14129">
        <v>141541274</v>
      </c>
      <c r="I14129">
        <v>141541290</v>
      </c>
    </row>
    <row r="14130" spans="1:9" x14ac:dyDescent="0.2">
      <c r="A14130" s="1" t="str">
        <f>"PRSS38"</f>
        <v>PRSS38</v>
      </c>
      <c r="B14130" t="s">
        <v>14</v>
      </c>
      <c r="C14130" t="s">
        <v>19</v>
      </c>
      <c r="D14130" t="s">
        <v>17</v>
      </c>
      <c r="E14130" t="s">
        <v>12</v>
      </c>
      <c r="F14130">
        <v>228003385</v>
      </c>
      <c r="G14130">
        <v>228003418</v>
      </c>
      <c r="H14130">
        <v>228003446</v>
      </c>
      <c r="I14130">
        <v>228003447</v>
      </c>
    </row>
    <row r="14131" spans="1:9" x14ac:dyDescent="0.2">
      <c r="A14131" s="1" t="str">
        <f>"PRSS42"</f>
        <v>PRSS42</v>
      </c>
      <c r="B14131" t="s">
        <v>1420</v>
      </c>
      <c r="C14131" t="s">
        <v>22</v>
      </c>
      <c r="D14131" t="s">
        <v>11</v>
      </c>
      <c r="E14131" t="s">
        <v>20</v>
      </c>
      <c r="F14131">
        <v>46875584</v>
      </c>
      <c r="G14131">
        <v>46875584</v>
      </c>
      <c r="H14131">
        <v>46875584</v>
      </c>
      <c r="I14131">
        <v>46875584</v>
      </c>
    </row>
    <row r="14132" spans="1:9" x14ac:dyDescent="0.2">
      <c r="A14132" s="1" t="str">
        <f>"PRSS45"</f>
        <v>PRSS45</v>
      </c>
      <c r="B14132" t="s">
        <v>1421</v>
      </c>
      <c r="C14132" t="s">
        <v>22</v>
      </c>
      <c r="D14132" t="s">
        <v>11</v>
      </c>
      <c r="E14132" t="s">
        <v>20</v>
      </c>
      <c r="F14132">
        <v>46786244</v>
      </c>
      <c r="G14132">
        <v>46786244</v>
      </c>
      <c r="H14132">
        <v>46786244</v>
      </c>
      <c r="I14132">
        <v>46786244</v>
      </c>
    </row>
    <row r="14133" spans="1:9" x14ac:dyDescent="0.2">
      <c r="A14133" s="1" t="str">
        <f>"PRSS46"</f>
        <v>PRSS46</v>
      </c>
      <c r="B14133" t="s">
        <v>1422</v>
      </c>
      <c r="C14133" t="s">
        <v>22</v>
      </c>
      <c r="D14133" t="s">
        <v>11</v>
      </c>
      <c r="E14133" t="s">
        <v>20</v>
      </c>
      <c r="F14133">
        <v>46777918</v>
      </c>
      <c r="G14133">
        <v>46777918</v>
      </c>
      <c r="H14133">
        <v>46777918</v>
      </c>
      <c r="I14133">
        <v>46777918</v>
      </c>
    </row>
    <row r="14134" spans="1:9" x14ac:dyDescent="0.2">
      <c r="A14134" s="1" t="str">
        <f>"PRSS48"</f>
        <v>PRSS48</v>
      </c>
      <c r="B14134" t="s">
        <v>1423</v>
      </c>
      <c r="C14134" t="s">
        <v>23</v>
      </c>
      <c r="D14134" t="s">
        <v>17</v>
      </c>
      <c r="E14134" t="s">
        <v>20</v>
      </c>
      <c r="F14134">
        <v>152198322</v>
      </c>
      <c r="G14134">
        <v>152198322</v>
      </c>
      <c r="H14134">
        <v>152198322</v>
      </c>
      <c r="I14134">
        <v>152198322</v>
      </c>
    </row>
    <row r="14135" spans="1:9" x14ac:dyDescent="0.2">
      <c r="A14135" s="1" t="str">
        <f>"PRSS50"</f>
        <v>PRSS50</v>
      </c>
      <c r="B14135" t="s">
        <v>9</v>
      </c>
      <c r="C14135" t="s">
        <v>22</v>
      </c>
      <c r="D14135" t="s">
        <v>11</v>
      </c>
      <c r="E14135" t="s">
        <v>12</v>
      </c>
      <c r="F14135">
        <v>46854055</v>
      </c>
      <c r="G14135">
        <v>46854085</v>
      </c>
      <c r="H14135">
        <v>46854055</v>
      </c>
      <c r="I14135">
        <v>46854085</v>
      </c>
    </row>
    <row r="14136" spans="1:9" x14ac:dyDescent="0.2">
      <c r="A14136" s="1" t="str">
        <f>"PRSS50"</f>
        <v>PRSS50</v>
      </c>
      <c r="B14136" t="s">
        <v>13</v>
      </c>
      <c r="C14136" t="s">
        <v>22</v>
      </c>
      <c r="D14136" t="s">
        <v>11</v>
      </c>
      <c r="E14136" t="s">
        <v>12</v>
      </c>
      <c r="F14136">
        <v>46759327</v>
      </c>
      <c r="G14136">
        <v>46759340</v>
      </c>
      <c r="H14136">
        <v>46759327</v>
      </c>
      <c r="I14136">
        <v>46759340</v>
      </c>
    </row>
    <row r="14137" spans="1:9" x14ac:dyDescent="0.2">
      <c r="A14137" s="1" t="str">
        <f>"PRSS51"</f>
        <v>PRSS51</v>
      </c>
      <c r="B14137" t="s">
        <v>14</v>
      </c>
      <c r="C14137" t="s">
        <v>30</v>
      </c>
      <c r="D14137" t="s">
        <v>11</v>
      </c>
      <c r="E14137" t="s">
        <v>67</v>
      </c>
      <c r="F14137">
        <v>10405100</v>
      </c>
      <c r="G14137">
        <v>10405139</v>
      </c>
      <c r="H14137">
        <v>10405100</v>
      </c>
      <c r="I14137">
        <v>10405139</v>
      </c>
    </row>
    <row r="14138" spans="1:9" x14ac:dyDescent="0.2">
      <c r="A14138" s="1" t="str">
        <f>"PRSS53"</f>
        <v>PRSS53</v>
      </c>
      <c r="B14138" t="s">
        <v>14</v>
      </c>
      <c r="C14138" t="s">
        <v>31</v>
      </c>
      <c r="D14138" t="s">
        <v>11</v>
      </c>
      <c r="E14138" t="s">
        <v>12</v>
      </c>
      <c r="F14138">
        <v>31106211</v>
      </c>
      <c r="G14138">
        <v>31106315</v>
      </c>
      <c r="H14138">
        <v>31106211</v>
      </c>
      <c r="I14138">
        <v>31106315</v>
      </c>
    </row>
    <row r="14139" spans="1:9" x14ac:dyDescent="0.2">
      <c r="A14139" s="1" t="str">
        <f>"PRSS54"</f>
        <v>PRSS54</v>
      </c>
      <c r="B14139" t="s">
        <v>14</v>
      </c>
      <c r="C14139" t="s">
        <v>31</v>
      </c>
      <c r="D14139" t="s">
        <v>11</v>
      </c>
      <c r="E14139" t="s">
        <v>12</v>
      </c>
      <c r="F14139">
        <v>58328884</v>
      </c>
      <c r="G14139">
        <v>58328914</v>
      </c>
      <c r="H14139">
        <v>58328923</v>
      </c>
      <c r="I14139">
        <v>58328933</v>
      </c>
    </row>
    <row r="14140" spans="1:9" x14ac:dyDescent="0.2">
      <c r="A14140" s="1" t="str">
        <f>"PRSS55"</f>
        <v>PRSS55</v>
      </c>
      <c r="B14140" t="s">
        <v>14</v>
      </c>
      <c r="C14140" t="s">
        <v>30</v>
      </c>
      <c r="D14140" t="s">
        <v>17</v>
      </c>
      <c r="E14140" t="s">
        <v>12</v>
      </c>
      <c r="F14140">
        <v>10383039</v>
      </c>
      <c r="G14140">
        <v>10383057</v>
      </c>
      <c r="H14140">
        <v>10383025</v>
      </c>
      <c r="I14140">
        <v>10383032</v>
      </c>
    </row>
    <row r="14141" spans="1:9" x14ac:dyDescent="0.2">
      <c r="A14141" s="1" t="str">
        <f>"PRSS56"</f>
        <v>PRSS56</v>
      </c>
      <c r="B14141" t="s">
        <v>14</v>
      </c>
      <c r="C14141" t="s">
        <v>26</v>
      </c>
      <c r="D14141" t="s">
        <v>17</v>
      </c>
      <c r="E14141" t="s">
        <v>12</v>
      </c>
      <c r="F14141">
        <v>233384889</v>
      </c>
      <c r="G14141">
        <v>233384914</v>
      </c>
      <c r="H14141">
        <v>233385266</v>
      </c>
      <c r="I14141">
        <v>233385306</v>
      </c>
    </row>
    <row r="14142" spans="1:9" x14ac:dyDescent="0.2">
      <c r="A14142" s="1" t="str">
        <f>"PRSS57"</f>
        <v>PRSS57</v>
      </c>
      <c r="B14142" t="s">
        <v>14</v>
      </c>
      <c r="C14142" t="s">
        <v>10</v>
      </c>
      <c r="D14142" t="s">
        <v>11</v>
      </c>
      <c r="E14142" t="s">
        <v>12</v>
      </c>
      <c r="F14142">
        <v>695427</v>
      </c>
      <c r="G14142">
        <v>695466</v>
      </c>
      <c r="H14142">
        <v>695467</v>
      </c>
      <c r="I14142">
        <v>695482</v>
      </c>
    </row>
    <row r="14143" spans="1:9" x14ac:dyDescent="0.2">
      <c r="A14143" s="1" t="str">
        <f>"PRSS58"</f>
        <v>PRSS58</v>
      </c>
      <c r="B14143" t="s">
        <v>14</v>
      </c>
      <c r="C14143" t="s">
        <v>33</v>
      </c>
      <c r="D14143" t="s">
        <v>11</v>
      </c>
      <c r="E14143" t="s">
        <v>12</v>
      </c>
      <c r="F14143">
        <v>141957872</v>
      </c>
      <c r="G14143">
        <v>141957883</v>
      </c>
      <c r="H14143">
        <v>141957901</v>
      </c>
      <c r="I14143">
        <v>141957906</v>
      </c>
    </row>
    <row r="14144" spans="1:9" x14ac:dyDescent="0.2">
      <c r="A14144" s="1" t="str">
        <f>"PRSS8"</f>
        <v>PRSS8</v>
      </c>
      <c r="B14144" t="s">
        <v>14</v>
      </c>
      <c r="C14144" t="s">
        <v>31</v>
      </c>
      <c r="D14144" t="s">
        <v>11</v>
      </c>
      <c r="E14144" t="s">
        <v>12</v>
      </c>
      <c r="F14144">
        <v>31147020</v>
      </c>
      <c r="G14144">
        <v>31147058</v>
      </c>
      <c r="H14144">
        <v>31147002</v>
      </c>
      <c r="I14144">
        <v>31147017</v>
      </c>
    </row>
    <row r="14145" spans="1:9" x14ac:dyDescent="0.2">
      <c r="A14145" s="1" t="str">
        <f>"PRTFDC1"</f>
        <v>PRTFDC1</v>
      </c>
      <c r="B14145" t="s">
        <v>14</v>
      </c>
      <c r="C14145" t="s">
        <v>15</v>
      </c>
      <c r="D14145" t="s">
        <v>11</v>
      </c>
      <c r="E14145" t="s">
        <v>12</v>
      </c>
      <c r="F14145">
        <v>25241499</v>
      </c>
      <c r="G14145">
        <v>25241541</v>
      </c>
      <c r="H14145">
        <v>25241774</v>
      </c>
      <c r="I14145">
        <v>25241822</v>
      </c>
    </row>
    <row r="14146" spans="1:9" x14ac:dyDescent="0.2">
      <c r="A14146" s="1" t="str">
        <f>"PRTG"</f>
        <v>PRTG</v>
      </c>
      <c r="B14146" t="s">
        <v>14</v>
      </c>
      <c r="C14146" t="s">
        <v>25</v>
      </c>
      <c r="D14146" t="s">
        <v>11</v>
      </c>
      <c r="E14146" t="s">
        <v>12</v>
      </c>
      <c r="F14146">
        <v>56035257</v>
      </c>
      <c r="G14146">
        <v>56035355</v>
      </c>
      <c r="H14146">
        <v>56035356</v>
      </c>
      <c r="I14146">
        <v>56035367</v>
      </c>
    </row>
    <row r="14147" spans="1:9" x14ac:dyDescent="0.2">
      <c r="A14147" s="1" t="str">
        <f>"PRTN3"</f>
        <v>PRTN3</v>
      </c>
      <c r="B14147" t="s">
        <v>9</v>
      </c>
      <c r="C14147" t="s">
        <v>10</v>
      </c>
      <c r="D14147" t="s">
        <v>17</v>
      </c>
      <c r="E14147" t="s">
        <v>12</v>
      </c>
      <c r="F14147">
        <v>840991</v>
      </c>
      <c r="G14147">
        <v>841006</v>
      </c>
      <c r="H14147">
        <v>840991</v>
      </c>
      <c r="I14147">
        <v>841006</v>
      </c>
    </row>
    <row r="14148" spans="1:9" x14ac:dyDescent="0.2">
      <c r="A14148" s="1" t="str">
        <f>"PRTN3"</f>
        <v>PRTN3</v>
      </c>
      <c r="B14148" t="s">
        <v>13</v>
      </c>
      <c r="C14148" t="s">
        <v>10</v>
      </c>
      <c r="D14148" t="s">
        <v>17</v>
      </c>
      <c r="E14148" t="s">
        <v>12</v>
      </c>
      <c r="F14148">
        <v>843564</v>
      </c>
      <c r="G14148">
        <v>843580</v>
      </c>
      <c r="H14148">
        <v>843564</v>
      </c>
      <c r="I14148">
        <v>843580</v>
      </c>
    </row>
    <row r="14149" spans="1:9" x14ac:dyDescent="0.2">
      <c r="A14149" s="1" t="str">
        <f>"PRUNE"</f>
        <v>PRUNE</v>
      </c>
      <c r="B14149" t="s">
        <v>14</v>
      </c>
      <c r="C14149" t="s">
        <v>19</v>
      </c>
      <c r="D14149" t="s">
        <v>17</v>
      </c>
      <c r="E14149" t="s">
        <v>12</v>
      </c>
      <c r="F14149">
        <v>150980889</v>
      </c>
      <c r="G14149">
        <v>150980965</v>
      </c>
      <c r="H14149">
        <v>150980989</v>
      </c>
      <c r="I14149">
        <v>150981014</v>
      </c>
    </row>
    <row r="14150" spans="1:9" x14ac:dyDescent="0.2">
      <c r="A14150" s="1" t="str">
        <f>"PRUNE2"</f>
        <v>PRUNE2</v>
      </c>
      <c r="B14150" t="s">
        <v>14</v>
      </c>
      <c r="C14150" t="s">
        <v>24</v>
      </c>
      <c r="D14150" t="s">
        <v>11</v>
      </c>
      <c r="E14150" t="s">
        <v>12</v>
      </c>
      <c r="F14150">
        <v>79521006</v>
      </c>
      <c r="G14150">
        <v>79521040</v>
      </c>
      <c r="H14150">
        <v>79521006</v>
      </c>
      <c r="I14150">
        <v>79521040</v>
      </c>
    </row>
    <row r="14151" spans="1:9" x14ac:dyDescent="0.2">
      <c r="A14151" s="1" t="str">
        <f>"PRX"</f>
        <v>PRX</v>
      </c>
      <c r="B14151" t="s">
        <v>14</v>
      </c>
      <c r="C14151" t="s">
        <v>10</v>
      </c>
      <c r="D14151" t="s">
        <v>11</v>
      </c>
      <c r="E14151" t="s">
        <v>12</v>
      </c>
      <c r="F14151">
        <v>40910179</v>
      </c>
      <c r="G14151">
        <v>40910215</v>
      </c>
      <c r="H14151">
        <v>40910179</v>
      </c>
      <c r="I14151">
        <v>40910215</v>
      </c>
    </row>
    <row r="14152" spans="1:9" x14ac:dyDescent="0.2">
      <c r="A14152" s="1" t="str">
        <f>"PRY"</f>
        <v>PRY</v>
      </c>
      <c r="B14152" t="s">
        <v>1424</v>
      </c>
      <c r="C14152" t="s">
        <v>63</v>
      </c>
      <c r="D14152" t="s">
        <v>17</v>
      </c>
      <c r="E14152" t="s">
        <v>20</v>
      </c>
      <c r="F14152">
        <v>24636543</v>
      </c>
      <c r="G14152">
        <v>24636543</v>
      </c>
      <c r="H14152">
        <v>24636543</v>
      </c>
      <c r="I14152">
        <v>24636543</v>
      </c>
    </row>
    <row r="14153" spans="1:9" x14ac:dyDescent="0.2">
      <c r="A14153" s="1" t="str">
        <f>"PRY2"</f>
        <v>PRY2</v>
      </c>
      <c r="B14153" t="s">
        <v>1425</v>
      </c>
      <c r="C14153" t="s">
        <v>63</v>
      </c>
      <c r="D14153" t="s">
        <v>11</v>
      </c>
      <c r="E14153" t="s">
        <v>20</v>
      </c>
      <c r="F14153">
        <v>24242153</v>
      </c>
      <c r="G14153">
        <v>24242153</v>
      </c>
      <c r="H14153">
        <v>24242153</v>
      </c>
      <c r="I14153">
        <v>24242153</v>
      </c>
    </row>
    <row r="14154" spans="1:9" x14ac:dyDescent="0.2">
      <c r="A14154" s="1" t="str">
        <f>"PSAP"</f>
        <v>PSAP</v>
      </c>
      <c r="B14154" t="s">
        <v>14</v>
      </c>
      <c r="C14154" t="s">
        <v>15</v>
      </c>
      <c r="D14154" t="s">
        <v>11</v>
      </c>
      <c r="E14154" t="s">
        <v>12</v>
      </c>
      <c r="F14154">
        <v>73610996</v>
      </c>
      <c r="G14154">
        <v>73611015</v>
      </c>
      <c r="H14154">
        <v>73611046</v>
      </c>
      <c r="I14154">
        <v>73611061</v>
      </c>
    </row>
    <row r="14155" spans="1:9" x14ac:dyDescent="0.2">
      <c r="A14155" s="1" t="str">
        <f>"PSAPL1"</f>
        <v>PSAPL1</v>
      </c>
      <c r="B14155" t="s">
        <v>14</v>
      </c>
      <c r="C14155" t="s">
        <v>23</v>
      </c>
      <c r="D14155" t="s">
        <v>11</v>
      </c>
      <c r="E14155" t="s">
        <v>12</v>
      </c>
      <c r="F14155">
        <v>7436623</v>
      </c>
      <c r="G14155">
        <v>7436650</v>
      </c>
      <c r="H14155">
        <v>7436651</v>
      </c>
      <c r="I14155">
        <v>7436662</v>
      </c>
    </row>
    <row r="14156" spans="1:9" x14ac:dyDescent="0.2">
      <c r="A14156" s="1" t="str">
        <f>"PSAT1"</f>
        <v>PSAT1</v>
      </c>
      <c r="B14156" t="s">
        <v>14</v>
      </c>
      <c r="C14156" t="s">
        <v>24</v>
      </c>
      <c r="D14156" t="s">
        <v>17</v>
      </c>
      <c r="E14156" t="s">
        <v>12</v>
      </c>
      <c r="F14156">
        <v>80912034</v>
      </c>
      <c r="G14156">
        <v>80912050</v>
      </c>
      <c r="H14156">
        <v>80912066</v>
      </c>
      <c r="I14156">
        <v>80912081</v>
      </c>
    </row>
    <row r="14157" spans="1:9" x14ac:dyDescent="0.2">
      <c r="A14157" s="1" t="str">
        <f>"PSCA"</f>
        <v>PSCA</v>
      </c>
      <c r="B14157" t="s">
        <v>9</v>
      </c>
      <c r="C14157" t="s">
        <v>30</v>
      </c>
      <c r="D14157" t="s">
        <v>17</v>
      </c>
      <c r="E14157" t="s">
        <v>12</v>
      </c>
      <c r="F14157">
        <v>143761905</v>
      </c>
      <c r="G14157">
        <v>143761921</v>
      </c>
      <c r="H14157">
        <v>143761905</v>
      </c>
      <c r="I14157">
        <v>143761921</v>
      </c>
    </row>
    <row r="14158" spans="1:9" x14ac:dyDescent="0.2">
      <c r="A14158" s="1" t="str">
        <f>"PSCA"</f>
        <v>PSCA</v>
      </c>
      <c r="B14158" t="s">
        <v>13</v>
      </c>
      <c r="C14158" t="s">
        <v>30</v>
      </c>
      <c r="D14158" t="s">
        <v>17</v>
      </c>
      <c r="E14158" t="s">
        <v>12</v>
      </c>
      <c r="F14158">
        <v>143751707</v>
      </c>
      <c r="G14158">
        <v>143751730</v>
      </c>
      <c r="H14158">
        <v>143751707</v>
      </c>
      <c r="I14158">
        <v>143751730</v>
      </c>
    </row>
    <row r="14159" spans="1:9" x14ac:dyDescent="0.2">
      <c r="A14159" s="1" t="str">
        <f>"PSD"</f>
        <v>PSD</v>
      </c>
      <c r="B14159" t="s">
        <v>9</v>
      </c>
      <c r="C14159" t="s">
        <v>15</v>
      </c>
      <c r="D14159" t="s">
        <v>11</v>
      </c>
      <c r="E14159" t="s">
        <v>12</v>
      </c>
      <c r="F14159">
        <v>104168992</v>
      </c>
      <c r="G14159">
        <v>104169055</v>
      </c>
      <c r="H14159">
        <v>104168992</v>
      </c>
      <c r="I14159">
        <v>104169055</v>
      </c>
    </row>
    <row r="14160" spans="1:9" x14ac:dyDescent="0.2">
      <c r="A14160" s="1" t="str">
        <f>"PSD"</f>
        <v>PSD</v>
      </c>
      <c r="B14160" t="s">
        <v>13</v>
      </c>
      <c r="C14160" t="s">
        <v>15</v>
      </c>
      <c r="D14160" t="s">
        <v>11</v>
      </c>
      <c r="E14160" t="s">
        <v>12</v>
      </c>
      <c r="F14160">
        <v>104178506</v>
      </c>
      <c r="G14160">
        <v>104178574</v>
      </c>
      <c r="H14160">
        <v>104178506</v>
      </c>
      <c r="I14160">
        <v>104178574</v>
      </c>
    </row>
    <row r="14161" spans="1:9" x14ac:dyDescent="0.2">
      <c r="A14161" s="1" t="str">
        <f>"PSD2"</f>
        <v>PSD2</v>
      </c>
      <c r="B14161" t="s">
        <v>14</v>
      </c>
      <c r="C14161" t="s">
        <v>46</v>
      </c>
      <c r="D14161" t="s">
        <v>17</v>
      </c>
      <c r="E14161" t="s">
        <v>12</v>
      </c>
      <c r="F14161">
        <v>139175380</v>
      </c>
      <c r="G14161">
        <v>139175431</v>
      </c>
      <c r="H14161">
        <v>139175190</v>
      </c>
      <c r="I14161">
        <v>139175224</v>
      </c>
    </row>
    <row r="14162" spans="1:9" x14ac:dyDescent="0.2">
      <c r="A14162" s="1" t="str">
        <f>"PSD3"</f>
        <v>PSD3</v>
      </c>
      <c r="B14162" t="s">
        <v>14</v>
      </c>
      <c r="C14162" t="s">
        <v>30</v>
      </c>
      <c r="D14162" t="s">
        <v>11</v>
      </c>
      <c r="E14162" t="s">
        <v>12</v>
      </c>
      <c r="F14162">
        <v>18871203</v>
      </c>
      <c r="G14162">
        <v>18871275</v>
      </c>
      <c r="H14162">
        <v>18871203</v>
      </c>
      <c r="I14162">
        <v>18871275</v>
      </c>
    </row>
    <row r="14163" spans="1:9" x14ac:dyDescent="0.2">
      <c r="A14163" s="1" t="str">
        <f>"PSD4"</f>
        <v>PSD4</v>
      </c>
      <c r="B14163" t="s">
        <v>14</v>
      </c>
      <c r="C14163" t="s">
        <v>26</v>
      </c>
      <c r="D14163" t="s">
        <v>17</v>
      </c>
      <c r="E14163" t="s">
        <v>12</v>
      </c>
      <c r="F14163">
        <v>113931513</v>
      </c>
      <c r="G14163">
        <v>113931583</v>
      </c>
      <c r="H14163">
        <v>113931513</v>
      </c>
      <c r="I14163">
        <v>113931583</v>
      </c>
    </row>
    <row r="14164" spans="1:9" x14ac:dyDescent="0.2">
      <c r="A14164" s="1" t="str">
        <f>"PSEN1"</f>
        <v>PSEN1</v>
      </c>
      <c r="B14164" t="s">
        <v>14</v>
      </c>
      <c r="C14164" t="s">
        <v>41</v>
      </c>
      <c r="D14164" t="s">
        <v>17</v>
      </c>
      <c r="E14164" t="s">
        <v>12</v>
      </c>
      <c r="F14164">
        <v>73603140</v>
      </c>
      <c r="G14164">
        <v>73603255</v>
      </c>
      <c r="H14164">
        <v>73603140</v>
      </c>
      <c r="I14164">
        <v>73603255</v>
      </c>
    </row>
    <row r="14165" spans="1:9" x14ac:dyDescent="0.2">
      <c r="A14165" s="1" t="str">
        <f>"PSEN2"</f>
        <v>PSEN2</v>
      </c>
      <c r="B14165" t="s">
        <v>14</v>
      </c>
      <c r="C14165" t="s">
        <v>19</v>
      </c>
      <c r="D14165" t="s">
        <v>17</v>
      </c>
      <c r="E14165" t="s">
        <v>12</v>
      </c>
      <c r="F14165">
        <v>227058289</v>
      </c>
      <c r="G14165">
        <v>227058331</v>
      </c>
      <c r="H14165">
        <v>227058133</v>
      </c>
      <c r="I14165">
        <v>227058168</v>
      </c>
    </row>
    <row r="14166" spans="1:9" x14ac:dyDescent="0.2">
      <c r="A14166" s="1" t="str">
        <f>"PSENEN"</f>
        <v>PSENEN</v>
      </c>
      <c r="B14166" t="s">
        <v>14</v>
      </c>
      <c r="C14166" t="s">
        <v>10</v>
      </c>
      <c r="D14166" t="s">
        <v>17</v>
      </c>
      <c r="E14166" t="s">
        <v>12</v>
      </c>
      <c r="F14166">
        <v>36236514</v>
      </c>
      <c r="G14166">
        <v>36236560</v>
      </c>
      <c r="H14166">
        <v>36236561</v>
      </c>
      <c r="I14166">
        <v>36236577</v>
      </c>
    </row>
    <row r="14167" spans="1:9" x14ac:dyDescent="0.2">
      <c r="A14167" s="1" t="str">
        <f>"PSG1"</f>
        <v>PSG1</v>
      </c>
      <c r="B14167" t="s">
        <v>14</v>
      </c>
      <c r="C14167" t="s">
        <v>10</v>
      </c>
      <c r="D14167" t="s">
        <v>11</v>
      </c>
      <c r="E14167" t="s">
        <v>12</v>
      </c>
      <c r="F14167">
        <v>43383856</v>
      </c>
      <c r="G14167">
        <v>43383876</v>
      </c>
      <c r="H14167">
        <v>43383824</v>
      </c>
      <c r="I14167">
        <v>43383841</v>
      </c>
    </row>
    <row r="14168" spans="1:9" x14ac:dyDescent="0.2">
      <c r="A14168" s="1" t="str">
        <f>"PSG11"</f>
        <v>PSG11</v>
      </c>
      <c r="B14168" t="s">
        <v>14</v>
      </c>
      <c r="C14168" t="s">
        <v>10</v>
      </c>
      <c r="D14168" t="s">
        <v>11</v>
      </c>
      <c r="E14168" t="s">
        <v>12</v>
      </c>
      <c r="F14168">
        <v>43530605</v>
      </c>
      <c r="G14168">
        <v>43530640</v>
      </c>
      <c r="H14168">
        <v>43530643</v>
      </c>
      <c r="I14168">
        <v>43530668</v>
      </c>
    </row>
    <row r="14169" spans="1:9" x14ac:dyDescent="0.2">
      <c r="A14169" s="1" t="str">
        <f>"PSG2"</f>
        <v>PSG2</v>
      </c>
      <c r="B14169" t="s">
        <v>9</v>
      </c>
      <c r="C14169" t="s">
        <v>10</v>
      </c>
      <c r="D14169" t="s">
        <v>11</v>
      </c>
      <c r="E14169" t="s">
        <v>12</v>
      </c>
      <c r="F14169">
        <v>43586845</v>
      </c>
      <c r="G14169">
        <v>43586863</v>
      </c>
      <c r="H14169">
        <v>43586845</v>
      </c>
      <c r="I14169">
        <v>43586863</v>
      </c>
    </row>
    <row r="14170" spans="1:9" x14ac:dyDescent="0.2">
      <c r="A14170" s="1" t="str">
        <f>"PSG2"</f>
        <v>PSG2</v>
      </c>
      <c r="B14170" t="s">
        <v>13</v>
      </c>
      <c r="C14170" t="s">
        <v>10</v>
      </c>
      <c r="D14170" t="s">
        <v>11</v>
      </c>
      <c r="E14170" t="s">
        <v>12</v>
      </c>
      <c r="F14170">
        <v>43576091</v>
      </c>
      <c r="G14170">
        <v>43576105</v>
      </c>
      <c r="H14170">
        <v>43576091</v>
      </c>
      <c r="I14170">
        <v>43576105</v>
      </c>
    </row>
    <row r="14171" spans="1:9" x14ac:dyDescent="0.2">
      <c r="A14171" s="1" t="str">
        <f>"PSG3"</f>
        <v>PSG3</v>
      </c>
      <c r="B14171" t="s">
        <v>14</v>
      </c>
      <c r="C14171" t="s">
        <v>10</v>
      </c>
      <c r="D14171" t="s">
        <v>11</v>
      </c>
      <c r="E14171" t="s">
        <v>12</v>
      </c>
      <c r="F14171">
        <v>43244610</v>
      </c>
      <c r="G14171">
        <v>43244652</v>
      </c>
      <c r="H14171">
        <v>43244672</v>
      </c>
      <c r="I14171">
        <v>43244673</v>
      </c>
    </row>
    <row r="14172" spans="1:9" x14ac:dyDescent="0.2">
      <c r="A14172" s="1" t="str">
        <f>"PSG4"</f>
        <v>PSG4</v>
      </c>
      <c r="B14172" t="s">
        <v>14</v>
      </c>
      <c r="C14172" t="s">
        <v>10</v>
      </c>
      <c r="D14172" t="s">
        <v>11</v>
      </c>
      <c r="E14172" t="s">
        <v>12</v>
      </c>
      <c r="F14172">
        <v>43709772</v>
      </c>
      <c r="G14172">
        <v>43709796</v>
      </c>
      <c r="H14172">
        <v>43709748</v>
      </c>
      <c r="I14172">
        <v>43709760</v>
      </c>
    </row>
    <row r="14173" spans="1:9" x14ac:dyDescent="0.2">
      <c r="A14173" s="1" t="str">
        <f>"PSG5"</f>
        <v>PSG5</v>
      </c>
      <c r="B14173" t="s">
        <v>14</v>
      </c>
      <c r="C14173" t="s">
        <v>10</v>
      </c>
      <c r="D14173" t="s">
        <v>11</v>
      </c>
      <c r="E14173" t="s">
        <v>12</v>
      </c>
      <c r="F14173">
        <v>43690679</v>
      </c>
      <c r="G14173">
        <v>43690695</v>
      </c>
      <c r="H14173">
        <v>43690649</v>
      </c>
      <c r="I14173">
        <v>43690663</v>
      </c>
    </row>
    <row r="14174" spans="1:9" x14ac:dyDescent="0.2">
      <c r="A14174" s="1" t="str">
        <f>"PSG6"</f>
        <v>PSG6</v>
      </c>
      <c r="B14174" t="s">
        <v>14</v>
      </c>
      <c r="C14174" t="s">
        <v>10</v>
      </c>
      <c r="D14174" t="s">
        <v>11</v>
      </c>
      <c r="E14174" t="s">
        <v>12</v>
      </c>
      <c r="F14174">
        <v>43422019</v>
      </c>
      <c r="G14174">
        <v>43422057</v>
      </c>
      <c r="H14174">
        <v>43422019</v>
      </c>
      <c r="I14174">
        <v>43422057</v>
      </c>
    </row>
    <row r="14175" spans="1:9" x14ac:dyDescent="0.2">
      <c r="A14175" s="1" t="str">
        <f>"PSG7"</f>
        <v>PSG7</v>
      </c>
      <c r="B14175" t="s">
        <v>14</v>
      </c>
      <c r="C14175" t="s">
        <v>10</v>
      </c>
      <c r="D14175" t="s">
        <v>11</v>
      </c>
      <c r="E14175" t="s">
        <v>12</v>
      </c>
      <c r="F14175">
        <v>43441291</v>
      </c>
      <c r="G14175">
        <v>43441330</v>
      </c>
      <c r="H14175">
        <v>43441355</v>
      </c>
      <c r="I14175">
        <v>43441366</v>
      </c>
    </row>
    <row r="14176" spans="1:9" x14ac:dyDescent="0.2">
      <c r="A14176" s="1" t="str">
        <f>"PSG8"</f>
        <v>PSG8</v>
      </c>
      <c r="B14176" t="s">
        <v>14</v>
      </c>
      <c r="C14176" t="s">
        <v>10</v>
      </c>
      <c r="D14176" t="s">
        <v>11</v>
      </c>
      <c r="E14176" t="s">
        <v>12</v>
      </c>
      <c r="F14176">
        <v>43269809</v>
      </c>
      <c r="G14176">
        <v>43269838</v>
      </c>
      <c r="H14176">
        <v>43269809</v>
      </c>
      <c r="I14176">
        <v>43269838</v>
      </c>
    </row>
    <row r="14177" spans="1:9" x14ac:dyDescent="0.2">
      <c r="A14177" s="1" t="str">
        <f>"PSG9"</f>
        <v>PSG9</v>
      </c>
      <c r="B14177" t="s">
        <v>14</v>
      </c>
      <c r="C14177" t="s">
        <v>10</v>
      </c>
      <c r="D14177" t="s">
        <v>11</v>
      </c>
      <c r="E14177" t="s">
        <v>12</v>
      </c>
      <c r="F14177">
        <v>43773641</v>
      </c>
      <c r="G14177">
        <v>43773691</v>
      </c>
      <c r="H14177">
        <v>43773641</v>
      </c>
      <c r="I14177">
        <v>43773691</v>
      </c>
    </row>
    <row r="14178" spans="1:9" x14ac:dyDescent="0.2">
      <c r="A14178" s="1" t="str">
        <f>"PSIP1"</f>
        <v>PSIP1</v>
      </c>
      <c r="B14178" t="s">
        <v>14</v>
      </c>
      <c r="C14178" t="s">
        <v>24</v>
      </c>
      <c r="D14178" t="s">
        <v>11</v>
      </c>
      <c r="E14178" t="s">
        <v>12</v>
      </c>
      <c r="F14178">
        <v>15510952</v>
      </c>
      <c r="G14178">
        <v>15510976</v>
      </c>
      <c r="H14178">
        <v>15510996</v>
      </c>
      <c r="I14178">
        <v>15511007</v>
      </c>
    </row>
    <row r="14179" spans="1:9" x14ac:dyDescent="0.2">
      <c r="A14179" s="1" t="str">
        <f>"PSKH1"</f>
        <v>PSKH1</v>
      </c>
      <c r="B14179" t="s">
        <v>14</v>
      </c>
      <c r="C14179" t="s">
        <v>31</v>
      </c>
      <c r="D14179" t="s">
        <v>17</v>
      </c>
      <c r="E14179" t="s">
        <v>12</v>
      </c>
      <c r="F14179">
        <v>67927147</v>
      </c>
      <c r="G14179">
        <v>67927180</v>
      </c>
      <c r="H14179">
        <v>67927147</v>
      </c>
      <c r="I14179">
        <v>67927180</v>
      </c>
    </row>
    <row r="14180" spans="1:9" x14ac:dyDescent="0.2">
      <c r="A14180" s="1" t="str">
        <f>"PSKH2"</f>
        <v>PSKH2</v>
      </c>
      <c r="B14180" t="s">
        <v>14</v>
      </c>
      <c r="C14180" t="s">
        <v>30</v>
      </c>
      <c r="D14180" t="s">
        <v>11</v>
      </c>
      <c r="E14180" t="s">
        <v>12</v>
      </c>
      <c r="F14180">
        <v>87081891</v>
      </c>
      <c r="G14180">
        <v>87081898</v>
      </c>
      <c r="H14180">
        <v>87081891</v>
      </c>
      <c r="I14180">
        <v>87081898</v>
      </c>
    </row>
    <row r="14181" spans="1:9" x14ac:dyDescent="0.2">
      <c r="A14181" s="1" t="str">
        <f>"PSMA1"</f>
        <v>PSMA1</v>
      </c>
      <c r="B14181" t="s">
        <v>14</v>
      </c>
      <c r="C14181" t="s">
        <v>27</v>
      </c>
      <c r="D14181" t="s">
        <v>11</v>
      </c>
      <c r="E14181" t="s">
        <v>12</v>
      </c>
      <c r="F14181">
        <v>14541872</v>
      </c>
      <c r="G14181">
        <v>14541956</v>
      </c>
      <c r="H14181">
        <v>14541872</v>
      </c>
      <c r="I14181">
        <v>14541956</v>
      </c>
    </row>
    <row r="14182" spans="1:9" x14ac:dyDescent="0.2">
      <c r="A14182" s="1" t="str">
        <f>"PSMA2"</f>
        <v>PSMA2</v>
      </c>
      <c r="B14182" t="s">
        <v>14</v>
      </c>
      <c r="C14182" t="s">
        <v>33</v>
      </c>
      <c r="D14182" t="s">
        <v>11</v>
      </c>
      <c r="E14182" t="s">
        <v>12</v>
      </c>
      <c r="F14182">
        <v>42971759</v>
      </c>
      <c r="G14182">
        <v>42971793</v>
      </c>
      <c r="H14182">
        <v>42971894</v>
      </c>
      <c r="I14182">
        <v>42971944</v>
      </c>
    </row>
    <row r="14183" spans="1:9" x14ac:dyDescent="0.2">
      <c r="A14183" s="1" t="str">
        <f>"PSMA3"</f>
        <v>PSMA3</v>
      </c>
      <c r="B14183" t="s">
        <v>14</v>
      </c>
      <c r="C14183" t="s">
        <v>41</v>
      </c>
      <c r="D14183" t="s">
        <v>17</v>
      </c>
      <c r="E14183" t="s">
        <v>12</v>
      </c>
      <c r="F14183">
        <v>58711539</v>
      </c>
      <c r="G14183">
        <v>58711627</v>
      </c>
      <c r="H14183">
        <v>58711520</v>
      </c>
      <c r="I14183">
        <v>58711531</v>
      </c>
    </row>
    <row r="14184" spans="1:9" x14ac:dyDescent="0.2">
      <c r="A14184" s="1" t="str">
        <f>"PSMA4"</f>
        <v>PSMA4</v>
      </c>
      <c r="B14184" t="s">
        <v>14</v>
      </c>
      <c r="C14184" t="s">
        <v>25</v>
      </c>
      <c r="D14184" t="s">
        <v>17</v>
      </c>
      <c r="E14184" t="s">
        <v>12</v>
      </c>
      <c r="F14184">
        <v>78832757</v>
      </c>
      <c r="G14184">
        <v>78832806</v>
      </c>
      <c r="H14184">
        <v>78833105</v>
      </c>
      <c r="I14184">
        <v>78833192</v>
      </c>
    </row>
    <row r="14185" spans="1:9" x14ac:dyDescent="0.2">
      <c r="A14185" s="1" t="str">
        <f>"PSMA5"</f>
        <v>PSMA5</v>
      </c>
      <c r="B14185" t="s">
        <v>14</v>
      </c>
      <c r="C14185" t="s">
        <v>19</v>
      </c>
      <c r="D14185" t="s">
        <v>11</v>
      </c>
      <c r="E14185" t="s">
        <v>12</v>
      </c>
      <c r="F14185">
        <v>109969032</v>
      </c>
      <c r="G14185">
        <v>109969077</v>
      </c>
      <c r="H14185">
        <v>109969032</v>
      </c>
      <c r="I14185">
        <v>109969077</v>
      </c>
    </row>
    <row r="14186" spans="1:9" x14ac:dyDescent="0.2">
      <c r="A14186" s="1" t="str">
        <f>"PSMA6"</f>
        <v>PSMA6</v>
      </c>
      <c r="B14186" t="s">
        <v>14</v>
      </c>
      <c r="C14186" t="s">
        <v>41</v>
      </c>
      <c r="D14186" t="s">
        <v>17</v>
      </c>
      <c r="E14186" t="s">
        <v>12</v>
      </c>
      <c r="F14186">
        <v>35761580</v>
      </c>
      <c r="G14186">
        <v>35761664</v>
      </c>
      <c r="H14186">
        <v>35761540</v>
      </c>
      <c r="I14186">
        <v>35761553</v>
      </c>
    </row>
    <row r="14187" spans="1:9" x14ac:dyDescent="0.2">
      <c r="A14187" s="1" t="str">
        <f>"PSMA7"</f>
        <v>PSMA7</v>
      </c>
      <c r="B14187" t="s">
        <v>14</v>
      </c>
      <c r="C14187" t="s">
        <v>29</v>
      </c>
      <c r="D14187" t="s">
        <v>11</v>
      </c>
      <c r="E14187" t="s">
        <v>12</v>
      </c>
      <c r="F14187">
        <v>60718430</v>
      </c>
      <c r="G14187">
        <v>60718526</v>
      </c>
      <c r="H14187">
        <v>60718363</v>
      </c>
      <c r="I14187">
        <v>60718425</v>
      </c>
    </row>
    <row r="14188" spans="1:9" x14ac:dyDescent="0.2">
      <c r="A14188" s="1" t="str">
        <f>"PSMA8"</f>
        <v>PSMA8</v>
      </c>
      <c r="B14188" t="s">
        <v>14</v>
      </c>
      <c r="C14188" t="s">
        <v>43</v>
      </c>
      <c r="D14188" t="s">
        <v>17</v>
      </c>
      <c r="E14188" t="s">
        <v>12</v>
      </c>
      <c r="F14188">
        <v>23713808</v>
      </c>
      <c r="G14188">
        <v>23713861</v>
      </c>
      <c r="H14188">
        <v>23713873</v>
      </c>
      <c r="I14188">
        <v>23713887</v>
      </c>
    </row>
    <row r="14189" spans="1:9" x14ac:dyDescent="0.2">
      <c r="A14189" s="1" t="str">
        <f>"PSMB1"</f>
        <v>PSMB1</v>
      </c>
      <c r="B14189" t="s">
        <v>14</v>
      </c>
      <c r="C14189" t="s">
        <v>32</v>
      </c>
      <c r="D14189" t="s">
        <v>11</v>
      </c>
      <c r="E14189" t="s">
        <v>12</v>
      </c>
      <c r="F14189">
        <v>170862322</v>
      </c>
      <c r="G14189">
        <v>170862415</v>
      </c>
      <c r="H14189">
        <v>170862322</v>
      </c>
      <c r="I14189">
        <v>170862415</v>
      </c>
    </row>
    <row r="14190" spans="1:9" x14ac:dyDescent="0.2">
      <c r="A14190" s="1" t="str">
        <f>"PSMB10"</f>
        <v>PSMB10</v>
      </c>
      <c r="B14190" t="s">
        <v>14</v>
      </c>
      <c r="C14190" t="s">
        <v>31</v>
      </c>
      <c r="D14190" t="s">
        <v>11</v>
      </c>
      <c r="E14190" t="s">
        <v>12</v>
      </c>
      <c r="F14190">
        <v>67970711</v>
      </c>
      <c r="G14190">
        <v>67970770</v>
      </c>
      <c r="H14190">
        <v>67970892</v>
      </c>
      <c r="I14190">
        <v>67970927</v>
      </c>
    </row>
    <row r="14191" spans="1:9" x14ac:dyDescent="0.2">
      <c r="A14191" s="1" t="str">
        <f>"PSMB11"</f>
        <v>PSMB11</v>
      </c>
      <c r="B14191" t="s">
        <v>14</v>
      </c>
      <c r="C14191" t="s">
        <v>41</v>
      </c>
      <c r="D14191" t="s">
        <v>17</v>
      </c>
      <c r="E14191" t="s">
        <v>12</v>
      </c>
      <c r="F14191">
        <v>23511415</v>
      </c>
      <c r="G14191">
        <v>23511426</v>
      </c>
      <c r="H14191">
        <v>23511415</v>
      </c>
      <c r="I14191">
        <v>23511426</v>
      </c>
    </row>
    <row r="14192" spans="1:9" x14ac:dyDescent="0.2">
      <c r="A14192" s="1" t="str">
        <f>"PSMB2"</f>
        <v>PSMB2</v>
      </c>
      <c r="B14192" t="s">
        <v>14</v>
      </c>
      <c r="C14192" t="s">
        <v>19</v>
      </c>
      <c r="D14192" t="s">
        <v>11</v>
      </c>
      <c r="E14192" t="s">
        <v>12</v>
      </c>
      <c r="F14192">
        <v>36107099</v>
      </c>
      <c r="G14192">
        <v>36107169</v>
      </c>
      <c r="H14192">
        <v>36107073</v>
      </c>
      <c r="I14192">
        <v>36107084</v>
      </c>
    </row>
    <row r="14193" spans="1:9" x14ac:dyDescent="0.2">
      <c r="A14193" s="1" t="str">
        <f>"PSMB3"</f>
        <v>PSMB3</v>
      </c>
      <c r="B14193" t="s">
        <v>14</v>
      </c>
      <c r="C14193" t="s">
        <v>28</v>
      </c>
      <c r="D14193" t="s">
        <v>17</v>
      </c>
      <c r="E14193" t="s">
        <v>12</v>
      </c>
      <c r="F14193">
        <v>36908984</v>
      </c>
      <c r="G14193">
        <v>36909052</v>
      </c>
      <c r="H14193">
        <v>36908816</v>
      </c>
      <c r="I14193">
        <v>36908821</v>
      </c>
    </row>
    <row r="14194" spans="1:9" x14ac:dyDescent="0.2">
      <c r="A14194" s="1" t="str">
        <f>"PSMB4"</f>
        <v>PSMB4</v>
      </c>
      <c r="B14194" t="s">
        <v>14</v>
      </c>
      <c r="C14194" t="s">
        <v>19</v>
      </c>
      <c r="D14194" t="s">
        <v>17</v>
      </c>
      <c r="E14194" t="s">
        <v>12</v>
      </c>
      <c r="F14194">
        <v>151372033</v>
      </c>
      <c r="G14194">
        <v>151372055</v>
      </c>
      <c r="H14194">
        <v>151372528</v>
      </c>
      <c r="I14194">
        <v>151372572</v>
      </c>
    </row>
    <row r="14195" spans="1:9" x14ac:dyDescent="0.2">
      <c r="A14195" s="1" t="str">
        <f>"PSMB5"</f>
        <v>PSMB5</v>
      </c>
      <c r="B14195" t="s">
        <v>14</v>
      </c>
      <c r="C14195" t="s">
        <v>41</v>
      </c>
      <c r="D14195" t="s">
        <v>11</v>
      </c>
      <c r="E14195" t="s">
        <v>12</v>
      </c>
      <c r="F14195">
        <v>23504087</v>
      </c>
      <c r="G14195">
        <v>23504118</v>
      </c>
      <c r="H14195">
        <v>23504337</v>
      </c>
      <c r="I14195">
        <v>23504369</v>
      </c>
    </row>
    <row r="14196" spans="1:9" x14ac:dyDescent="0.2">
      <c r="A14196" s="1" t="str">
        <f>"PSMB6"</f>
        <v>PSMB6</v>
      </c>
      <c r="B14196" t="s">
        <v>9</v>
      </c>
      <c r="C14196" t="s">
        <v>28</v>
      </c>
      <c r="D14196" t="s">
        <v>17</v>
      </c>
      <c r="E14196" t="s">
        <v>12</v>
      </c>
      <c r="F14196">
        <v>4699451</v>
      </c>
      <c r="G14196">
        <v>4699490</v>
      </c>
      <c r="H14196">
        <v>4699451</v>
      </c>
      <c r="I14196">
        <v>4699490</v>
      </c>
    </row>
    <row r="14197" spans="1:9" x14ac:dyDescent="0.2">
      <c r="A14197" s="1" t="str">
        <f>"PSMB6"</f>
        <v>PSMB6</v>
      </c>
      <c r="B14197" t="s">
        <v>13</v>
      </c>
      <c r="C14197" t="s">
        <v>28</v>
      </c>
      <c r="D14197" t="s">
        <v>17</v>
      </c>
      <c r="E14197" t="s">
        <v>12</v>
      </c>
      <c r="F14197">
        <v>4700729</v>
      </c>
      <c r="G14197">
        <v>4700742</v>
      </c>
      <c r="H14197">
        <v>4700729</v>
      </c>
      <c r="I14197">
        <v>4700742</v>
      </c>
    </row>
    <row r="14198" spans="1:9" x14ac:dyDescent="0.2">
      <c r="A14198" s="1" t="str">
        <f>"PSMB7"</f>
        <v>PSMB7</v>
      </c>
      <c r="B14198" t="s">
        <v>14</v>
      </c>
      <c r="C14198" t="s">
        <v>24</v>
      </c>
      <c r="D14198" t="s">
        <v>11</v>
      </c>
      <c r="E14198" t="s">
        <v>12</v>
      </c>
      <c r="F14198">
        <v>127177703</v>
      </c>
      <c r="G14198">
        <v>127177734</v>
      </c>
      <c r="H14198">
        <v>127177457</v>
      </c>
      <c r="I14198">
        <v>127177473</v>
      </c>
    </row>
    <row r="14199" spans="1:9" x14ac:dyDescent="0.2">
      <c r="A14199" s="1" t="str">
        <f>"PSMB8"</f>
        <v>PSMB8</v>
      </c>
      <c r="B14199" t="s">
        <v>14</v>
      </c>
      <c r="C14199" t="s">
        <v>32</v>
      </c>
      <c r="D14199" t="s">
        <v>11</v>
      </c>
      <c r="E14199" t="s">
        <v>12</v>
      </c>
      <c r="F14199">
        <v>32811771</v>
      </c>
      <c r="G14199">
        <v>32811831</v>
      </c>
      <c r="H14199">
        <v>32811771</v>
      </c>
      <c r="I14199">
        <v>32811831</v>
      </c>
    </row>
    <row r="14200" spans="1:9" x14ac:dyDescent="0.2">
      <c r="A14200" s="1" t="str">
        <f>"PSMB9"</f>
        <v>PSMB9</v>
      </c>
      <c r="B14200" t="s">
        <v>9</v>
      </c>
      <c r="C14200" t="s">
        <v>32</v>
      </c>
      <c r="D14200" t="s">
        <v>17</v>
      </c>
      <c r="E14200" t="s">
        <v>12</v>
      </c>
      <c r="F14200">
        <v>32821956</v>
      </c>
      <c r="G14200">
        <v>32821975</v>
      </c>
      <c r="H14200">
        <v>32821956</v>
      </c>
      <c r="I14200">
        <v>32821975</v>
      </c>
    </row>
    <row r="14201" spans="1:9" x14ac:dyDescent="0.2">
      <c r="A14201" s="1" t="str">
        <f>"PSMB9"</f>
        <v>PSMB9</v>
      </c>
      <c r="B14201" t="s">
        <v>13</v>
      </c>
      <c r="C14201" t="s">
        <v>32</v>
      </c>
      <c r="D14201" t="s">
        <v>17</v>
      </c>
      <c r="E14201" t="s">
        <v>12</v>
      </c>
      <c r="F14201">
        <v>32812568</v>
      </c>
      <c r="G14201">
        <v>32812631</v>
      </c>
      <c r="H14201">
        <v>32812568</v>
      </c>
      <c r="I14201">
        <v>32812631</v>
      </c>
    </row>
    <row r="14202" spans="1:9" x14ac:dyDescent="0.2">
      <c r="A14202" s="1" t="str">
        <f>"PSMC1"</f>
        <v>PSMC1</v>
      </c>
      <c r="B14202" t="s">
        <v>14</v>
      </c>
      <c r="C14202" t="s">
        <v>41</v>
      </c>
      <c r="D14202" t="s">
        <v>17</v>
      </c>
      <c r="E14202" t="s">
        <v>12</v>
      </c>
      <c r="F14202">
        <v>90722886</v>
      </c>
      <c r="G14202">
        <v>90722915</v>
      </c>
      <c r="H14202">
        <v>90722865</v>
      </c>
      <c r="I14202">
        <v>90722877</v>
      </c>
    </row>
    <row r="14203" spans="1:9" x14ac:dyDescent="0.2">
      <c r="A14203" s="1" t="str">
        <f>"PSMC2"</f>
        <v>PSMC2</v>
      </c>
      <c r="B14203" t="s">
        <v>14</v>
      </c>
      <c r="C14203" t="s">
        <v>33</v>
      </c>
      <c r="D14203" t="s">
        <v>17</v>
      </c>
      <c r="E14203" t="s">
        <v>12</v>
      </c>
      <c r="F14203">
        <v>102988082</v>
      </c>
      <c r="G14203">
        <v>102988134</v>
      </c>
      <c r="H14203">
        <v>102988082</v>
      </c>
      <c r="I14203">
        <v>102988134</v>
      </c>
    </row>
    <row r="14204" spans="1:9" x14ac:dyDescent="0.2">
      <c r="A14204" s="1" t="str">
        <f>"PSMC3"</f>
        <v>PSMC3</v>
      </c>
      <c r="B14204" t="s">
        <v>14</v>
      </c>
      <c r="C14204" t="s">
        <v>27</v>
      </c>
      <c r="D14204" t="s">
        <v>11</v>
      </c>
      <c r="E14204" t="s">
        <v>12</v>
      </c>
      <c r="F14204">
        <v>47447784</v>
      </c>
      <c r="G14204">
        <v>47447817</v>
      </c>
      <c r="H14204">
        <v>47447970</v>
      </c>
      <c r="I14204">
        <v>47448029</v>
      </c>
    </row>
    <row r="14205" spans="1:9" x14ac:dyDescent="0.2">
      <c r="A14205" s="1" t="str">
        <f>"PSMC3IP"</f>
        <v>PSMC3IP</v>
      </c>
      <c r="B14205" t="s">
        <v>14</v>
      </c>
      <c r="C14205" t="s">
        <v>28</v>
      </c>
      <c r="D14205" t="s">
        <v>11</v>
      </c>
      <c r="E14205" t="s">
        <v>12</v>
      </c>
      <c r="F14205">
        <v>40729681</v>
      </c>
      <c r="G14205">
        <v>40729773</v>
      </c>
      <c r="H14205">
        <v>40729681</v>
      </c>
      <c r="I14205">
        <v>40729773</v>
      </c>
    </row>
    <row r="14206" spans="1:9" x14ac:dyDescent="0.2">
      <c r="A14206" s="1" t="str">
        <f>"PSMC4"</f>
        <v>PSMC4</v>
      </c>
      <c r="B14206" t="s">
        <v>14</v>
      </c>
      <c r="C14206" t="s">
        <v>10</v>
      </c>
      <c r="D14206" t="s">
        <v>17</v>
      </c>
      <c r="E14206" t="s">
        <v>12</v>
      </c>
      <c r="F14206">
        <v>40477062</v>
      </c>
      <c r="G14206">
        <v>40477112</v>
      </c>
      <c r="H14206">
        <v>40477062</v>
      </c>
      <c r="I14206">
        <v>40477112</v>
      </c>
    </row>
    <row r="14207" spans="1:9" x14ac:dyDescent="0.2">
      <c r="A14207" s="1" t="str">
        <f>"PSMC5"</f>
        <v>PSMC5</v>
      </c>
      <c r="B14207" t="s">
        <v>14</v>
      </c>
      <c r="C14207" t="s">
        <v>28</v>
      </c>
      <c r="D14207" t="s">
        <v>17</v>
      </c>
      <c r="E14207" t="s">
        <v>12</v>
      </c>
      <c r="F14207">
        <v>61904766</v>
      </c>
      <c r="G14207">
        <v>61904827</v>
      </c>
      <c r="H14207">
        <v>61905058</v>
      </c>
      <c r="I14207">
        <v>61905099</v>
      </c>
    </row>
    <row r="14208" spans="1:9" x14ac:dyDescent="0.2">
      <c r="A14208" s="1" t="str">
        <f>"PSMC6"</f>
        <v>PSMC6</v>
      </c>
      <c r="B14208" t="s">
        <v>14</v>
      </c>
      <c r="C14208" t="s">
        <v>41</v>
      </c>
      <c r="D14208" t="s">
        <v>17</v>
      </c>
      <c r="E14208" t="s">
        <v>12</v>
      </c>
      <c r="F14208">
        <v>53173910</v>
      </c>
      <c r="G14208">
        <v>53173939</v>
      </c>
      <c r="H14208">
        <v>53173896</v>
      </c>
      <c r="I14208">
        <v>53173907</v>
      </c>
    </row>
    <row r="14209" spans="1:9" x14ac:dyDescent="0.2">
      <c r="A14209" s="1" t="str">
        <f>"PSMD1"</f>
        <v>PSMD1</v>
      </c>
      <c r="B14209" t="s">
        <v>14</v>
      </c>
      <c r="C14209" t="s">
        <v>26</v>
      </c>
      <c r="D14209" t="s">
        <v>17</v>
      </c>
      <c r="E14209" t="s">
        <v>12</v>
      </c>
      <c r="F14209">
        <v>231921574</v>
      </c>
      <c r="G14209">
        <v>231921639</v>
      </c>
      <c r="H14209">
        <v>231921574</v>
      </c>
      <c r="I14209">
        <v>231921639</v>
      </c>
    </row>
    <row r="14210" spans="1:9" x14ac:dyDescent="0.2">
      <c r="A14210" s="1" t="str">
        <f>"PSMD10"</f>
        <v>PSMD10</v>
      </c>
      <c r="B14210" t="s">
        <v>14</v>
      </c>
      <c r="C14210" t="s">
        <v>37</v>
      </c>
      <c r="D14210" t="s">
        <v>11</v>
      </c>
      <c r="E14210" t="s">
        <v>12</v>
      </c>
      <c r="F14210">
        <v>107334758</v>
      </c>
      <c r="G14210">
        <v>107334780</v>
      </c>
      <c r="H14210">
        <v>107334790</v>
      </c>
      <c r="I14210">
        <v>107334799</v>
      </c>
    </row>
    <row r="14211" spans="1:9" x14ac:dyDescent="0.2">
      <c r="A14211" s="1" t="str">
        <f>"PSMD11"</f>
        <v>PSMD11</v>
      </c>
      <c r="B14211" t="s">
        <v>14</v>
      </c>
      <c r="C14211" t="s">
        <v>28</v>
      </c>
      <c r="D14211" t="s">
        <v>17</v>
      </c>
      <c r="E14211" t="s">
        <v>12</v>
      </c>
      <c r="F14211">
        <v>30771479</v>
      </c>
      <c r="G14211">
        <v>30771536</v>
      </c>
      <c r="H14211">
        <v>30771384</v>
      </c>
      <c r="I14211">
        <v>30771385</v>
      </c>
    </row>
    <row r="14212" spans="1:9" x14ac:dyDescent="0.2">
      <c r="A14212" s="1" t="str">
        <f>"PSMD12"</f>
        <v>PSMD12</v>
      </c>
      <c r="B14212" t="s">
        <v>14</v>
      </c>
      <c r="C14212" t="s">
        <v>28</v>
      </c>
      <c r="D14212" t="s">
        <v>11</v>
      </c>
      <c r="E14212" t="s">
        <v>12</v>
      </c>
      <c r="F14212">
        <v>65362678</v>
      </c>
      <c r="G14212">
        <v>65362726</v>
      </c>
      <c r="H14212">
        <v>65362651</v>
      </c>
      <c r="I14212">
        <v>65362662</v>
      </c>
    </row>
    <row r="14213" spans="1:9" x14ac:dyDescent="0.2">
      <c r="A14213" s="1" t="str">
        <f>"PSMD13"</f>
        <v>PSMD13</v>
      </c>
      <c r="B14213" t="s">
        <v>14</v>
      </c>
      <c r="C14213" t="s">
        <v>27</v>
      </c>
      <c r="D14213" t="s">
        <v>17</v>
      </c>
      <c r="E14213" t="s">
        <v>12</v>
      </c>
      <c r="F14213">
        <v>236959</v>
      </c>
      <c r="G14213">
        <v>237015</v>
      </c>
      <c r="H14213">
        <v>237016</v>
      </c>
      <c r="I14213">
        <v>237032</v>
      </c>
    </row>
    <row r="14214" spans="1:9" x14ac:dyDescent="0.2">
      <c r="A14214" s="1" t="str">
        <f>"PSMD14"</f>
        <v>PSMD14</v>
      </c>
      <c r="B14214" t="s">
        <v>14</v>
      </c>
      <c r="C14214" t="s">
        <v>26</v>
      </c>
      <c r="D14214" t="s">
        <v>17</v>
      </c>
      <c r="E14214" t="s">
        <v>12</v>
      </c>
      <c r="F14214">
        <v>162164918</v>
      </c>
      <c r="G14214">
        <v>162165013</v>
      </c>
      <c r="H14214">
        <v>162165038</v>
      </c>
      <c r="I14214">
        <v>162165053</v>
      </c>
    </row>
    <row r="14215" spans="1:9" x14ac:dyDescent="0.2">
      <c r="A14215" s="1" t="str">
        <f>"PSMD2"</f>
        <v>PSMD2</v>
      </c>
      <c r="B14215" t="s">
        <v>14</v>
      </c>
      <c r="C14215" t="s">
        <v>22</v>
      </c>
      <c r="D14215" t="s">
        <v>17</v>
      </c>
      <c r="E14215" t="s">
        <v>12</v>
      </c>
      <c r="F14215">
        <v>184017004</v>
      </c>
      <c r="G14215">
        <v>184017055</v>
      </c>
      <c r="H14215">
        <v>184017004</v>
      </c>
      <c r="I14215">
        <v>184017055</v>
      </c>
    </row>
    <row r="14216" spans="1:9" x14ac:dyDescent="0.2">
      <c r="A14216" s="1" t="str">
        <f>"PSMD3"</f>
        <v>PSMD3</v>
      </c>
      <c r="B14216" t="s">
        <v>14</v>
      </c>
      <c r="C14216" t="s">
        <v>28</v>
      </c>
      <c r="D14216" t="s">
        <v>17</v>
      </c>
      <c r="E14216" t="s">
        <v>12</v>
      </c>
      <c r="F14216">
        <v>38137073</v>
      </c>
      <c r="G14216">
        <v>38137124</v>
      </c>
      <c r="H14216">
        <v>38137052</v>
      </c>
      <c r="I14216">
        <v>38137067</v>
      </c>
    </row>
    <row r="14217" spans="1:9" x14ac:dyDescent="0.2">
      <c r="A14217" s="1" t="str">
        <f>"PSMD4"</f>
        <v>PSMD4</v>
      </c>
      <c r="B14217" t="s">
        <v>14</v>
      </c>
      <c r="C14217" t="s">
        <v>19</v>
      </c>
      <c r="D14217" t="s">
        <v>17</v>
      </c>
      <c r="E14217" t="s">
        <v>12</v>
      </c>
      <c r="F14217">
        <v>151227202</v>
      </c>
      <c r="G14217">
        <v>151227253</v>
      </c>
      <c r="H14217">
        <v>151227202</v>
      </c>
      <c r="I14217">
        <v>151227253</v>
      </c>
    </row>
    <row r="14218" spans="1:9" x14ac:dyDescent="0.2">
      <c r="A14218" s="1" t="str">
        <f>"PSMD5"</f>
        <v>PSMD5</v>
      </c>
      <c r="B14218" t="s">
        <v>14</v>
      </c>
      <c r="C14218" t="s">
        <v>24</v>
      </c>
      <c r="D14218" t="s">
        <v>11</v>
      </c>
      <c r="E14218" t="s">
        <v>12</v>
      </c>
      <c r="F14218">
        <v>123605177</v>
      </c>
      <c r="G14218">
        <v>123605245</v>
      </c>
      <c r="H14218">
        <v>123605252</v>
      </c>
      <c r="I14218">
        <v>123605267</v>
      </c>
    </row>
    <row r="14219" spans="1:9" x14ac:dyDescent="0.2">
      <c r="A14219" s="1" t="str">
        <f>"PSMD6"</f>
        <v>PSMD6</v>
      </c>
      <c r="B14219" t="s">
        <v>14</v>
      </c>
      <c r="C14219" t="s">
        <v>22</v>
      </c>
      <c r="D14219" t="s">
        <v>11</v>
      </c>
      <c r="E14219" t="s">
        <v>12</v>
      </c>
      <c r="F14219">
        <v>64009102</v>
      </c>
      <c r="G14219">
        <v>64009184</v>
      </c>
      <c r="H14219">
        <v>64009102</v>
      </c>
      <c r="I14219">
        <v>64009184</v>
      </c>
    </row>
    <row r="14220" spans="1:9" x14ac:dyDescent="0.2">
      <c r="A14220" s="1" t="str">
        <f>"PSMD7"</f>
        <v>PSMD7</v>
      </c>
      <c r="B14220" t="s">
        <v>14</v>
      </c>
      <c r="C14220" t="s">
        <v>31</v>
      </c>
      <c r="D14220" t="s">
        <v>17</v>
      </c>
      <c r="E14220" t="s">
        <v>12</v>
      </c>
      <c r="F14220">
        <v>74330688</v>
      </c>
      <c r="G14220">
        <v>74330746</v>
      </c>
      <c r="H14220">
        <v>74330748</v>
      </c>
      <c r="I14220">
        <v>74330759</v>
      </c>
    </row>
    <row r="14221" spans="1:9" x14ac:dyDescent="0.2">
      <c r="A14221" s="1" t="str">
        <f>"PSMD8"</f>
        <v>PSMD8</v>
      </c>
      <c r="B14221" t="s">
        <v>14</v>
      </c>
      <c r="C14221" t="s">
        <v>10</v>
      </c>
      <c r="D14221" t="s">
        <v>17</v>
      </c>
      <c r="E14221" t="s">
        <v>12</v>
      </c>
      <c r="F14221">
        <v>38865399</v>
      </c>
      <c r="G14221">
        <v>38865435</v>
      </c>
      <c r="H14221">
        <v>38865197</v>
      </c>
      <c r="I14221">
        <v>38865226</v>
      </c>
    </row>
    <row r="14222" spans="1:9" x14ac:dyDescent="0.2">
      <c r="A14222" s="1" t="str">
        <f>"PSMD9"</f>
        <v>PSMD9</v>
      </c>
      <c r="B14222" t="s">
        <v>14</v>
      </c>
      <c r="C14222" t="s">
        <v>16</v>
      </c>
      <c r="D14222" t="s">
        <v>17</v>
      </c>
      <c r="E14222" t="s">
        <v>12</v>
      </c>
      <c r="F14222">
        <v>122326662</v>
      </c>
      <c r="G14222">
        <v>122326768</v>
      </c>
      <c r="H14222">
        <v>122326630</v>
      </c>
      <c r="I14222">
        <v>122326645</v>
      </c>
    </row>
    <row r="14223" spans="1:9" x14ac:dyDescent="0.2">
      <c r="A14223" s="1" t="str">
        <f>"PSME1"</f>
        <v>PSME1</v>
      </c>
      <c r="B14223" t="s">
        <v>14</v>
      </c>
      <c r="C14223" t="s">
        <v>41</v>
      </c>
      <c r="D14223" t="s">
        <v>17</v>
      </c>
      <c r="E14223" t="s">
        <v>12</v>
      </c>
      <c r="F14223">
        <v>24605389</v>
      </c>
      <c r="G14223">
        <v>24605446</v>
      </c>
      <c r="H14223">
        <v>24605361</v>
      </c>
      <c r="I14223">
        <v>24605381</v>
      </c>
    </row>
    <row r="14224" spans="1:9" x14ac:dyDescent="0.2">
      <c r="A14224" s="1" t="str">
        <f>"PSME2"</f>
        <v>PSME2</v>
      </c>
      <c r="B14224" t="s">
        <v>14</v>
      </c>
      <c r="C14224" t="s">
        <v>41</v>
      </c>
      <c r="D14224" t="s">
        <v>11</v>
      </c>
      <c r="E14224" t="s">
        <v>12</v>
      </c>
      <c r="F14224">
        <v>24615805</v>
      </c>
      <c r="G14224">
        <v>24615834</v>
      </c>
      <c r="H14224">
        <v>24615837</v>
      </c>
      <c r="I14224">
        <v>24615852</v>
      </c>
    </row>
    <row r="14225" spans="1:9" x14ac:dyDescent="0.2">
      <c r="A14225" s="1" t="str">
        <f>"PSME3"</f>
        <v>PSME3</v>
      </c>
      <c r="B14225" t="s">
        <v>14</v>
      </c>
      <c r="C14225" t="s">
        <v>28</v>
      </c>
      <c r="D14225" t="s">
        <v>17</v>
      </c>
      <c r="E14225" t="s">
        <v>12</v>
      </c>
      <c r="F14225">
        <v>40985407</v>
      </c>
      <c r="G14225">
        <v>40985478</v>
      </c>
      <c r="H14225">
        <v>40985407</v>
      </c>
      <c r="I14225">
        <v>40985478</v>
      </c>
    </row>
    <row r="14226" spans="1:9" x14ac:dyDescent="0.2">
      <c r="A14226" s="1" t="str">
        <f>"PSME4"</f>
        <v>PSME4</v>
      </c>
      <c r="B14226" t="s">
        <v>14</v>
      </c>
      <c r="C14226" t="s">
        <v>26</v>
      </c>
      <c r="D14226" t="s">
        <v>11</v>
      </c>
      <c r="E14226" t="s">
        <v>12</v>
      </c>
      <c r="F14226">
        <v>54198144</v>
      </c>
      <c r="G14226">
        <v>54198189</v>
      </c>
      <c r="H14226">
        <v>54198122</v>
      </c>
      <c r="I14226">
        <v>54198138</v>
      </c>
    </row>
    <row r="14227" spans="1:9" x14ac:dyDescent="0.2">
      <c r="A14227" s="1" t="str">
        <f>"PSMF1"</f>
        <v>PSMF1</v>
      </c>
      <c r="B14227" t="s">
        <v>14</v>
      </c>
      <c r="C14227" t="s">
        <v>29</v>
      </c>
      <c r="D14227" t="s">
        <v>17</v>
      </c>
      <c r="E14227" t="s">
        <v>12</v>
      </c>
      <c r="F14227">
        <v>1099233</v>
      </c>
      <c r="G14227">
        <v>1099315</v>
      </c>
      <c r="H14227">
        <v>1099233</v>
      </c>
      <c r="I14227">
        <v>1099315</v>
      </c>
    </row>
    <row r="14228" spans="1:9" x14ac:dyDescent="0.2">
      <c r="A14228" s="1" t="str">
        <f>"PSMG1"</f>
        <v>PSMG1</v>
      </c>
      <c r="B14228" t="s">
        <v>14</v>
      </c>
      <c r="C14228" t="s">
        <v>42</v>
      </c>
      <c r="D14228" t="s">
        <v>11</v>
      </c>
      <c r="E14228" t="s">
        <v>12</v>
      </c>
      <c r="F14228">
        <v>40555324</v>
      </c>
      <c r="G14228">
        <v>40555389</v>
      </c>
      <c r="H14228">
        <v>40555393</v>
      </c>
      <c r="I14228">
        <v>40555419</v>
      </c>
    </row>
    <row r="14229" spans="1:9" x14ac:dyDescent="0.2">
      <c r="A14229" s="1" t="str">
        <f>"PSMG2"</f>
        <v>PSMG2</v>
      </c>
      <c r="B14229" t="s">
        <v>14</v>
      </c>
      <c r="C14229" t="s">
        <v>43</v>
      </c>
      <c r="D14229" t="s">
        <v>17</v>
      </c>
      <c r="E14229" t="s">
        <v>12</v>
      </c>
      <c r="F14229">
        <v>12703002</v>
      </c>
      <c r="G14229">
        <v>12703066</v>
      </c>
      <c r="H14229">
        <v>12702984</v>
      </c>
      <c r="I14229">
        <v>12703000</v>
      </c>
    </row>
    <row r="14230" spans="1:9" x14ac:dyDescent="0.2">
      <c r="A14230" s="1" t="str">
        <f>"PSMG3"</f>
        <v>PSMG3</v>
      </c>
      <c r="B14230" t="s">
        <v>9</v>
      </c>
      <c r="C14230" t="s">
        <v>33</v>
      </c>
      <c r="D14230" t="s">
        <v>11</v>
      </c>
      <c r="E14230" t="s">
        <v>12</v>
      </c>
      <c r="F14230">
        <v>1609591</v>
      </c>
      <c r="G14230">
        <v>1609690</v>
      </c>
      <c r="H14230">
        <v>1609591</v>
      </c>
      <c r="I14230">
        <v>1609690</v>
      </c>
    </row>
    <row r="14231" spans="1:9" x14ac:dyDescent="0.2">
      <c r="A14231" s="1" t="str">
        <f>"PSMG3"</f>
        <v>PSMG3</v>
      </c>
      <c r="B14231" t="s">
        <v>13</v>
      </c>
      <c r="C14231" t="s">
        <v>33</v>
      </c>
      <c r="D14231" t="s">
        <v>11</v>
      </c>
      <c r="E14231" t="s">
        <v>12</v>
      </c>
      <c r="F14231">
        <v>1610708</v>
      </c>
      <c r="G14231">
        <v>1610726</v>
      </c>
      <c r="H14231">
        <v>1610708</v>
      </c>
      <c r="I14231">
        <v>1610726</v>
      </c>
    </row>
    <row r="14232" spans="1:9" x14ac:dyDescent="0.2">
      <c r="A14232" s="1" t="str">
        <f>"PSMG4"</f>
        <v>PSMG4</v>
      </c>
      <c r="B14232" t="s">
        <v>14</v>
      </c>
      <c r="C14232" t="s">
        <v>32</v>
      </c>
      <c r="D14232" t="s">
        <v>17</v>
      </c>
      <c r="E14232" t="s">
        <v>12</v>
      </c>
      <c r="F14232">
        <v>3259148</v>
      </c>
      <c r="G14232">
        <v>3259244</v>
      </c>
      <c r="H14232">
        <v>3259122</v>
      </c>
      <c r="I14232">
        <v>3259142</v>
      </c>
    </row>
    <row r="14233" spans="1:9" x14ac:dyDescent="0.2">
      <c r="A14233" s="1" t="str">
        <f>"PSORS1C1"</f>
        <v>PSORS1C1</v>
      </c>
      <c r="B14233" t="s">
        <v>14</v>
      </c>
      <c r="C14233" t="s">
        <v>32</v>
      </c>
      <c r="D14233" t="s">
        <v>17</v>
      </c>
      <c r="E14233" t="s">
        <v>12</v>
      </c>
      <c r="F14233">
        <v>31082571</v>
      </c>
      <c r="G14233">
        <v>31082586</v>
      </c>
      <c r="H14233">
        <v>31082527</v>
      </c>
      <c r="I14233">
        <v>31082561</v>
      </c>
    </row>
    <row r="14234" spans="1:9" x14ac:dyDescent="0.2">
      <c r="A14234" s="1" t="str">
        <f>"PSORS1C2"</f>
        <v>PSORS1C2</v>
      </c>
      <c r="B14234" t="s">
        <v>14</v>
      </c>
      <c r="C14234" t="s">
        <v>32</v>
      </c>
      <c r="D14234" t="s">
        <v>11</v>
      </c>
      <c r="E14234" t="s">
        <v>12</v>
      </c>
      <c r="F14234">
        <v>31106840</v>
      </c>
      <c r="G14234">
        <v>31106848</v>
      </c>
      <c r="H14234">
        <v>31106840</v>
      </c>
      <c r="I14234">
        <v>31106848</v>
      </c>
    </row>
    <row r="14235" spans="1:9" x14ac:dyDescent="0.2">
      <c r="A14235" s="1" t="str">
        <f>"PSPC1"</f>
        <v>PSPC1</v>
      </c>
      <c r="B14235" t="s">
        <v>14</v>
      </c>
      <c r="C14235" t="s">
        <v>39</v>
      </c>
      <c r="D14235" t="s">
        <v>11</v>
      </c>
      <c r="E14235" t="s">
        <v>12</v>
      </c>
      <c r="F14235">
        <v>20357063</v>
      </c>
      <c r="G14235">
        <v>20357105</v>
      </c>
      <c r="H14235">
        <v>20357110</v>
      </c>
      <c r="I14235">
        <v>20357121</v>
      </c>
    </row>
    <row r="14236" spans="1:9" x14ac:dyDescent="0.2">
      <c r="A14236" s="1" t="str">
        <f>"PSPH"</f>
        <v>PSPH</v>
      </c>
      <c r="B14236" t="s">
        <v>9</v>
      </c>
      <c r="C14236" t="s">
        <v>33</v>
      </c>
      <c r="D14236" t="s">
        <v>11</v>
      </c>
      <c r="E14236" t="s">
        <v>12</v>
      </c>
      <c r="F14236">
        <v>56101826</v>
      </c>
      <c r="G14236">
        <v>56101878</v>
      </c>
      <c r="H14236">
        <v>56101826</v>
      </c>
      <c r="I14236">
        <v>56101878</v>
      </c>
    </row>
    <row r="14237" spans="1:9" x14ac:dyDescent="0.2">
      <c r="A14237" s="1" t="str">
        <f>"PSPH"</f>
        <v>PSPH</v>
      </c>
      <c r="B14237" t="s">
        <v>13</v>
      </c>
      <c r="C14237" t="s">
        <v>33</v>
      </c>
      <c r="D14237" t="s">
        <v>11</v>
      </c>
      <c r="E14237" t="s">
        <v>12</v>
      </c>
      <c r="F14237">
        <v>56119096</v>
      </c>
      <c r="G14237">
        <v>56119152</v>
      </c>
      <c r="H14237">
        <v>56119096</v>
      </c>
      <c r="I14237">
        <v>56119152</v>
      </c>
    </row>
    <row r="14238" spans="1:9" x14ac:dyDescent="0.2">
      <c r="A14238" s="1" t="str">
        <f>"PSPN"</f>
        <v>PSPN</v>
      </c>
      <c r="B14238" t="s">
        <v>1426</v>
      </c>
      <c r="C14238" t="s">
        <v>10</v>
      </c>
      <c r="D14238" t="s">
        <v>11</v>
      </c>
      <c r="E14238" t="s">
        <v>20</v>
      </c>
      <c r="F14238">
        <v>6375859</v>
      </c>
      <c r="G14238">
        <v>6375859</v>
      </c>
      <c r="H14238">
        <v>6375859</v>
      </c>
      <c r="I14238">
        <v>6375859</v>
      </c>
    </row>
    <row r="14239" spans="1:9" x14ac:dyDescent="0.2">
      <c r="A14239" s="1" t="str">
        <f>"PSRC1"</f>
        <v>PSRC1</v>
      </c>
      <c r="B14239" t="s">
        <v>14</v>
      </c>
      <c r="C14239" t="s">
        <v>19</v>
      </c>
      <c r="D14239" t="s">
        <v>11</v>
      </c>
      <c r="E14239" t="s">
        <v>12</v>
      </c>
      <c r="F14239">
        <v>109825751</v>
      </c>
      <c r="G14239">
        <v>109825802</v>
      </c>
      <c r="H14239">
        <v>109825719</v>
      </c>
      <c r="I14239">
        <v>109825745</v>
      </c>
    </row>
    <row r="14240" spans="1:9" x14ac:dyDescent="0.2">
      <c r="A14240" s="1" t="str">
        <f>"PSTK"</f>
        <v>PSTK</v>
      </c>
      <c r="B14240" t="s">
        <v>9</v>
      </c>
      <c r="C14240" t="s">
        <v>15</v>
      </c>
      <c r="D14240" t="s">
        <v>17</v>
      </c>
      <c r="E14240" t="s">
        <v>12</v>
      </c>
      <c r="F14240">
        <v>124739911</v>
      </c>
      <c r="G14240">
        <v>124739957</v>
      </c>
      <c r="H14240">
        <v>124739911</v>
      </c>
      <c r="I14240">
        <v>124739957</v>
      </c>
    </row>
    <row r="14241" spans="1:9" x14ac:dyDescent="0.2">
      <c r="A14241" s="1" t="str">
        <f>"PSTK"</f>
        <v>PSTK</v>
      </c>
      <c r="B14241" t="s">
        <v>13</v>
      </c>
      <c r="C14241" t="s">
        <v>15</v>
      </c>
      <c r="D14241" t="s">
        <v>17</v>
      </c>
      <c r="E14241" t="s">
        <v>12</v>
      </c>
      <c r="F14241">
        <v>124713933</v>
      </c>
      <c r="G14241">
        <v>124714023</v>
      </c>
      <c r="H14241">
        <v>124713933</v>
      </c>
      <c r="I14241">
        <v>124714023</v>
      </c>
    </row>
    <row r="14242" spans="1:9" x14ac:dyDescent="0.2">
      <c r="A14242" s="1" t="str">
        <f>"PSTPIP1"</f>
        <v>PSTPIP1</v>
      </c>
      <c r="B14242" t="s">
        <v>14</v>
      </c>
      <c r="C14242" t="s">
        <v>25</v>
      </c>
      <c r="D14242" t="s">
        <v>17</v>
      </c>
      <c r="E14242" t="s">
        <v>12</v>
      </c>
      <c r="F14242">
        <v>77287457</v>
      </c>
      <c r="G14242">
        <v>77287487</v>
      </c>
      <c r="H14242">
        <v>77287715</v>
      </c>
      <c r="I14242">
        <v>77287755</v>
      </c>
    </row>
    <row r="14243" spans="1:9" x14ac:dyDescent="0.2">
      <c r="A14243" s="1" t="str">
        <f>"PSTPIP2"</f>
        <v>PSTPIP2</v>
      </c>
      <c r="B14243" t="s">
        <v>14</v>
      </c>
      <c r="C14243" t="s">
        <v>43</v>
      </c>
      <c r="D14243" t="s">
        <v>11</v>
      </c>
      <c r="E14243" t="s">
        <v>12</v>
      </c>
      <c r="F14243">
        <v>43652211</v>
      </c>
      <c r="G14243">
        <v>43652267</v>
      </c>
      <c r="H14243">
        <v>43652211</v>
      </c>
      <c r="I14243">
        <v>43652267</v>
      </c>
    </row>
    <row r="14244" spans="1:9" x14ac:dyDescent="0.2">
      <c r="A14244" s="1" t="str">
        <f>"PTAFR"</f>
        <v>PTAFR</v>
      </c>
      <c r="B14244" t="s">
        <v>14</v>
      </c>
      <c r="C14244" t="s">
        <v>19</v>
      </c>
      <c r="D14244" t="s">
        <v>11</v>
      </c>
      <c r="E14244" t="s">
        <v>12</v>
      </c>
      <c r="F14244">
        <v>28503176</v>
      </c>
      <c r="G14244">
        <v>28503208</v>
      </c>
      <c r="H14244">
        <v>28503135</v>
      </c>
      <c r="I14244">
        <v>28503157</v>
      </c>
    </row>
    <row r="14245" spans="1:9" x14ac:dyDescent="0.2">
      <c r="A14245" s="1" t="str">
        <f>"PTAR1"</f>
        <v>PTAR1</v>
      </c>
      <c r="B14245" t="s">
        <v>14</v>
      </c>
      <c r="C14245" t="s">
        <v>24</v>
      </c>
      <c r="D14245" t="s">
        <v>11</v>
      </c>
      <c r="E14245" t="s">
        <v>12</v>
      </c>
      <c r="F14245">
        <v>72374848</v>
      </c>
      <c r="G14245">
        <v>72374894</v>
      </c>
      <c r="H14245">
        <v>72374909</v>
      </c>
      <c r="I14245">
        <v>72374940</v>
      </c>
    </row>
    <row r="14246" spans="1:9" x14ac:dyDescent="0.2">
      <c r="A14246" s="1" t="str">
        <f>"PTBP1"</f>
        <v>PTBP1</v>
      </c>
      <c r="B14246" t="s">
        <v>14</v>
      </c>
      <c r="C14246" t="s">
        <v>10</v>
      </c>
      <c r="D14246" t="s">
        <v>17</v>
      </c>
      <c r="E14246" t="s">
        <v>12</v>
      </c>
      <c r="F14246">
        <v>797443</v>
      </c>
      <c r="G14246">
        <v>797457</v>
      </c>
      <c r="H14246">
        <v>797408</v>
      </c>
      <c r="I14246">
        <v>797422</v>
      </c>
    </row>
    <row r="14247" spans="1:9" x14ac:dyDescent="0.2">
      <c r="A14247" s="1" t="str">
        <f>"PTBP2"</f>
        <v>PTBP2</v>
      </c>
      <c r="B14247" t="s">
        <v>14</v>
      </c>
      <c r="C14247" t="s">
        <v>19</v>
      </c>
      <c r="D14247" t="s">
        <v>17</v>
      </c>
      <c r="E14247" t="s">
        <v>12</v>
      </c>
      <c r="F14247">
        <v>97187318</v>
      </c>
      <c r="G14247">
        <v>97187363</v>
      </c>
      <c r="H14247">
        <v>97187106</v>
      </c>
      <c r="I14247">
        <v>97187137</v>
      </c>
    </row>
    <row r="14248" spans="1:9" x14ac:dyDescent="0.2">
      <c r="A14248" s="1" t="str">
        <f>"PTBP3"</f>
        <v>PTBP3</v>
      </c>
      <c r="B14248" t="s">
        <v>14</v>
      </c>
      <c r="C14248" t="s">
        <v>24</v>
      </c>
      <c r="D14248" t="s">
        <v>11</v>
      </c>
      <c r="E14248" t="s">
        <v>12</v>
      </c>
      <c r="F14248">
        <v>115095883</v>
      </c>
      <c r="G14248">
        <v>115095932</v>
      </c>
      <c r="H14248">
        <v>115095851</v>
      </c>
      <c r="I14248">
        <v>115095871</v>
      </c>
    </row>
    <row r="14249" spans="1:9" x14ac:dyDescent="0.2">
      <c r="A14249" s="1" t="str">
        <f>"PTCD1"</f>
        <v>PTCD1</v>
      </c>
      <c r="B14249" t="s">
        <v>9</v>
      </c>
      <c r="C14249" t="s">
        <v>33</v>
      </c>
      <c r="D14249" t="s">
        <v>11</v>
      </c>
      <c r="E14249" t="s">
        <v>12</v>
      </c>
      <c r="F14249">
        <v>99063769</v>
      </c>
      <c r="G14249">
        <v>99063811</v>
      </c>
      <c r="H14249">
        <v>99063769</v>
      </c>
      <c r="I14249">
        <v>99063811</v>
      </c>
    </row>
    <row r="14250" spans="1:9" x14ac:dyDescent="0.2">
      <c r="A14250" s="1" t="str">
        <f>"PTCD1"</f>
        <v>PTCD1</v>
      </c>
      <c r="B14250" t="s">
        <v>13</v>
      </c>
      <c r="C14250" t="s">
        <v>33</v>
      </c>
      <c r="D14250" t="s">
        <v>11</v>
      </c>
      <c r="E14250" t="s">
        <v>12</v>
      </c>
      <c r="F14250">
        <v>99036342</v>
      </c>
      <c r="G14250">
        <v>99036428</v>
      </c>
      <c r="H14250">
        <v>99036342</v>
      </c>
      <c r="I14250">
        <v>99036428</v>
      </c>
    </row>
    <row r="14251" spans="1:9" x14ac:dyDescent="0.2">
      <c r="A14251" s="1" t="str">
        <f>"PTCD2"</f>
        <v>PTCD2</v>
      </c>
      <c r="B14251" t="s">
        <v>14</v>
      </c>
      <c r="C14251" t="s">
        <v>46</v>
      </c>
      <c r="D14251" t="s">
        <v>17</v>
      </c>
      <c r="E14251" t="s">
        <v>12</v>
      </c>
      <c r="F14251">
        <v>71616188</v>
      </c>
      <c r="G14251">
        <v>71616230</v>
      </c>
      <c r="H14251">
        <v>71616188</v>
      </c>
      <c r="I14251">
        <v>71616230</v>
      </c>
    </row>
    <row r="14252" spans="1:9" x14ac:dyDescent="0.2">
      <c r="A14252" s="1" t="str">
        <f>"PTCD3"</f>
        <v>PTCD3</v>
      </c>
      <c r="B14252" t="s">
        <v>14</v>
      </c>
      <c r="C14252" t="s">
        <v>26</v>
      </c>
      <c r="D14252" t="s">
        <v>17</v>
      </c>
      <c r="E14252" t="s">
        <v>12</v>
      </c>
      <c r="F14252">
        <v>86333340</v>
      </c>
      <c r="G14252">
        <v>86333372</v>
      </c>
      <c r="H14252">
        <v>86333340</v>
      </c>
      <c r="I14252">
        <v>86333372</v>
      </c>
    </row>
    <row r="14253" spans="1:9" x14ac:dyDescent="0.2">
      <c r="A14253" s="1" t="str">
        <f>"PTCH1"</f>
        <v>PTCH1</v>
      </c>
      <c r="B14253" t="s">
        <v>14</v>
      </c>
      <c r="C14253" t="s">
        <v>24</v>
      </c>
      <c r="D14253" t="s">
        <v>11</v>
      </c>
      <c r="E14253" t="s">
        <v>12</v>
      </c>
      <c r="F14253">
        <v>98268883</v>
      </c>
      <c r="G14253">
        <v>98268915</v>
      </c>
      <c r="H14253">
        <v>98269700</v>
      </c>
      <c r="I14253">
        <v>98269723</v>
      </c>
    </row>
    <row r="14254" spans="1:9" x14ac:dyDescent="0.2">
      <c r="A14254" s="1" t="str">
        <f>"PTCH2"</f>
        <v>PTCH2</v>
      </c>
      <c r="B14254" t="s">
        <v>14</v>
      </c>
      <c r="C14254" t="s">
        <v>19</v>
      </c>
      <c r="D14254" t="s">
        <v>11</v>
      </c>
      <c r="E14254" t="s">
        <v>12</v>
      </c>
      <c r="F14254">
        <v>45308913</v>
      </c>
      <c r="G14254">
        <v>45308934</v>
      </c>
      <c r="H14254">
        <v>45308913</v>
      </c>
      <c r="I14254">
        <v>45308934</v>
      </c>
    </row>
    <row r="14255" spans="1:9" x14ac:dyDescent="0.2">
      <c r="A14255" s="1" t="str">
        <f>"PTCHD1"</f>
        <v>PTCHD1</v>
      </c>
      <c r="B14255" t="s">
        <v>14</v>
      </c>
      <c r="C14255" t="s">
        <v>37</v>
      </c>
      <c r="D14255" t="s">
        <v>17</v>
      </c>
      <c r="E14255" t="s">
        <v>12</v>
      </c>
      <c r="F14255">
        <v>23352471</v>
      </c>
      <c r="G14255">
        <v>23352530</v>
      </c>
      <c r="H14255">
        <v>23352958</v>
      </c>
      <c r="I14255">
        <v>23353002</v>
      </c>
    </row>
    <row r="14256" spans="1:9" x14ac:dyDescent="0.2">
      <c r="A14256" s="1" t="str">
        <f>"PTCHD2"</f>
        <v>PTCHD2</v>
      </c>
      <c r="B14256" t="s">
        <v>14</v>
      </c>
      <c r="C14256" t="s">
        <v>19</v>
      </c>
      <c r="D14256" t="s">
        <v>17</v>
      </c>
      <c r="E14256" t="s">
        <v>12</v>
      </c>
      <c r="F14256">
        <v>11539204</v>
      </c>
      <c r="G14256">
        <v>11539219</v>
      </c>
      <c r="H14256">
        <v>11538973</v>
      </c>
      <c r="I14256">
        <v>11539019</v>
      </c>
    </row>
    <row r="14257" spans="1:9" x14ac:dyDescent="0.2">
      <c r="A14257" s="1" t="str">
        <f>"PTCHD3"</f>
        <v>PTCHD3</v>
      </c>
      <c r="B14257" t="s">
        <v>14</v>
      </c>
      <c r="C14257" t="s">
        <v>15</v>
      </c>
      <c r="D14257" t="s">
        <v>11</v>
      </c>
      <c r="E14257" t="s">
        <v>12</v>
      </c>
      <c r="F14257">
        <v>27703250</v>
      </c>
      <c r="G14257">
        <v>27703258</v>
      </c>
      <c r="H14257">
        <v>27703269</v>
      </c>
      <c r="I14257">
        <v>27703278</v>
      </c>
    </row>
    <row r="14258" spans="1:9" x14ac:dyDescent="0.2">
      <c r="A14258" s="1" t="str">
        <f>"PTCHD4"</f>
        <v>PTCHD4</v>
      </c>
      <c r="B14258" t="s">
        <v>1427</v>
      </c>
      <c r="C14258" t="s">
        <v>32</v>
      </c>
      <c r="D14258" t="s">
        <v>11</v>
      </c>
      <c r="E14258" t="s">
        <v>35</v>
      </c>
      <c r="F14258">
        <v>48036363</v>
      </c>
      <c r="G14258">
        <v>48036404</v>
      </c>
      <c r="H14258">
        <v>48036294</v>
      </c>
      <c r="I14258">
        <v>48036297</v>
      </c>
    </row>
    <row r="14259" spans="1:9" x14ac:dyDescent="0.2">
      <c r="A14259" s="1" t="str">
        <f>"PTCRA"</f>
        <v>PTCRA</v>
      </c>
      <c r="B14259" t="s">
        <v>14</v>
      </c>
      <c r="C14259" t="s">
        <v>32</v>
      </c>
      <c r="D14259" t="s">
        <v>17</v>
      </c>
      <c r="E14259" t="s">
        <v>12</v>
      </c>
      <c r="F14259">
        <v>42883784</v>
      </c>
      <c r="G14259">
        <v>42883804</v>
      </c>
      <c r="H14259">
        <v>42883729</v>
      </c>
      <c r="I14259">
        <v>42883740</v>
      </c>
    </row>
    <row r="14260" spans="1:9" x14ac:dyDescent="0.2">
      <c r="A14260" s="1" t="str">
        <f>"PTDSS1"</f>
        <v>PTDSS1</v>
      </c>
      <c r="B14260" t="s">
        <v>14</v>
      </c>
      <c r="C14260" t="s">
        <v>30</v>
      </c>
      <c r="D14260" t="s">
        <v>17</v>
      </c>
      <c r="E14260" t="s">
        <v>12</v>
      </c>
      <c r="F14260">
        <v>97274119</v>
      </c>
      <c r="G14260">
        <v>97274165</v>
      </c>
      <c r="H14260">
        <v>97274168</v>
      </c>
      <c r="I14260">
        <v>97274179</v>
      </c>
    </row>
    <row r="14261" spans="1:9" x14ac:dyDescent="0.2">
      <c r="A14261" s="1" t="str">
        <f>"PTDSS2"</f>
        <v>PTDSS2</v>
      </c>
      <c r="B14261" t="s">
        <v>14</v>
      </c>
      <c r="C14261" t="s">
        <v>27</v>
      </c>
      <c r="D14261" t="s">
        <v>17</v>
      </c>
      <c r="E14261" t="s">
        <v>12</v>
      </c>
      <c r="F14261">
        <v>450255</v>
      </c>
      <c r="G14261">
        <v>450334</v>
      </c>
      <c r="H14261">
        <v>450369</v>
      </c>
      <c r="I14261">
        <v>450461</v>
      </c>
    </row>
    <row r="14262" spans="1:9" x14ac:dyDescent="0.2">
      <c r="A14262" s="1" t="str">
        <f>"PTEN"</f>
        <v>PTEN</v>
      </c>
      <c r="B14262" t="s">
        <v>14</v>
      </c>
      <c r="C14262" t="s">
        <v>15</v>
      </c>
      <c r="D14262" t="s">
        <v>17</v>
      </c>
      <c r="E14262" t="s">
        <v>12</v>
      </c>
      <c r="F14262">
        <v>89623352</v>
      </c>
      <c r="G14262">
        <v>89623426</v>
      </c>
      <c r="H14262">
        <v>89623352</v>
      </c>
      <c r="I14262">
        <v>89623426</v>
      </c>
    </row>
    <row r="14263" spans="1:9" x14ac:dyDescent="0.2">
      <c r="A14263" s="1" t="str">
        <f>"PTER"</f>
        <v>PTER</v>
      </c>
      <c r="B14263" t="s">
        <v>14</v>
      </c>
      <c r="C14263" t="s">
        <v>15</v>
      </c>
      <c r="D14263" t="s">
        <v>17</v>
      </c>
      <c r="E14263" t="s">
        <v>12</v>
      </c>
      <c r="F14263">
        <v>16478995</v>
      </c>
      <c r="G14263">
        <v>16479020</v>
      </c>
      <c r="H14263">
        <v>16478978</v>
      </c>
      <c r="I14263">
        <v>16478988</v>
      </c>
    </row>
    <row r="14264" spans="1:9" x14ac:dyDescent="0.2">
      <c r="A14264" s="1" t="str">
        <f>"PTF1A"</f>
        <v>PTF1A</v>
      </c>
      <c r="B14264" t="s">
        <v>14</v>
      </c>
      <c r="C14264" t="s">
        <v>15</v>
      </c>
      <c r="D14264" t="s">
        <v>17</v>
      </c>
      <c r="E14264" t="s">
        <v>12</v>
      </c>
      <c r="F14264">
        <v>23481233</v>
      </c>
      <c r="G14264">
        <v>23481249</v>
      </c>
      <c r="H14264">
        <v>23481267</v>
      </c>
      <c r="I14264">
        <v>23481272</v>
      </c>
    </row>
    <row r="14265" spans="1:9" x14ac:dyDescent="0.2">
      <c r="A14265" s="1" t="str">
        <f>"PTGDR"</f>
        <v>PTGDR</v>
      </c>
      <c r="B14265" t="s">
        <v>14</v>
      </c>
      <c r="C14265" t="s">
        <v>41</v>
      </c>
      <c r="D14265" t="s">
        <v>17</v>
      </c>
      <c r="E14265" t="s">
        <v>12</v>
      </c>
      <c r="F14265">
        <v>52734401</v>
      </c>
      <c r="G14265">
        <v>52734446</v>
      </c>
      <c r="H14265">
        <v>52734384</v>
      </c>
      <c r="I14265">
        <v>52734400</v>
      </c>
    </row>
    <row r="14266" spans="1:9" x14ac:dyDescent="0.2">
      <c r="A14266" s="1" t="str">
        <f>"PTGDR2"</f>
        <v>PTGDR2</v>
      </c>
      <c r="B14266" t="s">
        <v>14</v>
      </c>
      <c r="C14266" t="s">
        <v>27</v>
      </c>
      <c r="D14266" t="s">
        <v>11</v>
      </c>
      <c r="E14266" t="s">
        <v>12</v>
      </c>
      <c r="F14266">
        <v>60623416</v>
      </c>
      <c r="G14266">
        <v>60623434</v>
      </c>
      <c r="H14266">
        <v>60623437</v>
      </c>
      <c r="I14266">
        <v>60623460</v>
      </c>
    </row>
    <row r="14267" spans="1:9" x14ac:dyDescent="0.2">
      <c r="A14267" s="1" t="str">
        <f>"PTGDS"</f>
        <v>PTGDS</v>
      </c>
      <c r="B14267" t="s">
        <v>9</v>
      </c>
      <c r="C14267" t="s">
        <v>24</v>
      </c>
      <c r="D14267" t="s">
        <v>17</v>
      </c>
      <c r="E14267" t="s">
        <v>12</v>
      </c>
      <c r="F14267">
        <v>139871948</v>
      </c>
      <c r="G14267">
        <v>139871964</v>
      </c>
      <c r="H14267">
        <v>139871948</v>
      </c>
      <c r="I14267">
        <v>139871964</v>
      </c>
    </row>
    <row r="14268" spans="1:9" x14ac:dyDescent="0.2">
      <c r="A14268" s="1" t="str">
        <f>"PTGDS"</f>
        <v>PTGDS</v>
      </c>
      <c r="B14268" t="s">
        <v>13</v>
      </c>
      <c r="C14268" t="s">
        <v>24</v>
      </c>
      <c r="D14268" t="s">
        <v>17</v>
      </c>
      <c r="E14268" t="s">
        <v>12</v>
      </c>
      <c r="F14268">
        <v>139873445</v>
      </c>
      <c r="G14268">
        <v>139873481</v>
      </c>
      <c r="H14268">
        <v>139873445</v>
      </c>
      <c r="I14268">
        <v>139873481</v>
      </c>
    </row>
    <row r="14269" spans="1:9" x14ac:dyDescent="0.2">
      <c r="A14269" s="1" t="str">
        <f>"PTGER1"</f>
        <v>PTGER1</v>
      </c>
      <c r="B14269" t="s">
        <v>14</v>
      </c>
      <c r="C14269" t="s">
        <v>10</v>
      </c>
      <c r="D14269" t="s">
        <v>11</v>
      </c>
      <c r="E14269" t="s">
        <v>12</v>
      </c>
      <c r="F14269">
        <v>14586125</v>
      </c>
      <c r="G14269">
        <v>14586171</v>
      </c>
      <c r="H14269">
        <v>14586125</v>
      </c>
      <c r="I14269">
        <v>14586171</v>
      </c>
    </row>
    <row r="14270" spans="1:9" x14ac:dyDescent="0.2">
      <c r="A14270" s="1" t="str">
        <f>"PTGER2"</f>
        <v>PTGER2</v>
      </c>
      <c r="B14270" t="s">
        <v>14</v>
      </c>
      <c r="C14270" t="s">
        <v>41</v>
      </c>
      <c r="D14270" t="s">
        <v>17</v>
      </c>
      <c r="E14270" t="s">
        <v>12</v>
      </c>
      <c r="F14270">
        <v>52780998</v>
      </c>
      <c r="G14270">
        <v>52781056</v>
      </c>
      <c r="H14270">
        <v>52780943</v>
      </c>
      <c r="I14270">
        <v>52780957</v>
      </c>
    </row>
    <row r="14271" spans="1:9" x14ac:dyDescent="0.2">
      <c r="A14271" s="1" t="str">
        <f>"PTGER3"</f>
        <v>PTGER3</v>
      </c>
      <c r="B14271" t="s">
        <v>14</v>
      </c>
      <c r="C14271" t="s">
        <v>19</v>
      </c>
      <c r="D14271" t="s">
        <v>11</v>
      </c>
      <c r="E14271" t="s">
        <v>12</v>
      </c>
      <c r="F14271">
        <v>71513487</v>
      </c>
      <c r="G14271">
        <v>71513506</v>
      </c>
      <c r="H14271">
        <v>71512983</v>
      </c>
      <c r="I14271">
        <v>71513015</v>
      </c>
    </row>
    <row r="14272" spans="1:9" x14ac:dyDescent="0.2">
      <c r="A14272" s="1" t="str">
        <f>"PTGER4"</f>
        <v>PTGER4</v>
      </c>
      <c r="B14272" t="s">
        <v>9</v>
      </c>
      <c r="C14272" t="s">
        <v>46</v>
      </c>
      <c r="D14272" t="s">
        <v>17</v>
      </c>
      <c r="E14272" t="s">
        <v>12</v>
      </c>
      <c r="F14272">
        <v>40680009</v>
      </c>
      <c r="G14272">
        <v>40680062</v>
      </c>
      <c r="H14272">
        <v>40680009</v>
      </c>
      <c r="I14272">
        <v>40680062</v>
      </c>
    </row>
    <row r="14273" spans="1:9" x14ac:dyDescent="0.2">
      <c r="A14273" s="1" t="str">
        <f>"PTGER4"</f>
        <v>PTGER4</v>
      </c>
      <c r="B14273" t="s">
        <v>13</v>
      </c>
      <c r="C14273" t="s">
        <v>46</v>
      </c>
      <c r="D14273" t="s">
        <v>17</v>
      </c>
      <c r="E14273" t="s">
        <v>12</v>
      </c>
      <c r="F14273">
        <v>40681044</v>
      </c>
      <c r="G14273">
        <v>40681070</v>
      </c>
      <c r="H14273">
        <v>40681044</v>
      </c>
      <c r="I14273">
        <v>40681070</v>
      </c>
    </row>
    <row r="14274" spans="1:9" x14ac:dyDescent="0.2">
      <c r="A14274" s="1" t="str">
        <f>"PTGES"</f>
        <v>PTGES</v>
      </c>
      <c r="B14274" t="s">
        <v>14</v>
      </c>
      <c r="C14274" t="s">
        <v>24</v>
      </c>
      <c r="D14274" t="s">
        <v>11</v>
      </c>
      <c r="E14274" t="s">
        <v>12</v>
      </c>
      <c r="F14274">
        <v>132515302</v>
      </c>
      <c r="G14274">
        <v>132515338</v>
      </c>
      <c r="H14274">
        <v>132515340</v>
      </c>
      <c r="I14274">
        <v>132515357</v>
      </c>
    </row>
    <row r="14275" spans="1:9" x14ac:dyDescent="0.2">
      <c r="A14275" s="1" t="str">
        <f>"PTGES2"</f>
        <v>PTGES2</v>
      </c>
      <c r="B14275" t="s">
        <v>14</v>
      </c>
      <c r="C14275" t="s">
        <v>24</v>
      </c>
      <c r="D14275" t="s">
        <v>11</v>
      </c>
      <c r="E14275" t="s">
        <v>12</v>
      </c>
      <c r="F14275">
        <v>130889990</v>
      </c>
      <c r="G14275">
        <v>130890038</v>
      </c>
      <c r="H14275">
        <v>130890380</v>
      </c>
      <c r="I14275">
        <v>130890410</v>
      </c>
    </row>
    <row r="14276" spans="1:9" x14ac:dyDescent="0.2">
      <c r="A14276" s="1" t="str">
        <f>"PTGES3"</f>
        <v>PTGES3</v>
      </c>
      <c r="B14276" t="s">
        <v>14</v>
      </c>
      <c r="C14276" t="s">
        <v>16</v>
      </c>
      <c r="D14276" t="s">
        <v>11</v>
      </c>
      <c r="E14276" t="s">
        <v>12</v>
      </c>
      <c r="F14276">
        <v>57082060</v>
      </c>
      <c r="G14276">
        <v>57082083</v>
      </c>
      <c r="H14276">
        <v>57081999</v>
      </c>
      <c r="I14276">
        <v>57082014</v>
      </c>
    </row>
    <row r="14277" spans="1:9" x14ac:dyDescent="0.2">
      <c r="A14277" s="1" t="str">
        <f>"PTGES3L"</f>
        <v>PTGES3L</v>
      </c>
      <c r="B14277" t="s">
        <v>1428</v>
      </c>
      <c r="C14277" t="s">
        <v>28</v>
      </c>
      <c r="D14277" t="s">
        <v>11</v>
      </c>
      <c r="E14277" t="s">
        <v>35</v>
      </c>
      <c r="F14277">
        <v>41132487</v>
      </c>
      <c r="G14277">
        <v>41132508</v>
      </c>
      <c r="H14277">
        <v>41132335</v>
      </c>
      <c r="I14277">
        <v>41132359</v>
      </c>
    </row>
    <row r="14278" spans="1:9" x14ac:dyDescent="0.2">
      <c r="A14278" s="1" t="str">
        <f>"PTGES3L-AARSD1"</f>
        <v>PTGES3L-AARSD1</v>
      </c>
      <c r="B14278" t="s">
        <v>1429</v>
      </c>
      <c r="C14278" t="s">
        <v>28</v>
      </c>
      <c r="D14278" t="s">
        <v>11</v>
      </c>
      <c r="E14278" t="s">
        <v>35</v>
      </c>
      <c r="F14278">
        <v>41132110</v>
      </c>
      <c r="G14278">
        <v>41132136</v>
      </c>
      <c r="H14278">
        <v>41132021</v>
      </c>
      <c r="I14278">
        <v>41132031</v>
      </c>
    </row>
    <row r="14279" spans="1:9" x14ac:dyDescent="0.2">
      <c r="A14279" s="1" t="str">
        <f>"PTGES3L-AARSD1"</f>
        <v>PTGES3L-AARSD1</v>
      </c>
      <c r="B14279" t="s">
        <v>1430</v>
      </c>
      <c r="C14279" t="s">
        <v>28</v>
      </c>
      <c r="D14279" t="s">
        <v>11</v>
      </c>
      <c r="E14279" t="s">
        <v>35</v>
      </c>
      <c r="F14279">
        <v>41132487</v>
      </c>
      <c r="G14279">
        <v>41132508</v>
      </c>
      <c r="H14279">
        <v>41132335</v>
      </c>
      <c r="I14279">
        <v>41132359</v>
      </c>
    </row>
    <row r="14280" spans="1:9" x14ac:dyDescent="0.2">
      <c r="A14280" s="1" t="str">
        <f>"PTGFR"</f>
        <v>PTGFR</v>
      </c>
      <c r="B14280" t="s">
        <v>9</v>
      </c>
      <c r="C14280" t="s">
        <v>19</v>
      </c>
      <c r="D14280" t="s">
        <v>17</v>
      </c>
      <c r="E14280" t="s">
        <v>12</v>
      </c>
      <c r="F14280">
        <v>78956651</v>
      </c>
      <c r="G14280">
        <v>78956747</v>
      </c>
      <c r="H14280">
        <v>78956651</v>
      </c>
      <c r="I14280">
        <v>78956747</v>
      </c>
    </row>
    <row r="14281" spans="1:9" x14ac:dyDescent="0.2">
      <c r="A14281" s="1" t="str">
        <f>"PTGFR"</f>
        <v>PTGFR</v>
      </c>
      <c r="B14281" t="s">
        <v>13</v>
      </c>
      <c r="C14281" t="s">
        <v>19</v>
      </c>
      <c r="D14281" t="s">
        <v>17</v>
      </c>
      <c r="E14281" t="s">
        <v>12</v>
      </c>
      <c r="F14281">
        <v>78958320</v>
      </c>
      <c r="G14281">
        <v>78958332</v>
      </c>
      <c r="H14281">
        <v>78958320</v>
      </c>
      <c r="I14281">
        <v>78958332</v>
      </c>
    </row>
    <row r="14282" spans="1:9" x14ac:dyDescent="0.2">
      <c r="A14282" s="1" t="str">
        <f>"PTGFRN"</f>
        <v>PTGFRN</v>
      </c>
      <c r="B14282" t="s">
        <v>14</v>
      </c>
      <c r="C14282" t="s">
        <v>19</v>
      </c>
      <c r="D14282" t="s">
        <v>17</v>
      </c>
      <c r="E14282" t="s">
        <v>12</v>
      </c>
      <c r="F14282">
        <v>117452491</v>
      </c>
      <c r="G14282">
        <v>117452579</v>
      </c>
      <c r="H14282">
        <v>117452669</v>
      </c>
      <c r="I14282">
        <v>117452748</v>
      </c>
    </row>
    <row r="14283" spans="1:9" x14ac:dyDescent="0.2">
      <c r="A14283" s="1" t="str">
        <f>"PTGIR"</f>
        <v>PTGIR</v>
      </c>
      <c r="B14283" t="s">
        <v>14</v>
      </c>
      <c r="C14283" t="s">
        <v>10</v>
      </c>
      <c r="D14283" t="s">
        <v>11</v>
      </c>
      <c r="E14283" t="s">
        <v>12</v>
      </c>
      <c r="F14283">
        <v>47128314</v>
      </c>
      <c r="G14283">
        <v>47128365</v>
      </c>
      <c r="H14283">
        <v>47128288</v>
      </c>
      <c r="I14283">
        <v>47128299</v>
      </c>
    </row>
    <row r="14284" spans="1:9" x14ac:dyDescent="0.2">
      <c r="A14284" s="1" t="str">
        <f>"PTGIS"</f>
        <v>PTGIS</v>
      </c>
      <c r="B14284" t="s">
        <v>14</v>
      </c>
      <c r="C14284" t="s">
        <v>29</v>
      </c>
      <c r="D14284" t="s">
        <v>11</v>
      </c>
      <c r="E14284" t="s">
        <v>12</v>
      </c>
      <c r="F14284">
        <v>48184638</v>
      </c>
      <c r="G14284">
        <v>48184694</v>
      </c>
      <c r="H14284">
        <v>48184612</v>
      </c>
      <c r="I14284">
        <v>48184630</v>
      </c>
    </row>
    <row r="14285" spans="1:9" x14ac:dyDescent="0.2">
      <c r="A14285" s="1" t="str">
        <f>"PTGR1"</f>
        <v>PTGR1</v>
      </c>
      <c r="B14285" t="s">
        <v>14</v>
      </c>
      <c r="C14285" t="s">
        <v>24</v>
      </c>
      <c r="D14285" t="s">
        <v>11</v>
      </c>
      <c r="E14285" t="s">
        <v>12</v>
      </c>
      <c r="F14285">
        <v>114361919</v>
      </c>
      <c r="G14285">
        <v>114361935</v>
      </c>
      <c r="H14285">
        <v>114361665</v>
      </c>
      <c r="I14285">
        <v>114361719</v>
      </c>
    </row>
    <row r="14286" spans="1:9" x14ac:dyDescent="0.2">
      <c r="A14286" s="1" t="str">
        <f>"PTGR2"</f>
        <v>PTGR2</v>
      </c>
      <c r="B14286" t="s">
        <v>14</v>
      </c>
      <c r="C14286" t="s">
        <v>41</v>
      </c>
      <c r="D14286" t="s">
        <v>17</v>
      </c>
      <c r="E14286" t="s">
        <v>12</v>
      </c>
      <c r="F14286">
        <v>74318611</v>
      </c>
      <c r="G14286">
        <v>74318682</v>
      </c>
      <c r="H14286">
        <v>74318513</v>
      </c>
      <c r="I14286">
        <v>74318562</v>
      </c>
    </row>
    <row r="14287" spans="1:9" x14ac:dyDescent="0.2">
      <c r="A14287" s="1" t="str">
        <f>"PTGS1"</f>
        <v>PTGS1</v>
      </c>
      <c r="B14287" t="s">
        <v>14</v>
      </c>
      <c r="C14287" t="s">
        <v>24</v>
      </c>
      <c r="D14287" t="s">
        <v>17</v>
      </c>
      <c r="E14287" t="s">
        <v>12</v>
      </c>
      <c r="F14287">
        <v>125133315</v>
      </c>
      <c r="G14287">
        <v>125133339</v>
      </c>
      <c r="H14287">
        <v>125133293</v>
      </c>
      <c r="I14287">
        <v>125133309</v>
      </c>
    </row>
    <row r="14288" spans="1:9" x14ac:dyDescent="0.2">
      <c r="A14288" s="1" t="str">
        <f>"PTGS2"</f>
        <v>PTGS2</v>
      </c>
      <c r="B14288" t="s">
        <v>9</v>
      </c>
      <c r="C14288" t="s">
        <v>19</v>
      </c>
      <c r="D14288" t="s">
        <v>11</v>
      </c>
      <c r="E14288" t="s">
        <v>12</v>
      </c>
      <c r="F14288">
        <v>186649543</v>
      </c>
      <c r="G14288">
        <v>186649563</v>
      </c>
      <c r="H14288">
        <v>186649543</v>
      </c>
      <c r="I14288">
        <v>186649563</v>
      </c>
    </row>
    <row r="14289" spans="1:9" x14ac:dyDescent="0.2">
      <c r="A14289" s="1" t="str">
        <f>"PTGS2"</f>
        <v>PTGS2</v>
      </c>
      <c r="B14289" t="s">
        <v>13</v>
      </c>
      <c r="C14289" t="s">
        <v>19</v>
      </c>
      <c r="D14289" t="s">
        <v>11</v>
      </c>
      <c r="E14289" t="s">
        <v>12</v>
      </c>
      <c r="F14289">
        <v>186648493</v>
      </c>
      <c r="G14289">
        <v>186648522</v>
      </c>
      <c r="H14289">
        <v>186648493</v>
      </c>
      <c r="I14289">
        <v>186648522</v>
      </c>
    </row>
    <row r="14290" spans="1:9" x14ac:dyDescent="0.2">
      <c r="A14290" s="1" t="str">
        <f>"PTH"</f>
        <v>PTH</v>
      </c>
      <c r="B14290" t="s">
        <v>14</v>
      </c>
      <c r="C14290" t="s">
        <v>27</v>
      </c>
      <c r="D14290" t="s">
        <v>11</v>
      </c>
      <c r="E14290" t="s">
        <v>12</v>
      </c>
      <c r="F14290">
        <v>13517531</v>
      </c>
      <c r="G14290">
        <v>13517550</v>
      </c>
      <c r="H14290">
        <v>13517565</v>
      </c>
      <c r="I14290">
        <v>13517580</v>
      </c>
    </row>
    <row r="14291" spans="1:9" x14ac:dyDescent="0.2">
      <c r="A14291" s="1" t="str">
        <f>"PTH1R"</f>
        <v>PTH1R</v>
      </c>
      <c r="B14291" t="s">
        <v>14</v>
      </c>
      <c r="C14291" t="s">
        <v>22</v>
      </c>
      <c r="D14291" t="s">
        <v>17</v>
      </c>
      <c r="E14291" t="s">
        <v>12</v>
      </c>
      <c r="F14291">
        <v>46924742</v>
      </c>
      <c r="G14291">
        <v>46924756</v>
      </c>
      <c r="H14291">
        <v>46924829</v>
      </c>
      <c r="I14291">
        <v>46924878</v>
      </c>
    </row>
    <row r="14292" spans="1:9" x14ac:dyDescent="0.2">
      <c r="A14292" s="1" t="str">
        <f>"PTH2"</f>
        <v>PTH2</v>
      </c>
      <c r="B14292" t="s">
        <v>14</v>
      </c>
      <c r="C14292" t="s">
        <v>10</v>
      </c>
      <c r="D14292" t="s">
        <v>11</v>
      </c>
      <c r="E14292" t="s">
        <v>12</v>
      </c>
      <c r="F14292">
        <v>49927159</v>
      </c>
      <c r="G14292">
        <v>49927170</v>
      </c>
      <c r="H14292">
        <v>49926886</v>
      </c>
      <c r="I14292">
        <v>49926892</v>
      </c>
    </row>
    <row r="14293" spans="1:9" x14ac:dyDescent="0.2">
      <c r="A14293" s="1" t="str">
        <f>"PTH2R"</f>
        <v>PTH2R</v>
      </c>
      <c r="B14293" t="s">
        <v>1431</v>
      </c>
      <c r="C14293" t="s">
        <v>26</v>
      </c>
      <c r="D14293" t="s">
        <v>17</v>
      </c>
      <c r="E14293" t="s">
        <v>35</v>
      </c>
      <c r="F14293">
        <v>209271516</v>
      </c>
      <c r="G14293">
        <v>209271546</v>
      </c>
      <c r="H14293">
        <v>209271516</v>
      </c>
      <c r="I14293">
        <v>209271546</v>
      </c>
    </row>
    <row r="14294" spans="1:9" x14ac:dyDescent="0.2">
      <c r="A14294" s="1" t="str">
        <f>"PTHLH"</f>
        <v>PTHLH</v>
      </c>
      <c r="B14294" t="s">
        <v>9</v>
      </c>
      <c r="C14294" t="s">
        <v>16</v>
      </c>
      <c r="D14294" t="s">
        <v>11</v>
      </c>
      <c r="E14294" t="s">
        <v>12</v>
      </c>
      <c r="F14294">
        <v>28125659</v>
      </c>
      <c r="G14294">
        <v>28125672</v>
      </c>
      <c r="H14294">
        <v>28125659</v>
      </c>
      <c r="I14294">
        <v>28125672</v>
      </c>
    </row>
    <row r="14295" spans="1:9" x14ac:dyDescent="0.2">
      <c r="A14295" s="1" t="str">
        <f>"PTHLH"</f>
        <v>PTHLH</v>
      </c>
      <c r="B14295" t="s">
        <v>13</v>
      </c>
      <c r="C14295" t="s">
        <v>16</v>
      </c>
      <c r="D14295" t="s">
        <v>11</v>
      </c>
      <c r="E14295" t="s">
        <v>12</v>
      </c>
      <c r="F14295">
        <v>28122899</v>
      </c>
      <c r="G14295">
        <v>28122916</v>
      </c>
      <c r="H14295">
        <v>28122899</v>
      </c>
      <c r="I14295">
        <v>28122916</v>
      </c>
    </row>
    <row r="14296" spans="1:9" x14ac:dyDescent="0.2">
      <c r="A14296" s="1" t="str">
        <f>"PTK2"</f>
        <v>PTK2</v>
      </c>
      <c r="B14296" t="s">
        <v>14</v>
      </c>
      <c r="C14296" t="s">
        <v>30</v>
      </c>
      <c r="D14296" t="s">
        <v>11</v>
      </c>
      <c r="E14296" t="s">
        <v>12</v>
      </c>
      <c r="F14296">
        <v>142011316</v>
      </c>
      <c r="G14296">
        <v>142011400</v>
      </c>
      <c r="H14296">
        <v>142011244</v>
      </c>
      <c r="I14296">
        <v>142011288</v>
      </c>
    </row>
    <row r="14297" spans="1:9" x14ac:dyDescent="0.2">
      <c r="A14297" s="1" t="str">
        <f>"PTK2B"</f>
        <v>PTK2B</v>
      </c>
      <c r="B14297" t="s">
        <v>14</v>
      </c>
      <c r="C14297" t="s">
        <v>30</v>
      </c>
      <c r="D14297" t="s">
        <v>17</v>
      </c>
      <c r="E14297" t="s">
        <v>12</v>
      </c>
      <c r="F14297">
        <v>27183033</v>
      </c>
      <c r="G14297">
        <v>27183088</v>
      </c>
      <c r="H14297">
        <v>27183093</v>
      </c>
      <c r="I14297">
        <v>27183108</v>
      </c>
    </row>
    <row r="14298" spans="1:9" x14ac:dyDescent="0.2">
      <c r="A14298" s="1" t="str">
        <f>"PTK6"</f>
        <v>PTK6</v>
      </c>
      <c r="B14298" t="s">
        <v>14</v>
      </c>
      <c r="C14298" t="s">
        <v>29</v>
      </c>
      <c r="D14298" t="s">
        <v>11</v>
      </c>
      <c r="E14298" t="s">
        <v>12</v>
      </c>
      <c r="F14298">
        <v>62168672</v>
      </c>
      <c r="G14298">
        <v>62168713</v>
      </c>
      <c r="H14298">
        <v>62168714</v>
      </c>
      <c r="I14298">
        <v>62168735</v>
      </c>
    </row>
    <row r="14299" spans="1:9" x14ac:dyDescent="0.2">
      <c r="A14299" s="1" t="str">
        <f>"PTK7"</f>
        <v>PTK7</v>
      </c>
      <c r="B14299" t="s">
        <v>14</v>
      </c>
      <c r="C14299" t="s">
        <v>32</v>
      </c>
      <c r="D14299" t="s">
        <v>17</v>
      </c>
      <c r="E14299" t="s">
        <v>12</v>
      </c>
      <c r="F14299">
        <v>43044003</v>
      </c>
      <c r="G14299">
        <v>43044086</v>
      </c>
      <c r="H14299">
        <v>43044196</v>
      </c>
      <c r="I14299">
        <v>43044216</v>
      </c>
    </row>
    <row r="14300" spans="1:9" x14ac:dyDescent="0.2">
      <c r="A14300" s="1" t="str">
        <f>"PTMA"</f>
        <v>PTMA</v>
      </c>
      <c r="B14300" t="s">
        <v>14</v>
      </c>
      <c r="C14300" t="s">
        <v>26</v>
      </c>
      <c r="D14300" t="s">
        <v>17</v>
      </c>
      <c r="E14300" t="s">
        <v>12</v>
      </c>
      <c r="F14300">
        <v>232573222</v>
      </c>
      <c r="G14300">
        <v>232573249</v>
      </c>
      <c r="H14300">
        <v>232573255</v>
      </c>
      <c r="I14300">
        <v>232573281</v>
      </c>
    </row>
    <row r="14301" spans="1:9" x14ac:dyDescent="0.2">
      <c r="A14301" s="1" t="str">
        <f>"PTMS"</f>
        <v>PTMS</v>
      </c>
      <c r="B14301" t="s">
        <v>14</v>
      </c>
      <c r="C14301" t="s">
        <v>16</v>
      </c>
      <c r="D14301" t="s">
        <v>17</v>
      </c>
      <c r="E14301" t="s">
        <v>12</v>
      </c>
      <c r="F14301">
        <v>6875519</v>
      </c>
      <c r="G14301">
        <v>6875536</v>
      </c>
      <c r="H14301">
        <v>6875684</v>
      </c>
      <c r="I14301">
        <v>6875720</v>
      </c>
    </row>
    <row r="14302" spans="1:9" x14ac:dyDescent="0.2">
      <c r="A14302" s="1" t="str">
        <f>"PTN"</f>
        <v>PTN</v>
      </c>
      <c r="B14302" t="s">
        <v>14</v>
      </c>
      <c r="C14302" t="s">
        <v>33</v>
      </c>
      <c r="D14302" t="s">
        <v>11</v>
      </c>
      <c r="E14302" t="s">
        <v>12</v>
      </c>
      <c r="F14302">
        <v>137028246</v>
      </c>
      <c r="G14302">
        <v>137028346</v>
      </c>
      <c r="H14302">
        <v>137028434</v>
      </c>
      <c r="I14302">
        <v>137028487</v>
      </c>
    </row>
    <row r="14303" spans="1:9" x14ac:dyDescent="0.2">
      <c r="A14303" s="1" t="str">
        <f>"PTOV1"</f>
        <v>PTOV1</v>
      </c>
      <c r="B14303" t="s">
        <v>14</v>
      </c>
      <c r="C14303" t="s">
        <v>10</v>
      </c>
      <c r="D14303" t="s">
        <v>17</v>
      </c>
      <c r="E14303" t="s">
        <v>12</v>
      </c>
      <c r="F14303">
        <v>50354393</v>
      </c>
      <c r="G14303">
        <v>50354422</v>
      </c>
      <c r="H14303">
        <v>50354430</v>
      </c>
      <c r="I14303">
        <v>50354447</v>
      </c>
    </row>
    <row r="14304" spans="1:9" x14ac:dyDescent="0.2">
      <c r="A14304" s="1" t="str">
        <f>"PTP4A1"</f>
        <v>PTP4A1</v>
      </c>
      <c r="B14304" t="s">
        <v>14</v>
      </c>
      <c r="C14304" t="s">
        <v>32</v>
      </c>
      <c r="D14304" t="s">
        <v>17</v>
      </c>
      <c r="E14304" t="s">
        <v>12</v>
      </c>
      <c r="F14304">
        <v>64282447</v>
      </c>
      <c r="G14304">
        <v>64282471</v>
      </c>
      <c r="H14304">
        <v>64282377</v>
      </c>
      <c r="I14304">
        <v>64282392</v>
      </c>
    </row>
    <row r="14305" spans="1:9" x14ac:dyDescent="0.2">
      <c r="A14305" s="1" t="str">
        <f>"PTP4A2"</f>
        <v>PTP4A2</v>
      </c>
      <c r="B14305" t="s">
        <v>14</v>
      </c>
      <c r="C14305" t="s">
        <v>19</v>
      </c>
      <c r="D14305" t="s">
        <v>11</v>
      </c>
      <c r="E14305" t="s">
        <v>12</v>
      </c>
      <c r="F14305">
        <v>32403903</v>
      </c>
      <c r="G14305">
        <v>32403978</v>
      </c>
      <c r="H14305">
        <v>32403887</v>
      </c>
      <c r="I14305">
        <v>32403898</v>
      </c>
    </row>
    <row r="14306" spans="1:9" x14ac:dyDescent="0.2">
      <c r="A14306" s="1" t="str">
        <f>"PTP4A3"</f>
        <v>PTP4A3</v>
      </c>
      <c r="B14306" t="s">
        <v>14</v>
      </c>
      <c r="C14306" t="s">
        <v>30</v>
      </c>
      <c r="D14306" t="s">
        <v>17</v>
      </c>
      <c r="E14306" t="s">
        <v>12</v>
      </c>
      <c r="F14306">
        <v>142402089</v>
      </c>
      <c r="G14306">
        <v>142402158</v>
      </c>
      <c r="H14306">
        <v>142402089</v>
      </c>
      <c r="I14306">
        <v>142402158</v>
      </c>
    </row>
    <row r="14307" spans="1:9" x14ac:dyDescent="0.2">
      <c r="A14307" s="1" t="str">
        <f>"PTPDC1"</f>
        <v>PTPDC1</v>
      </c>
      <c r="B14307" t="s">
        <v>14</v>
      </c>
      <c r="C14307" t="s">
        <v>24</v>
      </c>
      <c r="D14307" t="s">
        <v>17</v>
      </c>
      <c r="E14307" t="s">
        <v>12</v>
      </c>
      <c r="F14307">
        <v>96793079</v>
      </c>
      <c r="G14307">
        <v>96793128</v>
      </c>
      <c r="H14307">
        <v>96793079</v>
      </c>
      <c r="I14307">
        <v>96793128</v>
      </c>
    </row>
    <row r="14308" spans="1:9" x14ac:dyDescent="0.2">
      <c r="A14308" s="1" t="str">
        <f>"PTPLA"</f>
        <v>PTPLA</v>
      </c>
      <c r="B14308" t="s">
        <v>14</v>
      </c>
      <c r="C14308" t="s">
        <v>15</v>
      </c>
      <c r="D14308" t="s">
        <v>11</v>
      </c>
      <c r="E14308" t="s">
        <v>12</v>
      </c>
      <c r="F14308">
        <v>17659325</v>
      </c>
      <c r="G14308">
        <v>17659355</v>
      </c>
      <c r="H14308">
        <v>17659357</v>
      </c>
      <c r="I14308">
        <v>17659401</v>
      </c>
    </row>
    <row r="14309" spans="1:9" x14ac:dyDescent="0.2">
      <c r="A14309" s="1" t="str">
        <f>"PTPLAD1"</f>
        <v>PTPLAD1</v>
      </c>
      <c r="B14309" t="s">
        <v>14</v>
      </c>
      <c r="C14309" t="s">
        <v>25</v>
      </c>
      <c r="D14309" t="s">
        <v>17</v>
      </c>
      <c r="E14309" t="s">
        <v>12</v>
      </c>
      <c r="F14309">
        <v>65822785</v>
      </c>
      <c r="G14309">
        <v>65822893</v>
      </c>
      <c r="H14309">
        <v>65822896</v>
      </c>
      <c r="I14309">
        <v>65822910</v>
      </c>
    </row>
    <row r="14310" spans="1:9" x14ac:dyDescent="0.2">
      <c r="A14310" s="1" t="str">
        <f>"PTPLAD2"</f>
        <v>PTPLAD2</v>
      </c>
      <c r="B14310" t="s">
        <v>14</v>
      </c>
      <c r="C14310" t="s">
        <v>24</v>
      </c>
      <c r="D14310" t="s">
        <v>11</v>
      </c>
      <c r="E14310" t="s">
        <v>12</v>
      </c>
      <c r="F14310">
        <v>21031615</v>
      </c>
      <c r="G14310">
        <v>21031651</v>
      </c>
      <c r="H14310">
        <v>21031443</v>
      </c>
      <c r="I14310">
        <v>21031465</v>
      </c>
    </row>
    <row r="14311" spans="1:9" x14ac:dyDescent="0.2">
      <c r="A14311" s="1" t="str">
        <f>"PTPLB"</f>
        <v>PTPLB</v>
      </c>
      <c r="B14311" t="s">
        <v>14</v>
      </c>
      <c r="C14311" t="s">
        <v>22</v>
      </c>
      <c r="D14311" t="s">
        <v>11</v>
      </c>
      <c r="E14311" t="s">
        <v>12</v>
      </c>
      <c r="F14311">
        <v>123303871</v>
      </c>
      <c r="G14311">
        <v>123303908</v>
      </c>
      <c r="H14311">
        <v>123303912</v>
      </c>
      <c r="I14311">
        <v>123303931</v>
      </c>
    </row>
    <row r="14312" spans="1:9" x14ac:dyDescent="0.2">
      <c r="A14312" s="1" t="str">
        <f>"PTPMT1"</f>
        <v>PTPMT1</v>
      </c>
      <c r="B14312" t="s">
        <v>14</v>
      </c>
      <c r="C14312" t="s">
        <v>27</v>
      </c>
      <c r="D14312" t="s">
        <v>17</v>
      </c>
      <c r="E14312" t="s">
        <v>12</v>
      </c>
      <c r="F14312">
        <v>47587129</v>
      </c>
      <c r="G14312">
        <v>47587179</v>
      </c>
      <c r="H14312">
        <v>47587098</v>
      </c>
      <c r="I14312">
        <v>47587122</v>
      </c>
    </row>
    <row r="14313" spans="1:9" x14ac:dyDescent="0.2">
      <c r="A14313" s="1" t="str">
        <f>"PTPN1"</f>
        <v>PTPN1</v>
      </c>
      <c r="B14313" t="s">
        <v>14</v>
      </c>
      <c r="C14313" t="s">
        <v>29</v>
      </c>
      <c r="D14313" t="s">
        <v>17</v>
      </c>
      <c r="E14313" t="s">
        <v>12</v>
      </c>
      <c r="F14313">
        <v>49126881</v>
      </c>
      <c r="G14313">
        <v>49126936</v>
      </c>
      <c r="H14313">
        <v>49126942</v>
      </c>
      <c r="I14313">
        <v>49126956</v>
      </c>
    </row>
    <row r="14314" spans="1:9" x14ac:dyDescent="0.2">
      <c r="A14314" s="1" t="str">
        <f>"PTPN11"</f>
        <v>PTPN11</v>
      </c>
      <c r="B14314" t="s">
        <v>14</v>
      </c>
      <c r="C14314" t="s">
        <v>16</v>
      </c>
      <c r="D14314" t="s">
        <v>17</v>
      </c>
      <c r="E14314" t="s">
        <v>12</v>
      </c>
      <c r="F14314">
        <v>112856732</v>
      </c>
      <c r="G14314">
        <v>112856759</v>
      </c>
      <c r="H14314">
        <v>112856690</v>
      </c>
      <c r="I14314">
        <v>112856731</v>
      </c>
    </row>
    <row r="14315" spans="1:9" x14ac:dyDescent="0.2">
      <c r="A14315" s="1" t="str">
        <f>"PTPN12"</f>
        <v>PTPN12</v>
      </c>
      <c r="B14315" t="s">
        <v>14</v>
      </c>
      <c r="C14315" t="s">
        <v>33</v>
      </c>
      <c r="D14315" t="s">
        <v>17</v>
      </c>
      <c r="E14315" t="s">
        <v>12</v>
      </c>
      <c r="F14315">
        <v>77166597</v>
      </c>
      <c r="G14315">
        <v>77166653</v>
      </c>
      <c r="H14315">
        <v>77166359</v>
      </c>
      <c r="I14315">
        <v>77166423</v>
      </c>
    </row>
    <row r="14316" spans="1:9" x14ac:dyDescent="0.2">
      <c r="A14316" s="1" t="str">
        <f>"PTPN13"</f>
        <v>PTPN13</v>
      </c>
      <c r="B14316" t="s">
        <v>14</v>
      </c>
      <c r="C14316" t="s">
        <v>23</v>
      </c>
      <c r="D14316" t="s">
        <v>17</v>
      </c>
      <c r="E14316" t="s">
        <v>12</v>
      </c>
      <c r="F14316">
        <v>87515454</v>
      </c>
      <c r="G14316">
        <v>87515486</v>
      </c>
      <c r="H14316">
        <v>87515493</v>
      </c>
      <c r="I14316">
        <v>87515510</v>
      </c>
    </row>
    <row r="14317" spans="1:9" x14ac:dyDescent="0.2">
      <c r="A14317" s="1" t="str">
        <f>"PTPN14"</f>
        <v>PTPN14</v>
      </c>
      <c r="B14317" t="s">
        <v>14</v>
      </c>
      <c r="C14317" t="s">
        <v>19</v>
      </c>
      <c r="D14317" t="s">
        <v>11</v>
      </c>
      <c r="E14317" t="s">
        <v>12</v>
      </c>
      <c r="F14317">
        <v>214724899</v>
      </c>
      <c r="G14317">
        <v>214724960</v>
      </c>
      <c r="H14317">
        <v>214724992</v>
      </c>
      <c r="I14317">
        <v>214725029</v>
      </c>
    </row>
    <row r="14318" spans="1:9" x14ac:dyDescent="0.2">
      <c r="A14318" s="1" t="str">
        <f>"PTPN18"</f>
        <v>PTPN18</v>
      </c>
      <c r="B14318" t="s">
        <v>9</v>
      </c>
      <c r="C14318" t="s">
        <v>26</v>
      </c>
      <c r="D14318" t="s">
        <v>17</v>
      </c>
      <c r="E14318" t="s">
        <v>12</v>
      </c>
      <c r="F14318">
        <v>131129793</v>
      </c>
      <c r="G14318">
        <v>131129812</v>
      </c>
      <c r="H14318">
        <v>131129793</v>
      </c>
      <c r="I14318">
        <v>131129812</v>
      </c>
    </row>
    <row r="14319" spans="1:9" x14ac:dyDescent="0.2">
      <c r="A14319" s="1" t="str">
        <f>"PTPN18"</f>
        <v>PTPN18</v>
      </c>
      <c r="B14319" t="s">
        <v>13</v>
      </c>
      <c r="C14319" t="s">
        <v>26</v>
      </c>
      <c r="D14319" t="s">
        <v>17</v>
      </c>
      <c r="E14319" t="s">
        <v>12</v>
      </c>
      <c r="F14319">
        <v>131113609</v>
      </c>
      <c r="G14319">
        <v>131113642</v>
      </c>
      <c r="H14319">
        <v>131113609</v>
      </c>
      <c r="I14319">
        <v>131113642</v>
      </c>
    </row>
    <row r="14320" spans="1:9" x14ac:dyDescent="0.2">
      <c r="A14320" s="1" t="str">
        <f>"PTPN2"</f>
        <v>PTPN2</v>
      </c>
      <c r="B14320" t="s">
        <v>14</v>
      </c>
      <c r="C14320" t="s">
        <v>43</v>
      </c>
      <c r="D14320" t="s">
        <v>11</v>
      </c>
      <c r="E14320" t="s">
        <v>12</v>
      </c>
      <c r="F14320">
        <v>12884150</v>
      </c>
      <c r="G14320">
        <v>12884250</v>
      </c>
      <c r="H14320">
        <v>12884259</v>
      </c>
      <c r="I14320">
        <v>12884266</v>
      </c>
    </row>
    <row r="14321" spans="1:9" x14ac:dyDescent="0.2">
      <c r="A14321" s="1" t="str">
        <f>"PTPN20A"</f>
        <v>PTPN20A</v>
      </c>
      <c r="B14321" t="s">
        <v>1432</v>
      </c>
      <c r="C14321" t="s">
        <v>15</v>
      </c>
      <c r="D14321" t="s">
        <v>11</v>
      </c>
      <c r="E14321" t="s">
        <v>20</v>
      </c>
      <c r="F14321">
        <v>46641002</v>
      </c>
      <c r="G14321">
        <v>46641002</v>
      </c>
      <c r="H14321">
        <v>46641002</v>
      </c>
      <c r="I14321">
        <v>46641002</v>
      </c>
    </row>
    <row r="14322" spans="1:9" x14ac:dyDescent="0.2">
      <c r="A14322" s="1" t="str">
        <f>"PTPN20A"</f>
        <v>PTPN20A</v>
      </c>
      <c r="B14322" t="s">
        <v>1433</v>
      </c>
      <c r="C14322" t="s">
        <v>15</v>
      </c>
      <c r="D14322" t="s">
        <v>11</v>
      </c>
      <c r="E14322" t="s">
        <v>20</v>
      </c>
      <c r="F14322">
        <v>46620011</v>
      </c>
      <c r="G14322">
        <v>46620011</v>
      </c>
      <c r="H14322">
        <v>46620011</v>
      </c>
      <c r="I14322">
        <v>46620011</v>
      </c>
    </row>
    <row r="14323" spans="1:9" x14ac:dyDescent="0.2">
      <c r="A14323" s="1" t="str">
        <f>"PTPN20A"</f>
        <v>PTPN20A</v>
      </c>
      <c r="B14323" t="s">
        <v>1434</v>
      </c>
      <c r="C14323" t="s">
        <v>15</v>
      </c>
      <c r="D14323" t="s">
        <v>11</v>
      </c>
      <c r="E14323" t="s">
        <v>20</v>
      </c>
      <c r="F14323">
        <v>46640659</v>
      </c>
      <c r="G14323">
        <v>46640659</v>
      </c>
      <c r="H14323">
        <v>46640659</v>
      </c>
      <c r="I14323">
        <v>46640659</v>
      </c>
    </row>
    <row r="14324" spans="1:9" x14ac:dyDescent="0.2">
      <c r="A14324" s="1" t="str">
        <f>"PTPN20B"</f>
        <v>PTPN20B</v>
      </c>
      <c r="B14324" t="s">
        <v>1435</v>
      </c>
      <c r="C14324" t="s">
        <v>15</v>
      </c>
      <c r="D14324" t="s">
        <v>11</v>
      </c>
      <c r="E14324" t="s">
        <v>20</v>
      </c>
      <c r="F14324">
        <v>48827928</v>
      </c>
      <c r="G14324">
        <v>48827928</v>
      </c>
      <c r="H14324">
        <v>48827928</v>
      </c>
      <c r="I14324">
        <v>48827928</v>
      </c>
    </row>
    <row r="14325" spans="1:9" x14ac:dyDescent="0.2">
      <c r="A14325" s="1" t="str">
        <f>"PTPN20B"</f>
        <v>PTPN20B</v>
      </c>
      <c r="B14325" t="s">
        <v>1436</v>
      </c>
      <c r="C14325" t="s">
        <v>15</v>
      </c>
      <c r="D14325" t="s">
        <v>11</v>
      </c>
      <c r="E14325" t="s">
        <v>20</v>
      </c>
      <c r="F14325">
        <v>48806938</v>
      </c>
      <c r="G14325">
        <v>48806938</v>
      </c>
      <c r="H14325">
        <v>48806938</v>
      </c>
      <c r="I14325">
        <v>48806938</v>
      </c>
    </row>
    <row r="14326" spans="1:9" x14ac:dyDescent="0.2">
      <c r="A14326" s="1" t="str">
        <f>"PTPN20B"</f>
        <v>PTPN20B</v>
      </c>
      <c r="B14326" t="s">
        <v>1437</v>
      </c>
      <c r="C14326" t="s">
        <v>15</v>
      </c>
      <c r="D14326" t="s">
        <v>11</v>
      </c>
      <c r="E14326" t="s">
        <v>20</v>
      </c>
      <c r="F14326">
        <v>48827580</v>
      </c>
      <c r="G14326">
        <v>48827580</v>
      </c>
      <c r="H14326">
        <v>48827580</v>
      </c>
      <c r="I14326">
        <v>48827580</v>
      </c>
    </row>
    <row r="14327" spans="1:9" x14ac:dyDescent="0.2">
      <c r="A14327" s="1" t="str">
        <f>"PTPN21"</f>
        <v>PTPN21</v>
      </c>
      <c r="B14327" t="s">
        <v>14</v>
      </c>
      <c r="C14327" t="s">
        <v>41</v>
      </c>
      <c r="D14327" t="s">
        <v>11</v>
      </c>
      <c r="E14327" t="s">
        <v>12</v>
      </c>
      <c r="F14327">
        <v>89021282</v>
      </c>
      <c r="G14327">
        <v>89021363</v>
      </c>
      <c r="H14327">
        <v>89021244</v>
      </c>
      <c r="I14327">
        <v>89021263</v>
      </c>
    </row>
    <row r="14328" spans="1:9" x14ac:dyDescent="0.2">
      <c r="A14328" s="1" t="str">
        <f>"PTPN22"</f>
        <v>PTPN22</v>
      </c>
      <c r="B14328" t="s">
        <v>14</v>
      </c>
      <c r="C14328" t="s">
        <v>19</v>
      </c>
      <c r="D14328" t="s">
        <v>11</v>
      </c>
      <c r="E14328" t="s">
        <v>12</v>
      </c>
      <c r="F14328">
        <v>114414316</v>
      </c>
      <c r="G14328">
        <v>114414407</v>
      </c>
      <c r="H14328">
        <v>114414288</v>
      </c>
      <c r="I14328">
        <v>114414310</v>
      </c>
    </row>
    <row r="14329" spans="1:9" x14ac:dyDescent="0.2">
      <c r="A14329" s="1" t="str">
        <f>"PTPN23"</f>
        <v>PTPN23</v>
      </c>
      <c r="B14329" t="s">
        <v>14</v>
      </c>
      <c r="C14329" t="s">
        <v>22</v>
      </c>
      <c r="D14329" t="s">
        <v>17</v>
      </c>
      <c r="E14329" t="s">
        <v>12</v>
      </c>
      <c r="F14329">
        <v>47422485</v>
      </c>
      <c r="G14329">
        <v>47422562</v>
      </c>
      <c r="H14329">
        <v>47422395</v>
      </c>
      <c r="I14329">
        <v>47422406</v>
      </c>
    </row>
    <row r="14330" spans="1:9" x14ac:dyDescent="0.2">
      <c r="A14330" s="1" t="str">
        <f>"PTPN3"</f>
        <v>PTPN3</v>
      </c>
      <c r="B14330" t="s">
        <v>14</v>
      </c>
      <c r="C14330" t="s">
        <v>24</v>
      </c>
      <c r="D14330" t="s">
        <v>11</v>
      </c>
      <c r="E14330" t="s">
        <v>12</v>
      </c>
      <c r="F14330">
        <v>112260531</v>
      </c>
      <c r="G14330">
        <v>112260598</v>
      </c>
      <c r="H14330">
        <v>112260599</v>
      </c>
      <c r="I14330">
        <v>112260606</v>
      </c>
    </row>
    <row r="14331" spans="1:9" x14ac:dyDescent="0.2">
      <c r="A14331" s="1" t="str">
        <f>"PTPN4"</f>
        <v>PTPN4</v>
      </c>
      <c r="B14331" t="s">
        <v>14</v>
      </c>
      <c r="C14331" t="s">
        <v>26</v>
      </c>
      <c r="D14331" t="s">
        <v>17</v>
      </c>
      <c r="E14331" t="s">
        <v>12</v>
      </c>
      <c r="F14331">
        <v>120517452</v>
      </c>
      <c r="G14331">
        <v>120517509</v>
      </c>
      <c r="H14331">
        <v>120517517</v>
      </c>
      <c r="I14331">
        <v>120517541</v>
      </c>
    </row>
    <row r="14332" spans="1:9" x14ac:dyDescent="0.2">
      <c r="A14332" s="1" t="str">
        <f>"PTPN5"</f>
        <v>PTPN5</v>
      </c>
      <c r="B14332" t="s">
        <v>14</v>
      </c>
      <c r="C14332" t="s">
        <v>27</v>
      </c>
      <c r="D14332" t="s">
        <v>11</v>
      </c>
      <c r="E14332" t="s">
        <v>12</v>
      </c>
      <c r="F14332">
        <v>18813110</v>
      </c>
      <c r="G14332">
        <v>18813193</v>
      </c>
      <c r="H14332">
        <v>18813315</v>
      </c>
      <c r="I14332">
        <v>18813350</v>
      </c>
    </row>
    <row r="14333" spans="1:9" x14ac:dyDescent="0.2">
      <c r="A14333" s="1" t="str">
        <f>"PTPN6"</f>
        <v>PTPN6</v>
      </c>
      <c r="B14333" t="s">
        <v>14</v>
      </c>
      <c r="C14333" t="s">
        <v>16</v>
      </c>
      <c r="D14333" t="s">
        <v>17</v>
      </c>
      <c r="E14333" t="s">
        <v>12</v>
      </c>
      <c r="F14333">
        <v>7060508</v>
      </c>
      <c r="G14333">
        <v>7060609</v>
      </c>
      <c r="H14333">
        <v>7060473</v>
      </c>
      <c r="I14333">
        <v>7060507</v>
      </c>
    </row>
    <row r="14334" spans="1:9" x14ac:dyDescent="0.2">
      <c r="A14334" s="1" t="str">
        <f>"PTPN7"</f>
        <v>PTPN7</v>
      </c>
      <c r="B14334" t="s">
        <v>14</v>
      </c>
      <c r="C14334" t="s">
        <v>19</v>
      </c>
      <c r="D14334" t="s">
        <v>11</v>
      </c>
      <c r="E14334" t="s">
        <v>12</v>
      </c>
      <c r="F14334">
        <v>202129704</v>
      </c>
      <c r="G14334">
        <v>202129762</v>
      </c>
      <c r="H14334">
        <v>202129105</v>
      </c>
      <c r="I14334">
        <v>202129140</v>
      </c>
    </row>
    <row r="14335" spans="1:9" x14ac:dyDescent="0.2">
      <c r="A14335" s="1" t="str">
        <f>"PTPN9"</f>
        <v>PTPN9</v>
      </c>
      <c r="B14335" t="s">
        <v>14</v>
      </c>
      <c r="C14335" t="s">
        <v>25</v>
      </c>
      <c r="D14335" t="s">
        <v>11</v>
      </c>
      <c r="E14335" t="s">
        <v>12</v>
      </c>
      <c r="F14335">
        <v>75871589</v>
      </c>
      <c r="G14335">
        <v>75871676</v>
      </c>
      <c r="H14335">
        <v>75871755</v>
      </c>
      <c r="I14335">
        <v>75871820</v>
      </c>
    </row>
    <row r="14336" spans="1:9" x14ac:dyDescent="0.2">
      <c r="A14336" s="1" t="str">
        <f>"PTPRA"</f>
        <v>PTPRA</v>
      </c>
      <c r="B14336" t="s">
        <v>14</v>
      </c>
      <c r="C14336" t="s">
        <v>29</v>
      </c>
      <c r="D14336" t="s">
        <v>17</v>
      </c>
      <c r="E14336" t="s">
        <v>12</v>
      </c>
      <c r="F14336">
        <v>2854104</v>
      </c>
      <c r="G14336">
        <v>2854245</v>
      </c>
      <c r="H14336">
        <v>2854104</v>
      </c>
      <c r="I14336">
        <v>2854245</v>
      </c>
    </row>
    <row r="14337" spans="1:9" x14ac:dyDescent="0.2">
      <c r="A14337" s="1" t="str">
        <f>"PTPRB"</f>
        <v>PTPRB</v>
      </c>
      <c r="B14337" t="s">
        <v>14</v>
      </c>
      <c r="C14337" t="s">
        <v>16</v>
      </c>
      <c r="D14337" t="s">
        <v>11</v>
      </c>
      <c r="E14337" t="s">
        <v>12</v>
      </c>
      <c r="F14337">
        <v>71031185</v>
      </c>
      <c r="G14337">
        <v>71031215</v>
      </c>
      <c r="H14337">
        <v>71031185</v>
      </c>
      <c r="I14337">
        <v>71031215</v>
      </c>
    </row>
    <row r="14338" spans="1:9" x14ac:dyDescent="0.2">
      <c r="A14338" s="1" t="str">
        <f>"PTPRC"</f>
        <v>PTPRC</v>
      </c>
      <c r="B14338" t="s">
        <v>14</v>
      </c>
      <c r="C14338" t="s">
        <v>19</v>
      </c>
      <c r="D14338" t="s">
        <v>17</v>
      </c>
      <c r="E14338" t="s">
        <v>12</v>
      </c>
      <c r="F14338">
        <v>198608152</v>
      </c>
      <c r="G14338">
        <v>198608247</v>
      </c>
      <c r="H14338">
        <v>198608152</v>
      </c>
      <c r="I14338">
        <v>198608247</v>
      </c>
    </row>
    <row r="14339" spans="1:9" x14ac:dyDescent="0.2">
      <c r="A14339" s="1" t="str">
        <f>"PTPRCAP"</f>
        <v>PTPRCAP</v>
      </c>
      <c r="B14339" t="s">
        <v>14</v>
      </c>
      <c r="C14339" t="s">
        <v>27</v>
      </c>
      <c r="D14339" t="s">
        <v>11</v>
      </c>
      <c r="E14339" t="s">
        <v>12</v>
      </c>
      <c r="F14339">
        <v>67205141</v>
      </c>
      <c r="G14339">
        <v>67205160</v>
      </c>
      <c r="H14339">
        <v>67205141</v>
      </c>
      <c r="I14339">
        <v>67205160</v>
      </c>
    </row>
    <row r="14340" spans="1:9" x14ac:dyDescent="0.2">
      <c r="A14340" s="1" t="str">
        <f>"PTPRD"</f>
        <v>PTPRD</v>
      </c>
      <c r="B14340" t="s">
        <v>1438</v>
      </c>
      <c r="C14340" t="s">
        <v>24</v>
      </c>
      <c r="D14340" t="s">
        <v>11</v>
      </c>
      <c r="E14340" t="s">
        <v>20</v>
      </c>
      <c r="F14340">
        <v>8733948</v>
      </c>
      <c r="G14340">
        <v>8733948</v>
      </c>
      <c r="H14340">
        <v>8733948</v>
      </c>
      <c r="I14340">
        <v>8733948</v>
      </c>
    </row>
    <row r="14341" spans="1:9" x14ac:dyDescent="0.2">
      <c r="A14341" s="1" t="str">
        <f>"PTPRD"</f>
        <v>PTPRD</v>
      </c>
      <c r="B14341" t="s">
        <v>1439</v>
      </c>
      <c r="C14341" t="s">
        <v>24</v>
      </c>
      <c r="D14341" t="s">
        <v>11</v>
      </c>
      <c r="E14341" t="s">
        <v>20</v>
      </c>
      <c r="F14341">
        <v>10033789</v>
      </c>
      <c r="G14341">
        <v>10033789</v>
      </c>
      <c r="H14341">
        <v>10033789</v>
      </c>
      <c r="I14341">
        <v>10033789</v>
      </c>
    </row>
    <row r="14342" spans="1:9" x14ac:dyDescent="0.2">
      <c r="A14342" s="1" t="str">
        <f>"PTPRE"</f>
        <v>PTPRE</v>
      </c>
      <c r="B14342" t="s">
        <v>1440</v>
      </c>
      <c r="C14342" t="s">
        <v>15</v>
      </c>
      <c r="D14342" t="s">
        <v>17</v>
      </c>
      <c r="E14342" t="s">
        <v>35</v>
      </c>
      <c r="F14342">
        <v>129705210</v>
      </c>
      <c r="G14342">
        <v>129705214</v>
      </c>
      <c r="H14342">
        <v>129705447</v>
      </c>
      <c r="I14342">
        <v>129705459</v>
      </c>
    </row>
    <row r="14343" spans="1:9" x14ac:dyDescent="0.2">
      <c r="A14343" s="1" t="str">
        <f>"PTPRE"</f>
        <v>PTPRE</v>
      </c>
      <c r="B14343" t="s">
        <v>1441</v>
      </c>
      <c r="C14343" t="s">
        <v>15</v>
      </c>
      <c r="D14343" t="s">
        <v>17</v>
      </c>
      <c r="E14343" t="s">
        <v>35</v>
      </c>
      <c r="F14343">
        <v>129785536</v>
      </c>
      <c r="G14343">
        <v>129785551</v>
      </c>
      <c r="H14343">
        <v>129785574</v>
      </c>
      <c r="I14343">
        <v>129785580</v>
      </c>
    </row>
    <row r="14344" spans="1:9" x14ac:dyDescent="0.2">
      <c r="A14344" s="1" t="str">
        <f>"PTPRF"</f>
        <v>PTPRF</v>
      </c>
      <c r="B14344" t="s">
        <v>14</v>
      </c>
      <c r="C14344" t="s">
        <v>19</v>
      </c>
      <c r="D14344" t="s">
        <v>17</v>
      </c>
      <c r="E14344" t="s">
        <v>12</v>
      </c>
      <c r="F14344">
        <v>43996518</v>
      </c>
      <c r="G14344">
        <v>43996582</v>
      </c>
      <c r="H14344">
        <v>43996518</v>
      </c>
      <c r="I14344">
        <v>43996582</v>
      </c>
    </row>
    <row r="14345" spans="1:9" x14ac:dyDescent="0.2">
      <c r="A14345" s="1" t="str">
        <f>"PTPRG"</f>
        <v>PTPRG</v>
      </c>
      <c r="B14345" t="s">
        <v>14</v>
      </c>
      <c r="C14345" t="s">
        <v>22</v>
      </c>
      <c r="D14345" t="s">
        <v>17</v>
      </c>
      <c r="E14345" t="s">
        <v>12</v>
      </c>
      <c r="F14345">
        <v>61547236</v>
      </c>
      <c r="G14345">
        <v>61547255</v>
      </c>
      <c r="H14345">
        <v>61547311</v>
      </c>
      <c r="I14345">
        <v>61547329</v>
      </c>
    </row>
    <row r="14346" spans="1:9" x14ac:dyDescent="0.2">
      <c r="A14346" s="1" t="str">
        <f>"PTPRH"</f>
        <v>PTPRH</v>
      </c>
      <c r="B14346" t="s">
        <v>14</v>
      </c>
      <c r="C14346" t="s">
        <v>10</v>
      </c>
      <c r="D14346" t="s">
        <v>11</v>
      </c>
      <c r="E14346" t="s">
        <v>12</v>
      </c>
      <c r="F14346">
        <v>55720862</v>
      </c>
      <c r="G14346">
        <v>55720880</v>
      </c>
      <c r="H14346">
        <v>55720826</v>
      </c>
      <c r="I14346">
        <v>55720849</v>
      </c>
    </row>
    <row r="14347" spans="1:9" x14ac:dyDescent="0.2">
      <c r="A14347" s="1" t="str">
        <f>"PTPRJ"</f>
        <v>PTPRJ</v>
      </c>
      <c r="B14347" t="s">
        <v>14</v>
      </c>
      <c r="C14347" t="s">
        <v>27</v>
      </c>
      <c r="D14347" t="s">
        <v>17</v>
      </c>
      <c r="E14347" t="s">
        <v>12</v>
      </c>
      <c r="F14347">
        <v>48002076</v>
      </c>
      <c r="G14347">
        <v>48002131</v>
      </c>
      <c r="H14347">
        <v>48002224</v>
      </c>
      <c r="I14347">
        <v>48002276</v>
      </c>
    </row>
    <row r="14348" spans="1:9" x14ac:dyDescent="0.2">
      <c r="A14348" s="1" t="str">
        <f>"PTPRK"</f>
        <v>PTPRK</v>
      </c>
      <c r="B14348" t="s">
        <v>9</v>
      </c>
      <c r="C14348" t="s">
        <v>32</v>
      </c>
      <c r="D14348" t="s">
        <v>11</v>
      </c>
      <c r="E14348" t="s">
        <v>12</v>
      </c>
      <c r="F14348">
        <v>128841708</v>
      </c>
      <c r="G14348">
        <v>128841766</v>
      </c>
      <c r="H14348">
        <v>128841708</v>
      </c>
      <c r="I14348">
        <v>128841766</v>
      </c>
    </row>
    <row r="14349" spans="1:9" x14ac:dyDescent="0.2">
      <c r="A14349" s="1" t="str">
        <f>"PTPRK"</f>
        <v>PTPRK</v>
      </c>
      <c r="B14349" t="s">
        <v>13</v>
      </c>
      <c r="C14349" t="s">
        <v>32</v>
      </c>
      <c r="D14349" t="s">
        <v>11</v>
      </c>
      <c r="E14349" t="s">
        <v>12</v>
      </c>
      <c r="F14349">
        <v>128812987</v>
      </c>
      <c r="G14349">
        <v>128813013</v>
      </c>
      <c r="H14349">
        <v>128812987</v>
      </c>
      <c r="I14349">
        <v>128813013</v>
      </c>
    </row>
    <row r="14350" spans="1:9" x14ac:dyDescent="0.2">
      <c r="A14350" s="1" t="str">
        <f>"PTPRM"</f>
        <v>PTPRM</v>
      </c>
      <c r="B14350" t="s">
        <v>14</v>
      </c>
      <c r="C14350" t="s">
        <v>43</v>
      </c>
      <c r="D14350" t="s">
        <v>17</v>
      </c>
      <c r="E14350" t="s">
        <v>12</v>
      </c>
      <c r="F14350">
        <v>7567266</v>
      </c>
      <c r="G14350">
        <v>7567330</v>
      </c>
      <c r="H14350">
        <v>7567266</v>
      </c>
      <c r="I14350">
        <v>7567330</v>
      </c>
    </row>
    <row r="14351" spans="1:9" x14ac:dyDescent="0.2">
      <c r="A14351" s="1" t="str">
        <f>"PTPRN"</f>
        <v>PTPRN</v>
      </c>
      <c r="B14351" t="s">
        <v>14</v>
      </c>
      <c r="C14351" t="s">
        <v>26</v>
      </c>
      <c r="D14351" t="s">
        <v>11</v>
      </c>
      <c r="E14351" t="s">
        <v>12</v>
      </c>
      <c r="F14351">
        <v>220174072</v>
      </c>
      <c r="G14351">
        <v>220174149</v>
      </c>
      <c r="H14351">
        <v>220174166</v>
      </c>
      <c r="I14351">
        <v>220174177</v>
      </c>
    </row>
    <row r="14352" spans="1:9" x14ac:dyDescent="0.2">
      <c r="A14352" s="1" t="str">
        <f>"PTPRN2"</f>
        <v>PTPRN2</v>
      </c>
      <c r="B14352" t="s">
        <v>1442</v>
      </c>
      <c r="C14352" t="s">
        <v>33</v>
      </c>
      <c r="D14352" t="s">
        <v>11</v>
      </c>
      <c r="E14352" t="s">
        <v>35</v>
      </c>
      <c r="F14352">
        <v>158380524</v>
      </c>
      <c r="G14352">
        <v>158380532</v>
      </c>
      <c r="H14352">
        <v>158380402</v>
      </c>
      <c r="I14352">
        <v>158380413</v>
      </c>
    </row>
    <row r="14353" spans="1:9" x14ac:dyDescent="0.2">
      <c r="A14353" s="1" t="str">
        <f>"PTPRO"</f>
        <v>PTPRO</v>
      </c>
      <c r="B14353" t="s">
        <v>14</v>
      </c>
      <c r="C14353" t="s">
        <v>16</v>
      </c>
      <c r="D14353" t="s">
        <v>17</v>
      </c>
      <c r="E14353" t="s">
        <v>12</v>
      </c>
      <c r="F14353">
        <v>15475416</v>
      </c>
      <c r="G14353">
        <v>15475450</v>
      </c>
      <c r="H14353">
        <v>15475416</v>
      </c>
      <c r="I14353">
        <v>15475450</v>
      </c>
    </row>
    <row r="14354" spans="1:9" x14ac:dyDescent="0.2">
      <c r="A14354" s="1" t="str">
        <f>"PTPRQ"</f>
        <v>PTPRQ</v>
      </c>
      <c r="B14354" t="s">
        <v>14</v>
      </c>
      <c r="C14354" t="s">
        <v>16</v>
      </c>
      <c r="D14354" t="s">
        <v>17</v>
      </c>
      <c r="E14354" t="s">
        <v>12</v>
      </c>
      <c r="F14354">
        <v>80838029</v>
      </c>
      <c r="G14354">
        <v>80838066</v>
      </c>
      <c r="H14354">
        <v>80838067</v>
      </c>
      <c r="I14354">
        <v>80838088</v>
      </c>
    </row>
    <row r="14355" spans="1:9" x14ac:dyDescent="0.2">
      <c r="A14355" s="1" t="str">
        <f>"PTPRR"</f>
        <v>PTPRR</v>
      </c>
      <c r="B14355" t="s">
        <v>14</v>
      </c>
      <c r="C14355" t="s">
        <v>16</v>
      </c>
      <c r="D14355" t="s">
        <v>11</v>
      </c>
      <c r="E14355" t="s">
        <v>12</v>
      </c>
      <c r="F14355">
        <v>71314446</v>
      </c>
      <c r="G14355">
        <v>71314530</v>
      </c>
      <c r="H14355">
        <v>71314392</v>
      </c>
      <c r="I14355">
        <v>71314444</v>
      </c>
    </row>
    <row r="14356" spans="1:9" x14ac:dyDescent="0.2">
      <c r="A14356" s="1" t="str">
        <f>"PTPRS"</f>
        <v>PTPRS</v>
      </c>
      <c r="B14356" t="s">
        <v>14</v>
      </c>
      <c r="C14356" t="s">
        <v>10</v>
      </c>
      <c r="D14356" t="s">
        <v>11</v>
      </c>
      <c r="E14356" t="s">
        <v>12</v>
      </c>
      <c r="F14356">
        <v>5340730</v>
      </c>
      <c r="G14356">
        <v>5340859</v>
      </c>
      <c r="H14356">
        <v>5340868</v>
      </c>
      <c r="I14356">
        <v>5340877</v>
      </c>
    </row>
    <row r="14357" spans="1:9" x14ac:dyDescent="0.2">
      <c r="A14357" s="1" t="str">
        <f>"PTPRT"</f>
        <v>PTPRT</v>
      </c>
      <c r="B14357" t="s">
        <v>14</v>
      </c>
      <c r="C14357" t="s">
        <v>29</v>
      </c>
      <c r="D14357" t="s">
        <v>11</v>
      </c>
      <c r="E14357" t="s">
        <v>12</v>
      </c>
      <c r="F14357">
        <v>41818536</v>
      </c>
      <c r="G14357">
        <v>41818552</v>
      </c>
      <c r="H14357">
        <v>41818511</v>
      </c>
      <c r="I14357">
        <v>41818527</v>
      </c>
    </row>
    <row r="14358" spans="1:9" x14ac:dyDescent="0.2">
      <c r="A14358" s="1" t="str">
        <f>"PTPRU"</f>
        <v>PTPRU</v>
      </c>
      <c r="B14358" t="s">
        <v>9</v>
      </c>
      <c r="C14358" t="s">
        <v>19</v>
      </c>
      <c r="D14358" t="s">
        <v>17</v>
      </c>
      <c r="E14358" t="s">
        <v>12</v>
      </c>
      <c r="F14358">
        <v>29563011</v>
      </c>
      <c r="G14358">
        <v>29563053</v>
      </c>
      <c r="H14358">
        <v>29563011</v>
      </c>
      <c r="I14358">
        <v>29563053</v>
      </c>
    </row>
    <row r="14359" spans="1:9" x14ac:dyDescent="0.2">
      <c r="A14359" s="1" t="str">
        <f>"PTPRU"</f>
        <v>PTPRU</v>
      </c>
      <c r="B14359" t="s">
        <v>13</v>
      </c>
      <c r="C14359" t="s">
        <v>19</v>
      </c>
      <c r="D14359" t="s">
        <v>17</v>
      </c>
      <c r="E14359" t="s">
        <v>12</v>
      </c>
      <c r="F14359">
        <v>29586650</v>
      </c>
      <c r="G14359">
        <v>29586690</v>
      </c>
      <c r="H14359">
        <v>29586650</v>
      </c>
      <c r="I14359">
        <v>29586690</v>
      </c>
    </row>
    <row r="14360" spans="1:9" x14ac:dyDescent="0.2">
      <c r="A14360" s="1" t="str">
        <f>"PTPRZ1"</f>
        <v>PTPRZ1</v>
      </c>
      <c r="B14360" t="s">
        <v>14</v>
      </c>
      <c r="C14360" t="s">
        <v>33</v>
      </c>
      <c r="D14360" t="s">
        <v>17</v>
      </c>
      <c r="E14360" t="s">
        <v>12</v>
      </c>
      <c r="F14360">
        <v>121513207</v>
      </c>
      <c r="G14360">
        <v>121513221</v>
      </c>
      <c r="H14360">
        <v>121513171</v>
      </c>
      <c r="I14360">
        <v>121513202</v>
      </c>
    </row>
    <row r="14361" spans="1:9" x14ac:dyDescent="0.2">
      <c r="A14361" s="1" t="str">
        <f>"PTRF"</f>
        <v>PTRF</v>
      </c>
      <c r="B14361" t="s">
        <v>14</v>
      </c>
      <c r="C14361" t="s">
        <v>28</v>
      </c>
      <c r="D14361" t="s">
        <v>11</v>
      </c>
      <c r="E14361" t="s">
        <v>12</v>
      </c>
      <c r="F14361">
        <v>40575264</v>
      </c>
      <c r="G14361">
        <v>40575282</v>
      </c>
      <c r="H14361">
        <v>40575209</v>
      </c>
      <c r="I14361">
        <v>40575222</v>
      </c>
    </row>
    <row r="14362" spans="1:9" x14ac:dyDescent="0.2">
      <c r="A14362" s="1" t="str">
        <f>"PTRH1"</f>
        <v>PTRH1</v>
      </c>
      <c r="B14362" t="s">
        <v>14</v>
      </c>
      <c r="C14362" t="s">
        <v>24</v>
      </c>
      <c r="D14362" t="s">
        <v>11</v>
      </c>
      <c r="E14362" t="s">
        <v>12</v>
      </c>
      <c r="F14362">
        <v>130477912</v>
      </c>
      <c r="G14362">
        <v>130477961</v>
      </c>
      <c r="H14362">
        <v>130477885</v>
      </c>
      <c r="I14362">
        <v>130477910</v>
      </c>
    </row>
    <row r="14363" spans="1:9" x14ac:dyDescent="0.2">
      <c r="A14363" s="1" t="str">
        <f>"PTRH2"</f>
        <v>PTRH2</v>
      </c>
      <c r="B14363" t="s">
        <v>14</v>
      </c>
      <c r="C14363" t="s">
        <v>28</v>
      </c>
      <c r="D14363" t="s">
        <v>11</v>
      </c>
      <c r="E14363" t="s">
        <v>12</v>
      </c>
      <c r="F14363">
        <v>57784755</v>
      </c>
      <c r="G14363">
        <v>57784834</v>
      </c>
      <c r="H14363">
        <v>57784943</v>
      </c>
      <c r="I14363">
        <v>57784961</v>
      </c>
    </row>
    <row r="14364" spans="1:9" x14ac:dyDescent="0.2">
      <c r="A14364" s="1" t="str">
        <f>"PTRHD1"</f>
        <v>PTRHD1</v>
      </c>
      <c r="B14364" t="s">
        <v>14</v>
      </c>
      <c r="C14364" t="s">
        <v>26</v>
      </c>
      <c r="D14364" t="s">
        <v>11</v>
      </c>
      <c r="E14364" t="s">
        <v>12</v>
      </c>
      <c r="F14364">
        <v>25016207</v>
      </c>
      <c r="G14364">
        <v>25016236</v>
      </c>
      <c r="H14364">
        <v>25016254</v>
      </c>
      <c r="I14364">
        <v>25016264</v>
      </c>
    </row>
    <row r="14365" spans="1:9" x14ac:dyDescent="0.2">
      <c r="A14365" s="1" t="str">
        <f>"PTS"</f>
        <v>PTS</v>
      </c>
      <c r="B14365" t="s">
        <v>14</v>
      </c>
      <c r="C14365" t="s">
        <v>27</v>
      </c>
      <c r="D14365" t="s">
        <v>17</v>
      </c>
      <c r="E14365" t="s">
        <v>12</v>
      </c>
      <c r="F14365">
        <v>112097069</v>
      </c>
      <c r="G14365">
        <v>112097162</v>
      </c>
      <c r="H14365">
        <v>112097069</v>
      </c>
      <c r="I14365">
        <v>112097162</v>
      </c>
    </row>
    <row r="14366" spans="1:9" x14ac:dyDescent="0.2">
      <c r="A14366" s="1" t="str">
        <f>"PTTG1"</f>
        <v>PTTG1</v>
      </c>
      <c r="B14366" t="s">
        <v>14</v>
      </c>
      <c r="C14366" t="s">
        <v>46</v>
      </c>
      <c r="D14366" t="s">
        <v>17</v>
      </c>
      <c r="E14366" t="s">
        <v>12</v>
      </c>
      <c r="F14366">
        <v>159848854</v>
      </c>
      <c r="G14366">
        <v>159848878</v>
      </c>
      <c r="H14366">
        <v>159848807</v>
      </c>
      <c r="I14366">
        <v>159848847</v>
      </c>
    </row>
    <row r="14367" spans="1:9" x14ac:dyDescent="0.2">
      <c r="A14367" s="1" t="str">
        <f>"PTTG1IP"</f>
        <v>PTTG1IP</v>
      </c>
      <c r="B14367" t="s">
        <v>14</v>
      </c>
      <c r="C14367" t="s">
        <v>42</v>
      </c>
      <c r="D14367" t="s">
        <v>11</v>
      </c>
      <c r="E14367" t="s">
        <v>12</v>
      </c>
      <c r="F14367">
        <v>46293586</v>
      </c>
      <c r="G14367">
        <v>46293641</v>
      </c>
      <c r="H14367">
        <v>46293545</v>
      </c>
      <c r="I14367">
        <v>46293584</v>
      </c>
    </row>
    <row r="14368" spans="1:9" x14ac:dyDescent="0.2">
      <c r="A14368" s="1" t="str">
        <f>"PTTG2"</f>
        <v>PTTG2</v>
      </c>
      <c r="B14368" t="s">
        <v>14</v>
      </c>
      <c r="C14368" t="s">
        <v>23</v>
      </c>
      <c r="D14368" t="s">
        <v>17</v>
      </c>
      <c r="E14368" t="s">
        <v>12</v>
      </c>
      <c r="F14368">
        <v>37962018</v>
      </c>
      <c r="G14368">
        <v>37962027</v>
      </c>
      <c r="H14368">
        <v>37962018</v>
      </c>
      <c r="I14368">
        <v>37962027</v>
      </c>
    </row>
    <row r="14369" spans="1:9" x14ac:dyDescent="0.2">
      <c r="A14369" s="1" t="str">
        <f>"PTX3"</f>
        <v>PTX3</v>
      </c>
      <c r="B14369" t="s">
        <v>14</v>
      </c>
      <c r="C14369" t="s">
        <v>22</v>
      </c>
      <c r="D14369" t="s">
        <v>17</v>
      </c>
      <c r="E14369" t="s">
        <v>12</v>
      </c>
      <c r="F14369">
        <v>157154631</v>
      </c>
      <c r="G14369">
        <v>157154645</v>
      </c>
      <c r="H14369">
        <v>157154631</v>
      </c>
      <c r="I14369">
        <v>157154645</v>
      </c>
    </row>
    <row r="14370" spans="1:9" x14ac:dyDescent="0.2">
      <c r="A14370" s="1" t="str">
        <f>"PTX4"</f>
        <v>PTX4</v>
      </c>
      <c r="B14370" t="s">
        <v>14</v>
      </c>
      <c r="C14370" t="s">
        <v>31</v>
      </c>
      <c r="D14370" t="s">
        <v>11</v>
      </c>
      <c r="E14370" t="s">
        <v>12</v>
      </c>
      <c r="F14370">
        <v>1538765</v>
      </c>
      <c r="G14370">
        <v>1538796</v>
      </c>
      <c r="H14370">
        <v>1538765</v>
      </c>
      <c r="I14370">
        <v>1538796</v>
      </c>
    </row>
    <row r="14371" spans="1:9" x14ac:dyDescent="0.2">
      <c r="A14371" s="1" t="str">
        <f>"PUF60"</f>
        <v>PUF60</v>
      </c>
      <c r="B14371" t="s">
        <v>14</v>
      </c>
      <c r="C14371" t="s">
        <v>30</v>
      </c>
      <c r="D14371" t="s">
        <v>11</v>
      </c>
      <c r="E14371" t="s">
        <v>12</v>
      </c>
      <c r="F14371">
        <v>144911476</v>
      </c>
      <c r="G14371">
        <v>144911517</v>
      </c>
      <c r="H14371">
        <v>144911531</v>
      </c>
      <c r="I14371">
        <v>144911544</v>
      </c>
    </row>
    <row r="14372" spans="1:9" x14ac:dyDescent="0.2">
      <c r="A14372" s="1" t="str">
        <f>"PUM1"</f>
        <v>PUM1</v>
      </c>
      <c r="B14372" t="s">
        <v>14</v>
      </c>
      <c r="C14372" t="s">
        <v>19</v>
      </c>
      <c r="D14372" t="s">
        <v>11</v>
      </c>
      <c r="E14372" t="s">
        <v>12</v>
      </c>
      <c r="F14372">
        <v>31538517</v>
      </c>
      <c r="G14372">
        <v>31538576</v>
      </c>
      <c r="H14372">
        <v>31538734</v>
      </c>
      <c r="I14372">
        <v>31538778</v>
      </c>
    </row>
    <row r="14373" spans="1:9" x14ac:dyDescent="0.2">
      <c r="A14373" s="1" t="str">
        <f>"PUM2"</f>
        <v>PUM2</v>
      </c>
      <c r="B14373" t="s">
        <v>14</v>
      </c>
      <c r="C14373" t="s">
        <v>26</v>
      </c>
      <c r="D14373" t="s">
        <v>11</v>
      </c>
      <c r="E14373" t="s">
        <v>12</v>
      </c>
      <c r="F14373">
        <v>20550556</v>
      </c>
      <c r="G14373">
        <v>20550614</v>
      </c>
      <c r="H14373">
        <v>20550416</v>
      </c>
      <c r="I14373">
        <v>20550443</v>
      </c>
    </row>
    <row r="14374" spans="1:9" x14ac:dyDescent="0.2">
      <c r="A14374" s="1" t="str">
        <f>"PURA"</f>
        <v>PURA</v>
      </c>
      <c r="B14374" t="s">
        <v>9</v>
      </c>
      <c r="C14374" t="s">
        <v>46</v>
      </c>
      <c r="D14374" t="s">
        <v>17</v>
      </c>
      <c r="E14374" t="s">
        <v>12</v>
      </c>
      <c r="F14374">
        <v>139487363</v>
      </c>
      <c r="G14374">
        <v>139487444</v>
      </c>
      <c r="H14374">
        <v>139487363</v>
      </c>
      <c r="I14374">
        <v>139487444</v>
      </c>
    </row>
    <row r="14375" spans="1:9" x14ac:dyDescent="0.2">
      <c r="A14375" s="1" t="str">
        <f>"PURA"</f>
        <v>PURA</v>
      </c>
      <c r="B14375" t="s">
        <v>13</v>
      </c>
      <c r="C14375" t="s">
        <v>46</v>
      </c>
      <c r="D14375" t="s">
        <v>17</v>
      </c>
      <c r="E14375" t="s">
        <v>12</v>
      </c>
      <c r="F14375">
        <v>139493665</v>
      </c>
      <c r="G14375">
        <v>139493718</v>
      </c>
      <c r="H14375">
        <v>139493665</v>
      </c>
      <c r="I14375">
        <v>139493718</v>
      </c>
    </row>
    <row r="14376" spans="1:9" x14ac:dyDescent="0.2">
      <c r="A14376" s="1" t="str">
        <f>"PURB"</f>
        <v>PURB</v>
      </c>
      <c r="B14376" t="s">
        <v>14</v>
      </c>
      <c r="C14376" t="s">
        <v>33</v>
      </c>
      <c r="D14376" t="s">
        <v>11</v>
      </c>
      <c r="E14376" t="s">
        <v>12</v>
      </c>
      <c r="F14376">
        <v>44925044</v>
      </c>
      <c r="G14376">
        <v>44925156</v>
      </c>
      <c r="H14376">
        <v>44924939</v>
      </c>
      <c r="I14376">
        <v>44924993</v>
      </c>
    </row>
    <row r="14377" spans="1:9" x14ac:dyDescent="0.2">
      <c r="A14377" s="1" t="str">
        <f>"PURG"</f>
        <v>PURG</v>
      </c>
      <c r="B14377" t="s">
        <v>14</v>
      </c>
      <c r="C14377" t="s">
        <v>30</v>
      </c>
      <c r="D14377" t="s">
        <v>11</v>
      </c>
      <c r="E14377" t="s">
        <v>12</v>
      </c>
      <c r="F14377">
        <v>30890810</v>
      </c>
      <c r="G14377">
        <v>30890880</v>
      </c>
      <c r="H14377">
        <v>30890810</v>
      </c>
      <c r="I14377">
        <v>30890880</v>
      </c>
    </row>
    <row r="14378" spans="1:9" x14ac:dyDescent="0.2">
      <c r="A14378" s="1" t="str">
        <f>"PUS1"</f>
        <v>PUS1</v>
      </c>
      <c r="B14378" t="s">
        <v>14</v>
      </c>
      <c r="C14378" t="s">
        <v>16</v>
      </c>
      <c r="D14378" t="s">
        <v>17</v>
      </c>
      <c r="E14378" t="s">
        <v>12</v>
      </c>
      <c r="F14378">
        <v>132413804</v>
      </c>
      <c r="G14378">
        <v>132413830</v>
      </c>
      <c r="H14378">
        <v>132413765</v>
      </c>
      <c r="I14378">
        <v>132413779</v>
      </c>
    </row>
    <row r="14379" spans="1:9" x14ac:dyDescent="0.2">
      <c r="A14379" s="1" t="str">
        <f>"PUS10"</f>
        <v>PUS10</v>
      </c>
      <c r="B14379" t="s">
        <v>14</v>
      </c>
      <c r="C14379" t="s">
        <v>26</v>
      </c>
      <c r="D14379" t="s">
        <v>11</v>
      </c>
      <c r="E14379" t="s">
        <v>12</v>
      </c>
      <c r="F14379">
        <v>61244339</v>
      </c>
      <c r="G14379">
        <v>61244364</v>
      </c>
      <c r="H14379">
        <v>61244308</v>
      </c>
      <c r="I14379">
        <v>61244337</v>
      </c>
    </row>
    <row r="14380" spans="1:9" x14ac:dyDescent="0.2">
      <c r="A14380" s="1" t="str">
        <f>"PUS3"</f>
        <v>PUS3</v>
      </c>
      <c r="B14380" t="s">
        <v>14</v>
      </c>
      <c r="C14380" t="s">
        <v>27</v>
      </c>
      <c r="D14380" t="s">
        <v>11</v>
      </c>
      <c r="E14380" t="s">
        <v>12</v>
      </c>
      <c r="F14380">
        <v>125773085</v>
      </c>
      <c r="G14380">
        <v>125773122</v>
      </c>
      <c r="H14380">
        <v>125773085</v>
      </c>
      <c r="I14380">
        <v>125773122</v>
      </c>
    </row>
    <row r="14381" spans="1:9" x14ac:dyDescent="0.2">
      <c r="A14381" s="1" t="str">
        <f>"PUS7"</f>
        <v>PUS7</v>
      </c>
      <c r="B14381" t="s">
        <v>14</v>
      </c>
      <c r="C14381" t="s">
        <v>33</v>
      </c>
      <c r="D14381" t="s">
        <v>11</v>
      </c>
      <c r="E14381" t="s">
        <v>12</v>
      </c>
      <c r="F14381">
        <v>105162652</v>
      </c>
      <c r="G14381">
        <v>105162709</v>
      </c>
      <c r="H14381">
        <v>105162711</v>
      </c>
      <c r="I14381">
        <v>105162726</v>
      </c>
    </row>
    <row r="14382" spans="1:9" x14ac:dyDescent="0.2">
      <c r="A14382" s="1" t="str">
        <f>"PUS7L"</f>
        <v>PUS7L</v>
      </c>
      <c r="B14382" t="s">
        <v>14</v>
      </c>
      <c r="C14382" t="s">
        <v>16</v>
      </c>
      <c r="D14382" t="s">
        <v>11</v>
      </c>
      <c r="E14382" t="s">
        <v>12</v>
      </c>
      <c r="F14382">
        <v>44152551</v>
      </c>
      <c r="G14382">
        <v>44152600</v>
      </c>
      <c r="H14382">
        <v>44152515</v>
      </c>
      <c r="I14382">
        <v>44152534</v>
      </c>
    </row>
    <row r="14383" spans="1:9" x14ac:dyDescent="0.2">
      <c r="A14383" s="1" t="str">
        <f>"PUSL1"</f>
        <v>PUSL1</v>
      </c>
      <c r="B14383" t="s">
        <v>14</v>
      </c>
      <c r="C14383" t="s">
        <v>19</v>
      </c>
      <c r="D14383" t="s">
        <v>17</v>
      </c>
      <c r="E14383" t="s">
        <v>12</v>
      </c>
      <c r="F14383">
        <v>1243966</v>
      </c>
      <c r="G14383">
        <v>1244033</v>
      </c>
      <c r="H14383">
        <v>1243941</v>
      </c>
      <c r="I14383">
        <v>1243959</v>
      </c>
    </row>
    <row r="14384" spans="1:9" x14ac:dyDescent="0.2">
      <c r="A14384" s="1" t="str">
        <f>"PVALB"</f>
        <v>PVALB</v>
      </c>
      <c r="B14384" t="s">
        <v>14</v>
      </c>
      <c r="C14384" t="s">
        <v>21</v>
      </c>
      <c r="D14384" t="s">
        <v>11</v>
      </c>
      <c r="E14384" t="s">
        <v>12</v>
      </c>
      <c r="F14384">
        <v>37213052</v>
      </c>
      <c r="G14384">
        <v>37213086</v>
      </c>
      <c r="H14384">
        <v>37213092</v>
      </c>
      <c r="I14384">
        <v>37213101</v>
      </c>
    </row>
    <row r="14385" spans="1:9" x14ac:dyDescent="0.2">
      <c r="A14385" s="1" t="str">
        <f>"PVR"</f>
        <v>PVR</v>
      </c>
      <c r="B14385" t="s">
        <v>14</v>
      </c>
      <c r="C14385" t="s">
        <v>10</v>
      </c>
      <c r="D14385" t="s">
        <v>17</v>
      </c>
      <c r="E14385" t="s">
        <v>12</v>
      </c>
      <c r="F14385">
        <v>45147143</v>
      </c>
      <c r="G14385">
        <v>45147223</v>
      </c>
      <c r="H14385">
        <v>45147235</v>
      </c>
      <c r="I14385">
        <v>45147246</v>
      </c>
    </row>
    <row r="14386" spans="1:9" x14ac:dyDescent="0.2">
      <c r="A14386" s="1" t="str">
        <f>"PVRIG"</f>
        <v>PVRIG</v>
      </c>
      <c r="B14386" t="s">
        <v>14</v>
      </c>
      <c r="C14386" t="s">
        <v>33</v>
      </c>
      <c r="D14386" t="s">
        <v>17</v>
      </c>
      <c r="E14386" t="s">
        <v>12</v>
      </c>
      <c r="F14386">
        <v>99817566</v>
      </c>
      <c r="G14386">
        <v>99817579</v>
      </c>
      <c r="H14386">
        <v>99816929</v>
      </c>
      <c r="I14386">
        <v>99816974</v>
      </c>
    </row>
    <row r="14387" spans="1:9" x14ac:dyDescent="0.2">
      <c r="A14387" s="1" t="str">
        <f>"PVRL1"</f>
        <v>PVRL1</v>
      </c>
      <c r="B14387" t="s">
        <v>14</v>
      </c>
      <c r="C14387" t="s">
        <v>27</v>
      </c>
      <c r="D14387" t="s">
        <v>11</v>
      </c>
      <c r="E14387" t="s">
        <v>12</v>
      </c>
      <c r="F14387">
        <v>119599869</v>
      </c>
      <c r="G14387">
        <v>119599934</v>
      </c>
      <c r="H14387">
        <v>119599869</v>
      </c>
      <c r="I14387">
        <v>119599934</v>
      </c>
    </row>
    <row r="14388" spans="1:9" x14ac:dyDescent="0.2">
      <c r="A14388" s="1" t="str">
        <f>"PVRL2"</f>
        <v>PVRL2</v>
      </c>
      <c r="B14388" t="s">
        <v>14</v>
      </c>
      <c r="C14388" t="s">
        <v>10</v>
      </c>
      <c r="D14388" t="s">
        <v>17</v>
      </c>
      <c r="E14388" t="s">
        <v>12</v>
      </c>
      <c r="F14388">
        <v>45349540</v>
      </c>
      <c r="G14388">
        <v>45349625</v>
      </c>
      <c r="H14388">
        <v>45349630</v>
      </c>
      <c r="I14388">
        <v>45349641</v>
      </c>
    </row>
    <row r="14389" spans="1:9" x14ac:dyDescent="0.2">
      <c r="A14389" s="1" t="str">
        <f>"PVRL3"</f>
        <v>PVRL3</v>
      </c>
      <c r="B14389" t="s">
        <v>14</v>
      </c>
      <c r="C14389" t="s">
        <v>22</v>
      </c>
      <c r="D14389" t="s">
        <v>17</v>
      </c>
      <c r="E14389" t="s">
        <v>12</v>
      </c>
      <c r="F14389">
        <v>110790620</v>
      </c>
      <c r="G14389">
        <v>110790683</v>
      </c>
      <c r="H14389">
        <v>110790715</v>
      </c>
      <c r="I14389">
        <v>110790728</v>
      </c>
    </row>
    <row r="14390" spans="1:9" x14ac:dyDescent="0.2">
      <c r="A14390" s="1" t="str">
        <f>"PVRL4"</f>
        <v>PVRL4</v>
      </c>
      <c r="B14390" t="s">
        <v>14</v>
      </c>
      <c r="C14390" t="s">
        <v>19</v>
      </c>
      <c r="D14390" t="s">
        <v>11</v>
      </c>
      <c r="E14390" t="s">
        <v>12</v>
      </c>
      <c r="F14390">
        <v>161059325</v>
      </c>
      <c r="G14390">
        <v>161059361</v>
      </c>
      <c r="H14390">
        <v>161059325</v>
      </c>
      <c r="I14390">
        <v>161059361</v>
      </c>
    </row>
    <row r="14391" spans="1:9" x14ac:dyDescent="0.2">
      <c r="A14391" s="1" t="str">
        <f>"PWP1"</f>
        <v>PWP1</v>
      </c>
      <c r="B14391" t="s">
        <v>14</v>
      </c>
      <c r="C14391" t="s">
        <v>16</v>
      </c>
      <c r="D14391" t="s">
        <v>17</v>
      </c>
      <c r="E14391" t="s">
        <v>12</v>
      </c>
      <c r="F14391">
        <v>108079536</v>
      </c>
      <c r="G14391">
        <v>108079598</v>
      </c>
      <c r="H14391">
        <v>108079605</v>
      </c>
      <c r="I14391">
        <v>108079616</v>
      </c>
    </row>
    <row r="14392" spans="1:9" x14ac:dyDescent="0.2">
      <c r="A14392" s="1" t="str">
        <f>"PWP2"</f>
        <v>PWP2</v>
      </c>
      <c r="B14392" t="s">
        <v>14</v>
      </c>
      <c r="C14392" t="s">
        <v>42</v>
      </c>
      <c r="D14392" t="s">
        <v>17</v>
      </c>
      <c r="E14392" t="s">
        <v>12</v>
      </c>
      <c r="F14392">
        <v>45527186</v>
      </c>
      <c r="G14392">
        <v>45527258</v>
      </c>
      <c r="H14392">
        <v>45527259</v>
      </c>
      <c r="I14392">
        <v>45527285</v>
      </c>
    </row>
    <row r="14393" spans="1:9" x14ac:dyDescent="0.2">
      <c r="A14393" s="1" t="str">
        <f>"PWWP2A"</f>
        <v>PWWP2A</v>
      </c>
      <c r="B14393" t="s">
        <v>14</v>
      </c>
      <c r="C14393" t="s">
        <v>46</v>
      </c>
      <c r="D14393" t="s">
        <v>11</v>
      </c>
      <c r="E14393" t="s">
        <v>12</v>
      </c>
      <c r="F14393">
        <v>159546396</v>
      </c>
      <c r="G14393">
        <v>159546470</v>
      </c>
      <c r="H14393">
        <v>159546396</v>
      </c>
      <c r="I14393">
        <v>159546470</v>
      </c>
    </row>
    <row r="14394" spans="1:9" x14ac:dyDescent="0.2">
      <c r="A14394" s="1" t="str">
        <f>"PWWP2B"</f>
        <v>PWWP2B</v>
      </c>
      <c r="B14394" t="s">
        <v>9</v>
      </c>
      <c r="C14394" t="s">
        <v>15</v>
      </c>
      <c r="D14394" t="s">
        <v>17</v>
      </c>
      <c r="E14394" t="s">
        <v>12</v>
      </c>
      <c r="F14394">
        <v>134210689</v>
      </c>
      <c r="G14394">
        <v>134210753</v>
      </c>
      <c r="H14394">
        <v>134210689</v>
      </c>
      <c r="I14394">
        <v>134210753</v>
      </c>
    </row>
    <row r="14395" spans="1:9" x14ac:dyDescent="0.2">
      <c r="A14395" s="1" t="str">
        <f>"PWWP2B"</f>
        <v>PWWP2B</v>
      </c>
      <c r="B14395" t="s">
        <v>13</v>
      </c>
      <c r="C14395" t="s">
        <v>15</v>
      </c>
      <c r="D14395" t="s">
        <v>17</v>
      </c>
      <c r="E14395" t="s">
        <v>12</v>
      </c>
      <c r="F14395">
        <v>134228643</v>
      </c>
      <c r="G14395">
        <v>134228707</v>
      </c>
      <c r="H14395">
        <v>134228643</v>
      </c>
      <c r="I14395">
        <v>134228707</v>
      </c>
    </row>
    <row r="14396" spans="1:9" x14ac:dyDescent="0.2">
      <c r="A14396" s="1" t="str">
        <f>"PXDC1"</f>
        <v>PXDC1</v>
      </c>
      <c r="B14396" t="s">
        <v>14</v>
      </c>
      <c r="C14396" t="s">
        <v>32</v>
      </c>
      <c r="D14396" t="s">
        <v>11</v>
      </c>
      <c r="E14396" t="s">
        <v>12</v>
      </c>
      <c r="F14396">
        <v>3751937</v>
      </c>
      <c r="G14396">
        <v>3751954</v>
      </c>
      <c r="H14396">
        <v>3752222</v>
      </c>
      <c r="I14396">
        <v>3752255</v>
      </c>
    </row>
    <row r="14397" spans="1:9" x14ac:dyDescent="0.2">
      <c r="A14397" s="1" t="str">
        <f>"PXDN"</f>
        <v>PXDN</v>
      </c>
      <c r="B14397" t="s">
        <v>14</v>
      </c>
      <c r="C14397" t="s">
        <v>26</v>
      </c>
      <c r="D14397" t="s">
        <v>11</v>
      </c>
      <c r="E14397" t="s">
        <v>12</v>
      </c>
      <c r="F14397">
        <v>1748276</v>
      </c>
      <c r="G14397">
        <v>1748295</v>
      </c>
      <c r="H14397">
        <v>1748302</v>
      </c>
      <c r="I14397">
        <v>1748326</v>
      </c>
    </row>
    <row r="14398" spans="1:9" x14ac:dyDescent="0.2">
      <c r="A14398" s="1" t="str">
        <f>"PXDNL"</f>
        <v>PXDNL</v>
      </c>
      <c r="B14398" t="s">
        <v>14</v>
      </c>
      <c r="C14398" t="s">
        <v>30</v>
      </c>
      <c r="D14398" t="s">
        <v>11</v>
      </c>
      <c r="E14398" t="s">
        <v>12</v>
      </c>
      <c r="F14398">
        <v>52721975</v>
      </c>
      <c r="G14398">
        <v>52722011</v>
      </c>
      <c r="H14398">
        <v>52721907</v>
      </c>
      <c r="I14398">
        <v>52721937</v>
      </c>
    </row>
    <row r="14399" spans="1:9" x14ac:dyDescent="0.2">
      <c r="A14399" s="1" t="str">
        <f>"PXK"</f>
        <v>PXK</v>
      </c>
      <c r="B14399" t="s">
        <v>14</v>
      </c>
      <c r="C14399" t="s">
        <v>22</v>
      </c>
      <c r="D14399" t="s">
        <v>17</v>
      </c>
      <c r="E14399" t="s">
        <v>12</v>
      </c>
      <c r="F14399">
        <v>58318594</v>
      </c>
      <c r="G14399">
        <v>58318694</v>
      </c>
      <c r="H14399">
        <v>58318701</v>
      </c>
      <c r="I14399">
        <v>58318707</v>
      </c>
    </row>
    <row r="14400" spans="1:9" x14ac:dyDescent="0.2">
      <c r="A14400" s="1" t="str">
        <f>"PXMP2"</f>
        <v>PXMP2</v>
      </c>
      <c r="B14400" t="s">
        <v>14</v>
      </c>
      <c r="C14400" t="s">
        <v>16</v>
      </c>
      <c r="D14400" t="s">
        <v>17</v>
      </c>
      <c r="E14400" t="s">
        <v>12</v>
      </c>
      <c r="F14400">
        <v>133264156</v>
      </c>
      <c r="G14400">
        <v>133264257</v>
      </c>
      <c r="H14400">
        <v>133264102</v>
      </c>
      <c r="I14400">
        <v>133264113</v>
      </c>
    </row>
    <row r="14401" spans="1:9" x14ac:dyDescent="0.2">
      <c r="A14401" s="1" t="str">
        <f>"PXMP4"</f>
        <v>PXMP4</v>
      </c>
      <c r="B14401" t="s">
        <v>14</v>
      </c>
      <c r="C14401" t="s">
        <v>29</v>
      </c>
      <c r="D14401" t="s">
        <v>11</v>
      </c>
      <c r="E14401" t="s">
        <v>12</v>
      </c>
      <c r="F14401">
        <v>32308028</v>
      </c>
      <c r="G14401">
        <v>32308121</v>
      </c>
      <c r="H14401">
        <v>32308130</v>
      </c>
      <c r="I14401">
        <v>32308141</v>
      </c>
    </row>
    <row r="14402" spans="1:9" x14ac:dyDescent="0.2">
      <c r="A14402" s="1" t="str">
        <f>"PXN"</f>
        <v>PXN</v>
      </c>
      <c r="B14402" t="s">
        <v>14</v>
      </c>
      <c r="C14402" t="s">
        <v>16</v>
      </c>
      <c r="D14402" t="s">
        <v>11</v>
      </c>
      <c r="E14402" t="s">
        <v>12</v>
      </c>
      <c r="F14402">
        <v>120703523</v>
      </c>
      <c r="G14402">
        <v>120703548</v>
      </c>
      <c r="H14402">
        <v>120703489</v>
      </c>
      <c r="I14402">
        <v>120703502</v>
      </c>
    </row>
    <row r="14403" spans="1:9" x14ac:dyDescent="0.2">
      <c r="A14403" s="1" t="str">
        <f>"PXT1"</f>
        <v>PXT1</v>
      </c>
      <c r="B14403" t="s">
        <v>14</v>
      </c>
      <c r="C14403" t="s">
        <v>32</v>
      </c>
      <c r="D14403" t="s">
        <v>11</v>
      </c>
      <c r="E14403" t="s">
        <v>12</v>
      </c>
      <c r="F14403">
        <v>36410620</v>
      </c>
      <c r="G14403">
        <v>36410636</v>
      </c>
      <c r="H14403">
        <v>36410643</v>
      </c>
      <c r="I14403">
        <v>36410660</v>
      </c>
    </row>
    <row r="14404" spans="1:9" x14ac:dyDescent="0.2">
      <c r="A14404" s="1" t="str">
        <f>"PYCARD"</f>
        <v>PYCARD</v>
      </c>
      <c r="B14404" t="s">
        <v>14</v>
      </c>
      <c r="C14404" t="s">
        <v>31</v>
      </c>
      <c r="D14404" t="s">
        <v>11</v>
      </c>
      <c r="E14404" t="s">
        <v>12</v>
      </c>
      <c r="F14404">
        <v>31214051</v>
      </c>
      <c r="G14404">
        <v>31214093</v>
      </c>
      <c r="H14404">
        <v>31214037</v>
      </c>
      <c r="I14404">
        <v>31214050</v>
      </c>
    </row>
    <row r="14405" spans="1:9" x14ac:dyDescent="0.2">
      <c r="A14405" s="1" t="str">
        <f>"PYCR1"</f>
        <v>PYCR1</v>
      </c>
      <c r="B14405" t="s">
        <v>14</v>
      </c>
      <c r="C14405" t="s">
        <v>28</v>
      </c>
      <c r="D14405" t="s">
        <v>11</v>
      </c>
      <c r="E14405" t="s">
        <v>12</v>
      </c>
      <c r="F14405">
        <v>79895154</v>
      </c>
      <c r="G14405">
        <v>79895209</v>
      </c>
      <c r="H14405">
        <v>79895097</v>
      </c>
      <c r="I14405">
        <v>79895150</v>
      </c>
    </row>
    <row r="14406" spans="1:9" x14ac:dyDescent="0.2">
      <c r="A14406" s="1" t="str">
        <f>"PYCR2"</f>
        <v>PYCR2</v>
      </c>
      <c r="B14406" t="s">
        <v>14</v>
      </c>
      <c r="C14406" t="s">
        <v>19</v>
      </c>
      <c r="D14406" t="s">
        <v>11</v>
      </c>
      <c r="E14406" t="s">
        <v>12</v>
      </c>
      <c r="F14406">
        <v>226111929</v>
      </c>
      <c r="G14406">
        <v>226112026</v>
      </c>
      <c r="H14406">
        <v>226111835</v>
      </c>
      <c r="I14406">
        <v>226111879</v>
      </c>
    </row>
    <row r="14407" spans="1:9" x14ac:dyDescent="0.2">
      <c r="A14407" s="1" t="str">
        <f>"PYCRL"</f>
        <v>PYCRL</v>
      </c>
      <c r="B14407" t="s">
        <v>14</v>
      </c>
      <c r="C14407" t="s">
        <v>30</v>
      </c>
      <c r="D14407" t="s">
        <v>11</v>
      </c>
      <c r="E14407" t="s">
        <v>12</v>
      </c>
      <c r="F14407">
        <v>144691718</v>
      </c>
      <c r="G14407">
        <v>144691753</v>
      </c>
      <c r="H14407">
        <v>144691718</v>
      </c>
      <c r="I14407">
        <v>144691753</v>
      </c>
    </row>
    <row r="14408" spans="1:9" x14ac:dyDescent="0.2">
      <c r="A14408" s="1" t="str">
        <f>"PYDC1"</f>
        <v>PYDC1</v>
      </c>
      <c r="B14408" t="s">
        <v>14</v>
      </c>
      <c r="C14408" t="s">
        <v>31</v>
      </c>
      <c r="D14408" t="s">
        <v>11</v>
      </c>
      <c r="E14408" t="s">
        <v>12</v>
      </c>
      <c r="F14408">
        <v>31228449</v>
      </c>
      <c r="G14408">
        <v>31228460</v>
      </c>
      <c r="H14408">
        <v>31228418</v>
      </c>
      <c r="I14408">
        <v>31228428</v>
      </c>
    </row>
    <row r="14409" spans="1:9" x14ac:dyDescent="0.2">
      <c r="A14409" s="1" t="str">
        <f>"PYDC2"</f>
        <v>PYDC2</v>
      </c>
      <c r="B14409" t="s">
        <v>1443</v>
      </c>
      <c r="C14409" t="s">
        <v>22</v>
      </c>
      <c r="D14409" t="s">
        <v>17</v>
      </c>
      <c r="E14409" t="s">
        <v>20</v>
      </c>
      <c r="F14409">
        <v>191178951</v>
      </c>
      <c r="G14409">
        <v>191178951</v>
      </c>
      <c r="H14409">
        <v>191178951</v>
      </c>
      <c r="I14409">
        <v>191178951</v>
      </c>
    </row>
    <row r="14410" spans="1:9" x14ac:dyDescent="0.2">
      <c r="A14410" s="1" t="str">
        <f>"PYGB"</f>
        <v>PYGB</v>
      </c>
      <c r="B14410" t="s">
        <v>14</v>
      </c>
      <c r="C14410" t="s">
        <v>29</v>
      </c>
      <c r="D14410" t="s">
        <v>17</v>
      </c>
      <c r="E14410" t="s">
        <v>12</v>
      </c>
      <c r="F14410">
        <v>25228669</v>
      </c>
      <c r="G14410">
        <v>25228751</v>
      </c>
      <c r="H14410">
        <v>25228962</v>
      </c>
      <c r="I14410">
        <v>25228987</v>
      </c>
    </row>
    <row r="14411" spans="1:9" x14ac:dyDescent="0.2">
      <c r="A14411" s="1" t="str">
        <f>"PYGL"</f>
        <v>PYGL</v>
      </c>
      <c r="B14411" t="s">
        <v>14</v>
      </c>
      <c r="C14411" t="s">
        <v>41</v>
      </c>
      <c r="D14411" t="s">
        <v>11</v>
      </c>
      <c r="E14411" t="s">
        <v>12</v>
      </c>
      <c r="F14411">
        <v>51411194</v>
      </c>
      <c r="G14411">
        <v>51411209</v>
      </c>
      <c r="H14411">
        <v>51411146</v>
      </c>
      <c r="I14411">
        <v>51411175</v>
      </c>
    </row>
    <row r="14412" spans="1:9" x14ac:dyDescent="0.2">
      <c r="A14412" s="1" t="str">
        <f>"PYGM"</f>
        <v>PYGM</v>
      </c>
      <c r="B14412" t="s">
        <v>14</v>
      </c>
      <c r="C14412" t="s">
        <v>27</v>
      </c>
      <c r="D14412" t="s">
        <v>11</v>
      </c>
      <c r="E14412" t="s">
        <v>12</v>
      </c>
      <c r="F14412">
        <v>64527425</v>
      </c>
      <c r="G14412">
        <v>64527461</v>
      </c>
      <c r="H14412">
        <v>64527362</v>
      </c>
      <c r="I14412">
        <v>64527386</v>
      </c>
    </row>
    <row r="14413" spans="1:9" x14ac:dyDescent="0.2">
      <c r="A14413" s="1" t="str">
        <f>"PYGO1"</f>
        <v>PYGO1</v>
      </c>
      <c r="B14413" t="s">
        <v>14</v>
      </c>
      <c r="C14413" t="s">
        <v>25</v>
      </c>
      <c r="D14413" t="s">
        <v>11</v>
      </c>
      <c r="E14413" t="s">
        <v>12</v>
      </c>
      <c r="F14413">
        <v>55880566</v>
      </c>
      <c r="G14413">
        <v>55880639</v>
      </c>
      <c r="H14413">
        <v>55880535</v>
      </c>
      <c r="I14413">
        <v>55880561</v>
      </c>
    </row>
    <row r="14414" spans="1:9" x14ac:dyDescent="0.2">
      <c r="A14414" s="1" t="str">
        <f>"PYGO2"</f>
        <v>PYGO2</v>
      </c>
      <c r="B14414" t="s">
        <v>14</v>
      </c>
      <c r="C14414" t="s">
        <v>19</v>
      </c>
      <c r="D14414" t="s">
        <v>11</v>
      </c>
      <c r="E14414" t="s">
        <v>12</v>
      </c>
      <c r="F14414">
        <v>154934200</v>
      </c>
      <c r="G14414">
        <v>154934274</v>
      </c>
      <c r="H14414">
        <v>154934200</v>
      </c>
      <c r="I14414">
        <v>154934274</v>
      </c>
    </row>
    <row r="14415" spans="1:9" x14ac:dyDescent="0.2">
      <c r="A14415" s="1" t="str">
        <f>"PYHIN1"</f>
        <v>PYHIN1</v>
      </c>
      <c r="B14415" t="s">
        <v>14</v>
      </c>
      <c r="C14415" t="s">
        <v>19</v>
      </c>
      <c r="D14415" t="s">
        <v>17</v>
      </c>
      <c r="E14415" t="s">
        <v>12</v>
      </c>
      <c r="F14415">
        <v>158901329</v>
      </c>
      <c r="G14415">
        <v>158901366</v>
      </c>
      <c r="H14415">
        <v>158901312</v>
      </c>
      <c r="I14415">
        <v>158901319</v>
      </c>
    </row>
    <row r="14416" spans="1:9" x14ac:dyDescent="0.2">
      <c r="A14416" s="1" t="str">
        <f>"PYROXD1"</f>
        <v>PYROXD1</v>
      </c>
      <c r="B14416" t="s">
        <v>14</v>
      </c>
      <c r="C14416" t="s">
        <v>16</v>
      </c>
      <c r="D14416" t="s">
        <v>17</v>
      </c>
      <c r="E14416" t="s">
        <v>12</v>
      </c>
      <c r="F14416">
        <v>21590576</v>
      </c>
      <c r="G14416">
        <v>21590619</v>
      </c>
      <c r="H14416">
        <v>21590632</v>
      </c>
      <c r="I14416">
        <v>21590653</v>
      </c>
    </row>
    <row r="14417" spans="1:9" x14ac:dyDescent="0.2">
      <c r="A14417" s="1" t="str">
        <f>"PYROXD2"</f>
        <v>PYROXD2</v>
      </c>
      <c r="B14417" t="s">
        <v>14</v>
      </c>
      <c r="C14417" t="s">
        <v>15</v>
      </c>
      <c r="D14417" t="s">
        <v>11</v>
      </c>
      <c r="E14417" t="s">
        <v>12</v>
      </c>
      <c r="F14417">
        <v>100174900</v>
      </c>
      <c r="G14417">
        <v>100174956</v>
      </c>
      <c r="H14417">
        <v>100174957</v>
      </c>
      <c r="I14417">
        <v>100174982</v>
      </c>
    </row>
    <row r="14418" spans="1:9" x14ac:dyDescent="0.2">
      <c r="A14418" s="1" t="str">
        <f>"PYURF"</f>
        <v>PYURF</v>
      </c>
      <c r="B14418" t="s">
        <v>14</v>
      </c>
      <c r="C14418" t="s">
        <v>23</v>
      </c>
      <c r="D14418" t="s">
        <v>11</v>
      </c>
      <c r="E14418" t="s">
        <v>67</v>
      </c>
      <c r="F14418">
        <v>89444883</v>
      </c>
      <c r="G14418">
        <v>89444945</v>
      </c>
      <c r="H14418">
        <v>89444845</v>
      </c>
      <c r="I14418">
        <v>89444874</v>
      </c>
    </row>
    <row r="14419" spans="1:9" x14ac:dyDescent="0.2">
      <c r="A14419" s="1" t="str">
        <f>"PYY"</f>
        <v>PYY</v>
      </c>
      <c r="B14419" t="s">
        <v>1444</v>
      </c>
      <c r="C14419" t="s">
        <v>28</v>
      </c>
      <c r="D14419" t="s">
        <v>11</v>
      </c>
      <c r="E14419" t="s">
        <v>35</v>
      </c>
      <c r="F14419">
        <v>42081809</v>
      </c>
      <c r="G14419">
        <v>42081850</v>
      </c>
      <c r="H14419">
        <v>42081809</v>
      </c>
      <c r="I14419">
        <v>42081850</v>
      </c>
    </row>
    <row r="14420" spans="1:9" x14ac:dyDescent="0.2">
      <c r="A14420" s="1" t="str">
        <f>"PZP"</f>
        <v>PZP</v>
      </c>
      <c r="B14420" t="s">
        <v>14</v>
      </c>
      <c r="C14420" t="s">
        <v>16</v>
      </c>
      <c r="D14420" t="s">
        <v>11</v>
      </c>
      <c r="E14420" t="s">
        <v>12</v>
      </c>
      <c r="F14420">
        <v>9360984</v>
      </c>
      <c r="G14420">
        <v>9360996</v>
      </c>
      <c r="H14420">
        <v>9360997</v>
      </c>
      <c r="I14420">
        <v>9361006</v>
      </c>
    </row>
    <row r="14421" spans="1:9" x14ac:dyDescent="0.2">
      <c r="A14421" s="1" t="str">
        <f>"QARS"</f>
        <v>QARS</v>
      </c>
      <c r="B14421" t="s">
        <v>14</v>
      </c>
      <c r="C14421" t="s">
        <v>22</v>
      </c>
      <c r="D14421" t="s">
        <v>11</v>
      </c>
      <c r="E14421" t="s">
        <v>12</v>
      </c>
      <c r="F14421">
        <v>49142178</v>
      </c>
      <c r="G14421">
        <v>49142195</v>
      </c>
      <c r="H14421">
        <v>49141891</v>
      </c>
      <c r="I14421">
        <v>49141974</v>
      </c>
    </row>
    <row r="14422" spans="1:9" x14ac:dyDescent="0.2">
      <c r="A14422" s="1" t="str">
        <f>"QDPR"</f>
        <v>QDPR</v>
      </c>
      <c r="B14422" t="s">
        <v>14</v>
      </c>
      <c r="C14422" t="s">
        <v>23</v>
      </c>
      <c r="D14422" t="s">
        <v>11</v>
      </c>
      <c r="E14422" t="s">
        <v>12</v>
      </c>
      <c r="F14422">
        <v>17513702</v>
      </c>
      <c r="G14422">
        <v>17513720</v>
      </c>
      <c r="H14422">
        <v>17513679</v>
      </c>
      <c r="I14422">
        <v>17513694</v>
      </c>
    </row>
    <row r="14423" spans="1:9" x14ac:dyDescent="0.2">
      <c r="A14423" s="1" t="str">
        <f>"QKI"</f>
        <v>QKI</v>
      </c>
      <c r="B14423" t="s">
        <v>14</v>
      </c>
      <c r="C14423" t="s">
        <v>32</v>
      </c>
      <c r="D14423" t="s">
        <v>17</v>
      </c>
      <c r="E14423" t="s">
        <v>12</v>
      </c>
      <c r="F14423">
        <v>163835734</v>
      </c>
      <c r="G14423">
        <v>163835758</v>
      </c>
      <c r="H14423">
        <v>163835788</v>
      </c>
      <c r="I14423">
        <v>163835811</v>
      </c>
    </row>
    <row r="14424" spans="1:9" x14ac:dyDescent="0.2">
      <c r="A14424" s="1" t="str">
        <f>"QPCT"</f>
        <v>QPCT</v>
      </c>
      <c r="B14424" t="s">
        <v>14</v>
      </c>
      <c r="C14424" t="s">
        <v>26</v>
      </c>
      <c r="D14424" t="s">
        <v>17</v>
      </c>
      <c r="E14424" t="s">
        <v>12</v>
      </c>
      <c r="F14424">
        <v>37571845</v>
      </c>
      <c r="G14424">
        <v>37571874</v>
      </c>
      <c r="H14424">
        <v>37571815</v>
      </c>
      <c r="I14424">
        <v>37571841</v>
      </c>
    </row>
    <row r="14425" spans="1:9" x14ac:dyDescent="0.2">
      <c r="A14425" s="1" t="str">
        <f>"QPCTL"</f>
        <v>QPCTL</v>
      </c>
      <c r="B14425" t="s">
        <v>14</v>
      </c>
      <c r="C14425" t="s">
        <v>10</v>
      </c>
      <c r="D14425" t="s">
        <v>17</v>
      </c>
      <c r="E14425" t="s">
        <v>12</v>
      </c>
      <c r="F14425">
        <v>46195895</v>
      </c>
      <c r="G14425">
        <v>46195959</v>
      </c>
      <c r="H14425">
        <v>46195818</v>
      </c>
      <c r="I14425">
        <v>46195829</v>
      </c>
    </row>
    <row r="14426" spans="1:9" x14ac:dyDescent="0.2">
      <c r="A14426" s="1" t="str">
        <f>"QPRT"</f>
        <v>QPRT</v>
      </c>
      <c r="B14426" t="s">
        <v>9</v>
      </c>
      <c r="C14426" t="s">
        <v>31</v>
      </c>
      <c r="D14426" t="s">
        <v>17</v>
      </c>
      <c r="E14426" t="s">
        <v>12</v>
      </c>
      <c r="F14426">
        <v>29690453</v>
      </c>
      <c r="G14426">
        <v>29690507</v>
      </c>
      <c r="H14426">
        <v>29690453</v>
      </c>
      <c r="I14426">
        <v>29690507</v>
      </c>
    </row>
    <row r="14427" spans="1:9" x14ac:dyDescent="0.2">
      <c r="A14427" s="1" t="str">
        <f>"QPRT"</f>
        <v>QPRT</v>
      </c>
      <c r="B14427" t="s">
        <v>13</v>
      </c>
      <c r="C14427" t="s">
        <v>31</v>
      </c>
      <c r="D14427" t="s">
        <v>17</v>
      </c>
      <c r="E14427" t="s">
        <v>12</v>
      </c>
      <c r="F14427">
        <v>29706030</v>
      </c>
      <c r="G14427">
        <v>29706061</v>
      </c>
      <c r="H14427">
        <v>29706030</v>
      </c>
      <c r="I14427">
        <v>29706061</v>
      </c>
    </row>
    <row r="14428" spans="1:9" x14ac:dyDescent="0.2">
      <c r="A14428" s="1" t="str">
        <f>"QRFP"</f>
        <v>QRFP</v>
      </c>
      <c r="B14428" t="s">
        <v>14</v>
      </c>
      <c r="C14428" t="s">
        <v>24</v>
      </c>
      <c r="D14428" t="s">
        <v>11</v>
      </c>
      <c r="E14428" t="s">
        <v>12</v>
      </c>
      <c r="F14428">
        <v>133769143</v>
      </c>
      <c r="G14428">
        <v>133769167</v>
      </c>
      <c r="H14428">
        <v>133769143</v>
      </c>
      <c r="I14428">
        <v>133769167</v>
      </c>
    </row>
    <row r="14429" spans="1:9" x14ac:dyDescent="0.2">
      <c r="A14429" s="1" t="str">
        <f>"QRFPR"</f>
        <v>QRFPR</v>
      </c>
      <c r="B14429" t="s">
        <v>14</v>
      </c>
      <c r="C14429" t="s">
        <v>23</v>
      </c>
      <c r="D14429" t="s">
        <v>11</v>
      </c>
      <c r="E14429" t="s">
        <v>12</v>
      </c>
      <c r="F14429">
        <v>122302191</v>
      </c>
      <c r="G14429">
        <v>122302223</v>
      </c>
      <c r="H14429">
        <v>122302163</v>
      </c>
      <c r="I14429">
        <v>122302176</v>
      </c>
    </row>
    <row r="14430" spans="1:9" x14ac:dyDescent="0.2">
      <c r="A14430" s="1" t="str">
        <f>"QRICH1"</f>
        <v>QRICH1</v>
      </c>
      <c r="B14430" t="s">
        <v>14</v>
      </c>
      <c r="C14430" t="s">
        <v>22</v>
      </c>
      <c r="D14430" t="s">
        <v>11</v>
      </c>
      <c r="E14430" t="s">
        <v>12</v>
      </c>
      <c r="F14430">
        <v>49131473</v>
      </c>
      <c r="G14430">
        <v>49131511</v>
      </c>
      <c r="H14430">
        <v>49131013</v>
      </c>
      <c r="I14430">
        <v>49131070</v>
      </c>
    </row>
    <row r="14431" spans="1:9" x14ac:dyDescent="0.2">
      <c r="A14431" s="1" t="str">
        <f>"QRICH2"</f>
        <v>QRICH2</v>
      </c>
      <c r="B14431" t="s">
        <v>1445</v>
      </c>
      <c r="C14431" t="s">
        <v>28</v>
      </c>
      <c r="D14431" t="s">
        <v>11</v>
      </c>
      <c r="E14431" t="s">
        <v>20</v>
      </c>
      <c r="F14431">
        <v>74303760</v>
      </c>
      <c r="G14431">
        <v>74303760</v>
      </c>
      <c r="H14431">
        <v>74303760</v>
      </c>
      <c r="I14431">
        <v>74303760</v>
      </c>
    </row>
    <row r="14432" spans="1:9" x14ac:dyDescent="0.2">
      <c r="A14432" s="1" t="str">
        <f>"QRSL1"</f>
        <v>QRSL1</v>
      </c>
      <c r="B14432" t="s">
        <v>14</v>
      </c>
      <c r="C14432" t="s">
        <v>32</v>
      </c>
      <c r="D14432" t="s">
        <v>17</v>
      </c>
      <c r="E14432" t="s">
        <v>12</v>
      </c>
      <c r="F14432">
        <v>107077435</v>
      </c>
      <c r="G14432">
        <v>107077464</v>
      </c>
      <c r="H14432">
        <v>107077471</v>
      </c>
      <c r="I14432">
        <v>107077494</v>
      </c>
    </row>
    <row r="14433" spans="1:9" x14ac:dyDescent="0.2">
      <c r="A14433" s="1" t="str">
        <f>"QSER1"</f>
        <v>QSER1</v>
      </c>
      <c r="B14433" t="s">
        <v>14</v>
      </c>
      <c r="C14433" t="s">
        <v>27</v>
      </c>
      <c r="D14433" t="s">
        <v>17</v>
      </c>
      <c r="E14433" t="s">
        <v>12</v>
      </c>
      <c r="F14433">
        <v>32914579</v>
      </c>
      <c r="G14433">
        <v>32914702</v>
      </c>
      <c r="H14433">
        <v>32914345</v>
      </c>
      <c r="I14433">
        <v>32914380</v>
      </c>
    </row>
    <row r="14434" spans="1:9" x14ac:dyDescent="0.2">
      <c r="A14434" s="1" t="str">
        <f>"QSOX1"</f>
        <v>QSOX1</v>
      </c>
      <c r="B14434" t="s">
        <v>14</v>
      </c>
      <c r="C14434" t="s">
        <v>19</v>
      </c>
      <c r="D14434" t="s">
        <v>17</v>
      </c>
      <c r="E14434" t="s">
        <v>12</v>
      </c>
      <c r="F14434">
        <v>180123993</v>
      </c>
      <c r="G14434">
        <v>180124029</v>
      </c>
      <c r="H14434">
        <v>180123993</v>
      </c>
      <c r="I14434">
        <v>180124029</v>
      </c>
    </row>
    <row r="14435" spans="1:9" x14ac:dyDescent="0.2">
      <c r="A14435" s="1" t="str">
        <f>"QSOX2"</f>
        <v>QSOX2</v>
      </c>
      <c r="B14435" t="s">
        <v>14</v>
      </c>
      <c r="C14435" t="s">
        <v>24</v>
      </c>
      <c r="D14435" t="s">
        <v>11</v>
      </c>
      <c r="E14435" t="s">
        <v>12</v>
      </c>
      <c r="F14435">
        <v>139137648</v>
      </c>
      <c r="G14435">
        <v>139137677</v>
      </c>
      <c r="H14435">
        <v>139137428</v>
      </c>
      <c r="I14435">
        <v>139137459</v>
      </c>
    </row>
    <row r="14436" spans="1:9" x14ac:dyDescent="0.2">
      <c r="A14436" s="1" t="str">
        <f>"QTRT1"</f>
        <v>QTRT1</v>
      </c>
      <c r="B14436" t="s">
        <v>14</v>
      </c>
      <c r="C14436" t="s">
        <v>10</v>
      </c>
      <c r="D14436" t="s">
        <v>17</v>
      </c>
      <c r="E14436" t="s">
        <v>12</v>
      </c>
      <c r="F14436">
        <v>10812108</v>
      </c>
      <c r="G14436">
        <v>10812136</v>
      </c>
      <c r="H14436">
        <v>10812361</v>
      </c>
      <c r="I14436">
        <v>10812367</v>
      </c>
    </row>
    <row r="14437" spans="1:9" x14ac:dyDescent="0.2">
      <c r="A14437" s="1" t="str">
        <f>"QTRTD1"</f>
        <v>QTRTD1</v>
      </c>
      <c r="B14437" t="s">
        <v>14</v>
      </c>
      <c r="C14437" t="s">
        <v>22</v>
      </c>
      <c r="D14437" t="s">
        <v>17</v>
      </c>
      <c r="E14437" t="s">
        <v>12</v>
      </c>
      <c r="F14437">
        <v>113775594</v>
      </c>
      <c r="G14437">
        <v>113775666</v>
      </c>
      <c r="H14437">
        <v>113775576</v>
      </c>
      <c r="I14437">
        <v>113775592</v>
      </c>
    </row>
    <row r="14438" spans="1:9" x14ac:dyDescent="0.2">
      <c r="A14438" s="1" t="str">
        <f>"R3HCC1"</f>
        <v>R3HCC1</v>
      </c>
      <c r="B14438" t="s">
        <v>9</v>
      </c>
      <c r="C14438" t="s">
        <v>30</v>
      </c>
      <c r="D14438" t="s">
        <v>17</v>
      </c>
      <c r="E14438" t="s">
        <v>12</v>
      </c>
      <c r="F14438">
        <v>23145594</v>
      </c>
      <c r="G14438">
        <v>23145639</v>
      </c>
      <c r="H14438">
        <v>23145594</v>
      </c>
      <c r="I14438">
        <v>23145639</v>
      </c>
    </row>
    <row r="14439" spans="1:9" x14ac:dyDescent="0.2">
      <c r="A14439" s="1" t="str">
        <f>"R3HCC1"</f>
        <v>R3HCC1</v>
      </c>
      <c r="B14439" t="s">
        <v>13</v>
      </c>
      <c r="C14439" t="s">
        <v>30</v>
      </c>
      <c r="D14439" t="s">
        <v>17</v>
      </c>
      <c r="E14439" t="s">
        <v>12</v>
      </c>
      <c r="F14439">
        <v>23127644</v>
      </c>
      <c r="G14439">
        <v>23127669</v>
      </c>
      <c r="H14439">
        <v>23127644</v>
      </c>
      <c r="I14439">
        <v>23127669</v>
      </c>
    </row>
    <row r="14440" spans="1:9" x14ac:dyDescent="0.2">
      <c r="A14440" s="1" t="str">
        <f>"R3HCC1L"</f>
        <v>R3HCC1L</v>
      </c>
      <c r="B14440" t="s">
        <v>14</v>
      </c>
      <c r="C14440" t="s">
        <v>15</v>
      </c>
      <c r="D14440" t="s">
        <v>17</v>
      </c>
      <c r="E14440" t="s">
        <v>12</v>
      </c>
      <c r="F14440">
        <v>99894399</v>
      </c>
      <c r="G14440">
        <v>99894453</v>
      </c>
      <c r="H14440">
        <v>99894380</v>
      </c>
      <c r="I14440">
        <v>99894390</v>
      </c>
    </row>
    <row r="14441" spans="1:9" x14ac:dyDescent="0.2">
      <c r="A14441" s="1" t="str">
        <f>"R3HDM1"</f>
        <v>R3HDM1</v>
      </c>
      <c r="B14441" t="s">
        <v>9</v>
      </c>
      <c r="C14441" t="s">
        <v>26</v>
      </c>
      <c r="D14441" t="s">
        <v>17</v>
      </c>
      <c r="E14441" t="s">
        <v>12</v>
      </c>
      <c r="F14441">
        <v>136289030</v>
      </c>
      <c r="G14441">
        <v>136289085</v>
      </c>
      <c r="H14441">
        <v>136289030</v>
      </c>
      <c r="I14441">
        <v>136289085</v>
      </c>
    </row>
    <row r="14442" spans="1:9" x14ac:dyDescent="0.2">
      <c r="A14442" s="1" t="str">
        <f>"R3HDM1"</f>
        <v>R3HDM1</v>
      </c>
      <c r="B14442" t="s">
        <v>13</v>
      </c>
      <c r="C14442" t="s">
        <v>26</v>
      </c>
      <c r="D14442" t="s">
        <v>17</v>
      </c>
      <c r="E14442" t="s">
        <v>12</v>
      </c>
      <c r="F14442">
        <v>136343904</v>
      </c>
      <c r="G14442">
        <v>136343928</v>
      </c>
      <c r="H14442">
        <v>136343904</v>
      </c>
      <c r="I14442">
        <v>136343928</v>
      </c>
    </row>
    <row r="14443" spans="1:9" x14ac:dyDescent="0.2">
      <c r="A14443" s="1" t="str">
        <f>"R3HDM2"</f>
        <v>R3HDM2</v>
      </c>
      <c r="B14443" t="s">
        <v>14</v>
      </c>
      <c r="C14443" t="s">
        <v>16</v>
      </c>
      <c r="D14443" t="s">
        <v>11</v>
      </c>
      <c r="E14443" t="s">
        <v>12</v>
      </c>
      <c r="F14443">
        <v>57824739</v>
      </c>
      <c r="G14443">
        <v>57824834</v>
      </c>
      <c r="H14443">
        <v>57824561</v>
      </c>
      <c r="I14443">
        <v>57824618</v>
      </c>
    </row>
    <row r="14444" spans="1:9" x14ac:dyDescent="0.2">
      <c r="A14444" s="1" t="str">
        <f>"R3HDM4"</f>
        <v>R3HDM4</v>
      </c>
      <c r="B14444" t="s">
        <v>9</v>
      </c>
      <c r="C14444" t="s">
        <v>10</v>
      </c>
      <c r="D14444" t="s">
        <v>11</v>
      </c>
      <c r="E14444" t="s">
        <v>12</v>
      </c>
      <c r="F14444">
        <v>913160</v>
      </c>
      <c r="G14444">
        <v>913227</v>
      </c>
      <c r="H14444">
        <v>913160</v>
      </c>
      <c r="I14444">
        <v>913227</v>
      </c>
    </row>
    <row r="14445" spans="1:9" x14ac:dyDescent="0.2">
      <c r="A14445" s="1" t="str">
        <f>"R3HDM4"</f>
        <v>R3HDM4</v>
      </c>
      <c r="B14445" t="s">
        <v>13</v>
      </c>
      <c r="C14445" t="s">
        <v>10</v>
      </c>
      <c r="D14445" t="s">
        <v>11</v>
      </c>
      <c r="E14445" t="s">
        <v>12</v>
      </c>
      <c r="F14445">
        <v>897099</v>
      </c>
      <c r="G14445">
        <v>897118</v>
      </c>
      <c r="H14445">
        <v>897099</v>
      </c>
      <c r="I14445">
        <v>897118</v>
      </c>
    </row>
    <row r="14446" spans="1:9" x14ac:dyDescent="0.2">
      <c r="A14446" s="1" t="str">
        <f>"R3HDML"</f>
        <v>R3HDML</v>
      </c>
      <c r="B14446" t="s">
        <v>1446</v>
      </c>
      <c r="C14446" t="s">
        <v>29</v>
      </c>
      <c r="D14446" t="s">
        <v>17</v>
      </c>
      <c r="E14446" t="s">
        <v>20</v>
      </c>
      <c r="F14446">
        <v>42965625</v>
      </c>
      <c r="G14446">
        <v>42965625</v>
      </c>
      <c r="H14446">
        <v>42965625</v>
      </c>
      <c r="I14446">
        <v>42965625</v>
      </c>
    </row>
    <row r="14447" spans="1:9" x14ac:dyDescent="0.2">
      <c r="A14447" s="1" t="str">
        <f>"RAB10"</f>
        <v>RAB10</v>
      </c>
      <c r="B14447" t="s">
        <v>14</v>
      </c>
      <c r="C14447" t="s">
        <v>26</v>
      </c>
      <c r="D14447" t="s">
        <v>17</v>
      </c>
      <c r="E14447" t="s">
        <v>12</v>
      </c>
      <c r="F14447">
        <v>26256938</v>
      </c>
      <c r="G14447">
        <v>26257031</v>
      </c>
      <c r="H14447">
        <v>26257054</v>
      </c>
      <c r="I14447">
        <v>26257071</v>
      </c>
    </row>
    <row r="14448" spans="1:9" x14ac:dyDescent="0.2">
      <c r="A14448" s="1" t="str">
        <f>"RAB11A"</f>
        <v>RAB11A</v>
      </c>
      <c r="B14448" t="s">
        <v>14</v>
      </c>
      <c r="C14448" t="s">
        <v>25</v>
      </c>
      <c r="D14448" t="s">
        <v>17</v>
      </c>
      <c r="E14448" t="s">
        <v>12</v>
      </c>
      <c r="F14448">
        <v>66161802</v>
      </c>
      <c r="G14448">
        <v>66161866</v>
      </c>
      <c r="H14448">
        <v>66161871</v>
      </c>
      <c r="I14448">
        <v>66161893</v>
      </c>
    </row>
    <row r="14449" spans="1:9" x14ac:dyDescent="0.2">
      <c r="A14449" s="1" t="str">
        <f>"RAB11B"</f>
        <v>RAB11B</v>
      </c>
      <c r="B14449" t="s">
        <v>14</v>
      </c>
      <c r="C14449" t="s">
        <v>10</v>
      </c>
      <c r="D14449" t="s">
        <v>17</v>
      </c>
      <c r="E14449" t="s">
        <v>12</v>
      </c>
      <c r="F14449">
        <v>8455200</v>
      </c>
      <c r="G14449">
        <v>8455301</v>
      </c>
      <c r="H14449">
        <v>8455077</v>
      </c>
      <c r="I14449">
        <v>8455082</v>
      </c>
    </row>
    <row r="14450" spans="1:9" x14ac:dyDescent="0.2">
      <c r="A14450" s="1" t="str">
        <f>"RAB11FIP1"</f>
        <v>RAB11FIP1</v>
      </c>
      <c r="B14450" t="s">
        <v>14</v>
      </c>
      <c r="C14450" t="s">
        <v>30</v>
      </c>
      <c r="D14450" t="s">
        <v>11</v>
      </c>
      <c r="E14450" t="s">
        <v>12</v>
      </c>
      <c r="F14450">
        <v>37756996</v>
      </c>
      <c r="G14450">
        <v>37757022</v>
      </c>
      <c r="H14450">
        <v>37756996</v>
      </c>
      <c r="I14450">
        <v>37757022</v>
      </c>
    </row>
    <row r="14451" spans="1:9" x14ac:dyDescent="0.2">
      <c r="A14451" s="1" t="str">
        <f>"RAB11FIP2"</f>
        <v>RAB11FIP2</v>
      </c>
      <c r="B14451" t="s">
        <v>14</v>
      </c>
      <c r="C14451" t="s">
        <v>15</v>
      </c>
      <c r="D14451" t="s">
        <v>11</v>
      </c>
      <c r="E14451" t="s">
        <v>12</v>
      </c>
      <c r="F14451">
        <v>119806381</v>
      </c>
      <c r="G14451">
        <v>119806423</v>
      </c>
      <c r="H14451">
        <v>119806435</v>
      </c>
      <c r="I14451">
        <v>119806460</v>
      </c>
    </row>
    <row r="14452" spans="1:9" x14ac:dyDescent="0.2">
      <c r="A14452" s="1" t="str">
        <f>"RAB11FIP3"</f>
        <v>RAB11FIP3</v>
      </c>
      <c r="B14452" t="s">
        <v>14</v>
      </c>
      <c r="C14452" t="s">
        <v>31</v>
      </c>
      <c r="D14452" t="s">
        <v>17</v>
      </c>
      <c r="E14452" t="s">
        <v>12</v>
      </c>
      <c r="F14452">
        <v>475599</v>
      </c>
      <c r="G14452">
        <v>475672</v>
      </c>
      <c r="H14452">
        <v>475599</v>
      </c>
      <c r="I14452">
        <v>475672</v>
      </c>
    </row>
    <row r="14453" spans="1:9" x14ac:dyDescent="0.2">
      <c r="A14453" s="1" t="str">
        <f>"RAB11FIP4"</f>
        <v>RAB11FIP4</v>
      </c>
      <c r="B14453" t="s">
        <v>1447</v>
      </c>
      <c r="C14453" t="s">
        <v>28</v>
      </c>
      <c r="D14453" t="s">
        <v>17</v>
      </c>
      <c r="E14453" t="s">
        <v>35</v>
      </c>
      <c r="F14453">
        <v>29718507</v>
      </c>
      <c r="G14453">
        <v>29718517</v>
      </c>
      <c r="H14453">
        <v>29718761</v>
      </c>
      <c r="I14453">
        <v>29718790</v>
      </c>
    </row>
    <row r="14454" spans="1:9" x14ac:dyDescent="0.2">
      <c r="A14454" s="1" t="str">
        <f>"RAB11FIP5"</f>
        <v>RAB11FIP5</v>
      </c>
      <c r="B14454" t="s">
        <v>14</v>
      </c>
      <c r="C14454" t="s">
        <v>26</v>
      </c>
      <c r="D14454" t="s">
        <v>11</v>
      </c>
      <c r="E14454" t="s">
        <v>12</v>
      </c>
      <c r="F14454">
        <v>73340013</v>
      </c>
      <c r="G14454">
        <v>73340113</v>
      </c>
      <c r="H14454">
        <v>73339985</v>
      </c>
      <c r="I14454">
        <v>73340009</v>
      </c>
    </row>
    <row r="14455" spans="1:9" x14ac:dyDescent="0.2">
      <c r="A14455" s="1" t="str">
        <f>"RAB12"</f>
        <v>RAB12</v>
      </c>
      <c r="B14455" t="s">
        <v>14</v>
      </c>
      <c r="C14455" t="s">
        <v>43</v>
      </c>
      <c r="D14455" t="s">
        <v>17</v>
      </c>
      <c r="E14455" t="s">
        <v>12</v>
      </c>
      <c r="F14455">
        <v>8609402</v>
      </c>
      <c r="G14455">
        <v>8609486</v>
      </c>
      <c r="H14455">
        <v>8609718</v>
      </c>
      <c r="I14455">
        <v>8609753</v>
      </c>
    </row>
    <row r="14456" spans="1:9" x14ac:dyDescent="0.2">
      <c r="A14456" s="1" t="str">
        <f>"RAB13"</f>
        <v>RAB13</v>
      </c>
      <c r="B14456" t="s">
        <v>14</v>
      </c>
      <c r="C14456" t="s">
        <v>19</v>
      </c>
      <c r="D14456" t="s">
        <v>11</v>
      </c>
      <c r="E14456" t="s">
        <v>12</v>
      </c>
      <c r="F14456">
        <v>153958805</v>
      </c>
      <c r="G14456">
        <v>153958827</v>
      </c>
      <c r="H14456">
        <v>153958766</v>
      </c>
      <c r="I14456">
        <v>153958802</v>
      </c>
    </row>
    <row r="14457" spans="1:9" x14ac:dyDescent="0.2">
      <c r="A14457" s="1" t="str">
        <f>"RAB14"</f>
        <v>RAB14</v>
      </c>
      <c r="B14457" t="s">
        <v>14</v>
      </c>
      <c r="C14457" t="s">
        <v>24</v>
      </c>
      <c r="D14457" t="s">
        <v>11</v>
      </c>
      <c r="E14457" t="s">
        <v>12</v>
      </c>
      <c r="F14457">
        <v>123964114</v>
      </c>
      <c r="G14457">
        <v>123964210</v>
      </c>
      <c r="H14457">
        <v>123964088</v>
      </c>
      <c r="I14457">
        <v>123964109</v>
      </c>
    </row>
    <row r="14458" spans="1:9" x14ac:dyDescent="0.2">
      <c r="A14458" s="1" t="str">
        <f>"RAB15"</f>
        <v>RAB15</v>
      </c>
      <c r="B14458" t="s">
        <v>14</v>
      </c>
      <c r="C14458" t="s">
        <v>41</v>
      </c>
      <c r="D14458" t="s">
        <v>11</v>
      </c>
      <c r="E14458" t="s">
        <v>12</v>
      </c>
      <c r="F14458">
        <v>65438958</v>
      </c>
      <c r="G14458">
        <v>65439062</v>
      </c>
      <c r="H14458">
        <v>65438891</v>
      </c>
      <c r="I14458">
        <v>65438909</v>
      </c>
    </row>
    <row r="14459" spans="1:9" x14ac:dyDescent="0.2">
      <c r="A14459" s="1" t="str">
        <f>"RAB17"</f>
        <v>RAB17</v>
      </c>
      <c r="B14459" t="s">
        <v>14</v>
      </c>
      <c r="C14459" t="s">
        <v>26</v>
      </c>
      <c r="D14459" t="s">
        <v>11</v>
      </c>
      <c r="E14459" t="s">
        <v>12</v>
      </c>
      <c r="F14459">
        <v>238499337</v>
      </c>
      <c r="G14459">
        <v>238499408</v>
      </c>
      <c r="H14459">
        <v>238499725</v>
      </c>
      <c r="I14459">
        <v>238499747</v>
      </c>
    </row>
    <row r="14460" spans="1:9" x14ac:dyDescent="0.2">
      <c r="A14460" s="1" t="str">
        <f>"RAB18"</f>
        <v>RAB18</v>
      </c>
      <c r="B14460" t="s">
        <v>14</v>
      </c>
      <c r="C14460" t="s">
        <v>15</v>
      </c>
      <c r="D14460" t="s">
        <v>17</v>
      </c>
      <c r="E14460" t="s">
        <v>12</v>
      </c>
      <c r="F14460">
        <v>27793209</v>
      </c>
      <c r="G14460">
        <v>27793247</v>
      </c>
      <c r="H14460">
        <v>27793259</v>
      </c>
      <c r="I14460">
        <v>27793275</v>
      </c>
    </row>
    <row r="14461" spans="1:9" x14ac:dyDescent="0.2">
      <c r="A14461" s="1" t="str">
        <f>"RAB19"</f>
        <v>RAB19</v>
      </c>
      <c r="B14461" t="s">
        <v>14</v>
      </c>
      <c r="C14461" t="s">
        <v>33</v>
      </c>
      <c r="D14461" t="s">
        <v>17</v>
      </c>
      <c r="E14461" t="s">
        <v>12</v>
      </c>
      <c r="F14461">
        <v>140103842</v>
      </c>
      <c r="G14461">
        <v>140103873</v>
      </c>
      <c r="H14461">
        <v>140103884</v>
      </c>
      <c r="I14461">
        <v>140103906</v>
      </c>
    </row>
    <row r="14462" spans="1:9" x14ac:dyDescent="0.2">
      <c r="A14462" s="1" t="str">
        <f>"RAB1A"</f>
        <v>RAB1A</v>
      </c>
      <c r="B14462" t="s">
        <v>14</v>
      </c>
      <c r="C14462" t="s">
        <v>26</v>
      </c>
      <c r="D14462" t="s">
        <v>11</v>
      </c>
      <c r="E14462" t="s">
        <v>12</v>
      </c>
      <c r="F14462">
        <v>65357225</v>
      </c>
      <c r="G14462">
        <v>65357267</v>
      </c>
      <c r="H14462">
        <v>65357520</v>
      </c>
      <c r="I14462">
        <v>65357540</v>
      </c>
    </row>
    <row r="14463" spans="1:9" x14ac:dyDescent="0.2">
      <c r="A14463" s="1" t="str">
        <f>"RAB1B"</f>
        <v>RAB1B</v>
      </c>
      <c r="B14463" t="s">
        <v>14</v>
      </c>
      <c r="C14463" t="s">
        <v>27</v>
      </c>
      <c r="D14463" t="s">
        <v>17</v>
      </c>
      <c r="E14463" t="s">
        <v>12</v>
      </c>
      <c r="F14463">
        <v>66036082</v>
      </c>
      <c r="G14463">
        <v>66036125</v>
      </c>
      <c r="H14463">
        <v>66036047</v>
      </c>
      <c r="I14463">
        <v>66036079</v>
      </c>
    </row>
    <row r="14464" spans="1:9" x14ac:dyDescent="0.2">
      <c r="A14464" s="1" t="str">
        <f>"RAB20"</f>
        <v>RAB20</v>
      </c>
      <c r="B14464" t="s">
        <v>14</v>
      </c>
      <c r="C14464" t="s">
        <v>39</v>
      </c>
      <c r="D14464" t="s">
        <v>11</v>
      </c>
      <c r="E14464" t="s">
        <v>12</v>
      </c>
      <c r="F14464">
        <v>111214015</v>
      </c>
      <c r="G14464">
        <v>111214076</v>
      </c>
      <c r="H14464">
        <v>111213758</v>
      </c>
      <c r="I14464">
        <v>111213768</v>
      </c>
    </row>
    <row r="14465" spans="1:9" x14ac:dyDescent="0.2">
      <c r="A14465" s="1" t="str">
        <f>"RAB21"</f>
        <v>RAB21</v>
      </c>
      <c r="B14465" t="s">
        <v>14</v>
      </c>
      <c r="C14465" t="s">
        <v>16</v>
      </c>
      <c r="D14465" t="s">
        <v>17</v>
      </c>
      <c r="E14465" t="s">
        <v>12</v>
      </c>
      <c r="F14465">
        <v>72148614</v>
      </c>
      <c r="G14465">
        <v>72148699</v>
      </c>
      <c r="H14465">
        <v>72148996</v>
      </c>
      <c r="I14465">
        <v>72149025</v>
      </c>
    </row>
    <row r="14466" spans="1:9" x14ac:dyDescent="0.2">
      <c r="A14466" s="1" t="str">
        <f>"RAB22A"</f>
        <v>RAB22A</v>
      </c>
      <c r="B14466" t="s">
        <v>14</v>
      </c>
      <c r="C14466" t="s">
        <v>29</v>
      </c>
      <c r="D14466" t="s">
        <v>17</v>
      </c>
      <c r="E14466" t="s">
        <v>12</v>
      </c>
      <c r="F14466">
        <v>56884760</v>
      </c>
      <c r="G14466">
        <v>56884799</v>
      </c>
      <c r="H14466">
        <v>56884760</v>
      </c>
      <c r="I14466">
        <v>56884799</v>
      </c>
    </row>
    <row r="14467" spans="1:9" x14ac:dyDescent="0.2">
      <c r="A14467" s="1" t="str">
        <f>"RAB23"</f>
        <v>RAB23</v>
      </c>
      <c r="B14467" t="s">
        <v>14</v>
      </c>
      <c r="C14467" t="s">
        <v>32</v>
      </c>
      <c r="D14467" t="s">
        <v>11</v>
      </c>
      <c r="E14467" t="s">
        <v>12</v>
      </c>
      <c r="F14467">
        <v>57087042</v>
      </c>
      <c r="G14467">
        <v>57087128</v>
      </c>
      <c r="H14467">
        <v>57086243</v>
      </c>
      <c r="I14467">
        <v>57086265</v>
      </c>
    </row>
    <row r="14468" spans="1:9" x14ac:dyDescent="0.2">
      <c r="A14468" s="1" t="str">
        <f>"RAB24"</f>
        <v>RAB24</v>
      </c>
      <c r="B14468" t="s">
        <v>14</v>
      </c>
      <c r="C14468" t="s">
        <v>46</v>
      </c>
      <c r="D14468" t="s">
        <v>11</v>
      </c>
      <c r="E14468" t="s">
        <v>12</v>
      </c>
      <c r="F14468">
        <v>176730676</v>
      </c>
      <c r="G14468">
        <v>176730730</v>
      </c>
      <c r="H14468">
        <v>176730733</v>
      </c>
      <c r="I14468">
        <v>176730744</v>
      </c>
    </row>
    <row r="14469" spans="1:9" x14ac:dyDescent="0.2">
      <c r="A14469" s="1" t="str">
        <f>"RAB25"</f>
        <v>RAB25</v>
      </c>
      <c r="B14469" t="s">
        <v>14</v>
      </c>
      <c r="C14469" t="s">
        <v>19</v>
      </c>
      <c r="D14469" t="s">
        <v>17</v>
      </c>
      <c r="E14469" t="s">
        <v>12</v>
      </c>
      <c r="F14469">
        <v>156030937</v>
      </c>
      <c r="G14469">
        <v>156030983</v>
      </c>
      <c r="H14469">
        <v>156030987</v>
      </c>
      <c r="I14469">
        <v>156031007</v>
      </c>
    </row>
    <row r="14470" spans="1:9" x14ac:dyDescent="0.2">
      <c r="A14470" s="1" t="str">
        <f>"RAB26"</f>
        <v>RAB26</v>
      </c>
      <c r="B14470" t="s">
        <v>14</v>
      </c>
      <c r="C14470" t="s">
        <v>31</v>
      </c>
      <c r="D14470" t="s">
        <v>17</v>
      </c>
      <c r="E14470" t="s">
        <v>12</v>
      </c>
      <c r="F14470">
        <v>2198604</v>
      </c>
      <c r="G14470">
        <v>2198644</v>
      </c>
      <c r="H14470">
        <v>2198649</v>
      </c>
      <c r="I14470">
        <v>2198682</v>
      </c>
    </row>
    <row r="14471" spans="1:9" x14ac:dyDescent="0.2">
      <c r="A14471" s="1" t="str">
        <f>"RAB27A"</f>
        <v>RAB27A</v>
      </c>
      <c r="B14471" t="s">
        <v>14</v>
      </c>
      <c r="C14471" t="s">
        <v>25</v>
      </c>
      <c r="D14471" t="s">
        <v>11</v>
      </c>
      <c r="E14471" t="s">
        <v>12</v>
      </c>
      <c r="F14471">
        <v>55581954</v>
      </c>
      <c r="G14471">
        <v>55582018</v>
      </c>
      <c r="H14471">
        <v>55582029</v>
      </c>
      <c r="I14471">
        <v>55582053</v>
      </c>
    </row>
    <row r="14472" spans="1:9" x14ac:dyDescent="0.2">
      <c r="A14472" s="1" t="str">
        <f>"RAB27B"</f>
        <v>RAB27B</v>
      </c>
      <c r="B14472" t="s">
        <v>14</v>
      </c>
      <c r="C14472" t="s">
        <v>43</v>
      </c>
      <c r="D14472" t="s">
        <v>17</v>
      </c>
      <c r="E14472" t="s">
        <v>12</v>
      </c>
      <c r="F14472">
        <v>52495637</v>
      </c>
      <c r="G14472">
        <v>52495719</v>
      </c>
      <c r="H14472">
        <v>52495804</v>
      </c>
      <c r="I14472">
        <v>52495818</v>
      </c>
    </row>
    <row r="14473" spans="1:9" x14ac:dyDescent="0.2">
      <c r="A14473" s="1" t="str">
        <f>"RAB28"</f>
        <v>RAB28</v>
      </c>
      <c r="B14473" t="s">
        <v>14</v>
      </c>
      <c r="C14473" t="s">
        <v>23</v>
      </c>
      <c r="D14473" t="s">
        <v>11</v>
      </c>
      <c r="E14473" t="s">
        <v>12</v>
      </c>
      <c r="F14473">
        <v>13485937</v>
      </c>
      <c r="G14473">
        <v>13485971</v>
      </c>
      <c r="H14473">
        <v>13485918</v>
      </c>
      <c r="I14473">
        <v>13485935</v>
      </c>
    </row>
    <row r="14474" spans="1:9" x14ac:dyDescent="0.2">
      <c r="A14474" s="1" t="str">
        <f>"RAB2A"</f>
        <v>RAB2A</v>
      </c>
      <c r="B14474" t="s">
        <v>14</v>
      </c>
      <c r="C14474" t="s">
        <v>30</v>
      </c>
      <c r="D14474" t="s">
        <v>17</v>
      </c>
      <c r="E14474" t="s">
        <v>12</v>
      </c>
      <c r="F14474">
        <v>61429506</v>
      </c>
      <c r="G14474">
        <v>61429558</v>
      </c>
      <c r="H14474">
        <v>61429728</v>
      </c>
      <c r="I14474">
        <v>61429755</v>
      </c>
    </row>
    <row r="14475" spans="1:9" x14ac:dyDescent="0.2">
      <c r="A14475" s="1" t="str">
        <f>"RAB2B"</f>
        <v>RAB2B</v>
      </c>
      <c r="B14475" t="s">
        <v>14</v>
      </c>
      <c r="C14475" t="s">
        <v>41</v>
      </c>
      <c r="D14475" t="s">
        <v>11</v>
      </c>
      <c r="E14475" t="s">
        <v>12</v>
      </c>
      <c r="F14475">
        <v>21945057</v>
      </c>
      <c r="G14475">
        <v>21945132</v>
      </c>
      <c r="H14475">
        <v>21944795</v>
      </c>
      <c r="I14475">
        <v>21944848</v>
      </c>
    </row>
    <row r="14476" spans="1:9" x14ac:dyDescent="0.2">
      <c r="A14476" s="1" t="str">
        <f>"RAB30"</f>
        <v>RAB30</v>
      </c>
      <c r="B14476" t="s">
        <v>14</v>
      </c>
      <c r="C14476" t="s">
        <v>27</v>
      </c>
      <c r="D14476" t="s">
        <v>11</v>
      </c>
      <c r="E14476" t="s">
        <v>12</v>
      </c>
      <c r="F14476">
        <v>82782861</v>
      </c>
      <c r="G14476">
        <v>82782949</v>
      </c>
      <c r="H14476">
        <v>82782834</v>
      </c>
      <c r="I14476">
        <v>82782850</v>
      </c>
    </row>
    <row r="14477" spans="1:9" x14ac:dyDescent="0.2">
      <c r="A14477" s="1" t="str">
        <f>"RAB31"</f>
        <v>RAB31</v>
      </c>
      <c r="B14477" t="s">
        <v>14</v>
      </c>
      <c r="C14477" t="s">
        <v>43</v>
      </c>
      <c r="D14477" t="s">
        <v>17</v>
      </c>
      <c r="E14477" t="s">
        <v>12</v>
      </c>
      <c r="F14477">
        <v>9708229</v>
      </c>
      <c r="G14477">
        <v>9708326</v>
      </c>
      <c r="H14477">
        <v>9708214</v>
      </c>
      <c r="I14477">
        <v>9708222</v>
      </c>
    </row>
    <row r="14478" spans="1:9" x14ac:dyDescent="0.2">
      <c r="A14478" s="1" t="str">
        <f>"RAB32"</f>
        <v>RAB32</v>
      </c>
      <c r="B14478" t="s">
        <v>14</v>
      </c>
      <c r="C14478" t="s">
        <v>32</v>
      </c>
      <c r="D14478" t="s">
        <v>17</v>
      </c>
      <c r="E14478" t="s">
        <v>12</v>
      </c>
      <c r="F14478">
        <v>146864960</v>
      </c>
      <c r="G14478">
        <v>146864999</v>
      </c>
      <c r="H14478">
        <v>146864935</v>
      </c>
      <c r="I14478">
        <v>146864949</v>
      </c>
    </row>
    <row r="14479" spans="1:9" x14ac:dyDescent="0.2">
      <c r="A14479" s="1" t="str">
        <f>"RAB33A"</f>
        <v>RAB33A</v>
      </c>
      <c r="B14479" t="s">
        <v>14</v>
      </c>
      <c r="C14479" t="s">
        <v>37</v>
      </c>
      <c r="D14479" t="s">
        <v>17</v>
      </c>
      <c r="E14479" t="s">
        <v>12</v>
      </c>
      <c r="F14479">
        <v>129305877</v>
      </c>
      <c r="G14479">
        <v>129305957</v>
      </c>
      <c r="H14479">
        <v>129305877</v>
      </c>
      <c r="I14479">
        <v>129305957</v>
      </c>
    </row>
    <row r="14480" spans="1:9" x14ac:dyDescent="0.2">
      <c r="A14480" s="1" t="str">
        <f>"RAB33B"</f>
        <v>RAB33B</v>
      </c>
      <c r="B14480" t="s">
        <v>14</v>
      </c>
      <c r="C14480" t="s">
        <v>23</v>
      </c>
      <c r="D14480" t="s">
        <v>17</v>
      </c>
      <c r="E14480" t="s">
        <v>12</v>
      </c>
      <c r="F14480">
        <v>140375224</v>
      </c>
      <c r="G14480">
        <v>140375317</v>
      </c>
      <c r="H14480">
        <v>140374966</v>
      </c>
      <c r="I14480">
        <v>140375016</v>
      </c>
    </row>
    <row r="14481" spans="1:9" x14ac:dyDescent="0.2">
      <c r="A14481" s="1" t="str">
        <f>"RAB34"</f>
        <v>RAB34</v>
      </c>
      <c r="B14481" t="s">
        <v>14</v>
      </c>
      <c r="C14481" t="s">
        <v>28</v>
      </c>
      <c r="D14481" t="s">
        <v>11</v>
      </c>
      <c r="E14481" t="s">
        <v>12</v>
      </c>
      <c r="F14481">
        <v>27045165</v>
      </c>
      <c r="G14481">
        <v>27045230</v>
      </c>
      <c r="H14481">
        <v>27044810</v>
      </c>
      <c r="I14481">
        <v>27044873</v>
      </c>
    </row>
    <row r="14482" spans="1:9" x14ac:dyDescent="0.2">
      <c r="A14482" s="1" t="str">
        <f>"RAB35"</f>
        <v>RAB35</v>
      </c>
      <c r="B14482" t="s">
        <v>14</v>
      </c>
      <c r="C14482" t="s">
        <v>16</v>
      </c>
      <c r="D14482" t="s">
        <v>11</v>
      </c>
      <c r="E14482" t="s">
        <v>12</v>
      </c>
      <c r="F14482">
        <v>120554534</v>
      </c>
      <c r="G14482">
        <v>120554585</v>
      </c>
      <c r="H14482">
        <v>120554622</v>
      </c>
      <c r="I14482">
        <v>120554648</v>
      </c>
    </row>
    <row r="14483" spans="1:9" x14ac:dyDescent="0.2">
      <c r="A14483" s="1" t="str">
        <f>"RAB36"</f>
        <v>RAB36</v>
      </c>
      <c r="B14483" t="s">
        <v>14</v>
      </c>
      <c r="C14483" t="s">
        <v>21</v>
      </c>
      <c r="D14483" t="s">
        <v>17</v>
      </c>
      <c r="E14483" t="s">
        <v>12</v>
      </c>
      <c r="F14483">
        <v>23487651</v>
      </c>
      <c r="G14483">
        <v>23487707</v>
      </c>
      <c r="H14483">
        <v>23487713</v>
      </c>
      <c r="I14483">
        <v>23487729</v>
      </c>
    </row>
    <row r="14484" spans="1:9" x14ac:dyDescent="0.2">
      <c r="A14484" s="1" t="str">
        <f>"RAB37"</f>
        <v>RAB37</v>
      </c>
      <c r="B14484" t="s">
        <v>14</v>
      </c>
      <c r="C14484" t="s">
        <v>28</v>
      </c>
      <c r="D14484" t="s">
        <v>17</v>
      </c>
      <c r="E14484" t="s">
        <v>12</v>
      </c>
      <c r="F14484">
        <v>72733377</v>
      </c>
      <c r="G14484">
        <v>72733403</v>
      </c>
      <c r="H14484">
        <v>72733350</v>
      </c>
      <c r="I14484">
        <v>72733373</v>
      </c>
    </row>
    <row r="14485" spans="1:9" x14ac:dyDescent="0.2">
      <c r="A14485" s="1" t="str">
        <f>"RAB38"</f>
        <v>RAB38</v>
      </c>
      <c r="B14485" t="s">
        <v>14</v>
      </c>
      <c r="C14485" t="s">
        <v>27</v>
      </c>
      <c r="D14485" t="s">
        <v>11</v>
      </c>
      <c r="E14485" t="s">
        <v>12</v>
      </c>
      <c r="F14485">
        <v>87908600</v>
      </c>
      <c r="G14485">
        <v>87908680</v>
      </c>
      <c r="H14485">
        <v>87908745</v>
      </c>
      <c r="I14485">
        <v>87908746</v>
      </c>
    </row>
    <row r="14486" spans="1:9" x14ac:dyDescent="0.2">
      <c r="A14486" s="1" t="str">
        <f>"RAB39A"</f>
        <v>RAB39A</v>
      </c>
      <c r="B14486" t="s">
        <v>14</v>
      </c>
      <c r="C14486" t="s">
        <v>27</v>
      </c>
      <c r="D14486" t="s">
        <v>17</v>
      </c>
      <c r="E14486" t="s">
        <v>12</v>
      </c>
      <c r="F14486">
        <v>107799118</v>
      </c>
      <c r="G14486">
        <v>107799197</v>
      </c>
      <c r="H14486">
        <v>107799212</v>
      </c>
      <c r="I14486">
        <v>107799236</v>
      </c>
    </row>
    <row r="14487" spans="1:9" x14ac:dyDescent="0.2">
      <c r="A14487" s="1" t="str">
        <f>"RAB39B"</f>
        <v>RAB39B</v>
      </c>
      <c r="B14487" t="s">
        <v>14</v>
      </c>
      <c r="C14487" t="s">
        <v>37</v>
      </c>
      <c r="D14487" t="s">
        <v>11</v>
      </c>
      <c r="E14487" t="s">
        <v>12</v>
      </c>
      <c r="F14487">
        <v>154493737</v>
      </c>
      <c r="G14487">
        <v>154493787</v>
      </c>
      <c r="H14487">
        <v>154493791</v>
      </c>
      <c r="I14487">
        <v>154493816</v>
      </c>
    </row>
    <row r="14488" spans="1:9" x14ac:dyDescent="0.2">
      <c r="A14488" s="1" t="str">
        <f>"RAB3A"</f>
        <v>RAB3A</v>
      </c>
      <c r="B14488" t="s">
        <v>14</v>
      </c>
      <c r="C14488" t="s">
        <v>10</v>
      </c>
      <c r="D14488" t="s">
        <v>11</v>
      </c>
      <c r="E14488" t="s">
        <v>12</v>
      </c>
      <c r="F14488">
        <v>18314836</v>
      </c>
      <c r="G14488">
        <v>18314865</v>
      </c>
      <c r="H14488">
        <v>18314799</v>
      </c>
      <c r="I14488">
        <v>18314828</v>
      </c>
    </row>
    <row r="14489" spans="1:9" x14ac:dyDescent="0.2">
      <c r="A14489" s="1" t="str">
        <f>"RAB3B"</f>
        <v>RAB3B</v>
      </c>
      <c r="B14489" t="s">
        <v>14</v>
      </c>
      <c r="C14489" t="s">
        <v>19</v>
      </c>
      <c r="D14489" t="s">
        <v>11</v>
      </c>
      <c r="E14489" t="s">
        <v>12</v>
      </c>
      <c r="F14489">
        <v>52456352</v>
      </c>
      <c r="G14489">
        <v>52456418</v>
      </c>
      <c r="H14489">
        <v>52456266</v>
      </c>
      <c r="I14489">
        <v>52456290</v>
      </c>
    </row>
    <row r="14490" spans="1:9" x14ac:dyDescent="0.2">
      <c r="A14490" s="1" t="str">
        <f>"RAB3C"</f>
        <v>RAB3C</v>
      </c>
      <c r="B14490" t="s">
        <v>14</v>
      </c>
      <c r="C14490" t="s">
        <v>46</v>
      </c>
      <c r="D14490" t="s">
        <v>17</v>
      </c>
      <c r="E14490" t="s">
        <v>12</v>
      </c>
      <c r="F14490">
        <v>57878895</v>
      </c>
      <c r="G14490">
        <v>57878929</v>
      </c>
      <c r="H14490">
        <v>57877973</v>
      </c>
      <c r="I14490">
        <v>57878025</v>
      </c>
    </row>
    <row r="14491" spans="1:9" x14ac:dyDescent="0.2">
      <c r="A14491" s="1" t="str">
        <f>"RAB3D"</f>
        <v>RAB3D</v>
      </c>
      <c r="B14491" t="s">
        <v>14</v>
      </c>
      <c r="C14491" t="s">
        <v>10</v>
      </c>
      <c r="D14491" t="s">
        <v>11</v>
      </c>
      <c r="E14491" t="s">
        <v>12</v>
      </c>
      <c r="F14491">
        <v>11450249</v>
      </c>
      <c r="G14491">
        <v>11450350</v>
      </c>
      <c r="H14491">
        <v>11450249</v>
      </c>
      <c r="I14491">
        <v>11450350</v>
      </c>
    </row>
    <row r="14492" spans="1:9" x14ac:dyDescent="0.2">
      <c r="A14492" s="1" t="str">
        <f>"RAB3GAP1"</f>
        <v>RAB3GAP1</v>
      </c>
      <c r="B14492" t="s">
        <v>14</v>
      </c>
      <c r="C14492" t="s">
        <v>26</v>
      </c>
      <c r="D14492" t="s">
        <v>17</v>
      </c>
      <c r="E14492" t="s">
        <v>12</v>
      </c>
      <c r="F14492">
        <v>135809844</v>
      </c>
      <c r="G14492">
        <v>135809874</v>
      </c>
      <c r="H14492">
        <v>135809844</v>
      </c>
      <c r="I14492">
        <v>135809874</v>
      </c>
    </row>
    <row r="14493" spans="1:9" x14ac:dyDescent="0.2">
      <c r="A14493" s="1" t="str">
        <f>"RAB3GAP2"</f>
        <v>RAB3GAP2</v>
      </c>
      <c r="B14493" t="s">
        <v>14</v>
      </c>
      <c r="C14493" t="s">
        <v>19</v>
      </c>
      <c r="D14493" t="s">
        <v>11</v>
      </c>
      <c r="E14493" t="s">
        <v>12</v>
      </c>
      <c r="F14493">
        <v>220445757</v>
      </c>
      <c r="G14493">
        <v>220445819</v>
      </c>
      <c r="H14493">
        <v>220445694</v>
      </c>
      <c r="I14493">
        <v>220445727</v>
      </c>
    </row>
    <row r="14494" spans="1:9" x14ac:dyDescent="0.2">
      <c r="A14494" s="1" t="str">
        <f>"RAB3IL1"</f>
        <v>RAB3IL1</v>
      </c>
      <c r="B14494" t="s">
        <v>14</v>
      </c>
      <c r="C14494" t="s">
        <v>27</v>
      </c>
      <c r="D14494" t="s">
        <v>11</v>
      </c>
      <c r="E14494" t="s">
        <v>12</v>
      </c>
      <c r="F14494">
        <v>61684962</v>
      </c>
      <c r="G14494">
        <v>61685063</v>
      </c>
      <c r="H14494">
        <v>61685064</v>
      </c>
      <c r="I14494">
        <v>61685074</v>
      </c>
    </row>
    <row r="14495" spans="1:9" x14ac:dyDescent="0.2">
      <c r="A14495" s="1" t="str">
        <f>"RAB3IP"</f>
        <v>RAB3IP</v>
      </c>
      <c r="B14495" t="s">
        <v>14</v>
      </c>
      <c r="C14495" t="s">
        <v>16</v>
      </c>
      <c r="D14495" t="s">
        <v>17</v>
      </c>
      <c r="E14495" t="s">
        <v>12</v>
      </c>
      <c r="F14495">
        <v>70132632</v>
      </c>
      <c r="G14495">
        <v>70132687</v>
      </c>
      <c r="H14495">
        <v>70132688</v>
      </c>
      <c r="I14495">
        <v>70132699</v>
      </c>
    </row>
    <row r="14496" spans="1:9" x14ac:dyDescent="0.2">
      <c r="A14496" s="1" t="str">
        <f>"RAB40A"</f>
        <v>RAB40A</v>
      </c>
      <c r="B14496" t="s">
        <v>14</v>
      </c>
      <c r="C14496" t="s">
        <v>37</v>
      </c>
      <c r="D14496" t="s">
        <v>11</v>
      </c>
      <c r="E14496" t="s">
        <v>12</v>
      </c>
      <c r="F14496">
        <v>102757802</v>
      </c>
      <c r="G14496">
        <v>102757810</v>
      </c>
      <c r="H14496">
        <v>102757802</v>
      </c>
      <c r="I14496">
        <v>102757810</v>
      </c>
    </row>
    <row r="14497" spans="1:9" x14ac:dyDescent="0.2">
      <c r="A14497" s="1" t="str">
        <f>"RAB40AL"</f>
        <v>RAB40AL</v>
      </c>
      <c r="B14497" t="s">
        <v>1448</v>
      </c>
      <c r="C14497" t="s">
        <v>37</v>
      </c>
      <c r="D14497" t="s">
        <v>17</v>
      </c>
      <c r="E14497" t="s">
        <v>20</v>
      </c>
      <c r="F14497">
        <v>102192199</v>
      </c>
      <c r="G14497">
        <v>102192199</v>
      </c>
      <c r="H14497">
        <v>102192199</v>
      </c>
      <c r="I14497">
        <v>102192199</v>
      </c>
    </row>
    <row r="14498" spans="1:9" x14ac:dyDescent="0.2">
      <c r="A14498" s="1" t="str">
        <f>"RAB40B"</f>
        <v>RAB40B</v>
      </c>
      <c r="B14498" t="s">
        <v>14</v>
      </c>
      <c r="C14498" t="s">
        <v>28</v>
      </c>
      <c r="D14498" t="s">
        <v>11</v>
      </c>
      <c r="E14498" t="s">
        <v>12</v>
      </c>
      <c r="F14498">
        <v>80656528</v>
      </c>
      <c r="G14498">
        <v>80656591</v>
      </c>
      <c r="H14498">
        <v>80656513</v>
      </c>
      <c r="I14498">
        <v>80656524</v>
      </c>
    </row>
    <row r="14499" spans="1:9" x14ac:dyDescent="0.2">
      <c r="A14499" s="1" t="str">
        <f>"RAB40C"</f>
        <v>RAB40C</v>
      </c>
      <c r="B14499" t="s">
        <v>14</v>
      </c>
      <c r="C14499" t="s">
        <v>31</v>
      </c>
      <c r="D14499" t="s">
        <v>17</v>
      </c>
      <c r="E14499" t="s">
        <v>12</v>
      </c>
      <c r="F14499">
        <v>640055</v>
      </c>
      <c r="G14499">
        <v>640118</v>
      </c>
      <c r="H14499">
        <v>640157</v>
      </c>
      <c r="I14499">
        <v>640194</v>
      </c>
    </row>
    <row r="14500" spans="1:9" x14ac:dyDescent="0.2">
      <c r="A14500" s="1" t="str">
        <f>"RAB41"</f>
        <v>RAB41</v>
      </c>
      <c r="B14500" t="s">
        <v>14</v>
      </c>
      <c r="C14500" t="s">
        <v>37</v>
      </c>
      <c r="D14500" t="s">
        <v>17</v>
      </c>
      <c r="E14500" t="s">
        <v>12</v>
      </c>
      <c r="F14500">
        <v>69502022</v>
      </c>
      <c r="G14500">
        <v>69502067</v>
      </c>
      <c r="H14500">
        <v>69501982</v>
      </c>
      <c r="I14500">
        <v>69501988</v>
      </c>
    </row>
    <row r="14501" spans="1:9" x14ac:dyDescent="0.2">
      <c r="A14501" s="1" t="str">
        <f>"RAB42"</f>
        <v>RAB42</v>
      </c>
      <c r="B14501" t="s">
        <v>14</v>
      </c>
      <c r="C14501" t="s">
        <v>19</v>
      </c>
      <c r="D14501" t="s">
        <v>17</v>
      </c>
      <c r="E14501" t="s">
        <v>12</v>
      </c>
      <c r="F14501">
        <v>28918983</v>
      </c>
      <c r="G14501">
        <v>28919011</v>
      </c>
      <c r="H14501">
        <v>28918768</v>
      </c>
      <c r="I14501">
        <v>28918785</v>
      </c>
    </row>
    <row r="14502" spans="1:9" x14ac:dyDescent="0.2">
      <c r="A14502" s="1" t="str">
        <f>"RAB43"</f>
        <v>RAB43</v>
      </c>
      <c r="B14502" t="s">
        <v>14</v>
      </c>
      <c r="C14502" t="s">
        <v>22</v>
      </c>
      <c r="D14502" t="s">
        <v>11</v>
      </c>
      <c r="E14502" t="s">
        <v>12</v>
      </c>
      <c r="F14502">
        <v>128840604</v>
      </c>
      <c r="G14502">
        <v>128840655</v>
      </c>
      <c r="H14502">
        <v>128840447</v>
      </c>
      <c r="I14502">
        <v>128840483</v>
      </c>
    </row>
    <row r="14503" spans="1:9" x14ac:dyDescent="0.2">
      <c r="A14503" s="1" t="str">
        <f>"RAB44"</f>
        <v>RAB44</v>
      </c>
      <c r="B14503" t="s">
        <v>1449</v>
      </c>
      <c r="C14503" t="s">
        <v>32</v>
      </c>
      <c r="D14503" t="s">
        <v>17</v>
      </c>
      <c r="E14503" t="s">
        <v>20</v>
      </c>
      <c r="F14503">
        <v>36683255</v>
      </c>
      <c r="G14503">
        <v>36683255</v>
      </c>
      <c r="H14503">
        <v>36683255</v>
      </c>
      <c r="I14503">
        <v>36683255</v>
      </c>
    </row>
    <row r="14504" spans="1:9" x14ac:dyDescent="0.2">
      <c r="A14504" s="1" t="str">
        <f>"RAB4A"</f>
        <v>RAB4A</v>
      </c>
      <c r="B14504" t="s">
        <v>14</v>
      </c>
      <c r="C14504" t="s">
        <v>19</v>
      </c>
      <c r="D14504" t="s">
        <v>17</v>
      </c>
      <c r="E14504" t="s">
        <v>12</v>
      </c>
      <c r="F14504">
        <v>229406847</v>
      </c>
      <c r="G14504">
        <v>229406935</v>
      </c>
      <c r="H14504">
        <v>229407001</v>
      </c>
      <c r="I14504">
        <v>229407025</v>
      </c>
    </row>
    <row r="14505" spans="1:9" x14ac:dyDescent="0.2">
      <c r="A14505" s="1" t="str">
        <f>"RAB4B"</f>
        <v>RAB4B</v>
      </c>
      <c r="B14505" t="s">
        <v>14</v>
      </c>
      <c r="C14505" t="s">
        <v>10</v>
      </c>
      <c r="D14505" t="s">
        <v>17</v>
      </c>
      <c r="E14505" t="s">
        <v>12</v>
      </c>
      <c r="F14505">
        <v>41284135</v>
      </c>
      <c r="G14505">
        <v>41284211</v>
      </c>
      <c r="H14505">
        <v>41284095</v>
      </c>
      <c r="I14505">
        <v>41284104</v>
      </c>
    </row>
    <row r="14506" spans="1:9" x14ac:dyDescent="0.2">
      <c r="A14506" s="1" t="str">
        <f>"RAB5A"</f>
        <v>RAB5A</v>
      </c>
      <c r="B14506" t="s">
        <v>14</v>
      </c>
      <c r="C14506" t="s">
        <v>22</v>
      </c>
      <c r="D14506" t="s">
        <v>17</v>
      </c>
      <c r="E14506" t="s">
        <v>12</v>
      </c>
      <c r="F14506">
        <v>19988566</v>
      </c>
      <c r="G14506">
        <v>19988648</v>
      </c>
      <c r="H14506">
        <v>19988856</v>
      </c>
      <c r="I14506">
        <v>19988879</v>
      </c>
    </row>
    <row r="14507" spans="1:9" x14ac:dyDescent="0.2">
      <c r="A14507" s="1" t="str">
        <f>"RAB5B"</f>
        <v>RAB5B</v>
      </c>
      <c r="B14507" t="s">
        <v>14</v>
      </c>
      <c r="C14507" t="s">
        <v>16</v>
      </c>
      <c r="D14507" t="s">
        <v>17</v>
      </c>
      <c r="E14507" t="s">
        <v>12</v>
      </c>
      <c r="F14507">
        <v>56367843</v>
      </c>
      <c r="G14507">
        <v>56367893</v>
      </c>
      <c r="H14507">
        <v>56367843</v>
      </c>
      <c r="I14507">
        <v>56367893</v>
      </c>
    </row>
    <row r="14508" spans="1:9" x14ac:dyDescent="0.2">
      <c r="A14508" s="1" t="str">
        <f>"RAB5C"</f>
        <v>RAB5C</v>
      </c>
      <c r="B14508" t="s">
        <v>9</v>
      </c>
      <c r="C14508" t="s">
        <v>28</v>
      </c>
      <c r="D14508" t="s">
        <v>11</v>
      </c>
      <c r="E14508" t="s">
        <v>12</v>
      </c>
      <c r="F14508">
        <v>40306979</v>
      </c>
      <c r="G14508">
        <v>40307034</v>
      </c>
      <c r="H14508">
        <v>40306979</v>
      </c>
      <c r="I14508">
        <v>40307034</v>
      </c>
    </row>
    <row r="14509" spans="1:9" x14ac:dyDescent="0.2">
      <c r="A14509" s="1" t="str">
        <f>"RAB5C"</f>
        <v>RAB5C</v>
      </c>
      <c r="B14509" t="s">
        <v>13</v>
      </c>
      <c r="C14509" t="s">
        <v>28</v>
      </c>
      <c r="D14509" t="s">
        <v>11</v>
      </c>
      <c r="E14509" t="s">
        <v>12</v>
      </c>
      <c r="F14509">
        <v>40282551</v>
      </c>
      <c r="G14509">
        <v>40282615</v>
      </c>
      <c r="H14509">
        <v>40282551</v>
      </c>
      <c r="I14509">
        <v>40282615</v>
      </c>
    </row>
    <row r="14510" spans="1:9" x14ac:dyDescent="0.2">
      <c r="A14510" s="1" t="str">
        <f>"RAB6A"</f>
        <v>RAB6A</v>
      </c>
      <c r="B14510" t="s">
        <v>14</v>
      </c>
      <c r="C14510" t="s">
        <v>27</v>
      </c>
      <c r="D14510" t="s">
        <v>11</v>
      </c>
      <c r="E14510" t="s">
        <v>12</v>
      </c>
      <c r="F14510">
        <v>73472096</v>
      </c>
      <c r="G14510">
        <v>73472204</v>
      </c>
      <c r="H14510">
        <v>73472096</v>
      </c>
      <c r="I14510">
        <v>73472204</v>
      </c>
    </row>
    <row r="14511" spans="1:9" x14ac:dyDescent="0.2">
      <c r="A14511" s="1" t="str">
        <f>"RAB6B"</f>
        <v>RAB6B</v>
      </c>
      <c r="B14511" t="s">
        <v>14</v>
      </c>
      <c r="C14511" t="s">
        <v>22</v>
      </c>
      <c r="D14511" t="s">
        <v>11</v>
      </c>
      <c r="E14511" t="s">
        <v>12</v>
      </c>
      <c r="F14511">
        <v>133614597</v>
      </c>
      <c r="G14511">
        <v>133614681</v>
      </c>
      <c r="H14511">
        <v>133614551</v>
      </c>
      <c r="I14511">
        <v>133614594</v>
      </c>
    </row>
    <row r="14512" spans="1:9" x14ac:dyDescent="0.2">
      <c r="A14512" s="1" t="str">
        <f>"RAB6C"</f>
        <v>RAB6C</v>
      </c>
      <c r="B14512" t="s">
        <v>14</v>
      </c>
      <c r="C14512" t="s">
        <v>26</v>
      </c>
      <c r="D14512" t="s">
        <v>17</v>
      </c>
      <c r="E14512" t="s">
        <v>12</v>
      </c>
      <c r="F14512">
        <v>130737223</v>
      </c>
      <c r="G14512">
        <v>130737244</v>
      </c>
      <c r="H14512">
        <v>130737332</v>
      </c>
      <c r="I14512">
        <v>130737343</v>
      </c>
    </row>
    <row r="14513" spans="1:9" x14ac:dyDescent="0.2">
      <c r="A14513" s="1" t="str">
        <f>"RAB7A"</f>
        <v>RAB7A</v>
      </c>
      <c r="B14513" t="s">
        <v>14</v>
      </c>
      <c r="C14513" t="s">
        <v>22</v>
      </c>
      <c r="D14513" t="s">
        <v>17</v>
      </c>
      <c r="E14513" t="s">
        <v>12</v>
      </c>
      <c r="F14513">
        <v>128444994</v>
      </c>
      <c r="G14513">
        <v>128445044</v>
      </c>
      <c r="H14513">
        <v>128444973</v>
      </c>
      <c r="I14513">
        <v>128444985</v>
      </c>
    </row>
    <row r="14514" spans="1:9" x14ac:dyDescent="0.2">
      <c r="A14514" s="1" t="str">
        <f>"RAB7L1"</f>
        <v>RAB7L1</v>
      </c>
      <c r="B14514" t="s">
        <v>14</v>
      </c>
      <c r="C14514" t="s">
        <v>19</v>
      </c>
      <c r="D14514" t="s">
        <v>11</v>
      </c>
      <c r="E14514" t="s">
        <v>12</v>
      </c>
      <c r="F14514">
        <v>205744575</v>
      </c>
      <c r="G14514">
        <v>205744617</v>
      </c>
      <c r="H14514">
        <v>205744205</v>
      </c>
      <c r="I14514">
        <v>205744244</v>
      </c>
    </row>
    <row r="14515" spans="1:9" x14ac:dyDescent="0.2">
      <c r="A14515" s="1" t="str">
        <f>"RAB8A"</f>
        <v>RAB8A</v>
      </c>
      <c r="B14515" t="s">
        <v>14</v>
      </c>
      <c r="C14515" t="s">
        <v>10</v>
      </c>
      <c r="D14515" t="s">
        <v>17</v>
      </c>
      <c r="E14515" t="s">
        <v>12</v>
      </c>
      <c r="F14515">
        <v>16222678</v>
      </c>
      <c r="G14515">
        <v>16222722</v>
      </c>
      <c r="H14515">
        <v>16222457</v>
      </c>
      <c r="I14515">
        <v>16222472</v>
      </c>
    </row>
    <row r="14516" spans="1:9" x14ac:dyDescent="0.2">
      <c r="A14516" s="1" t="str">
        <f>"RAB8B"</f>
        <v>RAB8B</v>
      </c>
      <c r="B14516" t="s">
        <v>14</v>
      </c>
      <c r="C14516" t="s">
        <v>25</v>
      </c>
      <c r="D14516" t="s">
        <v>17</v>
      </c>
      <c r="E14516" t="s">
        <v>12</v>
      </c>
      <c r="F14516">
        <v>63481753</v>
      </c>
      <c r="G14516">
        <v>63481812</v>
      </c>
      <c r="H14516">
        <v>63481753</v>
      </c>
      <c r="I14516">
        <v>63481812</v>
      </c>
    </row>
    <row r="14517" spans="1:9" x14ac:dyDescent="0.2">
      <c r="A14517" s="1" t="str">
        <f>"RAB9A"</f>
        <v>RAB9A</v>
      </c>
      <c r="B14517" t="s">
        <v>14</v>
      </c>
      <c r="C14517" t="s">
        <v>37</v>
      </c>
      <c r="D14517" t="s">
        <v>17</v>
      </c>
      <c r="E14517" t="s">
        <v>12</v>
      </c>
      <c r="F14517">
        <v>13707235</v>
      </c>
      <c r="G14517">
        <v>13707286</v>
      </c>
      <c r="H14517">
        <v>13707290</v>
      </c>
      <c r="I14517">
        <v>13707304</v>
      </c>
    </row>
    <row r="14518" spans="1:9" x14ac:dyDescent="0.2">
      <c r="A14518" s="1" t="str">
        <f>"RAB9B"</f>
        <v>RAB9B</v>
      </c>
      <c r="B14518" t="s">
        <v>14</v>
      </c>
      <c r="C14518" t="s">
        <v>37</v>
      </c>
      <c r="D14518" t="s">
        <v>11</v>
      </c>
      <c r="E14518" t="s">
        <v>12</v>
      </c>
      <c r="F14518">
        <v>103087136</v>
      </c>
      <c r="G14518">
        <v>103087209</v>
      </c>
      <c r="H14518">
        <v>103087111</v>
      </c>
      <c r="I14518">
        <v>103087130</v>
      </c>
    </row>
    <row r="14519" spans="1:9" x14ac:dyDescent="0.2">
      <c r="A14519" s="1" t="str">
        <f>"RABAC1"</f>
        <v>RABAC1</v>
      </c>
      <c r="B14519" t="s">
        <v>14</v>
      </c>
      <c r="C14519" t="s">
        <v>10</v>
      </c>
      <c r="D14519" t="s">
        <v>11</v>
      </c>
      <c r="E14519" t="s">
        <v>12</v>
      </c>
      <c r="F14519">
        <v>42463447</v>
      </c>
      <c r="G14519">
        <v>42463513</v>
      </c>
      <c r="H14519">
        <v>42463447</v>
      </c>
      <c r="I14519">
        <v>42463513</v>
      </c>
    </row>
    <row r="14520" spans="1:9" x14ac:dyDescent="0.2">
      <c r="A14520" s="1" t="str">
        <f>"RABEP1"</f>
        <v>RABEP1</v>
      </c>
      <c r="B14520" t="s">
        <v>14</v>
      </c>
      <c r="C14520" t="s">
        <v>28</v>
      </c>
      <c r="D14520" t="s">
        <v>17</v>
      </c>
      <c r="E14520" t="s">
        <v>12</v>
      </c>
      <c r="F14520">
        <v>5185552</v>
      </c>
      <c r="G14520">
        <v>5185587</v>
      </c>
      <c r="H14520">
        <v>5185609</v>
      </c>
      <c r="I14520">
        <v>5185622</v>
      </c>
    </row>
    <row r="14521" spans="1:9" x14ac:dyDescent="0.2">
      <c r="A14521" s="1" t="str">
        <f>"RABEP2"</f>
        <v>RABEP2</v>
      </c>
      <c r="B14521" t="s">
        <v>14</v>
      </c>
      <c r="C14521" t="s">
        <v>31</v>
      </c>
      <c r="D14521" t="s">
        <v>11</v>
      </c>
      <c r="E14521" t="s">
        <v>12</v>
      </c>
      <c r="F14521">
        <v>28936493</v>
      </c>
      <c r="G14521">
        <v>28936564</v>
      </c>
      <c r="H14521">
        <v>28937027</v>
      </c>
      <c r="I14521">
        <v>28937061</v>
      </c>
    </row>
    <row r="14522" spans="1:9" x14ac:dyDescent="0.2">
      <c r="A14522" s="1" t="str">
        <f>"RABEPK"</f>
        <v>RABEPK</v>
      </c>
      <c r="B14522" t="s">
        <v>14</v>
      </c>
      <c r="C14522" t="s">
        <v>24</v>
      </c>
      <c r="D14522" t="s">
        <v>17</v>
      </c>
      <c r="E14522" t="s">
        <v>12</v>
      </c>
      <c r="F14522">
        <v>127962795</v>
      </c>
      <c r="G14522">
        <v>127962834</v>
      </c>
      <c r="H14522">
        <v>127962856</v>
      </c>
      <c r="I14522">
        <v>127962869</v>
      </c>
    </row>
    <row r="14523" spans="1:9" x14ac:dyDescent="0.2">
      <c r="A14523" s="1" t="str">
        <f>"RABGAP1"</f>
        <v>RABGAP1</v>
      </c>
      <c r="B14523" t="s">
        <v>14</v>
      </c>
      <c r="C14523" t="s">
        <v>24</v>
      </c>
      <c r="D14523" t="s">
        <v>17</v>
      </c>
      <c r="E14523" t="s">
        <v>12</v>
      </c>
      <c r="F14523">
        <v>125703282</v>
      </c>
      <c r="G14523">
        <v>125703337</v>
      </c>
      <c r="H14523">
        <v>125703282</v>
      </c>
      <c r="I14523">
        <v>125703337</v>
      </c>
    </row>
    <row r="14524" spans="1:9" x14ac:dyDescent="0.2">
      <c r="A14524" s="1" t="str">
        <f>"RABGAP1L"</f>
        <v>RABGAP1L</v>
      </c>
      <c r="B14524" t="s">
        <v>14</v>
      </c>
      <c r="C14524" t="s">
        <v>19</v>
      </c>
      <c r="D14524" t="s">
        <v>17</v>
      </c>
      <c r="E14524" t="s">
        <v>12</v>
      </c>
      <c r="F14524">
        <v>174128639</v>
      </c>
      <c r="G14524">
        <v>174128692</v>
      </c>
      <c r="H14524">
        <v>174128639</v>
      </c>
      <c r="I14524">
        <v>174128692</v>
      </c>
    </row>
    <row r="14525" spans="1:9" x14ac:dyDescent="0.2">
      <c r="A14525" s="1" t="str">
        <f>"RABGEF1"</f>
        <v>RABGEF1</v>
      </c>
      <c r="B14525" t="s">
        <v>14</v>
      </c>
      <c r="C14525" t="s">
        <v>33</v>
      </c>
      <c r="D14525" t="s">
        <v>17</v>
      </c>
      <c r="E14525" t="s">
        <v>12</v>
      </c>
      <c r="F14525">
        <v>66205712</v>
      </c>
      <c r="G14525">
        <v>66205726</v>
      </c>
      <c r="H14525">
        <v>66205712</v>
      </c>
      <c r="I14525">
        <v>66205726</v>
      </c>
    </row>
    <row r="14526" spans="1:9" x14ac:dyDescent="0.2">
      <c r="A14526" s="1" t="str">
        <f>"RABGGTA"</f>
        <v>RABGGTA</v>
      </c>
      <c r="B14526" t="s">
        <v>14</v>
      </c>
      <c r="C14526" t="s">
        <v>41</v>
      </c>
      <c r="D14526" t="s">
        <v>11</v>
      </c>
      <c r="E14526" t="s">
        <v>12</v>
      </c>
      <c r="F14526">
        <v>24740709</v>
      </c>
      <c r="G14526">
        <v>24740825</v>
      </c>
      <c r="H14526">
        <v>24740372</v>
      </c>
      <c r="I14526">
        <v>24740401</v>
      </c>
    </row>
    <row r="14527" spans="1:9" x14ac:dyDescent="0.2">
      <c r="A14527" s="1" t="str">
        <f>"RABGGTB"</f>
        <v>RABGGTB</v>
      </c>
      <c r="B14527" t="s">
        <v>14</v>
      </c>
      <c r="C14527" t="s">
        <v>19</v>
      </c>
      <c r="D14527" t="s">
        <v>17</v>
      </c>
      <c r="E14527" t="s">
        <v>12</v>
      </c>
      <c r="F14527">
        <v>76251931</v>
      </c>
      <c r="G14527">
        <v>76251956</v>
      </c>
      <c r="H14527">
        <v>76251888</v>
      </c>
      <c r="I14527">
        <v>76251909</v>
      </c>
    </row>
    <row r="14528" spans="1:9" x14ac:dyDescent="0.2">
      <c r="A14528" s="1" t="str">
        <f>"RABIF"</f>
        <v>RABIF</v>
      </c>
      <c r="B14528" t="s">
        <v>14</v>
      </c>
      <c r="C14528" t="s">
        <v>19</v>
      </c>
      <c r="D14528" t="s">
        <v>11</v>
      </c>
      <c r="E14528" t="s">
        <v>12</v>
      </c>
      <c r="F14528">
        <v>202858227</v>
      </c>
      <c r="G14528">
        <v>202858283</v>
      </c>
      <c r="H14528">
        <v>202858289</v>
      </c>
      <c r="I14528">
        <v>202858300</v>
      </c>
    </row>
    <row r="14529" spans="1:9" x14ac:dyDescent="0.2">
      <c r="A14529" s="1" t="str">
        <f>"RABL2A"</f>
        <v>RABL2A</v>
      </c>
      <c r="B14529" t="s">
        <v>14</v>
      </c>
      <c r="C14529" t="s">
        <v>26</v>
      </c>
      <c r="D14529" t="s">
        <v>17</v>
      </c>
      <c r="E14529" t="s">
        <v>12</v>
      </c>
      <c r="F14529">
        <v>114384837</v>
      </c>
      <c r="G14529">
        <v>114384859</v>
      </c>
      <c r="H14529">
        <v>114384812</v>
      </c>
      <c r="I14529">
        <v>114384832</v>
      </c>
    </row>
    <row r="14530" spans="1:9" x14ac:dyDescent="0.2">
      <c r="A14530" s="1" t="str">
        <f>"RABL2B"</f>
        <v>RABL2B</v>
      </c>
      <c r="B14530" t="s">
        <v>14</v>
      </c>
      <c r="C14530" t="s">
        <v>21</v>
      </c>
      <c r="D14530" t="s">
        <v>11</v>
      </c>
      <c r="E14530" t="s">
        <v>12</v>
      </c>
      <c r="F14530">
        <v>51222042</v>
      </c>
      <c r="G14530">
        <v>51222069</v>
      </c>
      <c r="H14530">
        <v>51222070</v>
      </c>
      <c r="I14530">
        <v>51222092</v>
      </c>
    </row>
    <row r="14531" spans="1:9" x14ac:dyDescent="0.2">
      <c r="A14531" s="1" t="str">
        <f>"RABL3"</f>
        <v>RABL3</v>
      </c>
      <c r="B14531" t="s">
        <v>14</v>
      </c>
      <c r="C14531" t="s">
        <v>22</v>
      </c>
      <c r="D14531" t="s">
        <v>11</v>
      </c>
      <c r="E14531" t="s">
        <v>12</v>
      </c>
      <c r="F14531">
        <v>120461353</v>
      </c>
      <c r="G14531">
        <v>120461374</v>
      </c>
      <c r="H14531">
        <v>120461378</v>
      </c>
      <c r="I14531">
        <v>120461389</v>
      </c>
    </row>
    <row r="14532" spans="1:9" x14ac:dyDescent="0.2">
      <c r="A14532" s="1" t="str">
        <f>"RABL5"</f>
        <v>RABL5</v>
      </c>
      <c r="B14532" t="s">
        <v>14</v>
      </c>
      <c r="C14532" t="s">
        <v>33</v>
      </c>
      <c r="D14532" t="s">
        <v>11</v>
      </c>
      <c r="E14532" t="s">
        <v>12</v>
      </c>
      <c r="F14532">
        <v>100965011</v>
      </c>
      <c r="G14532">
        <v>100965108</v>
      </c>
      <c r="H14532">
        <v>100965011</v>
      </c>
      <c r="I14532">
        <v>100965108</v>
      </c>
    </row>
    <row r="14533" spans="1:9" x14ac:dyDescent="0.2">
      <c r="A14533" s="1" t="str">
        <f>"RABL6"</f>
        <v>RABL6</v>
      </c>
      <c r="B14533" t="s">
        <v>14</v>
      </c>
      <c r="C14533" t="s">
        <v>24</v>
      </c>
      <c r="D14533" t="s">
        <v>17</v>
      </c>
      <c r="E14533" t="s">
        <v>12</v>
      </c>
      <c r="F14533">
        <v>139702363</v>
      </c>
      <c r="G14533">
        <v>139702410</v>
      </c>
      <c r="H14533">
        <v>139702564</v>
      </c>
      <c r="I14533">
        <v>139702608</v>
      </c>
    </row>
    <row r="14534" spans="1:9" x14ac:dyDescent="0.2">
      <c r="A14534" s="1" t="str">
        <f>"RAC1"</f>
        <v>RAC1</v>
      </c>
      <c r="B14534" t="s">
        <v>14</v>
      </c>
      <c r="C14534" t="s">
        <v>33</v>
      </c>
      <c r="D14534" t="s">
        <v>17</v>
      </c>
      <c r="E14534" t="s">
        <v>12</v>
      </c>
      <c r="F14534">
        <v>6414128</v>
      </c>
      <c r="G14534">
        <v>6414185</v>
      </c>
      <c r="H14534">
        <v>6414211</v>
      </c>
      <c r="I14534">
        <v>6414222</v>
      </c>
    </row>
    <row r="14535" spans="1:9" x14ac:dyDescent="0.2">
      <c r="A14535" s="1" t="str">
        <f>"RAC2"</f>
        <v>RAC2</v>
      </c>
      <c r="B14535" t="s">
        <v>14</v>
      </c>
      <c r="C14535" t="s">
        <v>21</v>
      </c>
      <c r="D14535" t="s">
        <v>11</v>
      </c>
      <c r="E14535" t="s">
        <v>12</v>
      </c>
      <c r="F14535">
        <v>37640277</v>
      </c>
      <c r="G14535">
        <v>37640327</v>
      </c>
      <c r="H14535">
        <v>37640236</v>
      </c>
      <c r="I14535">
        <v>37640252</v>
      </c>
    </row>
    <row r="14536" spans="1:9" x14ac:dyDescent="0.2">
      <c r="A14536" s="1" t="str">
        <f>"RAC3"</f>
        <v>RAC3</v>
      </c>
      <c r="B14536" t="s">
        <v>14</v>
      </c>
      <c r="C14536" t="s">
        <v>28</v>
      </c>
      <c r="D14536" t="s">
        <v>17</v>
      </c>
      <c r="E14536" t="s">
        <v>12</v>
      </c>
      <c r="F14536">
        <v>79989519</v>
      </c>
      <c r="G14536">
        <v>79989570</v>
      </c>
      <c r="H14536">
        <v>79989572</v>
      </c>
      <c r="I14536">
        <v>79989600</v>
      </c>
    </row>
    <row r="14537" spans="1:9" x14ac:dyDescent="0.2">
      <c r="A14537" s="1" t="str">
        <f>"RACGAP1"</f>
        <v>RACGAP1</v>
      </c>
      <c r="B14537" t="s">
        <v>14</v>
      </c>
      <c r="C14537" t="s">
        <v>16</v>
      </c>
      <c r="D14537" t="s">
        <v>11</v>
      </c>
      <c r="E14537" t="s">
        <v>12</v>
      </c>
      <c r="F14537">
        <v>50419177</v>
      </c>
      <c r="G14537">
        <v>50419285</v>
      </c>
      <c r="H14537">
        <v>50419141</v>
      </c>
      <c r="I14537">
        <v>50419170</v>
      </c>
    </row>
    <row r="14538" spans="1:9" x14ac:dyDescent="0.2">
      <c r="A14538" s="1" t="str">
        <f>"RAD1"</f>
        <v>RAD1</v>
      </c>
      <c r="B14538" t="s">
        <v>14</v>
      </c>
      <c r="C14538" t="s">
        <v>46</v>
      </c>
      <c r="D14538" t="s">
        <v>11</v>
      </c>
      <c r="E14538" t="s">
        <v>12</v>
      </c>
      <c r="F14538">
        <v>34915598</v>
      </c>
      <c r="G14538">
        <v>34915626</v>
      </c>
      <c r="H14538">
        <v>34915658</v>
      </c>
      <c r="I14538">
        <v>34915679</v>
      </c>
    </row>
    <row r="14539" spans="1:9" x14ac:dyDescent="0.2">
      <c r="A14539" s="1" t="str">
        <f>"RAD17"</f>
        <v>RAD17</v>
      </c>
      <c r="B14539" t="s">
        <v>14</v>
      </c>
      <c r="C14539" t="s">
        <v>46</v>
      </c>
      <c r="D14539" t="s">
        <v>17</v>
      </c>
      <c r="E14539" t="s">
        <v>12</v>
      </c>
      <c r="F14539">
        <v>68665608</v>
      </c>
      <c r="G14539">
        <v>68665700</v>
      </c>
      <c r="H14539">
        <v>68665855</v>
      </c>
      <c r="I14539">
        <v>68665892</v>
      </c>
    </row>
    <row r="14540" spans="1:9" x14ac:dyDescent="0.2">
      <c r="A14540" s="1" t="str">
        <f>"RAD18"</f>
        <v>RAD18</v>
      </c>
      <c r="B14540" t="s">
        <v>14</v>
      </c>
      <c r="C14540" t="s">
        <v>22</v>
      </c>
      <c r="D14540" t="s">
        <v>11</v>
      </c>
      <c r="E14540" t="s">
        <v>12</v>
      </c>
      <c r="F14540">
        <v>9005118</v>
      </c>
      <c r="G14540">
        <v>9005164</v>
      </c>
      <c r="H14540">
        <v>9005080</v>
      </c>
      <c r="I14540">
        <v>9005112</v>
      </c>
    </row>
    <row r="14541" spans="1:9" x14ac:dyDescent="0.2">
      <c r="A14541" s="1" t="str">
        <f>"RAD21"</f>
        <v>RAD21</v>
      </c>
      <c r="B14541" t="s">
        <v>14</v>
      </c>
      <c r="C14541" t="s">
        <v>30</v>
      </c>
      <c r="D14541" t="s">
        <v>11</v>
      </c>
      <c r="E14541" t="s">
        <v>12</v>
      </c>
      <c r="F14541">
        <v>117886612</v>
      </c>
      <c r="G14541">
        <v>117886673</v>
      </c>
      <c r="H14541">
        <v>117886864</v>
      </c>
      <c r="I14541">
        <v>117886910</v>
      </c>
    </row>
    <row r="14542" spans="1:9" x14ac:dyDescent="0.2">
      <c r="A14542" s="1" t="str">
        <f>"RAD21L1"</f>
        <v>RAD21L1</v>
      </c>
      <c r="B14542" t="s">
        <v>14</v>
      </c>
      <c r="C14542" t="s">
        <v>29</v>
      </c>
      <c r="D14542" t="s">
        <v>17</v>
      </c>
      <c r="E14542" t="s">
        <v>12</v>
      </c>
      <c r="F14542">
        <v>1206679</v>
      </c>
      <c r="G14542">
        <v>1206693</v>
      </c>
      <c r="H14542">
        <v>1206663</v>
      </c>
      <c r="I14542">
        <v>1206676</v>
      </c>
    </row>
    <row r="14543" spans="1:9" x14ac:dyDescent="0.2">
      <c r="A14543" s="1" t="str">
        <f>"RAD23A"</f>
        <v>RAD23A</v>
      </c>
      <c r="B14543" t="s">
        <v>14</v>
      </c>
      <c r="C14543" t="s">
        <v>10</v>
      </c>
      <c r="D14543" t="s">
        <v>17</v>
      </c>
      <c r="E14543" t="s">
        <v>12</v>
      </c>
      <c r="F14543">
        <v>13056663</v>
      </c>
      <c r="G14543">
        <v>13056697</v>
      </c>
      <c r="H14543">
        <v>13056663</v>
      </c>
      <c r="I14543">
        <v>13056697</v>
      </c>
    </row>
    <row r="14544" spans="1:9" x14ac:dyDescent="0.2">
      <c r="A14544" s="1" t="str">
        <f>"RAD23B"</f>
        <v>RAD23B</v>
      </c>
      <c r="B14544" t="s">
        <v>14</v>
      </c>
      <c r="C14544" t="s">
        <v>24</v>
      </c>
      <c r="D14544" t="s">
        <v>17</v>
      </c>
      <c r="E14544" t="s">
        <v>12</v>
      </c>
      <c r="F14544">
        <v>110045537</v>
      </c>
      <c r="G14544">
        <v>110045572</v>
      </c>
      <c r="H14544">
        <v>110045834</v>
      </c>
      <c r="I14544">
        <v>110045905</v>
      </c>
    </row>
    <row r="14545" spans="1:9" x14ac:dyDescent="0.2">
      <c r="A14545" s="1" t="str">
        <f>"RAD50"</f>
        <v>RAD50</v>
      </c>
      <c r="B14545" t="s">
        <v>14</v>
      </c>
      <c r="C14545" t="s">
        <v>46</v>
      </c>
      <c r="D14545" t="s">
        <v>17</v>
      </c>
      <c r="E14545" t="s">
        <v>12</v>
      </c>
      <c r="F14545">
        <v>131892603</v>
      </c>
      <c r="G14545">
        <v>131892709</v>
      </c>
      <c r="H14545">
        <v>131892815</v>
      </c>
      <c r="I14545">
        <v>131892945</v>
      </c>
    </row>
    <row r="14546" spans="1:9" x14ac:dyDescent="0.2">
      <c r="A14546" s="1" t="str">
        <f>"RAD51"</f>
        <v>RAD51</v>
      </c>
      <c r="B14546" t="s">
        <v>14</v>
      </c>
      <c r="C14546" t="s">
        <v>25</v>
      </c>
      <c r="D14546" t="s">
        <v>17</v>
      </c>
      <c r="E14546" t="s">
        <v>12</v>
      </c>
      <c r="F14546">
        <v>40987349</v>
      </c>
      <c r="G14546">
        <v>40987397</v>
      </c>
      <c r="H14546">
        <v>40987401</v>
      </c>
      <c r="I14546">
        <v>40987416</v>
      </c>
    </row>
    <row r="14547" spans="1:9" x14ac:dyDescent="0.2">
      <c r="A14547" s="1" t="str">
        <f>"RAD51AP1"</f>
        <v>RAD51AP1</v>
      </c>
      <c r="B14547" t="s">
        <v>14</v>
      </c>
      <c r="C14547" t="s">
        <v>16</v>
      </c>
      <c r="D14547" t="s">
        <v>17</v>
      </c>
      <c r="E14547" t="s">
        <v>12</v>
      </c>
      <c r="F14547">
        <v>4647995</v>
      </c>
      <c r="G14547">
        <v>4648087</v>
      </c>
      <c r="H14547">
        <v>4647995</v>
      </c>
      <c r="I14547">
        <v>4648087</v>
      </c>
    </row>
    <row r="14548" spans="1:9" x14ac:dyDescent="0.2">
      <c r="A14548" s="1" t="str">
        <f>"RAD51AP2"</f>
        <v>RAD51AP2</v>
      </c>
      <c r="B14548" t="s">
        <v>14</v>
      </c>
      <c r="C14548" t="s">
        <v>26</v>
      </c>
      <c r="D14548" t="s">
        <v>11</v>
      </c>
      <c r="E14548" t="s">
        <v>12</v>
      </c>
      <c r="F14548">
        <v>17699691</v>
      </c>
      <c r="G14548">
        <v>17699708</v>
      </c>
      <c r="H14548">
        <v>17699691</v>
      </c>
      <c r="I14548">
        <v>17699708</v>
      </c>
    </row>
    <row r="14549" spans="1:9" x14ac:dyDescent="0.2">
      <c r="A14549" s="1" t="str">
        <f>"RAD51B"</f>
        <v>RAD51B</v>
      </c>
      <c r="B14549" t="s">
        <v>14</v>
      </c>
      <c r="C14549" t="s">
        <v>41</v>
      </c>
      <c r="D14549" t="s">
        <v>17</v>
      </c>
      <c r="E14549" t="s">
        <v>12</v>
      </c>
      <c r="F14549">
        <v>68286516</v>
      </c>
      <c r="G14549">
        <v>68286551</v>
      </c>
      <c r="H14549">
        <v>68286478</v>
      </c>
      <c r="I14549">
        <v>68286514</v>
      </c>
    </row>
    <row r="14550" spans="1:9" x14ac:dyDescent="0.2">
      <c r="A14550" s="1" t="str">
        <f>"RAD51C"</f>
        <v>RAD51C</v>
      </c>
      <c r="B14550" t="s">
        <v>14</v>
      </c>
      <c r="C14550" t="s">
        <v>28</v>
      </c>
      <c r="D14550" t="s">
        <v>17</v>
      </c>
      <c r="E14550" t="s">
        <v>12</v>
      </c>
      <c r="F14550">
        <v>56769924</v>
      </c>
      <c r="G14550">
        <v>56770000</v>
      </c>
      <c r="H14550">
        <v>56770001</v>
      </c>
      <c r="I14550">
        <v>56770032</v>
      </c>
    </row>
    <row r="14551" spans="1:9" x14ac:dyDescent="0.2">
      <c r="A14551" s="1" t="str">
        <f>"RAD51D"</f>
        <v>RAD51D</v>
      </c>
      <c r="B14551" t="s">
        <v>14</v>
      </c>
      <c r="C14551" t="s">
        <v>28</v>
      </c>
      <c r="D14551" t="s">
        <v>11</v>
      </c>
      <c r="E14551" t="s">
        <v>12</v>
      </c>
      <c r="F14551">
        <v>33446826</v>
      </c>
      <c r="G14551">
        <v>33446899</v>
      </c>
      <c r="H14551">
        <v>33446752</v>
      </c>
      <c r="I14551">
        <v>33446785</v>
      </c>
    </row>
    <row r="14552" spans="1:9" x14ac:dyDescent="0.2">
      <c r="A14552" s="1" t="str">
        <f>"RAD52"</f>
        <v>RAD52</v>
      </c>
      <c r="B14552" t="s">
        <v>9</v>
      </c>
      <c r="C14552" t="s">
        <v>16</v>
      </c>
      <c r="D14552" t="s">
        <v>11</v>
      </c>
      <c r="E14552" t="s">
        <v>12</v>
      </c>
      <c r="F14552">
        <v>1058799</v>
      </c>
      <c r="G14552">
        <v>1058840</v>
      </c>
      <c r="H14552">
        <v>1058799</v>
      </c>
      <c r="I14552">
        <v>1058840</v>
      </c>
    </row>
    <row r="14553" spans="1:9" x14ac:dyDescent="0.2">
      <c r="A14553" s="1" t="str">
        <f>"RAD52"</f>
        <v>RAD52</v>
      </c>
      <c r="B14553" t="s">
        <v>13</v>
      </c>
      <c r="C14553" t="s">
        <v>16</v>
      </c>
      <c r="D14553" t="s">
        <v>11</v>
      </c>
      <c r="E14553" t="s">
        <v>12</v>
      </c>
      <c r="F14553">
        <v>1100271</v>
      </c>
      <c r="G14553">
        <v>1100309</v>
      </c>
      <c r="H14553">
        <v>1100271</v>
      </c>
      <c r="I14553">
        <v>1100309</v>
      </c>
    </row>
    <row r="14554" spans="1:9" x14ac:dyDescent="0.2">
      <c r="A14554" s="1" t="str">
        <f>"RAD54B"</f>
        <v>RAD54B</v>
      </c>
      <c r="B14554" t="s">
        <v>14</v>
      </c>
      <c r="C14554" t="s">
        <v>30</v>
      </c>
      <c r="D14554" t="s">
        <v>11</v>
      </c>
      <c r="E14554" t="s">
        <v>12</v>
      </c>
      <c r="F14554">
        <v>95487272</v>
      </c>
      <c r="G14554">
        <v>95487330</v>
      </c>
      <c r="H14554">
        <v>95487272</v>
      </c>
      <c r="I14554">
        <v>95487330</v>
      </c>
    </row>
    <row r="14555" spans="1:9" x14ac:dyDescent="0.2">
      <c r="A14555" s="1" t="str">
        <f>"RAD54L"</f>
        <v>RAD54L</v>
      </c>
      <c r="B14555" t="s">
        <v>14</v>
      </c>
      <c r="C14555" t="s">
        <v>19</v>
      </c>
      <c r="D14555" t="s">
        <v>17</v>
      </c>
      <c r="E14555" t="s">
        <v>12</v>
      </c>
      <c r="F14555">
        <v>46713405</v>
      </c>
      <c r="G14555">
        <v>46713452</v>
      </c>
      <c r="H14555">
        <v>46713357</v>
      </c>
      <c r="I14555">
        <v>46713362</v>
      </c>
    </row>
    <row r="14556" spans="1:9" x14ac:dyDescent="0.2">
      <c r="A14556" s="1" t="str">
        <f>"RAD54L2"</f>
        <v>RAD54L2</v>
      </c>
      <c r="B14556" t="s">
        <v>1450</v>
      </c>
      <c r="C14556" t="s">
        <v>22</v>
      </c>
      <c r="D14556" t="s">
        <v>17</v>
      </c>
      <c r="E14556" t="s">
        <v>20</v>
      </c>
      <c r="F14556">
        <v>51575595</v>
      </c>
      <c r="G14556">
        <v>51575595</v>
      </c>
      <c r="H14556">
        <v>51575595</v>
      </c>
      <c r="I14556">
        <v>51575595</v>
      </c>
    </row>
    <row r="14557" spans="1:9" x14ac:dyDescent="0.2">
      <c r="A14557" s="1" t="str">
        <f>"RAD9A"</f>
        <v>RAD9A</v>
      </c>
      <c r="B14557" t="s">
        <v>14</v>
      </c>
      <c r="C14557" t="s">
        <v>27</v>
      </c>
      <c r="D14557" t="s">
        <v>17</v>
      </c>
      <c r="E14557" t="s">
        <v>12</v>
      </c>
      <c r="F14557">
        <v>67159416</v>
      </c>
      <c r="G14557">
        <v>67159492</v>
      </c>
      <c r="H14557">
        <v>67159416</v>
      </c>
      <c r="I14557">
        <v>67159492</v>
      </c>
    </row>
    <row r="14558" spans="1:9" x14ac:dyDescent="0.2">
      <c r="A14558" s="1" t="str">
        <f>"RAD9B"</f>
        <v>RAD9B</v>
      </c>
      <c r="B14558" t="s">
        <v>14</v>
      </c>
      <c r="C14558" t="s">
        <v>16</v>
      </c>
      <c r="D14558" t="s">
        <v>17</v>
      </c>
      <c r="E14558" t="s">
        <v>12</v>
      </c>
      <c r="F14558">
        <v>110939399</v>
      </c>
      <c r="G14558">
        <v>110939424</v>
      </c>
      <c r="H14558">
        <v>110940111</v>
      </c>
      <c r="I14558">
        <v>110940142</v>
      </c>
    </row>
    <row r="14559" spans="1:9" x14ac:dyDescent="0.2">
      <c r="A14559" s="1" t="str">
        <f>"RADIL"</f>
        <v>RADIL</v>
      </c>
      <c r="B14559" t="s">
        <v>14</v>
      </c>
      <c r="C14559" t="s">
        <v>33</v>
      </c>
      <c r="D14559" t="s">
        <v>11</v>
      </c>
      <c r="E14559" t="s">
        <v>12</v>
      </c>
      <c r="F14559">
        <v>4923315</v>
      </c>
      <c r="G14559">
        <v>4923360</v>
      </c>
      <c r="H14559">
        <v>4923259</v>
      </c>
      <c r="I14559">
        <v>4923310</v>
      </c>
    </row>
    <row r="14560" spans="1:9" x14ac:dyDescent="0.2">
      <c r="A14560" s="1" t="str">
        <f>"RAE1"</f>
        <v>RAE1</v>
      </c>
      <c r="B14560" t="s">
        <v>14</v>
      </c>
      <c r="C14560" t="s">
        <v>29</v>
      </c>
      <c r="D14560" t="s">
        <v>17</v>
      </c>
      <c r="E14560" t="s">
        <v>12</v>
      </c>
      <c r="F14560">
        <v>55926274</v>
      </c>
      <c r="G14560">
        <v>55926336</v>
      </c>
      <c r="H14560">
        <v>55926583</v>
      </c>
      <c r="I14560">
        <v>55926623</v>
      </c>
    </row>
    <row r="14561" spans="1:9" x14ac:dyDescent="0.2">
      <c r="A14561" s="1" t="str">
        <f>"RAET1E"</f>
        <v>RAET1E</v>
      </c>
      <c r="B14561" t="s">
        <v>9</v>
      </c>
      <c r="C14561" t="s">
        <v>32</v>
      </c>
      <c r="D14561" t="s">
        <v>11</v>
      </c>
      <c r="E14561" t="s">
        <v>12</v>
      </c>
      <c r="F14561">
        <v>150212029</v>
      </c>
      <c r="G14561">
        <v>150212086</v>
      </c>
      <c r="H14561">
        <v>150212029</v>
      </c>
      <c r="I14561">
        <v>150212086</v>
      </c>
    </row>
    <row r="14562" spans="1:9" x14ac:dyDescent="0.2">
      <c r="A14562" s="1" t="str">
        <f>"RAET1E"</f>
        <v>RAET1E</v>
      </c>
      <c r="B14562" t="s">
        <v>13</v>
      </c>
      <c r="C14562" t="s">
        <v>32</v>
      </c>
      <c r="D14562" t="s">
        <v>11</v>
      </c>
      <c r="E14562" t="s">
        <v>12</v>
      </c>
      <c r="F14562">
        <v>150219232</v>
      </c>
      <c r="G14562">
        <v>150219254</v>
      </c>
      <c r="H14562">
        <v>150219232</v>
      </c>
      <c r="I14562">
        <v>150219254</v>
      </c>
    </row>
    <row r="14563" spans="1:9" x14ac:dyDescent="0.2">
      <c r="A14563" s="1" t="str">
        <f>"RAET1G"</f>
        <v>RAET1G</v>
      </c>
      <c r="B14563" t="s">
        <v>14</v>
      </c>
      <c r="C14563" t="s">
        <v>32</v>
      </c>
      <c r="D14563" t="s">
        <v>11</v>
      </c>
      <c r="E14563" t="s">
        <v>12</v>
      </c>
      <c r="F14563">
        <v>150244213</v>
      </c>
      <c r="G14563">
        <v>150244262</v>
      </c>
      <c r="H14563">
        <v>150244268</v>
      </c>
      <c r="I14563">
        <v>150244276</v>
      </c>
    </row>
    <row r="14564" spans="1:9" x14ac:dyDescent="0.2">
      <c r="A14564" s="1" t="str">
        <f>"RAET1L"</f>
        <v>RAET1L</v>
      </c>
      <c r="B14564" t="s">
        <v>14</v>
      </c>
      <c r="C14564" t="s">
        <v>32</v>
      </c>
      <c r="D14564" t="s">
        <v>11</v>
      </c>
      <c r="E14564" t="s">
        <v>12</v>
      </c>
      <c r="F14564">
        <v>150346656</v>
      </c>
      <c r="G14564">
        <v>150346674</v>
      </c>
      <c r="H14564">
        <v>150346656</v>
      </c>
      <c r="I14564">
        <v>150346674</v>
      </c>
    </row>
    <row r="14565" spans="1:9" x14ac:dyDescent="0.2">
      <c r="A14565" s="1" t="str">
        <f>"RAF1"</f>
        <v>RAF1</v>
      </c>
      <c r="B14565" t="s">
        <v>14</v>
      </c>
      <c r="C14565" t="s">
        <v>22</v>
      </c>
      <c r="D14565" t="s">
        <v>11</v>
      </c>
      <c r="E14565" t="s">
        <v>12</v>
      </c>
      <c r="F14565">
        <v>12705600</v>
      </c>
      <c r="G14565">
        <v>12705643</v>
      </c>
      <c r="H14565">
        <v>12705583</v>
      </c>
      <c r="I14565">
        <v>12705594</v>
      </c>
    </row>
    <row r="14566" spans="1:9" x14ac:dyDescent="0.2">
      <c r="A14566" s="1" t="str">
        <f>"RAG1"</f>
        <v>RAG1</v>
      </c>
      <c r="B14566" t="s">
        <v>14</v>
      </c>
      <c r="C14566" t="s">
        <v>27</v>
      </c>
      <c r="D14566" t="s">
        <v>17</v>
      </c>
      <c r="E14566" t="s">
        <v>12</v>
      </c>
      <c r="F14566">
        <v>36589547</v>
      </c>
      <c r="G14566">
        <v>36589570</v>
      </c>
      <c r="H14566">
        <v>36589527</v>
      </c>
      <c r="I14566">
        <v>36589538</v>
      </c>
    </row>
    <row r="14567" spans="1:9" x14ac:dyDescent="0.2">
      <c r="A14567" s="1" t="str">
        <f>"RAG2"</f>
        <v>RAG2</v>
      </c>
      <c r="B14567" t="s">
        <v>14</v>
      </c>
      <c r="C14567" t="s">
        <v>27</v>
      </c>
      <c r="D14567" t="s">
        <v>11</v>
      </c>
      <c r="E14567" t="s">
        <v>12</v>
      </c>
      <c r="F14567">
        <v>36619771</v>
      </c>
      <c r="G14567">
        <v>36619793</v>
      </c>
      <c r="H14567">
        <v>36619771</v>
      </c>
      <c r="I14567">
        <v>36619793</v>
      </c>
    </row>
    <row r="14568" spans="1:9" x14ac:dyDescent="0.2">
      <c r="A14568" s="1" t="str">
        <f>"RAI1"</f>
        <v>RAI1</v>
      </c>
      <c r="B14568" t="s">
        <v>14</v>
      </c>
      <c r="C14568" t="s">
        <v>28</v>
      </c>
      <c r="D14568" t="s">
        <v>17</v>
      </c>
      <c r="E14568" t="s">
        <v>12</v>
      </c>
      <c r="F14568">
        <v>17584763</v>
      </c>
      <c r="G14568">
        <v>17584804</v>
      </c>
      <c r="H14568">
        <v>17584675</v>
      </c>
      <c r="I14568">
        <v>17584745</v>
      </c>
    </row>
    <row r="14569" spans="1:9" x14ac:dyDescent="0.2">
      <c r="A14569" s="1" t="str">
        <f>"RAI14"</f>
        <v>RAI14</v>
      </c>
      <c r="B14569" t="s">
        <v>14</v>
      </c>
      <c r="C14569" t="s">
        <v>46</v>
      </c>
      <c r="D14569" t="s">
        <v>17</v>
      </c>
      <c r="E14569" t="s">
        <v>12</v>
      </c>
      <c r="F14569">
        <v>34656450</v>
      </c>
      <c r="G14569">
        <v>34656523</v>
      </c>
      <c r="H14569">
        <v>34656394</v>
      </c>
      <c r="I14569">
        <v>34656449</v>
      </c>
    </row>
    <row r="14570" spans="1:9" x14ac:dyDescent="0.2">
      <c r="A14570" s="1" t="str">
        <f>"RAI2"</f>
        <v>RAI2</v>
      </c>
      <c r="B14570" t="s">
        <v>14</v>
      </c>
      <c r="C14570" t="s">
        <v>37</v>
      </c>
      <c r="D14570" t="s">
        <v>11</v>
      </c>
      <c r="E14570" t="s">
        <v>12</v>
      </c>
      <c r="F14570">
        <v>17879410</v>
      </c>
      <c r="G14570">
        <v>17879427</v>
      </c>
      <c r="H14570">
        <v>17878948</v>
      </c>
      <c r="I14570">
        <v>17879003</v>
      </c>
    </row>
    <row r="14571" spans="1:9" x14ac:dyDescent="0.2">
      <c r="A14571" s="1" t="str">
        <f>"RALA"</f>
        <v>RALA</v>
      </c>
      <c r="B14571" t="s">
        <v>14</v>
      </c>
      <c r="C14571" t="s">
        <v>33</v>
      </c>
      <c r="D14571" t="s">
        <v>17</v>
      </c>
      <c r="E14571" t="s">
        <v>12</v>
      </c>
      <c r="F14571">
        <v>39663146</v>
      </c>
      <c r="G14571">
        <v>39663225</v>
      </c>
      <c r="H14571">
        <v>39663286</v>
      </c>
      <c r="I14571">
        <v>39663317</v>
      </c>
    </row>
    <row r="14572" spans="1:9" x14ac:dyDescent="0.2">
      <c r="A14572" s="1" t="str">
        <f>"RALB"</f>
        <v>RALB</v>
      </c>
      <c r="B14572" t="s">
        <v>14</v>
      </c>
      <c r="C14572" t="s">
        <v>26</v>
      </c>
      <c r="D14572" t="s">
        <v>17</v>
      </c>
      <c r="E14572" t="s">
        <v>12</v>
      </c>
      <c r="F14572">
        <v>121010413</v>
      </c>
      <c r="G14572">
        <v>121010460</v>
      </c>
      <c r="H14572">
        <v>121010488</v>
      </c>
      <c r="I14572">
        <v>121010540</v>
      </c>
    </row>
    <row r="14573" spans="1:9" x14ac:dyDescent="0.2">
      <c r="A14573" s="1" t="str">
        <f>"RALBP1"</f>
        <v>RALBP1</v>
      </c>
      <c r="B14573" t="s">
        <v>14</v>
      </c>
      <c r="C14573" t="s">
        <v>43</v>
      </c>
      <c r="D14573" t="s">
        <v>17</v>
      </c>
      <c r="E14573" t="s">
        <v>12</v>
      </c>
      <c r="F14573">
        <v>9475493</v>
      </c>
      <c r="G14573">
        <v>9475572</v>
      </c>
      <c r="H14573">
        <v>9475001</v>
      </c>
      <c r="I14573">
        <v>9475037</v>
      </c>
    </row>
    <row r="14574" spans="1:9" x14ac:dyDescent="0.2">
      <c r="A14574" s="1" t="str">
        <f>"RALGAPA1"</f>
        <v>RALGAPA1</v>
      </c>
      <c r="B14574" t="s">
        <v>14</v>
      </c>
      <c r="C14574" t="s">
        <v>41</v>
      </c>
      <c r="D14574" t="s">
        <v>11</v>
      </c>
      <c r="E14574" t="s">
        <v>12</v>
      </c>
      <c r="F14574">
        <v>36278454</v>
      </c>
      <c r="G14574">
        <v>36278515</v>
      </c>
      <c r="H14574">
        <v>36278412</v>
      </c>
      <c r="I14574">
        <v>36278437</v>
      </c>
    </row>
    <row r="14575" spans="1:9" x14ac:dyDescent="0.2">
      <c r="A14575" s="1" t="str">
        <f>"RALGAPA2"</f>
        <v>RALGAPA2</v>
      </c>
      <c r="B14575" t="s">
        <v>14</v>
      </c>
      <c r="C14575" t="s">
        <v>29</v>
      </c>
      <c r="D14575" t="s">
        <v>11</v>
      </c>
      <c r="E14575" t="s">
        <v>12</v>
      </c>
      <c r="F14575">
        <v>20693269</v>
      </c>
      <c r="G14575">
        <v>20693316</v>
      </c>
      <c r="H14575">
        <v>20693239</v>
      </c>
      <c r="I14575">
        <v>20693268</v>
      </c>
    </row>
    <row r="14576" spans="1:9" x14ac:dyDescent="0.2">
      <c r="A14576" s="1" t="str">
        <f>"RALGAPB"</f>
        <v>RALGAPB</v>
      </c>
      <c r="B14576" t="s">
        <v>14</v>
      </c>
      <c r="C14576" t="s">
        <v>29</v>
      </c>
      <c r="D14576" t="s">
        <v>17</v>
      </c>
      <c r="E14576" t="s">
        <v>12</v>
      </c>
      <c r="F14576">
        <v>37101455</v>
      </c>
      <c r="G14576">
        <v>37101520</v>
      </c>
      <c r="H14576">
        <v>37101526</v>
      </c>
      <c r="I14576">
        <v>37101545</v>
      </c>
    </row>
    <row r="14577" spans="1:9" x14ac:dyDescent="0.2">
      <c r="A14577" s="1" t="str">
        <f>"RALGDS"</f>
        <v>RALGDS</v>
      </c>
      <c r="B14577" t="s">
        <v>9</v>
      </c>
      <c r="C14577" t="s">
        <v>24</v>
      </c>
      <c r="D14577" t="s">
        <v>11</v>
      </c>
      <c r="E14577" t="s">
        <v>12</v>
      </c>
      <c r="F14577">
        <v>135996616</v>
      </c>
      <c r="G14577">
        <v>135996640</v>
      </c>
      <c r="H14577">
        <v>135996616</v>
      </c>
      <c r="I14577">
        <v>135996640</v>
      </c>
    </row>
    <row r="14578" spans="1:9" x14ac:dyDescent="0.2">
      <c r="A14578" s="1" t="str">
        <f>"RALGDS"</f>
        <v>RALGDS</v>
      </c>
      <c r="B14578" t="s">
        <v>13</v>
      </c>
      <c r="C14578" t="s">
        <v>24</v>
      </c>
      <c r="D14578" t="s">
        <v>11</v>
      </c>
      <c r="E14578" t="s">
        <v>12</v>
      </c>
      <c r="F14578">
        <v>136024552</v>
      </c>
      <c r="G14578">
        <v>136024629</v>
      </c>
      <c r="H14578">
        <v>136024552</v>
      </c>
      <c r="I14578">
        <v>136024629</v>
      </c>
    </row>
    <row r="14579" spans="1:9" x14ac:dyDescent="0.2">
      <c r="A14579" s="1" t="str">
        <f>"RALGPS1"</f>
        <v>RALGPS1</v>
      </c>
      <c r="B14579" t="s">
        <v>14</v>
      </c>
      <c r="C14579" t="s">
        <v>24</v>
      </c>
      <c r="D14579" t="s">
        <v>17</v>
      </c>
      <c r="E14579" t="s">
        <v>12</v>
      </c>
      <c r="F14579">
        <v>129677039</v>
      </c>
      <c r="G14579">
        <v>129677119</v>
      </c>
      <c r="H14579">
        <v>129677712</v>
      </c>
      <c r="I14579">
        <v>129677743</v>
      </c>
    </row>
    <row r="14580" spans="1:9" x14ac:dyDescent="0.2">
      <c r="A14580" s="1" t="str">
        <f>"RALGPS2"</f>
        <v>RALGPS2</v>
      </c>
      <c r="B14580" t="s">
        <v>14</v>
      </c>
      <c r="C14580" t="s">
        <v>19</v>
      </c>
      <c r="D14580" t="s">
        <v>17</v>
      </c>
      <c r="E14580" t="s">
        <v>12</v>
      </c>
      <c r="F14580">
        <v>178694362</v>
      </c>
      <c r="G14580">
        <v>178694400</v>
      </c>
      <c r="H14580">
        <v>178694408</v>
      </c>
      <c r="I14580">
        <v>178694442</v>
      </c>
    </row>
    <row r="14581" spans="1:9" x14ac:dyDescent="0.2">
      <c r="A14581" s="1" t="str">
        <f>"RALY"</f>
        <v>RALY</v>
      </c>
      <c r="B14581" t="s">
        <v>14</v>
      </c>
      <c r="C14581" t="s">
        <v>29</v>
      </c>
      <c r="D14581" t="s">
        <v>17</v>
      </c>
      <c r="E14581" t="s">
        <v>12</v>
      </c>
      <c r="F14581">
        <v>32581710</v>
      </c>
      <c r="G14581">
        <v>32581733</v>
      </c>
      <c r="H14581">
        <v>32581525</v>
      </c>
      <c r="I14581">
        <v>32581588</v>
      </c>
    </row>
    <row r="14582" spans="1:9" x14ac:dyDescent="0.2">
      <c r="A14582" s="1" t="str">
        <f>"RALYL"</f>
        <v>RALYL</v>
      </c>
      <c r="B14582" t="s">
        <v>14</v>
      </c>
      <c r="C14582" t="s">
        <v>30</v>
      </c>
      <c r="D14582" t="s">
        <v>17</v>
      </c>
      <c r="E14582" t="s">
        <v>12</v>
      </c>
      <c r="F14582">
        <v>85095497</v>
      </c>
      <c r="G14582">
        <v>85095518</v>
      </c>
      <c r="H14582">
        <v>85095441</v>
      </c>
      <c r="I14582">
        <v>85095478</v>
      </c>
    </row>
    <row r="14583" spans="1:9" x14ac:dyDescent="0.2">
      <c r="A14583" s="1" t="str">
        <f>"RAMP1"</f>
        <v>RAMP1</v>
      </c>
      <c r="B14583" t="s">
        <v>14</v>
      </c>
      <c r="C14583" t="s">
        <v>26</v>
      </c>
      <c r="D14583" t="s">
        <v>17</v>
      </c>
      <c r="E14583" t="s">
        <v>12</v>
      </c>
      <c r="F14583">
        <v>238768258</v>
      </c>
      <c r="G14583">
        <v>238768275</v>
      </c>
      <c r="H14583">
        <v>238768258</v>
      </c>
      <c r="I14583">
        <v>238768275</v>
      </c>
    </row>
    <row r="14584" spans="1:9" x14ac:dyDescent="0.2">
      <c r="A14584" s="1" t="str">
        <f>"RAMP2"</f>
        <v>RAMP2</v>
      </c>
      <c r="B14584" t="s">
        <v>14</v>
      </c>
      <c r="C14584" t="s">
        <v>28</v>
      </c>
      <c r="D14584" t="s">
        <v>17</v>
      </c>
      <c r="E14584" t="s">
        <v>12</v>
      </c>
      <c r="F14584">
        <v>40913236</v>
      </c>
      <c r="G14584">
        <v>40913252</v>
      </c>
      <c r="H14584">
        <v>40913145</v>
      </c>
      <c r="I14584">
        <v>40913205</v>
      </c>
    </row>
    <row r="14585" spans="1:9" x14ac:dyDescent="0.2">
      <c r="A14585" s="1" t="str">
        <f>"RAMP3"</f>
        <v>RAMP3</v>
      </c>
      <c r="B14585" t="s">
        <v>14</v>
      </c>
      <c r="C14585" t="s">
        <v>33</v>
      </c>
      <c r="D14585" t="s">
        <v>17</v>
      </c>
      <c r="E14585" t="s">
        <v>12</v>
      </c>
      <c r="F14585">
        <v>45197383</v>
      </c>
      <c r="G14585">
        <v>45197437</v>
      </c>
      <c r="H14585">
        <v>45197383</v>
      </c>
      <c r="I14585">
        <v>45197437</v>
      </c>
    </row>
    <row r="14586" spans="1:9" x14ac:dyDescent="0.2">
      <c r="A14586" s="1" t="str">
        <f>"RAN"</f>
        <v>RAN</v>
      </c>
      <c r="B14586" t="s">
        <v>14</v>
      </c>
      <c r="C14586" t="s">
        <v>16</v>
      </c>
      <c r="D14586" t="s">
        <v>17</v>
      </c>
      <c r="E14586" t="s">
        <v>12</v>
      </c>
      <c r="F14586">
        <v>131356583</v>
      </c>
      <c r="G14586">
        <v>131356647</v>
      </c>
      <c r="H14586">
        <v>131357096</v>
      </c>
      <c r="I14586">
        <v>131357132</v>
      </c>
    </row>
    <row r="14587" spans="1:9" x14ac:dyDescent="0.2">
      <c r="A14587" s="1" t="str">
        <f>"RANBP1"</f>
        <v>RANBP1</v>
      </c>
      <c r="B14587" t="s">
        <v>14</v>
      </c>
      <c r="C14587" t="s">
        <v>21</v>
      </c>
      <c r="D14587" t="s">
        <v>17</v>
      </c>
      <c r="E14587" t="s">
        <v>12</v>
      </c>
      <c r="F14587">
        <v>20105012</v>
      </c>
      <c r="G14587">
        <v>20105085</v>
      </c>
      <c r="H14587">
        <v>20104965</v>
      </c>
      <c r="I14587">
        <v>20105003</v>
      </c>
    </row>
    <row r="14588" spans="1:9" x14ac:dyDescent="0.2">
      <c r="A14588" s="1" t="str">
        <f>"RANBP10"</f>
        <v>RANBP10</v>
      </c>
      <c r="B14588" t="s">
        <v>14</v>
      </c>
      <c r="C14588" t="s">
        <v>31</v>
      </c>
      <c r="D14588" t="s">
        <v>11</v>
      </c>
      <c r="E14588" t="s">
        <v>12</v>
      </c>
      <c r="F14588">
        <v>67840442</v>
      </c>
      <c r="G14588">
        <v>67840471</v>
      </c>
      <c r="H14588">
        <v>67840416</v>
      </c>
      <c r="I14588">
        <v>67840439</v>
      </c>
    </row>
    <row r="14589" spans="1:9" x14ac:dyDescent="0.2">
      <c r="A14589" s="1" t="str">
        <f>"RANBP17"</f>
        <v>RANBP17</v>
      </c>
      <c r="B14589" t="s">
        <v>14</v>
      </c>
      <c r="C14589" t="s">
        <v>46</v>
      </c>
      <c r="D14589" t="s">
        <v>17</v>
      </c>
      <c r="E14589" t="s">
        <v>12</v>
      </c>
      <c r="F14589">
        <v>170289002</v>
      </c>
      <c r="G14589">
        <v>170289035</v>
      </c>
      <c r="H14589">
        <v>170288856</v>
      </c>
      <c r="I14589">
        <v>170288920</v>
      </c>
    </row>
    <row r="14590" spans="1:9" x14ac:dyDescent="0.2">
      <c r="A14590" s="1" t="str">
        <f>"RANBP2"</f>
        <v>RANBP2</v>
      </c>
      <c r="B14590" t="s">
        <v>14</v>
      </c>
      <c r="C14590" t="s">
        <v>26</v>
      </c>
      <c r="D14590" t="s">
        <v>17</v>
      </c>
      <c r="E14590" t="s">
        <v>12</v>
      </c>
      <c r="F14590">
        <v>109335929</v>
      </c>
      <c r="G14590">
        <v>109336002</v>
      </c>
      <c r="H14590">
        <v>109335896</v>
      </c>
      <c r="I14590">
        <v>109335907</v>
      </c>
    </row>
    <row r="14591" spans="1:9" x14ac:dyDescent="0.2">
      <c r="A14591" s="1" t="str">
        <f>"RANBP3"</f>
        <v>RANBP3</v>
      </c>
      <c r="B14591" t="s">
        <v>14</v>
      </c>
      <c r="C14591" t="s">
        <v>10</v>
      </c>
      <c r="D14591" t="s">
        <v>11</v>
      </c>
      <c r="E14591" t="s">
        <v>12</v>
      </c>
      <c r="F14591">
        <v>5978090</v>
      </c>
      <c r="G14591">
        <v>5978129</v>
      </c>
      <c r="H14591">
        <v>5978144</v>
      </c>
      <c r="I14591">
        <v>5978159</v>
      </c>
    </row>
    <row r="14592" spans="1:9" x14ac:dyDescent="0.2">
      <c r="A14592" s="1" t="str">
        <f>"RANBP3L"</f>
        <v>RANBP3L</v>
      </c>
      <c r="B14592" t="s">
        <v>14</v>
      </c>
      <c r="C14592" t="s">
        <v>46</v>
      </c>
      <c r="D14592" t="s">
        <v>11</v>
      </c>
      <c r="E14592" t="s">
        <v>12</v>
      </c>
      <c r="F14592">
        <v>36301984</v>
      </c>
      <c r="G14592">
        <v>36302010</v>
      </c>
      <c r="H14592">
        <v>36302016</v>
      </c>
      <c r="I14592">
        <v>36302033</v>
      </c>
    </row>
    <row r="14593" spans="1:9" x14ac:dyDescent="0.2">
      <c r="A14593" s="1" t="str">
        <f>"RANBP6"</f>
        <v>RANBP6</v>
      </c>
      <c r="B14593" t="s">
        <v>14</v>
      </c>
      <c r="C14593" t="s">
        <v>24</v>
      </c>
      <c r="D14593" t="s">
        <v>11</v>
      </c>
      <c r="E14593" t="s">
        <v>12</v>
      </c>
      <c r="F14593">
        <v>6015607</v>
      </c>
      <c r="G14593">
        <v>6015634</v>
      </c>
      <c r="H14593">
        <v>6015607</v>
      </c>
      <c r="I14593">
        <v>6015634</v>
      </c>
    </row>
    <row r="14594" spans="1:9" x14ac:dyDescent="0.2">
      <c r="A14594" s="1" t="str">
        <f>"RANBP9"</f>
        <v>RANBP9</v>
      </c>
      <c r="B14594" t="s">
        <v>14</v>
      </c>
      <c r="C14594" t="s">
        <v>32</v>
      </c>
      <c r="D14594" t="s">
        <v>11</v>
      </c>
      <c r="E14594" t="s">
        <v>12</v>
      </c>
      <c r="F14594">
        <v>13712050</v>
      </c>
      <c r="G14594">
        <v>13712097</v>
      </c>
      <c r="H14594">
        <v>13711937</v>
      </c>
      <c r="I14594">
        <v>13711960</v>
      </c>
    </row>
    <row r="14595" spans="1:9" x14ac:dyDescent="0.2">
      <c r="A14595" s="1" t="str">
        <f>"RANGAP1"</f>
        <v>RANGAP1</v>
      </c>
      <c r="B14595" t="s">
        <v>14</v>
      </c>
      <c r="C14595" t="s">
        <v>21</v>
      </c>
      <c r="D14595" t="s">
        <v>11</v>
      </c>
      <c r="E14595" t="s">
        <v>12</v>
      </c>
      <c r="F14595">
        <v>41682172</v>
      </c>
      <c r="G14595">
        <v>41682230</v>
      </c>
      <c r="H14595">
        <v>41681872</v>
      </c>
      <c r="I14595">
        <v>41681890</v>
      </c>
    </row>
    <row r="14596" spans="1:9" x14ac:dyDescent="0.2">
      <c r="A14596" s="1" t="str">
        <f>"RANGRF"</f>
        <v>RANGRF</v>
      </c>
      <c r="B14596" t="s">
        <v>14</v>
      </c>
      <c r="C14596" t="s">
        <v>28</v>
      </c>
      <c r="D14596" t="s">
        <v>17</v>
      </c>
      <c r="E14596" t="s">
        <v>12</v>
      </c>
      <c r="F14596">
        <v>8191955</v>
      </c>
      <c r="G14596">
        <v>8192025</v>
      </c>
      <c r="H14596">
        <v>8192092</v>
      </c>
      <c r="I14596">
        <v>8192103</v>
      </c>
    </row>
    <row r="14597" spans="1:9" x14ac:dyDescent="0.2">
      <c r="A14597" s="1" t="str">
        <f>"RAP1A"</f>
        <v>RAP1A</v>
      </c>
      <c r="B14597" t="s">
        <v>14</v>
      </c>
      <c r="C14597" t="s">
        <v>19</v>
      </c>
      <c r="D14597" t="s">
        <v>17</v>
      </c>
      <c r="E14597" t="s">
        <v>12</v>
      </c>
      <c r="F14597">
        <v>112162433</v>
      </c>
      <c r="G14597">
        <v>112162469</v>
      </c>
      <c r="H14597">
        <v>112162381</v>
      </c>
      <c r="I14597">
        <v>112162431</v>
      </c>
    </row>
    <row r="14598" spans="1:9" x14ac:dyDescent="0.2">
      <c r="A14598" s="1" t="str">
        <f>"RAP1B"</f>
        <v>RAP1B</v>
      </c>
      <c r="B14598" t="s">
        <v>14</v>
      </c>
      <c r="C14598" t="s">
        <v>16</v>
      </c>
      <c r="D14598" t="s">
        <v>17</v>
      </c>
      <c r="E14598" t="s">
        <v>12</v>
      </c>
      <c r="F14598">
        <v>69004630</v>
      </c>
      <c r="G14598">
        <v>69004694</v>
      </c>
      <c r="H14598">
        <v>69004707</v>
      </c>
      <c r="I14598">
        <v>69004718</v>
      </c>
    </row>
    <row r="14599" spans="1:9" x14ac:dyDescent="0.2">
      <c r="A14599" s="1" t="str">
        <f>"RAP1GAP"</f>
        <v>RAP1GAP</v>
      </c>
      <c r="B14599" t="s">
        <v>9</v>
      </c>
      <c r="C14599" t="s">
        <v>19</v>
      </c>
      <c r="D14599" t="s">
        <v>11</v>
      </c>
      <c r="E14599" t="s">
        <v>12</v>
      </c>
      <c r="F14599">
        <v>21995805</v>
      </c>
      <c r="G14599">
        <v>21995867</v>
      </c>
      <c r="H14599">
        <v>21995805</v>
      </c>
      <c r="I14599">
        <v>21995867</v>
      </c>
    </row>
    <row r="14600" spans="1:9" x14ac:dyDescent="0.2">
      <c r="A14600" s="1" t="str">
        <f>"RAP1GAP"</f>
        <v>RAP1GAP</v>
      </c>
      <c r="B14600" t="s">
        <v>13</v>
      </c>
      <c r="C14600" t="s">
        <v>19</v>
      </c>
      <c r="D14600" t="s">
        <v>11</v>
      </c>
      <c r="E14600" t="s">
        <v>12</v>
      </c>
      <c r="F14600">
        <v>21948998</v>
      </c>
      <c r="G14600">
        <v>21949075</v>
      </c>
      <c r="H14600">
        <v>21948998</v>
      </c>
      <c r="I14600">
        <v>21949075</v>
      </c>
    </row>
    <row r="14601" spans="1:9" x14ac:dyDescent="0.2">
      <c r="A14601" s="1" t="str">
        <f>"RAP1GAP2"</f>
        <v>RAP1GAP2</v>
      </c>
      <c r="B14601" t="s">
        <v>14</v>
      </c>
      <c r="C14601" t="s">
        <v>28</v>
      </c>
      <c r="D14601" t="s">
        <v>17</v>
      </c>
      <c r="E14601" t="s">
        <v>12</v>
      </c>
      <c r="F14601">
        <v>2699697</v>
      </c>
      <c r="G14601">
        <v>2699769</v>
      </c>
      <c r="H14601">
        <v>2699697</v>
      </c>
      <c r="I14601">
        <v>2699769</v>
      </c>
    </row>
    <row r="14602" spans="1:9" x14ac:dyDescent="0.2">
      <c r="A14602" s="1" t="str">
        <f>"RAP1GDS1"</f>
        <v>RAP1GDS1</v>
      </c>
      <c r="B14602" t="s">
        <v>14</v>
      </c>
      <c r="C14602" t="s">
        <v>23</v>
      </c>
      <c r="D14602" t="s">
        <v>17</v>
      </c>
      <c r="E14602" t="s">
        <v>12</v>
      </c>
      <c r="F14602">
        <v>99182519</v>
      </c>
      <c r="G14602">
        <v>99182581</v>
      </c>
      <c r="H14602">
        <v>99182593</v>
      </c>
      <c r="I14602">
        <v>99182621</v>
      </c>
    </row>
    <row r="14603" spans="1:9" x14ac:dyDescent="0.2">
      <c r="A14603" s="1" t="str">
        <f>"RAP2A"</f>
        <v>RAP2A</v>
      </c>
      <c r="B14603" t="s">
        <v>14</v>
      </c>
      <c r="C14603" t="s">
        <v>39</v>
      </c>
      <c r="D14603" t="s">
        <v>17</v>
      </c>
      <c r="E14603" t="s">
        <v>12</v>
      </c>
      <c r="F14603">
        <v>98086445</v>
      </c>
      <c r="G14603">
        <v>98086493</v>
      </c>
      <c r="H14603">
        <v>98086408</v>
      </c>
      <c r="I14603">
        <v>98086433</v>
      </c>
    </row>
    <row r="14604" spans="1:9" x14ac:dyDescent="0.2">
      <c r="A14604" s="1" t="str">
        <f>"RAP2B"</f>
        <v>RAP2B</v>
      </c>
      <c r="B14604" t="s">
        <v>14</v>
      </c>
      <c r="C14604" t="s">
        <v>22</v>
      </c>
      <c r="D14604" t="s">
        <v>17</v>
      </c>
      <c r="E14604" t="s">
        <v>12</v>
      </c>
      <c r="F14604">
        <v>152879985</v>
      </c>
      <c r="G14604">
        <v>152880038</v>
      </c>
      <c r="H14604">
        <v>152880098</v>
      </c>
      <c r="I14604">
        <v>152880109</v>
      </c>
    </row>
    <row r="14605" spans="1:9" x14ac:dyDescent="0.2">
      <c r="A14605" s="1" t="str">
        <f>"RAP2C"</f>
        <v>RAP2C</v>
      </c>
      <c r="B14605" t="s">
        <v>14</v>
      </c>
      <c r="C14605" t="s">
        <v>37</v>
      </c>
      <c r="D14605" t="s">
        <v>11</v>
      </c>
      <c r="E14605" t="s">
        <v>12</v>
      </c>
      <c r="F14605">
        <v>131351353</v>
      </c>
      <c r="G14605">
        <v>131351404</v>
      </c>
      <c r="H14605">
        <v>131352011</v>
      </c>
      <c r="I14605">
        <v>131352077</v>
      </c>
    </row>
    <row r="14606" spans="1:9" x14ac:dyDescent="0.2">
      <c r="A14606" s="1" t="str">
        <f>"RAPGEF1"</f>
        <v>RAPGEF1</v>
      </c>
      <c r="B14606" t="s">
        <v>1451</v>
      </c>
      <c r="C14606" t="s">
        <v>24</v>
      </c>
      <c r="D14606" t="s">
        <v>11</v>
      </c>
      <c r="E14606" t="s">
        <v>35</v>
      </c>
      <c r="F14606">
        <v>134585334</v>
      </c>
      <c r="G14606">
        <v>134585345</v>
      </c>
      <c r="H14606">
        <v>134585044</v>
      </c>
      <c r="I14606">
        <v>134585048</v>
      </c>
    </row>
    <row r="14607" spans="1:9" x14ac:dyDescent="0.2">
      <c r="A14607" s="1" t="str">
        <f>"RAPGEF2"</f>
        <v>RAPGEF2</v>
      </c>
      <c r="B14607" t="s">
        <v>1452</v>
      </c>
      <c r="C14607" t="s">
        <v>23</v>
      </c>
      <c r="D14607" t="s">
        <v>17</v>
      </c>
      <c r="E14607" t="s">
        <v>35</v>
      </c>
      <c r="F14607">
        <v>160188731</v>
      </c>
      <c r="G14607">
        <v>160188733</v>
      </c>
      <c r="H14607">
        <v>160189076</v>
      </c>
      <c r="I14607">
        <v>160189081</v>
      </c>
    </row>
    <row r="14608" spans="1:9" x14ac:dyDescent="0.2">
      <c r="A14608" s="1" t="str">
        <f>"RAPGEF3"</f>
        <v>RAPGEF3</v>
      </c>
      <c r="B14608" t="s">
        <v>14</v>
      </c>
      <c r="C14608" t="s">
        <v>16</v>
      </c>
      <c r="D14608" t="s">
        <v>11</v>
      </c>
      <c r="E14608" t="s">
        <v>12</v>
      </c>
      <c r="F14608">
        <v>48152611</v>
      </c>
      <c r="G14608">
        <v>48152672</v>
      </c>
      <c r="H14608">
        <v>48152499</v>
      </c>
      <c r="I14608">
        <v>48152520</v>
      </c>
    </row>
    <row r="14609" spans="1:9" x14ac:dyDescent="0.2">
      <c r="A14609" s="1" t="str">
        <f>"RAPGEF4"</f>
        <v>RAPGEF4</v>
      </c>
      <c r="B14609" t="s">
        <v>14</v>
      </c>
      <c r="C14609" t="s">
        <v>26</v>
      </c>
      <c r="D14609" t="s">
        <v>17</v>
      </c>
      <c r="E14609" t="s">
        <v>12</v>
      </c>
      <c r="F14609">
        <v>173600671</v>
      </c>
      <c r="G14609">
        <v>173600709</v>
      </c>
      <c r="H14609">
        <v>173600565</v>
      </c>
      <c r="I14609">
        <v>173600592</v>
      </c>
    </row>
    <row r="14610" spans="1:9" x14ac:dyDescent="0.2">
      <c r="A14610" s="1" t="str">
        <f>"RAPGEF5"</f>
        <v>RAPGEF5</v>
      </c>
      <c r="B14610" t="s">
        <v>1453</v>
      </c>
      <c r="C14610" t="s">
        <v>33</v>
      </c>
      <c r="D14610" t="s">
        <v>11</v>
      </c>
      <c r="E14610" t="s">
        <v>35</v>
      </c>
      <c r="F14610">
        <v>22396727</v>
      </c>
      <c r="G14610">
        <v>22396787</v>
      </c>
      <c r="H14610">
        <v>22396652</v>
      </c>
      <c r="I14610">
        <v>22396663</v>
      </c>
    </row>
    <row r="14611" spans="1:9" x14ac:dyDescent="0.2">
      <c r="A14611" s="1" t="str">
        <f>"RAPGEF6"</f>
        <v>RAPGEF6</v>
      </c>
      <c r="B14611" t="s">
        <v>14</v>
      </c>
      <c r="C14611" t="s">
        <v>46</v>
      </c>
      <c r="D14611" t="s">
        <v>11</v>
      </c>
      <c r="E14611" t="s">
        <v>12</v>
      </c>
      <c r="F14611">
        <v>130970848</v>
      </c>
      <c r="G14611">
        <v>130970965</v>
      </c>
      <c r="H14611">
        <v>130970848</v>
      </c>
      <c r="I14611">
        <v>130970965</v>
      </c>
    </row>
    <row r="14612" spans="1:9" x14ac:dyDescent="0.2">
      <c r="A14612" s="1" t="str">
        <f>"RAPGEFL1"</f>
        <v>RAPGEFL1</v>
      </c>
      <c r="B14612" t="s">
        <v>14</v>
      </c>
      <c r="C14612" t="s">
        <v>28</v>
      </c>
      <c r="D14612" t="s">
        <v>17</v>
      </c>
      <c r="E14612" t="s">
        <v>12</v>
      </c>
      <c r="F14612">
        <v>38333714</v>
      </c>
      <c r="G14612">
        <v>38333813</v>
      </c>
      <c r="H14612">
        <v>38333814</v>
      </c>
      <c r="I14612">
        <v>38333826</v>
      </c>
    </row>
    <row r="14613" spans="1:9" x14ac:dyDescent="0.2">
      <c r="A14613" s="1" t="str">
        <f>"RAPH1"</f>
        <v>RAPH1</v>
      </c>
      <c r="B14613" t="s">
        <v>14</v>
      </c>
      <c r="C14613" t="s">
        <v>26</v>
      </c>
      <c r="D14613" t="s">
        <v>11</v>
      </c>
      <c r="E14613" t="s">
        <v>12</v>
      </c>
      <c r="F14613">
        <v>204400013</v>
      </c>
      <c r="G14613">
        <v>204400047</v>
      </c>
      <c r="H14613">
        <v>204399976</v>
      </c>
      <c r="I14613">
        <v>204400011</v>
      </c>
    </row>
    <row r="14614" spans="1:9" x14ac:dyDescent="0.2">
      <c r="A14614" s="1" t="str">
        <f>"RAPSN"</f>
        <v>RAPSN</v>
      </c>
      <c r="B14614" t="s">
        <v>14</v>
      </c>
      <c r="C14614" t="s">
        <v>27</v>
      </c>
      <c r="D14614" t="s">
        <v>11</v>
      </c>
      <c r="E14614" t="s">
        <v>12</v>
      </c>
      <c r="F14614">
        <v>47470682</v>
      </c>
      <c r="G14614">
        <v>47470693</v>
      </c>
      <c r="H14614">
        <v>47470657</v>
      </c>
      <c r="I14614">
        <v>47470674</v>
      </c>
    </row>
    <row r="14615" spans="1:9" x14ac:dyDescent="0.2">
      <c r="A14615" s="1" t="str">
        <f>"RARA"</f>
        <v>RARA</v>
      </c>
      <c r="B14615" t="s">
        <v>9</v>
      </c>
      <c r="C14615" t="s">
        <v>28</v>
      </c>
      <c r="D14615" t="s">
        <v>17</v>
      </c>
      <c r="E14615" t="s">
        <v>12</v>
      </c>
      <c r="F14615">
        <v>38474489</v>
      </c>
      <c r="G14615">
        <v>38474548</v>
      </c>
      <c r="H14615">
        <v>38474489</v>
      </c>
      <c r="I14615">
        <v>38474548</v>
      </c>
    </row>
    <row r="14616" spans="1:9" x14ac:dyDescent="0.2">
      <c r="A14616" s="1" t="str">
        <f>"RARA"</f>
        <v>RARA</v>
      </c>
      <c r="B14616" t="s">
        <v>13</v>
      </c>
      <c r="C14616" t="s">
        <v>28</v>
      </c>
      <c r="D14616" t="s">
        <v>17</v>
      </c>
      <c r="E14616" t="s">
        <v>12</v>
      </c>
      <c r="F14616">
        <v>38498594</v>
      </c>
      <c r="G14616">
        <v>38498661</v>
      </c>
      <c r="H14616">
        <v>38498594</v>
      </c>
      <c r="I14616">
        <v>38498661</v>
      </c>
    </row>
    <row r="14617" spans="1:9" x14ac:dyDescent="0.2">
      <c r="A14617" s="1" t="str">
        <f>"RARB"</f>
        <v>RARB</v>
      </c>
      <c r="B14617" t="s">
        <v>14</v>
      </c>
      <c r="C14617" t="s">
        <v>22</v>
      </c>
      <c r="D14617" t="s">
        <v>17</v>
      </c>
      <c r="E14617" t="s">
        <v>12</v>
      </c>
      <c r="F14617">
        <v>25469724</v>
      </c>
      <c r="G14617">
        <v>25469773</v>
      </c>
      <c r="H14617">
        <v>25470156</v>
      </c>
      <c r="I14617">
        <v>25470227</v>
      </c>
    </row>
    <row r="14618" spans="1:9" x14ac:dyDescent="0.2">
      <c r="A14618" s="1" t="str">
        <f>"RARG"</f>
        <v>RARG</v>
      </c>
      <c r="B14618" t="s">
        <v>9</v>
      </c>
      <c r="C14618" t="s">
        <v>16</v>
      </c>
      <c r="D14618" t="s">
        <v>11</v>
      </c>
      <c r="E14618" t="s">
        <v>12</v>
      </c>
      <c r="F14618">
        <v>53614115</v>
      </c>
      <c r="G14618">
        <v>53614154</v>
      </c>
      <c r="H14618">
        <v>53614115</v>
      </c>
      <c r="I14618">
        <v>53614154</v>
      </c>
    </row>
    <row r="14619" spans="1:9" x14ac:dyDescent="0.2">
      <c r="A14619" s="1" t="str">
        <f>"RARG"</f>
        <v>RARG</v>
      </c>
      <c r="B14619" t="s">
        <v>13</v>
      </c>
      <c r="C14619" t="s">
        <v>16</v>
      </c>
      <c r="D14619" t="s">
        <v>11</v>
      </c>
      <c r="E14619" t="s">
        <v>12</v>
      </c>
      <c r="F14619">
        <v>53625966</v>
      </c>
      <c r="G14619">
        <v>53626012</v>
      </c>
      <c r="H14619">
        <v>53625966</v>
      </c>
      <c r="I14619">
        <v>53626012</v>
      </c>
    </row>
    <row r="14620" spans="1:9" x14ac:dyDescent="0.2">
      <c r="A14620" s="1" t="str">
        <f>"RARRES1"</f>
        <v>RARRES1</v>
      </c>
      <c r="B14620" t="s">
        <v>14</v>
      </c>
      <c r="C14620" t="s">
        <v>22</v>
      </c>
      <c r="D14620" t="s">
        <v>11</v>
      </c>
      <c r="E14620" t="s">
        <v>12</v>
      </c>
      <c r="F14620">
        <v>158450239</v>
      </c>
      <c r="G14620">
        <v>158450263</v>
      </c>
      <c r="H14620">
        <v>158450534</v>
      </c>
      <c r="I14620">
        <v>158450591</v>
      </c>
    </row>
    <row r="14621" spans="1:9" x14ac:dyDescent="0.2">
      <c r="A14621" s="1" t="str">
        <f>"RARRES2"</f>
        <v>RARRES2</v>
      </c>
      <c r="B14621" t="s">
        <v>14</v>
      </c>
      <c r="C14621" t="s">
        <v>33</v>
      </c>
      <c r="D14621" t="s">
        <v>11</v>
      </c>
      <c r="E14621" t="s">
        <v>12</v>
      </c>
      <c r="F14621">
        <v>150038704</v>
      </c>
      <c r="G14621">
        <v>150038758</v>
      </c>
      <c r="H14621">
        <v>150037708</v>
      </c>
      <c r="I14621">
        <v>150037741</v>
      </c>
    </row>
    <row r="14622" spans="1:9" x14ac:dyDescent="0.2">
      <c r="A14622" s="1" t="str">
        <f>"RARRES3"</f>
        <v>RARRES3</v>
      </c>
      <c r="B14622" t="s">
        <v>14</v>
      </c>
      <c r="C14622" t="s">
        <v>27</v>
      </c>
      <c r="D14622" t="s">
        <v>17</v>
      </c>
      <c r="E14622" t="s">
        <v>12</v>
      </c>
      <c r="F14622">
        <v>63304309</v>
      </c>
      <c r="G14622">
        <v>63304325</v>
      </c>
      <c r="H14622">
        <v>63304273</v>
      </c>
      <c r="I14622">
        <v>63304292</v>
      </c>
    </row>
    <row r="14623" spans="1:9" x14ac:dyDescent="0.2">
      <c r="A14623" s="1" t="str">
        <f>"RARS"</f>
        <v>RARS</v>
      </c>
      <c r="B14623" t="s">
        <v>14</v>
      </c>
      <c r="C14623" t="s">
        <v>46</v>
      </c>
      <c r="D14623" t="s">
        <v>17</v>
      </c>
      <c r="E14623" t="s">
        <v>12</v>
      </c>
      <c r="F14623">
        <v>167913458</v>
      </c>
      <c r="G14623">
        <v>167913492</v>
      </c>
      <c r="H14623">
        <v>167913458</v>
      </c>
      <c r="I14623">
        <v>167913492</v>
      </c>
    </row>
    <row r="14624" spans="1:9" x14ac:dyDescent="0.2">
      <c r="A14624" s="1" t="str">
        <f>"RARS2"</f>
        <v>RARS2</v>
      </c>
      <c r="B14624" t="s">
        <v>14</v>
      </c>
      <c r="C14624" t="s">
        <v>32</v>
      </c>
      <c r="D14624" t="s">
        <v>11</v>
      </c>
      <c r="E14624" t="s">
        <v>12</v>
      </c>
      <c r="F14624">
        <v>88299678</v>
      </c>
      <c r="G14624">
        <v>88299716</v>
      </c>
      <c r="H14624">
        <v>88299453</v>
      </c>
      <c r="I14624">
        <v>88299464</v>
      </c>
    </row>
    <row r="14625" spans="1:9" x14ac:dyDescent="0.2">
      <c r="A14625" s="1" t="str">
        <f>"RASA1"</f>
        <v>RASA1</v>
      </c>
      <c r="B14625" t="s">
        <v>9</v>
      </c>
      <c r="C14625" t="s">
        <v>46</v>
      </c>
      <c r="D14625" t="s">
        <v>17</v>
      </c>
      <c r="E14625" t="s">
        <v>12</v>
      </c>
      <c r="F14625">
        <v>86563636</v>
      </c>
      <c r="G14625">
        <v>86563712</v>
      </c>
      <c r="H14625">
        <v>86563636</v>
      </c>
      <c r="I14625">
        <v>86563712</v>
      </c>
    </row>
    <row r="14626" spans="1:9" x14ac:dyDescent="0.2">
      <c r="A14626" s="1" t="str">
        <f>"RASA1"</f>
        <v>RASA1</v>
      </c>
      <c r="B14626" t="s">
        <v>13</v>
      </c>
      <c r="C14626" t="s">
        <v>46</v>
      </c>
      <c r="D14626" t="s">
        <v>17</v>
      </c>
      <c r="E14626" t="s">
        <v>12</v>
      </c>
      <c r="F14626">
        <v>86564739</v>
      </c>
      <c r="G14626">
        <v>86564791</v>
      </c>
      <c r="H14626">
        <v>86564739</v>
      </c>
      <c r="I14626">
        <v>86564791</v>
      </c>
    </row>
    <row r="14627" spans="1:9" x14ac:dyDescent="0.2">
      <c r="A14627" s="1" t="str">
        <f>"RASA2"</f>
        <v>RASA2</v>
      </c>
      <c r="B14627" t="s">
        <v>14</v>
      </c>
      <c r="C14627" t="s">
        <v>22</v>
      </c>
      <c r="D14627" t="s">
        <v>17</v>
      </c>
      <c r="E14627" t="s">
        <v>12</v>
      </c>
      <c r="F14627">
        <v>141205852</v>
      </c>
      <c r="G14627">
        <v>141205929</v>
      </c>
      <c r="H14627">
        <v>141205827</v>
      </c>
      <c r="I14627">
        <v>141205845</v>
      </c>
    </row>
    <row r="14628" spans="1:9" x14ac:dyDescent="0.2">
      <c r="A14628" s="1" t="str">
        <f>"RASA3"</f>
        <v>RASA3</v>
      </c>
      <c r="B14628" t="s">
        <v>14</v>
      </c>
      <c r="C14628" t="s">
        <v>39</v>
      </c>
      <c r="D14628" t="s">
        <v>11</v>
      </c>
      <c r="E14628" t="s">
        <v>12</v>
      </c>
      <c r="F14628">
        <v>114898016</v>
      </c>
      <c r="G14628">
        <v>114898113</v>
      </c>
      <c r="H14628">
        <v>114897977</v>
      </c>
      <c r="I14628">
        <v>114897996</v>
      </c>
    </row>
    <row r="14629" spans="1:9" x14ac:dyDescent="0.2">
      <c r="A14629" s="1" t="str">
        <f>"RASA4"</f>
        <v>RASA4</v>
      </c>
      <c r="B14629" t="s">
        <v>1454</v>
      </c>
      <c r="C14629" t="s">
        <v>33</v>
      </c>
      <c r="D14629" t="s">
        <v>11</v>
      </c>
      <c r="E14629" t="s">
        <v>35</v>
      </c>
      <c r="F14629">
        <v>102257225</v>
      </c>
      <c r="G14629">
        <v>102257237</v>
      </c>
      <c r="H14629">
        <v>102257225</v>
      </c>
      <c r="I14629">
        <v>102257237</v>
      </c>
    </row>
    <row r="14630" spans="1:9" x14ac:dyDescent="0.2">
      <c r="A14630" s="1" t="str">
        <f>"RASA4B"</f>
        <v>RASA4B</v>
      </c>
      <c r="B14630" t="s">
        <v>14</v>
      </c>
      <c r="C14630" t="s">
        <v>33</v>
      </c>
      <c r="D14630" t="s">
        <v>11</v>
      </c>
      <c r="E14630" t="s">
        <v>12</v>
      </c>
      <c r="F14630">
        <v>102158241</v>
      </c>
      <c r="G14630">
        <v>102158257</v>
      </c>
      <c r="H14630">
        <v>102158188</v>
      </c>
      <c r="I14630">
        <v>102158191</v>
      </c>
    </row>
    <row r="14631" spans="1:9" x14ac:dyDescent="0.2">
      <c r="A14631" s="1" t="str">
        <f>"RASAL1"</f>
        <v>RASAL1</v>
      </c>
      <c r="B14631" t="s">
        <v>14</v>
      </c>
      <c r="C14631" t="s">
        <v>16</v>
      </c>
      <c r="D14631" t="s">
        <v>11</v>
      </c>
      <c r="E14631" t="s">
        <v>12</v>
      </c>
      <c r="F14631">
        <v>113573495</v>
      </c>
      <c r="G14631">
        <v>113573579</v>
      </c>
      <c r="H14631">
        <v>113574028</v>
      </c>
      <c r="I14631">
        <v>113574051</v>
      </c>
    </row>
    <row r="14632" spans="1:9" x14ac:dyDescent="0.2">
      <c r="A14632" s="1" t="str">
        <f>"RASAL2"</f>
        <v>RASAL2</v>
      </c>
      <c r="B14632" t="s">
        <v>14</v>
      </c>
      <c r="C14632" t="s">
        <v>19</v>
      </c>
      <c r="D14632" t="s">
        <v>17</v>
      </c>
      <c r="E14632" t="s">
        <v>12</v>
      </c>
      <c r="F14632">
        <v>178063231</v>
      </c>
      <c r="G14632">
        <v>178063261</v>
      </c>
      <c r="H14632">
        <v>178062855</v>
      </c>
      <c r="I14632">
        <v>178062903</v>
      </c>
    </row>
    <row r="14633" spans="1:9" x14ac:dyDescent="0.2">
      <c r="A14633" s="1" t="str">
        <f>"RASAL3"</f>
        <v>RASAL3</v>
      </c>
      <c r="B14633" t="s">
        <v>14</v>
      </c>
      <c r="C14633" t="s">
        <v>10</v>
      </c>
      <c r="D14633" t="s">
        <v>11</v>
      </c>
      <c r="E14633" t="s">
        <v>12</v>
      </c>
      <c r="F14633">
        <v>15575340</v>
      </c>
      <c r="G14633">
        <v>15575367</v>
      </c>
      <c r="H14633">
        <v>15575369</v>
      </c>
      <c r="I14633">
        <v>15575386</v>
      </c>
    </row>
    <row r="14634" spans="1:9" x14ac:dyDescent="0.2">
      <c r="A14634" s="1" t="str">
        <f>"RASD1"</f>
        <v>RASD1</v>
      </c>
      <c r="B14634" t="s">
        <v>14</v>
      </c>
      <c r="C14634" t="s">
        <v>28</v>
      </c>
      <c r="D14634" t="s">
        <v>11</v>
      </c>
      <c r="E14634" t="s">
        <v>12</v>
      </c>
      <c r="F14634">
        <v>17399701</v>
      </c>
      <c r="G14634">
        <v>17399716</v>
      </c>
      <c r="H14634">
        <v>17399563</v>
      </c>
      <c r="I14634">
        <v>17399601</v>
      </c>
    </row>
    <row r="14635" spans="1:9" x14ac:dyDescent="0.2">
      <c r="A14635" s="1" t="str">
        <f>"RASD2"</f>
        <v>RASD2</v>
      </c>
      <c r="B14635" t="s">
        <v>14</v>
      </c>
      <c r="C14635" t="s">
        <v>21</v>
      </c>
      <c r="D14635" t="s">
        <v>17</v>
      </c>
      <c r="E14635" t="s">
        <v>12</v>
      </c>
      <c r="F14635">
        <v>35936857</v>
      </c>
      <c r="G14635">
        <v>35936910</v>
      </c>
      <c r="H14635">
        <v>35936857</v>
      </c>
      <c r="I14635">
        <v>35936910</v>
      </c>
    </row>
    <row r="14636" spans="1:9" x14ac:dyDescent="0.2">
      <c r="A14636" s="1" t="str">
        <f>"RASEF"</f>
        <v>RASEF</v>
      </c>
      <c r="B14636" t="s">
        <v>14</v>
      </c>
      <c r="C14636" t="s">
        <v>24</v>
      </c>
      <c r="D14636" t="s">
        <v>11</v>
      </c>
      <c r="E14636" t="s">
        <v>12</v>
      </c>
      <c r="F14636">
        <v>85678050</v>
      </c>
      <c r="G14636">
        <v>85678064</v>
      </c>
      <c r="H14636">
        <v>85678050</v>
      </c>
      <c r="I14636">
        <v>85678064</v>
      </c>
    </row>
    <row r="14637" spans="1:9" x14ac:dyDescent="0.2">
      <c r="A14637" s="1" t="str">
        <f>"RASGEF1A"</f>
        <v>RASGEF1A</v>
      </c>
      <c r="B14637" t="s">
        <v>14</v>
      </c>
      <c r="C14637" t="s">
        <v>15</v>
      </c>
      <c r="D14637" t="s">
        <v>11</v>
      </c>
      <c r="E14637" t="s">
        <v>12</v>
      </c>
      <c r="F14637">
        <v>43699250</v>
      </c>
      <c r="G14637">
        <v>43699327</v>
      </c>
      <c r="H14637">
        <v>43699250</v>
      </c>
      <c r="I14637">
        <v>43699327</v>
      </c>
    </row>
    <row r="14638" spans="1:9" x14ac:dyDescent="0.2">
      <c r="A14638" s="1" t="str">
        <f>"RASGEF1B"</f>
        <v>RASGEF1B</v>
      </c>
      <c r="B14638" t="s">
        <v>14</v>
      </c>
      <c r="C14638" t="s">
        <v>23</v>
      </c>
      <c r="D14638" t="s">
        <v>11</v>
      </c>
      <c r="E14638" t="s">
        <v>12</v>
      </c>
      <c r="F14638">
        <v>82393052</v>
      </c>
      <c r="G14638">
        <v>82393075</v>
      </c>
      <c r="H14638">
        <v>82393009</v>
      </c>
      <c r="I14638">
        <v>82393037</v>
      </c>
    </row>
    <row r="14639" spans="1:9" x14ac:dyDescent="0.2">
      <c r="A14639" s="1" t="str">
        <f>"RASGEF1C"</f>
        <v>RASGEF1C</v>
      </c>
      <c r="B14639" t="s">
        <v>14</v>
      </c>
      <c r="C14639" t="s">
        <v>46</v>
      </c>
      <c r="D14639" t="s">
        <v>11</v>
      </c>
      <c r="E14639" t="s">
        <v>12</v>
      </c>
      <c r="F14639">
        <v>179636159</v>
      </c>
      <c r="G14639">
        <v>179636220</v>
      </c>
      <c r="H14639">
        <v>179636094</v>
      </c>
      <c r="I14639">
        <v>179636107</v>
      </c>
    </row>
    <row r="14640" spans="1:9" x14ac:dyDescent="0.2">
      <c r="A14640" s="1" t="str">
        <f>"RASGRF1"</f>
        <v>RASGRF1</v>
      </c>
      <c r="B14640" t="s">
        <v>14</v>
      </c>
      <c r="C14640" t="s">
        <v>25</v>
      </c>
      <c r="D14640" t="s">
        <v>11</v>
      </c>
      <c r="E14640" t="s">
        <v>12</v>
      </c>
      <c r="F14640">
        <v>79383102</v>
      </c>
      <c r="G14640">
        <v>79383127</v>
      </c>
      <c r="H14640">
        <v>79383145</v>
      </c>
      <c r="I14640">
        <v>79383169</v>
      </c>
    </row>
    <row r="14641" spans="1:9" x14ac:dyDescent="0.2">
      <c r="A14641" s="1" t="str">
        <f>"RASGRF2"</f>
        <v>RASGRF2</v>
      </c>
      <c r="B14641" t="s">
        <v>14</v>
      </c>
      <c r="C14641" t="s">
        <v>46</v>
      </c>
      <c r="D14641" t="s">
        <v>17</v>
      </c>
      <c r="E14641" t="s">
        <v>12</v>
      </c>
      <c r="F14641">
        <v>80256173</v>
      </c>
      <c r="G14641">
        <v>80256188</v>
      </c>
      <c r="H14641">
        <v>80256453</v>
      </c>
      <c r="I14641">
        <v>80256506</v>
      </c>
    </row>
    <row r="14642" spans="1:9" x14ac:dyDescent="0.2">
      <c r="A14642" s="1" t="str">
        <f>"RASGRP1"</f>
        <v>RASGRP1</v>
      </c>
      <c r="B14642" t="s">
        <v>9</v>
      </c>
      <c r="C14642" t="s">
        <v>25</v>
      </c>
      <c r="D14642" t="s">
        <v>11</v>
      </c>
      <c r="E14642" t="s">
        <v>12</v>
      </c>
      <c r="F14642">
        <v>38856964</v>
      </c>
      <c r="G14642">
        <v>38857029</v>
      </c>
      <c r="H14642">
        <v>38856964</v>
      </c>
      <c r="I14642">
        <v>38857029</v>
      </c>
    </row>
    <row r="14643" spans="1:9" x14ac:dyDescent="0.2">
      <c r="A14643" s="1" t="str">
        <f>"RASGRP1"</f>
        <v>RASGRP1</v>
      </c>
      <c r="B14643" t="s">
        <v>13</v>
      </c>
      <c r="C14643" t="s">
        <v>25</v>
      </c>
      <c r="D14643" t="s">
        <v>11</v>
      </c>
      <c r="E14643" t="s">
        <v>12</v>
      </c>
      <c r="F14643">
        <v>38852251</v>
      </c>
      <c r="G14643">
        <v>38852297</v>
      </c>
      <c r="H14643">
        <v>38852251</v>
      </c>
      <c r="I14643">
        <v>38852297</v>
      </c>
    </row>
    <row r="14644" spans="1:9" x14ac:dyDescent="0.2">
      <c r="A14644" s="1" t="str">
        <f>"RASGRP2"</f>
        <v>RASGRP2</v>
      </c>
      <c r="B14644" t="s">
        <v>9</v>
      </c>
      <c r="C14644" t="s">
        <v>27</v>
      </c>
      <c r="D14644" t="s">
        <v>11</v>
      </c>
      <c r="E14644" t="s">
        <v>12</v>
      </c>
      <c r="F14644">
        <v>64511575</v>
      </c>
      <c r="G14644">
        <v>64511629</v>
      </c>
      <c r="H14644">
        <v>64511575</v>
      </c>
      <c r="I14644">
        <v>64511629</v>
      </c>
    </row>
    <row r="14645" spans="1:9" x14ac:dyDescent="0.2">
      <c r="A14645" s="1" t="str">
        <f>"RASGRP2"</f>
        <v>RASGRP2</v>
      </c>
      <c r="B14645" t="s">
        <v>13</v>
      </c>
      <c r="C14645" t="s">
        <v>27</v>
      </c>
      <c r="D14645" t="s">
        <v>11</v>
      </c>
      <c r="E14645" t="s">
        <v>12</v>
      </c>
      <c r="F14645">
        <v>64510426</v>
      </c>
      <c r="G14645">
        <v>64510445</v>
      </c>
      <c r="H14645">
        <v>64510426</v>
      </c>
      <c r="I14645">
        <v>64510445</v>
      </c>
    </row>
    <row r="14646" spans="1:9" x14ac:dyDescent="0.2">
      <c r="A14646" s="1" t="str">
        <f>"RASGRP3"</f>
        <v>RASGRP3</v>
      </c>
      <c r="B14646" t="s">
        <v>14</v>
      </c>
      <c r="C14646" t="s">
        <v>26</v>
      </c>
      <c r="D14646" t="s">
        <v>17</v>
      </c>
      <c r="E14646" t="s">
        <v>12</v>
      </c>
      <c r="F14646">
        <v>33701707</v>
      </c>
      <c r="G14646">
        <v>33701723</v>
      </c>
      <c r="H14646">
        <v>33701658</v>
      </c>
      <c r="I14646">
        <v>33701673</v>
      </c>
    </row>
    <row r="14647" spans="1:9" x14ac:dyDescent="0.2">
      <c r="A14647" s="1" t="str">
        <f>"RASGRP4"</f>
        <v>RASGRP4</v>
      </c>
      <c r="B14647" t="s">
        <v>14</v>
      </c>
      <c r="C14647" t="s">
        <v>10</v>
      </c>
      <c r="D14647" t="s">
        <v>11</v>
      </c>
      <c r="E14647" t="s">
        <v>12</v>
      </c>
      <c r="F14647">
        <v>38916839</v>
      </c>
      <c r="G14647">
        <v>38916871</v>
      </c>
      <c r="H14647">
        <v>38916807</v>
      </c>
      <c r="I14647">
        <v>38916818</v>
      </c>
    </row>
    <row r="14648" spans="1:9" x14ac:dyDescent="0.2">
      <c r="A14648" s="1" t="str">
        <f>"RASIP1"</f>
        <v>RASIP1</v>
      </c>
      <c r="B14648" t="s">
        <v>14</v>
      </c>
      <c r="C14648" t="s">
        <v>10</v>
      </c>
      <c r="D14648" t="s">
        <v>11</v>
      </c>
      <c r="E14648" t="s">
        <v>12</v>
      </c>
      <c r="F14648">
        <v>49232666</v>
      </c>
      <c r="G14648">
        <v>49232758</v>
      </c>
      <c r="H14648">
        <v>49232666</v>
      </c>
      <c r="I14648">
        <v>49232758</v>
      </c>
    </row>
    <row r="14649" spans="1:9" x14ac:dyDescent="0.2">
      <c r="A14649" s="1" t="str">
        <f>"RASL10A"</f>
        <v>RASL10A</v>
      </c>
      <c r="B14649" t="s">
        <v>14</v>
      </c>
      <c r="C14649" t="s">
        <v>21</v>
      </c>
      <c r="D14649" t="s">
        <v>11</v>
      </c>
      <c r="E14649" t="s">
        <v>12</v>
      </c>
      <c r="F14649">
        <v>29711645</v>
      </c>
      <c r="G14649">
        <v>29711694</v>
      </c>
      <c r="H14649">
        <v>29711485</v>
      </c>
      <c r="I14649">
        <v>29711500</v>
      </c>
    </row>
    <row r="14650" spans="1:9" x14ac:dyDescent="0.2">
      <c r="A14650" s="1" t="str">
        <f>"RASL10B"</f>
        <v>RASL10B</v>
      </c>
      <c r="B14650" t="s">
        <v>14</v>
      </c>
      <c r="C14650" t="s">
        <v>28</v>
      </c>
      <c r="D14650" t="s">
        <v>17</v>
      </c>
      <c r="E14650" t="s">
        <v>12</v>
      </c>
      <c r="F14650">
        <v>34058639</v>
      </c>
      <c r="G14650">
        <v>34058724</v>
      </c>
      <c r="H14650">
        <v>34058727</v>
      </c>
      <c r="I14650">
        <v>34058736</v>
      </c>
    </row>
    <row r="14651" spans="1:9" x14ac:dyDescent="0.2">
      <c r="A14651" s="1" t="str">
        <f>"RASL11A"</f>
        <v>RASL11A</v>
      </c>
      <c r="B14651" t="s">
        <v>14</v>
      </c>
      <c r="C14651" t="s">
        <v>39</v>
      </c>
      <c r="D14651" t="s">
        <v>17</v>
      </c>
      <c r="E14651" t="s">
        <v>12</v>
      </c>
      <c r="F14651">
        <v>27844952</v>
      </c>
      <c r="G14651">
        <v>27844973</v>
      </c>
      <c r="H14651">
        <v>27844952</v>
      </c>
      <c r="I14651">
        <v>27844973</v>
      </c>
    </row>
    <row r="14652" spans="1:9" x14ac:dyDescent="0.2">
      <c r="A14652" s="1" t="str">
        <f>"RASL11B"</f>
        <v>RASL11B</v>
      </c>
      <c r="B14652" t="s">
        <v>14</v>
      </c>
      <c r="C14652" t="s">
        <v>23</v>
      </c>
      <c r="D14652" t="s">
        <v>17</v>
      </c>
      <c r="E14652" t="s">
        <v>12</v>
      </c>
      <c r="F14652">
        <v>53728477</v>
      </c>
      <c r="G14652">
        <v>53728492</v>
      </c>
      <c r="H14652">
        <v>53728592</v>
      </c>
      <c r="I14652">
        <v>53728609</v>
      </c>
    </row>
    <row r="14653" spans="1:9" x14ac:dyDescent="0.2">
      <c r="A14653" s="1" t="str">
        <f>"RASL12"</f>
        <v>RASL12</v>
      </c>
      <c r="B14653" t="s">
        <v>14</v>
      </c>
      <c r="C14653" t="s">
        <v>25</v>
      </c>
      <c r="D14653" t="s">
        <v>11</v>
      </c>
      <c r="E14653" t="s">
        <v>12</v>
      </c>
      <c r="F14653">
        <v>65360276</v>
      </c>
      <c r="G14653">
        <v>65360338</v>
      </c>
      <c r="H14653">
        <v>65360276</v>
      </c>
      <c r="I14653">
        <v>65360338</v>
      </c>
    </row>
    <row r="14654" spans="1:9" x14ac:dyDescent="0.2">
      <c r="A14654" s="1" t="str">
        <f>"RASSF1"</f>
        <v>RASSF1</v>
      </c>
      <c r="B14654" t="s">
        <v>9</v>
      </c>
      <c r="C14654" t="s">
        <v>22</v>
      </c>
      <c r="D14654" t="s">
        <v>11</v>
      </c>
      <c r="E14654" t="s">
        <v>12</v>
      </c>
      <c r="F14654">
        <v>50374779</v>
      </c>
      <c r="G14654">
        <v>50374859</v>
      </c>
      <c r="H14654">
        <v>50374779</v>
      </c>
      <c r="I14654">
        <v>50374859</v>
      </c>
    </row>
    <row r="14655" spans="1:9" x14ac:dyDescent="0.2">
      <c r="A14655" s="1" t="str">
        <f>"RASSF1"</f>
        <v>RASSF1</v>
      </c>
      <c r="B14655" t="s">
        <v>13</v>
      </c>
      <c r="C14655" t="s">
        <v>22</v>
      </c>
      <c r="D14655" t="s">
        <v>11</v>
      </c>
      <c r="E14655" t="s">
        <v>12</v>
      </c>
      <c r="F14655">
        <v>50378235</v>
      </c>
      <c r="G14655">
        <v>50378286</v>
      </c>
      <c r="H14655">
        <v>50378235</v>
      </c>
      <c r="I14655">
        <v>50378286</v>
      </c>
    </row>
    <row r="14656" spans="1:9" x14ac:dyDescent="0.2">
      <c r="A14656" s="1" t="str">
        <f>"RASSF2"</f>
        <v>RASSF2</v>
      </c>
      <c r="B14656" t="s">
        <v>14</v>
      </c>
      <c r="C14656" t="s">
        <v>29</v>
      </c>
      <c r="D14656" t="s">
        <v>11</v>
      </c>
      <c r="E14656" t="s">
        <v>12</v>
      </c>
      <c r="F14656">
        <v>4804244</v>
      </c>
      <c r="G14656">
        <v>4804293</v>
      </c>
      <c r="H14656">
        <v>4804113</v>
      </c>
      <c r="I14656">
        <v>4804127</v>
      </c>
    </row>
    <row r="14657" spans="1:9" x14ac:dyDescent="0.2">
      <c r="A14657" s="1" t="str">
        <f>"RASSF3"</f>
        <v>RASSF3</v>
      </c>
      <c r="B14657" t="s">
        <v>14</v>
      </c>
      <c r="C14657" t="s">
        <v>16</v>
      </c>
      <c r="D14657" t="s">
        <v>17</v>
      </c>
      <c r="E14657" t="s">
        <v>12</v>
      </c>
      <c r="F14657">
        <v>65004238</v>
      </c>
      <c r="G14657">
        <v>65004284</v>
      </c>
      <c r="H14657">
        <v>65004194</v>
      </c>
      <c r="I14657">
        <v>65004235</v>
      </c>
    </row>
    <row r="14658" spans="1:9" x14ac:dyDescent="0.2">
      <c r="A14658" s="1" t="str">
        <f>"RASSF4"</f>
        <v>RASSF4</v>
      </c>
      <c r="B14658" t="s">
        <v>14</v>
      </c>
      <c r="C14658" t="s">
        <v>15</v>
      </c>
      <c r="D14658" t="s">
        <v>17</v>
      </c>
      <c r="E14658" t="s">
        <v>12</v>
      </c>
      <c r="F14658">
        <v>45455207</v>
      </c>
      <c r="G14658">
        <v>45455263</v>
      </c>
      <c r="H14658">
        <v>45455207</v>
      </c>
      <c r="I14658">
        <v>45455263</v>
      </c>
    </row>
    <row r="14659" spans="1:9" x14ac:dyDescent="0.2">
      <c r="A14659" s="1" t="str">
        <f>"RASSF5"</f>
        <v>RASSF5</v>
      </c>
      <c r="B14659" t="s">
        <v>14</v>
      </c>
      <c r="C14659" t="s">
        <v>19</v>
      </c>
      <c r="D14659" t="s">
        <v>17</v>
      </c>
      <c r="E14659" t="s">
        <v>12</v>
      </c>
      <c r="F14659">
        <v>206680853</v>
      </c>
      <c r="G14659">
        <v>206680871</v>
      </c>
      <c r="H14659">
        <v>206680853</v>
      </c>
      <c r="I14659">
        <v>206680871</v>
      </c>
    </row>
    <row r="14660" spans="1:9" x14ac:dyDescent="0.2">
      <c r="A14660" s="1" t="str">
        <f>"RASSF6"</f>
        <v>RASSF6</v>
      </c>
      <c r="B14660" t="s">
        <v>14</v>
      </c>
      <c r="C14660" t="s">
        <v>23</v>
      </c>
      <c r="D14660" t="s">
        <v>11</v>
      </c>
      <c r="E14660" t="s">
        <v>12</v>
      </c>
      <c r="F14660">
        <v>74486109</v>
      </c>
      <c r="G14660">
        <v>74486166</v>
      </c>
      <c r="H14660">
        <v>74486090</v>
      </c>
      <c r="I14660">
        <v>74486106</v>
      </c>
    </row>
    <row r="14661" spans="1:9" x14ac:dyDescent="0.2">
      <c r="A14661" s="1" t="str">
        <f>"RASSF7"</f>
        <v>RASSF7</v>
      </c>
      <c r="B14661" t="s">
        <v>14</v>
      </c>
      <c r="C14661" t="s">
        <v>27</v>
      </c>
      <c r="D14661" t="s">
        <v>17</v>
      </c>
      <c r="E14661" t="s">
        <v>12</v>
      </c>
      <c r="F14661">
        <v>560958</v>
      </c>
      <c r="G14661">
        <v>561046</v>
      </c>
      <c r="H14661">
        <v>561164</v>
      </c>
      <c r="I14661">
        <v>561214</v>
      </c>
    </row>
    <row r="14662" spans="1:9" x14ac:dyDescent="0.2">
      <c r="A14662" s="1" t="str">
        <f>"RASSF8"</f>
        <v>RASSF8</v>
      </c>
      <c r="B14662" t="s">
        <v>14</v>
      </c>
      <c r="C14662" t="s">
        <v>16</v>
      </c>
      <c r="D14662" t="s">
        <v>17</v>
      </c>
      <c r="E14662" t="s">
        <v>12</v>
      </c>
      <c r="F14662">
        <v>26111591</v>
      </c>
      <c r="G14662">
        <v>26111662</v>
      </c>
      <c r="H14662">
        <v>26111823</v>
      </c>
      <c r="I14662">
        <v>26111862</v>
      </c>
    </row>
    <row r="14663" spans="1:9" x14ac:dyDescent="0.2">
      <c r="A14663" s="1" t="str">
        <f>"RASSF9"</f>
        <v>RASSF9</v>
      </c>
      <c r="B14663" t="s">
        <v>14</v>
      </c>
      <c r="C14663" t="s">
        <v>16</v>
      </c>
      <c r="D14663" t="s">
        <v>11</v>
      </c>
      <c r="E14663" t="s">
        <v>12</v>
      </c>
      <c r="F14663">
        <v>86230151</v>
      </c>
      <c r="G14663">
        <v>86230232</v>
      </c>
      <c r="H14663">
        <v>86230151</v>
      </c>
      <c r="I14663">
        <v>86230232</v>
      </c>
    </row>
    <row r="14664" spans="1:9" x14ac:dyDescent="0.2">
      <c r="A14664" s="1" t="str">
        <f>"RAVER1"</f>
        <v>RAVER1</v>
      </c>
      <c r="B14664" t="s">
        <v>9</v>
      </c>
      <c r="C14664" t="s">
        <v>10</v>
      </c>
      <c r="D14664" t="s">
        <v>11</v>
      </c>
      <c r="E14664" t="s">
        <v>12</v>
      </c>
      <c r="F14664">
        <v>10444188</v>
      </c>
      <c r="G14664">
        <v>10444213</v>
      </c>
      <c r="H14664">
        <v>10444188</v>
      </c>
      <c r="I14664">
        <v>10444213</v>
      </c>
    </row>
    <row r="14665" spans="1:9" x14ac:dyDescent="0.2">
      <c r="A14665" s="1" t="str">
        <f>"RAVER1"</f>
        <v>RAVER1</v>
      </c>
      <c r="B14665" t="s">
        <v>13</v>
      </c>
      <c r="C14665" t="s">
        <v>10</v>
      </c>
      <c r="D14665" t="s">
        <v>11</v>
      </c>
      <c r="E14665" t="s">
        <v>12</v>
      </c>
      <c r="F14665">
        <v>10439648</v>
      </c>
      <c r="G14665">
        <v>10439665</v>
      </c>
      <c r="H14665">
        <v>10439648</v>
      </c>
      <c r="I14665">
        <v>10439665</v>
      </c>
    </row>
    <row r="14666" spans="1:9" x14ac:dyDescent="0.2">
      <c r="A14666" s="1" t="str">
        <f>"RAVER2"</f>
        <v>RAVER2</v>
      </c>
      <c r="B14666" t="s">
        <v>14</v>
      </c>
      <c r="C14666" t="s">
        <v>19</v>
      </c>
      <c r="D14666" t="s">
        <v>17</v>
      </c>
      <c r="E14666" t="s">
        <v>12</v>
      </c>
      <c r="F14666">
        <v>65210721</v>
      </c>
      <c r="G14666">
        <v>65210770</v>
      </c>
      <c r="H14666">
        <v>65210772</v>
      </c>
      <c r="I14666">
        <v>65210840</v>
      </c>
    </row>
    <row r="14667" spans="1:9" x14ac:dyDescent="0.2">
      <c r="A14667" s="1" t="str">
        <f>"RAX"</f>
        <v>RAX</v>
      </c>
      <c r="B14667" t="s">
        <v>14</v>
      </c>
      <c r="C14667" t="s">
        <v>43</v>
      </c>
      <c r="D14667" t="s">
        <v>11</v>
      </c>
      <c r="E14667" t="s">
        <v>12</v>
      </c>
      <c r="F14667">
        <v>56940611</v>
      </c>
      <c r="G14667">
        <v>56940660</v>
      </c>
      <c r="H14667">
        <v>56940663</v>
      </c>
      <c r="I14667">
        <v>56940691</v>
      </c>
    </row>
    <row r="14668" spans="1:9" x14ac:dyDescent="0.2">
      <c r="A14668" s="1" t="str">
        <f>"RAX2"</f>
        <v>RAX2</v>
      </c>
      <c r="B14668" t="s">
        <v>14</v>
      </c>
      <c r="C14668" t="s">
        <v>10</v>
      </c>
      <c r="D14668" t="s">
        <v>11</v>
      </c>
      <c r="E14668" t="s">
        <v>12</v>
      </c>
      <c r="F14668">
        <v>3772220</v>
      </c>
      <c r="G14668">
        <v>3772236</v>
      </c>
      <c r="H14668">
        <v>3772263</v>
      </c>
      <c r="I14668">
        <v>3772274</v>
      </c>
    </row>
    <row r="14669" spans="1:9" x14ac:dyDescent="0.2">
      <c r="A14669" s="1" t="str">
        <f>"RB1"</f>
        <v>RB1</v>
      </c>
      <c r="B14669" t="s">
        <v>14</v>
      </c>
      <c r="C14669" t="s">
        <v>39</v>
      </c>
      <c r="D14669" t="s">
        <v>17</v>
      </c>
      <c r="E14669" t="s">
        <v>12</v>
      </c>
      <c r="F14669">
        <v>48877955</v>
      </c>
      <c r="G14669">
        <v>48878026</v>
      </c>
      <c r="H14669">
        <v>48877845</v>
      </c>
      <c r="I14669">
        <v>48877892</v>
      </c>
    </row>
    <row r="14670" spans="1:9" x14ac:dyDescent="0.2">
      <c r="A14670" s="1" t="str">
        <f>"RB1CC1"</f>
        <v>RB1CC1</v>
      </c>
      <c r="B14670" t="s">
        <v>9</v>
      </c>
      <c r="C14670" t="s">
        <v>30</v>
      </c>
      <c r="D14670" t="s">
        <v>11</v>
      </c>
      <c r="E14670" t="s">
        <v>12</v>
      </c>
      <c r="F14670">
        <v>53626974</v>
      </c>
      <c r="G14670">
        <v>53627032</v>
      </c>
      <c r="H14670">
        <v>53626974</v>
      </c>
      <c r="I14670">
        <v>53627032</v>
      </c>
    </row>
    <row r="14671" spans="1:9" x14ac:dyDescent="0.2">
      <c r="A14671" s="1" t="str">
        <f>"RB1CC1"</f>
        <v>RB1CC1</v>
      </c>
      <c r="B14671" t="s">
        <v>13</v>
      </c>
      <c r="C14671" t="s">
        <v>30</v>
      </c>
      <c r="D14671" t="s">
        <v>11</v>
      </c>
      <c r="E14671" t="s">
        <v>12</v>
      </c>
      <c r="F14671">
        <v>53569012</v>
      </c>
      <c r="G14671">
        <v>53569034</v>
      </c>
      <c r="H14671">
        <v>53569012</v>
      </c>
      <c r="I14671">
        <v>53569034</v>
      </c>
    </row>
    <row r="14672" spans="1:9" x14ac:dyDescent="0.2">
      <c r="A14672" s="1" t="str">
        <f>"RBAK"</f>
        <v>RBAK</v>
      </c>
      <c r="B14672" t="s">
        <v>9</v>
      </c>
      <c r="C14672" t="s">
        <v>33</v>
      </c>
      <c r="D14672" t="s">
        <v>17</v>
      </c>
      <c r="E14672" t="s">
        <v>12</v>
      </c>
      <c r="F14672">
        <v>5085480</v>
      </c>
      <c r="G14672">
        <v>5085510</v>
      </c>
      <c r="H14672">
        <v>5085480</v>
      </c>
      <c r="I14672">
        <v>5085510</v>
      </c>
    </row>
    <row r="14673" spans="1:9" x14ac:dyDescent="0.2">
      <c r="A14673" s="1" t="str">
        <f>"RBAK"</f>
        <v>RBAK</v>
      </c>
      <c r="B14673" t="s">
        <v>13</v>
      </c>
      <c r="C14673" t="s">
        <v>33</v>
      </c>
      <c r="D14673" t="s">
        <v>17</v>
      </c>
      <c r="E14673" t="s">
        <v>12</v>
      </c>
      <c r="F14673">
        <v>5111723</v>
      </c>
      <c r="G14673">
        <v>5111807</v>
      </c>
      <c r="H14673">
        <v>5111723</v>
      </c>
      <c r="I14673">
        <v>5111807</v>
      </c>
    </row>
    <row r="14674" spans="1:9" x14ac:dyDescent="0.2">
      <c r="A14674" s="1" t="str">
        <f>"RBAK-RBAKDN"</f>
        <v>RBAK-RBAKDN</v>
      </c>
      <c r="B14674" t="s">
        <v>1455</v>
      </c>
      <c r="C14674" t="s">
        <v>33</v>
      </c>
      <c r="D14674" t="s">
        <v>17</v>
      </c>
      <c r="E14674" t="s">
        <v>20</v>
      </c>
      <c r="F14674">
        <v>5023348</v>
      </c>
      <c r="G14674">
        <v>5023348</v>
      </c>
      <c r="H14674">
        <v>5023348</v>
      </c>
      <c r="I14674">
        <v>5023348</v>
      </c>
    </row>
    <row r="14675" spans="1:9" x14ac:dyDescent="0.2">
      <c r="A14675" s="1" t="str">
        <f>"RBBP4"</f>
        <v>RBBP4</v>
      </c>
      <c r="B14675" t="s">
        <v>14</v>
      </c>
      <c r="C14675" t="s">
        <v>19</v>
      </c>
      <c r="D14675" t="s">
        <v>17</v>
      </c>
      <c r="E14675" t="s">
        <v>12</v>
      </c>
      <c r="F14675">
        <v>33116765</v>
      </c>
      <c r="G14675">
        <v>33116853</v>
      </c>
      <c r="H14675">
        <v>33116743</v>
      </c>
      <c r="I14675">
        <v>33116754</v>
      </c>
    </row>
    <row r="14676" spans="1:9" x14ac:dyDescent="0.2">
      <c r="A14676" s="1" t="str">
        <f>"RBBP5"</f>
        <v>RBBP5</v>
      </c>
      <c r="B14676" t="s">
        <v>14</v>
      </c>
      <c r="C14676" t="s">
        <v>19</v>
      </c>
      <c r="D14676" t="s">
        <v>11</v>
      </c>
      <c r="E14676" t="s">
        <v>12</v>
      </c>
      <c r="F14676">
        <v>205091092</v>
      </c>
      <c r="G14676">
        <v>205091114</v>
      </c>
      <c r="H14676">
        <v>205091115</v>
      </c>
      <c r="I14676">
        <v>205091148</v>
      </c>
    </row>
    <row r="14677" spans="1:9" x14ac:dyDescent="0.2">
      <c r="A14677" s="1" t="str">
        <f>"RBBP6"</f>
        <v>RBBP6</v>
      </c>
      <c r="B14677" t="s">
        <v>14</v>
      </c>
      <c r="C14677" t="s">
        <v>31</v>
      </c>
      <c r="D14677" t="s">
        <v>17</v>
      </c>
      <c r="E14677" t="s">
        <v>12</v>
      </c>
      <c r="F14677">
        <v>24550879</v>
      </c>
      <c r="G14677">
        <v>24550911</v>
      </c>
      <c r="H14677">
        <v>24550857</v>
      </c>
      <c r="I14677">
        <v>24550878</v>
      </c>
    </row>
    <row r="14678" spans="1:9" x14ac:dyDescent="0.2">
      <c r="A14678" s="1" t="str">
        <f>"RBBP7"</f>
        <v>RBBP7</v>
      </c>
      <c r="B14678" t="s">
        <v>14</v>
      </c>
      <c r="C14678" t="s">
        <v>37</v>
      </c>
      <c r="D14678" t="s">
        <v>11</v>
      </c>
      <c r="E14678" t="s">
        <v>12</v>
      </c>
      <c r="F14678">
        <v>16888448</v>
      </c>
      <c r="G14678">
        <v>16888500</v>
      </c>
      <c r="H14678">
        <v>16888373</v>
      </c>
      <c r="I14678">
        <v>16888429</v>
      </c>
    </row>
    <row r="14679" spans="1:9" x14ac:dyDescent="0.2">
      <c r="A14679" s="1" t="str">
        <f>"RBBP8"</f>
        <v>RBBP8</v>
      </c>
      <c r="B14679" t="s">
        <v>14</v>
      </c>
      <c r="C14679" t="s">
        <v>43</v>
      </c>
      <c r="D14679" t="s">
        <v>17</v>
      </c>
      <c r="E14679" t="s">
        <v>12</v>
      </c>
      <c r="F14679">
        <v>20513782</v>
      </c>
      <c r="G14679">
        <v>20513859</v>
      </c>
      <c r="H14679">
        <v>20513281</v>
      </c>
      <c r="I14679">
        <v>20513306</v>
      </c>
    </row>
    <row r="14680" spans="1:9" x14ac:dyDescent="0.2">
      <c r="A14680" s="1" t="str">
        <f>"RBBP8NL"</f>
        <v>RBBP8NL</v>
      </c>
      <c r="B14680" t="s">
        <v>14</v>
      </c>
      <c r="C14680" t="s">
        <v>29</v>
      </c>
      <c r="D14680" t="s">
        <v>11</v>
      </c>
      <c r="E14680" t="s">
        <v>12</v>
      </c>
      <c r="F14680">
        <v>61002584</v>
      </c>
      <c r="G14680">
        <v>61002604</v>
      </c>
      <c r="H14680">
        <v>61002616</v>
      </c>
      <c r="I14680">
        <v>61002635</v>
      </c>
    </row>
    <row r="14681" spans="1:9" x14ac:dyDescent="0.2">
      <c r="A14681" s="1" t="str">
        <f>"RBBP9"</f>
        <v>RBBP9</v>
      </c>
      <c r="B14681" t="s">
        <v>14</v>
      </c>
      <c r="C14681" t="s">
        <v>29</v>
      </c>
      <c r="D14681" t="s">
        <v>11</v>
      </c>
      <c r="E14681" t="s">
        <v>12</v>
      </c>
      <c r="F14681">
        <v>18477809</v>
      </c>
      <c r="G14681">
        <v>18477857</v>
      </c>
      <c r="H14681">
        <v>18477862</v>
      </c>
      <c r="I14681">
        <v>18477890</v>
      </c>
    </row>
    <row r="14682" spans="1:9" x14ac:dyDescent="0.2">
      <c r="A14682" s="1" t="str">
        <f>"RBCK1"</f>
        <v>RBCK1</v>
      </c>
      <c r="B14682" t="s">
        <v>14</v>
      </c>
      <c r="C14682" t="s">
        <v>29</v>
      </c>
      <c r="D14682" t="s">
        <v>17</v>
      </c>
      <c r="E14682" t="s">
        <v>12</v>
      </c>
      <c r="F14682">
        <v>388935</v>
      </c>
      <c r="G14682">
        <v>388989</v>
      </c>
      <c r="H14682">
        <v>388679</v>
      </c>
      <c r="I14682">
        <v>388748</v>
      </c>
    </row>
    <row r="14683" spans="1:9" x14ac:dyDescent="0.2">
      <c r="A14683" s="1" t="str">
        <f>"RBFA"</f>
        <v>RBFA</v>
      </c>
      <c r="B14683" t="s">
        <v>14</v>
      </c>
      <c r="C14683" t="s">
        <v>43</v>
      </c>
      <c r="D14683" t="s">
        <v>17</v>
      </c>
      <c r="E14683" t="s">
        <v>12</v>
      </c>
      <c r="F14683">
        <v>77794446</v>
      </c>
      <c r="G14683">
        <v>77794505</v>
      </c>
      <c r="H14683">
        <v>77794425</v>
      </c>
      <c r="I14683">
        <v>77794443</v>
      </c>
    </row>
    <row r="14684" spans="1:9" x14ac:dyDescent="0.2">
      <c r="A14684" s="1" t="str">
        <f>"RBFOX1"</f>
        <v>RBFOX1</v>
      </c>
      <c r="B14684" t="s">
        <v>1456</v>
      </c>
      <c r="C14684" t="s">
        <v>31</v>
      </c>
      <c r="D14684" t="s">
        <v>17</v>
      </c>
      <c r="E14684" t="s">
        <v>35</v>
      </c>
      <c r="F14684">
        <v>7382745</v>
      </c>
      <c r="G14684">
        <v>7382769</v>
      </c>
      <c r="H14684">
        <v>7382840</v>
      </c>
      <c r="I14684">
        <v>7382860</v>
      </c>
    </row>
    <row r="14685" spans="1:9" x14ac:dyDescent="0.2">
      <c r="A14685" s="1" t="str">
        <f>"RBFOX2"</f>
        <v>RBFOX2</v>
      </c>
      <c r="B14685" t="s">
        <v>9</v>
      </c>
      <c r="C14685" t="s">
        <v>21</v>
      </c>
      <c r="D14685" t="s">
        <v>11</v>
      </c>
      <c r="E14685" t="s">
        <v>12</v>
      </c>
      <c r="F14685">
        <v>36424822</v>
      </c>
      <c r="G14685">
        <v>36424881</v>
      </c>
      <c r="H14685">
        <v>36424822</v>
      </c>
      <c r="I14685">
        <v>36424881</v>
      </c>
    </row>
    <row r="14686" spans="1:9" x14ac:dyDescent="0.2">
      <c r="A14686" s="1" t="str">
        <f>"RBFOX2"</f>
        <v>RBFOX2</v>
      </c>
      <c r="B14686" t="s">
        <v>13</v>
      </c>
      <c r="C14686" t="s">
        <v>21</v>
      </c>
      <c r="D14686" t="s">
        <v>11</v>
      </c>
      <c r="E14686" t="s">
        <v>12</v>
      </c>
      <c r="F14686">
        <v>36236487</v>
      </c>
      <c r="G14686">
        <v>36236534</v>
      </c>
      <c r="H14686">
        <v>36236487</v>
      </c>
      <c r="I14686">
        <v>36236534</v>
      </c>
    </row>
    <row r="14687" spans="1:9" x14ac:dyDescent="0.2">
      <c r="A14687" s="1" t="str">
        <f>"RBFOX3"</f>
        <v>RBFOX3</v>
      </c>
      <c r="B14687" t="s">
        <v>14</v>
      </c>
      <c r="C14687" t="s">
        <v>28</v>
      </c>
      <c r="D14687" t="s">
        <v>11</v>
      </c>
      <c r="E14687" t="s">
        <v>12</v>
      </c>
      <c r="F14687">
        <v>77478628</v>
      </c>
      <c r="G14687">
        <v>77478641</v>
      </c>
      <c r="H14687">
        <v>77478575</v>
      </c>
      <c r="I14687">
        <v>77478578</v>
      </c>
    </row>
    <row r="14688" spans="1:9" x14ac:dyDescent="0.2">
      <c r="A14688" s="1" t="str">
        <f>"RBKS"</f>
        <v>RBKS</v>
      </c>
      <c r="B14688" t="s">
        <v>14</v>
      </c>
      <c r="C14688" t="s">
        <v>26</v>
      </c>
      <c r="D14688" t="s">
        <v>11</v>
      </c>
      <c r="E14688" t="s">
        <v>12</v>
      </c>
      <c r="F14688">
        <v>28113217</v>
      </c>
      <c r="G14688">
        <v>28113265</v>
      </c>
      <c r="H14688">
        <v>28113471</v>
      </c>
      <c r="I14688">
        <v>28113493</v>
      </c>
    </row>
    <row r="14689" spans="1:9" x14ac:dyDescent="0.2">
      <c r="A14689" s="1" t="str">
        <f>"RBL1"</f>
        <v>RBL1</v>
      </c>
      <c r="B14689" t="s">
        <v>14</v>
      </c>
      <c r="C14689" t="s">
        <v>29</v>
      </c>
      <c r="D14689" t="s">
        <v>17</v>
      </c>
      <c r="E14689" t="s">
        <v>67</v>
      </c>
      <c r="F14689">
        <v>35724155</v>
      </c>
      <c r="G14689">
        <v>35724179</v>
      </c>
      <c r="H14689">
        <v>35724182</v>
      </c>
      <c r="I14689">
        <v>35724191</v>
      </c>
    </row>
    <row r="14690" spans="1:9" x14ac:dyDescent="0.2">
      <c r="A14690" s="1" t="str">
        <f>"RBL2"</f>
        <v>RBL2</v>
      </c>
      <c r="B14690" t="s">
        <v>9</v>
      </c>
      <c r="C14690" t="s">
        <v>31</v>
      </c>
      <c r="D14690" t="s">
        <v>17</v>
      </c>
      <c r="E14690" t="s">
        <v>12</v>
      </c>
      <c r="F14690">
        <v>53468342</v>
      </c>
      <c r="G14690">
        <v>53468414</v>
      </c>
      <c r="H14690">
        <v>53468342</v>
      </c>
      <c r="I14690">
        <v>53468414</v>
      </c>
    </row>
    <row r="14691" spans="1:9" x14ac:dyDescent="0.2">
      <c r="A14691" s="1" t="str">
        <f>"RBL2"</f>
        <v>RBL2</v>
      </c>
      <c r="B14691" t="s">
        <v>13</v>
      </c>
      <c r="C14691" t="s">
        <v>31</v>
      </c>
      <c r="D14691" t="s">
        <v>17</v>
      </c>
      <c r="E14691" t="s">
        <v>12</v>
      </c>
      <c r="F14691">
        <v>53469525</v>
      </c>
      <c r="G14691">
        <v>53469598</v>
      </c>
      <c r="H14691">
        <v>53469525</v>
      </c>
      <c r="I14691">
        <v>53469598</v>
      </c>
    </row>
    <row r="14692" spans="1:9" x14ac:dyDescent="0.2">
      <c r="A14692" s="1" t="str">
        <f>"RBM10"</f>
        <v>RBM10</v>
      </c>
      <c r="B14692" t="s">
        <v>14</v>
      </c>
      <c r="C14692" t="s">
        <v>37</v>
      </c>
      <c r="D14692" t="s">
        <v>17</v>
      </c>
      <c r="E14692" t="s">
        <v>12</v>
      </c>
      <c r="F14692">
        <v>47004639</v>
      </c>
      <c r="G14692">
        <v>47004685</v>
      </c>
      <c r="H14692">
        <v>47004599</v>
      </c>
      <c r="I14692">
        <v>47004628</v>
      </c>
    </row>
    <row r="14693" spans="1:9" x14ac:dyDescent="0.2">
      <c r="A14693" s="1" t="str">
        <f>"RBM11"</f>
        <v>RBM11</v>
      </c>
      <c r="B14693" t="s">
        <v>14</v>
      </c>
      <c r="C14693" t="s">
        <v>42</v>
      </c>
      <c r="D14693" t="s">
        <v>17</v>
      </c>
      <c r="E14693" t="s">
        <v>12</v>
      </c>
      <c r="F14693">
        <v>15588468</v>
      </c>
      <c r="G14693">
        <v>15588491</v>
      </c>
      <c r="H14693">
        <v>15588504</v>
      </c>
      <c r="I14693">
        <v>15588515</v>
      </c>
    </row>
    <row r="14694" spans="1:9" x14ac:dyDescent="0.2">
      <c r="A14694" s="1" t="str">
        <f>"RBM12"</f>
        <v>RBM12</v>
      </c>
      <c r="B14694" t="s">
        <v>14</v>
      </c>
      <c r="C14694" t="s">
        <v>29</v>
      </c>
      <c r="D14694" t="s">
        <v>11</v>
      </c>
      <c r="E14694" t="s">
        <v>12</v>
      </c>
      <c r="F14694">
        <v>34252809</v>
      </c>
      <c r="G14694">
        <v>34252843</v>
      </c>
      <c r="H14694">
        <v>34252847</v>
      </c>
      <c r="I14694">
        <v>34252864</v>
      </c>
    </row>
    <row r="14695" spans="1:9" x14ac:dyDescent="0.2">
      <c r="A14695" s="1" t="str">
        <f>"RBM12B"</f>
        <v>RBM12B</v>
      </c>
      <c r="B14695" t="s">
        <v>14</v>
      </c>
      <c r="C14695" t="s">
        <v>30</v>
      </c>
      <c r="D14695" t="s">
        <v>11</v>
      </c>
      <c r="E14695" t="s">
        <v>12</v>
      </c>
      <c r="F14695">
        <v>94753202</v>
      </c>
      <c r="G14695">
        <v>94753227</v>
      </c>
      <c r="H14695">
        <v>94753229</v>
      </c>
      <c r="I14695">
        <v>94753263</v>
      </c>
    </row>
    <row r="14696" spans="1:9" x14ac:dyDescent="0.2">
      <c r="A14696" s="1" t="str">
        <f>"RBM14"</f>
        <v>RBM14</v>
      </c>
      <c r="B14696" t="s">
        <v>14</v>
      </c>
      <c r="C14696" t="s">
        <v>27</v>
      </c>
      <c r="D14696" t="s">
        <v>17</v>
      </c>
      <c r="E14696" t="s">
        <v>12</v>
      </c>
      <c r="F14696">
        <v>66384079</v>
      </c>
      <c r="G14696">
        <v>66384110</v>
      </c>
      <c r="H14696">
        <v>66384391</v>
      </c>
      <c r="I14696">
        <v>66384432</v>
      </c>
    </row>
    <row r="14697" spans="1:9" x14ac:dyDescent="0.2">
      <c r="A14697" s="1" t="str">
        <f>"RBM14-RBM4"</f>
        <v>RBM14-RBM4</v>
      </c>
      <c r="B14697" t="s">
        <v>9</v>
      </c>
      <c r="C14697" t="s">
        <v>27</v>
      </c>
      <c r="D14697" t="s">
        <v>17</v>
      </c>
      <c r="E14697" t="s">
        <v>12</v>
      </c>
      <c r="F14697">
        <v>66384079</v>
      </c>
      <c r="G14697">
        <v>66384110</v>
      </c>
      <c r="H14697">
        <v>66384079</v>
      </c>
      <c r="I14697">
        <v>66384110</v>
      </c>
    </row>
    <row r="14698" spans="1:9" x14ac:dyDescent="0.2">
      <c r="A14698" s="1" t="str">
        <f>"RBM14-RBM4"</f>
        <v>RBM14-RBM4</v>
      </c>
      <c r="B14698" t="s">
        <v>13</v>
      </c>
      <c r="C14698" t="s">
        <v>27</v>
      </c>
      <c r="D14698" t="s">
        <v>17</v>
      </c>
      <c r="E14698" t="s">
        <v>12</v>
      </c>
      <c r="F14698">
        <v>66406132</v>
      </c>
      <c r="G14698">
        <v>66406143</v>
      </c>
      <c r="H14698">
        <v>66406132</v>
      </c>
      <c r="I14698">
        <v>66406143</v>
      </c>
    </row>
    <row r="14699" spans="1:9" x14ac:dyDescent="0.2">
      <c r="A14699" s="1" t="str">
        <f>"RBM15"</f>
        <v>RBM15</v>
      </c>
      <c r="B14699" t="s">
        <v>14</v>
      </c>
      <c r="C14699" t="s">
        <v>19</v>
      </c>
      <c r="D14699" t="s">
        <v>17</v>
      </c>
      <c r="E14699" t="s">
        <v>12</v>
      </c>
      <c r="F14699">
        <v>110882039</v>
      </c>
      <c r="G14699">
        <v>110882076</v>
      </c>
      <c r="H14699">
        <v>110882085</v>
      </c>
      <c r="I14699">
        <v>110882094</v>
      </c>
    </row>
    <row r="14700" spans="1:9" x14ac:dyDescent="0.2">
      <c r="A14700" s="1" t="str">
        <f>"RBM15B"</f>
        <v>RBM15B</v>
      </c>
      <c r="B14700" t="s">
        <v>9</v>
      </c>
      <c r="C14700" t="s">
        <v>22</v>
      </c>
      <c r="D14700" t="s">
        <v>17</v>
      </c>
      <c r="E14700" t="s">
        <v>12</v>
      </c>
      <c r="F14700">
        <v>51428704</v>
      </c>
      <c r="G14700">
        <v>51428737</v>
      </c>
      <c r="H14700">
        <v>51428704</v>
      </c>
      <c r="I14700">
        <v>51428737</v>
      </c>
    </row>
    <row r="14701" spans="1:9" x14ac:dyDescent="0.2">
      <c r="A14701" s="1" t="str">
        <f>"RBM15B"</f>
        <v>RBM15B</v>
      </c>
      <c r="B14701" t="s">
        <v>13</v>
      </c>
      <c r="C14701" t="s">
        <v>22</v>
      </c>
      <c r="D14701" t="s">
        <v>17</v>
      </c>
      <c r="E14701" t="s">
        <v>12</v>
      </c>
      <c r="F14701">
        <v>51430101</v>
      </c>
      <c r="G14701">
        <v>51430115</v>
      </c>
      <c r="H14701">
        <v>51430101</v>
      </c>
      <c r="I14701">
        <v>51430115</v>
      </c>
    </row>
    <row r="14702" spans="1:9" x14ac:dyDescent="0.2">
      <c r="A14702" s="1" t="str">
        <f>"RBM17"</f>
        <v>RBM17</v>
      </c>
      <c r="B14702" t="s">
        <v>14</v>
      </c>
      <c r="C14702" t="s">
        <v>15</v>
      </c>
      <c r="D14702" t="s">
        <v>17</v>
      </c>
      <c r="E14702" t="s">
        <v>12</v>
      </c>
      <c r="F14702">
        <v>6130966</v>
      </c>
      <c r="G14702">
        <v>6131047</v>
      </c>
      <c r="H14702">
        <v>6130946</v>
      </c>
      <c r="I14702">
        <v>6130960</v>
      </c>
    </row>
    <row r="14703" spans="1:9" x14ac:dyDescent="0.2">
      <c r="A14703" s="1" t="str">
        <f>"RBM18"</f>
        <v>RBM18</v>
      </c>
      <c r="B14703" t="s">
        <v>14</v>
      </c>
      <c r="C14703" t="s">
        <v>24</v>
      </c>
      <c r="D14703" t="s">
        <v>11</v>
      </c>
      <c r="E14703" t="s">
        <v>12</v>
      </c>
      <c r="F14703">
        <v>125027079</v>
      </c>
      <c r="G14703">
        <v>125027130</v>
      </c>
      <c r="H14703">
        <v>125027061</v>
      </c>
      <c r="I14703">
        <v>125027072</v>
      </c>
    </row>
    <row r="14704" spans="1:9" x14ac:dyDescent="0.2">
      <c r="A14704" s="1" t="str">
        <f>"RBM19"</f>
        <v>RBM19</v>
      </c>
      <c r="B14704" t="s">
        <v>14</v>
      </c>
      <c r="C14704" t="s">
        <v>16</v>
      </c>
      <c r="D14704" t="s">
        <v>11</v>
      </c>
      <c r="E14704" t="s">
        <v>12</v>
      </c>
      <c r="F14704">
        <v>114404118</v>
      </c>
      <c r="G14704">
        <v>114404153</v>
      </c>
      <c r="H14704">
        <v>114404090</v>
      </c>
      <c r="I14704">
        <v>114404099</v>
      </c>
    </row>
    <row r="14705" spans="1:9" x14ac:dyDescent="0.2">
      <c r="A14705" s="1" t="str">
        <f>"RBM20"</f>
        <v>RBM20</v>
      </c>
      <c r="B14705" t="s">
        <v>14</v>
      </c>
      <c r="C14705" t="s">
        <v>15</v>
      </c>
      <c r="D14705" t="s">
        <v>17</v>
      </c>
      <c r="E14705" t="s">
        <v>12</v>
      </c>
      <c r="F14705">
        <v>112404196</v>
      </c>
      <c r="G14705">
        <v>112404221</v>
      </c>
      <c r="H14705">
        <v>112404070</v>
      </c>
      <c r="I14705">
        <v>112404099</v>
      </c>
    </row>
    <row r="14706" spans="1:9" x14ac:dyDescent="0.2">
      <c r="A14706" s="1" t="str">
        <f>"RBM22"</f>
        <v>RBM22</v>
      </c>
      <c r="B14706" t="s">
        <v>14</v>
      </c>
      <c r="C14706" t="s">
        <v>46</v>
      </c>
      <c r="D14706" t="s">
        <v>11</v>
      </c>
      <c r="E14706" t="s">
        <v>12</v>
      </c>
      <c r="F14706">
        <v>150080543</v>
      </c>
      <c r="G14706">
        <v>150080664</v>
      </c>
      <c r="H14706">
        <v>150080209</v>
      </c>
      <c r="I14706">
        <v>150080224</v>
      </c>
    </row>
    <row r="14707" spans="1:9" x14ac:dyDescent="0.2">
      <c r="A14707" s="1" t="str">
        <f>"RBM23"</f>
        <v>RBM23</v>
      </c>
      <c r="B14707" t="s">
        <v>14</v>
      </c>
      <c r="C14707" t="s">
        <v>41</v>
      </c>
      <c r="D14707" t="s">
        <v>11</v>
      </c>
      <c r="E14707" t="s">
        <v>12</v>
      </c>
      <c r="F14707">
        <v>23388343</v>
      </c>
      <c r="G14707">
        <v>23388375</v>
      </c>
      <c r="H14707">
        <v>23388343</v>
      </c>
      <c r="I14707">
        <v>23388375</v>
      </c>
    </row>
    <row r="14708" spans="1:9" x14ac:dyDescent="0.2">
      <c r="A14708" s="1" t="str">
        <f>"RBM24"</f>
        <v>RBM24</v>
      </c>
      <c r="B14708" t="s">
        <v>14</v>
      </c>
      <c r="C14708" t="s">
        <v>32</v>
      </c>
      <c r="D14708" t="s">
        <v>17</v>
      </c>
      <c r="E14708" t="s">
        <v>12</v>
      </c>
      <c r="F14708">
        <v>17281237</v>
      </c>
      <c r="G14708">
        <v>17281260</v>
      </c>
      <c r="H14708">
        <v>17281214</v>
      </c>
      <c r="I14708">
        <v>17281228</v>
      </c>
    </row>
    <row r="14709" spans="1:9" x14ac:dyDescent="0.2">
      <c r="A14709" s="1" t="str">
        <f>"RBM25"</f>
        <v>RBM25</v>
      </c>
      <c r="B14709" t="s">
        <v>14</v>
      </c>
      <c r="C14709" t="s">
        <v>41</v>
      </c>
      <c r="D14709" t="s">
        <v>17</v>
      </c>
      <c r="E14709" t="s">
        <v>12</v>
      </c>
      <c r="F14709">
        <v>73525229</v>
      </c>
      <c r="G14709">
        <v>73525260</v>
      </c>
      <c r="H14709">
        <v>73525265</v>
      </c>
      <c r="I14709">
        <v>73525286</v>
      </c>
    </row>
    <row r="14710" spans="1:9" x14ac:dyDescent="0.2">
      <c r="A14710" s="1" t="str">
        <f>"RBM26"</f>
        <v>RBM26</v>
      </c>
      <c r="B14710" t="s">
        <v>14</v>
      </c>
      <c r="C14710" t="s">
        <v>39</v>
      </c>
      <c r="D14710" t="s">
        <v>11</v>
      </c>
      <c r="E14710" t="s">
        <v>12</v>
      </c>
      <c r="F14710">
        <v>79980315</v>
      </c>
      <c r="G14710">
        <v>79980403</v>
      </c>
      <c r="H14710">
        <v>79979952</v>
      </c>
      <c r="I14710">
        <v>79979986</v>
      </c>
    </row>
    <row r="14711" spans="1:9" x14ac:dyDescent="0.2">
      <c r="A14711" s="1" t="str">
        <f>"RBM27"</f>
        <v>RBM27</v>
      </c>
      <c r="B14711" t="s">
        <v>14</v>
      </c>
      <c r="C14711" t="s">
        <v>46</v>
      </c>
      <c r="D14711" t="s">
        <v>17</v>
      </c>
      <c r="E14711" t="s">
        <v>12</v>
      </c>
      <c r="F14711">
        <v>145583156</v>
      </c>
      <c r="G14711">
        <v>145583180</v>
      </c>
      <c r="H14711">
        <v>145583107</v>
      </c>
      <c r="I14711">
        <v>145583149</v>
      </c>
    </row>
    <row r="14712" spans="1:9" x14ac:dyDescent="0.2">
      <c r="A14712" s="1" t="str">
        <f>"RBM28"</f>
        <v>RBM28</v>
      </c>
      <c r="B14712" t="s">
        <v>14</v>
      </c>
      <c r="C14712" t="s">
        <v>33</v>
      </c>
      <c r="D14712" t="s">
        <v>11</v>
      </c>
      <c r="E14712" t="s">
        <v>12</v>
      </c>
      <c r="F14712">
        <v>127983877</v>
      </c>
      <c r="G14712">
        <v>127983971</v>
      </c>
      <c r="H14712">
        <v>127983855</v>
      </c>
      <c r="I14712">
        <v>127983867</v>
      </c>
    </row>
    <row r="14713" spans="1:9" x14ac:dyDescent="0.2">
      <c r="A14713" s="1" t="str">
        <f>"RBM3"</f>
        <v>RBM3</v>
      </c>
      <c r="B14713" t="s">
        <v>14</v>
      </c>
      <c r="C14713" t="s">
        <v>37</v>
      </c>
      <c r="D14713" t="s">
        <v>17</v>
      </c>
      <c r="E14713" t="s">
        <v>12</v>
      </c>
      <c r="F14713">
        <v>48432892</v>
      </c>
      <c r="G14713">
        <v>48432916</v>
      </c>
      <c r="H14713">
        <v>48432865</v>
      </c>
      <c r="I14713">
        <v>48432880</v>
      </c>
    </row>
    <row r="14714" spans="1:9" x14ac:dyDescent="0.2">
      <c r="A14714" s="1" t="str">
        <f>"RBM33"</f>
        <v>RBM33</v>
      </c>
      <c r="B14714" t="s">
        <v>14</v>
      </c>
      <c r="C14714" t="s">
        <v>33</v>
      </c>
      <c r="D14714" t="s">
        <v>17</v>
      </c>
      <c r="E14714" t="s">
        <v>12</v>
      </c>
      <c r="F14714">
        <v>155437341</v>
      </c>
      <c r="G14714">
        <v>155437405</v>
      </c>
      <c r="H14714">
        <v>155437119</v>
      </c>
      <c r="I14714">
        <v>155437174</v>
      </c>
    </row>
    <row r="14715" spans="1:9" x14ac:dyDescent="0.2">
      <c r="A14715" s="1" t="str">
        <f>"RBM34"</f>
        <v>RBM34</v>
      </c>
      <c r="B14715" t="s">
        <v>14</v>
      </c>
      <c r="C14715" t="s">
        <v>19</v>
      </c>
      <c r="D14715" t="s">
        <v>11</v>
      </c>
      <c r="E14715" t="s">
        <v>12</v>
      </c>
      <c r="F14715">
        <v>235324530</v>
      </c>
      <c r="G14715">
        <v>235324613</v>
      </c>
      <c r="H14715">
        <v>235324482</v>
      </c>
      <c r="I14715">
        <v>235324489</v>
      </c>
    </row>
    <row r="14716" spans="1:9" x14ac:dyDescent="0.2">
      <c r="A14716" s="1" t="str">
        <f>"RBM38"</f>
        <v>RBM38</v>
      </c>
      <c r="B14716" t="s">
        <v>14</v>
      </c>
      <c r="C14716" t="s">
        <v>29</v>
      </c>
      <c r="D14716" t="s">
        <v>17</v>
      </c>
      <c r="E14716" t="s">
        <v>12</v>
      </c>
      <c r="F14716">
        <v>55966444</v>
      </c>
      <c r="G14716">
        <v>55966462</v>
      </c>
      <c r="H14716">
        <v>55967129</v>
      </c>
      <c r="I14716">
        <v>55967141</v>
      </c>
    </row>
    <row r="14717" spans="1:9" x14ac:dyDescent="0.2">
      <c r="A14717" s="1" t="str">
        <f>"RBM39"</f>
        <v>RBM39</v>
      </c>
      <c r="B14717" t="s">
        <v>14</v>
      </c>
      <c r="C14717" t="s">
        <v>29</v>
      </c>
      <c r="D14717" t="s">
        <v>11</v>
      </c>
      <c r="E14717" t="s">
        <v>12</v>
      </c>
      <c r="F14717">
        <v>34330129</v>
      </c>
      <c r="G14717">
        <v>34330195</v>
      </c>
      <c r="H14717">
        <v>34330129</v>
      </c>
      <c r="I14717">
        <v>34330195</v>
      </c>
    </row>
    <row r="14718" spans="1:9" x14ac:dyDescent="0.2">
      <c r="A14718" s="1" t="str">
        <f>"RBM4"</f>
        <v>RBM4</v>
      </c>
      <c r="B14718" t="s">
        <v>9</v>
      </c>
      <c r="C14718" t="s">
        <v>27</v>
      </c>
      <c r="D14718" t="s">
        <v>17</v>
      </c>
      <c r="E14718" t="s">
        <v>12</v>
      </c>
      <c r="F14718">
        <v>66384079</v>
      </c>
      <c r="G14718">
        <v>66384110</v>
      </c>
      <c r="H14718">
        <v>66384079</v>
      </c>
      <c r="I14718">
        <v>66384110</v>
      </c>
    </row>
    <row r="14719" spans="1:9" x14ac:dyDescent="0.2">
      <c r="A14719" s="1" t="str">
        <f>"RBM4"</f>
        <v>RBM4</v>
      </c>
      <c r="B14719" t="s">
        <v>13</v>
      </c>
      <c r="C14719" t="s">
        <v>27</v>
      </c>
      <c r="D14719" t="s">
        <v>17</v>
      </c>
      <c r="E14719" t="s">
        <v>12</v>
      </c>
      <c r="F14719">
        <v>66406149</v>
      </c>
      <c r="G14719">
        <v>66406184</v>
      </c>
      <c r="H14719">
        <v>66406149</v>
      </c>
      <c r="I14719">
        <v>66406184</v>
      </c>
    </row>
    <row r="14720" spans="1:9" x14ac:dyDescent="0.2">
      <c r="A14720" s="1" t="str">
        <f>"RBM41"</f>
        <v>RBM41</v>
      </c>
      <c r="B14720" t="s">
        <v>14</v>
      </c>
      <c r="C14720" t="s">
        <v>37</v>
      </c>
      <c r="D14720" t="s">
        <v>11</v>
      </c>
      <c r="E14720" t="s">
        <v>12</v>
      </c>
      <c r="F14720">
        <v>106362013</v>
      </c>
      <c r="G14720">
        <v>106362066</v>
      </c>
      <c r="H14720">
        <v>106362013</v>
      </c>
      <c r="I14720">
        <v>106362066</v>
      </c>
    </row>
    <row r="14721" spans="1:9" x14ac:dyDescent="0.2">
      <c r="A14721" s="1" t="str">
        <f>"RBM42"</f>
        <v>RBM42</v>
      </c>
      <c r="B14721" t="s">
        <v>14</v>
      </c>
      <c r="C14721" t="s">
        <v>10</v>
      </c>
      <c r="D14721" t="s">
        <v>17</v>
      </c>
      <c r="E14721" t="s">
        <v>12</v>
      </c>
      <c r="F14721">
        <v>36119929</v>
      </c>
      <c r="G14721">
        <v>36119974</v>
      </c>
      <c r="H14721">
        <v>36119975</v>
      </c>
      <c r="I14721">
        <v>36120003</v>
      </c>
    </row>
    <row r="14722" spans="1:9" x14ac:dyDescent="0.2">
      <c r="A14722" s="1" t="str">
        <f>"RBM43"</f>
        <v>RBM43</v>
      </c>
      <c r="B14722" t="s">
        <v>14</v>
      </c>
      <c r="C14722" t="s">
        <v>26</v>
      </c>
      <c r="D14722" t="s">
        <v>11</v>
      </c>
      <c r="E14722" t="s">
        <v>12</v>
      </c>
      <c r="F14722">
        <v>152118276</v>
      </c>
      <c r="G14722">
        <v>152118351</v>
      </c>
      <c r="H14722">
        <v>152118352</v>
      </c>
      <c r="I14722">
        <v>152118384</v>
      </c>
    </row>
    <row r="14723" spans="1:9" x14ac:dyDescent="0.2">
      <c r="A14723" s="1" t="str">
        <f>"RBM44"</f>
        <v>RBM44</v>
      </c>
      <c r="B14723" t="s">
        <v>14</v>
      </c>
      <c r="C14723" t="s">
        <v>26</v>
      </c>
      <c r="D14723" t="s">
        <v>17</v>
      </c>
      <c r="E14723" t="s">
        <v>12</v>
      </c>
      <c r="F14723">
        <v>238707408</v>
      </c>
      <c r="G14723">
        <v>238707430</v>
      </c>
      <c r="H14723">
        <v>238707390</v>
      </c>
      <c r="I14723">
        <v>238707399</v>
      </c>
    </row>
    <row r="14724" spans="1:9" x14ac:dyDescent="0.2">
      <c r="A14724" s="1" t="str">
        <f>"RBM45"</f>
        <v>RBM45</v>
      </c>
      <c r="B14724" t="s">
        <v>14</v>
      </c>
      <c r="C14724" t="s">
        <v>26</v>
      </c>
      <c r="D14724" t="s">
        <v>17</v>
      </c>
      <c r="E14724" t="s">
        <v>12</v>
      </c>
      <c r="F14724">
        <v>178977143</v>
      </c>
      <c r="G14724">
        <v>178977211</v>
      </c>
      <c r="H14724">
        <v>178977212</v>
      </c>
      <c r="I14724">
        <v>178977230</v>
      </c>
    </row>
    <row r="14725" spans="1:9" x14ac:dyDescent="0.2">
      <c r="A14725" s="1" t="str">
        <f>"RBM46"</f>
        <v>RBM46</v>
      </c>
      <c r="B14725" t="s">
        <v>14</v>
      </c>
      <c r="C14725" t="s">
        <v>23</v>
      </c>
      <c r="D14725" t="s">
        <v>17</v>
      </c>
      <c r="E14725" t="s">
        <v>12</v>
      </c>
      <c r="F14725">
        <v>155702419</v>
      </c>
      <c r="G14725">
        <v>155702437</v>
      </c>
      <c r="H14725">
        <v>155702479</v>
      </c>
      <c r="I14725">
        <v>155702490</v>
      </c>
    </row>
    <row r="14726" spans="1:9" x14ac:dyDescent="0.2">
      <c r="A14726" s="1" t="str">
        <f>"RBM47"</f>
        <v>RBM47</v>
      </c>
      <c r="B14726" t="s">
        <v>14</v>
      </c>
      <c r="C14726" t="s">
        <v>23</v>
      </c>
      <c r="D14726" t="s">
        <v>11</v>
      </c>
      <c r="E14726" t="s">
        <v>12</v>
      </c>
      <c r="F14726">
        <v>40632844</v>
      </c>
      <c r="G14726">
        <v>40632877</v>
      </c>
      <c r="H14726">
        <v>40631859</v>
      </c>
      <c r="I14726">
        <v>40631889</v>
      </c>
    </row>
    <row r="14727" spans="1:9" x14ac:dyDescent="0.2">
      <c r="A14727" s="1" t="str">
        <f>"RBM48"</f>
        <v>RBM48</v>
      </c>
      <c r="B14727" t="s">
        <v>14</v>
      </c>
      <c r="C14727" t="s">
        <v>33</v>
      </c>
      <c r="D14727" t="s">
        <v>17</v>
      </c>
      <c r="E14727" t="s">
        <v>12</v>
      </c>
      <c r="F14727">
        <v>92158083</v>
      </c>
      <c r="G14727">
        <v>92158131</v>
      </c>
      <c r="H14727">
        <v>92158083</v>
      </c>
      <c r="I14727">
        <v>92158131</v>
      </c>
    </row>
    <row r="14728" spans="1:9" x14ac:dyDescent="0.2">
      <c r="A14728" s="1" t="str">
        <f>"RBM4B"</f>
        <v>RBM4B</v>
      </c>
      <c r="B14728" t="s">
        <v>14</v>
      </c>
      <c r="C14728" t="s">
        <v>27</v>
      </c>
      <c r="D14728" t="s">
        <v>11</v>
      </c>
      <c r="E14728" t="s">
        <v>12</v>
      </c>
      <c r="F14728">
        <v>66445263</v>
      </c>
      <c r="G14728">
        <v>66445365</v>
      </c>
      <c r="H14728">
        <v>66445032</v>
      </c>
      <c r="I14728">
        <v>66445062</v>
      </c>
    </row>
    <row r="14729" spans="1:9" x14ac:dyDescent="0.2">
      <c r="A14729" s="1" t="str">
        <f>"RBM5"</f>
        <v>RBM5</v>
      </c>
      <c r="B14729" t="s">
        <v>14</v>
      </c>
      <c r="C14729" t="s">
        <v>22</v>
      </c>
      <c r="D14729" t="s">
        <v>17</v>
      </c>
      <c r="E14729" t="s">
        <v>12</v>
      </c>
      <c r="F14729">
        <v>50126345</v>
      </c>
      <c r="G14729">
        <v>50126401</v>
      </c>
      <c r="H14729">
        <v>50126345</v>
      </c>
      <c r="I14729">
        <v>50126401</v>
      </c>
    </row>
    <row r="14730" spans="1:9" x14ac:dyDescent="0.2">
      <c r="A14730" s="1" t="str">
        <f>"RBM6"</f>
        <v>RBM6</v>
      </c>
      <c r="B14730" t="s">
        <v>14</v>
      </c>
      <c r="C14730" t="s">
        <v>22</v>
      </c>
      <c r="D14730" t="s">
        <v>17</v>
      </c>
      <c r="E14730" t="s">
        <v>12</v>
      </c>
      <c r="F14730">
        <v>49977567</v>
      </c>
      <c r="G14730">
        <v>49977610</v>
      </c>
      <c r="H14730">
        <v>49977490</v>
      </c>
      <c r="I14730">
        <v>49977522</v>
      </c>
    </row>
    <row r="14731" spans="1:9" x14ac:dyDescent="0.2">
      <c r="A14731" s="1" t="str">
        <f>"RBM7"</f>
        <v>RBM7</v>
      </c>
      <c r="B14731" t="s">
        <v>14</v>
      </c>
      <c r="C14731" t="s">
        <v>27</v>
      </c>
      <c r="D14731" t="s">
        <v>17</v>
      </c>
      <c r="E14731" t="s">
        <v>12</v>
      </c>
      <c r="F14731">
        <v>114271314</v>
      </c>
      <c r="G14731">
        <v>114271365</v>
      </c>
      <c r="H14731">
        <v>114271367</v>
      </c>
      <c r="I14731">
        <v>114271401</v>
      </c>
    </row>
    <row r="14732" spans="1:9" x14ac:dyDescent="0.2">
      <c r="A14732" s="1" t="str">
        <f>"RBM8A"</f>
        <v>RBM8A</v>
      </c>
      <c r="B14732" t="s">
        <v>14</v>
      </c>
      <c r="C14732" t="s">
        <v>19</v>
      </c>
      <c r="D14732" t="s">
        <v>17</v>
      </c>
      <c r="E14732" t="s">
        <v>12</v>
      </c>
      <c r="F14732">
        <v>145507587</v>
      </c>
      <c r="G14732">
        <v>145507615</v>
      </c>
      <c r="H14732">
        <v>145507587</v>
      </c>
      <c r="I14732">
        <v>145507615</v>
      </c>
    </row>
    <row r="14733" spans="1:9" x14ac:dyDescent="0.2">
      <c r="A14733" s="1" t="str">
        <f>"RBMS1"</f>
        <v>RBMS1</v>
      </c>
      <c r="B14733" t="s">
        <v>14</v>
      </c>
      <c r="C14733" t="s">
        <v>26</v>
      </c>
      <c r="D14733" t="s">
        <v>11</v>
      </c>
      <c r="E14733" t="s">
        <v>12</v>
      </c>
      <c r="F14733">
        <v>161350311</v>
      </c>
      <c r="G14733">
        <v>161350391</v>
      </c>
      <c r="H14733">
        <v>161350311</v>
      </c>
      <c r="I14733">
        <v>161350391</v>
      </c>
    </row>
    <row r="14734" spans="1:9" x14ac:dyDescent="0.2">
      <c r="A14734" s="1" t="str">
        <f>"RBMS2"</f>
        <v>RBMS2</v>
      </c>
      <c r="B14734" t="s">
        <v>14</v>
      </c>
      <c r="C14734" t="s">
        <v>16</v>
      </c>
      <c r="D14734" t="s">
        <v>17</v>
      </c>
      <c r="E14734" t="s">
        <v>12</v>
      </c>
      <c r="F14734">
        <v>56915582</v>
      </c>
      <c r="G14734">
        <v>56915627</v>
      </c>
      <c r="H14734">
        <v>56915572</v>
      </c>
      <c r="I14734">
        <v>56915577</v>
      </c>
    </row>
    <row r="14735" spans="1:9" x14ac:dyDescent="0.2">
      <c r="A14735" s="1" t="str">
        <f>"RBMS3"</f>
        <v>RBMS3</v>
      </c>
      <c r="B14735" t="s">
        <v>14</v>
      </c>
      <c r="C14735" t="s">
        <v>22</v>
      </c>
      <c r="D14735" t="s">
        <v>17</v>
      </c>
      <c r="E14735" t="s">
        <v>12</v>
      </c>
      <c r="F14735">
        <v>29322542</v>
      </c>
      <c r="G14735">
        <v>29322572</v>
      </c>
      <c r="H14735">
        <v>29322806</v>
      </c>
      <c r="I14735">
        <v>29322850</v>
      </c>
    </row>
    <row r="14736" spans="1:9" x14ac:dyDescent="0.2">
      <c r="A14736" s="1" t="str">
        <f>"RBMX"</f>
        <v>RBMX</v>
      </c>
      <c r="B14736" t="s">
        <v>14</v>
      </c>
      <c r="C14736" t="s">
        <v>37</v>
      </c>
      <c r="D14736" t="s">
        <v>11</v>
      </c>
      <c r="E14736" t="s">
        <v>12</v>
      </c>
      <c r="F14736">
        <v>135962876</v>
      </c>
      <c r="G14736">
        <v>135962896</v>
      </c>
      <c r="H14736">
        <v>135962932</v>
      </c>
      <c r="I14736">
        <v>135962943</v>
      </c>
    </row>
    <row r="14737" spans="1:9" x14ac:dyDescent="0.2">
      <c r="A14737" s="1" t="str">
        <f>"RBMX2"</f>
        <v>RBMX2</v>
      </c>
      <c r="B14737" t="s">
        <v>14</v>
      </c>
      <c r="C14737" t="s">
        <v>37</v>
      </c>
      <c r="D14737" t="s">
        <v>17</v>
      </c>
      <c r="E14737" t="s">
        <v>12</v>
      </c>
      <c r="F14737">
        <v>129535937</v>
      </c>
      <c r="G14737">
        <v>129535994</v>
      </c>
      <c r="H14737">
        <v>129535923</v>
      </c>
      <c r="I14737">
        <v>129535932</v>
      </c>
    </row>
    <row r="14738" spans="1:9" x14ac:dyDescent="0.2">
      <c r="A14738" s="1" t="str">
        <f>"RBMXL1"</f>
        <v>RBMXL1</v>
      </c>
      <c r="B14738" t="s">
        <v>14</v>
      </c>
      <c r="C14738" t="s">
        <v>19</v>
      </c>
      <c r="D14738" t="s">
        <v>11</v>
      </c>
      <c r="E14738" t="s">
        <v>12</v>
      </c>
      <c r="F14738">
        <v>89458415</v>
      </c>
      <c r="G14738">
        <v>89458463</v>
      </c>
      <c r="H14738">
        <v>89458651</v>
      </c>
      <c r="I14738">
        <v>89458685</v>
      </c>
    </row>
    <row r="14739" spans="1:9" x14ac:dyDescent="0.2">
      <c r="A14739" s="1" t="str">
        <f>"RBMXL2"</f>
        <v>RBMXL2</v>
      </c>
      <c r="B14739" t="s">
        <v>14</v>
      </c>
      <c r="C14739" t="s">
        <v>27</v>
      </c>
      <c r="D14739" t="s">
        <v>17</v>
      </c>
      <c r="E14739" t="s">
        <v>12</v>
      </c>
      <c r="F14739">
        <v>7110222</v>
      </c>
      <c r="G14739">
        <v>7110277</v>
      </c>
      <c r="H14739">
        <v>7110306</v>
      </c>
      <c r="I14739">
        <v>7110333</v>
      </c>
    </row>
    <row r="14740" spans="1:9" x14ac:dyDescent="0.2">
      <c r="A14740" s="1" t="str">
        <f>"RBMXL3"</f>
        <v>RBMXL3</v>
      </c>
      <c r="B14740" t="s">
        <v>14</v>
      </c>
      <c r="C14740" t="s">
        <v>37</v>
      </c>
      <c r="D14740" t="s">
        <v>17</v>
      </c>
      <c r="E14740" t="s">
        <v>12</v>
      </c>
      <c r="F14740">
        <v>114423962</v>
      </c>
      <c r="G14740">
        <v>114424001</v>
      </c>
      <c r="H14740">
        <v>114423962</v>
      </c>
      <c r="I14740">
        <v>114424001</v>
      </c>
    </row>
    <row r="14741" spans="1:9" x14ac:dyDescent="0.2">
      <c r="A14741" s="1" t="str">
        <f>"RBMY1A1"</f>
        <v>RBMY1A1</v>
      </c>
      <c r="B14741" t="s">
        <v>1457</v>
      </c>
      <c r="C14741" t="s">
        <v>63</v>
      </c>
      <c r="D14741" t="s">
        <v>17</v>
      </c>
      <c r="E14741" t="s">
        <v>20</v>
      </c>
      <c r="F14741">
        <v>23698777</v>
      </c>
      <c r="G14741">
        <v>23698777</v>
      </c>
      <c r="H14741">
        <v>23698777</v>
      </c>
      <c r="I14741">
        <v>23698777</v>
      </c>
    </row>
    <row r="14742" spans="1:9" x14ac:dyDescent="0.2">
      <c r="A14742" s="1" t="str">
        <f>"RBMY1A1"</f>
        <v>RBMY1A1</v>
      </c>
      <c r="B14742" t="s">
        <v>1458</v>
      </c>
      <c r="C14742" t="s">
        <v>63</v>
      </c>
      <c r="D14742" t="s">
        <v>17</v>
      </c>
      <c r="E14742" t="s">
        <v>20</v>
      </c>
      <c r="F14742">
        <v>23696764</v>
      </c>
      <c r="G14742">
        <v>23696764</v>
      </c>
      <c r="H14742">
        <v>23696764</v>
      </c>
      <c r="I14742">
        <v>23696764</v>
      </c>
    </row>
    <row r="14743" spans="1:9" x14ac:dyDescent="0.2">
      <c r="A14743" s="1" t="str">
        <f>"RBMY1B"</f>
        <v>RBMY1B</v>
      </c>
      <c r="B14743" t="s">
        <v>1459</v>
      </c>
      <c r="C14743" t="s">
        <v>63</v>
      </c>
      <c r="D14743" t="s">
        <v>17</v>
      </c>
      <c r="E14743" t="s">
        <v>20</v>
      </c>
      <c r="F14743">
        <v>23673223</v>
      </c>
      <c r="G14743">
        <v>23673223</v>
      </c>
      <c r="H14743">
        <v>23673223</v>
      </c>
      <c r="I14743">
        <v>23673223</v>
      </c>
    </row>
    <row r="14744" spans="1:9" x14ac:dyDescent="0.2">
      <c r="A14744" s="1" t="str">
        <f>"RBMY1D"</f>
        <v>RBMY1D</v>
      </c>
      <c r="B14744" t="s">
        <v>1460</v>
      </c>
      <c r="C14744" t="s">
        <v>63</v>
      </c>
      <c r="D14744" t="s">
        <v>11</v>
      </c>
      <c r="E14744" t="s">
        <v>20</v>
      </c>
      <c r="F14744">
        <v>24038659</v>
      </c>
      <c r="G14744">
        <v>24038659</v>
      </c>
      <c r="H14744">
        <v>24038659</v>
      </c>
      <c r="I14744">
        <v>24038659</v>
      </c>
    </row>
    <row r="14745" spans="1:9" x14ac:dyDescent="0.2">
      <c r="A14745" s="1" t="str">
        <f>"RBMY1D"</f>
        <v>RBMY1D</v>
      </c>
      <c r="B14745" t="s">
        <v>1461</v>
      </c>
      <c r="C14745" t="s">
        <v>63</v>
      </c>
      <c r="D14745" t="s">
        <v>11</v>
      </c>
      <c r="E14745" t="s">
        <v>20</v>
      </c>
      <c r="F14745">
        <v>24040672</v>
      </c>
      <c r="G14745">
        <v>24040672</v>
      </c>
      <c r="H14745">
        <v>24040672</v>
      </c>
      <c r="I14745">
        <v>24040672</v>
      </c>
    </row>
    <row r="14746" spans="1:9" x14ac:dyDescent="0.2">
      <c r="A14746" s="1" t="str">
        <f>"RBMY1D"</f>
        <v>RBMY1D</v>
      </c>
      <c r="B14746" t="s">
        <v>1462</v>
      </c>
      <c r="C14746" t="s">
        <v>63</v>
      </c>
      <c r="D14746" t="s">
        <v>11</v>
      </c>
      <c r="E14746" t="s">
        <v>20</v>
      </c>
      <c r="F14746">
        <v>24040585</v>
      </c>
      <c r="G14746">
        <v>24040585</v>
      </c>
      <c r="H14746">
        <v>24040585</v>
      </c>
      <c r="I14746">
        <v>24040585</v>
      </c>
    </row>
    <row r="14747" spans="1:9" x14ac:dyDescent="0.2">
      <c r="A14747" s="1" t="str">
        <f>"RBMY1E"</f>
        <v>RBMY1E</v>
      </c>
      <c r="B14747" t="s">
        <v>1463</v>
      </c>
      <c r="C14747" t="s">
        <v>63</v>
      </c>
      <c r="D14747" t="s">
        <v>11</v>
      </c>
      <c r="E14747" t="s">
        <v>20</v>
      </c>
      <c r="F14747">
        <v>24064170</v>
      </c>
      <c r="G14747">
        <v>24064170</v>
      </c>
      <c r="H14747">
        <v>24064170</v>
      </c>
      <c r="I14747">
        <v>24064170</v>
      </c>
    </row>
    <row r="14748" spans="1:9" x14ac:dyDescent="0.2">
      <c r="A14748" s="1" t="str">
        <f>"RBMY1F"</f>
        <v>RBMY1F</v>
      </c>
      <c r="B14748" t="s">
        <v>1464</v>
      </c>
      <c r="C14748" t="s">
        <v>63</v>
      </c>
      <c r="D14748" t="s">
        <v>11</v>
      </c>
      <c r="E14748" t="s">
        <v>20</v>
      </c>
      <c r="F14748">
        <v>24329111</v>
      </c>
      <c r="G14748">
        <v>24329111</v>
      </c>
      <c r="H14748">
        <v>24329111</v>
      </c>
      <c r="I14748">
        <v>24329111</v>
      </c>
    </row>
    <row r="14749" spans="1:9" x14ac:dyDescent="0.2">
      <c r="A14749" s="1" t="str">
        <f>"RBMY1J"</f>
        <v>RBMY1J</v>
      </c>
      <c r="B14749" t="s">
        <v>1465</v>
      </c>
      <c r="C14749" t="s">
        <v>63</v>
      </c>
      <c r="D14749" t="s">
        <v>17</v>
      </c>
      <c r="E14749" t="s">
        <v>20</v>
      </c>
      <c r="F14749">
        <v>24549616</v>
      </c>
      <c r="G14749">
        <v>24549616</v>
      </c>
      <c r="H14749">
        <v>24549616</v>
      </c>
      <c r="I14749">
        <v>24549616</v>
      </c>
    </row>
    <row r="14750" spans="1:9" x14ac:dyDescent="0.2">
      <c r="A14750" s="1" t="str">
        <f>"RBMY1J"</f>
        <v>RBMY1J</v>
      </c>
      <c r="B14750" t="s">
        <v>1466</v>
      </c>
      <c r="C14750" t="s">
        <v>63</v>
      </c>
      <c r="D14750" t="s">
        <v>17</v>
      </c>
      <c r="E14750" t="s">
        <v>20</v>
      </c>
      <c r="F14750">
        <v>24454969</v>
      </c>
      <c r="G14750">
        <v>24454969</v>
      </c>
      <c r="H14750">
        <v>24454969</v>
      </c>
      <c r="I14750">
        <v>24454969</v>
      </c>
    </row>
    <row r="14751" spans="1:9" x14ac:dyDescent="0.2">
      <c r="A14751" s="1" t="str">
        <f>"RBP1"</f>
        <v>RBP1</v>
      </c>
      <c r="B14751" t="s">
        <v>14</v>
      </c>
      <c r="C14751" t="s">
        <v>22</v>
      </c>
      <c r="D14751" t="s">
        <v>11</v>
      </c>
      <c r="E14751" t="s">
        <v>12</v>
      </c>
      <c r="F14751">
        <v>139258443</v>
      </c>
      <c r="G14751">
        <v>139258485</v>
      </c>
      <c r="H14751">
        <v>139258521</v>
      </c>
      <c r="I14751">
        <v>139258589</v>
      </c>
    </row>
    <row r="14752" spans="1:9" x14ac:dyDescent="0.2">
      <c r="A14752" s="1" t="str">
        <f>"RBP2"</f>
        <v>RBP2</v>
      </c>
      <c r="B14752" t="s">
        <v>9</v>
      </c>
      <c r="C14752" t="s">
        <v>22</v>
      </c>
      <c r="D14752" t="s">
        <v>11</v>
      </c>
      <c r="E14752" t="s">
        <v>12</v>
      </c>
      <c r="F14752">
        <v>139195350</v>
      </c>
      <c r="G14752">
        <v>139195370</v>
      </c>
      <c r="H14752">
        <v>139195350</v>
      </c>
      <c r="I14752">
        <v>139195370</v>
      </c>
    </row>
    <row r="14753" spans="1:9" x14ac:dyDescent="0.2">
      <c r="A14753" s="1" t="str">
        <f>"RBP2"</f>
        <v>RBP2</v>
      </c>
      <c r="B14753" t="s">
        <v>13</v>
      </c>
      <c r="C14753" t="s">
        <v>22</v>
      </c>
      <c r="D14753" t="s">
        <v>11</v>
      </c>
      <c r="E14753" t="s">
        <v>12</v>
      </c>
      <c r="F14753">
        <v>139199602</v>
      </c>
      <c r="G14753">
        <v>139199615</v>
      </c>
      <c r="H14753">
        <v>139199602</v>
      </c>
      <c r="I14753">
        <v>139199615</v>
      </c>
    </row>
    <row r="14754" spans="1:9" x14ac:dyDescent="0.2">
      <c r="A14754" s="1" t="str">
        <f>"RBP3"</f>
        <v>RBP3</v>
      </c>
      <c r="B14754" t="s">
        <v>14</v>
      </c>
      <c r="C14754" t="s">
        <v>15</v>
      </c>
      <c r="D14754" t="s">
        <v>11</v>
      </c>
      <c r="E14754" t="s">
        <v>12</v>
      </c>
      <c r="F14754">
        <v>48390973</v>
      </c>
      <c r="G14754">
        <v>48391010</v>
      </c>
      <c r="H14754">
        <v>48390973</v>
      </c>
      <c r="I14754">
        <v>48391010</v>
      </c>
    </row>
    <row r="14755" spans="1:9" x14ac:dyDescent="0.2">
      <c r="A14755" s="1" t="str">
        <f>"RBP4"</f>
        <v>RBP4</v>
      </c>
      <c r="B14755" t="s">
        <v>14</v>
      </c>
      <c r="C14755" t="s">
        <v>15</v>
      </c>
      <c r="D14755" t="s">
        <v>11</v>
      </c>
      <c r="E14755" t="s">
        <v>12</v>
      </c>
      <c r="F14755">
        <v>95360985</v>
      </c>
      <c r="G14755">
        <v>95360999</v>
      </c>
      <c r="H14755">
        <v>95360985</v>
      </c>
      <c r="I14755">
        <v>95360999</v>
      </c>
    </row>
    <row r="14756" spans="1:9" x14ac:dyDescent="0.2">
      <c r="A14756" s="1" t="str">
        <f>"RBP5"</f>
        <v>RBP5</v>
      </c>
      <c r="B14756" t="s">
        <v>14</v>
      </c>
      <c r="C14756" t="s">
        <v>16</v>
      </c>
      <c r="D14756" t="s">
        <v>11</v>
      </c>
      <c r="E14756" t="s">
        <v>12</v>
      </c>
      <c r="F14756">
        <v>7281476</v>
      </c>
      <c r="G14756">
        <v>7281492</v>
      </c>
      <c r="H14756">
        <v>7281476</v>
      </c>
      <c r="I14756">
        <v>7281492</v>
      </c>
    </row>
    <row r="14757" spans="1:9" x14ac:dyDescent="0.2">
      <c r="A14757" s="1" t="str">
        <f>"RBP7"</f>
        <v>RBP7</v>
      </c>
      <c r="B14757" t="s">
        <v>14</v>
      </c>
      <c r="C14757" t="s">
        <v>19</v>
      </c>
      <c r="D14757" t="s">
        <v>17</v>
      </c>
      <c r="E14757" t="s">
        <v>12</v>
      </c>
      <c r="F14757">
        <v>10057278</v>
      </c>
      <c r="G14757">
        <v>10057296</v>
      </c>
      <c r="H14757">
        <v>10057249</v>
      </c>
      <c r="I14757">
        <v>10057268</v>
      </c>
    </row>
    <row r="14758" spans="1:9" x14ac:dyDescent="0.2">
      <c r="A14758" s="1" t="str">
        <f>"RBPJ"</f>
        <v>RBPJ</v>
      </c>
      <c r="B14758" t="s">
        <v>14</v>
      </c>
      <c r="C14758" t="s">
        <v>23</v>
      </c>
      <c r="D14758" t="s">
        <v>17</v>
      </c>
      <c r="E14758" t="s">
        <v>12</v>
      </c>
      <c r="F14758">
        <v>26322616</v>
      </c>
      <c r="G14758">
        <v>26322652</v>
      </c>
      <c r="H14758">
        <v>26322419</v>
      </c>
      <c r="I14758">
        <v>26322479</v>
      </c>
    </row>
    <row r="14759" spans="1:9" x14ac:dyDescent="0.2">
      <c r="A14759" s="1" t="str">
        <f>"RBPJL"</f>
        <v>RBPJL</v>
      </c>
      <c r="B14759" t="s">
        <v>14</v>
      </c>
      <c r="C14759" t="s">
        <v>29</v>
      </c>
      <c r="D14759" t="s">
        <v>17</v>
      </c>
      <c r="E14759" t="s">
        <v>12</v>
      </c>
      <c r="F14759">
        <v>43935474</v>
      </c>
      <c r="G14759">
        <v>43935490</v>
      </c>
      <c r="H14759">
        <v>43935474</v>
      </c>
      <c r="I14759">
        <v>43935490</v>
      </c>
    </row>
    <row r="14760" spans="1:9" x14ac:dyDescent="0.2">
      <c r="A14760" s="1" t="str">
        <f>"RBPMS"</f>
        <v>RBPMS</v>
      </c>
      <c r="B14760" t="s">
        <v>14</v>
      </c>
      <c r="C14760" t="s">
        <v>30</v>
      </c>
      <c r="D14760" t="s">
        <v>17</v>
      </c>
      <c r="E14760" t="s">
        <v>12</v>
      </c>
      <c r="F14760">
        <v>30242048</v>
      </c>
      <c r="G14760">
        <v>30242064</v>
      </c>
      <c r="H14760">
        <v>30242040</v>
      </c>
      <c r="I14760">
        <v>30242045</v>
      </c>
    </row>
    <row r="14761" spans="1:9" x14ac:dyDescent="0.2">
      <c r="A14761" s="1" t="str">
        <f>"RBPMS2"</f>
        <v>RBPMS2</v>
      </c>
      <c r="B14761" t="s">
        <v>14</v>
      </c>
      <c r="C14761" t="s">
        <v>25</v>
      </c>
      <c r="D14761" t="s">
        <v>11</v>
      </c>
      <c r="E14761" t="s">
        <v>12</v>
      </c>
      <c r="F14761">
        <v>65067773</v>
      </c>
      <c r="G14761">
        <v>65067796</v>
      </c>
      <c r="H14761">
        <v>65067505</v>
      </c>
      <c r="I14761">
        <v>65067526</v>
      </c>
    </row>
    <row r="14762" spans="1:9" x14ac:dyDescent="0.2">
      <c r="A14762" s="1" t="str">
        <f>"RBX1"</f>
        <v>RBX1</v>
      </c>
      <c r="B14762" t="s">
        <v>14</v>
      </c>
      <c r="C14762" t="s">
        <v>21</v>
      </c>
      <c r="D14762" t="s">
        <v>17</v>
      </c>
      <c r="E14762" t="s">
        <v>12</v>
      </c>
      <c r="F14762">
        <v>41347368</v>
      </c>
      <c r="G14762">
        <v>41347399</v>
      </c>
      <c r="H14762">
        <v>41347274</v>
      </c>
      <c r="I14762">
        <v>41347309</v>
      </c>
    </row>
    <row r="14763" spans="1:9" x14ac:dyDescent="0.2">
      <c r="A14763" s="1" t="str">
        <f>"RC3H1"</f>
        <v>RC3H1</v>
      </c>
      <c r="B14763" t="s">
        <v>14</v>
      </c>
      <c r="C14763" t="s">
        <v>19</v>
      </c>
      <c r="D14763" t="s">
        <v>11</v>
      </c>
      <c r="E14763" t="s">
        <v>12</v>
      </c>
      <c r="F14763">
        <v>173991434</v>
      </c>
      <c r="G14763">
        <v>173991556</v>
      </c>
      <c r="H14763">
        <v>173991434</v>
      </c>
      <c r="I14763">
        <v>173991556</v>
      </c>
    </row>
    <row r="14764" spans="1:9" x14ac:dyDescent="0.2">
      <c r="A14764" s="1" t="str">
        <f>"RC3H2"</f>
        <v>RC3H2</v>
      </c>
      <c r="B14764" t="s">
        <v>14</v>
      </c>
      <c r="C14764" t="s">
        <v>24</v>
      </c>
      <c r="D14764" t="s">
        <v>11</v>
      </c>
      <c r="E14764" t="s">
        <v>12</v>
      </c>
      <c r="F14764">
        <v>125667518</v>
      </c>
      <c r="G14764">
        <v>125667588</v>
      </c>
      <c r="H14764">
        <v>125667618</v>
      </c>
      <c r="I14764">
        <v>125667678</v>
      </c>
    </row>
    <row r="14765" spans="1:9" x14ac:dyDescent="0.2">
      <c r="A14765" s="1" t="str">
        <f>"RCAN1"</f>
        <v>RCAN1</v>
      </c>
      <c r="B14765" t="s">
        <v>14</v>
      </c>
      <c r="C14765" t="s">
        <v>42</v>
      </c>
      <c r="D14765" t="s">
        <v>11</v>
      </c>
      <c r="E14765" t="s">
        <v>12</v>
      </c>
      <c r="F14765">
        <v>35899113</v>
      </c>
      <c r="G14765">
        <v>35899128</v>
      </c>
      <c r="H14765">
        <v>35899113</v>
      </c>
      <c r="I14765">
        <v>35899128</v>
      </c>
    </row>
    <row r="14766" spans="1:9" x14ac:dyDescent="0.2">
      <c r="A14766" s="1" t="str">
        <f>"RCAN2"</f>
        <v>RCAN2</v>
      </c>
      <c r="B14766" t="s">
        <v>14</v>
      </c>
      <c r="C14766" t="s">
        <v>32</v>
      </c>
      <c r="D14766" t="s">
        <v>11</v>
      </c>
      <c r="E14766" t="s">
        <v>12</v>
      </c>
      <c r="F14766">
        <v>46293378</v>
      </c>
      <c r="G14766">
        <v>46293415</v>
      </c>
      <c r="H14766">
        <v>46293378</v>
      </c>
      <c r="I14766">
        <v>46293415</v>
      </c>
    </row>
    <row r="14767" spans="1:9" x14ac:dyDescent="0.2">
      <c r="A14767" s="1" t="str">
        <f>"RCAN3"</f>
        <v>RCAN3</v>
      </c>
      <c r="B14767" t="s">
        <v>14</v>
      </c>
      <c r="C14767" t="s">
        <v>19</v>
      </c>
      <c r="D14767" t="s">
        <v>17</v>
      </c>
      <c r="E14767" t="s">
        <v>12</v>
      </c>
      <c r="F14767">
        <v>24829463</v>
      </c>
      <c r="G14767">
        <v>24829542</v>
      </c>
      <c r="H14767">
        <v>24828809</v>
      </c>
      <c r="I14767">
        <v>24828890</v>
      </c>
    </row>
    <row r="14768" spans="1:9" x14ac:dyDescent="0.2">
      <c r="A14768" s="1" t="str">
        <f>"RCBTB1"</f>
        <v>RCBTB1</v>
      </c>
      <c r="B14768" t="s">
        <v>14</v>
      </c>
      <c r="C14768" t="s">
        <v>39</v>
      </c>
      <c r="D14768" t="s">
        <v>11</v>
      </c>
      <c r="E14768" t="s">
        <v>12</v>
      </c>
      <c r="F14768">
        <v>50159675</v>
      </c>
      <c r="G14768">
        <v>50159713</v>
      </c>
      <c r="H14768">
        <v>50159631</v>
      </c>
      <c r="I14768">
        <v>50159668</v>
      </c>
    </row>
    <row r="14769" spans="1:9" x14ac:dyDescent="0.2">
      <c r="A14769" s="1" t="str">
        <f>"RCBTB2"</f>
        <v>RCBTB2</v>
      </c>
      <c r="B14769" t="s">
        <v>14</v>
      </c>
      <c r="C14769" t="s">
        <v>39</v>
      </c>
      <c r="D14769" t="s">
        <v>11</v>
      </c>
      <c r="E14769" t="s">
        <v>12</v>
      </c>
      <c r="F14769">
        <v>49107205</v>
      </c>
      <c r="G14769">
        <v>49107229</v>
      </c>
      <c r="H14769">
        <v>49107205</v>
      </c>
      <c r="I14769">
        <v>49107229</v>
      </c>
    </row>
    <row r="14770" spans="1:9" x14ac:dyDescent="0.2">
      <c r="A14770" s="1" t="str">
        <f>"RCC1"</f>
        <v>RCC1</v>
      </c>
      <c r="B14770" t="s">
        <v>9</v>
      </c>
      <c r="C14770" t="s">
        <v>19</v>
      </c>
      <c r="D14770" t="s">
        <v>17</v>
      </c>
      <c r="E14770" t="s">
        <v>12</v>
      </c>
      <c r="F14770">
        <v>28832548</v>
      </c>
      <c r="G14770">
        <v>28832568</v>
      </c>
      <c r="H14770">
        <v>28832548</v>
      </c>
      <c r="I14770">
        <v>28832568</v>
      </c>
    </row>
    <row r="14771" spans="1:9" x14ac:dyDescent="0.2">
      <c r="A14771" s="1" t="str">
        <f>"RCC1"</f>
        <v>RCC1</v>
      </c>
      <c r="B14771" t="s">
        <v>13</v>
      </c>
      <c r="C14771" t="s">
        <v>19</v>
      </c>
      <c r="D14771" t="s">
        <v>17</v>
      </c>
      <c r="E14771" t="s">
        <v>12</v>
      </c>
      <c r="F14771">
        <v>28844730</v>
      </c>
      <c r="G14771">
        <v>28844776</v>
      </c>
      <c r="H14771">
        <v>28844730</v>
      </c>
      <c r="I14771">
        <v>28844776</v>
      </c>
    </row>
    <row r="14772" spans="1:9" x14ac:dyDescent="0.2">
      <c r="A14772" s="1" t="str">
        <f>"RCC2"</f>
        <v>RCC2</v>
      </c>
      <c r="B14772" t="s">
        <v>9</v>
      </c>
      <c r="C14772" t="s">
        <v>19</v>
      </c>
      <c r="D14772" t="s">
        <v>11</v>
      </c>
      <c r="E14772" t="s">
        <v>12</v>
      </c>
      <c r="F14772">
        <v>17765022</v>
      </c>
      <c r="G14772">
        <v>17765043</v>
      </c>
      <c r="H14772">
        <v>17765022</v>
      </c>
      <c r="I14772">
        <v>17765043</v>
      </c>
    </row>
    <row r="14773" spans="1:9" x14ac:dyDescent="0.2">
      <c r="A14773" s="1" t="str">
        <f>"RCC2"</f>
        <v>RCC2</v>
      </c>
      <c r="B14773" t="s">
        <v>13</v>
      </c>
      <c r="C14773" t="s">
        <v>19</v>
      </c>
      <c r="D14773" t="s">
        <v>11</v>
      </c>
      <c r="E14773" t="s">
        <v>12</v>
      </c>
      <c r="F14773">
        <v>17766153</v>
      </c>
      <c r="G14773">
        <v>17766179</v>
      </c>
      <c r="H14773">
        <v>17766153</v>
      </c>
      <c r="I14773">
        <v>17766179</v>
      </c>
    </row>
    <row r="14774" spans="1:9" x14ac:dyDescent="0.2">
      <c r="A14774" s="1" t="str">
        <f>"RCCD1"</f>
        <v>RCCD1</v>
      </c>
      <c r="B14774" t="s">
        <v>9</v>
      </c>
      <c r="C14774" t="s">
        <v>25</v>
      </c>
      <c r="D14774" t="s">
        <v>17</v>
      </c>
      <c r="E14774" t="s">
        <v>12</v>
      </c>
      <c r="F14774">
        <v>91498089</v>
      </c>
      <c r="G14774">
        <v>91498151</v>
      </c>
      <c r="H14774">
        <v>91498089</v>
      </c>
      <c r="I14774">
        <v>91498151</v>
      </c>
    </row>
    <row r="14775" spans="1:9" x14ac:dyDescent="0.2">
      <c r="A14775" s="1" t="str">
        <f>"RCCD1"</f>
        <v>RCCD1</v>
      </c>
      <c r="B14775" t="s">
        <v>13</v>
      </c>
      <c r="C14775" t="s">
        <v>25</v>
      </c>
      <c r="D14775" t="s">
        <v>17</v>
      </c>
      <c r="E14775" t="s">
        <v>12</v>
      </c>
      <c r="F14775">
        <v>91499932</v>
      </c>
      <c r="G14775">
        <v>91499966</v>
      </c>
      <c r="H14775">
        <v>91499932</v>
      </c>
      <c r="I14775">
        <v>91499966</v>
      </c>
    </row>
    <row r="14776" spans="1:9" x14ac:dyDescent="0.2">
      <c r="A14776" s="1" t="str">
        <f>"RCE1"</f>
        <v>RCE1</v>
      </c>
      <c r="B14776" t="s">
        <v>14</v>
      </c>
      <c r="C14776" t="s">
        <v>27</v>
      </c>
      <c r="D14776" t="s">
        <v>17</v>
      </c>
      <c r="E14776" t="s">
        <v>12</v>
      </c>
      <c r="F14776">
        <v>66610885</v>
      </c>
      <c r="G14776">
        <v>66610931</v>
      </c>
      <c r="H14776">
        <v>66610458</v>
      </c>
      <c r="I14776">
        <v>66610467</v>
      </c>
    </row>
    <row r="14777" spans="1:9" x14ac:dyDescent="0.2">
      <c r="A14777" s="1" t="str">
        <f>"RCHY1"</f>
        <v>RCHY1</v>
      </c>
      <c r="B14777" t="s">
        <v>14</v>
      </c>
      <c r="C14777" t="s">
        <v>23</v>
      </c>
      <c r="D14777" t="s">
        <v>11</v>
      </c>
      <c r="E14777" t="s">
        <v>12</v>
      </c>
      <c r="F14777">
        <v>76439483</v>
      </c>
      <c r="G14777">
        <v>76439545</v>
      </c>
      <c r="H14777">
        <v>76439596</v>
      </c>
      <c r="I14777">
        <v>76439643</v>
      </c>
    </row>
    <row r="14778" spans="1:9" x14ac:dyDescent="0.2">
      <c r="A14778" s="1" t="str">
        <f>"RCL1"</f>
        <v>RCL1</v>
      </c>
      <c r="B14778" t="s">
        <v>14</v>
      </c>
      <c r="C14778" t="s">
        <v>24</v>
      </c>
      <c r="D14778" t="s">
        <v>17</v>
      </c>
      <c r="E14778" t="s">
        <v>12</v>
      </c>
      <c r="F14778">
        <v>4792904</v>
      </c>
      <c r="G14778">
        <v>4792964</v>
      </c>
      <c r="H14778">
        <v>4792987</v>
      </c>
      <c r="I14778">
        <v>4793004</v>
      </c>
    </row>
    <row r="14779" spans="1:9" x14ac:dyDescent="0.2">
      <c r="A14779" s="1" t="str">
        <f>"RCN1"</f>
        <v>RCN1</v>
      </c>
      <c r="B14779" t="s">
        <v>14</v>
      </c>
      <c r="C14779" t="s">
        <v>27</v>
      </c>
      <c r="D14779" t="s">
        <v>17</v>
      </c>
      <c r="E14779" t="s">
        <v>12</v>
      </c>
      <c r="F14779">
        <v>32112612</v>
      </c>
      <c r="G14779">
        <v>32112660</v>
      </c>
      <c r="H14779">
        <v>32112459</v>
      </c>
      <c r="I14779">
        <v>32112518</v>
      </c>
    </row>
    <row r="14780" spans="1:9" x14ac:dyDescent="0.2">
      <c r="A14780" s="1" t="str">
        <f>"RCN2"</f>
        <v>RCN2</v>
      </c>
      <c r="B14780" t="s">
        <v>14</v>
      </c>
      <c r="C14780" t="s">
        <v>25</v>
      </c>
      <c r="D14780" t="s">
        <v>17</v>
      </c>
      <c r="E14780" t="s">
        <v>12</v>
      </c>
      <c r="F14780">
        <v>77224045</v>
      </c>
      <c r="G14780">
        <v>77224121</v>
      </c>
      <c r="H14780">
        <v>77224129</v>
      </c>
      <c r="I14780">
        <v>77224148</v>
      </c>
    </row>
    <row r="14781" spans="1:9" x14ac:dyDescent="0.2">
      <c r="A14781" s="1" t="str">
        <f>"RCN3"</f>
        <v>RCN3</v>
      </c>
      <c r="B14781" t="s">
        <v>14</v>
      </c>
      <c r="C14781" t="s">
        <v>10</v>
      </c>
      <c r="D14781" t="s">
        <v>17</v>
      </c>
      <c r="E14781" t="s">
        <v>12</v>
      </c>
      <c r="F14781">
        <v>50031252</v>
      </c>
      <c r="G14781">
        <v>50031285</v>
      </c>
      <c r="H14781">
        <v>50031567</v>
      </c>
      <c r="I14781">
        <v>50031632</v>
      </c>
    </row>
    <row r="14782" spans="1:9" x14ac:dyDescent="0.2">
      <c r="A14782" s="1" t="str">
        <f>"RCOR1"</f>
        <v>RCOR1</v>
      </c>
      <c r="B14782" t="s">
        <v>14</v>
      </c>
      <c r="C14782" t="s">
        <v>41</v>
      </c>
      <c r="D14782" t="s">
        <v>17</v>
      </c>
      <c r="E14782" t="s">
        <v>12</v>
      </c>
      <c r="F14782">
        <v>103058948</v>
      </c>
      <c r="G14782">
        <v>103059005</v>
      </c>
      <c r="H14782">
        <v>103059006</v>
      </c>
      <c r="I14782">
        <v>103059017</v>
      </c>
    </row>
    <row r="14783" spans="1:9" x14ac:dyDescent="0.2">
      <c r="A14783" s="1" t="str">
        <f>"RCOR2"</f>
        <v>RCOR2</v>
      </c>
      <c r="B14783" t="s">
        <v>14</v>
      </c>
      <c r="C14783" t="s">
        <v>27</v>
      </c>
      <c r="D14783" t="s">
        <v>11</v>
      </c>
      <c r="E14783" t="s">
        <v>12</v>
      </c>
      <c r="F14783">
        <v>63684602</v>
      </c>
      <c r="G14783">
        <v>63684664</v>
      </c>
      <c r="H14783">
        <v>63684602</v>
      </c>
      <c r="I14783">
        <v>63684664</v>
      </c>
    </row>
    <row r="14784" spans="1:9" x14ac:dyDescent="0.2">
      <c r="A14784" s="1" t="str">
        <f>"RCOR3"</f>
        <v>RCOR3</v>
      </c>
      <c r="B14784" t="s">
        <v>14</v>
      </c>
      <c r="C14784" t="s">
        <v>19</v>
      </c>
      <c r="D14784" t="s">
        <v>17</v>
      </c>
      <c r="E14784" t="s">
        <v>12</v>
      </c>
      <c r="F14784">
        <v>211432700</v>
      </c>
      <c r="G14784">
        <v>211432753</v>
      </c>
      <c r="H14784">
        <v>211433275</v>
      </c>
      <c r="I14784">
        <v>211433335</v>
      </c>
    </row>
    <row r="14785" spans="1:9" x14ac:dyDescent="0.2">
      <c r="A14785" s="1" t="str">
        <f>"RCSD1"</f>
        <v>RCSD1</v>
      </c>
      <c r="B14785" t="s">
        <v>14</v>
      </c>
      <c r="C14785" t="s">
        <v>19</v>
      </c>
      <c r="D14785" t="s">
        <v>17</v>
      </c>
      <c r="E14785" t="s">
        <v>12</v>
      </c>
      <c r="F14785">
        <v>167599481</v>
      </c>
      <c r="G14785">
        <v>167599507</v>
      </c>
      <c r="H14785">
        <v>167599460</v>
      </c>
      <c r="I14785">
        <v>167599476</v>
      </c>
    </row>
    <row r="14786" spans="1:9" x14ac:dyDescent="0.2">
      <c r="A14786" s="1" t="str">
        <f>"RCVRN"</f>
        <v>RCVRN</v>
      </c>
      <c r="B14786" t="s">
        <v>14</v>
      </c>
      <c r="C14786" t="s">
        <v>28</v>
      </c>
      <c r="D14786" t="s">
        <v>11</v>
      </c>
      <c r="E14786" t="s">
        <v>12</v>
      </c>
      <c r="F14786">
        <v>9808565</v>
      </c>
      <c r="G14786">
        <v>9808623</v>
      </c>
      <c r="H14786">
        <v>9808496</v>
      </c>
      <c r="I14786">
        <v>9808505</v>
      </c>
    </row>
    <row r="14787" spans="1:9" x14ac:dyDescent="0.2">
      <c r="A14787" s="1" t="str">
        <f>"RD3"</f>
        <v>RD3</v>
      </c>
      <c r="B14787" t="s">
        <v>14</v>
      </c>
      <c r="C14787" t="s">
        <v>19</v>
      </c>
      <c r="D14787" t="s">
        <v>11</v>
      </c>
      <c r="E14787" t="s">
        <v>12</v>
      </c>
      <c r="F14787">
        <v>211665453</v>
      </c>
      <c r="G14787">
        <v>211665518</v>
      </c>
      <c r="H14787">
        <v>211665365</v>
      </c>
      <c r="I14787">
        <v>211665411</v>
      </c>
    </row>
    <row r="14788" spans="1:9" x14ac:dyDescent="0.2">
      <c r="A14788" s="1" t="str">
        <f>"RD3L"</f>
        <v>RD3L</v>
      </c>
      <c r="B14788" t="s">
        <v>14</v>
      </c>
      <c r="C14788" t="s">
        <v>41</v>
      </c>
      <c r="D14788" t="s">
        <v>11</v>
      </c>
      <c r="E14788" t="s">
        <v>67</v>
      </c>
      <c r="F14788">
        <v>104408853</v>
      </c>
      <c r="G14788">
        <v>104408880</v>
      </c>
      <c r="H14788">
        <v>104408853</v>
      </c>
      <c r="I14788">
        <v>104408880</v>
      </c>
    </row>
    <row r="14789" spans="1:9" x14ac:dyDescent="0.2">
      <c r="A14789" s="1" t="str">
        <f>"RDH10"</f>
        <v>RDH10</v>
      </c>
      <c r="B14789" t="s">
        <v>14</v>
      </c>
      <c r="C14789" t="s">
        <v>30</v>
      </c>
      <c r="D14789" t="s">
        <v>17</v>
      </c>
      <c r="E14789" t="s">
        <v>12</v>
      </c>
      <c r="F14789">
        <v>74206829</v>
      </c>
      <c r="G14789">
        <v>74206846</v>
      </c>
      <c r="H14789">
        <v>74206784</v>
      </c>
      <c r="I14789">
        <v>74206821</v>
      </c>
    </row>
    <row r="14790" spans="1:9" x14ac:dyDescent="0.2">
      <c r="A14790" s="1" t="str">
        <f>"RDH11"</f>
        <v>RDH11</v>
      </c>
      <c r="B14790" t="s">
        <v>14</v>
      </c>
      <c r="C14790" t="s">
        <v>41</v>
      </c>
      <c r="D14790" t="s">
        <v>11</v>
      </c>
      <c r="E14790" t="s">
        <v>12</v>
      </c>
      <c r="F14790">
        <v>68162464</v>
      </c>
      <c r="G14790">
        <v>68162494</v>
      </c>
      <c r="H14790">
        <v>68162438</v>
      </c>
      <c r="I14790">
        <v>68162459</v>
      </c>
    </row>
    <row r="14791" spans="1:9" x14ac:dyDescent="0.2">
      <c r="A14791" s="1" t="str">
        <f>"RDH12"</f>
        <v>RDH12</v>
      </c>
      <c r="B14791" t="s">
        <v>14</v>
      </c>
      <c r="C14791" t="s">
        <v>41</v>
      </c>
      <c r="D14791" t="s">
        <v>17</v>
      </c>
      <c r="E14791" t="s">
        <v>12</v>
      </c>
      <c r="F14791">
        <v>68189203</v>
      </c>
      <c r="G14791">
        <v>68189220</v>
      </c>
      <c r="H14791">
        <v>68189243</v>
      </c>
      <c r="I14791">
        <v>68189252</v>
      </c>
    </row>
    <row r="14792" spans="1:9" x14ac:dyDescent="0.2">
      <c r="A14792" s="1" t="str">
        <f>"RDH13"</f>
        <v>RDH13</v>
      </c>
      <c r="B14792" t="s">
        <v>9</v>
      </c>
      <c r="C14792" t="s">
        <v>10</v>
      </c>
      <c r="D14792" t="s">
        <v>11</v>
      </c>
      <c r="E14792" t="s">
        <v>12</v>
      </c>
      <c r="F14792">
        <v>55574448</v>
      </c>
      <c r="G14792">
        <v>55574537</v>
      </c>
      <c r="H14792">
        <v>55574448</v>
      </c>
      <c r="I14792">
        <v>55574537</v>
      </c>
    </row>
    <row r="14793" spans="1:9" x14ac:dyDescent="0.2">
      <c r="A14793" s="1" t="str">
        <f>"RDH13"</f>
        <v>RDH13</v>
      </c>
      <c r="B14793" t="s">
        <v>13</v>
      </c>
      <c r="C14793" t="s">
        <v>10</v>
      </c>
      <c r="D14793" t="s">
        <v>11</v>
      </c>
      <c r="E14793" t="s">
        <v>12</v>
      </c>
      <c r="F14793">
        <v>55580838</v>
      </c>
      <c r="G14793">
        <v>55580923</v>
      </c>
      <c r="H14793">
        <v>55580838</v>
      </c>
      <c r="I14793">
        <v>55580923</v>
      </c>
    </row>
    <row r="14794" spans="1:9" x14ac:dyDescent="0.2">
      <c r="A14794" s="1" t="str">
        <f>"RDH14"</f>
        <v>RDH14</v>
      </c>
      <c r="B14794" t="s">
        <v>14</v>
      </c>
      <c r="C14794" t="s">
        <v>26</v>
      </c>
      <c r="D14794" t="s">
        <v>11</v>
      </c>
      <c r="E14794" t="s">
        <v>12</v>
      </c>
      <c r="F14794">
        <v>18741882</v>
      </c>
      <c r="G14794">
        <v>18741968</v>
      </c>
      <c r="H14794">
        <v>18741733</v>
      </c>
      <c r="I14794">
        <v>18741744</v>
      </c>
    </row>
    <row r="14795" spans="1:9" x14ac:dyDescent="0.2">
      <c r="A14795" s="1" t="str">
        <f>"RDH16"</f>
        <v>RDH16</v>
      </c>
      <c r="B14795" t="s">
        <v>14</v>
      </c>
      <c r="C14795" t="s">
        <v>16</v>
      </c>
      <c r="D14795" t="s">
        <v>11</v>
      </c>
      <c r="E14795" t="s">
        <v>12</v>
      </c>
      <c r="F14795">
        <v>57351371</v>
      </c>
      <c r="G14795">
        <v>57351397</v>
      </c>
      <c r="H14795">
        <v>57351371</v>
      </c>
      <c r="I14795">
        <v>57351397</v>
      </c>
    </row>
    <row r="14796" spans="1:9" x14ac:dyDescent="0.2">
      <c r="A14796" s="1" t="str">
        <f>"RDH5"</f>
        <v>RDH5</v>
      </c>
      <c r="B14796" t="s">
        <v>14</v>
      </c>
      <c r="C14796" t="s">
        <v>16</v>
      </c>
      <c r="D14796" t="s">
        <v>17</v>
      </c>
      <c r="E14796" t="s">
        <v>12</v>
      </c>
      <c r="F14796">
        <v>56114169</v>
      </c>
      <c r="G14796">
        <v>56114185</v>
      </c>
      <c r="H14796">
        <v>56114189</v>
      </c>
      <c r="I14796">
        <v>56114208</v>
      </c>
    </row>
    <row r="14797" spans="1:9" x14ac:dyDescent="0.2">
      <c r="A14797" s="1" t="str">
        <f>"RDH8"</f>
        <v>RDH8</v>
      </c>
      <c r="B14797" t="s">
        <v>14</v>
      </c>
      <c r="C14797" t="s">
        <v>10</v>
      </c>
      <c r="D14797" t="s">
        <v>17</v>
      </c>
      <c r="E14797" t="s">
        <v>12</v>
      </c>
      <c r="F14797">
        <v>10124147</v>
      </c>
      <c r="G14797">
        <v>10124176</v>
      </c>
      <c r="H14797">
        <v>10124147</v>
      </c>
      <c r="I14797">
        <v>10124176</v>
      </c>
    </row>
    <row r="14798" spans="1:9" x14ac:dyDescent="0.2">
      <c r="A14798" s="1" t="str">
        <f>"RDM1"</f>
        <v>RDM1</v>
      </c>
      <c r="B14798" t="s">
        <v>14</v>
      </c>
      <c r="C14798" t="s">
        <v>28</v>
      </c>
      <c r="D14798" t="s">
        <v>11</v>
      </c>
      <c r="E14798" t="s">
        <v>12</v>
      </c>
      <c r="F14798">
        <v>34257743</v>
      </c>
      <c r="G14798">
        <v>34257766</v>
      </c>
      <c r="H14798">
        <v>34257771</v>
      </c>
      <c r="I14798">
        <v>34257786</v>
      </c>
    </row>
    <row r="14799" spans="1:9" x14ac:dyDescent="0.2">
      <c r="A14799" s="1" t="str">
        <f>"RDX"</f>
        <v>RDX</v>
      </c>
      <c r="B14799" t="s">
        <v>14</v>
      </c>
      <c r="C14799" t="s">
        <v>27</v>
      </c>
      <c r="D14799" t="s">
        <v>11</v>
      </c>
      <c r="E14799" t="s">
        <v>12</v>
      </c>
      <c r="F14799">
        <v>110167331</v>
      </c>
      <c r="G14799">
        <v>110167350</v>
      </c>
      <c r="H14799">
        <v>110167352</v>
      </c>
      <c r="I14799">
        <v>110167378</v>
      </c>
    </row>
    <row r="14800" spans="1:9" x14ac:dyDescent="0.2">
      <c r="A14800" s="1" t="str">
        <f>"REC8"</f>
        <v>REC8</v>
      </c>
      <c r="B14800" t="s">
        <v>14</v>
      </c>
      <c r="C14800" t="s">
        <v>41</v>
      </c>
      <c r="D14800" t="s">
        <v>17</v>
      </c>
      <c r="E14800" t="s">
        <v>12</v>
      </c>
      <c r="F14800">
        <v>24641247</v>
      </c>
      <c r="G14800">
        <v>24641304</v>
      </c>
      <c r="H14800">
        <v>24641209</v>
      </c>
      <c r="I14800">
        <v>24641246</v>
      </c>
    </row>
    <row r="14801" spans="1:9" x14ac:dyDescent="0.2">
      <c r="A14801" s="1" t="str">
        <f>"RECK"</f>
        <v>RECK</v>
      </c>
      <c r="B14801" t="s">
        <v>14</v>
      </c>
      <c r="C14801" t="s">
        <v>24</v>
      </c>
      <c r="D14801" t="s">
        <v>17</v>
      </c>
      <c r="E14801" t="s">
        <v>12</v>
      </c>
      <c r="F14801">
        <v>36036896</v>
      </c>
      <c r="G14801">
        <v>36036970</v>
      </c>
      <c r="H14801">
        <v>36036754</v>
      </c>
      <c r="I14801">
        <v>36036780</v>
      </c>
    </row>
    <row r="14802" spans="1:9" x14ac:dyDescent="0.2">
      <c r="A14802" s="1" t="str">
        <f>"RECQL"</f>
        <v>RECQL</v>
      </c>
      <c r="B14802" t="s">
        <v>14</v>
      </c>
      <c r="C14802" t="s">
        <v>16</v>
      </c>
      <c r="D14802" t="s">
        <v>11</v>
      </c>
      <c r="E14802" t="s">
        <v>12</v>
      </c>
      <c r="F14802">
        <v>21654479</v>
      </c>
      <c r="G14802">
        <v>21654580</v>
      </c>
      <c r="H14802">
        <v>21654194</v>
      </c>
      <c r="I14802">
        <v>21654249</v>
      </c>
    </row>
    <row r="14803" spans="1:9" x14ac:dyDescent="0.2">
      <c r="A14803" s="1" t="str">
        <f>"RECQL4"</f>
        <v>RECQL4</v>
      </c>
      <c r="B14803" t="s">
        <v>14</v>
      </c>
      <c r="C14803" t="s">
        <v>30</v>
      </c>
      <c r="D14803" t="s">
        <v>11</v>
      </c>
      <c r="E14803" t="s">
        <v>12</v>
      </c>
      <c r="F14803">
        <v>145743164</v>
      </c>
      <c r="G14803">
        <v>145743236</v>
      </c>
      <c r="H14803">
        <v>145743237</v>
      </c>
      <c r="I14803">
        <v>145743261</v>
      </c>
    </row>
    <row r="14804" spans="1:9" x14ac:dyDescent="0.2">
      <c r="A14804" s="1" t="str">
        <f>"RECQL5"</f>
        <v>RECQL5</v>
      </c>
      <c r="B14804" t="s">
        <v>14</v>
      </c>
      <c r="C14804" t="s">
        <v>28</v>
      </c>
      <c r="D14804" t="s">
        <v>11</v>
      </c>
      <c r="E14804" t="s">
        <v>12</v>
      </c>
      <c r="F14804">
        <v>73663245</v>
      </c>
      <c r="G14804">
        <v>73663282</v>
      </c>
      <c r="H14804">
        <v>73663217</v>
      </c>
      <c r="I14804">
        <v>73663240</v>
      </c>
    </row>
    <row r="14805" spans="1:9" x14ac:dyDescent="0.2">
      <c r="A14805" s="1" t="str">
        <f>"REEP1"</f>
        <v>REEP1</v>
      </c>
      <c r="B14805" t="s">
        <v>14</v>
      </c>
      <c r="C14805" t="s">
        <v>26</v>
      </c>
      <c r="D14805" t="s">
        <v>11</v>
      </c>
      <c r="E14805" t="s">
        <v>12</v>
      </c>
      <c r="F14805">
        <v>86564776</v>
      </c>
      <c r="G14805">
        <v>86564813</v>
      </c>
      <c r="H14805">
        <v>86564740</v>
      </c>
      <c r="I14805">
        <v>86564756</v>
      </c>
    </row>
    <row r="14806" spans="1:9" x14ac:dyDescent="0.2">
      <c r="A14806" s="1" t="str">
        <f>"REEP2"</f>
        <v>REEP2</v>
      </c>
      <c r="B14806" t="s">
        <v>14</v>
      </c>
      <c r="C14806" t="s">
        <v>46</v>
      </c>
      <c r="D14806" t="s">
        <v>17</v>
      </c>
      <c r="E14806" t="s">
        <v>12</v>
      </c>
      <c r="F14806">
        <v>137774709</v>
      </c>
      <c r="G14806">
        <v>137774806</v>
      </c>
      <c r="H14806">
        <v>137774682</v>
      </c>
      <c r="I14806">
        <v>137774695</v>
      </c>
    </row>
    <row r="14807" spans="1:9" x14ac:dyDescent="0.2">
      <c r="A14807" s="1" t="str">
        <f>"REEP3"</f>
        <v>REEP3</v>
      </c>
      <c r="B14807" t="s">
        <v>14</v>
      </c>
      <c r="C14807" t="s">
        <v>15</v>
      </c>
      <c r="D14807" t="s">
        <v>17</v>
      </c>
      <c r="E14807" t="s">
        <v>12</v>
      </c>
      <c r="F14807">
        <v>65281125</v>
      </c>
      <c r="G14807">
        <v>65281183</v>
      </c>
      <c r="H14807">
        <v>65281198</v>
      </c>
      <c r="I14807">
        <v>65281243</v>
      </c>
    </row>
    <row r="14808" spans="1:9" x14ac:dyDescent="0.2">
      <c r="A14808" s="1" t="str">
        <f>"REEP4"</f>
        <v>REEP4</v>
      </c>
      <c r="B14808" t="s">
        <v>14</v>
      </c>
      <c r="C14808" t="s">
        <v>30</v>
      </c>
      <c r="D14808" t="s">
        <v>11</v>
      </c>
      <c r="E14808" t="s">
        <v>12</v>
      </c>
      <c r="F14808">
        <v>21999362</v>
      </c>
      <c r="G14808">
        <v>21999444</v>
      </c>
      <c r="H14808">
        <v>21999447</v>
      </c>
      <c r="I14808">
        <v>21999469</v>
      </c>
    </row>
    <row r="14809" spans="1:9" x14ac:dyDescent="0.2">
      <c r="A14809" s="1" t="str">
        <f>"REEP5"</f>
        <v>REEP5</v>
      </c>
      <c r="B14809" t="s">
        <v>14</v>
      </c>
      <c r="C14809" t="s">
        <v>46</v>
      </c>
      <c r="D14809" t="s">
        <v>11</v>
      </c>
      <c r="E14809" t="s">
        <v>12</v>
      </c>
      <c r="F14809">
        <v>112257914</v>
      </c>
      <c r="G14809">
        <v>112257992</v>
      </c>
      <c r="H14809">
        <v>112258000</v>
      </c>
      <c r="I14809">
        <v>112258015</v>
      </c>
    </row>
    <row r="14810" spans="1:9" x14ac:dyDescent="0.2">
      <c r="A14810" s="1" t="str">
        <f>"REEP6"</f>
        <v>REEP6</v>
      </c>
      <c r="B14810" t="s">
        <v>14</v>
      </c>
      <c r="C14810" t="s">
        <v>10</v>
      </c>
      <c r="D14810" t="s">
        <v>17</v>
      </c>
      <c r="E14810" t="s">
        <v>12</v>
      </c>
      <c r="F14810">
        <v>1491144</v>
      </c>
      <c r="G14810">
        <v>1491223</v>
      </c>
      <c r="H14810">
        <v>1491014</v>
      </c>
      <c r="I14810">
        <v>1491037</v>
      </c>
    </row>
    <row r="14811" spans="1:9" x14ac:dyDescent="0.2">
      <c r="A14811" s="1" t="str">
        <f>"REG1A"</f>
        <v>REG1A</v>
      </c>
      <c r="B14811" t="s">
        <v>14</v>
      </c>
      <c r="C14811" t="s">
        <v>26</v>
      </c>
      <c r="D14811" t="s">
        <v>17</v>
      </c>
      <c r="E14811" t="s">
        <v>12</v>
      </c>
      <c r="F14811">
        <v>79347606</v>
      </c>
      <c r="G14811">
        <v>79347622</v>
      </c>
      <c r="H14811">
        <v>79347577</v>
      </c>
      <c r="I14811">
        <v>79347592</v>
      </c>
    </row>
    <row r="14812" spans="1:9" x14ac:dyDescent="0.2">
      <c r="A14812" s="1" t="str">
        <f>"REG1B"</f>
        <v>REG1B</v>
      </c>
      <c r="B14812" t="s">
        <v>14</v>
      </c>
      <c r="C14812" t="s">
        <v>26</v>
      </c>
      <c r="D14812" t="s">
        <v>11</v>
      </c>
      <c r="E14812" t="s">
        <v>12</v>
      </c>
      <c r="F14812">
        <v>79315112</v>
      </c>
      <c r="G14812">
        <v>79315125</v>
      </c>
      <c r="H14812">
        <v>79315144</v>
      </c>
      <c r="I14812">
        <v>79315151</v>
      </c>
    </row>
    <row r="14813" spans="1:9" x14ac:dyDescent="0.2">
      <c r="A14813" s="1" t="str">
        <f>"REG3A"</f>
        <v>REG3A</v>
      </c>
      <c r="B14813" t="s">
        <v>14</v>
      </c>
      <c r="C14813" t="s">
        <v>26</v>
      </c>
      <c r="D14813" t="s">
        <v>11</v>
      </c>
      <c r="E14813" t="s">
        <v>12</v>
      </c>
      <c r="F14813">
        <v>79386874</v>
      </c>
      <c r="G14813">
        <v>79386886</v>
      </c>
      <c r="H14813">
        <v>79386874</v>
      </c>
      <c r="I14813">
        <v>79386886</v>
      </c>
    </row>
    <row r="14814" spans="1:9" x14ac:dyDescent="0.2">
      <c r="A14814" s="1" t="str">
        <f>"REG3G"</f>
        <v>REG3G</v>
      </c>
      <c r="B14814" t="s">
        <v>14</v>
      </c>
      <c r="C14814" t="s">
        <v>26</v>
      </c>
      <c r="D14814" t="s">
        <v>17</v>
      </c>
      <c r="E14814" t="s">
        <v>12</v>
      </c>
      <c r="F14814">
        <v>79252834</v>
      </c>
      <c r="G14814">
        <v>79252861</v>
      </c>
      <c r="H14814">
        <v>79252866</v>
      </c>
      <c r="I14814">
        <v>79252876</v>
      </c>
    </row>
    <row r="14815" spans="1:9" x14ac:dyDescent="0.2">
      <c r="A14815" s="1" t="str">
        <f>"REG4"</f>
        <v>REG4</v>
      </c>
      <c r="B14815" t="s">
        <v>14</v>
      </c>
      <c r="C14815" t="s">
        <v>19</v>
      </c>
      <c r="D14815" t="s">
        <v>11</v>
      </c>
      <c r="E14815" t="s">
        <v>12</v>
      </c>
      <c r="F14815">
        <v>120354079</v>
      </c>
      <c r="G14815">
        <v>120354091</v>
      </c>
      <c r="H14815">
        <v>120354079</v>
      </c>
      <c r="I14815">
        <v>120354091</v>
      </c>
    </row>
    <row r="14816" spans="1:9" x14ac:dyDescent="0.2">
      <c r="A14816" s="1" t="str">
        <f>"REL"</f>
        <v>REL</v>
      </c>
      <c r="B14816" t="s">
        <v>14</v>
      </c>
      <c r="C14816" t="s">
        <v>26</v>
      </c>
      <c r="D14816" t="s">
        <v>17</v>
      </c>
      <c r="E14816" t="s">
        <v>12</v>
      </c>
      <c r="F14816">
        <v>61108695</v>
      </c>
      <c r="G14816">
        <v>61108753</v>
      </c>
      <c r="H14816">
        <v>61108650</v>
      </c>
      <c r="I14816">
        <v>61108687</v>
      </c>
    </row>
    <row r="14817" spans="1:9" x14ac:dyDescent="0.2">
      <c r="A14817" s="1" t="str">
        <f>"RELA"</f>
        <v>RELA</v>
      </c>
      <c r="B14817" t="s">
        <v>14</v>
      </c>
      <c r="C14817" t="s">
        <v>27</v>
      </c>
      <c r="D14817" t="s">
        <v>11</v>
      </c>
      <c r="E14817" t="s">
        <v>12</v>
      </c>
      <c r="F14817">
        <v>65430371</v>
      </c>
      <c r="G14817">
        <v>65430399</v>
      </c>
      <c r="H14817">
        <v>65430402</v>
      </c>
      <c r="I14817">
        <v>65430431</v>
      </c>
    </row>
    <row r="14818" spans="1:9" x14ac:dyDescent="0.2">
      <c r="A14818" s="1" t="str">
        <f>"RELB"</f>
        <v>RELB</v>
      </c>
      <c r="B14818" t="s">
        <v>14</v>
      </c>
      <c r="C14818" t="s">
        <v>10</v>
      </c>
      <c r="D14818" t="s">
        <v>17</v>
      </c>
      <c r="E14818" t="s">
        <v>12</v>
      </c>
      <c r="F14818">
        <v>45504688</v>
      </c>
      <c r="G14818">
        <v>45504782</v>
      </c>
      <c r="H14818">
        <v>45504865</v>
      </c>
      <c r="I14818">
        <v>45504910</v>
      </c>
    </row>
    <row r="14819" spans="1:9" x14ac:dyDescent="0.2">
      <c r="A14819" s="1" t="str">
        <f>"RELL1"</f>
        <v>RELL1</v>
      </c>
      <c r="B14819" t="s">
        <v>14</v>
      </c>
      <c r="C14819" t="s">
        <v>23</v>
      </c>
      <c r="D14819" t="s">
        <v>11</v>
      </c>
      <c r="E14819" t="s">
        <v>12</v>
      </c>
      <c r="F14819">
        <v>37687991</v>
      </c>
      <c r="G14819">
        <v>37688005</v>
      </c>
      <c r="H14819">
        <v>37687991</v>
      </c>
      <c r="I14819">
        <v>37688005</v>
      </c>
    </row>
    <row r="14820" spans="1:9" x14ac:dyDescent="0.2">
      <c r="A14820" s="1" t="str">
        <f>"RELL2"</f>
        <v>RELL2</v>
      </c>
      <c r="B14820" t="s">
        <v>14</v>
      </c>
      <c r="C14820" t="s">
        <v>46</v>
      </c>
      <c r="D14820" t="s">
        <v>17</v>
      </c>
      <c r="E14820" t="s">
        <v>12</v>
      </c>
      <c r="F14820">
        <v>141016508</v>
      </c>
      <c r="G14820">
        <v>141016587</v>
      </c>
      <c r="H14820">
        <v>141016969</v>
      </c>
      <c r="I14820">
        <v>141017032</v>
      </c>
    </row>
    <row r="14821" spans="1:9" x14ac:dyDescent="0.2">
      <c r="A14821" s="1" t="str">
        <f>"RELN"</f>
        <v>RELN</v>
      </c>
      <c r="B14821" t="s">
        <v>14</v>
      </c>
      <c r="C14821" t="s">
        <v>33</v>
      </c>
      <c r="D14821" t="s">
        <v>11</v>
      </c>
      <c r="E14821" t="s">
        <v>12</v>
      </c>
      <c r="F14821">
        <v>103630096</v>
      </c>
      <c r="G14821">
        <v>103630116</v>
      </c>
      <c r="H14821">
        <v>103630073</v>
      </c>
      <c r="I14821">
        <v>103630088</v>
      </c>
    </row>
    <row r="14822" spans="1:9" x14ac:dyDescent="0.2">
      <c r="A14822" s="1" t="str">
        <f>"RELT"</f>
        <v>RELT</v>
      </c>
      <c r="B14822" t="s">
        <v>14</v>
      </c>
      <c r="C14822" t="s">
        <v>27</v>
      </c>
      <c r="D14822" t="s">
        <v>17</v>
      </c>
      <c r="E14822" t="s">
        <v>12</v>
      </c>
      <c r="F14822">
        <v>73087410</v>
      </c>
      <c r="G14822">
        <v>73087452</v>
      </c>
      <c r="H14822">
        <v>73087463</v>
      </c>
      <c r="I14822">
        <v>73087499</v>
      </c>
    </row>
    <row r="14823" spans="1:9" x14ac:dyDescent="0.2">
      <c r="A14823" s="1" t="str">
        <f>"REM1"</f>
        <v>REM1</v>
      </c>
      <c r="B14823" t="s">
        <v>14</v>
      </c>
      <c r="C14823" t="s">
        <v>29</v>
      </c>
      <c r="D14823" t="s">
        <v>17</v>
      </c>
      <c r="E14823" t="s">
        <v>12</v>
      </c>
      <c r="F14823">
        <v>30063067</v>
      </c>
      <c r="G14823">
        <v>30063117</v>
      </c>
      <c r="H14823">
        <v>30063041</v>
      </c>
      <c r="I14823">
        <v>30063046</v>
      </c>
    </row>
    <row r="14824" spans="1:9" x14ac:dyDescent="0.2">
      <c r="A14824" s="1" t="str">
        <f>"REM2"</f>
        <v>REM2</v>
      </c>
      <c r="B14824" t="s">
        <v>14</v>
      </c>
      <c r="C14824" t="s">
        <v>41</v>
      </c>
      <c r="D14824" t="s">
        <v>17</v>
      </c>
      <c r="E14824" t="s">
        <v>12</v>
      </c>
      <c r="F14824">
        <v>23352410</v>
      </c>
      <c r="G14824">
        <v>23352440</v>
      </c>
      <c r="H14824">
        <v>23352470</v>
      </c>
      <c r="I14824">
        <v>23352517</v>
      </c>
    </row>
    <row r="14825" spans="1:9" x14ac:dyDescent="0.2">
      <c r="A14825" s="1" t="str">
        <f>"REN"</f>
        <v>REN</v>
      </c>
      <c r="B14825" t="s">
        <v>14</v>
      </c>
      <c r="C14825" t="s">
        <v>19</v>
      </c>
      <c r="D14825" t="s">
        <v>11</v>
      </c>
      <c r="E14825" t="s">
        <v>12</v>
      </c>
      <c r="F14825">
        <v>204135454</v>
      </c>
      <c r="G14825">
        <v>204135486</v>
      </c>
      <c r="H14825">
        <v>204135422</v>
      </c>
      <c r="I14825">
        <v>204135446</v>
      </c>
    </row>
    <row r="14826" spans="1:9" x14ac:dyDescent="0.2">
      <c r="A14826" s="1" t="str">
        <f>"RENBP"</f>
        <v>RENBP</v>
      </c>
      <c r="B14826" t="s">
        <v>14</v>
      </c>
      <c r="C14826" t="s">
        <v>37</v>
      </c>
      <c r="D14826" t="s">
        <v>11</v>
      </c>
      <c r="E14826" t="s">
        <v>12</v>
      </c>
      <c r="F14826">
        <v>153210073</v>
      </c>
      <c r="G14826">
        <v>153210106</v>
      </c>
      <c r="H14826">
        <v>153210107</v>
      </c>
      <c r="I14826">
        <v>153210140</v>
      </c>
    </row>
    <row r="14827" spans="1:9" x14ac:dyDescent="0.2">
      <c r="A14827" s="1" t="str">
        <f>"REP15"</f>
        <v>REP15</v>
      </c>
      <c r="B14827" t="s">
        <v>14</v>
      </c>
      <c r="C14827" t="s">
        <v>16</v>
      </c>
      <c r="D14827" t="s">
        <v>17</v>
      </c>
      <c r="E14827" t="s">
        <v>12</v>
      </c>
      <c r="F14827">
        <v>27849378</v>
      </c>
      <c r="G14827">
        <v>27849385</v>
      </c>
      <c r="H14827">
        <v>27849378</v>
      </c>
      <c r="I14827">
        <v>27849385</v>
      </c>
    </row>
    <row r="14828" spans="1:9" x14ac:dyDescent="0.2">
      <c r="A14828" s="1" t="str">
        <f>"REPIN1"</f>
        <v>REPIN1</v>
      </c>
      <c r="B14828" t="s">
        <v>14</v>
      </c>
      <c r="C14828" t="s">
        <v>33</v>
      </c>
      <c r="D14828" t="s">
        <v>17</v>
      </c>
      <c r="E14828" t="s">
        <v>12</v>
      </c>
      <c r="F14828">
        <v>150065900</v>
      </c>
      <c r="G14828">
        <v>150065929</v>
      </c>
      <c r="H14828">
        <v>150066171</v>
      </c>
      <c r="I14828">
        <v>150066232</v>
      </c>
    </row>
    <row r="14829" spans="1:9" x14ac:dyDescent="0.2">
      <c r="A14829" s="1" t="str">
        <f>"REPS1"</f>
        <v>REPS1</v>
      </c>
      <c r="B14829" t="s">
        <v>14</v>
      </c>
      <c r="C14829" t="s">
        <v>32</v>
      </c>
      <c r="D14829" t="s">
        <v>11</v>
      </c>
      <c r="E14829" t="s">
        <v>12</v>
      </c>
      <c r="F14829">
        <v>139309378</v>
      </c>
      <c r="G14829">
        <v>139309427</v>
      </c>
      <c r="H14829">
        <v>139309051</v>
      </c>
      <c r="I14829">
        <v>139309128</v>
      </c>
    </row>
    <row r="14830" spans="1:9" x14ac:dyDescent="0.2">
      <c r="A14830" s="1" t="str">
        <f>"REPS2"</f>
        <v>REPS2</v>
      </c>
      <c r="B14830" t="s">
        <v>14</v>
      </c>
      <c r="C14830" t="s">
        <v>37</v>
      </c>
      <c r="D14830" t="s">
        <v>17</v>
      </c>
      <c r="E14830" t="s">
        <v>12</v>
      </c>
      <c r="F14830">
        <v>16964794</v>
      </c>
      <c r="G14830">
        <v>16964861</v>
      </c>
      <c r="H14830">
        <v>16965038</v>
      </c>
      <c r="I14830">
        <v>16965108</v>
      </c>
    </row>
    <row r="14831" spans="1:9" x14ac:dyDescent="0.2">
      <c r="A14831" s="1" t="str">
        <f>"RER1"</f>
        <v>RER1</v>
      </c>
      <c r="B14831" t="s">
        <v>14</v>
      </c>
      <c r="C14831" t="s">
        <v>19</v>
      </c>
      <c r="D14831" t="s">
        <v>17</v>
      </c>
      <c r="E14831" t="s">
        <v>12</v>
      </c>
      <c r="F14831">
        <v>2323260</v>
      </c>
      <c r="G14831">
        <v>2323307</v>
      </c>
      <c r="H14831">
        <v>2323260</v>
      </c>
      <c r="I14831">
        <v>2323307</v>
      </c>
    </row>
    <row r="14832" spans="1:9" x14ac:dyDescent="0.2">
      <c r="A14832" s="1" t="str">
        <f>"RERE"</f>
        <v>RERE</v>
      </c>
      <c r="B14832" t="s">
        <v>14</v>
      </c>
      <c r="C14832" t="s">
        <v>19</v>
      </c>
      <c r="D14832" t="s">
        <v>11</v>
      </c>
      <c r="E14832" t="s">
        <v>12</v>
      </c>
      <c r="F14832">
        <v>8877692</v>
      </c>
      <c r="G14832">
        <v>8877732</v>
      </c>
      <c r="H14832">
        <v>8877692</v>
      </c>
      <c r="I14832">
        <v>8877732</v>
      </c>
    </row>
    <row r="14833" spans="1:9" x14ac:dyDescent="0.2">
      <c r="A14833" s="1" t="str">
        <f>"RERG"</f>
        <v>RERG</v>
      </c>
      <c r="B14833" t="s">
        <v>14</v>
      </c>
      <c r="C14833" t="s">
        <v>16</v>
      </c>
      <c r="D14833" t="s">
        <v>11</v>
      </c>
      <c r="E14833" t="s">
        <v>12</v>
      </c>
      <c r="F14833">
        <v>15374343</v>
      </c>
      <c r="G14833">
        <v>15374416</v>
      </c>
      <c r="H14833">
        <v>15374328</v>
      </c>
      <c r="I14833">
        <v>15374342</v>
      </c>
    </row>
    <row r="14834" spans="1:9" x14ac:dyDescent="0.2">
      <c r="A14834" s="1" t="str">
        <f>"RERGL"</f>
        <v>RERGL</v>
      </c>
      <c r="B14834" t="s">
        <v>14</v>
      </c>
      <c r="C14834" t="s">
        <v>16</v>
      </c>
      <c r="D14834" t="s">
        <v>11</v>
      </c>
      <c r="E14834" t="s">
        <v>12</v>
      </c>
      <c r="F14834">
        <v>18243119</v>
      </c>
      <c r="G14834">
        <v>18243133</v>
      </c>
      <c r="H14834">
        <v>18243103</v>
      </c>
      <c r="I14834">
        <v>18243118</v>
      </c>
    </row>
    <row r="14835" spans="1:9" x14ac:dyDescent="0.2">
      <c r="A14835" s="1" t="str">
        <f>"RESP18"</f>
        <v>RESP18</v>
      </c>
      <c r="B14835" t="s">
        <v>14</v>
      </c>
      <c r="C14835" t="s">
        <v>26</v>
      </c>
      <c r="D14835" t="s">
        <v>11</v>
      </c>
      <c r="E14835" t="s">
        <v>12</v>
      </c>
      <c r="F14835">
        <v>220197453</v>
      </c>
      <c r="G14835">
        <v>220197472</v>
      </c>
      <c r="H14835">
        <v>220197419</v>
      </c>
      <c r="I14835">
        <v>220197439</v>
      </c>
    </row>
    <row r="14836" spans="1:9" x14ac:dyDescent="0.2">
      <c r="A14836" s="1" t="str">
        <f>"REST"</f>
        <v>REST</v>
      </c>
      <c r="B14836" t="s">
        <v>9</v>
      </c>
      <c r="C14836" t="s">
        <v>23</v>
      </c>
      <c r="D14836" t="s">
        <v>17</v>
      </c>
      <c r="E14836" t="s">
        <v>12</v>
      </c>
      <c r="F14836">
        <v>57774042</v>
      </c>
      <c r="G14836">
        <v>57774114</v>
      </c>
      <c r="H14836">
        <v>57774042</v>
      </c>
      <c r="I14836">
        <v>57774114</v>
      </c>
    </row>
    <row r="14837" spans="1:9" x14ac:dyDescent="0.2">
      <c r="A14837" s="1" t="str">
        <f>"REST"</f>
        <v>REST</v>
      </c>
      <c r="B14837" t="s">
        <v>13</v>
      </c>
      <c r="C14837" t="s">
        <v>23</v>
      </c>
      <c r="D14837" t="s">
        <v>17</v>
      </c>
      <c r="E14837" t="s">
        <v>12</v>
      </c>
      <c r="F14837">
        <v>57775059</v>
      </c>
      <c r="G14837">
        <v>57775139</v>
      </c>
      <c r="H14837">
        <v>57775059</v>
      </c>
      <c r="I14837">
        <v>57775139</v>
      </c>
    </row>
    <row r="14838" spans="1:9" x14ac:dyDescent="0.2">
      <c r="A14838" s="1" t="str">
        <f>"RET"</f>
        <v>RET</v>
      </c>
      <c r="B14838" t="s">
        <v>9</v>
      </c>
      <c r="C14838" t="s">
        <v>15</v>
      </c>
      <c r="D14838" t="s">
        <v>17</v>
      </c>
      <c r="E14838" t="s">
        <v>12</v>
      </c>
      <c r="F14838">
        <v>43572508</v>
      </c>
      <c r="G14838">
        <v>43572523</v>
      </c>
      <c r="H14838">
        <v>43572508</v>
      </c>
      <c r="I14838">
        <v>43572523</v>
      </c>
    </row>
    <row r="14839" spans="1:9" x14ac:dyDescent="0.2">
      <c r="A14839" s="1" t="str">
        <f>"RET"</f>
        <v>RET</v>
      </c>
      <c r="B14839" t="s">
        <v>13</v>
      </c>
      <c r="C14839" t="s">
        <v>15</v>
      </c>
      <c r="D14839" t="s">
        <v>17</v>
      </c>
      <c r="E14839" t="s">
        <v>12</v>
      </c>
      <c r="F14839">
        <v>43600221</v>
      </c>
      <c r="G14839">
        <v>43600237</v>
      </c>
      <c r="H14839">
        <v>43600221</v>
      </c>
      <c r="I14839">
        <v>43600237</v>
      </c>
    </row>
    <row r="14840" spans="1:9" x14ac:dyDescent="0.2">
      <c r="A14840" s="1" t="str">
        <f>"RETN"</f>
        <v>RETN</v>
      </c>
      <c r="B14840" t="s">
        <v>14</v>
      </c>
      <c r="C14840" t="s">
        <v>10</v>
      </c>
      <c r="D14840" t="s">
        <v>17</v>
      </c>
      <c r="E14840" t="s">
        <v>12</v>
      </c>
      <c r="F14840">
        <v>7733929</v>
      </c>
      <c r="G14840">
        <v>7733950</v>
      </c>
      <c r="H14840">
        <v>7733964</v>
      </c>
      <c r="I14840">
        <v>7733984</v>
      </c>
    </row>
    <row r="14841" spans="1:9" x14ac:dyDescent="0.2">
      <c r="A14841" s="1" t="str">
        <f>"RETNLB"</f>
        <v>RETNLB</v>
      </c>
      <c r="B14841" t="s">
        <v>14</v>
      </c>
      <c r="C14841" t="s">
        <v>22</v>
      </c>
      <c r="D14841" t="s">
        <v>11</v>
      </c>
      <c r="E14841" t="s">
        <v>12</v>
      </c>
      <c r="F14841">
        <v>108476254</v>
      </c>
      <c r="G14841">
        <v>108476257</v>
      </c>
      <c r="H14841">
        <v>108476194</v>
      </c>
      <c r="I14841">
        <v>108476231</v>
      </c>
    </row>
    <row r="14842" spans="1:9" x14ac:dyDescent="0.2">
      <c r="A14842" s="1" t="str">
        <f>"RETSAT"</f>
        <v>RETSAT</v>
      </c>
      <c r="B14842" t="s">
        <v>14</v>
      </c>
      <c r="C14842" t="s">
        <v>26</v>
      </c>
      <c r="D14842" t="s">
        <v>11</v>
      </c>
      <c r="E14842" t="s">
        <v>12</v>
      </c>
      <c r="F14842">
        <v>85581643</v>
      </c>
      <c r="G14842">
        <v>85581663</v>
      </c>
      <c r="H14842">
        <v>85581666</v>
      </c>
      <c r="I14842">
        <v>85581696</v>
      </c>
    </row>
    <row r="14843" spans="1:9" x14ac:dyDescent="0.2">
      <c r="A14843" s="1" t="str">
        <f>"REV1"</f>
        <v>REV1</v>
      </c>
      <c r="B14843" t="s">
        <v>14</v>
      </c>
      <c r="C14843" t="s">
        <v>26</v>
      </c>
      <c r="D14843" t="s">
        <v>11</v>
      </c>
      <c r="E14843" t="s">
        <v>12</v>
      </c>
      <c r="F14843">
        <v>100106419</v>
      </c>
      <c r="G14843">
        <v>100106522</v>
      </c>
      <c r="H14843">
        <v>100106647</v>
      </c>
      <c r="I14843">
        <v>100106668</v>
      </c>
    </row>
    <row r="14844" spans="1:9" x14ac:dyDescent="0.2">
      <c r="A14844" s="1" t="str">
        <f>"REV3L"</f>
        <v>REV3L</v>
      </c>
      <c r="B14844" t="s">
        <v>14</v>
      </c>
      <c r="C14844" t="s">
        <v>32</v>
      </c>
      <c r="D14844" t="s">
        <v>11</v>
      </c>
      <c r="E14844" t="s">
        <v>12</v>
      </c>
      <c r="F14844">
        <v>111804341</v>
      </c>
      <c r="G14844">
        <v>111804383</v>
      </c>
      <c r="H14844">
        <v>111804393</v>
      </c>
      <c r="I14844">
        <v>111804436</v>
      </c>
    </row>
    <row r="14845" spans="1:9" x14ac:dyDescent="0.2">
      <c r="A14845" s="1" t="str">
        <f>"REXO1"</f>
        <v>REXO1</v>
      </c>
      <c r="B14845" t="s">
        <v>14</v>
      </c>
      <c r="C14845" t="s">
        <v>10</v>
      </c>
      <c r="D14845" t="s">
        <v>11</v>
      </c>
      <c r="E14845" t="s">
        <v>12</v>
      </c>
      <c r="F14845">
        <v>1848451</v>
      </c>
      <c r="G14845">
        <v>1848488</v>
      </c>
      <c r="H14845">
        <v>1848701</v>
      </c>
      <c r="I14845">
        <v>1848737</v>
      </c>
    </row>
    <row r="14846" spans="1:9" x14ac:dyDescent="0.2">
      <c r="A14846" s="1" t="str">
        <f>"REXO1L1"</f>
        <v>REXO1L1</v>
      </c>
      <c r="B14846" t="s">
        <v>1467</v>
      </c>
      <c r="C14846" t="s">
        <v>30</v>
      </c>
      <c r="D14846" t="s">
        <v>11</v>
      </c>
      <c r="E14846" t="s">
        <v>20</v>
      </c>
      <c r="F14846">
        <v>86575725</v>
      </c>
      <c r="G14846">
        <v>86575725</v>
      </c>
      <c r="H14846">
        <v>86575725</v>
      </c>
      <c r="I14846">
        <v>86575725</v>
      </c>
    </row>
    <row r="14847" spans="1:9" x14ac:dyDescent="0.2">
      <c r="A14847" s="1" t="str">
        <f>"REXO2"</f>
        <v>REXO2</v>
      </c>
      <c r="B14847" t="s">
        <v>14</v>
      </c>
      <c r="C14847" t="s">
        <v>27</v>
      </c>
      <c r="D14847" t="s">
        <v>17</v>
      </c>
      <c r="E14847" t="s">
        <v>12</v>
      </c>
      <c r="F14847">
        <v>114310164</v>
      </c>
      <c r="G14847">
        <v>114310236</v>
      </c>
      <c r="H14847">
        <v>114310237</v>
      </c>
      <c r="I14847">
        <v>114310271</v>
      </c>
    </row>
    <row r="14848" spans="1:9" x14ac:dyDescent="0.2">
      <c r="A14848" s="1" t="str">
        <f>"REXO4"</f>
        <v>REXO4</v>
      </c>
      <c r="B14848" t="s">
        <v>14</v>
      </c>
      <c r="C14848" t="s">
        <v>24</v>
      </c>
      <c r="D14848" t="s">
        <v>11</v>
      </c>
      <c r="E14848" t="s">
        <v>12</v>
      </c>
      <c r="F14848">
        <v>136283086</v>
      </c>
      <c r="G14848">
        <v>136283119</v>
      </c>
      <c r="H14848">
        <v>136283120</v>
      </c>
      <c r="I14848">
        <v>136283155</v>
      </c>
    </row>
    <row r="14849" spans="1:9" x14ac:dyDescent="0.2">
      <c r="A14849" s="1" t="str">
        <f>"RFC1"</f>
        <v>RFC1</v>
      </c>
      <c r="B14849" t="s">
        <v>14</v>
      </c>
      <c r="C14849" t="s">
        <v>23</v>
      </c>
      <c r="D14849" t="s">
        <v>11</v>
      </c>
      <c r="E14849" t="s">
        <v>12</v>
      </c>
      <c r="F14849">
        <v>39367949</v>
      </c>
      <c r="G14849">
        <v>39368020</v>
      </c>
      <c r="H14849">
        <v>39367942</v>
      </c>
      <c r="I14849">
        <v>39367947</v>
      </c>
    </row>
    <row r="14850" spans="1:9" x14ac:dyDescent="0.2">
      <c r="A14850" s="1" t="str">
        <f>"RFC2"</f>
        <v>RFC2</v>
      </c>
      <c r="B14850" t="s">
        <v>14</v>
      </c>
      <c r="C14850" t="s">
        <v>33</v>
      </c>
      <c r="D14850" t="s">
        <v>11</v>
      </c>
      <c r="E14850" t="s">
        <v>12</v>
      </c>
      <c r="F14850">
        <v>73668692</v>
      </c>
      <c r="G14850">
        <v>73668763</v>
      </c>
      <c r="H14850">
        <v>73668692</v>
      </c>
      <c r="I14850">
        <v>73668763</v>
      </c>
    </row>
    <row r="14851" spans="1:9" x14ac:dyDescent="0.2">
      <c r="A14851" s="1" t="str">
        <f>"RFC3"</f>
        <v>RFC3</v>
      </c>
      <c r="B14851" t="s">
        <v>14</v>
      </c>
      <c r="C14851" t="s">
        <v>39</v>
      </c>
      <c r="D14851" t="s">
        <v>17</v>
      </c>
      <c r="E14851" t="s">
        <v>12</v>
      </c>
      <c r="F14851">
        <v>34392259</v>
      </c>
      <c r="G14851">
        <v>34392321</v>
      </c>
      <c r="H14851">
        <v>34392227</v>
      </c>
      <c r="I14851">
        <v>34392254</v>
      </c>
    </row>
    <row r="14852" spans="1:9" x14ac:dyDescent="0.2">
      <c r="A14852" s="1" t="str">
        <f>"RFC4"</f>
        <v>RFC4</v>
      </c>
      <c r="B14852" t="s">
        <v>14</v>
      </c>
      <c r="C14852" t="s">
        <v>22</v>
      </c>
      <c r="D14852" t="s">
        <v>11</v>
      </c>
      <c r="E14852" t="s">
        <v>12</v>
      </c>
      <c r="F14852">
        <v>186524234</v>
      </c>
      <c r="G14852">
        <v>186524303</v>
      </c>
      <c r="H14852">
        <v>186524187</v>
      </c>
      <c r="I14852">
        <v>186524201</v>
      </c>
    </row>
    <row r="14853" spans="1:9" x14ac:dyDescent="0.2">
      <c r="A14853" s="1" t="str">
        <f>"RFC5"</f>
        <v>RFC5</v>
      </c>
      <c r="B14853" t="s">
        <v>14</v>
      </c>
      <c r="C14853" t="s">
        <v>16</v>
      </c>
      <c r="D14853" t="s">
        <v>17</v>
      </c>
      <c r="E14853" t="s">
        <v>12</v>
      </c>
      <c r="F14853">
        <v>118454500</v>
      </c>
      <c r="G14853">
        <v>118454585</v>
      </c>
      <c r="H14853">
        <v>118454500</v>
      </c>
      <c r="I14853">
        <v>118454585</v>
      </c>
    </row>
    <row r="14854" spans="1:9" x14ac:dyDescent="0.2">
      <c r="A14854" s="1" t="str">
        <f>"RFESD"</f>
        <v>RFESD</v>
      </c>
      <c r="B14854" t="s">
        <v>14</v>
      </c>
      <c r="C14854" t="s">
        <v>46</v>
      </c>
      <c r="D14854" t="s">
        <v>17</v>
      </c>
      <c r="E14854" t="s">
        <v>12</v>
      </c>
      <c r="F14854">
        <v>94982435</v>
      </c>
      <c r="G14854">
        <v>94982499</v>
      </c>
      <c r="H14854">
        <v>94982435</v>
      </c>
      <c r="I14854">
        <v>94982499</v>
      </c>
    </row>
    <row r="14855" spans="1:9" x14ac:dyDescent="0.2">
      <c r="A14855" s="1" t="str">
        <f>"RFFL"</f>
        <v>RFFL</v>
      </c>
      <c r="B14855" t="s">
        <v>14</v>
      </c>
      <c r="C14855" t="s">
        <v>28</v>
      </c>
      <c r="D14855" t="s">
        <v>11</v>
      </c>
      <c r="E14855" t="s">
        <v>12</v>
      </c>
      <c r="F14855">
        <v>33416231</v>
      </c>
      <c r="G14855">
        <v>33416308</v>
      </c>
      <c r="H14855">
        <v>33416231</v>
      </c>
      <c r="I14855">
        <v>33416308</v>
      </c>
    </row>
    <row r="14856" spans="1:9" x14ac:dyDescent="0.2">
      <c r="A14856" s="1" t="str">
        <f>"RFK"</f>
        <v>RFK</v>
      </c>
      <c r="B14856" t="s">
        <v>14</v>
      </c>
      <c r="C14856" t="s">
        <v>24</v>
      </c>
      <c r="D14856" t="s">
        <v>11</v>
      </c>
      <c r="E14856" t="s">
        <v>12</v>
      </c>
      <c r="F14856">
        <v>79009288</v>
      </c>
      <c r="G14856">
        <v>79009378</v>
      </c>
      <c r="H14856">
        <v>79009414</v>
      </c>
      <c r="I14856">
        <v>79009452</v>
      </c>
    </row>
    <row r="14857" spans="1:9" x14ac:dyDescent="0.2">
      <c r="A14857" s="1" t="str">
        <f>"RFNG"</f>
        <v>RFNG</v>
      </c>
      <c r="B14857" t="s">
        <v>14</v>
      </c>
      <c r="C14857" t="s">
        <v>28</v>
      </c>
      <c r="D14857" t="s">
        <v>11</v>
      </c>
      <c r="E14857" t="s">
        <v>12</v>
      </c>
      <c r="F14857">
        <v>80009676</v>
      </c>
      <c r="G14857">
        <v>80009735</v>
      </c>
      <c r="H14857">
        <v>80009209</v>
      </c>
      <c r="I14857">
        <v>80009257</v>
      </c>
    </row>
    <row r="14858" spans="1:9" x14ac:dyDescent="0.2">
      <c r="A14858" s="1" t="str">
        <f>"RFPL1"</f>
        <v>RFPL1</v>
      </c>
      <c r="B14858" t="s">
        <v>1468</v>
      </c>
      <c r="C14858" t="s">
        <v>21</v>
      </c>
      <c r="D14858" t="s">
        <v>17</v>
      </c>
      <c r="E14858" t="s">
        <v>20</v>
      </c>
      <c r="F14858">
        <v>29834571</v>
      </c>
      <c r="G14858">
        <v>29834571</v>
      </c>
      <c r="H14858">
        <v>29834571</v>
      </c>
      <c r="I14858">
        <v>29834571</v>
      </c>
    </row>
    <row r="14859" spans="1:9" x14ac:dyDescent="0.2">
      <c r="A14859" s="1" t="str">
        <f>"RFPL2"</f>
        <v>RFPL2</v>
      </c>
      <c r="B14859" t="s">
        <v>14</v>
      </c>
      <c r="C14859" t="s">
        <v>21</v>
      </c>
      <c r="D14859" t="s">
        <v>11</v>
      </c>
      <c r="E14859" t="s">
        <v>12</v>
      </c>
      <c r="F14859">
        <v>32600725</v>
      </c>
      <c r="G14859">
        <v>32600750</v>
      </c>
      <c r="H14859">
        <v>32600800</v>
      </c>
      <c r="I14859">
        <v>32600810</v>
      </c>
    </row>
    <row r="14860" spans="1:9" x14ac:dyDescent="0.2">
      <c r="A14860" s="1" t="str">
        <f>"RFPL3"</f>
        <v>RFPL3</v>
      </c>
      <c r="B14860" t="s">
        <v>1469</v>
      </c>
      <c r="C14860" t="s">
        <v>21</v>
      </c>
      <c r="D14860" t="s">
        <v>17</v>
      </c>
      <c r="E14860" t="s">
        <v>20</v>
      </c>
      <c r="F14860">
        <v>32754138</v>
      </c>
      <c r="G14860">
        <v>32754138</v>
      </c>
      <c r="H14860">
        <v>32754138</v>
      </c>
      <c r="I14860">
        <v>32754138</v>
      </c>
    </row>
    <row r="14861" spans="1:9" x14ac:dyDescent="0.2">
      <c r="A14861" s="1" t="str">
        <f>"RFPL3"</f>
        <v>RFPL3</v>
      </c>
      <c r="B14861" t="s">
        <v>1470</v>
      </c>
      <c r="C14861" t="s">
        <v>21</v>
      </c>
      <c r="D14861" t="s">
        <v>17</v>
      </c>
      <c r="E14861" t="s">
        <v>20</v>
      </c>
      <c r="F14861">
        <v>32750871</v>
      </c>
      <c r="G14861">
        <v>32750871</v>
      </c>
      <c r="H14861">
        <v>32750871</v>
      </c>
      <c r="I14861">
        <v>32750871</v>
      </c>
    </row>
    <row r="14862" spans="1:9" x14ac:dyDescent="0.2">
      <c r="A14862" s="1" t="str">
        <f>"RFPL4A"</f>
        <v>RFPL4A</v>
      </c>
      <c r="B14862" t="s">
        <v>1471</v>
      </c>
      <c r="C14862" t="s">
        <v>10</v>
      </c>
      <c r="D14862" t="s">
        <v>17</v>
      </c>
      <c r="E14862" t="s">
        <v>20</v>
      </c>
      <c r="F14862">
        <v>56270379</v>
      </c>
      <c r="G14862">
        <v>56270379</v>
      </c>
      <c r="H14862">
        <v>56270379</v>
      </c>
      <c r="I14862">
        <v>56270379</v>
      </c>
    </row>
    <row r="14863" spans="1:9" x14ac:dyDescent="0.2">
      <c r="A14863" s="1" t="str">
        <f>"RFPL4AL1"</f>
        <v>RFPL4AL1</v>
      </c>
      <c r="B14863" t="s">
        <v>1472</v>
      </c>
      <c r="C14863" t="s">
        <v>10</v>
      </c>
      <c r="D14863" t="s">
        <v>17</v>
      </c>
      <c r="E14863" t="s">
        <v>20</v>
      </c>
      <c r="F14863">
        <v>56280506</v>
      </c>
      <c r="G14863">
        <v>56280506</v>
      </c>
      <c r="H14863">
        <v>56280506</v>
      </c>
      <c r="I14863">
        <v>56280506</v>
      </c>
    </row>
    <row r="14864" spans="1:9" x14ac:dyDescent="0.2">
      <c r="A14864" s="1" t="str">
        <f>"RFPL4B"</f>
        <v>RFPL4B</v>
      </c>
      <c r="B14864" t="s">
        <v>14</v>
      </c>
      <c r="C14864" t="s">
        <v>32</v>
      </c>
      <c r="D14864" t="s">
        <v>17</v>
      </c>
      <c r="E14864" t="s">
        <v>12</v>
      </c>
      <c r="F14864">
        <v>112668524</v>
      </c>
      <c r="G14864">
        <v>112668534</v>
      </c>
      <c r="H14864">
        <v>112668524</v>
      </c>
      <c r="I14864">
        <v>112668534</v>
      </c>
    </row>
    <row r="14865" spans="1:9" x14ac:dyDescent="0.2">
      <c r="A14865" s="1" t="str">
        <f>"RFT1"</f>
        <v>RFT1</v>
      </c>
      <c r="B14865" t="s">
        <v>14</v>
      </c>
      <c r="C14865" t="s">
        <v>22</v>
      </c>
      <c r="D14865" t="s">
        <v>11</v>
      </c>
      <c r="E14865" t="s">
        <v>12</v>
      </c>
      <c r="F14865">
        <v>53164423</v>
      </c>
      <c r="G14865">
        <v>53164488</v>
      </c>
      <c r="H14865">
        <v>53164423</v>
      </c>
      <c r="I14865">
        <v>53164488</v>
      </c>
    </row>
    <row r="14866" spans="1:9" x14ac:dyDescent="0.2">
      <c r="A14866" s="1" t="str">
        <f>"RFTN1"</f>
        <v>RFTN1</v>
      </c>
      <c r="B14866" t="s">
        <v>14</v>
      </c>
      <c r="C14866" t="s">
        <v>22</v>
      </c>
      <c r="D14866" t="s">
        <v>11</v>
      </c>
      <c r="E14866" t="s">
        <v>12</v>
      </c>
      <c r="F14866">
        <v>16555150</v>
      </c>
      <c r="G14866">
        <v>16555228</v>
      </c>
      <c r="H14866">
        <v>16555238</v>
      </c>
      <c r="I14866">
        <v>16555305</v>
      </c>
    </row>
    <row r="14867" spans="1:9" x14ac:dyDescent="0.2">
      <c r="A14867" s="1" t="str">
        <f>"RFTN2"</f>
        <v>RFTN2</v>
      </c>
      <c r="B14867" t="s">
        <v>14</v>
      </c>
      <c r="C14867" t="s">
        <v>26</v>
      </c>
      <c r="D14867" t="s">
        <v>11</v>
      </c>
      <c r="E14867" t="s">
        <v>12</v>
      </c>
      <c r="F14867">
        <v>198540302</v>
      </c>
      <c r="G14867">
        <v>198540318</v>
      </c>
      <c r="H14867">
        <v>198540751</v>
      </c>
      <c r="I14867">
        <v>198540790</v>
      </c>
    </row>
    <row r="14868" spans="1:9" x14ac:dyDescent="0.2">
      <c r="A14868" s="1" t="str">
        <f>"RFWD2"</f>
        <v>RFWD2</v>
      </c>
      <c r="B14868" t="s">
        <v>14</v>
      </c>
      <c r="C14868" t="s">
        <v>19</v>
      </c>
      <c r="D14868" t="s">
        <v>11</v>
      </c>
      <c r="E14868" t="s">
        <v>12</v>
      </c>
      <c r="F14868">
        <v>176176356</v>
      </c>
      <c r="G14868">
        <v>176176437</v>
      </c>
      <c r="H14868">
        <v>176176198</v>
      </c>
      <c r="I14868">
        <v>176176259</v>
      </c>
    </row>
    <row r="14869" spans="1:9" x14ac:dyDescent="0.2">
      <c r="A14869" s="1" t="str">
        <f>"RFWD3"</f>
        <v>RFWD3</v>
      </c>
      <c r="B14869" t="s">
        <v>14</v>
      </c>
      <c r="C14869" t="s">
        <v>31</v>
      </c>
      <c r="D14869" t="s">
        <v>11</v>
      </c>
      <c r="E14869" t="s">
        <v>12</v>
      </c>
      <c r="F14869">
        <v>74700747</v>
      </c>
      <c r="G14869">
        <v>74700804</v>
      </c>
      <c r="H14869">
        <v>74700747</v>
      </c>
      <c r="I14869">
        <v>74700804</v>
      </c>
    </row>
    <row r="14870" spans="1:9" x14ac:dyDescent="0.2">
      <c r="A14870" s="1" t="str">
        <f>"RFX1"</f>
        <v>RFX1</v>
      </c>
      <c r="B14870" t="s">
        <v>14</v>
      </c>
      <c r="C14870" t="s">
        <v>10</v>
      </c>
      <c r="D14870" t="s">
        <v>11</v>
      </c>
      <c r="E14870" t="s">
        <v>12</v>
      </c>
      <c r="F14870">
        <v>14117085</v>
      </c>
      <c r="G14870">
        <v>14117141</v>
      </c>
      <c r="H14870">
        <v>14117148</v>
      </c>
      <c r="I14870">
        <v>14117157</v>
      </c>
    </row>
    <row r="14871" spans="1:9" x14ac:dyDescent="0.2">
      <c r="A14871" s="1" t="str">
        <f>"RFX2"</f>
        <v>RFX2</v>
      </c>
      <c r="B14871" t="s">
        <v>14</v>
      </c>
      <c r="C14871" t="s">
        <v>10</v>
      </c>
      <c r="D14871" t="s">
        <v>11</v>
      </c>
      <c r="E14871" t="s">
        <v>12</v>
      </c>
      <c r="F14871">
        <v>6110474</v>
      </c>
      <c r="G14871">
        <v>6110551</v>
      </c>
      <c r="H14871">
        <v>6110474</v>
      </c>
      <c r="I14871">
        <v>6110551</v>
      </c>
    </row>
    <row r="14872" spans="1:9" x14ac:dyDescent="0.2">
      <c r="A14872" s="1" t="str">
        <f>"RFX3"</f>
        <v>RFX3</v>
      </c>
      <c r="B14872" t="s">
        <v>14</v>
      </c>
      <c r="C14872" t="s">
        <v>24</v>
      </c>
      <c r="D14872" t="s">
        <v>11</v>
      </c>
      <c r="E14872" t="s">
        <v>12</v>
      </c>
      <c r="F14872">
        <v>3525968</v>
      </c>
      <c r="G14872">
        <v>3526016</v>
      </c>
      <c r="H14872">
        <v>3525727</v>
      </c>
      <c r="I14872">
        <v>3525828</v>
      </c>
    </row>
    <row r="14873" spans="1:9" x14ac:dyDescent="0.2">
      <c r="A14873" s="1" t="str">
        <f>"RFX4"</f>
        <v>RFX4</v>
      </c>
      <c r="B14873" t="s">
        <v>14</v>
      </c>
      <c r="C14873" t="s">
        <v>16</v>
      </c>
      <c r="D14873" t="s">
        <v>17</v>
      </c>
      <c r="E14873" t="s">
        <v>12</v>
      </c>
      <c r="F14873">
        <v>106976774</v>
      </c>
      <c r="G14873">
        <v>106976788</v>
      </c>
      <c r="H14873">
        <v>106976678</v>
      </c>
      <c r="I14873">
        <v>106976708</v>
      </c>
    </row>
    <row r="14874" spans="1:9" x14ac:dyDescent="0.2">
      <c r="A14874" s="1" t="str">
        <f>"RFX5"</f>
        <v>RFX5</v>
      </c>
      <c r="B14874" t="s">
        <v>14</v>
      </c>
      <c r="C14874" t="s">
        <v>19</v>
      </c>
      <c r="D14874" t="s">
        <v>11</v>
      </c>
      <c r="E14874" t="s">
        <v>12</v>
      </c>
      <c r="F14874">
        <v>151319710</v>
      </c>
      <c r="G14874">
        <v>151319774</v>
      </c>
      <c r="H14874">
        <v>151319654</v>
      </c>
      <c r="I14874">
        <v>151319698</v>
      </c>
    </row>
    <row r="14875" spans="1:9" x14ac:dyDescent="0.2">
      <c r="A14875" s="1" t="str">
        <f>"RFX6"</f>
        <v>RFX6</v>
      </c>
      <c r="B14875" t="s">
        <v>14</v>
      </c>
      <c r="C14875" t="s">
        <v>32</v>
      </c>
      <c r="D14875" t="s">
        <v>17</v>
      </c>
      <c r="E14875" t="s">
        <v>12</v>
      </c>
      <c r="F14875">
        <v>117198400</v>
      </c>
      <c r="G14875">
        <v>117198441</v>
      </c>
      <c r="H14875">
        <v>117198376</v>
      </c>
      <c r="I14875">
        <v>117198383</v>
      </c>
    </row>
    <row r="14876" spans="1:9" x14ac:dyDescent="0.2">
      <c r="A14876" s="1" t="str">
        <f>"RFX7"</f>
        <v>RFX7</v>
      </c>
      <c r="B14876" t="s">
        <v>14</v>
      </c>
      <c r="C14876" t="s">
        <v>25</v>
      </c>
      <c r="D14876" t="s">
        <v>11</v>
      </c>
      <c r="E14876" t="s">
        <v>12</v>
      </c>
      <c r="F14876">
        <v>56535946</v>
      </c>
      <c r="G14876">
        <v>56535987</v>
      </c>
      <c r="H14876">
        <v>56535468</v>
      </c>
      <c r="I14876">
        <v>56535521</v>
      </c>
    </row>
    <row r="14877" spans="1:9" x14ac:dyDescent="0.2">
      <c r="A14877" s="1" t="str">
        <f>"RFX8"</f>
        <v>RFX8</v>
      </c>
      <c r="B14877" t="s">
        <v>14</v>
      </c>
      <c r="C14877" t="s">
        <v>26</v>
      </c>
      <c r="D14877" t="s">
        <v>11</v>
      </c>
      <c r="E14877" t="s">
        <v>12</v>
      </c>
      <c r="F14877">
        <v>102091566</v>
      </c>
      <c r="G14877">
        <v>102091581</v>
      </c>
      <c r="H14877">
        <v>102091144</v>
      </c>
      <c r="I14877">
        <v>102091183</v>
      </c>
    </row>
    <row r="14878" spans="1:9" x14ac:dyDescent="0.2">
      <c r="A14878" s="1" t="str">
        <f>"RFXANK"</f>
        <v>RFXANK</v>
      </c>
      <c r="B14878" t="s">
        <v>14</v>
      </c>
      <c r="C14878" t="s">
        <v>10</v>
      </c>
      <c r="D14878" t="s">
        <v>17</v>
      </c>
      <c r="E14878" t="s">
        <v>12</v>
      </c>
      <c r="F14878">
        <v>19303731</v>
      </c>
      <c r="G14878">
        <v>19303783</v>
      </c>
      <c r="H14878">
        <v>19303619</v>
      </c>
      <c r="I14878">
        <v>19303651</v>
      </c>
    </row>
    <row r="14879" spans="1:9" x14ac:dyDescent="0.2">
      <c r="A14879" s="1" t="str">
        <f>"RFXAP"</f>
        <v>RFXAP</v>
      </c>
      <c r="B14879" t="s">
        <v>14</v>
      </c>
      <c r="C14879" t="s">
        <v>39</v>
      </c>
      <c r="D14879" t="s">
        <v>17</v>
      </c>
      <c r="E14879" t="s">
        <v>12</v>
      </c>
      <c r="F14879">
        <v>37393351</v>
      </c>
      <c r="G14879">
        <v>37393423</v>
      </c>
      <c r="H14879">
        <v>37393324</v>
      </c>
      <c r="I14879">
        <v>37393335</v>
      </c>
    </row>
    <row r="14880" spans="1:9" x14ac:dyDescent="0.2">
      <c r="A14880" s="1" t="str">
        <f>"RGAG1"</f>
        <v>RGAG1</v>
      </c>
      <c r="B14880" t="s">
        <v>1473</v>
      </c>
      <c r="C14880" t="s">
        <v>37</v>
      </c>
      <c r="D14880" t="s">
        <v>17</v>
      </c>
      <c r="E14880" t="s">
        <v>20</v>
      </c>
      <c r="F14880">
        <v>109662284</v>
      </c>
      <c r="G14880">
        <v>109662284</v>
      </c>
      <c r="H14880">
        <v>109662284</v>
      </c>
      <c r="I14880">
        <v>109662284</v>
      </c>
    </row>
    <row r="14881" spans="1:9" x14ac:dyDescent="0.2">
      <c r="A14881" s="1" t="str">
        <f>"RGAG1"</f>
        <v>RGAG1</v>
      </c>
      <c r="B14881" t="s">
        <v>1474</v>
      </c>
      <c r="C14881" t="s">
        <v>37</v>
      </c>
      <c r="D14881" t="s">
        <v>17</v>
      </c>
      <c r="E14881" t="s">
        <v>20</v>
      </c>
      <c r="F14881">
        <v>109693792</v>
      </c>
      <c r="G14881">
        <v>109693792</v>
      </c>
      <c r="H14881">
        <v>109693792</v>
      </c>
      <c r="I14881">
        <v>109693792</v>
      </c>
    </row>
    <row r="14882" spans="1:9" x14ac:dyDescent="0.2">
      <c r="A14882" s="1" t="str">
        <f>"RGAG4"</f>
        <v>RGAG4</v>
      </c>
      <c r="B14882" t="s">
        <v>14</v>
      </c>
      <c r="C14882" t="s">
        <v>37</v>
      </c>
      <c r="D14882" t="s">
        <v>11</v>
      </c>
      <c r="E14882" t="s">
        <v>12</v>
      </c>
      <c r="F14882">
        <v>71351757</v>
      </c>
      <c r="G14882">
        <v>71351780</v>
      </c>
      <c r="H14882">
        <v>71351903</v>
      </c>
      <c r="I14882">
        <v>71351924</v>
      </c>
    </row>
    <row r="14883" spans="1:9" x14ac:dyDescent="0.2">
      <c r="A14883" s="1" t="str">
        <f>"RGCC"</f>
        <v>RGCC</v>
      </c>
      <c r="B14883" t="s">
        <v>14</v>
      </c>
      <c r="C14883" t="s">
        <v>39</v>
      </c>
      <c r="D14883" t="s">
        <v>17</v>
      </c>
      <c r="E14883" t="s">
        <v>12</v>
      </c>
      <c r="F14883">
        <v>42031679</v>
      </c>
      <c r="G14883">
        <v>42031696</v>
      </c>
      <c r="H14883">
        <v>42031652</v>
      </c>
      <c r="I14883">
        <v>42031665</v>
      </c>
    </row>
    <row r="14884" spans="1:9" x14ac:dyDescent="0.2">
      <c r="A14884" s="1" t="str">
        <f>"RGL1"</f>
        <v>RGL1</v>
      </c>
      <c r="B14884" t="s">
        <v>9</v>
      </c>
      <c r="C14884" t="s">
        <v>19</v>
      </c>
      <c r="D14884" t="s">
        <v>17</v>
      </c>
      <c r="E14884" t="s">
        <v>12</v>
      </c>
      <c r="F14884">
        <v>183774240</v>
      </c>
      <c r="G14884">
        <v>183774270</v>
      </c>
      <c r="H14884">
        <v>183774240</v>
      </c>
      <c r="I14884">
        <v>183774270</v>
      </c>
    </row>
    <row r="14885" spans="1:9" x14ac:dyDescent="0.2">
      <c r="A14885" s="1" t="str">
        <f>"RGL1"</f>
        <v>RGL1</v>
      </c>
      <c r="B14885" t="s">
        <v>13</v>
      </c>
      <c r="C14885" t="s">
        <v>19</v>
      </c>
      <c r="D14885" t="s">
        <v>17</v>
      </c>
      <c r="E14885" t="s">
        <v>12</v>
      </c>
      <c r="F14885">
        <v>183605222</v>
      </c>
      <c r="G14885">
        <v>183605252</v>
      </c>
      <c r="H14885">
        <v>183605222</v>
      </c>
      <c r="I14885">
        <v>183605252</v>
      </c>
    </row>
    <row r="14886" spans="1:9" x14ac:dyDescent="0.2">
      <c r="A14886" s="1" t="str">
        <f>"RGL2"</f>
        <v>RGL2</v>
      </c>
      <c r="B14886" t="s">
        <v>9</v>
      </c>
      <c r="C14886" t="s">
        <v>32</v>
      </c>
      <c r="D14886" t="s">
        <v>11</v>
      </c>
      <c r="E14886" t="s">
        <v>12</v>
      </c>
      <c r="F14886">
        <v>33266687</v>
      </c>
      <c r="G14886">
        <v>33266728</v>
      </c>
      <c r="H14886">
        <v>33266687</v>
      </c>
      <c r="I14886">
        <v>33266728</v>
      </c>
    </row>
    <row r="14887" spans="1:9" x14ac:dyDescent="0.2">
      <c r="A14887" s="1" t="str">
        <f>"RGL2"</f>
        <v>RGL2</v>
      </c>
      <c r="B14887" t="s">
        <v>13</v>
      </c>
      <c r="C14887" t="s">
        <v>32</v>
      </c>
      <c r="D14887" t="s">
        <v>11</v>
      </c>
      <c r="E14887" t="s">
        <v>12</v>
      </c>
      <c r="F14887">
        <v>33265442</v>
      </c>
      <c r="G14887">
        <v>33265484</v>
      </c>
      <c r="H14887">
        <v>33265442</v>
      </c>
      <c r="I14887">
        <v>33265484</v>
      </c>
    </row>
    <row r="14888" spans="1:9" x14ac:dyDescent="0.2">
      <c r="A14888" s="1" t="str">
        <f>"RGL3"</f>
        <v>RGL3</v>
      </c>
      <c r="B14888" t="s">
        <v>14</v>
      </c>
      <c r="C14888" t="s">
        <v>10</v>
      </c>
      <c r="D14888" t="s">
        <v>11</v>
      </c>
      <c r="E14888" t="s">
        <v>12</v>
      </c>
      <c r="F14888">
        <v>11529980</v>
      </c>
      <c r="G14888">
        <v>11529998</v>
      </c>
      <c r="H14888">
        <v>11529968</v>
      </c>
      <c r="I14888">
        <v>11529975</v>
      </c>
    </row>
    <row r="14889" spans="1:9" x14ac:dyDescent="0.2">
      <c r="A14889" s="1" t="str">
        <f>"RGL4"</f>
        <v>RGL4</v>
      </c>
      <c r="B14889" t="s">
        <v>9</v>
      </c>
      <c r="C14889" t="s">
        <v>21</v>
      </c>
      <c r="D14889" t="s">
        <v>17</v>
      </c>
      <c r="E14889" t="s">
        <v>12</v>
      </c>
      <c r="F14889">
        <v>24038593</v>
      </c>
      <c r="G14889">
        <v>24038683</v>
      </c>
      <c r="H14889">
        <v>24038593</v>
      </c>
      <c r="I14889">
        <v>24038683</v>
      </c>
    </row>
    <row r="14890" spans="1:9" x14ac:dyDescent="0.2">
      <c r="A14890" s="1" t="str">
        <f>"RGL4"</f>
        <v>RGL4</v>
      </c>
      <c r="B14890" t="s">
        <v>13</v>
      </c>
      <c r="C14890" t="s">
        <v>21</v>
      </c>
      <c r="D14890" t="s">
        <v>17</v>
      </c>
      <c r="E14890" t="s">
        <v>12</v>
      </c>
      <c r="F14890">
        <v>24030321</v>
      </c>
      <c r="G14890">
        <v>24030328</v>
      </c>
      <c r="H14890">
        <v>24030321</v>
      </c>
      <c r="I14890">
        <v>24030328</v>
      </c>
    </row>
    <row r="14891" spans="1:9" x14ac:dyDescent="0.2">
      <c r="A14891" s="1" t="str">
        <f>"RGMA"</f>
        <v>RGMA</v>
      </c>
      <c r="B14891" t="s">
        <v>9</v>
      </c>
      <c r="C14891" t="s">
        <v>25</v>
      </c>
      <c r="D14891" t="s">
        <v>11</v>
      </c>
      <c r="E14891" t="s">
        <v>12</v>
      </c>
      <c r="F14891">
        <v>93632421</v>
      </c>
      <c r="G14891">
        <v>93632446</v>
      </c>
      <c r="H14891">
        <v>93632421</v>
      </c>
      <c r="I14891">
        <v>93632446</v>
      </c>
    </row>
    <row r="14892" spans="1:9" x14ac:dyDescent="0.2">
      <c r="A14892" s="1" t="str">
        <f>"RGMA"</f>
        <v>RGMA</v>
      </c>
      <c r="B14892" t="s">
        <v>13</v>
      </c>
      <c r="C14892" t="s">
        <v>25</v>
      </c>
      <c r="D14892" t="s">
        <v>11</v>
      </c>
      <c r="E14892" t="s">
        <v>12</v>
      </c>
      <c r="F14892">
        <v>93616340</v>
      </c>
      <c r="G14892">
        <v>93616395</v>
      </c>
      <c r="H14892">
        <v>93616340</v>
      </c>
      <c r="I14892">
        <v>93616395</v>
      </c>
    </row>
    <row r="14893" spans="1:9" x14ac:dyDescent="0.2">
      <c r="A14893" s="1" t="str">
        <f>"RGMB"</f>
        <v>RGMB</v>
      </c>
      <c r="B14893" t="s">
        <v>9</v>
      </c>
      <c r="C14893" t="s">
        <v>46</v>
      </c>
      <c r="D14893" t="s">
        <v>17</v>
      </c>
      <c r="E14893" t="s">
        <v>12</v>
      </c>
      <c r="F14893">
        <v>98109355</v>
      </c>
      <c r="G14893">
        <v>98109380</v>
      </c>
      <c r="H14893">
        <v>98109355</v>
      </c>
      <c r="I14893">
        <v>98109380</v>
      </c>
    </row>
    <row r="14894" spans="1:9" x14ac:dyDescent="0.2">
      <c r="A14894" s="1" t="str">
        <f>"RGMB"</f>
        <v>RGMB</v>
      </c>
      <c r="B14894" t="s">
        <v>13</v>
      </c>
      <c r="C14894" t="s">
        <v>46</v>
      </c>
      <c r="D14894" t="s">
        <v>17</v>
      </c>
      <c r="E14894" t="s">
        <v>12</v>
      </c>
      <c r="F14894">
        <v>98105268</v>
      </c>
      <c r="G14894">
        <v>98105295</v>
      </c>
      <c r="H14894">
        <v>98105268</v>
      </c>
      <c r="I14894">
        <v>98105295</v>
      </c>
    </row>
    <row r="14895" spans="1:9" x14ac:dyDescent="0.2">
      <c r="A14895" s="1" t="str">
        <f>"RGN"</f>
        <v>RGN</v>
      </c>
      <c r="B14895" t="s">
        <v>14</v>
      </c>
      <c r="C14895" t="s">
        <v>37</v>
      </c>
      <c r="D14895" t="s">
        <v>17</v>
      </c>
      <c r="E14895" t="s">
        <v>12</v>
      </c>
      <c r="F14895">
        <v>46937834</v>
      </c>
      <c r="G14895">
        <v>46937852</v>
      </c>
      <c r="H14895">
        <v>46937785</v>
      </c>
      <c r="I14895">
        <v>46937823</v>
      </c>
    </row>
    <row r="14896" spans="1:9" x14ac:dyDescent="0.2">
      <c r="A14896" s="1" t="str">
        <f>"RGP1"</f>
        <v>RGP1</v>
      </c>
      <c r="B14896" t="s">
        <v>14</v>
      </c>
      <c r="C14896" t="s">
        <v>24</v>
      </c>
      <c r="D14896" t="s">
        <v>17</v>
      </c>
      <c r="E14896" t="s">
        <v>12</v>
      </c>
      <c r="F14896">
        <v>35749271</v>
      </c>
      <c r="G14896">
        <v>35749350</v>
      </c>
      <c r="H14896">
        <v>35749070</v>
      </c>
      <c r="I14896">
        <v>35749132</v>
      </c>
    </row>
    <row r="14897" spans="1:9" x14ac:dyDescent="0.2">
      <c r="A14897" s="1" t="str">
        <f>"RGPD1"</f>
        <v>RGPD1</v>
      </c>
      <c r="B14897" t="s">
        <v>1475</v>
      </c>
      <c r="C14897" t="s">
        <v>26</v>
      </c>
      <c r="D14897" t="s">
        <v>17</v>
      </c>
      <c r="E14897" t="s">
        <v>20</v>
      </c>
      <c r="F14897">
        <v>87140934</v>
      </c>
      <c r="G14897">
        <v>87140934</v>
      </c>
      <c r="H14897">
        <v>87140934</v>
      </c>
      <c r="I14897">
        <v>87140934</v>
      </c>
    </row>
    <row r="14898" spans="1:9" x14ac:dyDescent="0.2">
      <c r="A14898" s="1" t="str">
        <f>"RGPD1"</f>
        <v>RGPD1</v>
      </c>
      <c r="B14898" t="s">
        <v>1476</v>
      </c>
      <c r="C14898" t="s">
        <v>26</v>
      </c>
      <c r="D14898" t="s">
        <v>17</v>
      </c>
      <c r="E14898" t="s">
        <v>20</v>
      </c>
      <c r="F14898">
        <v>87135075</v>
      </c>
      <c r="G14898">
        <v>87135075</v>
      </c>
      <c r="H14898">
        <v>87135075</v>
      </c>
      <c r="I14898">
        <v>87135075</v>
      </c>
    </row>
    <row r="14899" spans="1:9" x14ac:dyDescent="0.2">
      <c r="A14899" s="1" t="str">
        <f>"RGPD1"</f>
        <v>RGPD1</v>
      </c>
      <c r="B14899" t="s">
        <v>1477</v>
      </c>
      <c r="C14899" t="s">
        <v>26</v>
      </c>
      <c r="D14899" t="s">
        <v>17</v>
      </c>
      <c r="E14899" t="s">
        <v>20</v>
      </c>
      <c r="F14899">
        <v>87144737</v>
      </c>
      <c r="G14899">
        <v>87144737</v>
      </c>
      <c r="H14899">
        <v>87144737</v>
      </c>
      <c r="I14899">
        <v>87144737</v>
      </c>
    </row>
    <row r="14900" spans="1:9" x14ac:dyDescent="0.2">
      <c r="A14900" s="1" t="str">
        <f>"RGPD2"</f>
        <v>RGPD2</v>
      </c>
      <c r="B14900" t="s">
        <v>14</v>
      </c>
      <c r="C14900" t="s">
        <v>26</v>
      </c>
      <c r="D14900" t="s">
        <v>11</v>
      </c>
      <c r="E14900" t="s">
        <v>12</v>
      </c>
      <c r="F14900">
        <v>88125251</v>
      </c>
      <c r="G14900">
        <v>88125262</v>
      </c>
      <c r="H14900">
        <v>88125251</v>
      </c>
      <c r="I14900">
        <v>88125262</v>
      </c>
    </row>
    <row r="14901" spans="1:9" x14ac:dyDescent="0.2">
      <c r="A14901" s="1" t="str">
        <f>"RGPD3"</f>
        <v>RGPD3</v>
      </c>
      <c r="B14901" t="s">
        <v>14</v>
      </c>
      <c r="C14901" t="s">
        <v>26</v>
      </c>
      <c r="D14901" t="s">
        <v>11</v>
      </c>
      <c r="E14901" t="s">
        <v>12</v>
      </c>
      <c r="F14901">
        <v>107084868</v>
      </c>
      <c r="G14901">
        <v>107084878</v>
      </c>
      <c r="H14901">
        <v>107084868</v>
      </c>
      <c r="I14901">
        <v>107084878</v>
      </c>
    </row>
    <row r="14902" spans="1:9" x14ac:dyDescent="0.2">
      <c r="A14902" s="1" t="str">
        <f>"RGPD4"</f>
        <v>RGPD4</v>
      </c>
      <c r="B14902" t="s">
        <v>14</v>
      </c>
      <c r="C14902" t="s">
        <v>26</v>
      </c>
      <c r="D14902" t="s">
        <v>17</v>
      </c>
      <c r="E14902" t="s">
        <v>12</v>
      </c>
      <c r="F14902">
        <v>108443345</v>
      </c>
      <c r="G14902">
        <v>108443361</v>
      </c>
      <c r="H14902">
        <v>108443345</v>
      </c>
      <c r="I14902">
        <v>108443361</v>
      </c>
    </row>
    <row r="14903" spans="1:9" x14ac:dyDescent="0.2">
      <c r="A14903" s="1" t="str">
        <f>"RGPD5"</f>
        <v>RGPD5</v>
      </c>
      <c r="B14903" t="s">
        <v>14</v>
      </c>
      <c r="C14903" t="s">
        <v>26</v>
      </c>
      <c r="D14903" t="s">
        <v>17</v>
      </c>
      <c r="E14903" t="s">
        <v>12</v>
      </c>
      <c r="F14903">
        <v>110551872</v>
      </c>
      <c r="G14903">
        <v>110551888</v>
      </c>
      <c r="H14903">
        <v>110551844</v>
      </c>
      <c r="I14903">
        <v>110551860</v>
      </c>
    </row>
    <row r="14904" spans="1:9" x14ac:dyDescent="0.2">
      <c r="A14904" s="1" t="str">
        <f>"RGPD6"</f>
        <v>RGPD6</v>
      </c>
      <c r="B14904" t="s">
        <v>1478</v>
      </c>
      <c r="C14904" t="s">
        <v>26</v>
      </c>
      <c r="D14904" t="s">
        <v>11</v>
      </c>
      <c r="E14904" t="s">
        <v>20</v>
      </c>
      <c r="F14904">
        <v>111334677</v>
      </c>
      <c r="G14904">
        <v>111334677</v>
      </c>
      <c r="H14904">
        <v>111334677</v>
      </c>
      <c r="I14904">
        <v>111334677</v>
      </c>
    </row>
    <row r="14905" spans="1:9" x14ac:dyDescent="0.2">
      <c r="A14905" s="1" t="str">
        <f>"RGPD8"</f>
        <v>RGPD8</v>
      </c>
      <c r="B14905" t="s">
        <v>1479</v>
      </c>
      <c r="C14905" t="s">
        <v>26</v>
      </c>
      <c r="D14905" t="s">
        <v>11</v>
      </c>
      <c r="E14905" t="s">
        <v>20</v>
      </c>
      <c r="F14905">
        <v>113191221</v>
      </c>
      <c r="G14905">
        <v>113191221</v>
      </c>
      <c r="H14905">
        <v>113191221</v>
      </c>
      <c r="I14905">
        <v>113191221</v>
      </c>
    </row>
    <row r="14906" spans="1:9" x14ac:dyDescent="0.2">
      <c r="A14906" s="1" t="str">
        <f>"RGR"</f>
        <v>RGR</v>
      </c>
      <c r="B14906" t="s">
        <v>14</v>
      </c>
      <c r="C14906" t="s">
        <v>15</v>
      </c>
      <c r="D14906" t="s">
        <v>17</v>
      </c>
      <c r="E14906" t="s">
        <v>12</v>
      </c>
      <c r="F14906">
        <v>86004802</v>
      </c>
      <c r="G14906">
        <v>86004815</v>
      </c>
      <c r="H14906">
        <v>86004802</v>
      </c>
      <c r="I14906">
        <v>86004815</v>
      </c>
    </row>
    <row r="14907" spans="1:9" x14ac:dyDescent="0.2">
      <c r="A14907" s="1" t="str">
        <f>"RGS1"</f>
        <v>RGS1</v>
      </c>
      <c r="B14907" t="s">
        <v>14</v>
      </c>
      <c r="C14907" t="s">
        <v>19</v>
      </c>
      <c r="D14907" t="s">
        <v>17</v>
      </c>
      <c r="E14907" t="s">
        <v>12</v>
      </c>
      <c r="F14907">
        <v>192544895</v>
      </c>
      <c r="G14907">
        <v>192544912</v>
      </c>
      <c r="H14907">
        <v>192544895</v>
      </c>
      <c r="I14907">
        <v>192544912</v>
      </c>
    </row>
    <row r="14908" spans="1:9" x14ac:dyDescent="0.2">
      <c r="A14908" s="1" t="str">
        <f>"RGS10"</f>
        <v>RGS10</v>
      </c>
      <c r="B14908" t="s">
        <v>14</v>
      </c>
      <c r="C14908" t="s">
        <v>15</v>
      </c>
      <c r="D14908" t="s">
        <v>11</v>
      </c>
      <c r="E14908" t="s">
        <v>12</v>
      </c>
      <c r="F14908">
        <v>121302195</v>
      </c>
      <c r="G14908">
        <v>121302245</v>
      </c>
      <c r="H14908">
        <v>121302164</v>
      </c>
      <c r="I14908">
        <v>121302191</v>
      </c>
    </row>
    <row r="14909" spans="1:9" x14ac:dyDescent="0.2">
      <c r="A14909" s="1" t="str">
        <f>"RGS11"</f>
        <v>RGS11</v>
      </c>
      <c r="B14909" t="s">
        <v>14</v>
      </c>
      <c r="C14909" t="s">
        <v>31</v>
      </c>
      <c r="D14909" t="s">
        <v>11</v>
      </c>
      <c r="E14909" t="s">
        <v>12</v>
      </c>
      <c r="F14909">
        <v>325910</v>
      </c>
      <c r="G14909">
        <v>325953</v>
      </c>
      <c r="H14909">
        <v>325910</v>
      </c>
      <c r="I14909">
        <v>325953</v>
      </c>
    </row>
    <row r="14910" spans="1:9" x14ac:dyDescent="0.2">
      <c r="A14910" s="1" t="str">
        <f>"RGS12"</f>
        <v>RGS12</v>
      </c>
      <c r="B14910" t="s">
        <v>14</v>
      </c>
      <c r="C14910" t="s">
        <v>23</v>
      </c>
      <c r="D14910" t="s">
        <v>17</v>
      </c>
      <c r="E14910" t="s">
        <v>12</v>
      </c>
      <c r="F14910">
        <v>3294708</v>
      </c>
      <c r="G14910">
        <v>3294797</v>
      </c>
      <c r="H14910">
        <v>3294708</v>
      </c>
      <c r="I14910">
        <v>3294797</v>
      </c>
    </row>
    <row r="14911" spans="1:9" x14ac:dyDescent="0.2">
      <c r="A14911" s="1" t="str">
        <f>"RGS13"</f>
        <v>RGS13</v>
      </c>
      <c r="B14911" t="s">
        <v>14</v>
      </c>
      <c r="C14911" t="s">
        <v>19</v>
      </c>
      <c r="D14911" t="s">
        <v>17</v>
      </c>
      <c r="E14911" t="s">
        <v>12</v>
      </c>
      <c r="F14911">
        <v>192605252</v>
      </c>
      <c r="G14911">
        <v>192605295</v>
      </c>
      <c r="H14911">
        <v>192605206</v>
      </c>
      <c r="I14911">
        <v>192605228</v>
      </c>
    </row>
    <row r="14912" spans="1:9" x14ac:dyDescent="0.2">
      <c r="A14912" s="1" t="str">
        <f>"RGS14"</f>
        <v>RGS14</v>
      </c>
      <c r="B14912" t="s">
        <v>9</v>
      </c>
      <c r="C14912" t="s">
        <v>46</v>
      </c>
      <c r="D14912" t="s">
        <v>17</v>
      </c>
      <c r="E14912" t="s">
        <v>12</v>
      </c>
      <c r="F14912">
        <v>176784837</v>
      </c>
      <c r="G14912">
        <v>176784936</v>
      </c>
      <c r="H14912">
        <v>176784837</v>
      </c>
      <c r="I14912">
        <v>176784936</v>
      </c>
    </row>
    <row r="14913" spans="1:9" x14ac:dyDescent="0.2">
      <c r="A14913" s="1" t="str">
        <f>"RGS14"</f>
        <v>RGS14</v>
      </c>
      <c r="B14913" t="s">
        <v>13</v>
      </c>
      <c r="C14913" t="s">
        <v>46</v>
      </c>
      <c r="D14913" t="s">
        <v>17</v>
      </c>
      <c r="E14913" t="s">
        <v>12</v>
      </c>
      <c r="F14913">
        <v>176798108</v>
      </c>
      <c r="G14913">
        <v>176798154</v>
      </c>
      <c r="H14913">
        <v>176798108</v>
      </c>
      <c r="I14913">
        <v>176798154</v>
      </c>
    </row>
    <row r="14914" spans="1:9" x14ac:dyDescent="0.2">
      <c r="A14914" s="1" t="str">
        <f>"RGS16"</f>
        <v>RGS16</v>
      </c>
      <c r="B14914" t="s">
        <v>14</v>
      </c>
      <c r="C14914" t="s">
        <v>19</v>
      </c>
      <c r="D14914" t="s">
        <v>11</v>
      </c>
      <c r="E14914" t="s">
        <v>12</v>
      </c>
      <c r="F14914">
        <v>182573514</v>
      </c>
      <c r="G14914">
        <v>182573534</v>
      </c>
      <c r="H14914">
        <v>182573514</v>
      </c>
      <c r="I14914">
        <v>182573534</v>
      </c>
    </row>
    <row r="14915" spans="1:9" x14ac:dyDescent="0.2">
      <c r="A14915" s="1" t="str">
        <f>"RGS17"</f>
        <v>RGS17</v>
      </c>
      <c r="B14915" t="s">
        <v>14</v>
      </c>
      <c r="C14915" t="s">
        <v>32</v>
      </c>
      <c r="D14915" t="s">
        <v>11</v>
      </c>
      <c r="E14915" t="s">
        <v>12</v>
      </c>
      <c r="F14915">
        <v>153452356</v>
      </c>
      <c r="G14915">
        <v>153452433</v>
      </c>
      <c r="H14915">
        <v>153452272</v>
      </c>
      <c r="I14915">
        <v>153452308</v>
      </c>
    </row>
    <row r="14916" spans="1:9" x14ac:dyDescent="0.2">
      <c r="A14916" s="1" t="str">
        <f>"RGS18"</f>
        <v>RGS18</v>
      </c>
      <c r="B14916" t="s">
        <v>14</v>
      </c>
      <c r="C14916" t="s">
        <v>19</v>
      </c>
      <c r="D14916" t="s">
        <v>17</v>
      </c>
      <c r="E14916" t="s">
        <v>12</v>
      </c>
      <c r="F14916">
        <v>192127578</v>
      </c>
      <c r="G14916">
        <v>192127613</v>
      </c>
      <c r="H14916">
        <v>192127578</v>
      </c>
      <c r="I14916">
        <v>192127613</v>
      </c>
    </row>
    <row r="14917" spans="1:9" x14ac:dyDescent="0.2">
      <c r="A14917" s="1" t="str">
        <f>"RGS19"</f>
        <v>RGS19</v>
      </c>
      <c r="B14917" t="s">
        <v>14</v>
      </c>
      <c r="C14917" t="s">
        <v>29</v>
      </c>
      <c r="D14917" t="s">
        <v>11</v>
      </c>
      <c r="E14917" t="s">
        <v>12</v>
      </c>
      <c r="F14917">
        <v>62710832</v>
      </c>
      <c r="G14917">
        <v>62710879</v>
      </c>
      <c r="H14917">
        <v>62711259</v>
      </c>
      <c r="I14917">
        <v>62711324</v>
      </c>
    </row>
    <row r="14918" spans="1:9" x14ac:dyDescent="0.2">
      <c r="A14918" s="1" t="str">
        <f>"RGS2"</f>
        <v>RGS2</v>
      </c>
      <c r="B14918" t="s">
        <v>14</v>
      </c>
      <c r="C14918" t="s">
        <v>19</v>
      </c>
      <c r="D14918" t="s">
        <v>17</v>
      </c>
      <c r="E14918" t="s">
        <v>12</v>
      </c>
      <c r="F14918">
        <v>192778161</v>
      </c>
      <c r="G14918">
        <v>192778180</v>
      </c>
      <c r="H14918">
        <v>192778161</v>
      </c>
      <c r="I14918">
        <v>192778180</v>
      </c>
    </row>
    <row r="14919" spans="1:9" x14ac:dyDescent="0.2">
      <c r="A14919" s="1" t="str">
        <f>"RGS20"</f>
        <v>RGS20</v>
      </c>
      <c r="B14919" t="s">
        <v>9</v>
      </c>
      <c r="C14919" t="s">
        <v>30</v>
      </c>
      <c r="D14919" t="s">
        <v>17</v>
      </c>
      <c r="E14919" t="s">
        <v>12</v>
      </c>
      <c r="F14919">
        <v>54793565</v>
      </c>
      <c r="G14919">
        <v>54793588</v>
      </c>
      <c r="H14919">
        <v>54793565</v>
      </c>
      <c r="I14919">
        <v>54793588</v>
      </c>
    </row>
    <row r="14920" spans="1:9" x14ac:dyDescent="0.2">
      <c r="A14920" s="1" t="str">
        <f>"RGS20"</f>
        <v>RGS20</v>
      </c>
      <c r="B14920" t="s">
        <v>13</v>
      </c>
      <c r="C14920" t="s">
        <v>30</v>
      </c>
      <c r="D14920" t="s">
        <v>17</v>
      </c>
      <c r="E14920" t="s">
        <v>12</v>
      </c>
      <c r="F14920">
        <v>54792564</v>
      </c>
      <c r="G14920">
        <v>54792638</v>
      </c>
      <c r="H14920">
        <v>54792564</v>
      </c>
      <c r="I14920">
        <v>54792638</v>
      </c>
    </row>
    <row r="14921" spans="1:9" x14ac:dyDescent="0.2">
      <c r="A14921" s="1" t="str">
        <f>"RGS21"</f>
        <v>RGS21</v>
      </c>
      <c r="B14921" t="s">
        <v>14</v>
      </c>
      <c r="C14921" t="s">
        <v>19</v>
      </c>
      <c r="D14921" t="s">
        <v>17</v>
      </c>
      <c r="E14921" t="s">
        <v>12</v>
      </c>
      <c r="F14921">
        <v>192286127</v>
      </c>
      <c r="G14921">
        <v>192286128</v>
      </c>
      <c r="H14921">
        <v>192286127</v>
      </c>
      <c r="I14921">
        <v>192286128</v>
      </c>
    </row>
    <row r="14922" spans="1:9" x14ac:dyDescent="0.2">
      <c r="A14922" s="1" t="str">
        <f>"RGS22"</f>
        <v>RGS22</v>
      </c>
      <c r="B14922" t="s">
        <v>14</v>
      </c>
      <c r="C14922" t="s">
        <v>30</v>
      </c>
      <c r="D14922" t="s">
        <v>11</v>
      </c>
      <c r="E14922" t="s">
        <v>12</v>
      </c>
      <c r="F14922">
        <v>101118210</v>
      </c>
      <c r="G14922">
        <v>101118287</v>
      </c>
      <c r="H14922">
        <v>101118185</v>
      </c>
      <c r="I14922">
        <v>101118205</v>
      </c>
    </row>
    <row r="14923" spans="1:9" x14ac:dyDescent="0.2">
      <c r="A14923" s="1" t="str">
        <f>"RGS3"</f>
        <v>RGS3</v>
      </c>
      <c r="B14923" t="s">
        <v>1480</v>
      </c>
      <c r="C14923" t="s">
        <v>24</v>
      </c>
      <c r="D14923" t="s">
        <v>17</v>
      </c>
      <c r="E14923" t="s">
        <v>20</v>
      </c>
      <c r="F14923">
        <v>116222519</v>
      </c>
      <c r="G14923">
        <v>116222519</v>
      </c>
      <c r="H14923">
        <v>116222519</v>
      </c>
      <c r="I14923">
        <v>116222519</v>
      </c>
    </row>
    <row r="14924" spans="1:9" x14ac:dyDescent="0.2">
      <c r="A14924" s="1" t="str">
        <f>"RGS3"</f>
        <v>RGS3</v>
      </c>
      <c r="B14924" t="s">
        <v>1481</v>
      </c>
      <c r="C14924" t="s">
        <v>24</v>
      </c>
      <c r="D14924" t="s">
        <v>17</v>
      </c>
      <c r="E14924" t="s">
        <v>35</v>
      </c>
      <c r="F14924">
        <v>116207007</v>
      </c>
      <c r="G14924">
        <v>116207012</v>
      </c>
      <c r="H14924">
        <v>116207017</v>
      </c>
      <c r="I14924">
        <v>116207026</v>
      </c>
    </row>
    <row r="14925" spans="1:9" x14ac:dyDescent="0.2">
      <c r="A14925" s="1" t="str">
        <f>"RGS4"</f>
        <v>RGS4</v>
      </c>
      <c r="B14925" t="s">
        <v>14</v>
      </c>
      <c r="C14925" t="s">
        <v>19</v>
      </c>
      <c r="D14925" t="s">
        <v>17</v>
      </c>
      <c r="E14925" t="s">
        <v>12</v>
      </c>
      <c r="F14925">
        <v>163039143</v>
      </c>
      <c r="G14925">
        <v>163039159</v>
      </c>
      <c r="H14925">
        <v>163038669</v>
      </c>
      <c r="I14925">
        <v>163038763</v>
      </c>
    </row>
    <row r="14926" spans="1:9" x14ac:dyDescent="0.2">
      <c r="A14926" s="1" t="str">
        <f>"RGS5"</f>
        <v>RGS5</v>
      </c>
      <c r="B14926" t="s">
        <v>14</v>
      </c>
      <c r="C14926" t="s">
        <v>19</v>
      </c>
      <c r="D14926" t="s">
        <v>11</v>
      </c>
      <c r="E14926" t="s">
        <v>12</v>
      </c>
      <c r="F14926">
        <v>163172695</v>
      </c>
      <c r="G14926">
        <v>163172712</v>
      </c>
      <c r="H14926">
        <v>163172695</v>
      </c>
      <c r="I14926">
        <v>163172712</v>
      </c>
    </row>
    <row r="14927" spans="1:9" x14ac:dyDescent="0.2">
      <c r="A14927" s="1" t="str">
        <f>"RGS6"</f>
        <v>RGS6</v>
      </c>
      <c r="B14927" t="s">
        <v>14</v>
      </c>
      <c r="C14927" t="s">
        <v>41</v>
      </c>
      <c r="D14927" t="s">
        <v>17</v>
      </c>
      <c r="E14927" t="s">
        <v>12</v>
      </c>
      <c r="F14927">
        <v>72399114</v>
      </c>
      <c r="G14927">
        <v>72399238</v>
      </c>
      <c r="H14927">
        <v>72399930</v>
      </c>
      <c r="I14927">
        <v>72399952</v>
      </c>
    </row>
    <row r="14928" spans="1:9" x14ac:dyDescent="0.2">
      <c r="A14928" s="1" t="str">
        <f>"RGS7"</f>
        <v>RGS7</v>
      </c>
      <c r="B14928" t="s">
        <v>14</v>
      </c>
      <c r="C14928" t="s">
        <v>19</v>
      </c>
      <c r="D14928" t="s">
        <v>11</v>
      </c>
      <c r="E14928" t="s">
        <v>12</v>
      </c>
      <c r="F14928">
        <v>241520471</v>
      </c>
      <c r="G14928">
        <v>241520519</v>
      </c>
      <c r="H14928">
        <v>241520441</v>
      </c>
      <c r="I14928">
        <v>241520457</v>
      </c>
    </row>
    <row r="14929" spans="1:9" x14ac:dyDescent="0.2">
      <c r="A14929" s="1" t="str">
        <f>"RGS7BP"</f>
        <v>RGS7BP</v>
      </c>
      <c r="B14929" t="s">
        <v>14</v>
      </c>
      <c r="C14929" t="s">
        <v>46</v>
      </c>
      <c r="D14929" t="s">
        <v>17</v>
      </c>
      <c r="E14929" t="s">
        <v>12</v>
      </c>
      <c r="F14929">
        <v>63801829</v>
      </c>
      <c r="G14929">
        <v>63801881</v>
      </c>
      <c r="H14929">
        <v>63802109</v>
      </c>
      <c r="I14929">
        <v>63802139</v>
      </c>
    </row>
    <row r="14930" spans="1:9" x14ac:dyDescent="0.2">
      <c r="A14930" s="1" t="str">
        <f>"RGS8"</f>
        <v>RGS8</v>
      </c>
      <c r="B14930" t="s">
        <v>9</v>
      </c>
      <c r="C14930" t="s">
        <v>19</v>
      </c>
      <c r="D14930" t="s">
        <v>11</v>
      </c>
      <c r="E14930" t="s">
        <v>12</v>
      </c>
      <c r="F14930">
        <v>182653685</v>
      </c>
      <c r="G14930">
        <v>182653730</v>
      </c>
      <c r="H14930">
        <v>182653685</v>
      </c>
      <c r="I14930">
        <v>182653730</v>
      </c>
    </row>
    <row r="14931" spans="1:9" x14ac:dyDescent="0.2">
      <c r="A14931" s="1" t="str">
        <f>"RGS8"</f>
        <v>RGS8</v>
      </c>
      <c r="B14931" t="s">
        <v>13</v>
      </c>
      <c r="C14931" t="s">
        <v>19</v>
      </c>
      <c r="D14931" t="s">
        <v>11</v>
      </c>
      <c r="E14931" t="s">
        <v>12</v>
      </c>
      <c r="F14931">
        <v>182641037</v>
      </c>
      <c r="G14931">
        <v>182641068</v>
      </c>
      <c r="H14931">
        <v>182641037</v>
      </c>
      <c r="I14931">
        <v>182641068</v>
      </c>
    </row>
    <row r="14932" spans="1:9" x14ac:dyDescent="0.2">
      <c r="A14932" s="1" t="str">
        <f>"RGS9"</f>
        <v>RGS9</v>
      </c>
      <c r="B14932" t="s">
        <v>14</v>
      </c>
      <c r="C14932" t="s">
        <v>28</v>
      </c>
      <c r="D14932" t="s">
        <v>17</v>
      </c>
      <c r="E14932" t="s">
        <v>12</v>
      </c>
      <c r="F14932">
        <v>63133526</v>
      </c>
      <c r="G14932">
        <v>63133562</v>
      </c>
      <c r="H14932">
        <v>63133467</v>
      </c>
      <c r="I14932">
        <v>63133494</v>
      </c>
    </row>
    <row r="14933" spans="1:9" x14ac:dyDescent="0.2">
      <c r="A14933" s="1" t="str">
        <f>"RGS9BP"</f>
        <v>RGS9BP</v>
      </c>
      <c r="B14933" t="s">
        <v>14</v>
      </c>
      <c r="C14933" t="s">
        <v>10</v>
      </c>
      <c r="D14933" t="s">
        <v>17</v>
      </c>
      <c r="E14933" t="s">
        <v>12</v>
      </c>
      <c r="F14933">
        <v>33166742</v>
      </c>
      <c r="G14933">
        <v>33166812</v>
      </c>
      <c r="H14933">
        <v>33166306</v>
      </c>
      <c r="I14933">
        <v>33166344</v>
      </c>
    </row>
    <row r="14934" spans="1:9" x14ac:dyDescent="0.2">
      <c r="A14934" s="1" t="str">
        <f>"RGSL1"</f>
        <v>RGSL1</v>
      </c>
      <c r="B14934" t="s">
        <v>14</v>
      </c>
      <c r="C14934" t="s">
        <v>19</v>
      </c>
      <c r="D14934" t="s">
        <v>17</v>
      </c>
      <c r="E14934" t="s">
        <v>12</v>
      </c>
      <c r="F14934">
        <v>182419261</v>
      </c>
      <c r="G14934">
        <v>182419285</v>
      </c>
      <c r="H14934">
        <v>182419261</v>
      </c>
      <c r="I14934">
        <v>182419285</v>
      </c>
    </row>
    <row r="14935" spans="1:9" x14ac:dyDescent="0.2">
      <c r="A14935" s="1" t="str">
        <f>"RHAG"</f>
        <v>RHAG</v>
      </c>
      <c r="B14935" t="s">
        <v>14</v>
      </c>
      <c r="C14935" t="s">
        <v>32</v>
      </c>
      <c r="D14935" t="s">
        <v>11</v>
      </c>
      <c r="E14935" t="s">
        <v>12</v>
      </c>
      <c r="F14935">
        <v>49604545</v>
      </c>
      <c r="G14935">
        <v>49604560</v>
      </c>
      <c r="H14935">
        <v>49604575</v>
      </c>
      <c r="I14935">
        <v>49604592</v>
      </c>
    </row>
    <row r="14936" spans="1:9" x14ac:dyDescent="0.2">
      <c r="A14936" s="1" t="str">
        <f>"RHBDD1"</f>
        <v>RHBDD1</v>
      </c>
      <c r="B14936" t="s">
        <v>14</v>
      </c>
      <c r="C14936" t="s">
        <v>26</v>
      </c>
      <c r="D14936" t="s">
        <v>17</v>
      </c>
      <c r="E14936" t="s">
        <v>12</v>
      </c>
      <c r="F14936">
        <v>227700737</v>
      </c>
      <c r="G14936">
        <v>227700838</v>
      </c>
      <c r="H14936">
        <v>227700737</v>
      </c>
      <c r="I14936">
        <v>227700838</v>
      </c>
    </row>
    <row r="14937" spans="1:9" x14ac:dyDescent="0.2">
      <c r="A14937" s="1" t="str">
        <f>"RHBDD2"</f>
        <v>RHBDD2</v>
      </c>
      <c r="B14937" t="s">
        <v>14</v>
      </c>
      <c r="C14937" t="s">
        <v>33</v>
      </c>
      <c r="D14937" t="s">
        <v>17</v>
      </c>
      <c r="E14937" t="s">
        <v>12</v>
      </c>
      <c r="F14937">
        <v>75508341</v>
      </c>
      <c r="G14937">
        <v>75508396</v>
      </c>
      <c r="H14937">
        <v>75508328</v>
      </c>
      <c r="I14937">
        <v>75508340</v>
      </c>
    </row>
    <row r="14938" spans="1:9" x14ac:dyDescent="0.2">
      <c r="A14938" s="1" t="str">
        <f>"RHBDD3"</f>
        <v>RHBDD3</v>
      </c>
      <c r="B14938" t="s">
        <v>14</v>
      </c>
      <c r="C14938" t="s">
        <v>21</v>
      </c>
      <c r="D14938" t="s">
        <v>11</v>
      </c>
      <c r="E14938" t="s">
        <v>12</v>
      </c>
      <c r="F14938">
        <v>29663900</v>
      </c>
      <c r="G14938">
        <v>29663949</v>
      </c>
      <c r="H14938">
        <v>29663820</v>
      </c>
      <c r="I14938">
        <v>29663876</v>
      </c>
    </row>
    <row r="14939" spans="1:9" x14ac:dyDescent="0.2">
      <c r="A14939" s="1" t="str">
        <f>"RHBDF1"</f>
        <v>RHBDF1</v>
      </c>
      <c r="B14939" t="s">
        <v>14</v>
      </c>
      <c r="C14939" t="s">
        <v>31</v>
      </c>
      <c r="D14939" t="s">
        <v>11</v>
      </c>
      <c r="E14939" t="s">
        <v>12</v>
      </c>
      <c r="F14939">
        <v>122619</v>
      </c>
      <c r="G14939">
        <v>122655</v>
      </c>
      <c r="H14939">
        <v>122581</v>
      </c>
      <c r="I14939">
        <v>122600</v>
      </c>
    </row>
    <row r="14940" spans="1:9" x14ac:dyDescent="0.2">
      <c r="A14940" s="1" t="str">
        <f>"RHBDF2"</f>
        <v>RHBDF2</v>
      </c>
      <c r="B14940" t="s">
        <v>14</v>
      </c>
      <c r="C14940" t="s">
        <v>28</v>
      </c>
      <c r="D14940" t="s">
        <v>11</v>
      </c>
      <c r="E14940" t="s">
        <v>12</v>
      </c>
      <c r="F14940">
        <v>74497432</v>
      </c>
      <c r="G14940">
        <v>74497516</v>
      </c>
      <c r="H14940">
        <v>74497700</v>
      </c>
      <c r="I14940">
        <v>74497724</v>
      </c>
    </row>
    <row r="14941" spans="1:9" x14ac:dyDescent="0.2">
      <c r="A14941" s="1" t="str">
        <f>"RHBDL1"</f>
        <v>RHBDL1</v>
      </c>
      <c r="B14941" t="s">
        <v>14</v>
      </c>
      <c r="C14941" t="s">
        <v>31</v>
      </c>
      <c r="D14941" t="s">
        <v>17</v>
      </c>
      <c r="E14941" t="s">
        <v>12</v>
      </c>
      <c r="F14941">
        <v>725650</v>
      </c>
      <c r="G14941">
        <v>725716</v>
      </c>
      <c r="H14941">
        <v>725717</v>
      </c>
      <c r="I14941">
        <v>725733</v>
      </c>
    </row>
    <row r="14942" spans="1:9" x14ac:dyDescent="0.2">
      <c r="A14942" s="1" t="str">
        <f>"RHBDL2"</f>
        <v>RHBDL2</v>
      </c>
      <c r="B14942" t="s">
        <v>9</v>
      </c>
      <c r="C14942" t="s">
        <v>19</v>
      </c>
      <c r="D14942" t="s">
        <v>11</v>
      </c>
      <c r="E14942" t="s">
        <v>12</v>
      </c>
      <c r="F14942">
        <v>39395165</v>
      </c>
      <c r="G14942">
        <v>39395198</v>
      </c>
      <c r="H14942">
        <v>39395165</v>
      </c>
      <c r="I14942">
        <v>39395198</v>
      </c>
    </row>
    <row r="14943" spans="1:9" x14ac:dyDescent="0.2">
      <c r="A14943" s="1" t="str">
        <f>"RHBDL2"</f>
        <v>RHBDL2</v>
      </c>
      <c r="B14943" t="s">
        <v>13</v>
      </c>
      <c r="C14943" t="s">
        <v>19</v>
      </c>
      <c r="D14943" t="s">
        <v>11</v>
      </c>
      <c r="E14943" t="s">
        <v>12</v>
      </c>
      <c r="F14943">
        <v>39407467</v>
      </c>
      <c r="G14943">
        <v>39407509</v>
      </c>
      <c r="H14943">
        <v>39407467</v>
      </c>
      <c r="I14943">
        <v>39407509</v>
      </c>
    </row>
    <row r="14944" spans="1:9" x14ac:dyDescent="0.2">
      <c r="A14944" s="1" t="str">
        <f>"RHBDL3"</f>
        <v>RHBDL3</v>
      </c>
      <c r="B14944" t="s">
        <v>14</v>
      </c>
      <c r="C14944" t="s">
        <v>28</v>
      </c>
      <c r="D14944" t="s">
        <v>17</v>
      </c>
      <c r="E14944" t="s">
        <v>12</v>
      </c>
      <c r="F14944">
        <v>30592836</v>
      </c>
      <c r="G14944">
        <v>30592860</v>
      </c>
      <c r="H14944">
        <v>30592861</v>
      </c>
      <c r="I14944">
        <v>30592872</v>
      </c>
    </row>
    <row r="14945" spans="1:9" x14ac:dyDescent="0.2">
      <c r="A14945" s="1" t="str">
        <f>"RHBG"</f>
        <v>RHBG</v>
      </c>
      <c r="B14945" t="s">
        <v>14</v>
      </c>
      <c r="C14945" t="s">
        <v>19</v>
      </c>
      <c r="D14945" t="s">
        <v>17</v>
      </c>
      <c r="E14945" t="s">
        <v>12</v>
      </c>
      <c r="F14945">
        <v>156338993</v>
      </c>
      <c r="G14945">
        <v>156339011</v>
      </c>
      <c r="H14945">
        <v>156339014</v>
      </c>
      <c r="I14945">
        <v>156339028</v>
      </c>
    </row>
    <row r="14946" spans="1:9" x14ac:dyDescent="0.2">
      <c r="A14946" s="1" t="str">
        <f>"RHCE"</f>
        <v>RHCE</v>
      </c>
      <c r="B14946" t="s">
        <v>14</v>
      </c>
      <c r="C14946" t="s">
        <v>19</v>
      </c>
      <c r="D14946" t="s">
        <v>11</v>
      </c>
      <c r="E14946" t="s">
        <v>12</v>
      </c>
      <c r="F14946">
        <v>25756638</v>
      </c>
      <c r="G14946">
        <v>25756699</v>
      </c>
      <c r="H14946">
        <v>25757090</v>
      </c>
      <c r="I14946">
        <v>25757126</v>
      </c>
    </row>
    <row r="14947" spans="1:9" x14ac:dyDescent="0.2">
      <c r="A14947" s="1" t="str">
        <f>"RHCG"</f>
        <v>RHCG</v>
      </c>
      <c r="B14947" t="s">
        <v>14</v>
      </c>
      <c r="C14947" t="s">
        <v>25</v>
      </c>
      <c r="D14947" t="s">
        <v>11</v>
      </c>
      <c r="E14947" t="s">
        <v>12</v>
      </c>
      <c r="F14947">
        <v>90039805</v>
      </c>
      <c r="G14947">
        <v>90039821</v>
      </c>
      <c r="H14947">
        <v>90039805</v>
      </c>
      <c r="I14947">
        <v>90039821</v>
      </c>
    </row>
    <row r="14948" spans="1:9" x14ac:dyDescent="0.2">
      <c r="A14948" s="1" t="str">
        <f>"RHD"</f>
        <v>RHD</v>
      </c>
      <c r="B14948" t="s">
        <v>14</v>
      </c>
      <c r="C14948" t="s">
        <v>19</v>
      </c>
      <c r="D14948" t="s">
        <v>17</v>
      </c>
      <c r="E14948" t="s">
        <v>12</v>
      </c>
      <c r="F14948">
        <v>25598993</v>
      </c>
      <c r="G14948">
        <v>25599007</v>
      </c>
      <c r="H14948">
        <v>25598872</v>
      </c>
      <c r="I14948">
        <v>25598910</v>
      </c>
    </row>
    <row r="14949" spans="1:9" x14ac:dyDescent="0.2">
      <c r="A14949" s="1" t="str">
        <f>"RHEB"</f>
        <v>RHEB</v>
      </c>
      <c r="B14949" t="s">
        <v>14</v>
      </c>
      <c r="C14949" t="s">
        <v>33</v>
      </c>
      <c r="D14949" t="s">
        <v>11</v>
      </c>
      <c r="E14949" t="s">
        <v>12</v>
      </c>
      <c r="F14949">
        <v>151216977</v>
      </c>
      <c r="G14949">
        <v>151216992</v>
      </c>
      <c r="H14949">
        <v>151217166</v>
      </c>
      <c r="I14949">
        <v>151217189</v>
      </c>
    </row>
    <row r="14950" spans="1:9" x14ac:dyDescent="0.2">
      <c r="A14950" s="1" t="str">
        <f>"RHEBL1"</f>
        <v>RHEBL1</v>
      </c>
      <c r="B14950" t="s">
        <v>14</v>
      </c>
      <c r="C14950" t="s">
        <v>16</v>
      </c>
      <c r="D14950" t="s">
        <v>11</v>
      </c>
      <c r="E14950" t="s">
        <v>12</v>
      </c>
      <c r="F14950">
        <v>49463680</v>
      </c>
      <c r="G14950">
        <v>49463724</v>
      </c>
      <c r="H14950">
        <v>49463753</v>
      </c>
      <c r="I14950">
        <v>49463770</v>
      </c>
    </row>
    <row r="14951" spans="1:9" x14ac:dyDescent="0.2">
      <c r="A14951" s="1" t="str">
        <f>"RHNO1"</f>
        <v>RHNO1</v>
      </c>
      <c r="B14951" t="s">
        <v>14</v>
      </c>
      <c r="C14951" t="s">
        <v>16</v>
      </c>
      <c r="D14951" t="s">
        <v>17</v>
      </c>
      <c r="E14951" t="s">
        <v>12</v>
      </c>
      <c r="F14951">
        <v>2986359</v>
      </c>
      <c r="G14951">
        <v>2986421</v>
      </c>
      <c r="H14951">
        <v>2985421</v>
      </c>
      <c r="I14951">
        <v>2985441</v>
      </c>
    </row>
    <row r="14952" spans="1:9" x14ac:dyDescent="0.2">
      <c r="A14952" s="1" t="str">
        <f>"RHO"</f>
        <v>RHO</v>
      </c>
      <c r="B14952" t="s">
        <v>14</v>
      </c>
      <c r="C14952" t="s">
        <v>22</v>
      </c>
      <c r="D14952" t="s">
        <v>17</v>
      </c>
      <c r="E14952" t="s">
        <v>12</v>
      </c>
      <c r="F14952">
        <v>129247479</v>
      </c>
      <c r="G14952">
        <v>129247493</v>
      </c>
      <c r="H14952">
        <v>129247412</v>
      </c>
      <c r="I14952">
        <v>129247420</v>
      </c>
    </row>
    <row r="14953" spans="1:9" x14ac:dyDescent="0.2">
      <c r="A14953" s="1" t="str">
        <f>"RHOA"</f>
        <v>RHOA</v>
      </c>
      <c r="B14953" t="s">
        <v>14</v>
      </c>
      <c r="C14953" t="s">
        <v>22</v>
      </c>
      <c r="D14953" t="s">
        <v>11</v>
      </c>
      <c r="E14953" t="s">
        <v>12</v>
      </c>
      <c r="F14953">
        <v>49449350</v>
      </c>
      <c r="G14953">
        <v>49449464</v>
      </c>
      <c r="H14953">
        <v>49449521</v>
      </c>
      <c r="I14953">
        <v>49449532</v>
      </c>
    </row>
    <row r="14954" spans="1:9" x14ac:dyDescent="0.2">
      <c r="A14954" s="1" t="str">
        <f>"RHOB"</f>
        <v>RHOB</v>
      </c>
      <c r="B14954" t="s">
        <v>14</v>
      </c>
      <c r="C14954" t="s">
        <v>26</v>
      </c>
      <c r="D14954" t="s">
        <v>17</v>
      </c>
      <c r="E14954" t="s">
        <v>12</v>
      </c>
      <c r="F14954">
        <v>20646824</v>
      </c>
      <c r="G14954">
        <v>20646844</v>
      </c>
      <c r="H14954">
        <v>20646824</v>
      </c>
      <c r="I14954">
        <v>20646844</v>
      </c>
    </row>
    <row r="14955" spans="1:9" x14ac:dyDescent="0.2">
      <c r="A14955" s="1" t="str">
        <f>"RHOBTB1"</f>
        <v>RHOBTB1</v>
      </c>
      <c r="B14955" t="s">
        <v>14</v>
      </c>
      <c r="C14955" t="s">
        <v>15</v>
      </c>
      <c r="D14955" t="s">
        <v>11</v>
      </c>
      <c r="E14955" t="s">
        <v>12</v>
      </c>
      <c r="F14955">
        <v>62703921</v>
      </c>
      <c r="G14955">
        <v>62703966</v>
      </c>
      <c r="H14955">
        <v>62703889</v>
      </c>
      <c r="I14955">
        <v>62703917</v>
      </c>
    </row>
    <row r="14956" spans="1:9" x14ac:dyDescent="0.2">
      <c r="A14956" s="1" t="str">
        <f>"RHOBTB2"</f>
        <v>RHOBTB2</v>
      </c>
      <c r="B14956" t="s">
        <v>14</v>
      </c>
      <c r="C14956" t="s">
        <v>30</v>
      </c>
      <c r="D14956" t="s">
        <v>17</v>
      </c>
      <c r="E14956" t="s">
        <v>12</v>
      </c>
      <c r="F14956">
        <v>22857048</v>
      </c>
      <c r="G14956">
        <v>22857082</v>
      </c>
      <c r="H14956">
        <v>22857171</v>
      </c>
      <c r="I14956">
        <v>22857223</v>
      </c>
    </row>
    <row r="14957" spans="1:9" x14ac:dyDescent="0.2">
      <c r="A14957" s="1" t="str">
        <f>"RHOBTB3"</f>
        <v>RHOBTB3</v>
      </c>
      <c r="B14957" t="s">
        <v>14</v>
      </c>
      <c r="C14957" t="s">
        <v>46</v>
      </c>
      <c r="D14957" t="s">
        <v>17</v>
      </c>
      <c r="E14957" t="s">
        <v>12</v>
      </c>
      <c r="F14957">
        <v>95067025</v>
      </c>
      <c r="G14957">
        <v>95067058</v>
      </c>
      <c r="H14957">
        <v>95066823</v>
      </c>
      <c r="I14957">
        <v>95066879</v>
      </c>
    </row>
    <row r="14958" spans="1:9" x14ac:dyDescent="0.2">
      <c r="A14958" s="1" t="str">
        <f>"RHOC"</f>
        <v>RHOC</v>
      </c>
      <c r="B14958" t="s">
        <v>14</v>
      </c>
      <c r="C14958" t="s">
        <v>19</v>
      </c>
      <c r="D14958" t="s">
        <v>11</v>
      </c>
      <c r="E14958" t="s">
        <v>12</v>
      </c>
      <c r="F14958">
        <v>113249734</v>
      </c>
      <c r="G14958">
        <v>113249762</v>
      </c>
      <c r="H14958">
        <v>113249734</v>
      </c>
      <c r="I14958">
        <v>113249762</v>
      </c>
    </row>
    <row r="14959" spans="1:9" x14ac:dyDescent="0.2">
      <c r="A14959" s="1" t="str">
        <f>"RHOD"</f>
        <v>RHOD</v>
      </c>
      <c r="B14959" t="s">
        <v>14</v>
      </c>
      <c r="C14959" t="s">
        <v>27</v>
      </c>
      <c r="D14959" t="s">
        <v>17</v>
      </c>
      <c r="E14959" t="s">
        <v>12</v>
      </c>
      <c r="F14959">
        <v>66824303</v>
      </c>
      <c r="G14959">
        <v>66824343</v>
      </c>
      <c r="H14959">
        <v>66824276</v>
      </c>
      <c r="I14959">
        <v>66824298</v>
      </c>
    </row>
    <row r="14960" spans="1:9" x14ac:dyDescent="0.2">
      <c r="A14960" s="1" t="str">
        <f>"RHOF"</f>
        <v>RHOF</v>
      </c>
      <c r="B14960" t="s">
        <v>14</v>
      </c>
      <c r="C14960" t="s">
        <v>16</v>
      </c>
      <c r="D14960" t="s">
        <v>11</v>
      </c>
      <c r="E14960" t="s">
        <v>12</v>
      </c>
      <c r="F14960">
        <v>122231552</v>
      </c>
      <c r="G14960">
        <v>122231573</v>
      </c>
      <c r="H14960">
        <v>122231574</v>
      </c>
      <c r="I14960">
        <v>122231600</v>
      </c>
    </row>
    <row r="14961" spans="1:9" x14ac:dyDescent="0.2">
      <c r="A14961" s="1" t="str">
        <f>"RHOG"</f>
        <v>RHOG</v>
      </c>
      <c r="B14961" t="s">
        <v>14</v>
      </c>
      <c r="C14961" t="s">
        <v>27</v>
      </c>
      <c r="D14961" t="s">
        <v>11</v>
      </c>
      <c r="E14961" t="s">
        <v>12</v>
      </c>
      <c r="F14961">
        <v>3862172</v>
      </c>
      <c r="G14961">
        <v>3862200</v>
      </c>
      <c r="H14961">
        <v>3862206</v>
      </c>
      <c r="I14961">
        <v>3862217</v>
      </c>
    </row>
    <row r="14962" spans="1:9" x14ac:dyDescent="0.2">
      <c r="A14962" s="1" t="str">
        <f>"RHOH"</f>
        <v>RHOH</v>
      </c>
      <c r="B14962" t="s">
        <v>14</v>
      </c>
      <c r="C14962" t="s">
        <v>23</v>
      </c>
      <c r="D14962" t="s">
        <v>17</v>
      </c>
      <c r="E14962" t="s">
        <v>12</v>
      </c>
      <c r="F14962">
        <v>40198642</v>
      </c>
      <c r="G14962">
        <v>40198689</v>
      </c>
      <c r="H14962">
        <v>40198691</v>
      </c>
      <c r="I14962">
        <v>40198704</v>
      </c>
    </row>
    <row r="14963" spans="1:9" x14ac:dyDescent="0.2">
      <c r="A14963" s="1" t="str">
        <f>"RHOJ"</f>
        <v>RHOJ</v>
      </c>
      <c r="B14963" t="s">
        <v>14</v>
      </c>
      <c r="C14963" t="s">
        <v>41</v>
      </c>
      <c r="D14963" t="s">
        <v>17</v>
      </c>
      <c r="E14963" t="s">
        <v>12</v>
      </c>
      <c r="F14963">
        <v>63671154</v>
      </c>
      <c r="G14963">
        <v>63671198</v>
      </c>
      <c r="H14963">
        <v>63671393</v>
      </c>
      <c r="I14963">
        <v>63671437</v>
      </c>
    </row>
    <row r="14964" spans="1:9" x14ac:dyDescent="0.2">
      <c r="A14964" s="1" t="str">
        <f>"RHOQ"</f>
        <v>RHOQ</v>
      </c>
      <c r="B14964" t="s">
        <v>14</v>
      </c>
      <c r="C14964" t="s">
        <v>26</v>
      </c>
      <c r="D14964" t="s">
        <v>17</v>
      </c>
      <c r="E14964" t="s">
        <v>12</v>
      </c>
      <c r="F14964">
        <v>46769615</v>
      </c>
      <c r="G14964">
        <v>46769692</v>
      </c>
      <c r="H14964">
        <v>46769798</v>
      </c>
      <c r="I14964">
        <v>46769842</v>
      </c>
    </row>
    <row r="14965" spans="1:9" x14ac:dyDescent="0.2">
      <c r="A14965" s="1" t="str">
        <f>"RHOT1"</f>
        <v>RHOT1</v>
      </c>
      <c r="B14965" t="s">
        <v>14</v>
      </c>
      <c r="C14965" t="s">
        <v>28</v>
      </c>
      <c r="D14965" t="s">
        <v>17</v>
      </c>
      <c r="E14965" t="s">
        <v>12</v>
      </c>
      <c r="F14965">
        <v>30469497</v>
      </c>
      <c r="G14965">
        <v>30469536</v>
      </c>
      <c r="H14965">
        <v>30469585</v>
      </c>
      <c r="I14965">
        <v>30469607</v>
      </c>
    </row>
    <row r="14966" spans="1:9" x14ac:dyDescent="0.2">
      <c r="A14966" s="1" t="str">
        <f>"RHOT2"</f>
        <v>RHOT2</v>
      </c>
      <c r="B14966" t="s">
        <v>14</v>
      </c>
      <c r="C14966" t="s">
        <v>31</v>
      </c>
      <c r="D14966" t="s">
        <v>17</v>
      </c>
      <c r="E14966" t="s">
        <v>12</v>
      </c>
      <c r="F14966">
        <v>718094</v>
      </c>
      <c r="G14966">
        <v>718143</v>
      </c>
      <c r="H14966">
        <v>718147</v>
      </c>
      <c r="I14966">
        <v>718188</v>
      </c>
    </row>
    <row r="14967" spans="1:9" x14ac:dyDescent="0.2">
      <c r="A14967" s="1" t="str">
        <f>"RHOU"</f>
        <v>RHOU</v>
      </c>
      <c r="B14967" t="s">
        <v>14</v>
      </c>
      <c r="C14967" t="s">
        <v>19</v>
      </c>
      <c r="D14967" t="s">
        <v>17</v>
      </c>
      <c r="E14967" t="s">
        <v>12</v>
      </c>
      <c r="F14967">
        <v>228871206</v>
      </c>
      <c r="G14967">
        <v>228871286</v>
      </c>
      <c r="H14967">
        <v>228871187</v>
      </c>
      <c r="I14967">
        <v>228871205</v>
      </c>
    </row>
    <row r="14968" spans="1:9" x14ac:dyDescent="0.2">
      <c r="A14968" s="1" t="str">
        <f>"RHOV"</f>
        <v>RHOV</v>
      </c>
      <c r="B14968" t="s">
        <v>14</v>
      </c>
      <c r="C14968" t="s">
        <v>25</v>
      </c>
      <c r="D14968" t="s">
        <v>11</v>
      </c>
      <c r="E14968" t="s">
        <v>12</v>
      </c>
      <c r="F14968">
        <v>41166414</v>
      </c>
      <c r="G14968">
        <v>41166443</v>
      </c>
      <c r="H14968">
        <v>41166251</v>
      </c>
      <c r="I14968">
        <v>41166256</v>
      </c>
    </row>
    <row r="14969" spans="1:9" x14ac:dyDescent="0.2">
      <c r="A14969" s="1" t="str">
        <f>"RHOXF1"</f>
        <v>RHOXF1</v>
      </c>
      <c r="B14969" t="s">
        <v>14</v>
      </c>
      <c r="C14969" t="s">
        <v>37</v>
      </c>
      <c r="D14969" t="s">
        <v>11</v>
      </c>
      <c r="E14969" t="s">
        <v>12</v>
      </c>
      <c r="F14969">
        <v>119250346</v>
      </c>
      <c r="G14969">
        <v>119250381</v>
      </c>
      <c r="H14969">
        <v>119249790</v>
      </c>
      <c r="I14969">
        <v>119249801</v>
      </c>
    </row>
    <row r="14970" spans="1:9" x14ac:dyDescent="0.2">
      <c r="A14970" s="1" t="str">
        <f>"RHOXF2"</f>
        <v>RHOXF2</v>
      </c>
      <c r="B14970" t="s">
        <v>1482</v>
      </c>
      <c r="C14970" t="s">
        <v>37</v>
      </c>
      <c r="D14970" t="s">
        <v>17</v>
      </c>
      <c r="E14970" t="s">
        <v>20</v>
      </c>
      <c r="F14970">
        <v>119292466</v>
      </c>
      <c r="G14970">
        <v>119292466</v>
      </c>
      <c r="H14970">
        <v>119292466</v>
      </c>
      <c r="I14970">
        <v>119292466</v>
      </c>
    </row>
    <row r="14971" spans="1:9" x14ac:dyDescent="0.2">
      <c r="A14971" s="1" t="str">
        <f>"RHOXF2B"</f>
        <v>RHOXF2B</v>
      </c>
      <c r="B14971" t="s">
        <v>1483</v>
      </c>
      <c r="C14971" t="s">
        <v>37</v>
      </c>
      <c r="D14971" t="s">
        <v>11</v>
      </c>
      <c r="E14971" t="s">
        <v>20</v>
      </c>
      <c r="F14971">
        <v>119211706</v>
      </c>
      <c r="G14971">
        <v>119211706</v>
      </c>
      <c r="H14971">
        <v>119211706</v>
      </c>
      <c r="I14971">
        <v>119211706</v>
      </c>
    </row>
    <row r="14972" spans="1:9" x14ac:dyDescent="0.2">
      <c r="A14972" s="1" t="str">
        <f>"RHPN1"</f>
        <v>RHPN1</v>
      </c>
      <c r="B14972" t="s">
        <v>14</v>
      </c>
      <c r="C14972" t="s">
        <v>30</v>
      </c>
      <c r="D14972" t="s">
        <v>17</v>
      </c>
      <c r="E14972" t="s">
        <v>12</v>
      </c>
      <c r="F14972">
        <v>144451039</v>
      </c>
      <c r="G14972">
        <v>144451054</v>
      </c>
      <c r="H14972">
        <v>144451007</v>
      </c>
      <c r="I14972">
        <v>144451031</v>
      </c>
    </row>
    <row r="14973" spans="1:9" x14ac:dyDescent="0.2">
      <c r="A14973" s="1" t="str">
        <f>"RHPN2"</f>
        <v>RHPN2</v>
      </c>
      <c r="B14973" t="s">
        <v>14</v>
      </c>
      <c r="C14973" t="s">
        <v>10</v>
      </c>
      <c r="D14973" t="s">
        <v>11</v>
      </c>
      <c r="E14973" t="s">
        <v>12</v>
      </c>
      <c r="F14973">
        <v>33555780</v>
      </c>
      <c r="G14973">
        <v>33555801</v>
      </c>
      <c r="H14973">
        <v>33555780</v>
      </c>
      <c r="I14973">
        <v>33555801</v>
      </c>
    </row>
    <row r="14974" spans="1:9" x14ac:dyDescent="0.2">
      <c r="A14974" s="1" t="str">
        <f>"RIBC1"</f>
        <v>RIBC1</v>
      </c>
      <c r="B14974" t="s">
        <v>14</v>
      </c>
      <c r="C14974" t="s">
        <v>37</v>
      </c>
      <c r="D14974" t="s">
        <v>17</v>
      </c>
      <c r="E14974" t="s">
        <v>12</v>
      </c>
      <c r="F14974">
        <v>53449844</v>
      </c>
      <c r="G14974">
        <v>53449863</v>
      </c>
      <c r="H14974">
        <v>53449230</v>
      </c>
      <c r="I14974">
        <v>53449272</v>
      </c>
    </row>
    <row r="14975" spans="1:9" x14ac:dyDescent="0.2">
      <c r="A14975" s="1" t="str">
        <f>"RIBC2"</f>
        <v>RIBC2</v>
      </c>
      <c r="B14975" t="s">
        <v>14</v>
      </c>
      <c r="C14975" t="s">
        <v>21</v>
      </c>
      <c r="D14975" t="s">
        <v>17</v>
      </c>
      <c r="E14975" t="s">
        <v>12</v>
      </c>
      <c r="F14975">
        <v>45809560</v>
      </c>
      <c r="G14975">
        <v>45809628</v>
      </c>
      <c r="H14975">
        <v>45809560</v>
      </c>
      <c r="I14975">
        <v>45809628</v>
      </c>
    </row>
    <row r="14976" spans="1:9" x14ac:dyDescent="0.2">
      <c r="A14976" s="1" t="str">
        <f>"RIC3"</f>
        <v>RIC3</v>
      </c>
      <c r="B14976" t="s">
        <v>14</v>
      </c>
      <c r="C14976" t="s">
        <v>27</v>
      </c>
      <c r="D14976" t="s">
        <v>11</v>
      </c>
      <c r="E14976" t="s">
        <v>12</v>
      </c>
      <c r="F14976">
        <v>8190534</v>
      </c>
      <c r="G14976">
        <v>8190595</v>
      </c>
      <c r="H14976">
        <v>8190534</v>
      </c>
      <c r="I14976">
        <v>8190595</v>
      </c>
    </row>
    <row r="14977" spans="1:9" x14ac:dyDescent="0.2">
      <c r="A14977" s="1" t="str">
        <f>"RIC8A"</f>
        <v>RIC8A</v>
      </c>
      <c r="B14977" t="s">
        <v>9</v>
      </c>
      <c r="C14977" t="s">
        <v>27</v>
      </c>
      <c r="D14977" t="s">
        <v>17</v>
      </c>
      <c r="E14977" t="s">
        <v>12</v>
      </c>
      <c r="F14977">
        <v>207689</v>
      </c>
      <c r="G14977">
        <v>207719</v>
      </c>
      <c r="H14977">
        <v>207689</v>
      </c>
      <c r="I14977">
        <v>207719</v>
      </c>
    </row>
    <row r="14978" spans="1:9" x14ac:dyDescent="0.2">
      <c r="A14978" s="1" t="str">
        <f>"RIC8A"</f>
        <v>RIC8A</v>
      </c>
      <c r="B14978" t="s">
        <v>13</v>
      </c>
      <c r="C14978" t="s">
        <v>27</v>
      </c>
      <c r="D14978" t="s">
        <v>17</v>
      </c>
      <c r="E14978" t="s">
        <v>12</v>
      </c>
      <c r="F14978">
        <v>208773</v>
      </c>
      <c r="G14978">
        <v>208814</v>
      </c>
      <c r="H14978">
        <v>208773</v>
      </c>
      <c r="I14978">
        <v>208814</v>
      </c>
    </row>
    <row r="14979" spans="1:9" x14ac:dyDescent="0.2">
      <c r="A14979" s="1" t="str">
        <f>"RIC8B"</f>
        <v>RIC8B</v>
      </c>
      <c r="B14979" t="s">
        <v>14</v>
      </c>
      <c r="C14979" t="s">
        <v>16</v>
      </c>
      <c r="D14979" t="s">
        <v>17</v>
      </c>
      <c r="E14979" t="s">
        <v>12</v>
      </c>
      <c r="F14979">
        <v>107168436</v>
      </c>
      <c r="G14979">
        <v>107168475</v>
      </c>
      <c r="H14979">
        <v>107168342</v>
      </c>
      <c r="I14979">
        <v>107168393</v>
      </c>
    </row>
    <row r="14980" spans="1:9" x14ac:dyDescent="0.2">
      <c r="A14980" s="1" t="str">
        <f>"RICTOR"</f>
        <v>RICTOR</v>
      </c>
      <c r="B14980" t="s">
        <v>14</v>
      </c>
      <c r="C14980" t="s">
        <v>46</v>
      </c>
      <c r="D14980" t="s">
        <v>11</v>
      </c>
      <c r="E14980" t="s">
        <v>12</v>
      </c>
      <c r="F14980">
        <v>39074479</v>
      </c>
      <c r="G14980">
        <v>39074515</v>
      </c>
      <c r="H14980">
        <v>39074479</v>
      </c>
      <c r="I14980">
        <v>39074515</v>
      </c>
    </row>
    <row r="14981" spans="1:9" x14ac:dyDescent="0.2">
      <c r="A14981" s="1" t="str">
        <f>"RIF1"</f>
        <v>RIF1</v>
      </c>
      <c r="B14981" t="s">
        <v>14</v>
      </c>
      <c r="C14981" t="s">
        <v>26</v>
      </c>
      <c r="D14981" t="s">
        <v>17</v>
      </c>
      <c r="E14981" t="s">
        <v>12</v>
      </c>
      <c r="F14981">
        <v>152266392</v>
      </c>
      <c r="G14981">
        <v>152266482</v>
      </c>
      <c r="H14981">
        <v>152266664</v>
      </c>
      <c r="I14981">
        <v>152266683</v>
      </c>
    </row>
    <row r="14982" spans="1:9" x14ac:dyDescent="0.2">
      <c r="A14982" s="1" t="str">
        <f>"RIIAD1"</f>
        <v>RIIAD1</v>
      </c>
      <c r="B14982" t="s">
        <v>9</v>
      </c>
      <c r="C14982" t="s">
        <v>19</v>
      </c>
      <c r="D14982" t="s">
        <v>17</v>
      </c>
      <c r="E14982" t="s">
        <v>12</v>
      </c>
      <c r="F14982">
        <v>151693984</v>
      </c>
      <c r="G14982">
        <v>151694016</v>
      </c>
      <c r="H14982">
        <v>151693984</v>
      </c>
      <c r="I14982">
        <v>151694016</v>
      </c>
    </row>
    <row r="14983" spans="1:9" x14ac:dyDescent="0.2">
      <c r="A14983" s="1" t="str">
        <f>"RIIAD1"</f>
        <v>RIIAD1</v>
      </c>
      <c r="B14983" t="s">
        <v>13</v>
      </c>
      <c r="C14983" t="s">
        <v>19</v>
      </c>
      <c r="D14983" t="s">
        <v>17</v>
      </c>
      <c r="E14983" t="s">
        <v>12</v>
      </c>
      <c r="F14983">
        <v>151700765</v>
      </c>
      <c r="G14983">
        <v>151700783</v>
      </c>
      <c r="H14983">
        <v>151700765</v>
      </c>
      <c r="I14983">
        <v>151700783</v>
      </c>
    </row>
    <row r="14984" spans="1:9" x14ac:dyDescent="0.2">
      <c r="A14984" s="1" t="str">
        <f>"RILP"</f>
        <v>RILP</v>
      </c>
      <c r="B14984" t="s">
        <v>14</v>
      </c>
      <c r="C14984" t="s">
        <v>28</v>
      </c>
      <c r="D14984" t="s">
        <v>11</v>
      </c>
      <c r="E14984" t="s">
        <v>12</v>
      </c>
      <c r="F14984">
        <v>1553148</v>
      </c>
      <c r="G14984">
        <v>1553173</v>
      </c>
      <c r="H14984">
        <v>1553346</v>
      </c>
      <c r="I14984">
        <v>1553377</v>
      </c>
    </row>
    <row r="14985" spans="1:9" x14ac:dyDescent="0.2">
      <c r="A14985" s="1" t="str">
        <f>"RILPL1"</f>
        <v>RILPL1</v>
      </c>
      <c r="B14985" t="s">
        <v>14</v>
      </c>
      <c r="C14985" t="s">
        <v>16</v>
      </c>
      <c r="D14985" t="s">
        <v>11</v>
      </c>
      <c r="E14985" t="s">
        <v>12</v>
      </c>
      <c r="F14985">
        <v>124018252</v>
      </c>
      <c r="G14985">
        <v>124018279</v>
      </c>
      <c r="H14985">
        <v>124018456</v>
      </c>
      <c r="I14985">
        <v>124018484</v>
      </c>
    </row>
    <row r="14986" spans="1:9" x14ac:dyDescent="0.2">
      <c r="A14986" s="1" t="str">
        <f>"RILPL2"</f>
        <v>RILPL2</v>
      </c>
      <c r="B14986" t="s">
        <v>14</v>
      </c>
      <c r="C14986" t="s">
        <v>16</v>
      </c>
      <c r="D14986" t="s">
        <v>11</v>
      </c>
      <c r="E14986" t="s">
        <v>12</v>
      </c>
      <c r="F14986">
        <v>123920991</v>
      </c>
      <c r="G14986">
        <v>123921047</v>
      </c>
      <c r="H14986">
        <v>123921181</v>
      </c>
      <c r="I14986">
        <v>123921209</v>
      </c>
    </row>
    <row r="14987" spans="1:9" x14ac:dyDescent="0.2">
      <c r="A14987" s="1" t="str">
        <f>"RIMBP2"</f>
        <v>RIMBP2</v>
      </c>
      <c r="B14987" t="s">
        <v>1484</v>
      </c>
      <c r="C14987" t="s">
        <v>16</v>
      </c>
      <c r="D14987" t="s">
        <v>11</v>
      </c>
      <c r="E14987" t="s">
        <v>20</v>
      </c>
      <c r="F14987">
        <v>131002409</v>
      </c>
      <c r="G14987">
        <v>131002409</v>
      </c>
      <c r="H14987">
        <v>131002409</v>
      </c>
      <c r="I14987">
        <v>131002409</v>
      </c>
    </row>
    <row r="14988" spans="1:9" x14ac:dyDescent="0.2">
      <c r="A14988" s="1" t="str">
        <f>"RIMBP3"</f>
        <v>RIMBP3</v>
      </c>
      <c r="B14988" t="s">
        <v>1485</v>
      </c>
      <c r="C14988" t="s">
        <v>21</v>
      </c>
      <c r="D14988" t="s">
        <v>11</v>
      </c>
      <c r="E14988" t="s">
        <v>20</v>
      </c>
      <c r="F14988">
        <v>20461785</v>
      </c>
      <c r="G14988">
        <v>20461785</v>
      </c>
      <c r="H14988">
        <v>20461785</v>
      </c>
      <c r="I14988">
        <v>20461785</v>
      </c>
    </row>
    <row r="14989" spans="1:9" x14ac:dyDescent="0.2">
      <c r="A14989" s="1" t="str">
        <f>"RIMBP3B"</f>
        <v>RIMBP3B</v>
      </c>
      <c r="B14989" t="s">
        <v>1486</v>
      </c>
      <c r="C14989" t="s">
        <v>21</v>
      </c>
      <c r="D14989" t="s">
        <v>17</v>
      </c>
      <c r="E14989" t="s">
        <v>20</v>
      </c>
      <c r="F14989">
        <v>21737662</v>
      </c>
      <c r="G14989">
        <v>21737662</v>
      </c>
      <c r="H14989">
        <v>21737662</v>
      </c>
      <c r="I14989">
        <v>21737662</v>
      </c>
    </row>
    <row r="14990" spans="1:9" x14ac:dyDescent="0.2">
      <c r="A14990" s="1" t="str">
        <f>"RIMBP3C"</f>
        <v>RIMBP3C</v>
      </c>
      <c r="B14990" t="s">
        <v>1487</v>
      </c>
      <c r="C14990" t="s">
        <v>21</v>
      </c>
      <c r="D14990" t="s">
        <v>11</v>
      </c>
      <c r="E14990" t="s">
        <v>20</v>
      </c>
      <c r="F14990">
        <v>21905119</v>
      </c>
      <c r="G14990">
        <v>21905119</v>
      </c>
      <c r="H14990">
        <v>21905119</v>
      </c>
      <c r="I14990">
        <v>21905119</v>
      </c>
    </row>
    <row r="14991" spans="1:9" x14ac:dyDescent="0.2">
      <c r="A14991" s="1" t="str">
        <f>"RIMBP3C"</f>
        <v>RIMBP3C</v>
      </c>
      <c r="B14991" t="s">
        <v>1488</v>
      </c>
      <c r="C14991" t="s">
        <v>21</v>
      </c>
      <c r="D14991" t="s">
        <v>11</v>
      </c>
      <c r="E14991" t="s">
        <v>20</v>
      </c>
      <c r="F14991">
        <v>21905749</v>
      </c>
      <c r="G14991">
        <v>21905749</v>
      </c>
      <c r="H14991">
        <v>21905749</v>
      </c>
      <c r="I14991">
        <v>21905749</v>
      </c>
    </row>
    <row r="14992" spans="1:9" x14ac:dyDescent="0.2">
      <c r="A14992" s="1" t="str">
        <f>"RIMKLA"</f>
        <v>RIMKLA</v>
      </c>
      <c r="B14992" t="s">
        <v>14</v>
      </c>
      <c r="C14992" t="s">
        <v>19</v>
      </c>
      <c r="D14992" t="s">
        <v>17</v>
      </c>
      <c r="E14992" t="s">
        <v>12</v>
      </c>
      <c r="F14992">
        <v>42846443</v>
      </c>
      <c r="G14992">
        <v>42846502</v>
      </c>
      <c r="H14992">
        <v>42846517</v>
      </c>
      <c r="I14992">
        <v>42846528</v>
      </c>
    </row>
    <row r="14993" spans="1:9" x14ac:dyDescent="0.2">
      <c r="A14993" s="1" t="str">
        <f>"RIMKLB"</f>
        <v>RIMKLB</v>
      </c>
      <c r="B14993" t="s">
        <v>14</v>
      </c>
      <c r="C14993" t="s">
        <v>16</v>
      </c>
      <c r="D14993" t="s">
        <v>17</v>
      </c>
      <c r="E14993" t="s">
        <v>12</v>
      </c>
      <c r="F14993">
        <v>8850541</v>
      </c>
      <c r="G14993">
        <v>8850608</v>
      </c>
      <c r="H14993">
        <v>8850471</v>
      </c>
      <c r="I14993">
        <v>8850534</v>
      </c>
    </row>
    <row r="14994" spans="1:9" x14ac:dyDescent="0.2">
      <c r="A14994" s="1" t="str">
        <f>"RIMS1"</f>
        <v>RIMS1</v>
      </c>
      <c r="B14994" t="s">
        <v>14</v>
      </c>
      <c r="C14994" t="s">
        <v>32</v>
      </c>
      <c r="D14994" t="s">
        <v>17</v>
      </c>
      <c r="E14994" t="s">
        <v>12</v>
      </c>
      <c r="F14994">
        <v>72596604</v>
      </c>
      <c r="G14994">
        <v>72596697</v>
      </c>
      <c r="H14994">
        <v>72596229</v>
      </c>
      <c r="I14994">
        <v>72596272</v>
      </c>
    </row>
    <row r="14995" spans="1:9" x14ac:dyDescent="0.2">
      <c r="A14995" s="1" t="str">
        <f>"RIMS2"</f>
        <v>RIMS2</v>
      </c>
      <c r="B14995" t="s">
        <v>1489</v>
      </c>
      <c r="C14995" t="s">
        <v>30</v>
      </c>
      <c r="D14995" t="s">
        <v>17</v>
      </c>
      <c r="E14995" t="s">
        <v>35</v>
      </c>
      <c r="F14995">
        <v>104512970</v>
      </c>
      <c r="G14995">
        <v>104512992</v>
      </c>
      <c r="H14995">
        <v>104513217</v>
      </c>
      <c r="I14995">
        <v>104513254</v>
      </c>
    </row>
    <row r="14996" spans="1:9" x14ac:dyDescent="0.2">
      <c r="A14996" s="1" t="str">
        <f>"RIMS3"</f>
        <v>RIMS3</v>
      </c>
      <c r="B14996" t="s">
        <v>14</v>
      </c>
      <c r="C14996" t="s">
        <v>19</v>
      </c>
      <c r="D14996" t="s">
        <v>11</v>
      </c>
      <c r="E14996" t="s">
        <v>12</v>
      </c>
      <c r="F14996">
        <v>41131326</v>
      </c>
      <c r="G14996">
        <v>41131400</v>
      </c>
      <c r="H14996">
        <v>41131141</v>
      </c>
      <c r="I14996">
        <v>41131146</v>
      </c>
    </row>
    <row r="14997" spans="1:9" x14ac:dyDescent="0.2">
      <c r="A14997" s="1" t="str">
        <f>"RIMS4"</f>
        <v>RIMS4</v>
      </c>
      <c r="B14997" t="s">
        <v>14</v>
      </c>
      <c r="C14997" t="s">
        <v>29</v>
      </c>
      <c r="D14997" t="s">
        <v>11</v>
      </c>
      <c r="E14997" t="s">
        <v>12</v>
      </c>
      <c r="F14997">
        <v>43439119</v>
      </c>
      <c r="G14997">
        <v>43439165</v>
      </c>
      <c r="H14997">
        <v>43439119</v>
      </c>
      <c r="I14997">
        <v>43439165</v>
      </c>
    </row>
    <row r="14998" spans="1:9" x14ac:dyDescent="0.2">
      <c r="A14998" s="1" t="str">
        <f>"RIN1"</f>
        <v>RIN1</v>
      </c>
      <c r="B14998" t="s">
        <v>14</v>
      </c>
      <c r="C14998" t="s">
        <v>27</v>
      </c>
      <c r="D14998" t="s">
        <v>11</v>
      </c>
      <c r="E14998" t="s">
        <v>12</v>
      </c>
      <c r="F14998">
        <v>66103867</v>
      </c>
      <c r="G14998">
        <v>66103923</v>
      </c>
      <c r="H14998">
        <v>66103136</v>
      </c>
      <c r="I14998">
        <v>66103189</v>
      </c>
    </row>
    <row r="14999" spans="1:9" x14ac:dyDescent="0.2">
      <c r="A14999" s="1" t="str">
        <f>"RIN2"</f>
        <v>RIN2</v>
      </c>
      <c r="B14999" t="s">
        <v>1490</v>
      </c>
      <c r="C14999" t="s">
        <v>29</v>
      </c>
      <c r="D14999" t="s">
        <v>17</v>
      </c>
      <c r="E14999" t="s">
        <v>35</v>
      </c>
      <c r="F14999">
        <v>19867009</v>
      </c>
      <c r="G14999">
        <v>19867024</v>
      </c>
      <c r="H14999">
        <v>19867269</v>
      </c>
      <c r="I14999">
        <v>19867283</v>
      </c>
    </row>
    <row r="15000" spans="1:9" x14ac:dyDescent="0.2">
      <c r="A15000" s="1" t="str">
        <f>"RIN3"</f>
        <v>RIN3</v>
      </c>
      <c r="B15000" t="s">
        <v>14</v>
      </c>
      <c r="C15000" t="s">
        <v>41</v>
      </c>
      <c r="D15000" t="s">
        <v>17</v>
      </c>
      <c r="E15000" t="s">
        <v>12</v>
      </c>
      <c r="F15000">
        <v>92980111</v>
      </c>
      <c r="G15000">
        <v>92980190</v>
      </c>
      <c r="H15000">
        <v>92980111</v>
      </c>
      <c r="I15000">
        <v>92980190</v>
      </c>
    </row>
    <row r="15001" spans="1:9" x14ac:dyDescent="0.2">
      <c r="A15001" s="1" t="str">
        <f>"RING1"</f>
        <v>RING1</v>
      </c>
      <c r="B15001" t="s">
        <v>14</v>
      </c>
      <c r="C15001" t="s">
        <v>32</v>
      </c>
      <c r="D15001" t="s">
        <v>17</v>
      </c>
      <c r="E15001" t="s">
        <v>12</v>
      </c>
      <c r="F15001">
        <v>33176265</v>
      </c>
      <c r="G15001">
        <v>33176299</v>
      </c>
      <c r="H15001">
        <v>33176265</v>
      </c>
      <c r="I15001">
        <v>33176299</v>
      </c>
    </row>
    <row r="15002" spans="1:9" x14ac:dyDescent="0.2">
      <c r="A15002" s="1" t="str">
        <f>"RINL"</f>
        <v>RINL</v>
      </c>
      <c r="B15002" t="s">
        <v>9</v>
      </c>
      <c r="C15002" t="s">
        <v>10</v>
      </c>
      <c r="D15002" t="s">
        <v>11</v>
      </c>
      <c r="E15002" t="s">
        <v>12</v>
      </c>
      <c r="F15002">
        <v>39368887</v>
      </c>
      <c r="G15002">
        <v>39368935</v>
      </c>
      <c r="H15002">
        <v>39368887</v>
      </c>
      <c r="I15002">
        <v>39368935</v>
      </c>
    </row>
    <row r="15003" spans="1:9" x14ac:dyDescent="0.2">
      <c r="A15003" s="1" t="str">
        <f>"RINL"</f>
        <v>RINL</v>
      </c>
      <c r="B15003" t="s">
        <v>13</v>
      </c>
      <c r="C15003" t="s">
        <v>10</v>
      </c>
      <c r="D15003" t="s">
        <v>11</v>
      </c>
      <c r="E15003" t="s">
        <v>12</v>
      </c>
      <c r="F15003">
        <v>39360664</v>
      </c>
      <c r="G15003">
        <v>39360735</v>
      </c>
      <c r="H15003">
        <v>39360664</v>
      </c>
      <c r="I15003">
        <v>39360735</v>
      </c>
    </row>
    <row r="15004" spans="1:9" x14ac:dyDescent="0.2">
      <c r="A15004" s="1" t="str">
        <f>"RINT1"</f>
        <v>RINT1</v>
      </c>
      <c r="B15004" t="s">
        <v>14</v>
      </c>
      <c r="C15004" t="s">
        <v>33</v>
      </c>
      <c r="D15004" t="s">
        <v>17</v>
      </c>
      <c r="E15004" t="s">
        <v>12</v>
      </c>
      <c r="F15004">
        <v>105172612</v>
      </c>
      <c r="G15004">
        <v>105172673</v>
      </c>
      <c r="H15004">
        <v>105172676</v>
      </c>
      <c r="I15004">
        <v>105172691</v>
      </c>
    </row>
    <row r="15005" spans="1:9" x14ac:dyDescent="0.2">
      <c r="A15005" s="1" t="str">
        <f>"RIOK1"</f>
        <v>RIOK1</v>
      </c>
      <c r="B15005" t="s">
        <v>14</v>
      </c>
      <c r="C15005" t="s">
        <v>32</v>
      </c>
      <c r="D15005" t="s">
        <v>17</v>
      </c>
      <c r="E15005" t="s">
        <v>12</v>
      </c>
      <c r="F15005">
        <v>7390007</v>
      </c>
      <c r="G15005">
        <v>7390116</v>
      </c>
      <c r="H15005">
        <v>7390179</v>
      </c>
      <c r="I15005">
        <v>7390201</v>
      </c>
    </row>
    <row r="15006" spans="1:9" x14ac:dyDescent="0.2">
      <c r="A15006" s="1" t="str">
        <f>"RIOK2"</f>
        <v>RIOK2</v>
      </c>
      <c r="B15006" t="s">
        <v>14</v>
      </c>
      <c r="C15006" t="s">
        <v>46</v>
      </c>
      <c r="D15006" t="s">
        <v>11</v>
      </c>
      <c r="E15006" t="s">
        <v>12</v>
      </c>
      <c r="F15006">
        <v>96518907</v>
      </c>
      <c r="G15006">
        <v>96518997</v>
      </c>
      <c r="H15006">
        <v>96518907</v>
      </c>
      <c r="I15006">
        <v>96518997</v>
      </c>
    </row>
    <row r="15007" spans="1:9" x14ac:dyDescent="0.2">
      <c r="A15007" s="1" t="str">
        <f>"RIOK3"</f>
        <v>RIOK3</v>
      </c>
      <c r="B15007" t="s">
        <v>14</v>
      </c>
      <c r="C15007" t="s">
        <v>43</v>
      </c>
      <c r="D15007" t="s">
        <v>17</v>
      </c>
      <c r="E15007" t="s">
        <v>12</v>
      </c>
      <c r="F15007">
        <v>21033239</v>
      </c>
      <c r="G15007">
        <v>21033302</v>
      </c>
      <c r="H15007">
        <v>21033239</v>
      </c>
      <c r="I15007">
        <v>21033302</v>
      </c>
    </row>
    <row r="15008" spans="1:9" x14ac:dyDescent="0.2">
      <c r="A15008" s="1" t="str">
        <f>"RIPK1"</f>
        <v>RIPK1</v>
      </c>
      <c r="B15008" t="s">
        <v>9</v>
      </c>
      <c r="C15008" t="s">
        <v>32</v>
      </c>
      <c r="D15008" t="s">
        <v>17</v>
      </c>
      <c r="E15008" t="s">
        <v>12</v>
      </c>
      <c r="F15008">
        <v>3068721</v>
      </c>
      <c r="G15008">
        <v>3068795</v>
      </c>
      <c r="H15008">
        <v>3068721</v>
      </c>
      <c r="I15008">
        <v>3068795</v>
      </c>
    </row>
    <row r="15009" spans="1:9" x14ac:dyDescent="0.2">
      <c r="A15009" s="1" t="str">
        <f>"RIPK1"</f>
        <v>RIPK1</v>
      </c>
      <c r="B15009" t="s">
        <v>13</v>
      </c>
      <c r="C15009" t="s">
        <v>32</v>
      </c>
      <c r="D15009" t="s">
        <v>17</v>
      </c>
      <c r="E15009" t="s">
        <v>12</v>
      </c>
      <c r="F15009">
        <v>3064192</v>
      </c>
      <c r="G15009">
        <v>3064208</v>
      </c>
      <c r="H15009">
        <v>3064192</v>
      </c>
      <c r="I15009">
        <v>3064208</v>
      </c>
    </row>
    <row r="15010" spans="1:9" x14ac:dyDescent="0.2">
      <c r="A15010" s="1" t="str">
        <f>"RIPK2"</f>
        <v>RIPK2</v>
      </c>
      <c r="B15010" t="s">
        <v>14</v>
      </c>
      <c r="C15010" t="s">
        <v>30</v>
      </c>
      <c r="D15010" t="s">
        <v>17</v>
      </c>
      <c r="E15010" t="s">
        <v>12</v>
      </c>
      <c r="F15010">
        <v>90770008</v>
      </c>
      <c r="G15010">
        <v>90770092</v>
      </c>
      <c r="H15010">
        <v>90770100</v>
      </c>
      <c r="I15010">
        <v>90770114</v>
      </c>
    </row>
    <row r="15011" spans="1:9" x14ac:dyDescent="0.2">
      <c r="A15011" s="1" t="str">
        <f>"RIPK3"</f>
        <v>RIPK3</v>
      </c>
      <c r="B15011" t="s">
        <v>14</v>
      </c>
      <c r="C15011" t="s">
        <v>41</v>
      </c>
      <c r="D15011" t="s">
        <v>11</v>
      </c>
      <c r="E15011" t="s">
        <v>12</v>
      </c>
      <c r="F15011">
        <v>24809154</v>
      </c>
      <c r="G15011">
        <v>24809215</v>
      </c>
      <c r="H15011">
        <v>24809228</v>
      </c>
      <c r="I15011">
        <v>24809234</v>
      </c>
    </row>
    <row r="15012" spans="1:9" x14ac:dyDescent="0.2">
      <c r="A15012" s="1" t="str">
        <f>"RIPK4"</f>
        <v>RIPK4</v>
      </c>
      <c r="B15012" t="s">
        <v>14</v>
      </c>
      <c r="C15012" t="s">
        <v>42</v>
      </c>
      <c r="D15012" t="s">
        <v>11</v>
      </c>
      <c r="E15012" t="s">
        <v>12</v>
      </c>
      <c r="F15012">
        <v>43187202</v>
      </c>
      <c r="G15012">
        <v>43187218</v>
      </c>
      <c r="H15012">
        <v>43187231</v>
      </c>
      <c r="I15012">
        <v>43187261</v>
      </c>
    </row>
    <row r="15013" spans="1:9" x14ac:dyDescent="0.2">
      <c r="A15013" s="1" t="str">
        <f>"RIPPLY1"</f>
        <v>RIPPLY1</v>
      </c>
      <c r="B15013" t="s">
        <v>14</v>
      </c>
      <c r="C15013" t="s">
        <v>37</v>
      </c>
      <c r="D15013" t="s">
        <v>11</v>
      </c>
      <c r="E15013" t="s">
        <v>12</v>
      </c>
      <c r="F15013">
        <v>106146562</v>
      </c>
      <c r="G15013">
        <v>106146577</v>
      </c>
      <c r="H15013">
        <v>106146585</v>
      </c>
      <c r="I15013">
        <v>106146594</v>
      </c>
    </row>
    <row r="15014" spans="1:9" x14ac:dyDescent="0.2">
      <c r="A15014" s="1" t="str">
        <f>"RIPPLY2"</f>
        <v>RIPPLY2</v>
      </c>
      <c r="B15014" t="s">
        <v>14</v>
      </c>
      <c r="C15014" t="s">
        <v>32</v>
      </c>
      <c r="D15014" t="s">
        <v>17</v>
      </c>
      <c r="E15014" t="s">
        <v>12</v>
      </c>
      <c r="F15014">
        <v>84563295</v>
      </c>
      <c r="G15014">
        <v>84563355</v>
      </c>
      <c r="H15014">
        <v>84563257</v>
      </c>
      <c r="I15014">
        <v>84563268</v>
      </c>
    </row>
    <row r="15015" spans="1:9" x14ac:dyDescent="0.2">
      <c r="A15015" s="1" t="str">
        <f>"RIPPLY3"</f>
        <v>RIPPLY3</v>
      </c>
      <c r="B15015" t="s">
        <v>14</v>
      </c>
      <c r="C15015" t="s">
        <v>42</v>
      </c>
      <c r="D15015" t="s">
        <v>17</v>
      </c>
      <c r="E15015" t="s">
        <v>12</v>
      </c>
      <c r="F15015">
        <v>38378994</v>
      </c>
      <c r="G15015">
        <v>38379025</v>
      </c>
      <c r="H15015">
        <v>38378800</v>
      </c>
      <c r="I15015">
        <v>38378849</v>
      </c>
    </row>
    <row r="15016" spans="1:9" x14ac:dyDescent="0.2">
      <c r="A15016" s="1" t="str">
        <f>"RIT1"</f>
        <v>RIT1</v>
      </c>
      <c r="B15016" t="s">
        <v>14</v>
      </c>
      <c r="C15016" t="s">
        <v>19</v>
      </c>
      <c r="D15016" t="s">
        <v>11</v>
      </c>
      <c r="E15016" t="s">
        <v>12</v>
      </c>
      <c r="F15016">
        <v>155881156</v>
      </c>
      <c r="G15016">
        <v>155881210</v>
      </c>
      <c r="H15016">
        <v>155881131</v>
      </c>
      <c r="I15016">
        <v>155881152</v>
      </c>
    </row>
    <row r="15017" spans="1:9" x14ac:dyDescent="0.2">
      <c r="A15017" s="1" t="str">
        <f>"RIT2"</f>
        <v>RIT2</v>
      </c>
      <c r="B15017" t="s">
        <v>14</v>
      </c>
      <c r="C15017" t="s">
        <v>43</v>
      </c>
      <c r="D15017" t="s">
        <v>11</v>
      </c>
      <c r="E15017" t="s">
        <v>12</v>
      </c>
      <c r="F15017">
        <v>40695604</v>
      </c>
      <c r="G15017">
        <v>40695667</v>
      </c>
      <c r="H15017">
        <v>40695544</v>
      </c>
      <c r="I15017">
        <v>40695577</v>
      </c>
    </row>
    <row r="15018" spans="1:9" x14ac:dyDescent="0.2">
      <c r="A15018" s="1" t="str">
        <f>"RLBP1"</f>
        <v>RLBP1</v>
      </c>
      <c r="B15018" t="s">
        <v>14</v>
      </c>
      <c r="C15018" t="s">
        <v>25</v>
      </c>
      <c r="D15018" t="s">
        <v>11</v>
      </c>
      <c r="E15018" t="s">
        <v>12</v>
      </c>
      <c r="F15018">
        <v>89764789</v>
      </c>
      <c r="G15018">
        <v>89764850</v>
      </c>
      <c r="H15018">
        <v>89764876</v>
      </c>
      <c r="I15018">
        <v>89764890</v>
      </c>
    </row>
    <row r="15019" spans="1:9" x14ac:dyDescent="0.2">
      <c r="A15019" s="1" t="str">
        <f>"RLF"</f>
        <v>RLF</v>
      </c>
      <c r="B15019" t="s">
        <v>14</v>
      </c>
      <c r="C15019" t="s">
        <v>19</v>
      </c>
      <c r="D15019" t="s">
        <v>17</v>
      </c>
      <c r="E15019" t="s">
        <v>12</v>
      </c>
      <c r="F15019">
        <v>40627038</v>
      </c>
      <c r="G15019">
        <v>40627071</v>
      </c>
      <c r="H15019">
        <v>40627028</v>
      </c>
      <c r="I15019">
        <v>40627037</v>
      </c>
    </row>
    <row r="15020" spans="1:9" x14ac:dyDescent="0.2">
      <c r="A15020" s="1" t="str">
        <f>"RLIM"</f>
        <v>RLIM</v>
      </c>
      <c r="B15020" t="s">
        <v>14</v>
      </c>
      <c r="C15020" t="s">
        <v>37</v>
      </c>
      <c r="D15020" t="s">
        <v>11</v>
      </c>
      <c r="E15020" t="s">
        <v>12</v>
      </c>
      <c r="F15020">
        <v>73834449</v>
      </c>
      <c r="G15020">
        <v>73834481</v>
      </c>
      <c r="H15020">
        <v>73834386</v>
      </c>
      <c r="I15020">
        <v>73834435</v>
      </c>
    </row>
    <row r="15021" spans="1:9" x14ac:dyDescent="0.2">
      <c r="A15021" s="1" t="str">
        <f>"RLN1"</f>
        <v>RLN1</v>
      </c>
      <c r="B15021" t="s">
        <v>14</v>
      </c>
      <c r="C15021" t="s">
        <v>24</v>
      </c>
      <c r="D15021" t="s">
        <v>11</v>
      </c>
      <c r="E15021" t="s">
        <v>12</v>
      </c>
      <c r="F15021">
        <v>5339875</v>
      </c>
      <c r="G15021">
        <v>5339881</v>
      </c>
      <c r="H15021">
        <v>5339875</v>
      </c>
      <c r="I15021">
        <v>5339881</v>
      </c>
    </row>
    <row r="15022" spans="1:9" x14ac:dyDescent="0.2">
      <c r="A15022" s="1" t="str">
        <f>"RLN2"</f>
        <v>RLN2</v>
      </c>
      <c r="B15022" t="s">
        <v>14</v>
      </c>
      <c r="C15022" t="s">
        <v>24</v>
      </c>
      <c r="D15022" t="s">
        <v>11</v>
      </c>
      <c r="E15022" t="s">
        <v>12</v>
      </c>
      <c r="F15022">
        <v>5304713</v>
      </c>
      <c r="G15022">
        <v>5304719</v>
      </c>
      <c r="H15022">
        <v>5304713</v>
      </c>
      <c r="I15022">
        <v>5304719</v>
      </c>
    </row>
    <row r="15023" spans="1:9" x14ac:dyDescent="0.2">
      <c r="A15023" s="1" t="str">
        <f>"RLN3"</f>
        <v>RLN3</v>
      </c>
      <c r="B15023" t="s">
        <v>1491</v>
      </c>
      <c r="C15023" t="s">
        <v>10</v>
      </c>
      <c r="D15023" t="s">
        <v>17</v>
      </c>
      <c r="E15023" t="s">
        <v>20</v>
      </c>
      <c r="F15023">
        <v>14138959</v>
      </c>
      <c r="G15023">
        <v>14138959</v>
      </c>
      <c r="H15023">
        <v>14138959</v>
      </c>
      <c r="I15023">
        <v>14138959</v>
      </c>
    </row>
    <row r="15024" spans="1:9" x14ac:dyDescent="0.2">
      <c r="A15024" s="1" t="str">
        <f>"RLTPR"</f>
        <v>RLTPR</v>
      </c>
      <c r="B15024" t="s">
        <v>9</v>
      </c>
      <c r="C15024" t="s">
        <v>31</v>
      </c>
      <c r="D15024" t="s">
        <v>17</v>
      </c>
      <c r="E15024" t="s">
        <v>12</v>
      </c>
      <c r="F15024">
        <v>67686825</v>
      </c>
      <c r="G15024">
        <v>67686934</v>
      </c>
      <c r="H15024">
        <v>67686825</v>
      </c>
      <c r="I15024">
        <v>67686934</v>
      </c>
    </row>
    <row r="15025" spans="1:9" x14ac:dyDescent="0.2">
      <c r="A15025" s="1" t="str">
        <f>"RLTPR"</f>
        <v>RLTPR</v>
      </c>
      <c r="B15025" t="s">
        <v>13</v>
      </c>
      <c r="C15025" t="s">
        <v>31</v>
      </c>
      <c r="D15025" t="s">
        <v>17</v>
      </c>
      <c r="E15025" t="s">
        <v>12</v>
      </c>
      <c r="F15025">
        <v>67679069</v>
      </c>
      <c r="G15025">
        <v>67679109</v>
      </c>
      <c r="H15025">
        <v>67679069</v>
      </c>
      <c r="I15025">
        <v>67679109</v>
      </c>
    </row>
    <row r="15026" spans="1:9" x14ac:dyDescent="0.2">
      <c r="A15026" s="1" t="str">
        <f>"RMDN1"</f>
        <v>RMDN1</v>
      </c>
      <c r="B15026" t="s">
        <v>14</v>
      </c>
      <c r="C15026" t="s">
        <v>30</v>
      </c>
      <c r="D15026" t="s">
        <v>11</v>
      </c>
      <c r="E15026" t="s">
        <v>12</v>
      </c>
      <c r="F15026">
        <v>87520849</v>
      </c>
      <c r="G15026">
        <v>87520925</v>
      </c>
      <c r="H15026">
        <v>87520971</v>
      </c>
      <c r="I15026">
        <v>87520989</v>
      </c>
    </row>
    <row r="15027" spans="1:9" x14ac:dyDescent="0.2">
      <c r="A15027" s="1" t="str">
        <f>"RMDN2"</f>
        <v>RMDN2</v>
      </c>
      <c r="B15027" t="s">
        <v>14</v>
      </c>
      <c r="C15027" t="s">
        <v>26</v>
      </c>
      <c r="D15027" t="s">
        <v>17</v>
      </c>
      <c r="E15027" t="s">
        <v>12</v>
      </c>
      <c r="F15027">
        <v>38152401</v>
      </c>
      <c r="G15027">
        <v>38152444</v>
      </c>
      <c r="H15027">
        <v>38152479</v>
      </c>
      <c r="I15027">
        <v>38152502</v>
      </c>
    </row>
    <row r="15028" spans="1:9" x14ac:dyDescent="0.2">
      <c r="A15028" s="1" t="str">
        <f>"RMDN3"</f>
        <v>RMDN3</v>
      </c>
      <c r="B15028" t="s">
        <v>14</v>
      </c>
      <c r="C15028" t="s">
        <v>25</v>
      </c>
      <c r="D15028" t="s">
        <v>11</v>
      </c>
      <c r="E15028" t="s">
        <v>12</v>
      </c>
      <c r="F15028">
        <v>41047421</v>
      </c>
      <c r="G15028">
        <v>41047460</v>
      </c>
      <c r="H15028">
        <v>41047421</v>
      </c>
      <c r="I15028">
        <v>41047460</v>
      </c>
    </row>
    <row r="15029" spans="1:9" x14ac:dyDescent="0.2">
      <c r="A15029" s="1" t="str">
        <f>"RMI1"</f>
        <v>RMI1</v>
      </c>
      <c r="B15029" t="s">
        <v>14</v>
      </c>
      <c r="C15029" t="s">
        <v>24</v>
      </c>
      <c r="D15029" t="s">
        <v>17</v>
      </c>
      <c r="E15029" t="s">
        <v>12</v>
      </c>
      <c r="F15029">
        <v>86595672</v>
      </c>
      <c r="G15029">
        <v>86595760</v>
      </c>
      <c r="H15029">
        <v>86595623</v>
      </c>
      <c r="I15029">
        <v>86595648</v>
      </c>
    </row>
    <row r="15030" spans="1:9" x14ac:dyDescent="0.2">
      <c r="A15030" s="1" t="str">
        <f>"RMI2"</f>
        <v>RMI2</v>
      </c>
      <c r="B15030" t="s">
        <v>14</v>
      </c>
      <c r="C15030" t="s">
        <v>31</v>
      </c>
      <c r="D15030" t="s">
        <v>17</v>
      </c>
      <c r="E15030" t="s">
        <v>12</v>
      </c>
      <c r="F15030">
        <v>11439286</v>
      </c>
      <c r="G15030">
        <v>11439328</v>
      </c>
      <c r="H15030">
        <v>11439269</v>
      </c>
      <c r="I15030">
        <v>11439278</v>
      </c>
    </row>
    <row r="15031" spans="1:9" x14ac:dyDescent="0.2">
      <c r="A15031" s="1" t="str">
        <f>"RMND1"</f>
        <v>RMND1</v>
      </c>
      <c r="B15031" t="s">
        <v>14</v>
      </c>
      <c r="C15031" t="s">
        <v>32</v>
      </c>
      <c r="D15031" t="s">
        <v>11</v>
      </c>
      <c r="E15031" t="s">
        <v>12</v>
      </c>
      <c r="F15031">
        <v>151773232</v>
      </c>
      <c r="G15031">
        <v>151773298</v>
      </c>
      <c r="H15031">
        <v>151773201</v>
      </c>
      <c r="I15031">
        <v>151773226</v>
      </c>
    </row>
    <row r="15032" spans="1:9" x14ac:dyDescent="0.2">
      <c r="A15032" s="1" t="str">
        <f>"RMND5A"</f>
        <v>RMND5A</v>
      </c>
      <c r="B15032" t="s">
        <v>14</v>
      </c>
      <c r="C15032" t="s">
        <v>26</v>
      </c>
      <c r="D15032" t="s">
        <v>17</v>
      </c>
      <c r="E15032" t="s">
        <v>12</v>
      </c>
      <c r="F15032">
        <v>86947406</v>
      </c>
      <c r="G15032">
        <v>86947434</v>
      </c>
      <c r="H15032">
        <v>86947406</v>
      </c>
      <c r="I15032">
        <v>86947434</v>
      </c>
    </row>
    <row r="15033" spans="1:9" x14ac:dyDescent="0.2">
      <c r="A15033" s="1" t="str">
        <f>"RMND5B"</f>
        <v>RMND5B</v>
      </c>
      <c r="B15033" t="s">
        <v>14</v>
      </c>
      <c r="C15033" t="s">
        <v>46</v>
      </c>
      <c r="D15033" t="s">
        <v>17</v>
      </c>
      <c r="E15033" t="s">
        <v>12</v>
      </c>
      <c r="F15033">
        <v>177558006</v>
      </c>
      <c r="G15033">
        <v>177558034</v>
      </c>
      <c r="H15033">
        <v>177558050</v>
      </c>
      <c r="I15033">
        <v>177558063</v>
      </c>
    </row>
    <row r="15034" spans="1:9" x14ac:dyDescent="0.2">
      <c r="A15034" s="1" t="str">
        <f>"RNASE1"</f>
        <v>RNASE1</v>
      </c>
      <c r="B15034" t="s">
        <v>14</v>
      </c>
      <c r="C15034" t="s">
        <v>41</v>
      </c>
      <c r="D15034" t="s">
        <v>11</v>
      </c>
      <c r="E15034" t="s">
        <v>12</v>
      </c>
      <c r="F15034">
        <v>21270995</v>
      </c>
      <c r="G15034">
        <v>21271013</v>
      </c>
      <c r="H15034">
        <v>21270474</v>
      </c>
      <c r="I15034">
        <v>21270495</v>
      </c>
    </row>
    <row r="15035" spans="1:9" x14ac:dyDescent="0.2">
      <c r="A15035" s="1" t="str">
        <f>"RNASE10"</f>
        <v>RNASE10</v>
      </c>
      <c r="B15035" t="s">
        <v>1492</v>
      </c>
      <c r="C15035" t="s">
        <v>41</v>
      </c>
      <c r="D15035" t="s">
        <v>17</v>
      </c>
      <c r="E15035" t="s">
        <v>20</v>
      </c>
      <c r="F15035">
        <v>20978611</v>
      </c>
      <c r="G15035">
        <v>20978611</v>
      </c>
      <c r="H15035">
        <v>20978611</v>
      </c>
      <c r="I15035">
        <v>20978611</v>
      </c>
    </row>
    <row r="15036" spans="1:9" x14ac:dyDescent="0.2">
      <c r="A15036" s="1" t="str">
        <f>"RNASE11"</f>
        <v>RNASE11</v>
      </c>
      <c r="B15036" t="s">
        <v>14</v>
      </c>
      <c r="C15036" t="s">
        <v>41</v>
      </c>
      <c r="D15036" t="s">
        <v>11</v>
      </c>
      <c r="E15036" t="s">
        <v>12</v>
      </c>
      <c r="F15036">
        <v>21056143</v>
      </c>
      <c r="G15036">
        <v>21056165</v>
      </c>
      <c r="H15036">
        <v>21055874</v>
      </c>
      <c r="I15036">
        <v>21055890</v>
      </c>
    </row>
    <row r="15037" spans="1:9" x14ac:dyDescent="0.2">
      <c r="A15037" s="1" t="str">
        <f>"RNASE12"</f>
        <v>RNASE12</v>
      </c>
      <c r="B15037" t="s">
        <v>14</v>
      </c>
      <c r="C15037" t="s">
        <v>41</v>
      </c>
      <c r="D15037" t="s">
        <v>11</v>
      </c>
      <c r="E15037" t="s">
        <v>12</v>
      </c>
      <c r="F15037">
        <v>21058901</v>
      </c>
      <c r="G15037">
        <v>21058933</v>
      </c>
      <c r="H15037">
        <v>21058901</v>
      </c>
      <c r="I15037">
        <v>21058933</v>
      </c>
    </row>
    <row r="15038" spans="1:9" x14ac:dyDescent="0.2">
      <c r="A15038" s="1" t="str">
        <f>"RNASE13"</f>
        <v>RNASE13</v>
      </c>
      <c r="B15038" t="s">
        <v>14</v>
      </c>
      <c r="C15038" t="s">
        <v>41</v>
      </c>
      <c r="D15038" t="s">
        <v>11</v>
      </c>
      <c r="E15038" t="s">
        <v>12</v>
      </c>
      <c r="F15038">
        <v>21502902</v>
      </c>
      <c r="G15038">
        <v>21502916</v>
      </c>
      <c r="H15038">
        <v>21502944</v>
      </c>
      <c r="I15038">
        <v>21502954</v>
      </c>
    </row>
    <row r="15039" spans="1:9" x14ac:dyDescent="0.2">
      <c r="A15039" s="1" t="str">
        <f>"RNASE2"</f>
        <v>RNASE2</v>
      </c>
      <c r="B15039" t="s">
        <v>14</v>
      </c>
      <c r="C15039" t="s">
        <v>41</v>
      </c>
      <c r="D15039" t="s">
        <v>17</v>
      </c>
      <c r="E15039" t="s">
        <v>12</v>
      </c>
      <c r="F15039">
        <v>21423643</v>
      </c>
      <c r="G15039">
        <v>21423665</v>
      </c>
      <c r="H15039">
        <v>21423643</v>
      </c>
      <c r="I15039">
        <v>21423665</v>
      </c>
    </row>
    <row r="15040" spans="1:9" x14ac:dyDescent="0.2">
      <c r="A15040" s="1" t="str">
        <f>"RNASE3"</f>
        <v>RNASE3</v>
      </c>
      <c r="B15040" t="s">
        <v>14</v>
      </c>
      <c r="C15040" t="s">
        <v>41</v>
      </c>
      <c r="D15040" t="s">
        <v>17</v>
      </c>
      <c r="E15040" t="s">
        <v>12</v>
      </c>
      <c r="F15040">
        <v>21359558</v>
      </c>
      <c r="G15040">
        <v>21359580</v>
      </c>
      <c r="H15040">
        <v>21359558</v>
      </c>
      <c r="I15040">
        <v>21359580</v>
      </c>
    </row>
    <row r="15041" spans="1:9" x14ac:dyDescent="0.2">
      <c r="A15041" s="1" t="str">
        <f>"RNASE4"</f>
        <v>RNASE4</v>
      </c>
      <c r="B15041" t="s">
        <v>14</v>
      </c>
      <c r="C15041" t="s">
        <v>41</v>
      </c>
      <c r="D15041" t="s">
        <v>17</v>
      </c>
      <c r="E15041" t="s">
        <v>12</v>
      </c>
      <c r="F15041">
        <v>21152706</v>
      </c>
      <c r="G15041">
        <v>21152783</v>
      </c>
      <c r="H15041">
        <v>21152706</v>
      </c>
      <c r="I15041">
        <v>21152783</v>
      </c>
    </row>
    <row r="15042" spans="1:9" x14ac:dyDescent="0.2">
      <c r="A15042" s="1" t="str">
        <f>"RNASE6"</f>
        <v>RNASE6</v>
      </c>
      <c r="B15042" t="s">
        <v>14</v>
      </c>
      <c r="C15042" t="s">
        <v>41</v>
      </c>
      <c r="D15042" t="s">
        <v>17</v>
      </c>
      <c r="E15042" t="s">
        <v>12</v>
      </c>
      <c r="F15042">
        <v>21249200</v>
      </c>
      <c r="G15042">
        <v>21249248</v>
      </c>
      <c r="H15042">
        <v>21249300</v>
      </c>
      <c r="I15042">
        <v>21249314</v>
      </c>
    </row>
    <row r="15043" spans="1:9" x14ac:dyDescent="0.2">
      <c r="A15043" s="1" t="str">
        <f>"RNASE7"</f>
        <v>RNASE7</v>
      </c>
      <c r="B15043" t="s">
        <v>14</v>
      </c>
      <c r="C15043" t="s">
        <v>41</v>
      </c>
      <c r="D15043" t="s">
        <v>17</v>
      </c>
      <c r="E15043" t="s">
        <v>12</v>
      </c>
      <c r="F15043">
        <v>21510511</v>
      </c>
      <c r="G15043">
        <v>21510528</v>
      </c>
      <c r="H15043">
        <v>21510460</v>
      </c>
      <c r="I15043">
        <v>21510479</v>
      </c>
    </row>
    <row r="15044" spans="1:9" x14ac:dyDescent="0.2">
      <c r="A15044" s="1" t="str">
        <f>"RNASE8"</f>
        <v>RNASE8</v>
      </c>
      <c r="B15044" t="s">
        <v>1493</v>
      </c>
      <c r="C15044" t="s">
        <v>41</v>
      </c>
      <c r="D15044" t="s">
        <v>17</v>
      </c>
      <c r="E15044" t="s">
        <v>20</v>
      </c>
      <c r="F15044">
        <v>21525980</v>
      </c>
      <c r="G15044">
        <v>21525980</v>
      </c>
      <c r="H15044">
        <v>21525980</v>
      </c>
      <c r="I15044">
        <v>21525980</v>
      </c>
    </row>
    <row r="15045" spans="1:9" x14ac:dyDescent="0.2">
      <c r="A15045" s="1" t="str">
        <f>"RNASE9"</f>
        <v>RNASE9</v>
      </c>
      <c r="B15045" t="s">
        <v>14</v>
      </c>
      <c r="C15045" t="s">
        <v>41</v>
      </c>
      <c r="D15045" t="s">
        <v>11</v>
      </c>
      <c r="E15045" t="s">
        <v>12</v>
      </c>
      <c r="F15045">
        <v>21029199</v>
      </c>
      <c r="G15045">
        <v>21029208</v>
      </c>
      <c r="H15045">
        <v>21029199</v>
      </c>
      <c r="I15045">
        <v>21029208</v>
      </c>
    </row>
    <row r="15046" spans="1:9" x14ac:dyDescent="0.2">
      <c r="A15046" s="1" t="str">
        <f>"RNASEH1"</f>
        <v>RNASEH1</v>
      </c>
      <c r="B15046" t="s">
        <v>14</v>
      </c>
      <c r="C15046" t="s">
        <v>26</v>
      </c>
      <c r="D15046" t="s">
        <v>11</v>
      </c>
      <c r="E15046" t="s">
        <v>12</v>
      </c>
      <c r="F15046">
        <v>3605885</v>
      </c>
      <c r="G15046">
        <v>3605958</v>
      </c>
      <c r="H15046">
        <v>3605870</v>
      </c>
      <c r="I15046">
        <v>3605884</v>
      </c>
    </row>
    <row r="15047" spans="1:9" x14ac:dyDescent="0.2">
      <c r="A15047" s="1" t="str">
        <f>"RNASEH2A"</f>
        <v>RNASEH2A</v>
      </c>
      <c r="B15047" t="s">
        <v>14</v>
      </c>
      <c r="C15047" t="s">
        <v>10</v>
      </c>
      <c r="D15047" t="s">
        <v>17</v>
      </c>
      <c r="E15047" t="s">
        <v>12</v>
      </c>
      <c r="F15047">
        <v>12917412</v>
      </c>
      <c r="G15047">
        <v>12917466</v>
      </c>
      <c r="H15047">
        <v>12917364</v>
      </c>
      <c r="I15047">
        <v>12917407</v>
      </c>
    </row>
    <row r="15048" spans="1:9" x14ac:dyDescent="0.2">
      <c r="A15048" s="1" t="str">
        <f>"RNASEH2B"</f>
        <v>RNASEH2B</v>
      </c>
      <c r="B15048" t="s">
        <v>14</v>
      </c>
      <c r="C15048" t="s">
        <v>39</v>
      </c>
      <c r="D15048" t="s">
        <v>17</v>
      </c>
      <c r="E15048" t="s">
        <v>12</v>
      </c>
      <c r="F15048">
        <v>51483881</v>
      </c>
      <c r="G15048">
        <v>51483935</v>
      </c>
      <c r="H15048">
        <v>51483881</v>
      </c>
      <c r="I15048">
        <v>51483935</v>
      </c>
    </row>
    <row r="15049" spans="1:9" x14ac:dyDescent="0.2">
      <c r="A15049" s="1" t="str">
        <f>"RNASEH2C"</f>
        <v>RNASEH2C</v>
      </c>
      <c r="B15049" t="s">
        <v>14</v>
      </c>
      <c r="C15049" t="s">
        <v>27</v>
      </c>
      <c r="D15049" t="s">
        <v>11</v>
      </c>
      <c r="E15049" t="s">
        <v>12</v>
      </c>
      <c r="F15049">
        <v>65488260</v>
      </c>
      <c r="G15049">
        <v>65488301</v>
      </c>
      <c r="H15049">
        <v>65487941</v>
      </c>
      <c r="I15049">
        <v>65488012</v>
      </c>
    </row>
    <row r="15050" spans="1:9" x14ac:dyDescent="0.2">
      <c r="A15050" s="1" t="str">
        <f>"RNASEK"</f>
        <v>RNASEK</v>
      </c>
      <c r="B15050" t="s">
        <v>14</v>
      </c>
      <c r="C15050" t="s">
        <v>28</v>
      </c>
      <c r="D15050" t="s">
        <v>17</v>
      </c>
      <c r="E15050" t="s">
        <v>12</v>
      </c>
      <c r="F15050">
        <v>6915902</v>
      </c>
      <c r="G15050">
        <v>6916008</v>
      </c>
      <c r="H15050">
        <v>6915752</v>
      </c>
      <c r="I15050">
        <v>6915776</v>
      </c>
    </row>
    <row r="15051" spans="1:9" x14ac:dyDescent="0.2">
      <c r="A15051" s="1" t="str">
        <f>"RNASEL"</f>
        <v>RNASEL</v>
      </c>
      <c r="B15051" t="s">
        <v>14</v>
      </c>
      <c r="C15051" t="s">
        <v>19</v>
      </c>
      <c r="D15051" t="s">
        <v>11</v>
      </c>
      <c r="E15051" t="s">
        <v>12</v>
      </c>
      <c r="F15051">
        <v>182558374</v>
      </c>
      <c r="G15051">
        <v>182558403</v>
      </c>
      <c r="H15051">
        <v>182558343</v>
      </c>
      <c r="I15051">
        <v>182558371</v>
      </c>
    </row>
    <row r="15052" spans="1:9" x14ac:dyDescent="0.2">
      <c r="A15052" s="1" t="str">
        <f>"RNASET2"</f>
        <v>RNASET2</v>
      </c>
      <c r="B15052" t="s">
        <v>14</v>
      </c>
      <c r="C15052" t="s">
        <v>32</v>
      </c>
      <c r="D15052" t="s">
        <v>11</v>
      </c>
      <c r="E15052" t="s">
        <v>12</v>
      </c>
      <c r="F15052">
        <v>167370025</v>
      </c>
      <c r="G15052">
        <v>167370046</v>
      </c>
      <c r="H15052">
        <v>167370049</v>
      </c>
      <c r="I15052">
        <v>167370094</v>
      </c>
    </row>
    <row r="15053" spans="1:9" x14ac:dyDescent="0.2">
      <c r="A15053" s="1" t="str">
        <f>"RND1"</f>
        <v>RND1</v>
      </c>
      <c r="B15053" t="s">
        <v>14</v>
      </c>
      <c r="C15053" t="s">
        <v>16</v>
      </c>
      <c r="D15053" t="s">
        <v>11</v>
      </c>
      <c r="E15053" t="s">
        <v>12</v>
      </c>
      <c r="F15053">
        <v>49259643</v>
      </c>
      <c r="G15053">
        <v>49259659</v>
      </c>
      <c r="H15053">
        <v>49259631</v>
      </c>
      <c r="I15053">
        <v>49259640</v>
      </c>
    </row>
    <row r="15054" spans="1:9" x14ac:dyDescent="0.2">
      <c r="A15054" s="1" t="str">
        <f>"RND2"</f>
        <v>RND2</v>
      </c>
      <c r="B15054" t="s">
        <v>14</v>
      </c>
      <c r="C15054" t="s">
        <v>28</v>
      </c>
      <c r="D15054" t="s">
        <v>17</v>
      </c>
      <c r="E15054" t="s">
        <v>12</v>
      </c>
      <c r="F15054">
        <v>41177220</v>
      </c>
      <c r="G15054">
        <v>41177282</v>
      </c>
      <c r="H15054">
        <v>41177283</v>
      </c>
      <c r="I15054">
        <v>41177295</v>
      </c>
    </row>
    <row r="15055" spans="1:9" x14ac:dyDescent="0.2">
      <c r="A15055" s="1" t="str">
        <f>"RND3"</f>
        <v>RND3</v>
      </c>
      <c r="B15055" t="s">
        <v>14</v>
      </c>
      <c r="C15055" t="s">
        <v>26</v>
      </c>
      <c r="D15055" t="s">
        <v>11</v>
      </c>
      <c r="E15055" t="s">
        <v>12</v>
      </c>
      <c r="F15055">
        <v>151344172</v>
      </c>
      <c r="G15055">
        <v>151344187</v>
      </c>
      <c r="H15055">
        <v>151344172</v>
      </c>
      <c r="I15055">
        <v>151344187</v>
      </c>
    </row>
    <row r="15056" spans="1:9" x14ac:dyDescent="0.2">
      <c r="A15056" s="1" t="str">
        <f>"RNF10"</f>
        <v>RNF10</v>
      </c>
      <c r="B15056" t="s">
        <v>14</v>
      </c>
      <c r="C15056" t="s">
        <v>16</v>
      </c>
      <c r="D15056" t="s">
        <v>17</v>
      </c>
      <c r="E15056" t="s">
        <v>12</v>
      </c>
      <c r="F15056">
        <v>120972147</v>
      </c>
      <c r="G15056">
        <v>120972167</v>
      </c>
      <c r="H15056">
        <v>120972174</v>
      </c>
      <c r="I15056">
        <v>120972185</v>
      </c>
    </row>
    <row r="15057" spans="1:9" x14ac:dyDescent="0.2">
      <c r="A15057" s="1" t="str">
        <f>"RNF103"</f>
        <v>RNF103</v>
      </c>
      <c r="B15057" t="s">
        <v>14</v>
      </c>
      <c r="C15057" t="s">
        <v>26</v>
      </c>
      <c r="D15057" t="s">
        <v>11</v>
      </c>
      <c r="E15057" t="s">
        <v>12</v>
      </c>
      <c r="F15057">
        <v>86850949</v>
      </c>
      <c r="G15057">
        <v>86851023</v>
      </c>
      <c r="H15057">
        <v>86850949</v>
      </c>
      <c r="I15057">
        <v>86851023</v>
      </c>
    </row>
    <row r="15058" spans="1:9" x14ac:dyDescent="0.2">
      <c r="A15058" s="1" t="str">
        <f>"RNF103-CHMP3"</f>
        <v>RNF103-CHMP3</v>
      </c>
      <c r="B15058" t="s">
        <v>1494</v>
      </c>
      <c r="C15058" t="s">
        <v>26</v>
      </c>
      <c r="D15058" t="s">
        <v>11</v>
      </c>
      <c r="E15058" t="s">
        <v>35</v>
      </c>
      <c r="F15058">
        <v>86948287</v>
      </c>
      <c r="G15058">
        <v>86948325</v>
      </c>
      <c r="H15058">
        <v>86948287</v>
      </c>
      <c r="I15058">
        <v>86948325</v>
      </c>
    </row>
    <row r="15059" spans="1:9" x14ac:dyDescent="0.2">
      <c r="A15059" s="1" t="str">
        <f>"RNF11"</f>
        <v>RNF11</v>
      </c>
      <c r="B15059" t="s">
        <v>14</v>
      </c>
      <c r="C15059" t="s">
        <v>19</v>
      </c>
      <c r="D15059" t="s">
        <v>17</v>
      </c>
      <c r="E15059" t="s">
        <v>12</v>
      </c>
      <c r="F15059">
        <v>51701924</v>
      </c>
      <c r="G15059">
        <v>51702001</v>
      </c>
      <c r="H15059">
        <v>51702002</v>
      </c>
      <c r="I15059">
        <v>51702030</v>
      </c>
    </row>
    <row r="15060" spans="1:9" x14ac:dyDescent="0.2">
      <c r="A15060" s="1" t="str">
        <f>"RNF111"</f>
        <v>RNF111</v>
      </c>
      <c r="B15060" t="s">
        <v>14</v>
      </c>
      <c r="C15060" t="s">
        <v>25</v>
      </c>
      <c r="D15060" t="s">
        <v>17</v>
      </c>
      <c r="E15060" t="s">
        <v>12</v>
      </c>
      <c r="F15060">
        <v>59279881</v>
      </c>
      <c r="G15060">
        <v>59279928</v>
      </c>
      <c r="H15060">
        <v>59279851</v>
      </c>
      <c r="I15060">
        <v>59279880</v>
      </c>
    </row>
    <row r="15061" spans="1:9" x14ac:dyDescent="0.2">
      <c r="A15061" s="1" t="str">
        <f>"RNF112"</f>
        <v>RNF112</v>
      </c>
      <c r="B15061" t="s">
        <v>14</v>
      </c>
      <c r="C15061" t="s">
        <v>28</v>
      </c>
      <c r="D15061" t="s">
        <v>17</v>
      </c>
      <c r="E15061" t="s">
        <v>12</v>
      </c>
      <c r="F15061">
        <v>19314532</v>
      </c>
      <c r="G15061">
        <v>19314563</v>
      </c>
      <c r="H15061">
        <v>19314505</v>
      </c>
      <c r="I15061">
        <v>19314523</v>
      </c>
    </row>
    <row r="15062" spans="1:9" x14ac:dyDescent="0.2">
      <c r="A15062" s="1" t="str">
        <f>"RNF113A"</f>
        <v>RNF113A</v>
      </c>
      <c r="B15062" t="s">
        <v>14</v>
      </c>
      <c r="C15062" t="s">
        <v>37</v>
      </c>
      <c r="D15062" t="s">
        <v>11</v>
      </c>
      <c r="E15062" t="s">
        <v>12</v>
      </c>
      <c r="F15062">
        <v>119005654</v>
      </c>
      <c r="G15062">
        <v>119005703</v>
      </c>
      <c r="H15062">
        <v>119005714</v>
      </c>
      <c r="I15062">
        <v>119005730</v>
      </c>
    </row>
    <row r="15063" spans="1:9" x14ac:dyDescent="0.2">
      <c r="A15063" s="1" t="str">
        <f>"RNF113B"</f>
        <v>RNF113B</v>
      </c>
      <c r="B15063" t="s">
        <v>14</v>
      </c>
      <c r="C15063" t="s">
        <v>39</v>
      </c>
      <c r="D15063" t="s">
        <v>11</v>
      </c>
      <c r="E15063" t="s">
        <v>12</v>
      </c>
      <c r="F15063">
        <v>98829501</v>
      </c>
      <c r="G15063">
        <v>98829530</v>
      </c>
      <c r="H15063">
        <v>98829490</v>
      </c>
      <c r="I15063">
        <v>98829499</v>
      </c>
    </row>
    <row r="15064" spans="1:9" x14ac:dyDescent="0.2">
      <c r="A15064" s="1" t="str">
        <f>"RNF114"</f>
        <v>RNF114</v>
      </c>
      <c r="B15064" t="s">
        <v>14</v>
      </c>
      <c r="C15064" t="s">
        <v>29</v>
      </c>
      <c r="D15064" t="s">
        <v>17</v>
      </c>
      <c r="E15064" t="s">
        <v>12</v>
      </c>
      <c r="F15064">
        <v>48552908</v>
      </c>
      <c r="G15064">
        <v>48552949</v>
      </c>
      <c r="H15064">
        <v>48552908</v>
      </c>
      <c r="I15064">
        <v>48552949</v>
      </c>
    </row>
    <row r="15065" spans="1:9" x14ac:dyDescent="0.2">
      <c r="A15065" s="1" t="str">
        <f>"RNF115"</f>
        <v>RNF115</v>
      </c>
      <c r="B15065" t="s">
        <v>14</v>
      </c>
      <c r="C15065" t="s">
        <v>19</v>
      </c>
      <c r="D15065" t="s">
        <v>17</v>
      </c>
      <c r="E15065" t="s">
        <v>12</v>
      </c>
      <c r="F15065">
        <v>145611113</v>
      </c>
      <c r="G15065">
        <v>145611182</v>
      </c>
      <c r="H15065">
        <v>145611010</v>
      </c>
      <c r="I15065">
        <v>145611046</v>
      </c>
    </row>
    <row r="15066" spans="1:9" x14ac:dyDescent="0.2">
      <c r="A15066" s="1" t="str">
        <f>"RNF121"</f>
        <v>RNF121</v>
      </c>
      <c r="B15066" t="s">
        <v>14</v>
      </c>
      <c r="C15066" t="s">
        <v>27</v>
      </c>
      <c r="D15066" t="s">
        <v>17</v>
      </c>
      <c r="E15066" t="s">
        <v>12</v>
      </c>
      <c r="F15066">
        <v>71640071</v>
      </c>
      <c r="G15066">
        <v>71640109</v>
      </c>
      <c r="H15066">
        <v>71640042</v>
      </c>
      <c r="I15066">
        <v>71640051</v>
      </c>
    </row>
    <row r="15067" spans="1:9" x14ac:dyDescent="0.2">
      <c r="A15067" s="1" t="str">
        <f>"RNF122"</f>
        <v>RNF122</v>
      </c>
      <c r="B15067" t="s">
        <v>14</v>
      </c>
      <c r="C15067" t="s">
        <v>30</v>
      </c>
      <c r="D15067" t="s">
        <v>11</v>
      </c>
      <c r="E15067" t="s">
        <v>12</v>
      </c>
      <c r="F15067">
        <v>33424636</v>
      </c>
      <c r="G15067">
        <v>33424653</v>
      </c>
      <c r="H15067">
        <v>33424654</v>
      </c>
      <c r="I15067">
        <v>33424665</v>
      </c>
    </row>
    <row r="15068" spans="1:9" x14ac:dyDescent="0.2">
      <c r="A15068" s="1" t="str">
        <f>"RNF123"</f>
        <v>RNF123</v>
      </c>
      <c r="B15068" t="s">
        <v>14</v>
      </c>
      <c r="C15068" t="s">
        <v>22</v>
      </c>
      <c r="D15068" t="s">
        <v>17</v>
      </c>
      <c r="E15068" t="s">
        <v>12</v>
      </c>
      <c r="F15068">
        <v>49726965</v>
      </c>
      <c r="G15068">
        <v>49727014</v>
      </c>
      <c r="H15068">
        <v>49727072</v>
      </c>
      <c r="I15068">
        <v>49727105</v>
      </c>
    </row>
    <row r="15069" spans="1:9" x14ac:dyDescent="0.2">
      <c r="A15069" s="1" t="str">
        <f>"RNF125"</f>
        <v>RNF125</v>
      </c>
      <c r="B15069" t="s">
        <v>14</v>
      </c>
      <c r="C15069" t="s">
        <v>43</v>
      </c>
      <c r="D15069" t="s">
        <v>17</v>
      </c>
      <c r="E15069" t="s">
        <v>12</v>
      </c>
      <c r="F15069">
        <v>29598780</v>
      </c>
      <c r="G15069">
        <v>29598805</v>
      </c>
      <c r="H15069">
        <v>29598780</v>
      </c>
      <c r="I15069">
        <v>29598805</v>
      </c>
    </row>
    <row r="15070" spans="1:9" x14ac:dyDescent="0.2">
      <c r="A15070" s="1" t="str">
        <f>"RNF126"</f>
        <v>RNF126</v>
      </c>
      <c r="B15070" t="s">
        <v>14</v>
      </c>
      <c r="C15070" t="s">
        <v>10</v>
      </c>
      <c r="D15070" t="s">
        <v>11</v>
      </c>
      <c r="E15070" t="s">
        <v>12</v>
      </c>
      <c r="F15070">
        <v>663171</v>
      </c>
      <c r="G15070">
        <v>663249</v>
      </c>
      <c r="H15070">
        <v>663295</v>
      </c>
      <c r="I15070">
        <v>663312</v>
      </c>
    </row>
    <row r="15071" spans="1:9" x14ac:dyDescent="0.2">
      <c r="A15071" s="1" t="str">
        <f>"RNF128"</f>
        <v>RNF128</v>
      </c>
      <c r="B15071" t="s">
        <v>14</v>
      </c>
      <c r="C15071" t="s">
        <v>37</v>
      </c>
      <c r="D15071" t="s">
        <v>17</v>
      </c>
      <c r="E15071" t="s">
        <v>12</v>
      </c>
      <c r="F15071">
        <v>105969923</v>
      </c>
      <c r="G15071">
        <v>105969947</v>
      </c>
      <c r="H15071">
        <v>105969893</v>
      </c>
      <c r="I15071">
        <v>105969919</v>
      </c>
    </row>
    <row r="15072" spans="1:9" x14ac:dyDescent="0.2">
      <c r="A15072" s="1" t="str">
        <f>"RNF13"</f>
        <v>RNF13</v>
      </c>
      <c r="B15072" t="s">
        <v>14</v>
      </c>
      <c r="C15072" t="s">
        <v>22</v>
      </c>
      <c r="D15072" t="s">
        <v>17</v>
      </c>
      <c r="E15072" t="s">
        <v>12</v>
      </c>
      <c r="F15072">
        <v>149530983</v>
      </c>
      <c r="G15072">
        <v>149531065</v>
      </c>
      <c r="H15072">
        <v>149530469</v>
      </c>
      <c r="I15072">
        <v>149530547</v>
      </c>
    </row>
    <row r="15073" spans="1:9" x14ac:dyDescent="0.2">
      <c r="A15073" s="1" t="str">
        <f>"RNF130"</f>
        <v>RNF130</v>
      </c>
      <c r="B15073" t="s">
        <v>14</v>
      </c>
      <c r="C15073" t="s">
        <v>46</v>
      </c>
      <c r="D15073" t="s">
        <v>11</v>
      </c>
      <c r="E15073" t="s">
        <v>12</v>
      </c>
      <c r="F15073">
        <v>179498703</v>
      </c>
      <c r="G15073">
        <v>179498784</v>
      </c>
      <c r="H15073">
        <v>179499108</v>
      </c>
      <c r="I15073">
        <v>179499147</v>
      </c>
    </row>
    <row r="15074" spans="1:9" x14ac:dyDescent="0.2">
      <c r="A15074" s="1" t="str">
        <f>"RNF133"</f>
        <v>RNF133</v>
      </c>
      <c r="B15074" t="s">
        <v>14</v>
      </c>
      <c r="C15074" t="s">
        <v>33</v>
      </c>
      <c r="D15074" t="s">
        <v>11</v>
      </c>
      <c r="E15074" t="s">
        <v>12</v>
      </c>
      <c r="F15074">
        <v>122339162</v>
      </c>
      <c r="G15074">
        <v>122339176</v>
      </c>
      <c r="H15074">
        <v>122339151</v>
      </c>
      <c r="I15074">
        <v>122339156</v>
      </c>
    </row>
    <row r="15075" spans="1:9" x14ac:dyDescent="0.2">
      <c r="A15075" s="1" t="str">
        <f>"RNF135"</f>
        <v>RNF135</v>
      </c>
      <c r="B15075" t="s">
        <v>14</v>
      </c>
      <c r="C15075" t="s">
        <v>28</v>
      </c>
      <c r="D15075" t="s">
        <v>17</v>
      </c>
      <c r="E15075" t="s">
        <v>12</v>
      </c>
      <c r="F15075">
        <v>29298033</v>
      </c>
      <c r="G15075">
        <v>29298090</v>
      </c>
      <c r="H15075">
        <v>29298033</v>
      </c>
      <c r="I15075">
        <v>29298090</v>
      </c>
    </row>
    <row r="15076" spans="1:9" x14ac:dyDescent="0.2">
      <c r="A15076" s="1" t="str">
        <f>"RNF138"</f>
        <v>RNF138</v>
      </c>
      <c r="B15076" t="s">
        <v>14</v>
      </c>
      <c r="C15076" t="s">
        <v>43</v>
      </c>
      <c r="D15076" t="s">
        <v>17</v>
      </c>
      <c r="E15076" t="s">
        <v>12</v>
      </c>
      <c r="F15076">
        <v>29671812</v>
      </c>
      <c r="G15076">
        <v>29671892</v>
      </c>
      <c r="H15076">
        <v>29672617</v>
      </c>
      <c r="I15076">
        <v>29672669</v>
      </c>
    </row>
    <row r="15077" spans="1:9" x14ac:dyDescent="0.2">
      <c r="A15077" s="1" t="str">
        <f>"RNF139"</f>
        <v>RNF139</v>
      </c>
      <c r="B15077" t="s">
        <v>14</v>
      </c>
      <c r="C15077" t="s">
        <v>30</v>
      </c>
      <c r="D15077" t="s">
        <v>17</v>
      </c>
      <c r="E15077" t="s">
        <v>12</v>
      </c>
      <c r="F15077">
        <v>125487084</v>
      </c>
      <c r="G15077">
        <v>125487163</v>
      </c>
      <c r="H15077">
        <v>125486939</v>
      </c>
      <c r="I15077">
        <v>125487026</v>
      </c>
    </row>
    <row r="15078" spans="1:9" x14ac:dyDescent="0.2">
      <c r="A15078" s="1" t="str">
        <f>"RNF14"</f>
        <v>RNF14</v>
      </c>
      <c r="B15078" t="s">
        <v>14</v>
      </c>
      <c r="C15078" t="s">
        <v>46</v>
      </c>
      <c r="D15078" t="s">
        <v>17</v>
      </c>
      <c r="E15078" t="s">
        <v>12</v>
      </c>
      <c r="F15078">
        <v>141348640</v>
      </c>
      <c r="G15078">
        <v>141348715</v>
      </c>
      <c r="H15078">
        <v>141348598</v>
      </c>
      <c r="I15078">
        <v>141348626</v>
      </c>
    </row>
    <row r="15079" spans="1:9" x14ac:dyDescent="0.2">
      <c r="A15079" s="1" t="str">
        <f>"RNF141"</f>
        <v>RNF141</v>
      </c>
      <c r="B15079" t="s">
        <v>14</v>
      </c>
      <c r="C15079" t="s">
        <v>27</v>
      </c>
      <c r="D15079" t="s">
        <v>11</v>
      </c>
      <c r="E15079" t="s">
        <v>12</v>
      </c>
      <c r="F15079">
        <v>10562710</v>
      </c>
      <c r="G15079">
        <v>10562782</v>
      </c>
      <c r="H15079">
        <v>10563053</v>
      </c>
      <c r="I15079">
        <v>10563099</v>
      </c>
    </row>
    <row r="15080" spans="1:9" x14ac:dyDescent="0.2">
      <c r="A15080" s="1" t="str">
        <f>"RNF144A"</f>
        <v>RNF144A</v>
      </c>
      <c r="B15080" t="s">
        <v>9</v>
      </c>
      <c r="C15080" t="s">
        <v>26</v>
      </c>
      <c r="D15080" t="s">
        <v>17</v>
      </c>
      <c r="E15080" t="s">
        <v>12</v>
      </c>
      <c r="F15080">
        <v>7057536</v>
      </c>
      <c r="G15080">
        <v>7057613</v>
      </c>
      <c r="H15080">
        <v>7057536</v>
      </c>
      <c r="I15080">
        <v>7057613</v>
      </c>
    </row>
    <row r="15081" spans="1:9" x14ac:dyDescent="0.2">
      <c r="A15081" s="1" t="str">
        <f>"RNF144A"</f>
        <v>RNF144A</v>
      </c>
      <c r="B15081" t="s">
        <v>13</v>
      </c>
      <c r="C15081" t="s">
        <v>26</v>
      </c>
      <c r="D15081" t="s">
        <v>17</v>
      </c>
      <c r="E15081" t="s">
        <v>12</v>
      </c>
      <c r="F15081">
        <v>7073206</v>
      </c>
      <c r="G15081">
        <v>7073223</v>
      </c>
      <c r="H15081">
        <v>7073206</v>
      </c>
      <c r="I15081">
        <v>7073223</v>
      </c>
    </row>
    <row r="15082" spans="1:9" x14ac:dyDescent="0.2">
      <c r="A15082" s="1" t="str">
        <f>"RNF144B"</f>
        <v>RNF144B</v>
      </c>
      <c r="B15082" t="s">
        <v>14</v>
      </c>
      <c r="C15082" t="s">
        <v>32</v>
      </c>
      <c r="D15082" t="s">
        <v>17</v>
      </c>
      <c r="E15082" t="s">
        <v>12</v>
      </c>
      <c r="F15082">
        <v>18387686</v>
      </c>
      <c r="G15082">
        <v>18387739</v>
      </c>
      <c r="H15082">
        <v>18387570</v>
      </c>
      <c r="I15082">
        <v>18387588</v>
      </c>
    </row>
    <row r="15083" spans="1:9" x14ac:dyDescent="0.2">
      <c r="A15083" s="1" t="str">
        <f>"RNF145"</f>
        <v>RNF145</v>
      </c>
      <c r="B15083" t="s">
        <v>9</v>
      </c>
      <c r="C15083" t="s">
        <v>46</v>
      </c>
      <c r="D15083" t="s">
        <v>11</v>
      </c>
      <c r="E15083" t="s">
        <v>12</v>
      </c>
      <c r="F15083">
        <v>158636512</v>
      </c>
      <c r="G15083">
        <v>158636596</v>
      </c>
      <c r="H15083">
        <v>158636512</v>
      </c>
      <c r="I15083">
        <v>158636596</v>
      </c>
    </row>
    <row r="15084" spans="1:9" x14ac:dyDescent="0.2">
      <c r="A15084" s="1" t="str">
        <f>"RNF145"</f>
        <v>RNF145</v>
      </c>
      <c r="B15084" t="s">
        <v>13</v>
      </c>
      <c r="C15084" t="s">
        <v>46</v>
      </c>
      <c r="D15084" t="s">
        <v>11</v>
      </c>
      <c r="E15084" t="s">
        <v>12</v>
      </c>
      <c r="F15084">
        <v>158635074</v>
      </c>
      <c r="G15084">
        <v>158635096</v>
      </c>
      <c r="H15084">
        <v>158635074</v>
      </c>
      <c r="I15084">
        <v>158635096</v>
      </c>
    </row>
    <row r="15085" spans="1:9" x14ac:dyDescent="0.2">
      <c r="A15085" s="1" t="str">
        <f>"RNF146"</f>
        <v>RNF146</v>
      </c>
      <c r="B15085" t="s">
        <v>14</v>
      </c>
      <c r="C15085" t="s">
        <v>32</v>
      </c>
      <c r="D15085" t="s">
        <v>17</v>
      </c>
      <c r="E15085" t="s">
        <v>12</v>
      </c>
      <c r="F15085">
        <v>127587977</v>
      </c>
      <c r="G15085">
        <v>127588016</v>
      </c>
      <c r="H15085">
        <v>127588020</v>
      </c>
      <c r="I15085">
        <v>127588038</v>
      </c>
    </row>
    <row r="15086" spans="1:9" x14ac:dyDescent="0.2">
      <c r="A15086" s="1" t="str">
        <f>"RNF148"</f>
        <v>RNF148</v>
      </c>
      <c r="B15086" t="s">
        <v>14</v>
      </c>
      <c r="C15086" t="s">
        <v>33</v>
      </c>
      <c r="D15086" t="s">
        <v>11</v>
      </c>
      <c r="E15086" t="s">
        <v>12</v>
      </c>
      <c r="F15086">
        <v>122342969</v>
      </c>
      <c r="G15086">
        <v>122342980</v>
      </c>
      <c r="H15086">
        <v>122342927</v>
      </c>
      <c r="I15086">
        <v>122342937</v>
      </c>
    </row>
    <row r="15087" spans="1:9" x14ac:dyDescent="0.2">
      <c r="A15087" s="1" t="str">
        <f>"RNF149"</f>
        <v>RNF149</v>
      </c>
      <c r="B15087" t="s">
        <v>14</v>
      </c>
      <c r="C15087" t="s">
        <v>26</v>
      </c>
      <c r="D15087" t="s">
        <v>11</v>
      </c>
      <c r="E15087" t="s">
        <v>12</v>
      </c>
      <c r="F15087">
        <v>101925055</v>
      </c>
      <c r="G15087">
        <v>101925174</v>
      </c>
      <c r="H15087">
        <v>101925184</v>
      </c>
      <c r="I15087">
        <v>101925211</v>
      </c>
    </row>
    <row r="15088" spans="1:9" x14ac:dyDescent="0.2">
      <c r="A15088" s="1" t="str">
        <f>"RNF150"</f>
        <v>RNF150</v>
      </c>
      <c r="B15088" t="s">
        <v>14</v>
      </c>
      <c r="C15088" t="s">
        <v>23</v>
      </c>
      <c r="D15088" t="s">
        <v>11</v>
      </c>
      <c r="E15088" t="s">
        <v>12</v>
      </c>
      <c r="F15088">
        <v>142054590</v>
      </c>
      <c r="G15088">
        <v>142054648</v>
      </c>
      <c r="H15088">
        <v>142053952</v>
      </c>
      <c r="I15088">
        <v>142053977</v>
      </c>
    </row>
    <row r="15089" spans="1:9" x14ac:dyDescent="0.2">
      <c r="A15089" s="1" t="str">
        <f>"RNF151"</f>
        <v>RNF151</v>
      </c>
      <c r="B15089" t="s">
        <v>14</v>
      </c>
      <c r="C15089" t="s">
        <v>31</v>
      </c>
      <c r="D15089" t="s">
        <v>17</v>
      </c>
      <c r="E15089" t="s">
        <v>12</v>
      </c>
      <c r="F15089">
        <v>2016821</v>
      </c>
      <c r="G15089">
        <v>2016859</v>
      </c>
      <c r="H15089">
        <v>2016821</v>
      </c>
      <c r="I15089">
        <v>2016859</v>
      </c>
    </row>
    <row r="15090" spans="1:9" x14ac:dyDescent="0.2">
      <c r="A15090" s="1" t="str">
        <f>"RNF152"</f>
        <v>RNF152</v>
      </c>
      <c r="B15090" t="s">
        <v>9</v>
      </c>
      <c r="C15090" t="s">
        <v>43</v>
      </c>
      <c r="D15090" t="s">
        <v>11</v>
      </c>
      <c r="E15090" t="s">
        <v>12</v>
      </c>
      <c r="F15090">
        <v>59560231</v>
      </c>
      <c r="G15090">
        <v>59560250</v>
      </c>
      <c r="H15090">
        <v>59560231</v>
      </c>
      <c r="I15090">
        <v>59560250</v>
      </c>
    </row>
    <row r="15091" spans="1:9" x14ac:dyDescent="0.2">
      <c r="A15091" s="1" t="str">
        <f>"RNF152"</f>
        <v>RNF152</v>
      </c>
      <c r="B15091" t="s">
        <v>13</v>
      </c>
      <c r="C15091" t="s">
        <v>43</v>
      </c>
      <c r="D15091" t="s">
        <v>11</v>
      </c>
      <c r="E15091" t="s">
        <v>12</v>
      </c>
      <c r="F15091">
        <v>59561417</v>
      </c>
      <c r="G15091">
        <v>59561440</v>
      </c>
      <c r="H15091">
        <v>59561417</v>
      </c>
      <c r="I15091">
        <v>59561440</v>
      </c>
    </row>
    <row r="15092" spans="1:9" x14ac:dyDescent="0.2">
      <c r="A15092" s="1" t="str">
        <f>"RNF157"</f>
        <v>RNF157</v>
      </c>
      <c r="B15092" t="s">
        <v>14</v>
      </c>
      <c r="C15092" t="s">
        <v>28</v>
      </c>
      <c r="D15092" t="s">
        <v>11</v>
      </c>
      <c r="E15092" t="s">
        <v>12</v>
      </c>
      <c r="F15092">
        <v>74236559</v>
      </c>
      <c r="G15092">
        <v>74236626</v>
      </c>
      <c r="H15092">
        <v>74236512</v>
      </c>
      <c r="I15092">
        <v>74236556</v>
      </c>
    </row>
    <row r="15093" spans="1:9" x14ac:dyDescent="0.2">
      <c r="A15093" s="1" t="str">
        <f>"RNF165"</f>
        <v>RNF165</v>
      </c>
      <c r="B15093" t="s">
        <v>14</v>
      </c>
      <c r="C15093" t="s">
        <v>43</v>
      </c>
      <c r="D15093" t="s">
        <v>17</v>
      </c>
      <c r="E15093" t="s">
        <v>12</v>
      </c>
      <c r="F15093">
        <v>43913973</v>
      </c>
      <c r="G15093">
        <v>43914005</v>
      </c>
      <c r="H15093">
        <v>43913919</v>
      </c>
      <c r="I15093">
        <v>43913967</v>
      </c>
    </row>
    <row r="15094" spans="1:9" x14ac:dyDescent="0.2">
      <c r="A15094" s="1" t="str">
        <f>"RNF166"</f>
        <v>RNF166</v>
      </c>
      <c r="B15094" t="s">
        <v>9</v>
      </c>
      <c r="C15094" t="s">
        <v>31</v>
      </c>
      <c r="D15094" t="s">
        <v>11</v>
      </c>
      <c r="E15094" t="s">
        <v>12</v>
      </c>
      <c r="F15094">
        <v>88772761</v>
      </c>
      <c r="G15094">
        <v>88772839</v>
      </c>
      <c r="H15094">
        <v>88772761</v>
      </c>
      <c r="I15094">
        <v>88772839</v>
      </c>
    </row>
    <row r="15095" spans="1:9" x14ac:dyDescent="0.2">
      <c r="A15095" s="1" t="str">
        <f>"RNF166"</f>
        <v>RNF166</v>
      </c>
      <c r="B15095" t="s">
        <v>13</v>
      </c>
      <c r="C15095" t="s">
        <v>31</v>
      </c>
      <c r="D15095" t="s">
        <v>11</v>
      </c>
      <c r="E15095" t="s">
        <v>12</v>
      </c>
      <c r="F15095">
        <v>88769979</v>
      </c>
      <c r="G15095">
        <v>88770008</v>
      </c>
      <c r="H15095">
        <v>88769979</v>
      </c>
      <c r="I15095">
        <v>88770008</v>
      </c>
    </row>
    <row r="15096" spans="1:9" x14ac:dyDescent="0.2">
      <c r="A15096" s="1" t="str">
        <f>"RNF167"</f>
        <v>RNF167</v>
      </c>
      <c r="B15096" t="s">
        <v>14</v>
      </c>
      <c r="C15096" t="s">
        <v>28</v>
      </c>
      <c r="D15096" t="s">
        <v>17</v>
      </c>
      <c r="E15096" t="s">
        <v>12</v>
      </c>
      <c r="F15096">
        <v>4843875</v>
      </c>
      <c r="G15096">
        <v>4843941</v>
      </c>
      <c r="H15096">
        <v>4843597</v>
      </c>
      <c r="I15096">
        <v>4843635</v>
      </c>
    </row>
    <row r="15097" spans="1:9" x14ac:dyDescent="0.2">
      <c r="A15097" s="1" t="str">
        <f>"RNF168"</f>
        <v>RNF168</v>
      </c>
      <c r="B15097" t="s">
        <v>14</v>
      </c>
      <c r="C15097" t="s">
        <v>22</v>
      </c>
      <c r="D15097" t="s">
        <v>11</v>
      </c>
      <c r="E15097" t="s">
        <v>12</v>
      </c>
      <c r="F15097">
        <v>196230590</v>
      </c>
      <c r="G15097">
        <v>196230677</v>
      </c>
      <c r="H15097">
        <v>196230551</v>
      </c>
      <c r="I15097">
        <v>196230576</v>
      </c>
    </row>
    <row r="15098" spans="1:9" x14ac:dyDescent="0.2">
      <c r="A15098" s="1" t="str">
        <f>"RNF169"</f>
        <v>RNF169</v>
      </c>
      <c r="B15098" t="s">
        <v>14</v>
      </c>
      <c r="C15098" t="s">
        <v>27</v>
      </c>
      <c r="D15098" t="s">
        <v>17</v>
      </c>
      <c r="E15098" t="s">
        <v>12</v>
      </c>
      <c r="F15098">
        <v>74459876</v>
      </c>
      <c r="G15098">
        <v>74459930</v>
      </c>
      <c r="H15098">
        <v>74459876</v>
      </c>
      <c r="I15098">
        <v>74459930</v>
      </c>
    </row>
    <row r="15099" spans="1:9" x14ac:dyDescent="0.2">
      <c r="A15099" s="1" t="str">
        <f>"RNF17"</f>
        <v>RNF17</v>
      </c>
      <c r="B15099" t="s">
        <v>14</v>
      </c>
      <c r="C15099" t="s">
        <v>39</v>
      </c>
      <c r="D15099" t="s">
        <v>17</v>
      </c>
      <c r="E15099" t="s">
        <v>12</v>
      </c>
      <c r="F15099">
        <v>25338297</v>
      </c>
      <c r="G15099">
        <v>25338335</v>
      </c>
      <c r="H15099">
        <v>25338297</v>
      </c>
      <c r="I15099">
        <v>25338335</v>
      </c>
    </row>
    <row r="15100" spans="1:9" x14ac:dyDescent="0.2">
      <c r="A15100" s="1" t="str">
        <f>"RNF170"</f>
        <v>RNF170</v>
      </c>
      <c r="B15100" t="s">
        <v>14</v>
      </c>
      <c r="C15100" t="s">
        <v>30</v>
      </c>
      <c r="D15100" t="s">
        <v>11</v>
      </c>
      <c r="E15100" t="s">
        <v>12</v>
      </c>
      <c r="F15100">
        <v>42751728</v>
      </c>
      <c r="G15100">
        <v>42751806</v>
      </c>
      <c r="H15100">
        <v>42751820</v>
      </c>
      <c r="I15100">
        <v>42751874</v>
      </c>
    </row>
    <row r="15101" spans="1:9" x14ac:dyDescent="0.2">
      <c r="A15101" s="1" t="str">
        <f>"RNF175"</f>
        <v>RNF175</v>
      </c>
      <c r="B15101" t="s">
        <v>14</v>
      </c>
      <c r="C15101" t="s">
        <v>23</v>
      </c>
      <c r="D15101" t="s">
        <v>11</v>
      </c>
      <c r="E15101" t="s">
        <v>12</v>
      </c>
      <c r="F15101">
        <v>154681108</v>
      </c>
      <c r="G15101">
        <v>154681198</v>
      </c>
      <c r="H15101">
        <v>154681317</v>
      </c>
      <c r="I15101">
        <v>154681353</v>
      </c>
    </row>
    <row r="15102" spans="1:9" x14ac:dyDescent="0.2">
      <c r="A15102" s="1" t="str">
        <f>"RNF180"</f>
        <v>RNF180</v>
      </c>
      <c r="B15102" t="s">
        <v>14</v>
      </c>
      <c r="C15102" t="s">
        <v>46</v>
      </c>
      <c r="D15102" t="s">
        <v>17</v>
      </c>
      <c r="E15102" t="s">
        <v>12</v>
      </c>
      <c r="F15102">
        <v>63461642</v>
      </c>
      <c r="G15102">
        <v>63461722</v>
      </c>
      <c r="H15102">
        <v>63461526</v>
      </c>
      <c r="I15102">
        <v>63461560</v>
      </c>
    </row>
    <row r="15103" spans="1:9" x14ac:dyDescent="0.2">
      <c r="A15103" s="1" t="str">
        <f>"RNF181"</f>
        <v>RNF181</v>
      </c>
      <c r="B15103" t="s">
        <v>14</v>
      </c>
      <c r="C15103" t="s">
        <v>26</v>
      </c>
      <c r="D15103" t="s">
        <v>17</v>
      </c>
      <c r="E15103" t="s">
        <v>12</v>
      </c>
      <c r="F15103">
        <v>85822859</v>
      </c>
      <c r="G15103">
        <v>85822884</v>
      </c>
      <c r="H15103">
        <v>85822839</v>
      </c>
      <c r="I15103">
        <v>85822853</v>
      </c>
    </row>
    <row r="15104" spans="1:9" x14ac:dyDescent="0.2">
      <c r="A15104" s="1" t="str">
        <f>"RNF182"</f>
        <v>RNF182</v>
      </c>
      <c r="B15104" t="s">
        <v>14</v>
      </c>
      <c r="C15104" t="s">
        <v>32</v>
      </c>
      <c r="D15104" t="s">
        <v>17</v>
      </c>
      <c r="E15104" t="s">
        <v>12</v>
      </c>
      <c r="F15104">
        <v>13925170</v>
      </c>
      <c r="G15104">
        <v>13925234</v>
      </c>
      <c r="H15104">
        <v>13925318</v>
      </c>
      <c r="I15104">
        <v>13925342</v>
      </c>
    </row>
    <row r="15105" spans="1:9" x14ac:dyDescent="0.2">
      <c r="A15105" s="1" t="str">
        <f>"RNF183"</f>
        <v>RNF183</v>
      </c>
      <c r="B15105" t="s">
        <v>14</v>
      </c>
      <c r="C15105" t="s">
        <v>24</v>
      </c>
      <c r="D15105" t="s">
        <v>11</v>
      </c>
      <c r="E15105" t="s">
        <v>12</v>
      </c>
      <c r="F15105">
        <v>116065387</v>
      </c>
      <c r="G15105">
        <v>116065405</v>
      </c>
      <c r="H15105">
        <v>116065446</v>
      </c>
      <c r="I15105">
        <v>116065452</v>
      </c>
    </row>
    <row r="15106" spans="1:9" x14ac:dyDescent="0.2">
      <c r="A15106" s="1" t="str">
        <f>"RNF185"</f>
        <v>RNF185</v>
      </c>
      <c r="B15106" t="s">
        <v>14</v>
      </c>
      <c r="C15106" t="s">
        <v>21</v>
      </c>
      <c r="D15106" t="s">
        <v>17</v>
      </c>
      <c r="E15106" t="s">
        <v>12</v>
      </c>
      <c r="F15106">
        <v>31556134</v>
      </c>
      <c r="G15106">
        <v>31556263</v>
      </c>
      <c r="H15106">
        <v>31556134</v>
      </c>
      <c r="I15106">
        <v>31556263</v>
      </c>
    </row>
    <row r="15107" spans="1:9" x14ac:dyDescent="0.2">
      <c r="A15107" s="1" t="str">
        <f>"RNF186"</f>
        <v>RNF186</v>
      </c>
      <c r="B15107" t="s">
        <v>14</v>
      </c>
      <c r="C15107" t="s">
        <v>19</v>
      </c>
      <c r="D15107" t="s">
        <v>11</v>
      </c>
      <c r="E15107" t="s">
        <v>12</v>
      </c>
      <c r="F15107">
        <v>20141763</v>
      </c>
      <c r="G15107">
        <v>20141778</v>
      </c>
      <c r="H15107">
        <v>20141643</v>
      </c>
      <c r="I15107">
        <v>20141657</v>
      </c>
    </row>
    <row r="15108" spans="1:9" x14ac:dyDescent="0.2">
      <c r="A15108" s="1" t="str">
        <f>"RNF187"</f>
        <v>RNF187</v>
      </c>
      <c r="B15108" t="s">
        <v>9</v>
      </c>
      <c r="C15108" t="s">
        <v>19</v>
      </c>
      <c r="D15108" t="s">
        <v>17</v>
      </c>
      <c r="E15108" t="s">
        <v>12</v>
      </c>
      <c r="F15108">
        <v>228675057</v>
      </c>
      <c r="G15108">
        <v>228675128</v>
      </c>
      <c r="H15108">
        <v>228675057</v>
      </c>
      <c r="I15108">
        <v>228675128</v>
      </c>
    </row>
    <row r="15109" spans="1:9" x14ac:dyDescent="0.2">
      <c r="A15109" s="1" t="str">
        <f>"RNF187"</f>
        <v>RNF187</v>
      </c>
      <c r="B15109" t="s">
        <v>13</v>
      </c>
      <c r="C15109" t="s">
        <v>19</v>
      </c>
      <c r="D15109" t="s">
        <v>17</v>
      </c>
      <c r="E15109" t="s">
        <v>12</v>
      </c>
      <c r="F15109">
        <v>228680853</v>
      </c>
      <c r="G15109">
        <v>228680891</v>
      </c>
      <c r="H15109">
        <v>228680853</v>
      </c>
      <c r="I15109">
        <v>228680891</v>
      </c>
    </row>
    <row r="15110" spans="1:9" x14ac:dyDescent="0.2">
      <c r="A15110" s="1" t="str">
        <f>"RNF19A"</f>
        <v>RNF19A</v>
      </c>
      <c r="B15110" t="s">
        <v>14</v>
      </c>
      <c r="C15110" t="s">
        <v>30</v>
      </c>
      <c r="D15110" t="s">
        <v>11</v>
      </c>
      <c r="E15110" t="s">
        <v>12</v>
      </c>
      <c r="F15110">
        <v>101322154</v>
      </c>
      <c r="G15110">
        <v>101322207</v>
      </c>
      <c r="H15110">
        <v>101322317</v>
      </c>
      <c r="I15110">
        <v>101322334</v>
      </c>
    </row>
    <row r="15111" spans="1:9" x14ac:dyDescent="0.2">
      <c r="A15111" s="1" t="str">
        <f>"RNF19B"</f>
        <v>RNF19B</v>
      </c>
      <c r="B15111" t="s">
        <v>14</v>
      </c>
      <c r="C15111" t="s">
        <v>19</v>
      </c>
      <c r="D15111" t="s">
        <v>11</v>
      </c>
      <c r="E15111" t="s">
        <v>12</v>
      </c>
      <c r="F15111">
        <v>33430403</v>
      </c>
      <c r="G15111">
        <v>33430421</v>
      </c>
      <c r="H15111">
        <v>33430403</v>
      </c>
      <c r="I15111">
        <v>33430421</v>
      </c>
    </row>
    <row r="15112" spans="1:9" x14ac:dyDescent="0.2">
      <c r="A15112" s="1" t="str">
        <f>"RNF2"</f>
        <v>RNF2</v>
      </c>
      <c r="B15112" t="s">
        <v>14</v>
      </c>
      <c r="C15112" t="s">
        <v>19</v>
      </c>
      <c r="D15112" t="s">
        <v>17</v>
      </c>
      <c r="E15112" t="s">
        <v>12</v>
      </c>
      <c r="F15112">
        <v>185014647</v>
      </c>
      <c r="G15112">
        <v>185014700</v>
      </c>
      <c r="H15112">
        <v>185014529</v>
      </c>
      <c r="I15112">
        <v>185014600</v>
      </c>
    </row>
    <row r="15113" spans="1:9" x14ac:dyDescent="0.2">
      <c r="A15113" s="1" t="str">
        <f>"RNF20"</f>
        <v>RNF20</v>
      </c>
      <c r="B15113" t="s">
        <v>14</v>
      </c>
      <c r="C15113" t="s">
        <v>24</v>
      </c>
      <c r="D15113" t="s">
        <v>17</v>
      </c>
      <c r="E15113" t="s">
        <v>12</v>
      </c>
      <c r="F15113">
        <v>104296122</v>
      </c>
      <c r="G15113">
        <v>104296161</v>
      </c>
      <c r="H15113">
        <v>104296163</v>
      </c>
      <c r="I15113">
        <v>104296183</v>
      </c>
    </row>
    <row r="15114" spans="1:9" x14ac:dyDescent="0.2">
      <c r="A15114" s="1" t="str">
        <f>"RNF207"</f>
        <v>RNF207</v>
      </c>
      <c r="B15114" t="s">
        <v>9</v>
      </c>
      <c r="C15114" t="s">
        <v>19</v>
      </c>
      <c r="D15114" t="s">
        <v>17</v>
      </c>
      <c r="E15114" t="s">
        <v>12</v>
      </c>
      <c r="F15114">
        <v>6266137</v>
      </c>
      <c r="G15114">
        <v>6266204</v>
      </c>
      <c r="H15114">
        <v>6266137</v>
      </c>
      <c r="I15114">
        <v>6266204</v>
      </c>
    </row>
    <row r="15115" spans="1:9" x14ac:dyDescent="0.2">
      <c r="A15115" s="1" t="str">
        <f>"RNF207"</f>
        <v>RNF207</v>
      </c>
      <c r="B15115" t="s">
        <v>13</v>
      </c>
      <c r="C15115" t="s">
        <v>19</v>
      </c>
      <c r="D15115" t="s">
        <v>17</v>
      </c>
      <c r="E15115" t="s">
        <v>12</v>
      </c>
      <c r="F15115">
        <v>6268908</v>
      </c>
      <c r="G15115">
        <v>6268971</v>
      </c>
      <c r="H15115">
        <v>6268908</v>
      </c>
      <c r="I15115">
        <v>6268971</v>
      </c>
    </row>
    <row r="15116" spans="1:9" x14ac:dyDescent="0.2">
      <c r="A15116" s="1" t="str">
        <f>"RNF208"</f>
        <v>RNF208</v>
      </c>
      <c r="B15116" t="s">
        <v>14</v>
      </c>
      <c r="C15116" t="s">
        <v>24</v>
      </c>
      <c r="D15116" t="s">
        <v>11</v>
      </c>
      <c r="E15116" t="s">
        <v>12</v>
      </c>
      <c r="F15116">
        <v>140115878</v>
      </c>
      <c r="G15116">
        <v>140115908</v>
      </c>
      <c r="H15116">
        <v>140115691</v>
      </c>
      <c r="I15116">
        <v>140115725</v>
      </c>
    </row>
    <row r="15117" spans="1:9" x14ac:dyDescent="0.2">
      <c r="A15117" s="1" t="str">
        <f>"RNF212"</f>
        <v>RNF212</v>
      </c>
      <c r="B15117" t="s">
        <v>14</v>
      </c>
      <c r="C15117" t="s">
        <v>23</v>
      </c>
      <c r="D15117" t="s">
        <v>11</v>
      </c>
      <c r="E15117" t="s">
        <v>12</v>
      </c>
      <c r="F15117">
        <v>1107306</v>
      </c>
      <c r="G15117">
        <v>1107369</v>
      </c>
      <c r="H15117">
        <v>1107306</v>
      </c>
      <c r="I15117">
        <v>1107369</v>
      </c>
    </row>
    <row r="15118" spans="1:9" x14ac:dyDescent="0.2">
      <c r="A15118" s="1" t="str">
        <f>"RNF213"</f>
        <v>RNF213</v>
      </c>
      <c r="B15118" t="s">
        <v>9</v>
      </c>
      <c r="C15118" t="s">
        <v>28</v>
      </c>
      <c r="D15118" t="s">
        <v>17</v>
      </c>
      <c r="E15118" t="s">
        <v>12</v>
      </c>
      <c r="F15118">
        <v>78234625</v>
      </c>
      <c r="G15118">
        <v>78234683</v>
      </c>
      <c r="H15118">
        <v>78234625</v>
      </c>
      <c r="I15118">
        <v>78234683</v>
      </c>
    </row>
    <row r="15119" spans="1:9" x14ac:dyDescent="0.2">
      <c r="A15119" s="1" t="str">
        <f>"RNF213"</f>
        <v>RNF213</v>
      </c>
      <c r="B15119" t="s">
        <v>13</v>
      </c>
      <c r="C15119" t="s">
        <v>28</v>
      </c>
      <c r="D15119" t="s">
        <v>17</v>
      </c>
      <c r="E15119" t="s">
        <v>12</v>
      </c>
      <c r="F15119">
        <v>78261736</v>
      </c>
      <c r="G15119">
        <v>78261799</v>
      </c>
      <c r="H15119">
        <v>78261736</v>
      </c>
      <c r="I15119">
        <v>78261799</v>
      </c>
    </row>
    <row r="15120" spans="1:9" x14ac:dyDescent="0.2">
      <c r="A15120" s="1" t="str">
        <f>"RNF214"</f>
        <v>RNF214</v>
      </c>
      <c r="B15120" t="s">
        <v>14</v>
      </c>
      <c r="C15120" t="s">
        <v>27</v>
      </c>
      <c r="D15120" t="s">
        <v>17</v>
      </c>
      <c r="E15120" t="s">
        <v>12</v>
      </c>
      <c r="F15120">
        <v>117103333</v>
      </c>
      <c r="G15120">
        <v>117103419</v>
      </c>
      <c r="H15120">
        <v>117103333</v>
      </c>
      <c r="I15120">
        <v>117103419</v>
      </c>
    </row>
    <row r="15121" spans="1:9" x14ac:dyDescent="0.2">
      <c r="A15121" s="1" t="str">
        <f>"RNF215"</f>
        <v>RNF215</v>
      </c>
      <c r="B15121" t="s">
        <v>14</v>
      </c>
      <c r="C15121" t="s">
        <v>21</v>
      </c>
      <c r="D15121" t="s">
        <v>11</v>
      </c>
      <c r="E15121" t="s">
        <v>12</v>
      </c>
      <c r="F15121">
        <v>30783356</v>
      </c>
      <c r="G15121">
        <v>30783415</v>
      </c>
      <c r="H15121">
        <v>30783356</v>
      </c>
      <c r="I15121">
        <v>30783415</v>
      </c>
    </row>
    <row r="15122" spans="1:9" x14ac:dyDescent="0.2">
      <c r="A15122" s="1" t="str">
        <f>"RNF216"</f>
        <v>RNF216</v>
      </c>
      <c r="B15122" t="s">
        <v>14</v>
      </c>
      <c r="C15122" t="s">
        <v>33</v>
      </c>
      <c r="D15122" t="s">
        <v>11</v>
      </c>
      <c r="E15122" t="s">
        <v>12</v>
      </c>
      <c r="F15122">
        <v>5821225</v>
      </c>
      <c r="G15122">
        <v>5821312</v>
      </c>
      <c r="H15122">
        <v>5821314</v>
      </c>
      <c r="I15122">
        <v>5821319</v>
      </c>
    </row>
    <row r="15123" spans="1:9" x14ac:dyDescent="0.2">
      <c r="A15123" s="1" t="str">
        <f>"RNF217"</f>
        <v>RNF217</v>
      </c>
      <c r="B15123" t="s">
        <v>14</v>
      </c>
      <c r="C15123" t="s">
        <v>32</v>
      </c>
      <c r="D15123" t="s">
        <v>17</v>
      </c>
      <c r="E15123" t="s">
        <v>12</v>
      </c>
      <c r="F15123">
        <v>125283157</v>
      </c>
      <c r="G15123">
        <v>125283197</v>
      </c>
      <c r="H15123">
        <v>125283242</v>
      </c>
      <c r="I15123">
        <v>125283303</v>
      </c>
    </row>
    <row r="15124" spans="1:9" x14ac:dyDescent="0.2">
      <c r="A15124" s="1" t="str">
        <f>"RNF219"</f>
        <v>RNF219</v>
      </c>
      <c r="B15124" t="s">
        <v>14</v>
      </c>
      <c r="C15124" t="s">
        <v>39</v>
      </c>
      <c r="D15124" t="s">
        <v>11</v>
      </c>
      <c r="E15124" t="s">
        <v>12</v>
      </c>
      <c r="F15124">
        <v>79233259</v>
      </c>
      <c r="G15124">
        <v>79233309</v>
      </c>
      <c r="H15124">
        <v>79233314</v>
      </c>
      <c r="I15124">
        <v>79233331</v>
      </c>
    </row>
    <row r="15125" spans="1:9" x14ac:dyDescent="0.2">
      <c r="A15125" s="1" t="str">
        <f>"RNF220"</f>
        <v>RNF220</v>
      </c>
      <c r="B15125" t="s">
        <v>1495</v>
      </c>
      <c r="C15125" t="s">
        <v>19</v>
      </c>
      <c r="D15125" t="s">
        <v>17</v>
      </c>
      <c r="E15125" t="s">
        <v>35</v>
      </c>
      <c r="F15125">
        <v>44889568</v>
      </c>
      <c r="G15125">
        <v>44889571</v>
      </c>
      <c r="H15125">
        <v>44889751</v>
      </c>
      <c r="I15125">
        <v>44889754</v>
      </c>
    </row>
    <row r="15126" spans="1:9" x14ac:dyDescent="0.2">
      <c r="A15126" s="1" t="str">
        <f>"RNF222"</f>
        <v>RNF222</v>
      </c>
      <c r="B15126" t="s">
        <v>14</v>
      </c>
      <c r="C15126" t="s">
        <v>28</v>
      </c>
      <c r="D15126" t="s">
        <v>11</v>
      </c>
      <c r="E15126" t="s">
        <v>12</v>
      </c>
      <c r="F15126">
        <v>8301132</v>
      </c>
      <c r="G15126">
        <v>8301150</v>
      </c>
      <c r="H15126">
        <v>8301111</v>
      </c>
      <c r="I15126">
        <v>8301119</v>
      </c>
    </row>
    <row r="15127" spans="1:9" x14ac:dyDescent="0.2">
      <c r="A15127" s="1" t="str">
        <f>"RNF223"</f>
        <v>RNF223</v>
      </c>
      <c r="B15127" t="s">
        <v>14</v>
      </c>
      <c r="C15127" t="s">
        <v>19</v>
      </c>
      <c r="D15127" t="s">
        <v>11</v>
      </c>
      <c r="E15127" t="s">
        <v>12</v>
      </c>
      <c r="F15127">
        <v>1009683</v>
      </c>
      <c r="G15127">
        <v>1009688</v>
      </c>
      <c r="H15127">
        <v>1009579</v>
      </c>
      <c r="I15127">
        <v>1009607</v>
      </c>
    </row>
    <row r="15128" spans="1:9" x14ac:dyDescent="0.2">
      <c r="A15128" s="1" t="str">
        <f>"RNF224"</f>
        <v>RNF224</v>
      </c>
      <c r="B15128" t="s">
        <v>14</v>
      </c>
      <c r="C15128" t="s">
        <v>24</v>
      </c>
      <c r="D15128" t="s">
        <v>17</v>
      </c>
      <c r="E15128" t="s">
        <v>12</v>
      </c>
      <c r="F15128">
        <v>140121950</v>
      </c>
      <c r="G15128">
        <v>140121971</v>
      </c>
      <c r="H15128">
        <v>140121840</v>
      </c>
      <c r="I15128">
        <v>140121843</v>
      </c>
    </row>
    <row r="15129" spans="1:9" x14ac:dyDescent="0.2">
      <c r="A15129" s="1" t="str">
        <f>"RNF24"</f>
        <v>RNF24</v>
      </c>
      <c r="B15129" t="s">
        <v>14</v>
      </c>
      <c r="C15129" t="s">
        <v>29</v>
      </c>
      <c r="D15129" t="s">
        <v>11</v>
      </c>
      <c r="E15129" t="s">
        <v>12</v>
      </c>
      <c r="F15129">
        <v>3996165</v>
      </c>
      <c r="G15129">
        <v>3996245</v>
      </c>
      <c r="H15129">
        <v>3996144</v>
      </c>
      <c r="I15129">
        <v>3996153</v>
      </c>
    </row>
    <row r="15130" spans="1:9" x14ac:dyDescent="0.2">
      <c r="A15130" s="1" t="str">
        <f>"RNF25"</f>
        <v>RNF25</v>
      </c>
      <c r="B15130" t="s">
        <v>9</v>
      </c>
      <c r="C15130" t="s">
        <v>26</v>
      </c>
      <c r="D15130" t="s">
        <v>11</v>
      </c>
      <c r="E15130" t="s">
        <v>12</v>
      </c>
      <c r="F15130">
        <v>219536693</v>
      </c>
      <c r="G15130">
        <v>219536732</v>
      </c>
      <c r="H15130">
        <v>219536693</v>
      </c>
      <c r="I15130">
        <v>219536732</v>
      </c>
    </row>
    <row r="15131" spans="1:9" x14ac:dyDescent="0.2">
      <c r="A15131" s="1" t="str">
        <f>"RNF25"</f>
        <v>RNF25</v>
      </c>
      <c r="B15131" t="s">
        <v>13</v>
      </c>
      <c r="C15131" t="s">
        <v>26</v>
      </c>
      <c r="D15131" t="s">
        <v>11</v>
      </c>
      <c r="E15131" t="s">
        <v>12</v>
      </c>
      <c r="F15131">
        <v>219529512</v>
      </c>
      <c r="G15131">
        <v>219529516</v>
      </c>
      <c r="H15131">
        <v>219529512</v>
      </c>
      <c r="I15131">
        <v>219529516</v>
      </c>
    </row>
    <row r="15132" spans="1:9" x14ac:dyDescent="0.2">
      <c r="A15132" s="1" t="str">
        <f>"RNF26"</f>
        <v>RNF26</v>
      </c>
      <c r="B15132" t="s">
        <v>14</v>
      </c>
      <c r="C15132" t="s">
        <v>27</v>
      </c>
      <c r="D15132" t="s">
        <v>17</v>
      </c>
      <c r="E15132" t="s">
        <v>12</v>
      </c>
      <c r="F15132">
        <v>119205222</v>
      </c>
      <c r="G15132">
        <v>119205247</v>
      </c>
      <c r="H15132">
        <v>119205222</v>
      </c>
      <c r="I15132">
        <v>119205247</v>
      </c>
    </row>
    <row r="15133" spans="1:9" x14ac:dyDescent="0.2">
      <c r="A15133" s="1" t="str">
        <f>"RNF31"</f>
        <v>RNF31</v>
      </c>
      <c r="B15133" t="s">
        <v>14</v>
      </c>
      <c r="C15133" t="s">
        <v>41</v>
      </c>
      <c r="D15133" t="s">
        <v>17</v>
      </c>
      <c r="E15133" t="s">
        <v>12</v>
      </c>
      <c r="F15133">
        <v>24616683</v>
      </c>
      <c r="G15133">
        <v>24616743</v>
      </c>
      <c r="H15133">
        <v>24615941</v>
      </c>
      <c r="I15133">
        <v>24615970</v>
      </c>
    </row>
    <row r="15134" spans="1:9" x14ac:dyDescent="0.2">
      <c r="A15134" s="1" t="str">
        <f>"RNF32"</f>
        <v>RNF32</v>
      </c>
      <c r="B15134" t="s">
        <v>14</v>
      </c>
      <c r="C15134" t="s">
        <v>33</v>
      </c>
      <c r="D15134" t="s">
        <v>17</v>
      </c>
      <c r="E15134" t="s">
        <v>12</v>
      </c>
      <c r="F15134">
        <v>156433396</v>
      </c>
      <c r="G15134">
        <v>156433448</v>
      </c>
      <c r="H15134">
        <v>156433461</v>
      </c>
      <c r="I15134">
        <v>156433493</v>
      </c>
    </row>
    <row r="15135" spans="1:9" x14ac:dyDescent="0.2">
      <c r="A15135" s="1" t="str">
        <f>"RNF34"</f>
        <v>RNF34</v>
      </c>
      <c r="B15135" t="s">
        <v>14</v>
      </c>
      <c r="C15135" t="s">
        <v>16</v>
      </c>
      <c r="D15135" t="s">
        <v>17</v>
      </c>
      <c r="E15135" t="s">
        <v>12</v>
      </c>
      <c r="F15135">
        <v>121837905</v>
      </c>
      <c r="G15135">
        <v>121837956</v>
      </c>
      <c r="H15135">
        <v>121837881</v>
      </c>
      <c r="I15135">
        <v>121837892</v>
      </c>
    </row>
    <row r="15136" spans="1:9" x14ac:dyDescent="0.2">
      <c r="A15136" s="1" t="str">
        <f>"RNF38"</f>
        <v>RNF38</v>
      </c>
      <c r="B15136" t="s">
        <v>1496</v>
      </c>
      <c r="C15136" t="s">
        <v>24</v>
      </c>
      <c r="D15136" t="s">
        <v>11</v>
      </c>
      <c r="E15136" t="s">
        <v>35</v>
      </c>
      <c r="F15136">
        <v>36401105</v>
      </c>
      <c r="G15136">
        <v>36401115</v>
      </c>
      <c r="H15136">
        <v>36400736</v>
      </c>
      <c r="I15136">
        <v>36400797</v>
      </c>
    </row>
    <row r="15137" spans="1:9" x14ac:dyDescent="0.2">
      <c r="A15137" s="1" t="str">
        <f>"RNF38"</f>
        <v>RNF38</v>
      </c>
      <c r="B15137" t="s">
        <v>1497</v>
      </c>
      <c r="C15137" t="s">
        <v>24</v>
      </c>
      <c r="D15137" t="s">
        <v>11</v>
      </c>
      <c r="E15137" t="s">
        <v>35</v>
      </c>
      <c r="F15137">
        <v>36401267</v>
      </c>
      <c r="G15137">
        <v>36401276</v>
      </c>
      <c r="H15137">
        <v>36401105</v>
      </c>
      <c r="I15137">
        <v>36401115</v>
      </c>
    </row>
    <row r="15138" spans="1:9" x14ac:dyDescent="0.2">
      <c r="A15138" s="1" t="str">
        <f>"RNF39"</f>
        <v>RNF39</v>
      </c>
      <c r="B15138" t="s">
        <v>14</v>
      </c>
      <c r="C15138" t="s">
        <v>32</v>
      </c>
      <c r="D15138" t="s">
        <v>11</v>
      </c>
      <c r="E15138" t="s">
        <v>12</v>
      </c>
      <c r="F15138">
        <v>30043539</v>
      </c>
      <c r="G15138">
        <v>30043554</v>
      </c>
      <c r="H15138">
        <v>30043649</v>
      </c>
      <c r="I15138">
        <v>30043666</v>
      </c>
    </row>
    <row r="15139" spans="1:9" x14ac:dyDescent="0.2">
      <c r="A15139" s="1" t="str">
        <f>"RNF4"</f>
        <v>RNF4</v>
      </c>
      <c r="B15139" t="s">
        <v>14</v>
      </c>
      <c r="C15139" t="s">
        <v>23</v>
      </c>
      <c r="D15139" t="s">
        <v>17</v>
      </c>
      <c r="E15139" t="s">
        <v>12</v>
      </c>
      <c r="F15139">
        <v>2470824</v>
      </c>
      <c r="G15139">
        <v>2470882</v>
      </c>
      <c r="H15139">
        <v>2470901</v>
      </c>
      <c r="I15139">
        <v>2470915</v>
      </c>
    </row>
    <row r="15140" spans="1:9" x14ac:dyDescent="0.2">
      <c r="A15140" s="1" t="str">
        <f>"RNF40"</f>
        <v>RNF40</v>
      </c>
      <c r="B15140" t="s">
        <v>14</v>
      </c>
      <c r="C15140" t="s">
        <v>31</v>
      </c>
      <c r="D15140" t="s">
        <v>17</v>
      </c>
      <c r="E15140" t="s">
        <v>12</v>
      </c>
      <c r="F15140">
        <v>30773636</v>
      </c>
      <c r="G15140">
        <v>30773651</v>
      </c>
      <c r="H15140">
        <v>30773624</v>
      </c>
      <c r="I15140">
        <v>30773635</v>
      </c>
    </row>
    <row r="15141" spans="1:9" x14ac:dyDescent="0.2">
      <c r="A15141" s="1" t="str">
        <f>"RNF41"</f>
        <v>RNF41</v>
      </c>
      <c r="B15141" t="s">
        <v>14</v>
      </c>
      <c r="C15141" t="s">
        <v>16</v>
      </c>
      <c r="D15141" t="s">
        <v>11</v>
      </c>
      <c r="E15141" t="s">
        <v>12</v>
      </c>
      <c r="F15141">
        <v>56615642</v>
      </c>
      <c r="G15141">
        <v>56615685</v>
      </c>
      <c r="H15141">
        <v>56615697</v>
      </c>
      <c r="I15141">
        <v>56615758</v>
      </c>
    </row>
    <row r="15142" spans="1:9" x14ac:dyDescent="0.2">
      <c r="A15142" s="1" t="str">
        <f>"RNF43"</f>
        <v>RNF43</v>
      </c>
      <c r="B15142" t="s">
        <v>14</v>
      </c>
      <c r="C15142" t="s">
        <v>28</v>
      </c>
      <c r="D15142" t="s">
        <v>11</v>
      </c>
      <c r="E15142" t="s">
        <v>12</v>
      </c>
      <c r="F15142">
        <v>56494882</v>
      </c>
      <c r="G15142">
        <v>56494902</v>
      </c>
      <c r="H15142">
        <v>56494908</v>
      </c>
      <c r="I15142">
        <v>56494949</v>
      </c>
    </row>
    <row r="15143" spans="1:9" x14ac:dyDescent="0.2">
      <c r="A15143" s="1" t="str">
        <f>"RNF44"</f>
        <v>RNF44</v>
      </c>
      <c r="B15143" t="s">
        <v>14</v>
      </c>
      <c r="C15143" t="s">
        <v>46</v>
      </c>
      <c r="D15143" t="s">
        <v>11</v>
      </c>
      <c r="E15143" t="s">
        <v>12</v>
      </c>
      <c r="F15143">
        <v>175964816</v>
      </c>
      <c r="G15143">
        <v>175964887</v>
      </c>
      <c r="H15143">
        <v>175964366</v>
      </c>
      <c r="I15143">
        <v>175964429</v>
      </c>
    </row>
    <row r="15144" spans="1:9" x14ac:dyDescent="0.2">
      <c r="A15144" s="1" t="str">
        <f>"RNF5"</f>
        <v>RNF5</v>
      </c>
      <c r="B15144" t="s">
        <v>14</v>
      </c>
      <c r="C15144" t="s">
        <v>32</v>
      </c>
      <c r="D15144" t="s">
        <v>17</v>
      </c>
      <c r="E15144" t="s">
        <v>12</v>
      </c>
      <c r="F15144">
        <v>32146167</v>
      </c>
      <c r="G15144">
        <v>32146230</v>
      </c>
      <c r="H15144">
        <v>32146268</v>
      </c>
      <c r="I15144">
        <v>32146280</v>
      </c>
    </row>
    <row r="15145" spans="1:9" x14ac:dyDescent="0.2">
      <c r="A15145" s="1" t="str">
        <f>"RNF6"</f>
        <v>RNF6</v>
      </c>
      <c r="B15145" t="s">
        <v>14</v>
      </c>
      <c r="C15145" t="s">
        <v>39</v>
      </c>
      <c r="D15145" t="s">
        <v>11</v>
      </c>
      <c r="E15145" t="s">
        <v>12</v>
      </c>
      <c r="F15145">
        <v>26796392</v>
      </c>
      <c r="G15145">
        <v>26796463</v>
      </c>
      <c r="H15145">
        <v>26795934</v>
      </c>
      <c r="I15145">
        <v>26795995</v>
      </c>
    </row>
    <row r="15146" spans="1:9" x14ac:dyDescent="0.2">
      <c r="A15146" s="1" t="str">
        <f>"RNF7"</f>
        <v>RNF7</v>
      </c>
      <c r="B15146" t="s">
        <v>14</v>
      </c>
      <c r="C15146" t="s">
        <v>22</v>
      </c>
      <c r="D15146" t="s">
        <v>17</v>
      </c>
      <c r="E15146" t="s">
        <v>12</v>
      </c>
      <c r="F15146">
        <v>141457105</v>
      </c>
      <c r="G15146">
        <v>141457189</v>
      </c>
      <c r="H15146">
        <v>141457085</v>
      </c>
      <c r="I15146">
        <v>141457099</v>
      </c>
    </row>
    <row r="15147" spans="1:9" x14ac:dyDescent="0.2">
      <c r="A15147" s="1" t="str">
        <f>"RNF8"</f>
        <v>RNF8</v>
      </c>
      <c r="B15147" t="s">
        <v>14</v>
      </c>
      <c r="C15147" t="s">
        <v>32</v>
      </c>
      <c r="D15147" t="s">
        <v>17</v>
      </c>
      <c r="E15147" t="s">
        <v>12</v>
      </c>
      <c r="F15147">
        <v>37321751</v>
      </c>
      <c r="G15147">
        <v>37321815</v>
      </c>
      <c r="H15147">
        <v>37321823</v>
      </c>
      <c r="I15147">
        <v>37321857</v>
      </c>
    </row>
    <row r="15148" spans="1:9" x14ac:dyDescent="0.2">
      <c r="A15148" s="1" t="str">
        <f>"RNFT1"</f>
        <v>RNFT1</v>
      </c>
      <c r="B15148" t="s">
        <v>14</v>
      </c>
      <c r="C15148" t="s">
        <v>28</v>
      </c>
      <c r="D15148" t="s">
        <v>11</v>
      </c>
      <c r="E15148" t="s">
        <v>12</v>
      </c>
      <c r="F15148">
        <v>58042075</v>
      </c>
      <c r="G15148">
        <v>58042135</v>
      </c>
      <c r="H15148">
        <v>58042075</v>
      </c>
      <c r="I15148">
        <v>58042135</v>
      </c>
    </row>
    <row r="15149" spans="1:9" x14ac:dyDescent="0.2">
      <c r="A15149" s="1" t="str">
        <f>"RNFT2"</f>
        <v>RNFT2</v>
      </c>
      <c r="B15149" t="s">
        <v>14</v>
      </c>
      <c r="C15149" t="s">
        <v>16</v>
      </c>
      <c r="D15149" t="s">
        <v>17</v>
      </c>
      <c r="E15149" t="s">
        <v>12</v>
      </c>
      <c r="F15149">
        <v>117176113</v>
      </c>
      <c r="G15149">
        <v>117176135</v>
      </c>
      <c r="H15149">
        <v>117176090</v>
      </c>
      <c r="I15149">
        <v>117176112</v>
      </c>
    </row>
    <row r="15150" spans="1:9" x14ac:dyDescent="0.2">
      <c r="A15150" s="1" t="str">
        <f>"RNGTT"</f>
        <v>RNGTT</v>
      </c>
      <c r="B15150" t="s">
        <v>14</v>
      </c>
      <c r="C15150" t="s">
        <v>32</v>
      </c>
      <c r="D15150" t="s">
        <v>11</v>
      </c>
      <c r="E15150" t="s">
        <v>12</v>
      </c>
      <c r="F15150">
        <v>89673299</v>
      </c>
      <c r="G15150">
        <v>89673349</v>
      </c>
      <c r="H15150">
        <v>89673240</v>
      </c>
      <c r="I15150">
        <v>89673249</v>
      </c>
    </row>
    <row r="15151" spans="1:9" x14ac:dyDescent="0.2">
      <c r="A15151" s="1" t="str">
        <f>"RNH1"</f>
        <v>RNH1</v>
      </c>
      <c r="B15151" t="s">
        <v>14</v>
      </c>
      <c r="C15151" t="s">
        <v>27</v>
      </c>
      <c r="D15151" t="s">
        <v>11</v>
      </c>
      <c r="E15151" t="s">
        <v>12</v>
      </c>
      <c r="F15151">
        <v>507184</v>
      </c>
      <c r="G15151">
        <v>507269</v>
      </c>
      <c r="H15151">
        <v>506739</v>
      </c>
      <c r="I15151">
        <v>506814</v>
      </c>
    </row>
    <row r="15152" spans="1:9" x14ac:dyDescent="0.2">
      <c r="A15152" s="1" t="str">
        <f>"RNLS"</f>
        <v>RNLS</v>
      </c>
      <c r="B15152" t="s">
        <v>14</v>
      </c>
      <c r="C15152" t="s">
        <v>15</v>
      </c>
      <c r="D15152" t="s">
        <v>11</v>
      </c>
      <c r="E15152" t="s">
        <v>12</v>
      </c>
      <c r="F15152">
        <v>90343062</v>
      </c>
      <c r="G15152">
        <v>90343088</v>
      </c>
      <c r="H15152">
        <v>90342964</v>
      </c>
      <c r="I15152">
        <v>90342986</v>
      </c>
    </row>
    <row r="15153" spans="1:9" x14ac:dyDescent="0.2">
      <c r="A15153" s="1" t="str">
        <f>"RNMT"</f>
        <v>RNMT</v>
      </c>
      <c r="B15153" t="s">
        <v>14</v>
      </c>
      <c r="C15153" t="s">
        <v>43</v>
      </c>
      <c r="D15153" t="s">
        <v>17</v>
      </c>
      <c r="E15153" t="s">
        <v>12</v>
      </c>
      <c r="F15153">
        <v>13726645</v>
      </c>
      <c r="G15153">
        <v>13726718</v>
      </c>
      <c r="H15153">
        <v>13726306</v>
      </c>
      <c r="I15153">
        <v>13726355</v>
      </c>
    </row>
    <row r="15154" spans="1:9" x14ac:dyDescent="0.2">
      <c r="A15154" s="1" t="str">
        <f>"RNMTL1"</f>
        <v>RNMTL1</v>
      </c>
      <c r="B15154" t="s">
        <v>14</v>
      </c>
      <c r="C15154" t="s">
        <v>28</v>
      </c>
      <c r="D15154" t="s">
        <v>17</v>
      </c>
      <c r="E15154" t="s">
        <v>12</v>
      </c>
      <c r="F15154">
        <v>685581</v>
      </c>
      <c r="G15154">
        <v>685621</v>
      </c>
      <c r="H15154">
        <v>685638</v>
      </c>
      <c r="I15154">
        <v>685645</v>
      </c>
    </row>
    <row r="15155" spans="1:9" x14ac:dyDescent="0.2">
      <c r="A15155" s="1" t="str">
        <f>"RNPC3"</f>
        <v>RNPC3</v>
      </c>
      <c r="B15155" t="s">
        <v>14</v>
      </c>
      <c r="C15155" t="s">
        <v>19</v>
      </c>
      <c r="D15155" t="s">
        <v>17</v>
      </c>
      <c r="E15155" t="s">
        <v>12</v>
      </c>
      <c r="F15155">
        <v>104068312</v>
      </c>
      <c r="G15155">
        <v>104068352</v>
      </c>
      <c r="H15155">
        <v>104068562</v>
      </c>
      <c r="I15155">
        <v>104068632</v>
      </c>
    </row>
    <row r="15156" spans="1:9" x14ac:dyDescent="0.2">
      <c r="A15156" s="1" t="str">
        <f>"RNPEP"</f>
        <v>RNPEP</v>
      </c>
      <c r="B15156" t="s">
        <v>14</v>
      </c>
      <c r="C15156" t="s">
        <v>19</v>
      </c>
      <c r="D15156" t="s">
        <v>17</v>
      </c>
      <c r="E15156" t="s">
        <v>12</v>
      </c>
      <c r="F15156">
        <v>201951741</v>
      </c>
      <c r="G15156">
        <v>201951794</v>
      </c>
      <c r="H15156">
        <v>201952478</v>
      </c>
      <c r="I15156">
        <v>201952534</v>
      </c>
    </row>
    <row r="15157" spans="1:9" x14ac:dyDescent="0.2">
      <c r="A15157" s="1" t="str">
        <f>"RNPEPL1"</f>
        <v>RNPEPL1</v>
      </c>
      <c r="B15157" t="s">
        <v>14</v>
      </c>
      <c r="C15157" t="s">
        <v>26</v>
      </c>
      <c r="D15157" t="s">
        <v>17</v>
      </c>
      <c r="E15157" t="s">
        <v>12</v>
      </c>
      <c r="F15157">
        <v>241507883</v>
      </c>
      <c r="G15157">
        <v>241507941</v>
      </c>
      <c r="H15157">
        <v>241507962</v>
      </c>
      <c r="I15157">
        <v>241507997</v>
      </c>
    </row>
    <row r="15158" spans="1:9" x14ac:dyDescent="0.2">
      <c r="A15158" s="1" t="str">
        <f>"RNPS1"</f>
        <v>RNPS1</v>
      </c>
      <c r="B15158" t="s">
        <v>14</v>
      </c>
      <c r="C15158" t="s">
        <v>31</v>
      </c>
      <c r="D15158" t="s">
        <v>11</v>
      </c>
      <c r="E15158" t="s">
        <v>12</v>
      </c>
      <c r="F15158">
        <v>2318111</v>
      </c>
      <c r="G15158">
        <v>2318147</v>
      </c>
      <c r="H15158">
        <v>2318081</v>
      </c>
      <c r="I15158">
        <v>2318104</v>
      </c>
    </row>
    <row r="15159" spans="1:9" x14ac:dyDescent="0.2">
      <c r="A15159" s="1" t="str">
        <f>"ROBO1"</f>
        <v>ROBO1</v>
      </c>
      <c r="B15159" t="s">
        <v>1498</v>
      </c>
      <c r="C15159" t="s">
        <v>22</v>
      </c>
      <c r="D15159" t="s">
        <v>11</v>
      </c>
      <c r="E15159" t="s">
        <v>35</v>
      </c>
      <c r="F15159">
        <v>79817162</v>
      </c>
      <c r="G15159">
        <v>79817175</v>
      </c>
      <c r="H15159">
        <v>79816815</v>
      </c>
      <c r="I15159">
        <v>79816830</v>
      </c>
    </row>
    <row r="15160" spans="1:9" x14ac:dyDescent="0.2">
      <c r="A15160" s="1" t="str">
        <f>"ROBO2"</f>
        <v>ROBO2</v>
      </c>
      <c r="B15160" t="s">
        <v>14</v>
      </c>
      <c r="C15160" t="s">
        <v>22</v>
      </c>
      <c r="D15160" t="s">
        <v>17</v>
      </c>
      <c r="E15160" t="s">
        <v>12</v>
      </c>
      <c r="F15160">
        <v>77089214</v>
      </c>
      <c r="G15160">
        <v>77089314</v>
      </c>
      <c r="H15160">
        <v>77088958</v>
      </c>
      <c r="I15160">
        <v>77088982</v>
      </c>
    </row>
    <row r="15161" spans="1:9" x14ac:dyDescent="0.2">
      <c r="A15161" s="1" t="str">
        <f>"ROBO3"</f>
        <v>ROBO3</v>
      </c>
      <c r="B15161" t="s">
        <v>14</v>
      </c>
      <c r="C15161" t="s">
        <v>27</v>
      </c>
      <c r="D15161" t="s">
        <v>17</v>
      </c>
      <c r="E15161" t="s">
        <v>12</v>
      </c>
      <c r="F15161">
        <v>124746732</v>
      </c>
      <c r="G15161">
        <v>124746773</v>
      </c>
      <c r="H15161">
        <v>124746692</v>
      </c>
      <c r="I15161">
        <v>124746727</v>
      </c>
    </row>
    <row r="15162" spans="1:9" x14ac:dyDescent="0.2">
      <c r="A15162" s="1" t="str">
        <f>"ROBO4"</f>
        <v>ROBO4</v>
      </c>
      <c r="B15162" t="s">
        <v>14</v>
      </c>
      <c r="C15162" t="s">
        <v>27</v>
      </c>
      <c r="D15162" t="s">
        <v>11</v>
      </c>
      <c r="E15162" t="s">
        <v>12</v>
      </c>
      <c r="F15162">
        <v>124767693</v>
      </c>
      <c r="G15162">
        <v>124767774</v>
      </c>
      <c r="H15162">
        <v>124767693</v>
      </c>
      <c r="I15162">
        <v>124767774</v>
      </c>
    </row>
    <row r="15163" spans="1:9" x14ac:dyDescent="0.2">
      <c r="A15163" s="1" t="str">
        <f>"ROCK1"</f>
        <v>ROCK1</v>
      </c>
      <c r="B15163" t="s">
        <v>14</v>
      </c>
      <c r="C15163" t="s">
        <v>43</v>
      </c>
      <c r="D15163" t="s">
        <v>11</v>
      </c>
      <c r="E15163" t="s">
        <v>12</v>
      </c>
      <c r="F15163">
        <v>18691739</v>
      </c>
      <c r="G15163">
        <v>18691784</v>
      </c>
      <c r="H15163">
        <v>18691659</v>
      </c>
      <c r="I15163">
        <v>18691735</v>
      </c>
    </row>
    <row r="15164" spans="1:9" x14ac:dyDescent="0.2">
      <c r="A15164" s="1" t="str">
        <f>"ROCK2"</f>
        <v>ROCK2</v>
      </c>
      <c r="B15164" t="s">
        <v>14</v>
      </c>
      <c r="C15164" t="s">
        <v>26</v>
      </c>
      <c r="D15164" t="s">
        <v>11</v>
      </c>
      <c r="E15164" t="s">
        <v>12</v>
      </c>
      <c r="F15164">
        <v>11484710</v>
      </c>
      <c r="G15164">
        <v>11484812</v>
      </c>
      <c r="H15164">
        <v>11484710</v>
      </c>
      <c r="I15164">
        <v>11484812</v>
      </c>
    </row>
    <row r="15165" spans="1:9" x14ac:dyDescent="0.2">
      <c r="A15165" s="1" t="str">
        <f>"ROGDI"</f>
        <v>ROGDI</v>
      </c>
      <c r="B15165" t="s">
        <v>14</v>
      </c>
      <c r="C15165" t="s">
        <v>31</v>
      </c>
      <c r="D15165" t="s">
        <v>11</v>
      </c>
      <c r="E15165" t="s">
        <v>12</v>
      </c>
      <c r="F15165">
        <v>4852616</v>
      </c>
      <c r="G15165">
        <v>4852679</v>
      </c>
      <c r="H15165">
        <v>4852853</v>
      </c>
      <c r="I15165">
        <v>4852892</v>
      </c>
    </row>
    <row r="15166" spans="1:9" x14ac:dyDescent="0.2">
      <c r="A15166" s="1" t="str">
        <f>"ROM1"</f>
        <v>ROM1</v>
      </c>
      <c r="B15166" t="s">
        <v>14</v>
      </c>
      <c r="C15166" t="s">
        <v>27</v>
      </c>
      <c r="D15166" t="s">
        <v>17</v>
      </c>
      <c r="E15166" t="s">
        <v>12</v>
      </c>
      <c r="F15166">
        <v>62379267</v>
      </c>
      <c r="G15166">
        <v>62379310</v>
      </c>
      <c r="H15166">
        <v>62379267</v>
      </c>
      <c r="I15166">
        <v>62379310</v>
      </c>
    </row>
    <row r="15167" spans="1:9" x14ac:dyDescent="0.2">
      <c r="A15167" s="1" t="str">
        <f>"ROMO1"</f>
        <v>ROMO1</v>
      </c>
      <c r="B15167" t="s">
        <v>14</v>
      </c>
      <c r="C15167" t="s">
        <v>29</v>
      </c>
      <c r="D15167" t="s">
        <v>17</v>
      </c>
      <c r="E15167" t="s">
        <v>12</v>
      </c>
      <c r="F15167">
        <v>34287290</v>
      </c>
      <c r="G15167">
        <v>34287356</v>
      </c>
      <c r="H15167">
        <v>34287370</v>
      </c>
      <c r="I15167">
        <v>34287381</v>
      </c>
    </row>
    <row r="15168" spans="1:9" x14ac:dyDescent="0.2">
      <c r="A15168" s="1" t="str">
        <f>"ROPN1"</f>
        <v>ROPN1</v>
      </c>
      <c r="B15168" t="s">
        <v>14</v>
      </c>
      <c r="C15168" t="s">
        <v>22</v>
      </c>
      <c r="D15168" t="s">
        <v>11</v>
      </c>
      <c r="E15168" t="s">
        <v>12</v>
      </c>
      <c r="F15168">
        <v>123710925</v>
      </c>
      <c r="G15168">
        <v>123710934</v>
      </c>
      <c r="H15168">
        <v>123710925</v>
      </c>
      <c r="I15168">
        <v>123710934</v>
      </c>
    </row>
    <row r="15169" spans="1:9" x14ac:dyDescent="0.2">
      <c r="A15169" s="1" t="str">
        <f>"ROPN1B"</f>
        <v>ROPN1B</v>
      </c>
      <c r="B15169" t="s">
        <v>14</v>
      </c>
      <c r="C15169" t="s">
        <v>22</v>
      </c>
      <c r="D15169" t="s">
        <v>17</v>
      </c>
      <c r="E15169" t="s">
        <v>12</v>
      </c>
      <c r="F15169">
        <v>125694403</v>
      </c>
      <c r="G15169">
        <v>125694436</v>
      </c>
      <c r="H15169">
        <v>125694403</v>
      </c>
      <c r="I15169">
        <v>125694436</v>
      </c>
    </row>
    <row r="15170" spans="1:9" x14ac:dyDescent="0.2">
      <c r="A15170" s="1" t="str">
        <f>"ROPN1L"</f>
        <v>ROPN1L</v>
      </c>
      <c r="B15170" t="s">
        <v>14</v>
      </c>
      <c r="C15170" t="s">
        <v>46</v>
      </c>
      <c r="D15170" t="s">
        <v>17</v>
      </c>
      <c r="E15170" t="s">
        <v>12</v>
      </c>
      <c r="F15170">
        <v>10441970</v>
      </c>
      <c r="G15170">
        <v>10442056</v>
      </c>
      <c r="H15170">
        <v>10442062</v>
      </c>
      <c r="I15170">
        <v>10442111</v>
      </c>
    </row>
    <row r="15171" spans="1:9" x14ac:dyDescent="0.2">
      <c r="A15171" s="1" t="str">
        <f>"ROR1"</f>
        <v>ROR1</v>
      </c>
      <c r="B15171" t="s">
        <v>14</v>
      </c>
      <c r="C15171" t="s">
        <v>19</v>
      </c>
      <c r="D15171" t="s">
        <v>17</v>
      </c>
      <c r="E15171" t="s">
        <v>12</v>
      </c>
      <c r="F15171">
        <v>64239657</v>
      </c>
      <c r="G15171">
        <v>64239724</v>
      </c>
      <c r="H15171">
        <v>64240105</v>
      </c>
      <c r="I15171">
        <v>64240136</v>
      </c>
    </row>
    <row r="15172" spans="1:9" x14ac:dyDescent="0.2">
      <c r="A15172" s="1" t="str">
        <f>"ROR2"</f>
        <v>ROR2</v>
      </c>
      <c r="B15172" t="s">
        <v>14</v>
      </c>
      <c r="C15172" t="s">
        <v>24</v>
      </c>
      <c r="D15172" t="s">
        <v>11</v>
      </c>
      <c r="E15172" t="s">
        <v>12</v>
      </c>
      <c r="F15172">
        <v>94712434</v>
      </c>
      <c r="G15172">
        <v>94712472</v>
      </c>
      <c r="H15172">
        <v>94712473</v>
      </c>
      <c r="I15172">
        <v>94712515</v>
      </c>
    </row>
    <row r="15173" spans="1:9" x14ac:dyDescent="0.2">
      <c r="A15173" s="1" t="str">
        <f>"RORA"</f>
        <v>RORA</v>
      </c>
      <c r="B15173" t="s">
        <v>1499</v>
      </c>
      <c r="C15173" t="s">
        <v>25</v>
      </c>
      <c r="D15173" t="s">
        <v>11</v>
      </c>
      <c r="E15173" t="s">
        <v>35</v>
      </c>
      <c r="F15173">
        <v>61521667</v>
      </c>
      <c r="G15173">
        <v>61521685</v>
      </c>
      <c r="H15173">
        <v>61521417</v>
      </c>
      <c r="I15173">
        <v>61521460</v>
      </c>
    </row>
    <row r="15174" spans="1:9" x14ac:dyDescent="0.2">
      <c r="A15174" s="1" t="str">
        <f>"RORB"</f>
        <v>RORB</v>
      </c>
      <c r="B15174" t="s">
        <v>14</v>
      </c>
      <c r="C15174" t="s">
        <v>24</v>
      </c>
      <c r="D15174" t="s">
        <v>17</v>
      </c>
      <c r="E15174" t="s">
        <v>12</v>
      </c>
      <c r="F15174">
        <v>77112244</v>
      </c>
      <c r="G15174">
        <v>77112262</v>
      </c>
      <c r="H15174">
        <v>77112225</v>
      </c>
      <c r="I15174">
        <v>77112238</v>
      </c>
    </row>
    <row r="15175" spans="1:9" x14ac:dyDescent="0.2">
      <c r="A15175" s="1" t="str">
        <f>"RORC"</f>
        <v>RORC</v>
      </c>
      <c r="B15175" t="s">
        <v>9</v>
      </c>
      <c r="C15175" t="s">
        <v>19</v>
      </c>
      <c r="D15175" t="s">
        <v>11</v>
      </c>
      <c r="E15175" t="s">
        <v>12</v>
      </c>
      <c r="F15175">
        <v>151804244</v>
      </c>
      <c r="G15175">
        <v>151804310</v>
      </c>
      <c r="H15175">
        <v>151804244</v>
      </c>
      <c r="I15175">
        <v>151804310</v>
      </c>
    </row>
    <row r="15176" spans="1:9" x14ac:dyDescent="0.2">
      <c r="A15176" s="1" t="str">
        <f>"RORC"</f>
        <v>RORC</v>
      </c>
      <c r="B15176" t="s">
        <v>13</v>
      </c>
      <c r="C15176" t="s">
        <v>19</v>
      </c>
      <c r="D15176" t="s">
        <v>11</v>
      </c>
      <c r="E15176" t="s">
        <v>12</v>
      </c>
      <c r="F15176">
        <v>151798546</v>
      </c>
      <c r="G15176">
        <v>151798590</v>
      </c>
      <c r="H15176">
        <v>151798546</v>
      </c>
      <c r="I15176">
        <v>151798590</v>
      </c>
    </row>
    <row r="15177" spans="1:9" x14ac:dyDescent="0.2">
      <c r="A15177" s="1" t="str">
        <f>"ROS1"</f>
        <v>ROS1</v>
      </c>
      <c r="B15177" t="s">
        <v>14</v>
      </c>
      <c r="C15177" t="s">
        <v>32</v>
      </c>
      <c r="D15177" t="s">
        <v>11</v>
      </c>
      <c r="E15177" t="s">
        <v>12</v>
      </c>
      <c r="F15177">
        <v>117747015</v>
      </c>
      <c r="G15177">
        <v>117747048</v>
      </c>
      <c r="H15177">
        <v>117747067</v>
      </c>
      <c r="I15177">
        <v>117747096</v>
      </c>
    </row>
    <row r="15178" spans="1:9" x14ac:dyDescent="0.2">
      <c r="A15178" s="1" t="str">
        <f>"RP1"</f>
        <v>RP1</v>
      </c>
      <c r="B15178" t="s">
        <v>14</v>
      </c>
      <c r="C15178" t="s">
        <v>30</v>
      </c>
      <c r="D15178" t="s">
        <v>17</v>
      </c>
      <c r="E15178" t="s">
        <v>12</v>
      </c>
      <c r="F15178">
        <v>55528641</v>
      </c>
      <c r="G15178">
        <v>55528674</v>
      </c>
      <c r="H15178">
        <v>55528641</v>
      </c>
      <c r="I15178">
        <v>55528674</v>
      </c>
    </row>
    <row r="15179" spans="1:9" x14ac:dyDescent="0.2">
      <c r="A15179" s="1" t="str">
        <f>"RP1L1"</f>
        <v>RP1L1</v>
      </c>
      <c r="B15179" t="s">
        <v>14</v>
      </c>
      <c r="C15179" t="s">
        <v>30</v>
      </c>
      <c r="D15179" t="s">
        <v>11</v>
      </c>
      <c r="E15179" t="s">
        <v>12</v>
      </c>
      <c r="F15179">
        <v>10512569</v>
      </c>
      <c r="G15179">
        <v>10512583</v>
      </c>
      <c r="H15179">
        <v>10512647</v>
      </c>
      <c r="I15179">
        <v>10512659</v>
      </c>
    </row>
    <row r="15180" spans="1:9" x14ac:dyDescent="0.2">
      <c r="A15180" s="1" t="str">
        <f>"RP2"</f>
        <v>RP2</v>
      </c>
      <c r="B15180" t="s">
        <v>14</v>
      </c>
      <c r="C15180" t="s">
        <v>37</v>
      </c>
      <c r="D15180" t="s">
        <v>17</v>
      </c>
      <c r="E15180" t="s">
        <v>12</v>
      </c>
      <c r="F15180">
        <v>46696469</v>
      </c>
      <c r="G15180">
        <v>46696485</v>
      </c>
      <c r="H15180">
        <v>46696372</v>
      </c>
      <c r="I15180">
        <v>46696406</v>
      </c>
    </row>
    <row r="15181" spans="1:9" x14ac:dyDescent="0.2">
      <c r="A15181" s="1" t="str">
        <f>"RP9"</f>
        <v>RP9</v>
      </c>
      <c r="B15181" t="s">
        <v>14</v>
      </c>
      <c r="C15181" t="s">
        <v>33</v>
      </c>
      <c r="D15181" t="s">
        <v>11</v>
      </c>
      <c r="E15181" t="s">
        <v>12</v>
      </c>
      <c r="F15181">
        <v>33148975</v>
      </c>
      <c r="G15181">
        <v>33149050</v>
      </c>
      <c r="H15181">
        <v>33149234</v>
      </c>
      <c r="I15181">
        <v>33149280</v>
      </c>
    </row>
    <row r="15182" spans="1:9" x14ac:dyDescent="0.2">
      <c r="A15182" s="1" t="str">
        <f>"RPA1"</f>
        <v>RPA1</v>
      </c>
      <c r="B15182" t="s">
        <v>14</v>
      </c>
      <c r="C15182" t="s">
        <v>28</v>
      </c>
      <c r="D15182" t="s">
        <v>17</v>
      </c>
      <c r="E15182" t="s">
        <v>12</v>
      </c>
      <c r="F15182">
        <v>1733276</v>
      </c>
      <c r="G15182">
        <v>1733321</v>
      </c>
      <c r="H15182">
        <v>1733251</v>
      </c>
      <c r="I15182">
        <v>1733270</v>
      </c>
    </row>
    <row r="15183" spans="1:9" x14ac:dyDescent="0.2">
      <c r="A15183" s="1" t="str">
        <f>"RPA2"</f>
        <v>RPA2</v>
      </c>
      <c r="B15183" t="s">
        <v>14</v>
      </c>
      <c r="C15183" t="s">
        <v>19</v>
      </c>
      <c r="D15183" t="s">
        <v>11</v>
      </c>
      <c r="E15183" t="s">
        <v>12</v>
      </c>
      <c r="F15183">
        <v>28241040</v>
      </c>
      <c r="G15183">
        <v>28241116</v>
      </c>
      <c r="H15183">
        <v>28241226</v>
      </c>
      <c r="I15183">
        <v>28241262</v>
      </c>
    </row>
    <row r="15184" spans="1:9" x14ac:dyDescent="0.2">
      <c r="A15184" s="1" t="str">
        <f>"RPA3"</f>
        <v>RPA3</v>
      </c>
      <c r="B15184" t="s">
        <v>14</v>
      </c>
      <c r="C15184" t="s">
        <v>33</v>
      </c>
      <c r="D15184" t="s">
        <v>11</v>
      </c>
      <c r="E15184" t="s">
        <v>12</v>
      </c>
      <c r="F15184">
        <v>7680080</v>
      </c>
      <c r="G15184">
        <v>7680107</v>
      </c>
      <c r="H15184">
        <v>7680052</v>
      </c>
      <c r="I15184">
        <v>7680078</v>
      </c>
    </row>
    <row r="15185" spans="1:9" x14ac:dyDescent="0.2">
      <c r="A15185" s="1" t="str">
        <f>"RPA4"</f>
        <v>RPA4</v>
      </c>
      <c r="B15185" t="s">
        <v>14</v>
      </c>
      <c r="C15185" t="s">
        <v>37</v>
      </c>
      <c r="D15185" t="s">
        <v>17</v>
      </c>
      <c r="E15185" t="s">
        <v>12</v>
      </c>
      <c r="F15185">
        <v>96139171</v>
      </c>
      <c r="G15185">
        <v>96139205</v>
      </c>
      <c r="H15185">
        <v>96139171</v>
      </c>
      <c r="I15185">
        <v>96139205</v>
      </c>
    </row>
    <row r="15186" spans="1:9" x14ac:dyDescent="0.2">
      <c r="A15186" s="1" t="str">
        <f>"RPAIN"</f>
        <v>RPAIN</v>
      </c>
      <c r="B15186" t="s">
        <v>14</v>
      </c>
      <c r="C15186" t="s">
        <v>28</v>
      </c>
      <c r="D15186" t="s">
        <v>17</v>
      </c>
      <c r="E15186" t="s">
        <v>12</v>
      </c>
      <c r="F15186">
        <v>5323492</v>
      </c>
      <c r="G15186">
        <v>5323527</v>
      </c>
      <c r="H15186">
        <v>5323465</v>
      </c>
      <c r="I15186">
        <v>5323490</v>
      </c>
    </row>
    <row r="15187" spans="1:9" x14ac:dyDescent="0.2">
      <c r="A15187" s="1" t="str">
        <f>"RPAP1"</f>
        <v>RPAP1</v>
      </c>
      <c r="B15187" t="s">
        <v>14</v>
      </c>
      <c r="C15187" t="s">
        <v>25</v>
      </c>
      <c r="D15187" t="s">
        <v>11</v>
      </c>
      <c r="E15187" t="s">
        <v>12</v>
      </c>
      <c r="F15187">
        <v>41836441</v>
      </c>
      <c r="G15187">
        <v>41836475</v>
      </c>
      <c r="H15187">
        <v>41836441</v>
      </c>
      <c r="I15187">
        <v>41836475</v>
      </c>
    </row>
    <row r="15188" spans="1:9" x14ac:dyDescent="0.2">
      <c r="A15188" s="1" t="str">
        <f>"RPAP2"</f>
        <v>RPAP2</v>
      </c>
      <c r="B15188" t="s">
        <v>14</v>
      </c>
      <c r="C15188" t="s">
        <v>19</v>
      </c>
      <c r="D15188" t="s">
        <v>17</v>
      </c>
      <c r="E15188" t="s">
        <v>12</v>
      </c>
      <c r="F15188">
        <v>92764580</v>
      </c>
      <c r="G15188">
        <v>92764628</v>
      </c>
      <c r="H15188">
        <v>92764309</v>
      </c>
      <c r="I15188">
        <v>92764343</v>
      </c>
    </row>
    <row r="15189" spans="1:9" x14ac:dyDescent="0.2">
      <c r="A15189" s="1" t="str">
        <f>"RPAP3"</f>
        <v>RPAP3</v>
      </c>
      <c r="B15189" t="s">
        <v>14</v>
      </c>
      <c r="C15189" t="s">
        <v>16</v>
      </c>
      <c r="D15189" t="s">
        <v>11</v>
      </c>
      <c r="E15189" t="s">
        <v>12</v>
      </c>
      <c r="F15189">
        <v>48099773</v>
      </c>
      <c r="G15189">
        <v>48099825</v>
      </c>
      <c r="H15189">
        <v>48099754</v>
      </c>
      <c r="I15189">
        <v>48099765</v>
      </c>
    </row>
    <row r="15190" spans="1:9" x14ac:dyDescent="0.2">
      <c r="A15190" s="1" t="str">
        <f>"RPE"</f>
        <v>RPE</v>
      </c>
      <c r="B15190" t="s">
        <v>14</v>
      </c>
      <c r="C15190" t="s">
        <v>26</v>
      </c>
      <c r="D15190" t="s">
        <v>17</v>
      </c>
      <c r="E15190" t="s">
        <v>12</v>
      </c>
      <c r="F15190">
        <v>210867341</v>
      </c>
      <c r="G15190">
        <v>210867370</v>
      </c>
      <c r="H15190">
        <v>210867316</v>
      </c>
      <c r="I15190">
        <v>210867339</v>
      </c>
    </row>
    <row r="15191" spans="1:9" x14ac:dyDescent="0.2">
      <c r="A15191" s="1" t="str">
        <f>"RPE65"</f>
        <v>RPE65</v>
      </c>
      <c r="B15191" t="s">
        <v>14</v>
      </c>
      <c r="C15191" t="s">
        <v>19</v>
      </c>
      <c r="D15191" t="s">
        <v>11</v>
      </c>
      <c r="E15191" t="s">
        <v>12</v>
      </c>
      <c r="F15191">
        <v>68915610</v>
      </c>
      <c r="G15191">
        <v>68915645</v>
      </c>
      <c r="H15191">
        <v>68915610</v>
      </c>
      <c r="I15191">
        <v>68915645</v>
      </c>
    </row>
    <row r="15192" spans="1:9" x14ac:dyDescent="0.2">
      <c r="A15192" s="1" t="str">
        <f>"RPF1"</f>
        <v>RPF1</v>
      </c>
      <c r="B15192" t="s">
        <v>14</v>
      </c>
      <c r="C15192" t="s">
        <v>19</v>
      </c>
      <c r="D15192" t="s">
        <v>17</v>
      </c>
      <c r="E15192" t="s">
        <v>12</v>
      </c>
      <c r="F15192">
        <v>84944926</v>
      </c>
      <c r="G15192">
        <v>84944966</v>
      </c>
      <c r="H15192">
        <v>84944926</v>
      </c>
      <c r="I15192">
        <v>84944966</v>
      </c>
    </row>
    <row r="15193" spans="1:9" x14ac:dyDescent="0.2">
      <c r="A15193" s="1" t="str">
        <f>"RPF2"</f>
        <v>RPF2</v>
      </c>
      <c r="B15193" t="s">
        <v>14</v>
      </c>
      <c r="C15193" t="s">
        <v>32</v>
      </c>
      <c r="D15193" t="s">
        <v>17</v>
      </c>
      <c r="E15193" t="s">
        <v>12</v>
      </c>
      <c r="F15193">
        <v>111303231</v>
      </c>
      <c r="G15193">
        <v>111303301</v>
      </c>
      <c r="H15193">
        <v>111303496</v>
      </c>
      <c r="I15193">
        <v>111303497</v>
      </c>
    </row>
    <row r="15194" spans="1:9" x14ac:dyDescent="0.2">
      <c r="A15194" s="1" t="str">
        <f>"RPGR"</f>
        <v>RPGR</v>
      </c>
      <c r="B15194" t="s">
        <v>14</v>
      </c>
      <c r="C15194" t="s">
        <v>37</v>
      </c>
      <c r="D15194" t="s">
        <v>11</v>
      </c>
      <c r="E15194" t="s">
        <v>12</v>
      </c>
      <c r="F15194">
        <v>38186749</v>
      </c>
      <c r="G15194">
        <v>38186774</v>
      </c>
      <c r="H15194">
        <v>38186775</v>
      </c>
      <c r="I15194">
        <v>38186802</v>
      </c>
    </row>
    <row r="15195" spans="1:9" x14ac:dyDescent="0.2">
      <c r="A15195" s="1" t="str">
        <f>"RPGRIP1"</f>
        <v>RPGRIP1</v>
      </c>
      <c r="B15195" t="s">
        <v>9</v>
      </c>
      <c r="C15195" t="s">
        <v>41</v>
      </c>
      <c r="D15195" t="s">
        <v>17</v>
      </c>
      <c r="E15195" t="s">
        <v>12</v>
      </c>
      <c r="F15195">
        <v>21788274</v>
      </c>
      <c r="G15195">
        <v>21788301</v>
      </c>
      <c r="H15195">
        <v>21788274</v>
      </c>
      <c r="I15195">
        <v>21788301</v>
      </c>
    </row>
    <row r="15196" spans="1:9" x14ac:dyDescent="0.2">
      <c r="A15196" s="1" t="str">
        <f>"RPGRIP1"</f>
        <v>RPGRIP1</v>
      </c>
      <c r="B15196" t="s">
        <v>13</v>
      </c>
      <c r="C15196" t="s">
        <v>41</v>
      </c>
      <c r="D15196" t="s">
        <v>17</v>
      </c>
      <c r="E15196" t="s">
        <v>12</v>
      </c>
      <c r="F15196">
        <v>21785693</v>
      </c>
      <c r="G15196">
        <v>21785722</v>
      </c>
      <c r="H15196">
        <v>21785693</v>
      </c>
      <c r="I15196">
        <v>21785722</v>
      </c>
    </row>
    <row r="15197" spans="1:9" x14ac:dyDescent="0.2">
      <c r="A15197" s="1" t="str">
        <f>"RPGRIP1L"</f>
        <v>RPGRIP1L</v>
      </c>
      <c r="B15197" t="s">
        <v>14</v>
      </c>
      <c r="C15197" t="s">
        <v>31</v>
      </c>
      <c r="D15197" t="s">
        <v>11</v>
      </c>
      <c r="E15197" t="s">
        <v>12</v>
      </c>
      <c r="F15197">
        <v>53737742</v>
      </c>
      <c r="G15197">
        <v>53737790</v>
      </c>
      <c r="H15197">
        <v>53737795</v>
      </c>
      <c r="I15197">
        <v>53737806</v>
      </c>
    </row>
    <row r="15198" spans="1:9" x14ac:dyDescent="0.2">
      <c r="A15198" s="1" t="str">
        <f>"RPH3A"</f>
        <v>RPH3A</v>
      </c>
      <c r="B15198" t="s">
        <v>14</v>
      </c>
      <c r="C15198" t="s">
        <v>16</v>
      </c>
      <c r="D15198" t="s">
        <v>17</v>
      </c>
      <c r="E15198" t="s">
        <v>12</v>
      </c>
      <c r="F15198">
        <v>113229543</v>
      </c>
      <c r="G15198">
        <v>113229569</v>
      </c>
      <c r="H15198">
        <v>113229737</v>
      </c>
      <c r="I15198">
        <v>113229765</v>
      </c>
    </row>
    <row r="15199" spans="1:9" x14ac:dyDescent="0.2">
      <c r="A15199" s="1" t="str">
        <f>"RPH3AL"</f>
        <v>RPH3AL</v>
      </c>
      <c r="B15199" t="s">
        <v>14</v>
      </c>
      <c r="C15199" t="s">
        <v>28</v>
      </c>
      <c r="D15199" t="s">
        <v>11</v>
      </c>
      <c r="E15199" t="s">
        <v>12</v>
      </c>
      <c r="F15199">
        <v>202579</v>
      </c>
      <c r="G15199">
        <v>202625</v>
      </c>
      <c r="H15199">
        <v>202579</v>
      </c>
      <c r="I15199">
        <v>202625</v>
      </c>
    </row>
    <row r="15200" spans="1:9" x14ac:dyDescent="0.2">
      <c r="A15200" s="1" t="str">
        <f>"RPIA"</f>
        <v>RPIA</v>
      </c>
      <c r="B15200" t="s">
        <v>14</v>
      </c>
      <c r="C15200" t="s">
        <v>26</v>
      </c>
      <c r="D15200" t="s">
        <v>17</v>
      </c>
      <c r="E15200" t="s">
        <v>12</v>
      </c>
      <c r="F15200">
        <v>88991165</v>
      </c>
      <c r="G15200">
        <v>88991216</v>
      </c>
      <c r="H15200">
        <v>88991347</v>
      </c>
      <c r="I15200">
        <v>88991367</v>
      </c>
    </row>
    <row r="15201" spans="1:9" x14ac:dyDescent="0.2">
      <c r="A15201" s="1" t="str">
        <f>"RPL10"</f>
        <v>RPL10</v>
      </c>
      <c r="B15201" t="s">
        <v>14</v>
      </c>
      <c r="C15201" t="s">
        <v>37</v>
      </c>
      <c r="D15201" t="s">
        <v>17</v>
      </c>
      <c r="E15201" t="s">
        <v>12</v>
      </c>
      <c r="F15201">
        <v>153626710</v>
      </c>
      <c r="G15201">
        <v>153626730</v>
      </c>
      <c r="H15201">
        <v>153626659</v>
      </c>
      <c r="I15201">
        <v>153626692</v>
      </c>
    </row>
    <row r="15202" spans="1:9" x14ac:dyDescent="0.2">
      <c r="A15202" s="1" t="str">
        <f>"RPL10A"</f>
        <v>RPL10A</v>
      </c>
      <c r="B15202" t="s">
        <v>14</v>
      </c>
      <c r="C15202" t="s">
        <v>32</v>
      </c>
      <c r="D15202" t="s">
        <v>17</v>
      </c>
      <c r="E15202" t="s">
        <v>12</v>
      </c>
      <c r="F15202">
        <v>35436167</v>
      </c>
      <c r="G15202">
        <v>35436194</v>
      </c>
      <c r="H15202">
        <v>35436143</v>
      </c>
      <c r="I15202">
        <v>35436162</v>
      </c>
    </row>
    <row r="15203" spans="1:9" x14ac:dyDescent="0.2">
      <c r="A15203" s="1" t="str">
        <f>"RPL10L"</f>
        <v>RPL10L</v>
      </c>
      <c r="B15203" t="s">
        <v>14</v>
      </c>
      <c r="C15203" t="s">
        <v>41</v>
      </c>
      <c r="D15203" t="s">
        <v>11</v>
      </c>
      <c r="E15203" t="s">
        <v>12</v>
      </c>
      <c r="F15203">
        <v>47120956</v>
      </c>
      <c r="G15203">
        <v>47120993</v>
      </c>
      <c r="H15203">
        <v>47120956</v>
      </c>
      <c r="I15203">
        <v>47120993</v>
      </c>
    </row>
    <row r="15204" spans="1:9" x14ac:dyDescent="0.2">
      <c r="A15204" s="1" t="str">
        <f>"RPL11"</f>
        <v>RPL11</v>
      </c>
      <c r="B15204" t="s">
        <v>14</v>
      </c>
      <c r="C15204" t="s">
        <v>19</v>
      </c>
      <c r="D15204" t="s">
        <v>17</v>
      </c>
      <c r="E15204" t="s">
        <v>12</v>
      </c>
      <c r="F15204">
        <v>24018278</v>
      </c>
      <c r="G15204">
        <v>24018303</v>
      </c>
      <c r="H15204">
        <v>24018269</v>
      </c>
      <c r="I15204">
        <v>24018274</v>
      </c>
    </row>
    <row r="15205" spans="1:9" x14ac:dyDescent="0.2">
      <c r="A15205" s="1" t="str">
        <f>"RPL12"</f>
        <v>RPL12</v>
      </c>
      <c r="B15205" t="s">
        <v>14</v>
      </c>
      <c r="C15205" t="s">
        <v>24</v>
      </c>
      <c r="D15205" t="s">
        <v>11</v>
      </c>
      <c r="E15205" t="s">
        <v>12</v>
      </c>
      <c r="F15205">
        <v>130213674</v>
      </c>
      <c r="G15205">
        <v>130213690</v>
      </c>
      <c r="H15205">
        <v>130213708</v>
      </c>
      <c r="I15205">
        <v>130213717</v>
      </c>
    </row>
    <row r="15206" spans="1:9" x14ac:dyDescent="0.2">
      <c r="A15206" s="1" t="str">
        <f>"RPL13"</f>
        <v>RPL13</v>
      </c>
      <c r="B15206" t="s">
        <v>14</v>
      </c>
      <c r="C15206" t="s">
        <v>31</v>
      </c>
      <c r="D15206" t="s">
        <v>17</v>
      </c>
      <c r="E15206" t="s">
        <v>12</v>
      </c>
      <c r="F15206">
        <v>89627061</v>
      </c>
      <c r="G15206">
        <v>89627100</v>
      </c>
      <c r="H15206">
        <v>89627312</v>
      </c>
      <c r="I15206">
        <v>89627347</v>
      </c>
    </row>
    <row r="15207" spans="1:9" x14ac:dyDescent="0.2">
      <c r="A15207" s="1" t="str">
        <f>"RPL13A"</f>
        <v>RPL13A</v>
      </c>
      <c r="B15207" t="s">
        <v>9</v>
      </c>
      <c r="C15207" t="s">
        <v>10</v>
      </c>
      <c r="D15207" t="s">
        <v>17</v>
      </c>
      <c r="E15207" t="s">
        <v>12</v>
      </c>
      <c r="F15207">
        <v>49990853</v>
      </c>
      <c r="G15207">
        <v>49990871</v>
      </c>
      <c r="H15207">
        <v>49990853</v>
      </c>
      <c r="I15207">
        <v>49990871</v>
      </c>
    </row>
    <row r="15208" spans="1:9" x14ac:dyDescent="0.2">
      <c r="A15208" s="1" t="str">
        <f>"RPL13A"</f>
        <v>RPL13A</v>
      </c>
      <c r="B15208" t="s">
        <v>13</v>
      </c>
      <c r="C15208" t="s">
        <v>10</v>
      </c>
      <c r="D15208" t="s">
        <v>17</v>
      </c>
      <c r="E15208" t="s">
        <v>12</v>
      </c>
      <c r="F15208">
        <v>49994032</v>
      </c>
      <c r="G15208">
        <v>49994044</v>
      </c>
      <c r="H15208">
        <v>49994032</v>
      </c>
      <c r="I15208">
        <v>49994044</v>
      </c>
    </row>
    <row r="15209" spans="1:9" x14ac:dyDescent="0.2">
      <c r="A15209" s="1" t="str">
        <f>"RPL14"</f>
        <v>RPL14</v>
      </c>
      <c r="B15209" t="s">
        <v>14</v>
      </c>
      <c r="C15209" t="s">
        <v>22</v>
      </c>
      <c r="D15209" t="s">
        <v>17</v>
      </c>
      <c r="E15209" t="s">
        <v>12</v>
      </c>
      <c r="F15209">
        <v>40498817</v>
      </c>
      <c r="G15209">
        <v>40498838</v>
      </c>
      <c r="H15209">
        <v>40498817</v>
      </c>
      <c r="I15209">
        <v>40498838</v>
      </c>
    </row>
    <row r="15210" spans="1:9" x14ac:dyDescent="0.2">
      <c r="A15210" s="1" t="str">
        <f>"RPL15"</f>
        <v>RPL15</v>
      </c>
      <c r="B15210" t="s">
        <v>14</v>
      </c>
      <c r="C15210" t="s">
        <v>22</v>
      </c>
      <c r="D15210" t="s">
        <v>17</v>
      </c>
      <c r="E15210" t="s">
        <v>12</v>
      </c>
      <c r="F15210">
        <v>23958612</v>
      </c>
      <c r="G15210">
        <v>23958630</v>
      </c>
      <c r="H15210">
        <v>23958632</v>
      </c>
      <c r="I15210">
        <v>23958651</v>
      </c>
    </row>
    <row r="15211" spans="1:9" x14ac:dyDescent="0.2">
      <c r="A15211" s="1" t="str">
        <f>"RPL17"</f>
        <v>RPL17</v>
      </c>
      <c r="B15211" t="s">
        <v>14</v>
      </c>
      <c r="C15211" t="s">
        <v>43</v>
      </c>
      <c r="D15211" t="s">
        <v>11</v>
      </c>
      <c r="E15211" t="s">
        <v>12</v>
      </c>
      <c r="F15211">
        <v>47018784</v>
      </c>
      <c r="G15211">
        <v>47018858</v>
      </c>
      <c r="H15211">
        <v>47018869</v>
      </c>
      <c r="I15211">
        <v>47018896</v>
      </c>
    </row>
    <row r="15212" spans="1:9" x14ac:dyDescent="0.2">
      <c r="A15212" s="1" t="str">
        <f>"RPL17-C18orf32"</f>
        <v>RPL17-C18orf32</v>
      </c>
      <c r="B15212" t="s">
        <v>14</v>
      </c>
      <c r="C15212" t="s">
        <v>43</v>
      </c>
      <c r="D15212" t="s">
        <v>11</v>
      </c>
      <c r="E15212" t="s">
        <v>67</v>
      </c>
      <c r="F15212">
        <v>47018091</v>
      </c>
      <c r="G15212">
        <v>47018115</v>
      </c>
      <c r="H15212">
        <v>47017835</v>
      </c>
      <c r="I15212">
        <v>47017836</v>
      </c>
    </row>
    <row r="15213" spans="1:9" x14ac:dyDescent="0.2">
      <c r="A15213" s="1" t="str">
        <f>"RPL18"</f>
        <v>RPL18</v>
      </c>
      <c r="B15213" t="s">
        <v>14</v>
      </c>
      <c r="C15213" t="s">
        <v>10</v>
      </c>
      <c r="D15213" t="s">
        <v>11</v>
      </c>
      <c r="E15213" t="s">
        <v>12</v>
      </c>
      <c r="F15213">
        <v>49122427</v>
      </c>
      <c r="G15213">
        <v>49122447</v>
      </c>
      <c r="H15213">
        <v>49122427</v>
      </c>
      <c r="I15213">
        <v>49122447</v>
      </c>
    </row>
    <row r="15214" spans="1:9" x14ac:dyDescent="0.2">
      <c r="A15214" s="1" t="str">
        <f>"RPL18A"</f>
        <v>RPL18A</v>
      </c>
      <c r="B15214" t="s">
        <v>14</v>
      </c>
      <c r="C15214" t="s">
        <v>10</v>
      </c>
      <c r="D15214" t="s">
        <v>17</v>
      </c>
      <c r="E15214" t="s">
        <v>12</v>
      </c>
      <c r="F15214">
        <v>17970693</v>
      </c>
      <c r="G15214">
        <v>17970729</v>
      </c>
      <c r="H15214">
        <v>17970677</v>
      </c>
      <c r="I15214">
        <v>17970686</v>
      </c>
    </row>
    <row r="15215" spans="1:9" x14ac:dyDescent="0.2">
      <c r="A15215" s="1" t="str">
        <f>"RPL19"</f>
        <v>RPL19</v>
      </c>
      <c r="B15215" t="s">
        <v>14</v>
      </c>
      <c r="C15215" t="s">
        <v>28</v>
      </c>
      <c r="D15215" t="s">
        <v>17</v>
      </c>
      <c r="E15215" t="s">
        <v>12</v>
      </c>
      <c r="F15215">
        <v>37356555</v>
      </c>
      <c r="G15215">
        <v>37356580</v>
      </c>
      <c r="H15215">
        <v>37356528</v>
      </c>
      <c r="I15215">
        <v>37356547</v>
      </c>
    </row>
    <row r="15216" spans="1:9" x14ac:dyDescent="0.2">
      <c r="A15216" s="1" t="str">
        <f>"RPL21"</f>
        <v>RPL21</v>
      </c>
      <c r="B15216" t="s">
        <v>14</v>
      </c>
      <c r="C15216" t="s">
        <v>39</v>
      </c>
      <c r="D15216" t="s">
        <v>17</v>
      </c>
      <c r="E15216" t="s">
        <v>12</v>
      </c>
      <c r="F15216">
        <v>27825706</v>
      </c>
      <c r="G15216">
        <v>27825741</v>
      </c>
      <c r="H15216">
        <v>27825452</v>
      </c>
      <c r="I15216">
        <v>27825506</v>
      </c>
    </row>
    <row r="15217" spans="1:9" x14ac:dyDescent="0.2">
      <c r="A15217" s="1" t="str">
        <f>"RPL22"</f>
        <v>RPL22</v>
      </c>
      <c r="B15217" t="s">
        <v>9</v>
      </c>
      <c r="C15217" t="s">
        <v>19</v>
      </c>
      <c r="D15217" t="s">
        <v>11</v>
      </c>
      <c r="E15217" t="s">
        <v>12</v>
      </c>
      <c r="F15217">
        <v>6259641</v>
      </c>
      <c r="G15217">
        <v>6259690</v>
      </c>
      <c r="H15217">
        <v>6259641</v>
      </c>
      <c r="I15217">
        <v>6259690</v>
      </c>
    </row>
    <row r="15218" spans="1:9" x14ac:dyDescent="0.2">
      <c r="A15218" s="1" t="str">
        <f>"RPL22"</f>
        <v>RPL22</v>
      </c>
      <c r="B15218" t="s">
        <v>13</v>
      </c>
      <c r="C15218" t="s">
        <v>19</v>
      </c>
      <c r="D15218" t="s">
        <v>11</v>
      </c>
      <c r="E15218" t="s">
        <v>12</v>
      </c>
      <c r="F15218">
        <v>6269335</v>
      </c>
      <c r="G15218">
        <v>6269436</v>
      </c>
      <c r="H15218">
        <v>6269335</v>
      </c>
      <c r="I15218">
        <v>6269436</v>
      </c>
    </row>
    <row r="15219" spans="1:9" x14ac:dyDescent="0.2">
      <c r="A15219" s="1" t="str">
        <f>"RPL22L1"</f>
        <v>RPL22L1</v>
      </c>
      <c r="B15219" t="s">
        <v>14</v>
      </c>
      <c r="C15219" t="s">
        <v>22</v>
      </c>
      <c r="D15219" t="s">
        <v>11</v>
      </c>
      <c r="E15219" t="s">
        <v>12</v>
      </c>
      <c r="F15219">
        <v>170587974</v>
      </c>
      <c r="G15219">
        <v>170587993</v>
      </c>
      <c r="H15219">
        <v>170588163</v>
      </c>
      <c r="I15219">
        <v>170588181</v>
      </c>
    </row>
    <row r="15220" spans="1:9" x14ac:dyDescent="0.2">
      <c r="A15220" s="1" t="str">
        <f>"RPL23"</f>
        <v>RPL23</v>
      </c>
      <c r="B15220" t="s">
        <v>14</v>
      </c>
      <c r="C15220" t="s">
        <v>28</v>
      </c>
      <c r="D15220" t="s">
        <v>11</v>
      </c>
      <c r="E15220" t="s">
        <v>12</v>
      </c>
      <c r="F15220">
        <v>37009968</v>
      </c>
      <c r="G15220">
        <v>37009998</v>
      </c>
      <c r="H15220">
        <v>37009694</v>
      </c>
      <c r="I15220">
        <v>37009721</v>
      </c>
    </row>
    <row r="15221" spans="1:9" x14ac:dyDescent="0.2">
      <c r="A15221" s="1" t="str">
        <f>"RPL23A"</f>
        <v>RPL23A</v>
      </c>
      <c r="B15221" t="s">
        <v>14</v>
      </c>
      <c r="C15221" t="s">
        <v>28</v>
      </c>
      <c r="D15221" t="s">
        <v>17</v>
      </c>
      <c r="E15221" t="s">
        <v>12</v>
      </c>
      <c r="F15221">
        <v>27046988</v>
      </c>
      <c r="G15221">
        <v>27047011</v>
      </c>
      <c r="H15221">
        <v>27047244</v>
      </c>
      <c r="I15221">
        <v>27047301</v>
      </c>
    </row>
    <row r="15222" spans="1:9" x14ac:dyDescent="0.2">
      <c r="A15222" s="1" t="str">
        <f>"RPL24"</f>
        <v>RPL24</v>
      </c>
      <c r="B15222" t="s">
        <v>14</v>
      </c>
      <c r="C15222" t="s">
        <v>22</v>
      </c>
      <c r="D15222" t="s">
        <v>11</v>
      </c>
      <c r="E15222" t="s">
        <v>12</v>
      </c>
      <c r="F15222">
        <v>101405543</v>
      </c>
      <c r="G15222">
        <v>101405569</v>
      </c>
      <c r="H15222">
        <v>101404742</v>
      </c>
      <c r="I15222">
        <v>101404766</v>
      </c>
    </row>
    <row r="15223" spans="1:9" x14ac:dyDescent="0.2">
      <c r="A15223" s="1" t="str">
        <f>"RPL26"</f>
        <v>RPL26</v>
      </c>
      <c r="B15223" t="s">
        <v>14</v>
      </c>
      <c r="C15223" t="s">
        <v>28</v>
      </c>
      <c r="D15223" t="s">
        <v>11</v>
      </c>
      <c r="E15223" t="s">
        <v>12</v>
      </c>
      <c r="F15223">
        <v>8286500</v>
      </c>
      <c r="G15223">
        <v>8286518</v>
      </c>
      <c r="H15223">
        <v>8286909</v>
      </c>
      <c r="I15223">
        <v>8286945</v>
      </c>
    </row>
    <row r="15224" spans="1:9" x14ac:dyDescent="0.2">
      <c r="A15224" s="1" t="str">
        <f>"RPL26L1"</f>
        <v>RPL26L1</v>
      </c>
      <c r="B15224" t="s">
        <v>14</v>
      </c>
      <c r="C15224" t="s">
        <v>46</v>
      </c>
      <c r="D15224" t="s">
        <v>17</v>
      </c>
      <c r="E15224" t="s">
        <v>12</v>
      </c>
      <c r="F15224">
        <v>172386419</v>
      </c>
      <c r="G15224">
        <v>172386480</v>
      </c>
      <c r="H15224">
        <v>172385873</v>
      </c>
      <c r="I15224">
        <v>172385902</v>
      </c>
    </row>
    <row r="15225" spans="1:9" x14ac:dyDescent="0.2">
      <c r="A15225" s="1" t="str">
        <f>"RPL27"</f>
        <v>RPL27</v>
      </c>
      <c r="B15225" t="s">
        <v>14</v>
      </c>
      <c r="C15225" t="s">
        <v>28</v>
      </c>
      <c r="D15225" t="s">
        <v>17</v>
      </c>
      <c r="E15225" t="s">
        <v>12</v>
      </c>
      <c r="F15225">
        <v>41150407</v>
      </c>
      <c r="G15225">
        <v>41150470</v>
      </c>
      <c r="H15225">
        <v>41150479</v>
      </c>
      <c r="I15225">
        <v>41150500</v>
      </c>
    </row>
    <row r="15226" spans="1:9" x14ac:dyDescent="0.2">
      <c r="A15226" s="1" t="str">
        <f>"RPL27A"</f>
        <v>RPL27A</v>
      </c>
      <c r="B15226" t="s">
        <v>14</v>
      </c>
      <c r="C15226" t="s">
        <v>27</v>
      </c>
      <c r="D15226" t="s">
        <v>17</v>
      </c>
      <c r="E15226" t="s">
        <v>12</v>
      </c>
      <c r="F15226">
        <v>8704298</v>
      </c>
      <c r="G15226">
        <v>8704345</v>
      </c>
      <c r="H15226">
        <v>8704552</v>
      </c>
      <c r="I15226">
        <v>8704571</v>
      </c>
    </row>
    <row r="15227" spans="1:9" x14ac:dyDescent="0.2">
      <c r="A15227" s="1" t="str">
        <f>"RPL28"</f>
        <v>RPL28</v>
      </c>
      <c r="B15227" t="s">
        <v>14</v>
      </c>
      <c r="C15227" t="s">
        <v>10</v>
      </c>
      <c r="D15227" t="s">
        <v>17</v>
      </c>
      <c r="E15227" t="s">
        <v>12</v>
      </c>
      <c r="F15227">
        <v>55897297</v>
      </c>
      <c r="G15227">
        <v>55897303</v>
      </c>
      <c r="H15227">
        <v>55897738</v>
      </c>
      <c r="I15227">
        <v>55897762</v>
      </c>
    </row>
    <row r="15228" spans="1:9" x14ac:dyDescent="0.2">
      <c r="A15228" s="1" t="str">
        <f>"RPL29"</f>
        <v>RPL29</v>
      </c>
      <c r="B15228" t="s">
        <v>14</v>
      </c>
      <c r="C15228" t="s">
        <v>22</v>
      </c>
      <c r="D15228" t="s">
        <v>11</v>
      </c>
      <c r="E15228" t="s">
        <v>12</v>
      </c>
      <c r="F15228">
        <v>52029900</v>
      </c>
      <c r="G15228">
        <v>52029941</v>
      </c>
      <c r="H15228">
        <v>52029958</v>
      </c>
      <c r="I15228">
        <v>52029974</v>
      </c>
    </row>
    <row r="15229" spans="1:9" x14ac:dyDescent="0.2">
      <c r="A15229" s="1" t="str">
        <f>"RPL3"</f>
        <v>RPL3</v>
      </c>
      <c r="B15229" t="s">
        <v>14</v>
      </c>
      <c r="C15229" t="s">
        <v>21</v>
      </c>
      <c r="D15229" t="s">
        <v>11</v>
      </c>
      <c r="E15229" t="s">
        <v>12</v>
      </c>
      <c r="F15229">
        <v>39715622</v>
      </c>
      <c r="G15229">
        <v>39715634</v>
      </c>
      <c r="H15229">
        <v>39715622</v>
      </c>
      <c r="I15229">
        <v>39715634</v>
      </c>
    </row>
    <row r="15230" spans="1:9" x14ac:dyDescent="0.2">
      <c r="A15230" s="1" t="str">
        <f>"RPL30"</f>
        <v>RPL30</v>
      </c>
      <c r="B15230" t="s">
        <v>14</v>
      </c>
      <c r="C15230" t="s">
        <v>30</v>
      </c>
      <c r="D15230" t="s">
        <v>11</v>
      </c>
      <c r="E15230" t="s">
        <v>12</v>
      </c>
      <c r="F15230">
        <v>99057769</v>
      </c>
      <c r="G15230">
        <v>99057776</v>
      </c>
      <c r="H15230">
        <v>99057611</v>
      </c>
      <c r="I15230">
        <v>99057625</v>
      </c>
    </row>
    <row r="15231" spans="1:9" x14ac:dyDescent="0.2">
      <c r="A15231" s="1" t="str">
        <f>"RPL31"</f>
        <v>RPL31</v>
      </c>
      <c r="B15231" t="s">
        <v>14</v>
      </c>
      <c r="C15231" t="s">
        <v>26</v>
      </c>
      <c r="D15231" t="s">
        <v>17</v>
      </c>
      <c r="E15231" t="s">
        <v>12</v>
      </c>
      <c r="F15231">
        <v>101618729</v>
      </c>
      <c r="G15231">
        <v>101618761</v>
      </c>
      <c r="H15231">
        <v>101618965</v>
      </c>
      <c r="I15231">
        <v>101619066</v>
      </c>
    </row>
    <row r="15232" spans="1:9" x14ac:dyDescent="0.2">
      <c r="A15232" s="1" t="str">
        <f>"RPL32"</f>
        <v>RPL32</v>
      </c>
      <c r="B15232" t="s">
        <v>14</v>
      </c>
      <c r="C15232" t="s">
        <v>22</v>
      </c>
      <c r="D15232" t="s">
        <v>11</v>
      </c>
      <c r="E15232" t="s">
        <v>12</v>
      </c>
      <c r="F15232">
        <v>12883026</v>
      </c>
      <c r="G15232">
        <v>12883086</v>
      </c>
      <c r="H15232">
        <v>12883026</v>
      </c>
      <c r="I15232">
        <v>12883086</v>
      </c>
    </row>
    <row r="15233" spans="1:9" x14ac:dyDescent="0.2">
      <c r="A15233" s="1" t="str">
        <f>"RPL34"</f>
        <v>RPL34</v>
      </c>
      <c r="B15233" t="s">
        <v>14</v>
      </c>
      <c r="C15233" t="s">
        <v>23</v>
      </c>
      <c r="D15233" t="s">
        <v>17</v>
      </c>
      <c r="E15233" t="s">
        <v>12</v>
      </c>
      <c r="F15233">
        <v>109541723</v>
      </c>
      <c r="G15233">
        <v>109541738</v>
      </c>
      <c r="H15233">
        <v>109541740</v>
      </c>
      <c r="I15233">
        <v>109541761</v>
      </c>
    </row>
    <row r="15234" spans="1:9" x14ac:dyDescent="0.2">
      <c r="A15234" s="1" t="str">
        <f>"RPL35"</f>
        <v>RPL35</v>
      </c>
      <c r="B15234" t="s">
        <v>14</v>
      </c>
      <c r="C15234" t="s">
        <v>24</v>
      </c>
      <c r="D15234" t="s">
        <v>11</v>
      </c>
      <c r="E15234" t="s">
        <v>12</v>
      </c>
      <c r="F15234">
        <v>127624220</v>
      </c>
      <c r="G15234">
        <v>127624249</v>
      </c>
      <c r="H15234">
        <v>127624605</v>
      </c>
      <c r="I15234">
        <v>127624636</v>
      </c>
    </row>
    <row r="15235" spans="1:9" x14ac:dyDescent="0.2">
      <c r="A15235" s="1" t="str">
        <f>"RPL35A"</f>
        <v>RPL35A</v>
      </c>
      <c r="B15235" t="s">
        <v>14</v>
      </c>
      <c r="C15235" t="s">
        <v>22</v>
      </c>
      <c r="D15235" t="s">
        <v>17</v>
      </c>
      <c r="E15235" t="s">
        <v>12</v>
      </c>
      <c r="F15235">
        <v>197677047</v>
      </c>
      <c r="G15235">
        <v>197677074</v>
      </c>
      <c r="H15235">
        <v>197677089</v>
      </c>
      <c r="I15235">
        <v>197677100</v>
      </c>
    </row>
    <row r="15236" spans="1:9" x14ac:dyDescent="0.2">
      <c r="A15236" s="1" t="str">
        <f>"RPL36"</f>
        <v>RPL36</v>
      </c>
      <c r="B15236" t="s">
        <v>14</v>
      </c>
      <c r="C15236" t="s">
        <v>10</v>
      </c>
      <c r="D15236" t="s">
        <v>17</v>
      </c>
      <c r="E15236" t="s">
        <v>12</v>
      </c>
      <c r="F15236">
        <v>5690297</v>
      </c>
      <c r="G15236">
        <v>5690316</v>
      </c>
      <c r="H15236">
        <v>5690266</v>
      </c>
      <c r="I15236">
        <v>5690296</v>
      </c>
    </row>
    <row r="15237" spans="1:9" x14ac:dyDescent="0.2">
      <c r="A15237" s="1" t="str">
        <f>"RPL36A"</f>
        <v>RPL36A</v>
      </c>
      <c r="B15237" t="s">
        <v>14</v>
      </c>
      <c r="C15237" t="s">
        <v>37</v>
      </c>
      <c r="D15237" t="s">
        <v>17</v>
      </c>
      <c r="E15237" t="s">
        <v>12</v>
      </c>
      <c r="F15237">
        <v>100645952</v>
      </c>
      <c r="G15237">
        <v>100646008</v>
      </c>
      <c r="H15237">
        <v>100645952</v>
      </c>
      <c r="I15237">
        <v>100646008</v>
      </c>
    </row>
    <row r="15238" spans="1:9" x14ac:dyDescent="0.2">
      <c r="A15238" s="1" t="str">
        <f>"RPL36A-HNRNPH2"</f>
        <v>RPL36A-HNRNPH2</v>
      </c>
      <c r="B15238" t="s">
        <v>14</v>
      </c>
      <c r="C15238" t="s">
        <v>37</v>
      </c>
      <c r="D15238" t="s">
        <v>17</v>
      </c>
      <c r="E15238" t="s">
        <v>67</v>
      </c>
      <c r="F15238">
        <v>100645952</v>
      </c>
      <c r="G15238">
        <v>100646008</v>
      </c>
      <c r="H15238">
        <v>100645952</v>
      </c>
      <c r="I15238">
        <v>100646008</v>
      </c>
    </row>
    <row r="15239" spans="1:9" x14ac:dyDescent="0.2">
      <c r="A15239" s="1" t="str">
        <f>"RPL36AL"</f>
        <v>RPL36AL</v>
      </c>
      <c r="B15239" t="s">
        <v>14</v>
      </c>
      <c r="C15239" t="s">
        <v>41</v>
      </c>
      <c r="D15239" t="s">
        <v>11</v>
      </c>
      <c r="E15239" t="s">
        <v>12</v>
      </c>
      <c r="F15239">
        <v>50087312</v>
      </c>
      <c r="G15239">
        <v>50087365</v>
      </c>
      <c r="H15239">
        <v>50087312</v>
      </c>
      <c r="I15239">
        <v>50087365</v>
      </c>
    </row>
    <row r="15240" spans="1:9" x14ac:dyDescent="0.2">
      <c r="A15240" s="1" t="str">
        <f>"RPL37"</f>
        <v>RPL37</v>
      </c>
      <c r="B15240" t="s">
        <v>14</v>
      </c>
      <c r="C15240" t="s">
        <v>46</v>
      </c>
      <c r="D15240" t="s">
        <v>11</v>
      </c>
      <c r="E15240" t="s">
        <v>12</v>
      </c>
      <c r="F15240">
        <v>40835303</v>
      </c>
      <c r="G15240">
        <v>40835335</v>
      </c>
      <c r="H15240">
        <v>40834650</v>
      </c>
      <c r="I15240">
        <v>40834691</v>
      </c>
    </row>
    <row r="15241" spans="1:9" x14ac:dyDescent="0.2">
      <c r="A15241" s="1" t="str">
        <f>"RPL37A"</f>
        <v>RPL37A</v>
      </c>
      <c r="B15241" t="s">
        <v>14</v>
      </c>
      <c r="C15241" t="s">
        <v>26</v>
      </c>
      <c r="D15241" t="s">
        <v>17</v>
      </c>
      <c r="E15241" t="s">
        <v>12</v>
      </c>
      <c r="F15241">
        <v>217363559</v>
      </c>
      <c r="G15241">
        <v>217363573</v>
      </c>
      <c r="H15241">
        <v>217363965</v>
      </c>
      <c r="I15241">
        <v>217363995</v>
      </c>
    </row>
    <row r="15242" spans="1:9" x14ac:dyDescent="0.2">
      <c r="A15242" s="1" t="str">
        <f>"RPL38"</f>
        <v>RPL38</v>
      </c>
      <c r="B15242" t="s">
        <v>14</v>
      </c>
      <c r="C15242" t="s">
        <v>28</v>
      </c>
      <c r="D15242" t="s">
        <v>17</v>
      </c>
      <c r="E15242" t="s">
        <v>12</v>
      </c>
      <c r="F15242">
        <v>72199808</v>
      </c>
      <c r="G15242">
        <v>72199837</v>
      </c>
      <c r="H15242">
        <v>72200038</v>
      </c>
      <c r="I15242">
        <v>72200068</v>
      </c>
    </row>
    <row r="15243" spans="1:9" x14ac:dyDescent="0.2">
      <c r="A15243" s="1" t="str">
        <f>"RPL39"</f>
        <v>RPL39</v>
      </c>
      <c r="B15243" t="s">
        <v>14</v>
      </c>
      <c r="C15243" t="s">
        <v>37</v>
      </c>
      <c r="D15243" t="s">
        <v>11</v>
      </c>
      <c r="E15243" t="s">
        <v>12</v>
      </c>
      <c r="F15243">
        <v>118925585</v>
      </c>
      <c r="G15243">
        <v>118925599</v>
      </c>
      <c r="H15243">
        <v>118925600</v>
      </c>
      <c r="I15243">
        <v>118925620</v>
      </c>
    </row>
    <row r="15244" spans="1:9" x14ac:dyDescent="0.2">
      <c r="A15244" s="1" t="str">
        <f>"RPL39L"</f>
        <v>RPL39L</v>
      </c>
      <c r="B15244" t="s">
        <v>14</v>
      </c>
      <c r="C15244" t="s">
        <v>22</v>
      </c>
      <c r="D15244" t="s">
        <v>11</v>
      </c>
      <c r="E15244" t="s">
        <v>12</v>
      </c>
      <c r="F15244">
        <v>186857267</v>
      </c>
      <c r="G15244">
        <v>186857293</v>
      </c>
      <c r="H15244">
        <v>186857217</v>
      </c>
      <c r="I15244">
        <v>186857265</v>
      </c>
    </row>
    <row r="15245" spans="1:9" x14ac:dyDescent="0.2">
      <c r="A15245" s="1" t="str">
        <f>"RPL3L"</f>
        <v>RPL3L</v>
      </c>
      <c r="B15245" t="s">
        <v>14</v>
      </c>
      <c r="C15245" t="s">
        <v>31</v>
      </c>
      <c r="D15245" t="s">
        <v>11</v>
      </c>
      <c r="E15245" t="s">
        <v>12</v>
      </c>
      <c r="F15245">
        <v>2004683</v>
      </c>
      <c r="G15245">
        <v>2004699</v>
      </c>
      <c r="H15245">
        <v>2004683</v>
      </c>
      <c r="I15245">
        <v>2004699</v>
      </c>
    </row>
    <row r="15246" spans="1:9" x14ac:dyDescent="0.2">
      <c r="A15246" s="1" t="str">
        <f>"RPL4"</f>
        <v>RPL4</v>
      </c>
      <c r="B15246" t="s">
        <v>14</v>
      </c>
      <c r="C15246" t="s">
        <v>25</v>
      </c>
      <c r="D15246" t="s">
        <v>11</v>
      </c>
      <c r="E15246" t="s">
        <v>12</v>
      </c>
      <c r="F15246">
        <v>66797172</v>
      </c>
      <c r="G15246">
        <v>66797204</v>
      </c>
      <c r="H15246">
        <v>66797172</v>
      </c>
      <c r="I15246">
        <v>66797204</v>
      </c>
    </row>
    <row r="15247" spans="1:9" x14ac:dyDescent="0.2">
      <c r="A15247" s="1" t="str">
        <f>"RPL41"</f>
        <v>RPL41</v>
      </c>
      <c r="B15247" t="s">
        <v>14</v>
      </c>
      <c r="C15247" t="s">
        <v>16</v>
      </c>
      <c r="D15247" t="s">
        <v>17</v>
      </c>
      <c r="E15247" t="s">
        <v>12</v>
      </c>
      <c r="F15247">
        <v>56510408</v>
      </c>
      <c r="G15247">
        <v>56510424</v>
      </c>
      <c r="H15247">
        <v>56510380</v>
      </c>
      <c r="I15247">
        <v>56510405</v>
      </c>
    </row>
    <row r="15248" spans="1:9" x14ac:dyDescent="0.2">
      <c r="A15248" s="1" t="str">
        <f>"RPL5"</f>
        <v>RPL5</v>
      </c>
      <c r="B15248" t="s">
        <v>14</v>
      </c>
      <c r="C15248" t="s">
        <v>19</v>
      </c>
      <c r="D15248" t="s">
        <v>17</v>
      </c>
      <c r="E15248" t="s">
        <v>12</v>
      </c>
      <c r="F15248">
        <v>93297586</v>
      </c>
      <c r="G15248">
        <v>93297609</v>
      </c>
      <c r="H15248">
        <v>93297622</v>
      </c>
      <c r="I15248">
        <v>93297635</v>
      </c>
    </row>
    <row r="15249" spans="1:9" x14ac:dyDescent="0.2">
      <c r="A15249" s="1" t="str">
        <f>"RPL6"</f>
        <v>RPL6</v>
      </c>
      <c r="B15249" t="s">
        <v>14</v>
      </c>
      <c r="C15249" t="s">
        <v>16</v>
      </c>
      <c r="D15249" t="s">
        <v>11</v>
      </c>
      <c r="E15249" t="s">
        <v>12</v>
      </c>
      <c r="F15249">
        <v>112847354</v>
      </c>
      <c r="G15249">
        <v>112847457</v>
      </c>
      <c r="H15249">
        <v>112847048</v>
      </c>
      <c r="I15249">
        <v>112847095</v>
      </c>
    </row>
    <row r="15250" spans="1:9" x14ac:dyDescent="0.2">
      <c r="A15250" s="1" t="str">
        <f>"RPL7"</f>
        <v>RPL7</v>
      </c>
      <c r="B15250" t="s">
        <v>14</v>
      </c>
      <c r="C15250" t="s">
        <v>30</v>
      </c>
      <c r="D15250" t="s">
        <v>11</v>
      </c>
      <c r="E15250" t="s">
        <v>12</v>
      </c>
      <c r="F15250">
        <v>74205851</v>
      </c>
      <c r="G15250">
        <v>74205874</v>
      </c>
      <c r="H15250">
        <v>74205888</v>
      </c>
      <c r="I15250">
        <v>74205923</v>
      </c>
    </row>
    <row r="15251" spans="1:9" x14ac:dyDescent="0.2">
      <c r="A15251" s="1" t="str">
        <f>"RPL7A"</f>
        <v>RPL7A</v>
      </c>
      <c r="B15251" t="s">
        <v>14</v>
      </c>
      <c r="C15251" t="s">
        <v>24</v>
      </c>
      <c r="D15251" t="s">
        <v>17</v>
      </c>
      <c r="E15251" t="s">
        <v>12</v>
      </c>
      <c r="F15251">
        <v>136215044</v>
      </c>
      <c r="G15251">
        <v>136215086</v>
      </c>
      <c r="H15251">
        <v>136215087</v>
      </c>
      <c r="I15251">
        <v>136215128</v>
      </c>
    </row>
    <row r="15252" spans="1:9" x14ac:dyDescent="0.2">
      <c r="A15252" s="1" t="str">
        <f>"RPL7L1"</f>
        <v>RPL7L1</v>
      </c>
      <c r="B15252" t="s">
        <v>14</v>
      </c>
      <c r="C15252" t="s">
        <v>32</v>
      </c>
      <c r="D15252" t="s">
        <v>17</v>
      </c>
      <c r="E15252" t="s">
        <v>12</v>
      </c>
      <c r="F15252">
        <v>42847348</v>
      </c>
      <c r="G15252">
        <v>42847405</v>
      </c>
      <c r="H15252">
        <v>42847649</v>
      </c>
      <c r="I15252">
        <v>42847675</v>
      </c>
    </row>
    <row r="15253" spans="1:9" x14ac:dyDescent="0.2">
      <c r="A15253" s="1" t="str">
        <f>"RPL8"</f>
        <v>RPL8</v>
      </c>
      <c r="B15253" t="s">
        <v>14</v>
      </c>
      <c r="C15253" t="s">
        <v>30</v>
      </c>
      <c r="D15253" t="s">
        <v>11</v>
      </c>
      <c r="E15253" t="s">
        <v>12</v>
      </c>
      <c r="F15253">
        <v>146017765</v>
      </c>
      <c r="G15253">
        <v>146017814</v>
      </c>
      <c r="H15253">
        <v>146017737</v>
      </c>
      <c r="I15253">
        <v>146017748</v>
      </c>
    </row>
    <row r="15254" spans="1:9" x14ac:dyDescent="0.2">
      <c r="A15254" s="1" t="str">
        <f>"RPL9"</f>
        <v>RPL9</v>
      </c>
      <c r="B15254" t="s">
        <v>14</v>
      </c>
      <c r="C15254" t="s">
        <v>23</v>
      </c>
      <c r="D15254" t="s">
        <v>11</v>
      </c>
      <c r="E15254" t="s">
        <v>12</v>
      </c>
      <c r="F15254">
        <v>39460520</v>
      </c>
      <c r="G15254">
        <v>39460574</v>
      </c>
      <c r="H15254">
        <v>39460496</v>
      </c>
      <c r="I15254">
        <v>39460510</v>
      </c>
    </row>
    <row r="15255" spans="1:9" x14ac:dyDescent="0.2">
      <c r="A15255" s="1" t="str">
        <f>"RPLP0"</f>
        <v>RPLP0</v>
      </c>
      <c r="B15255" t="s">
        <v>14</v>
      </c>
      <c r="C15255" t="s">
        <v>16</v>
      </c>
      <c r="D15255" t="s">
        <v>11</v>
      </c>
      <c r="E15255" t="s">
        <v>12</v>
      </c>
      <c r="F15255">
        <v>120638905</v>
      </c>
      <c r="G15255">
        <v>120638915</v>
      </c>
      <c r="H15255">
        <v>120638649</v>
      </c>
      <c r="I15255">
        <v>120638679</v>
      </c>
    </row>
    <row r="15256" spans="1:9" x14ac:dyDescent="0.2">
      <c r="A15256" s="1" t="str">
        <f>"RPLP1"</f>
        <v>RPLP1</v>
      </c>
      <c r="B15256" t="s">
        <v>14</v>
      </c>
      <c r="C15256" t="s">
        <v>25</v>
      </c>
      <c r="D15256" t="s">
        <v>17</v>
      </c>
      <c r="E15256" t="s">
        <v>12</v>
      </c>
      <c r="F15256">
        <v>69745150</v>
      </c>
      <c r="G15256">
        <v>69745170</v>
      </c>
      <c r="H15256">
        <v>69744994</v>
      </c>
      <c r="I15256">
        <v>69744998</v>
      </c>
    </row>
    <row r="15257" spans="1:9" x14ac:dyDescent="0.2">
      <c r="A15257" s="1" t="str">
        <f>"RPLP2"</f>
        <v>RPLP2</v>
      </c>
      <c r="B15257" t="s">
        <v>14</v>
      </c>
      <c r="C15257" t="s">
        <v>27</v>
      </c>
      <c r="D15257" t="s">
        <v>17</v>
      </c>
      <c r="E15257" t="s">
        <v>12</v>
      </c>
      <c r="F15257">
        <v>809961</v>
      </c>
      <c r="G15257">
        <v>809977</v>
      </c>
      <c r="H15257">
        <v>810221</v>
      </c>
      <c r="I15257">
        <v>810281</v>
      </c>
    </row>
    <row r="15258" spans="1:9" x14ac:dyDescent="0.2">
      <c r="A15258" s="1" t="str">
        <f>"RPN1"</f>
        <v>RPN1</v>
      </c>
      <c r="B15258" t="s">
        <v>14</v>
      </c>
      <c r="C15258" t="s">
        <v>22</v>
      </c>
      <c r="D15258" t="s">
        <v>11</v>
      </c>
      <c r="E15258" t="s">
        <v>12</v>
      </c>
      <c r="F15258">
        <v>128369643</v>
      </c>
      <c r="G15258">
        <v>128369678</v>
      </c>
      <c r="H15258">
        <v>128369643</v>
      </c>
      <c r="I15258">
        <v>128369678</v>
      </c>
    </row>
    <row r="15259" spans="1:9" x14ac:dyDescent="0.2">
      <c r="A15259" s="1" t="str">
        <f>"RPN2"</f>
        <v>RPN2</v>
      </c>
      <c r="B15259" t="s">
        <v>14</v>
      </c>
      <c r="C15259" t="s">
        <v>29</v>
      </c>
      <c r="D15259" t="s">
        <v>17</v>
      </c>
      <c r="E15259" t="s">
        <v>12</v>
      </c>
      <c r="F15259">
        <v>35807714</v>
      </c>
      <c r="G15259">
        <v>35807756</v>
      </c>
      <c r="H15259">
        <v>35807512</v>
      </c>
      <c r="I15259">
        <v>35807541</v>
      </c>
    </row>
    <row r="15260" spans="1:9" x14ac:dyDescent="0.2">
      <c r="A15260" s="1" t="str">
        <f>"RPP14"</f>
        <v>RPP14</v>
      </c>
      <c r="B15260" t="s">
        <v>14</v>
      </c>
      <c r="C15260" t="s">
        <v>22</v>
      </c>
      <c r="D15260" t="s">
        <v>17</v>
      </c>
      <c r="E15260" t="s">
        <v>12</v>
      </c>
      <c r="F15260">
        <v>58291965</v>
      </c>
      <c r="G15260">
        <v>58292038</v>
      </c>
      <c r="H15260">
        <v>58292233</v>
      </c>
      <c r="I15260">
        <v>58292288</v>
      </c>
    </row>
    <row r="15261" spans="1:9" x14ac:dyDescent="0.2">
      <c r="A15261" s="1" t="str">
        <f>"RPP21"</f>
        <v>RPP21</v>
      </c>
      <c r="B15261" t="s">
        <v>14</v>
      </c>
      <c r="C15261" t="s">
        <v>32</v>
      </c>
      <c r="D15261" t="s">
        <v>17</v>
      </c>
      <c r="E15261" t="s">
        <v>12</v>
      </c>
      <c r="F15261">
        <v>30312916</v>
      </c>
      <c r="G15261">
        <v>30312950</v>
      </c>
      <c r="H15261">
        <v>30312986</v>
      </c>
      <c r="I15261">
        <v>30313014</v>
      </c>
    </row>
    <row r="15262" spans="1:9" x14ac:dyDescent="0.2">
      <c r="A15262" s="1" t="str">
        <f>"RPP25"</f>
        <v>RPP25</v>
      </c>
      <c r="B15262" t="s">
        <v>14</v>
      </c>
      <c r="C15262" t="s">
        <v>25</v>
      </c>
      <c r="D15262" t="s">
        <v>11</v>
      </c>
      <c r="E15262" t="s">
        <v>12</v>
      </c>
      <c r="F15262">
        <v>75249100</v>
      </c>
      <c r="G15262">
        <v>75249121</v>
      </c>
      <c r="H15262">
        <v>75249100</v>
      </c>
      <c r="I15262">
        <v>75249121</v>
      </c>
    </row>
    <row r="15263" spans="1:9" x14ac:dyDescent="0.2">
      <c r="A15263" s="1" t="str">
        <f>"RPP25L"</f>
        <v>RPP25L</v>
      </c>
      <c r="B15263" t="s">
        <v>14</v>
      </c>
      <c r="C15263" t="s">
        <v>24</v>
      </c>
      <c r="D15263" t="s">
        <v>11</v>
      </c>
      <c r="E15263" t="s">
        <v>12</v>
      </c>
      <c r="F15263">
        <v>34612077</v>
      </c>
      <c r="G15263">
        <v>34612125</v>
      </c>
      <c r="H15263">
        <v>34612077</v>
      </c>
      <c r="I15263">
        <v>34612125</v>
      </c>
    </row>
    <row r="15264" spans="1:9" x14ac:dyDescent="0.2">
      <c r="A15264" s="1" t="str">
        <f>"RPP30"</f>
        <v>RPP30</v>
      </c>
      <c r="B15264" t="s">
        <v>14</v>
      </c>
      <c r="C15264" t="s">
        <v>15</v>
      </c>
      <c r="D15264" t="s">
        <v>17</v>
      </c>
      <c r="E15264" t="s">
        <v>12</v>
      </c>
      <c r="F15264">
        <v>92631715</v>
      </c>
      <c r="G15264">
        <v>92631746</v>
      </c>
      <c r="H15264">
        <v>92631715</v>
      </c>
      <c r="I15264">
        <v>92631746</v>
      </c>
    </row>
    <row r="15265" spans="1:9" x14ac:dyDescent="0.2">
      <c r="A15265" s="1" t="str">
        <f>"RPP38"</f>
        <v>RPP38</v>
      </c>
      <c r="B15265" t="s">
        <v>14</v>
      </c>
      <c r="C15265" t="s">
        <v>15</v>
      </c>
      <c r="D15265" t="s">
        <v>17</v>
      </c>
      <c r="E15265" t="s">
        <v>12</v>
      </c>
      <c r="F15265">
        <v>15139337</v>
      </c>
      <c r="G15265">
        <v>15139391</v>
      </c>
      <c r="H15265">
        <v>15139176</v>
      </c>
      <c r="I15265">
        <v>15139202</v>
      </c>
    </row>
    <row r="15266" spans="1:9" x14ac:dyDescent="0.2">
      <c r="A15266" s="1" t="str">
        <f>"RPP40"</f>
        <v>RPP40</v>
      </c>
      <c r="B15266" t="s">
        <v>14</v>
      </c>
      <c r="C15266" t="s">
        <v>32</v>
      </c>
      <c r="D15266" t="s">
        <v>11</v>
      </c>
      <c r="E15266" t="s">
        <v>12</v>
      </c>
      <c r="F15266">
        <v>5004241</v>
      </c>
      <c r="G15266">
        <v>5004288</v>
      </c>
      <c r="H15266">
        <v>5003839</v>
      </c>
      <c r="I15266">
        <v>5003854</v>
      </c>
    </row>
    <row r="15267" spans="1:9" x14ac:dyDescent="0.2">
      <c r="A15267" s="1" t="str">
        <f>"RPRD1A"</f>
        <v>RPRD1A</v>
      </c>
      <c r="B15267" t="s">
        <v>14</v>
      </c>
      <c r="C15267" t="s">
        <v>43</v>
      </c>
      <c r="D15267" t="s">
        <v>11</v>
      </c>
      <c r="E15267" t="s">
        <v>12</v>
      </c>
      <c r="F15267">
        <v>33647487</v>
      </c>
      <c r="G15267">
        <v>33647547</v>
      </c>
      <c r="H15267">
        <v>33647391</v>
      </c>
      <c r="I15267">
        <v>33647402</v>
      </c>
    </row>
    <row r="15268" spans="1:9" x14ac:dyDescent="0.2">
      <c r="A15268" s="1" t="str">
        <f>"RPRD1B"</f>
        <v>RPRD1B</v>
      </c>
      <c r="B15268" t="s">
        <v>14</v>
      </c>
      <c r="C15268" t="s">
        <v>29</v>
      </c>
      <c r="D15268" t="s">
        <v>17</v>
      </c>
      <c r="E15268" t="s">
        <v>12</v>
      </c>
      <c r="F15268">
        <v>36662121</v>
      </c>
      <c r="G15268">
        <v>36662177</v>
      </c>
      <c r="H15268">
        <v>36661910</v>
      </c>
      <c r="I15268">
        <v>36661968</v>
      </c>
    </row>
    <row r="15269" spans="1:9" x14ac:dyDescent="0.2">
      <c r="A15269" s="1" t="str">
        <f>"RPRD2"</f>
        <v>RPRD2</v>
      </c>
      <c r="B15269" t="s">
        <v>14</v>
      </c>
      <c r="C15269" t="s">
        <v>19</v>
      </c>
      <c r="D15269" t="s">
        <v>17</v>
      </c>
      <c r="E15269" t="s">
        <v>12</v>
      </c>
      <c r="F15269">
        <v>150337144</v>
      </c>
      <c r="G15269">
        <v>150337194</v>
      </c>
      <c r="H15269">
        <v>150337144</v>
      </c>
      <c r="I15269">
        <v>150337194</v>
      </c>
    </row>
    <row r="15270" spans="1:9" x14ac:dyDescent="0.2">
      <c r="A15270" s="1" t="str">
        <f>"RPRM"</f>
        <v>RPRM</v>
      </c>
      <c r="B15270" t="s">
        <v>14</v>
      </c>
      <c r="C15270" t="s">
        <v>26</v>
      </c>
      <c r="D15270" t="s">
        <v>11</v>
      </c>
      <c r="E15270" t="s">
        <v>12</v>
      </c>
      <c r="F15270">
        <v>154335268</v>
      </c>
      <c r="G15270">
        <v>154335286</v>
      </c>
      <c r="H15270">
        <v>154335173</v>
      </c>
      <c r="I15270">
        <v>154335188</v>
      </c>
    </row>
    <row r="15271" spans="1:9" x14ac:dyDescent="0.2">
      <c r="A15271" s="1" t="str">
        <f>"RPRML"</f>
        <v>RPRML</v>
      </c>
      <c r="B15271" t="s">
        <v>14</v>
      </c>
      <c r="C15271" t="s">
        <v>28</v>
      </c>
      <c r="D15271" t="s">
        <v>11</v>
      </c>
      <c r="E15271" t="s">
        <v>12</v>
      </c>
      <c r="F15271">
        <v>45056606</v>
      </c>
      <c r="G15271">
        <v>45056625</v>
      </c>
      <c r="H15271">
        <v>45056637</v>
      </c>
      <c r="I15271">
        <v>45056648</v>
      </c>
    </row>
    <row r="15272" spans="1:9" x14ac:dyDescent="0.2">
      <c r="A15272" s="1" t="str">
        <f>"RPS10"</f>
        <v>RPS10</v>
      </c>
      <c r="B15272" t="s">
        <v>14</v>
      </c>
      <c r="C15272" t="s">
        <v>32</v>
      </c>
      <c r="D15272" t="s">
        <v>11</v>
      </c>
      <c r="E15272" t="s">
        <v>12</v>
      </c>
      <c r="F15272">
        <v>34393834</v>
      </c>
      <c r="G15272">
        <v>34393854</v>
      </c>
      <c r="H15272">
        <v>34393834</v>
      </c>
      <c r="I15272">
        <v>34393854</v>
      </c>
    </row>
    <row r="15273" spans="1:9" x14ac:dyDescent="0.2">
      <c r="A15273" s="1" t="str">
        <f>"RPS10-NUDT3"</f>
        <v>RPS10-NUDT3</v>
      </c>
      <c r="B15273" t="s">
        <v>14</v>
      </c>
      <c r="C15273" t="s">
        <v>32</v>
      </c>
      <c r="D15273" t="s">
        <v>11</v>
      </c>
      <c r="E15273" t="s">
        <v>67</v>
      </c>
      <c r="F15273">
        <v>34393834</v>
      </c>
      <c r="G15273">
        <v>34393854</v>
      </c>
      <c r="H15273">
        <v>34393834</v>
      </c>
      <c r="I15273">
        <v>34393854</v>
      </c>
    </row>
    <row r="15274" spans="1:9" x14ac:dyDescent="0.2">
      <c r="A15274" s="1" t="str">
        <f>"RPS11"</f>
        <v>RPS11</v>
      </c>
      <c r="B15274" t="s">
        <v>14</v>
      </c>
      <c r="C15274" t="s">
        <v>10</v>
      </c>
      <c r="D15274" t="s">
        <v>17</v>
      </c>
      <c r="E15274" t="s">
        <v>12</v>
      </c>
      <c r="F15274">
        <v>49999681</v>
      </c>
      <c r="G15274">
        <v>49999705</v>
      </c>
      <c r="H15274">
        <v>49999297</v>
      </c>
      <c r="I15274">
        <v>49999302</v>
      </c>
    </row>
    <row r="15275" spans="1:9" x14ac:dyDescent="0.2">
      <c r="A15275" s="1" t="str">
        <f>"RPS12"</f>
        <v>RPS12</v>
      </c>
      <c r="B15275" t="s">
        <v>14</v>
      </c>
      <c r="C15275" t="s">
        <v>32</v>
      </c>
      <c r="D15275" t="s">
        <v>17</v>
      </c>
      <c r="E15275" t="s">
        <v>12</v>
      </c>
      <c r="F15275">
        <v>133135704</v>
      </c>
      <c r="G15275">
        <v>133135711</v>
      </c>
      <c r="H15275">
        <v>133135704</v>
      </c>
      <c r="I15275">
        <v>133135711</v>
      </c>
    </row>
    <row r="15276" spans="1:9" x14ac:dyDescent="0.2">
      <c r="A15276" s="1" t="str">
        <f>"RPS13"</f>
        <v>RPS13</v>
      </c>
      <c r="B15276" t="s">
        <v>14</v>
      </c>
      <c r="C15276" t="s">
        <v>27</v>
      </c>
      <c r="D15276" t="s">
        <v>11</v>
      </c>
      <c r="E15276" t="s">
        <v>12</v>
      </c>
      <c r="F15276">
        <v>17099202</v>
      </c>
      <c r="G15276">
        <v>17099230</v>
      </c>
      <c r="H15276">
        <v>17099202</v>
      </c>
      <c r="I15276">
        <v>17099230</v>
      </c>
    </row>
    <row r="15277" spans="1:9" x14ac:dyDescent="0.2">
      <c r="A15277" s="1" t="str">
        <f>"RPS14"</f>
        <v>RPS14</v>
      </c>
      <c r="B15277" t="s">
        <v>14</v>
      </c>
      <c r="C15277" t="s">
        <v>46</v>
      </c>
      <c r="D15277" t="s">
        <v>11</v>
      </c>
      <c r="E15277" t="s">
        <v>12</v>
      </c>
      <c r="F15277">
        <v>149829294</v>
      </c>
      <c r="G15277">
        <v>149829310</v>
      </c>
      <c r="H15277">
        <v>149829263</v>
      </c>
      <c r="I15277">
        <v>149829276</v>
      </c>
    </row>
    <row r="15278" spans="1:9" x14ac:dyDescent="0.2">
      <c r="A15278" s="1" t="str">
        <f>"RPS15"</f>
        <v>RPS15</v>
      </c>
      <c r="B15278" t="s">
        <v>14</v>
      </c>
      <c r="C15278" t="s">
        <v>10</v>
      </c>
      <c r="D15278" t="s">
        <v>17</v>
      </c>
      <c r="E15278" t="s">
        <v>12</v>
      </c>
      <c r="F15278">
        <v>1438383</v>
      </c>
      <c r="G15278">
        <v>1438409</v>
      </c>
      <c r="H15278">
        <v>1438351</v>
      </c>
      <c r="I15278">
        <v>1438382</v>
      </c>
    </row>
    <row r="15279" spans="1:9" x14ac:dyDescent="0.2">
      <c r="A15279" s="1" t="str">
        <f>"RPS15A"</f>
        <v>RPS15A</v>
      </c>
      <c r="B15279" t="s">
        <v>14</v>
      </c>
      <c r="C15279" t="s">
        <v>31</v>
      </c>
      <c r="D15279" t="s">
        <v>11</v>
      </c>
      <c r="E15279" t="s">
        <v>12</v>
      </c>
      <c r="F15279">
        <v>18801643</v>
      </c>
      <c r="G15279">
        <v>18801662</v>
      </c>
      <c r="H15279">
        <v>18801619</v>
      </c>
      <c r="I15279">
        <v>18801630</v>
      </c>
    </row>
    <row r="15280" spans="1:9" x14ac:dyDescent="0.2">
      <c r="A15280" s="1" t="str">
        <f>"RPS16"</f>
        <v>RPS16</v>
      </c>
      <c r="B15280" t="s">
        <v>14</v>
      </c>
      <c r="C15280" t="s">
        <v>10</v>
      </c>
      <c r="D15280" t="s">
        <v>11</v>
      </c>
      <c r="E15280" t="s">
        <v>12</v>
      </c>
      <c r="F15280">
        <v>39926576</v>
      </c>
      <c r="G15280">
        <v>39926593</v>
      </c>
      <c r="H15280">
        <v>39926576</v>
      </c>
      <c r="I15280">
        <v>39926593</v>
      </c>
    </row>
    <row r="15281" spans="1:9" x14ac:dyDescent="0.2">
      <c r="A15281" s="1" t="str">
        <f>"RPS17"</f>
        <v>RPS17</v>
      </c>
      <c r="B15281" t="s">
        <v>1500</v>
      </c>
      <c r="C15281" t="s">
        <v>25</v>
      </c>
      <c r="D15281" t="s">
        <v>11</v>
      </c>
      <c r="E15281" t="s">
        <v>20</v>
      </c>
      <c r="F15281">
        <v>82824971</v>
      </c>
      <c r="G15281">
        <v>82824971</v>
      </c>
      <c r="H15281">
        <v>82824971</v>
      </c>
      <c r="I15281">
        <v>82824971</v>
      </c>
    </row>
    <row r="15282" spans="1:9" x14ac:dyDescent="0.2">
      <c r="A15282" s="1" t="str">
        <f>"RPS18"</f>
        <v>RPS18</v>
      </c>
      <c r="B15282" t="s">
        <v>14</v>
      </c>
      <c r="C15282" t="s">
        <v>32</v>
      </c>
      <c r="D15282" t="s">
        <v>17</v>
      </c>
      <c r="E15282" t="s">
        <v>12</v>
      </c>
      <c r="F15282">
        <v>33239845</v>
      </c>
      <c r="G15282">
        <v>33239859</v>
      </c>
      <c r="H15282">
        <v>33240281</v>
      </c>
      <c r="I15282">
        <v>33240291</v>
      </c>
    </row>
    <row r="15283" spans="1:9" x14ac:dyDescent="0.2">
      <c r="A15283" s="1" t="str">
        <f>"RPS19"</f>
        <v>RPS19</v>
      </c>
      <c r="B15283" t="s">
        <v>14</v>
      </c>
      <c r="C15283" t="s">
        <v>10</v>
      </c>
      <c r="D15283" t="s">
        <v>17</v>
      </c>
      <c r="E15283" t="s">
        <v>12</v>
      </c>
      <c r="F15283">
        <v>42364313</v>
      </c>
      <c r="G15283">
        <v>42364337</v>
      </c>
      <c r="H15283">
        <v>42364267</v>
      </c>
      <c r="I15283">
        <v>42364301</v>
      </c>
    </row>
    <row r="15284" spans="1:9" x14ac:dyDescent="0.2">
      <c r="A15284" s="1" t="str">
        <f>"RPS19BP1"</f>
        <v>RPS19BP1</v>
      </c>
      <c r="B15284" t="s">
        <v>14</v>
      </c>
      <c r="C15284" t="s">
        <v>21</v>
      </c>
      <c r="D15284" t="s">
        <v>11</v>
      </c>
      <c r="E15284" t="s">
        <v>12</v>
      </c>
      <c r="F15284">
        <v>39928710</v>
      </c>
      <c r="G15284">
        <v>39928813</v>
      </c>
      <c r="H15284">
        <v>39928823</v>
      </c>
      <c r="I15284">
        <v>39928831</v>
      </c>
    </row>
    <row r="15285" spans="1:9" x14ac:dyDescent="0.2">
      <c r="A15285" s="1" t="str">
        <f>"RPS2"</f>
        <v>RPS2</v>
      </c>
      <c r="B15285" t="s">
        <v>14</v>
      </c>
      <c r="C15285" t="s">
        <v>31</v>
      </c>
      <c r="D15285" t="s">
        <v>11</v>
      </c>
      <c r="E15285" t="s">
        <v>12</v>
      </c>
      <c r="F15285">
        <v>2014810</v>
      </c>
      <c r="G15285">
        <v>2014835</v>
      </c>
      <c r="H15285">
        <v>2014639</v>
      </c>
      <c r="I15285">
        <v>2014682</v>
      </c>
    </row>
    <row r="15286" spans="1:9" x14ac:dyDescent="0.2">
      <c r="A15286" s="1" t="str">
        <f>"RPS20"</f>
        <v>RPS20</v>
      </c>
      <c r="B15286" t="s">
        <v>14</v>
      </c>
      <c r="C15286" t="s">
        <v>30</v>
      </c>
      <c r="D15286" t="s">
        <v>11</v>
      </c>
      <c r="E15286" t="s">
        <v>12</v>
      </c>
      <c r="F15286">
        <v>56987061</v>
      </c>
      <c r="G15286">
        <v>56987067</v>
      </c>
      <c r="H15286">
        <v>56987057</v>
      </c>
      <c r="I15286">
        <v>56987058</v>
      </c>
    </row>
    <row r="15287" spans="1:9" x14ac:dyDescent="0.2">
      <c r="A15287" s="1" t="str">
        <f>"RPS21"</f>
        <v>RPS21</v>
      </c>
      <c r="B15287" t="s">
        <v>14</v>
      </c>
      <c r="C15287" t="s">
        <v>29</v>
      </c>
      <c r="D15287" t="s">
        <v>17</v>
      </c>
      <c r="E15287" t="s">
        <v>12</v>
      </c>
      <c r="F15287">
        <v>60962143</v>
      </c>
      <c r="G15287">
        <v>60962171</v>
      </c>
      <c r="H15287">
        <v>60962115</v>
      </c>
      <c r="I15287">
        <v>60962126</v>
      </c>
    </row>
    <row r="15288" spans="1:9" x14ac:dyDescent="0.2">
      <c r="A15288" s="1" t="str">
        <f>"RPS23"</f>
        <v>RPS23</v>
      </c>
      <c r="B15288" t="s">
        <v>14</v>
      </c>
      <c r="C15288" t="s">
        <v>46</v>
      </c>
      <c r="D15288" t="s">
        <v>11</v>
      </c>
      <c r="E15288" t="s">
        <v>12</v>
      </c>
      <c r="F15288">
        <v>81574161</v>
      </c>
      <c r="G15288">
        <v>81574189</v>
      </c>
      <c r="H15288">
        <v>81573626</v>
      </c>
      <c r="I15288">
        <v>81573676</v>
      </c>
    </row>
    <row r="15289" spans="1:9" x14ac:dyDescent="0.2">
      <c r="A15289" s="1" t="str">
        <f>"RPS24"</f>
        <v>RPS24</v>
      </c>
      <c r="B15289" t="s">
        <v>14</v>
      </c>
      <c r="C15289" t="s">
        <v>15</v>
      </c>
      <c r="D15289" t="s">
        <v>17</v>
      </c>
      <c r="E15289" t="s">
        <v>12</v>
      </c>
      <c r="F15289">
        <v>79793612</v>
      </c>
      <c r="G15289">
        <v>79793631</v>
      </c>
      <c r="H15289">
        <v>79793612</v>
      </c>
      <c r="I15289">
        <v>79793631</v>
      </c>
    </row>
    <row r="15290" spans="1:9" x14ac:dyDescent="0.2">
      <c r="A15290" s="1" t="str">
        <f>"RPS25"</f>
        <v>RPS25</v>
      </c>
      <c r="B15290" t="s">
        <v>14</v>
      </c>
      <c r="C15290" t="s">
        <v>27</v>
      </c>
      <c r="D15290" t="s">
        <v>11</v>
      </c>
      <c r="E15290" t="s">
        <v>12</v>
      </c>
      <c r="F15290">
        <v>118889041</v>
      </c>
      <c r="G15290">
        <v>118889062</v>
      </c>
      <c r="H15290">
        <v>118889323</v>
      </c>
      <c r="I15290">
        <v>118889408</v>
      </c>
    </row>
    <row r="15291" spans="1:9" x14ac:dyDescent="0.2">
      <c r="A15291" s="1" t="str">
        <f>"RPS26"</f>
        <v>RPS26</v>
      </c>
      <c r="B15291" t="s">
        <v>14</v>
      </c>
      <c r="C15291" t="s">
        <v>16</v>
      </c>
      <c r="D15291" t="s">
        <v>17</v>
      </c>
      <c r="E15291" t="s">
        <v>12</v>
      </c>
      <c r="F15291">
        <v>56435682</v>
      </c>
      <c r="G15291">
        <v>56435745</v>
      </c>
      <c r="H15291">
        <v>56435881</v>
      </c>
      <c r="I15291">
        <v>56435936</v>
      </c>
    </row>
    <row r="15292" spans="1:9" x14ac:dyDescent="0.2">
      <c r="A15292" s="1" t="str">
        <f>"RPS27"</f>
        <v>RPS27</v>
      </c>
      <c r="B15292" t="s">
        <v>14</v>
      </c>
      <c r="C15292" t="s">
        <v>19</v>
      </c>
      <c r="D15292" t="s">
        <v>17</v>
      </c>
      <c r="E15292" t="s">
        <v>12</v>
      </c>
      <c r="F15292">
        <v>153963227</v>
      </c>
      <c r="G15292">
        <v>153963249</v>
      </c>
      <c r="H15292">
        <v>153963265</v>
      </c>
      <c r="I15292">
        <v>153963267</v>
      </c>
    </row>
    <row r="15293" spans="1:9" x14ac:dyDescent="0.2">
      <c r="A15293" s="1" t="str">
        <f>"RPS27A"</f>
        <v>RPS27A</v>
      </c>
      <c r="B15293" t="s">
        <v>14</v>
      </c>
      <c r="C15293" t="s">
        <v>26</v>
      </c>
      <c r="D15293" t="s">
        <v>17</v>
      </c>
      <c r="E15293" t="s">
        <v>12</v>
      </c>
      <c r="F15293">
        <v>55459808</v>
      </c>
      <c r="G15293">
        <v>55459860</v>
      </c>
      <c r="H15293">
        <v>55459786</v>
      </c>
      <c r="I15293">
        <v>55459807</v>
      </c>
    </row>
    <row r="15294" spans="1:9" x14ac:dyDescent="0.2">
      <c r="A15294" s="1" t="str">
        <f>"RPS27L"</f>
        <v>RPS27L</v>
      </c>
      <c r="B15294" t="s">
        <v>14</v>
      </c>
      <c r="C15294" t="s">
        <v>25</v>
      </c>
      <c r="D15294" t="s">
        <v>11</v>
      </c>
      <c r="E15294" t="s">
        <v>12</v>
      </c>
      <c r="F15294">
        <v>63449663</v>
      </c>
      <c r="G15294">
        <v>63449688</v>
      </c>
      <c r="H15294">
        <v>63450192</v>
      </c>
      <c r="I15294">
        <v>63450226</v>
      </c>
    </row>
    <row r="15295" spans="1:9" x14ac:dyDescent="0.2">
      <c r="A15295" s="1" t="str">
        <f>"RPS28"</f>
        <v>RPS28</v>
      </c>
      <c r="B15295" t="s">
        <v>14</v>
      </c>
      <c r="C15295" t="s">
        <v>10</v>
      </c>
      <c r="D15295" t="s">
        <v>17</v>
      </c>
      <c r="E15295" t="s">
        <v>12</v>
      </c>
      <c r="F15295">
        <v>8386371</v>
      </c>
      <c r="G15295">
        <v>8386384</v>
      </c>
      <c r="H15295">
        <v>8386339</v>
      </c>
      <c r="I15295">
        <v>8386351</v>
      </c>
    </row>
    <row r="15296" spans="1:9" x14ac:dyDescent="0.2">
      <c r="A15296" s="1" t="str">
        <f>"RPS29"</f>
        <v>RPS29</v>
      </c>
      <c r="B15296" t="s">
        <v>9</v>
      </c>
      <c r="C15296" t="s">
        <v>41</v>
      </c>
      <c r="D15296" t="s">
        <v>11</v>
      </c>
      <c r="E15296" t="s">
        <v>12</v>
      </c>
      <c r="F15296">
        <v>50053081</v>
      </c>
      <c r="G15296">
        <v>50053108</v>
      </c>
      <c r="H15296">
        <v>50053081</v>
      </c>
      <c r="I15296">
        <v>50053108</v>
      </c>
    </row>
    <row r="15297" spans="1:9" x14ac:dyDescent="0.2">
      <c r="A15297" s="1" t="str">
        <f>"RPS29"</f>
        <v>RPS29</v>
      </c>
      <c r="B15297" t="s">
        <v>13</v>
      </c>
      <c r="C15297" t="s">
        <v>41</v>
      </c>
      <c r="D15297" t="s">
        <v>11</v>
      </c>
      <c r="E15297" t="s">
        <v>12</v>
      </c>
      <c r="F15297">
        <v>50065436</v>
      </c>
      <c r="G15297">
        <v>50065455</v>
      </c>
      <c r="H15297">
        <v>50065436</v>
      </c>
      <c r="I15297">
        <v>50065455</v>
      </c>
    </row>
    <row r="15298" spans="1:9" x14ac:dyDescent="0.2">
      <c r="A15298" s="1" t="str">
        <f>"RPS3"</f>
        <v>RPS3</v>
      </c>
      <c r="B15298" t="s">
        <v>9</v>
      </c>
      <c r="C15298" t="s">
        <v>27</v>
      </c>
      <c r="D15298" t="s">
        <v>17</v>
      </c>
      <c r="E15298" t="s">
        <v>12</v>
      </c>
      <c r="F15298">
        <v>75110555</v>
      </c>
      <c r="G15298">
        <v>75110574</v>
      </c>
      <c r="H15298">
        <v>75110555</v>
      </c>
      <c r="I15298">
        <v>75110574</v>
      </c>
    </row>
    <row r="15299" spans="1:9" x14ac:dyDescent="0.2">
      <c r="A15299" s="1" t="str">
        <f>"RPS3"</f>
        <v>RPS3</v>
      </c>
      <c r="B15299" t="s">
        <v>13</v>
      </c>
      <c r="C15299" t="s">
        <v>27</v>
      </c>
      <c r="D15299" t="s">
        <v>17</v>
      </c>
      <c r="E15299" t="s">
        <v>12</v>
      </c>
      <c r="F15299">
        <v>75111733</v>
      </c>
      <c r="G15299">
        <v>75111744</v>
      </c>
      <c r="H15299">
        <v>75111733</v>
      </c>
      <c r="I15299">
        <v>75111744</v>
      </c>
    </row>
    <row r="15300" spans="1:9" x14ac:dyDescent="0.2">
      <c r="A15300" s="1" t="str">
        <f>"RPS3A"</f>
        <v>RPS3A</v>
      </c>
      <c r="B15300" t="s">
        <v>14</v>
      </c>
      <c r="C15300" t="s">
        <v>23</v>
      </c>
      <c r="D15300" t="s">
        <v>17</v>
      </c>
      <c r="E15300" t="s">
        <v>12</v>
      </c>
      <c r="F15300">
        <v>152020736</v>
      </c>
      <c r="G15300">
        <v>152020788</v>
      </c>
      <c r="H15300">
        <v>152020715</v>
      </c>
      <c r="I15300">
        <v>152020725</v>
      </c>
    </row>
    <row r="15301" spans="1:9" x14ac:dyDescent="0.2">
      <c r="A15301" s="1" t="str">
        <f>"RPS4X"</f>
        <v>RPS4X</v>
      </c>
      <c r="B15301" t="s">
        <v>14</v>
      </c>
      <c r="C15301" t="s">
        <v>37</v>
      </c>
      <c r="D15301" t="s">
        <v>11</v>
      </c>
      <c r="E15301" t="s">
        <v>12</v>
      </c>
      <c r="F15301">
        <v>71497077</v>
      </c>
      <c r="G15301">
        <v>71497133</v>
      </c>
      <c r="H15301">
        <v>71497059</v>
      </c>
      <c r="I15301">
        <v>71497073</v>
      </c>
    </row>
    <row r="15302" spans="1:9" x14ac:dyDescent="0.2">
      <c r="A15302" s="1" t="str">
        <f>"RPS4Y1"</f>
        <v>RPS4Y1</v>
      </c>
      <c r="B15302" t="s">
        <v>14</v>
      </c>
      <c r="C15302" t="s">
        <v>63</v>
      </c>
      <c r="D15302" t="s">
        <v>17</v>
      </c>
      <c r="E15302" t="s">
        <v>12</v>
      </c>
      <c r="F15302">
        <v>2709631</v>
      </c>
      <c r="G15302">
        <v>2709653</v>
      </c>
      <c r="H15302">
        <v>2709906</v>
      </c>
      <c r="I15302">
        <v>2709921</v>
      </c>
    </row>
    <row r="15303" spans="1:9" x14ac:dyDescent="0.2">
      <c r="A15303" s="1" t="str">
        <f>"RPS4Y2"</f>
        <v>RPS4Y2</v>
      </c>
      <c r="B15303" t="s">
        <v>14</v>
      </c>
      <c r="C15303" t="s">
        <v>63</v>
      </c>
      <c r="D15303" t="s">
        <v>17</v>
      </c>
      <c r="E15303" t="s">
        <v>12</v>
      </c>
      <c r="F15303">
        <v>22918021</v>
      </c>
      <c r="G15303">
        <v>22918033</v>
      </c>
      <c r="H15303">
        <v>22917989</v>
      </c>
      <c r="I15303">
        <v>22917999</v>
      </c>
    </row>
    <row r="15304" spans="1:9" x14ac:dyDescent="0.2">
      <c r="A15304" s="1" t="str">
        <f>"RPS5"</f>
        <v>RPS5</v>
      </c>
      <c r="B15304" t="s">
        <v>14</v>
      </c>
      <c r="C15304" t="s">
        <v>10</v>
      </c>
      <c r="D15304" t="s">
        <v>17</v>
      </c>
      <c r="E15304" t="s">
        <v>12</v>
      </c>
      <c r="F15304">
        <v>58898627</v>
      </c>
      <c r="G15304">
        <v>58898649</v>
      </c>
      <c r="H15304">
        <v>58898135</v>
      </c>
      <c r="I15304">
        <v>58898170</v>
      </c>
    </row>
    <row r="15305" spans="1:9" x14ac:dyDescent="0.2">
      <c r="A15305" s="1" t="str">
        <f>"RPS6"</f>
        <v>RPS6</v>
      </c>
      <c r="B15305" t="s">
        <v>14</v>
      </c>
      <c r="C15305" t="s">
        <v>24</v>
      </c>
      <c r="D15305" t="s">
        <v>11</v>
      </c>
      <c r="E15305" t="s">
        <v>12</v>
      </c>
      <c r="F15305">
        <v>19380220</v>
      </c>
      <c r="G15305">
        <v>19380245</v>
      </c>
      <c r="H15305">
        <v>19379543</v>
      </c>
      <c r="I15305">
        <v>19379575</v>
      </c>
    </row>
    <row r="15306" spans="1:9" x14ac:dyDescent="0.2">
      <c r="A15306" s="1" t="str">
        <f>"RPS6KA1"</f>
        <v>RPS6KA1</v>
      </c>
      <c r="B15306" t="s">
        <v>9</v>
      </c>
      <c r="C15306" t="s">
        <v>19</v>
      </c>
      <c r="D15306" t="s">
        <v>17</v>
      </c>
      <c r="E15306" t="s">
        <v>12</v>
      </c>
      <c r="F15306">
        <v>26872324</v>
      </c>
      <c r="G15306">
        <v>26872362</v>
      </c>
      <c r="H15306">
        <v>26872324</v>
      </c>
      <c r="I15306">
        <v>26872362</v>
      </c>
    </row>
    <row r="15307" spans="1:9" x14ac:dyDescent="0.2">
      <c r="A15307" s="1" t="str">
        <f>"RPS6KA1"</f>
        <v>RPS6KA1</v>
      </c>
      <c r="B15307" t="s">
        <v>13</v>
      </c>
      <c r="C15307" t="s">
        <v>19</v>
      </c>
      <c r="D15307" t="s">
        <v>17</v>
      </c>
      <c r="E15307" t="s">
        <v>12</v>
      </c>
      <c r="F15307">
        <v>26856236</v>
      </c>
      <c r="G15307">
        <v>26856292</v>
      </c>
      <c r="H15307">
        <v>26856236</v>
      </c>
      <c r="I15307">
        <v>26856292</v>
      </c>
    </row>
    <row r="15308" spans="1:9" x14ac:dyDescent="0.2">
      <c r="A15308" s="1" t="str">
        <f>"RPS6KA2"</f>
        <v>RPS6KA2</v>
      </c>
      <c r="B15308" t="s">
        <v>14</v>
      </c>
      <c r="C15308" t="s">
        <v>32</v>
      </c>
      <c r="D15308" t="s">
        <v>11</v>
      </c>
      <c r="E15308" t="s">
        <v>12</v>
      </c>
      <c r="F15308">
        <v>167040693</v>
      </c>
      <c r="G15308">
        <v>167040721</v>
      </c>
      <c r="H15308">
        <v>167040732</v>
      </c>
      <c r="I15308">
        <v>167040745</v>
      </c>
    </row>
    <row r="15309" spans="1:9" x14ac:dyDescent="0.2">
      <c r="A15309" s="1" t="str">
        <f>"RPS6KA3"</f>
        <v>RPS6KA3</v>
      </c>
      <c r="B15309" t="s">
        <v>14</v>
      </c>
      <c r="C15309" t="s">
        <v>37</v>
      </c>
      <c r="D15309" t="s">
        <v>11</v>
      </c>
      <c r="E15309" t="s">
        <v>12</v>
      </c>
      <c r="F15309">
        <v>20284958</v>
      </c>
      <c r="G15309">
        <v>20285039</v>
      </c>
      <c r="H15309">
        <v>20285113</v>
      </c>
      <c r="I15309">
        <v>20285175</v>
      </c>
    </row>
    <row r="15310" spans="1:9" x14ac:dyDescent="0.2">
      <c r="A15310" s="1" t="str">
        <f>"RPS6KA4"</f>
        <v>RPS6KA4</v>
      </c>
      <c r="B15310" t="s">
        <v>14</v>
      </c>
      <c r="C15310" t="s">
        <v>27</v>
      </c>
      <c r="D15310" t="s">
        <v>17</v>
      </c>
      <c r="E15310" t="s">
        <v>12</v>
      </c>
      <c r="F15310">
        <v>64126614</v>
      </c>
      <c r="G15310">
        <v>64126665</v>
      </c>
      <c r="H15310">
        <v>64126671</v>
      </c>
      <c r="I15310">
        <v>64126689</v>
      </c>
    </row>
    <row r="15311" spans="1:9" x14ac:dyDescent="0.2">
      <c r="A15311" s="1" t="str">
        <f>"RPS6KA5"</f>
        <v>RPS6KA5</v>
      </c>
      <c r="B15311" t="s">
        <v>14</v>
      </c>
      <c r="C15311" t="s">
        <v>41</v>
      </c>
      <c r="D15311" t="s">
        <v>11</v>
      </c>
      <c r="E15311" t="s">
        <v>12</v>
      </c>
      <c r="F15311">
        <v>91526922</v>
      </c>
      <c r="G15311">
        <v>91527001</v>
      </c>
      <c r="H15311">
        <v>91527015</v>
      </c>
      <c r="I15311">
        <v>91527034</v>
      </c>
    </row>
    <row r="15312" spans="1:9" x14ac:dyDescent="0.2">
      <c r="A15312" s="1" t="str">
        <f>"RPS6KA6"</f>
        <v>RPS6KA6</v>
      </c>
      <c r="B15312" t="s">
        <v>14</v>
      </c>
      <c r="C15312" t="s">
        <v>37</v>
      </c>
      <c r="D15312" t="s">
        <v>11</v>
      </c>
      <c r="E15312" t="s">
        <v>12</v>
      </c>
      <c r="F15312">
        <v>83443156</v>
      </c>
      <c r="G15312">
        <v>83443216</v>
      </c>
      <c r="H15312">
        <v>83443248</v>
      </c>
      <c r="I15312">
        <v>83443283</v>
      </c>
    </row>
    <row r="15313" spans="1:9" x14ac:dyDescent="0.2">
      <c r="A15313" s="1" t="str">
        <f>"RPS6KB1"</f>
        <v>RPS6KB1</v>
      </c>
      <c r="B15313" t="s">
        <v>14</v>
      </c>
      <c r="C15313" t="s">
        <v>28</v>
      </c>
      <c r="D15313" t="s">
        <v>17</v>
      </c>
      <c r="E15313" t="s">
        <v>12</v>
      </c>
      <c r="F15313">
        <v>57970469</v>
      </c>
      <c r="G15313">
        <v>57970506</v>
      </c>
      <c r="H15313">
        <v>57970469</v>
      </c>
      <c r="I15313">
        <v>57970506</v>
      </c>
    </row>
    <row r="15314" spans="1:9" x14ac:dyDescent="0.2">
      <c r="A15314" s="1" t="str">
        <f>"RPS6KB2"</f>
        <v>RPS6KB2</v>
      </c>
      <c r="B15314" t="s">
        <v>14</v>
      </c>
      <c r="C15314" t="s">
        <v>27</v>
      </c>
      <c r="D15314" t="s">
        <v>17</v>
      </c>
      <c r="E15314" t="s">
        <v>12</v>
      </c>
      <c r="F15314">
        <v>67195917</v>
      </c>
      <c r="G15314">
        <v>67195996</v>
      </c>
      <c r="H15314">
        <v>67195917</v>
      </c>
      <c r="I15314">
        <v>67195996</v>
      </c>
    </row>
    <row r="15315" spans="1:9" x14ac:dyDescent="0.2">
      <c r="A15315" s="1" t="str">
        <f>"RPS6KC1"</f>
        <v>RPS6KC1</v>
      </c>
      <c r="B15315" t="s">
        <v>14</v>
      </c>
      <c r="C15315" t="s">
        <v>19</v>
      </c>
      <c r="D15315" t="s">
        <v>17</v>
      </c>
      <c r="E15315" t="s">
        <v>12</v>
      </c>
      <c r="F15315">
        <v>213224572</v>
      </c>
      <c r="G15315">
        <v>213224686</v>
      </c>
      <c r="H15315">
        <v>213224687</v>
      </c>
      <c r="I15315">
        <v>213224698</v>
      </c>
    </row>
    <row r="15316" spans="1:9" x14ac:dyDescent="0.2">
      <c r="A15316" s="1" t="str">
        <f>"RPS6KL1"</f>
        <v>RPS6KL1</v>
      </c>
      <c r="B15316" t="s">
        <v>14</v>
      </c>
      <c r="C15316" t="s">
        <v>41</v>
      </c>
      <c r="D15316" t="s">
        <v>11</v>
      </c>
      <c r="E15316" t="s">
        <v>12</v>
      </c>
      <c r="F15316">
        <v>75389925</v>
      </c>
      <c r="G15316">
        <v>75389969</v>
      </c>
      <c r="H15316">
        <v>75389975</v>
      </c>
      <c r="I15316">
        <v>75390011</v>
      </c>
    </row>
    <row r="15317" spans="1:9" x14ac:dyDescent="0.2">
      <c r="A15317" s="1" t="str">
        <f>"RPS7"</f>
        <v>RPS7</v>
      </c>
      <c r="B15317" t="s">
        <v>14</v>
      </c>
      <c r="C15317" t="s">
        <v>26</v>
      </c>
      <c r="D15317" t="s">
        <v>17</v>
      </c>
      <c r="E15317" t="s">
        <v>12</v>
      </c>
      <c r="F15317">
        <v>3622840</v>
      </c>
      <c r="G15317">
        <v>3622882</v>
      </c>
      <c r="H15317">
        <v>3622893</v>
      </c>
      <c r="I15317">
        <v>3622925</v>
      </c>
    </row>
    <row r="15318" spans="1:9" x14ac:dyDescent="0.2">
      <c r="A15318" s="1" t="str">
        <f>"RPS8"</f>
        <v>RPS8</v>
      </c>
      <c r="B15318" t="s">
        <v>14</v>
      </c>
      <c r="C15318" t="s">
        <v>19</v>
      </c>
      <c r="D15318" t="s">
        <v>17</v>
      </c>
      <c r="E15318" t="s">
        <v>12</v>
      </c>
      <c r="F15318">
        <v>45241186</v>
      </c>
      <c r="G15318">
        <v>45241289</v>
      </c>
      <c r="H15318">
        <v>45241706</v>
      </c>
      <c r="I15318">
        <v>45241728</v>
      </c>
    </row>
    <row r="15319" spans="1:9" x14ac:dyDescent="0.2">
      <c r="A15319" s="1" t="str">
        <f>"RPS9"</f>
        <v>RPS9</v>
      </c>
      <c r="B15319" t="s">
        <v>14</v>
      </c>
      <c r="C15319" t="s">
        <v>10</v>
      </c>
      <c r="D15319" t="s">
        <v>17</v>
      </c>
      <c r="E15319" t="s">
        <v>12</v>
      </c>
      <c r="F15319">
        <v>54704718</v>
      </c>
      <c r="G15319">
        <v>54704735</v>
      </c>
      <c r="H15319">
        <v>54704990</v>
      </c>
      <c r="I15319">
        <v>54705024</v>
      </c>
    </row>
    <row r="15320" spans="1:9" x14ac:dyDescent="0.2">
      <c r="A15320" s="1" t="str">
        <f>"RPSA"</f>
        <v>RPSA</v>
      </c>
      <c r="B15320" t="s">
        <v>14</v>
      </c>
      <c r="C15320" t="s">
        <v>22</v>
      </c>
      <c r="D15320" t="s">
        <v>17</v>
      </c>
      <c r="E15320" t="s">
        <v>12</v>
      </c>
      <c r="F15320">
        <v>39448201</v>
      </c>
      <c r="G15320">
        <v>39448222</v>
      </c>
      <c r="H15320">
        <v>39448201</v>
      </c>
      <c r="I15320">
        <v>39448222</v>
      </c>
    </row>
    <row r="15321" spans="1:9" x14ac:dyDescent="0.2">
      <c r="A15321" s="1" t="str">
        <f>"RPTN"</f>
        <v>RPTN</v>
      </c>
      <c r="B15321" t="s">
        <v>14</v>
      </c>
      <c r="C15321" t="s">
        <v>19</v>
      </c>
      <c r="D15321" t="s">
        <v>11</v>
      </c>
      <c r="E15321" t="s">
        <v>12</v>
      </c>
      <c r="F15321">
        <v>152131703</v>
      </c>
      <c r="G15321">
        <v>152131706</v>
      </c>
      <c r="H15321">
        <v>152131703</v>
      </c>
      <c r="I15321">
        <v>152131706</v>
      </c>
    </row>
    <row r="15322" spans="1:9" x14ac:dyDescent="0.2">
      <c r="A15322" s="1" t="str">
        <f>"RPTOR"</f>
        <v>RPTOR</v>
      </c>
      <c r="B15322" t="s">
        <v>14</v>
      </c>
      <c r="C15322" t="s">
        <v>28</v>
      </c>
      <c r="D15322" t="s">
        <v>17</v>
      </c>
      <c r="E15322" t="s">
        <v>12</v>
      </c>
      <c r="F15322">
        <v>78518617</v>
      </c>
      <c r="G15322">
        <v>78518685</v>
      </c>
      <c r="H15322">
        <v>78518617</v>
      </c>
      <c r="I15322">
        <v>78518685</v>
      </c>
    </row>
    <row r="15323" spans="1:9" x14ac:dyDescent="0.2">
      <c r="A15323" s="1" t="str">
        <f>"RPUSD1"</f>
        <v>RPUSD1</v>
      </c>
      <c r="B15323" t="s">
        <v>9</v>
      </c>
      <c r="C15323" t="s">
        <v>31</v>
      </c>
      <c r="D15323" t="s">
        <v>11</v>
      </c>
      <c r="E15323" t="s">
        <v>12</v>
      </c>
      <c r="F15323">
        <v>838330</v>
      </c>
      <c r="G15323">
        <v>838397</v>
      </c>
      <c r="H15323">
        <v>838330</v>
      </c>
      <c r="I15323">
        <v>838397</v>
      </c>
    </row>
    <row r="15324" spans="1:9" x14ac:dyDescent="0.2">
      <c r="A15324" s="1" t="str">
        <f>"RPUSD1"</f>
        <v>RPUSD1</v>
      </c>
      <c r="B15324" t="s">
        <v>13</v>
      </c>
      <c r="C15324" t="s">
        <v>31</v>
      </c>
      <c r="D15324" t="s">
        <v>11</v>
      </c>
      <c r="E15324" t="s">
        <v>12</v>
      </c>
      <c r="F15324">
        <v>837169</v>
      </c>
      <c r="G15324">
        <v>837172</v>
      </c>
      <c r="H15324">
        <v>837169</v>
      </c>
      <c r="I15324">
        <v>837172</v>
      </c>
    </row>
    <row r="15325" spans="1:9" x14ac:dyDescent="0.2">
      <c r="A15325" s="1" t="str">
        <f>"RPUSD2"</f>
        <v>RPUSD2</v>
      </c>
      <c r="B15325" t="s">
        <v>14</v>
      </c>
      <c r="C15325" t="s">
        <v>25</v>
      </c>
      <c r="D15325" t="s">
        <v>17</v>
      </c>
      <c r="E15325" t="s">
        <v>12</v>
      </c>
      <c r="F15325">
        <v>40861487</v>
      </c>
      <c r="G15325">
        <v>40861552</v>
      </c>
      <c r="H15325">
        <v>40861487</v>
      </c>
      <c r="I15325">
        <v>40861552</v>
      </c>
    </row>
    <row r="15326" spans="1:9" x14ac:dyDescent="0.2">
      <c r="A15326" s="1" t="str">
        <f>"RPUSD3"</f>
        <v>RPUSD3</v>
      </c>
      <c r="B15326" t="s">
        <v>14</v>
      </c>
      <c r="C15326" t="s">
        <v>22</v>
      </c>
      <c r="D15326" t="s">
        <v>11</v>
      </c>
      <c r="E15326" t="s">
        <v>12</v>
      </c>
      <c r="F15326">
        <v>9885670</v>
      </c>
      <c r="G15326">
        <v>9885708</v>
      </c>
      <c r="H15326">
        <v>9885670</v>
      </c>
      <c r="I15326">
        <v>9885708</v>
      </c>
    </row>
    <row r="15327" spans="1:9" x14ac:dyDescent="0.2">
      <c r="A15327" s="1" t="str">
        <f>"RPUSD4"</f>
        <v>RPUSD4</v>
      </c>
      <c r="B15327" t="s">
        <v>14</v>
      </c>
      <c r="C15327" t="s">
        <v>27</v>
      </c>
      <c r="D15327" t="s">
        <v>11</v>
      </c>
      <c r="E15327" t="s">
        <v>12</v>
      </c>
      <c r="F15327">
        <v>126081532</v>
      </c>
      <c r="G15327">
        <v>126081568</v>
      </c>
      <c r="H15327">
        <v>126081259</v>
      </c>
      <c r="I15327">
        <v>126081274</v>
      </c>
    </row>
    <row r="15328" spans="1:9" x14ac:dyDescent="0.2">
      <c r="A15328" s="1" t="str">
        <f>"RQCD1"</f>
        <v>RQCD1</v>
      </c>
      <c r="B15328" t="s">
        <v>14</v>
      </c>
      <c r="C15328" t="s">
        <v>26</v>
      </c>
      <c r="D15328" t="s">
        <v>17</v>
      </c>
      <c r="E15328" t="s">
        <v>12</v>
      </c>
      <c r="F15328">
        <v>219433532</v>
      </c>
      <c r="G15328">
        <v>219433573</v>
      </c>
      <c r="H15328">
        <v>219433281</v>
      </c>
      <c r="I15328">
        <v>219433406</v>
      </c>
    </row>
    <row r="15329" spans="1:9" x14ac:dyDescent="0.2">
      <c r="A15329" s="1" t="str">
        <f>"RRAD"</f>
        <v>RRAD</v>
      </c>
      <c r="B15329" t="s">
        <v>14</v>
      </c>
      <c r="C15329" t="s">
        <v>31</v>
      </c>
      <c r="D15329" t="s">
        <v>11</v>
      </c>
      <c r="E15329" t="s">
        <v>12</v>
      </c>
      <c r="F15329">
        <v>66959429</v>
      </c>
      <c r="G15329">
        <v>66959444</v>
      </c>
      <c r="H15329">
        <v>66959657</v>
      </c>
      <c r="I15329">
        <v>66959690</v>
      </c>
    </row>
    <row r="15330" spans="1:9" x14ac:dyDescent="0.2">
      <c r="A15330" s="1" t="str">
        <f>"RRAGA"</f>
        <v>RRAGA</v>
      </c>
      <c r="B15330" t="s">
        <v>14</v>
      </c>
      <c r="C15330" t="s">
        <v>24</v>
      </c>
      <c r="D15330" t="s">
        <v>17</v>
      </c>
      <c r="E15330" t="s">
        <v>12</v>
      </c>
      <c r="F15330">
        <v>19049383</v>
      </c>
      <c r="G15330">
        <v>19049460</v>
      </c>
      <c r="H15330">
        <v>19049260</v>
      </c>
      <c r="I15330">
        <v>19049277</v>
      </c>
    </row>
    <row r="15331" spans="1:9" x14ac:dyDescent="0.2">
      <c r="A15331" s="1" t="str">
        <f>"RRAGB"</f>
        <v>RRAGB</v>
      </c>
      <c r="B15331" t="s">
        <v>14</v>
      </c>
      <c r="C15331" t="s">
        <v>37</v>
      </c>
      <c r="D15331" t="s">
        <v>17</v>
      </c>
      <c r="E15331" t="s">
        <v>12</v>
      </c>
      <c r="F15331">
        <v>55744166</v>
      </c>
      <c r="G15331">
        <v>55744222</v>
      </c>
      <c r="H15331">
        <v>55744147</v>
      </c>
      <c r="I15331">
        <v>55744160</v>
      </c>
    </row>
    <row r="15332" spans="1:9" x14ac:dyDescent="0.2">
      <c r="A15332" s="1" t="str">
        <f>"RRAGC"</f>
        <v>RRAGC</v>
      </c>
      <c r="B15332" t="s">
        <v>14</v>
      </c>
      <c r="C15332" t="s">
        <v>19</v>
      </c>
      <c r="D15332" t="s">
        <v>11</v>
      </c>
      <c r="E15332" t="s">
        <v>12</v>
      </c>
      <c r="F15332">
        <v>39325359</v>
      </c>
      <c r="G15332">
        <v>39325425</v>
      </c>
      <c r="H15332">
        <v>39325431</v>
      </c>
      <c r="I15332">
        <v>39325447</v>
      </c>
    </row>
    <row r="15333" spans="1:9" x14ac:dyDescent="0.2">
      <c r="A15333" s="1" t="str">
        <f>"RRAGD"</f>
        <v>RRAGD</v>
      </c>
      <c r="B15333" t="s">
        <v>14</v>
      </c>
      <c r="C15333" t="s">
        <v>32</v>
      </c>
      <c r="D15333" t="s">
        <v>11</v>
      </c>
      <c r="E15333" t="s">
        <v>12</v>
      </c>
      <c r="F15333">
        <v>90121938</v>
      </c>
      <c r="G15333">
        <v>90122025</v>
      </c>
      <c r="H15333">
        <v>90121805</v>
      </c>
      <c r="I15333">
        <v>90121858</v>
      </c>
    </row>
    <row r="15334" spans="1:9" x14ac:dyDescent="0.2">
      <c r="A15334" s="1" t="str">
        <f>"RRAS"</f>
        <v>RRAS</v>
      </c>
      <c r="B15334" t="s">
        <v>14</v>
      </c>
      <c r="C15334" t="s">
        <v>10</v>
      </c>
      <c r="D15334" t="s">
        <v>11</v>
      </c>
      <c r="E15334" t="s">
        <v>12</v>
      </c>
      <c r="F15334">
        <v>50143346</v>
      </c>
      <c r="G15334">
        <v>50143409</v>
      </c>
      <c r="H15334">
        <v>50143452</v>
      </c>
      <c r="I15334">
        <v>50143468</v>
      </c>
    </row>
    <row r="15335" spans="1:9" x14ac:dyDescent="0.2">
      <c r="A15335" s="1" t="str">
        <f>"RRAS2"</f>
        <v>RRAS2</v>
      </c>
      <c r="B15335" t="s">
        <v>14</v>
      </c>
      <c r="C15335" t="s">
        <v>27</v>
      </c>
      <c r="D15335" t="s">
        <v>11</v>
      </c>
      <c r="E15335" t="s">
        <v>12</v>
      </c>
      <c r="F15335">
        <v>14380664</v>
      </c>
      <c r="G15335">
        <v>14380739</v>
      </c>
      <c r="H15335">
        <v>14379997</v>
      </c>
      <c r="I15335">
        <v>14380064</v>
      </c>
    </row>
    <row r="15336" spans="1:9" x14ac:dyDescent="0.2">
      <c r="A15336" s="1" t="str">
        <f>"RRBP1"</f>
        <v>RRBP1</v>
      </c>
      <c r="B15336" t="s">
        <v>14</v>
      </c>
      <c r="C15336" t="s">
        <v>29</v>
      </c>
      <c r="D15336" t="s">
        <v>11</v>
      </c>
      <c r="E15336" t="s">
        <v>12</v>
      </c>
      <c r="F15336">
        <v>17662879</v>
      </c>
      <c r="G15336">
        <v>17662913</v>
      </c>
      <c r="H15336">
        <v>17662851</v>
      </c>
      <c r="I15336">
        <v>17662874</v>
      </c>
    </row>
    <row r="15337" spans="1:9" x14ac:dyDescent="0.2">
      <c r="A15337" s="1" t="str">
        <f>"RREB1"</f>
        <v>RREB1</v>
      </c>
      <c r="B15337" t="s">
        <v>14</v>
      </c>
      <c r="C15337" t="s">
        <v>32</v>
      </c>
      <c r="D15337" t="s">
        <v>17</v>
      </c>
      <c r="E15337" t="s">
        <v>12</v>
      </c>
      <c r="F15337">
        <v>7107939</v>
      </c>
      <c r="G15337">
        <v>7107993</v>
      </c>
      <c r="H15337">
        <v>7107999</v>
      </c>
      <c r="I15337">
        <v>7108031</v>
      </c>
    </row>
    <row r="15338" spans="1:9" x14ac:dyDescent="0.2">
      <c r="A15338" s="1" t="str">
        <f>"RRH"</f>
        <v>RRH</v>
      </c>
      <c r="B15338" t="s">
        <v>14</v>
      </c>
      <c r="C15338" t="s">
        <v>23</v>
      </c>
      <c r="D15338" t="s">
        <v>17</v>
      </c>
      <c r="E15338" t="s">
        <v>12</v>
      </c>
      <c r="F15338">
        <v>110749119</v>
      </c>
      <c r="G15338">
        <v>110749137</v>
      </c>
      <c r="H15338">
        <v>110749143</v>
      </c>
      <c r="I15338">
        <v>110749155</v>
      </c>
    </row>
    <row r="15339" spans="1:9" x14ac:dyDescent="0.2">
      <c r="A15339" s="1" t="str">
        <f>"RRM1"</f>
        <v>RRM1</v>
      </c>
      <c r="B15339" t="s">
        <v>14</v>
      </c>
      <c r="C15339" t="s">
        <v>27</v>
      </c>
      <c r="D15339" t="s">
        <v>17</v>
      </c>
      <c r="E15339" t="s">
        <v>12</v>
      </c>
      <c r="F15339">
        <v>4116054</v>
      </c>
      <c r="G15339">
        <v>4116105</v>
      </c>
      <c r="H15339">
        <v>4116005</v>
      </c>
      <c r="I15339">
        <v>4116047</v>
      </c>
    </row>
    <row r="15340" spans="1:9" x14ac:dyDescent="0.2">
      <c r="A15340" s="1" t="str">
        <f>"RRM2"</f>
        <v>RRM2</v>
      </c>
      <c r="B15340" t="s">
        <v>14</v>
      </c>
      <c r="C15340" t="s">
        <v>26</v>
      </c>
      <c r="D15340" t="s">
        <v>17</v>
      </c>
      <c r="E15340" t="s">
        <v>12</v>
      </c>
      <c r="F15340">
        <v>10262857</v>
      </c>
      <c r="G15340">
        <v>10262873</v>
      </c>
      <c r="H15340">
        <v>10262442</v>
      </c>
      <c r="I15340">
        <v>10262479</v>
      </c>
    </row>
    <row r="15341" spans="1:9" x14ac:dyDescent="0.2">
      <c r="A15341" s="1" t="str">
        <f>"RRM2B"</f>
        <v>RRM2B</v>
      </c>
      <c r="B15341" t="s">
        <v>14</v>
      </c>
      <c r="C15341" t="s">
        <v>30</v>
      </c>
      <c r="D15341" t="s">
        <v>11</v>
      </c>
      <c r="E15341" t="s">
        <v>12</v>
      </c>
      <c r="F15341">
        <v>103251131</v>
      </c>
      <c r="G15341">
        <v>103251208</v>
      </c>
      <c r="H15341">
        <v>103251016</v>
      </c>
      <c r="I15341">
        <v>103251032</v>
      </c>
    </row>
    <row r="15342" spans="1:9" x14ac:dyDescent="0.2">
      <c r="A15342" s="1" t="str">
        <f>"RRN3"</f>
        <v>RRN3</v>
      </c>
      <c r="B15342" t="s">
        <v>14</v>
      </c>
      <c r="C15342" t="s">
        <v>31</v>
      </c>
      <c r="D15342" t="s">
        <v>11</v>
      </c>
      <c r="E15342" t="s">
        <v>12</v>
      </c>
      <c r="F15342">
        <v>15188030</v>
      </c>
      <c r="G15342">
        <v>15188048</v>
      </c>
      <c r="H15342">
        <v>15188030</v>
      </c>
      <c r="I15342">
        <v>15188048</v>
      </c>
    </row>
    <row r="15343" spans="1:9" x14ac:dyDescent="0.2">
      <c r="A15343" s="1" t="str">
        <f>"RRNAD1"</f>
        <v>RRNAD1</v>
      </c>
      <c r="B15343" t="s">
        <v>14</v>
      </c>
      <c r="C15343" t="s">
        <v>19</v>
      </c>
      <c r="D15343" t="s">
        <v>17</v>
      </c>
      <c r="E15343" t="s">
        <v>12</v>
      </c>
      <c r="F15343">
        <v>156698247</v>
      </c>
      <c r="G15343">
        <v>156698293</v>
      </c>
      <c r="H15343">
        <v>156698294</v>
      </c>
      <c r="I15343">
        <v>156698317</v>
      </c>
    </row>
    <row r="15344" spans="1:9" x14ac:dyDescent="0.2">
      <c r="A15344" s="1" t="str">
        <f>"RRP1"</f>
        <v>RRP1</v>
      </c>
      <c r="B15344" t="s">
        <v>14</v>
      </c>
      <c r="C15344" t="s">
        <v>42</v>
      </c>
      <c r="D15344" t="s">
        <v>17</v>
      </c>
      <c r="E15344" t="s">
        <v>12</v>
      </c>
      <c r="F15344">
        <v>45209403</v>
      </c>
      <c r="G15344">
        <v>45209468</v>
      </c>
      <c r="H15344">
        <v>45209471</v>
      </c>
      <c r="I15344">
        <v>45209482</v>
      </c>
    </row>
    <row r="15345" spans="1:9" x14ac:dyDescent="0.2">
      <c r="A15345" s="1" t="str">
        <f>"RRP12"</f>
        <v>RRP12</v>
      </c>
      <c r="B15345" t="s">
        <v>14</v>
      </c>
      <c r="C15345" t="s">
        <v>15</v>
      </c>
      <c r="D15345" t="s">
        <v>11</v>
      </c>
      <c r="E15345" t="s">
        <v>12</v>
      </c>
      <c r="F15345">
        <v>99161033</v>
      </c>
      <c r="G15345">
        <v>99161108</v>
      </c>
      <c r="H15345">
        <v>99161003</v>
      </c>
      <c r="I15345">
        <v>99161028</v>
      </c>
    </row>
    <row r="15346" spans="1:9" x14ac:dyDescent="0.2">
      <c r="A15346" s="1" t="str">
        <f>"RRP15"</f>
        <v>RRP15</v>
      </c>
      <c r="B15346" t="s">
        <v>14</v>
      </c>
      <c r="C15346" t="s">
        <v>19</v>
      </c>
      <c r="D15346" t="s">
        <v>17</v>
      </c>
      <c r="E15346" t="s">
        <v>12</v>
      </c>
      <c r="F15346">
        <v>218458625</v>
      </c>
      <c r="G15346">
        <v>218458660</v>
      </c>
      <c r="H15346">
        <v>218458742</v>
      </c>
      <c r="I15346">
        <v>218458753</v>
      </c>
    </row>
    <row r="15347" spans="1:9" x14ac:dyDescent="0.2">
      <c r="A15347" s="1" t="str">
        <f>"RRP1B"</f>
        <v>RRP1B</v>
      </c>
      <c r="B15347" t="s">
        <v>14</v>
      </c>
      <c r="C15347" t="s">
        <v>42</v>
      </c>
      <c r="D15347" t="s">
        <v>17</v>
      </c>
      <c r="E15347" t="s">
        <v>12</v>
      </c>
      <c r="F15347">
        <v>45079409</v>
      </c>
      <c r="G15347">
        <v>45079452</v>
      </c>
      <c r="H15347">
        <v>45079457</v>
      </c>
      <c r="I15347">
        <v>45079478</v>
      </c>
    </row>
    <row r="15348" spans="1:9" x14ac:dyDescent="0.2">
      <c r="A15348" s="1" t="str">
        <f>"RRP36"</f>
        <v>RRP36</v>
      </c>
      <c r="B15348" t="s">
        <v>14</v>
      </c>
      <c r="C15348" t="s">
        <v>32</v>
      </c>
      <c r="D15348" t="s">
        <v>17</v>
      </c>
      <c r="E15348" t="s">
        <v>12</v>
      </c>
      <c r="F15348">
        <v>42989344</v>
      </c>
      <c r="G15348">
        <v>42989387</v>
      </c>
      <c r="H15348">
        <v>42989330</v>
      </c>
      <c r="I15348">
        <v>42989341</v>
      </c>
    </row>
    <row r="15349" spans="1:9" x14ac:dyDescent="0.2">
      <c r="A15349" s="1" t="str">
        <f>"RRP7A"</f>
        <v>RRP7A</v>
      </c>
      <c r="B15349" t="s">
        <v>14</v>
      </c>
      <c r="C15349" t="s">
        <v>21</v>
      </c>
      <c r="D15349" t="s">
        <v>11</v>
      </c>
      <c r="E15349" t="s">
        <v>12</v>
      </c>
      <c r="F15349">
        <v>42915788</v>
      </c>
      <c r="G15349">
        <v>42915815</v>
      </c>
      <c r="H15349">
        <v>42915821</v>
      </c>
      <c r="I15349">
        <v>42915832</v>
      </c>
    </row>
    <row r="15350" spans="1:9" x14ac:dyDescent="0.2">
      <c r="A15350" s="1" t="str">
        <f>"RRP8"</f>
        <v>RRP8</v>
      </c>
      <c r="B15350" t="s">
        <v>14</v>
      </c>
      <c r="C15350" t="s">
        <v>27</v>
      </c>
      <c r="D15350" t="s">
        <v>11</v>
      </c>
      <c r="E15350" t="s">
        <v>12</v>
      </c>
      <c r="F15350">
        <v>6624801</v>
      </c>
      <c r="G15350">
        <v>6624877</v>
      </c>
      <c r="H15350">
        <v>6624879</v>
      </c>
      <c r="I15350">
        <v>6624902</v>
      </c>
    </row>
    <row r="15351" spans="1:9" x14ac:dyDescent="0.2">
      <c r="A15351" s="1" t="str">
        <f>"RRP9"</f>
        <v>RRP9</v>
      </c>
      <c r="B15351" t="s">
        <v>14</v>
      </c>
      <c r="C15351" t="s">
        <v>22</v>
      </c>
      <c r="D15351" t="s">
        <v>11</v>
      </c>
      <c r="E15351" t="s">
        <v>12</v>
      </c>
      <c r="F15351">
        <v>51975889</v>
      </c>
      <c r="G15351">
        <v>51975936</v>
      </c>
      <c r="H15351">
        <v>51975942</v>
      </c>
      <c r="I15351">
        <v>51975962</v>
      </c>
    </row>
    <row r="15352" spans="1:9" x14ac:dyDescent="0.2">
      <c r="A15352" s="1" t="str">
        <f>"RRS1"</f>
        <v>RRS1</v>
      </c>
      <c r="B15352" t="s">
        <v>14</v>
      </c>
      <c r="C15352" t="s">
        <v>30</v>
      </c>
      <c r="D15352" t="s">
        <v>17</v>
      </c>
      <c r="E15352" t="s">
        <v>12</v>
      </c>
      <c r="F15352">
        <v>67341239</v>
      </c>
      <c r="G15352">
        <v>67341352</v>
      </c>
      <c r="H15352">
        <v>67341166</v>
      </c>
      <c r="I15352">
        <v>67341173</v>
      </c>
    </row>
    <row r="15353" spans="1:9" x14ac:dyDescent="0.2">
      <c r="A15353" s="1" t="str">
        <f>"RS1"</f>
        <v>RS1</v>
      </c>
      <c r="B15353" t="s">
        <v>14</v>
      </c>
      <c r="C15353" t="s">
        <v>37</v>
      </c>
      <c r="D15353" t="s">
        <v>11</v>
      </c>
      <c r="E15353" t="s">
        <v>12</v>
      </c>
      <c r="F15353">
        <v>18690210</v>
      </c>
      <c r="G15353">
        <v>18690230</v>
      </c>
      <c r="H15353">
        <v>18690210</v>
      </c>
      <c r="I15353">
        <v>18690230</v>
      </c>
    </row>
    <row r="15354" spans="1:9" x14ac:dyDescent="0.2">
      <c r="A15354" s="1" t="str">
        <f>"RSAD1"</f>
        <v>RSAD1</v>
      </c>
      <c r="B15354" t="s">
        <v>14</v>
      </c>
      <c r="C15354" t="s">
        <v>28</v>
      </c>
      <c r="D15354" t="s">
        <v>17</v>
      </c>
      <c r="E15354" t="s">
        <v>12</v>
      </c>
      <c r="F15354">
        <v>48556207</v>
      </c>
      <c r="G15354">
        <v>48556229</v>
      </c>
      <c r="H15354">
        <v>48556175</v>
      </c>
      <c r="I15354">
        <v>48556197</v>
      </c>
    </row>
    <row r="15355" spans="1:9" x14ac:dyDescent="0.2">
      <c r="A15355" s="1" t="str">
        <f>"RSAD2"</f>
        <v>RSAD2</v>
      </c>
      <c r="B15355" t="s">
        <v>9</v>
      </c>
      <c r="C15355" t="s">
        <v>26</v>
      </c>
      <c r="D15355" t="s">
        <v>17</v>
      </c>
      <c r="E15355" t="s">
        <v>12</v>
      </c>
      <c r="F15355">
        <v>7017899</v>
      </c>
      <c r="G15355">
        <v>7017914</v>
      </c>
      <c r="H15355">
        <v>7017899</v>
      </c>
      <c r="I15355">
        <v>7017914</v>
      </c>
    </row>
    <row r="15356" spans="1:9" x14ac:dyDescent="0.2">
      <c r="A15356" s="1" t="str">
        <f>"RSAD2"</f>
        <v>RSAD2</v>
      </c>
      <c r="B15356" t="s">
        <v>13</v>
      </c>
      <c r="C15356" t="s">
        <v>26</v>
      </c>
      <c r="D15356" t="s">
        <v>17</v>
      </c>
      <c r="E15356" t="s">
        <v>12</v>
      </c>
      <c r="F15356">
        <v>7005997</v>
      </c>
      <c r="G15356">
        <v>7006051</v>
      </c>
      <c r="H15356">
        <v>7005997</v>
      </c>
      <c r="I15356">
        <v>7006051</v>
      </c>
    </row>
    <row r="15357" spans="1:9" x14ac:dyDescent="0.2">
      <c r="A15357" s="1" t="str">
        <f>"RSBN1"</f>
        <v>RSBN1</v>
      </c>
      <c r="B15357" t="s">
        <v>14</v>
      </c>
      <c r="C15357" t="s">
        <v>19</v>
      </c>
      <c r="D15357" t="s">
        <v>11</v>
      </c>
      <c r="E15357" t="s">
        <v>12</v>
      </c>
      <c r="F15357">
        <v>114354876</v>
      </c>
      <c r="G15357">
        <v>114354922</v>
      </c>
      <c r="H15357">
        <v>114354857</v>
      </c>
      <c r="I15357">
        <v>114354870</v>
      </c>
    </row>
    <row r="15358" spans="1:9" x14ac:dyDescent="0.2">
      <c r="A15358" s="1" t="str">
        <f>"RSBN1L"</f>
        <v>RSBN1L</v>
      </c>
      <c r="B15358" t="s">
        <v>14</v>
      </c>
      <c r="C15358" t="s">
        <v>33</v>
      </c>
      <c r="D15358" t="s">
        <v>17</v>
      </c>
      <c r="E15358" t="s">
        <v>12</v>
      </c>
      <c r="F15358">
        <v>77325738</v>
      </c>
      <c r="G15358">
        <v>77325789</v>
      </c>
      <c r="H15358">
        <v>77326157</v>
      </c>
      <c r="I15358">
        <v>77326215</v>
      </c>
    </row>
    <row r="15359" spans="1:9" x14ac:dyDescent="0.2">
      <c r="A15359" s="1" t="str">
        <f>"RSC1A1"</f>
        <v>RSC1A1</v>
      </c>
      <c r="B15359" t="s">
        <v>14</v>
      </c>
      <c r="C15359" t="s">
        <v>19</v>
      </c>
      <c r="D15359" t="s">
        <v>17</v>
      </c>
      <c r="E15359" t="s">
        <v>12</v>
      </c>
      <c r="F15359">
        <v>15986721</v>
      </c>
      <c r="G15359">
        <v>15986754</v>
      </c>
      <c r="H15359">
        <v>15986721</v>
      </c>
      <c r="I15359">
        <v>15986754</v>
      </c>
    </row>
    <row r="15360" spans="1:9" x14ac:dyDescent="0.2">
      <c r="A15360" s="1" t="str">
        <f>"RSF1"</f>
        <v>RSF1</v>
      </c>
      <c r="B15360" t="s">
        <v>14</v>
      </c>
      <c r="C15360" t="s">
        <v>27</v>
      </c>
      <c r="D15360" t="s">
        <v>11</v>
      </c>
      <c r="E15360" t="s">
        <v>12</v>
      </c>
      <c r="F15360">
        <v>77531757</v>
      </c>
      <c r="G15360">
        <v>77531792</v>
      </c>
      <c r="H15360">
        <v>77532050</v>
      </c>
      <c r="I15360">
        <v>77532066</v>
      </c>
    </row>
    <row r="15361" spans="1:9" x14ac:dyDescent="0.2">
      <c r="A15361" s="1" t="str">
        <f>"RSG1"</f>
        <v>RSG1</v>
      </c>
      <c r="B15361" t="s">
        <v>14</v>
      </c>
      <c r="C15361" t="s">
        <v>19</v>
      </c>
      <c r="D15361" t="s">
        <v>11</v>
      </c>
      <c r="E15361" t="s">
        <v>12</v>
      </c>
      <c r="F15361">
        <v>16563641</v>
      </c>
      <c r="G15361">
        <v>16563709</v>
      </c>
      <c r="H15361">
        <v>16563562</v>
      </c>
      <c r="I15361">
        <v>16563600</v>
      </c>
    </row>
    <row r="15362" spans="1:9" x14ac:dyDescent="0.2">
      <c r="A15362" s="1" t="str">
        <f>"RSL1D1"</f>
        <v>RSL1D1</v>
      </c>
      <c r="B15362" t="s">
        <v>9</v>
      </c>
      <c r="C15362" t="s">
        <v>31</v>
      </c>
      <c r="D15362" t="s">
        <v>11</v>
      </c>
      <c r="E15362" t="s">
        <v>12</v>
      </c>
      <c r="F15362">
        <v>11945370</v>
      </c>
      <c r="G15362">
        <v>11945418</v>
      </c>
      <c r="H15362">
        <v>11945370</v>
      </c>
      <c r="I15362">
        <v>11945418</v>
      </c>
    </row>
    <row r="15363" spans="1:9" x14ac:dyDescent="0.2">
      <c r="A15363" s="1" t="str">
        <f>"RSL1D1"</f>
        <v>RSL1D1</v>
      </c>
      <c r="B15363" t="s">
        <v>13</v>
      </c>
      <c r="C15363" t="s">
        <v>31</v>
      </c>
      <c r="D15363" t="s">
        <v>11</v>
      </c>
      <c r="E15363" t="s">
        <v>12</v>
      </c>
      <c r="F15363">
        <v>11933755</v>
      </c>
      <c r="G15363">
        <v>11933799</v>
      </c>
      <c r="H15363">
        <v>11933755</v>
      </c>
      <c r="I15363">
        <v>11933799</v>
      </c>
    </row>
    <row r="15364" spans="1:9" x14ac:dyDescent="0.2">
      <c r="A15364" s="1" t="str">
        <f>"RSL24D1"</f>
        <v>RSL24D1</v>
      </c>
      <c r="B15364" t="s">
        <v>14</v>
      </c>
      <c r="C15364" t="s">
        <v>25</v>
      </c>
      <c r="D15364" t="s">
        <v>11</v>
      </c>
      <c r="E15364" t="s">
        <v>12</v>
      </c>
      <c r="F15364">
        <v>55489097</v>
      </c>
      <c r="G15364">
        <v>55489150</v>
      </c>
      <c r="H15364">
        <v>55489229</v>
      </c>
      <c r="I15364">
        <v>55489252</v>
      </c>
    </row>
    <row r="15365" spans="1:9" x14ac:dyDescent="0.2">
      <c r="A15365" s="1" t="str">
        <f>"RSPH1"</f>
        <v>RSPH1</v>
      </c>
      <c r="B15365" t="s">
        <v>14</v>
      </c>
      <c r="C15365" t="s">
        <v>42</v>
      </c>
      <c r="D15365" t="s">
        <v>11</v>
      </c>
      <c r="E15365" t="s">
        <v>12</v>
      </c>
      <c r="F15365">
        <v>43916312</v>
      </c>
      <c r="G15365">
        <v>43916363</v>
      </c>
      <c r="H15365">
        <v>43916365</v>
      </c>
      <c r="I15365">
        <v>43916386</v>
      </c>
    </row>
    <row r="15366" spans="1:9" x14ac:dyDescent="0.2">
      <c r="A15366" s="1" t="str">
        <f>"RSPH10B"</f>
        <v>RSPH10B</v>
      </c>
      <c r="B15366" t="s">
        <v>1501</v>
      </c>
      <c r="C15366" t="s">
        <v>33</v>
      </c>
      <c r="D15366" t="s">
        <v>11</v>
      </c>
      <c r="E15366" t="s">
        <v>20</v>
      </c>
      <c r="F15366">
        <v>6007069</v>
      </c>
      <c r="G15366">
        <v>6007069</v>
      </c>
      <c r="H15366">
        <v>6007069</v>
      </c>
      <c r="I15366">
        <v>6007069</v>
      </c>
    </row>
    <row r="15367" spans="1:9" x14ac:dyDescent="0.2">
      <c r="A15367" s="1" t="str">
        <f>"RSPH10B"</f>
        <v>RSPH10B</v>
      </c>
      <c r="B15367" t="s">
        <v>1502</v>
      </c>
      <c r="C15367" t="s">
        <v>33</v>
      </c>
      <c r="D15367" t="s">
        <v>11</v>
      </c>
      <c r="E15367" t="s">
        <v>20</v>
      </c>
      <c r="F15367">
        <v>6010313</v>
      </c>
      <c r="G15367">
        <v>6010313</v>
      </c>
      <c r="H15367">
        <v>6010313</v>
      </c>
      <c r="I15367">
        <v>6010313</v>
      </c>
    </row>
    <row r="15368" spans="1:9" x14ac:dyDescent="0.2">
      <c r="A15368" s="1" t="str">
        <f>"RSPH10B"</f>
        <v>RSPH10B</v>
      </c>
      <c r="B15368" t="s">
        <v>1503</v>
      </c>
      <c r="C15368" t="s">
        <v>33</v>
      </c>
      <c r="D15368" t="s">
        <v>11</v>
      </c>
      <c r="E15368" t="s">
        <v>20</v>
      </c>
      <c r="F15368">
        <v>6006767</v>
      </c>
      <c r="G15368">
        <v>6006767</v>
      </c>
      <c r="H15368">
        <v>6006767</v>
      </c>
      <c r="I15368">
        <v>6006767</v>
      </c>
    </row>
    <row r="15369" spans="1:9" x14ac:dyDescent="0.2">
      <c r="A15369" s="1" t="str">
        <f>"RSPH10B2"</f>
        <v>RSPH10B2</v>
      </c>
      <c r="B15369" t="s">
        <v>1504</v>
      </c>
      <c r="C15369" t="s">
        <v>33</v>
      </c>
      <c r="D15369" t="s">
        <v>17</v>
      </c>
      <c r="E15369" t="s">
        <v>20</v>
      </c>
      <c r="F15369">
        <v>6796985</v>
      </c>
      <c r="G15369">
        <v>6796985</v>
      </c>
      <c r="H15369">
        <v>6796985</v>
      </c>
      <c r="I15369">
        <v>6796985</v>
      </c>
    </row>
    <row r="15370" spans="1:9" x14ac:dyDescent="0.2">
      <c r="A15370" s="1" t="str">
        <f>"RSPH10B2"</f>
        <v>RSPH10B2</v>
      </c>
      <c r="B15370" t="s">
        <v>1505</v>
      </c>
      <c r="C15370" t="s">
        <v>33</v>
      </c>
      <c r="D15370" t="s">
        <v>17</v>
      </c>
      <c r="E15370" t="s">
        <v>20</v>
      </c>
      <c r="F15370">
        <v>6793739</v>
      </c>
      <c r="G15370">
        <v>6793739</v>
      </c>
      <c r="H15370">
        <v>6793739</v>
      </c>
      <c r="I15370">
        <v>6793739</v>
      </c>
    </row>
    <row r="15371" spans="1:9" x14ac:dyDescent="0.2">
      <c r="A15371" s="1" t="str">
        <f>"RSPH10B2"</f>
        <v>RSPH10B2</v>
      </c>
      <c r="B15371" t="s">
        <v>1506</v>
      </c>
      <c r="C15371" t="s">
        <v>33</v>
      </c>
      <c r="D15371" t="s">
        <v>17</v>
      </c>
      <c r="E15371" t="s">
        <v>20</v>
      </c>
      <c r="F15371">
        <v>6797287</v>
      </c>
      <c r="G15371">
        <v>6797287</v>
      </c>
      <c r="H15371">
        <v>6797287</v>
      </c>
      <c r="I15371">
        <v>6797287</v>
      </c>
    </row>
    <row r="15372" spans="1:9" x14ac:dyDescent="0.2">
      <c r="A15372" s="1" t="str">
        <f>"RSPH3"</f>
        <v>RSPH3</v>
      </c>
      <c r="B15372" t="s">
        <v>14</v>
      </c>
      <c r="C15372" t="s">
        <v>32</v>
      </c>
      <c r="D15372" t="s">
        <v>11</v>
      </c>
      <c r="E15372" t="s">
        <v>12</v>
      </c>
      <c r="F15372">
        <v>159421206</v>
      </c>
      <c r="G15372">
        <v>159421254</v>
      </c>
      <c r="H15372">
        <v>159420780</v>
      </c>
      <c r="I15372">
        <v>159420872</v>
      </c>
    </row>
    <row r="15373" spans="1:9" x14ac:dyDescent="0.2">
      <c r="A15373" s="1" t="str">
        <f>"RSPH4A"</f>
        <v>RSPH4A</v>
      </c>
      <c r="B15373" t="s">
        <v>14</v>
      </c>
      <c r="C15373" t="s">
        <v>32</v>
      </c>
      <c r="D15373" t="s">
        <v>17</v>
      </c>
      <c r="E15373" t="s">
        <v>12</v>
      </c>
      <c r="F15373">
        <v>116937636</v>
      </c>
      <c r="G15373">
        <v>116937691</v>
      </c>
      <c r="H15373">
        <v>116937617</v>
      </c>
      <c r="I15373">
        <v>116937627</v>
      </c>
    </row>
    <row r="15374" spans="1:9" x14ac:dyDescent="0.2">
      <c r="A15374" s="1" t="str">
        <f>"RSPH6A"</f>
        <v>RSPH6A</v>
      </c>
      <c r="B15374" t="s">
        <v>14</v>
      </c>
      <c r="C15374" t="s">
        <v>10</v>
      </c>
      <c r="D15374" t="s">
        <v>11</v>
      </c>
      <c r="E15374" t="s">
        <v>12</v>
      </c>
      <c r="F15374">
        <v>46318533</v>
      </c>
      <c r="G15374">
        <v>46318552</v>
      </c>
      <c r="H15374">
        <v>46318561</v>
      </c>
      <c r="I15374">
        <v>46318573</v>
      </c>
    </row>
    <row r="15375" spans="1:9" x14ac:dyDescent="0.2">
      <c r="A15375" s="1" t="str">
        <f>"RSPH9"</f>
        <v>RSPH9</v>
      </c>
      <c r="B15375" t="s">
        <v>14</v>
      </c>
      <c r="C15375" t="s">
        <v>32</v>
      </c>
      <c r="D15375" t="s">
        <v>17</v>
      </c>
      <c r="E15375" t="s">
        <v>12</v>
      </c>
      <c r="F15375">
        <v>43612793</v>
      </c>
      <c r="G15375">
        <v>43612833</v>
      </c>
      <c r="H15375">
        <v>43612750</v>
      </c>
      <c r="I15375">
        <v>43612791</v>
      </c>
    </row>
    <row r="15376" spans="1:9" x14ac:dyDescent="0.2">
      <c r="A15376" s="1" t="str">
        <f>"RSPO1"</f>
        <v>RSPO1</v>
      </c>
      <c r="B15376" t="s">
        <v>14</v>
      </c>
      <c r="C15376" t="s">
        <v>19</v>
      </c>
      <c r="D15376" t="s">
        <v>11</v>
      </c>
      <c r="E15376" t="s">
        <v>12</v>
      </c>
      <c r="F15376">
        <v>38100539</v>
      </c>
      <c r="G15376">
        <v>38100582</v>
      </c>
      <c r="H15376">
        <v>38100497</v>
      </c>
      <c r="I15376">
        <v>38100508</v>
      </c>
    </row>
    <row r="15377" spans="1:9" x14ac:dyDescent="0.2">
      <c r="A15377" s="1" t="str">
        <f>"RSPO2"</f>
        <v>RSPO2</v>
      </c>
      <c r="B15377" t="s">
        <v>14</v>
      </c>
      <c r="C15377" t="s">
        <v>30</v>
      </c>
      <c r="D15377" t="s">
        <v>11</v>
      </c>
      <c r="E15377" t="s">
        <v>12</v>
      </c>
      <c r="F15377">
        <v>109095834</v>
      </c>
      <c r="G15377">
        <v>109095854</v>
      </c>
      <c r="H15377">
        <v>109095862</v>
      </c>
      <c r="I15377">
        <v>109095881</v>
      </c>
    </row>
    <row r="15378" spans="1:9" x14ac:dyDescent="0.2">
      <c r="A15378" s="1" t="str">
        <f>"RSPO3"</f>
        <v>RSPO3</v>
      </c>
      <c r="B15378" t="s">
        <v>14</v>
      </c>
      <c r="C15378" t="s">
        <v>32</v>
      </c>
      <c r="D15378" t="s">
        <v>17</v>
      </c>
      <c r="E15378" t="s">
        <v>12</v>
      </c>
      <c r="F15378">
        <v>127439802</v>
      </c>
      <c r="G15378">
        <v>127439829</v>
      </c>
      <c r="H15378">
        <v>127439838</v>
      </c>
      <c r="I15378">
        <v>127439849</v>
      </c>
    </row>
    <row r="15379" spans="1:9" x14ac:dyDescent="0.2">
      <c r="A15379" s="1" t="str">
        <f>"RSPO4"</f>
        <v>RSPO4</v>
      </c>
      <c r="B15379" t="s">
        <v>14</v>
      </c>
      <c r="C15379" t="s">
        <v>29</v>
      </c>
      <c r="D15379" t="s">
        <v>11</v>
      </c>
      <c r="E15379" t="s">
        <v>12</v>
      </c>
      <c r="F15379">
        <v>982946</v>
      </c>
      <c r="G15379">
        <v>982981</v>
      </c>
      <c r="H15379">
        <v>982917</v>
      </c>
      <c r="I15379">
        <v>982926</v>
      </c>
    </row>
    <row r="15380" spans="1:9" x14ac:dyDescent="0.2">
      <c r="A15380" s="1" t="str">
        <f>"RSPRY1"</f>
        <v>RSPRY1</v>
      </c>
      <c r="B15380" t="s">
        <v>14</v>
      </c>
      <c r="C15380" t="s">
        <v>31</v>
      </c>
      <c r="D15380" t="s">
        <v>17</v>
      </c>
      <c r="E15380" t="s">
        <v>12</v>
      </c>
      <c r="F15380">
        <v>57220218</v>
      </c>
      <c r="G15380">
        <v>57220253</v>
      </c>
      <c r="H15380">
        <v>57220262</v>
      </c>
      <c r="I15380">
        <v>57220288</v>
      </c>
    </row>
    <row r="15381" spans="1:9" x14ac:dyDescent="0.2">
      <c r="A15381" s="1" t="str">
        <f>"RSRC1"</f>
        <v>RSRC1</v>
      </c>
      <c r="B15381" t="s">
        <v>14</v>
      </c>
      <c r="C15381" t="s">
        <v>22</v>
      </c>
      <c r="D15381" t="s">
        <v>17</v>
      </c>
      <c r="E15381" t="s">
        <v>12</v>
      </c>
      <c r="F15381">
        <v>157827856</v>
      </c>
      <c r="G15381">
        <v>157827916</v>
      </c>
      <c r="H15381">
        <v>157828152</v>
      </c>
      <c r="I15381">
        <v>157828222</v>
      </c>
    </row>
    <row r="15382" spans="1:9" x14ac:dyDescent="0.2">
      <c r="A15382" s="1" t="str">
        <f>"RSRC2"</f>
        <v>RSRC2</v>
      </c>
      <c r="B15382" t="s">
        <v>14</v>
      </c>
      <c r="C15382" t="s">
        <v>16</v>
      </c>
      <c r="D15382" t="s">
        <v>11</v>
      </c>
      <c r="E15382" t="s">
        <v>12</v>
      </c>
      <c r="F15382">
        <v>123011476</v>
      </c>
      <c r="G15382">
        <v>123011527</v>
      </c>
      <c r="H15382">
        <v>123011536</v>
      </c>
      <c r="I15382">
        <v>123011547</v>
      </c>
    </row>
    <row r="15383" spans="1:9" x14ac:dyDescent="0.2">
      <c r="A15383" s="1" t="str">
        <f>"RSU1"</f>
        <v>RSU1</v>
      </c>
      <c r="B15383" t="s">
        <v>14</v>
      </c>
      <c r="C15383" t="s">
        <v>15</v>
      </c>
      <c r="D15383" t="s">
        <v>11</v>
      </c>
      <c r="E15383" t="s">
        <v>12</v>
      </c>
      <c r="F15383">
        <v>16859361</v>
      </c>
      <c r="G15383">
        <v>16859436</v>
      </c>
      <c r="H15383">
        <v>16859442</v>
      </c>
      <c r="I15383">
        <v>16859458</v>
      </c>
    </row>
    <row r="15384" spans="1:9" x14ac:dyDescent="0.2">
      <c r="A15384" s="1" t="str">
        <f>"RTBDN"</f>
        <v>RTBDN</v>
      </c>
      <c r="B15384" t="s">
        <v>9</v>
      </c>
      <c r="C15384" t="s">
        <v>10</v>
      </c>
      <c r="D15384" t="s">
        <v>11</v>
      </c>
      <c r="E15384" t="s">
        <v>12</v>
      </c>
      <c r="F15384">
        <v>12941474</v>
      </c>
      <c r="G15384">
        <v>12941498</v>
      </c>
      <c r="H15384">
        <v>12941474</v>
      </c>
      <c r="I15384">
        <v>12941498</v>
      </c>
    </row>
    <row r="15385" spans="1:9" x14ac:dyDescent="0.2">
      <c r="A15385" s="1" t="str">
        <f>"RTBDN"</f>
        <v>RTBDN</v>
      </c>
      <c r="B15385" t="s">
        <v>13</v>
      </c>
      <c r="C15385" t="s">
        <v>10</v>
      </c>
      <c r="D15385" t="s">
        <v>11</v>
      </c>
      <c r="E15385" t="s">
        <v>12</v>
      </c>
      <c r="F15385">
        <v>12945382</v>
      </c>
      <c r="G15385">
        <v>12945400</v>
      </c>
      <c r="H15385">
        <v>12945382</v>
      </c>
      <c r="I15385">
        <v>12945400</v>
      </c>
    </row>
    <row r="15386" spans="1:9" x14ac:dyDescent="0.2">
      <c r="A15386" s="1" t="str">
        <f>"RTCA"</f>
        <v>RTCA</v>
      </c>
      <c r="B15386" t="s">
        <v>14</v>
      </c>
      <c r="C15386" t="s">
        <v>19</v>
      </c>
      <c r="D15386" t="s">
        <v>17</v>
      </c>
      <c r="E15386" t="s">
        <v>12</v>
      </c>
      <c r="F15386">
        <v>100731749</v>
      </c>
      <c r="G15386">
        <v>100731816</v>
      </c>
      <c r="H15386">
        <v>100731819</v>
      </c>
      <c r="I15386">
        <v>100731841</v>
      </c>
    </row>
    <row r="15387" spans="1:9" x14ac:dyDescent="0.2">
      <c r="A15387" s="1" t="str">
        <f>"RTCB"</f>
        <v>RTCB</v>
      </c>
      <c r="B15387" t="s">
        <v>14</v>
      </c>
      <c r="C15387" t="s">
        <v>21</v>
      </c>
      <c r="D15387" t="s">
        <v>11</v>
      </c>
      <c r="E15387" t="s">
        <v>12</v>
      </c>
      <c r="F15387">
        <v>32808194</v>
      </c>
      <c r="G15387">
        <v>32808245</v>
      </c>
      <c r="H15387">
        <v>32808152</v>
      </c>
      <c r="I15387">
        <v>32808173</v>
      </c>
    </row>
    <row r="15388" spans="1:9" x14ac:dyDescent="0.2">
      <c r="A15388" s="1" t="str">
        <f>"RTDR1"</f>
        <v>RTDR1</v>
      </c>
      <c r="B15388" t="s">
        <v>14</v>
      </c>
      <c r="C15388" t="s">
        <v>21</v>
      </c>
      <c r="D15388" t="s">
        <v>11</v>
      </c>
      <c r="E15388" t="s">
        <v>12</v>
      </c>
      <c r="F15388">
        <v>23484246</v>
      </c>
      <c r="G15388">
        <v>23484283</v>
      </c>
      <c r="H15388">
        <v>23484167</v>
      </c>
      <c r="I15388">
        <v>23484191</v>
      </c>
    </row>
    <row r="15389" spans="1:9" x14ac:dyDescent="0.2">
      <c r="A15389" s="1" t="str">
        <f>"RTEL1"</f>
        <v>RTEL1</v>
      </c>
      <c r="B15389" t="s">
        <v>14</v>
      </c>
      <c r="C15389" t="s">
        <v>29</v>
      </c>
      <c r="D15389" t="s">
        <v>17</v>
      </c>
      <c r="E15389" t="s">
        <v>12</v>
      </c>
      <c r="F15389">
        <v>62289640</v>
      </c>
      <c r="G15389">
        <v>62289707</v>
      </c>
      <c r="H15389">
        <v>62289964</v>
      </c>
      <c r="I15389">
        <v>62289990</v>
      </c>
    </row>
    <row r="15390" spans="1:9" x14ac:dyDescent="0.2">
      <c r="A15390" s="1" t="str">
        <f>"RTF1"</f>
        <v>RTF1</v>
      </c>
      <c r="B15390" t="s">
        <v>14</v>
      </c>
      <c r="C15390" t="s">
        <v>25</v>
      </c>
      <c r="D15390" t="s">
        <v>17</v>
      </c>
      <c r="E15390" t="s">
        <v>12</v>
      </c>
      <c r="F15390">
        <v>41709308</v>
      </c>
      <c r="G15390">
        <v>41709348</v>
      </c>
      <c r="H15390">
        <v>41709352</v>
      </c>
      <c r="I15390">
        <v>41709366</v>
      </c>
    </row>
    <row r="15391" spans="1:9" x14ac:dyDescent="0.2">
      <c r="A15391" s="1" t="str">
        <f>"RTFDC1"</f>
        <v>RTFDC1</v>
      </c>
      <c r="B15391" t="s">
        <v>14</v>
      </c>
      <c r="C15391" t="s">
        <v>29</v>
      </c>
      <c r="D15391" t="s">
        <v>17</v>
      </c>
      <c r="E15391" t="s">
        <v>12</v>
      </c>
      <c r="F15391">
        <v>55043676</v>
      </c>
      <c r="G15391">
        <v>55043751</v>
      </c>
      <c r="H15391">
        <v>55043764</v>
      </c>
      <c r="I15391">
        <v>55043779</v>
      </c>
    </row>
    <row r="15392" spans="1:9" x14ac:dyDescent="0.2">
      <c r="A15392" s="1" t="str">
        <f>"RTKN"</f>
        <v>RTKN</v>
      </c>
      <c r="B15392" t="s">
        <v>9</v>
      </c>
      <c r="C15392" t="s">
        <v>26</v>
      </c>
      <c r="D15392" t="s">
        <v>11</v>
      </c>
      <c r="E15392" t="s">
        <v>12</v>
      </c>
      <c r="F15392">
        <v>74669009</v>
      </c>
      <c r="G15392">
        <v>74669077</v>
      </c>
      <c r="H15392">
        <v>74669009</v>
      </c>
      <c r="I15392">
        <v>74669077</v>
      </c>
    </row>
    <row r="15393" spans="1:9" x14ac:dyDescent="0.2">
      <c r="A15393" s="1" t="str">
        <f>"RTKN"</f>
        <v>RTKN</v>
      </c>
      <c r="B15393" t="s">
        <v>13</v>
      </c>
      <c r="C15393" t="s">
        <v>26</v>
      </c>
      <c r="D15393" t="s">
        <v>11</v>
      </c>
      <c r="E15393" t="s">
        <v>12</v>
      </c>
      <c r="F15393">
        <v>74667612</v>
      </c>
      <c r="G15393">
        <v>74667715</v>
      </c>
      <c r="H15393">
        <v>74667612</v>
      </c>
      <c r="I15393">
        <v>74667715</v>
      </c>
    </row>
    <row r="15394" spans="1:9" x14ac:dyDescent="0.2">
      <c r="A15394" s="1" t="str">
        <f>"RTKN2"</f>
        <v>RTKN2</v>
      </c>
      <c r="B15394" t="s">
        <v>14</v>
      </c>
      <c r="C15394" t="s">
        <v>15</v>
      </c>
      <c r="D15394" t="s">
        <v>11</v>
      </c>
      <c r="E15394" t="s">
        <v>12</v>
      </c>
      <c r="F15394">
        <v>64028400</v>
      </c>
      <c r="G15394">
        <v>64028433</v>
      </c>
      <c r="H15394">
        <v>64028466</v>
      </c>
      <c r="I15394">
        <v>64028509</v>
      </c>
    </row>
    <row r="15395" spans="1:9" x14ac:dyDescent="0.2">
      <c r="A15395" s="1" t="str">
        <f>"RTL1"</f>
        <v>RTL1</v>
      </c>
      <c r="B15395" t="s">
        <v>1507</v>
      </c>
      <c r="C15395" t="s">
        <v>41</v>
      </c>
      <c r="D15395" t="s">
        <v>11</v>
      </c>
      <c r="E15395" t="s">
        <v>20</v>
      </c>
      <c r="F15395">
        <v>101351183</v>
      </c>
      <c r="G15395">
        <v>101351183</v>
      </c>
      <c r="H15395">
        <v>101351183</v>
      </c>
      <c r="I15395">
        <v>101351183</v>
      </c>
    </row>
    <row r="15396" spans="1:9" x14ac:dyDescent="0.2">
      <c r="A15396" s="1" t="str">
        <f>"RTN1"</f>
        <v>RTN1</v>
      </c>
      <c r="B15396" t="s">
        <v>14</v>
      </c>
      <c r="C15396" t="s">
        <v>41</v>
      </c>
      <c r="D15396" t="s">
        <v>11</v>
      </c>
      <c r="E15396" t="s">
        <v>12</v>
      </c>
      <c r="F15396">
        <v>60097297</v>
      </c>
      <c r="G15396">
        <v>60097403</v>
      </c>
      <c r="H15396">
        <v>60097297</v>
      </c>
      <c r="I15396">
        <v>60097403</v>
      </c>
    </row>
    <row r="15397" spans="1:9" x14ac:dyDescent="0.2">
      <c r="A15397" s="1" t="str">
        <f>"RTN2"</f>
        <v>RTN2</v>
      </c>
      <c r="B15397" t="s">
        <v>9</v>
      </c>
      <c r="C15397" t="s">
        <v>10</v>
      </c>
      <c r="D15397" t="s">
        <v>11</v>
      </c>
      <c r="E15397" t="s">
        <v>12</v>
      </c>
      <c r="F15397">
        <v>45996465</v>
      </c>
      <c r="G15397">
        <v>45996523</v>
      </c>
      <c r="H15397">
        <v>45996465</v>
      </c>
      <c r="I15397">
        <v>45996523</v>
      </c>
    </row>
    <row r="15398" spans="1:9" x14ac:dyDescent="0.2">
      <c r="A15398" s="1" t="str">
        <f>"RTN2"</f>
        <v>RTN2</v>
      </c>
      <c r="B15398" t="s">
        <v>13</v>
      </c>
      <c r="C15398" t="s">
        <v>10</v>
      </c>
      <c r="D15398" t="s">
        <v>11</v>
      </c>
      <c r="E15398" t="s">
        <v>12</v>
      </c>
      <c r="F15398">
        <v>46000251</v>
      </c>
      <c r="G15398">
        <v>46000311</v>
      </c>
      <c r="H15398">
        <v>46000251</v>
      </c>
      <c r="I15398">
        <v>46000311</v>
      </c>
    </row>
    <row r="15399" spans="1:9" x14ac:dyDescent="0.2">
      <c r="A15399" s="1" t="str">
        <f>"RTN3"</f>
        <v>RTN3</v>
      </c>
      <c r="B15399" t="s">
        <v>14</v>
      </c>
      <c r="C15399" t="s">
        <v>27</v>
      </c>
      <c r="D15399" t="s">
        <v>17</v>
      </c>
      <c r="E15399" t="s">
        <v>12</v>
      </c>
      <c r="F15399">
        <v>63448962</v>
      </c>
      <c r="G15399">
        <v>63448982</v>
      </c>
      <c r="H15399">
        <v>63449077</v>
      </c>
      <c r="I15399">
        <v>63449099</v>
      </c>
    </row>
    <row r="15400" spans="1:9" x14ac:dyDescent="0.2">
      <c r="A15400" s="1" t="str">
        <f>"RTN4"</f>
        <v>RTN4</v>
      </c>
      <c r="B15400" t="s">
        <v>1508</v>
      </c>
      <c r="C15400" t="s">
        <v>26</v>
      </c>
      <c r="D15400" t="s">
        <v>11</v>
      </c>
      <c r="E15400" t="s">
        <v>35</v>
      </c>
      <c r="F15400">
        <v>55237484</v>
      </c>
      <c r="G15400">
        <v>55237495</v>
      </c>
      <c r="H15400">
        <v>55237438</v>
      </c>
      <c r="I15400">
        <v>55237453</v>
      </c>
    </row>
    <row r="15401" spans="1:9" x14ac:dyDescent="0.2">
      <c r="A15401" s="1" t="str">
        <f>"RTN4IP1"</f>
        <v>RTN4IP1</v>
      </c>
      <c r="B15401" t="s">
        <v>14</v>
      </c>
      <c r="C15401" t="s">
        <v>32</v>
      </c>
      <c r="D15401" t="s">
        <v>11</v>
      </c>
      <c r="E15401" t="s">
        <v>12</v>
      </c>
      <c r="F15401">
        <v>107077347</v>
      </c>
      <c r="G15401">
        <v>107077378</v>
      </c>
      <c r="H15401">
        <v>107077316</v>
      </c>
      <c r="I15401">
        <v>107077345</v>
      </c>
    </row>
    <row r="15402" spans="1:9" x14ac:dyDescent="0.2">
      <c r="A15402" s="1" t="str">
        <f>"RTN4R"</f>
        <v>RTN4R</v>
      </c>
      <c r="B15402" t="s">
        <v>14</v>
      </c>
      <c r="C15402" t="s">
        <v>21</v>
      </c>
      <c r="D15402" t="s">
        <v>11</v>
      </c>
      <c r="E15402" t="s">
        <v>12</v>
      </c>
      <c r="F15402">
        <v>20255808</v>
      </c>
      <c r="G15402">
        <v>20255843</v>
      </c>
      <c r="H15402">
        <v>20255765</v>
      </c>
      <c r="I15402">
        <v>20255800</v>
      </c>
    </row>
    <row r="15403" spans="1:9" x14ac:dyDescent="0.2">
      <c r="A15403" s="1" t="str">
        <f>"RTN4RL1"</f>
        <v>RTN4RL1</v>
      </c>
      <c r="B15403" t="s">
        <v>14</v>
      </c>
      <c r="C15403" t="s">
        <v>28</v>
      </c>
      <c r="D15403" t="s">
        <v>11</v>
      </c>
      <c r="E15403" t="s">
        <v>12</v>
      </c>
      <c r="F15403">
        <v>1928621</v>
      </c>
      <c r="G15403">
        <v>1928641</v>
      </c>
      <c r="H15403">
        <v>1928621</v>
      </c>
      <c r="I15403">
        <v>1928641</v>
      </c>
    </row>
    <row r="15404" spans="1:9" x14ac:dyDescent="0.2">
      <c r="A15404" s="1" t="str">
        <f>"RTN4RL2"</f>
        <v>RTN4RL2</v>
      </c>
      <c r="B15404" t="s">
        <v>14</v>
      </c>
      <c r="C15404" t="s">
        <v>27</v>
      </c>
      <c r="D15404" t="s">
        <v>17</v>
      </c>
      <c r="E15404" t="s">
        <v>12</v>
      </c>
      <c r="F15404">
        <v>57227981</v>
      </c>
      <c r="G15404">
        <v>57228020</v>
      </c>
      <c r="H15404">
        <v>57228029</v>
      </c>
      <c r="I15404">
        <v>57228040</v>
      </c>
    </row>
    <row r="15405" spans="1:9" x14ac:dyDescent="0.2">
      <c r="A15405" s="1" t="str">
        <f>"RTP1"</f>
        <v>RTP1</v>
      </c>
      <c r="B15405" t="s">
        <v>14</v>
      </c>
      <c r="C15405" t="s">
        <v>22</v>
      </c>
      <c r="D15405" t="s">
        <v>17</v>
      </c>
      <c r="E15405" t="s">
        <v>12</v>
      </c>
      <c r="F15405">
        <v>186915286</v>
      </c>
      <c r="G15405">
        <v>186915303</v>
      </c>
      <c r="H15405">
        <v>186915313</v>
      </c>
      <c r="I15405">
        <v>186915318</v>
      </c>
    </row>
    <row r="15406" spans="1:9" x14ac:dyDescent="0.2">
      <c r="A15406" s="1" t="str">
        <f>"RTP2"</f>
        <v>RTP2</v>
      </c>
      <c r="B15406" t="s">
        <v>1509</v>
      </c>
      <c r="C15406" t="s">
        <v>22</v>
      </c>
      <c r="D15406" t="s">
        <v>11</v>
      </c>
      <c r="E15406" t="s">
        <v>20</v>
      </c>
      <c r="F15406">
        <v>187420344</v>
      </c>
      <c r="G15406">
        <v>187420344</v>
      </c>
      <c r="H15406">
        <v>187420344</v>
      </c>
      <c r="I15406">
        <v>187420344</v>
      </c>
    </row>
    <row r="15407" spans="1:9" x14ac:dyDescent="0.2">
      <c r="A15407" s="1" t="str">
        <f>"RTP3"</f>
        <v>RTP3</v>
      </c>
      <c r="B15407" t="s">
        <v>14</v>
      </c>
      <c r="C15407" t="s">
        <v>22</v>
      </c>
      <c r="D15407" t="s">
        <v>17</v>
      </c>
      <c r="E15407" t="s">
        <v>12</v>
      </c>
      <c r="F15407">
        <v>46539460</v>
      </c>
      <c r="G15407">
        <v>46539483</v>
      </c>
      <c r="H15407">
        <v>46539486</v>
      </c>
      <c r="I15407">
        <v>46539501</v>
      </c>
    </row>
    <row r="15408" spans="1:9" x14ac:dyDescent="0.2">
      <c r="A15408" s="1" t="str">
        <f>"RTP4"</f>
        <v>RTP4</v>
      </c>
      <c r="B15408" t="s">
        <v>14</v>
      </c>
      <c r="C15408" t="s">
        <v>22</v>
      </c>
      <c r="D15408" t="s">
        <v>17</v>
      </c>
      <c r="E15408" t="s">
        <v>12</v>
      </c>
      <c r="F15408">
        <v>187086155</v>
      </c>
      <c r="G15408">
        <v>187086211</v>
      </c>
      <c r="H15408">
        <v>187086155</v>
      </c>
      <c r="I15408">
        <v>187086211</v>
      </c>
    </row>
    <row r="15409" spans="1:9" x14ac:dyDescent="0.2">
      <c r="A15409" s="1" t="str">
        <f>"RTTN"</f>
        <v>RTTN</v>
      </c>
      <c r="B15409" t="s">
        <v>14</v>
      </c>
      <c r="C15409" t="s">
        <v>43</v>
      </c>
      <c r="D15409" t="s">
        <v>11</v>
      </c>
      <c r="E15409" t="s">
        <v>12</v>
      </c>
      <c r="F15409">
        <v>67872891</v>
      </c>
      <c r="G15409">
        <v>67872940</v>
      </c>
      <c r="H15409">
        <v>67872891</v>
      </c>
      <c r="I15409">
        <v>67872940</v>
      </c>
    </row>
    <row r="15410" spans="1:9" x14ac:dyDescent="0.2">
      <c r="A15410" s="1" t="str">
        <f>"RUFY1"</f>
        <v>RUFY1</v>
      </c>
      <c r="B15410" t="s">
        <v>9</v>
      </c>
      <c r="C15410" t="s">
        <v>46</v>
      </c>
      <c r="D15410" t="s">
        <v>17</v>
      </c>
      <c r="E15410" t="s">
        <v>12</v>
      </c>
      <c r="F15410">
        <v>178977546</v>
      </c>
      <c r="G15410">
        <v>178977568</v>
      </c>
      <c r="H15410">
        <v>178977546</v>
      </c>
      <c r="I15410">
        <v>178977568</v>
      </c>
    </row>
    <row r="15411" spans="1:9" x14ac:dyDescent="0.2">
      <c r="A15411" s="1" t="str">
        <f>"RUFY1"</f>
        <v>RUFY1</v>
      </c>
      <c r="B15411" t="s">
        <v>13</v>
      </c>
      <c r="C15411" t="s">
        <v>46</v>
      </c>
      <c r="D15411" t="s">
        <v>17</v>
      </c>
      <c r="E15411" t="s">
        <v>12</v>
      </c>
      <c r="F15411">
        <v>178986726</v>
      </c>
      <c r="G15411">
        <v>178986820</v>
      </c>
      <c r="H15411">
        <v>178986726</v>
      </c>
      <c r="I15411">
        <v>178986820</v>
      </c>
    </row>
    <row r="15412" spans="1:9" x14ac:dyDescent="0.2">
      <c r="A15412" s="1" t="str">
        <f>"RUFY2"</f>
        <v>RUFY2</v>
      </c>
      <c r="B15412" t="s">
        <v>14</v>
      </c>
      <c r="C15412" t="s">
        <v>15</v>
      </c>
      <c r="D15412" t="s">
        <v>11</v>
      </c>
      <c r="E15412" t="s">
        <v>12</v>
      </c>
      <c r="F15412">
        <v>70166999</v>
      </c>
      <c r="G15412">
        <v>70167062</v>
      </c>
      <c r="H15412">
        <v>70166969</v>
      </c>
      <c r="I15412">
        <v>70166985</v>
      </c>
    </row>
    <row r="15413" spans="1:9" x14ac:dyDescent="0.2">
      <c r="A15413" s="1" t="str">
        <f>"RUFY3"</f>
        <v>RUFY3</v>
      </c>
      <c r="B15413" t="s">
        <v>9</v>
      </c>
      <c r="C15413" t="s">
        <v>23</v>
      </c>
      <c r="D15413" t="s">
        <v>17</v>
      </c>
      <c r="E15413" t="s">
        <v>12</v>
      </c>
      <c r="F15413">
        <v>71587669</v>
      </c>
      <c r="G15413">
        <v>71587752</v>
      </c>
      <c r="H15413">
        <v>71587669</v>
      </c>
      <c r="I15413">
        <v>71587752</v>
      </c>
    </row>
    <row r="15414" spans="1:9" x14ac:dyDescent="0.2">
      <c r="A15414" s="1" t="str">
        <f>"RUFY3"</f>
        <v>RUFY3</v>
      </c>
      <c r="B15414" t="s">
        <v>13</v>
      </c>
      <c r="C15414" t="s">
        <v>23</v>
      </c>
      <c r="D15414" t="s">
        <v>17</v>
      </c>
      <c r="E15414" t="s">
        <v>12</v>
      </c>
      <c r="F15414">
        <v>71570430</v>
      </c>
      <c r="G15414">
        <v>71570536</v>
      </c>
      <c r="H15414">
        <v>71570430</v>
      </c>
      <c r="I15414">
        <v>71570536</v>
      </c>
    </row>
    <row r="15415" spans="1:9" x14ac:dyDescent="0.2">
      <c r="A15415" s="1" t="str">
        <f>"RUFY4"</f>
        <v>RUFY4</v>
      </c>
      <c r="B15415" t="s">
        <v>14</v>
      </c>
      <c r="C15415" t="s">
        <v>26</v>
      </c>
      <c r="D15415" t="s">
        <v>17</v>
      </c>
      <c r="E15415" t="s">
        <v>12</v>
      </c>
      <c r="F15415">
        <v>218933972</v>
      </c>
      <c r="G15415">
        <v>218933980</v>
      </c>
      <c r="H15415">
        <v>218933972</v>
      </c>
      <c r="I15415">
        <v>218933980</v>
      </c>
    </row>
    <row r="15416" spans="1:9" x14ac:dyDescent="0.2">
      <c r="A15416" s="1" t="str">
        <f>"RUNDC1"</f>
        <v>RUNDC1</v>
      </c>
      <c r="B15416" t="s">
        <v>14</v>
      </c>
      <c r="C15416" t="s">
        <v>28</v>
      </c>
      <c r="D15416" t="s">
        <v>17</v>
      </c>
      <c r="E15416" t="s">
        <v>12</v>
      </c>
      <c r="F15416">
        <v>41132564</v>
      </c>
      <c r="G15416">
        <v>41132600</v>
      </c>
      <c r="H15416">
        <v>41132564</v>
      </c>
      <c r="I15416">
        <v>41132600</v>
      </c>
    </row>
    <row r="15417" spans="1:9" x14ac:dyDescent="0.2">
      <c r="A15417" s="1" t="str">
        <f>"RUNDC3A"</f>
        <v>RUNDC3A</v>
      </c>
      <c r="B15417" t="s">
        <v>14</v>
      </c>
      <c r="C15417" t="s">
        <v>28</v>
      </c>
      <c r="D15417" t="s">
        <v>17</v>
      </c>
      <c r="E15417" t="s">
        <v>12</v>
      </c>
      <c r="F15417">
        <v>42385941</v>
      </c>
      <c r="G15417">
        <v>42385996</v>
      </c>
      <c r="H15417">
        <v>42385998</v>
      </c>
      <c r="I15417">
        <v>42386020</v>
      </c>
    </row>
    <row r="15418" spans="1:9" x14ac:dyDescent="0.2">
      <c r="A15418" s="1" t="str">
        <f>"RUNDC3B"</f>
        <v>RUNDC3B</v>
      </c>
      <c r="B15418" t="s">
        <v>14</v>
      </c>
      <c r="C15418" t="s">
        <v>33</v>
      </c>
      <c r="D15418" t="s">
        <v>17</v>
      </c>
      <c r="E15418" t="s">
        <v>12</v>
      </c>
      <c r="F15418">
        <v>87257701</v>
      </c>
      <c r="G15418">
        <v>87257759</v>
      </c>
      <c r="H15418">
        <v>87257701</v>
      </c>
      <c r="I15418">
        <v>87257759</v>
      </c>
    </row>
    <row r="15419" spans="1:9" x14ac:dyDescent="0.2">
      <c r="A15419" s="1" t="str">
        <f>"RUNX1"</f>
        <v>RUNX1</v>
      </c>
      <c r="B15419" t="s">
        <v>1510</v>
      </c>
      <c r="C15419" t="s">
        <v>42</v>
      </c>
      <c r="D15419" t="s">
        <v>11</v>
      </c>
      <c r="E15419" t="s">
        <v>35</v>
      </c>
      <c r="F15419">
        <v>36421626</v>
      </c>
      <c r="G15419">
        <v>36421631</v>
      </c>
      <c r="H15419">
        <v>36421518</v>
      </c>
      <c r="I15419">
        <v>36421532</v>
      </c>
    </row>
    <row r="15420" spans="1:9" x14ac:dyDescent="0.2">
      <c r="A15420" s="1" t="str">
        <f>"RUNX1T1"</f>
        <v>RUNX1T1</v>
      </c>
      <c r="B15420" t="s">
        <v>9</v>
      </c>
      <c r="C15420" t="s">
        <v>30</v>
      </c>
      <c r="D15420" t="s">
        <v>11</v>
      </c>
      <c r="E15420" t="s">
        <v>12</v>
      </c>
      <c r="F15420">
        <v>93074803</v>
      </c>
      <c r="G15420">
        <v>93074845</v>
      </c>
      <c r="H15420">
        <v>93074803</v>
      </c>
      <c r="I15420">
        <v>93074845</v>
      </c>
    </row>
    <row r="15421" spans="1:9" x14ac:dyDescent="0.2">
      <c r="A15421" s="1" t="str">
        <f>"RUNX1T1"</f>
        <v>RUNX1T1</v>
      </c>
      <c r="B15421" t="s">
        <v>13</v>
      </c>
      <c r="C15421" t="s">
        <v>30</v>
      </c>
      <c r="D15421" t="s">
        <v>11</v>
      </c>
      <c r="E15421" t="s">
        <v>12</v>
      </c>
      <c r="F15421">
        <v>93107451</v>
      </c>
      <c r="G15421">
        <v>93107468</v>
      </c>
      <c r="H15421">
        <v>93107451</v>
      </c>
      <c r="I15421">
        <v>93107468</v>
      </c>
    </row>
    <row r="15422" spans="1:9" x14ac:dyDescent="0.2">
      <c r="A15422" s="1" t="str">
        <f>"RUNX2"</f>
        <v>RUNX2</v>
      </c>
      <c r="B15422" t="s">
        <v>9</v>
      </c>
      <c r="C15422" t="s">
        <v>32</v>
      </c>
      <c r="D15422" t="s">
        <v>17</v>
      </c>
      <c r="E15422" t="s">
        <v>12</v>
      </c>
      <c r="F15422">
        <v>45296048</v>
      </c>
      <c r="G15422">
        <v>45296082</v>
      </c>
      <c r="H15422">
        <v>45296048</v>
      </c>
      <c r="I15422">
        <v>45296082</v>
      </c>
    </row>
    <row r="15423" spans="1:9" x14ac:dyDescent="0.2">
      <c r="A15423" s="1" t="str">
        <f>"RUNX2"</f>
        <v>RUNX2</v>
      </c>
      <c r="B15423" t="s">
        <v>13</v>
      </c>
      <c r="C15423" t="s">
        <v>32</v>
      </c>
      <c r="D15423" t="s">
        <v>17</v>
      </c>
      <c r="E15423" t="s">
        <v>12</v>
      </c>
      <c r="F15423">
        <v>45390025</v>
      </c>
      <c r="G15423">
        <v>45390076</v>
      </c>
      <c r="H15423">
        <v>45390025</v>
      </c>
      <c r="I15423">
        <v>45390076</v>
      </c>
    </row>
    <row r="15424" spans="1:9" x14ac:dyDescent="0.2">
      <c r="A15424" s="1" t="str">
        <f>"RUNX3"</f>
        <v>RUNX3</v>
      </c>
      <c r="B15424" t="s">
        <v>9</v>
      </c>
      <c r="C15424" t="s">
        <v>19</v>
      </c>
      <c r="D15424" t="s">
        <v>11</v>
      </c>
      <c r="E15424" t="s">
        <v>12</v>
      </c>
      <c r="F15424">
        <v>25256756</v>
      </c>
      <c r="G15424">
        <v>25256774</v>
      </c>
      <c r="H15424">
        <v>25256756</v>
      </c>
      <c r="I15424">
        <v>25256774</v>
      </c>
    </row>
    <row r="15425" spans="1:9" x14ac:dyDescent="0.2">
      <c r="A15425" s="1" t="str">
        <f>"RUNX3"</f>
        <v>RUNX3</v>
      </c>
      <c r="B15425" t="s">
        <v>13</v>
      </c>
      <c r="C15425" t="s">
        <v>19</v>
      </c>
      <c r="D15425" t="s">
        <v>11</v>
      </c>
      <c r="E15425" t="s">
        <v>12</v>
      </c>
      <c r="F15425">
        <v>25291475</v>
      </c>
      <c r="G15425">
        <v>25291511</v>
      </c>
      <c r="H15425">
        <v>25291475</v>
      </c>
      <c r="I15425">
        <v>25291511</v>
      </c>
    </row>
    <row r="15426" spans="1:9" x14ac:dyDescent="0.2">
      <c r="A15426" s="1" t="str">
        <f>"RUSC1"</f>
        <v>RUSC1</v>
      </c>
      <c r="B15426" t="s">
        <v>9</v>
      </c>
      <c r="C15426" t="s">
        <v>19</v>
      </c>
      <c r="D15426" t="s">
        <v>17</v>
      </c>
      <c r="E15426" t="s">
        <v>12</v>
      </c>
      <c r="F15426">
        <v>155294264</v>
      </c>
      <c r="G15426">
        <v>155294332</v>
      </c>
      <c r="H15426">
        <v>155294264</v>
      </c>
      <c r="I15426">
        <v>155294332</v>
      </c>
    </row>
    <row r="15427" spans="1:9" x14ac:dyDescent="0.2">
      <c r="A15427" s="1" t="str">
        <f>"RUSC1"</f>
        <v>RUSC1</v>
      </c>
      <c r="B15427" t="s">
        <v>13</v>
      </c>
      <c r="C15427" t="s">
        <v>19</v>
      </c>
      <c r="D15427" t="s">
        <v>17</v>
      </c>
      <c r="E15427" t="s">
        <v>12</v>
      </c>
      <c r="F15427">
        <v>155290677</v>
      </c>
      <c r="G15427">
        <v>155290753</v>
      </c>
      <c r="H15427">
        <v>155290677</v>
      </c>
      <c r="I15427">
        <v>155290753</v>
      </c>
    </row>
    <row r="15428" spans="1:9" x14ac:dyDescent="0.2">
      <c r="A15428" s="1" t="str">
        <f>"RUSC1-AS1"</f>
        <v>RUSC1-AS1</v>
      </c>
      <c r="B15428" t="s">
        <v>9</v>
      </c>
      <c r="C15428" t="s">
        <v>19</v>
      </c>
      <c r="D15428" t="s">
        <v>11</v>
      </c>
      <c r="E15428" t="s">
        <v>12</v>
      </c>
      <c r="F15428">
        <v>155290292</v>
      </c>
      <c r="G15428">
        <v>155290308</v>
      </c>
      <c r="H15428">
        <v>155290292</v>
      </c>
      <c r="I15428">
        <v>155290308</v>
      </c>
    </row>
    <row r="15429" spans="1:9" x14ac:dyDescent="0.2">
      <c r="A15429" s="1" t="str">
        <f>"RUSC1-AS1"</f>
        <v>RUSC1-AS1</v>
      </c>
      <c r="B15429" t="s">
        <v>13</v>
      </c>
      <c r="C15429" t="s">
        <v>19</v>
      </c>
      <c r="D15429" t="s">
        <v>11</v>
      </c>
      <c r="E15429" t="s">
        <v>12</v>
      </c>
      <c r="F15429">
        <v>155294141</v>
      </c>
      <c r="G15429">
        <v>155294158</v>
      </c>
      <c r="H15429">
        <v>155294141</v>
      </c>
      <c r="I15429">
        <v>155294158</v>
      </c>
    </row>
    <row r="15430" spans="1:9" x14ac:dyDescent="0.2">
      <c r="A15430" s="1" t="str">
        <f>"RUSC2"</f>
        <v>RUSC2</v>
      </c>
      <c r="B15430" t="s">
        <v>9</v>
      </c>
      <c r="C15430" t="s">
        <v>24</v>
      </c>
      <c r="D15430" t="s">
        <v>17</v>
      </c>
      <c r="E15430" t="s">
        <v>12</v>
      </c>
      <c r="F15430">
        <v>35538849</v>
      </c>
      <c r="G15430">
        <v>35538947</v>
      </c>
      <c r="H15430">
        <v>35538849</v>
      </c>
      <c r="I15430">
        <v>35538947</v>
      </c>
    </row>
    <row r="15431" spans="1:9" x14ac:dyDescent="0.2">
      <c r="A15431" s="1" t="str">
        <f>"RUSC2"</f>
        <v>RUSC2</v>
      </c>
      <c r="B15431" t="s">
        <v>13</v>
      </c>
      <c r="C15431" t="s">
        <v>24</v>
      </c>
      <c r="D15431" t="s">
        <v>17</v>
      </c>
      <c r="E15431" t="s">
        <v>12</v>
      </c>
      <c r="F15431">
        <v>35489855</v>
      </c>
      <c r="G15431">
        <v>35489921</v>
      </c>
      <c r="H15431">
        <v>35489855</v>
      </c>
      <c r="I15431">
        <v>35489921</v>
      </c>
    </row>
    <row r="15432" spans="1:9" x14ac:dyDescent="0.2">
      <c r="A15432" s="1" t="str">
        <f>"RUVBL1"</f>
        <v>RUVBL1</v>
      </c>
      <c r="B15432" t="s">
        <v>14</v>
      </c>
      <c r="C15432" t="s">
        <v>22</v>
      </c>
      <c r="D15432" t="s">
        <v>11</v>
      </c>
      <c r="E15432" t="s">
        <v>12</v>
      </c>
      <c r="F15432">
        <v>127842612</v>
      </c>
      <c r="G15432">
        <v>127842680</v>
      </c>
      <c r="H15432">
        <v>127842612</v>
      </c>
      <c r="I15432">
        <v>127842680</v>
      </c>
    </row>
    <row r="15433" spans="1:9" x14ac:dyDescent="0.2">
      <c r="A15433" s="1" t="str">
        <f>"RUVBL2"</f>
        <v>RUVBL2</v>
      </c>
      <c r="B15433" t="s">
        <v>14</v>
      </c>
      <c r="C15433" t="s">
        <v>10</v>
      </c>
      <c r="D15433" t="s">
        <v>17</v>
      </c>
      <c r="E15433" t="s">
        <v>12</v>
      </c>
      <c r="F15433">
        <v>49497121</v>
      </c>
      <c r="G15433">
        <v>49497164</v>
      </c>
      <c r="H15433">
        <v>49496732</v>
      </c>
      <c r="I15433">
        <v>49496776</v>
      </c>
    </row>
    <row r="15434" spans="1:9" x14ac:dyDescent="0.2">
      <c r="A15434" s="1" t="str">
        <f>"RWDD1"</f>
        <v>RWDD1</v>
      </c>
      <c r="B15434" t="s">
        <v>14</v>
      </c>
      <c r="C15434" t="s">
        <v>32</v>
      </c>
      <c r="D15434" t="s">
        <v>17</v>
      </c>
      <c r="E15434" t="s">
        <v>12</v>
      </c>
      <c r="F15434">
        <v>116892641</v>
      </c>
      <c r="G15434">
        <v>116892718</v>
      </c>
      <c r="H15434">
        <v>116892553</v>
      </c>
      <c r="I15434">
        <v>116892592</v>
      </c>
    </row>
    <row r="15435" spans="1:9" x14ac:dyDescent="0.2">
      <c r="A15435" s="1" t="str">
        <f>"RWDD2A"</f>
        <v>RWDD2A</v>
      </c>
      <c r="B15435" t="s">
        <v>14</v>
      </c>
      <c r="C15435" t="s">
        <v>32</v>
      </c>
      <c r="D15435" t="s">
        <v>17</v>
      </c>
      <c r="E15435" t="s">
        <v>12</v>
      </c>
      <c r="F15435">
        <v>83903061</v>
      </c>
      <c r="G15435">
        <v>83903113</v>
      </c>
      <c r="H15435">
        <v>83903051</v>
      </c>
      <c r="I15435">
        <v>83903060</v>
      </c>
    </row>
    <row r="15436" spans="1:9" x14ac:dyDescent="0.2">
      <c r="A15436" s="1" t="str">
        <f>"RWDD2B"</f>
        <v>RWDD2B</v>
      </c>
      <c r="B15436" t="s">
        <v>14</v>
      </c>
      <c r="C15436" t="s">
        <v>42</v>
      </c>
      <c r="D15436" t="s">
        <v>11</v>
      </c>
      <c r="E15436" t="s">
        <v>12</v>
      </c>
      <c r="F15436">
        <v>30391636</v>
      </c>
      <c r="G15436">
        <v>30391676</v>
      </c>
      <c r="H15436">
        <v>30391628</v>
      </c>
      <c r="I15436">
        <v>30391631</v>
      </c>
    </row>
    <row r="15437" spans="1:9" x14ac:dyDescent="0.2">
      <c r="A15437" s="1" t="str">
        <f>"RWDD3"</f>
        <v>RWDD3</v>
      </c>
      <c r="B15437" t="s">
        <v>14</v>
      </c>
      <c r="C15437" t="s">
        <v>19</v>
      </c>
      <c r="D15437" t="s">
        <v>17</v>
      </c>
      <c r="E15437" t="s">
        <v>12</v>
      </c>
      <c r="F15437">
        <v>95699740</v>
      </c>
      <c r="G15437">
        <v>95699788</v>
      </c>
      <c r="H15437">
        <v>95699704</v>
      </c>
      <c r="I15437">
        <v>95699730</v>
      </c>
    </row>
    <row r="15438" spans="1:9" x14ac:dyDescent="0.2">
      <c r="A15438" s="1" t="str">
        <f>"RWDD4"</f>
        <v>RWDD4</v>
      </c>
      <c r="B15438" t="s">
        <v>14</v>
      </c>
      <c r="C15438" t="s">
        <v>23</v>
      </c>
      <c r="D15438" t="s">
        <v>11</v>
      </c>
      <c r="E15438" t="s">
        <v>12</v>
      </c>
      <c r="F15438">
        <v>184580314</v>
      </c>
      <c r="G15438">
        <v>184580351</v>
      </c>
      <c r="H15438">
        <v>184580353</v>
      </c>
      <c r="I15438">
        <v>184580373</v>
      </c>
    </row>
    <row r="15439" spans="1:9" x14ac:dyDescent="0.2">
      <c r="A15439" s="1" t="str">
        <f>"RXFP1"</f>
        <v>RXFP1</v>
      </c>
      <c r="B15439" t="s">
        <v>14</v>
      </c>
      <c r="C15439" t="s">
        <v>23</v>
      </c>
      <c r="D15439" t="s">
        <v>17</v>
      </c>
      <c r="E15439" t="s">
        <v>12</v>
      </c>
      <c r="F15439">
        <v>159443024</v>
      </c>
      <c r="G15439">
        <v>159443056</v>
      </c>
      <c r="H15439">
        <v>159443090</v>
      </c>
      <c r="I15439">
        <v>159443112</v>
      </c>
    </row>
    <row r="15440" spans="1:9" x14ac:dyDescent="0.2">
      <c r="A15440" s="1" t="str">
        <f>"RXFP2"</f>
        <v>RXFP2</v>
      </c>
      <c r="B15440" t="s">
        <v>14</v>
      </c>
      <c r="C15440" t="s">
        <v>39</v>
      </c>
      <c r="D15440" t="s">
        <v>17</v>
      </c>
      <c r="E15440" t="s">
        <v>12</v>
      </c>
      <c r="F15440">
        <v>32313732</v>
      </c>
      <c r="G15440">
        <v>32313747</v>
      </c>
      <c r="H15440">
        <v>32313685</v>
      </c>
      <c r="I15440">
        <v>32313699</v>
      </c>
    </row>
    <row r="15441" spans="1:9" x14ac:dyDescent="0.2">
      <c r="A15441" s="1" t="str">
        <f>"RXFP3"</f>
        <v>RXFP3</v>
      </c>
      <c r="B15441" t="s">
        <v>14</v>
      </c>
      <c r="C15441" t="s">
        <v>46</v>
      </c>
      <c r="D15441" t="s">
        <v>17</v>
      </c>
      <c r="E15441" t="s">
        <v>12</v>
      </c>
      <c r="F15441">
        <v>33936256</v>
      </c>
      <c r="G15441">
        <v>33936261</v>
      </c>
      <c r="H15441">
        <v>33936256</v>
      </c>
      <c r="I15441">
        <v>33936261</v>
      </c>
    </row>
    <row r="15442" spans="1:9" x14ac:dyDescent="0.2">
      <c r="A15442" s="1" t="str">
        <f>"RXFP4"</f>
        <v>RXFP4</v>
      </c>
      <c r="B15442" t="s">
        <v>14</v>
      </c>
      <c r="C15442" t="s">
        <v>19</v>
      </c>
      <c r="D15442" t="s">
        <v>17</v>
      </c>
      <c r="E15442" t="s">
        <v>12</v>
      </c>
      <c r="F15442">
        <v>155911396</v>
      </c>
      <c r="G15442">
        <v>155911406</v>
      </c>
      <c r="H15442">
        <v>155911424</v>
      </c>
      <c r="I15442">
        <v>155911430</v>
      </c>
    </row>
    <row r="15443" spans="1:9" x14ac:dyDescent="0.2">
      <c r="A15443" s="1" t="str">
        <f>"RXRA"</f>
        <v>RXRA</v>
      </c>
      <c r="B15443" t="s">
        <v>14</v>
      </c>
      <c r="C15443" t="s">
        <v>24</v>
      </c>
      <c r="D15443" t="s">
        <v>17</v>
      </c>
      <c r="E15443" t="s">
        <v>12</v>
      </c>
      <c r="F15443">
        <v>137218281</v>
      </c>
      <c r="G15443">
        <v>137218340</v>
      </c>
      <c r="H15443">
        <v>137218341</v>
      </c>
      <c r="I15443">
        <v>137218361</v>
      </c>
    </row>
    <row r="15444" spans="1:9" x14ac:dyDescent="0.2">
      <c r="A15444" s="1" t="str">
        <f>"RXRB"</f>
        <v>RXRB</v>
      </c>
      <c r="B15444" t="s">
        <v>14</v>
      </c>
      <c r="C15444" t="s">
        <v>32</v>
      </c>
      <c r="D15444" t="s">
        <v>11</v>
      </c>
      <c r="E15444" t="s">
        <v>12</v>
      </c>
      <c r="F15444">
        <v>33168427</v>
      </c>
      <c r="G15444">
        <v>33168457</v>
      </c>
      <c r="H15444">
        <v>33168126</v>
      </c>
      <c r="I15444">
        <v>33168180</v>
      </c>
    </row>
    <row r="15445" spans="1:9" x14ac:dyDescent="0.2">
      <c r="A15445" s="1" t="str">
        <f>"RXRG"</f>
        <v>RXRG</v>
      </c>
      <c r="B15445" t="s">
        <v>14</v>
      </c>
      <c r="C15445" t="s">
        <v>19</v>
      </c>
      <c r="D15445" t="s">
        <v>11</v>
      </c>
      <c r="E15445" t="s">
        <v>12</v>
      </c>
      <c r="F15445">
        <v>165414325</v>
      </c>
      <c r="G15445">
        <v>165414369</v>
      </c>
      <c r="H15445">
        <v>165414325</v>
      </c>
      <c r="I15445">
        <v>165414369</v>
      </c>
    </row>
    <row r="15446" spans="1:9" x14ac:dyDescent="0.2">
      <c r="A15446" s="1" t="str">
        <f>"RYBP"</f>
        <v>RYBP</v>
      </c>
      <c r="B15446" t="s">
        <v>14</v>
      </c>
      <c r="C15446" t="s">
        <v>22</v>
      </c>
      <c r="D15446" t="s">
        <v>11</v>
      </c>
      <c r="E15446" t="s">
        <v>12</v>
      </c>
      <c r="F15446">
        <v>72496287</v>
      </c>
      <c r="G15446">
        <v>72496310</v>
      </c>
      <c r="H15446">
        <v>72496287</v>
      </c>
      <c r="I15446">
        <v>72496310</v>
      </c>
    </row>
    <row r="15447" spans="1:9" x14ac:dyDescent="0.2">
      <c r="A15447" s="1" t="str">
        <f>"RYK"</f>
        <v>RYK</v>
      </c>
      <c r="B15447" t="s">
        <v>14</v>
      </c>
      <c r="C15447" t="s">
        <v>22</v>
      </c>
      <c r="D15447" t="s">
        <v>11</v>
      </c>
      <c r="E15447" t="s">
        <v>12</v>
      </c>
      <c r="F15447">
        <v>133969673</v>
      </c>
      <c r="G15447">
        <v>133969735</v>
      </c>
      <c r="H15447">
        <v>133969629</v>
      </c>
      <c r="I15447">
        <v>133969670</v>
      </c>
    </row>
    <row r="15448" spans="1:9" x14ac:dyDescent="0.2">
      <c r="A15448" s="1" t="str">
        <f>"RYR1"</f>
        <v>RYR1</v>
      </c>
      <c r="B15448" t="s">
        <v>14</v>
      </c>
      <c r="C15448" t="s">
        <v>10</v>
      </c>
      <c r="D15448" t="s">
        <v>17</v>
      </c>
      <c r="E15448" t="s">
        <v>12</v>
      </c>
      <c r="F15448">
        <v>38924316</v>
      </c>
      <c r="G15448">
        <v>38924346</v>
      </c>
      <c r="H15448">
        <v>38924298</v>
      </c>
      <c r="I15448">
        <v>38924313</v>
      </c>
    </row>
    <row r="15449" spans="1:9" x14ac:dyDescent="0.2">
      <c r="A15449" s="1" t="str">
        <f>"RYR2"</f>
        <v>RYR2</v>
      </c>
      <c r="B15449" t="s">
        <v>14</v>
      </c>
      <c r="C15449" t="s">
        <v>19</v>
      </c>
      <c r="D15449" t="s">
        <v>17</v>
      </c>
      <c r="E15449" t="s">
        <v>12</v>
      </c>
      <c r="F15449">
        <v>237205476</v>
      </c>
      <c r="G15449">
        <v>237205493</v>
      </c>
      <c r="H15449">
        <v>237205711</v>
      </c>
      <c r="I15449">
        <v>237205745</v>
      </c>
    </row>
    <row r="15450" spans="1:9" x14ac:dyDescent="0.2">
      <c r="A15450" s="1" t="str">
        <f>"RYR3"</f>
        <v>RYR3</v>
      </c>
      <c r="B15450" t="s">
        <v>14</v>
      </c>
      <c r="C15450" t="s">
        <v>25</v>
      </c>
      <c r="D15450" t="s">
        <v>17</v>
      </c>
      <c r="E15450" t="s">
        <v>12</v>
      </c>
      <c r="F15450">
        <v>33603147</v>
      </c>
      <c r="G15450">
        <v>33603187</v>
      </c>
      <c r="H15450">
        <v>33603147</v>
      </c>
      <c r="I15450">
        <v>33603187</v>
      </c>
    </row>
    <row r="15451" spans="1:9" x14ac:dyDescent="0.2">
      <c r="A15451" s="1" t="str">
        <f>"S100A1"</f>
        <v>S100A1</v>
      </c>
      <c r="B15451" t="s">
        <v>9</v>
      </c>
      <c r="C15451" t="s">
        <v>19</v>
      </c>
      <c r="D15451" t="s">
        <v>17</v>
      </c>
      <c r="E15451" t="s">
        <v>12</v>
      </c>
      <c r="F15451">
        <v>153600869</v>
      </c>
      <c r="G15451">
        <v>153600926</v>
      </c>
      <c r="H15451">
        <v>153600869</v>
      </c>
      <c r="I15451">
        <v>153600926</v>
      </c>
    </row>
    <row r="15452" spans="1:9" x14ac:dyDescent="0.2">
      <c r="A15452" s="1" t="str">
        <f>"S100A1"</f>
        <v>S100A1</v>
      </c>
      <c r="B15452" t="s">
        <v>13</v>
      </c>
      <c r="C15452" t="s">
        <v>19</v>
      </c>
      <c r="D15452" t="s">
        <v>17</v>
      </c>
      <c r="E15452" t="s">
        <v>12</v>
      </c>
      <c r="F15452">
        <v>153603063</v>
      </c>
      <c r="G15452">
        <v>153603085</v>
      </c>
      <c r="H15452">
        <v>153603063</v>
      </c>
      <c r="I15452">
        <v>153603085</v>
      </c>
    </row>
    <row r="15453" spans="1:9" x14ac:dyDescent="0.2">
      <c r="A15453" s="1" t="str">
        <f>"S100A10"</f>
        <v>S100A10</v>
      </c>
      <c r="B15453" t="s">
        <v>9</v>
      </c>
      <c r="C15453" t="s">
        <v>19</v>
      </c>
      <c r="D15453" t="s">
        <v>11</v>
      </c>
      <c r="E15453" t="s">
        <v>12</v>
      </c>
      <c r="F15453">
        <v>151966278</v>
      </c>
      <c r="G15453">
        <v>151966348</v>
      </c>
      <c r="H15453">
        <v>151966278</v>
      </c>
      <c r="I15453">
        <v>151966348</v>
      </c>
    </row>
    <row r="15454" spans="1:9" x14ac:dyDescent="0.2">
      <c r="A15454" s="1" t="str">
        <f>"S100A10"</f>
        <v>S100A10</v>
      </c>
      <c r="B15454" t="s">
        <v>13</v>
      </c>
      <c r="C15454" t="s">
        <v>19</v>
      </c>
      <c r="D15454" t="s">
        <v>11</v>
      </c>
      <c r="E15454" t="s">
        <v>12</v>
      </c>
      <c r="F15454">
        <v>151958631</v>
      </c>
      <c r="G15454">
        <v>151958649</v>
      </c>
      <c r="H15454">
        <v>151958631</v>
      </c>
      <c r="I15454">
        <v>151958649</v>
      </c>
    </row>
    <row r="15455" spans="1:9" x14ac:dyDescent="0.2">
      <c r="A15455" s="1" t="str">
        <f>"S100A11"</f>
        <v>S100A11</v>
      </c>
      <c r="B15455" t="s">
        <v>14</v>
      </c>
      <c r="C15455" t="s">
        <v>19</v>
      </c>
      <c r="D15455" t="s">
        <v>11</v>
      </c>
      <c r="E15455" t="s">
        <v>12</v>
      </c>
      <c r="F15455">
        <v>152009460</v>
      </c>
      <c r="G15455">
        <v>152009498</v>
      </c>
      <c r="H15455">
        <v>152009431</v>
      </c>
      <c r="I15455">
        <v>152009457</v>
      </c>
    </row>
    <row r="15456" spans="1:9" x14ac:dyDescent="0.2">
      <c r="A15456" s="1" t="str">
        <f>"S100A12"</f>
        <v>S100A12</v>
      </c>
      <c r="B15456" t="s">
        <v>9</v>
      </c>
      <c r="C15456" t="s">
        <v>19</v>
      </c>
      <c r="D15456" t="s">
        <v>11</v>
      </c>
      <c r="E15456" t="s">
        <v>12</v>
      </c>
      <c r="F15456">
        <v>153348067</v>
      </c>
      <c r="G15456">
        <v>153348103</v>
      </c>
      <c r="H15456">
        <v>153348067</v>
      </c>
      <c r="I15456">
        <v>153348103</v>
      </c>
    </row>
    <row r="15457" spans="1:9" x14ac:dyDescent="0.2">
      <c r="A15457" s="1" t="str">
        <f>"S100A12"</f>
        <v>S100A12</v>
      </c>
      <c r="B15457" t="s">
        <v>13</v>
      </c>
      <c r="C15457" t="s">
        <v>19</v>
      </c>
      <c r="D15457" t="s">
        <v>11</v>
      </c>
      <c r="E15457" t="s">
        <v>12</v>
      </c>
      <c r="F15457">
        <v>153346989</v>
      </c>
      <c r="G15457">
        <v>153347005</v>
      </c>
      <c r="H15457">
        <v>153346989</v>
      </c>
      <c r="I15457">
        <v>153347005</v>
      </c>
    </row>
    <row r="15458" spans="1:9" x14ac:dyDescent="0.2">
      <c r="A15458" s="1" t="str">
        <f>"S100A13"</f>
        <v>S100A13</v>
      </c>
      <c r="B15458" t="s">
        <v>14</v>
      </c>
      <c r="C15458" t="s">
        <v>19</v>
      </c>
      <c r="D15458" t="s">
        <v>11</v>
      </c>
      <c r="E15458" t="s">
        <v>12</v>
      </c>
      <c r="F15458">
        <v>153599975</v>
      </c>
      <c r="G15458">
        <v>153599988</v>
      </c>
      <c r="H15458">
        <v>153599994</v>
      </c>
      <c r="I15458">
        <v>153600045</v>
      </c>
    </row>
    <row r="15459" spans="1:9" x14ac:dyDescent="0.2">
      <c r="A15459" s="1" t="str">
        <f>"S100A14"</f>
        <v>S100A14</v>
      </c>
      <c r="B15459" t="s">
        <v>14</v>
      </c>
      <c r="C15459" t="s">
        <v>19</v>
      </c>
      <c r="D15459" t="s">
        <v>11</v>
      </c>
      <c r="E15459" t="s">
        <v>12</v>
      </c>
      <c r="F15459">
        <v>153588789</v>
      </c>
      <c r="G15459">
        <v>153588808</v>
      </c>
      <c r="H15459">
        <v>153588398</v>
      </c>
      <c r="I15459">
        <v>153588429</v>
      </c>
    </row>
    <row r="15460" spans="1:9" x14ac:dyDescent="0.2">
      <c r="A15460" s="1" t="str">
        <f>"S100A16"</f>
        <v>S100A16</v>
      </c>
      <c r="B15460" t="s">
        <v>14</v>
      </c>
      <c r="C15460" t="s">
        <v>19</v>
      </c>
      <c r="D15460" t="s">
        <v>11</v>
      </c>
      <c r="E15460" t="s">
        <v>12</v>
      </c>
      <c r="F15460">
        <v>153585456</v>
      </c>
      <c r="G15460">
        <v>153585532</v>
      </c>
      <c r="H15460">
        <v>153585571</v>
      </c>
      <c r="I15460">
        <v>153585629</v>
      </c>
    </row>
    <row r="15461" spans="1:9" x14ac:dyDescent="0.2">
      <c r="A15461" s="1" t="str">
        <f>"S100A2"</f>
        <v>S100A2</v>
      </c>
      <c r="B15461" t="s">
        <v>14</v>
      </c>
      <c r="C15461" t="s">
        <v>19</v>
      </c>
      <c r="D15461" t="s">
        <v>11</v>
      </c>
      <c r="E15461" t="s">
        <v>12</v>
      </c>
      <c r="F15461">
        <v>153538011</v>
      </c>
      <c r="G15461">
        <v>153538030</v>
      </c>
      <c r="H15461">
        <v>153538047</v>
      </c>
      <c r="I15461">
        <v>153538062</v>
      </c>
    </row>
    <row r="15462" spans="1:9" x14ac:dyDescent="0.2">
      <c r="A15462" s="1" t="str">
        <f>"S100A3"</f>
        <v>S100A3</v>
      </c>
      <c r="B15462" t="s">
        <v>14</v>
      </c>
      <c r="C15462" t="s">
        <v>19</v>
      </c>
      <c r="D15462" t="s">
        <v>11</v>
      </c>
      <c r="E15462" t="s">
        <v>12</v>
      </c>
      <c r="F15462">
        <v>153521714</v>
      </c>
      <c r="G15462">
        <v>153521749</v>
      </c>
      <c r="H15462">
        <v>153521597</v>
      </c>
      <c r="I15462">
        <v>153521617</v>
      </c>
    </row>
    <row r="15463" spans="1:9" x14ac:dyDescent="0.2">
      <c r="A15463" s="1" t="str">
        <f>"S100A4"</f>
        <v>S100A4</v>
      </c>
      <c r="B15463" t="s">
        <v>14</v>
      </c>
      <c r="C15463" t="s">
        <v>19</v>
      </c>
      <c r="D15463" t="s">
        <v>11</v>
      </c>
      <c r="E15463" t="s">
        <v>12</v>
      </c>
      <c r="F15463">
        <v>153518270</v>
      </c>
      <c r="G15463">
        <v>153518290</v>
      </c>
      <c r="H15463">
        <v>153517473</v>
      </c>
      <c r="I15463">
        <v>153517536</v>
      </c>
    </row>
    <row r="15464" spans="1:9" x14ac:dyDescent="0.2">
      <c r="A15464" s="1" t="str">
        <f>"S100A5"</f>
        <v>S100A5</v>
      </c>
      <c r="B15464" t="s">
        <v>14</v>
      </c>
      <c r="C15464" t="s">
        <v>19</v>
      </c>
      <c r="D15464" t="s">
        <v>11</v>
      </c>
      <c r="E15464" t="s">
        <v>12</v>
      </c>
      <c r="F15464">
        <v>153513398</v>
      </c>
      <c r="G15464">
        <v>153513415</v>
      </c>
      <c r="H15464">
        <v>153513398</v>
      </c>
      <c r="I15464">
        <v>153513415</v>
      </c>
    </row>
    <row r="15465" spans="1:9" x14ac:dyDescent="0.2">
      <c r="A15465" s="1" t="str">
        <f>"S100A6"</f>
        <v>S100A6</v>
      </c>
      <c r="B15465" t="s">
        <v>14</v>
      </c>
      <c r="C15465" t="s">
        <v>19</v>
      </c>
      <c r="D15465" t="s">
        <v>11</v>
      </c>
      <c r="E15465" t="s">
        <v>12</v>
      </c>
      <c r="F15465">
        <v>153508460</v>
      </c>
      <c r="G15465">
        <v>153508476</v>
      </c>
      <c r="H15465">
        <v>153508482</v>
      </c>
      <c r="I15465">
        <v>153508494</v>
      </c>
    </row>
    <row r="15466" spans="1:9" x14ac:dyDescent="0.2">
      <c r="A15466" s="1" t="str">
        <f>"S100A7"</f>
        <v>S100A7</v>
      </c>
      <c r="B15466" t="s">
        <v>14</v>
      </c>
      <c r="C15466" t="s">
        <v>19</v>
      </c>
      <c r="D15466" t="s">
        <v>11</v>
      </c>
      <c r="E15466" t="s">
        <v>12</v>
      </c>
      <c r="F15466">
        <v>153433120</v>
      </c>
      <c r="G15466">
        <v>153433129</v>
      </c>
      <c r="H15466">
        <v>153433120</v>
      </c>
      <c r="I15466">
        <v>153433129</v>
      </c>
    </row>
    <row r="15467" spans="1:9" x14ac:dyDescent="0.2">
      <c r="A15467" s="1" t="str">
        <f>"S100A7A"</f>
        <v>S100A7A</v>
      </c>
      <c r="B15467" t="s">
        <v>14</v>
      </c>
      <c r="C15467" t="s">
        <v>19</v>
      </c>
      <c r="D15467" t="s">
        <v>17</v>
      </c>
      <c r="E15467" t="s">
        <v>12</v>
      </c>
      <c r="F15467">
        <v>153388993</v>
      </c>
      <c r="G15467">
        <v>153389000</v>
      </c>
      <c r="H15467">
        <v>153388993</v>
      </c>
      <c r="I15467">
        <v>153389000</v>
      </c>
    </row>
    <row r="15468" spans="1:9" x14ac:dyDescent="0.2">
      <c r="A15468" s="1" t="str">
        <f>"S100A7L2"</f>
        <v>S100A7L2</v>
      </c>
      <c r="B15468" t="s">
        <v>1511</v>
      </c>
      <c r="C15468" t="s">
        <v>19</v>
      </c>
      <c r="D15468" t="s">
        <v>11</v>
      </c>
      <c r="E15468" t="s">
        <v>20</v>
      </c>
      <c r="F15468">
        <v>153412424</v>
      </c>
      <c r="G15468">
        <v>153412424</v>
      </c>
      <c r="H15468">
        <v>153412424</v>
      </c>
      <c r="I15468">
        <v>153412424</v>
      </c>
    </row>
    <row r="15469" spans="1:9" x14ac:dyDescent="0.2">
      <c r="A15469" s="1" t="str">
        <f>"S100A8"</f>
        <v>S100A8</v>
      </c>
      <c r="B15469" t="s">
        <v>14</v>
      </c>
      <c r="C15469" t="s">
        <v>19</v>
      </c>
      <c r="D15469" t="s">
        <v>11</v>
      </c>
      <c r="E15469" t="s">
        <v>12</v>
      </c>
      <c r="F15469">
        <v>153363539</v>
      </c>
      <c r="G15469">
        <v>153363557</v>
      </c>
      <c r="H15469">
        <v>153362968</v>
      </c>
      <c r="I15469">
        <v>153363033</v>
      </c>
    </row>
    <row r="15470" spans="1:9" x14ac:dyDescent="0.2">
      <c r="A15470" s="1" t="str">
        <f>"S100A9"</f>
        <v>S100A9</v>
      </c>
      <c r="B15470" t="s">
        <v>14</v>
      </c>
      <c r="C15470" t="s">
        <v>19</v>
      </c>
      <c r="D15470" t="s">
        <v>17</v>
      </c>
      <c r="E15470" t="s">
        <v>12</v>
      </c>
      <c r="F15470">
        <v>153330322</v>
      </c>
      <c r="G15470">
        <v>153330336</v>
      </c>
      <c r="H15470">
        <v>153330728</v>
      </c>
      <c r="I15470">
        <v>153330829</v>
      </c>
    </row>
    <row r="15471" spans="1:9" x14ac:dyDescent="0.2">
      <c r="A15471" s="1" t="str">
        <f>"S100B"</f>
        <v>S100B</v>
      </c>
      <c r="B15471" t="s">
        <v>14</v>
      </c>
      <c r="C15471" t="s">
        <v>42</v>
      </c>
      <c r="D15471" t="s">
        <v>11</v>
      </c>
      <c r="E15471" t="s">
        <v>12</v>
      </c>
      <c r="F15471">
        <v>48024986</v>
      </c>
      <c r="G15471">
        <v>48025003</v>
      </c>
      <c r="H15471">
        <v>48025158</v>
      </c>
      <c r="I15471">
        <v>48025216</v>
      </c>
    </row>
    <row r="15472" spans="1:9" x14ac:dyDescent="0.2">
      <c r="A15472" s="1" t="str">
        <f>"S100G"</f>
        <v>S100G</v>
      </c>
      <c r="B15472" t="s">
        <v>14</v>
      </c>
      <c r="C15472" t="s">
        <v>37</v>
      </c>
      <c r="D15472" t="s">
        <v>17</v>
      </c>
      <c r="E15472" t="s">
        <v>12</v>
      </c>
      <c r="F15472">
        <v>16668278</v>
      </c>
      <c r="G15472">
        <v>16668282</v>
      </c>
      <c r="H15472">
        <v>16668278</v>
      </c>
      <c r="I15472">
        <v>16668282</v>
      </c>
    </row>
    <row r="15473" spans="1:9" x14ac:dyDescent="0.2">
      <c r="A15473" s="1" t="str">
        <f>"S100P"</f>
        <v>S100P</v>
      </c>
      <c r="B15473" t="s">
        <v>14</v>
      </c>
      <c r="C15473" t="s">
        <v>23</v>
      </c>
      <c r="D15473" t="s">
        <v>17</v>
      </c>
      <c r="E15473" t="s">
        <v>12</v>
      </c>
      <c r="F15473">
        <v>6695597</v>
      </c>
      <c r="G15473">
        <v>6695620</v>
      </c>
      <c r="H15473">
        <v>6695547</v>
      </c>
      <c r="I15473">
        <v>6695567</v>
      </c>
    </row>
    <row r="15474" spans="1:9" x14ac:dyDescent="0.2">
      <c r="A15474" s="1" t="str">
        <f>"S100PBP"</f>
        <v>S100PBP</v>
      </c>
      <c r="B15474" t="s">
        <v>14</v>
      </c>
      <c r="C15474" t="s">
        <v>19</v>
      </c>
      <c r="D15474" t="s">
        <v>17</v>
      </c>
      <c r="E15474" t="s">
        <v>12</v>
      </c>
      <c r="F15474">
        <v>33283143</v>
      </c>
      <c r="G15474">
        <v>33283198</v>
      </c>
      <c r="H15474">
        <v>33283246</v>
      </c>
      <c r="I15474">
        <v>33283261</v>
      </c>
    </row>
    <row r="15475" spans="1:9" x14ac:dyDescent="0.2">
      <c r="A15475" s="1" t="str">
        <f>"S100Z"</f>
        <v>S100Z</v>
      </c>
      <c r="B15475" t="s">
        <v>14</v>
      </c>
      <c r="C15475" t="s">
        <v>46</v>
      </c>
      <c r="D15475" t="s">
        <v>17</v>
      </c>
      <c r="E15475" t="s">
        <v>12</v>
      </c>
      <c r="F15475">
        <v>76145832</v>
      </c>
      <c r="G15475">
        <v>76145880</v>
      </c>
      <c r="H15475">
        <v>76145920</v>
      </c>
      <c r="I15475">
        <v>76145948</v>
      </c>
    </row>
    <row r="15476" spans="1:9" x14ac:dyDescent="0.2">
      <c r="A15476" s="1" t="str">
        <f>"S1PR1"</f>
        <v>S1PR1</v>
      </c>
      <c r="B15476" t="s">
        <v>14</v>
      </c>
      <c r="C15476" t="s">
        <v>19</v>
      </c>
      <c r="D15476" t="s">
        <v>17</v>
      </c>
      <c r="E15476" t="s">
        <v>12</v>
      </c>
      <c r="F15476">
        <v>101702417</v>
      </c>
      <c r="G15476">
        <v>101702481</v>
      </c>
      <c r="H15476">
        <v>101702564</v>
      </c>
      <c r="I15476">
        <v>101702584</v>
      </c>
    </row>
    <row r="15477" spans="1:9" x14ac:dyDescent="0.2">
      <c r="A15477" s="1" t="str">
        <f>"S1PR2"</f>
        <v>S1PR2</v>
      </c>
      <c r="B15477" t="s">
        <v>14</v>
      </c>
      <c r="C15477" t="s">
        <v>10</v>
      </c>
      <c r="D15477" t="s">
        <v>11</v>
      </c>
      <c r="E15477" t="s">
        <v>12</v>
      </c>
      <c r="F15477">
        <v>10341969</v>
      </c>
      <c r="G15477">
        <v>10342016</v>
      </c>
      <c r="H15477">
        <v>10341949</v>
      </c>
      <c r="I15477">
        <v>10341965</v>
      </c>
    </row>
    <row r="15478" spans="1:9" x14ac:dyDescent="0.2">
      <c r="A15478" s="1" t="str">
        <f>"S1PR3"</f>
        <v>S1PR3</v>
      </c>
      <c r="B15478" t="s">
        <v>14</v>
      </c>
      <c r="C15478" t="s">
        <v>24</v>
      </c>
      <c r="D15478" t="s">
        <v>17</v>
      </c>
      <c r="E15478" t="s">
        <v>12</v>
      </c>
      <c r="F15478">
        <v>91606355</v>
      </c>
      <c r="G15478">
        <v>91606398</v>
      </c>
      <c r="H15478">
        <v>91606319</v>
      </c>
      <c r="I15478">
        <v>91606354</v>
      </c>
    </row>
    <row r="15479" spans="1:9" x14ac:dyDescent="0.2">
      <c r="A15479" s="1" t="str">
        <f>"S1PR4"</f>
        <v>S1PR4</v>
      </c>
      <c r="B15479" t="s">
        <v>14</v>
      </c>
      <c r="C15479" t="s">
        <v>10</v>
      </c>
      <c r="D15479" t="s">
        <v>17</v>
      </c>
      <c r="E15479" t="s">
        <v>12</v>
      </c>
      <c r="F15479">
        <v>3178754</v>
      </c>
      <c r="G15479">
        <v>3178779</v>
      </c>
      <c r="H15479">
        <v>3178814</v>
      </c>
      <c r="I15479">
        <v>3178835</v>
      </c>
    </row>
    <row r="15480" spans="1:9" x14ac:dyDescent="0.2">
      <c r="A15480" s="1" t="str">
        <f>"S1PR5"</f>
        <v>S1PR5</v>
      </c>
      <c r="B15480" t="s">
        <v>14</v>
      </c>
      <c r="C15480" t="s">
        <v>10</v>
      </c>
      <c r="D15480" t="s">
        <v>11</v>
      </c>
      <c r="E15480" t="s">
        <v>12</v>
      </c>
      <c r="F15480">
        <v>10628117</v>
      </c>
      <c r="G15480">
        <v>10628130</v>
      </c>
      <c r="H15480">
        <v>10628098</v>
      </c>
      <c r="I15480">
        <v>10628109</v>
      </c>
    </row>
    <row r="15481" spans="1:9" x14ac:dyDescent="0.2">
      <c r="A15481" s="1" t="str">
        <f>"SAA1"</f>
        <v>SAA1</v>
      </c>
      <c r="B15481" t="s">
        <v>14</v>
      </c>
      <c r="C15481" t="s">
        <v>27</v>
      </c>
      <c r="D15481" t="s">
        <v>17</v>
      </c>
      <c r="E15481" t="s">
        <v>12</v>
      </c>
      <c r="F15481">
        <v>18287764</v>
      </c>
      <c r="G15481">
        <v>18287791</v>
      </c>
      <c r="H15481">
        <v>18287801</v>
      </c>
      <c r="I15481">
        <v>18287818</v>
      </c>
    </row>
    <row r="15482" spans="1:9" x14ac:dyDescent="0.2">
      <c r="A15482" s="1" t="str">
        <f>"SAA2"</f>
        <v>SAA2</v>
      </c>
      <c r="B15482" t="s">
        <v>14</v>
      </c>
      <c r="C15482" t="s">
        <v>27</v>
      </c>
      <c r="D15482" t="s">
        <v>11</v>
      </c>
      <c r="E15482" t="s">
        <v>12</v>
      </c>
      <c r="F15482">
        <v>18270208</v>
      </c>
      <c r="G15482">
        <v>18270221</v>
      </c>
      <c r="H15482">
        <v>18270183</v>
      </c>
      <c r="I15482">
        <v>18270189</v>
      </c>
    </row>
    <row r="15483" spans="1:9" x14ac:dyDescent="0.2">
      <c r="A15483" s="1" t="str">
        <f>"SAA2-SAA4"</f>
        <v>SAA2-SAA4</v>
      </c>
      <c r="B15483" t="s">
        <v>14</v>
      </c>
      <c r="C15483" t="s">
        <v>27</v>
      </c>
      <c r="D15483" t="s">
        <v>11</v>
      </c>
      <c r="E15483" t="s">
        <v>12</v>
      </c>
      <c r="F15483">
        <v>18270208</v>
      </c>
      <c r="G15483">
        <v>18270221</v>
      </c>
      <c r="H15483">
        <v>18270308</v>
      </c>
      <c r="I15483">
        <v>18270324</v>
      </c>
    </row>
    <row r="15484" spans="1:9" x14ac:dyDescent="0.2">
      <c r="A15484" s="1" t="str">
        <f>"SAA4"</f>
        <v>SAA4</v>
      </c>
      <c r="B15484" t="s">
        <v>14</v>
      </c>
      <c r="C15484" t="s">
        <v>27</v>
      </c>
      <c r="D15484" t="s">
        <v>11</v>
      </c>
      <c r="E15484" t="s">
        <v>12</v>
      </c>
      <c r="F15484">
        <v>18258342</v>
      </c>
      <c r="G15484">
        <v>18258360</v>
      </c>
      <c r="H15484">
        <v>18258342</v>
      </c>
      <c r="I15484">
        <v>18258360</v>
      </c>
    </row>
    <row r="15485" spans="1:9" x14ac:dyDescent="0.2">
      <c r="A15485" s="1" t="str">
        <f>"SAAL1"</f>
        <v>SAAL1</v>
      </c>
      <c r="B15485" t="s">
        <v>9</v>
      </c>
      <c r="C15485" t="s">
        <v>27</v>
      </c>
      <c r="D15485" t="s">
        <v>11</v>
      </c>
      <c r="E15485" t="s">
        <v>12</v>
      </c>
      <c r="F15485">
        <v>18127594</v>
      </c>
      <c r="G15485">
        <v>18127636</v>
      </c>
      <c r="H15485">
        <v>18127594</v>
      </c>
      <c r="I15485">
        <v>18127636</v>
      </c>
    </row>
    <row r="15486" spans="1:9" x14ac:dyDescent="0.2">
      <c r="A15486" s="1" t="str">
        <f>"SAAL1"</f>
        <v>SAAL1</v>
      </c>
      <c r="B15486" t="s">
        <v>13</v>
      </c>
      <c r="C15486" t="s">
        <v>27</v>
      </c>
      <c r="D15486" t="s">
        <v>11</v>
      </c>
      <c r="E15486" t="s">
        <v>12</v>
      </c>
      <c r="F15486">
        <v>18111869</v>
      </c>
      <c r="G15486">
        <v>18111873</v>
      </c>
      <c r="H15486">
        <v>18111869</v>
      </c>
      <c r="I15486">
        <v>18111873</v>
      </c>
    </row>
    <row r="15487" spans="1:9" x14ac:dyDescent="0.2">
      <c r="A15487" s="1" t="str">
        <f>"SAC3D1"</f>
        <v>SAC3D1</v>
      </c>
      <c r="B15487" t="s">
        <v>14</v>
      </c>
      <c r="C15487" t="s">
        <v>27</v>
      </c>
      <c r="D15487" t="s">
        <v>17</v>
      </c>
      <c r="E15487" t="s">
        <v>12</v>
      </c>
      <c r="F15487">
        <v>64808675</v>
      </c>
      <c r="G15487">
        <v>64808725</v>
      </c>
      <c r="H15487">
        <v>64808368</v>
      </c>
      <c r="I15487">
        <v>64808419</v>
      </c>
    </row>
    <row r="15488" spans="1:9" x14ac:dyDescent="0.2">
      <c r="A15488" s="1" t="str">
        <f>"SACM1L"</f>
        <v>SACM1L</v>
      </c>
      <c r="B15488" t="s">
        <v>14</v>
      </c>
      <c r="C15488" t="s">
        <v>22</v>
      </c>
      <c r="D15488" t="s">
        <v>17</v>
      </c>
      <c r="E15488" t="s">
        <v>12</v>
      </c>
      <c r="F15488">
        <v>45730829</v>
      </c>
      <c r="G15488">
        <v>45730899</v>
      </c>
      <c r="H15488">
        <v>45730912</v>
      </c>
      <c r="I15488">
        <v>45730956</v>
      </c>
    </row>
    <row r="15489" spans="1:9" x14ac:dyDescent="0.2">
      <c r="A15489" s="1" t="str">
        <f>"SACS"</f>
        <v>SACS</v>
      </c>
      <c r="B15489" t="s">
        <v>1512</v>
      </c>
      <c r="C15489" t="s">
        <v>39</v>
      </c>
      <c r="D15489" t="s">
        <v>11</v>
      </c>
      <c r="E15489" t="s">
        <v>75</v>
      </c>
      <c r="F15489">
        <v>23985789</v>
      </c>
      <c r="G15489">
        <v>23985790</v>
      </c>
      <c r="H15489">
        <v>23985789</v>
      </c>
      <c r="I15489">
        <v>23985790</v>
      </c>
    </row>
    <row r="15490" spans="1:9" x14ac:dyDescent="0.2">
      <c r="A15490" s="1" t="str">
        <f>"SACS"</f>
        <v>SACS</v>
      </c>
      <c r="B15490" t="s">
        <v>1513</v>
      </c>
      <c r="C15490" t="s">
        <v>39</v>
      </c>
      <c r="D15490" t="s">
        <v>11</v>
      </c>
      <c r="E15490" t="s">
        <v>35</v>
      </c>
      <c r="F15490">
        <v>24007877</v>
      </c>
      <c r="G15490">
        <v>24007882</v>
      </c>
      <c r="H15490">
        <v>24007815</v>
      </c>
      <c r="I15490">
        <v>24007872</v>
      </c>
    </row>
    <row r="15491" spans="1:9" x14ac:dyDescent="0.2">
      <c r="A15491" s="1" t="str">
        <f>"SAE1"</f>
        <v>SAE1</v>
      </c>
      <c r="B15491" t="s">
        <v>14</v>
      </c>
      <c r="C15491" t="s">
        <v>10</v>
      </c>
      <c r="D15491" t="s">
        <v>17</v>
      </c>
      <c r="E15491" t="s">
        <v>12</v>
      </c>
      <c r="F15491">
        <v>47634076</v>
      </c>
      <c r="G15491">
        <v>47634157</v>
      </c>
      <c r="H15491">
        <v>47634166</v>
      </c>
      <c r="I15491">
        <v>47634189</v>
      </c>
    </row>
    <row r="15492" spans="1:9" x14ac:dyDescent="0.2">
      <c r="A15492" s="1" t="str">
        <f>"SAFB"</f>
        <v>SAFB</v>
      </c>
      <c r="B15492" t="s">
        <v>14</v>
      </c>
      <c r="C15492" t="s">
        <v>10</v>
      </c>
      <c r="D15492" t="s">
        <v>17</v>
      </c>
      <c r="E15492" t="s">
        <v>12</v>
      </c>
      <c r="F15492">
        <v>5623083</v>
      </c>
      <c r="G15492">
        <v>5623158</v>
      </c>
      <c r="H15492">
        <v>5623186</v>
      </c>
      <c r="I15492">
        <v>5623198</v>
      </c>
    </row>
    <row r="15493" spans="1:9" x14ac:dyDescent="0.2">
      <c r="A15493" s="1" t="str">
        <f>"SAFB2"</f>
        <v>SAFB2</v>
      </c>
      <c r="B15493" t="s">
        <v>14</v>
      </c>
      <c r="C15493" t="s">
        <v>10</v>
      </c>
      <c r="D15493" t="s">
        <v>11</v>
      </c>
      <c r="E15493" t="s">
        <v>12</v>
      </c>
      <c r="F15493">
        <v>5622779</v>
      </c>
      <c r="G15493">
        <v>5622813</v>
      </c>
      <c r="H15493">
        <v>5622990</v>
      </c>
      <c r="I15493">
        <v>5623021</v>
      </c>
    </row>
    <row r="15494" spans="1:9" x14ac:dyDescent="0.2">
      <c r="A15494" s="1" t="str">
        <f>"SAG"</f>
        <v>SAG</v>
      </c>
      <c r="B15494" t="s">
        <v>14</v>
      </c>
      <c r="C15494" t="s">
        <v>26</v>
      </c>
      <c r="D15494" t="s">
        <v>17</v>
      </c>
      <c r="E15494" t="s">
        <v>12</v>
      </c>
      <c r="F15494">
        <v>234216516</v>
      </c>
      <c r="G15494">
        <v>234216542</v>
      </c>
      <c r="H15494">
        <v>234216454</v>
      </c>
      <c r="I15494">
        <v>234216469</v>
      </c>
    </row>
    <row r="15495" spans="1:9" x14ac:dyDescent="0.2">
      <c r="A15495" s="1" t="str">
        <f>"SAGE1"</f>
        <v>SAGE1</v>
      </c>
      <c r="B15495" t="s">
        <v>14</v>
      </c>
      <c r="C15495" t="s">
        <v>37</v>
      </c>
      <c r="D15495" t="s">
        <v>17</v>
      </c>
      <c r="E15495" t="s">
        <v>12</v>
      </c>
      <c r="F15495">
        <v>134975858</v>
      </c>
      <c r="G15495">
        <v>134975877</v>
      </c>
      <c r="H15495">
        <v>134975753</v>
      </c>
      <c r="I15495">
        <v>134975758</v>
      </c>
    </row>
    <row r="15496" spans="1:9" x14ac:dyDescent="0.2">
      <c r="A15496" s="1" t="str">
        <f>"SALL1"</f>
        <v>SALL1</v>
      </c>
      <c r="B15496" t="s">
        <v>14</v>
      </c>
      <c r="C15496" t="s">
        <v>31</v>
      </c>
      <c r="D15496" t="s">
        <v>11</v>
      </c>
      <c r="E15496" t="s">
        <v>12</v>
      </c>
      <c r="F15496">
        <v>51185172</v>
      </c>
      <c r="G15496">
        <v>51185197</v>
      </c>
      <c r="H15496">
        <v>51185172</v>
      </c>
      <c r="I15496">
        <v>51185197</v>
      </c>
    </row>
    <row r="15497" spans="1:9" x14ac:dyDescent="0.2">
      <c r="A15497" s="1" t="str">
        <f>"SALL2"</f>
        <v>SALL2</v>
      </c>
      <c r="B15497" t="s">
        <v>14</v>
      </c>
      <c r="C15497" t="s">
        <v>41</v>
      </c>
      <c r="D15497" t="s">
        <v>11</v>
      </c>
      <c r="E15497" t="s">
        <v>12</v>
      </c>
      <c r="F15497">
        <v>21994337</v>
      </c>
      <c r="G15497">
        <v>21994442</v>
      </c>
      <c r="H15497">
        <v>21994449</v>
      </c>
      <c r="I15497">
        <v>21994524</v>
      </c>
    </row>
    <row r="15498" spans="1:9" x14ac:dyDescent="0.2">
      <c r="A15498" s="1" t="str">
        <f>"SALL3"</f>
        <v>SALL3</v>
      </c>
      <c r="B15498" t="s">
        <v>14</v>
      </c>
      <c r="C15498" t="s">
        <v>43</v>
      </c>
      <c r="D15498" t="s">
        <v>17</v>
      </c>
      <c r="E15498" t="s">
        <v>12</v>
      </c>
      <c r="F15498">
        <v>76739816</v>
      </c>
      <c r="G15498">
        <v>76739822</v>
      </c>
      <c r="H15498">
        <v>76740152</v>
      </c>
      <c r="I15498">
        <v>76740186</v>
      </c>
    </row>
    <row r="15499" spans="1:9" x14ac:dyDescent="0.2">
      <c r="A15499" s="1" t="str">
        <f>"SALL4"</f>
        <v>SALL4</v>
      </c>
      <c r="B15499" t="s">
        <v>14</v>
      </c>
      <c r="C15499" t="s">
        <v>29</v>
      </c>
      <c r="D15499" t="s">
        <v>11</v>
      </c>
      <c r="E15499" t="s">
        <v>12</v>
      </c>
      <c r="F15499">
        <v>50418972</v>
      </c>
      <c r="G15499">
        <v>50419029</v>
      </c>
      <c r="H15499">
        <v>50418128</v>
      </c>
      <c r="I15499">
        <v>50418147</v>
      </c>
    </row>
    <row r="15500" spans="1:9" x14ac:dyDescent="0.2">
      <c r="A15500" s="1" t="str">
        <f>"SAMD1"</f>
        <v>SAMD1</v>
      </c>
      <c r="B15500" t="s">
        <v>14</v>
      </c>
      <c r="C15500" t="s">
        <v>10</v>
      </c>
      <c r="D15500" t="s">
        <v>11</v>
      </c>
      <c r="E15500" t="s">
        <v>12</v>
      </c>
      <c r="F15500">
        <v>14201507</v>
      </c>
      <c r="G15500">
        <v>14201588</v>
      </c>
      <c r="H15500">
        <v>14201386</v>
      </c>
      <c r="I15500">
        <v>14201399</v>
      </c>
    </row>
    <row r="15501" spans="1:9" x14ac:dyDescent="0.2">
      <c r="A15501" s="1" t="str">
        <f>"SAMD10"</f>
        <v>SAMD10</v>
      </c>
      <c r="B15501" t="s">
        <v>14</v>
      </c>
      <c r="C15501" t="s">
        <v>29</v>
      </c>
      <c r="D15501" t="s">
        <v>11</v>
      </c>
      <c r="E15501" t="s">
        <v>12</v>
      </c>
      <c r="F15501">
        <v>62610856</v>
      </c>
      <c r="G15501">
        <v>62610914</v>
      </c>
      <c r="H15501">
        <v>62610982</v>
      </c>
      <c r="I15501">
        <v>62611008</v>
      </c>
    </row>
    <row r="15502" spans="1:9" x14ac:dyDescent="0.2">
      <c r="A15502" s="1" t="str">
        <f>"SAMD11"</f>
        <v>SAMD11</v>
      </c>
      <c r="B15502" t="s">
        <v>9</v>
      </c>
      <c r="C15502" t="s">
        <v>19</v>
      </c>
      <c r="D15502" t="s">
        <v>17</v>
      </c>
      <c r="E15502" t="s">
        <v>12</v>
      </c>
      <c r="F15502">
        <v>877488</v>
      </c>
      <c r="G15502">
        <v>877503</v>
      </c>
      <c r="H15502">
        <v>877488</v>
      </c>
      <c r="I15502">
        <v>877503</v>
      </c>
    </row>
    <row r="15503" spans="1:9" x14ac:dyDescent="0.2">
      <c r="A15503" s="1" t="str">
        <f>"SAMD11"</f>
        <v>SAMD11</v>
      </c>
      <c r="B15503" t="s">
        <v>13</v>
      </c>
      <c r="C15503" t="s">
        <v>19</v>
      </c>
      <c r="D15503" t="s">
        <v>17</v>
      </c>
      <c r="E15503" t="s">
        <v>12</v>
      </c>
      <c r="F15503">
        <v>861095</v>
      </c>
      <c r="G15503">
        <v>861136</v>
      </c>
      <c r="H15503">
        <v>861095</v>
      </c>
      <c r="I15503">
        <v>861136</v>
      </c>
    </row>
    <row r="15504" spans="1:9" x14ac:dyDescent="0.2">
      <c r="A15504" s="1" t="str">
        <f>"SAMD12"</f>
        <v>SAMD12</v>
      </c>
      <c r="B15504" t="s">
        <v>14</v>
      </c>
      <c r="C15504" t="s">
        <v>30</v>
      </c>
      <c r="D15504" t="s">
        <v>11</v>
      </c>
      <c r="E15504" t="s">
        <v>12</v>
      </c>
      <c r="F15504">
        <v>119634141</v>
      </c>
      <c r="G15504">
        <v>119634223</v>
      </c>
      <c r="H15504">
        <v>119634141</v>
      </c>
      <c r="I15504">
        <v>119634223</v>
      </c>
    </row>
    <row r="15505" spans="1:9" x14ac:dyDescent="0.2">
      <c r="A15505" s="1" t="str">
        <f>"SAMD13"</f>
        <v>SAMD13</v>
      </c>
      <c r="B15505" t="s">
        <v>9</v>
      </c>
      <c r="C15505" t="s">
        <v>19</v>
      </c>
      <c r="D15505" t="s">
        <v>17</v>
      </c>
      <c r="E15505" t="s">
        <v>12</v>
      </c>
      <c r="F15505">
        <v>84764150</v>
      </c>
      <c r="G15505">
        <v>84764194</v>
      </c>
      <c r="H15505">
        <v>84764150</v>
      </c>
      <c r="I15505">
        <v>84764194</v>
      </c>
    </row>
    <row r="15506" spans="1:9" x14ac:dyDescent="0.2">
      <c r="A15506" s="1" t="str">
        <f>"SAMD13"</f>
        <v>SAMD13</v>
      </c>
      <c r="B15506" t="s">
        <v>13</v>
      </c>
      <c r="C15506" t="s">
        <v>19</v>
      </c>
      <c r="D15506" t="s">
        <v>17</v>
      </c>
      <c r="E15506" t="s">
        <v>12</v>
      </c>
      <c r="F15506">
        <v>84767377</v>
      </c>
      <c r="G15506">
        <v>84767397</v>
      </c>
      <c r="H15506">
        <v>84767377</v>
      </c>
      <c r="I15506">
        <v>84767397</v>
      </c>
    </row>
    <row r="15507" spans="1:9" x14ac:dyDescent="0.2">
      <c r="A15507" s="1" t="str">
        <f>"SAMD14"</f>
        <v>SAMD14</v>
      </c>
      <c r="B15507" t="s">
        <v>14</v>
      </c>
      <c r="C15507" t="s">
        <v>28</v>
      </c>
      <c r="D15507" t="s">
        <v>11</v>
      </c>
      <c r="E15507" t="s">
        <v>12</v>
      </c>
      <c r="F15507">
        <v>48207486</v>
      </c>
      <c r="G15507">
        <v>48207541</v>
      </c>
      <c r="H15507">
        <v>48207157</v>
      </c>
      <c r="I15507">
        <v>48207212</v>
      </c>
    </row>
    <row r="15508" spans="1:9" x14ac:dyDescent="0.2">
      <c r="A15508" s="1" t="str">
        <f>"SAMD15"</f>
        <v>SAMD15</v>
      </c>
      <c r="B15508" t="s">
        <v>14</v>
      </c>
      <c r="C15508" t="s">
        <v>41</v>
      </c>
      <c r="D15508" t="s">
        <v>17</v>
      </c>
      <c r="E15508" t="s">
        <v>12</v>
      </c>
      <c r="F15508">
        <v>77843721</v>
      </c>
      <c r="G15508">
        <v>77843762</v>
      </c>
      <c r="H15508">
        <v>77843459</v>
      </c>
      <c r="I15508">
        <v>77843481</v>
      </c>
    </row>
    <row r="15509" spans="1:9" x14ac:dyDescent="0.2">
      <c r="A15509" s="1" t="str">
        <f>"SAMD3"</f>
        <v>SAMD3</v>
      </c>
      <c r="B15509" t="s">
        <v>9</v>
      </c>
      <c r="C15509" t="s">
        <v>32</v>
      </c>
      <c r="D15509" t="s">
        <v>11</v>
      </c>
      <c r="E15509" t="s">
        <v>12</v>
      </c>
      <c r="F15509">
        <v>130544089</v>
      </c>
      <c r="G15509">
        <v>130544105</v>
      </c>
      <c r="H15509">
        <v>130544089</v>
      </c>
      <c r="I15509">
        <v>130544105</v>
      </c>
    </row>
    <row r="15510" spans="1:9" x14ac:dyDescent="0.2">
      <c r="A15510" s="1" t="str">
        <f>"SAMD3"</f>
        <v>SAMD3</v>
      </c>
      <c r="B15510" t="s">
        <v>13</v>
      </c>
      <c r="C15510" t="s">
        <v>32</v>
      </c>
      <c r="D15510" t="s">
        <v>11</v>
      </c>
      <c r="E15510" t="s">
        <v>12</v>
      </c>
      <c r="F15510">
        <v>130536707</v>
      </c>
      <c r="G15510">
        <v>130536763</v>
      </c>
      <c r="H15510">
        <v>130536707</v>
      </c>
      <c r="I15510">
        <v>130536763</v>
      </c>
    </row>
    <row r="15511" spans="1:9" x14ac:dyDescent="0.2">
      <c r="A15511" s="1" t="str">
        <f>"SAMD4A"</f>
        <v>SAMD4A</v>
      </c>
      <c r="B15511" t="s">
        <v>14</v>
      </c>
      <c r="C15511" t="s">
        <v>41</v>
      </c>
      <c r="D15511" t="s">
        <v>17</v>
      </c>
      <c r="E15511" t="s">
        <v>12</v>
      </c>
      <c r="F15511">
        <v>55033818</v>
      </c>
      <c r="G15511">
        <v>55033909</v>
      </c>
      <c r="H15511">
        <v>55033818</v>
      </c>
      <c r="I15511">
        <v>55033909</v>
      </c>
    </row>
    <row r="15512" spans="1:9" x14ac:dyDescent="0.2">
      <c r="A15512" s="1" t="str">
        <f>"SAMD4B"</f>
        <v>SAMD4B</v>
      </c>
      <c r="B15512" t="s">
        <v>14</v>
      </c>
      <c r="C15512" t="s">
        <v>10</v>
      </c>
      <c r="D15512" t="s">
        <v>17</v>
      </c>
      <c r="E15512" t="s">
        <v>12</v>
      </c>
      <c r="F15512">
        <v>39833043</v>
      </c>
      <c r="G15512">
        <v>39833107</v>
      </c>
      <c r="H15512">
        <v>39833125</v>
      </c>
      <c r="I15512">
        <v>39833142</v>
      </c>
    </row>
    <row r="15513" spans="1:9" x14ac:dyDescent="0.2">
      <c r="A15513" s="1" t="str">
        <f>"SAMD5"</f>
        <v>SAMD5</v>
      </c>
      <c r="B15513" t="s">
        <v>14</v>
      </c>
      <c r="C15513" t="s">
        <v>32</v>
      </c>
      <c r="D15513" t="s">
        <v>17</v>
      </c>
      <c r="E15513" t="s">
        <v>12</v>
      </c>
      <c r="F15513">
        <v>147829782</v>
      </c>
      <c r="G15513">
        <v>147829849</v>
      </c>
      <c r="H15513">
        <v>147829850</v>
      </c>
      <c r="I15513">
        <v>147829866</v>
      </c>
    </row>
    <row r="15514" spans="1:9" x14ac:dyDescent="0.2">
      <c r="A15514" s="1" t="str">
        <f>"SAMD7"</f>
        <v>SAMD7</v>
      </c>
      <c r="B15514" t="s">
        <v>14</v>
      </c>
      <c r="C15514" t="s">
        <v>22</v>
      </c>
      <c r="D15514" t="s">
        <v>17</v>
      </c>
      <c r="E15514" t="s">
        <v>12</v>
      </c>
      <c r="F15514">
        <v>169629354</v>
      </c>
      <c r="G15514">
        <v>169629372</v>
      </c>
      <c r="H15514">
        <v>169629479</v>
      </c>
      <c r="I15514">
        <v>169629492</v>
      </c>
    </row>
    <row r="15515" spans="1:9" x14ac:dyDescent="0.2">
      <c r="A15515" s="1" t="str">
        <f>"SAMD8"</f>
        <v>SAMD8</v>
      </c>
      <c r="B15515" t="s">
        <v>14</v>
      </c>
      <c r="C15515" t="s">
        <v>15</v>
      </c>
      <c r="D15515" t="s">
        <v>17</v>
      </c>
      <c r="E15515" t="s">
        <v>12</v>
      </c>
      <c r="F15515">
        <v>76871399</v>
      </c>
      <c r="G15515">
        <v>76871426</v>
      </c>
      <c r="H15515">
        <v>76871353</v>
      </c>
      <c r="I15515">
        <v>76871394</v>
      </c>
    </row>
    <row r="15516" spans="1:9" x14ac:dyDescent="0.2">
      <c r="A15516" s="1" t="str">
        <f>"SAMD9"</f>
        <v>SAMD9</v>
      </c>
      <c r="B15516" t="s">
        <v>14</v>
      </c>
      <c r="C15516" t="s">
        <v>33</v>
      </c>
      <c r="D15516" t="s">
        <v>11</v>
      </c>
      <c r="E15516" t="s">
        <v>12</v>
      </c>
      <c r="F15516">
        <v>92747269</v>
      </c>
      <c r="G15516">
        <v>92747332</v>
      </c>
      <c r="H15516">
        <v>92747344</v>
      </c>
      <c r="I15516">
        <v>92747355</v>
      </c>
    </row>
    <row r="15517" spans="1:9" x14ac:dyDescent="0.2">
      <c r="A15517" s="1" t="str">
        <f>"SAMD9L"</f>
        <v>SAMD9L</v>
      </c>
      <c r="B15517" t="s">
        <v>14</v>
      </c>
      <c r="C15517" t="s">
        <v>33</v>
      </c>
      <c r="D15517" t="s">
        <v>11</v>
      </c>
      <c r="E15517" t="s">
        <v>12</v>
      </c>
      <c r="F15517">
        <v>92777606</v>
      </c>
      <c r="G15517">
        <v>92777723</v>
      </c>
      <c r="H15517">
        <v>92777606</v>
      </c>
      <c r="I15517">
        <v>92777723</v>
      </c>
    </row>
    <row r="15518" spans="1:9" x14ac:dyDescent="0.2">
      <c r="A15518" s="1" t="str">
        <f>"SAMHD1"</f>
        <v>SAMHD1</v>
      </c>
      <c r="B15518" t="s">
        <v>14</v>
      </c>
      <c r="C15518" t="s">
        <v>29</v>
      </c>
      <c r="D15518" t="s">
        <v>11</v>
      </c>
      <c r="E15518" t="s">
        <v>12</v>
      </c>
      <c r="F15518">
        <v>35580068</v>
      </c>
      <c r="G15518">
        <v>35580094</v>
      </c>
      <c r="H15518">
        <v>35580104</v>
      </c>
      <c r="I15518">
        <v>35580133</v>
      </c>
    </row>
    <row r="15519" spans="1:9" x14ac:dyDescent="0.2">
      <c r="A15519" s="1" t="str">
        <f>"SAMM50"</f>
        <v>SAMM50</v>
      </c>
      <c r="B15519" t="s">
        <v>14</v>
      </c>
      <c r="C15519" t="s">
        <v>21</v>
      </c>
      <c r="D15519" t="s">
        <v>17</v>
      </c>
      <c r="E15519" t="s">
        <v>12</v>
      </c>
      <c r="F15519">
        <v>44351338</v>
      </c>
      <c r="G15519">
        <v>44351418</v>
      </c>
      <c r="H15519">
        <v>44351304</v>
      </c>
      <c r="I15519">
        <v>44351330</v>
      </c>
    </row>
    <row r="15520" spans="1:9" x14ac:dyDescent="0.2">
      <c r="A15520" s="1" t="str">
        <f>"SAMSN1"</f>
        <v>SAMSN1</v>
      </c>
      <c r="B15520" t="s">
        <v>14</v>
      </c>
      <c r="C15520" t="s">
        <v>42</v>
      </c>
      <c r="D15520" t="s">
        <v>11</v>
      </c>
      <c r="E15520" t="s">
        <v>12</v>
      </c>
      <c r="F15520">
        <v>15918618</v>
      </c>
      <c r="G15520">
        <v>15918671</v>
      </c>
      <c r="H15520">
        <v>15918618</v>
      </c>
      <c r="I15520">
        <v>15918671</v>
      </c>
    </row>
    <row r="15521" spans="1:9" x14ac:dyDescent="0.2">
      <c r="A15521" s="1" t="str">
        <f>"SAP130"</f>
        <v>SAP130</v>
      </c>
      <c r="B15521" t="s">
        <v>14</v>
      </c>
      <c r="C15521" t="s">
        <v>26</v>
      </c>
      <c r="D15521" t="s">
        <v>11</v>
      </c>
      <c r="E15521" t="s">
        <v>12</v>
      </c>
      <c r="F15521">
        <v>128785619</v>
      </c>
      <c r="G15521">
        <v>128785640</v>
      </c>
      <c r="H15521">
        <v>128785658</v>
      </c>
      <c r="I15521">
        <v>128785680</v>
      </c>
    </row>
    <row r="15522" spans="1:9" x14ac:dyDescent="0.2">
      <c r="A15522" s="1" t="str">
        <f>"SAP18"</f>
        <v>SAP18</v>
      </c>
      <c r="B15522" t="s">
        <v>14</v>
      </c>
      <c r="C15522" t="s">
        <v>39</v>
      </c>
      <c r="D15522" t="s">
        <v>17</v>
      </c>
      <c r="E15522" t="s">
        <v>12</v>
      </c>
      <c r="F15522">
        <v>21714674</v>
      </c>
      <c r="G15522">
        <v>21714691</v>
      </c>
      <c r="H15522">
        <v>21714711</v>
      </c>
      <c r="I15522">
        <v>21714738</v>
      </c>
    </row>
    <row r="15523" spans="1:9" x14ac:dyDescent="0.2">
      <c r="A15523" s="1" t="str">
        <f>"SAP25"</f>
        <v>SAP25</v>
      </c>
      <c r="B15523" t="s">
        <v>14</v>
      </c>
      <c r="C15523" t="s">
        <v>33</v>
      </c>
      <c r="D15523" t="s">
        <v>11</v>
      </c>
      <c r="E15523" t="s">
        <v>12</v>
      </c>
      <c r="F15523">
        <v>100171282</v>
      </c>
      <c r="G15523">
        <v>100171312</v>
      </c>
      <c r="H15523">
        <v>100171282</v>
      </c>
      <c r="I15523">
        <v>100171312</v>
      </c>
    </row>
    <row r="15524" spans="1:9" x14ac:dyDescent="0.2">
      <c r="A15524" s="1" t="str">
        <f>"SAP30"</f>
        <v>SAP30</v>
      </c>
      <c r="B15524" t="s">
        <v>14</v>
      </c>
      <c r="C15524" t="s">
        <v>23</v>
      </c>
      <c r="D15524" t="s">
        <v>17</v>
      </c>
      <c r="E15524" t="s">
        <v>12</v>
      </c>
      <c r="F15524">
        <v>174292058</v>
      </c>
      <c r="G15524">
        <v>174292130</v>
      </c>
      <c r="H15524">
        <v>174292157</v>
      </c>
      <c r="I15524">
        <v>174292168</v>
      </c>
    </row>
    <row r="15525" spans="1:9" x14ac:dyDescent="0.2">
      <c r="A15525" s="1" t="str">
        <f>"SAP30BP"</f>
        <v>SAP30BP</v>
      </c>
      <c r="B15525" t="s">
        <v>14</v>
      </c>
      <c r="C15525" t="s">
        <v>28</v>
      </c>
      <c r="D15525" t="s">
        <v>17</v>
      </c>
      <c r="E15525" t="s">
        <v>12</v>
      </c>
      <c r="F15525">
        <v>73663402</v>
      </c>
      <c r="G15525">
        <v>73663456</v>
      </c>
      <c r="H15525">
        <v>73663470</v>
      </c>
      <c r="I15525">
        <v>73663484</v>
      </c>
    </row>
    <row r="15526" spans="1:9" x14ac:dyDescent="0.2">
      <c r="A15526" s="1" t="str">
        <f>"SAP30L"</f>
        <v>SAP30L</v>
      </c>
      <c r="B15526" t="s">
        <v>14</v>
      </c>
      <c r="C15526" t="s">
        <v>46</v>
      </c>
      <c r="D15526" t="s">
        <v>17</v>
      </c>
      <c r="E15526" t="s">
        <v>12</v>
      </c>
      <c r="F15526">
        <v>153825540</v>
      </c>
      <c r="G15526">
        <v>153825591</v>
      </c>
      <c r="H15526">
        <v>153825510</v>
      </c>
      <c r="I15526">
        <v>153825529</v>
      </c>
    </row>
    <row r="15527" spans="1:9" x14ac:dyDescent="0.2">
      <c r="A15527" s="1" t="str">
        <f>"SAPCD1"</f>
        <v>SAPCD1</v>
      </c>
      <c r="B15527" t="s">
        <v>14</v>
      </c>
      <c r="C15527" t="s">
        <v>32</v>
      </c>
      <c r="D15527" t="s">
        <v>17</v>
      </c>
      <c r="E15527" t="s">
        <v>12</v>
      </c>
      <c r="F15527">
        <v>31730820</v>
      </c>
      <c r="G15527">
        <v>31730831</v>
      </c>
      <c r="H15527">
        <v>31730875</v>
      </c>
      <c r="I15527">
        <v>31730880</v>
      </c>
    </row>
    <row r="15528" spans="1:9" x14ac:dyDescent="0.2">
      <c r="A15528" s="1" t="str">
        <f>"SAPCD2"</f>
        <v>SAPCD2</v>
      </c>
      <c r="B15528" t="s">
        <v>14</v>
      </c>
      <c r="C15528" t="s">
        <v>24</v>
      </c>
      <c r="D15528" t="s">
        <v>11</v>
      </c>
      <c r="E15528" t="s">
        <v>12</v>
      </c>
      <c r="F15528">
        <v>139965000</v>
      </c>
      <c r="G15528">
        <v>139965028</v>
      </c>
      <c r="H15528">
        <v>139964983</v>
      </c>
      <c r="I15528">
        <v>139964996</v>
      </c>
    </row>
    <row r="15529" spans="1:9" x14ac:dyDescent="0.2">
      <c r="A15529" s="1" t="str">
        <f>"SAR1A"</f>
        <v>SAR1A</v>
      </c>
      <c r="B15529" t="s">
        <v>14</v>
      </c>
      <c r="C15529" t="s">
        <v>15</v>
      </c>
      <c r="D15529" t="s">
        <v>11</v>
      </c>
      <c r="E15529" t="s">
        <v>12</v>
      </c>
      <c r="F15529">
        <v>71930222</v>
      </c>
      <c r="G15529">
        <v>71930280</v>
      </c>
      <c r="H15529">
        <v>71930222</v>
      </c>
      <c r="I15529">
        <v>71930280</v>
      </c>
    </row>
    <row r="15530" spans="1:9" x14ac:dyDescent="0.2">
      <c r="A15530" s="1" t="str">
        <f>"SAR1B"</f>
        <v>SAR1B</v>
      </c>
      <c r="B15530" t="s">
        <v>14</v>
      </c>
      <c r="C15530" t="s">
        <v>46</v>
      </c>
      <c r="D15530" t="s">
        <v>11</v>
      </c>
      <c r="E15530" t="s">
        <v>12</v>
      </c>
      <c r="F15530">
        <v>133968464</v>
      </c>
      <c r="G15530">
        <v>133968526</v>
      </c>
      <c r="H15530">
        <v>133968529</v>
      </c>
      <c r="I15530">
        <v>133968536</v>
      </c>
    </row>
    <row r="15531" spans="1:9" x14ac:dyDescent="0.2">
      <c r="A15531" s="1" t="str">
        <f>"SARDH"</f>
        <v>SARDH</v>
      </c>
      <c r="B15531" t="s">
        <v>14</v>
      </c>
      <c r="C15531" t="s">
        <v>24</v>
      </c>
      <c r="D15531" t="s">
        <v>11</v>
      </c>
      <c r="E15531" t="s">
        <v>12</v>
      </c>
      <c r="F15531">
        <v>136603456</v>
      </c>
      <c r="G15531">
        <v>136603476</v>
      </c>
      <c r="H15531">
        <v>136603456</v>
      </c>
      <c r="I15531">
        <v>136603476</v>
      </c>
    </row>
    <row r="15532" spans="1:9" x14ac:dyDescent="0.2">
      <c r="A15532" s="1" t="str">
        <f>"SARM1"</f>
        <v>SARM1</v>
      </c>
      <c r="B15532" t="s">
        <v>9</v>
      </c>
      <c r="C15532" t="s">
        <v>28</v>
      </c>
      <c r="D15532" t="s">
        <v>17</v>
      </c>
      <c r="E15532" t="s">
        <v>12</v>
      </c>
      <c r="F15532">
        <v>26684661</v>
      </c>
      <c r="G15532">
        <v>26684696</v>
      </c>
      <c r="H15532">
        <v>26684661</v>
      </c>
      <c r="I15532">
        <v>26684696</v>
      </c>
    </row>
    <row r="15533" spans="1:9" x14ac:dyDescent="0.2">
      <c r="A15533" s="1" t="str">
        <f>"SARM1"</f>
        <v>SARM1</v>
      </c>
      <c r="B15533" t="s">
        <v>13</v>
      </c>
      <c r="C15533" t="s">
        <v>28</v>
      </c>
      <c r="D15533" t="s">
        <v>17</v>
      </c>
      <c r="E15533" t="s">
        <v>12</v>
      </c>
      <c r="F15533">
        <v>26698677</v>
      </c>
      <c r="G15533">
        <v>26698732</v>
      </c>
      <c r="H15533">
        <v>26698677</v>
      </c>
      <c r="I15533">
        <v>26698732</v>
      </c>
    </row>
    <row r="15534" spans="1:9" x14ac:dyDescent="0.2">
      <c r="A15534" s="1" t="str">
        <f>"SARNP"</f>
        <v>SARNP</v>
      </c>
      <c r="B15534" t="s">
        <v>14</v>
      </c>
      <c r="C15534" t="s">
        <v>16</v>
      </c>
      <c r="D15534" t="s">
        <v>11</v>
      </c>
      <c r="E15534" t="s">
        <v>12</v>
      </c>
      <c r="F15534">
        <v>56211485</v>
      </c>
      <c r="G15534">
        <v>56211515</v>
      </c>
      <c r="H15534">
        <v>56211485</v>
      </c>
      <c r="I15534">
        <v>56211515</v>
      </c>
    </row>
    <row r="15535" spans="1:9" x14ac:dyDescent="0.2">
      <c r="A15535" s="1" t="str">
        <f>"SARS"</f>
        <v>SARS</v>
      </c>
      <c r="B15535" t="s">
        <v>14</v>
      </c>
      <c r="C15535" t="s">
        <v>19</v>
      </c>
      <c r="D15535" t="s">
        <v>17</v>
      </c>
      <c r="E15535" t="s">
        <v>12</v>
      </c>
      <c r="F15535">
        <v>109756523</v>
      </c>
      <c r="G15535">
        <v>109756595</v>
      </c>
      <c r="H15535">
        <v>109756509</v>
      </c>
      <c r="I15535">
        <v>109756521</v>
      </c>
    </row>
    <row r="15536" spans="1:9" x14ac:dyDescent="0.2">
      <c r="A15536" s="1" t="str">
        <f>"SARS2"</f>
        <v>SARS2</v>
      </c>
      <c r="B15536" t="s">
        <v>14</v>
      </c>
      <c r="C15536" t="s">
        <v>10</v>
      </c>
      <c r="D15536" t="s">
        <v>11</v>
      </c>
      <c r="E15536" t="s">
        <v>12</v>
      </c>
      <c r="F15536">
        <v>39421377</v>
      </c>
      <c r="G15536">
        <v>39421409</v>
      </c>
      <c r="H15536">
        <v>39421377</v>
      </c>
      <c r="I15536">
        <v>39421409</v>
      </c>
    </row>
    <row r="15537" spans="1:9" x14ac:dyDescent="0.2">
      <c r="A15537" s="1" t="str">
        <f>"SART1"</f>
        <v>SART1</v>
      </c>
      <c r="B15537" t="s">
        <v>14</v>
      </c>
      <c r="C15537" t="s">
        <v>27</v>
      </c>
      <c r="D15537" t="s">
        <v>17</v>
      </c>
      <c r="E15537" t="s">
        <v>12</v>
      </c>
      <c r="F15537">
        <v>65729187</v>
      </c>
      <c r="G15537">
        <v>65729219</v>
      </c>
      <c r="H15537">
        <v>65729187</v>
      </c>
      <c r="I15537">
        <v>65729219</v>
      </c>
    </row>
    <row r="15538" spans="1:9" x14ac:dyDescent="0.2">
      <c r="A15538" s="1" t="str">
        <f>"SART3"</f>
        <v>SART3</v>
      </c>
      <c r="B15538" t="s">
        <v>14</v>
      </c>
      <c r="C15538" t="s">
        <v>16</v>
      </c>
      <c r="D15538" t="s">
        <v>11</v>
      </c>
      <c r="E15538" t="s">
        <v>12</v>
      </c>
      <c r="F15538">
        <v>108954933</v>
      </c>
      <c r="G15538">
        <v>108954957</v>
      </c>
      <c r="H15538">
        <v>108955159</v>
      </c>
      <c r="I15538">
        <v>108955189</v>
      </c>
    </row>
    <row r="15539" spans="1:9" x14ac:dyDescent="0.2">
      <c r="A15539" s="1" t="str">
        <f>"SASH1"</f>
        <v>SASH1</v>
      </c>
      <c r="B15539" t="s">
        <v>14</v>
      </c>
      <c r="C15539" t="s">
        <v>32</v>
      </c>
      <c r="D15539" t="s">
        <v>17</v>
      </c>
      <c r="E15539" t="s">
        <v>12</v>
      </c>
      <c r="F15539">
        <v>148663966</v>
      </c>
      <c r="G15539">
        <v>148664008</v>
      </c>
      <c r="H15539">
        <v>148663966</v>
      </c>
      <c r="I15539">
        <v>148664008</v>
      </c>
    </row>
    <row r="15540" spans="1:9" x14ac:dyDescent="0.2">
      <c r="A15540" s="1" t="str">
        <f>"SASH3"</f>
        <v>SASH3</v>
      </c>
      <c r="B15540" t="s">
        <v>14</v>
      </c>
      <c r="C15540" t="s">
        <v>37</v>
      </c>
      <c r="D15540" t="s">
        <v>17</v>
      </c>
      <c r="E15540" t="s">
        <v>12</v>
      </c>
      <c r="F15540">
        <v>128913906</v>
      </c>
      <c r="G15540">
        <v>128913957</v>
      </c>
      <c r="H15540">
        <v>128913876</v>
      </c>
      <c r="I15540">
        <v>128913904</v>
      </c>
    </row>
    <row r="15541" spans="1:9" x14ac:dyDescent="0.2">
      <c r="A15541" s="1" t="str">
        <f>"SASS6"</f>
        <v>SASS6</v>
      </c>
      <c r="B15541" t="s">
        <v>14</v>
      </c>
      <c r="C15541" t="s">
        <v>19</v>
      </c>
      <c r="D15541" t="s">
        <v>11</v>
      </c>
      <c r="E15541" t="s">
        <v>12</v>
      </c>
      <c r="F15541">
        <v>100598448</v>
      </c>
      <c r="G15541">
        <v>100598532</v>
      </c>
      <c r="H15541">
        <v>100598538</v>
      </c>
      <c r="I15541">
        <v>100598576</v>
      </c>
    </row>
    <row r="15542" spans="1:9" x14ac:dyDescent="0.2">
      <c r="A15542" s="1" t="str">
        <f>"SAT1"</f>
        <v>SAT1</v>
      </c>
      <c r="B15542" t="s">
        <v>14</v>
      </c>
      <c r="C15542" t="s">
        <v>37</v>
      </c>
      <c r="D15542" t="s">
        <v>17</v>
      </c>
      <c r="E15542" t="s">
        <v>12</v>
      </c>
      <c r="F15542">
        <v>23801280</v>
      </c>
      <c r="G15542">
        <v>23801297</v>
      </c>
      <c r="H15542">
        <v>23801280</v>
      </c>
      <c r="I15542">
        <v>23801297</v>
      </c>
    </row>
    <row r="15543" spans="1:9" x14ac:dyDescent="0.2">
      <c r="A15543" s="1" t="str">
        <f>"SAT2"</f>
        <v>SAT2</v>
      </c>
      <c r="B15543" t="s">
        <v>14</v>
      </c>
      <c r="C15543" t="s">
        <v>28</v>
      </c>
      <c r="D15543" t="s">
        <v>11</v>
      </c>
      <c r="E15543" t="s">
        <v>12</v>
      </c>
      <c r="F15543">
        <v>7531121</v>
      </c>
      <c r="G15543">
        <v>7531198</v>
      </c>
      <c r="H15543">
        <v>7531121</v>
      </c>
      <c r="I15543">
        <v>7531198</v>
      </c>
    </row>
    <row r="15544" spans="1:9" x14ac:dyDescent="0.2">
      <c r="A15544" s="1" t="str">
        <f>"SATB1"</f>
        <v>SATB1</v>
      </c>
      <c r="B15544" t="s">
        <v>9</v>
      </c>
      <c r="C15544" t="s">
        <v>22</v>
      </c>
      <c r="D15544" t="s">
        <v>11</v>
      </c>
      <c r="E15544" t="s">
        <v>12</v>
      </c>
      <c r="F15544">
        <v>18466787</v>
      </c>
      <c r="G15544">
        <v>18466839</v>
      </c>
      <c r="H15544">
        <v>18466787</v>
      </c>
      <c r="I15544">
        <v>18466839</v>
      </c>
    </row>
    <row r="15545" spans="1:9" x14ac:dyDescent="0.2">
      <c r="A15545" s="1" t="str">
        <f>"SATB1"</f>
        <v>SATB1</v>
      </c>
      <c r="B15545" t="s">
        <v>13</v>
      </c>
      <c r="C15545" t="s">
        <v>22</v>
      </c>
      <c r="D15545" t="s">
        <v>11</v>
      </c>
      <c r="E15545" t="s">
        <v>12</v>
      </c>
      <c r="F15545">
        <v>18486354</v>
      </c>
      <c r="G15545">
        <v>18486377</v>
      </c>
      <c r="H15545">
        <v>18486354</v>
      </c>
      <c r="I15545">
        <v>18486377</v>
      </c>
    </row>
    <row r="15546" spans="1:9" x14ac:dyDescent="0.2">
      <c r="A15546" s="1" t="str">
        <f>"SATB2"</f>
        <v>SATB2</v>
      </c>
      <c r="B15546" t="s">
        <v>14</v>
      </c>
      <c r="C15546" t="s">
        <v>26</v>
      </c>
      <c r="D15546" t="s">
        <v>11</v>
      </c>
      <c r="E15546" t="s">
        <v>12</v>
      </c>
      <c r="F15546">
        <v>200323414</v>
      </c>
      <c r="G15546">
        <v>200323455</v>
      </c>
      <c r="H15546">
        <v>200322654</v>
      </c>
      <c r="I15546">
        <v>200322707</v>
      </c>
    </row>
    <row r="15547" spans="1:9" x14ac:dyDescent="0.2">
      <c r="A15547" s="1" t="str">
        <f>"SATL1"</f>
        <v>SATL1</v>
      </c>
      <c r="B15547" t="s">
        <v>14</v>
      </c>
      <c r="C15547" t="s">
        <v>37</v>
      </c>
      <c r="D15547" t="s">
        <v>11</v>
      </c>
      <c r="E15547" t="s">
        <v>12</v>
      </c>
      <c r="F15547">
        <v>84364308</v>
      </c>
      <c r="G15547">
        <v>84364345</v>
      </c>
      <c r="H15547">
        <v>84364308</v>
      </c>
      <c r="I15547">
        <v>84364345</v>
      </c>
    </row>
    <row r="15548" spans="1:9" x14ac:dyDescent="0.2">
      <c r="A15548" s="1" t="str">
        <f>"SAV1"</f>
        <v>SAV1</v>
      </c>
      <c r="B15548" t="s">
        <v>14</v>
      </c>
      <c r="C15548" t="s">
        <v>41</v>
      </c>
      <c r="D15548" t="s">
        <v>11</v>
      </c>
      <c r="E15548" t="s">
        <v>12</v>
      </c>
      <c r="F15548">
        <v>51135005</v>
      </c>
      <c r="G15548">
        <v>51135032</v>
      </c>
      <c r="H15548">
        <v>51135036</v>
      </c>
      <c r="I15548">
        <v>51135063</v>
      </c>
    </row>
    <row r="15549" spans="1:9" x14ac:dyDescent="0.2">
      <c r="A15549" s="1" t="str">
        <f>"SAYSD1"</f>
        <v>SAYSD1</v>
      </c>
      <c r="B15549" t="s">
        <v>14</v>
      </c>
      <c r="C15549" t="s">
        <v>32</v>
      </c>
      <c r="D15549" t="s">
        <v>11</v>
      </c>
      <c r="E15549" t="s">
        <v>12</v>
      </c>
      <c r="F15549">
        <v>39082922</v>
      </c>
      <c r="G15549">
        <v>39082975</v>
      </c>
      <c r="H15549">
        <v>39082835</v>
      </c>
      <c r="I15549">
        <v>39082906</v>
      </c>
    </row>
    <row r="15550" spans="1:9" x14ac:dyDescent="0.2">
      <c r="A15550" s="1" t="str">
        <f>"SBDS"</f>
        <v>SBDS</v>
      </c>
      <c r="B15550" t="s">
        <v>14</v>
      </c>
      <c r="C15550" t="s">
        <v>33</v>
      </c>
      <c r="D15550" t="s">
        <v>11</v>
      </c>
      <c r="E15550" t="s">
        <v>12</v>
      </c>
      <c r="F15550">
        <v>66460563</v>
      </c>
      <c r="G15550">
        <v>66460605</v>
      </c>
      <c r="H15550">
        <v>66460340</v>
      </c>
      <c r="I15550">
        <v>66460362</v>
      </c>
    </row>
    <row r="15551" spans="1:9" x14ac:dyDescent="0.2">
      <c r="A15551" s="1" t="str">
        <f>"SBF1"</f>
        <v>SBF1</v>
      </c>
      <c r="B15551" t="s">
        <v>14</v>
      </c>
      <c r="C15551" t="s">
        <v>21</v>
      </c>
      <c r="D15551" t="s">
        <v>11</v>
      </c>
      <c r="E15551" t="s">
        <v>12</v>
      </c>
      <c r="F15551">
        <v>50913444</v>
      </c>
      <c r="G15551">
        <v>50913486</v>
      </c>
      <c r="H15551">
        <v>50913444</v>
      </c>
      <c r="I15551">
        <v>50913486</v>
      </c>
    </row>
    <row r="15552" spans="1:9" x14ac:dyDescent="0.2">
      <c r="A15552" s="1" t="str">
        <f>"SBF2"</f>
        <v>SBF2</v>
      </c>
      <c r="B15552" t="s">
        <v>14</v>
      </c>
      <c r="C15552" t="s">
        <v>27</v>
      </c>
      <c r="D15552" t="s">
        <v>11</v>
      </c>
      <c r="E15552" t="s">
        <v>12</v>
      </c>
      <c r="F15552">
        <v>10315741</v>
      </c>
      <c r="G15552">
        <v>10315773</v>
      </c>
      <c r="H15552">
        <v>10315741</v>
      </c>
      <c r="I15552">
        <v>10315773</v>
      </c>
    </row>
    <row r="15553" spans="1:9" x14ac:dyDescent="0.2">
      <c r="A15553" s="1" t="str">
        <f>"SBK1"</f>
        <v>SBK1</v>
      </c>
      <c r="B15553" t="s">
        <v>14</v>
      </c>
      <c r="C15553" t="s">
        <v>31</v>
      </c>
      <c r="D15553" t="s">
        <v>17</v>
      </c>
      <c r="E15553" t="s">
        <v>12</v>
      </c>
      <c r="F15553">
        <v>28303804</v>
      </c>
      <c r="G15553">
        <v>28303864</v>
      </c>
      <c r="H15553">
        <v>28303874</v>
      </c>
      <c r="I15553">
        <v>28303916</v>
      </c>
    </row>
    <row r="15554" spans="1:9" x14ac:dyDescent="0.2">
      <c r="A15554" s="1" t="str">
        <f>"SBK2"</f>
        <v>SBK2</v>
      </c>
      <c r="B15554" t="s">
        <v>14</v>
      </c>
      <c r="C15554" t="s">
        <v>10</v>
      </c>
      <c r="D15554" t="s">
        <v>11</v>
      </c>
      <c r="E15554" t="s">
        <v>12</v>
      </c>
      <c r="F15554">
        <v>56048460</v>
      </c>
      <c r="G15554">
        <v>56048482</v>
      </c>
      <c r="H15554">
        <v>56048494</v>
      </c>
      <c r="I15554">
        <v>56048519</v>
      </c>
    </row>
    <row r="15555" spans="1:9" x14ac:dyDescent="0.2">
      <c r="A15555" s="1" t="str">
        <f>"SBNO1"</f>
        <v>SBNO1</v>
      </c>
      <c r="B15555" t="s">
        <v>14</v>
      </c>
      <c r="C15555" t="s">
        <v>16</v>
      </c>
      <c r="D15555" t="s">
        <v>11</v>
      </c>
      <c r="E15555" t="s">
        <v>12</v>
      </c>
      <c r="F15555">
        <v>123849374</v>
      </c>
      <c r="G15555">
        <v>123849402</v>
      </c>
      <c r="H15555">
        <v>123849374</v>
      </c>
      <c r="I15555">
        <v>123849402</v>
      </c>
    </row>
    <row r="15556" spans="1:9" x14ac:dyDescent="0.2">
      <c r="A15556" s="1" t="str">
        <f>"SBNO2"</f>
        <v>SBNO2</v>
      </c>
      <c r="B15556" t="s">
        <v>9</v>
      </c>
      <c r="C15556" t="s">
        <v>10</v>
      </c>
      <c r="D15556" t="s">
        <v>11</v>
      </c>
      <c r="E15556" t="s">
        <v>12</v>
      </c>
      <c r="F15556">
        <v>1174226</v>
      </c>
      <c r="G15556">
        <v>1174287</v>
      </c>
      <c r="H15556">
        <v>1174226</v>
      </c>
      <c r="I15556">
        <v>1174287</v>
      </c>
    </row>
    <row r="15557" spans="1:9" x14ac:dyDescent="0.2">
      <c r="A15557" s="1" t="str">
        <f>"SBNO2"</f>
        <v>SBNO2</v>
      </c>
      <c r="B15557" t="s">
        <v>13</v>
      </c>
      <c r="C15557" t="s">
        <v>10</v>
      </c>
      <c r="D15557" t="s">
        <v>11</v>
      </c>
      <c r="E15557" t="s">
        <v>12</v>
      </c>
      <c r="F15557">
        <v>1132207</v>
      </c>
      <c r="G15557">
        <v>1132243</v>
      </c>
      <c r="H15557">
        <v>1132207</v>
      </c>
      <c r="I15557">
        <v>1132243</v>
      </c>
    </row>
    <row r="15558" spans="1:9" x14ac:dyDescent="0.2">
      <c r="A15558" s="1" t="str">
        <f>"SBSN"</f>
        <v>SBSN</v>
      </c>
      <c r="B15558" t="s">
        <v>14</v>
      </c>
      <c r="C15558" t="s">
        <v>10</v>
      </c>
      <c r="D15558" t="s">
        <v>11</v>
      </c>
      <c r="E15558" t="s">
        <v>12</v>
      </c>
      <c r="F15558">
        <v>36019202</v>
      </c>
      <c r="G15558">
        <v>36019220</v>
      </c>
      <c r="H15558">
        <v>36019202</v>
      </c>
      <c r="I15558">
        <v>36019220</v>
      </c>
    </row>
    <row r="15559" spans="1:9" x14ac:dyDescent="0.2">
      <c r="A15559" s="1" t="str">
        <f>"SBSPON"</f>
        <v>SBSPON</v>
      </c>
      <c r="B15559" t="s">
        <v>14</v>
      </c>
      <c r="C15559" t="s">
        <v>30</v>
      </c>
      <c r="D15559" t="s">
        <v>11</v>
      </c>
      <c r="E15559" t="s">
        <v>12</v>
      </c>
      <c r="F15559">
        <v>74005349</v>
      </c>
      <c r="G15559">
        <v>74005436</v>
      </c>
      <c r="H15559">
        <v>74005603</v>
      </c>
      <c r="I15559">
        <v>74005619</v>
      </c>
    </row>
    <row r="15560" spans="1:9" x14ac:dyDescent="0.2">
      <c r="A15560" s="1" t="str">
        <f>"SC5D"</f>
        <v>SC5D</v>
      </c>
      <c r="B15560" t="s">
        <v>14</v>
      </c>
      <c r="C15560" t="s">
        <v>27</v>
      </c>
      <c r="D15560" t="s">
        <v>17</v>
      </c>
      <c r="E15560" t="s">
        <v>12</v>
      </c>
      <c r="F15560">
        <v>121163466</v>
      </c>
      <c r="G15560">
        <v>121163497</v>
      </c>
      <c r="H15560">
        <v>121163434</v>
      </c>
      <c r="I15560">
        <v>121163458</v>
      </c>
    </row>
    <row r="15561" spans="1:9" x14ac:dyDescent="0.2">
      <c r="A15561" s="1" t="str">
        <f>"SCAF1"</f>
        <v>SCAF1</v>
      </c>
      <c r="B15561" t="s">
        <v>14</v>
      </c>
      <c r="C15561" t="s">
        <v>10</v>
      </c>
      <c r="D15561" t="s">
        <v>17</v>
      </c>
      <c r="E15561" t="s">
        <v>12</v>
      </c>
      <c r="F15561">
        <v>50145445</v>
      </c>
      <c r="G15561">
        <v>50145497</v>
      </c>
      <c r="H15561">
        <v>50145445</v>
      </c>
      <c r="I15561">
        <v>50145497</v>
      </c>
    </row>
    <row r="15562" spans="1:9" x14ac:dyDescent="0.2">
      <c r="A15562" s="1" t="str">
        <f>"SCAF11"</f>
        <v>SCAF11</v>
      </c>
      <c r="B15562" t="s">
        <v>14</v>
      </c>
      <c r="C15562" t="s">
        <v>16</v>
      </c>
      <c r="D15562" t="s">
        <v>11</v>
      </c>
      <c r="E15562" t="s">
        <v>12</v>
      </c>
      <c r="F15562">
        <v>46384334</v>
      </c>
      <c r="G15562">
        <v>46384366</v>
      </c>
      <c r="H15562">
        <v>46384304</v>
      </c>
      <c r="I15562">
        <v>46384333</v>
      </c>
    </row>
    <row r="15563" spans="1:9" x14ac:dyDescent="0.2">
      <c r="A15563" s="1" t="str">
        <f>"SCAF4"</f>
        <v>SCAF4</v>
      </c>
      <c r="B15563" t="s">
        <v>14</v>
      </c>
      <c r="C15563" t="s">
        <v>42</v>
      </c>
      <c r="D15563" t="s">
        <v>11</v>
      </c>
      <c r="E15563" t="s">
        <v>12</v>
      </c>
      <c r="F15563">
        <v>33104367</v>
      </c>
      <c r="G15563">
        <v>33104441</v>
      </c>
      <c r="H15563">
        <v>33104260</v>
      </c>
      <c r="I15563">
        <v>33104306</v>
      </c>
    </row>
    <row r="15564" spans="1:9" x14ac:dyDescent="0.2">
      <c r="A15564" s="1" t="str">
        <f>"SCAF8"</f>
        <v>SCAF8</v>
      </c>
      <c r="B15564" t="s">
        <v>14</v>
      </c>
      <c r="C15564" t="s">
        <v>32</v>
      </c>
      <c r="D15564" t="s">
        <v>17</v>
      </c>
      <c r="E15564" t="s">
        <v>12</v>
      </c>
      <c r="F15564">
        <v>155054530</v>
      </c>
      <c r="G15564">
        <v>155054561</v>
      </c>
      <c r="H15564">
        <v>155054797</v>
      </c>
      <c r="I15564">
        <v>155054839</v>
      </c>
    </row>
    <row r="15565" spans="1:9" x14ac:dyDescent="0.2">
      <c r="A15565" s="1" t="str">
        <f>"SCAI"</f>
        <v>SCAI</v>
      </c>
      <c r="B15565" t="s">
        <v>14</v>
      </c>
      <c r="C15565" t="s">
        <v>24</v>
      </c>
      <c r="D15565" t="s">
        <v>11</v>
      </c>
      <c r="E15565" t="s">
        <v>12</v>
      </c>
      <c r="F15565">
        <v>127905736</v>
      </c>
      <c r="G15565">
        <v>127905815</v>
      </c>
      <c r="H15565">
        <v>127905817</v>
      </c>
      <c r="I15565">
        <v>127905836</v>
      </c>
    </row>
    <row r="15566" spans="1:9" x14ac:dyDescent="0.2">
      <c r="A15566" s="1" t="str">
        <f>"SCAMP1"</f>
        <v>SCAMP1</v>
      </c>
      <c r="B15566" t="s">
        <v>14</v>
      </c>
      <c r="C15566" t="s">
        <v>46</v>
      </c>
      <c r="D15566" t="s">
        <v>17</v>
      </c>
      <c r="E15566" t="s">
        <v>12</v>
      </c>
      <c r="F15566">
        <v>77656429</v>
      </c>
      <c r="G15566">
        <v>77656459</v>
      </c>
      <c r="H15566">
        <v>77656342</v>
      </c>
      <c r="I15566">
        <v>77656362</v>
      </c>
    </row>
    <row r="15567" spans="1:9" x14ac:dyDescent="0.2">
      <c r="A15567" s="1" t="str">
        <f>"SCAMP2"</f>
        <v>SCAMP2</v>
      </c>
      <c r="B15567" t="s">
        <v>9</v>
      </c>
      <c r="C15567" t="s">
        <v>25</v>
      </c>
      <c r="D15567" t="s">
        <v>11</v>
      </c>
      <c r="E15567" t="s">
        <v>12</v>
      </c>
      <c r="F15567">
        <v>75165665</v>
      </c>
      <c r="G15567">
        <v>75165714</v>
      </c>
      <c r="H15567">
        <v>75165665</v>
      </c>
      <c r="I15567">
        <v>75165714</v>
      </c>
    </row>
    <row r="15568" spans="1:9" x14ac:dyDescent="0.2">
      <c r="A15568" s="1" t="str">
        <f>"SCAMP2"</f>
        <v>SCAMP2</v>
      </c>
      <c r="B15568" t="s">
        <v>13</v>
      </c>
      <c r="C15568" t="s">
        <v>25</v>
      </c>
      <c r="D15568" t="s">
        <v>11</v>
      </c>
      <c r="E15568" t="s">
        <v>12</v>
      </c>
      <c r="F15568">
        <v>75146388</v>
      </c>
      <c r="G15568">
        <v>75146408</v>
      </c>
      <c r="H15568">
        <v>75146388</v>
      </c>
      <c r="I15568">
        <v>75146408</v>
      </c>
    </row>
    <row r="15569" spans="1:9" x14ac:dyDescent="0.2">
      <c r="A15569" s="1" t="str">
        <f>"SCAMP3"</f>
        <v>SCAMP3</v>
      </c>
      <c r="B15569" t="s">
        <v>14</v>
      </c>
      <c r="C15569" t="s">
        <v>19</v>
      </c>
      <c r="D15569" t="s">
        <v>11</v>
      </c>
      <c r="E15569" t="s">
        <v>12</v>
      </c>
      <c r="F15569">
        <v>155232047</v>
      </c>
      <c r="G15569">
        <v>155232080</v>
      </c>
      <c r="H15569">
        <v>155232007</v>
      </c>
      <c r="I15569">
        <v>155232046</v>
      </c>
    </row>
    <row r="15570" spans="1:9" x14ac:dyDescent="0.2">
      <c r="A15570" s="1" t="str">
        <f>"SCAMP4"</f>
        <v>SCAMP4</v>
      </c>
      <c r="B15570" t="s">
        <v>14</v>
      </c>
      <c r="C15570" t="s">
        <v>10</v>
      </c>
      <c r="D15570" t="s">
        <v>17</v>
      </c>
      <c r="E15570" t="s">
        <v>12</v>
      </c>
      <c r="F15570">
        <v>1905365</v>
      </c>
      <c r="G15570">
        <v>1905411</v>
      </c>
      <c r="H15570">
        <v>1905365</v>
      </c>
      <c r="I15570">
        <v>1905411</v>
      </c>
    </row>
    <row r="15571" spans="1:9" x14ac:dyDescent="0.2">
      <c r="A15571" s="1" t="str">
        <f>"SCAMP5"</f>
        <v>SCAMP5</v>
      </c>
      <c r="B15571" t="s">
        <v>14</v>
      </c>
      <c r="C15571" t="s">
        <v>25</v>
      </c>
      <c r="D15571" t="s">
        <v>17</v>
      </c>
      <c r="E15571" t="s">
        <v>12</v>
      </c>
      <c r="F15571">
        <v>75287861</v>
      </c>
      <c r="G15571">
        <v>75287961</v>
      </c>
      <c r="H15571">
        <v>75287841</v>
      </c>
      <c r="I15571">
        <v>75287850</v>
      </c>
    </row>
    <row r="15572" spans="1:9" x14ac:dyDescent="0.2">
      <c r="A15572" s="1" t="str">
        <f>"SCAND1"</f>
        <v>SCAND1</v>
      </c>
      <c r="B15572" t="s">
        <v>14</v>
      </c>
      <c r="C15572" t="s">
        <v>29</v>
      </c>
      <c r="D15572" t="s">
        <v>11</v>
      </c>
      <c r="E15572" t="s">
        <v>12</v>
      </c>
      <c r="F15572">
        <v>34542383</v>
      </c>
      <c r="G15572">
        <v>34542451</v>
      </c>
      <c r="H15572">
        <v>34542216</v>
      </c>
      <c r="I15572">
        <v>34542278</v>
      </c>
    </row>
    <row r="15573" spans="1:9" x14ac:dyDescent="0.2">
      <c r="A15573" s="1" t="str">
        <f>"SCAND3"</f>
        <v>SCAND3</v>
      </c>
      <c r="B15573" t="s">
        <v>14</v>
      </c>
      <c r="C15573" t="s">
        <v>32</v>
      </c>
      <c r="D15573" t="s">
        <v>11</v>
      </c>
      <c r="E15573" t="s">
        <v>12</v>
      </c>
      <c r="F15573">
        <v>28555027</v>
      </c>
      <c r="G15573">
        <v>28555105</v>
      </c>
      <c r="H15573">
        <v>28555027</v>
      </c>
      <c r="I15573">
        <v>28555105</v>
      </c>
    </row>
    <row r="15574" spans="1:9" x14ac:dyDescent="0.2">
      <c r="A15574" s="1" t="str">
        <f>"SCAP"</f>
        <v>SCAP</v>
      </c>
      <c r="B15574" t="s">
        <v>14</v>
      </c>
      <c r="C15574" t="s">
        <v>22</v>
      </c>
      <c r="D15574" t="s">
        <v>11</v>
      </c>
      <c r="E15574" t="s">
        <v>12</v>
      </c>
      <c r="F15574">
        <v>47517302</v>
      </c>
      <c r="G15574">
        <v>47517451</v>
      </c>
      <c r="H15574">
        <v>47517507</v>
      </c>
      <c r="I15574">
        <v>47517525</v>
      </c>
    </row>
    <row r="15575" spans="1:9" x14ac:dyDescent="0.2">
      <c r="A15575" s="1" t="str">
        <f>"SCAPER"</f>
        <v>SCAPER</v>
      </c>
      <c r="B15575" t="s">
        <v>14</v>
      </c>
      <c r="C15575" t="s">
        <v>25</v>
      </c>
      <c r="D15575" t="s">
        <v>11</v>
      </c>
      <c r="E15575" t="s">
        <v>12</v>
      </c>
      <c r="F15575">
        <v>77197655</v>
      </c>
      <c r="G15575">
        <v>77197716</v>
      </c>
      <c r="H15575">
        <v>77197753</v>
      </c>
      <c r="I15575">
        <v>77197772</v>
      </c>
    </row>
    <row r="15576" spans="1:9" x14ac:dyDescent="0.2">
      <c r="A15576" s="1" t="str">
        <f>"SCARA3"</f>
        <v>SCARA3</v>
      </c>
      <c r="B15576" t="s">
        <v>14</v>
      </c>
      <c r="C15576" t="s">
        <v>30</v>
      </c>
      <c r="D15576" t="s">
        <v>17</v>
      </c>
      <c r="E15576" t="s">
        <v>12</v>
      </c>
      <c r="F15576">
        <v>27491402</v>
      </c>
      <c r="G15576">
        <v>27491476</v>
      </c>
      <c r="H15576">
        <v>27491381</v>
      </c>
      <c r="I15576">
        <v>27491393</v>
      </c>
    </row>
    <row r="15577" spans="1:9" x14ac:dyDescent="0.2">
      <c r="A15577" s="1" t="str">
        <f>"SCARA5"</f>
        <v>SCARA5</v>
      </c>
      <c r="B15577" t="s">
        <v>14</v>
      </c>
      <c r="C15577" t="s">
        <v>30</v>
      </c>
      <c r="D15577" t="s">
        <v>11</v>
      </c>
      <c r="E15577" t="s">
        <v>12</v>
      </c>
      <c r="F15577">
        <v>27850180</v>
      </c>
      <c r="G15577">
        <v>27850202</v>
      </c>
      <c r="H15577">
        <v>27850157</v>
      </c>
      <c r="I15577">
        <v>27850179</v>
      </c>
    </row>
    <row r="15578" spans="1:9" x14ac:dyDescent="0.2">
      <c r="A15578" s="1" t="str">
        <f>"SCARB1"</f>
        <v>SCARB1</v>
      </c>
      <c r="B15578" t="s">
        <v>14</v>
      </c>
      <c r="C15578" t="s">
        <v>16</v>
      </c>
      <c r="D15578" t="s">
        <v>11</v>
      </c>
      <c r="E15578" t="s">
        <v>12</v>
      </c>
      <c r="F15578">
        <v>125348399</v>
      </c>
      <c r="G15578">
        <v>125348419</v>
      </c>
      <c r="H15578">
        <v>125348448</v>
      </c>
      <c r="I15578">
        <v>125348472</v>
      </c>
    </row>
    <row r="15579" spans="1:9" x14ac:dyDescent="0.2">
      <c r="A15579" s="1" t="str">
        <f>"SCARB2"</f>
        <v>SCARB2</v>
      </c>
      <c r="B15579" t="s">
        <v>14</v>
      </c>
      <c r="C15579" t="s">
        <v>23</v>
      </c>
      <c r="D15579" t="s">
        <v>11</v>
      </c>
      <c r="E15579" t="s">
        <v>12</v>
      </c>
      <c r="F15579">
        <v>77134970</v>
      </c>
      <c r="G15579">
        <v>77134985</v>
      </c>
      <c r="H15579">
        <v>77134742</v>
      </c>
      <c r="I15579">
        <v>77134765</v>
      </c>
    </row>
    <row r="15580" spans="1:9" x14ac:dyDescent="0.2">
      <c r="A15580" s="1" t="str">
        <f>"SCARF1"</f>
        <v>SCARF1</v>
      </c>
      <c r="B15580" t="s">
        <v>14</v>
      </c>
      <c r="C15580" t="s">
        <v>28</v>
      </c>
      <c r="D15580" t="s">
        <v>11</v>
      </c>
      <c r="E15580" t="s">
        <v>12</v>
      </c>
      <c r="F15580">
        <v>1549011</v>
      </c>
      <c r="G15580">
        <v>1549032</v>
      </c>
      <c r="H15580">
        <v>1549011</v>
      </c>
      <c r="I15580">
        <v>1549032</v>
      </c>
    </row>
    <row r="15581" spans="1:9" x14ac:dyDescent="0.2">
      <c r="A15581" s="1" t="str">
        <f>"SCARF2"</f>
        <v>SCARF2</v>
      </c>
      <c r="B15581" t="s">
        <v>14</v>
      </c>
      <c r="C15581" t="s">
        <v>21</v>
      </c>
      <c r="D15581" t="s">
        <v>11</v>
      </c>
      <c r="E15581" t="s">
        <v>12</v>
      </c>
      <c r="F15581">
        <v>20792089</v>
      </c>
      <c r="G15581">
        <v>20792119</v>
      </c>
      <c r="H15581">
        <v>20791955</v>
      </c>
      <c r="I15581">
        <v>20791990</v>
      </c>
    </row>
    <row r="15582" spans="1:9" x14ac:dyDescent="0.2">
      <c r="A15582" s="1" t="str">
        <f>"SCCPDH"</f>
        <v>SCCPDH</v>
      </c>
      <c r="B15582" t="s">
        <v>14</v>
      </c>
      <c r="C15582" t="s">
        <v>19</v>
      </c>
      <c r="D15582" t="s">
        <v>17</v>
      </c>
      <c r="E15582" t="s">
        <v>12</v>
      </c>
      <c r="F15582">
        <v>246887640</v>
      </c>
      <c r="G15582">
        <v>246887723</v>
      </c>
      <c r="H15582">
        <v>246887592</v>
      </c>
      <c r="I15582">
        <v>246887636</v>
      </c>
    </row>
    <row r="15583" spans="1:9" x14ac:dyDescent="0.2">
      <c r="A15583" s="1" t="str">
        <f>"SCD"</f>
        <v>SCD</v>
      </c>
      <c r="B15583" t="s">
        <v>14</v>
      </c>
      <c r="C15583" t="s">
        <v>15</v>
      </c>
      <c r="D15583" t="s">
        <v>17</v>
      </c>
      <c r="E15583" t="s">
        <v>12</v>
      </c>
      <c r="F15583">
        <v>102106982</v>
      </c>
      <c r="G15583">
        <v>102107015</v>
      </c>
      <c r="H15583">
        <v>102106829</v>
      </c>
      <c r="I15583">
        <v>102106869</v>
      </c>
    </row>
    <row r="15584" spans="1:9" x14ac:dyDescent="0.2">
      <c r="A15584" s="1" t="str">
        <f>"SCD5"</f>
        <v>SCD5</v>
      </c>
      <c r="B15584" t="s">
        <v>14</v>
      </c>
      <c r="C15584" t="s">
        <v>23</v>
      </c>
      <c r="D15584" t="s">
        <v>11</v>
      </c>
      <c r="E15584" t="s">
        <v>12</v>
      </c>
      <c r="F15584">
        <v>83719884</v>
      </c>
      <c r="G15584">
        <v>83719971</v>
      </c>
      <c r="H15584">
        <v>83719983</v>
      </c>
      <c r="I15584">
        <v>83720085</v>
      </c>
    </row>
    <row r="15585" spans="1:9" x14ac:dyDescent="0.2">
      <c r="A15585" s="1" t="str">
        <f>"SCEL"</f>
        <v>SCEL</v>
      </c>
      <c r="B15585" t="s">
        <v>14</v>
      </c>
      <c r="C15585" t="s">
        <v>39</v>
      </c>
      <c r="D15585" t="s">
        <v>17</v>
      </c>
      <c r="E15585" t="s">
        <v>12</v>
      </c>
      <c r="F15585">
        <v>78109818</v>
      </c>
      <c r="G15585">
        <v>78109850</v>
      </c>
      <c r="H15585">
        <v>78109884</v>
      </c>
      <c r="I15585">
        <v>78109902</v>
      </c>
    </row>
    <row r="15586" spans="1:9" x14ac:dyDescent="0.2">
      <c r="A15586" s="1" t="str">
        <f>"SCFD1"</f>
        <v>SCFD1</v>
      </c>
      <c r="B15586" t="s">
        <v>14</v>
      </c>
      <c r="C15586" t="s">
        <v>41</v>
      </c>
      <c r="D15586" t="s">
        <v>17</v>
      </c>
      <c r="E15586" t="s">
        <v>12</v>
      </c>
      <c r="F15586">
        <v>31091511</v>
      </c>
      <c r="G15586">
        <v>31091547</v>
      </c>
      <c r="H15586">
        <v>31091511</v>
      </c>
      <c r="I15586">
        <v>31091547</v>
      </c>
    </row>
    <row r="15587" spans="1:9" x14ac:dyDescent="0.2">
      <c r="A15587" s="1" t="str">
        <f>"SCFD2"</f>
        <v>SCFD2</v>
      </c>
      <c r="B15587" t="s">
        <v>14</v>
      </c>
      <c r="C15587" t="s">
        <v>23</v>
      </c>
      <c r="D15587" t="s">
        <v>11</v>
      </c>
      <c r="E15587" t="s">
        <v>12</v>
      </c>
      <c r="F15587">
        <v>54232144</v>
      </c>
      <c r="G15587">
        <v>54232267</v>
      </c>
      <c r="H15587">
        <v>54232122</v>
      </c>
      <c r="I15587">
        <v>54232140</v>
      </c>
    </row>
    <row r="15588" spans="1:9" x14ac:dyDescent="0.2">
      <c r="A15588" s="1" t="str">
        <f>"SCG2"</f>
        <v>SCG2</v>
      </c>
      <c r="B15588" t="s">
        <v>14</v>
      </c>
      <c r="C15588" t="s">
        <v>26</v>
      </c>
      <c r="D15588" t="s">
        <v>11</v>
      </c>
      <c r="E15588" t="s">
        <v>12</v>
      </c>
      <c r="F15588">
        <v>224467068</v>
      </c>
      <c r="G15588">
        <v>224467085</v>
      </c>
      <c r="H15588">
        <v>224467093</v>
      </c>
      <c r="I15588">
        <v>224467104</v>
      </c>
    </row>
    <row r="15589" spans="1:9" x14ac:dyDescent="0.2">
      <c r="A15589" s="1" t="str">
        <f>"SCG3"</f>
        <v>SCG3</v>
      </c>
      <c r="B15589" t="s">
        <v>14</v>
      </c>
      <c r="C15589" t="s">
        <v>25</v>
      </c>
      <c r="D15589" t="s">
        <v>17</v>
      </c>
      <c r="E15589" t="s">
        <v>12</v>
      </c>
      <c r="F15589">
        <v>51973680</v>
      </c>
      <c r="G15589">
        <v>51973707</v>
      </c>
      <c r="H15589">
        <v>51973680</v>
      </c>
      <c r="I15589">
        <v>51973707</v>
      </c>
    </row>
    <row r="15590" spans="1:9" x14ac:dyDescent="0.2">
      <c r="A15590" s="1" t="str">
        <f>"SCG5"</f>
        <v>SCG5</v>
      </c>
      <c r="B15590" t="s">
        <v>14</v>
      </c>
      <c r="C15590" t="s">
        <v>25</v>
      </c>
      <c r="D15590" t="s">
        <v>17</v>
      </c>
      <c r="E15590" t="s">
        <v>12</v>
      </c>
      <c r="F15590">
        <v>32933866</v>
      </c>
      <c r="G15590">
        <v>32933963</v>
      </c>
      <c r="H15590">
        <v>32933866</v>
      </c>
      <c r="I15590">
        <v>32933963</v>
      </c>
    </row>
    <row r="15591" spans="1:9" x14ac:dyDescent="0.2">
      <c r="A15591" s="1" t="str">
        <f>"SCGB1A1"</f>
        <v>SCGB1A1</v>
      </c>
      <c r="B15591" t="s">
        <v>14</v>
      </c>
      <c r="C15591" t="s">
        <v>27</v>
      </c>
      <c r="D15591" t="s">
        <v>17</v>
      </c>
      <c r="E15591" t="s">
        <v>12</v>
      </c>
      <c r="F15591">
        <v>62186498</v>
      </c>
      <c r="G15591">
        <v>62186515</v>
      </c>
      <c r="H15591">
        <v>62186498</v>
      </c>
      <c r="I15591">
        <v>62186515</v>
      </c>
    </row>
    <row r="15592" spans="1:9" x14ac:dyDescent="0.2">
      <c r="A15592" s="1" t="str">
        <f>"SCGB1C1"</f>
        <v>SCGB1C1</v>
      </c>
      <c r="B15592" t="s">
        <v>14</v>
      </c>
      <c r="C15592" t="s">
        <v>27</v>
      </c>
      <c r="D15592" t="s">
        <v>17</v>
      </c>
      <c r="E15592" t="s">
        <v>12</v>
      </c>
      <c r="F15592">
        <v>193065</v>
      </c>
      <c r="G15592">
        <v>193084</v>
      </c>
      <c r="H15592">
        <v>193065</v>
      </c>
      <c r="I15592">
        <v>193084</v>
      </c>
    </row>
    <row r="15593" spans="1:9" x14ac:dyDescent="0.2">
      <c r="A15593" s="1" t="str">
        <f>"SCGB1D1"</f>
        <v>SCGB1D1</v>
      </c>
      <c r="B15593" t="s">
        <v>14</v>
      </c>
      <c r="C15593" t="s">
        <v>27</v>
      </c>
      <c r="D15593" t="s">
        <v>17</v>
      </c>
      <c r="E15593" t="s">
        <v>12</v>
      </c>
      <c r="F15593">
        <v>61957687</v>
      </c>
      <c r="G15593">
        <v>61957689</v>
      </c>
      <c r="H15593">
        <v>61957733</v>
      </c>
      <c r="I15593">
        <v>61957741</v>
      </c>
    </row>
    <row r="15594" spans="1:9" x14ac:dyDescent="0.2">
      <c r="A15594" s="1" t="str">
        <f>"SCGB1D2"</f>
        <v>SCGB1D2</v>
      </c>
      <c r="B15594" t="s">
        <v>14</v>
      </c>
      <c r="C15594" t="s">
        <v>27</v>
      </c>
      <c r="D15594" t="s">
        <v>17</v>
      </c>
      <c r="E15594" t="s">
        <v>12</v>
      </c>
      <c r="F15594">
        <v>62009756</v>
      </c>
      <c r="G15594">
        <v>62009783</v>
      </c>
      <c r="H15594">
        <v>62009704</v>
      </c>
      <c r="I15594">
        <v>62009716</v>
      </c>
    </row>
    <row r="15595" spans="1:9" x14ac:dyDescent="0.2">
      <c r="A15595" s="1" t="str">
        <f>"SCGB1D4"</f>
        <v>SCGB1D4</v>
      </c>
      <c r="B15595" t="s">
        <v>14</v>
      </c>
      <c r="C15595" t="s">
        <v>27</v>
      </c>
      <c r="D15595" t="s">
        <v>11</v>
      </c>
      <c r="E15595" t="s">
        <v>12</v>
      </c>
      <c r="F15595">
        <v>62066545</v>
      </c>
      <c r="G15595">
        <v>62066576</v>
      </c>
      <c r="H15595">
        <v>62066545</v>
      </c>
      <c r="I15595">
        <v>62066576</v>
      </c>
    </row>
    <row r="15596" spans="1:9" x14ac:dyDescent="0.2">
      <c r="A15596" s="1" t="str">
        <f>"SCGB2A1"</f>
        <v>SCGB2A1</v>
      </c>
      <c r="B15596" t="s">
        <v>14</v>
      </c>
      <c r="C15596" t="s">
        <v>27</v>
      </c>
      <c r="D15596" t="s">
        <v>17</v>
      </c>
      <c r="E15596" t="s">
        <v>12</v>
      </c>
      <c r="F15596">
        <v>61976137</v>
      </c>
      <c r="G15596">
        <v>61976152</v>
      </c>
      <c r="H15596">
        <v>61976154</v>
      </c>
      <c r="I15596">
        <v>61976157</v>
      </c>
    </row>
    <row r="15597" spans="1:9" x14ac:dyDescent="0.2">
      <c r="A15597" s="1" t="str">
        <f>"SCGB2A2"</f>
        <v>SCGB2A2</v>
      </c>
      <c r="B15597" t="s">
        <v>14</v>
      </c>
      <c r="C15597" t="s">
        <v>27</v>
      </c>
      <c r="D15597" t="s">
        <v>17</v>
      </c>
      <c r="E15597" t="s">
        <v>12</v>
      </c>
      <c r="F15597">
        <v>62037622</v>
      </c>
      <c r="G15597">
        <v>62037637</v>
      </c>
      <c r="H15597">
        <v>62037622</v>
      </c>
      <c r="I15597">
        <v>62037637</v>
      </c>
    </row>
    <row r="15598" spans="1:9" x14ac:dyDescent="0.2">
      <c r="A15598" s="1" t="str">
        <f>"SCGB2B2"</f>
        <v>SCGB2B2</v>
      </c>
      <c r="B15598" t="s">
        <v>14</v>
      </c>
      <c r="C15598" t="s">
        <v>10</v>
      </c>
      <c r="D15598" t="s">
        <v>11</v>
      </c>
      <c r="E15598" t="s">
        <v>67</v>
      </c>
      <c r="F15598">
        <v>35166938</v>
      </c>
      <c r="G15598">
        <v>35166947</v>
      </c>
      <c r="H15598">
        <v>35166938</v>
      </c>
      <c r="I15598">
        <v>35166947</v>
      </c>
    </row>
    <row r="15599" spans="1:9" x14ac:dyDescent="0.2">
      <c r="A15599" s="1" t="str">
        <f>"SCGB3A1"</f>
        <v>SCGB3A1</v>
      </c>
      <c r="B15599" t="s">
        <v>14</v>
      </c>
      <c r="C15599" t="s">
        <v>46</v>
      </c>
      <c r="D15599" t="s">
        <v>11</v>
      </c>
      <c r="E15599" t="s">
        <v>12</v>
      </c>
      <c r="F15599">
        <v>180018490</v>
      </c>
      <c r="G15599">
        <v>180018505</v>
      </c>
      <c r="H15599">
        <v>180018513</v>
      </c>
      <c r="I15599">
        <v>180018530</v>
      </c>
    </row>
    <row r="15600" spans="1:9" x14ac:dyDescent="0.2">
      <c r="A15600" s="1" t="str">
        <f>"SCGB3A2"</f>
        <v>SCGB3A2</v>
      </c>
      <c r="B15600" t="s">
        <v>14</v>
      </c>
      <c r="C15600" t="s">
        <v>46</v>
      </c>
      <c r="D15600" t="s">
        <v>17</v>
      </c>
      <c r="E15600" t="s">
        <v>12</v>
      </c>
      <c r="F15600">
        <v>147258266</v>
      </c>
      <c r="G15600">
        <v>147258280</v>
      </c>
      <c r="H15600">
        <v>147258266</v>
      </c>
      <c r="I15600">
        <v>147258280</v>
      </c>
    </row>
    <row r="15601" spans="1:9" x14ac:dyDescent="0.2">
      <c r="A15601" s="1" t="str">
        <f>"SCGN"</f>
        <v>SCGN</v>
      </c>
      <c r="B15601" t="s">
        <v>14</v>
      </c>
      <c r="C15601" t="s">
        <v>32</v>
      </c>
      <c r="D15601" t="s">
        <v>17</v>
      </c>
      <c r="E15601" t="s">
        <v>12</v>
      </c>
      <c r="F15601">
        <v>25652432</v>
      </c>
      <c r="G15601">
        <v>25652485</v>
      </c>
      <c r="H15601">
        <v>25652501</v>
      </c>
      <c r="I15601">
        <v>25652529</v>
      </c>
    </row>
    <row r="15602" spans="1:9" x14ac:dyDescent="0.2">
      <c r="A15602" s="1" t="str">
        <f>"SCHIP1"</f>
        <v>SCHIP1</v>
      </c>
      <c r="B15602" t="s">
        <v>14</v>
      </c>
      <c r="C15602" t="s">
        <v>22</v>
      </c>
      <c r="D15602" t="s">
        <v>17</v>
      </c>
      <c r="E15602" t="s">
        <v>12</v>
      </c>
      <c r="F15602">
        <v>159557711</v>
      </c>
      <c r="G15602">
        <v>159557774</v>
      </c>
      <c r="H15602">
        <v>159557711</v>
      </c>
      <c r="I15602">
        <v>159557774</v>
      </c>
    </row>
    <row r="15603" spans="1:9" x14ac:dyDescent="0.2">
      <c r="A15603" s="1" t="str">
        <f>"SCIMP"</f>
        <v>SCIMP</v>
      </c>
      <c r="B15603" t="s">
        <v>14</v>
      </c>
      <c r="C15603" t="s">
        <v>28</v>
      </c>
      <c r="D15603" t="s">
        <v>11</v>
      </c>
      <c r="E15603" t="s">
        <v>12</v>
      </c>
      <c r="F15603">
        <v>5138099</v>
      </c>
      <c r="G15603">
        <v>5138164</v>
      </c>
      <c r="H15603">
        <v>5138079</v>
      </c>
      <c r="I15603">
        <v>5138093</v>
      </c>
    </row>
    <row r="15604" spans="1:9" x14ac:dyDescent="0.2">
      <c r="A15604" s="1" t="str">
        <f>"SCIN"</f>
        <v>SCIN</v>
      </c>
      <c r="B15604" t="s">
        <v>14</v>
      </c>
      <c r="C15604" t="s">
        <v>33</v>
      </c>
      <c r="D15604" t="s">
        <v>17</v>
      </c>
      <c r="E15604" t="s">
        <v>12</v>
      </c>
      <c r="F15604">
        <v>12610338</v>
      </c>
      <c r="G15604">
        <v>12610355</v>
      </c>
      <c r="H15604">
        <v>12610307</v>
      </c>
      <c r="I15604">
        <v>12610314</v>
      </c>
    </row>
    <row r="15605" spans="1:9" x14ac:dyDescent="0.2">
      <c r="A15605" s="1" t="str">
        <f>"SCLT1"</f>
        <v>SCLT1</v>
      </c>
      <c r="B15605" t="s">
        <v>14</v>
      </c>
      <c r="C15605" t="s">
        <v>23</v>
      </c>
      <c r="D15605" t="s">
        <v>11</v>
      </c>
      <c r="E15605" t="s">
        <v>12</v>
      </c>
      <c r="F15605">
        <v>130014609</v>
      </c>
      <c r="G15605">
        <v>130014701</v>
      </c>
      <c r="H15605">
        <v>130014729</v>
      </c>
      <c r="I15605">
        <v>130014777</v>
      </c>
    </row>
    <row r="15606" spans="1:9" x14ac:dyDescent="0.2">
      <c r="A15606" s="1" t="str">
        <f>"SCLY"</f>
        <v>SCLY</v>
      </c>
      <c r="B15606" t="s">
        <v>1514</v>
      </c>
      <c r="C15606" t="s">
        <v>26</v>
      </c>
      <c r="D15606" t="s">
        <v>17</v>
      </c>
      <c r="E15606" t="s">
        <v>35</v>
      </c>
      <c r="F15606">
        <v>238969527</v>
      </c>
      <c r="G15606">
        <v>238969538</v>
      </c>
      <c r="H15606">
        <v>238969728</v>
      </c>
      <c r="I15606">
        <v>238969752</v>
      </c>
    </row>
    <row r="15607" spans="1:9" x14ac:dyDescent="0.2">
      <c r="A15607" s="1" t="str">
        <f>"SCMH1"</f>
        <v>SCMH1</v>
      </c>
      <c r="B15607" t="s">
        <v>1515</v>
      </c>
      <c r="C15607" t="s">
        <v>19</v>
      </c>
      <c r="D15607" t="s">
        <v>11</v>
      </c>
      <c r="E15607" t="s">
        <v>20</v>
      </c>
      <c r="F15607">
        <v>41626569</v>
      </c>
      <c r="G15607">
        <v>41626569</v>
      </c>
      <c r="H15607">
        <v>41626569</v>
      </c>
      <c r="I15607">
        <v>41626569</v>
      </c>
    </row>
    <row r="15608" spans="1:9" x14ac:dyDescent="0.2">
      <c r="A15608" s="1" t="str">
        <f>"SCMH1"</f>
        <v>SCMH1</v>
      </c>
      <c r="B15608" t="s">
        <v>1516</v>
      </c>
      <c r="C15608" t="s">
        <v>19</v>
      </c>
      <c r="D15608" t="s">
        <v>11</v>
      </c>
      <c r="E15608" t="s">
        <v>20</v>
      </c>
      <c r="F15608">
        <v>41627103</v>
      </c>
      <c r="G15608">
        <v>41627103</v>
      </c>
      <c r="H15608">
        <v>41627103</v>
      </c>
      <c r="I15608">
        <v>41627103</v>
      </c>
    </row>
    <row r="15609" spans="1:9" x14ac:dyDescent="0.2">
      <c r="A15609" s="1" t="str">
        <f>"SCML1"</f>
        <v>SCML1</v>
      </c>
      <c r="B15609" t="s">
        <v>14</v>
      </c>
      <c r="C15609" t="s">
        <v>37</v>
      </c>
      <c r="D15609" t="s">
        <v>17</v>
      </c>
      <c r="E15609" t="s">
        <v>12</v>
      </c>
      <c r="F15609">
        <v>17755563</v>
      </c>
      <c r="G15609">
        <v>17755618</v>
      </c>
      <c r="H15609">
        <v>17755658</v>
      </c>
      <c r="I15609">
        <v>17755695</v>
      </c>
    </row>
    <row r="15610" spans="1:9" x14ac:dyDescent="0.2">
      <c r="A15610" s="1" t="str">
        <f>"SCML2"</f>
        <v>SCML2</v>
      </c>
      <c r="B15610" t="s">
        <v>14</v>
      </c>
      <c r="C15610" t="s">
        <v>37</v>
      </c>
      <c r="D15610" t="s">
        <v>11</v>
      </c>
      <c r="E15610" t="s">
        <v>12</v>
      </c>
      <c r="F15610">
        <v>18372792</v>
      </c>
      <c r="G15610">
        <v>18372822</v>
      </c>
      <c r="H15610">
        <v>18373263</v>
      </c>
      <c r="I15610">
        <v>18373269</v>
      </c>
    </row>
    <row r="15611" spans="1:9" x14ac:dyDescent="0.2">
      <c r="A15611" s="1" t="str">
        <f>"SCML4"</f>
        <v>SCML4</v>
      </c>
      <c r="B15611" t="s">
        <v>14</v>
      </c>
      <c r="C15611" t="s">
        <v>32</v>
      </c>
      <c r="D15611" t="s">
        <v>11</v>
      </c>
      <c r="E15611" t="s">
        <v>12</v>
      </c>
      <c r="F15611">
        <v>108145499</v>
      </c>
      <c r="G15611">
        <v>108145532</v>
      </c>
      <c r="H15611">
        <v>108145499</v>
      </c>
      <c r="I15611">
        <v>108145532</v>
      </c>
    </row>
    <row r="15612" spans="1:9" x14ac:dyDescent="0.2">
      <c r="A15612" s="1" t="str">
        <f>"SCN10A"</f>
        <v>SCN10A</v>
      </c>
      <c r="B15612" t="s">
        <v>1517</v>
      </c>
      <c r="C15612" t="s">
        <v>22</v>
      </c>
      <c r="D15612" t="s">
        <v>11</v>
      </c>
      <c r="E15612" t="s">
        <v>20</v>
      </c>
      <c r="F15612">
        <v>38835500</v>
      </c>
      <c r="G15612">
        <v>38835500</v>
      </c>
      <c r="H15612">
        <v>38835500</v>
      </c>
      <c r="I15612">
        <v>38835500</v>
      </c>
    </row>
    <row r="15613" spans="1:9" x14ac:dyDescent="0.2">
      <c r="A15613" s="1" t="str">
        <f>"SCN11A"</f>
        <v>SCN11A</v>
      </c>
      <c r="B15613" t="s">
        <v>1518</v>
      </c>
      <c r="C15613" t="s">
        <v>22</v>
      </c>
      <c r="D15613" t="s">
        <v>11</v>
      </c>
      <c r="E15613" t="s">
        <v>20</v>
      </c>
      <c r="F15613">
        <v>38992051</v>
      </c>
      <c r="G15613">
        <v>38992051</v>
      </c>
      <c r="H15613">
        <v>38992051</v>
      </c>
      <c r="I15613">
        <v>38992051</v>
      </c>
    </row>
    <row r="15614" spans="1:9" x14ac:dyDescent="0.2">
      <c r="A15614" s="1" t="str">
        <f>"SCN1A"</f>
        <v>SCN1A</v>
      </c>
      <c r="B15614" t="s">
        <v>1519</v>
      </c>
      <c r="C15614" t="s">
        <v>26</v>
      </c>
      <c r="D15614" t="s">
        <v>11</v>
      </c>
      <c r="E15614" t="s">
        <v>20</v>
      </c>
      <c r="F15614">
        <v>166930139</v>
      </c>
      <c r="G15614">
        <v>166930139</v>
      </c>
      <c r="H15614">
        <v>166930139</v>
      </c>
      <c r="I15614">
        <v>166930139</v>
      </c>
    </row>
    <row r="15615" spans="1:9" x14ac:dyDescent="0.2">
      <c r="A15615" s="1" t="str">
        <f>"SCN1B"</f>
        <v>SCN1B</v>
      </c>
      <c r="B15615" t="s">
        <v>14</v>
      </c>
      <c r="C15615" t="s">
        <v>10</v>
      </c>
      <c r="D15615" t="s">
        <v>17</v>
      </c>
      <c r="E15615" t="s">
        <v>12</v>
      </c>
      <c r="F15615">
        <v>35521342</v>
      </c>
      <c r="G15615">
        <v>35521394</v>
      </c>
      <c r="H15615">
        <v>35521437</v>
      </c>
      <c r="I15615">
        <v>35521485</v>
      </c>
    </row>
    <row r="15616" spans="1:9" x14ac:dyDescent="0.2">
      <c r="A15616" s="1" t="str">
        <f>"SCN2A"</f>
        <v>SCN2A</v>
      </c>
      <c r="B15616" t="s">
        <v>14</v>
      </c>
      <c r="C15616" t="s">
        <v>26</v>
      </c>
      <c r="D15616" t="s">
        <v>17</v>
      </c>
      <c r="E15616" t="s">
        <v>12</v>
      </c>
      <c r="F15616">
        <v>166095898</v>
      </c>
      <c r="G15616">
        <v>166095940</v>
      </c>
      <c r="H15616">
        <v>166095898</v>
      </c>
      <c r="I15616">
        <v>166095940</v>
      </c>
    </row>
    <row r="15617" spans="1:9" x14ac:dyDescent="0.2">
      <c r="A15617" s="1" t="str">
        <f>"SCN2B"</f>
        <v>SCN2B</v>
      </c>
      <c r="B15617" t="s">
        <v>14</v>
      </c>
      <c r="C15617" t="s">
        <v>27</v>
      </c>
      <c r="D15617" t="s">
        <v>11</v>
      </c>
      <c r="E15617" t="s">
        <v>12</v>
      </c>
      <c r="F15617">
        <v>118047294</v>
      </c>
      <c r="G15617">
        <v>118047368</v>
      </c>
      <c r="H15617">
        <v>118047294</v>
      </c>
      <c r="I15617">
        <v>118047368</v>
      </c>
    </row>
    <row r="15618" spans="1:9" x14ac:dyDescent="0.2">
      <c r="A15618" s="1" t="str">
        <f>"SCN3A"</f>
        <v>SCN3A</v>
      </c>
      <c r="B15618" t="s">
        <v>14</v>
      </c>
      <c r="C15618" t="s">
        <v>26</v>
      </c>
      <c r="D15618" t="s">
        <v>11</v>
      </c>
      <c r="E15618" t="s">
        <v>12</v>
      </c>
      <c r="F15618">
        <v>166060552</v>
      </c>
      <c r="G15618">
        <v>166060566</v>
      </c>
      <c r="H15618">
        <v>166060571</v>
      </c>
      <c r="I15618">
        <v>166060582</v>
      </c>
    </row>
    <row r="15619" spans="1:9" x14ac:dyDescent="0.2">
      <c r="A15619" s="1" t="str">
        <f>"SCN3B"</f>
        <v>SCN3B</v>
      </c>
      <c r="B15619" t="s">
        <v>14</v>
      </c>
      <c r="C15619" t="s">
        <v>27</v>
      </c>
      <c r="D15619" t="s">
        <v>11</v>
      </c>
      <c r="E15619" t="s">
        <v>12</v>
      </c>
      <c r="F15619">
        <v>123525289</v>
      </c>
      <c r="G15619">
        <v>123525341</v>
      </c>
      <c r="H15619">
        <v>123525245</v>
      </c>
      <c r="I15619">
        <v>123525285</v>
      </c>
    </row>
    <row r="15620" spans="1:9" x14ac:dyDescent="0.2">
      <c r="A15620" s="1" t="str">
        <f>"SCN4A"</f>
        <v>SCN4A</v>
      </c>
      <c r="B15620" t="s">
        <v>14</v>
      </c>
      <c r="C15620" t="s">
        <v>28</v>
      </c>
      <c r="D15620" t="s">
        <v>11</v>
      </c>
      <c r="E15620" t="s">
        <v>12</v>
      </c>
      <c r="F15620">
        <v>62050263</v>
      </c>
      <c r="G15620">
        <v>62050285</v>
      </c>
      <c r="H15620">
        <v>62050263</v>
      </c>
      <c r="I15620">
        <v>62050285</v>
      </c>
    </row>
    <row r="15621" spans="1:9" x14ac:dyDescent="0.2">
      <c r="A15621" s="1" t="str">
        <f>"SCN4B"</f>
        <v>SCN4B</v>
      </c>
      <c r="B15621" t="s">
        <v>14</v>
      </c>
      <c r="C15621" t="s">
        <v>27</v>
      </c>
      <c r="D15621" t="s">
        <v>11</v>
      </c>
      <c r="E15621" t="s">
        <v>12</v>
      </c>
      <c r="F15621">
        <v>118023490</v>
      </c>
      <c r="G15621">
        <v>118023555</v>
      </c>
      <c r="H15621">
        <v>118023594</v>
      </c>
      <c r="I15621">
        <v>118023635</v>
      </c>
    </row>
    <row r="15622" spans="1:9" x14ac:dyDescent="0.2">
      <c r="A15622" s="1" t="str">
        <f>"SCN5A"</f>
        <v>SCN5A</v>
      </c>
      <c r="B15622" t="s">
        <v>14</v>
      </c>
      <c r="C15622" t="s">
        <v>22</v>
      </c>
      <c r="D15622" t="s">
        <v>11</v>
      </c>
      <c r="E15622" t="s">
        <v>12</v>
      </c>
      <c r="F15622">
        <v>38691158</v>
      </c>
      <c r="G15622">
        <v>38691203</v>
      </c>
      <c r="H15622">
        <v>38691209</v>
      </c>
      <c r="I15622">
        <v>38691222</v>
      </c>
    </row>
    <row r="15623" spans="1:9" x14ac:dyDescent="0.2">
      <c r="A15623" s="1" t="str">
        <f>"SCN7A"</f>
        <v>SCN7A</v>
      </c>
      <c r="B15623" t="s">
        <v>14</v>
      </c>
      <c r="C15623" t="s">
        <v>26</v>
      </c>
      <c r="D15623" t="s">
        <v>11</v>
      </c>
      <c r="E15623" t="s">
        <v>12</v>
      </c>
      <c r="F15623">
        <v>167350641</v>
      </c>
      <c r="G15623">
        <v>167350689</v>
      </c>
      <c r="H15623">
        <v>167350747</v>
      </c>
      <c r="I15623">
        <v>167350765</v>
      </c>
    </row>
    <row r="15624" spans="1:9" x14ac:dyDescent="0.2">
      <c r="A15624" s="1" t="str">
        <f>"SCN8A"</f>
        <v>SCN8A</v>
      </c>
      <c r="B15624" t="s">
        <v>14</v>
      </c>
      <c r="C15624" t="s">
        <v>16</v>
      </c>
      <c r="D15624" t="s">
        <v>17</v>
      </c>
      <c r="E15624" t="s">
        <v>12</v>
      </c>
      <c r="F15624">
        <v>51985001</v>
      </c>
      <c r="G15624">
        <v>51985037</v>
      </c>
      <c r="H15624">
        <v>51984657</v>
      </c>
      <c r="I15624">
        <v>51984728</v>
      </c>
    </row>
    <row r="15625" spans="1:9" x14ac:dyDescent="0.2">
      <c r="A15625" s="1" t="str">
        <f>"SCN9A"</f>
        <v>SCN9A</v>
      </c>
      <c r="B15625" t="s">
        <v>14</v>
      </c>
      <c r="C15625" t="s">
        <v>26</v>
      </c>
      <c r="D15625" t="s">
        <v>11</v>
      </c>
      <c r="E15625" t="s">
        <v>12</v>
      </c>
      <c r="F15625">
        <v>167232447</v>
      </c>
      <c r="G15625">
        <v>167232470</v>
      </c>
      <c r="H15625">
        <v>167232484</v>
      </c>
      <c r="I15625">
        <v>167232489</v>
      </c>
    </row>
    <row r="15626" spans="1:9" x14ac:dyDescent="0.2">
      <c r="A15626" s="1" t="str">
        <f>"SCNM1"</f>
        <v>SCNM1</v>
      </c>
      <c r="B15626" t="s">
        <v>14</v>
      </c>
      <c r="C15626" t="s">
        <v>19</v>
      </c>
      <c r="D15626" t="s">
        <v>17</v>
      </c>
      <c r="E15626" t="s">
        <v>12</v>
      </c>
      <c r="F15626">
        <v>151138526</v>
      </c>
      <c r="G15626">
        <v>151138638</v>
      </c>
      <c r="H15626">
        <v>151138500</v>
      </c>
      <c r="I15626">
        <v>151138510</v>
      </c>
    </row>
    <row r="15627" spans="1:9" x14ac:dyDescent="0.2">
      <c r="A15627" s="1" t="str">
        <f>"SCNN1A"</f>
        <v>SCNN1A</v>
      </c>
      <c r="B15627" t="s">
        <v>14</v>
      </c>
      <c r="C15627" t="s">
        <v>16</v>
      </c>
      <c r="D15627" t="s">
        <v>11</v>
      </c>
      <c r="E15627" t="s">
        <v>12</v>
      </c>
      <c r="F15627">
        <v>6484605</v>
      </c>
      <c r="G15627">
        <v>6484629</v>
      </c>
      <c r="H15627">
        <v>6484722</v>
      </c>
      <c r="I15627">
        <v>6484736</v>
      </c>
    </row>
    <row r="15628" spans="1:9" x14ac:dyDescent="0.2">
      <c r="A15628" s="1" t="str">
        <f>"SCNN1B"</f>
        <v>SCNN1B</v>
      </c>
      <c r="B15628" t="s">
        <v>14</v>
      </c>
      <c r="C15628" t="s">
        <v>31</v>
      </c>
      <c r="D15628" t="s">
        <v>17</v>
      </c>
      <c r="E15628" t="s">
        <v>12</v>
      </c>
      <c r="F15628">
        <v>23313645</v>
      </c>
      <c r="G15628">
        <v>23313671</v>
      </c>
      <c r="H15628">
        <v>23313614</v>
      </c>
      <c r="I15628">
        <v>23313629</v>
      </c>
    </row>
    <row r="15629" spans="1:9" x14ac:dyDescent="0.2">
      <c r="A15629" s="1" t="str">
        <f>"SCNN1D"</f>
        <v>SCNN1D</v>
      </c>
      <c r="B15629" t="s">
        <v>9</v>
      </c>
      <c r="C15629" t="s">
        <v>19</v>
      </c>
      <c r="D15629" t="s">
        <v>17</v>
      </c>
      <c r="E15629" t="s">
        <v>12</v>
      </c>
      <c r="F15629">
        <v>1219377</v>
      </c>
      <c r="G15629">
        <v>1219385</v>
      </c>
      <c r="H15629">
        <v>1219377</v>
      </c>
      <c r="I15629">
        <v>1219385</v>
      </c>
    </row>
    <row r="15630" spans="1:9" x14ac:dyDescent="0.2">
      <c r="A15630" s="1" t="str">
        <f>"SCNN1D"</f>
        <v>SCNN1D</v>
      </c>
      <c r="B15630" t="s">
        <v>13</v>
      </c>
      <c r="C15630" t="s">
        <v>19</v>
      </c>
      <c r="D15630" t="s">
        <v>17</v>
      </c>
      <c r="E15630" t="s">
        <v>12</v>
      </c>
      <c r="F15630">
        <v>1217374</v>
      </c>
      <c r="G15630">
        <v>1217382</v>
      </c>
      <c r="H15630">
        <v>1217374</v>
      </c>
      <c r="I15630">
        <v>1217382</v>
      </c>
    </row>
    <row r="15631" spans="1:9" x14ac:dyDescent="0.2">
      <c r="A15631" s="1" t="str">
        <f>"SCNN1G"</f>
        <v>SCNN1G</v>
      </c>
      <c r="B15631" t="s">
        <v>14</v>
      </c>
      <c r="C15631" t="s">
        <v>31</v>
      </c>
      <c r="D15631" t="s">
        <v>17</v>
      </c>
      <c r="E15631" t="s">
        <v>12</v>
      </c>
      <c r="F15631">
        <v>23194058</v>
      </c>
      <c r="G15631">
        <v>23194081</v>
      </c>
      <c r="H15631">
        <v>23194033</v>
      </c>
      <c r="I15631">
        <v>23194045</v>
      </c>
    </row>
    <row r="15632" spans="1:9" x14ac:dyDescent="0.2">
      <c r="A15632" s="1" t="str">
        <f>"SCO1"</f>
        <v>SCO1</v>
      </c>
      <c r="B15632" t="s">
        <v>14</v>
      </c>
      <c r="C15632" t="s">
        <v>28</v>
      </c>
      <c r="D15632" t="s">
        <v>11</v>
      </c>
      <c r="E15632" t="s">
        <v>12</v>
      </c>
      <c r="F15632">
        <v>10600818</v>
      </c>
      <c r="G15632">
        <v>10600871</v>
      </c>
      <c r="H15632">
        <v>10600818</v>
      </c>
      <c r="I15632">
        <v>10600871</v>
      </c>
    </row>
    <row r="15633" spans="1:9" x14ac:dyDescent="0.2">
      <c r="A15633" s="1" t="str">
        <f>"SCO2"</f>
        <v>SCO2</v>
      </c>
      <c r="B15633" t="s">
        <v>14</v>
      </c>
      <c r="C15633" t="s">
        <v>21</v>
      </c>
      <c r="D15633" t="s">
        <v>11</v>
      </c>
      <c r="E15633" t="s">
        <v>12</v>
      </c>
      <c r="F15633">
        <v>50963976</v>
      </c>
      <c r="G15633">
        <v>50964055</v>
      </c>
      <c r="H15633">
        <v>50964558</v>
      </c>
      <c r="I15633">
        <v>50964614</v>
      </c>
    </row>
    <row r="15634" spans="1:9" x14ac:dyDescent="0.2">
      <c r="A15634" s="1" t="str">
        <f>"SCOC"</f>
        <v>SCOC</v>
      </c>
      <c r="B15634" t="s">
        <v>14</v>
      </c>
      <c r="C15634" t="s">
        <v>23</v>
      </c>
      <c r="D15634" t="s">
        <v>17</v>
      </c>
      <c r="E15634" t="s">
        <v>12</v>
      </c>
      <c r="F15634">
        <v>141294769</v>
      </c>
      <c r="G15634">
        <v>141294821</v>
      </c>
      <c r="H15634">
        <v>141294822</v>
      </c>
      <c r="I15634">
        <v>141294849</v>
      </c>
    </row>
    <row r="15635" spans="1:9" x14ac:dyDescent="0.2">
      <c r="A15635" s="1" t="str">
        <f>"SCP2"</f>
        <v>SCP2</v>
      </c>
      <c r="B15635" t="s">
        <v>1520</v>
      </c>
      <c r="C15635" t="s">
        <v>19</v>
      </c>
      <c r="D15635" t="s">
        <v>17</v>
      </c>
      <c r="E15635" t="s">
        <v>35</v>
      </c>
      <c r="F15635">
        <v>53392926</v>
      </c>
      <c r="G15635">
        <v>53392987</v>
      </c>
      <c r="H15635">
        <v>53392995</v>
      </c>
      <c r="I15635">
        <v>53393021</v>
      </c>
    </row>
    <row r="15636" spans="1:9" x14ac:dyDescent="0.2">
      <c r="A15636" s="1" t="str">
        <f>"SCP2D1"</f>
        <v>SCP2D1</v>
      </c>
      <c r="B15636" t="s">
        <v>14</v>
      </c>
      <c r="C15636" t="s">
        <v>29</v>
      </c>
      <c r="D15636" t="s">
        <v>17</v>
      </c>
      <c r="E15636" t="s">
        <v>12</v>
      </c>
      <c r="F15636">
        <v>18794421</v>
      </c>
      <c r="G15636">
        <v>18794429</v>
      </c>
      <c r="H15636">
        <v>18794421</v>
      </c>
      <c r="I15636">
        <v>18794429</v>
      </c>
    </row>
    <row r="15637" spans="1:9" x14ac:dyDescent="0.2">
      <c r="A15637" s="1" t="str">
        <f>"SCPEP1"</f>
        <v>SCPEP1</v>
      </c>
      <c r="B15637" t="s">
        <v>14</v>
      </c>
      <c r="C15637" t="s">
        <v>28</v>
      </c>
      <c r="D15637" t="s">
        <v>17</v>
      </c>
      <c r="E15637" t="s">
        <v>12</v>
      </c>
      <c r="F15637">
        <v>55055472</v>
      </c>
      <c r="G15637">
        <v>55055522</v>
      </c>
      <c r="H15637">
        <v>55055472</v>
      </c>
      <c r="I15637">
        <v>55055522</v>
      </c>
    </row>
    <row r="15638" spans="1:9" x14ac:dyDescent="0.2">
      <c r="A15638" s="1" t="str">
        <f>"SCRG1"</f>
        <v>SCRG1</v>
      </c>
      <c r="B15638" t="s">
        <v>14</v>
      </c>
      <c r="C15638" t="s">
        <v>23</v>
      </c>
      <c r="D15638" t="s">
        <v>11</v>
      </c>
      <c r="E15638" t="s">
        <v>12</v>
      </c>
      <c r="F15638">
        <v>174320323</v>
      </c>
      <c r="G15638">
        <v>174320405</v>
      </c>
      <c r="H15638">
        <v>174320323</v>
      </c>
      <c r="I15638">
        <v>174320405</v>
      </c>
    </row>
    <row r="15639" spans="1:9" x14ac:dyDescent="0.2">
      <c r="A15639" s="1" t="str">
        <f>"SCRIB"</f>
        <v>SCRIB</v>
      </c>
      <c r="B15639" t="s">
        <v>14</v>
      </c>
      <c r="C15639" t="s">
        <v>30</v>
      </c>
      <c r="D15639" t="s">
        <v>11</v>
      </c>
      <c r="E15639" t="s">
        <v>12</v>
      </c>
      <c r="F15639">
        <v>144897813</v>
      </c>
      <c r="G15639">
        <v>144897949</v>
      </c>
      <c r="H15639">
        <v>144897522</v>
      </c>
      <c r="I15639">
        <v>144897576</v>
      </c>
    </row>
    <row r="15640" spans="1:9" x14ac:dyDescent="0.2">
      <c r="A15640" s="1" t="str">
        <f>"SCRN1"</f>
        <v>SCRN1</v>
      </c>
      <c r="B15640" t="s">
        <v>14</v>
      </c>
      <c r="C15640" t="s">
        <v>33</v>
      </c>
      <c r="D15640" t="s">
        <v>11</v>
      </c>
      <c r="E15640" t="s">
        <v>12</v>
      </c>
      <c r="F15640">
        <v>30029367</v>
      </c>
      <c r="G15640">
        <v>30029474</v>
      </c>
      <c r="H15640">
        <v>30029550</v>
      </c>
      <c r="I15640">
        <v>30029571</v>
      </c>
    </row>
    <row r="15641" spans="1:9" x14ac:dyDescent="0.2">
      <c r="A15641" s="1" t="str">
        <f>"SCRN2"</f>
        <v>SCRN2</v>
      </c>
      <c r="B15641" t="s">
        <v>14</v>
      </c>
      <c r="C15641" t="s">
        <v>28</v>
      </c>
      <c r="D15641" t="s">
        <v>11</v>
      </c>
      <c r="E15641" t="s">
        <v>12</v>
      </c>
      <c r="F15641">
        <v>45918614</v>
      </c>
      <c r="G15641">
        <v>45918668</v>
      </c>
      <c r="H15641">
        <v>45918387</v>
      </c>
      <c r="I15641">
        <v>45918419</v>
      </c>
    </row>
    <row r="15642" spans="1:9" x14ac:dyDescent="0.2">
      <c r="A15642" s="1" t="str">
        <f>"SCRN3"</f>
        <v>SCRN3</v>
      </c>
      <c r="B15642" t="s">
        <v>14</v>
      </c>
      <c r="C15642" t="s">
        <v>26</v>
      </c>
      <c r="D15642" t="s">
        <v>17</v>
      </c>
      <c r="E15642" t="s">
        <v>12</v>
      </c>
      <c r="F15642">
        <v>175260451</v>
      </c>
      <c r="G15642">
        <v>175260513</v>
      </c>
      <c r="H15642">
        <v>175260514</v>
      </c>
      <c r="I15642">
        <v>175260524</v>
      </c>
    </row>
    <row r="15643" spans="1:9" x14ac:dyDescent="0.2">
      <c r="A15643" s="1" t="str">
        <f>"SCRT1"</f>
        <v>SCRT1</v>
      </c>
      <c r="B15643" t="s">
        <v>14</v>
      </c>
      <c r="C15643" t="s">
        <v>30</v>
      </c>
      <c r="D15643" t="s">
        <v>11</v>
      </c>
      <c r="E15643" t="s">
        <v>12</v>
      </c>
      <c r="F15643">
        <v>145560371</v>
      </c>
      <c r="G15643">
        <v>145560449</v>
      </c>
      <c r="H15643">
        <v>145560371</v>
      </c>
      <c r="I15643">
        <v>145560449</v>
      </c>
    </row>
    <row r="15644" spans="1:9" x14ac:dyDescent="0.2">
      <c r="A15644" s="1" t="str">
        <f>"SCRT2"</f>
        <v>SCRT2</v>
      </c>
      <c r="B15644" t="s">
        <v>14</v>
      </c>
      <c r="C15644" t="s">
        <v>29</v>
      </c>
      <c r="D15644" t="s">
        <v>11</v>
      </c>
      <c r="E15644" t="s">
        <v>12</v>
      </c>
      <c r="F15644">
        <v>657284</v>
      </c>
      <c r="G15644">
        <v>657307</v>
      </c>
      <c r="H15644">
        <v>657284</v>
      </c>
      <c r="I15644">
        <v>657307</v>
      </c>
    </row>
    <row r="15645" spans="1:9" x14ac:dyDescent="0.2">
      <c r="A15645" s="1" t="str">
        <f>"SCT"</f>
        <v>SCT</v>
      </c>
      <c r="B15645" t="s">
        <v>14</v>
      </c>
      <c r="C15645" t="s">
        <v>27</v>
      </c>
      <c r="D15645" t="s">
        <v>11</v>
      </c>
      <c r="E15645" t="s">
        <v>12</v>
      </c>
      <c r="F15645">
        <v>627173</v>
      </c>
      <c r="G15645">
        <v>627187</v>
      </c>
      <c r="H15645">
        <v>627228</v>
      </c>
      <c r="I15645">
        <v>627233</v>
      </c>
    </row>
    <row r="15646" spans="1:9" x14ac:dyDescent="0.2">
      <c r="A15646" s="1" t="str">
        <f>"SCTR"</f>
        <v>SCTR</v>
      </c>
      <c r="B15646" t="s">
        <v>14</v>
      </c>
      <c r="C15646" t="s">
        <v>26</v>
      </c>
      <c r="D15646" t="s">
        <v>11</v>
      </c>
      <c r="E15646" t="s">
        <v>12</v>
      </c>
      <c r="F15646">
        <v>120281957</v>
      </c>
      <c r="G15646">
        <v>120281973</v>
      </c>
      <c r="H15646">
        <v>120282010</v>
      </c>
      <c r="I15646">
        <v>120282017</v>
      </c>
    </row>
    <row r="15647" spans="1:9" x14ac:dyDescent="0.2">
      <c r="A15647" s="1" t="str">
        <f>"SCUBE1"</f>
        <v>SCUBE1</v>
      </c>
      <c r="B15647" t="s">
        <v>14</v>
      </c>
      <c r="C15647" t="s">
        <v>21</v>
      </c>
      <c r="D15647" t="s">
        <v>11</v>
      </c>
      <c r="E15647" t="s">
        <v>12</v>
      </c>
      <c r="F15647">
        <v>43739340</v>
      </c>
      <c r="G15647">
        <v>43739385</v>
      </c>
      <c r="H15647">
        <v>43739340</v>
      </c>
      <c r="I15647">
        <v>43739385</v>
      </c>
    </row>
    <row r="15648" spans="1:9" x14ac:dyDescent="0.2">
      <c r="A15648" s="1" t="str">
        <f>"SCUBE2"</f>
        <v>SCUBE2</v>
      </c>
      <c r="B15648" t="s">
        <v>14</v>
      </c>
      <c r="C15648" t="s">
        <v>27</v>
      </c>
      <c r="D15648" t="s">
        <v>11</v>
      </c>
      <c r="E15648" t="s">
        <v>12</v>
      </c>
      <c r="F15648">
        <v>9113137</v>
      </c>
      <c r="G15648">
        <v>9113151</v>
      </c>
      <c r="H15648">
        <v>9113245</v>
      </c>
      <c r="I15648">
        <v>9113272</v>
      </c>
    </row>
    <row r="15649" spans="1:9" x14ac:dyDescent="0.2">
      <c r="A15649" s="1" t="str">
        <f>"SCUBE3"</f>
        <v>SCUBE3</v>
      </c>
      <c r="B15649" t="s">
        <v>14</v>
      </c>
      <c r="C15649" t="s">
        <v>32</v>
      </c>
      <c r="D15649" t="s">
        <v>17</v>
      </c>
      <c r="E15649" t="s">
        <v>12</v>
      </c>
      <c r="F15649">
        <v>35181816</v>
      </c>
      <c r="G15649">
        <v>35181850</v>
      </c>
      <c r="H15649">
        <v>35181783</v>
      </c>
      <c r="I15649">
        <v>35181815</v>
      </c>
    </row>
    <row r="15650" spans="1:9" x14ac:dyDescent="0.2">
      <c r="A15650" s="1" t="str">
        <f>"SCXA"</f>
        <v>SCXA</v>
      </c>
      <c r="B15650" t="s">
        <v>1521</v>
      </c>
      <c r="C15650" t="s">
        <v>30</v>
      </c>
      <c r="D15650" t="s">
        <v>17</v>
      </c>
      <c r="E15650" t="s">
        <v>20</v>
      </c>
      <c r="F15650">
        <v>145490548</v>
      </c>
      <c r="G15650">
        <v>145490548</v>
      </c>
      <c r="H15650">
        <v>145490548</v>
      </c>
      <c r="I15650">
        <v>145490548</v>
      </c>
    </row>
    <row r="15651" spans="1:9" x14ac:dyDescent="0.2">
      <c r="A15651" s="1" t="str">
        <f>"SCXB"</f>
        <v>SCXB</v>
      </c>
      <c r="B15651" t="s">
        <v>1522</v>
      </c>
      <c r="C15651" t="s">
        <v>30</v>
      </c>
      <c r="D15651" t="s">
        <v>17</v>
      </c>
      <c r="E15651" t="s">
        <v>20</v>
      </c>
      <c r="F15651">
        <v>145321516</v>
      </c>
      <c r="G15651">
        <v>145321516</v>
      </c>
      <c r="H15651">
        <v>145321516</v>
      </c>
      <c r="I15651">
        <v>145321516</v>
      </c>
    </row>
    <row r="15652" spans="1:9" x14ac:dyDescent="0.2">
      <c r="A15652" s="1" t="str">
        <f>"SCYL1"</f>
        <v>SCYL1</v>
      </c>
      <c r="B15652" t="s">
        <v>14</v>
      </c>
      <c r="C15652" t="s">
        <v>27</v>
      </c>
      <c r="D15652" t="s">
        <v>17</v>
      </c>
      <c r="E15652" t="s">
        <v>12</v>
      </c>
      <c r="F15652">
        <v>65292538</v>
      </c>
      <c r="G15652">
        <v>65292606</v>
      </c>
      <c r="H15652">
        <v>65292961</v>
      </c>
      <c r="I15652">
        <v>65292993</v>
      </c>
    </row>
    <row r="15653" spans="1:9" x14ac:dyDescent="0.2">
      <c r="A15653" s="1" t="str">
        <f>"SCYL2"</f>
        <v>SCYL2</v>
      </c>
      <c r="B15653" t="s">
        <v>14</v>
      </c>
      <c r="C15653" t="s">
        <v>16</v>
      </c>
      <c r="D15653" t="s">
        <v>17</v>
      </c>
      <c r="E15653" t="s">
        <v>12</v>
      </c>
      <c r="F15653">
        <v>100661156</v>
      </c>
      <c r="G15653">
        <v>100661210</v>
      </c>
      <c r="H15653">
        <v>100660940</v>
      </c>
      <c r="I15653">
        <v>100660987</v>
      </c>
    </row>
    <row r="15654" spans="1:9" x14ac:dyDescent="0.2">
      <c r="A15654" s="1" t="str">
        <f>"SCYL3"</f>
        <v>SCYL3</v>
      </c>
      <c r="B15654" t="s">
        <v>14</v>
      </c>
      <c r="C15654" t="s">
        <v>19</v>
      </c>
      <c r="D15654" t="s">
        <v>11</v>
      </c>
      <c r="E15654" t="s">
        <v>12</v>
      </c>
      <c r="F15654">
        <v>169863016</v>
      </c>
      <c r="G15654">
        <v>169863109</v>
      </c>
      <c r="H15654">
        <v>169863400</v>
      </c>
      <c r="I15654">
        <v>169863421</v>
      </c>
    </row>
    <row r="15655" spans="1:9" x14ac:dyDescent="0.2">
      <c r="A15655" s="1" t="str">
        <f>"SDAD1"</f>
        <v>SDAD1</v>
      </c>
      <c r="B15655" t="s">
        <v>14</v>
      </c>
      <c r="C15655" t="s">
        <v>23</v>
      </c>
      <c r="D15655" t="s">
        <v>11</v>
      </c>
      <c r="E15655" t="s">
        <v>12</v>
      </c>
      <c r="F15655">
        <v>76912070</v>
      </c>
      <c r="G15655">
        <v>76912118</v>
      </c>
      <c r="H15655">
        <v>76912070</v>
      </c>
      <c r="I15655">
        <v>76912118</v>
      </c>
    </row>
    <row r="15656" spans="1:9" x14ac:dyDescent="0.2">
      <c r="A15656" s="1" t="str">
        <f>"SDC1"</f>
        <v>SDC1</v>
      </c>
      <c r="B15656" t="s">
        <v>14</v>
      </c>
      <c r="C15656" t="s">
        <v>26</v>
      </c>
      <c r="D15656" t="s">
        <v>11</v>
      </c>
      <c r="E15656" t="s">
        <v>12</v>
      </c>
      <c r="F15656">
        <v>20424816</v>
      </c>
      <c r="G15656">
        <v>20424834</v>
      </c>
      <c r="H15656">
        <v>20424844</v>
      </c>
      <c r="I15656">
        <v>20424863</v>
      </c>
    </row>
    <row r="15657" spans="1:9" x14ac:dyDescent="0.2">
      <c r="A15657" s="1" t="str">
        <f>"SDC2"</f>
        <v>SDC2</v>
      </c>
      <c r="B15657" t="s">
        <v>14</v>
      </c>
      <c r="C15657" t="s">
        <v>30</v>
      </c>
      <c r="D15657" t="s">
        <v>17</v>
      </c>
      <c r="E15657" t="s">
        <v>12</v>
      </c>
      <c r="F15657">
        <v>97506033</v>
      </c>
      <c r="G15657">
        <v>97506048</v>
      </c>
      <c r="H15657">
        <v>97505870</v>
      </c>
      <c r="I15657">
        <v>97505887</v>
      </c>
    </row>
    <row r="15658" spans="1:9" x14ac:dyDescent="0.2">
      <c r="A15658" s="1" t="str">
        <f>"SDC3"</f>
        <v>SDC3</v>
      </c>
      <c r="B15658" t="s">
        <v>14</v>
      </c>
      <c r="C15658" t="s">
        <v>19</v>
      </c>
      <c r="D15658" t="s">
        <v>11</v>
      </c>
      <c r="E15658" t="s">
        <v>12</v>
      </c>
      <c r="F15658">
        <v>31381528</v>
      </c>
      <c r="G15658">
        <v>31381659</v>
      </c>
      <c r="H15658">
        <v>31381528</v>
      </c>
      <c r="I15658">
        <v>31381659</v>
      </c>
    </row>
    <row r="15659" spans="1:9" x14ac:dyDescent="0.2">
      <c r="A15659" s="1" t="str">
        <f>"SDC4"</f>
        <v>SDC4</v>
      </c>
      <c r="B15659" t="s">
        <v>14</v>
      </c>
      <c r="C15659" t="s">
        <v>29</v>
      </c>
      <c r="D15659" t="s">
        <v>11</v>
      </c>
      <c r="E15659" t="s">
        <v>12</v>
      </c>
      <c r="F15659">
        <v>43977055</v>
      </c>
      <c r="G15659">
        <v>43977073</v>
      </c>
      <c r="H15659">
        <v>43977055</v>
      </c>
      <c r="I15659">
        <v>43977073</v>
      </c>
    </row>
    <row r="15660" spans="1:9" x14ac:dyDescent="0.2">
      <c r="A15660" s="1" t="str">
        <f>"SDCBP"</f>
        <v>SDCBP</v>
      </c>
      <c r="B15660" t="s">
        <v>14</v>
      </c>
      <c r="C15660" t="s">
        <v>30</v>
      </c>
      <c r="D15660" t="s">
        <v>17</v>
      </c>
      <c r="E15660" t="s">
        <v>12</v>
      </c>
      <c r="F15660">
        <v>59465790</v>
      </c>
      <c r="G15660">
        <v>59465826</v>
      </c>
      <c r="H15660">
        <v>59465790</v>
      </c>
      <c r="I15660">
        <v>59465826</v>
      </c>
    </row>
    <row r="15661" spans="1:9" x14ac:dyDescent="0.2">
      <c r="A15661" s="1" t="str">
        <f>"SDCBP2"</f>
        <v>SDCBP2</v>
      </c>
      <c r="B15661" t="s">
        <v>14</v>
      </c>
      <c r="C15661" t="s">
        <v>29</v>
      </c>
      <c r="D15661" t="s">
        <v>11</v>
      </c>
      <c r="E15661" t="s">
        <v>12</v>
      </c>
      <c r="F15661">
        <v>1309775</v>
      </c>
      <c r="G15661">
        <v>1309800</v>
      </c>
      <c r="H15661">
        <v>1309775</v>
      </c>
      <c r="I15661">
        <v>1309800</v>
      </c>
    </row>
    <row r="15662" spans="1:9" x14ac:dyDescent="0.2">
      <c r="A15662" s="1" t="str">
        <f>"SDCCAG3"</f>
        <v>SDCCAG3</v>
      </c>
      <c r="B15662" t="s">
        <v>14</v>
      </c>
      <c r="C15662" t="s">
        <v>24</v>
      </c>
      <c r="D15662" t="s">
        <v>11</v>
      </c>
      <c r="E15662" t="s">
        <v>12</v>
      </c>
      <c r="F15662">
        <v>139305005</v>
      </c>
      <c r="G15662">
        <v>139305046</v>
      </c>
      <c r="H15662">
        <v>139305051</v>
      </c>
      <c r="I15662">
        <v>139305080</v>
      </c>
    </row>
    <row r="15663" spans="1:9" x14ac:dyDescent="0.2">
      <c r="A15663" s="1" t="str">
        <f>"SDCCAG8"</f>
        <v>SDCCAG8</v>
      </c>
      <c r="B15663" t="s">
        <v>14</v>
      </c>
      <c r="C15663" t="s">
        <v>19</v>
      </c>
      <c r="D15663" t="s">
        <v>17</v>
      </c>
      <c r="E15663" t="s">
        <v>12</v>
      </c>
      <c r="F15663">
        <v>243419306</v>
      </c>
      <c r="G15663">
        <v>243419422</v>
      </c>
      <c r="H15663">
        <v>243419306</v>
      </c>
      <c r="I15663">
        <v>243419422</v>
      </c>
    </row>
    <row r="15664" spans="1:9" x14ac:dyDescent="0.2">
      <c r="A15664" s="1" t="str">
        <f>"SDE2"</f>
        <v>SDE2</v>
      </c>
      <c r="B15664" t="s">
        <v>14</v>
      </c>
      <c r="C15664" t="s">
        <v>19</v>
      </c>
      <c r="D15664" t="s">
        <v>11</v>
      </c>
      <c r="E15664" t="s">
        <v>12</v>
      </c>
      <c r="F15664">
        <v>226187013</v>
      </c>
      <c r="G15664">
        <v>226187071</v>
      </c>
      <c r="H15664">
        <v>226187013</v>
      </c>
      <c r="I15664">
        <v>226187071</v>
      </c>
    </row>
    <row r="15665" spans="1:9" x14ac:dyDescent="0.2">
      <c r="A15665" s="1" t="str">
        <f>"SDF2"</f>
        <v>SDF2</v>
      </c>
      <c r="B15665" t="s">
        <v>14</v>
      </c>
      <c r="C15665" t="s">
        <v>28</v>
      </c>
      <c r="D15665" t="s">
        <v>11</v>
      </c>
      <c r="E15665" t="s">
        <v>12</v>
      </c>
      <c r="F15665">
        <v>26988915</v>
      </c>
      <c r="G15665">
        <v>26988940</v>
      </c>
      <c r="H15665">
        <v>26989136</v>
      </c>
      <c r="I15665">
        <v>26989218</v>
      </c>
    </row>
    <row r="15666" spans="1:9" x14ac:dyDescent="0.2">
      <c r="A15666" s="1" t="str">
        <f>"SDF2L1"</f>
        <v>SDF2L1</v>
      </c>
      <c r="B15666" t="s">
        <v>14</v>
      </c>
      <c r="C15666" t="s">
        <v>21</v>
      </c>
      <c r="D15666" t="s">
        <v>17</v>
      </c>
      <c r="E15666" t="s">
        <v>12</v>
      </c>
      <c r="F15666">
        <v>21996575</v>
      </c>
      <c r="G15666">
        <v>21996642</v>
      </c>
      <c r="H15666">
        <v>21996549</v>
      </c>
      <c r="I15666">
        <v>21996566</v>
      </c>
    </row>
    <row r="15667" spans="1:9" x14ac:dyDescent="0.2">
      <c r="A15667" s="1" t="str">
        <f>"SDF4"</f>
        <v>SDF4</v>
      </c>
      <c r="B15667" t="s">
        <v>14</v>
      </c>
      <c r="C15667" t="s">
        <v>19</v>
      </c>
      <c r="D15667" t="s">
        <v>11</v>
      </c>
      <c r="E15667" t="s">
        <v>12</v>
      </c>
      <c r="F15667">
        <v>1167346</v>
      </c>
      <c r="G15667">
        <v>1167392</v>
      </c>
      <c r="H15667">
        <v>1167431</v>
      </c>
      <c r="I15667">
        <v>1167452</v>
      </c>
    </row>
    <row r="15668" spans="1:9" x14ac:dyDescent="0.2">
      <c r="A15668" s="1" t="str">
        <f>"SDHA"</f>
        <v>SDHA</v>
      </c>
      <c r="B15668" t="s">
        <v>14</v>
      </c>
      <c r="C15668" t="s">
        <v>46</v>
      </c>
      <c r="D15668" t="s">
        <v>17</v>
      </c>
      <c r="E15668" t="s">
        <v>12</v>
      </c>
      <c r="F15668">
        <v>218420</v>
      </c>
      <c r="G15668">
        <v>218453</v>
      </c>
      <c r="H15668">
        <v>218458</v>
      </c>
      <c r="I15668">
        <v>218472</v>
      </c>
    </row>
    <row r="15669" spans="1:9" x14ac:dyDescent="0.2">
      <c r="A15669" s="1" t="str">
        <f>"SDHAF1"</f>
        <v>SDHAF1</v>
      </c>
      <c r="B15669" t="s">
        <v>14</v>
      </c>
      <c r="C15669" t="s">
        <v>10</v>
      </c>
      <c r="D15669" t="s">
        <v>17</v>
      </c>
      <c r="E15669" t="s">
        <v>12</v>
      </c>
      <c r="F15669">
        <v>36486078</v>
      </c>
      <c r="G15669">
        <v>36486123</v>
      </c>
      <c r="H15669">
        <v>36486140</v>
      </c>
      <c r="I15669">
        <v>36486151</v>
      </c>
    </row>
    <row r="15670" spans="1:9" x14ac:dyDescent="0.2">
      <c r="A15670" s="1" t="str">
        <f>"SDHAF2"</f>
        <v>SDHAF2</v>
      </c>
      <c r="B15670" t="s">
        <v>14</v>
      </c>
      <c r="C15670" t="s">
        <v>27</v>
      </c>
      <c r="D15670" t="s">
        <v>17</v>
      </c>
      <c r="E15670" t="s">
        <v>12</v>
      </c>
      <c r="F15670">
        <v>61197572</v>
      </c>
      <c r="G15670">
        <v>61197620</v>
      </c>
      <c r="H15670">
        <v>61197508</v>
      </c>
      <c r="I15670">
        <v>61197538</v>
      </c>
    </row>
    <row r="15671" spans="1:9" x14ac:dyDescent="0.2">
      <c r="A15671" s="1" t="str">
        <f>"SDHB"</f>
        <v>SDHB</v>
      </c>
      <c r="B15671" t="s">
        <v>14</v>
      </c>
      <c r="C15671" t="s">
        <v>19</v>
      </c>
      <c r="D15671" t="s">
        <v>11</v>
      </c>
      <c r="E15671" t="s">
        <v>12</v>
      </c>
      <c r="F15671">
        <v>17380510</v>
      </c>
      <c r="G15671">
        <v>17380541</v>
      </c>
      <c r="H15671">
        <v>17380600</v>
      </c>
      <c r="I15671">
        <v>17380615</v>
      </c>
    </row>
    <row r="15672" spans="1:9" x14ac:dyDescent="0.2">
      <c r="A15672" s="1" t="str">
        <f>"SDHC"</f>
        <v>SDHC</v>
      </c>
      <c r="B15672" t="s">
        <v>14</v>
      </c>
      <c r="C15672" t="s">
        <v>19</v>
      </c>
      <c r="D15672" t="s">
        <v>17</v>
      </c>
      <c r="E15672" t="s">
        <v>12</v>
      </c>
      <c r="F15672">
        <v>161284163</v>
      </c>
      <c r="G15672">
        <v>161284180</v>
      </c>
      <c r="H15672">
        <v>161284163</v>
      </c>
      <c r="I15672">
        <v>161284180</v>
      </c>
    </row>
    <row r="15673" spans="1:9" x14ac:dyDescent="0.2">
      <c r="A15673" s="1" t="str">
        <f>"SDHD"</f>
        <v>SDHD</v>
      </c>
      <c r="B15673" t="s">
        <v>14</v>
      </c>
      <c r="C15673" t="s">
        <v>27</v>
      </c>
      <c r="D15673" t="s">
        <v>17</v>
      </c>
      <c r="E15673" t="s">
        <v>12</v>
      </c>
      <c r="F15673">
        <v>111957580</v>
      </c>
      <c r="G15673">
        <v>111957611</v>
      </c>
      <c r="H15673">
        <v>111957580</v>
      </c>
      <c r="I15673">
        <v>111957611</v>
      </c>
    </row>
    <row r="15674" spans="1:9" x14ac:dyDescent="0.2">
      <c r="A15674" s="1" t="str">
        <f>"SDK1"</f>
        <v>SDK1</v>
      </c>
      <c r="B15674" t="s">
        <v>14</v>
      </c>
      <c r="C15674" t="s">
        <v>33</v>
      </c>
      <c r="D15674" t="s">
        <v>17</v>
      </c>
      <c r="E15674" t="s">
        <v>12</v>
      </c>
      <c r="F15674">
        <v>3340875</v>
      </c>
      <c r="G15674">
        <v>3340896</v>
      </c>
      <c r="H15674">
        <v>3340875</v>
      </c>
      <c r="I15674">
        <v>3340896</v>
      </c>
    </row>
    <row r="15675" spans="1:9" x14ac:dyDescent="0.2">
      <c r="A15675" s="1" t="str">
        <f>"SDK2"</f>
        <v>SDK2</v>
      </c>
      <c r="B15675" t="s">
        <v>14</v>
      </c>
      <c r="C15675" t="s">
        <v>28</v>
      </c>
      <c r="D15675" t="s">
        <v>11</v>
      </c>
      <c r="E15675" t="s">
        <v>12</v>
      </c>
      <c r="F15675">
        <v>71640572</v>
      </c>
      <c r="G15675">
        <v>71640594</v>
      </c>
      <c r="H15675">
        <v>71640572</v>
      </c>
      <c r="I15675">
        <v>71640594</v>
      </c>
    </row>
    <row r="15676" spans="1:9" x14ac:dyDescent="0.2">
      <c r="A15676" s="1" t="str">
        <f>"SDPR"</f>
        <v>SDPR</v>
      </c>
      <c r="B15676" t="s">
        <v>14</v>
      </c>
      <c r="C15676" t="s">
        <v>26</v>
      </c>
      <c r="D15676" t="s">
        <v>11</v>
      </c>
      <c r="E15676" t="s">
        <v>12</v>
      </c>
      <c r="F15676">
        <v>192711795</v>
      </c>
      <c r="G15676">
        <v>192711830</v>
      </c>
      <c r="H15676">
        <v>192711954</v>
      </c>
      <c r="I15676">
        <v>192711965</v>
      </c>
    </row>
    <row r="15677" spans="1:9" x14ac:dyDescent="0.2">
      <c r="A15677" s="1" t="str">
        <f>"SDR16C5"</f>
        <v>SDR16C5</v>
      </c>
      <c r="B15677" t="s">
        <v>14</v>
      </c>
      <c r="C15677" t="s">
        <v>30</v>
      </c>
      <c r="D15677" t="s">
        <v>11</v>
      </c>
      <c r="E15677" t="s">
        <v>12</v>
      </c>
      <c r="F15677">
        <v>57232656</v>
      </c>
      <c r="G15677">
        <v>57232743</v>
      </c>
      <c r="H15677">
        <v>57233103</v>
      </c>
      <c r="I15677">
        <v>57233123</v>
      </c>
    </row>
    <row r="15678" spans="1:9" x14ac:dyDescent="0.2">
      <c r="A15678" s="1" t="str">
        <f>"SDR39U1"</f>
        <v>SDR39U1</v>
      </c>
      <c r="B15678" t="s">
        <v>14</v>
      </c>
      <c r="C15678" t="s">
        <v>41</v>
      </c>
      <c r="D15678" t="s">
        <v>11</v>
      </c>
      <c r="E15678" t="s">
        <v>12</v>
      </c>
      <c r="F15678">
        <v>24911971</v>
      </c>
      <c r="G15678">
        <v>24912015</v>
      </c>
      <c r="H15678">
        <v>24911868</v>
      </c>
      <c r="I15678">
        <v>24911902</v>
      </c>
    </row>
    <row r="15679" spans="1:9" x14ac:dyDescent="0.2">
      <c r="A15679" s="1" t="str">
        <f>"SDR42E1"</f>
        <v>SDR42E1</v>
      </c>
      <c r="B15679" t="s">
        <v>14</v>
      </c>
      <c r="C15679" t="s">
        <v>31</v>
      </c>
      <c r="D15679" t="s">
        <v>11</v>
      </c>
      <c r="E15679" t="s">
        <v>12</v>
      </c>
      <c r="F15679">
        <v>82045049</v>
      </c>
      <c r="G15679">
        <v>82045105</v>
      </c>
      <c r="H15679">
        <v>82045020</v>
      </c>
      <c r="I15679">
        <v>82045043</v>
      </c>
    </row>
    <row r="15680" spans="1:9" x14ac:dyDescent="0.2">
      <c r="A15680" s="1" t="str">
        <f>"SDR42E2"</f>
        <v>SDR42E2</v>
      </c>
      <c r="B15680" t="s">
        <v>1523</v>
      </c>
      <c r="C15680" t="s">
        <v>31</v>
      </c>
      <c r="D15680" t="s">
        <v>17</v>
      </c>
      <c r="E15680" t="s">
        <v>20</v>
      </c>
      <c r="F15680">
        <v>22178281</v>
      </c>
      <c r="G15680">
        <v>22178281</v>
      </c>
      <c r="H15680">
        <v>22178281</v>
      </c>
      <c r="I15680">
        <v>22178281</v>
      </c>
    </row>
    <row r="15681" spans="1:9" x14ac:dyDescent="0.2">
      <c r="A15681" s="1" t="str">
        <f>"SDR9C7"</f>
        <v>SDR9C7</v>
      </c>
      <c r="B15681" t="s">
        <v>14</v>
      </c>
      <c r="C15681" t="s">
        <v>16</v>
      </c>
      <c r="D15681" t="s">
        <v>11</v>
      </c>
      <c r="E15681" t="s">
        <v>12</v>
      </c>
      <c r="F15681">
        <v>57328187</v>
      </c>
      <c r="G15681">
        <v>57328195</v>
      </c>
      <c r="H15681">
        <v>57328113</v>
      </c>
      <c r="I15681">
        <v>57328161</v>
      </c>
    </row>
    <row r="15682" spans="1:9" x14ac:dyDescent="0.2">
      <c r="A15682" s="1" t="str">
        <f>"SDS"</f>
        <v>SDS</v>
      </c>
      <c r="B15682" t="s">
        <v>14</v>
      </c>
      <c r="C15682" t="s">
        <v>16</v>
      </c>
      <c r="D15682" t="s">
        <v>11</v>
      </c>
      <c r="E15682" t="s">
        <v>12</v>
      </c>
      <c r="F15682">
        <v>113841678</v>
      </c>
      <c r="G15682">
        <v>113841700</v>
      </c>
      <c r="H15682">
        <v>113841678</v>
      </c>
      <c r="I15682">
        <v>113841700</v>
      </c>
    </row>
    <row r="15683" spans="1:9" x14ac:dyDescent="0.2">
      <c r="A15683" s="1" t="str">
        <f>"SDSL"</f>
        <v>SDSL</v>
      </c>
      <c r="B15683" t="s">
        <v>14</v>
      </c>
      <c r="C15683" t="s">
        <v>16</v>
      </c>
      <c r="D15683" t="s">
        <v>17</v>
      </c>
      <c r="E15683" t="s">
        <v>12</v>
      </c>
      <c r="F15683">
        <v>113860160</v>
      </c>
      <c r="G15683">
        <v>113860234</v>
      </c>
      <c r="H15683">
        <v>113860090</v>
      </c>
      <c r="I15683">
        <v>113860115</v>
      </c>
    </row>
    <row r="15684" spans="1:9" x14ac:dyDescent="0.2">
      <c r="A15684" s="1" t="str">
        <f>"SEBOX"</f>
        <v>SEBOX</v>
      </c>
      <c r="B15684" t="s">
        <v>14</v>
      </c>
      <c r="C15684" t="s">
        <v>28</v>
      </c>
      <c r="D15684" t="s">
        <v>11</v>
      </c>
      <c r="E15684" t="s">
        <v>12</v>
      </c>
      <c r="F15684">
        <v>26697304</v>
      </c>
      <c r="G15684">
        <v>26697335</v>
      </c>
      <c r="H15684">
        <v>26697276</v>
      </c>
      <c r="I15684">
        <v>26697303</v>
      </c>
    </row>
    <row r="15685" spans="1:9" x14ac:dyDescent="0.2">
      <c r="A15685" s="1" t="str">
        <f>"SEC11A"</f>
        <v>SEC11A</v>
      </c>
      <c r="B15685" t="s">
        <v>14</v>
      </c>
      <c r="C15685" t="s">
        <v>25</v>
      </c>
      <c r="D15685" t="s">
        <v>11</v>
      </c>
      <c r="E15685" t="s">
        <v>12</v>
      </c>
      <c r="F15685">
        <v>85259330</v>
      </c>
      <c r="G15685">
        <v>85259352</v>
      </c>
      <c r="H15685">
        <v>85259360</v>
      </c>
      <c r="I15685">
        <v>85259377</v>
      </c>
    </row>
    <row r="15686" spans="1:9" x14ac:dyDescent="0.2">
      <c r="A15686" s="1" t="str">
        <f>"SEC11C"</f>
        <v>SEC11C</v>
      </c>
      <c r="B15686" t="s">
        <v>14</v>
      </c>
      <c r="C15686" t="s">
        <v>43</v>
      </c>
      <c r="D15686" t="s">
        <v>17</v>
      </c>
      <c r="E15686" t="s">
        <v>12</v>
      </c>
      <c r="F15686">
        <v>56807096</v>
      </c>
      <c r="G15686">
        <v>56807175</v>
      </c>
      <c r="H15686">
        <v>56807069</v>
      </c>
      <c r="I15686">
        <v>56807080</v>
      </c>
    </row>
    <row r="15687" spans="1:9" x14ac:dyDescent="0.2">
      <c r="A15687" s="1" t="str">
        <f>"SEC13"</f>
        <v>SEC13</v>
      </c>
      <c r="B15687" t="s">
        <v>14</v>
      </c>
      <c r="C15687" t="s">
        <v>22</v>
      </c>
      <c r="D15687" t="s">
        <v>11</v>
      </c>
      <c r="E15687" t="s">
        <v>12</v>
      </c>
      <c r="F15687">
        <v>10362736</v>
      </c>
      <c r="G15687">
        <v>10362809</v>
      </c>
      <c r="H15687">
        <v>10362736</v>
      </c>
      <c r="I15687">
        <v>10362809</v>
      </c>
    </row>
    <row r="15688" spans="1:9" x14ac:dyDescent="0.2">
      <c r="A15688" s="1" t="str">
        <f>"SEC14L1"</f>
        <v>SEC14L1</v>
      </c>
      <c r="B15688" t="s">
        <v>9</v>
      </c>
      <c r="C15688" t="s">
        <v>28</v>
      </c>
      <c r="D15688" t="s">
        <v>17</v>
      </c>
      <c r="E15688" t="s">
        <v>12</v>
      </c>
      <c r="F15688">
        <v>75137034</v>
      </c>
      <c r="G15688">
        <v>75137125</v>
      </c>
      <c r="H15688">
        <v>75137034</v>
      </c>
      <c r="I15688">
        <v>75137125</v>
      </c>
    </row>
    <row r="15689" spans="1:9" x14ac:dyDescent="0.2">
      <c r="A15689" s="1" t="str">
        <f>"SEC14L1"</f>
        <v>SEC14L1</v>
      </c>
      <c r="B15689" t="s">
        <v>13</v>
      </c>
      <c r="C15689" t="s">
        <v>28</v>
      </c>
      <c r="D15689" t="s">
        <v>17</v>
      </c>
      <c r="E15689" t="s">
        <v>12</v>
      </c>
      <c r="F15689">
        <v>75084717</v>
      </c>
      <c r="G15689">
        <v>75084881</v>
      </c>
      <c r="H15689">
        <v>75084717</v>
      </c>
      <c r="I15689">
        <v>75084881</v>
      </c>
    </row>
    <row r="15690" spans="1:9" x14ac:dyDescent="0.2">
      <c r="A15690" s="1" t="str">
        <f>"SEC14L2"</f>
        <v>SEC14L2</v>
      </c>
      <c r="B15690" t="s">
        <v>14</v>
      </c>
      <c r="C15690" t="s">
        <v>21</v>
      </c>
      <c r="D15690" t="s">
        <v>17</v>
      </c>
      <c r="E15690" t="s">
        <v>12</v>
      </c>
      <c r="F15690">
        <v>30792980</v>
      </c>
      <c r="G15690">
        <v>30793047</v>
      </c>
      <c r="H15690">
        <v>30792967</v>
      </c>
      <c r="I15690">
        <v>30792978</v>
      </c>
    </row>
    <row r="15691" spans="1:9" x14ac:dyDescent="0.2">
      <c r="A15691" s="1" t="str">
        <f>"SEC14L3"</f>
        <v>SEC14L3</v>
      </c>
      <c r="B15691" t="s">
        <v>14</v>
      </c>
      <c r="C15691" t="s">
        <v>21</v>
      </c>
      <c r="D15691" t="s">
        <v>11</v>
      </c>
      <c r="E15691" t="s">
        <v>12</v>
      </c>
      <c r="F15691">
        <v>30867949</v>
      </c>
      <c r="G15691">
        <v>30867979</v>
      </c>
      <c r="H15691">
        <v>30868002</v>
      </c>
      <c r="I15691">
        <v>30868008</v>
      </c>
    </row>
    <row r="15692" spans="1:9" x14ac:dyDescent="0.2">
      <c r="A15692" s="1" t="str">
        <f>"SEC14L4"</f>
        <v>SEC14L4</v>
      </c>
      <c r="B15692" t="s">
        <v>14</v>
      </c>
      <c r="C15692" t="s">
        <v>21</v>
      </c>
      <c r="D15692" t="s">
        <v>11</v>
      </c>
      <c r="E15692" t="s">
        <v>12</v>
      </c>
      <c r="F15692">
        <v>30901648</v>
      </c>
      <c r="G15692">
        <v>30901705</v>
      </c>
      <c r="H15692">
        <v>30901648</v>
      </c>
      <c r="I15692">
        <v>30901705</v>
      </c>
    </row>
    <row r="15693" spans="1:9" x14ac:dyDescent="0.2">
      <c r="A15693" s="1" t="str">
        <f>"SEC14L5"</f>
        <v>SEC14L5</v>
      </c>
      <c r="B15693" t="s">
        <v>14</v>
      </c>
      <c r="C15693" t="s">
        <v>31</v>
      </c>
      <c r="D15693" t="s">
        <v>17</v>
      </c>
      <c r="E15693" t="s">
        <v>12</v>
      </c>
      <c r="F15693">
        <v>5008290</v>
      </c>
      <c r="G15693">
        <v>5008355</v>
      </c>
      <c r="H15693">
        <v>5008367</v>
      </c>
      <c r="I15693">
        <v>5008380</v>
      </c>
    </row>
    <row r="15694" spans="1:9" x14ac:dyDescent="0.2">
      <c r="A15694" s="1" t="str">
        <f>"SEC14L6"</f>
        <v>SEC14L6</v>
      </c>
      <c r="B15694" t="s">
        <v>14</v>
      </c>
      <c r="C15694" t="s">
        <v>21</v>
      </c>
      <c r="D15694" t="s">
        <v>11</v>
      </c>
      <c r="E15694" t="s">
        <v>12</v>
      </c>
      <c r="F15694">
        <v>30942722</v>
      </c>
      <c r="G15694">
        <v>30942729</v>
      </c>
      <c r="H15694">
        <v>30942722</v>
      </c>
      <c r="I15694">
        <v>30942729</v>
      </c>
    </row>
    <row r="15695" spans="1:9" x14ac:dyDescent="0.2">
      <c r="A15695" s="1" t="str">
        <f>"SEC16A"</f>
        <v>SEC16A</v>
      </c>
      <c r="B15695" t="s">
        <v>14</v>
      </c>
      <c r="C15695" t="s">
        <v>24</v>
      </c>
      <c r="D15695" t="s">
        <v>11</v>
      </c>
      <c r="E15695" t="s">
        <v>12</v>
      </c>
      <c r="F15695">
        <v>139377474</v>
      </c>
      <c r="G15695">
        <v>139377525</v>
      </c>
      <c r="H15695">
        <v>139378205</v>
      </c>
      <c r="I15695">
        <v>139378267</v>
      </c>
    </row>
    <row r="15696" spans="1:9" x14ac:dyDescent="0.2">
      <c r="A15696" s="1" t="str">
        <f>"SEC16B"</f>
        <v>SEC16B</v>
      </c>
      <c r="B15696" t="s">
        <v>14</v>
      </c>
      <c r="C15696" t="s">
        <v>19</v>
      </c>
      <c r="D15696" t="s">
        <v>11</v>
      </c>
      <c r="E15696" t="s">
        <v>12</v>
      </c>
      <c r="F15696">
        <v>177953394</v>
      </c>
      <c r="G15696">
        <v>177953424</v>
      </c>
      <c r="H15696">
        <v>177953427</v>
      </c>
      <c r="I15696">
        <v>177953443</v>
      </c>
    </row>
    <row r="15697" spans="1:9" x14ac:dyDescent="0.2">
      <c r="A15697" s="1" t="str">
        <f>"SEC22A"</f>
        <v>SEC22A</v>
      </c>
      <c r="B15697" t="s">
        <v>14</v>
      </c>
      <c r="C15697" t="s">
        <v>22</v>
      </c>
      <c r="D15697" t="s">
        <v>17</v>
      </c>
      <c r="E15697" t="s">
        <v>12</v>
      </c>
      <c r="F15697">
        <v>122920767</v>
      </c>
      <c r="G15697">
        <v>122920814</v>
      </c>
      <c r="H15697">
        <v>122920847</v>
      </c>
      <c r="I15697">
        <v>122920858</v>
      </c>
    </row>
    <row r="15698" spans="1:9" x14ac:dyDescent="0.2">
      <c r="A15698" s="1" t="str">
        <f>"SEC22B"</f>
        <v>SEC22B</v>
      </c>
      <c r="B15698" t="s">
        <v>14</v>
      </c>
      <c r="C15698" t="s">
        <v>19</v>
      </c>
      <c r="D15698" t="s">
        <v>17</v>
      </c>
      <c r="E15698" t="s">
        <v>12</v>
      </c>
      <c r="F15698">
        <v>145096387</v>
      </c>
      <c r="G15698">
        <v>145096477</v>
      </c>
      <c r="H15698">
        <v>145096480</v>
      </c>
      <c r="I15698">
        <v>145096513</v>
      </c>
    </row>
    <row r="15699" spans="1:9" x14ac:dyDescent="0.2">
      <c r="A15699" s="1" t="str">
        <f>"SEC22C"</f>
        <v>SEC22C</v>
      </c>
      <c r="B15699" t="s">
        <v>14</v>
      </c>
      <c r="C15699" t="s">
        <v>22</v>
      </c>
      <c r="D15699" t="s">
        <v>11</v>
      </c>
      <c r="E15699" t="s">
        <v>12</v>
      </c>
      <c r="F15699">
        <v>42623428</v>
      </c>
      <c r="G15699">
        <v>42623489</v>
      </c>
      <c r="H15699">
        <v>42623396</v>
      </c>
      <c r="I15699">
        <v>42623420</v>
      </c>
    </row>
    <row r="15700" spans="1:9" x14ac:dyDescent="0.2">
      <c r="A15700" s="1" t="str">
        <f>"SEC23A"</f>
        <v>SEC23A</v>
      </c>
      <c r="B15700" t="s">
        <v>14</v>
      </c>
      <c r="C15700" t="s">
        <v>41</v>
      </c>
      <c r="D15700" t="s">
        <v>11</v>
      </c>
      <c r="E15700" t="s">
        <v>12</v>
      </c>
      <c r="F15700">
        <v>39572345</v>
      </c>
      <c r="G15700">
        <v>39572453</v>
      </c>
      <c r="H15700">
        <v>39572307</v>
      </c>
      <c r="I15700">
        <v>39572340</v>
      </c>
    </row>
    <row r="15701" spans="1:9" x14ac:dyDescent="0.2">
      <c r="A15701" s="1" t="str">
        <f>"SEC23B"</f>
        <v>SEC23B</v>
      </c>
      <c r="B15701" t="s">
        <v>14</v>
      </c>
      <c r="C15701" t="s">
        <v>29</v>
      </c>
      <c r="D15701" t="s">
        <v>17</v>
      </c>
      <c r="E15701" t="s">
        <v>12</v>
      </c>
      <c r="F15701">
        <v>18488528</v>
      </c>
      <c r="G15701">
        <v>18488593</v>
      </c>
      <c r="H15701">
        <v>18488177</v>
      </c>
      <c r="I15701">
        <v>18488255</v>
      </c>
    </row>
    <row r="15702" spans="1:9" x14ac:dyDescent="0.2">
      <c r="A15702" s="1" t="str">
        <f>"SEC23IP"</f>
        <v>SEC23IP</v>
      </c>
      <c r="B15702" t="s">
        <v>14</v>
      </c>
      <c r="C15702" t="s">
        <v>15</v>
      </c>
      <c r="D15702" t="s">
        <v>17</v>
      </c>
      <c r="E15702" t="s">
        <v>12</v>
      </c>
      <c r="F15702">
        <v>121652204</v>
      </c>
      <c r="G15702">
        <v>121652286</v>
      </c>
      <c r="H15702">
        <v>121652192</v>
      </c>
      <c r="I15702">
        <v>121652203</v>
      </c>
    </row>
    <row r="15703" spans="1:9" x14ac:dyDescent="0.2">
      <c r="A15703" s="1" t="str">
        <f>"SEC24A"</f>
        <v>SEC24A</v>
      </c>
      <c r="B15703" t="s">
        <v>14</v>
      </c>
      <c r="C15703" t="s">
        <v>46</v>
      </c>
      <c r="D15703" t="s">
        <v>17</v>
      </c>
      <c r="E15703" t="s">
        <v>12</v>
      </c>
      <c r="F15703">
        <v>133984462</v>
      </c>
      <c r="G15703">
        <v>133984513</v>
      </c>
      <c r="H15703">
        <v>133984515</v>
      </c>
      <c r="I15703">
        <v>133984539</v>
      </c>
    </row>
    <row r="15704" spans="1:9" x14ac:dyDescent="0.2">
      <c r="A15704" s="1" t="str">
        <f>"SEC24B"</f>
        <v>SEC24B</v>
      </c>
      <c r="B15704" t="s">
        <v>14</v>
      </c>
      <c r="C15704" t="s">
        <v>23</v>
      </c>
      <c r="D15704" t="s">
        <v>17</v>
      </c>
      <c r="E15704" t="s">
        <v>12</v>
      </c>
      <c r="F15704">
        <v>110354960</v>
      </c>
      <c r="G15704">
        <v>110355030</v>
      </c>
      <c r="H15704">
        <v>110354800</v>
      </c>
      <c r="I15704">
        <v>110354827</v>
      </c>
    </row>
    <row r="15705" spans="1:9" x14ac:dyDescent="0.2">
      <c r="A15705" s="1" t="str">
        <f>"SEC24C"</f>
        <v>SEC24C</v>
      </c>
      <c r="B15705" t="s">
        <v>14</v>
      </c>
      <c r="C15705" t="s">
        <v>15</v>
      </c>
      <c r="D15705" t="s">
        <v>17</v>
      </c>
      <c r="E15705" t="s">
        <v>12</v>
      </c>
      <c r="F15705">
        <v>75504105</v>
      </c>
      <c r="G15705">
        <v>75504190</v>
      </c>
      <c r="H15705">
        <v>75504105</v>
      </c>
      <c r="I15705">
        <v>75504190</v>
      </c>
    </row>
    <row r="15706" spans="1:9" x14ac:dyDescent="0.2">
      <c r="A15706" s="1" t="str">
        <f>"SEC24D"</f>
        <v>SEC24D</v>
      </c>
      <c r="B15706" t="s">
        <v>14</v>
      </c>
      <c r="C15706" t="s">
        <v>23</v>
      </c>
      <c r="D15706" t="s">
        <v>11</v>
      </c>
      <c r="E15706" t="s">
        <v>12</v>
      </c>
      <c r="F15706">
        <v>119757239</v>
      </c>
      <c r="G15706">
        <v>119757305</v>
      </c>
      <c r="H15706">
        <v>119757222</v>
      </c>
      <c r="I15706">
        <v>119757238</v>
      </c>
    </row>
    <row r="15707" spans="1:9" x14ac:dyDescent="0.2">
      <c r="A15707" s="1" t="str">
        <f>"SEC31A"</f>
        <v>SEC31A</v>
      </c>
      <c r="B15707" t="s">
        <v>9</v>
      </c>
      <c r="C15707" t="s">
        <v>23</v>
      </c>
      <c r="D15707" t="s">
        <v>11</v>
      </c>
      <c r="E15707" t="s">
        <v>12</v>
      </c>
      <c r="F15707">
        <v>83812268</v>
      </c>
      <c r="G15707">
        <v>83812401</v>
      </c>
      <c r="H15707">
        <v>83812268</v>
      </c>
      <c r="I15707">
        <v>83812401</v>
      </c>
    </row>
    <row r="15708" spans="1:9" x14ac:dyDescent="0.2">
      <c r="A15708" s="1" t="str">
        <f>"SEC31A"</f>
        <v>SEC31A</v>
      </c>
      <c r="B15708" t="s">
        <v>13</v>
      </c>
      <c r="C15708" t="s">
        <v>23</v>
      </c>
      <c r="D15708" t="s">
        <v>11</v>
      </c>
      <c r="E15708" t="s">
        <v>12</v>
      </c>
      <c r="F15708">
        <v>83821676</v>
      </c>
      <c r="G15708">
        <v>83821728</v>
      </c>
      <c r="H15708">
        <v>83821676</v>
      </c>
      <c r="I15708">
        <v>83821728</v>
      </c>
    </row>
    <row r="15709" spans="1:9" x14ac:dyDescent="0.2">
      <c r="A15709" s="1" t="str">
        <f>"SEC31B"</f>
        <v>SEC31B</v>
      </c>
      <c r="B15709" t="s">
        <v>9</v>
      </c>
      <c r="C15709" t="s">
        <v>15</v>
      </c>
      <c r="D15709" t="s">
        <v>11</v>
      </c>
      <c r="E15709" t="s">
        <v>12</v>
      </c>
      <c r="F15709">
        <v>102289611</v>
      </c>
      <c r="G15709">
        <v>102289643</v>
      </c>
      <c r="H15709">
        <v>102289611</v>
      </c>
      <c r="I15709">
        <v>102289643</v>
      </c>
    </row>
    <row r="15710" spans="1:9" x14ac:dyDescent="0.2">
      <c r="A15710" s="1" t="str">
        <f>"SEC31B"</f>
        <v>SEC31B</v>
      </c>
      <c r="B15710" t="s">
        <v>13</v>
      </c>
      <c r="C15710" t="s">
        <v>15</v>
      </c>
      <c r="D15710" t="s">
        <v>11</v>
      </c>
      <c r="E15710" t="s">
        <v>12</v>
      </c>
      <c r="F15710">
        <v>102279586</v>
      </c>
      <c r="G15710">
        <v>102279637</v>
      </c>
      <c r="H15710">
        <v>102279586</v>
      </c>
      <c r="I15710">
        <v>102279637</v>
      </c>
    </row>
    <row r="15711" spans="1:9" x14ac:dyDescent="0.2">
      <c r="A15711" s="1" t="str">
        <f>"SEC61A1"</f>
        <v>SEC61A1</v>
      </c>
      <c r="B15711" t="s">
        <v>9</v>
      </c>
      <c r="C15711" t="s">
        <v>22</v>
      </c>
      <c r="D15711" t="s">
        <v>17</v>
      </c>
      <c r="E15711" t="s">
        <v>12</v>
      </c>
      <c r="F15711">
        <v>127771233</v>
      </c>
      <c r="G15711">
        <v>127771316</v>
      </c>
      <c r="H15711">
        <v>127771233</v>
      </c>
      <c r="I15711">
        <v>127771316</v>
      </c>
    </row>
    <row r="15712" spans="1:9" x14ac:dyDescent="0.2">
      <c r="A15712" s="1" t="str">
        <f>"SEC61A1"</f>
        <v>SEC61A1</v>
      </c>
      <c r="B15712" t="s">
        <v>13</v>
      </c>
      <c r="C15712" t="s">
        <v>22</v>
      </c>
      <c r="D15712" t="s">
        <v>17</v>
      </c>
      <c r="E15712" t="s">
        <v>12</v>
      </c>
      <c r="F15712">
        <v>127783792</v>
      </c>
      <c r="G15712">
        <v>127783816</v>
      </c>
      <c r="H15712">
        <v>127783792</v>
      </c>
      <c r="I15712">
        <v>127783816</v>
      </c>
    </row>
    <row r="15713" spans="1:9" x14ac:dyDescent="0.2">
      <c r="A15713" s="1" t="str">
        <f>"SEC61A2"</f>
        <v>SEC61A2</v>
      </c>
      <c r="B15713" t="s">
        <v>14</v>
      </c>
      <c r="C15713" t="s">
        <v>15</v>
      </c>
      <c r="D15713" t="s">
        <v>17</v>
      </c>
      <c r="E15713" t="s">
        <v>12</v>
      </c>
      <c r="F15713">
        <v>12171641</v>
      </c>
      <c r="G15713">
        <v>12171720</v>
      </c>
      <c r="H15713">
        <v>12171721</v>
      </c>
      <c r="I15713">
        <v>12171732</v>
      </c>
    </row>
    <row r="15714" spans="1:9" x14ac:dyDescent="0.2">
      <c r="A15714" s="1" t="str">
        <f>"SEC61B"</f>
        <v>SEC61B</v>
      </c>
      <c r="B15714" t="s">
        <v>14</v>
      </c>
      <c r="C15714" t="s">
        <v>24</v>
      </c>
      <c r="D15714" t="s">
        <v>17</v>
      </c>
      <c r="E15714" t="s">
        <v>12</v>
      </c>
      <c r="F15714">
        <v>101984540</v>
      </c>
      <c r="G15714">
        <v>101984572</v>
      </c>
      <c r="H15714">
        <v>101984577</v>
      </c>
      <c r="I15714">
        <v>101984616</v>
      </c>
    </row>
    <row r="15715" spans="1:9" x14ac:dyDescent="0.2">
      <c r="A15715" s="1" t="str">
        <f>"SEC61G"</f>
        <v>SEC61G</v>
      </c>
      <c r="B15715" t="s">
        <v>14</v>
      </c>
      <c r="C15715" t="s">
        <v>33</v>
      </c>
      <c r="D15715" t="s">
        <v>11</v>
      </c>
      <c r="E15715" t="s">
        <v>12</v>
      </c>
      <c r="F15715">
        <v>54826882</v>
      </c>
      <c r="G15715">
        <v>54826913</v>
      </c>
      <c r="H15715">
        <v>54826920</v>
      </c>
      <c r="I15715">
        <v>54826933</v>
      </c>
    </row>
    <row r="15716" spans="1:9" x14ac:dyDescent="0.2">
      <c r="A15716" s="1" t="str">
        <f>"SEC62"</f>
        <v>SEC62</v>
      </c>
      <c r="B15716" t="s">
        <v>14</v>
      </c>
      <c r="C15716" t="s">
        <v>22</v>
      </c>
      <c r="D15716" t="s">
        <v>17</v>
      </c>
      <c r="E15716" t="s">
        <v>12</v>
      </c>
      <c r="F15716">
        <v>169684569</v>
      </c>
      <c r="G15716">
        <v>169684616</v>
      </c>
      <c r="H15716">
        <v>169684569</v>
      </c>
      <c r="I15716">
        <v>169684616</v>
      </c>
    </row>
    <row r="15717" spans="1:9" x14ac:dyDescent="0.2">
      <c r="A15717" s="1" t="str">
        <f>"SEC63"</f>
        <v>SEC63</v>
      </c>
      <c r="B15717" t="s">
        <v>14</v>
      </c>
      <c r="C15717" t="s">
        <v>32</v>
      </c>
      <c r="D15717" t="s">
        <v>11</v>
      </c>
      <c r="E15717" t="s">
        <v>12</v>
      </c>
      <c r="F15717">
        <v>108279369</v>
      </c>
      <c r="G15717">
        <v>108279422</v>
      </c>
      <c r="H15717">
        <v>108279309</v>
      </c>
      <c r="I15717">
        <v>108279366</v>
      </c>
    </row>
    <row r="15718" spans="1:9" x14ac:dyDescent="0.2">
      <c r="A15718" s="1" t="str">
        <f>"SECISBP2"</f>
        <v>SECISBP2</v>
      </c>
      <c r="B15718" t="s">
        <v>14</v>
      </c>
      <c r="C15718" t="s">
        <v>24</v>
      </c>
      <c r="D15718" t="s">
        <v>17</v>
      </c>
      <c r="E15718" t="s">
        <v>12</v>
      </c>
      <c r="F15718">
        <v>91933407</v>
      </c>
      <c r="G15718">
        <v>91933458</v>
      </c>
      <c r="H15718">
        <v>91933382</v>
      </c>
      <c r="I15718">
        <v>91933395</v>
      </c>
    </row>
    <row r="15719" spans="1:9" x14ac:dyDescent="0.2">
      <c r="A15719" s="1" t="str">
        <f>"SECISBP2L"</f>
        <v>SECISBP2L</v>
      </c>
      <c r="B15719" t="s">
        <v>14</v>
      </c>
      <c r="C15719" t="s">
        <v>25</v>
      </c>
      <c r="D15719" t="s">
        <v>11</v>
      </c>
      <c r="E15719" t="s">
        <v>12</v>
      </c>
      <c r="F15719">
        <v>49338624</v>
      </c>
      <c r="G15719">
        <v>49338700</v>
      </c>
      <c r="H15719">
        <v>49338704</v>
      </c>
      <c r="I15719">
        <v>49338715</v>
      </c>
    </row>
    <row r="15720" spans="1:9" x14ac:dyDescent="0.2">
      <c r="A15720" s="1" t="str">
        <f>"SECTM1"</f>
        <v>SECTM1</v>
      </c>
      <c r="B15720" t="s">
        <v>14</v>
      </c>
      <c r="C15720" t="s">
        <v>28</v>
      </c>
      <c r="D15720" t="s">
        <v>11</v>
      </c>
      <c r="E15720" t="s">
        <v>12</v>
      </c>
      <c r="F15720">
        <v>80291597</v>
      </c>
      <c r="G15720">
        <v>80291623</v>
      </c>
      <c r="H15720">
        <v>80291597</v>
      </c>
      <c r="I15720">
        <v>80291623</v>
      </c>
    </row>
    <row r="15721" spans="1:9" x14ac:dyDescent="0.2">
      <c r="A15721" s="1" t="str">
        <f>"SEH1L"</f>
        <v>SEH1L</v>
      </c>
      <c r="B15721" t="s">
        <v>14</v>
      </c>
      <c r="C15721" t="s">
        <v>43</v>
      </c>
      <c r="D15721" t="s">
        <v>17</v>
      </c>
      <c r="E15721" t="s">
        <v>12</v>
      </c>
      <c r="F15721">
        <v>12948000</v>
      </c>
      <c r="G15721">
        <v>12948057</v>
      </c>
      <c r="H15721">
        <v>12947981</v>
      </c>
      <c r="I15721">
        <v>12947992</v>
      </c>
    </row>
    <row r="15722" spans="1:9" x14ac:dyDescent="0.2">
      <c r="A15722" s="1" t="str">
        <f>"SEL1L"</f>
        <v>SEL1L</v>
      </c>
      <c r="B15722" t="s">
        <v>14</v>
      </c>
      <c r="C15722" t="s">
        <v>41</v>
      </c>
      <c r="D15722" t="s">
        <v>11</v>
      </c>
      <c r="E15722" t="s">
        <v>12</v>
      </c>
      <c r="F15722">
        <v>82000140</v>
      </c>
      <c r="G15722">
        <v>82000229</v>
      </c>
      <c r="H15722">
        <v>82000140</v>
      </c>
      <c r="I15722">
        <v>82000229</v>
      </c>
    </row>
    <row r="15723" spans="1:9" x14ac:dyDescent="0.2">
      <c r="A15723" s="1" t="str">
        <f>"SEL1L2"</f>
        <v>SEL1L2</v>
      </c>
      <c r="B15723" t="s">
        <v>1524</v>
      </c>
      <c r="C15723" t="s">
        <v>29</v>
      </c>
      <c r="D15723" t="s">
        <v>11</v>
      </c>
      <c r="E15723" t="s">
        <v>35</v>
      </c>
      <c r="F15723">
        <v>13971285</v>
      </c>
      <c r="G15723">
        <v>13971290</v>
      </c>
      <c r="H15723">
        <v>13971255</v>
      </c>
      <c r="I15723">
        <v>13971264</v>
      </c>
    </row>
    <row r="15724" spans="1:9" x14ac:dyDescent="0.2">
      <c r="A15724" s="1" t="str">
        <f>"SEL1L3"</f>
        <v>SEL1L3</v>
      </c>
      <c r="B15724" t="s">
        <v>14</v>
      </c>
      <c r="C15724" t="s">
        <v>23</v>
      </c>
      <c r="D15724" t="s">
        <v>11</v>
      </c>
      <c r="E15724" t="s">
        <v>12</v>
      </c>
      <c r="F15724">
        <v>25864601</v>
      </c>
      <c r="G15724">
        <v>25864621</v>
      </c>
      <c r="H15724">
        <v>25864417</v>
      </c>
      <c r="I15724">
        <v>25864501</v>
      </c>
    </row>
    <row r="15725" spans="1:9" x14ac:dyDescent="0.2">
      <c r="A15725" s="1" t="str">
        <f>"SELE"</f>
        <v>SELE</v>
      </c>
      <c r="B15725" t="s">
        <v>14</v>
      </c>
      <c r="C15725" t="s">
        <v>19</v>
      </c>
      <c r="D15725" t="s">
        <v>11</v>
      </c>
      <c r="E15725" t="s">
        <v>12</v>
      </c>
      <c r="F15725">
        <v>169703213</v>
      </c>
      <c r="G15725">
        <v>169703227</v>
      </c>
      <c r="H15725">
        <v>169703213</v>
      </c>
      <c r="I15725">
        <v>169703227</v>
      </c>
    </row>
    <row r="15726" spans="1:9" x14ac:dyDescent="0.2">
      <c r="A15726" s="1" t="str">
        <f>"SELENBP1"</f>
        <v>SELENBP1</v>
      </c>
      <c r="B15726" t="s">
        <v>14</v>
      </c>
      <c r="C15726" t="s">
        <v>19</v>
      </c>
      <c r="D15726" t="s">
        <v>11</v>
      </c>
      <c r="E15726" t="s">
        <v>12</v>
      </c>
      <c r="F15726">
        <v>151345171</v>
      </c>
      <c r="G15726">
        <v>151345188</v>
      </c>
      <c r="H15726">
        <v>151345171</v>
      </c>
      <c r="I15726">
        <v>151345188</v>
      </c>
    </row>
    <row r="15727" spans="1:9" x14ac:dyDescent="0.2">
      <c r="A15727" s="1" t="str">
        <f>"SELL"</f>
        <v>SELL</v>
      </c>
      <c r="B15727" t="s">
        <v>14</v>
      </c>
      <c r="C15727" t="s">
        <v>19</v>
      </c>
      <c r="D15727" t="s">
        <v>11</v>
      </c>
      <c r="E15727" t="s">
        <v>12</v>
      </c>
      <c r="F15727">
        <v>169680745</v>
      </c>
      <c r="G15727">
        <v>169680771</v>
      </c>
      <c r="H15727">
        <v>169680727</v>
      </c>
      <c r="I15727">
        <v>169680738</v>
      </c>
    </row>
    <row r="15728" spans="1:9" x14ac:dyDescent="0.2">
      <c r="A15728" s="1" t="str">
        <f>"SELP"</f>
        <v>SELP</v>
      </c>
      <c r="B15728" t="s">
        <v>14</v>
      </c>
      <c r="C15728" t="s">
        <v>19</v>
      </c>
      <c r="D15728" t="s">
        <v>11</v>
      </c>
      <c r="E15728" t="s">
        <v>12</v>
      </c>
      <c r="F15728">
        <v>169599353</v>
      </c>
      <c r="G15728">
        <v>169599379</v>
      </c>
      <c r="H15728">
        <v>169599334</v>
      </c>
      <c r="I15728">
        <v>169599350</v>
      </c>
    </row>
    <row r="15729" spans="1:9" x14ac:dyDescent="0.2">
      <c r="A15729" s="1" t="str">
        <f>"SELPLG"</f>
        <v>SELPLG</v>
      </c>
      <c r="B15729" t="s">
        <v>14</v>
      </c>
      <c r="C15729" t="s">
        <v>16</v>
      </c>
      <c r="D15729" t="s">
        <v>11</v>
      </c>
      <c r="E15729" t="s">
        <v>12</v>
      </c>
      <c r="F15729">
        <v>109027545</v>
      </c>
      <c r="G15729">
        <v>109027622</v>
      </c>
      <c r="H15729">
        <v>109027643</v>
      </c>
      <c r="I15729">
        <v>109027677</v>
      </c>
    </row>
    <row r="15730" spans="1:9" x14ac:dyDescent="0.2">
      <c r="A15730" s="1" t="str">
        <f>"SELRC1"</f>
        <v>SELRC1</v>
      </c>
      <c r="B15730" t="s">
        <v>14</v>
      </c>
      <c r="C15730" t="s">
        <v>19</v>
      </c>
      <c r="D15730" t="s">
        <v>11</v>
      </c>
      <c r="E15730" t="s">
        <v>12</v>
      </c>
      <c r="F15730">
        <v>53163992</v>
      </c>
      <c r="G15730">
        <v>53164041</v>
      </c>
      <c r="H15730">
        <v>53163766</v>
      </c>
      <c r="I15730">
        <v>53163786</v>
      </c>
    </row>
    <row r="15731" spans="1:9" x14ac:dyDescent="0.2">
      <c r="A15731" s="1" t="str">
        <f>"SEMA3A"</f>
        <v>SEMA3A</v>
      </c>
      <c r="B15731" t="s">
        <v>14</v>
      </c>
      <c r="C15731" t="s">
        <v>33</v>
      </c>
      <c r="D15731" t="s">
        <v>11</v>
      </c>
      <c r="E15731" t="s">
        <v>12</v>
      </c>
      <c r="F15731">
        <v>83824097</v>
      </c>
      <c r="G15731">
        <v>83824114</v>
      </c>
      <c r="H15731">
        <v>83824296</v>
      </c>
      <c r="I15731">
        <v>83824315</v>
      </c>
    </row>
    <row r="15732" spans="1:9" x14ac:dyDescent="0.2">
      <c r="A15732" s="1" t="str">
        <f>"SEMA3B"</f>
        <v>SEMA3B</v>
      </c>
      <c r="B15732" t="s">
        <v>9</v>
      </c>
      <c r="C15732" t="s">
        <v>22</v>
      </c>
      <c r="D15732" t="s">
        <v>17</v>
      </c>
      <c r="E15732" t="s">
        <v>12</v>
      </c>
      <c r="F15732">
        <v>50306572</v>
      </c>
      <c r="G15732">
        <v>50306675</v>
      </c>
      <c r="H15732">
        <v>50306572</v>
      </c>
      <c r="I15732">
        <v>50306675</v>
      </c>
    </row>
    <row r="15733" spans="1:9" x14ac:dyDescent="0.2">
      <c r="A15733" s="1" t="str">
        <f>"SEMA3B"</f>
        <v>SEMA3B</v>
      </c>
      <c r="B15733" t="s">
        <v>13</v>
      </c>
      <c r="C15733" t="s">
        <v>22</v>
      </c>
      <c r="D15733" t="s">
        <v>17</v>
      </c>
      <c r="E15733" t="s">
        <v>12</v>
      </c>
      <c r="F15733">
        <v>50305039</v>
      </c>
      <c r="G15733">
        <v>50305096</v>
      </c>
      <c r="H15733">
        <v>50305039</v>
      </c>
      <c r="I15733">
        <v>50305096</v>
      </c>
    </row>
    <row r="15734" spans="1:9" x14ac:dyDescent="0.2">
      <c r="A15734" s="1" t="str">
        <f>"SEMA3C"</f>
        <v>SEMA3C</v>
      </c>
      <c r="B15734" t="s">
        <v>14</v>
      </c>
      <c r="C15734" t="s">
        <v>33</v>
      </c>
      <c r="D15734" t="s">
        <v>11</v>
      </c>
      <c r="E15734" t="s">
        <v>12</v>
      </c>
      <c r="F15734">
        <v>80548356</v>
      </c>
      <c r="G15734">
        <v>80548384</v>
      </c>
      <c r="H15734">
        <v>80548333</v>
      </c>
      <c r="I15734">
        <v>80548354</v>
      </c>
    </row>
    <row r="15735" spans="1:9" x14ac:dyDescent="0.2">
      <c r="A15735" s="1" t="str">
        <f>"SEMA3D"</f>
        <v>SEMA3D</v>
      </c>
      <c r="B15735" t="s">
        <v>1525</v>
      </c>
      <c r="C15735" t="s">
        <v>33</v>
      </c>
      <c r="D15735" t="s">
        <v>11</v>
      </c>
      <c r="E15735" t="s">
        <v>20</v>
      </c>
      <c r="F15735">
        <v>84751250</v>
      </c>
      <c r="G15735">
        <v>84751250</v>
      </c>
      <c r="H15735">
        <v>84751250</v>
      </c>
      <c r="I15735">
        <v>84751250</v>
      </c>
    </row>
    <row r="15736" spans="1:9" x14ac:dyDescent="0.2">
      <c r="A15736" s="1" t="str">
        <f>"SEMA3E"</f>
        <v>SEMA3E</v>
      </c>
      <c r="B15736" t="s">
        <v>14</v>
      </c>
      <c r="C15736" t="s">
        <v>33</v>
      </c>
      <c r="D15736" t="s">
        <v>11</v>
      </c>
      <c r="E15736" t="s">
        <v>12</v>
      </c>
      <c r="F15736">
        <v>83278414</v>
      </c>
      <c r="G15736">
        <v>83278504</v>
      </c>
      <c r="H15736">
        <v>83278130</v>
      </c>
      <c r="I15736">
        <v>83278168</v>
      </c>
    </row>
    <row r="15737" spans="1:9" x14ac:dyDescent="0.2">
      <c r="A15737" s="1" t="str">
        <f>"SEMA3F"</f>
        <v>SEMA3F</v>
      </c>
      <c r="B15737" t="s">
        <v>14</v>
      </c>
      <c r="C15737" t="s">
        <v>22</v>
      </c>
      <c r="D15737" t="s">
        <v>17</v>
      </c>
      <c r="E15737" t="s">
        <v>12</v>
      </c>
      <c r="F15737">
        <v>50192499</v>
      </c>
      <c r="G15737">
        <v>50192534</v>
      </c>
      <c r="H15737">
        <v>50192457</v>
      </c>
      <c r="I15737">
        <v>50192498</v>
      </c>
    </row>
    <row r="15738" spans="1:9" x14ac:dyDescent="0.2">
      <c r="A15738" s="1" t="str">
        <f>"SEMA3G"</f>
        <v>SEMA3G</v>
      </c>
      <c r="B15738" t="s">
        <v>14</v>
      </c>
      <c r="C15738" t="s">
        <v>22</v>
      </c>
      <c r="D15738" t="s">
        <v>11</v>
      </c>
      <c r="E15738" t="s">
        <v>12</v>
      </c>
      <c r="F15738">
        <v>52479112</v>
      </c>
      <c r="G15738">
        <v>52479126</v>
      </c>
      <c r="H15738">
        <v>52478984</v>
      </c>
      <c r="I15738">
        <v>52478985</v>
      </c>
    </row>
    <row r="15739" spans="1:9" x14ac:dyDescent="0.2">
      <c r="A15739" s="1" t="str">
        <f>"SEMA4A"</f>
        <v>SEMA4A</v>
      </c>
      <c r="B15739" t="s">
        <v>14</v>
      </c>
      <c r="C15739" t="s">
        <v>19</v>
      </c>
      <c r="D15739" t="s">
        <v>17</v>
      </c>
      <c r="E15739" t="s">
        <v>12</v>
      </c>
      <c r="F15739">
        <v>156124306</v>
      </c>
      <c r="G15739">
        <v>156124365</v>
      </c>
      <c r="H15739">
        <v>156123359</v>
      </c>
      <c r="I15739">
        <v>156123387</v>
      </c>
    </row>
    <row r="15740" spans="1:9" x14ac:dyDescent="0.2">
      <c r="A15740" s="1" t="str">
        <f>"SEMA4B"</f>
        <v>SEMA4B</v>
      </c>
      <c r="B15740" t="s">
        <v>9</v>
      </c>
      <c r="C15740" t="s">
        <v>25</v>
      </c>
      <c r="D15740" t="s">
        <v>17</v>
      </c>
      <c r="E15740" t="s">
        <v>12</v>
      </c>
      <c r="F15740">
        <v>90728145</v>
      </c>
      <c r="G15740">
        <v>90728213</v>
      </c>
      <c r="H15740">
        <v>90728145</v>
      </c>
      <c r="I15740">
        <v>90728213</v>
      </c>
    </row>
    <row r="15741" spans="1:9" x14ac:dyDescent="0.2">
      <c r="A15741" s="1" t="str">
        <f>"SEMA4B"</f>
        <v>SEMA4B</v>
      </c>
      <c r="B15741" t="s">
        <v>13</v>
      </c>
      <c r="C15741" t="s">
        <v>25</v>
      </c>
      <c r="D15741" t="s">
        <v>17</v>
      </c>
      <c r="E15741" t="s">
        <v>12</v>
      </c>
      <c r="F15741">
        <v>90744533</v>
      </c>
      <c r="G15741">
        <v>90744610</v>
      </c>
      <c r="H15741">
        <v>90744533</v>
      </c>
      <c r="I15741">
        <v>90744610</v>
      </c>
    </row>
    <row r="15742" spans="1:9" x14ac:dyDescent="0.2">
      <c r="A15742" s="1" t="str">
        <f>"SEMA4C"</f>
        <v>SEMA4C</v>
      </c>
      <c r="B15742" t="s">
        <v>9</v>
      </c>
      <c r="C15742" t="s">
        <v>26</v>
      </c>
      <c r="D15742" t="s">
        <v>11</v>
      </c>
      <c r="E15742" t="s">
        <v>12</v>
      </c>
      <c r="F15742">
        <v>97535773</v>
      </c>
      <c r="G15742">
        <v>97535843</v>
      </c>
      <c r="H15742">
        <v>97535773</v>
      </c>
      <c r="I15742">
        <v>97535843</v>
      </c>
    </row>
    <row r="15743" spans="1:9" x14ac:dyDescent="0.2">
      <c r="A15743" s="1" t="str">
        <f>"SEMA4C"</f>
        <v>SEMA4C</v>
      </c>
      <c r="B15743" t="s">
        <v>13</v>
      </c>
      <c r="C15743" t="s">
        <v>26</v>
      </c>
      <c r="D15743" t="s">
        <v>11</v>
      </c>
      <c r="E15743" t="s">
        <v>12</v>
      </c>
      <c r="F15743">
        <v>97534260</v>
      </c>
      <c r="G15743">
        <v>97534307</v>
      </c>
      <c r="H15743">
        <v>97534260</v>
      </c>
      <c r="I15743">
        <v>97534307</v>
      </c>
    </row>
    <row r="15744" spans="1:9" x14ac:dyDescent="0.2">
      <c r="A15744" s="1" t="str">
        <f>"SEMA4D"</f>
        <v>SEMA4D</v>
      </c>
      <c r="B15744" t="s">
        <v>9</v>
      </c>
      <c r="C15744" t="s">
        <v>24</v>
      </c>
      <c r="D15744" t="s">
        <v>11</v>
      </c>
      <c r="E15744" t="s">
        <v>12</v>
      </c>
      <c r="F15744">
        <v>92112972</v>
      </c>
      <c r="G15744">
        <v>92113048</v>
      </c>
      <c r="H15744">
        <v>92112972</v>
      </c>
      <c r="I15744">
        <v>92113048</v>
      </c>
    </row>
    <row r="15745" spans="1:9" x14ac:dyDescent="0.2">
      <c r="A15745" s="1" t="str">
        <f>"SEMA4D"</f>
        <v>SEMA4D</v>
      </c>
      <c r="B15745" t="s">
        <v>13</v>
      </c>
      <c r="C15745" t="s">
        <v>24</v>
      </c>
      <c r="D15745" t="s">
        <v>11</v>
      </c>
      <c r="E15745" t="s">
        <v>12</v>
      </c>
      <c r="F15745">
        <v>92051354</v>
      </c>
      <c r="G15745">
        <v>92051386</v>
      </c>
      <c r="H15745">
        <v>92051354</v>
      </c>
      <c r="I15745">
        <v>92051386</v>
      </c>
    </row>
    <row r="15746" spans="1:9" x14ac:dyDescent="0.2">
      <c r="A15746" s="1" t="str">
        <f>"SEMA4F"</f>
        <v>SEMA4F</v>
      </c>
      <c r="B15746" t="s">
        <v>14</v>
      </c>
      <c r="C15746" t="s">
        <v>26</v>
      </c>
      <c r="D15746" t="s">
        <v>17</v>
      </c>
      <c r="E15746" t="s">
        <v>12</v>
      </c>
      <c r="F15746">
        <v>74881366</v>
      </c>
      <c r="G15746">
        <v>74881397</v>
      </c>
      <c r="H15746">
        <v>74881398</v>
      </c>
      <c r="I15746">
        <v>74881417</v>
      </c>
    </row>
    <row r="15747" spans="1:9" x14ac:dyDescent="0.2">
      <c r="A15747" s="1" t="str">
        <f>"SEMA4G"</f>
        <v>SEMA4G</v>
      </c>
      <c r="B15747" t="s">
        <v>14</v>
      </c>
      <c r="C15747" t="s">
        <v>15</v>
      </c>
      <c r="D15747" t="s">
        <v>17</v>
      </c>
      <c r="E15747" t="s">
        <v>12</v>
      </c>
      <c r="F15747">
        <v>102729249</v>
      </c>
      <c r="G15747">
        <v>102729308</v>
      </c>
      <c r="H15747">
        <v>102729313</v>
      </c>
      <c r="I15747">
        <v>102729325</v>
      </c>
    </row>
    <row r="15748" spans="1:9" x14ac:dyDescent="0.2">
      <c r="A15748" s="1" t="str">
        <f>"SEMA5A"</f>
        <v>SEMA5A</v>
      </c>
      <c r="B15748" t="s">
        <v>14</v>
      </c>
      <c r="C15748" t="s">
        <v>46</v>
      </c>
      <c r="D15748" t="s">
        <v>11</v>
      </c>
      <c r="E15748" t="s">
        <v>12</v>
      </c>
      <c r="F15748">
        <v>9546180</v>
      </c>
      <c r="G15748">
        <v>9546195</v>
      </c>
      <c r="H15748">
        <v>9546180</v>
      </c>
      <c r="I15748">
        <v>9546195</v>
      </c>
    </row>
    <row r="15749" spans="1:9" x14ac:dyDescent="0.2">
      <c r="A15749" s="1" t="str">
        <f>"SEMA5B"</f>
        <v>SEMA5B</v>
      </c>
      <c r="B15749" t="s">
        <v>1526</v>
      </c>
      <c r="C15749" t="s">
        <v>22</v>
      </c>
      <c r="D15749" t="s">
        <v>11</v>
      </c>
      <c r="E15749" t="s">
        <v>20</v>
      </c>
      <c r="F15749">
        <v>122694980</v>
      </c>
      <c r="G15749">
        <v>122694980</v>
      </c>
      <c r="H15749">
        <v>122694980</v>
      </c>
      <c r="I15749">
        <v>122694980</v>
      </c>
    </row>
    <row r="15750" spans="1:9" x14ac:dyDescent="0.2">
      <c r="A15750" s="1" t="str">
        <f>"SEMA6A"</f>
        <v>SEMA6A</v>
      </c>
      <c r="B15750" t="s">
        <v>14</v>
      </c>
      <c r="C15750" t="s">
        <v>46</v>
      </c>
      <c r="D15750" t="s">
        <v>11</v>
      </c>
      <c r="E15750" t="s">
        <v>12</v>
      </c>
      <c r="F15750">
        <v>115910498</v>
      </c>
      <c r="G15750">
        <v>115910536</v>
      </c>
      <c r="H15750">
        <v>115910459</v>
      </c>
      <c r="I15750">
        <v>115910474</v>
      </c>
    </row>
    <row r="15751" spans="1:9" x14ac:dyDescent="0.2">
      <c r="A15751" s="1" t="str">
        <f>"SEMA6B"</f>
        <v>SEMA6B</v>
      </c>
      <c r="B15751" t="s">
        <v>14</v>
      </c>
      <c r="C15751" t="s">
        <v>10</v>
      </c>
      <c r="D15751" t="s">
        <v>11</v>
      </c>
      <c r="E15751" t="s">
        <v>12</v>
      </c>
      <c r="F15751">
        <v>4559720</v>
      </c>
      <c r="G15751">
        <v>4559799</v>
      </c>
      <c r="H15751">
        <v>4559675</v>
      </c>
      <c r="I15751">
        <v>4559715</v>
      </c>
    </row>
    <row r="15752" spans="1:9" x14ac:dyDescent="0.2">
      <c r="A15752" s="1" t="str">
        <f>"SEMA6C"</f>
        <v>SEMA6C</v>
      </c>
      <c r="B15752" t="s">
        <v>14</v>
      </c>
      <c r="C15752" t="s">
        <v>19</v>
      </c>
      <c r="D15752" t="s">
        <v>11</v>
      </c>
      <c r="E15752" t="s">
        <v>12</v>
      </c>
      <c r="F15752">
        <v>151119088</v>
      </c>
      <c r="G15752">
        <v>151119114</v>
      </c>
      <c r="H15752">
        <v>151119131</v>
      </c>
      <c r="I15752">
        <v>151119148</v>
      </c>
    </row>
    <row r="15753" spans="1:9" x14ac:dyDescent="0.2">
      <c r="A15753" s="1" t="str">
        <f>"SEMA6D"</f>
        <v>SEMA6D</v>
      </c>
      <c r="B15753" t="s">
        <v>14</v>
      </c>
      <c r="C15753" t="s">
        <v>25</v>
      </c>
      <c r="D15753" t="s">
        <v>17</v>
      </c>
      <c r="E15753" t="s">
        <v>12</v>
      </c>
      <c r="F15753">
        <v>48009541</v>
      </c>
      <c r="G15753">
        <v>48009676</v>
      </c>
      <c r="H15753">
        <v>48009678</v>
      </c>
      <c r="I15753">
        <v>48009717</v>
      </c>
    </row>
    <row r="15754" spans="1:9" x14ac:dyDescent="0.2">
      <c r="A15754" s="1" t="str">
        <f>"SEMA7A"</f>
        <v>SEMA7A</v>
      </c>
      <c r="B15754" t="s">
        <v>14</v>
      </c>
      <c r="C15754" t="s">
        <v>25</v>
      </c>
      <c r="D15754" t="s">
        <v>11</v>
      </c>
      <c r="E15754" t="s">
        <v>12</v>
      </c>
      <c r="F15754">
        <v>74726283</v>
      </c>
      <c r="G15754">
        <v>74726306</v>
      </c>
      <c r="H15754">
        <v>74726283</v>
      </c>
      <c r="I15754">
        <v>74726306</v>
      </c>
    </row>
    <row r="15755" spans="1:9" x14ac:dyDescent="0.2">
      <c r="A15755" s="1" t="str">
        <f>"SEMG1"</f>
        <v>SEMG1</v>
      </c>
      <c r="B15755" t="s">
        <v>14</v>
      </c>
      <c r="C15755" t="s">
        <v>29</v>
      </c>
      <c r="D15755" t="s">
        <v>17</v>
      </c>
      <c r="E15755" t="s">
        <v>12</v>
      </c>
      <c r="F15755">
        <v>43835666</v>
      </c>
      <c r="G15755">
        <v>43835686</v>
      </c>
      <c r="H15755">
        <v>43835666</v>
      </c>
      <c r="I15755">
        <v>43835686</v>
      </c>
    </row>
    <row r="15756" spans="1:9" x14ac:dyDescent="0.2">
      <c r="A15756" s="1" t="str">
        <f>"SEMG2"</f>
        <v>SEMG2</v>
      </c>
      <c r="B15756" t="s">
        <v>14</v>
      </c>
      <c r="C15756" t="s">
        <v>29</v>
      </c>
      <c r="D15756" t="s">
        <v>17</v>
      </c>
      <c r="E15756" t="s">
        <v>12</v>
      </c>
      <c r="F15756">
        <v>43835666</v>
      </c>
      <c r="G15756">
        <v>43835686</v>
      </c>
      <c r="H15756">
        <v>43835666</v>
      </c>
      <c r="I15756">
        <v>43835686</v>
      </c>
    </row>
    <row r="15757" spans="1:9" x14ac:dyDescent="0.2">
      <c r="A15757" s="1" t="str">
        <f>"SENP1"</f>
        <v>SENP1</v>
      </c>
      <c r="B15757" t="s">
        <v>14</v>
      </c>
      <c r="C15757" t="s">
        <v>16</v>
      </c>
      <c r="D15757" t="s">
        <v>11</v>
      </c>
      <c r="E15757" t="s">
        <v>12</v>
      </c>
      <c r="F15757">
        <v>48499826</v>
      </c>
      <c r="G15757">
        <v>48499879</v>
      </c>
      <c r="H15757">
        <v>48499597</v>
      </c>
      <c r="I15757">
        <v>48499663</v>
      </c>
    </row>
    <row r="15758" spans="1:9" x14ac:dyDescent="0.2">
      <c r="A15758" s="1" t="str">
        <f>"SENP2"</f>
        <v>SENP2</v>
      </c>
      <c r="B15758" t="s">
        <v>14</v>
      </c>
      <c r="C15758" t="s">
        <v>22</v>
      </c>
      <c r="D15758" t="s">
        <v>17</v>
      </c>
      <c r="E15758" t="s">
        <v>12</v>
      </c>
      <c r="F15758">
        <v>185304059</v>
      </c>
      <c r="G15758">
        <v>185304124</v>
      </c>
      <c r="H15758">
        <v>185303995</v>
      </c>
      <c r="I15758">
        <v>185304021</v>
      </c>
    </row>
    <row r="15759" spans="1:9" x14ac:dyDescent="0.2">
      <c r="A15759" s="1" t="str">
        <f>"SENP3"</f>
        <v>SENP3</v>
      </c>
      <c r="B15759" t="s">
        <v>14</v>
      </c>
      <c r="C15759" t="s">
        <v>28</v>
      </c>
      <c r="D15759" t="s">
        <v>17</v>
      </c>
      <c r="E15759" t="s">
        <v>12</v>
      </c>
      <c r="F15759">
        <v>7465216</v>
      </c>
      <c r="G15759">
        <v>7465274</v>
      </c>
      <c r="H15759">
        <v>7465300</v>
      </c>
      <c r="I15759">
        <v>7465315</v>
      </c>
    </row>
    <row r="15760" spans="1:9" x14ac:dyDescent="0.2">
      <c r="A15760" s="1" t="str">
        <f>"SENP5"</f>
        <v>SENP5</v>
      </c>
      <c r="B15760" t="s">
        <v>14</v>
      </c>
      <c r="C15760" t="s">
        <v>22</v>
      </c>
      <c r="D15760" t="s">
        <v>17</v>
      </c>
      <c r="E15760" t="s">
        <v>12</v>
      </c>
      <c r="F15760">
        <v>196594746</v>
      </c>
      <c r="G15760">
        <v>196594808</v>
      </c>
      <c r="H15760">
        <v>196594746</v>
      </c>
      <c r="I15760">
        <v>196594808</v>
      </c>
    </row>
    <row r="15761" spans="1:9" x14ac:dyDescent="0.2">
      <c r="A15761" s="1" t="str">
        <f>"SENP6"</f>
        <v>SENP6</v>
      </c>
      <c r="B15761" t="s">
        <v>14</v>
      </c>
      <c r="C15761" t="s">
        <v>32</v>
      </c>
      <c r="D15761" t="s">
        <v>17</v>
      </c>
      <c r="E15761" t="s">
        <v>12</v>
      </c>
      <c r="F15761">
        <v>76311568</v>
      </c>
      <c r="G15761">
        <v>76311623</v>
      </c>
      <c r="H15761">
        <v>76311736</v>
      </c>
      <c r="I15761">
        <v>76311754</v>
      </c>
    </row>
    <row r="15762" spans="1:9" x14ac:dyDescent="0.2">
      <c r="A15762" s="1" t="str">
        <f>"SENP7"</f>
        <v>SENP7</v>
      </c>
      <c r="B15762" t="s">
        <v>14</v>
      </c>
      <c r="C15762" t="s">
        <v>22</v>
      </c>
      <c r="D15762" t="s">
        <v>11</v>
      </c>
      <c r="E15762" t="s">
        <v>12</v>
      </c>
      <c r="F15762">
        <v>101232019</v>
      </c>
      <c r="G15762">
        <v>101232063</v>
      </c>
      <c r="H15762">
        <v>101231994</v>
      </c>
      <c r="I15762">
        <v>101232011</v>
      </c>
    </row>
    <row r="15763" spans="1:9" x14ac:dyDescent="0.2">
      <c r="A15763" s="1" t="str">
        <f>"SENP8"</f>
        <v>SENP8</v>
      </c>
      <c r="B15763" t="s">
        <v>14</v>
      </c>
      <c r="C15763" t="s">
        <v>25</v>
      </c>
      <c r="D15763" t="s">
        <v>17</v>
      </c>
      <c r="E15763" t="s">
        <v>12</v>
      </c>
      <c r="F15763">
        <v>72410732</v>
      </c>
      <c r="G15763">
        <v>72410767</v>
      </c>
      <c r="H15763">
        <v>72410629</v>
      </c>
      <c r="I15763">
        <v>72410648</v>
      </c>
    </row>
    <row r="15764" spans="1:9" x14ac:dyDescent="0.2">
      <c r="A15764" s="1" t="str">
        <f>"SEPHS1"</f>
        <v>SEPHS1</v>
      </c>
      <c r="B15764" t="s">
        <v>14</v>
      </c>
      <c r="C15764" t="s">
        <v>15</v>
      </c>
      <c r="D15764" t="s">
        <v>11</v>
      </c>
      <c r="E15764" t="s">
        <v>12</v>
      </c>
      <c r="F15764">
        <v>13390222</v>
      </c>
      <c r="G15764">
        <v>13390246</v>
      </c>
      <c r="H15764">
        <v>13390270</v>
      </c>
      <c r="I15764">
        <v>13390316</v>
      </c>
    </row>
    <row r="15765" spans="1:9" x14ac:dyDescent="0.2">
      <c r="A15765" s="1" t="str">
        <f>"SEPHS2"</f>
        <v>SEPHS2</v>
      </c>
      <c r="B15765" t="s">
        <v>14</v>
      </c>
      <c r="C15765" t="s">
        <v>31</v>
      </c>
      <c r="D15765" t="s">
        <v>11</v>
      </c>
      <c r="E15765" t="s">
        <v>12</v>
      </c>
      <c r="F15765">
        <v>30457186</v>
      </c>
      <c r="G15765">
        <v>30457203</v>
      </c>
      <c r="H15765">
        <v>30457054</v>
      </c>
      <c r="I15765">
        <v>30457084</v>
      </c>
    </row>
    <row r="15766" spans="1:9" x14ac:dyDescent="0.2">
      <c r="A15766" s="1" t="str">
        <f>"SEPN1"</f>
        <v>SEPN1</v>
      </c>
      <c r="B15766" t="s">
        <v>9</v>
      </c>
      <c r="C15766" t="s">
        <v>19</v>
      </c>
      <c r="D15766" t="s">
        <v>17</v>
      </c>
      <c r="E15766" t="s">
        <v>12</v>
      </c>
      <c r="F15766">
        <v>26126670</v>
      </c>
      <c r="G15766">
        <v>26126721</v>
      </c>
      <c r="H15766">
        <v>26126670</v>
      </c>
      <c r="I15766">
        <v>26126721</v>
      </c>
    </row>
    <row r="15767" spans="1:9" x14ac:dyDescent="0.2">
      <c r="A15767" s="1" t="str">
        <f>"SEPN1"</f>
        <v>SEPN1</v>
      </c>
      <c r="B15767" t="s">
        <v>13</v>
      </c>
      <c r="C15767" t="s">
        <v>19</v>
      </c>
      <c r="D15767" t="s">
        <v>17</v>
      </c>
      <c r="E15767" t="s">
        <v>12</v>
      </c>
      <c r="F15767">
        <v>26135125</v>
      </c>
      <c r="G15767">
        <v>26135166</v>
      </c>
      <c r="H15767">
        <v>26135125</v>
      </c>
      <c r="I15767">
        <v>26135166</v>
      </c>
    </row>
    <row r="15768" spans="1:9" x14ac:dyDescent="0.2">
      <c r="A15768" s="1" t="str">
        <f>"SEPP1"</f>
        <v>SEPP1</v>
      </c>
      <c r="B15768" t="s">
        <v>14</v>
      </c>
      <c r="C15768" t="s">
        <v>46</v>
      </c>
      <c r="D15768" t="s">
        <v>11</v>
      </c>
      <c r="E15768" t="s">
        <v>12</v>
      </c>
      <c r="F15768">
        <v>42811986</v>
      </c>
      <c r="G15768">
        <v>42812001</v>
      </c>
      <c r="H15768">
        <v>42811986</v>
      </c>
      <c r="I15768">
        <v>42812001</v>
      </c>
    </row>
    <row r="15769" spans="1:9" x14ac:dyDescent="0.2">
      <c r="A15769" s="1" t="str">
        <f>"SEPSECS"</f>
        <v>SEPSECS</v>
      </c>
      <c r="B15769" t="s">
        <v>14</v>
      </c>
      <c r="C15769" t="s">
        <v>23</v>
      </c>
      <c r="D15769" t="s">
        <v>11</v>
      </c>
      <c r="E15769" t="s">
        <v>12</v>
      </c>
      <c r="F15769">
        <v>25161996</v>
      </c>
      <c r="G15769">
        <v>25162085</v>
      </c>
      <c r="H15769">
        <v>25162088</v>
      </c>
      <c r="I15769">
        <v>25162108</v>
      </c>
    </row>
    <row r="15770" spans="1:9" x14ac:dyDescent="0.2">
      <c r="A15770" s="1" t="str">
        <f>"SEPT1"</f>
        <v>SEPT1</v>
      </c>
      <c r="B15770" t="s">
        <v>9</v>
      </c>
      <c r="C15770" t="s">
        <v>31</v>
      </c>
      <c r="D15770" t="s">
        <v>11</v>
      </c>
      <c r="E15770" t="s">
        <v>12</v>
      </c>
      <c r="F15770">
        <v>30393867</v>
      </c>
      <c r="G15770">
        <v>30393903</v>
      </c>
      <c r="H15770">
        <v>30393867</v>
      </c>
      <c r="I15770">
        <v>30393903</v>
      </c>
    </row>
    <row r="15771" spans="1:9" x14ac:dyDescent="0.2">
      <c r="A15771" s="1" t="str">
        <f>"SEPT1"</f>
        <v>SEPT1</v>
      </c>
      <c r="B15771" t="s">
        <v>13</v>
      </c>
      <c r="C15771" t="s">
        <v>31</v>
      </c>
      <c r="D15771" t="s">
        <v>11</v>
      </c>
      <c r="E15771" t="s">
        <v>12</v>
      </c>
      <c r="F15771">
        <v>30390157</v>
      </c>
      <c r="G15771">
        <v>30390207</v>
      </c>
      <c r="H15771">
        <v>30390157</v>
      </c>
      <c r="I15771">
        <v>30390207</v>
      </c>
    </row>
    <row r="15772" spans="1:9" x14ac:dyDescent="0.2">
      <c r="A15772" s="1" t="str">
        <f>"SEPT10"</f>
        <v>SEPT10</v>
      </c>
      <c r="B15772" t="s">
        <v>14</v>
      </c>
      <c r="C15772" t="s">
        <v>26</v>
      </c>
      <c r="D15772" t="s">
        <v>11</v>
      </c>
      <c r="E15772" t="s">
        <v>12</v>
      </c>
      <c r="F15772">
        <v>110371455</v>
      </c>
      <c r="G15772">
        <v>110371562</v>
      </c>
      <c r="H15772">
        <v>110371723</v>
      </c>
      <c r="I15772">
        <v>110371750</v>
      </c>
    </row>
    <row r="15773" spans="1:9" x14ac:dyDescent="0.2">
      <c r="A15773" s="1" t="str">
        <f>"SEPT11"</f>
        <v>SEPT11</v>
      </c>
      <c r="B15773" t="s">
        <v>14</v>
      </c>
      <c r="C15773" t="s">
        <v>23</v>
      </c>
      <c r="D15773" t="s">
        <v>17</v>
      </c>
      <c r="E15773" t="s">
        <v>12</v>
      </c>
      <c r="F15773">
        <v>77870896</v>
      </c>
      <c r="G15773">
        <v>77870914</v>
      </c>
      <c r="H15773">
        <v>77870960</v>
      </c>
      <c r="I15773">
        <v>77871020</v>
      </c>
    </row>
    <row r="15774" spans="1:9" x14ac:dyDescent="0.2">
      <c r="A15774" s="1" t="str">
        <f>"SEPT12"</f>
        <v>SEPT12</v>
      </c>
      <c r="B15774" t="s">
        <v>14</v>
      </c>
      <c r="C15774" t="s">
        <v>31</v>
      </c>
      <c r="D15774" t="s">
        <v>11</v>
      </c>
      <c r="E15774" t="s">
        <v>12</v>
      </c>
      <c r="F15774">
        <v>4838317</v>
      </c>
      <c r="G15774">
        <v>4838356</v>
      </c>
      <c r="H15774">
        <v>4838317</v>
      </c>
      <c r="I15774">
        <v>4838356</v>
      </c>
    </row>
    <row r="15775" spans="1:9" x14ac:dyDescent="0.2">
      <c r="A15775" s="1" t="str">
        <f>"SEPT14"</f>
        <v>SEPT14</v>
      </c>
      <c r="B15775" t="s">
        <v>14</v>
      </c>
      <c r="C15775" t="s">
        <v>33</v>
      </c>
      <c r="D15775" t="s">
        <v>11</v>
      </c>
      <c r="E15775" t="s">
        <v>12</v>
      </c>
      <c r="F15775">
        <v>55930443</v>
      </c>
      <c r="G15775">
        <v>55930450</v>
      </c>
      <c r="H15775">
        <v>55930443</v>
      </c>
      <c r="I15775">
        <v>55930450</v>
      </c>
    </row>
    <row r="15776" spans="1:9" x14ac:dyDescent="0.2">
      <c r="A15776" s="1" t="str">
        <f>"SEPT2"</f>
        <v>SEPT2</v>
      </c>
      <c r="B15776" t="s">
        <v>14</v>
      </c>
      <c r="C15776" t="s">
        <v>26</v>
      </c>
      <c r="D15776" t="s">
        <v>17</v>
      </c>
      <c r="E15776" t="s">
        <v>12</v>
      </c>
      <c r="F15776">
        <v>242255298</v>
      </c>
      <c r="G15776">
        <v>242255378</v>
      </c>
      <c r="H15776">
        <v>242254753</v>
      </c>
      <c r="I15776">
        <v>242254810</v>
      </c>
    </row>
    <row r="15777" spans="1:9" x14ac:dyDescent="0.2">
      <c r="A15777" s="1" t="str">
        <f>"SEPT3"</f>
        <v>SEPT3</v>
      </c>
      <c r="B15777" t="s">
        <v>14</v>
      </c>
      <c r="C15777" t="s">
        <v>21</v>
      </c>
      <c r="D15777" t="s">
        <v>17</v>
      </c>
      <c r="E15777" t="s">
        <v>12</v>
      </c>
      <c r="F15777">
        <v>42372764</v>
      </c>
      <c r="G15777">
        <v>42372868</v>
      </c>
      <c r="H15777">
        <v>42372764</v>
      </c>
      <c r="I15777">
        <v>42372868</v>
      </c>
    </row>
    <row r="15778" spans="1:9" x14ac:dyDescent="0.2">
      <c r="A15778" s="1" t="str">
        <f>"SEPT4"</f>
        <v>SEPT4</v>
      </c>
      <c r="B15778" t="s">
        <v>9</v>
      </c>
      <c r="C15778" t="s">
        <v>28</v>
      </c>
      <c r="D15778" t="s">
        <v>11</v>
      </c>
      <c r="E15778" t="s">
        <v>12</v>
      </c>
      <c r="F15778">
        <v>56609349</v>
      </c>
      <c r="G15778">
        <v>56609450</v>
      </c>
      <c r="H15778">
        <v>56609349</v>
      </c>
      <c r="I15778">
        <v>56609450</v>
      </c>
    </row>
    <row r="15779" spans="1:9" x14ac:dyDescent="0.2">
      <c r="A15779" s="1" t="str">
        <f>"SEPT4"</f>
        <v>SEPT4</v>
      </c>
      <c r="B15779" t="s">
        <v>13</v>
      </c>
      <c r="C15779" t="s">
        <v>28</v>
      </c>
      <c r="D15779" t="s">
        <v>11</v>
      </c>
      <c r="E15779" t="s">
        <v>12</v>
      </c>
      <c r="F15779">
        <v>56606667</v>
      </c>
      <c r="G15779">
        <v>56606684</v>
      </c>
      <c r="H15779">
        <v>56606667</v>
      </c>
      <c r="I15779">
        <v>56606684</v>
      </c>
    </row>
    <row r="15780" spans="1:9" x14ac:dyDescent="0.2">
      <c r="A15780" s="1" t="str">
        <f>"SEPT5"</f>
        <v>SEPT5</v>
      </c>
      <c r="B15780" t="s">
        <v>9</v>
      </c>
      <c r="C15780" t="s">
        <v>21</v>
      </c>
      <c r="D15780" t="s">
        <v>17</v>
      </c>
      <c r="E15780" t="s">
        <v>12</v>
      </c>
      <c r="F15780">
        <v>19705928</v>
      </c>
      <c r="G15780">
        <v>19706048</v>
      </c>
      <c r="H15780">
        <v>19705928</v>
      </c>
      <c r="I15780">
        <v>19706048</v>
      </c>
    </row>
    <row r="15781" spans="1:9" x14ac:dyDescent="0.2">
      <c r="A15781" s="1" t="str">
        <f>"SEPT5"</f>
        <v>SEPT5</v>
      </c>
      <c r="B15781" t="s">
        <v>13</v>
      </c>
      <c r="C15781" t="s">
        <v>21</v>
      </c>
      <c r="D15781" t="s">
        <v>17</v>
      </c>
      <c r="E15781" t="s">
        <v>12</v>
      </c>
      <c r="F15781">
        <v>19701985</v>
      </c>
      <c r="G15781">
        <v>19702063</v>
      </c>
      <c r="H15781">
        <v>19701985</v>
      </c>
      <c r="I15781">
        <v>19702063</v>
      </c>
    </row>
    <row r="15782" spans="1:9" x14ac:dyDescent="0.2">
      <c r="A15782" s="1" t="str">
        <f>"SEPT6"</f>
        <v>SEPT6</v>
      </c>
      <c r="B15782" t="s">
        <v>14</v>
      </c>
      <c r="C15782" t="s">
        <v>37</v>
      </c>
      <c r="D15782" t="s">
        <v>11</v>
      </c>
      <c r="E15782" t="s">
        <v>12</v>
      </c>
      <c r="F15782">
        <v>118827113</v>
      </c>
      <c r="G15782">
        <v>118827140</v>
      </c>
      <c r="H15782">
        <v>118827142</v>
      </c>
      <c r="I15782">
        <v>118827167</v>
      </c>
    </row>
    <row r="15783" spans="1:9" x14ac:dyDescent="0.2">
      <c r="A15783" s="1" t="str">
        <f>"SEPT7"</f>
        <v>SEPT7</v>
      </c>
      <c r="B15783" t="s">
        <v>14</v>
      </c>
      <c r="C15783" t="s">
        <v>33</v>
      </c>
      <c r="D15783" t="s">
        <v>17</v>
      </c>
      <c r="E15783" t="s">
        <v>12</v>
      </c>
      <c r="F15783">
        <v>35840819</v>
      </c>
      <c r="G15783">
        <v>35840848</v>
      </c>
      <c r="H15783">
        <v>35840681</v>
      </c>
      <c r="I15783">
        <v>35840693</v>
      </c>
    </row>
    <row r="15784" spans="1:9" x14ac:dyDescent="0.2">
      <c r="A15784" s="1" t="str">
        <f>"SEPT8"</f>
        <v>SEPT8</v>
      </c>
      <c r="B15784" t="s">
        <v>14</v>
      </c>
      <c r="C15784" t="s">
        <v>46</v>
      </c>
      <c r="D15784" t="s">
        <v>11</v>
      </c>
      <c r="E15784" t="s">
        <v>12</v>
      </c>
      <c r="F15784">
        <v>132112921</v>
      </c>
      <c r="G15784">
        <v>132112960</v>
      </c>
      <c r="H15784">
        <v>132113083</v>
      </c>
      <c r="I15784">
        <v>132113109</v>
      </c>
    </row>
    <row r="15785" spans="1:9" x14ac:dyDescent="0.2">
      <c r="A15785" s="1" t="str">
        <f>"SEPT9"</f>
        <v>SEPT9</v>
      </c>
      <c r="B15785" t="s">
        <v>14</v>
      </c>
      <c r="C15785" t="s">
        <v>28</v>
      </c>
      <c r="D15785" t="s">
        <v>17</v>
      </c>
      <c r="E15785" t="s">
        <v>12</v>
      </c>
      <c r="F15785">
        <v>75369400</v>
      </c>
      <c r="G15785">
        <v>75369477</v>
      </c>
      <c r="H15785">
        <v>75369400</v>
      </c>
      <c r="I15785">
        <v>75369477</v>
      </c>
    </row>
    <row r="15786" spans="1:9" x14ac:dyDescent="0.2">
      <c r="A15786" s="1" t="str">
        <f>"SEPW1"</f>
        <v>SEPW1</v>
      </c>
      <c r="B15786" t="s">
        <v>14</v>
      </c>
      <c r="C15786" t="s">
        <v>10</v>
      </c>
      <c r="D15786" t="s">
        <v>17</v>
      </c>
      <c r="E15786" t="s">
        <v>12</v>
      </c>
      <c r="F15786">
        <v>48281946</v>
      </c>
      <c r="G15786">
        <v>48281974</v>
      </c>
      <c r="H15786">
        <v>48281928</v>
      </c>
      <c r="I15786">
        <v>48281939</v>
      </c>
    </row>
    <row r="15787" spans="1:9" x14ac:dyDescent="0.2">
      <c r="A15787" s="1" t="str">
        <f>"SERAC1"</f>
        <v>SERAC1</v>
      </c>
      <c r="B15787" t="s">
        <v>14</v>
      </c>
      <c r="C15787" t="s">
        <v>32</v>
      </c>
      <c r="D15787" t="s">
        <v>11</v>
      </c>
      <c r="E15787" t="s">
        <v>12</v>
      </c>
      <c r="F15787">
        <v>158589259</v>
      </c>
      <c r="G15787">
        <v>158589319</v>
      </c>
      <c r="H15787">
        <v>158589231</v>
      </c>
      <c r="I15787">
        <v>158589255</v>
      </c>
    </row>
    <row r="15788" spans="1:9" x14ac:dyDescent="0.2">
      <c r="A15788" s="1" t="str">
        <f>"SERBP1"</f>
        <v>SERBP1</v>
      </c>
      <c r="B15788" t="s">
        <v>14</v>
      </c>
      <c r="C15788" t="s">
        <v>19</v>
      </c>
      <c r="D15788" t="s">
        <v>11</v>
      </c>
      <c r="E15788" t="s">
        <v>12</v>
      </c>
      <c r="F15788">
        <v>67896079</v>
      </c>
      <c r="G15788">
        <v>67896092</v>
      </c>
      <c r="H15788">
        <v>67896095</v>
      </c>
      <c r="I15788">
        <v>67896106</v>
      </c>
    </row>
    <row r="15789" spans="1:9" x14ac:dyDescent="0.2">
      <c r="A15789" s="1" t="str">
        <f>"SERF1A"</f>
        <v>SERF1A</v>
      </c>
      <c r="B15789" t="s">
        <v>1527</v>
      </c>
      <c r="C15789" t="s">
        <v>46</v>
      </c>
      <c r="D15789" t="s">
        <v>17</v>
      </c>
      <c r="E15789" t="s">
        <v>20</v>
      </c>
      <c r="F15789">
        <v>70196491</v>
      </c>
      <c r="G15789">
        <v>70196491</v>
      </c>
      <c r="H15789">
        <v>70196491</v>
      </c>
      <c r="I15789">
        <v>70196491</v>
      </c>
    </row>
    <row r="15790" spans="1:9" x14ac:dyDescent="0.2">
      <c r="A15790" s="1" t="str">
        <f>"SERF1B"</f>
        <v>SERF1B</v>
      </c>
      <c r="B15790" t="s">
        <v>1528</v>
      </c>
      <c r="C15790" t="s">
        <v>46</v>
      </c>
      <c r="D15790" t="s">
        <v>17</v>
      </c>
      <c r="E15790" t="s">
        <v>20</v>
      </c>
      <c r="F15790">
        <v>69321073</v>
      </c>
      <c r="G15790">
        <v>69321073</v>
      </c>
      <c r="H15790">
        <v>69321073</v>
      </c>
      <c r="I15790">
        <v>69321073</v>
      </c>
    </row>
    <row r="15791" spans="1:9" x14ac:dyDescent="0.2">
      <c r="A15791" s="1" t="str">
        <f>"SERF2"</f>
        <v>SERF2</v>
      </c>
      <c r="B15791" t="s">
        <v>9</v>
      </c>
      <c r="C15791" t="s">
        <v>25</v>
      </c>
      <c r="D15791" t="s">
        <v>17</v>
      </c>
      <c r="E15791" t="s">
        <v>12</v>
      </c>
      <c r="F15791">
        <v>44084503</v>
      </c>
      <c r="G15791">
        <v>44084563</v>
      </c>
      <c r="H15791">
        <v>44084503</v>
      </c>
      <c r="I15791">
        <v>44084563</v>
      </c>
    </row>
    <row r="15792" spans="1:9" x14ac:dyDescent="0.2">
      <c r="A15792" s="1" t="str">
        <f>"SERF2"</f>
        <v>SERF2</v>
      </c>
      <c r="B15792" t="s">
        <v>13</v>
      </c>
      <c r="C15792" t="s">
        <v>25</v>
      </c>
      <c r="D15792" t="s">
        <v>17</v>
      </c>
      <c r="E15792" t="s">
        <v>12</v>
      </c>
      <c r="F15792">
        <v>44069569</v>
      </c>
      <c r="G15792">
        <v>44069609</v>
      </c>
      <c r="H15792">
        <v>44069569</v>
      </c>
      <c r="I15792">
        <v>44069609</v>
      </c>
    </row>
    <row r="15793" spans="1:9" x14ac:dyDescent="0.2">
      <c r="A15793" s="1" t="str">
        <f>"SERGEF"</f>
        <v>SERGEF</v>
      </c>
      <c r="B15793" t="s">
        <v>14</v>
      </c>
      <c r="C15793" t="s">
        <v>27</v>
      </c>
      <c r="D15793" t="s">
        <v>11</v>
      </c>
      <c r="E15793" t="s">
        <v>12</v>
      </c>
      <c r="F15793">
        <v>18034549</v>
      </c>
      <c r="G15793">
        <v>18034601</v>
      </c>
      <c r="H15793">
        <v>18034430</v>
      </c>
      <c r="I15793">
        <v>18034507</v>
      </c>
    </row>
    <row r="15794" spans="1:9" x14ac:dyDescent="0.2">
      <c r="A15794" s="1" t="str">
        <f>"SERHL2"</f>
        <v>SERHL2</v>
      </c>
      <c r="B15794" t="s">
        <v>14</v>
      </c>
      <c r="C15794" t="s">
        <v>21</v>
      </c>
      <c r="D15794" t="s">
        <v>17</v>
      </c>
      <c r="E15794" t="s">
        <v>12</v>
      </c>
      <c r="F15794">
        <v>42949955</v>
      </c>
      <c r="G15794">
        <v>42949972</v>
      </c>
      <c r="H15794">
        <v>42949910</v>
      </c>
      <c r="I15794">
        <v>42949933</v>
      </c>
    </row>
    <row r="15795" spans="1:9" x14ac:dyDescent="0.2">
      <c r="A15795" s="1" t="str">
        <f>"SERINC1"</f>
        <v>SERINC1</v>
      </c>
      <c r="B15795" t="s">
        <v>14</v>
      </c>
      <c r="C15795" t="s">
        <v>32</v>
      </c>
      <c r="D15795" t="s">
        <v>11</v>
      </c>
      <c r="E15795" t="s">
        <v>12</v>
      </c>
      <c r="F15795">
        <v>122792919</v>
      </c>
      <c r="G15795">
        <v>122792970</v>
      </c>
      <c r="H15795">
        <v>122792978</v>
      </c>
      <c r="I15795">
        <v>122792992</v>
      </c>
    </row>
    <row r="15796" spans="1:9" x14ac:dyDescent="0.2">
      <c r="A15796" s="1" t="str">
        <f>"SERINC2"</f>
        <v>SERINC2</v>
      </c>
      <c r="B15796" t="s">
        <v>14</v>
      </c>
      <c r="C15796" t="s">
        <v>19</v>
      </c>
      <c r="D15796" t="s">
        <v>17</v>
      </c>
      <c r="E15796" t="s">
        <v>12</v>
      </c>
      <c r="F15796">
        <v>31886034</v>
      </c>
      <c r="G15796">
        <v>31886099</v>
      </c>
      <c r="H15796">
        <v>31886653</v>
      </c>
      <c r="I15796">
        <v>31886721</v>
      </c>
    </row>
    <row r="15797" spans="1:9" x14ac:dyDescent="0.2">
      <c r="A15797" s="1" t="str">
        <f>"SERINC3"</f>
        <v>SERINC3</v>
      </c>
      <c r="B15797" t="s">
        <v>14</v>
      </c>
      <c r="C15797" t="s">
        <v>29</v>
      </c>
      <c r="D15797" t="s">
        <v>11</v>
      </c>
      <c r="E15797" t="s">
        <v>12</v>
      </c>
      <c r="F15797">
        <v>43150601</v>
      </c>
      <c r="G15797">
        <v>43150751</v>
      </c>
      <c r="H15797">
        <v>43150601</v>
      </c>
      <c r="I15797">
        <v>43150751</v>
      </c>
    </row>
    <row r="15798" spans="1:9" x14ac:dyDescent="0.2">
      <c r="A15798" s="1" t="str">
        <f>"SERINC4"</f>
        <v>SERINC4</v>
      </c>
      <c r="B15798" t="s">
        <v>14</v>
      </c>
      <c r="C15798" t="s">
        <v>25</v>
      </c>
      <c r="D15798" t="s">
        <v>11</v>
      </c>
      <c r="E15798" t="s">
        <v>12</v>
      </c>
      <c r="F15798">
        <v>44092697</v>
      </c>
      <c r="G15798">
        <v>44092728</v>
      </c>
      <c r="H15798">
        <v>44092697</v>
      </c>
      <c r="I15798">
        <v>44092728</v>
      </c>
    </row>
    <row r="15799" spans="1:9" x14ac:dyDescent="0.2">
      <c r="A15799" s="1" t="str">
        <f>"SERINC5"</f>
        <v>SERINC5</v>
      </c>
      <c r="B15799" t="s">
        <v>14</v>
      </c>
      <c r="C15799" t="s">
        <v>46</v>
      </c>
      <c r="D15799" t="s">
        <v>11</v>
      </c>
      <c r="E15799" t="s">
        <v>12</v>
      </c>
      <c r="F15799">
        <v>79551858</v>
      </c>
      <c r="G15799">
        <v>79551907</v>
      </c>
      <c r="H15799">
        <v>79551858</v>
      </c>
      <c r="I15799">
        <v>79551907</v>
      </c>
    </row>
    <row r="15800" spans="1:9" x14ac:dyDescent="0.2">
      <c r="A15800" s="1" t="str">
        <f>"SERP1"</f>
        <v>SERP1</v>
      </c>
      <c r="B15800" t="s">
        <v>14</v>
      </c>
      <c r="C15800" t="s">
        <v>22</v>
      </c>
      <c r="D15800" t="s">
        <v>11</v>
      </c>
      <c r="E15800" t="s">
        <v>12</v>
      </c>
      <c r="F15800">
        <v>150264272</v>
      </c>
      <c r="G15800">
        <v>150264329</v>
      </c>
      <c r="H15800">
        <v>150264219</v>
      </c>
      <c r="I15800">
        <v>150264242</v>
      </c>
    </row>
    <row r="15801" spans="1:9" x14ac:dyDescent="0.2">
      <c r="A15801" s="1" t="str">
        <f>"SERP2"</f>
        <v>SERP2</v>
      </c>
      <c r="B15801" t="s">
        <v>14</v>
      </c>
      <c r="C15801" t="s">
        <v>39</v>
      </c>
      <c r="D15801" t="s">
        <v>17</v>
      </c>
      <c r="E15801" t="s">
        <v>12</v>
      </c>
      <c r="F15801">
        <v>44947941</v>
      </c>
      <c r="G15801">
        <v>44947996</v>
      </c>
      <c r="H15801">
        <v>44947777</v>
      </c>
      <c r="I15801">
        <v>44947792</v>
      </c>
    </row>
    <row r="15802" spans="1:9" x14ac:dyDescent="0.2">
      <c r="A15802" s="1" t="str">
        <f>"SERPINA1"</f>
        <v>SERPINA1</v>
      </c>
      <c r="B15802" t="s">
        <v>9</v>
      </c>
      <c r="C15802" t="s">
        <v>41</v>
      </c>
      <c r="D15802" t="s">
        <v>11</v>
      </c>
      <c r="E15802" t="s">
        <v>12</v>
      </c>
      <c r="F15802">
        <v>94854927</v>
      </c>
      <c r="G15802">
        <v>94854945</v>
      </c>
      <c r="H15802">
        <v>94854927</v>
      </c>
      <c r="I15802">
        <v>94854945</v>
      </c>
    </row>
    <row r="15803" spans="1:9" x14ac:dyDescent="0.2">
      <c r="A15803" s="1" t="str">
        <f>"SERPINA1"</f>
        <v>SERPINA1</v>
      </c>
      <c r="B15803" t="s">
        <v>13</v>
      </c>
      <c r="C15803" t="s">
        <v>41</v>
      </c>
      <c r="D15803" t="s">
        <v>11</v>
      </c>
      <c r="E15803" t="s">
        <v>12</v>
      </c>
      <c r="F15803">
        <v>94856963</v>
      </c>
      <c r="G15803">
        <v>94856979</v>
      </c>
      <c r="H15803">
        <v>94856963</v>
      </c>
      <c r="I15803">
        <v>94856979</v>
      </c>
    </row>
    <row r="15804" spans="1:9" x14ac:dyDescent="0.2">
      <c r="A15804" s="1" t="str">
        <f>"SERPINA10"</f>
        <v>SERPINA10</v>
      </c>
      <c r="B15804" t="s">
        <v>14</v>
      </c>
      <c r="C15804" t="s">
        <v>41</v>
      </c>
      <c r="D15804" t="s">
        <v>11</v>
      </c>
      <c r="E15804" t="s">
        <v>12</v>
      </c>
      <c r="F15804">
        <v>94759548</v>
      </c>
      <c r="G15804">
        <v>94759571</v>
      </c>
      <c r="H15804">
        <v>94759595</v>
      </c>
      <c r="I15804">
        <v>94759613</v>
      </c>
    </row>
    <row r="15805" spans="1:9" x14ac:dyDescent="0.2">
      <c r="A15805" s="1" t="str">
        <f>"SERPINA11"</f>
        <v>SERPINA11</v>
      </c>
      <c r="B15805" t="s">
        <v>14</v>
      </c>
      <c r="C15805" t="s">
        <v>41</v>
      </c>
      <c r="D15805" t="s">
        <v>11</v>
      </c>
      <c r="E15805" t="s">
        <v>12</v>
      </c>
      <c r="F15805">
        <v>94919103</v>
      </c>
      <c r="G15805">
        <v>94919148</v>
      </c>
      <c r="H15805">
        <v>94919103</v>
      </c>
      <c r="I15805">
        <v>94919148</v>
      </c>
    </row>
    <row r="15806" spans="1:9" x14ac:dyDescent="0.2">
      <c r="A15806" s="1" t="str">
        <f>"SERPINA12"</f>
        <v>SERPINA12</v>
      </c>
      <c r="B15806" t="s">
        <v>14</v>
      </c>
      <c r="C15806" t="s">
        <v>41</v>
      </c>
      <c r="D15806" t="s">
        <v>11</v>
      </c>
      <c r="E15806" t="s">
        <v>12</v>
      </c>
      <c r="F15806">
        <v>94970605</v>
      </c>
      <c r="G15806">
        <v>94970633</v>
      </c>
      <c r="H15806">
        <v>94970605</v>
      </c>
      <c r="I15806">
        <v>94970633</v>
      </c>
    </row>
    <row r="15807" spans="1:9" x14ac:dyDescent="0.2">
      <c r="A15807" s="1" t="str">
        <f>"SERPINA3"</f>
        <v>SERPINA3</v>
      </c>
      <c r="B15807" t="s">
        <v>9</v>
      </c>
      <c r="C15807" t="s">
        <v>41</v>
      </c>
      <c r="D15807" t="s">
        <v>17</v>
      </c>
      <c r="E15807" t="s">
        <v>12</v>
      </c>
      <c r="F15807">
        <v>95078720</v>
      </c>
      <c r="G15807">
        <v>95078739</v>
      </c>
      <c r="H15807">
        <v>95078720</v>
      </c>
      <c r="I15807">
        <v>95078739</v>
      </c>
    </row>
    <row r="15808" spans="1:9" x14ac:dyDescent="0.2">
      <c r="A15808" s="1" t="str">
        <f>"SERPINA3"</f>
        <v>SERPINA3</v>
      </c>
      <c r="B15808" t="s">
        <v>13</v>
      </c>
      <c r="C15808" t="s">
        <v>41</v>
      </c>
      <c r="D15808" t="s">
        <v>17</v>
      </c>
      <c r="E15808" t="s">
        <v>12</v>
      </c>
      <c r="F15808">
        <v>95080980</v>
      </c>
      <c r="G15808">
        <v>95081010</v>
      </c>
      <c r="H15808">
        <v>95080980</v>
      </c>
      <c r="I15808">
        <v>95081010</v>
      </c>
    </row>
    <row r="15809" spans="1:9" x14ac:dyDescent="0.2">
      <c r="A15809" s="1" t="str">
        <f>"SERPINA4"</f>
        <v>SERPINA4</v>
      </c>
      <c r="B15809" t="s">
        <v>14</v>
      </c>
      <c r="C15809" t="s">
        <v>41</v>
      </c>
      <c r="D15809" t="s">
        <v>17</v>
      </c>
      <c r="E15809" t="s">
        <v>12</v>
      </c>
      <c r="F15809">
        <v>95027772</v>
      </c>
      <c r="G15809">
        <v>95027791</v>
      </c>
      <c r="H15809">
        <v>95027755</v>
      </c>
      <c r="I15809">
        <v>95027770</v>
      </c>
    </row>
    <row r="15810" spans="1:9" x14ac:dyDescent="0.2">
      <c r="A15810" s="1" t="str">
        <f>"SERPINA5"</f>
        <v>SERPINA5</v>
      </c>
      <c r="B15810" t="s">
        <v>9</v>
      </c>
      <c r="C15810" t="s">
        <v>41</v>
      </c>
      <c r="D15810" t="s">
        <v>17</v>
      </c>
      <c r="E15810" t="s">
        <v>12</v>
      </c>
      <c r="F15810">
        <v>95047744</v>
      </c>
      <c r="G15810">
        <v>95047805</v>
      </c>
      <c r="H15810">
        <v>95047744</v>
      </c>
      <c r="I15810">
        <v>95047805</v>
      </c>
    </row>
    <row r="15811" spans="1:9" x14ac:dyDescent="0.2">
      <c r="A15811" s="1" t="str">
        <f>"SERPINA5"</f>
        <v>SERPINA5</v>
      </c>
      <c r="B15811" t="s">
        <v>13</v>
      </c>
      <c r="C15811" t="s">
        <v>41</v>
      </c>
      <c r="D15811" t="s">
        <v>17</v>
      </c>
      <c r="E15811" t="s">
        <v>12</v>
      </c>
      <c r="F15811">
        <v>95027772</v>
      </c>
      <c r="G15811">
        <v>95027791</v>
      </c>
      <c r="H15811">
        <v>95027772</v>
      </c>
      <c r="I15811">
        <v>95027791</v>
      </c>
    </row>
    <row r="15812" spans="1:9" x14ac:dyDescent="0.2">
      <c r="A15812" s="1" t="str">
        <f>"SERPINA6"</f>
        <v>SERPINA6</v>
      </c>
      <c r="B15812" t="s">
        <v>14</v>
      </c>
      <c r="C15812" t="s">
        <v>41</v>
      </c>
      <c r="D15812" t="s">
        <v>11</v>
      </c>
      <c r="E15812" t="s">
        <v>12</v>
      </c>
      <c r="F15812">
        <v>94789663</v>
      </c>
      <c r="G15812">
        <v>94789684</v>
      </c>
      <c r="H15812">
        <v>94789663</v>
      </c>
      <c r="I15812">
        <v>94789684</v>
      </c>
    </row>
    <row r="15813" spans="1:9" x14ac:dyDescent="0.2">
      <c r="A15813" s="1" t="str">
        <f>"SERPINA7"</f>
        <v>SERPINA7</v>
      </c>
      <c r="B15813" t="s">
        <v>14</v>
      </c>
      <c r="C15813" t="s">
        <v>37</v>
      </c>
      <c r="D15813" t="s">
        <v>11</v>
      </c>
      <c r="E15813" t="s">
        <v>12</v>
      </c>
      <c r="F15813">
        <v>105282712</v>
      </c>
      <c r="G15813">
        <v>105282726</v>
      </c>
      <c r="H15813">
        <v>105282712</v>
      </c>
      <c r="I15813">
        <v>105282726</v>
      </c>
    </row>
    <row r="15814" spans="1:9" x14ac:dyDescent="0.2">
      <c r="A15814" s="1" t="str">
        <f>"SERPINA9"</f>
        <v>SERPINA9</v>
      </c>
      <c r="B15814" t="s">
        <v>14</v>
      </c>
      <c r="C15814" t="s">
        <v>41</v>
      </c>
      <c r="D15814" t="s">
        <v>11</v>
      </c>
      <c r="E15814" t="s">
        <v>12</v>
      </c>
      <c r="F15814">
        <v>94942527</v>
      </c>
      <c r="G15814">
        <v>94942540</v>
      </c>
      <c r="H15814">
        <v>94942555</v>
      </c>
      <c r="I15814">
        <v>94942566</v>
      </c>
    </row>
    <row r="15815" spans="1:9" x14ac:dyDescent="0.2">
      <c r="A15815" s="1" t="str">
        <f>"SERPINB1"</f>
        <v>SERPINB1</v>
      </c>
      <c r="B15815" t="s">
        <v>14</v>
      </c>
      <c r="C15815" t="s">
        <v>32</v>
      </c>
      <c r="D15815" t="s">
        <v>11</v>
      </c>
      <c r="E15815" t="s">
        <v>12</v>
      </c>
      <c r="F15815">
        <v>2842087</v>
      </c>
      <c r="G15815">
        <v>2842105</v>
      </c>
      <c r="H15815">
        <v>2842219</v>
      </c>
      <c r="I15815">
        <v>2842246</v>
      </c>
    </row>
    <row r="15816" spans="1:9" x14ac:dyDescent="0.2">
      <c r="A15816" s="1" t="str">
        <f>"SERPINB10"</f>
        <v>SERPINB10</v>
      </c>
      <c r="B15816" t="s">
        <v>14</v>
      </c>
      <c r="C15816" t="s">
        <v>43</v>
      </c>
      <c r="D15816" t="s">
        <v>17</v>
      </c>
      <c r="E15816" t="s">
        <v>12</v>
      </c>
      <c r="F15816">
        <v>61575200</v>
      </c>
      <c r="G15816">
        <v>61575230</v>
      </c>
      <c r="H15816">
        <v>61575200</v>
      </c>
      <c r="I15816">
        <v>61575230</v>
      </c>
    </row>
    <row r="15817" spans="1:9" x14ac:dyDescent="0.2">
      <c r="A15817" s="1" t="str">
        <f>"SERPINB11"</f>
        <v>SERPINB11</v>
      </c>
      <c r="B15817" t="s">
        <v>14</v>
      </c>
      <c r="C15817" t="s">
        <v>43</v>
      </c>
      <c r="D15817" t="s">
        <v>17</v>
      </c>
      <c r="E15817" t="s">
        <v>12</v>
      </c>
      <c r="F15817">
        <v>61370192</v>
      </c>
      <c r="G15817">
        <v>61370197</v>
      </c>
      <c r="H15817">
        <v>61370192</v>
      </c>
      <c r="I15817">
        <v>61370197</v>
      </c>
    </row>
    <row r="15818" spans="1:9" x14ac:dyDescent="0.2">
      <c r="A15818" s="1" t="str">
        <f>"SERPINB12"</f>
        <v>SERPINB12</v>
      </c>
      <c r="B15818" t="s">
        <v>1529</v>
      </c>
      <c r="C15818" t="s">
        <v>43</v>
      </c>
      <c r="D15818" t="s">
        <v>17</v>
      </c>
      <c r="E15818" t="s">
        <v>20</v>
      </c>
      <c r="F15818">
        <v>61223392</v>
      </c>
      <c r="G15818">
        <v>61223392</v>
      </c>
      <c r="H15818">
        <v>61223392</v>
      </c>
      <c r="I15818">
        <v>61223392</v>
      </c>
    </row>
    <row r="15819" spans="1:9" x14ac:dyDescent="0.2">
      <c r="A15819" s="1" t="str">
        <f>"SERPINB13"</f>
        <v>SERPINB13</v>
      </c>
      <c r="B15819" t="s">
        <v>14</v>
      </c>
      <c r="C15819" t="s">
        <v>43</v>
      </c>
      <c r="D15819" t="s">
        <v>17</v>
      </c>
      <c r="E15819" t="s">
        <v>12</v>
      </c>
      <c r="F15819">
        <v>61254622</v>
      </c>
      <c r="G15819">
        <v>61254641</v>
      </c>
      <c r="H15819">
        <v>61254570</v>
      </c>
      <c r="I15819">
        <v>61254585</v>
      </c>
    </row>
    <row r="15820" spans="1:9" x14ac:dyDescent="0.2">
      <c r="A15820" s="1" t="str">
        <f>"SERPINB2"</f>
        <v>SERPINB2</v>
      </c>
      <c r="B15820" t="s">
        <v>9</v>
      </c>
      <c r="C15820" t="s">
        <v>43</v>
      </c>
      <c r="D15820" t="s">
        <v>17</v>
      </c>
      <c r="E15820" t="s">
        <v>12</v>
      </c>
      <c r="F15820">
        <v>61554932</v>
      </c>
      <c r="G15820">
        <v>61554949</v>
      </c>
      <c r="H15820">
        <v>61554932</v>
      </c>
      <c r="I15820">
        <v>61554949</v>
      </c>
    </row>
    <row r="15821" spans="1:9" x14ac:dyDescent="0.2">
      <c r="A15821" s="1" t="str">
        <f>"SERPINB2"</f>
        <v>SERPINB2</v>
      </c>
      <c r="B15821" t="s">
        <v>13</v>
      </c>
      <c r="C15821" t="s">
        <v>43</v>
      </c>
      <c r="D15821" t="s">
        <v>17</v>
      </c>
      <c r="E15821" t="s">
        <v>12</v>
      </c>
      <c r="F15821">
        <v>61558722</v>
      </c>
      <c r="G15821">
        <v>61558771</v>
      </c>
      <c r="H15821">
        <v>61558722</v>
      </c>
      <c r="I15821">
        <v>61558771</v>
      </c>
    </row>
    <row r="15822" spans="1:9" x14ac:dyDescent="0.2">
      <c r="A15822" s="1" t="str">
        <f>"SERPINB3"</f>
        <v>SERPINB3</v>
      </c>
      <c r="B15822" t="s">
        <v>14</v>
      </c>
      <c r="C15822" t="s">
        <v>43</v>
      </c>
      <c r="D15822" t="s">
        <v>11</v>
      </c>
      <c r="E15822" t="s">
        <v>12</v>
      </c>
      <c r="F15822">
        <v>61329123</v>
      </c>
      <c r="G15822">
        <v>61329134</v>
      </c>
      <c r="H15822">
        <v>61329123</v>
      </c>
      <c r="I15822">
        <v>61329134</v>
      </c>
    </row>
    <row r="15823" spans="1:9" x14ac:dyDescent="0.2">
      <c r="A15823" s="1" t="str">
        <f>"SERPINB4"</f>
        <v>SERPINB4</v>
      </c>
      <c r="B15823" t="s">
        <v>14</v>
      </c>
      <c r="C15823" t="s">
        <v>43</v>
      </c>
      <c r="D15823" t="s">
        <v>11</v>
      </c>
      <c r="E15823" t="s">
        <v>12</v>
      </c>
      <c r="F15823">
        <v>61311485</v>
      </c>
      <c r="G15823">
        <v>61311497</v>
      </c>
      <c r="H15823">
        <v>61311485</v>
      </c>
      <c r="I15823">
        <v>61311497</v>
      </c>
    </row>
    <row r="15824" spans="1:9" x14ac:dyDescent="0.2">
      <c r="A15824" s="1" t="str">
        <f>"SERPINB5"</f>
        <v>SERPINB5</v>
      </c>
      <c r="B15824" t="s">
        <v>14</v>
      </c>
      <c r="C15824" t="s">
        <v>43</v>
      </c>
      <c r="D15824" t="s">
        <v>17</v>
      </c>
      <c r="E15824" t="s">
        <v>12</v>
      </c>
      <c r="F15824">
        <v>61144160</v>
      </c>
      <c r="G15824">
        <v>61144214</v>
      </c>
      <c r="H15824">
        <v>61144049</v>
      </c>
      <c r="I15824">
        <v>61144064</v>
      </c>
    </row>
    <row r="15825" spans="1:9" x14ac:dyDescent="0.2">
      <c r="A15825" s="1" t="str">
        <f>"SERPINB6"</f>
        <v>SERPINB6</v>
      </c>
      <c r="B15825" t="s">
        <v>14</v>
      </c>
      <c r="C15825" t="s">
        <v>32</v>
      </c>
      <c r="D15825" t="s">
        <v>11</v>
      </c>
      <c r="E15825" t="s">
        <v>12</v>
      </c>
      <c r="F15825">
        <v>2971494</v>
      </c>
      <c r="G15825">
        <v>2971544</v>
      </c>
      <c r="H15825">
        <v>2971792</v>
      </c>
      <c r="I15825">
        <v>2971812</v>
      </c>
    </row>
    <row r="15826" spans="1:9" x14ac:dyDescent="0.2">
      <c r="A15826" s="1" t="str">
        <f>"SERPINB7"</f>
        <v>SERPINB7</v>
      </c>
      <c r="B15826" t="s">
        <v>9</v>
      </c>
      <c r="C15826" t="s">
        <v>43</v>
      </c>
      <c r="D15826" t="s">
        <v>17</v>
      </c>
      <c r="E15826" t="s">
        <v>12</v>
      </c>
      <c r="F15826">
        <v>61445007</v>
      </c>
      <c r="G15826">
        <v>61445021</v>
      </c>
      <c r="H15826">
        <v>61445007</v>
      </c>
      <c r="I15826">
        <v>61445021</v>
      </c>
    </row>
    <row r="15827" spans="1:9" x14ac:dyDescent="0.2">
      <c r="A15827" s="1" t="str">
        <f>"SERPINB7"</f>
        <v>SERPINB7</v>
      </c>
      <c r="B15827" t="s">
        <v>13</v>
      </c>
      <c r="C15827" t="s">
        <v>43</v>
      </c>
      <c r="D15827" t="s">
        <v>17</v>
      </c>
      <c r="E15827" t="s">
        <v>12</v>
      </c>
      <c r="F15827">
        <v>61442629</v>
      </c>
      <c r="G15827">
        <v>61442679</v>
      </c>
      <c r="H15827">
        <v>61442629</v>
      </c>
      <c r="I15827">
        <v>61442679</v>
      </c>
    </row>
    <row r="15828" spans="1:9" x14ac:dyDescent="0.2">
      <c r="A15828" s="1" t="str">
        <f>"SERPINB8"</f>
        <v>SERPINB8</v>
      </c>
      <c r="B15828" t="s">
        <v>14</v>
      </c>
      <c r="C15828" t="s">
        <v>43</v>
      </c>
      <c r="D15828" t="s">
        <v>17</v>
      </c>
      <c r="E15828" t="s">
        <v>12</v>
      </c>
      <c r="F15828">
        <v>61637284</v>
      </c>
      <c r="G15828">
        <v>61637362</v>
      </c>
      <c r="H15828">
        <v>61637364</v>
      </c>
      <c r="I15828">
        <v>61637369</v>
      </c>
    </row>
    <row r="15829" spans="1:9" x14ac:dyDescent="0.2">
      <c r="A15829" s="1" t="str">
        <f>"SERPINB9"</f>
        <v>SERPINB9</v>
      </c>
      <c r="B15829" t="s">
        <v>14</v>
      </c>
      <c r="C15829" t="s">
        <v>32</v>
      </c>
      <c r="D15829" t="s">
        <v>11</v>
      </c>
      <c r="E15829" t="s">
        <v>12</v>
      </c>
      <c r="F15829">
        <v>2903534</v>
      </c>
      <c r="G15829">
        <v>2903552</v>
      </c>
      <c r="H15829">
        <v>2903534</v>
      </c>
      <c r="I15829">
        <v>2903552</v>
      </c>
    </row>
    <row r="15830" spans="1:9" x14ac:dyDescent="0.2">
      <c r="A15830" s="1" t="str">
        <f>"SERPINC1"</f>
        <v>SERPINC1</v>
      </c>
      <c r="B15830" t="s">
        <v>14</v>
      </c>
      <c r="C15830" t="s">
        <v>19</v>
      </c>
      <c r="D15830" t="s">
        <v>11</v>
      </c>
      <c r="E15830" t="s">
        <v>12</v>
      </c>
      <c r="F15830">
        <v>173886458</v>
      </c>
      <c r="G15830">
        <v>173886473</v>
      </c>
      <c r="H15830">
        <v>173886418</v>
      </c>
      <c r="I15830">
        <v>173886457</v>
      </c>
    </row>
    <row r="15831" spans="1:9" x14ac:dyDescent="0.2">
      <c r="A15831" s="1" t="str">
        <f>"SERPIND1"</f>
        <v>SERPIND1</v>
      </c>
      <c r="B15831" t="s">
        <v>14</v>
      </c>
      <c r="C15831" t="s">
        <v>21</v>
      </c>
      <c r="D15831" t="s">
        <v>17</v>
      </c>
      <c r="E15831" t="s">
        <v>12</v>
      </c>
      <c r="F15831">
        <v>21128394</v>
      </c>
      <c r="G15831">
        <v>21128408</v>
      </c>
      <c r="H15831">
        <v>21128379</v>
      </c>
      <c r="I15831">
        <v>21128390</v>
      </c>
    </row>
    <row r="15832" spans="1:9" x14ac:dyDescent="0.2">
      <c r="A15832" s="1" t="str">
        <f>"SERPINE1"</f>
        <v>SERPINE1</v>
      </c>
      <c r="B15832" t="s">
        <v>14</v>
      </c>
      <c r="C15832" t="s">
        <v>33</v>
      </c>
      <c r="D15832" t="s">
        <v>17</v>
      </c>
      <c r="E15832" t="s">
        <v>12</v>
      </c>
      <c r="F15832">
        <v>100770328</v>
      </c>
      <c r="G15832">
        <v>100770393</v>
      </c>
      <c r="H15832">
        <v>100770466</v>
      </c>
      <c r="I15832">
        <v>100770499</v>
      </c>
    </row>
    <row r="15833" spans="1:9" x14ac:dyDescent="0.2">
      <c r="A15833" s="1" t="str">
        <f>"SERPINE2"</f>
        <v>SERPINE2</v>
      </c>
      <c r="B15833" t="s">
        <v>14</v>
      </c>
      <c r="C15833" t="s">
        <v>26</v>
      </c>
      <c r="D15833" t="s">
        <v>11</v>
      </c>
      <c r="E15833" t="s">
        <v>12</v>
      </c>
      <c r="F15833">
        <v>224903995</v>
      </c>
      <c r="G15833">
        <v>224904010</v>
      </c>
      <c r="H15833">
        <v>224903995</v>
      </c>
      <c r="I15833">
        <v>224904010</v>
      </c>
    </row>
    <row r="15834" spans="1:9" x14ac:dyDescent="0.2">
      <c r="A15834" s="1" t="str">
        <f>"SERPINE3"</f>
        <v>SERPINE3</v>
      </c>
      <c r="B15834" t="s">
        <v>14</v>
      </c>
      <c r="C15834" t="s">
        <v>39</v>
      </c>
      <c r="D15834" t="s">
        <v>17</v>
      </c>
      <c r="E15834" t="s">
        <v>12</v>
      </c>
      <c r="F15834">
        <v>51913819</v>
      </c>
      <c r="G15834">
        <v>51913838</v>
      </c>
      <c r="H15834">
        <v>51913806</v>
      </c>
      <c r="I15834">
        <v>51913817</v>
      </c>
    </row>
    <row r="15835" spans="1:9" x14ac:dyDescent="0.2">
      <c r="A15835" s="1" t="str">
        <f>"SERPINF1"</f>
        <v>SERPINF1</v>
      </c>
      <c r="B15835" t="s">
        <v>14</v>
      </c>
      <c r="C15835" t="s">
        <v>28</v>
      </c>
      <c r="D15835" t="s">
        <v>17</v>
      </c>
      <c r="E15835" t="s">
        <v>12</v>
      </c>
      <c r="F15835">
        <v>1665345</v>
      </c>
      <c r="G15835">
        <v>1665362</v>
      </c>
      <c r="H15835">
        <v>1665279</v>
      </c>
      <c r="I15835">
        <v>1665295</v>
      </c>
    </row>
    <row r="15836" spans="1:9" x14ac:dyDescent="0.2">
      <c r="A15836" s="1" t="str">
        <f>"SERPINF2"</f>
        <v>SERPINF2</v>
      </c>
      <c r="B15836" t="s">
        <v>14</v>
      </c>
      <c r="C15836" t="s">
        <v>28</v>
      </c>
      <c r="D15836" t="s">
        <v>17</v>
      </c>
      <c r="E15836" t="s">
        <v>12</v>
      </c>
      <c r="F15836">
        <v>1646131</v>
      </c>
      <c r="G15836">
        <v>1646178</v>
      </c>
      <c r="H15836">
        <v>1646116</v>
      </c>
      <c r="I15836">
        <v>1646127</v>
      </c>
    </row>
    <row r="15837" spans="1:9" x14ac:dyDescent="0.2">
      <c r="A15837" s="1" t="str">
        <f>"SERPING1"</f>
        <v>SERPING1</v>
      </c>
      <c r="B15837" t="s">
        <v>14</v>
      </c>
      <c r="C15837" t="s">
        <v>27</v>
      </c>
      <c r="D15837" t="s">
        <v>17</v>
      </c>
      <c r="E15837" t="s">
        <v>12</v>
      </c>
      <c r="F15837">
        <v>57365150</v>
      </c>
      <c r="G15837">
        <v>57365170</v>
      </c>
      <c r="H15837">
        <v>57365657</v>
      </c>
      <c r="I15837">
        <v>57365748</v>
      </c>
    </row>
    <row r="15838" spans="1:9" x14ac:dyDescent="0.2">
      <c r="A15838" s="1" t="str">
        <f>"SERPINH1"</f>
        <v>SERPINH1</v>
      </c>
      <c r="B15838" t="s">
        <v>14</v>
      </c>
      <c r="C15838" t="s">
        <v>27</v>
      </c>
      <c r="D15838" t="s">
        <v>17</v>
      </c>
      <c r="E15838" t="s">
        <v>12</v>
      </c>
      <c r="F15838">
        <v>75273246</v>
      </c>
      <c r="G15838">
        <v>75273340</v>
      </c>
      <c r="H15838">
        <v>75273154</v>
      </c>
      <c r="I15838">
        <v>75273234</v>
      </c>
    </row>
    <row r="15839" spans="1:9" x14ac:dyDescent="0.2">
      <c r="A15839" s="1" t="str">
        <f>"SERPINI1"</f>
        <v>SERPINI1</v>
      </c>
      <c r="B15839" t="s">
        <v>14</v>
      </c>
      <c r="C15839" t="s">
        <v>22</v>
      </c>
      <c r="D15839" t="s">
        <v>17</v>
      </c>
      <c r="E15839" t="s">
        <v>12</v>
      </c>
      <c r="F15839">
        <v>167453493</v>
      </c>
      <c r="G15839">
        <v>167453533</v>
      </c>
      <c r="H15839">
        <v>167452969</v>
      </c>
      <c r="I15839">
        <v>167453019</v>
      </c>
    </row>
    <row r="15840" spans="1:9" x14ac:dyDescent="0.2">
      <c r="A15840" s="1" t="str">
        <f>"SERPINI2"</f>
        <v>SERPINI2</v>
      </c>
      <c r="B15840" t="s">
        <v>14</v>
      </c>
      <c r="C15840" t="s">
        <v>22</v>
      </c>
      <c r="D15840" t="s">
        <v>11</v>
      </c>
      <c r="E15840" t="s">
        <v>12</v>
      </c>
      <c r="F15840">
        <v>167191821</v>
      </c>
      <c r="G15840">
        <v>167191842</v>
      </c>
      <c r="H15840">
        <v>167191821</v>
      </c>
      <c r="I15840">
        <v>167191842</v>
      </c>
    </row>
    <row r="15841" spans="1:9" x14ac:dyDescent="0.2">
      <c r="A15841" s="1" t="str">
        <f>"SERTAD1"</f>
        <v>SERTAD1</v>
      </c>
      <c r="B15841" t="s">
        <v>14</v>
      </c>
      <c r="C15841" t="s">
        <v>10</v>
      </c>
      <c r="D15841" t="s">
        <v>11</v>
      </c>
      <c r="E15841" t="s">
        <v>12</v>
      </c>
      <c r="F15841">
        <v>40931891</v>
      </c>
      <c r="G15841">
        <v>40931908</v>
      </c>
      <c r="H15841">
        <v>40931891</v>
      </c>
      <c r="I15841">
        <v>40931908</v>
      </c>
    </row>
    <row r="15842" spans="1:9" x14ac:dyDescent="0.2">
      <c r="A15842" s="1" t="str">
        <f>"SERTAD2"</f>
        <v>SERTAD2</v>
      </c>
      <c r="B15842" t="s">
        <v>14</v>
      </c>
      <c r="C15842" t="s">
        <v>26</v>
      </c>
      <c r="D15842" t="s">
        <v>11</v>
      </c>
      <c r="E15842" t="s">
        <v>12</v>
      </c>
      <c r="F15842">
        <v>64881018</v>
      </c>
      <c r="G15842">
        <v>64881064</v>
      </c>
      <c r="H15842">
        <v>64880894</v>
      </c>
      <c r="I15842">
        <v>64880977</v>
      </c>
    </row>
    <row r="15843" spans="1:9" x14ac:dyDescent="0.2">
      <c r="A15843" s="1" t="str">
        <f>"SERTAD3"</f>
        <v>SERTAD3</v>
      </c>
      <c r="B15843" t="s">
        <v>14</v>
      </c>
      <c r="C15843" t="s">
        <v>10</v>
      </c>
      <c r="D15843" t="s">
        <v>11</v>
      </c>
      <c r="E15843" t="s">
        <v>12</v>
      </c>
      <c r="F15843">
        <v>40950189</v>
      </c>
      <c r="G15843">
        <v>40950248</v>
      </c>
      <c r="H15843">
        <v>40950603</v>
      </c>
      <c r="I15843">
        <v>40950633</v>
      </c>
    </row>
    <row r="15844" spans="1:9" x14ac:dyDescent="0.2">
      <c r="A15844" s="1" t="str">
        <f>"SERTAD4"</f>
        <v>SERTAD4</v>
      </c>
      <c r="B15844" t="s">
        <v>14</v>
      </c>
      <c r="C15844" t="s">
        <v>19</v>
      </c>
      <c r="D15844" t="s">
        <v>17</v>
      </c>
      <c r="E15844" t="s">
        <v>12</v>
      </c>
      <c r="F15844">
        <v>210406121</v>
      </c>
      <c r="G15844">
        <v>210406162</v>
      </c>
      <c r="H15844">
        <v>210405938</v>
      </c>
      <c r="I15844">
        <v>210405972</v>
      </c>
    </row>
    <row r="15845" spans="1:9" x14ac:dyDescent="0.2">
      <c r="A15845" s="1" t="str">
        <f>"SERTM1"</f>
        <v>SERTM1</v>
      </c>
      <c r="B15845" t="s">
        <v>14</v>
      </c>
      <c r="C15845" t="s">
        <v>39</v>
      </c>
      <c r="D15845" t="s">
        <v>17</v>
      </c>
      <c r="E15845" t="s">
        <v>12</v>
      </c>
      <c r="F15845">
        <v>37248149</v>
      </c>
      <c r="G15845">
        <v>37248196</v>
      </c>
      <c r="H15845">
        <v>37248213</v>
      </c>
      <c r="I15845">
        <v>37248223</v>
      </c>
    </row>
    <row r="15846" spans="1:9" x14ac:dyDescent="0.2">
      <c r="A15846" s="1" t="str">
        <f>"SESN1"</f>
        <v>SESN1</v>
      </c>
      <c r="B15846" t="s">
        <v>1530</v>
      </c>
      <c r="C15846" t="s">
        <v>32</v>
      </c>
      <c r="D15846" t="s">
        <v>11</v>
      </c>
      <c r="E15846" t="s">
        <v>35</v>
      </c>
      <c r="F15846">
        <v>109416106</v>
      </c>
      <c r="G15846">
        <v>109416126</v>
      </c>
      <c r="H15846">
        <v>109415902</v>
      </c>
      <c r="I15846">
        <v>109415903</v>
      </c>
    </row>
    <row r="15847" spans="1:9" x14ac:dyDescent="0.2">
      <c r="A15847" s="1" t="str">
        <f>"SESN2"</f>
        <v>SESN2</v>
      </c>
      <c r="B15847" t="s">
        <v>14</v>
      </c>
      <c r="C15847" t="s">
        <v>19</v>
      </c>
      <c r="D15847" t="s">
        <v>17</v>
      </c>
      <c r="E15847" t="s">
        <v>12</v>
      </c>
      <c r="F15847">
        <v>28586006</v>
      </c>
      <c r="G15847">
        <v>28586044</v>
      </c>
      <c r="H15847">
        <v>28585985</v>
      </c>
      <c r="I15847">
        <v>28586005</v>
      </c>
    </row>
    <row r="15848" spans="1:9" x14ac:dyDescent="0.2">
      <c r="A15848" s="1" t="str">
        <f>"SESN3"</f>
        <v>SESN3</v>
      </c>
      <c r="B15848" t="s">
        <v>14</v>
      </c>
      <c r="C15848" t="s">
        <v>27</v>
      </c>
      <c r="D15848" t="s">
        <v>11</v>
      </c>
      <c r="E15848" t="s">
        <v>12</v>
      </c>
      <c r="F15848">
        <v>94964354</v>
      </c>
      <c r="G15848">
        <v>94964374</v>
      </c>
      <c r="H15848">
        <v>94964212</v>
      </c>
      <c r="I15848">
        <v>94964285</v>
      </c>
    </row>
    <row r="15849" spans="1:9" x14ac:dyDescent="0.2">
      <c r="A15849" s="1" t="str">
        <f>"SESTD1"</f>
        <v>SESTD1</v>
      </c>
      <c r="B15849" t="s">
        <v>14</v>
      </c>
      <c r="C15849" t="s">
        <v>26</v>
      </c>
      <c r="D15849" t="s">
        <v>11</v>
      </c>
      <c r="E15849" t="s">
        <v>12</v>
      </c>
      <c r="F15849">
        <v>180129484</v>
      </c>
      <c r="G15849">
        <v>180129574</v>
      </c>
      <c r="H15849">
        <v>180129254</v>
      </c>
      <c r="I15849">
        <v>180129321</v>
      </c>
    </row>
    <row r="15850" spans="1:9" x14ac:dyDescent="0.2">
      <c r="A15850" s="1" t="str">
        <f>"SET"</f>
        <v>SET</v>
      </c>
      <c r="B15850" t="s">
        <v>14</v>
      </c>
      <c r="C15850" t="s">
        <v>24</v>
      </c>
      <c r="D15850" t="s">
        <v>17</v>
      </c>
      <c r="E15850" t="s">
        <v>12</v>
      </c>
      <c r="F15850">
        <v>131451480</v>
      </c>
      <c r="G15850">
        <v>131451567</v>
      </c>
      <c r="H15850">
        <v>131451568</v>
      </c>
      <c r="I15850">
        <v>131451581</v>
      </c>
    </row>
    <row r="15851" spans="1:9" x14ac:dyDescent="0.2">
      <c r="A15851" s="1" t="str">
        <f>"SETBP1"</f>
        <v>SETBP1</v>
      </c>
      <c r="B15851" t="s">
        <v>14</v>
      </c>
      <c r="C15851" t="s">
        <v>43</v>
      </c>
      <c r="D15851" t="s">
        <v>17</v>
      </c>
      <c r="E15851" t="s">
        <v>12</v>
      </c>
      <c r="F15851">
        <v>42260059</v>
      </c>
      <c r="G15851">
        <v>42260132</v>
      </c>
      <c r="H15851">
        <v>42260840</v>
      </c>
      <c r="I15851">
        <v>42260860</v>
      </c>
    </row>
    <row r="15852" spans="1:9" x14ac:dyDescent="0.2">
      <c r="A15852" s="1" t="str">
        <f>"SETD1A"</f>
        <v>SETD1A</v>
      </c>
      <c r="B15852" t="s">
        <v>14</v>
      </c>
      <c r="C15852" t="s">
        <v>31</v>
      </c>
      <c r="D15852" t="s">
        <v>17</v>
      </c>
      <c r="E15852" t="s">
        <v>12</v>
      </c>
      <c r="F15852">
        <v>30969281</v>
      </c>
      <c r="G15852">
        <v>30969305</v>
      </c>
      <c r="H15852">
        <v>30969316</v>
      </c>
      <c r="I15852">
        <v>30969329</v>
      </c>
    </row>
    <row r="15853" spans="1:9" x14ac:dyDescent="0.2">
      <c r="A15853" s="1" t="str">
        <f>"SETD1B"</f>
        <v>SETD1B</v>
      </c>
      <c r="B15853" t="s">
        <v>14</v>
      </c>
      <c r="C15853" t="s">
        <v>16</v>
      </c>
      <c r="D15853" t="s">
        <v>17</v>
      </c>
      <c r="E15853" t="s">
        <v>12</v>
      </c>
      <c r="F15853">
        <v>122241928</v>
      </c>
      <c r="G15853">
        <v>122241982</v>
      </c>
      <c r="H15853">
        <v>122241928</v>
      </c>
      <c r="I15853">
        <v>122241982</v>
      </c>
    </row>
    <row r="15854" spans="1:9" x14ac:dyDescent="0.2">
      <c r="A15854" s="1" t="str">
        <f>"SETD2"</f>
        <v>SETD2</v>
      </c>
      <c r="B15854" t="s">
        <v>14</v>
      </c>
      <c r="C15854" t="s">
        <v>22</v>
      </c>
      <c r="D15854" t="s">
        <v>11</v>
      </c>
      <c r="E15854" t="s">
        <v>12</v>
      </c>
      <c r="F15854">
        <v>47205548</v>
      </c>
      <c r="G15854">
        <v>47205638</v>
      </c>
      <c r="H15854">
        <v>47205415</v>
      </c>
      <c r="I15854">
        <v>47205447</v>
      </c>
    </row>
    <row r="15855" spans="1:9" x14ac:dyDescent="0.2">
      <c r="A15855" s="1" t="str">
        <f>"SETD3"</f>
        <v>SETD3</v>
      </c>
      <c r="B15855" t="s">
        <v>14</v>
      </c>
      <c r="C15855" t="s">
        <v>41</v>
      </c>
      <c r="D15855" t="s">
        <v>11</v>
      </c>
      <c r="E15855" t="s">
        <v>12</v>
      </c>
      <c r="F15855">
        <v>99947168</v>
      </c>
      <c r="G15855">
        <v>99947232</v>
      </c>
      <c r="H15855">
        <v>99947121</v>
      </c>
      <c r="I15855">
        <v>99947136</v>
      </c>
    </row>
    <row r="15856" spans="1:9" x14ac:dyDescent="0.2">
      <c r="A15856" s="1" t="str">
        <f>"SETD4"</f>
        <v>SETD4</v>
      </c>
      <c r="B15856" t="s">
        <v>14</v>
      </c>
      <c r="C15856" t="s">
        <v>42</v>
      </c>
      <c r="D15856" t="s">
        <v>11</v>
      </c>
      <c r="E15856" t="s">
        <v>12</v>
      </c>
      <c r="F15856">
        <v>37432764</v>
      </c>
      <c r="G15856">
        <v>37432831</v>
      </c>
      <c r="H15856">
        <v>37432602</v>
      </c>
      <c r="I15856">
        <v>37432646</v>
      </c>
    </row>
    <row r="15857" spans="1:9" x14ac:dyDescent="0.2">
      <c r="A15857" s="1" t="str">
        <f>"SETD5"</f>
        <v>SETD5</v>
      </c>
      <c r="B15857" t="s">
        <v>14</v>
      </c>
      <c r="C15857" t="s">
        <v>22</v>
      </c>
      <c r="D15857" t="s">
        <v>17</v>
      </c>
      <c r="E15857" t="s">
        <v>12</v>
      </c>
      <c r="F15857">
        <v>9439286</v>
      </c>
      <c r="G15857">
        <v>9439332</v>
      </c>
      <c r="H15857">
        <v>9439516</v>
      </c>
      <c r="I15857">
        <v>9439578</v>
      </c>
    </row>
    <row r="15858" spans="1:9" x14ac:dyDescent="0.2">
      <c r="A15858" s="1" t="str">
        <f>"SETD6"</f>
        <v>SETD6</v>
      </c>
      <c r="B15858" t="s">
        <v>14</v>
      </c>
      <c r="C15858" t="s">
        <v>31</v>
      </c>
      <c r="D15858" t="s">
        <v>17</v>
      </c>
      <c r="E15858" t="s">
        <v>12</v>
      </c>
      <c r="F15858">
        <v>58549412</v>
      </c>
      <c r="G15858">
        <v>58549443</v>
      </c>
      <c r="H15858">
        <v>58549378</v>
      </c>
      <c r="I15858">
        <v>58549387</v>
      </c>
    </row>
    <row r="15859" spans="1:9" x14ac:dyDescent="0.2">
      <c r="A15859" s="1" t="str">
        <f>"SETD7"</f>
        <v>SETD7</v>
      </c>
      <c r="B15859" t="s">
        <v>14</v>
      </c>
      <c r="C15859" t="s">
        <v>23</v>
      </c>
      <c r="D15859" t="s">
        <v>11</v>
      </c>
      <c r="E15859" t="s">
        <v>12</v>
      </c>
      <c r="F15859">
        <v>140477353</v>
      </c>
      <c r="G15859">
        <v>140477400</v>
      </c>
      <c r="H15859">
        <v>140477535</v>
      </c>
      <c r="I15859">
        <v>140477623</v>
      </c>
    </row>
    <row r="15860" spans="1:9" x14ac:dyDescent="0.2">
      <c r="A15860" s="1" t="str">
        <f>"SETD8"</f>
        <v>SETD8</v>
      </c>
      <c r="B15860" t="s">
        <v>9</v>
      </c>
      <c r="C15860" t="s">
        <v>16</v>
      </c>
      <c r="D15860" t="s">
        <v>17</v>
      </c>
      <c r="E15860" t="s">
        <v>12</v>
      </c>
      <c r="F15860">
        <v>123873442</v>
      </c>
      <c r="G15860">
        <v>123873518</v>
      </c>
      <c r="H15860">
        <v>123873442</v>
      </c>
      <c r="I15860">
        <v>123873518</v>
      </c>
    </row>
    <row r="15861" spans="1:9" x14ac:dyDescent="0.2">
      <c r="A15861" s="1" t="str">
        <f>"SETD8"</f>
        <v>SETD8</v>
      </c>
      <c r="B15861" t="s">
        <v>13</v>
      </c>
      <c r="C15861" t="s">
        <v>16</v>
      </c>
      <c r="D15861" t="s">
        <v>17</v>
      </c>
      <c r="E15861" t="s">
        <v>12</v>
      </c>
      <c r="F15861">
        <v>123868664</v>
      </c>
      <c r="G15861">
        <v>123868734</v>
      </c>
      <c r="H15861">
        <v>123868664</v>
      </c>
      <c r="I15861">
        <v>123868734</v>
      </c>
    </row>
    <row r="15862" spans="1:9" x14ac:dyDescent="0.2">
      <c r="A15862" s="1" t="str">
        <f>"SETD9"</f>
        <v>SETD9</v>
      </c>
      <c r="B15862" t="s">
        <v>14</v>
      </c>
      <c r="C15862" t="s">
        <v>46</v>
      </c>
      <c r="D15862" t="s">
        <v>17</v>
      </c>
      <c r="E15862" t="s">
        <v>12</v>
      </c>
      <c r="F15862">
        <v>56205414</v>
      </c>
      <c r="G15862">
        <v>56205466</v>
      </c>
      <c r="H15862">
        <v>56205878</v>
      </c>
      <c r="I15862">
        <v>56205895</v>
      </c>
    </row>
    <row r="15863" spans="1:9" x14ac:dyDescent="0.2">
      <c r="A15863" s="1" t="str">
        <f>"SETDB1"</f>
        <v>SETDB1</v>
      </c>
      <c r="B15863" t="s">
        <v>14</v>
      </c>
      <c r="C15863" t="s">
        <v>19</v>
      </c>
      <c r="D15863" t="s">
        <v>17</v>
      </c>
      <c r="E15863" t="s">
        <v>12</v>
      </c>
      <c r="F15863">
        <v>150898812</v>
      </c>
      <c r="G15863">
        <v>150898923</v>
      </c>
      <c r="H15863">
        <v>150898775</v>
      </c>
      <c r="I15863">
        <v>150898795</v>
      </c>
    </row>
    <row r="15864" spans="1:9" x14ac:dyDescent="0.2">
      <c r="A15864" s="1" t="str">
        <f>"SETDB2"</f>
        <v>SETDB2</v>
      </c>
      <c r="B15864" t="s">
        <v>14</v>
      </c>
      <c r="C15864" t="s">
        <v>39</v>
      </c>
      <c r="D15864" t="s">
        <v>17</v>
      </c>
      <c r="E15864" t="s">
        <v>12</v>
      </c>
      <c r="F15864">
        <v>50018402</v>
      </c>
      <c r="G15864">
        <v>50018469</v>
      </c>
      <c r="H15864">
        <v>50018535</v>
      </c>
      <c r="I15864">
        <v>50018583</v>
      </c>
    </row>
    <row r="15865" spans="1:9" x14ac:dyDescent="0.2">
      <c r="A15865" s="1" t="str">
        <f>"SETMAR"</f>
        <v>SETMAR</v>
      </c>
      <c r="B15865" t="s">
        <v>14</v>
      </c>
      <c r="C15865" t="s">
        <v>22</v>
      </c>
      <c r="D15865" t="s">
        <v>17</v>
      </c>
      <c r="E15865" t="s">
        <v>12</v>
      </c>
      <c r="F15865">
        <v>4345043</v>
      </c>
      <c r="G15865">
        <v>4345059</v>
      </c>
      <c r="H15865">
        <v>4345063</v>
      </c>
      <c r="I15865">
        <v>4345087</v>
      </c>
    </row>
    <row r="15866" spans="1:9" x14ac:dyDescent="0.2">
      <c r="A15866" s="1" t="str">
        <f>"SETX"</f>
        <v>SETX</v>
      </c>
      <c r="B15866" t="s">
        <v>14</v>
      </c>
      <c r="C15866" t="s">
        <v>24</v>
      </c>
      <c r="D15866" t="s">
        <v>11</v>
      </c>
      <c r="E15866" t="s">
        <v>12</v>
      </c>
      <c r="F15866">
        <v>135230336</v>
      </c>
      <c r="G15866">
        <v>135230398</v>
      </c>
      <c r="H15866">
        <v>135230305</v>
      </c>
      <c r="I15866">
        <v>135230319</v>
      </c>
    </row>
    <row r="15867" spans="1:9" x14ac:dyDescent="0.2">
      <c r="A15867" s="1" t="str">
        <f>"SEZ6"</f>
        <v>SEZ6</v>
      </c>
      <c r="B15867" t="s">
        <v>9</v>
      </c>
      <c r="C15867" t="s">
        <v>28</v>
      </c>
      <c r="D15867" t="s">
        <v>11</v>
      </c>
      <c r="E15867" t="s">
        <v>12</v>
      </c>
      <c r="F15867">
        <v>27333028</v>
      </c>
      <c r="G15867">
        <v>27333089</v>
      </c>
      <c r="H15867">
        <v>27333028</v>
      </c>
      <c r="I15867">
        <v>27333089</v>
      </c>
    </row>
    <row r="15868" spans="1:9" x14ac:dyDescent="0.2">
      <c r="A15868" s="1" t="str">
        <f>"SEZ6"</f>
        <v>SEZ6</v>
      </c>
      <c r="B15868" t="s">
        <v>13</v>
      </c>
      <c r="C15868" t="s">
        <v>28</v>
      </c>
      <c r="D15868" t="s">
        <v>11</v>
      </c>
      <c r="E15868" t="s">
        <v>12</v>
      </c>
      <c r="F15868">
        <v>27308597</v>
      </c>
      <c r="G15868">
        <v>27308609</v>
      </c>
      <c r="H15868">
        <v>27308597</v>
      </c>
      <c r="I15868">
        <v>27308609</v>
      </c>
    </row>
    <row r="15869" spans="1:9" x14ac:dyDescent="0.2">
      <c r="A15869" s="1" t="str">
        <f>"SEZ6L"</f>
        <v>SEZ6L</v>
      </c>
      <c r="B15869" t="s">
        <v>14</v>
      </c>
      <c r="C15869" t="s">
        <v>21</v>
      </c>
      <c r="D15869" t="s">
        <v>17</v>
      </c>
      <c r="E15869" t="s">
        <v>12</v>
      </c>
      <c r="F15869">
        <v>26565421</v>
      </c>
      <c r="G15869">
        <v>26565434</v>
      </c>
      <c r="H15869">
        <v>26565443</v>
      </c>
      <c r="I15869">
        <v>26565465</v>
      </c>
    </row>
    <row r="15870" spans="1:9" x14ac:dyDescent="0.2">
      <c r="A15870" s="1" t="str">
        <f>"SEZ6L2"</f>
        <v>SEZ6L2</v>
      </c>
      <c r="B15870" t="s">
        <v>14</v>
      </c>
      <c r="C15870" t="s">
        <v>31</v>
      </c>
      <c r="D15870" t="s">
        <v>11</v>
      </c>
      <c r="E15870" t="s">
        <v>12</v>
      </c>
      <c r="F15870">
        <v>29910853</v>
      </c>
      <c r="G15870">
        <v>29910903</v>
      </c>
      <c r="H15870">
        <v>29910566</v>
      </c>
      <c r="I15870">
        <v>29910611</v>
      </c>
    </row>
    <row r="15871" spans="1:9" x14ac:dyDescent="0.2">
      <c r="A15871" s="1" t="str">
        <f>"SF1"</f>
        <v>SF1</v>
      </c>
      <c r="B15871" t="s">
        <v>14</v>
      </c>
      <c r="C15871" t="s">
        <v>27</v>
      </c>
      <c r="D15871" t="s">
        <v>11</v>
      </c>
      <c r="E15871" t="s">
        <v>12</v>
      </c>
      <c r="F15871">
        <v>64545975</v>
      </c>
      <c r="G15871">
        <v>64546034</v>
      </c>
      <c r="H15871">
        <v>64546232</v>
      </c>
      <c r="I15871">
        <v>64546255</v>
      </c>
    </row>
    <row r="15872" spans="1:9" x14ac:dyDescent="0.2">
      <c r="A15872" s="1" t="str">
        <f>"SF3A1"</f>
        <v>SF3A1</v>
      </c>
      <c r="B15872" t="s">
        <v>9</v>
      </c>
      <c r="C15872" t="s">
        <v>21</v>
      </c>
      <c r="D15872" t="s">
        <v>11</v>
      </c>
      <c r="E15872" t="s">
        <v>12</v>
      </c>
      <c r="F15872">
        <v>30752861</v>
      </c>
      <c r="G15872">
        <v>30752924</v>
      </c>
      <c r="H15872">
        <v>30752861</v>
      </c>
      <c r="I15872">
        <v>30752924</v>
      </c>
    </row>
    <row r="15873" spans="1:9" x14ac:dyDescent="0.2">
      <c r="A15873" s="1" t="str">
        <f>"SF3A1"</f>
        <v>SF3A1</v>
      </c>
      <c r="B15873" t="s">
        <v>13</v>
      </c>
      <c r="C15873" t="s">
        <v>21</v>
      </c>
      <c r="D15873" t="s">
        <v>11</v>
      </c>
      <c r="E15873" t="s">
        <v>12</v>
      </c>
      <c r="F15873">
        <v>30736759</v>
      </c>
      <c r="G15873">
        <v>30736782</v>
      </c>
      <c r="H15873">
        <v>30736759</v>
      </c>
      <c r="I15873">
        <v>30736782</v>
      </c>
    </row>
    <row r="15874" spans="1:9" x14ac:dyDescent="0.2">
      <c r="A15874" s="1" t="str">
        <f>"SF3A2"</f>
        <v>SF3A2</v>
      </c>
      <c r="B15874" t="s">
        <v>9</v>
      </c>
      <c r="C15874" t="s">
        <v>10</v>
      </c>
      <c r="D15874" t="s">
        <v>17</v>
      </c>
      <c r="E15874" t="s">
        <v>12</v>
      </c>
      <c r="F15874">
        <v>2236815</v>
      </c>
      <c r="G15874">
        <v>2236860</v>
      </c>
      <c r="H15874">
        <v>2236815</v>
      </c>
      <c r="I15874">
        <v>2236860</v>
      </c>
    </row>
    <row r="15875" spans="1:9" x14ac:dyDescent="0.2">
      <c r="A15875" s="1" t="str">
        <f>"SF3A2"</f>
        <v>SF3A2</v>
      </c>
      <c r="B15875" t="s">
        <v>13</v>
      </c>
      <c r="C15875" t="s">
        <v>10</v>
      </c>
      <c r="D15875" t="s">
        <v>17</v>
      </c>
      <c r="E15875" t="s">
        <v>12</v>
      </c>
      <c r="F15875">
        <v>2243453</v>
      </c>
      <c r="G15875">
        <v>2243468</v>
      </c>
      <c r="H15875">
        <v>2243453</v>
      </c>
      <c r="I15875">
        <v>2243468</v>
      </c>
    </row>
    <row r="15876" spans="1:9" x14ac:dyDescent="0.2">
      <c r="A15876" s="1" t="str">
        <f>"SF3A3"</f>
        <v>SF3A3</v>
      </c>
      <c r="B15876" t="s">
        <v>14</v>
      </c>
      <c r="C15876" t="s">
        <v>19</v>
      </c>
      <c r="D15876" t="s">
        <v>11</v>
      </c>
      <c r="E15876" t="s">
        <v>12</v>
      </c>
      <c r="F15876">
        <v>38455650</v>
      </c>
      <c r="G15876">
        <v>38455723</v>
      </c>
      <c r="H15876">
        <v>38455729</v>
      </c>
      <c r="I15876">
        <v>38455759</v>
      </c>
    </row>
    <row r="15877" spans="1:9" x14ac:dyDescent="0.2">
      <c r="A15877" s="1" t="str">
        <f>"SF3B1"</f>
        <v>SF3B1</v>
      </c>
      <c r="B15877" t="s">
        <v>14</v>
      </c>
      <c r="C15877" t="s">
        <v>26</v>
      </c>
      <c r="D15877" t="s">
        <v>11</v>
      </c>
      <c r="E15877" t="s">
        <v>12</v>
      </c>
      <c r="F15877">
        <v>198299726</v>
      </c>
      <c r="G15877">
        <v>198299776</v>
      </c>
      <c r="H15877">
        <v>198299726</v>
      </c>
      <c r="I15877">
        <v>198299776</v>
      </c>
    </row>
    <row r="15878" spans="1:9" x14ac:dyDescent="0.2">
      <c r="A15878" s="1" t="str">
        <f>"SF3B2"</f>
        <v>SF3B2</v>
      </c>
      <c r="B15878" t="s">
        <v>14</v>
      </c>
      <c r="C15878" t="s">
        <v>27</v>
      </c>
      <c r="D15878" t="s">
        <v>17</v>
      </c>
      <c r="E15878" t="s">
        <v>12</v>
      </c>
      <c r="F15878">
        <v>65819813</v>
      </c>
      <c r="G15878">
        <v>65819855</v>
      </c>
      <c r="H15878">
        <v>65819813</v>
      </c>
      <c r="I15878">
        <v>65819855</v>
      </c>
    </row>
    <row r="15879" spans="1:9" x14ac:dyDescent="0.2">
      <c r="A15879" s="1" t="str">
        <f>"SF3B3"</f>
        <v>SF3B3</v>
      </c>
      <c r="B15879" t="s">
        <v>14</v>
      </c>
      <c r="C15879" t="s">
        <v>31</v>
      </c>
      <c r="D15879" t="s">
        <v>17</v>
      </c>
      <c r="E15879" t="s">
        <v>12</v>
      </c>
      <c r="F15879">
        <v>70557685</v>
      </c>
      <c r="G15879">
        <v>70557730</v>
      </c>
      <c r="H15879">
        <v>70557685</v>
      </c>
      <c r="I15879">
        <v>70557730</v>
      </c>
    </row>
    <row r="15880" spans="1:9" x14ac:dyDescent="0.2">
      <c r="A15880" s="1" t="str">
        <f>"SF3B4"</f>
        <v>SF3B4</v>
      </c>
      <c r="B15880" t="s">
        <v>14</v>
      </c>
      <c r="C15880" t="s">
        <v>19</v>
      </c>
      <c r="D15880" t="s">
        <v>11</v>
      </c>
      <c r="E15880" t="s">
        <v>12</v>
      </c>
      <c r="F15880">
        <v>149899648</v>
      </c>
      <c r="G15880">
        <v>149899706</v>
      </c>
      <c r="H15880">
        <v>149899648</v>
      </c>
      <c r="I15880">
        <v>149899706</v>
      </c>
    </row>
    <row r="15881" spans="1:9" x14ac:dyDescent="0.2">
      <c r="A15881" s="1" t="str">
        <f>"SF3B5"</f>
        <v>SF3B5</v>
      </c>
      <c r="B15881" t="s">
        <v>14</v>
      </c>
      <c r="C15881" t="s">
        <v>32</v>
      </c>
      <c r="D15881" t="s">
        <v>11</v>
      </c>
      <c r="E15881" t="s">
        <v>12</v>
      </c>
      <c r="F15881">
        <v>144416694</v>
      </c>
      <c r="G15881">
        <v>144416718</v>
      </c>
      <c r="H15881">
        <v>144416737</v>
      </c>
      <c r="I15881">
        <v>144416766</v>
      </c>
    </row>
    <row r="15882" spans="1:9" x14ac:dyDescent="0.2">
      <c r="A15882" s="1" t="str">
        <f>"SFI1"</f>
        <v>SFI1</v>
      </c>
      <c r="B15882" t="s">
        <v>14</v>
      </c>
      <c r="C15882" t="s">
        <v>21</v>
      </c>
      <c r="D15882" t="s">
        <v>17</v>
      </c>
      <c r="E15882" t="s">
        <v>12</v>
      </c>
      <c r="F15882">
        <v>31892454</v>
      </c>
      <c r="G15882">
        <v>31892556</v>
      </c>
      <c r="H15882">
        <v>31892159</v>
      </c>
      <c r="I15882">
        <v>31892189</v>
      </c>
    </row>
    <row r="15883" spans="1:9" x14ac:dyDescent="0.2">
      <c r="A15883" s="1" t="str">
        <f>"SFMBT1"</f>
        <v>SFMBT1</v>
      </c>
      <c r="B15883" t="s">
        <v>14</v>
      </c>
      <c r="C15883" t="s">
        <v>22</v>
      </c>
      <c r="D15883" t="s">
        <v>11</v>
      </c>
      <c r="E15883" t="s">
        <v>12</v>
      </c>
      <c r="F15883">
        <v>53080047</v>
      </c>
      <c r="G15883">
        <v>53080103</v>
      </c>
      <c r="H15883">
        <v>53079983</v>
      </c>
      <c r="I15883">
        <v>53080025</v>
      </c>
    </row>
    <row r="15884" spans="1:9" x14ac:dyDescent="0.2">
      <c r="A15884" s="1" t="str">
        <f>"SFMBT2"</f>
        <v>SFMBT2</v>
      </c>
      <c r="B15884" t="s">
        <v>9</v>
      </c>
      <c r="C15884" t="s">
        <v>15</v>
      </c>
      <c r="D15884" t="s">
        <v>11</v>
      </c>
      <c r="E15884" t="s">
        <v>12</v>
      </c>
      <c r="F15884">
        <v>7453445</v>
      </c>
      <c r="G15884">
        <v>7453459</v>
      </c>
      <c r="H15884">
        <v>7453445</v>
      </c>
      <c r="I15884">
        <v>7453459</v>
      </c>
    </row>
    <row r="15885" spans="1:9" x14ac:dyDescent="0.2">
      <c r="A15885" s="1" t="str">
        <f>"SFMBT2"</f>
        <v>SFMBT2</v>
      </c>
      <c r="B15885" t="s">
        <v>13</v>
      </c>
      <c r="C15885" t="s">
        <v>15</v>
      </c>
      <c r="D15885" t="s">
        <v>11</v>
      </c>
      <c r="E15885" t="s">
        <v>12</v>
      </c>
      <c r="F15885">
        <v>7451320</v>
      </c>
      <c r="G15885">
        <v>7451330</v>
      </c>
      <c r="H15885">
        <v>7451320</v>
      </c>
      <c r="I15885">
        <v>7451330</v>
      </c>
    </row>
    <row r="15886" spans="1:9" x14ac:dyDescent="0.2">
      <c r="A15886" s="1" t="str">
        <f>"SFN"</f>
        <v>SFN</v>
      </c>
      <c r="B15886" t="s">
        <v>14</v>
      </c>
      <c r="C15886" t="s">
        <v>19</v>
      </c>
      <c r="D15886" t="s">
        <v>17</v>
      </c>
      <c r="E15886" t="s">
        <v>12</v>
      </c>
      <c r="F15886">
        <v>27189631</v>
      </c>
      <c r="G15886">
        <v>27189648</v>
      </c>
      <c r="H15886">
        <v>27189631</v>
      </c>
      <c r="I15886">
        <v>27189648</v>
      </c>
    </row>
    <row r="15887" spans="1:9" x14ac:dyDescent="0.2">
      <c r="A15887" s="1" t="str">
        <f>"SFPQ"</f>
        <v>SFPQ</v>
      </c>
      <c r="B15887" t="s">
        <v>14</v>
      </c>
      <c r="C15887" t="s">
        <v>19</v>
      </c>
      <c r="D15887" t="s">
        <v>11</v>
      </c>
      <c r="E15887" t="s">
        <v>12</v>
      </c>
      <c r="F15887">
        <v>35658736</v>
      </c>
      <c r="G15887">
        <v>35658754</v>
      </c>
      <c r="H15887">
        <v>35658736</v>
      </c>
      <c r="I15887">
        <v>35658754</v>
      </c>
    </row>
    <row r="15888" spans="1:9" x14ac:dyDescent="0.2">
      <c r="A15888" s="1" t="str">
        <f>"SFR1"</f>
        <v>SFR1</v>
      </c>
      <c r="B15888" t="s">
        <v>14</v>
      </c>
      <c r="C15888" t="s">
        <v>15</v>
      </c>
      <c r="D15888" t="s">
        <v>17</v>
      </c>
      <c r="E15888" t="s">
        <v>12</v>
      </c>
      <c r="F15888">
        <v>105881906</v>
      </c>
      <c r="G15888">
        <v>105881935</v>
      </c>
      <c r="H15888">
        <v>105881851</v>
      </c>
      <c r="I15888">
        <v>105881897</v>
      </c>
    </row>
    <row r="15889" spans="1:9" x14ac:dyDescent="0.2">
      <c r="A15889" s="1" t="str">
        <f>"SFRP1"</f>
        <v>SFRP1</v>
      </c>
      <c r="B15889" t="s">
        <v>14</v>
      </c>
      <c r="C15889" t="s">
        <v>30</v>
      </c>
      <c r="D15889" t="s">
        <v>11</v>
      </c>
      <c r="E15889" t="s">
        <v>12</v>
      </c>
      <c r="F15889">
        <v>41166953</v>
      </c>
      <c r="G15889">
        <v>41166999</v>
      </c>
      <c r="H15889">
        <v>41166927</v>
      </c>
      <c r="I15889">
        <v>41166938</v>
      </c>
    </row>
    <row r="15890" spans="1:9" x14ac:dyDescent="0.2">
      <c r="A15890" s="1" t="str">
        <f>"SFRP2"</f>
        <v>SFRP2</v>
      </c>
      <c r="B15890" t="s">
        <v>14</v>
      </c>
      <c r="C15890" t="s">
        <v>23</v>
      </c>
      <c r="D15890" t="s">
        <v>11</v>
      </c>
      <c r="E15890" t="s">
        <v>12</v>
      </c>
      <c r="F15890">
        <v>154710210</v>
      </c>
      <c r="G15890">
        <v>154710243</v>
      </c>
      <c r="H15890">
        <v>154710444</v>
      </c>
      <c r="I15890">
        <v>154710456</v>
      </c>
    </row>
    <row r="15891" spans="1:9" x14ac:dyDescent="0.2">
      <c r="A15891" s="1" t="str">
        <f>"SFRP4"</f>
        <v>SFRP4</v>
      </c>
      <c r="B15891" t="s">
        <v>14</v>
      </c>
      <c r="C15891" t="s">
        <v>33</v>
      </c>
      <c r="D15891" t="s">
        <v>11</v>
      </c>
      <c r="E15891" t="s">
        <v>12</v>
      </c>
      <c r="F15891">
        <v>37956409</v>
      </c>
      <c r="G15891">
        <v>37956427</v>
      </c>
      <c r="H15891">
        <v>37956409</v>
      </c>
      <c r="I15891">
        <v>37956427</v>
      </c>
    </row>
    <row r="15892" spans="1:9" x14ac:dyDescent="0.2">
      <c r="A15892" s="1" t="str">
        <f>"SFRP5"</f>
        <v>SFRP5</v>
      </c>
      <c r="B15892" t="s">
        <v>14</v>
      </c>
      <c r="C15892" t="s">
        <v>15</v>
      </c>
      <c r="D15892" t="s">
        <v>11</v>
      </c>
      <c r="E15892" t="s">
        <v>12</v>
      </c>
      <c r="F15892">
        <v>99531749</v>
      </c>
      <c r="G15892">
        <v>99531764</v>
      </c>
      <c r="H15892">
        <v>99531718</v>
      </c>
      <c r="I15892">
        <v>99531733</v>
      </c>
    </row>
    <row r="15893" spans="1:9" x14ac:dyDescent="0.2">
      <c r="A15893" s="1" t="str">
        <f>"SFSWAP"</f>
        <v>SFSWAP</v>
      </c>
      <c r="B15893" t="s">
        <v>14</v>
      </c>
      <c r="C15893" t="s">
        <v>16</v>
      </c>
      <c r="D15893" t="s">
        <v>17</v>
      </c>
      <c r="E15893" t="s">
        <v>12</v>
      </c>
      <c r="F15893">
        <v>132195617</v>
      </c>
      <c r="G15893">
        <v>132195648</v>
      </c>
      <c r="H15893">
        <v>132195617</v>
      </c>
      <c r="I15893">
        <v>132195648</v>
      </c>
    </row>
    <row r="15894" spans="1:9" x14ac:dyDescent="0.2">
      <c r="A15894" s="1" t="str">
        <f>"SFT2D1"</f>
        <v>SFT2D1</v>
      </c>
      <c r="B15894" t="s">
        <v>14</v>
      </c>
      <c r="C15894" t="s">
        <v>32</v>
      </c>
      <c r="D15894" t="s">
        <v>11</v>
      </c>
      <c r="E15894" t="s">
        <v>12</v>
      </c>
      <c r="F15894">
        <v>166755995</v>
      </c>
      <c r="G15894">
        <v>166756091</v>
      </c>
      <c r="H15894">
        <v>166756093</v>
      </c>
      <c r="I15894">
        <v>166756102</v>
      </c>
    </row>
    <row r="15895" spans="1:9" x14ac:dyDescent="0.2">
      <c r="A15895" s="1" t="str">
        <f>"SFT2D2"</f>
        <v>SFT2D2</v>
      </c>
      <c r="B15895" t="s">
        <v>14</v>
      </c>
      <c r="C15895" t="s">
        <v>19</v>
      </c>
      <c r="D15895" t="s">
        <v>17</v>
      </c>
      <c r="E15895" t="s">
        <v>12</v>
      </c>
      <c r="F15895">
        <v>168195229</v>
      </c>
      <c r="G15895">
        <v>168195294</v>
      </c>
      <c r="H15895">
        <v>168195208</v>
      </c>
      <c r="I15895">
        <v>168195223</v>
      </c>
    </row>
    <row r="15896" spans="1:9" x14ac:dyDescent="0.2">
      <c r="A15896" s="1" t="str">
        <f>"SFT2D3"</f>
        <v>SFT2D3</v>
      </c>
      <c r="B15896" t="s">
        <v>14</v>
      </c>
      <c r="C15896" t="s">
        <v>26</v>
      </c>
      <c r="D15896" t="s">
        <v>17</v>
      </c>
      <c r="E15896" t="s">
        <v>12</v>
      </c>
      <c r="F15896">
        <v>128459065</v>
      </c>
      <c r="G15896">
        <v>128459107</v>
      </c>
      <c r="H15896">
        <v>128458363</v>
      </c>
      <c r="I15896">
        <v>128458395</v>
      </c>
    </row>
    <row r="15897" spans="1:9" x14ac:dyDescent="0.2">
      <c r="A15897" s="1" t="str">
        <f>"SFTA2"</f>
        <v>SFTA2</v>
      </c>
      <c r="B15897" t="s">
        <v>14</v>
      </c>
      <c r="C15897" t="s">
        <v>32</v>
      </c>
      <c r="D15897" t="s">
        <v>11</v>
      </c>
      <c r="E15897" t="s">
        <v>12</v>
      </c>
      <c r="F15897">
        <v>30899924</v>
      </c>
      <c r="G15897">
        <v>30899954</v>
      </c>
      <c r="H15897">
        <v>30899898</v>
      </c>
      <c r="I15897">
        <v>30899920</v>
      </c>
    </row>
    <row r="15898" spans="1:9" x14ac:dyDescent="0.2">
      <c r="A15898" s="1" t="str">
        <f>"SFTA3"</f>
        <v>SFTA3</v>
      </c>
      <c r="B15898" t="s">
        <v>14</v>
      </c>
      <c r="C15898" t="s">
        <v>41</v>
      </c>
      <c r="D15898" t="s">
        <v>11</v>
      </c>
      <c r="E15898" t="s">
        <v>12</v>
      </c>
      <c r="F15898">
        <v>36982724</v>
      </c>
      <c r="G15898">
        <v>36982767</v>
      </c>
      <c r="H15898">
        <v>36983036</v>
      </c>
      <c r="I15898">
        <v>36983064</v>
      </c>
    </row>
    <row r="15899" spans="1:9" x14ac:dyDescent="0.2">
      <c r="A15899" s="1" t="str">
        <f>"SFTPA1"</f>
        <v>SFTPA1</v>
      </c>
      <c r="B15899" t="s">
        <v>1531</v>
      </c>
      <c r="C15899" t="s">
        <v>15</v>
      </c>
      <c r="D15899" t="s">
        <v>17</v>
      </c>
      <c r="E15899" t="s">
        <v>35</v>
      </c>
      <c r="F15899">
        <v>81370619</v>
      </c>
      <c r="G15899">
        <v>81370628</v>
      </c>
      <c r="H15899">
        <v>81370732</v>
      </c>
      <c r="I15899">
        <v>81370741</v>
      </c>
    </row>
    <row r="15900" spans="1:9" x14ac:dyDescent="0.2">
      <c r="A15900" s="1" t="str">
        <f>"SFTPA2"</f>
        <v>SFTPA2</v>
      </c>
      <c r="B15900" t="s">
        <v>14</v>
      </c>
      <c r="C15900" t="s">
        <v>15</v>
      </c>
      <c r="D15900" t="s">
        <v>11</v>
      </c>
      <c r="E15900" t="s">
        <v>12</v>
      </c>
      <c r="F15900">
        <v>81320162</v>
      </c>
      <c r="G15900">
        <v>81320168</v>
      </c>
      <c r="H15900">
        <v>81320211</v>
      </c>
      <c r="I15900">
        <v>81320219</v>
      </c>
    </row>
    <row r="15901" spans="1:9" x14ac:dyDescent="0.2">
      <c r="A15901" s="1" t="str">
        <f>"SFTPB"</f>
        <v>SFTPB</v>
      </c>
      <c r="B15901" t="s">
        <v>9</v>
      </c>
      <c r="C15901" t="s">
        <v>26</v>
      </c>
      <c r="D15901" t="s">
        <v>11</v>
      </c>
      <c r="E15901" t="s">
        <v>12</v>
      </c>
      <c r="F15901">
        <v>85895315</v>
      </c>
      <c r="G15901">
        <v>85895331</v>
      </c>
      <c r="H15901">
        <v>85895315</v>
      </c>
      <c r="I15901">
        <v>85895331</v>
      </c>
    </row>
    <row r="15902" spans="1:9" x14ac:dyDescent="0.2">
      <c r="A15902" s="1" t="str">
        <f>"SFTPB"</f>
        <v>SFTPB</v>
      </c>
      <c r="B15902" t="s">
        <v>13</v>
      </c>
      <c r="C15902" t="s">
        <v>26</v>
      </c>
      <c r="D15902" t="s">
        <v>11</v>
      </c>
      <c r="E15902" t="s">
        <v>12</v>
      </c>
      <c r="F15902">
        <v>85893765</v>
      </c>
      <c r="G15902">
        <v>85893801</v>
      </c>
      <c r="H15902">
        <v>85893765</v>
      </c>
      <c r="I15902">
        <v>85893801</v>
      </c>
    </row>
    <row r="15903" spans="1:9" x14ac:dyDescent="0.2">
      <c r="A15903" s="1" t="str">
        <f>"SFTPC"</f>
        <v>SFTPC</v>
      </c>
      <c r="B15903" t="s">
        <v>14</v>
      </c>
      <c r="C15903" t="s">
        <v>30</v>
      </c>
      <c r="D15903" t="s">
        <v>17</v>
      </c>
      <c r="E15903" t="s">
        <v>12</v>
      </c>
      <c r="F15903">
        <v>22019303</v>
      </c>
      <c r="G15903">
        <v>22019321</v>
      </c>
      <c r="H15903">
        <v>22019303</v>
      </c>
      <c r="I15903">
        <v>22019321</v>
      </c>
    </row>
    <row r="15904" spans="1:9" x14ac:dyDescent="0.2">
      <c r="A15904" s="1" t="str">
        <f>"SFTPD"</f>
        <v>SFTPD</v>
      </c>
      <c r="B15904" t="s">
        <v>14</v>
      </c>
      <c r="C15904" t="s">
        <v>15</v>
      </c>
      <c r="D15904" t="s">
        <v>11</v>
      </c>
      <c r="E15904" t="s">
        <v>12</v>
      </c>
      <c r="F15904">
        <v>81708854</v>
      </c>
      <c r="G15904">
        <v>81708867</v>
      </c>
      <c r="H15904">
        <v>81708854</v>
      </c>
      <c r="I15904">
        <v>81708867</v>
      </c>
    </row>
    <row r="15905" spans="1:9" x14ac:dyDescent="0.2">
      <c r="A15905" s="1" t="str">
        <f>"SFXN1"</f>
        <v>SFXN1</v>
      </c>
      <c r="B15905" t="s">
        <v>14</v>
      </c>
      <c r="C15905" t="s">
        <v>46</v>
      </c>
      <c r="D15905" t="s">
        <v>17</v>
      </c>
      <c r="E15905" t="s">
        <v>12</v>
      </c>
      <c r="F15905">
        <v>174905532</v>
      </c>
      <c r="G15905">
        <v>174905604</v>
      </c>
      <c r="H15905">
        <v>174905508</v>
      </c>
      <c r="I15905">
        <v>174905527</v>
      </c>
    </row>
    <row r="15906" spans="1:9" x14ac:dyDescent="0.2">
      <c r="A15906" s="1" t="str">
        <f>"SFXN2"</f>
        <v>SFXN2</v>
      </c>
      <c r="B15906" t="s">
        <v>14</v>
      </c>
      <c r="C15906" t="s">
        <v>15</v>
      </c>
      <c r="D15906" t="s">
        <v>17</v>
      </c>
      <c r="E15906" t="s">
        <v>12</v>
      </c>
      <c r="F15906">
        <v>104474353</v>
      </c>
      <c r="G15906">
        <v>104474405</v>
      </c>
      <c r="H15906">
        <v>104474207</v>
      </c>
      <c r="I15906">
        <v>104474258</v>
      </c>
    </row>
    <row r="15907" spans="1:9" x14ac:dyDescent="0.2">
      <c r="A15907" s="1" t="str">
        <f>"SFXN3"</f>
        <v>SFXN3</v>
      </c>
      <c r="B15907" t="s">
        <v>9</v>
      </c>
      <c r="C15907" t="s">
        <v>15</v>
      </c>
      <c r="D15907" t="s">
        <v>17</v>
      </c>
      <c r="E15907" t="s">
        <v>12</v>
      </c>
      <c r="F15907">
        <v>102792137</v>
      </c>
      <c r="G15907">
        <v>102792186</v>
      </c>
      <c r="H15907">
        <v>102792137</v>
      </c>
      <c r="I15907">
        <v>102792186</v>
      </c>
    </row>
    <row r="15908" spans="1:9" x14ac:dyDescent="0.2">
      <c r="A15908" s="1" t="str">
        <f>"SFXN3"</f>
        <v>SFXN3</v>
      </c>
      <c r="B15908" t="s">
        <v>13</v>
      </c>
      <c r="C15908" t="s">
        <v>15</v>
      </c>
      <c r="D15908" t="s">
        <v>17</v>
      </c>
      <c r="E15908" t="s">
        <v>12</v>
      </c>
      <c r="F15908">
        <v>102790980</v>
      </c>
      <c r="G15908">
        <v>102791072</v>
      </c>
      <c r="H15908">
        <v>102790980</v>
      </c>
      <c r="I15908">
        <v>102791072</v>
      </c>
    </row>
    <row r="15909" spans="1:9" x14ac:dyDescent="0.2">
      <c r="A15909" s="1" t="str">
        <f>"SFXN4"</f>
        <v>SFXN4</v>
      </c>
      <c r="B15909" t="s">
        <v>14</v>
      </c>
      <c r="C15909" t="s">
        <v>15</v>
      </c>
      <c r="D15909" t="s">
        <v>11</v>
      </c>
      <c r="E15909" t="s">
        <v>12</v>
      </c>
      <c r="F15909">
        <v>120925158</v>
      </c>
      <c r="G15909">
        <v>120925231</v>
      </c>
      <c r="H15909">
        <v>120924883</v>
      </c>
      <c r="I15909">
        <v>120924948</v>
      </c>
    </row>
    <row r="15910" spans="1:9" x14ac:dyDescent="0.2">
      <c r="A15910" s="1" t="str">
        <f>"SFXN5"</f>
        <v>SFXN5</v>
      </c>
      <c r="B15910" t="s">
        <v>14</v>
      </c>
      <c r="C15910" t="s">
        <v>26</v>
      </c>
      <c r="D15910" t="s">
        <v>11</v>
      </c>
      <c r="E15910" t="s">
        <v>12</v>
      </c>
      <c r="F15910">
        <v>73298831</v>
      </c>
      <c r="G15910">
        <v>73298870</v>
      </c>
      <c r="H15910">
        <v>73298382</v>
      </c>
      <c r="I15910">
        <v>73298445</v>
      </c>
    </row>
    <row r="15911" spans="1:9" x14ac:dyDescent="0.2">
      <c r="A15911" s="1" t="str">
        <f>"SGCA"</f>
        <v>SGCA</v>
      </c>
      <c r="B15911" t="s">
        <v>9</v>
      </c>
      <c r="C15911" t="s">
        <v>28</v>
      </c>
      <c r="D15911" t="s">
        <v>17</v>
      </c>
      <c r="E15911" t="s">
        <v>12</v>
      </c>
      <c r="F15911">
        <v>48243352</v>
      </c>
      <c r="G15911">
        <v>48243403</v>
      </c>
      <c r="H15911">
        <v>48243352</v>
      </c>
      <c r="I15911">
        <v>48243403</v>
      </c>
    </row>
    <row r="15912" spans="1:9" x14ac:dyDescent="0.2">
      <c r="A15912" s="1" t="str">
        <f>"SGCA"</f>
        <v>SGCA</v>
      </c>
      <c r="B15912" t="s">
        <v>13</v>
      </c>
      <c r="C15912" t="s">
        <v>28</v>
      </c>
      <c r="D15912" t="s">
        <v>17</v>
      </c>
      <c r="E15912" t="s">
        <v>12</v>
      </c>
      <c r="F15912">
        <v>48252541</v>
      </c>
      <c r="G15912">
        <v>48252553</v>
      </c>
      <c r="H15912">
        <v>48252541</v>
      </c>
      <c r="I15912">
        <v>48252553</v>
      </c>
    </row>
    <row r="15913" spans="1:9" x14ac:dyDescent="0.2">
      <c r="A15913" s="1" t="str">
        <f>"SGCB"</f>
        <v>SGCB</v>
      </c>
      <c r="B15913" t="s">
        <v>14</v>
      </c>
      <c r="C15913" t="s">
        <v>23</v>
      </c>
      <c r="D15913" t="s">
        <v>11</v>
      </c>
      <c r="E15913" t="s">
        <v>12</v>
      </c>
      <c r="F15913">
        <v>52904427</v>
      </c>
      <c r="G15913">
        <v>52904471</v>
      </c>
      <c r="H15913">
        <v>52904825</v>
      </c>
      <c r="I15913">
        <v>52904847</v>
      </c>
    </row>
    <row r="15914" spans="1:9" x14ac:dyDescent="0.2">
      <c r="A15914" s="1" t="str">
        <f>"SGCD"</f>
        <v>SGCD</v>
      </c>
      <c r="B15914" t="s">
        <v>14</v>
      </c>
      <c r="C15914" t="s">
        <v>46</v>
      </c>
      <c r="D15914" t="s">
        <v>17</v>
      </c>
      <c r="E15914" t="s">
        <v>12</v>
      </c>
      <c r="F15914">
        <v>155754166</v>
      </c>
      <c r="G15914">
        <v>155754181</v>
      </c>
      <c r="H15914">
        <v>155754166</v>
      </c>
      <c r="I15914">
        <v>155754181</v>
      </c>
    </row>
    <row r="15915" spans="1:9" x14ac:dyDescent="0.2">
      <c r="A15915" s="1" t="str">
        <f>"SGCE"</f>
        <v>SGCE</v>
      </c>
      <c r="B15915" t="s">
        <v>14</v>
      </c>
      <c r="C15915" t="s">
        <v>33</v>
      </c>
      <c r="D15915" t="s">
        <v>11</v>
      </c>
      <c r="E15915" t="s">
        <v>12</v>
      </c>
      <c r="F15915">
        <v>94285402</v>
      </c>
      <c r="G15915">
        <v>94285462</v>
      </c>
      <c r="H15915">
        <v>94285472</v>
      </c>
      <c r="I15915">
        <v>94285505</v>
      </c>
    </row>
    <row r="15916" spans="1:9" x14ac:dyDescent="0.2">
      <c r="A15916" s="1" t="str">
        <f>"SGCG"</f>
        <v>SGCG</v>
      </c>
      <c r="B15916" t="s">
        <v>14</v>
      </c>
      <c r="C15916" t="s">
        <v>39</v>
      </c>
      <c r="D15916" t="s">
        <v>17</v>
      </c>
      <c r="E15916" t="s">
        <v>12</v>
      </c>
      <c r="F15916">
        <v>23755127</v>
      </c>
      <c r="G15916">
        <v>23755166</v>
      </c>
      <c r="H15916">
        <v>23755054</v>
      </c>
      <c r="I15916">
        <v>23755092</v>
      </c>
    </row>
    <row r="15917" spans="1:9" x14ac:dyDescent="0.2">
      <c r="A15917" s="1" t="str">
        <f>"SGCZ"</f>
        <v>SGCZ</v>
      </c>
      <c r="B15917" t="s">
        <v>14</v>
      </c>
      <c r="C15917" t="s">
        <v>30</v>
      </c>
      <c r="D15917" t="s">
        <v>11</v>
      </c>
      <c r="E15917" t="s">
        <v>12</v>
      </c>
      <c r="F15917">
        <v>15095883</v>
      </c>
      <c r="G15917">
        <v>15095918</v>
      </c>
      <c r="H15917">
        <v>15095832</v>
      </c>
      <c r="I15917">
        <v>15095861</v>
      </c>
    </row>
    <row r="15918" spans="1:9" x14ac:dyDescent="0.2">
      <c r="A15918" s="1" t="str">
        <f>"SGIP1"</f>
        <v>SGIP1</v>
      </c>
      <c r="B15918" t="s">
        <v>14</v>
      </c>
      <c r="C15918" t="s">
        <v>19</v>
      </c>
      <c r="D15918" t="s">
        <v>17</v>
      </c>
      <c r="E15918" t="s">
        <v>12</v>
      </c>
      <c r="F15918">
        <v>66999799</v>
      </c>
      <c r="G15918">
        <v>66999852</v>
      </c>
      <c r="H15918">
        <v>66999268</v>
      </c>
      <c r="I15918">
        <v>66999313</v>
      </c>
    </row>
    <row r="15919" spans="1:9" x14ac:dyDescent="0.2">
      <c r="A15919" s="1" t="str">
        <f>"SGK1"</f>
        <v>SGK1</v>
      </c>
      <c r="B15919" t="s">
        <v>9</v>
      </c>
      <c r="C15919" t="s">
        <v>32</v>
      </c>
      <c r="D15919" t="s">
        <v>11</v>
      </c>
      <c r="E15919" t="s">
        <v>12</v>
      </c>
      <c r="F15919">
        <v>134495992</v>
      </c>
      <c r="G15919">
        <v>134496010</v>
      </c>
      <c r="H15919">
        <v>134495992</v>
      </c>
      <c r="I15919">
        <v>134496010</v>
      </c>
    </row>
    <row r="15920" spans="1:9" x14ac:dyDescent="0.2">
      <c r="A15920" s="1" t="str">
        <f>"SGK1"</f>
        <v>SGK1</v>
      </c>
      <c r="B15920" t="s">
        <v>13</v>
      </c>
      <c r="C15920" t="s">
        <v>32</v>
      </c>
      <c r="D15920" t="s">
        <v>11</v>
      </c>
      <c r="E15920" t="s">
        <v>12</v>
      </c>
      <c r="F15920">
        <v>134498969</v>
      </c>
      <c r="G15920">
        <v>134499006</v>
      </c>
      <c r="H15920">
        <v>134498969</v>
      </c>
      <c r="I15920">
        <v>134499006</v>
      </c>
    </row>
    <row r="15921" spans="1:9" x14ac:dyDescent="0.2">
      <c r="A15921" s="1" t="str">
        <f>"SGK2"</f>
        <v>SGK2</v>
      </c>
      <c r="B15921" t="s">
        <v>14</v>
      </c>
      <c r="C15921" t="s">
        <v>29</v>
      </c>
      <c r="D15921" t="s">
        <v>17</v>
      </c>
      <c r="E15921" t="s">
        <v>12</v>
      </c>
      <c r="F15921">
        <v>42187700</v>
      </c>
      <c r="G15921">
        <v>42187724</v>
      </c>
      <c r="H15921">
        <v>42187656</v>
      </c>
      <c r="I15921">
        <v>42187673</v>
      </c>
    </row>
    <row r="15922" spans="1:9" x14ac:dyDescent="0.2">
      <c r="A15922" s="1" t="str">
        <f>"SGK3"</f>
        <v>SGK3</v>
      </c>
      <c r="B15922" t="s">
        <v>1532</v>
      </c>
      <c r="C15922" t="s">
        <v>30</v>
      </c>
      <c r="D15922" t="s">
        <v>17</v>
      </c>
      <c r="E15922" t="s">
        <v>20</v>
      </c>
      <c r="F15922">
        <v>67705848</v>
      </c>
      <c r="G15922">
        <v>67705848</v>
      </c>
      <c r="H15922">
        <v>67705848</v>
      </c>
      <c r="I15922">
        <v>67705848</v>
      </c>
    </row>
    <row r="15923" spans="1:9" x14ac:dyDescent="0.2">
      <c r="A15923" s="1" t="str">
        <f>"SGK3"</f>
        <v>SGK3</v>
      </c>
      <c r="B15923" t="s">
        <v>1533</v>
      </c>
      <c r="C15923" t="s">
        <v>30</v>
      </c>
      <c r="D15923" t="s">
        <v>17</v>
      </c>
      <c r="E15923" t="s">
        <v>35</v>
      </c>
      <c r="F15923">
        <v>67687413</v>
      </c>
      <c r="G15923">
        <v>67687497</v>
      </c>
      <c r="H15923">
        <v>67687591</v>
      </c>
      <c r="I15923">
        <v>67687602</v>
      </c>
    </row>
    <row r="15924" spans="1:9" x14ac:dyDescent="0.2">
      <c r="A15924" s="1" t="str">
        <f>"SGK3"</f>
        <v>SGK3</v>
      </c>
      <c r="B15924" t="s">
        <v>1534</v>
      </c>
      <c r="C15924" t="s">
        <v>30</v>
      </c>
      <c r="D15924" t="s">
        <v>17</v>
      </c>
      <c r="E15924" t="s">
        <v>35</v>
      </c>
      <c r="F15924">
        <v>67624664</v>
      </c>
      <c r="G15924">
        <v>67624685</v>
      </c>
      <c r="H15924">
        <v>67624763</v>
      </c>
      <c r="I15924">
        <v>67624778</v>
      </c>
    </row>
    <row r="15925" spans="1:9" x14ac:dyDescent="0.2">
      <c r="A15925" s="1" t="str">
        <f>"SGMS1"</f>
        <v>SGMS1</v>
      </c>
      <c r="B15925" t="s">
        <v>14</v>
      </c>
      <c r="C15925" t="s">
        <v>15</v>
      </c>
      <c r="D15925" t="s">
        <v>11</v>
      </c>
      <c r="E15925" t="s">
        <v>12</v>
      </c>
      <c r="F15925">
        <v>52383644</v>
      </c>
      <c r="G15925">
        <v>52383742</v>
      </c>
      <c r="H15925">
        <v>52383644</v>
      </c>
      <c r="I15925">
        <v>52383742</v>
      </c>
    </row>
    <row r="15926" spans="1:9" x14ac:dyDescent="0.2">
      <c r="A15926" s="1" t="str">
        <f>"SGMS2"</f>
        <v>SGMS2</v>
      </c>
      <c r="B15926" t="s">
        <v>14</v>
      </c>
      <c r="C15926" t="s">
        <v>23</v>
      </c>
      <c r="D15926" t="s">
        <v>17</v>
      </c>
      <c r="E15926" t="s">
        <v>12</v>
      </c>
      <c r="F15926">
        <v>108746105</v>
      </c>
      <c r="G15926">
        <v>108746178</v>
      </c>
      <c r="H15926">
        <v>108745711</v>
      </c>
      <c r="I15926">
        <v>108745726</v>
      </c>
    </row>
    <row r="15927" spans="1:9" x14ac:dyDescent="0.2">
      <c r="A15927" s="1" t="str">
        <f>"SGOL1"</f>
        <v>SGOL1</v>
      </c>
      <c r="B15927" t="s">
        <v>14</v>
      </c>
      <c r="C15927" t="s">
        <v>22</v>
      </c>
      <c r="D15927" t="s">
        <v>11</v>
      </c>
      <c r="E15927" t="s">
        <v>12</v>
      </c>
      <c r="F15927">
        <v>20227671</v>
      </c>
      <c r="G15927">
        <v>20227711</v>
      </c>
      <c r="H15927">
        <v>20227720</v>
      </c>
      <c r="I15927">
        <v>20227744</v>
      </c>
    </row>
    <row r="15928" spans="1:9" x14ac:dyDescent="0.2">
      <c r="A15928" s="1" t="str">
        <f>"SGOL2"</f>
        <v>SGOL2</v>
      </c>
      <c r="B15928" t="s">
        <v>14</v>
      </c>
      <c r="C15928" t="s">
        <v>26</v>
      </c>
      <c r="D15928" t="s">
        <v>17</v>
      </c>
      <c r="E15928" t="s">
        <v>12</v>
      </c>
      <c r="F15928">
        <v>201390843</v>
      </c>
      <c r="G15928">
        <v>201390936</v>
      </c>
      <c r="H15928">
        <v>201390814</v>
      </c>
      <c r="I15928">
        <v>201390832</v>
      </c>
    </row>
    <row r="15929" spans="1:9" x14ac:dyDescent="0.2">
      <c r="A15929" s="1" t="str">
        <f>"SGPL1"</f>
        <v>SGPL1</v>
      </c>
      <c r="B15929" t="s">
        <v>14</v>
      </c>
      <c r="C15929" t="s">
        <v>15</v>
      </c>
      <c r="D15929" t="s">
        <v>17</v>
      </c>
      <c r="E15929" t="s">
        <v>12</v>
      </c>
      <c r="F15929">
        <v>72575643</v>
      </c>
      <c r="G15929">
        <v>72575753</v>
      </c>
      <c r="H15929">
        <v>72576468</v>
      </c>
      <c r="I15929">
        <v>72576497</v>
      </c>
    </row>
    <row r="15930" spans="1:9" x14ac:dyDescent="0.2">
      <c r="A15930" s="1" t="str">
        <f>"SGPP1"</f>
        <v>SGPP1</v>
      </c>
      <c r="B15930" t="s">
        <v>14</v>
      </c>
      <c r="C15930" t="s">
        <v>41</v>
      </c>
      <c r="D15930" t="s">
        <v>11</v>
      </c>
      <c r="E15930" t="s">
        <v>12</v>
      </c>
      <c r="F15930">
        <v>64194745</v>
      </c>
      <c r="G15930">
        <v>64194799</v>
      </c>
      <c r="H15930">
        <v>64194745</v>
      </c>
      <c r="I15930">
        <v>64194799</v>
      </c>
    </row>
    <row r="15931" spans="1:9" x14ac:dyDescent="0.2">
      <c r="A15931" s="1" t="str">
        <f>"SGPP2"</f>
        <v>SGPP2</v>
      </c>
      <c r="B15931" t="s">
        <v>14</v>
      </c>
      <c r="C15931" t="s">
        <v>26</v>
      </c>
      <c r="D15931" t="s">
        <v>17</v>
      </c>
      <c r="E15931" t="s">
        <v>12</v>
      </c>
      <c r="F15931">
        <v>223289239</v>
      </c>
      <c r="G15931">
        <v>223289272</v>
      </c>
      <c r="H15931">
        <v>223288634</v>
      </c>
      <c r="I15931">
        <v>223288698</v>
      </c>
    </row>
    <row r="15932" spans="1:9" x14ac:dyDescent="0.2">
      <c r="A15932" s="1" t="str">
        <f>"SGSH"</f>
        <v>SGSH</v>
      </c>
      <c r="B15932" t="s">
        <v>14</v>
      </c>
      <c r="C15932" t="s">
        <v>28</v>
      </c>
      <c r="D15932" t="s">
        <v>11</v>
      </c>
      <c r="E15932" t="s">
        <v>12</v>
      </c>
      <c r="F15932">
        <v>78194124</v>
      </c>
      <c r="G15932">
        <v>78194141</v>
      </c>
      <c r="H15932">
        <v>78194147</v>
      </c>
      <c r="I15932">
        <v>78194178</v>
      </c>
    </row>
    <row r="15933" spans="1:9" x14ac:dyDescent="0.2">
      <c r="A15933" s="1" t="str">
        <f>"SGSM1"</f>
        <v>SGSM1</v>
      </c>
      <c r="B15933" t="s">
        <v>14</v>
      </c>
      <c r="C15933" t="s">
        <v>21</v>
      </c>
      <c r="D15933" t="s">
        <v>17</v>
      </c>
      <c r="E15933" t="s">
        <v>12</v>
      </c>
      <c r="F15933">
        <v>25202192</v>
      </c>
      <c r="G15933">
        <v>25202227</v>
      </c>
      <c r="H15933">
        <v>25202232</v>
      </c>
      <c r="I15933">
        <v>25202273</v>
      </c>
    </row>
    <row r="15934" spans="1:9" x14ac:dyDescent="0.2">
      <c r="A15934" s="1" t="str">
        <f>"SGSM2"</f>
        <v>SGSM2</v>
      </c>
      <c r="B15934" t="s">
        <v>14</v>
      </c>
      <c r="C15934" t="s">
        <v>28</v>
      </c>
      <c r="D15934" t="s">
        <v>17</v>
      </c>
      <c r="E15934" t="s">
        <v>12</v>
      </c>
      <c r="F15934">
        <v>2240775</v>
      </c>
      <c r="G15934">
        <v>2240812</v>
      </c>
      <c r="H15934">
        <v>2240775</v>
      </c>
      <c r="I15934">
        <v>2240812</v>
      </c>
    </row>
    <row r="15935" spans="1:9" x14ac:dyDescent="0.2">
      <c r="A15935" s="1" t="str">
        <f>"SGSM3"</f>
        <v>SGSM3</v>
      </c>
      <c r="B15935" t="s">
        <v>14</v>
      </c>
      <c r="C15935" t="s">
        <v>21</v>
      </c>
      <c r="D15935" t="s">
        <v>17</v>
      </c>
      <c r="E15935" t="s">
        <v>12</v>
      </c>
      <c r="F15935">
        <v>40766582</v>
      </c>
      <c r="G15935">
        <v>40766670</v>
      </c>
      <c r="H15935">
        <v>40766582</v>
      </c>
      <c r="I15935">
        <v>40766670</v>
      </c>
    </row>
    <row r="15936" spans="1:9" x14ac:dyDescent="0.2">
      <c r="A15936" s="1" t="str">
        <f>"SGTA"</f>
        <v>SGTA</v>
      </c>
      <c r="B15936" t="s">
        <v>14</v>
      </c>
      <c r="C15936" t="s">
        <v>10</v>
      </c>
      <c r="D15936" t="s">
        <v>11</v>
      </c>
      <c r="E15936" t="s">
        <v>12</v>
      </c>
      <c r="F15936">
        <v>2783255</v>
      </c>
      <c r="G15936">
        <v>2783301</v>
      </c>
      <c r="H15936">
        <v>2783306</v>
      </c>
      <c r="I15936">
        <v>2783346</v>
      </c>
    </row>
    <row r="15937" spans="1:9" x14ac:dyDescent="0.2">
      <c r="A15937" s="1" t="str">
        <f>"SGTB"</f>
        <v>SGTB</v>
      </c>
      <c r="B15937" t="s">
        <v>14</v>
      </c>
      <c r="C15937" t="s">
        <v>46</v>
      </c>
      <c r="D15937" t="s">
        <v>11</v>
      </c>
      <c r="E15937" t="s">
        <v>12</v>
      </c>
      <c r="F15937">
        <v>65017921</v>
      </c>
      <c r="G15937">
        <v>65017968</v>
      </c>
      <c r="H15937">
        <v>65017887</v>
      </c>
      <c r="I15937">
        <v>65017901</v>
      </c>
    </row>
    <row r="15938" spans="1:9" x14ac:dyDescent="0.2">
      <c r="A15938" s="1" t="str">
        <f>"SH2B1"</f>
        <v>SH2B1</v>
      </c>
      <c r="B15938" t="s">
        <v>14</v>
      </c>
      <c r="C15938" t="s">
        <v>31</v>
      </c>
      <c r="D15938" t="s">
        <v>17</v>
      </c>
      <c r="E15938" t="s">
        <v>12</v>
      </c>
      <c r="F15938">
        <v>28875133</v>
      </c>
      <c r="G15938">
        <v>28875195</v>
      </c>
      <c r="H15938">
        <v>28874860</v>
      </c>
      <c r="I15938">
        <v>28874896</v>
      </c>
    </row>
    <row r="15939" spans="1:9" x14ac:dyDescent="0.2">
      <c r="A15939" s="1" t="str">
        <f>"SH2B2"</f>
        <v>SH2B2</v>
      </c>
      <c r="B15939" t="s">
        <v>14</v>
      </c>
      <c r="C15939" t="s">
        <v>33</v>
      </c>
      <c r="D15939" t="s">
        <v>17</v>
      </c>
      <c r="E15939" t="s">
        <v>12</v>
      </c>
      <c r="F15939">
        <v>101928416</v>
      </c>
      <c r="G15939">
        <v>101928445</v>
      </c>
      <c r="H15939">
        <v>101928380</v>
      </c>
      <c r="I15939">
        <v>101928413</v>
      </c>
    </row>
    <row r="15940" spans="1:9" x14ac:dyDescent="0.2">
      <c r="A15940" s="1" t="str">
        <f>"SH2B3"</f>
        <v>SH2B3</v>
      </c>
      <c r="B15940" t="s">
        <v>14</v>
      </c>
      <c r="C15940" t="s">
        <v>16</v>
      </c>
      <c r="D15940" t="s">
        <v>17</v>
      </c>
      <c r="E15940" t="s">
        <v>12</v>
      </c>
      <c r="F15940">
        <v>111843666</v>
      </c>
      <c r="G15940">
        <v>111843736</v>
      </c>
      <c r="H15940">
        <v>111843914</v>
      </c>
      <c r="I15940">
        <v>111843958</v>
      </c>
    </row>
    <row r="15941" spans="1:9" x14ac:dyDescent="0.2">
      <c r="A15941" s="1" t="str">
        <f>"SH2D1A"</f>
        <v>SH2D1A</v>
      </c>
      <c r="B15941" t="s">
        <v>14</v>
      </c>
      <c r="C15941" t="s">
        <v>37</v>
      </c>
      <c r="D15941" t="s">
        <v>17</v>
      </c>
      <c r="E15941" t="s">
        <v>12</v>
      </c>
      <c r="F15941">
        <v>123480395</v>
      </c>
      <c r="G15941">
        <v>123480419</v>
      </c>
      <c r="H15941">
        <v>123480421</v>
      </c>
      <c r="I15941">
        <v>123480435</v>
      </c>
    </row>
    <row r="15942" spans="1:9" x14ac:dyDescent="0.2">
      <c r="A15942" s="1" t="str">
        <f>"SH2D1B"</f>
        <v>SH2D1B</v>
      </c>
      <c r="B15942" t="s">
        <v>14</v>
      </c>
      <c r="C15942" t="s">
        <v>19</v>
      </c>
      <c r="D15942" t="s">
        <v>11</v>
      </c>
      <c r="E15942" t="s">
        <v>12</v>
      </c>
      <c r="F15942">
        <v>162381907</v>
      </c>
      <c r="G15942">
        <v>162381939</v>
      </c>
      <c r="H15942">
        <v>162381895</v>
      </c>
      <c r="I15942">
        <v>162381902</v>
      </c>
    </row>
    <row r="15943" spans="1:9" x14ac:dyDescent="0.2">
      <c r="A15943" s="1" t="str">
        <f>"SH2D2A"</f>
        <v>SH2D2A</v>
      </c>
      <c r="B15943" t="s">
        <v>9</v>
      </c>
      <c r="C15943" t="s">
        <v>19</v>
      </c>
      <c r="D15943" t="s">
        <v>11</v>
      </c>
      <c r="E15943" t="s">
        <v>12</v>
      </c>
      <c r="F15943">
        <v>156786530</v>
      </c>
      <c r="G15943">
        <v>156786622</v>
      </c>
      <c r="H15943">
        <v>156786530</v>
      </c>
      <c r="I15943">
        <v>156786622</v>
      </c>
    </row>
    <row r="15944" spans="1:9" x14ac:dyDescent="0.2">
      <c r="A15944" s="1" t="str">
        <f>"SH2D2A"</f>
        <v>SH2D2A</v>
      </c>
      <c r="B15944" t="s">
        <v>13</v>
      </c>
      <c r="C15944" t="s">
        <v>19</v>
      </c>
      <c r="D15944" t="s">
        <v>11</v>
      </c>
      <c r="E15944" t="s">
        <v>12</v>
      </c>
      <c r="F15944">
        <v>156783894</v>
      </c>
      <c r="G15944">
        <v>156783917</v>
      </c>
      <c r="H15944">
        <v>156783894</v>
      </c>
      <c r="I15944">
        <v>156783917</v>
      </c>
    </row>
    <row r="15945" spans="1:9" x14ac:dyDescent="0.2">
      <c r="A15945" s="1" t="str">
        <f>"SH2D3A"</f>
        <v>SH2D3A</v>
      </c>
      <c r="B15945" t="s">
        <v>14</v>
      </c>
      <c r="C15945" t="s">
        <v>10</v>
      </c>
      <c r="D15945" t="s">
        <v>11</v>
      </c>
      <c r="E15945" t="s">
        <v>12</v>
      </c>
      <c r="F15945">
        <v>6767431</v>
      </c>
      <c r="G15945">
        <v>6767479</v>
      </c>
      <c r="H15945">
        <v>6767491</v>
      </c>
      <c r="I15945">
        <v>6767513</v>
      </c>
    </row>
    <row r="15946" spans="1:9" x14ac:dyDescent="0.2">
      <c r="A15946" s="1" t="str">
        <f>"SH2D3C"</f>
        <v>SH2D3C</v>
      </c>
      <c r="B15946" t="s">
        <v>9</v>
      </c>
      <c r="C15946" t="s">
        <v>24</v>
      </c>
      <c r="D15946" t="s">
        <v>11</v>
      </c>
      <c r="E15946" t="s">
        <v>12</v>
      </c>
      <c r="F15946">
        <v>130533558</v>
      </c>
      <c r="G15946">
        <v>130533610</v>
      </c>
      <c r="H15946">
        <v>130533558</v>
      </c>
      <c r="I15946">
        <v>130533610</v>
      </c>
    </row>
    <row r="15947" spans="1:9" x14ac:dyDescent="0.2">
      <c r="A15947" s="1" t="str">
        <f>"SH2D3C"</f>
        <v>SH2D3C</v>
      </c>
      <c r="B15947" t="s">
        <v>13</v>
      </c>
      <c r="C15947" t="s">
        <v>24</v>
      </c>
      <c r="D15947" t="s">
        <v>11</v>
      </c>
      <c r="E15947" t="s">
        <v>12</v>
      </c>
      <c r="F15947">
        <v>130540938</v>
      </c>
      <c r="G15947">
        <v>130540952</v>
      </c>
      <c r="H15947">
        <v>130540938</v>
      </c>
      <c r="I15947">
        <v>130540952</v>
      </c>
    </row>
    <row r="15948" spans="1:9" x14ac:dyDescent="0.2">
      <c r="A15948" s="1" t="str">
        <f>"SH2D4A"</f>
        <v>SH2D4A</v>
      </c>
      <c r="B15948" t="s">
        <v>14</v>
      </c>
      <c r="C15948" t="s">
        <v>30</v>
      </c>
      <c r="D15948" t="s">
        <v>17</v>
      </c>
      <c r="E15948" t="s">
        <v>12</v>
      </c>
      <c r="F15948">
        <v>19171196</v>
      </c>
      <c r="G15948">
        <v>19171216</v>
      </c>
      <c r="H15948">
        <v>19171494</v>
      </c>
      <c r="I15948">
        <v>19171537</v>
      </c>
    </row>
    <row r="15949" spans="1:9" x14ac:dyDescent="0.2">
      <c r="A15949" s="1" t="str">
        <f>"SH2D4B"</f>
        <v>SH2D4B</v>
      </c>
      <c r="B15949" t="s">
        <v>14</v>
      </c>
      <c r="C15949" t="s">
        <v>15</v>
      </c>
      <c r="D15949" t="s">
        <v>17</v>
      </c>
      <c r="E15949" t="s">
        <v>12</v>
      </c>
      <c r="F15949">
        <v>82297742</v>
      </c>
      <c r="G15949">
        <v>82297750</v>
      </c>
      <c r="H15949">
        <v>82297886</v>
      </c>
      <c r="I15949">
        <v>82297887</v>
      </c>
    </row>
    <row r="15950" spans="1:9" x14ac:dyDescent="0.2">
      <c r="A15950" s="1" t="str">
        <f>"SH2D5"</f>
        <v>SH2D5</v>
      </c>
      <c r="B15950" t="s">
        <v>14</v>
      </c>
      <c r="C15950" t="s">
        <v>19</v>
      </c>
      <c r="D15950" t="s">
        <v>11</v>
      </c>
      <c r="E15950" t="s">
        <v>12</v>
      </c>
      <c r="F15950">
        <v>21058626</v>
      </c>
      <c r="G15950">
        <v>21058705</v>
      </c>
      <c r="H15950">
        <v>21058562</v>
      </c>
      <c r="I15950">
        <v>21058595</v>
      </c>
    </row>
    <row r="15951" spans="1:9" x14ac:dyDescent="0.2">
      <c r="A15951" s="1" t="str">
        <f>"SH2D6"</f>
        <v>SH2D6</v>
      </c>
      <c r="B15951" t="s">
        <v>14</v>
      </c>
      <c r="C15951" t="s">
        <v>26</v>
      </c>
      <c r="D15951" t="s">
        <v>17</v>
      </c>
      <c r="E15951" t="s">
        <v>12</v>
      </c>
      <c r="F15951">
        <v>85645836</v>
      </c>
      <c r="G15951">
        <v>85645861</v>
      </c>
      <c r="H15951">
        <v>85645871</v>
      </c>
      <c r="I15951">
        <v>85645891</v>
      </c>
    </row>
    <row r="15952" spans="1:9" x14ac:dyDescent="0.2">
      <c r="A15952" s="1" t="str">
        <f>"SH2D7"</f>
        <v>SH2D7</v>
      </c>
      <c r="B15952" t="s">
        <v>14</v>
      </c>
      <c r="C15952" t="s">
        <v>25</v>
      </c>
      <c r="D15952" t="s">
        <v>17</v>
      </c>
      <c r="E15952" t="s">
        <v>12</v>
      </c>
      <c r="F15952">
        <v>78370140</v>
      </c>
      <c r="G15952">
        <v>78370169</v>
      </c>
      <c r="H15952">
        <v>78369622</v>
      </c>
      <c r="I15952">
        <v>78369654</v>
      </c>
    </row>
    <row r="15953" spans="1:9" x14ac:dyDescent="0.2">
      <c r="A15953" s="1" t="str">
        <f>"SH3BGR"</f>
        <v>SH3BGR</v>
      </c>
      <c r="B15953" t="s">
        <v>9</v>
      </c>
      <c r="C15953" t="s">
        <v>42</v>
      </c>
      <c r="D15953" t="s">
        <v>17</v>
      </c>
      <c r="E15953" t="s">
        <v>12</v>
      </c>
      <c r="F15953">
        <v>40817749</v>
      </c>
      <c r="G15953">
        <v>40817782</v>
      </c>
      <c r="H15953">
        <v>40817749</v>
      </c>
      <c r="I15953">
        <v>40817782</v>
      </c>
    </row>
    <row r="15954" spans="1:9" x14ac:dyDescent="0.2">
      <c r="A15954" s="1" t="str">
        <f>"SH3BGR"</f>
        <v>SH3BGR</v>
      </c>
      <c r="B15954" t="s">
        <v>13</v>
      </c>
      <c r="C15954" t="s">
        <v>42</v>
      </c>
      <c r="D15954" t="s">
        <v>17</v>
      </c>
      <c r="E15954" t="s">
        <v>12</v>
      </c>
      <c r="F15954">
        <v>40823889</v>
      </c>
      <c r="G15954">
        <v>40823902</v>
      </c>
      <c r="H15954">
        <v>40823889</v>
      </c>
      <c r="I15954">
        <v>40823902</v>
      </c>
    </row>
    <row r="15955" spans="1:9" x14ac:dyDescent="0.2">
      <c r="A15955" s="1" t="str">
        <f>"SH3BGRL"</f>
        <v>SH3BGRL</v>
      </c>
      <c r="B15955" t="s">
        <v>14</v>
      </c>
      <c r="C15955" t="s">
        <v>37</v>
      </c>
      <c r="D15955" t="s">
        <v>17</v>
      </c>
      <c r="E15955" t="s">
        <v>12</v>
      </c>
      <c r="F15955">
        <v>80457565</v>
      </c>
      <c r="G15955">
        <v>80457674</v>
      </c>
      <c r="H15955">
        <v>80457502</v>
      </c>
      <c r="I15955">
        <v>80457521</v>
      </c>
    </row>
    <row r="15956" spans="1:9" x14ac:dyDescent="0.2">
      <c r="A15956" s="1" t="str">
        <f>"SH3BGRL2"</f>
        <v>SH3BGRL2</v>
      </c>
      <c r="B15956" t="s">
        <v>14</v>
      </c>
      <c r="C15956" t="s">
        <v>32</v>
      </c>
      <c r="D15956" t="s">
        <v>17</v>
      </c>
      <c r="E15956" t="s">
        <v>12</v>
      </c>
      <c r="F15956">
        <v>80341039</v>
      </c>
      <c r="G15956">
        <v>80341052</v>
      </c>
      <c r="H15956">
        <v>80341003</v>
      </c>
      <c r="I15956">
        <v>80341025</v>
      </c>
    </row>
    <row r="15957" spans="1:9" x14ac:dyDescent="0.2">
      <c r="A15957" s="1" t="str">
        <f>"SH3BGRL3"</f>
        <v>SH3BGRL3</v>
      </c>
      <c r="B15957" t="s">
        <v>14</v>
      </c>
      <c r="C15957" t="s">
        <v>19</v>
      </c>
      <c r="D15957" t="s">
        <v>17</v>
      </c>
      <c r="E15957" t="s">
        <v>12</v>
      </c>
      <c r="F15957">
        <v>26606550</v>
      </c>
      <c r="G15957">
        <v>26606596</v>
      </c>
      <c r="H15957">
        <v>26606608</v>
      </c>
      <c r="I15957">
        <v>26606619</v>
      </c>
    </row>
    <row r="15958" spans="1:9" x14ac:dyDescent="0.2">
      <c r="A15958" s="1" t="str">
        <f>"SH3BP1"</f>
        <v>SH3BP1</v>
      </c>
      <c r="B15958" t="s">
        <v>14</v>
      </c>
      <c r="C15958" t="s">
        <v>21</v>
      </c>
      <c r="D15958" t="s">
        <v>17</v>
      </c>
      <c r="E15958" t="s">
        <v>12</v>
      </c>
      <c r="F15958">
        <v>38035623</v>
      </c>
      <c r="G15958">
        <v>38035712</v>
      </c>
      <c r="H15958">
        <v>38035459</v>
      </c>
      <c r="I15958">
        <v>38035493</v>
      </c>
    </row>
    <row r="15959" spans="1:9" x14ac:dyDescent="0.2">
      <c r="A15959" s="1" t="str">
        <f>"SH3BP2"</f>
        <v>SH3BP2</v>
      </c>
      <c r="B15959" t="s">
        <v>9</v>
      </c>
      <c r="C15959" t="s">
        <v>23</v>
      </c>
      <c r="D15959" t="s">
        <v>17</v>
      </c>
      <c r="E15959" t="s">
        <v>12</v>
      </c>
      <c r="F15959">
        <v>2794804</v>
      </c>
      <c r="G15959">
        <v>2794822</v>
      </c>
      <c r="H15959">
        <v>2794804</v>
      </c>
      <c r="I15959">
        <v>2794822</v>
      </c>
    </row>
    <row r="15960" spans="1:9" x14ac:dyDescent="0.2">
      <c r="A15960" s="1" t="str">
        <f>"SH3BP2"</f>
        <v>SH3BP2</v>
      </c>
      <c r="B15960" t="s">
        <v>13</v>
      </c>
      <c r="C15960" t="s">
        <v>23</v>
      </c>
      <c r="D15960" t="s">
        <v>17</v>
      </c>
      <c r="E15960" t="s">
        <v>12</v>
      </c>
      <c r="F15960">
        <v>2814011</v>
      </c>
      <c r="G15960">
        <v>2814025</v>
      </c>
      <c r="H15960">
        <v>2814011</v>
      </c>
      <c r="I15960">
        <v>2814025</v>
      </c>
    </row>
    <row r="15961" spans="1:9" x14ac:dyDescent="0.2">
      <c r="A15961" s="1" t="str">
        <f>"SH3BP4"</f>
        <v>SH3BP4</v>
      </c>
      <c r="B15961" t="s">
        <v>14</v>
      </c>
      <c r="C15961" t="s">
        <v>26</v>
      </c>
      <c r="D15961" t="s">
        <v>17</v>
      </c>
      <c r="E15961" t="s">
        <v>12</v>
      </c>
      <c r="F15961">
        <v>235860653</v>
      </c>
      <c r="G15961">
        <v>235860681</v>
      </c>
      <c r="H15961">
        <v>235860690</v>
      </c>
      <c r="I15961">
        <v>235860708</v>
      </c>
    </row>
    <row r="15962" spans="1:9" x14ac:dyDescent="0.2">
      <c r="A15962" s="1" t="str">
        <f>"SH3BP5"</f>
        <v>SH3BP5</v>
      </c>
      <c r="B15962" t="s">
        <v>9</v>
      </c>
      <c r="C15962" t="s">
        <v>22</v>
      </c>
      <c r="D15962" t="s">
        <v>11</v>
      </c>
      <c r="E15962" t="s">
        <v>12</v>
      </c>
      <c r="F15962">
        <v>15374033</v>
      </c>
      <c r="G15962">
        <v>15374107</v>
      </c>
      <c r="H15962">
        <v>15374033</v>
      </c>
      <c r="I15962">
        <v>15374107</v>
      </c>
    </row>
    <row r="15963" spans="1:9" x14ac:dyDescent="0.2">
      <c r="A15963" s="1" t="str">
        <f>"SH3BP5"</f>
        <v>SH3BP5</v>
      </c>
      <c r="B15963" t="s">
        <v>13</v>
      </c>
      <c r="C15963" t="s">
        <v>22</v>
      </c>
      <c r="D15963" t="s">
        <v>11</v>
      </c>
      <c r="E15963" t="s">
        <v>12</v>
      </c>
      <c r="F15963">
        <v>15382885</v>
      </c>
      <c r="G15963">
        <v>15382889</v>
      </c>
      <c r="H15963">
        <v>15382885</v>
      </c>
      <c r="I15963">
        <v>15382889</v>
      </c>
    </row>
    <row r="15964" spans="1:9" x14ac:dyDescent="0.2">
      <c r="A15964" s="1" t="str">
        <f>"SH3BP5L"</f>
        <v>SH3BP5L</v>
      </c>
      <c r="B15964" t="s">
        <v>14</v>
      </c>
      <c r="C15964" t="s">
        <v>19</v>
      </c>
      <c r="D15964" t="s">
        <v>11</v>
      </c>
      <c r="E15964" t="s">
        <v>12</v>
      </c>
      <c r="F15964">
        <v>249120060</v>
      </c>
      <c r="G15964">
        <v>249120088</v>
      </c>
      <c r="H15964">
        <v>249120105</v>
      </c>
      <c r="I15964">
        <v>249120159</v>
      </c>
    </row>
    <row r="15965" spans="1:9" x14ac:dyDescent="0.2">
      <c r="A15965" s="1" t="str">
        <f>"SH3D19"</f>
        <v>SH3D19</v>
      </c>
      <c r="B15965" t="s">
        <v>9</v>
      </c>
      <c r="C15965" t="s">
        <v>23</v>
      </c>
      <c r="D15965" t="s">
        <v>11</v>
      </c>
      <c r="E15965" t="s">
        <v>12</v>
      </c>
      <c r="F15965">
        <v>152149033</v>
      </c>
      <c r="G15965">
        <v>152149117</v>
      </c>
      <c r="H15965">
        <v>152149033</v>
      </c>
      <c r="I15965">
        <v>152149117</v>
      </c>
    </row>
    <row r="15966" spans="1:9" x14ac:dyDescent="0.2">
      <c r="A15966" s="1" t="str">
        <f>"SH3D19"</f>
        <v>SH3D19</v>
      </c>
      <c r="B15966" t="s">
        <v>13</v>
      </c>
      <c r="C15966" t="s">
        <v>23</v>
      </c>
      <c r="D15966" t="s">
        <v>11</v>
      </c>
      <c r="E15966" t="s">
        <v>12</v>
      </c>
      <c r="F15966">
        <v>152147524</v>
      </c>
      <c r="G15966">
        <v>152147578</v>
      </c>
      <c r="H15966">
        <v>152147524</v>
      </c>
      <c r="I15966">
        <v>152147578</v>
      </c>
    </row>
    <row r="15967" spans="1:9" x14ac:dyDescent="0.2">
      <c r="A15967" s="1" t="str">
        <f>"SH3D21"</f>
        <v>SH3D21</v>
      </c>
      <c r="B15967" t="s">
        <v>14</v>
      </c>
      <c r="C15967" t="s">
        <v>19</v>
      </c>
      <c r="D15967" t="s">
        <v>17</v>
      </c>
      <c r="E15967" t="s">
        <v>12</v>
      </c>
      <c r="F15967">
        <v>36772691</v>
      </c>
      <c r="G15967">
        <v>36772727</v>
      </c>
      <c r="H15967">
        <v>36771946</v>
      </c>
      <c r="I15967">
        <v>36771979</v>
      </c>
    </row>
    <row r="15968" spans="1:9" x14ac:dyDescent="0.2">
      <c r="A15968" s="1" t="str">
        <f>"SH3GL1"</f>
        <v>SH3GL1</v>
      </c>
      <c r="B15968" t="s">
        <v>14</v>
      </c>
      <c r="C15968" t="s">
        <v>10</v>
      </c>
      <c r="D15968" t="s">
        <v>11</v>
      </c>
      <c r="E15968" t="s">
        <v>12</v>
      </c>
      <c r="F15968">
        <v>4400432</v>
      </c>
      <c r="G15968">
        <v>4400570</v>
      </c>
      <c r="H15968">
        <v>4400432</v>
      </c>
      <c r="I15968">
        <v>4400570</v>
      </c>
    </row>
    <row r="15969" spans="1:9" x14ac:dyDescent="0.2">
      <c r="A15969" s="1" t="str">
        <f>"SH3GL2"</f>
        <v>SH3GL2</v>
      </c>
      <c r="B15969" t="s">
        <v>14</v>
      </c>
      <c r="C15969" t="s">
        <v>24</v>
      </c>
      <c r="D15969" t="s">
        <v>17</v>
      </c>
      <c r="E15969" t="s">
        <v>12</v>
      </c>
      <c r="F15969">
        <v>17579084</v>
      </c>
      <c r="G15969">
        <v>17579128</v>
      </c>
      <c r="H15969">
        <v>17579057</v>
      </c>
      <c r="I15969">
        <v>17579074</v>
      </c>
    </row>
    <row r="15970" spans="1:9" x14ac:dyDescent="0.2">
      <c r="A15970" s="1" t="str">
        <f>"SH3GL3"</f>
        <v>SH3GL3</v>
      </c>
      <c r="B15970" t="s">
        <v>14</v>
      </c>
      <c r="C15970" t="s">
        <v>25</v>
      </c>
      <c r="D15970" t="s">
        <v>17</v>
      </c>
      <c r="E15970" t="s">
        <v>12</v>
      </c>
      <c r="F15970">
        <v>84116106</v>
      </c>
      <c r="G15970">
        <v>84116144</v>
      </c>
      <c r="H15970">
        <v>84116080</v>
      </c>
      <c r="I15970">
        <v>84116099</v>
      </c>
    </row>
    <row r="15971" spans="1:9" x14ac:dyDescent="0.2">
      <c r="A15971" s="1" t="str">
        <f>"SH3GLB1"</f>
        <v>SH3GLB1</v>
      </c>
      <c r="B15971" t="s">
        <v>14</v>
      </c>
      <c r="C15971" t="s">
        <v>19</v>
      </c>
      <c r="D15971" t="s">
        <v>17</v>
      </c>
      <c r="E15971" t="s">
        <v>12</v>
      </c>
      <c r="F15971">
        <v>87170448</v>
      </c>
      <c r="G15971">
        <v>87170539</v>
      </c>
      <c r="H15971">
        <v>87170277</v>
      </c>
      <c r="I15971">
        <v>87170315</v>
      </c>
    </row>
    <row r="15972" spans="1:9" x14ac:dyDescent="0.2">
      <c r="A15972" s="1" t="str">
        <f>"SH3GLB2"</f>
        <v>SH3GLB2</v>
      </c>
      <c r="B15972" t="s">
        <v>14</v>
      </c>
      <c r="C15972" t="s">
        <v>24</v>
      </c>
      <c r="D15972" t="s">
        <v>11</v>
      </c>
      <c r="E15972" t="s">
        <v>12</v>
      </c>
      <c r="F15972">
        <v>131790550</v>
      </c>
      <c r="G15972">
        <v>131790634</v>
      </c>
      <c r="H15972">
        <v>131790466</v>
      </c>
      <c r="I15972">
        <v>131790519</v>
      </c>
    </row>
    <row r="15973" spans="1:9" x14ac:dyDescent="0.2">
      <c r="A15973" s="1" t="str">
        <f>"SH3KBP1"</f>
        <v>SH3KBP1</v>
      </c>
      <c r="B15973" t="s">
        <v>14</v>
      </c>
      <c r="C15973" t="s">
        <v>37</v>
      </c>
      <c r="D15973" t="s">
        <v>11</v>
      </c>
      <c r="E15973" t="s">
        <v>12</v>
      </c>
      <c r="F15973">
        <v>19905661</v>
      </c>
      <c r="G15973">
        <v>19905699</v>
      </c>
      <c r="H15973">
        <v>19905661</v>
      </c>
      <c r="I15973">
        <v>19905699</v>
      </c>
    </row>
    <row r="15974" spans="1:9" x14ac:dyDescent="0.2">
      <c r="A15974" s="1" t="str">
        <f>"SH3PXD2A"</f>
        <v>SH3PXD2A</v>
      </c>
      <c r="B15974" t="s">
        <v>1535</v>
      </c>
      <c r="C15974" t="s">
        <v>15</v>
      </c>
      <c r="D15974" t="s">
        <v>11</v>
      </c>
      <c r="E15974" t="s">
        <v>35</v>
      </c>
      <c r="F15974">
        <v>105615327</v>
      </c>
      <c r="G15974">
        <v>105615342</v>
      </c>
      <c r="H15974">
        <v>105615007</v>
      </c>
      <c r="I15974">
        <v>105615015</v>
      </c>
    </row>
    <row r="15975" spans="1:9" x14ac:dyDescent="0.2">
      <c r="A15975" s="1" t="str">
        <f>"SH3PXD2B"</f>
        <v>SH3PXD2B</v>
      </c>
      <c r="B15975" t="s">
        <v>14</v>
      </c>
      <c r="C15975" t="s">
        <v>46</v>
      </c>
      <c r="D15975" t="s">
        <v>11</v>
      </c>
      <c r="E15975" t="s">
        <v>12</v>
      </c>
      <c r="F15975">
        <v>171881491</v>
      </c>
      <c r="G15975">
        <v>171881554</v>
      </c>
      <c r="H15975">
        <v>171881442</v>
      </c>
      <c r="I15975">
        <v>171881466</v>
      </c>
    </row>
    <row r="15976" spans="1:9" x14ac:dyDescent="0.2">
      <c r="A15976" s="1" t="str">
        <f>"SH3RF1"</f>
        <v>SH3RF1</v>
      </c>
      <c r="B15976" t="s">
        <v>14</v>
      </c>
      <c r="C15976" t="s">
        <v>23</v>
      </c>
      <c r="D15976" t="s">
        <v>11</v>
      </c>
      <c r="E15976" t="s">
        <v>12</v>
      </c>
      <c r="F15976">
        <v>170192092</v>
      </c>
      <c r="G15976">
        <v>170192115</v>
      </c>
      <c r="H15976">
        <v>170192128</v>
      </c>
      <c r="I15976">
        <v>170192147</v>
      </c>
    </row>
    <row r="15977" spans="1:9" x14ac:dyDescent="0.2">
      <c r="A15977" s="1" t="str">
        <f>"SH3RF2"</f>
        <v>SH3RF2</v>
      </c>
      <c r="B15977" t="s">
        <v>14</v>
      </c>
      <c r="C15977" t="s">
        <v>46</v>
      </c>
      <c r="D15977" t="s">
        <v>17</v>
      </c>
      <c r="E15977" t="s">
        <v>12</v>
      </c>
      <c r="F15977">
        <v>145316120</v>
      </c>
      <c r="G15977">
        <v>145316174</v>
      </c>
      <c r="H15977">
        <v>145316120</v>
      </c>
      <c r="I15977">
        <v>145316174</v>
      </c>
    </row>
    <row r="15978" spans="1:9" x14ac:dyDescent="0.2">
      <c r="A15978" s="1" t="str">
        <f>"SH3RF3"</f>
        <v>SH3RF3</v>
      </c>
      <c r="B15978" t="s">
        <v>14</v>
      </c>
      <c r="C15978" t="s">
        <v>26</v>
      </c>
      <c r="D15978" t="s">
        <v>17</v>
      </c>
      <c r="E15978" t="s">
        <v>12</v>
      </c>
      <c r="F15978">
        <v>109745655</v>
      </c>
      <c r="G15978">
        <v>109745666</v>
      </c>
      <c r="H15978">
        <v>109745655</v>
      </c>
      <c r="I15978">
        <v>109745666</v>
      </c>
    </row>
    <row r="15979" spans="1:9" x14ac:dyDescent="0.2">
      <c r="A15979" s="1" t="str">
        <f>"SH3TC1"</f>
        <v>SH3TC1</v>
      </c>
      <c r="B15979" t="s">
        <v>14</v>
      </c>
      <c r="C15979" t="s">
        <v>23</v>
      </c>
      <c r="D15979" t="s">
        <v>17</v>
      </c>
      <c r="E15979" t="s">
        <v>12</v>
      </c>
      <c r="F15979">
        <v>8200966</v>
      </c>
      <c r="G15979">
        <v>8201076</v>
      </c>
      <c r="H15979">
        <v>8201091</v>
      </c>
      <c r="I15979">
        <v>8201103</v>
      </c>
    </row>
    <row r="15980" spans="1:9" x14ac:dyDescent="0.2">
      <c r="A15980" s="1" t="str">
        <f>"SH3TC2"</f>
        <v>SH3TC2</v>
      </c>
      <c r="B15980" t="s">
        <v>14</v>
      </c>
      <c r="C15980" t="s">
        <v>46</v>
      </c>
      <c r="D15980" t="s">
        <v>11</v>
      </c>
      <c r="E15980" t="s">
        <v>12</v>
      </c>
      <c r="F15980">
        <v>148442584</v>
      </c>
      <c r="G15980">
        <v>148442643</v>
      </c>
      <c r="H15980">
        <v>148442699</v>
      </c>
      <c r="I15980">
        <v>148442741</v>
      </c>
    </row>
    <row r="15981" spans="1:9" x14ac:dyDescent="0.2">
      <c r="A15981" s="1" t="str">
        <f>"SH3YL1"</f>
        <v>SH3YL1</v>
      </c>
      <c r="B15981" t="s">
        <v>14</v>
      </c>
      <c r="C15981" t="s">
        <v>26</v>
      </c>
      <c r="D15981" t="s">
        <v>11</v>
      </c>
      <c r="E15981" t="s">
        <v>12</v>
      </c>
      <c r="F15981">
        <v>264024</v>
      </c>
      <c r="G15981">
        <v>264043</v>
      </c>
      <c r="H15981">
        <v>264772</v>
      </c>
      <c r="I15981">
        <v>264829</v>
      </c>
    </row>
    <row r="15982" spans="1:9" x14ac:dyDescent="0.2">
      <c r="A15982" s="1" t="str">
        <f>"SHANK1"</f>
        <v>SHANK1</v>
      </c>
      <c r="B15982" t="s">
        <v>14</v>
      </c>
      <c r="C15982" t="s">
        <v>10</v>
      </c>
      <c r="D15982" t="s">
        <v>11</v>
      </c>
      <c r="E15982" t="s">
        <v>12</v>
      </c>
      <c r="F15982">
        <v>51223018</v>
      </c>
      <c r="G15982">
        <v>51223080</v>
      </c>
      <c r="H15982">
        <v>51223083</v>
      </c>
      <c r="I15982">
        <v>51223093</v>
      </c>
    </row>
    <row r="15983" spans="1:9" x14ac:dyDescent="0.2">
      <c r="A15983" s="1" t="str">
        <f>"SHANK2"</f>
        <v>SHANK2</v>
      </c>
      <c r="B15983" t="s">
        <v>1536</v>
      </c>
      <c r="C15983" t="s">
        <v>27</v>
      </c>
      <c r="D15983" t="s">
        <v>11</v>
      </c>
      <c r="E15983" t="s">
        <v>20</v>
      </c>
      <c r="F15983">
        <v>70858371</v>
      </c>
      <c r="G15983">
        <v>70858371</v>
      </c>
      <c r="H15983">
        <v>70858371</v>
      </c>
      <c r="I15983">
        <v>70858371</v>
      </c>
    </row>
    <row r="15984" spans="1:9" x14ac:dyDescent="0.2">
      <c r="A15984" s="1" t="str">
        <f>"SHANK3"</f>
        <v>SHANK3</v>
      </c>
      <c r="B15984" t="s">
        <v>14</v>
      </c>
      <c r="C15984" t="s">
        <v>21</v>
      </c>
      <c r="D15984" t="s">
        <v>17</v>
      </c>
      <c r="E15984" t="s">
        <v>12</v>
      </c>
      <c r="F15984">
        <v>51135914</v>
      </c>
      <c r="G15984">
        <v>51135945</v>
      </c>
      <c r="H15984">
        <v>51135914</v>
      </c>
      <c r="I15984">
        <v>51135945</v>
      </c>
    </row>
    <row r="15985" spans="1:9" x14ac:dyDescent="0.2">
      <c r="A15985" s="1" t="str">
        <f>"SHARPIN"</f>
        <v>SHARPIN</v>
      </c>
      <c r="B15985" t="s">
        <v>14</v>
      </c>
      <c r="C15985" t="s">
        <v>30</v>
      </c>
      <c r="D15985" t="s">
        <v>11</v>
      </c>
      <c r="E15985" t="s">
        <v>12</v>
      </c>
      <c r="F15985">
        <v>145158581</v>
      </c>
      <c r="G15985">
        <v>145158693</v>
      </c>
      <c r="H15985">
        <v>145159033</v>
      </c>
      <c r="I15985">
        <v>145159081</v>
      </c>
    </row>
    <row r="15986" spans="1:9" x14ac:dyDescent="0.2">
      <c r="A15986" s="1" t="str">
        <f>"SHB"</f>
        <v>SHB</v>
      </c>
      <c r="B15986" t="s">
        <v>14</v>
      </c>
      <c r="C15986" t="s">
        <v>24</v>
      </c>
      <c r="D15986" t="s">
        <v>11</v>
      </c>
      <c r="E15986" t="s">
        <v>12</v>
      </c>
      <c r="F15986">
        <v>38069210</v>
      </c>
      <c r="G15986">
        <v>38069267</v>
      </c>
      <c r="H15986">
        <v>38069271</v>
      </c>
      <c r="I15986">
        <v>38069291</v>
      </c>
    </row>
    <row r="15987" spans="1:9" x14ac:dyDescent="0.2">
      <c r="A15987" s="1" t="str">
        <f>"SHBG"</f>
        <v>SHBG</v>
      </c>
      <c r="B15987" t="s">
        <v>14</v>
      </c>
      <c r="C15987" t="s">
        <v>28</v>
      </c>
      <c r="D15987" t="s">
        <v>17</v>
      </c>
      <c r="E15987" t="s">
        <v>12</v>
      </c>
      <c r="F15987">
        <v>7533439</v>
      </c>
      <c r="G15987">
        <v>7533477</v>
      </c>
      <c r="H15987">
        <v>7533439</v>
      </c>
      <c r="I15987">
        <v>7533477</v>
      </c>
    </row>
    <row r="15988" spans="1:9" x14ac:dyDescent="0.2">
      <c r="A15988" s="1" t="str">
        <f>"SHC1"</f>
        <v>SHC1</v>
      </c>
      <c r="B15988" t="s">
        <v>9</v>
      </c>
      <c r="C15988" t="s">
        <v>19</v>
      </c>
      <c r="D15988" t="s">
        <v>11</v>
      </c>
      <c r="E15988" t="s">
        <v>12</v>
      </c>
      <c r="F15988">
        <v>154943212</v>
      </c>
      <c r="G15988">
        <v>154943230</v>
      </c>
      <c r="H15988">
        <v>154943212</v>
      </c>
      <c r="I15988">
        <v>154943230</v>
      </c>
    </row>
    <row r="15989" spans="1:9" x14ac:dyDescent="0.2">
      <c r="A15989" s="1" t="str">
        <f>"SHC1"</f>
        <v>SHC1</v>
      </c>
      <c r="B15989" t="s">
        <v>13</v>
      </c>
      <c r="C15989" t="s">
        <v>19</v>
      </c>
      <c r="D15989" t="s">
        <v>11</v>
      </c>
      <c r="E15989" t="s">
        <v>12</v>
      </c>
      <c r="F15989">
        <v>154946825</v>
      </c>
      <c r="G15989">
        <v>154946891</v>
      </c>
      <c r="H15989">
        <v>154946825</v>
      </c>
      <c r="I15989">
        <v>154946891</v>
      </c>
    </row>
    <row r="15990" spans="1:9" x14ac:dyDescent="0.2">
      <c r="A15990" s="1" t="str">
        <f>"SHC2"</f>
        <v>SHC2</v>
      </c>
      <c r="B15990" t="s">
        <v>14</v>
      </c>
      <c r="C15990" t="s">
        <v>10</v>
      </c>
      <c r="D15990" t="s">
        <v>11</v>
      </c>
      <c r="E15990" t="s">
        <v>12</v>
      </c>
      <c r="F15990">
        <v>461007</v>
      </c>
      <c r="G15990">
        <v>461058</v>
      </c>
      <c r="H15990">
        <v>461059</v>
      </c>
      <c r="I15990">
        <v>461071</v>
      </c>
    </row>
    <row r="15991" spans="1:9" x14ac:dyDescent="0.2">
      <c r="A15991" s="1" t="str">
        <f>"SHC3"</f>
        <v>SHC3</v>
      </c>
      <c r="B15991" t="s">
        <v>14</v>
      </c>
      <c r="C15991" t="s">
        <v>24</v>
      </c>
      <c r="D15991" t="s">
        <v>11</v>
      </c>
      <c r="E15991" t="s">
        <v>12</v>
      </c>
      <c r="F15991">
        <v>91793725</v>
      </c>
      <c r="G15991">
        <v>91793743</v>
      </c>
      <c r="H15991">
        <v>91793624</v>
      </c>
      <c r="I15991">
        <v>91793649</v>
      </c>
    </row>
    <row r="15992" spans="1:9" x14ac:dyDescent="0.2">
      <c r="A15992" s="1" t="str">
        <f>"SHC4"</f>
        <v>SHC4</v>
      </c>
      <c r="B15992" t="s">
        <v>1537</v>
      </c>
      <c r="C15992" t="s">
        <v>25</v>
      </c>
      <c r="D15992" t="s">
        <v>11</v>
      </c>
      <c r="E15992" t="s">
        <v>35</v>
      </c>
      <c r="F15992">
        <v>49255686</v>
      </c>
      <c r="G15992">
        <v>49255695</v>
      </c>
      <c r="H15992">
        <v>49255569</v>
      </c>
      <c r="I15992">
        <v>49255578</v>
      </c>
    </row>
    <row r="15993" spans="1:9" x14ac:dyDescent="0.2">
      <c r="A15993" s="1" t="str">
        <f>"SHCBP1"</f>
        <v>SHCBP1</v>
      </c>
      <c r="B15993" t="s">
        <v>14</v>
      </c>
      <c r="C15993" t="s">
        <v>31</v>
      </c>
      <c r="D15993" t="s">
        <v>11</v>
      </c>
      <c r="E15993" t="s">
        <v>12</v>
      </c>
      <c r="F15993">
        <v>46655208</v>
      </c>
      <c r="G15993">
        <v>46655316</v>
      </c>
      <c r="H15993">
        <v>46655208</v>
      </c>
      <c r="I15993">
        <v>46655316</v>
      </c>
    </row>
    <row r="15994" spans="1:9" x14ac:dyDescent="0.2">
      <c r="A15994" s="1" t="str">
        <f>"SHCBP1L"</f>
        <v>SHCBP1L</v>
      </c>
      <c r="B15994" t="s">
        <v>14</v>
      </c>
      <c r="C15994" t="s">
        <v>19</v>
      </c>
      <c r="D15994" t="s">
        <v>11</v>
      </c>
      <c r="E15994" t="s">
        <v>12</v>
      </c>
      <c r="F15994">
        <v>182922263</v>
      </c>
      <c r="G15994">
        <v>182922314</v>
      </c>
      <c r="H15994">
        <v>182922653</v>
      </c>
      <c r="I15994">
        <v>182922673</v>
      </c>
    </row>
    <row r="15995" spans="1:9" x14ac:dyDescent="0.2">
      <c r="A15995" s="1" t="str">
        <f>"SHD"</f>
        <v>SHD</v>
      </c>
      <c r="B15995" t="s">
        <v>14</v>
      </c>
      <c r="C15995" t="s">
        <v>10</v>
      </c>
      <c r="D15995" t="s">
        <v>17</v>
      </c>
      <c r="E15995" t="s">
        <v>12</v>
      </c>
      <c r="F15995">
        <v>4279244</v>
      </c>
      <c r="G15995">
        <v>4279280</v>
      </c>
      <c r="H15995">
        <v>4279244</v>
      </c>
      <c r="I15995">
        <v>4279280</v>
      </c>
    </row>
    <row r="15996" spans="1:9" x14ac:dyDescent="0.2">
      <c r="A15996" s="1" t="str">
        <f>"SHE"</f>
        <v>SHE</v>
      </c>
      <c r="B15996" t="s">
        <v>14</v>
      </c>
      <c r="C15996" t="s">
        <v>19</v>
      </c>
      <c r="D15996" t="s">
        <v>11</v>
      </c>
      <c r="E15996" t="s">
        <v>12</v>
      </c>
      <c r="F15996">
        <v>154474878</v>
      </c>
      <c r="G15996">
        <v>154474925</v>
      </c>
      <c r="H15996">
        <v>154474878</v>
      </c>
      <c r="I15996">
        <v>154474925</v>
      </c>
    </row>
    <row r="15997" spans="1:9" x14ac:dyDescent="0.2">
      <c r="A15997" s="1" t="str">
        <f>"SHF"</f>
        <v>SHF</v>
      </c>
      <c r="B15997" t="s">
        <v>9</v>
      </c>
      <c r="C15997" t="s">
        <v>25</v>
      </c>
      <c r="D15997" t="s">
        <v>11</v>
      </c>
      <c r="E15997" t="s">
        <v>12</v>
      </c>
      <c r="F15997">
        <v>45480153</v>
      </c>
      <c r="G15997">
        <v>45480171</v>
      </c>
      <c r="H15997">
        <v>45480153</v>
      </c>
      <c r="I15997">
        <v>45480171</v>
      </c>
    </row>
    <row r="15998" spans="1:9" x14ac:dyDescent="0.2">
      <c r="A15998" s="1" t="str">
        <f>"SHF"</f>
        <v>SHF</v>
      </c>
      <c r="B15998" t="s">
        <v>13</v>
      </c>
      <c r="C15998" t="s">
        <v>25</v>
      </c>
      <c r="D15998" t="s">
        <v>11</v>
      </c>
      <c r="E15998" t="s">
        <v>12</v>
      </c>
      <c r="F15998">
        <v>45493289</v>
      </c>
      <c r="G15998">
        <v>45493324</v>
      </c>
      <c r="H15998">
        <v>45493289</v>
      </c>
      <c r="I15998">
        <v>45493324</v>
      </c>
    </row>
    <row r="15999" spans="1:9" x14ac:dyDescent="0.2">
      <c r="A15999" s="1" t="str">
        <f>"SHFM1"</f>
        <v>SHFM1</v>
      </c>
      <c r="B15999" t="s">
        <v>14</v>
      </c>
      <c r="C15999" t="s">
        <v>33</v>
      </c>
      <c r="D15999" t="s">
        <v>11</v>
      </c>
      <c r="E15999" t="s">
        <v>12</v>
      </c>
      <c r="F15999">
        <v>96339132</v>
      </c>
      <c r="G15999">
        <v>96339166</v>
      </c>
      <c r="H15999">
        <v>96339167</v>
      </c>
      <c r="I15999">
        <v>96339197</v>
      </c>
    </row>
    <row r="16000" spans="1:9" x14ac:dyDescent="0.2">
      <c r="A16000" s="1" t="str">
        <f>"SHH"</f>
        <v>SHH</v>
      </c>
      <c r="B16000" t="s">
        <v>9</v>
      </c>
      <c r="C16000" t="s">
        <v>33</v>
      </c>
      <c r="D16000" t="s">
        <v>11</v>
      </c>
      <c r="E16000" t="s">
        <v>12</v>
      </c>
      <c r="F16000">
        <v>155605148</v>
      </c>
      <c r="G16000">
        <v>155605165</v>
      </c>
      <c r="H16000">
        <v>155605148</v>
      </c>
      <c r="I16000">
        <v>155605165</v>
      </c>
    </row>
    <row r="16001" spans="1:9" x14ac:dyDescent="0.2">
      <c r="A16001" s="1" t="str">
        <f>"SHH"</f>
        <v>SHH</v>
      </c>
      <c r="B16001" t="s">
        <v>13</v>
      </c>
      <c r="C16001" t="s">
        <v>33</v>
      </c>
      <c r="D16001" t="s">
        <v>11</v>
      </c>
      <c r="E16001" t="s">
        <v>12</v>
      </c>
      <c r="F16001">
        <v>155601851</v>
      </c>
      <c r="G16001">
        <v>155601866</v>
      </c>
      <c r="H16001">
        <v>155601851</v>
      </c>
      <c r="I16001">
        <v>155601866</v>
      </c>
    </row>
    <row r="16002" spans="1:9" x14ac:dyDescent="0.2">
      <c r="A16002" s="1" t="str">
        <f>"SHISA2"</f>
        <v>SHISA2</v>
      </c>
      <c r="B16002" t="s">
        <v>14</v>
      </c>
      <c r="C16002" t="s">
        <v>39</v>
      </c>
      <c r="D16002" t="s">
        <v>11</v>
      </c>
      <c r="E16002" t="s">
        <v>12</v>
      </c>
      <c r="F16002">
        <v>26624881</v>
      </c>
      <c r="G16002">
        <v>26624902</v>
      </c>
      <c r="H16002">
        <v>26624881</v>
      </c>
      <c r="I16002">
        <v>26624902</v>
      </c>
    </row>
    <row r="16003" spans="1:9" x14ac:dyDescent="0.2">
      <c r="A16003" s="1" t="str">
        <f>"SHISA3"</f>
        <v>SHISA3</v>
      </c>
      <c r="B16003" t="s">
        <v>14</v>
      </c>
      <c r="C16003" t="s">
        <v>23</v>
      </c>
      <c r="D16003" t="s">
        <v>17</v>
      </c>
      <c r="E16003" t="s">
        <v>12</v>
      </c>
      <c r="F16003">
        <v>42399463</v>
      </c>
      <c r="G16003">
        <v>42399531</v>
      </c>
      <c r="H16003">
        <v>42399551</v>
      </c>
      <c r="I16003">
        <v>42399563</v>
      </c>
    </row>
    <row r="16004" spans="1:9" x14ac:dyDescent="0.2">
      <c r="A16004" s="1" t="str">
        <f>"SHISA4"</f>
        <v>SHISA4</v>
      </c>
      <c r="B16004" t="s">
        <v>14</v>
      </c>
      <c r="C16004" t="s">
        <v>19</v>
      </c>
      <c r="D16004" t="s">
        <v>17</v>
      </c>
      <c r="E16004" t="s">
        <v>12</v>
      </c>
      <c r="F16004">
        <v>201857992</v>
      </c>
      <c r="G16004">
        <v>201858055</v>
      </c>
      <c r="H16004">
        <v>201857798</v>
      </c>
      <c r="I16004">
        <v>201857813</v>
      </c>
    </row>
    <row r="16005" spans="1:9" x14ac:dyDescent="0.2">
      <c r="A16005" s="1" t="str">
        <f>"SHISA5"</f>
        <v>SHISA5</v>
      </c>
      <c r="B16005" t="s">
        <v>14</v>
      </c>
      <c r="C16005" t="s">
        <v>22</v>
      </c>
      <c r="D16005" t="s">
        <v>11</v>
      </c>
      <c r="E16005" t="s">
        <v>12</v>
      </c>
      <c r="F16005">
        <v>48514483</v>
      </c>
      <c r="G16005">
        <v>48514523</v>
      </c>
      <c r="H16005">
        <v>48514524</v>
      </c>
      <c r="I16005">
        <v>48514576</v>
      </c>
    </row>
    <row r="16006" spans="1:9" x14ac:dyDescent="0.2">
      <c r="A16006" s="1" t="str">
        <f>"SHISA6"</f>
        <v>SHISA6</v>
      </c>
      <c r="B16006" t="s">
        <v>14</v>
      </c>
      <c r="C16006" t="s">
        <v>28</v>
      </c>
      <c r="D16006" t="s">
        <v>17</v>
      </c>
      <c r="E16006" t="s">
        <v>12</v>
      </c>
      <c r="F16006">
        <v>11144505</v>
      </c>
      <c r="G16006">
        <v>11144535</v>
      </c>
      <c r="H16006">
        <v>11144580</v>
      </c>
      <c r="I16006">
        <v>11144595</v>
      </c>
    </row>
    <row r="16007" spans="1:9" x14ac:dyDescent="0.2">
      <c r="A16007" s="1" t="str">
        <f>"SHISA7"</f>
        <v>SHISA7</v>
      </c>
      <c r="B16007" t="s">
        <v>14</v>
      </c>
      <c r="C16007" t="s">
        <v>10</v>
      </c>
      <c r="D16007" t="s">
        <v>11</v>
      </c>
      <c r="E16007" t="s">
        <v>12</v>
      </c>
      <c r="F16007">
        <v>55954631</v>
      </c>
      <c r="G16007">
        <v>55954676</v>
      </c>
      <c r="H16007">
        <v>55954631</v>
      </c>
      <c r="I16007">
        <v>55954676</v>
      </c>
    </row>
    <row r="16008" spans="1:9" x14ac:dyDescent="0.2">
      <c r="A16008" s="1" t="str">
        <f>"SHISA8"</f>
        <v>SHISA8</v>
      </c>
      <c r="B16008" t="s">
        <v>14</v>
      </c>
      <c r="C16008" t="s">
        <v>21</v>
      </c>
      <c r="D16008" t="s">
        <v>11</v>
      </c>
      <c r="E16008" t="s">
        <v>12</v>
      </c>
      <c r="F16008">
        <v>42311060</v>
      </c>
      <c r="G16008">
        <v>42311102</v>
      </c>
      <c r="H16008">
        <v>42311060</v>
      </c>
      <c r="I16008">
        <v>42311102</v>
      </c>
    </row>
    <row r="16009" spans="1:9" x14ac:dyDescent="0.2">
      <c r="A16009" s="1" t="str">
        <f>"SHISA9"</f>
        <v>SHISA9</v>
      </c>
      <c r="B16009" t="s">
        <v>14</v>
      </c>
      <c r="C16009" t="s">
        <v>31</v>
      </c>
      <c r="D16009" t="s">
        <v>17</v>
      </c>
      <c r="E16009" t="s">
        <v>12</v>
      </c>
      <c r="F16009">
        <v>12995468</v>
      </c>
      <c r="G16009">
        <v>12995497</v>
      </c>
      <c r="H16009">
        <v>12995448</v>
      </c>
      <c r="I16009">
        <v>12995467</v>
      </c>
    </row>
    <row r="16010" spans="1:9" x14ac:dyDescent="0.2">
      <c r="A16010" s="1" t="str">
        <f>"SHKBP1"</f>
        <v>SHKBP1</v>
      </c>
      <c r="B16010" t="s">
        <v>14</v>
      </c>
      <c r="C16010" t="s">
        <v>10</v>
      </c>
      <c r="D16010" t="s">
        <v>17</v>
      </c>
      <c r="E16010" t="s">
        <v>12</v>
      </c>
      <c r="F16010">
        <v>41082755</v>
      </c>
      <c r="G16010">
        <v>41082801</v>
      </c>
      <c r="H16010">
        <v>41082802</v>
      </c>
      <c r="I16010">
        <v>41082809</v>
      </c>
    </row>
    <row r="16011" spans="1:9" x14ac:dyDescent="0.2">
      <c r="A16011" s="1" t="str">
        <f>"SHMT1"</f>
        <v>SHMT1</v>
      </c>
      <c r="B16011" t="s">
        <v>14</v>
      </c>
      <c r="C16011" t="s">
        <v>28</v>
      </c>
      <c r="D16011" t="s">
        <v>11</v>
      </c>
      <c r="E16011" t="s">
        <v>12</v>
      </c>
      <c r="F16011">
        <v>18266818</v>
      </c>
      <c r="G16011">
        <v>18266872</v>
      </c>
      <c r="H16011">
        <v>18266713</v>
      </c>
      <c r="I16011">
        <v>18266756</v>
      </c>
    </row>
    <row r="16012" spans="1:9" x14ac:dyDescent="0.2">
      <c r="A16012" s="1" t="str">
        <f>"SHMT2"</f>
        <v>SHMT2</v>
      </c>
      <c r="B16012" t="s">
        <v>14</v>
      </c>
      <c r="C16012" t="s">
        <v>16</v>
      </c>
      <c r="D16012" t="s">
        <v>17</v>
      </c>
      <c r="E16012" t="s">
        <v>12</v>
      </c>
      <c r="F16012">
        <v>57623477</v>
      </c>
      <c r="G16012">
        <v>57623531</v>
      </c>
      <c r="H16012">
        <v>57623907</v>
      </c>
      <c r="I16012">
        <v>57623961</v>
      </c>
    </row>
    <row r="16013" spans="1:9" x14ac:dyDescent="0.2">
      <c r="A16013" s="1" t="str">
        <f>"SHOC2"</f>
        <v>SHOC2</v>
      </c>
      <c r="B16013" t="s">
        <v>14</v>
      </c>
      <c r="C16013" t="s">
        <v>15</v>
      </c>
      <c r="D16013" t="s">
        <v>17</v>
      </c>
      <c r="E16013" t="s">
        <v>12</v>
      </c>
      <c r="F16013">
        <v>112679353</v>
      </c>
      <c r="G16013">
        <v>112679382</v>
      </c>
      <c r="H16013">
        <v>112679321</v>
      </c>
      <c r="I16013">
        <v>112679346</v>
      </c>
    </row>
    <row r="16014" spans="1:9" x14ac:dyDescent="0.2">
      <c r="A16014" s="1" t="str">
        <f>"SHOX"</f>
        <v>SHOX</v>
      </c>
      <c r="B16014" t="s">
        <v>14</v>
      </c>
      <c r="C16014" t="s">
        <v>37</v>
      </c>
      <c r="D16014" t="s">
        <v>17</v>
      </c>
      <c r="E16014" t="s">
        <v>12</v>
      </c>
      <c r="F16014">
        <v>591524</v>
      </c>
      <c r="G16014">
        <v>591527</v>
      </c>
      <c r="H16014">
        <v>591437</v>
      </c>
      <c r="I16014">
        <v>591448</v>
      </c>
    </row>
    <row r="16015" spans="1:9" x14ac:dyDescent="0.2">
      <c r="A16015" s="1" t="str">
        <f>"SHOX2"</f>
        <v>SHOX2</v>
      </c>
      <c r="B16015" t="s">
        <v>14</v>
      </c>
      <c r="C16015" t="s">
        <v>22</v>
      </c>
      <c r="D16015" t="s">
        <v>11</v>
      </c>
      <c r="E16015" t="s">
        <v>12</v>
      </c>
      <c r="F16015">
        <v>157823517</v>
      </c>
      <c r="G16015">
        <v>157823562</v>
      </c>
      <c r="H16015">
        <v>157824001</v>
      </c>
      <c r="I16015">
        <v>157824078</v>
      </c>
    </row>
    <row r="16016" spans="1:9" x14ac:dyDescent="0.2">
      <c r="A16016" s="1" t="str">
        <f>"SHPK"</f>
        <v>SHPK</v>
      </c>
      <c r="B16016" t="s">
        <v>14</v>
      </c>
      <c r="C16016" t="s">
        <v>28</v>
      </c>
      <c r="D16016" t="s">
        <v>11</v>
      </c>
      <c r="E16016" t="s">
        <v>12</v>
      </c>
      <c r="F16016">
        <v>3539535</v>
      </c>
      <c r="G16016">
        <v>3539557</v>
      </c>
      <c r="H16016">
        <v>3539558</v>
      </c>
      <c r="I16016">
        <v>3539589</v>
      </c>
    </row>
    <row r="16017" spans="1:9" x14ac:dyDescent="0.2">
      <c r="A16017" s="1" t="str">
        <f>"SHPRH"</f>
        <v>SHPRH</v>
      </c>
      <c r="B16017" t="s">
        <v>14</v>
      </c>
      <c r="C16017" t="s">
        <v>32</v>
      </c>
      <c r="D16017" t="s">
        <v>11</v>
      </c>
      <c r="E16017" t="s">
        <v>12</v>
      </c>
      <c r="F16017">
        <v>146285455</v>
      </c>
      <c r="G16017">
        <v>146285528</v>
      </c>
      <c r="H16017">
        <v>146285221</v>
      </c>
      <c r="I16017">
        <v>146285246</v>
      </c>
    </row>
    <row r="16018" spans="1:9" x14ac:dyDescent="0.2">
      <c r="A16018" s="1" t="str">
        <f>"SHQ1"</f>
        <v>SHQ1</v>
      </c>
      <c r="B16018" t="s">
        <v>14</v>
      </c>
      <c r="C16018" t="s">
        <v>22</v>
      </c>
      <c r="D16018" t="s">
        <v>11</v>
      </c>
      <c r="E16018" t="s">
        <v>12</v>
      </c>
      <c r="F16018">
        <v>72897545</v>
      </c>
      <c r="G16018">
        <v>72897629</v>
      </c>
      <c r="H16018">
        <v>72897524</v>
      </c>
      <c r="I16018">
        <v>72897540</v>
      </c>
    </row>
    <row r="16019" spans="1:9" x14ac:dyDescent="0.2">
      <c r="A16019" s="1" t="str">
        <f>"SHROOM1"</f>
        <v>SHROOM1</v>
      </c>
      <c r="B16019" t="s">
        <v>14</v>
      </c>
      <c r="C16019" t="s">
        <v>46</v>
      </c>
      <c r="D16019" t="s">
        <v>11</v>
      </c>
      <c r="E16019" t="s">
        <v>12</v>
      </c>
      <c r="F16019">
        <v>132166303</v>
      </c>
      <c r="G16019">
        <v>132166363</v>
      </c>
      <c r="H16019">
        <v>132166579</v>
      </c>
      <c r="I16019">
        <v>132166616</v>
      </c>
    </row>
    <row r="16020" spans="1:9" x14ac:dyDescent="0.2">
      <c r="A16020" s="1" t="str">
        <f>"SHROOM2"</f>
        <v>SHROOM2</v>
      </c>
      <c r="B16020" t="s">
        <v>14</v>
      </c>
      <c r="C16020" t="s">
        <v>37</v>
      </c>
      <c r="D16020" t="s">
        <v>17</v>
      </c>
      <c r="E16020" t="s">
        <v>12</v>
      </c>
      <c r="F16020">
        <v>9754461</v>
      </c>
      <c r="G16020">
        <v>9754486</v>
      </c>
      <c r="H16020">
        <v>9754461</v>
      </c>
      <c r="I16020">
        <v>9754486</v>
      </c>
    </row>
    <row r="16021" spans="1:9" x14ac:dyDescent="0.2">
      <c r="A16021" s="1" t="str">
        <f>"SHROOM3"</f>
        <v>SHROOM3</v>
      </c>
      <c r="B16021" t="s">
        <v>1538</v>
      </c>
      <c r="C16021" t="s">
        <v>23</v>
      </c>
      <c r="D16021" t="s">
        <v>17</v>
      </c>
      <c r="E16021" t="s">
        <v>35</v>
      </c>
      <c r="F16021">
        <v>77356225</v>
      </c>
      <c r="G16021">
        <v>77356231</v>
      </c>
      <c r="H16021">
        <v>77356420</v>
      </c>
      <c r="I16021">
        <v>77356423</v>
      </c>
    </row>
    <row r="16022" spans="1:9" x14ac:dyDescent="0.2">
      <c r="A16022" s="1" t="str">
        <f>"SHROOM4"</f>
        <v>SHROOM4</v>
      </c>
      <c r="B16022" t="s">
        <v>14</v>
      </c>
      <c r="C16022" t="s">
        <v>37</v>
      </c>
      <c r="D16022" t="s">
        <v>11</v>
      </c>
      <c r="E16022" t="s">
        <v>12</v>
      </c>
      <c r="F16022">
        <v>50557095</v>
      </c>
      <c r="G16022">
        <v>50557207</v>
      </c>
      <c r="H16022">
        <v>50557095</v>
      </c>
      <c r="I16022">
        <v>50557207</v>
      </c>
    </row>
    <row r="16023" spans="1:9" x14ac:dyDescent="0.2">
      <c r="A16023" s="1" t="str">
        <f>"SI"</f>
        <v>SI</v>
      </c>
      <c r="B16023" t="s">
        <v>14</v>
      </c>
      <c r="C16023" t="s">
        <v>22</v>
      </c>
      <c r="D16023" t="s">
        <v>11</v>
      </c>
      <c r="E16023" t="s">
        <v>12</v>
      </c>
      <c r="F16023">
        <v>164796269</v>
      </c>
      <c r="G16023">
        <v>164796290</v>
      </c>
      <c r="H16023">
        <v>164796269</v>
      </c>
      <c r="I16023">
        <v>164796290</v>
      </c>
    </row>
    <row r="16024" spans="1:9" x14ac:dyDescent="0.2">
      <c r="A16024" s="1" t="str">
        <f>"SIAE"</f>
        <v>SIAE</v>
      </c>
      <c r="B16024" t="s">
        <v>14</v>
      </c>
      <c r="C16024" t="s">
        <v>27</v>
      </c>
      <c r="D16024" t="s">
        <v>11</v>
      </c>
      <c r="E16024" t="s">
        <v>12</v>
      </c>
      <c r="F16024">
        <v>124543604</v>
      </c>
      <c r="G16024">
        <v>124543654</v>
      </c>
      <c r="H16024">
        <v>124543725</v>
      </c>
      <c r="I16024">
        <v>124543734</v>
      </c>
    </row>
    <row r="16025" spans="1:9" x14ac:dyDescent="0.2">
      <c r="A16025" s="1" t="str">
        <f>"SIAH1"</f>
        <v>SIAH1</v>
      </c>
      <c r="B16025" t="s">
        <v>14</v>
      </c>
      <c r="C16025" t="s">
        <v>31</v>
      </c>
      <c r="D16025" t="s">
        <v>11</v>
      </c>
      <c r="E16025" t="s">
        <v>12</v>
      </c>
      <c r="F16025">
        <v>48419218</v>
      </c>
      <c r="G16025">
        <v>48419281</v>
      </c>
      <c r="H16025">
        <v>48419308</v>
      </c>
      <c r="I16025">
        <v>48419336</v>
      </c>
    </row>
    <row r="16026" spans="1:9" x14ac:dyDescent="0.2">
      <c r="A16026" s="1" t="str">
        <f>"SIAH2"</f>
        <v>SIAH2</v>
      </c>
      <c r="B16026" t="s">
        <v>14</v>
      </c>
      <c r="C16026" t="s">
        <v>22</v>
      </c>
      <c r="D16026" t="s">
        <v>11</v>
      </c>
      <c r="E16026" t="s">
        <v>12</v>
      </c>
      <c r="F16026">
        <v>150480884</v>
      </c>
      <c r="G16026">
        <v>150480982</v>
      </c>
      <c r="H16026">
        <v>150481260</v>
      </c>
      <c r="I16026">
        <v>150481282</v>
      </c>
    </row>
    <row r="16027" spans="1:9" x14ac:dyDescent="0.2">
      <c r="A16027" s="1" t="str">
        <f>"SIAH3"</f>
        <v>SIAH3</v>
      </c>
      <c r="B16027" t="s">
        <v>14</v>
      </c>
      <c r="C16027" t="s">
        <v>39</v>
      </c>
      <c r="D16027" t="s">
        <v>11</v>
      </c>
      <c r="E16027" t="s">
        <v>12</v>
      </c>
      <c r="F16027">
        <v>46425865</v>
      </c>
      <c r="G16027">
        <v>46425902</v>
      </c>
      <c r="H16027">
        <v>46425837</v>
      </c>
      <c r="I16027">
        <v>46425861</v>
      </c>
    </row>
    <row r="16028" spans="1:9" x14ac:dyDescent="0.2">
      <c r="A16028" s="1" t="str">
        <f>"SIDT1"</f>
        <v>SIDT1</v>
      </c>
      <c r="B16028" t="s">
        <v>14</v>
      </c>
      <c r="C16028" t="s">
        <v>22</v>
      </c>
      <c r="D16028" t="s">
        <v>17</v>
      </c>
      <c r="E16028" t="s">
        <v>12</v>
      </c>
      <c r="F16028">
        <v>113251358</v>
      </c>
      <c r="G16028">
        <v>113251423</v>
      </c>
      <c r="H16028">
        <v>113251358</v>
      </c>
      <c r="I16028">
        <v>113251423</v>
      </c>
    </row>
    <row r="16029" spans="1:9" x14ac:dyDescent="0.2">
      <c r="A16029" s="1" t="str">
        <f>"SIDT2"</f>
        <v>SIDT2</v>
      </c>
      <c r="B16029" t="s">
        <v>14</v>
      </c>
      <c r="C16029" t="s">
        <v>27</v>
      </c>
      <c r="D16029" t="s">
        <v>17</v>
      </c>
      <c r="E16029" t="s">
        <v>12</v>
      </c>
      <c r="F16029">
        <v>117049445</v>
      </c>
      <c r="G16029">
        <v>117049466</v>
      </c>
      <c r="H16029">
        <v>117049445</v>
      </c>
      <c r="I16029">
        <v>117049466</v>
      </c>
    </row>
    <row r="16030" spans="1:9" x14ac:dyDescent="0.2">
      <c r="A16030" s="1" t="str">
        <f>"SIGIRR"</f>
        <v>SIGIRR</v>
      </c>
      <c r="B16030" t="s">
        <v>9</v>
      </c>
      <c r="C16030" t="s">
        <v>27</v>
      </c>
      <c r="D16030" t="s">
        <v>11</v>
      </c>
      <c r="E16030" t="s">
        <v>12</v>
      </c>
      <c r="F16030">
        <v>407103</v>
      </c>
      <c r="G16030">
        <v>407195</v>
      </c>
      <c r="H16030">
        <v>407103</v>
      </c>
      <c r="I16030">
        <v>407195</v>
      </c>
    </row>
    <row r="16031" spans="1:9" x14ac:dyDescent="0.2">
      <c r="A16031" s="1" t="str">
        <f>"SIGIRR"</f>
        <v>SIGIRR</v>
      </c>
      <c r="B16031" t="s">
        <v>13</v>
      </c>
      <c r="C16031" t="s">
        <v>27</v>
      </c>
      <c r="D16031" t="s">
        <v>11</v>
      </c>
      <c r="E16031" t="s">
        <v>12</v>
      </c>
      <c r="F16031">
        <v>414950</v>
      </c>
      <c r="G16031">
        <v>415017</v>
      </c>
      <c r="H16031">
        <v>414950</v>
      </c>
      <c r="I16031">
        <v>415017</v>
      </c>
    </row>
    <row r="16032" spans="1:9" x14ac:dyDescent="0.2">
      <c r="A16032" s="1" t="str">
        <f>"SIGLEC1"</f>
        <v>SIGLEC1</v>
      </c>
      <c r="B16032" t="s">
        <v>14</v>
      </c>
      <c r="C16032" t="s">
        <v>29</v>
      </c>
      <c r="D16032" t="s">
        <v>11</v>
      </c>
      <c r="E16032" t="s">
        <v>12</v>
      </c>
      <c r="F16032">
        <v>3687858</v>
      </c>
      <c r="G16032">
        <v>3687862</v>
      </c>
      <c r="H16032">
        <v>3687898</v>
      </c>
      <c r="I16032">
        <v>3687926</v>
      </c>
    </row>
    <row r="16033" spans="1:9" x14ac:dyDescent="0.2">
      <c r="A16033" s="1" t="str">
        <f>"SIGLEC10"</f>
        <v>SIGLEC10</v>
      </c>
      <c r="B16033" t="s">
        <v>14</v>
      </c>
      <c r="C16033" t="s">
        <v>10</v>
      </c>
      <c r="D16033" t="s">
        <v>11</v>
      </c>
      <c r="E16033" t="s">
        <v>12</v>
      </c>
      <c r="F16033">
        <v>51920873</v>
      </c>
      <c r="G16033">
        <v>51920906</v>
      </c>
      <c r="H16033">
        <v>51920954</v>
      </c>
      <c r="I16033">
        <v>51920971</v>
      </c>
    </row>
    <row r="16034" spans="1:9" x14ac:dyDescent="0.2">
      <c r="A16034" s="1" t="str">
        <f>"SIGLEC11"</f>
        <v>SIGLEC11</v>
      </c>
      <c r="B16034" t="s">
        <v>14</v>
      </c>
      <c r="C16034" t="s">
        <v>10</v>
      </c>
      <c r="D16034" t="s">
        <v>11</v>
      </c>
      <c r="E16034" t="s">
        <v>12</v>
      </c>
      <c r="F16034">
        <v>50461695</v>
      </c>
      <c r="G16034">
        <v>50461702</v>
      </c>
      <c r="H16034">
        <v>50461695</v>
      </c>
      <c r="I16034">
        <v>50461702</v>
      </c>
    </row>
    <row r="16035" spans="1:9" x14ac:dyDescent="0.2">
      <c r="A16035" s="1" t="str">
        <f>"SIGLEC12"</f>
        <v>SIGLEC12</v>
      </c>
      <c r="B16035" t="s">
        <v>14</v>
      </c>
      <c r="C16035" t="s">
        <v>10</v>
      </c>
      <c r="D16035" t="s">
        <v>11</v>
      </c>
      <c r="E16035" t="s">
        <v>12</v>
      </c>
      <c r="F16035">
        <v>52005009</v>
      </c>
      <c r="G16035">
        <v>52005060</v>
      </c>
      <c r="H16035">
        <v>52004986</v>
      </c>
      <c r="I16035">
        <v>52004997</v>
      </c>
    </row>
    <row r="16036" spans="1:9" x14ac:dyDescent="0.2">
      <c r="A16036" s="1" t="str">
        <f>"SIGLEC14"</f>
        <v>SIGLEC14</v>
      </c>
      <c r="B16036" t="s">
        <v>14</v>
      </c>
      <c r="C16036" t="s">
        <v>10</v>
      </c>
      <c r="D16036" t="s">
        <v>11</v>
      </c>
      <c r="E16036" t="s">
        <v>12</v>
      </c>
      <c r="F16036">
        <v>52150037</v>
      </c>
      <c r="G16036">
        <v>52150073</v>
      </c>
      <c r="H16036">
        <v>52150037</v>
      </c>
      <c r="I16036">
        <v>52150073</v>
      </c>
    </row>
    <row r="16037" spans="1:9" x14ac:dyDescent="0.2">
      <c r="A16037" s="1" t="str">
        <f>"SIGLEC15"</f>
        <v>SIGLEC15</v>
      </c>
      <c r="B16037" t="s">
        <v>9</v>
      </c>
      <c r="C16037" t="s">
        <v>43</v>
      </c>
      <c r="D16037" t="s">
        <v>17</v>
      </c>
      <c r="E16037" t="s">
        <v>12</v>
      </c>
      <c r="F16037">
        <v>43405655</v>
      </c>
      <c r="G16037">
        <v>43405696</v>
      </c>
      <c r="H16037">
        <v>43405655</v>
      </c>
      <c r="I16037">
        <v>43405696</v>
      </c>
    </row>
    <row r="16038" spans="1:9" x14ac:dyDescent="0.2">
      <c r="A16038" s="1" t="str">
        <f>"SIGLEC15"</f>
        <v>SIGLEC15</v>
      </c>
      <c r="B16038" t="s">
        <v>13</v>
      </c>
      <c r="C16038" t="s">
        <v>43</v>
      </c>
      <c r="D16038" t="s">
        <v>17</v>
      </c>
      <c r="E16038" t="s">
        <v>12</v>
      </c>
      <c r="F16038">
        <v>43409037</v>
      </c>
      <c r="G16038">
        <v>43409056</v>
      </c>
      <c r="H16038">
        <v>43409037</v>
      </c>
      <c r="I16038">
        <v>43409056</v>
      </c>
    </row>
    <row r="16039" spans="1:9" x14ac:dyDescent="0.2">
      <c r="A16039" s="1" t="str">
        <f>"SIGLEC5"</f>
        <v>SIGLEC5</v>
      </c>
      <c r="B16039" t="s">
        <v>14</v>
      </c>
      <c r="C16039" t="s">
        <v>10</v>
      </c>
      <c r="D16039" t="s">
        <v>11</v>
      </c>
      <c r="E16039" t="s">
        <v>12</v>
      </c>
      <c r="F16039">
        <v>52150364</v>
      </c>
      <c r="G16039">
        <v>52150385</v>
      </c>
      <c r="H16039">
        <v>52150364</v>
      </c>
      <c r="I16039">
        <v>52150385</v>
      </c>
    </row>
    <row r="16040" spans="1:9" x14ac:dyDescent="0.2">
      <c r="A16040" s="1" t="str">
        <f>"SIGLEC6"</f>
        <v>SIGLEC6</v>
      </c>
      <c r="B16040" t="s">
        <v>14</v>
      </c>
      <c r="C16040" t="s">
        <v>10</v>
      </c>
      <c r="D16040" t="s">
        <v>11</v>
      </c>
      <c r="E16040" t="s">
        <v>12</v>
      </c>
      <c r="F16040">
        <v>52034913</v>
      </c>
      <c r="G16040">
        <v>52034930</v>
      </c>
      <c r="H16040">
        <v>52034865</v>
      </c>
      <c r="I16040">
        <v>52034880</v>
      </c>
    </row>
    <row r="16041" spans="1:9" x14ac:dyDescent="0.2">
      <c r="A16041" s="1" t="str">
        <f>"SIGLEC7"</f>
        <v>SIGLEC7</v>
      </c>
      <c r="B16041" t="s">
        <v>14</v>
      </c>
      <c r="C16041" t="s">
        <v>10</v>
      </c>
      <c r="D16041" t="s">
        <v>17</v>
      </c>
      <c r="E16041" t="s">
        <v>12</v>
      </c>
      <c r="F16041">
        <v>51645742</v>
      </c>
      <c r="G16041">
        <v>51645787</v>
      </c>
      <c r="H16041">
        <v>51645742</v>
      </c>
      <c r="I16041">
        <v>51645787</v>
      </c>
    </row>
    <row r="16042" spans="1:9" x14ac:dyDescent="0.2">
      <c r="A16042" s="1" t="str">
        <f>"SIGLEC8"</f>
        <v>SIGLEC8</v>
      </c>
      <c r="B16042" t="s">
        <v>14</v>
      </c>
      <c r="C16042" t="s">
        <v>10</v>
      </c>
      <c r="D16042" t="s">
        <v>11</v>
      </c>
      <c r="E16042" t="s">
        <v>12</v>
      </c>
      <c r="F16042">
        <v>51961669</v>
      </c>
      <c r="G16042">
        <v>51961687</v>
      </c>
      <c r="H16042">
        <v>51961702</v>
      </c>
      <c r="I16042">
        <v>51961728</v>
      </c>
    </row>
    <row r="16043" spans="1:9" x14ac:dyDescent="0.2">
      <c r="A16043" s="1" t="str">
        <f>"SIGLEC9"</f>
        <v>SIGLEC9</v>
      </c>
      <c r="B16043" t="s">
        <v>14</v>
      </c>
      <c r="C16043" t="s">
        <v>10</v>
      </c>
      <c r="D16043" t="s">
        <v>17</v>
      </c>
      <c r="E16043" t="s">
        <v>12</v>
      </c>
      <c r="F16043">
        <v>51628330</v>
      </c>
      <c r="G16043">
        <v>51628379</v>
      </c>
      <c r="H16043">
        <v>51628301</v>
      </c>
      <c r="I16043">
        <v>51628311</v>
      </c>
    </row>
    <row r="16044" spans="1:9" x14ac:dyDescent="0.2">
      <c r="A16044" s="1" t="str">
        <f>"SIGLECL1"</f>
        <v>SIGLECL1</v>
      </c>
      <c r="B16044" t="s">
        <v>14</v>
      </c>
      <c r="C16044" t="s">
        <v>10</v>
      </c>
      <c r="D16044" t="s">
        <v>17</v>
      </c>
      <c r="E16044" t="s">
        <v>12</v>
      </c>
      <c r="F16044">
        <v>51754332</v>
      </c>
      <c r="G16044">
        <v>51754357</v>
      </c>
      <c r="H16044">
        <v>51754332</v>
      </c>
      <c r="I16044">
        <v>51754357</v>
      </c>
    </row>
    <row r="16045" spans="1:9" x14ac:dyDescent="0.2">
      <c r="A16045" s="1" t="str">
        <f>"SIGMAR1"</f>
        <v>SIGMAR1</v>
      </c>
      <c r="B16045" t="s">
        <v>14</v>
      </c>
      <c r="C16045" t="s">
        <v>24</v>
      </c>
      <c r="D16045" t="s">
        <v>11</v>
      </c>
      <c r="E16045" t="s">
        <v>12</v>
      </c>
      <c r="F16045">
        <v>34637718</v>
      </c>
      <c r="G16045">
        <v>34637791</v>
      </c>
      <c r="H16045">
        <v>34637807</v>
      </c>
      <c r="I16045">
        <v>34637828</v>
      </c>
    </row>
    <row r="16046" spans="1:9" x14ac:dyDescent="0.2">
      <c r="A16046" s="1" t="str">
        <f>"SIK1"</f>
        <v>SIK1</v>
      </c>
      <c r="B16046" t="s">
        <v>14</v>
      </c>
      <c r="C16046" t="s">
        <v>42</v>
      </c>
      <c r="D16046" t="s">
        <v>11</v>
      </c>
      <c r="E16046" t="s">
        <v>12</v>
      </c>
      <c r="F16046">
        <v>44846999</v>
      </c>
      <c r="G16046">
        <v>44847017</v>
      </c>
      <c r="H16046">
        <v>44846975</v>
      </c>
      <c r="I16046">
        <v>44846992</v>
      </c>
    </row>
    <row r="16047" spans="1:9" x14ac:dyDescent="0.2">
      <c r="A16047" s="1" t="str">
        <f>"SIK2"</f>
        <v>SIK2</v>
      </c>
      <c r="B16047" t="s">
        <v>14</v>
      </c>
      <c r="C16047" t="s">
        <v>27</v>
      </c>
      <c r="D16047" t="s">
        <v>17</v>
      </c>
      <c r="E16047" t="s">
        <v>12</v>
      </c>
      <c r="F16047">
        <v>111473108</v>
      </c>
      <c r="G16047">
        <v>111473226</v>
      </c>
      <c r="H16047">
        <v>111473334</v>
      </c>
      <c r="I16047">
        <v>111473351</v>
      </c>
    </row>
    <row r="16048" spans="1:9" x14ac:dyDescent="0.2">
      <c r="A16048" s="1" t="str">
        <f>"SIK3"</f>
        <v>SIK3</v>
      </c>
      <c r="B16048" t="s">
        <v>14</v>
      </c>
      <c r="C16048" t="s">
        <v>27</v>
      </c>
      <c r="D16048" t="s">
        <v>11</v>
      </c>
      <c r="E16048" t="s">
        <v>12</v>
      </c>
      <c r="F16048">
        <v>116969131</v>
      </c>
      <c r="G16048">
        <v>116969166</v>
      </c>
      <c r="H16048">
        <v>116969168</v>
      </c>
      <c r="I16048">
        <v>116969179</v>
      </c>
    </row>
    <row r="16049" spans="1:9" x14ac:dyDescent="0.2">
      <c r="A16049" s="1" t="str">
        <f>"SIKE1"</f>
        <v>SIKE1</v>
      </c>
      <c r="B16049" t="s">
        <v>14</v>
      </c>
      <c r="C16049" t="s">
        <v>19</v>
      </c>
      <c r="D16049" t="s">
        <v>11</v>
      </c>
      <c r="E16049" t="s">
        <v>12</v>
      </c>
      <c r="F16049">
        <v>115323245</v>
      </c>
      <c r="G16049">
        <v>115323324</v>
      </c>
      <c r="H16049">
        <v>115323193</v>
      </c>
      <c r="I16049">
        <v>115323207</v>
      </c>
    </row>
    <row r="16050" spans="1:9" x14ac:dyDescent="0.2">
      <c r="A16050" s="1" t="str">
        <f>"SIL1"</f>
        <v>SIL1</v>
      </c>
      <c r="B16050" t="s">
        <v>14</v>
      </c>
      <c r="C16050" t="s">
        <v>46</v>
      </c>
      <c r="D16050" t="s">
        <v>11</v>
      </c>
      <c r="E16050" t="s">
        <v>12</v>
      </c>
      <c r="F16050">
        <v>138533973</v>
      </c>
      <c r="G16050">
        <v>138534006</v>
      </c>
      <c r="H16050">
        <v>138534047</v>
      </c>
      <c r="I16050">
        <v>138534064</v>
      </c>
    </row>
    <row r="16051" spans="1:9" x14ac:dyDescent="0.2">
      <c r="A16051" s="1" t="str">
        <f>"SIM1"</f>
        <v>SIM1</v>
      </c>
      <c r="B16051" t="s">
        <v>14</v>
      </c>
      <c r="C16051" t="s">
        <v>32</v>
      </c>
      <c r="D16051" t="s">
        <v>11</v>
      </c>
      <c r="E16051" t="s">
        <v>12</v>
      </c>
      <c r="F16051">
        <v>100912785</v>
      </c>
      <c r="G16051">
        <v>100912822</v>
      </c>
      <c r="H16051">
        <v>100912752</v>
      </c>
      <c r="I16051">
        <v>100912778</v>
      </c>
    </row>
    <row r="16052" spans="1:9" x14ac:dyDescent="0.2">
      <c r="A16052" s="1" t="str">
        <f>"SIM2"</f>
        <v>SIM2</v>
      </c>
      <c r="B16052" t="s">
        <v>14</v>
      </c>
      <c r="C16052" t="s">
        <v>42</v>
      </c>
      <c r="D16052" t="s">
        <v>17</v>
      </c>
      <c r="E16052" t="s">
        <v>12</v>
      </c>
      <c r="F16052">
        <v>38071430</v>
      </c>
      <c r="G16052">
        <v>38071456</v>
      </c>
      <c r="H16052">
        <v>38071403</v>
      </c>
      <c r="I16052">
        <v>38071428</v>
      </c>
    </row>
    <row r="16053" spans="1:9" x14ac:dyDescent="0.2">
      <c r="A16053" s="1" t="str">
        <f>"SIMC1"</f>
        <v>SIMC1</v>
      </c>
      <c r="B16053" t="s">
        <v>14</v>
      </c>
      <c r="C16053" t="s">
        <v>46</v>
      </c>
      <c r="D16053" t="s">
        <v>17</v>
      </c>
      <c r="E16053" t="s">
        <v>12</v>
      </c>
      <c r="F16053">
        <v>175665414</v>
      </c>
      <c r="G16053">
        <v>175665451</v>
      </c>
      <c r="H16053">
        <v>175665367</v>
      </c>
      <c r="I16053">
        <v>175665393</v>
      </c>
    </row>
    <row r="16054" spans="1:9" x14ac:dyDescent="0.2">
      <c r="A16054" s="1" t="str">
        <f>"SIN3A"</f>
        <v>SIN3A</v>
      </c>
      <c r="B16054" t="s">
        <v>9</v>
      </c>
      <c r="C16054" t="s">
        <v>25</v>
      </c>
      <c r="D16054" t="s">
        <v>11</v>
      </c>
      <c r="E16054" t="s">
        <v>12</v>
      </c>
      <c r="F16054">
        <v>75744014</v>
      </c>
      <c r="G16054">
        <v>75744054</v>
      </c>
      <c r="H16054">
        <v>75744014</v>
      </c>
      <c r="I16054">
        <v>75744054</v>
      </c>
    </row>
    <row r="16055" spans="1:9" x14ac:dyDescent="0.2">
      <c r="A16055" s="1" t="str">
        <f>"SIN3A"</f>
        <v>SIN3A</v>
      </c>
      <c r="B16055" t="s">
        <v>13</v>
      </c>
      <c r="C16055" t="s">
        <v>25</v>
      </c>
      <c r="D16055" t="s">
        <v>11</v>
      </c>
      <c r="E16055" t="s">
        <v>12</v>
      </c>
      <c r="F16055">
        <v>75748143</v>
      </c>
      <c r="G16055">
        <v>75748162</v>
      </c>
      <c r="H16055">
        <v>75748143</v>
      </c>
      <c r="I16055">
        <v>75748162</v>
      </c>
    </row>
    <row r="16056" spans="1:9" x14ac:dyDescent="0.2">
      <c r="A16056" s="1" t="str">
        <f>"SIN3B"</f>
        <v>SIN3B</v>
      </c>
      <c r="B16056" t="s">
        <v>14</v>
      </c>
      <c r="C16056" t="s">
        <v>10</v>
      </c>
      <c r="D16056" t="s">
        <v>17</v>
      </c>
      <c r="E16056" t="s">
        <v>12</v>
      </c>
      <c r="F16056">
        <v>16940198</v>
      </c>
      <c r="G16056">
        <v>16940237</v>
      </c>
      <c r="H16056">
        <v>16940287</v>
      </c>
      <c r="I16056">
        <v>16940314</v>
      </c>
    </row>
    <row r="16057" spans="1:9" x14ac:dyDescent="0.2">
      <c r="A16057" s="1" t="str">
        <f>"SIPA1"</f>
        <v>SIPA1</v>
      </c>
      <c r="B16057" t="s">
        <v>9</v>
      </c>
      <c r="C16057" t="s">
        <v>27</v>
      </c>
      <c r="D16057" t="s">
        <v>17</v>
      </c>
      <c r="E16057" t="s">
        <v>12</v>
      </c>
      <c r="F16057">
        <v>65405556</v>
      </c>
      <c r="G16057">
        <v>65405623</v>
      </c>
      <c r="H16057">
        <v>65405556</v>
      </c>
      <c r="I16057">
        <v>65405623</v>
      </c>
    </row>
    <row r="16058" spans="1:9" x14ac:dyDescent="0.2">
      <c r="A16058" s="1" t="str">
        <f>"SIPA1"</f>
        <v>SIPA1</v>
      </c>
      <c r="B16058" t="s">
        <v>13</v>
      </c>
      <c r="C16058" t="s">
        <v>27</v>
      </c>
      <c r="D16058" t="s">
        <v>17</v>
      </c>
      <c r="E16058" t="s">
        <v>12</v>
      </c>
      <c r="F16058">
        <v>65414827</v>
      </c>
      <c r="G16058">
        <v>65414866</v>
      </c>
      <c r="H16058">
        <v>65414827</v>
      </c>
      <c r="I16058">
        <v>65414866</v>
      </c>
    </row>
    <row r="16059" spans="1:9" x14ac:dyDescent="0.2">
      <c r="A16059" s="1" t="str">
        <f>"SIPA1L1"</f>
        <v>SIPA1L1</v>
      </c>
      <c r="B16059" t="s">
        <v>1539</v>
      </c>
      <c r="C16059" t="s">
        <v>41</v>
      </c>
      <c r="D16059" t="s">
        <v>17</v>
      </c>
      <c r="E16059" t="s">
        <v>35</v>
      </c>
      <c r="F16059">
        <v>72052959</v>
      </c>
      <c r="G16059">
        <v>72052967</v>
      </c>
      <c r="H16059">
        <v>72053101</v>
      </c>
      <c r="I16059">
        <v>72053114</v>
      </c>
    </row>
    <row r="16060" spans="1:9" x14ac:dyDescent="0.2">
      <c r="A16060" s="1" t="str">
        <f>"SIPA1L1"</f>
        <v>SIPA1L1</v>
      </c>
      <c r="B16060" t="s">
        <v>1540</v>
      </c>
      <c r="C16060" t="s">
        <v>41</v>
      </c>
      <c r="D16060" t="s">
        <v>17</v>
      </c>
      <c r="E16060" t="s">
        <v>20</v>
      </c>
      <c r="F16060">
        <v>71996041</v>
      </c>
      <c r="G16060">
        <v>71996041</v>
      </c>
      <c r="H16060">
        <v>71996041</v>
      </c>
      <c r="I16060">
        <v>71996041</v>
      </c>
    </row>
    <row r="16061" spans="1:9" x14ac:dyDescent="0.2">
      <c r="A16061" s="1" t="str">
        <f>"SIPA1L2"</f>
        <v>SIPA1L2</v>
      </c>
      <c r="B16061" t="s">
        <v>14</v>
      </c>
      <c r="C16061" t="s">
        <v>19</v>
      </c>
      <c r="D16061" t="s">
        <v>11</v>
      </c>
      <c r="E16061" t="s">
        <v>12</v>
      </c>
      <c r="F16061">
        <v>232650628</v>
      </c>
      <c r="G16061">
        <v>232650676</v>
      </c>
      <c r="H16061">
        <v>232651292</v>
      </c>
      <c r="I16061">
        <v>232651306</v>
      </c>
    </row>
    <row r="16062" spans="1:9" x14ac:dyDescent="0.2">
      <c r="A16062" s="1" t="str">
        <f>"SIPA1L3"</f>
        <v>SIPA1L3</v>
      </c>
      <c r="B16062" t="s">
        <v>14</v>
      </c>
      <c r="C16062" t="s">
        <v>10</v>
      </c>
      <c r="D16062" t="s">
        <v>17</v>
      </c>
      <c r="E16062" t="s">
        <v>12</v>
      </c>
      <c r="F16062">
        <v>38397839</v>
      </c>
      <c r="G16062">
        <v>38397932</v>
      </c>
      <c r="H16062">
        <v>38397839</v>
      </c>
      <c r="I16062">
        <v>38397932</v>
      </c>
    </row>
    <row r="16063" spans="1:9" x14ac:dyDescent="0.2">
      <c r="A16063" s="1" t="str">
        <f>"SIRPA"</f>
        <v>SIRPA</v>
      </c>
      <c r="B16063" t="s">
        <v>14</v>
      </c>
      <c r="C16063" t="s">
        <v>29</v>
      </c>
      <c r="D16063" t="s">
        <v>17</v>
      </c>
      <c r="E16063" t="s">
        <v>12</v>
      </c>
      <c r="F16063">
        <v>1876009</v>
      </c>
      <c r="G16063">
        <v>1876075</v>
      </c>
      <c r="H16063">
        <v>1875534</v>
      </c>
      <c r="I16063">
        <v>1875598</v>
      </c>
    </row>
    <row r="16064" spans="1:9" x14ac:dyDescent="0.2">
      <c r="A16064" s="1" t="str">
        <f>"SIRPB1"</f>
        <v>SIRPB1</v>
      </c>
      <c r="B16064" t="s">
        <v>14</v>
      </c>
      <c r="C16064" t="s">
        <v>29</v>
      </c>
      <c r="D16064" t="s">
        <v>11</v>
      </c>
      <c r="E16064" t="s">
        <v>12</v>
      </c>
      <c r="F16064">
        <v>1600644</v>
      </c>
      <c r="G16064">
        <v>1600662</v>
      </c>
      <c r="H16064">
        <v>1600644</v>
      </c>
      <c r="I16064">
        <v>1600662</v>
      </c>
    </row>
    <row r="16065" spans="1:9" x14ac:dyDescent="0.2">
      <c r="A16065" s="1" t="str">
        <f>"SIRPB2"</f>
        <v>SIRPB2</v>
      </c>
      <c r="B16065" t="s">
        <v>14</v>
      </c>
      <c r="C16065" t="s">
        <v>29</v>
      </c>
      <c r="D16065" t="s">
        <v>11</v>
      </c>
      <c r="E16065" t="s">
        <v>12</v>
      </c>
      <c r="F16065">
        <v>1472053</v>
      </c>
      <c r="G16065">
        <v>1472074</v>
      </c>
      <c r="H16065">
        <v>1472121</v>
      </c>
      <c r="I16065">
        <v>1472132</v>
      </c>
    </row>
    <row r="16066" spans="1:9" x14ac:dyDescent="0.2">
      <c r="A16066" s="1" t="str">
        <f>"SIRPD"</f>
        <v>SIRPD</v>
      </c>
      <c r="B16066" t="s">
        <v>14</v>
      </c>
      <c r="C16066" t="s">
        <v>29</v>
      </c>
      <c r="D16066" t="s">
        <v>11</v>
      </c>
      <c r="E16066" t="s">
        <v>12</v>
      </c>
      <c r="F16066">
        <v>1538319</v>
      </c>
      <c r="G16066">
        <v>1538363</v>
      </c>
      <c r="H16066">
        <v>1538375</v>
      </c>
      <c r="I16066">
        <v>1538378</v>
      </c>
    </row>
    <row r="16067" spans="1:9" x14ac:dyDescent="0.2">
      <c r="A16067" s="1" t="str">
        <f>"SIRPG"</f>
        <v>SIRPG</v>
      </c>
      <c r="B16067" t="s">
        <v>14</v>
      </c>
      <c r="C16067" t="s">
        <v>29</v>
      </c>
      <c r="D16067" t="s">
        <v>11</v>
      </c>
      <c r="E16067" t="s">
        <v>12</v>
      </c>
      <c r="F16067">
        <v>1638408</v>
      </c>
      <c r="G16067">
        <v>1638431</v>
      </c>
      <c r="H16067">
        <v>1638395</v>
      </c>
      <c r="I16067">
        <v>1638407</v>
      </c>
    </row>
    <row r="16068" spans="1:9" x14ac:dyDescent="0.2">
      <c r="A16068" s="1" t="str">
        <f>"SIRT1"</f>
        <v>SIRT1</v>
      </c>
      <c r="B16068" t="s">
        <v>14</v>
      </c>
      <c r="C16068" t="s">
        <v>15</v>
      </c>
      <c r="D16068" t="s">
        <v>17</v>
      </c>
      <c r="E16068" t="s">
        <v>12</v>
      </c>
      <c r="F16068">
        <v>69644404</v>
      </c>
      <c r="G16068">
        <v>69644425</v>
      </c>
      <c r="H16068">
        <v>69644451</v>
      </c>
      <c r="I16068">
        <v>69644477</v>
      </c>
    </row>
    <row r="16069" spans="1:9" x14ac:dyDescent="0.2">
      <c r="A16069" s="1" t="str">
        <f>"SIRT2"</f>
        <v>SIRT2</v>
      </c>
      <c r="B16069" t="s">
        <v>14</v>
      </c>
      <c r="C16069" t="s">
        <v>10</v>
      </c>
      <c r="D16069" t="s">
        <v>11</v>
      </c>
      <c r="E16069" t="s">
        <v>12</v>
      </c>
      <c r="F16069">
        <v>39390212</v>
      </c>
      <c r="G16069">
        <v>39390305</v>
      </c>
      <c r="H16069">
        <v>39390172</v>
      </c>
      <c r="I16069">
        <v>39390210</v>
      </c>
    </row>
    <row r="16070" spans="1:9" x14ac:dyDescent="0.2">
      <c r="A16070" s="1" t="str">
        <f>"SIRT3"</f>
        <v>SIRT3</v>
      </c>
      <c r="B16070" t="s">
        <v>14</v>
      </c>
      <c r="C16070" t="s">
        <v>27</v>
      </c>
      <c r="D16070" t="s">
        <v>11</v>
      </c>
      <c r="E16070" t="s">
        <v>12</v>
      </c>
      <c r="F16070">
        <v>236334</v>
      </c>
      <c r="G16070">
        <v>236355</v>
      </c>
      <c r="H16070">
        <v>236823</v>
      </c>
      <c r="I16070">
        <v>236940</v>
      </c>
    </row>
    <row r="16071" spans="1:9" x14ac:dyDescent="0.2">
      <c r="A16071" s="1" t="str">
        <f>"SIRT4"</f>
        <v>SIRT4</v>
      </c>
      <c r="B16071" t="s">
        <v>14</v>
      </c>
      <c r="C16071" t="s">
        <v>16</v>
      </c>
      <c r="D16071" t="s">
        <v>17</v>
      </c>
      <c r="E16071" t="s">
        <v>12</v>
      </c>
      <c r="F16071">
        <v>120740115</v>
      </c>
      <c r="G16071">
        <v>120740141</v>
      </c>
      <c r="H16071">
        <v>120740142</v>
      </c>
      <c r="I16071">
        <v>120740160</v>
      </c>
    </row>
    <row r="16072" spans="1:9" x14ac:dyDescent="0.2">
      <c r="A16072" s="1" t="str">
        <f>"SIRT5"</f>
        <v>SIRT5</v>
      </c>
      <c r="B16072" t="s">
        <v>14</v>
      </c>
      <c r="C16072" t="s">
        <v>32</v>
      </c>
      <c r="D16072" t="s">
        <v>17</v>
      </c>
      <c r="E16072" t="s">
        <v>12</v>
      </c>
      <c r="F16072">
        <v>13574810</v>
      </c>
      <c r="G16072">
        <v>13574838</v>
      </c>
      <c r="H16072">
        <v>13574845</v>
      </c>
      <c r="I16072">
        <v>13574875</v>
      </c>
    </row>
    <row r="16073" spans="1:9" x14ac:dyDescent="0.2">
      <c r="A16073" s="1" t="str">
        <f>"SIRT6"</f>
        <v>SIRT6</v>
      </c>
      <c r="B16073" t="s">
        <v>14</v>
      </c>
      <c r="C16073" t="s">
        <v>10</v>
      </c>
      <c r="D16073" t="s">
        <v>11</v>
      </c>
      <c r="E16073" t="s">
        <v>12</v>
      </c>
      <c r="F16073">
        <v>4182537</v>
      </c>
      <c r="G16073">
        <v>4182573</v>
      </c>
      <c r="H16073">
        <v>4182504</v>
      </c>
      <c r="I16073">
        <v>4182521</v>
      </c>
    </row>
    <row r="16074" spans="1:9" x14ac:dyDescent="0.2">
      <c r="A16074" s="1" t="str">
        <f>"SIRT7"</f>
        <v>SIRT7</v>
      </c>
      <c r="B16074" t="s">
        <v>14</v>
      </c>
      <c r="C16074" t="s">
        <v>28</v>
      </c>
      <c r="D16074" t="s">
        <v>11</v>
      </c>
      <c r="E16074" t="s">
        <v>12</v>
      </c>
      <c r="F16074">
        <v>79876010</v>
      </c>
      <c r="G16074">
        <v>79876075</v>
      </c>
      <c r="H16074">
        <v>79876010</v>
      </c>
      <c r="I16074">
        <v>79876075</v>
      </c>
    </row>
    <row r="16075" spans="1:9" x14ac:dyDescent="0.2">
      <c r="A16075" s="1" t="str">
        <f>"SIT1"</f>
        <v>SIT1</v>
      </c>
      <c r="B16075" t="s">
        <v>14</v>
      </c>
      <c r="C16075" t="s">
        <v>24</v>
      </c>
      <c r="D16075" t="s">
        <v>11</v>
      </c>
      <c r="E16075" t="s">
        <v>12</v>
      </c>
      <c r="F16075">
        <v>35650900</v>
      </c>
      <c r="G16075">
        <v>35650967</v>
      </c>
      <c r="H16075">
        <v>35650572</v>
      </c>
      <c r="I16075">
        <v>35650659</v>
      </c>
    </row>
    <row r="16076" spans="1:9" x14ac:dyDescent="0.2">
      <c r="A16076" s="1" t="str">
        <f>"SIVA1"</f>
        <v>SIVA1</v>
      </c>
      <c r="B16076" t="s">
        <v>14</v>
      </c>
      <c r="C16076" t="s">
        <v>41</v>
      </c>
      <c r="D16076" t="s">
        <v>17</v>
      </c>
      <c r="E16076" t="s">
        <v>12</v>
      </c>
      <c r="F16076">
        <v>105219501</v>
      </c>
      <c r="G16076">
        <v>105219550</v>
      </c>
      <c r="H16076">
        <v>105219457</v>
      </c>
      <c r="I16076">
        <v>105219498</v>
      </c>
    </row>
    <row r="16077" spans="1:9" x14ac:dyDescent="0.2">
      <c r="A16077" s="1" t="str">
        <f>"SIX1"</f>
        <v>SIX1</v>
      </c>
      <c r="B16077" t="s">
        <v>14</v>
      </c>
      <c r="C16077" t="s">
        <v>41</v>
      </c>
      <c r="D16077" t="s">
        <v>11</v>
      </c>
      <c r="E16077" t="s">
        <v>12</v>
      </c>
      <c r="F16077">
        <v>61116183</v>
      </c>
      <c r="G16077">
        <v>61116208</v>
      </c>
      <c r="H16077">
        <v>61116168</v>
      </c>
      <c r="I16077">
        <v>61116180</v>
      </c>
    </row>
    <row r="16078" spans="1:9" x14ac:dyDescent="0.2">
      <c r="A16078" s="1" t="str">
        <f>"SIX2"</f>
        <v>SIX2</v>
      </c>
      <c r="B16078" t="s">
        <v>14</v>
      </c>
      <c r="C16078" t="s">
        <v>26</v>
      </c>
      <c r="D16078" t="s">
        <v>11</v>
      </c>
      <c r="E16078" t="s">
        <v>12</v>
      </c>
      <c r="F16078">
        <v>45236540</v>
      </c>
      <c r="G16078">
        <v>45236577</v>
      </c>
      <c r="H16078">
        <v>45236579</v>
      </c>
      <c r="I16078">
        <v>45236596</v>
      </c>
    </row>
    <row r="16079" spans="1:9" x14ac:dyDescent="0.2">
      <c r="A16079" s="1" t="str">
        <f>"SIX3"</f>
        <v>SIX3</v>
      </c>
      <c r="B16079" t="s">
        <v>14</v>
      </c>
      <c r="C16079" t="s">
        <v>26</v>
      </c>
      <c r="D16079" t="s">
        <v>17</v>
      </c>
      <c r="E16079" t="s">
        <v>12</v>
      </c>
      <c r="F16079">
        <v>45168875</v>
      </c>
      <c r="G16079">
        <v>45168916</v>
      </c>
      <c r="H16079">
        <v>45168834</v>
      </c>
      <c r="I16079">
        <v>45168847</v>
      </c>
    </row>
    <row r="16080" spans="1:9" x14ac:dyDescent="0.2">
      <c r="A16080" s="1" t="str">
        <f>"SIX4"</f>
        <v>SIX4</v>
      </c>
      <c r="B16080" t="s">
        <v>14</v>
      </c>
      <c r="C16080" t="s">
        <v>41</v>
      </c>
      <c r="D16080" t="s">
        <v>11</v>
      </c>
      <c r="E16080" t="s">
        <v>12</v>
      </c>
      <c r="F16080">
        <v>61191018</v>
      </c>
      <c r="G16080">
        <v>61191048</v>
      </c>
      <c r="H16080">
        <v>61191049</v>
      </c>
      <c r="I16080">
        <v>61191080</v>
      </c>
    </row>
    <row r="16081" spans="1:9" x14ac:dyDescent="0.2">
      <c r="A16081" s="1" t="str">
        <f>"SIX5"</f>
        <v>SIX5</v>
      </c>
      <c r="B16081" t="s">
        <v>14</v>
      </c>
      <c r="C16081" t="s">
        <v>10</v>
      </c>
      <c r="D16081" t="s">
        <v>11</v>
      </c>
      <c r="E16081" t="s">
        <v>12</v>
      </c>
      <c r="F16081">
        <v>46272462</v>
      </c>
      <c r="G16081">
        <v>46272562</v>
      </c>
      <c r="H16081">
        <v>46271505</v>
      </c>
      <c r="I16081">
        <v>46271575</v>
      </c>
    </row>
    <row r="16082" spans="1:9" x14ac:dyDescent="0.2">
      <c r="A16082" s="1" t="str">
        <f>"SIX6"</f>
        <v>SIX6</v>
      </c>
      <c r="B16082" t="s">
        <v>14</v>
      </c>
      <c r="C16082" t="s">
        <v>41</v>
      </c>
      <c r="D16082" t="s">
        <v>17</v>
      </c>
      <c r="E16082" t="s">
        <v>12</v>
      </c>
      <c r="F16082">
        <v>60975883</v>
      </c>
      <c r="G16082">
        <v>60975911</v>
      </c>
      <c r="H16082">
        <v>60975858</v>
      </c>
      <c r="I16082">
        <v>60975869</v>
      </c>
    </row>
    <row r="16083" spans="1:9" x14ac:dyDescent="0.2">
      <c r="A16083" s="1" t="str">
        <f>"SKA1"</f>
        <v>SKA1</v>
      </c>
      <c r="B16083" t="s">
        <v>14</v>
      </c>
      <c r="C16083" t="s">
        <v>43</v>
      </c>
      <c r="D16083" t="s">
        <v>17</v>
      </c>
      <c r="E16083" t="s">
        <v>12</v>
      </c>
      <c r="F16083">
        <v>47901433</v>
      </c>
      <c r="G16083">
        <v>47901491</v>
      </c>
      <c r="H16083">
        <v>47901408</v>
      </c>
      <c r="I16083">
        <v>47901430</v>
      </c>
    </row>
    <row r="16084" spans="1:9" x14ac:dyDescent="0.2">
      <c r="A16084" s="1" t="str">
        <f>"SKA2"</f>
        <v>SKA2</v>
      </c>
      <c r="B16084" t="s">
        <v>14</v>
      </c>
      <c r="C16084" t="s">
        <v>28</v>
      </c>
      <c r="D16084" t="s">
        <v>11</v>
      </c>
      <c r="E16084" t="s">
        <v>12</v>
      </c>
      <c r="F16084">
        <v>57232525</v>
      </c>
      <c r="G16084">
        <v>57232584</v>
      </c>
      <c r="H16084">
        <v>57232596</v>
      </c>
      <c r="I16084">
        <v>57232614</v>
      </c>
    </row>
    <row r="16085" spans="1:9" x14ac:dyDescent="0.2">
      <c r="A16085" s="1" t="str">
        <f>"SKA3"</f>
        <v>SKA3</v>
      </c>
      <c r="B16085" t="s">
        <v>14</v>
      </c>
      <c r="C16085" t="s">
        <v>39</v>
      </c>
      <c r="D16085" t="s">
        <v>11</v>
      </c>
      <c r="E16085" t="s">
        <v>12</v>
      </c>
      <c r="F16085">
        <v>21750659</v>
      </c>
      <c r="G16085">
        <v>21750735</v>
      </c>
      <c r="H16085">
        <v>21750622</v>
      </c>
      <c r="I16085">
        <v>21750646</v>
      </c>
    </row>
    <row r="16086" spans="1:9" x14ac:dyDescent="0.2">
      <c r="A16086" s="1" t="str">
        <f>"SKAP1"</f>
        <v>SKAP1</v>
      </c>
      <c r="B16086" t="s">
        <v>14</v>
      </c>
      <c r="C16086" t="s">
        <v>28</v>
      </c>
      <c r="D16086" t="s">
        <v>11</v>
      </c>
      <c r="E16086" t="s">
        <v>12</v>
      </c>
      <c r="F16086">
        <v>46507567</v>
      </c>
      <c r="G16086">
        <v>46507608</v>
      </c>
      <c r="H16086">
        <v>46507537</v>
      </c>
      <c r="I16086">
        <v>46507555</v>
      </c>
    </row>
    <row r="16087" spans="1:9" x14ac:dyDescent="0.2">
      <c r="A16087" s="1" t="str">
        <f>"SKAP2"</f>
        <v>SKAP2</v>
      </c>
      <c r="B16087" t="s">
        <v>14</v>
      </c>
      <c r="C16087" t="s">
        <v>33</v>
      </c>
      <c r="D16087" t="s">
        <v>11</v>
      </c>
      <c r="E16087" t="s">
        <v>12</v>
      </c>
      <c r="F16087">
        <v>26904187</v>
      </c>
      <c r="G16087">
        <v>26904225</v>
      </c>
      <c r="H16087">
        <v>26904228</v>
      </c>
      <c r="I16087">
        <v>26904247</v>
      </c>
    </row>
    <row r="16088" spans="1:9" x14ac:dyDescent="0.2">
      <c r="A16088" s="1" t="str">
        <f>"SKI"</f>
        <v>SKI</v>
      </c>
      <c r="B16088" t="s">
        <v>1541</v>
      </c>
      <c r="C16088" t="s">
        <v>19</v>
      </c>
      <c r="D16088" t="s">
        <v>17</v>
      </c>
      <c r="E16088" t="s">
        <v>35</v>
      </c>
      <c r="F16088">
        <v>2159964</v>
      </c>
      <c r="G16088">
        <v>2159968</v>
      </c>
      <c r="H16088">
        <v>2160313</v>
      </c>
      <c r="I16088">
        <v>2160315</v>
      </c>
    </row>
    <row r="16089" spans="1:9" x14ac:dyDescent="0.2">
      <c r="A16089" s="1" t="str">
        <f>"SKIDA1"</f>
        <v>SKIDA1</v>
      </c>
      <c r="B16089" t="s">
        <v>9</v>
      </c>
      <c r="C16089" t="s">
        <v>15</v>
      </c>
      <c r="D16089" t="s">
        <v>11</v>
      </c>
      <c r="E16089" t="s">
        <v>12</v>
      </c>
      <c r="F16089">
        <v>21807175</v>
      </c>
      <c r="G16089">
        <v>21807210</v>
      </c>
      <c r="H16089">
        <v>21807175</v>
      </c>
      <c r="I16089">
        <v>21807210</v>
      </c>
    </row>
    <row r="16090" spans="1:9" x14ac:dyDescent="0.2">
      <c r="A16090" s="1" t="str">
        <f>"SKIDA1"</f>
        <v>SKIDA1</v>
      </c>
      <c r="B16090" t="s">
        <v>13</v>
      </c>
      <c r="C16090" t="s">
        <v>15</v>
      </c>
      <c r="D16090" t="s">
        <v>11</v>
      </c>
      <c r="E16090" t="s">
        <v>12</v>
      </c>
      <c r="F16090">
        <v>21805816</v>
      </c>
      <c r="G16090">
        <v>21805830</v>
      </c>
      <c r="H16090">
        <v>21805816</v>
      </c>
      <c r="I16090">
        <v>21805830</v>
      </c>
    </row>
    <row r="16091" spans="1:9" x14ac:dyDescent="0.2">
      <c r="A16091" s="1" t="str">
        <f>"SKIL"</f>
        <v>SKIL</v>
      </c>
      <c r="B16091" t="s">
        <v>14</v>
      </c>
      <c r="C16091" t="s">
        <v>22</v>
      </c>
      <c r="D16091" t="s">
        <v>17</v>
      </c>
      <c r="E16091" t="s">
        <v>12</v>
      </c>
      <c r="F16091">
        <v>170075436</v>
      </c>
      <c r="G16091">
        <v>170075520</v>
      </c>
      <c r="H16091">
        <v>170076314</v>
      </c>
      <c r="I16091">
        <v>170076334</v>
      </c>
    </row>
    <row r="16092" spans="1:9" x14ac:dyDescent="0.2">
      <c r="A16092" s="1" t="str">
        <f>"SKIV2L"</f>
        <v>SKIV2L</v>
      </c>
      <c r="B16092" t="s">
        <v>14</v>
      </c>
      <c r="C16092" t="s">
        <v>32</v>
      </c>
      <c r="D16092" t="s">
        <v>17</v>
      </c>
      <c r="E16092" t="s">
        <v>12</v>
      </c>
      <c r="F16092">
        <v>31926907</v>
      </c>
      <c r="G16092">
        <v>31926961</v>
      </c>
      <c r="H16092">
        <v>31926143</v>
      </c>
      <c r="I16092">
        <v>31926163</v>
      </c>
    </row>
    <row r="16093" spans="1:9" x14ac:dyDescent="0.2">
      <c r="A16093" s="1" t="str">
        <f>"SKIV2L2"</f>
        <v>SKIV2L2</v>
      </c>
      <c r="B16093" t="s">
        <v>14</v>
      </c>
      <c r="C16093" t="s">
        <v>46</v>
      </c>
      <c r="D16093" t="s">
        <v>17</v>
      </c>
      <c r="E16093" t="s">
        <v>12</v>
      </c>
      <c r="F16093">
        <v>54603807</v>
      </c>
      <c r="G16093">
        <v>54603843</v>
      </c>
      <c r="H16093">
        <v>54603590</v>
      </c>
      <c r="I16093">
        <v>54603637</v>
      </c>
    </row>
    <row r="16094" spans="1:9" x14ac:dyDescent="0.2">
      <c r="A16094" s="1" t="str">
        <f>"SKOR1"</f>
        <v>SKOR1</v>
      </c>
      <c r="B16094" t="s">
        <v>14</v>
      </c>
      <c r="C16094" t="s">
        <v>25</v>
      </c>
      <c r="D16094" t="s">
        <v>17</v>
      </c>
      <c r="E16094" t="s">
        <v>12</v>
      </c>
      <c r="F16094">
        <v>68115672</v>
      </c>
      <c r="G16094">
        <v>68115691</v>
      </c>
      <c r="H16094">
        <v>68115921</v>
      </c>
      <c r="I16094">
        <v>68115938</v>
      </c>
    </row>
    <row r="16095" spans="1:9" x14ac:dyDescent="0.2">
      <c r="A16095" s="1" t="str">
        <f>"SKOR2"</f>
        <v>SKOR2</v>
      </c>
      <c r="B16095" t="s">
        <v>1542</v>
      </c>
      <c r="C16095" t="s">
        <v>43</v>
      </c>
      <c r="D16095" t="s">
        <v>11</v>
      </c>
      <c r="E16095" t="s">
        <v>20</v>
      </c>
      <c r="F16095">
        <v>44775553</v>
      </c>
      <c r="G16095">
        <v>44775553</v>
      </c>
      <c r="H16095">
        <v>44775553</v>
      </c>
      <c r="I16095">
        <v>44775553</v>
      </c>
    </row>
    <row r="16096" spans="1:9" x14ac:dyDescent="0.2">
      <c r="A16096" s="1" t="str">
        <f>"SKP1"</f>
        <v>SKP1</v>
      </c>
      <c r="B16096" t="s">
        <v>14</v>
      </c>
      <c r="C16096" t="s">
        <v>46</v>
      </c>
      <c r="D16096" t="s">
        <v>11</v>
      </c>
      <c r="E16096" t="s">
        <v>12</v>
      </c>
      <c r="F16096">
        <v>133512634</v>
      </c>
      <c r="G16096">
        <v>133512652</v>
      </c>
      <c r="H16096">
        <v>133512634</v>
      </c>
      <c r="I16096">
        <v>133512652</v>
      </c>
    </row>
    <row r="16097" spans="1:9" x14ac:dyDescent="0.2">
      <c r="A16097" s="1" t="str">
        <f>"SKP2"</f>
        <v>SKP2</v>
      </c>
      <c r="B16097" t="s">
        <v>14</v>
      </c>
      <c r="C16097" t="s">
        <v>46</v>
      </c>
      <c r="D16097" t="s">
        <v>17</v>
      </c>
      <c r="E16097" t="s">
        <v>12</v>
      </c>
      <c r="F16097">
        <v>36152179</v>
      </c>
      <c r="G16097">
        <v>36152277</v>
      </c>
      <c r="H16097">
        <v>36152163</v>
      </c>
      <c r="I16097">
        <v>36152174</v>
      </c>
    </row>
    <row r="16098" spans="1:9" x14ac:dyDescent="0.2">
      <c r="A16098" s="1" t="str">
        <f>"SLA"</f>
        <v>SLA</v>
      </c>
      <c r="B16098" t="s">
        <v>14</v>
      </c>
      <c r="C16098" t="s">
        <v>30</v>
      </c>
      <c r="D16098" t="s">
        <v>11</v>
      </c>
      <c r="E16098" t="s">
        <v>12</v>
      </c>
      <c r="F16098">
        <v>134087265</v>
      </c>
      <c r="G16098">
        <v>134087279</v>
      </c>
      <c r="H16098">
        <v>134087191</v>
      </c>
      <c r="I16098">
        <v>134087208</v>
      </c>
    </row>
    <row r="16099" spans="1:9" x14ac:dyDescent="0.2">
      <c r="A16099" s="1" t="str">
        <f>"SLA2"</f>
        <v>SLA2</v>
      </c>
      <c r="B16099" t="s">
        <v>14</v>
      </c>
      <c r="C16099" t="s">
        <v>29</v>
      </c>
      <c r="D16099" t="s">
        <v>11</v>
      </c>
      <c r="E16099" t="s">
        <v>12</v>
      </c>
      <c r="F16099">
        <v>35274548</v>
      </c>
      <c r="G16099">
        <v>35274622</v>
      </c>
      <c r="H16099">
        <v>35274548</v>
      </c>
      <c r="I16099">
        <v>35274622</v>
      </c>
    </row>
    <row r="16100" spans="1:9" x14ac:dyDescent="0.2">
      <c r="A16100" s="1" t="str">
        <f>"SLAIN1"</f>
        <v>SLAIN1</v>
      </c>
      <c r="B16100" t="s">
        <v>1543</v>
      </c>
      <c r="C16100" t="s">
        <v>39</v>
      </c>
      <c r="D16100" t="s">
        <v>17</v>
      </c>
      <c r="E16100" t="s">
        <v>35</v>
      </c>
      <c r="F16100">
        <v>78315320</v>
      </c>
      <c r="G16100">
        <v>78315337</v>
      </c>
      <c r="H16100">
        <v>78315528</v>
      </c>
      <c r="I16100">
        <v>78315543</v>
      </c>
    </row>
    <row r="16101" spans="1:9" x14ac:dyDescent="0.2">
      <c r="A16101" s="1" t="str">
        <f>"SLAIN1"</f>
        <v>SLAIN1</v>
      </c>
      <c r="B16101" t="s">
        <v>1544</v>
      </c>
      <c r="C16101" t="s">
        <v>39</v>
      </c>
      <c r="D16101" t="s">
        <v>17</v>
      </c>
      <c r="E16101" t="s">
        <v>35</v>
      </c>
      <c r="F16101">
        <v>78317072</v>
      </c>
      <c r="G16101">
        <v>78317095</v>
      </c>
      <c r="H16101">
        <v>78317234</v>
      </c>
      <c r="I16101">
        <v>78317240</v>
      </c>
    </row>
    <row r="16102" spans="1:9" x14ac:dyDescent="0.2">
      <c r="A16102" s="1" t="str">
        <f>"SLAIN2"</f>
        <v>SLAIN2</v>
      </c>
      <c r="B16102" t="s">
        <v>14</v>
      </c>
      <c r="C16102" t="s">
        <v>23</v>
      </c>
      <c r="D16102" t="s">
        <v>17</v>
      </c>
      <c r="E16102" t="s">
        <v>12</v>
      </c>
      <c r="F16102">
        <v>48343523</v>
      </c>
      <c r="G16102">
        <v>48343598</v>
      </c>
      <c r="H16102">
        <v>48343479</v>
      </c>
      <c r="I16102">
        <v>48343513</v>
      </c>
    </row>
    <row r="16103" spans="1:9" x14ac:dyDescent="0.2">
      <c r="A16103" s="1" t="str">
        <f>"SLAMF1"</f>
        <v>SLAMF1</v>
      </c>
      <c r="B16103" t="s">
        <v>14</v>
      </c>
      <c r="C16103" t="s">
        <v>19</v>
      </c>
      <c r="D16103" t="s">
        <v>11</v>
      </c>
      <c r="E16103" t="s">
        <v>12</v>
      </c>
      <c r="F16103">
        <v>160616804</v>
      </c>
      <c r="G16103">
        <v>160616822</v>
      </c>
      <c r="H16103">
        <v>160616827</v>
      </c>
      <c r="I16103">
        <v>160616851</v>
      </c>
    </row>
    <row r="16104" spans="1:9" x14ac:dyDescent="0.2">
      <c r="A16104" s="1" t="str">
        <f>"SLAMF6"</f>
        <v>SLAMF6</v>
      </c>
      <c r="B16104" t="s">
        <v>14</v>
      </c>
      <c r="C16104" t="s">
        <v>19</v>
      </c>
      <c r="D16104" t="s">
        <v>11</v>
      </c>
      <c r="E16104" t="s">
        <v>12</v>
      </c>
      <c r="F16104">
        <v>160492994</v>
      </c>
      <c r="G16104">
        <v>160493057</v>
      </c>
      <c r="H16104">
        <v>160492994</v>
      </c>
      <c r="I16104">
        <v>160493057</v>
      </c>
    </row>
    <row r="16105" spans="1:9" x14ac:dyDescent="0.2">
      <c r="A16105" s="1" t="str">
        <f>"SLAMF7"</f>
        <v>SLAMF7</v>
      </c>
      <c r="B16105" t="s">
        <v>14</v>
      </c>
      <c r="C16105" t="s">
        <v>19</v>
      </c>
      <c r="D16105" t="s">
        <v>17</v>
      </c>
      <c r="E16105" t="s">
        <v>12</v>
      </c>
      <c r="F16105">
        <v>160709029</v>
      </c>
      <c r="G16105">
        <v>160709047</v>
      </c>
      <c r="H16105">
        <v>160709055</v>
      </c>
      <c r="I16105">
        <v>160709074</v>
      </c>
    </row>
    <row r="16106" spans="1:9" x14ac:dyDescent="0.2">
      <c r="A16106" s="1" t="str">
        <f>"SLAMF8"</f>
        <v>SLAMF8</v>
      </c>
      <c r="B16106" t="s">
        <v>14</v>
      </c>
      <c r="C16106" t="s">
        <v>19</v>
      </c>
      <c r="D16106" t="s">
        <v>17</v>
      </c>
      <c r="E16106" t="s">
        <v>12</v>
      </c>
      <c r="F16106">
        <v>159796650</v>
      </c>
      <c r="G16106">
        <v>159796690</v>
      </c>
      <c r="H16106">
        <v>159796589</v>
      </c>
      <c r="I16106">
        <v>159796617</v>
      </c>
    </row>
    <row r="16107" spans="1:9" x14ac:dyDescent="0.2">
      <c r="A16107" s="1" t="str">
        <f>"SLAMF9"</f>
        <v>SLAMF9</v>
      </c>
      <c r="B16107" t="s">
        <v>14</v>
      </c>
      <c r="C16107" t="s">
        <v>19</v>
      </c>
      <c r="D16107" t="s">
        <v>11</v>
      </c>
      <c r="E16107" t="s">
        <v>12</v>
      </c>
      <c r="F16107">
        <v>159924006</v>
      </c>
      <c r="G16107">
        <v>159924041</v>
      </c>
      <c r="H16107">
        <v>159923976</v>
      </c>
      <c r="I16107">
        <v>159923997</v>
      </c>
    </row>
    <row r="16108" spans="1:9" x14ac:dyDescent="0.2">
      <c r="A16108" s="1" t="str">
        <f>"SLBP"</f>
        <v>SLBP</v>
      </c>
      <c r="B16108" t="s">
        <v>14</v>
      </c>
      <c r="C16108" t="s">
        <v>23</v>
      </c>
      <c r="D16108" t="s">
        <v>11</v>
      </c>
      <c r="E16108" t="s">
        <v>12</v>
      </c>
      <c r="F16108">
        <v>1714037</v>
      </c>
      <c r="G16108">
        <v>1714052</v>
      </c>
      <c r="H16108">
        <v>1713981</v>
      </c>
      <c r="I16108">
        <v>1713992</v>
      </c>
    </row>
    <row r="16109" spans="1:9" x14ac:dyDescent="0.2">
      <c r="A16109" s="1" t="str">
        <f>"SLC10A1"</f>
        <v>SLC10A1</v>
      </c>
      <c r="B16109" t="s">
        <v>14</v>
      </c>
      <c r="C16109" t="s">
        <v>41</v>
      </c>
      <c r="D16109" t="s">
        <v>11</v>
      </c>
      <c r="E16109" t="s">
        <v>12</v>
      </c>
      <c r="F16109">
        <v>70263949</v>
      </c>
      <c r="G16109">
        <v>70263975</v>
      </c>
      <c r="H16109">
        <v>70263979</v>
      </c>
      <c r="I16109">
        <v>70264009</v>
      </c>
    </row>
    <row r="16110" spans="1:9" x14ac:dyDescent="0.2">
      <c r="A16110" s="1" t="str">
        <f>"SLC10A2"</f>
        <v>SLC10A2</v>
      </c>
      <c r="B16110" t="s">
        <v>14</v>
      </c>
      <c r="C16110" t="s">
        <v>39</v>
      </c>
      <c r="D16110" t="s">
        <v>11</v>
      </c>
      <c r="E16110" t="s">
        <v>12</v>
      </c>
      <c r="F16110">
        <v>103718674</v>
      </c>
      <c r="G16110">
        <v>103718686</v>
      </c>
      <c r="H16110">
        <v>103718674</v>
      </c>
      <c r="I16110">
        <v>103718686</v>
      </c>
    </row>
    <row r="16111" spans="1:9" x14ac:dyDescent="0.2">
      <c r="A16111" s="1" t="str">
        <f>"SLC10A3"</f>
        <v>SLC10A3</v>
      </c>
      <c r="B16111" t="s">
        <v>14</v>
      </c>
      <c r="C16111" t="s">
        <v>37</v>
      </c>
      <c r="D16111" t="s">
        <v>11</v>
      </c>
      <c r="E16111" t="s">
        <v>12</v>
      </c>
      <c r="F16111">
        <v>153718961</v>
      </c>
      <c r="G16111">
        <v>153718975</v>
      </c>
      <c r="H16111">
        <v>153718988</v>
      </c>
      <c r="I16111">
        <v>153719008</v>
      </c>
    </row>
    <row r="16112" spans="1:9" x14ac:dyDescent="0.2">
      <c r="A16112" s="1" t="str">
        <f>"SLC10A4"</f>
        <v>SLC10A4</v>
      </c>
      <c r="B16112" t="s">
        <v>14</v>
      </c>
      <c r="C16112" t="s">
        <v>23</v>
      </c>
      <c r="D16112" t="s">
        <v>17</v>
      </c>
      <c r="E16112" t="s">
        <v>12</v>
      </c>
      <c r="F16112">
        <v>48485341</v>
      </c>
      <c r="G16112">
        <v>48485394</v>
      </c>
      <c r="H16112">
        <v>48485486</v>
      </c>
      <c r="I16112">
        <v>48485499</v>
      </c>
    </row>
    <row r="16113" spans="1:9" x14ac:dyDescent="0.2">
      <c r="A16113" s="1" t="str">
        <f>"SLC10A5"</f>
        <v>SLC10A5</v>
      </c>
      <c r="B16113" t="s">
        <v>14</v>
      </c>
      <c r="C16113" t="s">
        <v>30</v>
      </c>
      <c r="D16113" t="s">
        <v>11</v>
      </c>
      <c r="E16113" t="s">
        <v>12</v>
      </c>
      <c r="F16113">
        <v>82607281</v>
      </c>
      <c r="G16113">
        <v>82607309</v>
      </c>
      <c r="H16113">
        <v>82607281</v>
      </c>
      <c r="I16113">
        <v>82607309</v>
      </c>
    </row>
    <row r="16114" spans="1:9" x14ac:dyDescent="0.2">
      <c r="A16114" s="1" t="str">
        <f>"SLC10A6"</f>
        <v>SLC10A6</v>
      </c>
      <c r="B16114" t="s">
        <v>14</v>
      </c>
      <c r="C16114" t="s">
        <v>23</v>
      </c>
      <c r="D16114" t="s">
        <v>11</v>
      </c>
      <c r="E16114" t="s">
        <v>12</v>
      </c>
      <c r="F16114">
        <v>87770519</v>
      </c>
      <c r="G16114">
        <v>87770542</v>
      </c>
      <c r="H16114">
        <v>87770290</v>
      </c>
      <c r="I16114">
        <v>87770304</v>
      </c>
    </row>
    <row r="16115" spans="1:9" x14ac:dyDescent="0.2">
      <c r="A16115" s="1" t="str">
        <f>"SLC10A7"</f>
        <v>SLC10A7</v>
      </c>
      <c r="B16115" t="s">
        <v>14</v>
      </c>
      <c r="C16115" t="s">
        <v>23</v>
      </c>
      <c r="D16115" t="s">
        <v>11</v>
      </c>
      <c r="E16115" t="s">
        <v>12</v>
      </c>
      <c r="F16115">
        <v>147443043</v>
      </c>
      <c r="G16115">
        <v>147443113</v>
      </c>
      <c r="H16115">
        <v>147443001</v>
      </c>
      <c r="I16115">
        <v>147443019</v>
      </c>
    </row>
    <row r="16116" spans="1:9" x14ac:dyDescent="0.2">
      <c r="A16116" s="1" t="str">
        <f>"SLC11A1"</f>
        <v>SLC11A1</v>
      </c>
      <c r="B16116" t="s">
        <v>14</v>
      </c>
      <c r="C16116" t="s">
        <v>26</v>
      </c>
      <c r="D16116" t="s">
        <v>17</v>
      </c>
      <c r="E16116" t="s">
        <v>12</v>
      </c>
      <c r="F16116">
        <v>219246988</v>
      </c>
      <c r="G16116">
        <v>219247016</v>
      </c>
      <c r="H16116">
        <v>219246930</v>
      </c>
      <c r="I16116">
        <v>219246965</v>
      </c>
    </row>
    <row r="16117" spans="1:9" x14ac:dyDescent="0.2">
      <c r="A16117" s="1" t="str">
        <f>"SLC11A2"</f>
        <v>SLC11A2</v>
      </c>
      <c r="B16117" t="s">
        <v>9</v>
      </c>
      <c r="C16117" t="s">
        <v>16</v>
      </c>
      <c r="D16117" t="s">
        <v>11</v>
      </c>
      <c r="E16117" t="s">
        <v>12</v>
      </c>
      <c r="F16117">
        <v>51420128</v>
      </c>
      <c r="G16117">
        <v>51420181</v>
      </c>
      <c r="H16117">
        <v>51420128</v>
      </c>
      <c r="I16117">
        <v>51420181</v>
      </c>
    </row>
    <row r="16118" spans="1:9" x14ac:dyDescent="0.2">
      <c r="A16118" s="1" t="str">
        <f>"SLC11A2"</f>
        <v>SLC11A2</v>
      </c>
      <c r="B16118" t="s">
        <v>13</v>
      </c>
      <c r="C16118" t="s">
        <v>16</v>
      </c>
      <c r="D16118" t="s">
        <v>11</v>
      </c>
      <c r="E16118" t="s">
        <v>12</v>
      </c>
      <c r="F16118">
        <v>51402984</v>
      </c>
      <c r="G16118">
        <v>51403042</v>
      </c>
      <c r="H16118">
        <v>51402984</v>
      </c>
      <c r="I16118">
        <v>51403042</v>
      </c>
    </row>
    <row r="16119" spans="1:9" x14ac:dyDescent="0.2">
      <c r="A16119" s="1" t="str">
        <f>"SLC12A1"</f>
        <v>SLC12A1</v>
      </c>
      <c r="B16119" t="s">
        <v>9</v>
      </c>
      <c r="C16119" t="s">
        <v>25</v>
      </c>
      <c r="D16119" t="s">
        <v>17</v>
      </c>
      <c r="E16119" t="s">
        <v>12</v>
      </c>
      <c r="F16119">
        <v>48498480</v>
      </c>
      <c r="G16119">
        <v>48498500</v>
      </c>
      <c r="H16119">
        <v>48498480</v>
      </c>
      <c r="I16119">
        <v>48498500</v>
      </c>
    </row>
    <row r="16120" spans="1:9" x14ac:dyDescent="0.2">
      <c r="A16120" s="1" t="str">
        <f>"SLC12A1"</f>
        <v>SLC12A1</v>
      </c>
      <c r="B16120" t="s">
        <v>13</v>
      </c>
      <c r="C16120" t="s">
        <v>25</v>
      </c>
      <c r="D16120" t="s">
        <v>17</v>
      </c>
      <c r="E16120" t="s">
        <v>12</v>
      </c>
      <c r="F16120">
        <v>48483855</v>
      </c>
      <c r="G16120">
        <v>48483892</v>
      </c>
      <c r="H16120">
        <v>48483855</v>
      </c>
      <c r="I16120">
        <v>48483892</v>
      </c>
    </row>
    <row r="16121" spans="1:9" x14ac:dyDescent="0.2">
      <c r="A16121" s="1" t="str">
        <f>"SLC12A2"</f>
        <v>SLC12A2</v>
      </c>
      <c r="B16121" t="s">
        <v>14</v>
      </c>
      <c r="C16121" t="s">
        <v>46</v>
      </c>
      <c r="D16121" t="s">
        <v>17</v>
      </c>
      <c r="E16121" t="s">
        <v>12</v>
      </c>
      <c r="F16121">
        <v>127419449</v>
      </c>
      <c r="G16121">
        <v>127419465</v>
      </c>
      <c r="H16121">
        <v>127419113</v>
      </c>
      <c r="I16121">
        <v>127419214</v>
      </c>
    </row>
    <row r="16122" spans="1:9" x14ac:dyDescent="0.2">
      <c r="A16122" s="1" t="str">
        <f>"SLC12A3"</f>
        <v>SLC12A3</v>
      </c>
      <c r="B16122" t="s">
        <v>14</v>
      </c>
      <c r="C16122" t="s">
        <v>31</v>
      </c>
      <c r="D16122" t="s">
        <v>17</v>
      </c>
      <c r="E16122" t="s">
        <v>12</v>
      </c>
      <c r="F16122">
        <v>56899114</v>
      </c>
      <c r="G16122">
        <v>56899127</v>
      </c>
      <c r="H16122">
        <v>56899114</v>
      </c>
      <c r="I16122">
        <v>56899127</v>
      </c>
    </row>
    <row r="16123" spans="1:9" x14ac:dyDescent="0.2">
      <c r="A16123" s="1" t="str">
        <f>"SLC12A4"</f>
        <v>SLC12A4</v>
      </c>
      <c r="B16123" t="s">
        <v>9</v>
      </c>
      <c r="C16123" t="s">
        <v>31</v>
      </c>
      <c r="D16123" t="s">
        <v>11</v>
      </c>
      <c r="E16123" t="s">
        <v>12</v>
      </c>
      <c r="F16123">
        <v>68002493</v>
      </c>
      <c r="G16123">
        <v>68002558</v>
      </c>
      <c r="H16123">
        <v>68002493</v>
      </c>
      <c r="I16123">
        <v>68002558</v>
      </c>
    </row>
    <row r="16124" spans="1:9" x14ac:dyDescent="0.2">
      <c r="A16124" s="1" t="str">
        <f>"SLC12A4"</f>
        <v>SLC12A4</v>
      </c>
      <c r="B16124" t="s">
        <v>13</v>
      </c>
      <c r="C16124" t="s">
        <v>31</v>
      </c>
      <c r="D16124" t="s">
        <v>11</v>
      </c>
      <c r="E16124" t="s">
        <v>12</v>
      </c>
      <c r="F16124">
        <v>68000690</v>
      </c>
      <c r="G16124">
        <v>68000714</v>
      </c>
      <c r="H16124">
        <v>68000690</v>
      </c>
      <c r="I16124">
        <v>68000714</v>
      </c>
    </row>
    <row r="16125" spans="1:9" x14ac:dyDescent="0.2">
      <c r="A16125" s="1" t="str">
        <f>"SLC12A5"</f>
        <v>SLC12A5</v>
      </c>
      <c r="B16125" t="s">
        <v>9</v>
      </c>
      <c r="C16125" t="s">
        <v>29</v>
      </c>
      <c r="D16125" t="s">
        <v>17</v>
      </c>
      <c r="E16125" t="s">
        <v>12</v>
      </c>
      <c r="F16125">
        <v>44650313</v>
      </c>
      <c r="G16125">
        <v>44650344</v>
      </c>
      <c r="H16125">
        <v>44650313</v>
      </c>
      <c r="I16125">
        <v>44650344</v>
      </c>
    </row>
    <row r="16126" spans="1:9" x14ac:dyDescent="0.2">
      <c r="A16126" s="1" t="str">
        <f>"SLC12A5"</f>
        <v>SLC12A5</v>
      </c>
      <c r="B16126" t="s">
        <v>13</v>
      </c>
      <c r="C16126" t="s">
        <v>29</v>
      </c>
      <c r="D16126" t="s">
        <v>17</v>
      </c>
      <c r="E16126" t="s">
        <v>12</v>
      </c>
      <c r="F16126">
        <v>44657845</v>
      </c>
      <c r="G16126">
        <v>44657902</v>
      </c>
      <c r="H16126">
        <v>44657845</v>
      </c>
      <c r="I16126">
        <v>44657902</v>
      </c>
    </row>
    <row r="16127" spans="1:9" x14ac:dyDescent="0.2">
      <c r="A16127" s="1" t="str">
        <f>"SLC12A6"</f>
        <v>SLC12A6</v>
      </c>
      <c r="B16127" t="s">
        <v>9</v>
      </c>
      <c r="C16127" t="s">
        <v>25</v>
      </c>
      <c r="D16127" t="s">
        <v>11</v>
      </c>
      <c r="E16127" t="s">
        <v>12</v>
      </c>
      <c r="F16127">
        <v>34610962</v>
      </c>
      <c r="G16127">
        <v>34611039</v>
      </c>
      <c r="H16127">
        <v>34610962</v>
      </c>
      <c r="I16127">
        <v>34611039</v>
      </c>
    </row>
    <row r="16128" spans="1:9" x14ac:dyDescent="0.2">
      <c r="A16128" s="1" t="str">
        <f>"SLC12A6"</f>
        <v>SLC12A6</v>
      </c>
      <c r="B16128" t="s">
        <v>13</v>
      </c>
      <c r="C16128" t="s">
        <v>25</v>
      </c>
      <c r="D16128" t="s">
        <v>11</v>
      </c>
      <c r="E16128" t="s">
        <v>12</v>
      </c>
      <c r="F16128">
        <v>34630146</v>
      </c>
      <c r="G16128">
        <v>34630232</v>
      </c>
      <c r="H16128">
        <v>34630146</v>
      </c>
      <c r="I16128">
        <v>34630232</v>
      </c>
    </row>
    <row r="16129" spans="1:9" x14ac:dyDescent="0.2">
      <c r="A16129" s="1" t="str">
        <f>"SLC12A7"</f>
        <v>SLC12A7</v>
      </c>
      <c r="B16129" t="s">
        <v>14</v>
      </c>
      <c r="C16129" t="s">
        <v>46</v>
      </c>
      <c r="D16129" t="s">
        <v>11</v>
      </c>
      <c r="E16129" t="s">
        <v>12</v>
      </c>
      <c r="F16129">
        <v>1112141</v>
      </c>
      <c r="G16129">
        <v>1112164</v>
      </c>
      <c r="H16129">
        <v>1112166</v>
      </c>
      <c r="I16129">
        <v>1112190</v>
      </c>
    </row>
    <row r="16130" spans="1:9" x14ac:dyDescent="0.2">
      <c r="A16130" s="1" t="str">
        <f>"SLC12A8"</f>
        <v>SLC12A8</v>
      </c>
      <c r="B16130" t="s">
        <v>1545</v>
      </c>
      <c r="C16130" t="s">
        <v>22</v>
      </c>
      <c r="D16130" t="s">
        <v>11</v>
      </c>
      <c r="E16130" t="s">
        <v>20</v>
      </c>
      <c r="F16130">
        <v>124930242</v>
      </c>
      <c r="G16130">
        <v>124930242</v>
      </c>
      <c r="H16130">
        <v>124930242</v>
      </c>
      <c r="I16130">
        <v>124930242</v>
      </c>
    </row>
    <row r="16131" spans="1:9" x14ac:dyDescent="0.2">
      <c r="A16131" s="1" t="str">
        <f>"SLC12A8"</f>
        <v>SLC12A8</v>
      </c>
      <c r="B16131" t="s">
        <v>1546</v>
      </c>
      <c r="C16131" t="s">
        <v>22</v>
      </c>
      <c r="D16131" t="s">
        <v>11</v>
      </c>
      <c r="E16131" t="s">
        <v>35</v>
      </c>
      <c r="F16131">
        <v>124931637</v>
      </c>
      <c r="G16131">
        <v>124931641</v>
      </c>
      <c r="H16131">
        <v>124931564</v>
      </c>
      <c r="I16131">
        <v>124931597</v>
      </c>
    </row>
    <row r="16132" spans="1:9" x14ac:dyDescent="0.2">
      <c r="A16132" s="1" t="str">
        <f>"SLC12A9"</f>
        <v>SLC12A9</v>
      </c>
      <c r="B16132" t="s">
        <v>9</v>
      </c>
      <c r="C16132" t="s">
        <v>33</v>
      </c>
      <c r="D16132" t="s">
        <v>17</v>
      </c>
      <c r="E16132" t="s">
        <v>12</v>
      </c>
      <c r="F16132">
        <v>100450328</v>
      </c>
      <c r="G16132">
        <v>100450398</v>
      </c>
      <c r="H16132">
        <v>100450328</v>
      </c>
      <c r="I16132">
        <v>100450398</v>
      </c>
    </row>
    <row r="16133" spans="1:9" x14ac:dyDescent="0.2">
      <c r="A16133" s="1" t="str">
        <f>"SLC12A9"</f>
        <v>SLC12A9</v>
      </c>
      <c r="B16133" t="s">
        <v>13</v>
      </c>
      <c r="C16133" t="s">
        <v>33</v>
      </c>
      <c r="D16133" t="s">
        <v>17</v>
      </c>
      <c r="E16133" t="s">
        <v>12</v>
      </c>
      <c r="F16133">
        <v>100424598</v>
      </c>
      <c r="G16133">
        <v>100424633</v>
      </c>
      <c r="H16133">
        <v>100424598</v>
      </c>
      <c r="I16133">
        <v>100424633</v>
      </c>
    </row>
    <row r="16134" spans="1:9" x14ac:dyDescent="0.2">
      <c r="A16134" s="1" t="str">
        <f>"SLC13A1"</f>
        <v>SLC13A1</v>
      </c>
      <c r="B16134" t="s">
        <v>14</v>
      </c>
      <c r="C16134" t="s">
        <v>33</v>
      </c>
      <c r="D16134" t="s">
        <v>11</v>
      </c>
      <c r="E16134" t="s">
        <v>12</v>
      </c>
      <c r="F16134">
        <v>122840015</v>
      </c>
      <c r="G16134">
        <v>122840028</v>
      </c>
      <c r="H16134">
        <v>122840015</v>
      </c>
      <c r="I16134">
        <v>122840028</v>
      </c>
    </row>
    <row r="16135" spans="1:9" x14ac:dyDescent="0.2">
      <c r="A16135" s="1" t="str">
        <f>"SLC13A2"</f>
        <v>SLC13A2</v>
      </c>
      <c r="B16135" t="s">
        <v>14</v>
      </c>
      <c r="C16135" t="s">
        <v>28</v>
      </c>
      <c r="D16135" t="s">
        <v>17</v>
      </c>
      <c r="E16135" t="s">
        <v>12</v>
      </c>
      <c r="F16135">
        <v>26800648</v>
      </c>
      <c r="G16135">
        <v>26800686</v>
      </c>
      <c r="H16135">
        <v>26800693</v>
      </c>
      <c r="I16135">
        <v>26800705</v>
      </c>
    </row>
    <row r="16136" spans="1:9" x14ac:dyDescent="0.2">
      <c r="A16136" s="1" t="str">
        <f>"SLC13A3"</f>
        <v>SLC13A3</v>
      </c>
      <c r="B16136" t="s">
        <v>14</v>
      </c>
      <c r="C16136" t="s">
        <v>29</v>
      </c>
      <c r="D16136" t="s">
        <v>11</v>
      </c>
      <c r="E16136" t="s">
        <v>12</v>
      </c>
      <c r="F16136">
        <v>45280091</v>
      </c>
      <c r="G16136">
        <v>45280105</v>
      </c>
      <c r="H16136">
        <v>45280091</v>
      </c>
      <c r="I16136">
        <v>45280105</v>
      </c>
    </row>
    <row r="16137" spans="1:9" x14ac:dyDescent="0.2">
      <c r="A16137" s="1" t="str">
        <f>"SLC13A4"</f>
        <v>SLC13A4</v>
      </c>
      <c r="B16137" t="s">
        <v>14</v>
      </c>
      <c r="C16137" t="s">
        <v>33</v>
      </c>
      <c r="D16137" t="s">
        <v>11</v>
      </c>
      <c r="E16137" t="s">
        <v>12</v>
      </c>
      <c r="F16137">
        <v>135412925</v>
      </c>
      <c r="G16137">
        <v>135412944</v>
      </c>
      <c r="H16137">
        <v>135412925</v>
      </c>
      <c r="I16137">
        <v>135412944</v>
      </c>
    </row>
    <row r="16138" spans="1:9" x14ac:dyDescent="0.2">
      <c r="A16138" s="1" t="str">
        <f>"SLC13A5"</f>
        <v>SLC13A5</v>
      </c>
      <c r="B16138" t="s">
        <v>14</v>
      </c>
      <c r="C16138" t="s">
        <v>28</v>
      </c>
      <c r="D16138" t="s">
        <v>11</v>
      </c>
      <c r="E16138" t="s">
        <v>12</v>
      </c>
      <c r="F16138">
        <v>6616678</v>
      </c>
      <c r="G16138">
        <v>6616695</v>
      </c>
      <c r="H16138">
        <v>6616589</v>
      </c>
      <c r="I16138">
        <v>6616614</v>
      </c>
    </row>
    <row r="16139" spans="1:9" x14ac:dyDescent="0.2">
      <c r="A16139" s="1" t="str">
        <f>"SLC14A1"</f>
        <v>SLC14A1</v>
      </c>
      <c r="B16139" t="s">
        <v>14</v>
      </c>
      <c r="C16139" t="s">
        <v>43</v>
      </c>
      <c r="D16139" t="s">
        <v>17</v>
      </c>
      <c r="E16139" t="s">
        <v>12</v>
      </c>
      <c r="F16139">
        <v>43304137</v>
      </c>
      <c r="G16139">
        <v>43304155</v>
      </c>
      <c r="H16139">
        <v>43304110</v>
      </c>
      <c r="I16139">
        <v>43304121</v>
      </c>
    </row>
    <row r="16140" spans="1:9" x14ac:dyDescent="0.2">
      <c r="A16140" s="1" t="str">
        <f>"SLC14A2"</f>
        <v>SLC14A2</v>
      </c>
      <c r="B16140" t="s">
        <v>14</v>
      </c>
      <c r="C16140" t="s">
        <v>43</v>
      </c>
      <c r="D16140" t="s">
        <v>17</v>
      </c>
      <c r="E16140" t="s">
        <v>12</v>
      </c>
      <c r="F16140">
        <v>42792923</v>
      </c>
      <c r="G16140">
        <v>42792963</v>
      </c>
      <c r="H16140">
        <v>42792923</v>
      </c>
      <c r="I16140">
        <v>42792963</v>
      </c>
    </row>
    <row r="16141" spans="1:9" x14ac:dyDescent="0.2">
      <c r="A16141" s="1" t="str">
        <f>"SLC15A1"</f>
        <v>SLC15A1</v>
      </c>
      <c r="B16141" t="s">
        <v>14</v>
      </c>
      <c r="C16141" t="s">
        <v>39</v>
      </c>
      <c r="D16141" t="s">
        <v>11</v>
      </c>
      <c r="E16141" t="s">
        <v>12</v>
      </c>
      <c r="F16141">
        <v>99404875</v>
      </c>
      <c r="G16141">
        <v>99404942</v>
      </c>
      <c r="H16141">
        <v>99404875</v>
      </c>
      <c r="I16141">
        <v>99404942</v>
      </c>
    </row>
    <row r="16142" spans="1:9" x14ac:dyDescent="0.2">
      <c r="A16142" s="1" t="str">
        <f>"SLC15A2"</f>
        <v>SLC15A2</v>
      </c>
      <c r="B16142" t="s">
        <v>14</v>
      </c>
      <c r="C16142" t="s">
        <v>22</v>
      </c>
      <c r="D16142" t="s">
        <v>17</v>
      </c>
      <c r="E16142" t="s">
        <v>12</v>
      </c>
      <c r="F16142">
        <v>121613265</v>
      </c>
      <c r="G16142">
        <v>121613295</v>
      </c>
      <c r="H16142">
        <v>121613224</v>
      </c>
      <c r="I16142">
        <v>121613254</v>
      </c>
    </row>
    <row r="16143" spans="1:9" x14ac:dyDescent="0.2">
      <c r="A16143" s="1" t="str">
        <f>"SLC15A3"</f>
        <v>SLC15A3</v>
      </c>
      <c r="B16143" t="s">
        <v>14</v>
      </c>
      <c r="C16143" t="s">
        <v>27</v>
      </c>
      <c r="D16143" t="s">
        <v>11</v>
      </c>
      <c r="E16143" t="s">
        <v>12</v>
      </c>
      <c r="F16143">
        <v>60719607</v>
      </c>
      <c r="G16143">
        <v>60719659</v>
      </c>
      <c r="H16143">
        <v>60720032</v>
      </c>
      <c r="I16143">
        <v>60720060</v>
      </c>
    </row>
    <row r="16144" spans="1:9" x14ac:dyDescent="0.2">
      <c r="A16144" s="1" t="str">
        <f>"SLC15A4"</f>
        <v>SLC15A4</v>
      </c>
      <c r="B16144" t="s">
        <v>14</v>
      </c>
      <c r="C16144" t="s">
        <v>16</v>
      </c>
      <c r="D16144" t="s">
        <v>11</v>
      </c>
      <c r="E16144" t="s">
        <v>12</v>
      </c>
      <c r="F16144">
        <v>129308487</v>
      </c>
      <c r="G16144">
        <v>129308588</v>
      </c>
      <c r="H16144">
        <v>129308455</v>
      </c>
      <c r="I16144">
        <v>129308482</v>
      </c>
    </row>
    <row r="16145" spans="1:9" x14ac:dyDescent="0.2">
      <c r="A16145" s="1" t="str">
        <f>"SLC15A5"</f>
        <v>SLC15A5</v>
      </c>
      <c r="B16145" t="s">
        <v>14</v>
      </c>
      <c r="C16145" t="s">
        <v>16</v>
      </c>
      <c r="D16145" t="s">
        <v>11</v>
      </c>
      <c r="E16145" t="s">
        <v>12</v>
      </c>
      <c r="F16145">
        <v>16430642</v>
      </c>
      <c r="G16145">
        <v>16430651</v>
      </c>
      <c r="H16145">
        <v>16430642</v>
      </c>
      <c r="I16145">
        <v>16430651</v>
      </c>
    </row>
    <row r="16146" spans="1:9" x14ac:dyDescent="0.2">
      <c r="A16146" s="1" t="str">
        <f>"SLC16A1"</f>
        <v>SLC16A1</v>
      </c>
      <c r="B16146" t="s">
        <v>9</v>
      </c>
      <c r="C16146" t="s">
        <v>19</v>
      </c>
      <c r="D16146" t="s">
        <v>11</v>
      </c>
      <c r="E16146" t="s">
        <v>12</v>
      </c>
      <c r="F16146">
        <v>113498809</v>
      </c>
      <c r="G16146">
        <v>113498826</v>
      </c>
      <c r="H16146">
        <v>113498809</v>
      </c>
      <c r="I16146">
        <v>113498826</v>
      </c>
    </row>
    <row r="16147" spans="1:9" x14ac:dyDescent="0.2">
      <c r="A16147" s="1" t="str">
        <f>"SLC16A1"</f>
        <v>SLC16A1</v>
      </c>
      <c r="B16147" t="s">
        <v>13</v>
      </c>
      <c r="C16147" t="s">
        <v>19</v>
      </c>
      <c r="D16147" t="s">
        <v>11</v>
      </c>
      <c r="E16147" t="s">
        <v>12</v>
      </c>
      <c r="F16147">
        <v>113478603</v>
      </c>
      <c r="G16147">
        <v>113478658</v>
      </c>
      <c r="H16147">
        <v>113478603</v>
      </c>
      <c r="I16147">
        <v>113478658</v>
      </c>
    </row>
    <row r="16148" spans="1:9" x14ac:dyDescent="0.2">
      <c r="A16148" s="1" t="str">
        <f>"SLC16A10"</f>
        <v>SLC16A10</v>
      </c>
      <c r="B16148" t="s">
        <v>14</v>
      </c>
      <c r="C16148" t="s">
        <v>32</v>
      </c>
      <c r="D16148" t="s">
        <v>17</v>
      </c>
      <c r="E16148" t="s">
        <v>12</v>
      </c>
      <c r="F16148">
        <v>111408698</v>
      </c>
      <c r="G16148">
        <v>111408714</v>
      </c>
      <c r="H16148">
        <v>111408668</v>
      </c>
      <c r="I16148">
        <v>111408686</v>
      </c>
    </row>
    <row r="16149" spans="1:9" x14ac:dyDescent="0.2">
      <c r="A16149" s="1" t="str">
        <f>"SLC16A11"</f>
        <v>SLC16A11</v>
      </c>
      <c r="B16149" t="s">
        <v>14</v>
      </c>
      <c r="C16149" t="s">
        <v>28</v>
      </c>
      <c r="D16149" t="s">
        <v>11</v>
      </c>
      <c r="E16149" t="s">
        <v>12</v>
      </c>
      <c r="F16149">
        <v>6947225</v>
      </c>
      <c r="G16149">
        <v>6947253</v>
      </c>
      <c r="H16149">
        <v>6947410</v>
      </c>
      <c r="I16149">
        <v>6947413</v>
      </c>
    </row>
    <row r="16150" spans="1:9" x14ac:dyDescent="0.2">
      <c r="A16150" s="1" t="str">
        <f>"SLC16A12"</f>
        <v>SLC16A12</v>
      </c>
      <c r="B16150" t="s">
        <v>14</v>
      </c>
      <c r="C16150" t="s">
        <v>15</v>
      </c>
      <c r="D16150" t="s">
        <v>11</v>
      </c>
      <c r="E16150" t="s">
        <v>12</v>
      </c>
      <c r="F16150">
        <v>91295304</v>
      </c>
      <c r="G16150">
        <v>91295329</v>
      </c>
      <c r="H16150">
        <v>91295332</v>
      </c>
      <c r="I16150">
        <v>91295358</v>
      </c>
    </row>
    <row r="16151" spans="1:9" x14ac:dyDescent="0.2">
      <c r="A16151" s="1" t="str">
        <f>"SLC16A13"</f>
        <v>SLC16A13</v>
      </c>
      <c r="B16151" t="s">
        <v>14</v>
      </c>
      <c r="C16151" t="s">
        <v>28</v>
      </c>
      <c r="D16151" t="s">
        <v>17</v>
      </c>
      <c r="E16151" t="s">
        <v>12</v>
      </c>
      <c r="F16151">
        <v>6939362</v>
      </c>
      <c r="G16151">
        <v>6939410</v>
      </c>
      <c r="H16151">
        <v>6939299</v>
      </c>
      <c r="I16151">
        <v>6939353</v>
      </c>
    </row>
    <row r="16152" spans="1:9" x14ac:dyDescent="0.2">
      <c r="A16152" s="1" t="str">
        <f>"SLC16A14"</f>
        <v>SLC16A14</v>
      </c>
      <c r="B16152" t="s">
        <v>14</v>
      </c>
      <c r="C16152" t="s">
        <v>26</v>
      </c>
      <c r="D16152" t="s">
        <v>11</v>
      </c>
      <c r="E16152" t="s">
        <v>12</v>
      </c>
      <c r="F16152">
        <v>230933623</v>
      </c>
      <c r="G16152">
        <v>230933656</v>
      </c>
      <c r="H16152">
        <v>230933709</v>
      </c>
      <c r="I16152">
        <v>230933720</v>
      </c>
    </row>
    <row r="16153" spans="1:9" x14ac:dyDescent="0.2">
      <c r="A16153" s="1" t="str">
        <f>"SLC16A2"</f>
        <v>SLC16A2</v>
      </c>
      <c r="B16153" t="s">
        <v>14</v>
      </c>
      <c r="C16153" t="s">
        <v>37</v>
      </c>
      <c r="D16153" t="s">
        <v>17</v>
      </c>
      <c r="E16153" t="s">
        <v>12</v>
      </c>
      <c r="F16153">
        <v>73641286</v>
      </c>
      <c r="G16153">
        <v>73641400</v>
      </c>
      <c r="H16153">
        <v>73640729</v>
      </c>
      <c r="I16153">
        <v>73640768</v>
      </c>
    </row>
    <row r="16154" spans="1:9" x14ac:dyDescent="0.2">
      <c r="A16154" s="1" t="str">
        <f>"SLC16A3"</f>
        <v>SLC16A3</v>
      </c>
      <c r="B16154" t="s">
        <v>14</v>
      </c>
      <c r="C16154" t="s">
        <v>28</v>
      </c>
      <c r="D16154" t="s">
        <v>17</v>
      </c>
      <c r="E16154" t="s">
        <v>12</v>
      </c>
      <c r="F16154">
        <v>80186910</v>
      </c>
      <c r="G16154">
        <v>80186936</v>
      </c>
      <c r="H16154">
        <v>80186290</v>
      </c>
      <c r="I16154">
        <v>80186344</v>
      </c>
    </row>
    <row r="16155" spans="1:9" x14ac:dyDescent="0.2">
      <c r="A16155" s="1" t="str">
        <f>"SLC16A4"</f>
        <v>SLC16A4</v>
      </c>
      <c r="B16155" t="s">
        <v>14</v>
      </c>
      <c r="C16155" t="s">
        <v>19</v>
      </c>
      <c r="D16155" t="s">
        <v>11</v>
      </c>
      <c r="E16155" t="s">
        <v>12</v>
      </c>
      <c r="F16155">
        <v>110933611</v>
      </c>
      <c r="G16155">
        <v>110933660</v>
      </c>
      <c r="H16155">
        <v>110933663</v>
      </c>
      <c r="I16155">
        <v>110933695</v>
      </c>
    </row>
    <row r="16156" spans="1:9" x14ac:dyDescent="0.2">
      <c r="A16156" s="1" t="str">
        <f>"SLC16A5"</f>
        <v>SLC16A5</v>
      </c>
      <c r="B16156" t="s">
        <v>14</v>
      </c>
      <c r="C16156" t="s">
        <v>28</v>
      </c>
      <c r="D16156" t="s">
        <v>17</v>
      </c>
      <c r="E16156" t="s">
        <v>12</v>
      </c>
      <c r="F16156">
        <v>73084038</v>
      </c>
      <c r="G16156">
        <v>73084081</v>
      </c>
      <c r="H16156">
        <v>73083998</v>
      </c>
      <c r="I16156">
        <v>73084036</v>
      </c>
    </row>
    <row r="16157" spans="1:9" x14ac:dyDescent="0.2">
      <c r="A16157" s="1" t="str">
        <f>"SLC16A6"</f>
        <v>SLC16A6</v>
      </c>
      <c r="B16157" t="s">
        <v>14</v>
      </c>
      <c r="C16157" t="s">
        <v>28</v>
      </c>
      <c r="D16157" t="s">
        <v>11</v>
      </c>
      <c r="E16157" t="s">
        <v>12</v>
      </c>
      <c r="F16157">
        <v>66287258</v>
      </c>
      <c r="G16157">
        <v>66287276</v>
      </c>
      <c r="H16157">
        <v>66287543</v>
      </c>
      <c r="I16157">
        <v>66287626</v>
      </c>
    </row>
    <row r="16158" spans="1:9" x14ac:dyDescent="0.2">
      <c r="A16158" s="1" t="str">
        <f>"SLC16A7"</f>
        <v>SLC16A7</v>
      </c>
      <c r="B16158" t="s">
        <v>14</v>
      </c>
      <c r="C16158" t="s">
        <v>16</v>
      </c>
      <c r="D16158" t="s">
        <v>17</v>
      </c>
      <c r="E16158" t="s">
        <v>12</v>
      </c>
      <c r="F16158">
        <v>59989791</v>
      </c>
      <c r="G16158">
        <v>59989874</v>
      </c>
      <c r="H16158">
        <v>59989918</v>
      </c>
      <c r="I16158">
        <v>59989965</v>
      </c>
    </row>
    <row r="16159" spans="1:9" x14ac:dyDescent="0.2">
      <c r="A16159" s="1" t="str">
        <f>"SLC16A8"</f>
        <v>SLC16A8</v>
      </c>
      <c r="B16159" t="s">
        <v>14</v>
      </c>
      <c r="C16159" t="s">
        <v>21</v>
      </c>
      <c r="D16159" t="s">
        <v>11</v>
      </c>
      <c r="E16159" t="s">
        <v>12</v>
      </c>
      <c r="F16159">
        <v>38480132</v>
      </c>
      <c r="G16159">
        <v>38480159</v>
      </c>
      <c r="H16159">
        <v>38479339</v>
      </c>
      <c r="I16159">
        <v>38479354</v>
      </c>
    </row>
    <row r="16160" spans="1:9" x14ac:dyDescent="0.2">
      <c r="A16160" s="1" t="str">
        <f>"SLC16A9"</f>
        <v>SLC16A9</v>
      </c>
      <c r="B16160" t="s">
        <v>14</v>
      </c>
      <c r="C16160" t="s">
        <v>15</v>
      </c>
      <c r="D16160" t="s">
        <v>11</v>
      </c>
      <c r="E16160" t="s">
        <v>12</v>
      </c>
      <c r="F16160">
        <v>61469602</v>
      </c>
      <c r="G16160">
        <v>61469657</v>
      </c>
      <c r="H16160">
        <v>61469469</v>
      </c>
      <c r="I16160">
        <v>61469519</v>
      </c>
    </row>
    <row r="16161" spans="1:9" x14ac:dyDescent="0.2">
      <c r="A16161" s="1" t="str">
        <f>"SLC17A1"</f>
        <v>SLC17A1</v>
      </c>
      <c r="B16161" t="s">
        <v>14</v>
      </c>
      <c r="C16161" t="s">
        <v>32</v>
      </c>
      <c r="D16161" t="s">
        <v>11</v>
      </c>
      <c r="E16161" t="s">
        <v>12</v>
      </c>
      <c r="F16161">
        <v>25832254</v>
      </c>
      <c r="G16161">
        <v>25832286</v>
      </c>
      <c r="H16161">
        <v>25832254</v>
      </c>
      <c r="I16161">
        <v>25832286</v>
      </c>
    </row>
    <row r="16162" spans="1:9" x14ac:dyDescent="0.2">
      <c r="A16162" s="1" t="str">
        <f>"SLC17A2"</f>
        <v>SLC17A2</v>
      </c>
      <c r="B16162" t="s">
        <v>14</v>
      </c>
      <c r="C16162" t="s">
        <v>32</v>
      </c>
      <c r="D16162" t="s">
        <v>11</v>
      </c>
      <c r="E16162" t="s">
        <v>12</v>
      </c>
      <c r="F16162">
        <v>25930904</v>
      </c>
      <c r="G16162">
        <v>25930926</v>
      </c>
      <c r="H16162">
        <v>25930840</v>
      </c>
      <c r="I16162">
        <v>25930859</v>
      </c>
    </row>
    <row r="16163" spans="1:9" x14ac:dyDescent="0.2">
      <c r="A16163" s="1" t="str">
        <f>"SLC17A3"</f>
        <v>SLC17A3</v>
      </c>
      <c r="B16163" t="s">
        <v>14</v>
      </c>
      <c r="C16163" t="s">
        <v>32</v>
      </c>
      <c r="D16163" t="s">
        <v>11</v>
      </c>
      <c r="E16163" t="s">
        <v>12</v>
      </c>
      <c r="F16163">
        <v>25874444</v>
      </c>
      <c r="G16163">
        <v>25874482</v>
      </c>
      <c r="H16163">
        <v>25874488</v>
      </c>
      <c r="I16163">
        <v>25874496</v>
      </c>
    </row>
    <row r="16164" spans="1:9" x14ac:dyDescent="0.2">
      <c r="A16164" s="1" t="str">
        <f>"SLC17A4"</f>
        <v>SLC17A4</v>
      </c>
      <c r="B16164" t="s">
        <v>14</v>
      </c>
      <c r="C16164" t="s">
        <v>32</v>
      </c>
      <c r="D16164" t="s">
        <v>17</v>
      </c>
      <c r="E16164" t="s">
        <v>12</v>
      </c>
      <c r="F16164">
        <v>25754961</v>
      </c>
      <c r="G16164">
        <v>25754980</v>
      </c>
      <c r="H16164">
        <v>25754948</v>
      </c>
      <c r="I16164">
        <v>25754951</v>
      </c>
    </row>
    <row r="16165" spans="1:9" x14ac:dyDescent="0.2">
      <c r="A16165" s="1" t="str">
        <f>"SLC17A5"</f>
        <v>SLC17A5</v>
      </c>
      <c r="B16165" t="s">
        <v>14</v>
      </c>
      <c r="C16165" t="s">
        <v>32</v>
      </c>
      <c r="D16165" t="s">
        <v>11</v>
      </c>
      <c r="E16165" t="s">
        <v>12</v>
      </c>
      <c r="F16165">
        <v>74363636</v>
      </c>
      <c r="G16165">
        <v>74363743</v>
      </c>
      <c r="H16165">
        <v>74363803</v>
      </c>
      <c r="I16165">
        <v>74363829</v>
      </c>
    </row>
    <row r="16166" spans="1:9" x14ac:dyDescent="0.2">
      <c r="A16166" s="1" t="str">
        <f>"SLC17A6"</f>
        <v>SLC17A6</v>
      </c>
      <c r="B16166" t="s">
        <v>14</v>
      </c>
      <c r="C16166" t="s">
        <v>27</v>
      </c>
      <c r="D16166" t="s">
        <v>17</v>
      </c>
      <c r="E16166" t="s">
        <v>12</v>
      </c>
      <c r="F16166">
        <v>22359910</v>
      </c>
      <c r="G16166">
        <v>22359937</v>
      </c>
      <c r="H16166">
        <v>22359910</v>
      </c>
      <c r="I16166">
        <v>22359937</v>
      </c>
    </row>
    <row r="16167" spans="1:9" x14ac:dyDescent="0.2">
      <c r="A16167" s="1" t="str">
        <f>"SLC17A7"</f>
        <v>SLC17A7</v>
      </c>
      <c r="B16167" t="s">
        <v>14</v>
      </c>
      <c r="C16167" t="s">
        <v>10</v>
      </c>
      <c r="D16167" t="s">
        <v>11</v>
      </c>
      <c r="E16167" t="s">
        <v>12</v>
      </c>
      <c r="F16167">
        <v>49944766</v>
      </c>
      <c r="G16167">
        <v>49944791</v>
      </c>
      <c r="H16167">
        <v>49944806</v>
      </c>
      <c r="I16167">
        <v>49944819</v>
      </c>
    </row>
    <row r="16168" spans="1:9" x14ac:dyDescent="0.2">
      <c r="A16168" s="1" t="str">
        <f>"SLC17A8"</f>
        <v>SLC17A8</v>
      </c>
      <c r="B16168" t="s">
        <v>14</v>
      </c>
      <c r="C16168" t="s">
        <v>16</v>
      </c>
      <c r="D16168" t="s">
        <v>17</v>
      </c>
      <c r="E16168" t="s">
        <v>12</v>
      </c>
      <c r="F16168">
        <v>100750846</v>
      </c>
      <c r="G16168">
        <v>100750861</v>
      </c>
      <c r="H16168">
        <v>100750846</v>
      </c>
      <c r="I16168">
        <v>100750861</v>
      </c>
    </row>
    <row r="16169" spans="1:9" x14ac:dyDescent="0.2">
      <c r="A16169" s="1" t="str">
        <f>"SLC17A9"</f>
        <v>SLC17A9</v>
      </c>
      <c r="B16169" t="s">
        <v>14</v>
      </c>
      <c r="C16169" t="s">
        <v>29</v>
      </c>
      <c r="D16169" t="s">
        <v>17</v>
      </c>
      <c r="E16169" t="s">
        <v>12</v>
      </c>
      <c r="F16169">
        <v>61584026</v>
      </c>
      <c r="G16169">
        <v>61584096</v>
      </c>
      <c r="H16169">
        <v>61584136</v>
      </c>
      <c r="I16169">
        <v>61584153</v>
      </c>
    </row>
    <row r="16170" spans="1:9" x14ac:dyDescent="0.2">
      <c r="A16170" s="1" t="str">
        <f>"SLC18A1"</f>
        <v>SLC18A1</v>
      </c>
      <c r="B16170" t="s">
        <v>14</v>
      </c>
      <c r="C16170" t="s">
        <v>30</v>
      </c>
      <c r="D16170" t="s">
        <v>11</v>
      </c>
      <c r="E16170" t="s">
        <v>12</v>
      </c>
      <c r="F16170">
        <v>20040638</v>
      </c>
      <c r="G16170">
        <v>20040652</v>
      </c>
      <c r="H16170">
        <v>20040638</v>
      </c>
      <c r="I16170">
        <v>20040652</v>
      </c>
    </row>
    <row r="16171" spans="1:9" x14ac:dyDescent="0.2">
      <c r="A16171" s="1" t="str">
        <f>"SLC18A2"</f>
        <v>SLC18A2</v>
      </c>
      <c r="B16171" t="s">
        <v>14</v>
      </c>
      <c r="C16171" t="s">
        <v>15</v>
      </c>
      <c r="D16171" t="s">
        <v>17</v>
      </c>
      <c r="E16171" t="s">
        <v>12</v>
      </c>
      <c r="F16171">
        <v>119000618</v>
      </c>
      <c r="G16171">
        <v>119000638</v>
      </c>
      <c r="H16171">
        <v>119000662</v>
      </c>
      <c r="I16171">
        <v>119000688</v>
      </c>
    </row>
    <row r="16172" spans="1:9" x14ac:dyDescent="0.2">
      <c r="A16172" s="1" t="str">
        <f>"SLC18A3"</f>
        <v>SLC18A3</v>
      </c>
      <c r="B16172" t="s">
        <v>14</v>
      </c>
      <c r="C16172" t="s">
        <v>15</v>
      </c>
      <c r="D16172" t="s">
        <v>17</v>
      </c>
      <c r="E16172" t="s">
        <v>12</v>
      </c>
      <c r="F16172">
        <v>50818377</v>
      </c>
      <c r="G16172">
        <v>50818400</v>
      </c>
      <c r="H16172">
        <v>50818343</v>
      </c>
      <c r="I16172">
        <v>50818362</v>
      </c>
    </row>
    <row r="16173" spans="1:9" x14ac:dyDescent="0.2">
      <c r="A16173" s="1" t="str">
        <f>"SLC18B1"</f>
        <v>SLC18B1</v>
      </c>
      <c r="B16173" t="s">
        <v>14</v>
      </c>
      <c r="C16173" t="s">
        <v>32</v>
      </c>
      <c r="D16173" t="s">
        <v>11</v>
      </c>
      <c r="E16173" t="s">
        <v>12</v>
      </c>
      <c r="F16173">
        <v>133119727</v>
      </c>
      <c r="G16173">
        <v>133119814</v>
      </c>
      <c r="H16173">
        <v>133119668</v>
      </c>
      <c r="I16173">
        <v>133119683</v>
      </c>
    </row>
    <row r="16174" spans="1:9" x14ac:dyDescent="0.2">
      <c r="A16174" s="1" t="str">
        <f>"SLC19A1"</f>
        <v>SLC19A1</v>
      </c>
      <c r="B16174" t="s">
        <v>14</v>
      </c>
      <c r="C16174" t="s">
        <v>42</v>
      </c>
      <c r="D16174" t="s">
        <v>11</v>
      </c>
      <c r="E16174" t="s">
        <v>12</v>
      </c>
      <c r="F16174">
        <v>46962328</v>
      </c>
      <c r="G16174">
        <v>46962369</v>
      </c>
      <c r="H16174">
        <v>46961716</v>
      </c>
      <c r="I16174">
        <v>46961785</v>
      </c>
    </row>
    <row r="16175" spans="1:9" x14ac:dyDescent="0.2">
      <c r="A16175" s="1" t="str">
        <f>"SLC19A2"</f>
        <v>SLC19A2</v>
      </c>
      <c r="B16175" t="s">
        <v>14</v>
      </c>
      <c r="C16175" t="s">
        <v>19</v>
      </c>
      <c r="D16175" t="s">
        <v>11</v>
      </c>
      <c r="E16175" t="s">
        <v>12</v>
      </c>
      <c r="F16175">
        <v>169455172</v>
      </c>
      <c r="G16175">
        <v>169455226</v>
      </c>
      <c r="H16175">
        <v>169454968</v>
      </c>
      <c r="I16175">
        <v>169454997</v>
      </c>
    </row>
    <row r="16176" spans="1:9" x14ac:dyDescent="0.2">
      <c r="A16176" s="1" t="str">
        <f>"SLC19A3"</f>
        <v>SLC19A3</v>
      </c>
      <c r="B16176" t="s">
        <v>14</v>
      </c>
      <c r="C16176" t="s">
        <v>26</v>
      </c>
      <c r="D16176" t="s">
        <v>11</v>
      </c>
      <c r="E16176" t="s">
        <v>12</v>
      </c>
      <c r="F16176">
        <v>228582709</v>
      </c>
      <c r="G16176">
        <v>228582754</v>
      </c>
      <c r="H16176">
        <v>228582697</v>
      </c>
      <c r="I16176">
        <v>228582708</v>
      </c>
    </row>
    <row r="16177" spans="1:9" x14ac:dyDescent="0.2">
      <c r="A16177" s="1" t="str">
        <f>"SLC1A1"</f>
        <v>SLC1A1</v>
      </c>
      <c r="B16177" t="s">
        <v>14</v>
      </c>
      <c r="C16177" t="s">
        <v>24</v>
      </c>
      <c r="D16177" t="s">
        <v>17</v>
      </c>
      <c r="E16177" t="s">
        <v>12</v>
      </c>
      <c r="F16177">
        <v>4490449</v>
      </c>
      <c r="G16177">
        <v>4490481</v>
      </c>
      <c r="H16177">
        <v>4490394</v>
      </c>
      <c r="I16177">
        <v>4490446</v>
      </c>
    </row>
    <row r="16178" spans="1:9" x14ac:dyDescent="0.2">
      <c r="A16178" s="1" t="str">
        <f>"SLC1A2"</f>
        <v>SLC1A2</v>
      </c>
      <c r="B16178" t="s">
        <v>14</v>
      </c>
      <c r="C16178" t="s">
        <v>27</v>
      </c>
      <c r="D16178" t="s">
        <v>11</v>
      </c>
      <c r="E16178" t="s">
        <v>12</v>
      </c>
      <c r="F16178">
        <v>35441089</v>
      </c>
      <c r="G16178">
        <v>35441112</v>
      </c>
      <c r="H16178">
        <v>35440898</v>
      </c>
      <c r="I16178">
        <v>35440916</v>
      </c>
    </row>
    <row r="16179" spans="1:9" x14ac:dyDescent="0.2">
      <c r="A16179" s="1" t="str">
        <f>"SLC1A3"</f>
        <v>SLC1A3</v>
      </c>
      <c r="B16179" t="s">
        <v>9</v>
      </c>
      <c r="C16179" t="s">
        <v>46</v>
      </c>
      <c r="D16179" t="s">
        <v>17</v>
      </c>
      <c r="E16179" t="s">
        <v>12</v>
      </c>
      <c r="F16179">
        <v>36606700</v>
      </c>
      <c r="G16179">
        <v>36606729</v>
      </c>
      <c r="H16179">
        <v>36606700</v>
      </c>
      <c r="I16179">
        <v>36606729</v>
      </c>
    </row>
    <row r="16180" spans="1:9" x14ac:dyDescent="0.2">
      <c r="A16180" s="1" t="str">
        <f>"SLC1A3"</f>
        <v>SLC1A3</v>
      </c>
      <c r="B16180" t="s">
        <v>13</v>
      </c>
      <c r="C16180" t="s">
        <v>46</v>
      </c>
      <c r="D16180" t="s">
        <v>17</v>
      </c>
      <c r="E16180" t="s">
        <v>12</v>
      </c>
      <c r="F16180">
        <v>36608318</v>
      </c>
      <c r="G16180">
        <v>36608354</v>
      </c>
      <c r="H16180">
        <v>36608318</v>
      </c>
      <c r="I16180">
        <v>36608354</v>
      </c>
    </row>
    <row r="16181" spans="1:9" x14ac:dyDescent="0.2">
      <c r="A16181" s="1" t="str">
        <f>"SLC1A4"</f>
        <v>SLC1A4</v>
      </c>
      <c r="B16181" t="s">
        <v>14</v>
      </c>
      <c r="C16181" t="s">
        <v>26</v>
      </c>
      <c r="D16181" t="s">
        <v>17</v>
      </c>
      <c r="E16181" t="s">
        <v>12</v>
      </c>
      <c r="F16181">
        <v>65216462</v>
      </c>
      <c r="G16181">
        <v>65216567</v>
      </c>
      <c r="H16181">
        <v>65215604</v>
      </c>
      <c r="I16181">
        <v>65215625</v>
      </c>
    </row>
    <row r="16182" spans="1:9" x14ac:dyDescent="0.2">
      <c r="A16182" s="1" t="str">
        <f>"SLC1A5"</f>
        <v>SLC1A5</v>
      </c>
      <c r="B16182" t="s">
        <v>9</v>
      </c>
      <c r="C16182" t="s">
        <v>10</v>
      </c>
      <c r="D16182" t="s">
        <v>11</v>
      </c>
      <c r="E16182" t="s">
        <v>12</v>
      </c>
      <c r="F16182">
        <v>47291843</v>
      </c>
      <c r="G16182">
        <v>47291859</v>
      </c>
      <c r="H16182">
        <v>47291843</v>
      </c>
      <c r="I16182">
        <v>47291859</v>
      </c>
    </row>
    <row r="16183" spans="1:9" x14ac:dyDescent="0.2">
      <c r="A16183" s="1" t="str">
        <f>"SLC1A5"</f>
        <v>SLC1A5</v>
      </c>
      <c r="B16183" t="s">
        <v>13</v>
      </c>
      <c r="C16183" t="s">
        <v>10</v>
      </c>
      <c r="D16183" t="s">
        <v>11</v>
      </c>
      <c r="E16183" t="s">
        <v>12</v>
      </c>
      <c r="F16183">
        <v>47287990</v>
      </c>
      <c r="G16183">
        <v>47288086</v>
      </c>
      <c r="H16183">
        <v>47287990</v>
      </c>
      <c r="I16183">
        <v>47288086</v>
      </c>
    </row>
    <row r="16184" spans="1:9" x14ac:dyDescent="0.2">
      <c r="A16184" s="1" t="str">
        <f>"SLC1A6"</f>
        <v>SLC1A6</v>
      </c>
      <c r="B16184" t="s">
        <v>14</v>
      </c>
      <c r="C16184" t="s">
        <v>10</v>
      </c>
      <c r="D16184" t="s">
        <v>11</v>
      </c>
      <c r="E16184" t="s">
        <v>12</v>
      </c>
      <c r="F16184">
        <v>15090488</v>
      </c>
      <c r="G16184">
        <v>15090564</v>
      </c>
      <c r="H16184">
        <v>15090488</v>
      </c>
      <c r="I16184">
        <v>15090564</v>
      </c>
    </row>
    <row r="16185" spans="1:9" x14ac:dyDescent="0.2">
      <c r="A16185" s="1" t="str">
        <f>"SLC1A7"</f>
        <v>SLC1A7</v>
      </c>
      <c r="B16185" t="s">
        <v>14</v>
      </c>
      <c r="C16185" t="s">
        <v>19</v>
      </c>
      <c r="D16185" t="s">
        <v>11</v>
      </c>
      <c r="E16185" t="s">
        <v>12</v>
      </c>
      <c r="F16185">
        <v>53608289</v>
      </c>
      <c r="G16185">
        <v>53608315</v>
      </c>
      <c r="H16185">
        <v>53608289</v>
      </c>
      <c r="I16185">
        <v>53608315</v>
      </c>
    </row>
    <row r="16186" spans="1:9" x14ac:dyDescent="0.2">
      <c r="A16186" s="1" t="str">
        <f>"SLC20A1"</f>
        <v>SLC20A1</v>
      </c>
      <c r="B16186" t="s">
        <v>14</v>
      </c>
      <c r="C16186" t="s">
        <v>26</v>
      </c>
      <c r="D16186" t="s">
        <v>17</v>
      </c>
      <c r="E16186" t="s">
        <v>12</v>
      </c>
      <c r="F16186">
        <v>113403507</v>
      </c>
      <c r="G16186">
        <v>113403526</v>
      </c>
      <c r="H16186">
        <v>113403487</v>
      </c>
      <c r="I16186">
        <v>113403496</v>
      </c>
    </row>
    <row r="16187" spans="1:9" x14ac:dyDescent="0.2">
      <c r="A16187" s="1" t="str">
        <f>"SLC20A2"</f>
        <v>SLC20A2</v>
      </c>
      <c r="B16187" t="s">
        <v>14</v>
      </c>
      <c r="C16187" t="s">
        <v>30</v>
      </c>
      <c r="D16187" t="s">
        <v>11</v>
      </c>
      <c r="E16187" t="s">
        <v>12</v>
      </c>
      <c r="F16187">
        <v>42396839</v>
      </c>
      <c r="G16187">
        <v>42396860</v>
      </c>
      <c r="H16187">
        <v>42396839</v>
      </c>
      <c r="I16187">
        <v>42396860</v>
      </c>
    </row>
    <row r="16188" spans="1:9" x14ac:dyDescent="0.2">
      <c r="A16188" s="1" t="str">
        <f>"SLC22A1"</f>
        <v>SLC22A1</v>
      </c>
      <c r="B16188" t="s">
        <v>14</v>
      </c>
      <c r="C16188" t="s">
        <v>32</v>
      </c>
      <c r="D16188" t="s">
        <v>17</v>
      </c>
      <c r="E16188" t="s">
        <v>12</v>
      </c>
      <c r="F16188">
        <v>160542870</v>
      </c>
      <c r="G16188">
        <v>160542938</v>
      </c>
      <c r="H16188">
        <v>160542841</v>
      </c>
      <c r="I16188">
        <v>160542852</v>
      </c>
    </row>
    <row r="16189" spans="1:9" x14ac:dyDescent="0.2">
      <c r="A16189" s="1" t="str">
        <f>"SLC22A10"</f>
        <v>SLC22A10</v>
      </c>
      <c r="B16189" t="s">
        <v>14</v>
      </c>
      <c r="C16189" t="s">
        <v>27</v>
      </c>
      <c r="D16189" t="s">
        <v>17</v>
      </c>
      <c r="E16189" t="s">
        <v>12</v>
      </c>
      <c r="F16189">
        <v>63057412</v>
      </c>
      <c r="G16189">
        <v>63057435</v>
      </c>
      <c r="H16189">
        <v>63057386</v>
      </c>
      <c r="I16189">
        <v>63057411</v>
      </c>
    </row>
    <row r="16190" spans="1:9" x14ac:dyDescent="0.2">
      <c r="A16190" s="1" t="str">
        <f>"SLC22A11"</f>
        <v>SLC22A11</v>
      </c>
      <c r="B16190" t="s">
        <v>14</v>
      </c>
      <c r="C16190" t="s">
        <v>27</v>
      </c>
      <c r="D16190" t="s">
        <v>17</v>
      </c>
      <c r="E16190" t="s">
        <v>12</v>
      </c>
      <c r="F16190">
        <v>64323396</v>
      </c>
      <c r="G16190">
        <v>64323421</v>
      </c>
      <c r="H16190">
        <v>64323103</v>
      </c>
      <c r="I16190">
        <v>64323126</v>
      </c>
    </row>
    <row r="16191" spans="1:9" x14ac:dyDescent="0.2">
      <c r="A16191" s="1" t="str">
        <f>"SLC22A12"</f>
        <v>SLC22A12</v>
      </c>
      <c r="B16191" t="s">
        <v>14</v>
      </c>
      <c r="C16191" t="s">
        <v>27</v>
      </c>
      <c r="D16191" t="s">
        <v>17</v>
      </c>
      <c r="E16191" t="s">
        <v>12</v>
      </c>
      <c r="F16191">
        <v>64358686</v>
      </c>
      <c r="G16191">
        <v>64358697</v>
      </c>
      <c r="H16191">
        <v>64358722</v>
      </c>
      <c r="I16191">
        <v>64358735</v>
      </c>
    </row>
    <row r="16192" spans="1:9" x14ac:dyDescent="0.2">
      <c r="A16192" s="1" t="str">
        <f>"SLC22A13"</f>
        <v>SLC22A13</v>
      </c>
      <c r="B16192" t="s">
        <v>14</v>
      </c>
      <c r="C16192" t="s">
        <v>22</v>
      </c>
      <c r="D16192" t="s">
        <v>17</v>
      </c>
      <c r="E16192" t="s">
        <v>12</v>
      </c>
      <c r="F16192">
        <v>38307293</v>
      </c>
      <c r="G16192">
        <v>38307310</v>
      </c>
      <c r="H16192">
        <v>38307313</v>
      </c>
      <c r="I16192">
        <v>38307318</v>
      </c>
    </row>
    <row r="16193" spans="1:9" x14ac:dyDescent="0.2">
      <c r="A16193" s="1" t="str">
        <f>"SLC22A14"</f>
        <v>SLC22A14</v>
      </c>
      <c r="B16193" t="s">
        <v>14</v>
      </c>
      <c r="C16193" t="s">
        <v>22</v>
      </c>
      <c r="D16193" t="s">
        <v>17</v>
      </c>
      <c r="E16193" t="s">
        <v>12</v>
      </c>
      <c r="F16193">
        <v>38323796</v>
      </c>
      <c r="G16193">
        <v>38323815</v>
      </c>
      <c r="H16193">
        <v>38323757</v>
      </c>
      <c r="I16193">
        <v>38323764</v>
      </c>
    </row>
    <row r="16194" spans="1:9" x14ac:dyDescent="0.2">
      <c r="A16194" s="1" t="str">
        <f>"SLC22A15"</f>
        <v>SLC22A15</v>
      </c>
      <c r="B16194" t="s">
        <v>14</v>
      </c>
      <c r="C16194" t="s">
        <v>19</v>
      </c>
      <c r="D16194" t="s">
        <v>17</v>
      </c>
      <c r="E16194" t="s">
        <v>12</v>
      </c>
      <c r="F16194">
        <v>116519112</v>
      </c>
      <c r="G16194">
        <v>116519204</v>
      </c>
      <c r="H16194">
        <v>116518958</v>
      </c>
      <c r="I16194">
        <v>116519025</v>
      </c>
    </row>
    <row r="16195" spans="1:9" x14ac:dyDescent="0.2">
      <c r="A16195" s="1" t="str">
        <f>"SLC22A16"</f>
        <v>SLC22A16</v>
      </c>
      <c r="B16195" t="s">
        <v>14</v>
      </c>
      <c r="C16195" t="s">
        <v>32</v>
      </c>
      <c r="D16195" t="s">
        <v>11</v>
      </c>
      <c r="E16195" t="s">
        <v>12</v>
      </c>
      <c r="F16195">
        <v>110797799</v>
      </c>
      <c r="G16195">
        <v>110797839</v>
      </c>
      <c r="H16195">
        <v>110797789</v>
      </c>
      <c r="I16195">
        <v>110797797</v>
      </c>
    </row>
    <row r="16196" spans="1:9" x14ac:dyDescent="0.2">
      <c r="A16196" s="1" t="str">
        <f>"SLC22A17"</f>
        <v>SLC22A17</v>
      </c>
      <c r="B16196" t="s">
        <v>14</v>
      </c>
      <c r="C16196" t="s">
        <v>41</v>
      </c>
      <c r="D16196" t="s">
        <v>11</v>
      </c>
      <c r="E16196" t="s">
        <v>12</v>
      </c>
      <c r="F16196">
        <v>23822081</v>
      </c>
      <c r="G16196">
        <v>23822113</v>
      </c>
      <c r="H16196">
        <v>23822061</v>
      </c>
      <c r="I16196">
        <v>23822072</v>
      </c>
    </row>
    <row r="16197" spans="1:9" x14ac:dyDescent="0.2">
      <c r="A16197" s="1" t="str">
        <f>"SLC22A18"</f>
        <v>SLC22A18</v>
      </c>
      <c r="B16197" t="s">
        <v>9</v>
      </c>
      <c r="C16197" t="s">
        <v>27</v>
      </c>
      <c r="D16197" t="s">
        <v>17</v>
      </c>
      <c r="E16197" t="s">
        <v>12</v>
      </c>
      <c r="F16197">
        <v>2923499</v>
      </c>
      <c r="G16197">
        <v>2923570</v>
      </c>
      <c r="H16197">
        <v>2923499</v>
      </c>
      <c r="I16197">
        <v>2923570</v>
      </c>
    </row>
    <row r="16198" spans="1:9" x14ac:dyDescent="0.2">
      <c r="A16198" s="1" t="str">
        <f>"SLC22A18"</f>
        <v>SLC22A18</v>
      </c>
      <c r="B16198" t="s">
        <v>13</v>
      </c>
      <c r="C16198" t="s">
        <v>27</v>
      </c>
      <c r="D16198" t="s">
        <v>17</v>
      </c>
      <c r="E16198" t="s">
        <v>12</v>
      </c>
      <c r="F16198">
        <v>2924521</v>
      </c>
      <c r="G16198">
        <v>2924577</v>
      </c>
      <c r="H16198">
        <v>2924521</v>
      </c>
      <c r="I16198">
        <v>2924577</v>
      </c>
    </row>
    <row r="16199" spans="1:9" x14ac:dyDescent="0.2">
      <c r="A16199" s="1" t="str">
        <f>"SLC22A18AS"</f>
        <v>SLC22A18AS</v>
      </c>
      <c r="B16199" t="s">
        <v>14</v>
      </c>
      <c r="C16199" t="s">
        <v>27</v>
      </c>
      <c r="D16199" t="s">
        <v>11</v>
      </c>
      <c r="E16199" t="s">
        <v>12</v>
      </c>
      <c r="F16199">
        <v>2920755</v>
      </c>
      <c r="G16199">
        <v>2920788</v>
      </c>
      <c r="H16199">
        <v>2920755</v>
      </c>
      <c r="I16199">
        <v>2920788</v>
      </c>
    </row>
    <row r="16200" spans="1:9" x14ac:dyDescent="0.2">
      <c r="A16200" s="1" t="str">
        <f>"SLC22A2"</f>
        <v>SLC22A2</v>
      </c>
      <c r="B16200" t="s">
        <v>14</v>
      </c>
      <c r="C16200" t="s">
        <v>32</v>
      </c>
      <c r="D16200" t="s">
        <v>11</v>
      </c>
      <c r="E16200" t="s">
        <v>12</v>
      </c>
      <c r="F16200">
        <v>160679846</v>
      </c>
      <c r="G16200">
        <v>160679859</v>
      </c>
      <c r="H16200">
        <v>160679862</v>
      </c>
      <c r="I16200">
        <v>160679890</v>
      </c>
    </row>
    <row r="16201" spans="1:9" x14ac:dyDescent="0.2">
      <c r="A16201" s="1" t="str">
        <f>"SLC22A23"</f>
        <v>SLC22A23</v>
      </c>
      <c r="B16201" t="s">
        <v>14</v>
      </c>
      <c r="C16201" t="s">
        <v>32</v>
      </c>
      <c r="D16201" t="s">
        <v>11</v>
      </c>
      <c r="E16201" t="s">
        <v>12</v>
      </c>
      <c r="F16201">
        <v>3457257</v>
      </c>
      <c r="G16201">
        <v>3457292</v>
      </c>
      <c r="H16201">
        <v>3457293</v>
      </c>
      <c r="I16201">
        <v>3457333</v>
      </c>
    </row>
    <row r="16202" spans="1:9" x14ac:dyDescent="0.2">
      <c r="A16202" s="1" t="str">
        <f>"SLC22A24"</f>
        <v>SLC22A24</v>
      </c>
      <c r="B16202" t="s">
        <v>14</v>
      </c>
      <c r="C16202" t="s">
        <v>27</v>
      </c>
      <c r="D16202" t="s">
        <v>11</v>
      </c>
      <c r="E16202" t="s">
        <v>12</v>
      </c>
      <c r="F16202">
        <v>62911703</v>
      </c>
      <c r="G16202">
        <v>62911720</v>
      </c>
      <c r="H16202">
        <v>62911703</v>
      </c>
      <c r="I16202">
        <v>62911720</v>
      </c>
    </row>
    <row r="16203" spans="1:9" x14ac:dyDescent="0.2">
      <c r="A16203" s="1" t="str">
        <f>"SLC22A25"</f>
        <v>SLC22A25</v>
      </c>
      <c r="B16203" t="s">
        <v>1547</v>
      </c>
      <c r="C16203" t="s">
        <v>27</v>
      </c>
      <c r="D16203" t="s">
        <v>11</v>
      </c>
      <c r="E16203" t="s">
        <v>20</v>
      </c>
      <c r="F16203">
        <v>62997123</v>
      </c>
      <c r="G16203">
        <v>62997123</v>
      </c>
      <c r="H16203">
        <v>62997123</v>
      </c>
      <c r="I16203">
        <v>62997123</v>
      </c>
    </row>
    <row r="16204" spans="1:9" x14ac:dyDescent="0.2">
      <c r="A16204" s="1" t="str">
        <f>"SLC22A3"</f>
        <v>SLC22A3</v>
      </c>
      <c r="B16204" t="s">
        <v>14</v>
      </c>
      <c r="C16204" t="s">
        <v>32</v>
      </c>
      <c r="D16204" t="s">
        <v>17</v>
      </c>
      <c r="E16204" t="s">
        <v>12</v>
      </c>
      <c r="F16204">
        <v>160769399</v>
      </c>
      <c r="G16204">
        <v>160769416</v>
      </c>
      <c r="H16204">
        <v>160769373</v>
      </c>
      <c r="I16204">
        <v>160769384</v>
      </c>
    </row>
    <row r="16205" spans="1:9" x14ac:dyDescent="0.2">
      <c r="A16205" s="1" t="str">
        <f>"SLC22A31"</f>
        <v>SLC22A31</v>
      </c>
      <c r="B16205" t="s">
        <v>14</v>
      </c>
      <c r="C16205" t="s">
        <v>31</v>
      </c>
      <c r="D16205" t="s">
        <v>11</v>
      </c>
      <c r="E16205" t="s">
        <v>12</v>
      </c>
      <c r="F16205">
        <v>89266770</v>
      </c>
      <c r="G16205">
        <v>89266779</v>
      </c>
      <c r="H16205">
        <v>89266770</v>
      </c>
      <c r="I16205">
        <v>89266779</v>
      </c>
    </row>
    <row r="16206" spans="1:9" x14ac:dyDescent="0.2">
      <c r="A16206" s="1" t="str">
        <f>"SLC22A4"</f>
        <v>SLC22A4</v>
      </c>
      <c r="B16206" t="s">
        <v>14</v>
      </c>
      <c r="C16206" t="s">
        <v>46</v>
      </c>
      <c r="D16206" t="s">
        <v>17</v>
      </c>
      <c r="E16206" t="s">
        <v>12</v>
      </c>
      <c r="F16206">
        <v>131630070</v>
      </c>
      <c r="G16206">
        <v>131630109</v>
      </c>
      <c r="H16206">
        <v>131630117</v>
      </c>
      <c r="I16206">
        <v>131630141</v>
      </c>
    </row>
    <row r="16207" spans="1:9" x14ac:dyDescent="0.2">
      <c r="A16207" s="1" t="str">
        <f>"SLC22A5"</f>
        <v>SLC22A5</v>
      </c>
      <c r="B16207" t="s">
        <v>14</v>
      </c>
      <c r="C16207" t="s">
        <v>46</v>
      </c>
      <c r="D16207" t="s">
        <v>17</v>
      </c>
      <c r="E16207" t="s">
        <v>12</v>
      </c>
      <c r="F16207">
        <v>131705382</v>
      </c>
      <c r="G16207">
        <v>131705437</v>
      </c>
      <c r="H16207">
        <v>131705463</v>
      </c>
      <c r="I16207">
        <v>131705497</v>
      </c>
    </row>
    <row r="16208" spans="1:9" x14ac:dyDescent="0.2">
      <c r="A16208" s="1" t="str">
        <f>"SLC22A6"</f>
        <v>SLC22A6</v>
      </c>
      <c r="B16208" t="s">
        <v>14</v>
      </c>
      <c r="C16208" t="s">
        <v>27</v>
      </c>
      <c r="D16208" t="s">
        <v>11</v>
      </c>
      <c r="E16208" t="s">
        <v>12</v>
      </c>
      <c r="F16208">
        <v>62752432</v>
      </c>
      <c r="G16208">
        <v>62752445</v>
      </c>
      <c r="H16208">
        <v>62752254</v>
      </c>
      <c r="I16208">
        <v>62752272</v>
      </c>
    </row>
    <row r="16209" spans="1:9" x14ac:dyDescent="0.2">
      <c r="A16209" s="1" t="str">
        <f>"SLC22A7"</f>
        <v>SLC22A7</v>
      </c>
      <c r="B16209" t="s">
        <v>14</v>
      </c>
      <c r="C16209" t="s">
        <v>32</v>
      </c>
      <c r="D16209" t="s">
        <v>17</v>
      </c>
      <c r="E16209" t="s">
        <v>12</v>
      </c>
      <c r="F16209">
        <v>43266027</v>
      </c>
      <c r="G16209">
        <v>43266061</v>
      </c>
      <c r="H16209">
        <v>43266004</v>
      </c>
      <c r="I16209">
        <v>43266025</v>
      </c>
    </row>
    <row r="16210" spans="1:9" x14ac:dyDescent="0.2">
      <c r="A16210" s="1" t="str">
        <f>"SLC22A8"</f>
        <v>SLC22A8</v>
      </c>
      <c r="B16210" t="s">
        <v>14</v>
      </c>
      <c r="C16210" t="s">
        <v>27</v>
      </c>
      <c r="D16210" t="s">
        <v>11</v>
      </c>
      <c r="E16210" t="s">
        <v>12</v>
      </c>
      <c r="F16210">
        <v>62783303</v>
      </c>
      <c r="G16210">
        <v>62783320</v>
      </c>
      <c r="H16210">
        <v>62783276</v>
      </c>
      <c r="I16210">
        <v>62783295</v>
      </c>
    </row>
    <row r="16211" spans="1:9" x14ac:dyDescent="0.2">
      <c r="A16211" s="1" t="str">
        <f>"SLC22A9"</f>
        <v>SLC22A9</v>
      </c>
      <c r="B16211" t="s">
        <v>14</v>
      </c>
      <c r="C16211" t="s">
        <v>27</v>
      </c>
      <c r="D16211" t="s">
        <v>17</v>
      </c>
      <c r="E16211" t="s">
        <v>12</v>
      </c>
      <c r="F16211">
        <v>63137251</v>
      </c>
      <c r="G16211">
        <v>63137267</v>
      </c>
      <c r="H16211">
        <v>63137251</v>
      </c>
      <c r="I16211">
        <v>63137267</v>
      </c>
    </row>
    <row r="16212" spans="1:9" x14ac:dyDescent="0.2">
      <c r="A16212" s="1" t="str">
        <f>"SLC23A1"</f>
        <v>SLC23A1</v>
      </c>
      <c r="B16212" t="s">
        <v>14</v>
      </c>
      <c r="C16212" t="s">
        <v>46</v>
      </c>
      <c r="D16212" t="s">
        <v>11</v>
      </c>
      <c r="E16212" t="s">
        <v>12</v>
      </c>
      <c r="F16212">
        <v>138718973</v>
      </c>
      <c r="G16212">
        <v>138719006</v>
      </c>
      <c r="H16212">
        <v>138718953</v>
      </c>
      <c r="I16212">
        <v>138718972</v>
      </c>
    </row>
    <row r="16213" spans="1:9" x14ac:dyDescent="0.2">
      <c r="A16213" s="1" t="str">
        <f>"SLC23A2"</f>
        <v>SLC23A2</v>
      </c>
      <c r="B16213" t="s">
        <v>14</v>
      </c>
      <c r="C16213" t="s">
        <v>29</v>
      </c>
      <c r="D16213" t="s">
        <v>11</v>
      </c>
      <c r="E16213" t="s">
        <v>12</v>
      </c>
      <c r="F16213">
        <v>4982132</v>
      </c>
      <c r="G16213">
        <v>4982164</v>
      </c>
      <c r="H16213">
        <v>4982098</v>
      </c>
      <c r="I16213">
        <v>4982109</v>
      </c>
    </row>
    <row r="16214" spans="1:9" x14ac:dyDescent="0.2">
      <c r="A16214" s="1" t="str">
        <f>"SLC23A3"</f>
        <v>SLC23A3</v>
      </c>
      <c r="B16214" t="s">
        <v>14</v>
      </c>
      <c r="C16214" t="s">
        <v>26</v>
      </c>
      <c r="D16214" t="s">
        <v>11</v>
      </c>
      <c r="E16214" t="s">
        <v>12</v>
      </c>
      <c r="F16214">
        <v>220034719</v>
      </c>
      <c r="G16214">
        <v>220034742</v>
      </c>
      <c r="H16214">
        <v>220034745</v>
      </c>
      <c r="I16214">
        <v>220034768</v>
      </c>
    </row>
    <row r="16215" spans="1:9" x14ac:dyDescent="0.2">
      <c r="A16215" s="1" t="str">
        <f>"SLC24A1"</f>
        <v>SLC24A1</v>
      </c>
      <c r="B16215" t="s">
        <v>9</v>
      </c>
      <c r="C16215" t="s">
        <v>25</v>
      </c>
      <c r="D16215" t="s">
        <v>17</v>
      </c>
      <c r="E16215" t="s">
        <v>12</v>
      </c>
      <c r="F16215">
        <v>65903680</v>
      </c>
      <c r="G16215">
        <v>65903755</v>
      </c>
      <c r="H16215">
        <v>65903680</v>
      </c>
      <c r="I16215">
        <v>65903755</v>
      </c>
    </row>
    <row r="16216" spans="1:9" x14ac:dyDescent="0.2">
      <c r="A16216" s="1" t="str">
        <f>"SLC24A1"</f>
        <v>SLC24A1</v>
      </c>
      <c r="B16216" t="s">
        <v>13</v>
      </c>
      <c r="C16216" t="s">
        <v>25</v>
      </c>
      <c r="D16216" t="s">
        <v>17</v>
      </c>
      <c r="E16216" t="s">
        <v>12</v>
      </c>
      <c r="F16216">
        <v>65914260</v>
      </c>
      <c r="G16216">
        <v>65914312</v>
      </c>
      <c r="H16216">
        <v>65914260</v>
      </c>
      <c r="I16216">
        <v>65914312</v>
      </c>
    </row>
    <row r="16217" spans="1:9" x14ac:dyDescent="0.2">
      <c r="A16217" s="1" t="str">
        <f>"SLC24A2"</f>
        <v>SLC24A2</v>
      </c>
      <c r="B16217" t="s">
        <v>14</v>
      </c>
      <c r="C16217" t="s">
        <v>24</v>
      </c>
      <c r="D16217" t="s">
        <v>11</v>
      </c>
      <c r="E16217" t="s">
        <v>12</v>
      </c>
      <c r="F16217">
        <v>19789028</v>
      </c>
      <c r="G16217">
        <v>19789050</v>
      </c>
      <c r="H16217">
        <v>19789059</v>
      </c>
      <c r="I16217">
        <v>19789070</v>
      </c>
    </row>
    <row r="16218" spans="1:9" x14ac:dyDescent="0.2">
      <c r="A16218" s="1" t="str">
        <f>"SLC24A3"</f>
        <v>SLC24A3</v>
      </c>
      <c r="B16218" t="s">
        <v>14</v>
      </c>
      <c r="C16218" t="s">
        <v>29</v>
      </c>
      <c r="D16218" t="s">
        <v>17</v>
      </c>
      <c r="E16218" t="s">
        <v>12</v>
      </c>
      <c r="F16218">
        <v>19193331</v>
      </c>
      <c r="G16218">
        <v>19193419</v>
      </c>
      <c r="H16218">
        <v>19193138</v>
      </c>
      <c r="I16218">
        <v>19193192</v>
      </c>
    </row>
    <row r="16219" spans="1:9" x14ac:dyDescent="0.2">
      <c r="A16219" s="1" t="str">
        <f>"SLC24A4"</f>
        <v>SLC24A4</v>
      </c>
      <c r="B16219" t="s">
        <v>14</v>
      </c>
      <c r="C16219" t="s">
        <v>41</v>
      </c>
      <c r="D16219" t="s">
        <v>17</v>
      </c>
      <c r="E16219" t="s">
        <v>12</v>
      </c>
      <c r="F16219">
        <v>92789498</v>
      </c>
      <c r="G16219">
        <v>92789515</v>
      </c>
      <c r="H16219">
        <v>92789941</v>
      </c>
      <c r="I16219">
        <v>92789968</v>
      </c>
    </row>
    <row r="16220" spans="1:9" x14ac:dyDescent="0.2">
      <c r="A16220" s="1" t="str">
        <f>"SLC24A5"</f>
        <v>SLC24A5</v>
      </c>
      <c r="B16220" t="s">
        <v>14</v>
      </c>
      <c r="C16220" t="s">
        <v>25</v>
      </c>
      <c r="D16220" t="s">
        <v>17</v>
      </c>
      <c r="E16220" t="s">
        <v>12</v>
      </c>
      <c r="F16220">
        <v>48413179</v>
      </c>
      <c r="G16220">
        <v>48413208</v>
      </c>
      <c r="H16220">
        <v>48413211</v>
      </c>
      <c r="I16220">
        <v>48413239</v>
      </c>
    </row>
    <row r="16221" spans="1:9" x14ac:dyDescent="0.2">
      <c r="A16221" s="1" t="str">
        <f>"SLC25A1"</f>
        <v>SLC25A1</v>
      </c>
      <c r="B16221" t="s">
        <v>14</v>
      </c>
      <c r="C16221" t="s">
        <v>21</v>
      </c>
      <c r="D16221" t="s">
        <v>11</v>
      </c>
      <c r="E16221" t="s">
        <v>12</v>
      </c>
      <c r="F16221">
        <v>19166241</v>
      </c>
      <c r="G16221">
        <v>19166257</v>
      </c>
      <c r="H16221">
        <v>19166269</v>
      </c>
      <c r="I16221">
        <v>19166306</v>
      </c>
    </row>
    <row r="16222" spans="1:9" x14ac:dyDescent="0.2">
      <c r="A16222" s="1" t="str">
        <f>"SLC25A10"</f>
        <v>SLC25A10</v>
      </c>
      <c r="B16222" t="s">
        <v>14</v>
      </c>
      <c r="C16222" t="s">
        <v>28</v>
      </c>
      <c r="D16222" t="s">
        <v>17</v>
      </c>
      <c r="E16222" t="s">
        <v>12</v>
      </c>
      <c r="F16222">
        <v>79670440</v>
      </c>
      <c r="G16222">
        <v>79670524</v>
      </c>
      <c r="H16222">
        <v>79670386</v>
      </c>
      <c r="I16222">
        <v>79670427</v>
      </c>
    </row>
    <row r="16223" spans="1:9" x14ac:dyDescent="0.2">
      <c r="A16223" s="1" t="str">
        <f>"SLC25A11"</f>
        <v>SLC25A11</v>
      </c>
      <c r="B16223" t="s">
        <v>14</v>
      </c>
      <c r="C16223" t="s">
        <v>28</v>
      </c>
      <c r="D16223" t="s">
        <v>11</v>
      </c>
      <c r="E16223" t="s">
        <v>12</v>
      </c>
      <c r="F16223">
        <v>4843206</v>
      </c>
      <c r="G16223">
        <v>4843271</v>
      </c>
      <c r="H16223">
        <v>4843316</v>
      </c>
      <c r="I16223">
        <v>4843388</v>
      </c>
    </row>
    <row r="16224" spans="1:9" x14ac:dyDescent="0.2">
      <c r="A16224" s="1" t="str">
        <f>"SLC25A12"</f>
        <v>SLC25A12</v>
      </c>
      <c r="B16224" t="s">
        <v>14</v>
      </c>
      <c r="C16224" t="s">
        <v>26</v>
      </c>
      <c r="D16224" t="s">
        <v>11</v>
      </c>
      <c r="E16224" t="s">
        <v>12</v>
      </c>
      <c r="F16224">
        <v>172750737</v>
      </c>
      <c r="G16224">
        <v>172750761</v>
      </c>
      <c r="H16224">
        <v>172750737</v>
      </c>
      <c r="I16224">
        <v>172750761</v>
      </c>
    </row>
    <row r="16225" spans="1:9" x14ac:dyDescent="0.2">
      <c r="A16225" s="1" t="str">
        <f>"SLC25A13"</f>
        <v>SLC25A13</v>
      </c>
      <c r="B16225" t="s">
        <v>14</v>
      </c>
      <c r="C16225" t="s">
        <v>33</v>
      </c>
      <c r="D16225" t="s">
        <v>11</v>
      </c>
      <c r="E16225" t="s">
        <v>12</v>
      </c>
      <c r="F16225">
        <v>95951334</v>
      </c>
      <c r="G16225">
        <v>95951417</v>
      </c>
      <c r="H16225">
        <v>95951432</v>
      </c>
      <c r="I16225">
        <v>95951453</v>
      </c>
    </row>
    <row r="16226" spans="1:9" x14ac:dyDescent="0.2">
      <c r="A16226" s="1" t="str">
        <f>"SLC25A14"</f>
        <v>SLC25A14</v>
      </c>
      <c r="B16226" t="s">
        <v>14</v>
      </c>
      <c r="C16226" t="s">
        <v>37</v>
      </c>
      <c r="D16226" t="s">
        <v>17</v>
      </c>
      <c r="E16226" t="s">
        <v>12</v>
      </c>
      <c r="F16226">
        <v>129473859</v>
      </c>
      <c r="G16226">
        <v>129473904</v>
      </c>
      <c r="H16226">
        <v>129473916</v>
      </c>
      <c r="I16226">
        <v>129473934</v>
      </c>
    </row>
    <row r="16227" spans="1:9" x14ac:dyDescent="0.2">
      <c r="A16227" s="1" t="str">
        <f>"SLC25A15"</f>
        <v>SLC25A15</v>
      </c>
      <c r="B16227" t="s">
        <v>14</v>
      </c>
      <c r="C16227" t="s">
        <v>39</v>
      </c>
      <c r="D16227" t="s">
        <v>17</v>
      </c>
      <c r="E16227" t="s">
        <v>12</v>
      </c>
      <c r="F16227">
        <v>41363709</v>
      </c>
      <c r="G16227">
        <v>41363738</v>
      </c>
      <c r="H16227">
        <v>41363739</v>
      </c>
      <c r="I16227">
        <v>41363753</v>
      </c>
    </row>
    <row r="16228" spans="1:9" x14ac:dyDescent="0.2">
      <c r="A16228" s="1" t="str">
        <f>"SLC25A16"</f>
        <v>SLC25A16</v>
      </c>
      <c r="B16228" t="s">
        <v>14</v>
      </c>
      <c r="C16228" t="s">
        <v>15</v>
      </c>
      <c r="D16228" t="s">
        <v>11</v>
      </c>
      <c r="E16228" t="s">
        <v>12</v>
      </c>
      <c r="F16228">
        <v>70287233</v>
      </c>
      <c r="G16228">
        <v>70287290</v>
      </c>
      <c r="H16228">
        <v>70287203</v>
      </c>
      <c r="I16228">
        <v>70287226</v>
      </c>
    </row>
    <row r="16229" spans="1:9" x14ac:dyDescent="0.2">
      <c r="A16229" s="1" t="str">
        <f>"SLC25A17"</f>
        <v>SLC25A17</v>
      </c>
      <c r="B16229" t="s">
        <v>14</v>
      </c>
      <c r="C16229" t="s">
        <v>21</v>
      </c>
      <c r="D16229" t="s">
        <v>11</v>
      </c>
      <c r="E16229" t="s">
        <v>12</v>
      </c>
      <c r="F16229">
        <v>41215328</v>
      </c>
      <c r="G16229">
        <v>41215395</v>
      </c>
      <c r="H16229">
        <v>41215301</v>
      </c>
      <c r="I16229">
        <v>41215326</v>
      </c>
    </row>
    <row r="16230" spans="1:9" x14ac:dyDescent="0.2">
      <c r="A16230" s="1" t="str">
        <f>"SLC25A18"</f>
        <v>SLC25A18</v>
      </c>
      <c r="B16230" t="s">
        <v>14</v>
      </c>
      <c r="C16230" t="s">
        <v>21</v>
      </c>
      <c r="D16230" t="s">
        <v>17</v>
      </c>
      <c r="E16230" t="s">
        <v>12</v>
      </c>
      <c r="F16230">
        <v>18043185</v>
      </c>
      <c r="G16230">
        <v>18043204</v>
      </c>
      <c r="H16230">
        <v>18043133</v>
      </c>
      <c r="I16230">
        <v>18043153</v>
      </c>
    </row>
    <row r="16231" spans="1:9" x14ac:dyDescent="0.2">
      <c r="A16231" s="1" t="str">
        <f>"SLC25A19"</f>
        <v>SLC25A19</v>
      </c>
      <c r="B16231" t="s">
        <v>14</v>
      </c>
      <c r="C16231" t="s">
        <v>28</v>
      </c>
      <c r="D16231" t="s">
        <v>11</v>
      </c>
      <c r="E16231" t="s">
        <v>12</v>
      </c>
      <c r="F16231">
        <v>73285462</v>
      </c>
      <c r="G16231">
        <v>73285535</v>
      </c>
      <c r="H16231">
        <v>73286026</v>
      </c>
      <c r="I16231">
        <v>73286046</v>
      </c>
    </row>
    <row r="16232" spans="1:9" x14ac:dyDescent="0.2">
      <c r="A16232" s="1" t="str">
        <f>"SLC25A2"</f>
        <v>SLC25A2</v>
      </c>
      <c r="B16232" t="s">
        <v>14</v>
      </c>
      <c r="C16232" t="s">
        <v>46</v>
      </c>
      <c r="D16232" t="s">
        <v>11</v>
      </c>
      <c r="E16232" t="s">
        <v>12</v>
      </c>
      <c r="F16232">
        <v>140683613</v>
      </c>
      <c r="G16232">
        <v>140683618</v>
      </c>
      <c r="H16232">
        <v>140683613</v>
      </c>
      <c r="I16232">
        <v>140683618</v>
      </c>
    </row>
    <row r="16233" spans="1:9" x14ac:dyDescent="0.2">
      <c r="A16233" s="1" t="str">
        <f>"SLC25A20"</f>
        <v>SLC25A20</v>
      </c>
      <c r="B16233" t="s">
        <v>14</v>
      </c>
      <c r="C16233" t="s">
        <v>22</v>
      </c>
      <c r="D16233" t="s">
        <v>11</v>
      </c>
      <c r="E16233" t="s">
        <v>12</v>
      </c>
      <c r="F16233">
        <v>48936272</v>
      </c>
      <c r="G16233">
        <v>48936353</v>
      </c>
      <c r="H16233">
        <v>48936246</v>
      </c>
      <c r="I16233">
        <v>48936268</v>
      </c>
    </row>
    <row r="16234" spans="1:9" x14ac:dyDescent="0.2">
      <c r="A16234" s="1" t="str">
        <f>"SLC25A21"</f>
        <v>SLC25A21</v>
      </c>
      <c r="B16234" t="s">
        <v>14</v>
      </c>
      <c r="C16234" t="s">
        <v>41</v>
      </c>
      <c r="D16234" t="s">
        <v>11</v>
      </c>
      <c r="E16234" t="s">
        <v>12</v>
      </c>
      <c r="F16234">
        <v>37641764</v>
      </c>
      <c r="G16234">
        <v>37641816</v>
      </c>
      <c r="H16234">
        <v>37641689</v>
      </c>
      <c r="I16234">
        <v>37641711</v>
      </c>
    </row>
    <row r="16235" spans="1:9" x14ac:dyDescent="0.2">
      <c r="A16235" s="1" t="str">
        <f>"SLC25A22"</f>
        <v>SLC25A22</v>
      </c>
      <c r="B16235" t="s">
        <v>14</v>
      </c>
      <c r="C16235" t="s">
        <v>27</v>
      </c>
      <c r="D16235" t="s">
        <v>11</v>
      </c>
      <c r="E16235" t="s">
        <v>12</v>
      </c>
      <c r="F16235">
        <v>798239</v>
      </c>
      <c r="G16235">
        <v>798303</v>
      </c>
      <c r="H16235">
        <v>798239</v>
      </c>
      <c r="I16235">
        <v>798303</v>
      </c>
    </row>
    <row r="16236" spans="1:9" x14ac:dyDescent="0.2">
      <c r="A16236" s="1" t="str">
        <f>"SLC25A23"</f>
        <v>SLC25A23</v>
      </c>
      <c r="B16236" t="s">
        <v>14</v>
      </c>
      <c r="C16236" t="s">
        <v>10</v>
      </c>
      <c r="D16236" t="s">
        <v>11</v>
      </c>
      <c r="E16236" t="s">
        <v>12</v>
      </c>
      <c r="F16236">
        <v>6459764</v>
      </c>
      <c r="G16236">
        <v>6459816</v>
      </c>
      <c r="H16236">
        <v>6459764</v>
      </c>
      <c r="I16236">
        <v>6459816</v>
      </c>
    </row>
    <row r="16237" spans="1:9" x14ac:dyDescent="0.2">
      <c r="A16237" s="1" t="str">
        <f>"SLC25A24"</f>
        <v>SLC25A24</v>
      </c>
      <c r="B16237" t="s">
        <v>14</v>
      </c>
      <c r="C16237" t="s">
        <v>19</v>
      </c>
      <c r="D16237" t="s">
        <v>11</v>
      </c>
      <c r="E16237" t="s">
        <v>12</v>
      </c>
      <c r="F16237">
        <v>108742862</v>
      </c>
      <c r="G16237">
        <v>108742950</v>
      </c>
      <c r="H16237">
        <v>108742772</v>
      </c>
      <c r="I16237">
        <v>108742830</v>
      </c>
    </row>
    <row r="16238" spans="1:9" x14ac:dyDescent="0.2">
      <c r="A16238" s="1" t="str">
        <f>"SLC25A25"</f>
        <v>SLC25A25</v>
      </c>
      <c r="B16238" t="s">
        <v>1548</v>
      </c>
      <c r="C16238" t="s">
        <v>24</v>
      </c>
      <c r="D16238" t="s">
        <v>17</v>
      </c>
      <c r="E16238" t="s">
        <v>35</v>
      </c>
      <c r="F16238">
        <v>130860603</v>
      </c>
      <c r="G16238">
        <v>130860606</v>
      </c>
      <c r="H16238">
        <v>130860779</v>
      </c>
      <c r="I16238">
        <v>130860800</v>
      </c>
    </row>
    <row r="16239" spans="1:9" x14ac:dyDescent="0.2">
      <c r="A16239" s="1" t="str">
        <f>"SLC25A26"</f>
        <v>SLC25A26</v>
      </c>
      <c r="B16239" t="s">
        <v>1549</v>
      </c>
      <c r="C16239" t="s">
        <v>22</v>
      </c>
      <c r="D16239" t="s">
        <v>17</v>
      </c>
      <c r="E16239" t="s">
        <v>20</v>
      </c>
      <c r="F16239">
        <v>66119284</v>
      </c>
      <c r="G16239">
        <v>66119284</v>
      </c>
      <c r="H16239">
        <v>66119284</v>
      </c>
      <c r="I16239">
        <v>66119284</v>
      </c>
    </row>
    <row r="16240" spans="1:9" x14ac:dyDescent="0.2">
      <c r="A16240" s="1" t="str">
        <f>"SLC25A27"</f>
        <v>SLC25A27</v>
      </c>
      <c r="B16240" t="s">
        <v>14</v>
      </c>
      <c r="C16240" t="s">
        <v>32</v>
      </c>
      <c r="D16240" t="s">
        <v>17</v>
      </c>
      <c r="E16240" t="s">
        <v>12</v>
      </c>
      <c r="F16240">
        <v>46620705</v>
      </c>
      <c r="G16240">
        <v>46620732</v>
      </c>
      <c r="H16240">
        <v>46620738</v>
      </c>
      <c r="I16240">
        <v>46620755</v>
      </c>
    </row>
    <row r="16241" spans="1:9" x14ac:dyDescent="0.2">
      <c r="A16241" s="1" t="str">
        <f>"SLC25A28"</f>
        <v>SLC25A28</v>
      </c>
      <c r="B16241" t="s">
        <v>14</v>
      </c>
      <c r="C16241" t="s">
        <v>15</v>
      </c>
      <c r="D16241" t="s">
        <v>11</v>
      </c>
      <c r="E16241" t="s">
        <v>12</v>
      </c>
      <c r="F16241">
        <v>101380158</v>
      </c>
      <c r="G16241">
        <v>101380235</v>
      </c>
      <c r="H16241">
        <v>101380158</v>
      </c>
      <c r="I16241">
        <v>101380235</v>
      </c>
    </row>
    <row r="16242" spans="1:9" x14ac:dyDescent="0.2">
      <c r="A16242" s="1" t="str">
        <f>"SLC25A29"</f>
        <v>SLC25A29</v>
      </c>
      <c r="B16242" t="s">
        <v>14</v>
      </c>
      <c r="C16242" t="s">
        <v>41</v>
      </c>
      <c r="D16242" t="s">
        <v>11</v>
      </c>
      <c r="E16242" t="s">
        <v>12</v>
      </c>
      <c r="F16242">
        <v>100772767</v>
      </c>
      <c r="G16242">
        <v>100772790</v>
      </c>
      <c r="H16242">
        <v>100772862</v>
      </c>
      <c r="I16242">
        <v>100772877</v>
      </c>
    </row>
    <row r="16243" spans="1:9" x14ac:dyDescent="0.2">
      <c r="A16243" s="1" t="str">
        <f>"SLC25A3"</f>
        <v>SLC25A3</v>
      </c>
      <c r="B16243" t="s">
        <v>14</v>
      </c>
      <c r="C16243" t="s">
        <v>16</v>
      </c>
      <c r="D16243" t="s">
        <v>17</v>
      </c>
      <c r="E16243" t="s">
        <v>12</v>
      </c>
      <c r="F16243">
        <v>98987458</v>
      </c>
      <c r="G16243">
        <v>98987473</v>
      </c>
      <c r="H16243">
        <v>98987458</v>
      </c>
      <c r="I16243">
        <v>98987473</v>
      </c>
    </row>
    <row r="16244" spans="1:9" x14ac:dyDescent="0.2">
      <c r="A16244" s="1" t="str">
        <f>"SLC25A30"</f>
        <v>SLC25A30</v>
      </c>
      <c r="B16244" t="s">
        <v>14</v>
      </c>
      <c r="C16244" t="s">
        <v>39</v>
      </c>
      <c r="D16244" t="s">
        <v>11</v>
      </c>
      <c r="E16244" t="s">
        <v>12</v>
      </c>
      <c r="F16244">
        <v>45992473</v>
      </c>
      <c r="G16244">
        <v>45992524</v>
      </c>
      <c r="H16244">
        <v>45992541</v>
      </c>
      <c r="I16244">
        <v>45992562</v>
      </c>
    </row>
    <row r="16245" spans="1:9" x14ac:dyDescent="0.2">
      <c r="A16245" s="1" t="str">
        <f>"SLC25A31"</f>
        <v>SLC25A31</v>
      </c>
      <c r="B16245" t="s">
        <v>14</v>
      </c>
      <c r="C16245" t="s">
        <v>23</v>
      </c>
      <c r="D16245" t="s">
        <v>17</v>
      </c>
      <c r="E16245" t="s">
        <v>12</v>
      </c>
      <c r="F16245">
        <v>128651549</v>
      </c>
      <c r="G16245">
        <v>128651601</v>
      </c>
      <c r="H16245">
        <v>128651530</v>
      </c>
      <c r="I16245">
        <v>128651540</v>
      </c>
    </row>
    <row r="16246" spans="1:9" x14ac:dyDescent="0.2">
      <c r="A16246" s="1" t="str">
        <f>"SLC25A32"</f>
        <v>SLC25A32</v>
      </c>
      <c r="B16246" t="s">
        <v>14</v>
      </c>
      <c r="C16246" t="s">
        <v>30</v>
      </c>
      <c r="D16246" t="s">
        <v>11</v>
      </c>
      <c r="E16246" t="s">
        <v>12</v>
      </c>
      <c r="F16246">
        <v>104427313</v>
      </c>
      <c r="G16246">
        <v>104427413</v>
      </c>
      <c r="H16246">
        <v>104427289</v>
      </c>
      <c r="I16246">
        <v>104427307</v>
      </c>
    </row>
    <row r="16247" spans="1:9" x14ac:dyDescent="0.2">
      <c r="A16247" s="1" t="str">
        <f>"SLC25A33"</f>
        <v>SLC25A33</v>
      </c>
      <c r="B16247" t="s">
        <v>14</v>
      </c>
      <c r="C16247" t="s">
        <v>19</v>
      </c>
      <c r="D16247" t="s">
        <v>17</v>
      </c>
      <c r="E16247" t="s">
        <v>12</v>
      </c>
      <c r="F16247">
        <v>9599490</v>
      </c>
      <c r="G16247">
        <v>9599529</v>
      </c>
      <c r="H16247">
        <v>9599540</v>
      </c>
      <c r="I16247">
        <v>9599560</v>
      </c>
    </row>
    <row r="16248" spans="1:9" x14ac:dyDescent="0.2">
      <c r="A16248" s="1" t="str">
        <f>"SLC25A34"</f>
        <v>SLC25A34</v>
      </c>
      <c r="B16248" t="s">
        <v>14</v>
      </c>
      <c r="C16248" t="s">
        <v>19</v>
      </c>
      <c r="D16248" t="s">
        <v>17</v>
      </c>
      <c r="E16248" t="s">
        <v>12</v>
      </c>
      <c r="F16248">
        <v>16062768</v>
      </c>
      <c r="G16248">
        <v>16062798</v>
      </c>
      <c r="H16248">
        <v>16062747</v>
      </c>
      <c r="I16248">
        <v>16062758</v>
      </c>
    </row>
    <row r="16249" spans="1:9" x14ac:dyDescent="0.2">
      <c r="A16249" s="1" t="str">
        <f>"SLC25A35"</f>
        <v>SLC25A35</v>
      </c>
      <c r="B16249" t="s">
        <v>14</v>
      </c>
      <c r="C16249" t="s">
        <v>28</v>
      </c>
      <c r="D16249" t="s">
        <v>11</v>
      </c>
      <c r="E16249" t="s">
        <v>12</v>
      </c>
      <c r="F16249">
        <v>8198647</v>
      </c>
      <c r="G16249">
        <v>8198724</v>
      </c>
      <c r="H16249">
        <v>8198647</v>
      </c>
      <c r="I16249">
        <v>8198724</v>
      </c>
    </row>
    <row r="16250" spans="1:9" x14ac:dyDescent="0.2">
      <c r="A16250" s="1" t="str">
        <f>"SLC25A36"</f>
        <v>SLC25A36</v>
      </c>
      <c r="B16250" t="s">
        <v>14</v>
      </c>
      <c r="C16250" t="s">
        <v>22</v>
      </c>
      <c r="D16250" t="s">
        <v>17</v>
      </c>
      <c r="E16250" t="s">
        <v>12</v>
      </c>
      <c r="F16250">
        <v>140660634</v>
      </c>
      <c r="G16250">
        <v>140660720</v>
      </c>
      <c r="H16250">
        <v>140660747</v>
      </c>
      <c r="I16250">
        <v>140660758</v>
      </c>
    </row>
    <row r="16251" spans="1:9" x14ac:dyDescent="0.2">
      <c r="A16251" s="1" t="str">
        <f>"SLC25A37"</f>
        <v>SLC25A37</v>
      </c>
      <c r="B16251" t="s">
        <v>14</v>
      </c>
      <c r="C16251" t="s">
        <v>30</v>
      </c>
      <c r="D16251" t="s">
        <v>17</v>
      </c>
      <c r="E16251" t="s">
        <v>12</v>
      </c>
      <c r="F16251">
        <v>23386444</v>
      </c>
      <c r="G16251">
        <v>23386524</v>
      </c>
      <c r="H16251">
        <v>23386361</v>
      </c>
      <c r="I16251">
        <v>23386407</v>
      </c>
    </row>
    <row r="16252" spans="1:9" x14ac:dyDescent="0.2">
      <c r="A16252" s="1" t="str">
        <f>"SLC25A38"</f>
        <v>SLC25A38</v>
      </c>
      <c r="B16252" t="s">
        <v>14</v>
      </c>
      <c r="C16252" t="s">
        <v>22</v>
      </c>
      <c r="D16252" t="s">
        <v>17</v>
      </c>
      <c r="E16252" t="s">
        <v>12</v>
      </c>
      <c r="F16252">
        <v>39424828</v>
      </c>
      <c r="G16252">
        <v>39424918</v>
      </c>
      <c r="H16252">
        <v>39424828</v>
      </c>
      <c r="I16252">
        <v>39424918</v>
      </c>
    </row>
    <row r="16253" spans="1:9" x14ac:dyDescent="0.2">
      <c r="A16253" s="1" t="str">
        <f>"SLC25A39"</f>
        <v>SLC25A39</v>
      </c>
      <c r="B16253" t="s">
        <v>9</v>
      </c>
      <c r="C16253" t="s">
        <v>28</v>
      </c>
      <c r="D16253" t="s">
        <v>11</v>
      </c>
      <c r="E16253" t="s">
        <v>12</v>
      </c>
      <c r="F16253">
        <v>42402144</v>
      </c>
      <c r="G16253">
        <v>42402212</v>
      </c>
      <c r="H16253">
        <v>42402144</v>
      </c>
      <c r="I16253">
        <v>42402212</v>
      </c>
    </row>
    <row r="16254" spans="1:9" x14ac:dyDescent="0.2">
      <c r="A16254" s="1" t="str">
        <f>"SLC25A39"</f>
        <v>SLC25A39</v>
      </c>
      <c r="B16254" t="s">
        <v>13</v>
      </c>
      <c r="C16254" t="s">
        <v>28</v>
      </c>
      <c r="D16254" t="s">
        <v>11</v>
      </c>
      <c r="E16254" t="s">
        <v>12</v>
      </c>
      <c r="F16254">
        <v>42397257</v>
      </c>
      <c r="G16254">
        <v>42397278</v>
      </c>
      <c r="H16254">
        <v>42397257</v>
      </c>
      <c r="I16254">
        <v>42397278</v>
      </c>
    </row>
    <row r="16255" spans="1:9" x14ac:dyDescent="0.2">
      <c r="A16255" s="1" t="str">
        <f>"SLC25A4"</f>
        <v>SLC25A4</v>
      </c>
      <c r="B16255" t="s">
        <v>14</v>
      </c>
      <c r="C16255" t="s">
        <v>23</v>
      </c>
      <c r="D16255" t="s">
        <v>17</v>
      </c>
      <c r="E16255" t="s">
        <v>12</v>
      </c>
      <c r="F16255">
        <v>186064412</v>
      </c>
      <c r="G16255">
        <v>186064426</v>
      </c>
      <c r="H16255">
        <v>186064412</v>
      </c>
      <c r="I16255">
        <v>186064426</v>
      </c>
    </row>
    <row r="16256" spans="1:9" x14ac:dyDescent="0.2">
      <c r="A16256" s="1" t="str">
        <f>"SLC25A40"</f>
        <v>SLC25A40</v>
      </c>
      <c r="B16256" t="s">
        <v>14</v>
      </c>
      <c r="C16256" t="s">
        <v>33</v>
      </c>
      <c r="D16256" t="s">
        <v>11</v>
      </c>
      <c r="E16256" t="s">
        <v>12</v>
      </c>
      <c r="F16256">
        <v>87505658</v>
      </c>
      <c r="G16256">
        <v>87505717</v>
      </c>
      <c r="H16256">
        <v>87505588</v>
      </c>
      <c r="I16256">
        <v>87505653</v>
      </c>
    </row>
    <row r="16257" spans="1:9" x14ac:dyDescent="0.2">
      <c r="A16257" s="1" t="str">
        <f>"SLC25A41"</f>
        <v>SLC25A41</v>
      </c>
      <c r="B16257" t="s">
        <v>14</v>
      </c>
      <c r="C16257" t="s">
        <v>10</v>
      </c>
      <c r="D16257" t="s">
        <v>11</v>
      </c>
      <c r="E16257" t="s">
        <v>12</v>
      </c>
      <c r="F16257">
        <v>6433765</v>
      </c>
      <c r="G16257">
        <v>6433778</v>
      </c>
      <c r="H16257">
        <v>6433806</v>
      </c>
      <c r="I16257">
        <v>6433807</v>
      </c>
    </row>
    <row r="16258" spans="1:9" x14ac:dyDescent="0.2">
      <c r="A16258" s="1" t="str">
        <f>"SLC25A42"</f>
        <v>SLC25A42</v>
      </c>
      <c r="B16258" t="s">
        <v>14</v>
      </c>
      <c r="C16258" t="s">
        <v>10</v>
      </c>
      <c r="D16258" t="s">
        <v>17</v>
      </c>
      <c r="E16258" t="s">
        <v>12</v>
      </c>
      <c r="F16258">
        <v>19174795</v>
      </c>
      <c r="G16258">
        <v>19174833</v>
      </c>
      <c r="H16258">
        <v>19174585</v>
      </c>
      <c r="I16258">
        <v>19174602</v>
      </c>
    </row>
    <row r="16259" spans="1:9" x14ac:dyDescent="0.2">
      <c r="A16259" s="1" t="str">
        <f>"SLC25A43"</f>
        <v>SLC25A43</v>
      </c>
      <c r="B16259" t="s">
        <v>14</v>
      </c>
      <c r="C16259" t="s">
        <v>37</v>
      </c>
      <c r="D16259" t="s">
        <v>17</v>
      </c>
      <c r="E16259" t="s">
        <v>12</v>
      </c>
      <c r="F16259">
        <v>118533269</v>
      </c>
      <c r="G16259">
        <v>118533364</v>
      </c>
      <c r="H16259">
        <v>118533253</v>
      </c>
      <c r="I16259">
        <v>118533262</v>
      </c>
    </row>
    <row r="16260" spans="1:9" x14ac:dyDescent="0.2">
      <c r="A16260" s="1" t="str">
        <f>"SLC25A44"</f>
        <v>SLC25A44</v>
      </c>
      <c r="B16260" t="s">
        <v>14</v>
      </c>
      <c r="C16260" t="s">
        <v>19</v>
      </c>
      <c r="D16260" t="s">
        <v>17</v>
      </c>
      <c r="E16260" t="s">
        <v>12</v>
      </c>
      <c r="F16260">
        <v>156163883</v>
      </c>
      <c r="G16260">
        <v>156163917</v>
      </c>
      <c r="H16260">
        <v>156163713</v>
      </c>
      <c r="I16260">
        <v>156163735</v>
      </c>
    </row>
    <row r="16261" spans="1:9" x14ac:dyDescent="0.2">
      <c r="A16261" s="1" t="str">
        <f>"SLC25A45"</f>
        <v>SLC25A45</v>
      </c>
      <c r="B16261" t="s">
        <v>14</v>
      </c>
      <c r="C16261" t="s">
        <v>27</v>
      </c>
      <c r="D16261" t="s">
        <v>11</v>
      </c>
      <c r="E16261" t="s">
        <v>12</v>
      </c>
      <c r="F16261">
        <v>65150103</v>
      </c>
      <c r="G16261">
        <v>65150148</v>
      </c>
      <c r="H16261">
        <v>65149849</v>
      </c>
      <c r="I16261">
        <v>65149899</v>
      </c>
    </row>
    <row r="16262" spans="1:9" x14ac:dyDescent="0.2">
      <c r="A16262" s="1" t="str">
        <f>"SLC25A46"</f>
        <v>SLC25A46</v>
      </c>
      <c r="B16262" t="s">
        <v>14</v>
      </c>
      <c r="C16262" t="s">
        <v>46</v>
      </c>
      <c r="D16262" t="s">
        <v>17</v>
      </c>
      <c r="E16262" t="s">
        <v>12</v>
      </c>
      <c r="F16262">
        <v>110074685</v>
      </c>
      <c r="G16262">
        <v>110074756</v>
      </c>
      <c r="H16262">
        <v>110074685</v>
      </c>
      <c r="I16262">
        <v>110074756</v>
      </c>
    </row>
    <row r="16263" spans="1:9" x14ac:dyDescent="0.2">
      <c r="A16263" s="1" t="str">
        <f>"SLC25A47"</f>
        <v>SLC25A47</v>
      </c>
      <c r="B16263" t="s">
        <v>14</v>
      </c>
      <c r="C16263" t="s">
        <v>41</v>
      </c>
      <c r="D16263" t="s">
        <v>17</v>
      </c>
      <c r="E16263" t="s">
        <v>12</v>
      </c>
      <c r="F16263">
        <v>100789669</v>
      </c>
      <c r="G16263">
        <v>100789685</v>
      </c>
      <c r="H16263">
        <v>100789669</v>
      </c>
      <c r="I16263">
        <v>100789685</v>
      </c>
    </row>
    <row r="16264" spans="1:9" x14ac:dyDescent="0.2">
      <c r="A16264" s="1" t="str">
        <f>"SLC25A48"</f>
        <v>SLC25A48</v>
      </c>
      <c r="B16264" t="s">
        <v>14</v>
      </c>
      <c r="C16264" t="s">
        <v>46</v>
      </c>
      <c r="D16264" t="s">
        <v>17</v>
      </c>
      <c r="E16264" t="s">
        <v>12</v>
      </c>
      <c r="F16264">
        <v>135170331</v>
      </c>
      <c r="G16264">
        <v>135170394</v>
      </c>
      <c r="H16264">
        <v>135170428</v>
      </c>
      <c r="I16264">
        <v>135170448</v>
      </c>
    </row>
    <row r="16265" spans="1:9" x14ac:dyDescent="0.2">
      <c r="A16265" s="1" t="str">
        <f>"SLC25A5"</f>
        <v>SLC25A5</v>
      </c>
      <c r="B16265" t="s">
        <v>14</v>
      </c>
      <c r="C16265" t="s">
        <v>37</v>
      </c>
      <c r="D16265" t="s">
        <v>17</v>
      </c>
      <c r="E16265" t="s">
        <v>12</v>
      </c>
      <c r="F16265">
        <v>118602399</v>
      </c>
      <c r="G16265">
        <v>118602414</v>
      </c>
      <c r="H16265">
        <v>118602385</v>
      </c>
      <c r="I16265">
        <v>118602397</v>
      </c>
    </row>
    <row r="16266" spans="1:9" x14ac:dyDescent="0.2">
      <c r="A16266" s="1" t="str">
        <f>"SLC25A51"</f>
        <v>SLC25A51</v>
      </c>
      <c r="B16266" t="s">
        <v>14</v>
      </c>
      <c r="C16266" t="s">
        <v>24</v>
      </c>
      <c r="D16266" t="s">
        <v>11</v>
      </c>
      <c r="E16266" t="s">
        <v>12</v>
      </c>
      <c r="F16266">
        <v>37904084</v>
      </c>
      <c r="G16266">
        <v>37904138</v>
      </c>
      <c r="H16266">
        <v>37904338</v>
      </c>
      <c r="I16266">
        <v>37904368</v>
      </c>
    </row>
    <row r="16267" spans="1:9" x14ac:dyDescent="0.2">
      <c r="A16267" s="1" t="str">
        <f>"SLC25A52"</f>
        <v>SLC25A52</v>
      </c>
      <c r="B16267" t="s">
        <v>14</v>
      </c>
      <c r="C16267" t="s">
        <v>43</v>
      </c>
      <c r="D16267" t="s">
        <v>11</v>
      </c>
      <c r="E16267" t="s">
        <v>12</v>
      </c>
      <c r="F16267">
        <v>29340827</v>
      </c>
      <c r="G16267">
        <v>29340845</v>
      </c>
      <c r="H16267">
        <v>29340827</v>
      </c>
      <c r="I16267">
        <v>29340845</v>
      </c>
    </row>
    <row r="16268" spans="1:9" x14ac:dyDescent="0.2">
      <c r="A16268" s="1" t="str">
        <f>"SLC25A53"</f>
        <v>SLC25A53</v>
      </c>
      <c r="B16268" t="s">
        <v>14</v>
      </c>
      <c r="C16268" t="s">
        <v>37</v>
      </c>
      <c r="D16268" t="s">
        <v>11</v>
      </c>
      <c r="E16268" t="s">
        <v>12</v>
      </c>
      <c r="F16268">
        <v>103401649</v>
      </c>
      <c r="G16268">
        <v>103401697</v>
      </c>
      <c r="H16268">
        <v>103401629</v>
      </c>
      <c r="I16268">
        <v>103401647</v>
      </c>
    </row>
    <row r="16269" spans="1:9" x14ac:dyDescent="0.2">
      <c r="A16269" s="1" t="str">
        <f>"SLC25A6"</f>
        <v>SLC25A6</v>
      </c>
      <c r="B16269" t="s">
        <v>9</v>
      </c>
      <c r="C16269" t="s">
        <v>37</v>
      </c>
      <c r="D16269" t="s">
        <v>11</v>
      </c>
      <c r="E16269" t="s">
        <v>12</v>
      </c>
      <c r="F16269">
        <v>1510994</v>
      </c>
      <c r="G16269">
        <v>1511012</v>
      </c>
      <c r="H16269">
        <v>1510994</v>
      </c>
      <c r="I16269">
        <v>1511012</v>
      </c>
    </row>
    <row r="16270" spans="1:9" x14ac:dyDescent="0.2">
      <c r="A16270" s="1" t="str">
        <f>"SLC25A6"</f>
        <v>SLC25A6</v>
      </c>
      <c r="B16270" t="s">
        <v>13</v>
      </c>
      <c r="C16270" t="s">
        <v>37</v>
      </c>
      <c r="D16270" t="s">
        <v>11</v>
      </c>
      <c r="E16270" t="s">
        <v>12</v>
      </c>
      <c r="F16270">
        <v>1508481</v>
      </c>
      <c r="G16270">
        <v>1508521</v>
      </c>
      <c r="H16270">
        <v>1508481</v>
      </c>
      <c r="I16270">
        <v>1508521</v>
      </c>
    </row>
    <row r="16271" spans="1:9" x14ac:dyDescent="0.2">
      <c r="A16271" s="1" t="str">
        <f>"SLC26A1"</f>
        <v>SLC26A1</v>
      </c>
      <c r="B16271" t="s">
        <v>14</v>
      </c>
      <c r="C16271" t="s">
        <v>23</v>
      </c>
      <c r="D16271" t="s">
        <v>11</v>
      </c>
      <c r="E16271" t="s">
        <v>12</v>
      </c>
      <c r="F16271">
        <v>987186</v>
      </c>
      <c r="G16271">
        <v>987201</v>
      </c>
      <c r="H16271">
        <v>987217</v>
      </c>
      <c r="I16271">
        <v>987231</v>
      </c>
    </row>
    <row r="16272" spans="1:9" x14ac:dyDescent="0.2">
      <c r="A16272" s="1" t="str">
        <f>"SLC26A10"</f>
        <v>SLC26A10</v>
      </c>
      <c r="B16272" t="s">
        <v>14</v>
      </c>
      <c r="C16272" t="s">
        <v>16</v>
      </c>
      <c r="D16272" t="s">
        <v>17</v>
      </c>
      <c r="E16272" t="s">
        <v>12</v>
      </c>
      <c r="F16272">
        <v>58013308</v>
      </c>
      <c r="G16272">
        <v>58013311</v>
      </c>
      <c r="H16272">
        <v>58012950</v>
      </c>
      <c r="I16272">
        <v>58012951</v>
      </c>
    </row>
    <row r="16273" spans="1:9" x14ac:dyDescent="0.2">
      <c r="A16273" s="1" t="str">
        <f>"SLC26A11"</f>
        <v>SLC26A11</v>
      </c>
      <c r="B16273" t="s">
        <v>14</v>
      </c>
      <c r="C16273" t="s">
        <v>28</v>
      </c>
      <c r="D16273" t="s">
        <v>17</v>
      </c>
      <c r="E16273" t="s">
        <v>12</v>
      </c>
      <c r="F16273">
        <v>78194205</v>
      </c>
      <c r="G16273">
        <v>78194257</v>
      </c>
      <c r="H16273">
        <v>78194046</v>
      </c>
      <c r="I16273">
        <v>78194081</v>
      </c>
    </row>
    <row r="16274" spans="1:9" x14ac:dyDescent="0.2">
      <c r="A16274" s="1" t="str">
        <f>"SLC26A2"</f>
        <v>SLC26A2</v>
      </c>
      <c r="B16274" t="s">
        <v>14</v>
      </c>
      <c r="C16274" t="s">
        <v>46</v>
      </c>
      <c r="D16274" t="s">
        <v>17</v>
      </c>
      <c r="E16274" t="s">
        <v>12</v>
      </c>
      <c r="F16274">
        <v>149340282</v>
      </c>
      <c r="G16274">
        <v>149340336</v>
      </c>
      <c r="H16274">
        <v>149340464</v>
      </c>
      <c r="I16274">
        <v>149340483</v>
      </c>
    </row>
    <row r="16275" spans="1:9" x14ac:dyDescent="0.2">
      <c r="A16275" s="1" t="str">
        <f>"SLC26A3"</f>
        <v>SLC26A3</v>
      </c>
      <c r="B16275" t="s">
        <v>14</v>
      </c>
      <c r="C16275" t="s">
        <v>33</v>
      </c>
      <c r="D16275" t="s">
        <v>11</v>
      </c>
      <c r="E16275" t="s">
        <v>12</v>
      </c>
      <c r="F16275">
        <v>107443661</v>
      </c>
      <c r="G16275">
        <v>107443675</v>
      </c>
      <c r="H16275">
        <v>107443661</v>
      </c>
      <c r="I16275">
        <v>107443675</v>
      </c>
    </row>
    <row r="16276" spans="1:9" x14ac:dyDescent="0.2">
      <c r="A16276" s="1" t="str">
        <f>"SLC26A4"</f>
        <v>SLC26A4</v>
      </c>
      <c r="B16276" t="s">
        <v>14</v>
      </c>
      <c r="C16276" t="s">
        <v>33</v>
      </c>
      <c r="D16276" t="s">
        <v>17</v>
      </c>
      <c r="E16276" t="s">
        <v>12</v>
      </c>
      <c r="F16276">
        <v>107301264</v>
      </c>
      <c r="G16276">
        <v>107301278</v>
      </c>
      <c r="H16276">
        <v>107301264</v>
      </c>
      <c r="I16276">
        <v>107301278</v>
      </c>
    </row>
    <row r="16277" spans="1:9" x14ac:dyDescent="0.2">
      <c r="A16277" s="1" t="str">
        <f>"SLC26A5"</f>
        <v>SLC26A5</v>
      </c>
      <c r="B16277" t="s">
        <v>14</v>
      </c>
      <c r="C16277" t="s">
        <v>33</v>
      </c>
      <c r="D16277" t="s">
        <v>11</v>
      </c>
      <c r="E16277" t="s">
        <v>12</v>
      </c>
      <c r="F16277">
        <v>103086616</v>
      </c>
      <c r="G16277">
        <v>103086638</v>
      </c>
      <c r="H16277">
        <v>103086648</v>
      </c>
      <c r="I16277">
        <v>103086659</v>
      </c>
    </row>
    <row r="16278" spans="1:9" x14ac:dyDescent="0.2">
      <c r="A16278" s="1" t="str">
        <f>"SLC26A6"</f>
        <v>SLC26A6</v>
      </c>
      <c r="B16278" t="s">
        <v>14</v>
      </c>
      <c r="C16278" t="s">
        <v>22</v>
      </c>
      <c r="D16278" t="s">
        <v>11</v>
      </c>
      <c r="E16278" t="s">
        <v>12</v>
      </c>
      <c r="F16278">
        <v>48672859</v>
      </c>
      <c r="G16278">
        <v>48672918</v>
      </c>
      <c r="H16278">
        <v>48672834</v>
      </c>
      <c r="I16278">
        <v>48672856</v>
      </c>
    </row>
    <row r="16279" spans="1:9" x14ac:dyDescent="0.2">
      <c r="A16279" s="1" t="str">
        <f>"SLC26A7"</f>
        <v>SLC26A7</v>
      </c>
      <c r="B16279" t="s">
        <v>14</v>
      </c>
      <c r="C16279" t="s">
        <v>30</v>
      </c>
      <c r="D16279" t="s">
        <v>17</v>
      </c>
      <c r="E16279" t="s">
        <v>12</v>
      </c>
      <c r="F16279">
        <v>92261539</v>
      </c>
      <c r="G16279">
        <v>92261555</v>
      </c>
      <c r="H16279">
        <v>92261539</v>
      </c>
      <c r="I16279">
        <v>92261555</v>
      </c>
    </row>
    <row r="16280" spans="1:9" x14ac:dyDescent="0.2">
      <c r="A16280" s="1" t="str">
        <f>"SLC26A8"</f>
        <v>SLC26A8</v>
      </c>
      <c r="B16280" t="s">
        <v>14</v>
      </c>
      <c r="C16280" t="s">
        <v>32</v>
      </c>
      <c r="D16280" t="s">
        <v>11</v>
      </c>
      <c r="E16280" t="s">
        <v>12</v>
      </c>
      <c r="F16280">
        <v>35992350</v>
      </c>
      <c r="G16280">
        <v>35992397</v>
      </c>
      <c r="H16280">
        <v>35992412</v>
      </c>
      <c r="I16280">
        <v>35992435</v>
      </c>
    </row>
    <row r="16281" spans="1:9" x14ac:dyDescent="0.2">
      <c r="A16281" s="1" t="str">
        <f>"SLC26A9"</f>
        <v>SLC26A9</v>
      </c>
      <c r="B16281" t="s">
        <v>14</v>
      </c>
      <c r="C16281" t="s">
        <v>19</v>
      </c>
      <c r="D16281" t="s">
        <v>11</v>
      </c>
      <c r="E16281" t="s">
        <v>12</v>
      </c>
      <c r="F16281">
        <v>205912577</v>
      </c>
      <c r="G16281">
        <v>205912593</v>
      </c>
      <c r="H16281">
        <v>205912577</v>
      </c>
      <c r="I16281">
        <v>205912593</v>
      </c>
    </row>
    <row r="16282" spans="1:9" x14ac:dyDescent="0.2">
      <c r="A16282" s="1" t="str">
        <f>"SLC27A1"</f>
        <v>SLC27A1</v>
      </c>
      <c r="B16282" t="s">
        <v>14</v>
      </c>
      <c r="C16282" t="s">
        <v>10</v>
      </c>
      <c r="D16282" t="s">
        <v>17</v>
      </c>
      <c r="E16282" t="s">
        <v>12</v>
      </c>
      <c r="F16282">
        <v>17581283</v>
      </c>
      <c r="G16282">
        <v>17581352</v>
      </c>
      <c r="H16282">
        <v>17581187</v>
      </c>
      <c r="I16282">
        <v>17581208</v>
      </c>
    </row>
    <row r="16283" spans="1:9" x14ac:dyDescent="0.2">
      <c r="A16283" s="1" t="str">
        <f>"SLC27A2"</f>
        <v>SLC27A2</v>
      </c>
      <c r="B16283" t="s">
        <v>14</v>
      </c>
      <c r="C16283" t="s">
        <v>25</v>
      </c>
      <c r="D16283" t="s">
        <v>17</v>
      </c>
      <c r="E16283" t="s">
        <v>12</v>
      </c>
      <c r="F16283">
        <v>50474412</v>
      </c>
      <c r="G16283">
        <v>50474438</v>
      </c>
      <c r="H16283">
        <v>50474385</v>
      </c>
      <c r="I16283">
        <v>50474404</v>
      </c>
    </row>
    <row r="16284" spans="1:9" x14ac:dyDescent="0.2">
      <c r="A16284" s="1" t="str">
        <f>"SLC27A3"</f>
        <v>SLC27A3</v>
      </c>
      <c r="B16284" t="s">
        <v>14</v>
      </c>
      <c r="C16284" t="s">
        <v>19</v>
      </c>
      <c r="D16284" t="s">
        <v>17</v>
      </c>
      <c r="E16284" t="s">
        <v>12</v>
      </c>
      <c r="F16284">
        <v>153747834</v>
      </c>
      <c r="G16284">
        <v>153747911</v>
      </c>
      <c r="H16284">
        <v>153747746</v>
      </c>
      <c r="I16284">
        <v>153747798</v>
      </c>
    </row>
    <row r="16285" spans="1:9" x14ac:dyDescent="0.2">
      <c r="A16285" s="1" t="str">
        <f>"SLC27A4"</f>
        <v>SLC27A4</v>
      </c>
      <c r="B16285" t="s">
        <v>14</v>
      </c>
      <c r="C16285" t="s">
        <v>24</v>
      </c>
      <c r="D16285" t="s">
        <v>17</v>
      </c>
      <c r="E16285" t="s">
        <v>12</v>
      </c>
      <c r="F16285">
        <v>131102753</v>
      </c>
      <c r="G16285">
        <v>131102852</v>
      </c>
      <c r="H16285">
        <v>131102949</v>
      </c>
      <c r="I16285">
        <v>131103015</v>
      </c>
    </row>
    <row r="16286" spans="1:9" x14ac:dyDescent="0.2">
      <c r="A16286" s="1" t="str">
        <f>"SLC27A5"</f>
        <v>SLC27A5</v>
      </c>
      <c r="B16286" t="s">
        <v>14</v>
      </c>
      <c r="C16286" t="s">
        <v>10</v>
      </c>
      <c r="D16286" t="s">
        <v>11</v>
      </c>
      <c r="E16286" t="s">
        <v>12</v>
      </c>
      <c r="F16286">
        <v>59010565</v>
      </c>
      <c r="G16286">
        <v>59010643</v>
      </c>
      <c r="H16286">
        <v>59010565</v>
      </c>
      <c r="I16286">
        <v>59010643</v>
      </c>
    </row>
    <row r="16287" spans="1:9" x14ac:dyDescent="0.2">
      <c r="A16287" s="1" t="str">
        <f>"SLC27A6"</f>
        <v>SLC27A6</v>
      </c>
      <c r="B16287" t="s">
        <v>14</v>
      </c>
      <c r="C16287" t="s">
        <v>46</v>
      </c>
      <c r="D16287" t="s">
        <v>17</v>
      </c>
      <c r="E16287" t="s">
        <v>12</v>
      </c>
      <c r="F16287">
        <v>128301189</v>
      </c>
      <c r="G16287">
        <v>128301227</v>
      </c>
      <c r="H16287">
        <v>128301164</v>
      </c>
      <c r="I16287">
        <v>128301187</v>
      </c>
    </row>
    <row r="16288" spans="1:9" x14ac:dyDescent="0.2">
      <c r="A16288" s="1" t="str">
        <f>"SLC28A1"</f>
        <v>SLC28A1</v>
      </c>
      <c r="B16288" t="s">
        <v>9</v>
      </c>
      <c r="C16288" t="s">
        <v>25</v>
      </c>
      <c r="D16288" t="s">
        <v>17</v>
      </c>
      <c r="E16288" t="s">
        <v>12</v>
      </c>
      <c r="F16288">
        <v>85427879</v>
      </c>
      <c r="G16288">
        <v>85427899</v>
      </c>
      <c r="H16288">
        <v>85427879</v>
      </c>
      <c r="I16288">
        <v>85427899</v>
      </c>
    </row>
    <row r="16289" spans="1:9" x14ac:dyDescent="0.2">
      <c r="A16289" s="1" t="str">
        <f>"SLC28A1"</f>
        <v>SLC28A1</v>
      </c>
      <c r="B16289" t="s">
        <v>13</v>
      </c>
      <c r="C16289" t="s">
        <v>25</v>
      </c>
      <c r="D16289" t="s">
        <v>17</v>
      </c>
      <c r="E16289" t="s">
        <v>12</v>
      </c>
      <c r="F16289">
        <v>85429926</v>
      </c>
      <c r="G16289">
        <v>85429950</v>
      </c>
      <c r="H16289">
        <v>85429926</v>
      </c>
      <c r="I16289">
        <v>85429950</v>
      </c>
    </row>
    <row r="16290" spans="1:9" x14ac:dyDescent="0.2">
      <c r="A16290" s="1" t="str">
        <f>"SLC28A2"</f>
        <v>SLC28A2</v>
      </c>
      <c r="B16290" t="s">
        <v>14</v>
      </c>
      <c r="C16290" t="s">
        <v>25</v>
      </c>
      <c r="D16290" t="s">
        <v>17</v>
      </c>
      <c r="E16290" t="s">
        <v>12</v>
      </c>
      <c r="F16290">
        <v>45544426</v>
      </c>
      <c r="G16290">
        <v>45544451</v>
      </c>
      <c r="H16290">
        <v>45544426</v>
      </c>
      <c r="I16290">
        <v>45544451</v>
      </c>
    </row>
    <row r="16291" spans="1:9" x14ac:dyDescent="0.2">
      <c r="A16291" s="1" t="str">
        <f>"SLC28A3"</f>
        <v>SLC28A3</v>
      </c>
      <c r="B16291" t="s">
        <v>14</v>
      </c>
      <c r="C16291" t="s">
        <v>24</v>
      </c>
      <c r="D16291" t="s">
        <v>11</v>
      </c>
      <c r="E16291" t="s">
        <v>12</v>
      </c>
      <c r="F16291">
        <v>86955657</v>
      </c>
      <c r="G16291">
        <v>86955705</v>
      </c>
      <c r="H16291">
        <v>86955657</v>
      </c>
      <c r="I16291">
        <v>86955705</v>
      </c>
    </row>
    <row r="16292" spans="1:9" x14ac:dyDescent="0.2">
      <c r="A16292" s="1" t="str">
        <f>"SLC29A1"</f>
        <v>SLC29A1</v>
      </c>
      <c r="B16292" t="s">
        <v>9</v>
      </c>
      <c r="C16292" t="s">
        <v>32</v>
      </c>
      <c r="D16292" t="s">
        <v>17</v>
      </c>
      <c r="E16292" t="s">
        <v>12</v>
      </c>
      <c r="F16292">
        <v>44191290</v>
      </c>
      <c r="G16292">
        <v>44191341</v>
      </c>
      <c r="H16292">
        <v>44191290</v>
      </c>
      <c r="I16292">
        <v>44191341</v>
      </c>
    </row>
    <row r="16293" spans="1:9" x14ac:dyDescent="0.2">
      <c r="A16293" s="1" t="str">
        <f>"SLC29A1"</f>
        <v>SLC29A1</v>
      </c>
      <c r="B16293" t="s">
        <v>13</v>
      </c>
      <c r="C16293" t="s">
        <v>32</v>
      </c>
      <c r="D16293" t="s">
        <v>17</v>
      </c>
      <c r="E16293" t="s">
        <v>12</v>
      </c>
      <c r="F16293">
        <v>44187334</v>
      </c>
      <c r="G16293">
        <v>44187387</v>
      </c>
      <c r="H16293">
        <v>44187334</v>
      </c>
      <c r="I16293">
        <v>44187387</v>
      </c>
    </row>
    <row r="16294" spans="1:9" x14ac:dyDescent="0.2">
      <c r="A16294" s="1" t="str">
        <f>"SLC29A2"</f>
        <v>SLC29A2</v>
      </c>
      <c r="B16294" t="s">
        <v>14</v>
      </c>
      <c r="C16294" t="s">
        <v>27</v>
      </c>
      <c r="D16294" t="s">
        <v>11</v>
      </c>
      <c r="E16294" t="s">
        <v>12</v>
      </c>
      <c r="F16294">
        <v>66139199</v>
      </c>
      <c r="G16294">
        <v>66139274</v>
      </c>
      <c r="H16294">
        <v>66139068</v>
      </c>
      <c r="I16294">
        <v>66139120</v>
      </c>
    </row>
    <row r="16295" spans="1:9" x14ac:dyDescent="0.2">
      <c r="A16295" s="1" t="str">
        <f>"SLC29A3"</f>
        <v>SLC29A3</v>
      </c>
      <c r="B16295" t="s">
        <v>14</v>
      </c>
      <c r="C16295" t="s">
        <v>15</v>
      </c>
      <c r="D16295" t="s">
        <v>17</v>
      </c>
      <c r="E16295" t="s">
        <v>12</v>
      </c>
      <c r="F16295">
        <v>73079000</v>
      </c>
      <c r="G16295">
        <v>73079024</v>
      </c>
      <c r="H16295">
        <v>73079026</v>
      </c>
      <c r="I16295">
        <v>73079059</v>
      </c>
    </row>
    <row r="16296" spans="1:9" x14ac:dyDescent="0.2">
      <c r="A16296" s="1" t="str">
        <f>"SLC29A4"</f>
        <v>SLC29A4</v>
      </c>
      <c r="B16296" t="s">
        <v>14</v>
      </c>
      <c r="C16296" t="s">
        <v>33</v>
      </c>
      <c r="D16296" t="s">
        <v>17</v>
      </c>
      <c r="E16296" t="s">
        <v>12</v>
      </c>
      <c r="F16296">
        <v>5322565</v>
      </c>
      <c r="G16296">
        <v>5322589</v>
      </c>
      <c r="H16296">
        <v>5322565</v>
      </c>
      <c r="I16296">
        <v>5322589</v>
      </c>
    </row>
    <row r="16297" spans="1:9" x14ac:dyDescent="0.2">
      <c r="A16297" s="1" t="str">
        <f>"SLC2A1"</f>
        <v>SLC2A1</v>
      </c>
      <c r="B16297" t="s">
        <v>14</v>
      </c>
      <c r="C16297" t="s">
        <v>19</v>
      </c>
      <c r="D16297" t="s">
        <v>11</v>
      </c>
      <c r="E16297" t="s">
        <v>12</v>
      </c>
      <c r="F16297">
        <v>43424531</v>
      </c>
      <c r="G16297">
        <v>43424546</v>
      </c>
      <c r="H16297">
        <v>43424531</v>
      </c>
      <c r="I16297">
        <v>43424546</v>
      </c>
    </row>
    <row r="16298" spans="1:9" x14ac:dyDescent="0.2">
      <c r="A16298" s="1" t="str">
        <f>"SLC2A10"</f>
        <v>SLC2A10</v>
      </c>
      <c r="B16298" t="s">
        <v>14</v>
      </c>
      <c r="C16298" t="s">
        <v>29</v>
      </c>
      <c r="D16298" t="s">
        <v>17</v>
      </c>
      <c r="E16298" t="s">
        <v>12</v>
      </c>
      <c r="F16298">
        <v>45338261</v>
      </c>
      <c r="G16298">
        <v>45338303</v>
      </c>
      <c r="H16298">
        <v>45338318</v>
      </c>
      <c r="I16298">
        <v>45338329</v>
      </c>
    </row>
    <row r="16299" spans="1:9" x14ac:dyDescent="0.2">
      <c r="A16299" s="1" t="str">
        <f>"SLC2A11"</f>
        <v>SLC2A11</v>
      </c>
      <c r="B16299" t="s">
        <v>14</v>
      </c>
      <c r="C16299" t="s">
        <v>21</v>
      </c>
      <c r="D16299" t="s">
        <v>17</v>
      </c>
      <c r="E16299" t="s">
        <v>12</v>
      </c>
      <c r="F16299">
        <v>24200055</v>
      </c>
      <c r="G16299">
        <v>24200077</v>
      </c>
      <c r="H16299">
        <v>24200085</v>
      </c>
      <c r="I16299">
        <v>24200108</v>
      </c>
    </row>
    <row r="16300" spans="1:9" x14ac:dyDescent="0.2">
      <c r="A16300" s="1" t="str">
        <f>"SLC2A12"</f>
        <v>SLC2A12</v>
      </c>
      <c r="B16300" t="s">
        <v>14</v>
      </c>
      <c r="C16300" t="s">
        <v>32</v>
      </c>
      <c r="D16300" t="s">
        <v>11</v>
      </c>
      <c r="E16300" t="s">
        <v>12</v>
      </c>
      <c r="F16300">
        <v>134373732</v>
      </c>
      <c r="G16300">
        <v>134373795</v>
      </c>
      <c r="H16300">
        <v>134373715</v>
      </c>
      <c r="I16300">
        <v>134373728</v>
      </c>
    </row>
    <row r="16301" spans="1:9" x14ac:dyDescent="0.2">
      <c r="A16301" s="1" t="str">
        <f>"SLC2A13"</f>
        <v>SLC2A13</v>
      </c>
      <c r="B16301" t="s">
        <v>14</v>
      </c>
      <c r="C16301" t="s">
        <v>16</v>
      </c>
      <c r="D16301" t="s">
        <v>11</v>
      </c>
      <c r="E16301" t="s">
        <v>12</v>
      </c>
      <c r="F16301">
        <v>40499831</v>
      </c>
      <c r="G16301">
        <v>40499908</v>
      </c>
      <c r="H16301">
        <v>40499811</v>
      </c>
      <c r="I16301">
        <v>40499820</v>
      </c>
    </row>
    <row r="16302" spans="1:9" x14ac:dyDescent="0.2">
      <c r="A16302" s="1" t="str">
        <f>"SLC2A14"</f>
        <v>SLC2A14</v>
      </c>
      <c r="B16302" t="s">
        <v>14</v>
      </c>
      <c r="C16302" t="s">
        <v>16</v>
      </c>
      <c r="D16302" t="s">
        <v>11</v>
      </c>
      <c r="E16302" t="s">
        <v>12</v>
      </c>
      <c r="F16302">
        <v>8043779</v>
      </c>
      <c r="G16302">
        <v>8043798</v>
      </c>
      <c r="H16302">
        <v>8043720</v>
      </c>
      <c r="I16302">
        <v>8043733</v>
      </c>
    </row>
    <row r="16303" spans="1:9" x14ac:dyDescent="0.2">
      <c r="A16303" s="1" t="str">
        <f>"SLC2A2"</f>
        <v>SLC2A2</v>
      </c>
      <c r="B16303" t="s">
        <v>14</v>
      </c>
      <c r="C16303" t="s">
        <v>22</v>
      </c>
      <c r="D16303" t="s">
        <v>11</v>
      </c>
      <c r="E16303" t="s">
        <v>12</v>
      </c>
      <c r="F16303">
        <v>170744498</v>
      </c>
      <c r="G16303">
        <v>170744542</v>
      </c>
      <c r="H16303">
        <v>170744498</v>
      </c>
      <c r="I16303">
        <v>170744542</v>
      </c>
    </row>
    <row r="16304" spans="1:9" x14ac:dyDescent="0.2">
      <c r="A16304" s="1" t="str">
        <f>"SLC2A3"</f>
        <v>SLC2A3</v>
      </c>
      <c r="B16304" t="s">
        <v>14</v>
      </c>
      <c r="C16304" t="s">
        <v>16</v>
      </c>
      <c r="D16304" t="s">
        <v>11</v>
      </c>
      <c r="E16304" t="s">
        <v>12</v>
      </c>
      <c r="F16304">
        <v>8088773</v>
      </c>
      <c r="G16304">
        <v>8088789</v>
      </c>
      <c r="H16304">
        <v>8088907</v>
      </c>
      <c r="I16304">
        <v>8088932</v>
      </c>
    </row>
    <row r="16305" spans="1:9" x14ac:dyDescent="0.2">
      <c r="A16305" s="1" t="str">
        <f>"SLC2A4"</f>
        <v>SLC2A4</v>
      </c>
      <c r="B16305" t="s">
        <v>14</v>
      </c>
      <c r="C16305" t="s">
        <v>28</v>
      </c>
      <c r="D16305" t="s">
        <v>17</v>
      </c>
      <c r="E16305" t="s">
        <v>12</v>
      </c>
      <c r="F16305">
        <v>7185030</v>
      </c>
      <c r="G16305">
        <v>7185076</v>
      </c>
      <c r="H16305">
        <v>7185444</v>
      </c>
      <c r="I16305">
        <v>7185447</v>
      </c>
    </row>
    <row r="16306" spans="1:9" x14ac:dyDescent="0.2">
      <c r="A16306" s="1" t="str">
        <f>"SLC2A4RG"</f>
        <v>SLC2A4RG</v>
      </c>
      <c r="B16306" t="s">
        <v>14</v>
      </c>
      <c r="C16306" t="s">
        <v>29</v>
      </c>
      <c r="D16306" t="s">
        <v>17</v>
      </c>
      <c r="E16306" t="s">
        <v>12</v>
      </c>
      <c r="F16306">
        <v>62371105</v>
      </c>
      <c r="G16306">
        <v>62371177</v>
      </c>
      <c r="H16306">
        <v>62371602</v>
      </c>
      <c r="I16306">
        <v>62371658</v>
      </c>
    </row>
    <row r="16307" spans="1:9" x14ac:dyDescent="0.2">
      <c r="A16307" s="1" t="str">
        <f>"SLC2A5"</f>
        <v>SLC2A5</v>
      </c>
      <c r="B16307" t="s">
        <v>14</v>
      </c>
      <c r="C16307" t="s">
        <v>19</v>
      </c>
      <c r="D16307" t="s">
        <v>11</v>
      </c>
      <c r="E16307" t="s">
        <v>12</v>
      </c>
      <c r="F16307">
        <v>9129670</v>
      </c>
      <c r="G16307">
        <v>9129719</v>
      </c>
      <c r="H16307">
        <v>9129631</v>
      </c>
      <c r="I16307">
        <v>9129664</v>
      </c>
    </row>
    <row r="16308" spans="1:9" x14ac:dyDescent="0.2">
      <c r="A16308" s="1" t="str">
        <f>"SLC2A6"</f>
        <v>SLC2A6</v>
      </c>
      <c r="B16308" t="s">
        <v>14</v>
      </c>
      <c r="C16308" t="s">
        <v>24</v>
      </c>
      <c r="D16308" t="s">
        <v>11</v>
      </c>
      <c r="E16308" t="s">
        <v>12</v>
      </c>
      <c r="F16308">
        <v>136344208</v>
      </c>
      <c r="G16308">
        <v>136344232</v>
      </c>
      <c r="H16308">
        <v>136344237</v>
      </c>
      <c r="I16308">
        <v>136344264</v>
      </c>
    </row>
    <row r="16309" spans="1:9" x14ac:dyDescent="0.2">
      <c r="A16309" s="1" t="str">
        <f>"SLC2A7"</f>
        <v>SLC2A7</v>
      </c>
      <c r="B16309" t="s">
        <v>14</v>
      </c>
      <c r="C16309" t="s">
        <v>19</v>
      </c>
      <c r="D16309" t="s">
        <v>11</v>
      </c>
      <c r="E16309" t="s">
        <v>12</v>
      </c>
      <c r="F16309">
        <v>9086445</v>
      </c>
      <c r="G16309">
        <v>9086485</v>
      </c>
      <c r="H16309">
        <v>9086445</v>
      </c>
      <c r="I16309">
        <v>9086485</v>
      </c>
    </row>
    <row r="16310" spans="1:9" x14ac:dyDescent="0.2">
      <c r="A16310" s="1" t="str">
        <f>"SLC2A8"</f>
        <v>SLC2A8</v>
      </c>
      <c r="B16310" t="s">
        <v>14</v>
      </c>
      <c r="C16310" t="s">
        <v>24</v>
      </c>
      <c r="D16310" t="s">
        <v>17</v>
      </c>
      <c r="E16310" t="s">
        <v>12</v>
      </c>
      <c r="F16310">
        <v>130159433</v>
      </c>
      <c r="G16310">
        <v>130159461</v>
      </c>
      <c r="H16310">
        <v>130159471</v>
      </c>
      <c r="I16310">
        <v>130159502</v>
      </c>
    </row>
    <row r="16311" spans="1:9" x14ac:dyDescent="0.2">
      <c r="A16311" s="1" t="str">
        <f>"SLC2A9"</f>
        <v>SLC2A9</v>
      </c>
      <c r="B16311" t="s">
        <v>14</v>
      </c>
      <c r="C16311" t="s">
        <v>23</v>
      </c>
      <c r="D16311" t="s">
        <v>11</v>
      </c>
      <c r="E16311" t="s">
        <v>12</v>
      </c>
      <c r="F16311">
        <v>10023114</v>
      </c>
      <c r="G16311">
        <v>10023128</v>
      </c>
      <c r="H16311">
        <v>10023130</v>
      </c>
      <c r="I16311">
        <v>10023156</v>
      </c>
    </row>
    <row r="16312" spans="1:9" x14ac:dyDescent="0.2">
      <c r="A16312" s="1" t="str">
        <f>"SLC30A1"</f>
        <v>SLC30A1</v>
      </c>
      <c r="B16312" t="s">
        <v>14</v>
      </c>
      <c r="C16312" t="s">
        <v>19</v>
      </c>
      <c r="D16312" t="s">
        <v>11</v>
      </c>
      <c r="E16312" t="s">
        <v>12</v>
      </c>
      <c r="F16312">
        <v>211752484</v>
      </c>
      <c r="G16312">
        <v>211752512</v>
      </c>
      <c r="H16312">
        <v>211752484</v>
      </c>
      <c r="I16312">
        <v>211752512</v>
      </c>
    </row>
    <row r="16313" spans="1:9" x14ac:dyDescent="0.2">
      <c r="A16313" s="1" t="str">
        <f>"SLC30A10"</f>
        <v>SLC30A10</v>
      </c>
      <c r="B16313" t="s">
        <v>14</v>
      </c>
      <c r="C16313" t="s">
        <v>19</v>
      </c>
      <c r="D16313" t="s">
        <v>11</v>
      </c>
      <c r="E16313" t="s">
        <v>12</v>
      </c>
      <c r="F16313">
        <v>220101892</v>
      </c>
      <c r="G16313">
        <v>220101906</v>
      </c>
      <c r="H16313">
        <v>220101961</v>
      </c>
      <c r="I16313">
        <v>220102000</v>
      </c>
    </row>
    <row r="16314" spans="1:9" x14ac:dyDescent="0.2">
      <c r="A16314" s="1" t="str">
        <f>"SLC30A2"</f>
        <v>SLC30A2</v>
      </c>
      <c r="B16314" t="s">
        <v>14</v>
      </c>
      <c r="C16314" t="s">
        <v>19</v>
      </c>
      <c r="D16314" t="s">
        <v>11</v>
      </c>
      <c r="E16314" t="s">
        <v>12</v>
      </c>
      <c r="F16314">
        <v>26372602</v>
      </c>
      <c r="G16314">
        <v>26372617</v>
      </c>
      <c r="H16314">
        <v>26372568</v>
      </c>
      <c r="I16314">
        <v>26372579</v>
      </c>
    </row>
    <row r="16315" spans="1:9" x14ac:dyDescent="0.2">
      <c r="A16315" s="1" t="str">
        <f>"SLC30A3"</f>
        <v>SLC30A3</v>
      </c>
      <c r="B16315" t="s">
        <v>14</v>
      </c>
      <c r="C16315" t="s">
        <v>26</v>
      </c>
      <c r="D16315" t="s">
        <v>11</v>
      </c>
      <c r="E16315" t="s">
        <v>12</v>
      </c>
      <c r="F16315">
        <v>27485902</v>
      </c>
      <c r="G16315">
        <v>27485923</v>
      </c>
      <c r="H16315">
        <v>27485925</v>
      </c>
      <c r="I16315">
        <v>27485953</v>
      </c>
    </row>
    <row r="16316" spans="1:9" x14ac:dyDescent="0.2">
      <c r="A16316" s="1" t="str">
        <f>"SLC30A4"</f>
        <v>SLC30A4</v>
      </c>
      <c r="B16316" t="s">
        <v>14</v>
      </c>
      <c r="C16316" t="s">
        <v>25</v>
      </c>
      <c r="D16316" t="s">
        <v>11</v>
      </c>
      <c r="E16316" t="s">
        <v>12</v>
      </c>
      <c r="F16316">
        <v>45814945</v>
      </c>
      <c r="G16316">
        <v>45814995</v>
      </c>
      <c r="H16316">
        <v>45815006</v>
      </c>
      <c r="I16316">
        <v>45815032</v>
      </c>
    </row>
    <row r="16317" spans="1:9" x14ac:dyDescent="0.2">
      <c r="A16317" s="1" t="str">
        <f>"SLC30A5"</f>
        <v>SLC30A5</v>
      </c>
      <c r="B16317" t="s">
        <v>14</v>
      </c>
      <c r="C16317" t="s">
        <v>46</v>
      </c>
      <c r="D16317" t="s">
        <v>17</v>
      </c>
      <c r="E16317" t="s">
        <v>12</v>
      </c>
      <c r="F16317">
        <v>68389807</v>
      </c>
      <c r="G16317">
        <v>68389922</v>
      </c>
      <c r="H16317">
        <v>68389770</v>
      </c>
      <c r="I16317">
        <v>68389785</v>
      </c>
    </row>
    <row r="16318" spans="1:9" x14ac:dyDescent="0.2">
      <c r="A16318" s="1" t="str">
        <f>"SLC30A6"</f>
        <v>SLC30A6</v>
      </c>
      <c r="B16318" t="s">
        <v>14</v>
      </c>
      <c r="C16318" t="s">
        <v>26</v>
      </c>
      <c r="D16318" t="s">
        <v>17</v>
      </c>
      <c r="E16318" t="s">
        <v>12</v>
      </c>
      <c r="F16318">
        <v>32390925</v>
      </c>
      <c r="G16318">
        <v>32390941</v>
      </c>
      <c r="H16318">
        <v>32390945</v>
      </c>
      <c r="I16318">
        <v>32390956</v>
      </c>
    </row>
    <row r="16319" spans="1:9" x14ac:dyDescent="0.2">
      <c r="A16319" s="1" t="str">
        <f>"SLC30A7"</f>
        <v>SLC30A7</v>
      </c>
      <c r="B16319" t="s">
        <v>14</v>
      </c>
      <c r="C16319" t="s">
        <v>19</v>
      </c>
      <c r="D16319" t="s">
        <v>17</v>
      </c>
      <c r="E16319" t="s">
        <v>12</v>
      </c>
      <c r="F16319">
        <v>101361626</v>
      </c>
      <c r="G16319">
        <v>101361698</v>
      </c>
      <c r="H16319">
        <v>101361735</v>
      </c>
      <c r="I16319">
        <v>101361765</v>
      </c>
    </row>
    <row r="16320" spans="1:9" x14ac:dyDescent="0.2">
      <c r="A16320" s="1" t="str">
        <f>"SLC30A8"</f>
        <v>SLC30A8</v>
      </c>
      <c r="B16320" t="s">
        <v>14</v>
      </c>
      <c r="C16320" t="s">
        <v>30</v>
      </c>
      <c r="D16320" t="s">
        <v>17</v>
      </c>
      <c r="E16320" t="s">
        <v>12</v>
      </c>
      <c r="F16320">
        <v>118147228</v>
      </c>
      <c r="G16320">
        <v>118147273</v>
      </c>
      <c r="H16320">
        <v>118147275</v>
      </c>
      <c r="I16320">
        <v>118147286</v>
      </c>
    </row>
    <row r="16321" spans="1:9" x14ac:dyDescent="0.2">
      <c r="A16321" s="1" t="str">
        <f>"SLC30A9"</f>
        <v>SLC30A9</v>
      </c>
      <c r="B16321" t="s">
        <v>14</v>
      </c>
      <c r="C16321" t="s">
        <v>23</v>
      </c>
      <c r="D16321" t="s">
        <v>17</v>
      </c>
      <c r="E16321" t="s">
        <v>12</v>
      </c>
      <c r="F16321">
        <v>41992513</v>
      </c>
      <c r="G16321">
        <v>41992561</v>
      </c>
      <c r="H16321">
        <v>41992565</v>
      </c>
      <c r="I16321">
        <v>41992580</v>
      </c>
    </row>
    <row r="16322" spans="1:9" x14ac:dyDescent="0.2">
      <c r="A16322" s="1" t="str">
        <f>"SLC31A1"</f>
        <v>SLC31A1</v>
      </c>
      <c r="B16322" t="s">
        <v>14</v>
      </c>
      <c r="C16322" t="s">
        <v>24</v>
      </c>
      <c r="D16322" t="s">
        <v>17</v>
      </c>
      <c r="E16322" t="s">
        <v>12</v>
      </c>
      <c r="F16322">
        <v>115983809</v>
      </c>
      <c r="G16322">
        <v>115983880</v>
      </c>
      <c r="H16322">
        <v>115983809</v>
      </c>
      <c r="I16322">
        <v>115983880</v>
      </c>
    </row>
    <row r="16323" spans="1:9" x14ac:dyDescent="0.2">
      <c r="A16323" s="1" t="str">
        <f>"SLC31A2"</f>
        <v>SLC31A2</v>
      </c>
      <c r="B16323" t="s">
        <v>14</v>
      </c>
      <c r="C16323" t="s">
        <v>24</v>
      </c>
      <c r="D16323" t="s">
        <v>17</v>
      </c>
      <c r="E16323" t="s">
        <v>12</v>
      </c>
      <c r="F16323">
        <v>115913271</v>
      </c>
      <c r="G16323">
        <v>115913298</v>
      </c>
      <c r="H16323">
        <v>115913230</v>
      </c>
      <c r="I16323">
        <v>115913266</v>
      </c>
    </row>
    <row r="16324" spans="1:9" x14ac:dyDescent="0.2">
      <c r="A16324" s="1" t="str">
        <f>"SLC32A1"</f>
        <v>SLC32A1</v>
      </c>
      <c r="B16324" t="s">
        <v>14</v>
      </c>
      <c r="C16324" t="s">
        <v>29</v>
      </c>
      <c r="D16324" t="s">
        <v>17</v>
      </c>
      <c r="E16324" t="s">
        <v>12</v>
      </c>
      <c r="F16324">
        <v>37353121</v>
      </c>
      <c r="G16324">
        <v>37353137</v>
      </c>
      <c r="H16324">
        <v>37352783</v>
      </c>
      <c r="I16324">
        <v>37352872</v>
      </c>
    </row>
    <row r="16325" spans="1:9" x14ac:dyDescent="0.2">
      <c r="A16325" s="1" t="str">
        <f>"SLC33A1"</f>
        <v>SLC33A1</v>
      </c>
      <c r="B16325" t="s">
        <v>14</v>
      </c>
      <c r="C16325" t="s">
        <v>22</v>
      </c>
      <c r="D16325" t="s">
        <v>11</v>
      </c>
      <c r="E16325" t="s">
        <v>12</v>
      </c>
      <c r="F16325">
        <v>155572164</v>
      </c>
      <c r="G16325">
        <v>155572236</v>
      </c>
      <c r="H16325">
        <v>155572238</v>
      </c>
      <c r="I16325">
        <v>155572254</v>
      </c>
    </row>
    <row r="16326" spans="1:9" x14ac:dyDescent="0.2">
      <c r="A16326" s="1" t="str">
        <f>"SLC34A1"</f>
        <v>SLC34A1</v>
      </c>
      <c r="B16326" t="s">
        <v>9</v>
      </c>
      <c r="C16326" t="s">
        <v>46</v>
      </c>
      <c r="D16326" t="s">
        <v>17</v>
      </c>
      <c r="E16326" t="s">
        <v>12</v>
      </c>
      <c r="F16326">
        <v>176811431</v>
      </c>
      <c r="G16326">
        <v>176811436</v>
      </c>
      <c r="H16326">
        <v>176811431</v>
      </c>
      <c r="I16326">
        <v>176811436</v>
      </c>
    </row>
    <row r="16327" spans="1:9" x14ac:dyDescent="0.2">
      <c r="A16327" s="1" t="str">
        <f>"SLC34A1"</f>
        <v>SLC34A1</v>
      </c>
      <c r="B16327" t="s">
        <v>13</v>
      </c>
      <c r="C16327" t="s">
        <v>46</v>
      </c>
      <c r="D16327" t="s">
        <v>17</v>
      </c>
      <c r="E16327" t="s">
        <v>12</v>
      </c>
      <c r="F16327">
        <v>176806159</v>
      </c>
      <c r="G16327">
        <v>176806183</v>
      </c>
      <c r="H16327">
        <v>176806159</v>
      </c>
      <c r="I16327">
        <v>176806183</v>
      </c>
    </row>
    <row r="16328" spans="1:9" x14ac:dyDescent="0.2">
      <c r="A16328" s="1" t="str">
        <f>"SLC34A2"</f>
        <v>SLC34A2</v>
      </c>
      <c r="B16328" t="s">
        <v>14</v>
      </c>
      <c r="C16328" t="s">
        <v>23</v>
      </c>
      <c r="D16328" t="s">
        <v>17</v>
      </c>
      <c r="E16328" t="s">
        <v>12</v>
      </c>
      <c r="F16328">
        <v>25657465</v>
      </c>
      <c r="G16328">
        <v>25657481</v>
      </c>
      <c r="H16328">
        <v>25656780</v>
      </c>
      <c r="I16328">
        <v>25656793</v>
      </c>
    </row>
    <row r="16329" spans="1:9" x14ac:dyDescent="0.2">
      <c r="A16329" s="1" t="str">
        <f>"SLC34A3"</f>
        <v>SLC34A3</v>
      </c>
      <c r="B16329" t="s">
        <v>14</v>
      </c>
      <c r="C16329" t="s">
        <v>24</v>
      </c>
      <c r="D16329" t="s">
        <v>17</v>
      </c>
      <c r="E16329" t="s">
        <v>12</v>
      </c>
      <c r="F16329">
        <v>140125348</v>
      </c>
      <c r="G16329">
        <v>140125356</v>
      </c>
      <c r="H16329">
        <v>140125348</v>
      </c>
      <c r="I16329">
        <v>140125356</v>
      </c>
    </row>
    <row r="16330" spans="1:9" x14ac:dyDescent="0.2">
      <c r="A16330" s="1" t="str">
        <f>"SLC35A1"</f>
        <v>SLC35A1</v>
      </c>
      <c r="B16330" t="s">
        <v>14</v>
      </c>
      <c r="C16330" t="s">
        <v>32</v>
      </c>
      <c r="D16330" t="s">
        <v>17</v>
      </c>
      <c r="E16330" t="s">
        <v>12</v>
      </c>
      <c r="F16330">
        <v>88182685</v>
      </c>
      <c r="G16330">
        <v>88182718</v>
      </c>
      <c r="H16330">
        <v>88182685</v>
      </c>
      <c r="I16330">
        <v>88182718</v>
      </c>
    </row>
    <row r="16331" spans="1:9" x14ac:dyDescent="0.2">
      <c r="A16331" s="1" t="str">
        <f>"SLC35A2"</f>
        <v>SLC35A2</v>
      </c>
      <c r="B16331" t="s">
        <v>14</v>
      </c>
      <c r="C16331" t="s">
        <v>37</v>
      </c>
      <c r="D16331" t="s">
        <v>11</v>
      </c>
      <c r="E16331" t="s">
        <v>12</v>
      </c>
      <c r="F16331">
        <v>48768916</v>
      </c>
      <c r="G16331">
        <v>48768930</v>
      </c>
      <c r="H16331">
        <v>48769201</v>
      </c>
      <c r="I16331">
        <v>48769230</v>
      </c>
    </row>
    <row r="16332" spans="1:9" x14ac:dyDescent="0.2">
      <c r="A16332" s="1" t="str">
        <f>"SLC35A3"</f>
        <v>SLC35A3</v>
      </c>
      <c r="B16332" t="s">
        <v>14</v>
      </c>
      <c r="C16332" t="s">
        <v>19</v>
      </c>
      <c r="D16332" t="s">
        <v>17</v>
      </c>
      <c r="E16332" t="s">
        <v>12</v>
      </c>
      <c r="F16332">
        <v>100435545</v>
      </c>
      <c r="G16332">
        <v>100435597</v>
      </c>
      <c r="H16332">
        <v>100435612</v>
      </c>
      <c r="I16332">
        <v>100435623</v>
      </c>
    </row>
    <row r="16333" spans="1:9" x14ac:dyDescent="0.2">
      <c r="A16333" s="1" t="str">
        <f>"SLC35A4"</f>
        <v>SLC35A4</v>
      </c>
      <c r="B16333" t="s">
        <v>14</v>
      </c>
      <c r="C16333" t="s">
        <v>46</v>
      </c>
      <c r="D16333" t="s">
        <v>17</v>
      </c>
      <c r="E16333" t="s">
        <v>12</v>
      </c>
      <c r="F16333">
        <v>139944396</v>
      </c>
      <c r="G16333">
        <v>139944424</v>
      </c>
      <c r="H16333">
        <v>139944024</v>
      </c>
      <c r="I16333">
        <v>139944054</v>
      </c>
    </row>
    <row r="16334" spans="1:9" x14ac:dyDescent="0.2">
      <c r="A16334" s="1" t="str">
        <f>"SLC35A5"</f>
        <v>SLC35A5</v>
      </c>
      <c r="B16334" t="s">
        <v>14</v>
      </c>
      <c r="C16334" t="s">
        <v>22</v>
      </c>
      <c r="D16334" t="s">
        <v>17</v>
      </c>
      <c r="E16334" t="s">
        <v>12</v>
      </c>
      <c r="F16334">
        <v>112280906</v>
      </c>
      <c r="G16334">
        <v>112280967</v>
      </c>
      <c r="H16334">
        <v>112280877</v>
      </c>
      <c r="I16334">
        <v>112280901</v>
      </c>
    </row>
    <row r="16335" spans="1:9" x14ac:dyDescent="0.2">
      <c r="A16335" s="1" t="str">
        <f>"SLC35B1"</f>
        <v>SLC35B1</v>
      </c>
      <c r="B16335" t="s">
        <v>14</v>
      </c>
      <c r="C16335" t="s">
        <v>28</v>
      </c>
      <c r="D16335" t="s">
        <v>11</v>
      </c>
      <c r="E16335" t="s">
        <v>12</v>
      </c>
      <c r="F16335">
        <v>47785265</v>
      </c>
      <c r="G16335">
        <v>47785332</v>
      </c>
      <c r="H16335">
        <v>47785504</v>
      </c>
      <c r="I16335">
        <v>47785547</v>
      </c>
    </row>
    <row r="16336" spans="1:9" x14ac:dyDescent="0.2">
      <c r="A16336" s="1" t="str">
        <f>"SLC35B2"</f>
        <v>SLC35B2</v>
      </c>
      <c r="B16336" t="s">
        <v>14</v>
      </c>
      <c r="C16336" t="s">
        <v>32</v>
      </c>
      <c r="D16336" t="s">
        <v>11</v>
      </c>
      <c r="E16336" t="s">
        <v>12</v>
      </c>
      <c r="F16336">
        <v>44225231</v>
      </c>
      <c r="G16336">
        <v>44225280</v>
      </c>
      <c r="H16336">
        <v>44225077</v>
      </c>
      <c r="I16336">
        <v>44225098</v>
      </c>
    </row>
    <row r="16337" spans="1:9" x14ac:dyDescent="0.2">
      <c r="A16337" s="1" t="str">
        <f>"SLC35B3"</f>
        <v>SLC35B3</v>
      </c>
      <c r="B16337" t="s">
        <v>14</v>
      </c>
      <c r="C16337" t="s">
        <v>32</v>
      </c>
      <c r="D16337" t="s">
        <v>11</v>
      </c>
      <c r="E16337" t="s">
        <v>12</v>
      </c>
      <c r="F16337">
        <v>8435758</v>
      </c>
      <c r="G16337">
        <v>8435807</v>
      </c>
      <c r="H16337">
        <v>8435706</v>
      </c>
      <c r="I16337">
        <v>8435756</v>
      </c>
    </row>
    <row r="16338" spans="1:9" x14ac:dyDescent="0.2">
      <c r="A16338" s="1" t="str">
        <f>"SLC35B4"</f>
        <v>SLC35B4</v>
      </c>
      <c r="B16338" t="s">
        <v>14</v>
      </c>
      <c r="C16338" t="s">
        <v>33</v>
      </c>
      <c r="D16338" t="s">
        <v>11</v>
      </c>
      <c r="E16338" t="s">
        <v>12</v>
      </c>
      <c r="F16338">
        <v>134001663</v>
      </c>
      <c r="G16338">
        <v>134001760</v>
      </c>
      <c r="H16338">
        <v>134001599</v>
      </c>
      <c r="I16338">
        <v>134001660</v>
      </c>
    </row>
    <row r="16339" spans="1:9" x14ac:dyDescent="0.2">
      <c r="A16339" s="1" t="str">
        <f>"SLC35C1"</f>
        <v>SLC35C1</v>
      </c>
      <c r="B16339" t="s">
        <v>14</v>
      </c>
      <c r="C16339" t="s">
        <v>27</v>
      </c>
      <c r="D16339" t="s">
        <v>17</v>
      </c>
      <c r="E16339" t="s">
        <v>12</v>
      </c>
      <c r="F16339">
        <v>45826659</v>
      </c>
      <c r="G16339">
        <v>45826742</v>
      </c>
      <c r="H16339">
        <v>45825896</v>
      </c>
      <c r="I16339">
        <v>45825965</v>
      </c>
    </row>
    <row r="16340" spans="1:9" x14ac:dyDescent="0.2">
      <c r="A16340" s="1" t="str">
        <f>"SLC35C2"</f>
        <v>SLC35C2</v>
      </c>
      <c r="B16340" t="s">
        <v>14</v>
      </c>
      <c r="C16340" t="s">
        <v>29</v>
      </c>
      <c r="D16340" t="s">
        <v>11</v>
      </c>
      <c r="E16340" t="s">
        <v>12</v>
      </c>
      <c r="F16340">
        <v>44993012</v>
      </c>
      <c r="G16340">
        <v>44993085</v>
      </c>
      <c r="H16340">
        <v>44993012</v>
      </c>
      <c r="I16340">
        <v>44993085</v>
      </c>
    </row>
    <row r="16341" spans="1:9" x14ac:dyDescent="0.2">
      <c r="A16341" s="1" t="str">
        <f>"SLC35D1"</f>
        <v>SLC35D1</v>
      </c>
      <c r="B16341" t="s">
        <v>14</v>
      </c>
      <c r="C16341" t="s">
        <v>19</v>
      </c>
      <c r="D16341" t="s">
        <v>11</v>
      </c>
      <c r="E16341" t="s">
        <v>12</v>
      </c>
      <c r="F16341">
        <v>67519785</v>
      </c>
      <c r="G16341">
        <v>67519810</v>
      </c>
      <c r="H16341">
        <v>67519812</v>
      </c>
      <c r="I16341">
        <v>67519854</v>
      </c>
    </row>
    <row r="16342" spans="1:9" x14ac:dyDescent="0.2">
      <c r="A16342" s="1" t="str">
        <f>"SLC35D2"</f>
        <v>SLC35D2</v>
      </c>
      <c r="B16342" t="s">
        <v>14</v>
      </c>
      <c r="C16342" t="s">
        <v>24</v>
      </c>
      <c r="D16342" t="s">
        <v>11</v>
      </c>
      <c r="E16342" t="s">
        <v>12</v>
      </c>
      <c r="F16342">
        <v>99145957</v>
      </c>
      <c r="G16342">
        <v>99146012</v>
      </c>
      <c r="H16342">
        <v>99145957</v>
      </c>
      <c r="I16342">
        <v>99146012</v>
      </c>
    </row>
    <row r="16343" spans="1:9" x14ac:dyDescent="0.2">
      <c r="A16343" s="1" t="str">
        <f>"SLC35D3"</f>
        <v>SLC35D3</v>
      </c>
      <c r="B16343" t="s">
        <v>14</v>
      </c>
      <c r="C16343" t="s">
        <v>32</v>
      </c>
      <c r="D16343" t="s">
        <v>17</v>
      </c>
      <c r="E16343" t="s">
        <v>12</v>
      </c>
      <c r="F16343">
        <v>137243373</v>
      </c>
      <c r="G16343">
        <v>137243391</v>
      </c>
      <c r="H16343">
        <v>137243433</v>
      </c>
      <c r="I16343">
        <v>137243444</v>
      </c>
    </row>
    <row r="16344" spans="1:9" x14ac:dyDescent="0.2">
      <c r="A16344" s="1" t="str">
        <f>"SLC35E1"</f>
        <v>SLC35E1</v>
      </c>
      <c r="B16344" t="s">
        <v>14</v>
      </c>
      <c r="C16344" t="s">
        <v>10</v>
      </c>
      <c r="D16344" t="s">
        <v>11</v>
      </c>
      <c r="E16344" t="s">
        <v>12</v>
      </c>
      <c r="F16344">
        <v>16683177</v>
      </c>
      <c r="G16344">
        <v>16683243</v>
      </c>
      <c r="H16344">
        <v>16683177</v>
      </c>
      <c r="I16344">
        <v>16683243</v>
      </c>
    </row>
    <row r="16345" spans="1:9" x14ac:dyDescent="0.2">
      <c r="A16345" s="1" t="str">
        <f>"SLC35E2"</f>
        <v>SLC35E2</v>
      </c>
      <c r="B16345" t="s">
        <v>14</v>
      </c>
      <c r="C16345" t="s">
        <v>19</v>
      </c>
      <c r="D16345" t="s">
        <v>11</v>
      </c>
      <c r="E16345" t="s">
        <v>12</v>
      </c>
      <c r="F16345">
        <v>1677507</v>
      </c>
      <c r="G16345">
        <v>1677512</v>
      </c>
      <c r="H16345">
        <v>1677256</v>
      </c>
      <c r="I16345">
        <v>1677266</v>
      </c>
    </row>
    <row r="16346" spans="1:9" x14ac:dyDescent="0.2">
      <c r="A16346" s="1" t="str">
        <f>"SLC35E2B"</f>
        <v>SLC35E2B</v>
      </c>
      <c r="B16346" t="s">
        <v>14</v>
      </c>
      <c r="C16346" t="s">
        <v>19</v>
      </c>
      <c r="D16346" t="s">
        <v>11</v>
      </c>
      <c r="E16346" t="s">
        <v>12</v>
      </c>
      <c r="F16346">
        <v>1624233</v>
      </c>
      <c r="G16346">
        <v>1624252</v>
      </c>
      <c r="H16346">
        <v>1623977</v>
      </c>
      <c r="I16346">
        <v>1623995</v>
      </c>
    </row>
    <row r="16347" spans="1:9" x14ac:dyDescent="0.2">
      <c r="A16347" s="1" t="str">
        <f>"SLC35E3"</f>
        <v>SLC35E3</v>
      </c>
      <c r="B16347" t="s">
        <v>14</v>
      </c>
      <c r="C16347" t="s">
        <v>16</v>
      </c>
      <c r="D16347" t="s">
        <v>17</v>
      </c>
      <c r="E16347" t="s">
        <v>12</v>
      </c>
      <c r="F16347">
        <v>69139918</v>
      </c>
      <c r="G16347">
        <v>69139974</v>
      </c>
      <c r="H16347">
        <v>69139988</v>
      </c>
      <c r="I16347">
        <v>69140007</v>
      </c>
    </row>
    <row r="16348" spans="1:9" x14ac:dyDescent="0.2">
      <c r="A16348" s="1" t="str">
        <f>"SLC35E4"</f>
        <v>SLC35E4</v>
      </c>
      <c r="B16348" t="s">
        <v>14</v>
      </c>
      <c r="C16348" t="s">
        <v>21</v>
      </c>
      <c r="D16348" t="s">
        <v>17</v>
      </c>
      <c r="E16348" t="s">
        <v>12</v>
      </c>
      <c r="F16348">
        <v>31031736</v>
      </c>
      <c r="G16348">
        <v>31031804</v>
      </c>
      <c r="H16348">
        <v>31031708</v>
      </c>
      <c r="I16348">
        <v>31031728</v>
      </c>
    </row>
    <row r="16349" spans="1:9" x14ac:dyDescent="0.2">
      <c r="A16349" s="1" t="str">
        <f>"SLC35F1"</f>
        <v>SLC35F1</v>
      </c>
      <c r="B16349" t="s">
        <v>14</v>
      </c>
      <c r="C16349" t="s">
        <v>32</v>
      </c>
      <c r="D16349" t="s">
        <v>17</v>
      </c>
      <c r="E16349" t="s">
        <v>12</v>
      </c>
      <c r="F16349">
        <v>118228389</v>
      </c>
      <c r="G16349">
        <v>118228435</v>
      </c>
      <c r="H16349">
        <v>118228657</v>
      </c>
      <c r="I16349">
        <v>118228715</v>
      </c>
    </row>
    <row r="16350" spans="1:9" x14ac:dyDescent="0.2">
      <c r="A16350" s="1" t="str">
        <f>"SLC35F2"</f>
        <v>SLC35F2</v>
      </c>
      <c r="B16350" t="s">
        <v>14</v>
      </c>
      <c r="C16350" t="s">
        <v>27</v>
      </c>
      <c r="D16350" t="s">
        <v>11</v>
      </c>
      <c r="E16350" t="s">
        <v>12</v>
      </c>
      <c r="F16350">
        <v>107729504</v>
      </c>
      <c r="G16350">
        <v>107729539</v>
      </c>
      <c r="H16350">
        <v>107729504</v>
      </c>
      <c r="I16350">
        <v>107729539</v>
      </c>
    </row>
    <row r="16351" spans="1:9" x14ac:dyDescent="0.2">
      <c r="A16351" s="1" t="str">
        <f>"SLC35F3"</f>
        <v>SLC35F3</v>
      </c>
      <c r="B16351" t="s">
        <v>9</v>
      </c>
      <c r="C16351" t="s">
        <v>19</v>
      </c>
      <c r="D16351" t="s">
        <v>17</v>
      </c>
      <c r="E16351" t="s">
        <v>12</v>
      </c>
      <c r="F16351">
        <v>234349957</v>
      </c>
      <c r="G16351">
        <v>234350017</v>
      </c>
      <c r="H16351">
        <v>234349957</v>
      </c>
      <c r="I16351">
        <v>234350017</v>
      </c>
    </row>
    <row r="16352" spans="1:9" x14ac:dyDescent="0.2">
      <c r="A16352" s="1" t="str">
        <f>"SLC35F3"</f>
        <v>SLC35F3</v>
      </c>
      <c r="B16352" t="s">
        <v>13</v>
      </c>
      <c r="C16352" t="s">
        <v>19</v>
      </c>
      <c r="D16352" t="s">
        <v>17</v>
      </c>
      <c r="E16352" t="s">
        <v>12</v>
      </c>
      <c r="F16352">
        <v>234040407</v>
      </c>
      <c r="G16352">
        <v>234040525</v>
      </c>
      <c r="H16352">
        <v>234040407</v>
      </c>
      <c r="I16352">
        <v>234040525</v>
      </c>
    </row>
    <row r="16353" spans="1:9" x14ac:dyDescent="0.2">
      <c r="A16353" s="1" t="str">
        <f>"SLC35F4"</f>
        <v>SLC35F4</v>
      </c>
      <c r="B16353" t="s">
        <v>14</v>
      </c>
      <c r="C16353" t="s">
        <v>41</v>
      </c>
      <c r="D16353" t="s">
        <v>11</v>
      </c>
      <c r="E16353" t="s">
        <v>12</v>
      </c>
      <c r="F16353">
        <v>58332793</v>
      </c>
      <c r="G16353">
        <v>58332817</v>
      </c>
      <c r="H16353">
        <v>58332635</v>
      </c>
      <c r="I16353">
        <v>58332653</v>
      </c>
    </row>
    <row r="16354" spans="1:9" x14ac:dyDescent="0.2">
      <c r="A16354" s="1" t="str">
        <f>"SLC35F5"</f>
        <v>SLC35F5</v>
      </c>
      <c r="B16354" t="s">
        <v>14</v>
      </c>
      <c r="C16354" t="s">
        <v>26</v>
      </c>
      <c r="D16354" t="s">
        <v>11</v>
      </c>
      <c r="E16354" t="s">
        <v>12</v>
      </c>
      <c r="F16354">
        <v>114514181</v>
      </c>
      <c r="G16354">
        <v>114514204</v>
      </c>
      <c r="H16354">
        <v>114514205</v>
      </c>
      <c r="I16354">
        <v>114514227</v>
      </c>
    </row>
    <row r="16355" spans="1:9" x14ac:dyDescent="0.2">
      <c r="A16355" s="1" t="str">
        <f>"SLC35F6"</f>
        <v>SLC35F6</v>
      </c>
      <c r="B16355" t="s">
        <v>14</v>
      </c>
      <c r="C16355" t="s">
        <v>26</v>
      </c>
      <c r="D16355" t="s">
        <v>17</v>
      </c>
      <c r="E16355" t="s">
        <v>12</v>
      </c>
      <c r="F16355">
        <v>26987111</v>
      </c>
      <c r="G16355">
        <v>26987210</v>
      </c>
      <c r="H16355">
        <v>26987111</v>
      </c>
      <c r="I16355">
        <v>26987210</v>
      </c>
    </row>
    <row r="16356" spans="1:9" x14ac:dyDescent="0.2">
      <c r="A16356" s="1" t="str">
        <f>"SLC35G1"</f>
        <v>SLC35G1</v>
      </c>
      <c r="B16356" t="s">
        <v>14</v>
      </c>
      <c r="C16356" t="s">
        <v>15</v>
      </c>
      <c r="D16356" t="s">
        <v>17</v>
      </c>
      <c r="E16356" t="s">
        <v>12</v>
      </c>
      <c r="F16356">
        <v>95653687</v>
      </c>
      <c r="G16356">
        <v>95653765</v>
      </c>
      <c r="H16356">
        <v>95653768</v>
      </c>
      <c r="I16356">
        <v>95653785</v>
      </c>
    </row>
    <row r="16357" spans="1:9" x14ac:dyDescent="0.2">
      <c r="A16357" s="1" t="str">
        <f>"SLC35G2"</f>
        <v>SLC35G2</v>
      </c>
      <c r="B16357" t="s">
        <v>14</v>
      </c>
      <c r="C16357" t="s">
        <v>22</v>
      </c>
      <c r="D16357" t="s">
        <v>17</v>
      </c>
      <c r="E16357" t="s">
        <v>12</v>
      </c>
      <c r="F16357">
        <v>136537911</v>
      </c>
      <c r="G16357">
        <v>136538003</v>
      </c>
      <c r="H16357">
        <v>136537816</v>
      </c>
      <c r="I16357">
        <v>136537876</v>
      </c>
    </row>
    <row r="16358" spans="1:9" x14ac:dyDescent="0.2">
      <c r="A16358" s="1" t="str">
        <f>"SLC35G3"</f>
        <v>SLC35G3</v>
      </c>
      <c r="B16358" t="s">
        <v>1550</v>
      </c>
      <c r="C16358" t="s">
        <v>28</v>
      </c>
      <c r="D16358" t="s">
        <v>11</v>
      </c>
      <c r="E16358" t="s">
        <v>20</v>
      </c>
      <c r="F16358">
        <v>33521411</v>
      </c>
      <c r="G16358">
        <v>33521411</v>
      </c>
      <c r="H16358">
        <v>33521411</v>
      </c>
      <c r="I16358">
        <v>33521411</v>
      </c>
    </row>
    <row r="16359" spans="1:9" x14ac:dyDescent="0.2">
      <c r="A16359" s="1" t="str">
        <f>"SLC35G4"</f>
        <v>SLC35G4</v>
      </c>
      <c r="B16359" t="s">
        <v>1551</v>
      </c>
      <c r="C16359" t="s">
        <v>43</v>
      </c>
      <c r="D16359" t="s">
        <v>17</v>
      </c>
      <c r="E16359" t="s">
        <v>20</v>
      </c>
      <c r="F16359">
        <v>11609556</v>
      </c>
      <c r="G16359">
        <v>11609556</v>
      </c>
      <c r="H16359">
        <v>11609556</v>
      </c>
      <c r="I16359">
        <v>11609556</v>
      </c>
    </row>
    <row r="16360" spans="1:9" x14ac:dyDescent="0.2">
      <c r="A16360" s="1" t="str">
        <f>"SLC35G5"</f>
        <v>SLC35G5</v>
      </c>
      <c r="B16360" t="s">
        <v>1552</v>
      </c>
      <c r="C16360" t="s">
        <v>30</v>
      </c>
      <c r="D16360" t="s">
        <v>17</v>
      </c>
      <c r="E16360" t="s">
        <v>20</v>
      </c>
      <c r="F16360">
        <v>11188396</v>
      </c>
      <c r="G16360">
        <v>11188396</v>
      </c>
      <c r="H16360">
        <v>11188396</v>
      </c>
      <c r="I16360">
        <v>11188396</v>
      </c>
    </row>
    <row r="16361" spans="1:9" x14ac:dyDescent="0.2">
      <c r="A16361" s="1" t="str">
        <f>"SLC35G6"</f>
        <v>SLC35G6</v>
      </c>
      <c r="B16361" t="s">
        <v>1553</v>
      </c>
      <c r="C16361" t="s">
        <v>28</v>
      </c>
      <c r="D16361" t="s">
        <v>17</v>
      </c>
      <c r="E16361" t="s">
        <v>75</v>
      </c>
      <c r="F16361">
        <v>7384838</v>
      </c>
      <c r="G16361">
        <v>7384859</v>
      </c>
      <c r="H16361">
        <v>7384838</v>
      </c>
      <c r="I16361">
        <v>7384859</v>
      </c>
    </row>
    <row r="16362" spans="1:9" x14ac:dyDescent="0.2">
      <c r="A16362" s="1" t="str">
        <f>"SLC36A1"</f>
        <v>SLC36A1</v>
      </c>
      <c r="B16362" t="s">
        <v>9</v>
      </c>
      <c r="C16362" t="s">
        <v>46</v>
      </c>
      <c r="D16362" t="s">
        <v>17</v>
      </c>
      <c r="E16362" t="s">
        <v>12</v>
      </c>
      <c r="F16362">
        <v>150827143</v>
      </c>
      <c r="G16362">
        <v>150827196</v>
      </c>
      <c r="H16362">
        <v>150827143</v>
      </c>
      <c r="I16362">
        <v>150827196</v>
      </c>
    </row>
    <row r="16363" spans="1:9" x14ac:dyDescent="0.2">
      <c r="A16363" s="1" t="str">
        <f>"SLC36A1"</f>
        <v>SLC36A1</v>
      </c>
      <c r="B16363" t="s">
        <v>13</v>
      </c>
      <c r="C16363" t="s">
        <v>46</v>
      </c>
      <c r="D16363" t="s">
        <v>17</v>
      </c>
      <c r="E16363" t="s">
        <v>12</v>
      </c>
      <c r="F16363">
        <v>150838206</v>
      </c>
      <c r="G16363">
        <v>150838234</v>
      </c>
      <c r="H16363">
        <v>150838206</v>
      </c>
      <c r="I16363">
        <v>150838234</v>
      </c>
    </row>
    <row r="16364" spans="1:9" x14ac:dyDescent="0.2">
      <c r="A16364" s="1" t="str">
        <f>"SLC36A2"</f>
        <v>SLC36A2</v>
      </c>
      <c r="B16364" t="s">
        <v>14</v>
      </c>
      <c r="C16364" t="s">
        <v>46</v>
      </c>
      <c r="D16364" t="s">
        <v>11</v>
      </c>
      <c r="E16364" t="s">
        <v>12</v>
      </c>
      <c r="F16364">
        <v>150727111</v>
      </c>
      <c r="G16364">
        <v>150727127</v>
      </c>
      <c r="H16364">
        <v>150727066</v>
      </c>
      <c r="I16364">
        <v>150727082</v>
      </c>
    </row>
    <row r="16365" spans="1:9" x14ac:dyDescent="0.2">
      <c r="A16365" s="1" t="str">
        <f>"SLC36A3"</f>
        <v>SLC36A3</v>
      </c>
      <c r="B16365" t="s">
        <v>14</v>
      </c>
      <c r="C16365" t="s">
        <v>46</v>
      </c>
      <c r="D16365" t="s">
        <v>11</v>
      </c>
      <c r="E16365" t="s">
        <v>12</v>
      </c>
      <c r="F16365">
        <v>150683321</v>
      </c>
      <c r="G16365">
        <v>150683331</v>
      </c>
      <c r="H16365">
        <v>150683341</v>
      </c>
      <c r="I16365">
        <v>150683346</v>
      </c>
    </row>
    <row r="16366" spans="1:9" x14ac:dyDescent="0.2">
      <c r="A16366" s="1" t="str">
        <f>"SLC36A4"</f>
        <v>SLC36A4</v>
      </c>
      <c r="B16366" t="s">
        <v>14</v>
      </c>
      <c r="C16366" t="s">
        <v>27</v>
      </c>
      <c r="D16366" t="s">
        <v>11</v>
      </c>
      <c r="E16366" t="s">
        <v>12</v>
      </c>
      <c r="F16366">
        <v>92931098</v>
      </c>
      <c r="G16366">
        <v>92931173</v>
      </c>
      <c r="H16366">
        <v>92931044</v>
      </c>
      <c r="I16366">
        <v>92931094</v>
      </c>
    </row>
    <row r="16367" spans="1:9" x14ac:dyDescent="0.2">
      <c r="A16367" s="1" t="str">
        <f>"SLC37A1"</f>
        <v>SLC37A1</v>
      </c>
      <c r="B16367" t="s">
        <v>14</v>
      </c>
      <c r="C16367" t="s">
        <v>42</v>
      </c>
      <c r="D16367" t="s">
        <v>17</v>
      </c>
      <c r="E16367" t="s">
        <v>12</v>
      </c>
      <c r="F16367">
        <v>43933946</v>
      </c>
      <c r="G16367">
        <v>43934012</v>
      </c>
      <c r="H16367">
        <v>43934595</v>
      </c>
      <c r="I16367">
        <v>43934621</v>
      </c>
    </row>
    <row r="16368" spans="1:9" x14ac:dyDescent="0.2">
      <c r="A16368" s="1" t="str">
        <f>"SLC37A2"</f>
        <v>SLC37A2</v>
      </c>
      <c r="B16368" t="s">
        <v>14</v>
      </c>
      <c r="C16368" t="s">
        <v>27</v>
      </c>
      <c r="D16368" t="s">
        <v>17</v>
      </c>
      <c r="E16368" t="s">
        <v>12</v>
      </c>
      <c r="F16368">
        <v>124933191</v>
      </c>
      <c r="G16368">
        <v>124933208</v>
      </c>
      <c r="H16368">
        <v>124932986</v>
      </c>
      <c r="I16368">
        <v>124933018</v>
      </c>
    </row>
    <row r="16369" spans="1:9" x14ac:dyDescent="0.2">
      <c r="A16369" s="1" t="str">
        <f>"SLC37A3"</f>
        <v>SLC37A3</v>
      </c>
      <c r="B16369" t="s">
        <v>14</v>
      </c>
      <c r="C16369" t="s">
        <v>33</v>
      </c>
      <c r="D16369" t="s">
        <v>11</v>
      </c>
      <c r="E16369" t="s">
        <v>12</v>
      </c>
      <c r="F16369">
        <v>140098257</v>
      </c>
      <c r="G16369">
        <v>140098342</v>
      </c>
      <c r="H16369">
        <v>140098346</v>
      </c>
      <c r="I16369">
        <v>140098351</v>
      </c>
    </row>
    <row r="16370" spans="1:9" x14ac:dyDescent="0.2">
      <c r="A16370" s="1" t="str">
        <f>"SLC37A4"</f>
        <v>SLC37A4</v>
      </c>
      <c r="B16370" t="s">
        <v>14</v>
      </c>
      <c r="C16370" t="s">
        <v>27</v>
      </c>
      <c r="D16370" t="s">
        <v>11</v>
      </c>
      <c r="E16370" t="s">
        <v>12</v>
      </c>
      <c r="F16370">
        <v>118901559</v>
      </c>
      <c r="G16370">
        <v>118901621</v>
      </c>
      <c r="H16370">
        <v>118901484</v>
      </c>
      <c r="I16370">
        <v>118901510</v>
      </c>
    </row>
    <row r="16371" spans="1:9" x14ac:dyDescent="0.2">
      <c r="A16371" s="1" t="str">
        <f>"SLC38A1"</f>
        <v>SLC38A1</v>
      </c>
      <c r="B16371" t="s">
        <v>14</v>
      </c>
      <c r="C16371" t="s">
        <v>16</v>
      </c>
      <c r="D16371" t="s">
        <v>11</v>
      </c>
      <c r="E16371" t="s">
        <v>12</v>
      </c>
      <c r="F16371">
        <v>46662772</v>
      </c>
      <c r="G16371">
        <v>46662835</v>
      </c>
      <c r="H16371">
        <v>46662513</v>
      </c>
      <c r="I16371">
        <v>46662549</v>
      </c>
    </row>
    <row r="16372" spans="1:9" x14ac:dyDescent="0.2">
      <c r="A16372" s="1" t="str">
        <f>"SLC38A10"</f>
        <v>SLC38A10</v>
      </c>
      <c r="B16372" t="s">
        <v>14</v>
      </c>
      <c r="C16372" t="s">
        <v>28</v>
      </c>
      <c r="D16372" t="s">
        <v>11</v>
      </c>
      <c r="E16372" t="s">
        <v>12</v>
      </c>
      <c r="F16372">
        <v>79269069</v>
      </c>
      <c r="G16372">
        <v>79269121</v>
      </c>
      <c r="H16372">
        <v>79269034</v>
      </c>
      <c r="I16372">
        <v>79269048</v>
      </c>
    </row>
    <row r="16373" spans="1:9" x14ac:dyDescent="0.2">
      <c r="A16373" s="1" t="str">
        <f>"SLC38A11"</f>
        <v>SLC38A11</v>
      </c>
      <c r="B16373" t="s">
        <v>14</v>
      </c>
      <c r="C16373" t="s">
        <v>26</v>
      </c>
      <c r="D16373" t="s">
        <v>11</v>
      </c>
      <c r="E16373" t="s">
        <v>12</v>
      </c>
      <c r="F16373">
        <v>165812028</v>
      </c>
      <c r="G16373">
        <v>165812040</v>
      </c>
      <c r="H16373">
        <v>165811983</v>
      </c>
      <c r="I16373">
        <v>165812008</v>
      </c>
    </row>
    <row r="16374" spans="1:9" x14ac:dyDescent="0.2">
      <c r="A16374" s="1" t="str">
        <f>"SLC38A2"</f>
        <v>SLC38A2</v>
      </c>
      <c r="B16374" t="s">
        <v>14</v>
      </c>
      <c r="C16374" t="s">
        <v>16</v>
      </c>
      <c r="D16374" t="s">
        <v>11</v>
      </c>
      <c r="E16374" t="s">
        <v>12</v>
      </c>
      <c r="F16374">
        <v>46766547</v>
      </c>
      <c r="G16374">
        <v>46766567</v>
      </c>
      <c r="H16374">
        <v>46766521</v>
      </c>
      <c r="I16374">
        <v>46766537</v>
      </c>
    </row>
    <row r="16375" spans="1:9" x14ac:dyDescent="0.2">
      <c r="A16375" s="1" t="str">
        <f>"SLC38A3"</f>
        <v>SLC38A3</v>
      </c>
      <c r="B16375" t="s">
        <v>14</v>
      </c>
      <c r="C16375" t="s">
        <v>22</v>
      </c>
      <c r="D16375" t="s">
        <v>17</v>
      </c>
      <c r="E16375" t="s">
        <v>12</v>
      </c>
      <c r="F16375">
        <v>50242680</v>
      </c>
      <c r="G16375">
        <v>50242716</v>
      </c>
      <c r="H16375">
        <v>50242721</v>
      </c>
      <c r="I16375">
        <v>50242724</v>
      </c>
    </row>
    <row r="16376" spans="1:9" x14ac:dyDescent="0.2">
      <c r="A16376" s="1" t="str">
        <f>"SLC38A4"</f>
        <v>SLC38A4</v>
      </c>
      <c r="B16376" t="s">
        <v>9</v>
      </c>
      <c r="C16376" t="s">
        <v>16</v>
      </c>
      <c r="D16376" t="s">
        <v>11</v>
      </c>
      <c r="E16376" t="s">
        <v>12</v>
      </c>
      <c r="F16376">
        <v>47197427</v>
      </c>
      <c r="G16376">
        <v>47197443</v>
      </c>
      <c r="H16376">
        <v>47197427</v>
      </c>
      <c r="I16376">
        <v>47197443</v>
      </c>
    </row>
    <row r="16377" spans="1:9" x14ac:dyDescent="0.2">
      <c r="A16377" s="1" t="str">
        <f>"SLC38A4"</f>
        <v>SLC38A4</v>
      </c>
      <c r="B16377" t="s">
        <v>13</v>
      </c>
      <c r="C16377" t="s">
        <v>16</v>
      </c>
      <c r="D16377" t="s">
        <v>11</v>
      </c>
      <c r="E16377" t="s">
        <v>12</v>
      </c>
      <c r="F16377">
        <v>47219733</v>
      </c>
      <c r="G16377">
        <v>47219785</v>
      </c>
      <c r="H16377">
        <v>47219733</v>
      </c>
      <c r="I16377">
        <v>47219785</v>
      </c>
    </row>
    <row r="16378" spans="1:9" x14ac:dyDescent="0.2">
      <c r="A16378" s="1" t="str">
        <f>"SLC38A5"</f>
        <v>SLC38A5</v>
      </c>
      <c r="B16378" t="s">
        <v>14</v>
      </c>
      <c r="C16378" t="s">
        <v>37</v>
      </c>
      <c r="D16378" t="s">
        <v>11</v>
      </c>
      <c r="E16378" t="s">
        <v>12</v>
      </c>
      <c r="F16378">
        <v>48325857</v>
      </c>
      <c r="G16378">
        <v>48325903</v>
      </c>
      <c r="H16378">
        <v>48326764</v>
      </c>
      <c r="I16378">
        <v>48326816</v>
      </c>
    </row>
    <row r="16379" spans="1:9" x14ac:dyDescent="0.2">
      <c r="A16379" s="1" t="str">
        <f>"SLC38A6"</f>
        <v>SLC38A6</v>
      </c>
      <c r="B16379" t="s">
        <v>14</v>
      </c>
      <c r="C16379" t="s">
        <v>41</v>
      </c>
      <c r="D16379" t="s">
        <v>17</v>
      </c>
      <c r="E16379" t="s">
        <v>12</v>
      </c>
      <c r="F16379">
        <v>61447927</v>
      </c>
      <c r="G16379">
        <v>61447983</v>
      </c>
      <c r="H16379">
        <v>61447832</v>
      </c>
      <c r="I16379">
        <v>61447878</v>
      </c>
    </row>
    <row r="16380" spans="1:9" x14ac:dyDescent="0.2">
      <c r="A16380" s="1" t="str">
        <f>"SLC38A7"</f>
        <v>SLC38A7</v>
      </c>
      <c r="B16380" t="s">
        <v>14</v>
      </c>
      <c r="C16380" t="s">
        <v>31</v>
      </c>
      <c r="D16380" t="s">
        <v>11</v>
      </c>
      <c r="E16380" t="s">
        <v>12</v>
      </c>
      <c r="F16380">
        <v>58718638</v>
      </c>
      <c r="G16380">
        <v>58718689</v>
      </c>
      <c r="H16380">
        <v>58718617</v>
      </c>
      <c r="I16380">
        <v>58718634</v>
      </c>
    </row>
    <row r="16381" spans="1:9" x14ac:dyDescent="0.2">
      <c r="A16381" s="1" t="str">
        <f>"SLC38A8"</f>
        <v>SLC38A8</v>
      </c>
      <c r="B16381" t="s">
        <v>14</v>
      </c>
      <c r="C16381" t="s">
        <v>31</v>
      </c>
      <c r="D16381" t="s">
        <v>11</v>
      </c>
      <c r="E16381" t="s">
        <v>12</v>
      </c>
      <c r="F16381">
        <v>84075914</v>
      </c>
      <c r="G16381">
        <v>84075946</v>
      </c>
      <c r="H16381">
        <v>84075914</v>
      </c>
      <c r="I16381">
        <v>84075946</v>
      </c>
    </row>
    <row r="16382" spans="1:9" x14ac:dyDescent="0.2">
      <c r="A16382" s="1" t="str">
        <f>"SLC38A9"</f>
        <v>SLC38A9</v>
      </c>
      <c r="B16382" t="s">
        <v>14</v>
      </c>
      <c r="C16382" t="s">
        <v>46</v>
      </c>
      <c r="D16382" t="s">
        <v>11</v>
      </c>
      <c r="E16382" t="s">
        <v>12</v>
      </c>
      <c r="F16382">
        <v>55008136</v>
      </c>
      <c r="G16382">
        <v>55008167</v>
      </c>
      <c r="H16382">
        <v>55008101</v>
      </c>
      <c r="I16382">
        <v>55008134</v>
      </c>
    </row>
    <row r="16383" spans="1:9" x14ac:dyDescent="0.2">
      <c r="A16383" s="1" t="str">
        <f>"SLC39A1"</f>
        <v>SLC39A1</v>
      </c>
      <c r="B16383" t="s">
        <v>14</v>
      </c>
      <c r="C16383" t="s">
        <v>19</v>
      </c>
      <c r="D16383" t="s">
        <v>11</v>
      </c>
      <c r="E16383" t="s">
        <v>12</v>
      </c>
      <c r="F16383">
        <v>153935983</v>
      </c>
      <c r="G16383">
        <v>153936032</v>
      </c>
      <c r="H16383">
        <v>153935791</v>
      </c>
      <c r="I16383">
        <v>153935817</v>
      </c>
    </row>
    <row r="16384" spans="1:9" x14ac:dyDescent="0.2">
      <c r="A16384" s="1" t="str">
        <f>"SLC39A10"</f>
        <v>SLC39A10</v>
      </c>
      <c r="B16384" t="s">
        <v>14</v>
      </c>
      <c r="C16384" t="s">
        <v>26</v>
      </c>
      <c r="D16384" t="s">
        <v>17</v>
      </c>
      <c r="E16384" t="s">
        <v>12</v>
      </c>
      <c r="F16384">
        <v>196521903</v>
      </c>
      <c r="G16384">
        <v>196521986</v>
      </c>
      <c r="H16384">
        <v>196522032</v>
      </c>
      <c r="I16384">
        <v>196522052</v>
      </c>
    </row>
    <row r="16385" spans="1:9" x14ac:dyDescent="0.2">
      <c r="A16385" s="1" t="str">
        <f>"SLC39A11"</f>
        <v>SLC39A11</v>
      </c>
      <c r="B16385" t="s">
        <v>14</v>
      </c>
      <c r="C16385" t="s">
        <v>28</v>
      </c>
      <c r="D16385" t="s">
        <v>11</v>
      </c>
      <c r="E16385" t="s">
        <v>12</v>
      </c>
      <c r="F16385">
        <v>71088797</v>
      </c>
      <c r="G16385">
        <v>71088844</v>
      </c>
      <c r="H16385">
        <v>71088849</v>
      </c>
      <c r="I16385">
        <v>71088856</v>
      </c>
    </row>
    <row r="16386" spans="1:9" x14ac:dyDescent="0.2">
      <c r="A16386" s="1" t="str">
        <f>"SLC39A12"</f>
        <v>SLC39A12</v>
      </c>
      <c r="B16386" t="s">
        <v>9</v>
      </c>
      <c r="C16386" t="s">
        <v>15</v>
      </c>
      <c r="D16386" t="s">
        <v>17</v>
      </c>
      <c r="E16386" t="s">
        <v>12</v>
      </c>
      <c r="F16386">
        <v>18240834</v>
      </c>
      <c r="G16386">
        <v>18240897</v>
      </c>
      <c r="H16386">
        <v>18240834</v>
      </c>
      <c r="I16386">
        <v>18240897</v>
      </c>
    </row>
    <row r="16387" spans="1:9" x14ac:dyDescent="0.2">
      <c r="A16387" s="1" t="str">
        <f>"SLC39A12"</f>
        <v>SLC39A12</v>
      </c>
      <c r="B16387" t="s">
        <v>13</v>
      </c>
      <c r="C16387" t="s">
        <v>15</v>
      </c>
      <c r="D16387" t="s">
        <v>17</v>
      </c>
      <c r="E16387" t="s">
        <v>12</v>
      </c>
      <c r="F16387">
        <v>18242141</v>
      </c>
      <c r="G16387">
        <v>18242184</v>
      </c>
      <c r="H16387">
        <v>18242141</v>
      </c>
      <c r="I16387">
        <v>18242184</v>
      </c>
    </row>
    <row r="16388" spans="1:9" x14ac:dyDescent="0.2">
      <c r="A16388" s="1" t="str">
        <f>"SLC39A13"</f>
        <v>SLC39A13</v>
      </c>
      <c r="B16388" t="s">
        <v>14</v>
      </c>
      <c r="C16388" t="s">
        <v>27</v>
      </c>
      <c r="D16388" t="s">
        <v>17</v>
      </c>
      <c r="E16388" t="s">
        <v>12</v>
      </c>
      <c r="F16388">
        <v>47430133</v>
      </c>
      <c r="G16388">
        <v>47430187</v>
      </c>
      <c r="H16388">
        <v>47430033</v>
      </c>
      <c r="I16388">
        <v>47430080</v>
      </c>
    </row>
    <row r="16389" spans="1:9" x14ac:dyDescent="0.2">
      <c r="A16389" s="1" t="str">
        <f>"SLC39A14"</f>
        <v>SLC39A14</v>
      </c>
      <c r="B16389" t="s">
        <v>14</v>
      </c>
      <c r="C16389" t="s">
        <v>30</v>
      </c>
      <c r="D16389" t="s">
        <v>17</v>
      </c>
      <c r="E16389" t="s">
        <v>12</v>
      </c>
      <c r="F16389">
        <v>22224760</v>
      </c>
      <c r="G16389">
        <v>22224800</v>
      </c>
      <c r="H16389">
        <v>22224811</v>
      </c>
      <c r="I16389">
        <v>22224822</v>
      </c>
    </row>
    <row r="16390" spans="1:9" x14ac:dyDescent="0.2">
      <c r="A16390" s="1" t="str">
        <f>"SLC39A2"</f>
        <v>SLC39A2</v>
      </c>
      <c r="B16390" t="s">
        <v>14</v>
      </c>
      <c r="C16390" t="s">
        <v>41</v>
      </c>
      <c r="D16390" t="s">
        <v>17</v>
      </c>
      <c r="E16390" t="s">
        <v>12</v>
      </c>
      <c r="F16390">
        <v>21467429</v>
      </c>
      <c r="G16390">
        <v>21467463</v>
      </c>
      <c r="H16390">
        <v>21467468</v>
      </c>
      <c r="I16390">
        <v>21467469</v>
      </c>
    </row>
    <row r="16391" spans="1:9" x14ac:dyDescent="0.2">
      <c r="A16391" s="1" t="str">
        <f>"SLC39A3"</f>
        <v>SLC39A3</v>
      </c>
      <c r="B16391" t="s">
        <v>14</v>
      </c>
      <c r="C16391" t="s">
        <v>10</v>
      </c>
      <c r="D16391" t="s">
        <v>11</v>
      </c>
      <c r="E16391" t="s">
        <v>12</v>
      </c>
      <c r="F16391">
        <v>2739992</v>
      </c>
      <c r="G16391">
        <v>2740027</v>
      </c>
      <c r="H16391">
        <v>2740036</v>
      </c>
      <c r="I16391">
        <v>2740069</v>
      </c>
    </row>
    <row r="16392" spans="1:9" x14ac:dyDescent="0.2">
      <c r="A16392" s="1" t="str">
        <f>"SLC39A4"</f>
        <v>SLC39A4</v>
      </c>
      <c r="B16392" t="s">
        <v>9</v>
      </c>
      <c r="C16392" t="s">
        <v>30</v>
      </c>
      <c r="D16392" t="s">
        <v>11</v>
      </c>
      <c r="E16392" t="s">
        <v>12</v>
      </c>
      <c r="F16392">
        <v>145638937</v>
      </c>
      <c r="G16392">
        <v>145639012</v>
      </c>
      <c r="H16392">
        <v>145638937</v>
      </c>
      <c r="I16392">
        <v>145639012</v>
      </c>
    </row>
    <row r="16393" spans="1:9" x14ac:dyDescent="0.2">
      <c r="A16393" s="1" t="str">
        <f>"SLC39A4"</f>
        <v>SLC39A4</v>
      </c>
      <c r="B16393" t="s">
        <v>13</v>
      </c>
      <c r="C16393" t="s">
        <v>30</v>
      </c>
      <c r="D16393" t="s">
        <v>11</v>
      </c>
      <c r="E16393" t="s">
        <v>12</v>
      </c>
      <c r="F16393">
        <v>145642221</v>
      </c>
      <c r="G16393">
        <v>145642235</v>
      </c>
      <c r="H16393">
        <v>145642221</v>
      </c>
      <c r="I16393">
        <v>145642235</v>
      </c>
    </row>
    <row r="16394" spans="1:9" x14ac:dyDescent="0.2">
      <c r="A16394" s="1" t="str">
        <f>"SLC39A5"</f>
        <v>SLC39A5</v>
      </c>
      <c r="B16394" t="s">
        <v>14</v>
      </c>
      <c r="C16394" t="s">
        <v>16</v>
      </c>
      <c r="D16394" t="s">
        <v>17</v>
      </c>
      <c r="E16394" t="s">
        <v>12</v>
      </c>
      <c r="F16394">
        <v>56623827</v>
      </c>
      <c r="G16394">
        <v>56623866</v>
      </c>
      <c r="H16394">
        <v>56624532</v>
      </c>
      <c r="I16394">
        <v>56624554</v>
      </c>
    </row>
    <row r="16395" spans="1:9" x14ac:dyDescent="0.2">
      <c r="A16395" s="1" t="str">
        <f>"SLC39A6"</f>
        <v>SLC39A6</v>
      </c>
      <c r="B16395" t="s">
        <v>14</v>
      </c>
      <c r="C16395" t="s">
        <v>43</v>
      </c>
      <c r="D16395" t="s">
        <v>11</v>
      </c>
      <c r="E16395" t="s">
        <v>12</v>
      </c>
      <c r="F16395">
        <v>33709268</v>
      </c>
      <c r="G16395">
        <v>33709380</v>
      </c>
      <c r="H16395">
        <v>33709268</v>
      </c>
      <c r="I16395">
        <v>33709380</v>
      </c>
    </row>
    <row r="16396" spans="1:9" x14ac:dyDescent="0.2">
      <c r="A16396" s="1" t="str">
        <f>"SLC39A7"</f>
        <v>SLC39A7</v>
      </c>
      <c r="B16396" t="s">
        <v>14</v>
      </c>
      <c r="C16396" t="s">
        <v>32</v>
      </c>
      <c r="D16396" t="s">
        <v>17</v>
      </c>
      <c r="E16396" t="s">
        <v>12</v>
      </c>
      <c r="F16396">
        <v>33168637</v>
      </c>
      <c r="G16396">
        <v>33168704</v>
      </c>
      <c r="H16396">
        <v>33168189</v>
      </c>
      <c r="I16396">
        <v>33168207</v>
      </c>
    </row>
    <row r="16397" spans="1:9" x14ac:dyDescent="0.2">
      <c r="A16397" s="1" t="str">
        <f>"SLC39A8"</f>
        <v>SLC39A8</v>
      </c>
      <c r="B16397" t="s">
        <v>14</v>
      </c>
      <c r="C16397" t="s">
        <v>23</v>
      </c>
      <c r="D16397" t="s">
        <v>11</v>
      </c>
      <c r="E16397" t="s">
        <v>12</v>
      </c>
      <c r="F16397">
        <v>103266626</v>
      </c>
      <c r="G16397">
        <v>103266647</v>
      </c>
      <c r="H16397">
        <v>103266129</v>
      </c>
      <c r="I16397">
        <v>103266186</v>
      </c>
    </row>
    <row r="16398" spans="1:9" x14ac:dyDescent="0.2">
      <c r="A16398" s="1" t="str">
        <f>"SLC39A9"</f>
        <v>SLC39A9</v>
      </c>
      <c r="B16398" t="s">
        <v>14</v>
      </c>
      <c r="C16398" t="s">
        <v>41</v>
      </c>
      <c r="D16398" t="s">
        <v>17</v>
      </c>
      <c r="E16398" t="s">
        <v>12</v>
      </c>
      <c r="F16398">
        <v>69865401</v>
      </c>
      <c r="G16398">
        <v>69865426</v>
      </c>
      <c r="H16398">
        <v>69865077</v>
      </c>
      <c r="I16398">
        <v>69865125</v>
      </c>
    </row>
    <row r="16399" spans="1:9" x14ac:dyDescent="0.2">
      <c r="A16399" s="1" t="str">
        <f>"SLC3A1"</f>
        <v>SLC3A1</v>
      </c>
      <c r="B16399" t="s">
        <v>14</v>
      </c>
      <c r="C16399" t="s">
        <v>26</v>
      </c>
      <c r="D16399" t="s">
        <v>17</v>
      </c>
      <c r="E16399" t="s">
        <v>12</v>
      </c>
      <c r="F16399">
        <v>44502612</v>
      </c>
      <c r="G16399">
        <v>44502625</v>
      </c>
      <c r="H16399">
        <v>44502597</v>
      </c>
      <c r="I16399">
        <v>44502609</v>
      </c>
    </row>
    <row r="16400" spans="1:9" x14ac:dyDescent="0.2">
      <c r="A16400" s="1" t="str">
        <f>"SLC3A2"</f>
        <v>SLC3A2</v>
      </c>
      <c r="B16400" t="s">
        <v>14</v>
      </c>
      <c r="C16400" t="s">
        <v>27</v>
      </c>
      <c r="D16400" t="s">
        <v>17</v>
      </c>
      <c r="E16400" t="s">
        <v>12</v>
      </c>
      <c r="F16400">
        <v>62648357</v>
      </c>
      <c r="G16400">
        <v>62648381</v>
      </c>
      <c r="H16400">
        <v>62649158</v>
      </c>
      <c r="I16400">
        <v>62649230</v>
      </c>
    </row>
    <row r="16401" spans="1:9" x14ac:dyDescent="0.2">
      <c r="A16401" s="1" t="str">
        <f>"SLC40A1"</f>
        <v>SLC40A1</v>
      </c>
      <c r="B16401" t="s">
        <v>9</v>
      </c>
      <c r="C16401" t="s">
        <v>26</v>
      </c>
      <c r="D16401" t="s">
        <v>11</v>
      </c>
      <c r="E16401" t="s">
        <v>12</v>
      </c>
      <c r="F16401">
        <v>190445499</v>
      </c>
      <c r="G16401">
        <v>190445521</v>
      </c>
      <c r="H16401">
        <v>190445499</v>
      </c>
      <c r="I16401">
        <v>190445521</v>
      </c>
    </row>
    <row r="16402" spans="1:9" x14ac:dyDescent="0.2">
      <c r="A16402" s="1" t="str">
        <f>"SLC40A1"</f>
        <v>SLC40A1</v>
      </c>
      <c r="B16402" t="s">
        <v>13</v>
      </c>
      <c r="C16402" t="s">
        <v>26</v>
      </c>
      <c r="D16402" t="s">
        <v>11</v>
      </c>
      <c r="E16402" t="s">
        <v>12</v>
      </c>
      <c r="F16402">
        <v>190446707</v>
      </c>
      <c r="G16402">
        <v>190446734</v>
      </c>
      <c r="H16402">
        <v>190446707</v>
      </c>
      <c r="I16402">
        <v>190446734</v>
      </c>
    </row>
    <row r="16403" spans="1:9" x14ac:dyDescent="0.2">
      <c r="A16403" s="1" t="str">
        <f>"SLC41A1"</f>
        <v>SLC41A1</v>
      </c>
      <c r="B16403" t="s">
        <v>14</v>
      </c>
      <c r="C16403" t="s">
        <v>19</v>
      </c>
      <c r="D16403" t="s">
        <v>11</v>
      </c>
      <c r="E16403" t="s">
        <v>12</v>
      </c>
      <c r="F16403">
        <v>205782153</v>
      </c>
      <c r="G16403">
        <v>205782174</v>
      </c>
      <c r="H16403">
        <v>205782309</v>
      </c>
      <c r="I16403">
        <v>205782332</v>
      </c>
    </row>
    <row r="16404" spans="1:9" x14ac:dyDescent="0.2">
      <c r="A16404" s="1" t="str">
        <f>"SLC41A2"</f>
        <v>SLC41A2</v>
      </c>
      <c r="B16404" t="s">
        <v>14</v>
      </c>
      <c r="C16404" t="s">
        <v>16</v>
      </c>
      <c r="D16404" t="s">
        <v>11</v>
      </c>
      <c r="E16404" t="s">
        <v>12</v>
      </c>
      <c r="F16404">
        <v>105352047</v>
      </c>
      <c r="G16404">
        <v>105352078</v>
      </c>
      <c r="H16404">
        <v>105352080</v>
      </c>
      <c r="I16404">
        <v>105352107</v>
      </c>
    </row>
    <row r="16405" spans="1:9" x14ac:dyDescent="0.2">
      <c r="A16405" s="1" t="str">
        <f>"SLC41A3"</f>
        <v>SLC41A3</v>
      </c>
      <c r="B16405" t="s">
        <v>14</v>
      </c>
      <c r="C16405" t="s">
        <v>22</v>
      </c>
      <c r="D16405" t="s">
        <v>11</v>
      </c>
      <c r="E16405" t="s">
        <v>12</v>
      </c>
      <c r="F16405">
        <v>125802959</v>
      </c>
      <c r="G16405">
        <v>125802990</v>
      </c>
      <c r="H16405">
        <v>125803105</v>
      </c>
      <c r="I16405">
        <v>125803173</v>
      </c>
    </row>
    <row r="16406" spans="1:9" x14ac:dyDescent="0.2">
      <c r="A16406" s="1" t="str">
        <f>"SLC43A1"</f>
        <v>SLC43A1</v>
      </c>
      <c r="B16406" t="s">
        <v>14</v>
      </c>
      <c r="C16406" t="s">
        <v>27</v>
      </c>
      <c r="D16406" t="s">
        <v>11</v>
      </c>
      <c r="E16406" t="s">
        <v>12</v>
      </c>
      <c r="F16406">
        <v>57283164</v>
      </c>
      <c r="G16406">
        <v>57283241</v>
      </c>
      <c r="H16406">
        <v>57282327</v>
      </c>
      <c r="I16406">
        <v>57282342</v>
      </c>
    </row>
    <row r="16407" spans="1:9" x14ac:dyDescent="0.2">
      <c r="A16407" s="1" t="str">
        <f>"SLC43A2"</f>
        <v>SLC43A2</v>
      </c>
      <c r="B16407" t="s">
        <v>14</v>
      </c>
      <c r="C16407" t="s">
        <v>28</v>
      </c>
      <c r="D16407" t="s">
        <v>11</v>
      </c>
      <c r="E16407" t="s">
        <v>12</v>
      </c>
      <c r="F16407">
        <v>1532106</v>
      </c>
      <c r="G16407">
        <v>1532148</v>
      </c>
      <c r="H16407">
        <v>1531663</v>
      </c>
      <c r="I16407">
        <v>1531725</v>
      </c>
    </row>
    <row r="16408" spans="1:9" x14ac:dyDescent="0.2">
      <c r="A16408" s="1" t="str">
        <f>"SLC43A3"</f>
        <v>SLC43A3</v>
      </c>
      <c r="B16408" t="s">
        <v>14</v>
      </c>
      <c r="C16408" t="s">
        <v>27</v>
      </c>
      <c r="D16408" t="s">
        <v>11</v>
      </c>
      <c r="E16408" t="s">
        <v>12</v>
      </c>
      <c r="F16408">
        <v>57194550</v>
      </c>
      <c r="G16408">
        <v>57194617</v>
      </c>
      <c r="H16408">
        <v>57194619</v>
      </c>
      <c r="I16408">
        <v>57194630</v>
      </c>
    </row>
    <row r="16409" spans="1:9" x14ac:dyDescent="0.2">
      <c r="A16409" s="1" t="str">
        <f>"SLC44A1"</f>
        <v>SLC44A1</v>
      </c>
      <c r="B16409" t="s">
        <v>14</v>
      </c>
      <c r="C16409" t="s">
        <v>24</v>
      </c>
      <c r="D16409" t="s">
        <v>17</v>
      </c>
      <c r="E16409" t="s">
        <v>12</v>
      </c>
      <c r="F16409">
        <v>108006880</v>
      </c>
      <c r="G16409">
        <v>108006943</v>
      </c>
      <c r="H16409">
        <v>108006755</v>
      </c>
      <c r="I16409">
        <v>108006792</v>
      </c>
    </row>
    <row r="16410" spans="1:9" x14ac:dyDescent="0.2">
      <c r="A16410" s="1" t="str">
        <f>"SLC44A2"</f>
        <v>SLC44A2</v>
      </c>
      <c r="B16410" t="s">
        <v>9</v>
      </c>
      <c r="C16410" t="s">
        <v>10</v>
      </c>
      <c r="D16410" t="s">
        <v>17</v>
      </c>
      <c r="E16410" t="s">
        <v>12</v>
      </c>
      <c r="F16410">
        <v>10713112</v>
      </c>
      <c r="G16410">
        <v>10713198</v>
      </c>
      <c r="H16410">
        <v>10713112</v>
      </c>
      <c r="I16410">
        <v>10713198</v>
      </c>
    </row>
    <row r="16411" spans="1:9" x14ac:dyDescent="0.2">
      <c r="A16411" s="1" t="str">
        <f>"SLC44A2"</f>
        <v>SLC44A2</v>
      </c>
      <c r="B16411" t="s">
        <v>13</v>
      </c>
      <c r="C16411" t="s">
        <v>10</v>
      </c>
      <c r="D16411" t="s">
        <v>17</v>
      </c>
      <c r="E16411" t="s">
        <v>12</v>
      </c>
      <c r="F16411">
        <v>10736183</v>
      </c>
      <c r="G16411">
        <v>10736247</v>
      </c>
      <c r="H16411">
        <v>10736183</v>
      </c>
      <c r="I16411">
        <v>10736247</v>
      </c>
    </row>
    <row r="16412" spans="1:9" x14ac:dyDescent="0.2">
      <c r="A16412" s="1" t="str">
        <f>"SLC44A3"</f>
        <v>SLC44A3</v>
      </c>
      <c r="B16412" t="s">
        <v>14</v>
      </c>
      <c r="C16412" t="s">
        <v>19</v>
      </c>
      <c r="D16412" t="s">
        <v>17</v>
      </c>
      <c r="E16412" t="s">
        <v>12</v>
      </c>
      <c r="F16412">
        <v>95285896</v>
      </c>
      <c r="G16412">
        <v>95285961</v>
      </c>
      <c r="H16412">
        <v>95286151</v>
      </c>
      <c r="I16412">
        <v>95286167</v>
      </c>
    </row>
    <row r="16413" spans="1:9" x14ac:dyDescent="0.2">
      <c r="A16413" s="1" t="str">
        <f>"SLC44A4"</f>
        <v>SLC44A4</v>
      </c>
      <c r="B16413" t="s">
        <v>14</v>
      </c>
      <c r="C16413" t="s">
        <v>32</v>
      </c>
      <c r="D16413" t="s">
        <v>11</v>
      </c>
      <c r="E16413" t="s">
        <v>12</v>
      </c>
      <c r="F16413">
        <v>31846768</v>
      </c>
      <c r="G16413">
        <v>31846780</v>
      </c>
      <c r="H16413">
        <v>31846768</v>
      </c>
      <c r="I16413">
        <v>31846780</v>
      </c>
    </row>
    <row r="16414" spans="1:9" x14ac:dyDescent="0.2">
      <c r="A16414" s="1" t="str">
        <f>"SLC44A5"</f>
        <v>SLC44A5</v>
      </c>
      <c r="B16414" t="s">
        <v>14</v>
      </c>
      <c r="C16414" t="s">
        <v>19</v>
      </c>
      <c r="D16414" t="s">
        <v>11</v>
      </c>
      <c r="E16414" t="s">
        <v>12</v>
      </c>
      <c r="F16414">
        <v>76081808</v>
      </c>
      <c r="G16414">
        <v>76081862</v>
      </c>
      <c r="H16414">
        <v>76081668</v>
      </c>
      <c r="I16414">
        <v>76081718</v>
      </c>
    </row>
    <row r="16415" spans="1:9" x14ac:dyDescent="0.2">
      <c r="A16415" s="1" t="str">
        <f>"SLC45A1"</f>
        <v>SLC45A1</v>
      </c>
      <c r="B16415" t="s">
        <v>14</v>
      </c>
      <c r="C16415" t="s">
        <v>19</v>
      </c>
      <c r="D16415" t="s">
        <v>17</v>
      </c>
      <c r="E16415" t="s">
        <v>12</v>
      </c>
      <c r="F16415">
        <v>8378140</v>
      </c>
      <c r="G16415">
        <v>8378187</v>
      </c>
      <c r="H16415">
        <v>8378194</v>
      </c>
      <c r="I16415">
        <v>8378210</v>
      </c>
    </row>
    <row r="16416" spans="1:9" x14ac:dyDescent="0.2">
      <c r="A16416" s="1" t="str">
        <f>"SLC45A2"</f>
        <v>SLC45A2</v>
      </c>
      <c r="B16416" t="s">
        <v>14</v>
      </c>
      <c r="C16416" t="s">
        <v>46</v>
      </c>
      <c r="D16416" t="s">
        <v>11</v>
      </c>
      <c r="E16416" t="s">
        <v>12</v>
      </c>
      <c r="F16416">
        <v>33984741</v>
      </c>
      <c r="G16416">
        <v>33984774</v>
      </c>
      <c r="H16416">
        <v>33984786</v>
      </c>
      <c r="I16416">
        <v>33984820</v>
      </c>
    </row>
    <row r="16417" spans="1:9" x14ac:dyDescent="0.2">
      <c r="A16417" s="1" t="str">
        <f>"SLC45A3"</f>
        <v>SLC45A3</v>
      </c>
      <c r="B16417" t="s">
        <v>14</v>
      </c>
      <c r="C16417" t="s">
        <v>19</v>
      </c>
      <c r="D16417" t="s">
        <v>11</v>
      </c>
      <c r="E16417" t="s">
        <v>12</v>
      </c>
      <c r="F16417">
        <v>205649614</v>
      </c>
      <c r="G16417">
        <v>205649663</v>
      </c>
      <c r="H16417">
        <v>205649580</v>
      </c>
      <c r="I16417">
        <v>205649596</v>
      </c>
    </row>
    <row r="16418" spans="1:9" x14ac:dyDescent="0.2">
      <c r="A16418" s="1" t="str">
        <f>"SLC45A4"</f>
        <v>SLC45A4</v>
      </c>
      <c r="B16418" t="s">
        <v>1554</v>
      </c>
      <c r="C16418" t="s">
        <v>30</v>
      </c>
      <c r="D16418" t="s">
        <v>11</v>
      </c>
      <c r="E16418" t="s">
        <v>35</v>
      </c>
      <c r="F16418">
        <v>142238644</v>
      </c>
      <c r="G16418">
        <v>142238675</v>
      </c>
      <c r="H16418">
        <v>142238591</v>
      </c>
      <c r="I16418">
        <v>142238616</v>
      </c>
    </row>
    <row r="16419" spans="1:9" x14ac:dyDescent="0.2">
      <c r="A16419" s="1" t="str">
        <f>"SLC46A1"</f>
        <v>SLC46A1</v>
      </c>
      <c r="B16419" t="s">
        <v>14</v>
      </c>
      <c r="C16419" t="s">
        <v>28</v>
      </c>
      <c r="D16419" t="s">
        <v>11</v>
      </c>
      <c r="E16419" t="s">
        <v>12</v>
      </c>
      <c r="F16419">
        <v>26733179</v>
      </c>
      <c r="G16419">
        <v>26733237</v>
      </c>
      <c r="H16419">
        <v>26733160</v>
      </c>
      <c r="I16419">
        <v>26733169</v>
      </c>
    </row>
    <row r="16420" spans="1:9" x14ac:dyDescent="0.2">
      <c r="A16420" s="1" t="str">
        <f>"SLC46A2"</f>
        <v>SLC46A2</v>
      </c>
      <c r="B16420" t="s">
        <v>14</v>
      </c>
      <c r="C16420" t="s">
        <v>24</v>
      </c>
      <c r="D16420" t="s">
        <v>11</v>
      </c>
      <c r="E16420" t="s">
        <v>12</v>
      </c>
      <c r="F16420">
        <v>115653148</v>
      </c>
      <c r="G16420">
        <v>115653163</v>
      </c>
      <c r="H16420">
        <v>115653176</v>
      </c>
      <c r="I16420">
        <v>115653199</v>
      </c>
    </row>
    <row r="16421" spans="1:9" x14ac:dyDescent="0.2">
      <c r="A16421" s="1" t="str">
        <f>"SLC46A3"</f>
        <v>SLC46A3</v>
      </c>
      <c r="B16421" t="s">
        <v>14</v>
      </c>
      <c r="C16421" t="s">
        <v>39</v>
      </c>
      <c r="D16421" t="s">
        <v>11</v>
      </c>
      <c r="E16421" t="s">
        <v>12</v>
      </c>
      <c r="F16421">
        <v>29293058</v>
      </c>
      <c r="G16421">
        <v>29293138</v>
      </c>
      <c r="H16421">
        <v>29292956</v>
      </c>
      <c r="I16421">
        <v>29293026</v>
      </c>
    </row>
    <row r="16422" spans="1:9" x14ac:dyDescent="0.2">
      <c r="A16422" s="1" t="str">
        <f>"SLC47A1"</f>
        <v>SLC47A1</v>
      </c>
      <c r="B16422" t="s">
        <v>14</v>
      </c>
      <c r="C16422" t="s">
        <v>28</v>
      </c>
      <c r="D16422" t="s">
        <v>17</v>
      </c>
      <c r="E16422" t="s">
        <v>12</v>
      </c>
      <c r="F16422">
        <v>19437132</v>
      </c>
      <c r="G16422">
        <v>19437197</v>
      </c>
      <c r="H16422">
        <v>19437206</v>
      </c>
      <c r="I16422">
        <v>19437225</v>
      </c>
    </row>
    <row r="16423" spans="1:9" x14ac:dyDescent="0.2">
      <c r="A16423" s="1" t="str">
        <f>"SLC47A2"</f>
        <v>SLC47A2</v>
      </c>
      <c r="B16423" t="s">
        <v>14</v>
      </c>
      <c r="C16423" t="s">
        <v>28</v>
      </c>
      <c r="D16423" t="s">
        <v>11</v>
      </c>
      <c r="E16423" t="s">
        <v>12</v>
      </c>
      <c r="F16423">
        <v>19619886</v>
      </c>
      <c r="G16423">
        <v>19619902</v>
      </c>
      <c r="H16423">
        <v>19619917</v>
      </c>
      <c r="I16423">
        <v>19619955</v>
      </c>
    </row>
    <row r="16424" spans="1:9" x14ac:dyDescent="0.2">
      <c r="A16424" s="1" t="str">
        <f>"SLC48A1"</f>
        <v>SLC48A1</v>
      </c>
      <c r="B16424" t="s">
        <v>9</v>
      </c>
      <c r="C16424" t="s">
        <v>16</v>
      </c>
      <c r="D16424" t="s">
        <v>17</v>
      </c>
      <c r="E16424" t="s">
        <v>12</v>
      </c>
      <c r="F16424">
        <v>48166978</v>
      </c>
      <c r="G16424">
        <v>48167047</v>
      </c>
      <c r="H16424">
        <v>48166978</v>
      </c>
      <c r="I16424">
        <v>48167047</v>
      </c>
    </row>
    <row r="16425" spans="1:9" x14ac:dyDescent="0.2">
      <c r="A16425" s="1" t="str">
        <f>"SLC48A1"</f>
        <v>SLC48A1</v>
      </c>
      <c r="B16425" t="s">
        <v>13</v>
      </c>
      <c r="C16425" t="s">
        <v>16</v>
      </c>
      <c r="D16425" t="s">
        <v>17</v>
      </c>
      <c r="E16425" t="s">
        <v>12</v>
      </c>
      <c r="F16425">
        <v>48152774</v>
      </c>
      <c r="G16425">
        <v>48152816</v>
      </c>
      <c r="H16425">
        <v>48152774</v>
      </c>
      <c r="I16425">
        <v>48152816</v>
      </c>
    </row>
    <row r="16426" spans="1:9" x14ac:dyDescent="0.2">
      <c r="A16426" s="1" t="str">
        <f>"SLC4A1"</f>
        <v>SLC4A1</v>
      </c>
      <c r="B16426" t="s">
        <v>14</v>
      </c>
      <c r="C16426" t="s">
        <v>28</v>
      </c>
      <c r="D16426" t="s">
        <v>11</v>
      </c>
      <c r="E16426" t="s">
        <v>12</v>
      </c>
      <c r="F16426">
        <v>42345487</v>
      </c>
      <c r="G16426">
        <v>42345514</v>
      </c>
      <c r="H16426">
        <v>42345472</v>
      </c>
      <c r="I16426">
        <v>42345483</v>
      </c>
    </row>
    <row r="16427" spans="1:9" x14ac:dyDescent="0.2">
      <c r="A16427" s="1" t="str">
        <f>"SLC4A10"</f>
        <v>SLC4A10</v>
      </c>
      <c r="B16427" t="s">
        <v>14</v>
      </c>
      <c r="C16427" t="s">
        <v>26</v>
      </c>
      <c r="D16427" t="s">
        <v>17</v>
      </c>
      <c r="E16427" t="s">
        <v>12</v>
      </c>
      <c r="F16427">
        <v>162480918</v>
      </c>
      <c r="G16427">
        <v>162480963</v>
      </c>
      <c r="H16427">
        <v>162480967</v>
      </c>
      <c r="I16427">
        <v>162480980</v>
      </c>
    </row>
    <row r="16428" spans="1:9" x14ac:dyDescent="0.2">
      <c r="A16428" s="1" t="str">
        <f>"SLC4A11"</f>
        <v>SLC4A11</v>
      </c>
      <c r="B16428" t="s">
        <v>14</v>
      </c>
      <c r="C16428" t="s">
        <v>29</v>
      </c>
      <c r="D16428" t="s">
        <v>11</v>
      </c>
      <c r="E16428" t="s">
        <v>12</v>
      </c>
      <c r="F16428">
        <v>3219828</v>
      </c>
      <c r="G16428">
        <v>3219872</v>
      </c>
      <c r="H16428">
        <v>3220197</v>
      </c>
      <c r="I16428">
        <v>3220212</v>
      </c>
    </row>
    <row r="16429" spans="1:9" x14ac:dyDescent="0.2">
      <c r="A16429" s="1" t="str">
        <f>"SLC4A1AP"</f>
        <v>SLC4A1AP</v>
      </c>
      <c r="B16429" t="s">
        <v>14</v>
      </c>
      <c r="C16429" t="s">
        <v>26</v>
      </c>
      <c r="D16429" t="s">
        <v>17</v>
      </c>
      <c r="E16429" t="s">
        <v>12</v>
      </c>
      <c r="F16429">
        <v>27886747</v>
      </c>
      <c r="G16429">
        <v>27886783</v>
      </c>
      <c r="H16429">
        <v>27886747</v>
      </c>
      <c r="I16429">
        <v>27886783</v>
      </c>
    </row>
    <row r="16430" spans="1:9" x14ac:dyDescent="0.2">
      <c r="A16430" s="1" t="str">
        <f>"SLC4A2"</f>
        <v>SLC4A2</v>
      </c>
      <c r="B16430" t="s">
        <v>9</v>
      </c>
      <c r="C16430" t="s">
        <v>33</v>
      </c>
      <c r="D16430" t="s">
        <v>17</v>
      </c>
      <c r="E16430" t="s">
        <v>12</v>
      </c>
      <c r="F16430">
        <v>150756668</v>
      </c>
      <c r="G16430">
        <v>150756727</v>
      </c>
      <c r="H16430">
        <v>150756668</v>
      </c>
      <c r="I16430">
        <v>150756727</v>
      </c>
    </row>
    <row r="16431" spans="1:9" x14ac:dyDescent="0.2">
      <c r="A16431" s="1" t="str">
        <f>"SLC4A2"</f>
        <v>SLC4A2</v>
      </c>
      <c r="B16431" t="s">
        <v>13</v>
      </c>
      <c r="C16431" t="s">
        <v>33</v>
      </c>
      <c r="D16431" t="s">
        <v>17</v>
      </c>
      <c r="E16431" t="s">
        <v>12</v>
      </c>
      <c r="F16431">
        <v>150759689</v>
      </c>
      <c r="G16431">
        <v>150759719</v>
      </c>
      <c r="H16431">
        <v>150759689</v>
      </c>
      <c r="I16431">
        <v>150759719</v>
      </c>
    </row>
    <row r="16432" spans="1:9" x14ac:dyDescent="0.2">
      <c r="A16432" s="1" t="str">
        <f>"SLC4A3"</f>
        <v>SLC4A3</v>
      </c>
      <c r="B16432" t="s">
        <v>14</v>
      </c>
      <c r="C16432" t="s">
        <v>26</v>
      </c>
      <c r="D16432" t="s">
        <v>17</v>
      </c>
      <c r="E16432" t="s">
        <v>12</v>
      </c>
      <c r="F16432">
        <v>220492344</v>
      </c>
      <c r="G16432">
        <v>220492368</v>
      </c>
      <c r="H16432">
        <v>220492373</v>
      </c>
      <c r="I16432">
        <v>220492391</v>
      </c>
    </row>
    <row r="16433" spans="1:9" x14ac:dyDescent="0.2">
      <c r="A16433" s="1" t="str">
        <f>"SLC4A4"</f>
        <v>SLC4A4</v>
      </c>
      <c r="B16433" t="s">
        <v>14</v>
      </c>
      <c r="C16433" t="s">
        <v>23</v>
      </c>
      <c r="D16433" t="s">
        <v>17</v>
      </c>
      <c r="E16433" t="s">
        <v>12</v>
      </c>
      <c r="F16433">
        <v>72052964</v>
      </c>
      <c r="G16433">
        <v>72053013</v>
      </c>
      <c r="H16433">
        <v>72052964</v>
      </c>
      <c r="I16433">
        <v>72053013</v>
      </c>
    </row>
    <row r="16434" spans="1:9" x14ac:dyDescent="0.2">
      <c r="A16434" s="1" t="str">
        <f>"SLC4A5"</f>
        <v>SLC4A5</v>
      </c>
      <c r="B16434" t="s">
        <v>9</v>
      </c>
      <c r="C16434" t="s">
        <v>26</v>
      </c>
      <c r="D16434" t="s">
        <v>11</v>
      </c>
      <c r="E16434" t="s">
        <v>12</v>
      </c>
      <c r="F16434">
        <v>74517459</v>
      </c>
      <c r="G16434">
        <v>74517491</v>
      </c>
      <c r="H16434">
        <v>74517459</v>
      </c>
      <c r="I16434">
        <v>74517491</v>
      </c>
    </row>
    <row r="16435" spans="1:9" x14ac:dyDescent="0.2">
      <c r="A16435" s="1" t="str">
        <f>"SLC4A5"</f>
        <v>SLC4A5</v>
      </c>
      <c r="B16435" t="s">
        <v>13</v>
      </c>
      <c r="C16435" t="s">
        <v>26</v>
      </c>
      <c r="D16435" t="s">
        <v>11</v>
      </c>
      <c r="E16435" t="s">
        <v>12</v>
      </c>
      <c r="F16435">
        <v>74590496</v>
      </c>
      <c r="G16435">
        <v>74590516</v>
      </c>
      <c r="H16435">
        <v>74590496</v>
      </c>
      <c r="I16435">
        <v>74590516</v>
      </c>
    </row>
    <row r="16436" spans="1:9" x14ac:dyDescent="0.2">
      <c r="A16436" s="1" t="str">
        <f>"SLC4A7"</f>
        <v>SLC4A7</v>
      </c>
      <c r="B16436" t="s">
        <v>14</v>
      </c>
      <c r="C16436" t="s">
        <v>22</v>
      </c>
      <c r="D16436" t="s">
        <v>11</v>
      </c>
      <c r="E16436" t="s">
        <v>12</v>
      </c>
      <c r="F16436">
        <v>27525865</v>
      </c>
      <c r="G16436">
        <v>27525882</v>
      </c>
      <c r="H16436">
        <v>27525826</v>
      </c>
      <c r="I16436">
        <v>27525840</v>
      </c>
    </row>
    <row r="16437" spans="1:9" x14ac:dyDescent="0.2">
      <c r="A16437" s="1" t="str">
        <f>"SLC4A8"</f>
        <v>SLC4A8</v>
      </c>
      <c r="B16437" t="s">
        <v>14</v>
      </c>
      <c r="C16437" t="s">
        <v>16</v>
      </c>
      <c r="D16437" t="s">
        <v>17</v>
      </c>
      <c r="E16437" t="s">
        <v>12</v>
      </c>
      <c r="F16437">
        <v>51818586</v>
      </c>
      <c r="G16437">
        <v>51818663</v>
      </c>
      <c r="H16437">
        <v>51818674</v>
      </c>
      <c r="I16437">
        <v>51818705</v>
      </c>
    </row>
    <row r="16438" spans="1:9" x14ac:dyDescent="0.2">
      <c r="A16438" s="1" t="str">
        <f>"SLC4A9"</f>
        <v>SLC4A9</v>
      </c>
      <c r="B16438" t="s">
        <v>14</v>
      </c>
      <c r="C16438" t="s">
        <v>46</v>
      </c>
      <c r="D16438" t="s">
        <v>17</v>
      </c>
      <c r="E16438" t="s">
        <v>12</v>
      </c>
      <c r="F16438">
        <v>139739772</v>
      </c>
      <c r="G16438">
        <v>139739781</v>
      </c>
      <c r="H16438">
        <v>139739772</v>
      </c>
      <c r="I16438">
        <v>139739781</v>
      </c>
    </row>
    <row r="16439" spans="1:9" x14ac:dyDescent="0.2">
      <c r="A16439" s="1" t="str">
        <f>"SLC50A1"</f>
        <v>SLC50A1</v>
      </c>
      <c r="B16439" t="s">
        <v>14</v>
      </c>
      <c r="C16439" t="s">
        <v>19</v>
      </c>
      <c r="D16439" t="s">
        <v>17</v>
      </c>
      <c r="E16439" t="s">
        <v>12</v>
      </c>
      <c r="F16439">
        <v>155108294</v>
      </c>
      <c r="G16439">
        <v>155108350</v>
      </c>
      <c r="H16439">
        <v>155108742</v>
      </c>
      <c r="I16439">
        <v>155108777</v>
      </c>
    </row>
    <row r="16440" spans="1:9" x14ac:dyDescent="0.2">
      <c r="A16440" s="1" t="str">
        <f>"SLC51A"</f>
        <v>SLC51A</v>
      </c>
      <c r="B16440" t="s">
        <v>14</v>
      </c>
      <c r="C16440" t="s">
        <v>22</v>
      </c>
      <c r="D16440" t="s">
        <v>17</v>
      </c>
      <c r="E16440" t="s">
        <v>12</v>
      </c>
      <c r="F16440">
        <v>195943398</v>
      </c>
      <c r="G16440">
        <v>195943417</v>
      </c>
      <c r="H16440">
        <v>195943369</v>
      </c>
      <c r="I16440">
        <v>195943392</v>
      </c>
    </row>
    <row r="16441" spans="1:9" x14ac:dyDescent="0.2">
      <c r="A16441" s="1" t="str">
        <f>"SLC51B"</f>
        <v>SLC51B</v>
      </c>
      <c r="B16441" t="s">
        <v>14</v>
      </c>
      <c r="C16441" t="s">
        <v>25</v>
      </c>
      <c r="D16441" t="s">
        <v>17</v>
      </c>
      <c r="E16441" t="s">
        <v>67</v>
      </c>
      <c r="F16441">
        <v>65337716</v>
      </c>
      <c r="G16441">
        <v>65337742</v>
      </c>
      <c r="H16441">
        <v>65337750</v>
      </c>
      <c r="I16441">
        <v>65337773</v>
      </c>
    </row>
    <row r="16442" spans="1:9" x14ac:dyDescent="0.2">
      <c r="A16442" s="1" t="str">
        <f>"SLC52A1"</f>
        <v>SLC52A1</v>
      </c>
      <c r="B16442" t="s">
        <v>14</v>
      </c>
      <c r="C16442" t="s">
        <v>28</v>
      </c>
      <c r="D16442" t="s">
        <v>11</v>
      </c>
      <c r="E16442" t="s">
        <v>12</v>
      </c>
      <c r="F16442">
        <v>4938712</v>
      </c>
      <c r="G16442">
        <v>4938733</v>
      </c>
      <c r="H16442">
        <v>4938748</v>
      </c>
      <c r="I16442">
        <v>4938755</v>
      </c>
    </row>
    <row r="16443" spans="1:9" x14ac:dyDescent="0.2">
      <c r="A16443" s="1" t="str">
        <f>"SLC52A2"</f>
        <v>SLC52A2</v>
      </c>
      <c r="B16443" t="s">
        <v>14</v>
      </c>
      <c r="C16443" t="s">
        <v>30</v>
      </c>
      <c r="D16443" t="s">
        <v>17</v>
      </c>
      <c r="E16443" t="s">
        <v>12</v>
      </c>
      <c r="F16443">
        <v>145582231</v>
      </c>
      <c r="G16443">
        <v>145582288</v>
      </c>
      <c r="H16443">
        <v>145582633</v>
      </c>
      <c r="I16443">
        <v>145582668</v>
      </c>
    </row>
    <row r="16444" spans="1:9" x14ac:dyDescent="0.2">
      <c r="A16444" s="1" t="str">
        <f>"SLC52A3"</f>
        <v>SLC52A3</v>
      </c>
      <c r="B16444" t="s">
        <v>14</v>
      </c>
      <c r="C16444" t="s">
        <v>29</v>
      </c>
      <c r="D16444" t="s">
        <v>11</v>
      </c>
      <c r="E16444" t="s">
        <v>12</v>
      </c>
      <c r="F16444">
        <v>749121</v>
      </c>
      <c r="G16444">
        <v>749152</v>
      </c>
      <c r="H16444">
        <v>749110</v>
      </c>
      <c r="I16444">
        <v>749117</v>
      </c>
    </row>
    <row r="16445" spans="1:9" x14ac:dyDescent="0.2">
      <c r="A16445" s="1" t="str">
        <f>"SLC5A1"</f>
        <v>SLC5A1</v>
      </c>
      <c r="B16445" t="s">
        <v>14</v>
      </c>
      <c r="C16445" t="s">
        <v>21</v>
      </c>
      <c r="D16445" t="s">
        <v>17</v>
      </c>
      <c r="E16445" t="s">
        <v>12</v>
      </c>
      <c r="F16445">
        <v>32439240</v>
      </c>
      <c r="G16445">
        <v>32439257</v>
      </c>
      <c r="H16445">
        <v>32439059</v>
      </c>
      <c r="I16445">
        <v>32439075</v>
      </c>
    </row>
    <row r="16446" spans="1:9" x14ac:dyDescent="0.2">
      <c r="A16446" s="1" t="str">
        <f>"SLC5A10"</f>
        <v>SLC5A10</v>
      </c>
      <c r="B16446" t="s">
        <v>14</v>
      </c>
      <c r="C16446" t="s">
        <v>28</v>
      </c>
      <c r="D16446" t="s">
        <v>17</v>
      </c>
      <c r="E16446" t="s">
        <v>12</v>
      </c>
      <c r="F16446">
        <v>18855470</v>
      </c>
      <c r="G16446">
        <v>18855503</v>
      </c>
      <c r="H16446">
        <v>18855424</v>
      </c>
      <c r="I16446">
        <v>18855425</v>
      </c>
    </row>
    <row r="16447" spans="1:9" x14ac:dyDescent="0.2">
      <c r="A16447" s="1" t="str">
        <f>"SLC5A11"</f>
        <v>SLC5A11</v>
      </c>
      <c r="B16447" t="s">
        <v>14</v>
      </c>
      <c r="C16447" t="s">
        <v>31</v>
      </c>
      <c r="D16447" t="s">
        <v>17</v>
      </c>
      <c r="E16447" t="s">
        <v>12</v>
      </c>
      <c r="F16447">
        <v>24857309</v>
      </c>
      <c r="G16447">
        <v>24857340</v>
      </c>
      <c r="H16447">
        <v>24857276</v>
      </c>
      <c r="I16447">
        <v>24857302</v>
      </c>
    </row>
    <row r="16448" spans="1:9" x14ac:dyDescent="0.2">
      <c r="A16448" s="1" t="str">
        <f>"SLC5A12"</f>
        <v>SLC5A12</v>
      </c>
      <c r="B16448" t="s">
        <v>14</v>
      </c>
      <c r="C16448" t="s">
        <v>27</v>
      </c>
      <c r="D16448" t="s">
        <v>11</v>
      </c>
      <c r="E16448" t="s">
        <v>12</v>
      </c>
      <c r="F16448">
        <v>26743550</v>
      </c>
      <c r="G16448">
        <v>26743567</v>
      </c>
      <c r="H16448">
        <v>26743550</v>
      </c>
      <c r="I16448">
        <v>26743567</v>
      </c>
    </row>
    <row r="16449" spans="1:9" x14ac:dyDescent="0.2">
      <c r="A16449" s="1" t="str">
        <f>"SLC5A2"</f>
        <v>SLC5A2</v>
      </c>
      <c r="B16449" t="s">
        <v>9</v>
      </c>
      <c r="C16449" t="s">
        <v>31</v>
      </c>
      <c r="D16449" t="s">
        <v>17</v>
      </c>
      <c r="E16449" t="s">
        <v>12</v>
      </c>
      <c r="F16449">
        <v>31494441</v>
      </c>
      <c r="G16449">
        <v>31494445</v>
      </c>
      <c r="H16449">
        <v>31494441</v>
      </c>
      <c r="I16449">
        <v>31494445</v>
      </c>
    </row>
    <row r="16450" spans="1:9" x14ac:dyDescent="0.2">
      <c r="A16450" s="1" t="str">
        <f>"SLC5A2"</f>
        <v>SLC5A2</v>
      </c>
      <c r="B16450" t="s">
        <v>13</v>
      </c>
      <c r="C16450" t="s">
        <v>31</v>
      </c>
      <c r="D16450" t="s">
        <v>17</v>
      </c>
      <c r="E16450" t="s">
        <v>12</v>
      </c>
      <c r="F16450">
        <v>31499212</v>
      </c>
      <c r="G16450">
        <v>31499224</v>
      </c>
      <c r="H16450">
        <v>31499212</v>
      </c>
      <c r="I16450">
        <v>31499224</v>
      </c>
    </row>
    <row r="16451" spans="1:9" x14ac:dyDescent="0.2">
      <c r="A16451" s="1" t="str">
        <f>"SLC5A3"</f>
        <v>SLC5A3</v>
      </c>
      <c r="B16451" t="s">
        <v>14</v>
      </c>
      <c r="C16451" t="s">
        <v>42</v>
      </c>
      <c r="D16451" t="s">
        <v>17</v>
      </c>
      <c r="E16451" t="s">
        <v>12</v>
      </c>
      <c r="F16451">
        <v>35445827</v>
      </c>
      <c r="G16451">
        <v>35445886</v>
      </c>
      <c r="H16451">
        <v>35445811</v>
      </c>
      <c r="I16451">
        <v>35445822</v>
      </c>
    </row>
    <row r="16452" spans="1:9" x14ac:dyDescent="0.2">
      <c r="A16452" s="1" t="str">
        <f>"SLC5A4"</f>
        <v>SLC5A4</v>
      </c>
      <c r="B16452" t="s">
        <v>14</v>
      </c>
      <c r="C16452" t="s">
        <v>21</v>
      </c>
      <c r="D16452" t="s">
        <v>11</v>
      </c>
      <c r="E16452" t="s">
        <v>12</v>
      </c>
      <c r="F16452">
        <v>32651326</v>
      </c>
      <c r="G16452">
        <v>32651340</v>
      </c>
      <c r="H16452">
        <v>32651326</v>
      </c>
      <c r="I16452">
        <v>32651340</v>
      </c>
    </row>
    <row r="16453" spans="1:9" x14ac:dyDescent="0.2">
      <c r="A16453" s="1" t="str">
        <f>"SLC5A5"</f>
        <v>SLC5A5</v>
      </c>
      <c r="B16453" t="s">
        <v>14</v>
      </c>
      <c r="C16453" t="s">
        <v>10</v>
      </c>
      <c r="D16453" t="s">
        <v>17</v>
      </c>
      <c r="E16453" t="s">
        <v>12</v>
      </c>
      <c r="F16453">
        <v>17982747</v>
      </c>
      <c r="G16453">
        <v>17982760</v>
      </c>
      <c r="H16453">
        <v>17983063</v>
      </c>
      <c r="I16453">
        <v>17983082</v>
      </c>
    </row>
    <row r="16454" spans="1:9" x14ac:dyDescent="0.2">
      <c r="A16454" s="1" t="str">
        <f>"SLC5A6"</f>
        <v>SLC5A6</v>
      </c>
      <c r="B16454" t="s">
        <v>14</v>
      </c>
      <c r="C16454" t="s">
        <v>26</v>
      </c>
      <c r="D16454" t="s">
        <v>11</v>
      </c>
      <c r="E16454" t="s">
        <v>12</v>
      </c>
      <c r="F16454">
        <v>27435125</v>
      </c>
      <c r="G16454">
        <v>27435182</v>
      </c>
      <c r="H16454">
        <v>27434773</v>
      </c>
      <c r="I16454">
        <v>27434838</v>
      </c>
    </row>
    <row r="16455" spans="1:9" x14ac:dyDescent="0.2">
      <c r="A16455" s="1" t="str">
        <f>"SLC5A7"</f>
        <v>SLC5A7</v>
      </c>
      <c r="B16455" t="s">
        <v>14</v>
      </c>
      <c r="C16455" t="s">
        <v>26</v>
      </c>
      <c r="D16455" t="s">
        <v>17</v>
      </c>
      <c r="E16455" t="s">
        <v>12</v>
      </c>
      <c r="F16455">
        <v>108602971</v>
      </c>
      <c r="G16455">
        <v>108602986</v>
      </c>
      <c r="H16455">
        <v>108602971</v>
      </c>
      <c r="I16455">
        <v>108602986</v>
      </c>
    </row>
    <row r="16456" spans="1:9" x14ac:dyDescent="0.2">
      <c r="A16456" s="1" t="str">
        <f>"SLC5A8"</f>
        <v>SLC5A8</v>
      </c>
      <c r="B16456" t="s">
        <v>14</v>
      </c>
      <c r="C16456" t="s">
        <v>16</v>
      </c>
      <c r="D16456" t="s">
        <v>11</v>
      </c>
      <c r="E16456" t="s">
        <v>12</v>
      </c>
      <c r="F16456">
        <v>101604010</v>
      </c>
      <c r="G16456">
        <v>101604021</v>
      </c>
      <c r="H16456">
        <v>101603978</v>
      </c>
      <c r="I16456">
        <v>101603992</v>
      </c>
    </row>
    <row r="16457" spans="1:9" x14ac:dyDescent="0.2">
      <c r="A16457" s="1" t="str">
        <f>"SLC5A9"</f>
        <v>SLC5A9</v>
      </c>
      <c r="B16457" t="s">
        <v>14</v>
      </c>
      <c r="C16457" t="s">
        <v>19</v>
      </c>
      <c r="D16457" t="s">
        <v>17</v>
      </c>
      <c r="E16457" t="s">
        <v>12</v>
      </c>
      <c r="F16457">
        <v>48688380</v>
      </c>
      <c r="G16457">
        <v>48688412</v>
      </c>
      <c r="H16457">
        <v>48688421</v>
      </c>
      <c r="I16457">
        <v>48688433</v>
      </c>
    </row>
    <row r="16458" spans="1:9" x14ac:dyDescent="0.2">
      <c r="A16458" s="1" t="str">
        <f>"SLC6A1"</f>
        <v>SLC6A1</v>
      </c>
      <c r="B16458" t="s">
        <v>14</v>
      </c>
      <c r="C16458" t="s">
        <v>22</v>
      </c>
      <c r="D16458" t="s">
        <v>17</v>
      </c>
      <c r="E16458" t="s">
        <v>12</v>
      </c>
      <c r="F16458">
        <v>11034403</v>
      </c>
      <c r="G16458">
        <v>11034492</v>
      </c>
      <c r="H16458">
        <v>11034221</v>
      </c>
      <c r="I16458">
        <v>11034241</v>
      </c>
    </row>
    <row r="16459" spans="1:9" x14ac:dyDescent="0.2">
      <c r="A16459" s="1" t="str">
        <f>"SLC6A11"</f>
        <v>SLC6A11</v>
      </c>
      <c r="B16459" t="s">
        <v>14</v>
      </c>
      <c r="C16459" t="s">
        <v>22</v>
      </c>
      <c r="D16459" t="s">
        <v>17</v>
      </c>
      <c r="E16459" t="s">
        <v>12</v>
      </c>
      <c r="F16459">
        <v>10857905</v>
      </c>
      <c r="G16459">
        <v>10857920</v>
      </c>
      <c r="H16459">
        <v>10857720</v>
      </c>
      <c r="I16459">
        <v>10857739</v>
      </c>
    </row>
    <row r="16460" spans="1:9" x14ac:dyDescent="0.2">
      <c r="A16460" s="1" t="str">
        <f>"SLC6A12"</f>
        <v>SLC6A12</v>
      </c>
      <c r="B16460" t="s">
        <v>14</v>
      </c>
      <c r="C16460" t="s">
        <v>16</v>
      </c>
      <c r="D16460" t="s">
        <v>11</v>
      </c>
      <c r="E16460" t="s">
        <v>12</v>
      </c>
      <c r="F16460">
        <v>323699</v>
      </c>
      <c r="G16460">
        <v>323719</v>
      </c>
      <c r="H16460">
        <v>323312</v>
      </c>
      <c r="I16460">
        <v>323329</v>
      </c>
    </row>
    <row r="16461" spans="1:9" x14ac:dyDescent="0.2">
      <c r="A16461" s="1" t="str">
        <f>"SLC6A13"</f>
        <v>SLC6A13</v>
      </c>
      <c r="B16461" t="s">
        <v>14</v>
      </c>
      <c r="C16461" t="s">
        <v>16</v>
      </c>
      <c r="D16461" t="s">
        <v>11</v>
      </c>
      <c r="E16461" t="s">
        <v>12</v>
      </c>
      <c r="F16461">
        <v>371994</v>
      </c>
      <c r="G16461">
        <v>372008</v>
      </c>
      <c r="H16461">
        <v>371994</v>
      </c>
      <c r="I16461">
        <v>372008</v>
      </c>
    </row>
    <row r="16462" spans="1:9" x14ac:dyDescent="0.2">
      <c r="A16462" s="1" t="str">
        <f>"SLC6A14"</f>
        <v>SLC6A14</v>
      </c>
      <c r="B16462" t="s">
        <v>14</v>
      </c>
      <c r="C16462" t="s">
        <v>37</v>
      </c>
      <c r="D16462" t="s">
        <v>17</v>
      </c>
      <c r="E16462" t="s">
        <v>12</v>
      </c>
      <c r="F16462">
        <v>115567767</v>
      </c>
      <c r="G16462">
        <v>115567784</v>
      </c>
      <c r="H16462">
        <v>115567812</v>
      </c>
      <c r="I16462">
        <v>115567820</v>
      </c>
    </row>
    <row r="16463" spans="1:9" x14ac:dyDescent="0.2">
      <c r="A16463" s="1" t="str">
        <f>"SLC6A15"</f>
        <v>SLC6A15</v>
      </c>
      <c r="B16463" t="s">
        <v>14</v>
      </c>
      <c r="C16463" t="s">
        <v>16</v>
      </c>
      <c r="D16463" t="s">
        <v>11</v>
      </c>
      <c r="E16463" t="s">
        <v>12</v>
      </c>
      <c r="F16463">
        <v>85306494</v>
      </c>
      <c r="G16463">
        <v>85306558</v>
      </c>
      <c r="H16463">
        <v>85306562</v>
      </c>
      <c r="I16463">
        <v>85306591</v>
      </c>
    </row>
    <row r="16464" spans="1:9" x14ac:dyDescent="0.2">
      <c r="A16464" s="1" t="str">
        <f>"SLC6A16"</f>
        <v>SLC6A16</v>
      </c>
      <c r="B16464" t="s">
        <v>14</v>
      </c>
      <c r="C16464" t="s">
        <v>10</v>
      </c>
      <c r="D16464" t="s">
        <v>11</v>
      </c>
      <c r="E16464" t="s">
        <v>12</v>
      </c>
      <c r="F16464">
        <v>49828438</v>
      </c>
      <c r="G16464">
        <v>49828484</v>
      </c>
      <c r="H16464">
        <v>49828414</v>
      </c>
      <c r="I16464">
        <v>49828434</v>
      </c>
    </row>
    <row r="16465" spans="1:9" x14ac:dyDescent="0.2">
      <c r="A16465" s="1" t="str">
        <f>"SLC6A17"</f>
        <v>SLC6A17</v>
      </c>
      <c r="B16465" t="s">
        <v>14</v>
      </c>
      <c r="C16465" t="s">
        <v>19</v>
      </c>
      <c r="D16465" t="s">
        <v>17</v>
      </c>
      <c r="E16465" t="s">
        <v>12</v>
      </c>
      <c r="F16465">
        <v>110693127</v>
      </c>
      <c r="G16465">
        <v>110693182</v>
      </c>
      <c r="H16465">
        <v>110693103</v>
      </c>
      <c r="I16465">
        <v>110693126</v>
      </c>
    </row>
    <row r="16466" spans="1:9" x14ac:dyDescent="0.2">
      <c r="A16466" s="1" t="str">
        <f>"SLC6A18"</f>
        <v>SLC6A18</v>
      </c>
      <c r="B16466" t="s">
        <v>14</v>
      </c>
      <c r="C16466" t="s">
        <v>46</v>
      </c>
      <c r="D16466" t="s">
        <v>17</v>
      </c>
      <c r="E16466" t="s">
        <v>12</v>
      </c>
      <c r="F16466">
        <v>1225494</v>
      </c>
      <c r="G16466">
        <v>1225503</v>
      </c>
      <c r="H16466">
        <v>1225494</v>
      </c>
      <c r="I16466">
        <v>1225503</v>
      </c>
    </row>
    <row r="16467" spans="1:9" x14ac:dyDescent="0.2">
      <c r="A16467" s="1" t="str">
        <f>"SLC6A19"</f>
        <v>SLC6A19</v>
      </c>
      <c r="B16467" t="s">
        <v>14</v>
      </c>
      <c r="C16467" t="s">
        <v>46</v>
      </c>
      <c r="D16467" t="s">
        <v>17</v>
      </c>
      <c r="E16467" t="s">
        <v>12</v>
      </c>
      <c r="F16467">
        <v>1201703</v>
      </c>
      <c r="G16467">
        <v>1201716</v>
      </c>
      <c r="H16467">
        <v>1201599</v>
      </c>
      <c r="I16467">
        <v>1201625</v>
      </c>
    </row>
    <row r="16468" spans="1:9" x14ac:dyDescent="0.2">
      <c r="A16468" s="1" t="str">
        <f>"SLC6A2"</f>
        <v>SLC6A2</v>
      </c>
      <c r="B16468" t="s">
        <v>14</v>
      </c>
      <c r="C16468" t="s">
        <v>31</v>
      </c>
      <c r="D16468" t="s">
        <v>17</v>
      </c>
      <c r="E16468" t="s">
        <v>12</v>
      </c>
      <c r="F16468">
        <v>55689872</v>
      </c>
      <c r="G16468">
        <v>55689912</v>
      </c>
      <c r="H16468">
        <v>55690002</v>
      </c>
      <c r="I16468">
        <v>55690023</v>
      </c>
    </row>
    <row r="16469" spans="1:9" x14ac:dyDescent="0.2">
      <c r="A16469" s="1" t="str">
        <f>"SLC6A20"</f>
        <v>SLC6A20</v>
      </c>
      <c r="B16469" t="s">
        <v>14</v>
      </c>
      <c r="C16469" t="s">
        <v>22</v>
      </c>
      <c r="D16469" t="s">
        <v>11</v>
      </c>
      <c r="E16469" t="s">
        <v>12</v>
      </c>
      <c r="F16469">
        <v>45838037</v>
      </c>
      <c r="G16469">
        <v>45838084</v>
      </c>
      <c r="H16469">
        <v>45838011</v>
      </c>
      <c r="I16469">
        <v>45838034</v>
      </c>
    </row>
    <row r="16470" spans="1:9" x14ac:dyDescent="0.2">
      <c r="A16470" s="1" t="str">
        <f>"SLC6A3"</f>
        <v>SLC6A3</v>
      </c>
      <c r="B16470" t="s">
        <v>14</v>
      </c>
      <c r="C16470" t="s">
        <v>46</v>
      </c>
      <c r="D16470" t="s">
        <v>11</v>
      </c>
      <c r="E16470" t="s">
        <v>12</v>
      </c>
      <c r="F16470">
        <v>1445539</v>
      </c>
      <c r="G16470">
        <v>1445558</v>
      </c>
      <c r="H16470">
        <v>1445539</v>
      </c>
      <c r="I16470">
        <v>1445558</v>
      </c>
    </row>
    <row r="16471" spans="1:9" x14ac:dyDescent="0.2">
      <c r="A16471" s="1" t="str">
        <f>"SLC6A4"</f>
        <v>SLC6A4</v>
      </c>
      <c r="B16471" t="s">
        <v>14</v>
      </c>
      <c r="C16471" t="s">
        <v>28</v>
      </c>
      <c r="D16471" t="s">
        <v>11</v>
      </c>
      <c r="E16471" t="s">
        <v>12</v>
      </c>
      <c r="F16471">
        <v>28562714</v>
      </c>
      <c r="G16471">
        <v>28562717</v>
      </c>
      <c r="H16471">
        <v>28562885</v>
      </c>
      <c r="I16471">
        <v>28562897</v>
      </c>
    </row>
    <row r="16472" spans="1:9" x14ac:dyDescent="0.2">
      <c r="A16472" s="1" t="str">
        <f>"SLC6A5"</f>
        <v>SLC6A5</v>
      </c>
      <c r="B16472" t="s">
        <v>14</v>
      </c>
      <c r="C16472" t="s">
        <v>27</v>
      </c>
      <c r="D16472" t="s">
        <v>17</v>
      </c>
      <c r="E16472" t="s">
        <v>12</v>
      </c>
      <c r="F16472">
        <v>20621148</v>
      </c>
      <c r="G16472">
        <v>20621166</v>
      </c>
      <c r="H16472">
        <v>20620924</v>
      </c>
      <c r="I16472">
        <v>20620931</v>
      </c>
    </row>
    <row r="16473" spans="1:9" x14ac:dyDescent="0.2">
      <c r="A16473" s="1" t="str">
        <f>"SLC6A6"</f>
        <v>SLC6A6</v>
      </c>
      <c r="B16473" t="s">
        <v>14</v>
      </c>
      <c r="C16473" t="s">
        <v>22</v>
      </c>
      <c r="D16473" t="s">
        <v>17</v>
      </c>
      <c r="E16473" t="s">
        <v>12</v>
      </c>
      <c r="F16473">
        <v>14444063</v>
      </c>
      <c r="G16473">
        <v>14444133</v>
      </c>
      <c r="H16473">
        <v>14444181</v>
      </c>
      <c r="I16473">
        <v>14444192</v>
      </c>
    </row>
    <row r="16474" spans="1:9" x14ac:dyDescent="0.2">
      <c r="A16474" s="1" t="str">
        <f>"SLC6A7"</f>
        <v>SLC6A7</v>
      </c>
      <c r="B16474" t="s">
        <v>14</v>
      </c>
      <c r="C16474" t="s">
        <v>46</v>
      </c>
      <c r="D16474" t="s">
        <v>17</v>
      </c>
      <c r="E16474" t="s">
        <v>12</v>
      </c>
      <c r="F16474">
        <v>149569603</v>
      </c>
      <c r="G16474">
        <v>149569689</v>
      </c>
      <c r="H16474">
        <v>149569796</v>
      </c>
      <c r="I16474">
        <v>149569819</v>
      </c>
    </row>
    <row r="16475" spans="1:9" x14ac:dyDescent="0.2">
      <c r="A16475" s="1" t="str">
        <f>"SLC6A8"</f>
        <v>SLC6A8</v>
      </c>
      <c r="B16475" t="s">
        <v>14</v>
      </c>
      <c r="C16475" t="s">
        <v>37</v>
      </c>
      <c r="D16475" t="s">
        <v>17</v>
      </c>
      <c r="E16475" t="s">
        <v>12</v>
      </c>
      <c r="F16475">
        <v>152953374</v>
      </c>
      <c r="G16475">
        <v>152953391</v>
      </c>
      <c r="H16475">
        <v>152953505</v>
      </c>
      <c r="I16475">
        <v>152953526</v>
      </c>
    </row>
    <row r="16476" spans="1:9" x14ac:dyDescent="0.2">
      <c r="A16476" s="1" t="str">
        <f>"SLC6A9"</f>
        <v>SLC6A9</v>
      </c>
      <c r="B16476" t="s">
        <v>14</v>
      </c>
      <c r="C16476" t="s">
        <v>19</v>
      </c>
      <c r="D16476" t="s">
        <v>11</v>
      </c>
      <c r="E16476" t="s">
        <v>12</v>
      </c>
      <c r="F16476">
        <v>44497118</v>
      </c>
      <c r="G16476">
        <v>44497176</v>
      </c>
      <c r="H16476">
        <v>44497024</v>
      </c>
      <c r="I16476">
        <v>44497068</v>
      </c>
    </row>
    <row r="16477" spans="1:9" x14ac:dyDescent="0.2">
      <c r="A16477" s="1" t="str">
        <f>"SLC7A1"</f>
        <v>SLC7A1</v>
      </c>
      <c r="B16477" t="s">
        <v>14</v>
      </c>
      <c r="C16477" t="s">
        <v>39</v>
      </c>
      <c r="D16477" t="s">
        <v>11</v>
      </c>
      <c r="E16477" t="s">
        <v>12</v>
      </c>
      <c r="F16477">
        <v>30169766</v>
      </c>
      <c r="G16477">
        <v>30169799</v>
      </c>
      <c r="H16477">
        <v>30169807</v>
      </c>
      <c r="I16477">
        <v>30169839</v>
      </c>
    </row>
    <row r="16478" spans="1:9" x14ac:dyDescent="0.2">
      <c r="A16478" s="1" t="str">
        <f>"SLC7A10"</f>
        <v>SLC7A10</v>
      </c>
      <c r="B16478" t="s">
        <v>14</v>
      </c>
      <c r="C16478" t="s">
        <v>10</v>
      </c>
      <c r="D16478" t="s">
        <v>11</v>
      </c>
      <c r="E16478" t="s">
        <v>12</v>
      </c>
      <c r="F16478">
        <v>33716669</v>
      </c>
      <c r="G16478">
        <v>33716739</v>
      </c>
      <c r="H16478">
        <v>33716750</v>
      </c>
      <c r="I16478">
        <v>33716759</v>
      </c>
    </row>
    <row r="16479" spans="1:9" x14ac:dyDescent="0.2">
      <c r="A16479" s="1" t="str">
        <f>"SLC7A11"</f>
        <v>SLC7A11</v>
      </c>
      <c r="B16479" t="s">
        <v>14</v>
      </c>
      <c r="C16479" t="s">
        <v>23</v>
      </c>
      <c r="D16479" t="s">
        <v>11</v>
      </c>
      <c r="E16479" t="s">
        <v>12</v>
      </c>
      <c r="F16479">
        <v>139163491</v>
      </c>
      <c r="G16479">
        <v>139163510</v>
      </c>
      <c r="H16479">
        <v>139163521</v>
      </c>
      <c r="I16479">
        <v>139163536</v>
      </c>
    </row>
    <row r="16480" spans="1:9" x14ac:dyDescent="0.2">
      <c r="A16480" s="1" t="str">
        <f>"SLC7A13"</f>
        <v>SLC7A13</v>
      </c>
      <c r="B16480" t="s">
        <v>14</v>
      </c>
      <c r="C16480" t="s">
        <v>30</v>
      </c>
      <c r="D16480" t="s">
        <v>11</v>
      </c>
      <c r="E16480" t="s">
        <v>12</v>
      </c>
      <c r="F16480">
        <v>87242593</v>
      </c>
      <c r="G16480">
        <v>87242610</v>
      </c>
      <c r="H16480">
        <v>87242593</v>
      </c>
      <c r="I16480">
        <v>87242610</v>
      </c>
    </row>
    <row r="16481" spans="1:9" x14ac:dyDescent="0.2">
      <c r="A16481" s="1" t="str">
        <f>"SLC7A14"</f>
        <v>SLC7A14</v>
      </c>
      <c r="B16481" t="s">
        <v>14</v>
      </c>
      <c r="C16481" t="s">
        <v>22</v>
      </c>
      <c r="D16481" t="s">
        <v>11</v>
      </c>
      <c r="E16481" t="s">
        <v>12</v>
      </c>
      <c r="F16481">
        <v>170303773</v>
      </c>
      <c r="G16481">
        <v>170303842</v>
      </c>
      <c r="H16481">
        <v>170303845</v>
      </c>
      <c r="I16481">
        <v>170303869</v>
      </c>
    </row>
    <row r="16482" spans="1:9" x14ac:dyDescent="0.2">
      <c r="A16482" s="1" t="str">
        <f>"SLC7A2"</f>
        <v>SLC7A2</v>
      </c>
      <c r="B16482" t="s">
        <v>14</v>
      </c>
      <c r="C16482" t="s">
        <v>30</v>
      </c>
      <c r="D16482" t="s">
        <v>17</v>
      </c>
      <c r="E16482" t="s">
        <v>12</v>
      </c>
      <c r="F16482">
        <v>17354587</v>
      </c>
      <c r="G16482">
        <v>17354610</v>
      </c>
      <c r="H16482">
        <v>17354617</v>
      </c>
      <c r="I16482">
        <v>17354638</v>
      </c>
    </row>
    <row r="16483" spans="1:9" x14ac:dyDescent="0.2">
      <c r="A16483" s="1" t="str">
        <f>"SLC7A3"</f>
        <v>SLC7A3</v>
      </c>
      <c r="B16483" t="s">
        <v>14</v>
      </c>
      <c r="C16483" t="s">
        <v>37</v>
      </c>
      <c r="D16483" t="s">
        <v>11</v>
      </c>
      <c r="E16483" t="s">
        <v>12</v>
      </c>
      <c r="F16483">
        <v>70150939</v>
      </c>
      <c r="G16483">
        <v>70150952</v>
      </c>
      <c r="H16483">
        <v>70150939</v>
      </c>
      <c r="I16483">
        <v>70150952</v>
      </c>
    </row>
    <row r="16484" spans="1:9" x14ac:dyDescent="0.2">
      <c r="A16484" s="1" t="str">
        <f>"SLC7A4"</f>
        <v>SLC7A4</v>
      </c>
      <c r="B16484" t="s">
        <v>14</v>
      </c>
      <c r="C16484" t="s">
        <v>21</v>
      </c>
      <c r="D16484" t="s">
        <v>11</v>
      </c>
      <c r="E16484" t="s">
        <v>12</v>
      </c>
      <c r="F16484">
        <v>21386843</v>
      </c>
      <c r="G16484">
        <v>21386862</v>
      </c>
      <c r="H16484">
        <v>21387144</v>
      </c>
      <c r="I16484">
        <v>21387157</v>
      </c>
    </row>
    <row r="16485" spans="1:9" x14ac:dyDescent="0.2">
      <c r="A16485" s="1" t="str">
        <f>"SLC7A5"</f>
        <v>SLC7A5</v>
      </c>
      <c r="B16485" t="s">
        <v>14</v>
      </c>
      <c r="C16485" t="s">
        <v>31</v>
      </c>
      <c r="D16485" t="s">
        <v>11</v>
      </c>
      <c r="E16485" t="s">
        <v>12</v>
      </c>
      <c r="F16485">
        <v>87903102</v>
      </c>
      <c r="G16485">
        <v>87903120</v>
      </c>
      <c r="H16485">
        <v>87903079</v>
      </c>
      <c r="I16485">
        <v>87903092</v>
      </c>
    </row>
    <row r="16486" spans="1:9" x14ac:dyDescent="0.2">
      <c r="A16486" s="1" t="str">
        <f>"SLC7A6"</f>
        <v>SLC7A6</v>
      </c>
      <c r="B16486" t="s">
        <v>14</v>
      </c>
      <c r="C16486" t="s">
        <v>31</v>
      </c>
      <c r="D16486" t="s">
        <v>17</v>
      </c>
      <c r="E16486" t="s">
        <v>12</v>
      </c>
      <c r="F16486">
        <v>68298405</v>
      </c>
      <c r="G16486">
        <v>68298461</v>
      </c>
      <c r="H16486">
        <v>68298466</v>
      </c>
      <c r="I16486">
        <v>68298485</v>
      </c>
    </row>
    <row r="16487" spans="1:9" x14ac:dyDescent="0.2">
      <c r="A16487" s="1" t="str">
        <f>"SLC7A6OS"</f>
        <v>SLC7A6OS</v>
      </c>
      <c r="B16487" t="s">
        <v>14</v>
      </c>
      <c r="C16487" t="s">
        <v>31</v>
      </c>
      <c r="D16487" t="s">
        <v>11</v>
      </c>
      <c r="E16487" t="s">
        <v>12</v>
      </c>
      <c r="F16487">
        <v>68344830</v>
      </c>
      <c r="G16487">
        <v>68344859</v>
      </c>
      <c r="H16487">
        <v>68344478</v>
      </c>
      <c r="I16487">
        <v>68344508</v>
      </c>
    </row>
    <row r="16488" spans="1:9" x14ac:dyDescent="0.2">
      <c r="A16488" s="1" t="str">
        <f>"SLC7A7"</f>
        <v>SLC7A7</v>
      </c>
      <c r="B16488" t="s">
        <v>14</v>
      </c>
      <c r="C16488" t="s">
        <v>41</v>
      </c>
      <c r="D16488" t="s">
        <v>11</v>
      </c>
      <c r="E16488" t="s">
        <v>12</v>
      </c>
      <c r="F16488">
        <v>23284630</v>
      </c>
      <c r="G16488">
        <v>23284650</v>
      </c>
      <c r="H16488">
        <v>23284561</v>
      </c>
      <c r="I16488">
        <v>23284595</v>
      </c>
    </row>
    <row r="16489" spans="1:9" x14ac:dyDescent="0.2">
      <c r="A16489" s="1" t="str">
        <f>"SLC7A8"</f>
        <v>SLC7A8</v>
      </c>
      <c r="B16489" t="s">
        <v>14</v>
      </c>
      <c r="C16489" t="s">
        <v>41</v>
      </c>
      <c r="D16489" t="s">
        <v>11</v>
      </c>
      <c r="E16489" t="s">
        <v>12</v>
      </c>
      <c r="F16489">
        <v>23652862</v>
      </c>
      <c r="G16489">
        <v>23652876</v>
      </c>
      <c r="H16489">
        <v>23652343</v>
      </c>
      <c r="I16489">
        <v>23652348</v>
      </c>
    </row>
    <row r="16490" spans="1:9" x14ac:dyDescent="0.2">
      <c r="A16490" s="1" t="str">
        <f>"SLC7A9"</f>
        <v>SLC7A9</v>
      </c>
      <c r="B16490" t="s">
        <v>14</v>
      </c>
      <c r="C16490" t="s">
        <v>10</v>
      </c>
      <c r="D16490" t="s">
        <v>11</v>
      </c>
      <c r="E16490" t="s">
        <v>12</v>
      </c>
      <c r="F16490">
        <v>33360647</v>
      </c>
      <c r="G16490">
        <v>33360691</v>
      </c>
      <c r="H16490">
        <v>33360647</v>
      </c>
      <c r="I16490">
        <v>33360691</v>
      </c>
    </row>
    <row r="16491" spans="1:9" x14ac:dyDescent="0.2">
      <c r="A16491" s="1" t="str">
        <f>"SLC8A1"</f>
        <v>SLC8A1</v>
      </c>
      <c r="B16491" t="s">
        <v>9</v>
      </c>
      <c r="C16491" t="s">
        <v>26</v>
      </c>
      <c r="D16491" t="s">
        <v>11</v>
      </c>
      <c r="E16491" t="s">
        <v>12</v>
      </c>
      <c r="F16491">
        <v>40679186</v>
      </c>
      <c r="G16491">
        <v>40679297</v>
      </c>
      <c r="H16491">
        <v>40679186</v>
      </c>
      <c r="I16491">
        <v>40679297</v>
      </c>
    </row>
    <row r="16492" spans="1:9" x14ac:dyDescent="0.2">
      <c r="A16492" s="1" t="str">
        <f>"SLC8A1"</f>
        <v>SLC8A1</v>
      </c>
      <c r="B16492" t="s">
        <v>13</v>
      </c>
      <c r="C16492" t="s">
        <v>26</v>
      </c>
      <c r="D16492" t="s">
        <v>11</v>
      </c>
      <c r="E16492" t="s">
        <v>12</v>
      </c>
      <c r="F16492">
        <v>40739513</v>
      </c>
      <c r="G16492">
        <v>40739582</v>
      </c>
      <c r="H16492">
        <v>40739513</v>
      </c>
      <c r="I16492">
        <v>40739582</v>
      </c>
    </row>
    <row r="16493" spans="1:9" x14ac:dyDescent="0.2">
      <c r="A16493" s="1" t="str">
        <f>"SLC8A2"</f>
        <v>SLC8A2</v>
      </c>
      <c r="B16493" t="s">
        <v>14</v>
      </c>
      <c r="C16493" t="s">
        <v>10</v>
      </c>
      <c r="D16493" t="s">
        <v>11</v>
      </c>
      <c r="E16493" t="s">
        <v>12</v>
      </c>
      <c r="F16493">
        <v>47975143</v>
      </c>
      <c r="G16493">
        <v>47975184</v>
      </c>
      <c r="H16493">
        <v>47975143</v>
      </c>
      <c r="I16493">
        <v>47975184</v>
      </c>
    </row>
    <row r="16494" spans="1:9" x14ac:dyDescent="0.2">
      <c r="A16494" s="1" t="str">
        <f>"SLC8A3"</f>
        <v>SLC8A3</v>
      </c>
      <c r="B16494" t="s">
        <v>14</v>
      </c>
      <c r="C16494" t="s">
        <v>41</v>
      </c>
      <c r="D16494" t="s">
        <v>11</v>
      </c>
      <c r="E16494" t="s">
        <v>12</v>
      </c>
      <c r="F16494">
        <v>70655655</v>
      </c>
      <c r="G16494">
        <v>70655683</v>
      </c>
      <c r="H16494">
        <v>70655684</v>
      </c>
      <c r="I16494">
        <v>70655706</v>
      </c>
    </row>
    <row r="16495" spans="1:9" x14ac:dyDescent="0.2">
      <c r="A16495" s="1" t="str">
        <f>"SLC8B1"</f>
        <v>SLC8B1</v>
      </c>
      <c r="B16495" t="s">
        <v>9</v>
      </c>
      <c r="C16495" t="s">
        <v>16</v>
      </c>
      <c r="D16495" t="s">
        <v>11</v>
      </c>
      <c r="E16495" t="s">
        <v>12</v>
      </c>
      <c r="F16495">
        <v>113772902</v>
      </c>
      <c r="G16495">
        <v>113772954</v>
      </c>
      <c r="H16495">
        <v>113772902</v>
      </c>
      <c r="I16495">
        <v>113772954</v>
      </c>
    </row>
    <row r="16496" spans="1:9" x14ac:dyDescent="0.2">
      <c r="A16496" s="1" t="str">
        <f>"SLC8B1"</f>
        <v>SLC8B1</v>
      </c>
      <c r="B16496" t="s">
        <v>13</v>
      </c>
      <c r="C16496" t="s">
        <v>16</v>
      </c>
      <c r="D16496" t="s">
        <v>11</v>
      </c>
      <c r="E16496" t="s">
        <v>12</v>
      </c>
      <c r="F16496">
        <v>113797265</v>
      </c>
      <c r="G16496">
        <v>113797302</v>
      </c>
      <c r="H16496">
        <v>113797265</v>
      </c>
      <c r="I16496">
        <v>113797302</v>
      </c>
    </row>
    <row r="16497" spans="1:9" x14ac:dyDescent="0.2">
      <c r="A16497" s="1" t="str">
        <f>"SLC9A1"</f>
        <v>SLC9A1</v>
      </c>
      <c r="B16497" t="s">
        <v>14</v>
      </c>
      <c r="C16497" t="s">
        <v>19</v>
      </c>
      <c r="D16497" t="s">
        <v>11</v>
      </c>
      <c r="E16497" t="s">
        <v>12</v>
      </c>
      <c r="F16497">
        <v>27481609</v>
      </c>
      <c r="G16497">
        <v>27481625</v>
      </c>
      <c r="H16497">
        <v>27481609</v>
      </c>
      <c r="I16497">
        <v>27481625</v>
      </c>
    </row>
    <row r="16498" spans="1:9" x14ac:dyDescent="0.2">
      <c r="A16498" s="1" t="str">
        <f>"SLC9A2"</f>
        <v>SLC9A2</v>
      </c>
      <c r="B16498" t="s">
        <v>14</v>
      </c>
      <c r="C16498" t="s">
        <v>26</v>
      </c>
      <c r="D16498" t="s">
        <v>17</v>
      </c>
      <c r="E16498" t="s">
        <v>12</v>
      </c>
      <c r="F16498">
        <v>103236004</v>
      </c>
      <c r="G16498">
        <v>103236041</v>
      </c>
      <c r="H16498">
        <v>103235775</v>
      </c>
      <c r="I16498">
        <v>103235794</v>
      </c>
    </row>
    <row r="16499" spans="1:9" x14ac:dyDescent="0.2">
      <c r="A16499" s="1" t="str">
        <f>"SLC9A3"</f>
        <v>SLC9A3</v>
      </c>
      <c r="B16499" t="s">
        <v>14</v>
      </c>
      <c r="C16499" t="s">
        <v>46</v>
      </c>
      <c r="D16499" t="s">
        <v>11</v>
      </c>
      <c r="E16499" t="s">
        <v>12</v>
      </c>
      <c r="F16499">
        <v>524558</v>
      </c>
      <c r="G16499">
        <v>524565</v>
      </c>
      <c r="H16499">
        <v>524356</v>
      </c>
      <c r="I16499">
        <v>524357</v>
      </c>
    </row>
    <row r="16500" spans="1:9" x14ac:dyDescent="0.2">
      <c r="A16500" s="1" t="str">
        <f>"SLC9A3R1"</f>
        <v>SLC9A3R1</v>
      </c>
      <c r="B16500" t="s">
        <v>14</v>
      </c>
      <c r="C16500" t="s">
        <v>28</v>
      </c>
      <c r="D16500" t="s">
        <v>17</v>
      </c>
      <c r="E16500" t="s">
        <v>12</v>
      </c>
      <c r="F16500">
        <v>72744759</v>
      </c>
      <c r="G16500">
        <v>72744776</v>
      </c>
      <c r="H16500">
        <v>72744794</v>
      </c>
      <c r="I16500">
        <v>72744810</v>
      </c>
    </row>
    <row r="16501" spans="1:9" x14ac:dyDescent="0.2">
      <c r="A16501" s="1" t="str">
        <f>"SLC9A3R2"</f>
        <v>SLC9A3R2</v>
      </c>
      <c r="B16501" t="s">
        <v>9</v>
      </c>
      <c r="C16501" t="s">
        <v>31</v>
      </c>
      <c r="D16501" t="s">
        <v>17</v>
      </c>
      <c r="E16501" t="s">
        <v>12</v>
      </c>
      <c r="F16501">
        <v>2076875</v>
      </c>
      <c r="G16501">
        <v>2076915</v>
      </c>
      <c r="H16501">
        <v>2076875</v>
      </c>
      <c r="I16501">
        <v>2076915</v>
      </c>
    </row>
    <row r="16502" spans="1:9" x14ac:dyDescent="0.2">
      <c r="A16502" s="1" t="str">
        <f>"SLC9A3R2"</f>
        <v>SLC9A3R2</v>
      </c>
      <c r="B16502" t="s">
        <v>13</v>
      </c>
      <c r="C16502" t="s">
        <v>31</v>
      </c>
      <c r="D16502" t="s">
        <v>17</v>
      </c>
      <c r="E16502" t="s">
        <v>12</v>
      </c>
      <c r="F16502">
        <v>2083287</v>
      </c>
      <c r="G16502">
        <v>2083303</v>
      </c>
      <c r="H16502">
        <v>2083287</v>
      </c>
      <c r="I16502">
        <v>2083303</v>
      </c>
    </row>
    <row r="16503" spans="1:9" x14ac:dyDescent="0.2">
      <c r="A16503" s="1" t="str">
        <f>"SLC9A4"</f>
        <v>SLC9A4</v>
      </c>
      <c r="B16503" t="s">
        <v>14</v>
      </c>
      <c r="C16503" t="s">
        <v>26</v>
      </c>
      <c r="D16503" t="s">
        <v>17</v>
      </c>
      <c r="E16503" t="s">
        <v>12</v>
      </c>
      <c r="F16503">
        <v>103089782</v>
      </c>
      <c r="G16503">
        <v>103089791</v>
      </c>
      <c r="H16503">
        <v>103089756</v>
      </c>
      <c r="I16503">
        <v>103089768</v>
      </c>
    </row>
    <row r="16504" spans="1:9" x14ac:dyDescent="0.2">
      <c r="A16504" s="1" t="str">
        <f>"SLC9A5"</f>
        <v>SLC9A5</v>
      </c>
      <c r="B16504" t="s">
        <v>14</v>
      </c>
      <c r="C16504" t="s">
        <v>31</v>
      </c>
      <c r="D16504" t="s">
        <v>17</v>
      </c>
      <c r="E16504" t="s">
        <v>12</v>
      </c>
      <c r="F16504">
        <v>67282870</v>
      </c>
      <c r="G16504">
        <v>67282920</v>
      </c>
      <c r="H16504">
        <v>67282845</v>
      </c>
      <c r="I16504">
        <v>67282856</v>
      </c>
    </row>
    <row r="16505" spans="1:9" x14ac:dyDescent="0.2">
      <c r="A16505" s="1" t="str">
        <f>"SLC9A6"</f>
        <v>SLC9A6</v>
      </c>
      <c r="B16505" t="s">
        <v>14</v>
      </c>
      <c r="C16505" t="s">
        <v>37</v>
      </c>
      <c r="D16505" t="s">
        <v>17</v>
      </c>
      <c r="E16505" t="s">
        <v>12</v>
      </c>
      <c r="F16505">
        <v>135067576</v>
      </c>
      <c r="G16505">
        <v>135067634</v>
      </c>
      <c r="H16505">
        <v>135067644</v>
      </c>
      <c r="I16505">
        <v>135067666</v>
      </c>
    </row>
    <row r="16506" spans="1:9" x14ac:dyDescent="0.2">
      <c r="A16506" s="1" t="str">
        <f>"SLC9A7"</f>
        <v>SLC9A7</v>
      </c>
      <c r="B16506" t="s">
        <v>14</v>
      </c>
      <c r="C16506" t="s">
        <v>37</v>
      </c>
      <c r="D16506" t="s">
        <v>11</v>
      </c>
      <c r="E16506" t="s">
        <v>12</v>
      </c>
      <c r="F16506">
        <v>46618519</v>
      </c>
      <c r="G16506">
        <v>46618622</v>
      </c>
      <c r="H16506">
        <v>46618519</v>
      </c>
      <c r="I16506">
        <v>46618622</v>
      </c>
    </row>
    <row r="16507" spans="1:9" x14ac:dyDescent="0.2">
      <c r="A16507" s="1" t="str">
        <f>"SLC9A8"</f>
        <v>SLC9A8</v>
      </c>
      <c r="B16507" t="s">
        <v>14</v>
      </c>
      <c r="C16507" t="s">
        <v>29</v>
      </c>
      <c r="D16507" t="s">
        <v>17</v>
      </c>
      <c r="E16507" t="s">
        <v>12</v>
      </c>
      <c r="F16507">
        <v>48429356</v>
      </c>
      <c r="G16507">
        <v>48429458</v>
      </c>
      <c r="H16507">
        <v>48429265</v>
      </c>
      <c r="I16507">
        <v>48429306</v>
      </c>
    </row>
    <row r="16508" spans="1:9" x14ac:dyDescent="0.2">
      <c r="A16508" s="1" t="str">
        <f>"SLC9A9"</f>
        <v>SLC9A9</v>
      </c>
      <c r="B16508" t="s">
        <v>14</v>
      </c>
      <c r="C16508" t="s">
        <v>22</v>
      </c>
      <c r="D16508" t="s">
        <v>11</v>
      </c>
      <c r="E16508" t="s">
        <v>12</v>
      </c>
      <c r="F16508">
        <v>143567262</v>
      </c>
      <c r="G16508">
        <v>143567343</v>
      </c>
      <c r="H16508">
        <v>143567262</v>
      </c>
      <c r="I16508">
        <v>143567343</v>
      </c>
    </row>
    <row r="16509" spans="1:9" x14ac:dyDescent="0.2">
      <c r="A16509" s="1" t="str">
        <f>"SLC9B1"</f>
        <v>SLC9B1</v>
      </c>
      <c r="B16509" t="s">
        <v>14</v>
      </c>
      <c r="C16509" t="s">
        <v>23</v>
      </c>
      <c r="D16509" t="s">
        <v>11</v>
      </c>
      <c r="E16509" t="s">
        <v>12</v>
      </c>
      <c r="F16509">
        <v>103940791</v>
      </c>
      <c r="G16509">
        <v>103940883</v>
      </c>
      <c r="H16509">
        <v>103940957</v>
      </c>
      <c r="I16509">
        <v>103940968</v>
      </c>
    </row>
    <row r="16510" spans="1:9" x14ac:dyDescent="0.2">
      <c r="A16510" s="1" t="str">
        <f>"SLC9B2"</f>
        <v>SLC9B2</v>
      </c>
      <c r="B16510" t="s">
        <v>14</v>
      </c>
      <c r="C16510" t="s">
        <v>23</v>
      </c>
      <c r="D16510" t="s">
        <v>11</v>
      </c>
      <c r="E16510" t="s">
        <v>12</v>
      </c>
      <c r="F16510">
        <v>103997862</v>
      </c>
      <c r="G16510">
        <v>103997941</v>
      </c>
      <c r="H16510">
        <v>103997455</v>
      </c>
      <c r="I16510">
        <v>103997529</v>
      </c>
    </row>
    <row r="16511" spans="1:9" x14ac:dyDescent="0.2">
      <c r="A16511" s="1" t="str">
        <f>"SLC9C1"</f>
        <v>SLC9C1</v>
      </c>
      <c r="B16511" t="s">
        <v>14</v>
      </c>
      <c r="C16511" t="s">
        <v>22</v>
      </c>
      <c r="D16511" t="s">
        <v>11</v>
      </c>
      <c r="E16511" t="s">
        <v>12</v>
      </c>
      <c r="F16511">
        <v>112013028</v>
      </c>
      <c r="G16511">
        <v>112013069</v>
      </c>
      <c r="H16511">
        <v>112013071</v>
      </c>
      <c r="I16511">
        <v>112013086</v>
      </c>
    </row>
    <row r="16512" spans="1:9" x14ac:dyDescent="0.2">
      <c r="A16512" s="1" t="str">
        <f>"SLC9C2"</f>
        <v>SLC9C2</v>
      </c>
      <c r="B16512" t="s">
        <v>14</v>
      </c>
      <c r="C16512" t="s">
        <v>19</v>
      </c>
      <c r="D16512" t="s">
        <v>11</v>
      </c>
      <c r="E16512" t="s">
        <v>12</v>
      </c>
      <c r="F16512">
        <v>173572181</v>
      </c>
      <c r="G16512">
        <v>173572216</v>
      </c>
      <c r="H16512">
        <v>173572167</v>
      </c>
      <c r="I16512">
        <v>173572180</v>
      </c>
    </row>
    <row r="16513" spans="1:9" x14ac:dyDescent="0.2">
      <c r="A16513" s="1" t="str">
        <f>"SLCO1A2"</f>
        <v>SLCO1A2</v>
      </c>
      <c r="B16513" t="s">
        <v>14</v>
      </c>
      <c r="C16513" t="s">
        <v>16</v>
      </c>
      <c r="D16513" t="s">
        <v>11</v>
      </c>
      <c r="E16513" t="s">
        <v>12</v>
      </c>
      <c r="F16513">
        <v>21477647</v>
      </c>
      <c r="G16513">
        <v>21477702</v>
      </c>
      <c r="H16513">
        <v>21477601</v>
      </c>
      <c r="I16513">
        <v>21477623</v>
      </c>
    </row>
    <row r="16514" spans="1:9" x14ac:dyDescent="0.2">
      <c r="A16514" s="1" t="str">
        <f>"SLCO1B1"</f>
        <v>SLCO1B1</v>
      </c>
      <c r="B16514" t="s">
        <v>14</v>
      </c>
      <c r="C16514" t="s">
        <v>16</v>
      </c>
      <c r="D16514" t="s">
        <v>17</v>
      </c>
      <c r="E16514" t="s">
        <v>12</v>
      </c>
      <c r="F16514">
        <v>21284118</v>
      </c>
      <c r="G16514">
        <v>21284146</v>
      </c>
      <c r="H16514">
        <v>21284105</v>
      </c>
      <c r="I16514">
        <v>21284114</v>
      </c>
    </row>
    <row r="16515" spans="1:9" x14ac:dyDescent="0.2">
      <c r="A16515" s="1" t="str">
        <f>"SLCO1B3"</f>
        <v>SLCO1B3</v>
      </c>
      <c r="B16515" t="s">
        <v>14</v>
      </c>
      <c r="C16515" t="s">
        <v>16</v>
      </c>
      <c r="D16515" t="s">
        <v>17</v>
      </c>
      <c r="E16515" t="s">
        <v>12</v>
      </c>
      <c r="F16515">
        <v>20963632</v>
      </c>
      <c r="G16515">
        <v>20963645</v>
      </c>
      <c r="H16515">
        <v>20963632</v>
      </c>
      <c r="I16515">
        <v>20963645</v>
      </c>
    </row>
    <row r="16516" spans="1:9" x14ac:dyDescent="0.2">
      <c r="A16516" s="1" t="str">
        <f>"SLCO1B7"</f>
        <v>SLCO1B7</v>
      </c>
      <c r="B16516" t="s">
        <v>1555</v>
      </c>
      <c r="C16516" t="s">
        <v>16</v>
      </c>
      <c r="D16516" t="s">
        <v>17</v>
      </c>
      <c r="E16516" t="s">
        <v>20</v>
      </c>
      <c r="F16516">
        <v>20968672</v>
      </c>
      <c r="G16516">
        <v>20968672</v>
      </c>
      <c r="H16516">
        <v>20968672</v>
      </c>
      <c r="I16516">
        <v>20968672</v>
      </c>
    </row>
    <row r="16517" spans="1:9" x14ac:dyDescent="0.2">
      <c r="A16517" s="1" t="str">
        <f>"SLCO1C1"</f>
        <v>SLCO1C1</v>
      </c>
      <c r="B16517" t="s">
        <v>14</v>
      </c>
      <c r="C16517" t="s">
        <v>16</v>
      </c>
      <c r="D16517" t="s">
        <v>17</v>
      </c>
      <c r="E16517" t="s">
        <v>12</v>
      </c>
      <c r="F16517">
        <v>20848486</v>
      </c>
      <c r="G16517">
        <v>20848542</v>
      </c>
      <c r="H16517">
        <v>20848404</v>
      </c>
      <c r="I16517">
        <v>20848452</v>
      </c>
    </row>
    <row r="16518" spans="1:9" x14ac:dyDescent="0.2">
      <c r="A16518" s="1" t="str">
        <f>"SLCO2A1"</f>
        <v>SLCO2A1</v>
      </c>
      <c r="B16518" t="s">
        <v>14</v>
      </c>
      <c r="C16518" t="s">
        <v>22</v>
      </c>
      <c r="D16518" t="s">
        <v>11</v>
      </c>
      <c r="E16518" t="s">
        <v>12</v>
      </c>
      <c r="F16518">
        <v>133748762</v>
      </c>
      <c r="G16518">
        <v>133748778</v>
      </c>
      <c r="H16518">
        <v>133748913</v>
      </c>
      <c r="I16518">
        <v>133748927</v>
      </c>
    </row>
    <row r="16519" spans="1:9" x14ac:dyDescent="0.2">
      <c r="A16519" s="1" t="str">
        <f>"SLCO2B1"</f>
        <v>SLCO2B1</v>
      </c>
      <c r="B16519" t="s">
        <v>14</v>
      </c>
      <c r="C16519" t="s">
        <v>27</v>
      </c>
      <c r="D16519" t="s">
        <v>17</v>
      </c>
      <c r="E16519" t="s">
        <v>12</v>
      </c>
      <c r="F16519">
        <v>74862140</v>
      </c>
      <c r="G16519">
        <v>74862159</v>
      </c>
      <c r="H16519">
        <v>74862100</v>
      </c>
      <c r="I16519">
        <v>74862137</v>
      </c>
    </row>
    <row r="16520" spans="1:9" x14ac:dyDescent="0.2">
      <c r="A16520" s="1" t="str">
        <f>"SLCO3A1"</f>
        <v>SLCO3A1</v>
      </c>
      <c r="B16520" t="s">
        <v>14</v>
      </c>
      <c r="C16520" t="s">
        <v>25</v>
      </c>
      <c r="D16520" t="s">
        <v>17</v>
      </c>
      <c r="E16520" t="s">
        <v>12</v>
      </c>
      <c r="F16520">
        <v>92396920</v>
      </c>
      <c r="G16520">
        <v>92396987</v>
      </c>
      <c r="H16520">
        <v>92396920</v>
      </c>
      <c r="I16520">
        <v>92396987</v>
      </c>
    </row>
    <row r="16521" spans="1:9" x14ac:dyDescent="0.2">
      <c r="A16521" s="1" t="str">
        <f>"SLCO4A1"</f>
        <v>SLCO4A1</v>
      </c>
      <c r="B16521" t="s">
        <v>14</v>
      </c>
      <c r="C16521" t="s">
        <v>29</v>
      </c>
      <c r="D16521" t="s">
        <v>17</v>
      </c>
      <c r="E16521" t="s">
        <v>12</v>
      </c>
      <c r="F16521">
        <v>61273844</v>
      </c>
      <c r="G16521">
        <v>61273862</v>
      </c>
      <c r="H16521">
        <v>61273815</v>
      </c>
      <c r="I16521">
        <v>61273833</v>
      </c>
    </row>
    <row r="16522" spans="1:9" x14ac:dyDescent="0.2">
      <c r="A16522" s="1" t="str">
        <f>"SLCO4C1"</f>
        <v>SLCO4C1</v>
      </c>
      <c r="B16522" t="s">
        <v>14</v>
      </c>
      <c r="C16522" t="s">
        <v>46</v>
      </c>
      <c r="D16522" t="s">
        <v>11</v>
      </c>
      <c r="E16522" t="s">
        <v>12</v>
      </c>
      <c r="F16522">
        <v>101631964</v>
      </c>
      <c r="G16522">
        <v>101632029</v>
      </c>
      <c r="H16522">
        <v>101632137</v>
      </c>
      <c r="I16522">
        <v>101632152</v>
      </c>
    </row>
    <row r="16523" spans="1:9" x14ac:dyDescent="0.2">
      <c r="A16523" s="1" t="str">
        <f>"SLCO5A1"</f>
        <v>SLCO5A1</v>
      </c>
      <c r="B16523" t="s">
        <v>9</v>
      </c>
      <c r="C16523" t="s">
        <v>30</v>
      </c>
      <c r="D16523" t="s">
        <v>11</v>
      </c>
      <c r="E16523" t="s">
        <v>12</v>
      </c>
      <c r="F16523">
        <v>70745575</v>
      </c>
      <c r="G16523">
        <v>70745596</v>
      </c>
      <c r="H16523">
        <v>70745575</v>
      </c>
      <c r="I16523">
        <v>70745596</v>
      </c>
    </row>
    <row r="16524" spans="1:9" x14ac:dyDescent="0.2">
      <c r="A16524" s="1" t="str">
        <f>"SLCO5A1"</f>
        <v>SLCO5A1</v>
      </c>
      <c r="B16524" t="s">
        <v>13</v>
      </c>
      <c r="C16524" t="s">
        <v>30</v>
      </c>
      <c r="D16524" t="s">
        <v>11</v>
      </c>
      <c r="E16524" t="s">
        <v>12</v>
      </c>
      <c r="F16524">
        <v>70747205</v>
      </c>
      <c r="G16524">
        <v>70747221</v>
      </c>
      <c r="H16524">
        <v>70747205</v>
      </c>
      <c r="I16524">
        <v>70747221</v>
      </c>
    </row>
    <row r="16525" spans="1:9" x14ac:dyDescent="0.2">
      <c r="A16525" s="1" t="str">
        <f>"SLCO6A1"</f>
        <v>SLCO6A1</v>
      </c>
      <c r="B16525" t="s">
        <v>14</v>
      </c>
      <c r="C16525" t="s">
        <v>46</v>
      </c>
      <c r="D16525" t="s">
        <v>11</v>
      </c>
      <c r="E16525" t="s">
        <v>12</v>
      </c>
      <c r="F16525">
        <v>101834686</v>
      </c>
      <c r="G16525">
        <v>101834710</v>
      </c>
      <c r="H16525">
        <v>101834712</v>
      </c>
      <c r="I16525">
        <v>101834736</v>
      </c>
    </row>
    <row r="16526" spans="1:9" x14ac:dyDescent="0.2">
      <c r="A16526" s="1" t="str">
        <f>"SLFN11"</f>
        <v>SLFN11</v>
      </c>
      <c r="B16526" t="s">
        <v>14</v>
      </c>
      <c r="C16526" t="s">
        <v>28</v>
      </c>
      <c r="D16526" t="s">
        <v>11</v>
      </c>
      <c r="E16526" t="s">
        <v>12</v>
      </c>
      <c r="F16526">
        <v>33700632</v>
      </c>
      <c r="G16526">
        <v>33700648</v>
      </c>
      <c r="H16526">
        <v>33700732</v>
      </c>
      <c r="I16526">
        <v>33700739</v>
      </c>
    </row>
    <row r="16527" spans="1:9" x14ac:dyDescent="0.2">
      <c r="A16527" s="1" t="str">
        <f>"SLFN12"</f>
        <v>SLFN12</v>
      </c>
      <c r="B16527" t="s">
        <v>14</v>
      </c>
      <c r="C16527" t="s">
        <v>28</v>
      </c>
      <c r="D16527" t="s">
        <v>11</v>
      </c>
      <c r="E16527" t="s">
        <v>12</v>
      </c>
      <c r="F16527">
        <v>33760164</v>
      </c>
      <c r="G16527">
        <v>33760206</v>
      </c>
      <c r="H16527">
        <v>33759509</v>
      </c>
      <c r="I16527">
        <v>33759538</v>
      </c>
    </row>
    <row r="16528" spans="1:9" x14ac:dyDescent="0.2">
      <c r="A16528" s="1" t="str">
        <f>"SLFN12L"</f>
        <v>SLFN12L</v>
      </c>
      <c r="B16528" t="s">
        <v>14</v>
      </c>
      <c r="C16528" t="s">
        <v>28</v>
      </c>
      <c r="D16528" t="s">
        <v>11</v>
      </c>
      <c r="E16528" t="s">
        <v>12</v>
      </c>
      <c r="F16528">
        <v>33864674</v>
      </c>
      <c r="G16528">
        <v>33864722</v>
      </c>
      <c r="H16528">
        <v>33864736</v>
      </c>
      <c r="I16528">
        <v>33864769</v>
      </c>
    </row>
    <row r="16529" spans="1:9" x14ac:dyDescent="0.2">
      <c r="A16529" s="1" t="str">
        <f>"SLFN13"</f>
        <v>SLFN13</v>
      </c>
      <c r="B16529" t="s">
        <v>14</v>
      </c>
      <c r="C16529" t="s">
        <v>28</v>
      </c>
      <c r="D16529" t="s">
        <v>11</v>
      </c>
      <c r="E16529" t="s">
        <v>12</v>
      </c>
      <c r="F16529">
        <v>33775760</v>
      </c>
      <c r="G16529">
        <v>33775828</v>
      </c>
      <c r="H16529">
        <v>33775359</v>
      </c>
      <c r="I16529">
        <v>33775395</v>
      </c>
    </row>
    <row r="16530" spans="1:9" x14ac:dyDescent="0.2">
      <c r="A16530" s="1" t="str">
        <f>"SLFN14"</f>
        <v>SLFN14</v>
      </c>
      <c r="B16530" t="s">
        <v>1556</v>
      </c>
      <c r="C16530" t="s">
        <v>28</v>
      </c>
      <c r="D16530" t="s">
        <v>11</v>
      </c>
      <c r="E16530" t="s">
        <v>20</v>
      </c>
      <c r="F16530">
        <v>33885116</v>
      </c>
      <c r="G16530">
        <v>33885116</v>
      </c>
      <c r="H16530">
        <v>33885116</v>
      </c>
      <c r="I16530">
        <v>33885116</v>
      </c>
    </row>
    <row r="16531" spans="1:9" x14ac:dyDescent="0.2">
      <c r="A16531" s="1" t="str">
        <f>"SLFN5"</f>
        <v>SLFN5</v>
      </c>
      <c r="B16531" t="s">
        <v>14</v>
      </c>
      <c r="C16531" t="s">
        <v>28</v>
      </c>
      <c r="D16531" t="s">
        <v>17</v>
      </c>
      <c r="E16531" t="s">
        <v>12</v>
      </c>
      <c r="F16531">
        <v>33570082</v>
      </c>
      <c r="G16531">
        <v>33570100</v>
      </c>
      <c r="H16531">
        <v>33570082</v>
      </c>
      <c r="I16531">
        <v>33570100</v>
      </c>
    </row>
    <row r="16532" spans="1:9" x14ac:dyDescent="0.2">
      <c r="A16532" s="1" t="str">
        <f>"SLFNL1"</f>
        <v>SLFNL1</v>
      </c>
      <c r="B16532" t="s">
        <v>14</v>
      </c>
      <c r="C16532" t="s">
        <v>19</v>
      </c>
      <c r="D16532" t="s">
        <v>11</v>
      </c>
      <c r="E16532" t="s">
        <v>12</v>
      </c>
      <c r="F16532">
        <v>41487383</v>
      </c>
      <c r="G16532">
        <v>41487402</v>
      </c>
      <c r="H16532">
        <v>41487421</v>
      </c>
      <c r="I16532">
        <v>41487426</v>
      </c>
    </row>
    <row r="16533" spans="1:9" x14ac:dyDescent="0.2">
      <c r="A16533" s="1" t="str">
        <f>"SLIRP"</f>
        <v>SLIRP</v>
      </c>
      <c r="B16533" t="s">
        <v>14</v>
      </c>
      <c r="C16533" t="s">
        <v>41</v>
      </c>
      <c r="D16533" t="s">
        <v>17</v>
      </c>
      <c r="E16533" t="s">
        <v>12</v>
      </c>
      <c r="F16533">
        <v>78174420</v>
      </c>
      <c r="G16533">
        <v>78174454</v>
      </c>
      <c r="H16533">
        <v>78174420</v>
      </c>
      <c r="I16533">
        <v>78174454</v>
      </c>
    </row>
    <row r="16534" spans="1:9" x14ac:dyDescent="0.2">
      <c r="A16534" s="1" t="str">
        <f>"SLIT1"</f>
        <v>SLIT1</v>
      </c>
      <c r="B16534" t="s">
        <v>14</v>
      </c>
      <c r="C16534" t="s">
        <v>15</v>
      </c>
      <c r="D16534" t="s">
        <v>11</v>
      </c>
      <c r="E16534" t="s">
        <v>12</v>
      </c>
      <c r="F16534">
        <v>98945536</v>
      </c>
      <c r="G16534">
        <v>98945594</v>
      </c>
      <c r="H16534">
        <v>98945694</v>
      </c>
      <c r="I16534">
        <v>98945729</v>
      </c>
    </row>
    <row r="16535" spans="1:9" x14ac:dyDescent="0.2">
      <c r="A16535" s="1" t="str">
        <f>"SLIT2"</f>
        <v>SLIT2</v>
      </c>
      <c r="B16535" t="s">
        <v>14</v>
      </c>
      <c r="C16535" t="s">
        <v>23</v>
      </c>
      <c r="D16535" t="s">
        <v>17</v>
      </c>
      <c r="E16535" t="s">
        <v>12</v>
      </c>
      <c r="F16535">
        <v>20254503</v>
      </c>
      <c r="G16535">
        <v>20254519</v>
      </c>
      <c r="H16535">
        <v>20255094</v>
      </c>
      <c r="I16535">
        <v>20255118</v>
      </c>
    </row>
    <row r="16536" spans="1:9" x14ac:dyDescent="0.2">
      <c r="A16536" s="1" t="str">
        <f>"SLIT3"</f>
        <v>SLIT3</v>
      </c>
      <c r="B16536" t="s">
        <v>14</v>
      </c>
      <c r="C16536" t="s">
        <v>46</v>
      </c>
      <c r="D16536" t="s">
        <v>11</v>
      </c>
      <c r="E16536" t="s">
        <v>12</v>
      </c>
      <c r="F16536">
        <v>168728103</v>
      </c>
      <c r="G16536">
        <v>168728177</v>
      </c>
      <c r="H16536">
        <v>168727788</v>
      </c>
      <c r="I16536">
        <v>168727838</v>
      </c>
    </row>
    <row r="16537" spans="1:9" x14ac:dyDescent="0.2">
      <c r="A16537" s="1" t="str">
        <f>"SLITRK1"</f>
        <v>SLITRK1</v>
      </c>
      <c r="B16537" t="s">
        <v>14</v>
      </c>
      <c r="C16537" t="s">
        <v>39</v>
      </c>
      <c r="D16537" t="s">
        <v>11</v>
      </c>
      <c r="E16537" t="s">
        <v>12</v>
      </c>
      <c r="F16537">
        <v>84455875</v>
      </c>
      <c r="G16537">
        <v>84455890</v>
      </c>
      <c r="H16537">
        <v>84456465</v>
      </c>
      <c r="I16537">
        <v>84456491</v>
      </c>
    </row>
    <row r="16538" spans="1:9" x14ac:dyDescent="0.2">
      <c r="A16538" s="1" t="str">
        <f>"SLITRK2"</f>
        <v>SLITRK2</v>
      </c>
      <c r="B16538" t="s">
        <v>14</v>
      </c>
      <c r="C16538" t="s">
        <v>37</v>
      </c>
      <c r="D16538" t="s">
        <v>17</v>
      </c>
      <c r="E16538" t="s">
        <v>12</v>
      </c>
      <c r="F16538">
        <v>144899314</v>
      </c>
      <c r="G16538">
        <v>144899392</v>
      </c>
      <c r="H16538">
        <v>144899314</v>
      </c>
      <c r="I16538">
        <v>144899392</v>
      </c>
    </row>
    <row r="16539" spans="1:9" x14ac:dyDescent="0.2">
      <c r="A16539" s="1" t="str">
        <f>"SLITRK3"</f>
        <v>SLITRK3</v>
      </c>
      <c r="B16539" t="s">
        <v>14</v>
      </c>
      <c r="C16539" t="s">
        <v>22</v>
      </c>
      <c r="D16539" t="s">
        <v>11</v>
      </c>
      <c r="E16539" t="s">
        <v>12</v>
      </c>
      <c r="F16539">
        <v>164914157</v>
      </c>
      <c r="G16539">
        <v>164914179</v>
      </c>
      <c r="H16539">
        <v>164914157</v>
      </c>
      <c r="I16539">
        <v>164914179</v>
      </c>
    </row>
    <row r="16540" spans="1:9" x14ac:dyDescent="0.2">
      <c r="A16540" s="1" t="str">
        <f>"SLITRK4"</f>
        <v>SLITRK4</v>
      </c>
      <c r="B16540" t="s">
        <v>14</v>
      </c>
      <c r="C16540" t="s">
        <v>37</v>
      </c>
      <c r="D16540" t="s">
        <v>11</v>
      </c>
      <c r="E16540" t="s">
        <v>12</v>
      </c>
      <c r="F16540">
        <v>142723913</v>
      </c>
      <c r="G16540">
        <v>142723928</v>
      </c>
      <c r="H16540">
        <v>142723913</v>
      </c>
      <c r="I16540">
        <v>142723928</v>
      </c>
    </row>
    <row r="16541" spans="1:9" x14ac:dyDescent="0.2">
      <c r="A16541" s="1" t="str">
        <f>"SLITRK5"</f>
        <v>SLITRK5</v>
      </c>
      <c r="B16541" t="s">
        <v>9</v>
      </c>
      <c r="C16541" t="s">
        <v>39</v>
      </c>
      <c r="D16541" t="s">
        <v>17</v>
      </c>
      <c r="E16541" t="s">
        <v>12</v>
      </c>
      <c r="F16541">
        <v>88324806</v>
      </c>
      <c r="G16541">
        <v>88324832</v>
      </c>
      <c r="H16541">
        <v>88324806</v>
      </c>
      <c r="I16541">
        <v>88324832</v>
      </c>
    </row>
    <row r="16542" spans="1:9" x14ac:dyDescent="0.2">
      <c r="A16542" s="1" t="str">
        <f>"SLITRK5"</f>
        <v>SLITRK5</v>
      </c>
      <c r="B16542" t="s">
        <v>13</v>
      </c>
      <c r="C16542" t="s">
        <v>39</v>
      </c>
      <c r="D16542" t="s">
        <v>17</v>
      </c>
      <c r="E16542" t="s">
        <v>12</v>
      </c>
      <c r="F16542">
        <v>88326300</v>
      </c>
      <c r="G16542">
        <v>88326350</v>
      </c>
      <c r="H16542">
        <v>88326300</v>
      </c>
      <c r="I16542">
        <v>88326350</v>
      </c>
    </row>
    <row r="16543" spans="1:9" x14ac:dyDescent="0.2">
      <c r="A16543" s="1" t="str">
        <f>"SLITRK6"</f>
        <v>SLITRK6</v>
      </c>
      <c r="B16543" t="s">
        <v>14</v>
      </c>
      <c r="C16543" t="s">
        <v>39</v>
      </c>
      <c r="D16543" t="s">
        <v>11</v>
      </c>
      <c r="E16543" t="s">
        <v>12</v>
      </c>
      <c r="F16543">
        <v>86373510</v>
      </c>
      <c r="G16543">
        <v>86373529</v>
      </c>
      <c r="H16543">
        <v>86373536</v>
      </c>
      <c r="I16543">
        <v>86373560</v>
      </c>
    </row>
    <row r="16544" spans="1:9" x14ac:dyDescent="0.2">
      <c r="A16544" s="1" t="str">
        <f>"SLK"</f>
        <v>SLK</v>
      </c>
      <c r="B16544" t="s">
        <v>14</v>
      </c>
      <c r="C16544" t="s">
        <v>15</v>
      </c>
      <c r="D16544" t="s">
        <v>17</v>
      </c>
      <c r="E16544" t="s">
        <v>12</v>
      </c>
      <c r="F16544">
        <v>105726862</v>
      </c>
      <c r="G16544">
        <v>105726986</v>
      </c>
      <c r="H16544">
        <v>105727378</v>
      </c>
      <c r="I16544">
        <v>105727423</v>
      </c>
    </row>
    <row r="16545" spans="1:9" x14ac:dyDescent="0.2">
      <c r="A16545" s="1" t="str">
        <f>"SLMAP"</f>
        <v>SLMAP</v>
      </c>
      <c r="B16545" t="s">
        <v>14</v>
      </c>
      <c r="C16545" t="s">
        <v>22</v>
      </c>
      <c r="D16545" t="s">
        <v>17</v>
      </c>
      <c r="E16545" t="s">
        <v>12</v>
      </c>
      <c r="F16545">
        <v>57741989</v>
      </c>
      <c r="G16545">
        <v>57742045</v>
      </c>
      <c r="H16545">
        <v>57741989</v>
      </c>
      <c r="I16545">
        <v>57742045</v>
      </c>
    </row>
    <row r="16546" spans="1:9" x14ac:dyDescent="0.2">
      <c r="A16546" s="1" t="str">
        <f>"SLMO1"</f>
        <v>SLMO1</v>
      </c>
      <c r="B16546" t="s">
        <v>14</v>
      </c>
      <c r="C16546" t="s">
        <v>43</v>
      </c>
      <c r="D16546" t="s">
        <v>17</v>
      </c>
      <c r="E16546" t="s">
        <v>12</v>
      </c>
      <c r="F16546">
        <v>12407902</v>
      </c>
      <c r="G16546">
        <v>12407975</v>
      </c>
      <c r="H16546">
        <v>12407902</v>
      </c>
      <c r="I16546">
        <v>12407975</v>
      </c>
    </row>
    <row r="16547" spans="1:9" x14ac:dyDescent="0.2">
      <c r="A16547" s="1" t="str">
        <f>"SLMO2"</f>
        <v>SLMO2</v>
      </c>
      <c r="B16547" t="s">
        <v>14</v>
      </c>
      <c r="C16547" t="s">
        <v>29</v>
      </c>
      <c r="D16547" t="s">
        <v>11</v>
      </c>
      <c r="E16547" t="s">
        <v>12</v>
      </c>
      <c r="F16547">
        <v>57617831</v>
      </c>
      <c r="G16547">
        <v>57617909</v>
      </c>
      <c r="H16547">
        <v>57617803</v>
      </c>
      <c r="I16547">
        <v>57617827</v>
      </c>
    </row>
    <row r="16548" spans="1:9" x14ac:dyDescent="0.2">
      <c r="A16548" s="1" t="str">
        <f>"SLN"</f>
        <v>SLN</v>
      </c>
      <c r="B16548" t="s">
        <v>14</v>
      </c>
      <c r="C16548" t="s">
        <v>27</v>
      </c>
      <c r="D16548" t="s">
        <v>11</v>
      </c>
      <c r="E16548" t="s">
        <v>12</v>
      </c>
      <c r="F16548">
        <v>107582775</v>
      </c>
      <c r="G16548">
        <v>107582788</v>
      </c>
      <c r="H16548">
        <v>107582775</v>
      </c>
      <c r="I16548">
        <v>107582788</v>
      </c>
    </row>
    <row r="16549" spans="1:9" x14ac:dyDescent="0.2">
      <c r="A16549" s="1" t="str">
        <f>"SLPI"</f>
        <v>SLPI</v>
      </c>
      <c r="B16549" t="s">
        <v>14</v>
      </c>
      <c r="C16549" t="s">
        <v>29</v>
      </c>
      <c r="D16549" t="s">
        <v>11</v>
      </c>
      <c r="E16549" t="s">
        <v>12</v>
      </c>
      <c r="F16549">
        <v>43883197</v>
      </c>
      <c r="G16549">
        <v>43883212</v>
      </c>
      <c r="H16549">
        <v>43883197</v>
      </c>
      <c r="I16549">
        <v>43883212</v>
      </c>
    </row>
    <row r="16550" spans="1:9" x14ac:dyDescent="0.2">
      <c r="A16550" s="1" t="str">
        <f>"SLTM"</f>
        <v>SLTM</v>
      </c>
      <c r="B16550" t="s">
        <v>14</v>
      </c>
      <c r="C16550" t="s">
        <v>25</v>
      </c>
      <c r="D16550" t="s">
        <v>11</v>
      </c>
      <c r="E16550" t="s">
        <v>12</v>
      </c>
      <c r="F16550">
        <v>59225758</v>
      </c>
      <c r="G16550">
        <v>59225837</v>
      </c>
      <c r="H16550">
        <v>59225867</v>
      </c>
      <c r="I16550">
        <v>59225890</v>
      </c>
    </row>
    <row r="16551" spans="1:9" x14ac:dyDescent="0.2">
      <c r="A16551" s="1" t="str">
        <f>"SLU7"</f>
        <v>SLU7</v>
      </c>
      <c r="B16551" t="s">
        <v>14</v>
      </c>
      <c r="C16551" t="s">
        <v>46</v>
      </c>
      <c r="D16551" t="s">
        <v>11</v>
      </c>
      <c r="E16551" t="s">
        <v>12</v>
      </c>
      <c r="F16551">
        <v>159846066</v>
      </c>
      <c r="G16551">
        <v>159846095</v>
      </c>
      <c r="H16551">
        <v>159846102</v>
      </c>
      <c r="I16551">
        <v>159846109</v>
      </c>
    </row>
    <row r="16552" spans="1:9" x14ac:dyDescent="0.2">
      <c r="A16552" s="1" t="str">
        <f>"SLURP1"</f>
        <v>SLURP1</v>
      </c>
      <c r="B16552" t="s">
        <v>14</v>
      </c>
      <c r="C16552" t="s">
        <v>30</v>
      </c>
      <c r="D16552" t="s">
        <v>11</v>
      </c>
      <c r="E16552" t="s">
        <v>12</v>
      </c>
      <c r="F16552">
        <v>143823816</v>
      </c>
      <c r="G16552">
        <v>143823832</v>
      </c>
      <c r="H16552">
        <v>143823816</v>
      </c>
      <c r="I16552">
        <v>143823832</v>
      </c>
    </row>
    <row r="16553" spans="1:9" x14ac:dyDescent="0.2">
      <c r="A16553" s="1" t="str">
        <f>"SLX1A"</f>
        <v>SLX1A</v>
      </c>
      <c r="B16553" t="s">
        <v>1557</v>
      </c>
      <c r="C16553" t="s">
        <v>31</v>
      </c>
      <c r="D16553" t="s">
        <v>17</v>
      </c>
      <c r="E16553" t="s">
        <v>20</v>
      </c>
      <c r="F16553">
        <v>30205237</v>
      </c>
      <c r="G16553">
        <v>30205237</v>
      </c>
      <c r="H16553">
        <v>30205237</v>
      </c>
      <c r="I16553">
        <v>30205237</v>
      </c>
    </row>
    <row r="16554" spans="1:9" x14ac:dyDescent="0.2">
      <c r="A16554" s="1" t="str">
        <f>"SLX1B"</f>
        <v>SLX1B</v>
      </c>
      <c r="B16554" t="s">
        <v>1558</v>
      </c>
      <c r="C16554" t="s">
        <v>31</v>
      </c>
      <c r="D16554" t="s">
        <v>17</v>
      </c>
      <c r="E16554" t="s">
        <v>20</v>
      </c>
      <c r="F16554">
        <v>29465821</v>
      </c>
      <c r="G16554">
        <v>29465821</v>
      </c>
      <c r="H16554">
        <v>29465821</v>
      </c>
      <c r="I16554">
        <v>29465821</v>
      </c>
    </row>
    <row r="16555" spans="1:9" x14ac:dyDescent="0.2">
      <c r="A16555" s="1" t="str">
        <f>"SLX4"</f>
        <v>SLX4</v>
      </c>
      <c r="B16555" t="s">
        <v>14</v>
      </c>
      <c r="C16555" t="s">
        <v>31</v>
      </c>
      <c r="D16555" t="s">
        <v>11</v>
      </c>
      <c r="E16555" t="s">
        <v>12</v>
      </c>
      <c r="F16555">
        <v>3661578</v>
      </c>
      <c r="G16555">
        <v>3661618</v>
      </c>
      <c r="H16555">
        <v>3661550</v>
      </c>
      <c r="I16555">
        <v>3661563</v>
      </c>
    </row>
    <row r="16556" spans="1:9" x14ac:dyDescent="0.2">
      <c r="A16556" s="1" t="str">
        <f>"SLX4IP"</f>
        <v>SLX4IP</v>
      </c>
      <c r="B16556" t="s">
        <v>14</v>
      </c>
      <c r="C16556" t="s">
        <v>29</v>
      </c>
      <c r="D16556" t="s">
        <v>17</v>
      </c>
      <c r="E16556" t="s">
        <v>12</v>
      </c>
      <c r="F16556">
        <v>10415931</v>
      </c>
      <c r="G16556">
        <v>10416011</v>
      </c>
      <c r="H16556">
        <v>10415833</v>
      </c>
      <c r="I16556">
        <v>10415849</v>
      </c>
    </row>
    <row r="16557" spans="1:9" x14ac:dyDescent="0.2">
      <c r="A16557" s="1" t="str">
        <f>"SMAD1"</f>
        <v>SMAD1</v>
      </c>
      <c r="B16557" t="s">
        <v>14</v>
      </c>
      <c r="C16557" t="s">
        <v>23</v>
      </c>
      <c r="D16557" t="s">
        <v>17</v>
      </c>
      <c r="E16557" t="s">
        <v>12</v>
      </c>
      <c r="F16557">
        <v>146402997</v>
      </c>
      <c r="G16557">
        <v>146403020</v>
      </c>
      <c r="H16557">
        <v>146402966</v>
      </c>
      <c r="I16557">
        <v>146402985</v>
      </c>
    </row>
    <row r="16558" spans="1:9" x14ac:dyDescent="0.2">
      <c r="A16558" s="1" t="str">
        <f>"SMAD2"</f>
        <v>SMAD2</v>
      </c>
      <c r="B16558" t="s">
        <v>14</v>
      </c>
      <c r="C16558" t="s">
        <v>43</v>
      </c>
      <c r="D16558" t="s">
        <v>11</v>
      </c>
      <c r="E16558" t="s">
        <v>12</v>
      </c>
      <c r="F16558">
        <v>45457192</v>
      </c>
      <c r="G16558">
        <v>45457278</v>
      </c>
      <c r="H16558">
        <v>45456930</v>
      </c>
      <c r="I16558">
        <v>45456967</v>
      </c>
    </row>
    <row r="16559" spans="1:9" x14ac:dyDescent="0.2">
      <c r="A16559" s="1" t="str">
        <f>"SMAD3"</f>
        <v>SMAD3</v>
      </c>
      <c r="B16559" t="s">
        <v>14</v>
      </c>
      <c r="C16559" t="s">
        <v>25</v>
      </c>
      <c r="D16559" t="s">
        <v>17</v>
      </c>
      <c r="E16559" t="s">
        <v>12</v>
      </c>
      <c r="F16559">
        <v>67358163</v>
      </c>
      <c r="G16559">
        <v>67358192</v>
      </c>
      <c r="H16559">
        <v>67357924</v>
      </c>
      <c r="I16559">
        <v>67357952</v>
      </c>
    </row>
    <row r="16560" spans="1:9" x14ac:dyDescent="0.2">
      <c r="A16560" s="1" t="str">
        <f>"SMAD4"</f>
        <v>SMAD4</v>
      </c>
      <c r="B16560" t="s">
        <v>14</v>
      </c>
      <c r="C16560" t="s">
        <v>43</v>
      </c>
      <c r="D16560" t="s">
        <v>17</v>
      </c>
      <c r="E16560" t="s">
        <v>12</v>
      </c>
      <c r="F16560">
        <v>48556573</v>
      </c>
      <c r="G16560">
        <v>48556640</v>
      </c>
      <c r="H16560">
        <v>48556573</v>
      </c>
      <c r="I16560">
        <v>48556640</v>
      </c>
    </row>
    <row r="16561" spans="1:9" x14ac:dyDescent="0.2">
      <c r="A16561" s="1" t="str">
        <f>"SMAD5"</f>
        <v>SMAD5</v>
      </c>
      <c r="B16561" t="s">
        <v>14</v>
      </c>
      <c r="C16561" t="s">
        <v>46</v>
      </c>
      <c r="D16561" t="s">
        <v>17</v>
      </c>
      <c r="E16561" t="s">
        <v>12</v>
      </c>
      <c r="F16561">
        <v>135468516</v>
      </c>
      <c r="G16561">
        <v>135468621</v>
      </c>
      <c r="H16561">
        <v>135468516</v>
      </c>
      <c r="I16561">
        <v>135468621</v>
      </c>
    </row>
    <row r="16562" spans="1:9" x14ac:dyDescent="0.2">
      <c r="A16562" s="1" t="str">
        <f>"SMAD6"</f>
        <v>SMAD6</v>
      </c>
      <c r="B16562" t="s">
        <v>14</v>
      </c>
      <c r="C16562" t="s">
        <v>25</v>
      </c>
      <c r="D16562" t="s">
        <v>17</v>
      </c>
      <c r="E16562" t="s">
        <v>12</v>
      </c>
      <c r="F16562">
        <v>66994663</v>
      </c>
      <c r="G16562">
        <v>66994680</v>
      </c>
      <c r="H16562">
        <v>66994561</v>
      </c>
      <c r="I16562">
        <v>66994597</v>
      </c>
    </row>
    <row r="16563" spans="1:9" x14ac:dyDescent="0.2">
      <c r="A16563" s="1" t="str">
        <f>"SMAD7"</f>
        <v>SMAD7</v>
      </c>
      <c r="B16563" t="s">
        <v>14</v>
      </c>
      <c r="C16563" t="s">
        <v>43</v>
      </c>
      <c r="D16563" t="s">
        <v>11</v>
      </c>
      <c r="E16563" t="s">
        <v>12</v>
      </c>
      <c r="F16563">
        <v>46475696</v>
      </c>
      <c r="G16563">
        <v>46475713</v>
      </c>
      <c r="H16563">
        <v>46475696</v>
      </c>
      <c r="I16563">
        <v>46475713</v>
      </c>
    </row>
    <row r="16564" spans="1:9" x14ac:dyDescent="0.2">
      <c r="A16564" s="1" t="str">
        <f>"SMAD9"</f>
        <v>SMAD9</v>
      </c>
      <c r="B16564" t="s">
        <v>14</v>
      </c>
      <c r="C16564" t="s">
        <v>39</v>
      </c>
      <c r="D16564" t="s">
        <v>11</v>
      </c>
      <c r="E16564" t="s">
        <v>12</v>
      </c>
      <c r="F16564">
        <v>37494365</v>
      </c>
      <c r="G16564">
        <v>37494381</v>
      </c>
      <c r="H16564">
        <v>37494275</v>
      </c>
      <c r="I16564">
        <v>37494304</v>
      </c>
    </row>
    <row r="16565" spans="1:9" x14ac:dyDescent="0.2">
      <c r="A16565" s="1" t="str">
        <f>"SMAGP"</f>
        <v>SMAGP</v>
      </c>
      <c r="B16565" t="s">
        <v>14</v>
      </c>
      <c r="C16565" t="s">
        <v>16</v>
      </c>
      <c r="D16565" t="s">
        <v>11</v>
      </c>
      <c r="E16565" t="s">
        <v>12</v>
      </c>
      <c r="F16565">
        <v>51664135</v>
      </c>
      <c r="G16565">
        <v>51664216</v>
      </c>
      <c r="H16565">
        <v>51664058</v>
      </c>
      <c r="I16565">
        <v>51664075</v>
      </c>
    </row>
    <row r="16566" spans="1:9" x14ac:dyDescent="0.2">
      <c r="A16566" s="1" t="str">
        <f>"SMAP1"</f>
        <v>SMAP1</v>
      </c>
      <c r="B16566" t="s">
        <v>14</v>
      </c>
      <c r="C16566" t="s">
        <v>32</v>
      </c>
      <c r="D16566" t="s">
        <v>17</v>
      </c>
      <c r="E16566" t="s">
        <v>12</v>
      </c>
      <c r="F16566">
        <v>71377567</v>
      </c>
      <c r="G16566">
        <v>71377632</v>
      </c>
      <c r="H16566">
        <v>71377473</v>
      </c>
      <c r="I16566">
        <v>71377520</v>
      </c>
    </row>
    <row r="16567" spans="1:9" x14ac:dyDescent="0.2">
      <c r="A16567" s="1" t="str">
        <f>"SMAP2"</f>
        <v>SMAP2</v>
      </c>
      <c r="B16567" t="s">
        <v>9</v>
      </c>
      <c r="C16567" t="s">
        <v>19</v>
      </c>
      <c r="D16567" t="s">
        <v>17</v>
      </c>
      <c r="E16567" t="s">
        <v>12</v>
      </c>
      <c r="F16567">
        <v>40839369</v>
      </c>
      <c r="G16567">
        <v>40839449</v>
      </c>
      <c r="H16567">
        <v>40839369</v>
      </c>
      <c r="I16567">
        <v>40839449</v>
      </c>
    </row>
    <row r="16568" spans="1:9" x14ac:dyDescent="0.2">
      <c r="A16568" s="1" t="str">
        <f>"SMAP2"</f>
        <v>SMAP2</v>
      </c>
      <c r="B16568" t="s">
        <v>13</v>
      </c>
      <c r="C16568" t="s">
        <v>19</v>
      </c>
      <c r="D16568" t="s">
        <v>17</v>
      </c>
      <c r="E16568" t="s">
        <v>12</v>
      </c>
      <c r="F16568">
        <v>40810464</v>
      </c>
      <c r="G16568">
        <v>40810514</v>
      </c>
      <c r="H16568">
        <v>40810464</v>
      </c>
      <c r="I16568">
        <v>40810514</v>
      </c>
    </row>
    <row r="16569" spans="1:9" x14ac:dyDescent="0.2">
      <c r="A16569" s="1" t="str">
        <f>"SMARCA1"</f>
        <v>SMARCA1</v>
      </c>
      <c r="B16569" t="s">
        <v>14</v>
      </c>
      <c r="C16569" t="s">
        <v>37</v>
      </c>
      <c r="D16569" t="s">
        <v>11</v>
      </c>
      <c r="E16569" t="s">
        <v>12</v>
      </c>
      <c r="F16569">
        <v>128657457</v>
      </c>
      <c r="G16569">
        <v>128657475</v>
      </c>
      <c r="H16569">
        <v>128657413</v>
      </c>
      <c r="I16569">
        <v>128657456</v>
      </c>
    </row>
    <row r="16570" spans="1:9" x14ac:dyDescent="0.2">
      <c r="A16570" s="1" t="str">
        <f>"SMARCA2"</f>
        <v>SMARCA2</v>
      </c>
      <c r="B16570" t="s">
        <v>14</v>
      </c>
      <c r="C16570" t="s">
        <v>24</v>
      </c>
      <c r="D16570" t="s">
        <v>17</v>
      </c>
      <c r="E16570" t="s">
        <v>12</v>
      </c>
      <c r="F16570">
        <v>2015335</v>
      </c>
      <c r="G16570">
        <v>2015370</v>
      </c>
      <c r="H16570">
        <v>2015335</v>
      </c>
      <c r="I16570">
        <v>2015370</v>
      </c>
    </row>
    <row r="16571" spans="1:9" x14ac:dyDescent="0.2">
      <c r="A16571" s="1" t="str">
        <f>"SMARCA4"</f>
        <v>SMARCA4</v>
      </c>
      <c r="B16571" t="s">
        <v>14</v>
      </c>
      <c r="C16571" t="s">
        <v>10</v>
      </c>
      <c r="D16571" t="s">
        <v>17</v>
      </c>
      <c r="E16571" t="s">
        <v>12</v>
      </c>
      <c r="F16571">
        <v>11071685</v>
      </c>
      <c r="G16571">
        <v>11071798</v>
      </c>
      <c r="H16571">
        <v>11071546</v>
      </c>
      <c r="I16571">
        <v>11071624</v>
      </c>
    </row>
    <row r="16572" spans="1:9" x14ac:dyDescent="0.2">
      <c r="A16572" s="1" t="str">
        <f>"SMARCA5"</f>
        <v>SMARCA5</v>
      </c>
      <c r="B16572" t="s">
        <v>14</v>
      </c>
      <c r="C16572" t="s">
        <v>23</v>
      </c>
      <c r="D16572" t="s">
        <v>17</v>
      </c>
      <c r="E16572" t="s">
        <v>12</v>
      </c>
      <c r="F16572">
        <v>144434814</v>
      </c>
      <c r="G16572">
        <v>144434932</v>
      </c>
      <c r="H16572">
        <v>144434584</v>
      </c>
      <c r="I16572">
        <v>144434709</v>
      </c>
    </row>
    <row r="16573" spans="1:9" x14ac:dyDescent="0.2">
      <c r="A16573" s="1" t="str">
        <f>"SMARCAD1"</f>
        <v>SMARCAD1</v>
      </c>
      <c r="B16573" t="s">
        <v>14</v>
      </c>
      <c r="C16573" t="s">
        <v>23</v>
      </c>
      <c r="D16573" t="s">
        <v>17</v>
      </c>
      <c r="E16573" t="s">
        <v>12</v>
      </c>
      <c r="F16573">
        <v>95128748</v>
      </c>
      <c r="G16573">
        <v>95128794</v>
      </c>
      <c r="H16573">
        <v>95128999</v>
      </c>
      <c r="I16573">
        <v>95129056</v>
      </c>
    </row>
    <row r="16574" spans="1:9" x14ac:dyDescent="0.2">
      <c r="A16574" s="1" t="str">
        <f>"SMARCAL1"</f>
        <v>SMARCAL1</v>
      </c>
      <c r="B16574" t="s">
        <v>14</v>
      </c>
      <c r="C16574" t="s">
        <v>26</v>
      </c>
      <c r="D16574" t="s">
        <v>17</v>
      </c>
      <c r="E16574" t="s">
        <v>12</v>
      </c>
      <c r="F16574">
        <v>217277169</v>
      </c>
      <c r="G16574">
        <v>217277266</v>
      </c>
      <c r="H16574">
        <v>217277480</v>
      </c>
      <c r="I16574">
        <v>217277505</v>
      </c>
    </row>
    <row r="16575" spans="1:9" x14ac:dyDescent="0.2">
      <c r="A16575" s="1" t="str">
        <f>"SMARCB1"</f>
        <v>SMARCB1</v>
      </c>
      <c r="B16575" t="s">
        <v>9</v>
      </c>
      <c r="C16575" t="s">
        <v>21</v>
      </c>
      <c r="D16575" t="s">
        <v>17</v>
      </c>
      <c r="E16575" t="s">
        <v>12</v>
      </c>
      <c r="F16575">
        <v>24129138</v>
      </c>
      <c r="G16575">
        <v>24129201</v>
      </c>
      <c r="H16575">
        <v>24129138</v>
      </c>
      <c r="I16575">
        <v>24129201</v>
      </c>
    </row>
    <row r="16576" spans="1:9" x14ac:dyDescent="0.2">
      <c r="A16576" s="1" t="str">
        <f>"SMARCB1"</f>
        <v>SMARCB1</v>
      </c>
      <c r="B16576" t="s">
        <v>13</v>
      </c>
      <c r="C16576" t="s">
        <v>21</v>
      </c>
      <c r="D16576" t="s">
        <v>17</v>
      </c>
      <c r="E16576" t="s">
        <v>12</v>
      </c>
      <c r="F16576">
        <v>24133941</v>
      </c>
      <c r="G16576">
        <v>24133952</v>
      </c>
      <c r="H16576">
        <v>24133941</v>
      </c>
      <c r="I16576">
        <v>24133952</v>
      </c>
    </row>
    <row r="16577" spans="1:9" x14ac:dyDescent="0.2">
      <c r="A16577" s="1" t="str">
        <f>"SMARCC1"</f>
        <v>SMARCC1</v>
      </c>
      <c r="B16577" t="s">
        <v>14</v>
      </c>
      <c r="C16577" t="s">
        <v>22</v>
      </c>
      <c r="D16577" t="s">
        <v>11</v>
      </c>
      <c r="E16577" t="s">
        <v>12</v>
      </c>
      <c r="F16577">
        <v>47823298</v>
      </c>
      <c r="G16577">
        <v>47823423</v>
      </c>
      <c r="H16577">
        <v>47823298</v>
      </c>
      <c r="I16577">
        <v>47823423</v>
      </c>
    </row>
    <row r="16578" spans="1:9" x14ac:dyDescent="0.2">
      <c r="A16578" s="1" t="str">
        <f>"SMARCC2"</f>
        <v>SMARCC2</v>
      </c>
      <c r="B16578" t="s">
        <v>14</v>
      </c>
      <c r="C16578" t="s">
        <v>16</v>
      </c>
      <c r="D16578" t="s">
        <v>11</v>
      </c>
      <c r="E16578" t="s">
        <v>12</v>
      </c>
      <c r="F16578">
        <v>56583243</v>
      </c>
      <c r="G16578">
        <v>56583293</v>
      </c>
      <c r="H16578">
        <v>56583371</v>
      </c>
      <c r="I16578">
        <v>56583394</v>
      </c>
    </row>
    <row r="16579" spans="1:9" x14ac:dyDescent="0.2">
      <c r="A16579" s="1" t="str">
        <f>"SMARCD1"</f>
        <v>SMARCD1</v>
      </c>
      <c r="B16579" t="s">
        <v>14</v>
      </c>
      <c r="C16579" t="s">
        <v>16</v>
      </c>
      <c r="D16579" t="s">
        <v>17</v>
      </c>
      <c r="E16579" t="s">
        <v>12</v>
      </c>
      <c r="F16579">
        <v>50478977</v>
      </c>
      <c r="G16579">
        <v>50479040</v>
      </c>
      <c r="H16579">
        <v>50479109</v>
      </c>
      <c r="I16579">
        <v>50479146</v>
      </c>
    </row>
    <row r="16580" spans="1:9" x14ac:dyDescent="0.2">
      <c r="A16580" s="1" t="str">
        <f>"SMARCD2"</f>
        <v>SMARCD2</v>
      </c>
      <c r="B16580" t="s">
        <v>14</v>
      </c>
      <c r="C16580" t="s">
        <v>28</v>
      </c>
      <c r="D16580" t="s">
        <v>11</v>
      </c>
      <c r="E16580" t="s">
        <v>12</v>
      </c>
      <c r="F16580">
        <v>61920023</v>
      </c>
      <c r="G16580">
        <v>61920110</v>
      </c>
      <c r="H16580">
        <v>61920280</v>
      </c>
      <c r="I16580">
        <v>61920343</v>
      </c>
    </row>
    <row r="16581" spans="1:9" x14ac:dyDescent="0.2">
      <c r="A16581" s="1" t="str">
        <f>"SMARCD3"</f>
        <v>SMARCD3</v>
      </c>
      <c r="B16581" t="s">
        <v>9</v>
      </c>
      <c r="C16581" t="s">
        <v>33</v>
      </c>
      <c r="D16581" t="s">
        <v>11</v>
      </c>
      <c r="E16581" t="s">
        <v>12</v>
      </c>
      <c r="F16581">
        <v>150974206</v>
      </c>
      <c r="G16581">
        <v>150974255</v>
      </c>
      <c r="H16581">
        <v>150974206</v>
      </c>
      <c r="I16581">
        <v>150974255</v>
      </c>
    </row>
    <row r="16582" spans="1:9" x14ac:dyDescent="0.2">
      <c r="A16582" s="1" t="str">
        <f>"SMARCD3"</f>
        <v>SMARCD3</v>
      </c>
      <c r="B16582" t="s">
        <v>13</v>
      </c>
      <c r="C16582" t="s">
        <v>33</v>
      </c>
      <c r="D16582" t="s">
        <v>11</v>
      </c>
      <c r="E16582" t="s">
        <v>12</v>
      </c>
      <c r="F16582">
        <v>150945754</v>
      </c>
      <c r="G16582">
        <v>150945789</v>
      </c>
      <c r="H16582">
        <v>150945754</v>
      </c>
      <c r="I16582">
        <v>150945789</v>
      </c>
    </row>
    <row r="16583" spans="1:9" x14ac:dyDescent="0.2">
      <c r="A16583" s="1" t="str">
        <f>"SMARCE1"</f>
        <v>SMARCE1</v>
      </c>
      <c r="B16583" t="s">
        <v>14</v>
      </c>
      <c r="C16583" t="s">
        <v>28</v>
      </c>
      <c r="D16583" t="s">
        <v>11</v>
      </c>
      <c r="E16583" t="s">
        <v>12</v>
      </c>
      <c r="F16583">
        <v>38804061</v>
      </c>
      <c r="G16583">
        <v>38804112</v>
      </c>
      <c r="H16583">
        <v>38804061</v>
      </c>
      <c r="I16583">
        <v>38804112</v>
      </c>
    </row>
    <row r="16584" spans="1:9" x14ac:dyDescent="0.2">
      <c r="A16584" s="1" t="str">
        <f>"SMC1A"</f>
        <v>SMC1A</v>
      </c>
      <c r="B16584" t="s">
        <v>14</v>
      </c>
      <c r="C16584" t="s">
        <v>37</v>
      </c>
      <c r="D16584" t="s">
        <v>11</v>
      </c>
      <c r="E16584" t="s">
        <v>12</v>
      </c>
      <c r="F16584">
        <v>53449593</v>
      </c>
      <c r="G16584">
        <v>53449639</v>
      </c>
      <c r="H16584">
        <v>53449593</v>
      </c>
      <c r="I16584">
        <v>53449639</v>
      </c>
    </row>
    <row r="16585" spans="1:9" x14ac:dyDescent="0.2">
      <c r="A16585" s="1" t="str">
        <f>"SMC1B"</f>
        <v>SMC1B</v>
      </c>
      <c r="B16585" t="s">
        <v>14</v>
      </c>
      <c r="C16585" t="s">
        <v>21</v>
      </c>
      <c r="D16585" t="s">
        <v>11</v>
      </c>
      <c r="E16585" t="s">
        <v>12</v>
      </c>
      <c r="F16585">
        <v>45809465</v>
      </c>
      <c r="G16585">
        <v>45809492</v>
      </c>
      <c r="H16585">
        <v>45809495</v>
      </c>
      <c r="I16585">
        <v>45809506</v>
      </c>
    </row>
    <row r="16586" spans="1:9" x14ac:dyDescent="0.2">
      <c r="A16586" s="1" t="str">
        <f>"SMC2"</f>
        <v>SMC2</v>
      </c>
      <c r="B16586" t="s">
        <v>14</v>
      </c>
      <c r="C16586" t="s">
        <v>24</v>
      </c>
      <c r="D16586" t="s">
        <v>17</v>
      </c>
      <c r="E16586" t="s">
        <v>12</v>
      </c>
      <c r="F16586">
        <v>106856558</v>
      </c>
      <c r="G16586">
        <v>106856634</v>
      </c>
      <c r="H16586">
        <v>106856838</v>
      </c>
      <c r="I16586">
        <v>106856920</v>
      </c>
    </row>
    <row r="16587" spans="1:9" x14ac:dyDescent="0.2">
      <c r="A16587" s="1" t="str">
        <f>"SMC3"</f>
        <v>SMC3</v>
      </c>
      <c r="B16587" t="s">
        <v>14</v>
      </c>
      <c r="C16587" t="s">
        <v>15</v>
      </c>
      <c r="D16587" t="s">
        <v>17</v>
      </c>
      <c r="E16587" t="s">
        <v>12</v>
      </c>
      <c r="F16587">
        <v>112327425</v>
      </c>
      <c r="G16587">
        <v>112327516</v>
      </c>
      <c r="H16587">
        <v>112327528</v>
      </c>
      <c r="I16587">
        <v>112327539</v>
      </c>
    </row>
    <row r="16588" spans="1:9" x14ac:dyDescent="0.2">
      <c r="A16588" s="1" t="str">
        <f>"SMC4"</f>
        <v>SMC4</v>
      </c>
      <c r="B16588" t="s">
        <v>9</v>
      </c>
      <c r="C16588" t="s">
        <v>22</v>
      </c>
      <c r="D16588" t="s">
        <v>17</v>
      </c>
      <c r="E16588" t="s">
        <v>12</v>
      </c>
      <c r="F16588">
        <v>160117418</v>
      </c>
      <c r="G16588">
        <v>160117463</v>
      </c>
      <c r="H16588">
        <v>160117418</v>
      </c>
      <c r="I16588">
        <v>160117463</v>
      </c>
    </row>
    <row r="16589" spans="1:9" x14ac:dyDescent="0.2">
      <c r="A16589" s="1" t="str">
        <f>"SMC4"</f>
        <v>SMC4</v>
      </c>
      <c r="B16589" t="s">
        <v>13</v>
      </c>
      <c r="C16589" t="s">
        <v>22</v>
      </c>
      <c r="D16589" t="s">
        <v>17</v>
      </c>
      <c r="E16589" t="s">
        <v>12</v>
      </c>
      <c r="F16589">
        <v>160122115</v>
      </c>
      <c r="G16589">
        <v>160122187</v>
      </c>
      <c r="H16589">
        <v>160122115</v>
      </c>
      <c r="I16589">
        <v>160122187</v>
      </c>
    </row>
    <row r="16590" spans="1:9" x14ac:dyDescent="0.2">
      <c r="A16590" s="1" t="str">
        <f>"SMC5"</f>
        <v>SMC5</v>
      </c>
      <c r="B16590" t="s">
        <v>14</v>
      </c>
      <c r="C16590" t="s">
        <v>24</v>
      </c>
      <c r="D16590" t="s">
        <v>17</v>
      </c>
      <c r="E16590" t="s">
        <v>12</v>
      </c>
      <c r="F16590">
        <v>72873837</v>
      </c>
      <c r="G16590">
        <v>72873929</v>
      </c>
      <c r="H16590">
        <v>72873951</v>
      </c>
      <c r="I16590">
        <v>72873992</v>
      </c>
    </row>
    <row r="16591" spans="1:9" x14ac:dyDescent="0.2">
      <c r="A16591" s="1" t="str">
        <f>"SMC6"</f>
        <v>SMC6</v>
      </c>
      <c r="B16591" t="s">
        <v>14</v>
      </c>
      <c r="C16591" t="s">
        <v>26</v>
      </c>
      <c r="D16591" t="s">
        <v>11</v>
      </c>
      <c r="E16591" t="s">
        <v>12</v>
      </c>
      <c r="F16591">
        <v>17935059</v>
      </c>
      <c r="G16591">
        <v>17935102</v>
      </c>
      <c r="H16591">
        <v>17935027</v>
      </c>
      <c r="I16591">
        <v>17935053</v>
      </c>
    </row>
    <row r="16592" spans="1:9" x14ac:dyDescent="0.2">
      <c r="A16592" s="1" t="str">
        <f>"SMCHD1"</f>
        <v>SMCHD1</v>
      </c>
      <c r="B16592" t="s">
        <v>14</v>
      </c>
      <c r="C16592" t="s">
        <v>43</v>
      </c>
      <c r="D16592" t="s">
        <v>17</v>
      </c>
      <c r="E16592" t="s">
        <v>12</v>
      </c>
      <c r="F16592">
        <v>2655692</v>
      </c>
      <c r="G16592">
        <v>2655733</v>
      </c>
      <c r="H16592">
        <v>2655849</v>
      </c>
      <c r="I16592">
        <v>2655941</v>
      </c>
    </row>
    <row r="16593" spans="1:9" x14ac:dyDescent="0.2">
      <c r="A16593" s="1" t="str">
        <f>"SMCO1"</f>
        <v>SMCO1</v>
      </c>
      <c r="B16593" t="s">
        <v>14</v>
      </c>
      <c r="C16593" t="s">
        <v>22</v>
      </c>
      <c r="D16593" t="s">
        <v>11</v>
      </c>
      <c r="E16593" t="s">
        <v>12</v>
      </c>
      <c r="F16593">
        <v>196242186</v>
      </c>
      <c r="G16593">
        <v>196242224</v>
      </c>
      <c r="H16593">
        <v>196242186</v>
      </c>
      <c r="I16593">
        <v>196242224</v>
      </c>
    </row>
    <row r="16594" spans="1:9" x14ac:dyDescent="0.2">
      <c r="A16594" s="1" t="str">
        <f>"SMCO2"</f>
        <v>SMCO2</v>
      </c>
      <c r="B16594" t="s">
        <v>14</v>
      </c>
      <c r="C16594" t="s">
        <v>16</v>
      </c>
      <c r="D16594" t="s">
        <v>17</v>
      </c>
      <c r="E16594" t="s">
        <v>12</v>
      </c>
      <c r="F16594">
        <v>27627517</v>
      </c>
      <c r="G16594">
        <v>27627524</v>
      </c>
      <c r="H16594">
        <v>27627517</v>
      </c>
      <c r="I16594">
        <v>27627524</v>
      </c>
    </row>
    <row r="16595" spans="1:9" x14ac:dyDescent="0.2">
      <c r="A16595" s="1" t="str">
        <f>"SMCO3"</f>
        <v>SMCO3</v>
      </c>
      <c r="B16595" t="s">
        <v>14</v>
      </c>
      <c r="C16595" t="s">
        <v>16</v>
      </c>
      <c r="D16595" t="s">
        <v>11</v>
      </c>
      <c r="E16595" t="s">
        <v>12</v>
      </c>
      <c r="F16595">
        <v>14967095</v>
      </c>
      <c r="G16595">
        <v>14967123</v>
      </c>
      <c r="H16595">
        <v>14967144</v>
      </c>
      <c r="I16595">
        <v>14967149</v>
      </c>
    </row>
    <row r="16596" spans="1:9" x14ac:dyDescent="0.2">
      <c r="A16596" s="1" t="str">
        <f>"SMCO4"</f>
        <v>SMCO4</v>
      </c>
      <c r="B16596" t="s">
        <v>14</v>
      </c>
      <c r="C16596" t="s">
        <v>27</v>
      </c>
      <c r="D16596" t="s">
        <v>11</v>
      </c>
      <c r="E16596" t="s">
        <v>12</v>
      </c>
      <c r="F16596">
        <v>93276475</v>
      </c>
      <c r="G16596">
        <v>93276505</v>
      </c>
      <c r="H16596">
        <v>93276548</v>
      </c>
      <c r="I16596">
        <v>93276565</v>
      </c>
    </row>
    <row r="16597" spans="1:9" x14ac:dyDescent="0.2">
      <c r="A16597" s="1" t="str">
        <f>"SMCP"</f>
        <v>SMCP</v>
      </c>
      <c r="B16597" t="s">
        <v>14</v>
      </c>
      <c r="C16597" t="s">
        <v>19</v>
      </c>
      <c r="D16597" t="s">
        <v>17</v>
      </c>
      <c r="E16597" t="s">
        <v>12</v>
      </c>
      <c r="F16597">
        <v>152850787</v>
      </c>
      <c r="G16597">
        <v>152850816</v>
      </c>
      <c r="H16597">
        <v>152850787</v>
      </c>
      <c r="I16597">
        <v>152850816</v>
      </c>
    </row>
    <row r="16598" spans="1:9" x14ac:dyDescent="0.2">
      <c r="A16598" s="1" t="str">
        <f>"SMCR8"</f>
        <v>SMCR8</v>
      </c>
      <c r="B16598" t="s">
        <v>14</v>
      </c>
      <c r="C16598" t="s">
        <v>28</v>
      </c>
      <c r="D16598" t="s">
        <v>17</v>
      </c>
      <c r="E16598" t="s">
        <v>12</v>
      </c>
      <c r="F16598">
        <v>18218587</v>
      </c>
      <c r="G16598">
        <v>18218624</v>
      </c>
      <c r="H16598">
        <v>18218587</v>
      </c>
      <c r="I16598">
        <v>18218624</v>
      </c>
    </row>
    <row r="16599" spans="1:9" x14ac:dyDescent="0.2">
      <c r="A16599" s="1" t="str">
        <f>"SMDT1"</f>
        <v>SMDT1</v>
      </c>
      <c r="B16599" t="s">
        <v>14</v>
      </c>
      <c r="C16599" t="s">
        <v>21</v>
      </c>
      <c r="D16599" t="s">
        <v>17</v>
      </c>
      <c r="E16599" t="s">
        <v>12</v>
      </c>
      <c r="F16599">
        <v>42475692</v>
      </c>
      <c r="G16599">
        <v>42475721</v>
      </c>
      <c r="H16599">
        <v>42475722</v>
      </c>
      <c r="I16599">
        <v>42475738</v>
      </c>
    </row>
    <row r="16600" spans="1:9" x14ac:dyDescent="0.2">
      <c r="A16600" s="1" t="str">
        <f>"SMEK1"</f>
        <v>SMEK1</v>
      </c>
      <c r="B16600" t="s">
        <v>14</v>
      </c>
      <c r="C16600" t="s">
        <v>41</v>
      </c>
      <c r="D16600" t="s">
        <v>11</v>
      </c>
      <c r="E16600" t="s">
        <v>12</v>
      </c>
      <c r="F16600">
        <v>91976607</v>
      </c>
      <c r="G16600">
        <v>91976661</v>
      </c>
      <c r="H16600">
        <v>91976794</v>
      </c>
      <c r="I16600">
        <v>91976871</v>
      </c>
    </row>
    <row r="16601" spans="1:9" x14ac:dyDescent="0.2">
      <c r="A16601" s="1" t="str">
        <f>"SMEK2"</f>
        <v>SMEK2</v>
      </c>
      <c r="B16601" t="s">
        <v>14</v>
      </c>
      <c r="C16601" t="s">
        <v>26</v>
      </c>
      <c r="D16601" t="s">
        <v>11</v>
      </c>
      <c r="E16601" t="s">
        <v>12</v>
      </c>
      <c r="F16601">
        <v>55844720</v>
      </c>
      <c r="G16601">
        <v>55844772</v>
      </c>
      <c r="H16601">
        <v>55844803</v>
      </c>
      <c r="I16601">
        <v>55844823</v>
      </c>
    </row>
    <row r="16602" spans="1:9" x14ac:dyDescent="0.2">
      <c r="A16602" s="1" t="str">
        <f>"SMG1"</f>
        <v>SMG1</v>
      </c>
      <c r="B16602" t="s">
        <v>14</v>
      </c>
      <c r="C16602" t="s">
        <v>31</v>
      </c>
      <c r="D16602" t="s">
        <v>11</v>
      </c>
      <c r="E16602" t="s">
        <v>12</v>
      </c>
      <c r="F16602">
        <v>18937500</v>
      </c>
      <c r="G16602">
        <v>18937530</v>
      </c>
      <c r="H16602">
        <v>18937500</v>
      </c>
      <c r="I16602">
        <v>18937530</v>
      </c>
    </row>
    <row r="16603" spans="1:9" x14ac:dyDescent="0.2">
      <c r="A16603" s="1" t="str">
        <f>"SMG5"</f>
        <v>SMG5</v>
      </c>
      <c r="B16603" t="s">
        <v>14</v>
      </c>
      <c r="C16603" t="s">
        <v>19</v>
      </c>
      <c r="D16603" t="s">
        <v>11</v>
      </c>
      <c r="E16603" t="s">
        <v>12</v>
      </c>
      <c r="F16603">
        <v>156252590</v>
      </c>
      <c r="G16603">
        <v>156252637</v>
      </c>
      <c r="H16603">
        <v>156252590</v>
      </c>
      <c r="I16603">
        <v>156252637</v>
      </c>
    </row>
    <row r="16604" spans="1:9" x14ac:dyDescent="0.2">
      <c r="A16604" s="1" t="str">
        <f>"SMG6"</f>
        <v>SMG6</v>
      </c>
      <c r="B16604" t="s">
        <v>14</v>
      </c>
      <c r="C16604" t="s">
        <v>28</v>
      </c>
      <c r="D16604" t="s">
        <v>11</v>
      </c>
      <c r="E16604" t="s">
        <v>12</v>
      </c>
      <c r="F16604">
        <v>2207062</v>
      </c>
      <c r="G16604">
        <v>2207116</v>
      </c>
      <c r="H16604">
        <v>2206801</v>
      </c>
      <c r="I16604">
        <v>2206845</v>
      </c>
    </row>
    <row r="16605" spans="1:9" x14ac:dyDescent="0.2">
      <c r="A16605" s="1" t="str">
        <f>"SMG7"</f>
        <v>SMG7</v>
      </c>
      <c r="B16605" t="s">
        <v>14</v>
      </c>
      <c r="C16605" t="s">
        <v>19</v>
      </c>
      <c r="D16605" t="s">
        <v>17</v>
      </c>
      <c r="E16605" t="s">
        <v>12</v>
      </c>
      <c r="F16605">
        <v>183441618</v>
      </c>
      <c r="G16605">
        <v>183441657</v>
      </c>
      <c r="H16605">
        <v>183441515</v>
      </c>
      <c r="I16605">
        <v>183441551</v>
      </c>
    </row>
    <row r="16606" spans="1:9" x14ac:dyDescent="0.2">
      <c r="A16606" s="1" t="str">
        <f>"SMG8"</f>
        <v>SMG8</v>
      </c>
      <c r="B16606" t="s">
        <v>14</v>
      </c>
      <c r="C16606" t="s">
        <v>28</v>
      </c>
      <c r="D16606" t="s">
        <v>17</v>
      </c>
      <c r="E16606" t="s">
        <v>12</v>
      </c>
      <c r="F16606">
        <v>57287368</v>
      </c>
      <c r="G16606">
        <v>57287413</v>
      </c>
      <c r="H16606">
        <v>57287368</v>
      </c>
      <c r="I16606">
        <v>57287413</v>
      </c>
    </row>
    <row r="16607" spans="1:9" x14ac:dyDescent="0.2">
      <c r="A16607" s="1" t="str">
        <f>"SMG9"</f>
        <v>SMG9</v>
      </c>
      <c r="B16607" t="s">
        <v>14</v>
      </c>
      <c r="C16607" t="s">
        <v>10</v>
      </c>
      <c r="D16607" t="s">
        <v>11</v>
      </c>
      <c r="E16607" t="s">
        <v>12</v>
      </c>
      <c r="F16607">
        <v>44259053</v>
      </c>
      <c r="G16607">
        <v>44259121</v>
      </c>
      <c r="H16607">
        <v>44259007</v>
      </c>
      <c r="I16607">
        <v>44259036</v>
      </c>
    </row>
    <row r="16608" spans="1:9" x14ac:dyDescent="0.2">
      <c r="A16608" s="1" t="str">
        <f>"SMIM1"</f>
        <v>SMIM1</v>
      </c>
      <c r="B16608" t="s">
        <v>14</v>
      </c>
      <c r="C16608" t="s">
        <v>19</v>
      </c>
      <c r="D16608" t="s">
        <v>17</v>
      </c>
      <c r="E16608" t="s">
        <v>67</v>
      </c>
      <c r="F16608">
        <v>3689211</v>
      </c>
      <c r="G16608">
        <v>3689226</v>
      </c>
      <c r="H16608">
        <v>3689325</v>
      </c>
      <c r="I16608">
        <v>3689369</v>
      </c>
    </row>
    <row r="16609" spans="1:9" x14ac:dyDescent="0.2">
      <c r="A16609" s="1" t="str">
        <f>"SMIM10"</f>
        <v>SMIM10</v>
      </c>
      <c r="B16609" t="s">
        <v>14</v>
      </c>
      <c r="C16609" t="s">
        <v>37</v>
      </c>
      <c r="D16609" t="s">
        <v>17</v>
      </c>
      <c r="E16609" t="s">
        <v>12</v>
      </c>
      <c r="F16609">
        <v>134125010</v>
      </c>
      <c r="G16609">
        <v>134125050</v>
      </c>
      <c r="H16609">
        <v>134124973</v>
      </c>
      <c r="I16609">
        <v>134124984</v>
      </c>
    </row>
    <row r="16610" spans="1:9" x14ac:dyDescent="0.2">
      <c r="A16610" s="1" t="str">
        <f>"SMIM11"</f>
        <v>SMIM11</v>
      </c>
      <c r="B16610" t="s">
        <v>14</v>
      </c>
      <c r="C16610" t="s">
        <v>42</v>
      </c>
      <c r="D16610" t="s">
        <v>17</v>
      </c>
      <c r="E16610" t="s">
        <v>12</v>
      </c>
      <c r="F16610">
        <v>35747773</v>
      </c>
      <c r="G16610">
        <v>35747847</v>
      </c>
      <c r="H16610">
        <v>35747715</v>
      </c>
      <c r="I16610">
        <v>35747722</v>
      </c>
    </row>
    <row r="16611" spans="1:9" x14ac:dyDescent="0.2">
      <c r="A16611" s="1" t="str">
        <f>"SMIM12"</f>
        <v>SMIM12</v>
      </c>
      <c r="B16611" t="s">
        <v>14</v>
      </c>
      <c r="C16611" t="s">
        <v>19</v>
      </c>
      <c r="D16611" t="s">
        <v>11</v>
      </c>
      <c r="E16611" t="s">
        <v>12</v>
      </c>
      <c r="F16611">
        <v>35325330</v>
      </c>
      <c r="G16611">
        <v>35325397</v>
      </c>
      <c r="H16611">
        <v>35325400</v>
      </c>
      <c r="I16611">
        <v>35325431</v>
      </c>
    </row>
    <row r="16612" spans="1:9" x14ac:dyDescent="0.2">
      <c r="A16612" s="1" t="str">
        <f>"SMIM13"</f>
        <v>SMIM13</v>
      </c>
      <c r="B16612" t="s">
        <v>14</v>
      </c>
      <c r="C16612" t="s">
        <v>32</v>
      </c>
      <c r="D16612" t="s">
        <v>17</v>
      </c>
      <c r="E16612" t="s">
        <v>12</v>
      </c>
      <c r="F16612">
        <v>11093986</v>
      </c>
      <c r="G16612">
        <v>11094084</v>
      </c>
      <c r="H16612">
        <v>11094393</v>
      </c>
      <c r="I16612">
        <v>11094506</v>
      </c>
    </row>
    <row r="16613" spans="1:9" x14ac:dyDescent="0.2">
      <c r="A16613" s="1" t="str">
        <f>"SMIM14"</f>
        <v>SMIM14</v>
      </c>
      <c r="B16613" t="s">
        <v>14</v>
      </c>
      <c r="C16613" t="s">
        <v>23</v>
      </c>
      <c r="D16613" t="s">
        <v>11</v>
      </c>
      <c r="E16613" t="s">
        <v>12</v>
      </c>
      <c r="F16613">
        <v>39640466</v>
      </c>
      <c r="G16613">
        <v>39640502</v>
      </c>
      <c r="H16613">
        <v>39640576</v>
      </c>
      <c r="I16613">
        <v>39640594</v>
      </c>
    </row>
    <row r="16614" spans="1:9" x14ac:dyDescent="0.2">
      <c r="A16614" s="1" t="str">
        <f>"SMIM15"</f>
        <v>SMIM15</v>
      </c>
      <c r="B16614" t="s">
        <v>14</v>
      </c>
      <c r="C16614" t="s">
        <v>46</v>
      </c>
      <c r="D16614" t="s">
        <v>11</v>
      </c>
      <c r="E16614" t="s">
        <v>12</v>
      </c>
      <c r="F16614">
        <v>60458179</v>
      </c>
      <c r="G16614">
        <v>60458310</v>
      </c>
      <c r="H16614">
        <v>60458389</v>
      </c>
      <c r="I16614">
        <v>60458405</v>
      </c>
    </row>
    <row r="16615" spans="1:9" x14ac:dyDescent="0.2">
      <c r="A16615" s="1" t="str">
        <f>"SMIM17"</f>
        <v>SMIM17</v>
      </c>
      <c r="B16615" t="s">
        <v>14</v>
      </c>
      <c r="C16615" t="s">
        <v>10</v>
      </c>
      <c r="D16615" t="s">
        <v>17</v>
      </c>
      <c r="E16615" t="s">
        <v>67</v>
      </c>
      <c r="F16615">
        <v>57154519</v>
      </c>
      <c r="G16615">
        <v>57154555</v>
      </c>
      <c r="H16615">
        <v>57154508</v>
      </c>
      <c r="I16615">
        <v>57154517</v>
      </c>
    </row>
    <row r="16616" spans="1:9" x14ac:dyDescent="0.2">
      <c r="A16616" s="1" t="str">
        <f>"SMIM18"</f>
        <v>SMIM18</v>
      </c>
      <c r="B16616" t="s">
        <v>14</v>
      </c>
      <c r="C16616" t="s">
        <v>30</v>
      </c>
      <c r="D16616" t="s">
        <v>17</v>
      </c>
      <c r="E16616" t="s">
        <v>67</v>
      </c>
      <c r="F16616">
        <v>30496078</v>
      </c>
      <c r="G16616">
        <v>30496130</v>
      </c>
      <c r="H16616">
        <v>30496078</v>
      </c>
      <c r="I16616">
        <v>30496130</v>
      </c>
    </row>
    <row r="16617" spans="1:9" x14ac:dyDescent="0.2">
      <c r="A16617" s="1" t="str">
        <f>"SMIM19"</f>
        <v>SMIM19</v>
      </c>
      <c r="B16617" t="s">
        <v>14</v>
      </c>
      <c r="C16617" t="s">
        <v>30</v>
      </c>
      <c r="D16617" t="s">
        <v>17</v>
      </c>
      <c r="E16617" t="s">
        <v>12</v>
      </c>
      <c r="F16617">
        <v>42396712</v>
      </c>
      <c r="G16617">
        <v>42396802</v>
      </c>
      <c r="H16617">
        <v>42396944</v>
      </c>
      <c r="I16617">
        <v>42397002</v>
      </c>
    </row>
    <row r="16618" spans="1:9" x14ac:dyDescent="0.2">
      <c r="A16618" s="1" t="str">
        <f>"SMIM2"</f>
        <v>SMIM2</v>
      </c>
      <c r="B16618" t="s">
        <v>1559</v>
      </c>
      <c r="C16618" t="s">
        <v>39</v>
      </c>
      <c r="D16618" t="s">
        <v>11</v>
      </c>
      <c r="E16618" t="s">
        <v>20</v>
      </c>
      <c r="F16618">
        <v>44735392</v>
      </c>
      <c r="G16618">
        <v>44735392</v>
      </c>
      <c r="H16618">
        <v>44735392</v>
      </c>
      <c r="I16618">
        <v>44735392</v>
      </c>
    </row>
    <row r="16619" spans="1:9" x14ac:dyDescent="0.2">
      <c r="A16619" s="1" t="str">
        <f>"SMIM20"</f>
        <v>SMIM20</v>
      </c>
      <c r="B16619" t="s">
        <v>14</v>
      </c>
      <c r="C16619" t="s">
        <v>23</v>
      </c>
      <c r="D16619" t="s">
        <v>17</v>
      </c>
      <c r="E16619" t="s">
        <v>12</v>
      </c>
      <c r="F16619">
        <v>25915822</v>
      </c>
      <c r="G16619">
        <v>25915893</v>
      </c>
      <c r="H16619">
        <v>25915792</v>
      </c>
      <c r="I16619">
        <v>25915820</v>
      </c>
    </row>
    <row r="16620" spans="1:9" x14ac:dyDescent="0.2">
      <c r="A16620" s="1" t="str">
        <f>"SMIM21"</f>
        <v>SMIM21</v>
      </c>
      <c r="B16620" t="s">
        <v>14</v>
      </c>
      <c r="C16620" t="s">
        <v>43</v>
      </c>
      <c r="D16620" t="s">
        <v>11</v>
      </c>
      <c r="E16620" t="s">
        <v>12</v>
      </c>
      <c r="F16620">
        <v>73139510</v>
      </c>
      <c r="G16620">
        <v>73139542</v>
      </c>
      <c r="H16620">
        <v>73139510</v>
      </c>
      <c r="I16620">
        <v>73139542</v>
      </c>
    </row>
    <row r="16621" spans="1:9" x14ac:dyDescent="0.2">
      <c r="A16621" s="1" t="str">
        <f>"SMIM22"</f>
        <v>SMIM22</v>
      </c>
      <c r="B16621" t="s">
        <v>14</v>
      </c>
      <c r="C16621" t="s">
        <v>31</v>
      </c>
      <c r="D16621" t="s">
        <v>17</v>
      </c>
      <c r="E16621" t="s">
        <v>67</v>
      </c>
      <c r="F16621">
        <v>4845696</v>
      </c>
      <c r="G16621">
        <v>4845719</v>
      </c>
      <c r="H16621">
        <v>4845357</v>
      </c>
      <c r="I16621">
        <v>4845375</v>
      </c>
    </row>
    <row r="16622" spans="1:9" x14ac:dyDescent="0.2">
      <c r="A16622" s="1" t="str">
        <f>"SMIM3"</f>
        <v>SMIM3</v>
      </c>
      <c r="B16622" t="s">
        <v>14</v>
      </c>
      <c r="C16622" t="s">
        <v>46</v>
      </c>
      <c r="D16622" t="s">
        <v>17</v>
      </c>
      <c r="E16622" t="s">
        <v>12</v>
      </c>
      <c r="F16622">
        <v>150158295</v>
      </c>
      <c r="G16622">
        <v>150158337</v>
      </c>
      <c r="H16622">
        <v>150157924</v>
      </c>
      <c r="I16622">
        <v>150157963</v>
      </c>
    </row>
    <row r="16623" spans="1:9" x14ac:dyDescent="0.2">
      <c r="A16623" s="1" t="str">
        <f>"SMIM4"</f>
        <v>SMIM4</v>
      </c>
      <c r="B16623" t="s">
        <v>14</v>
      </c>
      <c r="C16623" t="s">
        <v>22</v>
      </c>
      <c r="D16623" t="s">
        <v>17</v>
      </c>
      <c r="E16623" t="s">
        <v>12</v>
      </c>
      <c r="F16623">
        <v>52570610</v>
      </c>
      <c r="G16623">
        <v>52570630</v>
      </c>
      <c r="H16623">
        <v>52570730</v>
      </c>
      <c r="I16623">
        <v>52570755</v>
      </c>
    </row>
    <row r="16624" spans="1:9" x14ac:dyDescent="0.2">
      <c r="A16624" s="1" t="str">
        <f>"SMIM5"</f>
        <v>SMIM5</v>
      </c>
      <c r="B16624" t="s">
        <v>9</v>
      </c>
      <c r="C16624" t="s">
        <v>28</v>
      </c>
      <c r="D16624" t="s">
        <v>17</v>
      </c>
      <c r="E16624" t="s">
        <v>12</v>
      </c>
      <c r="F16624">
        <v>73629793</v>
      </c>
      <c r="G16624">
        <v>73629828</v>
      </c>
      <c r="H16624">
        <v>73629793</v>
      </c>
      <c r="I16624">
        <v>73629828</v>
      </c>
    </row>
    <row r="16625" spans="1:9" x14ac:dyDescent="0.2">
      <c r="A16625" s="1" t="str">
        <f>"SMIM5"</f>
        <v>SMIM5</v>
      </c>
      <c r="B16625" t="s">
        <v>13</v>
      </c>
      <c r="C16625" t="s">
        <v>28</v>
      </c>
      <c r="D16625" t="s">
        <v>17</v>
      </c>
      <c r="E16625" t="s">
        <v>12</v>
      </c>
      <c r="F16625">
        <v>73636184</v>
      </c>
      <c r="G16625">
        <v>73636203</v>
      </c>
      <c r="H16625">
        <v>73636184</v>
      </c>
      <c r="I16625">
        <v>73636203</v>
      </c>
    </row>
    <row r="16626" spans="1:9" x14ac:dyDescent="0.2">
      <c r="A16626" s="1" t="str">
        <f>"SMIM6"</f>
        <v>SMIM6</v>
      </c>
      <c r="B16626" t="s">
        <v>14</v>
      </c>
      <c r="C16626" t="s">
        <v>28</v>
      </c>
      <c r="D16626" t="s">
        <v>17</v>
      </c>
      <c r="E16626" t="s">
        <v>12</v>
      </c>
      <c r="F16626">
        <v>73642401</v>
      </c>
      <c r="G16626">
        <v>73642431</v>
      </c>
      <c r="H16626">
        <v>73642401</v>
      </c>
      <c r="I16626">
        <v>73642431</v>
      </c>
    </row>
    <row r="16627" spans="1:9" x14ac:dyDescent="0.2">
      <c r="A16627" s="1" t="str">
        <f>"SMIM7"</f>
        <v>SMIM7</v>
      </c>
      <c r="B16627" t="s">
        <v>14</v>
      </c>
      <c r="C16627" t="s">
        <v>10</v>
      </c>
      <c r="D16627" t="s">
        <v>11</v>
      </c>
      <c r="E16627" t="s">
        <v>12</v>
      </c>
      <c r="F16627">
        <v>16770925</v>
      </c>
      <c r="G16627">
        <v>16770972</v>
      </c>
      <c r="H16627">
        <v>16770586</v>
      </c>
      <c r="I16627">
        <v>16770621</v>
      </c>
    </row>
    <row r="16628" spans="1:9" x14ac:dyDescent="0.2">
      <c r="A16628" s="1" t="str">
        <f>"SMIM8"</f>
        <v>SMIM8</v>
      </c>
      <c r="B16628" t="s">
        <v>14</v>
      </c>
      <c r="C16628" t="s">
        <v>32</v>
      </c>
      <c r="D16628" t="s">
        <v>17</v>
      </c>
      <c r="E16628" t="s">
        <v>12</v>
      </c>
      <c r="F16628">
        <v>88032299</v>
      </c>
      <c r="G16628">
        <v>88032338</v>
      </c>
      <c r="H16628">
        <v>88032274</v>
      </c>
      <c r="I16628">
        <v>88032279</v>
      </c>
    </row>
    <row r="16629" spans="1:9" x14ac:dyDescent="0.2">
      <c r="A16629" s="1" t="str">
        <f>"SMIM9"</f>
        <v>SMIM9</v>
      </c>
      <c r="B16629" t="s">
        <v>1560</v>
      </c>
      <c r="C16629" t="s">
        <v>37</v>
      </c>
      <c r="D16629" t="s">
        <v>11</v>
      </c>
      <c r="E16629" t="s">
        <v>20</v>
      </c>
      <c r="F16629">
        <v>154060945</v>
      </c>
      <c r="G16629">
        <v>154060945</v>
      </c>
      <c r="H16629">
        <v>154060945</v>
      </c>
      <c r="I16629">
        <v>154060945</v>
      </c>
    </row>
    <row r="16630" spans="1:9" x14ac:dyDescent="0.2">
      <c r="A16630" s="1" t="str">
        <f>"SMKR1"</f>
        <v>SMKR1</v>
      </c>
      <c r="B16630" t="s">
        <v>14</v>
      </c>
      <c r="C16630" t="s">
        <v>33</v>
      </c>
      <c r="D16630" t="s">
        <v>17</v>
      </c>
      <c r="E16630" t="s">
        <v>67</v>
      </c>
      <c r="F16630">
        <v>129142360</v>
      </c>
      <c r="G16630">
        <v>129142412</v>
      </c>
      <c r="H16630">
        <v>129142338</v>
      </c>
      <c r="I16630">
        <v>129142354</v>
      </c>
    </row>
    <row r="16631" spans="1:9" x14ac:dyDescent="0.2">
      <c r="A16631" s="1" t="str">
        <f>"SMLR1"</f>
        <v>SMLR1</v>
      </c>
      <c r="B16631" t="s">
        <v>14</v>
      </c>
      <c r="C16631" t="s">
        <v>32</v>
      </c>
      <c r="D16631" t="s">
        <v>17</v>
      </c>
      <c r="E16631" t="s">
        <v>67</v>
      </c>
      <c r="F16631">
        <v>131148538</v>
      </c>
      <c r="G16631">
        <v>131148554</v>
      </c>
      <c r="H16631">
        <v>131148609</v>
      </c>
      <c r="I16631">
        <v>131148619</v>
      </c>
    </row>
    <row r="16632" spans="1:9" x14ac:dyDescent="0.2">
      <c r="A16632" s="1" t="str">
        <f>"SMN1"</f>
        <v>SMN1</v>
      </c>
      <c r="B16632" t="s">
        <v>1561</v>
      </c>
      <c r="C16632" t="s">
        <v>46</v>
      </c>
      <c r="D16632" t="s">
        <v>17</v>
      </c>
      <c r="E16632" t="s">
        <v>20</v>
      </c>
      <c r="F16632">
        <v>70220856</v>
      </c>
      <c r="G16632">
        <v>70220856</v>
      </c>
      <c r="H16632">
        <v>70220856</v>
      </c>
      <c r="I16632">
        <v>70220856</v>
      </c>
    </row>
    <row r="16633" spans="1:9" x14ac:dyDescent="0.2">
      <c r="A16633" s="1" t="str">
        <f>"SMN2"</f>
        <v>SMN2</v>
      </c>
      <c r="B16633" t="s">
        <v>1562</v>
      </c>
      <c r="C16633" t="s">
        <v>46</v>
      </c>
      <c r="D16633" t="s">
        <v>17</v>
      </c>
      <c r="E16633" t="s">
        <v>20</v>
      </c>
      <c r="F16633">
        <v>69345438</v>
      </c>
      <c r="G16633">
        <v>69345438</v>
      </c>
      <c r="H16633">
        <v>69345438</v>
      </c>
      <c r="I16633">
        <v>69345438</v>
      </c>
    </row>
    <row r="16634" spans="1:9" x14ac:dyDescent="0.2">
      <c r="A16634" s="1" t="str">
        <f>"SMNDC1"</f>
        <v>SMNDC1</v>
      </c>
      <c r="B16634" t="s">
        <v>14</v>
      </c>
      <c r="C16634" t="s">
        <v>15</v>
      </c>
      <c r="D16634" t="s">
        <v>11</v>
      </c>
      <c r="E16634" t="s">
        <v>12</v>
      </c>
      <c r="F16634">
        <v>112064665</v>
      </c>
      <c r="G16634">
        <v>112064737</v>
      </c>
      <c r="H16634">
        <v>112064630</v>
      </c>
      <c r="I16634">
        <v>112064650</v>
      </c>
    </row>
    <row r="16635" spans="1:9" x14ac:dyDescent="0.2">
      <c r="A16635" s="1" t="str">
        <f>"SMO"</f>
        <v>SMO</v>
      </c>
      <c r="B16635" t="s">
        <v>14</v>
      </c>
      <c r="C16635" t="s">
        <v>33</v>
      </c>
      <c r="D16635" t="s">
        <v>17</v>
      </c>
      <c r="E16635" t="s">
        <v>12</v>
      </c>
      <c r="F16635">
        <v>128828464</v>
      </c>
      <c r="G16635">
        <v>128828486</v>
      </c>
      <c r="H16635">
        <v>128828490</v>
      </c>
      <c r="I16635">
        <v>128828508</v>
      </c>
    </row>
    <row r="16636" spans="1:9" x14ac:dyDescent="0.2">
      <c r="A16636" s="1" t="str">
        <f>"SMOC1"</f>
        <v>SMOC1</v>
      </c>
      <c r="B16636" t="s">
        <v>14</v>
      </c>
      <c r="C16636" t="s">
        <v>41</v>
      </c>
      <c r="D16636" t="s">
        <v>17</v>
      </c>
      <c r="E16636" t="s">
        <v>12</v>
      </c>
      <c r="F16636">
        <v>70346125</v>
      </c>
      <c r="G16636">
        <v>70346139</v>
      </c>
      <c r="H16636">
        <v>70346125</v>
      </c>
      <c r="I16636">
        <v>70346139</v>
      </c>
    </row>
    <row r="16637" spans="1:9" x14ac:dyDescent="0.2">
      <c r="A16637" s="1" t="str">
        <f>"SMOC2"</f>
        <v>SMOC2</v>
      </c>
      <c r="B16637" t="s">
        <v>14</v>
      </c>
      <c r="C16637" t="s">
        <v>32</v>
      </c>
      <c r="D16637" t="s">
        <v>17</v>
      </c>
      <c r="E16637" t="s">
        <v>12</v>
      </c>
      <c r="F16637">
        <v>168841853</v>
      </c>
      <c r="G16637">
        <v>168841874</v>
      </c>
      <c r="H16637">
        <v>168841817</v>
      </c>
      <c r="I16637">
        <v>168841848</v>
      </c>
    </row>
    <row r="16638" spans="1:9" x14ac:dyDescent="0.2">
      <c r="A16638" s="1" t="str">
        <f>"SMOX"</f>
        <v>SMOX</v>
      </c>
      <c r="B16638" t="s">
        <v>14</v>
      </c>
      <c r="C16638" t="s">
        <v>29</v>
      </c>
      <c r="D16638" t="s">
        <v>17</v>
      </c>
      <c r="E16638" t="s">
        <v>12</v>
      </c>
      <c r="F16638">
        <v>4129463</v>
      </c>
      <c r="G16638">
        <v>4129483</v>
      </c>
      <c r="H16638">
        <v>4129496</v>
      </c>
      <c r="I16638">
        <v>4129511</v>
      </c>
    </row>
    <row r="16639" spans="1:9" x14ac:dyDescent="0.2">
      <c r="A16639" s="1" t="str">
        <f>"SMPD1"</f>
        <v>SMPD1</v>
      </c>
      <c r="B16639" t="s">
        <v>14</v>
      </c>
      <c r="C16639" t="s">
        <v>27</v>
      </c>
      <c r="D16639" t="s">
        <v>17</v>
      </c>
      <c r="E16639" t="s">
        <v>12</v>
      </c>
      <c r="F16639">
        <v>6411670</v>
      </c>
      <c r="G16639">
        <v>6411723</v>
      </c>
      <c r="H16639">
        <v>6411636</v>
      </c>
      <c r="I16639">
        <v>6411656</v>
      </c>
    </row>
    <row r="16640" spans="1:9" x14ac:dyDescent="0.2">
      <c r="A16640" s="1" t="str">
        <f>"SMPD2"</f>
        <v>SMPD2</v>
      </c>
      <c r="B16640" t="s">
        <v>14</v>
      </c>
      <c r="C16640" t="s">
        <v>32</v>
      </c>
      <c r="D16640" t="s">
        <v>17</v>
      </c>
      <c r="E16640" t="s">
        <v>12</v>
      </c>
      <c r="F16640">
        <v>109761898</v>
      </c>
      <c r="G16640">
        <v>109761958</v>
      </c>
      <c r="H16640">
        <v>109762020</v>
      </c>
      <c r="I16640">
        <v>109762096</v>
      </c>
    </row>
    <row r="16641" spans="1:9" x14ac:dyDescent="0.2">
      <c r="A16641" s="1" t="str">
        <f>"SMPD3"</f>
        <v>SMPD3</v>
      </c>
      <c r="B16641" t="s">
        <v>14</v>
      </c>
      <c r="C16641" t="s">
        <v>31</v>
      </c>
      <c r="D16641" t="s">
        <v>11</v>
      </c>
      <c r="E16641" t="s">
        <v>12</v>
      </c>
      <c r="F16641">
        <v>68482394</v>
      </c>
      <c r="G16641">
        <v>68482417</v>
      </c>
      <c r="H16641">
        <v>68482440</v>
      </c>
      <c r="I16641">
        <v>68482453</v>
      </c>
    </row>
    <row r="16642" spans="1:9" x14ac:dyDescent="0.2">
      <c r="A16642" s="1" t="str">
        <f>"SMPD4"</f>
        <v>SMPD4</v>
      </c>
      <c r="B16642" t="s">
        <v>14</v>
      </c>
      <c r="C16642" t="s">
        <v>26</v>
      </c>
      <c r="D16642" t="s">
        <v>11</v>
      </c>
      <c r="E16642" t="s">
        <v>12</v>
      </c>
      <c r="F16642">
        <v>130939136</v>
      </c>
      <c r="G16642">
        <v>130939199</v>
      </c>
      <c r="H16642">
        <v>130939654</v>
      </c>
      <c r="I16642">
        <v>130939681</v>
      </c>
    </row>
    <row r="16643" spans="1:9" x14ac:dyDescent="0.2">
      <c r="A16643" s="1" t="str">
        <f>"SMPDL3A"</f>
        <v>SMPDL3A</v>
      </c>
      <c r="B16643" t="s">
        <v>14</v>
      </c>
      <c r="C16643" t="s">
        <v>32</v>
      </c>
      <c r="D16643" t="s">
        <v>17</v>
      </c>
      <c r="E16643" t="s">
        <v>12</v>
      </c>
      <c r="F16643">
        <v>123110389</v>
      </c>
      <c r="G16643">
        <v>123110441</v>
      </c>
      <c r="H16643">
        <v>123110370</v>
      </c>
      <c r="I16643">
        <v>123110382</v>
      </c>
    </row>
    <row r="16644" spans="1:9" x14ac:dyDescent="0.2">
      <c r="A16644" s="1" t="str">
        <f>"SMPDL3B"</f>
        <v>SMPDL3B</v>
      </c>
      <c r="B16644" t="s">
        <v>14</v>
      </c>
      <c r="C16644" t="s">
        <v>19</v>
      </c>
      <c r="D16644" t="s">
        <v>17</v>
      </c>
      <c r="E16644" t="s">
        <v>12</v>
      </c>
      <c r="F16644">
        <v>28261533</v>
      </c>
      <c r="G16644">
        <v>28261564</v>
      </c>
      <c r="H16644">
        <v>28261492</v>
      </c>
      <c r="I16644">
        <v>28261516</v>
      </c>
    </row>
    <row r="16645" spans="1:9" x14ac:dyDescent="0.2">
      <c r="A16645" s="1" t="str">
        <f>"SMPX"</f>
        <v>SMPX</v>
      </c>
      <c r="B16645" t="s">
        <v>14</v>
      </c>
      <c r="C16645" t="s">
        <v>37</v>
      </c>
      <c r="D16645" t="s">
        <v>11</v>
      </c>
      <c r="E16645" t="s">
        <v>12</v>
      </c>
      <c r="F16645">
        <v>21776218</v>
      </c>
      <c r="G16645">
        <v>21776270</v>
      </c>
      <c r="H16645">
        <v>21776151</v>
      </c>
      <c r="I16645">
        <v>21776177</v>
      </c>
    </row>
    <row r="16646" spans="1:9" x14ac:dyDescent="0.2">
      <c r="A16646" s="1" t="str">
        <f>"SMR3A"</f>
        <v>SMR3A</v>
      </c>
      <c r="B16646" t="s">
        <v>14</v>
      </c>
      <c r="C16646" t="s">
        <v>23</v>
      </c>
      <c r="D16646" t="s">
        <v>17</v>
      </c>
      <c r="E16646" t="s">
        <v>12</v>
      </c>
      <c r="F16646">
        <v>71226468</v>
      </c>
      <c r="G16646">
        <v>71226484</v>
      </c>
      <c r="H16646">
        <v>71226468</v>
      </c>
      <c r="I16646">
        <v>71226484</v>
      </c>
    </row>
    <row r="16647" spans="1:9" x14ac:dyDescent="0.2">
      <c r="A16647" s="1" t="str">
        <f>"SMR3B"</f>
        <v>SMR3B</v>
      </c>
      <c r="B16647" t="s">
        <v>14</v>
      </c>
      <c r="C16647" t="s">
        <v>23</v>
      </c>
      <c r="D16647" t="s">
        <v>17</v>
      </c>
      <c r="E16647" t="s">
        <v>12</v>
      </c>
      <c r="F16647">
        <v>71248840</v>
      </c>
      <c r="G16647">
        <v>71248854</v>
      </c>
      <c r="H16647">
        <v>71248840</v>
      </c>
      <c r="I16647">
        <v>71248854</v>
      </c>
    </row>
    <row r="16648" spans="1:9" x14ac:dyDescent="0.2">
      <c r="A16648" s="1" t="str">
        <f>"SMS"</f>
        <v>SMS</v>
      </c>
      <c r="B16648" t="s">
        <v>14</v>
      </c>
      <c r="C16648" t="s">
        <v>37</v>
      </c>
      <c r="D16648" t="s">
        <v>17</v>
      </c>
      <c r="E16648" t="s">
        <v>12</v>
      </c>
      <c r="F16648">
        <v>21958814</v>
      </c>
      <c r="G16648">
        <v>21958864</v>
      </c>
      <c r="H16648">
        <v>21958674</v>
      </c>
      <c r="I16648">
        <v>21958721</v>
      </c>
    </row>
    <row r="16649" spans="1:9" x14ac:dyDescent="0.2">
      <c r="A16649" s="1" t="str">
        <f>"SMTN"</f>
        <v>SMTN</v>
      </c>
      <c r="B16649" t="s">
        <v>14</v>
      </c>
      <c r="C16649" t="s">
        <v>21</v>
      </c>
      <c r="D16649" t="s">
        <v>17</v>
      </c>
      <c r="E16649" t="s">
        <v>12</v>
      </c>
      <c r="F16649">
        <v>31477296</v>
      </c>
      <c r="G16649">
        <v>31477312</v>
      </c>
      <c r="H16649">
        <v>31477296</v>
      </c>
      <c r="I16649">
        <v>31477312</v>
      </c>
    </row>
    <row r="16650" spans="1:9" x14ac:dyDescent="0.2">
      <c r="A16650" s="1" t="str">
        <f>"SMTNL1"</f>
        <v>SMTNL1</v>
      </c>
      <c r="B16650" t="s">
        <v>1563</v>
      </c>
      <c r="C16650" t="s">
        <v>27</v>
      </c>
      <c r="D16650" t="s">
        <v>17</v>
      </c>
      <c r="E16650" t="s">
        <v>20</v>
      </c>
      <c r="F16650">
        <v>57310115</v>
      </c>
      <c r="G16650">
        <v>57310115</v>
      </c>
      <c r="H16650">
        <v>57310115</v>
      </c>
      <c r="I16650">
        <v>57310115</v>
      </c>
    </row>
    <row r="16651" spans="1:9" x14ac:dyDescent="0.2">
      <c r="A16651" s="1" t="str">
        <f>"SMTNL2"</f>
        <v>SMTNL2</v>
      </c>
      <c r="B16651" t="s">
        <v>14</v>
      </c>
      <c r="C16651" t="s">
        <v>28</v>
      </c>
      <c r="D16651" t="s">
        <v>17</v>
      </c>
      <c r="E16651" t="s">
        <v>12</v>
      </c>
      <c r="F16651">
        <v>4487816</v>
      </c>
      <c r="G16651">
        <v>4487830</v>
      </c>
      <c r="H16651">
        <v>4487295</v>
      </c>
      <c r="I16651">
        <v>4487307</v>
      </c>
    </row>
    <row r="16652" spans="1:9" x14ac:dyDescent="0.2">
      <c r="A16652" s="1" t="str">
        <f>"SMU1"</f>
        <v>SMU1</v>
      </c>
      <c r="B16652" t="s">
        <v>14</v>
      </c>
      <c r="C16652" t="s">
        <v>24</v>
      </c>
      <c r="D16652" t="s">
        <v>11</v>
      </c>
      <c r="E16652" t="s">
        <v>12</v>
      </c>
      <c r="F16652">
        <v>33076652</v>
      </c>
      <c r="G16652">
        <v>33076697</v>
      </c>
      <c r="H16652">
        <v>33076627</v>
      </c>
      <c r="I16652">
        <v>33076650</v>
      </c>
    </row>
    <row r="16653" spans="1:9" x14ac:dyDescent="0.2">
      <c r="A16653" s="1" t="str">
        <f>"SMUG1"</f>
        <v>SMUG1</v>
      </c>
      <c r="B16653" t="s">
        <v>14</v>
      </c>
      <c r="C16653" t="s">
        <v>16</v>
      </c>
      <c r="D16653" t="s">
        <v>11</v>
      </c>
      <c r="E16653" t="s">
        <v>12</v>
      </c>
      <c r="F16653">
        <v>54582750</v>
      </c>
      <c r="G16653">
        <v>54582780</v>
      </c>
      <c r="H16653">
        <v>54582720</v>
      </c>
      <c r="I16653">
        <v>54582746</v>
      </c>
    </row>
    <row r="16654" spans="1:9" x14ac:dyDescent="0.2">
      <c r="A16654" s="1" t="str">
        <f>"SMURF1"</f>
        <v>SMURF1</v>
      </c>
      <c r="B16654" t="s">
        <v>14</v>
      </c>
      <c r="C16654" t="s">
        <v>33</v>
      </c>
      <c r="D16654" t="s">
        <v>11</v>
      </c>
      <c r="E16654" t="s">
        <v>12</v>
      </c>
      <c r="F16654">
        <v>98741714</v>
      </c>
      <c r="G16654">
        <v>98741778</v>
      </c>
      <c r="H16654">
        <v>98741676</v>
      </c>
      <c r="I16654">
        <v>98741713</v>
      </c>
    </row>
    <row r="16655" spans="1:9" x14ac:dyDescent="0.2">
      <c r="A16655" s="1" t="str">
        <f>"SMURF2"</f>
        <v>SMURF2</v>
      </c>
      <c r="B16655" t="s">
        <v>14</v>
      </c>
      <c r="C16655" t="s">
        <v>28</v>
      </c>
      <c r="D16655" t="s">
        <v>11</v>
      </c>
      <c r="E16655" t="s">
        <v>12</v>
      </c>
      <c r="F16655">
        <v>62658408</v>
      </c>
      <c r="G16655">
        <v>62658499</v>
      </c>
      <c r="H16655">
        <v>62658379</v>
      </c>
      <c r="I16655">
        <v>62658399</v>
      </c>
    </row>
    <row r="16656" spans="1:9" x14ac:dyDescent="0.2">
      <c r="A16656" s="1" t="str">
        <f>"SMYD1"</f>
        <v>SMYD1</v>
      </c>
      <c r="B16656" t="s">
        <v>14</v>
      </c>
      <c r="C16656" t="s">
        <v>26</v>
      </c>
      <c r="D16656" t="s">
        <v>17</v>
      </c>
      <c r="E16656" t="s">
        <v>12</v>
      </c>
      <c r="F16656">
        <v>88367337</v>
      </c>
      <c r="G16656">
        <v>88367351</v>
      </c>
      <c r="H16656">
        <v>88367368</v>
      </c>
      <c r="I16656">
        <v>88367386</v>
      </c>
    </row>
    <row r="16657" spans="1:9" x14ac:dyDescent="0.2">
      <c r="A16657" s="1" t="str">
        <f>"SMYD2"</f>
        <v>SMYD2</v>
      </c>
      <c r="B16657" t="s">
        <v>14</v>
      </c>
      <c r="C16657" t="s">
        <v>19</v>
      </c>
      <c r="D16657" t="s">
        <v>17</v>
      </c>
      <c r="E16657" t="s">
        <v>12</v>
      </c>
      <c r="F16657">
        <v>214454492</v>
      </c>
      <c r="G16657">
        <v>214454576</v>
      </c>
      <c r="H16657">
        <v>214454577</v>
      </c>
      <c r="I16657">
        <v>214454605</v>
      </c>
    </row>
    <row r="16658" spans="1:9" x14ac:dyDescent="0.2">
      <c r="A16658" s="1" t="str">
        <f>"SMYD3"</f>
        <v>SMYD3</v>
      </c>
      <c r="B16658" t="s">
        <v>14</v>
      </c>
      <c r="C16658" t="s">
        <v>19</v>
      </c>
      <c r="D16658" t="s">
        <v>11</v>
      </c>
      <c r="E16658" t="s">
        <v>12</v>
      </c>
      <c r="F16658">
        <v>246670539</v>
      </c>
      <c r="G16658">
        <v>246670611</v>
      </c>
      <c r="H16658">
        <v>246670539</v>
      </c>
      <c r="I16658">
        <v>246670611</v>
      </c>
    </row>
    <row r="16659" spans="1:9" x14ac:dyDescent="0.2">
      <c r="A16659" s="1" t="str">
        <f>"SMYD4"</f>
        <v>SMYD4</v>
      </c>
      <c r="B16659" t="s">
        <v>14</v>
      </c>
      <c r="C16659" t="s">
        <v>28</v>
      </c>
      <c r="D16659" t="s">
        <v>11</v>
      </c>
      <c r="E16659" t="s">
        <v>12</v>
      </c>
      <c r="F16659">
        <v>1733114</v>
      </c>
      <c r="G16659">
        <v>1733209</v>
      </c>
      <c r="H16659">
        <v>1733076</v>
      </c>
      <c r="I16659">
        <v>1733108</v>
      </c>
    </row>
    <row r="16660" spans="1:9" x14ac:dyDescent="0.2">
      <c r="A16660" s="1" t="str">
        <f>"SMYD5"</f>
        <v>SMYD5</v>
      </c>
      <c r="B16660" t="s">
        <v>14</v>
      </c>
      <c r="C16660" t="s">
        <v>26</v>
      </c>
      <c r="D16660" t="s">
        <v>17</v>
      </c>
      <c r="E16660" t="s">
        <v>12</v>
      </c>
      <c r="F16660">
        <v>73441362</v>
      </c>
      <c r="G16660">
        <v>73441399</v>
      </c>
      <c r="H16660">
        <v>73441644</v>
      </c>
      <c r="I16660">
        <v>73441679</v>
      </c>
    </row>
    <row r="16661" spans="1:9" x14ac:dyDescent="0.2">
      <c r="A16661" s="1" t="str">
        <f>"SNAI1"</f>
        <v>SNAI1</v>
      </c>
      <c r="B16661" t="s">
        <v>14</v>
      </c>
      <c r="C16661" t="s">
        <v>29</v>
      </c>
      <c r="D16661" t="s">
        <v>17</v>
      </c>
      <c r="E16661" t="s">
        <v>12</v>
      </c>
      <c r="F16661">
        <v>48599506</v>
      </c>
      <c r="G16661">
        <v>48599526</v>
      </c>
      <c r="H16661">
        <v>48599611</v>
      </c>
      <c r="I16661">
        <v>48599648</v>
      </c>
    </row>
    <row r="16662" spans="1:9" x14ac:dyDescent="0.2">
      <c r="A16662" s="1" t="str">
        <f>"SNAI2"</f>
        <v>SNAI2</v>
      </c>
      <c r="B16662" t="s">
        <v>14</v>
      </c>
      <c r="C16662" t="s">
        <v>30</v>
      </c>
      <c r="D16662" t="s">
        <v>11</v>
      </c>
      <c r="E16662" t="s">
        <v>12</v>
      </c>
      <c r="F16662">
        <v>49833978</v>
      </c>
      <c r="G16662">
        <v>49833996</v>
      </c>
      <c r="H16662">
        <v>49833948</v>
      </c>
      <c r="I16662">
        <v>49833973</v>
      </c>
    </row>
    <row r="16663" spans="1:9" x14ac:dyDescent="0.2">
      <c r="A16663" s="1" t="str">
        <f>"SNAI3"</f>
        <v>SNAI3</v>
      </c>
      <c r="B16663" t="s">
        <v>14</v>
      </c>
      <c r="C16663" t="s">
        <v>31</v>
      </c>
      <c r="D16663" t="s">
        <v>11</v>
      </c>
      <c r="E16663" t="s">
        <v>12</v>
      </c>
      <c r="F16663">
        <v>88752889</v>
      </c>
      <c r="G16663">
        <v>88752921</v>
      </c>
      <c r="H16663">
        <v>88752861</v>
      </c>
      <c r="I16663">
        <v>88752884</v>
      </c>
    </row>
    <row r="16664" spans="1:9" x14ac:dyDescent="0.2">
      <c r="A16664" s="1" t="str">
        <f>"SNAP23"</f>
        <v>SNAP23</v>
      </c>
      <c r="B16664" t="s">
        <v>14</v>
      </c>
      <c r="C16664" t="s">
        <v>25</v>
      </c>
      <c r="D16664" t="s">
        <v>17</v>
      </c>
      <c r="E16664" t="s">
        <v>12</v>
      </c>
      <c r="F16664">
        <v>42787815</v>
      </c>
      <c r="G16664">
        <v>42787883</v>
      </c>
      <c r="H16664">
        <v>42787802</v>
      </c>
      <c r="I16664">
        <v>42787807</v>
      </c>
    </row>
    <row r="16665" spans="1:9" x14ac:dyDescent="0.2">
      <c r="A16665" s="1" t="str">
        <f>"SNAP25"</f>
        <v>SNAP25</v>
      </c>
      <c r="B16665" t="s">
        <v>14</v>
      </c>
      <c r="C16665" t="s">
        <v>29</v>
      </c>
      <c r="D16665" t="s">
        <v>17</v>
      </c>
      <c r="E16665" t="s">
        <v>12</v>
      </c>
      <c r="F16665">
        <v>10199468</v>
      </c>
      <c r="G16665">
        <v>10199516</v>
      </c>
      <c r="H16665">
        <v>10199566</v>
      </c>
      <c r="I16665">
        <v>10199582</v>
      </c>
    </row>
    <row r="16666" spans="1:9" x14ac:dyDescent="0.2">
      <c r="A16666" s="1" t="str">
        <f>"SNAP29"</f>
        <v>SNAP29</v>
      </c>
      <c r="B16666" t="s">
        <v>14</v>
      </c>
      <c r="C16666" t="s">
        <v>21</v>
      </c>
      <c r="D16666" t="s">
        <v>17</v>
      </c>
      <c r="E16666" t="s">
        <v>12</v>
      </c>
      <c r="F16666">
        <v>21213352</v>
      </c>
      <c r="G16666">
        <v>21213386</v>
      </c>
      <c r="H16666">
        <v>21213307</v>
      </c>
      <c r="I16666">
        <v>21213335</v>
      </c>
    </row>
    <row r="16667" spans="1:9" x14ac:dyDescent="0.2">
      <c r="A16667" s="1" t="str">
        <f>"SNAP47"</f>
        <v>SNAP47</v>
      </c>
      <c r="B16667" t="s">
        <v>9</v>
      </c>
      <c r="C16667" t="s">
        <v>19</v>
      </c>
      <c r="D16667" t="s">
        <v>17</v>
      </c>
      <c r="E16667" t="s">
        <v>12</v>
      </c>
      <c r="F16667">
        <v>227923122</v>
      </c>
      <c r="G16667">
        <v>227923175</v>
      </c>
      <c r="H16667">
        <v>227923122</v>
      </c>
      <c r="I16667">
        <v>227923175</v>
      </c>
    </row>
    <row r="16668" spans="1:9" x14ac:dyDescent="0.2">
      <c r="A16668" s="1" t="str">
        <f>"SNAP47"</f>
        <v>SNAP47</v>
      </c>
      <c r="B16668" t="s">
        <v>13</v>
      </c>
      <c r="C16668" t="s">
        <v>19</v>
      </c>
      <c r="D16668" t="s">
        <v>17</v>
      </c>
      <c r="E16668" t="s">
        <v>12</v>
      </c>
      <c r="F16668">
        <v>227916287</v>
      </c>
      <c r="G16668">
        <v>227916363</v>
      </c>
      <c r="H16668">
        <v>227916287</v>
      </c>
      <c r="I16668">
        <v>227916363</v>
      </c>
    </row>
    <row r="16669" spans="1:9" x14ac:dyDescent="0.2">
      <c r="A16669" s="1" t="str">
        <f>"SNAP91"</f>
        <v>SNAP91</v>
      </c>
      <c r="B16669" t="s">
        <v>14</v>
      </c>
      <c r="C16669" t="s">
        <v>32</v>
      </c>
      <c r="D16669" t="s">
        <v>11</v>
      </c>
      <c r="E16669" t="s">
        <v>12</v>
      </c>
      <c r="F16669">
        <v>84418777</v>
      </c>
      <c r="G16669">
        <v>84418835</v>
      </c>
      <c r="H16669">
        <v>84419101</v>
      </c>
      <c r="I16669">
        <v>84419117</v>
      </c>
    </row>
    <row r="16670" spans="1:9" x14ac:dyDescent="0.2">
      <c r="A16670" s="1" t="str">
        <f>"SNAPC1"</f>
        <v>SNAPC1</v>
      </c>
      <c r="B16670" t="s">
        <v>14</v>
      </c>
      <c r="C16670" t="s">
        <v>41</v>
      </c>
      <c r="D16670" t="s">
        <v>17</v>
      </c>
      <c r="E16670" t="s">
        <v>12</v>
      </c>
      <c r="F16670">
        <v>62229124</v>
      </c>
      <c r="G16670">
        <v>62229145</v>
      </c>
      <c r="H16670">
        <v>62229088</v>
      </c>
      <c r="I16670">
        <v>62229118</v>
      </c>
    </row>
    <row r="16671" spans="1:9" x14ac:dyDescent="0.2">
      <c r="A16671" s="1" t="str">
        <f>"SNAPC2"</f>
        <v>SNAPC2</v>
      </c>
      <c r="B16671" t="s">
        <v>14</v>
      </c>
      <c r="C16671" t="s">
        <v>10</v>
      </c>
      <c r="D16671" t="s">
        <v>17</v>
      </c>
      <c r="E16671" t="s">
        <v>12</v>
      </c>
      <c r="F16671">
        <v>7985198</v>
      </c>
      <c r="G16671">
        <v>7985257</v>
      </c>
      <c r="H16671">
        <v>7985880</v>
      </c>
      <c r="I16671">
        <v>7985929</v>
      </c>
    </row>
    <row r="16672" spans="1:9" x14ac:dyDescent="0.2">
      <c r="A16672" s="1" t="str">
        <f>"SNAPC3"</f>
        <v>SNAPC3</v>
      </c>
      <c r="B16672" t="s">
        <v>14</v>
      </c>
      <c r="C16672" t="s">
        <v>24</v>
      </c>
      <c r="D16672" t="s">
        <v>17</v>
      </c>
      <c r="E16672" t="s">
        <v>12</v>
      </c>
      <c r="F16672">
        <v>15422841</v>
      </c>
      <c r="G16672">
        <v>15422883</v>
      </c>
      <c r="H16672">
        <v>15423045</v>
      </c>
      <c r="I16672">
        <v>15423061</v>
      </c>
    </row>
    <row r="16673" spans="1:9" x14ac:dyDescent="0.2">
      <c r="A16673" s="1" t="str">
        <f>"SNAPC4"</f>
        <v>SNAPC4</v>
      </c>
      <c r="B16673" t="s">
        <v>14</v>
      </c>
      <c r="C16673" t="s">
        <v>24</v>
      </c>
      <c r="D16673" t="s">
        <v>11</v>
      </c>
      <c r="E16673" t="s">
        <v>12</v>
      </c>
      <c r="F16673">
        <v>139271963</v>
      </c>
      <c r="G16673">
        <v>139271964</v>
      </c>
      <c r="H16673">
        <v>139271749</v>
      </c>
      <c r="I16673">
        <v>139271766</v>
      </c>
    </row>
    <row r="16674" spans="1:9" x14ac:dyDescent="0.2">
      <c r="A16674" s="1" t="str">
        <f>"SNAPC5"</f>
        <v>SNAPC5</v>
      </c>
      <c r="B16674" t="s">
        <v>14</v>
      </c>
      <c r="C16674" t="s">
        <v>25</v>
      </c>
      <c r="D16674" t="s">
        <v>11</v>
      </c>
      <c r="E16674" t="s">
        <v>12</v>
      </c>
      <c r="F16674">
        <v>66790047</v>
      </c>
      <c r="G16674">
        <v>66790132</v>
      </c>
      <c r="H16674">
        <v>66790146</v>
      </c>
      <c r="I16674">
        <v>66790161</v>
      </c>
    </row>
    <row r="16675" spans="1:9" x14ac:dyDescent="0.2">
      <c r="A16675" s="1" t="str">
        <f>"SNAPIN"</f>
        <v>SNAPIN</v>
      </c>
      <c r="B16675" t="s">
        <v>14</v>
      </c>
      <c r="C16675" t="s">
        <v>19</v>
      </c>
      <c r="D16675" t="s">
        <v>17</v>
      </c>
      <c r="E16675" t="s">
        <v>12</v>
      </c>
      <c r="F16675">
        <v>153631163</v>
      </c>
      <c r="G16675">
        <v>153631217</v>
      </c>
      <c r="H16675">
        <v>153631163</v>
      </c>
      <c r="I16675">
        <v>153631217</v>
      </c>
    </row>
    <row r="16676" spans="1:9" x14ac:dyDescent="0.2">
      <c r="A16676" s="1" t="str">
        <f>"SNCA"</f>
        <v>SNCA</v>
      </c>
      <c r="B16676" t="s">
        <v>14</v>
      </c>
      <c r="C16676" t="s">
        <v>23</v>
      </c>
      <c r="D16676" t="s">
        <v>11</v>
      </c>
      <c r="E16676" t="s">
        <v>12</v>
      </c>
      <c r="F16676">
        <v>90758258</v>
      </c>
      <c r="G16676">
        <v>90758372</v>
      </c>
      <c r="H16676">
        <v>90758052</v>
      </c>
      <c r="I16676">
        <v>90758098</v>
      </c>
    </row>
    <row r="16677" spans="1:9" x14ac:dyDescent="0.2">
      <c r="A16677" s="1" t="str">
        <f>"SNCAIP"</f>
        <v>SNCAIP</v>
      </c>
      <c r="B16677" t="s">
        <v>14</v>
      </c>
      <c r="C16677" t="s">
        <v>46</v>
      </c>
      <c r="D16677" t="s">
        <v>17</v>
      </c>
      <c r="E16677" t="s">
        <v>12</v>
      </c>
      <c r="F16677">
        <v>121647877</v>
      </c>
      <c r="G16677">
        <v>121647913</v>
      </c>
      <c r="H16677">
        <v>121647924</v>
      </c>
      <c r="I16677">
        <v>121647940</v>
      </c>
    </row>
    <row r="16678" spans="1:9" x14ac:dyDescent="0.2">
      <c r="A16678" s="1" t="str">
        <f>"SNCB"</f>
        <v>SNCB</v>
      </c>
      <c r="B16678" t="s">
        <v>14</v>
      </c>
      <c r="C16678" t="s">
        <v>46</v>
      </c>
      <c r="D16678" t="s">
        <v>11</v>
      </c>
      <c r="E16678" t="s">
        <v>12</v>
      </c>
      <c r="F16678">
        <v>176057518</v>
      </c>
      <c r="G16678">
        <v>176057558</v>
      </c>
      <c r="H16678">
        <v>176057494</v>
      </c>
      <c r="I16678">
        <v>176057517</v>
      </c>
    </row>
    <row r="16679" spans="1:9" x14ac:dyDescent="0.2">
      <c r="A16679" s="1" t="str">
        <f>"SNCG"</f>
        <v>SNCG</v>
      </c>
      <c r="B16679" t="s">
        <v>14</v>
      </c>
      <c r="C16679" t="s">
        <v>15</v>
      </c>
      <c r="D16679" t="s">
        <v>17</v>
      </c>
      <c r="E16679" t="s">
        <v>12</v>
      </c>
      <c r="F16679">
        <v>88718314</v>
      </c>
      <c r="G16679">
        <v>88718388</v>
      </c>
      <c r="H16679">
        <v>88719108</v>
      </c>
      <c r="I16679">
        <v>88719194</v>
      </c>
    </row>
    <row r="16680" spans="1:9" x14ac:dyDescent="0.2">
      <c r="A16680" s="1" t="str">
        <f>"SND1"</f>
        <v>SND1</v>
      </c>
      <c r="B16680" t="s">
        <v>14</v>
      </c>
      <c r="C16680" t="s">
        <v>33</v>
      </c>
      <c r="D16680" t="s">
        <v>17</v>
      </c>
      <c r="E16680" t="s">
        <v>12</v>
      </c>
      <c r="F16680">
        <v>127292240</v>
      </c>
      <c r="G16680">
        <v>127292260</v>
      </c>
      <c r="H16680">
        <v>127292209</v>
      </c>
      <c r="I16680">
        <v>127292226</v>
      </c>
    </row>
    <row r="16681" spans="1:9" x14ac:dyDescent="0.2">
      <c r="A16681" s="1" t="str">
        <f>"SNED1"</f>
        <v>SNED1</v>
      </c>
      <c r="B16681" t="s">
        <v>14</v>
      </c>
      <c r="C16681" t="s">
        <v>26</v>
      </c>
      <c r="D16681" t="s">
        <v>17</v>
      </c>
      <c r="E16681" t="s">
        <v>12</v>
      </c>
      <c r="F16681">
        <v>241938025</v>
      </c>
      <c r="G16681">
        <v>241938046</v>
      </c>
      <c r="H16681">
        <v>241938025</v>
      </c>
      <c r="I16681">
        <v>241938046</v>
      </c>
    </row>
    <row r="16682" spans="1:9" x14ac:dyDescent="0.2">
      <c r="A16682" s="1" t="str">
        <f>"SNF8"</f>
        <v>SNF8</v>
      </c>
      <c r="B16682" t="s">
        <v>14</v>
      </c>
      <c r="C16682" t="s">
        <v>28</v>
      </c>
      <c r="D16682" t="s">
        <v>11</v>
      </c>
      <c r="E16682" t="s">
        <v>12</v>
      </c>
      <c r="F16682">
        <v>47022140</v>
      </c>
      <c r="G16682">
        <v>47022210</v>
      </c>
      <c r="H16682">
        <v>47022140</v>
      </c>
      <c r="I16682">
        <v>47022210</v>
      </c>
    </row>
    <row r="16683" spans="1:9" x14ac:dyDescent="0.2">
      <c r="A16683" s="1" t="str">
        <f>"SNIP1"</f>
        <v>SNIP1</v>
      </c>
      <c r="B16683" t="s">
        <v>14</v>
      </c>
      <c r="C16683" t="s">
        <v>19</v>
      </c>
      <c r="D16683" t="s">
        <v>11</v>
      </c>
      <c r="E16683" t="s">
        <v>12</v>
      </c>
      <c r="F16683">
        <v>38019878</v>
      </c>
      <c r="G16683">
        <v>38019905</v>
      </c>
      <c r="H16683">
        <v>38019843</v>
      </c>
      <c r="I16683">
        <v>38019859</v>
      </c>
    </row>
    <row r="16684" spans="1:9" x14ac:dyDescent="0.2">
      <c r="A16684" s="1" t="str">
        <f>"SNN"</f>
        <v>SNN</v>
      </c>
      <c r="B16684" t="s">
        <v>14</v>
      </c>
      <c r="C16684" t="s">
        <v>31</v>
      </c>
      <c r="D16684" t="s">
        <v>17</v>
      </c>
      <c r="E16684" t="s">
        <v>12</v>
      </c>
      <c r="F16684">
        <v>11762271</v>
      </c>
      <c r="G16684">
        <v>11762344</v>
      </c>
      <c r="H16684">
        <v>11762271</v>
      </c>
      <c r="I16684">
        <v>11762344</v>
      </c>
    </row>
    <row r="16685" spans="1:9" x14ac:dyDescent="0.2">
      <c r="A16685" s="1" t="str">
        <f>"SNPH"</f>
        <v>SNPH</v>
      </c>
      <c r="B16685" t="s">
        <v>14</v>
      </c>
      <c r="C16685" t="s">
        <v>29</v>
      </c>
      <c r="D16685" t="s">
        <v>17</v>
      </c>
      <c r="E16685" t="s">
        <v>12</v>
      </c>
      <c r="F16685">
        <v>1246908</v>
      </c>
      <c r="G16685">
        <v>1246994</v>
      </c>
      <c r="H16685">
        <v>1246908</v>
      </c>
      <c r="I16685">
        <v>1246994</v>
      </c>
    </row>
    <row r="16686" spans="1:9" x14ac:dyDescent="0.2">
      <c r="A16686" s="1" t="str">
        <f>"SNRK"</f>
        <v>SNRK</v>
      </c>
      <c r="B16686" t="s">
        <v>14</v>
      </c>
      <c r="C16686" t="s">
        <v>22</v>
      </c>
      <c r="D16686" t="s">
        <v>17</v>
      </c>
      <c r="E16686" t="s">
        <v>12</v>
      </c>
      <c r="F16686">
        <v>43328024</v>
      </c>
      <c r="G16686">
        <v>43328095</v>
      </c>
      <c r="H16686">
        <v>43328098</v>
      </c>
      <c r="I16686">
        <v>43328127</v>
      </c>
    </row>
    <row r="16687" spans="1:9" x14ac:dyDescent="0.2">
      <c r="A16687" s="1" t="str">
        <f>"SNRNP200"</f>
        <v>SNRNP200</v>
      </c>
      <c r="B16687" t="s">
        <v>14</v>
      </c>
      <c r="C16687" t="s">
        <v>26</v>
      </c>
      <c r="D16687" t="s">
        <v>11</v>
      </c>
      <c r="E16687" t="s">
        <v>12</v>
      </c>
      <c r="F16687">
        <v>96971259</v>
      </c>
      <c r="G16687">
        <v>96971302</v>
      </c>
      <c r="H16687">
        <v>96971232</v>
      </c>
      <c r="I16687">
        <v>96971255</v>
      </c>
    </row>
    <row r="16688" spans="1:9" x14ac:dyDescent="0.2">
      <c r="A16688" s="1" t="str">
        <f>"SNRNP25"</f>
        <v>SNRNP25</v>
      </c>
      <c r="B16688" t="s">
        <v>14</v>
      </c>
      <c r="C16688" t="s">
        <v>31</v>
      </c>
      <c r="D16688" t="s">
        <v>17</v>
      </c>
      <c r="E16688" t="s">
        <v>12</v>
      </c>
      <c r="F16688">
        <v>103816</v>
      </c>
      <c r="G16688">
        <v>103900</v>
      </c>
      <c r="H16688">
        <v>103935</v>
      </c>
      <c r="I16688">
        <v>103971</v>
      </c>
    </row>
    <row r="16689" spans="1:9" x14ac:dyDescent="0.2">
      <c r="A16689" s="1" t="str">
        <f>"SNRNP27"</f>
        <v>SNRNP27</v>
      </c>
      <c r="B16689" t="s">
        <v>14</v>
      </c>
      <c r="C16689" t="s">
        <v>26</v>
      </c>
      <c r="D16689" t="s">
        <v>17</v>
      </c>
      <c r="E16689" t="s">
        <v>12</v>
      </c>
      <c r="F16689">
        <v>70121075</v>
      </c>
      <c r="G16689">
        <v>70121102</v>
      </c>
      <c r="H16689">
        <v>70121105</v>
      </c>
      <c r="I16689">
        <v>70121120</v>
      </c>
    </row>
    <row r="16690" spans="1:9" x14ac:dyDescent="0.2">
      <c r="A16690" s="1" t="str">
        <f>"SNRNP35"</f>
        <v>SNRNP35</v>
      </c>
      <c r="B16690" t="s">
        <v>14</v>
      </c>
      <c r="C16690" t="s">
        <v>16</v>
      </c>
      <c r="D16690" t="s">
        <v>17</v>
      </c>
      <c r="E16690" t="s">
        <v>12</v>
      </c>
      <c r="F16690">
        <v>123942656</v>
      </c>
      <c r="G16690">
        <v>123942739</v>
      </c>
      <c r="H16690">
        <v>123942639</v>
      </c>
      <c r="I16690">
        <v>123942653</v>
      </c>
    </row>
    <row r="16691" spans="1:9" x14ac:dyDescent="0.2">
      <c r="A16691" s="1" t="str">
        <f>"SNRNP40"</f>
        <v>SNRNP40</v>
      </c>
      <c r="B16691" t="s">
        <v>14</v>
      </c>
      <c r="C16691" t="s">
        <v>19</v>
      </c>
      <c r="D16691" t="s">
        <v>11</v>
      </c>
      <c r="E16691" t="s">
        <v>12</v>
      </c>
      <c r="F16691">
        <v>31769595</v>
      </c>
      <c r="G16691">
        <v>31769652</v>
      </c>
      <c r="H16691">
        <v>31769656</v>
      </c>
      <c r="I16691">
        <v>31769670</v>
      </c>
    </row>
    <row r="16692" spans="1:9" x14ac:dyDescent="0.2">
      <c r="A16692" s="1" t="str">
        <f>"SNRNP48"</f>
        <v>SNRNP48</v>
      </c>
      <c r="B16692" t="s">
        <v>14</v>
      </c>
      <c r="C16692" t="s">
        <v>32</v>
      </c>
      <c r="D16692" t="s">
        <v>17</v>
      </c>
      <c r="E16692" t="s">
        <v>12</v>
      </c>
      <c r="F16692">
        <v>7590443</v>
      </c>
      <c r="G16692">
        <v>7590485</v>
      </c>
      <c r="H16692">
        <v>7590413</v>
      </c>
      <c r="I16692">
        <v>7590438</v>
      </c>
    </row>
    <row r="16693" spans="1:9" x14ac:dyDescent="0.2">
      <c r="A16693" s="1" t="str">
        <f>"SNRNP70"</f>
        <v>SNRNP70</v>
      </c>
      <c r="B16693" t="s">
        <v>14</v>
      </c>
      <c r="C16693" t="s">
        <v>10</v>
      </c>
      <c r="D16693" t="s">
        <v>17</v>
      </c>
      <c r="E16693" t="s">
        <v>12</v>
      </c>
      <c r="F16693">
        <v>49588690</v>
      </c>
      <c r="G16693">
        <v>49588720</v>
      </c>
      <c r="H16693">
        <v>49588677</v>
      </c>
      <c r="I16693">
        <v>49588688</v>
      </c>
    </row>
    <row r="16694" spans="1:9" x14ac:dyDescent="0.2">
      <c r="A16694" s="1" t="str">
        <f>"SNRPA"</f>
        <v>SNRPA</v>
      </c>
      <c r="B16694" t="s">
        <v>14</v>
      </c>
      <c r="C16694" t="s">
        <v>10</v>
      </c>
      <c r="D16694" t="s">
        <v>17</v>
      </c>
      <c r="E16694" t="s">
        <v>12</v>
      </c>
      <c r="F16694">
        <v>41257084</v>
      </c>
      <c r="G16694">
        <v>41257125</v>
      </c>
      <c r="H16694">
        <v>41257127</v>
      </c>
      <c r="I16694">
        <v>41257156</v>
      </c>
    </row>
    <row r="16695" spans="1:9" x14ac:dyDescent="0.2">
      <c r="A16695" s="1" t="str">
        <f>"SNRPA1"</f>
        <v>SNRPA1</v>
      </c>
      <c r="B16695" t="s">
        <v>14</v>
      </c>
      <c r="C16695" t="s">
        <v>25</v>
      </c>
      <c r="D16695" t="s">
        <v>11</v>
      </c>
      <c r="E16695" t="s">
        <v>12</v>
      </c>
      <c r="F16695">
        <v>101835414</v>
      </c>
      <c r="G16695">
        <v>101835462</v>
      </c>
      <c r="H16695">
        <v>101835231</v>
      </c>
      <c r="I16695">
        <v>101835247</v>
      </c>
    </row>
    <row r="16696" spans="1:9" x14ac:dyDescent="0.2">
      <c r="A16696" s="1" t="str">
        <f>"SNRPB"</f>
        <v>SNRPB</v>
      </c>
      <c r="B16696" t="s">
        <v>14</v>
      </c>
      <c r="C16696" t="s">
        <v>29</v>
      </c>
      <c r="D16696" t="s">
        <v>11</v>
      </c>
      <c r="E16696" t="s">
        <v>12</v>
      </c>
      <c r="F16696">
        <v>2451395</v>
      </c>
      <c r="G16696">
        <v>2451455</v>
      </c>
      <c r="H16696">
        <v>2451379</v>
      </c>
      <c r="I16696">
        <v>2451390</v>
      </c>
    </row>
    <row r="16697" spans="1:9" x14ac:dyDescent="0.2">
      <c r="A16697" s="1" t="str">
        <f>"SNRPB2"</f>
        <v>SNRPB2</v>
      </c>
      <c r="B16697" t="s">
        <v>14</v>
      </c>
      <c r="C16697" t="s">
        <v>29</v>
      </c>
      <c r="D16697" t="s">
        <v>17</v>
      </c>
      <c r="E16697" t="s">
        <v>12</v>
      </c>
      <c r="F16697">
        <v>16710634</v>
      </c>
      <c r="G16697">
        <v>16710698</v>
      </c>
      <c r="H16697">
        <v>16710634</v>
      </c>
      <c r="I16697">
        <v>16710698</v>
      </c>
    </row>
    <row r="16698" spans="1:9" x14ac:dyDescent="0.2">
      <c r="A16698" s="1" t="str">
        <f>"SNRPC"</f>
        <v>SNRPC</v>
      </c>
      <c r="B16698" t="s">
        <v>14</v>
      </c>
      <c r="C16698" t="s">
        <v>32</v>
      </c>
      <c r="D16698" t="s">
        <v>17</v>
      </c>
      <c r="E16698" t="s">
        <v>12</v>
      </c>
      <c r="F16698">
        <v>34725263</v>
      </c>
      <c r="G16698">
        <v>34725302</v>
      </c>
      <c r="H16698">
        <v>34725181</v>
      </c>
      <c r="I16698">
        <v>34725195</v>
      </c>
    </row>
    <row r="16699" spans="1:9" x14ac:dyDescent="0.2">
      <c r="A16699" s="1" t="str">
        <f>"SNRPD1"</f>
        <v>SNRPD1</v>
      </c>
      <c r="B16699" t="s">
        <v>14</v>
      </c>
      <c r="C16699" t="s">
        <v>43</v>
      </c>
      <c r="D16699" t="s">
        <v>17</v>
      </c>
      <c r="E16699" t="s">
        <v>12</v>
      </c>
      <c r="F16699">
        <v>19192235</v>
      </c>
      <c r="G16699">
        <v>19192337</v>
      </c>
      <c r="H16699">
        <v>19192235</v>
      </c>
      <c r="I16699">
        <v>19192337</v>
      </c>
    </row>
    <row r="16700" spans="1:9" x14ac:dyDescent="0.2">
      <c r="A16700" s="1" t="str">
        <f>"SNRPD2"</f>
        <v>SNRPD2</v>
      </c>
      <c r="B16700" t="s">
        <v>14</v>
      </c>
      <c r="C16700" t="s">
        <v>10</v>
      </c>
      <c r="D16700" t="s">
        <v>11</v>
      </c>
      <c r="E16700" t="s">
        <v>12</v>
      </c>
      <c r="F16700">
        <v>46195173</v>
      </c>
      <c r="G16700">
        <v>46195226</v>
      </c>
      <c r="H16700">
        <v>46195487</v>
      </c>
      <c r="I16700">
        <v>46195518</v>
      </c>
    </row>
    <row r="16701" spans="1:9" x14ac:dyDescent="0.2">
      <c r="A16701" s="1" t="str">
        <f>"SNRPD3"</f>
        <v>SNRPD3</v>
      </c>
      <c r="B16701" t="s">
        <v>14</v>
      </c>
      <c r="C16701" t="s">
        <v>21</v>
      </c>
      <c r="D16701" t="s">
        <v>17</v>
      </c>
      <c r="E16701" t="s">
        <v>12</v>
      </c>
      <c r="F16701">
        <v>24951949</v>
      </c>
      <c r="G16701">
        <v>24951980</v>
      </c>
      <c r="H16701">
        <v>24951937</v>
      </c>
      <c r="I16701">
        <v>24951948</v>
      </c>
    </row>
    <row r="16702" spans="1:9" x14ac:dyDescent="0.2">
      <c r="A16702" s="1" t="str">
        <f>"SNRPE"</f>
        <v>SNRPE</v>
      </c>
      <c r="B16702" t="s">
        <v>14</v>
      </c>
      <c r="C16702" t="s">
        <v>19</v>
      </c>
      <c r="D16702" t="s">
        <v>17</v>
      </c>
      <c r="E16702" t="s">
        <v>12</v>
      </c>
      <c r="F16702">
        <v>203830703</v>
      </c>
      <c r="G16702">
        <v>203830740</v>
      </c>
      <c r="H16702">
        <v>203830760</v>
      </c>
      <c r="I16702">
        <v>203830773</v>
      </c>
    </row>
    <row r="16703" spans="1:9" x14ac:dyDescent="0.2">
      <c r="A16703" s="1" t="str">
        <f>"SNRPF"</f>
        <v>SNRPF</v>
      </c>
      <c r="B16703" t="s">
        <v>14</v>
      </c>
      <c r="C16703" t="s">
        <v>16</v>
      </c>
      <c r="D16703" t="s">
        <v>17</v>
      </c>
      <c r="E16703" t="s">
        <v>12</v>
      </c>
      <c r="F16703">
        <v>96252710</v>
      </c>
      <c r="G16703">
        <v>96252789</v>
      </c>
      <c r="H16703">
        <v>96252710</v>
      </c>
      <c r="I16703">
        <v>96252789</v>
      </c>
    </row>
    <row r="16704" spans="1:9" x14ac:dyDescent="0.2">
      <c r="A16704" s="1" t="str">
        <f>"SNRPG"</f>
        <v>SNRPG</v>
      </c>
      <c r="B16704" t="s">
        <v>14</v>
      </c>
      <c r="C16704" t="s">
        <v>26</v>
      </c>
      <c r="D16704" t="s">
        <v>11</v>
      </c>
      <c r="E16704" t="s">
        <v>12</v>
      </c>
      <c r="F16704">
        <v>70520832</v>
      </c>
      <c r="G16704">
        <v>70520881</v>
      </c>
      <c r="H16704">
        <v>70520810</v>
      </c>
      <c r="I16704">
        <v>70520831</v>
      </c>
    </row>
    <row r="16705" spans="1:9" x14ac:dyDescent="0.2">
      <c r="A16705" s="1" t="str">
        <f>"SNRPN"</f>
        <v>SNRPN</v>
      </c>
      <c r="B16705" t="s">
        <v>14</v>
      </c>
      <c r="C16705" t="s">
        <v>25</v>
      </c>
      <c r="D16705" t="s">
        <v>17</v>
      </c>
      <c r="E16705" t="s">
        <v>12</v>
      </c>
      <c r="F16705">
        <v>25200108</v>
      </c>
      <c r="G16705">
        <v>25200143</v>
      </c>
      <c r="H16705">
        <v>25200089</v>
      </c>
      <c r="I16705">
        <v>25200105</v>
      </c>
    </row>
    <row r="16706" spans="1:9" x14ac:dyDescent="0.2">
      <c r="A16706" s="1" t="str">
        <f>"SNTA1"</f>
        <v>SNTA1</v>
      </c>
      <c r="B16706" t="s">
        <v>14</v>
      </c>
      <c r="C16706" t="s">
        <v>29</v>
      </c>
      <c r="D16706" t="s">
        <v>11</v>
      </c>
      <c r="E16706" t="s">
        <v>12</v>
      </c>
      <c r="F16706">
        <v>32031457</v>
      </c>
      <c r="G16706">
        <v>32031576</v>
      </c>
      <c r="H16706">
        <v>32031680</v>
      </c>
      <c r="I16706">
        <v>32031703</v>
      </c>
    </row>
    <row r="16707" spans="1:9" x14ac:dyDescent="0.2">
      <c r="A16707" s="1" t="str">
        <f>"SNTB1"</f>
        <v>SNTB1</v>
      </c>
      <c r="B16707" t="s">
        <v>14</v>
      </c>
      <c r="C16707" t="s">
        <v>30</v>
      </c>
      <c r="D16707" t="s">
        <v>11</v>
      </c>
      <c r="E16707" t="s">
        <v>12</v>
      </c>
      <c r="F16707">
        <v>121824235</v>
      </c>
      <c r="G16707">
        <v>121824275</v>
      </c>
      <c r="H16707">
        <v>121824279</v>
      </c>
      <c r="I16707">
        <v>121824328</v>
      </c>
    </row>
    <row r="16708" spans="1:9" x14ac:dyDescent="0.2">
      <c r="A16708" s="1" t="str">
        <f>"SNTB2"</f>
        <v>SNTB2</v>
      </c>
      <c r="B16708" t="s">
        <v>14</v>
      </c>
      <c r="C16708" t="s">
        <v>31</v>
      </c>
      <c r="D16708" t="s">
        <v>17</v>
      </c>
      <c r="E16708" t="s">
        <v>12</v>
      </c>
      <c r="F16708">
        <v>69221028</v>
      </c>
      <c r="G16708">
        <v>69221092</v>
      </c>
      <c r="H16708">
        <v>69221028</v>
      </c>
      <c r="I16708">
        <v>69221092</v>
      </c>
    </row>
    <row r="16709" spans="1:9" x14ac:dyDescent="0.2">
      <c r="A16709" s="1" t="str">
        <f>"SNTG1"</f>
        <v>SNTG1</v>
      </c>
      <c r="B16709" t="s">
        <v>14</v>
      </c>
      <c r="C16709" t="s">
        <v>30</v>
      </c>
      <c r="D16709" t="s">
        <v>17</v>
      </c>
      <c r="E16709" t="s">
        <v>12</v>
      </c>
      <c r="F16709">
        <v>50823956</v>
      </c>
      <c r="G16709">
        <v>50823985</v>
      </c>
      <c r="H16709">
        <v>50823485</v>
      </c>
      <c r="I16709">
        <v>50823543</v>
      </c>
    </row>
    <row r="16710" spans="1:9" x14ac:dyDescent="0.2">
      <c r="A16710" s="1" t="str">
        <f>"SNTG2"</f>
        <v>SNTG2</v>
      </c>
      <c r="B16710" t="s">
        <v>14</v>
      </c>
      <c r="C16710" t="s">
        <v>26</v>
      </c>
      <c r="D16710" t="s">
        <v>17</v>
      </c>
      <c r="E16710" t="s">
        <v>12</v>
      </c>
      <c r="F16710">
        <v>946543</v>
      </c>
      <c r="G16710">
        <v>946579</v>
      </c>
      <c r="H16710">
        <v>946522</v>
      </c>
      <c r="I16710">
        <v>946540</v>
      </c>
    </row>
    <row r="16711" spans="1:9" x14ac:dyDescent="0.2">
      <c r="A16711" s="1" t="str">
        <f>"SNTN"</f>
        <v>SNTN</v>
      </c>
      <c r="B16711" t="s">
        <v>14</v>
      </c>
      <c r="C16711" t="s">
        <v>22</v>
      </c>
      <c r="D16711" t="s">
        <v>17</v>
      </c>
      <c r="E16711" t="s">
        <v>12</v>
      </c>
      <c r="F16711">
        <v>63638339</v>
      </c>
      <c r="G16711">
        <v>63638365</v>
      </c>
      <c r="H16711">
        <v>63638372</v>
      </c>
      <c r="I16711">
        <v>63638390</v>
      </c>
    </row>
    <row r="16712" spans="1:9" x14ac:dyDescent="0.2">
      <c r="A16712" s="1" t="str">
        <f>"SNUPN"</f>
        <v>SNUPN</v>
      </c>
      <c r="B16712" t="s">
        <v>14</v>
      </c>
      <c r="C16712" t="s">
        <v>25</v>
      </c>
      <c r="D16712" t="s">
        <v>11</v>
      </c>
      <c r="E16712" t="s">
        <v>12</v>
      </c>
      <c r="F16712">
        <v>75918023</v>
      </c>
      <c r="G16712">
        <v>75918090</v>
      </c>
      <c r="H16712">
        <v>75917955</v>
      </c>
      <c r="I16712">
        <v>75918016</v>
      </c>
    </row>
    <row r="16713" spans="1:9" x14ac:dyDescent="0.2">
      <c r="A16713" s="1" t="str">
        <f>"SNURF"</f>
        <v>SNURF</v>
      </c>
      <c r="B16713" t="s">
        <v>9</v>
      </c>
      <c r="C16713" t="s">
        <v>25</v>
      </c>
      <c r="D16713" t="s">
        <v>17</v>
      </c>
      <c r="E16713" t="s">
        <v>12</v>
      </c>
      <c r="F16713">
        <v>25200108</v>
      </c>
      <c r="G16713">
        <v>25200143</v>
      </c>
      <c r="H16713">
        <v>25200108</v>
      </c>
      <c r="I16713">
        <v>25200143</v>
      </c>
    </row>
    <row r="16714" spans="1:9" x14ac:dyDescent="0.2">
      <c r="A16714" s="1" t="str">
        <f>"SNURF"</f>
        <v>SNURF</v>
      </c>
      <c r="B16714" t="s">
        <v>13</v>
      </c>
      <c r="C16714" t="s">
        <v>25</v>
      </c>
      <c r="D16714" t="s">
        <v>17</v>
      </c>
      <c r="E16714" t="s">
        <v>12</v>
      </c>
      <c r="F16714">
        <v>25223549</v>
      </c>
      <c r="G16714">
        <v>25223574</v>
      </c>
      <c r="H16714">
        <v>25223549</v>
      </c>
      <c r="I16714">
        <v>25223574</v>
      </c>
    </row>
    <row r="16715" spans="1:9" x14ac:dyDescent="0.2">
      <c r="A16715" s="1" t="str">
        <f>"SNW1"</f>
        <v>SNW1</v>
      </c>
      <c r="B16715" t="s">
        <v>9</v>
      </c>
      <c r="C16715" t="s">
        <v>41</v>
      </c>
      <c r="D16715" t="s">
        <v>11</v>
      </c>
      <c r="E16715" t="s">
        <v>12</v>
      </c>
      <c r="F16715">
        <v>78227476</v>
      </c>
      <c r="G16715">
        <v>78227513</v>
      </c>
      <c r="H16715">
        <v>78227476</v>
      </c>
      <c r="I16715">
        <v>78227513</v>
      </c>
    </row>
    <row r="16716" spans="1:9" x14ac:dyDescent="0.2">
      <c r="A16716" s="1" t="str">
        <f>"SNW1"</f>
        <v>SNW1</v>
      </c>
      <c r="B16716" t="s">
        <v>13</v>
      </c>
      <c r="C16716" t="s">
        <v>41</v>
      </c>
      <c r="D16716" t="s">
        <v>11</v>
      </c>
      <c r="E16716" t="s">
        <v>12</v>
      </c>
      <c r="F16716">
        <v>78221349</v>
      </c>
      <c r="G16716">
        <v>78221363</v>
      </c>
      <c r="H16716">
        <v>78221349</v>
      </c>
      <c r="I16716">
        <v>78221363</v>
      </c>
    </row>
    <row r="16717" spans="1:9" x14ac:dyDescent="0.2">
      <c r="A16717" s="1" t="str">
        <f>"SNX1"</f>
        <v>SNX1</v>
      </c>
      <c r="B16717" t="s">
        <v>14</v>
      </c>
      <c r="C16717" t="s">
        <v>25</v>
      </c>
      <c r="D16717" t="s">
        <v>17</v>
      </c>
      <c r="E16717" t="s">
        <v>12</v>
      </c>
      <c r="F16717">
        <v>64388166</v>
      </c>
      <c r="G16717">
        <v>64388216</v>
      </c>
      <c r="H16717">
        <v>64388147</v>
      </c>
      <c r="I16717">
        <v>64388158</v>
      </c>
    </row>
    <row r="16718" spans="1:9" x14ac:dyDescent="0.2">
      <c r="A16718" s="1" t="str">
        <f>"SNX10"</f>
        <v>SNX10</v>
      </c>
      <c r="B16718" t="s">
        <v>14</v>
      </c>
      <c r="C16718" t="s">
        <v>33</v>
      </c>
      <c r="D16718" t="s">
        <v>17</v>
      </c>
      <c r="E16718" t="s">
        <v>12</v>
      </c>
      <c r="F16718">
        <v>26331560</v>
      </c>
      <c r="G16718">
        <v>26331647</v>
      </c>
      <c r="H16718">
        <v>26331470</v>
      </c>
      <c r="I16718">
        <v>26331517</v>
      </c>
    </row>
    <row r="16719" spans="1:9" x14ac:dyDescent="0.2">
      <c r="A16719" s="1" t="str">
        <f>"SNX11"</f>
        <v>SNX11</v>
      </c>
      <c r="B16719" t="s">
        <v>14</v>
      </c>
      <c r="C16719" t="s">
        <v>28</v>
      </c>
      <c r="D16719" t="s">
        <v>17</v>
      </c>
      <c r="E16719" t="s">
        <v>12</v>
      </c>
      <c r="F16719">
        <v>46185111</v>
      </c>
      <c r="G16719">
        <v>46185159</v>
      </c>
      <c r="H16719">
        <v>46184920</v>
      </c>
      <c r="I16719">
        <v>46184951</v>
      </c>
    </row>
    <row r="16720" spans="1:9" x14ac:dyDescent="0.2">
      <c r="A16720" s="1" t="str">
        <f>"SNX12"</f>
        <v>SNX12</v>
      </c>
      <c r="B16720" t="s">
        <v>14</v>
      </c>
      <c r="C16720" t="s">
        <v>37</v>
      </c>
      <c r="D16720" t="s">
        <v>11</v>
      </c>
      <c r="E16720" t="s">
        <v>12</v>
      </c>
      <c r="F16720">
        <v>70288162</v>
      </c>
      <c r="G16720">
        <v>70288233</v>
      </c>
      <c r="H16720">
        <v>70288234</v>
      </c>
      <c r="I16720">
        <v>70288291</v>
      </c>
    </row>
    <row r="16721" spans="1:9" x14ac:dyDescent="0.2">
      <c r="A16721" s="1" t="str">
        <f>"SNX13"</f>
        <v>SNX13</v>
      </c>
      <c r="B16721" t="s">
        <v>14</v>
      </c>
      <c r="C16721" t="s">
        <v>33</v>
      </c>
      <c r="D16721" t="s">
        <v>11</v>
      </c>
      <c r="E16721" t="s">
        <v>12</v>
      </c>
      <c r="F16721">
        <v>17980095</v>
      </c>
      <c r="G16721">
        <v>17980136</v>
      </c>
      <c r="H16721">
        <v>17980095</v>
      </c>
      <c r="I16721">
        <v>17980136</v>
      </c>
    </row>
    <row r="16722" spans="1:9" x14ac:dyDescent="0.2">
      <c r="A16722" s="1" t="str">
        <f>"SNX14"</f>
        <v>SNX14</v>
      </c>
      <c r="B16722" t="s">
        <v>14</v>
      </c>
      <c r="C16722" t="s">
        <v>32</v>
      </c>
      <c r="D16722" t="s">
        <v>11</v>
      </c>
      <c r="E16722" t="s">
        <v>12</v>
      </c>
      <c r="F16722">
        <v>86303535</v>
      </c>
      <c r="G16722">
        <v>86303617</v>
      </c>
      <c r="H16722">
        <v>86303657</v>
      </c>
      <c r="I16722">
        <v>86303674</v>
      </c>
    </row>
    <row r="16723" spans="1:9" x14ac:dyDescent="0.2">
      <c r="A16723" s="1" t="str">
        <f>"SNX15"</f>
        <v>SNX15</v>
      </c>
      <c r="B16723" t="s">
        <v>9</v>
      </c>
      <c r="C16723" t="s">
        <v>27</v>
      </c>
      <c r="D16723" t="s">
        <v>17</v>
      </c>
      <c r="E16723" t="s">
        <v>12</v>
      </c>
      <c r="F16723">
        <v>64781575</v>
      </c>
      <c r="G16723">
        <v>64781655</v>
      </c>
      <c r="H16723">
        <v>64781575</v>
      </c>
      <c r="I16723">
        <v>64781655</v>
      </c>
    </row>
    <row r="16724" spans="1:9" x14ac:dyDescent="0.2">
      <c r="A16724" s="1" t="str">
        <f>"SNX15"</f>
        <v>SNX15</v>
      </c>
      <c r="B16724" t="s">
        <v>13</v>
      </c>
      <c r="C16724" t="s">
        <v>27</v>
      </c>
      <c r="D16724" t="s">
        <v>17</v>
      </c>
      <c r="E16724" t="s">
        <v>12</v>
      </c>
      <c r="F16724">
        <v>64794875</v>
      </c>
      <c r="G16724">
        <v>64794983</v>
      </c>
      <c r="H16724">
        <v>64794875</v>
      </c>
      <c r="I16724">
        <v>64794983</v>
      </c>
    </row>
    <row r="16725" spans="1:9" x14ac:dyDescent="0.2">
      <c r="A16725" s="1" t="str">
        <f>"SNX16"</f>
        <v>SNX16</v>
      </c>
      <c r="B16725" t="s">
        <v>14</v>
      </c>
      <c r="C16725" t="s">
        <v>30</v>
      </c>
      <c r="D16725" t="s">
        <v>11</v>
      </c>
      <c r="E16725" t="s">
        <v>12</v>
      </c>
      <c r="F16725">
        <v>82754388</v>
      </c>
      <c r="G16725">
        <v>82754426</v>
      </c>
      <c r="H16725">
        <v>82754427</v>
      </c>
      <c r="I16725">
        <v>82754475</v>
      </c>
    </row>
    <row r="16726" spans="1:9" x14ac:dyDescent="0.2">
      <c r="A16726" s="1" t="str">
        <f>"SNX17"</f>
        <v>SNX17</v>
      </c>
      <c r="B16726" t="s">
        <v>14</v>
      </c>
      <c r="C16726" t="s">
        <v>26</v>
      </c>
      <c r="D16726" t="s">
        <v>17</v>
      </c>
      <c r="E16726" t="s">
        <v>12</v>
      </c>
      <c r="F16726">
        <v>27593460</v>
      </c>
      <c r="G16726">
        <v>27593502</v>
      </c>
      <c r="H16726">
        <v>27593460</v>
      </c>
      <c r="I16726">
        <v>27593502</v>
      </c>
    </row>
    <row r="16727" spans="1:9" x14ac:dyDescent="0.2">
      <c r="A16727" s="1" t="str">
        <f>"SNX18"</f>
        <v>SNX18</v>
      </c>
      <c r="B16727" t="s">
        <v>14</v>
      </c>
      <c r="C16727" t="s">
        <v>46</v>
      </c>
      <c r="D16727" t="s">
        <v>17</v>
      </c>
      <c r="E16727" t="s">
        <v>12</v>
      </c>
      <c r="F16727">
        <v>53813536</v>
      </c>
      <c r="G16727">
        <v>53813613</v>
      </c>
      <c r="H16727">
        <v>53813536</v>
      </c>
      <c r="I16727">
        <v>53813613</v>
      </c>
    </row>
    <row r="16728" spans="1:9" x14ac:dyDescent="0.2">
      <c r="A16728" s="1" t="str">
        <f>"SNX19"</f>
        <v>SNX19</v>
      </c>
      <c r="B16728" t="s">
        <v>14</v>
      </c>
      <c r="C16728" t="s">
        <v>27</v>
      </c>
      <c r="D16728" t="s">
        <v>11</v>
      </c>
      <c r="E16728" t="s">
        <v>12</v>
      </c>
      <c r="F16728">
        <v>130786333</v>
      </c>
      <c r="G16728">
        <v>130786399</v>
      </c>
      <c r="H16728">
        <v>130786312</v>
      </c>
      <c r="I16728">
        <v>130786323</v>
      </c>
    </row>
    <row r="16729" spans="1:9" x14ac:dyDescent="0.2">
      <c r="A16729" s="1" t="str">
        <f>"SNX2"</f>
        <v>SNX2</v>
      </c>
      <c r="B16729" t="s">
        <v>14</v>
      </c>
      <c r="C16729" t="s">
        <v>46</v>
      </c>
      <c r="D16729" t="s">
        <v>17</v>
      </c>
      <c r="E16729" t="s">
        <v>12</v>
      </c>
      <c r="F16729">
        <v>122110718</v>
      </c>
      <c r="G16729">
        <v>122110800</v>
      </c>
      <c r="H16729">
        <v>122110718</v>
      </c>
      <c r="I16729">
        <v>122110800</v>
      </c>
    </row>
    <row r="16730" spans="1:9" x14ac:dyDescent="0.2">
      <c r="A16730" s="1" t="str">
        <f>"SNX20"</f>
        <v>SNX20</v>
      </c>
      <c r="B16730" t="s">
        <v>14</v>
      </c>
      <c r="C16730" t="s">
        <v>31</v>
      </c>
      <c r="D16730" t="s">
        <v>11</v>
      </c>
      <c r="E16730" t="s">
        <v>12</v>
      </c>
      <c r="F16730">
        <v>50715196</v>
      </c>
      <c r="G16730">
        <v>50715235</v>
      </c>
      <c r="H16730">
        <v>50715172</v>
      </c>
      <c r="I16730">
        <v>50715194</v>
      </c>
    </row>
    <row r="16731" spans="1:9" x14ac:dyDescent="0.2">
      <c r="A16731" s="1" t="str">
        <f>"SNX21"</f>
        <v>SNX21</v>
      </c>
      <c r="B16731" t="s">
        <v>14</v>
      </c>
      <c r="C16731" t="s">
        <v>29</v>
      </c>
      <c r="D16731" t="s">
        <v>17</v>
      </c>
      <c r="E16731" t="s">
        <v>12</v>
      </c>
      <c r="F16731">
        <v>44462430</v>
      </c>
      <c r="G16731">
        <v>44462476</v>
      </c>
      <c r="H16731">
        <v>44462801</v>
      </c>
      <c r="I16731">
        <v>44462825</v>
      </c>
    </row>
    <row r="16732" spans="1:9" x14ac:dyDescent="0.2">
      <c r="A16732" s="1" t="str">
        <f>"SNX22"</f>
        <v>SNX22</v>
      </c>
      <c r="B16732" t="s">
        <v>14</v>
      </c>
      <c r="C16732" t="s">
        <v>25</v>
      </c>
      <c r="D16732" t="s">
        <v>17</v>
      </c>
      <c r="E16732" t="s">
        <v>12</v>
      </c>
      <c r="F16732">
        <v>64443905</v>
      </c>
      <c r="G16732">
        <v>64443943</v>
      </c>
      <c r="H16732">
        <v>64443950</v>
      </c>
      <c r="I16732">
        <v>64443961</v>
      </c>
    </row>
    <row r="16733" spans="1:9" x14ac:dyDescent="0.2">
      <c r="A16733" s="1" t="str">
        <f>"SNX24"</f>
        <v>SNX24</v>
      </c>
      <c r="B16733" t="s">
        <v>14</v>
      </c>
      <c r="C16733" t="s">
        <v>46</v>
      </c>
      <c r="D16733" t="s">
        <v>17</v>
      </c>
      <c r="E16733" t="s">
        <v>12</v>
      </c>
      <c r="F16733">
        <v>122181279</v>
      </c>
      <c r="G16733">
        <v>122181317</v>
      </c>
      <c r="H16733">
        <v>122181128</v>
      </c>
      <c r="I16733">
        <v>122181143</v>
      </c>
    </row>
    <row r="16734" spans="1:9" x14ac:dyDescent="0.2">
      <c r="A16734" s="1" t="str">
        <f>"SNX25"</f>
        <v>SNX25</v>
      </c>
      <c r="B16734" t="s">
        <v>14</v>
      </c>
      <c r="C16734" t="s">
        <v>23</v>
      </c>
      <c r="D16734" t="s">
        <v>17</v>
      </c>
      <c r="E16734" t="s">
        <v>12</v>
      </c>
      <c r="F16734">
        <v>186130703</v>
      </c>
      <c r="G16734">
        <v>186130735</v>
      </c>
      <c r="H16734">
        <v>186130779</v>
      </c>
      <c r="I16734">
        <v>186130806</v>
      </c>
    </row>
    <row r="16735" spans="1:9" x14ac:dyDescent="0.2">
      <c r="A16735" s="1" t="str">
        <f>"SNX27"</f>
        <v>SNX27</v>
      </c>
      <c r="B16735" t="s">
        <v>14</v>
      </c>
      <c r="C16735" t="s">
        <v>19</v>
      </c>
      <c r="D16735" t="s">
        <v>17</v>
      </c>
      <c r="E16735" t="s">
        <v>12</v>
      </c>
      <c r="F16735">
        <v>151584654</v>
      </c>
      <c r="G16735">
        <v>151584678</v>
      </c>
      <c r="H16735">
        <v>151584544</v>
      </c>
      <c r="I16735">
        <v>151584557</v>
      </c>
    </row>
    <row r="16736" spans="1:9" x14ac:dyDescent="0.2">
      <c r="A16736" s="1" t="str">
        <f>"SNX29"</f>
        <v>SNX29</v>
      </c>
      <c r="B16736" t="s">
        <v>1564</v>
      </c>
      <c r="C16736" t="s">
        <v>31</v>
      </c>
      <c r="D16736" t="s">
        <v>17</v>
      </c>
      <c r="E16736" t="s">
        <v>20</v>
      </c>
      <c r="F16736">
        <v>12146054</v>
      </c>
      <c r="G16736">
        <v>12146054</v>
      </c>
      <c r="H16736">
        <v>12146054</v>
      </c>
      <c r="I16736">
        <v>12146054</v>
      </c>
    </row>
    <row r="16737" spans="1:9" x14ac:dyDescent="0.2">
      <c r="A16737" s="1" t="str">
        <f>"SNX3"</f>
        <v>SNX3</v>
      </c>
      <c r="B16737" t="s">
        <v>14</v>
      </c>
      <c r="C16737" t="s">
        <v>32</v>
      </c>
      <c r="D16737" t="s">
        <v>11</v>
      </c>
      <c r="E16737" t="s">
        <v>12</v>
      </c>
      <c r="F16737">
        <v>108582190</v>
      </c>
      <c r="G16737">
        <v>108582256</v>
      </c>
      <c r="H16737">
        <v>108582190</v>
      </c>
      <c r="I16737">
        <v>108582256</v>
      </c>
    </row>
    <row r="16738" spans="1:9" x14ac:dyDescent="0.2">
      <c r="A16738" s="1" t="str">
        <f>"SNX30"</f>
        <v>SNX30</v>
      </c>
      <c r="B16738" t="s">
        <v>14</v>
      </c>
      <c r="C16738" t="s">
        <v>24</v>
      </c>
      <c r="D16738" t="s">
        <v>17</v>
      </c>
      <c r="E16738" t="s">
        <v>12</v>
      </c>
      <c r="F16738">
        <v>115513003</v>
      </c>
      <c r="G16738">
        <v>115513137</v>
      </c>
      <c r="H16738">
        <v>115513003</v>
      </c>
      <c r="I16738">
        <v>115513137</v>
      </c>
    </row>
    <row r="16739" spans="1:9" x14ac:dyDescent="0.2">
      <c r="A16739" s="1" t="str">
        <f>"SNX31"</f>
        <v>SNX31</v>
      </c>
      <c r="B16739" t="s">
        <v>14</v>
      </c>
      <c r="C16739" t="s">
        <v>30</v>
      </c>
      <c r="D16739" t="s">
        <v>11</v>
      </c>
      <c r="E16739" t="s">
        <v>12</v>
      </c>
      <c r="F16739">
        <v>101661856</v>
      </c>
      <c r="G16739">
        <v>101661868</v>
      </c>
      <c r="H16739">
        <v>101661887</v>
      </c>
      <c r="I16739">
        <v>101661901</v>
      </c>
    </row>
    <row r="16740" spans="1:9" x14ac:dyDescent="0.2">
      <c r="A16740" s="1" t="str">
        <f>"SNX32"</f>
        <v>SNX32</v>
      </c>
      <c r="B16740" t="s">
        <v>14</v>
      </c>
      <c r="C16740" t="s">
        <v>27</v>
      </c>
      <c r="D16740" t="s">
        <v>17</v>
      </c>
      <c r="E16740" t="s">
        <v>12</v>
      </c>
      <c r="F16740">
        <v>65601415</v>
      </c>
      <c r="G16740">
        <v>65601446</v>
      </c>
      <c r="H16740">
        <v>65601447</v>
      </c>
      <c r="I16740">
        <v>65601466</v>
      </c>
    </row>
    <row r="16741" spans="1:9" x14ac:dyDescent="0.2">
      <c r="A16741" s="1" t="str">
        <f>"SNX33"</f>
        <v>SNX33</v>
      </c>
      <c r="B16741" t="s">
        <v>14</v>
      </c>
      <c r="C16741" t="s">
        <v>25</v>
      </c>
      <c r="D16741" t="s">
        <v>17</v>
      </c>
      <c r="E16741" t="s">
        <v>12</v>
      </c>
      <c r="F16741">
        <v>75940218</v>
      </c>
      <c r="G16741">
        <v>75940298</v>
      </c>
      <c r="H16741">
        <v>75940137</v>
      </c>
      <c r="I16741">
        <v>75940179</v>
      </c>
    </row>
    <row r="16742" spans="1:9" x14ac:dyDescent="0.2">
      <c r="A16742" s="1" t="str">
        <f>"SNX4"</f>
        <v>SNX4</v>
      </c>
      <c r="B16742" t="s">
        <v>14</v>
      </c>
      <c r="C16742" t="s">
        <v>22</v>
      </c>
      <c r="D16742" t="s">
        <v>11</v>
      </c>
      <c r="E16742" t="s">
        <v>12</v>
      </c>
      <c r="F16742">
        <v>125239010</v>
      </c>
      <c r="G16742">
        <v>125239055</v>
      </c>
      <c r="H16742">
        <v>125239010</v>
      </c>
      <c r="I16742">
        <v>125239055</v>
      </c>
    </row>
    <row r="16743" spans="1:9" x14ac:dyDescent="0.2">
      <c r="A16743" s="1" t="str">
        <f>"SNX5"</f>
        <v>SNX5</v>
      </c>
      <c r="B16743" t="s">
        <v>14</v>
      </c>
      <c r="C16743" t="s">
        <v>29</v>
      </c>
      <c r="D16743" t="s">
        <v>11</v>
      </c>
      <c r="E16743" t="s">
        <v>12</v>
      </c>
      <c r="F16743">
        <v>17949425</v>
      </c>
      <c r="G16743">
        <v>17949444</v>
      </c>
      <c r="H16743">
        <v>17949143</v>
      </c>
      <c r="I16743">
        <v>17949183</v>
      </c>
    </row>
    <row r="16744" spans="1:9" x14ac:dyDescent="0.2">
      <c r="A16744" s="1" t="str">
        <f>"SNX6"</f>
        <v>SNX6</v>
      </c>
      <c r="B16744" t="s">
        <v>14</v>
      </c>
      <c r="C16744" t="s">
        <v>41</v>
      </c>
      <c r="D16744" t="s">
        <v>11</v>
      </c>
      <c r="E16744" t="s">
        <v>12</v>
      </c>
      <c r="F16744">
        <v>35099317</v>
      </c>
      <c r="G16744">
        <v>35099369</v>
      </c>
      <c r="H16744">
        <v>35099377</v>
      </c>
      <c r="I16744">
        <v>35099388</v>
      </c>
    </row>
    <row r="16745" spans="1:9" x14ac:dyDescent="0.2">
      <c r="A16745" s="1" t="str">
        <f>"SNX7"</f>
        <v>SNX7</v>
      </c>
      <c r="B16745" t="s">
        <v>14</v>
      </c>
      <c r="C16745" t="s">
        <v>19</v>
      </c>
      <c r="D16745" t="s">
        <v>17</v>
      </c>
      <c r="E16745" t="s">
        <v>12</v>
      </c>
      <c r="F16745">
        <v>99127265</v>
      </c>
      <c r="G16745">
        <v>99127290</v>
      </c>
      <c r="H16745">
        <v>99127225</v>
      </c>
      <c r="I16745">
        <v>99127260</v>
      </c>
    </row>
    <row r="16746" spans="1:9" x14ac:dyDescent="0.2">
      <c r="A16746" s="1" t="str">
        <f>"SNX8"</f>
        <v>SNX8</v>
      </c>
      <c r="B16746" t="s">
        <v>14</v>
      </c>
      <c r="C16746" t="s">
        <v>33</v>
      </c>
      <c r="D16746" t="s">
        <v>11</v>
      </c>
      <c r="E16746" t="s">
        <v>12</v>
      </c>
      <c r="F16746">
        <v>2354000</v>
      </c>
      <c r="G16746">
        <v>2354086</v>
      </c>
      <c r="H16746">
        <v>2354104</v>
      </c>
      <c r="I16746">
        <v>2354115</v>
      </c>
    </row>
    <row r="16747" spans="1:9" x14ac:dyDescent="0.2">
      <c r="A16747" s="1" t="str">
        <f>"SNX9"</f>
        <v>SNX9</v>
      </c>
      <c r="B16747" t="s">
        <v>14</v>
      </c>
      <c r="C16747" t="s">
        <v>32</v>
      </c>
      <c r="D16747" t="s">
        <v>17</v>
      </c>
      <c r="E16747" t="s">
        <v>12</v>
      </c>
      <c r="F16747">
        <v>158244223</v>
      </c>
      <c r="G16747">
        <v>158244301</v>
      </c>
      <c r="H16747">
        <v>158244302</v>
      </c>
      <c r="I16747">
        <v>158244315</v>
      </c>
    </row>
    <row r="16748" spans="1:9" x14ac:dyDescent="0.2">
      <c r="A16748" s="1" t="str">
        <f>"SOAT1"</f>
        <v>SOAT1</v>
      </c>
      <c r="B16748" t="s">
        <v>14</v>
      </c>
      <c r="C16748" t="s">
        <v>19</v>
      </c>
      <c r="D16748" t="s">
        <v>17</v>
      </c>
      <c r="E16748" t="s">
        <v>12</v>
      </c>
      <c r="F16748">
        <v>179262905</v>
      </c>
      <c r="G16748">
        <v>179262986</v>
      </c>
      <c r="H16748">
        <v>179262870</v>
      </c>
      <c r="I16748">
        <v>179262888</v>
      </c>
    </row>
    <row r="16749" spans="1:9" x14ac:dyDescent="0.2">
      <c r="A16749" s="1" t="str">
        <f>"SOAT2"</f>
        <v>SOAT2</v>
      </c>
      <c r="B16749" t="s">
        <v>14</v>
      </c>
      <c r="C16749" t="s">
        <v>16</v>
      </c>
      <c r="D16749" t="s">
        <v>17</v>
      </c>
      <c r="E16749" t="s">
        <v>12</v>
      </c>
      <c r="F16749">
        <v>53497263</v>
      </c>
      <c r="G16749">
        <v>53497311</v>
      </c>
      <c r="H16749">
        <v>53497263</v>
      </c>
      <c r="I16749">
        <v>53497311</v>
      </c>
    </row>
    <row r="16750" spans="1:9" x14ac:dyDescent="0.2">
      <c r="A16750" s="1" t="str">
        <f>"SOBP"</f>
        <v>SOBP</v>
      </c>
      <c r="B16750" t="s">
        <v>14</v>
      </c>
      <c r="C16750" t="s">
        <v>32</v>
      </c>
      <c r="D16750" t="s">
        <v>17</v>
      </c>
      <c r="E16750" t="s">
        <v>12</v>
      </c>
      <c r="F16750">
        <v>107811307</v>
      </c>
      <c r="G16750">
        <v>107811346</v>
      </c>
      <c r="H16750">
        <v>107811268</v>
      </c>
      <c r="I16750">
        <v>107811286</v>
      </c>
    </row>
    <row r="16751" spans="1:9" x14ac:dyDescent="0.2">
      <c r="A16751" s="1" t="str">
        <f>"SOCS1"</f>
        <v>SOCS1</v>
      </c>
      <c r="B16751" t="s">
        <v>14</v>
      </c>
      <c r="C16751" t="s">
        <v>31</v>
      </c>
      <c r="D16751" t="s">
        <v>11</v>
      </c>
      <c r="E16751" t="s">
        <v>12</v>
      </c>
      <c r="F16751">
        <v>11350049</v>
      </c>
      <c r="G16751">
        <v>11350067</v>
      </c>
      <c r="H16751">
        <v>11349531</v>
      </c>
      <c r="I16751">
        <v>11349567</v>
      </c>
    </row>
    <row r="16752" spans="1:9" x14ac:dyDescent="0.2">
      <c r="A16752" s="1" t="str">
        <f>"SOCS2"</f>
        <v>SOCS2</v>
      </c>
      <c r="B16752" t="s">
        <v>14</v>
      </c>
      <c r="C16752" t="s">
        <v>16</v>
      </c>
      <c r="D16752" t="s">
        <v>17</v>
      </c>
      <c r="E16752" t="s">
        <v>12</v>
      </c>
      <c r="F16752">
        <v>93964769</v>
      </c>
      <c r="G16752">
        <v>93964848</v>
      </c>
      <c r="H16752">
        <v>93965609</v>
      </c>
      <c r="I16752">
        <v>93965692</v>
      </c>
    </row>
    <row r="16753" spans="1:9" x14ac:dyDescent="0.2">
      <c r="A16753" s="1" t="str">
        <f>"SOCS3"</f>
        <v>SOCS3</v>
      </c>
      <c r="B16753" t="s">
        <v>14</v>
      </c>
      <c r="C16753" t="s">
        <v>28</v>
      </c>
      <c r="D16753" t="s">
        <v>11</v>
      </c>
      <c r="E16753" t="s">
        <v>12</v>
      </c>
      <c r="F16753">
        <v>76356148</v>
      </c>
      <c r="G16753">
        <v>76356165</v>
      </c>
      <c r="H16753">
        <v>76356237</v>
      </c>
      <c r="I16753">
        <v>76356282</v>
      </c>
    </row>
    <row r="16754" spans="1:9" x14ac:dyDescent="0.2">
      <c r="A16754" s="1" t="str">
        <f>"SOCS4"</f>
        <v>SOCS4</v>
      </c>
      <c r="B16754" t="s">
        <v>14</v>
      </c>
      <c r="C16754" t="s">
        <v>41</v>
      </c>
      <c r="D16754" t="s">
        <v>17</v>
      </c>
      <c r="E16754" t="s">
        <v>12</v>
      </c>
      <c r="F16754">
        <v>55493920</v>
      </c>
      <c r="G16754">
        <v>55494013</v>
      </c>
      <c r="H16754">
        <v>55493873</v>
      </c>
      <c r="I16754">
        <v>55493887</v>
      </c>
    </row>
    <row r="16755" spans="1:9" x14ac:dyDescent="0.2">
      <c r="A16755" s="1" t="str">
        <f>"SOCS5"</f>
        <v>SOCS5</v>
      </c>
      <c r="B16755" t="s">
        <v>14</v>
      </c>
      <c r="C16755" t="s">
        <v>26</v>
      </c>
      <c r="D16755" t="s">
        <v>17</v>
      </c>
      <c r="E16755" t="s">
        <v>12</v>
      </c>
      <c r="F16755">
        <v>46926380</v>
      </c>
      <c r="G16755">
        <v>46926452</v>
      </c>
      <c r="H16755">
        <v>46926048</v>
      </c>
      <c r="I16755">
        <v>46926095</v>
      </c>
    </row>
    <row r="16756" spans="1:9" x14ac:dyDescent="0.2">
      <c r="A16756" s="1" t="str">
        <f>"SOCS6"</f>
        <v>SOCS6</v>
      </c>
      <c r="B16756" t="s">
        <v>14</v>
      </c>
      <c r="C16756" t="s">
        <v>43</v>
      </c>
      <c r="D16756" t="s">
        <v>17</v>
      </c>
      <c r="E16756" t="s">
        <v>12</v>
      </c>
      <c r="F16756">
        <v>67956244</v>
      </c>
      <c r="G16756">
        <v>67956287</v>
      </c>
      <c r="H16756">
        <v>67956111</v>
      </c>
      <c r="I16756">
        <v>67956128</v>
      </c>
    </row>
    <row r="16757" spans="1:9" x14ac:dyDescent="0.2">
      <c r="A16757" s="1" t="str">
        <f>"SOCS7"</f>
        <v>SOCS7</v>
      </c>
      <c r="B16757" t="s">
        <v>14</v>
      </c>
      <c r="C16757" t="s">
        <v>28</v>
      </c>
      <c r="D16757" t="s">
        <v>17</v>
      </c>
      <c r="E16757" t="s">
        <v>12</v>
      </c>
      <c r="F16757">
        <v>36507718</v>
      </c>
      <c r="G16757">
        <v>36507759</v>
      </c>
      <c r="H16757">
        <v>36507778</v>
      </c>
      <c r="I16757">
        <v>36507812</v>
      </c>
    </row>
    <row r="16758" spans="1:9" x14ac:dyDescent="0.2">
      <c r="A16758" s="1" t="str">
        <f>"SOD1"</f>
        <v>SOD1</v>
      </c>
      <c r="B16758" t="s">
        <v>14</v>
      </c>
      <c r="C16758" t="s">
        <v>42</v>
      </c>
      <c r="D16758" t="s">
        <v>17</v>
      </c>
      <c r="E16758" t="s">
        <v>12</v>
      </c>
      <c r="F16758">
        <v>33031995</v>
      </c>
      <c r="G16758">
        <v>33032013</v>
      </c>
      <c r="H16758">
        <v>33032450</v>
      </c>
      <c r="I16758">
        <v>33032491</v>
      </c>
    </row>
    <row r="16759" spans="1:9" x14ac:dyDescent="0.2">
      <c r="A16759" s="1" t="str">
        <f>"SOD2"</f>
        <v>SOD2</v>
      </c>
      <c r="B16759" t="s">
        <v>14</v>
      </c>
      <c r="C16759" t="s">
        <v>32</v>
      </c>
      <c r="D16759" t="s">
        <v>11</v>
      </c>
      <c r="E16759" t="s">
        <v>12</v>
      </c>
      <c r="F16759">
        <v>160114266</v>
      </c>
      <c r="G16759">
        <v>160114282</v>
      </c>
      <c r="H16759">
        <v>160114293</v>
      </c>
      <c r="I16759">
        <v>160114305</v>
      </c>
    </row>
    <row r="16760" spans="1:9" x14ac:dyDescent="0.2">
      <c r="A16760" s="1" t="str">
        <f>"SOD3"</f>
        <v>SOD3</v>
      </c>
      <c r="B16760" t="s">
        <v>14</v>
      </c>
      <c r="C16760" t="s">
        <v>23</v>
      </c>
      <c r="D16760" t="s">
        <v>17</v>
      </c>
      <c r="E16760" t="s">
        <v>12</v>
      </c>
      <c r="F16760">
        <v>24797182</v>
      </c>
      <c r="G16760">
        <v>24797214</v>
      </c>
      <c r="H16760">
        <v>24797165</v>
      </c>
      <c r="I16760">
        <v>24797180</v>
      </c>
    </row>
    <row r="16761" spans="1:9" x14ac:dyDescent="0.2">
      <c r="A16761" s="1" t="str">
        <f>"SOGA1"</f>
        <v>SOGA1</v>
      </c>
      <c r="B16761" t="s">
        <v>14</v>
      </c>
      <c r="C16761" t="s">
        <v>29</v>
      </c>
      <c r="D16761" t="s">
        <v>11</v>
      </c>
      <c r="E16761" t="s">
        <v>12</v>
      </c>
      <c r="F16761">
        <v>35491920</v>
      </c>
      <c r="G16761">
        <v>35491953</v>
      </c>
      <c r="H16761">
        <v>35492048</v>
      </c>
      <c r="I16761">
        <v>35492118</v>
      </c>
    </row>
    <row r="16762" spans="1:9" x14ac:dyDescent="0.2">
      <c r="A16762" s="1" t="str">
        <f>"SOGA2"</f>
        <v>SOGA2</v>
      </c>
      <c r="B16762" t="s">
        <v>1565</v>
      </c>
      <c r="C16762" t="s">
        <v>43</v>
      </c>
      <c r="D16762" t="s">
        <v>17</v>
      </c>
      <c r="E16762" t="s">
        <v>20</v>
      </c>
      <c r="F16762">
        <v>8717368</v>
      </c>
      <c r="G16762">
        <v>8717368</v>
      </c>
      <c r="H16762">
        <v>8717368</v>
      </c>
      <c r="I16762">
        <v>8717368</v>
      </c>
    </row>
    <row r="16763" spans="1:9" x14ac:dyDescent="0.2">
      <c r="A16763" s="1" t="str">
        <f>"SOGA2"</f>
        <v>SOGA2</v>
      </c>
      <c r="B16763" t="s">
        <v>1566</v>
      </c>
      <c r="C16763" t="s">
        <v>43</v>
      </c>
      <c r="D16763" t="s">
        <v>17</v>
      </c>
      <c r="E16763" t="s">
        <v>35</v>
      </c>
      <c r="F16763">
        <v>8707427</v>
      </c>
      <c r="G16763">
        <v>8707429</v>
      </c>
      <c r="H16763">
        <v>8707453</v>
      </c>
      <c r="I16763">
        <v>8707466</v>
      </c>
    </row>
    <row r="16764" spans="1:9" x14ac:dyDescent="0.2">
      <c r="A16764" s="1" t="str">
        <f>"SOGA3"</f>
        <v>SOGA3</v>
      </c>
      <c r="B16764" t="s">
        <v>14</v>
      </c>
      <c r="C16764" t="s">
        <v>32</v>
      </c>
      <c r="D16764" t="s">
        <v>11</v>
      </c>
      <c r="E16764" t="s">
        <v>12</v>
      </c>
      <c r="F16764">
        <v>127837142</v>
      </c>
      <c r="G16764">
        <v>127837208</v>
      </c>
      <c r="H16764">
        <v>127837672</v>
      </c>
      <c r="I16764">
        <v>127837701</v>
      </c>
    </row>
    <row r="16765" spans="1:9" x14ac:dyDescent="0.2">
      <c r="A16765" s="1" t="str">
        <f>"SOHLH1"</f>
        <v>SOHLH1</v>
      </c>
      <c r="B16765" t="s">
        <v>14</v>
      </c>
      <c r="C16765" t="s">
        <v>24</v>
      </c>
      <c r="D16765" t="s">
        <v>11</v>
      </c>
      <c r="E16765" t="s">
        <v>12</v>
      </c>
      <c r="F16765">
        <v>138591319</v>
      </c>
      <c r="G16765">
        <v>138591340</v>
      </c>
      <c r="H16765">
        <v>138591347</v>
      </c>
      <c r="I16765">
        <v>138591353</v>
      </c>
    </row>
    <row r="16766" spans="1:9" x14ac:dyDescent="0.2">
      <c r="A16766" s="1" t="str">
        <f>"SOHLH2"</f>
        <v>SOHLH2</v>
      </c>
      <c r="B16766" t="s">
        <v>1567</v>
      </c>
      <c r="C16766" t="s">
        <v>39</v>
      </c>
      <c r="D16766" t="s">
        <v>11</v>
      </c>
      <c r="E16766" t="s">
        <v>35</v>
      </c>
      <c r="F16766">
        <v>36788718</v>
      </c>
      <c r="G16766">
        <v>36788729</v>
      </c>
      <c r="H16766">
        <v>36788658</v>
      </c>
      <c r="I16766">
        <v>36788703</v>
      </c>
    </row>
    <row r="16767" spans="1:9" x14ac:dyDescent="0.2">
      <c r="A16767" s="1" t="str">
        <f>"SON"</f>
        <v>SON</v>
      </c>
      <c r="B16767" t="s">
        <v>9</v>
      </c>
      <c r="C16767" t="s">
        <v>42</v>
      </c>
      <c r="D16767" t="s">
        <v>17</v>
      </c>
      <c r="E16767" t="s">
        <v>12</v>
      </c>
      <c r="F16767">
        <v>34915337</v>
      </c>
      <c r="G16767">
        <v>34915397</v>
      </c>
      <c r="H16767">
        <v>34915337</v>
      </c>
      <c r="I16767">
        <v>34915397</v>
      </c>
    </row>
    <row r="16768" spans="1:9" x14ac:dyDescent="0.2">
      <c r="A16768" s="1" t="str">
        <f>"SON"</f>
        <v>SON</v>
      </c>
      <c r="B16768" t="s">
        <v>13</v>
      </c>
      <c r="C16768" t="s">
        <v>42</v>
      </c>
      <c r="D16768" t="s">
        <v>17</v>
      </c>
      <c r="E16768" t="s">
        <v>12</v>
      </c>
      <c r="F16768">
        <v>34921788</v>
      </c>
      <c r="G16768">
        <v>34921825</v>
      </c>
      <c r="H16768">
        <v>34921788</v>
      </c>
      <c r="I16768">
        <v>34921825</v>
      </c>
    </row>
    <row r="16769" spans="1:9" x14ac:dyDescent="0.2">
      <c r="A16769" s="1" t="str">
        <f>"SORBS1"</f>
        <v>SORBS1</v>
      </c>
      <c r="B16769" t="s">
        <v>9</v>
      </c>
      <c r="C16769" t="s">
        <v>15</v>
      </c>
      <c r="D16769" t="s">
        <v>11</v>
      </c>
      <c r="E16769" t="s">
        <v>12</v>
      </c>
      <c r="F16769">
        <v>97321120</v>
      </c>
      <c r="G16769">
        <v>97321163</v>
      </c>
      <c r="H16769">
        <v>97321120</v>
      </c>
      <c r="I16769">
        <v>97321163</v>
      </c>
    </row>
    <row r="16770" spans="1:9" x14ac:dyDescent="0.2">
      <c r="A16770" s="1" t="str">
        <f>"SORBS1"</f>
        <v>SORBS1</v>
      </c>
      <c r="B16770" t="s">
        <v>13</v>
      </c>
      <c r="C16770" t="s">
        <v>15</v>
      </c>
      <c r="D16770" t="s">
        <v>11</v>
      </c>
      <c r="E16770" t="s">
        <v>12</v>
      </c>
      <c r="F16770">
        <v>97175444</v>
      </c>
      <c r="G16770">
        <v>97175481</v>
      </c>
      <c r="H16770">
        <v>97175444</v>
      </c>
      <c r="I16770">
        <v>97175481</v>
      </c>
    </row>
    <row r="16771" spans="1:9" x14ac:dyDescent="0.2">
      <c r="A16771" s="1" t="str">
        <f>"SORBS2"</f>
        <v>SORBS2</v>
      </c>
      <c r="B16771" t="s">
        <v>9</v>
      </c>
      <c r="C16771" t="s">
        <v>23</v>
      </c>
      <c r="D16771" t="s">
        <v>11</v>
      </c>
      <c r="E16771" t="s">
        <v>12</v>
      </c>
      <c r="F16771">
        <v>186577832</v>
      </c>
      <c r="G16771">
        <v>186577907</v>
      </c>
      <c r="H16771">
        <v>186577832</v>
      </c>
      <c r="I16771">
        <v>186577907</v>
      </c>
    </row>
    <row r="16772" spans="1:9" x14ac:dyDescent="0.2">
      <c r="A16772" s="1" t="str">
        <f>"SORBS2"</f>
        <v>SORBS2</v>
      </c>
      <c r="B16772" t="s">
        <v>13</v>
      </c>
      <c r="C16772" t="s">
        <v>23</v>
      </c>
      <c r="D16772" t="s">
        <v>11</v>
      </c>
      <c r="E16772" t="s">
        <v>12</v>
      </c>
      <c r="F16772">
        <v>186696561</v>
      </c>
      <c r="G16772">
        <v>186696634</v>
      </c>
      <c r="H16772">
        <v>186696561</v>
      </c>
      <c r="I16772">
        <v>186696634</v>
      </c>
    </row>
    <row r="16773" spans="1:9" x14ac:dyDescent="0.2">
      <c r="A16773" s="1" t="str">
        <f>"SORBS3"</f>
        <v>SORBS3</v>
      </c>
      <c r="B16773" t="s">
        <v>14</v>
      </c>
      <c r="C16773" t="s">
        <v>30</v>
      </c>
      <c r="D16773" t="s">
        <v>17</v>
      </c>
      <c r="E16773" t="s">
        <v>12</v>
      </c>
      <c r="F16773">
        <v>22423219</v>
      </c>
      <c r="G16773">
        <v>22423330</v>
      </c>
      <c r="H16773">
        <v>22423479</v>
      </c>
      <c r="I16773">
        <v>22423528</v>
      </c>
    </row>
    <row r="16774" spans="1:9" x14ac:dyDescent="0.2">
      <c r="A16774" s="1" t="str">
        <f>"SORCS1"</f>
        <v>SORCS1</v>
      </c>
      <c r="B16774" t="s">
        <v>14</v>
      </c>
      <c r="C16774" t="s">
        <v>15</v>
      </c>
      <c r="D16774" t="s">
        <v>11</v>
      </c>
      <c r="E16774" t="s">
        <v>12</v>
      </c>
      <c r="F16774">
        <v>108924452</v>
      </c>
      <c r="G16774">
        <v>108924471</v>
      </c>
      <c r="H16774">
        <v>108924477</v>
      </c>
      <c r="I16774">
        <v>108924530</v>
      </c>
    </row>
    <row r="16775" spans="1:9" x14ac:dyDescent="0.2">
      <c r="A16775" s="1" t="str">
        <f>"SORCS2"</f>
        <v>SORCS2</v>
      </c>
      <c r="B16775" t="s">
        <v>14</v>
      </c>
      <c r="C16775" t="s">
        <v>23</v>
      </c>
      <c r="D16775" t="s">
        <v>17</v>
      </c>
      <c r="E16775" t="s">
        <v>12</v>
      </c>
      <c r="F16775">
        <v>7194247</v>
      </c>
      <c r="G16775">
        <v>7194312</v>
      </c>
      <c r="H16775">
        <v>7194797</v>
      </c>
      <c r="I16775">
        <v>7194812</v>
      </c>
    </row>
    <row r="16776" spans="1:9" x14ac:dyDescent="0.2">
      <c r="A16776" s="1" t="str">
        <f>"SORCS3"</f>
        <v>SORCS3</v>
      </c>
      <c r="B16776" t="s">
        <v>14</v>
      </c>
      <c r="C16776" t="s">
        <v>15</v>
      </c>
      <c r="D16776" t="s">
        <v>17</v>
      </c>
      <c r="E16776" t="s">
        <v>12</v>
      </c>
      <c r="F16776">
        <v>106401039</v>
      </c>
      <c r="G16776">
        <v>106401069</v>
      </c>
      <c r="H16776">
        <v>106401039</v>
      </c>
      <c r="I16776">
        <v>106401069</v>
      </c>
    </row>
    <row r="16777" spans="1:9" x14ac:dyDescent="0.2">
      <c r="A16777" s="1" t="str">
        <f>"SORD"</f>
        <v>SORD</v>
      </c>
      <c r="B16777" t="s">
        <v>14</v>
      </c>
      <c r="C16777" t="s">
        <v>25</v>
      </c>
      <c r="D16777" t="s">
        <v>17</v>
      </c>
      <c r="E16777" t="s">
        <v>12</v>
      </c>
      <c r="F16777">
        <v>45315338</v>
      </c>
      <c r="G16777">
        <v>45315440</v>
      </c>
      <c r="H16777">
        <v>45315302</v>
      </c>
      <c r="I16777">
        <v>45315309</v>
      </c>
    </row>
    <row r="16778" spans="1:9" x14ac:dyDescent="0.2">
      <c r="A16778" s="1" t="str">
        <f>"SORL1"</f>
        <v>SORL1</v>
      </c>
      <c r="B16778" t="s">
        <v>14</v>
      </c>
      <c r="C16778" t="s">
        <v>27</v>
      </c>
      <c r="D16778" t="s">
        <v>17</v>
      </c>
      <c r="E16778" t="s">
        <v>12</v>
      </c>
      <c r="F16778">
        <v>121323000</v>
      </c>
      <c r="G16778">
        <v>121323046</v>
      </c>
      <c r="H16778">
        <v>121322832</v>
      </c>
      <c r="I16778">
        <v>121322879</v>
      </c>
    </row>
    <row r="16779" spans="1:9" x14ac:dyDescent="0.2">
      <c r="A16779" s="1" t="str">
        <f>"SORT1"</f>
        <v>SORT1</v>
      </c>
      <c r="B16779" t="s">
        <v>14</v>
      </c>
      <c r="C16779" t="s">
        <v>19</v>
      </c>
      <c r="D16779" t="s">
        <v>11</v>
      </c>
      <c r="E16779" t="s">
        <v>12</v>
      </c>
      <c r="F16779">
        <v>109940510</v>
      </c>
      <c r="G16779">
        <v>109940549</v>
      </c>
      <c r="H16779">
        <v>109940550</v>
      </c>
      <c r="I16779">
        <v>109940565</v>
      </c>
    </row>
    <row r="16780" spans="1:9" x14ac:dyDescent="0.2">
      <c r="A16780" s="1" t="str">
        <f>"SOS1"</f>
        <v>SOS1</v>
      </c>
      <c r="B16780" t="s">
        <v>14</v>
      </c>
      <c r="C16780" t="s">
        <v>26</v>
      </c>
      <c r="D16780" t="s">
        <v>11</v>
      </c>
      <c r="E16780" t="s">
        <v>12</v>
      </c>
      <c r="F16780">
        <v>39348137</v>
      </c>
      <c r="G16780">
        <v>39348212</v>
      </c>
      <c r="H16780">
        <v>39348012</v>
      </c>
      <c r="I16780">
        <v>39348029</v>
      </c>
    </row>
    <row r="16781" spans="1:9" x14ac:dyDescent="0.2">
      <c r="A16781" s="1" t="str">
        <f>"SOS2"</f>
        <v>SOS2</v>
      </c>
      <c r="B16781" t="s">
        <v>14</v>
      </c>
      <c r="C16781" t="s">
        <v>41</v>
      </c>
      <c r="D16781" t="s">
        <v>11</v>
      </c>
      <c r="E16781" t="s">
        <v>12</v>
      </c>
      <c r="F16781">
        <v>50698288</v>
      </c>
      <c r="G16781">
        <v>50698304</v>
      </c>
      <c r="H16781">
        <v>50698592</v>
      </c>
      <c r="I16781">
        <v>50698607</v>
      </c>
    </row>
    <row r="16782" spans="1:9" x14ac:dyDescent="0.2">
      <c r="A16782" s="1" t="str">
        <f>"SOST"</f>
        <v>SOST</v>
      </c>
      <c r="B16782" t="s">
        <v>14</v>
      </c>
      <c r="C16782" t="s">
        <v>28</v>
      </c>
      <c r="D16782" t="s">
        <v>11</v>
      </c>
      <c r="E16782" t="s">
        <v>12</v>
      </c>
      <c r="F16782">
        <v>41836153</v>
      </c>
      <c r="G16782">
        <v>41836161</v>
      </c>
      <c r="H16782">
        <v>41836153</v>
      </c>
      <c r="I16782">
        <v>41836161</v>
      </c>
    </row>
    <row r="16783" spans="1:9" x14ac:dyDescent="0.2">
      <c r="A16783" s="1" t="str">
        <f>"SOSTDC1"</f>
        <v>SOSTDC1</v>
      </c>
      <c r="B16783" t="s">
        <v>14</v>
      </c>
      <c r="C16783" t="s">
        <v>33</v>
      </c>
      <c r="D16783" t="s">
        <v>11</v>
      </c>
      <c r="E16783" t="s">
        <v>12</v>
      </c>
      <c r="F16783">
        <v>16505355</v>
      </c>
      <c r="G16783">
        <v>16505368</v>
      </c>
      <c r="H16783">
        <v>16505416</v>
      </c>
      <c r="I16783">
        <v>16505438</v>
      </c>
    </row>
    <row r="16784" spans="1:9" x14ac:dyDescent="0.2">
      <c r="A16784" s="1" t="str">
        <f>"SOWAHA"</f>
        <v>SOWAHA</v>
      </c>
      <c r="B16784" t="s">
        <v>14</v>
      </c>
      <c r="C16784" t="s">
        <v>46</v>
      </c>
      <c r="D16784" t="s">
        <v>17</v>
      </c>
      <c r="E16784" t="s">
        <v>12</v>
      </c>
      <c r="F16784">
        <v>132149017</v>
      </c>
      <c r="G16784">
        <v>132149073</v>
      </c>
      <c r="H16784">
        <v>132148976</v>
      </c>
      <c r="I16784">
        <v>132149004</v>
      </c>
    </row>
    <row r="16785" spans="1:9" x14ac:dyDescent="0.2">
      <c r="A16785" s="1" t="str">
        <f>"SOWAHB"</f>
        <v>SOWAHB</v>
      </c>
      <c r="B16785" t="s">
        <v>14</v>
      </c>
      <c r="C16785" t="s">
        <v>23</v>
      </c>
      <c r="D16785" t="s">
        <v>11</v>
      </c>
      <c r="E16785" t="s">
        <v>12</v>
      </c>
      <c r="F16785">
        <v>77819284</v>
      </c>
      <c r="G16785">
        <v>77819307</v>
      </c>
      <c r="H16785">
        <v>77819284</v>
      </c>
      <c r="I16785">
        <v>77819307</v>
      </c>
    </row>
    <row r="16786" spans="1:9" x14ac:dyDescent="0.2">
      <c r="A16786" s="1" t="str">
        <f>"SOWAHC"</f>
        <v>SOWAHC</v>
      </c>
      <c r="B16786" t="s">
        <v>14</v>
      </c>
      <c r="C16786" t="s">
        <v>26</v>
      </c>
      <c r="D16786" t="s">
        <v>17</v>
      </c>
      <c r="E16786" t="s">
        <v>12</v>
      </c>
      <c r="F16786">
        <v>110371905</v>
      </c>
      <c r="G16786">
        <v>110371950</v>
      </c>
      <c r="H16786">
        <v>110371956</v>
      </c>
      <c r="I16786">
        <v>110371979</v>
      </c>
    </row>
    <row r="16787" spans="1:9" x14ac:dyDescent="0.2">
      <c r="A16787" s="1" t="str">
        <f>"SOWAHD"</f>
        <v>SOWAHD</v>
      </c>
      <c r="B16787" t="s">
        <v>14</v>
      </c>
      <c r="C16787" t="s">
        <v>37</v>
      </c>
      <c r="D16787" t="s">
        <v>17</v>
      </c>
      <c r="E16787" t="s">
        <v>12</v>
      </c>
      <c r="F16787">
        <v>118892545</v>
      </c>
      <c r="G16787">
        <v>118892562</v>
      </c>
      <c r="H16787">
        <v>118892511</v>
      </c>
      <c r="I16787">
        <v>118892526</v>
      </c>
    </row>
    <row r="16788" spans="1:9" x14ac:dyDescent="0.2">
      <c r="A16788" s="1" t="str">
        <f>"SOX1"</f>
        <v>SOX1</v>
      </c>
      <c r="B16788" t="s">
        <v>14</v>
      </c>
      <c r="C16788" t="s">
        <v>39</v>
      </c>
      <c r="D16788" t="s">
        <v>17</v>
      </c>
      <c r="E16788" t="s">
        <v>12</v>
      </c>
      <c r="F16788">
        <v>112721457</v>
      </c>
      <c r="G16788">
        <v>112721482</v>
      </c>
      <c r="H16788">
        <v>112721457</v>
      </c>
      <c r="I16788">
        <v>112721482</v>
      </c>
    </row>
    <row r="16789" spans="1:9" x14ac:dyDescent="0.2">
      <c r="A16789" s="1" t="str">
        <f>"SOX10"</f>
        <v>SOX10</v>
      </c>
      <c r="B16789" t="s">
        <v>14</v>
      </c>
      <c r="C16789" t="s">
        <v>21</v>
      </c>
      <c r="D16789" t="s">
        <v>11</v>
      </c>
      <c r="E16789" t="s">
        <v>12</v>
      </c>
      <c r="F16789">
        <v>38380543</v>
      </c>
      <c r="G16789">
        <v>38380569</v>
      </c>
      <c r="H16789">
        <v>38380543</v>
      </c>
      <c r="I16789">
        <v>38380569</v>
      </c>
    </row>
    <row r="16790" spans="1:9" x14ac:dyDescent="0.2">
      <c r="A16790" s="1" t="str">
        <f>"SOX11"</f>
        <v>SOX11</v>
      </c>
      <c r="B16790" t="s">
        <v>14</v>
      </c>
      <c r="C16790" t="s">
        <v>26</v>
      </c>
      <c r="D16790" t="s">
        <v>17</v>
      </c>
      <c r="E16790" t="s">
        <v>12</v>
      </c>
      <c r="F16790">
        <v>5832508</v>
      </c>
      <c r="G16790">
        <v>5832524</v>
      </c>
      <c r="H16790">
        <v>5832508</v>
      </c>
      <c r="I16790">
        <v>5832524</v>
      </c>
    </row>
    <row r="16791" spans="1:9" x14ac:dyDescent="0.2">
      <c r="A16791" s="1" t="str">
        <f>"SOX12"</f>
        <v>SOX12</v>
      </c>
      <c r="B16791" t="s">
        <v>14</v>
      </c>
      <c r="C16791" t="s">
        <v>29</v>
      </c>
      <c r="D16791" t="s">
        <v>17</v>
      </c>
      <c r="E16791" t="s">
        <v>12</v>
      </c>
      <c r="F16791">
        <v>306489</v>
      </c>
      <c r="G16791">
        <v>306564</v>
      </c>
      <c r="H16791">
        <v>306177</v>
      </c>
      <c r="I16791">
        <v>306211</v>
      </c>
    </row>
    <row r="16792" spans="1:9" x14ac:dyDescent="0.2">
      <c r="A16792" s="1" t="str">
        <f>"SOX13"</f>
        <v>SOX13</v>
      </c>
      <c r="B16792" t="s">
        <v>14</v>
      </c>
      <c r="C16792" t="s">
        <v>19</v>
      </c>
      <c r="D16792" t="s">
        <v>17</v>
      </c>
      <c r="E16792" t="s">
        <v>12</v>
      </c>
      <c r="F16792">
        <v>204042233</v>
      </c>
      <c r="G16792">
        <v>204042249</v>
      </c>
      <c r="H16792">
        <v>204042215</v>
      </c>
      <c r="I16792">
        <v>204042228</v>
      </c>
    </row>
    <row r="16793" spans="1:9" x14ac:dyDescent="0.2">
      <c r="A16793" s="1" t="str">
        <f>"SOX14"</f>
        <v>SOX14</v>
      </c>
      <c r="B16793" t="s">
        <v>14</v>
      </c>
      <c r="C16793" t="s">
        <v>22</v>
      </c>
      <c r="D16793" t="s">
        <v>17</v>
      </c>
      <c r="E16793" t="s">
        <v>12</v>
      </c>
      <c r="F16793">
        <v>137483141</v>
      </c>
      <c r="G16793">
        <v>137483162</v>
      </c>
      <c r="H16793">
        <v>137483141</v>
      </c>
      <c r="I16793">
        <v>137483162</v>
      </c>
    </row>
    <row r="16794" spans="1:9" x14ac:dyDescent="0.2">
      <c r="A16794" s="1" t="str">
        <f>"SOX15"</f>
        <v>SOX15</v>
      </c>
      <c r="B16794" t="s">
        <v>14</v>
      </c>
      <c r="C16794" t="s">
        <v>28</v>
      </c>
      <c r="D16794" t="s">
        <v>11</v>
      </c>
      <c r="E16794" t="s">
        <v>12</v>
      </c>
      <c r="F16794">
        <v>7493405</v>
      </c>
      <c r="G16794">
        <v>7493419</v>
      </c>
      <c r="H16794">
        <v>7492684</v>
      </c>
      <c r="I16794">
        <v>7492778</v>
      </c>
    </row>
    <row r="16795" spans="1:9" x14ac:dyDescent="0.2">
      <c r="A16795" s="1" t="str">
        <f>"SOX17"</f>
        <v>SOX17</v>
      </c>
      <c r="B16795" t="s">
        <v>14</v>
      </c>
      <c r="C16795" t="s">
        <v>30</v>
      </c>
      <c r="D16795" t="s">
        <v>17</v>
      </c>
      <c r="E16795" t="s">
        <v>12</v>
      </c>
      <c r="F16795">
        <v>55370487</v>
      </c>
      <c r="G16795">
        <v>55370503</v>
      </c>
      <c r="H16795">
        <v>55370720</v>
      </c>
      <c r="I16795">
        <v>55370733</v>
      </c>
    </row>
    <row r="16796" spans="1:9" x14ac:dyDescent="0.2">
      <c r="A16796" s="1" t="str">
        <f>"SOX18"</f>
        <v>SOX18</v>
      </c>
      <c r="B16796" t="s">
        <v>14</v>
      </c>
      <c r="C16796" t="s">
        <v>29</v>
      </c>
      <c r="D16796" t="s">
        <v>11</v>
      </c>
      <c r="E16796" t="s">
        <v>12</v>
      </c>
      <c r="F16796">
        <v>62680984</v>
      </c>
      <c r="G16796">
        <v>62680999</v>
      </c>
      <c r="H16796">
        <v>62680984</v>
      </c>
      <c r="I16796">
        <v>62680999</v>
      </c>
    </row>
    <row r="16797" spans="1:9" x14ac:dyDescent="0.2">
      <c r="A16797" s="1" t="str">
        <f>"SOX2"</f>
        <v>SOX2</v>
      </c>
      <c r="B16797" t="s">
        <v>14</v>
      </c>
      <c r="C16797" t="s">
        <v>22</v>
      </c>
      <c r="D16797" t="s">
        <v>17</v>
      </c>
      <c r="E16797" t="s">
        <v>12</v>
      </c>
      <c r="F16797">
        <v>181429704</v>
      </c>
      <c r="G16797">
        <v>181429722</v>
      </c>
      <c r="H16797">
        <v>181429741</v>
      </c>
      <c r="I16797">
        <v>181429767</v>
      </c>
    </row>
    <row r="16798" spans="1:9" x14ac:dyDescent="0.2">
      <c r="A16798" s="1" t="str">
        <f>"SOX21"</f>
        <v>SOX21</v>
      </c>
      <c r="B16798" t="s">
        <v>14</v>
      </c>
      <c r="C16798" t="s">
        <v>39</v>
      </c>
      <c r="D16798" t="s">
        <v>11</v>
      </c>
      <c r="E16798" t="s">
        <v>12</v>
      </c>
      <c r="F16798">
        <v>95364784</v>
      </c>
      <c r="G16798">
        <v>95364806</v>
      </c>
      <c r="H16798">
        <v>95364784</v>
      </c>
      <c r="I16798">
        <v>95364806</v>
      </c>
    </row>
    <row r="16799" spans="1:9" x14ac:dyDescent="0.2">
      <c r="A16799" s="1" t="str">
        <f>"SOX3"</f>
        <v>SOX3</v>
      </c>
      <c r="B16799" t="s">
        <v>14</v>
      </c>
      <c r="C16799" t="s">
        <v>37</v>
      </c>
      <c r="D16799" t="s">
        <v>11</v>
      </c>
      <c r="E16799" t="s">
        <v>12</v>
      </c>
      <c r="F16799">
        <v>139587228</v>
      </c>
      <c r="G16799">
        <v>139587234</v>
      </c>
      <c r="H16799">
        <v>139586996</v>
      </c>
      <c r="I16799">
        <v>139587022</v>
      </c>
    </row>
    <row r="16800" spans="1:9" x14ac:dyDescent="0.2">
      <c r="A16800" s="1" t="str">
        <f>"SOX30"</f>
        <v>SOX30</v>
      </c>
      <c r="B16800" t="s">
        <v>9</v>
      </c>
      <c r="C16800" t="s">
        <v>46</v>
      </c>
      <c r="D16800" t="s">
        <v>11</v>
      </c>
      <c r="E16800" t="s">
        <v>12</v>
      </c>
      <c r="F16800">
        <v>157079374</v>
      </c>
      <c r="G16800">
        <v>157079395</v>
      </c>
      <c r="H16800">
        <v>157079374</v>
      </c>
      <c r="I16800">
        <v>157079395</v>
      </c>
    </row>
    <row r="16801" spans="1:9" x14ac:dyDescent="0.2">
      <c r="A16801" s="1" t="str">
        <f>"SOX30"</f>
        <v>SOX30</v>
      </c>
      <c r="B16801" t="s">
        <v>13</v>
      </c>
      <c r="C16801" t="s">
        <v>46</v>
      </c>
      <c r="D16801" t="s">
        <v>11</v>
      </c>
      <c r="E16801" t="s">
        <v>12</v>
      </c>
      <c r="F16801">
        <v>157098440</v>
      </c>
      <c r="G16801">
        <v>157098464</v>
      </c>
      <c r="H16801">
        <v>157098440</v>
      </c>
      <c r="I16801">
        <v>157098464</v>
      </c>
    </row>
    <row r="16802" spans="1:9" x14ac:dyDescent="0.2">
      <c r="A16802" s="1" t="str">
        <f>"SOX4"</f>
        <v>SOX4</v>
      </c>
      <c r="B16802" t="s">
        <v>9</v>
      </c>
      <c r="C16802" t="s">
        <v>32</v>
      </c>
      <c r="D16802" t="s">
        <v>17</v>
      </c>
      <c r="E16802" t="s">
        <v>12</v>
      </c>
      <c r="F16802">
        <v>21593973</v>
      </c>
      <c r="G16802">
        <v>21593988</v>
      </c>
      <c r="H16802">
        <v>21593973</v>
      </c>
      <c r="I16802">
        <v>21593988</v>
      </c>
    </row>
    <row r="16803" spans="1:9" x14ac:dyDescent="0.2">
      <c r="A16803" s="1" t="str">
        <f>"SOX4"</f>
        <v>SOX4</v>
      </c>
      <c r="B16803" t="s">
        <v>13</v>
      </c>
      <c r="C16803" t="s">
        <v>32</v>
      </c>
      <c r="D16803" t="s">
        <v>17</v>
      </c>
      <c r="E16803" t="s">
        <v>12</v>
      </c>
      <c r="F16803">
        <v>21597765</v>
      </c>
      <c r="G16803">
        <v>21597779</v>
      </c>
      <c r="H16803">
        <v>21597765</v>
      </c>
      <c r="I16803">
        <v>21597779</v>
      </c>
    </row>
    <row r="16804" spans="1:9" x14ac:dyDescent="0.2">
      <c r="A16804" s="1" t="str">
        <f>"SOX5"</f>
        <v>SOX5</v>
      </c>
      <c r="B16804" t="s">
        <v>1568</v>
      </c>
      <c r="C16804" t="s">
        <v>16</v>
      </c>
      <c r="D16804" t="s">
        <v>11</v>
      </c>
      <c r="E16804" t="s">
        <v>75</v>
      </c>
      <c r="F16804">
        <v>24102765</v>
      </c>
      <c r="G16804">
        <v>24102814</v>
      </c>
      <c r="H16804">
        <v>24102576</v>
      </c>
      <c r="I16804">
        <v>24102623</v>
      </c>
    </row>
    <row r="16805" spans="1:9" x14ac:dyDescent="0.2">
      <c r="A16805" s="1" t="str">
        <f>"SOX5"</f>
        <v>SOX5</v>
      </c>
      <c r="B16805" t="s">
        <v>1569</v>
      </c>
      <c r="C16805" t="s">
        <v>16</v>
      </c>
      <c r="D16805" t="s">
        <v>11</v>
      </c>
      <c r="E16805" t="s">
        <v>20</v>
      </c>
      <c r="F16805">
        <v>24048959</v>
      </c>
      <c r="G16805">
        <v>24048959</v>
      </c>
      <c r="H16805">
        <v>24048959</v>
      </c>
      <c r="I16805">
        <v>24048959</v>
      </c>
    </row>
    <row r="16806" spans="1:9" x14ac:dyDescent="0.2">
      <c r="A16806" s="1" t="str">
        <f>"SOX6"</f>
        <v>SOX6</v>
      </c>
      <c r="B16806" t="s">
        <v>1570</v>
      </c>
      <c r="C16806" t="s">
        <v>27</v>
      </c>
      <c r="D16806" t="s">
        <v>11</v>
      </c>
      <c r="E16806" t="s">
        <v>20</v>
      </c>
      <c r="F16806">
        <v>16362814</v>
      </c>
      <c r="G16806">
        <v>16362814</v>
      </c>
      <c r="H16806">
        <v>16362814</v>
      </c>
      <c r="I16806">
        <v>16362814</v>
      </c>
    </row>
    <row r="16807" spans="1:9" x14ac:dyDescent="0.2">
      <c r="A16807" s="1" t="str">
        <f>"SOX6"</f>
        <v>SOX6</v>
      </c>
      <c r="B16807" t="s">
        <v>1571</v>
      </c>
      <c r="C16807" t="s">
        <v>27</v>
      </c>
      <c r="D16807" t="s">
        <v>11</v>
      </c>
      <c r="E16807" t="s">
        <v>20</v>
      </c>
      <c r="F16807">
        <v>16497934</v>
      </c>
      <c r="G16807">
        <v>16497934</v>
      </c>
      <c r="H16807">
        <v>16497934</v>
      </c>
      <c r="I16807">
        <v>16497934</v>
      </c>
    </row>
    <row r="16808" spans="1:9" x14ac:dyDescent="0.2">
      <c r="A16808" s="1" t="str">
        <f>"SOX6"</f>
        <v>SOX6</v>
      </c>
      <c r="B16808" t="s">
        <v>1572</v>
      </c>
      <c r="C16808" t="s">
        <v>27</v>
      </c>
      <c r="D16808" t="s">
        <v>11</v>
      </c>
      <c r="E16808" t="s">
        <v>75</v>
      </c>
      <c r="F16808">
        <v>16424274</v>
      </c>
      <c r="G16808">
        <v>16424275</v>
      </c>
      <c r="H16808">
        <v>16424274</v>
      </c>
      <c r="I16808">
        <v>16424275</v>
      </c>
    </row>
    <row r="16809" spans="1:9" x14ac:dyDescent="0.2">
      <c r="A16809" s="1" t="str">
        <f>"SOX7"</f>
        <v>SOX7</v>
      </c>
      <c r="B16809" t="s">
        <v>14</v>
      </c>
      <c r="C16809" t="s">
        <v>30</v>
      </c>
      <c r="D16809" t="s">
        <v>11</v>
      </c>
      <c r="E16809" t="s">
        <v>67</v>
      </c>
      <c r="F16809">
        <v>10697370</v>
      </c>
      <c r="G16809">
        <v>10697414</v>
      </c>
      <c r="H16809">
        <v>10697329</v>
      </c>
      <c r="I16809">
        <v>10697365</v>
      </c>
    </row>
    <row r="16810" spans="1:9" x14ac:dyDescent="0.2">
      <c r="A16810" s="1" t="str">
        <f>"SOX8"</f>
        <v>SOX8</v>
      </c>
      <c r="B16810" t="s">
        <v>14</v>
      </c>
      <c r="C16810" t="s">
        <v>31</v>
      </c>
      <c r="D16810" t="s">
        <v>17</v>
      </c>
      <c r="E16810" t="s">
        <v>12</v>
      </c>
      <c r="F16810">
        <v>1031762</v>
      </c>
      <c r="G16810">
        <v>1031781</v>
      </c>
      <c r="H16810">
        <v>1032073</v>
      </c>
      <c r="I16810">
        <v>1032111</v>
      </c>
    </row>
    <row r="16811" spans="1:9" x14ac:dyDescent="0.2">
      <c r="A16811" s="1" t="str">
        <f>"SOX9"</f>
        <v>SOX9</v>
      </c>
      <c r="B16811" t="s">
        <v>14</v>
      </c>
      <c r="C16811" t="s">
        <v>28</v>
      </c>
      <c r="D16811" t="s">
        <v>17</v>
      </c>
      <c r="E16811" t="s">
        <v>12</v>
      </c>
      <c r="F16811">
        <v>70117153</v>
      </c>
      <c r="G16811">
        <v>70117174</v>
      </c>
      <c r="H16811">
        <v>70117153</v>
      </c>
      <c r="I16811">
        <v>70117174</v>
      </c>
    </row>
    <row r="16812" spans="1:9" x14ac:dyDescent="0.2">
      <c r="A16812" s="1" t="str">
        <f>"SP1"</f>
        <v>SP1</v>
      </c>
      <c r="B16812" t="s">
        <v>14</v>
      </c>
      <c r="C16812" t="s">
        <v>16</v>
      </c>
      <c r="D16812" t="s">
        <v>17</v>
      </c>
      <c r="E16812" t="s">
        <v>12</v>
      </c>
      <c r="F16812">
        <v>53773944</v>
      </c>
      <c r="G16812">
        <v>53773993</v>
      </c>
      <c r="H16812">
        <v>53774567</v>
      </c>
      <c r="I16812">
        <v>53774658</v>
      </c>
    </row>
    <row r="16813" spans="1:9" x14ac:dyDescent="0.2">
      <c r="A16813" s="1" t="str">
        <f>"SP100"</f>
        <v>SP100</v>
      </c>
      <c r="B16813" t="s">
        <v>14</v>
      </c>
      <c r="C16813" t="s">
        <v>26</v>
      </c>
      <c r="D16813" t="s">
        <v>17</v>
      </c>
      <c r="E16813" t="s">
        <v>12</v>
      </c>
      <c r="F16813">
        <v>231280908</v>
      </c>
      <c r="G16813">
        <v>231280945</v>
      </c>
      <c r="H16813">
        <v>231280954</v>
      </c>
      <c r="I16813">
        <v>231280965</v>
      </c>
    </row>
    <row r="16814" spans="1:9" x14ac:dyDescent="0.2">
      <c r="A16814" s="1" t="str">
        <f>"SP110"</f>
        <v>SP110</v>
      </c>
      <c r="B16814" t="s">
        <v>14</v>
      </c>
      <c r="C16814" t="s">
        <v>26</v>
      </c>
      <c r="D16814" t="s">
        <v>11</v>
      </c>
      <c r="E16814" t="s">
        <v>12</v>
      </c>
      <c r="F16814">
        <v>231084659</v>
      </c>
      <c r="G16814">
        <v>231084721</v>
      </c>
      <c r="H16814">
        <v>231084639</v>
      </c>
      <c r="I16814">
        <v>231084654</v>
      </c>
    </row>
    <row r="16815" spans="1:9" x14ac:dyDescent="0.2">
      <c r="A16815" s="1" t="str">
        <f>"SP140"</f>
        <v>SP140</v>
      </c>
      <c r="B16815" t="s">
        <v>14</v>
      </c>
      <c r="C16815" t="s">
        <v>26</v>
      </c>
      <c r="D16815" t="s">
        <v>17</v>
      </c>
      <c r="E16815" t="s">
        <v>12</v>
      </c>
      <c r="F16815">
        <v>231090433</v>
      </c>
      <c r="G16815">
        <v>231090469</v>
      </c>
      <c r="H16815">
        <v>231090471</v>
      </c>
      <c r="I16815">
        <v>231090504</v>
      </c>
    </row>
    <row r="16816" spans="1:9" x14ac:dyDescent="0.2">
      <c r="A16816" s="1" t="str">
        <f>"SP140L"</f>
        <v>SP140L</v>
      </c>
      <c r="B16816" t="s">
        <v>14</v>
      </c>
      <c r="C16816" t="s">
        <v>26</v>
      </c>
      <c r="D16816" t="s">
        <v>17</v>
      </c>
      <c r="E16816" t="s">
        <v>12</v>
      </c>
      <c r="F16816">
        <v>231191875</v>
      </c>
      <c r="G16816">
        <v>231191918</v>
      </c>
      <c r="H16816">
        <v>231191937</v>
      </c>
      <c r="I16816">
        <v>231191946</v>
      </c>
    </row>
    <row r="16817" spans="1:9" x14ac:dyDescent="0.2">
      <c r="A16817" s="1" t="str">
        <f>"SP2"</f>
        <v>SP2</v>
      </c>
      <c r="B16817" t="s">
        <v>14</v>
      </c>
      <c r="C16817" t="s">
        <v>28</v>
      </c>
      <c r="D16817" t="s">
        <v>17</v>
      </c>
      <c r="E16817" t="s">
        <v>12</v>
      </c>
      <c r="F16817">
        <v>45973586</v>
      </c>
      <c r="G16817">
        <v>45973618</v>
      </c>
      <c r="H16817">
        <v>45973586</v>
      </c>
      <c r="I16817">
        <v>45973618</v>
      </c>
    </row>
    <row r="16818" spans="1:9" x14ac:dyDescent="0.2">
      <c r="A16818" s="1" t="str">
        <f>"SP3"</f>
        <v>SP3</v>
      </c>
      <c r="B16818" t="s">
        <v>14</v>
      </c>
      <c r="C16818" t="s">
        <v>26</v>
      </c>
      <c r="D16818" t="s">
        <v>11</v>
      </c>
      <c r="E16818" t="s">
        <v>12</v>
      </c>
      <c r="F16818">
        <v>174828545</v>
      </c>
      <c r="G16818">
        <v>174828644</v>
      </c>
      <c r="H16818">
        <v>174828892</v>
      </c>
      <c r="I16818">
        <v>174828972</v>
      </c>
    </row>
    <row r="16819" spans="1:9" x14ac:dyDescent="0.2">
      <c r="A16819" s="1" t="str">
        <f>"SP4"</f>
        <v>SP4</v>
      </c>
      <c r="B16819" t="s">
        <v>14</v>
      </c>
      <c r="C16819" t="s">
        <v>33</v>
      </c>
      <c r="D16819" t="s">
        <v>17</v>
      </c>
      <c r="E16819" t="s">
        <v>12</v>
      </c>
      <c r="F16819">
        <v>21467674</v>
      </c>
      <c r="G16819">
        <v>21467727</v>
      </c>
      <c r="H16819">
        <v>21467642</v>
      </c>
      <c r="I16819">
        <v>21467671</v>
      </c>
    </row>
    <row r="16820" spans="1:9" x14ac:dyDescent="0.2">
      <c r="A16820" s="1" t="str">
        <f>"SP5"</f>
        <v>SP5</v>
      </c>
      <c r="B16820" t="s">
        <v>14</v>
      </c>
      <c r="C16820" t="s">
        <v>26</v>
      </c>
      <c r="D16820" t="s">
        <v>17</v>
      </c>
      <c r="E16820" t="s">
        <v>12</v>
      </c>
      <c r="F16820">
        <v>171571827</v>
      </c>
      <c r="G16820">
        <v>171571853</v>
      </c>
      <c r="H16820">
        <v>171572786</v>
      </c>
      <c r="I16820">
        <v>171572840</v>
      </c>
    </row>
    <row r="16821" spans="1:9" x14ac:dyDescent="0.2">
      <c r="A16821" s="1" t="str">
        <f>"SP6"</f>
        <v>SP6</v>
      </c>
      <c r="B16821" t="s">
        <v>14</v>
      </c>
      <c r="C16821" t="s">
        <v>28</v>
      </c>
      <c r="D16821" t="s">
        <v>11</v>
      </c>
      <c r="E16821" t="s">
        <v>12</v>
      </c>
      <c r="F16821">
        <v>45928521</v>
      </c>
      <c r="G16821">
        <v>45928539</v>
      </c>
      <c r="H16821">
        <v>45928443</v>
      </c>
      <c r="I16821">
        <v>45928473</v>
      </c>
    </row>
    <row r="16822" spans="1:9" x14ac:dyDescent="0.2">
      <c r="A16822" s="1" t="str">
        <f>"SP7"</f>
        <v>SP7</v>
      </c>
      <c r="B16822" t="s">
        <v>14</v>
      </c>
      <c r="C16822" t="s">
        <v>16</v>
      </c>
      <c r="D16822" t="s">
        <v>11</v>
      </c>
      <c r="E16822" t="s">
        <v>12</v>
      </c>
      <c r="F16822">
        <v>53730126</v>
      </c>
      <c r="G16822">
        <v>53730146</v>
      </c>
      <c r="H16822">
        <v>53730147</v>
      </c>
      <c r="I16822">
        <v>53730177</v>
      </c>
    </row>
    <row r="16823" spans="1:9" x14ac:dyDescent="0.2">
      <c r="A16823" s="1" t="str">
        <f>"SP8"</f>
        <v>SP8</v>
      </c>
      <c r="B16823" t="s">
        <v>14</v>
      </c>
      <c r="C16823" t="s">
        <v>33</v>
      </c>
      <c r="D16823" t="s">
        <v>11</v>
      </c>
      <c r="E16823" t="s">
        <v>12</v>
      </c>
      <c r="F16823">
        <v>20826504</v>
      </c>
      <c r="G16823">
        <v>20826526</v>
      </c>
      <c r="H16823">
        <v>20826426</v>
      </c>
      <c r="I16823">
        <v>20826432</v>
      </c>
    </row>
    <row r="16824" spans="1:9" x14ac:dyDescent="0.2">
      <c r="A16824" s="1" t="str">
        <f>"SP9"</f>
        <v>SP9</v>
      </c>
      <c r="B16824" t="s">
        <v>14</v>
      </c>
      <c r="C16824" t="s">
        <v>26</v>
      </c>
      <c r="D16824" t="s">
        <v>17</v>
      </c>
      <c r="E16824" t="s">
        <v>12</v>
      </c>
      <c r="F16824">
        <v>175199675</v>
      </c>
      <c r="G16824">
        <v>175199688</v>
      </c>
      <c r="H16824">
        <v>175199697</v>
      </c>
      <c r="I16824">
        <v>175199706</v>
      </c>
    </row>
    <row r="16825" spans="1:9" x14ac:dyDescent="0.2">
      <c r="A16825" s="1" t="str">
        <f>"SPA17"</f>
        <v>SPA17</v>
      </c>
      <c r="B16825" t="s">
        <v>14</v>
      </c>
      <c r="C16825" t="s">
        <v>27</v>
      </c>
      <c r="D16825" t="s">
        <v>17</v>
      </c>
      <c r="E16825" t="s">
        <v>12</v>
      </c>
      <c r="F16825">
        <v>124543784</v>
      </c>
      <c r="G16825">
        <v>124543824</v>
      </c>
      <c r="H16825">
        <v>124543773</v>
      </c>
      <c r="I16825">
        <v>124543782</v>
      </c>
    </row>
    <row r="16826" spans="1:9" x14ac:dyDescent="0.2">
      <c r="A16826" s="1" t="str">
        <f>"SPACA1"</f>
        <v>SPACA1</v>
      </c>
      <c r="B16826" t="s">
        <v>14</v>
      </c>
      <c r="C16826" t="s">
        <v>32</v>
      </c>
      <c r="D16826" t="s">
        <v>17</v>
      </c>
      <c r="E16826" t="s">
        <v>12</v>
      </c>
      <c r="F16826">
        <v>88757541</v>
      </c>
      <c r="G16826">
        <v>88757571</v>
      </c>
      <c r="H16826">
        <v>88757512</v>
      </c>
      <c r="I16826">
        <v>88757518</v>
      </c>
    </row>
    <row r="16827" spans="1:9" x14ac:dyDescent="0.2">
      <c r="A16827" s="1" t="str">
        <f>"SPACA3"</f>
        <v>SPACA3</v>
      </c>
      <c r="B16827" t="s">
        <v>14</v>
      </c>
      <c r="C16827" t="s">
        <v>28</v>
      </c>
      <c r="D16827" t="s">
        <v>17</v>
      </c>
      <c r="E16827" t="s">
        <v>12</v>
      </c>
      <c r="F16827">
        <v>31318886</v>
      </c>
      <c r="G16827">
        <v>31318906</v>
      </c>
      <c r="H16827">
        <v>31318928</v>
      </c>
      <c r="I16827">
        <v>31318934</v>
      </c>
    </row>
    <row r="16828" spans="1:9" x14ac:dyDescent="0.2">
      <c r="A16828" s="1" t="str">
        <f>"SPACA4"</f>
        <v>SPACA4</v>
      </c>
      <c r="B16828" t="s">
        <v>14</v>
      </c>
      <c r="C16828" t="s">
        <v>10</v>
      </c>
      <c r="D16828" t="s">
        <v>17</v>
      </c>
      <c r="E16828" t="s">
        <v>12</v>
      </c>
      <c r="F16828">
        <v>49109990</v>
      </c>
      <c r="G16828">
        <v>49110007</v>
      </c>
      <c r="H16828">
        <v>49110040</v>
      </c>
      <c r="I16828">
        <v>49110041</v>
      </c>
    </row>
    <row r="16829" spans="1:9" x14ac:dyDescent="0.2">
      <c r="A16829" s="1" t="str">
        <f>"SPACA5"</f>
        <v>SPACA5</v>
      </c>
      <c r="B16829" t="s">
        <v>14</v>
      </c>
      <c r="C16829" t="s">
        <v>37</v>
      </c>
      <c r="D16829" t="s">
        <v>17</v>
      </c>
      <c r="E16829" t="s">
        <v>12</v>
      </c>
      <c r="F16829">
        <v>47863532</v>
      </c>
      <c r="G16829">
        <v>47863573</v>
      </c>
      <c r="H16829">
        <v>47863532</v>
      </c>
      <c r="I16829">
        <v>47863573</v>
      </c>
    </row>
    <row r="16830" spans="1:9" x14ac:dyDescent="0.2">
      <c r="A16830" s="1" t="str">
        <f>"SPACA5B"</f>
        <v>SPACA5B</v>
      </c>
      <c r="B16830" t="s">
        <v>1573</v>
      </c>
      <c r="C16830" t="s">
        <v>37</v>
      </c>
      <c r="D16830" t="s">
        <v>17</v>
      </c>
      <c r="E16830" t="s">
        <v>20</v>
      </c>
      <c r="F16830">
        <v>47990038</v>
      </c>
      <c r="G16830">
        <v>47990038</v>
      </c>
      <c r="H16830">
        <v>47990038</v>
      </c>
      <c r="I16830">
        <v>47990038</v>
      </c>
    </row>
    <row r="16831" spans="1:9" x14ac:dyDescent="0.2">
      <c r="A16831" s="1" t="str">
        <f>"SPACA7"</f>
        <v>SPACA7</v>
      </c>
      <c r="B16831" t="s">
        <v>14</v>
      </c>
      <c r="C16831" t="s">
        <v>39</v>
      </c>
      <c r="D16831" t="s">
        <v>17</v>
      </c>
      <c r="E16831" t="s">
        <v>12</v>
      </c>
      <c r="F16831">
        <v>113030658</v>
      </c>
      <c r="G16831">
        <v>113030679</v>
      </c>
      <c r="H16831">
        <v>113030658</v>
      </c>
      <c r="I16831">
        <v>113030679</v>
      </c>
    </row>
    <row r="16832" spans="1:9" x14ac:dyDescent="0.2">
      <c r="A16832" s="1" t="str">
        <f>"SPAG1"</f>
        <v>SPAG1</v>
      </c>
      <c r="B16832" t="s">
        <v>1574</v>
      </c>
      <c r="C16832" t="s">
        <v>30</v>
      </c>
      <c r="D16832" t="s">
        <v>17</v>
      </c>
      <c r="E16832" t="s">
        <v>35</v>
      </c>
      <c r="F16832">
        <v>101170201</v>
      </c>
      <c r="G16832">
        <v>101170252</v>
      </c>
      <c r="H16832">
        <v>101170257</v>
      </c>
      <c r="I16832">
        <v>101170296</v>
      </c>
    </row>
    <row r="16833" spans="1:9" x14ac:dyDescent="0.2">
      <c r="A16833" s="1" t="str">
        <f>"SPAG1"</f>
        <v>SPAG1</v>
      </c>
      <c r="B16833" t="s">
        <v>1575</v>
      </c>
      <c r="C16833" t="s">
        <v>30</v>
      </c>
      <c r="D16833" t="s">
        <v>17</v>
      </c>
      <c r="E16833" t="s">
        <v>35</v>
      </c>
      <c r="F16833">
        <v>101170484</v>
      </c>
      <c r="G16833">
        <v>101170534</v>
      </c>
      <c r="H16833">
        <v>101170804</v>
      </c>
      <c r="I16833">
        <v>101170831</v>
      </c>
    </row>
    <row r="16834" spans="1:9" x14ac:dyDescent="0.2">
      <c r="A16834" s="1" t="str">
        <f>"SPAG11A"</f>
        <v>SPAG11A</v>
      </c>
      <c r="B16834" t="s">
        <v>14</v>
      </c>
      <c r="C16834" t="s">
        <v>30</v>
      </c>
      <c r="D16834" t="s">
        <v>17</v>
      </c>
      <c r="E16834" t="s">
        <v>12</v>
      </c>
      <c r="F16834">
        <v>7705527</v>
      </c>
      <c r="G16834">
        <v>7705531</v>
      </c>
      <c r="H16834">
        <v>7705527</v>
      </c>
      <c r="I16834">
        <v>7705531</v>
      </c>
    </row>
    <row r="16835" spans="1:9" x14ac:dyDescent="0.2">
      <c r="A16835" s="1" t="str">
        <f>"SPAG11B"</f>
        <v>SPAG11B</v>
      </c>
      <c r="B16835" t="s">
        <v>1576</v>
      </c>
      <c r="C16835" t="s">
        <v>30</v>
      </c>
      <c r="D16835" t="s">
        <v>11</v>
      </c>
      <c r="E16835" t="s">
        <v>20</v>
      </c>
      <c r="F16835">
        <v>7321195</v>
      </c>
      <c r="G16835">
        <v>7321195</v>
      </c>
      <c r="H16835">
        <v>7321195</v>
      </c>
      <c r="I16835">
        <v>7321195</v>
      </c>
    </row>
    <row r="16836" spans="1:9" x14ac:dyDescent="0.2">
      <c r="A16836" s="1" t="str">
        <f>"SPAG16"</f>
        <v>SPAG16</v>
      </c>
      <c r="B16836" t="s">
        <v>14</v>
      </c>
      <c r="C16836" t="s">
        <v>26</v>
      </c>
      <c r="D16836" t="s">
        <v>17</v>
      </c>
      <c r="E16836" t="s">
        <v>12</v>
      </c>
      <c r="F16836">
        <v>214149121</v>
      </c>
      <c r="G16836">
        <v>214149211</v>
      </c>
      <c r="H16836">
        <v>214149121</v>
      </c>
      <c r="I16836">
        <v>214149211</v>
      </c>
    </row>
    <row r="16837" spans="1:9" x14ac:dyDescent="0.2">
      <c r="A16837" s="1" t="str">
        <f>"SPAG17"</f>
        <v>SPAG17</v>
      </c>
      <c r="B16837" t="s">
        <v>14</v>
      </c>
      <c r="C16837" t="s">
        <v>19</v>
      </c>
      <c r="D16837" t="s">
        <v>11</v>
      </c>
      <c r="E16837" t="s">
        <v>12</v>
      </c>
      <c r="F16837">
        <v>118727781</v>
      </c>
      <c r="G16837">
        <v>118727859</v>
      </c>
      <c r="H16837">
        <v>118727861</v>
      </c>
      <c r="I16837">
        <v>118727872</v>
      </c>
    </row>
    <row r="16838" spans="1:9" x14ac:dyDescent="0.2">
      <c r="A16838" s="1" t="str">
        <f>"SPAG4"</f>
        <v>SPAG4</v>
      </c>
      <c r="B16838" t="s">
        <v>9</v>
      </c>
      <c r="C16838" t="s">
        <v>29</v>
      </c>
      <c r="D16838" t="s">
        <v>17</v>
      </c>
      <c r="E16838" t="s">
        <v>12</v>
      </c>
      <c r="F16838">
        <v>34204939</v>
      </c>
      <c r="G16838">
        <v>34204954</v>
      </c>
      <c r="H16838">
        <v>34204939</v>
      </c>
      <c r="I16838">
        <v>34204954</v>
      </c>
    </row>
    <row r="16839" spans="1:9" x14ac:dyDescent="0.2">
      <c r="A16839" s="1" t="str">
        <f>"SPAG4"</f>
        <v>SPAG4</v>
      </c>
      <c r="B16839" t="s">
        <v>13</v>
      </c>
      <c r="C16839" t="s">
        <v>29</v>
      </c>
      <c r="D16839" t="s">
        <v>17</v>
      </c>
      <c r="E16839" t="s">
        <v>12</v>
      </c>
      <c r="F16839">
        <v>34203741</v>
      </c>
      <c r="G16839">
        <v>34203767</v>
      </c>
      <c r="H16839">
        <v>34203741</v>
      </c>
      <c r="I16839">
        <v>34203767</v>
      </c>
    </row>
    <row r="16840" spans="1:9" x14ac:dyDescent="0.2">
      <c r="A16840" s="1" t="str">
        <f>"SPAG5"</f>
        <v>SPAG5</v>
      </c>
      <c r="B16840" t="s">
        <v>14</v>
      </c>
      <c r="C16840" t="s">
        <v>28</v>
      </c>
      <c r="D16840" t="s">
        <v>11</v>
      </c>
      <c r="E16840" t="s">
        <v>12</v>
      </c>
      <c r="F16840">
        <v>26926005</v>
      </c>
      <c r="G16840">
        <v>26926070</v>
      </c>
      <c r="H16840">
        <v>26926596</v>
      </c>
      <c r="I16840">
        <v>26926673</v>
      </c>
    </row>
    <row r="16841" spans="1:9" x14ac:dyDescent="0.2">
      <c r="A16841" s="1" t="str">
        <f>"SPAG6"</f>
        <v>SPAG6</v>
      </c>
      <c r="B16841" t="s">
        <v>14</v>
      </c>
      <c r="C16841" t="s">
        <v>15</v>
      </c>
      <c r="D16841" t="s">
        <v>17</v>
      </c>
      <c r="E16841" t="s">
        <v>12</v>
      </c>
      <c r="F16841">
        <v>22634384</v>
      </c>
      <c r="G16841">
        <v>22634456</v>
      </c>
      <c r="H16841">
        <v>22634384</v>
      </c>
      <c r="I16841">
        <v>22634456</v>
      </c>
    </row>
    <row r="16842" spans="1:9" x14ac:dyDescent="0.2">
      <c r="A16842" s="1" t="str">
        <f>"SPAG7"</f>
        <v>SPAG7</v>
      </c>
      <c r="B16842" t="s">
        <v>14</v>
      </c>
      <c r="C16842" t="s">
        <v>28</v>
      </c>
      <c r="D16842" t="s">
        <v>11</v>
      </c>
      <c r="E16842" t="s">
        <v>12</v>
      </c>
      <c r="F16842">
        <v>4871099</v>
      </c>
      <c r="G16842">
        <v>4871130</v>
      </c>
      <c r="H16842">
        <v>4870464</v>
      </c>
      <c r="I16842">
        <v>4870503</v>
      </c>
    </row>
    <row r="16843" spans="1:9" x14ac:dyDescent="0.2">
      <c r="A16843" s="1" t="str">
        <f>"SPAG8"</f>
        <v>SPAG8</v>
      </c>
      <c r="B16843" t="s">
        <v>14</v>
      </c>
      <c r="C16843" t="s">
        <v>24</v>
      </c>
      <c r="D16843" t="s">
        <v>11</v>
      </c>
      <c r="E16843" t="s">
        <v>12</v>
      </c>
      <c r="F16843">
        <v>35812140</v>
      </c>
      <c r="G16843">
        <v>35812191</v>
      </c>
      <c r="H16843">
        <v>35812140</v>
      </c>
      <c r="I16843">
        <v>35812191</v>
      </c>
    </row>
    <row r="16844" spans="1:9" x14ac:dyDescent="0.2">
      <c r="A16844" s="1" t="str">
        <f>"SPAG9"</f>
        <v>SPAG9</v>
      </c>
      <c r="B16844" t="s">
        <v>14</v>
      </c>
      <c r="C16844" t="s">
        <v>28</v>
      </c>
      <c r="D16844" t="s">
        <v>11</v>
      </c>
      <c r="E16844" t="s">
        <v>12</v>
      </c>
      <c r="F16844">
        <v>49198216</v>
      </c>
      <c r="G16844">
        <v>49198236</v>
      </c>
      <c r="H16844">
        <v>49198216</v>
      </c>
      <c r="I16844">
        <v>49198236</v>
      </c>
    </row>
    <row r="16845" spans="1:9" x14ac:dyDescent="0.2">
      <c r="A16845" s="1" t="str">
        <f>"SPAM1"</f>
        <v>SPAM1</v>
      </c>
      <c r="B16845" t="s">
        <v>14</v>
      </c>
      <c r="C16845" t="s">
        <v>33</v>
      </c>
      <c r="D16845" t="s">
        <v>17</v>
      </c>
      <c r="E16845" t="s">
        <v>12</v>
      </c>
      <c r="F16845">
        <v>123565290</v>
      </c>
      <c r="G16845">
        <v>123565299</v>
      </c>
      <c r="H16845">
        <v>123565315</v>
      </c>
      <c r="I16845">
        <v>123565318</v>
      </c>
    </row>
    <row r="16846" spans="1:9" x14ac:dyDescent="0.2">
      <c r="A16846" s="1" t="str">
        <f>"SPANXA1"</f>
        <v>SPANXA1</v>
      </c>
      <c r="B16846" t="s">
        <v>1577</v>
      </c>
      <c r="C16846" t="s">
        <v>37</v>
      </c>
      <c r="D16846" t="s">
        <v>11</v>
      </c>
      <c r="E16846" t="s">
        <v>20</v>
      </c>
      <c r="F16846">
        <v>140673132</v>
      </c>
      <c r="G16846">
        <v>140673132</v>
      </c>
      <c r="H16846">
        <v>140673132</v>
      </c>
      <c r="I16846">
        <v>140673132</v>
      </c>
    </row>
    <row r="16847" spans="1:9" x14ac:dyDescent="0.2">
      <c r="A16847" s="1" t="str">
        <f>"SPANXA2"</f>
        <v>SPANXA2</v>
      </c>
      <c r="B16847" t="s">
        <v>14</v>
      </c>
      <c r="C16847" t="s">
        <v>37</v>
      </c>
      <c r="D16847" t="s">
        <v>17</v>
      </c>
      <c r="E16847" t="s">
        <v>12</v>
      </c>
      <c r="F16847">
        <v>140677834</v>
      </c>
      <c r="G16847">
        <v>140677838</v>
      </c>
      <c r="H16847">
        <v>140677834</v>
      </c>
      <c r="I16847">
        <v>140677838</v>
      </c>
    </row>
    <row r="16848" spans="1:9" x14ac:dyDescent="0.2">
      <c r="A16848" s="1" t="str">
        <f>"SPANXB1"</f>
        <v>SPANXB1</v>
      </c>
      <c r="B16848" t="s">
        <v>1578</v>
      </c>
      <c r="C16848" t="s">
        <v>37</v>
      </c>
      <c r="D16848" t="s">
        <v>17</v>
      </c>
      <c r="E16848" t="s">
        <v>20</v>
      </c>
      <c r="F16848">
        <v>140096760</v>
      </c>
      <c r="G16848">
        <v>140096760</v>
      </c>
      <c r="H16848">
        <v>140096760</v>
      </c>
      <c r="I16848">
        <v>140096760</v>
      </c>
    </row>
    <row r="16849" spans="1:9" x14ac:dyDescent="0.2">
      <c r="A16849" s="1" t="str">
        <f>"SPANXC"</f>
        <v>SPANXC</v>
      </c>
      <c r="B16849" t="s">
        <v>14</v>
      </c>
      <c r="C16849" t="s">
        <v>37</v>
      </c>
      <c r="D16849" t="s">
        <v>11</v>
      </c>
      <c r="E16849" t="s">
        <v>12</v>
      </c>
      <c r="F16849">
        <v>140336645</v>
      </c>
      <c r="G16849">
        <v>140336655</v>
      </c>
      <c r="H16849">
        <v>140336680</v>
      </c>
      <c r="I16849">
        <v>140336697</v>
      </c>
    </row>
    <row r="16850" spans="1:9" x14ac:dyDescent="0.2">
      <c r="A16850" s="1" t="str">
        <f>"SPANXD"</f>
        <v>SPANXD</v>
      </c>
      <c r="B16850" t="s">
        <v>14</v>
      </c>
      <c r="C16850" t="s">
        <v>37</v>
      </c>
      <c r="D16850" t="s">
        <v>11</v>
      </c>
      <c r="E16850" t="s">
        <v>12</v>
      </c>
      <c r="F16850">
        <v>140786621</v>
      </c>
      <c r="G16850">
        <v>140786624</v>
      </c>
      <c r="H16850">
        <v>140786621</v>
      </c>
      <c r="I16850">
        <v>140786624</v>
      </c>
    </row>
    <row r="16851" spans="1:9" x14ac:dyDescent="0.2">
      <c r="A16851" s="1" t="str">
        <f>"SPANXF1"</f>
        <v>SPANXF1</v>
      </c>
      <c r="B16851" t="s">
        <v>1579</v>
      </c>
      <c r="C16851" t="s">
        <v>37</v>
      </c>
      <c r="D16851" t="s">
        <v>17</v>
      </c>
      <c r="E16851" t="s">
        <v>20</v>
      </c>
      <c r="F16851">
        <v>140084755</v>
      </c>
      <c r="G16851">
        <v>140084755</v>
      </c>
      <c r="H16851">
        <v>140084755</v>
      </c>
      <c r="I16851">
        <v>140084755</v>
      </c>
    </row>
    <row r="16852" spans="1:9" x14ac:dyDescent="0.2">
      <c r="A16852" s="1" t="str">
        <f>"SPANXN1"</f>
        <v>SPANXN1</v>
      </c>
      <c r="B16852" t="s">
        <v>14</v>
      </c>
      <c r="C16852" t="s">
        <v>37</v>
      </c>
      <c r="D16852" t="s">
        <v>17</v>
      </c>
      <c r="E16852" t="s">
        <v>12</v>
      </c>
      <c r="F16852">
        <v>144329020</v>
      </c>
      <c r="G16852">
        <v>144329026</v>
      </c>
      <c r="H16852">
        <v>144329020</v>
      </c>
      <c r="I16852">
        <v>144329026</v>
      </c>
    </row>
    <row r="16853" spans="1:9" x14ac:dyDescent="0.2">
      <c r="A16853" s="1" t="str">
        <f>"SPANXN2"</f>
        <v>SPANXN2</v>
      </c>
      <c r="B16853" t="s">
        <v>14</v>
      </c>
      <c r="C16853" t="s">
        <v>37</v>
      </c>
      <c r="D16853" t="s">
        <v>11</v>
      </c>
      <c r="E16853" t="s">
        <v>12</v>
      </c>
      <c r="F16853">
        <v>142803842</v>
      </c>
      <c r="G16853">
        <v>142803851</v>
      </c>
      <c r="H16853">
        <v>142803842</v>
      </c>
      <c r="I16853">
        <v>142803851</v>
      </c>
    </row>
    <row r="16854" spans="1:9" x14ac:dyDescent="0.2">
      <c r="A16854" s="1" t="str">
        <f>"SPANXN3"</f>
        <v>SPANXN3</v>
      </c>
      <c r="B16854" t="s">
        <v>14</v>
      </c>
      <c r="C16854" t="s">
        <v>37</v>
      </c>
      <c r="D16854" t="s">
        <v>11</v>
      </c>
      <c r="E16854" t="s">
        <v>12</v>
      </c>
      <c r="F16854">
        <v>142605301</v>
      </c>
      <c r="G16854">
        <v>142605304</v>
      </c>
      <c r="H16854">
        <v>142605301</v>
      </c>
      <c r="I16854">
        <v>142605304</v>
      </c>
    </row>
    <row r="16855" spans="1:9" x14ac:dyDescent="0.2">
      <c r="A16855" s="1" t="str">
        <f>"SPANXN4"</f>
        <v>SPANXN4</v>
      </c>
      <c r="B16855" t="s">
        <v>14</v>
      </c>
      <c r="C16855" t="s">
        <v>37</v>
      </c>
      <c r="D16855" t="s">
        <v>17</v>
      </c>
      <c r="E16855" t="s">
        <v>12</v>
      </c>
      <c r="F16855">
        <v>142113711</v>
      </c>
      <c r="G16855">
        <v>142113717</v>
      </c>
      <c r="H16855">
        <v>142113711</v>
      </c>
      <c r="I16855">
        <v>142113717</v>
      </c>
    </row>
    <row r="16856" spans="1:9" x14ac:dyDescent="0.2">
      <c r="A16856" s="1" t="str">
        <f>"SPANXN5"</f>
        <v>SPANXN5</v>
      </c>
      <c r="B16856" t="s">
        <v>14</v>
      </c>
      <c r="C16856" t="s">
        <v>37</v>
      </c>
      <c r="D16856" t="s">
        <v>11</v>
      </c>
      <c r="E16856" t="s">
        <v>12</v>
      </c>
      <c r="F16856">
        <v>52826461</v>
      </c>
      <c r="G16856">
        <v>52826468</v>
      </c>
      <c r="H16856">
        <v>52826461</v>
      </c>
      <c r="I16856">
        <v>52826468</v>
      </c>
    </row>
    <row r="16857" spans="1:9" x14ac:dyDescent="0.2">
      <c r="A16857" s="1" t="str">
        <f>"SPARC"</f>
        <v>SPARC</v>
      </c>
      <c r="B16857" t="s">
        <v>14</v>
      </c>
      <c r="C16857" t="s">
        <v>46</v>
      </c>
      <c r="D16857" t="s">
        <v>11</v>
      </c>
      <c r="E16857" t="s">
        <v>12</v>
      </c>
      <c r="F16857">
        <v>151066469</v>
      </c>
      <c r="G16857">
        <v>151066483</v>
      </c>
      <c r="H16857">
        <v>151066486</v>
      </c>
      <c r="I16857">
        <v>151066501</v>
      </c>
    </row>
    <row r="16858" spans="1:9" x14ac:dyDescent="0.2">
      <c r="A16858" s="1" t="str">
        <f>"SPARCL1"</f>
        <v>SPARCL1</v>
      </c>
      <c r="B16858" t="s">
        <v>14</v>
      </c>
      <c r="C16858" t="s">
        <v>23</v>
      </c>
      <c r="D16858" t="s">
        <v>11</v>
      </c>
      <c r="E16858" t="s">
        <v>12</v>
      </c>
      <c r="F16858">
        <v>88450511</v>
      </c>
      <c r="G16858">
        <v>88450533</v>
      </c>
      <c r="H16858">
        <v>88450351</v>
      </c>
      <c r="I16858">
        <v>88450368</v>
      </c>
    </row>
    <row r="16859" spans="1:9" x14ac:dyDescent="0.2">
      <c r="A16859" s="1" t="str">
        <f>"SPAST"</f>
        <v>SPAST</v>
      </c>
      <c r="B16859" t="s">
        <v>14</v>
      </c>
      <c r="C16859" t="s">
        <v>26</v>
      </c>
      <c r="D16859" t="s">
        <v>17</v>
      </c>
      <c r="E16859" t="s">
        <v>12</v>
      </c>
      <c r="F16859">
        <v>32288593</v>
      </c>
      <c r="G16859">
        <v>32288654</v>
      </c>
      <c r="H16859">
        <v>32288725</v>
      </c>
      <c r="I16859">
        <v>32288774</v>
      </c>
    </row>
    <row r="16860" spans="1:9" x14ac:dyDescent="0.2">
      <c r="A16860" s="1" t="str">
        <f>"SPATA12"</f>
        <v>SPATA12</v>
      </c>
      <c r="B16860" t="s">
        <v>14</v>
      </c>
      <c r="C16860" t="s">
        <v>22</v>
      </c>
      <c r="D16860" t="s">
        <v>17</v>
      </c>
      <c r="E16860" t="s">
        <v>12</v>
      </c>
      <c r="F16860">
        <v>57094724</v>
      </c>
      <c r="G16860">
        <v>57094749</v>
      </c>
      <c r="H16860">
        <v>57094724</v>
      </c>
      <c r="I16860">
        <v>57094749</v>
      </c>
    </row>
    <row r="16861" spans="1:9" x14ac:dyDescent="0.2">
      <c r="A16861" s="1" t="str">
        <f>"SPATA13"</f>
        <v>SPATA13</v>
      </c>
      <c r="B16861" t="s">
        <v>1580</v>
      </c>
      <c r="C16861" t="s">
        <v>39</v>
      </c>
      <c r="D16861" t="s">
        <v>17</v>
      </c>
      <c r="E16861" t="s">
        <v>35</v>
      </c>
      <c r="F16861">
        <v>24734844</v>
      </c>
      <c r="G16861">
        <v>24734873</v>
      </c>
      <c r="H16861">
        <v>24734939</v>
      </c>
      <c r="I16861">
        <v>24734950</v>
      </c>
    </row>
    <row r="16862" spans="1:9" x14ac:dyDescent="0.2">
      <c r="A16862" s="1" t="str">
        <f>"SPATA16"</f>
        <v>SPATA16</v>
      </c>
      <c r="B16862" t="s">
        <v>14</v>
      </c>
      <c r="C16862" t="s">
        <v>22</v>
      </c>
      <c r="D16862" t="s">
        <v>11</v>
      </c>
      <c r="E16862" t="s">
        <v>12</v>
      </c>
      <c r="F16862">
        <v>172858982</v>
      </c>
      <c r="G16862">
        <v>172859013</v>
      </c>
      <c r="H16862">
        <v>172859017</v>
      </c>
      <c r="I16862">
        <v>172859035</v>
      </c>
    </row>
    <row r="16863" spans="1:9" x14ac:dyDescent="0.2">
      <c r="A16863" s="1" t="str">
        <f>"SPATA17"</f>
        <v>SPATA17</v>
      </c>
      <c r="B16863" t="s">
        <v>14</v>
      </c>
      <c r="C16863" t="s">
        <v>19</v>
      </c>
      <c r="D16863" t="s">
        <v>17</v>
      </c>
      <c r="E16863" t="s">
        <v>12</v>
      </c>
      <c r="F16863">
        <v>217804679</v>
      </c>
      <c r="G16863">
        <v>217804722</v>
      </c>
      <c r="H16863">
        <v>217804661</v>
      </c>
      <c r="I16863">
        <v>217804672</v>
      </c>
    </row>
    <row r="16864" spans="1:9" x14ac:dyDescent="0.2">
      <c r="A16864" s="1" t="str">
        <f>"SPATA18"</f>
        <v>SPATA18</v>
      </c>
      <c r="B16864" t="s">
        <v>14</v>
      </c>
      <c r="C16864" t="s">
        <v>23</v>
      </c>
      <c r="D16864" t="s">
        <v>17</v>
      </c>
      <c r="E16864" t="s">
        <v>12</v>
      </c>
      <c r="F16864">
        <v>52917451</v>
      </c>
      <c r="G16864">
        <v>52917640</v>
      </c>
      <c r="H16864">
        <v>52917451</v>
      </c>
      <c r="I16864">
        <v>52917640</v>
      </c>
    </row>
    <row r="16865" spans="1:9" x14ac:dyDescent="0.2">
      <c r="A16865" s="1" t="str">
        <f>"SPATA19"</f>
        <v>SPATA19</v>
      </c>
      <c r="B16865" t="s">
        <v>14</v>
      </c>
      <c r="C16865" t="s">
        <v>27</v>
      </c>
      <c r="D16865" t="s">
        <v>11</v>
      </c>
      <c r="E16865" t="s">
        <v>12</v>
      </c>
      <c r="F16865">
        <v>133715394</v>
      </c>
      <c r="G16865">
        <v>133715417</v>
      </c>
      <c r="H16865">
        <v>133715394</v>
      </c>
      <c r="I16865">
        <v>133715417</v>
      </c>
    </row>
    <row r="16866" spans="1:9" x14ac:dyDescent="0.2">
      <c r="A16866" s="1" t="str">
        <f>"SPATA2"</f>
        <v>SPATA2</v>
      </c>
      <c r="B16866" t="s">
        <v>14</v>
      </c>
      <c r="C16866" t="s">
        <v>29</v>
      </c>
      <c r="D16866" t="s">
        <v>11</v>
      </c>
      <c r="E16866" t="s">
        <v>12</v>
      </c>
      <c r="F16866">
        <v>48532019</v>
      </c>
      <c r="G16866">
        <v>48532044</v>
      </c>
      <c r="H16866">
        <v>48532046</v>
      </c>
      <c r="I16866">
        <v>48532073</v>
      </c>
    </row>
    <row r="16867" spans="1:9" x14ac:dyDescent="0.2">
      <c r="A16867" s="1" t="str">
        <f>"SPATA20"</f>
        <v>SPATA20</v>
      </c>
      <c r="B16867" t="s">
        <v>14</v>
      </c>
      <c r="C16867" t="s">
        <v>28</v>
      </c>
      <c r="D16867" t="s">
        <v>17</v>
      </c>
      <c r="E16867" t="s">
        <v>12</v>
      </c>
      <c r="F16867">
        <v>48624510</v>
      </c>
      <c r="G16867">
        <v>48624571</v>
      </c>
      <c r="H16867">
        <v>48625365</v>
      </c>
      <c r="I16867">
        <v>48625399</v>
      </c>
    </row>
    <row r="16868" spans="1:9" x14ac:dyDescent="0.2">
      <c r="A16868" s="1" t="str">
        <f>"SPATA21"</f>
        <v>SPATA21</v>
      </c>
      <c r="B16868" t="s">
        <v>14</v>
      </c>
      <c r="C16868" t="s">
        <v>19</v>
      </c>
      <c r="D16868" t="s">
        <v>11</v>
      </c>
      <c r="E16868" t="s">
        <v>12</v>
      </c>
      <c r="F16868">
        <v>16763868</v>
      </c>
      <c r="G16868">
        <v>16763905</v>
      </c>
      <c r="H16868">
        <v>16763868</v>
      </c>
      <c r="I16868">
        <v>16763905</v>
      </c>
    </row>
    <row r="16869" spans="1:9" x14ac:dyDescent="0.2">
      <c r="A16869" s="1" t="str">
        <f>"SPATA22"</f>
        <v>SPATA22</v>
      </c>
      <c r="B16869" t="s">
        <v>14</v>
      </c>
      <c r="C16869" t="s">
        <v>28</v>
      </c>
      <c r="D16869" t="s">
        <v>11</v>
      </c>
      <c r="E16869" t="s">
        <v>12</v>
      </c>
      <c r="F16869">
        <v>3375048</v>
      </c>
      <c r="G16869">
        <v>3375123</v>
      </c>
      <c r="H16869">
        <v>3375048</v>
      </c>
      <c r="I16869">
        <v>3375123</v>
      </c>
    </row>
    <row r="16870" spans="1:9" x14ac:dyDescent="0.2">
      <c r="A16870" s="1" t="str">
        <f>"SPATA24"</f>
        <v>SPATA24</v>
      </c>
      <c r="B16870" t="s">
        <v>14</v>
      </c>
      <c r="C16870" t="s">
        <v>46</v>
      </c>
      <c r="D16870" t="s">
        <v>11</v>
      </c>
      <c r="E16870" t="s">
        <v>12</v>
      </c>
      <c r="F16870">
        <v>138739758</v>
      </c>
      <c r="G16870">
        <v>138739793</v>
      </c>
      <c r="H16870">
        <v>138739710</v>
      </c>
      <c r="I16870">
        <v>138739719</v>
      </c>
    </row>
    <row r="16871" spans="1:9" x14ac:dyDescent="0.2">
      <c r="A16871" s="1" t="str">
        <f>"SPATA25"</f>
        <v>SPATA25</v>
      </c>
      <c r="B16871" t="s">
        <v>14</v>
      </c>
      <c r="C16871" t="s">
        <v>29</v>
      </c>
      <c r="D16871" t="s">
        <v>11</v>
      </c>
      <c r="E16871" t="s">
        <v>12</v>
      </c>
      <c r="F16871">
        <v>44516256</v>
      </c>
      <c r="G16871">
        <v>44516265</v>
      </c>
      <c r="H16871">
        <v>44516301</v>
      </c>
      <c r="I16871">
        <v>44516304</v>
      </c>
    </row>
    <row r="16872" spans="1:9" x14ac:dyDescent="0.2">
      <c r="A16872" s="1" t="str">
        <f>"SPATA2L"</f>
        <v>SPATA2L</v>
      </c>
      <c r="B16872" t="s">
        <v>14</v>
      </c>
      <c r="C16872" t="s">
        <v>31</v>
      </c>
      <c r="D16872" t="s">
        <v>11</v>
      </c>
      <c r="E16872" t="s">
        <v>12</v>
      </c>
      <c r="F16872">
        <v>89768097</v>
      </c>
      <c r="G16872">
        <v>89768126</v>
      </c>
      <c r="H16872">
        <v>89768063</v>
      </c>
      <c r="I16872">
        <v>89768086</v>
      </c>
    </row>
    <row r="16873" spans="1:9" x14ac:dyDescent="0.2">
      <c r="A16873" s="1" t="str">
        <f>"SPATA3"</f>
        <v>SPATA3</v>
      </c>
      <c r="B16873" t="s">
        <v>14</v>
      </c>
      <c r="C16873" t="s">
        <v>26</v>
      </c>
      <c r="D16873" t="s">
        <v>17</v>
      </c>
      <c r="E16873" t="s">
        <v>12</v>
      </c>
      <c r="F16873">
        <v>231860830</v>
      </c>
      <c r="G16873">
        <v>231860872</v>
      </c>
      <c r="H16873">
        <v>231860805</v>
      </c>
      <c r="I16873">
        <v>231860816</v>
      </c>
    </row>
    <row r="16874" spans="1:9" x14ac:dyDescent="0.2">
      <c r="A16874" s="1" t="str">
        <f>"SPATA31A1"</f>
        <v>SPATA31A1</v>
      </c>
      <c r="B16874" t="s">
        <v>1581</v>
      </c>
      <c r="C16874" t="s">
        <v>24</v>
      </c>
      <c r="D16874" t="s">
        <v>17</v>
      </c>
      <c r="E16874" t="s">
        <v>20</v>
      </c>
      <c r="F16874">
        <v>39355698</v>
      </c>
      <c r="G16874">
        <v>39355698</v>
      </c>
      <c r="H16874">
        <v>39355698</v>
      </c>
      <c r="I16874">
        <v>39355698</v>
      </c>
    </row>
    <row r="16875" spans="1:9" x14ac:dyDescent="0.2">
      <c r="A16875" s="1" t="str">
        <f>"SPATA31A3"</f>
        <v>SPATA31A3</v>
      </c>
      <c r="B16875" t="s">
        <v>1582</v>
      </c>
      <c r="C16875" t="s">
        <v>24</v>
      </c>
      <c r="D16875" t="s">
        <v>17</v>
      </c>
      <c r="E16875" t="s">
        <v>20</v>
      </c>
      <c r="F16875">
        <v>40700290</v>
      </c>
      <c r="G16875">
        <v>40700290</v>
      </c>
      <c r="H16875">
        <v>40700290</v>
      </c>
      <c r="I16875">
        <v>40700290</v>
      </c>
    </row>
    <row r="16876" spans="1:9" x14ac:dyDescent="0.2">
      <c r="A16876" s="1" t="str">
        <f>"SPATA31A5"</f>
        <v>SPATA31A5</v>
      </c>
      <c r="B16876" t="s">
        <v>1583</v>
      </c>
      <c r="C16876" t="s">
        <v>24</v>
      </c>
      <c r="D16876" t="s">
        <v>17</v>
      </c>
      <c r="E16876" t="s">
        <v>20</v>
      </c>
      <c r="F16876">
        <v>41500678</v>
      </c>
      <c r="G16876">
        <v>41500678</v>
      </c>
      <c r="H16876">
        <v>41500678</v>
      </c>
      <c r="I16876">
        <v>41500678</v>
      </c>
    </row>
    <row r="16877" spans="1:9" x14ac:dyDescent="0.2">
      <c r="A16877" s="1" t="str">
        <f>"SPATA31A6"</f>
        <v>SPATA31A6</v>
      </c>
      <c r="B16877" t="s">
        <v>1584</v>
      </c>
      <c r="C16877" t="s">
        <v>24</v>
      </c>
      <c r="D16877" t="s">
        <v>11</v>
      </c>
      <c r="E16877" t="s">
        <v>20</v>
      </c>
      <c r="F16877">
        <v>43630729</v>
      </c>
      <c r="G16877">
        <v>43630729</v>
      </c>
      <c r="H16877">
        <v>43630729</v>
      </c>
      <c r="I16877">
        <v>43630729</v>
      </c>
    </row>
    <row r="16878" spans="1:9" x14ac:dyDescent="0.2">
      <c r="A16878" s="1" t="str">
        <f>"SPATA31A7"</f>
        <v>SPATA31A7</v>
      </c>
      <c r="B16878" t="s">
        <v>1585</v>
      </c>
      <c r="C16878" t="s">
        <v>24</v>
      </c>
      <c r="D16878" t="s">
        <v>11</v>
      </c>
      <c r="E16878" t="s">
        <v>20</v>
      </c>
      <c r="F16878">
        <v>65509609</v>
      </c>
      <c r="G16878">
        <v>65509609</v>
      </c>
      <c r="H16878">
        <v>65509609</v>
      </c>
      <c r="I16878">
        <v>65509609</v>
      </c>
    </row>
    <row r="16879" spans="1:9" x14ac:dyDescent="0.2">
      <c r="A16879" s="1" t="str">
        <f>"SPATA31D1"</f>
        <v>SPATA31D1</v>
      </c>
      <c r="B16879" t="s">
        <v>14</v>
      </c>
      <c r="C16879" t="s">
        <v>24</v>
      </c>
      <c r="D16879" t="s">
        <v>17</v>
      </c>
      <c r="E16879" t="s">
        <v>12</v>
      </c>
      <c r="F16879">
        <v>84603769</v>
      </c>
      <c r="G16879">
        <v>84603770</v>
      </c>
      <c r="H16879">
        <v>84603769</v>
      </c>
      <c r="I16879">
        <v>84603770</v>
      </c>
    </row>
    <row r="16880" spans="1:9" x14ac:dyDescent="0.2">
      <c r="A16880" s="1" t="str">
        <f>"SPATA31E1"</f>
        <v>SPATA31E1</v>
      </c>
      <c r="B16880" t="s">
        <v>14</v>
      </c>
      <c r="C16880" t="s">
        <v>24</v>
      </c>
      <c r="D16880" t="s">
        <v>17</v>
      </c>
      <c r="E16880" t="s">
        <v>12</v>
      </c>
      <c r="F16880">
        <v>90497786</v>
      </c>
      <c r="G16880">
        <v>90497793</v>
      </c>
      <c r="H16880">
        <v>90497769</v>
      </c>
      <c r="I16880">
        <v>90497775</v>
      </c>
    </row>
    <row r="16881" spans="1:9" x14ac:dyDescent="0.2">
      <c r="A16881" s="1" t="str">
        <f>"SPATA32"</f>
        <v>SPATA32</v>
      </c>
      <c r="B16881" t="s">
        <v>14</v>
      </c>
      <c r="C16881" t="s">
        <v>28</v>
      </c>
      <c r="D16881" t="s">
        <v>11</v>
      </c>
      <c r="E16881" t="s">
        <v>12</v>
      </c>
      <c r="F16881">
        <v>43339453</v>
      </c>
      <c r="G16881">
        <v>43339466</v>
      </c>
      <c r="H16881">
        <v>43339474</v>
      </c>
      <c r="I16881">
        <v>43339483</v>
      </c>
    </row>
    <row r="16882" spans="1:9" x14ac:dyDescent="0.2">
      <c r="A16882" s="1" t="str">
        <f>"SPATA33"</f>
        <v>SPATA33</v>
      </c>
      <c r="B16882" t="s">
        <v>14</v>
      </c>
      <c r="C16882" t="s">
        <v>31</v>
      </c>
      <c r="D16882" t="s">
        <v>17</v>
      </c>
      <c r="E16882" t="s">
        <v>12</v>
      </c>
      <c r="F16882">
        <v>89724434</v>
      </c>
      <c r="G16882">
        <v>89724485</v>
      </c>
      <c r="H16882">
        <v>89724188</v>
      </c>
      <c r="I16882">
        <v>89724261</v>
      </c>
    </row>
    <row r="16883" spans="1:9" x14ac:dyDescent="0.2">
      <c r="A16883" s="1" t="str">
        <f>"SPATA4"</f>
        <v>SPATA4</v>
      </c>
      <c r="B16883" t="s">
        <v>14</v>
      </c>
      <c r="C16883" t="s">
        <v>23</v>
      </c>
      <c r="D16883" t="s">
        <v>11</v>
      </c>
      <c r="E16883" t="s">
        <v>12</v>
      </c>
      <c r="F16883">
        <v>177116713</v>
      </c>
      <c r="G16883">
        <v>177116751</v>
      </c>
      <c r="H16883">
        <v>177116772</v>
      </c>
      <c r="I16883">
        <v>177116779</v>
      </c>
    </row>
    <row r="16884" spans="1:9" x14ac:dyDescent="0.2">
      <c r="A16884" s="1" t="str">
        <f>"SPATA5"</f>
        <v>SPATA5</v>
      </c>
      <c r="B16884" t="s">
        <v>14</v>
      </c>
      <c r="C16884" t="s">
        <v>23</v>
      </c>
      <c r="D16884" t="s">
        <v>17</v>
      </c>
      <c r="E16884" t="s">
        <v>12</v>
      </c>
      <c r="F16884">
        <v>123844225</v>
      </c>
      <c r="G16884">
        <v>123844277</v>
      </c>
      <c r="H16884">
        <v>123844281</v>
      </c>
      <c r="I16884">
        <v>123844297</v>
      </c>
    </row>
    <row r="16885" spans="1:9" x14ac:dyDescent="0.2">
      <c r="A16885" s="1" t="str">
        <f>"SPATA5L1"</f>
        <v>SPATA5L1</v>
      </c>
      <c r="B16885" t="s">
        <v>14</v>
      </c>
      <c r="C16885" t="s">
        <v>25</v>
      </c>
      <c r="D16885" t="s">
        <v>17</v>
      </c>
      <c r="E16885" t="s">
        <v>12</v>
      </c>
      <c r="F16885">
        <v>45694567</v>
      </c>
      <c r="G16885">
        <v>45694626</v>
      </c>
      <c r="H16885">
        <v>45694523</v>
      </c>
      <c r="I16885">
        <v>45694566</v>
      </c>
    </row>
    <row r="16886" spans="1:9" x14ac:dyDescent="0.2">
      <c r="A16886" s="1" t="str">
        <f>"SPATA6"</f>
        <v>SPATA6</v>
      </c>
      <c r="B16886" t="s">
        <v>14</v>
      </c>
      <c r="C16886" t="s">
        <v>19</v>
      </c>
      <c r="D16886" t="s">
        <v>11</v>
      </c>
      <c r="E16886" t="s">
        <v>12</v>
      </c>
      <c r="F16886">
        <v>48937838</v>
      </c>
      <c r="G16886">
        <v>48937905</v>
      </c>
      <c r="H16886">
        <v>48937684</v>
      </c>
      <c r="I16886">
        <v>48937699</v>
      </c>
    </row>
    <row r="16887" spans="1:9" x14ac:dyDescent="0.2">
      <c r="A16887" s="1" t="str">
        <f>"SPATA6L"</f>
        <v>SPATA6L</v>
      </c>
      <c r="B16887" t="s">
        <v>14</v>
      </c>
      <c r="C16887" t="s">
        <v>24</v>
      </c>
      <c r="D16887" t="s">
        <v>11</v>
      </c>
      <c r="E16887" t="s">
        <v>12</v>
      </c>
      <c r="F16887">
        <v>4666421</v>
      </c>
      <c r="G16887">
        <v>4666492</v>
      </c>
      <c r="H16887">
        <v>4666495</v>
      </c>
      <c r="I16887">
        <v>4666546</v>
      </c>
    </row>
    <row r="16888" spans="1:9" x14ac:dyDescent="0.2">
      <c r="A16888" s="1" t="str">
        <f>"SPATA7"</f>
        <v>SPATA7</v>
      </c>
      <c r="B16888" t="s">
        <v>14</v>
      </c>
      <c r="C16888" t="s">
        <v>41</v>
      </c>
      <c r="D16888" t="s">
        <v>17</v>
      </c>
      <c r="E16888" t="s">
        <v>12</v>
      </c>
      <c r="F16888">
        <v>88851986</v>
      </c>
      <c r="G16888">
        <v>88852056</v>
      </c>
      <c r="H16888">
        <v>88852059</v>
      </c>
      <c r="I16888">
        <v>88852080</v>
      </c>
    </row>
    <row r="16889" spans="1:9" x14ac:dyDescent="0.2">
      <c r="A16889" s="1" t="str">
        <f>"SPATA8"</f>
        <v>SPATA8</v>
      </c>
      <c r="B16889" t="s">
        <v>14</v>
      </c>
      <c r="C16889" t="s">
        <v>25</v>
      </c>
      <c r="D16889" t="s">
        <v>17</v>
      </c>
      <c r="E16889" t="s">
        <v>12</v>
      </c>
      <c r="F16889">
        <v>97326659</v>
      </c>
      <c r="G16889">
        <v>97326709</v>
      </c>
      <c r="H16889">
        <v>97326633</v>
      </c>
      <c r="I16889">
        <v>97326656</v>
      </c>
    </row>
    <row r="16890" spans="1:9" x14ac:dyDescent="0.2">
      <c r="A16890" s="1" t="str">
        <f>"SPATA9"</f>
        <v>SPATA9</v>
      </c>
      <c r="B16890" t="s">
        <v>14</v>
      </c>
      <c r="C16890" t="s">
        <v>46</v>
      </c>
      <c r="D16890" t="s">
        <v>11</v>
      </c>
      <c r="E16890" t="s">
        <v>12</v>
      </c>
      <c r="F16890">
        <v>95018672</v>
      </c>
      <c r="G16890">
        <v>95018700</v>
      </c>
      <c r="H16890">
        <v>95018652</v>
      </c>
      <c r="I16890">
        <v>95018662</v>
      </c>
    </row>
    <row r="16891" spans="1:9" x14ac:dyDescent="0.2">
      <c r="A16891" s="1" t="str">
        <f>"SPATC1"</f>
        <v>SPATC1</v>
      </c>
      <c r="B16891" t="s">
        <v>14</v>
      </c>
      <c r="C16891" t="s">
        <v>30</v>
      </c>
      <c r="D16891" t="s">
        <v>17</v>
      </c>
      <c r="E16891" t="s">
        <v>12</v>
      </c>
      <c r="F16891">
        <v>145086574</v>
      </c>
      <c r="G16891">
        <v>145086611</v>
      </c>
      <c r="H16891">
        <v>145086442</v>
      </c>
      <c r="I16891">
        <v>145086455</v>
      </c>
    </row>
    <row r="16892" spans="1:9" x14ac:dyDescent="0.2">
      <c r="A16892" s="1" t="str">
        <f>"SPATC1L"</f>
        <v>SPATC1L</v>
      </c>
      <c r="B16892" t="s">
        <v>9</v>
      </c>
      <c r="C16892" t="s">
        <v>42</v>
      </c>
      <c r="D16892" t="s">
        <v>11</v>
      </c>
      <c r="E16892" t="s">
        <v>12</v>
      </c>
      <c r="F16892">
        <v>47604318</v>
      </c>
      <c r="G16892">
        <v>47604382</v>
      </c>
      <c r="H16892">
        <v>47604318</v>
      </c>
      <c r="I16892">
        <v>47604382</v>
      </c>
    </row>
    <row r="16893" spans="1:9" x14ac:dyDescent="0.2">
      <c r="A16893" s="1" t="str">
        <f>"SPATC1L"</f>
        <v>SPATC1L</v>
      </c>
      <c r="B16893" t="s">
        <v>13</v>
      </c>
      <c r="C16893" t="s">
        <v>42</v>
      </c>
      <c r="D16893" t="s">
        <v>11</v>
      </c>
      <c r="E16893" t="s">
        <v>12</v>
      </c>
      <c r="F16893">
        <v>47588485</v>
      </c>
      <c r="G16893">
        <v>47588501</v>
      </c>
      <c r="H16893">
        <v>47588485</v>
      </c>
      <c r="I16893">
        <v>47588501</v>
      </c>
    </row>
    <row r="16894" spans="1:9" x14ac:dyDescent="0.2">
      <c r="A16894" s="1" t="str">
        <f>"SPATS1"</f>
        <v>SPATS1</v>
      </c>
      <c r="B16894" t="s">
        <v>14</v>
      </c>
      <c r="C16894" t="s">
        <v>32</v>
      </c>
      <c r="D16894" t="s">
        <v>17</v>
      </c>
      <c r="E16894" t="s">
        <v>12</v>
      </c>
      <c r="F16894">
        <v>44310376</v>
      </c>
      <c r="G16894">
        <v>44310413</v>
      </c>
      <c r="H16894">
        <v>44310376</v>
      </c>
      <c r="I16894">
        <v>44310413</v>
      </c>
    </row>
    <row r="16895" spans="1:9" x14ac:dyDescent="0.2">
      <c r="A16895" s="1" t="str">
        <f>"SPATS2"</f>
        <v>SPATS2</v>
      </c>
      <c r="B16895" t="s">
        <v>14</v>
      </c>
      <c r="C16895" t="s">
        <v>16</v>
      </c>
      <c r="D16895" t="s">
        <v>17</v>
      </c>
      <c r="E16895" t="s">
        <v>12</v>
      </c>
      <c r="F16895">
        <v>49761224</v>
      </c>
      <c r="G16895">
        <v>49761259</v>
      </c>
      <c r="H16895">
        <v>49761273</v>
      </c>
      <c r="I16895">
        <v>49761306</v>
      </c>
    </row>
    <row r="16896" spans="1:9" x14ac:dyDescent="0.2">
      <c r="A16896" s="1" t="str">
        <f>"SPATS2L"</f>
        <v>SPATS2L</v>
      </c>
      <c r="B16896" t="s">
        <v>14</v>
      </c>
      <c r="C16896" t="s">
        <v>26</v>
      </c>
      <c r="D16896" t="s">
        <v>17</v>
      </c>
      <c r="E16896" t="s">
        <v>12</v>
      </c>
      <c r="F16896">
        <v>201171372</v>
      </c>
      <c r="G16896">
        <v>201171469</v>
      </c>
      <c r="H16896">
        <v>201171268</v>
      </c>
      <c r="I16896">
        <v>201171284</v>
      </c>
    </row>
    <row r="16897" spans="1:9" x14ac:dyDescent="0.2">
      <c r="A16897" s="1" t="str">
        <f>"SPC24"</f>
        <v>SPC24</v>
      </c>
      <c r="B16897" t="s">
        <v>14</v>
      </c>
      <c r="C16897" t="s">
        <v>10</v>
      </c>
      <c r="D16897" t="s">
        <v>11</v>
      </c>
      <c r="E16897" t="s">
        <v>12</v>
      </c>
      <c r="F16897">
        <v>11266449</v>
      </c>
      <c r="G16897">
        <v>11266467</v>
      </c>
      <c r="H16897">
        <v>11266471</v>
      </c>
      <c r="I16897">
        <v>11266482</v>
      </c>
    </row>
    <row r="16898" spans="1:9" x14ac:dyDescent="0.2">
      <c r="A16898" s="1" t="str">
        <f>"SPC25"</f>
        <v>SPC25</v>
      </c>
      <c r="B16898" t="s">
        <v>14</v>
      </c>
      <c r="C16898" t="s">
        <v>26</v>
      </c>
      <c r="D16898" t="s">
        <v>11</v>
      </c>
      <c r="E16898" t="s">
        <v>12</v>
      </c>
      <c r="F16898">
        <v>169746878</v>
      </c>
      <c r="G16898">
        <v>169746970</v>
      </c>
      <c r="H16898">
        <v>169746878</v>
      </c>
      <c r="I16898">
        <v>169746970</v>
      </c>
    </row>
    <row r="16899" spans="1:9" x14ac:dyDescent="0.2">
      <c r="A16899" s="1" t="str">
        <f>"SPCS1"</f>
        <v>SPCS1</v>
      </c>
      <c r="B16899" t="s">
        <v>14</v>
      </c>
      <c r="C16899" t="s">
        <v>22</v>
      </c>
      <c r="D16899" t="s">
        <v>17</v>
      </c>
      <c r="E16899" t="s">
        <v>12</v>
      </c>
      <c r="F16899">
        <v>52740108</v>
      </c>
      <c r="G16899">
        <v>52740179</v>
      </c>
      <c r="H16899">
        <v>52739845</v>
      </c>
      <c r="I16899">
        <v>52739914</v>
      </c>
    </row>
    <row r="16900" spans="1:9" x14ac:dyDescent="0.2">
      <c r="A16900" s="1" t="str">
        <f>"SPCS2"</f>
        <v>SPCS2</v>
      </c>
      <c r="B16900" t="s">
        <v>14</v>
      </c>
      <c r="C16900" t="s">
        <v>27</v>
      </c>
      <c r="D16900" t="s">
        <v>17</v>
      </c>
      <c r="E16900" t="s">
        <v>12</v>
      </c>
      <c r="F16900">
        <v>74660278</v>
      </c>
      <c r="G16900">
        <v>74660334</v>
      </c>
      <c r="H16900">
        <v>74660228</v>
      </c>
      <c r="I16900">
        <v>74660237</v>
      </c>
    </row>
    <row r="16901" spans="1:9" x14ac:dyDescent="0.2">
      <c r="A16901" s="1" t="str">
        <f>"SPCS3"</f>
        <v>SPCS3</v>
      </c>
      <c r="B16901" t="s">
        <v>9</v>
      </c>
      <c r="C16901" t="s">
        <v>23</v>
      </c>
      <c r="D16901" t="s">
        <v>17</v>
      </c>
      <c r="E16901" t="s">
        <v>12</v>
      </c>
      <c r="F16901">
        <v>177241094</v>
      </c>
      <c r="G16901">
        <v>177241173</v>
      </c>
      <c r="H16901">
        <v>177241094</v>
      </c>
      <c r="I16901">
        <v>177241173</v>
      </c>
    </row>
    <row r="16902" spans="1:9" x14ac:dyDescent="0.2">
      <c r="A16902" s="1" t="str">
        <f>"SPCS3"</f>
        <v>SPCS3</v>
      </c>
      <c r="B16902" t="s">
        <v>13</v>
      </c>
      <c r="C16902" t="s">
        <v>23</v>
      </c>
      <c r="D16902" t="s">
        <v>17</v>
      </c>
      <c r="E16902" t="s">
        <v>12</v>
      </c>
      <c r="F16902">
        <v>177242329</v>
      </c>
      <c r="G16902">
        <v>177242333</v>
      </c>
      <c r="H16902">
        <v>177242329</v>
      </c>
      <c r="I16902">
        <v>177242333</v>
      </c>
    </row>
    <row r="16903" spans="1:9" x14ac:dyDescent="0.2">
      <c r="A16903" s="1" t="str">
        <f>"SPDEF"</f>
        <v>SPDEF</v>
      </c>
      <c r="B16903" t="s">
        <v>14</v>
      </c>
      <c r="C16903" t="s">
        <v>32</v>
      </c>
      <c r="D16903" t="s">
        <v>11</v>
      </c>
      <c r="E16903" t="s">
        <v>12</v>
      </c>
      <c r="F16903">
        <v>34524093</v>
      </c>
      <c r="G16903">
        <v>34524135</v>
      </c>
      <c r="H16903">
        <v>34524049</v>
      </c>
      <c r="I16903">
        <v>34524089</v>
      </c>
    </row>
    <row r="16904" spans="1:9" x14ac:dyDescent="0.2">
      <c r="A16904" s="1" t="str">
        <f>"SPDL1"</f>
        <v>SPDL1</v>
      </c>
      <c r="B16904" t="s">
        <v>14</v>
      </c>
      <c r="C16904" t="s">
        <v>46</v>
      </c>
      <c r="D16904" t="s">
        <v>17</v>
      </c>
      <c r="E16904" t="s">
        <v>12</v>
      </c>
      <c r="F16904">
        <v>169010736</v>
      </c>
      <c r="G16904">
        <v>169010799</v>
      </c>
      <c r="H16904">
        <v>169010720</v>
      </c>
      <c r="I16904">
        <v>169010731</v>
      </c>
    </row>
    <row r="16905" spans="1:9" x14ac:dyDescent="0.2">
      <c r="A16905" s="1" t="str">
        <f>"SPDYA"</f>
        <v>SPDYA</v>
      </c>
      <c r="B16905" t="s">
        <v>9</v>
      </c>
      <c r="C16905" t="s">
        <v>26</v>
      </c>
      <c r="D16905" t="s">
        <v>17</v>
      </c>
      <c r="E16905" t="s">
        <v>12</v>
      </c>
      <c r="F16905">
        <v>29033682</v>
      </c>
      <c r="G16905">
        <v>29033750</v>
      </c>
      <c r="H16905">
        <v>29033682</v>
      </c>
      <c r="I16905">
        <v>29033750</v>
      </c>
    </row>
    <row r="16906" spans="1:9" x14ac:dyDescent="0.2">
      <c r="A16906" s="1" t="str">
        <f>"SPDYA"</f>
        <v>SPDYA</v>
      </c>
      <c r="B16906" t="s">
        <v>13</v>
      </c>
      <c r="C16906" t="s">
        <v>26</v>
      </c>
      <c r="D16906" t="s">
        <v>17</v>
      </c>
      <c r="E16906" t="s">
        <v>12</v>
      </c>
      <c r="F16906">
        <v>29005377</v>
      </c>
      <c r="G16906">
        <v>29005398</v>
      </c>
      <c r="H16906">
        <v>29005377</v>
      </c>
      <c r="I16906">
        <v>29005398</v>
      </c>
    </row>
    <row r="16907" spans="1:9" x14ac:dyDescent="0.2">
      <c r="A16907" s="1" t="str">
        <f>"SPDYC"</f>
        <v>SPDYC</v>
      </c>
      <c r="B16907" t="s">
        <v>14</v>
      </c>
      <c r="C16907" t="s">
        <v>27</v>
      </c>
      <c r="D16907" t="s">
        <v>17</v>
      </c>
      <c r="E16907" t="s">
        <v>12</v>
      </c>
      <c r="F16907">
        <v>64937702</v>
      </c>
      <c r="G16907">
        <v>64937707</v>
      </c>
      <c r="H16907">
        <v>64937702</v>
      </c>
      <c r="I16907">
        <v>64937707</v>
      </c>
    </row>
    <row r="16908" spans="1:9" x14ac:dyDescent="0.2">
      <c r="A16908" s="1" t="str">
        <f>"SPDYE1"</f>
        <v>SPDYE1</v>
      </c>
      <c r="B16908" t="s">
        <v>1586</v>
      </c>
      <c r="C16908" t="s">
        <v>33</v>
      </c>
      <c r="D16908" t="s">
        <v>17</v>
      </c>
      <c r="E16908" t="s">
        <v>20</v>
      </c>
      <c r="F16908">
        <v>44040487</v>
      </c>
      <c r="G16908">
        <v>44040487</v>
      </c>
      <c r="H16908">
        <v>44040487</v>
      </c>
      <c r="I16908">
        <v>44040487</v>
      </c>
    </row>
    <row r="16909" spans="1:9" x14ac:dyDescent="0.2">
      <c r="A16909" s="1" t="str">
        <f>"SPDYE2"</f>
        <v>SPDYE2</v>
      </c>
      <c r="B16909" t="s">
        <v>1587</v>
      </c>
      <c r="C16909" t="s">
        <v>33</v>
      </c>
      <c r="D16909" t="s">
        <v>17</v>
      </c>
      <c r="E16909" t="s">
        <v>20</v>
      </c>
      <c r="F16909">
        <v>102196255</v>
      </c>
      <c r="G16909">
        <v>102196255</v>
      </c>
      <c r="H16909">
        <v>102196255</v>
      </c>
      <c r="I16909">
        <v>102196255</v>
      </c>
    </row>
    <row r="16910" spans="1:9" x14ac:dyDescent="0.2">
      <c r="A16910" s="1" t="str">
        <f>"SPDYE2"</f>
        <v>SPDYE2</v>
      </c>
      <c r="B16910" t="s">
        <v>1588</v>
      </c>
      <c r="C16910" t="s">
        <v>33</v>
      </c>
      <c r="D16910" t="s">
        <v>17</v>
      </c>
      <c r="E16910" t="s">
        <v>20</v>
      </c>
      <c r="F16910">
        <v>102191678</v>
      </c>
      <c r="G16910">
        <v>102191678</v>
      </c>
      <c r="H16910">
        <v>102191678</v>
      </c>
      <c r="I16910">
        <v>102191678</v>
      </c>
    </row>
    <row r="16911" spans="1:9" x14ac:dyDescent="0.2">
      <c r="A16911" s="1" t="str">
        <f>"SPDYE2B"</f>
        <v>SPDYE2B</v>
      </c>
      <c r="B16911" t="s">
        <v>1589</v>
      </c>
      <c r="C16911" t="s">
        <v>33</v>
      </c>
      <c r="D16911" t="s">
        <v>17</v>
      </c>
      <c r="E16911" t="s">
        <v>20</v>
      </c>
      <c r="F16911">
        <v>102292795</v>
      </c>
      <c r="G16911">
        <v>102292795</v>
      </c>
      <c r="H16911">
        <v>102292795</v>
      </c>
      <c r="I16911">
        <v>102292795</v>
      </c>
    </row>
    <row r="16912" spans="1:9" x14ac:dyDescent="0.2">
      <c r="A16912" s="1" t="str">
        <f>"SPDYE2B"</f>
        <v>SPDYE2B</v>
      </c>
      <c r="B16912" t="s">
        <v>1590</v>
      </c>
      <c r="C16912" t="s">
        <v>33</v>
      </c>
      <c r="D16912" t="s">
        <v>17</v>
      </c>
      <c r="E16912" t="s">
        <v>20</v>
      </c>
      <c r="F16912">
        <v>102295339</v>
      </c>
      <c r="G16912">
        <v>102295339</v>
      </c>
      <c r="H16912">
        <v>102295339</v>
      </c>
      <c r="I16912">
        <v>102295339</v>
      </c>
    </row>
    <row r="16913" spans="1:9" x14ac:dyDescent="0.2">
      <c r="A16913" s="1" t="str">
        <f>"SPDYE2B"</f>
        <v>SPDYE2B</v>
      </c>
      <c r="B16913" t="s">
        <v>1591</v>
      </c>
      <c r="C16913" t="s">
        <v>33</v>
      </c>
      <c r="D16913" t="s">
        <v>17</v>
      </c>
      <c r="E16913" t="s">
        <v>20</v>
      </c>
      <c r="F16913">
        <v>102290771</v>
      </c>
      <c r="G16913">
        <v>102290771</v>
      </c>
      <c r="H16913">
        <v>102290771</v>
      </c>
      <c r="I16913">
        <v>102290771</v>
      </c>
    </row>
    <row r="16914" spans="1:9" x14ac:dyDescent="0.2">
      <c r="A16914" s="1" t="str">
        <f>"SPDYE3"</f>
        <v>SPDYE3</v>
      </c>
      <c r="B16914" t="s">
        <v>14</v>
      </c>
      <c r="C16914" t="s">
        <v>33</v>
      </c>
      <c r="D16914" t="s">
        <v>17</v>
      </c>
      <c r="E16914" t="s">
        <v>12</v>
      </c>
      <c r="F16914">
        <v>99905327</v>
      </c>
      <c r="G16914">
        <v>99905342</v>
      </c>
      <c r="H16914">
        <v>99905327</v>
      </c>
      <c r="I16914">
        <v>99905342</v>
      </c>
    </row>
    <row r="16915" spans="1:9" x14ac:dyDescent="0.2">
      <c r="A16915" s="1" t="str">
        <f>"SPDYE4"</f>
        <v>SPDYE4</v>
      </c>
      <c r="B16915" t="s">
        <v>14</v>
      </c>
      <c r="C16915" t="s">
        <v>28</v>
      </c>
      <c r="D16915" t="s">
        <v>11</v>
      </c>
      <c r="E16915" t="s">
        <v>12</v>
      </c>
      <c r="F16915">
        <v>8661838</v>
      </c>
      <c r="G16915">
        <v>8661845</v>
      </c>
      <c r="H16915">
        <v>8661860</v>
      </c>
      <c r="I16915">
        <v>8661867</v>
      </c>
    </row>
    <row r="16916" spans="1:9" x14ac:dyDescent="0.2">
      <c r="A16916" s="1" t="str">
        <f>"SPDYE5"</f>
        <v>SPDYE5</v>
      </c>
      <c r="B16916" t="s">
        <v>1592</v>
      </c>
      <c r="C16916" t="s">
        <v>33</v>
      </c>
      <c r="D16916" t="s">
        <v>17</v>
      </c>
      <c r="E16916" t="s">
        <v>20</v>
      </c>
      <c r="F16916">
        <v>75124298</v>
      </c>
      <c r="G16916">
        <v>75124298</v>
      </c>
      <c r="H16916">
        <v>75124298</v>
      </c>
      <c r="I16916">
        <v>75124298</v>
      </c>
    </row>
    <row r="16917" spans="1:9" x14ac:dyDescent="0.2">
      <c r="A16917" s="1" t="str">
        <f>"SPECC1"</f>
        <v>SPECC1</v>
      </c>
      <c r="B16917" t="s">
        <v>1593</v>
      </c>
      <c r="C16917" t="s">
        <v>28</v>
      </c>
      <c r="D16917" t="s">
        <v>17</v>
      </c>
      <c r="E16917" t="s">
        <v>20</v>
      </c>
      <c r="F16917">
        <v>19990334</v>
      </c>
      <c r="G16917">
        <v>19990334</v>
      </c>
      <c r="H16917">
        <v>19990334</v>
      </c>
      <c r="I16917">
        <v>19990334</v>
      </c>
    </row>
    <row r="16918" spans="1:9" x14ac:dyDescent="0.2">
      <c r="A16918" s="1" t="str">
        <f>"SPECC1"</f>
        <v>SPECC1</v>
      </c>
      <c r="B16918" t="s">
        <v>1594</v>
      </c>
      <c r="C16918" t="s">
        <v>28</v>
      </c>
      <c r="D16918" t="s">
        <v>17</v>
      </c>
      <c r="E16918" t="s">
        <v>35</v>
      </c>
      <c r="F16918">
        <v>19912611</v>
      </c>
      <c r="G16918">
        <v>19912616</v>
      </c>
      <c r="H16918">
        <v>19912640</v>
      </c>
      <c r="I16918">
        <v>19912695</v>
      </c>
    </row>
    <row r="16919" spans="1:9" x14ac:dyDescent="0.2">
      <c r="A16919" s="1" t="str">
        <f>"SPECC1L"</f>
        <v>SPECC1L</v>
      </c>
      <c r="B16919" t="s">
        <v>14</v>
      </c>
      <c r="C16919" t="s">
        <v>21</v>
      </c>
      <c r="D16919" t="s">
        <v>17</v>
      </c>
      <c r="E16919" t="s">
        <v>12</v>
      </c>
      <c r="F16919">
        <v>24666763</v>
      </c>
      <c r="G16919">
        <v>24666876</v>
      </c>
      <c r="H16919">
        <v>24666744</v>
      </c>
      <c r="I16919">
        <v>24666758</v>
      </c>
    </row>
    <row r="16920" spans="1:9" x14ac:dyDescent="0.2">
      <c r="A16920" s="1" t="str">
        <f>"SPEF1"</f>
        <v>SPEF1</v>
      </c>
      <c r="B16920" t="s">
        <v>14</v>
      </c>
      <c r="C16920" t="s">
        <v>29</v>
      </c>
      <c r="D16920" t="s">
        <v>11</v>
      </c>
      <c r="E16920" t="s">
        <v>12</v>
      </c>
      <c r="F16920">
        <v>3762087</v>
      </c>
      <c r="G16920">
        <v>3762100</v>
      </c>
      <c r="H16920">
        <v>3762030</v>
      </c>
      <c r="I16920">
        <v>3762040</v>
      </c>
    </row>
    <row r="16921" spans="1:9" x14ac:dyDescent="0.2">
      <c r="A16921" s="1" t="str">
        <f>"SPEF2"</f>
        <v>SPEF2</v>
      </c>
      <c r="B16921" t="s">
        <v>14</v>
      </c>
      <c r="C16921" t="s">
        <v>46</v>
      </c>
      <c r="D16921" t="s">
        <v>17</v>
      </c>
      <c r="E16921" t="s">
        <v>12</v>
      </c>
      <c r="F16921">
        <v>35617940</v>
      </c>
      <c r="G16921">
        <v>35618050</v>
      </c>
      <c r="H16921">
        <v>35618058</v>
      </c>
      <c r="I16921">
        <v>35618078</v>
      </c>
    </row>
    <row r="16922" spans="1:9" x14ac:dyDescent="0.2">
      <c r="A16922" s="1" t="str">
        <f>"SPEG"</f>
        <v>SPEG</v>
      </c>
      <c r="B16922" t="s">
        <v>9</v>
      </c>
      <c r="C16922" t="s">
        <v>26</v>
      </c>
      <c r="D16922" t="s">
        <v>17</v>
      </c>
      <c r="E16922" t="s">
        <v>12</v>
      </c>
      <c r="F16922">
        <v>220306752</v>
      </c>
      <c r="G16922">
        <v>220306781</v>
      </c>
      <c r="H16922">
        <v>220306752</v>
      </c>
      <c r="I16922">
        <v>220306781</v>
      </c>
    </row>
    <row r="16923" spans="1:9" x14ac:dyDescent="0.2">
      <c r="A16923" s="1" t="str">
        <f>"SPEG"</f>
        <v>SPEG</v>
      </c>
      <c r="B16923" t="s">
        <v>13</v>
      </c>
      <c r="C16923" t="s">
        <v>26</v>
      </c>
      <c r="D16923" t="s">
        <v>17</v>
      </c>
      <c r="E16923" t="s">
        <v>12</v>
      </c>
      <c r="F16923">
        <v>220325441</v>
      </c>
      <c r="G16923">
        <v>220325471</v>
      </c>
      <c r="H16923">
        <v>220325441</v>
      </c>
      <c r="I16923">
        <v>220325471</v>
      </c>
    </row>
    <row r="16924" spans="1:9" x14ac:dyDescent="0.2">
      <c r="A16924" s="1" t="str">
        <f>"SPEM1"</f>
        <v>SPEM1</v>
      </c>
      <c r="B16924" t="s">
        <v>14</v>
      </c>
      <c r="C16924" t="s">
        <v>28</v>
      </c>
      <c r="D16924" t="s">
        <v>17</v>
      </c>
      <c r="E16924" t="s">
        <v>12</v>
      </c>
      <c r="F16924">
        <v>7323634</v>
      </c>
      <c r="G16924">
        <v>7323658</v>
      </c>
      <c r="H16924">
        <v>7323631</v>
      </c>
      <c r="I16924">
        <v>7323632</v>
      </c>
    </row>
    <row r="16925" spans="1:9" x14ac:dyDescent="0.2">
      <c r="A16925" s="1" t="str">
        <f>"SPEN"</f>
        <v>SPEN</v>
      </c>
      <c r="B16925" t="s">
        <v>14</v>
      </c>
      <c r="C16925" t="s">
        <v>19</v>
      </c>
      <c r="D16925" t="s">
        <v>17</v>
      </c>
      <c r="E16925" t="s">
        <v>12</v>
      </c>
      <c r="F16925">
        <v>16174280</v>
      </c>
      <c r="G16925">
        <v>16174365</v>
      </c>
      <c r="H16925">
        <v>16174280</v>
      </c>
      <c r="I16925">
        <v>16174365</v>
      </c>
    </row>
    <row r="16926" spans="1:9" x14ac:dyDescent="0.2">
      <c r="A16926" s="1" t="str">
        <f>"SPERT"</f>
        <v>SPERT</v>
      </c>
      <c r="B16926" t="s">
        <v>14</v>
      </c>
      <c r="C16926" t="s">
        <v>39</v>
      </c>
      <c r="D16926" t="s">
        <v>17</v>
      </c>
      <c r="E16926" t="s">
        <v>12</v>
      </c>
      <c r="F16926">
        <v>46276441</v>
      </c>
      <c r="G16926">
        <v>46276465</v>
      </c>
      <c r="H16926">
        <v>46276441</v>
      </c>
      <c r="I16926">
        <v>46276465</v>
      </c>
    </row>
    <row r="16927" spans="1:9" x14ac:dyDescent="0.2">
      <c r="A16927" s="1" t="str">
        <f>"SPESP1"</f>
        <v>SPESP1</v>
      </c>
      <c r="B16927" t="s">
        <v>14</v>
      </c>
      <c r="C16927" t="s">
        <v>25</v>
      </c>
      <c r="D16927" t="s">
        <v>17</v>
      </c>
      <c r="E16927" t="s">
        <v>12</v>
      </c>
      <c r="F16927">
        <v>69222827</v>
      </c>
      <c r="G16927">
        <v>69222904</v>
      </c>
      <c r="H16927">
        <v>69222909</v>
      </c>
      <c r="I16927">
        <v>69222922</v>
      </c>
    </row>
    <row r="16928" spans="1:9" x14ac:dyDescent="0.2">
      <c r="A16928" s="1" t="str">
        <f>"SPG11"</f>
        <v>SPG11</v>
      </c>
      <c r="B16928" t="s">
        <v>14</v>
      </c>
      <c r="C16928" t="s">
        <v>25</v>
      </c>
      <c r="D16928" t="s">
        <v>11</v>
      </c>
      <c r="E16928" t="s">
        <v>12</v>
      </c>
      <c r="F16928">
        <v>44955842</v>
      </c>
      <c r="G16928">
        <v>44955890</v>
      </c>
      <c r="H16928">
        <v>44955815</v>
      </c>
      <c r="I16928">
        <v>44955826</v>
      </c>
    </row>
    <row r="16929" spans="1:9" x14ac:dyDescent="0.2">
      <c r="A16929" s="1" t="str">
        <f>"SPG20"</f>
        <v>SPG20</v>
      </c>
      <c r="B16929" t="s">
        <v>14</v>
      </c>
      <c r="C16929" t="s">
        <v>39</v>
      </c>
      <c r="D16929" t="s">
        <v>11</v>
      </c>
      <c r="E16929" t="s">
        <v>12</v>
      </c>
      <c r="F16929">
        <v>36920450</v>
      </c>
      <c r="G16929">
        <v>36920574</v>
      </c>
      <c r="H16929">
        <v>36920785</v>
      </c>
      <c r="I16929">
        <v>36920860</v>
      </c>
    </row>
    <row r="16930" spans="1:9" x14ac:dyDescent="0.2">
      <c r="A16930" s="1" t="str">
        <f>"SPG21"</f>
        <v>SPG21</v>
      </c>
      <c r="B16930" t="s">
        <v>14</v>
      </c>
      <c r="C16930" t="s">
        <v>25</v>
      </c>
      <c r="D16930" t="s">
        <v>11</v>
      </c>
      <c r="E16930" t="s">
        <v>12</v>
      </c>
      <c r="F16930">
        <v>65282232</v>
      </c>
      <c r="G16930">
        <v>65282271</v>
      </c>
      <c r="H16930">
        <v>65282104</v>
      </c>
      <c r="I16930">
        <v>65282181</v>
      </c>
    </row>
    <row r="16931" spans="1:9" x14ac:dyDescent="0.2">
      <c r="A16931" s="1" t="str">
        <f>"SPG7"</f>
        <v>SPG7</v>
      </c>
      <c r="B16931" t="s">
        <v>14</v>
      </c>
      <c r="C16931" t="s">
        <v>31</v>
      </c>
      <c r="D16931" t="s">
        <v>17</v>
      </c>
      <c r="E16931" t="s">
        <v>12</v>
      </c>
      <c r="F16931">
        <v>89574795</v>
      </c>
      <c r="G16931">
        <v>89574824</v>
      </c>
      <c r="H16931">
        <v>89574414</v>
      </c>
      <c r="I16931">
        <v>89574427</v>
      </c>
    </row>
    <row r="16932" spans="1:9" x14ac:dyDescent="0.2">
      <c r="A16932" s="1" t="str">
        <f>"SPHAR"</f>
        <v>SPHAR</v>
      </c>
      <c r="B16932" t="s">
        <v>14</v>
      </c>
      <c r="C16932" t="s">
        <v>19</v>
      </c>
      <c r="D16932" t="s">
        <v>17</v>
      </c>
      <c r="E16932" t="s">
        <v>12</v>
      </c>
      <c r="F16932">
        <v>229439673</v>
      </c>
      <c r="G16932">
        <v>229439699</v>
      </c>
      <c r="H16932">
        <v>229439673</v>
      </c>
      <c r="I16932">
        <v>229439699</v>
      </c>
    </row>
    <row r="16933" spans="1:9" x14ac:dyDescent="0.2">
      <c r="A16933" s="1" t="str">
        <f>"SPHK1"</f>
        <v>SPHK1</v>
      </c>
      <c r="B16933" t="s">
        <v>14</v>
      </c>
      <c r="C16933" t="s">
        <v>28</v>
      </c>
      <c r="D16933" t="s">
        <v>17</v>
      </c>
      <c r="E16933" t="s">
        <v>12</v>
      </c>
      <c r="F16933">
        <v>74380683</v>
      </c>
      <c r="G16933">
        <v>74380733</v>
      </c>
      <c r="H16933">
        <v>74381343</v>
      </c>
      <c r="I16933">
        <v>74381386</v>
      </c>
    </row>
    <row r="16934" spans="1:9" x14ac:dyDescent="0.2">
      <c r="A16934" s="1" t="str">
        <f>"SPHK2"</f>
        <v>SPHK2</v>
      </c>
      <c r="B16934" t="s">
        <v>14</v>
      </c>
      <c r="C16934" t="s">
        <v>10</v>
      </c>
      <c r="D16934" t="s">
        <v>17</v>
      </c>
      <c r="E16934" t="s">
        <v>12</v>
      </c>
      <c r="F16934">
        <v>49122655</v>
      </c>
      <c r="G16934">
        <v>49122777</v>
      </c>
      <c r="H16934">
        <v>49122655</v>
      </c>
      <c r="I16934">
        <v>49122777</v>
      </c>
    </row>
    <row r="16935" spans="1:9" x14ac:dyDescent="0.2">
      <c r="A16935" s="1" t="str">
        <f>"SPHKAP"</f>
        <v>SPHKAP</v>
      </c>
      <c r="B16935" t="s">
        <v>14</v>
      </c>
      <c r="C16935" t="s">
        <v>26</v>
      </c>
      <c r="D16935" t="s">
        <v>11</v>
      </c>
      <c r="E16935" t="s">
        <v>12</v>
      </c>
      <c r="F16935">
        <v>229046385</v>
      </c>
      <c r="G16935">
        <v>229046408</v>
      </c>
      <c r="H16935">
        <v>229046419</v>
      </c>
      <c r="I16935">
        <v>229046438</v>
      </c>
    </row>
    <row r="16936" spans="1:9" x14ac:dyDescent="0.2">
      <c r="A16936" s="1" t="str">
        <f>"SPI1"</f>
        <v>SPI1</v>
      </c>
      <c r="B16936" t="s">
        <v>14</v>
      </c>
      <c r="C16936" t="s">
        <v>27</v>
      </c>
      <c r="D16936" t="s">
        <v>11</v>
      </c>
      <c r="E16936" t="s">
        <v>12</v>
      </c>
      <c r="F16936">
        <v>47400078</v>
      </c>
      <c r="G16936">
        <v>47400106</v>
      </c>
      <c r="H16936">
        <v>47400062</v>
      </c>
      <c r="I16936">
        <v>47400077</v>
      </c>
    </row>
    <row r="16937" spans="1:9" x14ac:dyDescent="0.2">
      <c r="A16937" s="1" t="str">
        <f>"SPIB"</f>
        <v>SPIB</v>
      </c>
      <c r="B16937" t="s">
        <v>14</v>
      </c>
      <c r="C16937" t="s">
        <v>10</v>
      </c>
      <c r="D16937" t="s">
        <v>17</v>
      </c>
      <c r="E16937" t="s">
        <v>12</v>
      </c>
      <c r="F16937">
        <v>50922187</v>
      </c>
      <c r="G16937">
        <v>50922204</v>
      </c>
      <c r="H16937">
        <v>50922187</v>
      </c>
      <c r="I16937">
        <v>50922204</v>
      </c>
    </row>
    <row r="16938" spans="1:9" x14ac:dyDescent="0.2">
      <c r="A16938" s="1" t="str">
        <f>"SPIC"</f>
        <v>SPIC</v>
      </c>
      <c r="B16938" t="s">
        <v>14</v>
      </c>
      <c r="C16938" t="s">
        <v>16</v>
      </c>
      <c r="D16938" t="s">
        <v>17</v>
      </c>
      <c r="E16938" t="s">
        <v>12</v>
      </c>
      <c r="F16938">
        <v>101869096</v>
      </c>
      <c r="G16938">
        <v>101869118</v>
      </c>
      <c r="H16938">
        <v>101869096</v>
      </c>
      <c r="I16938">
        <v>101869118</v>
      </c>
    </row>
    <row r="16939" spans="1:9" x14ac:dyDescent="0.2">
      <c r="A16939" s="1" t="str">
        <f>"SPICE1"</f>
        <v>SPICE1</v>
      </c>
      <c r="B16939" t="s">
        <v>14</v>
      </c>
      <c r="C16939" t="s">
        <v>22</v>
      </c>
      <c r="D16939" t="s">
        <v>11</v>
      </c>
      <c r="E16939" t="s">
        <v>12</v>
      </c>
      <c r="F16939">
        <v>113233992</v>
      </c>
      <c r="G16939">
        <v>113234044</v>
      </c>
      <c r="H16939">
        <v>113233965</v>
      </c>
      <c r="I16939">
        <v>113233983</v>
      </c>
    </row>
    <row r="16940" spans="1:9" x14ac:dyDescent="0.2">
      <c r="A16940" s="1" t="str">
        <f>"SPIDR"</f>
        <v>SPIDR</v>
      </c>
      <c r="B16940" t="s">
        <v>14</v>
      </c>
      <c r="C16940" t="s">
        <v>30</v>
      </c>
      <c r="D16940" t="s">
        <v>17</v>
      </c>
      <c r="E16940" t="s">
        <v>12</v>
      </c>
      <c r="F16940">
        <v>48173514</v>
      </c>
      <c r="G16940">
        <v>48173554</v>
      </c>
      <c r="H16940">
        <v>48173490</v>
      </c>
      <c r="I16940">
        <v>48173504</v>
      </c>
    </row>
    <row r="16941" spans="1:9" x14ac:dyDescent="0.2">
      <c r="A16941" s="1" t="str">
        <f>"SPIN1"</f>
        <v>SPIN1</v>
      </c>
      <c r="B16941" t="s">
        <v>14</v>
      </c>
      <c r="C16941" t="s">
        <v>24</v>
      </c>
      <c r="D16941" t="s">
        <v>17</v>
      </c>
      <c r="E16941" t="s">
        <v>12</v>
      </c>
      <c r="F16941">
        <v>91003271</v>
      </c>
      <c r="G16941">
        <v>91003386</v>
      </c>
      <c r="H16941">
        <v>91003220</v>
      </c>
      <c r="I16941">
        <v>91003258</v>
      </c>
    </row>
    <row r="16942" spans="1:9" x14ac:dyDescent="0.2">
      <c r="A16942" s="1" t="str">
        <f>"SPIN2A"</f>
        <v>SPIN2A</v>
      </c>
      <c r="B16942" t="s">
        <v>14</v>
      </c>
      <c r="C16942" t="s">
        <v>37</v>
      </c>
      <c r="D16942" t="s">
        <v>11</v>
      </c>
      <c r="E16942" t="s">
        <v>12</v>
      </c>
      <c r="F16942">
        <v>57164104</v>
      </c>
      <c r="G16942">
        <v>57164118</v>
      </c>
      <c r="H16942">
        <v>57164077</v>
      </c>
      <c r="I16942">
        <v>57164091</v>
      </c>
    </row>
    <row r="16943" spans="1:9" x14ac:dyDescent="0.2">
      <c r="A16943" s="1" t="str">
        <f>"SPIN2B"</f>
        <v>SPIN2B</v>
      </c>
      <c r="B16943" t="s">
        <v>14</v>
      </c>
      <c r="C16943" t="s">
        <v>37</v>
      </c>
      <c r="D16943" t="s">
        <v>11</v>
      </c>
      <c r="E16943" t="s">
        <v>12</v>
      </c>
      <c r="F16943">
        <v>57147902</v>
      </c>
      <c r="G16943">
        <v>57147996</v>
      </c>
      <c r="H16943">
        <v>57147851</v>
      </c>
      <c r="I16943">
        <v>57147872</v>
      </c>
    </row>
    <row r="16944" spans="1:9" x14ac:dyDescent="0.2">
      <c r="A16944" s="1" t="str">
        <f>"SPIN3"</f>
        <v>SPIN3</v>
      </c>
      <c r="B16944" t="s">
        <v>14</v>
      </c>
      <c r="C16944" t="s">
        <v>37</v>
      </c>
      <c r="D16944" t="s">
        <v>11</v>
      </c>
      <c r="E16944" t="s">
        <v>12</v>
      </c>
      <c r="F16944">
        <v>57021943</v>
      </c>
      <c r="G16944">
        <v>57021993</v>
      </c>
      <c r="H16944">
        <v>57021918</v>
      </c>
      <c r="I16944">
        <v>57021936</v>
      </c>
    </row>
    <row r="16945" spans="1:9" x14ac:dyDescent="0.2">
      <c r="A16945" s="1" t="str">
        <f>"SPIN4"</f>
        <v>SPIN4</v>
      </c>
      <c r="B16945" t="s">
        <v>14</v>
      </c>
      <c r="C16945" t="s">
        <v>37</v>
      </c>
      <c r="D16945" t="s">
        <v>11</v>
      </c>
      <c r="E16945" t="s">
        <v>12</v>
      </c>
      <c r="F16945">
        <v>62571187</v>
      </c>
      <c r="G16945">
        <v>62571217</v>
      </c>
      <c r="H16945">
        <v>62571220</v>
      </c>
      <c r="I16945">
        <v>62571231</v>
      </c>
    </row>
    <row r="16946" spans="1:9" x14ac:dyDescent="0.2">
      <c r="A16946" s="1" t="str">
        <f>"SPINK1"</f>
        <v>SPINK1</v>
      </c>
      <c r="B16946" t="s">
        <v>14</v>
      </c>
      <c r="C16946" t="s">
        <v>46</v>
      </c>
      <c r="D16946" t="s">
        <v>11</v>
      </c>
      <c r="E16946" t="s">
        <v>12</v>
      </c>
      <c r="F16946">
        <v>147211190</v>
      </c>
      <c r="G16946">
        <v>147211219</v>
      </c>
      <c r="H16946">
        <v>147211152</v>
      </c>
      <c r="I16946">
        <v>147211184</v>
      </c>
    </row>
    <row r="16947" spans="1:9" x14ac:dyDescent="0.2">
      <c r="A16947" s="1" t="str">
        <f>"SPINK13"</f>
        <v>SPINK13</v>
      </c>
      <c r="B16947" t="s">
        <v>14</v>
      </c>
      <c r="C16947" t="s">
        <v>46</v>
      </c>
      <c r="D16947" t="s">
        <v>17</v>
      </c>
      <c r="E16947" t="s">
        <v>12</v>
      </c>
      <c r="F16947">
        <v>147648304</v>
      </c>
      <c r="G16947">
        <v>147648364</v>
      </c>
      <c r="H16947">
        <v>147648268</v>
      </c>
      <c r="I16947">
        <v>147648281</v>
      </c>
    </row>
    <row r="16948" spans="1:9" x14ac:dyDescent="0.2">
      <c r="A16948" s="1" t="str">
        <f>"SPINK14"</f>
        <v>SPINK14</v>
      </c>
      <c r="B16948" t="s">
        <v>1595</v>
      </c>
      <c r="C16948" t="s">
        <v>46</v>
      </c>
      <c r="D16948" t="s">
        <v>17</v>
      </c>
      <c r="E16948" t="s">
        <v>20</v>
      </c>
      <c r="F16948">
        <v>147549295</v>
      </c>
      <c r="G16948">
        <v>147549295</v>
      </c>
      <c r="H16948">
        <v>147549295</v>
      </c>
      <c r="I16948">
        <v>147549295</v>
      </c>
    </row>
    <row r="16949" spans="1:9" x14ac:dyDescent="0.2">
      <c r="A16949" s="1" t="str">
        <f>"SPINK2"</f>
        <v>SPINK2</v>
      </c>
      <c r="B16949" t="s">
        <v>14</v>
      </c>
      <c r="C16949" t="s">
        <v>23</v>
      </c>
      <c r="D16949" t="s">
        <v>11</v>
      </c>
      <c r="E16949" t="s">
        <v>12</v>
      </c>
      <c r="F16949">
        <v>57687847</v>
      </c>
      <c r="G16949">
        <v>57687911</v>
      </c>
      <c r="H16949">
        <v>57687834</v>
      </c>
      <c r="I16949">
        <v>57687843</v>
      </c>
    </row>
    <row r="16950" spans="1:9" x14ac:dyDescent="0.2">
      <c r="A16950" s="1" t="str">
        <f>"SPINK4"</f>
        <v>SPINK4</v>
      </c>
      <c r="B16950" t="s">
        <v>14</v>
      </c>
      <c r="C16950" t="s">
        <v>24</v>
      </c>
      <c r="D16950" t="s">
        <v>17</v>
      </c>
      <c r="E16950" t="s">
        <v>12</v>
      </c>
      <c r="F16950">
        <v>33240157</v>
      </c>
      <c r="G16950">
        <v>33240173</v>
      </c>
      <c r="H16950">
        <v>33240157</v>
      </c>
      <c r="I16950">
        <v>33240173</v>
      </c>
    </row>
    <row r="16951" spans="1:9" x14ac:dyDescent="0.2">
      <c r="A16951" s="1" t="str">
        <f>"SPINK5"</f>
        <v>SPINK5</v>
      </c>
      <c r="B16951" t="s">
        <v>9</v>
      </c>
      <c r="C16951" t="s">
        <v>46</v>
      </c>
      <c r="D16951" t="s">
        <v>17</v>
      </c>
      <c r="E16951" t="s">
        <v>12</v>
      </c>
      <c r="F16951">
        <v>147443534</v>
      </c>
      <c r="G16951">
        <v>147443551</v>
      </c>
      <c r="H16951">
        <v>147443534</v>
      </c>
      <c r="I16951">
        <v>147443551</v>
      </c>
    </row>
    <row r="16952" spans="1:9" x14ac:dyDescent="0.2">
      <c r="A16952" s="1" t="str">
        <f>"SPINK5"</f>
        <v>SPINK5</v>
      </c>
      <c r="B16952" t="s">
        <v>13</v>
      </c>
      <c r="C16952" t="s">
        <v>46</v>
      </c>
      <c r="D16952" t="s">
        <v>17</v>
      </c>
      <c r="E16952" t="s">
        <v>12</v>
      </c>
      <c r="F16952">
        <v>147470451</v>
      </c>
      <c r="G16952">
        <v>147470476</v>
      </c>
      <c r="H16952">
        <v>147470451</v>
      </c>
      <c r="I16952">
        <v>147470476</v>
      </c>
    </row>
    <row r="16953" spans="1:9" x14ac:dyDescent="0.2">
      <c r="A16953" s="1" t="str">
        <f>"SPINK6"</f>
        <v>SPINK6</v>
      </c>
      <c r="B16953" t="s">
        <v>14</v>
      </c>
      <c r="C16953" t="s">
        <v>46</v>
      </c>
      <c r="D16953" t="s">
        <v>17</v>
      </c>
      <c r="E16953" t="s">
        <v>12</v>
      </c>
      <c r="F16953">
        <v>147582587</v>
      </c>
      <c r="G16953">
        <v>147582659</v>
      </c>
      <c r="H16953">
        <v>147582333</v>
      </c>
      <c r="I16953">
        <v>147582347</v>
      </c>
    </row>
    <row r="16954" spans="1:9" x14ac:dyDescent="0.2">
      <c r="A16954" s="1" t="str">
        <f>"SPINK7"</f>
        <v>SPINK7</v>
      </c>
      <c r="B16954" t="s">
        <v>14</v>
      </c>
      <c r="C16954" t="s">
        <v>46</v>
      </c>
      <c r="D16954" t="s">
        <v>17</v>
      </c>
      <c r="E16954" t="s">
        <v>12</v>
      </c>
      <c r="F16954">
        <v>147691979</v>
      </c>
      <c r="G16954">
        <v>147691997</v>
      </c>
      <c r="H16954">
        <v>147691979</v>
      </c>
      <c r="I16954">
        <v>147691997</v>
      </c>
    </row>
    <row r="16955" spans="1:9" x14ac:dyDescent="0.2">
      <c r="A16955" s="1" t="str">
        <f>"SPINK8"</f>
        <v>SPINK8</v>
      </c>
      <c r="B16955" t="s">
        <v>1596</v>
      </c>
      <c r="C16955" t="s">
        <v>22</v>
      </c>
      <c r="D16955" t="s">
        <v>11</v>
      </c>
      <c r="E16955" t="s">
        <v>20</v>
      </c>
      <c r="F16955">
        <v>48369830</v>
      </c>
      <c r="G16955">
        <v>48369830</v>
      </c>
      <c r="H16955">
        <v>48369830</v>
      </c>
      <c r="I16955">
        <v>48369830</v>
      </c>
    </row>
    <row r="16956" spans="1:9" x14ac:dyDescent="0.2">
      <c r="A16956" s="1" t="str">
        <f>"SPINK9"</f>
        <v>SPINK9</v>
      </c>
      <c r="B16956" t="s">
        <v>14</v>
      </c>
      <c r="C16956" t="s">
        <v>46</v>
      </c>
      <c r="D16956" t="s">
        <v>17</v>
      </c>
      <c r="E16956" t="s">
        <v>12</v>
      </c>
      <c r="F16956">
        <v>147715119</v>
      </c>
      <c r="G16956">
        <v>147715124</v>
      </c>
      <c r="H16956">
        <v>147715119</v>
      </c>
      <c r="I16956">
        <v>147715124</v>
      </c>
    </row>
    <row r="16957" spans="1:9" x14ac:dyDescent="0.2">
      <c r="A16957" s="1" t="str">
        <f>"SPINT1"</f>
        <v>SPINT1</v>
      </c>
      <c r="B16957" t="s">
        <v>14</v>
      </c>
      <c r="C16957" t="s">
        <v>25</v>
      </c>
      <c r="D16957" t="s">
        <v>17</v>
      </c>
      <c r="E16957" t="s">
        <v>12</v>
      </c>
      <c r="F16957">
        <v>41136586</v>
      </c>
      <c r="G16957">
        <v>41136725</v>
      </c>
      <c r="H16957">
        <v>41136234</v>
      </c>
      <c r="I16957">
        <v>41136252</v>
      </c>
    </row>
    <row r="16958" spans="1:9" x14ac:dyDescent="0.2">
      <c r="A16958" s="1" t="str">
        <f>"SPINT2"</f>
        <v>SPINT2</v>
      </c>
      <c r="B16958" t="s">
        <v>14</v>
      </c>
      <c r="C16958" t="s">
        <v>10</v>
      </c>
      <c r="D16958" t="s">
        <v>17</v>
      </c>
      <c r="E16958" t="s">
        <v>12</v>
      </c>
      <c r="F16958">
        <v>38755203</v>
      </c>
      <c r="G16958">
        <v>38755228</v>
      </c>
      <c r="H16958">
        <v>38755237</v>
      </c>
      <c r="I16958">
        <v>38755321</v>
      </c>
    </row>
    <row r="16959" spans="1:9" x14ac:dyDescent="0.2">
      <c r="A16959" s="1" t="str">
        <f>"SPINT3"</f>
        <v>SPINT3</v>
      </c>
      <c r="B16959" t="s">
        <v>14</v>
      </c>
      <c r="C16959" t="s">
        <v>29</v>
      </c>
      <c r="D16959" t="s">
        <v>11</v>
      </c>
      <c r="E16959" t="s">
        <v>12</v>
      </c>
      <c r="F16959">
        <v>44144249</v>
      </c>
      <c r="G16959">
        <v>44144274</v>
      </c>
      <c r="H16959">
        <v>44144280</v>
      </c>
      <c r="I16959">
        <v>44144288</v>
      </c>
    </row>
    <row r="16960" spans="1:9" x14ac:dyDescent="0.2">
      <c r="A16960" s="1" t="str">
        <f>"SPINT4"</f>
        <v>SPINT4</v>
      </c>
      <c r="B16960" t="s">
        <v>14</v>
      </c>
      <c r="C16960" t="s">
        <v>29</v>
      </c>
      <c r="D16960" t="s">
        <v>17</v>
      </c>
      <c r="E16960" t="s">
        <v>12</v>
      </c>
      <c r="F16960">
        <v>44350968</v>
      </c>
      <c r="G16960">
        <v>44350994</v>
      </c>
      <c r="H16960">
        <v>44350968</v>
      </c>
      <c r="I16960">
        <v>44350994</v>
      </c>
    </row>
    <row r="16961" spans="1:9" x14ac:dyDescent="0.2">
      <c r="A16961" s="1" t="str">
        <f>"SPIRE1"</f>
        <v>SPIRE1</v>
      </c>
      <c r="B16961" t="s">
        <v>14</v>
      </c>
      <c r="C16961" t="s">
        <v>43</v>
      </c>
      <c r="D16961" t="s">
        <v>11</v>
      </c>
      <c r="E16961" t="s">
        <v>12</v>
      </c>
      <c r="F16961">
        <v>12657988</v>
      </c>
      <c r="G16961">
        <v>12658128</v>
      </c>
      <c r="H16961">
        <v>12657866</v>
      </c>
      <c r="I16961">
        <v>12657958</v>
      </c>
    </row>
    <row r="16962" spans="1:9" x14ac:dyDescent="0.2">
      <c r="A16962" s="1" t="str">
        <f>"SPIRE2"</f>
        <v>SPIRE2</v>
      </c>
      <c r="B16962" t="s">
        <v>14</v>
      </c>
      <c r="C16962" t="s">
        <v>31</v>
      </c>
      <c r="D16962" t="s">
        <v>17</v>
      </c>
      <c r="E16962" t="s">
        <v>12</v>
      </c>
      <c r="F16962">
        <v>89894875</v>
      </c>
      <c r="G16962">
        <v>89894905</v>
      </c>
      <c r="H16962">
        <v>89894845</v>
      </c>
      <c r="I16962">
        <v>89894856</v>
      </c>
    </row>
    <row r="16963" spans="1:9" x14ac:dyDescent="0.2">
      <c r="A16963" s="1" t="str">
        <f>"SPN"</f>
        <v>SPN</v>
      </c>
      <c r="B16963" t="s">
        <v>14</v>
      </c>
      <c r="C16963" t="s">
        <v>31</v>
      </c>
      <c r="D16963" t="s">
        <v>17</v>
      </c>
      <c r="E16963" t="s">
        <v>12</v>
      </c>
      <c r="F16963">
        <v>29674559</v>
      </c>
      <c r="G16963">
        <v>29674575</v>
      </c>
      <c r="H16963">
        <v>29674277</v>
      </c>
      <c r="I16963">
        <v>29674306</v>
      </c>
    </row>
    <row r="16964" spans="1:9" x14ac:dyDescent="0.2">
      <c r="A16964" s="1" t="str">
        <f>"SPNS1"</f>
        <v>SPNS1</v>
      </c>
      <c r="B16964" t="s">
        <v>14</v>
      </c>
      <c r="C16964" t="s">
        <v>31</v>
      </c>
      <c r="D16964" t="s">
        <v>17</v>
      </c>
      <c r="E16964" t="s">
        <v>12</v>
      </c>
      <c r="F16964">
        <v>28986085</v>
      </c>
      <c r="G16964">
        <v>28986119</v>
      </c>
      <c r="H16964">
        <v>28986136</v>
      </c>
      <c r="I16964">
        <v>28986147</v>
      </c>
    </row>
    <row r="16965" spans="1:9" x14ac:dyDescent="0.2">
      <c r="A16965" s="1" t="str">
        <f>"SPNS2"</f>
        <v>SPNS2</v>
      </c>
      <c r="B16965" t="s">
        <v>14</v>
      </c>
      <c r="C16965" t="s">
        <v>28</v>
      </c>
      <c r="D16965" t="s">
        <v>17</v>
      </c>
      <c r="E16965" t="s">
        <v>12</v>
      </c>
      <c r="F16965">
        <v>4402161</v>
      </c>
      <c r="G16965">
        <v>4402191</v>
      </c>
      <c r="H16965">
        <v>4402141</v>
      </c>
      <c r="I16965">
        <v>4402158</v>
      </c>
    </row>
    <row r="16966" spans="1:9" x14ac:dyDescent="0.2">
      <c r="A16966" s="1" t="str">
        <f>"SPNS3"</f>
        <v>SPNS3</v>
      </c>
      <c r="B16966" t="s">
        <v>14</v>
      </c>
      <c r="C16966" t="s">
        <v>28</v>
      </c>
      <c r="D16966" t="s">
        <v>17</v>
      </c>
      <c r="E16966" t="s">
        <v>12</v>
      </c>
      <c r="F16966">
        <v>4337199</v>
      </c>
      <c r="G16966">
        <v>4337254</v>
      </c>
      <c r="H16966">
        <v>4337199</v>
      </c>
      <c r="I16966">
        <v>4337254</v>
      </c>
    </row>
    <row r="16967" spans="1:9" x14ac:dyDescent="0.2">
      <c r="A16967" s="1" t="str">
        <f>"SPO11"</f>
        <v>SPO11</v>
      </c>
      <c r="B16967" t="s">
        <v>14</v>
      </c>
      <c r="C16967" t="s">
        <v>29</v>
      </c>
      <c r="D16967" t="s">
        <v>17</v>
      </c>
      <c r="E16967" t="s">
        <v>12</v>
      </c>
      <c r="F16967">
        <v>55904857</v>
      </c>
      <c r="G16967">
        <v>55904868</v>
      </c>
      <c r="H16967">
        <v>55904870</v>
      </c>
      <c r="I16967">
        <v>55904880</v>
      </c>
    </row>
    <row r="16968" spans="1:9" x14ac:dyDescent="0.2">
      <c r="A16968" s="1" t="str">
        <f>"SPOCD1"</f>
        <v>SPOCD1</v>
      </c>
      <c r="B16968" t="s">
        <v>14</v>
      </c>
      <c r="C16968" t="s">
        <v>19</v>
      </c>
      <c r="D16968" t="s">
        <v>11</v>
      </c>
      <c r="E16968" t="s">
        <v>12</v>
      </c>
      <c r="F16968">
        <v>32264250</v>
      </c>
      <c r="G16968">
        <v>32264354</v>
      </c>
      <c r="H16968">
        <v>32264166</v>
      </c>
      <c r="I16968">
        <v>32264245</v>
      </c>
    </row>
    <row r="16969" spans="1:9" x14ac:dyDescent="0.2">
      <c r="A16969" s="1" t="str">
        <f>"SPOCK1"</f>
        <v>SPOCK1</v>
      </c>
      <c r="B16969" t="s">
        <v>14</v>
      </c>
      <c r="C16969" t="s">
        <v>46</v>
      </c>
      <c r="D16969" t="s">
        <v>11</v>
      </c>
      <c r="E16969" t="s">
        <v>12</v>
      </c>
      <c r="F16969">
        <v>136834982</v>
      </c>
      <c r="G16969">
        <v>136835025</v>
      </c>
      <c r="H16969">
        <v>136834242</v>
      </c>
      <c r="I16969">
        <v>136834258</v>
      </c>
    </row>
    <row r="16970" spans="1:9" x14ac:dyDescent="0.2">
      <c r="A16970" s="1" t="str">
        <f>"SPOCK2"</f>
        <v>SPOCK2</v>
      </c>
      <c r="B16970" t="s">
        <v>14</v>
      </c>
      <c r="C16970" t="s">
        <v>15</v>
      </c>
      <c r="D16970" t="s">
        <v>11</v>
      </c>
      <c r="E16970" t="s">
        <v>12</v>
      </c>
      <c r="F16970">
        <v>73848262</v>
      </c>
      <c r="G16970">
        <v>73848315</v>
      </c>
      <c r="H16970">
        <v>73848236</v>
      </c>
      <c r="I16970">
        <v>73848250</v>
      </c>
    </row>
    <row r="16971" spans="1:9" x14ac:dyDescent="0.2">
      <c r="A16971" s="1" t="str">
        <f>"SPOCK3"</f>
        <v>SPOCK3</v>
      </c>
      <c r="B16971" t="s">
        <v>14</v>
      </c>
      <c r="C16971" t="s">
        <v>23</v>
      </c>
      <c r="D16971" t="s">
        <v>11</v>
      </c>
      <c r="E16971" t="s">
        <v>12</v>
      </c>
      <c r="F16971">
        <v>168155632</v>
      </c>
      <c r="G16971">
        <v>168155661</v>
      </c>
      <c r="H16971">
        <v>168155703</v>
      </c>
      <c r="I16971">
        <v>168155722</v>
      </c>
    </row>
    <row r="16972" spans="1:9" x14ac:dyDescent="0.2">
      <c r="A16972" s="1" t="str">
        <f>"SPON1"</f>
        <v>SPON1</v>
      </c>
      <c r="B16972" t="s">
        <v>14</v>
      </c>
      <c r="C16972" t="s">
        <v>27</v>
      </c>
      <c r="D16972" t="s">
        <v>17</v>
      </c>
      <c r="E16972" t="s">
        <v>12</v>
      </c>
      <c r="F16972">
        <v>13984223</v>
      </c>
      <c r="G16972">
        <v>13984310</v>
      </c>
      <c r="H16972">
        <v>13984363</v>
      </c>
      <c r="I16972">
        <v>13984393</v>
      </c>
    </row>
    <row r="16973" spans="1:9" x14ac:dyDescent="0.2">
      <c r="A16973" s="1" t="str">
        <f>"SPON2"</f>
        <v>SPON2</v>
      </c>
      <c r="B16973" t="s">
        <v>14</v>
      </c>
      <c r="C16973" t="s">
        <v>23</v>
      </c>
      <c r="D16973" t="s">
        <v>11</v>
      </c>
      <c r="E16973" t="s">
        <v>12</v>
      </c>
      <c r="F16973">
        <v>1166363</v>
      </c>
      <c r="G16973">
        <v>1166378</v>
      </c>
      <c r="H16973">
        <v>1166587</v>
      </c>
      <c r="I16973">
        <v>1166600</v>
      </c>
    </row>
    <row r="16974" spans="1:9" x14ac:dyDescent="0.2">
      <c r="A16974" s="1" t="str">
        <f>"SPOP"</f>
        <v>SPOP</v>
      </c>
      <c r="B16974" t="s">
        <v>14</v>
      </c>
      <c r="C16974" t="s">
        <v>28</v>
      </c>
      <c r="D16974" t="s">
        <v>11</v>
      </c>
      <c r="E16974" t="s">
        <v>12</v>
      </c>
      <c r="F16974">
        <v>47755338</v>
      </c>
      <c r="G16974">
        <v>47755433</v>
      </c>
      <c r="H16974">
        <v>47755436</v>
      </c>
      <c r="I16974">
        <v>47755483</v>
      </c>
    </row>
    <row r="16975" spans="1:9" x14ac:dyDescent="0.2">
      <c r="A16975" s="1" t="str">
        <f>"SPOPL"</f>
        <v>SPOPL</v>
      </c>
      <c r="B16975" t="s">
        <v>14</v>
      </c>
      <c r="C16975" t="s">
        <v>26</v>
      </c>
      <c r="D16975" t="s">
        <v>17</v>
      </c>
      <c r="E16975" t="s">
        <v>12</v>
      </c>
      <c r="F16975">
        <v>139259324</v>
      </c>
      <c r="G16975">
        <v>139259389</v>
      </c>
      <c r="H16975">
        <v>139259462</v>
      </c>
      <c r="I16975">
        <v>139259510</v>
      </c>
    </row>
    <row r="16976" spans="1:9" x14ac:dyDescent="0.2">
      <c r="A16976" s="1" t="str">
        <f>"SPP1"</f>
        <v>SPP1</v>
      </c>
      <c r="B16976" t="s">
        <v>9</v>
      </c>
      <c r="C16976" t="s">
        <v>23</v>
      </c>
      <c r="D16976" t="s">
        <v>17</v>
      </c>
      <c r="E16976" t="s">
        <v>12</v>
      </c>
      <c r="F16976">
        <v>88896857</v>
      </c>
      <c r="G16976">
        <v>88896874</v>
      </c>
      <c r="H16976">
        <v>88896857</v>
      </c>
      <c r="I16976">
        <v>88896874</v>
      </c>
    </row>
    <row r="16977" spans="1:9" x14ac:dyDescent="0.2">
      <c r="A16977" s="1" t="str">
        <f>"SPP1"</f>
        <v>SPP1</v>
      </c>
      <c r="B16977" t="s">
        <v>13</v>
      </c>
      <c r="C16977" t="s">
        <v>23</v>
      </c>
      <c r="D16977" t="s">
        <v>17</v>
      </c>
      <c r="E16977" t="s">
        <v>12</v>
      </c>
      <c r="F16977">
        <v>88901208</v>
      </c>
      <c r="G16977">
        <v>88901247</v>
      </c>
      <c r="H16977">
        <v>88901208</v>
      </c>
      <c r="I16977">
        <v>88901247</v>
      </c>
    </row>
    <row r="16978" spans="1:9" x14ac:dyDescent="0.2">
      <c r="A16978" s="1" t="str">
        <f>"SPP2"</f>
        <v>SPP2</v>
      </c>
      <c r="B16978" t="s">
        <v>14</v>
      </c>
      <c r="C16978" t="s">
        <v>26</v>
      </c>
      <c r="D16978" t="s">
        <v>17</v>
      </c>
      <c r="E16978" t="s">
        <v>12</v>
      </c>
      <c r="F16978">
        <v>234959376</v>
      </c>
      <c r="G16978">
        <v>234959402</v>
      </c>
      <c r="H16978">
        <v>234959355</v>
      </c>
      <c r="I16978">
        <v>234959371</v>
      </c>
    </row>
    <row r="16979" spans="1:9" x14ac:dyDescent="0.2">
      <c r="A16979" s="1" t="str">
        <f>"SPPL2A"</f>
        <v>SPPL2A</v>
      </c>
      <c r="B16979" t="s">
        <v>14</v>
      </c>
      <c r="C16979" t="s">
        <v>25</v>
      </c>
      <c r="D16979" t="s">
        <v>11</v>
      </c>
      <c r="E16979" t="s">
        <v>12</v>
      </c>
      <c r="F16979">
        <v>51057854</v>
      </c>
      <c r="G16979">
        <v>51057915</v>
      </c>
      <c r="H16979">
        <v>51058130</v>
      </c>
      <c r="I16979">
        <v>51058152</v>
      </c>
    </row>
    <row r="16980" spans="1:9" x14ac:dyDescent="0.2">
      <c r="A16980" s="1" t="str">
        <f>"SPPL2B"</f>
        <v>SPPL2B</v>
      </c>
      <c r="B16980" t="s">
        <v>14</v>
      </c>
      <c r="C16980" t="s">
        <v>10</v>
      </c>
      <c r="D16980" t="s">
        <v>17</v>
      </c>
      <c r="E16980" t="s">
        <v>12</v>
      </c>
      <c r="F16980">
        <v>2328663</v>
      </c>
      <c r="G16980">
        <v>2328707</v>
      </c>
      <c r="H16980">
        <v>2328636</v>
      </c>
      <c r="I16980">
        <v>2328641</v>
      </c>
    </row>
    <row r="16981" spans="1:9" x14ac:dyDescent="0.2">
      <c r="A16981" s="1" t="str">
        <f>"SPPL2C"</f>
        <v>SPPL2C</v>
      </c>
      <c r="B16981" t="s">
        <v>14</v>
      </c>
      <c r="C16981" t="s">
        <v>28</v>
      </c>
      <c r="D16981" t="s">
        <v>17</v>
      </c>
      <c r="E16981" t="s">
        <v>12</v>
      </c>
      <c r="F16981">
        <v>43922241</v>
      </c>
      <c r="G16981">
        <v>43922262</v>
      </c>
      <c r="H16981">
        <v>43922241</v>
      </c>
      <c r="I16981">
        <v>43922262</v>
      </c>
    </row>
    <row r="16982" spans="1:9" x14ac:dyDescent="0.2">
      <c r="A16982" s="1" t="str">
        <f>"SPPL3"</f>
        <v>SPPL3</v>
      </c>
      <c r="B16982" t="s">
        <v>14</v>
      </c>
      <c r="C16982" t="s">
        <v>16</v>
      </c>
      <c r="D16982" t="s">
        <v>11</v>
      </c>
      <c r="E16982" t="s">
        <v>12</v>
      </c>
      <c r="F16982">
        <v>121342140</v>
      </c>
      <c r="G16982">
        <v>121342169</v>
      </c>
      <c r="H16982">
        <v>121342097</v>
      </c>
      <c r="I16982">
        <v>121342122</v>
      </c>
    </row>
    <row r="16983" spans="1:9" x14ac:dyDescent="0.2">
      <c r="A16983" s="1" t="str">
        <f>"SPR"</f>
        <v>SPR</v>
      </c>
      <c r="B16983" t="s">
        <v>14</v>
      </c>
      <c r="C16983" t="s">
        <v>26</v>
      </c>
      <c r="D16983" t="s">
        <v>17</v>
      </c>
      <c r="E16983" t="s">
        <v>12</v>
      </c>
      <c r="F16983">
        <v>73114502</v>
      </c>
      <c r="G16983">
        <v>73114561</v>
      </c>
      <c r="H16983">
        <v>73114234</v>
      </c>
      <c r="I16983">
        <v>73114262</v>
      </c>
    </row>
    <row r="16984" spans="1:9" x14ac:dyDescent="0.2">
      <c r="A16984" s="1" t="str">
        <f>"SPRED1"</f>
        <v>SPRED1</v>
      </c>
      <c r="B16984" t="s">
        <v>14</v>
      </c>
      <c r="C16984" t="s">
        <v>25</v>
      </c>
      <c r="D16984" t="s">
        <v>17</v>
      </c>
      <c r="E16984" t="s">
        <v>12</v>
      </c>
      <c r="F16984">
        <v>38544476</v>
      </c>
      <c r="G16984">
        <v>38544574</v>
      </c>
      <c r="H16984">
        <v>38544993</v>
      </c>
      <c r="I16984">
        <v>38545058</v>
      </c>
    </row>
    <row r="16985" spans="1:9" x14ac:dyDescent="0.2">
      <c r="A16985" s="1" t="str">
        <f>"SPRED2"</f>
        <v>SPRED2</v>
      </c>
      <c r="B16985" t="s">
        <v>1597</v>
      </c>
      <c r="C16985" t="s">
        <v>26</v>
      </c>
      <c r="D16985" t="s">
        <v>11</v>
      </c>
      <c r="E16985" t="s">
        <v>35</v>
      </c>
      <c r="F16985">
        <v>65593906</v>
      </c>
      <c r="G16985">
        <v>65593917</v>
      </c>
      <c r="H16985">
        <v>65593758</v>
      </c>
      <c r="I16985">
        <v>65593771</v>
      </c>
    </row>
    <row r="16986" spans="1:9" x14ac:dyDescent="0.2">
      <c r="A16986" s="1" t="str">
        <f>"SPRED3"</f>
        <v>SPRED3</v>
      </c>
      <c r="B16986" t="s">
        <v>14</v>
      </c>
      <c r="C16986" t="s">
        <v>10</v>
      </c>
      <c r="D16986" t="s">
        <v>17</v>
      </c>
      <c r="E16986" t="s">
        <v>12</v>
      </c>
      <c r="F16986">
        <v>38880427</v>
      </c>
      <c r="G16986">
        <v>38880474</v>
      </c>
      <c r="H16986">
        <v>38880427</v>
      </c>
      <c r="I16986">
        <v>38880474</v>
      </c>
    </row>
    <row r="16987" spans="1:9" x14ac:dyDescent="0.2">
      <c r="A16987" s="1" t="str">
        <f>"SPRN"</f>
        <v>SPRN</v>
      </c>
      <c r="B16987" t="s">
        <v>14</v>
      </c>
      <c r="C16987" t="s">
        <v>15</v>
      </c>
      <c r="D16987" t="s">
        <v>11</v>
      </c>
      <c r="E16987" t="s">
        <v>12</v>
      </c>
      <c r="F16987">
        <v>135236081</v>
      </c>
      <c r="G16987">
        <v>135236092</v>
      </c>
      <c r="H16987">
        <v>135236081</v>
      </c>
      <c r="I16987">
        <v>135236092</v>
      </c>
    </row>
    <row r="16988" spans="1:9" x14ac:dyDescent="0.2">
      <c r="A16988" s="1" t="str">
        <f>"SPRR1A"</f>
        <v>SPRR1A</v>
      </c>
      <c r="B16988" t="s">
        <v>9</v>
      </c>
      <c r="C16988" t="s">
        <v>19</v>
      </c>
      <c r="D16988" t="s">
        <v>17</v>
      </c>
      <c r="E16988" t="s">
        <v>12</v>
      </c>
      <c r="F16988">
        <v>152956549</v>
      </c>
      <c r="G16988">
        <v>152956566</v>
      </c>
      <c r="H16988">
        <v>152956549</v>
      </c>
      <c r="I16988">
        <v>152956566</v>
      </c>
    </row>
    <row r="16989" spans="1:9" x14ac:dyDescent="0.2">
      <c r="A16989" s="1" t="str">
        <f>"SPRR1A"</f>
        <v>SPRR1A</v>
      </c>
      <c r="B16989" t="s">
        <v>13</v>
      </c>
      <c r="C16989" t="s">
        <v>19</v>
      </c>
      <c r="D16989" t="s">
        <v>17</v>
      </c>
      <c r="E16989" t="s">
        <v>12</v>
      </c>
      <c r="F16989">
        <v>152957724</v>
      </c>
      <c r="G16989">
        <v>152957751</v>
      </c>
      <c r="H16989">
        <v>152957724</v>
      </c>
      <c r="I16989">
        <v>152957751</v>
      </c>
    </row>
    <row r="16990" spans="1:9" x14ac:dyDescent="0.2">
      <c r="A16990" s="1" t="str">
        <f>"SPRR1B"</f>
        <v>SPRR1B</v>
      </c>
      <c r="B16990" t="s">
        <v>9</v>
      </c>
      <c r="C16990" t="s">
        <v>19</v>
      </c>
      <c r="D16990" t="s">
        <v>17</v>
      </c>
      <c r="E16990" t="s">
        <v>12</v>
      </c>
      <c r="F16990">
        <v>153003671</v>
      </c>
      <c r="G16990">
        <v>153003687</v>
      </c>
      <c r="H16990">
        <v>153003671</v>
      </c>
      <c r="I16990">
        <v>153003687</v>
      </c>
    </row>
    <row r="16991" spans="1:9" x14ac:dyDescent="0.2">
      <c r="A16991" s="1" t="str">
        <f>"SPRR1B"</f>
        <v>SPRR1B</v>
      </c>
      <c r="B16991" t="s">
        <v>13</v>
      </c>
      <c r="C16991" t="s">
        <v>19</v>
      </c>
      <c r="D16991" t="s">
        <v>17</v>
      </c>
      <c r="E16991" t="s">
        <v>12</v>
      </c>
      <c r="F16991">
        <v>153004839</v>
      </c>
      <c r="G16991">
        <v>153004866</v>
      </c>
      <c r="H16991">
        <v>153004839</v>
      </c>
      <c r="I16991">
        <v>153004866</v>
      </c>
    </row>
    <row r="16992" spans="1:9" x14ac:dyDescent="0.2">
      <c r="A16992" s="1" t="str">
        <f>"SPRR2A"</f>
        <v>SPRR2A</v>
      </c>
      <c r="B16992" t="s">
        <v>14</v>
      </c>
      <c r="C16992" t="s">
        <v>19</v>
      </c>
      <c r="D16992" t="s">
        <v>11</v>
      </c>
      <c r="E16992" t="s">
        <v>12</v>
      </c>
      <c r="F16992">
        <v>153029980</v>
      </c>
      <c r="G16992">
        <v>153029995</v>
      </c>
      <c r="H16992">
        <v>153029980</v>
      </c>
      <c r="I16992">
        <v>153029995</v>
      </c>
    </row>
    <row r="16993" spans="1:9" x14ac:dyDescent="0.2">
      <c r="A16993" s="1" t="str">
        <f>"SPRR2B"</f>
        <v>SPRR2B</v>
      </c>
      <c r="B16993" t="s">
        <v>9</v>
      </c>
      <c r="C16993" t="s">
        <v>19</v>
      </c>
      <c r="D16993" t="s">
        <v>11</v>
      </c>
      <c r="E16993" t="s">
        <v>12</v>
      </c>
      <c r="F16993">
        <v>153044083</v>
      </c>
      <c r="G16993">
        <v>153044088</v>
      </c>
      <c r="H16993">
        <v>153044083</v>
      </c>
      <c r="I16993">
        <v>153044088</v>
      </c>
    </row>
    <row r="16994" spans="1:9" x14ac:dyDescent="0.2">
      <c r="A16994" s="1" t="str">
        <f>"SPRR2B"</f>
        <v>SPRR2B</v>
      </c>
      <c r="B16994" t="s">
        <v>13</v>
      </c>
      <c r="C16994" t="s">
        <v>19</v>
      </c>
      <c r="D16994" t="s">
        <v>11</v>
      </c>
      <c r="E16994" t="s">
        <v>12</v>
      </c>
      <c r="F16994">
        <v>153113899</v>
      </c>
      <c r="G16994">
        <v>153113905</v>
      </c>
      <c r="H16994">
        <v>153113899</v>
      </c>
      <c r="I16994">
        <v>153113905</v>
      </c>
    </row>
    <row r="16995" spans="1:9" x14ac:dyDescent="0.2">
      <c r="A16995" s="1" t="str">
        <f>"SPRR2D"</f>
        <v>SPRR2D</v>
      </c>
      <c r="B16995" t="s">
        <v>14</v>
      </c>
      <c r="C16995" t="s">
        <v>19</v>
      </c>
      <c r="D16995" t="s">
        <v>11</v>
      </c>
      <c r="E16995" t="s">
        <v>12</v>
      </c>
      <c r="F16995">
        <v>153013588</v>
      </c>
      <c r="G16995">
        <v>153013605</v>
      </c>
      <c r="H16995">
        <v>153013588</v>
      </c>
      <c r="I16995">
        <v>153013605</v>
      </c>
    </row>
    <row r="16996" spans="1:9" x14ac:dyDescent="0.2">
      <c r="A16996" s="1" t="str">
        <f>"SPRR2E"</f>
        <v>SPRR2E</v>
      </c>
      <c r="B16996" t="s">
        <v>14</v>
      </c>
      <c r="C16996" t="s">
        <v>19</v>
      </c>
      <c r="D16996" t="s">
        <v>11</v>
      </c>
      <c r="E16996" t="s">
        <v>12</v>
      </c>
      <c r="F16996">
        <v>153066998</v>
      </c>
      <c r="G16996">
        <v>153067008</v>
      </c>
      <c r="H16996">
        <v>153066998</v>
      </c>
      <c r="I16996">
        <v>153067008</v>
      </c>
    </row>
    <row r="16997" spans="1:9" x14ac:dyDescent="0.2">
      <c r="A16997" s="1" t="str">
        <f>"SPRR2F"</f>
        <v>SPRR2F</v>
      </c>
      <c r="B16997" t="s">
        <v>14</v>
      </c>
      <c r="C16997" t="s">
        <v>19</v>
      </c>
      <c r="D16997" t="s">
        <v>11</v>
      </c>
      <c r="E16997" t="s">
        <v>12</v>
      </c>
      <c r="F16997">
        <v>153085984</v>
      </c>
      <c r="G16997">
        <v>153085999</v>
      </c>
      <c r="H16997">
        <v>153085984</v>
      </c>
      <c r="I16997">
        <v>153085999</v>
      </c>
    </row>
    <row r="16998" spans="1:9" x14ac:dyDescent="0.2">
      <c r="A16998" s="1" t="str">
        <f>"SPRR2G"</f>
        <v>SPRR2G</v>
      </c>
      <c r="B16998" t="s">
        <v>14</v>
      </c>
      <c r="C16998" t="s">
        <v>19</v>
      </c>
      <c r="D16998" t="s">
        <v>11</v>
      </c>
      <c r="E16998" t="s">
        <v>12</v>
      </c>
      <c r="F16998">
        <v>153123359</v>
      </c>
      <c r="G16998">
        <v>153123372</v>
      </c>
      <c r="H16998">
        <v>153123359</v>
      </c>
      <c r="I16998">
        <v>153123372</v>
      </c>
    </row>
    <row r="16999" spans="1:9" x14ac:dyDescent="0.2">
      <c r="A16999" s="1" t="str">
        <f>"SPRR3"</f>
        <v>SPRR3</v>
      </c>
      <c r="B16999" t="s">
        <v>9</v>
      </c>
      <c r="C16999" t="s">
        <v>19</v>
      </c>
      <c r="D16999" t="s">
        <v>17</v>
      </c>
      <c r="E16999" t="s">
        <v>12</v>
      </c>
      <c r="F16999">
        <v>152974218</v>
      </c>
      <c r="G16999">
        <v>152974231</v>
      </c>
      <c r="H16999">
        <v>152974218</v>
      </c>
      <c r="I16999">
        <v>152974231</v>
      </c>
    </row>
    <row r="17000" spans="1:9" x14ac:dyDescent="0.2">
      <c r="A17000" s="1" t="str">
        <f>"SPRR3"</f>
        <v>SPRR3</v>
      </c>
      <c r="B17000" t="s">
        <v>13</v>
      </c>
      <c r="C17000" t="s">
        <v>19</v>
      </c>
      <c r="D17000" t="s">
        <v>17</v>
      </c>
      <c r="E17000" t="s">
        <v>12</v>
      </c>
      <c r="F17000">
        <v>152975474</v>
      </c>
      <c r="G17000">
        <v>152975485</v>
      </c>
      <c r="H17000">
        <v>152975474</v>
      </c>
      <c r="I17000">
        <v>152975485</v>
      </c>
    </row>
    <row r="17001" spans="1:9" x14ac:dyDescent="0.2">
      <c r="A17001" s="1" t="str">
        <f>"SPRR4"</f>
        <v>SPRR4</v>
      </c>
      <c r="B17001" t="s">
        <v>14</v>
      </c>
      <c r="C17001" t="s">
        <v>19</v>
      </c>
      <c r="D17001" t="s">
        <v>17</v>
      </c>
      <c r="E17001" t="s">
        <v>12</v>
      </c>
      <c r="F17001">
        <v>152943122</v>
      </c>
      <c r="G17001">
        <v>152943128</v>
      </c>
      <c r="H17001">
        <v>152943122</v>
      </c>
      <c r="I17001">
        <v>152943128</v>
      </c>
    </row>
    <row r="17002" spans="1:9" x14ac:dyDescent="0.2">
      <c r="A17002" s="1" t="str">
        <f>"SPRTN"</f>
        <v>SPRTN</v>
      </c>
      <c r="B17002" t="s">
        <v>14</v>
      </c>
      <c r="C17002" t="s">
        <v>19</v>
      </c>
      <c r="D17002" t="s">
        <v>17</v>
      </c>
      <c r="E17002" t="s">
        <v>12</v>
      </c>
      <c r="F17002">
        <v>231473990</v>
      </c>
      <c r="G17002">
        <v>231474047</v>
      </c>
      <c r="H17002">
        <v>231473743</v>
      </c>
      <c r="I17002">
        <v>231473807</v>
      </c>
    </row>
    <row r="17003" spans="1:9" x14ac:dyDescent="0.2">
      <c r="A17003" s="1" t="str">
        <f>"SPRY1"</f>
        <v>SPRY1</v>
      </c>
      <c r="B17003" t="s">
        <v>14</v>
      </c>
      <c r="C17003" t="s">
        <v>23</v>
      </c>
      <c r="D17003" t="s">
        <v>17</v>
      </c>
      <c r="E17003" t="s">
        <v>12</v>
      </c>
      <c r="F17003">
        <v>124317940</v>
      </c>
      <c r="G17003">
        <v>124317987</v>
      </c>
      <c r="H17003">
        <v>124318002</v>
      </c>
      <c r="I17003">
        <v>124318013</v>
      </c>
    </row>
    <row r="17004" spans="1:9" x14ac:dyDescent="0.2">
      <c r="A17004" s="1" t="str">
        <f>"SPRY2"</f>
        <v>SPRY2</v>
      </c>
      <c r="B17004" t="s">
        <v>14</v>
      </c>
      <c r="C17004" t="s">
        <v>39</v>
      </c>
      <c r="D17004" t="s">
        <v>11</v>
      </c>
      <c r="E17004" t="s">
        <v>12</v>
      </c>
      <c r="F17004">
        <v>80915252</v>
      </c>
      <c r="G17004">
        <v>80915274</v>
      </c>
      <c r="H17004">
        <v>80915252</v>
      </c>
      <c r="I17004">
        <v>80915274</v>
      </c>
    </row>
    <row r="17005" spans="1:9" x14ac:dyDescent="0.2">
      <c r="A17005" s="1" t="str">
        <f>"SPRY3"</f>
        <v>SPRY3</v>
      </c>
      <c r="B17005" t="s">
        <v>14</v>
      </c>
      <c r="C17005" t="s">
        <v>37</v>
      </c>
      <c r="D17005" t="s">
        <v>17</v>
      </c>
      <c r="E17005" t="s">
        <v>12</v>
      </c>
      <c r="F17005">
        <v>154997448</v>
      </c>
      <c r="G17005">
        <v>154997462</v>
      </c>
      <c r="H17005">
        <v>154997448</v>
      </c>
      <c r="I17005">
        <v>154997462</v>
      </c>
    </row>
    <row r="17006" spans="1:9" x14ac:dyDescent="0.2">
      <c r="A17006" s="1" t="str">
        <f>"SPRY4"</f>
        <v>SPRY4</v>
      </c>
      <c r="B17006" t="s">
        <v>14</v>
      </c>
      <c r="C17006" t="s">
        <v>46</v>
      </c>
      <c r="D17006" t="s">
        <v>11</v>
      </c>
      <c r="E17006" t="s">
        <v>12</v>
      </c>
      <c r="F17006">
        <v>141704575</v>
      </c>
      <c r="G17006">
        <v>141704598</v>
      </c>
      <c r="H17006">
        <v>141704614</v>
      </c>
      <c r="I17006">
        <v>141704625</v>
      </c>
    </row>
    <row r="17007" spans="1:9" x14ac:dyDescent="0.2">
      <c r="A17007" s="1" t="str">
        <f>"SPRYD3"</f>
        <v>SPRYD3</v>
      </c>
      <c r="B17007" t="s">
        <v>14</v>
      </c>
      <c r="C17007" t="s">
        <v>16</v>
      </c>
      <c r="D17007" t="s">
        <v>11</v>
      </c>
      <c r="E17007" t="s">
        <v>12</v>
      </c>
      <c r="F17007">
        <v>53473136</v>
      </c>
      <c r="G17007">
        <v>53473191</v>
      </c>
      <c r="H17007">
        <v>53473136</v>
      </c>
      <c r="I17007">
        <v>53473191</v>
      </c>
    </row>
    <row r="17008" spans="1:9" x14ac:dyDescent="0.2">
      <c r="A17008" s="1" t="str">
        <f>"SPRYD4"</f>
        <v>SPRYD4</v>
      </c>
      <c r="B17008" t="s">
        <v>14</v>
      </c>
      <c r="C17008" t="s">
        <v>16</v>
      </c>
      <c r="D17008" t="s">
        <v>17</v>
      </c>
      <c r="E17008" t="s">
        <v>12</v>
      </c>
      <c r="F17008">
        <v>56862345</v>
      </c>
      <c r="G17008">
        <v>56862372</v>
      </c>
      <c r="H17008">
        <v>56862320</v>
      </c>
      <c r="I17008">
        <v>56862327</v>
      </c>
    </row>
    <row r="17009" spans="1:9" x14ac:dyDescent="0.2">
      <c r="A17009" s="1" t="str">
        <f>"SPRYD7"</f>
        <v>SPRYD7</v>
      </c>
      <c r="B17009" t="s">
        <v>14</v>
      </c>
      <c r="C17009" t="s">
        <v>39</v>
      </c>
      <c r="D17009" t="s">
        <v>11</v>
      </c>
      <c r="E17009" t="s">
        <v>12</v>
      </c>
      <c r="F17009">
        <v>50510434</v>
      </c>
      <c r="G17009">
        <v>50510490</v>
      </c>
      <c r="H17009">
        <v>50510404</v>
      </c>
      <c r="I17009">
        <v>50510427</v>
      </c>
    </row>
    <row r="17010" spans="1:9" x14ac:dyDescent="0.2">
      <c r="A17010" s="1" t="str">
        <f>"SPSB1"</f>
        <v>SPSB1</v>
      </c>
      <c r="B17010" t="s">
        <v>14</v>
      </c>
      <c r="C17010" t="s">
        <v>19</v>
      </c>
      <c r="D17010" t="s">
        <v>17</v>
      </c>
      <c r="E17010" t="s">
        <v>12</v>
      </c>
      <c r="F17010">
        <v>9352942</v>
      </c>
      <c r="G17010">
        <v>9352964</v>
      </c>
      <c r="H17010">
        <v>9353067</v>
      </c>
      <c r="I17010">
        <v>9353099</v>
      </c>
    </row>
    <row r="17011" spans="1:9" x14ac:dyDescent="0.2">
      <c r="A17011" s="1" t="str">
        <f>"SPSB2"</f>
        <v>SPSB2</v>
      </c>
      <c r="B17011" t="s">
        <v>14</v>
      </c>
      <c r="C17011" t="s">
        <v>16</v>
      </c>
      <c r="D17011" t="s">
        <v>11</v>
      </c>
      <c r="E17011" t="s">
        <v>12</v>
      </c>
      <c r="F17011">
        <v>6982442</v>
      </c>
      <c r="G17011">
        <v>6982478</v>
      </c>
      <c r="H17011">
        <v>6982483</v>
      </c>
      <c r="I17011">
        <v>6982511</v>
      </c>
    </row>
    <row r="17012" spans="1:9" x14ac:dyDescent="0.2">
      <c r="A17012" s="1" t="str">
        <f>"SPSB3"</f>
        <v>SPSB3</v>
      </c>
      <c r="B17012" t="s">
        <v>14</v>
      </c>
      <c r="C17012" t="s">
        <v>31</v>
      </c>
      <c r="D17012" t="s">
        <v>11</v>
      </c>
      <c r="E17012" t="s">
        <v>12</v>
      </c>
      <c r="F17012">
        <v>1832527</v>
      </c>
      <c r="G17012">
        <v>1832582</v>
      </c>
      <c r="H17012">
        <v>1832503</v>
      </c>
      <c r="I17012">
        <v>1832514</v>
      </c>
    </row>
    <row r="17013" spans="1:9" x14ac:dyDescent="0.2">
      <c r="A17013" s="1" t="str">
        <f>"SPSB4"</f>
        <v>SPSB4</v>
      </c>
      <c r="B17013" t="s">
        <v>14</v>
      </c>
      <c r="C17013" t="s">
        <v>22</v>
      </c>
      <c r="D17013" t="s">
        <v>17</v>
      </c>
      <c r="E17013" t="s">
        <v>12</v>
      </c>
      <c r="F17013">
        <v>140770183</v>
      </c>
      <c r="G17013">
        <v>140770206</v>
      </c>
      <c r="H17013">
        <v>140770183</v>
      </c>
      <c r="I17013">
        <v>140770206</v>
      </c>
    </row>
    <row r="17014" spans="1:9" x14ac:dyDescent="0.2">
      <c r="A17014" s="1" t="str">
        <f>"SPTA1"</f>
        <v>SPTA1</v>
      </c>
      <c r="B17014" t="s">
        <v>14</v>
      </c>
      <c r="C17014" t="s">
        <v>19</v>
      </c>
      <c r="D17014" t="s">
        <v>11</v>
      </c>
      <c r="E17014" t="s">
        <v>12</v>
      </c>
      <c r="F17014">
        <v>158656386</v>
      </c>
      <c r="G17014">
        <v>158656417</v>
      </c>
      <c r="H17014">
        <v>158656491</v>
      </c>
      <c r="I17014">
        <v>158656511</v>
      </c>
    </row>
    <row r="17015" spans="1:9" x14ac:dyDescent="0.2">
      <c r="A17015" s="1" t="str">
        <f>"SPTAN1"</f>
        <v>SPTAN1</v>
      </c>
      <c r="B17015" t="s">
        <v>14</v>
      </c>
      <c r="C17015" t="s">
        <v>24</v>
      </c>
      <c r="D17015" t="s">
        <v>17</v>
      </c>
      <c r="E17015" t="s">
        <v>12</v>
      </c>
      <c r="F17015">
        <v>131314859</v>
      </c>
      <c r="G17015">
        <v>131314877</v>
      </c>
      <c r="H17015">
        <v>131314859</v>
      </c>
      <c r="I17015">
        <v>131314877</v>
      </c>
    </row>
    <row r="17016" spans="1:9" x14ac:dyDescent="0.2">
      <c r="A17016" s="1" t="str">
        <f>"SPTB"</f>
        <v>SPTB</v>
      </c>
      <c r="B17016" t="s">
        <v>14</v>
      </c>
      <c r="C17016" t="s">
        <v>41</v>
      </c>
      <c r="D17016" t="s">
        <v>11</v>
      </c>
      <c r="E17016" t="s">
        <v>12</v>
      </c>
      <c r="F17016">
        <v>65346617</v>
      </c>
      <c r="G17016">
        <v>65346639</v>
      </c>
      <c r="H17016">
        <v>65346704</v>
      </c>
      <c r="I17016">
        <v>65346737</v>
      </c>
    </row>
    <row r="17017" spans="1:9" x14ac:dyDescent="0.2">
      <c r="A17017" s="1" t="str">
        <f>"SPTBN1"</f>
        <v>SPTBN1</v>
      </c>
      <c r="B17017" t="s">
        <v>14</v>
      </c>
      <c r="C17017" t="s">
        <v>26</v>
      </c>
      <c r="D17017" t="s">
        <v>17</v>
      </c>
      <c r="E17017" t="s">
        <v>12</v>
      </c>
      <c r="F17017">
        <v>54683448</v>
      </c>
      <c r="G17017">
        <v>54683470</v>
      </c>
      <c r="H17017">
        <v>54683419</v>
      </c>
      <c r="I17017">
        <v>54683442</v>
      </c>
    </row>
    <row r="17018" spans="1:9" x14ac:dyDescent="0.2">
      <c r="A17018" s="1" t="str">
        <f>"SPTBN2"</f>
        <v>SPTBN2</v>
      </c>
      <c r="B17018" t="s">
        <v>14</v>
      </c>
      <c r="C17018" t="s">
        <v>27</v>
      </c>
      <c r="D17018" t="s">
        <v>11</v>
      </c>
      <c r="E17018" t="s">
        <v>12</v>
      </c>
      <c r="F17018">
        <v>66496655</v>
      </c>
      <c r="G17018">
        <v>66496706</v>
      </c>
      <c r="H17018">
        <v>66496708</v>
      </c>
      <c r="I17018">
        <v>66496733</v>
      </c>
    </row>
    <row r="17019" spans="1:9" x14ac:dyDescent="0.2">
      <c r="A17019" s="1" t="str">
        <f>"SPTBN4"</f>
        <v>SPTBN4</v>
      </c>
      <c r="B17019" t="s">
        <v>1598</v>
      </c>
      <c r="C17019" t="s">
        <v>10</v>
      </c>
      <c r="D17019" t="s">
        <v>17</v>
      </c>
      <c r="E17019" t="s">
        <v>20</v>
      </c>
      <c r="F17019">
        <v>40972147</v>
      </c>
      <c r="G17019">
        <v>40972147</v>
      </c>
      <c r="H17019">
        <v>40972147</v>
      </c>
      <c r="I17019">
        <v>40972147</v>
      </c>
    </row>
    <row r="17020" spans="1:9" x14ac:dyDescent="0.2">
      <c r="A17020" s="1" t="str">
        <f>"SPTBN4"</f>
        <v>SPTBN4</v>
      </c>
      <c r="B17020" t="s">
        <v>1599</v>
      </c>
      <c r="C17020" t="s">
        <v>10</v>
      </c>
      <c r="D17020" t="s">
        <v>17</v>
      </c>
      <c r="E17020" t="s">
        <v>35</v>
      </c>
      <c r="F17020">
        <v>40972884</v>
      </c>
      <c r="G17020">
        <v>40972958</v>
      </c>
      <c r="H17020">
        <v>40973125</v>
      </c>
      <c r="I17020">
        <v>40973134</v>
      </c>
    </row>
    <row r="17021" spans="1:9" x14ac:dyDescent="0.2">
      <c r="A17021" s="1" t="str">
        <f>"SPTBN5"</f>
        <v>SPTBN5</v>
      </c>
      <c r="B17021" t="s">
        <v>14</v>
      </c>
      <c r="C17021" t="s">
        <v>25</v>
      </c>
      <c r="D17021" t="s">
        <v>11</v>
      </c>
      <c r="E17021" t="s">
        <v>12</v>
      </c>
      <c r="F17021">
        <v>42186162</v>
      </c>
      <c r="G17021">
        <v>42186197</v>
      </c>
      <c r="H17021">
        <v>42186211</v>
      </c>
      <c r="I17021">
        <v>42186222</v>
      </c>
    </row>
    <row r="17022" spans="1:9" x14ac:dyDescent="0.2">
      <c r="A17022" s="1" t="str">
        <f>"SPTLC1"</f>
        <v>SPTLC1</v>
      </c>
      <c r="B17022" t="s">
        <v>14</v>
      </c>
      <c r="C17022" t="s">
        <v>24</v>
      </c>
      <c r="D17022" t="s">
        <v>11</v>
      </c>
      <c r="E17022" t="s">
        <v>12</v>
      </c>
      <c r="F17022">
        <v>94877667</v>
      </c>
      <c r="G17022">
        <v>94877706</v>
      </c>
      <c r="H17022">
        <v>94877711</v>
      </c>
      <c r="I17022">
        <v>94877740</v>
      </c>
    </row>
    <row r="17023" spans="1:9" x14ac:dyDescent="0.2">
      <c r="A17023" s="1" t="str">
        <f>"SPTLC2"</f>
        <v>SPTLC2</v>
      </c>
      <c r="B17023" t="s">
        <v>14</v>
      </c>
      <c r="C17023" t="s">
        <v>41</v>
      </c>
      <c r="D17023" t="s">
        <v>11</v>
      </c>
      <c r="E17023" t="s">
        <v>12</v>
      </c>
      <c r="F17023">
        <v>78082973</v>
      </c>
      <c r="G17023">
        <v>78083036</v>
      </c>
      <c r="H17023">
        <v>78082940</v>
      </c>
      <c r="I17023">
        <v>78082969</v>
      </c>
    </row>
    <row r="17024" spans="1:9" x14ac:dyDescent="0.2">
      <c r="A17024" s="1" t="str">
        <f>"SPTLC3"</f>
        <v>SPTLC3</v>
      </c>
      <c r="B17024" t="s">
        <v>14</v>
      </c>
      <c r="C17024" t="s">
        <v>29</v>
      </c>
      <c r="D17024" t="s">
        <v>17</v>
      </c>
      <c r="E17024" t="s">
        <v>12</v>
      </c>
      <c r="F17024">
        <v>12989596</v>
      </c>
      <c r="G17024">
        <v>12989632</v>
      </c>
      <c r="H17024">
        <v>12989840</v>
      </c>
      <c r="I17024">
        <v>12989866</v>
      </c>
    </row>
    <row r="17025" spans="1:9" x14ac:dyDescent="0.2">
      <c r="A17025" s="1" t="str">
        <f>"SPTSSA"</f>
        <v>SPTSSA</v>
      </c>
      <c r="B17025" t="s">
        <v>14</v>
      </c>
      <c r="C17025" t="s">
        <v>41</v>
      </c>
      <c r="D17025" t="s">
        <v>11</v>
      </c>
      <c r="E17025" t="s">
        <v>12</v>
      </c>
      <c r="F17025">
        <v>34931435</v>
      </c>
      <c r="G17025">
        <v>34931455</v>
      </c>
      <c r="H17025">
        <v>34931458</v>
      </c>
      <c r="I17025">
        <v>34931479</v>
      </c>
    </row>
    <row r="17026" spans="1:9" x14ac:dyDescent="0.2">
      <c r="A17026" s="1" t="str">
        <f>"SPTSSB"</f>
        <v>SPTSSB</v>
      </c>
      <c r="B17026" t="s">
        <v>14</v>
      </c>
      <c r="C17026" t="s">
        <v>22</v>
      </c>
      <c r="D17026" t="s">
        <v>11</v>
      </c>
      <c r="E17026" t="s">
        <v>12</v>
      </c>
      <c r="F17026">
        <v>161089297</v>
      </c>
      <c r="G17026">
        <v>161089312</v>
      </c>
      <c r="H17026">
        <v>161089297</v>
      </c>
      <c r="I17026">
        <v>161089312</v>
      </c>
    </row>
    <row r="17027" spans="1:9" x14ac:dyDescent="0.2">
      <c r="A17027" s="1" t="str">
        <f>"SPTY2D1"</f>
        <v>SPTY2D1</v>
      </c>
      <c r="B17027" t="s">
        <v>14</v>
      </c>
      <c r="C17027" t="s">
        <v>27</v>
      </c>
      <c r="D17027" t="s">
        <v>11</v>
      </c>
      <c r="E17027" t="s">
        <v>12</v>
      </c>
      <c r="F17027">
        <v>18655879</v>
      </c>
      <c r="G17027">
        <v>18655901</v>
      </c>
      <c r="H17027">
        <v>18655902</v>
      </c>
      <c r="I17027">
        <v>18655946</v>
      </c>
    </row>
    <row r="17028" spans="1:9" x14ac:dyDescent="0.2">
      <c r="A17028" s="1" t="str">
        <f>"SPZ1"</f>
        <v>SPZ1</v>
      </c>
      <c r="B17028" t="s">
        <v>14</v>
      </c>
      <c r="C17028" t="s">
        <v>46</v>
      </c>
      <c r="D17028" t="s">
        <v>17</v>
      </c>
      <c r="E17028" t="s">
        <v>12</v>
      </c>
      <c r="F17028">
        <v>79615816</v>
      </c>
      <c r="G17028">
        <v>79615827</v>
      </c>
      <c r="H17028">
        <v>79615851</v>
      </c>
      <c r="I17028">
        <v>79615854</v>
      </c>
    </row>
    <row r="17029" spans="1:9" x14ac:dyDescent="0.2">
      <c r="A17029" s="1" t="str">
        <f>"SQLE"</f>
        <v>SQLE</v>
      </c>
      <c r="B17029" t="s">
        <v>14</v>
      </c>
      <c r="C17029" t="s">
        <v>30</v>
      </c>
      <c r="D17029" t="s">
        <v>17</v>
      </c>
      <c r="E17029" t="s">
        <v>12</v>
      </c>
      <c r="F17029">
        <v>126010739</v>
      </c>
      <c r="G17029">
        <v>126010754</v>
      </c>
      <c r="H17029">
        <v>126010783</v>
      </c>
      <c r="I17029">
        <v>126010808</v>
      </c>
    </row>
    <row r="17030" spans="1:9" x14ac:dyDescent="0.2">
      <c r="A17030" s="1" t="str">
        <f>"SQRDL"</f>
        <v>SQRDL</v>
      </c>
      <c r="B17030" t="s">
        <v>14</v>
      </c>
      <c r="C17030" t="s">
        <v>25</v>
      </c>
      <c r="D17030" t="s">
        <v>17</v>
      </c>
      <c r="E17030" t="s">
        <v>12</v>
      </c>
      <c r="F17030">
        <v>45927215</v>
      </c>
      <c r="G17030">
        <v>45927279</v>
      </c>
      <c r="H17030">
        <v>45926930</v>
      </c>
      <c r="I17030">
        <v>45926992</v>
      </c>
    </row>
    <row r="17031" spans="1:9" x14ac:dyDescent="0.2">
      <c r="A17031" s="1" t="str">
        <f>"SQSTM1"</f>
        <v>SQSTM1</v>
      </c>
      <c r="B17031" t="s">
        <v>9</v>
      </c>
      <c r="C17031" t="s">
        <v>46</v>
      </c>
      <c r="D17031" t="s">
        <v>17</v>
      </c>
      <c r="E17031" t="s">
        <v>12</v>
      </c>
      <c r="F17031">
        <v>179247896</v>
      </c>
      <c r="G17031">
        <v>179247913</v>
      </c>
      <c r="H17031">
        <v>179247896</v>
      </c>
      <c r="I17031">
        <v>179247913</v>
      </c>
    </row>
    <row r="17032" spans="1:9" x14ac:dyDescent="0.2">
      <c r="A17032" s="1" t="str">
        <f>"SQSTM1"</f>
        <v>SQSTM1</v>
      </c>
      <c r="B17032" t="s">
        <v>13</v>
      </c>
      <c r="C17032" t="s">
        <v>46</v>
      </c>
      <c r="D17032" t="s">
        <v>17</v>
      </c>
      <c r="E17032" t="s">
        <v>12</v>
      </c>
      <c r="F17032">
        <v>179233376</v>
      </c>
      <c r="G17032">
        <v>179233428</v>
      </c>
      <c r="H17032">
        <v>179233376</v>
      </c>
      <c r="I17032">
        <v>179233428</v>
      </c>
    </row>
    <row r="17033" spans="1:9" x14ac:dyDescent="0.2">
      <c r="A17033" s="1" t="str">
        <f>"SRA1"</f>
        <v>SRA1</v>
      </c>
      <c r="B17033" t="s">
        <v>14</v>
      </c>
      <c r="C17033" t="s">
        <v>46</v>
      </c>
      <c r="D17033" t="s">
        <v>11</v>
      </c>
      <c r="E17033" t="s">
        <v>12</v>
      </c>
      <c r="F17033">
        <v>139937002</v>
      </c>
      <c r="G17033">
        <v>139937071</v>
      </c>
      <c r="H17033">
        <v>139936985</v>
      </c>
      <c r="I17033">
        <v>139936996</v>
      </c>
    </row>
    <row r="17034" spans="1:9" x14ac:dyDescent="0.2">
      <c r="A17034" s="1" t="str">
        <f>"SRBD1"</f>
        <v>SRBD1</v>
      </c>
      <c r="B17034" t="s">
        <v>14</v>
      </c>
      <c r="C17034" t="s">
        <v>26</v>
      </c>
      <c r="D17034" t="s">
        <v>11</v>
      </c>
      <c r="E17034" t="s">
        <v>12</v>
      </c>
      <c r="F17034">
        <v>45838374</v>
      </c>
      <c r="G17034">
        <v>45838418</v>
      </c>
      <c r="H17034">
        <v>45838374</v>
      </c>
      <c r="I17034">
        <v>45838418</v>
      </c>
    </row>
    <row r="17035" spans="1:9" x14ac:dyDescent="0.2">
      <c r="A17035" s="1" t="str">
        <f>"SRC"</f>
        <v>SRC</v>
      </c>
      <c r="B17035" t="s">
        <v>14</v>
      </c>
      <c r="C17035" t="s">
        <v>29</v>
      </c>
      <c r="D17035" t="s">
        <v>17</v>
      </c>
      <c r="E17035" t="s">
        <v>12</v>
      </c>
      <c r="F17035">
        <v>35974532</v>
      </c>
      <c r="G17035">
        <v>35974551</v>
      </c>
      <c r="H17035">
        <v>35974484</v>
      </c>
      <c r="I17035">
        <v>35974529</v>
      </c>
    </row>
    <row r="17036" spans="1:9" x14ac:dyDescent="0.2">
      <c r="A17036" s="1" t="str">
        <f>"SRCAP"</f>
        <v>SRCAP</v>
      </c>
      <c r="B17036" t="s">
        <v>14</v>
      </c>
      <c r="C17036" t="s">
        <v>31</v>
      </c>
      <c r="D17036" t="s">
        <v>17</v>
      </c>
      <c r="E17036" t="s">
        <v>12</v>
      </c>
      <c r="F17036">
        <v>30709448</v>
      </c>
      <c r="G17036">
        <v>30709525</v>
      </c>
      <c r="H17036">
        <v>30709864</v>
      </c>
      <c r="I17036">
        <v>30709965</v>
      </c>
    </row>
    <row r="17037" spans="1:9" x14ac:dyDescent="0.2">
      <c r="A17037" s="1" t="str">
        <f>"SRCIN1"</f>
        <v>SRCIN1</v>
      </c>
      <c r="B17037" t="s">
        <v>14</v>
      </c>
      <c r="C17037" t="s">
        <v>28</v>
      </c>
      <c r="D17037" t="s">
        <v>11</v>
      </c>
      <c r="E17037" t="s">
        <v>12</v>
      </c>
      <c r="F17037">
        <v>36762125</v>
      </c>
      <c r="G17037">
        <v>36762212</v>
      </c>
      <c r="H17037">
        <v>36762125</v>
      </c>
      <c r="I17037">
        <v>36762212</v>
      </c>
    </row>
    <row r="17038" spans="1:9" x14ac:dyDescent="0.2">
      <c r="A17038" s="1" t="str">
        <f>"SRCRB4D"</f>
        <v>SRCRB4D</v>
      </c>
      <c r="B17038" t="s">
        <v>14</v>
      </c>
      <c r="C17038" t="s">
        <v>33</v>
      </c>
      <c r="D17038" t="s">
        <v>11</v>
      </c>
      <c r="E17038" t="s">
        <v>12</v>
      </c>
      <c r="F17038">
        <v>76039000</v>
      </c>
      <c r="G17038">
        <v>76039047</v>
      </c>
      <c r="H17038">
        <v>76038960</v>
      </c>
      <c r="I17038">
        <v>76038989</v>
      </c>
    </row>
    <row r="17039" spans="1:9" x14ac:dyDescent="0.2">
      <c r="A17039" s="1" t="str">
        <f>"SRD5A1"</f>
        <v>SRD5A1</v>
      </c>
      <c r="B17039" t="s">
        <v>14</v>
      </c>
      <c r="C17039" t="s">
        <v>46</v>
      </c>
      <c r="D17039" t="s">
        <v>17</v>
      </c>
      <c r="E17039" t="s">
        <v>12</v>
      </c>
      <c r="F17039">
        <v>6633534</v>
      </c>
      <c r="G17039">
        <v>6633578</v>
      </c>
      <c r="H17039">
        <v>6633474</v>
      </c>
      <c r="I17039">
        <v>6633529</v>
      </c>
    </row>
    <row r="17040" spans="1:9" x14ac:dyDescent="0.2">
      <c r="A17040" s="1" t="str">
        <f>"SRD5A2"</f>
        <v>SRD5A2</v>
      </c>
      <c r="B17040" t="s">
        <v>14</v>
      </c>
      <c r="C17040" t="s">
        <v>26</v>
      </c>
      <c r="D17040" t="s">
        <v>11</v>
      </c>
      <c r="E17040" t="s">
        <v>12</v>
      </c>
      <c r="F17040">
        <v>31805998</v>
      </c>
      <c r="G17040">
        <v>31806012</v>
      </c>
      <c r="H17040">
        <v>31805998</v>
      </c>
      <c r="I17040">
        <v>31806012</v>
      </c>
    </row>
    <row r="17041" spans="1:9" x14ac:dyDescent="0.2">
      <c r="A17041" s="1" t="str">
        <f>"SRD5A3"</f>
        <v>SRD5A3</v>
      </c>
      <c r="B17041" t="s">
        <v>14</v>
      </c>
      <c r="C17041" t="s">
        <v>23</v>
      </c>
      <c r="D17041" t="s">
        <v>17</v>
      </c>
      <c r="E17041" t="s">
        <v>12</v>
      </c>
      <c r="F17041">
        <v>56212381</v>
      </c>
      <c r="G17041">
        <v>56212454</v>
      </c>
      <c r="H17041">
        <v>56212457</v>
      </c>
      <c r="I17041">
        <v>56212500</v>
      </c>
    </row>
    <row r="17042" spans="1:9" x14ac:dyDescent="0.2">
      <c r="A17042" s="1" t="str">
        <f>"SREBF1"</f>
        <v>SREBF1</v>
      </c>
      <c r="B17042" t="s">
        <v>9</v>
      </c>
      <c r="C17042" t="s">
        <v>28</v>
      </c>
      <c r="D17042" t="s">
        <v>11</v>
      </c>
      <c r="E17042" t="s">
        <v>12</v>
      </c>
      <c r="F17042">
        <v>17740287</v>
      </c>
      <c r="G17042">
        <v>17740307</v>
      </c>
      <c r="H17042">
        <v>17740287</v>
      </c>
      <c r="I17042">
        <v>17740307</v>
      </c>
    </row>
    <row r="17043" spans="1:9" x14ac:dyDescent="0.2">
      <c r="A17043" s="1" t="str">
        <f>"SREBF1"</f>
        <v>SREBF1</v>
      </c>
      <c r="B17043" t="s">
        <v>13</v>
      </c>
      <c r="C17043" t="s">
        <v>28</v>
      </c>
      <c r="D17043" t="s">
        <v>11</v>
      </c>
      <c r="E17043" t="s">
        <v>12</v>
      </c>
      <c r="F17043">
        <v>17726907</v>
      </c>
      <c r="G17043">
        <v>17726958</v>
      </c>
      <c r="H17043">
        <v>17726907</v>
      </c>
      <c r="I17043">
        <v>17726958</v>
      </c>
    </row>
    <row r="17044" spans="1:9" x14ac:dyDescent="0.2">
      <c r="A17044" s="1" t="str">
        <f>"SREBF2"</f>
        <v>SREBF2</v>
      </c>
      <c r="B17044" t="s">
        <v>14</v>
      </c>
      <c r="C17044" t="s">
        <v>21</v>
      </c>
      <c r="D17044" t="s">
        <v>17</v>
      </c>
      <c r="E17044" t="s">
        <v>12</v>
      </c>
      <c r="F17044">
        <v>42229100</v>
      </c>
      <c r="G17044">
        <v>42229146</v>
      </c>
      <c r="H17044">
        <v>42229246</v>
      </c>
      <c r="I17044">
        <v>42229270</v>
      </c>
    </row>
    <row r="17045" spans="1:9" x14ac:dyDescent="0.2">
      <c r="A17045" s="1" t="str">
        <f>"SREK1"</f>
        <v>SREK1</v>
      </c>
      <c r="B17045" t="s">
        <v>14</v>
      </c>
      <c r="C17045" t="s">
        <v>46</v>
      </c>
      <c r="D17045" t="s">
        <v>17</v>
      </c>
      <c r="E17045" t="s">
        <v>12</v>
      </c>
      <c r="F17045">
        <v>65440118</v>
      </c>
      <c r="G17045">
        <v>65440192</v>
      </c>
      <c r="H17045">
        <v>65440032</v>
      </c>
      <c r="I17045">
        <v>65440099</v>
      </c>
    </row>
    <row r="17046" spans="1:9" x14ac:dyDescent="0.2">
      <c r="A17046" s="1" t="str">
        <f>"SREK1IP1"</f>
        <v>SREK1IP1</v>
      </c>
      <c r="B17046" t="s">
        <v>14</v>
      </c>
      <c r="C17046" t="s">
        <v>46</v>
      </c>
      <c r="D17046" t="s">
        <v>11</v>
      </c>
      <c r="E17046" t="s">
        <v>12</v>
      </c>
      <c r="F17046">
        <v>64064446</v>
      </c>
      <c r="G17046">
        <v>64064507</v>
      </c>
      <c r="H17046">
        <v>64064508</v>
      </c>
      <c r="I17046">
        <v>64064529</v>
      </c>
    </row>
    <row r="17047" spans="1:9" x14ac:dyDescent="0.2">
      <c r="A17047" s="1" t="str">
        <f>"SRF"</f>
        <v>SRF</v>
      </c>
      <c r="B17047" t="s">
        <v>14</v>
      </c>
      <c r="C17047" t="s">
        <v>32</v>
      </c>
      <c r="D17047" t="s">
        <v>17</v>
      </c>
      <c r="E17047" t="s">
        <v>12</v>
      </c>
      <c r="F17047">
        <v>43139153</v>
      </c>
      <c r="G17047">
        <v>43139232</v>
      </c>
      <c r="H17047">
        <v>43138999</v>
      </c>
      <c r="I17047">
        <v>43139017</v>
      </c>
    </row>
    <row r="17048" spans="1:9" x14ac:dyDescent="0.2">
      <c r="A17048" s="1" t="str">
        <f>"SRFBP1"</f>
        <v>SRFBP1</v>
      </c>
      <c r="B17048" t="s">
        <v>14</v>
      </c>
      <c r="C17048" t="s">
        <v>46</v>
      </c>
      <c r="D17048" t="s">
        <v>17</v>
      </c>
      <c r="E17048" t="s">
        <v>12</v>
      </c>
      <c r="F17048">
        <v>121297650</v>
      </c>
      <c r="G17048">
        <v>121297747</v>
      </c>
      <c r="H17048">
        <v>121297551</v>
      </c>
      <c r="I17048">
        <v>121297569</v>
      </c>
    </row>
    <row r="17049" spans="1:9" x14ac:dyDescent="0.2">
      <c r="A17049" s="1" t="str">
        <f>"SRGAP1"</f>
        <v>SRGAP1</v>
      </c>
      <c r="B17049" t="s">
        <v>14</v>
      </c>
      <c r="C17049" t="s">
        <v>16</v>
      </c>
      <c r="D17049" t="s">
        <v>17</v>
      </c>
      <c r="E17049" t="s">
        <v>12</v>
      </c>
      <c r="F17049">
        <v>64237856</v>
      </c>
      <c r="G17049">
        <v>64237908</v>
      </c>
      <c r="H17049">
        <v>64238446</v>
      </c>
      <c r="I17049">
        <v>64238535</v>
      </c>
    </row>
    <row r="17050" spans="1:9" x14ac:dyDescent="0.2">
      <c r="A17050" s="1" t="str">
        <f>"SRGAP2"</f>
        <v>SRGAP2</v>
      </c>
      <c r="B17050" t="s">
        <v>14</v>
      </c>
      <c r="C17050" t="s">
        <v>19</v>
      </c>
      <c r="D17050" t="s">
        <v>17</v>
      </c>
      <c r="E17050" t="s">
        <v>12</v>
      </c>
      <c r="F17050">
        <v>206636720</v>
      </c>
      <c r="G17050">
        <v>206636735</v>
      </c>
      <c r="H17050">
        <v>206636720</v>
      </c>
      <c r="I17050">
        <v>206636735</v>
      </c>
    </row>
    <row r="17051" spans="1:9" x14ac:dyDescent="0.2">
      <c r="A17051" s="1" t="str">
        <f>"SRGAP3"</f>
        <v>SRGAP3</v>
      </c>
      <c r="B17051" t="s">
        <v>14</v>
      </c>
      <c r="C17051" t="s">
        <v>22</v>
      </c>
      <c r="D17051" t="s">
        <v>11</v>
      </c>
      <c r="E17051" t="s">
        <v>12</v>
      </c>
      <c r="F17051">
        <v>9291307</v>
      </c>
      <c r="G17051">
        <v>9291344</v>
      </c>
      <c r="H17051">
        <v>9291345</v>
      </c>
      <c r="I17051">
        <v>9291363</v>
      </c>
    </row>
    <row r="17052" spans="1:9" x14ac:dyDescent="0.2">
      <c r="A17052" s="1" t="str">
        <f>"SRGN"</f>
        <v>SRGN</v>
      </c>
      <c r="B17052" t="s">
        <v>9</v>
      </c>
      <c r="C17052" t="s">
        <v>15</v>
      </c>
      <c r="D17052" t="s">
        <v>17</v>
      </c>
      <c r="E17052" t="s">
        <v>12</v>
      </c>
      <c r="F17052">
        <v>70847852</v>
      </c>
      <c r="G17052">
        <v>70847873</v>
      </c>
      <c r="H17052">
        <v>70847852</v>
      </c>
      <c r="I17052">
        <v>70847873</v>
      </c>
    </row>
    <row r="17053" spans="1:9" x14ac:dyDescent="0.2">
      <c r="A17053" s="1" t="str">
        <f>"SRGN"</f>
        <v>SRGN</v>
      </c>
      <c r="B17053" t="s">
        <v>13</v>
      </c>
      <c r="C17053" t="s">
        <v>15</v>
      </c>
      <c r="D17053" t="s">
        <v>17</v>
      </c>
      <c r="E17053" t="s">
        <v>12</v>
      </c>
      <c r="F17053">
        <v>70856852</v>
      </c>
      <c r="G17053">
        <v>70856880</v>
      </c>
      <c r="H17053">
        <v>70856852</v>
      </c>
      <c r="I17053">
        <v>70856880</v>
      </c>
    </row>
    <row r="17054" spans="1:9" x14ac:dyDescent="0.2">
      <c r="A17054" s="1" t="str">
        <f>"SRI"</f>
        <v>SRI</v>
      </c>
      <c r="B17054" t="s">
        <v>9</v>
      </c>
      <c r="C17054" t="s">
        <v>33</v>
      </c>
      <c r="D17054" t="s">
        <v>11</v>
      </c>
      <c r="E17054" t="s">
        <v>12</v>
      </c>
      <c r="F17054">
        <v>87849340</v>
      </c>
      <c r="G17054">
        <v>87849395</v>
      </c>
      <c r="H17054">
        <v>87849340</v>
      </c>
      <c r="I17054">
        <v>87849395</v>
      </c>
    </row>
    <row r="17055" spans="1:9" x14ac:dyDescent="0.2">
      <c r="A17055" s="1" t="str">
        <f>"SRI"</f>
        <v>SRI</v>
      </c>
      <c r="B17055" t="s">
        <v>13</v>
      </c>
      <c r="C17055" t="s">
        <v>33</v>
      </c>
      <c r="D17055" t="s">
        <v>11</v>
      </c>
      <c r="E17055" t="s">
        <v>12</v>
      </c>
      <c r="F17055">
        <v>87856280</v>
      </c>
      <c r="G17055">
        <v>87856298</v>
      </c>
      <c r="H17055">
        <v>87856280</v>
      </c>
      <c r="I17055">
        <v>87856298</v>
      </c>
    </row>
    <row r="17056" spans="1:9" x14ac:dyDescent="0.2">
      <c r="A17056" s="1" t="str">
        <f>"SRL"</f>
        <v>SRL</v>
      </c>
      <c r="B17056" t="s">
        <v>14</v>
      </c>
      <c r="C17056" t="s">
        <v>31</v>
      </c>
      <c r="D17056" t="s">
        <v>11</v>
      </c>
      <c r="E17056" t="s">
        <v>12</v>
      </c>
      <c r="F17056">
        <v>4292071</v>
      </c>
      <c r="G17056">
        <v>4292088</v>
      </c>
      <c r="H17056">
        <v>4292071</v>
      </c>
      <c r="I17056">
        <v>4292088</v>
      </c>
    </row>
    <row r="17057" spans="1:9" x14ac:dyDescent="0.2">
      <c r="A17057" s="1" t="str">
        <f>"SRM"</f>
        <v>SRM</v>
      </c>
      <c r="B17057" t="s">
        <v>14</v>
      </c>
      <c r="C17057" t="s">
        <v>19</v>
      </c>
      <c r="D17057" t="s">
        <v>11</v>
      </c>
      <c r="E17057" t="s">
        <v>12</v>
      </c>
      <c r="F17057">
        <v>11120057</v>
      </c>
      <c r="G17057">
        <v>11120135</v>
      </c>
      <c r="H17057">
        <v>11120033</v>
      </c>
      <c r="I17057">
        <v>11120048</v>
      </c>
    </row>
    <row r="17058" spans="1:9" x14ac:dyDescent="0.2">
      <c r="A17058" s="1" t="str">
        <f>"SRMS"</f>
        <v>SRMS</v>
      </c>
      <c r="B17058" t="s">
        <v>14</v>
      </c>
      <c r="C17058" t="s">
        <v>29</v>
      </c>
      <c r="D17058" t="s">
        <v>11</v>
      </c>
      <c r="E17058" t="s">
        <v>12</v>
      </c>
      <c r="F17058">
        <v>62179094</v>
      </c>
      <c r="G17058">
        <v>62179105</v>
      </c>
      <c r="H17058">
        <v>62179094</v>
      </c>
      <c r="I17058">
        <v>62179105</v>
      </c>
    </row>
    <row r="17059" spans="1:9" x14ac:dyDescent="0.2">
      <c r="A17059" s="1" t="str">
        <f>"SRP14"</f>
        <v>SRP14</v>
      </c>
      <c r="B17059" t="s">
        <v>14</v>
      </c>
      <c r="C17059" t="s">
        <v>25</v>
      </c>
      <c r="D17059" t="s">
        <v>11</v>
      </c>
      <c r="E17059" t="s">
        <v>12</v>
      </c>
      <c r="F17059">
        <v>40331356</v>
      </c>
      <c r="G17059">
        <v>40331387</v>
      </c>
      <c r="H17059">
        <v>40331342</v>
      </c>
      <c r="I17059">
        <v>40331353</v>
      </c>
    </row>
    <row r="17060" spans="1:9" x14ac:dyDescent="0.2">
      <c r="A17060" s="1" t="str">
        <f>"SRP19"</f>
        <v>SRP19</v>
      </c>
      <c r="B17060" t="s">
        <v>14</v>
      </c>
      <c r="C17060" t="s">
        <v>46</v>
      </c>
      <c r="D17060" t="s">
        <v>17</v>
      </c>
      <c r="E17060" t="s">
        <v>12</v>
      </c>
      <c r="F17060">
        <v>112196970</v>
      </c>
      <c r="G17060">
        <v>112197036</v>
      </c>
      <c r="H17060">
        <v>112196909</v>
      </c>
      <c r="I17060">
        <v>112196925</v>
      </c>
    </row>
    <row r="17061" spans="1:9" x14ac:dyDescent="0.2">
      <c r="A17061" s="1" t="str">
        <f>"SRP54"</f>
        <v>SRP54</v>
      </c>
      <c r="B17061" t="s">
        <v>14</v>
      </c>
      <c r="C17061" t="s">
        <v>41</v>
      </c>
      <c r="D17061" t="s">
        <v>17</v>
      </c>
      <c r="E17061" t="s">
        <v>12</v>
      </c>
      <c r="F17061">
        <v>35452169</v>
      </c>
      <c r="G17061">
        <v>35452255</v>
      </c>
      <c r="H17061">
        <v>35451880</v>
      </c>
      <c r="I17061">
        <v>35451920</v>
      </c>
    </row>
    <row r="17062" spans="1:9" x14ac:dyDescent="0.2">
      <c r="A17062" s="1" t="str">
        <f>"SRP68"</f>
        <v>SRP68</v>
      </c>
      <c r="B17062" t="s">
        <v>14</v>
      </c>
      <c r="C17062" t="s">
        <v>28</v>
      </c>
      <c r="D17062" t="s">
        <v>11</v>
      </c>
      <c r="E17062" t="s">
        <v>12</v>
      </c>
      <c r="F17062">
        <v>74068567</v>
      </c>
      <c r="G17062">
        <v>74068608</v>
      </c>
      <c r="H17062">
        <v>74068567</v>
      </c>
      <c r="I17062">
        <v>74068608</v>
      </c>
    </row>
    <row r="17063" spans="1:9" x14ac:dyDescent="0.2">
      <c r="A17063" s="1" t="str">
        <f>"SRP72"</f>
        <v>SRP72</v>
      </c>
      <c r="B17063" t="s">
        <v>14</v>
      </c>
      <c r="C17063" t="s">
        <v>23</v>
      </c>
      <c r="D17063" t="s">
        <v>17</v>
      </c>
      <c r="E17063" t="s">
        <v>12</v>
      </c>
      <c r="F17063">
        <v>57333756</v>
      </c>
      <c r="G17063">
        <v>57333807</v>
      </c>
      <c r="H17063">
        <v>57333756</v>
      </c>
      <c r="I17063">
        <v>57333807</v>
      </c>
    </row>
    <row r="17064" spans="1:9" x14ac:dyDescent="0.2">
      <c r="A17064" s="1" t="str">
        <f>"SRP9"</f>
        <v>SRP9</v>
      </c>
      <c r="B17064" t="s">
        <v>14</v>
      </c>
      <c r="C17064" t="s">
        <v>19</v>
      </c>
      <c r="D17064" t="s">
        <v>17</v>
      </c>
      <c r="E17064" t="s">
        <v>12</v>
      </c>
      <c r="F17064">
        <v>225965518</v>
      </c>
      <c r="G17064">
        <v>225965553</v>
      </c>
      <c r="H17064">
        <v>225965518</v>
      </c>
      <c r="I17064">
        <v>225965553</v>
      </c>
    </row>
    <row r="17065" spans="1:9" x14ac:dyDescent="0.2">
      <c r="A17065" s="1" t="str">
        <f>"SRPK1"</f>
        <v>SRPK1</v>
      </c>
      <c r="B17065" t="s">
        <v>14</v>
      </c>
      <c r="C17065" t="s">
        <v>32</v>
      </c>
      <c r="D17065" t="s">
        <v>11</v>
      </c>
      <c r="E17065" t="s">
        <v>12</v>
      </c>
      <c r="F17065">
        <v>35888858</v>
      </c>
      <c r="G17065">
        <v>35888887</v>
      </c>
      <c r="H17065">
        <v>35888839</v>
      </c>
      <c r="I17065">
        <v>35888855</v>
      </c>
    </row>
    <row r="17066" spans="1:9" x14ac:dyDescent="0.2">
      <c r="A17066" s="1" t="str">
        <f>"SRPK2"</f>
        <v>SRPK2</v>
      </c>
      <c r="B17066" t="s">
        <v>9</v>
      </c>
      <c r="C17066" t="s">
        <v>33</v>
      </c>
      <c r="D17066" t="s">
        <v>11</v>
      </c>
      <c r="E17066" t="s">
        <v>12</v>
      </c>
      <c r="F17066">
        <v>105029329</v>
      </c>
      <c r="G17066">
        <v>105029376</v>
      </c>
      <c r="H17066">
        <v>105029329</v>
      </c>
      <c r="I17066">
        <v>105029376</v>
      </c>
    </row>
    <row r="17067" spans="1:9" x14ac:dyDescent="0.2">
      <c r="A17067" s="1" t="str">
        <f>"SRPK2"</f>
        <v>SRPK2</v>
      </c>
      <c r="B17067" t="s">
        <v>13</v>
      </c>
      <c r="C17067" t="s">
        <v>33</v>
      </c>
      <c r="D17067" t="s">
        <v>11</v>
      </c>
      <c r="E17067" t="s">
        <v>12</v>
      </c>
      <c r="F17067">
        <v>104909435</v>
      </c>
      <c r="G17067">
        <v>104909535</v>
      </c>
      <c r="H17067">
        <v>104909435</v>
      </c>
      <c r="I17067">
        <v>104909535</v>
      </c>
    </row>
    <row r="17068" spans="1:9" x14ac:dyDescent="0.2">
      <c r="A17068" s="1" t="str">
        <f>"SRPK3"</f>
        <v>SRPK3</v>
      </c>
      <c r="B17068" t="s">
        <v>14</v>
      </c>
      <c r="C17068" t="s">
        <v>37</v>
      </c>
      <c r="D17068" t="s">
        <v>17</v>
      </c>
      <c r="E17068" t="s">
        <v>12</v>
      </c>
      <c r="F17068">
        <v>153046493</v>
      </c>
      <c r="G17068">
        <v>153046497</v>
      </c>
      <c r="H17068">
        <v>153046561</v>
      </c>
      <c r="I17068">
        <v>153046573</v>
      </c>
    </row>
    <row r="17069" spans="1:9" x14ac:dyDescent="0.2">
      <c r="A17069" s="1" t="str">
        <f>"SRPR"</f>
        <v>SRPR</v>
      </c>
      <c r="B17069" t="s">
        <v>14</v>
      </c>
      <c r="C17069" t="s">
        <v>27</v>
      </c>
      <c r="D17069" t="s">
        <v>11</v>
      </c>
      <c r="E17069" t="s">
        <v>12</v>
      </c>
      <c r="F17069">
        <v>126138705</v>
      </c>
      <c r="G17069">
        <v>126138802</v>
      </c>
      <c r="H17069">
        <v>126138808</v>
      </c>
      <c r="I17069">
        <v>126138819</v>
      </c>
    </row>
    <row r="17070" spans="1:9" x14ac:dyDescent="0.2">
      <c r="A17070" s="1" t="str">
        <f>"SRPRB"</f>
        <v>SRPRB</v>
      </c>
      <c r="B17070" t="s">
        <v>14</v>
      </c>
      <c r="C17070" t="s">
        <v>22</v>
      </c>
      <c r="D17070" t="s">
        <v>17</v>
      </c>
      <c r="E17070" t="s">
        <v>12</v>
      </c>
      <c r="F17070">
        <v>133524633</v>
      </c>
      <c r="G17070">
        <v>133524697</v>
      </c>
      <c r="H17070">
        <v>133524633</v>
      </c>
      <c r="I17070">
        <v>133524697</v>
      </c>
    </row>
    <row r="17071" spans="1:9" x14ac:dyDescent="0.2">
      <c r="A17071" s="1" t="str">
        <f>"SRPX"</f>
        <v>SRPX</v>
      </c>
      <c r="B17071" t="s">
        <v>14</v>
      </c>
      <c r="C17071" t="s">
        <v>37</v>
      </c>
      <c r="D17071" t="s">
        <v>11</v>
      </c>
      <c r="E17071" t="s">
        <v>12</v>
      </c>
      <c r="F17071">
        <v>38080077</v>
      </c>
      <c r="G17071">
        <v>38080167</v>
      </c>
      <c r="H17071">
        <v>38080077</v>
      </c>
      <c r="I17071">
        <v>38080167</v>
      </c>
    </row>
    <row r="17072" spans="1:9" x14ac:dyDescent="0.2">
      <c r="A17072" s="1" t="str">
        <f>"SRPX2"</f>
        <v>SRPX2</v>
      </c>
      <c r="B17072" t="s">
        <v>14</v>
      </c>
      <c r="C17072" t="s">
        <v>37</v>
      </c>
      <c r="D17072" t="s">
        <v>17</v>
      </c>
      <c r="E17072" t="s">
        <v>12</v>
      </c>
      <c r="F17072">
        <v>99899180</v>
      </c>
      <c r="G17072">
        <v>99899210</v>
      </c>
      <c r="H17072">
        <v>99899180</v>
      </c>
      <c r="I17072">
        <v>99899210</v>
      </c>
    </row>
    <row r="17073" spans="1:9" x14ac:dyDescent="0.2">
      <c r="A17073" s="1" t="str">
        <f>"SRR"</f>
        <v>SRR</v>
      </c>
      <c r="B17073" t="s">
        <v>14</v>
      </c>
      <c r="C17073" t="s">
        <v>28</v>
      </c>
      <c r="D17073" t="s">
        <v>17</v>
      </c>
      <c r="E17073" t="s">
        <v>12</v>
      </c>
      <c r="F17073">
        <v>2207238</v>
      </c>
      <c r="G17073">
        <v>2207277</v>
      </c>
      <c r="H17073">
        <v>2206915</v>
      </c>
      <c r="I17073">
        <v>2206936</v>
      </c>
    </row>
    <row r="17074" spans="1:9" x14ac:dyDescent="0.2">
      <c r="A17074" s="1" t="str">
        <f>"SRRD"</f>
        <v>SRRD</v>
      </c>
      <c r="B17074" t="s">
        <v>14</v>
      </c>
      <c r="C17074" t="s">
        <v>21</v>
      </c>
      <c r="D17074" t="s">
        <v>17</v>
      </c>
      <c r="E17074" t="s">
        <v>12</v>
      </c>
      <c r="F17074">
        <v>26879817</v>
      </c>
      <c r="G17074">
        <v>26879896</v>
      </c>
      <c r="H17074">
        <v>26879907</v>
      </c>
      <c r="I17074">
        <v>26879916</v>
      </c>
    </row>
    <row r="17075" spans="1:9" x14ac:dyDescent="0.2">
      <c r="A17075" s="1" t="str">
        <f>"SRRM1"</f>
        <v>SRRM1</v>
      </c>
      <c r="B17075" t="s">
        <v>14</v>
      </c>
      <c r="C17075" t="s">
        <v>19</v>
      </c>
      <c r="D17075" t="s">
        <v>17</v>
      </c>
      <c r="E17075" t="s">
        <v>12</v>
      </c>
      <c r="F17075">
        <v>24969755</v>
      </c>
      <c r="G17075">
        <v>24969808</v>
      </c>
      <c r="H17075">
        <v>24970034</v>
      </c>
      <c r="I17075">
        <v>24970074</v>
      </c>
    </row>
    <row r="17076" spans="1:9" x14ac:dyDescent="0.2">
      <c r="A17076" s="1" t="str">
        <f>"SRRM2"</f>
        <v>SRRM2</v>
      </c>
      <c r="B17076" t="s">
        <v>14</v>
      </c>
      <c r="C17076" t="s">
        <v>31</v>
      </c>
      <c r="D17076" t="s">
        <v>17</v>
      </c>
      <c r="E17076" t="s">
        <v>12</v>
      </c>
      <c r="F17076">
        <v>2802623</v>
      </c>
      <c r="G17076">
        <v>2802721</v>
      </c>
      <c r="H17076">
        <v>2802316</v>
      </c>
      <c r="I17076">
        <v>2802364</v>
      </c>
    </row>
    <row r="17077" spans="1:9" x14ac:dyDescent="0.2">
      <c r="A17077" s="1" t="str">
        <f>"SRRM3"</f>
        <v>SRRM3</v>
      </c>
      <c r="B17077" t="s">
        <v>14</v>
      </c>
      <c r="C17077" t="s">
        <v>33</v>
      </c>
      <c r="D17077" t="s">
        <v>17</v>
      </c>
      <c r="E17077" t="s">
        <v>12</v>
      </c>
      <c r="F17077">
        <v>75831181</v>
      </c>
      <c r="G17077">
        <v>75831236</v>
      </c>
      <c r="H17077">
        <v>75831181</v>
      </c>
      <c r="I17077">
        <v>75831236</v>
      </c>
    </row>
    <row r="17078" spans="1:9" x14ac:dyDescent="0.2">
      <c r="A17078" s="1" t="str">
        <f>"SRRM4"</f>
        <v>SRRM4</v>
      </c>
      <c r="B17078" t="s">
        <v>14</v>
      </c>
      <c r="C17078" t="s">
        <v>16</v>
      </c>
      <c r="D17078" t="s">
        <v>17</v>
      </c>
      <c r="E17078" t="s">
        <v>12</v>
      </c>
      <c r="F17078">
        <v>119419336</v>
      </c>
      <c r="G17078">
        <v>119419353</v>
      </c>
      <c r="H17078">
        <v>119419294</v>
      </c>
      <c r="I17078">
        <v>119419308</v>
      </c>
    </row>
    <row r="17079" spans="1:9" x14ac:dyDescent="0.2">
      <c r="A17079" s="1" t="str">
        <f>"SRRM5"</f>
        <v>SRRM5</v>
      </c>
      <c r="B17079" t="s">
        <v>9</v>
      </c>
      <c r="C17079" t="s">
        <v>10</v>
      </c>
      <c r="D17079" t="s">
        <v>17</v>
      </c>
      <c r="E17079" t="s">
        <v>12</v>
      </c>
      <c r="F17079">
        <v>44100728</v>
      </c>
      <c r="G17079">
        <v>44100804</v>
      </c>
      <c r="H17079">
        <v>44100728</v>
      </c>
      <c r="I17079">
        <v>44100804</v>
      </c>
    </row>
    <row r="17080" spans="1:9" x14ac:dyDescent="0.2">
      <c r="A17080" s="1" t="str">
        <f>"SRRM5"</f>
        <v>SRRM5</v>
      </c>
      <c r="B17080" t="s">
        <v>13</v>
      </c>
      <c r="C17080" t="s">
        <v>10</v>
      </c>
      <c r="D17080" t="s">
        <v>17</v>
      </c>
      <c r="E17080" t="s">
        <v>12</v>
      </c>
      <c r="F17080">
        <v>44116236</v>
      </c>
      <c r="G17080">
        <v>44116260</v>
      </c>
      <c r="H17080">
        <v>44116236</v>
      </c>
      <c r="I17080">
        <v>44116260</v>
      </c>
    </row>
    <row r="17081" spans="1:9" x14ac:dyDescent="0.2">
      <c r="A17081" s="1" t="str">
        <f>"SRRT"</f>
        <v>SRRT</v>
      </c>
      <c r="B17081" t="s">
        <v>14</v>
      </c>
      <c r="C17081" t="s">
        <v>33</v>
      </c>
      <c r="D17081" t="s">
        <v>17</v>
      </c>
      <c r="E17081" t="s">
        <v>12</v>
      </c>
      <c r="F17081">
        <v>100472717</v>
      </c>
      <c r="G17081">
        <v>100472823</v>
      </c>
      <c r="H17081">
        <v>100472692</v>
      </c>
      <c r="I17081">
        <v>100472706</v>
      </c>
    </row>
    <row r="17082" spans="1:9" x14ac:dyDescent="0.2">
      <c r="A17082" s="1" t="str">
        <f>"SRSF1"</f>
        <v>SRSF1</v>
      </c>
      <c r="B17082" t="s">
        <v>14</v>
      </c>
      <c r="C17082" t="s">
        <v>28</v>
      </c>
      <c r="D17082" t="s">
        <v>11</v>
      </c>
      <c r="E17082" t="s">
        <v>12</v>
      </c>
      <c r="F17082">
        <v>56084578</v>
      </c>
      <c r="G17082">
        <v>56084645</v>
      </c>
      <c r="H17082">
        <v>56084508</v>
      </c>
      <c r="I17082">
        <v>56084519</v>
      </c>
    </row>
    <row r="17083" spans="1:9" x14ac:dyDescent="0.2">
      <c r="A17083" s="1" t="str">
        <f>"SRSF10"</f>
        <v>SRSF10</v>
      </c>
      <c r="B17083" t="s">
        <v>14</v>
      </c>
      <c r="C17083" t="s">
        <v>19</v>
      </c>
      <c r="D17083" t="s">
        <v>11</v>
      </c>
      <c r="E17083" t="s">
        <v>12</v>
      </c>
      <c r="F17083">
        <v>24306809</v>
      </c>
      <c r="G17083">
        <v>24306828</v>
      </c>
      <c r="H17083">
        <v>24306835</v>
      </c>
      <c r="I17083">
        <v>24306868</v>
      </c>
    </row>
    <row r="17084" spans="1:9" x14ac:dyDescent="0.2">
      <c r="A17084" s="1" t="str">
        <f>"SRSF11"</f>
        <v>SRSF11</v>
      </c>
      <c r="B17084" t="s">
        <v>9</v>
      </c>
      <c r="C17084" t="s">
        <v>19</v>
      </c>
      <c r="D17084" t="s">
        <v>17</v>
      </c>
      <c r="E17084" t="s">
        <v>12</v>
      </c>
      <c r="F17084">
        <v>70671363</v>
      </c>
      <c r="G17084">
        <v>70671428</v>
      </c>
      <c r="H17084">
        <v>70671363</v>
      </c>
      <c r="I17084">
        <v>70671428</v>
      </c>
    </row>
    <row r="17085" spans="1:9" x14ac:dyDescent="0.2">
      <c r="A17085" s="1" t="str">
        <f>"SRSF11"</f>
        <v>SRSF11</v>
      </c>
      <c r="B17085" t="s">
        <v>13</v>
      </c>
      <c r="C17085" t="s">
        <v>19</v>
      </c>
      <c r="D17085" t="s">
        <v>17</v>
      </c>
      <c r="E17085" t="s">
        <v>12</v>
      </c>
      <c r="F17085">
        <v>70687137</v>
      </c>
      <c r="G17085">
        <v>70687200</v>
      </c>
      <c r="H17085">
        <v>70687137</v>
      </c>
      <c r="I17085">
        <v>70687200</v>
      </c>
    </row>
    <row r="17086" spans="1:9" x14ac:dyDescent="0.2">
      <c r="A17086" s="1" t="str">
        <f>"SRSF12"</f>
        <v>SRSF12</v>
      </c>
      <c r="B17086" t="s">
        <v>14</v>
      </c>
      <c r="C17086" t="s">
        <v>32</v>
      </c>
      <c r="D17086" t="s">
        <v>11</v>
      </c>
      <c r="E17086" t="s">
        <v>12</v>
      </c>
      <c r="F17086">
        <v>89827720</v>
      </c>
      <c r="G17086">
        <v>89827805</v>
      </c>
      <c r="H17086">
        <v>89827665</v>
      </c>
      <c r="I17086">
        <v>89827718</v>
      </c>
    </row>
    <row r="17087" spans="1:9" x14ac:dyDescent="0.2">
      <c r="A17087" s="1" t="str">
        <f>"SRSF2"</f>
        <v>SRSF2</v>
      </c>
      <c r="B17087" t="s">
        <v>14</v>
      </c>
      <c r="C17087" t="s">
        <v>28</v>
      </c>
      <c r="D17087" t="s">
        <v>11</v>
      </c>
      <c r="E17087" t="s">
        <v>12</v>
      </c>
      <c r="F17087">
        <v>74733404</v>
      </c>
      <c r="G17087">
        <v>74733422</v>
      </c>
      <c r="H17087">
        <v>74733404</v>
      </c>
      <c r="I17087">
        <v>74733422</v>
      </c>
    </row>
    <row r="17088" spans="1:9" x14ac:dyDescent="0.2">
      <c r="A17088" s="1" t="str">
        <f>"SRSF3"</f>
        <v>SRSF3</v>
      </c>
      <c r="B17088" t="s">
        <v>14</v>
      </c>
      <c r="C17088" t="s">
        <v>32</v>
      </c>
      <c r="D17088" t="s">
        <v>17</v>
      </c>
      <c r="E17088" t="s">
        <v>12</v>
      </c>
      <c r="F17088">
        <v>36562132</v>
      </c>
      <c r="G17088">
        <v>36562154</v>
      </c>
      <c r="H17088">
        <v>36562566</v>
      </c>
      <c r="I17088">
        <v>36562576</v>
      </c>
    </row>
    <row r="17089" spans="1:9" x14ac:dyDescent="0.2">
      <c r="A17089" s="1" t="str">
        <f>"SRSF4"</f>
        <v>SRSF4</v>
      </c>
      <c r="B17089" t="s">
        <v>14</v>
      </c>
      <c r="C17089" t="s">
        <v>19</v>
      </c>
      <c r="D17089" t="s">
        <v>11</v>
      </c>
      <c r="E17089" t="s">
        <v>12</v>
      </c>
      <c r="F17089">
        <v>29508321</v>
      </c>
      <c r="G17089">
        <v>29508444</v>
      </c>
      <c r="H17089">
        <v>29508500</v>
      </c>
      <c r="I17089">
        <v>29508524</v>
      </c>
    </row>
    <row r="17090" spans="1:9" x14ac:dyDescent="0.2">
      <c r="A17090" s="1" t="str">
        <f>"SRSF5"</f>
        <v>SRSF5</v>
      </c>
      <c r="B17090" t="s">
        <v>14</v>
      </c>
      <c r="C17090" t="s">
        <v>41</v>
      </c>
      <c r="D17090" t="s">
        <v>17</v>
      </c>
      <c r="E17090" t="s">
        <v>12</v>
      </c>
      <c r="F17090">
        <v>70233822</v>
      </c>
      <c r="G17090">
        <v>70233868</v>
      </c>
      <c r="H17090">
        <v>70233907</v>
      </c>
      <c r="I17090">
        <v>70233918</v>
      </c>
    </row>
    <row r="17091" spans="1:9" x14ac:dyDescent="0.2">
      <c r="A17091" s="1" t="str">
        <f>"SRSF6"</f>
        <v>SRSF6</v>
      </c>
      <c r="B17091" t="s">
        <v>9</v>
      </c>
      <c r="C17091" t="s">
        <v>29</v>
      </c>
      <c r="D17091" t="s">
        <v>17</v>
      </c>
      <c r="E17091" t="s">
        <v>12</v>
      </c>
      <c r="F17091">
        <v>42086525</v>
      </c>
      <c r="G17091">
        <v>42086548</v>
      </c>
      <c r="H17091">
        <v>42086525</v>
      </c>
      <c r="I17091">
        <v>42086548</v>
      </c>
    </row>
    <row r="17092" spans="1:9" x14ac:dyDescent="0.2">
      <c r="A17092" s="1" t="str">
        <f>"SRSF6"</f>
        <v>SRSF6</v>
      </c>
      <c r="B17092" t="s">
        <v>13</v>
      </c>
      <c r="C17092" t="s">
        <v>29</v>
      </c>
      <c r="D17092" t="s">
        <v>17</v>
      </c>
      <c r="E17092" t="s">
        <v>12</v>
      </c>
      <c r="F17092">
        <v>42090013</v>
      </c>
      <c r="G17092">
        <v>42090018</v>
      </c>
      <c r="H17092">
        <v>42090013</v>
      </c>
      <c r="I17092">
        <v>42090018</v>
      </c>
    </row>
    <row r="17093" spans="1:9" x14ac:dyDescent="0.2">
      <c r="A17093" s="1" t="str">
        <f>"SRSF7"</f>
        <v>SRSF7</v>
      </c>
      <c r="B17093" t="s">
        <v>14</v>
      </c>
      <c r="C17093" t="s">
        <v>26</v>
      </c>
      <c r="D17093" t="s">
        <v>11</v>
      </c>
      <c r="E17093" t="s">
        <v>12</v>
      </c>
      <c r="F17093">
        <v>38978492</v>
      </c>
      <c r="G17093">
        <v>38978510</v>
      </c>
      <c r="H17093">
        <v>38978492</v>
      </c>
      <c r="I17093">
        <v>38978510</v>
      </c>
    </row>
    <row r="17094" spans="1:9" x14ac:dyDescent="0.2">
      <c r="A17094" s="1" t="str">
        <f>"SRSF8"</f>
        <v>SRSF8</v>
      </c>
      <c r="B17094" t="s">
        <v>14</v>
      </c>
      <c r="C17094" t="s">
        <v>27</v>
      </c>
      <c r="D17094" t="s">
        <v>17</v>
      </c>
      <c r="E17094" t="s">
        <v>12</v>
      </c>
      <c r="F17094">
        <v>94800608</v>
      </c>
      <c r="G17094">
        <v>94800745</v>
      </c>
      <c r="H17094">
        <v>94800294</v>
      </c>
      <c r="I17094">
        <v>94800357</v>
      </c>
    </row>
    <row r="17095" spans="1:9" x14ac:dyDescent="0.2">
      <c r="A17095" s="1" t="str">
        <f>"SRSF9"</f>
        <v>SRSF9</v>
      </c>
      <c r="B17095" t="s">
        <v>14</v>
      </c>
      <c r="C17095" t="s">
        <v>16</v>
      </c>
      <c r="D17095" t="s">
        <v>11</v>
      </c>
      <c r="E17095" t="s">
        <v>12</v>
      </c>
      <c r="F17095">
        <v>120907459</v>
      </c>
      <c r="G17095">
        <v>120907559</v>
      </c>
      <c r="H17095">
        <v>120907436</v>
      </c>
      <c r="I17095">
        <v>120907454</v>
      </c>
    </row>
    <row r="17096" spans="1:9" x14ac:dyDescent="0.2">
      <c r="A17096" s="1" t="str">
        <f>"SRXN1"</f>
        <v>SRXN1</v>
      </c>
      <c r="B17096" t="s">
        <v>14</v>
      </c>
      <c r="C17096" t="s">
        <v>29</v>
      </c>
      <c r="D17096" t="s">
        <v>11</v>
      </c>
      <c r="E17096" t="s">
        <v>12</v>
      </c>
      <c r="F17096">
        <v>633833</v>
      </c>
      <c r="G17096">
        <v>633851</v>
      </c>
      <c r="H17096">
        <v>634000</v>
      </c>
      <c r="I17096">
        <v>634048</v>
      </c>
    </row>
    <row r="17097" spans="1:9" x14ac:dyDescent="0.2">
      <c r="A17097" s="1" t="str">
        <f>"SRY"</f>
        <v>SRY</v>
      </c>
      <c r="B17097" t="s">
        <v>14</v>
      </c>
      <c r="C17097" t="s">
        <v>63</v>
      </c>
      <c r="D17097" t="s">
        <v>11</v>
      </c>
      <c r="E17097" t="s">
        <v>12</v>
      </c>
      <c r="F17097">
        <v>2655717</v>
      </c>
      <c r="G17097">
        <v>2655728</v>
      </c>
      <c r="H17097">
        <v>2655717</v>
      </c>
      <c r="I17097">
        <v>2655728</v>
      </c>
    </row>
    <row r="17098" spans="1:9" x14ac:dyDescent="0.2">
      <c r="A17098" s="1" t="str">
        <f>"SS18"</f>
        <v>SS18</v>
      </c>
      <c r="B17098" t="s">
        <v>14</v>
      </c>
      <c r="C17098" t="s">
        <v>43</v>
      </c>
      <c r="D17098" t="s">
        <v>11</v>
      </c>
      <c r="E17098" t="s">
        <v>12</v>
      </c>
      <c r="F17098">
        <v>23670546</v>
      </c>
      <c r="G17098">
        <v>23670605</v>
      </c>
      <c r="H17098">
        <v>23670610</v>
      </c>
      <c r="I17098">
        <v>23670626</v>
      </c>
    </row>
    <row r="17099" spans="1:9" x14ac:dyDescent="0.2">
      <c r="A17099" s="1" t="str">
        <f>"SS18L1"</f>
        <v>SS18L1</v>
      </c>
      <c r="B17099" t="s">
        <v>14</v>
      </c>
      <c r="C17099" t="s">
        <v>29</v>
      </c>
      <c r="D17099" t="s">
        <v>17</v>
      </c>
      <c r="E17099" t="s">
        <v>12</v>
      </c>
      <c r="F17099">
        <v>60718785</v>
      </c>
      <c r="G17099">
        <v>60718853</v>
      </c>
      <c r="H17099">
        <v>60718785</v>
      </c>
      <c r="I17099">
        <v>60718853</v>
      </c>
    </row>
    <row r="17100" spans="1:9" x14ac:dyDescent="0.2">
      <c r="A17100" s="1" t="str">
        <f>"SS18L2"</f>
        <v>SS18L2</v>
      </c>
      <c r="B17100" t="s">
        <v>14</v>
      </c>
      <c r="C17100" t="s">
        <v>22</v>
      </c>
      <c r="D17100" t="s">
        <v>17</v>
      </c>
      <c r="E17100" t="s">
        <v>12</v>
      </c>
      <c r="F17100">
        <v>42632330</v>
      </c>
      <c r="G17100">
        <v>42632410</v>
      </c>
      <c r="H17100">
        <v>42632317</v>
      </c>
      <c r="I17100">
        <v>42632328</v>
      </c>
    </row>
    <row r="17101" spans="1:9" x14ac:dyDescent="0.2">
      <c r="A17101" s="1" t="str">
        <f>"SSB"</f>
        <v>SSB</v>
      </c>
      <c r="B17101" t="s">
        <v>14</v>
      </c>
      <c r="C17101" t="s">
        <v>26</v>
      </c>
      <c r="D17101" t="s">
        <v>17</v>
      </c>
      <c r="E17101" t="s">
        <v>12</v>
      </c>
      <c r="F17101">
        <v>170655351</v>
      </c>
      <c r="G17101">
        <v>170655405</v>
      </c>
      <c r="H17101">
        <v>170655418</v>
      </c>
      <c r="I17101">
        <v>170655430</v>
      </c>
    </row>
    <row r="17102" spans="1:9" x14ac:dyDescent="0.2">
      <c r="A17102" s="1" t="str">
        <f>"SSBP1"</f>
        <v>SSBP1</v>
      </c>
      <c r="B17102" t="s">
        <v>14</v>
      </c>
      <c r="C17102" t="s">
        <v>33</v>
      </c>
      <c r="D17102" t="s">
        <v>17</v>
      </c>
      <c r="E17102" t="s">
        <v>12</v>
      </c>
      <c r="F17102">
        <v>141438118</v>
      </c>
      <c r="G17102">
        <v>141438209</v>
      </c>
      <c r="H17102">
        <v>141438213</v>
      </c>
      <c r="I17102">
        <v>141438239</v>
      </c>
    </row>
    <row r="17103" spans="1:9" x14ac:dyDescent="0.2">
      <c r="A17103" s="1" t="str">
        <f>"SSBP2"</f>
        <v>SSBP2</v>
      </c>
      <c r="B17103" t="s">
        <v>14</v>
      </c>
      <c r="C17103" t="s">
        <v>46</v>
      </c>
      <c r="D17103" t="s">
        <v>11</v>
      </c>
      <c r="E17103" t="s">
        <v>12</v>
      </c>
      <c r="F17103">
        <v>81046859</v>
      </c>
      <c r="G17103">
        <v>81046902</v>
      </c>
      <c r="H17103">
        <v>81046904</v>
      </c>
      <c r="I17103">
        <v>81046921</v>
      </c>
    </row>
    <row r="17104" spans="1:9" x14ac:dyDescent="0.2">
      <c r="A17104" s="1" t="str">
        <f>"SSBP3"</f>
        <v>SSBP3</v>
      </c>
      <c r="B17104" t="s">
        <v>14</v>
      </c>
      <c r="C17104" t="s">
        <v>19</v>
      </c>
      <c r="D17104" t="s">
        <v>11</v>
      </c>
      <c r="E17104" t="s">
        <v>12</v>
      </c>
      <c r="F17104">
        <v>54872059</v>
      </c>
      <c r="G17104">
        <v>54872122</v>
      </c>
      <c r="H17104">
        <v>54872059</v>
      </c>
      <c r="I17104">
        <v>54872122</v>
      </c>
    </row>
    <row r="17105" spans="1:9" x14ac:dyDescent="0.2">
      <c r="A17105" s="1" t="str">
        <f>"SSBP4"</f>
        <v>SSBP4</v>
      </c>
      <c r="B17105" t="s">
        <v>14</v>
      </c>
      <c r="C17105" t="s">
        <v>10</v>
      </c>
      <c r="D17105" t="s">
        <v>17</v>
      </c>
      <c r="E17105" t="s">
        <v>12</v>
      </c>
      <c r="F17105">
        <v>18530184</v>
      </c>
      <c r="G17105">
        <v>18530230</v>
      </c>
      <c r="H17105">
        <v>18530247</v>
      </c>
      <c r="I17105">
        <v>18530276</v>
      </c>
    </row>
    <row r="17106" spans="1:9" x14ac:dyDescent="0.2">
      <c r="A17106" s="1" t="str">
        <f>"SSC5D"</f>
        <v>SSC5D</v>
      </c>
      <c r="B17106" t="s">
        <v>14</v>
      </c>
      <c r="C17106" t="s">
        <v>10</v>
      </c>
      <c r="D17106" t="s">
        <v>17</v>
      </c>
      <c r="E17106" t="s">
        <v>12</v>
      </c>
      <c r="F17106">
        <v>55999783</v>
      </c>
      <c r="G17106">
        <v>55999842</v>
      </c>
      <c r="H17106">
        <v>55999854</v>
      </c>
      <c r="I17106">
        <v>55999873</v>
      </c>
    </row>
    <row r="17107" spans="1:9" x14ac:dyDescent="0.2">
      <c r="A17107" s="1" t="str">
        <f>"SSFA2"</f>
        <v>SSFA2</v>
      </c>
      <c r="B17107" t="s">
        <v>14</v>
      </c>
      <c r="C17107" t="s">
        <v>26</v>
      </c>
      <c r="D17107" t="s">
        <v>17</v>
      </c>
      <c r="E17107" t="s">
        <v>12</v>
      </c>
      <c r="F17107">
        <v>182756633</v>
      </c>
      <c r="G17107">
        <v>182756698</v>
      </c>
      <c r="H17107">
        <v>182756547</v>
      </c>
      <c r="I17107">
        <v>182756563</v>
      </c>
    </row>
    <row r="17108" spans="1:9" x14ac:dyDescent="0.2">
      <c r="A17108" s="1" t="str">
        <f>"SSH1"</f>
        <v>SSH1</v>
      </c>
      <c r="B17108" t="s">
        <v>14</v>
      </c>
      <c r="C17108" t="s">
        <v>16</v>
      </c>
      <c r="D17108" t="s">
        <v>11</v>
      </c>
      <c r="E17108" t="s">
        <v>12</v>
      </c>
      <c r="F17108">
        <v>109251345</v>
      </c>
      <c r="G17108">
        <v>109251366</v>
      </c>
      <c r="H17108">
        <v>109251373</v>
      </c>
      <c r="I17108">
        <v>109251417</v>
      </c>
    </row>
    <row r="17109" spans="1:9" x14ac:dyDescent="0.2">
      <c r="A17109" s="1" t="str">
        <f>"SSH2"</f>
        <v>SSH2</v>
      </c>
      <c r="B17109" t="s">
        <v>14</v>
      </c>
      <c r="C17109" t="s">
        <v>28</v>
      </c>
      <c r="D17109" t="s">
        <v>11</v>
      </c>
      <c r="E17109" t="s">
        <v>12</v>
      </c>
      <c r="F17109">
        <v>28257185</v>
      </c>
      <c r="G17109">
        <v>28257266</v>
      </c>
      <c r="H17109">
        <v>28257185</v>
      </c>
      <c r="I17109">
        <v>28257266</v>
      </c>
    </row>
    <row r="17110" spans="1:9" x14ac:dyDescent="0.2">
      <c r="A17110" s="1" t="str">
        <f>"SSH3"</f>
        <v>SSH3</v>
      </c>
      <c r="B17110" t="s">
        <v>14</v>
      </c>
      <c r="C17110" t="s">
        <v>27</v>
      </c>
      <c r="D17110" t="s">
        <v>17</v>
      </c>
      <c r="E17110" t="s">
        <v>12</v>
      </c>
      <c r="F17110">
        <v>67070968</v>
      </c>
      <c r="G17110">
        <v>67071046</v>
      </c>
      <c r="H17110">
        <v>67070950</v>
      </c>
      <c r="I17110">
        <v>67070963</v>
      </c>
    </row>
    <row r="17111" spans="1:9" x14ac:dyDescent="0.2">
      <c r="A17111" s="1" t="str">
        <f>"SSMEM1"</f>
        <v>SSMEM1</v>
      </c>
      <c r="B17111" t="s">
        <v>14</v>
      </c>
      <c r="C17111" t="s">
        <v>33</v>
      </c>
      <c r="D17111" t="s">
        <v>17</v>
      </c>
      <c r="E17111" t="s">
        <v>12</v>
      </c>
      <c r="F17111">
        <v>129847706</v>
      </c>
      <c r="G17111">
        <v>129847727</v>
      </c>
      <c r="H17111">
        <v>129847688</v>
      </c>
      <c r="I17111">
        <v>129847705</v>
      </c>
    </row>
    <row r="17112" spans="1:9" x14ac:dyDescent="0.2">
      <c r="A17112" s="1" t="str">
        <f>"SSNA1"</f>
        <v>SSNA1</v>
      </c>
      <c r="B17112" t="s">
        <v>14</v>
      </c>
      <c r="C17112" t="s">
        <v>24</v>
      </c>
      <c r="D17112" t="s">
        <v>17</v>
      </c>
      <c r="E17112" t="s">
        <v>12</v>
      </c>
      <c r="F17112">
        <v>140083099</v>
      </c>
      <c r="G17112">
        <v>140083145</v>
      </c>
      <c r="H17112">
        <v>140083148</v>
      </c>
      <c r="I17112">
        <v>140083187</v>
      </c>
    </row>
    <row r="17113" spans="1:9" x14ac:dyDescent="0.2">
      <c r="A17113" s="1" t="str">
        <f>"SSPN"</f>
        <v>SSPN</v>
      </c>
      <c r="B17113" t="s">
        <v>14</v>
      </c>
      <c r="C17113" t="s">
        <v>16</v>
      </c>
      <c r="D17113" t="s">
        <v>17</v>
      </c>
      <c r="E17113" t="s">
        <v>12</v>
      </c>
      <c r="F17113">
        <v>26348477</v>
      </c>
      <c r="G17113">
        <v>26348525</v>
      </c>
      <c r="H17113">
        <v>26348246</v>
      </c>
      <c r="I17113">
        <v>26348310</v>
      </c>
    </row>
    <row r="17114" spans="1:9" x14ac:dyDescent="0.2">
      <c r="A17114" s="1" t="str">
        <f>"SSPO"</f>
        <v>SSPO</v>
      </c>
      <c r="B17114" t="s">
        <v>14</v>
      </c>
      <c r="C17114" t="s">
        <v>33</v>
      </c>
      <c r="D17114" t="s">
        <v>17</v>
      </c>
      <c r="E17114" t="s">
        <v>12</v>
      </c>
      <c r="F17114">
        <v>149518983</v>
      </c>
      <c r="G17114">
        <v>149518987</v>
      </c>
      <c r="H17114">
        <v>149518932</v>
      </c>
      <c r="I17114">
        <v>149518934</v>
      </c>
    </row>
    <row r="17115" spans="1:9" x14ac:dyDescent="0.2">
      <c r="A17115" s="1" t="str">
        <f>"SSR1"</f>
        <v>SSR1</v>
      </c>
      <c r="B17115" t="s">
        <v>14</v>
      </c>
      <c r="C17115" t="s">
        <v>32</v>
      </c>
      <c r="D17115" t="s">
        <v>11</v>
      </c>
      <c r="E17115" t="s">
        <v>12</v>
      </c>
      <c r="F17115">
        <v>7313381</v>
      </c>
      <c r="G17115">
        <v>7313458</v>
      </c>
      <c r="H17115">
        <v>7313381</v>
      </c>
      <c r="I17115">
        <v>7313458</v>
      </c>
    </row>
    <row r="17116" spans="1:9" x14ac:dyDescent="0.2">
      <c r="A17116" s="1" t="str">
        <f>"SSR2"</f>
        <v>SSR2</v>
      </c>
      <c r="B17116" t="s">
        <v>14</v>
      </c>
      <c r="C17116" t="s">
        <v>19</v>
      </c>
      <c r="D17116" t="s">
        <v>11</v>
      </c>
      <c r="E17116" t="s">
        <v>12</v>
      </c>
      <c r="F17116">
        <v>155990695</v>
      </c>
      <c r="G17116">
        <v>155990747</v>
      </c>
      <c r="H17116">
        <v>155989959</v>
      </c>
      <c r="I17116">
        <v>155989972</v>
      </c>
    </row>
    <row r="17117" spans="1:9" x14ac:dyDescent="0.2">
      <c r="A17117" s="1" t="str">
        <f>"SSR3"</f>
        <v>SSR3</v>
      </c>
      <c r="B17117" t="s">
        <v>14</v>
      </c>
      <c r="C17117" t="s">
        <v>22</v>
      </c>
      <c r="D17117" t="s">
        <v>11</v>
      </c>
      <c r="E17117" t="s">
        <v>12</v>
      </c>
      <c r="F17117">
        <v>156272872</v>
      </c>
      <c r="G17117">
        <v>156272923</v>
      </c>
      <c r="H17117">
        <v>156272924</v>
      </c>
      <c r="I17117">
        <v>156272951</v>
      </c>
    </row>
    <row r="17118" spans="1:9" x14ac:dyDescent="0.2">
      <c r="A17118" s="1" t="str">
        <f>"SSR4"</f>
        <v>SSR4</v>
      </c>
      <c r="B17118" t="s">
        <v>14</v>
      </c>
      <c r="C17118" t="s">
        <v>37</v>
      </c>
      <c r="D17118" t="s">
        <v>17</v>
      </c>
      <c r="E17118" t="s">
        <v>12</v>
      </c>
      <c r="F17118">
        <v>153060090</v>
      </c>
      <c r="G17118">
        <v>153060132</v>
      </c>
      <c r="H17118">
        <v>153060056</v>
      </c>
      <c r="I17118">
        <v>153060087</v>
      </c>
    </row>
    <row r="17119" spans="1:9" x14ac:dyDescent="0.2">
      <c r="A17119" s="1" t="str">
        <f>"SSRP1"</f>
        <v>SSRP1</v>
      </c>
      <c r="B17119" t="s">
        <v>14</v>
      </c>
      <c r="C17119" t="s">
        <v>27</v>
      </c>
      <c r="D17119" t="s">
        <v>11</v>
      </c>
      <c r="E17119" t="s">
        <v>12</v>
      </c>
      <c r="F17119">
        <v>57103327</v>
      </c>
      <c r="G17119">
        <v>57103372</v>
      </c>
      <c r="H17119">
        <v>57103312</v>
      </c>
      <c r="I17119">
        <v>57103321</v>
      </c>
    </row>
    <row r="17120" spans="1:9" x14ac:dyDescent="0.2">
      <c r="A17120" s="1" t="str">
        <f>"SSSCA1"</f>
        <v>SSSCA1</v>
      </c>
      <c r="B17120" t="s">
        <v>14</v>
      </c>
      <c r="C17120" t="s">
        <v>27</v>
      </c>
      <c r="D17120" t="s">
        <v>17</v>
      </c>
      <c r="E17120" t="s">
        <v>12</v>
      </c>
      <c r="F17120">
        <v>65337923</v>
      </c>
      <c r="G17120">
        <v>65337959</v>
      </c>
      <c r="H17120">
        <v>65338138</v>
      </c>
      <c r="I17120">
        <v>65338151</v>
      </c>
    </row>
    <row r="17121" spans="1:9" x14ac:dyDescent="0.2">
      <c r="A17121" s="1" t="str">
        <f>"SST"</f>
        <v>SST</v>
      </c>
      <c r="B17121" t="s">
        <v>14</v>
      </c>
      <c r="C17121" t="s">
        <v>22</v>
      </c>
      <c r="D17121" t="s">
        <v>11</v>
      </c>
      <c r="E17121" t="s">
        <v>12</v>
      </c>
      <c r="F17121">
        <v>187388173</v>
      </c>
      <c r="G17121">
        <v>187388189</v>
      </c>
      <c r="H17121">
        <v>187388280</v>
      </c>
      <c r="I17121">
        <v>187388300</v>
      </c>
    </row>
    <row r="17122" spans="1:9" x14ac:dyDescent="0.2">
      <c r="A17122" s="1" t="str">
        <f>"SSTR1"</f>
        <v>SSTR1</v>
      </c>
      <c r="B17122" t="s">
        <v>14</v>
      </c>
      <c r="C17122" t="s">
        <v>41</v>
      </c>
      <c r="D17122" t="s">
        <v>17</v>
      </c>
      <c r="E17122" t="s">
        <v>12</v>
      </c>
      <c r="F17122">
        <v>38678295</v>
      </c>
      <c r="G17122">
        <v>38678312</v>
      </c>
      <c r="H17122">
        <v>38678295</v>
      </c>
      <c r="I17122">
        <v>38678312</v>
      </c>
    </row>
    <row r="17123" spans="1:9" x14ac:dyDescent="0.2">
      <c r="A17123" s="1" t="str">
        <f>"SSTR2"</f>
        <v>SSTR2</v>
      </c>
      <c r="B17123" t="s">
        <v>14</v>
      </c>
      <c r="C17123" t="s">
        <v>28</v>
      </c>
      <c r="D17123" t="s">
        <v>17</v>
      </c>
      <c r="E17123" t="s">
        <v>12</v>
      </c>
      <c r="F17123">
        <v>71161140</v>
      </c>
      <c r="G17123">
        <v>71161174</v>
      </c>
      <c r="H17123">
        <v>71161113</v>
      </c>
      <c r="I17123">
        <v>71161122</v>
      </c>
    </row>
    <row r="17124" spans="1:9" x14ac:dyDescent="0.2">
      <c r="A17124" s="1" t="str">
        <f>"SSTR3"</f>
        <v>SSTR3</v>
      </c>
      <c r="B17124" t="s">
        <v>14</v>
      </c>
      <c r="C17124" t="s">
        <v>21</v>
      </c>
      <c r="D17124" t="s">
        <v>11</v>
      </c>
      <c r="E17124" t="s">
        <v>12</v>
      </c>
      <c r="F17124">
        <v>37608395</v>
      </c>
      <c r="G17124">
        <v>37608448</v>
      </c>
      <c r="H17124">
        <v>37608511</v>
      </c>
      <c r="I17124">
        <v>37608522</v>
      </c>
    </row>
    <row r="17125" spans="1:9" x14ac:dyDescent="0.2">
      <c r="A17125" s="1" t="str">
        <f>"SSTR4"</f>
        <v>SSTR4</v>
      </c>
      <c r="B17125" t="s">
        <v>14</v>
      </c>
      <c r="C17125" t="s">
        <v>29</v>
      </c>
      <c r="D17125" t="s">
        <v>17</v>
      </c>
      <c r="E17125" t="s">
        <v>12</v>
      </c>
      <c r="F17125">
        <v>23016063</v>
      </c>
      <c r="G17125">
        <v>23016076</v>
      </c>
      <c r="H17125">
        <v>23016077</v>
      </c>
      <c r="I17125">
        <v>23016080</v>
      </c>
    </row>
    <row r="17126" spans="1:9" x14ac:dyDescent="0.2">
      <c r="A17126" s="1" t="str">
        <f>"SSTR5"</f>
        <v>SSTR5</v>
      </c>
      <c r="B17126" t="s">
        <v>9</v>
      </c>
      <c r="C17126" t="s">
        <v>31</v>
      </c>
      <c r="D17126" t="s">
        <v>17</v>
      </c>
      <c r="E17126" t="s">
        <v>12</v>
      </c>
      <c r="F17126">
        <v>1128813</v>
      </c>
      <c r="G17126">
        <v>1128840</v>
      </c>
      <c r="H17126">
        <v>1128813</v>
      </c>
      <c r="I17126">
        <v>1128840</v>
      </c>
    </row>
    <row r="17127" spans="1:9" x14ac:dyDescent="0.2">
      <c r="A17127" s="1" t="str">
        <f>"SSTR5"</f>
        <v>SSTR5</v>
      </c>
      <c r="B17127" t="s">
        <v>13</v>
      </c>
      <c r="C17127" t="s">
        <v>31</v>
      </c>
      <c r="D17127" t="s">
        <v>17</v>
      </c>
      <c r="E17127" t="s">
        <v>12</v>
      </c>
      <c r="F17127">
        <v>1122746</v>
      </c>
      <c r="G17127">
        <v>1122783</v>
      </c>
      <c r="H17127">
        <v>1122746</v>
      </c>
      <c r="I17127">
        <v>1122783</v>
      </c>
    </row>
    <row r="17128" spans="1:9" x14ac:dyDescent="0.2">
      <c r="A17128" s="1" t="str">
        <f>"SSU72"</f>
        <v>SSU72</v>
      </c>
      <c r="B17128" t="s">
        <v>14</v>
      </c>
      <c r="C17128" t="s">
        <v>19</v>
      </c>
      <c r="D17128" t="s">
        <v>11</v>
      </c>
      <c r="E17128" t="s">
        <v>12</v>
      </c>
      <c r="F17128">
        <v>1510204</v>
      </c>
      <c r="G17128">
        <v>1510267</v>
      </c>
      <c r="H17128">
        <v>1509995</v>
      </c>
      <c r="I17128">
        <v>1510032</v>
      </c>
    </row>
    <row r="17129" spans="1:9" x14ac:dyDescent="0.2">
      <c r="A17129" s="1" t="str">
        <f>"SSUH2"</f>
        <v>SSUH2</v>
      </c>
      <c r="B17129" t="s">
        <v>14</v>
      </c>
      <c r="C17129" t="s">
        <v>22</v>
      </c>
      <c r="D17129" t="s">
        <v>11</v>
      </c>
      <c r="E17129" t="s">
        <v>12</v>
      </c>
      <c r="F17129">
        <v>8693755</v>
      </c>
      <c r="G17129">
        <v>8693789</v>
      </c>
      <c r="H17129">
        <v>8693755</v>
      </c>
      <c r="I17129">
        <v>8693789</v>
      </c>
    </row>
    <row r="17130" spans="1:9" x14ac:dyDescent="0.2">
      <c r="A17130" s="1" t="str">
        <f>"SSX1"</f>
        <v>SSX1</v>
      </c>
      <c r="B17130" t="s">
        <v>14</v>
      </c>
      <c r="C17130" t="s">
        <v>37</v>
      </c>
      <c r="D17130" t="s">
        <v>17</v>
      </c>
      <c r="E17130" t="s">
        <v>12</v>
      </c>
      <c r="F17130">
        <v>48114805</v>
      </c>
      <c r="G17130">
        <v>48114830</v>
      </c>
      <c r="H17130">
        <v>48114805</v>
      </c>
      <c r="I17130">
        <v>48114830</v>
      </c>
    </row>
    <row r="17131" spans="1:9" x14ac:dyDescent="0.2">
      <c r="A17131" s="1" t="str">
        <f>"SSX2"</f>
        <v>SSX2</v>
      </c>
      <c r="B17131" t="s">
        <v>1600</v>
      </c>
      <c r="C17131" t="s">
        <v>37</v>
      </c>
      <c r="D17131" t="s">
        <v>11</v>
      </c>
      <c r="E17131" t="s">
        <v>20</v>
      </c>
      <c r="F17131">
        <v>52736238</v>
      </c>
      <c r="G17131">
        <v>52736238</v>
      </c>
      <c r="H17131">
        <v>52736238</v>
      </c>
      <c r="I17131">
        <v>52736238</v>
      </c>
    </row>
    <row r="17132" spans="1:9" x14ac:dyDescent="0.2">
      <c r="A17132" s="1" t="str">
        <f>"SSX2B"</f>
        <v>SSX2B</v>
      </c>
      <c r="B17132" t="s">
        <v>1601</v>
      </c>
      <c r="C17132" t="s">
        <v>37</v>
      </c>
      <c r="D17132" t="s">
        <v>17</v>
      </c>
      <c r="E17132" t="s">
        <v>20</v>
      </c>
      <c r="F17132">
        <v>52780317</v>
      </c>
      <c r="G17132">
        <v>52780317</v>
      </c>
      <c r="H17132">
        <v>52780317</v>
      </c>
      <c r="I17132">
        <v>52780317</v>
      </c>
    </row>
    <row r="17133" spans="1:9" x14ac:dyDescent="0.2">
      <c r="A17133" s="1" t="str">
        <f>"SSX2IP"</f>
        <v>SSX2IP</v>
      </c>
      <c r="B17133" t="s">
        <v>14</v>
      </c>
      <c r="C17133" t="s">
        <v>19</v>
      </c>
      <c r="D17133" t="s">
        <v>11</v>
      </c>
      <c r="E17133" t="s">
        <v>12</v>
      </c>
      <c r="F17133">
        <v>85156090</v>
      </c>
      <c r="G17133">
        <v>85156192</v>
      </c>
      <c r="H17133">
        <v>85155939</v>
      </c>
      <c r="I17133">
        <v>85155984</v>
      </c>
    </row>
    <row r="17134" spans="1:9" x14ac:dyDescent="0.2">
      <c r="A17134" s="1" t="str">
        <f>"SSX3"</f>
        <v>SSX3</v>
      </c>
      <c r="B17134" t="s">
        <v>14</v>
      </c>
      <c r="C17134" t="s">
        <v>37</v>
      </c>
      <c r="D17134" t="s">
        <v>11</v>
      </c>
      <c r="E17134" t="s">
        <v>12</v>
      </c>
      <c r="F17134">
        <v>48216123</v>
      </c>
      <c r="G17134">
        <v>48216142</v>
      </c>
      <c r="H17134">
        <v>48216123</v>
      </c>
      <c r="I17134">
        <v>48216142</v>
      </c>
    </row>
    <row r="17135" spans="1:9" x14ac:dyDescent="0.2">
      <c r="A17135" s="1" t="str">
        <f>"SSX4"</f>
        <v>SSX4</v>
      </c>
      <c r="B17135" t="s">
        <v>1602</v>
      </c>
      <c r="C17135" t="s">
        <v>37</v>
      </c>
      <c r="D17135" t="s">
        <v>17</v>
      </c>
      <c r="E17135" t="s">
        <v>20</v>
      </c>
      <c r="F17135">
        <v>48242862</v>
      </c>
      <c r="G17135">
        <v>48242862</v>
      </c>
      <c r="H17135">
        <v>48242862</v>
      </c>
      <c r="I17135">
        <v>48242862</v>
      </c>
    </row>
    <row r="17136" spans="1:9" x14ac:dyDescent="0.2">
      <c r="A17136" s="1" t="str">
        <f>"SSX4B"</f>
        <v>SSX4B</v>
      </c>
      <c r="B17136" t="s">
        <v>1603</v>
      </c>
      <c r="C17136" t="s">
        <v>37</v>
      </c>
      <c r="D17136" t="s">
        <v>11</v>
      </c>
      <c r="E17136" t="s">
        <v>20</v>
      </c>
      <c r="F17136">
        <v>48271343</v>
      </c>
      <c r="G17136">
        <v>48271343</v>
      </c>
      <c r="H17136">
        <v>48271343</v>
      </c>
      <c r="I17136">
        <v>48271343</v>
      </c>
    </row>
    <row r="17137" spans="1:9" x14ac:dyDescent="0.2">
      <c r="A17137" s="1" t="str">
        <f>"SSX5"</f>
        <v>SSX5</v>
      </c>
      <c r="B17137" t="s">
        <v>14</v>
      </c>
      <c r="C17137" t="s">
        <v>37</v>
      </c>
      <c r="D17137" t="s">
        <v>11</v>
      </c>
      <c r="E17137" t="s">
        <v>12</v>
      </c>
      <c r="F17137">
        <v>48056224</v>
      </c>
      <c r="G17137">
        <v>48056233</v>
      </c>
      <c r="H17137">
        <v>48056224</v>
      </c>
      <c r="I17137">
        <v>48056233</v>
      </c>
    </row>
    <row r="17138" spans="1:9" x14ac:dyDescent="0.2">
      <c r="A17138" s="1" t="str">
        <f>"SSX7"</f>
        <v>SSX7</v>
      </c>
      <c r="B17138" t="s">
        <v>14</v>
      </c>
      <c r="C17138" t="s">
        <v>37</v>
      </c>
      <c r="D17138" t="s">
        <v>11</v>
      </c>
      <c r="E17138" t="s">
        <v>12</v>
      </c>
      <c r="F17138">
        <v>52683833</v>
      </c>
      <c r="G17138">
        <v>52683836</v>
      </c>
      <c r="H17138">
        <v>52683833</v>
      </c>
      <c r="I17138">
        <v>52683836</v>
      </c>
    </row>
    <row r="17139" spans="1:9" x14ac:dyDescent="0.2">
      <c r="A17139" s="1" t="str">
        <f>"ST13"</f>
        <v>ST13</v>
      </c>
      <c r="B17139" t="s">
        <v>14</v>
      </c>
      <c r="C17139" t="s">
        <v>21</v>
      </c>
      <c r="D17139" t="s">
        <v>11</v>
      </c>
      <c r="E17139" t="s">
        <v>12</v>
      </c>
      <c r="F17139">
        <v>41252634</v>
      </c>
      <c r="G17139">
        <v>41252669</v>
      </c>
      <c r="H17139">
        <v>41252962</v>
      </c>
      <c r="I17139">
        <v>41252973</v>
      </c>
    </row>
    <row r="17140" spans="1:9" x14ac:dyDescent="0.2">
      <c r="A17140" s="1" t="str">
        <f>"ST14"</f>
        <v>ST14</v>
      </c>
      <c r="B17140" t="s">
        <v>14</v>
      </c>
      <c r="C17140" t="s">
        <v>27</v>
      </c>
      <c r="D17140" t="s">
        <v>17</v>
      </c>
      <c r="E17140" t="s">
        <v>12</v>
      </c>
      <c r="F17140">
        <v>130029668</v>
      </c>
      <c r="G17140">
        <v>130029690</v>
      </c>
      <c r="H17140">
        <v>130029696</v>
      </c>
      <c r="I17140">
        <v>130029745</v>
      </c>
    </row>
    <row r="17141" spans="1:9" x14ac:dyDescent="0.2">
      <c r="A17141" s="1" t="str">
        <f>"ST18"</f>
        <v>ST18</v>
      </c>
      <c r="B17141" t="s">
        <v>14</v>
      </c>
      <c r="C17141" t="s">
        <v>30</v>
      </c>
      <c r="D17141" t="s">
        <v>11</v>
      </c>
      <c r="E17141" t="s">
        <v>12</v>
      </c>
      <c r="F17141">
        <v>53322304</v>
      </c>
      <c r="G17141">
        <v>53322340</v>
      </c>
      <c r="H17141">
        <v>53322347</v>
      </c>
      <c r="I17141">
        <v>53322378</v>
      </c>
    </row>
    <row r="17142" spans="1:9" x14ac:dyDescent="0.2">
      <c r="A17142" s="1" t="str">
        <f>"ST20"</f>
        <v>ST20</v>
      </c>
      <c r="B17142" t="s">
        <v>14</v>
      </c>
      <c r="C17142" t="s">
        <v>25</v>
      </c>
      <c r="D17142" t="s">
        <v>11</v>
      </c>
      <c r="E17142" t="s">
        <v>12</v>
      </c>
      <c r="F17142">
        <v>80215984</v>
      </c>
      <c r="G17142">
        <v>80216125</v>
      </c>
      <c r="H17142">
        <v>80215936</v>
      </c>
      <c r="I17142">
        <v>80215949</v>
      </c>
    </row>
    <row r="17143" spans="1:9" x14ac:dyDescent="0.2">
      <c r="A17143" s="1" t="str">
        <f>"ST20-MTHFS"</f>
        <v>ST20-MTHFS</v>
      </c>
      <c r="B17143" t="s">
        <v>14</v>
      </c>
      <c r="C17143" t="s">
        <v>25</v>
      </c>
      <c r="D17143" t="s">
        <v>11</v>
      </c>
      <c r="E17143" t="s">
        <v>12</v>
      </c>
      <c r="F17143">
        <v>80215427</v>
      </c>
      <c r="G17143">
        <v>80215450</v>
      </c>
      <c r="H17143">
        <v>80215400</v>
      </c>
      <c r="I17143">
        <v>80215421</v>
      </c>
    </row>
    <row r="17144" spans="1:9" x14ac:dyDescent="0.2">
      <c r="A17144" s="1" t="str">
        <f>"ST3GAL1"</f>
        <v>ST3GAL1</v>
      </c>
      <c r="B17144" t="s">
        <v>14</v>
      </c>
      <c r="C17144" t="s">
        <v>30</v>
      </c>
      <c r="D17144" t="s">
        <v>11</v>
      </c>
      <c r="E17144" t="s">
        <v>12</v>
      </c>
      <c r="F17144">
        <v>134584152</v>
      </c>
      <c r="G17144">
        <v>134584213</v>
      </c>
      <c r="H17144">
        <v>134584101</v>
      </c>
      <c r="I17144">
        <v>134584143</v>
      </c>
    </row>
    <row r="17145" spans="1:9" x14ac:dyDescent="0.2">
      <c r="A17145" s="1" t="str">
        <f>"ST3GAL2"</f>
        <v>ST3GAL2</v>
      </c>
      <c r="B17145" t="s">
        <v>9</v>
      </c>
      <c r="C17145" t="s">
        <v>31</v>
      </c>
      <c r="D17145" t="s">
        <v>11</v>
      </c>
      <c r="E17145" t="s">
        <v>12</v>
      </c>
      <c r="F17145">
        <v>70472946</v>
      </c>
      <c r="G17145">
        <v>70473024</v>
      </c>
      <c r="H17145">
        <v>70472946</v>
      </c>
      <c r="I17145">
        <v>70473024</v>
      </c>
    </row>
    <row r="17146" spans="1:9" x14ac:dyDescent="0.2">
      <c r="A17146" s="1" t="str">
        <f>"ST3GAL2"</f>
        <v>ST3GAL2</v>
      </c>
      <c r="B17146" t="s">
        <v>13</v>
      </c>
      <c r="C17146" t="s">
        <v>31</v>
      </c>
      <c r="D17146" t="s">
        <v>11</v>
      </c>
      <c r="E17146" t="s">
        <v>12</v>
      </c>
      <c r="F17146">
        <v>70415246</v>
      </c>
      <c r="G17146">
        <v>70415285</v>
      </c>
      <c r="H17146">
        <v>70415246</v>
      </c>
      <c r="I17146">
        <v>70415285</v>
      </c>
    </row>
    <row r="17147" spans="1:9" x14ac:dyDescent="0.2">
      <c r="A17147" s="1" t="str">
        <f>"ST3GAL3"</f>
        <v>ST3GAL3</v>
      </c>
      <c r="B17147" t="s">
        <v>14</v>
      </c>
      <c r="C17147" t="s">
        <v>19</v>
      </c>
      <c r="D17147" t="s">
        <v>17</v>
      </c>
      <c r="E17147" t="s">
        <v>12</v>
      </c>
      <c r="F17147">
        <v>44173179</v>
      </c>
      <c r="G17147">
        <v>44173226</v>
      </c>
      <c r="H17147">
        <v>44173179</v>
      </c>
      <c r="I17147">
        <v>44173226</v>
      </c>
    </row>
    <row r="17148" spans="1:9" x14ac:dyDescent="0.2">
      <c r="A17148" s="1" t="str">
        <f>"ST3GAL4"</f>
        <v>ST3GAL4</v>
      </c>
      <c r="B17148" t="s">
        <v>14</v>
      </c>
      <c r="C17148" t="s">
        <v>27</v>
      </c>
      <c r="D17148" t="s">
        <v>17</v>
      </c>
      <c r="E17148" t="s">
        <v>12</v>
      </c>
      <c r="F17148">
        <v>126225529</v>
      </c>
      <c r="G17148">
        <v>126225660</v>
      </c>
      <c r="H17148">
        <v>126225529</v>
      </c>
      <c r="I17148">
        <v>126225660</v>
      </c>
    </row>
    <row r="17149" spans="1:9" x14ac:dyDescent="0.2">
      <c r="A17149" s="1" t="str">
        <f>"ST3GAL5"</f>
        <v>ST3GAL5</v>
      </c>
      <c r="B17149" t="s">
        <v>14</v>
      </c>
      <c r="C17149" t="s">
        <v>26</v>
      </c>
      <c r="D17149" t="s">
        <v>11</v>
      </c>
      <c r="E17149" t="s">
        <v>12</v>
      </c>
      <c r="F17149">
        <v>86116093</v>
      </c>
      <c r="G17149">
        <v>86116172</v>
      </c>
      <c r="H17149">
        <v>86116020</v>
      </c>
      <c r="I17149">
        <v>86116039</v>
      </c>
    </row>
    <row r="17150" spans="1:9" x14ac:dyDescent="0.2">
      <c r="A17150" s="1" t="str">
        <f>"ST3GAL6"</f>
        <v>ST3GAL6</v>
      </c>
      <c r="B17150" t="s">
        <v>1604</v>
      </c>
      <c r="C17150" t="s">
        <v>22</v>
      </c>
      <c r="D17150" t="s">
        <v>17</v>
      </c>
      <c r="E17150" t="s">
        <v>35</v>
      </c>
      <c r="F17150">
        <v>98451370</v>
      </c>
      <c r="G17150">
        <v>98451384</v>
      </c>
      <c r="H17150">
        <v>98451666</v>
      </c>
      <c r="I17150">
        <v>98451676</v>
      </c>
    </row>
    <row r="17151" spans="1:9" x14ac:dyDescent="0.2">
      <c r="A17151" s="1" t="str">
        <f>"ST3GAL6"</f>
        <v>ST3GAL6</v>
      </c>
      <c r="B17151" t="s">
        <v>1605</v>
      </c>
      <c r="C17151" t="s">
        <v>22</v>
      </c>
      <c r="D17151" t="s">
        <v>17</v>
      </c>
      <c r="E17151" t="s">
        <v>35</v>
      </c>
      <c r="F17151">
        <v>98451093</v>
      </c>
      <c r="G17151">
        <v>98451116</v>
      </c>
      <c r="H17151">
        <v>98451275</v>
      </c>
      <c r="I17151">
        <v>98451361</v>
      </c>
    </row>
    <row r="17152" spans="1:9" x14ac:dyDescent="0.2">
      <c r="A17152" s="1" t="str">
        <f>"ST5"</f>
        <v>ST5</v>
      </c>
      <c r="B17152" t="s">
        <v>14</v>
      </c>
      <c r="C17152" t="s">
        <v>27</v>
      </c>
      <c r="D17152" t="s">
        <v>11</v>
      </c>
      <c r="E17152" t="s">
        <v>12</v>
      </c>
      <c r="F17152">
        <v>8832182</v>
      </c>
      <c r="G17152">
        <v>8832279</v>
      </c>
      <c r="H17152">
        <v>8832182</v>
      </c>
      <c r="I17152">
        <v>8832279</v>
      </c>
    </row>
    <row r="17153" spans="1:9" x14ac:dyDescent="0.2">
      <c r="A17153" s="1" t="str">
        <f>"ST6GAL1"</f>
        <v>ST6GAL1</v>
      </c>
      <c r="B17153" t="s">
        <v>9</v>
      </c>
      <c r="C17153" t="s">
        <v>22</v>
      </c>
      <c r="D17153" t="s">
        <v>17</v>
      </c>
      <c r="E17153" t="s">
        <v>12</v>
      </c>
      <c r="F17153">
        <v>186648307</v>
      </c>
      <c r="G17153">
        <v>186648375</v>
      </c>
      <c r="H17153">
        <v>186648307</v>
      </c>
      <c r="I17153">
        <v>186648375</v>
      </c>
    </row>
    <row r="17154" spans="1:9" x14ac:dyDescent="0.2">
      <c r="A17154" s="1" t="str">
        <f>"ST6GAL1"</f>
        <v>ST6GAL1</v>
      </c>
      <c r="B17154" t="s">
        <v>13</v>
      </c>
      <c r="C17154" t="s">
        <v>22</v>
      </c>
      <c r="D17154" t="s">
        <v>17</v>
      </c>
      <c r="E17154" t="s">
        <v>12</v>
      </c>
      <c r="F17154">
        <v>186739636</v>
      </c>
      <c r="G17154">
        <v>186739649</v>
      </c>
      <c r="H17154">
        <v>186739636</v>
      </c>
      <c r="I17154">
        <v>186739649</v>
      </c>
    </row>
    <row r="17155" spans="1:9" x14ac:dyDescent="0.2">
      <c r="A17155" s="1" t="str">
        <f>"ST6GAL2"</f>
        <v>ST6GAL2</v>
      </c>
      <c r="B17155" t="s">
        <v>14</v>
      </c>
      <c r="C17155" t="s">
        <v>26</v>
      </c>
      <c r="D17155" t="s">
        <v>11</v>
      </c>
      <c r="E17155" t="s">
        <v>12</v>
      </c>
      <c r="F17155">
        <v>107503290</v>
      </c>
      <c r="G17155">
        <v>107503348</v>
      </c>
      <c r="H17155">
        <v>107503492</v>
      </c>
      <c r="I17155">
        <v>107503526</v>
      </c>
    </row>
    <row r="17156" spans="1:9" x14ac:dyDescent="0.2">
      <c r="A17156" s="1" t="str">
        <f>"ST6GALNAC1"</f>
        <v>ST6GALNAC1</v>
      </c>
      <c r="B17156" t="s">
        <v>14</v>
      </c>
      <c r="C17156" t="s">
        <v>28</v>
      </c>
      <c r="D17156" t="s">
        <v>11</v>
      </c>
      <c r="E17156" t="s">
        <v>12</v>
      </c>
      <c r="F17156">
        <v>74639730</v>
      </c>
      <c r="G17156">
        <v>74639811</v>
      </c>
      <c r="H17156">
        <v>74639830</v>
      </c>
      <c r="I17156">
        <v>74639844</v>
      </c>
    </row>
    <row r="17157" spans="1:9" x14ac:dyDescent="0.2">
      <c r="A17157" s="1" t="str">
        <f>"ST6GALNAC2"</f>
        <v>ST6GALNAC2</v>
      </c>
      <c r="B17157" t="s">
        <v>14</v>
      </c>
      <c r="C17157" t="s">
        <v>28</v>
      </c>
      <c r="D17157" t="s">
        <v>11</v>
      </c>
      <c r="E17157" t="s">
        <v>12</v>
      </c>
      <c r="F17157">
        <v>74581892</v>
      </c>
      <c r="G17157">
        <v>74581957</v>
      </c>
      <c r="H17157">
        <v>74582076</v>
      </c>
      <c r="I17157">
        <v>74582126</v>
      </c>
    </row>
    <row r="17158" spans="1:9" x14ac:dyDescent="0.2">
      <c r="A17158" s="1" t="str">
        <f>"ST6GALNAC3"</f>
        <v>ST6GALNAC3</v>
      </c>
      <c r="B17158" t="s">
        <v>14</v>
      </c>
      <c r="C17158" t="s">
        <v>19</v>
      </c>
      <c r="D17158" t="s">
        <v>17</v>
      </c>
      <c r="E17158" t="s">
        <v>12</v>
      </c>
      <c r="F17158">
        <v>76540386</v>
      </c>
      <c r="G17158">
        <v>76540445</v>
      </c>
      <c r="H17158">
        <v>76540475</v>
      </c>
      <c r="I17158">
        <v>76540526</v>
      </c>
    </row>
    <row r="17159" spans="1:9" x14ac:dyDescent="0.2">
      <c r="A17159" s="1" t="str">
        <f>"ST6GALNAC4"</f>
        <v>ST6GALNAC4</v>
      </c>
      <c r="B17159" t="s">
        <v>14</v>
      </c>
      <c r="C17159" t="s">
        <v>24</v>
      </c>
      <c r="D17159" t="s">
        <v>11</v>
      </c>
      <c r="E17159" t="s">
        <v>12</v>
      </c>
      <c r="F17159">
        <v>130679257</v>
      </c>
      <c r="G17159">
        <v>130679336</v>
      </c>
      <c r="H17159">
        <v>130678745</v>
      </c>
      <c r="I17159">
        <v>130678778</v>
      </c>
    </row>
    <row r="17160" spans="1:9" x14ac:dyDescent="0.2">
      <c r="A17160" s="1" t="str">
        <f>"ST6GALNAC5"</f>
        <v>ST6GALNAC5</v>
      </c>
      <c r="B17160" t="s">
        <v>14</v>
      </c>
      <c r="C17160" t="s">
        <v>19</v>
      </c>
      <c r="D17160" t="s">
        <v>17</v>
      </c>
      <c r="E17160" t="s">
        <v>12</v>
      </c>
      <c r="F17160">
        <v>77333155</v>
      </c>
      <c r="G17160">
        <v>77333184</v>
      </c>
      <c r="H17160">
        <v>77333117</v>
      </c>
      <c r="I17160">
        <v>77333139</v>
      </c>
    </row>
    <row r="17161" spans="1:9" x14ac:dyDescent="0.2">
      <c r="A17161" s="1" t="str">
        <f>"ST6GALNAC6"</f>
        <v>ST6GALNAC6</v>
      </c>
      <c r="B17161" t="s">
        <v>14</v>
      </c>
      <c r="C17161" t="s">
        <v>24</v>
      </c>
      <c r="D17161" t="s">
        <v>11</v>
      </c>
      <c r="E17161" t="s">
        <v>12</v>
      </c>
      <c r="F17161">
        <v>130661823</v>
      </c>
      <c r="G17161">
        <v>130661915</v>
      </c>
      <c r="H17161">
        <v>130661916</v>
      </c>
      <c r="I17161">
        <v>130661950</v>
      </c>
    </row>
    <row r="17162" spans="1:9" x14ac:dyDescent="0.2">
      <c r="A17162" s="1" t="str">
        <f>"ST7"</f>
        <v>ST7</v>
      </c>
      <c r="B17162" t="s">
        <v>14</v>
      </c>
      <c r="C17162" t="s">
        <v>33</v>
      </c>
      <c r="D17162" t="s">
        <v>17</v>
      </c>
      <c r="E17162" t="s">
        <v>12</v>
      </c>
      <c r="F17162">
        <v>116593536</v>
      </c>
      <c r="G17162">
        <v>116593566</v>
      </c>
      <c r="H17162">
        <v>116593361</v>
      </c>
      <c r="I17162">
        <v>116593409</v>
      </c>
    </row>
    <row r="17163" spans="1:9" x14ac:dyDescent="0.2">
      <c r="A17163" s="1" t="str">
        <f>"ST7L"</f>
        <v>ST7L</v>
      </c>
      <c r="B17163" t="s">
        <v>14</v>
      </c>
      <c r="C17163" t="s">
        <v>19</v>
      </c>
      <c r="D17163" t="s">
        <v>11</v>
      </c>
      <c r="E17163" t="s">
        <v>12</v>
      </c>
      <c r="F17163">
        <v>113161730</v>
      </c>
      <c r="G17163">
        <v>113161772</v>
      </c>
      <c r="H17163">
        <v>113162212</v>
      </c>
      <c r="I17163">
        <v>113162268</v>
      </c>
    </row>
    <row r="17164" spans="1:9" x14ac:dyDescent="0.2">
      <c r="A17164" s="1" t="str">
        <f>"ST8SIA1"</f>
        <v>ST8SIA1</v>
      </c>
      <c r="B17164" t="s">
        <v>14</v>
      </c>
      <c r="C17164" t="s">
        <v>16</v>
      </c>
      <c r="D17164" t="s">
        <v>11</v>
      </c>
      <c r="E17164" t="s">
        <v>12</v>
      </c>
      <c r="F17164">
        <v>22487618</v>
      </c>
      <c r="G17164">
        <v>22487648</v>
      </c>
      <c r="H17164">
        <v>22487618</v>
      </c>
      <c r="I17164">
        <v>22487648</v>
      </c>
    </row>
    <row r="17165" spans="1:9" x14ac:dyDescent="0.2">
      <c r="A17165" s="1" t="str">
        <f>"ST8SIA2"</f>
        <v>ST8SIA2</v>
      </c>
      <c r="B17165" t="s">
        <v>14</v>
      </c>
      <c r="C17165" t="s">
        <v>25</v>
      </c>
      <c r="D17165" t="s">
        <v>17</v>
      </c>
      <c r="E17165" t="s">
        <v>12</v>
      </c>
      <c r="F17165">
        <v>92937073</v>
      </c>
      <c r="G17165">
        <v>92937133</v>
      </c>
      <c r="H17165">
        <v>92937144</v>
      </c>
      <c r="I17165">
        <v>92937159</v>
      </c>
    </row>
    <row r="17166" spans="1:9" x14ac:dyDescent="0.2">
      <c r="A17166" s="1" t="str">
        <f>"ST8SIA3"</f>
        <v>ST8SIA3</v>
      </c>
      <c r="B17166" t="s">
        <v>14</v>
      </c>
      <c r="C17166" t="s">
        <v>43</v>
      </c>
      <c r="D17166" t="s">
        <v>17</v>
      </c>
      <c r="E17166" t="s">
        <v>12</v>
      </c>
      <c r="F17166">
        <v>55019772</v>
      </c>
      <c r="G17166">
        <v>55019837</v>
      </c>
      <c r="H17166">
        <v>55019972</v>
      </c>
      <c r="I17166">
        <v>55020018</v>
      </c>
    </row>
    <row r="17167" spans="1:9" x14ac:dyDescent="0.2">
      <c r="A17167" s="1" t="str">
        <f>"ST8SIA4"</f>
        <v>ST8SIA4</v>
      </c>
      <c r="B17167" t="s">
        <v>14</v>
      </c>
      <c r="C17167" t="s">
        <v>46</v>
      </c>
      <c r="D17167" t="s">
        <v>11</v>
      </c>
      <c r="E17167" t="s">
        <v>12</v>
      </c>
      <c r="F17167">
        <v>100238956</v>
      </c>
      <c r="G17167">
        <v>100238994</v>
      </c>
      <c r="H17167">
        <v>100238920</v>
      </c>
      <c r="I17167">
        <v>100238949</v>
      </c>
    </row>
    <row r="17168" spans="1:9" x14ac:dyDescent="0.2">
      <c r="A17168" s="1" t="str">
        <f>"ST8SIA5"</f>
        <v>ST8SIA5</v>
      </c>
      <c r="B17168" t="s">
        <v>14</v>
      </c>
      <c r="C17168" t="s">
        <v>43</v>
      </c>
      <c r="D17168" t="s">
        <v>11</v>
      </c>
      <c r="E17168" t="s">
        <v>12</v>
      </c>
      <c r="F17168">
        <v>44336754</v>
      </c>
      <c r="G17168">
        <v>44336780</v>
      </c>
      <c r="H17168">
        <v>44336998</v>
      </c>
      <c r="I17168">
        <v>44337042</v>
      </c>
    </row>
    <row r="17169" spans="1:9" x14ac:dyDescent="0.2">
      <c r="A17169" s="1" t="str">
        <f>"ST8SIA6"</f>
        <v>ST8SIA6</v>
      </c>
      <c r="B17169" t="s">
        <v>14</v>
      </c>
      <c r="C17169" t="s">
        <v>15</v>
      </c>
      <c r="D17169" t="s">
        <v>11</v>
      </c>
      <c r="E17169" t="s">
        <v>12</v>
      </c>
      <c r="F17169">
        <v>17496582</v>
      </c>
      <c r="G17169">
        <v>17496601</v>
      </c>
      <c r="H17169">
        <v>17496582</v>
      </c>
      <c r="I17169">
        <v>17496601</v>
      </c>
    </row>
    <row r="17170" spans="1:9" x14ac:dyDescent="0.2">
      <c r="A17170" s="1" t="str">
        <f>"STAB1"</f>
        <v>STAB1</v>
      </c>
      <c r="B17170" t="s">
        <v>14</v>
      </c>
      <c r="C17170" t="s">
        <v>22</v>
      </c>
      <c r="D17170" t="s">
        <v>17</v>
      </c>
      <c r="E17170" t="s">
        <v>12</v>
      </c>
      <c r="F17170">
        <v>52529346</v>
      </c>
      <c r="G17170">
        <v>52529362</v>
      </c>
      <c r="H17170">
        <v>52529379</v>
      </c>
      <c r="I17170">
        <v>52529390</v>
      </c>
    </row>
    <row r="17171" spans="1:9" x14ac:dyDescent="0.2">
      <c r="A17171" s="1" t="str">
        <f>"STAB2"</f>
        <v>STAB2</v>
      </c>
      <c r="B17171" t="s">
        <v>14</v>
      </c>
      <c r="C17171" t="s">
        <v>16</v>
      </c>
      <c r="D17171" t="s">
        <v>17</v>
      </c>
      <c r="E17171" t="s">
        <v>12</v>
      </c>
      <c r="F17171">
        <v>103981044</v>
      </c>
      <c r="G17171">
        <v>103981061</v>
      </c>
      <c r="H17171">
        <v>103981044</v>
      </c>
      <c r="I17171">
        <v>103981061</v>
      </c>
    </row>
    <row r="17172" spans="1:9" x14ac:dyDescent="0.2">
      <c r="A17172" s="1" t="str">
        <f>"STAC"</f>
        <v>STAC</v>
      </c>
      <c r="B17172" t="s">
        <v>14</v>
      </c>
      <c r="C17172" t="s">
        <v>22</v>
      </c>
      <c r="D17172" t="s">
        <v>17</v>
      </c>
      <c r="E17172" t="s">
        <v>12</v>
      </c>
      <c r="F17172">
        <v>36421971</v>
      </c>
      <c r="G17172">
        <v>36422036</v>
      </c>
      <c r="H17172">
        <v>36421826</v>
      </c>
      <c r="I17172">
        <v>36421844</v>
      </c>
    </row>
    <row r="17173" spans="1:9" x14ac:dyDescent="0.2">
      <c r="A17173" s="1" t="str">
        <f>"STAC2"</f>
        <v>STAC2</v>
      </c>
      <c r="B17173" t="s">
        <v>14</v>
      </c>
      <c r="C17173" t="s">
        <v>28</v>
      </c>
      <c r="D17173" t="s">
        <v>11</v>
      </c>
      <c r="E17173" t="s">
        <v>12</v>
      </c>
      <c r="F17173">
        <v>37382189</v>
      </c>
      <c r="G17173">
        <v>37382225</v>
      </c>
      <c r="H17173">
        <v>37382029</v>
      </c>
      <c r="I17173">
        <v>37382048</v>
      </c>
    </row>
    <row r="17174" spans="1:9" x14ac:dyDescent="0.2">
      <c r="A17174" s="1" t="str">
        <f>"STAC3"</f>
        <v>STAC3</v>
      </c>
      <c r="B17174" t="s">
        <v>14</v>
      </c>
      <c r="C17174" t="s">
        <v>16</v>
      </c>
      <c r="D17174" t="s">
        <v>11</v>
      </c>
      <c r="E17174" t="s">
        <v>12</v>
      </c>
      <c r="F17174">
        <v>57644952</v>
      </c>
      <c r="G17174">
        <v>57644978</v>
      </c>
      <c r="H17174">
        <v>57644922</v>
      </c>
      <c r="I17174">
        <v>57644936</v>
      </c>
    </row>
    <row r="17175" spans="1:9" x14ac:dyDescent="0.2">
      <c r="A17175" s="1" t="str">
        <f>"STAG1"</f>
        <v>STAG1</v>
      </c>
      <c r="B17175" t="s">
        <v>14</v>
      </c>
      <c r="C17175" t="s">
        <v>22</v>
      </c>
      <c r="D17175" t="s">
        <v>11</v>
      </c>
      <c r="E17175" t="s">
        <v>12</v>
      </c>
      <c r="F17175">
        <v>136471204</v>
      </c>
      <c r="G17175">
        <v>136471249</v>
      </c>
      <c r="H17175">
        <v>136471269</v>
      </c>
      <c r="I17175">
        <v>136471278</v>
      </c>
    </row>
    <row r="17176" spans="1:9" x14ac:dyDescent="0.2">
      <c r="A17176" s="1" t="str">
        <f>"STAG2"</f>
        <v>STAG2</v>
      </c>
      <c r="B17176" t="s">
        <v>9</v>
      </c>
      <c r="C17176" t="s">
        <v>37</v>
      </c>
      <c r="D17176" t="s">
        <v>17</v>
      </c>
      <c r="E17176" t="s">
        <v>12</v>
      </c>
      <c r="F17176">
        <v>123095546</v>
      </c>
      <c r="G17176">
        <v>123095644</v>
      </c>
      <c r="H17176">
        <v>123095546</v>
      </c>
      <c r="I17176">
        <v>123095644</v>
      </c>
    </row>
    <row r="17177" spans="1:9" x14ac:dyDescent="0.2">
      <c r="A17177" s="1" t="str">
        <f>"STAG2"</f>
        <v>STAG2</v>
      </c>
      <c r="B17177" t="s">
        <v>13</v>
      </c>
      <c r="C17177" t="s">
        <v>37</v>
      </c>
      <c r="D17177" t="s">
        <v>17</v>
      </c>
      <c r="E17177" t="s">
        <v>12</v>
      </c>
      <c r="F17177">
        <v>123094514</v>
      </c>
      <c r="G17177">
        <v>123094540</v>
      </c>
      <c r="H17177">
        <v>123094514</v>
      </c>
      <c r="I17177">
        <v>123094540</v>
      </c>
    </row>
    <row r="17178" spans="1:9" x14ac:dyDescent="0.2">
      <c r="A17178" s="1" t="str">
        <f>"STAG3"</f>
        <v>STAG3</v>
      </c>
      <c r="B17178" t="s">
        <v>14</v>
      </c>
      <c r="C17178" t="s">
        <v>33</v>
      </c>
      <c r="D17178" t="s">
        <v>17</v>
      </c>
      <c r="E17178" t="s">
        <v>12</v>
      </c>
      <c r="F17178">
        <v>99775520</v>
      </c>
      <c r="G17178">
        <v>99775578</v>
      </c>
      <c r="H17178">
        <v>99775520</v>
      </c>
      <c r="I17178">
        <v>99775578</v>
      </c>
    </row>
    <row r="17179" spans="1:9" x14ac:dyDescent="0.2">
      <c r="A17179" s="1" t="str">
        <f>"STAM"</f>
        <v>STAM</v>
      </c>
      <c r="B17179" t="s">
        <v>14</v>
      </c>
      <c r="C17179" t="s">
        <v>15</v>
      </c>
      <c r="D17179" t="s">
        <v>17</v>
      </c>
      <c r="E17179" t="s">
        <v>12</v>
      </c>
      <c r="F17179">
        <v>17686136</v>
      </c>
      <c r="G17179">
        <v>17686192</v>
      </c>
      <c r="H17179">
        <v>17686221</v>
      </c>
      <c r="I17179">
        <v>17686280</v>
      </c>
    </row>
    <row r="17180" spans="1:9" x14ac:dyDescent="0.2">
      <c r="A17180" s="1" t="str">
        <f>"STAM2"</f>
        <v>STAM2</v>
      </c>
      <c r="B17180" t="s">
        <v>14</v>
      </c>
      <c r="C17180" t="s">
        <v>26</v>
      </c>
      <c r="D17180" t="s">
        <v>11</v>
      </c>
      <c r="E17180" t="s">
        <v>12</v>
      </c>
      <c r="F17180">
        <v>153032229</v>
      </c>
      <c r="G17180">
        <v>153032295</v>
      </c>
      <c r="H17180">
        <v>153032202</v>
      </c>
      <c r="I17180">
        <v>153032226</v>
      </c>
    </row>
    <row r="17181" spans="1:9" x14ac:dyDescent="0.2">
      <c r="A17181" s="1" t="str">
        <f>"STAMBP"</f>
        <v>STAMBP</v>
      </c>
      <c r="B17181" t="s">
        <v>14</v>
      </c>
      <c r="C17181" t="s">
        <v>26</v>
      </c>
      <c r="D17181" t="s">
        <v>17</v>
      </c>
      <c r="E17181" t="s">
        <v>12</v>
      </c>
      <c r="F17181">
        <v>74056066</v>
      </c>
      <c r="G17181">
        <v>74056135</v>
      </c>
      <c r="H17181">
        <v>74056150</v>
      </c>
      <c r="I17181">
        <v>74056159</v>
      </c>
    </row>
    <row r="17182" spans="1:9" x14ac:dyDescent="0.2">
      <c r="A17182" s="1" t="str">
        <f>"STAMBPL1"</f>
        <v>STAMBPL1</v>
      </c>
      <c r="B17182" t="s">
        <v>14</v>
      </c>
      <c r="C17182" t="s">
        <v>15</v>
      </c>
      <c r="D17182" t="s">
        <v>17</v>
      </c>
      <c r="E17182" t="s">
        <v>12</v>
      </c>
      <c r="F17182">
        <v>90639994</v>
      </c>
      <c r="G17182">
        <v>90640030</v>
      </c>
      <c r="H17182">
        <v>90640185</v>
      </c>
      <c r="I17182">
        <v>90640282</v>
      </c>
    </row>
    <row r="17183" spans="1:9" x14ac:dyDescent="0.2">
      <c r="A17183" s="1" t="str">
        <f>"STAP1"</f>
        <v>STAP1</v>
      </c>
      <c r="B17183" t="s">
        <v>14</v>
      </c>
      <c r="C17183" t="s">
        <v>23</v>
      </c>
      <c r="D17183" t="s">
        <v>17</v>
      </c>
      <c r="E17183" t="s">
        <v>12</v>
      </c>
      <c r="F17183">
        <v>68424434</v>
      </c>
      <c r="G17183">
        <v>68424453</v>
      </c>
      <c r="H17183">
        <v>68424473</v>
      </c>
      <c r="I17183">
        <v>68424497</v>
      </c>
    </row>
    <row r="17184" spans="1:9" x14ac:dyDescent="0.2">
      <c r="A17184" s="1" t="str">
        <f>"STAP2"</f>
        <v>STAP2</v>
      </c>
      <c r="B17184" t="s">
        <v>14</v>
      </c>
      <c r="C17184" t="s">
        <v>10</v>
      </c>
      <c r="D17184" t="s">
        <v>11</v>
      </c>
      <c r="E17184" t="s">
        <v>12</v>
      </c>
      <c r="F17184">
        <v>4338783</v>
      </c>
      <c r="G17184">
        <v>4338834</v>
      </c>
      <c r="H17184">
        <v>4338838</v>
      </c>
      <c r="I17184">
        <v>4338868</v>
      </c>
    </row>
    <row r="17185" spans="1:9" x14ac:dyDescent="0.2">
      <c r="A17185" s="1" t="str">
        <f>"STAR"</f>
        <v>STAR</v>
      </c>
      <c r="B17185" t="s">
        <v>14</v>
      </c>
      <c r="C17185" t="s">
        <v>30</v>
      </c>
      <c r="D17185" t="s">
        <v>11</v>
      </c>
      <c r="E17185" t="s">
        <v>12</v>
      </c>
      <c r="F17185">
        <v>38008461</v>
      </c>
      <c r="G17185">
        <v>38008477</v>
      </c>
      <c r="H17185">
        <v>38008551</v>
      </c>
      <c r="I17185">
        <v>38008585</v>
      </c>
    </row>
    <row r="17186" spans="1:9" x14ac:dyDescent="0.2">
      <c r="A17186" s="1" t="str">
        <f>"STARD10"</f>
        <v>STARD10</v>
      </c>
      <c r="B17186" t="s">
        <v>14</v>
      </c>
      <c r="C17186" t="s">
        <v>27</v>
      </c>
      <c r="D17186" t="s">
        <v>11</v>
      </c>
      <c r="E17186" t="s">
        <v>12</v>
      </c>
      <c r="F17186">
        <v>72492903</v>
      </c>
      <c r="G17186">
        <v>72492966</v>
      </c>
      <c r="H17186">
        <v>72492758</v>
      </c>
      <c r="I17186">
        <v>72492820</v>
      </c>
    </row>
    <row r="17187" spans="1:9" x14ac:dyDescent="0.2">
      <c r="A17187" s="1" t="str">
        <f>"STARD13"</f>
        <v>STARD13</v>
      </c>
      <c r="B17187" t="s">
        <v>14</v>
      </c>
      <c r="C17187" t="s">
        <v>39</v>
      </c>
      <c r="D17187" t="s">
        <v>11</v>
      </c>
      <c r="E17187" t="s">
        <v>12</v>
      </c>
      <c r="F17187">
        <v>33859819</v>
      </c>
      <c r="G17187">
        <v>33859910</v>
      </c>
      <c r="H17187">
        <v>33859819</v>
      </c>
      <c r="I17187">
        <v>33859910</v>
      </c>
    </row>
    <row r="17188" spans="1:9" x14ac:dyDescent="0.2">
      <c r="A17188" s="1" t="str">
        <f>"STARD3"</f>
        <v>STARD3</v>
      </c>
      <c r="B17188" t="s">
        <v>14</v>
      </c>
      <c r="C17188" t="s">
        <v>28</v>
      </c>
      <c r="D17188" t="s">
        <v>17</v>
      </c>
      <c r="E17188" t="s">
        <v>12</v>
      </c>
      <c r="F17188">
        <v>37793378</v>
      </c>
      <c r="G17188">
        <v>37793432</v>
      </c>
      <c r="H17188">
        <v>37793357</v>
      </c>
      <c r="I17188">
        <v>37793374</v>
      </c>
    </row>
    <row r="17189" spans="1:9" x14ac:dyDescent="0.2">
      <c r="A17189" s="1" t="str">
        <f>"STARD3NL"</f>
        <v>STARD3NL</v>
      </c>
      <c r="B17189" t="s">
        <v>14</v>
      </c>
      <c r="C17189" t="s">
        <v>33</v>
      </c>
      <c r="D17189" t="s">
        <v>17</v>
      </c>
      <c r="E17189" t="s">
        <v>12</v>
      </c>
      <c r="F17189">
        <v>38217920</v>
      </c>
      <c r="G17189">
        <v>38218003</v>
      </c>
      <c r="H17189">
        <v>38217818</v>
      </c>
      <c r="I17189">
        <v>38217882</v>
      </c>
    </row>
    <row r="17190" spans="1:9" x14ac:dyDescent="0.2">
      <c r="A17190" s="1" t="str">
        <f>"STARD4"</f>
        <v>STARD4</v>
      </c>
      <c r="B17190" t="s">
        <v>14</v>
      </c>
      <c r="C17190" t="s">
        <v>46</v>
      </c>
      <c r="D17190" t="s">
        <v>11</v>
      </c>
      <c r="E17190" t="s">
        <v>12</v>
      </c>
      <c r="F17190">
        <v>110848189</v>
      </c>
      <c r="G17190">
        <v>110848240</v>
      </c>
      <c r="H17190">
        <v>110848151</v>
      </c>
      <c r="I17190">
        <v>110848170</v>
      </c>
    </row>
    <row r="17191" spans="1:9" x14ac:dyDescent="0.2">
      <c r="A17191" s="1" t="str">
        <f>"STARD5"</f>
        <v>STARD5</v>
      </c>
      <c r="B17191" t="s">
        <v>14</v>
      </c>
      <c r="C17191" t="s">
        <v>25</v>
      </c>
      <c r="D17191" t="s">
        <v>11</v>
      </c>
      <c r="E17191" t="s">
        <v>12</v>
      </c>
      <c r="F17191">
        <v>81616471</v>
      </c>
      <c r="G17191">
        <v>81616489</v>
      </c>
      <c r="H17191">
        <v>81616494</v>
      </c>
      <c r="I17191">
        <v>81616530</v>
      </c>
    </row>
    <row r="17192" spans="1:9" x14ac:dyDescent="0.2">
      <c r="A17192" s="1" t="str">
        <f>"STARD6"</f>
        <v>STARD6</v>
      </c>
      <c r="B17192" t="s">
        <v>1606</v>
      </c>
      <c r="C17192" t="s">
        <v>43</v>
      </c>
      <c r="D17192" t="s">
        <v>11</v>
      </c>
      <c r="E17192" t="s">
        <v>20</v>
      </c>
      <c r="F17192">
        <v>51880942</v>
      </c>
      <c r="G17192">
        <v>51880942</v>
      </c>
      <c r="H17192">
        <v>51880942</v>
      </c>
      <c r="I17192">
        <v>51880942</v>
      </c>
    </row>
    <row r="17193" spans="1:9" x14ac:dyDescent="0.2">
      <c r="A17193" s="1" t="str">
        <f>"STARD6"</f>
        <v>STARD6</v>
      </c>
      <c r="B17193" t="s">
        <v>1607</v>
      </c>
      <c r="C17193" t="s">
        <v>43</v>
      </c>
      <c r="D17193" t="s">
        <v>11</v>
      </c>
      <c r="E17193" t="s">
        <v>75</v>
      </c>
      <c r="F17193">
        <v>51884285</v>
      </c>
      <c r="G17193">
        <v>51884299</v>
      </c>
      <c r="H17193">
        <v>51884155</v>
      </c>
      <c r="I17193">
        <v>51884162</v>
      </c>
    </row>
    <row r="17194" spans="1:9" x14ac:dyDescent="0.2">
      <c r="A17194" s="1" t="str">
        <f>"STARD7"</f>
        <v>STARD7</v>
      </c>
      <c r="B17194" t="s">
        <v>14</v>
      </c>
      <c r="C17194" t="s">
        <v>26</v>
      </c>
      <c r="D17194" t="s">
        <v>11</v>
      </c>
      <c r="E17194" t="s">
        <v>12</v>
      </c>
      <c r="F17194">
        <v>96874553</v>
      </c>
      <c r="G17194">
        <v>96874572</v>
      </c>
      <c r="H17194">
        <v>96873986</v>
      </c>
      <c r="I17194">
        <v>96874086</v>
      </c>
    </row>
    <row r="17195" spans="1:9" x14ac:dyDescent="0.2">
      <c r="A17195" s="1" t="str">
        <f>"STARD8"</f>
        <v>STARD8</v>
      </c>
      <c r="B17195" t="s">
        <v>1608</v>
      </c>
      <c r="C17195" t="s">
        <v>37</v>
      </c>
      <c r="D17195" t="s">
        <v>17</v>
      </c>
      <c r="E17195" t="s">
        <v>35</v>
      </c>
      <c r="F17195">
        <v>67867488</v>
      </c>
      <c r="G17195">
        <v>67867510</v>
      </c>
      <c r="H17195">
        <v>67867572</v>
      </c>
      <c r="I17195">
        <v>67867580</v>
      </c>
    </row>
    <row r="17196" spans="1:9" x14ac:dyDescent="0.2">
      <c r="A17196" s="1" t="str">
        <f>"STARD9"</f>
        <v>STARD9</v>
      </c>
      <c r="B17196" t="s">
        <v>14</v>
      </c>
      <c r="C17196" t="s">
        <v>25</v>
      </c>
      <c r="D17196" t="s">
        <v>17</v>
      </c>
      <c r="E17196" t="s">
        <v>12</v>
      </c>
      <c r="F17196">
        <v>42867863</v>
      </c>
      <c r="G17196">
        <v>42867884</v>
      </c>
      <c r="H17196">
        <v>42867892</v>
      </c>
      <c r="I17196">
        <v>42867910</v>
      </c>
    </row>
    <row r="17197" spans="1:9" x14ac:dyDescent="0.2">
      <c r="A17197" s="1" t="str">
        <f>"STAT1"</f>
        <v>STAT1</v>
      </c>
      <c r="B17197" t="s">
        <v>14</v>
      </c>
      <c r="C17197" t="s">
        <v>26</v>
      </c>
      <c r="D17197" t="s">
        <v>11</v>
      </c>
      <c r="E17197" t="s">
        <v>12</v>
      </c>
      <c r="F17197">
        <v>191878874</v>
      </c>
      <c r="G17197">
        <v>191878938</v>
      </c>
      <c r="H17197">
        <v>191878812</v>
      </c>
      <c r="I17197">
        <v>191878823</v>
      </c>
    </row>
    <row r="17198" spans="1:9" x14ac:dyDescent="0.2">
      <c r="A17198" s="1" t="str">
        <f>"STAT2"</f>
        <v>STAT2</v>
      </c>
      <c r="B17198" t="s">
        <v>14</v>
      </c>
      <c r="C17198" t="s">
        <v>16</v>
      </c>
      <c r="D17198" t="s">
        <v>11</v>
      </c>
      <c r="E17198" t="s">
        <v>12</v>
      </c>
      <c r="F17198">
        <v>56753869</v>
      </c>
      <c r="G17198">
        <v>56753930</v>
      </c>
      <c r="H17198">
        <v>56753939</v>
      </c>
      <c r="I17198">
        <v>56753951</v>
      </c>
    </row>
    <row r="17199" spans="1:9" x14ac:dyDescent="0.2">
      <c r="A17199" s="1" t="str">
        <f>"STAT3"</f>
        <v>STAT3</v>
      </c>
      <c r="B17199" t="s">
        <v>14</v>
      </c>
      <c r="C17199" t="s">
        <v>28</v>
      </c>
      <c r="D17199" t="s">
        <v>11</v>
      </c>
      <c r="E17199" t="s">
        <v>12</v>
      </c>
      <c r="F17199">
        <v>40540377</v>
      </c>
      <c r="G17199">
        <v>40540481</v>
      </c>
      <c r="H17199">
        <v>40540484</v>
      </c>
      <c r="I17199">
        <v>40540537</v>
      </c>
    </row>
    <row r="17200" spans="1:9" x14ac:dyDescent="0.2">
      <c r="A17200" s="1" t="str">
        <f>"STAT4"</f>
        <v>STAT4</v>
      </c>
      <c r="B17200" t="s">
        <v>14</v>
      </c>
      <c r="C17200" t="s">
        <v>26</v>
      </c>
      <c r="D17200" t="s">
        <v>11</v>
      </c>
      <c r="E17200" t="s">
        <v>12</v>
      </c>
      <c r="F17200">
        <v>192015701</v>
      </c>
      <c r="G17200">
        <v>192015743</v>
      </c>
      <c r="H17200">
        <v>192015750</v>
      </c>
      <c r="I17200">
        <v>192015793</v>
      </c>
    </row>
    <row r="17201" spans="1:9" x14ac:dyDescent="0.2">
      <c r="A17201" s="1" t="str">
        <f>"STAT5A"</f>
        <v>STAT5A</v>
      </c>
      <c r="B17201" t="s">
        <v>14</v>
      </c>
      <c r="C17201" t="s">
        <v>28</v>
      </c>
      <c r="D17201" t="s">
        <v>17</v>
      </c>
      <c r="E17201" t="s">
        <v>12</v>
      </c>
      <c r="F17201">
        <v>40440481</v>
      </c>
      <c r="G17201">
        <v>40440550</v>
      </c>
      <c r="H17201">
        <v>40441354</v>
      </c>
      <c r="I17201">
        <v>40441410</v>
      </c>
    </row>
    <row r="17202" spans="1:9" x14ac:dyDescent="0.2">
      <c r="A17202" s="1" t="str">
        <f>"STAT5B"</f>
        <v>STAT5B</v>
      </c>
      <c r="B17202" t="s">
        <v>14</v>
      </c>
      <c r="C17202" t="s">
        <v>28</v>
      </c>
      <c r="D17202" t="s">
        <v>11</v>
      </c>
      <c r="E17202" t="s">
        <v>12</v>
      </c>
      <c r="F17202">
        <v>40428359</v>
      </c>
      <c r="G17202">
        <v>40428462</v>
      </c>
      <c r="H17202">
        <v>40428334</v>
      </c>
      <c r="I17202">
        <v>40428345</v>
      </c>
    </row>
    <row r="17203" spans="1:9" x14ac:dyDescent="0.2">
      <c r="A17203" s="1" t="str">
        <f>"STAT6"</f>
        <v>STAT6</v>
      </c>
      <c r="B17203" t="s">
        <v>14</v>
      </c>
      <c r="C17203" t="s">
        <v>16</v>
      </c>
      <c r="D17203" t="s">
        <v>11</v>
      </c>
      <c r="E17203" t="s">
        <v>12</v>
      </c>
      <c r="F17203">
        <v>57505121</v>
      </c>
      <c r="G17203">
        <v>57505179</v>
      </c>
      <c r="H17203">
        <v>57504975</v>
      </c>
      <c r="I17203">
        <v>57505019</v>
      </c>
    </row>
    <row r="17204" spans="1:9" x14ac:dyDescent="0.2">
      <c r="A17204" s="1" t="str">
        <f>"STATH"</f>
        <v>STATH</v>
      </c>
      <c r="B17204" t="s">
        <v>14</v>
      </c>
      <c r="C17204" t="s">
        <v>23</v>
      </c>
      <c r="D17204" t="s">
        <v>17</v>
      </c>
      <c r="E17204" t="s">
        <v>12</v>
      </c>
      <c r="F17204">
        <v>70861675</v>
      </c>
      <c r="G17204">
        <v>70861691</v>
      </c>
      <c r="H17204">
        <v>70861675</v>
      </c>
      <c r="I17204">
        <v>70861691</v>
      </c>
    </row>
    <row r="17205" spans="1:9" x14ac:dyDescent="0.2">
      <c r="A17205" s="1" t="str">
        <f>"STAU1"</f>
        <v>STAU1</v>
      </c>
      <c r="B17205" t="s">
        <v>14</v>
      </c>
      <c r="C17205" t="s">
        <v>29</v>
      </c>
      <c r="D17205" t="s">
        <v>11</v>
      </c>
      <c r="E17205" t="s">
        <v>12</v>
      </c>
      <c r="F17205">
        <v>47804860</v>
      </c>
      <c r="G17205">
        <v>47804892</v>
      </c>
      <c r="H17205">
        <v>47804894</v>
      </c>
      <c r="I17205">
        <v>47804912</v>
      </c>
    </row>
    <row r="17206" spans="1:9" x14ac:dyDescent="0.2">
      <c r="A17206" s="1" t="str">
        <f>"STAU2"</f>
        <v>STAU2</v>
      </c>
      <c r="B17206" t="s">
        <v>14</v>
      </c>
      <c r="C17206" t="s">
        <v>30</v>
      </c>
      <c r="D17206" t="s">
        <v>11</v>
      </c>
      <c r="E17206" t="s">
        <v>12</v>
      </c>
      <c r="F17206">
        <v>74659068</v>
      </c>
      <c r="G17206">
        <v>74659082</v>
      </c>
      <c r="H17206">
        <v>74659693</v>
      </c>
      <c r="I17206">
        <v>74659742</v>
      </c>
    </row>
    <row r="17207" spans="1:9" x14ac:dyDescent="0.2">
      <c r="A17207" s="1" t="str">
        <f>"STBD1"</f>
        <v>STBD1</v>
      </c>
      <c r="B17207" t="s">
        <v>14</v>
      </c>
      <c r="C17207" t="s">
        <v>23</v>
      </c>
      <c r="D17207" t="s">
        <v>17</v>
      </c>
      <c r="E17207" t="s">
        <v>12</v>
      </c>
      <c r="F17207">
        <v>77227870</v>
      </c>
      <c r="G17207">
        <v>77227903</v>
      </c>
      <c r="H17207">
        <v>77227870</v>
      </c>
      <c r="I17207">
        <v>77227903</v>
      </c>
    </row>
    <row r="17208" spans="1:9" x14ac:dyDescent="0.2">
      <c r="A17208" s="1" t="str">
        <f>"STC1"</f>
        <v>STC1</v>
      </c>
      <c r="B17208" t="s">
        <v>14</v>
      </c>
      <c r="C17208" t="s">
        <v>30</v>
      </c>
      <c r="D17208" t="s">
        <v>11</v>
      </c>
      <c r="E17208" t="s">
        <v>12</v>
      </c>
      <c r="F17208">
        <v>23712312</v>
      </c>
      <c r="G17208">
        <v>23712328</v>
      </c>
      <c r="H17208">
        <v>23712312</v>
      </c>
      <c r="I17208">
        <v>23712328</v>
      </c>
    </row>
    <row r="17209" spans="1:9" x14ac:dyDescent="0.2">
      <c r="A17209" s="1" t="str">
        <f>"STC2"</f>
        <v>STC2</v>
      </c>
      <c r="B17209" t="s">
        <v>14</v>
      </c>
      <c r="C17209" t="s">
        <v>46</v>
      </c>
      <c r="D17209" t="s">
        <v>11</v>
      </c>
      <c r="E17209" t="s">
        <v>12</v>
      </c>
      <c r="F17209">
        <v>172755410</v>
      </c>
      <c r="G17209">
        <v>172755426</v>
      </c>
      <c r="H17209">
        <v>172755444</v>
      </c>
      <c r="I17209">
        <v>172755455</v>
      </c>
    </row>
    <row r="17210" spans="1:9" x14ac:dyDescent="0.2">
      <c r="A17210" s="1" t="str">
        <f>"STEAP1"</f>
        <v>STEAP1</v>
      </c>
      <c r="B17210" t="s">
        <v>14</v>
      </c>
      <c r="C17210" t="s">
        <v>33</v>
      </c>
      <c r="D17210" t="s">
        <v>17</v>
      </c>
      <c r="E17210" t="s">
        <v>12</v>
      </c>
      <c r="F17210">
        <v>89783766</v>
      </c>
      <c r="G17210">
        <v>89783821</v>
      </c>
      <c r="H17210">
        <v>89783740</v>
      </c>
      <c r="I17210">
        <v>89783755</v>
      </c>
    </row>
    <row r="17211" spans="1:9" x14ac:dyDescent="0.2">
      <c r="A17211" s="1" t="str">
        <f>"STEAP1B"</f>
        <v>STEAP1B</v>
      </c>
      <c r="B17211" t="s">
        <v>14</v>
      </c>
      <c r="C17211" t="s">
        <v>33</v>
      </c>
      <c r="D17211" t="s">
        <v>11</v>
      </c>
      <c r="E17211" t="s">
        <v>12</v>
      </c>
      <c r="F17211">
        <v>22539771</v>
      </c>
      <c r="G17211">
        <v>22539821</v>
      </c>
      <c r="H17211">
        <v>22539754</v>
      </c>
      <c r="I17211">
        <v>22539765</v>
      </c>
    </row>
    <row r="17212" spans="1:9" x14ac:dyDescent="0.2">
      <c r="A17212" s="1" t="str">
        <f>"STEAP2"</f>
        <v>STEAP2</v>
      </c>
      <c r="B17212" t="s">
        <v>14</v>
      </c>
      <c r="C17212" t="s">
        <v>33</v>
      </c>
      <c r="D17212" t="s">
        <v>17</v>
      </c>
      <c r="E17212" t="s">
        <v>12</v>
      </c>
      <c r="F17212">
        <v>89841144</v>
      </c>
      <c r="G17212">
        <v>89841246</v>
      </c>
      <c r="H17212">
        <v>89841024</v>
      </c>
      <c r="I17212">
        <v>89841094</v>
      </c>
    </row>
    <row r="17213" spans="1:9" x14ac:dyDescent="0.2">
      <c r="A17213" s="1" t="str">
        <f>"STEAP3"</f>
        <v>STEAP3</v>
      </c>
      <c r="B17213" t="s">
        <v>14</v>
      </c>
      <c r="C17213" t="s">
        <v>26</v>
      </c>
      <c r="D17213" t="s">
        <v>17</v>
      </c>
      <c r="E17213" t="s">
        <v>12</v>
      </c>
      <c r="F17213">
        <v>119981391</v>
      </c>
      <c r="G17213">
        <v>119981446</v>
      </c>
      <c r="H17213">
        <v>119981391</v>
      </c>
      <c r="I17213">
        <v>119981446</v>
      </c>
    </row>
    <row r="17214" spans="1:9" x14ac:dyDescent="0.2">
      <c r="A17214" s="1" t="str">
        <f>"STEAP4"</f>
        <v>STEAP4</v>
      </c>
      <c r="B17214" t="s">
        <v>14</v>
      </c>
      <c r="C17214" t="s">
        <v>33</v>
      </c>
      <c r="D17214" t="s">
        <v>11</v>
      </c>
      <c r="E17214" t="s">
        <v>12</v>
      </c>
      <c r="F17214">
        <v>87936197</v>
      </c>
      <c r="G17214">
        <v>87936223</v>
      </c>
      <c r="H17214">
        <v>87936351</v>
      </c>
      <c r="I17214">
        <v>87936376</v>
      </c>
    </row>
    <row r="17215" spans="1:9" x14ac:dyDescent="0.2">
      <c r="A17215" s="1" t="str">
        <f>"STH"</f>
        <v>STH</v>
      </c>
      <c r="B17215" t="s">
        <v>1609</v>
      </c>
      <c r="C17215" t="s">
        <v>28</v>
      </c>
      <c r="D17215" t="s">
        <v>17</v>
      </c>
      <c r="E17215" t="s">
        <v>20</v>
      </c>
      <c r="F17215">
        <v>44076615</v>
      </c>
      <c r="G17215">
        <v>44076615</v>
      </c>
      <c r="H17215">
        <v>44076615</v>
      </c>
      <c r="I17215">
        <v>44076615</v>
      </c>
    </row>
    <row r="17216" spans="1:9" x14ac:dyDescent="0.2">
      <c r="A17216" s="1" t="str">
        <f>"STIL"</f>
        <v>STIL</v>
      </c>
      <c r="B17216" t="s">
        <v>14</v>
      </c>
      <c r="C17216" t="s">
        <v>19</v>
      </c>
      <c r="D17216" t="s">
        <v>11</v>
      </c>
      <c r="E17216" t="s">
        <v>12</v>
      </c>
      <c r="F17216">
        <v>47779762</v>
      </c>
      <c r="G17216">
        <v>47779827</v>
      </c>
      <c r="H17216">
        <v>47779729</v>
      </c>
      <c r="I17216">
        <v>47779744</v>
      </c>
    </row>
    <row r="17217" spans="1:9" x14ac:dyDescent="0.2">
      <c r="A17217" s="1" t="str">
        <f>"STIM1"</f>
        <v>STIM1</v>
      </c>
      <c r="B17217" t="s">
        <v>14</v>
      </c>
      <c r="C17217" t="s">
        <v>27</v>
      </c>
      <c r="D17217" t="s">
        <v>17</v>
      </c>
      <c r="E17217" t="s">
        <v>12</v>
      </c>
      <c r="F17217">
        <v>3876859</v>
      </c>
      <c r="G17217">
        <v>3876937</v>
      </c>
      <c r="H17217">
        <v>3876379</v>
      </c>
      <c r="I17217">
        <v>3876454</v>
      </c>
    </row>
    <row r="17218" spans="1:9" x14ac:dyDescent="0.2">
      <c r="A17218" s="1" t="str">
        <f>"STIM2"</f>
        <v>STIM2</v>
      </c>
      <c r="B17218" t="s">
        <v>14</v>
      </c>
      <c r="C17218" t="s">
        <v>23</v>
      </c>
      <c r="D17218" t="s">
        <v>17</v>
      </c>
      <c r="E17218" t="s">
        <v>12</v>
      </c>
      <c r="F17218">
        <v>26862558</v>
      </c>
      <c r="G17218">
        <v>26862576</v>
      </c>
      <c r="H17218">
        <v>26862431</v>
      </c>
      <c r="I17218">
        <v>26862483</v>
      </c>
    </row>
    <row r="17219" spans="1:9" x14ac:dyDescent="0.2">
      <c r="A17219" s="1" t="str">
        <f>"STIP1"</f>
        <v>STIP1</v>
      </c>
      <c r="B17219" t="s">
        <v>14</v>
      </c>
      <c r="C17219" t="s">
        <v>27</v>
      </c>
      <c r="D17219" t="s">
        <v>17</v>
      </c>
      <c r="E17219" t="s">
        <v>12</v>
      </c>
      <c r="F17219">
        <v>63953635</v>
      </c>
      <c r="G17219">
        <v>63953685</v>
      </c>
      <c r="H17219">
        <v>63953691</v>
      </c>
      <c r="I17219">
        <v>63953713</v>
      </c>
    </row>
    <row r="17220" spans="1:9" x14ac:dyDescent="0.2">
      <c r="A17220" s="1" t="str">
        <f>"STK10"</f>
        <v>STK10</v>
      </c>
      <c r="B17220" t="s">
        <v>14</v>
      </c>
      <c r="C17220" t="s">
        <v>46</v>
      </c>
      <c r="D17220" t="s">
        <v>11</v>
      </c>
      <c r="E17220" t="s">
        <v>12</v>
      </c>
      <c r="F17220">
        <v>171615189</v>
      </c>
      <c r="G17220">
        <v>171615266</v>
      </c>
      <c r="H17220">
        <v>171615315</v>
      </c>
      <c r="I17220">
        <v>171615383</v>
      </c>
    </row>
    <row r="17221" spans="1:9" x14ac:dyDescent="0.2">
      <c r="A17221" s="1" t="str">
        <f>"STK11"</f>
        <v>STK11</v>
      </c>
      <c r="B17221" t="s">
        <v>9</v>
      </c>
      <c r="C17221" t="s">
        <v>10</v>
      </c>
      <c r="D17221" t="s">
        <v>17</v>
      </c>
      <c r="E17221" t="s">
        <v>12</v>
      </c>
      <c r="F17221">
        <v>1205762</v>
      </c>
      <c r="G17221">
        <v>1205792</v>
      </c>
      <c r="H17221">
        <v>1205762</v>
      </c>
      <c r="I17221">
        <v>1205792</v>
      </c>
    </row>
    <row r="17222" spans="1:9" x14ac:dyDescent="0.2">
      <c r="A17222" s="1" t="str">
        <f>"STK11"</f>
        <v>STK11</v>
      </c>
      <c r="B17222" t="s">
        <v>13</v>
      </c>
      <c r="C17222" t="s">
        <v>10</v>
      </c>
      <c r="D17222" t="s">
        <v>17</v>
      </c>
      <c r="E17222" t="s">
        <v>12</v>
      </c>
      <c r="F17222">
        <v>1206808</v>
      </c>
      <c r="G17222">
        <v>1206821</v>
      </c>
      <c r="H17222">
        <v>1206808</v>
      </c>
      <c r="I17222">
        <v>1206821</v>
      </c>
    </row>
    <row r="17223" spans="1:9" x14ac:dyDescent="0.2">
      <c r="A17223" s="1" t="str">
        <f>"STK11IP"</f>
        <v>STK11IP</v>
      </c>
      <c r="B17223" t="s">
        <v>14</v>
      </c>
      <c r="C17223" t="s">
        <v>26</v>
      </c>
      <c r="D17223" t="s">
        <v>17</v>
      </c>
      <c r="E17223" t="s">
        <v>12</v>
      </c>
      <c r="F17223">
        <v>220462560</v>
      </c>
      <c r="G17223">
        <v>220462604</v>
      </c>
      <c r="H17223">
        <v>220462809</v>
      </c>
      <c r="I17223">
        <v>220462873</v>
      </c>
    </row>
    <row r="17224" spans="1:9" x14ac:dyDescent="0.2">
      <c r="A17224" s="1" t="str">
        <f>"STK16"</f>
        <v>STK16</v>
      </c>
      <c r="B17224" t="s">
        <v>14</v>
      </c>
      <c r="C17224" t="s">
        <v>26</v>
      </c>
      <c r="D17224" t="s">
        <v>17</v>
      </c>
      <c r="E17224" t="s">
        <v>12</v>
      </c>
      <c r="F17224">
        <v>220110186</v>
      </c>
      <c r="G17224">
        <v>220110262</v>
      </c>
      <c r="H17224">
        <v>220110186</v>
      </c>
      <c r="I17224">
        <v>220110262</v>
      </c>
    </row>
    <row r="17225" spans="1:9" x14ac:dyDescent="0.2">
      <c r="A17225" s="1" t="str">
        <f>"STK17A"</f>
        <v>STK17A</v>
      </c>
      <c r="B17225" t="s">
        <v>14</v>
      </c>
      <c r="C17225" t="s">
        <v>33</v>
      </c>
      <c r="D17225" t="s">
        <v>17</v>
      </c>
      <c r="E17225" t="s">
        <v>12</v>
      </c>
      <c r="F17225">
        <v>43622697</v>
      </c>
      <c r="G17225">
        <v>43622719</v>
      </c>
      <c r="H17225">
        <v>43622583</v>
      </c>
      <c r="I17225">
        <v>43622619</v>
      </c>
    </row>
    <row r="17226" spans="1:9" x14ac:dyDescent="0.2">
      <c r="A17226" s="1" t="str">
        <f>"STK17B"</f>
        <v>STK17B</v>
      </c>
      <c r="B17226" t="s">
        <v>14</v>
      </c>
      <c r="C17226" t="s">
        <v>26</v>
      </c>
      <c r="D17226" t="s">
        <v>11</v>
      </c>
      <c r="E17226" t="s">
        <v>12</v>
      </c>
      <c r="F17226">
        <v>197036289</v>
      </c>
      <c r="G17226">
        <v>197036314</v>
      </c>
      <c r="H17226">
        <v>197036269</v>
      </c>
      <c r="I17226">
        <v>197036287</v>
      </c>
    </row>
    <row r="17227" spans="1:9" x14ac:dyDescent="0.2">
      <c r="A17227" s="1" t="str">
        <f>"STK19"</f>
        <v>STK19</v>
      </c>
      <c r="B17227" t="s">
        <v>14</v>
      </c>
      <c r="C17227" t="s">
        <v>32</v>
      </c>
      <c r="D17227" t="s">
        <v>17</v>
      </c>
      <c r="E17227" t="s">
        <v>12</v>
      </c>
      <c r="F17227">
        <v>31940091</v>
      </c>
      <c r="G17227">
        <v>31940177</v>
      </c>
      <c r="H17227">
        <v>31940314</v>
      </c>
      <c r="I17227">
        <v>31940393</v>
      </c>
    </row>
    <row r="17228" spans="1:9" x14ac:dyDescent="0.2">
      <c r="A17228" s="1" t="str">
        <f>"STK24"</f>
        <v>STK24</v>
      </c>
      <c r="B17228" t="s">
        <v>14</v>
      </c>
      <c r="C17228" t="s">
        <v>39</v>
      </c>
      <c r="D17228" t="s">
        <v>11</v>
      </c>
      <c r="E17228" t="s">
        <v>12</v>
      </c>
      <c r="F17228">
        <v>99229352</v>
      </c>
      <c r="G17228">
        <v>99229369</v>
      </c>
      <c r="H17228">
        <v>99229394</v>
      </c>
      <c r="I17228">
        <v>99229411</v>
      </c>
    </row>
    <row r="17229" spans="1:9" x14ac:dyDescent="0.2">
      <c r="A17229" s="1" t="str">
        <f>"STK25"</f>
        <v>STK25</v>
      </c>
      <c r="B17229" t="s">
        <v>14</v>
      </c>
      <c r="C17229" t="s">
        <v>26</v>
      </c>
      <c r="D17229" t="s">
        <v>11</v>
      </c>
      <c r="E17229" t="s">
        <v>12</v>
      </c>
      <c r="F17229">
        <v>242447983</v>
      </c>
      <c r="G17229">
        <v>242448034</v>
      </c>
      <c r="H17229">
        <v>242447732</v>
      </c>
      <c r="I17229">
        <v>242447779</v>
      </c>
    </row>
    <row r="17230" spans="1:9" x14ac:dyDescent="0.2">
      <c r="A17230" s="1" t="str">
        <f>"STK3"</f>
        <v>STK3</v>
      </c>
      <c r="B17230" t="s">
        <v>14</v>
      </c>
      <c r="C17230" t="s">
        <v>30</v>
      </c>
      <c r="D17230" t="s">
        <v>11</v>
      </c>
      <c r="E17230" t="s">
        <v>12</v>
      </c>
      <c r="F17230">
        <v>99837856</v>
      </c>
      <c r="G17230">
        <v>99837955</v>
      </c>
      <c r="H17230">
        <v>99837820</v>
      </c>
      <c r="I17230">
        <v>99837831</v>
      </c>
    </row>
    <row r="17231" spans="1:9" x14ac:dyDescent="0.2">
      <c r="A17231" s="1" t="str">
        <f>"STK31"</f>
        <v>STK31</v>
      </c>
      <c r="B17231" t="s">
        <v>14</v>
      </c>
      <c r="C17231" t="s">
        <v>33</v>
      </c>
      <c r="D17231" t="s">
        <v>17</v>
      </c>
      <c r="E17231" t="s">
        <v>12</v>
      </c>
      <c r="F17231">
        <v>23749854</v>
      </c>
      <c r="G17231">
        <v>23749881</v>
      </c>
      <c r="H17231">
        <v>23749832</v>
      </c>
      <c r="I17231">
        <v>23749845</v>
      </c>
    </row>
    <row r="17232" spans="1:9" x14ac:dyDescent="0.2">
      <c r="A17232" s="1" t="str">
        <f>"STK32A"</f>
        <v>STK32A</v>
      </c>
      <c r="B17232" t="s">
        <v>14</v>
      </c>
      <c r="C17232" t="s">
        <v>46</v>
      </c>
      <c r="D17232" t="s">
        <v>17</v>
      </c>
      <c r="E17232" t="s">
        <v>12</v>
      </c>
      <c r="F17232">
        <v>146614583</v>
      </c>
      <c r="G17232">
        <v>146614671</v>
      </c>
      <c r="H17232">
        <v>146614583</v>
      </c>
      <c r="I17232">
        <v>146614671</v>
      </c>
    </row>
    <row r="17233" spans="1:9" x14ac:dyDescent="0.2">
      <c r="A17233" s="1" t="str">
        <f>"STK32B"</f>
        <v>STK32B</v>
      </c>
      <c r="B17233" t="s">
        <v>14</v>
      </c>
      <c r="C17233" t="s">
        <v>23</v>
      </c>
      <c r="D17233" t="s">
        <v>17</v>
      </c>
      <c r="E17233" t="s">
        <v>12</v>
      </c>
      <c r="F17233">
        <v>5053198</v>
      </c>
      <c r="G17233">
        <v>5053271</v>
      </c>
      <c r="H17233">
        <v>5053134</v>
      </c>
      <c r="I17233">
        <v>5053153</v>
      </c>
    </row>
    <row r="17234" spans="1:9" x14ac:dyDescent="0.2">
      <c r="A17234" s="1" t="str">
        <f>"STK32C"</f>
        <v>STK32C</v>
      </c>
      <c r="B17234" t="s">
        <v>9</v>
      </c>
      <c r="C17234" t="s">
        <v>15</v>
      </c>
      <c r="D17234" t="s">
        <v>11</v>
      </c>
      <c r="E17234" t="s">
        <v>12</v>
      </c>
      <c r="F17234">
        <v>134121438</v>
      </c>
      <c r="G17234">
        <v>134121485</v>
      </c>
      <c r="H17234">
        <v>134121438</v>
      </c>
      <c r="I17234">
        <v>134121485</v>
      </c>
    </row>
    <row r="17235" spans="1:9" x14ac:dyDescent="0.2">
      <c r="A17235" s="1" t="str">
        <f>"STK32C"</f>
        <v>STK32C</v>
      </c>
      <c r="B17235" t="s">
        <v>13</v>
      </c>
      <c r="C17235" t="s">
        <v>15</v>
      </c>
      <c r="D17235" t="s">
        <v>11</v>
      </c>
      <c r="E17235" t="s">
        <v>12</v>
      </c>
      <c r="F17235">
        <v>134145321</v>
      </c>
      <c r="G17235">
        <v>134145369</v>
      </c>
      <c r="H17235">
        <v>134145321</v>
      </c>
      <c r="I17235">
        <v>134145369</v>
      </c>
    </row>
    <row r="17236" spans="1:9" x14ac:dyDescent="0.2">
      <c r="A17236" s="1" t="str">
        <f>"STK33"</f>
        <v>STK33</v>
      </c>
      <c r="B17236" t="s">
        <v>14</v>
      </c>
      <c r="C17236" t="s">
        <v>27</v>
      </c>
      <c r="D17236" t="s">
        <v>11</v>
      </c>
      <c r="E17236" t="s">
        <v>12</v>
      </c>
      <c r="F17236">
        <v>8615720</v>
      </c>
      <c r="G17236">
        <v>8615813</v>
      </c>
      <c r="H17236">
        <v>8615687</v>
      </c>
      <c r="I17236">
        <v>8615711</v>
      </c>
    </row>
    <row r="17237" spans="1:9" x14ac:dyDescent="0.2">
      <c r="A17237" s="1" t="str">
        <f>"STK35"</f>
        <v>STK35</v>
      </c>
      <c r="B17237" t="s">
        <v>14</v>
      </c>
      <c r="C17237" t="s">
        <v>29</v>
      </c>
      <c r="D17237" t="s">
        <v>17</v>
      </c>
      <c r="E17237" t="s">
        <v>12</v>
      </c>
      <c r="F17237">
        <v>2083540</v>
      </c>
      <c r="G17237">
        <v>2083607</v>
      </c>
      <c r="H17237">
        <v>2083278</v>
      </c>
      <c r="I17237">
        <v>2083315</v>
      </c>
    </row>
    <row r="17238" spans="1:9" x14ac:dyDescent="0.2">
      <c r="A17238" s="1" t="str">
        <f>"STK36"</f>
        <v>STK36</v>
      </c>
      <c r="B17238" t="s">
        <v>14</v>
      </c>
      <c r="C17238" t="s">
        <v>26</v>
      </c>
      <c r="D17238" t="s">
        <v>17</v>
      </c>
      <c r="E17238" t="s">
        <v>12</v>
      </c>
      <c r="F17238">
        <v>219537015</v>
      </c>
      <c r="G17238">
        <v>219537064</v>
      </c>
      <c r="H17238">
        <v>219536749</v>
      </c>
      <c r="I17238">
        <v>219536815</v>
      </c>
    </row>
    <row r="17239" spans="1:9" x14ac:dyDescent="0.2">
      <c r="A17239" s="1" t="str">
        <f>"STK38"</f>
        <v>STK38</v>
      </c>
      <c r="B17239" t="s">
        <v>14</v>
      </c>
      <c r="C17239" t="s">
        <v>32</v>
      </c>
      <c r="D17239" t="s">
        <v>11</v>
      </c>
      <c r="E17239" t="s">
        <v>12</v>
      </c>
      <c r="F17239">
        <v>36515177</v>
      </c>
      <c r="G17239">
        <v>36515270</v>
      </c>
      <c r="H17239">
        <v>36515092</v>
      </c>
      <c r="I17239">
        <v>36515172</v>
      </c>
    </row>
    <row r="17240" spans="1:9" x14ac:dyDescent="0.2">
      <c r="A17240" s="1" t="str">
        <f>"STK38L"</f>
        <v>STK38L</v>
      </c>
      <c r="B17240" t="s">
        <v>14</v>
      </c>
      <c r="C17240" t="s">
        <v>16</v>
      </c>
      <c r="D17240" t="s">
        <v>17</v>
      </c>
      <c r="E17240" t="s">
        <v>12</v>
      </c>
      <c r="F17240">
        <v>27397170</v>
      </c>
      <c r="G17240">
        <v>27397240</v>
      </c>
      <c r="H17240">
        <v>27397050</v>
      </c>
      <c r="I17240">
        <v>27397061</v>
      </c>
    </row>
    <row r="17241" spans="1:9" x14ac:dyDescent="0.2">
      <c r="A17241" s="1" t="str">
        <f>"STK39"</f>
        <v>STK39</v>
      </c>
      <c r="B17241" t="s">
        <v>14</v>
      </c>
      <c r="C17241" t="s">
        <v>26</v>
      </c>
      <c r="D17241" t="s">
        <v>11</v>
      </c>
      <c r="E17241" t="s">
        <v>12</v>
      </c>
      <c r="F17241">
        <v>169104079</v>
      </c>
      <c r="G17241">
        <v>169104121</v>
      </c>
      <c r="H17241">
        <v>169103990</v>
      </c>
      <c r="I17241">
        <v>169104048</v>
      </c>
    </row>
    <row r="17242" spans="1:9" x14ac:dyDescent="0.2">
      <c r="A17242" s="1" t="str">
        <f>"STK4"</f>
        <v>STK4</v>
      </c>
      <c r="B17242" t="s">
        <v>9</v>
      </c>
      <c r="C17242" t="s">
        <v>29</v>
      </c>
      <c r="D17242" t="s">
        <v>17</v>
      </c>
      <c r="E17242" t="s">
        <v>12</v>
      </c>
      <c r="F17242">
        <v>43595119</v>
      </c>
      <c r="G17242">
        <v>43595220</v>
      </c>
      <c r="H17242">
        <v>43595119</v>
      </c>
      <c r="I17242">
        <v>43595220</v>
      </c>
    </row>
    <row r="17243" spans="1:9" x14ac:dyDescent="0.2">
      <c r="A17243" s="1" t="str">
        <f>"STK4"</f>
        <v>STK4</v>
      </c>
      <c r="B17243" t="s">
        <v>13</v>
      </c>
      <c r="C17243" t="s">
        <v>29</v>
      </c>
      <c r="D17243" t="s">
        <v>17</v>
      </c>
      <c r="E17243" t="s">
        <v>12</v>
      </c>
      <c r="F17243">
        <v>43599007</v>
      </c>
      <c r="G17243">
        <v>43599020</v>
      </c>
      <c r="H17243">
        <v>43599007</v>
      </c>
      <c r="I17243">
        <v>43599020</v>
      </c>
    </row>
    <row r="17244" spans="1:9" x14ac:dyDescent="0.2">
      <c r="A17244" s="1" t="str">
        <f>"STK40"</f>
        <v>STK40</v>
      </c>
      <c r="B17244" t="s">
        <v>14</v>
      </c>
      <c r="C17244" t="s">
        <v>19</v>
      </c>
      <c r="D17244" t="s">
        <v>11</v>
      </c>
      <c r="E17244" t="s">
        <v>12</v>
      </c>
      <c r="F17244">
        <v>36851490</v>
      </c>
      <c r="G17244">
        <v>36851533</v>
      </c>
      <c r="H17244">
        <v>36851458</v>
      </c>
      <c r="I17244">
        <v>36851472</v>
      </c>
    </row>
    <row r="17245" spans="1:9" x14ac:dyDescent="0.2">
      <c r="A17245" s="1" t="str">
        <f>"STMN1"</f>
        <v>STMN1</v>
      </c>
      <c r="B17245" t="s">
        <v>14</v>
      </c>
      <c r="C17245" t="s">
        <v>19</v>
      </c>
      <c r="D17245" t="s">
        <v>11</v>
      </c>
      <c r="E17245" t="s">
        <v>12</v>
      </c>
      <c r="F17245">
        <v>26232902</v>
      </c>
      <c r="G17245">
        <v>26232918</v>
      </c>
      <c r="H17245">
        <v>26232951</v>
      </c>
      <c r="I17245">
        <v>26232959</v>
      </c>
    </row>
    <row r="17246" spans="1:9" x14ac:dyDescent="0.2">
      <c r="A17246" s="1" t="str">
        <f>"STMN2"</f>
        <v>STMN2</v>
      </c>
      <c r="B17246" t="s">
        <v>14</v>
      </c>
      <c r="C17246" t="s">
        <v>30</v>
      </c>
      <c r="D17246" t="s">
        <v>17</v>
      </c>
      <c r="E17246" t="s">
        <v>12</v>
      </c>
      <c r="F17246">
        <v>80523321</v>
      </c>
      <c r="G17246">
        <v>80523382</v>
      </c>
      <c r="H17246">
        <v>80523302</v>
      </c>
      <c r="I17246">
        <v>80523319</v>
      </c>
    </row>
    <row r="17247" spans="1:9" x14ac:dyDescent="0.2">
      <c r="A17247" s="1" t="str">
        <f>"STMN3"</f>
        <v>STMN3</v>
      </c>
      <c r="B17247" t="s">
        <v>14</v>
      </c>
      <c r="C17247" t="s">
        <v>29</v>
      </c>
      <c r="D17247" t="s">
        <v>11</v>
      </c>
      <c r="E17247" t="s">
        <v>12</v>
      </c>
      <c r="F17247">
        <v>62284766</v>
      </c>
      <c r="G17247">
        <v>62284785</v>
      </c>
      <c r="H17247">
        <v>62284790</v>
      </c>
      <c r="I17247">
        <v>62284807</v>
      </c>
    </row>
    <row r="17248" spans="1:9" x14ac:dyDescent="0.2">
      <c r="A17248" s="1" t="str">
        <f>"STMN4"</f>
        <v>STMN4</v>
      </c>
      <c r="B17248" t="s">
        <v>14</v>
      </c>
      <c r="C17248" t="s">
        <v>30</v>
      </c>
      <c r="D17248" t="s">
        <v>11</v>
      </c>
      <c r="E17248" t="s">
        <v>12</v>
      </c>
      <c r="F17248">
        <v>27115909</v>
      </c>
      <c r="G17248">
        <v>27115927</v>
      </c>
      <c r="H17248">
        <v>27115931</v>
      </c>
      <c r="I17248">
        <v>27115942</v>
      </c>
    </row>
    <row r="17249" spans="1:9" x14ac:dyDescent="0.2">
      <c r="A17249" s="1" t="str">
        <f>"STMND1"</f>
        <v>STMND1</v>
      </c>
      <c r="B17249" t="s">
        <v>14</v>
      </c>
      <c r="C17249" t="s">
        <v>32</v>
      </c>
      <c r="D17249" t="s">
        <v>17</v>
      </c>
      <c r="E17249" t="s">
        <v>12</v>
      </c>
      <c r="F17249">
        <v>17102337</v>
      </c>
      <c r="G17249">
        <v>17102356</v>
      </c>
      <c r="H17249">
        <v>17102337</v>
      </c>
      <c r="I17249">
        <v>17102356</v>
      </c>
    </row>
    <row r="17250" spans="1:9" x14ac:dyDescent="0.2">
      <c r="A17250" s="1" t="str">
        <f>"STOM"</f>
        <v>STOM</v>
      </c>
      <c r="B17250" t="s">
        <v>14</v>
      </c>
      <c r="C17250" t="s">
        <v>24</v>
      </c>
      <c r="D17250" t="s">
        <v>11</v>
      </c>
      <c r="E17250" t="s">
        <v>12</v>
      </c>
      <c r="F17250">
        <v>124132513</v>
      </c>
      <c r="G17250">
        <v>124132536</v>
      </c>
      <c r="H17250">
        <v>124132553</v>
      </c>
      <c r="I17250">
        <v>124132564</v>
      </c>
    </row>
    <row r="17251" spans="1:9" x14ac:dyDescent="0.2">
      <c r="A17251" s="1" t="str">
        <f>"STOML1"</f>
        <v>STOML1</v>
      </c>
      <c r="B17251" t="s">
        <v>14</v>
      </c>
      <c r="C17251" t="s">
        <v>25</v>
      </c>
      <c r="D17251" t="s">
        <v>11</v>
      </c>
      <c r="E17251" t="s">
        <v>12</v>
      </c>
      <c r="F17251">
        <v>74284558</v>
      </c>
      <c r="G17251">
        <v>74284598</v>
      </c>
      <c r="H17251">
        <v>74284613</v>
      </c>
      <c r="I17251">
        <v>74284653</v>
      </c>
    </row>
    <row r="17252" spans="1:9" x14ac:dyDescent="0.2">
      <c r="A17252" s="1" t="str">
        <f>"STOML2"</f>
        <v>STOML2</v>
      </c>
      <c r="B17252" t="s">
        <v>14</v>
      </c>
      <c r="C17252" t="s">
        <v>24</v>
      </c>
      <c r="D17252" t="s">
        <v>11</v>
      </c>
      <c r="E17252" t="s">
        <v>12</v>
      </c>
      <c r="F17252">
        <v>35103105</v>
      </c>
      <c r="G17252">
        <v>35103154</v>
      </c>
      <c r="H17252">
        <v>35103159</v>
      </c>
      <c r="I17252">
        <v>35103173</v>
      </c>
    </row>
    <row r="17253" spans="1:9" x14ac:dyDescent="0.2">
      <c r="A17253" s="1" t="str">
        <f>"STOML3"</f>
        <v>STOML3</v>
      </c>
      <c r="B17253" t="s">
        <v>14</v>
      </c>
      <c r="C17253" t="s">
        <v>39</v>
      </c>
      <c r="D17253" t="s">
        <v>11</v>
      </c>
      <c r="E17253" t="s">
        <v>12</v>
      </c>
      <c r="F17253">
        <v>39564962</v>
      </c>
      <c r="G17253">
        <v>39564973</v>
      </c>
      <c r="H17253">
        <v>39564993</v>
      </c>
      <c r="I17253">
        <v>39565002</v>
      </c>
    </row>
    <row r="17254" spans="1:9" x14ac:dyDescent="0.2">
      <c r="A17254" s="1" t="str">
        <f>"STON1"</f>
        <v>STON1</v>
      </c>
      <c r="B17254" t="s">
        <v>14</v>
      </c>
      <c r="C17254" t="s">
        <v>26</v>
      </c>
      <c r="D17254" t="s">
        <v>17</v>
      </c>
      <c r="E17254" t="s">
        <v>12</v>
      </c>
      <c r="F17254">
        <v>48757278</v>
      </c>
      <c r="G17254">
        <v>48757337</v>
      </c>
      <c r="H17254">
        <v>48757351</v>
      </c>
      <c r="I17254">
        <v>48757364</v>
      </c>
    </row>
    <row r="17255" spans="1:9" x14ac:dyDescent="0.2">
      <c r="A17255" s="1" t="str">
        <f>"STON1-GTF2A1L"</f>
        <v>STON1-GTF2A1L</v>
      </c>
      <c r="B17255" t="s">
        <v>14</v>
      </c>
      <c r="C17255" t="s">
        <v>26</v>
      </c>
      <c r="D17255" t="s">
        <v>17</v>
      </c>
      <c r="E17255" t="s">
        <v>12</v>
      </c>
      <c r="F17255">
        <v>48796120</v>
      </c>
      <c r="G17255">
        <v>48796136</v>
      </c>
      <c r="H17255">
        <v>48796087</v>
      </c>
      <c r="I17255">
        <v>48796104</v>
      </c>
    </row>
    <row r="17256" spans="1:9" x14ac:dyDescent="0.2">
      <c r="A17256" s="1" t="str">
        <f>"STON2"</f>
        <v>STON2</v>
      </c>
      <c r="B17256" t="s">
        <v>1610</v>
      </c>
      <c r="C17256" t="s">
        <v>41</v>
      </c>
      <c r="D17256" t="s">
        <v>11</v>
      </c>
      <c r="E17256" t="s">
        <v>20</v>
      </c>
      <c r="F17256">
        <v>81864926</v>
      </c>
      <c r="G17256">
        <v>81864926</v>
      </c>
      <c r="H17256">
        <v>81864926</v>
      </c>
      <c r="I17256">
        <v>81864926</v>
      </c>
    </row>
    <row r="17257" spans="1:9" x14ac:dyDescent="0.2">
      <c r="A17257" s="1" t="str">
        <f>"STOX1"</f>
        <v>STOX1</v>
      </c>
      <c r="B17257" t="s">
        <v>14</v>
      </c>
      <c r="C17257" t="s">
        <v>15</v>
      </c>
      <c r="D17257" t="s">
        <v>17</v>
      </c>
      <c r="E17257" t="s">
        <v>12</v>
      </c>
      <c r="F17257">
        <v>70587279</v>
      </c>
      <c r="G17257">
        <v>70587304</v>
      </c>
      <c r="H17257">
        <v>70587247</v>
      </c>
      <c r="I17257">
        <v>70587272</v>
      </c>
    </row>
    <row r="17258" spans="1:9" x14ac:dyDescent="0.2">
      <c r="A17258" s="1" t="str">
        <f>"STOX2"</f>
        <v>STOX2</v>
      </c>
      <c r="B17258" t="s">
        <v>9</v>
      </c>
      <c r="C17258" t="s">
        <v>23</v>
      </c>
      <c r="D17258" t="s">
        <v>17</v>
      </c>
      <c r="E17258" t="s">
        <v>12</v>
      </c>
      <c r="F17258">
        <v>184826418</v>
      </c>
      <c r="G17258">
        <v>184826522</v>
      </c>
      <c r="H17258">
        <v>184826418</v>
      </c>
      <c r="I17258">
        <v>184826522</v>
      </c>
    </row>
    <row r="17259" spans="1:9" x14ac:dyDescent="0.2">
      <c r="A17259" s="1" t="str">
        <f>"STOX2"</f>
        <v>STOX2</v>
      </c>
      <c r="B17259" t="s">
        <v>13</v>
      </c>
      <c r="C17259" t="s">
        <v>23</v>
      </c>
      <c r="D17259" t="s">
        <v>17</v>
      </c>
      <c r="E17259" t="s">
        <v>12</v>
      </c>
      <c r="F17259">
        <v>184827827</v>
      </c>
      <c r="G17259">
        <v>184827876</v>
      </c>
      <c r="H17259">
        <v>184827827</v>
      </c>
      <c r="I17259">
        <v>184827876</v>
      </c>
    </row>
    <row r="17260" spans="1:9" x14ac:dyDescent="0.2">
      <c r="A17260" s="1" t="str">
        <f>"STPG1"</f>
        <v>STPG1</v>
      </c>
      <c r="B17260" t="s">
        <v>14</v>
      </c>
      <c r="C17260" t="s">
        <v>19</v>
      </c>
      <c r="D17260" t="s">
        <v>11</v>
      </c>
      <c r="E17260" t="s">
        <v>12</v>
      </c>
      <c r="F17260">
        <v>24740207</v>
      </c>
      <c r="G17260">
        <v>24740283</v>
      </c>
      <c r="H17260">
        <v>24740182</v>
      </c>
      <c r="I17260">
        <v>24740203</v>
      </c>
    </row>
    <row r="17261" spans="1:9" x14ac:dyDescent="0.2">
      <c r="A17261" s="1" t="str">
        <f>"STPG2"</f>
        <v>STPG2</v>
      </c>
      <c r="B17261" t="s">
        <v>14</v>
      </c>
      <c r="C17261" t="s">
        <v>23</v>
      </c>
      <c r="D17261" t="s">
        <v>11</v>
      </c>
      <c r="E17261" t="s">
        <v>12</v>
      </c>
      <c r="F17261">
        <v>99064579</v>
      </c>
      <c r="G17261">
        <v>99064636</v>
      </c>
      <c r="H17261">
        <v>99064387</v>
      </c>
      <c r="I17261">
        <v>99064427</v>
      </c>
    </row>
    <row r="17262" spans="1:9" x14ac:dyDescent="0.2">
      <c r="A17262" s="1" t="str">
        <f>"STRA13"</f>
        <v>STRA13</v>
      </c>
      <c r="B17262" t="s">
        <v>14</v>
      </c>
      <c r="C17262" t="s">
        <v>28</v>
      </c>
      <c r="D17262" t="s">
        <v>11</v>
      </c>
      <c r="E17262" t="s">
        <v>12</v>
      </c>
      <c r="F17262">
        <v>79980742</v>
      </c>
      <c r="G17262">
        <v>79980773</v>
      </c>
      <c r="H17262">
        <v>79980742</v>
      </c>
      <c r="I17262">
        <v>79980773</v>
      </c>
    </row>
    <row r="17263" spans="1:9" x14ac:dyDescent="0.2">
      <c r="A17263" s="1" t="str">
        <f>"STRA6"</f>
        <v>STRA6</v>
      </c>
      <c r="B17263" t="s">
        <v>14</v>
      </c>
      <c r="C17263" t="s">
        <v>25</v>
      </c>
      <c r="D17263" t="s">
        <v>11</v>
      </c>
      <c r="E17263" t="s">
        <v>12</v>
      </c>
      <c r="F17263">
        <v>74495084</v>
      </c>
      <c r="G17263">
        <v>74495137</v>
      </c>
      <c r="H17263">
        <v>74494779</v>
      </c>
      <c r="I17263">
        <v>74494799</v>
      </c>
    </row>
    <row r="17264" spans="1:9" x14ac:dyDescent="0.2">
      <c r="A17264" s="1" t="str">
        <f>"STRA8"</f>
        <v>STRA8</v>
      </c>
      <c r="B17264" t="s">
        <v>1611</v>
      </c>
      <c r="C17264" t="s">
        <v>33</v>
      </c>
      <c r="D17264" t="s">
        <v>17</v>
      </c>
      <c r="E17264" t="s">
        <v>20</v>
      </c>
      <c r="F17264">
        <v>134916730</v>
      </c>
      <c r="G17264">
        <v>134916730</v>
      </c>
      <c r="H17264">
        <v>134916730</v>
      </c>
      <c r="I17264">
        <v>134916730</v>
      </c>
    </row>
    <row r="17265" spans="1:9" x14ac:dyDescent="0.2">
      <c r="A17265" s="1" t="str">
        <f>"STRADA"</f>
        <v>STRADA</v>
      </c>
      <c r="B17265" t="s">
        <v>14</v>
      </c>
      <c r="C17265" t="s">
        <v>28</v>
      </c>
      <c r="D17265" t="s">
        <v>11</v>
      </c>
      <c r="E17265" t="s">
        <v>12</v>
      </c>
      <c r="F17265">
        <v>61819121</v>
      </c>
      <c r="G17265">
        <v>61819219</v>
      </c>
      <c r="H17265">
        <v>61819229</v>
      </c>
      <c r="I17265">
        <v>61819243</v>
      </c>
    </row>
    <row r="17266" spans="1:9" x14ac:dyDescent="0.2">
      <c r="A17266" s="1" t="str">
        <f>"STRADB"</f>
        <v>STRADB</v>
      </c>
      <c r="B17266" t="s">
        <v>14</v>
      </c>
      <c r="C17266" t="s">
        <v>26</v>
      </c>
      <c r="D17266" t="s">
        <v>17</v>
      </c>
      <c r="E17266" t="s">
        <v>12</v>
      </c>
      <c r="F17266">
        <v>202316434</v>
      </c>
      <c r="G17266">
        <v>202316491</v>
      </c>
      <c r="H17266">
        <v>202316513</v>
      </c>
      <c r="I17266">
        <v>202316544</v>
      </c>
    </row>
    <row r="17267" spans="1:9" x14ac:dyDescent="0.2">
      <c r="A17267" s="1" t="str">
        <f>"STRAP"</f>
        <v>STRAP</v>
      </c>
      <c r="B17267" t="s">
        <v>14</v>
      </c>
      <c r="C17267" t="s">
        <v>16</v>
      </c>
      <c r="D17267" t="s">
        <v>17</v>
      </c>
      <c r="E17267" t="s">
        <v>12</v>
      </c>
      <c r="F17267">
        <v>16035307</v>
      </c>
      <c r="G17267">
        <v>16035352</v>
      </c>
      <c r="H17267">
        <v>16035307</v>
      </c>
      <c r="I17267">
        <v>16035352</v>
      </c>
    </row>
    <row r="17268" spans="1:9" x14ac:dyDescent="0.2">
      <c r="A17268" s="1" t="str">
        <f>"STRBP"</f>
        <v>STRBP</v>
      </c>
      <c r="B17268" t="s">
        <v>14</v>
      </c>
      <c r="C17268" t="s">
        <v>24</v>
      </c>
      <c r="D17268" t="s">
        <v>11</v>
      </c>
      <c r="E17268" t="s">
        <v>12</v>
      </c>
      <c r="F17268">
        <v>126030817</v>
      </c>
      <c r="G17268">
        <v>126030906</v>
      </c>
      <c r="H17268">
        <v>126030793</v>
      </c>
      <c r="I17268">
        <v>126030806</v>
      </c>
    </row>
    <row r="17269" spans="1:9" x14ac:dyDescent="0.2">
      <c r="A17269" s="1" t="str">
        <f>"STRC"</f>
        <v>STRC</v>
      </c>
      <c r="B17269" t="s">
        <v>1612</v>
      </c>
      <c r="C17269" t="s">
        <v>25</v>
      </c>
      <c r="D17269" t="s">
        <v>11</v>
      </c>
      <c r="E17269" t="s">
        <v>20</v>
      </c>
      <c r="F17269">
        <v>43910997</v>
      </c>
      <c r="G17269">
        <v>43910997</v>
      </c>
      <c r="H17269">
        <v>43910997</v>
      </c>
      <c r="I17269">
        <v>43910997</v>
      </c>
    </row>
    <row r="17270" spans="1:9" x14ac:dyDescent="0.2">
      <c r="A17270" s="1" t="str">
        <f>"STRIP1"</f>
        <v>STRIP1</v>
      </c>
      <c r="B17270" t="s">
        <v>14</v>
      </c>
      <c r="C17270" t="s">
        <v>19</v>
      </c>
      <c r="D17270" t="s">
        <v>17</v>
      </c>
      <c r="E17270" t="s">
        <v>12</v>
      </c>
      <c r="F17270">
        <v>110577229</v>
      </c>
      <c r="G17270">
        <v>110577258</v>
      </c>
      <c r="H17270">
        <v>110577229</v>
      </c>
      <c r="I17270">
        <v>110577258</v>
      </c>
    </row>
    <row r="17271" spans="1:9" x14ac:dyDescent="0.2">
      <c r="A17271" s="1" t="str">
        <f>"STRIP2"</f>
        <v>STRIP2</v>
      </c>
      <c r="B17271" t="s">
        <v>14</v>
      </c>
      <c r="C17271" t="s">
        <v>33</v>
      </c>
      <c r="D17271" t="s">
        <v>17</v>
      </c>
      <c r="E17271" t="s">
        <v>12</v>
      </c>
      <c r="F17271">
        <v>129074266</v>
      </c>
      <c r="G17271">
        <v>129074306</v>
      </c>
      <c r="H17271">
        <v>129074244</v>
      </c>
      <c r="I17271">
        <v>129074247</v>
      </c>
    </row>
    <row r="17272" spans="1:9" x14ac:dyDescent="0.2">
      <c r="A17272" s="1" t="str">
        <f>"STRN"</f>
        <v>STRN</v>
      </c>
      <c r="B17272" t="s">
        <v>14</v>
      </c>
      <c r="C17272" t="s">
        <v>26</v>
      </c>
      <c r="D17272" t="s">
        <v>11</v>
      </c>
      <c r="E17272" t="s">
        <v>12</v>
      </c>
      <c r="F17272">
        <v>37193648</v>
      </c>
      <c r="G17272">
        <v>37193760</v>
      </c>
      <c r="H17272">
        <v>37193648</v>
      </c>
      <c r="I17272">
        <v>37193760</v>
      </c>
    </row>
    <row r="17273" spans="1:9" x14ac:dyDescent="0.2">
      <c r="A17273" s="1" t="str">
        <f>"STRN3"</f>
        <v>STRN3</v>
      </c>
      <c r="B17273" t="s">
        <v>14</v>
      </c>
      <c r="C17273" t="s">
        <v>41</v>
      </c>
      <c r="D17273" t="s">
        <v>11</v>
      </c>
      <c r="E17273" t="s">
        <v>12</v>
      </c>
      <c r="F17273">
        <v>31495569</v>
      </c>
      <c r="G17273">
        <v>31495636</v>
      </c>
      <c r="H17273">
        <v>31495421</v>
      </c>
      <c r="I17273">
        <v>31495463</v>
      </c>
    </row>
    <row r="17274" spans="1:9" x14ac:dyDescent="0.2">
      <c r="A17274" s="1" t="str">
        <f>"STRN4"</f>
        <v>STRN4</v>
      </c>
      <c r="B17274" t="s">
        <v>14</v>
      </c>
      <c r="C17274" t="s">
        <v>10</v>
      </c>
      <c r="D17274" t="s">
        <v>11</v>
      </c>
      <c r="E17274" t="s">
        <v>12</v>
      </c>
      <c r="F17274">
        <v>47249679</v>
      </c>
      <c r="G17274">
        <v>47249725</v>
      </c>
      <c r="H17274">
        <v>47249679</v>
      </c>
      <c r="I17274">
        <v>47249725</v>
      </c>
    </row>
    <row r="17275" spans="1:9" x14ac:dyDescent="0.2">
      <c r="A17275" s="1" t="str">
        <f>"STS"</f>
        <v>STS</v>
      </c>
      <c r="B17275" t="s">
        <v>1613</v>
      </c>
      <c r="C17275" t="s">
        <v>37</v>
      </c>
      <c r="D17275" t="s">
        <v>17</v>
      </c>
      <c r="E17275" t="s">
        <v>35</v>
      </c>
      <c r="F17275">
        <v>7137475</v>
      </c>
      <c r="G17275">
        <v>7137504</v>
      </c>
      <c r="H17275">
        <v>7137603</v>
      </c>
      <c r="I17275">
        <v>7137610</v>
      </c>
    </row>
    <row r="17276" spans="1:9" x14ac:dyDescent="0.2">
      <c r="A17276" s="1" t="str">
        <f>"STT3A"</f>
        <v>STT3A</v>
      </c>
      <c r="B17276" t="s">
        <v>14</v>
      </c>
      <c r="C17276" t="s">
        <v>27</v>
      </c>
      <c r="D17276" t="s">
        <v>17</v>
      </c>
      <c r="E17276" t="s">
        <v>12</v>
      </c>
      <c r="F17276">
        <v>125462725</v>
      </c>
      <c r="G17276">
        <v>125462768</v>
      </c>
      <c r="H17276">
        <v>125462771</v>
      </c>
      <c r="I17276">
        <v>125462784</v>
      </c>
    </row>
    <row r="17277" spans="1:9" x14ac:dyDescent="0.2">
      <c r="A17277" s="1" t="str">
        <f>"STT3B"</f>
        <v>STT3B</v>
      </c>
      <c r="B17277" t="s">
        <v>14</v>
      </c>
      <c r="C17277" t="s">
        <v>22</v>
      </c>
      <c r="D17277" t="s">
        <v>17</v>
      </c>
      <c r="E17277" t="s">
        <v>12</v>
      </c>
      <c r="F17277">
        <v>31574393</v>
      </c>
      <c r="G17277">
        <v>31574447</v>
      </c>
      <c r="H17277">
        <v>31574452</v>
      </c>
      <c r="I17277">
        <v>31574476</v>
      </c>
    </row>
    <row r="17278" spans="1:9" x14ac:dyDescent="0.2">
      <c r="A17278" s="1" t="str">
        <f>"STUB1"</f>
        <v>STUB1</v>
      </c>
      <c r="B17278" t="s">
        <v>14</v>
      </c>
      <c r="C17278" t="s">
        <v>31</v>
      </c>
      <c r="D17278" t="s">
        <v>17</v>
      </c>
      <c r="E17278" t="s">
        <v>12</v>
      </c>
      <c r="F17278">
        <v>730379</v>
      </c>
      <c r="G17278">
        <v>730449</v>
      </c>
      <c r="H17278">
        <v>730063</v>
      </c>
      <c r="I17278">
        <v>730127</v>
      </c>
    </row>
    <row r="17279" spans="1:9" x14ac:dyDescent="0.2">
      <c r="A17279" s="1" t="str">
        <f>"STX10"</f>
        <v>STX10</v>
      </c>
      <c r="B17279" t="s">
        <v>14</v>
      </c>
      <c r="C17279" t="s">
        <v>10</v>
      </c>
      <c r="D17279" t="s">
        <v>11</v>
      </c>
      <c r="E17279" t="s">
        <v>12</v>
      </c>
      <c r="F17279">
        <v>13261090</v>
      </c>
      <c r="G17279">
        <v>13261143</v>
      </c>
      <c r="H17279">
        <v>13261035</v>
      </c>
      <c r="I17279">
        <v>13261082</v>
      </c>
    </row>
    <row r="17280" spans="1:9" x14ac:dyDescent="0.2">
      <c r="A17280" s="1" t="str">
        <f>"STX11"</f>
        <v>STX11</v>
      </c>
      <c r="B17280" t="s">
        <v>14</v>
      </c>
      <c r="C17280" t="s">
        <v>32</v>
      </c>
      <c r="D17280" t="s">
        <v>17</v>
      </c>
      <c r="E17280" t="s">
        <v>12</v>
      </c>
      <c r="F17280">
        <v>144471643</v>
      </c>
      <c r="G17280">
        <v>144471660</v>
      </c>
      <c r="H17280">
        <v>144471637</v>
      </c>
      <c r="I17280">
        <v>144471640</v>
      </c>
    </row>
    <row r="17281" spans="1:9" x14ac:dyDescent="0.2">
      <c r="A17281" s="1" t="str">
        <f>"STX12"</f>
        <v>STX12</v>
      </c>
      <c r="B17281" t="s">
        <v>14</v>
      </c>
      <c r="C17281" t="s">
        <v>19</v>
      </c>
      <c r="D17281" t="s">
        <v>17</v>
      </c>
      <c r="E17281" t="s">
        <v>12</v>
      </c>
      <c r="F17281">
        <v>28099700</v>
      </c>
      <c r="G17281">
        <v>28099779</v>
      </c>
      <c r="H17281">
        <v>28099683</v>
      </c>
      <c r="I17281">
        <v>28099694</v>
      </c>
    </row>
    <row r="17282" spans="1:9" x14ac:dyDescent="0.2">
      <c r="A17282" s="1" t="str">
        <f>"STX16"</f>
        <v>STX16</v>
      </c>
      <c r="B17282" t="s">
        <v>14</v>
      </c>
      <c r="C17282" t="s">
        <v>29</v>
      </c>
      <c r="D17282" t="s">
        <v>17</v>
      </c>
      <c r="E17282" t="s">
        <v>12</v>
      </c>
      <c r="F17282">
        <v>57226284</v>
      </c>
      <c r="G17282">
        <v>57226345</v>
      </c>
      <c r="H17282">
        <v>57226841</v>
      </c>
      <c r="I17282">
        <v>57226899</v>
      </c>
    </row>
    <row r="17283" spans="1:9" x14ac:dyDescent="0.2">
      <c r="A17283" s="1" t="str">
        <f>"STX17"</f>
        <v>STX17</v>
      </c>
      <c r="B17283" t="s">
        <v>14</v>
      </c>
      <c r="C17283" t="s">
        <v>24</v>
      </c>
      <c r="D17283" t="s">
        <v>17</v>
      </c>
      <c r="E17283" t="s">
        <v>12</v>
      </c>
      <c r="F17283">
        <v>102668928</v>
      </c>
      <c r="G17283">
        <v>102668967</v>
      </c>
      <c r="H17283">
        <v>102668928</v>
      </c>
      <c r="I17283">
        <v>102668967</v>
      </c>
    </row>
    <row r="17284" spans="1:9" x14ac:dyDescent="0.2">
      <c r="A17284" s="1" t="str">
        <f>"STX18"</f>
        <v>STX18</v>
      </c>
      <c r="B17284" t="s">
        <v>14</v>
      </c>
      <c r="C17284" t="s">
        <v>23</v>
      </c>
      <c r="D17284" t="s">
        <v>11</v>
      </c>
      <c r="E17284" t="s">
        <v>12</v>
      </c>
      <c r="F17284">
        <v>4543700</v>
      </c>
      <c r="G17284">
        <v>4543759</v>
      </c>
      <c r="H17284">
        <v>4543761</v>
      </c>
      <c r="I17284">
        <v>4543795</v>
      </c>
    </row>
    <row r="17285" spans="1:9" x14ac:dyDescent="0.2">
      <c r="A17285" s="1" t="str">
        <f>"STX19"</f>
        <v>STX19</v>
      </c>
      <c r="B17285" t="s">
        <v>14</v>
      </c>
      <c r="C17285" t="s">
        <v>22</v>
      </c>
      <c r="D17285" t="s">
        <v>11</v>
      </c>
      <c r="E17285" t="s">
        <v>12</v>
      </c>
      <c r="F17285">
        <v>93747425</v>
      </c>
      <c r="G17285">
        <v>93747450</v>
      </c>
      <c r="H17285">
        <v>93747459</v>
      </c>
      <c r="I17285">
        <v>93747476</v>
      </c>
    </row>
    <row r="17286" spans="1:9" x14ac:dyDescent="0.2">
      <c r="A17286" s="1" t="str">
        <f>"STX1A"</f>
        <v>STX1A</v>
      </c>
      <c r="B17286" t="s">
        <v>14</v>
      </c>
      <c r="C17286" t="s">
        <v>33</v>
      </c>
      <c r="D17286" t="s">
        <v>11</v>
      </c>
      <c r="E17286" t="s">
        <v>12</v>
      </c>
      <c r="F17286">
        <v>73133959</v>
      </c>
      <c r="G17286">
        <v>73134022</v>
      </c>
      <c r="H17286">
        <v>73134027</v>
      </c>
      <c r="I17286">
        <v>73134036</v>
      </c>
    </row>
    <row r="17287" spans="1:9" x14ac:dyDescent="0.2">
      <c r="A17287" s="1" t="str">
        <f>"STX1B"</f>
        <v>STX1B</v>
      </c>
      <c r="B17287" t="s">
        <v>14</v>
      </c>
      <c r="C17287" t="s">
        <v>31</v>
      </c>
      <c r="D17287" t="s">
        <v>11</v>
      </c>
      <c r="E17287" t="s">
        <v>12</v>
      </c>
      <c r="F17287">
        <v>31021921</v>
      </c>
      <c r="G17287">
        <v>31022044</v>
      </c>
      <c r="H17287">
        <v>31022196</v>
      </c>
      <c r="I17287">
        <v>31022218</v>
      </c>
    </row>
    <row r="17288" spans="1:9" x14ac:dyDescent="0.2">
      <c r="A17288" s="1" t="str">
        <f>"STX2"</f>
        <v>STX2</v>
      </c>
      <c r="B17288" t="s">
        <v>14</v>
      </c>
      <c r="C17288" t="s">
        <v>16</v>
      </c>
      <c r="D17288" t="s">
        <v>11</v>
      </c>
      <c r="E17288" t="s">
        <v>12</v>
      </c>
      <c r="F17288">
        <v>131323754</v>
      </c>
      <c r="G17288">
        <v>131323820</v>
      </c>
      <c r="H17288">
        <v>131323719</v>
      </c>
      <c r="I17288">
        <v>131323746</v>
      </c>
    </row>
    <row r="17289" spans="1:9" x14ac:dyDescent="0.2">
      <c r="A17289" s="1" t="str">
        <f>"STX3"</f>
        <v>STX3</v>
      </c>
      <c r="B17289" t="s">
        <v>14</v>
      </c>
      <c r="C17289" t="s">
        <v>27</v>
      </c>
      <c r="D17289" t="s">
        <v>17</v>
      </c>
      <c r="E17289" t="s">
        <v>12</v>
      </c>
      <c r="F17289">
        <v>59522837</v>
      </c>
      <c r="G17289">
        <v>59522862</v>
      </c>
      <c r="H17289">
        <v>59522900</v>
      </c>
      <c r="I17289">
        <v>59522936</v>
      </c>
    </row>
    <row r="17290" spans="1:9" x14ac:dyDescent="0.2">
      <c r="A17290" s="1" t="str">
        <f>"STX4"</f>
        <v>STX4</v>
      </c>
      <c r="B17290" t="s">
        <v>14</v>
      </c>
      <c r="C17290" t="s">
        <v>31</v>
      </c>
      <c r="D17290" t="s">
        <v>17</v>
      </c>
      <c r="E17290" t="s">
        <v>12</v>
      </c>
      <c r="F17290">
        <v>31044835</v>
      </c>
      <c r="G17290">
        <v>31044931</v>
      </c>
      <c r="H17290">
        <v>31044413</v>
      </c>
      <c r="I17290">
        <v>31044418</v>
      </c>
    </row>
    <row r="17291" spans="1:9" x14ac:dyDescent="0.2">
      <c r="A17291" s="1" t="str">
        <f>"STX5"</f>
        <v>STX5</v>
      </c>
      <c r="B17291" t="s">
        <v>14</v>
      </c>
      <c r="C17291" t="s">
        <v>27</v>
      </c>
      <c r="D17291" t="s">
        <v>11</v>
      </c>
      <c r="E17291" t="s">
        <v>12</v>
      </c>
      <c r="F17291">
        <v>62599505</v>
      </c>
      <c r="G17291">
        <v>62599556</v>
      </c>
      <c r="H17291">
        <v>62599490</v>
      </c>
      <c r="I17291">
        <v>62599501</v>
      </c>
    </row>
    <row r="17292" spans="1:9" x14ac:dyDescent="0.2">
      <c r="A17292" s="1" t="str">
        <f>"STX6"</f>
        <v>STX6</v>
      </c>
      <c r="B17292" t="s">
        <v>14</v>
      </c>
      <c r="C17292" t="s">
        <v>19</v>
      </c>
      <c r="D17292" t="s">
        <v>11</v>
      </c>
      <c r="E17292" t="s">
        <v>12</v>
      </c>
      <c r="F17292">
        <v>180991978</v>
      </c>
      <c r="G17292">
        <v>180992085</v>
      </c>
      <c r="H17292">
        <v>180991978</v>
      </c>
      <c r="I17292">
        <v>180992085</v>
      </c>
    </row>
    <row r="17293" spans="1:9" x14ac:dyDescent="0.2">
      <c r="A17293" s="1" t="str">
        <f>"STX7"</f>
        <v>STX7</v>
      </c>
      <c r="B17293" t="s">
        <v>14</v>
      </c>
      <c r="C17293" t="s">
        <v>32</v>
      </c>
      <c r="D17293" t="s">
        <v>11</v>
      </c>
      <c r="E17293" t="s">
        <v>12</v>
      </c>
      <c r="F17293">
        <v>132834184</v>
      </c>
      <c r="G17293">
        <v>132834263</v>
      </c>
      <c r="H17293">
        <v>132834184</v>
      </c>
      <c r="I17293">
        <v>132834263</v>
      </c>
    </row>
    <row r="17294" spans="1:9" x14ac:dyDescent="0.2">
      <c r="A17294" s="1" t="str">
        <f>"STX8"</f>
        <v>STX8</v>
      </c>
      <c r="B17294" t="s">
        <v>14</v>
      </c>
      <c r="C17294" t="s">
        <v>28</v>
      </c>
      <c r="D17294" t="s">
        <v>11</v>
      </c>
      <c r="E17294" t="s">
        <v>12</v>
      </c>
      <c r="F17294">
        <v>9479128</v>
      </c>
      <c r="G17294">
        <v>9479181</v>
      </c>
      <c r="H17294">
        <v>9479239</v>
      </c>
      <c r="I17294">
        <v>9479246</v>
      </c>
    </row>
    <row r="17295" spans="1:9" x14ac:dyDescent="0.2">
      <c r="A17295" s="1" t="str">
        <f>"STXBP1"</f>
        <v>STXBP1</v>
      </c>
      <c r="B17295" t="s">
        <v>14</v>
      </c>
      <c r="C17295" t="s">
        <v>24</v>
      </c>
      <c r="D17295" t="s">
        <v>17</v>
      </c>
      <c r="E17295" t="s">
        <v>12</v>
      </c>
      <c r="F17295">
        <v>130374537</v>
      </c>
      <c r="G17295">
        <v>130374562</v>
      </c>
      <c r="H17295">
        <v>130374503</v>
      </c>
      <c r="I17295">
        <v>130374514</v>
      </c>
    </row>
    <row r="17296" spans="1:9" x14ac:dyDescent="0.2">
      <c r="A17296" s="1" t="str">
        <f>"STXBP2"</f>
        <v>STXBP2</v>
      </c>
      <c r="B17296" t="s">
        <v>14</v>
      </c>
      <c r="C17296" t="s">
        <v>10</v>
      </c>
      <c r="D17296" t="s">
        <v>17</v>
      </c>
      <c r="E17296" t="s">
        <v>12</v>
      </c>
      <c r="F17296">
        <v>7701985</v>
      </c>
      <c r="G17296">
        <v>7702038</v>
      </c>
      <c r="H17296">
        <v>7701985</v>
      </c>
      <c r="I17296">
        <v>7702038</v>
      </c>
    </row>
    <row r="17297" spans="1:9" x14ac:dyDescent="0.2">
      <c r="A17297" s="1" t="str">
        <f>"STXBP3"</f>
        <v>STXBP3</v>
      </c>
      <c r="B17297" t="s">
        <v>14</v>
      </c>
      <c r="C17297" t="s">
        <v>19</v>
      </c>
      <c r="D17297" t="s">
        <v>17</v>
      </c>
      <c r="E17297" t="s">
        <v>12</v>
      </c>
      <c r="F17297">
        <v>109289279</v>
      </c>
      <c r="G17297">
        <v>109289331</v>
      </c>
      <c r="H17297">
        <v>109289251</v>
      </c>
      <c r="I17297">
        <v>109289276</v>
      </c>
    </row>
    <row r="17298" spans="1:9" x14ac:dyDescent="0.2">
      <c r="A17298" s="1" t="str">
        <f>"STXBP4"</f>
        <v>STXBP4</v>
      </c>
      <c r="B17298" t="s">
        <v>14</v>
      </c>
      <c r="C17298" t="s">
        <v>28</v>
      </c>
      <c r="D17298" t="s">
        <v>17</v>
      </c>
      <c r="E17298" t="s">
        <v>12</v>
      </c>
      <c r="F17298">
        <v>53046096</v>
      </c>
      <c r="G17298">
        <v>53046157</v>
      </c>
      <c r="H17298">
        <v>53046070</v>
      </c>
      <c r="I17298">
        <v>53046095</v>
      </c>
    </row>
    <row r="17299" spans="1:9" x14ac:dyDescent="0.2">
      <c r="A17299" s="1" t="str">
        <f>"STXBP5"</f>
        <v>STXBP5</v>
      </c>
      <c r="B17299" t="s">
        <v>14</v>
      </c>
      <c r="C17299" t="s">
        <v>32</v>
      </c>
      <c r="D17299" t="s">
        <v>17</v>
      </c>
      <c r="E17299" t="s">
        <v>12</v>
      </c>
      <c r="F17299">
        <v>147524814</v>
      </c>
      <c r="G17299">
        <v>147524907</v>
      </c>
      <c r="H17299">
        <v>147525064</v>
      </c>
      <c r="I17299">
        <v>147525118</v>
      </c>
    </row>
    <row r="17300" spans="1:9" x14ac:dyDescent="0.2">
      <c r="A17300" s="1" t="str">
        <f>"STXBP5L"</f>
        <v>STXBP5L</v>
      </c>
      <c r="B17300" t="s">
        <v>14</v>
      </c>
      <c r="C17300" t="s">
        <v>22</v>
      </c>
      <c r="D17300" t="s">
        <v>17</v>
      </c>
      <c r="E17300" t="s">
        <v>12</v>
      </c>
      <c r="F17300">
        <v>120627034</v>
      </c>
      <c r="G17300">
        <v>120627102</v>
      </c>
      <c r="H17300">
        <v>120627034</v>
      </c>
      <c r="I17300">
        <v>120627102</v>
      </c>
    </row>
    <row r="17301" spans="1:9" x14ac:dyDescent="0.2">
      <c r="A17301" s="1" t="str">
        <f>"STXBP6"</f>
        <v>STXBP6</v>
      </c>
      <c r="B17301" t="s">
        <v>14</v>
      </c>
      <c r="C17301" t="s">
        <v>41</v>
      </c>
      <c r="D17301" t="s">
        <v>11</v>
      </c>
      <c r="E17301" t="s">
        <v>12</v>
      </c>
      <c r="F17301">
        <v>25519205</v>
      </c>
      <c r="G17301">
        <v>25519280</v>
      </c>
      <c r="H17301">
        <v>25519317</v>
      </c>
      <c r="I17301">
        <v>25519379</v>
      </c>
    </row>
    <row r="17302" spans="1:9" x14ac:dyDescent="0.2">
      <c r="A17302" s="1" t="str">
        <f>"STYK1"</f>
        <v>STYK1</v>
      </c>
      <c r="B17302" t="s">
        <v>14</v>
      </c>
      <c r="C17302" t="s">
        <v>16</v>
      </c>
      <c r="D17302" t="s">
        <v>11</v>
      </c>
      <c r="E17302" t="s">
        <v>12</v>
      </c>
      <c r="F17302">
        <v>10826612</v>
      </c>
      <c r="G17302">
        <v>10826705</v>
      </c>
      <c r="H17302">
        <v>10826591</v>
      </c>
      <c r="I17302">
        <v>10826601</v>
      </c>
    </row>
    <row r="17303" spans="1:9" x14ac:dyDescent="0.2">
      <c r="A17303" s="1" t="str">
        <f>"STYX"</f>
        <v>STYX</v>
      </c>
      <c r="B17303" t="s">
        <v>14</v>
      </c>
      <c r="C17303" t="s">
        <v>41</v>
      </c>
      <c r="D17303" t="s">
        <v>17</v>
      </c>
      <c r="E17303" t="s">
        <v>12</v>
      </c>
      <c r="F17303">
        <v>53196872</v>
      </c>
      <c r="G17303">
        <v>53196959</v>
      </c>
      <c r="H17303">
        <v>53196872</v>
      </c>
      <c r="I17303">
        <v>53196959</v>
      </c>
    </row>
    <row r="17304" spans="1:9" x14ac:dyDescent="0.2">
      <c r="A17304" s="1" t="str">
        <f>"STYXL1"</f>
        <v>STYXL1</v>
      </c>
      <c r="B17304" t="s">
        <v>14</v>
      </c>
      <c r="C17304" t="s">
        <v>33</v>
      </c>
      <c r="D17304" t="s">
        <v>11</v>
      </c>
      <c r="E17304" t="s">
        <v>12</v>
      </c>
      <c r="F17304">
        <v>75677251</v>
      </c>
      <c r="G17304">
        <v>75677337</v>
      </c>
      <c r="H17304">
        <v>75677125</v>
      </c>
      <c r="I17304">
        <v>75677164</v>
      </c>
    </row>
    <row r="17305" spans="1:9" x14ac:dyDescent="0.2">
      <c r="A17305" s="1" t="str">
        <f>"SUB1"</f>
        <v>SUB1</v>
      </c>
      <c r="B17305" t="s">
        <v>9</v>
      </c>
      <c r="C17305" t="s">
        <v>46</v>
      </c>
      <c r="D17305" t="s">
        <v>17</v>
      </c>
      <c r="E17305" t="s">
        <v>12</v>
      </c>
      <c r="F17305">
        <v>32585655</v>
      </c>
      <c r="G17305">
        <v>32585686</v>
      </c>
      <c r="H17305">
        <v>32585655</v>
      </c>
      <c r="I17305">
        <v>32585686</v>
      </c>
    </row>
    <row r="17306" spans="1:9" x14ac:dyDescent="0.2">
      <c r="A17306" s="1" t="str">
        <f>"SUB1"</f>
        <v>SUB1</v>
      </c>
      <c r="B17306" t="s">
        <v>13</v>
      </c>
      <c r="C17306" t="s">
        <v>46</v>
      </c>
      <c r="D17306" t="s">
        <v>17</v>
      </c>
      <c r="E17306" t="s">
        <v>12</v>
      </c>
      <c r="F17306">
        <v>32531931</v>
      </c>
      <c r="G17306">
        <v>32531951</v>
      </c>
      <c r="H17306">
        <v>32531931</v>
      </c>
      <c r="I17306">
        <v>32531951</v>
      </c>
    </row>
    <row r="17307" spans="1:9" x14ac:dyDescent="0.2">
      <c r="A17307" s="1" t="str">
        <f>"SUCLA2"</f>
        <v>SUCLA2</v>
      </c>
      <c r="B17307" t="s">
        <v>14</v>
      </c>
      <c r="C17307" t="s">
        <v>39</v>
      </c>
      <c r="D17307" t="s">
        <v>11</v>
      </c>
      <c r="E17307" t="s">
        <v>12</v>
      </c>
      <c r="F17307">
        <v>48575401</v>
      </c>
      <c r="G17307">
        <v>48575438</v>
      </c>
      <c r="H17307">
        <v>48575401</v>
      </c>
      <c r="I17307">
        <v>48575438</v>
      </c>
    </row>
    <row r="17308" spans="1:9" x14ac:dyDescent="0.2">
      <c r="A17308" s="1" t="str">
        <f>"SUCLG1"</f>
        <v>SUCLG1</v>
      </c>
      <c r="B17308" t="s">
        <v>14</v>
      </c>
      <c r="C17308" t="s">
        <v>26</v>
      </c>
      <c r="D17308" t="s">
        <v>11</v>
      </c>
      <c r="E17308" t="s">
        <v>12</v>
      </c>
      <c r="F17308">
        <v>84686356</v>
      </c>
      <c r="G17308">
        <v>84686417</v>
      </c>
      <c r="H17308">
        <v>84686552</v>
      </c>
      <c r="I17308">
        <v>84686624</v>
      </c>
    </row>
    <row r="17309" spans="1:9" x14ac:dyDescent="0.2">
      <c r="A17309" s="1" t="str">
        <f>"SUCLG2"</f>
        <v>SUCLG2</v>
      </c>
      <c r="B17309" t="s">
        <v>14</v>
      </c>
      <c r="C17309" t="s">
        <v>22</v>
      </c>
      <c r="D17309" t="s">
        <v>11</v>
      </c>
      <c r="E17309" t="s">
        <v>12</v>
      </c>
      <c r="F17309">
        <v>67705006</v>
      </c>
      <c r="G17309">
        <v>67705046</v>
      </c>
      <c r="H17309">
        <v>67705006</v>
      </c>
      <c r="I17309">
        <v>67705046</v>
      </c>
    </row>
    <row r="17310" spans="1:9" x14ac:dyDescent="0.2">
      <c r="A17310" s="1" t="str">
        <f>"SUCNR1"</f>
        <v>SUCNR1</v>
      </c>
      <c r="B17310" t="s">
        <v>14</v>
      </c>
      <c r="C17310" t="s">
        <v>22</v>
      </c>
      <c r="D17310" t="s">
        <v>17</v>
      </c>
      <c r="E17310" t="s">
        <v>12</v>
      </c>
      <c r="F17310">
        <v>151591422</v>
      </c>
      <c r="G17310">
        <v>151591440</v>
      </c>
      <c r="H17310">
        <v>151591422</v>
      </c>
      <c r="I17310">
        <v>151591440</v>
      </c>
    </row>
    <row r="17311" spans="1:9" x14ac:dyDescent="0.2">
      <c r="A17311" s="1" t="str">
        <f>"SUCO"</f>
        <v>SUCO</v>
      </c>
      <c r="B17311" t="s">
        <v>14</v>
      </c>
      <c r="C17311" t="s">
        <v>19</v>
      </c>
      <c r="D17311" t="s">
        <v>17</v>
      </c>
      <c r="E17311" t="s">
        <v>12</v>
      </c>
      <c r="F17311">
        <v>172502244</v>
      </c>
      <c r="G17311">
        <v>172502333</v>
      </c>
      <c r="H17311">
        <v>172502144</v>
      </c>
      <c r="I17311">
        <v>172502186</v>
      </c>
    </row>
    <row r="17312" spans="1:9" x14ac:dyDescent="0.2">
      <c r="A17312" s="1" t="str">
        <f>"SUDS3"</f>
        <v>SUDS3</v>
      </c>
      <c r="B17312" t="s">
        <v>14</v>
      </c>
      <c r="C17312" t="s">
        <v>16</v>
      </c>
      <c r="D17312" t="s">
        <v>17</v>
      </c>
      <c r="E17312" t="s">
        <v>12</v>
      </c>
      <c r="F17312">
        <v>118814344</v>
      </c>
      <c r="G17312">
        <v>118814369</v>
      </c>
      <c r="H17312">
        <v>118814299</v>
      </c>
      <c r="I17312">
        <v>118814332</v>
      </c>
    </row>
    <row r="17313" spans="1:9" x14ac:dyDescent="0.2">
      <c r="A17313" s="1" t="str">
        <f>"SUFU"</f>
        <v>SUFU</v>
      </c>
      <c r="B17313" t="s">
        <v>14</v>
      </c>
      <c r="C17313" t="s">
        <v>15</v>
      </c>
      <c r="D17313" t="s">
        <v>17</v>
      </c>
      <c r="E17313" t="s">
        <v>12</v>
      </c>
      <c r="F17313">
        <v>104263713</v>
      </c>
      <c r="G17313">
        <v>104263740</v>
      </c>
      <c r="H17313">
        <v>104263743</v>
      </c>
      <c r="I17313">
        <v>104263798</v>
      </c>
    </row>
    <row r="17314" spans="1:9" x14ac:dyDescent="0.2">
      <c r="A17314" s="1" t="str">
        <f>"SUGP1"</f>
        <v>SUGP1</v>
      </c>
      <c r="B17314" t="s">
        <v>14</v>
      </c>
      <c r="C17314" t="s">
        <v>10</v>
      </c>
      <c r="D17314" t="s">
        <v>11</v>
      </c>
      <c r="E17314" t="s">
        <v>12</v>
      </c>
      <c r="F17314">
        <v>19431298</v>
      </c>
      <c r="G17314">
        <v>19431326</v>
      </c>
      <c r="H17314">
        <v>19431298</v>
      </c>
      <c r="I17314">
        <v>19431326</v>
      </c>
    </row>
    <row r="17315" spans="1:9" x14ac:dyDescent="0.2">
      <c r="A17315" s="1" t="str">
        <f>"SUGP2"</f>
        <v>SUGP2</v>
      </c>
      <c r="B17315" t="s">
        <v>14</v>
      </c>
      <c r="C17315" t="s">
        <v>10</v>
      </c>
      <c r="D17315" t="s">
        <v>11</v>
      </c>
      <c r="E17315" t="s">
        <v>12</v>
      </c>
      <c r="F17315">
        <v>19144289</v>
      </c>
      <c r="G17315">
        <v>19144352</v>
      </c>
      <c r="H17315">
        <v>19144609</v>
      </c>
      <c r="I17315">
        <v>19144671</v>
      </c>
    </row>
    <row r="17316" spans="1:9" x14ac:dyDescent="0.2">
      <c r="A17316" s="1" t="str">
        <f>"SUGT1"</f>
        <v>SUGT1</v>
      </c>
      <c r="B17316" t="s">
        <v>14</v>
      </c>
      <c r="C17316" t="s">
        <v>39</v>
      </c>
      <c r="D17316" t="s">
        <v>17</v>
      </c>
      <c r="E17316" t="s">
        <v>12</v>
      </c>
      <c r="F17316">
        <v>53226963</v>
      </c>
      <c r="G17316">
        <v>53227023</v>
      </c>
      <c r="H17316">
        <v>53227030</v>
      </c>
      <c r="I17316">
        <v>53227050</v>
      </c>
    </row>
    <row r="17317" spans="1:9" x14ac:dyDescent="0.2">
      <c r="A17317" s="1" t="str">
        <f>"SULF1"</f>
        <v>SULF1</v>
      </c>
      <c r="B17317" t="s">
        <v>9</v>
      </c>
      <c r="C17317" t="s">
        <v>30</v>
      </c>
      <c r="D17317" t="s">
        <v>17</v>
      </c>
      <c r="E17317" t="s">
        <v>12</v>
      </c>
      <c r="F17317">
        <v>70405073</v>
      </c>
      <c r="G17317">
        <v>70405088</v>
      </c>
      <c r="H17317">
        <v>70405073</v>
      </c>
      <c r="I17317">
        <v>70405088</v>
      </c>
    </row>
    <row r="17318" spans="1:9" x14ac:dyDescent="0.2">
      <c r="A17318" s="1" t="str">
        <f>"SULF1"</f>
        <v>SULF1</v>
      </c>
      <c r="B17318" t="s">
        <v>13</v>
      </c>
      <c r="C17318" t="s">
        <v>30</v>
      </c>
      <c r="D17318" t="s">
        <v>17</v>
      </c>
      <c r="E17318" t="s">
        <v>12</v>
      </c>
      <c r="F17318">
        <v>70378989</v>
      </c>
      <c r="G17318">
        <v>70379039</v>
      </c>
      <c r="H17318">
        <v>70378989</v>
      </c>
      <c r="I17318">
        <v>70379039</v>
      </c>
    </row>
    <row r="17319" spans="1:9" x14ac:dyDescent="0.2">
      <c r="A17319" s="1" t="str">
        <f>"SULF2"</f>
        <v>SULF2</v>
      </c>
      <c r="B17319" t="s">
        <v>14</v>
      </c>
      <c r="C17319" t="s">
        <v>29</v>
      </c>
      <c r="D17319" t="s">
        <v>11</v>
      </c>
      <c r="E17319" t="s">
        <v>12</v>
      </c>
      <c r="F17319">
        <v>46414183</v>
      </c>
      <c r="G17319">
        <v>46414264</v>
      </c>
      <c r="H17319">
        <v>46414701</v>
      </c>
      <c r="I17319">
        <v>46414819</v>
      </c>
    </row>
    <row r="17320" spans="1:9" x14ac:dyDescent="0.2">
      <c r="A17320" s="1" t="str">
        <f>"SULT1A1"</f>
        <v>SULT1A1</v>
      </c>
      <c r="B17320" t="s">
        <v>14</v>
      </c>
      <c r="C17320" t="s">
        <v>31</v>
      </c>
      <c r="D17320" t="s">
        <v>11</v>
      </c>
      <c r="E17320" t="s">
        <v>12</v>
      </c>
      <c r="F17320">
        <v>28621312</v>
      </c>
      <c r="G17320">
        <v>28621350</v>
      </c>
      <c r="H17320">
        <v>28621355</v>
      </c>
      <c r="I17320">
        <v>28621379</v>
      </c>
    </row>
    <row r="17321" spans="1:9" x14ac:dyDescent="0.2">
      <c r="A17321" s="1" t="str">
        <f>"SULT1A2"</f>
        <v>SULT1A2</v>
      </c>
      <c r="B17321" t="s">
        <v>14</v>
      </c>
      <c r="C17321" t="s">
        <v>31</v>
      </c>
      <c r="D17321" t="s">
        <v>11</v>
      </c>
      <c r="E17321" t="s">
        <v>12</v>
      </c>
      <c r="F17321">
        <v>28608364</v>
      </c>
      <c r="G17321">
        <v>28608377</v>
      </c>
      <c r="H17321">
        <v>28608399</v>
      </c>
      <c r="I17321">
        <v>28608412</v>
      </c>
    </row>
    <row r="17322" spans="1:9" x14ac:dyDescent="0.2">
      <c r="A17322" s="1" t="str">
        <f>"SULT1A3"</f>
        <v>SULT1A3</v>
      </c>
      <c r="B17322" t="s">
        <v>1614</v>
      </c>
      <c r="C17322" t="s">
        <v>31</v>
      </c>
      <c r="D17322" t="s">
        <v>17</v>
      </c>
      <c r="E17322" t="s">
        <v>20</v>
      </c>
      <c r="F17322">
        <v>30210551</v>
      </c>
      <c r="G17322">
        <v>30210551</v>
      </c>
      <c r="H17322">
        <v>30210551</v>
      </c>
      <c r="I17322">
        <v>30210551</v>
      </c>
    </row>
    <row r="17323" spans="1:9" x14ac:dyDescent="0.2">
      <c r="A17323" s="1" t="str">
        <f>"SULT1A3"</f>
        <v>SULT1A3</v>
      </c>
      <c r="B17323" t="s">
        <v>1615</v>
      </c>
      <c r="C17323" t="s">
        <v>31</v>
      </c>
      <c r="D17323" t="s">
        <v>17</v>
      </c>
      <c r="E17323" t="s">
        <v>20</v>
      </c>
      <c r="F17323">
        <v>30205786</v>
      </c>
      <c r="G17323">
        <v>30205786</v>
      </c>
      <c r="H17323">
        <v>30205786</v>
      </c>
      <c r="I17323">
        <v>30205786</v>
      </c>
    </row>
    <row r="17324" spans="1:9" x14ac:dyDescent="0.2">
      <c r="A17324" s="1" t="str">
        <f>"SULT1A3"</f>
        <v>SULT1A3</v>
      </c>
      <c r="B17324" t="s">
        <v>1616</v>
      </c>
      <c r="C17324" t="s">
        <v>31</v>
      </c>
      <c r="D17324" t="s">
        <v>17</v>
      </c>
      <c r="E17324" t="s">
        <v>20</v>
      </c>
      <c r="F17324">
        <v>30207121</v>
      </c>
      <c r="G17324">
        <v>30207121</v>
      </c>
      <c r="H17324">
        <v>30207121</v>
      </c>
      <c r="I17324">
        <v>30207121</v>
      </c>
    </row>
    <row r="17325" spans="1:9" x14ac:dyDescent="0.2">
      <c r="A17325" s="1" t="str">
        <f>"SULT1A3"</f>
        <v>SULT1A3</v>
      </c>
      <c r="B17325" t="s">
        <v>1617</v>
      </c>
      <c r="C17325" t="s">
        <v>31</v>
      </c>
      <c r="D17325" t="s">
        <v>17</v>
      </c>
      <c r="E17325" t="s">
        <v>20</v>
      </c>
      <c r="F17325">
        <v>30211180</v>
      </c>
      <c r="G17325">
        <v>30211180</v>
      </c>
      <c r="H17325">
        <v>30211180</v>
      </c>
      <c r="I17325">
        <v>30211180</v>
      </c>
    </row>
    <row r="17326" spans="1:9" x14ac:dyDescent="0.2">
      <c r="A17326" s="1" t="str">
        <f>"SULT1A3"</f>
        <v>SULT1A3</v>
      </c>
      <c r="B17326" t="s">
        <v>1618</v>
      </c>
      <c r="C17326" t="s">
        <v>31</v>
      </c>
      <c r="D17326" t="s">
        <v>17</v>
      </c>
      <c r="E17326" t="s">
        <v>20</v>
      </c>
      <c r="F17326">
        <v>30212049</v>
      </c>
      <c r="G17326">
        <v>30212049</v>
      </c>
      <c r="H17326">
        <v>30212049</v>
      </c>
      <c r="I17326">
        <v>30212049</v>
      </c>
    </row>
    <row r="17327" spans="1:9" x14ac:dyDescent="0.2">
      <c r="A17327" s="1" t="str">
        <f>"SULT1A4"</f>
        <v>SULT1A4</v>
      </c>
      <c r="B17327" t="s">
        <v>1619</v>
      </c>
      <c r="C17327" t="s">
        <v>31</v>
      </c>
      <c r="D17327" t="s">
        <v>17</v>
      </c>
      <c r="E17327" t="s">
        <v>20</v>
      </c>
      <c r="F17327">
        <v>29467126</v>
      </c>
      <c r="G17327">
        <v>29467126</v>
      </c>
      <c r="H17327">
        <v>29467126</v>
      </c>
      <c r="I17327">
        <v>29467126</v>
      </c>
    </row>
    <row r="17328" spans="1:9" x14ac:dyDescent="0.2">
      <c r="A17328" s="1" t="str">
        <f>"SULT1A4"</f>
        <v>SULT1A4</v>
      </c>
      <c r="B17328" t="s">
        <v>1620</v>
      </c>
      <c r="C17328" t="s">
        <v>31</v>
      </c>
      <c r="D17328" t="s">
        <v>17</v>
      </c>
      <c r="E17328" t="s">
        <v>20</v>
      </c>
      <c r="F17328">
        <v>29471209</v>
      </c>
      <c r="G17328">
        <v>29471209</v>
      </c>
      <c r="H17328">
        <v>29471209</v>
      </c>
      <c r="I17328">
        <v>29471209</v>
      </c>
    </row>
    <row r="17329" spans="1:9" x14ac:dyDescent="0.2">
      <c r="A17329" s="1" t="str">
        <f>"SULT1A4"</f>
        <v>SULT1A4</v>
      </c>
      <c r="B17329" t="s">
        <v>1621</v>
      </c>
      <c r="C17329" t="s">
        <v>31</v>
      </c>
      <c r="D17329" t="s">
        <v>17</v>
      </c>
      <c r="E17329" t="s">
        <v>20</v>
      </c>
      <c r="F17329">
        <v>29467779</v>
      </c>
      <c r="G17329">
        <v>29467779</v>
      </c>
      <c r="H17329">
        <v>29467779</v>
      </c>
      <c r="I17329">
        <v>29467779</v>
      </c>
    </row>
    <row r="17330" spans="1:9" x14ac:dyDescent="0.2">
      <c r="A17330" s="1" t="str">
        <f>"SULT1A4"</f>
        <v>SULT1A4</v>
      </c>
      <c r="B17330" t="s">
        <v>1622</v>
      </c>
      <c r="C17330" t="s">
        <v>31</v>
      </c>
      <c r="D17330" t="s">
        <v>17</v>
      </c>
      <c r="E17330" t="s">
        <v>20</v>
      </c>
      <c r="F17330">
        <v>29472706</v>
      </c>
      <c r="G17330">
        <v>29472706</v>
      </c>
      <c r="H17330">
        <v>29472706</v>
      </c>
      <c r="I17330">
        <v>29472706</v>
      </c>
    </row>
    <row r="17331" spans="1:9" x14ac:dyDescent="0.2">
      <c r="A17331" s="1" t="str">
        <f>"SULT1B1"</f>
        <v>SULT1B1</v>
      </c>
      <c r="B17331" t="s">
        <v>14</v>
      </c>
      <c r="C17331" t="s">
        <v>23</v>
      </c>
      <c r="D17331" t="s">
        <v>11</v>
      </c>
      <c r="E17331" t="s">
        <v>12</v>
      </c>
      <c r="F17331">
        <v>70626247</v>
      </c>
      <c r="G17331">
        <v>70626283</v>
      </c>
      <c r="H17331">
        <v>70626328</v>
      </c>
      <c r="I17331">
        <v>70626351</v>
      </c>
    </row>
    <row r="17332" spans="1:9" x14ac:dyDescent="0.2">
      <c r="A17332" s="1" t="str">
        <f>"SULT1C2"</f>
        <v>SULT1C2</v>
      </c>
      <c r="B17332" t="s">
        <v>14</v>
      </c>
      <c r="C17332" t="s">
        <v>26</v>
      </c>
      <c r="D17332" t="s">
        <v>17</v>
      </c>
      <c r="E17332" t="s">
        <v>12</v>
      </c>
      <c r="F17332">
        <v>108905325</v>
      </c>
      <c r="G17332">
        <v>108905378</v>
      </c>
      <c r="H17332">
        <v>108905469</v>
      </c>
      <c r="I17332">
        <v>108905502</v>
      </c>
    </row>
    <row r="17333" spans="1:9" x14ac:dyDescent="0.2">
      <c r="A17333" s="1" t="str">
        <f>"SULT1C3"</f>
        <v>SULT1C3</v>
      </c>
      <c r="B17333" t="s">
        <v>1623</v>
      </c>
      <c r="C17333" t="s">
        <v>26</v>
      </c>
      <c r="D17333" t="s">
        <v>17</v>
      </c>
      <c r="E17333" t="s">
        <v>20</v>
      </c>
      <c r="F17333">
        <v>108863650</v>
      </c>
      <c r="G17333">
        <v>108863650</v>
      </c>
      <c r="H17333">
        <v>108863650</v>
      </c>
      <c r="I17333">
        <v>108863650</v>
      </c>
    </row>
    <row r="17334" spans="1:9" x14ac:dyDescent="0.2">
      <c r="A17334" s="1" t="str">
        <f>"SULT1C4"</f>
        <v>SULT1C4</v>
      </c>
      <c r="B17334" t="s">
        <v>14</v>
      </c>
      <c r="C17334" t="s">
        <v>26</v>
      </c>
      <c r="D17334" t="s">
        <v>17</v>
      </c>
      <c r="E17334" t="s">
        <v>12</v>
      </c>
      <c r="F17334">
        <v>108994403</v>
      </c>
      <c r="G17334">
        <v>108994461</v>
      </c>
      <c r="H17334">
        <v>108994565</v>
      </c>
      <c r="I17334">
        <v>108994623</v>
      </c>
    </row>
    <row r="17335" spans="1:9" x14ac:dyDescent="0.2">
      <c r="A17335" s="1" t="str">
        <f>"SULT1E1"</f>
        <v>SULT1E1</v>
      </c>
      <c r="B17335" t="s">
        <v>14</v>
      </c>
      <c r="C17335" t="s">
        <v>23</v>
      </c>
      <c r="D17335" t="s">
        <v>11</v>
      </c>
      <c r="E17335" t="s">
        <v>12</v>
      </c>
      <c r="F17335">
        <v>70725856</v>
      </c>
      <c r="G17335">
        <v>70725871</v>
      </c>
      <c r="H17335">
        <v>70725856</v>
      </c>
      <c r="I17335">
        <v>70725871</v>
      </c>
    </row>
    <row r="17336" spans="1:9" x14ac:dyDescent="0.2">
      <c r="A17336" s="1" t="str">
        <f>"SULT2A1"</f>
        <v>SULT2A1</v>
      </c>
      <c r="B17336" t="s">
        <v>14</v>
      </c>
      <c r="C17336" t="s">
        <v>10</v>
      </c>
      <c r="D17336" t="s">
        <v>11</v>
      </c>
      <c r="E17336" t="s">
        <v>12</v>
      </c>
      <c r="F17336">
        <v>48389565</v>
      </c>
      <c r="G17336">
        <v>48389606</v>
      </c>
      <c r="H17336">
        <v>48389565</v>
      </c>
      <c r="I17336">
        <v>48389606</v>
      </c>
    </row>
    <row r="17337" spans="1:9" x14ac:dyDescent="0.2">
      <c r="A17337" s="1" t="str">
        <f>"SULT2B1"</f>
        <v>SULT2B1</v>
      </c>
      <c r="B17337" t="s">
        <v>14</v>
      </c>
      <c r="C17337" t="s">
        <v>10</v>
      </c>
      <c r="D17337" t="s">
        <v>17</v>
      </c>
      <c r="E17337" t="s">
        <v>12</v>
      </c>
      <c r="F17337">
        <v>49055416</v>
      </c>
      <c r="G17337">
        <v>49055451</v>
      </c>
      <c r="H17337">
        <v>49055390</v>
      </c>
      <c r="I17337">
        <v>49055410</v>
      </c>
    </row>
    <row r="17338" spans="1:9" x14ac:dyDescent="0.2">
      <c r="A17338" s="1" t="str">
        <f>"SULT4A1"</f>
        <v>SULT4A1</v>
      </c>
      <c r="B17338" t="s">
        <v>14</v>
      </c>
      <c r="C17338" t="s">
        <v>21</v>
      </c>
      <c r="D17338" t="s">
        <v>11</v>
      </c>
      <c r="E17338" t="s">
        <v>12</v>
      </c>
      <c r="F17338">
        <v>44258280</v>
      </c>
      <c r="G17338">
        <v>44258336</v>
      </c>
      <c r="H17338">
        <v>44258360</v>
      </c>
      <c r="I17338">
        <v>44258402</v>
      </c>
    </row>
    <row r="17339" spans="1:9" x14ac:dyDescent="0.2">
      <c r="A17339" s="1" t="str">
        <f>"SULT6B1"</f>
        <v>SULT6B1</v>
      </c>
      <c r="B17339" t="s">
        <v>14</v>
      </c>
      <c r="C17339" t="s">
        <v>26</v>
      </c>
      <c r="D17339" t="s">
        <v>11</v>
      </c>
      <c r="E17339" t="s">
        <v>12</v>
      </c>
      <c r="F17339">
        <v>37424221</v>
      </c>
      <c r="G17339">
        <v>37424234</v>
      </c>
      <c r="H17339">
        <v>37424221</v>
      </c>
      <c r="I17339">
        <v>37424234</v>
      </c>
    </row>
    <row r="17340" spans="1:9" x14ac:dyDescent="0.2">
      <c r="A17340" s="1" t="str">
        <f>"SUMF1"</f>
        <v>SUMF1</v>
      </c>
      <c r="B17340" t="s">
        <v>14</v>
      </c>
      <c r="C17340" t="s">
        <v>22</v>
      </c>
      <c r="D17340" t="s">
        <v>11</v>
      </c>
      <c r="E17340" t="s">
        <v>12</v>
      </c>
      <c r="F17340">
        <v>4508925</v>
      </c>
      <c r="G17340">
        <v>4508962</v>
      </c>
      <c r="H17340">
        <v>4508739</v>
      </c>
      <c r="I17340">
        <v>4508751</v>
      </c>
    </row>
    <row r="17341" spans="1:9" x14ac:dyDescent="0.2">
      <c r="A17341" s="1" t="str">
        <f>"SUMF2"</f>
        <v>SUMF2</v>
      </c>
      <c r="B17341" t="s">
        <v>9</v>
      </c>
      <c r="C17341" t="s">
        <v>33</v>
      </c>
      <c r="D17341" t="s">
        <v>17</v>
      </c>
      <c r="E17341" t="s">
        <v>12</v>
      </c>
      <c r="F17341">
        <v>56131942</v>
      </c>
      <c r="G17341">
        <v>56132009</v>
      </c>
      <c r="H17341">
        <v>56131942</v>
      </c>
      <c r="I17341">
        <v>56132009</v>
      </c>
    </row>
    <row r="17342" spans="1:9" x14ac:dyDescent="0.2">
      <c r="A17342" s="1" t="str">
        <f>"SUMF2"</f>
        <v>SUMF2</v>
      </c>
      <c r="B17342" t="s">
        <v>13</v>
      </c>
      <c r="C17342" t="s">
        <v>33</v>
      </c>
      <c r="D17342" t="s">
        <v>17</v>
      </c>
      <c r="E17342" t="s">
        <v>12</v>
      </c>
      <c r="F17342">
        <v>56147976</v>
      </c>
      <c r="G17342">
        <v>56147979</v>
      </c>
      <c r="H17342">
        <v>56147976</v>
      </c>
      <c r="I17342">
        <v>56147979</v>
      </c>
    </row>
    <row r="17343" spans="1:9" x14ac:dyDescent="0.2">
      <c r="A17343" s="1" t="str">
        <f>"SUMO1"</f>
        <v>SUMO1</v>
      </c>
      <c r="B17343" t="s">
        <v>14</v>
      </c>
      <c r="C17343" t="s">
        <v>26</v>
      </c>
      <c r="D17343" t="s">
        <v>11</v>
      </c>
      <c r="E17343" t="s">
        <v>12</v>
      </c>
      <c r="F17343">
        <v>203103281</v>
      </c>
      <c r="G17343">
        <v>203103327</v>
      </c>
      <c r="H17343">
        <v>203103241</v>
      </c>
      <c r="I17343">
        <v>203103254</v>
      </c>
    </row>
    <row r="17344" spans="1:9" x14ac:dyDescent="0.2">
      <c r="A17344" s="1" t="str">
        <f>"SUMO2"</f>
        <v>SUMO2</v>
      </c>
      <c r="B17344" t="s">
        <v>14</v>
      </c>
      <c r="C17344" t="s">
        <v>28</v>
      </c>
      <c r="D17344" t="s">
        <v>11</v>
      </c>
      <c r="E17344" t="s">
        <v>12</v>
      </c>
      <c r="F17344">
        <v>73179046</v>
      </c>
      <c r="G17344">
        <v>73179070</v>
      </c>
      <c r="H17344">
        <v>73179228</v>
      </c>
      <c r="I17344">
        <v>73179247</v>
      </c>
    </row>
    <row r="17345" spans="1:9" x14ac:dyDescent="0.2">
      <c r="A17345" s="1" t="str">
        <f>"SUMO3"</f>
        <v>SUMO3</v>
      </c>
      <c r="B17345" t="s">
        <v>14</v>
      </c>
      <c r="C17345" t="s">
        <v>42</v>
      </c>
      <c r="D17345" t="s">
        <v>11</v>
      </c>
      <c r="E17345" t="s">
        <v>12</v>
      </c>
      <c r="F17345">
        <v>46237959</v>
      </c>
      <c r="G17345">
        <v>46238011</v>
      </c>
      <c r="H17345">
        <v>46238034</v>
      </c>
      <c r="I17345">
        <v>46238051</v>
      </c>
    </row>
    <row r="17346" spans="1:9" x14ac:dyDescent="0.2">
      <c r="A17346" s="1" t="str">
        <f>"SUMO4"</f>
        <v>SUMO4</v>
      </c>
      <c r="B17346" t="s">
        <v>14</v>
      </c>
      <c r="C17346" t="s">
        <v>32</v>
      </c>
      <c r="D17346" t="s">
        <v>17</v>
      </c>
      <c r="E17346" t="s">
        <v>12</v>
      </c>
      <c r="F17346">
        <v>149721396</v>
      </c>
      <c r="G17346">
        <v>149721410</v>
      </c>
      <c r="H17346">
        <v>149721396</v>
      </c>
      <c r="I17346">
        <v>149721410</v>
      </c>
    </row>
    <row r="17347" spans="1:9" x14ac:dyDescent="0.2">
      <c r="A17347" s="1" t="str">
        <f>"SUN1"</f>
        <v>SUN1</v>
      </c>
      <c r="B17347" t="s">
        <v>9</v>
      </c>
      <c r="C17347" t="s">
        <v>33</v>
      </c>
      <c r="D17347" t="s">
        <v>17</v>
      </c>
      <c r="E17347" t="s">
        <v>12</v>
      </c>
      <c r="F17347">
        <v>856246</v>
      </c>
      <c r="G17347">
        <v>856289</v>
      </c>
      <c r="H17347">
        <v>856246</v>
      </c>
      <c r="I17347">
        <v>856289</v>
      </c>
    </row>
    <row r="17348" spans="1:9" x14ac:dyDescent="0.2">
      <c r="A17348" s="1" t="str">
        <f>"SUN1"</f>
        <v>SUN1</v>
      </c>
      <c r="B17348" t="s">
        <v>13</v>
      </c>
      <c r="C17348" t="s">
        <v>33</v>
      </c>
      <c r="D17348" t="s">
        <v>17</v>
      </c>
      <c r="E17348" t="s">
        <v>12</v>
      </c>
      <c r="F17348">
        <v>872107</v>
      </c>
      <c r="G17348">
        <v>872145</v>
      </c>
      <c r="H17348">
        <v>872107</v>
      </c>
      <c r="I17348">
        <v>872145</v>
      </c>
    </row>
    <row r="17349" spans="1:9" x14ac:dyDescent="0.2">
      <c r="A17349" s="1" t="str">
        <f>"SUN2"</f>
        <v>SUN2</v>
      </c>
      <c r="B17349" t="s">
        <v>14</v>
      </c>
      <c r="C17349" t="s">
        <v>21</v>
      </c>
      <c r="D17349" t="s">
        <v>11</v>
      </c>
      <c r="E17349" t="s">
        <v>12</v>
      </c>
      <c r="F17349">
        <v>39151995</v>
      </c>
      <c r="G17349">
        <v>39152045</v>
      </c>
      <c r="H17349">
        <v>39151975</v>
      </c>
      <c r="I17349">
        <v>39151994</v>
      </c>
    </row>
    <row r="17350" spans="1:9" x14ac:dyDescent="0.2">
      <c r="A17350" s="1" t="str">
        <f>"SUN3"</f>
        <v>SUN3</v>
      </c>
      <c r="B17350" t="s">
        <v>9</v>
      </c>
      <c r="C17350" t="s">
        <v>33</v>
      </c>
      <c r="D17350" t="s">
        <v>11</v>
      </c>
      <c r="E17350" t="s">
        <v>12</v>
      </c>
      <c r="F17350">
        <v>48039832</v>
      </c>
      <c r="G17350">
        <v>48039849</v>
      </c>
      <c r="H17350">
        <v>48039832</v>
      </c>
      <c r="I17350">
        <v>48039849</v>
      </c>
    </row>
    <row r="17351" spans="1:9" x14ac:dyDescent="0.2">
      <c r="A17351" s="1" t="str">
        <f>"SUN3"</f>
        <v>SUN3</v>
      </c>
      <c r="B17351" t="s">
        <v>13</v>
      </c>
      <c r="C17351" t="s">
        <v>33</v>
      </c>
      <c r="D17351" t="s">
        <v>11</v>
      </c>
      <c r="E17351" t="s">
        <v>12</v>
      </c>
      <c r="F17351">
        <v>48068671</v>
      </c>
      <c r="G17351">
        <v>48068695</v>
      </c>
      <c r="H17351">
        <v>48068671</v>
      </c>
      <c r="I17351">
        <v>48068695</v>
      </c>
    </row>
    <row r="17352" spans="1:9" x14ac:dyDescent="0.2">
      <c r="A17352" s="1" t="str">
        <f>"SUN5"</f>
        <v>SUN5</v>
      </c>
      <c r="B17352" t="s">
        <v>14</v>
      </c>
      <c r="C17352" t="s">
        <v>29</v>
      </c>
      <c r="D17352" t="s">
        <v>11</v>
      </c>
      <c r="E17352" t="s">
        <v>12</v>
      </c>
      <c r="F17352">
        <v>31592226</v>
      </c>
      <c r="G17352">
        <v>31592244</v>
      </c>
      <c r="H17352">
        <v>31592226</v>
      </c>
      <c r="I17352">
        <v>31592244</v>
      </c>
    </row>
    <row r="17353" spans="1:9" x14ac:dyDescent="0.2">
      <c r="A17353" s="1" t="str">
        <f>"SUOX"</f>
        <v>SUOX</v>
      </c>
      <c r="B17353" t="s">
        <v>14</v>
      </c>
      <c r="C17353" t="s">
        <v>16</v>
      </c>
      <c r="D17353" t="s">
        <v>17</v>
      </c>
      <c r="E17353" t="s">
        <v>12</v>
      </c>
      <c r="F17353">
        <v>56391036</v>
      </c>
      <c r="G17353">
        <v>56391107</v>
      </c>
      <c r="H17353">
        <v>56391036</v>
      </c>
      <c r="I17353">
        <v>56391107</v>
      </c>
    </row>
    <row r="17354" spans="1:9" x14ac:dyDescent="0.2">
      <c r="A17354" s="1" t="str">
        <f>"SUPT16H"</f>
        <v>SUPT16H</v>
      </c>
      <c r="B17354" t="s">
        <v>14</v>
      </c>
      <c r="C17354" t="s">
        <v>41</v>
      </c>
      <c r="D17354" t="s">
        <v>11</v>
      </c>
      <c r="E17354" t="s">
        <v>12</v>
      </c>
      <c r="F17354">
        <v>21852148</v>
      </c>
      <c r="G17354">
        <v>21852186</v>
      </c>
      <c r="H17354">
        <v>21852119</v>
      </c>
      <c r="I17354">
        <v>21852143</v>
      </c>
    </row>
    <row r="17355" spans="1:9" x14ac:dyDescent="0.2">
      <c r="A17355" s="1" t="str">
        <f>"SUPT20H"</f>
        <v>SUPT20H</v>
      </c>
      <c r="B17355" t="s">
        <v>14</v>
      </c>
      <c r="C17355" t="s">
        <v>39</v>
      </c>
      <c r="D17355" t="s">
        <v>11</v>
      </c>
      <c r="E17355" t="s">
        <v>12</v>
      </c>
      <c r="F17355">
        <v>37633743</v>
      </c>
      <c r="G17355">
        <v>37633840</v>
      </c>
      <c r="H17355">
        <v>37633604</v>
      </c>
      <c r="I17355">
        <v>37633625</v>
      </c>
    </row>
    <row r="17356" spans="1:9" x14ac:dyDescent="0.2">
      <c r="A17356" s="1" t="str">
        <f>"SUPT3H"</f>
        <v>SUPT3H</v>
      </c>
      <c r="B17356" t="s">
        <v>14</v>
      </c>
      <c r="C17356" t="s">
        <v>32</v>
      </c>
      <c r="D17356" t="s">
        <v>11</v>
      </c>
      <c r="E17356" t="s">
        <v>12</v>
      </c>
      <c r="F17356">
        <v>45345597</v>
      </c>
      <c r="G17356">
        <v>45345721</v>
      </c>
      <c r="H17356">
        <v>45345544</v>
      </c>
      <c r="I17356">
        <v>45345586</v>
      </c>
    </row>
    <row r="17357" spans="1:9" x14ac:dyDescent="0.2">
      <c r="A17357" s="1" t="str">
        <f>"SUPT4H1"</f>
        <v>SUPT4H1</v>
      </c>
      <c r="B17357" t="s">
        <v>14</v>
      </c>
      <c r="C17357" t="s">
        <v>28</v>
      </c>
      <c r="D17357" t="s">
        <v>11</v>
      </c>
      <c r="E17357" t="s">
        <v>12</v>
      </c>
      <c r="F17357">
        <v>56429500</v>
      </c>
      <c r="G17357">
        <v>56429584</v>
      </c>
      <c r="H17357">
        <v>56429727</v>
      </c>
      <c r="I17357">
        <v>56429765</v>
      </c>
    </row>
    <row r="17358" spans="1:9" x14ac:dyDescent="0.2">
      <c r="A17358" s="1" t="str">
        <f>"SUPT5H"</f>
        <v>SUPT5H</v>
      </c>
      <c r="B17358" t="s">
        <v>14</v>
      </c>
      <c r="C17358" t="s">
        <v>10</v>
      </c>
      <c r="D17358" t="s">
        <v>17</v>
      </c>
      <c r="E17358" t="s">
        <v>12</v>
      </c>
      <c r="F17358">
        <v>39936207</v>
      </c>
      <c r="G17358">
        <v>39936259</v>
      </c>
      <c r="H17358">
        <v>39936267</v>
      </c>
      <c r="I17358">
        <v>39936311</v>
      </c>
    </row>
    <row r="17359" spans="1:9" x14ac:dyDescent="0.2">
      <c r="A17359" s="1" t="str">
        <f>"SUPT6H"</f>
        <v>SUPT6H</v>
      </c>
      <c r="B17359" t="s">
        <v>14</v>
      </c>
      <c r="C17359" t="s">
        <v>28</v>
      </c>
      <c r="D17359" t="s">
        <v>17</v>
      </c>
      <c r="E17359" t="s">
        <v>12</v>
      </c>
      <c r="F17359">
        <v>26989201</v>
      </c>
      <c r="G17359">
        <v>26989248</v>
      </c>
      <c r="H17359">
        <v>26989255</v>
      </c>
      <c r="I17359">
        <v>26989297</v>
      </c>
    </row>
    <row r="17360" spans="1:9" x14ac:dyDescent="0.2">
      <c r="A17360" s="1" t="str">
        <f>"SUPT7L"</f>
        <v>SUPT7L</v>
      </c>
      <c r="B17360" t="s">
        <v>14</v>
      </c>
      <c r="C17360" t="s">
        <v>26</v>
      </c>
      <c r="D17360" t="s">
        <v>11</v>
      </c>
      <c r="E17360" t="s">
        <v>12</v>
      </c>
      <c r="F17360">
        <v>27886460</v>
      </c>
      <c r="G17360">
        <v>27886511</v>
      </c>
      <c r="H17360">
        <v>27886432</v>
      </c>
      <c r="I17360">
        <v>27886452</v>
      </c>
    </row>
    <row r="17361" spans="1:9" x14ac:dyDescent="0.2">
      <c r="A17361" s="1" t="str">
        <f>"SUPV3L1"</f>
        <v>SUPV3L1</v>
      </c>
      <c r="B17361" t="s">
        <v>14</v>
      </c>
      <c r="C17361" t="s">
        <v>15</v>
      </c>
      <c r="D17361" t="s">
        <v>17</v>
      </c>
      <c r="E17361" t="s">
        <v>12</v>
      </c>
      <c r="F17361">
        <v>70939983</v>
      </c>
      <c r="G17361">
        <v>70940040</v>
      </c>
      <c r="H17361">
        <v>70939983</v>
      </c>
      <c r="I17361">
        <v>70940040</v>
      </c>
    </row>
    <row r="17362" spans="1:9" x14ac:dyDescent="0.2">
      <c r="A17362" s="1" t="str">
        <f>"SURF1"</f>
        <v>SURF1</v>
      </c>
      <c r="B17362" t="s">
        <v>14</v>
      </c>
      <c r="C17362" t="s">
        <v>24</v>
      </c>
      <c r="D17362" t="s">
        <v>11</v>
      </c>
      <c r="E17362" t="s">
        <v>12</v>
      </c>
      <c r="F17362">
        <v>136223324</v>
      </c>
      <c r="G17362">
        <v>136223371</v>
      </c>
      <c r="H17362">
        <v>136223324</v>
      </c>
      <c r="I17362">
        <v>136223371</v>
      </c>
    </row>
    <row r="17363" spans="1:9" x14ac:dyDescent="0.2">
      <c r="A17363" s="1" t="str">
        <f>"SURF2"</f>
        <v>SURF2</v>
      </c>
      <c r="B17363" t="s">
        <v>14</v>
      </c>
      <c r="C17363" t="s">
        <v>24</v>
      </c>
      <c r="D17363" t="s">
        <v>17</v>
      </c>
      <c r="E17363" t="s">
        <v>12</v>
      </c>
      <c r="F17363">
        <v>136223414</v>
      </c>
      <c r="G17363">
        <v>136223474</v>
      </c>
      <c r="H17363">
        <v>136223395</v>
      </c>
      <c r="I17363">
        <v>136223407</v>
      </c>
    </row>
    <row r="17364" spans="1:9" x14ac:dyDescent="0.2">
      <c r="A17364" s="1" t="str">
        <f>"SURF4"</f>
        <v>SURF4</v>
      </c>
      <c r="B17364" t="s">
        <v>14</v>
      </c>
      <c r="C17364" t="s">
        <v>24</v>
      </c>
      <c r="D17364" t="s">
        <v>11</v>
      </c>
      <c r="E17364" t="s">
        <v>12</v>
      </c>
      <c r="F17364">
        <v>136242909</v>
      </c>
      <c r="G17364">
        <v>136242953</v>
      </c>
      <c r="H17364">
        <v>136242956</v>
      </c>
      <c r="I17364">
        <v>136242976</v>
      </c>
    </row>
    <row r="17365" spans="1:9" x14ac:dyDescent="0.2">
      <c r="A17365" s="1" t="str">
        <f>"SURF6"</f>
        <v>SURF6</v>
      </c>
      <c r="B17365" t="s">
        <v>14</v>
      </c>
      <c r="C17365" t="s">
        <v>24</v>
      </c>
      <c r="D17365" t="s">
        <v>11</v>
      </c>
      <c r="E17365" t="s">
        <v>12</v>
      </c>
      <c r="F17365">
        <v>136203006</v>
      </c>
      <c r="G17365">
        <v>136203055</v>
      </c>
      <c r="H17365">
        <v>136202985</v>
      </c>
      <c r="I17365">
        <v>136203005</v>
      </c>
    </row>
    <row r="17366" spans="1:9" x14ac:dyDescent="0.2">
      <c r="A17366" s="1" t="str">
        <f>"SUSD1"</f>
        <v>SUSD1</v>
      </c>
      <c r="B17366" t="s">
        <v>14</v>
      </c>
      <c r="C17366" t="s">
        <v>24</v>
      </c>
      <c r="D17366" t="s">
        <v>11</v>
      </c>
      <c r="E17366" t="s">
        <v>12</v>
      </c>
      <c r="F17366">
        <v>114937563</v>
      </c>
      <c r="G17366">
        <v>114937655</v>
      </c>
      <c r="H17366">
        <v>114937699</v>
      </c>
      <c r="I17366">
        <v>114937726</v>
      </c>
    </row>
    <row r="17367" spans="1:9" x14ac:dyDescent="0.2">
      <c r="A17367" s="1" t="str">
        <f>"SUSD2"</f>
        <v>SUSD2</v>
      </c>
      <c r="B17367" t="s">
        <v>14</v>
      </c>
      <c r="C17367" t="s">
        <v>21</v>
      </c>
      <c r="D17367" t="s">
        <v>17</v>
      </c>
      <c r="E17367" t="s">
        <v>12</v>
      </c>
      <c r="F17367">
        <v>24577444</v>
      </c>
      <c r="G17367">
        <v>24577465</v>
      </c>
      <c r="H17367">
        <v>24577183</v>
      </c>
      <c r="I17367">
        <v>24577194</v>
      </c>
    </row>
    <row r="17368" spans="1:9" x14ac:dyDescent="0.2">
      <c r="A17368" s="1" t="str">
        <f>"SUSD3"</f>
        <v>SUSD3</v>
      </c>
      <c r="B17368" t="s">
        <v>14</v>
      </c>
      <c r="C17368" t="s">
        <v>24</v>
      </c>
      <c r="D17368" t="s">
        <v>17</v>
      </c>
      <c r="E17368" t="s">
        <v>12</v>
      </c>
      <c r="F17368">
        <v>95820966</v>
      </c>
      <c r="G17368">
        <v>95821019</v>
      </c>
      <c r="H17368">
        <v>95820966</v>
      </c>
      <c r="I17368">
        <v>95821019</v>
      </c>
    </row>
    <row r="17369" spans="1:9" x14ac:dyDescent="0.2">
      <c r="A17369" s="1" t="str">
        <f>"SUSD4"</f>
        <v>SUSD4</v>
      </c>
      <c r="B17369" t="s">
        <v>14</v>
      </c>
      <c r="C17369" t="s">
        <v>19</v>
      </c>
      <c r="D17369" t="s">
        <v>11</v>
      </c>
      <c r="E17369" t="s">
        <v>12</v>
      </c>
      <c r="F17369">
        <v>223537475</v>
      </c>
      <c r="G17369">
        <v>223537547</v>
      </c>
      <c r="H17369">
        <v>223537461</v>
      </c>
      <c r="I17369">
        <v>223537474</v>
      </c>
    </row>
    <row r="17370" spans="1:9" x14ac:dyDescent="0.2">
      <c r="A17370" s="1" t="str">
        <f>"SUSD5"</f>
        <v>SUSD5</v>
      </c>
      <c r="B17370" t="s">
        <v>14</v>
      </c>
      <c r="C17370" t="s">
        <v>22</v>
      </c>
      <c r="D17370" t="s">
        <v>11</v>
      </c>
      <c r="E17370" t="s">
        <v>12</v>
      </c>
      <c r="F17370">
        <v>33260283</v>
      </c>
      <c r="G17370">
        <v>33260346</v>
      </c>
      <c r="H17370">
        <v>33260373</v>
      </c>
      <c r="I17370">
        <v>33260422</v>
      </c>
    </row>
    <row r="17371" spans="1:9" x14ac:dyDescent="0.2">
      <c r="A17371" s="1" t="str">
        <f>"SUV39H1"</f>
        <v>SUV39H1</v>
      </c>
      <c r="B17371" t="s">
        <v>14</v>
      </c>
      <c r="C17371" t="s">
        <v>37</v>
      </c>
      <c r="D17371" t="s">
        <v>17</v>
      </c>
      <c r="E17371" t="s">
        <v>12</v>
      </c>
      <c r="F17371">
        <v>48555110</v>
      </c>
      <c r="G17371">
        <v>48555164</v>
      </c>
      <c r="H17371">
        <v>48554933</v>
      </c>
      <c r="I17371">
        <v>48554978</v>
      </c>
    </row>
    <row r="17372" spans="1:9" x14ac:dyDescent="0.2">
      <c r="A17372" s="1" t="str">
        <f>"SUV39H2"</f>
        <v>SUV39H2</v>
      </c>
      <c r="B17372" t="s">
        <v>14</v>
      </c>
      <c r="C17372" t="s">
        <v>15</v>
      </c>
      <c r="D17372" t="s">
        <v>17</v>
      </c>
      <c r="E17372" t="s">
        <v>12</v>
      </c>
      <c r="F17372">
        <v>14920843</v>
      </c>
      <c r="G17372">
        <v>14920886</v>
      </c>
      <c r="H17372">
        <v>14920776</v>
      </c>
      <c r="I17372">
        <v>14920787</v>
      </c>
    </row>
    <row r="17373" spans="1:9" x14ac:dyDescent="0.2">
      <c r="A17373" s="1" t="str">
        <f>"SUV420H1"</f>
        <v>SUV420H1</v>
      </c>
      <c r="B17373" t="s">
        <v>14</v>
      </c>
      <c r="C17373" t="s">
        <v>27</v>
      </c>
      <c r="D17373" t="s">
        <v>11</v>
      </c>
      <c r="E17373" t="s">
        <v>12</v>
      </c>
      <c r="F17373">
        <v>67981046</v>
      </c>
      <c r="G17373">
        <v>67981159</v>
      </c>
      <c r="H17373">
        <v>67980744</v>
      </c>
      <c r="I17373">
        <v>67980799</v>
      </c>
    </row>
    <row r="17374" spans="1:9" x14ac:dyDescent="0.2">
      <c r="A17374" s="1" t="str">
        <f>"SUV420H2"</f>
        <v>SUV420H2</v>
      </c>
      <c r="B17374" t="s">
        <v>14</v>
      </c>
      <c r="C17374" t="s">
        <v>10</v>
      </c>
      <c r="D17374" t="s">
        <v>17</v>
      </c>
      <c r="E17374" t="s">
        <v>12</v>
      </c>
      <c r="F17374">
        <v>55851236</v>
      </c>
      <c r="G17374">
        <v>55851285</v>
      </c>
      <c r="H17374">
        <v>55851236</v>
      </c>
      <c r="I17374">
        <v>55851285</v>
      </c>
    </row>
    <row r="17375" spans="1:9" x14ac:dyDescent="0.2">
      <c r="A17375" s="1" t="str">
        <f>"SUZ12"</f>
        <v>SUZ12</v>
      </c>
      <c r="B17375" t="s">
        <v>14</v>
      </c>
      <c r="C17375" t="s">
        <v>28</v>
      </c>
      <c r="D17375" t="s">
        <v>17</v>
      </c>
      <c r="E17375" t="s">
        <v>12</v>
      </c>
      <c r="F17375">
        <v>30264014</v>
      </c>
      <c r="G17375">
        <v>30264042</v>
      </c>
      <c r="H17375">
        <v>30264052</v>
      </c>
      <c r="I17375">
        <v>30264088</v>
      </c>
    </row>
    <row r="17376" spans="1:9" x14ac:dyDescent="0.2">
      <c r="A17376" s="1" t="str">
        <f>"SV2A"</f>
        <v>SV2A</v>
      </c>
      <c r="B17376" t="s">
        <v>14</v>
      </c>
      <c r="C17376" t="s">
        <v>19</v>
      </c>
      <c r="D17376" t="s">
        <v>11</v>
      </c>
      <c r="E17376" t="s">
        <v>12</v>
      </c>
      <c r="F17376">
        <v>149889382</v>
      </c>
      <c r="G17376">
        <v>149889404</v>
      </c>
      <c r="H17376">
        <v>149889362</v>
      </c>
      <c r="I17376">
        <v>149889373</v>
      </c>
    </row>
    <row r="17377" spans="1:9" x14ac:dyDescent="0.2">
      <c r="A17377" s="1" t="str">
        <f>"SV2B"</f>
        <v>SV2B</v>
      </c>
      <c r="B17377" t="s">
        <v>14</v>
      </c>
      <c r="C17377" t="s">
        <v>25</v>
      </c>
      <c r="D17377" t="s">
        <v>17</v>
      </c>
      <c r="E17377" t="s">
        <v>12</v>
      </c>
      <c r="F17377">
        <v>91643442</v>
      </c>
      <c r="G17377">
        <v>91643521</v>
      </c>
      <c r="H17377">
        <v>91643259</v>
      </c>
      <c r="I17377">
        <v>91643283</v>
      </c>
    </row>
    <row r="17378" spans="1:9" x14ac:dyDescent="0.2">
      <c r="A17378" s="1" t="str">
        <f>"SV2C"</f>
        <v>SV2C</v>
      </c>
      <c r="B17378" t="s">
        <v>14</v>
      </c>
      <c r="C17378" t="s">
        <v>46</v>
      </c>
      <c r="D17378" t="s">
        <v>17</v>
      </c>
      <c r="E17378" t="s">
        <v>12</v>
      </c>
      <c r="F17378">
        <v>75379186</v>
      </c>
      <c r="G17378">
        <v>75379220</v>
      </c>
      <c r="H17378">
        <v>75379224</v>
      </c>
      <c r="I17378">
        <v>75379243</v>
      </c>
    </row>
    <row r="17379" spans="1:9" x14ac:dyDescent="0.2">
      <c r="A17379" s="1" t="str">
        <f>"SVEP1"</f>
        <v>SVEP1</v>
      </c>
      <c r="B17379" t="s">
        <v>14</v>
      </c>
      <c r="C17379" t="s">
        <v>24</v>
      </c>
      <c r="D17379" t="s">
        <v>11</v>
      </c>
      <c r="E17379" t="s">
        <v>12</v>
      </c>
      <c r="F17379">
        <v>113341985</v>
      </c>
      <c r="G17379">
        <v>113342040</v>
      </c>
      <c r="H17379">
        <v>113341836</v>
      </c>
      <c r="I17379">
        <v>113341899</v>
      </c>
    </row>
    <row r="17380" spans="1:9" x14ac:dyDescent="0.2">
      <c r="A17380" s="1" t="str">
        <f>"SVIL"</f>
        <v>SVIL</v>
      </c>
      <c r="B17380" t="s">
        <v>9</v>
      </c>
      <c r="C17380" t="s">
        <v>15</v>
      </c>
      <c r="D17380" t="s">
        <v>11</v>
      </c>
      <c r="E17380" t="s">
        <v>12</v>
      </c>
      <c r="F17380">
        <v>29923893</v>
      </c>
      <c r="G17380">
        <v>29923907</v>
      </c>
      <c r="H17380">
        <v>29923893</v>
      </c>
      <c r="I17380">
        <v>29923907</v>
      </c>
    </row>
    <row r="17381" spans="1:9" x14ac:dyDescent="0.2">
      <c r="A17381" s="1" t="str">
        <f>"SVIL"</f>
        <v>SVIL</v>
      </c>
      <c r="B17381" t="s">
        <v>13</v>
      </c>
      <c r="C17381" t="s">
        <v>15</v>
      </c>
      <c r="D17381" t="s">
        <v>11</v>
      </c>
      <c r="E17381" t="s">
        <v>12</v>
      </c>
      <c r="F17381">
        <v>30025857</v>
      </c>
      <c r="G17381">
        <v>30025872</v>
      </c>
      <c r="H17381">
        <v>30025857</v>
      </c>
      <c r="I17381">
        <v>30025872</v>
      </c>
    </row>
    <row r="17382" spans="1:9" x14ac:dyDescent="0.2">
      <c r="A17382" s="1" t="str">
        <f>"SVIP"</f>
        <v>SVIP</v>
      </c>
      <c r="B17382" t="s">
        <v>14</v>
      </c>
      <c r="C17382" t="s">
        <v>27</v>
      </c>
      <c r="D17382" t="s">
        <v>11</v>
      </c>
      <c r="E17382" t="s">
        <v>12</v>
      </c>
      <c r="F17382">
        <v>22851367</v>
      </c>
      <c r="G17382">
        <v>22851397</v>
      </c>
      <c r="H17382">
        <v>22851339</v>
      </c>
      <c r="I17382">
        <v>22851356</v>
      </c>
    </row>
    <row r="17383" spans="1:9" x14ac:dyDescent="0.2">
      <c r="A17383" s="1" t="str">
        <f>"SVOP"</f>
        <v>SVOP</v>
      </c>
      <c r="B17383" t="s">
        <v>1624</v>
      </c>
      <c r="C17383" t="s">
        <v>16</v>
      </c>
      <c r="D17383" t="s">
        <v>11</v>
      </c>
      <c r="E17383" t="s">
        <v>20</v>
      </c>
      <c r="F17383">
        <v>109372438</v>
      </c>
      <c r="G17383">
        <v>109372438</v>
      </c>
      <c r="H17383">
        <v>109372438</v>
      </c>
      <c r="I17383">
        <v>109372438</v>
      </c>
    </row>
    <row r="17384" spans="1:9" x14ac:dyDescent="0.2">
      <c r="A17384" s="1" t="str">
        <f>"SVOPL"</f>
        <v>SVOPL</v>
      </c>
      <c r="B17384" t="s">
        <v>1625</v>
      </c>
      <c r="C17384" t="s">
        <v>33</v>
      </c>
      <c r="D17384" t="s">
        <v>11</v>
      </c>
      <c r="E17384" t="s">
        <v>20</v>
      </c>
      <c r="F17384">
        <v>138363823</v>
      </c>
      <c r="G17384">
        <v>138363823</v>
      </c>
      <c r="H17384">
        <v>138363823</v>
      </c>
      <c r="I17384">
        <v>138363823</v>
      </c>
    </row>
    <row r="17385" spans="1:9" x14ac:dyDescent="0.2">
      <c r="A17385" s="1" t="str">
        <f>"SWAP70"</f>
        <v>SWAP70</v>
      </c>
      <c r="B17385" t="s">
        <v>14</v>
      </c>
      <c r="C17385" t="s">
        <v>27</v>
      </c>
      <c r="D17385" t="s">
        <v>17</v>
      </c>
      <c r="E17385" t="s">
        <v>12</v>
      </c>
      <c r="F17385">
        <v>9685604</v>
      </c>
      <c r="G17385">
        <v>9685706</v>
      </c>
      <c r="H17385">
        <v>9685751</v>
      </c>
      <c r="I17385">
        <v>9685772</v>
      </c>
    </row>
    <row r="17386" spans="1:9" x14ac:dyDescent="0.2">
      <c r="A17386" s="1" t="str">
        <f>"SWI5"</f>
        <v>SWI5</v>
      </c>
      <c r="B17386" t="s">
        <v>14</v>
      </c>
      <c r="C17386" t="s">
        <v>24</v>
      </c>
      <c r="D17386" t="s">
        <v>17</v>
      </c>
      <c r="E17386" t="s">
        <v>12</v>
      </c>
      <c r="F17386">
        <v>131038514</v>
      </c>
      <c r="G17386">
        <v>131038579</v>
      </c>
      <c r="H17386">
        <v>131037623</v>
      </c>
      <c r="I17386">
        <v>131037664</v>
      </c>
    </row>
    <row r="17387" spans="1:9" x14ac:dyDescent="0.2">
      <c r="A17387" s="1" t="str">
        <f>"SWSAP1"</f>
        <v>SWSAP1</v>
      </c>
      <c r="B17387" t="s">
        <v>14</v>
      </c>
      <c r="C17387" t="s">
        <v>10</v>
      </c>
      <c r="D17387" t="s">
        <v>17</v>
      </c>
      <c r="E17387" t="s">
        <v>12</v>
      </c>
      <c r="F17387">
        <v>11485333</v>
      </c>
      <c r="G17387">
        <v>11485367</v>
      </c>
      <c r="H17387">
        <v>11485375</v>
      </c>
      <c r="I17387">
        <v>11485394</v>
      </c>
    </row>
    <row r="17388" spans="1:9" x14ac:dyDescent="0.2">
      <c r="A17388" s="1" t="str">
        <f>"SWT1"</f>
        <v>SWT1</v>
      </c>
      <c r="B17388" t="s">
        <v>14</v>
      </c>
      <c r="C17388" t="s">
        <v>19</v>
      </c>
      <c r="D17388" t="s">
        <v>17</v>
      </c>
      <c r="E17388" t="s">
        <v>12</v>
      </c>
      <c r="F17388">
        <v>185126385</v>
      </c>
      <c r="G17388">
        <v>185126431</v>
      </c>
      <c r="H17388">
        <v>185126598</v>
      </c>
      <c r="I17388">
        <v>185126655</v>
      </c>
    </row>
    <row r="17389" spans="1:9" x14ac:dyDescent="0.2">
      <c r="A17389" s="1" t="str">
        <f>"SYAP1"</f>
        <v>SYAP1</v>
      </c>
      <c r="B17389" t="s">
        <v>14</v>
      </c>
      <c r="C17389" t="s">
        <v>37</v>
      </c>
      <c r="D17389" t="s">
        <v>17</v>
      </c>
      <c r="E17389" t="s">
        <v>12</v>
      </c>
      <c r="F17389">
        <v>16737718</v>
      </c>
      <c r="G17389">
        <v>16737778</v>
      </c>
      <c r="H17389">
        <v>16737783</v>
      </c>
      <c r="I17389">
        <v>16737800</v>
      </c>
    </row>
    <row r="17390" spans="1:9" x14ac:dyDescent="0.2">
      <c r="A17390" s="1" t="str">
        <f>"SYBU"</f>
        <v>SYBU</v>
      </c>
      <c r="B17390" t="s">
        <v>9</v>
      </c>
      <c r="C17390" t="s">
        <v>30</v>
      </c>
      <c r="D17390" t="s">
        <v>11</v>
      </c>
      <c r="E17390" t="s">
        <v>12</v>
      </c>
      <c r="F17390">
        <v>110656995</v>
      </c>
      <c r="G17390">
        <v>110657075</v>
      </c>
      <c r="H17390">
        <v>110656995</v>
      </c>
      <c r="I17390">
        <v>110657075</v>
      </c>
    </row>
    <row r="17391" spans="1:9" x14ac:dyDescent="0.2">
      <c r="A17391" s="1" t="str">
        <f>"SYBU"</f>
        <v>SYBU</v>
      </c>
      <c r="B17391" t="s">
        <v>13</v>
      </c>
      <c r="C17391" t="s">
        <v>30</v>
      </c>
      <c r="D17391" t="s">
        <v>11</v>
      </c>
      <c r="E17391" t="s">
        <v>12</v>
      </c>
      <c r="F17391">
        <v>110660999</v>
      </c>
      <c r="G17391">
        <v>110661051</v>
      </c>
      <c r="H17391">
        <v>110660999</v>
      </c>
      <c r="I17391">
        <v>110661051</v>
      </c>
    </row>
    <row r="17392" spans="1:9" x14ac:dyDescent="0.2">
      <c r="A17392" s="1" t="str">
        <f>"SYCE1"</f>
        <v>SYCE1</v>
      </c>
      <c r="B17392" t="s">
        <v>14</v>
      </c>
      <c r="C17392" t="s">
        <v>15</v>
      </c>
      <c r="D17392" t="s">
        <v>11</v>
      </c>
      <c r="E17392" t="s">
        <v>12</v>
      </c>
      <c r="F17392">
        <v>135379045</v>
      </c>
      <c r="G17392">
        <v>135379073</v>
      </c>
      <c r="H17392">
        <v>135379074</v>
      </c>
      <c r="I17392">
        <v>135379092</v>
      </c>
    </row>
    <row r="17393" spans="1:9" x14ac:dyDescent="0.2">
      <c r="A17393" s="1" t="str">
        <f>"SYCE1L"</f>
        <v>SYCE1L</v>
      </c>
      <c r="B17393" t="s">
        <v>14</v>
      </c>
      <c r="C17393" t="s">
        <v>31</v>
      </c>
      <c r="D17393" t="s">
        <v>17</v>
      </c>
      <c r="E17393" t="s">
        <v>12</v>
      </c>
      <c r="F17393">
        <v>77246202</v>
      </c>
      <c r="G17393">
        <v>77246229</v>
      </c>
      <c r="H17393">
        <v>77246148</v>
      </c>
      <c r="I17393">
        <v>77246201</v>
      </c>
    </row>
    <row r="17394" spans="1:9" x14ac:dyDescent="0.2">
      <c r="A17394" s="1" t="str">
        <f>"SYCE2"</f>
        <v>SYCE2</v>
      </c>
      <c r="B17394" t="s">
        <v>14</v>
      </c>
      <c r="C17394" t="s">
        <v>10</v>
      </c>
      <c r="D17394" t="s">
        <v>11</v>
      </c>
      <c r="E17394" t="s">
        <v>12</v>
      </c>
      <c r="F17394">
        <v>13030071</v>
      </c>
      <c r="G17394">
        <v>13030115</v>
      </c>
      <c r="H17394">
        <v>13030071</v>
      </c>
      <c r="I17394">
        <v>13030115</v>
      </c>
    </row>
    <row r="17395" spans="1:9" x14ac:dyDescent="0.2">
      <c r="A17395" s="1" t="str">
        <f>"SYCE3"</f>
        <v>SYCE3</v>
      </c>
      <c r="B17395" t="s">
        <v>14</v>
      </c>
      <c r="C17395" t="s">
        <v>21</v>
      </c>
      <c r="D17395" t="s">
        <v>11</v>
      </c>
      <c r="E17395" t="s">
        <v>12</v>
      </c>
      <c r="F17395">
        <v>51001332</v>
      </c>
      <c r="G17395">
        <v>51001369</v>
      </c>
      <c r="H17395">
        <v>51001311</v>
      </c>
      <c r="I17395">
        <v>51001326</v>
      </c>
    </row>
    <row r="17396" spans="1:9" x14ac:dyDescent="0.2">
      <c r="A17396" s="1" t="str">
        <f>"SYCN"</f>
        <v>SYCN</v>
      </c>
      <c r="B17396" t="s">
        <v>14</v>
      </c>
      <c r="C17396" t="s">
        <v>10</v>
      </c>
      <c r="D17396" t="s">
        <v>11</v>
      </c>
      <c r="E17396" t="s">
        <v>12</v>
      </c>
      <c r="F17396">
        <v>39694894</v>
      </c>
      <c r="G17396">
        <v>39694909</v>
      </c>
      <c r="H17396">
        <v>39694894</v>
      </c>
      <c r="I17396">
        <v>39694909</v>
      </c>
    </row>
    <row r="17397" spans="1:9" x14ac:dyDescent="0.2">
      <c r="A17397" s="1" t="str">
        <f>"SYCP1"</f>
        <v>SYCP1</v>
      </c>
      <c r="B17397" t="s">
        <v>14</v>
      </c>
      <c r="C17397" t="s">
        <v>19</v>
      </c>
      <c r="D17397" t="s">
        <v>17</v>
      </c>
      <c r="E17397" t="s">
        <v>12</v>
      </c>
      <c r="F17397">
        <v>115397479</v>
      </c>
      <c r="G17397">
        <v>115397490</v>
      </c>
      <c r="H17397">
        <v>115397453</v>
      </c>
      <c r="I17397">
        <v>115397468</v>
      </c>
    </row>
    <row r="17398" spans="1:9" x14ac:dyDescent="0.2">
      <c r="A17398" s="1" t="str">
        <f>"SYCP2"</f>
        <v>SYCP2</v>
      </c>
      <c r="B17398" t="s">
        <v>14</v>
      </c>
      <c r="C17398" t="s">
        <v>29</v>
      </c>
      <c r="D17398" t="s">
        <v>11</v>
      </c>
      <c r="E17398" t="s">
        <v>12</v>
      </c>
      <c r="F17398">
        <v>58508681</v>
      </c>
      <c r="G17398">
        <v>58508698</v>
      </c>
      <c r="H17398">
        <v>58508359</v>
      </c>
      <c r="I17398">
        <v>58508420</v>
      </c>
    </row>
    <row r="17399" spans="1:9" x14ac:dyDescent="0.2">
      <c r="A17399" s="1" t="str">
        <f>"SYCP2L"</f>
        <v>SYCP2L</v>
      </c>
      <c r="B17399" t="s">
        <v>1626</v>
      </c>
      <c r="C17399" t="s">
        <v>32</v>
      </c>
      <c r="D17399" t="s">
        <v>17</v>
      </c>
      <c r="E17399" t="s">
        <v>35</v>
      </c>
      <c r="F17399">
        <v>10887053</v>
      </c>
      <c r="G17399">
        <v>10887055</v>
      </c>
      <c r="H17399">
        <v>10887194</v>
      </c>
      <c r="I17399">
        <v>10887205</v>
      </c>
    </row>
    <row r="17400" spans="1:9" x14ac:dyDescent="0.2">
      <c r="A17400" s="1" t="str">
        <f>"SYCP3"</f>
        <v>SYCP3</v>
      </c>
      <c r="B17400" t="s">
        <v>14</v>
      </c>
      <c r="C17400" t="s">
        <v>16</v>
      </c>
      <c r="D17400" t="s">
        <v>11</v>
      </c>
      <c r="E17400" t="s">
        <v>12</v>
      </c>
      <c r="F17400">
        <v>102133233</v>
      </c>
      <c r="G17400">
        <v>102133245</v>
      </c>
      <c r="H17400">
        <v>102133233</v>
      </c>
      <c r="I17400">
        <v>102133245</v>
      </c>
    </row>
    <row r="17401" spans="1:9" x14ac:dyDescent="0.2">
      <c r="A17401" s="1" t="str">
        <f>"SYDE1"</f>
        <v>SYDE1</v>
      </c>
      <c r="B17401" t="s">
        <v>14</v>
      </c>
      <c r="C17401" t="s">
        <v>10</v>
      </c>
      <c r="D17401" t="s">
        <v>17</v>
      </c>
      <c r="E17401" t="s">
        <v>12</v>
      </c>
      <c r="F17401">
        <v>15218180</v>
      </c>
      <c r="G17401">
        <v>15218249</v>
      </c>
      <c r="H17401">
        <v>15218106</v>
      </c>
      <c r="I17401">
        <v>15218117</v>
      </c>
    </row>
    <row r="17402" spans="1:9" x14ac:dyDescent="0.2">
      <c r="A17402" s="1" t="str">
        <f>"SYDE2"</f>
        <v>SYDE2</v>
      </c>
      <c r="B17402" t="s">
        <v>14</v>
      </c>
      <c r="C17402" t="s">
        <v>19</v>
      </c>
      <c r="D17402" t="s">
        <v>11</v>
      </c>
      <c r="E17402" t="s">
        <v>12</v>
      </c>
      <c r="F17402">
        <v>85666688</v>
      </c>
      <c r="G17402">
        <v>85666718</v>
      </c>
      <c r="H17402">
        <v>85666655</v>
      </c>
      <c r="I17402">
        <v>85666675</v>
      </c>
    </row>
    <row r="17403" spans="1:9" x14ac:dyDescent="0.2">
      <c r="A17403" s="1" t="str">
        <f>"SYF2"</f>
        <v>SYF2</v>
      </c>
      <c r="B17403" t="s">
        <v>14</v>
      </c>
      <c r="C17403" t="s">
        <v>19</v>
      </c>
      <c r="D17403" t="s">
        <v>11</v>
      </c>
      <c r="E17403" t="s">
        <v>12</v>
      </c>
      <c r="F17403">
        <v>25558984</v>
      </c>
      <c r="G17403">
        <v>25559000</v>
      </c>
      <c r="H17403">
        <v>25558963</v>
      </c>
      <c r="I17403">
        <v>25558980</v>
      </c>
    </row>
    <row r="17404" spans="1:9" x14ac:dyDescent="0.2">
      <c r="A17404" s="1" t="str">
        <f>"SYK"</f>
        <v>SYK</v>
      </c>
      <c r="B17404" t="s">
        <v>9</v>
      </c>
      <c r="C17404" t="s">
        <v>24</v>
      </c>
      <c r="D17404" t="s">
        <v>17</v>
      </c>
      <c r="E17404" t="s">
        <v>12</v>
      </c>
      <c r="F17404">
        <v>93564039</v>
      </c>
      <c r="G17404">
        <v>93564107</v>
      </c>
      <c r="H17404">
        <v>93564039</v>
      </c>
      <c r="I17404">
        <v>93564107</v>
      </c>
    </row>
    <row r="17405" spans="1:9" x14ac:dyDescent="0.2">
      <c r="A17405" s="1" t="str">
        <f>"SYK"</f>
        <v>SYK</v>
      </c>
      <c r="B17405" t="s">
        <v>13</v>
      </c>
      <c r="C17405" t="s">
        <v>24</v>
      </c>
      <c r="D17405" t="s">
        <v>17</v>
      </c>
      <c r="E17405" t="s">
        <v>12</v>
      </c>
      <c r="F17405">
        <v>93589662</v>
      </c>
      <c r="G17405">
        <v>93589730</v>
      </c>
      <c r="H17405">
        <v>93589662</v>
      </c>
      <c r="I17405">
        <v>93589730</v>
      </c>
    </row>
    <row r="17406" spans="1:9" x14ac:dyDescent="0.2">
      <c r="A17406" s="1" t="str">
        <f>"SYMPK"</f>
        <v>SYMPK</v>
      </c>
      <c r="B17406" t="s">
        <v>14</v>
      </c>
      <c r="C17406" t="s">
        <v>10</v>
      </c>
      <c r="D17406" t="s">
        <v>11</v>
      </c>
      <c r="E17406" t="s">
        <v>12</v>
      </c>
      <c r="F17406">
        <v>46366392</v>
      </c>
      <c r="G17406">
        <v>46366430</v>
      </c>
      <c r="H17406">
        <v>46366507</v>
      </c>
      <c r="I17406">
        <v>46366554</v>
      </c>
    </row>
    <row r="17407" spans="1:9" x14ac:dyDescent="0.2">
      <c r="A17407" s="1" t="str">
        <f>"SYN1"</f>
        <v>SYN1</v>
      </c>
      <c r="B17407" t="s">
        <v>14</v>
      </c>
      <c r="C17407" t="s">
        <v>37</v>
      </c>
      <c r="D17407" t="s">
        <v>11</v>
      </c>
      <c r="E17407" t="s">
        <v>12</v>
      </c>
      <c r="F17407">
        <v>47479246</v>
      </c>
      <c r="G17407">
        <v>47479272</v>
      </c>
      <c r="H17407">
        <v>47479282</v>
      </c>
      <c r="I17407">
        <v>47479295</v>
      </c>
    </row>
    <row r="17408" spans="1:9" x14ac:dyDescent="0.2">
      <c r="A17408" s="1" t="str">
        <f>"SYN2"</f>
        <v>SYN2</v>
      </c>
      <c r="B17408" t="s">
        <v>14</v>
      </c>
      <c r="C17408" t="s">
        <v>22</v>
      </c>
      <c r="D17408" t="s">
        <v>17</v>
      </c>
      <c r="E17408" t="s">
        <v>12</v>
      </c>
      <c r="F17408">
        <v>12045853</v>
      </c>
      <c r="G17408">
        <v>12045869</v>
      </c>
      <c r="H17408">
        <v>12045814</v>
      </c>
      <c r="I17408">
        <v>12045834</v>
      </c>
    </row>
    <row r="17409" spans="1:9" x14ac:dyDescent="0.2">
      <c r="A17409" s="1" t="str">
        <f>"SYN3"</f>
        <v>SYN3</v>
      </c>
      <c r="B17409" t="s">
        <v>14</v>
      </c>
      <c r="C17409" t="s">
        <v>21</v>
      </c>
      <c r="D17409" t="s">
        <v>11</v>
      </c>
      <c r="E17409" t="s">
        <v>12</v>
      </c>
      <c r="F17409">
        <v>33454354</v>
      </c>
      <c r="G17409">
        <v>33454374</v>
      </c>
      <c r="H17409">
        <v>33454330</v>
      </c>
      <c r="I17409">
        <v>33454348</v>
      </c>
    </row>
    <row r="17410" spans="1:9" x14ac:dyDescent="0.2">
      <c r="A17410" s="1" t="str">
        <f>"SYNC"</f>
        <v>SYNC</v>
      </c>
      <c r="B17410" t="s">
        <v>14</v>
      </c>
      <c r="C17410" t="s">
        <v>19</v>
      </c>
      <c r="D17410" t="s">
        <v>11</v>
      </c>
      <c r="E17410" t="s">
        <v>12</v>
      </c>
      <c r="F17410">
        <v>33168336</v>
      </c>
      <c r="G17410">
        <v>33168386</v>
      </c>
      <c r="H17410">
        <v>33168390</v>
      </c>
      <c r="I17410">
        <v>33168404</v>
      </c>
    </row>
    <row r="17411" spans="1:9" x14ac:dyDescent="0.2">
      <c r="A17411" s="1" t="str">
        <f>"SYNCRIP"</f>
        <v>SYNCRIP</v>
      </c>
      <c r="B17411" t="s">
        <v>14</v>
      </c>
      <c r="C17411" t="s">
        <v>32</v>
      </c>
      <c r="D17411" t="s">
        <v>11</v>
      </c>
      <c r="E17411" t="s">
        <v>12</v>
      </c>
      <c r="F17411">
        <v>86352982</v>
      </c>
      <c r="G17411">
        <v>86353073</v>
      </c>
      <c r="H17411">
        <v>86352642</v>
      </c>
      <c r="I17411">
        <v>86352701</v>
      </c>
    </row>
    <row r="17412" spans="1:9" x14ac:dyDescent="0.2">
      <c r="A17412" s="1" t="str">
        <f>"SYNDIG1"</f>
        <v>SYNDIG1</v>
      </c>
      <c r="B17412" t="s">
        <v>14</v>
      </c>
      <c r="C17412" t="s">
        <v>29</v>
      </c>
      <c r="D17412" t="s">
        <v>17</v>
      </c>
      <c r="E17412" t="s">
        <v>12</v>
      </c>
      <c r="F17412">
        <v>24450259</v>
      </c>
      <c r="G17412">
        <v>24450346</v>
      </c>
      <c r="H17412">
        <v>24449953</v>
      </c>
      <c r="I17412">
        <v>24450011</v>
      </c>
    </row>
    <row r="17413" spans="1:9" x14ac:dyDescent="0.2">
      <c r="A17413" s="1" t="str">
        <f>"SYNDIG1L"</f>
        <v>SYNDIG1L</v>
      </c>
      <c r="B17413" t="s">
        <v>14</v>
      </c>
      <c r="C17413" t="s">
        <v>41</v>
      </c>
      <c r="D17413" t="s">
        <v>11</v>
      </c>
      <c r="E17413" t="s">
        <v>12</v>
      </c>
      <c r="F17413">
        <v>74892878</v>
      </c>
      <c r="G17413">
        <v>74892940</v>
      </c>
      <c r="H17413">
        <v>74892878</v>
      </c>
      <c r="I17413">
        <v>74892940</v>
      </c>
    </row>
    <row r="17414" spans="1:9" x14ac:dyDescent="0.2">
      <c r="A17414" s="1" t="str">
        <f>"SYNE1"</f>
        <v>SYNE1</v>
      </c>
      <c r="B17414" t="s">
        <v>1627</v>
      </c>
      <c r="C17414" t="s">
        <v>32</v>
      </c>
      <c r="D17414" t="s">
        <v>11</v>
      </c>
      <c r="E17414" t="s">
        <v>35</v>
      </c>
      <c r="F17414">
        <v>152958521</v>
      </c>
      <c r="G17414">
        <v>152958549</v>
      </c>
      <c r="H17414">
        <v>152958366</v>
      </c>
      <c r="I17414">
        <v>152958381</v>
      </c>
    </row>
    <row r="17415" spans="1:9" x14ac:dyDescent="0.2">
      <c r="A17415" s="1" t="str">
        <f>"SYNE1"</f>
        <v>SYNE1</v>
      </c>
      <c r="B17415" t="s">
        <v>1628</v>
      </c>
      <c r="C17415" t="s">
        <v>32</v>
      </c>
      <c r="D17415" t="s">
        <v>11</v>
      </c>
      <c r="E17415" t="s">
        <v>35</v>
      </c>
      <c r="F17415">
        <v>152958167</v>
      </c>
      <c r="G17415">
        <v>152958179</v>
      </c>
      <c r="H17415">
        <v>152957909</v>
      </c>
      <c r="I17415">
        <v>152957926</v>
      </c>
    </row>
    <row r="17416" spans="1:9" x14ac:dyDescent="0.2">
      <c r="A17416" s="1" t="str">
        <f>"SYNE2"</f>
        <v>SYNE2</v>
      </c>
      <c r="B17416" t="s">
        <v>14</v>
      </c>
      <c r="C17416" t="s">
        <v>41</v>
      </c>
      <c r="D17416" t="s">
        <v>17</v>
      </c>
      <c r="E17416" t="s">
        <v>12</v>
      </c>
      <c r="F17416">
        <v>64319669</v>
      </c>
      <c r="G17416">
        <v>64319739</v>
      </c>
      <c r="H17416">
        <v>64319669</v>
      </c>
      <c r="I17416">
        <v>64319739</v>
      </c>
    </row>
    <row r="17417" spans="1:9" x14ac:dyDescent="0.2">
      <c r="A17417" s="1" t="str">
        <f>"SYNE3"</f>
        <v>SYNE3</v>
      </c>
      <c r="B17417" t="s">
        <v>1629</v>
      </c>
      <c r="C17417" t="s">
        <v>41</v>
      </c>
      <c r="D17417" t="s">
        <v>11</v>
      </c>
      <c r="E17417" t="s">
        <v>20</v>
      </c>
      <c r="F17417">
        <v>95942172</v>
      </c>
      <c r="G17417">
        <v>95942172</v>
      </c>
      <c r="H17417">
        <v>95942172</v>
      </c>
      <c r="I17417">
        <v>95942172</v>
      </c>
    </row>
    <row r="17418" spans="1:9" x14ac:dyDescent="0.2">
      <c r="A17418" s="1" t="str">
        <f>"SYNE4"</f>
        <v>SYNE4</v>
      </c>
      <c r="B17418" t="s">
        <v>14</v>
      </c>
      <c r="C17418" t="s">
        <v>10</v>
      </c>
      <c r="D17418" t="s">
        <v>11</v>
      </c>
      <c r="E17418" t="s">
        <v>12</v>
      </c>
      <c r="F17418">
        <v>36499638</v>
      </c>
      <c r="G17418">
        <v>36499720</v>
      </c>
      <c r="H17418">
        <v>36500328</v>
      </c>
      <c r="I17418">
        <v>36500346</v>
      </c>
    </row>
    <row r="17419" spans="1:9" x14ac:dyDescent="0.2">
      <c r="A17419" s="1" t="str">
        <f>"SYNGAP1"</f>
        <v>SYNGAP1</v>
      </c>
      <c r="B17419" t="s">
        <v>14</v>
      </c>
      <c r="C17419" t="s">
        <v>32</v>
      </c>
      <c r="D17419" t="s">
        <v>17</v>
      </c>
      <c r="E17419" t="s">
        <v>12</v>
      </c>
      <c r="F17419">
        <v>33387868</v>
      </c>
      <c r="G17419">
        <v>33387920</v>
      </c>
      <c r="H17419">
        <v>33387830</v>
      </c>
      <c r="I17419">
        <v>33387860</v>
      </c>
    </row>
    <row r="17420" spans="1:9" x14ac:dyDescent="0.2">
      <c r="A17420" s="1" t="str">
        <f>"SYNGR1"</f>
        <v>SYNGR1</v>
      </c>
      <c r="B17420" t="s">
        <v>14</v>
      </c>
      <c r="C17420" t="s">
        <v>21</v>
      </c>
      <c r="D17420" t="s">
        <v>17</v>
      </c>
      <c r="E17420" t="s">
        <v>12</v>
      </c>
      <c r="F17420">
        <v>39745939</v>
      </c>
      <c r="G17420">
        <v>39746012</v>
      </c>
      <c r="H17420">
        <v>39745860</v>
      </c>
      <c r="I17420">
        <v>39745869</v>
      </c>
    </row>
    <row r="17421" spans="1:9" x14ac:dyDescent="0.2">
      <c r="A17421" s="1" t="str">
        <f>"SYNGR2"</f>
        <v>SYNGR2</v>
      </c>
      <c r="B17421" t="s">
        <v>14</v>
      </c>
      <c r="C17421" t="s">
        <v>28</v>
      </c>
      <c r="D17421" t="s">
        <v>17</v>
      </c>
      <c r="E17421" t="s">
        <v>12</v>
      </c>
      <c r="F17421">
        <v>76164646</v>
      </c>
      <c r="G17421">
        <v>76164685</v>
      </c>
      <c r="H17421">
        <v>76164646</v>
      </c>
      <c r="I17421">
        <v>76164685</v>
      </c>
    </row>
    <row r="17422" spans="1:9" x14ac:dyDescent="0.2">
      <c r="A17422" s="1" t="str">
        <f>"SYNGR3"</f>
        <v>SYNGR3</v>
      </c>
      <c r="B17422" t="s">
        <v>14</v>
      </c>
      <c r="C17422" t="s">
        <v>31</v>
      </c>
      <c r="D17422" t="s">
        <v>17</v>
      </c>
      <c r="E17422" t="s">
        <v>12</v>
      </c>
      <c r="F17422">
        <v>2039950</v>
      </c>
      <c r="G17422">
        <v>2040017</v>
      </c>
      <c r="H17422">
        <v>2039950</v>
      </c>
      <c r="I17422">
        <v>2040017</v>
      </c>
    </row>
    <row r="17423" spans="1:9" x14ac:dyDescent="0.2">
      <c r="A17423" s="1" t="str">
        <f>"SYNGR4"</f>
        <v>SYNGR4</v>
      </c>
      <c r="B17423" t="s">
        <v>14</v>
      </c>
      <c r="C17423" t="s">
        <v>10</v>
      </c>
      <c r="D17423" t="s">
        <v>17</v>
      </c>
      <c r="E17423" t="s">
        <v>12</v>
      </c>
      <c r="F17423">
        <v>48867699</v>
      </c>
      <c r="G17423">
        <v>48867772</v>
      </c>
      <c r="H17423">
        <v>48867600</v>
      </c>
      <c r="I17423">
        <v>48867629</v>
      </c>
    </row>
    <row r="17424" spans="1:9" x14ac:dyDescent="0.2">
      <c r="A17424" s="1" t="str">
        <f>"SYNJ1"</f>
        <v>SYNJ1</v>
      </c>
      <c r="B17424" t="s">
        <v>14</v>
      </c>
      <c r="C17424" t="s">
        <v>42</v>
      </c>
      <c r="D17424" t="s">
        <v>11</v>
      </c>
      <c r="E17424" t="s">
        <v>12</v>
      </c>
      <c r="F17424">
        <v>34100200</v>
      </c>
      <c r="G17424">
        <v>34100240</v>
      </c>
      <c r="H17424">
        <v>34100296</v>
      </c>
      <c r="I17424">
        <v>34100338</v>
      </c>
    </row>
    <row r="17425" spans="1:9" x14ac:dyDescent="0.2">
      <c r="A17425" s="1" t="str">
        <f>"SYNJ2"</f>
        <v>SYNJ2</v>
      </c>
      <c r="B17425" t="s">
        <v>14</v>
      </c>
      <c r="C17425" t="s">
        <v>32</v>
      </c>
      <c r="D17425" t="s">
        <v>17</v>
      </c>
      <c r="E17425" t="s">
        <v>12</v>
      </c>
      <c r="F17425">
        <v>158402860</v>
      </c>
      <c r="G17425">
        <v>158402933</v>
      </c>
      <c r="H17425">
        <v>158402860</v>
      </c>
      <c r="I17425">
        <v>158402933</v>
      </c>
    </row>
    <row r="17426" spans="1:9" x14ac:dyDescent="0.2">
      <c r="A17426" s="1" t="str">
        <f>"SYNJ2BP"</f>
        <v>SYNJ2BP</v>
      </c>
      <c r="B17426" t="s">
        <v>14</v>
      </c>
      <c r="C17426" t="s">
        <v>41</v>
      </c>
      <c r="D17426" t="s">
        <v>11</v>
      </c>
      <c r="E17426" t="s">
        <v>12</v>
      </c>
      <c r="F17426">
        <v>70883708</v>
      </c>
      <c r="G17426">
        <v>70883819</v>
      </c>
      <c r="H17426">
        <v>70883708</v>
      </c>
      <c r="I17426">
        <v>70883819</v>
      </c>
    </row>
    <row r="17427" spans="1:9" x14ac:dyDescent="0.2">
      <c r="A17427" s="1" t="str">
        <f>"SYNJ2BP-COX16"</f>
        <v>SYNJ2BP-COX16</v>
      </c>
      <c r="B17427" t="s">
        <v>14</v>
      </c>
      <c r="C17427" t="s">
        <v>41</v>
      </c>
      <c r="D17427" t="s">
        <v>11</v>
      </c>
      <c r="E17427" t="s">
        <v>67</v>
      </c>
      <c r="F17427">
        <v>70883708</v>
      </c>
      <c r="G17427">
        <v>70883819</v>
      </c>
      <c r="H17427">
        <v>70883708</v>
      </c>
      <c r="I17427">
        <v>70883819</v>
      </c>
    </row>
    <row r="17428" spans="1:9" x14ac:dyDescent="0.2">
      <c r="A17428" s="1" t="str">
        <f>"SYNM"</f>
        <v>SYNM</v>
      </c>
      <c r="B17428" t="s">
        <v>14</v>
      </c>
      <c r="C17428" t="s">
        <v>25</v>
      </c>
      <c r="D17428" t="s">
        <v>17</v>
      </c>
      <c r="E17428" t="s">
        <v>12</v>
      </c>
      <c r="F17428">
        <v>99645277</v>
      </c>
      <c r="G17428">
        <v>99645292</v>
      </c>
      <c r="H17428">
        <v>99645252</v>
      </c>
      <c r="I17428">
        <v>99645262</v>
      </c>
    </row>
    <row r="17429" spans="1:9" x14ac:dyDescent="0.2">
      <c r="A17429" s="1" t="str">
        <f>"SYNPO"</f>
        <v>SYNPO</v>
      </c>
      <c r="B17429" t="s">
        <v>9</v>
      </c>
      <c r="C17429" t="s">
        <v>46</v>
      </c>
      <c r="D17429" t="s">
        <v>17</v>
      </c>
      <c r="E17429" t="s">
        <v>12</v>
      </c>
      <c r="F17429">
        <v>150004188</v>
      </c>
      <c r="G17429">
        <v>150004308</v>
      </c>
      <c r="H17429">
        <v>150004188</v>
      </c>
      <c r="I17429">
        <v>150004308</v>
      </c>
    </row>
    <row r="17430" spans="1:9" x14ac:dyDescent="0.2">
      <c r="A17430" s="1" t="str">
        <f>"SYNPO"</f>
        <v>SYNPO</v>
      </c>
      <c r="B17430" t="s">
        <v>13</v>
      </c>
      <c r="C17430" t="s">
        <v>46</v>
      </c>
      <c r="D17430" t="s">
        <v>17</v>
      </c>
      <c r="E17430" t="s">
        <v>12</v>
      </c>
      <c r="F17430">
        <v>150020214</v>
      </c>
      <c r="G17430">
        <v>150020231</v>
      </c>
      <c r="H17430">
        <v>150020214</v>
      </c>
      <c r="I17430">
        <v>150020231</v>
      </c>
    </row>
    <row r="17431" spans="1:9" x14ac:dyDescent="0.2">
      <c r="A17431" s="1" t="str">
        <f>"SYNPO2"</f>
        <v>SYNPO2</v>
      </c>
      <c r="B17431" t="s">
        <v>1630</v>
      </c>
      <c r="C17431" t="s">
        <v>23</v>
      </c>
      <c r="D17431" t="s">
        <v>17</v>
      </c>
      <c r="E17431" t="s">
        <v>35</v>
      </c>
      <c r="F17431">
        <v>119809984</v>
      </c>
      <c r="G17431">
        <v>119810024</v>
      </c>
      <c r="H17431">
        <v>119810165</v>
      </c>
      <c r="I17431">
        <v>119810169</v>
      </c>
    </row>
    <row r="17432" spans="1:9" x14ac:dyDescent="0.2">
      <c r="A17432" s="1" t="str">
        <f>"SYNPO2L"</f>
        <v>SYNPO2L</v>
      </c>
      <c r="B17432" t="s">
        <v>9</v>
      </c>
      <c r="C17432" t="s">
        <v>15</v>
      </c>
      <c r="D17432" t="s">
        <v>11</v>
      </c>
      <c r="E17432" t="s">
        <v>12</v>
      </c>
      <c r="F17432">
        <v>75415742</v>
      </c>
      <c r="G17432">
        <v>75415801</v>
      </c>
      <c r="H17432">
        <v>75415742</v>
      </c>
      <c r="I17432">
        <v>75415801</v>
      </c>
    </row>
    <row r="17433" spans="1:9" x14ac:dyDescent="0.2">
      <c r="A17433" s="1" t="str">
        <f>"SYNPO2L"</f>
        <v>SYNPO2L</v>
      </c>
      <c r="B17433" t="s">
        <v>13</v>
      </c>
      <c r="C17433" t="s">
        <v>15</v>
      </c>
      <c r="D17433" t="s">
        <v>11</v>
      </c>
      <c r="E17433" t="s">
        <v>12</v>
      </c>
      <c r="F17433">
        <v>75410771</v>
      </c>
      <c r="G17433">
        <v>75410813</v>
      </c>
      <c r="H17433">
        <v>75410771</v>
      </c>
      <c r="I17433">
        <v>75410813</v>
      </c>
    </row>
    <row r="17434" spans="1:9" x14ac:dyDescent="0.2">
      <c r="A17434" s="1" t="str">
        <f>"SYNPR"</f>
        <v>SYNPR</v>
      </c>
      <c r="B17434" t="s">
        <v>14</v>
      </c>
      <c r="C17434" t="s">
        <v>22</v>
      </c>
      <c r="D17434" t="s">
        <v>17</v>
      </c>
      <c r="E17434" t="s">
        <v>12</v>
      </c>
      <c r="F17434">
        <v>63263953</v>
      </c>
      <c r="G17434">
        <v>63264016</v>
      </c>
      <c r="H17434">
        <v>63263953</v>
      </c>
      <c r="I17434">
        <v>63264016</v>
      </c>
    </row>
    <row r="17435" spans="1:9" x14ac:dyDescent="0.2">
      <c r="A17435" s="1" t="str">
        <f>"SYNRG"</f>
        <v>SYNRG</v>
      </c>
      <c r="B17435" t="s">
        <v>14</v>
      </c>
      <c r="C17435" t="s">
        <v>28</v>
      </c>
      <c r="D17435" t="s">
        <v>11</v>
      </c>
      <c r="E17435" t="s">
        <v>12</v>
      </c>
      <c r="F17435">
        <v>35969409</v>
      </c>
      <c r="G17435">
        <v>35969486</v>
      </c>
      <c r="H17435">
        <v>35969409</v>
      </c>
      <c r="I17435">
        <v>35969486</v>
      </c>
    </row>
    <row r="17436" spans="1:9" x14ac:dyDescent="0.2">
      <c r="A17436" s="1" t="str">
        <f>"SYP"</f>
        <v>SYP</v>
      </c>
      <c r="B17436" t="s">
        <v>14</v>
      </c>
      <c r="C17436" t="s">
        <v>37</v>
      </c>
      <c r="D17436" t="s">
        <v>11</v>
      </c>
      <c r="E17436" t="s">
        <v>12</v>
      </c>
      <c r="F17436">
        <v>49056640</v>
      </c>
      <c r="G17436">
        <v>49056660</v>
      </c>
      <c r="H17436">
        <v>49056640</v>
      </c>
      <c r="I17436">
        <v>49056660</v>
      </c>
    </row>
    <row r="17437" spans="1:9" x14ac:dyDescent="0.2">
      <c r="A17437" s="1" t="str">
        <f>"SYPL1"</f>
        <v>SYPL1</v>
      </c>
      <c r="B17437" t="s">
        <v>14</v>
      </c>
      <c r="C17437" t="s">
        <v>33</v>
      </c>
      <c r="D17437" t="s">
        <v>11</v>
      </c>
      <c r="E17437" t="s">
        <v>12</v>
      </c>
      <c r="F17437">
        <v>105752651</v>
      </c>
      <c r="G17437">
        <v>105752776</v>
      </c>
      <c r="H17437">
        <v>105752971</v>
      </c>
      <c r="I17437">
        <v>105753054</v>
      </c>
    </row>
    <row r="17438" spans="1:9" x14ac:dyDescent="0.2">
      <c r="A17438" s="1" t="str">
        <f>"SYPL2"</f>
        <v>SYPL2</v>
      </c>
      <c r="B17438" t="s">
        <v>14</v>
      </c>
      <c r="C17438" t="s">
        <v>19</v>
      </c>
      <c r="D17438" t="s">
        <v>17</v>
      </c>
      <c r="E17438" t="s">
        <v>12</v>
      </c>
      <c r="F17438">
        <v>110009150</v>
      </c>
      <c r="G17438">
        <v>110009197</v>
      </c>
      <c r="H17438">
        <v>110009215</v>
      </c>
      <c r="I17438">
        <v>110009235</v>
      </c>
    </row>
    <row r="17439" spans="1:9" x14ac:dyDescent="0.2">
      <c r="A17439" s="1" t="str">
        <f>"SYS1"</f>
        <v>SYS1</v>
      </c>
      <c r="B17439" t="s">
        <v>14</v>
      </c>
      <c r="C17439" t="s">
        <v>29</v>
      </c>
      <c r="D17439" t="s">
        <v>17</v>
      </c>
      <c r="E17439" t="s">
        <v>12</v>
      </c>
      <c r="F17439">
        <v>43991754</v>
      </c>
      <c r="G17439">
        <v>43991853</v>
      </c>
      <c r="H17439">
        <v>43991666</v>
      </c>
      <c r="I17439">
        <v>43991696</v>
      </c>
    </row>
    <row r="17440" spans="1:9" x14ac:dyDescent="0.2">
      <c r="A17440" s="1" t="str">
        <f>"SYT1"</f>
        <v>SYT1</v>
      </c>
      <c r="B17440" t="s">
        <v>9</v>
      </c>
      <c r="C17440" t="s">
        <v>16</v>
      </c>
      <c r="D17440" t="s">
        <v>17</v>
      </c>
      <c r="E17440" t="s">
        <v>12</v>
      </c>
      <c r="F17440">
        <v>79258547</v>
      </c>
      <c r="G17440">
        <v>79258607</v>
      </c>
      <c r="H17440">
        <v>79258547</v>
      </c>
      <c r="I17440">
        <v>79258607</v>
      </c>
    </row>
    <row r="17441" spans="1:9" x14ac:dyDescent="0.2">
      <c r="A17441" s="1" t="str">
        <f>"SYT1"</f>
        <v>SYT1</v>
      </c>
      <c r="B17441" t="s">
        <v>13</v>
      </c>
      <c r="C17441" t="s">
        <v>16</v>
      </c>
      <c r="D17441" t="s">
        <v>17</v>
      </c>
      <c r="E17441" t="s">
        <v>12</v>
      </c>
      <c r="F17441">
        <v>79439461</v>
      </c>
      <c r="G17441">
        <v>79439490</v>
      </c>
      <c r="H17441">
        <v>79439461</v>
      </c>
      <c r="I17441">
        <v>79439490</v>
      </c>
    </row>
    <row r="17442" spans="1:9" x14ac:dyDescent="0.2">
      <c r="A17442" s="1" t="str">
        <f>"SYT10"</f>
        <v>SYT10</v>
      </c>
      <c r="B17442" t="s">
        <v>14</v>
      </c>
      <c r="C17442" t="s">
        <v>16</v>
      </c>
      <c r="D17442" t="s">
        <v>11</v>
      </c>
      <c r="E17442" t="s">
        <v>12</v>
      </c>
      <c r="F17442">
        <v>33592743</v>
      </c>
      <c r="G17442">
        <v>33592764</v>
      </c>
      <c r="H17442">
        <v>33592695</v>
      </c>
      <c r="I17442">
        <v>33592706</v>
      </c>
    </row>
    <row r="17443" spans="1:9" x14ac:dyDescent="0.2">
      <c r="A17443" s="1" t="str">
        <f>"SYT11"</f>
        <v>SYT11</v>
      </c>
      <c r="B17443" t="s">
        <v>14</v>
      </c>
      <c r="C17443" t="s">
        <v>19</v>
      </c>
      <c r="D17443" t="s">
        <v>17</v>
      </c>
      <c r="E17443" t="s">
        <v>12</v>
      </c>
      <c r="F17443">
        <v>155829341</v>
      </c>
      <c r="G17443">
        <v>155829365</v>
      </c>
      <c r="H17443">
        <v>155829286</v>
      </c>
      <c r="I17443">
        <v>155829340</v>
      </c>
    </row>
    <row r="17444" spans="1:9" x14ac:dyDescent="0.2">
      <c r="A17444" s="1" t="str">
        <f>"SYT12"</f>
        <v>SYT12</v>
      </c>
      <c r="B17444" t="s">
        <v>14</v>
      </c>
      <c r="C17444" t="s">
        <v>27</v>
      </c>
      <c r="D17444" t="s">
        <v>17</v>
      </c>
      <c r="E17444" t="s">
        <v>12</v>
      </c>
      <c r="F17444">
        <v>66790555</v>
      </c>
      <c r="G17444">
        <v>66790614</v>
      </c>
      <c r="H17444">
        <v>66790693</v>
      </c>
      <c r="I17444">
        <v>66790733</v>
      </c>
    </row>
    <row r="17445" spans="1:9" x14ac:dyDescent="0.2">
      <c r="A17445" s="1" t="str">
        <f>"SYT13"</f>
        <v>SYT13</v>
      </c>
      <c r="B17445" t="s">
        <v>14</v>
      </c>
      <c r="C17445" t="s">
        <v>27</v>
      </c>
      <c r="D17445" t="s">
        <v>11</v>
      </c>
      <c r="E17445" t="s">
        <v>12</v>
      </c>
      <c r="F17445">
        <v>45307817</v>
      </c>
      <c r="G17445">
        <v>45307898</v>
      </c>
      <c r="H17445">
        <v>45307765</v>
      </c>
      <c r="I17445">
        <v>45307784</v>
      </c>
    </row>
    <row r="17446" spans="1:9" x14ac:dyDescent="0.2">
      <c r="A17446" s="1" t="str">
        <f>"SYT14"</f>
        <v>SYT14</v>
      </c>
      <c r="B17446" t="s">
        <v>14</v>
      </c>
      <c r="C17446" t="s">
        <v>19</v>
      </c>
      <c r="D17446" t="s">
        <v>17</v>
      </c>
      <c r="E17446" t="s">
        <v>12</v>
      </c>
      <c r="F17446">
        <v>210111570</v>
      </c>
      <c r="G17446">
        <v>210111603</v>
      </c>
      <c r="H17446">
        <v>210111553</v>
      </c>
      <c r="I17446">
        <v>210111569</v>
      </c>
    </row>
    <row r="17447" spans="1:9" x14ac:dyDescent="0.2">
      <c r="A17447" s="1" t="str">
        <f>"SYT15"</f>
        <v>SYT15</v>
      </c>
      <c r="B17447" t="s">
        <v>14</v>
      </c>
      <c r="C17447" t="s">
        <v>15</v>
      </c>
      <c r="D17447" t="s">
        <v>11</v>
      </c>
      <c r="E17447" t="s">
        <v>12</v>
      </c>
      <c r="F17447">
        <v>46970474</v>
      </c>
      <c r="G17447">
        <v>46970503</v>
      </c>
      <c r="H17447">
        <v>46970573</v>
      </c>
      <c r="I17447">
        <v>46970610</v>
      </c>
    </row>
    <row r="17448" spans="1:9" x14ac:dyDescent="0.2">
      <c r="A17448" s="1" t="str">
        <f>"SYT16"</f>
        <v>SYT16</v>
      </c>
      <c r="B17448" t="s">
        <v>1631</v>
      </c>
      <c r="C17448" t="s">
        <v>41</v>
      </c>
      <c r="D17448" t="s">
        <v>17</v>
      </c>
      <c r="E17448" t="s">
        <v>20</v>
      </c>
      <c r="F17448">
        <v>62462540</v>
      </c>
      <c r="G17448">
        <v>62462540</v>
      </c>
      <c r="H17448">
        <v>62462540</v>
      </c>
      <c r="I17448">
        <v>62462540</v>
      </c>
    </row>
    <row r="17449" spans="1:9" x14ac:dyDescent="0.2">
      <c r="A17449" s="1" t="str">
        <f>"SYT17"</f>
        <v>SYT17</v>
      </c>
      <c r="B17449" t="s">
        <v>14</v>
      </c>
      <c r="C17449" t="s">
        <v>31</v>
      </c>
      <c r="D17449" t="s">
        <v>17</v>
      </c>
      <c r="E17449" t="s">
        <v>12</v>
      </c>
      <c r="F17449">
        <v>19179549</v>
      </c>
      <c r="G17449">
        <v>19179622</v>
      </c>
      <c r="H17449">
        <v>19179549</v>
      </c>
      <c r="I17449">
        <v>19179622</v>
      </c>
    </row>
    <row r="17450" spans="1:9" x14ac:dyDescent="0.2">
      <c r="A17450" s="1" t="str">
        <f>"SYT2"</f>
        <v>SYT2</v>
      </c>
      <c r="B17450" t="s">
        <v>14</v>
      </c>
      <c r="C17450" t="s">
        <v>19</v>
      </c>
      <c r="D17450" t="s">
        <v>11</v>
      </c>
      <c r="E17450" t="s">
        <v>12</v>
      </c>
      <c r="F17450">
        <v>202679556</v>
      </c>
      <c r="G17450">
        <v>202679619</v>
      </c>
      <c r="H17450">
        <v>202679535</v>
      </c>
      <c r="I17450">
        <v>202679553</v>
      </c>
    </row>
    <row r="17451" spans="1:9" x14ac:dyDescent="0.2">
      <c r="A17451" s="1" t="str">
        <f>"SYT3"</f>
        <v>SYT3</v>
      </c>
      <c r="B17451" t="s">
        <v>14</v>
      </c>
      <c r="C17451" t="s">
        <v>10</v>
      </c>
      <c r="D17451" t="s">
        <v>11</v>
      </c>
      <c r="E17451" t="s">
        <v>12</v>
      </c>
      <c r="F17451">
        <v>51143096</v>
      </c>
      <c r="G17451">
        <v>51143143</v>
      </c>
      <c r="H17451">
        <v>51143096</v>
      </c>
      <c r="I17451">
        <v>51143143</v>
      </c>
    </row>
    <row r="17452" spans="1:9" x14ac:dyDescent="0.2">
      <c r="A17452" s="1" t="str">
        <f>"SYT4"</f>
        <v>SYT4</v>
      </c>
      <c r="B17452" t="s">
        <v>14</v>
      </c>
      <c r="C17452" t="s">
        <v>43</v>
      </c>
      <c r="D17452" t="s">
        <v>11</v>
      </c>
      <c r="E17452" t="s">
        <v>12</v>
      </c>
      <c r="F17452">
        <v>40857447</v>
      </c>
      <c r="G17452">
        <v>40857461</v>
      </c>
      <c r="H17452">
        <v>40857329</v>
      </c>
      <c r="I17452">
        <v>40857357</v>
      </c>
    </row>
    <row r="17453" spans="1:9" x14ac:dyDescent="0.2">
      <c r="A17453" s="1" t="str">
        <f>"SYT5"</f>
        <v>SYT5</v>
      </c>
      <c r="B17453" t="s">
        <v>14</v>
      </c>
      <c r="C17453" t="s">
        <v>10</v>
      </c>
      <c r="D17453" t="s">
        <v>11</v>
      </c>
      <c r="E17453" t="s">
        <v>12</v>
      </c>
      <c r="F17453">
        <v>55691488</v>
      </c>
      <c r="G17453">
        <v>55691551</v>
      </c>
      <c r="H17453">
        <v>55691614</v>
      </c>
      <c r="I17453">
        <v>55691696</v>
      </c>
    </row>
    <row r="17454" spans="1:9" x14ac:dyDescent="0.2">
      <c r="A17454" s="1" t="str">
        <f>"SYT6"</f>
        <v>SYT6</v>
      </c>
      <c r="B17454" t="s">
        <v>14</v>
      </c>
      <c r="C17454" t="s">
        <v>19</v>
      </c>
      <c r="D17454" t="s">
        <v>11</v>
      </c>
      <c r="E17454" t="s">
        <v>12</v>
      </c>
      <c r="F17454">
        <v>114695537</v>
      </c>
      <c r="G17454">
        <v>114695554</v>
      </c>
      <c r="H17454">
        <v>114696485</v>
      </c>
      <c r="I17454">
        <v>114696496</v>
      </c>
    </row>
    <row r="17455" spans="1:9" x14ac:dyDescent="0.2">
      <c r="A17455" s="1" t="str">
        <f>"SYT7"</f>
        <v>SYT7</v>
      </c>
      <c r="B17455" t="s">
        <v>14</v>
      </c>
      <c r="C17455" t="s">
        <v>27</v>
      </c>
      <c r="D17455" t="s">
        <v>11</v>
      </c>
      <c r="E17455" t="s">
        <v>12</v>
      </c>
      <c r="F17455">
        <v>61348483</v>
      </c>
      <c r="G17455">
        <v>61348572</v>
      </c>
      <c r="H17455">
        <v>61348576</v>
      </c>
      <c r="I17455">
        <v>61348613</v>
      </c>
    </row>
    <row r="17456" spans="1:9" x14ac:dyDescent="0.2">
      <c r="A17456" s="1" t="str">
        <f>"SYT8"</f>
        <v>SYT8</v>
      </c>
      <c r="B17456" t="s">
        <v>14</v>
      </c>
      <c r="C17456" t="s">
        <v>27</v>
      </c>
      <c r="D17456" t="s">
        <v>17</v>
      </c>
      <c r="E17456" t="s">
        <v>12</v>
      </c>
      <c r="F17456">
        <v>1856186</v>
      </c>
      <c r="G17456">
        <v>1856232</v>
      </c>
      <c r="H17456">
        <v>1855645</v>
      </c>
      <c r="I17456">
        <v>1855729</v>
      </c>
    </row>
    <row r="17457" spans="1:9" x14ac:dyDescent="0.2">
      <c r="A17457" s="1" t="str">
        <f>"SYT9"</f>
        <v>SYT9</v>
      </c>
      <c r="B17457" t="s">
        <v>14</v>
      </c>
      <c r="C17457" t="s">
        <v>27</v>
      </c>
      <c r="D17457" t="s">
        <v>17</v>
      </c>
      <c r="E17457" t="s">
        <v>12</v>
      </c>
      <c r="F17457">
        <v>7273189</v>
      </c>
      <c r="G17457">
        <v>7273223</v>
      </c>
      <c r="H17457">
        <v>7273117</v>
      </c>
      <c r="I17457">
        <v>7273170</v>
      </c>
    </row>
    <row r="17458" spans="1:9" x14ac:dyDescent="0.2">
      <c r="A17458" s="1" t="str">
        <f>"SYTL1"</f>
        <v>SYTL1</v>
      </c>
      <c r="B17458" t="s">
        <v>9</v>
      </c>
      <c r="C17458" t="s">
        <v>19</v>
      </c>
      <c r="D17458" t="s">
        <v>17</v>
      </c>
      <c r="E17458" t="s">
        <v>12</v>
      </c>
      <c r="F17458">
        <v>27668505</v>
      </c>
      <c r="G17458">
        <v>27668582</v>
      </c>
      <c r="H17458">
        <v>27668505</v>
      </c>
      <c r="I17458">
        <v>27668582</v>
      </c>
    </row>
    <row r="17459" spans="1:9" x14ac:dyDescent="0.2">
      <c r="A17459" s="1" t="str">
        <f>"SYTL1"</f>
        <v>SYTL1</v>
      </c>
      <c r="B17459" t="s">
        <v>13</v>
      </c>
      <c r="C17459" t="s">
        <v>19</v>
      </c>
      <c r="D17459" t="s">
        <v>17</v>
      </c>
      <c r="E17459" t="s">
        <v>12</v>
      </c>
      <c r="F17459">
        <v>27669735</v>
      </c>
      <c r="G17459">
        <v>27669761</v>
      </c>
      <c r="H17459">
        <v>27669735</v>
      </c>
      <c r="I17459">
        <v>27669761</v>
      </c>
    </row>
    <row r="17460" spans="1:9" x14ac:dyDescent="0.2">
      <c r="A17460" s="1" t="str">
        <f>"SYTL2"</f>
        <v>SYTL2</v>
      </c>
      <c r="B17460" t="s">
        <v>14</v>
      </c>
      <c r="C17460" t="s">
        <v>27</v>
      </c>
      <c r="D17460" t="s">
        <v>11</v>
      </c>
      <c r="E17460" t="s">
        <v>12</v>
      </c>
      <c r="F17460">
        <v>85522175</v>
      </c>
      <c r="G17460">
        <v>85522192</v>
      </c>
      <c r="H17460">
        <v>85522175</v>
      </c>
      <c r="I17460">
        <v>85522192</v>
      </c>
    </row>
    <row r="17461" spans="1:9" x14ac:dyDescent="0.2">
      <c r="A17461" s="1" t="str">
        <f>"SYTL3"</f>
        <v>SYTL3</v>
      </c>
      <c r="B17461" t="s">
        <v>9</v>
      </c>
      <c r="C17461" t="s">
        <v>32</v>
      </c>
      <c r="D17461" t="s">
        <v>17</v>
      </c>
      <c r="E17461" t="s">
        <v>12</v>
      </c>
      <c r="F17461">
        <v>159071015</v>
      </c>
      <c r="G17461">
        <v>159071096</v>
      </c>
      <c r="H17461">
        <v>159071015</v>
      </c>
      <c r="I17461">
        <v>159071096</v>
      </c>
    </row>
    <row r="17462" spans="1:9" x14ac:dyDescent="0.2">
      <c r="A17462" s="1" t="str">
        <f>"SYTL3"</f>
        <v>SYTL3</v>
      </c>
      <c r="B17462" t="s">
        <v>13</v>
      </c>
      <c r="C17462" t="s">
        <v>32</v>
      </c>
      <c r="D17462" t="s">
        <v>17</v>
      </c>
      <c r="E17462" t="s">
        <v>12</v>
      </c>
      <c r="F17462">
        <v>159084146</v>
      </c>
      <c r="G17462">
        <v>159084175</v>
      </c>
      <c r="H17462">
        <v>159084146</v>
      </c>
      <c r="I17462">
        <v>159084175</v>
      </c>
    </row>
    <row r="17463" spans="1:9" x14ac:dyDescent="0.2">
      <c r="A17463" s="1" t="str">
        <f>"SYTL4"</f>
        <v>SYTL4</v>
      </c>
      <c r="B17463" t="s">
        <v>14</v>
      </c>
      <c r="C17463" t="s">
        <v>37</v>
      </c>
      <c r="D17463" t="s">
        <v>11</v>
      </c>
      <c r="E17463" t="s">
        <v>12</v>
      </c>
      <c r="F17463">
        <v>99987088</v>
      </c>
      <c r="G17463">
        <v>99987141</v>
      </c>
      <c r="H17463">
        <v>99986494</v>
      </c>
      <c r="I17463">
        <v>99986529</v>
      </c>
    </row>
    <row r="17464" spans="1:9" x14ac:dyDescent="0.2">
      <c r="A17464" s="1" t="str">
        <f>"SYTL5"</f>
        <v>SYTL5</v>
      </c>
      <c r="B17464" t="s">
        <v>14</v>
      </c>
      <c r="C17464" t="s">
        <v>37</v>
      </c>
      <c r="D17464" t="s">
        <v>17</v>
      </c>
      <c r="E17464" t="s">
        <v>12</v>
      </c>
      <c r="F17464">
        <v>37865804</v>
      </c>
      <c r="G17464">
        <v>37865842</v>
      </c>
      <c r="H17464">
        <v>37865844</v>
      </c>
      <c r="I17464">
        <v>37865866</v>
      </c>
    </row>
    <row r="17465" spans="1:9" x14ac:dyDescent="0.2">
      <c r="A17465" s="1" t="str">
        <f>"SYVN1"</f>
        <v>SYVN1</v>
      </c>
      <c r="B17465" t="s">
        <v>14</v>
      </c>
      <c r="C17465" t="s">
        <v>27</v>
      </c>
      <c r="D17465" t="s">
        <v>11</v>
      </c>
      <c r="E17465" t="s">
        <v>12</v>
      </c>
      <c r="F17465">
        <v>64901978</v>
      </c>
      <c r="G17465">
        <v>64902009</v>
      </c>
      <c r="H17465">
        <v>64901951</v>
      </c>
      <c r="I17465">
        <v>64901974</v>
      </c>
    </row>
    <row r="17466" spans="1:9" x14ac:dyDescent="0.2">
      <c r="A17466" s="1" t="str">
        <f>"SZRD1"</f>
        <v>SZRD1</v>
      </c>
      <c r="B17466" t="s">
        <v>14</v>
      </c>
      <c r="C17466" t="s">
        <v>19</v>
      </c>
      <c r="D17466" t="s">
        <v>17</v>
      </c>
      <c r="E17466" t="s">
        <v>12</v>
      </c>
      <c r="F17466">
        <v>16693720</v>
      </c>
      <c r="G17466">
        <v>16693747</v>
      </c>
      <c r="H17466">
        <v>16694047</v>
      </c>
      <c r="I17466">
        <v>16694084</v>
      </c>
    </row>
    <row r="17467" spans="1:9" x14ac:dyDescent="0.2">
      <c r="A17467" s="1" t="str">
        <f>"SZT2"</f>
        <v>SZT2</v>
      </c>
      <c r="B17467" t="s">
        <v>14</v>
      </c>
      <c r="C17467" t="s">
        <v>19</v>
      </c>
      <c r="D17467" t="s">
        <v>17</v>
      </c>
      <c r="E17467" t="s">
        <v>12</v>
      </c>
      <c r="F17467">
        <v>43855545</v>
      </c>
      <c r="G17467">
        <v>43855557</v>
      </c>
      <c r="H17467">
        <v>43855545</v>
      </c>
      <c r="I17467">
        <v>43855557</v>
      </c>
    </row>
    <row r="17468" spans="1:9" x14ac:dyDescent="0.2">
      <c r="A17468" s="1" t="str">
        <f>"T"</f>
        <v>T</v>
      </c>
      <c r="B17468" t="s">
        <v>14</v>
      </c>
      <c r="C17468" t="s">
        <v>32</v>
      </c>
      <c r="D17468" t="s">
        <v>11</v>
      </c>
      <c r="E17468" t="s">
        <v>12</v>
      </c>
      <c r="F17468">
        <v>166582133</v>
      </c>
      <c r="G17468">
        <v>166582149</v>
      </c>
      <c r="H17468">
        <v>166581333</v>
      </c>
      <c r="I17468">
        <v>166581349</v>
      </c>
    </row>
    <row r="17469" spans="1:9" x14ac:dyDescent="0.2">
      <c r="A17469" s="1" t="str">
        <f>"TAAR1"</f>
        <v>TAAR1</v>
      </c>
      <c r="B17469" t="s">
        <v>1632</v>
      </c>
      <c r="C17469" t="s">
        <v>32</v>
      </c>
      <c r="D17469" t="s">
        <v>11</v>
      </c>
      <c r="E17469" t="s">
        <v>20</v>
      </c>
      <c r="F17469">
        <v>132967141</v>
      </c>
      <c r="G17469">
        <v>132967141</v>
      </c>
      <c r="H17469">
        <v>132967141</v>
      </c>
      <c r="I17469">
        <v>132967141</v>
      </c>
    </row>
    <row r="17470" spans="1:9" x14ac:dyDescent="0.2">
      <c r="A17470" s="1" t="str">
        <f>"TAAR2"</f>
        <v>TAAR2</v>
      </c>
      <c r="B17470" t="s">
        <v>14</v>
      </c>
      <c r="C17470" t="s">
        <v>32</v>
      </c>
      <c r="D17470" t="s">
        <v>11</v>
      </c>
      <c r="E17470" t="s">
        <v>12</v>
      </c>
      <c r="F17470">
        <v>132945498</v>
      </c>
      <c r="G17470">
        <v>132945530</v>
      </c>
      <c r="H17470">
        <v>132945498</v>
      </c>
      <c r="I17470">
        <v>132945530</v>
      </c>
    </row>
    <row r="17471" spans="1:9" x14ac:dyDescent="0.2">
      <c r="A17471" s="1" t="str">
        <f>"TAAR5"</f>
        <v>TAAR5</v>
      </c>
      <c r="B17471" t="s">
        <v>1633</v>
      </c>
      <c r="C17471" t="s">
        <v>32</v>
      </c>
      <c r="D17471" t="s">
        <v>11</v>
      </c>
      <c r="E17471" t="s">
        <v>20</v>
      </c>
      <c r="F17471">
        <v>132910876</v>
      </c>
      <c r="G17471">
        <v>132910876</v>
      </c>
      <c r="H17471">
        <v>132910876</v>
      </c>
      <c r="I17471">
        <v>132910876</v>
      </c>
    </row>
    <row r="17472" spans="1:9" x14ac:dyDescent="0.2">
      <c r="A17472" s="1" t="str">
        <f>"TAAR6"</f>
        <v>TAAR6</v>
      </c>
      <c r="B17472" t="s">
        <v>1634</v>
      </c>
      <c r="C17472" t="s">
        <v>32</v>
      </c>
      <c r="D17472" t="s">
        <v>17</v>
      </c>
      <c r="E17472" t="s">
        <v>20</v>
      </c>
      <c r="F17472">
        <v>132891460</v>
      </c>
      <c r="G17472">
        <v>132891460</v>
      </c>
      <c r="H17472">
        <v>132891460</v>
      </c>
      <c r="I17472">
        <v>132891460</v>
      </c>
    </row>
    <row r="17473" spans="1:9" x14ac:dyDescent="0.2">
      <c r="A17473" s="1" t="str">
        <f>"TAAR8"</f>
        <v>TAAR8</v>
      </c>
      <c r="B17473" t="s">
        <v>1635</v>
      </c>
      <c r="C17473" t="s">
        <v>32</v>
      </c>
      <c r="D17473" t="s">
        <v>17</v>
      </c>
      <c r="E17473" t="s">
        <v>20</v>
      </c>
      <c r="F17473">
        <v>132873831</v>
      </c>
      <c r="G17473">
        <v>132873831</v>
      </c>
      <c r="H17473">
        <v>132873831</v>
      </c>
      <c r="I17473">
        <v>132873831</v>
      </c>
    </row>
    <row r="17474" spans="1:9" x14ac:dyDescent="0.2">
      <c r="A17474" s="1" t="str">
        <f>"TAAR9"</f>
        <v>TAAR9</v>
      </c>
      <c r="B17474" t="s">
        <v>1636</v>
      </c>
      <c r="C17474" t="s">
        <v>32</v>
      </c>
      <c r="D17474" t="s">
        <v>17</v>
      </c>
      <c r="E17474" t="s">
        <v>20</v>
      </c>
      <c r="F17474">
        <v>132859428</v>
      </c>
      <c r="G17474">
        <v>132859428</v>
      </c>
      <c r="H17474">
        <v>132859428</v>
      </c>
      <c r="I17474">
        <v>132859428</v>
      </c>
    </row>
    <row r="17475" spans="1:9" x14ac:dyDescent="0.2">
      <c r="A17475" s="1" t="str">
        <f>"TAB1"</f>
        <v>TAB1</v>
      </c>
      <c r="B17475" t="s">
        <v>1637</v>
      </c>
      <c r="C17475" t="s">
        <v>21</v>
      </c>
      <c r="D17475" t="s">
        <v>17</v>
      </c>
      <c r="E17475" t="s">
        <v>35</v>
      </c>
      <c r="F17475">
        <v>39795748</v>
      </c>
      <c r="G17475">
        <v>39795811</v>
      </c>
      <c r="H17475">
        <v>39795748</v>
      </c>
      <c r="I17475">
        <v>39795811</v>
      </c>
    </row>
    <row r="17476" spans="1:9" x14ac:dyDescent="0.2">
      <c r="A17476" s="1" t="str">
        <f>"TAB2"</f>
        <v>TAB2</v>
      </c>
      <c r="B17476" t="s">
        <v>14</v>
      </c>
      <c r="C17476" t="s">
        <v>32</v>
      </c>
      <c r="D17476" t="s">
        <v>17</v>
      </c>
      <c r="E17476" t="s">
        <v>12</v>
      </c>
      <c r="F17476">
        <v>149638776</v>
      </c>
      <c r="G17476">
        <v>149638863</v>
      </c>
      <c r="H17476">
        <v>149638661</v>
      </c>
      <c r="I17476">
        <v>149638709</v>
      </c>
    </row>
    <row r="17477" spans="1:9" x14ac:dyDescent="0.2">
      <c r="A17477" s="1" t="str">
        <f>"TAB3"</f>
        <v>TAB3</v>
      </c>
      <c r="B17477" t="s">
        <v>14</v>
      </c>
      <c r="C17477" t="s">
        <v>37</v>
      </c>
      <c r="D17477" t="s">
        <v>11</v>
      </c>
      <c r="E17477" t="s">
        <v>12</v>
      </c>
      <c r="F17477">
        <v>30907363</v>
      </c>
      <c r="G17477">
        <v>30907381</v>
      </c>
      <c r="H17477">
        <v>30907459</v>
      </c>
      <c r="I17477">
        <v>30907468</v>
      </c>
    </row>
    <row r="17478" spans="1:9" x14ac:dyDescent="0.2">
      <c r="A17478" s="1" t="str">
        <f>"TAC1"</f>
        <v>TAC1</v>
      </c>
      <c r="B17478" t="s">
        <v>14</v>
      </c>
      <c r="C17478" t="s">
        <v>33</v>
      </c>
      <c r="D17478" t="s">
        <v>17</v>
      </c>
      <c r="E17478" t="s">
        <v>12</v>
      </c>
      <c r="F17478">
        <v>97361388</v>
      </c>
      <c r="G17478">
        <v>97361405</v>
      </c>
      <c r="H17478">
        <v>97361218</v>
      </c>
      <c r="I17478">
        <v>97361227</v>
      </c>
    </row>
    <row r="17479" spans="1:9" x14ac:dyDescent="0.2">
      <c r="A17479" s="1" t="str">
        <f>"TAC3"</f>
        <v>TAC3</v>
      </c>
      <c r="B17479" t="s">
        <v>14</v>
      </c>
      <c r="C17479" t="s">
        <v>16</v>
      </c>
      <c r="D17479" t="s">
        <v>11</v>
      </c>
      <c r="E17479" t="s">
        <v>12</v>
      </c>
      <c r="F17479">
        <v>57410306</v>
      </c>
      <c r="G17479">
        <v>57410318</v>
      </c>
      <c r="H17479">
        <v>57409542</v>
      </c>
      <c r="I17479">
        <v>57409546</v>
      </c>
    </row>
    <row r="17480" spans="1:9" x14ac:dyDescent="0.2">
      <c r="A17480" s="1" t="str">
        <f>"TAC4"</f>
        <v>TAC4</v>
      </c>
      <c r="B17480" t="s">
        <v>14</v>
      </c>
      <c r="C17480" t="s">
        <v>28</v>
      </c>
      <c r="D17480" t="s">
        <v>11</v>
      </c>
      <c r="E17480" t="s">
        <v>12</v>
      </c>
      <c r="F17480">
        <v>47925532</v>
      </c>
      <c r="G17480">
        <v>47925543</v>
      </c>
      <c r="H17480">
        <v>47925532</v>
      </c>
      <c r="I17480">
        <v>47925543</v>
      </c>
    </row>
    <row r="17481" spans="1:9" x14ac:dyDescent="0.2">
      <c r="A17481" s="1" t="str">
        <f>"TACC1"</f>
        <v>TACC1</v>
      </c>
      <c r="B17481" t="s">
        <v>14</v>
      </c>
      <c r="C17481" t="s">
        <v>30</v>
      </c>
      <c r="D17481" t="s">
        <v>17</v>
      </c>
      <c r="E17481" t="s">
        <v>12</v>
      </c>
      <c r="F17481">
        <v>38644746</v>
      </c>
      <c r="G17481">
        <v>38644761</v>
      </c>
      <c r="H17481">
        <v>38644715</v>
      </c>
      <c r="I17481">
        <v>38644732</v>
      </c>
    </row>
    <row r="17482" spans="1:9" x14ac:dyDescent="0.2">
      <c r="A17482" s="1" t="str">
        <f>"TACC2"</f>
        <v>TACC2</v>
      </c>
      <c r="B17482" t="s">
        <v>1638</v>
      </c>
      <c r="C17482" t="s">
        <v>15</v>
      </c>
      <c r="D17482" t="s">
        <v>17</v>
      </c>
      <c r="E17482" t="s">
        <v>35</v>
      </c>
      <c r="F17482">
        <v>123923111</v>
      </c>
      <c r="G17482">
        <v>123923160</v>
      </c>
      <c r="H17482">
        <v>123923325</v>
      </c>
      <c r="I17482">
        <v>123923332</v>
      </c>
    </row>
    <row r="17483" spans="1:9" x14ac:dyDescent="0.2">
      <c r="A17483" s="1" t="str">
        <f>"TACC2"</f>
        <v>TACC2</v>
      </c>
      <c r="B17483" t="s">
        <v>1639</v>
      </c>
      <c r="C17483" t="s">
        <v>15</v>
      </c>
      <c r="D17483" t="s">
        <v>17</v>
      </c>
      <c r="E17483" t="s">
        <v>35</v>
      </c>
      <c r="F17483">
        <v>123922882</v>
      </c>
      <c r="G17483">
        <v>123922884</v>
      </c>
      <c r="H17483">
        <v>123923111</v>
      </c>
      <c r="I17483">
        <v>123923160</v>
      </c>
    </row>
    <row r="17484" spans="1:9" x14ac:dyDescent="0.2">
      <c r="A17484" s="1" t="str">
        <f>"TACC3"</f>
        <v>TACC3</v>
      </c>
      <c r="B17484" t="s">
        <v>9</v>
      </c>
      <c r="C17484" t="s">
        <v>23</v>
      </c>
      <c r="D17484" t="s">
        <v>17</v>
      </c>
      <c r="E17484" t="s">
        <v>12</v>
      </c>
      <c r="F17484">
        <v>1723197</v>
      </c>
      <c r="G17484">
        <v>1723261</v>
      </c>
      <c r="H17484">
        <v>1723197</v>
      </c>
      <c r="I17484">
        <v>1723261</v>
      </c>
    </row>
    <row r="17485" spans="1:9" x14ac:dyDescent="0.2">
      <c r="A17485" s="1" t="str">
        <f>"TACC3"</f>
        <v>TACC3</v>
      </c>
      <c r="B17485" t="s">
        <v>13</v>
      </c>
      <c r="C17485" t="s">
        <v>23</v>
      </c>
      <c r="D17485" t="s">
        <v>17</v>
      </c>
      <c r="E17485" t="s">
        <v>12</v>
      </c>
      <c r="F17485">
        <v>1725231</v>
      </c>
      <c r="G17485">
        <v>1725273</v>
      </c>
      <c r="H17485">
        <v>1725231</v>
      </c>
      <c r="I17485">
        <v>1725273</v>
      </c>
    </row>
    <row r="17486" spans="1:9" x14ac:dyDescent="0.2">
      <c r="A17486" s="1" t="str">
        <f>"TACO1"</f>
        <v>TACO1</v>
      </c>
      <c r="B17486" t="s">
        <v>14</v>
      </c>
      <c r="C17486" t="s">
        <v>28</v>
      </c>
      <c r="D17486" t="s">
        <v>17</v>
      </c>
      <c r="E17486" t="s">
        <v>12</v>
      </c>
      <c r="F17486">
        <v>61678225</v>
      </c>
      <c r="G17486">
        <v>61678260</v>
      </c>
      <c r="H17486">
        <v>61678272</v>
      </c>
      <c r="I17486">
        <v>61678291</v>
      </c>
    </row>
    <row r="17487" spans="1:9" x14ac:dyDescent="0.2">
      <c r="A17487" s="1" t="str">
        <f>"TACR1"</f>
        <v>TACR1</v>
      </c>
      <c r="B17487" t="s">
        <v>14</v>
      </c>
      <c r="C17487" t="s">
        <v>26</v>
      </c>
      <c r="D17487" t="s">
        <v>11</v>
      </c>
      <c r="E17487" t="s">
        <v>12</v>
      </c>
      <c r="F17487">
        <v>75426637</v>
      </c>
      <c r="G17487">
        <v>75426652</v>
      </c>
      <c r="H17487">
        <v>75426831</v>
      </c>
      <c r="I17487">
        <v>75426848</v>
      </c>
    </row>
    <row r="17488" spans="1:9" x14ac:dyDescent="0.2">
      <c r="A17488" s="1" t="str">
        <f>"TACR2"</f>
        <v>TACR2</v>
      </c>
      <c r="B17488" t="s">
        <v>9</v>
      </c>
      <c r="C17488" t="s">
        <v>15</v>
      </c>
      <c r="D17488" t="s">
        <v>11</v>
      </c>
      <c r="E17488" t="s">
        <v>12</v>
      </c>
      <c r="F17488">
        <v>71169031</v>
      </c>
      <c r="G17488">
        <v>71169044</v>
      </c>
      <c r="H17488">
        <v>71169031</v>
      </c>
      <c r="I17488">
        <v>71169044</v>
      </c>
    </row>
    <row r="17489" spans="1:9" x14ac:dyDescent="0.2">
      <c r="A17489" s="1" t="str">
        <f>"TACR2"</f>
        <v>TACR2</v>
      </c>
      <c r="B17489" t="s">
        <v>13</v>
      </c>
      <c r="C17489" t="s">
        <v>15</v>
      </c>
      <c r="D17489" t="s">
        <v>11</v>
      </c>
      <c r="E17489" t="s">
        <v>12</v>
      </c>
      <c r="F17489">
        <v>71176667</v>
      </c>
      <c r="G17489">
        <v>71176679</v>
      </c>
      <c r="H17489">
        <v>71176667</v>
      </c>
      <c r="I17489">
        <v>71176679</v>
      </c>
    </row>
    <row r="17490" spans="1:9" x14ac:dyDescent="0.2">
      <c r="A17490" s="1" t="str">
        <f>"TACR3"</f>
        <v>TACR3</v>
      </c>
      <c r="B17490" t="s">
        <v>14</v>
      </c>
      <c r="C17490" t="s">
        <v>23</v>
      </c>
      <c r="D17490" t="s">
        <v>11</v>
      </c>
      <c r="E17490" t="s">
        <v>12</v>
      </c>
      <c r="F17490">
        <v>104641137</v>
      </c>
      <c r="G17490">
        <v>104641143</v>
      </c>
      <c r="H17490">
        <v>104640937</v>
      </c>
      <c r="I17490">
        <v>104640947</v>
      </c>
    </row>
    <row r="17491" spans="1:9" x14ac:dyDescent="0.2">
      <c r="A17491" s="1" t="str">
        <f>"TACSTD2"</f>
        <v>TACSTD2</v>
      </c>
      <c r="B17491" t="s">
        <v>14</v>
      </c>
      <c r="C17491" t="s">
        <v>19</v>
      </c>
      <c r="D17491" t="s">
        <v>11</v>
      </c>
      <c r="E17491" t="s">
        <v>12</v>
      </c>
      <c r="F17491">
        <v>59042917</v>
      </c>
      <c r="G17491">
        <v>59042931</v>
      </c>
      <c r="H17491">
        <v>59043118</v>
      </c>
      <c r="I17491">
        <v>59043131</v>
      </c>
    </row>
    <row r="17492" spans="1:9" x14ac:dyDescent="0.2">
      <c r="A17492" s="1" t="str">
        <f>"TADA1"</f>
        <v>TADA1</v>
      </c>
      <c r="B17492" t="s">
        <v>14</v>
      </c>
      <c r="C17492" t="s">
        <v>19</v>
      </c>
      <c r="D17492" t="s">
        <v>11</v>
      </c>
      <c r="E17492" t="s">
        <v>12</v>
      </c>
      <c r="F17492">
        <v>166845467</v>
      </c>
      <c r="G17492">
        <v>166845509</v>
      </c>
      <c r="H17492">
        <v>166845515</v>
      </c>
      <c r="I17492">
        <v>166845538</v>
      </c>
    </row>
    <row r="17493" spans="1:9" x14ac:dyDescent="0.2">
      <c r="A17493" s="1" t="str">
        <f>"TADA2A"</f>
        <v>TADA2A</v>
      </c>
      <c r="B17493" t="s">
        <v>14</v>
      </c>
      <c r="C17493" t="s">
        <v>28</v>
      </c>
      <c r="D17493" t="s">
        <v>17</v>
      </c>
      <c r="E17493" t="s">
        <v>12</v>
      </c>
      <c r="F17493">
        <v>35766967</v>
      </c>
      <c r="G17493">
        <v>35767022</v>
      </c>
      <c r="H17493">
        <v>35767301</v>
      </c>
      <c r="I17493">
        <v>35767344</v>
      </c>
    </row>
    <row r="17494" spans="1:9" x14ac:dyDescent="0.2">
      <c r="A17494" s="1" t="str">
        <f>"TADA2B"</f>
        <v>TADA2B</v>
      </c>
      <c r="B17494" t="s">
        <v>14</v>
      </c>
      <c r="C17494" t="s">
        <v>23</v>
      </c>
      <c r="D17494" t="s">
        <v>17</v>
      </c>
      <c r="E17494" t="s">
        <v>12</v>
      </c>
      <c r="F17494">
        <v>7045042</v>
      </c>
      <c r="G17494">
        <v>7045145</v>
      </c>
      <c r="H17494">
        <v>7045146</v>
      </c>
      <c r="I17494">
        <v>7045155</v>
      </c>
    </row>
    <row r="17495" spans="1:9" x14ac:dyDescent="0.2">
      <c r="A17495" s="1" t="str">
        <f>"TADA3"</f>
        <v>TADA3</v>
      </c>
      <c r="B17495" t="s">
        <v>14</v>
      </c>
      <c r="C17495" t="s">
        <v>22</v>
      </c>
      <c r="D17495" t="s">
        <v>11</v>
      </c>
      <c r="E17495" t="s">
        <v>12</v>
      </c>
      <c r="F17495">
        <v>9834088</v>
      </c>
      <c r="G17495">
        <v>9834176</v>
      </c>
      <c r="H17495">
        <v>9834375</v>
      </c>
      <c r="I17495">
        <v>9834455</v>
      </c>
    </row>
    <row r="17496" spans="1:9" x14ac:dyDescent="0.2">
      <c r="A17496" s="1" t="str">
        <f>"TAF1"</f>
        <v>TAF1</v>
      </c>
      <c r="B17496" t="s">
        <v>14</v>
      </c>
      <c r="C17496" t="s">
        <v>37</v>
      </c>
      <c r="D17496" t="s">
        <v>17</v>
      </c>
      <c r="E17496" t="s">
        <v>12</v>
      </c>
      <c r="F17496">
        <v>70586140</v>
      </c>
      <c r="G17496">
        <v>70586218</v>
      </c>
      <c r="H17496">
        <v>70586082</v>
      </c>
      <c r="I17496">
        <v>70586093</v>
      </c>
    </row>
    <row r="17497" spans="1:9" x14ac:dyDescent="0.2">
      <c r="A17497" s="1" t="str">
        <f>"TAF10"</f>
        <v>TAF10</v>
      </c>
      <c r="B17497" t="s">
        <v>14</v>
      </c>
      <c r="C17497" t="s">
        <v>27</v>
      </c>
      <c r="D17497" t="s">
        <v>11</v>
      </c>
      <c r="E17497" t="s">
        <v>12</v>
      </c>
      <c r="F17497">
        <v>6633406</v>
      </c>
      <c r="G17497">
        <v>6633456</v>
      </c>
      <c r="H17497">
        <v>6633406</v>
      </c>
      <c r="I17497">
        <v>6633456</v>
      </c>
    </row>
    <row r="17498" spans="1:9" x14ac:dyDescent="0.2">
      <c r="A17498" s="1" t="str">
        <f>"TAF11"</f>
        <v>TAF11</v>
      </c>
      <c r="B17498" t="s">
        <v>14</v>
      </c>
      <c r="C17498" t="s">
        <v>32</v>
      </c>
      <c r="D17498" t="s">
        <v>11</v>
      </c>
      <c r="E17498" t="s">
        <v>12</v>
      </c>
      <c r="F17498">
        <v>34855773</v>
      </c>
      <c r="G17498">
        <v>34855834</v>
      </c>
      <c r="H17498">
        <v>34855744</v>
      </c>
      <c r="I17498">
        <v>34855763</v>
      </c>
    </row>
    <row r="17499" spans="1:9" x14ac:dyDescent="0.2">
      <c r="A17499" s="1" t="str">
        <f>"TAF12"</f>
        <v>TAF12</v>
      </c>
      <c r="B17499" t="s">
        <v>14</v>
      </c>
      <c r="C17499" t="s">
        <v>19</v>
      </c>
      <c r="D17499" t="s">
        <v>11</v>
      </c>
      <c r="E17499" t="s">
        <v>12</v>
      </c>
      <c r="F17499">
        <v>28969530</v>
      </c>
      <c r="G17499">
        <v>28969605</v>
      </c>
      <c r="H17499">
        <v>28969607</v>
      </c>
      <c r="I17499">
        <v>28969621</v>
      </c>
    </row>
    <row r="17500" spans="1:9" x14ac:dyDescent="0.2">
      <c r="A17500" s="1" t="str">
        <f>"TAF13"</f>
        <v>TAF13</v>
      </c>
      <c r="B17500" t="s">
        <v>14</v>
      </c>
      <c r="C17500" t="s">
        <v>19</v>
      </c>
      <c r="D17500" t="s">
        <v>11</v>
      </c>
      <c r="E17500" t="s">
        <v>12</v>
      </c>
      <c r="F17500">
        <v>109618566</v>
      </c>
      <c r="G17500">
        <v>109618636</v>
      </c>
      <c r="H17500">
        <v>109618566</v>
      </c>
      <c r="I17500">
        <v>109618636</v>
      </c>
    </row>
    <row r="17501" spans="1:9" x14ac:dyDescent="0.2">
      <c r="A17501" s="1" t="str">
        <f>"TAF15"</f>
        <v>TAF15</v>
      </c>
      <c r="B17501" t="s">
        <v>14</v>
      </c>
      <c r="C17501" t="s">
        <v>28</v>
      </c>
      <c r="D17501" t="s">
        <v>17</v>
      </c>
      <c r="E17501" t="s">
        <v>12</v>
      </c>
      <c r="F17501">
        <v>34136478</v>
      </c>
      <c r="G17501">
        <v>34136494</v>
      </c>
      <c r="H17501">
        <v>34136478</v>
      </c>
      <c r="I17501">
        <v>34136494</v>
      </c>
    </row>
    <row r="17502" spans="1:9" x14ac:dyDescent="0.2">
      <c r="A17502" s="1" t="str">
        <f>"TAF1A"</f>
        <v>TAF1A</v>
      </c>
      <c r="B17502" t="s">
        <v>14</v>
      </c>
      <c r="C17502" t="s">
        <v>19</v>
      </c>
      <c r="D17502" t="s">
        <v>11</v>
      </c>
      <c r="E17502" t="s">
        <v>12</v>
      </c>
      <c r="F17502">
        <v>222763240</v>
      </c>
      <c r="G17502">
        <v>222763284</v>
      </c>
      <c r="H17502">
        <v>222763214</v>
      </c>
      <c r="I17502">
        <v>222763237</v>
      </c>
    </row>
    <row r="17503" spans="1:9" x14ac:dyDescent="0.2">
      <c r="A17503" s="1" t="str">
        <f>"TAF1B"</f>
        <v>TAF1B</v>
      </c>
      <c r="B17503" t="s">
        <v>14</v>
      </c>
      <c r="C17503" t="s">
        <v>26</v>
      </c>
      <c r="D17503" t="s">
        <v>17</v>
      </c>
      <c r="E17503" t="s">
        <v>12</v>
      </c>
      <c r="F17503">
        <v>9983555</v>
      </c>
      <c r="G17503">
        <v>9983641</v>
      </c>
      <c r="H17503">
        <v>9983642</v>
      </c>
      <c r="I17503">
        <v>9983657</v>
      </c>
    </row>
    <row r="17504" spans="1:9" x14ac:dyDescent="0.2">
      <c r="A17504" s="1" t="str">
        <f>"TAF1C"</f>
        <v>TAF1C</v>
      </c>
      <c r="B17504" t="s">
        <v>14</v>
      </c>
      <c r="C17504" t="s">
        <v>31</v>
      </c>
      <c r="D17504" t="s">
        <v>11</v>
      </c>
      <c r="E17504" t="s">
        <v>12</v>
      </c>
      <c r="F17504">
        <v>84220633</v>
      </c>
      <c r="G17504">
        <v>84220674</v>
      </c>
      <c r="H17504">
        <v>84220604</v>
      </c>
      <c r="I17504">
        <v>84220628</v>
      </c>
    </row>
    <row r="17505" spans="1:9" x14ac:dyDescent="0.2">
      <c r="A17505" s="1" t="str">
        <f>"TAF1D"</f>
        <v>TAF1D</v>
      </c>
      <c r="B17505" t="s">
        <v>9</v>
      </c>
      <c r="C17505" t="s">
        <v>27</v>
      </c>
      <c r="D17505" t="s">
        <v>11</v>
      </c>
      <c r="E17505" t="s">
        <v>12</v>
      </c>
      <c r="F17505">
        <v>93474645</v>
      </c>
      <c r="G17505">
        <v>93474668</v>
      </c>
      <c r="H17505">
        <v>93474645</v>
      </c>
      <c r="I17505">
        <v>93474668</v>
      </c>
    </row>
    <row r="17506" spans="1:9" x14ac:dyDescent="0.2">
      <c r="A17506" s="1" t="str">
        <f>"TAF1D"</f>
        <v>TAF1D</v>
      </c>
      <c r="B17506" t="s">
        <v>13</v>
      </c>
      <c r="C17506" t="s">
        <v>27</v>
      </c>
      <c r="D17506" t="s">
        <v>11</v>
      </c>
      <c r="E17506" t="s">
        <v>12</v>
      </c>
      <c r="F17506">
        <v>93471389</v>
      </c>
      <c r="G17506">
        <v>93471404</v>
      </c>
      <c r="H17506">
        <v>93471389</v>
      </c>
      <c r="I17506">
        <v>93471404</v>
      </c>
    </row>
    <row r="17507" spans="1:9" x14ac:dyDescent="0.2">
      <c r="A17507" s="1" t="str">
        <f>"TAF1L"</f>
        <v>TAF1L</v>
      </c>
      <c r="B17507" t="s">
        <v>14</v>
      </c>
      <c r="C17507" t="s">
        <v>24</v>
      </c>
      <c r="D17507" t="s">
        <v>11</v>
      </c>
      <c r="E17507" t="s">
        <v>12</v>
      </c>
      <c r="F17507">
        <v>32635085</v>
      </c>
      <c r="G17507">
        <v>32635086</v>
      </c>
      <c r="H17507">
        <v>32635085</v>
      </c>
      <c r="I17507">
        <v>32635086</v>
      </c>
    </row>
    <row r="17508" spans="1:9" x14ac:dyDescent="0.2">
      <c r="A17508" s="1" t="str">
        <f>"TAF2"</f>
        <v>TAF2</v>
      </c>
      <c r="B17508" t="s">
        <v>14</v>
      </c>
      <c r="C17508" t="s">
        <v>30</v>
      </c>
      <c r="D17508" t="s">
        <v>11</v>
      </c>
      <c r="E17508" t="s">
        <v>12</v>
      </c>
      <c r="F17508">
        <v>120845068</v>
      </c>
      <c r="G17508">
        <v>120845089</v>
      </c>
      <c r="H17508">
        <v>120845068</v>
      </c>
      <c r="I17508">
        <v>120845089</v>
      </c>
    </row>
    <row r="17509" spans="1:9" x14ac:dyDescent="0.2">
      <c r="A17509" s="1" t="str">
        <f>"TAF3"</f>
        <v>TAF3</v>
      </c>
      <c r="B17509" t="s">
        <v>14</v>
      </c>
      <c r="C17509" t="s">
        <v>15</v>
      </c>
      <c r="D17509" t="s">
        <v>17</v>
      </c>
      <c r="E17509" t="s">
        <v>12</v>
      </c>
      <c r="F17509">
        <v>7860460</v>
      </c>
      <c r="G17509">
        <v>7860497</v>
      </c>
      <c r="H17509">
        <v>7860460</v>
      </c>
      <c r="I17509">
        <v>7860497</v>
      </c>
    </row>
    <row r="17510" spans="1:9" x14ac:dyDescent="0.2">
      <c r="A17510" s="1" t="str">
        <f>"TAF4"</f>
        <v>TAF4</v>
      </c>
      <c r="B17510" t="s">
        <v>14</v>
      </c>
      <c r="C17510" t="s">
        <v>29</v>
      </c>
      <c r="D17510" t="s">
        <v>11</v>
      </c>
      <c r="E17510" t="s">
        <v>12</v>
      </c>
      <c r="F17510">
        <v>60640903</v>
      </c>
      <c r="G17510">
        <v>60640945</v>
      </c>
      <c r="H17510">
        <v>60640871</v>
      </c>
      <c r="I17510">
        <v>60640901</v>
      </c>
    </row>
    <row r="17511" spans="1:9" x14ac:dyDescent="0.2">
      <c r="A17511" s="1" t="str">
        <f>"TAF4B"</f>
        <v>TAF4B</v>
      </c>
      <c r="B17511" t="s">
        <v>14</v>
      </c>
      <c r="C17511" t="s">
        <v>43</v>
      </c>
      <c r="D17511" t="s">
        <v>17</v>
      </c>
      <c r="E17511" t="s">
        <v>12</v>
      </c>
      <c r="F17511">
        <v>23806382</v>
      </c>
      <c r="G17511">
        <v>23806424</v>
      </c>
      <c r="H17511">
        <v>23806437</v>
      </c>
      <c r="I17511">
        <v>23806449</v>
      </c>
    </row>
    <row r="17512" spans="1:9" x14ac:dyDescent="0.2">
      <c r="A17512" s="1" t="str">
        <f>"TAF5"</f>
        <v>TAF5</v>
      </c>
      <c r="B17512" t="s">
        <v>14</v>
      </c>
      <c r="C17512" t="s">
        <v>15</v>
      </c>
      <c r="D17512" t="s">
        <v>17</v>
      </c>
      <c r="E17512" t="s">
        <v>12</v>
      </c>
      <c r="F17512">
        <v>105127704</v>
      </c>
      <c r="G17512">
        <v>105127749</v>
      </c>
      <c r="H17512">
        <v>105127704</v>
      </c>
      <c r="I17512">
        <v>105127749</v>
      </c>
    </row>
    <row r="17513" spans="1:9" x14ac:dyDescent="0.2">
      <c r="A17513" s="1" t="str">
        <f>"TAF5L"</f>
        <v>TAF5L</v>
      </c>
      <c r="B17513" t="s">
        <v>14</v>
      </c>
      <c r="C17513" t="s">
        <v>19</v>
      </c>
      <c r="D17513" t="s">
        <v>11</v>
      </c>
      <c r="E17513" t="s">
        <v>12</v>
      </c>
      <c r="F17513">
        <v>229761798</v>
      </c>
      <c r="G17513">
        <v>229761896</v>
      </c>
      <c r="H17513">
        <v>229761732</v>
      </c>
      <c r="I17513">
        <v>229761754</v>
      </c>
    </row>
    <row r="17514" spans="1:9" x14ac:dyDescent="0.2">
      <c r="A17514" s="1" t="str">
        <f>"TAF6"</f>
        <v>TAF6</v>
      </c>
      <c r="B17514" t="s">
        <v>14</v>
      </c>
      <c r="C17514" t="s">
        <v>33</v>
      </c>
      <c r="D17514" t="s">
        <v>11</v>
      </c>
      <c r="E17514" t="s">
        <v>12</v>
      </c>
      <c r="F17514">
        <v>99716952</v>
      </c>
      <c r="G17514">
        <v>99716990</v>
      </c>
      <c r="H17514">
        <v>99716914</v>
      </c>
      <c r="I17514">
        <v>99716936</v>
      </c>
    </row>
    <row r="17515" spans="1:9" x14ac:dyDescent="0.2">
      <c r="A17515" s="1" t="str">
        <f>"TAF6L"</f>
        <v>TAF6L</v>
      </c>
      <c r="B17515" t="s">
        <v>14</v>
      </c>
      <c r="C17515" t="s">
        <v>27</v>
      </c>
      <c r="D17515" t="s">
        <v>17</v>
      </c>
      <c r="E17515" t="s">
        <v>12</v>
      </c>
      <c r="F17515">
        <v>62538887</v>
      </c>
      <c r="G17515">
        <v>62538931</v>
      </c>
      <c r="H17515">
        <v>62538850</v>
      </c>
      <c r="I17515">
        <v>62538885</v>
      </c>
    </row>
    <row r="17516" spans="1:9" x14ac:dyDescent="0.2">
      <c r="A17516" s="1" t="str">
        <f>"TAF7"</f>
        <v>TAF7</v>
      </c>
      <c r="B17516" t="s">
        <v>14</v>
      </c>
      <c r="C17516" t="s">
        <v>46</v>
      </c>
      <c r="D17516" t="s">
        <v>11</v>
      </c>
      <c r="E17516" t="s">
        <v>12</v>
      </c>
      <c r="F17516">
        <v>140700322</v>
      </c>
      <c r="G17516">
        <v>140700358</v>
      </c>
      <c r="H17516">
        <v>140700322</v>
      </c>
      <c r="I17516">
        <v>140700358</v>
      </c>
    </row>
    <row r="17517" spans="1:9" x14ac:dyDescent="0.2">
      <c r="A17517" s="1" t="str">
        <f>"TAF7L"</f>
        <v>TAF7L</v>
      </c>
      <c r="B17517" t="s">
        <v>14</v>
      </c>
      <c r="C17517" t="s">
        <v>37</v>
      </c>
      <c r="D17517" t="s">
        <v>11</v>
      </c>
      <c r="E17517" t="s">
        <v>12</v>
      </c>
      <c r="F17517">
        <v>100546337</v>
      </c>
      <c r="G17517">
        <v>100546362</v>
      </c>
      <c r="H17517">
        <v>100546314</v>
      </c>
      <c r="I17517">
        <v>100546329</v>
      </c>
    </row>
    <row r="17518" spans="1:9" x14ac:dyDescent="0.2">
      <c r="A17518" s="1" t="str">
        <f>"TAF8"</f>
        <v>TAF8</v>
      </c>
      <c r="B17518" t="s">
        <v>14</v>
      </c>
      <c r="C17518" t="s">
        <v>32</v>
      </c>
      <c r="D17518" t="s">
        <v>17</v>
      </c>
      <c r="E17518" t="s">
        <v>12</v>
      </c>
      <c r="F17518">
        <v>42018254</v>
      </c>
      <c r="G17518">
        <v>42018277</v>
      </c>
      <c r="H17518">
        <v>42018652</v>
      </c>
      <c r="I17518">
        <v>42018679</v>
      </c>
    </row>
    <row r="17519" spans="1:9" x14ac:dyDescent="0.2">
      <c r="A17519" s="1" t="str">
        <f>"TAF9"</f>
        <v>TAF9</v>
      </c>
      <c r="B17519" t="s">
        <v>14</v>
      </c>
      <c r="C17519" t="s">
        <v>46</v>
      </c>
      <c r="D17519" t="s">
        <v>11</v>
      </c>
      <c r="E17519" t="s">
        <v>12</v>
      </c>
      <c r="F17519">
        <v>68665296</v>
      </c>
      <c r="G17519">
        <v>68665381</v>
      </c>
      <c r="H17519">
        <v>68665640</v>
      </c>
      <c r="I17519">
        <v>68665659</v>
      </c>
    </row>
    <row r="17520" spans="1:9" x14ac:dyDescent="0.2">
      <c r="A17520" s="1" t="str">
        <f>"TAF9B"</f>
        <v>TAF9B</v>
      </c>
      <c r="B17520" t="s">
        <v>14</v>
      </c>
      <c r="C17520" t="s">
        <v>37</v>
      </c>
      <c r="D17520" t="s">
        <v>11</v>
      </c>
      <c r="E17520" t="s">
        <v>12</v>
      </c>
      <c r="F17520">
        <v>77395109</v>
      </c>
      <c r="G17520">
        <v>77395157</v>
      </c>
      <c r="H17520">
        <v>77395173</v>
      </c>
      <c r="I17520">
        <v>77395185</v>
      </c>
    </row>
    <row r="17521" spans="1:9" x14ac:dyDescent="0.2">
      <c r="A17521" s="1" t="str">
        <f>"TAGAP"</f>
        <v>TAGAP</v>
      </c>
      <c r="B17521" t="s">
        <v>14</v>
      </c>
      <c r="C17521" t="s">
        <v>32</v>
      </c>
      <c r="D17521" t="s">
        <v>11</v>
      </c>
      <c r="E17521" t="s">
        <v>12</v>
      </c>
      <c r="F17521">
        <v>159466012</v>
      </c>
      <c r="G17521">
        <v>159466030</v>
      </c>
      <c r="H17521">
        <v>159466042</v>
      </c>
      <c r="I17521">
        <v>159466066</v>
      </c>
    </row>
    <row r="17522" spans="1:9" x14ac:dyDescent="0.2">
      <c r="A17522" s="1" t="str">
        <f>"TAGLN"</f>
        <v>TAGLN</v>
      </c>
      <c r="B17522" t="s">
        <v>9</v>
      </c>
      <c r="C17522" t="s">
        <v>27</v>
      </c>
      <c r="D17522" t="s">
        <v>17</v>
      </c>
      <c r="E17522" t="s">
        <v>12</v>
      </c>
      <c r="F17522">
        <v>117070079</v>
      </c>
      <c r="G17522">
        <v>117070097</v>
      </c>
      <c r="H17522">
        <v>117070079</v>
      </c>
      <c r="I17522">
        <v>117070097</v>
      </c>
    </row>
    <row r="17523" spans="1:9" x14ac:dyDescent="0.2">
      <c r="A17523" s="1" t="str">
        <f>"TAGLN"</f>
        <v>TAGLN</v>
      </c>
      <c r="B17523" t="s">
        <v>13</v>
      </c>
      <c r="C17523" t="s">
        <v>27</v>
      </c>
      <c r="D17523" t="s">
        <v>17</v>
      </c>
      <c r="E17523" t="s">
        <v>12</v>
      </c>
      <c r="F17523">
        <v>117073868</v>
      </c>
      <c r="G17523">
        <v>117073881</v>
      </c>
      <c r="H17523">
        <v>117073868</v>
      </c>
      <c r="I17523">
        <v>117073881</v>
      </c>
    </row>
    <row r="17524" spans="1:9" x14ac:dyDescent="0.2">
      <c r="A17524" s="1" t="str">
        <f>"TAGLN2"</f>
        <v>TAGLN2</v>
      </c>
      <c r="B17524" t="s">
        <v>14</v>
      </c>
      <c r="C17524" t="s">
        <v>19</v>
      </c>
      <c r="D17524" t="s">
        <v>11</v>
      </c>
      <c r="E17524" t="s">
        <v>12</v>
      </c>
      <c r="F17524">
        <v>159895286</v>
      </c>
      <c r="G17524">
        <v>159895305</v>
      </c>
      <c r="H17524">
        <v>159895266</v>
      </c>
      <c r="I17524">
        <v>159895275</v>
      </c>
    </row>
    <row r="17525" spans="1:9" x14ac:dyDescent="0.2">
      <c r="A17525" s="1" t="str">
        <f>"TAGLN3"</f>
        <v>TAGLN3</v>
      </c>
      <c r="B17525" t="s">
        <v>14</v>
      </c>
      <c r="C17525" t="s">
        <v>22</v>
      </c>
      <c r="D17525" t="s">
        <v>17</v>
      </c>
      <c r="E17525" t="s">
        <v>12</v>
      </c>
      <c r="F17525">
        <v>111718173</v>
      </c>
      <c r="G17525">
        <v>111718193</v>
      </c>
      <c r="H17525">
        <v>111717763</v>
      </c>
      <c r="I17525">
        <v>111717806</v>
      </c>
    </row>
    <row r="17526" spans="1:9" x14ac:dyDescent="0.2">
      <c r="A17526" s="1" t="str">
        <f>"TAL1"</f>
        <v>TAL1</v>
      </c>
      <c r="B17526" t="s">
        <v>1640</v>
      </c>
      <c r="C17526" t="s">
        <v>19</v>
      </c>
      <c r="D17526" t="s">
        <v>11</v>
      </c>
      <c r="E17526" t="s">
        <v>35</v>
      </c>
      <c r="F17526">
        <v>47695405</v>
      </c>
      <c r="G17526">
        <v>47695430</v>
      </c>
      <c r="H17526">
        <v>47695405</v>
      </c>
      <c r="I17526">
        <v>47695430</v>
      </c>
    </row>
    <row r="17527" spans="1:9" x14ac:dyDescent="0.2">
      <c r="A17527" s="1" t="str">
        <f>"TAL1"</f>
        <v>TAL1</v>
      </c>
      <c r="B17527" t="s">
        <v>1641</v>
      </c>
      <c r="C17527" t="s">
        <v>19</v>
      </c>
      <c r="D17527" t="s">
        <v>11</v>
      </c>
      <c r="E17527" t="s">
        <v>35</v>
      </c>
      <c r="F17527">
        <v>47697539</v>
      </c>
      <c r="G17527">
        <v>47697573</v>
      </c>
      <c r="H17527">
        <v>47697210</v>
      </c>
      <c r="I17527">
        <v>47697216</v>
      </c>
    </row>
    <row r="17528" spans="1:9" x14ac:dyDescent="0.2">
      <c r="A17528" s="1" t="str">
        <f>"TAL2"</f>
        <v>TAL2</v>
      </c>
      <c r="B17528" t="s">
        <v>1642</v>
      </c>
      <c r="C17528" t="s">
        <v>24</v>
      </c>
      <c r="D17528" t="s">
        <v>17</v>
      </c>
      <c r="E17528" t="s">
        <v>20</v>
      </c>
      <c r="F17528">
        <v>108424737</v>
      </c>
      <c r="G17528">
        <v>108424737</v>
      </c>
      <c r="H17528">
        <v>108424737</v>
      </c>
      <c r="I17528">
        <v>108424737</v>
      </c>
    </row>
    <row r="17529" spans="1:9" x14ac:dyDescent="0.2">
      <c r="A17529" s="1" t="str">
        <f>"TALDO1"</f>
        <v>TALDO1</v>
      </c>
      <c r="B17529" t="s">
        <v>14</v>
      </c>
      <c r="C17529" t="s">
        <v>27</v>
      </c>
      <c r="D17529" t="s">
        <v>17</v>
      </c>
      <c r="E17529" t="s">
        <v>12</v>
      </c>
      <c r="F17529">
        <v>747411</v>
      </c>
      <c r="G17529">
        <v>747481</v>
      </c>
      <c r="H17529">
        <v>747411</v>
      </c>
      <c r="I17529">
        <v>747481</v>
      </c>
    </row>
    <row r="17530" spans="1:9" x14ac:dyDescent="0.2">
      <c r="A17530" s="1" t="str">
        <f>"TAMM41"</f>
        <v>TAMM41</v>
      </c>
      <c r="B17530" t="s">
        <v>14</v>
      </c>
      <c r="C17530" t="s">
        <v>22</v>
      </c>
      <c r="D17530" t="s">
        <v>11</v>
      </c>
      <c r="E17530" t="s">
        <v>12</v>
      </c>
      <c r="F17530">
        <v>11888282</v>
      </c>
      <c r="G17530">
        <v>11888374</v>
      </c>
      <c r="H17530">
        <v>11888376</v>
      </c>
      <c r="I17530">
        <v>11888383</v>
      </c>
    </row>
    <row r="17531" spans="1:9" x14ac:dyDescent="0.2">
      <c r="A17531" s="1" t="str">
        <f>"TANC1"</f>
        <v>TANC1</v>
      </c>
      <c r="B17531" t="s">
        <v>14</v>
      </c>
      <c r="C17531" t="s">
        <v>26</v>
      </c>
      <c r="D17531" t="s">
        <v>17</v>
      </c>
      <c r="E17531" t="s">
        <v>12</v>
      </c>
      <c r="F17531">
        <v>159825143</v>
      </c>
      <c r="G17531">
        <v>159825190</v>
      </c>
      <c r="H17531">
        <v>159825192</v>
      </c>
      <c r="I17531">
        <v>159825201</v>
      </c>
    </row>
    <row r="17532" spans="1:9" x14ac:dyDescent="0.2">
      <c r="A17532" s="1" t="str">
        <f>"TANC2"</f>
        <v>TANC2</v>
      </c>
      <c r="B17532" t="s">
        <v>1643</v>
      </c>
      <c r="C17532" t="s">
        <v>28</v>
      </c>
      <c r="D17532" t="s">
        <v>17</v>
      </c>
      <c r="E17532" t="s">
        <v>20</v>
      </c>
      <c r="F17532">
        <v>61086916</v>
      </c>
      <c r="G17532">
        <v>61086916</v>
      </c>
      <c r="H17532">
        <v>61086916</v>
      </c>
      <c r="I17532">
        <v>61086916</v>
      </c>
    </row>
    <row r="17533" spans="1:9" x14ac:dyDescent="0.2">
      <c r="A17533" s="1" t="str">
        <f>"TANGO2"</f>
        <v>TANGO2</v>
      </c>
      <c r="B17533" t="s">
        <v>14</v>
      </c>
      <c r="C17533" t="s">
        <v>21</v>
      </c>
      <c r="D17533" t="s">
        <v>17</v>
      </c>
      <c r="E17533" t="s">
        <v>12</v>
      </c>
      <c r="F17533">
        <v>20008616</v>
      </c>
      <c r="G17533">
        <v>20008644</v>
      </c>
      <c r="H17533">
        <v>20008646</v>
      </c>
      <c r="I17533">
        <v>20008657</v>
      </c>
    </row>
    <row r="17534" spans="1:9" x14ac:dyDescent="0.2">
      <c r="A17534" s="1" t="str">
        <f>"TANGO6"</f>
        <v>TANGO6</v>
      </c>
      <c r="B17534" t="s">
        <v>14</v>
      </c>
      <c r="C17534" t="s">
        <v>31</v>
      </c>
      <c r="D17534" t="s">
        <v>17</v>
      </c>
      <c r="E17534" t="s">
        <v>12</v>
      </c>
      <c r="F17534">
        <v>68877419</v>
      </c>
      <c r="G17534">
        <v>68877457</v>
      </c>
      <c r="H17534">
        <v>68877496</v>
      </c>
      <c r="I17534">
        <v>68877521</v>
      </c>
    </row>
    <row r="17535" spans="1:9" x14ac:dyDescent="0.2">
      <c r="A17535" s="1" t="str">
        <f>"TANK"</f>
        <v>TANK</v>
      </c>
      <c r="B17535" t="s">
        <v>9</v>
      </c>
      <c r="C17535" t="s">
        <v>26</v>
      </c>
      <c r="D17535" t="s">
        <v>17</v>
      </c>
      <c r="E17535" t="s">
        <v>12</v>
      </c>
      <c r="F17535">
        <v>162016916</v>
      </c>
      <c r="G17535">
        <v>162016954</v>
      </c>
      <c r="H17535">
        <v>162016916</v>
      </c>
      <c r="I17535">
        <v>162016954</v>
      </c>
    </row>
    <row r="17536" spans="1:9" x14ac:dyDescent="0.2">
      <c r="A17536" s="1" t="str">
        <f>"TANK"</f>
        <v>TANK</v>
      </c>
      <c r="B17536" t="s">
        <v>13</v>
      </c>
      <c r="C17536" t="s">
        <v>26</v>
      </c>
      <c r="D17536" t="s">
        <v>17</v>
      </c>
      <c r="E17536" t="s">
        <v>12</v>
      </c>
      <c r="F17536">
        <v>161993465</v>
      </c>
      <c r="G17536">
        <v>161993481</v>
      </c>
      <c r="H17536">
        <v>161993465</v>
      </c>
      <c r="I17536">
        <v>161993481</v>
      </c>
    </row>
    <row r="17537" spans="1:9" x14ac:dyDescent="0.2">
      <c r="A17537" s="1" t="str">
        <f>"TAOK1"</f>
        <v>TAOK1</v>
      </c>
      <c r="B17537" t="s">
        <v>14</v>
      </c>
      <c r="C17537" t="s">
        <v>28</v>
      </c>
      <c r="D17537" t="s">
        <v>17</v>
      </c>
      <c r="E17537" t="s">
        <v>12</v>
      </c>
      <c r="F17537">
        <v>27717856</v>
      </c>
      <c r="G17537">
        <v>27717884</v>
      </c>
      <c r="H17537">
        <v>27717856</v>
      </c>
      <c r="I17537">
        <v>27717884</v>
      </c>
    </row>
    <row r="17538" spans="1:9" x14ac:dyDescent="0.2">
      <c r="A17538" s="1" t="str">
        <f>"TAOK2"</f>
        <v>TAOK2</v>
      </c>
      <c r="B17538" t="s">
        <v>14</v>
      </c>
      <c r="C17538" t="s">
        <v>31</v>
      </c>
      <c r="D17538" t="s">
        <v>17</v>
      </c>
      <c r="E17538" t="s">
        <v>12</v>
      </c>
      <c r="F17538">
        <v>29985168</v>
      </c>
      <c r="G17538">
        <v>29985205</v>
      </c>
      <c r="H17538">
        <v>29985207</v>
      </c>
      <c r="I17538">
        <v>29985238</v>
      </c>
    </row>
    <row r="17539" spans="1:9" x14ac:dyDescent="0.2">
      <c r="A17539" s="1" t="str">
        <f>"TAOK3"</f>
        <v>TAOK3</v>
      </c>
      <c r="B17539" t="s">
        <v>9</v>
      </c>
      <c r="C17539" t="s">
        <v>16</v>
      </c>
      <c r="D17539" t="s">
        <v>11</v>
      </c>
      <c r="E17539" t="s">
        <v>12</v>
      </c>
      <c r="F17539">
        <v>118810688</v>
      </c>
      <c r="G17539">
        <v>118810744</v>
      </c>
      <c r="H17539">
        <v>118810688</v>
      </c>
      <c r="I17539">
        <v>118810744</v>
      </c>
    </row>
    <row r="17540" spans="1:9" x14ac:dyDescent="0.2">
      <c r="A17540" s="1" t="str">
        <f>"TAOK3"</f>
        <v>TAOK3</v>
      </c>
      <c r="B17540" t="s">
        <v>13</v>
      </c>
      <c r="C17540" t="s">
        <v>16</v>
      </c>
      <c r="D17540" t="s">
        <v>11</v>
      </c>
      <c r="E17540" t="s">
        <v>12</v>
      </c>
      <c r="F17540">
        <v>118796915</v>
      </c>
      <c r="G17540">
        <v>118796943</v>
      </c>
      <c r="H17540">
        <v>118796915</v>
      </c>
      <c r="I17540">
        <v>118796943</v>
      </c>
    </row>
    <row r="17541" spans="1:9" x14ac:dyDescent="0.2">
      <c r="A17541" s="1" t="str">
        <f>"TAP1"</f>
        <v>TAP1</v>
      </c>
      <c r="B17541" t="s">
        <v>14</v>
      </c>
      <c r="C17541" t="s">
        <v>32</v>
      </c>
      <c r="D17541" t="s">
        <v>11</v>
      </c>
      <c r="E17541" t="s">
        <v>12</v>
      </c>
      <c r="F17541">
        <v>32821442</v>
      </c>
      <c r="G17541">
        <v>32821538</v>
      </c>
      <c r="H17541">
        <v>32821749</v>
      </c>
      <c r="I17541">
        <v>32821808</v>
      </c>
    </row>
    <row r="17542" spans="1:9" x14ac:dyDescent="0.2">
      <c r="A17542" s="1" t="str">
        <f>"TAP2"</f>
        <v>TAP2</v>
      </c>
      <c r="B17542" t="s">
        <v>14</v>
      </c>
      <c r="C17542" t="s">
        <v>32</v>
      </c>
      <c r="D17542" t="s">
        <v>11</v>
      </c>
      <c r="E17542" t="s">
        <v>12</v>
      </c>
      <c r="F17542">
        <v>32806506</v>
      </c>
      <c r="G17542">
        <v>32806579</v>
      </c>
      <c r="H17542">
        <v>32806002</v>
      </c>
      <c r="I17542">
        <v>32806046</v>
      </c>
    </row>
    <row r="17543" spans="1:9" x14ac:dyDescent="0.2">
      <c r="A17543" s="1" t="str">
        <f>"TAPBP"</f>
        <v>TAPBP</v>
      </c>
      <c r="B17543" t="s">
        <v>14</v>
      </c>
      <c r="C17543" t="s">
        <v>32</v>
      </c>
      <c r="D17543" t="s">
        <v>11</v>
      </c>
      <c r="E17543" t="s">
        <v>12</v>
      </c>
      <c r="F17543">
        <v>33281832</v>
      </c>
      <c r="G17543">
        <v>33281863</v>
      </c>
      <c r="H17543">
        <v>33282024</v>
      </c>
      <c r="I17543">
        <v>33282046</v>
      </c>
    </row>
    <row r="17544" spans="1:9" x14ac:dyDescent="0.2">
      <c r="A17544" s="1" t="str">
        <f>"TAPBPL"</f>
        <v>TAPBPL</v>
      </c>
      <c r="B17544" t="s">
        <v>14</v>
      </c>
      <c r="C17544" t="s">
        <v>16</v>
      </c>
      <c r="D17544" t="s">
        <v>17</v>
      </c>
      <c r="E17544" t="s">
        <v>12</v>
      </c>
      <c r="F17544">
        <v>6561190</v>
      </c>
      <c r="G17544">
        <v>6561312</v>
      </c>
      <c r="H17544">
        <v>6561315</v>
      </c>
      <c r="I17544">
        <v>6561369</v>
      </c>
    </row>
    <row r="17545" spans="1:9" x14ac:dyDescent="0.2">
      <c r="A17545" s="1" t="str">
        <f>"TAPT1"</f>
        <v>TAPT1</v>
      </c>
      <c r="B17545" t="s">
        <v>14</v>
      </c>
      <c r="C17545" t="s">
        <v>23</v>
      </c>
      <c r="D17545" t="s">
        <v>11</v>
      </c>
      <c r="E17545" t="s">
        <v>12</v>
      </c>
      <c r="F17545">
        <v>16228083</v>
      </c>
      <c r="G17545">
        <v>16228108</v>
      </c>
      <c r="H17545">
        <v>16228508</v>
      </c>
      <c r="I17545">
        <v>16228543</v>
      </c>
    </row>
    <row r="17546" spans="1:9" x14ac:dyDescent="0.2">
      <c r="A17546" s="1" t="str">
        <f>"TARBP1"</f>
        <v>TARBP1</v>
      </c>
      <c r="B17546" t="s">
        <v>14</v>
      </c>
      <c r="C17546" t="s">
        <v>19</v>
      </c>
      <c r="D17546" t="s">
        <v>11</v>
      </c>
      <c r="E17546" t="s">
        <v>12</v>
      </c>
      <c r="F17546">
        <v>234614877</v>
      </c>
      <c r="G17546">
        <v>234614941</v>
      </c>
      <c r="H17546">
        <v>234614605</v>
      </c>
      <c r="I17546">
        <v>234614695</v>
      </c>
    </row>
    <row r="17547" spans="1:9" x14ac:dyDescent="0.2">
      <c r="A17547" s="1" t="str">
        <f>"TARBP2"</f>
        <v>TARBP2</v>
      </c>
      <c r="B17547" t="s">
        <v>14</v>
      </c>
      <c r="C17547" t="s">
        <v>16</v>
      </c>
      <c r="D17547" t="s">
        <v>17</v>
      </c>
      <c r="E17547" t="s">
        <v>12</v>
      </c>
      <c r="F17547">
        <v>53895052</v>
      </c>
      <c r="G17547">
        <v>53895143</v>
      </c>
      <c r="H17547">
        <v>53895364</v>
      </c>
      <c r="I17547">
        <v>53895406</v>
      </c>
    </row>
    <row r="17548" spans="1:9" x14ac:dyDescent="0.2">
      <c r="A17548" s="1" t="str">
        <f>"TARDBP"</f>
        <v>TARDBP</v>
      </c>
      <c r="B17548" t="s">
        <v>14</v>
      </c>
      <c r="C17548" t="s">
        <v>19</v>
      </c>
      <c r="D17548" t="s">
        <v>17</v>
      </c>
      <c r="E17548" t="s">
        <v>12</v>
      </c>
      <c r="F17548">
        <v>11072696</v>
      </c>
      <c r="G17548">
        <v>11072735</v>
      </c>
      <c r="H17548">
        <v>11072738</v>
      </c>
      <c r="I17548">
        <v>11072743</v>
      </c>
    </row>
    <row r="17549" spans="1:9" x14ac:dyDescent="0.2">
      <c r="A17549" s="1" t="str">
        <f>"TARM1"</f>
        <v>TARM1</v>
      </c>
      <c r="B17549" t="s">
        <v>14</v>
      </c>
      <c r="C17549" t="s">
        <v>10</v>
      </c>
      <c r="D17549" t="s">
        <v>11</v>
      </c>
      <c r="E17549" t="s">
        <v>12</v>
      </c>
      <c r="F17549">
        <v>54584705</v>
      </c>
      <c r="G17549">
        <v>54584715</v>
      </c>
      <c r="H17549">
        <v>54584705</v>
      </c>
      <c r="I17549">
        <v>54584715</v>
      </c>
    </row>
    <row r="17550" spans="1:9" x14ac:dyDescent="0.2">
      <c r="A17550" s="1" t="str">
        <f>"TARS"</f>
        <v>TARS</v>
      </c>
      <c r="B17550" t="s">
        <v>14</v>
      </c>
      <c r="C17550" t="s">
        <v>46</v>
      </c>
      <c r="D17550" t="s">
        <v>17</v>
      </c>
      <c r="E17550" t="s">
        <v>12</v>
      </c>
      <c r="F17550">
        <v>33441053</v>
      </c>
      <c r="G17550">
        <v>33441109</v>
      </c>
      <c r="H17550">
        <v>33441112</v>
      </c>
      <c r="I17550">
        <v>33441134</v>
      </c>
    </row>
    <row r="17551" spans="1:9" x14ac:dyDescent="0.2">
      <c r="A17551" s="1" t="str">
        <f>"TARS2"</f>
        <v>TARS2</v>
      </c>
      <c r="B17551" t="s">
        <v>14</v>
      </c>
      <c r="C17551" t="s">
        <v>19</v>
      </c>
      <c r="D17551" t="s">
        <v>17</v>
      </c>
      <c r="E17551" t="s">
        <v>12</v>
      </c>
      <c r="F17551">
        <v>150459873</v>
      </c>
      <c r="G17551">
        <v>150459926</v>
      </c>
      <c r="H17551">
        <v>150459800</v>
      </c>
      <c r="I17551">
        <v>150459806</v>
      </c>
    </row>
    <row r="17552" spans="1:9" x14ac:dyDescent="0.2">
      <c r="A17552" s="1" t="str">
        <f>"TARSL2"</f>
        <v>TARSL2</v>
      </c>
      <c r="B17552" t="s">
        <v>14</v>
      </c>
      <c r="C17552" t="s">
        <v>25</v>
      </c>
      <c r="D17552" t="s">
        <v>11</v>
      </c>
      <c r="E17552" t="s">
        <v>12</v>
      </c>
      <c r="F17552">
        <v>102264619</v>
      </c>
      <c r="G17552">
        <v>102264697</v>
      </c>
      <c r="H17552">
        <v>102264609</v>
      </c>
      <c r="I17552">
        <v>102264616</v>
      </c>
    </row>
    <row r="17553" spans="1:9" x14ac:dyDescent="0.2">
      <c r="A17553" s="1" t="str">
        <f>"TAS1R1"</f>
        <v>TAS1R1</v>
      </c>
      <c r="B17553" t="s">
        <v>14</v>
      </c>
      <c r="C17553" t="s">
        <v>19</v>
      </c>
      <c r="D17553" t="s">
        <v>17</v>
      </c>
      <c r="E17553" t="s">
        <v>12</v>
      </c>
      <c r="F17553">
        <v>6615468</v>
      </c>
      <c r="G17553">
        <v>6615485</v>
      </c>
      <c r="H17553">
        <v>6615391</v>
      </c>
      <c r="I17553">
        <v>6615401</v>
      </c>
    </row>
    <row r="17554" spans="1:9" x14ac:dyDescent="0.2">
      <c r="A17554" s="1" t="str">
        <f>"TAS1R2"</f>
        <v>TAS1R2</v>
      </c>
      <c r="B17554" t="s">
        <v>1644</v>
      </c>
      <c r="C17554" t="s">
        <v>19</v>
      </c>
      <c r="D17554" t="s">
        <v>11</v>
      </c>
      <c r="E17554" t="s">
        <v>20</v>
      </c>
      <c r="F17554">
        <v>19186175</v>
      </c>
      <c r="G17554">
        <v>19186175</v>
      </c>
      <c r="H17554">
        <v>19186175</v>
      </c>
      <c r="I17554">
        <v>19186175</v>
      </c>
    </row>
    <row r="17555" spans="1:9" x14ac:dyDescent="0.2">
      <c r="A17555" s="1" t="str">
        <f>"TAS1R3"</f>
        <v>TAS1R3</v>
      </c>
      <c r="B17555" t="s">
        <v>14</v>
      </c>
      <c r="C17555" t="s">
        <v>19</v>
      </c>
      <c r="D17555" t="s">
        <v>17</v>
      </c>
      <c r="E17555" t="s">
        <v>12</v>
      </c>
      <c r="F17555">
        <v>1266654</v>
      </c>
      <c r="G17555">
        <v>1266669</v>
      </c>
      <c r="H17555">
        <v>1266676</v>
      </c>
      <c r="I17555">
        <v>1266689</v>
      </c>
    </row>
    <row r="17556" spans="1:9" x14ac:dyDescent="0.2">
      <c r="A17556" s="1" t="str">
        <f>"TAS2R1"</f>
        <v>TAS2R1</v>
      </c>
      <c r="B17556" t="s">
        <v>1645</v>
      </c>
      <c r="C17556" t="s">
        <v>46</v>
      </c>
      <c r="D17556" t="s">
        <v>11</v>
      </c>
      <c r="E17556" t="s">
        <v>20</v>
      </c>
      <c r="F17556">
        <v>9630462</v>
      </c>
      <c r="G17556">
        <v>9630462</v>
      </c>
      <c r="H17556">
        <v>9630462</v>
      </c>
      <c r="I17556">
        <v>9630462</v>
      </c>
    </row>
    <row r="17557" spans="1:9" x14ac:dyDescent="0.2">
      <c r="A17557" s="1" t="str">
        <f>"TAS2R10"</f>
        <v>TAS2R10</v>
      </c>
      <c r="B17557" t="s">
        <v>1646</v>
      </c>
      <c r="C17557" t="s">
        <v>16</v>
      </c>
      <c r="D17557" t="s">
        <v>11</v>
      </c>
      <c r="E17557" t="s">
        <v>20</v>
      </c>
      <c r="F17557">
        <v>10978956</v>
      </c>
      <c r="G17557">
        <v>10978956</v>
      </c>
      <c r="H17557">
        <v>10978956</v>
      </c>
      <c r="I17557">
        <v>10978956</v>
      </c>
    </row>
    <row r="17558" spans="1:9" x14ac:dyDescent="0.2">
      <c r="A17558" s="1" t="str">
        <f>"TAS2R13"</f>
        <v>TAS2R13</v>
      </c>
      <c r="B17558" t="s">
        <v>1647</v>
      </c>
      <c r="C17558" t="s">
        <v>16</v>
      </c>
      <c r="D17558" t="s">
        <v>11</v>
      </c>
      <c r="E17558" t="s">
        <v>20</v>
      </c>
      <c r="F17558">
        <v>11062160</v>
      </c>
      <c r="G17558">
        <v>11062160</v>
      </c>
      <c r="H17558">
        <v>11062160</v>
      </c>
      <c r="I17558">
        <v>11062160</v>
      </c>
    </row>
    <row r="17559" spans="1:9" x14ac:dyDescent="0.2">
      <c r="A17559" s="1" t="str">
        <f>"TAS2R14"</f>
        <v>TAS2R14</v>
      </c>
      <c r="B17559" t="s">
        <v>1648</v>
      </c>
      <c r="C17559" t="s">
        <v>16</v>
      </c>
      <c r="D17559" t="s">
        <v>11</v>
      </c>
      <c r="E17559" t="s">
        <v>20</v>
      </c>
      <c r="F17559">
        <v>11091861</v>
      </c>
      <c r="G17559">
        <v>11091861</v>
      </c>
      <c r="H17559">
        <v>11091861</v>
      </c>
      <c r="I17559">
        <v>11091861</v>
      </c>
    </row>
    <row r="17560" spans="1:9" x14ac:dyDescent="0.2">
      <c r="A17560" s="1" t="str">
        <f>"TAS2R16"</f>
        <v>TAS2R16</v>
      </c>
      <c r="B17560" t="s">
        <v>1649</v>
      </c>
      <c r="C17560" t="s">
        <v>33</v>
      </c>
      <c r="D17560" t="s">
        <v>11</v>
      </c>
      <c r="E17560" t="s">
        <v>20</v>
      </c>
      <c r="F17560">
        <v>122635753</v>
      </c>
      <c r="G17560">
        <v>122635753</v>
      </c>
      <c r="H17560">
        <v>122635753</v>
      </c>
      <c r="I17560">
        <v>122635753</v>
      </c>
    </row>
    <row r="17561" spans="1:9" x14ac:dyDescent="0.2">
      <c r="A17561" s="1" t="str">
        <f>"TAS2R19"</f>
        <v>TAS2R19</v>
      </c>
      <c r="B17561" t="s">
        <v>1650</v>
      </c>
      <c r="C17561" t="s">
        <v>16</v>
      </c>
      <c r="D17561" t="s">
        <v>11</v>
      </c>
      <c r="E17561" t="s">
        <v>20</v>
      </c>
      <c r="F17561">
        <v>11175218</v>
      </c>
      <c r="G17561">
        <v>11175218</v>
      </c>
      <c r="H17561">
        <v>11175218</v>
      </c>
      <c r="I17561">
        <v>11175218</v>
      </c>
    </row>
    <row r="17562" spans="1:9" x14ac:dyDescent="0.2">
      <c r="A17562" s="1" t="str">
        <f>"TAS2R20"</f>
        <v>TAS2R20</v>
      </c>
      <c r="B17562" t="s">
        <v>1651</v>
      </c>
      <c r="C17562" t="s">
        <v>16</v>
      </c>
      <c r="D17562" t="s">
        <v>11</v>
      </c>
      <c r="E17562" t="s">
        <v>20</v>
      </c>
      <c r="F17562">
        <v>11150473</v>
      </c>
      <c r="G17562">
        <v>11150473</v>
      </c>
      <c r="H17562">
        <v>11150473</v>
      </c>
      <c r="I17562">
        <v>11150473</v>
      </c>
    </row>
    <row r="17563" spans="1:9" x14ac:dyDescent="0.2">
      <c r="A17563" s="1" t="str">
        <f>"TAS2R3"</f>
        <v>TAS2R3</v>
      </c>
      <c r="B17563" t="s">
        <v>1652</v>
      </c>
      <c r="C17563" t="s">
        <v>33</v>
      </c>
      <c r="D17563" t="s">
        <v>17</v>
      </c>
      <c r="E17563" t="s">
        <v>20</v>
      </c>
      <c r="F17563">
        <v>141463896</v>
      </c>
      <c r="G17563">
        <v>141463896</v>
      </c>
      <c r="H17563">
        <v>141463896</v>
      </c>
      <c r="I17563">
        <v>141463896</v>
      </c>
    </row>
    <row r="17564" spans="1:9" x14ac:dyDescent="0.2">
      <c r="A17564" s="1" t="str">
        <f>"TAS2R30"</f>
        <v>TAS2R30</v>
      </c>
      <c r="B17564" t="s">
        <v>1653</v>
      </c>
      <c r="C17564" t="s">
        <v>16</v>
      </c>
      <c r="D17564" t="s">
        <v>11</v>
      </c>
      <c r="E17564" t="s">
        <v>20</v>
      </c>
      <c r="F17564">
        <v>11287242</v>
      </c>
      <c r="G17564">
        <v>11287242</v>
      </c>
      <c r="H17564">
        <v>11287242</v>
      </c>
      <c r="I17564">
        <v>11287242</v>
      </c>
    </row>
    <row r="17565" spans="1:9" x14ac:dyDescent="0.2">
      <c r="A17565" s="1" t="str">
        <f>"TAS2R31"</f>
        <v>TAS2R31</v>
      </c>
      <c r="B17565" t="s">
        <v>1654</v>
      </c>
      <c r="C17565" t="s">
        <v>16</v>
      </c>
      <c r="D17565" t="s">
        <v>11</v>
      </c>
      <c r="E17565" t="s">
        <v>20</v>
      </c>
      <c r="F17565">
        <v>11184005</v>
      </c>
      <c r="G17565">
        <v>11184005</v>
      </c>
      <c r="H17565">
        <v>11184005</v>
      </c>
      <c r="I17565">
        <v>11184005</v>
      </c>
    </row>
    <row r="17566" spans="1:9" x14ac:dyDescent="0.2">
      <c r="A17566" s="1" t="str">
        <f>"TAS2R38"</f>
        <v>TAS2R38</v>
      </c>
      <c r="B17566" t="s">
        <v>1655</v>
      </c>
      <c r="C17566" t="s">
        <v>33</v>
      </c>
      <c r="D17566" t="s">
        <v>11</v>
      </c>
      <c r="E17566" t="s">
        <v>20</v>
      </c>
      <c r="F17566">
        <v>141673572</v>
      </c>
      <c r="G17566">
        <v>141673572</v>
      </c>
      <c r="H17566">
        <v>141673572</v>
      </c>
      <c r="I17566">
        <v>141673572</v>
      </c>
    </row>
    <row r="17567" spans="1:9" x14ac:dyDescent="0.2">
      <c r="A17567" s="1" t="str">
        <f>"TAS2R39"</f>
        <v>TAS2R39</v>
      </c>
      <c r="B17567" t="s">
        <v>1656</v>
      </c>
      <c r="C17567" t="s">
        <v>33</v>
      </c>
      <c r="D17567" t="s">
        <v>17</v>
      </c>
      <c r="E17567" t="s">
        <v>20</v>
      </c>
      <c r="F17567">
        <v>142880511</v>
      </c>
      <c r="G17567">
        <v>142880511</v>
      </c>
      <c r="H17567">
        <v>142880511</v>
      </c>
      <c r="I17567">
        <v>142880511</v>
      </c>
    </row>
    <row r="17568" spans="1:9" x14ac:dyDescent="0.2">
      <c r="A17568" s="1" t="str">
        <f>"TAS2R4"</f>
        <v>TAS2R4</v>
      </c>
      <c r="B17568" t="s">
        <v>1657</v>
      </c>
      <c r="C17568" t="s">
        <v>33</v>
      </c>
      <c r="D17568" t="s">
        <v>17</v>
      </c>
      <c r="E17568" t="s">
        <v>20</v>
      </c>
      <c r="F17568">
        <v>141478241</v>
      </c>
      <c r="G17568">
        <v>141478241</v>
      </c>
      <c r="H17568">
        <v>141478241</v>
      </c>
      <c r="I17568">
        <v>141478241</v>
      </c>
    </row>
    <row r="17569" spans="1:9" x14ac:dyDescent="0.2">
      <c r="A17569" s="1" t="str">
        <f>"TAS2R40"</f>
        <v>TAS2R40</v>
      </c>
      <c r="B17569" t="s">
        <v>1658</v>
      </c>
      <c r="C17569" t="s">
        <v>33</v>
      </c>
      <c r="D17569" t="s">
        <v>17</v>
      </c>
      <c r="E17569" t="s">
        <v>20</v>
      </c>
      <c r="F17569">
        <v>142919129</v>
      </c>
      <c r="G17569">
        <v>142919129</v>
      </c>
      <c r="H17569">
        <v>142919129</v>
      </c>
      <c r="I17569">
        <v>142919129</v>
      </c>
    </row>
    <row r="17570" spans="1:9" x14ac:dyDescent="0.2">
      <c r="A17570" s="1" t="str">
        <f>"TAS2R41"</f>
        <v>TAS2R41</v>
      </c>
      <c r="B17570" t="s">
        <v>1659</v>
      </c>
      <c r="C17570" t="s">
        <v>33</v>
      </c>
      <c r="D17570" t="s">
        <v>17</v>
      </c>
      <c r="E17570" t="s">
        <v>20</v>
      </c>
      <c r="F17570">
        <v>143174965</v>
      </c>
      <c r="G17570">
        <v>143174965</v>
      </c>
      <c r="H17570">
        <v>143174965</v>
      </c>
      <c r="I17570">
        <v>143174965</v>
      </c>
    </row>
    <row r="17571" spans="1:9" x14ac:dyDescent="0.2">
      <c r="A17571" s="1" t="str">
        <f>"TAS2R42"</f>
        <v>TAS2R42</v>
      </c>
      <c r="B17571" t="s">
        <v>1660</v>
      </c>
      <c r="C17571" t="s">
        <v>16</v>
      </c>
      <c r="D17571" t="s">
        <v>11</v>
      </c>
      <c r="E17571" t="s">
        <v>20</v>
      </c>
      <c r="F17571">
        <v>11339542</v>
      </c>
      <c r="G17571">
        <v>11339542</v>
      </c>
      <c r="H17571">
        <v>11339542</v>
      </c>
      <c r="I17571">
        <v>11339542</v>
      </c>
    </row>
    <row r="17572" spans="1:9" x14ac:dyDescent="0.2">
      <c r="A17572" s="1" t="str">
        <f>"TAS2R43"</f>
        <v>TAS2R43</v>
      </c>
      <c r="B17572" t="s">
        <v>1661</v>
      </c>
      <c r="C17572" t="s">
        <v>16</v>
      </c>
      <c r="D17572" t="s">
        <v>11</v>
      </c>
      <c r="E17572" t="s">
        <v>20</v>
      </c>
      <c r="F17572">
        <v>11244911</v>
      </c>
      <c r="G17572">
        <v>11244911</v>
      </c>
      <c r="H17572">
        <v>11244911</v>
      </c>
      <c r="I17572">
        <v>11244911</v>
      </c>
    </row>
    <row r="17573" spans="1:9" x14ac:dyDescent="0.2">
      <c r="A17573" s="1" t="str">
        <f>"TAS2R46"</f>
        <v>TAS2R46</v>
      </c>
      <c r="B17573" t="s">
        <v>1662</v>
      </c>
      <c r="C17573" t="s">
        <v>16</v>
      </c>
      <c r="D17573" t="s">
        <v>11</v>
      </c>
      <c r="E17573" t="s">
        <v>20</v>
      </c>
      <c r="F17573">
        <v>11214892</v>
      </c>
      <c r="G17573">
        <v>11214892</v>
      </c>
      <c r="H17573">
        <v>11214892</v>
      </c>
      <c r="I17573">
        <v>11214892</v>
      </c>
    </row>
    <row r="17574" spans="1:9" x14ac:dyDescent="0.2">
      <c r="A17574" s="1" t="str">
        <f>"TAS2R5"</f>
        <v>TAS2R5</v>
      </c>
      <c r="B17574" t="s">
        <v>1663</v>
      </c>
      <c r="C17574" t="s">
        <v>33</v>
      </c>
      <c r="D17574" t="s">
        <v>17</v>
      </c>
      <c r="E17574" t="s">
        <v>20</v>
      </c>
      <c r="F17574">
        <v>141490016</v>
      </c>
      <c r="G17574">
        <v>141490016</v>
      </c>
      <c r="H17574">
        <v>141490016</v>
      </c>
      <c r="I17574">
        <v>141490016</v>
      </c>
    </row>
    <row r="17575" spans="1:9" x14ac:dyDescent="0.2">
      <c r="A17575" s="1" t="str">
        <f>"TAS2R50"</f>
        <v>TAS2R50</v>
      </c>
      <c r="B17575" t="s">
        <v>1664</v>
      </c>
      <c r="C17575" t="s">
        <v>16</v>
      </c>
      <c r="D17575" t="s">
        <v>11</v>
      </c>
      <c r="E17575" t="s">
        <v>20</v>
      </c>
      <c r="F17575">
        <v>11139510</v>
      </c>
      <c r="G17575">
        <v>11139510</v>
      </c>
      <c r="H17575">
        <v>11139510</v>
      </c>
      <c r="I17575">
        <v>11139510</v>
      </c>
    </row>
    <row r="17576" spans="1:9" x14ac:dyDescent="0.2">
      <c r="A17576" s="1" t="str">
        <f>"TAS2R60"</f>
        <v>TAS2R60</v>
      </c>
      <c r="B17576" t="s">
        <v>1665</v>
      </c>
      <c r="C17576" t="s">
        <v>33</v>
      </c>
      <c r="D17576" t="s">
        <v>17</v>
      </c>
      <c r="E17576" t="s">
        <v>20</v>
      </c>
      <c r="F17576">
        <v>143140545</v>
      </c>
      <c r="G17576">
        <v>143140545</v>
      </c>
      <c r="H17576">
        <v>143140545</v>
      </c>
      <c r="I17576">
        <v>143140545</v>
      </c>
    </row>
    <row r="17577" spans="1:9" x14ac:dyDescent="0.2">
      <c r="A17577" s="1" t="str">
        <f>"TAS2R7"</f>
        <v>TAS2R7</v>
      </c>
      <c r="B17577" t="s">
        <v>1666</v>
      </c>
      <c r="C17577" t="s">
        <v>16</v>
      </c>
      <c r="D17577" t="s">
        <v>11</v>
      </c>
      <c r="E17577" t="s">
        <v>20</v>
      </c>
      <c r="F17577">
        <v>10955225</v>
      </c>
      <c r="G17577">
        <v>10955225</v>
      </c>
      <c r="H17577">
        <v>10955225</v>
      </c>
      <c r="I17577">
        <v>10955225</v>
      </c>
    </row>
    <row r="17578" spans="1:9" x14ac:dyDescent="0.2">
      <c r="A17578" s="1" t="str">
        <f>"TAS2R8"</f>
        <v>TAS2R8</v>
      </c>
      <c r="B17578" t="s">
        <v>1667</v>
      </c>
      <c r="C17578" t="s">
        <v>16</v>
      </c>
      <c r="D17578" t="s">
        <v>11</v>
      </c>
      <c r="E17578" t="s">
        <v>20</v>
      </c>
      <c r="F17578">
        <v>10959891</v>
      </c>
      <c r="G17578">
        <v>10959891</v>
      </c>
      <c r="H17578">
        <v>10959891</v>
      </c>
      <c r="I17578">
        <v>10959891</v>
      </c>
    </row>
    <row r="17579" spans="1:9" x14ac:dyDescent="0.2">
      <c r="A17579" s="1" t="str">
        <f>"TAS2R9"</f>
        <v>TAS2R9</v>
      </c>
      <c r="B17579" t="s">
        <v>1668</v>
      </c>
      <c r="C17579" t="s">
        <v>16</v>
      </c>
      <c r="D17579" t="s">
        <v>11</v>
      </c>
      <c r="E17579" t="s">
        <v>20</v>
      </c>
      <c r="F17579">
        <v>10962766</v>
      </c>
      <c r="G17579">
        <v>10962766</v>
      </c>
      <c r="H17579">
        <v>10962766</v>
      </c>
      <c r="I17579">
        <v>10962766</v>
      </c>
    </row>
    <row r="17580" spans="1:9" x14ac:dyDescent="0.2">
      <c r="A17580" s="1" t="str">
        <f>"TASP1"</f>
        <v>TASP1</v>
      </c>
      <c r="B17580" t="s">
        <v>14</v>
      </c>
      <c r="C17580" t="s">
        <v>29</v>
      </c>
      <c r="D17580" t="s">
        <v>11</v>
      </c>
      <c r="E17580" t="s">
        <v>12</v>
      </c>
      <c r="F17580">
        <v>13619555</v>
      </c>
      <c r="G17580">
        <v>13619585</v>
      </c>
      <c r="H17580">
        <v>13619555</v>
      </c>
      <c r="I17580">
        <v>13619585</v>
      </c>
    </row>
    <row r="17581" spans="1:9" x14ac:dyDescent="0.2">
      <c r="A17581" s="1" t="str">
        <f>"TAT"</f>
        <v>TAT</v>
      </c>
      <c r="B17581" t="s">
        <v>14</v>
      </c>
      <c r="C17581" t="s">
        <v>31</v>
      </c>
      <c r="D17581" t="s">
        <v>11</v>
      </c>
      <c r="E17581" t="s">
        <v>12</v>
      </c>
      <c r="F17581">
        <v>71610985</v>
      </c>
      <c r="G17581">
        <v>71610999</v>
      </c>
      <c r="H17581">
        <v>71610985</v>
      </c>
      <c r="I17581">
        <v>71610999</v>
      </c>
    </row>
    <row r="17582" spans="1:9" x14ac:dyDescent="0.2">
      <c r="A17582" s="1" t="str">
        <f>"TATDN1"</f>
        <v>TATDN1</v>
      </c>
      <c r="B17582" t="s">
        <v>14</v>
      </c>
      <c r="C17582" t="s">
        <v>30</v>
      </c>
      <c r="D17582" t="s">
        <v>11</v>
      </c>
      <c r="E17582" t="s">
        <v>12</v>
      </c>
      <c r="F17582">
        <v>125551291</v>
      </c>
      <c r="G17582">
        <v>125551334</v>
      </c>
      <c r="H17582">
        <v>125551223</v>
      </c>
      <c r="I17582">
        <v>125551240</v>
      </c>
    </row>
    <row r="17583" spans="1:9" x14ac:dyDescent="0.2">
      <c r="A17583" s="1" t="str">
        <f>"TATDN2"</f>
        <v>TATDN2</v>
      </c>
      <c r="B17583" t="s">
        <v>14</v>
      </c>
      <c r="C17583" t="s">
        <v>22</v>
      </c>
      <c r="D17583" t="s">
        <v>17</v>
      </c>
      <c r="E17583" t="s">
        <v>12</v>
      </c>
      <c r="F17583">
        <v>10290124</v>
      </c>
      <c r="G17583">
        <v>10290223</v>
      </c>
      <c r="H17583">
        <v>10290228</v>
      </c>
      <c r="I17583">
        <v>10290249</v>
      </c>
    </row>
    <row r="17584" spans="1:9" x14ac:dyDescent="0.2">
      <c r="A17584" s="1" t="str">
        <f>"TATDN3"</f>
        <v>TATDN3</v>
      </c>
      <c r="B17584" t="s">
        <v>9</v>
      </c>
      <c r="C17584" t="s">
        <v>19</v>
      </c>
      <c r="D17584" t="s">
        <v>17</v>
      </c>
      <c r="E17584" t="s">
        <v>12</v>
      </c>
      <c r="F17584">
        <v>212965197</v>
      </c>
      <c r="G17584">
        <v>212965274</v>
      </c>
      <c r="H17584">
        <v>212965197</v>
      </c>
      <c r="I17584">
        <v>212965274</v>
      </c>
    </row>
    <row r="17585" spans="1:9" x14ac:dyDescent="0.2">
      <c r="A17585" s="1" t="str">
        <f>"TATDN3"</f>
        <v>TATDN3</v>
      </c>
      <c r="B17585" t="s">
        <v>13</v>
      </c>
      <c r="C17585" t="s">
        <v>19</v>
      </c>
      <c r="D17585" t="s">
        <v>17</v>
      </c>
      <c r="E17585" t="s">
        <v>12</v>
      </c>
      <c r="F17585">
        <v>212968323</v>
      </c>
      <c r="G17585">
        <v>212968362</v>
      </c>
      <c r="H17585">
        <v>212968323</v>
      </c>
      <c r="I17585">
        <v>212968362</v>
      </c>
    </row>
    <row r="17586" spans="1:9" x14ac:dyDescent="0.2">
      <c r="A17586" s="1" t="str">
        <f>"TAX1BP1"</f>
        <v>TAX1BP1</v>
      </c>
      <c r="B17586" t="s">
        <v>14</v>
      </c>
      <c r="C17586" t="s">
        <v>33</v>
      </c>
      <c r="D17586" t="s">
        <v>17</v>
      </c>
      <c r="E17586" t="s">
        <v>12</v>
      </c>
      <c r="F17586">
        <v>27779729</v>
      </c>
      <c r="G17586">
        <v>27779819</v>
      </c>
      <c r="H17586">
        <v>27779729</v>
      </c>
      <c r="I17586">
        <v>27779819</v>
      </c>
    </row>
    <row r="17587" spans="1:9" x14ac:dyDescent="0.2">
      <c r="A17587" s="1" t="str">
        <f>"TAX1BP3"</f>
        <v>TAX1BP3</v>
      </c>
      <c r="B17587" t="s">
        <v>14</v>
      </c>
      <c r="C17587" t="s">
        <v>28</v>
      </c>
      <c r="D17587" t="s">
        <v>11</v>
      </c>
      <c r="E17587" t="s">
        <v>12</v>
      </c>
      <c r="F17587">
        <v>3571863</v>
      </c>
      <c r="G17587">
        <v>3571881</v>
      </c>
      <c r="H17587">
        <v>3571887</v>
      </c>
      <c r="I17587">
        <v>3571918</v>
      </c>
    </row>
    <row r="17588" spans="1:9" x14ac:dyDescent="0.2">
      <c r="A17588" s="1" t="str">
        <f>"TAZ"</f>
        <v>TAZ</v>
      </c>
      <c r="B17588" t="s">
        <v>14</v>
      </c>
      <c r="C17588" t="s">
        <v>37</v>
      </c>
      <c r="D17588" t="s">
        <v>17</v>
      </c>
      <c r="E17588" t="s">
        <v>12</v>
      </c>
      <c r="F17588">
        <v>153639856</v>
      </c>
      <c r="G17588">
        <v>153639943</v>
      </c>
      <c r="H17588">
        <v>153639952</v>
      </c>
      <c r="I17588">
        <v>153639961</v>
      </c>
    </row>
    <row r="17589" spans="1:9" x14ac:dyDescent="0.2">
      <c r="A17589" s="1" t="str">
        <f>"TBATA"</f>
        <v>TBATA</v>
      </c>
      <c r="B17589" t="s">
        <v>14</v>
      </c>
      <c r="C17589" t="s">
        <v>15</v>
      </c>
      <c r="D17589" t="s">
        <v>11</v>
      </c>
      <c r="E17589" t="s">
        <v>12</v>
      </c>
      <c r="F17589">
        <v>72542115</v>
      </c>
      <c r="G17589">
        <v>72542123</v>
      </c>
      <c r="H17589">
        <v>72542115</v>
      </c>
      <c r="I17589">
        <v>72542123</v>
      </c>
    </row>
    <row r="17590" spans="1:9" x14ac:dyDescent="0.2">
      <c r="A17590" s="1" t="str">
        <f>"TBC1D1"</f>
        <v>TBC1D1</v>
      </c>
      <c r="B17590" t="s">
        <v>1669</v>
      </c>
      <c r="C17590" t="s">
        <v>23</v>
      </c>
      <c r="D17590" t="s">
        <v>17</v>
      </c>
      <c r="E17590" t="s">
        <v>35</v>
      </c>
      <c r="F17590">
        <v>37892582</v>
      </c>
      <c r="G17590">
        <v>37892587</v>
      </c>
      <c r="H17590">
        <v>37892870</v>
      </c>
      <c r="I17590">
        <v>37892885</v>
      </c>
    </row>
    <row r="17591" spans="1:9" x14ac:dyDescent="0.2">
      <c r="A17591" s="1" t="str">
        <f>"TBC1D10A"</f>
        <v>TBC1D10A</v>
      </c>
      <c r="B17591" t="s">
        <v>14</v>
      </c>
      <c r="C17591" t="s">
        <v>21</v>
      </c>
      <c r="D17591" t="s">
        <v>11</v>
      </c>
      <c r="E17591" t="s">
        <v>12</v>
      </c>
      <c r="F17591">
        <v>30722866</v>
      </c>
      <c r="G17591">
        <v>30722911</v>
      </c>
      <c r="H17591">
        <v>30722912</v>
      </c>
      <c r="I17591">
        <v>30722937</v>
      </c>
    </row>
    <row r="17592" spans="1:9" x14ac:dyDescent="0.2">
      <c r="A17592" s="1" t="str">
        <f>"TBC1D10B"</f>
        <v>TBC1D10B</v>
      </c>
      <c r="B17592" t="s">
        <v>14</v>
      </c>
      <c r="C17592" t="s">
        <v>31</v>
      </c>
      <c r="D17592" t="s">
        <v>11</v>
      </c>
      <c r="E17592" t="s">
        <v>12</v>
      </c>
      <c r="F17592">
        <v>30381717</v>
      </c>
      <c r="G17592">
        <v>30381850</v>
      </c>
      <c r="H17592">
        <v>30381580</v>
      </c>
      <c r="I17592">
        <v>30381633</v>
      </c>
    </row>
    <row r="17593" spans="1:9" x14ac:dyDescent="0.2">
      <c r="A17593" s="1" t="str">
        <f>"TBC1D10C"</f>
        <v>TBC1D10C</v>
      </c>
      <c r="B17593" t="s">
        <v>14</v>
      </c>
      <c r="C17593" t="s">
        <v>27</v>
      </c>
      <c r="D17593" t="s">
        <v>17</v>
      </c>
      <c r="E17593" t="s">
        <v>12</v>
      </c>
      <c r="F17593">
        <v>67171391</v>
      </c>
      <c r="G17593">
        <v>67171468</v>
      </c>
      <c r="H17593">
        <v>67171358</v>
      </c>
      <c r="I17593">
        <v>67171385</v>
      </c>
    </row>
    <row r="17594" spans="1:9" x14ac:dyDescent="0.2">
      <c r="A17594" s="1" t="str">
        <f>"TBC1D12"</f>
        <v>TBC1D12</v>
      </c>
      <c r="B17594" t="s">
        <v>14</v>
      </c>
      <c r="C17594" t="s">
        <v>15</v>
      </c>
      <c r="D17594" t="s">
        <v>17</v>
      </c>
      <c r="E17594" t="s">
        <v>12</v>
      </c>
      <c r="F17594">
        <v>96162285</v>
      </c>
      <c r="G17594">
        <v>96162309</v>
      </c>
      <c r="H17594">
        <v>96162242</v>
      </c>
      <c r="I17594">
        <v>96162283</v>
      </c>
    </row>
    <row r="17595" spans="1:9" x14ac:dyDescent="0.2">
      <c r="A17595" s="1" t="str">
        <f>"TBC1D13"</f>
        <v>TBC1D13</v>
      </c>
      <c r="B17595" t="s">
        <v>14</v>
      </c>
      <c r="C17595" t="s">
        <v>24</v>
      </c>
      <c r="D17595" t="s">
        <v>17</v>
      </c>
      <c r="E17595" t="s">
        <v>12</v>
      </c>
      <c r="F17595">
        <v>131549522</v>
      </c>
      <c r="G17595">
        <v>131549606</v>
      </c>
      <c r="H17595">
        <v>131549610</v>
      </c>
      <c r="I17595">
        <v>131549629</v>
      </c>
    </row>
    <row r="17596" spans="1:9" x14ac:dyDescent="0.2">
      <c r="A17596" s="1" t="str">
        <f>"TBC1D14"</f>
        <v>TBC1D14</v>
      </c>
      <c r="B17596" t="s">
        <v>14</v>
      </c>
      <c r="C17596" t="s">
        <v>23</v>
      </c>
      <c r="D17596" t="s">
        <v>17</v>
      </c>
      <c r="E17596" t="s">
        <v>12</v>
      </c>
      <c r="F17596">
        <v>6911502</v>
      </c>
      <c r="G17596">
        <v>6911569</v>
      </c>
      <c r="H17596">
        <v>6911502</v>
      </c>
      <c r="I17596">
        <v>6911569</v>
      </c>
    </row>
    <row r="17597" spans="1:9" x14ac:dyDescent="0.2">
      <c r="A17597" s="1" t="str">
        <f>"TBC1D15"</f>
        <v>TBC1D15</v>
      </c>
      <c r="B17597" t="s">
        <v>14</v>
      </c>
      <c r="C17597" t="s">
        <v>16</v>
      </c>
      <c r="D17597" t="s">
        <v>17</v>
      </c>
      <c r="E17597" t="s">
        <v>12</v>
      </c>
      <c r="F17597">
        <v>72233530</v>
      </c>
      <c r="G17597">
        <v>72233563</v>
      </c>
      <c r="H17597">
        <v>72233530</v>
      </c>
      <c r="I17597">
        <v>72233563</v>
      </c>
    </row>
    <row r="17598" spans="1:9" x14ac:dyDescent="0.2">
      <c r="A17598" s="1" t="str">
        <f>"TBC1D16"</f>
        <v>TBC1D16</v>
      </c>
      <c r="B17598" t="s">
        <v>14</v>
      </c>
      <c r="C17598" t="s">
        <v>28</v>
      </c>
      <c r="D17598" t="s">
        <v>11</v>
      </c>
      <c r="E17598" t="s">
        <v>12</v>
      </c>
      <c r="F17598">
        <v>78009662</v>
      </c>
      <c r="G17598">
        <v>78009681</v>
      </c>
      <c r="H17598">
        <v>78009662</v>
      </c>
      <c r="I17598">
        <v>78009681</v>
      </c>
    </row>
    <row r="17599" spans="1:9" x14ac:dyDescent="0.2">
      <c r="A17599" s="1" t="str">
        <f>"TBC1D17"</f>
        <v>TBC1D17</v>
      </c>
      <c r="B17599" t="s">
        <v>14</v>
      </c>
      <c r="C17599" t="s">
        <v>10</v>
      </c>
      <c r="D17599" t="s">
        <v>17</v>
      </c>
      <c r="E17599" t="s">
        <v>12</v>
      </c>
      <c r="F17599">
        <v>50381308</v>
      </c>
      <c r="G17599">
        <v>50381439</v>
      </c>
      <c r="H17599">
        <v>50380951</v>
      </c>
      <c r="I17599">
        <v>50380976</v>
      </c>
    </row>
    <row r="17600" spans="1:9" x14ac:dyDescent="0.2">
      <c r="A17600" s="1" t="str">
        <f>"TBC1D19"</f>
        <v>TBC1D19</v>
      </c>
      <c r="B17600" t="s">
        <v>14</v>
      </c>
      <c r="C17600" t="s">
        <v>23</v>
      </c>
      <c r="D17600" t="s">
        <v>17</v>
      </c>
      <c r="E17600" t="s">
        <v>12</v>
      </c>
      <c r="F17600">
        <v>26585686</v>
      </c>
      <c r="G17600">
        <v>26585749</v>
      </c>
      <c r="H17600">
        <v>26585668</v>
      </c>
      <c r="I17600">
        <v>26585680</v>
      </c>
    </row>
    <row r="17601" spans="1:9" x14ac:dyDescent="0.2">
      <c r="A17601" s="1" t="str">
        <f>"TBC1D2"</f>
        <v>TBC1D2</v>
      </c>
      <c r="B17601" t="s">
        <v>14</v>
      </c>
      <c r="C17601" t="s">
        <v>24</v>
      </c>
      <c r="D17601" t="s">
        <v>11</v>
      </c>
      <c r="E17601" t="s">
        <v>12</v>
      </c>
      <c r="F17601">
        <v>101017900</v>
      </c>
      <c r="G17601">
        <v>101017951</v>
      </c>
      <c r="H17601">
        <v>101017871</v>
      </c>
      <c r="I17601">
        <v>101017897</v>
      </c>
    </row>
    <row r="17602" spans="1:9" x14ac:dyDescent="0.2">
      <c r="A17602" s="1" t="str">
        <f>"TBC1D20"</f>
        <v>TBC1D20</v>
      </c>
      <c r="B17602" t="s">
        <v>14</v>
      </c>
      <c r="C17602" t="s">
        <v>29</v>
      </c>
      <c r="D17602" t="s">
        <v>11</v>
      </c>
      <c r="E17602" t="s">
        <v>12</v>
      </c>
      <c r="F17602">
        <v>443129</v>
      </c>
      <c r="G17602">
        <v>443207</v>
      </c>
      <c r="H17602">
        <v>443129</v>
      </c>
      <c r="I17602">
        <v>443207</v>
      </c>
    </row>
    <row r="17603" spans="1:9" x14ac:dyDescent="0.2">
      <c r="A17603" s="1" t="str">
        <f>"TBC1D21"</f>
        <v>TBC1D21</v>
      </c>
      <c r="B17603" t="s">
        <v>14</v>
      </c>
      <c r="C17603" t="s">
        <v>25</v>
      </c>
      <c r="D17603" t="s">
        <v>17</v>
      </c>
      <c r="E17603" t="s">
        <v>12</v>
      </c>
      <c r="F17603">
        <v>74165899</v>
      </c>
      <c r="G17603">
        <v>74165910</v>
      </c>
      <c r="H17603">
        <v>74165945</v>
      </c>
      <c r="I17603">
        <v>74165956</v>
      </c>
    </row>
    <row r="17604" spans="1:9" x14ac:dyDescent="0.2">
      <c r="A17604" s="1" t="str">
        <f>"TBC1D22A"</f>
        <v>TBC1D22A</v>
      </c>
      <c r="B17604" t="s">
        <v>14</v>
      </c>
      <c r="C17604" t="s">
        <v>21</v>
      </c>
      <c r="D17604" t="s">
        <v>17</v>
      </c>
      <c r="E17604" t="s">
        <v>12</v>
      </c>
      <c r="F17604">
        <v>47158518</v>
      </c>
      <c r="G17604">
        <v>47158571</v>
      </c>
      <c r="H17604">
        <v>47158581</v>
      </c>
      <c r="I17604">
        <v>47158592</v>
      </c>
    </row>
    <row r="17605" spans="1:9" x14ac:dyDescent="0.2">
      <c r="A17605" s="1" t="str">
        <f>"TBC1D22B"</f>
        <v>TBC1D22B</v>
      </c>
      <c r="B17605" t="s">
        <v>14</v>
      </c>
      <c r="C17605" t="s">
        <v>32</v>
      </c>
      <c r="D17605" t="s">
        <v>17</v>
      </c>
      <c r="E17605" t="s">
        <v>12</v>
      </c>
      <c r="F17605">
        <v>37225540</v>
      </c>
      <c r="G17605">
        <v>37225558</v>
      </c>
      <c r="H17605">
        <v>37225540</v>
      </c>
      <c r="I17605">
        <v>37225558</v>
      </c>
    </row>
    <row r="17606" spans="1:9" x14ac:dyDescent="0.2">
      <c r="A17606" s="1" t="str">
        <f>"TBC1D23"</f>
        <v>TBC1D23</v>
      </c>
      <c r="B17606" t="s">
        <v>14</v>
      </c>
      <c r="C17606" t="s">
        <v>22</v>
      </c>
      <c r="D17606" t="s">
        <v>17</v>
      </c>
      <c r="E17606" t="s">
        <v>12</v>
      </c>
      <c r="F17606">
        <v>99979828</v>
      </c>
      <c r="G17606">
        <v>99979871</v>
      </c>
      <c r="H17606">
        <v>99979759</v>
      </c>
      <c r="I17606">
        <v>99979770</v>
      </c>
    </row>
    <row r="17607" spans="1:9" x14ac:dyDescent="0.2">
      <c r="A17607" s="1" t="str">
        <f>"TBC1D24"</f>
        <v>TBC1D24</v>
      </c>
      <c r="B17607" t="s">
        <v>14</v>
      </c>
      <c r="C17607" t="s">
        <v>31</v>
      </c>
      <c r="D17607" t="s">
        <v>17</v>
      </c>
      <c r="E17607" t="s">
        <v>12</v>
      </c>
      <c r="F17607">
        <v>2525110</v>
      </c>
      <c r="G17607">
        <v>2525155</v>
      </c>
      <c r="H17607">
        <v>2525110</v>
      </c>
      <c r="I17607">
        <v>2525155</v>
      </c>
    </row>
    <row r="17608" spans="1:9" x14ac:dyDescent="0.2">
      <c r="A17608" s="1" t="str">
        <f>"TBC1D25"</f>
        <v>TBC1D25</v>
      </c>
      <c r="B17608" t="s">
        <v>14</v>
      </c>
      <c r="C17608" t="s">
        <v>37</v>
      </c>
      <c r="D17608" t="s">
        <v>17</v>
      </c>
      <c r="E17608" t="s">
        <v>12</v>
      </c>
      <c r="F17608">
        <v>48398053</v>
      </c>
      <c r="G17608">
        <v>48398130</v>
      </c>
      <c r="H17608">
        <v>48398143</v>
      </c>
      <c r="I17608">
        <v>48398157</v>
      </c>
    </row>
    <row r="17609" spans="1:9" x14ac:dyDescent="0.2">
      <c r="A17609" s="1" t="str">
        <f>"TBC1D26"</f>
        <v>TBC1D26</v>
      </c>
      <c r="B17609" t="s">
        <v>1670</v>
      </c>
      <c r="C17609" t="s">
        <v>28</v>
      </c>
      <c r="D17609" t="s">
        <v>17</v>
      </c>
      <c r="E17609" t="s">
        <v>20</v>
      </c>
      <c r="F17609">
        <v>15635590</v>
      </c>
      <c r="G17609">
        <v>15635590</v>
      </c>
      <c r="H17609">
        <v>15635590</v>
      </c>
      <c r="I17609">
        <v>15635590</v>
      </c>
    </row>
    <row r="17610" spans="1:9" x14ac:dyDescent="0.2">
      <c r="A17610" s="1" t="str">
        <f>"TBC1D28"</f>
        <v>TBC1D28</v>
      </c>
      <c r="B17610" t="s">
        <v>1671</v>
      </c>
      <c r="C17610" t="s">
        <v>28</v>
      </c>
      <c r="D17610" t="s">
        <v>11</v>
      </c>
      <c r="E17610" t="s">
        <v>20</v>
      </c>
      <c r="F17610">
        <v>18545736</v>
      </c>
      <c r="G17610">
        <v>18545736</v>
      </c>
      <c r="H17610">
        <v>18545736</v>
      </c>
      <c r="I17610">
        <v>18545736</v>
      </c>
    </row>
    <row r="17611" spans="1:9" x14ac:dyDescent="0.2">
      <c r="A17611" s="1" t="str">
        <f>"TBC1D28"</f>
        <v>TBC1D28</v>
      </c>
      <c r="B17611" t="s">
        <v>1672</v>
      </c>
      <c r="C17611" t="s">
        <v>28</v>
      </c>
      <c r="D17611" t="s">
        <v>11</v>
      </c>
      <c r="E17611" t="s">
        <v>20</v>
      </c>
      <c r="F17611">
        <v>18547739</v>
      </c>
      <c r="G17611">
        <v>18547739</v>
      </c>
      <c r="H17611">
        <v>18547739</v>
      </c>
      <c r="I17611">
        <v>18547739</v>
      </c>
    </row>
    <row r="17612" spans="1:9" x14ac:dyDescent="0.2">
      <c r="A17612" s="1" t="str">
        <f>"TBC1D29"</f>
        <v>TBC1D29</v>
      </c>
      <c r="B17612" t="s">
        <v>1673</v>
      </c>
      <c r="C17612" t="s">
        <v>28</v>
      </c>
      <c r="D17612" t="s">
        <v>17</v>
      </c>
      <c r="E17612" t="s">
        <v>20</v>
      </c>
      <c r="F17612">
        <v>28886583</v>
      </c>
      <c r="G17612">
        <v>28886583</v>
      </c>
      <c r="H17612">
        <v>28886583</v>
      </c>
      <c r="I17612">
        <v>28886583</v>
      </c>
    </row>
    <row r="17613" spans="1:9" x14ac:dyDescent="0.2">
      <c r="A17613" s="1" t="str">
        <f>"TBC1D29"</f>
        <v>TBC1D29</v>
      </c>
      <c r="B17613" t="s">
        <v>1674</v>
      </c>
      <c r="C17613" t="s">
        <v>28</v>
      </c>
      <c r="D17613" t="s">
        <v>17</v>
      </c>
      <c r="E17613" t="s">
        <v>20</v>
      </c>
      <c r="F17613">
        <v>28884129</v>
      </c>
      <c r="G17613">
        <v>28884129</v>
      </c>
      <c r="H17613">
        <v>28884129</v>
      </c>
      <c r="I17613">
        <v>28884129</v>
      </c>
    </row>
    <row r="17614" spans="1:9" x14ac:dyDescent="0.2">
      <c r="A17614" s="1" t="str">
        <f>"TBC1D2B"</f>
        <v>TBC1D2B</v>
      </c>
      <c r="B17614" t="s">
        <v>14</v>
      </c>
      <c r="C17614" t="s">
        <v>25</v>
      </c>
      <c r="D17614" t="s">
        <v>11</v>
      </c>
      <c r="E17614" t="s">
        <v>12</v>
      </c>
      <c r="F17614">
        <v>78370002</v>
      </c>
      <c r="G17614">
        <v>78370069</v>
      </c>
      <c r="H17614">
        <v>78369842</v>
      </c>
      <c r="I17614">
        <v>78369904</v>
      </c>
    </row>
    <row r="17615" spans="1:9" x14ac:dyDescent="0.2">
      <c r="A17615" s="1" t="str">
        <f>"TBC1D3"</f>
        <v>TBC1D3</v>
      </c>
      <c r="B17615" t="s">
        <v>1675</v>
      </c>
      <c r="C17615" t="s">
        <v>28</v>
      </c>
      <c r="D17615" t="s">
        <v>11</v>
      </c>
      <c r="E17615" t="s">
        <v>20</v>
      </c>
      <c r="F17615">
        <v>36348609</v>
      </c>
      <c r="G17615">
        <v>36348609</v>
      </c>
      <c r="H17615">
        <v>36348609</v>
      </c>
      <c r="I17615">
        <v>36348609</v>
      </c>
    </row>
    <row r="17616" spans="1:9" x14ac:dyDescent="0.2">
      <c r="A17616" s="1" t="str">
        <f>"TBC1D3"</f>
        <v>TBC1D3</v>
      </c>
      <c r="B17616" t="s">
        <v>1676</v>
      </c>
      <c r="C17616" t="s">
        <v>28</v>
      </c>
      <c r="D17616" t="s">
        <v>11</v>
      </c>
      <c r="E17616" t="s">
        <v>20</v>
      </c>
      <c r="F17616">
        <v>36348665</v>
      </c>
      <c r="G17616">
        <v>36348665</v>
      </c>
      <c r="H17616">
        <v>36348665</v>
      </c>
      <c r="I17616">
        <v>36348665</v>
      </c>
    </row>
    <row r="17617" spans="1:9" x14ac:dyDescent="0.2">
      <c r="A17617" s="1" t="str">
        <f>"TBC1D3"</f>
        <v>TBC1D3</v>
      </c>
      <c r="B17617" t="s">
        <v>1677</v>
      </c>
      <c r="C17617" t="s">
        <v>28</v>
      </c>
      <c r="D17617" t="s">
        <v>11</v>
      </c>
      <c r="E17617" t="s">
        <v>20</v>
      </c>
      <c r="F17617">
        <v>36347834</v>
      </c>
      <c r="G17617">
        <v>36347834</v>
      </c>
      <c r="H17617">
        <v>36347834</v>
      </c>
      <c r="I17617">
        <v>36347834</v>
      </c>
    </row>
    <row r="17618" spans="1:9" x14ac:dyDescent="0.2">
      <c r="A17618" s="1" t="str">
        <f>"TBC1D3"</f>
        <v>TBC1D3</v>
      </c>
      <c r="B17618" t="s">
        <v>1678</v>
      </c>
      <c r="C17618" t="s">
        <v>28</v>
      </c>
      <c r="D17618" t="s">
        <v>11</v>
      </c>
      <c r="E17618" t="s">
        <v>20</v>
      </c>
      <c r="F17618">
        <v>36358165</v>
      </c>
      <c r="G17618">
        <v>36358165</v>
      </c>
      <c r="H17618">
        <v>36358165</v>
      </c>
      <c r="I17618">
        <v>36358165</v>
      </c>
    </row>
    <row r="17619" spans="1:9" x14ac:dyDescent="0.2">
      <c r="A17619" s="1" t="str">
        <f>"TBC1D30"</f>
        <v>TBC1D30</v>
      </c>
      <c r="B17619" t="s">
        <v>14</v>
      </c>
      <c r="C17619" t="s">
        <v>16</v>
      </c>
      <c r="D17619" t="s">
        <v>17</v>
      </c>
      <c r="E17619" t="s">
        <v>12</v>
      </c>
      <c r="F17619">
        <v>65218382</v>
      </c>
      <c r="G17619">
        <v>65218457</v>
      </c>
      <c r="H17619">
        <v>65218382</v>
      </c>
      <c r="I17619">
        <v>65218457</v>
      </c>
    </row>
    <row r="17620" spans="1:9" x14ac:dyDescent="0.2">
      <c r="A17620" s="1" t="str">
        <f>"TBC1D31"</f>
        <v>TBC1D31</v>
      </c>
      <c r="B17620" t="s">
        <v>14</v>
      </c>
      <c r="C17620" t="s">
        <v>30</v>
      </c>
      <c r="D17620" t="s">
        <v>17</v>
      </c>
      <c r="E17620" t="s">
        <v>12</v>
      </c>
      <c r="F17620">
        <v>124084899</v>
      </c>
      <c r="G17620">
        <v>124085018</v>
      </c>
      <c r="H17620">
        <v>124084869</v>
      </c>
      <c r="I17620">
        <v>124084892</v>
      </c>
    </row>
    <row r="17621" spans="1:9" x14ac:dyDescent="0.2">
      <c r="A17621" s="1" t="str">
        <f>"TBC1D32"</f>
        <v>TBC1D32</v>
      </c>
      <c r="B17621" t="s">
        <v>14</v>
      </c>
      <c r="C17621" t="s">
        <v>32</v>
      </c>
      <c r="D17621" t="s">
        <v>11</v>
      </c>
      <c r="E17621" t="s">
        <v>12</v>
      </c>
      <c r="F17621">
        <v>121655593</v>
      </c>
      <c r="G17621">
        <v>121655661</v>
      </c>
      <c r="H17621">
        <v>121655850</v>
      </c>
      <c r="I17621">
        <v>121655885</v>
      </c>
    </row>
    <row r="17622" spans="1:9" x14ac:dyDescent="0.2">
      <c r="A17622" s="1" t="str">
        <f>"TBC1D3B"</f>
        <v>TBC1D3B</v>
      </c>
      <c r="B17622" t="s">
        <v>1679</v>
      </c>
      <c r="C17622" t="s">
        <v>28</v>
      </c>
      <c r="D17622" t="s">
        <v>11</v>
      </c>
      <c r="E17622" t="s">
        <v>20</v>
      </c>
      <c r="F17622">
        <v>34502409</v>
      </c>
      <c r="G17622">
        <v>34502409</v>
      </c>
      <c r="H17622">
        <v>34502409</v>
      </c>
      <c r="I17622">
        <v>34502409</v>
      </c>
    </row>
    <row r="17623" spans="1:9" x14ac:dyDescent="0.2">
      <c r="A17623" s="1" t="str">
        <f>"TBC1D3B"</f>
        <v>TBC1D3B</v>
      </c>
      <c r="B17623" t="s">
        <v>1680</v>
      </c>
      <c r="C17623" t="s">
        <v>28</v>
      </c>
      <c r="D17623" t="s">
        <v>11</v>
      </c>
      <c r="E17623" t="s">
        <v>20</v>
      </c>
      <c r="F17623">
        <v>34503987</v>
      </c>
      <c r="G17623">
        <v>34503987</v>
      </c>
      <c r="H17623">
        <v>34503987</v>
      </c>
      <c r="I17623">
        <v>34503987</v>
      </c>
    </row>
    <row r="17624" spans="1:9" x14ac:dyDescent="0.2">
      <c r="A17624" s="1" t="str">
        <f>"TBC1D3C"</f>
        <v>TBC1D3C</v>
      </c>
      <c r="B17624" t="s">
        <v>1681</v>
      </c>
      <c r="C17624" t="s">
        <v>28</v>
      </c>
      <c r="D17624" t="s">
        <v>11</v>
      </c>
      <c r="E17624" t="s">
        <v>20</v>
      </c>
      <c r="F17624">
        <v>34757049</v>
      </c>
      <c r="G17624">
        <v>34757049</v>
      </c>
      <c r="H17624">
        <v>34757049</v>
      </c>
      <c r="I17624">
        <v>34757049</v>
      </c>
    </row>
    <row r="17625" spans="1:9" x14ac:dyDescent="0.2">
      <c r="A17625" s="1" t="str">
        <f>"TBC1D3C"</f>
        <v>TBC1D3C</v>
      </c>
      <c r="B17625" t="s">
        <v>1682</v>
      </c>
      <c r="C17625" t="s">
        <v>28</v>
      </c>
      <c r="D17625" t="s">
        <v>11</v>
      </c>
      <c r="E17625" t="s">
        <v>20</v>
      </c>
      <c r="F17625">
        <v>34591207</v>
      </c>
      <c r="G17625">
        <v>34591207</v>
      </c>
      <c r="H17625">
        <v>34591207</v>
      </c>
      <c r="I17625">
        <v>34591207</v>
      </c>
    </row>
    <row r="17626" spans="1:9" x14ac:dyDescent="0.2">
      <c r="A17626" s="1" t="str">
        <f>"TBC1D3C"</f>
        <v>TBC1D3C</v>
      </c>
      <c r="B17626" t="s">
        <v>1683</v>
      </c>
      <c r="C17626" t="s">
        <v>28</v>
      </c>
      <c r="D17626" t="s">
        <v>11</v>
      </c>
      <c r="E17626" t="s">
        <v>20</v>
      </c>
      <c r="F17626">
        <v>34756218</v>
      </c>
      <c r="G17626">
        <v>34756218</v>
      </c>
      <c r="H17626">
        <v>34756218</v>
      </c>
      <c r="I17626">
        <v>34756218</v>
      </c>
    </row>
    <row r="17627" spans="1:9" x14ac:dyDescent="0.2">
      <c r="A17627" s="1" t="str">
        <f>"TBC1D3C"</f>
        <v>TBC1D3C</v>
      </c>
      <c r="B17627" t="s">
        <v>1684</v>
      </c>
      <c r="C17627" t="s">
        <v>28</v>
      </c>
      <c r="D17627" t="s">
        <v>11</v>
      </c>
      <c r="E17627" t="s">
        <v>20</v>
      </c>
      <c r="F17627">
        <v>34592031</v>
      </c>
      <c r="G17627">
        <v>34592031</v>
      </c>
      <c r="H17627">
        <v>34592031</v>
      </c>
      <c r="I17627">
        <v>34592031</v>
      </c>
    </row>
    <row r="17628" spans="1:9" x14ac:dyDescent="0.2">
      <c r="A17628" s="1" t="str">
        <f>"TBC1D3F"</f>
        <v>TBC1D3F</v>
      </c>
      <c r="B17628" t="s">
        <v>1685</v>
      </c>
      <c r="C17628" t="s">
        <v>28</v>
      </c>
      <c r="D17628" t="s">
        <v>17</v>
      </c>
      <c r="E17628" t="s">
        <v>20</v>
      </c>
      <c r="F17628">
        <v>36283992</v>
      </c>
      <c r="G17628">
        <v>36283992</v>
      </c>
      <c r="H17628">
        <v>36283992</v>
      </c>
      <c r="I17628">
        <v>36283992</v>
      </c>
    </row>
    <row r="17629" spans="1:9" x14ac:dyDescent="0.2">
      <c r="A17629" s="1" t="str">
        <f>"TBC1D3F"</f>
        <v>TBC1D3F</v>
      </c>
      <c r="B17629" t="s">
        <v>1686</v>
      </c>
      <c r="C17629" t="s">
        <v>28</v>
      </c>
      <c r="D17629" t="s">
        <v>17</v>
      </c>
      <c r="E17629" t="s">
        <v>20</v>
      </c>
      <c r="F17629">
        <v>36284790</v>
      </c>
      <c r="G17629">
        <v>36284790</v>
      </c>
      <c r="H17629">
        <v>36284790</v>
      </c>
      <c r="I17629">
        <v>36284790</v>
      </c>
    </row>
    <row r="17630" spans="1:9" x14ac:dyDescent="0.2">
      <c r="A17630" s="1" t="str">
        <f>"TBC1D3F"</f>
        <v>TBC1D3F</v>
      </c>
      <c r="B17630" t="s">
        <v>1687</v>
      </c>
      <c r="C17630" t="s">
        <v>28</v>
      </c>
      <c r="D17630" t="s">
        <v>17</v>
      </c>
      <c r="E17630" t="s">
        <v>20</v>
      </c>
      <c r="F17630">
        <v>36286046</v>
      </c>
      <c r="G17630">
        <v>36286046</v>
      </c>
      <c r="H17630">
        <v>36286046</v>
      </c>
      <c r="I17630">
        <v>36286046</v>
      </c>
    </row>
    <row r="17631" spans="1:9" x14ac:dyDescent="0.2">
      <c r="A17631" s="1" t="str">
        <f>"TBC1D3G"</f>
        <v>TBC1D3G</v>
      </c>
      <c r="B17631" t="s">
        <v>1688</v>
      </c>
      <c r="C17631" t="s">
        <v>28</v>
      </c>
      <c r="D17631" t="s">
        <v>11</v>
      </c>
      <c r="E17631" t="s">
        <v>20</v>
      </c>
      <c r="F17631">
        <v>34808102</v>
      </c>
      <c r="G17631">
        <v>34808102</v>
      </c>
      <c r="H17631">
        <v>34808102</v>
      </c>
      <c r="I17631">
        <v>34808102</v>
      </c>
    </row>
    <row r="17632" spans="1:9" x14ac:dyDescent="0.2">
      <c r="A17632" s="1" t="str">
        <f>"TBC1D3G"</f>
        <v>TBC1D3G</v>
      </c>
      <c r="B17632" t="s">
        <v>1689</v>
      </c>
      <c r="C17632" t="s">
        <v>28</v>
      </c>
      <c r="D17632" t="s">
        <v>11</v>
      </c>
      <c r="E17632" t="s">
        <v>20</v>
      </c>
      <c r="F17632">
        <v>34807271</v>
      </c>
      <c r="G17632">
        <v>34807271</v>
      </c>
      <c r="H17632">
        <v>34807271</v>
      </c>
      <c r="I17632">
        <v>34807271</v>
      </c>
    </row>
    <row r="17633" spans="1:9" x14ac:dyDescent="0.2">
      <c r="A17633" s="1" t="str">
        <f>"TBC1D3G"</f>
        <v>TBC1D3G</v>
      </c>
      <c r="B17633" t="s">
        <v>1690</v>
      </c>
      <c r="C17633" t="s">
        <v>28</v>
      </c>
      <c r="D17633" t="s">
        <v>11</v>
      </c>
      <c r="E17633" t="s">
        <v>20</v>
      </c>
      <c r="F17633">
        <v>34806014</v>
      </c>
      <c r="G17633">
        <v>34806014</v>
      </c>
      <c r="H17633">
        <v>34806014</v>
      </c>
      <c r="I17633">
        <v>34806014</v>
      </c>
    </row>
    <row r="17634" spans="1:9" x14ac:dyDescent="0.2">
      <c r="A17634" s="1" t="str">
        <f>"TBC1D3H"</f>
        <v>TBC1D3H</v>
      </c>
      <c r="B17634" t="s">
        <v>1691</v>
      </c>
      <c r="C17634" t="s">
        <v>28</v>
      </c>
      <c r="D17634" t="s">
        <v>11</v>
      </c>
      <c r="E17634" t="s">
        <v>20</v>
      </c>
      <c r="F17634">
        <v>34756218</v>
      </c>
      <c r="G17634">
        <v>34756218</v>
      </c>
      <c r="H17634">
        <v>34756218</v>
      </c>
      <c r="I17634">
        <v>34756218</v>
      </c>
    </row>
    <row r="17635" spans="1:9" x14ac:dyDescent="0.2">
      <c r="A17635" s="1" t="str">
        <f>"TBC1D3H"</f>
        <v>TBC1D3H</v>
      </c>
      <c r="B17635" t="s">
        <v>1692</v>
      </c>
      <c r="C17635" t="s">
        <v>28</v>
      </c>
      <c r="D17635" t="s">
        <v>11</v>
      </c>
      <c r="E17635" t="s">
        <v>20</v>
      </c>
      <c r="F17635">
        <v>34808060</v>
      </c>
      <c r="G17635">
        <v>34808060</v>
      </c>
      <c r="H17635">
        <v>34808060</v>
      </c>
      <c r="I17635">
        <v>34808060</v>
      </c>
    </row>
    <row r="17636" spans="1:9" x14ac:dyDescent="0.2">
      <c r="A17636" s="1" t="str">
        <f>"TBC1D3H"</f>
        <v>TBC1D3H</v>
      </c>
      <c r="B17636" t="s">
        <v>1693</v>
      </c>
      <c r="C17636" t="s">
        <v>28</v>
      </c>
      <c r="D17636" t="s">
        <v>11</v>
      </c>
      <c r="E17636" t="s">
        <v>20</v>
      </c>
      <c r="F17636">
        <v>34757038</v>
      </c>
      <c r="G17636">
        <v>34757038</v>
      </c>
      <c r="H17636">
        <v>34757038</v>
      </c>
      <c r="I17636">
        <v>34757038</v>
      </c>
    </row>
    <row r="17637" spans="1:9" x14ac:dyDescent="0.2">
      <c r="A17637" s="1" t="str">
        <f>"TBC1D3H"</f>
        <v>TBC1D3H</v>
      </c>
      <c r="B17637" t="s">
        <v>1694</v>
      </c>
      <c r="C17637" t="s">
        <v>28</v>
      </c>
      <c r="D17637" t="s">
        <v>11</v>
      </c>
      <c r="E17637" t="s">
        <v>20</v>
      </c>
      <c r="F17637">
        <v>34806014</v>
      </c>
      <c r="G17637">
        <v>34806014</v>
      </c>
      <c r="H17637">
        <v>34806014</v>
      </c>
      <c r="I17637">
        <v>34806014</v>
      </c>
    </row>
    <row r="17638" spans="1:9" x14ac:dyDescent="0.2">
      <c r="A17638" s="1" t="str">
        <f>"TBC1D4"</f>
        <v>TBC1D4</v>
      </c>
      <c r="B17638" t="s">
        <v>14</v>
      </c>
      <c r="C17638" t="s">
        <v>39</v>
      </c>
      <c r="D17638" t="s">
        <v>11</v>
      </c>
      <c r="E17638" t="s">
        <v>12</v>
      </c>
      <c r="F17638">
        <v>76056287</v>
      </c>
      <c r="G17638">
        <v>76056329</v>
      </c>
      <c r="H17638">
        <v>76056287</v>
      </c>
      <c r="I17638">
        <v>76056329</v>
      </c>
    </row>
    <row r="17639" spans="1:9" x14ac:dyDescent="0.2">
      <c r="A17639" s="1" t="str">
        <f>"TBC1D5"</f>
        <v>TBC1D5</v>
      </c>
      <c r="B17639" t="s">
        <v>14</v>
      </c>
      <c r="C17639" t="s">
        <v>22</v>
      </c>
      <c r="D17639" t="s">
        <v>11</v>
      </c>
      <c r="E17639" t="s">
        <v>12</v>
      </c>
      <c r="F17639">
        <v>17784063</v>
      </c>
      <c r="G17639">
        <v>17784155</v>
      </c>
      <c r="H17639">
        <v>17784063</v>
      </c>
      <c r="I17639">
        <v>17784155</v>
      </c>
    </row>
    <row r="17640" spans="1:9" x14ac:dyDescent="0.2">
      <c r="A17640" s="1" t="str">
        <f>"TBC1D7"</f>
        <v>TBC1D7</v>
      </c>
      <c r="B17640" t="s">
        <v>14</v>
      </c>
      <c r="C17640" t="s">
        <v>32</v>
      </c>
      <c r="D17640" t="s">
        <v>11</v>
      </c>
      <c r="E17640" t="s">
        <v>12</v>
      </c>
      <c r="F17640">
        <v>13328716</v>
      </c>
      <c r="G17640">
        <v>13328792</v>
      </c>
      <c r="H17640">
        <v>13328078</v>
      </c>
      <c r="I17640">
        <v>13328102</v>
      </c>
    </row>
    <row r="17641" spans="1:9" x14ac:dyDescent="0.2">
      <c r="A17641" s="1" t="str">
        <f>"TBC1D8"</f>
        <v>TBC1D8</v>
      </c>
      <c r="B17641" t="s">
        <v>14</v>
      </c>
      <c r="C17641" t="s">
        <v>26</v>
      </c>
      <c r="D17641" t="s">
        <v>11</v>
      </c>
      <c r="E17641" t="s">
        <v>12</v>
      </c>
      <c r="F17641">
        <v>101767836</v>
      </c>
      <c r="G17641">
        <v>101767881</v>
      </c>
      <c r="H17641">
        <v>101767882</v>
      </c>
      <c r="I17641">
        <v>101767914</v>
      </c>
    </row>
    <row r="17642" spans="1:9" x14ac:dyDescent="0.2">
      <c r="A17642" s="1" t="str">
        <f>"TBC1D8B"</f>
        <v>TBC1D8B</v>
      </c>
      <c r="B17642" t="s">
        <v>14</v>
      </c>
      <c r="C17642" t="s">
        <v>37</v>
      </c>
      <c r="D17642" t="s">
        <v>17</v>
      </c>
      <c r="E17642" t="s">
        <v>12</v>
      </c>
      <c r="F17642">
        <v>106045891</v>
      </c>
      <c r="G17642">
        <v>106045998</v>
      </c>
      <c r="H17642">
        <v>106045891</v>
      </c>
      <c r="I17642">
        <v>106045998</v>
      </c>
    </row>
    <row r="17643" spans="1:9" x14ac:dyDescent="0.2">
      <c r="A17643" s="1" t="str">
        <f>"TBC1D9"</f>
        <v>TBC1D9</v>
      </c>
      <c r="B17643" t="s">
        <v>14</v>
      </c>
      <c r="C17643" t="s">
        <v>23</v>
      </c>
      <c r="D17643" t="s">
        <v>11</v>
      </c>
      <c r="E17643" t="s">
        <v>12</v>
      </c>
      <c r="F17643">
        <v>141677466</v>
      </c>
      <c r="G17643">
        <v>141677556</v>
      </c>
      <c r="H17643">
        <v>141677466</v>
      </c>
      <c r="I17643">
        <v>141677556</v>
      </c>
    </row>
    <row r="17644" spans="1:9" x14ac:dyDescent="0.2">
      <c r="A17644" s="1" t="str">
        <f>"TBC1D9B"</f>
        <v>TBC1D9B</v>
      </c>
      <c r="B17644" t="s">
        <v>14</v>
      </c>
      <c r="C17644" t="s">
        <v>46</v>
      </c>
      <c r="D17644" t="s">
        <v>11</v>
      </c>
      <c r="E17644" t="s">
        <v>12</v>
      </c>
      <c r="F17644">
        <v>179334825</v>
      </c>
      <c r="G17644">
        <v>179334906</v>
      </c>
      <c r="H17644">
        <v>179334825</v>
      </c>
      <c r="I17644">
        <v>179334906</v>
      </c>
    </row>
    <row r="17645" spans="1:9" x14ac:dyDescent="0.2">
      <c r="A17645" s="1" t="str">
        <f>"TBCA"</f>
        <v>TBCA</v>
      </c>
      <c r="B17645" t="s">
        <v>14</v>
      </c>
      <c r="C17645" t="s">
        <v>46</v>
      </c>
      <c r="D17645" t="s">
        <v>11</v>
      </c>
      <c r="E17645" t="s">
        <v>12</v>
      </c>
      <c r="F17645">
        <v>77072145</v>
      </c>
      <c r="G17645">
        <v>77072190</v>
      </c>
      <c r="H17645">
        <v>77072098</v>
      </c>
      <c r="I17645">
        <v>77072139</v>
      </c>
    </row>
    <row r="17646" spans="1:9" x14ac:dyDescent="0.2">
      <c r="A17646" s="1" t="str">
        <f>"TBCB"</f>
        <v>TBCB</v>
      </c>
      <c r="B17646" t="s">
        <v>14</v>
      </c>
      <c r="C17646" t="s">
        <v>10</v>
      </c>
      <c r="D17646" t="s">
        <v>17</v>
      </c>
      <c r="E17646" t="s">
        <v>12</v>
      </c>
      <c r="F17646">
        <v>36606354</v>
      </c>
      <c r="G17646">
        <v>36606455</v>
      </c>
      <c r="H17646">
        <v>36605850</v>
      </c>
      <c r="I17646">
        <v>36605895</v>
      </c>
    </row>
    <row r="17647" spans="1:9" x14ac:dyDescent="0.2">
      <c r="A17647" s="1" t="str">
        <f>"TBCC"</f>
        <v>TBCC</v>
      </c>
      <c r="B17647" t="s">
        <v>14</v>
      </c>
      <c r="C17647" t="s">
        <v>32</v>
      </c>
      <c r="D17647" t="s">
        <v>11</v>
      </c>
      <c r="E17647" t="s">
        <v>12</v>
      </c>
      <c r="F17647">
        <v>42713792</v>
      </c>
      <c r="G17647">
        <v>42713847</v>
      </c>
      <c r="H17647">
        <v>42713850</v>
      </c>
      <c r="I17647">
        <v>42713868</v>
      </c>
    </row>
    <row r="17648" spans="1:9" x14ac:dyDescent="0.2">
      <c r="A17648" s="1" t="str">
        <f>"TBCCD1"</f>
        <v>TBCCD1</v>
      </c>
      <c r="B17648" t="s">
        <v>9</v>
      </c>
      <c r="C17648" t="s">
        <v>22</v>
      </c>
      <c r="D17648" t="s">
        <v>11</v>
      </c>
      <c r="E17648" t="s">
        <v>12</v>
      </c>
      <c r="F17648">
        <v>186285077</v>
      </c>
      <c r="G17648">
        <v>186285144</v>
      </c>
      <c r="H17648">
        <v>186285077</v>
      </c>
      <c r="I17648">
        <v>186285144</v>
      </c>
    </row>
    <row r="17649" spans="1:9" x14ac:dyDescent="0.2">
      <c r="A17649" s="1" t="str">
        <f>"TBCCD1"</f>
        <v>TBCCD1</v>
      </c>
      <c r="B17649" t="s">
        <v>13</v>
      </c>
      <c r="C17649" t="s">
        <v>22</v>
      </c>
      <c r="D17649" t="s">
        <v>11</v>
      </c>
      <c r="E17649" t="s">
        <v>12</v>
      </c>
      <c r="F17649">
        <v>186288097</v>
      </c>
      <c r="G17649">
        <v>186288113</v>
      </c>
      <c r="H17649">
        <v>186288097</v>
      </c>
      <c r="I17649">
        <v>186288113</v>
      </c>
    </row>
    <row r="17650" spans="1:9" x14ac:dyDescent="0.2">
      <c r="A17650" s="1" t="str">
        <f>"TBCD"</f>
        <v>TBCD</v>
      </c>
      <c r="B17650" t="s">
        <v>14</v>
      </c>
      <c r="C17650" t="s">
        <v>28</v>
      </c>
      <c r="D17650" t="s">
        <v>17</v>
      </c>
      <c r="E17650" t="s">
        <v>12</v>
      </c>
      <c r="F17650">
        <v>80709932</v>
      </c>
      <c r="G17650">
        <v>80710027</v>
      </c>
      <c r="H17650">
        <v>80709720</v>
      </c>
      <c r="I17650">
        <v>80709787</v>
      </c>
    </row>
    <row r="17651" spans="1:9" x14ac:dyDescent="0.2">
      <c r="A17651" s="1" t="str">
        <f>"TBCE"</f>
        <v>TBCE</v>
      </c>
      <c r="B17651" t="s">
        <v>14</v>
      </c>
      <c r="C17651" t="s">
        <v>19</v>
      </c>
      <c r="D17651" t="s">
        <v>17</v>
      </c>
      <c r="E17651" t="s">
        <v>12</v>
      </c>
      <c r="F17651">
        <v>235530715</v>
      </c>
      <c r="G17651">
        <v>235530778</v>
      </c>
      <c r="H17651">
        <v>235530715</v>
      </c>
      <c r="I17651">
        <v>235530778</v>
      </c>
    </row>
    <row r="17652" spans="1:9" x14ac:dyDescent="0.2">
      <c r="A17652" s="1" t="str">
        <f>"TBCEL"</f>
        <v>TBCEL</v>
      </c>
      <c r="B17652" t="s">
        <v>14</v>
      </c>
      <c r="C17652" t="s">
        <v>27</v>
      </c>
      <c r="D17652" t="s">
        <v>17</v>
      </c>
      <c r="E17652" t="s">
        <v>12</v>
      </c>
      <c r="F17652">
        <v>120894785</v>
      </c>
      <c r="G17652">
        <v>120894840</v>
      </c>
      <c r="H17652">
        <v>120894844</v>
      </c>
      <c r="I17652">
        <v>120894853</v>
      </c>
    </row>
    <row r="17653" spans="1:9" x14ac:dyDescent="0.2">
      <c r="A17653" s="1" t="str">
        <f>"TBCK"</f>
        <v>TBCK</v>
      </c>
      <c r="B17653" t="s">
        <v>14</v>
      </c>
      <c r="C17653" t="s">
        <v>23</v>
      </c>
      <c r="D17653" t="s">
        <v>11</v>
      </c>
      <c r="E17653" t="s">
        <v>12</v>
      </c>
      <c r="F17653">
        <v>107237340</v>
      </c>
      <c r="G17653">
        <v>107237371</v>
      </c>
      <c r="H17653">
        <v>107237374</v>
      </c>
      <c r="I17653">
        <v>107237428</v>
      </c>
    </row>
    <row r="17654" spans="1:9" x14ac:dyDescent="0.2">
      <c r="A17654" s="1" t="str">
        <f>"TBK1"</f>
        <v>TBK1</v>
      </c>
      <c r="B17654" t="s">
        <v>14</v>
      </c>
      <c r="C17654" t="s">
        <v>16</v>
      </c>
      <c r="D17654" t="s">
        <v>17</v>
      </c>
      <c r="E17654" t="s">
        <v>12</v>
      </c>
      <c r="F17654">
        <v>64845864</v>
      </c>
      <c r="G17654">
        <v>64845949</v>
      </c>
      <c r="H17654">
        <v>64846129</v>
      </c>
      <c r="I17654">
        <v>64846148</v>
      </c>
    </row>
    <row r="17655" spans="1:9" x14ac:dyDescent="0.2">
      <c r="A17655" s="1" t="str">
        <f>"TBKBP1"</f>
        <v>TBKBP1</v>
      </c>
      <c r="B17655" t="s">
        <v>14</v>
      </c>
      <c r="C17655" t="s">
        <v>28</v>
      </c>
      <c r="D17655" t="s">
        <v>17</v>
      </c>
      <c r="E17655" t="s">
        <v>12</v>
      </c>
      <c r="F17655">
        <v>45772999</v>
      </c>
      <c r="G17655">
        <v>45773037</v>
      </c>
      <c r="H17655">
        <v>45772447</v>
      </c>
      <c r="I17655">
        <v>45772487</v>
      </c>
    </row>
    <row r="17656" spans="1:9" x14ac:dyDescent="0.2">
      <c r="A17656" s="1" t="str">
        <f>"TBL1X"</f>
        <v>TBL1X</v>
      </c>
      <c r="B17656" t="s">
        <v>14</v>
      </c>
      <c r="C17656" t="s">
        <v>37</v>
      </c>
      <c r="D17656" t="s">
        <v>17</v>
      </c>
      <c r="E17656" t="s">
        <v>12</v>
      </c>
      <c r="F17656">
        <v>9433050</v>
      </c>
      <c r="G17656">
        <v>9433122</v>
      </c>
      <c r="H17656">
        <v>9433244</v>
      </c>
      <c r="I17656">
        <v>9433287</v>
      </c>
    </row>
    <row r="17657" spans="1:9" x14ac:dyDescent="0.2">
      <c r="A17657" s="1" t="str">
        <f>"TBL1XR1"</f>
        <v>TBL1XR1</v>
      </c>
      <c r="B17657" t="s">
        <v>14</v>
      </c>
      <c r="C17657" t="s">
        <v>22</v>
      </c>
      <c r="D17657" t="s">
        <v>11</v>
      </c>
      <c r="E17657" t="s">
        <v>12</v>
      </c>
      <c r="F17657">
        <v>176915215</v>
      </c>
      <c r="G17657">
        <v>176915281</v>
      </c>
      <c r="H17657">
        <v>176915375</v>
      </c>
      <c r="I17657">
        <v>176915426</v>
      </c>
    </row>
    <row r="17658" spans="1:9" x14ac:dyDescent="0.2">
      <c r="A17658" s="1" t="str">
        <f>"TBL1Y"</f>
        <v>TBL1Y</v>
      </c>
      <c r="B17658" t="s">
        <v>14</v>
      </c>
      <c r="C17658" t="s">
        <v>63</v>
      </c>
      <c r="D17658" t="s">
        <v>17</v>
      </c>
      <c r="E17658" t="s">
        <v>12</v>
      </c>
      <c r="F17658">
        <v>6778723</v>
      </c>
      <c r="G17658">
        <v>6778746</v>
      </c>
      <c r="H17658">
        <v>6778618</v>
      </c>
      <c r="I17658">
        <v>6778629</v>
      </c>
    </row>
    <row r="17659" spans="1:9" x14ac:dyDescent="0.2">
      <c r="A17659" s="1" t="str">
        <f>"TBL2"</f>
        <v>TBL2</v>
      </c>
      <c r="B17659" t="s">
        <v>9</v>
      </c>
      <c r="C17659" t="s">
        <v>33</v>
      </c>
      <c r="D17659" t="s">
        <v>11</v>
      </c>
      <c r="E17659" t="s">
        <v>12</v>
      </c>
      <c r="F17659">
        <v>72992865</v>
      </c>
      <c r="G17659">
        <v>72993012</v>
      </c>
      <c r="H17659">
        <v>72992865</v>
      </c>
      <c r="I17659">
        <v>72993012</v>
      </c>
    </row>
    <row r="17660" spans="1:9" x14ac:dyDescent="0.2">
      <c r="A17660" s="1" t="str">
        <f>"TBL2"</f>
        <v>TBL2</v>
      </c>
      <c r="B17660" t="s">
        <v>13</v>
      </c>
      <c r="C17660" t="s">
        <v>33</v>
      </c>
      <c r="D17660" t="s">
        <v>11</v>
      </c>
      <c r="E17660" t="s">
        <v>12</v>
      </c>
      <c r="F17660">
        <v>72987728</v>
      </c>
      <c r="G17660">
        <v>72987731</v>
      </c>
      <c r="H17660">
        <v>72987728</v>
      </c>
      <c r="I17660">
        <v>72987731</v>
      </c>
    </row>
    <row r="17661" spans="1:9" x14ac:dyDescent="0.2">
      <c r="A17661" s="1" t="str">
        <f>"TBL3"</f>
        <v>TBL3</v>
      </c>
      <c r="B17661" t="s">
        <v>14</v>
      </c>
      <c r="C17661" t="s">
        <v>31</v>
      </c>
      <c r="D17661" t="s">
        <v>17</v>
      </c>
      <c r="E17661" t="s">
        <v>12</v>
      </c>
      <c r="F17661">
        <v>2022036</v>
      </c>
      <c r="G17661">
        <v>2022112</v>
      </c>
      <c r="H17661">
        <v>2021964</v>
      </c>
      <c r="I17661">
        <v>2021981</v>
      </c>
    </row>
    <row r="17662" spans="1:9" x14ac:dyDescent="0.2">
      <c r="A17662" s="1" t="str">
        <f>"TBP"</f>
        <v>TBP</v>
      </c>
      <c r="B17662" t="s">
        <v>14</v>
      </c>
      <c r="C17662" t="s">
        <v>32</v>
      </c>
      <c r="D17662" t="s">
        <v>17</v>
      </c>
      <c r="E17662" t="s">
        <v>12</v>
      </c>
      <c r="F17662">
        <v>170863423</v>
      </c>
      <c r="G17662">
        <v>170863484</v>
      </c>
      <c r="H17662">
        <v>170863353</v>
      </c>
      <c r="I17662">
        <v>170863368</v>
      </c>
    </row>
    <row r="17663" spans="1:9" x14ac:dyDescent="0.2">
      <c r="A17663" s="1" t="str">
        <f>"TBPL1"</f>
        <v>TBPL1</v>
      </c>
      <c r="B17663" t="s">
        <v>14</v>
      </c>
      <c r="C17663" t="s">
        <v>32</v>
      </c>
      <c r="D17663" t="s">
        <v>17</v>
      </c>
      <c r="E17663" t="s">
        <v>12</v>
      </c>
      <c r="F17663">
        <v>134274354</v>
      </c>
      <c r="G17663">
        <v>134274371</v>
      </c>
      <c r="H17663">
        <v>134274295</v>
      </c>
      <c r="I17663">
        <v>134274308</v>
      </c>
    </row>
    <row r="17664" spans="1:9" x14ac:dyDescent="0.2">
      <c r="A17664" s="1" t="str">
        <f>"TBPL2"</f>
        <v>TBPL2</v>
      </c>
      <c r="B17664" t="s">
        <v>1695</v>
      </c>
      <c r="C17664" t="s">
        <v>41</v>
      </c>
      <c r="D17664" t="s">
        <v>11</v>
      </c>
      <c r="E17664" t="s">
        <v>20</v>
      </c>
      <c r="F17664">
        <v>55907333</v>
      </c>
      <c r="G17664">
        <v>55907333</v>
      </c>
      <c r="H17664">
        <v>55907333</v>
      </c>
      <c r="I17664">
        <v>55907333</v>
      </c>
    </row>
    <row r="17665" spans="1:9" x14ac:dyDescent="0.2">
      <c r="A17665" s="1" t="str">
        <f>"TBR1"</f>
        <v>TBR1</v>
      </c>
      <c r="B17665" t="s">
        <v>14</v>
      </c>
      <c r="C17665" t="s">
        <v>26</v>
      </c>
      <c r="D17665" t="s">
        <v>17</v>
      </c>
      <c r="E17665" t="s">
        <v>12</v>
      </c>
      <c r="F17665">
        <v>162272785</v>
      </c>
      <c r="G17665">
        <v>162272836</v>
      </c>
      <c r="H17665">
        <v>162272889</v>
      </c>
      <c r="I17665">
        <v>162272915</v>
      </c>
    </row>
    <row r="17666" spans="1:9" x14ac:dyDescent="0.2">
      <c r="A17666" s="1" t="str">
        <f>"TBRG1"</f>
        <v>TBRG1</v>
      </c>
      <c r="B17666" t="s">
        <v>14</v>
      </c>
      <c r="C17666" t="s">
        <v>27</v>
      </c>
      <c r="D17666" t="s">
        <v>17</v>
      </c>
      <c r="E17666" t="s">
        <v>12</v>
      </c>
      <c r="F17666">
        <v>124492749</v>
      </c>
      <c r="G17666">
        <v>124492795</v>
      </c>
      <c r="H17666">
        <v>124492736</v>
      </c>
      <c r="I17666">
        <v>124492748</v>
      </c>
    </row>
    <row r="17667" spans="1:9" x14ac:dyDescent="0.2">
      <c r="A17667" s="1" t="str">
        <f>"TBRG4"</f>
        <v>TBRG4</v>
      </c>
      <c r="B17667" t="s">
        <v>14</v>
      </c>
      <c r="C17667" t="s">
        <v>33</v>
      </c>
      <c r="D17667" t="s">
        <v>11</v>
      </c>
      <c r="E17667" t="s">
        <v>12</v>
      </c>
      <c r="F17667">
        <v>45151272</v>
      </c>
      <c r="G17667">
        <v>45151332</v>
      </c>
      <c r="H17667">
        <v>45151049</v>
      </c>
      <c r="I17667">
        <v>45151064</v>
      </c>
    </row>
    <row r="17668" spans="1:9" x14ac:dyDescent="0.2">
      <c r="A17668" s="1" t="str">
        <f>"TBX1"</f>
        <v>TBX1</v>
      </c>
      <c r="B17668" t="s">
        <v>14</v>
      </c>
      <c r="C17668" t="s">
        <v>21</v>
      </c>
      <c r="D17668" t="s">
        <v>17</v>
      </c>
      <c r="E17668" t="s">
        <v>12</v>
      </c>
      <c r="F17668">
        <v>19748231</v>
      </c>
      <c r="G17668">
        <v>19748317</v>
      </c>
      <c r="H17668">
        <v>19748231</v>
      </c>
      <c r="I17668">
        <v>19748317</v>
      </c>
    </row>
    <row r="17669" spans="1:9" x14ac:dyDescent="0.2">
      <c r="A17669" s="1" t="str">
        <f>"TBX10"</f>
        <v>TBX10</v>
      </c>
      <c r="B17669" t="s">
        <v>14</v>
      </c>
      <c r="C17669" t="s">
        <v>27</v>
      </c>
      <c r="D17669" t="s">
        <v>11</v>
      </c>
      <c r="E17669" t="s">
        <v>12</v>
      </c>
      <c r="F17669">
        <v>67407211</v>
      </c>
      <c r="G17669">
        <v>67407246</v>
      </c>
      <c r="H17669">
        <v>67407211</v>
      </c>
      <c r="I17669">
        <v>67407246</v>
      </c>
    </row>
    <row r="17670" spans="1:9" x14ac:dyDescent="0.2">
      <c r="A17670" s="1" t="str">
        <f>"TBX15"</f>
        <v>TBX15</v>
      </c>
      <c r="B17670" t="s">
        <v>14</v>
      </c>
      <c r="C17670" t="s">
        <v>19</v>
      </c>
      <c r="D17670" t="s">
        <v>11</v>
      </c>
      <c r="E17670" t="s">
        <v>12</v>
      </c>
      <c r="F17670">
        <v>119530493</v>
      </c>
      <c r="G17670">
        <v>119530572</v>
      </c>
      <c r="H17670">
        <v>119530636</v>
      </c>
      <c r="I17670">
        <v>119530653</v>
      </c>
    </row>
    <row r="17671" spans="1:9" x14ac:dyDescent="0.2">
      <c r="A17671" s="1" t="str">
        <f>"TBX18"</f>
        <v>TBX18</v>
      </c>
      <c r="B17671" t="s">
        <v>9</v>
      </c>
      <c r="C17671" t="s">
        <v>32</v>
      </c>
      <c r="D17671" t="s">
        <v>11</v>
      </c>
      <c r="E17671" t="s">
        <v>12</v>
      </c>
      <c r="F17671">
        <v>85474299</v>
      </c>
      <c r="G17671">
        <v>85474324</v>
      </c>
      <c r="H17671">
        <v>85474299</v>
      </c>
      <c r="I17671">
        <v>85474324</v>
      </c>
    </row>
    <row r="17672" spans="1:9" x14ac:dyDescent="0.2">
      <c r="A17672" s="1" t="str">
        <f>"TBX18"</f>
        <v>TBX18</v>
      </c>
      <c r="B17672" t="s">
        <v>13</v>
      </c>
      <c r="C17672" t="s">
        <v>32</v>
      </c>
      <c r="D17672" t="s">
        <v>11</v>
      </c>
      <c r="E17672" t="s">
        <v>12</v>
      </c>
      <c r="F17672">
        <v>85473156</v>
      </c>
      <c r="G17672">
        <v>85473210</v>
      </c>
      <c r="H17672">
        <v>85473156</v>
      </c>
      <c r="I17672">
        <v>85473210</v>
      </c>
    </row>
    <row r="17673" spans="1:9" x14ac:dyDescent="0.2">
      <c r="A17673" s="1" t="str">
        <f>"TBX19"</f>
        <v>TBX19</v>
      </c>
      <c r="B17673" t="s">
        <v>1696</v>
      </c>
      <c r="C17673" t="s">
        <v>19</v>
      </c>
      <c r="D17673" t="s">
        <v>17</v>
      </c>
      <c r="E17673" t="s">
        <v>75</v>
      </c>
      <c r="F17673">
        <v>168250110</v>
      </c>
      <c r="G17673">
        <v>168250120</v>
      </c>
      <c r="H17673">
        <v>168250110</v>
      </c>
      <c r="I17673">
        <v>168250120</v>
      </c>
    </row>
    <row r="17674" spans="1:9" x14ac:dyDescent="0.2">
      <c r="A17674" s="1" t="str">
        <f>"TBX2"</f>
        <v>TBX2</v>
      </c>
      <c r="B17674" t="s">
        <v>14</v>
      </c>
      <c r="C17674" t="s">
        <v>28</v>
      </c>
      <c r="D17674" t="s">
        <v>17</v>
      </c>
      <c r="E17674" t="s">
        <v>12</v>
      </c>
      <c r="F17674">
        <v>59477233</v>
      </c>
      <c r="G17674">
        <v>59477263</v>
      </c>
      <c r="H17674">
        <v>59477197</v>
      </c>
      <c r="I17674">
        <v>59477212</v>
      </c>
    </row>
    <row r="17675" spans="1:9" x14ac:dyDescent="0.2">
      <c r="A17675" s="1" t="str">
        <f>"TBX20"</f>
        <v>TBX20</v>
      </c>
      <c r="B17675" t="s">
        <v>14</v>
      </c>
      <c r="C17675" t="s">
        <v>33</v>
      </c>
      <c r="D17675" t="s">
        <v>11</v>
      </c>
      <c r="E17675" t="s">
        <v>12</v>
      </c>
      <c r="F17675">
        <v>35293685</v>
      </c>
      <c r="G17675">
        <v>35293718</v>
      </c>
      <c r="H17675">
        <v>35293665</v>
      </c>
      <c r="I17675">
        <v>35293680</v>
      </c>
    </row>
    <row r="17676" spans="1:9" x14ac:dyDescent="0.2">
      <c r="A17676" s="1" t="str">
        <f>"TBX21"</f>
        <v>TBX21</v>
      </c>
      <c r="B17676" t="s">
        <v>14</v>
      </c>
      <c r="C17676" t="s">
        <v>28</v>
      </c>
      <c r="D17676" t="s">
        <v>17</v>
      </c>
      <c r="E17676" t="s">
        <v>12</v>
      </c>
      <c r="F17676">
        <v>45810594</v>
      </c>
      <c r="G17676">
        <v>45810608</v>
      </c>
      <c r="H17676">
        <v>45810816</v>
      </c>
      <c r="I17676">
        <v>45810838</v>
      </c>
    </row>
    <row r="17677" spans="1:9" x14ac:dyDescent="0.2">
      <c r="A17677" s="1" t="str">
        <f>"TBX22"</f>
        <v>TBX22</v>
      </c>
      <c r="B17677" t="s">
        <v>14</v>
      </c>
      <c r="C17677" t="s">
        <v>37</v>
      </c>
      <c r="D17677" t="s">
        <v>17</v>
      </c>
      <c r="E17677" t="s">
        <v>12</v>
      </c>
      <c r="F17677">
        <v>79270245</v>
      </c>
      <c r="G17677">
        <v>79270257</v>
      </c>
      <c r="H17677">
        <v>79270292</v>
      </c>
      <c r="I17677">
        <v>79270296</v>
      </c>
    </row>
    <row r="17678" spans="1:9" x14ac:dyDescent="0.2">
      <c r="A17678" s="1" t="str">
        <f>"TBX3"</f>
        <v>TBX3</v>
      </c>
      <c r="B17678" t="s">
        <v>14</v>
      </c>
      <c r="C17678" t="s">
        <v>16</v>
      </c>
      <c r="D17678" t="s">
        <v>11</v>
      </c>
      <c r="E17678" t="s">
        <v>12</v>
      </c>
      <c r="F17678">
        <v>115121962</v>
      </c>
      <c r="G17678">
        <v>115121987</v>
      </c>
      <c r="H17678">
        <v>115121962</v>
      </c>
      <c r="I17678">
        <v>115121987</v>
      </c>
    </row>
    <row r="17679" spans="1:9" x14ac:dyDescent="0.2">
      <c r="A17679" s="1" t="str">
        <f>"TBX4"</f>
        <v>TBX4</v>
      </c>
      <c r="B17679" t="s">
        <v>9</v>
      </c>
      <c r="C17679" t="s">
        <v>28</v>
      </c>
      <c r="D17679" t="s">
        <v>17</v>
      </c>
      <c r="E17679" t="s">
        <v>12</v>
      </c>
      <c r="F17679">
        <v>59529743</v>
      </c>
      <c r="G17679">
        <v>59529798</v>
      </c>
      <c r="H17679">
        <v>59529743</v>
      </c>
      <c r="I17679">
        <v>59529798</v>
      </c>
    </row>
    <row r="17680" spans="1:9" x14ac:dyDescent="0.2">
      <c r="A17680" s="1" t="str">
        <f>"TBX4"</f>
        <v>TBX4</v>
      </c>
      <c r="B17680" t="s">
        <v>13</v>
      </c>
      <c r="C17680" t="s">
        <v>28</v>
      </c>
      <c r="D17680" t="s">
        <v>17</v>
      </c>
      <c r="E17680" t="s">
        <v>12</v>
      </c>
      <c r="F17680">
        <v>59533618</v>
      </c>
      <c r="G17680">
        <v>59533656</v>
      </c>
      <c r="H17680">
        <v>59533618</v>
      </c>
      <c r="I17680">
        <v>59533656</v>
      </c>
    </row>
    <row r="17681" spans="1:9" x14ac:dyDescent="0.2">
      <c r="A17681" s="1" t="str">
        <f>"TBX5"</f>
        <v>TBX5</v>
      </c>
      <c r="B17681" t="s">
        <v>9</v>
      </c>
      <c r="C17681" t="s">
        <v>16</v>
      </c>
      <c r="D17681" t="s">
        <v>11</v>
      </c>
      <c r="E17681" t="s">
        <v>12</v>
      </c>
      <c r="F17681">
        <v>114845810</v>
      </c>
      <c r="G17681">
        <v>114845824</v>
      </c>
      <c r="H17681">
        <v>114845810</v>
      </c>
      <c r="I17681">
        <v>114845824</v>
      </c>
    </row>
    <row r="17682" spans="1:9" x14ac:dyDescent="0.2">
      <c r="A17682" s="1" t="str">
        <f>"TBX5"</f>
        <v>TBX5</v>
      </c>
      <c r="B17682" t="s">
        <v>13</v>
      </c>
      <c r="C17682" t="s">
        <v>16</v>
      </c>
      <c r="D17682" t="s">
        <v>11</v>
      </c>
      <c r="E17682" t="s">
        <v>12</v>
      </c>
      <c r="F17682">
        <v>114843940</v>
      </c>
      <c r="G17682">
        <v>114843955</v>
      </c>
      <c r="H17682">
        <v>114843940</v>
      </c>
      <c r="I17682">
        <v>114843955</v>
      </c>
    </row>
    <row r="17683" spans="1:9" x14ac:dyDescent="0.2">
      <c r="A17683" s="1" t="str">
        <f>"TBX6"</f>
        <v>TBX6</v>
      </c>
      <c r="B17683" t="s">
        <v>14</v>
      </c>
      <c r="C17683" t="s">
        <v>31</v>
      </c>
      <c r="D17683" t="s">
        <v>11</v>
      </c>
      <c r="E17683" t="s">
        <v>12</v>
      </c>
      <c r="F17683">
        <v>30103224</v>
      </c>
      <c r="G17683">
        <v>30103268</v>
      </c>
      <c r="H17683">
        <v>30103224</v>
      </c>
      <c r="I17683">
        <v>30103268</v>
      </c>
    </row>
    <row r="17684" spans="1:9" x14ac:dyDescent="0.2">
      <c r="A17684" s="1" t="str">
        <f>"TBXA2R"</f>
        <v>TBXA2R</v>
      </c>
      <c r="B17684" t="s">
        <v>14</v>
      </c>
      <c r="C17684" t="s">
        <v>10</v>
      </c>
      <c r="D17684" t="s">
        <v>11</v>
      </c>
      <c r="E17684" t="s">
        <v>12</v>
      </c>
      <c r="F17684">
        <v>3606847</v>
      </c>
      <c r="G17684">
        <v>3606898</v>
      </c>
      <c r="H17684">
        <v>3606590</v>
      </c>
      <c r="I17684">
        <v>3606634</v>
      </c>
    </row>
    <row r="17685" spans="1:9" x14ac:dyDescent="0.2">
      <c r="A17685" s="1" t="str">
        <f>"TBXAS1"</f>
        <v>TBXAS1</v>
      </c>
      <c r="B17685" t="s">
        <v>14</v>
      </c>
      <c r="C17685" t="s">
        <v>33</v>
      </c>
      <c r="D17685" t="s">
        <v>17</v>
      </c>
      <c r="E17685" t="s">
        <v>12</v>
      </c>
      <c r="F17685">
        <v>139529040</v>
      </c>
      <c r="G17685">
        <v>139529073</v>
      </c>
      <c r="H17685">
        <v>139529085</v>
      </c>
      <c r="I17685">
        <v>139529115</v>
      </c>
    </row>
    <row r="17686" spans="1:9" x14ac:dyDescent="0.2">
      <c r="A17686" s="1" t="str">
        <f>"TC2N"</f>
        <v>TC2N</v>
      </c>
      <c r="B17686" t="s">
        <v>9</v>
      </c>
      <c r="C17686" t="s">
        <v>41</v>
      </c>
      <c r="D17686" t="s">
        <v>11</v>
      </c>
      <c r="E17686" t="s">
        <v>12</v>
      </c>
      <c r="F17686">
        <v>92333873</v>
      </c>
      <c r="G17686">
        <v>92333886</v>
      </c>
      <c r="H17686">
        <v>92333873</v>
      </c>
      <c r="I17686">
        <v>92333886</v>
      </c>
    </row>
    <row r="17687" spans="1:9" x14ac:dyDescent="0.2">
      <c r="A17687" s="1" t="str">
        <f>"TC2N"</f>
        <v>TC2N</v>
      </c>
      <c r="B17687" t="s">
        <v>13</v>
      </c>
      <c r="C17687" t="s">
        <v>41</v>
      </c>
      <c r="D17687" t="s">
        <v>11</v>
      </c>
      <c r="E17687" t="s">
        <v>12</v>
      </c>
      <c r="F17687">
        <v>92302753</v>
      </c>
      <c r="G17687">
        <v>92302782</v>
      </c>
      <c r="H17687">
        <v>92302753</v>
      </c>
      <c r="I17687">
        <v>92302782</v>
      </c>
    </row>
    <row r="17688" spans="1:9" x14ac:dyDescent="0.2">
      <c r="A17688" s="1" t="str">
        <f>"TCAIM"</f>
        <v>TCAIM</v>
      </c>
      <c r="B17688" t="s">
        <v>14</v>
      </c>
      <c r="C17688" t="s">
        <v>22</v>
      </c>
      <c r="D17688" t="s">
        <v>17</v>
      </c>
      <c r="E17688" t="s">
        <v>12</v>
      </c>
      <c r="F17688">
        <v>44380211</v>
      </c>
      <c r="G17688">
        <v>44380274</v>
      </c>
      <c r="H17688">
        <v>44379614</v>
      </c>
      <c r="I17688">
        <v>44379640</v>
      </c>
    </row>
    <row r="17689" spans="1:9" x14ac:dyDescent="0.2">
      <c r="A17689" s="1" t="str">
        <f>"TCAP"</f>
        <v>TCAP</v>
      </c>
      <c r="B17689" t="s">
        <v>14</v>
      </c>
      <c r="C17689" t="s">
        <v>28</v>
      </c>
      <c r="D17689" t="s">
        <v>17</v>
      </c>
      <c r="E17689" t="s">
        <v>12</v>
      </c>
      <c r="F17689">
        <v>37821593</v>
      </c>
      <c r="G17689">
        <v>37821609</v>
      </c>
      <c r="H17689">
        <v>37821593</v>
      </c>
      <c r="I17689">
        <v>37821609</v>
      </c>
    </row>
    <row r="17690" spans="1:9" x14ac:dyDescent="0.2">
      <c r="A17690" s="1" t="str">
        <f>"TCEA1"</f>
        <v>TCEA1</v>
      </c>
      <c r="B17690" t="s">
        <v>14</v>
      </c>
      <c r="C17690" t="s">
        <v>30</v>
      </c>
      <c r="D17690" t="s">
        <v>11</v>
      </c>
      <c r="E17690" t="s">
        <v>12</v>
      </c>
      <c r="F17690">
        <v>54934823</v>
      </c>
      <c r="G17690">
        <v>54934875</v>
      </c>
      <c r="H17690">
        <v>54934978</v>
      </c>
      <c r="I17690">
        <v>54935000</v>
      </c>
    </row>
    <row r="17691" spans="1:9" x14ac:dyDescent="0.2">
      <c r="A17691" s="1" t="str">
        <f>"TCEA2"</f>
        <v>TCEA2</v>
      </c>
      <c r="B17691" t="s">
        <v>14</v>
      </c>
      <c r="C17691" t="s">
        <v>29</v>
      </c>
      <c r="D17691" t="s">
        <v>17</v>
      </c>
      <c r="E17691" t="s">
        <v>12</v>
      </c>
      <c r="F17691">
        <v>62694461</v>
      </c>
      <c r="G17691">
        <v>62694585</v>
      </c>
      <c r="H17691">
        <v>62694605</v>
      </c>
      <c r="I17691">
        <v>62694616</v>
      </c>
    </row>
    <row r="17692" spans="1:9" x14ac:dyDescent="0.2">
      <c r="A17692" s="1" t="str">
        <f>"TCEA3"</f>
        <v>TCEA3</v>
      </c>
      <c r="B17692" t="s">
        <v>14</v>
      </c>
      <c r="C17692" t="s">
        <v>19</v>
      </c>
      <c r="D17692" t="s">
        <v>11</v>
      </c>
      <c r="E17692" t="s">
        <v>12</v>
      </c>
      <c r="F17692">
        <v>23751189</v>
      </c>
      <c r="G17692">
        <v>23751255</v>
      </c>
      <c r="H17692">
        <v>23751262</v>
      </c>
      <c r="I17692">
        <v>23751277</v>
      </c>
    </row>
    <row r="17693" spans="1:9" x14ac:dyDescent="0.2">
      <c r="A17693" s="1" t="str">
        <f>"TCEAL1"</f>
        <v>TCEAL1</v>
      </c>
      <c r="B17693" t="s">
        <v>14</v>
      </c>
      <c r="C17693" t="s">
        <v>37</v>
      </c>
      <c r="D17693" t="s">
        <v>17</v>
      </c>
      <c r="E17693" t="s">
        <v>12</v>
      </c>
      <c r="F17693">
        <v>102883887</v>
      </c>
      <c r="G17693">
        <v>102883909</v>
      </c>
      <c r="H17693">
        <v>102883887</v>
      </c>
      <c r="I17693">
        <v>102883909</v>
      </c>
    </row>
    <row r="17694" spans="1:9" x14ac:dyDescent="0.2">
      <c r="A17694" s="1" t="str">
        <f>"TCEAL2"</f>
        <v>TCEAL2</v>
      </c>
      <c r="B17694" t="s">
        <v>9</v>
      </c>
      <c r="C17694" t="s">
        <v>37</v>
      </c>
      <c r="D17694" t="s">
        <v>17</v>
      </c>
      <c r="E17694" t="s">
        <v>12</v>
      </c>
      <c r="F17694">
        <v>101380642</v>
      </c>
      <c r="G17694">
        <v>101380665</v>
      </c>
      <c r="H17694">
        <v>101380642</v>
      </c>
      <c r="I17694">
        <v>101380665</v>
      </c>
    </row>
    <row r="17695" spans="1:9" x14ac:dyDescent="0.2">
      <c r="A17695" s="1" t="str">
        <f>"TCEAL2"</f>
        <v>TCEAL2</v>
      </c>
      <c r="B17695" t="s">
        <v>13</v>
      </c>
      <c r="C17695" t="s">
        <v>37</v>
      </c>
      <c r="D17695" t="s">
        <v>17</v>
      </c>
      <c r="E17695" t="s">
        <v>12</v>
      </c>
      <c r="F17695">
        <v>101381878</v>
      </c>
      <c r="G17695">
        <v>101381906</v>
      </c>
      <c r="H17695">
        <v>101381878</v>
      </c>
      <c r="I17695">
        <v>101381906</v>
      </c>
    </row>
    <row r="17696" spans="1:9" x14ac:dyDescent="0.2">
      <c r="A17696" s="1" t="str">
        <f>"TCEAL3"</f>
        <v>TCEAL3</v>
      </c>
      <c r="B17696" t="s">
        <v>14</v>
      </c>
      <c r="C17696" t="s">
        <v>37</v>
      </c>
      <c r="D17696" t="s">
        <v>17</v>
      </c>
      <c r="E17696" t="s">
        <v>12</v>
      </c>
      <c r="F17696">
        <v>102862837</v>
      </c>
      <c r="G17696">
        <v>102862912</v>
      </c>
      <c r="H17696">
        <v>102862922</v>
      </c>
      <c r="I17696">
        <v>102862939</v>
      </c>
    </row>
    <row r="17697" spans="1:9" x14ac:dyDescent="0.2">
      <c r="A17697" s="1" t="str">
        <f>"TCEAL4"</f>
        <v>TCEAL4</v>
      </c>
      <c r="B17697" t="s">
        <v>9</v>
      </c>
      <c r="C17697" t="s">
        <v>37</v>
      </c>
      <c r="D17697" t="s">
        <v>17</v>
      </c>
      <c r="E17697" t="s">
        <v>12</v>
      </c>
      <c r="F17697">
        <v>102840408</v>
      </c>
      <c r="G17697">
        <v>102840492</v>
      </c>
      <c r="H17697">
        <v>102840408</v>
      </c>
      <c r="I17697">
        <v>102840492</v>
      </c>
    </row>
    <row r="17698" spans="1:9" x14ac:dyDescent="0.2">
      <c r="A17698" s="1" t="str">
        <f>"TCEAL4"</f>
        <v>TCEAL4</v>
      </c>
      <c r="B17698" t="s">
        <v>13</v>
      </c>
      <c r="C17698" t="s">
        <v>37</v>
      </c>
      <c r="D17698" t="s">
        <v>17</v>
      </c>
      <c r="E17698" t="s">
        <v>12</v>
      </c>
      <c r="F17698">
        <v>102841584</v>
      </c>
      <c r="G17698">
        <v>102841611</v>
      </c>
      <c r="H17698">
        <v>102841584</v>
      </c>
      <c r="I17698">
        <v>102841611</v>
      </c>
    </row>
    <row r="17699" spans="1:9" x14ac:dyDescent="0.2">
      <c r="A17699" s="1" t="str">
        <f>"TCEAL5"</f>
        <v>TCEAL5</v>
      </c>
      <c r="B17699" t="s">
        <v>14</v>
      </c>
      <c r="C17699" t="s">
        <v>37</v>
      </c>
      <c r="D17699" t="s">
        <v>11</v>
      </c>
      <c r="E17699" t="s">
        <v>12</v>
      </c>
      <c r="F17699">
        <v>102531670</v>
      </c>
      <c r="G17699">
        <v>102531684</v>
      </c>
      <c r="H17699">
        <v>102531695</v>
      </c>
      <c r="I17699">
        <v>102531710</v>
      </c>
    </row>
    <row r="17700" spans="1:9" x14ac:dyDescent="0.2">
      <c r="A17700" s="1" t="str">
        <f>"TCEAL6"</f>
        <v>TCEAL6</v>
      </c>
      <c r="B17700" t="s">
        <v>14</v>
      </c>
      <c r="C17700" t="s">
        <v>37</v>
      </c>
      <c r="D17700" t="s">
        <v>11</v>
      </c>
      <c r="E17700" t="s">
        <v>12</v>
      </c>
      <c r="F17700">
        <v>101397433</v>
      </c>
      <c r="G17700">
        <v>101397462</v>
      </c>
      <c r="H17700">
        <v>101397491</v>
      </c>
      <c r="I17700">
        <v>101397506</v>
      </c>
    </row>
    <row r="17701" spans="1:9" x14ac:dyDescent="0.2">
      <c r="A17701" s="1" t="str">
        <f>"TCEAL7"</f>
        <v>TCEAL7</v>
      </c>
      <c r="B17701" t="s">
        <v>14</v>
      </c>
      <c r="C17701" t="s">
        <v>37</v>
      </c>
      <c r="D17701" t="s">
        <v>17</v>
      </c>
      <c r="E17701" t="s">
        <v>12</v>
      </c>
      <c r="F17701">
        <v>102585134</v>
      </c>
      <c r="G17701">
        <v>102585176</v>
      </c>
      <c r="H17701">
        <v>102585134</v>
      </c>
      <c r="I17701">
        <v>102585176</v>
      </c>
    </row>
    <row r="17702" spans="1:9" x14ac:dyDescent="0.2">
      <c r="A17702" s="1" t="str">
        <f>"TCEAL8"</f>
        <v>TCEAL8</v>
      </c>
      <c r="B17702" t="s">
        <v>14</v>
      </c>
      <c r="C17702" t="s">
        <v>37</v>
      </c>
      <c r="D17702" t="s">
        <v>11</v>
      </c>
      <c r="E17702" t="s">
        <v>12</v>
      </c>
      <c r="F17702">
        <v>102510045</v>
      </c>
      <c r="G17702">
        <v>102510116</v>
      </c>
      <c r="H17702">
        <v>102510126</v>
      </c>
      <c r="I17702">
        <v>102510135</v>
      </c>
    </row>
    <row r="17703" spans="1:9" x14ac:dyDescent="0.2">
      <c r="A17703" s="1" t="str">
        <f>"TCEANC"</f>
        <v>TCEANC</v>
      </c>
      <c r="B17703" t="s">
        <v>14</v>
      </c>
      <c r="C17703" t="s">
        <v>37</v>
      </c>
      <c r="D17703" t="s">
        <v>17</v>
      </c>
      <c r="E17703" t="s">
        <v>12</v>
      </c>
      <c r="F17703">
        <v>13671231</v>
      </c>
      <c r="G17703">
        <v>13671327</v>
      </c>
      <c r="H17703">
        <v>13671354</v>
      </c>
      <c r="I17703">
        <v>13671368</v>
      </c>
    </row>
    <row r="17704" spans="1:9" x14ac:dyDescent="0.2">
      <c r="A17704" s="1" t="str">
        <f>"TCEANC2"</f>
        <v>TCEANC2</v>
      </c>
      <c r="B17704" t="s">
        <v>14</v>
      </c>
      <c r="C17704" t="s">
        <v>19</v>
      </c>
      <c r="D17704" t="s">
        <v>17</v>
      </c>
      <c r="E17704" t="s">
        <v>12</v>
      </c>
      <c r="F17704">
        <v>54519242</v>
      </c>
      <c r="G17704">
        <v>54519317</v>
      </c>
      <c r="H17704">
        <v>54519327</v>
      </c>
      <c r="I17704">
        <v>54519364</v>
      </c>
    </row>
    <row r="17705" spans="1:9" x14ac:dyDescent="0.2">
      <c r="A17705" s="1" t="str">
        <f>"TCEB1"</f>
        <v>TCEB1</v>
      </c>
      <c r="B17705" t="s">
        <v>14</v>
      </c>
      <c r="C17705" t="s">
        <v>30</v>
      </c>
      <c r="D17705" t="s">
        <v>11</v>
      </c>
      <c r="E17705" t="s">
        <v>12</v>
      </c>
      <c r="F17705">
        <v>74884399</v>
      </c>
      <c r="G17705">
        <v>74884436</v>
      </c>
      <c r="H17705">
        <v>74884343</v>
      </c>
      <c r="I17705">
        <v>74884390</v>
      </c>
    </row>
    <row r="17706" spans="1:9" x14ac:dyDescent="0.2">
      <c r="A17706" s="1" t="str">
        <f>"TCEB2"</f>
        <v>TCEB2</v>
      </c>
      <c r="B17706" t="s">
        <v>14</v>
      </c>
      <c r="C17706" t="s">
        <v>31</v>
      </c>
      <c r="D17706" t="s">
        <v>11</v>
      </c>
      <c r="E17706" t="s">
        <v>12</v>
      </c>
      <c r="F17706">
        <v>2827261</v>
      </c>
      <c r="G17706">
        <v>2827299</v>
      </c>
      <c r="H17706">
        <v>2827567</v>
      </c>
      <c r="I17706">
        <v>2827601</v>
      </c>
    </row>
    <row r="17707" spans="1:9" x14ac:dyDescent="0.2">
      <c r="A17707" s="1" t="str">
        <f>"TCEB3"</f>
        <v>TCEB3</v>
      </c>
      <c r="B17707" t="s">
        <v>14</v>
      </c>
      <c r="C17707" t="s">
        <v>19</v>
      </c>
      <c r="D17707" t="s">
        <v>17</v>
      </c>
      <c r="E17707" t="s">
        <v>12</v>
      </c>
      <c r="F17707">
        <v>24069952</v>
      </c>
      <c r="G17707">
        <v>24069989</v>
      </c>
      <c r="H17707">
        <v>24069939</v>
      </c>
      <c r="I17707">
        <v>24069950</v>
      </c>
    </row>
    <row r="17708" spans="1:9" x14ac:dyDescent="0.2">
      <c r="A17708" s="1" t="str">
        <f>"TCEB3B"</f>
        <v>TCEB3B</v>
      </c>
      <c r="B17708" t="s">
        <v>14</v>
      </c>
      <c r="C17708" t="s">
        <v>43</v>
      </c>
      <c r="D17708" t="s">
        <v>11</v>
      </c>
      <c r="E17708" t="s">
        <v>12</v>
      </c>
      <c r="F17708">
        <v>44561964</v>
      </c>
      <c r="G17708">
        <v>44561969</v>
      </c>
      <c r="H17708">
        <v>44561915</v>
      </c>
      <c r="I17708">
        <v>44561916</v>
      </c>
    </row>
    <row r="17709" spans="1:9" x14ac:dyDescent="0.2">
      <c r="A17709" s="1" t="str">
        <f>"TCEB3C"</f>
        <v>TCEB3C</v>
      </c>
      <c r="B17709" t="s">
        <v>1697</v>
      </c>
      <c r="C17709" t="s">
        <v>43</v>
      </c>
      <c r="D17709" t="s">
        <v>11</v>
      </c>
      <c r="E17709" t="s">
        <v>20</v>
      </c>
      <c r="F17709">
        <v>44556448</v>
      </c>
      <c r="G17709">
        <v>44556448</v>
      </c>
      <c r="H17709">
        <v>44556448</v>
      </c>
      <c r="I17709">
        <v>44556448</v>
      </c>
    </row>
    <row r="17710" spans="1:9" x14ac:dyDescent="0.2">
      <c r="A17710" s="1" t="str">
        <f>"TCEB3CL"</f>
        <v>TCEB3CL</v>
      </c>
      <c r="B17710" t="s">
        <v>1698</v>
      </c>
      <c r="C17710" t="s">
        <v>43</v>
      </c>
      <c r="D17710" t="s">
        <v>11</v>
      </c>
      <c r="E17710" t="s">
        <v>20</v>
      </c>
      <c r="F17710">
        <v>44550533</v>
      </c>
      <c r="G17710">
        <v>44550533</v>
      </c>
      <c r="H17710">
        <v>44550533</v>
      </c>
      <c r="I17710">
        <v>44550533</v>
      </c>
    </row>
    <row r="17711" spans="1:9" x14ac:dyDescent="0.2">
      <c r="A17711" s="1" t="str">
        <f>"TCEB3CL2"</f>
        <v>TCEB3CL2</v>
      </c>
      <c r="B17711" t="s">
        <v>1699</v>
      </c>
      <c r="C17711" t="s">
        <v>43</v>
      </c>
      <c r="D17711" t="s">
        <v>11</v>
      </c>
      <c r="E17711" t="s">
        <v>20</v>
      </c>
      <c r="F17711">
        <v>44544606</v>
      </c>
      <c r="G17711">
        <v>44544606</v>
      </c>
      <c r="H17711">
        <v>44544606</v>
      </c>
      <c r="I17711">
        <v>44544606</v>
      </c>
    </row>
    <row r="17712" spans="1:9" x14ac:dyDescent="0.2">
      <c r="A17712" s="1" t="str">
        <f>"TCERG1"</f>
        <v>TCERG1</v>
      </c>
      <c r="B17712" t="s">
        <v>14</v>
      </c>
      <c r="C17712" t="s">
        <v>46</v>
      </c>
      <c r="D17712" t="s">
        <v>17</v>
      </c>
      <c r="E17712" t="s">
        <v>12</v>
      </c>
      <c r="F17712">
        <v>145826867</v>
      </c>
      <c r="G17712">
        <v>145826903</v>
      </c>
      <c r="H17712">
        <v>145826904</v>
      </c>
      <c r="I17712">
        <v>145826915</v>
      </c>
    </row>
    <row r="17713" spans="1:9" x14ac:dyDescent="0.2">
      <c r="A17713" s="1" t="str">
        <f>"TCERG1L"</f>
        <v>TCERG1L</v>
      </c>
      <c r="B17713" t="s">
        <v>14</v>
      </c>
      <c r="C17713" t="s">
        <v>15</v>
      </c>
      <c r="D17713" t="s">
        <v>11</v>
      </c>
      <c r="E17713" t="s">
        <v>12</v>
      </c>
      <c r="F17713">
        <v>133109947</v>
      </c>
      <c r="G17713">
        <v>133109995</v>
      </c>
      <c r="H17713">
        <v>133109871</v>
      </c>
      <c r="I17713">
        <v>133109897</v>
      </c>
    </row>
    <row r="17714" spans="1:9" x14ac:dyDescent="0.2">
      <c r="A17714" s="1" t="str">
        <f>"TCF12"</f>
        <v>TCF12</v>
      </c>
      <c r="B17714" t="s">
        <v>9</v>
      </c>
      <c r="C17714" t="s">
        <v>25</v>
      </c>
      <c r="D17714" t="s">
        <v>17</v>
      </c>
      <c r="E17714" t="s">
        <v>12</v>
      </c>
      <c r="F17714">
        <v>57210818</v>
      </c>
      <c r="G17714">
        <v>57210930</v>
      </c>
      <c r="H17714">
        <v>57210818</v>
      </c>
      <c r="I17714">
        <v>57210930</v>
      </c>
    </row>
    <row r="17715" spans="1:9" x14ac:dyDescent="0.2">
      <c r="A17715" s="1" t="str">
        <f>"TCF12"</f>
        <v>TCF12</v>
      </c>
      <c r="B17715" t="s">
        <v>13</v>
      </c>
      <c r="C17715" t="s">
        <v>25</v>
      </c>
      <c r="D17715" t="s">
        <v>17</v>
      </c>
      <c r="E17715" t="s">
        <v>12</v>
      </c>
      <c r="F17715">
        <v>57511609</v>
      </c>
      <c r="G17715">
        <v>57511651</v>
      </c>
      <c r="H17715">
        <v>57511609</v>
      </c>
      <c r="I17715">
        <v>57511651</v>
      </c>
    </row>
    <row r="17716" spans="1:9" x14ac:dyDescent="0.2">
      <c r="A17716" s="1" t="str">
        <f>"TCF15"</f>
        <v>TCF15</v>
      </c>
      <c r="B17716" t="s">
        <v>14</v>
      </c>
      <c r="C17716" t="s">
        <v>29</v>
      </c>
      <c r="D17716" t="s">
        <v>11</v>
      </c>
      <c r="E17716" t="s">
        <v>12</v>
      </c>
      <c r="F17716">
        <v>590944</v>
      </c>
      <c r="G17716">
        <v>590960</v>
      </c>
      <c r="H17716">
        <v>590892</v>
      </c>
      <c r="I17716">
        <v>590902</v>
      </c>
    </row>
    <row r="17717" spans="1:9" x14ac:dyDescent="0.2">
      <c r="A17717" s="1" t="str">
        <f>"TCF19"</f>
        <v>TCF19</v>
      </c>
      <c r="B17717" t="s">
        <v>9</v>
      </c>
      <c r="C17717" t="s">
        <v>32</v>
      </c>
      <c r="D17717" t="s">
        <v>17</v>
      </c>
      <c r="E17717" t="s">
        <v>12</v>
      </c>
      <c r="F17717">
        <v>31126291</v>
      </c>
      <c r="G17717">
        <v>31126399</v>
      </c>
      <c r="H17717">
        <v>31126291</v>
      </c>
      <c r="I17717">
        <v>31126399</v>
      </c>
    </row>
    <row r="17718" spans="1:9" x14ac:dyDescent="0.2">
      <c r="A17718" s="1" t="str">
        <f>"TCF19"</f>
        <v>TCF19</v>
      </c>
      <c r="B17718" t="s">
        <v>13</v>
      </c>
      <c r="C17718" t="s">
        <v>32</v>
      </c>
      <c r="D17718" t="s">
        <v>17</v>
      </c>
      <c r="E17718" t="s">
        <v>12</v>
      </c>
      <c r="F17718">
        <v>31127319</v>
      </c>
      <c r="G17718">
        <v>31127342</v>
      </c>
      <c r="H17718">
        <v>31127319</v>
      </c>
      <c r="I17718">
        <v>31127342</v>
      </c>
    </row>
    <row r="17719" spans="1:9" x14ac:dyDescent="0.2">
      <c r="A17719" s="1" t="str">
        <f>"TCF20"</f>
        <v>TCF20</v>
      </c>
      <c r="B17719" t="s">
        <v>14</v>
      </c>
      <c r="C17719" t="s">
        <v>21</v>
      </c>
      <c r="D17719" t="s">
        <v>11</v>
      </c>
      <c r="E17719" t="s">
        <v>12</v>
      </c>
      <c r="F17719">
        <v>42610812</v>
      </c>
      <c r="G17719">
        <v>42610841</v>
      </c>
      <c r="H17719">
        <v>42610812</v>
      </c>
      <c r="I17719">
        <v>42610841</v>
      </c>
    </row>
    <row r="17720" spans="1:9" x14ac:dyDescent="0.2">
      <c r="A17720" s="1" t="str">
        <f>"TCF21"</f>
        <v>TCF21</v>
      </c>
      <c r="B17720" t="s">
        <v>14</v>
      </c>
      <c r="C17720" t="s">
        <v>32</v>
      </c>
      <c r="D17720" t="s">
        <v>17</v>
      </c>
      <c r="E17720" t="s">
        <v>12</v>
      </c>
      <c r="F17720">
        <v>134210243</v>
      </c>
      <c r="G17720">
        <v>134210257</v>
      </c>
      <c r="H17720">
        <v>134210243</v>
      </c>
      <c r="I17720">
        <v>134210257</v>
      </c>
    </row>
    <row r="17721" spans="1:9" x14ac:dyDescent="0.2">
      <c r="A17721" s="1" t="str">
        <f>"TCF23"</f>
        <v>TCF23</v>
      </c>
      <c r="B17721" t="s">
        <v>14</v>
      </c>
      <c r="C17721" t="s">
        <v>26</v>
      </c>
      <c r="D17721" t="s">
        <v>17</v>
      </c>
      <c r="E17721" t="s">
        <v>12</v>
      </c>
      <c r="F17721">
        <v>27371879</v>
      </c>
      <c r="G17721">
        <v>27371907</v>
      </c>
      <c r="H17721">
        <v>27371919</v>
      </c>
      <c r="I17721">
        <v>27371935</v>
      </c>
    </row>
    <row r="17722" spans="1:9" x14ac:dyDescent="0.2">
      <c r="A17722" s="1" t="str">
        <f>"TCF24"</f>
        <v>TCF24</v>
      </c>
      <c r="B17722" t="s">
        <v>14</v>
      </c>
      <c r="C17722" t="s">
        <v>30</v>
      </c>
      <c r="D17722" t="s">
        <v>11</v>
      </c>
      <c r="E17722" t="s">
        <v>12</v>
      </c>
      <c r="F17722">
        <v>67874805</v>
      </c>
      <c r="G17722">
        <v>67874831</v>
      </c>
      <c r="H17722">
        <v>67874783</v>
      </c>
      <c r="I17722">
        <v>67874789</v>
      </c>
    </row>
    <row r="17723" spans="1:9" x14ac:dyDescent="0.2">
      <c r="A17723" s="1" t="str">
        <f>"TCF25"</f>
        <v>TCF25</v>
      </c>
      <c r="B17723" t="s">
        <v>14</v>
      </c>
      <c r="C17723" t="s">
        <v>31</v>
      </c>
      <c r="D17723" t="s">
        <v>17</v>
      </c>
      <c r="E17723" t="s">
        <v>12</v>
      </c>
      <c r="F17723">
        <v>89940012</v>
      </c>
      <c r="G17723">
        <v>89940059</v>
      </c>
      <c r="H17723">
        <v>89939979</v>
      </c>
      <c r="I17723">
        <v>89940011</v>
      </c>
    </row>
    <row r="17724" spans="1:9" x14ac:dyDescent="0.2">
      <c r="A17724" s="1" t="str">
        <f>"TCF3"</f>
        <v>TCF3</v>
      </c>
      <c r="B17724" t="s">
        <v>14</v>
      </c>
      <c r="C17724" t="s">
        <v>10</v>
      </c>
      <c r="D17724" t="s">
        <v>11</v>
      </c>
      <c r="E17724" t="s">
        <v>12</v>
      </c>
      <c r="F17724">
        <v>1652575</v>
      </c>
      <c r="G17724">
        <v>1652621</v>
      </c>
      <c r="H17724">
        <v>1652555</v>
      </c>
      <c r="I17724">
        <v>1652568</v>
      </c>
    </row>
    <row r="17725" spans="1:9" x14ac:dyDescent="0.2">
      <c r="A17725" s="1" t="str">
        <f>"TCF4"</f>
        <v>TCF4</v>
      </c>
      <c r="B17725" t="s">
        <v>14</v>
      </c>
      <c r="C17725" t="s">
        <v>43</v>
      </c>
      <c r="D17725" t="s">
        <v>11</v>
      </c>
      <c r="E17725" t="s">
        <v>12</v>
      </c>
      <c r="F17725">
        <v>53255415</v>
      </c>
      <c r="G17725">
        <v>53255491</v>
      </c>
      <c r="H17725">
        <v>53255415</v>
      </c>
      <c r="I17725">
        <v>53255491</v>
      </c>
    </row>
    <row r="17726" spans="1:9" x14ac:dyDescent="0.2">
      <c r="A17726" s="1" t="str">
        <f>"TCF7"</f>
        <v>TCF7</v>
      </c>
      <c r="B17726" t="s">
        <v>14</v>
      </c>
      <c r="C17726" t="s">
        <v>46</v>
      </c>
      <c r="D17726" t="s">
        <v>17</v>
      </c>
      <c r="E17726" t="s">
        <v>12</v>
      </c>
      <c r="F17726">
        <v>133450365</v>
      </c>
      <c r="G17726">
        <v>133450444</v>
      </c>
      <c r="H17726">
        <v>133451294</v>
      </c>
      <c r="I17726">
        <v>133451310</v>
      </c>
    </row>
    <row r="17727" spans="1:9" x14ac:dyDescent="0.2">
      <c r="A17727" s="1" t="str">
        <f>"TCF7L1"</f>
        <v>TCF7L1</v>
      </c>
      <c r="B17727" t="s">
        <v>14</v>
      </c>
      <c r="C17727" t="s">
        <v>26</v>
      </c>
      <c r="D17727" t="s">
        <v>17</v>
      </c>
      <c r="E17727" t="s">
        <v>12</v>
      </c>
      <c r="F17727">
        <v>85360499</v>
      </c>
      <c r="G17727">
        <v>85360598</v>
      </c>
      <c r="H17727">
        <v>85360669</v>
      </c>
      <c r="I17727">
        <v>85360733</v>
      </c>
    </row>
    <row r="17728" spans="1:9" x14ac:dyDescent="0.2">
      <c r="A17728" s="1" t="str">
        <f>"TCF7L2"</f>
        <v>TCF7L2</v>
      </c>
      <c r="B17728" t="s">
        <v>14</v>
      </c>
      <c r="C17728" t="s">
        <v>15</v>
      </c>
      <c r="D17728" t="s">
        <v>17</v>
      </c>
      <c r="E17728" t="s">
        <v>12</v>
      </c>
      <c r="F17728">
        <v>114709999</v>
      </c>
      <c r="G17728">
        <v>114710031</v>
      </c>
      <c r="H17728">
        <v>114710098</v>
      </c>
      <c r="I17728">
        <v>114710130</v>
      </c>
    </row>
    <row r="17729" spans="1:9" x14ac:dyDescent="0.2">
      <c r="A17729" s="1" t="str">
        <f>"TCFL5"</f>
        <v>TCFL5</v>
      </c>
      <c r="B17729" t="s">
        <v>14</v>
      </c>
      <c r="C17729" t="s">
        <v>29</v>
      </c>
      <c r="D17729" t="s">
        <v>11</v>
      </c>
      <c r="E17729" t="s">
        <v>12</v>
      </c>
      <c r="F17729">
        <v>61493117</v>
      </c>
      <c r="G17729">
        <v>61493187</v>
      </c>
      <c r="H17729">
        <v>61493191</v>
      </c>
      <c r="I17729">
        <v>61493209</v>
      </c>
    </row>
    <row r="17730" spans="1:9" x14ac:dyDescent="0.2">
      <c r="A17730" s="1" t="str">
        <f>"TCHH"</f>
        <v>TCHH</v>
      </c>
      <c r="B17730" t="s">
        <v>14</v>
      </c>
      <c r="C17730" t="s">
        <v>19</v>
      </c>
      <c r="D17730" t="s">
        <v>11</v>
      </c>
      <c r="E17730" t="s">
        <v>12</v>
      </c>
      <c r="F17730">
        <v>152087919</v>
      </c>
      <c r="G17730">
        <v>152087921</v>
      </c>
      <c r="H17730">
        <v>152087919</v>
      </c>
      <c r="I17730">
        <v>152087921</v>
      </c>
    </row>
    <row r="17731" spans="1:9" x14ac:dyDescent="0.2">
      <c r="A17731" s="1" t="str">
        <f>"TCHHL1"</f>
        <v>TCHHL1</v>
      </c>
      <c r="B17731" t="s">
        <v>14</v>
      </c>
      <c r="C17731" t="s">
        <v>19</v>
      </c>
      <c r="D17731" t="s">
        <v>11</v>
      </c>
      <c r="E17731" t="s">
        <v>12</v>
      </c>
      <c r="F17731">
        <v>152061537</v>
      </c>
      <c r="G17731">
        <v>152061542</v>
      </c>
      <c r="H17731">
        <v>152061537</v>
      </c>
      <c r="I17731">
        <v>152061542</v>
      </c>
    </row>
    <row r="17732" spans="1:9" x14ac:dyDescent="0.2">
      <c r="A17732" s="1" t="str">
        <f>"TCHP"</f>
        <v>TCHP</v>
      </c>
      <c r="B17732" t="s">
        <v>14</v>
      </c>
      <c r="C17732" t="s">
        <v>16</v>
      </c>
      <c r="D17732" t="s">
        <v>17</v>
      </c>
      <c r="E17732" t="s">
        <v>12</v>
      </c>
      <c r="F17732">
        <v>110338063</v>
      </c>
      <c r="G17732">
        <v>110338105</v>
      </c>
      <c r="H17732">
        <v>110338376</v>
      </c>
      <c r="I17732">
        <v>110338395</v>
      </c>
    </row>
    <row r="17733" spans="1:9" x14ac:dyDescent="0.2">
      <c r="A17733" s="1" t="str">
        <f>"TCIRG1"</f>
        <v>TCIRG1</v>
      </c>
      <c r="B17733" t="s">
        <v>14</v>
      </c>
      <c r="C17733" t="s">
        <v>27</v>
      </c>
      <c r="D17733" t="s">
        <v>17</v>
      </c>
      <c r="E17733" t="s">
        <v>12</v>
      </c>
      <c r="F17733">
        <v>67806467</v>
      </c>
      <c r="G17733">
        <v>67806527</v>
      </c>
      <c r="H17733">
        <v>67806439</v>
      </c>
      <c r="I17733">
        <v>67806460</v>
      </c>
    </row>
    <row r="17734" spans="1:9" x14ac:dyDescent="0.2">
      <c r="A17734" s="1" t="str">
        <f>"TCL1A"</f>
        <v>TCL1A</v>
      </c>
      <c r="B17734" t="s">
        <v>14</v>
      </c>
      <c r="C17734" t="s">
        <v>41</v>
      </c>
      <c r="D17734" t="s">
        <v>11</v>
      </c>
      <c r="E17734" t="s">
        <v>12</v>
      </c>
      <c r="F17734">
        <v>96180451</v>
      </c>
      <c r="G17734">
        <v>96180468</v>
      </c>
      <c r="H17734">
        <v>96180451</v>
      </c>
      <c r="I17734">
        <v>96180468</v>
      </c>
    </row>
    <row r="17735" spans="1:9" x14ac:dyDescent="0.2">
      <c r="A17735" s="1" t="str">
        <f>"TCL1B"</f>
        <v>TCL1B</v>
      </c>
      <c r="B17735" t="s">
        <v>14</v>
      </c>
      <c r="C17735" t="s">
        <v>41</v>
      </c>
      <c r="D17735" t="s">
        <v>17</v>
      </c>
      <c r="E17735" t="s">
        <v>12</v>
      </c>
      <c r="F17735">
        <v>96152757</v>
      </c>
      <c r="G17735">
        <v>96152769</v>
      </c>
      <c r="H17735">
        <v>96152791</v>
      </c>
      <c r="I17735">
        <v>96152796</v>
      </c>
    </row>
    <row r="17736" spans="1:9" x14ac:dyDescent="0.2">
      <c r="A17736" s="1" t="str">
        <f>"TCN1"</f>
        <v>TCN1</v>
      </c>
      <c r="B17736" t="s">
        <v>14</v>
      </c>
      <c r="C17736" t="s">
        <v>27</v>
      </c>
      <c r="D17736" t="s">
        <v>11</v>
      </c>
      <c r="E17736" t="s">
        <v>12</v>
      </c>
      <c r="F17736">
        <v>59633951</v>
      </c>
      <c r="G17736">
        <v>59633970</v>
      </c>
      <c r="H17736">
        <v>59633951</v>
      </c>
      <c r="I17736">
        <v>59633970</v>
      </c>
    </row>
    <row r="17737" spans="1:9" x14ac:dyDescent="0.2">
      <c r="A17737" s="1" t="str">
        <f>"TCN2"</f>
        <v>TCN2</v>
      </c>
      <c r="B17737" t="s">
        <v>14</v>
      </c>
      <c r="C17737" t="s">
        <v>21</v>
      </c>
      <c r="D17737" t="s">
        <v>17</v>
      </c>
      <c r="E17737" t="s">
        <v>12</v>
      </c>
      <c r="F17737">
        <v>31003154</v>
      </c>
      <c r="G17737">
        <v>31003188</v>
      </c>
      <c r="H17737">
        <v>31003261</v>
      </c>
      <c r="I17737">
        <v>31003302</v>
      </c>
    </row>
    <row r="17738" spans="1:9" x14ac:dyDescent="0.2">
      <c r="A17738" s="1" t="str">
        <f>"TCOF1"</f>
        <v>TCOF1</v>
      </c>
      <c r="B17738" t="s">
        <v>14</v>
      </c>
      <c r="C17738" t="s">
        <v>46</v>
      </c>
      <c r="D17738" t="s">
        <v>17</v>
      </c>
      <c r="E17738" t="s">
        <v>12</v>
      </c>
      <c r="F17738">
        <v>149737221</v>
      </c>
      <c r="G17738">
        <v>149737309</v>
      </c>
      <c r="H17738">
        <v>149737221</v>
      </c>
      <c r="I17738">
        <v>149737309</v>
      </c>
    </row>
    <row r="17739" spans="1:9" x14ac:dyDescent="0.2">
      <c r="A17739" s="1" t="str">
        <f>"TCP1"</f>
        <v>TCP1</v>
      </c>
      <c r="B17739" t="s">
        <v>14</v>
      </c>
      <c r="C17739" t="s">
        <v>32</v>
      </c>
      <c r="D17739" t="s">
        <v>11</v>
      </c>
      <c r="E17739" t="s">
        <v>12</v>
      </c>
      <c r="F17739">
        <v>160210613</v>
      </c>
      <c r="G17739">
        <v>160210641</v>
      </c>
      <c r="H17739">
        <v>160210692</v>
      </c>
      <c r="I17739">
        <v>160210705</v>
      </c>
    </row>
    <row r="17740" spans="1:9" x14ac:dyDescent="0.2">
      <c r="A17740" s="1" t="str">
        <f>"TCP10"</f>
        <v>TCP10</v>
      </c>
      <c r="B17740" t="s">
        <v>14</v>
      </c>
      <c r="C17740" t="s">
        <v>32</v>
      </c>
      <c r="D17740" t="s">
        <v>11</v>
      </c>
      <c r="E17740" t="s">
        <v>12</v>
      </c>
      <c r="F17740">
        <v>167796295</v>
      </c>
      <c r="G17740">
        <v>167796299</v>
      </c>
      <c r="H17740">
        <v>167796295</v>
      </c>
      <c r="I17740">
        <v>167796299</v>
      </c>
    </row>
    <row r="17741" spans="1:9" x14ac:dyDescent="0.2">
      <c r="A17741" s="1" t="str">
        <f>"TCP10L"</f>
        <v>TCP10L</v>
      </c>
      <c r="B17741" t="s">
        <v>9</v>
      </c>
      <c r="C17741" t="s">
        <v>42</v>
      </c>
      <c r="D17741" t="s">
        <v>11</v>
      </c>
      <c r="E17741" t="s">
        <v>12</v>
      </c>
      <c r="F17741">
        <v>33957805</v>
      </c>
      <c r="G17741">
        <v>33957846</v>
      </c>
      <c r="H17741">
        <v>33957805</v>
      </c>
      <c r="I17741">
        <v>33957846</v>
      </c>
    </row>
    <row r="17742" spans="1:9" x14ac:dyDescent="0.2">
      <c r="A17742" s="1" t="str">
        <f>"TCP10L"</f>
        <v>TCP10L</v>
      </c>
      <c r="B17742" t="s">
        <v>13</v>
      </c>
      <c r="C17742" t="s">
        <v>42</v>
      </c>
      <c r="D17742" t="s">
        <v>11</v>
      </c>
      <c r="E17742" t="s">
        <v>12</v>
      </c>
      <c r="F17742">
        <v>33954710</v>
      </c>
      <c r="G17742">
        <v>33954728</v>
      </c>
      <c r="H17742">
        <v>33954710</v>
      </c>
      <c r="I17742">
        <v>33954728</v>
      </c>
    </row>
    <row r="17743" spans="1:9" x14ac:dyDescent="0.2">
      <c r="A17743" s="1" t="str">
        <f>"TCP10L2"</f>
        <v>TCP10L2</v>
      </c>
      <c r="B17743" t="s">
        <v>14</v>
      </c>
      <c r="C17743" t="s">
        <v>32</v>
      </c>
      <c r="D17743" t="s">
        <v>17</v>
      </c>
      <c r="E17743" t="s">
        <v>12</v>
      </c>
      <c r="F17743">
        <v>167559872</v>
      </c>
      <c r="G17743">
        <v>167559896</v>
      </c>
      <c r="H17743">
        <v>167559872</v>
      </c>
      <c r="I17743">
        <v>167559896</v>
      </c>
    </row>
    <row r="17744" spans="1:9" x14ac:dyDescent="0.2">
      <c r="A17744" s="1" t="str">
        <f>"TCP11"</f>
        <v>TCP11</v>
      </c>
      <c r="B17744" t="s">
        <v>14</v>
      </c>
      <c r="C17744" t="s">
        <v>32</v>
      </c>
      <c r="D17744" t="s">
        <v>11</v>
      </c>
      <c r="E17744" t="s">
        <v>12</v>
      </c>
      <c r="F17744">
        <v>35109080</v>
      </c>
      <c r="G17744">
        <v>35109134</v>
      </c>
      <c r="H17744">
        <v>35109005</v>
      </c>
      <c r="I17744">
        <v>35109024</v>
      </c>
    </row>
    <row r="17745" spans="1:9" x14ac:dyDescent="0.2">
      <c r="A17745" s="1" t="str">
        <f>"TCP11L1"</f>
        <v>TCP11L1</v>
      </c>
      <c r="B17745" t="s">
        <v>14</v>
      </c>
      <c r="C17745" t="s">
        <v>27</v>
      </c>
      <c r="D17745" t="s">
        <v>17</v>
      </c>
      <c r="E17745" t="s">
        <v>12</v>
      </c>
      <c r="F17745">
        <v>33061107</v>
      </c>
      <c r="G17745">
        <v>33061175</v>
      </c>
      <c r="H17745">
        <v>33061543</v>
      </c>
      <c r="I17745">
        <v>33061585</v>
      </c>
    </row>
    <row r="17746" spans="1:9" x14ac:dyDescent="0.2">
      <c r="A17746" s="1" t="str">
        <f>"TCP11L2"</f>
        <v>TCP11L2</v>
      </c>
      <c r="B17746" t="s">
        <v>14</v>
      </c>
      <c r="C17746" t="s">
        <v>16</v>
      </c>
      <c r="D17746" t="s">
        <v>17</v>
      </c>
      <c r="E17746" t="s">
        <v>12</v>
      </c>
      <c r="F17746">
        <v>106696583</v>
      </c>
      <c r="G17746">
        <v>106696651</v>
      </c>
      <c r="H17746">
        <v>106696503</v>
      </c>
      <c r="I17746">
        <v>106696557</v>
      </c>
    </row>
    <row r="17747" spans="1:9" x14ac:dyDescent="0.2">
      <c r="A17747" s="1" t="str">
        <f>"TCP11X1"</f>
        <v>TCP11X1</v>
      </c>
      <c r="B17747" t="s">
        <v>1700</v>
      </c>
      <c r="C17747" t="s">
        <v>37</v>
      </c>
      <c r="D17747" t="s">
        <v>17</v>
      </c>
      <c r="E17747" t="s">
        <v>20</v>
      </c>
      <c r="F17747">
        <v>101470279</v>
      </c>
      <c r="G17747">
        <v>101470279</v>
      </c>
      <c r="H17747">
        <v>101470279</v>
      </c>
      <c r="I17747">
        <v>101470279</v>
      </c>
    </row>
    <row r="17748" spans="1:9" x14ac:dyDescent="0.2">
      <c r="A17748" s="1" t="str">
        <f>"TCP11X2"</f>
        <v>TCP11X2</v>
      </c>
      <c r="B17748" t="s">
        <v>1701</v>
      </c>
      <c r="C17748" t="s">
        <v>37</v>
      </c>
      <c r="D17748" t="s">
        <v>11</v>
      </c>
      <c r="E17748" t="s">
        <v>20</v>
      </c>
      <c r="F17748">
        <v>101726731</v>
      </c>
      <c r="G17748">
        <v>101726731</v>
      </c>
      <c r="H17748">
        <v>101726731</v>
      </c>
      <c r="I17748">
        <v>101726731</v>
      </c>
    </row>
    <row r="17749" spans="1:9" x14ac:dyDescent="0.2">
      <c r="A17749" s="1" t="str">
        <f>"TCTA"</f>
        <v>TCTA</v>
      </c>
      <c r="B17749" t="s">
        <v>14</v>
      </c>
      <c r="C17749" t="s">
        <v>22</v>
      </c>
      <c r="D17749" t="s">
        <v>17</v>
      </c>
      <c r="E17749" t="s">
        <v>12</v>
      </c>
      <c r="F17749">
        <v>49449818</v>
      </c>
      <c r="G17749">
        <v>49449862</v>
      </c>
      <c r="H17749">
        <v>49449636</v>
      </c>
      <c r="I17749">
        <v>49449652</v>
      </c>
    </row>
    <row r="17750" spans="1:9" x14ac:dyDescent="0.2">
      <c r="A17750" s="1" t="str">
        <f>"TCTE1"</f>
        <v>TCTE1</v>
      </c>
      <c r="B17750" t="s">
        <v>14</v>
      </c>
      <c r="C17750" t="s">
        <v>32</v>
      </c>
      <c r="D17750" t="s">
        <v>11</v>
      </c>
      <c r="E17750" t="s">
        <v>12</v>
      </c>
      <c r="F17750">
        <v>44265411</v>
      </c>
      <c r="G17750">
        <v>44265445</v>
      </c>
      <c r="H17750">
        <v>44265446</v>
      </c>
      <c r="I17750">
        <v>44265462</v>
      </c>
    </row>
    <row r="17751" spans="1:9" x14ac:dyDescent="0.2">
      <c r="A17751" s="1" t="str">
        <f>"TCTE3"</f>
        <v>TCTE3</v>
      </c>
      <c r="B17751" t="s">
        <v>14</v>
      </c>
      <c r="C17751" t="s">
        <v>32</v>
      </c>
      <c r="D17751" t="s">
        <v>11</v>
      </c>
      <c r="E17751" t="s">
        <v>12</v>
      </c>
      <c r="F17751">
        <v>170151603</v>
      </c>
      <c r="G17751">
        <v>170151713</v>
      </c>
      <c r="H17751">
        <v>170151559</v>
      </c>
      <c r="I17751">
        <v>170151564</v>
      </c>
    </row>
    <row r="17752" spans="1:9" x14ac:dyDescent="0.2">
      <c r="A17752" s="1" t="str">
        <f>"TCTEX1D1"</f>
        <v>TCTEX1D1</v>
      </c>
      <c r="B17752" t="s">
        <v>14</v>
      </c>
      <c r="C17752" t="s">
        <v>19</v>
      </c>
      <c r="D17752" t="s">
        <v>17</v>
      </c>
      <c r="E17752" t="s">
        <v>12</v>
      </c>
      <c r="F17752">
        <v>67218124</v>
      </c>
      <c r="G17752">
        <v>67218159</v>
      </c>
      <c r="H17752">
        <v>67218160</v>
      </c>
      <c r="I17752">
        <v>67218185</v>
      </c>
    </row>
    <row r="17753" spans="1:9" x14ac:dyDescent="0.2">
      <c r="A17753" s="1" t="str">
        <f>"TCTEX1D2"</f>
        <v>TCTEX1D2</v>
      </c>
      <c r="B17753" t="s">
        <v>14</v>
      </c>
      <c r="C17753" t="s">
        <v>22</v>
      </c>
      <c r="D17753" t="s">
        <v>11</v>
      </c>
      <c r="E17753" t="s">
        <v>12</v>
      </c>
      <c r="F17753">
        <v>196045042</v>
      </c>
      <c r="G17753">
        <v>196045121</v>
      </c>
      <c r="H17753">
        <v>196045127</v>
      </c>
      <c r="I17753">
        <v>196045164</v>
      </c>
    </row>
    <row r="17754" spans="1:9" x14ac:dyDescent="0.2">
      <c r="A17754" s="1" t="str">
        <f>"TCTEX1D4"</f>
        <v>TCTEX1D4</v>
      </c>
      <c r="B17754" t="s">
        <v>14</v>
      </c>
      <c r="C17754" t="s">
        <v>19</v>
      </c>
      <c r="D17754" t="s">
        <v>11</v>
      </c>
      <c r="E17754" t="s">
        <v>12</v>
      </c>
      <c r="F17754">
        <v>45273015</v>
      </c>
      <c r="G17754">
        <v>45273052</v>
      </c>
      <c r="H17754">
        <v>45272951</v>
      </c>
      <c r="I17754">
        <v>45272962</v>
      </c>
    </row>
    <row r="17755" spans="1:9" x14ac:dyDescent="0.2">
      <c r="A17755" s="1" t="str">
        <f>"TCTN1"</f>
        <v>TCTN1</v>
      </c>
      <c r="B17755" t="s">
        <v>14</v>
      </c>
      <c r="C17755" t="s">
        <v>16</v>
      </c>
      <c r="D17755" t="s">
        <v>17</v>
      </c>
      <c r="E17755" t="s">
        <v>12</v>
      </c>
      <c r="F17755">
        <v>111051902</v>
      </c>
      <c r="G17755">
        <v>111051975</v>
      </c>
      <c r="H17755">
        <v>111051862</v>
      </c>
      <c r="I17755">
        <v>111051873</v>
      </c>
    </row>
    <row r="17756" spans="1:9" x14ac:dyDescent="0.2">
      <c r="A17756" s="1" t="str">
        <f>"TCTN2"</f>
        <v>TCTN2</v>
      </c>
      <c r="B17756" t="s">
        <v>14</v>
      </c>
      <c r="C17756" t="s">
        <v>16</v>
      </c>
      <c r="D17756" t="s">
        <v>17</v>
      </c>
      <c r="E17756" t="s">
        <v>12</v>
      </c>
      <c r="F17756">
        <v>124155652</v>
      </c>
      <c r="G17756">
        <v>124155689</v>
      </c>
      <c r="H17756">
        <v>124155719</v>
      </c>
      <c r="I17756">
        <v>124155735</v>
      </c>
    </row>
    <row r="17757" spans="1:9" x14ac:dyDescent="0.2">
      <c r="A17757" s="1" t="str">
        <f>"TCTN3"</f>
        <v>TCTN3</v>
      </c>
      <c r="B17757" t="s">
        <v>14</v>
      </c>
      <c r="C17757" t="s">
        <v>15</v>
      </c>
      <c r="D17757" t="s">
        <v>11</v>
      </c>
      <c r="E17757" t="s">
        <v>12</v>
      </c>
      <c r="F17757">
        <v>97453650</v>
      </c>
      <c r="G17757">
        <v>97453692</v>
      </c>
      <c r="H17757">
        <v>97453693</v>
      </c>
      <c r="I17757">
        <v>97453726</v>
      </c>
    </row>
    <row r="17758" spans="1:9" x14ac:dyDescent="0.2">
      <c r="A17758" s="1" t="str">
        <f>"TDG"</f>
        <v>TDG</v>
      </c>
      <c r="B17758" t="s">
        <v>14</v>
      </c>
      <c r="C17758" t="s">
        <v>16</v>
      </c>
      <c r="D17758" t="s">
        <v>17</v>
      </c>
      <c r="E17758" t="s">
        <v>12</v>
      </c>
      <c r="F17758">
        <v>104359641</v>
      </c>
      <c r="G17758">
        <v>104359689</v>
      </c>
      <c r="H17758">
        <v>104359614</v>
      </c>
      <c r="I17758">
        <v>104359628</v>
      </c>
    </row>
    <row r="17759" spans="1:9" x14ac:dyDescent="0.2">
      <c r="A17759" s="1" t="str">
        <f>"TDGF1"</f>
        <v>TDGF1</v>
      </c>
      <c r="B17759" t="s">
        <v>14</v>
      </c>
      <c r="C17759" t="s">
        <v>22</v>
      </c>
      <c r="D17759" t="s">
        <v>17</v>
      </c>
      <c r="E17759" t="s">
        <v>12</v>
      </c>
      <c r="F17759">
        <v>46619270</v>
      </c>
      <c r="G17759">
        <v>46619296</v>
      </c>
      <c r="H17759">
        <v>46619270</v>
      </c>
      <c r="I17759">
        <v>46619296</v>
      </c>
    </row>
    <row r="17760" spans="1:9" x14ac:dyDescent="0.2">
      <c r="A17760" s="1" t="str">
        <f>"TDO2"</f>
        <v>TDO2</v>
      </c>
      <c r="B17760" t="s">
        <v>14</v>
      </c>
      <c r="C17760" t="s">
        <v>23</v>
      </c>
      <c r="D17760" t="s">
        <v>17</v>
      </c>
      <c r="E17760" t="s">
        <v>12</v>
      </c>
      <c r="F17760">
        <v>156824840</v>
      </c>
      <c r="G17760">
        <v>156824858</v>
      </c>
      <c r="H17760">
        <v>156824840</v>
      </c>
      <c r="I17760">
        <v>156824858</v>
      </c>
    </row>
    <row r="17761" spans="1:9" x14ac:dyDescent="0.2">
      <c r="A17761" s="1" t="str">
        <f>"TDP1"</f>
        <v>TDP1</v>
      </c>
      <c r="B17761" t="s">
        <v>14</v>
      </c>
      <c r="C17761" t="s">
        <v>41</v>
      </c>
      <c r="D17761" t="s">
        <v>17</v>
      </c>
      <c r="E17761" t="s">
        <v>12</v>
      </c>
      <c r="F17761">
        <v>90422239</v>
      </c>
      <c r="G17761">
        <v>90422346</v>
      </c>
      <c r="H17761">
        <v>90422874</v>
      </c>
      <c r="I17761">
        <v>90422917</v>
      </c>
    </row>
    <row r="17762" spans="1:9" x14ac:dyDescent="0.2">
      <c r="A17762" s="1" t="str">
        <f>"TDP2"</f>
        <v>TDP2</v>
      </c>
      <c r="B17762" t="s">
        <v>14</v>
      </c>
      <c r="C17762" t="s">
        <v>32</v>
      </c>
      <c r="D17762" t="s">
        <v>11</v>
      </c>
      <c r="E17762" t="s">
        <v>12</v>
      </c>
      <c r="F17762">
        <v>24667082</v>
      </c>
      <c r="G17762">
        <v>24667140</v>
      </c>
      <c r="H17762">
        <v>24666986</v>
      </c>
      <c r="I17762">
        <v>24667030</v>
      </c>
    </row>
    <row r="17763" spans="1:9" x14ac:dyDescent="0.2">
      <c r="A17763" s="1" t="str">
        <f>"TDRD1"</f>
        <v>TDRD1</v>
      </c>
      <c r="B17763" t="s">
        <v>14</v>
      </c>
      <c r="C17763" t="s">
        <v>15</v>
      </c>
      <c r="D17763" t="s">
        <v>17</v>
      </c>
      <c r="E17763" t="s">
        <v>12</v>
      </c>
      <c r="F17763">
        <v>115939008</v>
      </c>
      <c r="G17763">
        <v>115939073</v>
      </c>
      <c r="H17763">
        <v>115939099</v>
      </c>
      <c r="I17763">
        <v>115939117</v>
      </c>
    </row>
    <row r="17764" spans="1:9" x14ac:dyDescent="0.2">
      <c r="A17764" s="1" t="str">
        <f>"TDRD10"</f>
        <v>TDRD10</v>
      </c>
      <c r="B17764" t="s">
        <v>14</v>
      </c>
      <c r="C17764" t="s">
        <v>19</v>
      </c>
      <c r="D17764" t="s">
        <v>17</v>
      </c>
      <c r="E17764" t="s">
        <v>12</v>
      </c>
      <c r="F17764">
        <v>154475446</v>
      </c>
      <c r="G17764">
        <v>154475458</v>
      </c>
      <c r="H17764">
        <v>154474689</v>
      </c>
      <c r="I17764">
        <v>154474700</v>
      </c>
    </row>
    <row r="17765" spans="1:9" x14ac:dyDescent="0.2">
      <c r="A17765" s="1" t="str">
        <f>"TDRD12"</f>
        <v>TDRD12</v>
      </c>
      <c r="B17765" t="s">
        <v>14</v>
      </c>
      <c r="C17765" t="s">
        <v>10</v>
      </c>
      <c r="D17765" t="s">
        <v>17</v>
      </c>
      <c r="E17765" t="s">
        <v>12</v>
      </c>
      <c r="F17765">
        <v>33210645</v>
      </c>
      <c r="G17765">
        <v>33210706</v>
      </c>
      <c r="H17765">
        <v>33210715</v>
      </c>
      <c r="I17765">
        <v>33210725</v>
      </c>
    </row>
    <row r="17766" spans="1:9" x14ac:dyDescent="0.2">
      <c r="A17766" s="1" t="str">
        <f>"TDRD15"</f>
        <v>TDRD15</v>
      </c>
      <c r="B17766" t="s">
        <v>14</v>
      </c>
      <c r="C17766" t="s">
        <v>26</v>
      </c>
      <c r="D17766" t="s">
        <v>17</v>
      </c>
      <c r="E17766" t="s">
        <v>67</v>
      </c>
      <c r="F17766">
        <v>21346835</v>
      </c>
      <c r="G17766">
        <v>21346852</v>
      </c>
      <c r="H17766">
        <v>21346835</v>
      </c>
      <c r="I17766">
        <v>21346852</v>
      </c>
    </row>
    <row r="17767" spans="1:9" x14ac:dyDescent="0.2">
      <c r="A17767" s="1" t="str">
        <f>"TDRD3"</f>
        <v>TDRD3</v>
      </c>
      <c r="B17767" t="s">
        <v>14</v>
      </c>
      <c r="C17767" t="s">
        <v>39</v>
      </c>
      <c r="D17767" t="s">
        <v>17</v>
      </c>
      <c r="E17767" t="s">
        <v>12</v>
      </c>
      <c r="F17767">
        <v>60971080</v>
      </c>
      <c r="G17767">
        <v>60971161</v>
      </c>
      <c r="H17767">
        <v>60971348</v>
      </c>
      <c r="I17767">
        <v>60971372</v>
      </c>
    </row>
    <row r="17768" spans="1:9" x14ac:dyDescent="0.2">
      <c r="A17768" s="1" t="str">
        <f>"TDRD5"</f>
        <v>TDRD5</v>
      </c>
      <c r="B17768" t="s">
        <v>14</v>
      </c>
      <c r="C17768" t="s">
        <v>19</v>
      </c>
      <c r="D17768" t="s">
        <v>17</v>
      </c>
      <c r="E17768" t="s">
        <v>12</v>
      </c>
      <c r="F17768">
        <v>179560979</v>
      </c>
      <c r="G17768">
        <v>179560998</v>
      </c>
      <c r="H17768">
        <v>179560955</v>
      </c>
      <c r="I17768">
        <v>179560974</v>
      </c>
    </row>
    <row r="17769" spans="1:9" x14ac:dyDescent="0.2">
      <c r="A17769" s="1" t="str">
        <f>"TDRD6"</f>
        <v>TDRD6</v>
      </c>
      <c r="B17769" t="s">
        <v>14</v>
      </c>
      <c r="C17769" t="s">
        <v>32</v>
      </c>
      <c r="D17769" t="s">
        <v>17</v>
      </c>
      <c r="E17769" t="s">
        <v>12</v>
      </c>
      <c r="F17769">
        <v>46655631</v>
      </c>
      <c r="G17769">
        <v>46655647</v>
      </c>
      <c r="H17769">
        <v>46655613</v>
      </c>
      <c r="I17769">
        <v>46655626</v>
      </c>
    </row>
    <row r="17770" spans="1:9" x14ac:dyDescent="0.2">
      <c r="A17770" s="1" t="str">
        <f>"TDRD7"</f>
        <v>TDRD7</v>
      </c>
      <c r="B17770" t="s">
        <v>14</v>
      </c>
      <c r="C17770" t="s">
        <v>24</v>
      </c>
      <c r="D17770" t="s">
        <v>17</v>
      </c>
      <c r="E17770" t="s">
        <v>12</v>
      </c>
      <c r="F17770">
        <v>100174344</v>
      </c>
      <c r="G17770">
        <v>100174474</v>
      </c>
      <c r="H17770">
        <v>100174246</v>
      </c>
      <c r="I17770">
        <v>100174266</v>
      </c>
    </row>
    <row r="17771" spans="1:9" x14ac:dyDescent="0.2">
      <c r="A17771" s="1" t="str">
        <f>"TDRD9"</f>
        <v>TDRD9</v>
      </c>
      <c r="B17771" t="s">
        <v>14</v>
      </c>
      <c r="C17771" t="s">
        <v>41</v>
      </c>
      <c r="D17771" t="s">
        <v>17</v>
      </c>
      <c r="E17771" t="s">
        <v>12</v>
      </c>
      <c r="F17771">
        <v>104394770</v>
      </c>
      <c r="G17771">
        <v>104394820</v>
      </c>
      <c r="H17771">
        <v>104394770</v>
      </c>
      <c r="I17771">
        <v>104394820</v>
      </c>
    </row>
    <row r="17772" spans="1:9" x14ac:dyDescent="0.2">
      <c r="A17772" s="1" t="str">
        <f>"TDRKH"</f>
        <v>TDRKH</v>
      </c>
      <c r="B17772" t="s">
        <v>14</v>
      </c>
      <c r="C17772" t="s">
        <v>19</v>
      </c>
      <c r="D17772" t="s">
        <v>11</v>
      </c>
      <c r="E17772" t="s">
        <v>12</v>
      </c>
      <c r="F17772">
        <v>151762943</v>
      </c>
      <c r="G17772">
        <v>151763012</v>
      </c>
      <c r="H17772">
        <v>151762900</v>
      </c>
      <c r="I17772">
        <v>151762910</v>
      </c>
    </row>
    <row r="17773" spans="1:9" x14ac:dyDescent="0.2">
      <c r="A17773" s="1" t="str">
        <f>"TDRP"</f>
        <v>TDRP</v>
      </c>
      <c r="B17773" t="s">
        <v>14</v>
      </c>
      <c r="C17773" t="s">
        <v>30</v>
      </c>
      <c r="D17773" t="s">
        <v>11</v>
      </c>
      <c r="E17773" t="s">
        <v>12</v>
      </c>
      <c r="F17773">
        <v>494824</v>
      </c>
      <c r="G17773">
        <v>494894</v>
      </c>
      <c r="H17773">
        <v>495476</v>
      </c>
      <c r="I17773">
        <v>495489</v>
      </c>
    </row>
    <row r="17774" spans="1:9" x14ac:dyDescent="0.2">
      <c r="A17774" s="1" t="str">
        <f>"TEAD1"</f>
        <v>TEAD1</v>
      </c>
      <c r="B17774" t="s">
        <v>14</v>
      </c>
      <c r="C17774" t="s">
        <v>27</v>
      </c>
      <c r="D17774" t="s">
        <v>17</v>
      </c>
      <c r="E17774" t="s">
        <v>12</v>
      </c>
      <c r="F17774">
        <v>12695944</v>
      </c>
      <c r="G17774">
        <v>12695989</v>
      </c>
      <c r="H17774">
        <v>12696002</v>
      </c>
      <c r="I17774">
        <v>12696022</v>
      </c>
    </row>
    <row r="17775" spans="1:9" x14ac:dyDescent="0.2">
      <c r="A17775" s="1" t="str">
        <f>"TEAD2"</f>
        <v>TEAD2</v>
      </c>
      <c r="B17775" t="s">
        <v>14</v>
      </c>
      <c r="C17775" t="s">
        <v>10</v>
      </c>
      <c r="D17775" t="s">
        <v>11</v>
      </c>
      <c r="E17775" t="s">
        <v>12</v>
      </c>
      <c r="F17775">
        <v>49865646</v>
      </c>
      <c r="G17775">
        <v>49865718</v>
      </c>
      <c r="H17775">
        <v>49864746</v>
      </c>
      <c r="I17775">
        <v>49864780</v>
      </c>
    </row>
    <row r="17776" spans="1:9" x14ac:dyDescent="0.2">
      <c r="A17776" s="1" t="str">
        <f>"TEAD3"</f>
        <v>TEAD3</v>
      </c>
      <c r="B17776" t="s">
        <v>14</v>
      </c>
      <c r="C17776" t="s">
        <v>32</v>
      </c>
      <c r="D17776" t="s">
        <v>11</v>
      </c>
      <c r="E17776" t="s">
        <v>12</v>
      </c>
      <c r="F17776">
        <v>35464817</v>
      </c>
      <c r="G17776">
        <v>35464894</v>
      </c>
      <c r="H17776">
        <v>35464817</v>
      </c>
      <c r="I17776">
        <v>35464894</v>
      </c>
    </row>
    <row r="17777" spans="1:9" x14ac:dyDescent="0.2">
      <c r="A17777" s="1" t="str">
        <f>"TEAD4"</f>
        <v>TEAD4</v>
      </c>
      <c r="B17777" t="s">
        <v>14</v>
      </c>
      <c r="C17777" t="s">
        <v>16</v>
      </c>
      <c r="D17777" t="s">
        <v>17</v>
      </c>
      <c r="E17777" t="s">
        <v>12</v>
      </c>
      <c r="F17777">
        <v>3068544</v>
      </c>
      <c r="G17777">
        <v>3068597</v>
      </c>
      <c r="H17777">
        <v>3069037</v>
      </c>
      <c r="I17777">
        <v>3069119</v>
      </c>
    </row>
    <row r="17778" spans="1:9" x14ac:dyDescent="0.2">
      <c r="A17778" s="1" t="str">
        <f>"TEC"</f>
        <v>TEC</v>
      </c>
      <c r="B17778" t="s">
        <v>14</v>
      </c>
      <c r="C17778" t="s">
        <v>23</v>
      </c>
      <c r="D17778" t="s">
        <v>11</v>
      </c>
      <c r="E17778" t="s">
        <v>12</v>
      </c>
      <c r="F17778">
        <v>48271802</v>
      </c>
      <c r="G17778">
        <v>48271874</v>
      </c>
      <c r="H17778">
        <v>48271880</v>
      </c>
      <c r="I17778">
        <v>48271887</v>
      </c>
    </row>
    <row r="17779" spans="1:9" x14ac:dyDescent="0.2">
      <c r="A17779" s="1" t="str">
        <f>"TECPR1"</f>
        <v>TECPR1</v>
      </c>
      <c r="B17779" t="s">
        <v>14</v>
      </c>
      <c r="C17779" t="s">
        <v>33</v>
      </c>
      <c r="D17779" t="s">
        <v>11</v>
      </c>
      <c r="E17779" t="s">
        <v>12</v>
      </c>
      <c r="F17779">
        <v>97881466</v>
      </c>
      <c r="G17779">
        <v>97881552</v>
      </c>
      <c r="H17779">
        <v>97881192</v>
      </c>
      <c r="I17779">
        <v>97881201</v>
      </c>
    </row>
    <row r="17780" spans="1:9" x14ac:dyDescent="0.2">
      <c r="A17780" s="1" t="str">
        <f>"TECPR2"</f>
        <v>TECPR2</v>
      </c>
      <c r="B17780" t="s">
        <v>14</v>
      </c>
      <c r="C17780" t="s">
        <v>41</v>
      </c>
      <c r="D17780" t="s">
        <v>17</v>
      </c>
      <c r="E17780" t="s">
        <v>12</v>
      </c>
      <c r="F17780">
        <v>102829381</v>
      </c>
      <c r="G17780">
        <v>102829431</v>
      </c>
      <c r="H17780">
        <v>102829269</v>
      </c>
      <c r="I17780">
        <v>102829295</v>
      </c>
    </row>
    <row r="17781" spans="1:9" x14ac:dyDescent="0.2">
      <c r="A17781" s="1" t="str">
        <f>"TECR"</f>
        <v>TECR</v>
      </c>
      <c r="B17781" t="s">
        <v>14</v>
      </c>
      <c r="C17781" t="s">
        <v>10</v>
      </c>
      <c r="D17781" t="s">
        <v>17</v>
      </c>
      <c r="E17781" t="s">
        <v>12</v>
      </c>
      <c r="F17781">
        <v>14640392</v>
      </c>
      <c r="G17781">
        <v>14640420</v>
      </c>
      <c r="H17781">
        <v>14640427</v>
      </c>
      <c r="I17781">
        <v>14640448</v>
      </c>
    </row>
    <row r="17782" spans="1:9" x14ac:dyDescent="0.2">
      <c r="A17782" s="1" t="str">
        <f>"TECRL"</f>
        <v>TECRL</v>
      </c>
      <c r="B17782" t="s">
        <v>14</v>
      </c>
      <c r="C17782" t="s">
        <v>23</v>
      </c>
      <c r="D17782" t="s">
        <v>11</v>
      </c>
      <c r="E17782" t="s">
        <v>12</v>
      </c>
      <c r="F17782">
        <v>65275100</v>
      </c>
      <c r="G17782">
        <v>65275121</v>
      </c>
      <c r="H17782">
        <v>65275162</v>
      </c>
      <c r="I17782">
        <v>65275183</v>
      </c>
    </row>
    <row r="17783" spans="1:9" x14ac:dyDescent="0.2">
      <c r="A17783" s="1" t="str">
        <f>"TECTA"</f>
        <v>TECTA</v>
      </c>
      <c r="B17783" t="s">
        <v>1702</v>
      </c>
      <c r="C17783" t="s">
        <v>27</v>
      </c>
      <c r="D17783" t="s">
        <v>17</v>
      </c>
      <c r="E17783" t="s">
        <v>20</v>
      </c>
      <c r="F17783">
        <v>120973374</v>
      </c>
      <c r="G17783">
        <v>120973374</v>
      </c>
      <c r="H17783">
        <v>120973374</v>
      </c>
      <c r="I17783">
        <v>120973374</v>
      </c>
    </row>
    <row r="17784" spans="1:9" x14ac:dyDescent="0.2">
      <c r="A17784" s="1" t="str">
        <f>"TECTA"</f>
        <v>TECTA</v>
      </c>
      <c r="B17784" t="s">
        <v>1703</v>
      </c>
      <c r="C17784" t="s">
        <v>27</v>
      </c>
      <c r="D17784" t="s">
        <v>17</v>
      </c>
      <c r="E17784" t="s">
        <v>20</v>
      </c>
      <c r="F17784">
        <v>120971881</v>
      </c>
      <c r="G17784">
        <v>120971881</v>
      </c>
      <c r="H17784">
        <v>120971881</v>
      </c>
      <c r="I17784">
        <v>120971881</v>
      </c>
    </row>
    <row r="17785" spans="1:9" x14ac:dyDescent="0.2">
      <c r="A17785" s="1" t="str">
        <f>"TECTB"</f>
        <v>TECTB</v>
      </c>
      <c r="B17785" t="s">
        <v>14</v>
      </c>
      <c r="C17785" t="s">
        <v>15</v>
      </c>
      <c r="D17785" t="s">
        <v>17</v>
      </c>
      <c r="E17785" t="s">
        <v>12</v>
      </c>
      <c r="F17785">
        <v>114043157</v>
      </c>
      <c r="G17785">
        <v>114043159</v>
      </c>
      <c r="H17785">
        <v>114043157</v>
      </c>
      <c r="I17785">
        <v>114043159</v>
      </c>
    </row>
    <row r="17786" spans="1:9" x14ac:dyDescent="0.2">
      <c r="A17786" s="1" t="str">
        <f>"TEDDM1"</f>
        <v>TEDDM1</v>
      </c>
      <c r="B17786" t="s">
        <v>14</v>
      </c>
      <c r="C17786" t="s">
        <v>19</v>
      </c>
      <c r="D17786" t="s">
        <v>11</v>
      </c>
      <c r="E17786" t="s">
        <v>12</v>
      </c>
      <c r="F17786">
        <v>182369766</v>
      </c>
      <c r="G17786">
        <v>182369777</v>
      </c>
      <c r="H17786">
        <v>182369795</v>
      </c>
      <c r="I17786">
        <v>182369805</v>
      </c>
    </row>
    <row r="17787" spans="1:9" x14ac:dyDescent="0.2">
      <c r="A17787" s="1" t="str">
        <f>"TEF"</f>
        <v>TEF</v>
      </c>
      <c r="B17787" t="s">
        <v>9</v>
      </c>
      <c r="C17787" t="s">
        <v>21</v>
      </c>
      <c r="D17787" t="s">
        <v>17</v>
      </c>
      <c r="E17787" t="s">
        <v>12</v>
      </c>
      <c r="F17787">
        <v>41777927</v>
      </c>
      <c r="G17787">
        <v>41777971</v>
      </c>
      <c r="H17787">
        <v>41777927</v>
      </c>
      <c r="I17787">
        <v>41777971</v>
      </c>
    </row>
    <row r="17788" spans="1:9" x14ac:dyDescent="0.2">
      <c r="A17788" s="1" t="str">
        <f>"TEF"</f>
        <v>TEF</v>
      </c>
      <c r="B17788" t="s">
        <v>13</v>
      </c>
      <c r="C17788" t="s">
        <v>21</v>
      </c>
      <c r="D17788" t="s">
        <v>17</v>
      </c>
      <c r="E17788" t="s">
        <v>12</v>
      </c>
      <c r="F17788">
        <v>41763452</v>
      </c>
      <c r="G17788">
        <v>41763466</v>
      </c>
      <c r="H17788">
        <v>41763452</v>
      </c>
      <c r="I17788">
        <v>41763466</v>
      </c>
    </row>
    <row r="17789" spans="1:9" x14ac:dyDescent="0.2">
      <c r="A17789" s="1" t="str">
        <f>"TEFM"</f>
        <v>TEFM</v>
      </c>
      <c r="B17789" t="s">
        <v>14</v>
      </c>
      <c r="C17789" t="s">
        <v>28</v>
      </c>
      <c r="D17789" t="s">
        <v>11</v>
      </c>
      <c r="E17789" t="s">
        <v>12</v>
      </c>
      <c r="F17789">
        <v>29233221</v>
      </c>
      <c r="G17789">
        <v>29233272</v>
      </c>
      <c r="H17789">
        <v>29233221</v>
      </c>
      <c r="I17789">
        <v>29233272</v>
      </c>
    </row>
    <row r="17790" spans="1:9" x14ac:dyDescent="0.2">
      <c r="A17790" s="1" t="str">
        <f>"TEK"</f>
        <v>TEK</v>
      </c>
      <c r="B17790" t="s">
        <v>14</v>
      </c>
      <c r="C17790" t="s">
        <v>24</v>
      </c>
      <c r="D17790" t="s">
        <v>17</v>
      </c>
      <c r="E17790" t="s">
        <v>12</v>
      </c>
      <c r="F17790">
        <v>27109392</v>
      </c>
      <c r="G17790">
        <v>27109435</v>
      </c>
      <c r="H17790">
        <v>27109440</v>
      </c>
      <c r="I17790">
        <v>27109456</v>
      </c>
    </row>
    <row r="17791" spans="1:9" x14ac:dyDescent="0.2">
      <c r="A17791" s="1" t="str">
        <f>"TEKT1"</f>
        <v>TEKT1</v>
      </c>
      <c r="B17791" t="s">
        <v>14</v>
      </c>
      <c r="C17791" t="s">
        <v>28</v>
      </c>
      <c r="D17791" t="s">
        <v>11</v>
      </c>
      <c r="E17791" t="s">
        <v>12</v>
      </c>
      <c r="F17791">
        <v>6735035</v>
      </c>
      <c r="G17791">
        <v>6735068</v>
      </c>
      <c r="H17791">
        <v>6735012</v>
      </c>
      <c r="I17791">
        <v>6735030</v>
      </c>
    </row>
    <row r="17792" spans="1:9" x14ac:dyDescent="0.2">
      <c r="A17792" s="1" t="str">
        <f>"TEKT2"</f>
        <v>TEKT2</v>
      </c>
      <c r="B17792" t="s">
        <v>14</v>
      </c>
      <c r="C17792" t="s">
        <v>19</v>
      </c>
      <c r="D17792" t="s">
        <v>17</v>
      </c>
      <c r="E17792" t="s">
        <v>12</v>
      </c>
      <c r="F17792">
        <v>36549680</v>
      </c>
      <c r="G17792">
        <v>36549720</v>
      </c>
      <c r="H17792">
        <v>36549993</v>
      </c>
      <c r="I17792">
        <v>36550009</v>
      </c>
    </row>
    <row r="17793" spans="1:9" x14ac:dyDescent="0.2">
      <c r="A17793" s="1" t="str">
        <f>"TEKT3"</f>
        <v>TEKT3</v>
      </c>
      <c r="B17793" t="s">
        <v>14</v>
      </c>
      <c r="C17793" t="s">
        <v>28</v>
      </c>
      <c r="D17793" t="s">
        <v>11</v>
      </c>
      <c r="E17793" t="s">
        <v>12</v>
      </c>
      <c r="F17793">
        <v>15244894</v>
      </c>
      <c r="G17793">
        <v>15244938</v>
      </c>
      <c r="H17793">
        <v>15244894</v>
      </c>
      <c r="I17793">
        <v>15244938</v>
      </c>
    </row>
    <row r="17794" spans="1:9" x14ac:dyDescent="0.2">
      <c r="A17794" s="1" t="str">
        <f>"TEKT4"</f>
        <v>TEKT4</v>
      </c>
      <c r="B17794" t="s">
        <v>14</v>
      </c>
      <c r="C17794" t="s">
        <v>26</v>
      </c>
      <c r="D17794" t="s">
        <v>17</v>
      </c>
      <c r="E17794" t="s">
        <v>12</v>
      </c>
      <c r="F17794">
        <v>95537170</v>
      </c>
      <c r="G17794">
        <v>95537188</v>
      </c>
      <c r="H17794">
        <v>95537248</v>
      </c>
      <c r="I17794">
        <v>95537259</v>
      </c>
    </row>
    <row r="17795" spans="1:9" x14ac:dyDescent="0.2">
      <c r="A17795" s="1" t="str">
        <f>"TEKT5"</f>
        <v>TEKT5</v>
      </c>
      <c r="B17795" t="s">
        <v>14</v>
      </c>
      <c r="C17795" t="s">
        <v>31</v>
      </c>
      <c r="D17795" t="s">
        <v>11</v>
      </c>
      <c r="E17795" t="s">
        <v>12</v>
      </c>
      <c r="F17795">
        <v>10788770</v>
      </c>
      <c r="G17795">
        <v>10788803</v>
      </c>
      <c r="H17795">
        <v>10788754</v>
      </c>
      <c r="I17795">
        <v>10788768</v>
      </c>
    </row>
    <row r="17796" spans="1:9" x14ac:dyDescent="0.2">
      <c r="A17796" s="1" t="str">
        <f>"TELO2"</f>
        <v>TELO2</v>
      </c>
      <c r="B17796" t="s">
        <v>14</v>
      </c>
      <c r="C17796" t="s">
        <v>31</v>
      </c>
      <c r="D17796" t="s">
        <v>17</v>
      </c>
      <c r="E17796" t="s">
        <v>12</v>
      </c>
      <c r="F17796">
        <v>1543337</v>
      </c>
      <c r="G17796">
        <v>1543409</v>
      </c>
      <c r="H17796">
        <v>1543542</v>
      </c>
      <c r="I17796">
        <v>1543587</v>
      </c>
    </row>
    <row r="17797" spans="1:9" x14ac:dyDescent="0.2">
      <c r="A17797" s="1" t="str">
        <f>"TEN1"</f>
        <v>TEN1</v>
      </c>
      <c r="B17797" t="s">
        <v>14</v>
      </c>
      <c r="C17797" t="s">
        <v>28</v>
      </c>
      <c r="D17797" t="s">
        <v>17</v>
      </c>
      <c r="E17797" t="s">
        <v>12</v>
      </c>
      <c r="F17797">
        <v>73975292</v>
      </c>
      <c r="G17797">
        <v>73975359</v>
      </c>
      <c r="H17797">
        <v>73975548</v>
      </c>
      <c r="I17797">
        <v>73975574</v>
      </c>
    </row>
    <row r="17798" spans="1:9" x14ac:dyDescent="0.2">
      <c r="A17798" s="1" t="str">
        <f>"TENC1"</f>
        <v>TENC1</v>
      </c>
      <c r="B17798" t="s">
        <v>14</v>
      </c>
      <c r="C17798" t="s">
        <v>16</v>
      </c>
      <c r="D17798" t="s">
        <v>17</v>
      </c>
      <c r="E17798" t="s">
        <v>12</v>
      </c>
      <c r="F17798">
        <v>53443798</v>
      </c>
      <c r="G17798">
        <v>53443858</v>
      </c>
      <c r="H17798">
        <v>53443798</v>
      </c>
      <c r="I17798">
        <v>53443858</v>
      </c>
    </row>
    <row r="17799" spans="1:9" x14ac:dyDescent="0.2">
      <c r="A17799" s="1" t="str">
        <f>"TENM1"</f>
        <v>TENM1</v>
      </c>
      <c r="B17799" t="s">
        <v>14</v>
      </c>
      <c r="C17799" t="s">
        <v>37</v>
      </c>
      <c r="D17799" t="s">
        <v>11</v>
      </c>
      <c r="E17799" t="s">
        <v>67</v>
      </c>
      <c r="F17799">
        <v>124097579</v>
      </c>
      <c r="G17799">
        <v>124097588</v>
      </c>
      <c r="H17799">
        <v>124097620</v>
      </c>
      <c r="I17799">
        <v>124097632</v>
      </c>
    </row>
    <row r="17800" spans="1:9" x14ac:dyDescent="0.2">
      <c r="A17800" s="1" t="str">
        <f>"TENM2"</f>
        <v>TENM2</v>
      </c>
      <c r="B17800" t="s">
        <v>14</v>
      </c>
      <c r="C17800" t="s">
        <v>46</v>
      </c>
      <c r="D17800" t="s">
        <v>17</v>
      </c>
      <c r="E17800" t="s">
        <v>67</v>
      </c>
      <c r="F17800">
        <v>166711872</v>
      </c>
      <c r="G17800">
        <v>166711880</v>
      </c>
      <c r="H17800">
        <v>166711872</v>
      </c>
      <c r="I17800">
        <v>166711880</v>
      </c>
    </row>
    <row r="17801" spans="1:9" x14ac:dyDescent="0.2">
      <c r="A17801" s="1" t="str">
        <f>"TENM3"</f>
        <v>TENM3</v>
      </c>
      <c r="B17801" t="s">
        <v>14</v>
      </c>
      <c r="C17801" t="s">
        <v>23</v>
      </c>
      <c r="D17801" t="s">
        <v>17</v>
      </c>
      <c r="E17801" t="s">
        <v>67</v>
      </c>
      <c r="F17801">
        <v>183245272</v>
      </c>
      <c r="G17801">
        <v>183245276</v>
      </c>
      <c r="H17801">
        <v>183245230</v>
      </c>
      <c r="I17801">
        <v>183245239</v>
      </c>
    </row>
    <row r="17802" spans="1:9" x14ac:dyDescent="0.2">
      <c r="A17802" s="1" t="str">
        <f>"TENM4"</f>
        <v>TENM4</v>
      </c>
      <c r="B17802" t="s">
        <v>14</v>
      </c>
      <c r="C17802" t="s">
        <v>27</v>
      </c>
      <c r="D17802" t="s">
        <v>11</v>
      </c>
      <c r="E17802" t="s">
        <v>12</v>
      </c>
      <c r="F17802">
        <v>79151822</v>
      </c>
      <c r="G17802">
        <v>79151890</v>
      </c>
      <c r="H17802">
        <v>79151994</v>
      </c>
      <c r="I17802">
        <v>79152022</v>
      </c>
    </row>
    <row r="17803" spans="1:9" x14ac:dyDescent="0.2">
      <c r="A17803" s="1" t="str">
        <f>"TEP1"</f>
        <v>TEP1</v>
      </c>
      <c r="B17803" t="s">
        <v>14</v>
      </c>
      <c r="C17803" t="s">
        <v>41</v>
      </c>
      <c r="D17803" t="s">
        <v>11</v>
      </c>
      <c r="E17803" t="s">
        <v>12</v>
      </c>
      <c r="F17803">
        <v>20881587</v>
      </c>
      <c r="G17803">
        <v>20881666</v>
      </c>
      <c r="H17803">
        <v>20881999</v>
      </c>
      <c r="I17803">
        <v>20882043</v>
      </c>
    </row>
    <row r="17804" spans="1:9" x14ac:dyDescent="0.2">
      <c r="A17804" s="1" t="str">
        <f>"TEPP"</f>
        <v>TEPP</v>
      </c>
      <c r="B17804" t="s">
        <v>14</v>
      </c>
      <c r="C17804" t="s">
        <v>31</v>
      </c>
      <c r="D17804" t="s">
        <v>17</v>
      </c>
      <c r="E17804" t="s">
        <v>12</v>
      </c>
      <c r="F17804">
        <v>58019055</v>
      </c>
      <c r="G17804">
        <v>58019111</v>
      </c>
      <c r="H17804">
        <v>58019055</v>
      </c>
      <c r="I17804">
        <v>58019111</v>
      </c>
    </row>
    <row r="17805" spans="1:9" x14ac:dyDescent="0.2">
      <c r="A17805" s="1" t="str">
        <f>"TERF1"</f>
        <v>TERF1</v>
      </c>
      <c r="B17805" t="s">
        <v>14</v>
      </c>
      <c r="C17805" t="s">
        <v>30</v>
      </c>
      <c r="D17805" t="s">
        <v>17</v>
      </c>
      <c r="E17805" t="s">
        <v>12</v>
      </c>
      <c r="F17805">
        <v>73921085</v>
      </c>
      <c r="G17805">
        <v>73921125</v>
      </c>
      <c r="H17805">
        <v>73921136</v>
      </c>
      <c r="I17805">
        <v>73921151</v>
      </c>
    </row>
    <row r="17806" spans="1:9" x14ac:dyDescent="0.2">
      <c r="A17806" s="1" t="str">
        <f>"TERF2"</f>
        <v>TERF2</v>
      </c>
      <c r="B17806" t="s">
        <v>14</v>
      </c>
      <c r="C17806" t="s">
        <v>31</v>
      </c>
      <c r="D17806" t="s">
        <v>11</v>
      </c>
      <c r="E17806" t="s">
        <v>12</v>
      </c>
      <c r="F17806">
        <v>69419871</v>
      </c>
      <c r="G17806">
        <v>69419927</v>
      </c>
      <c r="H17806">
        <v>69419749</v>
      </c>
      <c r="I17806">
        <v>69419786</v>
      </c>
    </row>
    <row r="17807" spans="1:9" x14ac:dyDescent="0.2">
      <c r="A17807" s="1" t="str">
        <f>"TERF2IP"</f>
        <v>TERF2IP</v>
      </c>
      <c r="B17807" t="s">
        <v>14</v>
      </c>
      <c r="C17807" t="s">
        <v>31</v>
      </c>
      <c r="D17807" t="s">
        <v>17</v>
      </c>
      <c r="E17807" t="s">
        <v>12</v>
      </c>
      <c r="F17807">
        <v>75681700</v>
      </c>
      <c r="G17807">
        <v>75681764</v>
      </c>
      <c r="H17807">
        <v>75681650</v>
      </c>
      <c r="I17807">
        <v>75681696</v>
      </c>
    </row>
    <row r="17808" spans="1:9" x14ac:dyDescent="0.2">
      <c r="A17808" s="1" t="str">
        <f>"TERT"</f>
        <v>TERT</v>
      </c>
      <c r="B17808" t="s">
        <v>14</v>
      </c>
      <c r="C17808" t="s">
        <v>46</v>
      </c>
      <c r="D17808" t="s">
        <v>11</v>
      </c>
      <c r="E17808" t="s">
        <v>12</v>
      </c>
      <c r="F17808">
        <v>1295153</v>
      </c>
      <c r="G17808">
        <v>1295192</v>
      </c>
      <c r="H17808">
        <v>1295196</v>
      </c>
      <c r="I17808">
        <v>1295201</v>
      </c>
    </row>
    <row r="17809" spans="1:9" x14ac:dyDescent="0.2">
      <c r="A17809" s="1" t="str">
        <f>"TES"</f>
        <v>TES</v>
      </c>
      <c r="B17809" t="s">
        <v>14</v>
      </c>
      <c r="C17809" t="s">
        <v>33</v>
      </c>
      <c r="D17809" t="s">
        <v>17</v>
      </c>
      <c r="E17809" t="s">
        <v>12</v>
      </c>
      <c r="F17809">
        <v>115850556</v>
      </c>
      <c r="G17809">
        <v>115850626</v>
      </c>
      <c r="H17809">
        <v>115850628</v>
      </c>
      <c r="I17809">
        <v>115850647</v>
      </c>
    </row>
    <row r="17810" spans="1:9" x14ac:dyDescent="0.2">
      <c r="A17810" s="1" t="str">
        <f>"TESC"</f>
        <v>TESC</v>
      </c>
      <c r="B17810" t="s">
        <v>14</v>
      </c>
      <c r="C17810" t="s">
        <v>16</v>
      </c>
      <c r="D17810" t="s">
        <v>11</v>
      </c>
      <c r="E17810" t="s">
        <v>12</v>
      </c>
      <c r="F17810">
        <v>117537211</v>
      </c>
      <c r="G17810">
        <v>117537228</v>
      </c>
      <c r="H17810">
        <v>117537240</v>
      </c>
      <c r="I17810">
        <v>117537261</v>
      </c>
    </row>
    <row r="17811" spans="1:9" x14ac:dyDescent="0.2">
      <c r="A17811" s="1" t="str">
        <f>"TESK1"</f>
        <v>TESK1</v>
      </c>
      <c r="B17811" t="s">
        <v>14</v>
      </c>
      <c r="C17811" t="s">
        <v>24</v>
      </c>
      <c r="D17811" t="s">
        <v>17</v>
      </c>
      <c r="E17811" t="s">
        <v>12</v>
      </c>
      <c r="F17811">
        <v>35605231</v>
      </c>
      <c r="G17811">
        <v>35605272</v>
      </c>
      <c r="H17811">
        <v>35605274</v>
      </c>
      <c r="I17811">
        <v>35605341</v>
      </c>
    </row>
    <row r="17812" spans="1:9" x14ac:dyDescent="0.2">
      <c r="A17812" s="1" t="str">
        <f>"TESK2"</f>
        <v>TESK2</v>
      </c>
      <c r="B17812" t="s">
        <v>14</v>
      </c>
      <c r="C17812" t="s">
        <v>19</v>
      </c>
      <c r="D17812" t="s">
        <v>11</v>
      </c>
      <c r="E17812" t="s">
        <v>12</v>
      </c>
      <c r="F17812">
        <v>45956822</v>
      </c>
      <c r="G17812">
        <v>45956847</v>
      </c>
      <c r="H17812">
        <v>45956800</v>
      </c>
      <c r="I17812">
        <v>45956821</v>
      </c>
    </row>
    <row r="17813" spans="1:9" x14ac:dyDescent="0.2">
      <c r="A17813" s="1" t="str">
        <f>"TESPA1"</f>
        <v>TESPA1</v>
      </c>
      <c r="B17813" t="s">
        <v>9</v>
      </c>
      <c r="C17813" t="s">
        <v>16</v>
      </c>
      <c r="D17813" t="s">
        <v>11</v>
      </c>
      <c r="E17813" t="s">
        <v>12</v>
      </c>
      <c r="F17813">
        <v>55378470</v>
      </c>
      <c r="G17813">
        <v>55378554</v>
      </c>
      <c r="H17813">
        <v>55378470</v>
      </c>
      <c r="I17813">
        <v>55378554</v>
      </c>
    </row>
    <row r="17814" spans="1:9" x14ac:dyDescent="0.2">
      <c r="A17814" s="1" t="str">
        <f>"TESPA1"</f>
        <v>TESPA1</v>
      </c>
      <c r="B17814" t="s">
        <v>13</v>
      </c>
      <c r="C17814" t="s">
        <v>16</v>
      </c>
      <c r="D17814" t="s">
        <v>11</v>
      </c>
      <c r="E17814" t="s">
        <v>12</v>
      </c>
      <c r="F17814">
        <v>55367331</v>
      </c>
      <c r="G17814">
        <v>55367353</v>
      </c>
      <c r="H17814">
        <v>55367331</v>
      </c>
      <c r="I17814">
        <v>55367353</v>
      </c>
    </row>
    <row r="17815" spans="1:9" x14ac:dyDescent="0.2">
      <c r="A17815" s="1" t="str">
        <f>"TET1"</f>
        <v>TET1</v>
      </c>
      <c r="B17815" t="s">
        <v>14</v>
      </c>
      <c r="C17815" t="s">
        <v>15</v>
      </c>
      <c r="D17815" t="s">
        <v>17</v>
      </c>
      <c r="E17815" t="s">
        <v>12</v>
      </c>
      <c r="F17815">
        <v>70320074</v>
      </c>
      <c r="G17815">
        <v>70320106</v>
      </c>
      <c r="H17815">
        <v>70320041</v>
      </c>
      <c r="I17815">
        <v>70320065</v>
      </c>
    </row>
    <row r="17816" spans="1:9" x14ac:dyDescent="0.2">
      <c r="A17816" s="1" t="str">
        <f>"TET2"</f>
        <v>TET2</v>
      </c>
      <c r="B17816" t="s">
        <v>14</v>
      </c>
      <c r="C17816" t="s">
        <v>23</v>
      </c>
      <c r="D17816" t="s">
        <v>17</v>
      </c>
      <c r="E17816" t="s">
        <v>12</v>
      </c>
      <c r="F17816">
        <v>106068026</v>
      </c>
      <c r="G17816">
        <v>106068084</v>
      </c>
      <c r="H17816">
        <v>106067811</v>
      </c>
      <c r="I17816">
        <v>106067854</v>
      </c>
    </row>
    <row r="17817" spans="1:9" x14ac:dyDescent="0.2">
      <c r="A17817" s="1" t="str">
        <f>"TET3"</f>
        <v>TET3</v>
      </c>
      <c r="B17817" t="s">
        <v>1704</v>
      </c>
      <c r="C17817" t="s">
        <v>26</v>
      </c>
      <c r="D17817" t="s">
        <v>17</v>
      </c>
      <c r="E17817" t="s">
        <v>75</v>
      </c>
      <c r="F17817">
        <v>74273589</v>
      </c>
      <c r="G17817">
        <v>74273599</v>
      </c>
      <c r="H17817">
        <v>74273589</v>
      </c>
      <c r="I17817">
        <v>74273599</v>
      </c>
    </row>
    <row r="17818" spans="1:9" x14ac:dyDescent="0.2">
      <c r="A17818" s="1" t="str">
        <f>"TEX10"</f>
        <v>TEX10</v>
      </c>
      <c r="B17818" t="s">
        <v>14</v>
      </c>
      <c r="C17818" t="s">
        <v>24</v>
      </c>
      <c r="D17818" t="s">
        <v>11</v>
      </c>
      <c r="E17818" t="s">
        <v>12</v>
      </c>
      <c r="F17818">
        <v>103115185</v>
      </c>
      <c r="G17818">
        <v>103115235</v>
      </c>
      <c r="H17818">
        <v>103115135</v>
      </c>
      <c r="I17818">
        <v>103115183</v>
      </c>
    </row>
    <row r="17819" spans="1:9" x14ac:dyDescent="0.2">
      <c r="A17819" s="1" t="str">
        <f>"TEX101"</f>
        <v>TEX101</v>
      </c>
      <c r="B17819" t="s">
        <v>9</v>
      </c>
      <c r="C17819" t="s">
        <v>10</v>
      </c>
      <c r="D17819" t="s">
        <v>17</v>
      </c>
      <c r="E17819" t="s">
        <v>12</v>
      </c>
      <c r="F17819">
        <v>43910508</v>
      </c>
      <c r="G17819">
        <v>43910535</v>
      </c>
      <c r="H17819">
        <v>43910508</v>
      </c>
      <c r="I17819">
        <v>43910535</v>
      </c>
    </row>
    <row r="17820" spans="1:9" x14ac:dyDescent="0.2">
      <c r="A17820" s="1" t="str">
        <f>"TEX101"</f>
        <v>TEX101</v>
      </c>
      <c r="B17820" t="s">
        <v>13</v>
      </c>
      <c r="C17820" t="s">
        <v>10</v>
      </c>
      <c r="D17820" t="s">
        <v>17</v>
      </c>
      <c r="E17820" t="s">
        <v>12</v>
      </c>
      <c r="F17820">
        <v>43919026</v>
      </c>
      <c r="G17820">
        <v>43919050</v>
      </c>
      <c r="H17820">
        <v>43919026</v>
      </c>
      <c r="I17820">
        <v>43919050</v>
      </c>
    </row>
    <row r="17821" spans="1:9" x14ac:dyDescent="0.2">
      <c r="A17821" s="1" t="str">
        <f>"TEX11"</f>
        <v>TEX11</v>
      </c>
      <c r="B17821" t="s">
        <v>14</v>
      </c>
      <c r="C17821" t="s">
        <v>37</v>
      </c>
      <c r="D17821" t="s">
        <v>11</v>
      </c>
      <c r="E17821" t="s">
        <v>12</v>
      </c>
      <c r="F17821">
        <v>70128554</v>
      </c>
      <c r="G17821">
        <v>70128574</v>
      </c>
      <c r="H17821">
        <v>70128533</v>
      </c>
      <c r="I17821">
        <v>70128543</v>
      </c>
    </row>
    <row r="17822" spans="1:9" x14ac:dyDescent="0.2">
      <c r="A17822" s="1" t="str">
        <f>"TEX12"</f>
        <v>TEX12</v>
      </c>
      <c r="B17822" t="s">
        <v>14</v>
      </c>
      <c r="C17822" t="s">
        <v>27</v>
      </c>
      <c r="D17822" t="s">
        <v>17</v>
      </c>
      <c r="E17822" t="s">
        <v>12</v>
      </c>
      <c r="F17822">
        <v>112038088</v>
      </c>
      <c r="G17822">
        <v>112038099</v>
      </c>
      <c r="H17822">
        <v>112038073</v>
      </c>
      <c r="I17822">
        <v>112038076</v>
      </c>
    </row>
    <row r="17823" spans="1:9" x14ac:dyDescent="0.2">
      <c r="A17823" s="1" t="str">
        <f>"TEX13A"</f>
        <v>TEX13A</v>
      </c>
      <c r="B17823" t="s">
        <v>14</v>
      </c>
      <c r="C17823" t="s">
        <v>37</v>
      </c>
      <c r="D17823" t="s">
        <v>11</v>
      </c>
      <c r="E17823" t="s">
        <v>12</v>
      </c>
      <c r="F17823">
        <v>104465372</v>
      </c>
      <c r="G17823">
        <v>104465378</v>
      </c>
      <c r="H17823">
        <v>104465372</v>
      </c>
      <c r="I17823">
        <v>104465378</v>
      </c>
    </row>
    <row r="17824" spans="1:9" x14ac:dyDescent="0.2">
      <c r="A17824" s="1" t="str">
        <f>"TEX13B"</f>
        <v>TEX13B</v>
      </c>
      <c r="B17824" t="s">
        <v>14</v>
      </c>
      <c r="C17824" t="s">
        <v>37</v>
      </c>
      <c r="D17824" t="s">
        <v>11</v>
      </c>
      <c r="E17824" t="s">
        <v>12</v>
      </c>
      <c r="F17824">
        <v>107225631</v>
      </c>
      <c r="G17824">
        <v>107225641</v>
      </c>
      <c r="H17824">
        <v>107225631</v>
      </c>
      <c r="I17824">
        <v>107225641</v>
      </c>
    </row>
    <row r="17825" spans="1:9" x14ac:dyDescent="0.2">
      <c r="A17825" s="1" t="str">
        <f>"TEX14"</f>
        <v>TEX14</v>
      </c>
      <c r="B17825" t="s">
        <v>14</v>
      </c>
      <c r="C17825" t="s">
        <v>28</v>
      </c>
      <c r="D17825" t="s">
        <v>11</v>
      </c>
      <c r="E17825" t="s">
        <v>12</v>
      </c>
      <c r="F17825">
        <v>56769876</v>
      </c>
      <c r="G17825">
        <v>56769933</v>
      </c>
      <c r="H17825">
        <v>56769382</v>
      </c>
      <c r="I17825">
        <v>56769417</v>
      </c>
    </row>
    <row r="17826" spans="1:9" x14ac:dyDescent="0.2">
      <c r="A17826" s="1" t="str">
        <f>"TEX15"</f>
        <v>TEX15</v>
      </c>
      <c r="B17826" t="s">
        <v>1705</v>
      </c>
      <c r="C17826" t="s">
        <v>30</v>
      </c>
      <c r="D17826" t="s">
        <v>11</v>
      </c>
      <c r="E17826" t="s">
        <v>20</v>
      </c>
      <c r="F17826">
        <v>30706607</v>
      </c>
      <c r="G17826">
        <v>30706607</v>
      </c>
      <c r="H17826">
        <v>30706607</v>
      </c>
      <c r="I17826">
        <v>30706607</v>
      </c>
    </row>
    <row r="17827" spans="1:9" x14ac:dyDescent="0.2">
      <c r="A17827" s="1" t="str">
        <f>"TEX19"</f>
        <v>TEX19</v>
      </c>
      <c r="B17827" t="s">
        <v>14</v>
      </c>
      <c r="C17827" t="s">
        <v>28</v>
      </c>
      <c r="D17827" t="s">
        <v>17</v>
      </c>
      <c r="E17827" t="s">
        <v>12</v>
      </c>
      <c r="F17827">
        <v>80317121</v>
      </c>
      <c r="G17827">
        <v>80317128</v>
      </c>
      <c r="H17827">
        <v>80317121</v>
      </c>
      <c r="I17827">
        <v>80317128</v>
      </c>
    </row>
    <row r="17828" spans="1:9" x14ac:dyDescent="0.2">
      <c r="A17828" s="1" t="str">
        <f>"TEX2"</f>
        <v>TEX2</v>
      </c>
      <c r="B17828" t="s">
        <v>14</v>
      </c>
      <c r="C17828" t="s">
        <v>28</v>
      </c>
      <c r="D17828" t="s">
        <v>11</v>
      </c>
      <c r="E17828" t="s">
        <v>12</v>
      </c>
      <c r="F17828">
        <v>62340581</v>
      </c>
      <c r="G17828">
        <v>62340671</v>
      </c>
      <c r="H17828">
        <v>62340581</v>
      </c>
      <c r="I17828">
        <v>62340671</v>
      </c>
    </row>
    <row r="17829" spans="1:9" x14ac:dyDescent="0.2">
      <c r="A17829" s="1" t="str">
        <f>"TEX22"</f>
        <v>TEX22</v>
      </c>
      <c r="B17829" t="s">
        <v>14</v>
      </c>
      <c r="C17829" t="s">
        <v>41</v>
      </c>
      <c r="D17829" t="s">
        <v>17</v>
      </c>
      <c r="E17829" t="s">
        <v>12</v>
      </c>
      <c r="F17829">
        <v>105864847</v>
      </c>
      <c r="G17829">
        <v>105864928</v>
      </c>
      <c r="H17829">
        <v>105864574</v>
      </c>
      <c r="I17829">
        <v>105864597</v>
      </c>
    </row>
    <row r="17830" spans="1:9" x14ac:dyDescent="0.2">
      <c r="A17830" s="1" t="str">
        <f>"TEX26"</f>
        <v>TEX26</v>
      </c>
      <c r="B17830" t="s">
        <v>14</v>
      </c>
      <c r="C17830" t="s">
        <v>39</v>
      </c>
      <c r="D17830" t="s">
        <v>17</v>
      </c>
      <c r="E17830" t="s">
        <v>12</v>
      </c>
      <c r="F17830">
        <v>31506818</v>
      </c>
      <c r="G17830">
        <v>31506853</v>
      </c>
      <c r="H17830">
        <v>31506775</v>
      </c>
      <c r="I17830">
        <v>31506817</v>
      </c>
    </row>
    <row r="17831" spans="1:9" x14ac:dyDescent="0.2">
      <c r="A17831" s="1" t="str">
        <f>"TEX261"</f>
        <v>TEX261</v>
      </c>
      <c r="B17831" t="s">
        <v>14</v>
      </c>
      <c r="C17831" t="s">
        <v>26</v>
      </c>
      <c r="D17831" t="s">
        <v>11</v>
      </c>
      <c r="E17831" t="s">
        <v>12</v>
      </c>
      <c r="F17831">
        <v>71221942</v>
      </c>
      <c r="G17831">
        <v>71222019</v>
      </c>
      <c r="H17831">
        <v>71221923</v>
      </c>
      <c r="I17831">
        <v>71221936</v>
      </c>
    </row>
    <row r="17832" spans="1:9" x14ac:dyDescent="0.2">
      <c r="A17832" s="1" t="str">
        <f>"TEX264"</f>
        <v>TEX264</v>
      </c>
      <c r="B17832" t="s">
        <v>14</v>
      </c>
      <c r="C17832" t="s">
        <v>22</v>
      </c>
      <c r="D17832" t="s">
        <v>17</v>
      </c>
      <c r="E17832" t="s">
        <v>12</v>
      </c>
      <c r="F17832">
        <v>51705222</v>
      </c>
      <c r="G17832">
        <v>51705281</v>
      </c>
      <c r="H17832">
        <v>51705222</v>
      </c>
      <c r="I17832">
        <v>51705281</v>
      </c>
    </row>
    <row r="17833" spans="1:9" x14ac:dyDescent="0.2">
      <c r="A17833" s="1" t="str">
        <f>"TEX28"</f>
        <v>TEX28</v>
      </c>
      <c r="B17833" t="s">
        <v>14</v>
      </c>
      <c r="C17833" t="s">
        <v>37</v>
      </c>
      <c r="D17833" t="s">
        <v>11</v>
      </c>
      <c r="E17833" t="s">
        <v>12</v>
      </c>
      <c r="F17833">
        <v>153523454</v>
      </c>
      <c r="G17833">
        <v>153523467</v>
      </c>
      <c r="H17833">
        <v>153523558</v>
      </c>
      <c r="I17833">
        <v>153523576</v>
      </c>
    </row>
    <row r="17834" spans="1:9" x14ac:dyDescent="0.2">
      <c r="A17834" s="1" t="str">
        <f>"TEX29"</f>
        <v>TEX29</v>
      </c>
      <c r="B17834" t="s">
        <v>14</v>
      </c>
      <c r="C17834" t="s">
        <v>39</v>
      </c>
      <c r="D17834" t="s">
        <v>17</v>
      </c>
      <c r="E17834" t="s">
        <v>12</v>
      </c>
      <c r="F17834">
        <v>111972980</v>
      </c>
      <c r="G17834">
        <v>111972994</v>
      </c>
      <c r="H17834">
        <v>111972967</v>
      </c>
      <c r="I17834">
        <v>111972974</v>
      </c>
    </row>
    <row r="17835" spans="1:9" x14ac:dyDescent="0.2">
      <c r="A17835" s="1" t="str">
        <f>"TEX30"</f>
        <v>TEX30</v>
      </c>
      <c r="B17835" t="s">
        <v>14</v>
      </c>
      <c r="C17835" t="s">
        <v>39</v>
      </c>
      <c r="D17835" t="s">
        <v>11</v>
      </c>
      <c r="E17835" t="s">
        <v>12</v>
      </c>
      <c r="F17835">
        <v>103426112</v>
      </c>
      <c r="G17835">
        <v>103426164</v>
      </c>
      <c r="H17835">
        <v>103426081</v>
      </c>
      <c r="I17835">
        <v>103426110</v>
      </c>
    </row>
    <row r="17836" spans="1:9" x14ac:dyDescent="0.2">
      <c r="A17836" s="1" t="str">
        <f>"TEX33"</f>
        <v>TEX33</v>
      </c>
      <c r="B17836" t="s">
        <v>14</v>
      </c>
      <c r="C17836" t="s">
        <v>21</v>
      </c>
      <c r="D17836" t="s">
        <v>11</v>
      </c>
      <c r="E17836" t="s">
        <v>12</v>
      </c>
      <c r="F17836">
        <v>37403858</v>
      </c>
      <c r="G17836">
        <v>37403896</v>
      </c>
      <c r="H17836">
        <v>37403844</v>
      </c>
      <c r="I17836">
        <v>37403855</v>
      </c>
    </row>
    <row r="17837" spans="1:9" x14ac:dyDescent="0.2">
      <c r="A17837" s="1" t="str">
        <f>"TEX35"</f>
        <v>TEX35</v>
      </c>
      <c r="B17837" t="s">
        <v>14</v>
      </c>
      <c r="C17837" t="s">
        <v>19</v>
      </c>
      <c r="D17837" t="s">
        <v>17</v>
      </c>
      <c r="E17837" t="s">
        <v>12</v>
      </c>
      <c r="F17837">
        <v>178482241</v>
      </c>
      <c r="G17837">
        <v>178482255</v>
      </c>
      <c r="H17837">
        <v>178482262</v>
      </c>
      <c r="I17837">
        <v>178482267</v>
      </c>
    </row>
    <row r="17838" spans="1:9" x14ac:dyDescent="0.2">
      <c r="A17838" s="1" t="str">
        <f>"TEX36"</f>
        <v>TEX36</v>
      </c>
      <c r="B17838" t="s">
        <v>14</v>
      </c>
      <c r="C17838" t="s">
        <v>15</v>
      </c>
      <c r="D17838" t="s">
        <v>11</v>
      </c>
      <c r="E17838" t="s">
        <v>12</v>
      </c>
      <c r="F17838">
        <v>127371692</v>
      </c>
      <c r="G17838">
        <v>127371716</v>
      </c>
      <c r="H17838">
        <v>127371723</v>
      </c>
      <c r="I17838">
        <v>127371736</v>
      </c>
    </row>
    <row r="17839" spans="1:9" x14ac:dyDescent="0.2">
      <c r="A17839" s="1" t="str">
        <f>"TEX37"</f>
        <v>TEX37</v>
      </c>
      <c r="B17839" t="s">
        <v>14</v>
      </c>
      <c r="C17839" t="s">
        <v>26</v>
      </c>
      <c r="D17839" t="s">
        <v>17</v>
      </c>
      <c r="E17839" t="s">
        <v>12</v>
      </c>
      <c r="F17839">
        <v>88824161</v>
      </c>
      <c r="G17839">
        <v>88824202</v>
      </c>
      <c r="H17839">
        <v>88824161</v>
      </c>
      <c r="I17839">
        <v>88824202</v>
      </c>
    </row>
    <row r="17840" spans="1:9" x14ac:dyDescent="0.2">
      <c r="A17840" s="1" t="str">
        <f>"TEX38"</f>
        <v>TEX38</v>
      </c>
      <c r="B17840" t="s">
        <v>14</v>
      </c>
      <c r="C17840" t="s">
        <v>19</v>
      </c>
      <c r="D17840" t="s">
        <v>17</v>
      </c>
      <c r="E17840" t="s">
        <v>12</v>
      </c>
      <c r="F17840">
        <v>47137495</v>
      </c>
      <c r="G17840">
        <v>47137533</v>
      </c>
      <c r="H17840">
        <v>47137553</v>
      </c>
      <c r="I17840">
        <v>47137585</v>
      </c>
    </row>
    <row r="17841" spans="1:9" x14ac:dyDescent="0.2">
      <c r="A17841" s="1" t="str">
        <f>"TEX40"</f>
        <v>TEX40</v>
      </c>
      <c r="B17841" t="s">
        <v>14</v>
      </c>
      <c r="C17841" t="s">
        <v>27</v>
      </c>
      <c r="D17841" t="s">
        <v>17</v>
      </c>
      <c r="E17841" t="s">
        <v>12</v>
      </c>
      <c r="F17841">
        <v>64067809</v>
      </c>
      <c r="G17841">
        <v>64067882</v>
      </c>
      <c r="H17841">
        <v>64067809</v>
      </c>
      <c r="I17841">
        <v>64067882</v>
      </c>
    </row>
    <row r="17842" spans="1:9" x14ac:dyDescent="0.2">
      <c r="A17842" s="1" t="str">
        <f>"TEX9"</f>
        <v>TEX9</v>
      </c>
      <c r="B17842" t="s">
        <v>14</v>
      </c>
      <c r="C17842" t="s">
        <v>25</v>
      </c>
      <c r="D17842" t="s">
        <v>17</v>
      </c>
      <c r="E17842" t="s">
        <v>12</v>
      </c>
      <c r="F17842">
        <v>56657613</v>
      </c>
      <c r="G17842">
        <v>56657651</v>
      </c>
      <c r="H17842">
        <v>56657670</v>
      </c>
      <c r="I17842">
        <v>56657684</v>
      </c>
    </row>
    <row r="17843" spans="1:9" x14ac:dyDescent="0.2">
      <c r="A17843" s="1" t="str">
        <f>"TF"</f>
        <v>TF</v>
      </c>
      <c r="B17843" t="s">
        <v>9</v>
      </c>
      <c r="C17843" t="s">
        <v>22</v>
      </c>
      <c r="D17843" t="s">
        <v>17</v>
      </c>
      <c r="E17843" t="s">
        <v>12</v>
      </c>
      <c r="F17843">
        <v>133465228</v>
      </c>
      <c r="G17843">
        <v>133465244</v>
      </c>
      <c r="H17843">
        <v>133465228</v>
      </c>
      <c r="I17843">
        <v>133465244</v>
      </c>
    </row>
    <row r="17844" spans="1:9" x14ac:dyDescent="0.2">
      <c r="A17844" s="1" t="str">
        <f>"TF"</f>
        <v>TF</v>
      </c>
      <c r="B17844" t="s">
        <v>13</v>
      </c>
      <c r="C17844" t="s">
        <v>22</v>
      </c>
      <c r="D17844" t="s">
        <v>17</v>
      </c>
      <c r="E17844" t="s">
        <v>12</v>
      </c>
      <c r="F17844">
        <v>133483054</v>
      </c>
      <c r="G17844">
        <v>133483071</v>
      </c>
      <c r="H17844">
        <v>133483054</v>
      </c>
      <c r="I17844">
        <v>133483071</v>
      </c>
    </row>
    <row r="17845" spans="1:9" x14ac:dyDescent="0.2">
      <c r="A17845" s="1" t="str">
        <f>"TFAM"</f>
        <v>TFAM</v>
      </c>
      <c r="B17845" t="s">
        <v>14</v>
      </c>
      <c r="C17845" t="s">
        <v>15</v>
      </c>
      <c r="D17845" t="s">
        <v>17</v>
      </c>
      <c r="E17845" t="s">
        <v>12</v>
      </c>
      <c r="F17845">
        <v>60145155</v>
      </c>
      <c r="G17845">
        <v>60145206</v>
      </c>
      <c r="H17845">
        <v>60144911</v>
      </c>
      <c r="I17845">
        <v>60144939</v>
      </c>
    </row>
    <row r="17846" spans="1:9" x14ac:dyDescent="0.2">
      <c r="A17846" s="1" t="str">
        <f>"TFAP2A"</f>
        <v>TFAP2A</v>
      </c>
      <c r="B17846" t="s">
        <v>9</v>
      </c>
      <c r="C17846" t="s">
        <v>32</v>
      </c>
      <c r="D17846" t="s">
        <v>11</v>
      </c>
      <c r="E17846" t="s">
        <v>12</v>
      </c>
      <c r="F17846">
        <v>10412600</v>
      </c>
      <c r="G17846">
        <v>10412637</v>
      </c>
      <c r="H17846">
        <v>10412600</v>
      </c>
      <c r="I17846">
        <v>10412637</v>
      </c>
    </row>
    <row r="17847" spans="1:9" x14ac:dyDescent="0.2">
      <c r="A17847" s="1" t="str">
        <f>"TFAP2A"</f>
        <v>TFAP2A</v>
      </c>
      <c r="B17847" t="s">
        <v>13</v>
      </c>
      <c r="C17847" t="s">
        <v>32</v>
      </c>
      <c r="D17847" t="s">
        <v>11</v>
      </c>
      <c r="E17847" t="s">
        <v>12</v>
      </c>
      <c r="F17847">
        <v>10415276</v>
      </c>
      <c r="G17847">
        <v>10415341</v>
      </c>
      <c r="H17847">
        <v>10415276</v>
      </c>
      <c r="I17847">
        <v>10415341</v>
      </c>
    </row>
    <row r="17848" spans="1:9" x14ac:dyDescent="0.2">
      <c r="A17848" s="1" t="str">
        <f>"TFAP2B"</f>
        <v>TFAP2B</v>
      </c>
      <c r="B17848" t="s">
        <v>14</v>
      </c>
      <c r="C17848" t="s">
        <v>32</v>
      </c>
      <c r="D17848" t="s">
        <v>17</v>
      </c>
      <c r="E17848" t="s">
        <v>12</v>
      </c>
      <c r="F17848">
        <v>50786591</v>
      </c>
      <c r="G17848">
        <v>50786614</v>
      </c>
      <c r="H17848">
        <v>50786571</v>
      </c>
      <c r="I17848">
        <v>50786590</v>
      </c>
    </row>
    <row r="17849" spans="1:9" x14ac:dyDescent="0.2">
      <c r="A17849" s="1" t="str">
        <f>"TFAP2C"</f>
        <v>TFAP2C</v>
      </c>
      <c r="B17849" t="s">
        <v>14</v>
      </c>
      <c r="C17849" t="s">
        <v>29</v>
      </c>
      <c r="D17849" t="s">
        <v>17</v>
      </c>
      <c r="E17849" t="s">
        <v>12</v>
      </c>
      <c r="F17849">
        <v>55204351</v>
      </c>
      <c r="G17849">
        <v>55204377</v>
      </c>
      <c r="H17849">
        <v>55204351</v>
      </c>
      <c r="I17849">
        <v>55204377</v>
      </c>
    </row>
    <row r="17850" spans="1:9" x14ac:dyDescent="0.2">
      <c r="A17850" s="1" t="str">
        <f>"TFAP2D"</f>
        <v>TFAP2D</v>
      </c>
      <c r="B17850" t="s">
        <v>14</v>
      </c>
      <c r="C17850" t="s">
        <v>32</v>
      </c>
      <c r="D17850" t="s">
        <v>17</v>
      </c>
      <c r="E17850" t="s">
        <v>12</v>
      </c>
      <c r="F17850">
        <v>50681524</v>
      </c>
      <c r="G17850">
        <v>50681534</v>
      </c>
      <c r="H17850">
        <v>50681535</v>
      </c>
      <c r="I17850">
        <v>50681542</v>
      </c>
    </row>
    <row r="17851" spans="1:9" x14ac:dyDescent="0.2">
      <c r="A17851" s="1" t="str">
        <f>"TFAP2E"</f>
        <v>TFAP2E</v>
      </c>
      <c r="B17851" t="s">
        <v>14</v>
      </c>
      <c r="C17851" t="s">
        <v>19</v>
      </c>
      <c r="D17851" t="s">
        <v>17</v>
      </c>
      <c r="E17851" t="s">
        <v>12</v>
      </c>
      <c r="F17851">
        <v>36038909</v>
      </c>
      <c r="G17851">
        <v>36038917</v>
      </c>
      <c r="H17851">
        <v>36038876</v>
      </c>
      <c r="I17851">
        <v>36038890</v>
      </c>
    </row>
    <row r="17852" spans="1:9" x14ac:dyDescent="0.2">
      <c r="A17852" s="1" t="str">
        <f>"TFAP4"</f>
        <v>TFAP4</v>
      </c>
      <c r="B17852" t="s">
        <v>14</v>
      </c>
      <c r="C17852" t="s">
        <v>31</v>
      </c>
      <c r="D17852" t="s">
        <v>11</v>
      </c>
      <c r="E17852" t="s">
        <v>12</v>
      </c>
      <c r="F17852">
        <v>4322832</v>
      </c>
      <c r="G17852">
        <v>4322907</v>
      </c>
      <c r="H17852">
        <v>4323015</v>
      </c>
      <c r="I17852">
        <v>4323067</v>
      </c>
    </row>
    <row r="17853" spans="1:9" x14ac:dyDescent="0.2">
      <c r="A17853" s="1" t="str">
        <f>"TFB1M"</f>
        <v>TFB1M</v>
      </c>
      <c r="B17853" t="s">
        <v>14</v>
      </c>
      <c r="C17853" t="s">
        <v>32</v>
      </c>
      <c r="D17853" t="s">
        <v>11</v>
      </c>
      <c r="E17853" t="s">
        <v>12</v>
      </c>
      <c r="F17853">
        <v>155635583</v>
      </c>
      <c r="G17853">
        <v>155635644</v>
      </c>
      <c r="H17853">
        <v>155635647</v>
      </c>
      <c r="I17853">
        <v>155635658</v>
      </c>
    </row>
    <row r="17854" spans="1:9" x14ac:dyDescent="0.2">
      <c r="A17854" s="1" t="str">
        <f>"TFB2M"</f>
        <v>TFB2M</v>
      </c>
      <c r="B17854" t="s">
        <v>14</v>
      </c>
      <c r="C17854" t="s">
        <v>19</v>
      </c>
      <c r="D17854" t="s">
        <v>11</v>
      </c>
      <c r="E17854" t="s">
        <v>12</v>
      </c>
      <c r="F17854">
        <v>246729544</v>
      </c>
      <c r="G17854">
        <v>246729572</v>
      </c>
      <c r="H17854">
        <v>246729483</v>
      </c>
      <c r="I17854">
        <v>246729538</v>
      </c>
    </row>
    <row r="17855" spans="1:9" x14ac:dyDescent="0.2">
      <c r="A17855" s="1" t="str">
        <f>"TFCP2"</f>
        <v>TFCP2</v>
      </c>
      <c r="B17855" t="s">
        <v>14</v>
      </c>
      <c r="C17855" t="s">
        <v>16</v>
      </c>
      <c r="D17855" t="s">
        <v>11</v>
      </c>
      <c r="E17855" t="s">
        <v>12</v>
      </c>
      <c r="F17855">
        <v>51566849</v>
      </c>
      <c r="G17855">
        <v>51566927</v>
      </c>
      <c r="H17855">
        <v>51566562</v>
      </c>
      <c r="I17855">
        <v>51566584</v>
      </c>
    </row>
    <row r="17856" spans="1:9" x14ac:dyDescent="0.2">
      <c r="A17856" s="1" t="str">
        <f>"TFCP2L1"</f>
        <v>TFCP2L1</v>
      </c>
      <c r="B17856" t="s">
        <v>14</v>
      </c>
      <c r="C17856" t="s">
        <v>26</v>
      </c>
      <c r="D17856" t="s">
        <v>11</v>
      </c>
      <c r="E17856" t="s">
        <v>12</v>
      </c>
      <c r="F17856">
        <v>122042770</v>
      </c>
      <c r="G17856">
        <v>122042785</v>
      </c>
      <c r="H17856">
        <v>122042694</v>
      </c>
      <c r="I17856">
        <v>122042695</v>
      </c>
    </row>
    <row r="17857" spans="1:9" x14ac:dyDescent="0.2">
      <c r="A17857" s="1" t="str">
        <f>"TFDP1"</f>
        <v>TFDP1</v>
      </c>
      <c r="B17857" t="s">
        <v>14</v>
      </c>
      <c r="C17857" t="s">
        <v>39</v>
      </c>
      <c r="D17857" t="s">
        <v>17</v>
      </c>
      <c r="E17857" t="s">
        <v>12</v>
      </c>
      <c r="F17857">
        <v>114238997</v>
      </c>
      <c r="G17857">
        <v>114239077</v>
      </c>
      <c r="H17857">
        <v>114238987</v>
      </c>
      <c r="I17857">
        <v>114238994</v>
      </c>
    </row>
    <row r="17858" spans="1:9" x14ac:dyDescent="0.2">
      <c r="A17858" s="1" t="str">
        <f>"TFDP2"</f>
        <v>TFDP2</v>
      </c>
      <c r="B17858" t="s">
        <v>9</v>
      </c>
      <c r="C17858" t="s">
        <v>22</v>
      </c>
      <c r="D17858" t="s">
        <v>11</v>
      </c>
      <c r="E17858" t="s">
        <v>12</v>
      </c>
      <c r="F17858">
        <v>141747459</v>
      </c>
      <c r="G17858">
        <v>141747475</v>
      </c>
      <c r="H17858">
        <v>141747459</v>
      </c>
      <c r="I17858">
        <v>141747475</v>
      </c>
    </row>
    <row r="17859" spans="1:9" x14ac:dyDescent="0.2">
      <c r="A17859" s="1" t="str">
        <f>"TFDP2"</f>
        <v>TFDP2</v>
      </c>
      <c r="B17859" t="s">
        <v>13</v>
      </c>
      <c r="C17859" t="s">
        <v>22</v>
      </c>
      <c r="D17859" t="s">
        <v>11</v>
      </c>
      <c r="E17859" t="s">
        <v>12</v>
      </c>
      <c r="F17859">
        <v>141868293</v>
      </c>
      <c r="G17859">
        <v>141868355</v>
      </c>
      <c r="H17859">
        <v>141868293</v>
      </c>
      <c r="I17859">
        <v>141868355</v>
      </c>
    </row>
    <row r="17860" spans="1:9" x14ac:dyDescent="0.2">
      <c r="A17860" s="1" t="str">
        <f>"TFDP3"</f>
        <v>TFDP3</v>
      </c>
      <c r="B17860" t="s">
        <v>14</v>
      </c>
      <c r="C17860" t="s">
        <v>37</v>
      </c>
      <c r="D17860" t="s">
        <v>11</v>
      </c>
      <c r="E17860" t="s">
        <v>12</v>
      </c>
      <c r="F17860">
        <v>132352373</v>
      </c>
      <c r="G17860">
        <v>132352384</v>
      </c>
      <c r="H17860">
        <v>132352392</v>
      </c>
      <c r="I17860">
        <v>132352393</v>
      </c>
    </row>
    <row r="17861" spans="1:9" x14ac:dyDescent="0.2">
      <c r="A17861" s="1" t="str">
        <f>"TFE3"</f>
        <v>TFE3</v>
      </c>
      <c r="B17861" t="s">
        <v>14</v>
      </c>
      <c r="C17861" t="s">
        <v>37</v>
      </c>
      <c r="D17861" t="s">
        <v>11</v>
      </c>
      <c r="E17861" t="s">
        <v>12</v>
      </c>
      <c r="F17861">
        <v>48900871</v>
      </c>
      <c r="G17861">
        <v>48900890</v>
      </c>
      <c r="H17861">
        <v>48900899</v>
      </c>
      <c r="I17861">
        <v>48900917</v>
      </c>
    </row>
    <row r="17862" spans="1:9" x14ac:dyDescent="0.2">
      <c r="A17862" s="1" t="str">
        <f>"TFEB"</f>
        <v>TFEB</v>
      </c>
      <c r="B17862" t="s">
        <v>9</v>
      </c>
      <c r="C17862" t="s">
        <v>32</v>
      </c>
      <c r="D17862" t="s">
        <v>11</v>
      </c>
      <c r="E17862" t="s">
        <v>12</v>
      </c>
      <c r="F17862">
        <v>41703296</v>
      </c>
      <c r="G17862">
        <v>41703367</v>
      </c>
      <c r="H17862">
        <v>41703296</v>
      </c>
      <c r="I17862">
        <v>41703367</v>
      </c>
    </row>
    <row r="17863" spans="1:9" x14ac:dyDescent="0.2">
      <c r="A17863" s="1" t="str">
        <f>"TFEB"</f>
        <v>TFEB</v>
      </c>
      <c r="B17863" t="s">
        <v>13</v>
      </c>
      <c r="C17863" t="s">
        <v>32</v>
      </c>
      <c r="D17863" t="s">
        <v>11</v>
      </c>
      <c r="E17863" t="s">
        <v>12</v>
      </c>
      <c r="F17863">
        <v>41701581</v>
      </c>
      <c r="G17863">
        <v>41701613</v>
      </c>
      <c r="H17863">
        <v>41701581</v>
      </c>
      <c r="I17863">
        <v>41701613</v>
      </c>
    </row>
    <row r="17864" spans="1:9" x14ac:dyDescent="0.2">
      <c r="A17864" s="1" t="str">
        <f>"TFEC"</f>
        <v>TFEC</v>
      </c>
      <c r="B17864" t="s">
        <v>14</v>
      </c>
      <c r="C17864" t="s">
        <v>33</v>
      </c>
      <c r="D17864" t="s">
        <v>11</v>
      </c>
      <c r="E17864" t="s">
        <v>12</v>
      </c>
      <c r="F17864">
        <v>115670804</v>
      </c>
      <c r="G17864">
        <v>115670825</v>
      </c>
      <c r="H17864">
        <v>115670792</v>
      </c>
      <c r="I17864">
        <v>115670797</v>
      </c>
    </row>
    <row r="17865" spans="1:9" x14ac:dyDescent="0.2">
      <c r="A17865" s="1" t="str">
        <f>"TFF1"</f>
        <v>TFF1</v>
      </c>
      <c r="B17865" t="s">
        <v>14</v>
      </c>
      <c r="C17865" t="s">
        <v>42</v>
      </c>
      <c r="D17865" t="s">
        <v>11</v>
      </c>
      <c r="E17865" t="s">
        <v>12</v>
      </c>
      <c r="F17865">
        <v>43786634</v>
      </c>
      <c r="G17865">
        <v>43786650</v>
      </c>
      <c r="H17865">
        <v>43786634</v>
      </c>
      <c r="I17865">
        <v>43786650</v>
      </c>
    </row>
    <row r="17866" spans="1:9" x14ac:dyDescent="0.2">
      <c r="A17866" s="1" t="str">
        <f>"TFF2"</f>
        <v>TFF2</v>
      </c>
      <c r="B17866" t="s">
        <v>14</v>
      </c>
      <c r="C17866" t="s">
        <v>42</v>
      </c>
      <c r="D17866" t="s">
        <v>11</v>
      </c>
      <c r="E17866" t="s">
        <v>12</v>
      </c>
      <c r="F17866">
        <v>43771096</v>
      </c>
      <c r="G17866">
        <v>43771112</v>
      </c>
      <c r="H17866">
        <v>43771296</v>
      </c>
      <c r="I17866">
        <v>43771322</v>
      </c>
    </row>
    <row r="17867" spans="1:9" x14ac:dyDescent="0.2">
      <c r="A17867" s="1" t="str">
        <f>"TFF3"</f>
        <v>TFF3</v>
      </c>
      <c r="B17867" t="s">
        <v>14</v>
      </c>
      <c r="C17867" t="s">
        <v>42</v>
      </c>
      <c r="D17867" t="s">
        <v>11</v>
      </c>
      <c r="E17867" t="s">
        <v>12</v>
      </c>
      <c r="F17867">
        <v>43735511</v>
      </c>
      <c r="G17867">
        <v>43735525</v>
      </c>
      <c r="H17867">
        <v>43735511</v>
      </c>
      <c r="I17867">
        <v>43735525</v>
      </c>
    </row>
    <row r="17868" spans="1:9" x14ac:dyDescent="0.2">
      <c r="A17868" s="1" t="str">
        <f>"TFG"</f>
        <v>TFG</v>
      </c>
      <c r="B17868" t="s">
        <v>14</v>
      </c>
      <c r="C17868" t="s">
        <v>22</v>
      </c>
      <c r="D17868" t="s">
        <v>17</v>
      </c>
      <c r="E17868" t="s">
        <v>12</v>
      </c>
      <c r="F17868">
        <v>100428317</v>
      </c>
      <c r="G17868">
        <v>100428471</v>
      </c>
      <c r="H17868">
        <v>100428487</v>
      </c>
      <c r="I17868">
        <v>100428506</v>
      </c>
    </row>
    <row r="17869" spans="1:9" x14ac:dyDescent="0.2">
      <c r="A17869" s="1" t="str">
        <f>"TFIP11"</f>
        <v>TFIP11</v>
      </c>
      <c r="B17869" t="s">
        <v>14</v>
      </c>
      <c r="C17869" t="s">
        <v>21</v>
      </c>
      <c r="D17869" t="s">
        <v>11</v>
      </c>
      <c r="E17869" t="s">
        <v>12</v>
      </c>
      <c r="F17869">
        <v>26908403</v>
      </c>
      <c r="G17869">
        <v>26908467</v>
      </c>
      <c r="H17869">
        <v>26908403</v>
      </c>
      <c r="I17869">
        <v>26908467</v>
      </c>
    </row>
    <row r="17870" spans="1:9" x14ac:dyDescent="0.2">
      <c r="A17870" s="1" t="str">
        <f>"TFPI"</f>
        <v>TFPI</v>
      </c>
      <c r="B17870" t="s">
        <v>14</v>
      </c>
      <c r="C17870" t="s">
        <v>26</v>
      </c>
      <c r="D17870" t="s">
        <v>11</v>
      </c>
      <c r="E17870" t="s">
        <v>12</v>
      </c>
      <c r="F17870">
        <v>188419155</v>
      </c>
      <c r="G17870">
        <v>188419195</v>
      </c>
      <c r="H17870">
        <v>188419200</v>
      </c>
      <c r="I17870">
        <v>188419224</v>
      </c>
    </row>
    <row r="17871" spans="1:9" x14ac:dyDescent="0.2">
      <c r="A17871" s="1" t="str">
        <f>"TFPI2"</f>
        <v>TFPI2</v>
      </c>
      <c r="B17871" t="s">
        <v>14</v>
      </c>
      <c r="C17871" t="s">
        <v>33</v>
      </c>
      <c r="D17871" t="s">
        <v>11</v>
      </c>
      <c r="E17871" t="s">
        <v>12</v>
      </c>
      <c r="F17871">
        <v>93520056</v>
      </c>
      <c r="G17871">
        <v>93520072</v>
      </c>
      <c r="H17871">
        <v>93519497</v>
      </c>
      <c r="I17871">
        <v>93519525</v>
      </c>
    </row>
    <row r="17872" spans="1:9" x14ac:dyDescent="0.2">
      <c r="A17872" s="1" t="str">
        <f>"TFPT"</f>
        <v>TFPT</v>
      </c>
      <c r="B17872" t="s">
        <v>14</v>
      </c>
      <c r="C17872" t="s">
        <v>10</v>
      </c>
      <c r="D17872" t="s">
        <v>11</v>
      </c>
      <c r="E17872" t="s">
        <v>12</v>
      </c>
      <c r="F17872">
        <v>54619006</v>
      </c>
      <c r="G17872">
        <v>54619046</v>
      </c>
      <c r="H17872">
        <v>54618690</v>
      </c>
      <c r="I17872">
        <v>54618734</v>
      </c>
    </row>
    <row r="17873" spans="1:9" x14ac:dyDescent="0.2">
      <c r="A17873" s="1" t="str">
        <f>"TFR2"</f>
        <v>TFR2</v>
      </c>
      <c r="B17873" t="s">
        <v>14</v>
      </c>
      <c r="C17873" t="s">
        <v>33</v>
      </c>
      <c r="D17873" t="s">
        <v>11</v>
      </c>
      <c r="E17873" t="s">
        <v>12</v>
      </c>
      <c r="F17873">
        <v>100240354</v>
      </c>
      <c r="G17873">
        <v>100240378</v>
      </c>
      <c r="H17873">
        <v>100240328</v>
      </c>
      <c r="I17873">
        <v>100240342</v>
      </c>
    </row>
    <row r="17874" spans="1:9" x14ac:dyDescent="0.2">
      <c r="A17874" s="1" t="str">
        <f>"TFRC"</f>
        <v>TFRC</v>
      </c>
      <c r="B17874" t="s">
        <v>14</v>
      </c>
      <c r="C17874" t="s">
        <v>22</v>
      </c>
      <c r="D17874" t="s">
        <v>11</v>
      </c>
      <c r="E17874" t="s">
        <v>12</v>
      </c>
      <c r="F17874">
        <v>195808952</v>
      </c>
      <c r="G17874">
        <v>195808972</v>
      </c>
      <c r="H17874">
        <v>195808980</v>
      </c>
      <c r="I17874">
        <v>195809009</v>
      </c>
    </row>
    <row r="17875" spans="1:9" x14ac:dyDescent="0.2">
      <c r="A17875" s="1" t="str">
        <f>"TG"</f>
        <v>TG</v>
      </c>
      <c r="B17875" t="s">
        <v>9</v>
      </c>
      <c r="C17875" t="s">
        <v>30</v>
      </c>
      <c r="D17875" t="s">
        <v>17</v>
      </c>
      <c r="E17875" t="s">
        <v>12</v>
      </c>
      <c r="F17875">
        <v>133879193</v>
      </c>
      <c r="G17875">
        <v>133879209</v>
      </c>
      <c r="H17875">
        <v>133879193</v>
      </c>
      <c r="I17875">
        <v>133879209</v>
      </c>
    </row>
    <row r="17876" spans="1:9" x14ac:dyDescent="0.2">
      <c r="A17876" s="1" t="str">
        <f>"TG"</f>
        <v>TG</v>
      </c>
      <c r="B17876" t="s">
        <v>13</v>
      </c>
      <c r="C17876" t="s">
        <v>30</v>
      </c>
      <c r="D17876" t="s">
        <v>17</v>
      </c>
      <c r="E17876" t="s">
        <v>12</v>
      </c>
      <c r="F17876">
        <v>133894158</v>
      </c>
      <c r="G17876">
        <v>133894179</v>
      </c>
      <c r="H17876">
        <v>133894158</v>
      </c>
      <c r="I17876">
        <v>133894179</v>
      </c>
    </row>
    <row r="17877" spans="1:9" x14ac:dyDescent="0.2">
      <c r="A17877" s="1" t="str">
        <f>"TGDS"</f>
        <v>TGDS</v>
      </c>
      <c r="B17877" t="s">
        <v>14</v>
      </c>
      <c r="C17877" t="s">
        <v>39</v>
      </c>
      <c r="D17877" t="s">
        <v>11</v>
      </c>
      <c r="E17877" t="s">
        <v>12</v>
      </c>
      <c r="F17877">
        <v>95248399</v>
      </c>
      <c r="G17877">
        <v>95248442</v>
      </c>
      <c r="H17877">
        <v>95248511</v>
      </c>
      <c r="I17877">
        <v>95248537</v>
      </c>
    </row>
    <row r="17878" spans="1:9" x14ac:dyDescent="0.2">
      <c r="A17878" s="1" t="str">
        <f>"TGFA"</f>
        <v>TGFA</v>
      </c>
      <c r="B17878" t="s">
        <v>14</v>
      </c>
      <c r="C17878" t="s">
        <v>26</v>
      </c>
      <c r="D17878" t="s">
        <v>11</v>
      </c>
      <c r="E17878" t="s">
        <v>12</v>
      </c>
      <c r="F17878">
        <v>70780951</v>
      </c>
      <c r="G17878">
        <v>70780966</v>
      </c>
      <c r="H17878">
        <v>70781087</v>
      </c>
      <c r="I17878">
        <v>70781098</v>
      </c>
    </row>
    <row r="17879" spans="1:9" x14ac:dyDescent="0.2">
      <c r="A17879" s="1" t="str">
        <f>"TGFB1"</f>
        <v>TGFB1</v>
      </c>
      <c r="B17879" t="s">
        <v>14</v>
      </c>
      <c r="C17879" t="s">
        <v>10</v>
      </c>
      <c r="D17879" t="s">
        <v>11</v>
      </c>
      <c r="E17879" t="s">
        <v>12</v>
      </c>
      <c r="F17879">
        <v>41859814</v>
      </c>
      <c r="G17879">
        <v>41859837</v>
      </c>
      <c r="H17879">
        <v>41859515</v>
      </c>
      <c r="I17879">
        <v>41859537</v>
      </c>
    </row>
    <row r="17880" spans="1:9" x14ac:dyDescent="0.2">
      <c r="A17880" s="1" t="str">
        <f>"TGFB1I1"</f>
        <v>TGFB1I1</v>
      </c>
      <c r="B17880" t="s">
        <v>14</v>
      </c>
      <c r="C17880" t="s">
        <v>31</v>
      </c>
      <c r="D17880" t="s">
        <v>17</v>
      </c>
      <c r="E17880" t="s">
        <v>12</v>
      </c>
      <c r="F17880">
        <v>31483451</v>
      </c>
      <c r="G17880">
        <v>31483507</v>
      </c>
      <c r="H17880">
        <v>31483374</v>
      </c>
      <c r="I17880">
        <v>31483390</v>
      </c>
    </row>
    <row r="17881" spans="1:9" x14ac:dyDescent="0.2">
      <c r="A17881" s="1" t="str">
        <f>"TGFB2"</f>
        <v>TGFB2</v>
      </c>
      <c r="B17881" t="s">
        <v>14</v>
      </c>
      <c r="C17881" t="s">
        <v>19</v>
      </c>
      <c r="D17881" t="s">
        <v>17</v>
      </c>
      <c r="E17881" t="s">
        <v>12</v>
      </c>
      <c r="F17881">
        <v>218518669</v>
      </c>
      <c r="G17881">
        <v>218518689</v>
      </c>
      <c r="H17881">
        <v>218519393</v>
      </c>
      <c r="I17881">
        <v>218519489</v>
      </c>
    </row>
    <row r="17882" spans="1:9" x14ac:dyDescent="0.2">
      <c r="A17882" s="1" t="str">
        <f>"TGFB3"</f>
        <v>TGFB3</v>
      </c>
      <c r="B17882" t="s">
        <v>14</v>
      </c>
      <c r="C17882" t="s">
        <v>41</v>
      </c>
      <c r="D17882" t="s">
        <v>11</v>
      </c>
      <c r="E17882" t="s">
        <v>12</v>
      </c>
      <c r="F17882">
        <v>76448329</v>
      </c>
      <c r="G17882">
        <v>76448345</v>
      </c>
      <c r="H17882">
        <v>76448226</v>
      </c>
      <c r="I17882">
        <v>76448256</v>
      </c>
    </row>
    <row r="17883" spans="1:9" x14ac:dyDescent="0.2">
      <c r="A17883" s="1" t="str">
        <f>"TGFBI"</f>
        <v>TGFBI</v>
      </c>
      <c r="B17883" t="s">
        <v>9</v>
      </c>
      <c r="C17883" t="s">
        <v>46</v>
      </c>
      <c r="D17883" t="s">
        <v>17</v>
      </c>
      <c r="E17883" t="s">
        <v>12</v>
      </c>
      <c r="F17883">
        <v>135364668</v>
      </c>
      <c r="G17883">
        <v>135364689</v>
      </c>
      <c r="H17883">
        <v>135364668</v>
      </c>
      <c r="I17883">
        <v>135364689</v>
      </c>
    </row>
    <row r="17884" spans="1:9" x14ac:dyDescent="0.2">
      <c r="A17884" s="1" t="str">
        <f>"TGFBI"</f>
        <v>TGFBI</v>
      </c>
      <c r="B17884" t="s">
        <v>13</v>
      </c>
      <c r="C17884" t="s">
        <v>46</v>
      </c>
      <c r="D17884" t="s">
        <v>17</v>
      </c>
      <c r="E17884" t="s">
        <v>12</v>
      </c>
      <c r="F17884">
        <v>135382052</v>
      </c>
      <c r="G17884">
        <v>135382068</v>
      </c>
      <c r="H17884">
        <v>135382052</v>
      </c>
      <c r="I17884">
        <v>135382068</v>
      </c>
    </row>
    <row r="17885" spans="1:9" x14ac:dyDescent="0.2">
      <c r="A17885" s="1" t="str">
        <f>"TGFBR1"</f>
        <v>TGFBR1</v>
      </c>
      <c r="B17885" t="s">
        <v>14</v>
      </c>
      <c r="C17885" t="s">
        <v>24</v>
      </c>
      <c r="D17885" t="s">
        <v>17</v>
      </c>
      <c r="E17885" t="s">
        <v>12</v>
      </c>
      <c r="F17885">
        <v>101867387</v>
      </c>
      <c r="G17885">
        <v>101867474</v>
      </c>
      <c r="H17885">
        <v>101867387</v>
      </c>
      <c r="I17885">
        <v>101867474</v>
      </c>
    </row>
    <row r="17886" spans="1:9" x14ac:dyDescent="0.2">
      <c r="A17886" s="1" t="str">
        <f>"TGFBR2"</f>
        <v>TGFBR2</v>
      </c>
      <c r="B17886" t="s">
        <v>14</v>
      </c>
      <c r="C17886" t="s">
        <v>22</v>
      </c>
      <c r="D17886" t="s">
        <v>17</v>
      </c>
      <c r="E17886" t="s">
        <v>12</v>
      </c>
      <c r="F17886">
        <v>30648066</v>
      </c>
      <c r="G17886">
        <v>30648167</v>
      </c>
      <c r="H17886">
        <v>30648011</v>
      </c>
      <c r="I17886">
        <v>30648061</v>
      </c>
    </row>
    <row r="17887" spans="1:9" x14ac:dyDescent="0.2">
      <c r="A17887" s="1" t="str">
        <f>"TGFBR3"</f>
        <v>TGFBR3</v>
      </c>
      <c r="B17887" t="s">
        <v>14</v>
      </c>
      <c r="C17887" t="s">
        <v>19</v>
      </c>
      <c r="D17887" t="s">
        <v>11</v>
      </c>
      <c r="E17887" t="s">
        <v>12</v>
      </c>
      <c r="F17887">
        <v>92351667</v>
      </c>
      <c r="G17887">
        <v>92351689</v>
      </c>
      <c r="H17887">
        <v>92351701</v>
      </c>
      <c r="I17887">
        <v>92351724</v>
      </c>
    </row>
    <row r="17888" spans="1:9" x14ac:dyDescent="0.2">
      <c r="A17888" s="1" t="str">
        <f>"TGFBR3L"</f>
        <v>TGFBR3L</v>
      </c>
      <c r="B17888" t="s">
        <v>14</v>
      </c>
      <c r="C17888" t="s">
        <v>10</v>
      </c>
      <c r="D17888" t="s">
        <v>17</v>
      </c>
      <c r="E17888" t="s">
        <v>67</v>
      </c>
      <c r="F17888">
        <v>7980989</v>
      </c>
      <c r="G17888">
        <v>7981031</v>
      </c>
      <c r="H17888">
        <v>7981112</v>
      </c>
      <c r="I17888">
        <v>7981133</v>
      </c>
    </row>
    <row r="17889" spans="1:9" x14ac:dyDescent="0.2">
      <c r="A17889" s="1" t="str">
        <f>"TGFBRAP1"</f>
        <v>TGFBRAP1</v>
      </c>
      <c r="B17889" t="s">
        <v>14</v>
      </c>
      <c r="C17889" t="s">
        <v>26</v>
      </c>
      <c r="D17889" t="s">
        <v>11</v>
      </c>
      <c r="E17889" t="s">
        <v>12</v>
      </c>
      <c r="F17889">
        <v>105946138</v>
      </c>
      <c r="G17889">
        <v>105946204</v>
      </c>
      <c r="H17889">
        <v>105946454</v>
      </c>
      <c r="I17889">
        <v>105946479</v>
      </c>
    </row>
    <row r="17890" spans="1:9" x14ac:dyDescent="0.2">
      <c r="A17890" s="1" t="str">
        <f>"TGIF1"</f>
        <v>TGIF1</v>
      </c>
      <c r="B17890" t="s">
        <v>14</v>
      </c>
      <c r="C17890" t="s">
        <v>43</v>
      </c>
      <c r="D17890" t="s">
        <v>17</v>
      </c>
      <c r="E17890" t="s">
        <v>12</v>
      </c>
      <c r="F17890">
        <v>3450161</v>
      </c>
      <c r="G17890">
        <v>3450183</v>
      </c>
      <c r="H17890">
        <v>3449720</v>
      </c>
      <c r="I17890">
        <v>3449749</v>
      </c>
    </row>
    <row r="17891" spans="1:9" x14ac:dyDescent="0.2">
      <c r="A17891" s="1" t="str">
        <f>"TGIF2"</f>
        <v>TGIF2</v>
      </c>
      <c r="B17891" t="s">
        <v>14</v>
      </c>
      <c r="C17891" t="s">
        <v>29</v>
      </c>
      <c r="D17891" t="s">
        <v>17</v>
      </c>
      <c r="E17891" t="s">
        <v>12</v>
      </c>
      <c r="F17891">
        <v>35201993</v>
      </c>
      <c r="G17891">
        <v>35202050</v>
      </c>
      <c r="H17891">
        <v>35202909</v>
      </c>
      <c r="I17891">
        <v>35202963</v>
      </c>
    </row>
    <row r="17892" spans="1:9" x14ac:dyDescent="0.2">
      <c r="A17892" s="1" t="str">
        <f>"TGIF2-C20orf24"</f>
        <v>TGIF2-C20orf24</v>
      </c>
      <c r="B17892" t="s">
        <v>1706</v>
      </c>
      <c r="C17892" t="s">
        <v>29</v>
      </c>
      <c r="D17892" t="s">
        <v>17</v>
      </c>
      <c r="E17892" t="s">
        <v>35</v>
      </c>
      <c r="F17892">
        <v>35202897</v>
      </c>
      <c r="G17892">
        <v>35202904</v>
      </c>
      <c r="H17892">
        <v>35203045</v>
      </c>
      <c r="I17892">
        <v>35203058</v>
      </c>
    </row>
    <row r="17893" spans="1:9" x14ac:dyDescent="0.2">
      <c r="A17893" s="1" t="str">
        <f>"TGIF2LX"</f>
        <v>TGIF2LX</v>
      </c>
      <c r="B17893" t="s">
        <v>14</v>
      </c>
      <c r="C17893" t="s">
        <v>37</v>
      </c>
      <c r="D17893" t="s">
        <v>17</v>
      </c>
      <c r="E17893" t="s">
        <v>12</v>
      </c>
      <c r="F17893">
        <v>89176902</v>
      </c>
      <c r="G17893">
        <v>89176913</v>
      </c>
      <c r="H17893">
        <v>89176897</v>
      </c>
      <c r="I17893">
        <v>89176900</v>
      </c>
    </row>
    <row r="17894" spans="1:9" x14ac:dyDescent="0.2">
      <c r="A17894" s="1" t="str">
        <f>"TGIF2LY"</f>
        <v>TGIF2LY</v>
      </c>
      <c r="B17894" t="s">
        <v>1707</v>
      </c>
      <c r="C17894" t="s">
        <v>63</v>
      </c>
      <c r="D17894" t="s">
        <v>17</v>
      </c>
      <c r="E17894" t="s">
        <v>20</v>
      </c>
      <c r="F17894">
        <v>3447118</v>
      </c>
      <c r="G17894">
        <v>3447118</v>
      </c>
      <c r="H17894">
        <v>3447118</v>
      </c>
      <c r="I17894">
        <v>3447118</v>
      </c>
    </row>
    <row r="17895" spans="1:9" x14ac:dyDescent="0.2">
      <c r="A17895" s="1" t="str">
        <f>"TGM1"</f>
        <v>TGM1</v>
      </c>
      <c r="B17895" t="s">
        <v>14</v>
      </c>
      <c r="C17895" t="s">
        <v>41</v>
      </c>
      <c r="D17895" t="s">
        <v>11</v>
      </c>
      <c r="E17895" t="s">
        <v>12</v>
      </c>
      <c r="F17895">
        <v>24732368</v>
      </c>
      <c r="G17895">
        <v>24732391</v>
      </c>
      <c r="H17895">
        <v>24732368</v>
      </c>
      <c r="I17895">
        <v>24732391</v>
      </c>
    </row>
    <row r="17896" spans="1:9" x14ac:dyDescent="0.2">
      <c r="A17896" s="1" t="str">
        <f>"TGM2"</f>
        <v>TGM2</v>
      </c>
      <c r="B17896" t="s">
        <v>14</v>
      </c>
      <c r="C17896" t="s">
        <v>29</v>
      </c>
      <c r="D17896" t="s">
        <v>11</v>
      </c>
      <c r="E17896" t="s">
        <v>12</v>
      </c>
      <c r="F17896">
        <v>36793663</v>
      </c>
      <c r="G17896">
        <v>36793735</v>
      </c>
      <c r="H17896">
        <v>36793649</v>
      </c>
      <c r="I17896">
        <v>36793659</v>
      </c>
    </row>
    <row r="17897" spans="1:9" x14ac:dyDescent="0.2">
      <c r="A17897" s="1" t="str">
        <f>"TGM3"</f>
        <v>TGM3</v>
      </c>
      <c r="B17897" t="s">
        <v>14</v>
      </c>
      <c r="C17897" t="s">
        <v>29</v>
      </c>
      <c r="D17897" t="s">
        <v>17</v>
      </c>
      <c r="E17897" t="s">
        <v>12</v>
      </c>
      <c r="F17897">
        <v>2276639</v>
      </c>
      <c r="G17897">
        <v>2276656</v>
      </c>
      <c r="H17897">
        <v>2276639</v>
      </c>
      <c r="I17897">
        <v>2276656</v>
      </c>
    </row>
    <row r="17898" spans="1:9" x14ac:dyDescent="0.2">
      <c r="A17898" s="1" t="str">
        <f>"TGM4"</f>
        <v>TGM4</v>
      </c>
      <c r="B17898" t="s">
        <v>9</v>
      </c>
      <c r="C17898" t="s">
        <v>22</v>
      </c>
      <c r="D17898" t="s">
        <v>17</v>
      </c>
      <c r="E17898" t="s">
        <v>12</v>
      </c>
      <c r="F17898">
        <v>44916098</v>
      </c>
      <c r="G17898">
        <v>44916104</v>
      </c>
      <c r="H17898">
        <v>44916098</v>
      </c>
      <c r="I17898">
        <v>44916104</v>
      </c>
    </row>
    <row r="17899" spans="1:9" x14ac:dyDescent="0.2">
      <c r="A17899" s="1" t="str">
        <f>"TGM4"</f>
        <v>TGM4</v>
      </c>
      <c r="B17899" t="s">
        <v>13</v>
      </c>
      <c r="C17899" t="s">
        <v>22</v>
      </c>
      <c r="D17899" t="s">
        <v>17</v>
      </c>
      <c r="E17899" t="s">
        <v>12</v>
      </c>
      <c r="F17899">
        <v>44945162</v>
      </c>
      <c r="G17899">
        <v>44945194</v>
      </c>
      <c r="H17899">
        <v>44945162</v>
      </c>
      <c r="I17899">
        <v>44945194</v>
      </c>
    </row>
    <row r="17900" spans="1:9" x14ac:dyDescent="0.2">
      <c r="A17900" s="1" t="str">
        <f>"TGM5"</f>
        <v>TGM5</v>
      </c>
      <c r="B17900" t="s">
        <v>9</v>
      </c>
      <c r="C17900" t="s">
        <v>25</v>
      </c>
      <c r="D17900" t="s">
        <v>11</v>
      </c>
      <c r="E17900" t="s">
        <v>12</v>
      </c>
      <c r="F17900">
        <v>43545788</v>
      </c>
      <c r="G17900">
        <v>43545799</v>
      </c>
      <c r="H17900">
        <v>43545788</v>
      </c>
      <c r="I17900">
        <v>43545799</v>
      </c>
    </row>
    <row r="17901" spans="1:9" x14ac:dyDescent="0.2">
      <c r="A17901" s="1" t="str">
        <f>"TGM5"</f>
        <v>TGM5</v>
      </c>
      <c r="B17901" t="s">
        <v>13</v>
      </c>
      <c r="C17901" t="s">
        <v>25</v>
      </c>
      <c r="D17901" t="s">
        <v>11</v>
      </c>
      <c r="E17901" t="s">
        <v>12</v>
      </c>
      <c r="F17901">
        <v>43559113</v>
      </c>
      <c r="G17901">
        <v>43559131</v>
      </c>
      <c r="H17901">
        <v>43559113</v>
      </c>
      <c r="I17901">
        <v>43559131</v>
      </c>
    </row>
    <row r="17902" spans="1:9" x14ac:dyDescent="0.2">
      <c r="A17902" s="1" t="str">
        <f>"TGM6"</f>
        <v>TGM6</v>
      </c>
      <c r="B17902" t="s">
        <v>14</v>
      </c>
      <c r="C17902" t="s">
        <v>29</v>
      </c>
      <c r="D17902" t="s">
        <v>17</v>
      </c>
      <c r="E17902" t="s">
        <v>12</v>
      </c>
      <c r="F17902">
        <v>2361545</v>
      </c>
      <c r="G17902">
        <v>2361557</v>
      </c>
      <c r="H17902">
        <v>2361513</v>
      </c>
      <c r="I17902">
        <v>2361520</v>
      </c>
    </row>
    <row r="17903" spans="1:9" x14ac:dyDescent="0.2">
      <c r="A17903" s="1" t="str">
        <f>"TGM7"</f>
        <v>TGM7</v>
      </c>
      <c r="B17903" t="s">
        <v>9</v>
      </c>
      <c r="C17903" t="s">
        <v>25</v>
      </c>
      <c r="D17903" t="s">
        <v>11</v>
      </c>
      <c r="E17903" t="s">
        <v>12</v>
      </c>
      <c r="F17903">
        <v>43585795</v>
      </c>
      <c r="G17903">
        <v>43585813</v>
      </c>
      <c r="H17903">
        <v>43585795</v>
      </c>
      <c r="I17903">
        <v>43585813</v>
      </c>
    </row>
    <row r="17904" spans="1:9" x14ac:dyDescent="0.2">
      <c r="A17904" s="1" t="str">
        <f>"TGM7"</f>
        <v>TGM7</v>
      </c>
      <c r="B17904" t="s">
        <v>13</v>
      </c>
      <c r="C17904" t="s">
        <v>25</v>
      </c>
      <c r="D17904" t="s">
        <v>11</v>
      </c>
      <c r="E17904" t="s">
        <v>12</v>
      </c>
      <c r="F17904">
        <v>43594482</v>
      </c>
      <c r="G17904">
        <v>43594484</v>
      </c>
      <c r="H17904">
        <v>43594482</v>
      </c>
      <c r="I17904">
        <v>43594484</v>
      </c>
    </row>
    <row r="17905" spans="1:9" x14ac:dyDescent="0.2">
      <c r="A17905" s="1" t="str">
        <f>"TGOLN2"</f>
        <v>TGOLN2</v>
      </c>
      <c r="B17905" t="s">
        <v>14</v>
      </c>
      <c r="C17905" t="s">
        <v>26</v>
      </c>
      <c r="D17905" t="s">
        <v>11</v>
      </c>
      <c r="E17905" t="s">
        <v>12</v>
      </c>
      <c r="F17905">
        <v>85555086</v>
      </c>
      <c r="G17905">
        <v>85555119</v>
      </c>
      <c r="H17905">
        <v>85555061</v>
      </c>
      <c r="I17905">
        <v>85555081</v>
      </c>
    </row>
    <row r="17906" spans="1:9" x14ac:dyDescent="0.2">
      <c r="A17906" s="1" t="str">
        <f>"TGS1"</f>
        <v>TGS1</v>
      </c>
      <c r="B17906" t="s">
        <v>14</v>
      </c>
      <c r="C17906" t="s">
        <v>30</v>
      </c>
      <c r="D17906" t="s">
        <v>17</v>
      </c>
      <c r="E17906" t="s">
        <v>12</v>
      </c>
      <c r="F17906">
        <v>56685983</v>
      </c>
      <c r="G17906">
        <v>56686039</v>
      </c>
      <c r="H17906">
        <v>56686048</v>
      </c>
      <c r="I17906">
        <v>56686071</v>
      </c>
    </row>
    <row r="17907" spans="1:9" x14ac:dyDescent="0.2">
      <c r="A17907" s="1" t="str">
        <f>"TH"</f>
        <v>TH</v>
      </c>
      <c r="B17907" t="s">
        <v>9</v>
      </c>
      <c r="C17907" t="s">
        <v>27</v>
      </c>
      <c r="D17907" t="s">
        <v>11</v>
      </c>
      <c r="E17907" t="s">
        <v>12</v>
      </c>
      <c r="F17907">
        <v>2193037</v>
      </c>
      <c r="G17907">
        <v>2193053</v>
      </c>
      <c r="H17907">
        <v>2193037</v>
      </c>
      <c r="I17907">
        <v>2193053</v>
      </c>
    </row>
    <row r="17908" spans="1:9" x14ac:dyDescent="0.2">
      <c r="A17908" s="1" t="str">
        <f>"TH"</f>
        <v>TH</v>
      </c>
      <c r="B17908" t="s">
        <v>13</v>
      </c>
      <c r="C17908" t="s">
        <v>27</v>
      </c>
      <c r="D17908" t="s">
        <v>11</v>
      </c>
      <c r="E17908" t="s">
        <v>12</v>
      </c>
      <c r="F17908">
        <v>2188016</v>
      </c>
      <c r="G17908">
        <v>2188030</v>
      </c>
      <c r="H17908">
        <v>2188016</v>
      </c>
      <c r="I17908">
        <v>2188030</v>
      </c>
    </row>
    <row r="17909" spans="1:9" x14ac:dyDescent="0.2">
      <c r="A17909" s="1" t="str">
        <f>"THADA"</f>
        <v>THADA</v>
      </c>
      <c r="B17909" t="s">
        <v>14</v>
      </c>
      <c r="C17909" t="s">
        <v>26</v>
      </c>
      <c r="D17909" t="s">
        <v>11</v>
      </c>
      <c r="E17909" t="s">
        <v>12</v>
      </c>
      <c r="F17909">
        <v>43823119</v>
      </c>
      <c r="G17909">
        <v>43823209</v>
      </c>
      <c r="H17909">
        <v>43823093</v>
      </c>
      <c r="I17909">
        <v>43823113</v>
      </c>
    </row>
    <row r="17910" spans="1:9" x14ac:dyDescent="0.2">
      <c r="A17910" s="1" t="str">
        <f>"THAP1"</f>
        <v>THAP1</v>
      </c>
      <c r="B17910" t="s">
        <v>14</v>
      </c>
      <c r="C17910" t="s">
        <v>30</v>
      </c>
      <c r="D17910" t="s">
        <v>11</v>
      </c>
      <c r="E17910" t="s">
        <v>12</v>
      </c>
      <c r="F17910">
        <v>42698433</v>
      </c>
      <c r="G17910">
        <v>42698486</v>
      </c>
      <c r="H17910">
        <v>42698194</v>
      </c>
      <c r="I17910">
        <v>42698239</v>
      </c>
    </row>
    <row r="17911" spans="1:9" x14ac:dyDescent="0.2">
      <c r="A17911" s="1" t="str">
        <f>"THAP10"</f>
        <v>THAP10</v>
      </c>
      <c r="B17911" t="s">
        <v>14</v>
      </c>
      <c r="C17911" t="s">
        <v>25</v>
      </c>
      <c r="D17911" t="s">
        <v>11</v>
      </c>
      <c r="E17911" t="s">
        <v>12</v>
      </c>
      <c r="F17911">
        <v>71184724</v>
      </c>
      <c r="G17911">
        <v>71184778</v>
      </c>
      <c r="H17911">
        <v>71184837</v>
      </c>
      <c r="I17911">
        <v>71184877</v>
      </c>
    </row>
    <row r="17912" spans="1:9" x14ac:dyDescent="0.2">
      <c r="A17912" s="1" t="str">
        <f>"THAP11"</f>
        <v>THAP11</v>
      </c>
      <c r="B17912" t="s">
        <v>14</v>
      </c>
      <c r="C17912" t="s">
        <v>31</v>
      </c>
      <c r="D17912" t="s">
        <v>17</v>
      </c>
      <c r="E17912" t="s">
        <v>12</v>
      </c>
      <c r="F17912">
        <v>67876180</v>
      </c>
      <c r="G17912">
        <v>67876242</v>
      </c>
      <c r="H17912">
        <v>67876420</v>
      </c>
      <c r="I17912">
        <v>67876500</v>
      </c>
    </row>
    <row r="17913" spans="1:9" x14ac:dyDescent="0.2">
      <c r="A17913" s="1" t="str">
        <f>"THAP2"</f>
        <v>THAP2</v>
      </c>
      <c r="B17913" t="s">
        <v>9</v>
      </c>
      <c r="C17913" t="s">
        <v>16</v>
      </c>
      <c r="D17913" t="s">
        <v>17</v>
      </c>
      <c r="E17913" t="s">
        <v>12</v>
      </c>
      <c r="F17913">
        <v>72056800</v>
      </c>
      <c r="G17913">
        <v>72056834</v>
      </c>
      <c r="H17913">
        <v>72056800</v>
      </c>
      <c r="I17913">
        <v>72056834</v>
      </c>
    </row>
    <row r="17914" spans="1:9" x14ac:dyDescent="0.2">
      <c r="A17914" s="1" t="str">
        <f>"THAP2"</f>
        <v>THAP2</v>
      </c>
      <c r="B17914" t="s">
        <v>13</v>
      </c>
      <c r="C17914" t="s">
        <v>16</v>
      </c>
      <c r="D17914" t="s">
        <v>17</v>
      </c>
      <c r="E17914" t="s">
        <v>12</v>
      </c>
      <c r="F17914">
        <v>72058130</v>
      </c>
      <c r="G17914">
        <v>72058189</v>
      </c>
      <c r="H17914">
        <v>72058130</v>
      </c>
      <c r="I17914">
        <v>72058189</v>
      </c>
    </row>
    <row r="17915" spans="1:9" x14ac:dyDescent="0.2">
      <c r="A17915" s="1" t="str">
        <f>"THAP3"</f>
        <v>THAP3</v>
      </c>
      <c r="B17915" t="s">
        <v>14</v>
      </c>
      <c r="C17915" t="s">
        <v>19</v>
      </c>
      <c r="D17915" t="s">
        <v>17</v>
      </c>
      <c r="E17915" t="s">
        <v>12</v>
      </c>
      <c r="F17915">
        <v>6685228</v>
      </c>
      <c r="G17915">
        <v>6685270</v>
      </c>
      <c r="H17915">
        <v>6684918</v>
      </c>
      <c r="I17915">
        <v>6684936</v>
      </c>
    </row>
    <row r="17916" spans="1:9" x14ac:dyDescent="0.2">
      <c r="A17916" s="1" t="str">
        <f>"THAP4"</f>
        <v>THAP4</v>
      </c>
      <c r="B17916" t="s">
        <v>14</v>
      </c>
      <c r="C17916" t="s">
        <v>26</v>
      </c>
      <c r="D17916" t="s">
        <v>11</v>
      </c>
      <c r="E17916" t="s">
        <v>12</v>
      </c>
      <c r="F17916">
        <v>242576460</v>
      </c>
      <c r="G17916">
        <v>242576600</v>
      </c>
      <c r="H17916">
        <v>242576641</v>
      </c>
      <c r="I17916">
        <v>242576731</v>
      </c>
    </row>
    <row r="17917" spans="1:9" x14ac:dyDescent="0.2">
      <c r="A17917" s="1" t="str">
        <f>"THAP5"</f>
        <v>THAP5</v>
      </c>
      <c r="B17917" t="s">
        <v>14</v>
      </c>
      <c r="C17917" t="s">
        <v>33</v>
      </c>
      <c r="D17917" t="s">
        <v>11</v>
      </c>
      <c r="E17917" t="s">
        <v>12</v>
      </c>
      <c r="F17917">
        <v>108210048</v>
      </c>
      <c r="G17917">
        <v>108210169</v>
      </c>
      <c r="H17917">
        <v>108209925</v>
      </c>
      <c r="I17917">
        <v>108209941</v>
      </c>
    </row>
    <row r="17918" spans="1:9" x14ac:dyDescent="0.2">
      <c r="A17918" s="1" t="str">
        <f>"THAP6"</f>
        <v>THAP6</v>
      </c>
      <c r="B17918" t="s">
        <v>14</v>
      </c>
      <c r="C17918" t="s">
        <v>23</v>
      </c>
      <c r="D17918" t="s">
        <v>17</v>
      </c>
      <c r="E17918" t="s">
        <v>12</v>
      </c>
      <c r="F17918">
        <v>76439665</v>
      </c>
      <c r="G17918">
        <v>76439699</v>
      </c>
      <c r="H17918">
        <v>76439649</v>
      </c>
      <c r="I17918">
        <v>76439662</v>
      </c>
    </row>
    <row r="17919" spans="1:9" x14ac:dyDescent="0.2">
      <c r="A17919" s="1" t="str">
        <f>"THAP7"</f>
        <v>THAP7</v>
      </c>
      <c r="B17919" t="s">
        <v>14</v>
      </c>
      <c r="C17919" t="s">
        <v>21</v>
      </c>
      <c r="D17919" t="s">
        <v>11</v>
      </c>
      <c r="E17919" t="s">
        <v>12</v>
      </c>
      <c r="F17919">
        <v>21356016</v>
      </c>
      <c r="G17919">
        <v>21356105</v>
      </c>
      <c r="H17919">
        <v>21356378</v>
      </c>
      <c r="I17919">
        <v>21356422</v>
      </c>
    </row>
    <row r="17920" spans="1:9" x14ac:dyDescent="0.2">
      <c r="A17920" s="1" t="str">
        <f>"THAP8"</f>
        <v>THAP8</v>
      </c>
      <c r="B17920" t="s">
        <v>14</v>
      </c>
      <c r="C17920" t="s">
        <v>10</v>
      </c>
      <c r="D17920" t="s">
        <v>11</v>
      </c>
      <c r="E17920" t="s">
        <v>12</v>
      </c>
      <c r="F17920">
        <v>36545128</v>
      </c>
      <c r="G17920">
        <v>36545203</v>
      </c>
      <c r="H17920">
        <v>36545291</v>
      </c>
      <c r="I17920">
        <v>36545314</v>
      </c>
    </row>
    <row r="17921" spans="1:9" x14ac:dyDescent="0.2">
      <c r="A17921" s="1" t="str">
        <f>"THAP9"</f>
        <v>THAP9</v>
      </c>
      <c r="B17921" t="s">
        <v>14</v>
      </c>
      <c r="C17921" t="s">
        <v>23</v>
      </c>
      <c r="D17921" t="s">
        <v>17</v>
      </c>
      <c r="E17921" t="s">
        <v>12</v>
      </c>
      <c r="F17921">
        <v>83821835</v>
      </c>
      <c r="G17921">
        <v>83821896</v>
      </c>
      <c r="H17921">
        <v>83822199</v>
      </c>
      <c r="I17921">
        <v>83822239</v>
      </c>
    </row>
    <row r="17922" spans="1:9" x14ac:dyDescent="0.2">
      <c r="A17922" s="1" t="str">
        <f>"THBD"</f>
        <v>THBD</v>
      </c>
      <c r="B17922" t="s">
        <v>9</v>
      </c>
      <c r="C17922" t="s">
        <v>29</v>
      </c>
      <c r="D17922" t="s">
        <v>11</v>
      </c>
      <c r="E17922" t="s">
        <v>12</v>
      </c>
      <c r="F17922">
        <v>23030296</v>
      </c>
      <c r="G17922">
        <v>23030315</v>
      </c>
      <c r="H17922">
        <v>23030296</v>
      </c>
      <c r="I17922">
        <v>23030315</v>
      </c>
    </row>
    <row r="17923" spans="1:9" x14ac:dyDescent="0.2">
      <c r="A17923" s="1" t="str">
        <f>"THBD"</f>
        <v>THBD</v>
      </c>
      <c r="B17923" t="s">
        <v>13</v>
      </c>
      <c r="C17923" t="s">
        <v>29</v>
      </c>
      <c r="D17923" t="s">
        <v>11</v>
      </c>
      <c r="E17923" t="s">
        <v>12</v>
      </c>
      <c r="F17923">
        <v>23029233</v>
      </c>
      <c r="G17923">
        <v>23029266</v>
      </c>
      <c r="H17923">
        <v>23029233</v>
      </c>
      <c r="I17923">
        <v>23029266</v>
      </c>
    </row>
    <row r="17924" spans="1:9" x14ac:dyDescent="0.2">
      <c r="A17924" s="1" t="str">
        <f>"THBS1"</f>
        <v>THBS1</v>
      </c>
      <c r="B17924" t="s">
        <v>9</v>
      </c>
      <c r="C17924" t="s">
        <v>25</v>
      </c>
      <c r="D17924" t="s">
        <v>17</v>
      </c>
      <c r="E17924" t="s">
        <v>12</v>
      </c>
      <c r="F17924">
        <v>39873268</v>
      </c>
      <c r="G17924">
        <v>39873287</v>
      </c>
      <c r="H17924">
        <v>39873268</v>
      </c>
      <c r="I17924">
        <v>39873287</v>
      </c>
    </row>
    <row r="17925" spans="1:9" x14ac:dyDescent="0.2">
      <c r="A17925" s="1" t="str">
        <f>"THBS1"</f>
        <v>THBS1</v>
      </c>
      <c r="B17925" t="s">
        <v>13</v>
      </c>
      <c r="C17925" t="s">
        <v>25</v>
      </c>
      <c r="D17925" t="s">
        <v>17</v>
      </c>
      <c r="E17925" t="s">
        <v>12</v>
      </c>
      <c r="F17925">
        <v>39880723</v>
      </c>
      <c r="G17925">
        <v>39880752</v>
      </c>
      <c r="H17925">
        <v>39880723</v>
      </c>
      <c r="I17925">
        <v>39880752</v>
      </c>
    </row>
    <row r="17926" spans="1:9" x14ac:dyDescent="0.2">
      <c r="A17926" s="1" t="str">
        <f>"THBS2"</f>
        <v>THBS2</v>
      </c>
      <c r="B17926" t="s">
        <v>14</v>
      </c>
      <c r="C17926" t="s">
        <v>32</v>
      </c>
      <c r="D17926" t="s">
        <v>11</v>
      </c>
      <c r="E17926" t="s">
        <v>12</v>
      </c>
      <c r="F17926">
        <v>169653931</v>
      </c>
      <c r="G17926">
        <v>169653949</v>
      </c>
      <c r="H17926">
        <v>169653931</v>
      </c>
      <c r="I17926">
        <v>169653949</v>
      </c>
    </row>
    <row r="17927" spans="1:9" x14ac:dyDescent="0.2">
      <c r="A17927" s="1" t="str">
        <f>"THBS3"</f>
        <v>THBS3</v>
      </c>
      <c r="B17927" t="s">
        <v>9</v>
      </c>
      <c r="C17927" t="s">
        <v>19</v>
      </c>
      <c r="D17927" t="s">
        <v>11</v>
      </c>
      <c r="E17927" t="s">
        <v>12</v>
      </c>
      <c r="F17927">
        <v>155177677</v>
      </c>
      <c r="G17927">
        <v>155177739</v>
      </c>
      <c r="H17927">
        <v>155177677</v>
      </c>
      <c r="I17927">
        <v>155177739</v>
      </c>
    </row>
    <row r="17928" spans="1:9" x14ac:dyDescent="0.2">
      <c r="A17928" s="1" t="str">
        <f>"THBS3"</f>
        <v>THBS3</v>
      </c>
      <c r="B17928" t="s">
        <v>13</v>
      </c>
      <c r="C17928" t="s">
        <v>19</v>
      </c>
      <c r="D17928" t="s">
        <v>11</v>
      </c>
      <c r="E17928" t="s">
        <v>12</v>
      </c>
      <c r="F17928">
        <v>155178897</v>
      </c>
      <c r="G17928">
        <v>155178934</v>
      </c>
      <c r="H17928">
        <v>155178897</v>
      </c>
      <c r="I17928">
        <v>155178934</v>
      </c>
    </row>
    <row r="17929" spans="1:9" x14ac:dyDescent="0.2">
      <c r="A17929" s="1" t="str">
        <f>"THBS4"</f>
        <v>THBS4</v>
      </c>
      <c r="B17929" t="s">
        <v>14</v>
      </c>
      <c r="C17929" t="s">
        <v>46</v>
      </c>
      <c r="D17929" t="s">
        <v>17</v>
      </c>
      <c r="E17929" t="s">
        <v>12</v>
      </c>
      <c r="F17929">
        <v>79331164</v>
      </c>
      <c r="G17929">
        <v>79331177</v>
      </c>
      <c r="H17929">
        <v>79331200</v>
      </c>
      <c r="I17929">
        <v>79331238</v>
      </c>
    </row>
    <row r="17930" spans="1:9" x14ac:dyDescent="0.2">
      <c r="A17930" s="1" t="str">
        <f>"THEG"</f>
        <v>THEG</v>
      </c>
      <c r="B17930" t="s">
        <v>9</v>
      </c>
      <c r="C17930" t="s">
        <v>10</v>
      </c>
      <c r="D17930" t="s">
        <v>11</v>
      </c>
      <c r="E17930" t="s">
        <v>12</v>
      </c>
      <c r="F17930">
        <v>374052</v>
      </c>
      <c r="G17930">
        <v>374070</v>
      </c>
      <c r="H17930">
        <v>374052</v>
      </c>
      <c r="I17930">
        <v>374070</v>
      </c>
    </row>
    <row r="17931" spans="1:9" x14ac:dyDescent="0.2">
      <c r="A17931" s="1" t="str">
        <f>"THEG"</f>
        <v>THEG</v>
      </c>
      <c r="B17931" t="s">
        <v>13</v>
      </c>
      <c r="C17931" t="s">
        <v>10</v>
      </c>
      <c r="D17931" t="s">
        <v>11</v>
      </c>
      <c r="E17931" t="s">
        <v>12</v>
      </c>
      <c r="F17931">
        <v>376011</v>
      </c>
      <c r="G17931">
        <v>376031</v>
      </c>
      <c r="H17931">
        <v>376011</v>
      </c>
      <c r="I17931">
        <v>376031</v>
      </c>
    </row>
    <row r="17932" spans="1:9" x14ac:dyDescent="0.2">
      <c r="A17932" s="1" t="str">
        <f>"THEGL"</f>
        <v>THEGL</v>
      </c>
      <c r="B17932" t="s">
        <v>14</v>
      </c>
      <c r="C17932" t="s">
        <v>23</v>
      </c>
      <c r="D17932" t="s">
        <v>17</v>
      </c>
      <c r="E17932" t="s">
        <v>67</v>
      </c>
      <c r="F17932">
        <v>57396766</v>
      </c>
      <c r="G17932">
        <v>57396791</v>
      </c>
      <c r="H17932">
        <v>57396750</v>
      </c>
      <c r="I17932">
        <v>57396765</v>
      </c>
    </row>
    <row r="17933" spans="1:9" x14ac:dyDescent="0.2">
      <c r="A17933" s="1" t="str">
        <f>"THEM4"</f>
        <v>THEM4</v>
      </c>
      <c r="B17933" t="s">
        <v>14</v>
      </c>
      <c r="C17933" t="s">
        <v>19</v>
      </c>
      <c r="D17933" t="s">
        <v>11</v>
      </c>
      <c r="E17933" t="s">
        <v>12</v>
      </c>
      <c r="F17933">
        <v>151881977</v>
      </c>
      <c r="G17933">
        <v>151882000</v>
      </c>
      <c r="H17933">
        <v>151881923</v>
      </c>
      <c r="I17933">
        <v>151881943</v>
      </c>
    </row>
    <row r="17934" spans="1:9" x14ac:dyDescent="0.2">
      <c r="A17934" s="1" t="str">
        <f>"THEM5"</f>
        <v>THEM5</v>
      </c>
      <c r="B17934" t="s">
        <v>14</v>
      </c>
      <c r="C17934" t="s">
        <v>19</v>
      </c>
      <c r="D17934" t="s">
        <v>11</v>
      </c>
      <c r="E17934" t="s">
        <v>12</v>
      </c>
      <c r="F17934">
        <v>151826179</v>
      </c>
      <c r="G17934">
        <v>151826192</v>
      </c>
      <c r="H17934">
        <v>151826134</v>
      </c>
      <c r="I17934">
        <v>151826143</v>
      </c>
    </row>
    <row r="17935" spans="1:9" x14ac:dyDescent="0.2">
      <c r="A17935" s="1" t="str">
        <f>"THEM6"</f>
        <v>THEM6</v>
      </c>
      <c r="B17935" t="s">
        <v>14</v>
      </c>
      <c r="C17935" t="s">
        <v>30</v>
      </c>
      <c r="D17935" t="s">
        <v>17</v>
      </c>
      <c r="E17935" t="s">
        <v>12</v>
      </c>
      <c r="F17935">
        <v>143808654</v>
      </c>
      <c r="G17935">
        <v>143808735</v>
      </c>
      <c r="H17935">
        <v>143808605</v>
      </c>
      <c r="I17935">
        <v>143808651</v>
      </c>
    </row>
    <row r="17936" spans="1:9" x14ac:dyDescent="0.2">
      <c r="A17936" s="1" t="str">
        <f>"THEMIS"</f>
        <v>THEMIS</v>
      </c>
      <c r="B17936" t="s">
        <v>9</v>
      </c>
      <c r="C17936" t="s">
        <v>32</v>
      </c>
      <c r="D17936" t="s">
        <v>11</v>
      </c>
      <c r="E17936" t="s">
        <v>12</v>
      </c>
      <c r="F17936">
        <v>128222186</v>
      </c>
      <c r="G17936">
        <v>128222217</v>
      </c>
      <c r="H17936">
        <v>128222186</v>
      </c>
      <c r="I17936">
        <v>128222217</v>
      </c>
    </row>
    <row r="17937" spans="1:9" x14ac:dyDescent="0.2">
      <c r="A17937" s="1" t="str">
        <f>"THEMIS"</f>
        <v>THEMIS</v>
      </c>
      <c r="B17937" t="s">
        <v>13</v>
      </c>
      <c r="C17937" t="s">
        <v>32</v>
      </c>
      <c r="D17937" t="s">
        <v>11</v>
      </c>
      <c r="E17937" t="s">
        <v>12</v>
      </c>
      <c r="F17937">
        <v>128239732</v>
      </c>
      <c r="G17937">
        <v>128239745</v>
      </c>
      <c r="H17937">
        <v>128239732</v>
      </c>
      <c r="I17937">
        <v>128239745</v>
      </c>
    </row>
    <row r="17938" spans="1:9" x14ac:dyDescent="0.2">
      <c r="A17938" s="1" t="str">
        <f>"THEMIS2"</f>
        <v>THEMIS2</v>
      </c>
      <c r="B17938" t="s">
        <v>14</v>
      </c>
      <c r="C17938" t="s">
        <v>19</v>
      </c>
      <c r="D17938" t="s">
        <v>17</v>
      </c>
      <c r="E17938" t="s">
        <v>12</v>
      </c>
      <c r="F17938">
        <v>28199047</v>
      </c>
      <c r="G17938">
        <v>28199071</v>
      </c>
      <c r="H17938">
        <v>28199047</v>
      </c>
      <c r="I17938">
        <v>28199071</v>
      </c>
    </row>
    <row r="17939" spans="1:9" x14ac:dyDescent="0.2">
      <c r="A17939" s="1" t="str">
        <f>"THG1L"</f>
        <v>THG1L</v>
      </c>
      <c r="B17939" t="s">
        <v>14</v>
      </c>
      <c r="C17939" t="s">
        <v>46</v>
      </c>
      <c r="D17939" t="s">
        <v>17</v>
      </c>
      <c r="E17939" t="s">
        <v>12</v>
      </c>
      <c r="F17939">
        <v>157158410</v>
      </c>
      <c r="G17939">
        <v>157158451</v>
      </c>
      <c r="H17939">
        <v>157158410</v>
      </c>
      <c r="I17939">
        <v>157158451</v>
      </c>
    </row>
    <row r="17940" spans="1:9" x14ac:dyDescent="0.2">
      <c r="A17940" s="1" t="str">
        <f>"THNSL1"</f>
        <v>THNSL1</v>
      </c>
      <c r="B17940" t="s">
        <v>14</v>
      </c>
      <c r="C17940" t="s">
        <v>15</v>
      </c>
      <c r="D17940" t="s">
        <v>17</v>
      </c>
      <c r="E17940" t="s">
        <v>12</v>
      </c>
      <c r="F17940">
        <v>25305524</v>
      </c>
      <c r="G17940">
        <v>25305595</v>
      </c>
      <c r="H17940">
        <v>25305502</v>
      </c>
      <c r="I17940">
        <v>25305523</v>
      </c>
    </row>
    <row r="17941" spans="1:9" x14ac:dyDescent="0.2">
      <c r="A17941" s="1" t="str">
        <f>"THNSL2"</f>
        <v>THNSL2</v>
      </c>
      <c r="B17941" t="s">
        <v>14</v>
      </c>
      <c r="C17941" t="s">
        <v>26</v>
      </c>
      <c r="D17941" t="s">
        <v>17</v>
      </c>
      <c r="E17941" t="s">
        <v>12</v>
      </c>
      <c r="F17941">
        <v>88469849</v>
      </c>
      <c r="G17941">
        <v>88469906</v>
      </c>
      <c r="H17941">
        <v>88469849</v>
      </c>
      <c r="I17941">
        <v>88469906</v>
      </c>
    </row>
    <row r="17942" spans="1:9" x14ac:dyDescent="0.2">
      <c r="A17942" s="1" t="str">
        <f>"THOC1"</f>
        <v>THOC1</v>
      </c>
      <c r="B17942" t="s">
        <v>14</v>
      </c>
      <c r="C17942" t="s">
        <v>43</v>
      </c>
      <c r="D17942" t="s">
        <v>11</v>
      </c>
      <c r="E17942" t="s">
        <v>12</v>
      </c>
      <c r="F17942">
        <v>268019</v>
      </c>
      <c r="G17942">
        <v>268064</v>
      </c>
      <c r="H17942">
        <v>268019</v>
      </c>
      <c r="I17942">
        <v>268064</v>
      </c>
    </row>
    <row r="17943" spans="1:9" x14ac:dyDescent="0.2">
      <c r="A17943" s="1" t="str">
        <f>"THOC2"</f>
        <v>THOC2</v>
      </c>
      <c r="B17943" t="s">
        <v>14</v>
      </c>
      <c r="C17943" t="s">
        <v>37</v>
      </c>
      <c r="D17943" t="s">
        <v>11</v>
      </c>
      <c r="E17943" t="s">
        <v>12</v>
      </c>
      <c r="F17943">
        <v>122866874</v>
      </c>
      <c r="G17943">
        <v>122866911</v>
      </c>
      <c r="H17943">
        <v>122866874</v>
      </c>
      <c r="I17943">
        <v>122866911</v>
      </c>
    </row>
    <row r="17944" spans="1:9" x14ac:dyDescent="0.2">
      <c r="A17944" s="1" t="str">
        <f>"THOC3"</f>
        <v>THOC3</v>
      </c>
      <c r="B17944" t="s">
        <v>14</v>
      </c>
      <c r="C17944" t="s">
        <v>46</v>
      </c>
      <c r="D17944" t="s">
        <v>11</v>
      </c>
      <c r="E17944" t="s">
        <v>12</v>
      </c>
      <c r="F17944">
        <v>175395305</v>
      </c>
      <c r="G17944">
        <v>175395320</v>
      </c>
      <c r="H17944">
        <v>175395305</v>
      </c>
      <c r="I17944">
        <v>175395320</v>
      </c>
    </row>
    <row r="17945" spans="1:9" x14ac:dyDescent="0.2">
      <c r="A17945" s="1" t="str">
        <f>"THOC5"</f>
        <v>THOC5</v>
      </c>
      <c r="B17945" t="s">
        <v>14</v>
      </c>
      <c r="C17945" t="s">
        <v>21</v>
      </c>
      <c r="D17945" t="s">
        <v>11</v>
      </c>
      <c r="E17945" t="s">
        <v>12</v>
      </c>
      <c r="F17945">
        <v>29949680</v>
      </c>
      <c r="G17945">
        <v>29949758</v>
      </c>
      <c r="H17945">
        <v>29949587</v>
      </c>
      <c r="I17945">
        <v>29949605</v>
      </c>
    </row>
    <row r="17946" spans="1:9" x14ac:dyDescent="0.2">
      <c r="A17946" s="1" t="str">
        <f>"THOC6"</f>
        <v>THOC6</v>
      </c>
      <c r="B17946" t="s">
        <v>14</v>
      </c>
      <c r="C17946" t="s">
        <v>31</v>
      </c>
      <c r="D17946" t="s">
        <v>17</v>
      </c>
      <c r="E17946" t="s">
        <v>12</v>
      </c>
      <c r="F17946">
        <v>3074002</v>
      </c>
      <c r="G17946">
        <v>3074071</v>
      </c>
      <c r="H17946">
        <v>3074002</v>
      </c>
      <c r="I17946">
        <v>3074071</v>
      </c>
    </row>
    <row r="17947" spans="1:9" x14ac:dyDescent="0.2">
      <c r="A17947" s="1" t="str">
        <f>"THOC7"</f>
        <v>THOC7</v>
      </c>
      <c r="B17947" t="s">
        <v>14</v>
      </c>
      <c r="C17947" t="s">
        <v>22</v>
      </c>
      <c r="D17947" t="s">
        <v>11</v>
      </c>
      <c r="E17947" t="s">
        <v>12</v>
      </c>
      <c r="F17947">
        <v>63849469</v>
      </c>
      <c r="G17947">
        <v>63849553</v>
      </c>
      <c r="H17947">
        <v>63849694</v>
      </c>
      <c r="I17947">
        <v>63849740</v>
      </c>
    </row>
    <row r="17948" spans="1:9" x14ac:dyDescent="0.2">
      <c r="A17948" s="1" t="str">
        <f>"THOP1"</f>
        <v>THOP1</v>
      </c>
      <c r="B17948" t="s">
        <v>14</v>
      </c>
      <c r="C17948" t="s">
        <v>10</v>
      </c>
      <c r="D17948" t="s">
        <v>17</v>
      </c>
      <c r="E17948" t="s">
        <v>12</v>
      </c>
      <c r="F17948">
        <v>2785479</v>
      </c>
      <c r="G17948">
        <v>2785548</v>
      </c>
      <c r="H17948">
        <v>2785479</v>
      </c>
      <c r="I17948">
        <v>2785548</v>
      </c>
    </row>
    <row r="17949" spans="1:9" x14ac:dyDescent="0.2">
      <c r="A17949" s="1" t="str">
        <f>"THPO"</f>
        <v>THPO</v>
      </c>
      <c r="B17949" t="s">
        <v>14</v>
      </c>
      <c r="C17949" t="s">
        <v>22</v>
      </c>
      <c r="D17949" t="s">
        <v>11</v>
      </c>
      <c r="E17949" t="s">
        <v>12</v>
      </c>
      <c r="F17949">
        <v>184095923</v>
      </c>
      <c r="G17949">
        <v>184095953</v>
      </c>
      <c r="H17949">
        <v>184095989</v>
      </c>
      <c r="I17949">
        <v>184096000</v>
      </c>
    </row>
    <row r="17950" spans="1:9" x14ac:dyDescent="0.2">
      <c r="A17950" s="1" t="str">
        <f>"THRA"</f>
        <v>THRA</v>
      </c>
      <c r="B17950" t="s">
        <v>14</v>
      </c>
      <c r="C17950" t="s">
        <v>28</v>
      </c>
      <c r="D17950" t="s">
        <v>17</v>
      </c>
      <c r="E17950" t="s">
        <v>12</v>
      </c>
      <c r="F17950">
        <v>38219209</v>
      </c>
      <c r="G17950">
        <v>38219230</v>
      </c>
      <c r="H17950">
        <v>38219143</v>
      </c>
      <c r="I17950">
        <v>38219154</v>
      </c>
    </row>
    <row r="17951" spans="1:9" x14ac:dyDescent="0.2">
      <c r="A17951" s="1" t="str">
        <f>"THRAP3"</f>
        <v>THRAP3</v>
      </c>
      <c r="B17951" t="s">
        <v>14</v>
      </c>
      <c r="C17951" t="s">
        <v>19</v>
      </c>
      <c r="D17951" t="s">
        <v>17</v>
      </c>
      <c r="E17951" t="s">
        <v>12</v>
      </c>
      <c r="F17951">
        <v>36690011</v>
      </c>
      <c r="G17951">
        <v>36690092</v>
      </c>
      <c r="H17951">
        <v>36689993</v>
      </c>
      <c r="I17951">
        <v>36690002</v>
      </c>
    </row>
    <row r="17952" spans="1:9" x14ac:dyDescent="0.2">
      <c r="A17952" s="1" t="str">
        <f>"THRB"</f>
        <v>THRB</v>
      </c>
      <c r="B17952" t="s">
        <v>14</v>
      </c>
      <c r="C17952" t="s">
        <v>22</v>
      </c>
      <c r="D17952" t="s">
        <v>11</v>
      </c>
      <c r="E17952" t="s">
        <v>12</v>
      </c>
      <c r="F17952">
        <v>24536253</v>
      </c>
      <c r="G17952">
        <v>24536328</v>
      </c>
      <c r="H17952">
        <v>24536332</v>
      </c>
      <c r="I17952">
        <v>24536358</v>
      </c>
    </row>
    <row r="17953" spans="1:9" x14ac:dyDescent="0.2">
      <c r="A17953" s="1" t="str">
        <f>"THRSP"</f>
        <v>THRSP</v>
      </c>
      <c r="B17953" t="s">
        <v>14</v>
      </c>
      <c r="C17953" t="s">
        <v>27</v>
      </c>
      <c r="D17953" t="s">
        <v>17</v>
      </c>
      <c r="E17953" t="s">
        <v>12</v>
      </c>
      <c r="F17953">
        <v>77774897</v>
      </c>
      <c r="G17953">
        <v>77774915</v>
      </c>
      <c r="H17953">
        <v>77774897</v>
      </c>
      <c r="I17953">
        <v>77774915</v>
      </c>
    </row>
    <row r="17954" spans="1:9" x14ac:dyDescent="0.2">
      <c r="A17954" s="1" t="str">
        <f>"THSD1"</f>
        <v>THSD1</v>
      </c>
      <c r="B17954" t="s">
        <v>14</v>
      </c>
      <c r="C17954" t="s">
        <v>39</v>
      </c>
      <c r="D17954" t="s">
        <v>11</v>
      </c>
      <c r="E17954" t="s">
        <v>12</v>
      </c>
      <c r="F17954">
        <v>52980264</v>
      </c>
      <c r="G17954">
        <v>52980285</v>
      </c>
      <c r="H17954">
        <v>52980295</v>
      </c>
      <c r="I17954">
        <v>52980320</v>
      </c>
    </row>
    <row r="17955" spans="1:9" x14ac:dyDescent="0.2">
      <c r="A17955" s="1" t="str">
        <f>"THSD4"</f>
        <v>THSD4</v>
      </c>
      <c r="B17955" t="s">
        <v>1708</v>
      </c>
      <c r="C17955" t="s">
        <v>25</v>
      </c>
      <c r="D17955" t="s">
        <v>17</v>
      </c>
      <c r="E17955" t="s">
        <v>20</v>
      </c>
      <c r="F17955">
        <v>71433787</v>
      </c>
      <c r="G17955">
        <v>71433787</v>
      </c>
      <c r="H17955">
        <v>71433787</v>
      </c>
      <c r="I17955">
        <v>71433787</v>
      </c>
    </row>
    <row r="17956" spans="1:9" x14ac:dyDescent="0.2">
      <c r="A17956" s="1" t="str">
        <f>"THSD4"</f>
        <v>THSD4</v>
      </c>
      <c r="B17956" t="s">
        <v>1709</v>
      </c>
      <c r="C17956" t="s">
        <v>25</v>
      </c>
      <c r="D17956" t="s">
        <v>17</v>
      </c>
      <c r="E17956" t="s">
        <v>35</v>
      </c>
      <c r="F17956">
        <v>71389205</v>
      </c>
      <c r="G17956">
        <v>71389212</v>
      </c>
      <c r="H17956">
        <v>71389281</v>
      </c>
      <c r="I17956">
        <v>71389306</v>
      </c>
    </row>
    <row r="17957" spans="1:9" x14ac:dyDescent="0.2">
      <c r="A17957" s="1" t="str">
        <f>"THSD7A"</f>
        <v>THSD7A</v>
      </c>
      <c r="B17957" t="s">
        <v>14</v>
      </c>
      <c r="C17957" t="s">
        <v>33</v>
      </c>
      <c r="D17957" t="s">
        <v>11</v>
      </c>
      <c r="E17957" t="s">
        <v>12</v>
      </c>
      <c r="F17957">
        <v>11871815</v>
      </c>
      <c r="G17957">
        <v>11871831</v>
      </c>
      <c r="H17957">
        <v>11871847</v>
      </c>
      <c r="I17957">
        <v>11871901</v>
      </c>
    </row>
    <row r="17958" spans="1:9" x14ac:dyDescent="0.2">
      <c r="A17958" s="1" t="str">
        <f>"THSD7B"</f>
        <v>THSD7B</v>
      </c>
      <c r="B17958" t="s">
        <v>14</v>
      </c>
      <c r="C17958" t="s">
        <v>26</v>
      </c>
      <c r="D17958" t="s">
        <v>17</v>
      </c>
      <c r="E17958" t="s">
        <v>12</v>
      </c>
      <c r="F17958">
        <v>137523086</v>
      </c>
      <c r="G17958">
        <v>137523120</v>
      </c>
      <c r="H17958">
        <v>137523143</v>
      </c>
      <c r="I17958">
        <v>137523154</v>
      </c>
    </row>
    <row r="17959" spans="1:9" x14ac:dyDescent="0.2">
      <c r="A17959" s="1" t="str">
        <f>"THTPA"</f>
        <v>THTPA</v>
      </c>
      <c r="B17959" t="s">
        <v>14</v>
      </c>
      <c r="C17959" t="s">
        <v>41</v>
      </c>
      <c r="D17959" t="s">
        <v>17</v>
      </c>
      <c r="E17959" t="s">
        <v>12</v>
      </c>
      <c r="F17959">
        <v>24025462</v>
      </c>
      <c r="G17959">
        <v>24025571</v>
      </c>
      <c r="H17959">
        <v>24025236</v>
      </c>
      <c r="I17959">
        <v>24025283</v>
      </c>
    </row>
    <row r="17960" spans="1:9" x14ac:dyDescent="0.2">
      <c r="A17960" s="1" t="str">
        <f>"THUMPD1"</f>
        <v>THUMPD1</v>
      </c>
      <c r="B17960" t="s">
        <v>14</v>
      </c>
      <c r="C17960" t="s">
        <v>31</v>
      </c>
      <c r="D17960" t="s">
        <v>11</v>
      </c>
      <c r="E17960" t="s">
        <v>12</v>
      </c>
      <c r="F17960">
        <v>20753114</v>
      </c>
      <c r="G17960">
        <v>20753157</v>
      </c>
      <c r="H17960">
        <v>20753069</v>
      </c>
      <c r="I17960">
        <v>20753092</v>
      </c>
    </row>
    <row r="17961" spans="1:9" x14ac:dyDescent="0.2">
      <c r="A17961" s="1" t="str">
        <f>"THUMPD2"</f>
        <v>THUMPD2</v>
      </c>
      <c r="B17961" t="s">
        <v>14</v>
      </c>
      <c r="C17961" t="s">
        <v>26</v>
      </c>
      <c r="D17961" t="s">
        <v>11</v>
      </c>
      <c r="E17961" t="s">
        <v>12</v>
      </c>
      <c r="F17961">
        <v>40006357</v>
      </c>
      <c r="G17961">
        <v>40006421</v>
      </c>
      <c r="H17961">
        <v>40006320</v>
      </c>
      <c r="I17961">
        <v>40006331</v>
      </c>
    </row>
    <row r="17962" spans="1:9" x14ac:dyDescent="0.2">
      <c r="A17962" s="1" t="str">
        <f>"THUMPD3"</f>
        <v>THUMPD3</v>
      </c>
      <c r="B17962" t="s">
        <v>14</v>
      </c>
      <c r="C17962" t="s">
        <v>22</v>
      </c>
      <c r="D17962" t="s">
        <v>17</v>
      </c>
      <c r="E17962" t="s">
        <v>12</v>
      </c>
      <c r="F17962">
        <v>9404722</v>
      </c>
      <c r="G17962">
        <v>9404777</v>
      </c>
      <c r="H17962">
        <v>9404795</v>
      </c>
      <c r="I17962">
        <v>9404806</v>
      </c>
    </row>
    <row r="17963" spans="1:9" x14ac:dyDescent="0.2">
      <c r="A17963" s="1" t="str">
        <f>"THY1"</f>
        <v>THY1</v>
      </c>
      <c r="B17963" t="s">
        <v>14</v>
      </c>
      <c r="C17963" t="s">
        <v>27</v>
      </c>
      <c r="D17963" t="s">
        <v>11</v>
      </c>
      <c r="E17963" t="s">
        <v>12</v>
      </c>
      <c r="F17963">
        <v>119293872</v>
      </c>
      <c r="G17963">
        <v>119293897</v>
      </c>
      <c r="H17963">
        <v>119293903</v>
      </c>
      <c r="I17963">
        <v>119293917</v>
      </c>
    </row>
    <row r="17964" spans="1:9" x14ac:dyDescent="0.2">
      <c r="A17964" s="1" t="str">
        <f>"THYN1"</f>
        <v>THYN1</v>
      </c>
      <c r="B17964" t="s">
        <v>14</v>
      </c>
      <c r="C17964" t="s">
        <v>27</v>
      </c>
      <c r="D17964" t="s">
        <v>11</v>
      </c>
      <c r="E17964" t="s">
        <v>12</v>
      </c>
      <c r="F17964">
        <v>134123169</v>
      </c>
      <c r="G17964">
        <v>134123301</v>
      </c>
      <c r="H17964">
        <v>134123169</v>
      </c>
      <c r="I17964">
        <v>134123301</v>
      </c>
    </row>
    <row r="17965" spans="1:9" x14ac:dyDescent="0.2">
      <c r="A17965" s="1" t="str">
        <f>"TIA1"</f>
        <v>TIA1</v>
      </c>
      <c r="B17965" t="s">
        <v>14</v>
      </c>
      <c r="C17965" t="s">
        <v>26</v>
      </c>
      <c r="D17965" t="s">
        <v>11</v>
      </c>
      <c r="E17965" t="s">
        <v>12</v>
      </c>
      <c r="F17965">
        <v>70475730</v>
      </c>
      <c r="G17965">
        <v>70475798</v>
      </c>
      <c r="H17965">
        <v>70475701</v>
      </c>
      <c r="I17965">
        <v>70475717</v>
      </c>
    </row>
    <row r="17966" spans="1:9" x14ac:dyDescent="0.2">
      <c r="A17966" s="1" t="str">
        <f>"TIAF1"</f>
        <v>TIAF1</v>
      </c>
      <c r="B17966" t="s">
        <v>14</v>
      </c>
      <c r="C17966" t="s">
        <v>28</v>
      </c>
      <c r="D17966" t="s">
        <v>11</v>
      </c>
      <c r="E17966" t="s">
        <v>12</v>
      </c>
      <c r="F17966">
        <v>27401302</v>
      </c>
      <c r="G17966">
        <v>27401350</v>
      </c>
      <c r="H17966">
        <v>27401302</v>
      </c>
      <c r="I17966">
        <v>27401350</v>
      </c>
    </row>
    <row r="17967" spans="1:9" x14ac:dyDescent="0.2">
      <c r="A17967" s="1" t="str">
        <f>"TIAL1"</f>
        <v>TIAL1</v>
      </c>
      <c r="B17967" t="s">
        <v>14</v>
      </c>
      <c r="C17967" t="s">
        <v>15</v>
      </c>
      <c r="D17967" t="s">
        <v>11</v>
      </c>
      <c r="E17967" t="s">
        <v>12</v>
      </c>
      <c r="F17967">
        <v>121356150</v>
      </c>
      <c r="G17967">
        <v>121356207</v>
      </c>
      <c r="H17967">
        <v>121356466</v>
      </c>
      <c r="I17967">
        <v>121356482</v>
      </c>
    </row>
    <row r="17968" spans="1:9" x14ac:dyDescent="0.2">
      <c r="A17968" s="1" t="str">
        <f>"TIAM1"</f>
        <v>TIAM1</v>
      </c>
      <c r="B17968" t="s">
        <v>1710</v>
      </c>
      <c r="C17968" t="s">
        <v>42</v>
      </c>
      <c r="D17968" t="s">
        <v>11</v>
      </c>
      <c r="E17968" t="s">
        <v>35</v>
      </c>
      <c r="F17968">
        <v>32931393</v>
      </c>
      <c r="G17968">
        <v>32931408</v>
      </c>
      <c r="H17968">
        <v>32931330</v>
      </c>
      <c r="I17968">
        <v>32931341</v>
      </c>
    </row>
    <row r="17969" spans="1:9" x14ac:dyDescent="0.2">
      <c r="A17969" s="1" t="str">
        <f>"TIAM2"</f>
        <v>TIAM2</v>
      </c>
      <c r="B17969" t="s">
        <v>1711</v>
      </c>
      <c r="C17969" t="s">
        <v>32</v>
      </c>
      <c r="D17969" t="s">
        <v>17</v>
      </c>
      <c r="E17969" t="s">
        <v>20</v>
      </c>
      <c r="F17969">
        <v>155411422</v>
      </c>
      <c r="G17969">
        <v>155411422</v>
      </c>
      <c r="H17969">
        <v>155411422</v>
      </c>
      <c r="I17969">
        <v>155411422</v>
      </c>
    </row>
    <row r="17970" spans="1:9" x14ac:dyDescent="0.2">
      <c r="A17970" s="1" t="str">
        <f>"TIAM2"</f>
        <v>TIAM2</v>
      </c>
      <c r="B17970" t="s">
        <v>1712</v>
      </c>
      <c r="C17970" t="s">
        <v>32</v>
      </c>
      <c r="D17970" t="s">
        <v>17</v>
      </c>
      <c r="E17970" t="s">
        <v>20</v>
      </c>
      <c r="F17970">
        <v>155153830</v>
      </c>
      <c r="G17970">
        <v>155153830</v>
      </c>
      <c r="H17970">
        <v>155153830</v>
      </c>
      <c r="I17970">
        <v>155153830</v>
      </c>
    </row>
    <row r="17971" spans="1:9" x14ac:dyDescent="0.2">
      <c r="A17971" s="1" t="str">
        <f>"TICAM1"</f>
        <v>TICAM1</v>
      </c>
      <c r="B17971" t="s">
        <v>14</v>
      </c>
      <c r="C17971" t="s">
        <v>10</v>
      </c>
      <c r="D17971" t="s">
        <v>11</v>
      </c>
      <c r="E17971" t="s">
        <v>12</v>
      </c>
      <c r="F17971">
        <v>4831701</v>
      </c>
      <c r="G17971">
        <v>4831761</v>
      </c>
      <c r="H17971">
        <v>4831671</v>
      </c>
      <c r="I17971">
        <v>4831697</v>
      </c>
    </row>
    <row r="17972" spans="1:9" x14ac:dyDescent="0.2">
      <c r="A17972" s="1" t="str">
        <f>"TICAM2"</f>
        <v>TICAM2</v>
      </c>
      <c r="B17972" t="s">
        <v>9</v>
      </c>
      <c r="C17972" t="s">
        <v>46</v>
      </c>
      <c r="D17972" t="s">
        <v>11</v>
      </c>
      <c r="E17972" t="s">
        <v>12</v>
      </c>
      <c r="F17972">
        <v>114938090</v>
      </c>
      <c r="G17972">
        <v>114938226</v>
      </c>
      <c r="H17972">
        <v>114938090</v>
      </c>
      <c r="I17972">
        <v>114938226</v>
      </c>
    </row>
    <row r="17973" spans="1:9" x14ac:dyDescent="0.2">
      <c r="A17973" s="1" t="str">
        <f>"TICAM2"</f>
        <v>TICAM2</v>
      </c>
      <c r="B17973" t="s">
        <v>13</v>
      </c>
      <c r="C17973" t="s">
        <v>46</v>
      </c>
      <c r="D17973" t="s">
        <v>11</v>
      </c>
      <c r="E17973" t="s">
        <v>12</v>
      </c>
      <c r="F17973">
        <v>114961864</v>
      </c>
      <c r="G17973">
        <v>114961875</v>
      </c>
      <c r="H17973">
        <v>114961864</v>
      </c>
      <c r="I17973">
        <v>114961875</v>
      </c>
    </row>
    <row r="17974" spans="1:9" x14ac:dyDescent="0.2">
      <c r="A17974" s="1" t="str">
        <f>"TICRR"</f>
        <v>TICRR</v>
      </c>
      <c r="B17974" t="s">
        <v>14</v>
      </c>
      <c r="C17974" t="s">
        <v>25</v>
      </c>
      <c r="D17974" t="s">
        <v>17</v>
      </c>
      <c r="E17974" t="s">
        <v>12</v>
      </c>
      <c r="F17974">
        <v>90118723</v>
      </c>
      <c r="G17974">
        <v>90118753</v>
      </c>
      <c r="H17974">
        <v>90118685</v>
      </c>
      <c r="I17974">
        <v>90118717</v>
      </c>
    </row>
    <row r="17975" spans="1:9" x14ac:dyDescent="0.2">
      <c r="A17975" s="1" t="str">
        <f>"TIE1"</f>
        <v>TIE1</v>
      </c>
      <c r="B17975" t="s">
        <v>14</v>
      </c>
      <c r="C17975" t="s">
        <v>19</v>
      </c>
      <c r="D17975" t="s">
        <v>17</v>
      </c>
      <c r="E17975" t="s">
        <v>12</v>
      </c>
      <c r="F17975">
        <v>43766668</v>
      </c>
      <c r="G17975">
        <v>43766696</v>
      </c>
      <c r="H17975">
        <v>43766642</v>
      </c>
      <c r="I17975">
        <v>43766667</v>
      </c>
    </row>
    <row r="17976" spans="1:9" x14ac:dyDescent="0.2">
      <c r="A17976" s="1" t="str">
        <f>"TIFA"</f>
        <v>TIFA</v>
      </c>
      <c r="B17976" t="s">
        <v>14</v>
      </c>
      <c r="C17976" t="s">
        <v>23</v>
      </c>
      <c r="D17976" t="s">
        <v>11</v>
      </c>
      <c r="E17976" t="s">
        <v>12</v>
      </c>
      <c r="F17976">
        <v>113207048</v>
      </c>
      <c r="G17976">
        <v>113207076</v>
      </c>
      <c r="H17976">
        <v>113207001</v>
      </c>
      <c r="I17976">
        <v>113207043</v>
      </c>
    </row>
    <row r="17977" spans="1:9" x14ac:dyDescent="0.2">
      <c r="A17977" s="1" t="str">
        <f>"TIFAB"</f>
        <v>TIFAB</v>
      </c>
      <c r="B17977" t="s">
        <v>14</v>
      </c>
      <c r="C17977" t="s">
        <v>46</v>
      </c>
      <c r="D17977" t="s">
        <v>11</v>
      </c>
      <c r="E17977" t="s">
        <v>12</v>
      </c>
      <c r="F17977">
        <v>134788010</v>
      </c>
      <c r="G17977">
        <v>134788046</v>
      </c>
      <c r="H17977">
        <v>134787950</v>
      </c>
      <c r="I17977">
        <v>134787969</v>
      </c>
    </row>
    <row r="17978" spans="1:9" x14ac:dyDescent="0.2">
      <c r="A17978" s="1" t="str">
        <f>"TIGD1"</f>
        <v>TIGD1</v>
      </c>
      <c r="B17978" t="s">
        <v>14</v>
      </c>
      <c r="C17978" t="s">
        <v>26</v>
      </c>
      <c r="D17978" t="s">
        <v>11</v>
      </c>
      <c r="E17978" t="s">
        <v>12</v>
      </c>
      <c r="F17978">
        <v>233415247</v>
      </c>
      <c r="G17978">
        <v>233415320</v>
      </c>
      <c r="H17978">
        <v>233415220</v>
      </c>
      <c r="I17978">
        <v>233415233</v>
      </c>
    </row>
    <row r="17979" spans="1:9" x14ac:dyDescent="0.2">
      <c r="A17979" s="1" t="str">
        <f>"TIGD2"</f>
        <v>TIGD2</v>
      </c>
      <c r="B17979" t="s">
        <v>14</v>
      </c>
      <c r="C17979" t="s">
        <v>23</v>
      </c>
      <c r="D17979" t="s">
        <v>17</v>
      </c>
      <c r="E17979" t="s">
        <v>12</v>
      </c>
      <c r="F17979">
        <v>90034693</v>
      </c>
      <c r="G17979">
        <v>90034694</v>
      </c>
      <c r="H17979">
        <v>90034693</v>
      </c>
      <c r="I17979">
        <v>90034694</v>
      </c>
    </row>
    <row r="17980" spans="1:9" x14ac:dyDescent="0.2">
      <c r="A17980" s="1" t="str">
        <f>"TIGD3"</f>
        <v>TIGD3</v>
      </c>
      <c r="B17980" t="s">
        <v>14</v>
      </c>
      <c r="C17980" t="s">
        <v>27</v>
      </c>
      <c r="D17980" t="s">
        <v>17</v>
      </c>
      <c r="E17980" t="s">
        <v>12</v>
      </c>
      <c r="F17980">
        <v>65122216</v>
      </c>
      <c r="G17980">
        <v>65122236</v>
      </c>
      <c r="H17980">
        <v>65122255</v>
      </c>
      <c r="I17980">
        <v>65122271</v>
      </c>
    </row>
    <row r="17981" spans="1:9" x14ac:dyDescent="0.2">
      <c r="A17981" s="1" t="str">
        <f>"TIGD4"</f>
        <v>TIGD4</v>
      </c>
      <c r="B17981" t="s">
        <v>14</v>
      </c>
      <c r="C17981" t="s">
        <v>23</v>
      </c>
      <c r="D17981" t="s">
        <v>11</v>
      </c>
      <c r="E17981" t="s">
        <v>12</v>
      </c>
      <c r="F17981">
        <v>153700864</v>
      </c>
      <c r="G17981">
        <v>153700930</v>
      </c>
      <c r="H17981">
        <v>153700771</v>
      </c>
      <c r="I17981">
        <v>153700798</v>
      </c>
    </row>
    <row r="17982" spans="1:9" x14ac:dyDescent="0.2">
      <c r="A17982" s="1" t="str">
        <f>"TIGD5"</f>
        <v>TIGD5</v>
      </c>
      <c r="B17982" t="s">
        <v>14</v>
      </c>
      <c r="C17982" t="s">
        <v>30</v>
      </c>
      <c r="D17982" t="s">
        <v>17</v>
      </c>
      <c r="E17982" t="s">
        <v>12</v>
      </c>
      <c r="F17982">
        <v>144679984</v>
      </c>
      <c r="G17982">
        <v>144680045</v>
      </c>
      <c r="H17982">
        <v>144680047</v>
      </c>
      <c r="I17982">
        <v>144680061</v>
      </c>
    </row>
    <row r="17983" spans="1:9" x14ac:dyDescent="0.2">
      <c r="A17983" s="1" t="str">
        <f>"TIGD6"</f>
        <v>TIGD6</v>
      </c>
      <c r="B17983" t="s">
        <v>14</v>
      </c>
      <c r="C17983" t="s">
        <v>46</v>
      </c>
      <c r="D17983" t="s">
        <v>11</v>
      </c>
      <c r="E17983" t="s">
        <v>12</v>
      </c>
      <c r="F17983">
        <v>149380103</v>
      </c>
      <c r="G17983">
        <v>149380156</v>
      </c>
      <c r="H17983">
        <v>149380195</v>
      </c>
      <c r="I17983">
        <v>149380224</v>
      </c>
    </row>
    <row r="17984" spans="1:9" x14ac:dyDescent="0.2">
      <c r="A17984" s="1" t="str">
        <f>"TIGD7"</f>
        <v>TIGD7</v>
      </c>
      <c r="B17984" t="s">
        <v>14</v>
      </c>
      <c r="C17984" t="s">
        <v>31</v>
      </c>
      <c r="D17984" t="s">
        <v>11</v>
      </c>
      <c r="E17984" t="s">
        <v>12</v>
      </c>
      <c r="F17984">
        <v>3355396</v>
      </c>
      <c r="G17984">
        <v>3355466</v>
      </c>
      <c r="H17984">
        <v>3355724</v>
      </c>
      <c r="I17984">
        <v>3355743</v>
      </c>
    </row>
    <row r="17985" spans="1:9" x14ac:dyDescent="0.2">
      <c r="A17985" s="1" t="str">
        <f>"TIGIT"</f>
        <v>TIGIT</v>
      </c>
      <c r="B17985" t="s">
        <v>14</v>
      </c>
      <c r="C17985" t="s">
        <v>22</v>
      </c>
      <c r="D17985" t="s">
        <v>17</v>
      </c>
      <c r="E17985" t="s">
        <v>12</v>
      </c>
      <c r="F17985">
        <v>114012867</v>
      </c>
      <c r="G17985">
        <v>114012887</v>
      </c>
      <c r="H17985">
        <v>114012837</v>
      </c>
      <c r="I17985">
        <v>114012850</v>
      </c>
    </row>
    <row r="17986" spans="1:9" x14ac:dyDescent="0.2">
      <c r="A17986" s="1" t="str">
        <f>"TIMD4"</f>
        <v>TIMD4</v>
      </c>
      <c r="B17986" t="s">
        <v>9</v>
      </c>
      <c r="C17986" t="s">
        <v>46</v>
      </c>
      <c r="D17986" t="s">
        <v>11</v>
      </c>
      <c r="E17986" t="s">
        <v>12</v>
      </c>
      <c r="F17986">
        <v>156390230</v>
      </c>
      <c r="G17986">
        <v>156390246</v>
      </c>
      <c r="H17986">
        <v>156390230</v>
      </c>
      <c r="I17986">
        <v>156390246</v>
      </c>
    </row>
    <row r="17987" spans="1:9" x14ac:dyDescent="0.2">
      <c r="A17987" s="1" t="str">
        <f>"TIMD4"</f>
        <v>TIMD4</v>
      </c>
      <c r="B17987" t="s">
        <v>13</v>
      </c>
      <c r="C17987" t="s">
        <v>46</v>
      </c>
      <c r="D17987" t="s">
        <v>11</v>
      </c>
      <c r="E17987" t="s">
        <v>12</v>
      </c>
      <c r="F17987">
        <v>156362611</v>
      </c>
      <c r="G17987">
        <v>156362640</v>
      </c>
      <c r="H17987">
        <v>156362611</v>
      </c>
      <c r="I17987">
        <v>156362640</v>
      </c>
    </row>
    <row r="17988" spans="1:9" x14ac:dyDescent="0.2">
      <c r="A17988" s="1" t="str">
        <f>"TIMELESS"</f>
        <v>TIMELESS</v>
      </c>
      <c r="B17988" t="s">
        <v>14</v>
      </c>
      <c r="C17988" t="s">
        <v>16</v>
      </c>
      <c r="D17988" t="s">
        <v>11</v>
      </c>
      <c r="E17988" t="s">
        <v>12</v>
      </c>
      <c r="F17988">
        <v>56843161</v>
      </c>
      <c r="G17988">
        <v>56843225</v>
      </c>
      <c r="H17988">
        <v>56843226</v>
      </c>
      <c r="I17988">
        <v>56843233</v>
      </c>
    </row>
    <row r="17989" spans="1:9" x14ac:dyDescent="0.2">
      <c r="A17989" s="1" t="str">
        <f>"TIMM10"</f>
        <v>TIMM10</v>
      </c>
      <c r="B17989" t="s">
        <v>14</v>
      </c>
      <c r="C17989" t="s">
        <v>27</v>
      </c>
      <c r="D17989" t="s">
        <v>11</v>
      </c>
      <c r="E17989" t="s">
        <v>12</v>
      </c>
      <c r="F17989">
        <v>57298187</v>
      </c>
      <c r="G17989">
        <v>57298243</v>
      </c>
      <c r="H17989">
        <v>57298172</v>
      </c>
      <c r="I17989">
        <v>57298182</v>
      </c>
    </row>
    <row r="17990" spans="1:9" x14ac:dyDescent="0.2">
      <c r="A17990" s="1" t="str">
        <f>"TIMM10B"</f>
        <v>TIMM10B</v>
      </c>
      <c r="B17990" t="s">
        <v>14</v>
      </c>
      <c r="C17990" t="s">
        <v>27</v>
      </c>
      <c r="D17990" t="s">
        <v>17</v>
      </c>
      <c r="E17990" t="s">
        <v>12</v>
      </c>
      <c r="F17990">
        <v>6502675</v>
      </c>
      <c r="G17990">
        <v>6502751</v>
      </c>
      <c r="H17990">
        <v>6502782</v>
      </c>
      <c r="I17990">
        <v>6502801</v>
      </c>
    </row>
    <row r="17991" spans="1:9" x14ac:dyDescent="0.2">
      <c r="A17991" s="1" t="str">
        <f>"TIMM13"</f>
        <v>TIMM13</v>
      </c>
      <c r="B17991" t="s">
        <v>14</v>
      </c>
      <c r="C17991" t="s">
        <v>10</v>
      </c>
      <c r="D17991" t="s">
        <v>11</v>
      </c>
      <c r="E17991" t="s">
        <v>12</v>
      </c>
      <c r="F17991">
        <v>2427539</v>
      </c>
      <c r="G17991">
        <v>2427591</v>
      </c>
      <c r="H17991">
        <v>2427863</v>
      </c>
      <c r="I17991">
        <v>2427915</v>
      </c>
    </row>
    <row r="17992" spans="1:9" x14ac:dyDescent="0.2">
      <c r="A17992" s="1" t="str">
        <f>"TIMM17A"</f>
        <v>TIMM17A</v>
      </c>
      <c r="B17992" t="s">
        <v>14</v>
      </c>
      <c r="C17992" t="s">
        <v>19</v>
      </c>
      <c r="D17992" t="s">
        <v>17</v>
      </c>
      <c r="E17992" t="s">
        <v>12</v>
      </c>
      <c r="F17992">
        <v>201924624</v>
      </c>
      <c r="G17992">
        <v>201924652</v>
      </c>
      <c r="H17992">
        <v>201924421</v>
      </c>
      <c r="I17992">
        <v>201924424</v>
      </c>
    </row>
    <row r="17993" spans="1:9" x14ac:dyDescent="0.2">
      <c r="A17993" s="1" t="str">
        <f>"TIMM17B"</f>
        <v>TIMM17B</v>
      </c>
      <c r="B17993" t="s">
        <v>14</v>
      </c>
      <c r="C17993" t="s">
        <v>37</v>
      </c>
      <c r="D17993" t="s">
        <v>11</v>
      </c>
      <c r="E17993" t="s">
        <v>12</v>
      </c>
      <c r="F17993">
        <v>48755032</v>
      </c>
      <c r="G17993">
        <v>48755069</v>
      </c>
      <c r="H17993">
        <v>48755358</v>
      </c>
      <c r="I17993">
        <v>48755378</v>
      </c>
    </row>
    <row r="17994" spans="1:9" x14ac:dyDescent="0.2">
      <c r="A17994" s="1" t="str">
        <f>"TIMM21"</f>
        <v>TIMM21</v>
      </c>
      <c r="B17994" t="s">
        <v>14</v>
      </c>
      <c r="C17994" t="s">
        <v>43</v>
      </c>
      <c r="D17994" t="s">
        <v>17</v>
      </c>
      <c r="E17994" t="s">
        <v>12</v>
      </c>
      <c r="F17994">
        <v>71815743</v>
      </c>
      <c r="G17994">
        <v>71815776</v>
      </c>
      <c r="H17994">
        <v>71815778</v>
      </c>
      <c r="I17994">
        <v>71815789</v>
      </c>
    </row>
    <row r="17995" spans="1:9" x14ac:dyDescent="0.2">
      <c r="A17995" s="1" t="str">
        <f>"TIMM22"</f>
        <v>TIMM22</v>
      </c>
      <c r="B17995" t="s">
        <v>14</v>
      </c>
      <c r="C17995" t="s">
        <v>28</v>
      </c>
      <c r="D17995" t="s">
        <v>17</v>
      </c>
      <c r="E17995" t="s">
        <v>12</v>
      </c>
      <c r="F17995">
        <v>900342</v>
      </c>
      <c r="G17995">
        <v>900390</v>
      </c>
      <c r="H17995">
        <v>900131</v>
      </c>
      <c r="I17995">
        <v>900142</v>
      </c>
    </row>
    <row r="17996" spans="1:9" x14ac:dyDescent="0.2">
      <c r="A17996" s="1" t="str">
        <f>"TIMM23"</f>
        <v>TIMM23</v>
      </c>
      <c r="B17996" t="s">
        <v>1713</v>
      </c>
      <c r="C17996" t="s">
        <v>15</v>
      </c>
      <c r="D17996" t="s">
        <v>11</v>
      </c>
      <c r="E17996" t="s">
        <v>20</v>
      </c>
      <c r="F17996">
        <v>51623337</v>
      </c>
      <c r="G17996">
        <v>51623337</v>
      </c>
      <c r="H17996">
        <v>51623337</v>
      </c>
      <c r="I17996">
        <v>51623337</v>
      </c>
    </row>
    <row r="17997" spans="1:9" x14ac:dyDescent="0.2">
      <c r="A17997" s="1" t="str">
        <f>"TIMM23B"</f>
        <v>TIMM23B</v>
      </c>
      <c r="B17997" t="s">
        <v>14</v>
      </c>
      <c r="C17997" t="s">
        <v>15</v>
      </c>
      <c r="D17997" t="s">
        <v>17</v>
      </c>
      <c r="E17997" t="s">
        <v>12</v>
      </c>
      <c r="F17997">
        <v>51371401</v>
      </c>
      <c r="G17997">
        <v>51371434</v>
      </c>
      <c r="H17997">
        <v>51371455</v>
      </c>
      <c r="I17997">
        <v>51371469</v>
      </c>
    </row>
    <row r="17998" spans="1:9" x14ac:dyDescent="0.2">
      <c r="A17998" s="1" t="str">
        <f>"TIMM44"</f>
        <v>TIMM44</v>
      </c>
      <c r="B17998" t="s">
        <v>14</v>
      </c>
      <c r="C17998" t="s">
        <v>10</v>
      </c>
      <c r="D17998" t="s">
        <v>11</v>
      </c>
      <c r="E17998" t="s">
        <v>12</v>
      </c>
      <c r="F17998">
        <v>8008533</v>
      </c>
      <c r="G17998">
        <v>8008563</v>
      </c>
      <c r="H17998">
        <v>8008607</v>
      </c>
      <c r="I17998">
        <v>8008620</v>
      </c>
    </row>
    <row r="17999" spans="1:9" x14ac:dyDescent="0.2">
      <c r="A17999" s="1" t="str">
        <f>"TIMM50"</f>
        <v>TIMM50</v>
      </c>
      <c r="B17999" t="s">
        <v>14</v>
      </c>
      <c r="C17999" t="s">
        <v>10</v>
      </c>
      <c r="D17999" t="s">
        <v>17</v>
      </c>
      <c r="E17999" t="s">
        <v>12</v>
      </c>
      <c r="F17999">
        <v>39971470</v>
      </c>
      <c r="G17999">
        <v>39971498</v>
      </c>
      <c r="H17999">
        <v>39971505</v>
      </c>
      <c r="I17999">
        <v>39971518</v>
      </c>
    </row>
    <row r="18000" spans="1:9" x14ac:dyDescent="0.2">
      <c r="A18000" s="1" t="str">
        <f>"TIMM8A"</f>
        <v>TIMM8A</v>
      </c>
      <c r="B18000" t="s">
        <v>14</v>
      </c>
      <c r="C18000" t="s">
        <v>37</v>
      </c>
      <c r="D18000" t="s">
        <v>11</v>
      </c>
      <c r="E18000" t="s">
        <v>12</v>
      </c>
      <c r="F18000">
        <v>100603666</v>
      </c>
      <c r="G18000">
        <v>100603737</v>
      </c>
      <c r="H18000">
        <v>100603962</v>
      </c>
      <c r="I18000">
        <v>100603989</v>
      </c>
    </row>
    <row r="18001" spans="1:9" x14ac:dyDescent="0.2">
      <c r="A18001" s="1" t="str">
        <f>"TIMM8B"</f>
        <v>TIMM8B</v>
      </c>
      <c r="B18001" t="s">
        <v>14</v>
      </c>
      <c r="C18001" t="s">
        <v>27</v>
      </c>
      <c r="D18001" t="s">
        <v>11</v>
      </c>
      <c r="E18001" t="s">
        <v>12</v>
      </c>
      <c r="F18001">
        <v>111957451</v>
      </c>
      <c r="G18001">
        <v>111957493</v>
      </c>
      <c r="H18001">
        <v>111957803</v>
      </c>
      <c r="I18001">
        <v>111957808</v>
      </c>
    </row>
    <row r="18002" spans="1:9" x14ac:dyDescent="0.2">
      <c r="A18002" s="1" t="str">
        <f>"TIMM9"</f>
        <v>TIMM9</v>
      </c>
      <c r="B18002" t="s">
        <v>14</v>
      </c>
      <c r="C18002" t="s">
        <v>41</v>
      </c>
      <c r="D18002" t="s">
        <v>11</v>
      </c>
      <c r="E18002" t="s">
        <v>12</v>
      </c>
      <c r="F18002">
        <v>58893876</v>
      </c>
      <c r="G18002">
        <v>58893924</v>
      </c>
      <c r="H18002">
        <v>58893852</v>
      </c>
      <c r="I18002">
        <v>58893865</v>
      </c>
    </row>
    <row r="18003" spans="1:9" x14ac:dyDescent="0.2">
      <c r="A18003" s="1" t="str">
        <f>"TIMMDC1"</f>
        <v>TIMMDC1</v>
      </c>
      <c r="B18003" t="s">
        <v>14</v>
      </c>
      <c r="C18003" t="s">
        <v>22</v>
      </c>
      <c r="D18003" t="s">
        <v>17</v>
      </c>
      <c r="E18003" t="s">
        <v>12</v>
      </c>
      <c r="F18003">
        <v>119217376</v>
      </c>
      <c r="G18003">
        <v>119217421</v>
      </c>
      <c r="H18003">
        <v>119217422</v>
      </c>
      <c r="I18003">
        <v>119217447</v>
      </c>
    </row>
    <row r="18004" spans="1:9" x14ac:dyDescent="0.2">
      <c r="A18004" s="1" t="str">
        <f>"TIMP1"</f>
        <v>TIMP1</v>
      </c>
      <c r="B18004" t="s">
        <v>9</v>
      </c>
      <c r="C18004" t="s">
        <v>37</v>
      </c>
      <c r="D18004" t="s">
        <v>17</v>
      </c>
      <c r="E18004" t="s">
        <v>12</v>
      </c>
      <c r="F18004">
        <v>47441825</v>
      </c>
      <c r="G18004">
        <v>47441846</v>
      </c>
      <c r="H18004">
        <v>47441825</v>
      </c>
      <c r="I18004">
        <v>47441846</v>
      </c>
    </row>
    <row r="18005" spans="1:9" x14ac:dyDescent="0.2">
      <c r="A18005" s="1" t="str">
        <f>"TIMP1"</f>
        <v>TIMP1</v>
      </c>
      <c r="B18005" t="s">
        <v>13</v>
      </c>
      <c r="C18005" t="s">
        <v>37</v>
      </c>
      <c r="D18005" t="s">
        <v>17</v>
      </c>
      <c r="E18005" t="s">
        <v>12</v>
      </c>
      <c r="F18005">
        <v>47444613</v>
      </c>
      <c r="G18005">
        <v>47444688</v>
      </c>
      <c r="H18005">
        <v>47444613</v>
      </c>
      <c r="I18005">
        <v>47444688</v>
      </c>
    </row>
    <row r="18006" spans="1:9" x14ac:dyDescent="0.2">
      <c r="A18006" s="1" t="str">
        <f>"TIMP2"</f>
        <v>TIMP2</v>
      </c>
      <c r="B18006" t="s">
        <v>14</v>
      </c>
      <c r="C18006" t="s">
        <v>28</v>
      </c>
      <c r="D18006" t="s">
        <v>11</v>
      </c>
      <c r="E18006" t="s">
        <v>12</v>
      </c>
      <c r="F18006">
        <v>76921459</v>
      </c>
      <c r="G18006">
        <v>76921478</v>
      </c>
      <c r="H18006">
        <v>76921459</v>
      </c>
      <c r="I18006">
        <v>76921478</v>
      </c>
    </row>
    <row r="18007" spans="1:9" x14ac:dyDescent="0.2">
      <c r="A18007" s="1" t="str">
        <f>"TIMP3"</f>
        <v>TIMP3</v>
      </c>
      <c r="B18007" t="s">
        <v>14</v>
      </c>
      <c r="C18007" t="s">
        <v>21</v>
      </c>
      <c r="D18007" t="s">
        <v>17</v>
      </c>
      <c r="E18007" t="s">
        <v>12</v>
      </c>
      <c r="F18007">
        <v>33197683</v>
      </c>
      <c r="G18007">
        <v>33197698</v>
      </c>
      <c r="H18007">
        <v>33197683</v>
      </c>
      <c r="I18007">
        <v>33197698</v>
      </c>
    </row>
    <row r="18008" spans="1:9" x14ac:dyDescent="0.2">
      <c r="A18008" s="1" t="str">
        <f>"TIMP4"</f>
        <v>TIMP4</v>
      </c>
      <c r="B18008" t="s">
        <v>14</v>
      </c>
      <c r="C18008" t="s">
        <v>22</v>
      </c>
      <c r="D18008" t="s">
        <v>11</v>
      </c>
      <c r="E18008" t="s">
        <v>12</v>
      </c>
      <c r="F18008">
        <v>12200368</v>
      </c>
      <c r="G18008">
        <v>12200494</v>
      </c>
      <c r="H18008">
        <v>12200340</v>
      </c>
      <c r="I18008">
        <v>12200366</v>
      </c>
    </row>
    <row r="18009" spans="1:9" x14ac:dyDescent="0.2">
      <c r="A18009" s="1" t="str">
        <f>"TINAG"</f>
        <v>TINAG</v>
      </c>
      <c r="B18009" t="s">
        <v>14</v>
      </c>
      <c r="C18009" t="s">
        <v>32</v>
      </c>
      <c r="D18009" t="s">
        <v>17</v>
      </c>
      <c r="E18009" t="s">
        <v>12</v>
      </c>
      <c r="F18009">
        <v>54173227</v>
      </c>
      <c r="G18009">
        <v>54173264</v>
      </c>
      <c r="H18009">
        <v>54172653</v>
      </c>
      <c r="I18009">
        <v>54172665</v>
      </c>
    </row>
    <row r="18010" spans="1:9" x14ac:dyDescent="0.2">
      <c r="A18010" s="1" t="str">
        <f>"TINAGL1"</f>
        <v>TINAGL1</v>
      </c>
      <c r="B18010" t="s">
        <v>14</v>
      </c>
      <c r="C18010" t="s">
        <v>19</v>
      </c>
      <c r="D18010" t="s">
        <v>17</v>
      </c>
      <c r="E18010" t="s">
        <v>12</v>
      </c>
      <c r="F18010">
        <v>32042105</v>
      </c>
      <c r="G18010">
        <v>32042127</v>
      </c>
      <c r="H18010">
        <v>32042131</v>
      </c>
      <c r="I18010">
        <v>32042151</v>
      </c>
    </row>
    <row r="18011" spans="1:9" x14ac:dyDescent="0.2">
      <c r="A18011" s="1" t="str">
        <f>"TINF2"</f>
        <v>TINF2</v>
      </c>
      <c r="B18011" t="s">
        <v>14</v>
      </c>
      <c r="C18011" t="s">
        <v>41</v>
      </c>
      <c r="D18011" t="s">
        <v>11</v>
      </c>
      <c r="E18011" t="s">
        <v>12</v>
      </c>
      <c r="F18011">
        <v>24711806</v>
      </c>
      <c r="G18011">
        <v>24711861</v>
      </c>
      <c r="H18011">
        <v>24711495</v>
      </c>
      <c r="I18011">
        <v>24711517</v>
      </c>
    </row>
    <row r="18012" spans="1:9" x14ac:dyDescent="0.2">
      <c r="A18012" s="1" t="str">
        <f>"TIPARP"</f>
        <v>TIPARP</v>
      </c>
      <c r="B18012" t="s">
        <v>14</v>
      </c>
      <c r="C18012" t="s">
        <v>22</v>
      </c>
      <c r="D18012" t="s">
        <v>17</v>
      </c>
      <c r="E18012" t="s">
        <v>12</v>
      </c>
      <c r="F18012">
        <v>156392391</v>
      </c>
      <c r="G18012">
        <v>156392409</v>
      </c>
      <c r="H18012">
        <v>156392368</v>
      </c>
      <c r="I18012">
        <v>156392386</v>
      </c>
    </row>
    <row r="18013" spans="1:9" x14ac:dyDescent="0.2">
      <c r="A18013" s="1" t="str">
        <f>"TIPIN"</f>
        <v>TIPIN</v>
      </c>
      <c r="B18013" t="s">
        <v>14</v>
      </c>
      <c r="C18013" t="s">
        <v>25</v>
      </c>
      <c r="D18013" t="s">
        <v>11</v>
      </c>
      <c r="E18013" t="s">
        <v>12</v>
      </c>
      <c r="F18013">
        <v>66649010</v>
      </c>
      <c r="G18013">
        <v>66649067</v>
      </c>
      <c r="H18013">
        <v>66649010</v>
      </c>
      <c r="I18013">
        <v>66649067</v>
      </c>
    </row>
    <row r="18014" spans="1:9" x14ac:dyDescent="0.2">
      <c r="A18014" s="1" t="str">
        <f>"TIPRL"</f>
        <v>TIPRL</v>
      </c>
      <c r="B18014" t="s">
        <v>14</v>
      </c>
      <c r="C18014" t="s">
        <v>19</v>
      </c>
      <c r="D18014" t="s">
        <v>17</v>
      </c>
      <c r="E18014" t="s">
        <v>12</v>
      </c>
      <c r="F18014">
        <v>168148169</v>
      </c>
      <c r="G18014">
        <v>168148221</v>
      </c>
      <c r="H18014">
        <v>168148230</v>
      </c>
      <c r="I18014">
        <v>168148263</v>
      </c>
    </row>
    <row r="18015" spans="1:9" x14ac:dyDescent="0.2">
      <c r="A18015" s="1" t="str">
        <f>"TIRAP"</f>
        <v>TIRAP</v>
      </c>
      <c r="B18015" t="s">
        <v>14</v>
      </c>
      <c r="C18015" t="s">
        <v>27</v>
      </c>
      <c r="D18015" t="s">
        <v>17</v>
      </c>
      <c r="E18015" t="s">
        <v>12</v>
      </c>
      <c r="F18015">
        <v>126152954</v>
      </c>
      <c r="G18015">
        <v>126152999</v>
      </c>
      <c r="H18015">
        <v>126153001</v>
      </c>
      <c r="I18015">
        <v>126153014</v>
      </c>
    </row>
    <row r="18016" spans="1:9" x14ac:dyDescent="0.2">
      <c r="A18016" s="1" t="str">
        <f>"TJAP1"</f>
        <v>TJAP1</v>
      </c>
      <c r="B18016" t="s">
        <v>9</v>
      </c>
      <c r="C18016" t="s">
        <v>32</v>
      </c>
      <c r="D18016" t="s">
        <v>17</v>
      </c>
      <c r="E18016" t="s">
        <v>12</v>
      </c>
      <c r="F18016">
        <v>43445297</v>
      </c>
      <c r="G18016">
        <v>43445336</v>
      </c>
      <c r="H18016">
        <v>43445297</v>
      </c>
      <c r="I18016">
        <v>43445336</v>
      </c>
    </row>
    <row r="18017" spans="1:9" x14ac:dyDescent="0.2">
      <c r="A18017" s="1" t="str">
        <f>"TJAP1"</f>
        <v>TJAP1</v>
      </c>
      <c r="B18017" t="s">
        <v>13</v>
      </c>
      <c r="C18017" t="s">
        <v>32</v>
      </c>
      <c r="D18017" t="s">
        <v>17</v>
      </c>
      <c r="E18017" t="s">
        <v>12</v>
      </c>
      <c r="F18017">
        <v>43457317</v>
      </c>
      <c r="G18017">
        <v>43457360</v>
      </c>
      <c r="H18017">
        <v>43457317</v>
      </c>
      <c r="I18017">
        <v>43457360</v>
      </c>
    </row>
    <row r="18018" spans="1:9" x14ac:dyDescent="0.2">
      <c r="A18018" s="1" t="str">
        <f>"TJP1"</f>
        <v>TJP1</v>
      </c>
      <c r="B18018" t="s">
        <v>14</v>
      </c>
      <c r="C18018" t="s">
        <v>25</v>
      </c>
      <c r="D18018" t="s">
        <v>11</v>
      </c>
      <c r="E18018" t="s">
        <v>12</v>
      </c>
      <c r="F18018">
        <v>30114622</v>
      </c>
      <c r="G18018">
        <v>30114706</v>
      </c>
      <c r="H18018">
        <v>30114306</v>
      </c>
      <c r="I18018">
        <v>30114387</v>
      </c>
    </row>
    <row r="18019" spans="1:9" x14ac:dyDescent="0.2">
      <c r="A18019" s="1" t="str">
        <f>"TJP2"</f>
        <v>TJP2</v>
      </c>
      <c r="B18019" t="s">
        <v>9</v>
      </c>
      <c r="C18019" t="s">
        <v>24</v>
      </c>
      <c r="D18019" t="s">
        <v>17</v>
      </c>
      <c r="E18019" t="s">
        <v>12</v>
      </c>
      <c r="F18019">
        <v>71789133</v>
      </c>
      <c r="G18019">
        <v>71789220</v>
      </c>
      <c r="H18019">
        <v>71789133</v>
      </c>
      <c r="I18019">
        <v>71789220</v>
      </c>
    </row>
    <row r="18020" spans="1:9" x14ac:dyDescent="0.2">
      <c r="A18020" s="1" t="str">
        <f>"TJP2"</f>
        <v>TJP2</v>
      </c>
      <c r="B18020" t="s">
        <v>13</v>
      </c>
      <c r="C18020" t="s">
        <v>24</v>
      </c>
      <c r="D18020" t="s">
        <v>17</v>
      </c>
      <c r="E18020" t="s">
        <v>12</v>
      </c>
      <c r="F18020">
        <v>71736381</v>
      </c>
      <c r="G18020">
        <v>71736428</v>
      </c>
      <c r="H18020">
        <v>71736381</v>
      </c>
      <c r="I18020">
        <v>71736428</v>
      </c>
    </row>
    <row r="18021" spans="1:9" x14ac:dyDescent="0.2">
      <c r="A18021" s="1" t="str">
        <f>"TJP3"</f>
        <v>TJP3</v>
      </c>
      <c r="B18021" t="s">
        <v>9</v>
      </c>
      <c r="C18021" t="s">
        <v>10</v>
      </c>
      <c r="D18021" t="s">
        <v>17</v>
      </c>
      <c r="E18021" t="s">
        <v>12</v>
      </c>
      <c r="F18021">
        <v>3721719</v>
      </c>
      <c r="G18021">
        <v>3721744</v>
      </c>
      <c r="H18021">
        <v>3721719</v>
      </c>
      <c r="I18021">
        <v>3721744</v>
      </c>
    </row>
    <row r="18022" spans="1:9" x14ac:dyDescent="0.2">
      <c r="A18022" s="1" t="str">
        <f>"TJP3"</f>
        <v>TJP3</v>
      </c>
      <c r="B18022" t="s">
        <v>13</v>
      </c>
      <c r="C18022" t="s">
        <v>10</v>
      </c>
      <c r="D18022" t="s">
        <v>17</v>
      </c>
      <c r="E18022" t="s">
        <v>12</v>
      </c>
      <c r="F18022">
        <v>3708338</v>
      </c>
      <c r="G18022">
        <v>3708374</v>
      </c>
      <c r="H18022">
        <v>3708338</v>
      </c>
      <c r="I18022">
        <v>3708374</v>
      </c>
    </row>
    <row r="18023" spans="1:9" x14ac:dyDescent="0.2">
      <c r="A18023" s="1" t="str">
        <f>"TK1"</f>
        <v>TK1</v>
      </c>
      <c r="B18023" t="s">
        <v>14</v>
      </c>
      <c r="C18023" t="s">
        <v>28</v>
      </c>
      <c r="D18023" t="s">
        <v>11</v>
      </c>
      <c r="E18023" t="s">
        <v>12</v>
      </c>
      <c r="F18023">
        <v>76183121</v>
      </c>
      <c r="G18023">
        <v>76183140</v>
      </c>
      <c r="H18023">
        <v>76183288</v>
      </c>
      <c r="I18023">
        <v>76183300</v>
      </c>
    </row>
    <row r="18024" spans="1:9" x14ac:dyDescent="0.2">
      <c r="A18024" s="1" t="str">
        <f>"TK2"</f>
        <v>TK2</v>
      </c>
      <c r="B18024" t="s">
        <v>14</v>
      </c>
      <c r="C18024" t="s">
        <v>31</v>
      </c>
      <c r="D18024" t="s">
        <v>11</v>
      </c>
      <c r="E18024" t="s">
        <v>12</v>
      </c>
      <c r="F18024">
        <v>66584015</v>
      </c>
      <c r="G18024">
        <v>66584035</v>
      </c>
      <c r="H18024">
        <v>66583994</v>
      </c>
      <c r="I18024">
        <v>66584010</v>
      </c>
    </row>
    <row r="18025" spans="1:9" x14ac:dyDescent="0.2">
      <c r="A18025" s="1" t="str">
        <f>"TKT"</f>
        <v>TKT</v>
      </c>
      <c r="B18025" t="s">
        <v>9</v>
      </c>
      <c r="C18025" t="s">
        <v>22</v>
      </c>
      <c r="D18025" t="s">
        <v>11</v>
      </c>
      <c r="E18025" t="s">
        <v>12</v>
      </c>
      <c r="F18025">
        <v>53290026</v>
      </c>
      <c r="G18025">
        <v>53290043</v>
      </c>
      <c r="H18025">
        <v>53290026</v>
      </c>
      <c r="I18025">
        <v>53290043</v>
      </c>
    </row>
    <row r="18026" spans="1:9" x14ac:dyDescent="0.2">
      <c r="A18026" s="1" t="str">
        <f>"TKT"</f>
        <v>TKT</v>
      </c>
      <c r="B18026" t="s">
        <v>13</v>
      </c>
      <c r="C18026" t="s">
        <v>22</v>
      </c>
      <c r="D18026" t="s">
        <v>11</v>
      </c>
      <c r="E18026" t="s">
        <v>12</v>
      </c>
      <c r="F18026">
        <v>53269117</v>
      </c>
      <c r="G18026">
        <v>53269167</v>
      </c>
      <c r="H18026">
        <v>53269117</v>
      </c>
      <c r="I18026">
        <v>53269167</v>
      </c>
    </row>
    <row r="18027" spans="1:9" x14ac:dyDescent="0.2">
      <c r="A18027" s="1" t="str">
        <f>"TKTL1"</f>
        <v>TKTL1</v>
      </c>
      <c r="B18027" t="s">
        <v>14</v>
      </c>
      <c r="C18027" t="s">
        <v>37</v>
      </c>
      <c r="D18027" t="s">
        <v>17</v>
      </c>
      <c r="E18027" t="s">
        <v>12</v>
      </c>
      <c r="F18027">
        <v>153524141</v>
      </c>
      <c r="G18027">
        <v>153524157</v>
      </c>
      <c r="H18027">
        <v>153524141</v>
      </c>
      <c r="I18027">
        <v>153524157</v>
      </c>
    </row>
    <row r="18028" spans="1:9" x14ac:dyDescent="0.2">
      <c r="A18028" s="1" t="str">
        <f>"TKTL2"</f>
        <v>TKTL2</v>
      </c>
      <c r="B18028" t="s">
        <v>14</v>
      </c>
      <c r="C18028" t="s">
        <v>23</v>
      </c>
      <c r="D18028" t="s">
        <v>11</v>
      </c>
      <c r="E18028" t="s">
        <v>12</v>
      </c>
      <c r="F18028">
        <v>164394882</v>
      </c>
      <c r="G18028">
        <v>164394937</v>
      </c>
      <c r="H18028">
        <v>164394940</v>
      </c>
      <c r="I18028">
        <v>164394953</v>
      </c>
    </row>
    <row r="18029" spans="1:9" x14ac:dyDescent="0.2">
      <c r="A18029" s="1" t="str">
        <f>"TLCD1"</f>
        <v>TLCD1</v>
      </c>
      <c r="B18029" t="s">
        <v>14</v>
      </c>
      <c r="C18029" t="s">
        <v>28</v>
      </c>
      <c r="D18029" t="s">
        <v>11</v>
      </c>
      <c r="E18029" t="s">
        <v>12</v>
      </c>
      <c r="F18029">
        <v>27053216</v>
      </c>
      <c r="G18029">
        <v>27053262</v>
      </c>
      <c r="H18029">
        <v>27053158</v>
      </c>
      <c r="I18029">
        <v>27053170</v>
      </c>
    </row>
    <row r="18030" spans="1:9" x14ac:dyDescent="0.2">
      <c r="A18030" s="1" t="str">
        <f>"TLCD2"</f>
        <v>TLCD2</v>
      </c>
      <c r="B18030" t="s">
        <v>14</v>
      </c>
      <c r="C18030" t="s">
        <v>28</v>
      </c>
      <c r="D18030" t="s">
        <v>11</v>
      </c>
      <c r="E18030" t="s">
        <v>12</v>
      </c>
      <c r="F18030">
        <v>1613600</v>
      </c>
      <c r="G18030">
        <v>1613658</v>
      </c>
      <c r="H18030">
        <v>1613663</v>
      </c>
      <c r="I18030">
        <v>1613686</v>
      </c>
    </row>
    <row r="18031" spans="1:9" x14ac:dyDescent="0.2">
      <c r="A18031" s="1" t="str">
        <f>"TLDC1"</f>
        <v>TLDC1</v>
      </c>
      <c r="B18031" t="s">
        <v>14</v>
      </c>
      <c r="C18031" t="s">
        <v>31</v>
      </c>
      <c r="D18031" t="s">
        <v>11</v>
      </c>
      <c r="E18031" t="s">
        <v>12</v>
      </c>
      <c r="F18031">
        <v>84538218</v>
      </c>
      <c r="G18031">
        <v>84538289</v>
      </c>
      <c r="H18031">
        <v>84538290</v>
      </c>
      <c r="I18031">
        <v>84538306</v>
      </c>
    </row>
    <row r="18032" spans="1:9" x14ac:dyDescent="0.2">
      <c r="A18032" s="1" t="str">
        <f>"TLDC2"</f>
        <v>TLDC2</v>
      </c>
      <c r="B18032" t="s">
        <v>14</v>
      </c>
      <c r="C18032" t="s">
        <v>29</v>
      </c>
      <c r="D18032" t="s">
        <v>17</v>
      </c>
      <c r="E18032" t="s">
        <v>12</v>
      </c>
      <c r="F18032">
        <v>35504522</v>
      </c>
      <c r="G18032">
        <v>35504550</v>
      </c>
      <c r="H18032">
        <v>35504562</v>
      </c>
      <c r="I18032">
        <v>35504578</v>
      </c>
    </row>
    <row r="18033" spans="1:9" x14ac:dyDescent="0.2">
      <c r="A18033" s="1" t="str">
        <f>"TLE1"</f>
        <v>TLE1</v>
      </c>
      <c r="B18033" t="s">
        <v>14</v>
      </c>
      <c r="C18033" t="s">
        <v>24</v>
      </c>
      <c r="D18033" t="s">
        <v>11</v>
      </c>
      <c r="E18033" t="s">
        <v>12</v>
      </c>
      <c r="F18033">
        <v>84304451</v>
      </c>
      <c r="G18033">
        <v>84304469</v>
      </c>
      <c r="H18033">
        <v>84304451</v>
      </c>
      <c r="I18033">
        <v>84304469</v>
      </c>
    </row>
    <row r="18034" spans="1:9" x14ac:dyDescent="0.2">
      <c r="A18034" s="1" t="str">
        <f>"TLE2"</f>
        <v>TLE2</v>
      </c>
      <c r="B18034" t="s">
        <v>14</v>
      </c>
      <c r="C18034" t="s">
        <v>10</v>
      </c>
      <c r="D18034" t="s">
        <v>11</v>
      </c>
      <c r="E18034" t="s">
        <v>12</v>
      </c>
      <c r="F18034">
        <v>3029177</v>
      </c>
      <c r="G18034">
        <v>3029261</v>
      </c>
      <c r="H18034">
        <v>3029267</v>
      </c>
      <c r="I18034">
        <v>3029327</v>
      </c>
    </row>
    <row r="18035" spans="1:9" x14ac:dyDescent="0.2">
      <c r="A18035" s="1" t="str">
        <f>"TLE3"</f>
        <v>TLE3</v>
      </c>
      <c r="B18035" t="s">
        <v>14</v>
      </c>
      <c r="C18035" t="s">
        <v>25</v>
      </c>
      <c r="D18035" t="s">
        <v>11</v>
      </c>
      <c r="E18035" t="s">
        <v>12</v>
      </c>
      <c r="F18035">
        <v>70390213</v>
      </c>
      <c r="G18035">
        <v>70390263</v>
      </c>
      <c r="H18035">
        <v>70389648</v>
      </c>
      <c r="I18035">
        <v>70389668</v>
      </c>
    </row>
    <row r="18036" spans="1:9" x14ac:dyDescent="0.2">
      <c r="A18036" s="1" t="str">
        <f>"TLE4"</f>
        <v>TLE4</v>
      </c>
      <c r="B18036" t="s">
        <v>14</v>
      </c>
      <c r="C18036" t="s">
        <v>24</v>
      </c>
      <c r="D18036" t="s">
        <v>17</v>
      </c>
      <c r="E18036" t="s">
        <v>12</v>
      </c>
      <c r="F18036">
        <v>82186872</v>
      </c>
      <c r="G18036">
        <v>82186898</v>
      </c>
      <c r="H18036">
        <v>82186843</v>
      </c>
      <c r="I18036">
        <v>82186869</v>
      </c>
    </row>
    <row r="18037" spans="1:9" x14ac:dyDescent="0.2">
      <c r="A18037" s="1" t="str">
        <f>"TLE6"</f>
        <v>TLE6</v>
      </c>
      <c r="B18037" t="s">
        <v>14</v>
      </c>
      <c r="C18037" t="s">
        <v>10</v>
      </c>
      <c r="D18037" t="s">
        <v>17</v>
      </c>
      <c r="E18037" t="s">
        <v>12</v>
      </c>
      <c r="F18037">
        <v>2977560</v>
      </c>
      <c r="G18037">
        <v>2977568</v>
      </c>
      <c r="H18037">
        <v>2977505</v>
      </c>
      <c r="I18037">
        <v>2977537</v>
      </c>
    </row>
    <row r="18038" spans="1:9" x14ac:dyDescent="0.2">
      <c r="A18038" s="1" t="str">
        <f>"TLK1"</f>
        <v>TLK1</v>
      </c>
      <c r="B18038" t="s">
        <v>14</v>
      </c>
      <c r="C18038" t="s">
        <v>26</v>
      </c>
      <c r="D18038" t="s">
        <v>11</v>
      </c>
      <c r="E18038" t="s">
        <v>12</v>
      </c>
      <c r="F18038">
        <v>172017188</v>
      </c>
      <c r="G18038">
        <v>172017330</v>
      </c>
      <c r="H18038">
        <v>172017393</v>
      </c>
      <c r="I18038">
        <v>172017509</v>
      </c>
    </row>
    <row r="18039" spans="1:9" x14ac:dyDescent="0.2">
      <c r="A18039" s="1" t="str">
        <f>"TLK2"</f>
        <v>TLK2</v>
      </c>
      <c r="B18039" t="s">
        <v>14</v>
      </c>
      <c r="C18039" t="s">
        <v>28</v>
      </c>
      <c r="D18039" t="s">
        <v>17</v>
      </c>
      <c r="E18039" t="s">
        <v>12</v>
      </c>
      <c r="F18039">
        <v>60556348</v>
      </c>
      <c r="G18039">
        <v>60556379</v>
      </c>
      <c r="H18039">
        <v>60556475</v>
      </c>
      <c r="I18039">
        <v>60556489</v>
      </c>
    </row>
    <row r="18040" spans="1:9" x14ac:dyDescent="0.2">
      <c r="A18040" s="1" t="str">
        <f>"TLL1"</f>
        <v>TLL1</v>
      </c>
      <c r="B18040" t="s">
        <v>14</v>
      </c>
      <c r="C18040" t="s">
        <v>23</v>
      </c>
      <c r="D18040" t="s">
        <v>17</v>
      </c>
      <c r="E18040" t="s">
        <v>12</v>
      </c>
      <c r="F18040">
        <v>166794383</v>
      </c>
      <c r="G18040">
        <v>166794399</v>
      </c>
      <c r="H18040">
        <v>166794862</v>
      </c>
      <c r="I18040">
        <v>166794896</v>
      </c>
    </row>
    <row r="18041" spans="1:9" x14ac:dyDescent="0.2">
      <c r="A18041" s="1" t="str">
        <f>"TLL2"</f>
        <v>TLL2</v>
      </c>
      <c r="B18041" t="s">
        <v>14</v>
      </c>
      <c r="C18041" t="s">
        <v>15</v>
      </c>
      <c r="D18041" t="s">
        <v>11</v>
      </c>
      <c r="E18041" t="s">
        <v>12</v>
      </c>
      <c r="F18041">
        <v>98273668</v>
      </c>
      <c r="G18041">
        <v>98273688</v>
      </c>
      <c r="H18041">
        <v>98273702</v>
      </c>
      <c r="I18041">
        <v>98273715</v>
      </c>
    </row>
    <row r="18042" spans="1:9" x14ac:dyDescent="0.2">
      <c r="A18042" s="1" t="str">
        <f>"TLN1"</f>
        <v>TLN1</v>
      </c>
      <c r="B18042" t="s">
        <v>14</v>
      </c>
      <c r="C18042" t="s">
        <v>24</v>
      </c>
      <c r="D18042" t="s">
        <v>11</v>
      </c>
      <c r="E18042" t="s">
        <v>12</v>
      </c>
      <c r="F18042">
        <v>35732119</v>
      </c>
      <c r="G18042">
        <v>35732199</v>
      </c>
      <c r="H18042">
        <v>35732362</v>
      </c>
      <c r="I18042">
        <v>35732381</v>
      </c>
    </row>
    <row r="18043" spans="1:9" x14ac:dyDescent="0.2">
      <c r="A18043" s="1" t="str">
        <f>"TLN2"</f>
        <v>TLN2</v>
      </c>
      <c r="B18043" t="s">
        <v>1714</v>
      </c>
      <c r="C18043" t="s">
        <v>25</v>
      </c>
      <c r="D18043" t="s">
        <v>17</v>
      </c>
      <c r="E18043" t="s">
        <v>20</v>
      </c>
      <c r="F18043">
        <v>62939509</v>
      </c>
      <c r="G18043">
        <v>62939509</v>
      </c>
      <c r="H18043">
        <v>62939509</v>
      </c>
      <c r="I18043">
        <v>62939509</v>
      </c>
    </row>
    <row r="18044" spans="1:9" x14ac:dyDescent="0.2">
      <c r="A18044" s="1" t="str">
        <f>"TLN2"</f>
        <v>TLN2</v>
      </c>
      <c r="B18044" t="s">
        <v>1715</v>
      </c>
      <c r="C18044" t="s">
        <v>25</v>
      </c>
      <c r="D18044" t="s">
        <v>17</v>
      </c>
      <c r="E18044" t="s">
        <v>75</v>
      </c>
      <c r="F18044">
        <v>62853562</v>
      </c>
      <c r="G18044">
        <v>62853614</v>
      </c>
      <c r="H18044">
        <v>62853562</v>
      </c>
      <c r="I18044">
        <v>62853614</v>
      </c>
    </row>
    <row r="18045" spans="1:9" x14ac:dyDescent="0.2">
      <c r="A18045" s="1" t="str">
        <f>"TLR1"</f>
        <v>TLR1</v>
      </c>
      <c r="B18045" t="s">
        <v>14</v>
      </c>
      <c r="C18045" t="s">
        <v>23</v>
      </c>
      <c r="D18045" t="s">
        <v>11</v>
      </c>
      <c r="E18045" t="s">
        <v>12</v>
      </c>
      <c r="F18045">
        <v>38806404</v>
      </c>
      <c r="G18045">
        <v>38806426</v>
      </c>
      <c r="H18045">
        <v>38806404</v>
      </c>
      <c r="I18045">
        <v>38806426</v>
      </c>
    </row>
    <row r="18046" spans="1:9" x14ac:dyDescent="0.2">
      <c r="A18046" s="1" t="str">
        <f>"TLR10"</f>
        <v>TLR10</v>
      </c>
      <c r="B18046" t="s">
        <v>14</v>
      </c>
      <c r="C18046" t="s">
        <v>23</v>
      </c>
      <c r="D18046" t="s">
        <v>11</v>
      </c>
      <c r="E18046" t="s">
        <v>12</v>
      </c>
      <c r="F18046">
        <v>38784592</v>
      </c>
      <c r="G18046">
        <v>38784619</v>
      </c>
      <c r="H18046">
        <v>38784572</v>
      </c>
      <c r="I18046">
        <v>38784589</v>
      </c>
    </row>
    <row r="18047" spans="1:9" x14ac:dyDescent="0.2">
      <c r="A18047" s="1" t="str">
        <f>"TLR2"</f>
        <v>TLR2</v>
      </c>
      <c r="B18047" t="s">
        <v>14</v>
      </c>
      <c r="C18047" t="s">
        <v>23</v>
      </c>
      <c r="D18047" t="s">
        <v>17</v>
      </c>
      <c r="E18047" t="s">
        <v>12</v>
      </c>
      <c r="F18047">
        <v>154605395</v>
      </c>
      <c r="G18047">
        <v>154605471</v>
      </c>
      <c r="H18047">
        <v>154605474</v>
      </c>
      <c r="I18047">
        <v>154605492</v>
      </c>
    </row>
    <row r="18048" spans="1:9" x14ac:dyDescent="0.2">
      <c r="A18048" s="1" t="str">
        <f>"TLR3"</f>
        <v>TLR3</v>
      </c>
      <c r="B18048" t="s">
        <v>14</v>
      </c>
      <c r="C18048" t="s">
        <v>23</v>
      </c>
      <c r="D18048" t="s">
        <v>17</v>
      </c>
      <c r="E18048" t="s">
        <v>12</v>
      </c>
      <c r="F18048">
        <v>186990298</v>
      </c>
      <c r="G18048">
        <v>186990342</v>
      </c>
      <c r="H18048">
        <v>186990298</v>
      </c>
      <c r="I18048">
        <v>186990342</v>
      </c>
    </row>
    <row r="18049" spans="1:9" x14ac:dyDescent="0.2">
      <c r="A18049" s="1" t="str">
        <f>"TLR4"</f>
        <v>TLR4</v>
      </c>
      <c r="B18049" t="s">
        <v>14</v>
      </c>
      <c r="C18049" t="s">
        <v>24</v>
      </c>
      <c r="D18049" t="s">
        <v>17</v>
      </c>
      <c r="E18049" t="s">
        <v>12</v>
      </c>
      <c r="F18049">
        <v>120466661</v>
      </c>
      <c r="G18049">
        <v>120466687</v>
      </c>
      <c r="H18049">
        <v>120466568</v>
      </c>
      <c r="I18049">
        <v>120466595</v>
      </c>
    </row>
    <row r="18050" spans="1:9" x14ac:dyDescent="0.2">
      <c r="A18050" s="1" t="str">
        <f>"TLR5"</f>
        <v>TLR5</v>
      </c>
      <c r="B18050" t="s">
        <v>14</v>
      </c>
      <c r="C18050" t="s">
        <v>19</v>
      </c>
      <c r="D18050" t="s">
        <v>11</v>
      </c>
      <c r="E18050" t="s">
        <v>12</v>
      </c>
      <c r="F18050">
        <v>223316577</v>
      </c>
      <c r="G18050">
        <v>223316597</v>
      </c>
      <c r="H18050">
        <v>223316611</v>
      </c>
      <c r="I18050">
        <v>223316635</v>
      </c>
    </row>
    <row r="18051" spans="1:9" x14ac:dyDescent="0.2">
      <c r="A18051" s="1" t="str">
        <f>"TLR6"</f>
        <v>TLR6</v>
      </c>
      <c r="B18051" t="s">
        <v>14</v>
      </c>
      <c r="C18051" t="s">
        <v>23</v>
      </c>
      <c r="D18051" t="s">
        <v>11</v>
      </c>
      <c r="E18051" t="s">
        <v>12</v>
      </c>
      <c r="F18051">
        <v>38858428</v>
      </c>
      <c r="G18051">
        <v>38858453</v>
      </c>
      <c r="H18051">
        <v>38858469</v>
      </c>
      <c r="I18051">
        <v>38858480</v>
      </c>
    </row>
    <row r="18052" spans="1:9" x14ac:dyDescent="0.2">
      <c r="A18052" s="1" t="str">
        <f>"TLR7"</f>
        <v>TLR7</v>
      </c>
      <c r="B18052" t="s">
        <v>14</v>
      </c>
      <c r="C18052" t="s">
        <v>37</v>
      </c>
      <c r="D18052" t="s">
        <v>17</v>
      </c>
      <c r="E18052" t="s">
        <v>12</v>
      </c>
      <c r="F18052">
        <v>12885183</v>
      </c>
      <c r="G18052">
        <v>12885200</v>
      </c>
      <c r="H18052">
        <v>12885151</v>
      </c>
      <c r="I18052">
        <v>12885170</v>
      </c>
    </row>
    <row r="18053" spans="1:9" x14ac:dyDescent="0.2">
      <c r="A18053" s="1" t="str">
        <f>"TLR8"</f>
        <v>TLR8</v>
      </c>
      <c r="B18053" t="s">
        <v>14</v>
      </c>
      <c r="C18053" t="s">
        <v>37</v>
      </c>
      <c r="D18053" t="s">
        <v>17</v>
      </c>
      <c r="E18053" t="s">
        <v>12</v>
      </c>
      <c r="F18053">
        <v>12924732</v>
      </c>
      <c r="G18053">
        <v>12924745</v>
      </c>
      <c r="H18053">
        <v>12924732</v>
      </c>
      <c r="I18053">
        <v>12924745</v>
      </c>
    </row>
    <row r="18054" spans="1:9" x14ac:dyDescent="0.2">
      <c r="A18054" s="1" t="str">
        <f>"TLR9"</f>
        <v>TLR9</v>
      </c>
      <c r="B18054" t="s">
        <v>14</v>
      </c>
      <c r="C18054" t="s">
        <v>22</v>
      </c>
      <c r="D18054" t="s">
        <v>11</v>
      </c>
      <c r="E18054" t="s">
        <v>12</v>
      </c>
      <c r="F18054">
        <v>52259644</v>
      </c>
      <c r="G18054">
        <v>52259667</v>
      </c>
      <c r="H18054">
        <v>52259631</v>
      </c>
      <c r="I18054">
        <v>52259643</v>
      </c>
    </row>
    <row r="18055" spans="1:9" x14ac:dyDescent="0.2">
      <c r="A18055" s="1" t="str">
        <f>"TLX1"</f>
        <v>TLX1</v>
      </c>
      <c r="B18055" t="s">
        <v>14</v>
      </c>
      <c r="C18055" t="s">
        <v>15</v>
      </c>
      <c r="D18055" t="s">
        <v>17</v>
      </c>
      <c r="E18055" t="s">
        <v>12</v>
      </c>
      <c r="F18055">
        <v>102891048</v>
      </c>
      <c r="G18055">
        <v>102891078</v>
      </c>
      <c r="H18055">
        <v>102890846</v>
      </c>
      <c r="I18055">
        <v>102890877</v>
      </c>
    </row>
    <row r="18056" spans="1:9" x14ac:dyDescent="0.2">
      <c r="A18056" s="1" t="str">
        <f>"TLX1NB"</f>
        <v>TLX1NB</v>
      </c>
      <c r="B18056" t="s">
        <v>14</v>
      </c>
      <c r="C18056" t="s">
        <v>15</v>
      </c>
      <c r="D18056" t="s">
        <v>11</v>
      </c>
      <c r="E18056" t="s">
        <v>12</v>
      </c>
      <c r="F18056">
        <v>102890890</v>
      </c>
      <c r="G18056">
        <v>102890902</v>
      </c>
      <c r="H18056">
        <v>102890890</v>
      </c>
      <c r="I18056">
        <v>102890902</v>
      </c>
    </row>
    <row r="18057" spans="1:9" x14ac:dyDescent="0.2">
      <c r="A18057" s="1" t="str">
        <f>"TLX2"</f>
        <v>TLX2</v>
      </c>
      <c r="B18057" t="s">
        <v>14</v>
      </c>
      <c r="C18057" t="s">
        <v>26</v>
      </c>
      <c r="D18057" t="s">
        <v>17</v>
      </c>
      <c r="E18057" t="s">
        <v>12</v>
      </c>
      <c r="F18057">
        <v>74741569</v>
      </c>
      <c r="G18057">
        <v>74741620</v>
      </c>
      <c r="H18057">
        <v>74741642</v>
      </c>
      <c r="I18057">
        <v>74741658</v>
      </c>
    </row>
    <row r="18058" spans="1:9" x14ac:dyDescent="0.2">
      <c r="A18058" s="1" t="str">
        <f>"TLX3"</f>
        <v>TLX3</v>
      </c>
      <c r="B18058" t="s">
        <v>14</v>
      </c>
      <c r="C18058" t="s">
        <v>46</v>
      </c>
      <c r="D18058" t="s">
        <v>17</v>
      </c>
      <c r="E18058" t="s">
        <v>12</v>
      </c>
      <c r="F18058">
        <v>170736243</v>
      </c>
      <c r="G18058">
        <v>170736279</v>
      </c>
      <c r="H18058">
        <v>170736216</v>
      </c>
      <c r="I18058">
        <v>170736238</v>
      </c>
    </row>
    <row r="18059" spans="1:9" x14ac:dyDescent="0.2">
      <c r="A18059" s="1" t="str">
        <f>"TM2D1"</f>
        <v>TM2D1</v>
      </c>
      <c r="B18059" t="s">
        <v>14</v>
      </c>
      <c r="C18059" t="s">
        <v>19</v>
      </c>
      <c r="D18059" t="s">
        <v>11</v>
      </c>
      <c r="E18059" t="s">
        <v>12</v>
      </c>
      <c r="F18059">
        <v>62190793</v>
      </c>
      <c r="G18059">
        <v>62190822</v>
      </c>
      <c r="H18059">
        <v>62190793</v>
      </c>
      <c r="I18059">
        <v>62190822</v>
      </c>
    </row>
    <row r="18060" spans="1:9" x14ac:dyDescent="0.2">
      <c r="A18060" s="1" t="str">
        <f>"TM2D2"</f>
        <v>TM2D2</v>
      </c>
      <c r="B18060" t="s">
        <v>14</v>
      </c>
      <c r="C18060" t="s">
        <v>30</v>
      </c>
      <c r="D18060" t="s">
        <v>11</v>
      </c>
      <c r="E18060" t="s">
        <v>12</v>
      </c>
      <c r="F18060">
        <v>38853990</v>
      </c>
      <c r="G18060">
        <v>38854061</v>
      </c>
      <c r="H18060">
        <v>38853766</v>
      </c>
      <c r="I18060">
        <v>38853794</v>
      </c>
    </row>
    <row r="18061" spans="1:9" x14ac:dyDescent="0.2">
      <c r="A18061" s="1" t="str">
        <f>"TM2D3"</f>
        <v>TM2D3</v>
      </c>
      <c r="B18061" t="s">
        <v>14</v>
      </c>
      <c r="C18061" t="s">
        <v>25</v>
      </c>
      <c r="D18061" t="s">
        <v>11</v>
      </c>
      <c r="E18061" t="s">
        <v>12</v>
      </c>
      <c r="F18061">
        <v>102192567</v>
      </c>
      <c r="G18061">
        <v>102192597</v>
      </c>
      <c r="H18061">
        <v>102192484</v>
      </c>
      <c r="I18061">
        <v>102192513</v>
      </c>
    </row>
    <row r="18062" spans="1:9" x14ac:dyDescent="0.2">
      <c r="A18062" s="1" t="str">
        <f>"TM4SF1"</f>
        <v>TM4SF1</v>
      </c>
      <c r="B18062" t="s">
        <v>14</v>
      </c>
      <c r="C18062" t="s">
        <v>22</v>
      </c>
      <c r="D18062" t="s">
        <v>11</v>
      </c>
      <c r="E18062" t="s">
        <v>12</v>
      </c>
      <c r="F18062">
        <v>149095424</v>
      </c>
      <c r="G18062">
        <v>149095445</v>
      </c>
      <c r="H18062">
        <v>149095424</v>
      </c>
      <c r="I18062">
        <v>149095445</v>
      </c>
    </row>
    <row r="18063" spans="1:9" x14ac:dyDescent="0.2">
      <c r="A18063" s="1" t="str">
        <f>"TM4SF18"</f>
        <v>TM4SF18</v>
      </c>
      <c r="B18063" t="s">
        <v>14</v>
      </c>
      <c r="C18063" t="s">
        <v>22</v>
      </c>
      <c r="D18063" t="s">
        <v>11</v>
      </c>
      <c r="E18063" t="s">
        <v>12</v>
      </c>
      <c r="F18063">
        <v>149051376</v>
      </c>
      <c r="G18063">
        <v>149051400</v>
      </c>
      <c r="H18063">
        <v>149051406</v>
      </c>
      <c r="I18063">
        <v>149051430</v>
      </c>
    </row>
    <row r="18064" spans="1:9" x14ac:dyDescent="0.2">
      <c r="A18064" s="1" t="str">
        <f>"TM4SF19"</f>
        <v>TM4SF19</v>
      </c>
      <c r="B18064" t="s">
        <v>14</v>
      </c>
      <c r="C18064" t="s">
        <v>22</v>
      </c>
      <c r="D18064" t="s">
        <v>11</v>
      </c>
      <c r="E18064" t="s">
        <v>12</v>
      </c>
      <c r="F18064">
        <v>196065248</v>
      </c>
      <c r="G18064">
        <v>196065267</v>
      </c>
      <c r="H18064">
        <v>196065302</v>
      </c>
      <c r="I18064">
        <v>196065322</v>
      </c>
    </row>
    <row r="18065" spans="1:9" x14ac:dyDescent="0.2">
      <c r="A18065" s="1" t="str">
        <f>"TM4SF20"</f>
        <v>TM4SF20</v>
      </c>
      <c r="B18065" t="s">
        <v>14</v>
      </c>
      <c r="C18065" t="s">
        <v>26</v>
      </c>
      <c r="D18065" t="s">
        <v>11</v>
      </c>
      <c r="E18065" t="s">
        <v>12</v>
      </c>
      <c r="F18065">
        <v>228244013</v>
      </c>
      <c r="G18065">
        <v>228244027</v>
      </c>
      <c r="H18065">
        <v>228244013</v>
      </c>
      <c r="I18065">
        <v>228244027</v>
      </c>
    </row>
    <row r="18066" spans="1:9" x14ac:dyDescent="0.2">
      <c r="A18066" s="1" t="str">
        <f>"TM4SF4"</f>
        <v>TM4SF4</v>
      </c>
      <c r="B18066" t="s">
        <v>14</v>
      </c>
      <c r="C18066" t="s">
        <v>22</v>
      </c>
      <c r="D18066" t="s">
        <v>17</v>
      </c>
      <c r="E18066" t="s">
        <v>12</v>
      </c>
      <c r="F18066">
        <v>149192475</v>
      </c>
      <c r="G18066">
        <v>149192496</v>
      </c>
      <c r="H18066">
        <v>149192475</v>
      </c>
      <c r="I18066">
        <v>149192496</v>
      </c>
    </row>
    <row r="18067" spans="1:9" x14ac:dyDescent="0.2">
      <c r="A18067" s="1" t="str">
        <f>"TM4SF5"</f>
        <v>TM4SF5</v>
      </c>
      <c r="B18067" t="s">
        <v>14</v>
      </c>
      <c r="C18067" t="s">
        <v>28</v>
      </c>
      <c r="D18067" t="s">
        <v>17</v>
      </c>
      <c r="E18067" t="s">
        <v>12</v>
      </c>
      <c r="F18067">
        <v>4675175</v>
      </c>
      <c r="G18067">
        <v>4675192</v>
      </c>
      <c r="H18067">
        <v>4675175</v>
      </c>
      <c r="I18067">
        <v>4675192</v>
      </c>
    </row>
    <row r="18068" spans="1:9" x14ac:dyDescent="0.2">
      <c r="A18068" s="1" t="str">
        <f>"TM6SF1"</f>
        <v>TM6SF1</v>
      </c>
      <c r="B18068" t="s">
        <v>14</v>
      </c>
      <c r="C18068" t="s">
        <v>25</v>
      </c>
      <c r="D18068" t="s">
        <v>17</v>
      </c>
      <c r="E18068" t="s">
        <v>12</v>
      </c>
      <c r="F18068">
        <v>83776369</v>
      </c>
      <c r="G18068">
        <v>83776441</v>
      </c>
      <c r="H18068">
        <v>83776137</v>
      </c>
      <c r="I18068">
        <v>83776164</v>
      </c>
    </row>
    <row r="18069" spans="1:9" x14ac:dyDescent="0.2">
      <c r="A18069" s="1" t="str">
        <f>"TM6SF2"</f>
        <v>TM6SF2</v>
      </c>
      <c r="B18069" t="s">
        <v>14</v>
      </c>
      <c r="C18069" t="s">
        <v>10</v>
      </c>
      <c r="D18069" t="s">
        <v>11</v>
      </c>
      <c r="E18069" t="s">
        <v>12</v>
      </c>
      <c r="F18069">
        <v>19384055</v>
      </c>
      <c r="G18069">
        <v>19384121</v>
      </c>
      <c r="H18069">
        <v>19384145</v>
      </c>
      <c r="I18069">
        <v>19384209</v>
      </c>
    </row>
    <row r="18070" spans="1:9" x14ac:dyDescent="0.2">
      <c r="A18070" s="1" t="str">
        <f>"TM7SF2"</f>
        <v>TM7SF2</v>
      </c>
      <c r="B18070" t="s">
        <v>14</v>
      </c>
      <c r="C18070" t="s">
        <v>27</v>
      </c>
      <c r="D18070" t="s">
        <v>17</v>
      </c>
      <c r="E18070" t="s">
        <v>12</v>
      </c>
      <c r="F18070">
        <v>64879336</v>
      </c>
      <c r="G18070">
        <v>64879353</v>
      </c>
      <c r="H18070">
        <v>64880201</v>
      </c>
      <c r="I18070">
        <v>64880224</v>
      </c>
    </row>
    <row r="18071" spans="1:9" x14ac:dyDescent="0.2">
      <c r="A18071" s="1" t="str">
        <f>"TM7SF3"</f>
        <v>TM7SF3</v>
      </c>
      <c r="B18071" t="s">
        <v>14</v>
      </c>
      <c r="C18071" t="s">
        <v>16</v>
      </c>
      <c r="D18071" t="s">
        <v>11</v>
      </c>
      <c r="E18071" t="s">
        <v>12</v>
      </c>
      <c r="F18071">
        <v>27167233</v>
      </c>
      <c r="G18071">
        <v>27167342</v>
      </c>
      <c r="H18071">
        <v>27167220</v>
      </c>
      <c r="I18071">
        <v>27167231</v>
      </c>
    </row>
    <row r="18072" spans="1:9" x14ac:dyDescent="0.2">
      <c r="A18072" s="1" t="str">
        <f>"TM9SF1"</f>
        <v>TM9SF1</v>
      </c>
      <c r="B18072" t="s">
        <v>9</v>
      </c>
      <c r="C18072" t="s">
        <v>41</v>
      </c>
      <c r="D18072" t="s">
        <v>11</v>
      </c>
      <c r="E18072" t="s">
        <v>12</v>
      </c>
      <c r="F18072">
        <v>24682652</v>
      </c>
      <c r="G18072">
        <v>24682705</v>
      </c>
      <c r="H18072">
        <v>24682652</v>
      </c>
      <c r="I18072">
        <v>24682705</v>
      </c>
    </row>
    <row r="18073" spans="1:9" x14ac:dyDescent="0.2">
      <c r="A18073" s="1" t="str">
        <f>"TM9SF1"</f>
        <v>TM9SF1</v>
      </c>
      <c r="B18073" t="s">
        <v>13</v>
      </c>
      <c r="C18073" t="s">
        <v>41</v>
      </c>
      <c r="D18073" t="s">
        <v>11</v>
      </c>
      <c r="E18073" t="s">
        <v>12</v>
      </c>
      <c r="F18073">
        <v>24664616</v>
      </c>
      <c r="G18073">
        <v>24664690</v>
      </c>
      <c r="H18073">
        <v>24664616</v>
      </c>
      <c r="I18073">
        <v>24664690</v>
      </c>
    </row>
    <row r="18074" spans="1:9" x14ac:dyDescent="0.2">
      <c r="A18074" s="1" t="str">
        <f>"TM9SF2"</f>
        <v>TM9SF2</v>
      </c>
      <c r="B18074" t="s">
        <v>14</v>
      </c>
      <c r="C18074" t="s">
        <v>39</v>
      </c>
      <c r="D18074" t="s">
        <v>17</v>
      </c>
      <c r="E18074" t="s">
        <v>12</v>
      </c>
      <c r="F18074">
        <v>100153737</v>
      </c>
      <c r="G18074">
        <v>100153785</v>
      </c>
      <c r="H18074">
        <v>100153718</v>
      </c>
      <c r="I18074">
        <v>100153734</v>
      </c>
    </row>
    <row r="18075" spans="1:9" x14ac:dyDescent="0.2">
      <c r="A18075" s="1" t="str">
        <f>"TM9SF3"</f>
        <v>TM9SF3</v>
      </c>
      <c r="B18075" t="s">
        <v>14</v>
      </c>
      <c r="C18075" t="s">
        <v>15</v>
      </c>
      <c r="D18075" t="s">
        <v>11</v>
      </c>
      <c r="E18075" t="s">
        <v>12</v>
      </c>
      <c r="F18075">
        <v>98346732</v>
      </c>
      <c r="G18075">
        <v>98346783</v>
      </c>
      <c r="H18075">
        <v>98346801</v>
      </c>
      <c r="I18075">
        <v>98346812</v>
      </c>
    </row>
    <row r="18076" spans="1:9" x14ac:dyDescent="0.2">
      <c r="A18076" s="1" t="str">
        <f>"TM9SF4"</f>
        <v>TM9SF4</v>
      </c>
      <c r="B18076" t="s">
        <v>14</v>
      </c>
      <c r="C18076" t="s">
        <v>29</v>
      </c>
      <c r="D18076" t="s">
        <v>17</v>
      </c>
      <c r="E18076" t="s">
        <v>12</v>
      </c>
      <c r="F18076">
        <v>30697510</v>
      </c>
      <c r="G18076">
        <v>30697547</v>
      </c>
      <c r="H18076">
        <v>30697362</v>
      </c>
      <c r="I18076">
        <v>30697428</v>
      </c>
    </row>
    <row r="18077" spans="1:9" x14ac:dyDescent="0.2">
      <c r="A18077" s="1" t="str">
        <f>"TMA16"</f>
        <v>TMA16</v>
      </c>
      <c r="B18077" t="s">
        <v>14</v>
      </c>
      <c r="C18077" t="s">
        <v>23</v>
      </c>
      <c r="D18077" t="s">
        <v>17</v>
      </c>
      <c r="E18077" t="s">
        <v>12</v>
      </c>
      <c r="F18077">
        <v>164415785</v>
      </c>
      <c r="G18077">
        <v>164415848</v>
      </c>
      <c r="H18077">
        <v>164415670</v>
      </c>
      <c r="I18077">
        <v>164415690</v>
      </c>
    </row>
    <row r="18078" spans="1:9" x14ac:dyDescent="0.2">
      <c r="A18078" s="1" t="str">
        <f>"TMA7"</f>
        <v>TMA7</v>
      </c>
      <c r="B18078" t="s">
        <v>14</v>
      </c>
      <c r="C18078" t="s">
        <v>22</v>
      </c>
      <c r="D18078" t="s">
        <v>17</v>
      </c>
      <c r="E18078" t="s">
        <v>12</v>
      </c>
      <c r="F18078">
        <v>48481658</v>
      </c>
      <c r="G18078">
        <v>48481678</v>
      </c>
      <c r="H18078">
        <v>48481711</v>
      </c>
      <c r="I18078">
        <v>48481722</v>
      </c>
    </row>
    <row r="18079" spans="1:9" x14ac:dyDescent="0.2">
      <c r="A18079" s="1" t="str">
        <f>"TMBIM1"</f>
        <v>TMBIM1</v>
      </c>
      <c r="B18079" t="s">
        <v>14</v>
      </c>
      <c r="C18079" t="s">
        <v>26</v>
      </c>
      <c r="D18079" t="s">
        <v>11</v>
      </c>
      <c r="E18079" t="s">
        <v>12</v>
      </c>
      <c r="F18079">
        <v>219157219</v>
      </c>
      <c r="G18079">
        <v>219157245</v>
      </c>
      <c r="H18079">
        <v>219157250</v>
      </c>
      <c r="I18079">
        <v>219157281</v>
      </c>
    </row>
    <row r="18080" spans="1:9" x14ac:dyDescent="0.2">
      <c r="A18080" s="1" t="str">
        <f>"TMBIM4"</f>
        <v>TMBIM4</v>
      </c>
      <c r="B18080" t="s">
        <v>14</v>
      </c>
      <c r="C18080" t="s">
        <v>16</v>
      </c>
      <c r="D18080" t="s">
        <v>11</v>
      </c>
      <c r="E18080" t="s">
        <v>12</v>
      </c>
      <c r="F18080">
        <v>66563728</v>
      </c>
      <c r="G18080">
        <v>66563784</v>
      </c>
      <c r="H18080">
        <v>66563786</v>
      </c>
      <c r="I18080">
        <v>66563818</v>
      </c>
    </row>
    <row r="18081" spans="1:9" x14ac:dyDescent="0.2">
      <c r="A18081" s="1" t="str">
        <f>"TMBIM6"</f>
        <v>TMBIM6</v>
      </c>
      <c r="B18081" t="s">
        <v>14</v>
      </c>
      <c r="C18081" t="s">
        <v>16</v>
      </c>
      <c r="D18081" t="s">
        <v>17</v>
      </c>
      <c r="E18081" t="s">
        <v>12</v>
      </c>
      <c r="F18081">
        <v>50135333</v>
      </c>
      <c r="G18081">
        <v>50135346</v>
      </c>
      <c r="H18081">
        <v>50135352</v>
      </c>
      <c r="I18081">
        <v>50135356</v>
      </c>
    </row>
    <row r="18082" spans="1:9" x14ac:dyDescent="0.2">
      <c r="A18082" s="1" t="str">
        <f>"TMC1"</f>
        <v>TMC1</v>
      </c>
      <c r="B18082" t="s">
        <v>1716</v>
      </c>
      <c r="C18082" t="s">
        <v>24</v>
      </c>
      <c r="D18082" t="s">
        <v>17</v>
      </c>
      <c r="E18082" t="s">
        <v>75</v>
      </c>
      <c r="F18082">
        <v>75136513</v>
      </c>
      <c r="G18082">
        <v>75136517</v>
      </c>
      <c r="H18082">
        <v>75136513</v>
      </c>
      <c r="I18082">
        <v>75136517</v>
      </c>
    </row>
    <row r="18083" spans="1:9" x14ac:dyDescent="0.2">
      <c r="A18083" s="1" t="str">
        <f>"TMC1"</f>
        <v>TMC1</v>
      </c>
      <c r="B18083" t="s">
        <v>1717</v>
      </c>
      <c r="C18083" t="s">
        <v>24</v>
      </c>
      <c r="D18083" t="s">
        <v>17</v>
      </c>
      <c r="E18083" t="s">
        <v>20</v>
      </c>
      <c r="F18083">
        <v>75229615</v>
      </c>
      <c r="G18083">
        <v>75229615</v>
      </c>
      <c r="H18083">
        <v>75229615</v>
      </c>
      <c r="I18083">
        <v>75229615</v>
      </c>
    </row>
    <row r="18084" spans="1:9" x14ac:dyDescent="0.2">
      <c r="A18084" s="1" t="str">
        <f>"TMC1"</f>
        <v>TMC1</v>
      </c>
      <c r="B18084" t="s">
        <v>1718</v>
      </c>
      <c r="C18084" t="s">
        <v>24</v>
      </c>
      <c r="D18084" t="s">
        <v>17</v>
      </c>
      <c r="E18084" t="s">
        <v>20</v>
      </c>
      <c r="F18084">
        <v>75263564</v>
      </c>
      <c r="G18084">
        <v>75263564</v>
      </c>
      <c r="H18084">
        <v>75263564</v>
      </c>
      <c r="I18084">
        <v>75263564</v>
      </c>
    </row>
    <row r="18085" spans="1:9" x14ac:dyDescent="0.2">
      <c r="A18085" s="1" t="str">
        <f>"TMC2"</f>
        <v>TMC2</v>
      </c>
      <c r="B18085" t="s">
        <v>14</v>
      </c>
      <c r="C18085" t="s">
        <v>29</v>
      </c>
      <c r="D18085" t="s">
        <v>17</v>
      </c>
      <c r="E18085" t="s">
        <v>12</v>
      </c>
      <c r="F18085">
        <v>2539275</v>
      </c>
      <c r="G18085">
        <v>2539292</v>
      </c>
      <c r="H18085">
        <v>2539072</v>
      </c>
      <c r="I18085">
        <v>2539079</v>
      </c>
    </row>
    <row r="18086" spans="1:9" x14ac:dyDescent="0.2">
      <c r="A18086" s="1" t="str">
        <f>"TMC3"</f>
        <v>TMC3</v>
      </c>
      <c r="B18086" t="s">
        <v>14</v>
      </c>
      <c r="C18086" t="s">
        <v>25</v>
      </c>
      <c r="D18086" t="s">
        <v>11</v>
      </c>
      <c r="E18086" t="s">
        <v>12</v>
      </c>
      <c r="F18086">
        <v>81666546</v>
      </c>
      <c r="G18086">
        <v>81666560</v>
      </c>
      <c r="H18086">
        <v>81666576</v>
      </c>
      <c r="I18086">
        <v>81666590</v>
      </c>
    </row>
    <row r="18087" spans="1:9" x14ac:dyDescent="0.2">
      <c r="A18087" s="1" t="str">
        <f>"TMC4"</f>
        <v>TMC4</v>
      </c>
      <c r="B18087" t="s">
        <v>14</v>
      </c>
      <c r="C18087" t="s">
        <v>10</v>
      </c>
      <c r="D18087" t="s">
        <v>11</v>
      </c>
      <c r="E18087" t="s">
        <v>12</v>
      </c>
      <c r="F18087">
        <v>54676846</v>
      </c>
      <c r="G18087">
        <v>54676872</v>
      </c>
      <c r="H18087">
        <v>54676884</v>
      </c>
      <c r="I18087">
        <v>54676893</v>
      </c>
    </row>
    <row r="18088" spans="1:9" x14ac:dyDescent="0.2">
      <c r="A18088" s="1" t="str">
        <f>"TMC5"</f>
        <v>TMC5</v>
      </c>
      <c r="B18088" t="s">
        <v>14</v>
      </c>
      <c r="C18088" t="s">
        <v>31</v>
      </c>
      <c r="D18088" t="s">
        <v>17</v>
      </c>
      <c r="E18088" t="s">
        <v>12</v>
      </c>
      <c r="F18088">
        <v>19429197</v>
      </c>
      <c r="G18088">
        <v>19429221</v>
      </c>
      <c r="H18088">
        <v>19429024</v>
      </c>
      <c r="I18088">
        <v>19429065</v>
      </c>
    </row>
    <row r="18089" spans="1:9" x14ac:dyDescent="0.2">
      <c r="A18089" s="1" t="str">
        <f>"TMC6"</f>
        <v>TMC6</v>
      </c>
      <c r="B18089" t="s">
        <v>14</v>
      </c>
      <c r="C18089" t="s">
        <v>28</v>
      </c>
      <c r="D18089" t="s">
        <v>11</v>
      </c>
      <c r="E18089" t="s">
        <v>12</v>
      </c>
      <c r="F18089">
        <v>76124812</v>
      </c>
      <c r="G18089">
        <v>76124851</v>
      </c>
      <c r="H18089">
        <v>76124760</v>
      </c>
      <c r="I18089">
        <v>76124775</v>
      </c>
    </row>
    <row r="18090" spans="1:9" x14ac:dyDescent="0.2">
      <c r="A18090" s="1" t="str">
        <f>"TMC7"</f>
        <v>TMC7</v>
      </c>
      <c r="B18090" t="s">
        <v>14</v>
      </c>
      <c r="C18090" t="s">
        <v>31</v>
      </c>
      <c r="D18090" t="s">
        <v>17</v>
      </c>
      <c r="E18090" t="s">
        <v>12</v>
      </c>
      <c r="F18090">
        <v>18995264</v>
      </c>
      <c r="G18090">
        <v>18995351</v>
      </c>
      <c r="H18090">
        <v>18995249</v>
      </c>
      <c r="I18090">
        <v>18995261</v>
      </c>
    </row>
    <row r="18091" spans="1:9" x14ac:dyDescent="0.2">
      <c r="A18091" s="1" t="str">
        <f>"TMC8"</f>
        <v>TMC8</v>
      </c>
      <c r="B18091" t="s">
        <v>9</v>
      </c>
      <c r="C18091" t="s">
        <v>28</v>
      </c>
      <c r="D18091" t="s">
        <v>17</v>
      </c>
      <c r="E18091" t="s">
        <v>12</v>
      </c>
      <c r="F18091">
        <v>76126842</v>
      </c>
      <c r="G18091">
        <v>76126896</v>
      </c>
      <c r="H18091">
        <v>76126842</v>
      </c>
      <c r="I18091">
        <v>76126896</v>
      </c>
    </row>
    <row r="18092" spans="1:9" x14ac:dyDescent="0.2">
      <c r="A18092" s="1" t="str">
        <f>"TMC8"</f>
        <v>TMC8</v>
      </c>
      <c r="B18092" t="s">
        <v>13</v>
      </c>
      <c r="C18092" t="s">
        <v>28</v>
      </c>
      <c r="D18092" t="s">
        <v>17</v>
      </c>
      <c r="E18092" t="s">
        <v>12</v>
      </c>
      <c r="F18092">
        <v>76136828</v>
      </c>
      <c r="G18092">
        <v>76136842</v>
      </c>
      <c r="H18092">
        <v>76136828</v>
      </c>
      <c r="I18092">
        <v>76136842</v>
      </c>
    </row>
    <row r="18093" spans="1:9" x14ac:dyDescent="0.2">
      <c r="A18093" s="1" t="str">
        <f>"TMCC1"</f>
        <v>TMCC1</v>
      </c>
      <c r="B18093" t="s">
        <v>14</v>
      </c>
      <c r="C18093" t="s">
        <v>22</v>
      </c>
      <c r="D18093" t="s">
        <v>11</v>
      </c>
      <c r="E18093" t="s">
        <v>12</v>
      </c>
      <c r="F18093">
        <v>129612520</v>
      </c>
      <c r="G18093">
        <v>129612579</v>
      </c>
      <c r="H18093">
        <v>129612378</v>
      </c>
      <c r="I18093">
        <v>129612417</v>
      </c>
    </row>
    <row r="18094" spans="1:9" x14ac:dyDescent="0.2">
      <c r="A18094" s="1" t="str">
        <f>"TMCC2"</f>
        <v>TMCC2</v>
      </c>
      <c r="B18094" t="s">
        <v>9</v>
      </c>
      <c r="C18094" t="s">
        <v>19</v>
      </c>
      <c r="D18094" t="s">
        <v>17</v>
      </c>
      <c r="E18094" t="s">
        <v>12</v>
      </c>
      <c r="F18094">
        <v>205197018</v>
      </c>
      <c r="G18094">
        <v>205197122</v>
      </c>
      <c r="H18094">
        <v>205197018</v>
      </c>
      <c r="I18094">
        <v>205197122</v>
      </c>
    </row>
    <row r="18095" spans="1:9" x14ac:dyDescent="0.2">
      <c r="A18095" s="1" t="str">
        <f>"TMCC2"</f>
        <v>TMCC2</v>
      </c>
      <c r="B18095" t="s">
        <v>13</v>
      </c>
      <c r="C18095" t="s">
        <v>19</v>
      </c>
      <c r="D18095" t="s">
        <v>17</v>
      </c>
      <c r="E18095" t="s">
        <v>12</v>
      </c>
      <c r="F18095">
        <v>205225319</v>
      </c>
      <c r="G18095">
        <v>205225338</v>
      </c>
      <c r="H18095">
        <v>205225319</v>
      </c>
      <c r="I18095">
        <v>205225338</v>
      </c>
    </row>
    <row r="18096" spans="1:9" x14ac:dyDescent="0.2">
      <c r="A18096" s="1" t="str">
        <f>"TMCC3"</f>
        <v>TMCC3</v>
      </c>
      <c r="B18096" t="s">
        <v>14</v>
      </c>
      <c r="C18096" t="s">
        <v>16</v>
      </c>
      <c r="D18096" t="s">
        <v>11</v>
      </c>
      <c r="E18096" t="s">
        <v>12</v>
      </c>
      <c r="F18096">
        <v>95044309</v>
      </c>
      <c r="G18096">
        <v>95044390</v>
      </c>
      <c r="H18096">
        <v>95044286</v>
      </c>
      <c r="I18096">
        <v>95044308</v>
      </c>
    </row>
    <row r="18097" spans="1:9" x14ac:dyDescent="0.2">
      <c r="A18097" s="1" t="str">
        <f>"TMCO1"</f>
        <v>TMCO1</v>
      </c>
      <c r="B18097" t="s">
        <v>14</v>
      </c>
      <c r="C18097" t="s">
        <v>19</v>
      </c>
      <c r="D18097" t="s">
        <v>11</v>
      </c>
      <c r="E18097" t="s">
        <v>12</v>
      </c>
      <c r="F18097">
        <v>165738085</v>
      </c>
      <c r="G18097">
        <v>165738139</v>
      </c>
      <c r="H18097">
        <v>165738056</v>
      </c>
      <c r="I18097">
        <v>165738067</v>
      </c>
    </row>
    <row r="18098" spans="1:9" x14ac:dyDescent="0.2">
      <c r="A18098" s="1" t="str">
        <f>"TMCO2"</f>
        <v>TMCO2</v>
      </c>
      <c r="B18098" t="s">
        <v>14</v>
      </c>
      <c r="C18098" t="s">
        <v>19</v>
      </c>
      <c r="D18098" t="s">
        <v>17</v>
      </c>
      <c r="E18098" t="s">
        <v>12</v>
      </c>
      <c r="F18098">
        <v>40713598</v>
      </c>
      <c r="G18098">
        <v>40713620</v>
      </c>
      <c r="H18098">
        <v>40713634</v>
      </c>
      <c r="I18098">
        <v>40713643</v>
      </c>
    </row>
    <row r="18099" spans="1:9" x14ac:dyDescent="0.2">
      <c r="A18099" s="1" t="str">
        <f>"TMCO3"</f>
        <v>TMCO3</v>
      </c>
      <c r="B18099" t="s">
        <v>14</v>
      </c>
      <c r="C18099" t="s">
        <v>39</v>
      </c>
      <c r="D18099" t="s">
        <v>17</v>
      </c>
      <c r="E18099" t="s">
        <v>12</v>
      </c>
      <c r="F18099">
        <v>114145329</v>
      </c>
      <c r="G18099">
        <v>114145436</v>
      </c>
      <c r="H18099">
        <v>114145160</v>
      </c>
      <c r="I18099">
        <v>114145184</v>
      </c>
    </row>
    <row r="18100" spans="1:9" x14ac:dyDescent="0.2">
      <c r="A18100" s="1" t="str">
        <f>"TMCO4"</f>
        <v>TMCO4</v>
      </c>
      <c r="B18100" t="s">
        <v>14</v>
      </c>
      <c r="C18100" t="s">
        <v>19</v>
      </c>
      <c r="D18100" t="s">
        <v>11</v>
      </c>
      <c r="E18100" t="s">
        <v>12</v>
      </c>
      <c r="F18100">
        <v>20126365</v>
      </c>
      <c r="G18100">
        <v>20126414</v>
      </c>
      <c r="H18100">
        <v>20126169</v>
      </c>
      <c r="I18100">
        <v>20126224</v>
      </c>
    </row>
    <row r="18101" spans="1:9" x14ac:dyDescent="0.2">
      <c r="A18101" s="1" t="str">
        <f>"TMCO5A"</f>
        <v>TMCO5A</v>
      </c>
      <c r="B18101" t="s">
        <v>14</v>
      </c>
      <c r="C18101" t="s">
        <v>25</v>
      </c>
      <c r="D18101" t="s">
        <v>17</v>
      </c>
      <c r="E18101" t="s">
        <v>12</v>
      </c>
      <c r="F18101">
        <v>38226827</v>
      </c>
      <c r="G18101">
        <v>38226846</v>
      </c>
      <c r="H18101">
        <v>38226827</v>
      </c>
      <c r="I18101">
        <v>38226846</v>
      </c>
    </row>
    <row r="18102" spans="1:9" x14ac:dyDescent="0.2">
      <c r="A18102" s="1" t="str">
        <f>"TMCO6"</f>
        <v>TMCO6</v>
      </c>
      <c r="B18102" t="s">
        <v>14</v>
      </c>
      <c r="C18102" t="s">
        <v>46</v>
      </c>
      <c r="D18102" t="s">
        <v>17</v>
      </c>
      <c r="E18102" t="s">
        <v>12</v>
      </c>
      <c r="F18102">
        <v>140019004</v>
      </c>
      <c r="G18102">
        <v>140019068</v>
      </c>
      <c r="H18102">
        <v>140019079</v>
      </c>
      <c r="I18102">
        <v>140019105</v>
      </c>
    </row>
    <row r="18103" spans="1:9" x14ac:dyDescent="0.2">
      <c r="A18103" s="1" t="str">
        <f>"TMED1"</f>
        <v>TMED1</v>
      </c>
      <c r="B18103" t="s">
        <v>14</v>
      </c>
      <c r="C18103" t="s">
        <v>10</v>
      </c>
      <c r="D18103" t="s">
        <v>11</v>
      </c>
      <c r="E18103" t="s">
        <v>12</v>
      </c>
      <c r="F18103">
        <v>10946872</v>
      </c>
      <c r="G18103">
        <v>10946894</v>
      </c>
      <c r="H18103">
        <v>10946949</v>
      </c>
      <c r="I18103">
        <v>10947006</v>
      </c>
    </row>
    <row r="18104" spans="1:9" x14ac:dyDescent="0.2">
      <c r="A18104" s="1" t="str">
        <f>"TMED10"</f>
        <v>TMED10</v>
      </c>
      <c r="B18104" t="s">
        <v>14</v>
      </c>
      <c r="C18104" t="s">
        <v>41</v>
      </c>
      <c r="D18104" t="s">
        <v>11</v>
      </c>
      <c r="E18104" t="s">
        <v>12</v>
      </c>
      <c r="F18104">
        <v>75643296</v>
      </c>
      <c r="G18104">
        <v>75643341</v>
      </c>
      <c r="H18104">
        <v>75643296</v>
      </c>
      <c r="I18104">
        <v>75643341</v>
      </c>
    </row>
    <row r="18105" spans="1:9" x14ac:dyDescent="0.2">
      <c r="A18105" s="1" t="str">
        <f>"TMED2"</f>
        <v>TMED2</v>
      </c>
      <c r="B18105" t="s">
        <v>14</v>
      </c>
      <c r="C18105" t="s">
        <v>16</v>
      </c>
      <c r="D18105" t="s">
        <v>17</v>
      </c>
      <c r="E18105" t="s">
        <v>12</v>
      </c>
      <c r="F18105">
        <v>124069070</v>
      </c>
      <c r="G18105">
        <v>124069106</v>
      </c>
      <c r="H18105">
        <v>124069070</v>
      </c>
      <c r="I18105">
        <v>124069106</v>
      </c>
    </row>
    <row r="18106" spans="1:9" x14ac:dyDescent="0.2">
      <c r="A18106" s="1" t="str">
        <f>"TMED3"</f>
        <v>TMED3</v>
      </c>
      <c r="B18106" t="s">
        <v>14</v>
      </c>
      <c r="C18106" t="s">
        <v>25</v>
      </c>
      <c r="D18106" t="s">
        <v>17</v>
      </c>
      <c r="E18106" t="s">
        <v>12</v>
      </c>
      <c r="F18106">
        <v>79603479</v>
      </c>
      <c r="G18106">
        <v>79603529</v>
      </c>
      <c r="H18106">
        <v>79603426</v>
      </c>
      <c r="I18106">
        <v>79603475</v>
      </c>
    </row>
    <row r="18107" spans="1:9" x14ac:dyDescent="0.2">
      <c r="A18107" s="1" t="str">
        <f>"TMED4"</f>
        <v>TMED4</v>
      </c>
      <c r="B18107" t="s">
        <v>14</v>
      </c>
      <c r="C18107" t="s">
        <v>33</v>
      </c>
      <c r="D18107" t="s">
        <v>11</v>
      </c>
      <c r="E18107" t="s">
        <v>12</v>
      </c>
      <c r="F18107">
        <v>44621777</v>
      </c>
      <c r="G18107">
        <v>44621863</v>
      </c>
      <c r="H18107">
        <v>44621878</v>
      </c>
      <c r="I18107">
        <v>44621889</v>
      </c>
    </row>
    <row r="18108" spans="1:9" x14ac:dyDescent="0.2">
      <c r="A18108" s="1" t="str">
        <f>"TMED5"</f>
        <v>TMED5</v>
      </c>
      <c r="B18108" t="s">
        <v>14</v>
      </c>
      <c r="C18108" t="s">
        <v>19</v>
      </c>
      <c r="D18108" t="s">
        <v>11</v>
      </c>
      <c r="E18108" t="s">
        <v>12</v>
      </c>
      <c r="F18108">
        <v>93645934</v>
      </c>
      <c r="G18108">
        <v>93646012</v>
      </c>
      <c r="H18108">
        <v>93645890</v>
      </c>
      <c r="I18108">
        <v>93645908</v>
      </c>
    </row>
    <row r="18109" spans="1:9" x14ac:dyDescent="0.2">
      <c r="A18109" s="1" t="str">
        <f>"TMED6"</f>
        <v>TMED6</v>
      </c>
      <c r="B18109" t="s">
        <v>14</v>
      </c>
      <c r="C18109" t="s">
        <v>31</v>
      </c>
      <c r="D18109" t="s">
        <v>11</v>
      </c>
      <c r="E18109" t="s">
        <v>12</v>
      </c>
      <c r="F18109">
        <v>69385681</v>
      </c>
      <c r="G18109">
        <v>69385694</v>
      </c>
      <c r="H18109">
        <v>69385583</v>
      </c>
      <c r="I18109">
        <v>69385612</v>
      </c>
    </row>
    <row r="18110" spans="1:9" x14ac:dyDescent="0.2">
      <c r="A18110" s="1" t="str">
        <f>"TMED7"</f>
        <v>TMED7</v>
      </c>
      <c r="B18110" t="s">
        <v>14</v>
      </c>
      <c r="C18110" t="s">
        <v>46</v>
      </c>
      <c r="D18110" t="s">
        <v>11</v>
      </c>
      <c r="E18110" t="s">
        <v>12</v>
      </c>
      <c r="F18110">
        <v>114961673</v>
      </c>
      <c r="G18110">
        <v>114961746</v>
      </c>
      <c r="H18110">
        <v>114961757</v>
      </c>
      <c r="I18110">
        <v>114961773</v>
      </c>
    </row>
    <row r="18111" spans="1:9" x14ac:dyDescent="0.2">
      <c r="A18111" s="1" t="str">
        <f>"TMED7-TICAM2"</f>
        <v>TMED7-TICAM2</v>
      </c>
      <c r="B18111" t="s">
        <v>9</v>
      </c>
      <c r="C18111" t="s">
        <v>46</v>
      </c>
      <c r="D18111" t="s">
        <v>11</v>
      </c>
      <c r="E18111" t="s">
        <v>12</v>
      </c>
      <c r="F18111">
        <v>114961673</v>
      </c>
      <c r="G18111">
        <v>114961746</v>
      </c>
      <c r="H18111">
        <v>114961673</v>
      </c>
      <c r="I18111">
        <v>114961746</v>
      </c>
    </row>
    <row r="18112" spans="1:9" x14ac:dyDescent="0.2">
      <c r="A18112" s="1" t="str">
        <f>"TMED7-TICAM2"</f>
        <v>TMED7-TICAM2</v>
      </c>
      <c r="B18112" t="s">
        <v>13</v>
      </c>
      <c r="C18112" t="s">
        <v>46</v>
      </c>
      <c r="D18112" t="s">
        <v>11</v>
      </c>
      <c r="E18112" t="s">
        <v>12</v>
      </c>
      <c r="F18112">
        <v>114938090</v>
      </c>
      <c r="G18112">
        <v>114938226</v>
      </c>
      <c r="H18112">
        <v>114938090</v>
      </c>
      <c r="I18112">
        <v>114938226</v>
      </c>
    </row>
    <row r="18113" spans="1:9" x14ac:dyDescent="0.2">
      <c r="A18113" s="1" t="str">
        <f>"TMED8"</f>
        <v>TMED8</v>
      </c>
      <c r="B18113" t="s">
        <v>14</v>
      </c>
      <c r="C18113" t="s">
        <v>41</v>
      </c>
      <c r="D18113" t="s">
        <v>11</v>
      </c>
      <c r="E18113" t="s">
        <v>12</v>
      </c>
      <c r="F18113">
        <v>77843390</v>
      </c>
      <c r="G18113">
        <v>77843462</v>
      </c>
      <c r="H18113">
        <v>77843390</v>
      </c>
      <c r="I18113">
        <v>77843462</v>
      </c>
    </row>
    <row r="18114" spans="1:9" x14ac:dyDescent="0.2">
      <c r="A18114" s="1" t="str">
        <f>"TMED9"</f>
        <v>TMED9</v>
      </c>
      <c r="B18114" t="s">
        <v>14</v>
      </c>
      <c r="C18114" t="s">
        <v>46</v>
      </c>
      <c r="D18114" t="s">
        <v>17</v>
      </c>
      <c r="E18114" t="s">
        <v>12</v>
      </c>
      <c r="F18114">
        <v>177019189</v>
      </c>
      <c r="G18114">
        <v>177019213</v>
      </c>
      <c r="H18114">
        <v>177019189</v>
      </c>
      <c r="I18114">
        <v>177019213</v>
      </c>
    </row>
    <row r="18115" spans="1:9" x14ac:dyDescent="0.2">
      <c r="A18115" s="1" t="str">
        <f>"TMEFF1"</f>
        <v>TMEFF1</v>
      </c>
      <c r="B18115" t="s">
        <v>14</v>
      </c>
      <c r="C18115" t="s">
        <v>24</v>
      </c>
      <c r="D18115" t="s">
        <v>17</v>
      </c>
      <c r="E18115" t="s">
        <v>12</v>
      </c>
      <c r="F18115">
        <v>103235365</v>
      </c>
      <c r="G18115">
        <v>103235419</v>
      </c>
      <c r="H18115">
        <v>103235584</v>
      </c>
      <c r="I18115">
        <v>103235650</v>
      </c>
    </row>
    <row r="18116" spans="1:9" x14ac:dyDescent="0.2">
      <c r="A18116" s="1" t="str">
        <f>"TMEFF2"</f>
        <v>TMEFF2</v>
      </c>
      <c r="B18116" t="s">
        <v>14</v>
      </c>
      <c r="C18116" t="s">
        <v>26</v>
      </c>
      <c r="D18116" t="s">
        <v>11</v>
      </c>
      <c r="E18116" t="s">
        <v>12</v>
      </c>
      <c r="F18116">
        <v>193059634</v>
      </c>
      <c r="G18116">
        <v>193059664</v>
      </c>
      <c r="H18116">
        <v>193059670</v>
      </c>
      <c r="I18116">
        <v>193059680</v>
      </c>
    </row>
    <row r="18117" spans="1:9" x14ac:dyDescent="0.2">
      <c r="A18117" s="1" t="str">
        <f>"TMEM100"</f>
        <v>TMEM100</v>
      </c>
      <c r="B18117" t="s">
        <v>9</v>
      </c>
      <c r="C18117" t="s">
        <v>28</v>
      </c>
      <c r="D18117" t="s">
        <v>11</v>
      </c>
      <c r="E18117" t="s">
        <v>12</v>
      </c>
      <c r="F18117">
        <v>53800218</v>
      </c>
      <c r="G18117">
        <v>53800231</v>
      </c>
      <c r="H18117">
        <v>53800218</v>
      </c>
      <c r="I18117">
        <v>53800231</v>
      </c>
    </row>
    <row r="18118" spans="1:9" x14ac:dyDescent="0.2">
      <c r="A18118" s="1" t="str">
        <f>"TMEM100"</f>
        <v>TMEM100</v>
      </c>
      <c r="B18118" t="s">
        <v>13</v>
      </c>
      <c r="C18118" t="s">
        <v>28</v>
      </c>
      <c r="D18118" t="s">
        <v>11</v>
      </c>
      <c r="E18118" t="s">
        <v>12</v>
      </c>
      <c r="F18118">
        <v>53809436</v>
      </c>
      <c r="G18118">
        <v>53809455</v>
      </c>
      <c r="H18118">
        <v>53809436</v>
      </c>
      <c r="I18118">
        <v>53809455</v>
      </c>
    </row>
    <row r="18119" spans="1:9" x14ac:dyDescent="0.2">
      <c r="A18119" s="1" t="str">
        <f>"TMEM101"</f>
        <v>TMEM101</v>
      </c>
      <c r="B18119" t="s">
        <v>14</v>
      </c>
      <c r="C18119" t="s">
        <v>28</v>
      </c>
      <c r="D18119" t="s">
        <v>11</v>
      </c>
      <c r="E18119" t="s">
        <v>12</v>
      </c>
      <c r="F18119">
        <v>42092313</v>
      </c>
      <c r="G18119">
        <v>42092389</v>
      </c>
      <c r="H18119">
        <v>42092274</v>
      </c>
      <c r="I18119">
        <v>42092282</v>
      </c>
    </row>
    <row r="18120" spans="1:9" x14ac:dyDescent="0.2">
      <c r="A18120" s="1" t="str">
        <f>"TMEM102"</f>
        <v>TMEM102</v>
      </c>
      <c r="B18120" t="s">
        <v>14</v>
      </c>
      <c r="C18120" t="s">
        <v>28</v>
      </c>
      <c r="D18120" t="s">
        <v>17</v>
      </c>
      <c r="E18120" t="s">
        <v>12</v>
      </c>
      <c r="F18120">
        <v>7338737</v>
      </c>
      <c r="G18120">
        <v>7338813</v>
      </c>
      <c r="H18120">
        <v>7338737</v>
      </c>
      <c r="I18120">
        <v>7338813</v>
      </c>
    </row>
    <row r="18121" spans="1:9" x14ac:dyDescent="0.2">
      <c r="A18121" s="1" t="str">
        <f>"TMEM104"</f>
        <v>TMEM104</v>
      </c>
      <c r="B18121" t="s">
        <v>14</v>
      </c>
      <c r="C18121" t="s">
        <v>28</v>
      </c>
      <c r="D18121" t="s">
        <v>17</v>
      </c>
      <c r="E18121" t="s">
        <v>12</v>
      </c>
      <c r="F18121">
        <v>72772621</v>
      </c>
      <c r="G18121">
        <v>72772676</v>
      </c>
      <c r="H18121">
        <v>72772609</v>
      </c>
      <c r="I18121">
        <v>72772616</v>
      </c>
    </row>
    <row r="18122" spans="1:9" x14ac:dyDescent="0.2">
      <c r="A18122" s="1" t="str">
        <f>"TMEM105"</f>
        <v>TMEM105</v>
      </c>
      <c r="B18122" t="s">
        <v>14</v>
      </c>
      <c r="C18122" t="s">
        <v>28</v>
      </c>
      <c r="D18122" t="s">
        <v>11</v>
      </c>
      <c r="E18122" t="s">
        <v>12</v>
      </c>
      <c r="F18122">
        <v>79304150</v>
      </c>
      <c r="G18122">
        <v>79304190</v>
      </c>
      <c r="H18122">
        <v>79304150</v>
      </c>
      <c r="I18122">
        <v>79304190</v>
      </c>
    </row>
    <row r="18123" spans="1:9" x14ac:dyDescent="0.2">
      <c r="A18123" s="1" t="str">
        <f>"TMEM106A"</f>
        <v>TMEM106A</v>
      </c>
      <c r="B18123" t="s">
        <v>14</v>
      </c>
      <c r="C18123" t="s">
        <v>28</v>
      </c>
      <c r="D18123" t="s">
        <v>17</v>
      </c>
      <c r="E18123" t="s">
        <v>12</v>
      </c>
      <c r="F18123">
        <v>41363885</v>
      </c>
      <c r="G18123">
        <v>41363916</v>
      </c>
      <c r="H18123">
        <v>41363841</v>
      </c>
      <c r="I18123">
        <v>41363851</v>
      </c>
    </row>
    <row r="18124" spans="1:9" x14ac:dyDescent="0.2">
      <c r="A18124" s="1" t="str">
        <f>"TMEM106B"</f>
        <v>TMEM106B</v>
      </c>
      <c r="B18124" t="s">
        <v>14</v>
      </c>
      <c r="C18124" t="s">
        <v>33</v>
      </c>
      <c r="D18124" t="s">
        <v>17</v>
      </c>
      <c r="E18124" t="s">
        <v>12</v>
      </c>
      <c r="F18124">
        <v>12250943</v>
      </c>
      <c r="G18124">
        <v>12251012</v>
      </c>
      <c r="H18124">
        <v>12250886</v>
      </c>
      <c r="I18124">
        <v>12250933</v>
      </c>
    </row>
    <row r="18125" spans="1:9" x14ac:dyDescent="0.2">
      <c r="A18125" s="1" t="str">
        <f>"TMEM106C"</f>
        <v>TMEM106C</v>
      </c>
      <c r="B18125" t="s">
        <v>14</v>
      </c>
      <c r="C18125" t="s">
        <v>16</v>
      </c>
      <c r="D18125" t="s">
        <v>17</v>
      </c>
      <c r="E18125" t="s">
        <v>12</v>
      </c>
      <c r="F18125">
        <v>48357340</v>
      </c>
      <c r="G18125">
        <v>48357397</v>
      </c>
      <c r="H18125">
        <v>48357401</v>
      </c>
      <c r="I18125">
        <v>48357425</v>
      </c>
    </row>
    <row r="18126" spans="1:9" x14ac:dyDescent="0.2">
      <c r="A18126" s="1" t="str">
        <f>"TMEM107"</f>
        <v>TMEM107</v>
      </c>
      <c r="B18126" t="s">
        <v>14</v>
      </c>
      <c r="C18126" t="s">
        <v>28</v>
      </c>
      <c r="D18126" t="s">
        <v>11</v>
      </c>
      <c r="E18126" t="s">
        <v>12</v>
      </c>
      <c r="F18126">
        <v>8079648</v>
      </c>
      <c r="G18126">
        <v>8079737</v>
      </c>
      <c r="H18126">
        <v>8079632</v>
      </c>
      <c r="I18126">
        <v>8079639</v>
      </c>
    </row>
    <row r="18127" spans="1:9" x14ac:dyDescent="0.2">
      <c r="A18127" s="1" t="str">
        <f>"TMEM108"</f>
        <v>TMEM108</v>
      </c>
      <c r="B18127" t="s">
        <v>14</v>
      </c>
      <c r="C18127" t="s">
        <v>22</v>
      </c>
      <c r="D18127" t="s">
        <v>17</v>
      </c>
      <c r="E18127" t="s">
        <v>12</v>
      </c>
      <c r="F18127">
        <v>132757215</v>
      </c>
      <c r="G18127">
        <v>132757247</v>
      </c>
      <c r="H18127">
        <v>132757184</v>
      </c>
      <c r="I18127">
        <v>132757209</v>
      </c>
    </row>
    <row r="18128" spans="1:9" x14ac:dyDescent="0.2">
      <c r="A18128" s="1" t="str">
        <f>"TMEM109"</f>
        <v>TMEM109</v>
      </c>
      <c r="B18128" t="s">
        <v>14</v>
      </c>
      <c r="C18128" t="s">
        <v>27</v>
      </c>
      <c r="D18128" t="s">
        <v>17</v>
      </c>
      <c r="E18128" t="s">
        <v>12</v>
      </c>
      <c r="F18128">
        <v>60681611</v>
      </c>
      <c r="G18128">
        <v>60681706</v>
      </c>
      <c r="H18128">
        <v>60681567</v>
      </c>
      <c r="I18128">
        <v>60681606</v>
      </c>
    </row>
    <row r="18129" spans="1:9" x14ac:dyDescent="0.2">
      <c r="A18129" s="1" t="str">
        <f>"TMEM11"</f>
        <v>TMEM11</v>
      </c>
      <c r="B18129" t="s">
        <v>14</v>
      </c>
      <c r="C18129" t="s">
        <v>28</v>
      </c>
      <c r="D18129" t="s">
        <v>11</v>
      </c>
      <c r="E18129" t="s">
        <v>12</v>
      </c>
      <c r="F18129">
        <v>21117465</v>
      </c>
      <c r="G18129">
        <v>21117496</v>
      </c>
      <c r="H18129">
        <v>21117501</v>
      </c>
      <c r="I18129">
        <v>21117508</v>
      </c>
    </row>
    <row r="18130" spans="1:9" x14ac:dyDescent="0.2">
      <c r="A18130" s="1" t="str">
        <f>"TMEM110"</f>
        <v>TMEM110</v>
      </c>
      <c r="B18130" t="s">
        <v>14</v>
      </c>
      <c r="C18130" t="s">
        <v>22</v>
      </c>
      <c r="D18130" t="s">
        <v>11</v>
      </c>
      <c r="E18130" t="s">
        <v>12</v>
      </c>
      <c r="F18130">
        <v>52931557</v>
      </c>
      <c r="G18130">
        <v>52931623</v>
      </c>
      <c r="H18130">
        <v>52931541</v>
      </c>
      <c r="I18130">
        <v>52931550</v>
      </c>
    </row>
    <row r="18131" spans="1:9" x14ac:dyDescent="0.2">
      <c r="A18131" s="1" t="str">
        <f>"TMEM110-MUSTN1"</f>
        <v>TMEM110-MUSTN1</v>
      </c>
      <c r="B18131" t="s">
        <v>14</v>
      </c>
      <c r="C18131" t="s">
        <v>22</v>
      </c>
      <c r="D18131" t="s">
        <v>11</v>
      </c>
      <c r="E18131" t="s">
        <v>12</v>
      </c>
      <c r="F18131">
        <v>52931557</v>
      </c>
      <c r="G18131">
        <v>52931623</v>
      </c>
      <c r="H18131">
        <v>52931557</v>
      </c>
      <c r="I18131">
        <v>52931623</v>
      </c>
    </row>
    <row r="18132" spans="1:9" x14ac:dyDescent="0.2">
      <c r="A18132" s="1" t="str">
        <f>"TMEM114"</f>
        <v>TMEM114</v>
      </c>
      <c r="B18132" t="s">
        <v>1719</v>
      </c>
      <c r="C18132" t="s">
        <v>31</v>
      </c>
      <c r="D18132" t="s">
        <v>11</v>
      </c>
      <c r="E18132" t="s">
        <v>20</v>
      </c>
      <c r="F18132">
        <v>8622225</v>
      </c>
      <c r="G18132">
        <v>8622225</v>
      </c>
      <c r="H18132">
        <v>8622225</v>
      </c>
      <c r="I18132">
        <v>8622225</v>
      </c>
    </row>
    <row r="18133" spans="1:9" x14ac:dyDescent="0.2">
      <c r="A18133" s="1" t="str">
        <f>"TMEM115"</f>
        <v>TMEM115</v>
      </c>
      <c r="B18133" t="s">
        <v>14</v>
      </c>
      <c r="C18133" t="s">
        <v>22</v>
      </c>
      <c r="D18133" t="s">
        <v>11</v>
      </c>
      <c r="E18133" t="s">
        <v>12</v>
      </c>
      <c r="F18133">
        <v>50396911</v>
      </c>
      <c r="G18133">
        <v>50396972</v>
      </c>
      <c r="H18133">
        <v>50396978</v>
      </c>
      <c r="I18133">
        <v>50396997</v>
      </c>
    </row>
    <row r="18134" spans="1:9" x14ac:dyDescent="0.2">
      <c r="A18134" s="1" t="str">
        <f>"TMEM116"</f>
        <v>TMEM116</v>
      </c>
      <c r="B18134" t="s">
        <v>14</v>
      </c>
      <c r="C18134" t="s">
        <v>16</v>
      </c>
      <c r="D18134" t="s">
        <v>11</v>
      </c>
      <c r="E18134" t="s">
        <v>12</v>
      </c>
      <c r="F18134">
        <v>112450928</v>
      </c>
      <c r="G18134">
        <v>112450976</v>
      </c>
      <c r="H18134">
        <v>112450928</v>
      </c>
      <c r="I18134">
        <v>112450976</v>
      </c>
    </row>
    <row r="18135" spans="1:9" x14ac:dyDescent="0.2">
      <c r="A18135" s="1" t="str">
        <f>"TMEM117"</f>
        <v>TMEM117</v>
      </c>
      <c r="B18135" t="s">
        <v>14</v>
      </c>
      <c r="C18135" t="s">
        <v>16</v>
      </c>
      <c r="D18135" t="s">
        <v>17</v>
      </c>
      <c r="E18135" t="s">
        <v>12</v>
      </c>
      <c r="F18135">
        <v>44229846</v>
      </c>
      <c r="G18135">
        <v>44229916</v>
      </c>
      <c r="H18135">
        <v>44229650</v>
      </c>
      <c r="I18135">
        <v>44229702</v>
      </c>
    </row>
    <row r="18136" spans="1:9" x14ac:dyDescent="0.2">
      <c r="A18136" s="1" t="str">
        <f>"TMEM119"</f>
        <v>TMEM119</v>
      </c>
      <c r="B18136" t="s">
        <v>14</v>
      </c>
      <c r="C18136" t="s">
        <v>16</v>
      </c>
      <c r="D18136" t="s">
        <v>11</v>
      </c>
      <c r="E18136" t="s">
        <v>12</v>
      </c>
      <c r="F18136">
        <v>108991812</v>
      </c>
      <c r="G18136">
        <v>108991869</v>
      </c>
      <c r="H18136">
        <v>108991778</v>
      </c>
      <c r="I18136">
        <v>108991800</v>
      </c>
    </row>
    <row r="18137" spans="1:9" x14ac:dyDescent="0.2">
      <c r="A18137" s="1" t="str">
        <f>"TMEM120A"</f>
        <v>TMEM120A</v>
      </c>
      <c r="B18137" t="s">
        <v>14</v>
      </c>
      <c r="C18137" t="s">
        <v>33</v>
      </c>
      <c r="D18137" t="s">
        <v>11</v>
      </c>
      <c r="E18137" t="s">
        <v>12</v>
      </c>
      <c r="F18137">
        <v>75623897</v>
      </c>
      <c r="G18137">
        <v>75623981</v>
      </c>
      <c r="H18137">
        <v>75623853</v>
      </c>
      <c r="I18137">
        <v>75623862</v>
      </c>
    </row>
    <row r="18138" spans="1:9" x14ac:dyDescent="0.2">
      <c r="A18138" s="1" t="str">
        <f>"TMEM120B"</f>
        <v>TMEM120B</v>
      </c>
      <c r="B18138" t="s">
        <v>14</v>
      </c>
      <c r="C18138" t="s">
        <v>16</v>
      </c>
      <c r="D18138" t="s">
        <v>17</v>
      </c>
      <c r="E18138" t="s">
        <v>12</v>
      </c>
      <c r="F18138">
        <v>122150646</v>
      </c>
      <c r="G18138">
        <v>122150719</v>
      </c>
      <c r="H18138">
        <v>122150748</v>
      </c>
      <c r="I18138">
        <v>122150759</v>
      </c>
    </row>
    <row r="18139" spans="1:9" x14ac:dyDescent="0.2">
      <c r="A18139" s="1" t="str">
        <f>"TMEM121"</f>
        <v>TMEM121</v>
      </c>
      <c r="B18139" t="s">
        <v>9</v>
      </c>
      <c r="C18139" t="s">
        <v>41</v>
      </c>
      <c r="D18139" t="s">
        <v>17</v>
      </c>
      <c r="E18139" t="s">
        <v>12</v>
      </c>
      <c r="F18139">
        <v>105992906</v>
      </c>
      <c r="G18139">
        <v>105992946</v>
      </c>
      <c r="H18139">
        <v>105992906</v>
      </c>
      <c r="I18139">
        <v>105992946</v>
      </c>
    </row>
    <row r="18140" spans="1:9" x14ac:dyDescent="0.2">
      <c r="A18140" s="1" t="str">
        <f>"TMEM121"</f>
        <v>TMEM121</v>
      </c>
      <c r="B18140" t="s">
        <v>13</v>
      </c>
      <c r="C18140" t="s">
        <v>41</v>
      </c>
      <c r="D18140" t="s">
        <v>17</v>
      </c>
      <c r="E18140" t="s">
        <v>12</v>
      </c>
      <c r="F18140">
        <v>105994911</v>
      </c>
      <c r="G18140">
        <v>105994938</v>
      </c>
      <c r="H18140">
        <v>105994911</v>
      </c>
      <c r="I18140">
        <v>105994938</v>
      </c>
    </row>
    <row r="18141" spans="1:9" x14ac:dyDescent="0.2">
      <c r="A18141" s="1" t="str">
        <f>"TMEM123"</f>
        <v>TMEM123</v>
      </c>
      <c r="B18141" t="s">
        <v>14</v>
      </c>
      <c r="C18141" t="s">
        <v>27</v>
      </c>
      <c r="D18141" t="s">
        <v>11</v>
      </c>
      <c r="E18141" t="s">
        <v>12</v>
      </c>
      <c r="F18141">
        <v>102323489</v>
      </c>
      <c r="G18141">
        <v>102323576</v>
      </c>
      <c r="H18141">
        <v>102323436</v>
      </c>
      <c r="I18141">
        <v>102323482</v>
      </c>
    </row>
    <row r="18142" spans="1:9" x14ac:dyDescent="0.2">
      <c r="A18142" s="1" t="str">
        <f>"TMEM125"</f>
        <v>TMEM125</v>
      </c>
      <c r="B18142" t="s">
        <v>14</v>
      </c>
      <c r="C18142" t="s">
        <v>19</v>
      </c>
      <c r="D18142" t="s">
        <v>17</v>
      </c>
      <c r="E18142" t="s">
        <v>12</v>
      </c>
      <c r="F18142">
        <v>43736324</v>
      </c>
      <c r="G18142">
        <v>43736409</v>
      </c>
      <c r="H18142">
        <v>43735646</v>
      </c>
      <c r="I18142">
        <v>43735660</v>
      </c>
    </row>
    <row r="18143" spans="1:9" x14ac:dyDescent="0.2">
      <c r="A18143" s="1" t="str">
        <f>"TMEM126A"</f>
        <v>TMEM126A</v>
      </c>
      <c r="B18143" t="s">
        <v>14</v>
      </c>
      <c r="C18143" t="s">
        <v>27</v>
      </c>
      <c r="D18143" t="s">
        <v>17</v>
      </c>
      <c r="E18143" t="s">
        <v>12</v>
      </c>
      <c r="F18143">
        <v>85359002</v>
      </c>
      <c r="G18143">
        <v>85359038</v>
      </c>
      <c r="H18143">
        <v>85359062</v>
      </c>
      <c r="I18143">
        <v>85359073</v>
      </c>
    </row>
    <row r="18144" spans="1:9" x14ac:dyDescent="0.2">
      <c r="A18144" s="1" t="str">
        <f>"TMEM126B"</f>
        <v>TMEM126B</v>
      </c>
      <c r="B18144" t="s">
        <v>14</v>
      </c>
      <c r="C18144" t="s">
        <v>27</v>
      </c>
      <c r="D18144" t="s">
        <v>17</v>
      </c>
      <c r="E18144" t="s">
        <v>12</v>
      </c>
      <c r="F18144">
        <v>85339623</v>
      </c>
      <c r="G18144">
        <v>85339655</v>
      </c>
      <c r="H18144">
        <v>85339623</v>
      </c>
      <c r="I18144">
        <v>85339655</v>
      </c>
    </row>
    <row r="18145" spans="1:9" x14ac:dyDescent="0.2">
      <c r="A18145" s="1" t="str">
        <f>"TMEM127"</f>
        <v>TMEM127</v>
      </c>
      <c r="B18145" t="s">
        <v>14</v>
      </c>
      <c r="C18145" t="s">
        <v>26</v>
      </c>
      <c r="D18145" t="s">
        <v>11</v>
      </c>
      <c r="E18145" t="s">
        <v>12</v>
      </c>
      <c r="F18145">
        <v>96931679</v>
      </c>
      <c r="G18145">
        <v>96931756</v>
      </c>
      <c r="H18145">
        <v>96931656</v>
      </c>
      <c r="I18145">
        <v>96931674</v>
      </c>
    </row>
    <row r="18146" spans="1:9" x14ac:dyDescent="0.2">
      <c r="A18146" s="1" t="str">
        <f>"TMEM128"</f>
        <v>TMEM128</v>
      </c>
      <c r="B18146" t="s">
        <v>14</v>
      </c>
      <c r="C18146" t="s">
        <v>23</v>
      </c>
      <c r="D18146" t="s">
        <v>11</v>
      </c>
      <c r="E18146" t="s">
        <v>12</v>
      </c>
      <c r="F18146">
        <v>4249924</v>
      </c>
      <c r="G18146">
        <v>4249964</v>
      </c>
      <c r="H18146">
        <v>4249924</v>
      </c>
      <c r="I18146">
        <v>4249964</v>
      </c>
    </row>
    <row r="18147" spans="1:9" x14ac:dyDescent="0.2">
      <c r="A18147" s="1" t="str">
        <f>"TMEM129"</f>
        <v>TMEM129</v>
      </c>
      <c r="B18147" t="s">
        <v>14</v>
      </c>
      <c r="C18147" t="s">
        <v>23</v>
      </c>
      <c r="D18147" t="s">
        <v>11</v>
      </c>
      <c r="E18147" t="s">
        <v>12</v>
      </c>
      <c r="F18147">
        <v>1722934</v>
      </c>
      <c r="G18147">
        <v>1723029</v>
      </c>
      <c r="H18147">
        <v>1723040</v>
      </c>
      <c r="I18147">
        <v>1723084</v>
      </c>
    </row>
    <row r="18148" spans="1:9" x14ac:dyDescent="0.2">
      <c r="A18148" s="1" t="str">
        <f>"TMEM130"</f>
        <v>TMEM130</v>
      </c>
      <c r="B18148" t="s">
        <v>14</v>
      </c>
      <c r="C18148" t="s">
        <v>33</v>
      </c>
      <c r="D18148" t="s">
        <v>11</v>
      </c>
      <c r="E18148" t="s">
        <v>12</v>
      </c>
      <c r="F18148">
        <v>98467543</v>
      </c>
      <c r="G18148">
        <v>98467607</v>
      </c>
      <c r="H18148">
        <v>98467629</v>
      </c>
      <c r="I18148">
        <v>98467645</v>
      </c>
    </row>
    <row r="18149" spans="1:9" x14ac:dyDescent="0.2">
      <c r="A18149" s="1" t="str">
        <f>"TMEM131"</f>
        <v>TMEM131</v>
      </c>
      <c r="B18149" t="s">
        <v>14</v>
      </c>
      <c r="C18149" t="s">
        <v>26</v>
      </c>
      <c r="D18149" t="s">
        <v>11</v>
      </c>
      <c r="E18149" t="s">
        <v>12</v>
      </c>
      <c r="F18149">
        <v>98612379</v>
      </c>
      <c r="G18149">
        <v>98612426</v>
      </c>
      <c r="H18149">
        <v>98612286</v>
      </c>
      <c r="I18149">
        <v>98612318</v>
      </c>
    </row>
    <row r="18150" spans="1:9" x14ac:dyDescent="0.2">
      <c r="A18150" s="1" t="str">
        <f>"TMEM132A"</f>
        <v>TMEM132A</v>
      </c>
      <c r="B18150" t="s">
        <v>14</v>
      </c>
      <c r="C18150" t="s">
        <v>27</v>
      </c>
      <c r="D18150" t="s">
        <v>17</v>
      </c>
      <c r="E18150" t="s">
        <v>12</v>
      </c>
      <c r="F18150">
        <v>60691924</v>
      </c>
      <c r="G18150">
        <v>60691966</v>
      </c>
      <c r="H18150">
        <v>60691924</v>
      </c>
      <c r="I18150">
        <v>60691966</v>
      </c>
    </row>
    <row r="18151" spans="1:9" x14ac:dyDescent="0.2">
      <c r="A18151" s="1" t="str">
        <f>"TMEM132B"</f>
        <v>TMEM132B</v>
      </c>
      <c r="B18151" t="s">
        <v>1720</v>
      </c>
      <c r="C18151" t="s">
        <v>16</v>
      </c>
      <c r="D18151" t="s">
        <v>17</v>
      </c>
      <c r="E18151" t="s">
        <v>20</v>
      </c>
      <c r="F18151">
        <v>125811161</v>
      </c>
      <c r="G18151">
        <v>125811161</v>
      </c>
      <c r="H18151">
        <v>125811161</v>
      </c>
      <c r="I18151">
        <v>125811161</v>
      </c>
    </row>
    <row r="18152" spans="1:9" x14ac:dyDescent="0.2">
      <c r="A18152" s="1" t="str">
        <f>"TMEM132C"</f>
        <v>TMEM132C</v>
      </c>
      <c r="B18152" t="s">
        <v>14</v>
      </c>
      <c r="C18152" t="s">
        <v>16</v>
      </c>
      <c r="D18152" t="s">
        <v>17</v>
      </c>
      <c r="E18152" t="s">
        <v>12</v>
      </c>
      <c r="F18152">
        <v>128751707</v>
      </c>
      <c r="G18152">
        <v>128751753</v>
      </c>
      <c r="H18152">
        <v>128751707</v>
      </c>
      <c r="I18152">
        <v>128751753</v>
      </c>
    </row>
    <row r="18153" spans="1:9" x14ac:dyDescent="0.2">
      <c r="A18153" s="1" t="str">
        <f>"TMEM132D"</f>
        <v>TMEM132D</v>
      </c>
      <c r="B18153" t="s">
        <v>14</v>
      </c>
      <c r="C18153" t="s">
        <v>16</v>
      </c>
      <c r="D18153" t="s">
        <v>11</v>
      </c>
      <c r="E18153" t="s">
        <v>12</v>
      </c>
      <c r="F18153">
        <v>130388563</v>
      </c>
      <c r="G18153">
        <v>130388592</v>
      </c>
      <c r="H18153">
        <v>130388539</v>
      </c>
      <c r="I18153">
        <v>130388557</v>
      </c>
    </row>
    <row r="18154" spans="1:9" x14ac:dyDescent="0.2">
      <c r="A18154" s="1" t="str">
        <f>"TMEM132E"</f>
        <v>TMEM132E</v>
      </c>
      <c r="B18154" t="s">
        <v>14</v>
      </c>
      <c r="C18154" t="s">
        <v>28</v>
      </c>
      <c r="D18154" t="s">
        <v>17</v>
      </c>
      <c r="E18154" t="s">
        <v>12</v>
      </c>
      <c r="F18154">
        <v>32907882</v>
      </c>
      <c r="G18154">
        <v>32907904</v>
      </c>
      <c r="H18154">
        <v>32907955</v>
      </c>
      <c r="I18154">
        <v>32907968</v>
      </c>
    </row>
    <row r="18155" spans="1:9" x14ac:dyDescent="0.2">
      <c r="A18155" s="1" t="str">
        <f>"TMEM133"</f>
        <v>TMEM133</v>
      </c>
      <c r="B18155" t="s">
        <v>1721</v>
      </c>
      <c r="C18155" t="s">
        <v>27</v>
      </c>
      <c r="D18155" t="s">
        <v>17</v>
      </c>
      <c r="E18155" t="s">
        <v>20</v>
      </c>
      <c r="F18155">
        <v>100862810</v>
      </c>
      <c r="G18155">
        <v>100862810</v>
      </c>
      <c r="H18155">
        <v>100862810</v>
      </c>
      <c r="I18155">
        <v>100862810</v>
      </c>
    </row>
    <row r="18156" spans="1:9" x14ac:dyDescent="0.2">
      <c r="A18156" s="1" t="str">
        <f>"TMEM134"</f>
        <v>TMEM134</v>
      </c>
      <c r="B18156" t="s">
        <v>14</v>
      </c>
      <c r="C18156" t="s">
        <v>27</v>
      </c>
      <c r="D18156" t="s">
        <v>11</v>
      </c>
      <c r="E18156" t="s">
        <v>12</v>
      </c>
      <c r="F18156">
        <v>67236691</v>
      </c>
      <c r="G18156">
        <v>67236748</v>
      </c>
      <c r="H18156">
        <v>67236691</v>
      </c>
      <c r="I18156">
        <v>67236748</v>
      </c>
    </row>
    <row r="18157" spans="1:9" x14ac:dyDescent="0.2">
      <c r="A18157" s="1" t="str">
        <f>"TMEM135"</f>
        <v>TMEM135</v>
      </c>
      <c r="B18157" t="s">
        <v>14</v>
      </c>
      <c r="C18157" t="s">
        <v>27</v>
      </c>
      <c r="D18157" t="s">
        <v>17</v>
      </c>
      <c r="E18157" t="s">
        <v>12</v>
      </c>
      <c r="F18157">
        <v>86749035</v>
      </c>
      <c r="G18157">
        <v>86749087</v>
      </c>
      <c r="H18157">
        <v>86748957</v>
      </c>
      <c r="I18157">
        <v>86748996</v>
      </c>
    </row>
    <row r="18158" spans="1:9" x14ac:dyDescent="0.2">
      <c r="A18158" s="1" t="str">
        <f>"TMEM136"</f>
        <v>TMEM136</v>
      </c>
      <c r="B18158" t="s">
        <v>14</v>
      </c>
      <c r="C18158" t="s">
        <v>27</v>
      </c>
      <c r="D18158" t="s">
        <v>17</v>
      </c>
      <c r="E18158" t="s">
        <v>12</v>
      </c>
      <c r="F18158">
        <v>120195992</v>
      </c>
      <c r="G18158">
        <v>120196023</v>
      </c>
      <c r="H18158">
        <v>120195850</v>
      </c>
      <c r="I18158">
        <v>120195898</v>
      </c>
    </row>
    <row r="18159" spans="1:9" x14ac:dyDescent="0.2">
      <c r="A18159" s="1" t="str">
        <f>"TMEM138"</f>
        <v>TMEM138</v>
      </c>
      <c r="B18159" t="s">
        <v>14</v>
      </c>
      <c r="C18159" t="s">
        <v>27</v>
      </c>
      <c r="D18159" t="s">
        <v>17</v>
      </c>
      <c r="E18159" t="s">
        <v>12</v>
      </c>
      <c r="F18159">
        <v>61129827</v>
      </c>
      <c r="G18159">
        <v>61129874</v>
      </c>
      <c r="H18159">
        <v>61129456</v>
      </c>
      <c r="I18159">
        <v>61129527</v>
      </c>
    </row>
    <row r="18160" spans="1:9" x14ac:dyDescent="0.2">
      <c r="A18160" s="1" t="str">
        <f>"TMEM139"</f>
        <v>TMEM139</v>
      </c>
      <c r="B18160" t="s">
        <v>14</v>
      </c>
      <c r="C18160" t="s">
        <v>33</v>
      </c>
      <c r="D18160" t="s">
        <v>17</v>
      </c>
      <c r="E18160" t="s">
        <v>12</v>
      </c>
      <c r="F18160">
        <v>142982023</v>
      </c>
      <c r="G18160">
        <v>142982079</v>
      </c>
      <c r="H18160">
        <v>142982001</v>
      </c>
      <c r="I18160">
        <v>142982004</v>
      </c>
    </row>
    <row r="18161" spans="1:9" x14ac:dyDescent="0.2">
      <c r="A18161" s="1" t="str">
        <f>"TMEM140"</f>
        <v>TMEM140</v>
      </c>
      <c r="B18161" t="s">
        <v>14</v>
      </c>
      <c r="C18161" t="s">
        <v>33</v>
      </c>
      <c r="D18161" t="s">
        <v>17</v>
      </c>
      <c r="E18161" t="s">
        <v>12</v>
      </c>
      <c r="F18161">
        <v>134832808</v>
      </c>
      <c r="G18161">
        <v>134832879</v>
      </c>
      <c r="H18161">
        <v>134832886</v>
      </c>
      <c r="I18161">
        <v>134832905</v>
      </c>
    </row>
    <row r="18162" spans="1:9" x14ac:dyDescent="0.2">
      <c r="A18162" s="1" t="str">
        <f>"TMEM141"</f>
        <v>TMEM141</v>
      </c>
      <c r="B18162" t="s">
        <v>14</v>
      </c>
      <c r="C18162" t="s">
        <v>24</v>
      </c>
      <c r="D18162" t="s">
        <v>17</v>
      </c>
      <c r="E18162" t="s">
        <v>12</v>
      </c>
      <c r="F18162">
        <v>139685782</v>
      </c>
      <c r="G18162">
        <v>139685832</v>
      </c>
      <c r="H18162">
        <v>139685772</v>
      </c>
      <c r="I18162">
        <v>139685781</v>
      </c>
    </row>
    <row r="18163" spans="1:9" x14ac:dyDescent="0.2">
      <c r="A18163" s="1" t="str">
        <f>"TMEM143"</f>
        <v>TMEM143</v>
      </c>
      <c r="B18163" t="s">
        <v>14</v>
      </c>
      <c r="C18163" t="s">
        <v>10</v>
      </c>
      <c r="D18163" t="s">
        <v>11</v>
      </c>
      <c r="E18163" t="s">
        <v>12</v>
      </c>
      <c r="F18163">
        <v>48867171</v>
      </c>
      <c r="G18163">
        <v>48867204</v>
      </c>
      <c r="H18163">
        <v>48867482</v>
      </c>
      <c r="I18163">
        <v>48867511</v>
      </c>
    </row>
    <row r="18164" spans="1:9" x14ac:dyDescent="0.2">
      <c r="A18164" s="1" t="str">
        <f>"TMEM144"</f>
        <v>TMEM144</v>
      </c>
      <c r="B18164" t="s">
        <v>14</v>
      </c>
      <c r="C18164" t="s">
        <v>23</v>
      </c>
      <c r="D18164" t="s">
        <v>17</v>
      </c>
      <c r="E18164" t="s">
        <v>12</v>
      </c>
      <c r="F18164">
        <v>159131630</v>
      </c>
      <c r="G18164">
        <v>159131647</v>
      </c>
      <c r="H18164">
        <v>159131661</v>
      </c>
      <c r="I18164">
        <v>159131687</v>
      </c>
    </row>
    <row r="18165" spans="1:9" x14ac:dyDescent="0.2">
      <c r="A18165" s="1" t="str">
        <f>"TMEM145"</f>
        <v>TMEM145</v>
      </c>
      <c r="B18165" t="s">
        <v>14</v>
      </c>
      <c r="C18165" t="s">
        <v>10</v>
      </c>
      <c r="D18165" t="s">
        <v>17</v>
      </c>
      <c r="E18165" t="s">
        <v>12</v>
      </c>
      <c r="F18165">
        <v>42817450</v>
      </c>
      <c r="G18165">
        <v>42817493</v>
      </c>
      <c r="H18165">
        <v>42817527</v>
      </c>
      <c r="I18165">
        <v>42817546</v>
      </c>
    </row>
    <row r="18166" spans="1:9" x14ac:dyDescent="0.2">
      <c r="A18166" s="1" t="str">
        <f>"TMEM147"</f>
        <v>TMEM147</v>
      </c>
      <c r="B18166" t="s">
        <v>14</v>
      </c>
      <c r="C18166" t="s">
        <v>10</v>
      </c>
      <c r="D18166" t="s">
        <v>17</v>
      </c>
      <c r="E18166" t="s">
        <v>12</v>
      </c>
      <c r="F18166">
        <v>36036477</v>
      </c>
      <c r="G18166">
        <v>36036564</v>
      </c>
      <c r="H18166">
        <v>36036585</v>
      </c>
      <c r="I18166">
        <v>36036597</v>
      </c>
    </row>
    <row r="18167" spans="1:9" x14ac:dyDescent="0.2">
      <c r="A18167" s="1" t="str">
        <f>"TMEM14A"</f>
        <v>TMEM14A</v>
      </c>
      <c r="B18167" t="s">
        <v>14</v>
      </c>
      <c r="C18167" t="s">
        <v>32</v>
      </c>
      <c r="D18167" t="s">
        <v>17</v>
      </c>
      <c r="E18167" t="s">
        <v>12</v>
      </c>
      <c r="F18167">
        <v>52535878</v>
      </c>
      <c r="G18167">
        <v>52535969</v>
      </c>
      <c r="H18167">
        <v>52535878</v>
      </c>
      <c r="I18167">
        <v>52535969</v>
      </c>
    </row>
    <row r="18168" spans="1:9" x14ac:dyDescent="0.2">
      <c r="A18168" s="1" t="str">
        <f>"TMEM14B"</f>
        <v>TMEM14B</v>
      </c>
      <c r="B18168" t="s">
        <v>14</v>
      </c>
      <c r="C18168" t="s">
        <v>32</v>
      </c>
      <c r="D18168" t="s">
        <v>17</v>
      </c>
      <c r="E18168" t="s">
        <v>12</v>
      </c>
      <c r="F18168">
        <v>10748019</v>
      </c>
      <c r="G18168">
        <v>10748072</v>
      </c>
      <c r="H18168">
        <v>10747986</v>
      </c>
      <c r="I18168">
        <v>10747997</v>
      </c>
    </row>
    <row r="18169" spans="1:9" x14ac:dyDescent="0.2">
      <c r="A18169" s="1" t="str">
        <f>"TMEM14C"</f>
        <v>TMEM14C</v>
      </c>
      <c r="B18169" t="s">
        <v>14</v>
      </c>
      <c r="C18169" t="s">
        <v>32</v>
      </c>
      <c r="D18169" t="s">
        <v>17</v>
      </c>
      <c r="E18169" t="s">
        <v>12</v>
      </c>
      <c r="F18169">
        <v>10723295</v>
      </c>
      <c r="G18169">
        <v>10723390</v>
      </c>
      <c r="H18169">
        <v>10723392</v>
      </c>
      <c r="I18169">
        <v>10723434</v>
      </c>
    </row>
    <row r="18170" spans="1:9" x14ac:dyDescent="0.2">
      <c r="A18170" s="1" t="str">
        <f>"TMEM14E"</f>
        <v>TMEM14E</v>
      </c>
      <c r="B18170" t="s">
        <v>1722</v>
      </c>
      <c r="C18170" t="s">
        <v>22</v>
      </c>
      <c r="D18170" t="s">
        <v>11</v>
      </c>
      <c r="E18170" t="s">
        <v>20</v>
      </c>
      <c r="F18170">
        <v>152058778</v>
      </c>
      <c r="G18170">
        <v>152058778</v>
      </c>
      <c r="H18170">
        <v>152058778</v>
      </c>
      <c r="I18170">
        <v>152058778</v>
      </c>
    </row>
    <row r="18171" spans="1:9" x14ac:dyDescent="0.2">
      <c r="A18171" s="1" t="str">
        <f>"TMEM150A"</f>
        <v>TMEM150A</v>
      </c>
      <c r="B18171" t="s">
        <v>14</v>
      </c>
      <c r="C18171" t="s">
        <v>26</v>
      </c>
      <c r="D18171" t="s">
        <v>11</v>
      </c>
      <c r="E18171" t="s">
        <v>12</v>
      </c>
      <c r="F18171">
        <v>85829780</v>
      </c>
      <c r="G18171">
        <v>85829800</v>
      </c>
      <c r="H18171">
        <v>85829811</v>
      </c>
      <c r="I18171">
        <v>85829828</v>
      </c>
    </row>
    <row r="18172" spans="1:9" x14ac:dyDescent="0.2">
      <c r="A18172" s="1" t="str">
        <f>"TMEM150B"</f>
        <v>TMEM150B</v>
      </c>
      <c r="B18172" t="s">
        <v>14</v>
      </c>
      <c r="C18172" t="s">
        <v>10</v>
      </c>
      <c r="D18172" t="s">
        <v>11</v>
      </c>
      <c r="E18172" t="s">
        <v>12</v>
      </c>
      <c r="F18172">
        <v>55836697</v>
      </c>
      <c r="G18172">
        <v>55836717</v>
      </c>
      <c r="H18172">
        <v>55836684</v>
      </c>
      <c r="I18172">
        <v>55836695</v>
      </c>
    </row>
    <row r="18173" spans="1:9" x14ac:dyDescent="0.2">
      <c r="A18173" s="1" t="str">
        <f>"TMEM150C"</f>
        <v>TMEM150C</v>
      </c>
      <c r="B18173" t="s">
        <v>14</v>
      </c>
      <c r="C18173" t="s">
        <v>23</v>
      </c>
      <c r="D18173" t="s">
        <v>11</v>
      </c>
      <c r="E18173" t="s">
        <v>12</v>
      </c>
      <c r="F18173">
        <v>83483094</v>
      </c>
      <c r="G18173">
        <v>83483165</v>
      </c>
      <c r="H18173">
        <v>83483395</v>
      </c>
      <c r="I18173">
        <v>83483420</v>
      </c>
    </row>
    <row r="18174" spans="1:9" x14ac:dyDescent="0.2">
      <c r="A18174" s="1" t="str">
        <f>"TMEM151A"</f>
        <v>TMEM151A</v>
      </c>
      <c r="B18174" t="s">
        <v>14</v>
      </c>
      <c r="C18174" t="s">
        <v>27</v>
      </c>
      <c r="D18174" t="s">
        <v>17</v>
      </c>
      <c r="E18174" t="s">
        <v>12</v>
      </c>
      <c r="F18174">
        <v>66059358</v>
      </c>
      <c r="G18174">
        <v>66059372</v>
      </c>
      <c r="H18174">
        <v>66059339</v>
      </c>
      <c r="I18174">
        <v>66059348</v>
      </c>
    </row>
    <row r="18175" spans="1:9" x14ac:dyDescent="0.2">
      <c r="A18175" s="1" t="str">
        <f>"TMEM151B"</f>
        <v>TMEM151B</v>
      </c>
      <c r="B18175" t="s">
        <v>14</v>
      </c>
      <c r="C18175" t="s">
        <v>32</v>
      </c>
      <c r="D18175" t="s">
        <v>17</v>
      </c>
      <c r="E18175" t="s">
        <v>12</v>
      </c>
      <c r="F18175">
        <v>44238171</v>
      </c>
      <c r="G18175">
        <v>44238193</v>
      </c>
      <c r="H18175">
        <v>44238211</v>
      </c>
      <c r="I18175">
        <v>44238222</v>
      </c>
    </row>
    <row r="18176" spans="1:9" x14ac:dyDescent="0.2">
      <c r="A18176" s="1" t="str">
        <f>"TMEM154"</f>
        <v>TMEM154</v>
      </c>
      <c r="B18176" t="s">
        <v>14</v>
      </c>
      <c r="C18176" t="s">
        <v>23</v>
      </c>
      <c r="D18176" t="s">
        <v>11</v>
      </c>
      <c r="E18176" t="s">
        <v>12</v>
      </c>
      <c r="F18176">
        <v>153601102</v>
      </c>
      <c r="G18176">
        <v>153601128</v>
      </c>
      <c r="H18176">
        <v>153601136</v>
      </c>
      <c r="I18176">
        <v>153601172</v>
      </c>
    </row>
    <row r="18177" spans="1:9" x14ac:dyDescent="0.2">
      <c r="A18177" s="1" t="str">
        <f>"TMEM155"</f>
        <v>TMEM155</v>
      </c>
      <c r="B18177" t="s">
        <v>14</v>
      </c>
      <c r="C18177" t="s">
        <v>23</v>
      </c>
      <c r="D18177" t="s">
        <v>11</v>
      </c>
      <c r="E18177" t="s">
        <v>12</v>
      </c>
      <c r="F18177">
        <v>122686261</v>
      </c>
      <c r="G18177">
        <v>122686324</v>
      </c>
      <c r="H18177">
        <v>122686506</v>
      </c>
      <c r="I18177">
        <v>122686519</v>
      </c>
    </row>
    <row r="18178" spans="1:9" x14ac:dyDescent="0.2">
      <c r="A18178" s="1" t="str">
        <f>"TMEM156"</f>
        <v>TMEM156</v>
      </c>
      <c r="B18178" t="s">
        <v>14</v>
      </c>
      <c r="C18178" t="s">
        <v>23</v>
      </c>
      <c r="D18178" t="s">
        <v>11</v>
      </c>
      <c r="E18178" t="s">
        <v>12</v>
      </c>
      <c r="F18178">
        <v>39033963</v>
      </c>
      <c r="G18178">
        <v>39034047</v>
      </c>
      <c r="H18178">
        <v>39033945</v>
      </c>
      <c r="I18178">
        <v>39033961</v>
      </c>
    </row>
    <row r="18179" spans="1:9" x14ac:dyDescent="0.2">
      <c r="A18179" s="1" t="str">
        <f>"TMEM158"</f>
        <v>TMEM158</v>
      </c>
      <c r="B18179" t="s">
        <v>14</v>
      </c>
      <c r="C18179" t="s">
        <v>22</v>
      </c>
      <c r="D18179" t="s">
        <v>11</v>
      </c>
      <c r="E18179" t="s">
        <v>12</v>
      </c>
      <c r="F18179">
        <v>45267760</v>
      </c>
      <c r="G18179">
        <v>45267826</v>
      </c>
      <c r="H18179">
        <v>45267760</v>
      </c>
      <c r="I18179">
        <v>45267826</v>
      </c>
    </row>
    <row r="18180" spans="1:9" x14ac:dyDescent="0.2">
      <c r="A18180" s="1" t="str">
        <f>"TMEM159"</f>
        <v>TMEM159</v>
      </c>
      <c r="B18180" t="s">
        <v>14</v>
      </c>
      <c r="C18180" t="s">
        <v>31</v>
      </c>
      <c r="D18180" t="s">
        <v>17</v>
      </c>
      <c r="E18180" t="s">
        <v>12</v>
      </c>
      <c r="F18180">
        <v>21169976</v>
      </c>
      <c r="G18180">
        <v>21170023</v>
      </c>
      <c r="H18180">
        <v>21169948</v>
      </c>
      <c r="I18180">
        <v>21169959</v>
      </c>
    </row>
    <row r="18181" spans="1:9" x14ac:dyDescent="0.2">
      <c r="A18181" s="1" t="str">
        <f>"TMEM160"</f>
        <v>TMEM160</v>
      </c>
      <c r="B18181" t="s">
        <v>14</v>
      </c>
      <c r="C18181" t="s">
        <v>10</v>
      </c>
      <c r="D18181" t="s">
        <v>11</v>
      </c>
      <c r="E18181" t="s">
        <v>12</v>
      </c>
      <c r="F18181">
        <v>47551836</v>
      </c>
      <c r="G18181">
        <v>47551908</v>
      </c>
      <c r="H18181">
        <v>47551818</v>
      </c>
      <c r="I18181">
        <v>47551835</v>
      </c>
    </row>
    <row r="18182" spans="1:9" x14ac:dyDescent="0.2">
      <c r="A18182" s="1" t="str">
        <f>"TMEM161A"</f>
        <v>TMEM161A</v>
      </c>
      <c r="B18182" t="s">
        <v>14</v>
      </c>
      <c r="C18182" t="s">
        <v>10</v>
      </c>
      <c r="D18182" t="s">
        <v>11</v>
      </c>
      <c r="E18182" t="s">
        <v>12</v>
      </c>
      <c r="F18182">
        <v>19249255</v>
      </c>
      <c r="G18182">
        <v>19249307</v>
      </c>
      <c r="H18182">
        <v>19249255</v>
      </c>
      <c r="I18182">
        <v>19249307</v>
      </c>
    </row>
    <row r="18183" spans="1:9" x14ac:dyDescent="0.2">
      <c r="A18183" s="1" t="str">
        <f>"TMEM161B"</f>
        <v>TMEM161B</v>
      </c>
      <c r="B18183" t="s">
        <v>14</v>
      </c>
      <c r="C18183" t="s">
        <v>46</v>
      </c>
      <c r="D18183" t="s">
        <v>11</v>
      </c>
      <c r="E18183" t="s">
        <v>12</v>
      </c>
      <c r="F18183">
        <v>87564620</v>
      </c>
      <c r="G18183">
        <v>87564687</v>
      </c>
      <c r="H18183">
        <v>87564620</v>
      </c>
      <c r="I18183">
        <v>87564687</v>
      </c>
    </row>
    <row r="18184" spans="1:9" x14ac:dyDescent="0.2">
      <c r="A18184" s="1" t="str">
        <f>"TMEM163"</f>
        <v>TMEM163</v>
      </c>
      <c r="B18184" t="s">
        <v>14</v>
      </c>
      <c r="C18184" t="s">
        <v>26</v>
      </c>
      <c r="D18184" t="s">
        <v>11</v>
      </c>
      <c r="E18184" t="s">
        <v>12</v>
      </c>
      <c r="F18184">
        <v>135476552</v>
      </c>
      <c r="G18184">
        <v>135476576</v>
      </c>
      <c r="H18184">
        <v>135476713</v>
      </c>
      <c r="I18184">
        <v>135476740</v>
      </c>
    </row>
    <row r="18185" spans="1:9" x14ac:dyDescent="0.2">
      <c r="A18185" s="1" t="str">
        <f>"TMEM164"</f>
        <v>TMEM164</v>
      </c>
      <c r="B18185" t="s">
        <v>14</v>
      </c>
      <c r="C18185" t="s">
        <v>37</v>
      </c>
      <c r="D18185" t="s">
        <v>17</v>
      </c>
      <c r="E18185" t="s">
        <v>12</v>
      </c>
      <c r="F18185">
        <v>109246285</v>
      </c>
      <c r="G18185">
        <v>109246352</v>
      </c>
      <c r="H18185">
        <v>109245878</v>
      </c>
      <c r="I18185">
        <v>109245916</v>
      </c>
    </row>
    <row r="18186" spans="1:9" x14ac:dyDescent="0.2">
      <c r="A18186" s="1" t="str">
        <f>"TMEM165"</f>
        <v>TMEM165</v>
      </c>
      <c r="B18186" t="s">
        <v>14</v>
      </c>
      <c r="C18186" t="s">
        <v>23</v>
      </c>
      <c r="D18186" t="s">
        <v>17</v>
      </c>
      <c r="E18186" t="s">
        <v>12</v>
      </c>
      <c r="F18186">
        <v>56262115</v>
      </c>
      <c r="G18186">
        <v>56262140</v>
      </c>
      <c r="H18186">
        <v>56262082</v>
      </c>
      <c r="I18186">
        <v>56262111</v>
      </c>
    </row>
    <row r="18187" spans="1:9" x14ac:dyDescent="0.2">
      <c r="A18187" s="1" t="str">
        <f>"TMEM167A"</f>
        <v>TMEM167A</v>
      </c>
      <c r="B18187" t="s">
        <v>14</v>
      </c>
      <c r="C18187" t="s">
        <v>46</v>
      </c>
      <c r="D18187" t="s">
        <v>11</v>
      </c>
      <c r="E18187" t="s">
        <v>12</v>
      </c>
      <c r="F18187">
        <v>82373164</v>
      </c>
      <c r="G18187">
        <v>82373220</v>
      </c>
      <c r="H18187">
        <v>82373223</v>
      </c>
      <c r="I18187">
        <v>82373259</v>
      </c>
    </row>
    <row r="18188" spans="1:9" x14ac:dyDescent="0.2">
      <c r="A18188" s="1" t="str">
        <f>"TMEM167B"</f>
        <v>TMEM167B</v>
      </c>
      <c r="B18188" t="s">
        <v>14</v>
      </c>
      <c r="C18188" t="s">
        <v>19</v>
      </c>
      <c r="D18188" t="s">
        <v>17</v>
      </c>
      <c r="E18188" t="s">
        <v>12</v>
      </c>
      <c r="F18188">
        <v>109633349</v>
      </c>
      <c r="G18188">
        <v>109633422</v>
      </c>
      <c r="H18188">
        <v>109633445</v>
      </c>
      <c r="I18188">
        <v>109633450</v>
      </c>
    </row>
    <row r="18189" spans="1:9" x14ac:dyDescent="0.2">
      <c r="A18189" s="1" t="str">
        <f>"TMEM168"</f>
        <v>TMEM168</v>
      </c>
      <c r="B18189" t="s">
        <v>14</v>
      </c>
      <c r="C18189" t="s">
        <v>33</v>
      </c>
      <c r="D18189" t="s">
        <v>11</v>
      </c>
      <c r="E18189" t="s">
        <v>12</v>
      </c>
      <c r="F18189">
        <v>112430427</v>
      </c>
      <c r="G18189">
        <v>112430466</v>
      </c>
      <c r="H18189">
        <v>112430472</v>
      </c>
      <c r="I18189">
        <v>112430483</v>
      </c>
    </row>
    <row r="18190" spans="1:9" x14ac:dyDescent="0.2">
      <c r="A18190" s="1" t="str">
        <f>"TMEM169"</f>
        <v>TMEM169</v>
      </c>
      <c r="B18190" t="s">
        <v>14</v>
      </c>
      <c r="C18190" t="s">
        <v>26</v>
      </c>
      <c r="D18190" t="s">
        <v>17</v>
      </c>
      <c r="E18190" t="s">
        <v>12</v>
      </c>
      <c r="F18190">
        <v>216946595</v>
      </c>
      <c r="G18190">
        <v>216946657</v>
      </c>
      <c r="H18190">
        <v>216946595</v>
      </c>
      <c r="I18190">
        <v>216946657</v>
      </c>
    </row>
    <row r="18191" spans="1:9" x14ac:dyDescent="0.2">
      <c r="A18191" s="1" t="str">
        <f>"TMEM17"</f>
        <v>TMEM17</v>
      </c>
      <c r="B18191" t="s">
        <v>14</v>
      </c>
      <c r="C18191" t="s">
        <v>26</v>
      </c>
      <c r="D18191" t="s">
        <v>11</v>
      </c>
      <c r="E18191" t="s">
        <v>12</v>
      </c>
      <c r="F18191">
        <v>62733272</v>
      </c>
      <c r="G18191">
        <v>62733348</v>
      </c>
      <c r="H18191">
        <v>62733413</v>
      </c>
      <c r="I18191">
        <v>62733448</v>
      </c>
    </row>
    <row r="18192" spans="1:9" x14ac:dyDescent="0.2">
      <c r="A18192" s="1" t="str">
        <f>"TMEM170A"</f>
        <v>TMEM170A</v>
      </c>
      <c r="B18192" t="s">
        <v>14</v>
      </c>
      <c r="C18192" t="s">
        <v>31</v>
      </c>
      <c r="D18192" t="s">
        <v>11</v>
      </c>
      <c r="E18192" t="s">
        <v>12</v>
      </c>
      <c r="F18192">
        <v>75498553</v>
      </c>
      <c r="G18192">
        <v>75498621</v>
      </c>
      <c r="H18192">
        <v>75498308</v>
      </c>
      <c r="I18192">
        <v>75498348</v>
      </c>
    </row>
    <row r="18193" spans="1:9" x14ac:dyDescent="0.2">
      <c r="A18193" s="1" t="str">
        <f>"TMEM170B"</f>
        <v>TMEM170B</v>
      </c>
      <c r="B18193" t="s">
        <v>14</v>
      </c>
      <c r="C18193" t="s">
        <v>32</v>
      </c>
      <c r="D18193" t="s">
        <v>17</v>
      </c>
      <c r="E18193" t="s">
        <v>12</v>
      </c>
      <c r="F18193">
        <v>11537971</v>
      </c>
      <c r="G18193">
        <v>11538030</v>
      </c>
      <c r="H18193">
        <v>11537910</v>
      </c>
      <c r="I18193">
        <v>11537953</v>
      </c>
    </row>
    <row r="18194" spans="1:9" x14ac:dyDescent="0.2">
      <c r="A18194" s="1" t="str">
        <f>"TMEM171"</f>
        <v>TMEM171</v>
      </c>
      <c r="B18194" t="s">
        <v>14</v>
      </c>
      <c r="C18194" t="s">
        <v>46</v>
      </c>
      <c r="D18194" t="s">
        <v>17</v>
      </c>
      <c r="E18194" t="s">
        <v>12</v>
      </c>
      <c r="F18194">
        <v>72416387</v>
      </c>
      <c r="G18194">
        <v>72416409</v>
      </c>
      <c r="H18194">
        <v>72416466</v>
      </c>
      <c r="I18194">
        <v>72416490</v>
      </c>
    </row>
    <row r="18195" spans="1:9" x14ac:dyDescent="0.2">
      <c r="A18195" s="1" t="str">
        <f>"TMEM173"</f>
        <v>TMEM173</v>
      </c>
      <c r="B18195" t="s">
        <v>14</v>
      </c>
      <c r="C18195" t="s">
        <v>46</v>
      </c>
      <c r="D18195" t="s">
        <v>11</v>
      </c>
      <c r="E18195" t="s">
        <v>12</v>
      </c>
      <c r="F18195">
        <v>138861870</v>
      </c>
      <c r="G18195">
        <v>138861906</v>
      </c>
      <c r="H18195">
        <v>138862326</v>
      </c>
      <c r="I18195">
        <v>138862352</v>
      </c>
    </row>
    <row r="18196" spans="1:9" x14ac:dyDescent="0.2">
      <c r="A18196" s="1" t="str">
        <f>"TMEM174"</f>
        <v>TMEM174</v>
      </c>
      <c r="B18196" t="s">
        <v>14</v>
      </c>
      <c r="C18196" t="s">
        <v>46</v>
      </c>
      <c r="D18196" t="s">
        <v>17</v>
      </c>
      <c r="E18196" t="s">
        <v>12</v>
      </c>
      <c r="F18196">
        <v>72469014</v>
      </c>
      <c r="G18196">
        <v>72469029</v>
      </c>
      <c r="H18196">
        <v>72469032</v>
      </c>
      <c r="I18196">
        <v>72469043</v>
      </c>
    </row>
    <row r="18197" spans="1:9" x14ac:dyDescent="0.2">
      <c r="A18197" s="1" t="str">
        <f>"TMEM175"</f>
        <v>TMEM175</v>
      </c>
      <c r="B18197" t="s">
        <v>14</v>
      </c>
      <c r="C18197" t="s">
        <v>23</v>
      </c>
      <c r="D18197" t="s">
        <v>17</v>
      </c>
      <c r="E18197" t="s">
        <v>12</v>
      </c>
      <c r="F18197">
        <v>926216</v>
      </c>
      <c r="G18197">
        <v>926285</v>
      </c>
      <c r="H18197">
        <v>926171</v>
      </c>
      <c r="I18197">
        <v>926179</v>
      </c>
    </row>
    <row r="18198" spans="1:9" x14ac:dyDescent="0.2">
      <c r="A18198" s="1" t="str">
        <f>"TMEM176A"</f>
        <v>TMEM176A</v>
      </c>
      <c r="B18198" t="s">
        <v>14</v>
      </c>
      <c r="C18198" t="s">
        <v>33</v>
      </c>
      <c r="D18198" t="s">
        <v>17</v>
      </c>
      <c r="E18198" t="s">
        <v>12</v>
      </c>
      <c r="F18198">
        <v>150497814</v>
      </c>
      <c r="G18198">
        <v>150497902</v>
      </c>
      <c r="H18198">
        <v>150497569</v>
      </c>
      <c r="I18198">
        <v>150497631</v>
      </c>
    </row>
    <row r="18199" spans="1:9" x14ac:dyDescent="0.2">
      <c r="A18199" s="1" t="str">
        <f>"TMEM176B"</f>
        <v>TMEM176B</v>
      </c>
      <c r="B18199" t="s">
        <v>14</v>
      </c>
      <c r="C18199" t="s">
        <v>33</v>
      </c>
      <c r="D18199" t="s">
        <v>11</v>
      </c>
      <c r="E18199" t="s">
        <v>12</v>
      </c>
      <c r="F18199">
        <v>150497406</v>
      </c>
      <c r="G18199">
        <v>150497501</v>
      </c>
      <c r="H18199">
        <v>150498348</v>
      </c>
      <c r="I18199">
        <v>150498411</v>
      </c>
    </row>
    <row r="18200" spans="1:9" x14ac:dyDescent="0.2">
      <c r="A18200" s="1" t="str">
        <f>"TMEM177"</f>
        <v>TMEM177</v>
      </c>
      <c r="B18200" t="s">
        <v>14</v>
      </c>
      <c r="C18200" t="s">
        <v>26</v>
      </c>
      <c r="D18200" t="s">
        <v>17</v>
      </c>
      <c r="E18200" t="s">
        <v>12</v>
      </c>
      <c r="F18200">
        <v>120436760</v>
      </c>
      <c r="G18200">
        <v>120436793</v>
      </c>
      <c r="H18200">
        <v>120436733</v>
      </c>
      <c r="I18200">
        <v>120436759</v>
      </c>
    </row>
    <row r="18201" spans="1:9" x14ac:dyDescent="0.2">
      <c r="A18201" s="1" t="str">
        <f>"TMEM178A"</f>
        <v>TMEM178A</v>
      </c>
      <c r="B18201" t="s">
        <v>14</v>
      </c>
      <c r="C18201" t="s">
        <v>26</v>
      </c>
      <c r="D18201" t="s">
        <v>17</v>
      </c>
      <c r="E18201" t="s">
        <v>12</v>
      </c>
      <c r="F18201">
        <v>39893043</v>
      </c>
      <c r="G18201">
        <v>39893118</v>
      </c>
      <c r="H18201">
        <v>39892615</v>
      </c>
      <c r="I18201">
        <v>39892631</v>
      </c>
    </row>
    <row r="18202" spans="1:9" x14ac:dyDescent="0.2">
      <c r="A18202" s="1" t="str">
        <f>"TMEM178B"</f>
        <v>TMEM178B</v>
      </c>
      <c r="B18202" t="s">
        <v>14</v>
      </c>
      <c r="C18202" t="s">
        <v>33</v>
      </c>
      <c r="D18202" t="s">
        <v>17</v>
      </c>
      <c r="E18202" t="s">
        <v>67</v>
      </c>
      <c r="F18202">
        <v>140774019</v>
      </c>
      <c r="G18202">
        <v>140774070</v>
      </c>
      <c r="H18202">
        <v>140773838</v>
      </c>
      <c r="I18202">
        <v>140773885</v>
      </c>
    </row>
    <row r="18203" spans="1:9" x14ac:dyDescent="0.2">
      <c r="A18203" s="1" t="str">
        <f>"TMEM179"</f>
        <v>TMEM179</v>
      </c>
      <c r="B18203" t="s">
        <v>14</v>
      </c>
      <c r="C18203" t="s">
        <v>41</v>
      </c>
      <c r="D18203" t="s">
        <v>11</v>
      </c>
      <c r="E18203" t="s">
        <v>12</v>
      </c>
      <c r="F18203">
        <v>105071083</v>
      </c>
      <c r="G18203">
        <v>105071155</v>
      </c>
      <c r="H18203">
        <v>105071083</v>
      </c>
      <c r="I18203">
        <v>105071155</v>
      </c>
    </row>
    <row r="18204" spans="1:9" x14ac:dyDescent="0.2">
      <c r="A18204" s="1" t="str">
        <f>"TMEM179B"</f>
        <v>TMEM179B</v>
      </c>
      <c r="B18204" t="s">
        <v>14</v>
      </c>
      <c r="C18204" t="s">
        <v>27</v>
      </c>
      <c r="D18204" t="s">
        <v>17</v>
      </c>
      <c r="E18204" t="s">
        <v>12</v>
      </c>
      <c r="F18204">
        <v>62554860</v>
      </c>
      <c r="G18204">
        <v>62554902</v>
      </c>
      <c r="H18204">
        <v>62554860</v>
      </c>
      <c r="I18204">
        <v>62554902</v>
      </c>
    </row>
    <row r="18205" spans="1:9" x14ac:dyDescent="0.2">
      <c r="A18205" s="1" t="str">
        <f>"TMEM18"</f>
        <v>TMEM18</v>
      </c>
      <c r="B18205" t="s">
        <v>14</v>
      </c>
      <c r="C18205" t="s">
        <v>26</v>
      </c>
      <c r="D18205" t="s">
        <v>11</v>
      </c>
      <c r="E18205" t="s">
        <v>12</v>
      </c>
      <c r="F18205">
        <v>677369</v>
      </c>
      <c r="G18205">
        <v>677443</v>
      </c>
      <c r="H18205">
        <v>677447</v>
      </c>
      <c r="I18205">
        <v>677458</v>
      </c>
    </row>
    <row r="18206" spans="1:9" x14ac:dyDescent="0.2">
      <c r="A18206" s="1" t="str">
        <f>"TMEM180"</f>
        <v>TMEM180</v>
      </c>
      <c r="B18206" t="s">
        <v>14</v>
      </c>
      <c r="C18206" t="s">
        <v>15</v>
      </c>
      <c r="D18206" t="s">
        <v>17</v>
      </c>
      <c r="E18206" t="s">
        <v>12</v>
      </c>
      <c r="F18206">
        <v>104221137</v>
      </c>
      <c r="G18206">
        <v>104221188</v>
      </c>
      <c r="H18206">
        <v>104221116</v>
      </c>
      <c r="I18206">
        <v>104221122</v>
      </c>
    </row>
    <row r="18207" spans="1:9" x14ac:dyDescent="0.2">
      <c r="A18207" s="1" t="str">
        <f>"TMEM181"</f>
        <v>TMEM181</v>
      </c>
      <c r="B18207" t="s">
        <v>14</v>
      </c>
      <c r="C18207" t="s">
        <v>32</v>
      </c>
      <c r="D18207" t="s">
        <v>17</v>
      </c>
      <c r="E18207" t="s">
        <v>12</v>
      </c>
      <c r="F18207">
        <v>158957664</v>
      </c>
      <c r="G18207">
        <v>158957736</v>
      </c>
      <c r="H18207">
        <v>158957532</v>
      </c>
      <c r="I18207">
        <v>158957570</v>
      </c>
    </row>
    <row r="18208" spans="1:9" x14ac:dyDescent="0.2">
      <c r="A18208" s="1" t="str">
        <f>"TMEM182"</f>
        <v>TMEM182</v>
      </c>
      <c r="B18208" t="s">
        <v>9</v>
      </c>
      <c r="C18208" t="s">
        <v>26</v>
      </c>
      <c r="D18208" t="s">
        <v>17</v>
      </c>
      <c r="E18208" t="s">
        <v>12</v>
      </c>
      <c r="F18208">
        <v>103353367</v>
      </c>
      <c r="G18208">
        <v>103353400</v>
      </c>
      <c r="H18208">
        <v>103353367</v>
      </c>
      <c r="I18208">
        <v>103353400</v>
      </c>
    </row>
    <row r="18209" spans="1:9" x14ac:dyDescent="0.2">
      <c r="A18209" s="1" t="str">
        <f>"TMEM182"</f>
        <v>TMEM182</v>
      </c>
      <c r="B18209" t="s">
        <v>13</v>
      </c>
      <c r="C18209" t="s">
        <v>26</v>
      </c>
      <c r="D18209" t="s">
        <v>17</v>
      </c>
      <c r="E18209" t="s">
        <v>12</v>
      </c>
      <c r="F18209">
        <v>103378596</v>
      </c>
      <c r="G18209">
        <v>103378599</v>
      </c>
      <c r="H18209">
        <v>103378596</v>
      </c>
      <c r="I18209">
        <v>103378599</v>
      </c>
    </row>
    <row r="18210" spans="1:9" x14ac:dyDescent="0.2">
      <c r="A18210" s="1" t="str">
        <f>"TMEM183A"</f>
        <v>TMEM183A</v>
      </c>
      <c r="B18210" t="s">
        <v>14</v>
      </c>
      <c r="C18210" t="s">
        <v>19</v>
      </c>
      <c r="D18210" t="s">
        <v>17</v>
      </c>
      <c r="E18210" t="s">
        <v>12</v>
      </c>
      <c r="F18210">
        <v>202976493</v>
      </c>
      <c r="G18210">
        <v>202976530</v>
      </c>
      <c r="H18210">
        <v>202976493</v>
      </c>
      <c r="I18210">
        <v>202976530</v>
      </c>
    </row>
    <row r="18211" spans="1:9" x14ac:dyDescent="0.2">
      <c r="A18211" s="1" t="str">
        <f>"TMEM183B"</f>
        <v>TMEM183B</v>
      </c>
      <c r="B18211" t="s">
        <v>14</v>
      </c>
      <c r="C18211" t="s">
        <v>19</v>
      </c>
      <c r="D18211" t="s">
        <v>17</v>
      </c>
      <c r="E18211" t="s">
        <v>12</v>
      </c>
      <c r="F18211">
        <v>202976493</v>
      </c>
      <c r="G18211">
        <v>202976530</v>
      </c>
      <c r="H18211">
        <v>202976555</v>
      </c>
      <c r="I18211">
        <v>202976566</v>
      </c>
    </row>
    <row r="18212" spans="1:9" x14ac:dyDescent="0.2">
      <c r="A18212" s="1" t="str">
        <f>"TMEM184A"</f>
        <v>TMEM184A</v>
      </c>
      <c r="B18212" t="s">
        <v>9</v>
      </c>
      <c r="C18212" t="s">
        <v>33</v>
      </c>
      <c r="D18212" t="s">
        <v>11</v>
      </c>
      <c r="E18212" t="s">
        <v>12</v>
      </c>
      <c r="F18212">
        <v>1595831</v>
      </c>
      <c r="G18212">
        <v>1595858</v>
      </c>
      <c r="H18212">
        <v>1595831</v>
      </c>
      <c r="I18212">
        <v>1595858</v>
      </c>
    </row>
    <row r="18213" spans="1:9" x14ac:dyDescent="0.2">
      <c r="A18213" s="1" t="str">
        <f>"TMEM184A"</f>
        <v>TMEM184A</v>
      </c>
      <c r="B18213" t="s">
        <v>13</v>
      </c>
      <c r="C18213" t="s">
        <v>33</v>
      </c>
      <c r="D18213" t="s">
        <v>11</v>
      </c>
      <c r="E18213" t="s">
        <v>12</v>
      </c>
      <c r="F18213">
        <v>1600433</v>
      </c>
      <c r="G18213">
        <v>1600475</v>
      </c>
      <c r="H18213">
        <v>1600433</v>
      </c>
      <c r="I18213">
        <v>1600475</v>
      </c>
    </row>
    <row r="18214" spans="1:9" x14ac:dyDescent="0.2">
      <c r="A18214" s="1" t="str">
        <f>"TMEM184B"</f>
        <v>TMEM184B</v>
      </c>
      <c r="B18214" t="s">
        <v>14</v>
      </c>
      <c r="C18214" t="s">
        <v>21</v>
      </c>
      <c r="D18214" t="s">
        <v>11</v>
      </c>
      <c r="E18214" t="s">
        <v>12</v>
      </c>
      <c r="F18214">
        <v>38669002</v>
      </c>
      <c r="G18214">
        <v>38669024</v>
      </c>
      <c r="H18214">
        <v>38669030</v>
      </c>
      <c r="I18214">
        <v>38669045</v>
      </c>
    </row>
    <row r="18215" spans="1:9" x14ac:dyDescent="0.2">
      <c r="A18215" s="1" t="str">
        <f>"TMEM184C"</f>
        <v>TMEM184C</v>
      </c>
      <c r="B18215" t="s">
        <v>14</v>
      </c>
      <c r="C18215" t="s">
        <v>23</v>
      </c>
      <c r="D18215" t="s">
        <v>17</v>
      </c>
      <c r="E18215" t="s">
        <v>12</v>
      </c>
      <c r="F18215">
        <v>148538517</v>
      </c>
      <c r="G18215">
        <v>148538592</v>
      </c>
      <c r="H18215">
        <v>148538603</v>
      </c>
      <c r="I18215">
        <v>148538634</v>
      </c>
    </row>
    <row r="18216" spans="1:9" x14ac:dyDescent="0.2">
      <c r="A18216" s="1" t="str">
        <f>"TMEM185A"</f>
        <v>TMEM185A</v>
      </c>
      <c r="B18216" t="s">
        <v>14</v>
      </c>
      <c r="C18216" t="s">
        <v>37</v>
      </c>
      <c r="D18216" t="s">
        <v>11</v>
      </c>
      <c r="E18216" t="s">
        <v>12</v>
      </c>
      <c r="F18216">
        <v>148713374</v>
      </c>
      <c r="G18216">
        <v>148713438</v>
      </c>
      <c r="H18216">
        <v>148713440</v>
      </c>
      <c r="I18216">
        <v>148713468</v>
      </c>
    </row>
    <row r="18217" spans="1:9" x14ac:dyDescent="0.2">
      <c r="A18217" s="1" t="str">
        <f>"TMEM185B"</f>
        <v>TMEM185B</v>
      </c>
      <c r="B18217" t="s">
        <v>14</v>
      </c>
      <c r="C18217" t="s">
        <v>26</v>
      </c>
      <c r="D18217" t="s">
        <v>11</v>
      </c>
      <c r="E18217" t="s">
        <v>12</v>
      </c>
      <c r="F18217">
        <v>120980939</v>
      </c>
      <c r="G18217">
        <v>120980983</v>
      </c>
      <c r="H18217">
        <v>120980665</v>
      </c>
      <c r="I18217">
        <v>120980750</v>
      </c>
    </row>
    <row r="18218" spans="1:9" x14ac:dyDescent="0.2">
      <c r="A18218" s="1" t="str">
        <f>"TMEM186"</f>
        <v>TMEM186</v>
      </c>
      <c r="B18218" t="s">
        <v>14</v>
      </c>
      <c r="C18218" t="s">
        <v>31</v>
      </c>
      <c r="D18218" t="s">
        <v>11</v>
      </c>
      <c r="E18218" t="s">
        <v>12</v>
      </c>
      <c r="F18218">
        <v>8891481</v>
      </c>
      <c r="G18218">
        <v>8891514</v>
      </c>
      <c r="H18218">
        <v>8891517</v>
      </c>
      <c r="I18218">
        <v>8891518</v>
      </c>
    </row>
    <row r="18219" spans="1:9" x14ac:dyDescent="0.2">
      <c r="A18219" s="1" t="str">
        <f>"TMEM187"</f>
        <v>TMEM187</v>
      </c>
      <c r="B18219" t="s">
        <v>14</v>
      </c>
      <c r="C18219" t="s">
        <v>37</v>
      </c>
      <c r="D18219" t="s">
        <v>17</v>
      </c>
      <c r="E18219" t="s">
        <v>12</v>
      </c>
      <c r="F18219">
        <v>153238171</v>
      </c>
      <c r="G18219">
        <v>153238214</v>
      </c>
      <c r="H18219">
        <v>153238220</v>
      </c>
      <c r="I18219">
        <v>153238248</v>
      </c>
    </row>
    <row r="18220" spans="1:9" x14ac:dyDescent="0.2">
      <c r="A18220" s="1" t="str">
        <f>"TMEM189"</f>
        <v>TMEM189</v>
      </c>
      <c r="B18220" t="s">
        <v>14</v>
      </c>
      <c r="C18220" t="s">
        <v>29</v>
      </c>
      <c r="D18220" t="s">
        <v>11</v>
      </c>
      <c r="E18220" t="s">
        <v>12</v>
      </c>
      <c r="F18220">
        <v>48770194</v>
      </c>
      <c r="G18220">
        <v>48770243</v>
      </c>
      <c r="H18220">
        <v>48770244</v>
      </c>
      <c r="I18220">
        <v>48770286</v>
      </c>
    </row>
    <row r="18221" spans="1:9" x14ac:dyDescent="0.2">
      <c r="A18221" s="1" t="str">
        <f>"TMEM189-UBE2V1"</f>
        <v>TMEM189-UBE2V1</v>
      </c>
      <c r="B18221" t="s">
        <v>14</v>
      </c>
      <c r="C18221" t="s">
        <v>29</v>
      </c>
      <c r="D18221" t="s">
        <v>11</v>
      </c>
      <c r="E18221" t="s">
        <v>12</v>
      </c>
      <c r="F18221">
        <v>48770194</v>
      </c>
      <c r="G18221">
        <v>48770243</v>
      </c>
      <c r="H18221">
        <v>48770244</v>
      </c>
      <c r="I18221">
        <v>48770286</v>
      </c>
    </row>
    <row r="18222" spans="1:9" x14ac:dyDescent="0.2">
      <c r="A18222" s="1" t="str">
        <f>"TMEM19"</f>
        <v>TMEM19</v>
      </c>
      <c r="B18222" t="s">
        <v>14</v>
      </c>
      <c r="C18222" t="s">
        <v>16</v>
      </c>
      <c r="D18222" t="s">
        <v>17</v>
      </c>
      <c r="E18222" t="s">
        <v>12</v>
      </c>
      <c r="F18222">
        <v>72079842</v>
      </c>
      <c r="G18222">
        <v>72079890</v>
      </c>
      <c r="H18222">
        <v>72080299</v>
      </c>
      <c r="I18222">
        <v>72080335</v>
      </c>
    </row>
    <row r="18223" spans="1:9" x14ac:dyDescent="0.2">
      <c r="A18223" s="1" t="str">
        <f>"TMEM190"</f>
        <v>TMEM190</v>
      </c>
      <c r="B18223" t="s">
        <v>14</v>
      </c>
      <c r="C18223" t="s">
        <v>10</v>
      </c>
      <c r="D18223" t="s">
        <v>17</v>
      </c>
      <c r="E18223" t="s">
        <v>12</v>
      </c>
      <c r="F18223">
        <v>55888186</v>
      </c>
      <c r="G18223">
        <v>55888199</v>
      </c>
      <c r="H18223">
        <v>55888186</v>
      </c>
      <c r="I18223">
        <v>55888199</v>
      </c>
    </row>
    <row r="18224" spans="1:9" x14ac:dyDescent="0.2">
      <c r="A18224" s="1" t="str">
        <f>"TMEM191B"</f>
        <v>TMEM191B</v>
      </c>
      <c r="B18224" t="s">
        <v>1723</v>
      </c>
      <c r="C18224" t="s">
        <v>21</v>
      </c>
      <c r="D18224" t="s">
        <v>17</v>
      </c>
      <c r="E18224" t="s">
        <v>20</v>
      </c>
      <c r="F18224">
        <v>20377668</v>
      </c>
      <c r="G18224">
        <v>20377668</v>
      </c>
      <c r="H18224">
        <v>20377668</v>
      </c>
      <c r="I18224">
        <v>20377668</v>
      </c>
    </row>
    <row r="18225" spans="1:9" x14ac:dyDescent="0.2">
      <c r="A18225" s="1" t="str">
        <f>"TMEM191C"</f>
        <v>TMEM191C</v>
      </c>
      <c r="B18225" t="s">
        <v>14</v>
      </c>
      <c r="C18225" t="s">
        <v>21</v>
      </c>
      <c r="D18225" t="s">
        <v>17</v>
      </c>
      <c r="E18225" t="s">
        <v>12</v>
      </c>
      <c r="F18225">
        <v>21822557</v>
      </c>
      <c r="G18225">
        <v>21822558</v>
      </c>
      <c r="H18225">
        <v>21822557</v>
      </c>
      <c r="I18225">
        <v>21822558</v>
      </c>
    </row>
    <row r="18226" spans="1:9" x14ac:dyDescent="0.2">
      <c r="A18226" s="1" t="str">
        <f>"TMEM192"</f>
        <v>TMEM192</v>
      </c>
      <c r="B18226" t="s">
        <v>14</v>
      </c>
      <c r="C18226" t="s">
        <v>23</v>
      </c>
      <c r="D18226" t="s">
        <v>11</v>
      </c>
      <c r="E18226" t="s">
        <v>12</v>
      </c>
      <c r="F18226">
        <v>166034004</v>
      </c>
      <c r="G18226">
        <v>166034026</v>
      </c>
      <c r="H18226">
        <v>166033973</v>
      </c>
      <c r="I18226">
        <v>166033999</v>
      </c>
    </row>
    <row r="18227" spans="1:9" x14ac:dyDescent="0.2">
      <c r="A18227" s="1" t="str">
        <f>"TMEM194A"</f>
        <v>TMEM194A</v>
      </c>
      <c r="B18227" t="s">
        <v>14</v>
      </c>
      <c r="C18227" t="s">
        <v>16</v>
      </c>
      <c r="D18227" t="s">
        <v>11</v>
      </c>
      <c r="E18227" t="s">
        <v>12</v>
      </c>
      <c r="F18227">
        <v>57472522</v>
      </c>
      <c r="G18227">
        <v>57472556</v>
      </c>
      <c r="H18227">
        <v>57472567</v>
      </c>
      <c r="I18227">
        <v>57472583</v>
      </c>
    </row>
    <row r="18228" spans="1:9" x14ac:dyDescent="0.2">
      <c r="A18228" s="1" t="str">
        <f>"TMEM194B"</f>
        <v>TMEM194B</v>
      </c>
      <c r="B18228" t="s">
        <v>14</v>
      </c>
      <c r="C18228" t="s">
        <v>26</v>
      </c>
      <c r="D18228" t="s">
        <v>11</v>
      </c>
      <c r="E18228" t="s">
        <v>12</v>
      </c>
      <c r="F18228">
        <v>191399426</v>
      </c>
      <c r="G18228">
        <v>191399475</v>
      </c>
      <c r="H18228">
        <v>191399381</v>
      </c>
      <c r="I18228">
        <v>191399397</v>
      </c>
    </row>
    <row r="18229" spans="1:9" x14ac:dyDescent="0.2">
      <c r="A18229" s="1" t="str">
        <f>"TMEM196"</f>
        <v>TMEM196</v>
      </c>
      <c r="B18229" t="s">
        <v>14</v>
      </c>
      <c r="C18229" t="s">
        <v>33</v>
      </c>
      <c r="D18229" t="s">
        <v>11</v>
      </c>
      <c r="E18229" t="s">
        <v>12</v>
      </c>
      <c r="F18229">
        <v>19813192</v>
      </c>
      <c r="G18229">
        <v>19813256</v>
      </c>
      <c r="H18229">
        <v>19813267</v>
      </c>
      <c r="I18229">
        <v>19813276</v>
      </c>
    </row>
    <row r="18230" spans="1:9" x14ac:dyDescent="0.2">
      <c r="A18230" s="1" t="str">
        <f>"TMEM198"</f>
        <v>TMEM198</v>
      </c>
      <c r="B18230" t="s">
        <v>14</v>
      </c>
      <c r="C18230" t="s">
        <v>26</v>
      </c>
      <c r="D18230" t="s">
        <v>17</v>
      </c>
      <c r="E18230" t="s">
        <v>12</v>
      </c>
      <c r="F18230">
        <v>220408724</v>
      </c>
      <c r="G18230">
        <v>220408789</v>
      </c>
      <c r="H18230">
        <v>220407875</v>
      </c>
      <c r="I18230">
        <v>220407890</v>
      </c>
    </row>
    <row r="18231" spans="1:9" x14ac:dyDescent="0.2">
      <c r="A18231" s="1" t="str">
        <f>"TMEM199"</f>
        <v>TMEM199</v>
      </c>
      <c r="B18231" t="s">
        <v>14</v>
      </c>
      <c r="C18231" t="s">
        <v>28</v>
      </c>
      <c r="D18231" t="s">
        <v>17</v>
      </c>
      <c r="E18231" t="s">
        <v>12</v>
      </c>
      <c r="F18231">
        <v>26684661</v>
      </c>
      <c r="G18231">
        <v>26684696</v>
      </c>
      <c r="H18231">
        <v>26684823</v>
      </c>
      <c r="I18231">
        <v>26684830</v>
      </c>
    </row>
    <row r="18232" spans="1:9" x14ac:dyDescent="0.2">
      <c r="A18232" s="1" t="str">
        <f>"TMEM2"</f>
        <v>TMEM2</v>
      </c>
      <c r="B18232" t="s">
        <v>14</v>
      </c>
      <c r="C18232" t="s">
        <v>24</v>
      </c>
      <c r="D18232" t="s">
        <v>11</v>
      </c>
      <c r="E18232" t="s">
        <v>12</v>
      </c>
      <c r="F18232">
        <v>74383419</v>
      </c>
      <c r="G18232">
        <v>74383437</v>
      </c>
      <c r="H18232">
        <v>74383799</v>
      </c>
      <c r="I18232">
        <v>74383818</v>
      </c>
    </row>
    <row r="18233" spans="1:9" x14ac:dyDescent="0.2">
      <c r="A18233" s="1" t="str">
        <f>"TMEM200A"</f>
        <v>TMEM200A</v>
      </c>
      <c r="B18233" t="s">
        <v>14</v>
      </c>
      <c r="C18233" t="s">
        <v>32</v>
      </c>
      <c r="D18233" t="s">
        <v>17</v>
      </c>
      <c r="E18233" t="s">
        <v>12</v>
      </c>
      <c r="F18233">
        <v>130687103</v>
      </c>
      <c r="G18233">
        <v>130687170</v>
      </c>
      <c r="H18233">
        <v>130687547</v>
      </c>
      <c r="I18233">
        <v>130687569</v>
      </c>
    </row>
    <row r="18234" spans="1:9" x14ac:dyDescent="0.2">
      <c r="A18234" s="1" t="str">
        <f>"TMEM200B"</f>
        <v>TMEM200B</v>
      </c>
      <c r="B18234" t="s">
        <v>9</v>
      </c>
      <c r="C18234" t="s">
        <v>19</v>
      </c>
      <c r="D18234" t="s">
        <v>11</v>
      </c>
      <c r="E18234" t="s">
        <v>12</v>
      </c>
      <c r="F18234">
        <v>29450399</v>
      </c>
      <c r="G18234">
        <v>29450447</v>
      </c>
      <c r="H18234">
        <v>29450399</v>
      </c>
      <c r="I18234">
        <v>29450447</v>
      </c>
    </row>
    <row r="18235" spans="1:9" x14ac:dyDescent="0.2">
      <c r="A18235" s="1" t="str">
        <f>"TMEM200B"</f>
        <v>TMEM200B</v>
      </c>
      <c r="B18235" t="s">
        <v>13</v>
      </c>
      <c r="C18235" t="s">
        <v>19</v>
      </c>
      <c r="D18235" t="s">
        <v>11</v>
      </c>
      <c r="E18235" t="s">
        <v>12</v>
      </c>
      <c r="F18235">
        <v>29448709</v>
      </c>
      <c r="G18235">
        <v>29448723</v>
      </c>
      <c r="H18235">
        <v>29448709</v>
      </c>
      <c r="I18235">
        <v>29448723</v>
      </c>
    </row>
    <row r="18236" spans="1:9" x14ac:dyDescent="0.2">
      <c r="A18236" s="1" t="str">
        <f>"TMEM200C"</f>
        <v>TMEM200C</v>
      </c>
      <c r="B18236" t="s">
        <v>14</v>
      </c>
      <c r="C18236" t="s">
        <v>43</v>
      </c>
      <c r="D18236" t="s">
        <v>11</v>
      </c>
      <c r="E18236" t="s">
        <v>12</v>
      </c>
      <c r="F18236">
        <v>5891955</v>
      </c>
      <c r="G18236">
        <v>5891967</v>
      </c>
      <c r="H18236">
        <v>5891955</v>
      </c>
      <c r="I18236">
        <v>5891967</v>
      </c>
    </row>
    <row r="18237" spans="1:9" x14ac:dyDescent="0.2">
      <c r="A18237" s="1" t="str">
        <f>"TMEM201"</f>
        <v>TMEM201</v>
      </c>
      <c r="B18237" t="s">
        <v>14</v>
      </c>
      <c r="C18237" t="s">
        <v>19</v>
      </c>
      <c r="D18237" t="s">
        <v>17</v>
      </c>
      <c r="E18237" t="s">
        <v>12</v>
      </c>
      <c r="F18237">
        <v>9648921</v>
      </c>
      <c r="G18237">
        <v>9648982</v>
      </c>
      <c r="H18237">
        <v>9648819</v>
      </c>
      <c r="I18237">
        <v>9648855</v>
      </c>
    </row>
    <row r="18238" spans="1:9" x14ac:dyDescent="0.2">
      <c r="A18238" s="1" t="str">
        <f>"TMEM202"</f>
        <v>TMEM202</v>
      </c>
      <c r="B18238" t="s">
        <v>14</v>
      </c>
      <c r="C18238" t="s">
        <v>25</v>
      </c>
      <c r="D18238" t="s">
        <v>17</v>
      </c>
      <c r="E18238" t="s">
        <v>12</v>
      </c>
      <c r="F18238">
        <v>72690640</v>
      </c>
      <c r="G18238">
        <v>72690661</v>
      </c>
      <c r="H18238">
        <v>72690663</v>
      </c>
      <c r="I18238">
        <v>72690667</v>
      </c>
    </row>
    <row r="18239" spans="1:9" x14ac:dyDescent="0.2">
      <c r="A18239" s="1" t="str">
        <f>"TMEM203"</f>
        <v>TMEM203</v>
      </c>
      <c r="B18239" t="s">
        <v>14</v>
      </c>
      <c r="C18239" t="s">
        <v>24</v>
      </c>
      <c r="D18239" t="s">
        <v>11</v>
      </c>
      <c r="E18239" t="s">
        <v>12</v>
      </c>
      <c r="F18239">
        <v>140100068</v>
      </c>
      <c r="G18239">
        <v>140100128</v>
      </c>
      <c r="H18239">
        <v>140100068</v>
      </c>
      <c r="I18239">
        <v>140100128</v>
      </c>
    </row>
    <row r="18240" spans="1:9" x14ac:dyDescent="0.2">
      <c r="A18240" s="1" t="str">
        <f>"TMEM204"</f>
        <v>TMEM204</v>
      </c>
      <c r="B18240" t="s">
        <v>14</v>
      </c>
      <c r="C18240" t="s">
        <v>31</v>
      </c>
      <c r="D18240" t="s">
        <v>17</v>
      </c>
      <c r="E18240" t="s">
        <v>12</v>
      </c>
      <c r="F18240">
        <v>1583655</v>
      </c>
      <c r="G18240">
        <v>1583704</v>
      </c>
      <c r="H18240">
        <v>1583567</v>
      </c>
      <c r="I18240">
        <v>1583581</v>
      </c>
    </row>
    <row r="18241" spans="1:9" x14ac:dyDescent="0.2">
      <c r="A18241" s="1" t="str">
        <f>"TMEM205"</f>
        <v>TMEM205</v>
      </c>
      <c r="B18241" t="s">
        <v>14</v>
      </c>
      <c r="C18241" t="s">
        <v>10</v>
      </c>
      <c r="D18241" t="s">
        <v>11</v>
      </c>
      <c r="E18241" t="s">
        <v>12</v>
      </c>
      <c r="F18241">
        <v>11456935</v>
      </c>
      <c r="G18241">
        <v>11456981</v>
      </c>
      <c r="H18241">
        <v>11456905</v>
      </c>
      <c r="I18241">
        <v>11456930</v>
      </c>
    </row>
    <row r="18242" spans="1:9" x14ac:dyDescent="0.2">
      <c r="A18242" s="1" t="str">
        <f>"TMEM206"</f>
        <v>TMEM206</v>
      </c>
      <c r="B18242" t="s">
        <v>14</v>
      </c>
      <c r="C18242" t="s">
        <v>19</v>
      </c>
      <c r="D18242" t="s">
        <v>11</v>
      </c>
      <c r="E18242" t="s">
        <v>12</v>
      </c>
      <c r="F18242">
        <v>212588157</v>
      </c>
      <c r="G18242">
        <v>212588265</v>
      </c>
      <c r="H18242">
        <v>212588157</v>
      </c>
      <c r="I18242">
        <v>212588265</v>
      </c>
    </row>
    <row r="18243" spans="1:9" x14ac:dyDescent="0.2">
      <c r="A18243" s="1" t="str">
        <f>"TMEM207"</f>
        <v>TMEM207</v>
      </c>
      <c r="B18243" t="s">
        <v>14</v>
      </c>
      <c r="C18243" t="s">
        <v>22</v>
      </c>
      <c r="D18243" t="s">
        <v>11</v>
      </c>
      <c r="E18243" t="s">
        <v>12</v>
      </c>
      <c r="F18243">
        <v>190167571</v>
      </c>
      <c r="G18243">
        <v>190167577</v>
      </c>
      <c r="H18243">
        <v>190167677</v>
      </c>
      <c r="I18243">
        <v>190167685</v>
      </c>
    </row>
    <row r="18244" spans="1:9" x14ac:dyDescent="0.2">
      <c r="A18244" s="1" t="str">
        <f>"TMEM208"</f>
        <v>TMEM208</v>
      </c>
      <c r="B18244" t="s">
        <v>14</v>
      </c>
      <c r="C18244" t="s">
        <v>31</v>
      </c>
      <c r="D18244" t="s">
        <v>17</v>
      </c>
      <c r="E18244" t="s">
        <v>12</v>
      </c>
      <c r="F18244">
        <v>67261008</v>
      </c>
      <c r="G18244">
        <v>67261073</v>
      </c>
      <c r="H18244">
        <v>67261076</v>
      </c>
      <c r="I18244">
        <v>67261088</v>
      </c>
    </row>
    <row r="18245" spans="1:9" x14ac:dyDescent="0.2">
      <c r="A18245" s="1" t="str">
        <f>"TMEM209"</f>
        <v>TMEM209</v>
      </c>
      <c r="B18245" t="s">
        <v>14</v>
      </c>
      <c r="C18245" t="s">
        <v>33</v>
      </c>
      <c r="D18245" t="s">
        <v>11</v>
      </c>
      <c r="E18245" t="s">
        <v>12</v>
      </c>
      <c r="F18245">
        <v>129845234</v>
      </c>
      <c r="G18245">
        <v>129845282</v>
      </c>
      <c r="H18245">
        <v>129845313</v>
      </c>
      <c r="I18245">
        <v>129845324</v>
      </c>
    </row>
    <row r="18246" spans="1:9" x14ac:dyDescent="0.2">
      <c r="A18246" s="1" t="str">
        <f>"TMEM210"</f>
        <v>TMEM210</v>
      </c>
      <c r="B18246" t="s">
        <v>14</v>
      </c>
      <c r="C18246" t="s">
        <v>24</v>
      </c>
      <c r="D18246" t="s">
        <v>11</v>
      </c>
      <c r="E18246" t="s">
        <v>12</v>
      </c>
      <c r="F18246">
        <v>140066504</v>
      </c>
      <c r="G18246">
        <v>140066512</v>
      </c>
      <c r="H18246">
        <v>140066495</v>
      </c>
      <c r="I18246">
        <v>140066501</v>
      </c>
    </row>
    <row r="18247" spans="1:9" x14ac:dyDescent="0.2">
      <c r="A18247" s="1" t="str">
        <f>"TMEM211"</f>
        <v>TMEM211</v>
      </c>
      <c r="B18247" t="s">
        <v>1724</v>
      </c>
      <c r="C18247" t="s">
        <v>21</v>
      </c>
      <c r="D18247" t="s">
        <v>11</v>
      </c>
      <c r="E18247" t="s">
        <v>20</v>
      </c>
      <c r="F18247">
        <v>25335501</v>
      </c>
      <c r="G18247">
        <v>25335501</v>
      </c>
      <c r="H18247">
        <v>25335501</v>
      </c>
      <c r="I18247">
        <v>25335501</v>
      </c>
    </row>
    <row r="18248" spans="1:9" x14ac:dyDescent="0.2">
      <c r="A18248" s="1" t="str">
        <f>"TMEM212"</f>
        <v>TMEM212</v>
      </c>
      <c r="B18248" t="s">
        <v>14</v>
      </c>
      <c r="C18248" t="s">
        <v>22</v>
      </c>
      <c r="D18248" t="s">
        <v>17</v>
      </c>
      <c r="E18248" t="s">
        <v>12</v>
      </c>
      <c r="F18248">
        <v>171561127</v>
      </c>
      <c r="G18248">
        <v>171561173</v>
      </c>
      <c r="H18248">
        <v>171561127</v>
      </c>
      <c r="I18248">
        <v>171561173</v>
      </c>
    </row>
    <row r="18249" spans="1:9" x14ac:dyDescent="0.2">
      <c r="A18249" s="1" t="str">
        <f>"TMEM213"</f>
        <v>TMEM213</v>
      </c>
      <c r="B18249" t="s">
        <v>14</v>
      </c>
      <c r="C18249" t="s">
        <v>33</v>
      </c>
      <c r="D18249" t="s">
        <v>17</v>
      </c>
      <c r="E18249" t="s">
        <v>12</v>
      </c>
      <c r="F18249">
        <v>138482733</v>
      </c>
      <c r="G18249">
        <v>138482757</v>
      </c>
      <c r="H18249">
        <v>138482733</v>
      </c>
      <c r="I18249">
        <v>138482757</v>
      </c>
    </row>
    <row r="18250" spans="1:9" x14ac:dyDescent="0.2">
      <c r="A18250" s="1" t="str">
        <f>"TMEM214"</f>
        <v>TMEM214</v>
      </c>
      <c r="B18250" t="s">
        <v>14</v>
      </c>
      <c r="C18250" t="s">
        <v>26</v>
      </c>
      <c r="D18250" t="s">
        <v>17</v>
      </c>
      <c r="E18250" t="s">
        <v>12</v>
      </c>
      <c r="F18250">
        <v>27255806</v>
      </c>
      <c r="G18250">
        <v>27255879</v>
      </c>
      <c r="H18250">
        <v>27255789</v>
      </c>
      <c r="I18250">
        <v>27255798</v>
      </c>
    </row>
    <row r="18251" spans="1:9" x14ac:dyDescent="0.2">
      <c r="A18251" s="1" t="str">
        <f>"TMEM215"</f>
        <v>TMEM215</v>
      </c>
      <c r="B18251" t="s">
        <v>14</v>
      </c>
      <c r="C18251" t="s">
        <v>24</v>
      </c>
      <c r="D18251" t="s">
        <v>17</v>
      </c>
      <c r="E18251" t="s">
        <v>12</v>
      </c>
      <c r="F18251">
        <v>32783552</v>
      </c>
      <c r="G18251">
        <v>32783566</v>
      </c>
      <c r="H18251">
        <v>32783532</v>
      </c>
      <c r="I18251">
        <v>32783551</v>
      </c>
    </row>
    <row r="18252" spans="1:9" x14ac:dyDescent="0.2">
      <c r="A18252" s="1" t="str">
        <f>"TMEM216"</f>
        <v>TMEM216</v>
      </c>
      <c r="B18252" t="s">
        <v>14</v>
      </c>
      <c r="C18252" t="s">
        <v>27</v>
      </c>
      <c r="D18252" t="s">
        <v>17</v>
      </c>
      <c r="E18252" t="s">
        <v>12</v>
      </c>
      <c r="F18252">
        <v>61160049</v>
      </c>
      <c r="G18252">
        <v>61160092</v>
      </c>
      <c r="H18252">
        <v>61160093</v>
      </c>
      <c r="I18252">
        <v>61160114</v>
      </c>
    </row>
    <row r="18253" spans="1:9" x14ac:dyDescent="0.2">
      <c r="A18253" s="1" t="str">
        <f>"TMEM217"</f>
        <v>TMEM217</v>
      </c>
      <c r="B18253" t="s">
        <v>14</v>
      </c>
      <c r="C18253" t="s">
        <v>32</v>
      </c>
      <c r="D18253" t="s">
        <v>11</v>
      </c>
      <c r="E18253" t="s">
        <v>12</v>
      </c>
      <c r="F18253">
        <v>37225886</v>
      </c>
      <c r="G18253">
        <v>37225928</v>
      </c>
      <c r="H18253">
        <v>37225929</v>
      </c>
      <c r="I18253">
        <v>37225950</v>
      </c>
    </row>
    <row r="18254" spans="1:9" x14ac:dyDescent="0.2">
      <c r="A18254" s="1" t="str">
        <f>"TMEM218"</f>
        <v>TMEM218</v>
      </c>
      <c r="B18254" t="s">
        <v>14</v>
      </c>
      <c r="C18254" t="s">
        <v>27</v>
      </c>
      <c r="D18254" t="s">
        <v>11</v>
      </c>
      <c r="E18254" t="s">
        <v>12</v>
      </c>
      <c r="F18254">
        <v>124981483</v>
      </c>
      <c r="G18254">
        <v>124981532</v>
      </c>
      <c r="H18254">
        <v>124981619</v>
      </c>
      <c r="I18254">
        <v>124981644</v>
      </c>
    </row>
    <row r="18255" spans="1:9" x14ac:dyDescent="0.2">
      <c r="A18255" s="1" t="str">
        <f>"TMEM219"</f>
        <v>TMEM219</v>
      </c>
      <c r="B18255" t="s">
        <v>14</v>
      </c>
      <c r="C18255" t="s">
        <v>31</v>
      </c>
      <c r="D18255" t="s">
        <v>17</v>
      </c>
      <c r="E18255" t="s">
        <v>12</v>
      </c>
      <c r="F18255">
        <v>29973370</v>
      </c>
      <c r="G18255">
        <v>29973430</v>
      </c>
      <c r="H18255">
        <v>29973433</v>
      </c>
      <c r="I18255">
        <v>29973487</v>
      </c>
    </row>
    <row r="18256" spans="1:9" x14ac:dyDescent="0.2">
      <c r="A18256" s="1" t="str">
        <f>"TMEM220"</f>
        <v>TMEM220</v>
      </c>
      <c r="B18256" t="s">
        <v>14</v>
      </c>
      <c r="C18256" t="s">
        <v>28</v>
      </c>
      <c r="D18256" t="s">
        <v>11</v>
      </c>
      <c r="E18256" t="s">
        <v>12</v>
      </c>
      <c r="F18256">
        <v>10633291</v>
      </c>
      <c r="G18256">
        <v>10633354</v>
      </c>
      <c r="H18256">
        <v>10633535</v>
      </c>
      <c r="I18256">
        <v>10633539</v>
      </c>
    </row>
    <row r="18257" spans="1:9" x14ac:dyDescent="0.2">
      <c r="A18257" s="1" t="str">
        <f>"TMEM221"</f>
        <v>TMEM221</v>
      </c>
      <c r="B18257" t="s">
        <v>14</v>
      </c>
      <c r="C18257" t="s">
        <v>10</v>
      </c>
      <c r="D18257" t="s">
        <v>11</v>
      </c>
      <c r="E18257" t="s">
        <v>12</v>
      </c>
      <c r="F18257">
        <v>17559473</v>
      </c>
      <c r="G18257">
        <v>17559488</v>
      </c>
      <c r="H18257">
        <v>17559473</v>
      </c>
      <c r="I18257">
        <v>17559488</v>
      </c>
    </row>
    <row r="18258" spans="1:9" x14ac:dyDescent="0.2">
      <c r="A18258" s="1" t="str">
        <f>"TMEM222"</f>
        <v>TMEM222</v>
      </c>
      <c r="B18258" t="s">
        <v>14</v>
      </c>
      <c r="C18258" t="s">
        <v>19</v>
      </c>
      <c r="D18258" t="s">
        <v>17</v>
      </c>
      <c r="E18258" t="s">
        <v>12</v>
      </c>
      <c r="F18258">
        <v>27648709</v>
      </c>
      <c r="G18258">
        <v>27648814</v>
      </c>
      <c r="H18258">
        <v>27648648</v>
      </c>
      <c r="I18258">
        <v>27648671</v>
      </c>
    </row>
    <row r="18259" spans="1:9" x14ac:dyDescent="0.2">
      <c r="A18259" s="1" t="str">
        <f>"TMEM223"</f>
        <v>TMEM223</v>
      </c>
      <c r="B18259" t="s">
        <v>14</v>
      </c>
      <c r="C18259" t="s">
        <v>27</v>
      </c>
      <c r="D18259" t="s">
        <v>11</v>
      </c>
      <c r="E18259" t="s">
        <v>12</v>
      </c>
      <c r="F18259">
        <v>62559455</v>
      </c>
      <c r="G18259">
        <v>62559494</v>
      </c>
      <c r="H18259">
        <v>62559455</v>
      </c>
      <c r="I18259">
        <v>62559494</v>
      </c>
    </row>
    <row r="18260" spans="1:9" x14ac:dyDescent="0.2">
      <c r="A18260" s="1" t="str">
        <f>"TMEM225"</f>
        <v>TMEM225</v>
      </c>
      <c r="B18260" t="s">
        <v>14</v>
      </c>
      <c r="C18260" t="s">
        <v>27</v>
      </c>
      <c r="D18260" t="s">
        <v>11</v>
      </c>
      <c r="E18260" t="s">
        <v>12</v>
      </c>
      <c r="F18260">
        <v>123756334</v>
      </c>
      <c r="G18260">
        <v>123756379</v>
      </c>
      <c r="H18260">
        <v>123756334</v>
      </c>
      <c r="I18260">
        <v>123756379</v>
      </c>
    </row>
    <row r="18261" spans="1:9" x14ac:dyDescent="0.2">
      <c r="A18261" s="1" t="str">
        <f>"TMEM229A"</f>
        <v>TMEM229A</v>
      </c>
      <c r="B18261" t="s">
        <v>14</v>
      </c>
      <c r="C18261" t="s">
        <v>33</v>
      </c>
      <c r="D18261" t="s">
        <v>11</v>
      </c>
      <c r="E18261" t="s">
        <v>12</v>
      </c>
      <c r="F18261">
        <v>123673085</v>
      </c>
      <c r="G18261">
        <v>123673133</v>
      </c>
      <c r="H18261">
        <v>123673471</v>
      </c>
      <c r="I18261">
        <v>123673494</v>
      </c>
    </row>
    <row r="18262" spans="1:9" x14ac:dyDescent="0.2">
      <c r="A18262" s="1" t="str">
        <f>"TMEM229B"</f>
        <v>TMEM229B</v>
      </c>
      <c r="B18262" t="s">
        <v>9</v>
      </c>
      <c r="C18262" t="s">
        <v>41</v>
      </c>
      <c r="D18262" t="s">
        <v>11</v>
      </c>
      <c r="E18262" t="s">
        <v>12</v>
      </c>
      <c r="F18262">
        <v>67982164</v>
      </c>
      <c r="G18262">
        <v>67982202</v>
      </c>
      <c r="H18262">
        <v>67982164</v>
      </c>
      <c r="I18262">
        <v>67982202</v>
      </c>
    </row>
    <row r="18263" spans="1:9" x14ac:dyDescent="0.2">
      <c r="A18263" s="1" t="str">
        <f>"TMEM229B"</f>
        <v>TMEM229B</v>
      </c>
      <c r="B18263" t="s">
        <v>13</v>
      </c>
      <c r="C18263" t="s">
        <v>41</v>
      </c>
      <c r="D18263" t="s">
        <v>11</v>
      </c>
      <c r="E18263" t="s">
        <v>12</v>
      </c>
      <c r="F18263">
        <v>67955426</v>
      </c>
      <c r="G18263">
        <v>67955460</v>
      </c>
      <c r="H18263">
        <v>67955426</v>
      </c>
      <c r="I18263">
        <v>67955460</v>
      </c>
    </row>
    <row r="18264" spans="1:9" x14ac:dyDescent="0.2">
      <c r="A18264" s="1" t="str">
        <f>"TMEM230"</f>
        <v>TMEM230</v>
      </c>
      <c r="B18264" t="s">
        <v>14</v>
      </c>
      <c r="C18264" t="s">
        <v>29</v>
      </c>
      <c r="D18264" t="s">
        <v>11</v>
      </c>
      <c r="E18264" t="s">
        <v>12</v>
      </c>
      <c r="F18264">
        <v>5093713</v>
      </c>
      <c r="G18264">
        <v>5093757</v>
      </c>
      <c r="H18264">
        <v>5093503</v>
      </c>
      <c r="I18264">
        <v>5093588</v>
      </c>
    </row>
    <row r="18265" spans="1:9" x14ac:dyDescent="0.2">
      <c r="A18265" s="1" t="str">
        <f>"TMEM231"</f>
        <v>TMEM231</v>
      </c>
      <c r="B18265" t="s">
        <v>14</v>
      </c>
      <c r="C18265" t="s">
        <v>31</v>
      </c>
      <c r="D18265" t="s">
        <v>11</v>
      </c>
      <c r="E18265" t="s">
        <v>12</v>
      </c>
      <c r="F18265">
        <v>75590114</v>
      </c>
      <c r="G18265">
        <v>75590175</v>
      </c>
      <c r="H18265">
        <v>75590177</v>
      </c>
      <c r="I18265">
        <v>75590186</v>
      </c>
    </row>
    <row r="18266" spans="1:9" x14ac:dyDescent="0.2">
      <c r="A18266" s="1" t="str">
        <f>"TMEM232"</f>
        <v>TMEM232</v>
      </c>
      <c r="B18266" t="s">
        <v>9</v>
      </c>
      <c r="C18266" t="s">
        <v>46</v>
      </c>
      <c r="D18266" t="s">
        <v>11</v>
      </c>
      <c r="E18266" t="s">
        <v>12</v>
      </c>
      <c r="F18266">
        <v>110074603</v>
      </c>
      <c r="G18266">
        <v>110074661</v>
      </c>
      <c r="H18266">
        <v>110074603</v>
      </c>
      <c r="I18266">
        <v>110074661</v>
      </c>
    </row>
    <row r="18267" spans="1:9" x14ac:dyDescent="0.2">
      <c r="A18267" s="1" t="str">
        <f>"TMEM232"</f>
        <v>TMEM232</v>
      </c>
      <c r="B18267" t="s">
        <v>13</v>
      </c>
      <c r="C18267" t="s">
        <v>46</v>
      </c>
      <c r="D18267" t="s">
        <v>11</v>
      </c>
      <c r="E18267" t="s">
        <v>12</v>
      </c>
      <c r="F18267">
        <v>110062349</v>
      </c>
      <c r="G18267">
        <v>110062380</v>
      </c>
      <c r="H18267">
        <v>110062349</v>
      </c>
      <c r="I18267">
        <v>110062380</v>
      </c>
    </row>
    <row r="18268" spans="1:9" x14ac:dyDescent="0.2">
      <c r="A18268" s="1" t="str">
        <f>"TMEM233"</f>
        <v>TMEM233</v>
      </c>
      <c r="B18268" t="s">
        <v>14</v>
      </c>
      <c r="C18268" t="s">
        <v>16</v>
      </c>
      <c r="D18268" t="s">
        <v>17</v>
      </c>
      <c r="E18268" t="s">
        <v>12</v>
      </c>
      <c r="F18268">
        <v>120031564</v>
      </c>
      <c r="G18268">
        <v>120031599</v>
      </c>
      <c r="H18268">
        <v>120031695</v>
      </c>
      <c r="I18268">
        <v>120031717</v>
      </c>
    </row>
    <row r="18269" spans="1:9" x14ac:dyDescent="0.2">
      <c r="A18269" s="1" t="str">
        <f>"TMEM234"</f>
        <v>TMEM234</v>
      </c>
      <c r="B18269" t="s">
        <v>14</v>
      </c>
      <c r="C18269" t="s">
        <v>19</v>
      </c>
      <c r="D18269" t="s">
        <v>11</v>
      </c>
      <c r="E18269" t="s">
        <v>12</v>
      </c>
      <c r="F18269">
        <v>32687923</v>
      </c>
      <c r="G18269">
        <v>32687969</v>
      </c>
      <c r="H18269">
        <v>32687869</v>
      </c>
      <c r="I18269">
        <v>32687888</v>
      </c>
    </row>
    <row r="18270" spans="1:9" x14ac:dyDescent="0.2">
      <c r="A18270" s="1" t="str">
        <f>"TMEM235"</f>
        <v>TMEM235</v>
      </c>
      <c r="B18270" t="s">
        <v>14</v>
      </c>
      <c r="C18270" t="s">
        <v>28</v>
      </c>
      <c r="D18270" t="s">
        <v>17</v>
      </c>
      <c r="E18270" t="s">
        <v>12</v>
      </c>
      <c r="F18270">
        <v>76227401</v>
      </c>
      <c r="G18270">
        <v>76227438</v>
      </c>
      <c r="H18270">
        <v>76227367</v>
      </c>
      <c r="I18270">
        <v>76227379</v>
      </c>
    </row>
    <row r="18271" spans="1:9" x14ac:dyDescent="0.2">
      <c r="A18271" s="1" t="str">
        <f>"TMEM236"</f>
        <v>TMEM236</v>
      </c>
      <c r="B18271" t="s">
        <v>1725</v>
      </c>
      <c r="C18271" t="s">
        <v>15</v>
      </c>
      <c r="D18271" t="s">
        <v>17</v>
      </c>
      <c r="E18271" t="s">
        <v>20</v>
      </c>
      <c r="F18271">
        <v>18041221</v>
      </c>
      <c r="G18271">
        <v>18041221</v>
      </c>
      <c r="H18271">
        <v>18041221</v>
      </c>
      <c r="I18271">
        <v>18041221</v>
      </c>
    </row>
    <row r="18272" spans="1:9" x14ac:dyDescent="0.2">
      <c r="A18272" s="1" t="str">
        <f>"TMEM237"</f>
        <v>TMEM237</v>
      </c>
      <c r="B18272" t="s">
        <v>14</v>
      </c>
      <c r="C18272" t="s">
        <v>26</v>
      </c>
      <c r="D18272" t="s">
        <v>11</v>
      </c>
      <c r="E18272" t="s">
        <v>12</v>
      </c>
      <c r="F18272">
        <v>202508169</v>
      </c>
      <c r="G18272">
        <v>202508263</v>
      </c>
      <c r="H18272">
        <v>202507377</v>
      </c>
      <c r="I18272">
        <v>202507420</v>
      </c>
    </row>
    <row r="18273" spans="1:9" x14ac:dyDescent="0.2">
      <c r="A18273" s="1" t="str">
        <f>"TMEM238"</f>
        <v>TMEM238</v>
      </c>
      <c r="B18273" t="s">
        <v>14</v>
      </c>
      <c r="C18273" t="s">
        <v>10</v>
      </c>
      <c r="D18273" t="s">
        <v>11</v>
      </c>
      <c r="E18273" t="s">
        <v>12</v>
      </c>
      <c r="F18273">
        <v>55895627</v>
      </c>
      <c r="G18273">
        <v>55895673</v>
      </c>
      <c r="H18273">
        <v>55895164</v>
      </c>
      <c r="I18273">
        <v>55895189</v>
      </c>
    </row>
    <row r="18274" spans="1:9" x14ac:dyDescent="0.2">
      <c r="A18274" s="1" t="str">
        <f>"TMEM239"</f>
        <v>TMEM239</v>
      </c>
      <c r="B18274" t="s">
        <v>9</v>
      </c>
      <c r="C18274" t="s">
        <v>29</v>
      </c>
      <c r="D18274" t="s">
        <v>17</v>
      </c>
      <c r="E18274" t="s">
        <v>12</v>
      </c>
      <c r="F18274">
        <v>2795626</v>
      </c>
      <c r="G18274">
        <v>2795639</v>
      </c>
      <c r="H18274">
        <v>2795626</v>
      </c>
      <c r="I18274">
        <v>2795639</v>
      </c>
    </row>
    <row r="18275" spans="1:9" x14ac:dyDescent="0.2">
      <c r="A18275" s="1" t="str">
        <f>"TMEM239"</f>
        <v>TMEM239</v>
      </c>
      <c r="B18275" t="s">
        <v>13</v>
      </c>
      <c r="C18275" t="s">
        <v>29</v>
      </c>
      <c r="D18275" t="s">
        <v>17</v>
      </c>
      <c r="E18275" t="s">
        <v>12</v>
      </c>
      <c r="F18275">
        <v>2796999</v>
      </c>
      <c r="G18275">
        <v>2797015</v>
      </c>
      <c r="H18275">
        <v>2796999</v>
      </c>
      <c r="I18275">
        <v>2797015</v>
      </c>
    </row>
    <row r="18276" spans="1:9" x14ac:dyDescent="0.2">
      <c r="A18276" s="1" t="str">
        <f>"TMEM240"</f>
        <v>TMEM240</v>
      </c>
      <c r="B18276" t="s">
        <v>14</v>
      </c>
      <c r="C18276" t="s">
        <v>19</v>
      </c>
      <c r="D18276" t="s">
        <v>11</v>
      </c>
      <c r="E18276" t="s">
        <v>12</v>
      </c>
      <c r="F18276">
        <v>1475968</v>
      </c>
      <c r="G18276">
        <v>1476017</v>
      </c>
      <c r="H18276">
        <v>1475718</v>
      </c>
      <c r="I18276">
        <v>1475741</v>
      </c>
    </row>
    <row r="18277" spans="1:9" x14ac:dyDescent="0.2">
      <c r="A18277" s="1" t="str">
        <f>"TMEM241"</f>
        <v>TMEM241</v>
      </c>
      <c r="B18277" t="s">
        <v>14</v>
      </c>
      <c r="C18277" t="s">
        <v>43</v>
      </c>
      <c r="D18277" t="s">
        <v>11</v>
      </c>
      <c r="E18277" t="s">
        <v>12</v>
      </c>
      <c r="F18277">
        <v>21017871</v>
      </c>
      <c r="G18277">
        <v>21017948</v>
      </c>
      <c r="H18277">
        <v>21017857</v>
      </c>
      <c r="I18277">
        <v>21017867</v>
      </c>
    </row>
    <row r="18278" spans="1:9" x14ac:dyDescent="0.2">
      <c r="A18278" s="1" t="str">
        <f>"TMEM242"</f>
        <v>TMEM242</v>
      </c>
      <c r="B18278" t="s">
        <v>14</v>
      </c>
      <c r="C18278" t="s">
        <v>32</v>
      </c>
      <c r="D18278" t="s">
        <v>11</v>
      </c>
      <c r="E18278" t="s">
        <v>12</v>
      </c>
      <c r="F18278">
        <v>157744531</v>
      </c>
      <c r="G18278">
        <v>157744573</v>
      </c>
      <c r="H18278">
        <v>157745092</v>
      </c>
      <c r="I18278">
        <v>157745143</v>
      </c>
    </row>
    <row r="18279" spans="1:9" x14ac:dyDescent="0.2">
      <c r="A18279" s="1" t="str">
        <f>"TMEM243"</f>
        <v>TMEM243</v>
      </c>
      <c r="B18279" t="s">
        <v>14</v>
      </c>
      <c r="C18279" t="s">
        <v>33</v>
      </c>
      <c r="D18279" t="s">
        <v>11</v>
      </c>
      <c r="E18279" t="s">
        <v>12</v>
      </c>
      <c r="F18279">
        <v>86849025</v>
      </c>
      <c r="G18279">
        <v>86849059</v>
      </c>
      <c r="H18279">
        <v>86849836</v>
      </c>
      <c r="I18279">
        <v>86849866</v>
      </c>
    </row>
    <row r="18280" spans="1:9" x14ac:dyDescent="0.2">
      <c r="A18280" s="1" t="str">
        <f>"TMEM244"</f>
        <v>TMEM244</v>
      </c>
      <c r="B18280" t="s">
        <v>14</v>
      </c>
      <c r="C18280" t="s">
        <v>32</v>
      </c>
      <c r="D18280" t="s">
        <v>11</v>
      </c>
      <c r="E18280" t="s">
        <v>12</v>
      </c>
      <c r="F18280">
        <v>130182422</v>
      </c>
      <c r="G18280">
        <v>130182452</v>
      </c>
      <c r="H18280">
        <v>130182387</v>
      </c>
      <c r="I18280">
        <v>130182407</v>
      </c>
    </row>
    <row r="18281" spans="1:9" x14ac:dyDescent="0.2">
      <c r="A18281" s="1" t="str">
        <f>"TMEM245"</f>
        <v>TMEM245</v>
      </c>
      <c r="B18281" t="s">
        <v>14</v>
      </c>
      <c r="C18281" t="s">
        <v>24</v>
      </c>
      <c r="D18281" t="s">
        <v>11</v>
      </c>
      <c r="E18281" t="s">
        <v>12</v>
      </c>
      <c r="F18281">
        <v>111882195</v>
      </c>
      <c r="G18281">
        <v>111882255</v>
      </c>
      <c r="H18281">
        <v>111882195</v>
      </c>
      <c r="I18281">
        <v>111882255</v>
      </c>
    </row>
    <row r="18282" spans="1:9" x14ac:dyDescent="0.2">
      <c r="A18282" s="1" t="str">
        <f>"TMEM246"</f>
        <v>TMEM246</v>
      </c>
      <c r="B18282" t="s">
        <v>14</v>
      </c>
      <c r="C18282" t="s">
        <v>24</v>
      </c>
      <c r="D18282" t="s">
        <v>11</v>
      </c>
      <c r="E18282" t="s">
        <v>12</v>
      </c>
      <c r="F18282">
        <v>104249400</v>
      </c>
      <c r="G18282">
        <v>104249512</v>
      </c>
      <c r="H18282">
        <v>104249319</v>
      </c>
      <c r="I18282">
        <v>104249398</v>
      </c>
    </row>
    <row r="18283" spans="1:9" x14ac:dyDescent="0.2">
      <c r="A18283" s="1" t="str">
        <f>"TMEM247"</f>
        <v>TMEM247</v>
      </c>
      <c r="B18283" t="s">
        <v>1726</v>
      </c>
      <c r="C18283" t="s">
        <v>26</v>
      </c>
      <c r="D18283" t="s">
        <v>17</v>
      </c>
      <c r="E18283" t="s">
        <v>35</v>
      </c>
      <c r="F18283">
        <v>46706642</v>
      </c>
      <c r="G18283">
        <v>46706647</v>
      </c>
      <c r="H18283">
        <v>46706690</v>
      </c>
      <c r="I18283">
        <v>46706695</v>
      </c>
    </row>
    <row r="18284" spans="1:9" x14ac:dyDescent="0.2">
      <c r="A18284" s="1" t="str">
        <f>"TMEM248"</f>
        <v>TMEM248</v>
      </c>
      <c r="B18284" t="s">
        <v>14</v>
      </c>
      <c r="C18284" t="s">
        <v>33</v>
      </c>
      <c r="D18284" t="s">
        <v>17</v>
      </c>
      <c r="E18284" t="s">
        <v>12</v>
      </c>
      <c r="F18284">
        <v>66386204</v>
      </c>
      <c r="G18284">
        <v>66386249</v>
      </c>
      <c r="H18284">
        <v>66386264</v>
      </c>
      <c r="I18284">
        <v>66386279</v>
      </c>
    </row>
    <row r="18285" spans="1:9" x14ac:dyDescent="0.2">
      <c r="A18285" s="1" t="str">
        <f>"TMEM249"</f>
        <v>TMEM249</v>
      </c>
      <c r="B18285" t="s">
        <v>1727</v>
      </c>
      <c r="C18285" t="s">
        <v>30</v>
      </c>
      <c r="D18285" t="s">
        <v>11</v>
      </c>
      <c r="E18285" t="s">
        <v>20</v>
      </c>
      <c r="F18285">
        <v>145579268</v>
      </c>
      <c r="G18285">
        <v>145579268</v>
      </c>
      <c r="H18285">
        <v>145579268</v>
      </c>
      <c r="I18285">
        <v>145579268</v>
      </c>
    </row>
    <row r="18286" spans="1:9" x14ac:dyDescent="0.2">
      <c r="A18286" s="1" t="str">
        <f>"TMEM25"</f>
        <v>TMEM25</v>
      </c>
      <c r="B18286" t="s">
        <v>14</v>
      </c>
      <c r="C18286" t="s">
        <v>27</v>
      </c>
      <c r="D18286" t="s">
        <v>17</v>
      </c>
      <c r="E18286" t="s">
        <v>12</v>
      </c>
      <c r="F18286">
        <v>118401899</v>
      </c>
      <c r="G18286">
        <v>118401924</v>
      </c>
      <c r="H18286">
        <v>118401350</v>
      </c>
      <c r="I18286">
        <v>118401407</v>
      </c>
    </row>
    <row r="18287" spans="1:9" x14ac:dyDescent="0.2">
      <c r="A18287" s="1" t="str">
        <f>"TMEM251"</f>
        <v>TMEM251</v>
      </c>
      <c r="B18287" t="s">
        <v>14</v>
      </c>
      <c r="C18287" t="s">
        <v>41</v>
      </c>
      <c r="D18287" t="s">
        <v>17</v>
      </c>
      <c r="E18287" t="s">
        <v>12</v>
      </c>
      <c r="F18287">
        <v>93651358</v>
      </c>
      <c r="G18287">
        <v>93651412</v>
      </c>
      <c r="H18287">
        <v>93651358</v>
      </c>
      <c r="I18287">
        <v>93651412</v>
      </c>
    </row>
    <row r="18288" spans="1:9" x14ac:dyDescent="0.2">
      <c r="A18288" s="1" t="str">
        <f>"TMEM252"</f>
        <v>TMEM252</v>
      </c>
      <c r="B18288" t="s">
        <v>14</v>
      </c>
      <c r="C18288" t="s">
        <v>24</v>
      </c>
      <c r="D18288" t="s">
        <v>11</v>
      </c>
      <c r="E18288" t="s">
        <v>12</v>
      </c>
      <c r="F18288">
        <v>71155795</v>
      </c>
      <c r="G18288">
        <v>71155800</v>
      </c>
      <c r="H18288">
        <v>71155795</v>
      </c>
      <c r="I18288">
        <v>71155800</v>
      </c>
    </row>
    <row r="18289" spans="1:9" x14ac:dyDescent="0.2">
      <c r="A18289" s="1" t="str">
        <f>"TMEM253"</f>
        <v>TMEM253</v>
      </c>
      <c r="B18289" t="s">
        <v>14</v>
      </c>
      <c r="C18289" t="s">
        <v>41</v>
      </c>
      <c r="D18289" t="s">
        <v>17</v>
      </c>
      <c r="E18289" t="s">
        <v>12</v>
      </c>
      <c r="F18289">
        <v>21569245</v>
      </c>
      <c r="G18289">
        <v>21569294</v>
      </c>
      <c r="H18289">
        <v>21569245</v>
      </c>
      <c r="I18289">
        <v>21569294</v>
      </c>
    </row>
    <row r="18290" spans="1:9" x14ac:dyDescent="0.2">
      <c r="A18290" s="1" t="str">
        <f>"TMEM254"</f>
        <v>TMEM254</v>
      </c>
      <c r="B18290" t="s">
        <v>14</v>
      </c>
      <c r="C18290" t="s">
        <v>15</v>
      </c>
      <c r="D18290" t="s">
        <v>17</v>
      </c>
      <c r="E18290" t="s">
        <v>12</v>
      </c>
      <c r="F18290">
        <v>81838411</v>
      </c>
      <c r="G18290">
        <v>81838457</v>
      </c>
      <c r="H18290">
        <v>81839013</v>
      </c>
      <c r="I18290">
        <v>81839043</v>
      </c>
    </row>
    <row r="18291" spans="1:9" x14ac:dyDescent="0.2">
      <c r="A18291" s="1" t="str">
        <f>"TMEM255A"</f>
        <v>TMEM255A</v>
      </c>
      <c r="B18291" t="s">
        <v>14</v>
      </c>
      <c r="C18291" t="s">
        <v>37</v>
      </c>
      <c r="D18291" t="s">
        <v>11</v>
      </c>
      <c r="E18291" t="s">
        <v>12</v>
      </c>
      <c r="F18291">
        <v>119445263</v>
      </c>
      <c r="G18291">
        <v>119445298</v>
      </c>
      <c r="H18291">
        <v>119445306</v>
      </c>
      <c r="I18291">
        <v>119445324</v>
      </c>
    </row>
    <row r="18292" spans="1:9" x14ac:dyDescent="0.2">
      <c r="A18292" s="1" t="str">
        <f>"TMEM255B"</f>
        <v>TMEM255B</v>
      </c>
      <c r="B18292" t="s">
        <v>14</v>
      </c>
      <c r="C18292" t="s">
        <v>39</v>
      </c>
      <c r="D18292" t="s">
        <v>17</v>
      </c>
      <c r="E18292" t="s">
        <v>12</v>
      </c>
      <c r="F18292">
        <v>114462193</v>
      </c>
      <c r="G18292">
        <v>114462251</v>
      </c>
      <c r="H18292">
        <v>114462172</v>
      </c>
      <c r="I18292">
        <v>114462186</v>
      </c>
    </row>
    <row r="18293" spans="1:9" x14ac:dyDescent="0.2">
      <c r="A18293" s="1" t="str">
        <f>"TMEM256"</f>
        <v>TMEM256</v>
      </c>
      <c r="B18293" t="s">
        <v>14</v>
      </c>
      <c r="C18293" t="s">
        <v>28</v>
      </c>
      <c r="D18293" t="s">
        <v>11</v>
      </c>
      <c r="E18293" t="s">
        <v>12</v>
      </c>
      <c r="F18293">
        <v>7307407</v>
      </c>
      <c r="G18293">
        <v>7307424</v>
      </c>
      <c r="H18293">
        <v>7307407</v>
      </c>
      <c r="I18293">
        <v>7307424</v>
      </c>
    </row>
    <row r="18294" spans="1:9" x14ac:dyDescent="0.2">
      <c r="A18294" s="1" t="str">
        <f>"TMEM257"</f>
        <v>TMEM257</v>
      </c>
      <c r="B18294" t="s">
        <v>14</v>
      </c>
      <c r="C18294" t="s">
        <v>37</v>
      </c>
      <c r="D18294" t="s">
        <v>17</v>
      </c>
      <c r="E18294" t="s">
        <v>12</v>
      </c>
      <c r="F18294">
        <v>144909122</v>
      </c>
      <c r="G18294">
        <v>144909128</v>
      </c>
      <c r="H18294">
        <v>144909122</v>
      </c>
      <c r="I18294">
        <v>144909128</v>
      </c>
    </row>
    <row r="18295" spans="1:9" x14ac:dyDescent="0.2">
      <c r="A18295" s="1" t="str">
        <f>"TMEM258"</f>
        <v>TMEM258</v>
      </c>
      <c r="B18295" t="s">
        <v>14</v>
      </c>
      <c r="C18295" t="s">
        <v>27</v>
      </c>
      <c r="D18295" t="s">
        <v>11</v>
      </c>
      <c r="E18295" t="s">
        <v>12</v>
      </c>
      <c r="F18295">
        <v>61560053</v>
      </c>
      <c r="G18295">
        <v>61560091</v>
      </c>
      <c r="H18295">
        <v>61560292</v>
      </c>
      <c r="I18295">
        <v>61560316</v>
      </c>
    </row>
    <row r="18296" spans="1:9" x14ac:dyDescent="0.2">
      <c r="A18296" s="1" t="str">
        <f>"TMEM259"</f>
        <v>TMEM259</v>
      </c>
      <c r="B18296" t="s">
        <v>14</v>
      </c>
      <c r="C18296" t="s">
        <v>10</v>
      </c>
      <c r="D18296" t="s">
        <v>11</v>
      </c>
      <c r="E18296" t="s">
        <v>12</v>
      </c>
      <c r="F18296">
        <v>1021113</v>
      </c>
      <c r="G18296">
        <v>1021149</v>
      </c>
      <c r="H18296">
        <v>1021113</v>
      </c>
      <c r="I18296">
        <v>1021149</v>
      </c>
    </row>
    <row r="18297" spans="1:9" x14ac:dyDescent="0.2">
      <c r="A18297" s="1" t="str">
        <f>"TMEM26"</f>
        <v>TMEM26</v>
      </c>
      <c r="B18297" t="s">
        <v>14</v>
      </c>
      <c r="C18297" t="s">
        <v>15</v>
      </c>
      <c r="D18297" t="s">
        <v>11</v>
      </c>
      <c r="E18297" t="s">
        <v>12</v>
      </c>
      <c r="F18297">
        <v>63213089</v>
      </c>
      <c r="G18297">
        <v>63213106</v>
      </c>
      <c r="H18297">
        <v>63212951</v>
      </c>
      <c r="I18297">
        <v>63212979</v>
      </c>
    </row>
    <row r="18298" spans="1:9" x14ac:dyDescent="0.2">
      <c r="A18298" s="1" t="str">
        <f>"TMEM260"</f>
        <v>TMEM260</v>
      </c>
      <c r="B18298" t="s">
        <v>14</v>
      </c>
      <c r="C18298" t="s">
        <v>41</v>
      </c>
      <c r="D18298" t="s">
        <v>17</v>
      </c>
      <c r="E18298" t="s">
        <v>12</v>
      </c>
      <c r="F18298">
        <v>57046500</v>
      </c>
      <c r="G18298">
        <v>57046529</v>
      </c>
      <c r="H18298">
        <v>57046530</v>
      </c>
      <c r="I18298">
        <v>57046550</v>
      </c>
    </row>
    <row r="18299" spans="1:9" x14ac:dyDescent="0.2">
      <c r="A18299" s="1" t="str">
        <f>"TMEM261"</f>
        <v>TMEM261</v>
      </c>
      <c r="B18299" t="s">
        <v>14</v>
      </c>
      <c r="C18299" t="s">
        <v>24</v>
      </c>
      <c r="D18299" t="s">
        <v>11</v>
      </c>
      <c r="E18299" t="s">
        <v>12</v>
      </c>
      <c r="F18299">
        <v>7799752</v>
      </c>
      <c r="G18299">
        <v>7799800</v>
      </c>
      <c r="H18299">
        <v>7799816</v>
      </c>
      <c r="I18299">
        <v>7799827</v>
      </c>
    </row>
    <row r="18300" spans="1:9" x14ac:dyDescent="0.2">
      <c r="A18300" s="1" t="str">
        <f>"TMEM27"</f>
        <v>TMEM27</v>
      </c>
      <c r="B18300" t="s">
        <v>14</v>
      </c>
      <c r="C18300" t="s">
        <v>37</v>
      </c>
      <c r="D18300" t="s">
        <v>11</v>
      </c>
      <c r="E18300" t="s">
        <v>12</v>
      </c>
      <c r="F18300">
        <v>15682921</v>
      </c>
      <c r="G18300">
        <v>15682937</v>
      </c>
      <c r="H18300">
        <v>15682921</v>
      </c>
      <c r="I18300">
        <v>15682937</v>
      </c>
    </row>
    <row r="18301" spans="1:9" x14ac:dyDescent="0.2">
      <c r="A18301" s="1" t="str">
        <f>"TMEM30A"</f>
        <v>TMEM30A</v>
      </c>
      <c r="B18301" t="s">
        <v>14</v>
      </c>
      <c r="C18301" t="s">
        <v>32</v>
      </c>
      <c r="D18301" t="s">
        <v>11</v>
      </c>
      <c r="E18301" t="s">
        <v>12</v>
      </c>
      <c r="F18301">
        <v>75994440</v>
      </c>
      <c r="G18301">
        <v>75994525</v>
      </c>
      <c r="H18301">
        <v>75994536</v>
      </c>
      <c r="I18301">
        <v>75994562</v>
      </c>
    </row>
    <row r="18302" spans="1:9" x14ac:dyDescent="0.2">
      <c r="A18302" s="1" t="str">
        <f>"TMEM30B"</f>
        <v>TMEM30B</v>
      </c>
      <c r="B18302" t="s">
        <v>14</v>
      </c>
      <c r="C18302" t="s">
        <v>41</v>
      </c>
      <c r="D18302" t="s">
        <v>11</v>
      </c>
      <c r="E18302" t="s">
        <v>12</v>
      </c>
      <c r="F18302">
        <v>61748025</v>
      </c>
      <c r="G18302">
        <v>61748074</v>
      </c>
      <c r="H18302">
        <v>61747949</v>
      </c>
      <c r="I18302">
        <v>61747974</v>
      </c>
    </row>
    <row r="18303" spans="1:9" x14ac:dyDescent="0.2">
      <c r="A18303" s="1" t="str">
        <f>"TMEM31"</f>
        <v>TMEM31</v>
      </c>
      <c r="B18303" t="s">
        <v>14</v>
      </c>
      <c r="C18303" t="s">
        <v>37</v>
      </c>
      <c r="D18303" t="s">
        <v>17</v>
      </c>
      <c r="E18303" t="s">
        <v>12</v>
      </c>
      <c r="F18303">
        <v>102965835</v>
      </c>
      <c r="G18303">
        <v>102965842</v>
      </c>
      <c r="H18303">
        <v>102965881</v>
      </c>
      <c r="I18303">
        <v>102965902</v>
      </c>
    </row>
    <row r="18304" spans="1:9" x14ac:dyDescent="0.2">
      <c r="A18304" s="1" t="str">
        <f>"TMEM33"</f>
        <v>TMEM33</v>
      </c>
      <c r="B18304" t="s">
        <v>14</v>
      </c>
      <c r="C18304" t="s">
        <v>23</v>
      </c>
      <c r="D18304" t="s">
        <v>17</v>
      </c>
      <c r="E18304" t="s">
        <v>12</v>
      </c>
      <c r="F18304">
        <v>41937131</v>
      </c>
      <c r="G18304">
        <v>41937211</v>
      </c>
      <c r="H18304">
        <v>41937231</v>
      </c>
      <c r="I18304">
        <v>41937252</v>
      </c>
    </row>
    <row r="18305" spans="1:9" x14ac:dyDescent="0.2">
      <c r="A18305" s="1" t="str">
        <f>"TMEM35"</f>
        <v>TMEM35</v>
      </c>
      <c r="B18305" t="s">
        <v>14</v>
      </c>
      <c r="C18305" t="s">
        <v>37</v>
      </c>
      <c r="D18305" t="s">
        <v>17</v>
      </c>
      <c r="E18305" t="s">
        <v>12</v>
      </c>
      <c r="F18305">
        <v>100333858</v>
      </c>
      <c r="G18305">
        <v>100333876</v>
      </c>
      <c r="H18305">
        <v>100333858</v>
      </c>
      <c r="I18305">
        <v>100333876</v>
      </c>
    </row>
    <row r="18306" spans="1:9" x14ac:dyDescent="0.2">
      <c r="A18306" s="1" t="str">
        <f>"TMEM37"</f>
        <v>TMEM37</v>
      </c>
      <c r="B18306" t="s">
        <v>14</v>
      </c>
      <c r="C18306" t="s">
        <v>26</v>
      </c>
      <c r="D18306" t="s">
        <v>17</v>
      </c>
      <c r="E18306" t="s">
        <v>12</v>
      </c>
      <c r="F18306">
        <v>120189422</v>
      </c>
      <c r="G18306">
        <v>120189447</v>
      </c>
      <c r="H18306">
        <v>120189376</v>
      </c>
      <c r="I18306">
        <v>120189381</v>
      </c>
    </row>
    <row r="18307" spans="1:9" x14ac:dyDescent="0.2">
      <c r="A18307" s="1" t="str">
        <f>"TMEM38A"</f>
        <v>TMEM38A</v>
      </c>
      <c r="B18307" t="s">
        <v>14</v>
      </c>
      <c r="C18307" t="s">
        <v>10</v>
      </c>
      <c r="D18307" t="s">
        <v>17</v>
      </c>
      <c r="E18307" t="s">
        <v>12</v>
      </c>
      <c r="F18307">
        <v>16771936</v>
      </c>
      <c r="G18307">
        <v>16772021</v>
      </c>
      <c r="H18307">
        <v>16771936</v>
      </c>
      <c r="I18307">
        <v>16772021</v>
      </c>
    </row>
    <row r="18308" spans="1:9" x14ac:dyDescent="0.2">
      <c r="A18308" s="1" t="str">
        <f>"TMEM38B"</f>
        <v>TMEM38B</v>
      </c>
      <c r="B18308" t="s">
        <v>14</v>
      </c>
      <c r="C18308" t="s">
        <v>24</v>
      </c>
      <c r="D18308" t="s">
        <v>17</v>
      </c>
      <c r="E18308" t="s">
        <v>12</v>
      </c>
      <c r="F18308">
        <v>108456800</v>
      </c>
      <c r="G18308">
        <v>108456849</v>
      </c>
      <c r="H18308">
        <v>108456850</v>
      </c>
      <c r="I18308">
        <v>108456882</v>
      </c>
    </row>
    <row r="18309" spans="1:9" x14ac:dyDescent="0.2">
      <c r="A18309" s="1" t="str">
        <f>"TMEM39A"</f>
        <v>TMEM39A</v>
      </c>
      <c r="B18309" t="s">
        <v>14</v>
      </c>
      <c r="C18309" t="s">
        <v>22</v>
      </c>
      <c r="D18309" t="s">
        <v>11</v>
      </c>
      <c r="E18309" t="s">
        <v>12</v>
      </c>
      <c r="F18309">
        <v>119182453</v>
      </c>
      <c r="G18309">
        <v>119182498</v>
      </c>
      <c r="H18309">
        <v>119182523</v>
      </c>
      <c r="I18309">
        <v>119182534</v>
      </c>
    </row>
    <row r="18310" spans="1:9" x14ac:dyDescent="0.2">
      <c r="A18310" s="1" t="str">
        <f>"TMEM39B"</f>
        <v>TMEM39B</v>
      </c>
      <c r="B18310" t="s">
        <v>14</v>
      </c>
      <c r="C18310" t="s">
        <v>19</v>
      </c>
      <c r="D18310" t="s">
        <v>17</v>
      </c>
      <c r="E18310" t="s">
        <v>12</v>
      </c>
      <c r="F18310">
        <v>32538520</v>
      </c>
      <c r="G18310">
        <v>32538612</v>
      </c>
      <c r="H18310">
        <v>32538492</v>
      </c>
      <c r="I18310">
        <v>32538508</v>
      </c>
    </row>
    <row r="18311" spans="1:9" x14ac:dyDescent="0.2">
      <c r="A18311" s="1" t="str">
        <f>"TMEM40"</f>
        <v>TMEM40</v>
      </c>
      <c r="B18311" t="s">
        <v>14</v>
      </c>
      <c r="C18311" t="s">
        <v>22</v>
      </c>
      <c r="D18311" t="s">
        <v>11</v>
      </c>
      <c r="E18311" t="s">
        <v>12</v>
      </c>
      <c r="F18311">
        <v>12800751</v>
      </c>
      <c r="G18311">
        <v>12800777</v>
      </c>
      <c r="H18311">
        <v>12800723</v>
      </c>
      <c r="I18311">
        <v>12800747</v>
      </c>
    </row>
    <row r="18312" spans="1:9" x14ac:dyDescent="0.2">
      <c r="A18312" s="1" t="str">
        <f>"TMEM41A"</f>
        <v>TMEM41A</v>
      </c>
      <c r="B18312" t="s">
        <v>14</v>
      </c>
      <c r="C18312" t="s">
        <v>22</v>
      </c>
      <c r="D18312" t="s">
        <v>11</v>
      </c>
      <c r="E18312" t="s">
        <v>12</v>
      </c>
      <c r="F18312">
        <v>185216811</v>
      </c>
      <c r="G18312">
        <v>185216830</v>
      </c>
      <c r="H18312">
        <v>185216766</v>
      </c>
      <c r="I18312">
        <v>185216801</v>
      </c>
    </row>
    <row r="18313" spans="1:9" x14ac:dyDescent="0.2">
      <c r="A18313" s="1" t="str">
        <f>"TMEM41B"</f>
        <v>TMEM41B</v>
      </c>
      <c r="B18313" t="s">
        <v>14</v>
      </c>
      <c r="C18313" t="s">
        <v>27</v>
      </c>
      <c r="D18313" t="s">
        <v>11</v>
      </c>
      <c r="E18313" t="s">
        <v>12</v>
      </c>
      <c r="F18313">
        <v>9336117</v>
      </c>
      <c r="G18313">
        <v>9336196</v>
      </c>
      <c r="H18313">
        <v>9336070</v>
      </c>
      <c r="I18313">
        <v>9336092</v>
      </c>
    </row>
    <row r="18314" spans="1:9" x14ac:dyDescent="0.2">
      <c r="A18314" s="1" t="str">
        <f>"TMEM42"</f>
        <v>TMEM42</v>
      </c>
      <c r="B18314" t="s">
        <v>14</v>
      </c>
      <c r="C18314" t="s">
        <v>22</v>
      </c>
      <c r="D18314" t="s">
        <v>17</v>
      </c>
      <c r="E18314" t="s">
        <v>12</v>
      </c>
      <c r="F18314">
        <v>44903375</v>
      </c>
      <c r="G18314">
        <v>44903412</v>
      </c>
      <c r="H18314">
        <v>44903714</v>
      </c>
      <c r="I18314">
        <v>44903758</v>
      </c>
    </row>
    <row r="18315" spans="1:9" x14ac:dyDescent="0.2">
      <c r="A18315" s="1" t="str">
        <f>"TMEM43"</f>
        <v>TMEM43</v>
      </c>
      <c r="B18315" t="s">
        <v>14</v>
      </c>
      <c r="C18315" t="s">
        <v>22</v>
      </c>
      <c r="D18315" t="s">
        <v>17</v>
      </c>
      <c r="E18315" t="s">
        <v>12</v>
      </c>
      <c r="F18315">
        <v>14166625</v>
      </c>
      <c r="G18315">
        <v>14166649</v>
      </c>
      <c r="H18315">
        <v>14166567</v>
      </c>
      <c r="I18315">
        <v>14166598</v>
      </c>
    </row>
    <row r="18316" spans="1:9" x14ac:dyDescent="0.2">
      <c r="A18316" s="1" t="str">
        <f>"TMEM44"</f>
        <v>TMEM44</v>
      </c>
      <c r="B18316" t="s">
        <v>14</v>
      </c>
      <c r="C18316" t="s">
        <v>22</v>
      </c>
      <c r="D18316" t="s">
        <v>11</v>
      </c>
      <c r="E18316" t="s">
        <v>12</v>
      </c>
      <c r="F18316">
        <v>194354074</v>
      </c>
      <c r="G18316">
        <v>194354164</v>
      </c>
      <c r="H18316">
        <v>194354176</v>
      </c>
      <c r="I18316">
        <v>194354222</v>
      </c>
    </row>
    <row r="18317" spans="1:9" x14ac:dyDescent="0.2">
      <c r="A18317" s="1" t="str">
        <f>"TMEM45A"</f>
        <v>TMEM45A</v>
      </c>
      <c r="B18317" t="s">
        <v>14</v>
      </c>
      <c r="C18317" t="s">
        <v>22</v>
      </c>
      <c r="D18317" t="s">
        <v>17</v>
      </c>
      <c r="E18317" t="s">
        <v>12</v>
      </c>
      <c r="F18317">
        <v>100211412</v>
      </c>
      <c r="G18317">
        <v>100211501</v>
      </c>
      <c r="H18317">
        <v>100211526</v>
      </c>
      <c r="I18317">
        <v>100211584</v>
      </c>
    </row>
    <row r="18318" spans="1:9" x14ac:dyDescent="0.2">
      <c r="A18318" s="1" t="str">
        <f>"TMEM45B"</f>
        <v>TMEM45B</v>
      </c>
      <c r="B18318" t="s">
        <v>14</v>
      </c>
      <c r="C18318" t="s">
        <v>27</v>
      </c>
      <c r="D18318" t="s">
        <v>17</v>
      </c>
      <c r="E18318" t="s">
        <v>12</v>
      </c>
      <c r="F18318">
        <v>129685736</v>
      </c>
      <c r="G18318">
        <v>129685754</v>
      </c>
      <c r="H18318">
        <v>129685707</v>
      </c>
      <c r="I18318">
        <v>129685714</v>
      </c>
    </row>
    <row r="18319" spans="1:9" x14ac:dyDescent="0.2">
      <c r="A18319" s="1" t="str">
        <f>"TMEM47"</f>
        <v>TMEM47</v>
      </c>
      <c r="B18319" t="s">
        <v>14</v>
      </c>
      <c r="C18319" t="s">
        <v>37</v>
      </c>
      <c r="D18319" t="s">
        <v>11</v>
      </c>
      <c r="E18319" t="s">
        <v>12</v>
      </c>
      <c r="F18319">
        <v>34675391</v>
      </c>
      <c r="G18319">
        <v>34675411</v>
      </c>
      <c r="H18319">
        <v>34675429</v>
      </c>
      <c r="I18319">
        <v>34675434</v>
      </c>
    </row>
    <row r="18320" spans="1:9" x14ac:dyDescent="0.2">
      <c r="A18320" s="1" t="str">
        <f>"TMEM5"</f>
        <v>TMEM5</v>
      </c>
      <c r="B18320" t="s">
        <v>14</v>
      </c>
      <c r="C18320" t="s">
        <v>16</v>
      </c>
      <c r="D18320" t="s">
        <v>17</v>
      </c>
      <c r="E18320" t="s">
        <v>12</v>
      </c>
      <c r="F18320">
        <v>64173622</v>
      </c>
      <c r="G18320">
        <v>64173664</v>
      </c>
      <c r="H18320">
        <v>64173675</v>
      </c>
      <c r="I18320">
        <v>64173701</v>
      </c>
    </row>
    <row r="18321" spans="1:9" x14ac:dyDescent="0.2">
      <c r="A18321" s="1" t="str">
        <f>"TMEM50A"</f>
        <v>TMEM50A</v>
      </c>
      <c r="B18321" t="s">
        <v>14</v>
      </c>
      <c r="C18321" t="s">
        <v>19</v>
      </c>
      <c r="D18321" t="s">
        <v>17</v>
      </c>
      <c r="E18321" t="s">
        <v>12</v>
      </c>
      <c r="F18321">
        <v>25664791</v>
      </c>
      <c r="G18321">
        <v>25664833</v>
      </c>
      <c r="H18321">
        <v>25664791</v>
      </c>
      <c r="I18321">
        <v>25664833</v>
      </c>
    </row>
    <row r="18322" spans="1:9" x14ac:dyDescent="0.2">
      <c r="A18322" s="1" t="str">
        <f>"TMEM50B"</f>
        <v>TMEM50B</v>
      </c>
      <c r="B18322" t="s">
        <v>14</v>
      </c>
      <c r="C18322" t="s">
        <v>42</v>
      </c>
      <c r="D18322" t="s">
        <v>11</v>
      </c>
      <c r="E18322" t="s">
        <v>12</v>
      </c>
      <c r="F18322">
        <v>34852221</v>
      </c>
      <c r="G18322">
        <v>34852299</v>
      </c>
      <c r="H18322">
        <v>34852165</v>
      </c>
      <c r="I18322">
        <v>34852179</v>
      </c>
    </row>
    <row r="18323" spans="1:9" x14ac:dyDescent="0.2">
      <c r="A18323" s="1" t="str">
        <f>"TMEM51"</f>
        <v>TMEM51</v>
      </c>
      <c r="B18323" t="s">
        <v>9</v>
      </c>
      <c r="C18323" t="s">
        <v>19</v>
      </c>
      <c r="D18323" t="s">
        <v>17</v>
      </c>
      <c r="E18323" t="s">
        <v>12</v>
      </c>
      <c r="F18323">
        <v>15480197</v>
      </c>
      <c r="G18323">
        <v>15480276</v>
      </c>
      <c r="H18323">
        <v>15480197</v>
      </c>
      <c r="I18323">
        <v>15480276</v>
      </c>
    </row>
    <row r="18324" spans="1:9" x14ac:dyDescent="0.2">
      <c r="A18324" s="1" t="str">
        <f>"TMEM51"</f>
        <v>TMEM51</v>
      </c>
      <c r="B18324" t="s">
        <v>13</v>
      </c>
      <c r="C18324" t="s">
        <v>19</v>
      </c>
      <c r="D18324" t="s">
        <v>17</v>
      </c>
      <c r="E18324" t="s">
        <v>12</v>
      </c>
      <c r="F18324">
        <v>15479054</v>
      </c>
      <c r="G18324">
        <v>15479069</v>
      </c>
      <c r="H18324">
        <v>15479054</v>
      </c>
      <c r="I18324">
        <v>15479069</v>
      </c>
    </row>
    <row r="18325" spans="1:9" x14ac:dyDescent="0.2">
      <c r="A18325" s="1" t="str">
        <f>"TMEM52"</f>
        <v>TMEM52</v>
      </c>
      <c r="B18325" t="s">
        <v>14</v>
      </c>
      <c r="C18325" t="s">
        <v>19</v>
      </c>
      <c r="D18325" t="s">
        <v>11</v>
      </c>
      <c r="E18325" t="s">
        <v>12</v>
      </c>
      <c r="F18325">
        <v>1850703</v>
      </c>
      <c r="G18325">
        <v>1850724</v>
      </c>
      <c r="H18325">
        <v>1850703</v>
      </c>
      <c r="I18325">
        <v>1850724</v>
      </c>
    </row>
    <row r="18326" spans="1:9" x14ac:dyDescent="0.2">
      <c r="A18326" s="1" t="str">
        <f>"TMEM52B"</f>
        <v>TMEM52B</v>
      </c>
      <c r="B18326" t="s">
        <v>14</v>
      </c>
      <c r="C18326" t="s">
        <v>16</v>
      </c>
      <c r="D18326" t="s">
        <v>17</v>
      </c>
      <c r="E18326" t="s">
        <v>12</v>
      </c>
      <c r="F18326">
        <v>10331623</v>
      </c>
      <c r="G18326">
        <v>10331639</v>
      </c>
      <c r="H18326">
        <v>10331623</v>
      </c>
      <c r="I18326">
        <v>10331639</v>
      </c>
    </row>
    <row r="18327" spans="1:9" x14ac:dyDescent="0.2">
      <c r="A18327" s="1" t="str">
        <f>"TMEM53"</f>
        <v>TMEM53</v>
      </c>
      <c r="B18327" t="s">
        <v>14</v>
      </c>
      <c r="C18327" t="s">
        <v>19</v>
      </c>
      <c r="D18327" t="s">
        <v>11</v>
      </c>
      <c r="E18327" t="s">
        <v>12</v>
      </c>
      <c r="F18327">
        <v>45140081</v>
      </c>
      <c r="G18327">
        <v>45140169</v>
      </c>
      <c r="H18327">
        <v>45139742</v>
      </c>
      <c r="I18327">
        <v>45139757</v>
      </c>
    </row>
    <row r="18328" spans="1:9" x14ac:dyDescent="0.2">
      <c r="A18328" s="1" t="str">
        <f>"TMEM54"</f>
        <v>TMEM54</v>
      </c>
      <c r="B18328" t="s">
        <v>14</v>
      </c>
      <c r="C18328" t="s">
        <v>19</v>
      </c>
      <c r="D18328" t="s">
        <v>11</v>
      </c>
      <c r="E18328" t="s">
        <v>12</v>
      </c>
      <c r="F18328">
        <v>33366931</v>
      </c>
      <c r="G18328">
        <v>33367007</v>
      </c>
      <c r="H18328">
        <v>33367013</v>
      </c>
      <c r="I18328">
        <v>33367020</v>
      </c>
    </row>
    <row r="18329" spans="1:9" x14ac:dyDescent="0.2">
      <c r="A18329" s="1" t="str">
        <f>"TMEM55A"</f>
        <v>TMEM55A</v>
      </c>
      <c r="B18329" t="s">
        <v>14</v>
      </c>
      <c r="C18329" t="s">
        <v>30</v>
      </c>
      <c r="D18329" t="s">
        <v>11</v>
      </c>
      <c r="E18329" t="s">
        <v>12</v>
      </c>
      <c r="F18329">
        <v>92053042</v>
      </c>
      <c r="G18329">
        <v>92053126</v>
      </c>
      <c r="H18329">
        <v>92053212</v>
      </c>
      <c r="I18329">
        <v>92053231</v>
      </c>
    </row>
    <row r="18330" spans="1:9" x14ac:dyDescent="0.2">
      <c r="A18330" s="1" t="str">
        <f>"TMEM55B"</f>
        <v>TMEM55B</v>
      </c>
      <c r="B18330" t="s">
        <v>14</v>
      </c>
      <c r="C18330" t="s">
        <v>41</v>
      </c>
      <c r="D18330" t="s">
        <v>11</v>
      </c>
      <c r="E18330" t="s">
        <v>12</v>
      </c>
      <c r="F18330">
        <v>20929570</v>
      </c>
      <c r="G18330">
        <v>20929610</v>
      </c>
      <c r="H18330">
        <v>20929630</v>
      </c>
      <c r="I18330">
        <v>20929641</v>
      </c>
    </row>
    <row r="18331" spans="1:9" x14ac:dyDescent="0.2">
      <c r="A18331" s="1" t="str">
        <f>"TMEM56"</f>
        <v>TMEM56</v>
      </c>
      <c r="B18331" t="s">
        <v>14</v>
      </c>
      <c r="C18331" t="s">
        <v>19</v>
      </c>
      <c r="D18331" t="s">
        <v>17</v>
      </c>
      <c r="E18331" t="s">
        <v>12</v>
      </c>
      <c r="F18331">
        <v>95582881</v>
      </c>
      <c r="G18331">
        <v>95582994</v>
      </c>
      <c r="H18331">
        <v>95582841</v>
      </c>
      <c r="I18331">
        <v>95582862</v>
      </c>
    </row>
    <row r="18332" spans="1:9" x14ac:dyDescent="0.2">
      <c r="A18332" s="1" t="str">
        <f>"TMEM56-RWDD3"</f>
        <v>TMEM56-RWDD3</v>
      </c>
      <c r="B18332" t="s">
        <v>14</v>
      </c>
      <c r="C18332" t="s">
        <v>19</v>
      </c>
      <c r="D18332" t="s">
        <v>17</v>
      </c>
      <c r="E18332" t="s">
        <v>67</v>
      </c>
      <c r="F18332">
        <v>95582881</v>
      </c>
      <c r="G18332">
        <v>95582994</v>
      </c>
      <c r="H18332">
        <v>95582881</v>
      </c>
      <c r="I18332">
        <v>95582994</v>
      </c>
    </row>
    <row r="18333" spans="1:9" x14ac:dyDescent="0.2">
      <c r="A18333" s="1" t="str">
        <f>"TMEM57"</f>
        <v>TMEM57</v>
      </c>
      <c r="B18333" t="s">
        <v>14</v>
      </c>
      <c r="C18333" t="s">
        <v>19</v>
      </c>
      <c r="D18333" t="s">
        <v>17</v>
      </c>
      <c r="E18333" t="s">
        <v>12</v>
      </c>
      <c r="F18333">
        <v>25757376</v>
      </c>
      <c r="G18333">
        <v>25757409</v>
      </c>
      <c r="H18333">
        <v>25757432</v>
      </c>
      <c r="I18333">
        <v>25757481</v>
      </c>
    </row>
    <row r="18334" spans="1:9" x14ac:dyDescent="0.2">
      <c r="A18334" s="1" t="str">
        <f>"TMEM59"</f>
        <v>TMEM59</v>
      </c>
      <c r="B18334" t="s">
        <v>14</v>
      </c>
      <c r="C18334" t="s">
        <v>19</v>
      </c>
      <c r="D18334" t="s">
        <v>11</v>
      </c>
      <c r="E18334" t="s">
        <v>12</v>
      </c>
      <c r="F18334">
        <v>54518866</v>
      </c>
      <c r="G18334">
        <v>54518921</v>
      </c>
      <c r="H18334">
        <v>54519067</v>
      </c>
      <c r="I18334">
        <v>54519126</v>
      </c>
    </row>
    <row r="18335" spans="1:9" x14ac:dyDescent="0.2">
      <c r="A18335" s="1" t="str">
        <f>"TMEM59L"</f>
        <v>TMEM59L</v>
      </c>
      <c r="B18335" t="s">
        <v>14</v>
      </c>
      <c r="C18335" t="s">
        <v>10</v>
      </c>
      <c r="D18335" t="s">
        <v>17</v>
      </c>
      <c r="E18335" t="s">
        <v>12</v>
      </c>
      <c r="F18335">
        <v>18723660</v>
      </c>
      <c r="G18335">
        <v>18723743</v>
      </c>
      <c r="H18335">
        <v>18723748</v>
      </c>
      <c r="I18335">
        <v>18723770</v>
      </c>
    </row>
    <row r="18336" spans="1:9" x14ac:dyDescent="0.2">
      <c r="A18336" s="1" t="str">
        <f>"TMEM60"</f>
        <v>TMEM60</v>
      </c>
      <c r="B18336" t="s">
        <v>14</v>
      </c>
      <c r="C18336" t="s">
        <v>33</v>
      </c>
      <c r="D18336" t="s">
        <v>11</v>
      </c>
      <c r="E18336" t="s">
        <v>12</v>
      </c>
      <c r="F18336">
        <v>77427676</v>
      </c>
      <c r="G18336">
        <v>77427766</v>
      </c>
      <c r="H18336">
        <v>77427774</v>
      </c>
      <c r="I18336">
        <v>77427785</v>
      </c>
    </row>
    <row r="18337" spans="1:9" x14ac:dyDescent="0.2">
      <c r="A18337" s="1" t="str">
        <f>"TMEM61"</f>
        <v>TMEM61</v>
      </c>
      <c r="B18337" t="s">
        <v>14</v>
      </c>
      <c r="C18337" t="s">
        <v>19</v>
      </c>
      <c r="D18337" t="s">
        <v>17</v>
      </c>
      <c r="E18337" t="s">
        <v>12</v>
      </c>
      <c r="F18337">
        <v>55446284</v>
      </c>
      <c r="G18337">
        <v>55446319</v>
      </c>
      <c r="H18337">
        <v>55446323</v>
      </c>
      <c r="I18337">
        <v>55446350</v>
      </c>
    </row>
    <row r="18338" spans="1:9" x14ac:dyDescent="0.2">
      <c r="A18338" s="1" t="str">
        <f>"TMEM62"</f>
        <v>TMEM62</v>
      </c>
      <c r="B18338" t="s">
        <v>14</v>
      </c>
      <c r="C18338" t="s">
        <v>25</v>
      </c>
      <c r="D18338" t="s">
        <v>17</v>
      </c>
      <c r="E18338" t="s">
        <v>12</v>
      </c>
      <c r="F18338">
        <v>43425744</v>
      </c>
      <c r="G18338">
        <v>43425811</v>
      </c>
      <c r="H18338">
        <v>43425905</v>
      </c>
      <c r="I18338">
        <v>43425982</v>
      </c>
    </row>
    <row r="18339" spans="1:9" x14ac:dyDescent="0.2">
      <c r="A18339" s="1" t="str">
        <f>"TMEM63A"</f>
        <v>TMEM63A</v>
      </c>
      <c r="B18339" t="s">
        <v>9</v>
      </c>
      <c r="C18339" t="s">
        <v>19</v>
      </c>
      <c r="D18339" t="s">
        <v>11</v>
      </c>
      <c r="E18339" t="s">
        <v>12</v>
      </c>
      <c r="F18339">
        <v>226070016</v>
      </c>
      <c r="G18339">
        <v>226070087</v>
      </c>
      <c r="H18339">
        <v>226070016</v>
      </c>
      <c r="I18339">
        <v>226070087</v>
      </c>
    </row>
    <row r="18340" spans="1:9" x14ac:dyDescent="0.2">
      <c r="A18340" s="1" t="str">
        <f>"TMEM63A"</f>
        <v>TMEM63A</v>
      </c>
      <c r="B18340" t="s">
        <v>13</v>
      </c>
      <c r="C18340" t="s">
        <v>19</v>
      </c>
      <c r="D18340" t="s">
        <v>11</v>
      </c>
      <c r="E18340" t="s">
        <v>12</v>
      </c>
      <c r="F18340">
        <v>226065330</v>
      </c>
      <c r="G18340">
        <v>226065386</v>
      </c>
      <c r="H18340">
        <v>226065330</v>
      </c>
      <c r="I18340">
        <v>226065386</v>
      </c>
    </row>
    <row r="18341" spans="1:9" x14ac:dyDescent="0.2">
      <c r="A18341" s="1" t="str">
        <f>"TMEM63B"</f>
        <v>TMEM63B</v>
      </c>
      <c r="B18341" t="s">
        <v>14</v>
      </c>
      <c r="C18341" t="s">
        <v>32</v>
      </c>
      <c r="D18341" t="s">
        <v>17</v>
      </c>
      <c r="E18341" t="s">
        <v>12</v>
      </c>
      <c r="F18341">
        <v>44095263</v>
      </c>
      <c r="G18341">
        <v>44095325</v>
      </c>
      <c r="H18341">
        <v>44095347</v>
      </c>
      <c r="I18341">
        <v>44095409</v>
      </c>
    </row>
    <row r="18342" spans="1:9" x14ac:dyDescent="0.2">
      <c r="A18342" s="1" t="str">
        <f>"TMEM63C"</f>
        <v>TMEM63C</v>
      </c>
      <c r="B18342" t="s">
        <v>14</v>
      </c>
      <c r="C18342" t="s">
        <v>41</v>
      </c>
      <c r="D18342" t="s">
        <v>17</v>
      </c>
      <c r="E18342" t="s">
        <v>12</v>
      </c>
      <c r="F18342">
        <v>77648123</v>
      </c>
      <c r="G18342">
        <v>77648162</v>
      </c>
      <c r="H18342">
        <v>77648167</v>
      </c>
      <c r="I18342">
        <v>77648183</v>
      </c>
    </row>
    <row r="18343" spans="1:9" x14ac:dyDescent="0.2">
      <c r="A18343" s="1" t="str">
        <f>"TMEM64"</f>
        <v>TMEM64</v>
      </c>
      <c r="B18343" t="s">
        <v>14</v>
      </c>
      <c r="C18343" t="s">
        <v>30</v>
      </c>
      <c r="D18343" t="s">
        <v>11</v>
      </c>
      <c r="E18343" t="s">
        <v>12</v>
      </c>
      <c r="F18343">
        <v>91658303</v>
      </c>
      <c r="G18343">
        <v>91658327</v>
      </c>
      <c r="H18343">
        <v>91657909</v>
      </c>
      <c r="I18343">
        <v>91657988</v>
      </c>
    </row>
    <row r="18344" spans="1:9" x14ac:dyDescent="0.2">
      <c r="A18344" s="1" t="str">
        <f>"TMEM65"</f>
        <v>TMEM65</v>
      </c>
      <c r="B18344" t="s">
        <v>14</v>
      </c>
      <c r="C18344" t="s">
        <v>30</v>
      </c>
      <c r="D18344" t="s">
        <v>11</v>
      </c>
      <c r="E18344" t="s">
        <v>12</v>
      </c>
      <c r="F18344">
        <v>125384927</v>
      </c>
      <c r="G18344">
        <v>125384952</v>
      </c>
      <c r="H18344">
        <v>125384696</v>
      </c>
      <c r="I18344">
        <v>125384763</v>
      </c>
    </row>
    <row r="18345" spans="1:9" x14ac:dyDescent="0.2">
      <c r="A18345" s="1" t="str">
        <f>"TMEM66"</f>
        <v>TMEM66</v>
      </c>
      <c r="B18345" t="s">
        <v>14</v>
      </c>
      <c r="C18345" t="s">
        <v>30</v>
      </c>
      <c r="D18345" t="s">
        <v>11</v>
      </c>
      <c r="E18345" t="s">
        <v>12</v>
      </c>
      <c r="F18345">
        <v>29940569</v>
      </c>
      <c r="G18345">
        <v>29940596</v>
      </c>
      <c r="H18345">
        <v>29940628</v>
      </c>
      <c r="I18345">
        <v>29940639</v>
      </c>
    </row>
    <row r="18346" spans="1:9" x14ac:dyDescent="0.2">
      <c r="A18346" s="1" t="str">
        <f>"TMEM67"</f>
        <v>TMEM67</v>
      </c>
      <c r="B18346" t="s">
        <v>14</v>
      </c>
      <c r="C18346" t="s">
        <v>30</v>
      </c>
      <c r="D18346" t="s">
        <v>17</v>
      </c>
      <c r="E18346" t="s">
        <v>12</v>
      </c>
      <c r="F18346">
        <v>94767109</v>
      </c>
      <c r="G18346">
        <v>94767161</v>
      </c>
      <c r="H18346">
        <v>94767087</v>
      </c>
      <c r="I18346">
        <v>94767105</v>
      </c>
    </row>
    <row r="18347" spans="1:9" x14ac:dyDescent="0.2">
      <c r="A18347" s="1" t="str">
        <f>"TMEM68"</f>
        <v>TMEM68</v>
      </c>
      <c r="B18347" t="s">
        <v>14</v>
      </c>
      <c r="C18347" t="s">
        <v>30</v>
      </c>
      <c r="D18347" t="s">
        <v>11</v>
      </c>
      <c r="E18347" t="s">
        <v>12</v>
      </c>
      <c r="F18347">
        <v>56685859</v>
      </c>
      <c r="G18347">
        <v>56685945</v>
      </c>
      <c r="H18347">
        <v>56685950</v>
      </c>
      <c r="I18347">
        <v>56685963</v>
      </c>
    </row>
    <row r="18348" spans="1:9" x14ac:dyDescent="0.2">
      <c r="A18348" s="1" t="str">
        <f>"TMEM69"</f>
        <v>TMEM69</v>
      </c>
      <c r="B18348" t="s">
        <v>14</v>
      </c>
      <c r="C18348" t="s">
        <v>19</v>
      </c>
      <c r="D18348" t="s">
        <v>17</v>
      </c>
      <c r="E18348" t="s">
        <v>12</v>
      </c>
      <c r="F18348">
        <v>46153837</v>
      </c>
      <c r="G18348">
        <v>46153879</v>
      </c>
      <c r="H18348">
        <v>46153015</v>
      </c>
      <c r="I18348">
        <v>46153034</v>
      </c>
    </row>
    <row r="18349" spans="1:9" x14ac:dyDescent="0.2">
      <c r="A18349" s="1" t="str">
        <f>"TMEM70"</f>
        <v>TMEM70</v>
      </c>
      <c r="B18349" t="s">
        <v>14</v>
      </c>
      <c r="C18349" t="s">
        <v>30</v>
      </c>
      <c r="D18349" t="s">
        <v>17</v>
      </c>
      <c r="E18349" t="s">
        <v>12</v>
      </c>
      <c r="F18349">
        <v>74888417</v>
      </c>
      <c r="G18349">
        <v>74888485</v>
      </c>
      <c r="H18349">
        <v>74888542</v>
      </c>
      <c r="I18349">
        <v>74888594</v>
      </c>
    </row>
    <row r="18350" spans="1:9" x14ac:dyDescent="0.2">
      <c r="A18350" s="1" t="str">
        <f>"TMEM71"</f>
        <v>TMEM71</v>
      </c>
      <c r="B18350" t="s">
        <v>14</v>
      </c>
      <c r="C18350" t="s">
        <v>30</v>
      </c>
      <c r="D18350" t="s">
        <v>11</v>
      </c>
      <c r="E18350" t="s">
        <v>12</v>
      </c>
      <c r="F18350">
        <v>133772798</v>
      </c>
      <c r="G18350">
        <v>133772840</v>
      </c>
      <c r="H18350">
        <v>133772870</v>
      </c>
      <c r="I18350">
        <v>133772881</v>
      </c>
    </row>
    <row r="18351" spans="1:9" x14ac:dyDescent="0.2">
      <c r="A18351" s="1" t="str">
        <f>"TMEM72"</f>
        <v>TMEM72</v>
      </c>
      <c r="B18351" t="s">
        <v>14</v>
      </c>
      <c r="C18351" t="s">
        <v>15</v>
      </c>
      <c r="D18351" t="s">
        <v>17</v>
      </c>
      <c r="E18351" t="s">
        <v>12</v>
      </c>
      <c r="F18351">
        <v>45406779</v>
      </c>
      <c r="G18351">
        <v>45406811</v>
      </c>
      <c r="H18351">
        <v>45406850</v>
      </c>
      <c r="I18351">
        <v>45406891</v>
      </c>
    </row>
    <row r="18352" spans="1:9" x14ac:dyDescent="0.2">
      <c r="A18352" s="1" t="str">
        <f>"TMEM74"</f>
        <v>TMEM74</v>
      </c>
      <c r="B18352" t="s">
        <v>14</v>
      </c>
      <c r="C18352" t="s">
        <v>30</v>
      </c>
      <c r="D18352" t="s">
        <v>11</v>
      </c>
      <c r="E18352" t="s">
        <v>12</v>
      </c>
      <c r="F18352">
        <v>109799793</v>
      </c>
      <c r="G18352">
        <v>109799839</v>
      </c>
      <c r="H18352">
        <v>109799759</v>
      </c>
      <c r="I18352">
        <v>109799778</v>
      </c>
    </row>
    <row r="18353" spans="1:9" x14ac:dyDescent="0.2">
      <c r="A18353" s="1" t="str">
        <f>"TMEM74B"</f>
        <v>TMEM74B</v>
      </c>
      <c r="B18353" t="s">
        <v>14</v>
      </c>
      <c r="C18353" t="s">
        <v>29</v>
      </c>
      <c r="D18353" t="s">
        <v>11</v>
      </c>
      <c r="E18353" t="s">
        <v>12</v>
      </c>
      <c r="F18353">
        <v>1166543</v>
      </c>
      <c r="G18353">
        <v>1166569</v>
      </c>
      <c r="H18353">
        <v>1166052</v>
      </c>
      <c r="I18353">
        <v>1166091</v>
      </c>
    </row>
    <row r="18354" spans="1:9" x14ac:dyDescent="0.2">
      <c r="A18354" s="1" t="str">
        <f>"TMEM79"</f>
        <v>TMEM79</v>
      </c>
      <c r="B18354" t="s">
        <v>14</v>
      </c>
      <c r="C18354" t="s">
        <v>19</v>
      </c>
      <c r="D18354" t="s">
        <v>17</v>
      </c>
      <c r="E18354" t="s">
        <v>12</v>
      </c>
      <c r="F18354">
        <v>156252708</v>
      </c>
      <c r="G18354">
        <v>156252734</v>
      </c>
      <c r="H18354">
        <v>156252708</v>
      </c>
      <c r="I18354">
        <v>156252734</v>
      </c>
    </row>
    <row r="18355" spans="1:9" x14ac:dyDescent="0.2">
      <c r="A18355" s="1" t="str">
        <f>"TMEM80"</f>
        <v>TMEM80</v>
      </c>
      <c r="B18355" t="s">
        <v>14</v>
      </c>
      <c r="C18355" t="s">
        <v>27</v>
      </c>
      <c r="D18355" t="s">
        <v>17</v>
      </c>
      <c r="E18355" t="s">
        <v>12</v>
      </c>
      <c r="F18355">
        <v>695787</v>
      </c>
      <c r="G18355">
        <v>695828</v>
      </c>
      <c r="H18355">
        <v>695614</v>
      </c>
      <c r="I18355">
        <v>695680</v>
      </c>
    </row>
    <row r="18356" spans="1:9" x14ac:dyDescent="0.2">
      <c r="A18356" s="1" t="str">
        <f>"TMEM81"</f>
        <v>TMEM81</v>
      </c>
      <c r="B18356" t="s">
        <v>1728</v>
      </c>
      <c r="C18356" t="s">
        <v>19</v>
      </c>
      <c r="D18356" t="s">
        <v>11</v>
      </c>
      <c r="E18356" t="s">
        <v>20</v>
      </c>
      <c r="F18356">
        <v>205053644</v>
      </c>
      <c r="G18356">
        <v>205053644</v>
      </c>
      <c r="H18356">
        <v>205053644</v>
      </c>
      <c r="I18356">
        <v>205053644</v>
      </c>
    </row>
    <row r="18357" spans="1:9" x14ac:dyDescent="0.2">
      <c r="A18357" s="1" t="str">
        <f>"TMEM82"</f>
        <v>TMEM82</v>
      </c>
      <c r="B18357" t="s">
        <v>14</v>
      </c>
      <c r="C18357" t="s">
        <v>19</v>
      </c>
      <c r="D18357" t="s">
        <v>17</v>
      </c>
      <c r="E18357" t="s">
        <v>12</v>
      </c>
      <c r="F18357">
        <v>16068987</v>
      </c>
      <c r="G18357">
        <v>16069031</v>
      </c>
      <c r="H18357">
        <v>16069036</v>
      </c>
      <c r="I18357">
        <v>16069054</v>
      </c>
    </row>
    <row r="18358" spans="1:9" x14ac:dyDescent="0.2">
      <c r="A18358" s="1" t="str">
        <f>"TMEM86A"</f>
        <v>TMEM86A</v>
      </c>
      <c r="B18358" t="s">
        <v>14</v>
      </c>
      <c r="C18358" t="s">
        <v>27</v>
      </c>
      <c r="D18358" t="s">
        <v>17</v>
      </c>
      <c r="E18358" t="s">
        <v>12</v>
      </c>
      <c r="F18358">
        <v>18720316</v>
      </c>
      <c r="G18358">
        <v>18720334</v>
      </c>
      <c r="H18358">
        <v>18720276</v>
      </c>
      <c r="I18358">
        <v>18720304</v>
      </c>
    </row>
    <row r="18359" spans="1:9" x14ac:dyDescent="0.2">
      <c r="A18359" s="1" t="str">
        <f>"TMEM86B"</f>
        <v>TMEM86B</v>
      </c>
      <c r="B18359" t="s">
        <v>14</v>
      </c>
      <c r="C18359" t="s">
        <v>10</v>
      </c>
      <c r="D18359" t="s">
        <v>11</v>
      </c>
      <c r="E18359" t="s">
        <v>12</v>
      </c>
      <c r="F18359">
        <v>55740115</v>
      </c>
      <c r="G18359">
        <v>55740155</v>
      </c>
      <c r="H18359">
        <v>55740211</v>
      </c>
      <c r="I18359">
        <v>55740224</v>
      </c>
    </row>
    <row r="18360" spans="1:9" x14ac:dyDescent="0.2">
      <c r="A18360" s="1" t="str">
        <f>"TMEM87A"</f>
        <v>TMEM87A</v>
      </c>
      <c r="B18360" t="s">
        <v>14</v>
      </c>
      <c r="C18360" t="s">
        <v>25</v>
      </c>
      <c r="D18360" t="s">
        <v>11</v>
      </c>
      <c r="E18360" t="s">
        <v>12</v>
      </c>
      <c r="F18360">
        <v>42565606</v>
      </c>
      <c r="G18360">
        <v>42565649</v>
      </c>
      <c r="H18360">
        <v>42565652</v>
      </c>
      <c r="I18360">
        <v>42565663</v>
      </c>
    </row>
    <row r="18361" spans="1:9" x14ac:dyDescent="0.2">
      <c r="A18361" s="1" t="str">
        <f>"TMEM87B"</f>
        <v>TMEM87B</v>
      </c>
      <c r="B18361" t="s">
        <v>14</v>
      </c>
      <c r="C18361" t="s">
        <v>26</v>
      </c>
      <c r="D18361" t="s">
        <v>17</v>
      </c>
      <c r="E18361" t="s">
        <v>12</v>
      </c>
      <c r="F18361">
        <v>112812863</v>
      </c>
      <c r="G18361">
        <v>112812949</v>
      </c>
      <c r="H18361">
        <v>112813134</v>
      </c>
      <c r="I18361">
        <v>112813167</v>
      </c>
    </row>
    <row r="18362" spans="1:9" x14ac:dyDescent="0.2">
      <c r="A18362" s="1" t="str">
        <f>"TMEM88"</f>
        <v>TMEM88</v>
      </c>
      <c r="B18362" t="s">
        <v>14</v>
      </c>
      <c r="C18362" t="s">
        <v>28</v>
      </c>
      <c r="D18362" t="s">
        <v>17</v>
      </c>
      <c r="E18362" t="s">
        <v>12</v>
      </c>
      <c r="F18362">
        <v>7758374</v>
      </c>
      <c r="G18362">
        <v>7758390</v>
      </c>
      <c r="H18362">
        <v>7758037</v>
      </c>
      <c r="I18362">
        <v>7758050</v>
      </c>
    </row>
    <row r="18363" spans="1:9" x14ac:dyDescent="0.2">
      <c r="A18363" s="1" t="str">
        <f>"TMEM88B"</f>
        <v>TMEM88B</v>
      </c>
      <c r="B18363" t="s">
        <v>14</v>
      </c>
      <c r="C18363" t="s">
        <v>19</v>
      </c>
      <c r="D18363" t="s">
        <v>17</v>
      </c>
      <c r="E18363" t="s">
        <v>12</v>
      </c>
      <c r="F18363">
        <v>1361245</v>
      </c>
      <c r="G18363">
        <v>1361298</v>
      </c>
      <c r="H18363">
        <v>1361448</v>
      </c>
      <c r="I18363">
        <v>1361475</v>
      </c>
    </row>
    <row r="18364" spans="1:9" x14ac:dyDescent="0.2">
      <c r="A18364" s="1" t="str">
        <f>"TMEM89"</f>
        <v>TMEM89</v>
      </c>
      <c r="B18364" t="s">
        <v>14</v>
      </c>
      <c r="C18364" t="s">
        <v>22</v>
      </c>
      <c r="D18364" t="s">
        <v>11</v>
      </c>
      <c r="E18364" t="s">
        <v>12</v>
      </c>
      <c r="F18364">
        <v>48659193</v>
      </c>
      <c r="G18364">
        <v>48659207</v>
      </c>
      <c r="H18364">
        <v>48659173</v>
      </c>
      <c r="I18364">
        <v>48659184</v>
      </c>
    </row>
    <row r="18365" spans="1:9" x14ac:dyDescent="0.2">
      <c r="A18365" s="1" t="str">
        <f>"TMEM8A"</f>
        <v>TMEM8A</v>
      </c>
      <c r="B18365" t="s">
        <v>14</v>
      </c>
      <c r="C18365" t="s">
        <v>31</v>
      </c>
      <c r="D18365" t="s">
        <v>11</v>
      </c>
      <c r="E18365" t="s">
        <v>12</v>
      </c>
      <c r="F18365">
        <v>431936</v>
      </c>
      <c r="G18365">
        <v>431995</v>
      </c>
      <c r="H18365">
        <v>431905</v>
      </c>
      <c r="I18365">
        <v>431932</v>
      </c>
    </row>
    <row r="18366" spans="1:9" x14ac:dyDescent="0.2">
      <c r="A18366" s="1" t="str">
        <f>"TMEM8B"</f>
        <v>TMEM8B</v>
      </c>
      <c r="B18366" t="s">
        <v>14</v>
      </c>
      <c r="C18366" t="s">
        <v>24</v>
      </c>
      <c r="D18366" t="s">
        <v>17</v>
      </c>
      <c r="E18366" t="s">
        <v>12</v>
      </c>
      <c r="F18366">
        <v>35829208</v>
      </c>
      <c r="G18366">
        <v>35829308</v>
      </c>
      <c r="H18366">
        <v>35829479</v>
      </c>
      <c r="I18366">
        <v>35829537</v>
      </c>
    </row>
    <row r="18367" spans="1:9" x14ac:dyDescent="0.2">
      <c r="A18367" s="1" t="str">
        <f>"TMEM8C"</f>
        <v>TMEM8C</v>
      </c>
      <c r="B18367" t="s">
        <v>9</v>
      </c>
      <c r="C18367" t="s">
        <v>24</v>
      </c>
      <c r="D18367" t="s">
        <v>11</v>
      </c>
      <c r="E18367" t="s">
        <v>12</v>
      </c>
      <c r="F18367">
        <v>136390071</v>
      </c>
      <c r="G18367">
        <v>136390087</v>
      </c>
      <c r="H18367">
        <v>136390071</v>
      </c>
      <c r="I18367">
        <v>136390087</v>
      </c>
    </row>
    <row r="18368" spans="1:9" x14ac:dyDescent="0.2">
      <c r="A18368" s="1" t="str">
        <f>"TMEM8C"</f>
        <v>TMEM8C</v>
      </c>
      <c r="B18368" t="s">
        <v>13</v>
      </c>
      <c r="C18368" t="s">
        <v>24</v>
      </c>
      <c r="D18368" t="s">
        <v>11</v>
      </c>
      <c r="E18368" t="s">
        <v>12</v>
      </c>
      <c r="F18368">
        <v>136393741</v>
      </c>
      <c r="G18368">
        <v>136393748</v>
      </c>
      <c r="H18368">
        <v>136393741</v>
      </c>
      <c r="I18368">
        <v>136393748</v>
      </c>
    </row>
    <row r="18369" spans="1:9" x14ac:dyDescent="0.2">
      <c r="A18369" s="1" t="str">
        <f>"TMEM9"</f>
        <v>TMEM9</v>
      </c>
      <c r="B18369" t="s">
        <v>14</v>
      </c>
      <c r="C18369" t="s">
        <v>19</v>
      </c>
      <c r="D18369" t="s">
        <v>11</v>
      </c>
      <c r="E18369" t="s">
        <v>12</v>
      </c>
      <c r="F18369">
        <v>201123586</v>
      </c>
      <c r="G18369">
        <v>201123637</v>
      </c>
      <c r="H18369">
        <v>201123388</v>
      </c>
      <c r="I18369">
        <v>201123410</v>
      </c>
    </row>
    <row r="18370" spans="1:9" x14ac:dyDescent="0.2">
      <c r="A18370" s="1" t="str">
        <f>"TMEM91"</f>
        <v>TMEM91</v>
      </c>
      <c r="B18370" t="s">
        <v>9</v>
      </c>
      <c r="C18370" t="s">
        <v>10</v>
      </c>
      <c r="D18370" t="s">
        <v>17</v>
      </c>
      <c r="E18370" t="s">
        <v>12</v>
      </c>
      <c r="F18370">
        <v>41869836</v>
      </c>
      <c r="G18370">
        <v>41869887</v>
      </c>
      <c r="H18370">
        <v>41869836</v>
      </c>
      <c r="I18370">
        <v>41869887</v>
      </c>
    </row>
    <row r="18371" spans="1:9" x14ac:dyDescent="0.2">
      <c r="A18371" s="1" t="str">
        <f>"TMEM91"</f>
        <v>TMEM91</v>
      </c>
      <c r="B18371" t="s">
        <v>13</v>
      </c>
      <c r="C18371" t="s">
        <v>10</v>
      </c>
      <c r="D18371" t="s">
        <v>17</v>
      </c>
      <c r="E18371" t="s">
        <v>12</v>
      </c>
      <c r="F18371">
        <v>41882404</v>
      </c>
      <c r="G18371">
        <v>41882445</v>
      </c>
      <c r="H18371">
        <v>41882404</v>
      </c>
      <c r="I18371">
        <v>41882445</v>
      </c>
    </row>
    <row r="18372" spans="1:9" x14ac:dyDescent="0.2">
      <c r="A18372" s="1" t="str">
        <f>"TMEM92"</f>
        <v>TMEM92</v>
      </c>
      <c r="B18372" t="s">
        <v>14</v>
      </c>
      <c r="C18372" t="s">
        <v>28</v>
      </c>
      <c r="D18372" t="s">
        <v>17</v>
      </c>
      <c r="E18372" t="s">
        <v>12</v>
      </c>
      <c r="F18372">
        <v>48351809</v>
      </c>
      <c r="G18372">
        <v>48351870</v>
      </c>
      <c r="H18372">
        <v>48351785</v>
      </c>
      <c r="I18372">
        <v>48351790</v>
      </c>
    </row>
    <row r="18373" spans="1:9" x14ac:dyDescent="0.2">
      <c r="A18373" s="1" t="str">
        <f>"TMEM95"</f>
        <v>TMEM95</v>
      </c>
      <c r="B18373" t="s">
        <v>14</v>
      </c>
      <c r="C18373" t="s">
        <v>28</v>
      </c>
      <c r="D18373" t="s">
        <v>17</v>
      </c>
      <c r="E18373" t="s">
        <v>12</v>
      </c>
      <c r="F18373">
        <v>7258470</v>
      </c>
      <c r="G18373">
        <v>7258485</v>
      </c>
      <c r="H18373">
        <v>7258470</v>
      </c>
      <c r="I18373">
        <v>7258485</v>
      </c>
    </row>
    <row r="18374" spans="1:9" x14ac:dyDescent="0.2">
      <c r="A18374" s="1" t="str">
        <f>"TMEM97"</f>
        <v>TMEM97</v>
      </c>
      <c r="B18374" t="s">
        <v>14</v>
      </c>
      <c r="C18374" t="s">
        <v>28</v>
      </c>
      <c r="D18374" t="s">
        <v>17</v>
      </c>
      <c r="E18374" t="s">
        <v>12</v>
      </c>
      <c r="F18374">
        <v>26646175</v>
      </c>
      <c r="G18374">
        <v>26646241</v>
      </c>
      <c r="H18374">
        <v>26646122</v>
      </c>
      <c r="I18374">
        <v>26646133</v>
      </c>
    </row>
    <row r="18375" spans="1:9" x14ac:dyDescent="0.2">
      <c r="A18375" s="1" t="str">
        <f>"TMEM98"</f>
        <v>TMEM98</v>
      </c>
      <c r="B18375" t="s">
        <v>14</v>
      </c>
      <c r="C18375" t="s">
        <v>28</v>
      </c>
      <c r="D18375" t="s">
        <v>17</v>
      </c>
      <c r="E18375" t="s">
        <v>12</v>
      </c>
      <c r="F18375">
        <v>31255165</v>
      </c>
      <c r="G18375">
        <v>31255228</v>
      </c>
      <c r="H18375">
        <v>31255023</v>
      </c>
      <c r="I18375">
        <v>31255079</v>
      </c>
    </row>
    <row r="18376" spans="1:9" x14ac:dyDescent="0.2">
      <c r="A18376" s="1" t="str">
        <f>"TMEM99"</f>
        <v>TMEM99</v>
      </c>
      <c r="B18376" t="s">
        <v>14</v>
      </c>
      <c r="C18376" t="s">
        <v>28</v>
      </c>
      <c r="D18376" t="s">
        <v>17</v>
      </c>
      <c r="E18376" t="s">
        <v>12</v>
      </c>
      <c r="F18376">
        <v>38975365</v>
      </c>
      <c r="G18376">
        <v>38975409</v>
      </c>
      <c r="H18376">
        <v>38975423</v>
      </c>
      <c r="I18376">
        <v>38975442</v>
      </c>
    </row>
    <row r="18377" spans="1:9" x14ac:dyDescent="0.2">
      <c r="A18377" s="1" t="str">
        <f>"TMEM9B"</f>
        <v>TMEM9B</v>
      </c>
      <c r="B18377" t="s">
        <v>14</v>
      </c>
      <c r="C18377" t="s">
        <v>27</v>
      </c>
      <c r="D18377" t="s">
        <v>11</v>
      </c>
      <c r="E18377" t="s">
        <v>12</v>
      </c>
      <c r="F18377">
        <v>8985927</v>
      </c>
      <c r="G18377">
        <v>8986008</v>
      </c>
      <c r="H18377">
        <v>8986474</v>
      </c>
      <c r="I18377">
        <v>8986521</v>
      </c>
    </row>
    <row r="18378" spans="1:9" x14ac:dyDescent="0.2">
      <c r="A18378" s="1" t="str">
        <f>"TMF1"</f>
        <v>TMF1</v>
      </c>
      <c r="B18378" t="s">
        <v>14</v>
      </c>
      <c r="C18378" t="s">
        <v>22</v>
      </c>
      <c r="D18378" t="s">
        <v>11</v>
      </c>
      <c r="E18378" t="s">
        <v>12</v>
      </c>
      <c r="F18378">
        <v>69101413</v>
      </c>
      <c r="G18378">
        <v>69101457</v>
      </c>
      <c r="H18378">
        <v>69101461</v>
      </c>
      <c r="I18378">
        <v>69101494</v>
      </c>
    </row>
    <row r="18379" spans="1:9" x14ac:dyDescent="0.2">
      <c r="A18379" s="1" t="str">
        <f>"TMIE"</f>
        <v>TMIE</v>
      </c>
      <c r="B18379" t="s">
        <v>14</v>
      </c>
      <c r="C18379" t="s">
        <v>22</v>
      </c>
      <c r="D18379" t="s">
        <v>17</v>
      </c>
      <c r="E18379" t="s">
        <v>12</v>
      </c>
      <c r="F18379">
        <v>46742782</v>
      </c>
      <c r="G18379">
        <v>46742807</v>
      </c>
      <c r="H18379">
        <v>46742816</v>
      </c>
      <c r="I18379">
        <v>46742848</v>
      </c>
    </row>
    <row r="18380" spans="1:9" x14ac:dyDescent="0.2">
      <c r="A18380" s="1" t="str">
        <f>"TMIGD1"</f>
        <v>TMIGD1</v>
      </c>
      <c r="B18380" t="s">
        <v>14</v>
      </c>
      <c r="C18380" t="s">
        <v>28</v>
      </c>
      <c r="D18380" t="s">
        <v>11</v>
      </c>
      <c r="E18380" t="s">
        <v>12</v>
      </c>
      <c r="F18380">
        <v>28661068</v>
      </c>
      <c r="G18380">
        <v>28661080</v>
      </c>
      <c r="H18380">
        <v>28661068</v>
      </c>
      <c r="I18380">
        <v>28661080</v>
      </c>
    </row>
    <row r="18381" spans="1:9" x14ac:dyDescent="0.2">
      <c r="A18381" s="1" t="str">
        <f>"TMIGD2"</f>
        <v>TMIGD2</v>
      </c>
      <c r="B18381" t="s">
        <v>14</v>
      </c>
      <c r="C18381" t="s">
        <v>10</v>
      </c>
      <c r="D18381" t="s">
        <v>11</v>
      </c>
      <c r="E18381" t="s">
        <v>12</v>
      </c>
      <c r="F18381">
        <v>4302375</v>
      </c>
      <c r="G18381">
        <v>4302406</v>
      </c>
      <c r="H18381">
        <v>4302364</v>
      </c>
      <c r="I18381">
        <v>4302369</v>
      </c>
    </row>
    <row r="18382" spans="1:9" x14ac:dyDescent="0.2">
      <c r="A18382" s="1" t="str">
        <f>"TMLHE"</f>
        <v>TMLHE</v>
      </c>
      <c r="B18382" t="s">
        <v>14</v>
      </c>
      <c r="C18382" t="s">
        <v>37</v>
      </c>
      <c r="D18382" t="s">
        <v>11</v>
      </c>
      <c r="E18382" t="s">
        <v>12</v>
      </c>
      <c r="F18382">
        <v>154842546</v>
      </c>
      <c r="G18382">
        <v>154842588</v>
      </c>
      <c r="H18382">
        <v>154842589</v>
      </c>
      <c r="I18382">
        <v>154842631</v>
      </c>
    </row>
    <row r="18383" spans="1:9" x14ac:dyDescent="0.2">
      <c r="A18383" s="1" t="str">
        <f>"TMOD1"</f>
        <v>TMOD1</v>
      </c>
      <c r="B18383" t="s">
        <v>14</v>
      </c>
      <c r="C18383" t="s">
        <v>24</v>
      </c>
      <c r="D18383" t="s">
        <v>17</v>
      </c>
      <c r="E18383" t="s">
        <v>12</v>
      </c>
      <c r="F18383">
        <v>100263912</v>
      </c>
      <c r="G18383">
        <v>100263988</v>
      </c>
      <c r="H18383">
        <v>100263992</v>
      </c>
      <c r="I18383">
        <v>100264003</v>
      </c>
    </row>
    <row r="18384" spans="1:9" x14ac:dyDescent="0.2">
      <c r="A18384" s="1" t="str">
        <f>"TMOD2"</f>
        <v>TMOD2</v>
      </c>
      <c r="B18384" t="s">
        <v>14</v>
      </c>
      <c r="C18384" t="s">
        <v>25</v>
      </c>
      <c r="D18384" t="s">
        <v>17</v>
      </c>
      <c r="E18384" t="s">
        <v>12</v>
      </c>
      <c r="F18384">
        <v>52043784</v>
      </c>
      <c r="G18384">
        <v>52043809</v>
      </c>
      <c r="H18384">
        <v>52043813</v>
      </c>
      <c r="I18384">
        <v>52043859</v>
      </c>
    </row>
    <row r="18385" spans="1:9" x14ac:dyDescent="0.2">
      <c r="A18385" s="1" t="str">
        <f>"TMOD3"</f>
        <v>TMOD3</v>
      </c>
      <c r="B18385" t="s">
        <v>14</v>
      </c>
      <c r="C18385" t="s">
        <v>25</v>
      </c>
      <c r="D18385" t="s">
        <v>17</v>
      </c>
      <c r="E18385" t="s">
        <v>12</v>
      </c>
      <c r="F18385">
        <v>52121841</v>
      </c>
      <c r="G18385">
        <v>52121892</v>
      </c>
      <c r="H18385">
        <v>52121893</v>
      </c>
      <c r="I18385">
        <v>52121929</v>
      </c>
    </row>
    <row r="18386" spans="1:9" x14ac:dyDescent="0.2">
      <c r="A18386" s="1" t="str">
        <f>"TMOD4"</f>
        <v>TMOD4</v>
      </c>
      <c r="B18386" t="s">
        <v>14</v>
      </c>
      <c r="C18386" t="s">
        <v>19</v>
      </c>
      <c r="D18386" t="s">
        <v>11</v>
      </c>
      <c r="E18386" t="s">
        <v>12</v>
      </c>
      <c r="F18386">
        <v>151148442</v>
      </c>
      <c r="G18386">
        <v>151148469</v>
      </c>
      <c r="H18386">
        <v>151148497</v>
      </c>
      <c r="I18386">
        <v>151148512</v>
      </c>
    </row>
    <row r="18387" spans="1:9" x14ac:dyDescent="0.2">
      <c r="A18387" s="1" t="str">
        <f>"TMPO"</f>
        <v>TMPO</v>
      </c>
      <c r="B18387" t="s">
        <v>14</v>
      </c>
      <c r="C18387" t="s">
        <v>16</v>
      </c>
      <c r="D18387" t="s">
        <v>17</v>
      </c>
      <c r="E18387" t="s">
        <v>12</v>
      </c>
      <c r="F18387">
        <v>98909351</v>
      </c>
      <c r="G18387">
        <v>98909454</v>
      </c>
      <c r="H18387">
        <v>98909460</v>
      </c>
      <c r="I18387">
        <v>98909474</v>
      </c>
    </row>
    <row r="18388" spans="1:9" x14ac:dyDescent="0.2">
      <c r="A18388" s="1" t="str">
        <f>"TMPPE"</f>
        <v>TMPPE</v>
      </c>
      <c r="B18388" t="s">
        <v>14</v>
      </c>
      <c r="C18388" t="s">
        <v>22</v>
      </c>
      <c r="D18388" t="s">
        <v>11</v>
      </c>
      <c r="E18388" t="s">
        <v>12</v>
      </c>
      <c r="F18388">
        <v>33138286</v>
      </c>
      <c r="G18388">
        <v>33138319</v>
      </c>
      <c r="H18388">
        <v>33138286</v>
      </c>
      <c r="I18388">
        <v>33138319</v>
      </c>
    </row>
    <row r="18389" spans="1:9" x14ac:dyDescent="0.2">
      <c r="A18389" s="1" t="str">
        <f>"TMPRSS11A"</f>
        <v>TMPRSS11A</v>
      </c>
      <c r="B18389" t="s">
        <v>14</v>
      </c>
      <c r="C18389" t="s">
        <v>23</v>
      </c>
      <c r="D18389" t="s">
        <v>11</v>
      </c>
      <c r="E18389" t="s">
        <v>12</v>
      </c>
      <c r="F18389">
        <v>68829159</v>
      </c>
      <c r="G18389">
        <v>68829224</v>
      </c>
      <c r="H18389">
        <v>68829248</v>
      </c>
      <c r="I18389">
        <v>68829263</v>
      </c>
    </row>
    <row r="18390" spans="1:9" x14ac:dyDescent="0.2">
      <c r="A18390" s="1" t="str">
        <f>"TMPRSS11B"</f>
        <v>TMPRSS11B</v>
      </c>
      <c r="B18390" t="s">
        <v>14</v>
      </c>
      <c r="C18390" t="s">
        <v>23</v>
      </c>
      <c r="D18390" t="s">
        <v>11</v>
      </c>
      <c r="E18390" t="s">
        <v>12</v>
      </c>
      <c r="F18390">
        <v>69111401</v>
      </c>
      <c r="G18390">
        <v>69111418</v>
      </c>
      <c r="H18390">
        <v>69111401</v>
      </c>
      <c r="I18390">
        <v>69111418</v>
      </c>
    </row>
    <row r="18391" spans="1:9" x14ac:dyDescent="0.2">
      <c r="A18391" s="1" t="str">
        <f>"TMPRSS11BNL"</f>
        <v>TMPRSS11BNL</v>
      </c>
      <c r="B18391" t="s">
        <v>14</v>
      </c>
      <c r="C18391" t="s">
        <v>23</v>
      </c>
      <c r="D18391" t="s">
        <v>11</v>
      </c>
      <c r="E18391" t="s">
        <v>12</v>
      </c>
      <c r="F18391">
        <v>69083801</v>
      </c>
      <c r="G18391">
        <v>69083830</v>
      </c>
      <c r="H18391">
        <v>69083801</v>
      </c>
      <c r="I18391">
        <v>69083830</v>
      </c>
    </row>
    <row r="18392" spans="1:9" x14ac:dyDescent="0.2">
      <c r="A18392" s="1" t="str">
        <f>"TMPRSS11D"</f>
        <v>TMPRSS11D</v>
      </c>
      <c r="B18392" t="s">
        <v>14</v>
      </c>
      <c r="C18392" t="s">
        <v>23</v>
      </c>
      <c r="D18392" t="s">
        <v>11</v>
      </c>
      <c r="E18392" t="s">
        <v>12</v>
      </c>
      <c r="F18392">
        <v>68749705</v>
      </c>
      <c r="G18392">
        <v>68749725</v>
      </c>
      <c r="H18392">
        <v>68749745</v>
      </c>
      <c r="I18392">
        <v>68749756</v>
      </c>
    </row>
    <row r="18393" spans="1:9" x14ac:dyDescent="0.2">
      <c r="A18393" s="1" t="str">
        <f>"TMPRSS11E"</f>
        <v>TMPRSS11E</v>
      </c>
      <c r="B18393" t="s">
        <v>14</v>
      </c>
      <c r="C18393" t="s">
        <v>23</v>
      </c>
      <c r="D18393" t="s">
        <v>17</v>
      </c>
      <c r="E18393" t="s">
        <v>12</v>
      </c>
      <c r="F18393">
        <v>69313171</v>
      </c>
      <c r="G18393">
        <v>69313194</v>
      </c>
      <c r="H18393">
        <v>69313145</v>
      </c>
      <c r="I18393">
        <v>69313164</v>
      </c>
    </row>
    <row r="18394" spans="1:9" x14ac:dyDescent="0.2">
      <c r="A18394" s="1" t="str">
        <f>"TMPRSS11F"</f>
        <v>TMPRSS11F</v>
      </c>
      <c r="B18394" t="s">
        <v>14</v>
      </c>
      <c r="C18394" t="s">
        <v>23</v>
      </c>
      <c r="D18394" t="s">
        <v>11</v>
      </c>
      <c r="E18394" t="s">
        <v>12</v>
      </c>
      <c r="F18394">
        <v>68995571</v>
      </c>
      <c r="G18394">
        <v>68995593</v>
      </c>
      <c r="H18394">
        <v>68995564</v>
      </c>
      <c r="I18394">
        <v>68995567</v>
      </c>
    </row>
    <row r="18395" spans="1:9" x14ac:dyDescent="0.2">
      <c r="A18395" s="1" t="str">
        <f>"TMPRSS12"</f>
        <v>TMPRSS12</v>
      </c>
      <c r="B18395" t="s">
        <v>14</v>
      </c>
      <c r="C18395" t="s">
        <v>16</v>
      </c>
      <c r="D18395" t="s">
        <v>17</v>
      </c>
      <c r="E18395" t="s">
        <v>12</v>
      </c>
      <c r="F18395">
        <v>51236703</v>
      </c>
      <c r="G18395">
        <v>51236734</v>
      </c>
      <c r="H18395">
        <v>51236743</v>
      </c>
      <c r="I18395">
        <v>51236745</v>
      </c>
    </row>
    <row r="18396" spans="1:9" x14ac:dyDescent="0.2">
      <c r="A18396" s="1" t="str">
        <f>"TMPRSS13"</f>
        <v>TMPRSS13</v>
      </c>
      <c r="B18396" t="s">
        <v>14</v>
      </c>
      <c r="C18396" t="s">
        <v>27</v>
      </c>
      <c r="D18396" t="s">
        <v>11</v>
      </c>
      <c r="E18396" t="s">
        <v>12</v>
      </c>
      <c r="F18396">
        <v>117800095</v>
      </c>
      <c r="G18396">
        <v>117800134</v>
      </c>
      <c r="H18396">
        <v>117800144</v>
      </c>
      <c r="I18396">
        <v>117800153</v>
      </c>
    </row>
    <row r="18397" spans="1:9" x14ac:dyDescent="0.2">
      <c r="A18397" s="1" t="str">
        <f>"TMPRSS15"</f>
        <v>TMPRSS15</v>
      </c>
      <c r="B18397" t="s">
        <v>14</v>
      </c>
      <c r="C18397" t="s">
        <v>42</v>
      </c>
      <c r="D18397" t="s">
        <v>11</v>
      </c>
      <c r="E18397" t="s">
        <v>12</v>
      </c>
      <c r="F18397">
        <v>19776071</v>
      </c>
      <c r="G18397">
        <v>19776107</v>
      </c>
      <c r="H18397">
        <v>19776071</v>
      </c>
      <c r="I18397">
        <v>19776107</v>
      </c>
    </row>
    <row r="18398" spans="1:9" x14ac:dyDescent="0.2">
      <c r="A18398" s="1" t="str">
        <f>"TMPRSS2"</f>
        <v>TMPRSS2</v>
      </c>
      <c r="B18398" t="s">
        <v>14</v>
      </c>
      <c r="C18398" t="s">
        <v>42</v>
      </c>
      <c r="D18398" t="s">
        <v>11</v>
      </c>
      <c r="E18398" t="s">
        <v>12</v>
      </c>
      <c r="F18398">
        <v>42880075</v>
      </c>
      <c r="G18398">
        <v>42880092</v>
      </c>
      <c r="H18398">
        <v>42880002</v>
      </c>
      <c r="I18398">
        <v>42880042</v>
      </c>
    </row>
    <row r="18399" spans="1:9" x14ac:dyDescent="0.2">
      <c r="A18399" s="1" t="str">
        <f>"TMPRSS3"</f>
        <v>TMPRSS3</v>
      </c>
      <c r="B18399" t="s">
        <v>14</v>
      </c>
      <c r="C18399" t="s">
        <v>42</v>
      </c>
      <c r="D18399" t="s">
        <v>11</v>
      </c>
      <c r="E18399" t="s">
        <v>12</v>
      </c>
      <c r="F18399">
        <v>43816152</v>
      </c>
      <c r="G18399">
        <v>43816182</v>
      </c>
      <c r="H18399">
        <v>43816124</v>
      </c>
      <c r="I18399">
        <v>43816151</v>
      </c>
    </row>
    <row r="18400" spans="1:9" x14ac:dyDescent="0.2">
      <c r="A18400" s="1" t="str">
        <f>"TMPRSS4"</f>
        <v>TMPRSS4</v>
      </c>
      <c r="B18400" t="s">
        <v>14</v>
      </c>
      <c r="C18400" t="s">
        <v>27</v>
      </c>
      <c r="D18400" t="s">
        <v>17</v>
      </c>
      <c r="E18400" t="s">
        <v>12</v>
      </c>
      <c r="F18400">
        <v>117947782</v>
      </c>
      <c r="G18400">
        <v>117947799</v>
      </c>
      <c r="H18400">
        <v>117947724</v>
      </c>
      <c r="I18400">
        <v>117947735</v>
      </c>
    </row>
    <row r="18401" spans="1:9" x14ac:dyDescent="0.2">
      <c r="A18401" s="1" t="str">
        <f>"TMPRSS5"</f>
        <v>TMPRSS5</v>
      </c>
      <c r="B18401" t="s">
        <v>14</v>
      </c>
      <c r="C18401" t="s">
        <v>27</v>
      </c>
      <c r="D18401" t="s">
        <v>11</v>
      </c>
      <c r="E18401" t="s">
        <v>12</v>
      </c>
      <c r="F18401">
        <v>113577014</v>
      </c>
      <c r="G18401">
        <v>113577048</v>
      </c>
      <c r="H18401">
        <v>113577052</v>
      </c>
      <c r="I18401">
        <v>113577078</v>
      </c>
    </row>
    <row r="18402" spans="1:9" x14ac:dyDescent="0.2">
      <c r="A18402" s="1" t="str">
        <f>"TMPRSS6"</f>
        <v>TMPRSS6</v>
      </c>
      <c r="B18402" t="s">
        <v>14</v>
      </c>
      <c r="C18402" t="s">
        <v>21</v>
      </c>
      <c r="D18402" t="s">
        <v>11</v>
      </c>
      <c r="E18402" t="s">
        <v>12</v>
      </c>
      <c r="F18402">
        <v>37505742</v>
      </c>
      <c r="G18402">
        <v>37505761</v>
      </c>
      <c r="H18402">
        <v>37505588</v>
      </c>
      <c r="I18402">
        <v>37505607</v>
      </c>
    </row>
    <row r="18403" spans="1:9" x14ac:dyDescent="0.2">
      <c r="A18403" s="1" t="str">
        <f>"TMPRSS7"</f>
        <v>TMPRSS7</v>
      </c>
      <c r="B18403" t="s">
        <v>14</v>
      </c>
      <c r="C18403" t="s">
        <v>22</v>
      </c>
      <c r="D18403" t="s">
        <v>17</v>
      </c>
      <c r="E18403" t="s">
        <v>12</v>
      </c>
      <c r="F18403">
        <v>111761800</v>
      </c>
      <c r="G18403">
        <v>111761807</v>
      </c>
      <c r="H18403">
        <v>111761800</v>
      </c>
      <c r="I18403">
        <v>111761807</v>
      </c>
    </row>
    <row r="18404" spans="1:9" x14ac:dyDescent="0.2">
      <c r="A18404" s="1" t="str">
        <f>"TMPRSS9"</f>
        <v>TMPRSS9</v>
      </c>
      <c r="B18404" t="s">
        <v>1729</v>
      </c>
      <c r="C18404" t="s">
        <v>10</v>
      </c>
      <c r="D18404" t="s">
        <v>17</v>
      </c>
      <c r="E18404" t="s">
        <v>20</v>
      </c>
      <c r="F18404">
        <v>2389783</v>
      </c>
      <c r="G18404">
        <v>2389783</v>
      </c>
      <c r="H18404">
        <v>2389783</v>
      </c>
      <c r="I18404">
        <v>2389783</v>
      </c>
    </row>
    <row r="18405" spans="1:9" x14ac:dyDescent="0.2">
      <c r="A18405" s="1" t="str">
        <f>"TMSB10"</f>
        <v>TMSB10</v>
      </c>
      <c r="B18405" t="s">
        <v>14</v>
      </c>
      <c r="C18405" t="s">
        <v>26</v>
      </c>
      <c r="D18405" t="s">
        <v>17</v>
      </c>
      <c r="E18405" t="s">
        <v>12</v>
      </c>
      <c r="F18405">
        <v>85132768</v>
      </c>
      <c r="G18405">
        <v>85132788</v>
      </c>
      <c r="H18405">
        <v>85133146</v>
      </c>
      <c r="I18405">
        <v>85133181</v>
      </c>
    </row>
    <row r="18406" spans="1:9" x14ac:dyDescent="0.2">
      <c r="A18406" s="1" t="str">
        <f>"TMSB15A"</f>
        <v>TMSB15A</v>
      </c>
      <c r="B18406" t="s">
        <v>14</v>
      </c>
      <c r="C18406" t="s">
        <v>37</v>
      </c>
      <c r="D18406" t="s">
        <v>11</v>
      </c>
      <c r="E18406" t="s">
        <v>12</v>
      </c>
      <c r="F18406">
        <v>101771645</v>
      </c>
      <c r="G18406">
        <v>101771712</v>
      </c>
      <c r="H18406">
        <v>101771631</v>
      </c>
      <c r="I18406">
        <v>101771638</v>
      </c>
    </row>
    <row r="18407" spans="1:9" x14ac:dyDescent="0.2">
      <c r="A18407" s="1" t="str">
        <f>"TMSB15B"</f>
        <v>TMSB15B</v>
      </c>
      <c r="B18407" t="s">
        <v>1730</v>
      </c>
      <c r="C18407" t="s">
        <v>37</v>
      </c>
      <c r="D18407" t="s">
        <v>17</v>
      </c>
      <c r="E18407" t="s">
        <v>35</v>
      </c>
      <c r="F18407">
        <v>103173397</v>
      </c>
      <c r="G18407">
        <v>103173427</v>
      </c>
      <c r="H18407">
        <v>103173457</v>
      </c>
      <c r="I18407">
        <v>103173484</v>
      </c>
    </row>
    <row r="18408" spans="1:9" x14ac:dyDescent="0.2">
      <c r="A18408" s="1" t="str">
        <f>"TMSB15B"</f>
        <v>TMSB15B</v>
      </c>
      <c r="B18408" t="s">
        <v>1731</v>
      </c>
      <c r="C18408" t="s">
        <v>37</v>
      </c>
      <c r="D18408" t="s">
        <v>17</v>
      </c>
      <c r="E18408" t="s">
        <v>35</v>
      </c>
      <c r="F18408">
        <v>103217185</v>
      </c>
      <c r="G18408">
        <v>103217205</v>
      </c>
      <c r="H18408">
        <v>103217253</v>
      </c>
      <c r="I18408">
        <v>103217259</v>
      </c>
    </row>
    <row r="18409" spans="1:9" x14ac:dyDescent="0.2">
      <c r="A18409" s="1" t="str">
        <f>"TMSB4X"</f>
        <v>TMSB4X</v>
      </c>
      <c r="B18409" t="s">
        <v>9</v>
      </c>
      <c r="C18409" t="s">
        <v>37</v>
      </c>
      <c r="D18409" t="s">
        <v>17</v>
      </c>
      <c r="E18409" t="s">
        <v>12</v>
      </c>
      <c r="F18409">
        <v>12993202</v>
      </c>
      <c r="G18409">
        <v>12993239</v>
      </c>
      <c r="H18409">
        <v>12993202</v>
      </c>
      <c r="I18409">
        <v>12993239</v>
      </c>
    </row>
    <row r="18410" spans="1:9" x14ac:dyDescent="0.2">
      <c r="A18410" s="1" t="str">
        <f>"TMSB4X"</f>
        <v>TMSB4X</v>
      </c>
      <c r="B18410" t="s">
        <v>13</v>
      </c>
      <c r="C18410" t="s">
        <v>37</v>
      </c>
      <c r="D18410" t="s">
        <v>17</v>
      </c>
      <c r="E18410" t="s">
        <v>12</v>
      </c>
      <c r="F18410">
        <v>12994281</v>
      </c>
      <c r="G18410">
        <v>12994313</v>
      </c>
      <c r="H18410">
        <v>12994281</v>
      </c>
      <c r="I18410">
        <v>12994313</v>
      </c>
    </row>
    <row r="18411" spans="1:9" x14ac:dyDescent="0.2">
      <c r="A18411" s="1" t="str">
        <f>"TMSB4Y"</f>
        <v>TMSB4Y</v>
      </c>
      <c r="B18411" t="s">
        <v>14</v>
      </c>
      <c r="C18411" t="s">
        <v>63</v>
      </c>
      <c r="D18411" t="s">
        <v>17</v>
      </c>
      <c r="E18411" t="s">
        <v>12</v>
      </c>
      <c r="F18411">
        <v>15815773</v>
      </c>
      <c r="G18411">
        <v>15815792</v>
      </c>
      <c r="H18411">
        <v>15816124</v>
      </c>
      <c r="I18411">
        <v>15816139</v>
      </c>
    </row>
    <row r="18412" spans="1:9" x14ac:dyDescent="0.2">
      <c r="A18412" s="1" t="str">
        <f>"TMTC1"</f>
        <v>TMTC1</v>
      </c>
      <c r="B18412" t="s">
        <v>14</v>
      </c>
      <c r="C18412" t="s">
        <v>16</v>
      </c>
      <c r="D18412" t="s">
        <v>11</v>
      </c>
      <c r="E18412" t="s">
        <v>12</v>
      </c>
      <c r="F18412">
        <v>29936836</v>
      </c>
      <c r="G18412">
        <v>29936881</v>
      </c>
      <c r="H18412">
        <v>29936792</v>
      </c>
      <c r="I18412">
        <v>29936801</v>
      </c>
    </row>
    <row r="18413" spans="1:9" x14ac:dyDescent="0.2">
      <c r="A18413" s="1" t="str">
        <f>"TMTC2"</f>
        <v>TMTC2</v>
      </c>
      <c r="B18413" t="s">
        <v>14</v>
      </c>
      <c r="C18413" t="s">
        <v>16</v>
      </c>
      <c r="D18413" t="s">
        <v>17</v>
      </c>
      <c r="E18413" t="s">
        <v>12</v>
      </c>
      <c r="F18413">
        <v>83080900</v>
      </c>
      <c r="G18413">
        <v>83080942</v>
      </c>
      <c r="H18413">
        <v>83080669</v>
      </c>
      <c r="I18413">
        <v>83080693</v>
      </c>
    </row>
    <row r="18414" spans="1:9" x14ac:dyDescent="0.2">
      <c r="A18414" s="1" t="str">
        <f>"TMTC3"</f>
        <v>TMTC3</v>
      </c>
      <c r="B18414" t="s">
        <v>14</v>
      </c>
      <c r="C18414" t="s">
        <v>16</v>
      </c>
      <c r="D18414" t="s">
        <v>17</v>
      </c>
      <c r="E18414" t="s">
        <v>12</v>
      </c>
      <c r="F18414">
        <v>88536067</v>
      </c>
      <c r="G18414">
        <v>88536100</v>
      </c>
      <c r="H18414">
        <v>88536101</v>
      </c>
      <c r="I18414">
        <v>88536159</v>
      </c>
    </row>
    <row r="18415" spans="1:9" x14ac:dyDescent="0.2">
      <c r="A18415" s="1" t="str">
        <f>"TMTC4"</f>
        <v>TMTC4</v>
      </c>
      <c r="B18415" t="s">
        <v>14</v>
      </c>
      <c r="C18415" t="s">
        <v>39</v>
      </c>
      <c r="D18415" t="s">
        <v>11</v>
      </c>
      <c r="E18415" t="s">
        <v>12</v>
      </c>
      <c r="F18415">
        <v>101327034</v>
      </c>
      <c r="G18415">
        <v>101327089</v>
      </c>
      <c r="H18415">
        <v>101327034</v>
      </c>
      <c r="I18415">
        <v>101327089</v>
      </c>
    </row>
    <row r="18416" spans="1:9" x14ac:dyDescent="0.2">
      <c r="A18416" s="1" t="str">
        <f>"TMUB1"</f>
        <v>TMUB1</v>
      </c>
      <c r="B18416" t="s">
        <v>14</v>
      </c>
      <c r="C18416" t="s">
        <v>33</v>
      </c>
      <c r="D18416" t="s">
        <v>11</v>
      </c>
      <c r="E18416" t="s">
        <v>12</v>
      </c>
      <c r="F18416">
        <v>150780545</v>
      </c>
      <c r="G18416">
        <v>150780597</v>
      </c>
      <c r="H18416">
        <v>150780073</v>
      </c>
      <c r="I18416">
        <v>150780112</v>
      </c>
    </row>
    <row r="18417" spans="1:9" x14ac:dyDescent="0.2">
      <c r="A18417" s="1" t="str">
        <f>"TMUB2"</f>
        <v>TMUB2</v>
      </c>
      <c r="B18417" t="s">
        <v>14</v>
      </c>
      <c r="C18417" t="s">
        <v>28</v>
      </c>
      <c r="D18417" t="s">
        <v>17</v>
      </c>
      <c r="E18417" t="s">
        <v>12</v>
      </c>
      <c r="F18417">
        <v>42264556</v>
      </c>
      <c r="G18417">
        <v>42264649</v>
      </c>
      <c r="H18417">
        <v>42264322</v>
      </c>
      <c r="I18417">
        <v>42264376</v>
      </c>
    </row>
    <row r="18418" spans="1:9" x14ac:dyDescent="0.2">
      <c r="A18418" s="1" t="str">
        <f>"TMX1"</f>
        <v>TMX1</v>
      </c>
      <c r="B18418" t="s">
        <v>14</v>
      </c>
      <c r="C18418" t="s">
        <v>41</v>
      </c>
      <c r="D18418" t="s">
        <v>17</v>
      </c>
      <c r="E18418" t="s">
        <v>12</v>
      </c>
      <c r="F18418">
        <v>51706923</v>
      </c>
      <c r="G18418">
        <v>51707006</v>
      </c>
      <c r="H18418">
        <v>51706923</v>
      </c>
      <c r="I18418">
        <v>51707006</v>
      </c>
    </row>
    <row r="18419" spans="1:9" x14ac:dyDescent="0.2">
      <c r="A18419" s="1" t="str">
        <f>"TMX2"</f>
        <v>TMX2</v>
      </c>
      <c r="B18419" t="s">
        <v>14</v>
      </c>
      <c r="C18419" t="s">
        <v>27</v>
      </c>
      <c r="D18419" t="s">
        <v>17</v>
      </c>
      <c r="E18419" t="s">
        <v>12</v>
      </c>
      <c r="F18419">
        <v>57480046</v>
      </c>
      <c r="G18419">
        <v>57480092</v>
      </c>
      <c r="H18419">
        <v>57479813</v>
      </c>
      <c r="I18419">
        <v>57479852</v>
      </c>
    </row>
    <row r="18420" spans="1:9" x14ac:dyDescent="0.2">
      <c r="A18420" s="1" t="str">
        <f>"TMX3"</f>
        <v>TMX3</v>
      </c>
      <c r="B18420" t="s">
        <v>14</v>
      </c>
      <c r="C18420" t="s">
        <v>43</v>
      </c>
      <c r="D18420" t="s">
        <v>11</v>
      </c>
      <c r="E18420" t="s">
        <v>12</v>
      </c>
      <c r="F18420">
        <v>66382289</v>
      </c>
      <c r="G18420">
        <v>66382376</v>
      </c>
      <c r="H18420">
        <v>66382231</v>
      </c>
      <c r="I18420">
        <v>66382279</v>
      </c>
    </row>
    <row r="18421" spans="1:9" x14ac:dyDescent="0.2">
      <c r="A18421" s="1" t="str">
        <f>"TMX4"</f>
        <v>TMX4</v>
      </c>
      <c r="B18421" t="s">
        <v>14</v>
      </c>
      <c r="C18421" t="s">
        <v>29</v>
      </c>
      <c r="D18421" t="s">
        <v>11</v>
      </c>
      <c r="E18421" t="s">
        <v>12</v>
      </c>
      <c r="F18421">
        <v>8000391</v>
      </c>
      <c r="G18421">
        <v>8000420</v>
      </c>
      <c r="H18421">
        <v>8000426</v>
      </c>
      <c r="I18421">
        <v>8000471</v>
      </c>
    </row>
    <row r="18422" spans="1:9" x14ac:dyDescent="0.2">
      <c r="A18422" s="1" t="str">
        <f>"TNC"</f>
        <v>TNC</v>
      </c>
      <c r="B18422" t="s">
        <v>14</v>
      </c>
      <c r="C18422" t="s">
        <v>24</v>
      </c>
      <c r="D18422" t="s">
        <v>11</v>
      </c>
      <c r="E18422" t="s">
        <v>12</v>
      </c>
      <c r="F18422">
        <v>117880424</v>
      </c>
      <c r="G18422">
        <v>117880443</v>
      </c>
      <c r="H18422">
        <v>117880477</v>
      </c>
      <c r="I18422">
        <v>117880491</v>
      </c>
    </row>
    <row r="18423" spans="1:9" x14ac:dyDescent="0.2">
      <c r="A18423" s="1" t="str">
        <f>"TNF"</f>
        <v>TNF</v>
      </c>
      <c r="B18423" t="s">
        <v>14</v>
      </c>
      <c r="C18423" t="s">
        <v>32</v>
      </c>
      <c r="D18423" t="s">
        <v>17</v>
      </c>
      <c r="E18423" t="s">
        <v>12</v>
      </c>
      <c r="F18423">
        <v>31543334</v>
      </c>
      <c r="G18423">
        <v>31543351</v>
      </c>
      <c r="H18423">
        <v>31543334</v>
      </c>
      <c r="I18423">
        <v>31543351</v>
      </c>
    </row>
    <row r="18424" spans="1:9" x14ac:dyDescent="0.2">
      <c r="A18424" s="1" t="str">
        <f>"TNFAIP1"</f>
        <v>TNFAIP1</v>
      </c>
      <c r="B18424" t="s">
        <v>14</v>
      </c>
      <c r="C18424" t="s">
        <v>28</v>
      </c>
      <c r="D18424" t="s">
        <v>17</v>
      </c>
      <c r="E18424" t="s">
        <v>12</v>
      </c>
      <c r="F18424">
        <v>26662732</v>
      </c>
      <c r="G18424">
        <v>26662844</v>
      </c>
      <c r="H18424">
        <v>26662597</v>
      </c>
      <c r="I18424">
        <v>26662626</v>
      </c>
    </row>
    <row r="18425" spans="1:9" x14ac:dyDescent="0.2">
      <c r="A18425" s="1" t="str">
        <f>"TNFAIP2"</f>
        <v>TNFAIP2</v>
      </c>
      <c r="B18425" t="s">
        <v>14</v>
      </c>
      <c r="C18425" t="s">
        <v>41</v>
      </c>
      <c r="D18425" t="s">
        <v>17</v>
      </c>
      <c r="E18425" t="s">
        <v>12</v>
      </c>
      <c r="F18425">
        <v>103589789</v>
      </c>
      <c r="G18425">
        <v>103589804</v>
      </c>
      <c r="H18425">
        <v>103589789</v>
      </c>
      <c r="I18425">
        <v>103589804</v>
      </c>
    </row>
    <row r="18426" spans="1:9" x14ac:dyDescent="0.2">
      <c r="A18426" s="1" t="str">
        <f>"TNFAIP3"</f>
        <v>TNFAIP3</v>
      </c>
      <c r="B18426" t="s">
        <v>14</v>
      </c>
      <c r="C18426" t="s">
        <v>32</v>
      </c>
      <c r="D18426" t="s">
        <v>17</v>
      </c>
      <c r="E18426" t="s">
        <v>12</v>
      </c>
      <c r="F18426">
        <v>138188378</v>
      </c>
      <c r="G18426">
        <v>138188415</v>
      </c>
      <c r="H18426">
        <v>138188358</v>
      </c>
      <c r="I18426">
        <v>138188371</v>
      </c>
    </row>
    <row r="18427" spans="1:9" x14ac:dyDescent="0.2">
      <c r="A18427" s="1" t="str">
        <f>"TNFAIP6"</f>
        <v>TNFAIP6</v>
      </c>
      <c r="B18427" t="s">
        <v>14</v>
      </c>
      <c r="C18427" t="s">
        <v>26</v>
      </c>
      <c r="D18427" t="s">
        <v>17</v>
      </c>
      <c r="E18427" t="s">
        <v>12</v>
      </c>
      <c r="F18427">
        <v>152214098</v>
      </c>
      <c r="G18427">
        <v>152214115</v>
      </c>
      <c r="H18427">
        <v>152214098</v>
      </c>
      <c r="I18427">
        <v>152214115</v>
      </c>
    </row>
    <row r="18428" spans="1:9" x14ac:dyDescent="0.2">
      <c r="A18428" s="1" t="str">
        <f>"TNFAIP8"</f>
        <v>TNFAIP8</v>
      </c>
      <c r="B18428" t="s">
        <v>14</v>
      </c>
      <c r="C18428" t="s">
        <v>46</v>
      </c>
      <c r="D18428" t="s">
        <v>17</v>
      </c>
      <c r="E18428" t="s">
        <v>12</v>
      </c>
      <c r="F18428">
        <v>118604439</v>
      </c>
      <c r="G18428">
        <v>118604502</v>
      </c>
      <c r="H18428">
        <v>118604439</v>
      </c>
      <c r="I18428">
        <v>118604502</v>
      </c>
    </row>
    <row r="18429" spans="1:9" x14ac:dyDescent="0.2">
      <c r="A18429" s="1" t="str">
        <f>"TNFAIP8L1"</f>
        <v>TNFAIP8L1</v>
      </c>
      <c r="B18429" t="s">
        <v>14</v>
      </c>
      <c r="C18429" t="s">
        <v>10</v>
      </c>
      <c r="D18429" t="s">
        <v>17</v>
      </c>
      <c r="E18429" t="s">
        <v>12</v>
      </c>
      <c r="F18429">
        <v>4639514</v>
      </c>
      <c r="G18429">
        <v>4639575</v>
      </c>
      <c r="H18429">
        <v>4639579</v>
      </c>
      <c r="I18429">
        <v>4639589</v>
      </c>
    </row>
    <row r="18430" spans="1:9" x14ac:dyDescent="0.2">
      <c r="A18430" s="1" t="str">
        <f>"TNFAIP8L2"</f>
        <v>TNFAIP8L2</v>
      </c>
      <c r="B18430" t="s">
        <v>14</v>
      </c>
      <c r="C18430" t="s">
        <v>19</v>
      </c>
      <c r="D18430" t="s">
        <v>17</v>
      </c>
      <c r="E18430" t="s">
        <v>12</v>
      </c>
      <c r="F18430">
        <v>151129135</v>
      </c>
      <c r="G18430">
        <v>151129165</v>
      </c>
      <c r="H18430">
        <v>151129103</v>
      </c>
      <c r="I18430">
        <v>151129130</v>
      </c>
    </row>
    <row r="18431" spans="1:9" x14ac:dyDescent="0.2">
      <c r="A18431" s="1" t="str">
        <f>"TNFAIP8L3"</f>
        <v>TNFAIP8L3</v>
      </c>
      <c r="B18431" t="s">
        <v>14</v>
      </c>
      <c r="C18431" t="s">
        <v>25</v>
      </c>
      <c r="D18431" t="s">
        <v>11</v>
      </c>
      <c r="E18431" t="s">
        <v>12</v>
      </c>
      <c r="F18431">
        <v>51386999</v>
      </c>
      <c r="G18431">
        <v>51387039</v>
      </c>
      <c r="H18431">
        <v>51387094</v>
      </c>
      <c r="I18431">
        <v>51387110</v>
      </c>
    </row>
    <row r="18432" spans="1:9" x14ac:dyDescent="0.2">
      <c r="A18432" s="1" t="str">
        <f>"TNFRSF10A"</f>
        <v>TNFRSF10A</v>
      </c>
      <c r="B18432" t="s">
        <v>14</v>
      </c>
      <c r="C18432" t="s">
        <v>30</v>
      </c>
      <c r="D18432" t="s">
        <v>11</v>
      </c>
      <c r="E18432" t="s">
        <v>12</v>
      </c>
      <c r="F18432">
        <v>23082580</v>
      </c>
      <c r="G18432">
        <v>23082657</v>
      </c>
      <c r="H18432">
        <v>23082897</v>
      </c>
      <c r="I18432">
        <v>23082963</v>
      </c>
    </row>
    <row r="18433" spans="1:9" x14ac:dyDescent="0.2">
      <c r="A18433" s="1" t="str">
        <f>"TNFRSF10B"</f>
        <v>TNFRSF10B</v>
      </c>
      <c r="B18433" t="s">
        <v>14</v>
      </c>
      <c r="C18433" t="s">
        <v>30</v>
      </c>
      <c r="D18433" t="s">
        <v>11</v>
      </c>
      <c r="E18433" t="s">
        <v>12</v>
      </c>
      <c r="F18433">
        <v>22926526</v>
      </c>
      <c r="G18433">
        <v>22926554</v>
      </c>
      <c r="H18433">
        <v>22926497</v>
      </c>
      <c r="I18433">
        <v>22926512</v>
      </c>
    </row>
    <row r="18434" spans="1:9" x14ac:dyDescent="0.2">
      <c r="A18434" s="1" t="str">
        <f>"TNFRSF10C"</f>
        <v>TNFRSF10C</v>
      </c>
      <c r="B18434" t="s">
        <v>9</v>
      </c>
      <c r="C18434" t="s">
        <v>30</v>
      </c>
      <c r="D18434" t="s">
        <v>17</v>
      </c>
      <c r="E18434" t="s">
        <v>12</v>
      </c>
      <c r="F18434">
        <v>22960426</v>
      </c>
      <c r="G18434">
        <v>22960442</v>
      </c>
      <c r="H18434">
        <v>22960426</v>
      </c>
      <c r="I18434">
        <v>22960442</v>
      </c>
    </row>
    <row r="18435" spans="1:9" x14ac:dyDescent="0.2">
      <c r="A18435" s="1" t="str">
        <f>"TNFRSF10C"</f>
        <v>TNFRSF10C</v>
      </c>
      <c r="B18435" t="s">
        <v>13</v>
      </c>
      <c r="C18435" t="s">
        <v>30</v>
      </c>
      <c r="D18435" t="s">
        <v>17</v>
      </c>
      <c r="E18435" t="s">
        <v>12</v>
      </c>
      <c r="F18435">
        <v>22941897</v>
      </c>
      <c r="G18435">
        <v>22941933</v>
      </c>
      <c r="H18435">
        <v>22941897</v>
      </c>
      <c r="I18435">
        <v>22941933</v>
      </c>
    </row>
    <row r="18436" spans="1:9" x14ac:dyDescent="0.2">
      <c r="A18436" s="1" t="str">
        <f>"TNFRSF10D"</f>
        <v>TNFRSF10D</v>
      </c>
      <c r="B18436" t="s">
        <v>14</v>
      </c>
      <c r="C18436" t="s">
        <v>30</v>
      </c>
      <c r="D18436" t="s">
        <v>11</v>
      </c>
      <c r="E18436" t="s">
        <v>12</v>
      </c>
      <c r="F18436">
        <v>23021533</v>
      </c>
      <c r="G18436">
        <v>23021549</v>
      </c>
      <c r="H18436">
        <v>23021669</v>
      </c>
      <c r="I18436">
        <v>23021702</v>
      </c>
    </row>
    <row r="18437" spans="1:9" x14ac:dyDescent="0.2">
      <c r="A18437" s="1" t="str">
        <f>"TNFRSF11A"</f>
        <v>TNFRSF11A</v>
      </c>
      <c r="B18437" t="s">
        <v>14</v>
      </c>
      <c r="C18437" t="s">
        <v>43</v>
      </c>
      <c r="D18437" t="s">
        <v>17</v>
      </c>
      <c r="E18437" t="s">
        <v>12</v>
      </c>
      <c r="F18437">
        <v>59992527</v>
      </c>
      <c r="G18437">
        <v>59992555</v>
      </c>
      <c r="H18437">
        <v>59992564</v>
      </c>
      <c r="I18437">
        <v>59992585</v>
      </c>
    </row>
    <row r="18438" spans="1:9" x14ac:dyDescent="0.2">
      <c r="A18438" s="1" t="str">
        <f>"TNFRSF11B"</f>
        <v>TNFRSF11B</v>
      </c>
      <c r="B18438" t="s">
        <v>14</v>
      </c>
      <c r="C18438" t="s">
        <v>30</v>
      </c>
      <c r="D18438" t="s">
        <v>11</v>
      </c>
      <c r="E18438" t="s">
        <v>12</v>
      </c>
      <c r="F18438">
        <v>119964115</v>
      </c>
      <c r="G18438">
        <v>119964132</v>
      </c>
      <c r="H18438">
        <v>119964168</v>
      </c>
      <c r="I18438">
        <v>119964179</v>
      </c>
    </row>
    <row r="18439" spans="1:9" x14ac:dyDescent="0.2">
      <c r="A18439" s="1" t="str">
        <f>"TNFRSF12A"</f>
        <v>TNFRSF12A</v>
      </c>
      <c r="B18439" t="s">
        <v>14</v>
      </c>
      <c r="C18439" t="s">
        <v>31</v>
      </c>
      <c r="D18439" t="s">
        <v>17</v>
      </c>
      <c r="E18439" t="s">
        <v>12</v>
      </c>
      <c r="F18439">
        <v>3070356</v>
      </c>
      <c r="G18439">
        <v>3070383</v>
      </c>
      <c r="H18439">
        <v>3070336</v>
      </c>
      <c r="I18439">
        <v>3070347</v>
      </c>
    </row>
    <row r="18440" spans="1:9" x14ac:dyDescent="0.2">
      <c r="A18440" s="1" t="str">
        <f>"TNFRSF13B"</f>
        <v>TNFRSF13B</v>
      </c>
      <c r="B18440" t="s">
        <v>14</v>
      </c>
      <c r="C18440" t="s">
        <v>28</v>
      </c>
      <c r="D18440" t="s">
        <v>11</v>
      </c>
      <c r="E18440" t="s">
        <v>12</v>
      </c>
      <c r="F18440">
        <v>16875371</v>
      </c>
      <c r="G18440">
        <v>16875447</v>
      </c>
      <c r="H18440">
        <v>16875371</v>
      </c>
      <c r="I18440">
        <v>16875447</v>
      </c>
    </row>
    <row r="18441" spans="1:9" x14ac:dyDescent="0.2">
      <c r="A18441" s="1" t="str">
        <f>"TNFRSF13C"</f>
        <v>TNFRSF13C</v>
      </c>
      <c r="B18441" t="s">
        <v>14</v>
      </c>
      <c r="C18441" t="s">
        <v>21</v>
      </c>
      <c r="D18441" t="s">
        <v>11</v>
      </c>
      <c r="E18441" t="s">
        <v>12</v>
      </c>
      <c r="F18441">
        <v>42322795</v>
      </c>
      <c r="G18441">
        <v>42322821</v>
      </c>
      <c r="H18441">
        <v>42322795</v>
      </c>
      <c r="I18441">
        <v>42322821</v>
      </c>
    </row>
    <row r="18442" spans="1:9" x14ac:dyDescent="0.2">
      <c r="A18442" s="1" t="str">
        <f>"TNFRSF14"</f>
        <v>TNFRSF14</v>
      </c>
      <c r="B18442" t="s">
        <v>14</v>
      </c>
      <c r="C18442" t="s">
        <v>19</v>
      </c>
      <c r="D18442" t="s">
        <v>17</v>
      </c>
      <c r="E18442" t="s">
        <v>12</v>
      </c>
      <c r="F18442">
        <v>2487990</v>
      </c>
      <c r="G18442">
        <v>2488033</v>
      </c>
      <c r="H18442">
        <v>2487800</v>
      </c>
      <c r="I18442">
        <v>2487845</v>
      </c>
    </row>
    <row r="18443" spans="1:9" x14ac:dyDescent="0.2">
      <c r="A18443" s="1" t="str">
        <f>"TNFRSF17"</f>
        <v>TNFRSF17</v>
      </c>
      <c r="B18443" t="s">
        <v>14</v>
      </c>
      <c r="C18443" t="s">
        <v>31</v>
      </c>
      <c r="D18443" t="s">
        <v>17</v>
      </c>
      <c r="E18443" t="s">
        <v>12</v>
      </c>
      <c r="F18443">
        <v>12059050</v>
      </c>
      <c r="G18443">
        <v>12059079</v>
      </c>
      <c r="H18443">
        <v>12059021</v>
      </c>
      <c r="I18443">
        <v>12059048</v>
      </c>
    </row>
    <row r="18444" spans="1:9" x14ac:dyDescent="0.2">
      <c r="A18444" s="1" t="str">
        <f>"TNFRSF18"</f>
        <v>TNFRSF18</v>
      </c>
      <c r="B18444" t="s">
        <v>14</v>
      </c>
      <c r="C18444" t="s">
        <v>19</v>
      </c>
      <c r="D18444" t="s">
        <v>11</v>
      </c>
      <c r="E18444" t="s">
        <v>12</v>
      </c>
      <c r="F18444">
        <v>1141927</v>
      </c>
      <c r="G18444">
        <v>1141985</v>
      </c>
      <c r="H18444">
        <v>1142184</v>
      </c>
      <c r="I18444">
        <v>1142194</v>
      </c>
    </row>
    <row r="18445" spans="1:9" x14ac:dyDescent="0.2">
      <c r="A18445" s="1" t="str">
        <f>"TNFRSF19"</f>
        <v>TNFRSF19</v>
      </c>
      <c r="B18445" t="s">
        <v>9</v>
      </c>
      <c r="C18445" t="s">
        <v>39</v>
      </c>
      <c r="D18445" t="s">
        <v>17</v>
      </c>
      <c r="E18445" t="s">
        <v>12</v>
      </c>
      <c r="F18445">
        <v>24153488</v>
      </c>
      <c r="G18445">
        <v>24153553</v>
      </c>
      <c r="H18445">
        <v>24153488</v>
      </c>
      <c r="I18445">
        <v>24153553</v>
      </c>
    </row>
    <row r="18446" spans="1:9" x14ac:dyDescent="0.2">
      <c r="A18446" s="1" t="str">
        <f>"TNFRSF19"</f>
        <v>TNFRSF19</v>
      </c>
      <c r="B18446" t="s">
        <v>13</v>
      </c>
      <c r="C18446" t="s">
        <v>39</v>
      </c>
      <c r="D18446" t="s">
        <v>17</v>
      </c>
      <c r="E18446" t="s">
        <v>12</v>
      </c>
      <c r="F18446">
        <v>24144532</v>
      </c>
      <c r="G18446">
        <v>24144589</v>
      </c>
      <c r="H18446">
        <v>24144532</v>
      </c>
      <c r="I18446">
        <v>24144589</v>
      </c>
    </row>
    <row r="18447" spans="1:9" x14ac:dyDescent="0.2">
      <c r="A18447" s="1" t="str">
        <f>"TNFRSF1A"</f>
        <v>TNFRSF1A</v>
      </c>
      <c r="B18447" t="s">
        <v>14</v>
      </c>
      <c r="C18447" t="s">
        <v>16</v>
      </c>
      <c r="D18447" t="s">
        <v>11</v>
      </c>
      <c r="E18447" t="s">
        <v>12</v>
      </c>
      <c r="F18447">
        <v>6451235</v>
      </c>
      <c r="G18447">
        <v>6451281</v>
      </c>
      <c r="H18447">
        <v>6451186</v>
      </c>
      <c r="I18447">
        <v>6451216</v>
      </c>
    </row>
    <row r="18448" spans="1:9" x14ac:dyDescent="0.2">
      <c r="A18448" s="1" t="str">
        <f>"TNFRSF1B"</f>
        <v>TNFRSF1B</v>
      </c>
      <c r="B18448" t="s">
        <v>9</v>
      </c>
      <c r="C18448" t="s">
        <v>19</v>
      </c>
      <c r="D18448" t="s">
        <v>17</v>
      </c>
      <c r="E18448" t="s">
        <v>12</v>
      </c>
      <c r="F18448">
        <v>12227035</v>
      </c>
      <c r="G18448">
        <v>12227058</v>
      </c>
      <c r="H18448">
        <v>12227035</v>
      </c>
      <c r="I18448">
        <v>12227058</v>
      </c>
    </row>
    <row r="18449" spans="1:9" x14ac:dyDescent="0.2">
      <c r="A18449" s="1" t="str">
        <f>"TNFRSF1B"</f>
        <v>TNFRSF1B</v>
      </c>
      <c r="B18449" t="s">
        <v>13</v>
      </c>
      <c r="C18449" t="s">
        <v>19</v>
      </c>
      <c r="D18449" t="s">
        <v>17</v>
      </c>
      <c r="E18449" t="s">
        <v>12</v>
      </c>
      <c r="F18449">
        <v>12248850</v>
      </c>
      <c r="G18449">
        <v>12248869</v>
      </c>
      <c r="H18449">
        <v>12248850</v>
      </c>
      <c r="I18449">
        <v>12248869</v>
      </c>
    </row>
    <row r="18450" spans="1:9" x14ac:dyDescent="0.2">
      <c r="A18450" s="1" t="str">
        <f>"TNFRSF21"</f>
        <v>TNFRSF21</v>
      </c>
      <c r="B18450" t="s">
        <v>14</v>
      </c>
      <c r="C18450" t="s">
        <v>32</v>
      </c>
      <c r="D18450" t="s">
        <v>11</v>
      </c>
      <c r="E18450" t="s">
        <v>12</v>
      </c>
      <c r="F18450">
        <v>47277634</v>
      </c>
      <c r="G18450">
        <v>47277651</v>
      </c>
      <c r="H18450">
        <v>47277662</v>
      </c>
      <c r="I18450">
        <v>47277691</v>
      </c>
    </row>
    <row r="18451" spans="1:9" x14ac:dyDescent="0.2">
      <c r="A18451" s="1" t="str">
        <f>"TNFRSF25"</f>
        <v>TNFRSF25</v>
      </c>
      <c r="B18451" t="s">
        <v>14</v>
      </c>
      <c r="C18451" t="s">
        <v>19</v>
      </c>
      <c r="D18451" t="s">
        <v>11</v>
      </c>
      <c r="E18451" t="s">
        <v>12</v>
      </c>
      <c r="F18451">
        <v>6526192</v>
      </c>
      <c r="G18451">
        <v>6526250</v>
      </c>
      <c r="H18451">
        <v>6526182</v>
      </c>
      <c r="I18451">
        <v>6526189</v>
      </c>
    </row>
    <row r="18452" spans="1:9" x14ac:dyDescent="0.2">
      <c r="A18452" s="1" t="str">
        <f>"TNFRSF4"</f>
        <v>TNFRSF4</v>
      </c>
      <c r="B18452" t="s">
        <v>14</v>
      </c>
      <c r="C18452" t="s">
        <v>19</v>
      </c>
      <c r="D18452" t="s">
        <v>11</v>
      </c>
      <c r="E18452" t="s">
        <v>12</v>
      </c>
      <c r="F18452">
        <v>1149526</v>
      </c>
      <c r="G18452">
        <v>1149539</v>
      </c>
      <c r="H18452">
        <v>1149506</v>
      </c>
      <c r="I18452">
        <v>1149515</v>
      </c>
    </row>
    <row r="18453" spans="1:9" x14ac:dyDescent="0.2">
      <c r="A18453" s="1" t="str">
        <f>"TNFRSF6B"</f>
        <v>TNFRSF6B</v>
      </c>
      <c r="B18453" t="s">
        <v>14</v>
      </c>
      <c r="C18453" t="s">
        <v>29</v>
      </c>
      <c r="D18453" t="s">
        <v>17</v>
      </c>
      <c r="E18453" t="s">
        <v>12</v>
      </c>
      <c r="F18453">
        <v>62327996</v>
      </c>
      <c r="G18453">
        <v>62328013</v>
      </c>
      <c r="H18453">
        <v>62327996</v>
      </c>
      <c r="I18453">
        <v>62328013</v>
      </c>
    </row>
    <row r="18454" spans="1:9" x14ac:dyDescent="0.2">
      <c r="A18454" s="1" t="str">
        <f>"TNFRSF8"</f>
        <v>TNFRSF8</v>
      </c>
      <c r="B18454" t="s">
        <v>14</v>
      </c>
      <c r="C18454" t="s">
        <v>19</v>
      </c>
      <c r="D18454" t="s">
        <v>17</v>
      </c>
      <c r="E18454" t="s">
        <v>12</v>
      </c>
      <c r="F18454">
        <v>12123343</v>
      </c>
      <c r="G18454">
        <v>12123367</v>
      </c>
      <c r="H18454">
        <v>12123379</v>
      </c>
      <c r="I18454">
        <v>12123405</v>
      </c>
    </row>
    <row r="18455" spans="1:9" x14ac:dyDescent="0.2">
      <c r="A18455" s="1" t="str">
        <f>"TNFRSF9"</f>
        <v>TNFRSF9</v>
      </c>
      <c r="B18455" t="s">
        <v>14</v>
      </c>
      <c r="C18455" t="s">
        <v>19</v>
      </c>
      <c r="D18455" t="s">
        <v>11</v>
      </c>
      <c r="E18455" t="s">
        <v>12</v>
      </c>
      <c r="F18455">
        <v>8000872</v>
      </c>
      <c r="G18455">
        <v>8000922</v>
      </c>
      <c r="H18455">
        <v>8000937</v>
      </c>
      <c r="I18455">
        <v>8000944</v>
      </c>
    </row>
    <row r="18456" spans="1:9" x14ac:dyDescent="0.2">
      <c r="A18456" s="1" t="str">
        <f>"TNFSF10"</f>
        <v>TNFSF10</v>
      </c>
      <c r="B18456" t="s">
        <v>14</v>
      </c>
      <c r="C18456" t="s">
        <v>22</v>
      </c>
      <c r="D18456" t="s">
        <v>11</v>
      </c>
      <c r="E18456" t="s">
        <v>12</v>
      </c>
      <c r="F18456">
        <v>172241213</v>
      </c>
      <c r="G18456">
        <v>172241228</v>
      </c>
      <c r="H18456">
        <v>172241250</v>
      </c>
      <c r="I18456">
        <v>172241274</v>
      </c>
    </row>
    <row r="18457" spans="1:9" x14ac:dyDescent="0.2">
      <c r="A18457" s="1" t="str">
        <f>"TNFSF11"</f>
        <v>TNFSF11</v>
      </c>
      <c r="B18457" t="s">
        <v>14</v>
      </c>
      <c r="C18457" t="s">
        <v>39</v>
      </c>
      <c r="D18457" t="s">
        <v>17</v>
      </c>
      <c r="E18457" t="s">
        <v>12</v>
      </c>
      <c r="F18457">
        <v>43148281</v>
      </c>
      <c r="G18457">
        <v>43148293</v>
      </c>
      <c r="H18457">
        <v>43148281</v>
      </c>
      <c r="I18457">
        <v>43148293</v>
      </c>
    </row>
    <row r="18458" spans="1:9" x14ac:dyDescent="0.2">
      <c r="A18458" s="1" t="str">
        <f>"TNFSF12"</f>
        <v>TNFSF12</v>
      </c>
      <c r="B18458" t="s">
        <v>14</v>
      </c>
      <c r="C18458" t="s">
        <v>28</v>
      </c>
      <c r="D18458" t="s">
        <v>17</v>
      </c>
      <c r="E18458" t="s">
        <v>12</v>
      </c>
      <c r="F18458">
        <v>7452336</v>
      </c>
      <c r="G18458">
        <v>7452421</v>
      </c>
      <c r="H18458">
        <v>7452442</v>
      </c>
      <c r="I18458">
        <v>7452465</v>
      </c>
    </row>
    <row r="18459" spans="1:9" x14ac:dyDescent="0.2">
      <c r="A18459" s="1" t="str">
        <f>"TNFSF12-TNFSF13"</f>
        <v>TNFSF12-TNFSF13</v>
      </c>
      <c r="B18459" t="s">
        <v>14</v>
      </c>
      <c r="C18459" t="s">
        <v>28</v>
      </c>
      <c r="D18459" t="s">
        <v>17</v>
      </c>
      <c r="E18459" t="s">
        <v>12</v>
      </c>
      <c r="F18459">
        <v>7452336</v>
      </c>
      <c r="G18459">
        <v>7452421</v>
      </c>
      <c r="H18459">
        <v>7452442</v>
      </c>
      <c r="I18459">
        <v>7452465</v>
      </c>
    </row>
    <row r="18460" spans="1:9" x14ac:dyDescent="0.2">
      <c r="A18460" s="1" t="str">
        <f>"TNFSF13"</f>
        <v>TNFSF13</v>
      </c>
      <c r="B18460" t="s">
        <v>14</v>
      </c>
      <c r="C18460" t="s">
        <v>28</v>
      </c>
      <c r="D18460" t="s">
        <v>17</v>
      </c>
      <c r="E18460" t="s">
        <v>12</v>
      </c>
      <c r="F18460">
        <v>7462297</v>
      </c>
      <c r="G18460">
        <v>7462342</v>
      </c>
      <c r="H18460">
        <v>7462031</v>
      </c>
      <c r="I18460">
        <v>7462086</v>
      </c>
    </row>
    <row r="18461" spans="1:9" x14ac:dyDescent="0.2">
      <c r="A18461" s="1" t="str">
        <f>"TNFSF13B"</f>
        <v>TNFSF13B</v>
      </c>
      <c r="B18461" t="s">
        <v>14</v>
      </c>
      <c r="C18461" t="s">
        <v>39</v>
      </c>
      <c r="D18461" t="s">
        <v>17</v>
      </c>
      <c r="E18461" t="s">
        <v>12</v>
      </c>
      <c r="F18461">
        <v>108922345</v>
      </c>
      <c r="G18461">
        <v>108922413</v>
      </c>
      <c r="H18461">
        <v>108922010</v>
      </c>
      <c r="I18461">
        <v>108922082</v>
      </c>
    </row>
    <row r="18462" spans="1:9" x14ac:dyDescent="0.2">
      <c r="A18462" s="1" t="str">
        <f>"TNFSF14"</f>
        <v>TNFSF14</v>
      </c>
      <c r="B18462" t="s">
        <v>14</v>
      </c>
      <c r="C18462" t="s">
        <v>10</v>
      </c>
      <c r="D18462" t="s">
        <v>11</v>
      </c>
      <c r="E18462" t="s">
        <v>12</v>
      </c>
      <c r="F18462">
        <v>6670162</v>
      </c>
      <c r="G18462">
        <v>6670181</v>
      </c>
      <c r="H18462">
        <v>6670086</v>
      </c>
      <c r="I18462">
        <v>6670107</v>
      </c>
    </row>
    <row r="18463" spans="1:9" x14ac:dyDescent="0.2">
      <c r="A18463" s="1" t="str">
        <f>"TNFSF15"</f>
        <v>TNFSF15</v>
      </c>
      <c r="B18463" t="s">
        <v>14</v>
      </c>
      <c r="C18463" t="s">
        <v>24</v>
      </c>
      <c r="D18463" t="s">
        <v>11</v>
      </c>
      <c r="E18463" t="s">
        <v>12</v>
      </c>
      <c r="F18463">
        <v>117568311</v>
      </c>
      <c r="G18463">
        <v>117568328</v>
      </c>
      <c r="H18463">
        <v>117568311</v>
      </c>
      <c r="I18463">
        <v>117568328</v>
      </c>
    </row>
    <row r="18464" spans="1:9" x14ac:dyDescent="0.2">
      <c r="A18464" s="1" t="str">
        <f>"TNFSF18"</f>
        <v>TNFSF18</v>
      </c>
      <c r="B18464" t="s">
        <v>14</v>
      </c>
      <c r="C18464" t="s">
        <v>19</v>
      </c>
      <c r="D18464" t="s">
        <v>11</v>
      </c>
      <c r="E18464" t="s">
        <v>12</v>
      </c>
      <c r="F18464">
        <v>173020072</v>
      </c>
      <c r="G18464">
        <v>173020086</v>
      </c>
      <c r="H18464">
        <v>173020072</v>
      </c>
      <c r="I18464">
        <v>173020086</v>
      </c>
    </row>
    <row r="18465" spans="1:9" x14ac:dyDescent="0.2">
      <c r="A18465" s="1" t="str">
        <f>"TNFSF4"</f>
        <v>TNFSF4</v>
      </c>
      <c r="B18465" t="s">
        <v>9</v>
      </c>
      <c r="C18465" t="s">
        <v>19</v>
      </c>
      <c r="D18465" t="s">
        <v>11</v>
      </c>
      <c r="E18465" t="s">
        <v>12</v>
      </c>
      <c r="F18465">
        <v>173176462</v>
      </c>
      <c r="G18465">
        <v>173176477</v>
      </c>
      <c r="H18465">
        <v>173176462</v>
      </c>
      <c r="I18465">
        <v>173176477</v>
      </c>
    </row>
    <row r="18466" spans="1:9" x14ac:dyDescent="0.2">
      <c r="A18466" s="1" t="str">
        <f>"TNFSF4"</f>
        <v>TNFSF4</v>
      </c>
      <c r="B18466" t="s">
        <v>13</v>
      </c>
      <c r="C18466" t="s">
        <v>19</v>
      </c>
      <c r="D18466" t="s">
        <v>11</v>
      </c>
      <c r="E18466" t="s">
        <v>12</v>
      </c>
      <c r="F18466">
        <v>173174759</v>
      </c>
      <c r="G18466">
        <v>173174799</v>
      </c>
      <c r="H18466">
        <v>173174759</v>
      </c>
      <c r="I18466">
        <v>173174799</v>
      </c>
    </row>
    <row r="18467" spans="1:9" x14ac:dyDescent="0.2">
      <c r="A18467" s="1" t="str">
        <f>"TNFSF8"</f>
        <v>TNFSF8</v>
      </c>
      <c r="B18467" t="s">
        <v>14</v>
      </c>
      <c r="C18467" t="s">
        <v>24</v>
      </c>
      <c r="D18467" t="s">
        <v>11</v>
      </c>
      <c r="E18467" t="s">
        <v>12</v>
      </c>
      <c r="F18467">
        <v>117692787</v>
      </c>
      <c r="G18467">
        <v>117692876</v>
      </c>
      <c r="H18467">
        <v>117692733</v>
      </c>
      <c r="I18467">
        <v>117692744</v>
      </c>
    </row>
    <row r="18468" spans="1:9" x14ac:dyDescent="0.2">
      <c r="A18468" s="1" t="str">
        <f>"TNFSF9"</f>
        <v>TNFSF9</v>
      </c>
      <c r="B18468" t="s">
        <v>14</v>
      </c>
      <c r="C18468" t="s">
        <v>10</v>
      </c>
      <c r="D18468" t="s">
        <v>17</v>
      </c>
      <c r="E18468" t="s">
        <v>12</v>
      </c>
      <c r="F18468">
        <v>6531019</v>
      </c>
      <c r="G18468">
        <v>6531045</v>
      </c>
      <c r="H18468">
        <v>6530980</v>
      </c>
      <c r="I18468">
        <v>6531001</v>
      </c>
    </row>
    <row r="18469" spans="1:9" x14ac:dyDescent="0.2">
      <c r="A18469" s="1" t="str">
        <f>"TNIK"</f>
        <v>TNIK</v>
      </c>
      <c r="B18469" t="s">
        <v>14</v>
      </c>
      <c r="C18469" t="s">
        <v>22</v>
      </c>
      <c r="D18469" t="s">
        <v>11</v>
      </c>
      <c r="E18469" t="s">
        <v>12</v>
      </c>
      <c r="F18469">
        <v>171178157</v>
      </c>
      <c r="G18469">
        <v>171178225</v>
      </c>
      <c r="H18469">
        <v>171178104</v>
      </c>
      <c r="I18469">
        <v>171178119</v>
      </c>
    </row>
    <row r="18470" spans="1:9" x14ac:dyDescent="0.2">
      <c r="A18470" s="1" t="str">
        <f>"TNIP1"</f>
        <v>TNIP1</v>
      </c>
      <c r="B18470" t="s">
        <v>9</v>
      </c>
      <c r="C18470" t="s">
        <v>46</v>
      </c>
      <c r="D18470" t="s">
        <v>11</v>
      </c>
      <c r="E18470" t="s">
        <v>12</v>
      </c>
      <c r="F18470">
        <v>150460539</v>
      </c>
      <c r="G18470">
        <v>150460640</v>
      </c>
      <c r="H18470">
        <v>150460539</v>
      </c>
      <c r="I18470">
        <v>150460640</v>
      </c>
    </row>
    <row r="18471" spans="1:9" x14ac:dyDescent="0.2">
      <c r="A18471" s="1" t="str">
        <f>"TNIP1"</f>
        <v>TNIP1</v>
      </c>
      <c r="B18471" t="s">
        <v>13</v>
      </c>
      <c r="C18471" t="s">
        <v>46</v>
      </c>
      <c r="D18471" t="s">
        <v>11</v>
      </c>
      <c r="E18471" t="s">
        <v>12</v>
      </c>
      <c r="F18471">
        <v>150466692</v>
      </c>
      <c r="G18471">
        <v>150466736</v>
      </c>
      <c r="H18471">
        <v>150466692</v>
      </c>
      <c r="I18471">
        <v>150466736</v>
      </c>
    </row>
    <row r="18472" spans="1:9" x14ac:dyDescent="0.2">
      <c r="A18472" s="1" t="str">
        <f>"TNIP2"</f>
        <v>TNIP2</v>
      </c>
      <c r="B18472" t="s">
        <v>14</v>
      </c>
      <c r="C18472" t="s">
        <v>23</v>
      </c>
      <c r="D18472" t="s">
        <v>11</v>
      </c>
      <c r="E18472" t="s">
        <v>12</v>
      </c>
      <c r="F18472">
        <v>2758015</v>
      </c>
      <c r="G18472">
        <v>2758133</v>
      </c>
      <c r="H18472">
        <v>2757745</v>
      </c>
      <c r="I18472">
        <v>2757756</v>
      </c>
    </row>
    <row r="18473" spans="1:9" x14ac:dyDescent="0.2">
      <c r="A18473" s="1" t="str">
        <f>"TNIP3"</f>
        <v>TNIP3</v>
      </c>
      <c r="B18473" t="s">
        <v>14</v>
      </c>
      <c r="C18473" t="s">
        <v>23</v>
      </c>
      <c r="D18473" t="s">
        <v>11</v>
      </c>
      <c r="E18473" t="s">
        <v>12</v>
      </c>
      <c r="F18473">
        <v>122085469</v>
      </c>
      <c r="G18473">
        <v>122085486</v>
      </c>
      <c r="H18473">
        <v>122085469</v>
      </c>
      <c r="I18473">
        <v>122085486</v>
      </c>
    </row>
    <row r="18474" spans="1:9" x14ac:dyDescent="0.2">
      <c r="A18474" s="1" t="str">
        <f>"TNK1"</f>
        <v>TNK1</v>
      </c>
      <c r="B18474" t="s">
        <v>14</v>
      </c>
      <c r="C18474" t="s">
        <v>28</v>
      </c>
      <c r="D18474" t="s">
        <v>17</v>
      </c>
      <c r="E18474" t="s">
        <v>12</v>
      </c>
      <c r="F18474">
        <v>7284402</v>
      </c>
      <c r="G18474">
        <v>7284414</v>
      </c>
      <c r="H18474">
        <v>7283855</v>
      </c>
      <c r="I18474">
        <v>7283879</v>
      </c>
    </row>
    <row r="18475" spans="1:9" x14ac:dyDescent="0.2">
      <c r="A18475" s="1" t="str">
        <f>"TNK2"</f>
        <v>TNK2</v>
      </c>
      <c r="B18475" t="s">
        <v>9</v>
      </c>
      <c r="C18475" t="s">
        <v>22</v>
      </c>
      <c r="D18475" t="s">
        <v>11</v>
      </c>
      <c r="E18475" t="s">
        <v>12</v>
      </c>
      <c r="F18475">
        <v>195603576</v>
      </c>
      <c r="G18475">
        <v>195603631</v>
      </c>
      <c r="H18475">
        <v>195603576</v>
      </c>
      <c r="I18475">
        <v>195603631</v>
      </c>
    </row>
    <row r="18476" spans="1:9" x14ac:dyDescent="0.2">
      <c r="A18476" s="1" t="str">
        <f>"TNK2"</f>
        <v>TNK2</v>
      </c>
      <c r="B18476" t="s">
        <v>13</v>
      </c>
      <c r="C18476" t="s">
        <v>22</v>
      </c>
      <c r="D18476" t="s">
        <v>11</v>
      </c>
      <c r="E18476" t="s">
        <v>12</v>
      </c>
      <c r="F18476">
        <v>195619579</v>
      </c>
      <c r="G18476">
        <v>195619630</v>
      </c>
      <c r="H18476">
        <v>195619579</v>
      </c>
      <c r="I18476">
        <v>195619630</v>
      </c>
    </row>
    <row r="18477" spans="1:9" x14ac:dyDescent="0.2">
      <c r="A18477" s="1" t="str">
        <f>"TNKS"</f>
        <v>TNKS</v>
      </c>
      <c r="B18477" t="s">
        <v>14</v>
      </c>
      <c r="C18477" t="s">
        <v>30</v>
      </c>
      <c r="D18477" t="s">
        <v>17</v>
      </c>
      <c r="E18477" t="s">
        <v>12</v>
      </c>
      <c r="F18477">
        <v>9413410</v>
      </c>
      <c r="G18477">
        <v>9413451</v>
      </c>
      <c r="H18477">
        <v>9413410</v>
      </c>
      <c r="I18477">
        <v>9413451</v>
      </c>
    </row>
    <row r="18478" spans="1:9" x14ac:dyDescent="0.2">
      <c r="A18478" s="1" t="str">
        <f>"TNKS1BP1"</f>
        <v>TNKS1BP1</v>
      </c>
      <c r="B18478" t="s">
        <v>9</v>
      </c>
      <c r="C18478" t="s">
        <v>27</v>
      </c>
      <c r="D18478" t="s">
        <v>11</v>
      </c>
      <c r="E18478" t="s">
        <v>12</v>
      </c>
      <c r="F18478">
        <v>57092381</v>
      </c>
      <c r="G18478">
        <v>57092433</v>
      </c>
      <c r="H18478">
        <v>57092381</v>
      </c>
      <c r="I18478">
        <v>57092433</v>
      </c>
    </row>
    <row r="18479" spans="1:9" x14ac:dyDescent="0.2">
      <c r="A18479" s="1" t="str">
        <f>"TNKS1BP1"</f>
        <v>TNKS1BP1</v>
      </c>
      <c r="B18479" t="s">
        <v>13</v>
      </c>
      <c r="C18479" t="s">
        <v>27</v>
      </c>
      <c r="D18479" t="s">
        <v>11</v>
      </c>
      <c r="E18479" t="s">
        <v>12</v>
      </c>
      <c r="F18479">
        <v>57089774</v>
      </c>
      <c r="G18479">
        <v>57089826</v>
      </c>
      <c r="H18479">
        <v>57089774</v>
      </c>
      <c r="I18479">
        <v>57089826</v>
      </c>
    </row>
    <row r="18480" spans="1:9" x14ac:dyDescent="0.2">
      <c r="A18480" s="1" t="str">
        <f>"TNKS2"</f>
        <v>TNKS2</v>
      </c>
      <c r="B18480" t="s">
        <v>14</v>
      </c>
      <c r="C18480" t="s">
        <v>15</v>
      </c>
      <c r="D18480" t="s">
        <v>17</v>
      </c>
      <c r="E18480" t="s">
        <v>12</v>
      </c>
      <c r="F18480">
        <v>93558160</v>
      </c>
      <c r="G18480">
        <v>93558234</v>
      </c>
      <c r="H18480">
        <v>93558113</v>
      </c>
      <c r="I18480">
        <v>93558154</v>
      </c>
    </row>
    <row r="18481" spans="1:9" x14ac:dyDescent="0.2">
      <c r="A18481" s="1" t="str">
        <f>"TNMD"</f>
        <v>TNMD</v>
      </c>
      <c r="B18481" t="s">
        <v>14</v>
      </c>
      <c r="C18481" t="s">
        <v>37</v>
      </c>
      <c r="D18481" t="s">
        <v>17</v>
      </c>
      <c r="E18481" t="s">
        <v>12</v>
      </c>
      <c r="F18481">
        <v>99839925</v>
      </c>
      <c r="G18481">
        <v>99839938</v>
      </c>
      <c r="H18481">
        <v>99839925</v>
      </c>
      <c r="I18481">
        <v>99839938</v>
      </c>
    </row>
    <row r="18482" spans="1:9" x14ac:dyDescent="0.2">
      <c r="A18482" s="1" t="str">
        <f>"TNN"</f>
        <v>TNN</v>
      </c>
      <c r="B18482" t="s">
        <v>14</v>
      </c>
      <c r="C18482" t="s">
        <v>19</v>
      </c>
      <c r="D18482" t="s">
        <v>17</v>
      </c>
      <c r="E18482" t="s">
        <v>12</v>
      </c>
      <c r="F18482">
        <v>175036966</v>
      </c>
      <c r="G18482">
        <v>175036974</v>
      </c>
      <c r="H18482">
        <v>175036966</v>
      </c>
      <c r="I18482">
        <v>175036974</v>
      </c>
    </row>
    <row r="18483" spans="1:9" x14ac:dyDescent="0.2">
      <c r="A18483" s="1" t="str">
        <f>"TNNC1"</f>
        <v>TNNC1</v>
      </c>
      <c r="B18483" t="s">
        <v>14</v>
      </c>
      <c r="C18483" t="s">
        <v>22</v>
      </c>
      <c r="D18483" t="s">
        <v>11</v>
      </c>
      <c r="E18483" t="s">
        <v>12</v>
      </c>
      <c r="F18483">
        <v>52488048</v>
      </c>
      <c r="G18483">
        <v>52488064</v>
      </c>
      <c r="H18483">
        <v>52488048</v>
      </c>
      <c r="I18483">
        <v>52488064</v>
      </c>
    </row>
    <row r="18484" spans="1:9" x14ac:dyDescent="0.2">
      <c r="A18484" s="1" t="str">
        <f>"TNNC2"</f>
        <v>TNNC2</v>
      </c>
      <c r="B18484" t="s">
        <v>14</v>
      </c>
      <c r="C18484" t="s">
        <v>29</v>
      </c>
      <c r="D18484" t="s">
        <v>11</v>
      </c>
      <c r="E18484" t="s">
        <v>12</v>
      </c>
      <c r="F18484">
        <v>44455938</v>
      </c>
      <c r="G18484">
        <v>44455959</v>
      </c>
      <c r="H18484">
        <v>44455976</v>
      </c>
      <c r="I18484">
        <v>44455986</v>
      </c>
    </row>
    <row r="18485" spans="1:9" x14ac:dyDescent="0.2">
      <c r="A18485" s="1" t="str">
        <f>"TNNI1"</f>
        <v>TNNI1</v>
      </c>
      <c r="B18485" t="s">
        <v>9</v>
      </c>
      <c r="C18485" t="s">
        <v>19</v>
      </c>
      <c r="D18485" t="s">
        <v>11</v>
      </c>
      <c r="E18485" t="s">
        <v>12</v>
      </c>
      <c r="F18485">
        <v>201390850</v>
      </c>
      <c r="G18485">
        <v>201390865</v>
      </c>
      <c r="H18485">
        <v>201390850</v>
      </c>
      <c r="I18485">
        <v>201390865</v>
      </c>
    </row>
    <row r="18486" spans="1:9" x14ac:dyDescent="0.2">
      <c r="A18486" s="1" t="str">
        <f>"TNNI1"</f>
        <v>TNNI1</v>
      </c>
      <c r="B18486" t="s">
        <v>13</v>
      </c>
      <c r="C18486" t="s">
        <v>19</v>
      </c>
      <c r="D18486" t="s">
        <v>11</v>
      </c>
      <c r="E18486" t="s">
        <v>12</v>
      </c>
      <c r="F18486">
        <v>201398985</v>
      </c>
      <c r="G18486">
        <v>201399000</v>
      </c>
      <c r="H18486">
        <v>201398985</v>
      </c>
      <c r="I18486">
        <v>201399000</v>
      </c>
    </row>
    <row r="18487" spans="1:9" x14ac:dyDescent="0.2">
      <c r="A18487" s="1" t="str">
        <f>"TNNI2"</f>
        <v>TNNI2</v>
      </c>
      <c r="B18487" t="s">
        <v>9</v>
      </c>
      <c r="C18487" t="s">
        <v>27</v>
      </c>
      <c r="D18487" t="s">
        <v>17</v>
      </c>
      <c r="E18487" t="s">
        <v>12</v>
      </c>
      <c r="F18487">
        <v>1860200</v>
      </c>
      <c r="G18487">
        <v>1860218</v>
      </c>
      <c r="H18487">
        <v>1860200</v>
      </c>
      <c r="I18487">
        <v>1860218</v>
      </c>
    </row>
    <row r="18488" spans="1:9" x14ac:dyDescent="0.2">
      <c r="A18488" s="1" t="str">
        <f>"TNNI2"</f>
        <v>TNNI2</v>
      </c>
      <c r="B18488" t="s">
        <v>13</v>
      </c>
      <c r="C18488" t="s">
        <v>27</v>
      </c>
      <c r="D18488" t="s">
        <v>17</v>
      </c>
      <c r="E18488" t="s">
        <v>12</v>
      </c>
      <c r="F18488">
        <v>1861399</v>
      </c>
      <c r="G18488">
        <v>1861466</v>
      </c>
      <c r="H18488">
        <v>1861399</v>
      </c>
      <c r="I18488">
        <v>1861466</v>
      </c>
    </row>
    <row r="18489" spans="1:9" x14ac:dyDescent="0.2">
      <c r="A18489" s="1" t="str">
        <f>"TNNI3"</f>
        <v>TNNI3</v>
      </c>
      <c r="B18489" t="s">
        <v>14</v>
      </c>
      <c r="C18489" t="s">
        <v>10</v>
      </c>
      <c r="D18489" t="s">
        <v>11</v>
      </c>
      <c r="E18489" t="s">
        <v>12</v>
      </c>
      <c r="F18489">
        <v>55669093</v>
      </c>
      <c r="G18489">
        <v>55669106</v>
      </c>
      <c r="H18489">
        <v>55669093</v>
      </c>
      <c r="I18489">
        <v>55669106</v>
      </c>
    </row>
    <row r="18490" spans="1:9" x14ac:dyDescent="0.2">
      <c r="A18490" s="1" t="str">
        <f>"TNNI3K"</f>
        <v>TNNI3K</v>
      </c>
      <c r="B18490" t="s">
        <v>1732</v>
      </c>
      <c r="C18490" t="s">
        <v>19</v>
      </c>
      <c r="D18490" t="s">
        <v>17</v>
      </c>
      <c r="E18490" t="s">
        <v>35</v>
      </c>
      <c r="F18490">
        <v>74701032</v>
      </c>
      <c r="G18490">
        <v>74701039</v>
      </c>
      <c r="H18490">
        <v>74701062</v>
      </c>
      <c r="I18490">
        <v>74701099</v>
      </c>
    </row>
    <row r="18491" spans="1:9" x14ac:dyDescent="0.2">
      <c r="A18491" s="1" t="str">
        <f>"TNNT1"</f>
        <v>TNNT1</v>
      </c>
      <c r="B18491" t="s">
        <v>9</v>
      </c>
      <c r="C18491" t="s">
        <v>10</v>
      </c>
      <c r="D18491" t="s">
        <v>11</v>
      </c>
      <c r="E18491" t="s">
        <v>12</v>
      </c>
      <c r="F18491">
        <v>55660564</v>
      </c>
      <c r="G18491">
        <v>55660582</v>
      </c>
      <c r="H18491">
        <v>55660564</v>
      </c>
      <c r="I18491">
        <v>55660582</v>
      </c>
    </row>
    <row r="18492" spans="1:9" x14ac:dyDescent="0.2">
      <c r="A18492" s="1" t="str">
        <f>"TNNT1"</f>
        <v>TNNT1</v>
      </c>
      <c r="B18492" t="s">
        <v>13</v>
      </c>
      <c r="C18492" t="s">
        <v>10</v>
      </c>
      <c r="D18492" t="s">
        <v>11</v>
      </c>
      <c r="E18492" t="s">
        <v>12</v>
      </c>
      <c r="F18492">
        <v>55658281</v>
      </c>
      <c r="G18492">
        <v>55658357</v>
      </c>
      <c r="H18492">
        <v>55658281</v>
      </c>
      <c r="I18492">
        <v>55658357</v>
      </c>
    </row>
    <row r="18493" spans="1:9" x14ac:dyDescent="0.2">
      <c r="A18493" s="1" t="str">
        <f>"TNNT2"</f>
        <v>TNNT2</v>
      </c>
      <c r="B18493" t="s">
        <v>14</v>
      </c>
      <c r="C18493" t="s">
        <v>19</v>
      </c>
      <c r="D18493" t="s">
        <v>11</v>
      </c>
      <c r="E18493" t="s">
        <v>12</v>
      </c>
      <c r="F18493">
        <v>201346801</v>
      </c>
      <c r="G18493">
        <v>201346815</v>
      </c>
      <c r="H18493">
        <v>201346801</v>
      </c>
      <c r="I18493">
        <v>201346815</v>
      </c>
    </row>
    <row r="18494" spans="1:9" x14ac:dyDescent="0.2">
      <c r="A18494" s="1" t="str">
        <f>"TNNT3"</f>
        <v>TNNT3</v>
      </c>
      <c r="B18494" t="s">
        <v>9</v>
      </c>
      <c r="C18494" t="s">
        <v>27</v>
      </c>
      <c r="D18494" t="s">
        <v>17</v>
      </c>
      <c r="E18494" t="s">
        <v>12</v>
      </c>
      <c r="F18494">
        <v>1940925</v>
      </c>
      <c r="G18494">
        <v>1940942</v>
      </c>
      <c r="H18494">
        <v>1940925</v>
      </c>
      <c r="I18494">
        <v>1940942</v>
      </c>
    </row>
    <row r="18495" spans="1:9" x14ac:dyDescent="0.2">
      <c r="A18495" s="1" t="str">
        <f>"TNNT3"</f>
        <v>TNNT3</v>
      </c>
      <c r="B18495" t="s">
        <v>13</v>
      </c>
      <c r="C18495" t="s">
        <v>27</v>
      </c>
      <c r="D18495" t="s">
        <v>17</v>
      </c>
      <c r="E18495" t="s">
        <v>12</v>
      </c>
      <c r="F18495">
        <v>1942580</v>
      </c>
      <c r="G18495">
        <v>1942639</v>
      </c>
      <c r="H18495">
        <v>1942580</v>
      </c>
      <c r="I18495">
        <v>1942639</v>
      </c>
    </row>
    <row r="18496" spans="1:9" x14ac:dyDescent="0.2">
      <c r="A18496" s="1" t="str">
        <f>"TNP1"</f>
        <v>TNP1</v>
      </c>
      <c r="B18496" t="s">
        <v>14</v>
      </c>
      <c r="C18496" t="s">
        <v>26</v>
      </c>
      <c r="D18496" t="s">
        <v>11</v>
      </c>
      <c r="E18496" t="s">
        <v>12</v>
      </c>
      <c r="F18496">
        <v>217724767</v>
      </c>
      <c r="G18496">
        <v>217724795</v>
      </c>
      <c r="H18496">
        <v>217724737</v>
      </c>
      <c r="I18496">
        <v>217724749</v>
      </c>
    </row>
    <row r="18497" spans="1:9" x14ac:dyDescent="0.2">
      <c r="A18497" s="1" t="str">
        <f>"TNP2"</f>
        <v>TNP2</v>
      </c>
      <c r="B18497" t="s">
        <v>14</v>
      </c>
      <c r="C18497" t="s">
        <v>31</v>
      </c>
      <c r="D18497" t="s">
        <v>11</v>
      </c>
      <c r="E18497" t="s">
        <v>12</v>
      </c>
      <c r="F18497">
        <v>11363178</v>
      </c>
      <c r="G18497">
        <v>11363183</v>
      </c>
      <c r="H18497">
        <v>11363178</v>
      </c>
      <c r="I18497">
        <v>11363183</v>
      </c>
    </row>
    <row r="18498" spans="1:9" x14ac:dyDescent="0.2">
      <c r="A18498" s="1" t="str">
        <f>"TNPO1"</f>
        <v>TNPO1</v>
      </c>
      <c r="B18498" t="s">
        <v>14</v>
      </c>
      <c r="C18498" t="s">
        <v>46</v>
      </c>
      <c r="D18498" t="s">
        <v>17</v>
      </c>
      <c r="E18498" t="s">
        <v>12</v>
      </c>
      <c r="F18498">
        <v>72143942</v>
      </c>
      <c r="G18498">
        <v>72143977</v>
      </c>
      <c r="H18498">
        <v>72143942</v>
      </c>
      <c r="I18498">
        <v>72143977</v>
      </c>
    </row>
    <row r="18499" spans="1:9" x14ac:dyDescent="0.2">
      <c r="A18499" s="1" t="str">
        <f>"TNPO2"</f>
        <v>TNPO2</v>
      </c>
      <c r="B18499" t="s">
        <v>9</v>
      </c>
      <c r="C18499" t="s">
        <v>10</v>
      </c>
      <c r="D18499" t="s">
        <v>11</v>
      </c>
      <c r="E18499" t="s">
        <v>12</v>
      </c>
      <c r="F18499">
        <v>12834739</v>
      </c>
      <c r="G18499">
        <v>12834806</v>
      </c>
      <c r="H18499">
        <v>12834739</v>
      </c>
      <c r="I18499">
        <v>12834806</v>
      </c>
    </row>
    <row r="18500" spans="1:9" x14ac:dyDescent="0.2">
      <c r="A18500" s="1" t="str">
        <f>"TNPO2"</f>
        <v>TNPO2</v>
      </c>
      <c r="B18500" t="s">
        <v>13</v>
      </c>
      <c r="C18500" t="s">
        <v>10</v>
      </c>
      <c r="D18500" t="s">
        <v>11</v>
      </c>
      <c r="E18500" t="s">
        <v>12</v>
      </c>
      <c r="F18500">
        <v>12833361</v>
      </c>
      <c r="G18500">
        <v>12833382</v>
      </c>
      <c r="H18500">
        <v>12833361</v>
      </c>
      <c r="I18500">
        <v>12833382</v>
      </c>
    </row>
    <row r="18501" spans="1:9" x14ac:dyDescent="0.2">
      <c r="A18501" s="1" t="str">
        <f>"TNPO3"</f>
        <v>TNPO3</v>
      </c>
      <c r="B18501" t="s">
        <v>14</v>
      </c>
      <c r="C18501" t="s">
        <v>33</v>
      </c>
      <c r="D18501" t="s">
        <v>11</v>
      </c>
      <c r="E18501" t="s">
        <v>12</v>
      </c>
      <c r="F18501">
        <v>128694927</v>
      </c>
      <c r="G18501">
        <v>128694986</v>
      </c>
      <c r="H18501">
        <v>128695148</v>
      </c>
      <c r="I18501">
        <v>128695203</v>
      </c>
    </row>
    <row r="18502" spans="1:9" x14ac:dyDescent="0.2">
      <c r="A18502" s="1" t="str">
        <f>"TNR"</f>
        <v>TNR</v>
      </c>
      <c r="B18502" t="s">
        <v>14</v>
      </c>
      <c r="C18502" t="s">
        <v>19</v>
      </c>
      <c r="D18502" t="s">
        <v>11</v>
      </c>
      <c r="E18502" t="s">
        <v>12</v>
      </c>
      <c r="F18502">
        <v>175712665</v>
      </c>
      <c r="G18502">
        <v>175712761</v>
      </c>
      <c r="H18502">
        <v>175712783</v>
      </c>
      <c r="I18502">
        <v>175712794</v>
      </c>
    </row>
    <row r="18503" spans="1:9" x14ac:dyDescent="0.2">
      <c r="A18503" s="1" t="str">
        <f>"TNRC18"</f>
        <v>TNRC18</v>
      </c>
      <c r="B18503" t="s">
        <v>14</v>
      </c>
      <c r="C18503" t="s">
        <v>33</v>
      </c>
      <c r="D18503" t="s">
        <v>11</v>
      </c>
      <c r="E18503" t="s">
        <v>12</v>
      </c>
      <c r="F18503">
        <v>5463396</v>
      </c>
      <c r="G18503">
        <v>5463443</v>
      </c>
      <c r="H18503">
        <v>5463396</v>
      </c>
      <c r="I18503">
        <v>5463443</v>
      </c>
    </row>
    <row r="18504" spans="1:9" x14ac:dyDescent="0.2">
      <c r="A18504" s="1" t="str">
        <f>"TNRC6A"</f>
        <v>TNRC6A</v>
      </c>
      <c r="B18504" t="s">
        <v>14</v>
      </c>
      <c r="C18504" t="s">
        <v>31</v>
      </c>
      <c r="D18504" t="s">
        <v>17</v>
      </c>
      <c r="E18504" t="s">
        <v>12</v>
      </c>
      <c r="F18504">
        <v>24741013</v>
      </c>
      <c r="G18504">
        <v>24741058</v>
      </c>
      <c r="H18504">
        <v>24740962</v>
      </c>
      <c r="I18504">
        <v>24740991</v>
      </c>
    </row>
    <row r="18505" spans="1:9" x14ac:dyDescent="0.2">
      <c r="A18505" s="1" t="str">
        <f>"TNRC6B"</f>
        <v>TNRC6B</v>
      </c>
      <c r="B18505" t="s">
        <v>14</v>
      </c>
      <c r="C18505" t="s">
        <v>21</v>
      </c>
      <c r="D18505" t="s">
        <v>17</v>
      </c>
      <c r="E18505" t="s">
        <v>12</v>
      </c>
      <c r="F18505">
        <v>40440804</v>
      </c>
      <c r="G18505">
        <v>40440859</v>
      </c>
      <c r="H18505">
        <v>40440804</v>
      </c>
      <c r="I18505">
        <v>40440859</v>
      </c>
    </row>
    <row r="18506" spans="1:9" x14ac:dyDescent="0.2">
      <c r="A18506" s="1" t="str">
        <f>"TNRC6C"</f>
        <v>TNRC6C</v>
      </c>
      <c r="B18506" t="s">
        <v>14</v>
      </c>
      <c r="C18506" t="s">
        <v>28</v>
      </c>
      <c r="D18506" t="s">
        <v>17</v>
      </c>
      <c r="E18506" t="s">
        <v>12</v>
      </c>
      <c r="F18506">
        <v>76037081</v>
      </c>
      <c r="G18506">
        <v>76037122</v>
      </c>
      <c r="H18506">
        <v>76037081</v>
      </c>
      <c r="I18506">
        <v>76037122</v>
      </c>
    </row>
    <row r="18507" spans="1:9" x14ac:dyDescent="0.2">
      <c r="A18507" s="1" t="str">
        <f>"TNS1"</f>
        <v>TNS1</v>
      </c>
      <c r="B18507" t="s">
        <v>14</v>
      </c>
      <c r="C18507" t="s">
        <v>26</v>
      </c>
      <c r="D18507" t="s">
        <v>11</v>
      </c>
      <c r="E18507" t="s">
        <v>12</v>
      </c>
      <c r="F18507">
        <v>218808771</v>
      </c>
      <c r="G18507">
        <v>218808802</v>
      </c>
      <c r="H18507">
        <v>218808771</v>
      </c>
      <c r="I18507">
        <v>218808802</v>
      </c>
    </row>
    <row r="18508" spans="1:9" x14ac:dyDescent="0.2">
      <c r="A18508" s="1" t="str">
        <f>"TNS3"</f>
        <v>TNS3</v>
      </c>
      <c r="B18508" t="s">
        <v>14</v>
      </c>
      <c r="C18508" t="s">
        <v>33</v>
      </c>
      <c r="D18508" t="s">
        <v>11</v>
      </c>
      <c r="E18508" t="s">
        <v>12</v>
      </c>
      <c r="F18508">
        <v>47621674</v>
      </c>
      <c r="G18508">
        <v>47621719</v>
      </c>
      <c r="H18508">
        <v>47622176</v>
      </c>
      <c r="I18508">
        <v>47622207</v>
      </c>
    </row>
    <row r="18509" spans="1:9" x14ac:dyDescent="0.2">
      <c r="A18509" s="1" t="str">
        <f>"TNS4"</f>
        <v>TNS4</v>
      </c>
      <c r="B18509" t="s">
        <v>14</v>
      </c>
      <c r="C18509" t="s">
        <v>28</v>
      </c>
      <c r="D18509" t="s">
        <v>11</v>
      </c>
      <c r="E18509" t="s">
        <v>12</v>
      </c>
      <c r="F18509">
        <v>38657867</v>
      </c>
      <c r="G18509">
        <v>38657882</v>
      </c>
      <c r="H18509">
        <v>38657867</v>
      </c>
      <c r="I18509">
        <v>38657882</v>
      </c>
    </row>
    <row r="18510" spans="1:9" x14ac:dyDescent="0.2">
      <c r="A18510" s="1" t="str">
        <f>"TNXB"</f>
        <v>TNXB</v>
      </c>
      <c r="B18510" t="s">
        <v>14</v>
      </c>
      <c r="C18510" t="s">
        <v>32</v>
      </c>
      <c r="D18510" t="s">
        <v>11</v>
      </c>
      <c r="E18510" t="s">
        <v>12</v>
      </c>
      <c r="F18510">
        <v>32077100</v>
      </c>
      <c r="G18510">
        <v>32077163</v>
      </c>
      <c r="H18510">
        <v>32077078</v>
      </c>
      <c r="I18510">
        <v>32077097</v>
      </c>
    </row>
    <row r="18511" spans="1:9" x14ac:dyDescent="0.2">
      <c r="A18511" s="1" t="str">
        <f>"TOB1"</f>
        <v>TOB1</v>
      </c>
      <c r="B18511" t="s">
        <v>14</v>
      </c>
      <c r="C18511" t="s">
        <v>28</v>
      </c>
      <c r="D18511" t="s">
        <v>11</v>
      </c>
      <c r="E18511" t="s">
        <v>12</v>
      </c>
      <c r="F18511">
        <v>48943708</v>
      </c>
      <c r="G18511">
        <v>48943723</v>
      </c>
      <c r="H18511">
        <v>48943708</v>
      </c>
      <c r="I18511">
        <v>48943723</v>
      </c>
    </row>
    <row r="18512" spans="1:9" x14ac:dyDescent="0.2">
      <c r="A18512" s="1" t="str">
        <f>"TOB2"</f>
        <v>TOB2</v>
      </c>
      <c r="B18512" t="s">
        <v>14</v>
      </c>
      <c r="C18512" t="s">
        <v>21</v>
      </c>
      <c r="D18512" t="s">
        <v>11</v>
      </c>
      <c r="E18512" t="s">
        <v>12</v>
      </c>
      <c r="F18512">
        <v>41842781</v>
      </c>
      <c r="G18512">
        <v>41842835</v>
      </c>
      <c r="H18512">
        <v>41842839</v>
      </c>
      <c r="I18512">
        <v>41842861</v>
      </c>
    </row>
    <row r="18513" spans="1:9" x14ac:dyDescent="0.2">
      <c r="A18513" s="1" t="str">
        <f>"TOE1"</f>
        <v>TOE1</v>
      </c>
      <c r="B18513" t="s">
        <v>14</v>
      </c>
      <c r="C18513" t="s">
        <v>19</v>
      </c>
      <c r="D18513" t="s">
        <v>17</v>
      </c>
      <c r="E18513" t="s">
        <v>12</v>
      </c>
      <c r="F18513">
        <v>45805813</v>
      </c>
      <c r="G18513">
        <v>45805859</v>
      </c>
      <c r="H18513">
        <v>45805872</v>
      </c>
      <c r="I18513">
        <v>45805900</v>
      </c>
    </row>
    <row r="18514" spans="1:9" x14ac:dyDescent="0.2">
      <c r="A18514" s="1" t="str">
        <f>"TOLLIP"</f>
        <v>TOLLIP</v>
      </c>
      <c r="B18514" t="s">
        <v>14</v>
      </c>
      <c r="C18514" t="s">
        <v>27</v>
      </c>
      <c r="D18514" t="s">
        <v>11</v>
      </c>
      <c r="E18514" t="s">
        <v>12</v>
      </c>
      <c r="F18514">
        <v>1330834</v>
      </c>
      <c r="G18514">
        <v>1330875</v>
      </c>
      <c r="H18514">
        <v>1330813</v>
      </c>
      <c r="I18514">
        <v>1330833</v>
      </c>
    </row>
    <row r="18515" spans="1:9" x14ac:dyDescent="0.2">
      <c r="A18515" s="1" t="str">
        <f>"TOM1"</f>
        <v>TOM1</v>
      </c>
      <c r="B18515" t="s">
        <v>14</v>
      </c>
      <c r="C18515" t="s">
        <v>21</v>
      </c>
      <c r="D18515" t="s">
        <v>17</v>
      </c>
      <c r="E18515" t="s">
        <v>12</v>
      </c>
      <c r="F18515">
        <v>35695827</v>
      </c>
      <c r="G18515">
        <v>35695911</v>
      </c>
      <c r="H18515">
        <v>35695827</v>
      </c>
      <c r="I18515">
        <v>35695911</v>
      </c>
    </row>
    <row r="18516" spans="1:9" x14ac:dyDescent="0.2">
      <c r="A18516" s="1" t="str">
        <f>"TOM1L1"</f>
        <v>TOM1L1</v>
      </c>
      <c r="B18516" t="s">
        <v>14</v>
      </c>
      <c r="C18516" t="s">
        <v>28</v>
      </c>
      <c r="D18516" t="s">
        <v>17</v>
      </c>
      <c r="E18516" t="s">
        <v>12</v>
      </c>
      <c r="F18516">
        <v>52978185</v>
      </c>
      <c r="G18516">
        <v>52978224</v>
      </c>
      <c r="H18516">
        <v>52978156</v>
      </c>
      <c r="I18516">
        <v>52978171</v>
      </c>
    </row>
    <row r="18517" spans="1:9" x14ac:dyDescent="0.2">
      <c r="A18517" s="1" t="str">
        <f>"TOM1L2"</f>
        <v>TOM1L2</v>
      </c>
      <c r="B18517" t="s">
        <v>14</v>
      </c>
      <c r="C18517" t="s">
        <v>28</v>
      </c>
      <c r="D18517" t="s">
        <v>11</v>
      </c>
      <c r="E18517" t="s">
        <v>12</v>
      </c>
      <c r="F18517">
        <v>17875688</v>
      </c>
      <c r="G18517">
        <v>17875730</v>
      </c>
      <c r="H18517">
        <v>17875744</v>
      </c>
      <c r="I18517">
        <v>17875755</v>
      </c>
    </row>
    <row r="18518" spans="1:9" x14ac:dyDescent="0.2">
      <c r="A18518" s="1" t="str">
        <f>"TOMM20"</f>
        <v>TOMM20</v>
      </c>
      <c r="B18518" t="s">
        <v>14</v>
      </c>
      <c r="C18518" t="s">
        <v>19</v>
      </c>
      <c r="D18518" t="s">
        <v>11</v>
      </c>
      <c r="E18518" t="s">
        <v>12</v>
      </c>
      <c r="F18518">
        <v>235292137</v>
      </c>
      <c r="G18518">
        <v>235292170</v>
      </c>
      <c r="H18518">
        <v>235292114</v>
      </c>
      <c r="I18518">
        <v>235292129</v>
      </c>
    </row>
    <row r="18519" spans="1:9" x14ac:dyDescent="0.2">
      <c r="A18519" s="1" t="str">
        <f>"TOMM20L"</f>
        <v>TOMM20L</v>
      </c>
      <c r="B18519" t="s">
        <v>14</v>
      </c>
      <c r="C18519" t="s">
        <v>41</v>
      </c>
      <c r="D18519" t="s">
        <v>17</v>
      </c>
      <c r="E18519" t="s">
        <v>12</v>
      </c>
      <c r="F18519">
        <v>58862630</v>
      </c>
      <c r="G18519">
        <v>58862662</v>
      </c>
      <c r="H18519">
        <v>58862697</v>
      </c>
      <c r="I18519">
        <v>58862705</v>
      </c>
    </row>
    <row r="18520" spans="1:9" x14ac:dyDescent="0.2">
      <c r="A18520" s="1" t="str">
        <f>"TOMM22"</f>
        <v>TOMM22</v>
      </c>
      <c r="B18520" t="s">
        <v>14</v>
      </c>
      <c r="C18520" t="s">
        <v>21</v>
      </c>
      <c r="D18520" t="s">
        <v>17</v>
      </c>
      <c r="E18520" t="s">
        <v>12</v>
      </c>
      <c r="F18520">
        <v>39077947</v>
      </c>
      <c r="G18520">
        <v>39077986</v>
      </c>
      <c r="H18520">
        <v>39078191</v>
      </c>
      <c r="I18520">
        <v>39078248</v>
      </c>
    </row>
    <row r="18521" spans="1:9" x14ac:dyDescent="0.2">
      <c r="A18521" s="1" t="str">
        <f>"TOMM34"</f>
        <v>TOMM34</v>
      </c>
      <c r="B18521" t="s">
        <v>14</v>
      </c>
      <c r="C18521" t="s">
        <v>29</v>
      </c>
      <c r="D18521" t="s">
        <v>11</v>
      </c>
      <c r="E18521" t="s">
        <v>12</v>
      </c>
      <c r="F18521">
        <v>43588989</v>
      </c>
      <c r="G18521">
        <v>43589095</v>
      </c>
      <c r="H18521">
        <v>43589109</v>
      </c>
      <c r="I18521">
        <v>43589118</v>
      </c>
    </row>
    <row r="18522" spans="1:9" x14ac:dyDescent="0.2">
      <c r="A18522" s="1" t="str">
        <f>"TOMM40"</f>
        <v>TOMM40</v>
      </c>
      <c r="B18522" t="s">
        <v>14</v>
      </c>
      <c r="C18522" t="s">
        <v>10</v>
      </c>
      <c r="D18522" t="s">
        <v>17</v>
      </c>
      <c r="E18522" t="s">
        <v>12</v>
      </c>
      <c r="F18522">
        <v>45394497</v>
      </c>
      <c r="G18522">
        <v>45394546</v>
      </c>
      <c r="H18522">
        <v>45394548</v>
      </c>
      <c r="I18522">
        <v>45394579</v>
      </c>
    </row>
    <row r="18523" spans="1:9" x14ac:dyDescent="0.2">
      <c r="A18523" s="1" t="str">
        <f>"TOMM40L"</f>
        <v>TOMM40L</v>
      </c>
      <c r="B18523" t="s">
        <v>14</v>
      </c>
      <c r="C18523" t="s">
        <v>19</v>
      </c>
      <c r="D18523" t="s">
        <v>17</v>
      </c>
      <c r="E18523" t="s">
        <v>12</v>
      </c>
      <c r="F18523">
        <v>161195835</v>
      </c>
      <c r="G18523">
        <v>161195864</v>
      </c>
      <c r="H18523">
        <v>161195781</v>
      </c>
      <c r="I18523">
        <v>161195795</v>
      </c>
    </row>
    <row r="18524" spans="1:9" x14ac:dyDescent="0.2">
      <c r="A18524" s="1" t="str">
        <f>"TOMM5"</f>
        <v>TOMM5</v>
      </c>
      <c r="B18524" t="s">
        <v>14</v>
      </c>
      <c r="C18524" t="s">
        <v>24</v>
      </c>
      <c r="D18524" t="s">
        <v>11</v>
      </c>
      <c r="E18524" t="s">
        <v>12</v>
      </c>
      <c r="F18524">
        <v>37592561</v>
      </c>
      <c r="G18524">
        <v>37592616</v>
      </c>
      <c r="H18524">
        <v>37592532</v>
      </c>
      <c r="I18524">
        <v>37592558</v>
      </c>
    </row>
    <row r="18525" spans="1:9" x14ac:dyDescent="0.2">
      <c r="A18525" s="1" t="str">
        <f>"TOMM6"</f>
        <v>TOMM6</v>
      </c>
      <c r="B18525" t="s">
        <v>14</v>
      </c>
      <c r="C18525" t="s">
        <v>32</v>
      </c>
      <c r="D18525" t="s">
        <v>17</v>
      </c>
      <c r="E18525" t="s">
        <v>12</v>
      </c>
      <c r="F18525">
        <v>41755389</v>
      </c>
      <c r="G18525">
        <v>41755441</v>
      </c>
      <c r="H18525">
        <v>41755373</v>
      </c>
      <c r="I18525">
        <v>41755384</v>
      </c>
    </row>
    <row r="18526" spans="1:9" x14ac:dyDescent="0.2">
      <c r="A18526" s="1" t="str">
        <f>"TOMM7"</f>
        <v>TOMM7</v>
      </c>
      <c r="B18526" t="s">
        <v>14</v>
      </c>
      <c r="C18526" t="s">
        <v>33</v>
      </c>
      <c r="D18526" t="s">
        <v>11</v>
      </c>
      <c r="E18526" t="s">
        <v>12</v>
      </c>
      <c r="F18526">
        <v>22862448</v>
      </c>
      <c r="G18526">
        <v>22862475</v>
      </c>
      <c r="H18526">
        <v>22862406</v>
      </c>
      <c r="I18526">
        <v>22862445</v>
      </c>
    </row>
    <row r="18527" spans="1:9" x14ac:dyDescent="0.2">
      <c r="A18527" s="1" t="str">
        <f>"TOMM70A"</f>
        <v>TOMM70A</v>
      </c>
      <c r="B18527" t="s">
        <v>14</v>
      </c>
      <c r="C18527" t="s">
        <v>22</v>
      </c>
      <c r="D18527" t="s">
        <v>11</v>
      </c>
      <c r="E18527" t="s">
        <v>12</v>
      </c>
      <c r="F18527">
        <v>100119897</v>
      </c>
      <c r="G18527">
        <v>100119967</v>
      </c>
      <c r="H18527">
        <v>100120223</v>
      </c>
      <c r="I18527">
        <v>100120301</v>
      </c>
    </row>
    <row r="18528" spans="1:9" x14ac:dyDescent="0.2">
      <c r="A18528" s="1" t="str">
        <f>"TONSL"</f>
        <v>TONSL</v>
      </c>
      <c r="B18528" t="s">
        <v>14</v>
      </c>
      <c r="C18528" t="s">
        <v>30</v>
      </c>
      <c r="D18528" t="s">
        <v>11</v>
      </c>
      <c r="E18528" t="s">
        <v>12</v>
      </c>
      <c r="F18528">
        <v>145669791</v>
      </c>
      <c r="G18528">
        <v>145669834</v>
      </c>
      <c r="H18528">
        <v>145669839</v>
      </c>
      <c r="I18528">
        <v>145669859</v>
      </c>
    </row>
    <row r="18529" spans="1:9" x14ac:dyDescent="0.2">
      <c r="A18529" s="1" t="str">
        <f>"TOP1"</f>
        <v>TOP1</v>
      </c>
      <c r="B18529" t="s">
        <v>14</v>
      </c>
      <c r="C18529" t="s">
        <v>29</v>
      </c>
      <c r="D18529" t="s">
        <v>17</v>
      </c>
      <c r="E18529" t="s">
        <v>12</v>
      </c>
      <c r="F18529">
        <v>39657454</v>
      </c>
      <c r="G18529">
        <v>39657470</v>
      </c>
      <c r="H18529">
        <v>39657493</v>
      </c>
      <c r="I18529">
        <v>39657507</v>
      </c>
    </row>
    <row r="18530" spans="1:9" x14ac:dyDescent="0.2">
      <c r="A18530" s="1" t="str">
        <f>"TOP1MT"</f>
        <v>TOP1MT</v>
      </c>
      <c r="B18530" t="s">
        <v>14</v>
      </c>
      <c r="C18530" t="s">
        <v>30</v>
      </c>
      <c r="D18530" t="s">
        <v>11</v>
      </c>
      <c r="E18530" t="s">
        <v>12</v>
      </c>
      <c r="F18530">
        <v>144417014</v>
      </c>
      <c r="G18530">
        <v>144417064</v>
      </c>
      <c r="H18530">
        <v>144416990</v>
      </c>
      <c r="I18530">
        <v>144416995</v>
      </c>
    </row>
    <row r="18531" spans="1:9" x14ac:dyDescent="0.2">
      <c r="A18531" s="1" t="str">
        <f>"TOP2A"</f>
        <v>TOP2A</v>
      </c>
      <c r="B18531" t="s">
        <v>14</v>
      </c>
      <c r="C18531" t="s">
        <v>28</v>
      </c>
      <c r="D18531" t="s">
        <v>11</v>
      </c>
      <c r="E18531" t="s">
        <v>12</v>
      </c>
      <c r="F18531">
        <v>38574125</v>
      </c>
      <c r="G18531">
        <v>38574168</v>
      </c>
      <c r="H18531">
        <v>38574169</v>
      </c>
      <c r="I18531">
        <v>38574180</v>
      </c>
    </row>
    <row r="18532" spans="1:9" x14ac:dyDescent="0.2">
      <c r="A18532" s="1" t="str">
        <f>"TOP2B"</f>
        <v>TOP2B</v>
      </c>
      <c r="B18532" t="s">
        <v>14</v>
      </c>
      <c r="C18532" t="s">
        <v>22</v>
      </c>
      <c r="D18532" t="s">
        <v>11</v>
      </c>
      <c r="E18532" t="s">
        <v>12</v>
      </c>
      <c r="F18532">
        <v>25706368</v>
      </c>
      <c r="G18532">
        <v>25706444</v>
      </c>
      <c r="H18532">
        <v>25706368</v>
      </c>
      <c r="I18532">
        <v>25706444</v>
      </c>
    </row>
    <row r="18533" spans="1:9" x14ac:dyDescent="0.2">
      <c r="A18533" s="1" t="str">
        <f>"TOP3A"</f>
        <v>TOP3A</v>
      </c>
      <c r="B18533" t="s">
        <v>14</v>
      </c>
      <c r="C18533" t="s">
        <v>28</v>
      </c>
      <c r="D18533" t="s">
        <v>11</v>
      </c>
      <c r="E18533" t="s">
        <v>12</v>
      </c>
      <c r="F18533">
        <v>18218270</v>
      </c>
      <c r="G18533">
        <v>18218326</v>
      </c>
      <c r="H18533">
        <v>18218237</v>
      </c>
      <c r="I18533">
        <v>18218259</v>
      </c>
    </row>
    <row r="18534" spans="1:9" x14ac:dyDescent="0.2">
      <c r="A18534" s="1" t="str">
        <f>"TOP3B"</f>
        <v>TOP3B</v>
      </c>
      <c r="B18534" t="s">
        <v>14</v>
      </c>
      <c r="C18534" t="s">
        <v>21</v>
      </c>
      <c r="D18534" t="s">
        <v>11</v>
      </c>
      <c r="E18534" t="s">
        <v>12</v>
      </c>
      <c r="F18534">
        <v>22337154</v>
      </c>
      <c r="G18534">
        <v>22337194</v>
      </c>
      <c r="H18534">
        <v>22337204</v>
      </c>
      <c r="I18534">
        <v>22337215</v>
      </c>
    </row>
    <row r="18535" spans="1:9" x14ac:dyDescent="0.2">
      <c r="A18535" s="1" t="str">
        <f>"TOPAZ1"</f>
        <v>TOPAZ1</v>
      </c>
      <c r="B18535" t="s">
        <v>14</v>
      </c>
      <c r="C18535" t="s">
        <v>22</v>
      </c>
      <c r="D18535" t="s">
        <v>17</v>
      </c>
      <c r="E18535" t="s">
        <v>12</v>
      </c>
      <c r="F18535">
        <v>44283444</v>
      </c>
      <c r="G18535">
        <v>44283449</v>
      </c>
      <c r="H18535">
        <v>44283444</v>
      </c>
      <c r="I18535">
        <v>44283449</v>
      </c>
    </row>
    <row r="18536" spans="1:9" x14ac:dyDescent="0.2">
      <c r="A18536" s="1" t="str">
        <f>"TOPBP1"</f>
        <v>TOPBP1</v>
      </c>
      <c r="B18536" t="s">
        <v>14</v>
      </c>
      <c r="C18536" t="s">
        <v>22</v>
      </c>
      <c r="D18536" t="s">
        <v>11</v>
      </c>
      <c r="E18536" t="s">
        <v>12</v>
      </c>
      <c r="F18536">
        <v>133380731</v>
      </c>
      <c r="G18536">
        <v>133380834</v>
      </c>
      <c r="H18536">
        <v>133380696</v>
      </c>
      <c r="I18536">
        <v>133380713</v>
      </c>
    </row>
    <row r="18537" spans="1:9" x14ac:dyDescent="0.2">
      <c r="A18537" s="1" t="str">
        <f>"TOPORS"</f>
        <v>TOPORS</v>
      </c>
      <c r="B18537" t="s">
        <v>14</v>
      </c>
      <c r="C18537" t="s">
        <v>24</v>
      </c>
      <c r="D18537" t="s">
        <v>11</v>
      </c>
      <c r="E18537" t="s">
        <v>12</v>
      </c>
      <c r="F18537">
        <v>32552577</v>
      </c>
      <c r="G18537">
        <v>32552627</v>
      </c>
      <c r="H18537">
        <v>32552552</v>
      </c>
      <c r="I18537">
        <v>32552576</v>
      </c>
    </row>
    <row r="18538" spans="1:9" x14ac:dyDescent="0.2">
      <c r="A18538" s="1" t="str">
        <f>"TOR1A"</f>
        <v>TOR1A</v>
      </c>
      <c r="B18538" t="s">
        <v>14</v>
      </c>
      <c r="C18538" t="s">
        <v>24</v>
      </c>
      <c r="D18538" t="s">
        <v>11</v>
      </c>
      <c r="E18538" t="s">
        <v>12</v>
      </c>
      <c r="F18538">
        <v>132586378</v>
      </c>
      <c r="G18538">
        <v>132586433</v>
      </c>
      <c r="H18538">
        <v>132586515</v>
      </c>
      <c r="I18538">
        <v>132586526</v>
      </c>
    </row>
    <row r="18539" spans="1:9" x14ac:dyDescent="0.2">
      <c r="A18539" s="1" t="str">
        <f>"TOR1AIP1"</f>
        <v>TOR1AIP1</v>
      </c>
      <c r="B18539" t="s">
        <v>14</v>
      </c>
      <c r="C18539" t="s">
        <v>19</v>
      </c>
      <c r="D18539" t="s">
        <v>17</v>
      </c>
      <c r="E18539" t="s">
        <v>12</v>
      </c>
      <c r="F18539">
        <v>179851893</v>
      </c>
      <c r="G18539">
        <v>179851995</v>
      </c>
      <c r="H18539">
        <v>179851410</v>
      </c>
      <c r="I18539">
        <v>179851439</v>
      </c>
    </row>
    <row r="18540" spans="1:9" x14ac:dyDescent="0.2">
      <c r="A18540" s="1" t="str">
        <f>"TOR1AIP2"</f>
        <v>TOR1AIP2</v>
      </c>
      <c r="B18540" t="s">
        <v>14</v>
      </c>
      <c r="C18540" t="s">
        <v>19</v>
      </c>
      <c r="D18540" t="s">
        <v>11</v>
      </c>
      <c r="E18540" t="s">
        <v>12</v>
      </c>
      <c r="F18540">
        <v>179846928</v>
      </c>
      <c r="G18540">
        <v>179846946</v>
      </c>
      <c r="H18540">
        <v>179846904</v>
      </c>
      <c r="I18540">
        <v>179846919</v>
      </c>
    </row>
    <row r="18541" spans="1:9" x14ac:dyDescent="0.2">
      <c r="A18541" s="1" t="str">
        <f>"TOR1B"</f>
        <v>TOR1B</v>
      </c>
      <c r="B18541" t="s">
        <v>14</v>
      </c>
      <c r="C18541" t="s">
        <v>24</v>
      </c>
      <c r="D18541" t="s">
        <v>17</v>
      </c>
      <c r="E18541" t="s">
        <v>12</v>
      </c>
      <c r="F18541">
        <v>132565454</v>
      </c>
      <c r="G18541">
        <v>132565471</v>
      </c>
      <c r="H18541">
        <v>132565418</v>
      </c>
      <c r="I18541">
        <v>132565444</v>
      </c>
    </row>
    <row r="18542" spans="1:9" x14ac:dyDescent="0.2">
      <c r="A18542" s="1" t="str">
        <f>"TOR2A"</f>
        <v>TOR2A</v>
      </c>
      <c r="B18542" t="s">
        <v>14</v>
      </c>
      <c r="C18542" t="s">
        <v>24</v>
      </c>
      <c r="D18542" t="s">
        <v>11</v>
      </c>
      <c r="E18542" t="s">
        <v>12</v>
      </c>
      <c r="F18542">
        <v>130497565</v>
      </c>
      <c r="G18542">
        <v>130497609</v>
      </c>
      <c r="H18542">
        <v>130497549</v>
      </c>
      <c r="I18542">
        <v>130497563</v>
      </c>
    </row>
    <row r="18543" spans="1:9" x14ac:dyDescent="0.2">
      <c r="A18543" s="1" t="str">
        <f>"TOR3A"</f>
        <v>TOR3A</v>
      </c>
      <c r="B18543" t="s">
        <v>14</v>
      </c>
      <c r="C18543" t="s">
        <v>19</v>
      </c>
      <c r="D18543" t="s">
        <v>17</v>
      </c>
      <c r="E18543" t="s">
        <v>12</v>
      </c>
      <c r="F18543">
        <v>179051160</v>
      </c>
      <c r="G18543">
        <v>179051224</v>
      </c>
      <c r="H18543">
        <v>179051227</v>
      </c>
      <c r="I18543">
        <v>179051253</v>
      </c>
    </row>
    <row r="18544" spans="1:9" x14ac:dyDescent="0.2">
      <c r="A18544" s="1" t="str">
        <f>"TOR4A"</f>
        <v>TOR4A</v>
      </c>
      <c r="B18544" t="s">
        <v>14</v>
      </c>
      <c r="C18544" t="s">
        <v>24</v>
      </c>
      <c r="D18544" t="s">
        <v>17</v>
      </c>
      <c r="E18544" t="s">
        <v>12</v>
      </c>
      <c r="F18544">
        <v>140172160</v>
      </c>
      <c r="G18544">
        <v>140172185</v>
      </c>
      <c r="H18544">
        <v>140172272</v>
      </c>
      <c r="I18544">
        <v>140172302</v>
      </c>
    </row>
    <row r="18545" spans="1:9" x14ac:dyDescent="0.2">
      <c r="A18545" s="1" t="str">
        <f>"TOX"</f>
        <v>TOX</v>
      </c>
      <c r="B18545" t="s">
        <v>14</v>
      </c>
      <c r="C18545" t="s">
        <v>30</v>
      </c>
      <c r="D18545" t="s">
        <v>11</v>
      </c>
      <c r="E18545" t="s">
        <v>12</v>
      </c>
      <c r="F18545">
        <v>60031619</v>
      </c>
      <c r="G18545">
        <v>60031676</v>
      </c>
      <c r="H18545">
        <v>60031682</v>
      </c>
      <c r="I18545">
        <v>60031710</v>
      </c>
    </row>
    <row r="18546" spans="1:9" x14ac:dyDescent="0.2">
      <c r="A18546" s="1" t="str">
        <f>"TOX2"</f>
        <v>TOX2</v>
      </c>
      <c r="B18546" t="s">
        <v>14</v>
      </c>
      <c r="C18546" t="s">
        <v>29</v>
      </c>
      <c r="D18546" t="s">
        <v>17</v>
      </c>
      <c r="E18546" t="s">
        <v>12</v>
      </c>
      <c r="F18546">
        <v>42543441</v>
      </c>
      <c r="G18546">
        <v>42543497</v>
      </c>
      <c r="H18546">
        <v>42543506</v>
      </c>
      <c r="I18546">
        <v>42543549</v>
      </c>
    </row>
    <row r="18547" spans="1:9" x14ac:dyDescent="0.2">
      <c r="A18547" s="1" t="str">
        <f>"TOX3"</f>
        <v>TOX3</v>
      </c>
      <c r="B18547" t="s">
        <v>14</v>
      </c>
      <c r="C18547" t="s">
        <v>31</v>
      </c>
      <c r="D18547" t="s">
        <v>11</v>
      </c>
      <c r="E18547" t="s">
        <v>12</v>
      </c>
      <c r="F18547">
        <v>52581025</v>
      </c>
      <c r="G18547">
        <v>52581072</v>
      </c>
      <c r="H18547">
        <v>52580953</v>
      </c>
      <c r="I18547">
        <v>52580992</v>
      </c>
    </row>
    <row r="18548" spans="1:9" x14ac:dyDescent="0.2">
      <c r="A18548" s="1" t="str">
        <f>"TOX4"</f>
        <v>TOX4</v>
      </c>
      <c r="B18548" t="s">
        <v>14</v>
      </c>
      <c r="C18548" t="s">
        <v>41</v>
      </c>
      <c r="D18548" t="s">
        <v>17</v>
      </c>
      <c r="E18548" t="s">
        <v>12</v>
      </c>
      <c r="F18548">
        <v>21945335</v>
      </c>
      <c r="G18548">
        <v>21945419</v>
      </c>
      <c r="H18548">
        <v>21944915</v>
      </c>
      <c r="I18548">
        <v>21944934</v>
      </c>
    </row>
    <row r="18549" spans="1:9" x14ac:dyDescent="0.2">
      <c r="A18549" s="1" t="str">
        <f>"TP53"</f>
        <v>TP53</v>
      </c>
      <c r="B18549" t="s">
        <v>14</v>
      </c>
      <c r="C18549" t="s">
        <v>28</v>
      </c>
      <c r="D18549" t="s">
        <v>11</v>
      </c>
      <c r="E18549" t="s">
        <v>12</v>
      </c>
      <c r="F18549">
        <v>7590797</v>
      </c>
      <c r="G18549">
        <v>7590815</v>
      </c>
      <c r="H18549">
        <v>7590797</v>
      </c>
      <c r="I18549">
        <v>7590815</v>
      </c>
    </row>
    <row r="18550" spans="1:9" x14ac:dyDescent="0.2">
      <c r="A18550" s="1" t="str">
        <f>"TP53AIP1"</f>
        <v>TP53AIP1</v>
      </c>
      <c r="B18550" t="s">
        <v>14</v>
      </c>
      <c r="C18550" t="s">
        <v>27</v>
      </c>
      <c r="D18550" t="s">
        <v>11</v>
      </c>
      <c r="E18550" t="s">
        <v>12</v>
      </c>
      <c r="F18550">
        <v>128812744</v>
      </c>
      <c r="G18550">
        <v>128812786</v>
      </c>
      <c r="H18550">
        <v>128812910</v>
      </c>
      <c r="I18550">
        <v>128812927</v>
      </c>
    </row>
    <row r="18551" spans="1:9" x14ac:dyDescent="0.2">
      <c r="A18551" s="1" t="str">
        <f>"TP53BP1"</f>
        <v>TP53BP1</v>
      </c>
      <c r="B18551" t="s">
        <v>9</v>
      </c>
      <c r="C18551" t="s">
        <v>25</v>
      </c>
      <c r="D18551" t="s">
        <v>11</v>
      </c>
      <c r="E18551" t="s">
        <v>12</v>
      </c>
      <c r="F18551">
        <v>43785304</v>
      </c>
      <c r="G18551">
        <v>43785361</v>
      </c>
      <c r="H18551">
        <v>43785304</v>
      </c>
      <c r="I18551">
        <v>43785361</v>
      </c>
    </row>
    <row r="18552" spans="1:9" x14ac:dyDescent="0.2">
      <c r="A18552" s="1" t="str">
        <f>"TP53BP1"</f>
        <v>TP53BP1</v>
      </c>
      <c r="B18552" t="s">
        <v>13</v>
      </c>
      <c r="C18552" t="s">
        <v>25</v>
      </c>
      <c r="D18552" t="s">
        <v>11</v>
      </c>
      <c r="E18552" t="s">
        <v>12</v>
      </c>
      <c r="F18552">
        <v>43802697</v>
      </c>
      <c r="G18552">
        <v>43802701</v>
      </c>
      <c r="H18552">
        <v>43802697</v>
      </c>
      <c r="I18552">
        <v>43802701</v>
      </c>
    </row>
    <row r="18553" spans="1:9" x14ac:dyDescent="0.2">
      <c r="A18553" s="1" t="str">
        <f>"TP53BP2"</f>
        <v>TP53BP2</v>
      </c>
      <c r="B18553" t="s">
        <v>14</v>
      </c>
      <c r="C18553" t="s">
        <v>19</v>
      </c>
      <c r="D18553" t="s">
        <v>11</v>
      </c>
      <c r="E18553" t="s">
        <v>12</v>
      </c>
      <c r="F18553">
        <v>224033596</v>
      </c>
      <c r="G18553">
        <v>224033697</v>
      </c>
      <c r="H18553">
        <v>224033596</v>
      </c>
      <c r="I18553">
        <v>224033697</v>
      </c>
    </row>
    <row r="18554" spans="1:9" x14ac:dyDescent="0.2">
      <c r="A18554" s="1" t="str">
        <f>"TP53I11"</f>
        <v>TP53I11</v>
      </c>
      <c r="B18554" t="s">
        <v>14</v>
      </c>
      <c r="C18554" t="s">
        <v>27</v>
      </c>
      <c r="D18554" t="s">
        <v>11</v>
      </c>
      <c r="E18554" t="s">
        <v>12</v>
      </c>
      <c r="F18554">
        <v>44972418</v>
      </c>
      <c r="G18554">
        <v>44972452</v>
      </c>
      <c r="H18554">
        <v>44972390</v>
      </c>
      <c r="I18554">
        <v>44972417</v>
      </c>
    </row>
    <row r="18555" spans="1:9" x14ac:dyDescent="0.2">
      <c r="A18555" s="1" t="str">
        <f>"TP53I13"</f>
        <v>TP53I13</v>
      </c>
      <c r="B18555" t="s">
        <v>14</v>
      </c>
      <c r="C18555" t="s">
        <v>28</v>
      </c>
      <c r="D18555" t="s">
        <v>17</v>
      </c>
      <c r="E18555" t="s">
        <v>12</v>
      </c>
      <c r="F18555">
        <v>27895700</v>
      </c>
      <c r="G18555">
        <v>27895763</v>
      </c>
      <c r="H18555">
        <v>27895620</v>
      </c>
      <c r="I18555">
        <v>27895640</v>
      </c>
    </row>
    <row r="18556" spans="1:9" x14ac:dyDescent="0.2">
      <c r="A18556" s="1" t="str">
        <f>"TP53I3"</f>
        <v>TP53I3</v>
      </c>
      <c r="B18556" t="s">
        <v>14</v>
      </c>
      <c r="C18556" t="s">
        <v>26</v>
      </c>
      <c r="D18556" t="s">
        <v>11</v>
      </c>
      <c r="E18556" t="s">
        <v>12</v>
      </c>
      <c r="F18556">
        <v>24307635</v>
      </c>
      <c r="G18556">
        <v>24307660</v>
      </c>
      <c r="H18556">
        <v>24307712</v>
      </c>
      <c r="I18556">
        <v>24307742</v>
      </c>
    </row>
    <row r="18557" spans="1:9" x14ac:dyDescent="0.2">
      <c r="A18557" s="1" t="str">
        <f>"TP53INP1"</f>
        <v>TP53INP1</v>
      </c>
      <c r="B18557" t="s">
        <v>14</v>
      </c>
      <c r="C18557" t="s">
        <v>30</v>
      </c>
      <c r="D18557" t="s">
        <v>11</v>
      </c>
      <c r="E18557" t="s">
        <v>12</v>
      </c>
      <c r="F18557">
        <v>95961578</v>
      </c>
      <c r="G18557">
        <v>95961628</v>
      </c>
      <c r="H18557">
        <v>95961548</v>
      </c>
      <c r="I18557">
        <v>95961562</v>
      </c>
    </row>
    <row r="18558" spans="1:9" x14ac:dyDescent="0.2">
      <c r="A18558" s="1" t="str">
        <f>"TP53INP2"</f>
        <v>TP53INP2</v>
      </c>
      <c r="B18558" t="s">
        <v>9</v>
      </c>
      <c r="C18558" t="s">
        <v>29</v>
      </c>
      <c r="D18558" t="s">
        <v>17</v>
      </c>
      <c r="E18558" t="s">
        <v>12</v>
      </c>
      <c r="F18558">
        <v>33292068</v>
      </c>
      <c r="G18558">
        <v>33292164</v>
      </c>
      <c r="H18558">
        <v>33292068</v>
      </c>
      <c r="I18558">
        <v>33292164</v>
      </c>
    </row>
    <row r="18559" spans="1:9" x14ac:dyDescent="0.2">
      <c r="A18559" s="1" t="str">
        <f>"TP53INP2"</f>
        <v>TP53INP2</v>
      </c>
      <c r="B18559" t="s">
        <v>13</v>
      </c>
      <c r="C18559" t="s">
        <v>29</v>
      </c>
      <c r="D18559" t="s">
        <v>17</v>
      </c>
      <c r="E18559" t="s">
        <v>12</v>
      </c>
      <c r="F18559">
        <v>33298213</v>
      </c>
      <c r="G18559">
        <v>33298254</v>
      </c>
      <c r="H18559">
        <v>33298213</v>
      </c>
      <c r="I18559">
        <v>33298254</v>
      </c>
    </row>
    <row r="18560" spans="1:9" x14ac:dyDescent="0.2">
      <c r="A18560" s="1" t="str">
        <f>"TP53RK"</f>
        <v>TP53RK</v>
      </c>
      <c r="B18560" t="s">
        <v>14</v>
      </c>
      <c r="C18560" t="s">
        <v>29</v>
      </c>
      <c r="D18560" t="s">
        <v>11</v>
      </c>
      <c r="E18560" t="s">
        <v>12</v>
      </c>
      <c r="F18560">
        <v>45318051</v>
      </c>
      <c r="G18560">
        <v>45318118</v>
      </c>
      <c r="H18560">
        <v>45318230</v>
      </c>
      <c r="I18560">
        <v>45318303</v>
      </c>
    </row>
    <row r="18561" spans="1:9" x14ac:dyDescent="0.2">
      <c r="A18561" s="1" t="str">
        <f>"TP53TG3"</f>
        <v>TP53TG3</v>
      </c>
      <c r="B18561" t="s">
        <v>1733</v>
      </c>
      <c r="C18561" t="s">
        <v>31</v>
      </c>
      <c r="D18561" t="s">
        <v>11</v>
      </c>
      <c r="E18561" t="s">
        <v>20</v>
      </c>
      <c r="F18561">
        <v>32687438</v>
      </c>
      <c r="G18561">
        <v>32687438</v>
      </c>
      <c r="H18561">
        <v>32687438</v>
      </c>
      <c r="I18561">
        <v>32687438</v>
      </c>
    </row>
    <row r="18562" spans="1:9" x14ac:dyDescent="0.2">
      <c r="A18562" s="1" t="str">
        <f>"TP53TG3"</f>
        <v>TP53TG3</v>
      </c>
      <c r="B18562" t="s">
        <v>1734</v>
      </c>
      <c r="C18562" t="s">
        <v>31</v>
      </c>
      <c r="D18562" t="s">
        <v>11</v>
      </c>
      <c r="E18562" t="s">
        <v>20</v>
      </c>
      <c r="F18562">
        <v>32688052</v>
      </c>
      <c r="G18562">
        <v>32688052</v>
      </c>
      <c r="H18562">
        <v>32688052</v>
      </c>
      <c r="I18562">
        <v>32688052</v>
      </c>
    </row>
    <row r="18563" spans="1:9" x14ac:dyDescent="0.2">
      <c r="A18563" s="1" t="str">
        <f>"TP53TG3B"</f>
        <v>TP53TG3B</v>
      </c>
      <c r="B18563" t="s">
        <v>1735</v>
      </c>
      <c r="C18563" t="s">
        <v>31</v>
      </c>
      <c r="D18563" t="s">
        <v>17</v>
      </c>
      <c r="E18563" t="s">
        <v>20</v>
      </c>
      <c r="F18563">
        <v>33261514</v>
      </c>
      <c r="G18563">
        <v>33261514</v>
      </c>
      <c r="H18563">
        <v>33261514</v>
      </c>
      <c r="I18563">
        <v>33261514</v>
      </c>
    </row>
    <row r="18564" spans="1:9" x14ac:dyDescent="0.2">
      <c r="A18564" s="1" t="str">
        <f>"TP53TG3B"</f>
        <v>TP53TG3B</v>
      </c>
      <c r="B18564" t="s">
        <v>1736</v>
      </c>
      <c r="C18564" t="s">
        <v>31</v>
      </c>
      <c r="D18564" t="s">
        <v>17</v>
      </c>
      <c r="E18564" t="s">
        <v>20</v>
      </c>
      <c r="F18564">
        <v>33262127</v>
      </c>
      <c r="G18564">
        <v>33262127</v>
      </c>
      <c r="H18564">
        <v>33262127</v>
      </c>
      <c r="I18564">
        <v>33262127</v>
      </c>
    </row>
    <row r="18565" spans="1:9" x14ac:dyDescent="0.2">
      <c r="A18565" s="1" t="str">
        <f>"TP53TG3C"</f>
        <v>TP53TG3C</v>
      </c>
      <c r="B18565" t="s">
        <v>1737</v>
      </c>
      <c r="C18565" t="s">
        <v>31</v>
      </c>
      <c r="D18565" t="s">
        <v>17</v>
      </c>
      <c r="E18565" t="s">
        <v>20</v>
      </c>
      <c r="F18565">
        <v>33205592</v>
      </c>
      <c r="G18565">
        <v>33205592</v>
      </c>
      <c r="H18565">
        <v>33205592</v>
      </c>
      <c r="I18565">
        <v>33205592</v>
      </c>
    </row>
    <row r="18566" spans="1:9" x14ac:dyDescent="0.2">
      <c r="A18566" s="1" t="str">
        <f>"TP53TG3C"</f>
        <v>TP53TG3C</v>
      </c>
      <c r="B18566" t="s">
        <v>1738</v>
      </c>
      <c r="C18566" t="s">
        <v>31</v>
      </c>
      <c r="D18566" t="s">
        <v>17</v>
      </c>
      <c r="E18566" t="s">
        <v>20</v>
      </c>
      <c r="F18566">
        <v>33204155</v>
      </c>
      <c r="G18566">
        <v>33204155</v>
      </c>
      <c r="H18566">
        <v>33204155</v>
      </c>
      <c r="I18566">
        <v>33204155</v>
      </c>
    </row>
    <row r="18567" spans="1:9" x14ac:dyDescent="0.2">
      <c r="A18567" s="1" t="str">
        <f>"TP53TG3C"</f>
        <v>TP53TG3C</v>
      </c>
      <c r="B18567" t="s">
        <v>1739</v>
      </c>
      <c r="C18567" t="s">
        <v>31</v>
      </c>
      <c r="D18567" t="s">
        <v>17</v>
      </c>
      <c r="E18567" t="s">
        <v>20</v>
      </c>
      <c r="F18567">
        <v>33204979</v>
      </c>
      <c r="G18567">
        <v>33204979</v>
      </c>
      <c r="H18567">
        <v>33204979</v>
      </c>
      <c r="I18567">
        <v>33204979</v>
      </c>
    </row>
    <row r="18568" spans="1:9" x14ac:dyDescent="0.2">
      <c r="A18568" s="1" t="str">
        <f>"TP53TG3D"</f>
        <v>TP53TG3D</v>
      </c>
      <c r="B18568" t="s">
        <v>1740</v>
      </c>
      <c r="C18568" t="s">
        <v>31</v>
      </c>
      <c r="D18568" t="s">
        <v>17</v>
      </c>
      <c r="E18568" t="s">
        <v>20</v>
      </c>
      <c r="F18568">
        <v>32264661</v>
      </c>
      <c r="G18568">
        <v>32264661</v>
      </c>
      <c r="H18568">
        <v>32264661</v>
      </c>
      <c r="I18568">
        <v>32264661</v>
      </c>
    </row>
    <row r="18569" spans="1:9" x14ac:dyDescent="0.2">
      <c r="A18569" s="1" t="str">
        <f>"TP53TG3D"</f>
        <v>TP53TG3D</v>
      </c>
      <c r="B18569" t="s">
        <v>1741</v>
      </c>
      <c r="C18569" t="s">
        <v>31</v>
      </c>
      <c r="D18569" t="s">
        <v>17</v>
      </c>
      <c r="E18569" t="s">
        <v>20</v>
      </c>
      <c r="F18569">
        <v>32264039</v>
      </c>
      <c r="G18569">
        <v>32264039</v>
      </c>
      <c r="H18569">
        <v>32264039</v>
      </c>
      <c r="I18569">
        <v>32264039</v>
      </c>
    </row>
    <row r="18570" spans="1:9" x14ac:dyDescent="0.2">
      <c r="A18570" s="1" t="str">
        <f>"TP53TG5"</f>
        <v>TP53TG5</v>
      </c>
      <c r="B18570" t="s">
        <v>14</v>
      </c>
      <c r="C18570" t="s">
        <v>29</v>
      </c>
      <c r="D18570" t="s">
        <v>11</v>
      </c>
      <c r="E18570" t="s">
        <v>12</v>
      </c>
      <c r="F18570">
        <v>44036484</v>
      </c>
      <c r="G18570">
        <v>44036540</v>
      </c>
      <c r="H18570">
        <v>44036484</v>
      </c>
      <c r="I18570">
        <v>44036540</v>
      </c>
    </row>
    <row r="18571" spans="1:9" x14ac:dyDescent="0.2">
      <c r="A18571" s="1" t="str">
        <f>"TP63"</f>
        <v>TP63</v>
      </c>
      <c r="B18571" t="s">
        <v>14</v>
      </c>
      <c r="C18571" t="s">
        <v>22</v>
      </c>
      <c r="D18571" t="s">
        <v>17</v>
      </c>
      <c r="E18571" t="s">
        <v>12</v>
      </c>
      <c r="F18571">
        <v>189507432</v>
      </c>
      <c r="G18571">
        <v>189507459</v>
      </c>
      <c r="H18571">
        <v>189507432</v>
      </c>
      <c r="I18571">
        <v>189507459</v>
      </c>
    </row>
    <row r="18572" spans="1:9" x14ac:dyDescent="0.2">
      <c r="A18572" s="1" t="str">
        <f>"TP73"</f>
        <v>TP73</v>
      </c>
      <c r="B18572" t="s">
        <v>14</v>
      </c>
      <c r="C18572" t="s">
        <v>19</v>
      </c>
      <c r="D18572" t="s">
        <v>17</v>
      </c>
      <c r="E18572" t="s">
        <v>12</v>
      </c>
      <c r="F18572">
        <v>3569072</v>
      </c>
      <c r="G18572">
        <v>3569093</v>
      </c>
      <c r="H18572">
        <v>3569101</v>
      </c>
      <c r="I18572">
        <v>3569115</v>
      </c>
    </row>
    <row r="18573" spans="1:9" x14ac:dyDescent="0.2">
      <c r="A18573" s="1" t="str">
        <f>"TPBG"</f>
        <v>TPBG</v>
      </c>
      <c r="B18573" t="s">
        <v>14</v>
      </c>
      <c r="C18573" t="s">
        <v>32</v>
      </c>
      <c r="D18573" t="s">
        <v>17</v>
      </c>
      <c r="E18573" t="s">
        <v>12</v>
      </c>
      <c r="F18573">
        <v>83073525</v>
      </c>
      <c r="G18573">
        <v>83073551</v>
      </c>
      <c r="H18573">
        <v>83073553</v>
      </c>
      <c r="I18573">
        <v>83073601</v>
      </c>
    </row>
    <row r="18574" spans="1:9" x14ac:dyDescent="0.2">
      <c r="A18574" s="1" t="str">
        <f>"TPBGL"</f>
        <v>TPBGL</v>
      </c>
      <c r="B18574" t="s">
        <v>14</v>
      </c>
      <c r="C18574" t="s">
        <v>27</v>
      </c>
      <c r="D18574" t="s">
        <v>17</v>
      </c>
      <c r="E18574" t="s">
        <v>67</v>
      </c>
      <c r="F18574">
        <v>74951806</v>
      </c>
      <c r="G18574">
        <v>74951827</v>
      </c>
      <c r="H18574">
        <v>74951829</v>
      </c>
      <c r="I18574">
        <v>74951853</v>
      </c>
    </row>
    <row r="18575" spans="1:9" x14ac:dyDescent="0.2">
      <c r="A18575" s="1" t="str">
        <f>"TPCN1"</f>
        <v>TPCN1</v>
      </c>
      <c r="B18575" t="s">
        <v>14</v>
      </c>
      <c r="C18575" t="s">
        <v>16</v>
      </c>
      <c r="D18575" t="s">
        <v>17</v>
      </c>
      <c r="E18575" t="s">
        <v>12</v>
      </c>
      <c r="F18575">
        <v>113659261</v>
      </c>
      <c r="G18575">
        <v>113659300</v>
      </c>
      <c r="H18575">
        <v>113659261</v>
      </c>
      <c r="I18575">
        <v>113659300</v>
      </c>
    </row>
    <row r="18576" spans="1:9" x14ac:dyDescent="0.2">
      <c r="A18576" s="1" t="str">
        <f>"TPCN2"</f>
        <v>TPCN2</v>
      </c>
      <c r="B18576" t="s">
        <v>14</v>
      </c>
      <c r="C18576" t="s">
        <v>27</v>
      </c>
      <c r="D18576" t="s">
        <v>17</v>
      </c>
      <c r="E18576" t="s">
        <v>12</v>
      </c>
      <c r="F18576">
        <v>68816356</v>
      </c>
      <c r="G18576">
        <v>68816464</v>
      </c>
      <c r="H18576">
        <v>68816334</v>
      </c>
      <c r="I18576">
        <v>68816353</v>
      </c>
    </row>
    <row r="18577" spans="1:9" x14ac:dyDescent="0.2">
      <c r="A18577" s="1" t="str">
        <f>"TPD52"</f>
        <v>TPD52</v>
      </c>
      <c r="B18577" t="s">
        <v>14</v>
      </c>
      <c r="C18577" t="s">
        <v>30</v>
      </c>
      <c r="D18577" t="s">
        <v>11</v>
      </c>
      <c r="E18577" t="s">
        <v>12</v>
      </c>
      <c r="F18577">
        <v>81083731</v>
      </c>
      <c r="G18577">
        <v>81083813</v>
      </c>
      <c r="H18577">
        <v>81083695</v>
      </c>
      <c r="I18577">
        <v>81083722</v>
      </c>
    </row>
    <row r="18578" spans="1:9" x14ac:dyDescent="0.2">
      <c r="A18578" s="1" t="str">
        <f>"TPD52L1"</f>
        <v>TPD52L1</v>
      </c>
      <c r="B18578" t="s">
        <v>14</v>
      </c>
      <c r="C18578" t="s">
        <v>32</v>
      </c>
      <c r="D18578" t="s">
        <v>17</v>
      </c>
      <c r="E18578" t="s">
        <v>12</v>
      </c>
      <c r="F18578">
        <v>125474939</v>
      </c>
      <c r="G18578">
        <v>125474991</v>
      </c>
      <c r="H18578">
        <v>125474859</v>
      </c>
      <c r="I18578">
        <v>125474934</v>
      </c>
    </row>
    <row r="18579" spans="1:9" x14ac:dyDescent="0.2">
      <c r="A18579" s="1" t="str">
        <f>"TPD52L2"</f>
        <v>TPD52L2</v>
      </c>
      <c r="B18579" t="s">
        <v>14</v>
      </c>
      <c r="C18579" t="s">
        <v>29</v>
      </c>
      <c r="D18579" t="s">
        <v>17</v>
      </c>
      <c r="E18579" t="s">
        <v>12</v>
      </c>
      <c r="F18579">
        <v>62496606</v>
      </c>
      <c r="G18579">
        <v>62496655</v>
      </c>
      <c r="H18579">
        <v>62496661</v>
      </c>
      <c r="I18579">
        <v>62496689</v>
      </c>
    </row>
    <row r="18580" spans="1:9" x14ac:dyDescent="0.2">
      <c r="A18580" s="1" t="str">
        <f>"TPD52L3"</f>
        <v>TPD52L3</v>
      </c>
      <c r="B18580" t="s">
        <v>14</v>
      </c>
      <c r="C18580" t="s">
        <v>24</v>
      </c>
      <c r="D18580" t="s">
        <v>17</v>
      </c>
      <c r="E18580" t="s">
        <v>12</v>
      </c>
      <c r="F18580">
        <v>6328360</v>
      </c>
      <c r="G18580">
        <v>6328400</v>
      </c>
      <c r="H18580">
        <v>6328338</v>
      </c>
      <c r="I18580">
        <v>6328358</v>
      </c>
    </row>
    <row r="18581" spans="1:9" x14ac:dyDescent="0.2">
      <c r="A18581" s="1" t="str">
        <f>"TPGS1"</f>
        <v>TPGS1</v>
      </c>
      <c r="B18581" t="s">
        <v>14</v>
      </c>
      <c r="C18581" t="s">
        <v>10</v>
      </c>
      <c r="D18581" t="s">
        <v>17</v>
      </c>
      <c r="E18581" t="s">
        <v>12</v>
      </c>
      <c r="F18581">
        <v>507487</v>
      </c>
      <c r="G18581">
        <v>507508</v>
      </c>
      <c r="H18581">
        <v>507635</v>
      </c>
      <c r="I18581">
        <v>507649</v>
      </c>
    </row>
    <row r="18582" spans="1:9" x14ac:dyDescent="0.2">
      <c r="A18582" s="1" t="str">
        <f>"TPGS2"</f>
        <v>TPGS2</v>
      </c>
      <c r="B18582" t="s">
        <v>14</v>
      </c>
      <c r="C18582" t="s">
        <v>43</v>
      </c>
      <c r="D18582" t="s">
        <v>11</v>
      </c>
      <c r="E18582" t="s">
        <v>12</v>
      </c>
      <c r="F18582">
        <v>34408734</v>
      </c>
      <c r="G18582">
        <v>34408780</v>
      </c>
      <c r="H18582">
        <v>34408902</v>
      </c>
      <c r="I18582">
        <v>34409022</v>
      </c>
    </row>
    <row r="18583" spans="1:9" x14ac:dyDescent="0.2">
      <c r="A18583" s="1" t="str">
        <f>"TPH1"</f>
        <v>TPH1</v>
      </c>
      <c r="B18583" t="s">
        <v>14</v>
      </c>
      <c r="C18583" t="s">
        <v>27</v>
      </c>
      <c r="D18583" t="s">
        <v>11</v>
      </c>
      <c r="E18583" t="s">
        <v>12</v>
      </c>
      <c r="F18583">
        <v>18048135</v>
      </c>
      <c r="G18583">
        <v>18048143</v>
      </c>
      <c r="H18583">
        <v>18048135</v>
      </c>
      <c r="I18583">
        <v>18048143</v>
      </c>
    </row>
    <row r="18584" spans="1:9" x14ac:dyDescent="0.2">
      <c r="A18584" s="1" t="str">
        <f>"TPH2"</f>
        <v>TPH2</v>
      </c>
      <c r="B18584" t="s">
        <v>14</v>
      </c>
      <c r="C18584" t="s">
        <v>16</v>
      </c>
      <c r="D18584" t="s">
        <v>17</v>
      </c>
      <c r="E18584" t="s">
        <v>12</v>
      </c>
      <c r="F18584">
        <v>72332618</v>
      </c>
      <c r="G18584">
        <v>72332632</v>
      </c>
      <c r="H18584">
        <v>72332815</v>
      </c>
      <c r="I18584">
        <v>72332831</v>
      </c>
    </row>
    <row r="18585" spans="1:9" x14ac:dyDescent="0.2">
      <c r="A18585" s="1" t="str">
        <f>"TPI1"</f>
        <v>TPI1</v>
      </c>
      <c r="B18585" t="s">
        <v>14</v>
      </c>
      <c r="C18585" t="s">
        <v>16</v>
      </c>
      <c r="D18585" t="s">
        <v>17</v>
      </c>
      <c r="E18585" t="s">
        <v>12</v>
      </c>
      <c r="F18585">
        <v>6976687</v>
      </c>
      <c r="G18585">
        <v>6976696</v>
      </c>
      <c r="H18585">
        <v>6977258</v>
      </c>
      <c r="I18585">
        <v>6977319</v>
      </c>
    </row>
    <row r="18586" spans="1:9" x14ac:dyDescent="0.2">
      <c r="A18586" s="1" t="str">
        <f>"TPK1"</f>
        <v>TPK1</v>
      </c>
      <c r="B18586" t="s">
        <v>14</v>
      </c>
      <c r="C18586" t="s">
        <v>33</v>
      </c>
      <c r="D18586" t="s">
        <v>11</v>
      </c>
      <c r="E18586" t="s">
        <v>12</v>
      </c>
      <c r="F18586">
        <v>144533074</v>
      </c>
      <c r="G18586">
        <v>144533153</v>
      </c>
      <c r="H18586">
        <v>144533055</v>
      </c>
      <c r="I18586">
        <v>144533069</v>
      </c>
    </row>
    <row r="18587" spans="1:9" x14ac:dyDescent="0.2">
      <c r="A18587" s="1" t="str">
        <f>"TPM1"</f>
        <v>TPM1</v>
      </c>
      <c r="B18587" t="s">
        <v>9</v>
      </c>
      <c r="C18587" t="s">
        <v>25</v>
      </c>
      <c r="D18587" t="s">
        <v>17</v>
      </c>
      <c r="E18587" t="s">
        <v>12</v>
      </c>
      <c r="F18587">
        <v>63334938</v>
      </c>
      <c r="G18587">
        <v>63334957</v>
      </c>
      <c r="H18587">
        <v>63334938</v>
      </c>
      <c r="I18587">
        <v>63334957</v>
      </c>
    </row>
    <row r="18588" spans="1:9" x14ac:dyDescent="0.2">
      <c r="A18588" s="1" t="str">
        <f>"TPM1"</f>
        <v>TPM1</v>
      </c>
      <c r="B18588" t="s">
        <v>13</v>
      </c>
      <c r="C18588" t="s">
        <v>25</v>
      </c>
      <c r="D18588" t="s">
        <v>17</v>
      </c>
      <c r="E18588" t="s">
        <v>12</v>
      </c>
      <c r="F18588">
        <v>63340647</v>
      </c>
      <c r="G18588">
        <v>63340728</v>
      </c>
      <c r="H18588">
        <v>63340647</v>
      </c>
      <c r="I18588">
        <v>63340728</v>
      </c>
    </row>
    <row r="18589" spans="1:9" x14ac:dyDescent="0.2">
      <c r="A18589" s="1" t="str">
        <f>"TPM2"</f>
        <v>TPM2</v>
      </c>
      <c r="B18589" t="s">
        <v>14</v>
      </c>
      <c r="C18589" t="s">
        <v>24</v>
      </c>
      <c r="D18589" t="s">
        <v>11</v>
      </c>
      <c r="E18589" t="s">
        <v>12</v>
      </c>
      <c r="F18589">
        <v>35689915</v>
      </c>
      <c r="G18589">
        <v>35689930</v>
      </c>
      <c r="H18589">
        <v>35689915</v>
      </c>
      <c r="I18589">
        <v>35689930</v>
      </c>
    </row>
    <row r="18590" spans="1:9" x14ac:dyDescent="0.2">
      <c r="A18590" s="1" t="str">
        <f>"TPM3"</f>
        <v>TPM3</v>
      </c>
      <c r="B18590" t="s">
        <v>14</v>
      </c>
      <c r="C18590" t="s">
        <v>19</v>
      </c>
      <c r="D18590" t="s">
        <v>11</v>
      </c>
      <c r="E18590" t="s">
        <v>12</v>
      </c>
      <c r="F18590">
        <v>154155675</v>
      </c>
      <c r="G18590">
        <v>154155709</v>
      </c>
      <c r="H18590">
        <v>154155675</v>
      </c>
      <c r="I18590">
        <v>154155709</v>
      </c>
    </row>
    <row r="18591" spans="1:9" x14ac:dyDescent="0.2">
      <c r="A18591" s="1" t="str">
        <f>"TPM4"</f>
        <v>TPM4</v>
      </c>
      <c r="B18591" t="s">
        <v>9</v>
      </c>
      <c r="C18591" t="s">
        <v>10</v>
      </c>
      <c r="D18591" t="s">
        <v>17</v>
      </c>
      <c r="E18591" t="s">
        <v>12</v>
      </c>
      <c r="F18591">
        <v>16187296</v>
      </c>
      <c r="G18591">
        <v>16187344</v>
      </c>
      <c r="H18591">
        <v>16187296</v>
      </c>
      <c r="I18591">
        <v>16187344</v>
      </c>
    </row>
    <row r="18592" spans="1:9" x14ac:dyDescent="0.2">
      <c r="A18592" s="1" t="str">
        <f>"TPM4"</f>
        <v>TPM4</v>
      </c>
      <c r="B18592" t="s">
        <v>13</v>
      </c>
      <c r="C18592" t="s">
        <v>10</v>
      </c>
      <c r="D18592" t="s">
        <v>17</v>
      </c>
      <c r="E18592" t="s">
        <v>12</v>
      </c>
      <c r="F18592">
        <v>16178336</v>
      </c>
      <c r="G18592">
        <v>16178354</v>
      </c>
      <c r="H18592">
        <v>16178336</v>
      </c>
      <c r="I18592">
        <v>16178354</v>
      </c>
    </row>
    <row r="18593" spans="1:9" x14ac:dyDescent="0.2">
      <c r="A18593" s="1" t="str">
        <f>"TPMT"</f>
        <v>TPMT</v>
      </c>
      <c r="B18593" t="s">
        <v>14</v>
      </c>
      <c r="C18593" t="s">
        <v>32</v>
      </c>
      <c r="D18593" t="s">
        <v>11</v>
      </c>
      <c r="E18593" t="s">
        <v>12</v>
      </c>
      <c r="F18593">
        <v>18155285</v>
      </c>
      <c r="G18593">
        <v>18155316</v>
      </c>
      <c r="H18593">
        <v>18155320</v>
      </c>
      <c r="I18593">
        <v>18155327</v>
      </c>
    </row>
    <row r="18594" spans="1:9" x14ac:dyDescent="0.2">
      <c r="A18594" s="1" t="str">
        <f>"TPO"</f>
        <v>TPO</v>
      </c>
      <c r="B18594" t="s">
        <v>14</v>
      </c>
      <c r="C18594" t="s">
        <v>26</v>
      </c>
      <c r="D18594" t="s">
        <v>17</v>
      </c>
      <c r="E18594" t="s">
        <v>12</v>
      </c>
      <c r="F18594">
        <v>1417228</v>
      </c>
      <c r="G18594">
        <v>1417247</v>
      </c>
      <c r="H18594">
        <v>1418171</v>
      </c>
      <c r="I18594">
        <v>1418194</v>
      </c>
    </row>
    <row r="18595" spans="1:9" x14ac:dyDescent="0.2">
      <c r="A18595" s="1" t="str">
        <f>"TPP1"</f>
        <v>TPP1</v>
      </c>
      <c r="B18595" t="s">
        <v>14</v>
      </c>
      <c r="C18595" t="s">
        <v>27</v>
      </c>
      <c r="D18595" t="s">
        <v>11</v>
      </c>
      <c r="E18595" t="s">
        <v>12</v>
      </c>
      <c r="F18595">
        <v>6640638</v>
      </c>
      <c r="G18595">
        <v>6640665</v>
      </c>
      <c r="H18595">
        <v>6640638</v>
      </c>
      <c r="I18595">
        <v>6640665</v>
      </c>
    </row>
    <row r="18596" spans="1:9" x14ac:dyDescent="0.2">
      <c r="A18596" s="1" t="str">
        <f>"TPP2"</f>
        <v>TPP2</v>
      </c>
      <c r="B18596" t="s">
        <v>14</v>
      </c>
      <c r="C18596" t="s">
        <v>39</v>
      </c>
      <c r="D18596" t="s">
        <v>17</v>
      </c>
      <c r="E18596" t="s">
        <v>12</v>
      </c>
      <c r="F18596">
        <v>103249322</v>
      </c>
      <c r="G18596">
        <v>103249379</v>
      </c>
      <c r="H18596">
        <v>103249302</v>
      </c>
      <c r="I18596">
        <v>103249321</v>
      </c>
    </row>
    <row r="18597" spans="1:9" x14ac:dyDescent="0.2">
      <c r="A18597" s="1" t="str">
        <f>"TPPP"</f>
        <v>TPPP</v>
      </c>
      <c r="B18597" t="s">
        <v>14</v>
      </c>
      <c r="C18597" t="s">
        <v>46</v>
      </c>
      <c r="D18597" t="s">
        <v>11</v>
      </c>
      <c r="E18597" t="s">
        <v>12</v>
      </c>
      <c r="F18597">
        <v>693421</v>
      </c>
      <c r="G18597">
        <v>693481</v>
      </c>
      <c r="H18597">
        <v>693500</v>
      </c>
      <c r="I18597">
        <v>693511</v>
      </c>
    </row>
    <row r="18598" spans="1:9" x14ac:dyDescent="0.2">
      <c r="A18598" s="1" t="str">
        <f>"TPPP2"</f>
        <v>TPPP2</v>
      </c>
      <c r="B18598" t="s">
        <v>9</v>
      </c>
      <c r="C18598" t="s">
        <v>41</v>
      </c>
      <c r="D18598" t="s">
        <v>17</v>
      </c>
      <c r="E18598" t="s">
        <v>12</v>
      </c>
      <c r="F18598">
        <v>21498360</v>
      </c>
      <c r="G18598">
        <v>21498417</v>
      </c>
      <c r="H18598">
        <v>21498360</v>
      </c>
      <c r="I18598">
        <v>21498417</v>
      </c>
    </row>
    <row r="18599" spans="1:9" x14ac:dyDescent="0.2">
      <c r="A18599" s="1" t="str">
        <f>"TPPP2"</f>
        <v>TPPP2</v>
      </c>
      <c r="B18599" t="s">
        <v>13</v>
      </c>
      <c r="C18599" t="s">
        <v>41</v>
      </c>
      <c r="D18599" t="s">
        <v>17</v>
      </c>
      <c r="E18599" t="s">
        <v>12</v>
      </c>
      <c r="F18599">
        <v>21492235</v>
      </c>
      <c r="G18599">
        <v>21492258</v>
      </c>
      <c r="H18599">
        <v>21492235</v>
      </c>
      <c r="I18599">
        <v>21492258</v>
      </c>
    </row>
    <row r="18600" spans="1:9" x14ac:dyDescent="0.2">
      <c r="A18600" s="1" t="str">
        <f>"TPPP3"</f>
        <v>TPPP3</v>
      </c>
      <c r="B18600" t="s">
        <v>14</v>
      </c>
      <c r="C18600" t="s">
        <v>31</v>
      </c>
      <c r="D18600" t="s">
        <v>11</v>
      </c>
      <c r="E18600" t="s">
        <v>12</v>
      </c>
      <c r="F18600">
        <v>67427389</v>
      </c>
      <c r="G18600">
        <v>67427408</v>
      </c>
      <c r="H18600">
        <v>67427389</v>
      </c>
      <c r="I18600">
        <v>67427408</v>
      </c>
    </row>
    <row r="18601" spans="1:9" x14ac:dyDescent="0.2">
      <c r="A18601" s="1" t="str">
        <f>"TPR"</f>
        <v>TPR</v>
      </c>
      <c r="B18601" t="s">
        <v>14</v>
      </c>
      <c r="C18601" t="s">
        <v>19</v>
      </c>
      <c r="D18601" t="s">
        <v>11</v>
      </c>
      <c r="E18601" t="s">
        <v>12</v>
      </c>
      <c r="F18601">
        <v>186344371</v>
      </c>
      <c r="G18601">
        <v>186344415</v>
      </c>
      <c r="H18601">
        <v>186344351</v>
      </c>
      <c r="I18601">
        <v>186344370</v>
      </c>
    </row>
    <row r="18602" spans="1:9" x14ac:dyDescent="0.2">
      <c r="A18602" s="1" t="str">
        <f>"TPRA1"</f>
        <v>TPRA1</v>
      </c>
      <c r="B18602" t="s">
        <v>14</v>
      </c>
      <c r="C18602" t="s">
        <v>22</v>
      </c>
      <c r="D18602" t="s">
        <v>11</v>
      </c>
      <c r="E18602" t="s">
        <v>12</v>
      </c>
      <c r="F18602">
        <v>127309551</v>
      </c>
      <c r="G18602">
        <v>127309584</v>
      </c>
      <c r="H18602">
        <v>127309318</v>
      </c>
      <c r="I18602">
        <v>127309386</v>
      </c>
    </row>
    <row r="18603" spans="1:9" x14ac:dyDescent="0.2">
      <c r="A18603" s="1" t="str">
        <f>"TPRG1"</f>
        <v>TPRG1</v>
      </c>
      <c r="B18603" t="s">
        <v>1742</v>
      </c>
      <c r="C18603" t="s">
        <v>22</v>
      </c>
      <c r="D18603" t="s">
        <v>17</v>
      </c>
      <c r="E18603" t="s">
        <v>35</v>
      </c>
      <c r="F18603">
        <v>188889706</v>
      </c>
      <c r="G18603">
        <v>188889735</v>
      </c>
      <c r="H18603">
        <v>188889853</v>
      </c>
      <c r="I18603">
        <v>188889857</v>
      </c>
    </row>
    <row r="18604" spans="1:9" x14ac:dyDescent="0.2">
      <c r="A18604" s="1" t="str">
        <f>"TPRG1"</f>
        <v>TPRG1</v>
      </c>
      <c r="B18604" t="s">
        <v>1743</v>
      </c>
      <c r="C18604" t="s">
        <v>22</v>
      </c>
      <c r="D18604" t="s">
        <v>17</v>
      </c>
      <c r="E18604" t="s">
        <v>35</v>
      </c>
      <c r="F18604">
        <v>188664864</v>
      </c>
      <c r="G18604">
        <v>188664874</v>
      </c>
      <c r="H18604">
        <v>188665020</v>
      </c>
      <c r="I18604">
        <v>188665032</v>
      </c>
    </row>
    <row r="18605" spans="1:9" x14ac:dyDescent="0.2">
      <c r="A18605" s="1" t="str">
        <f>"TPRG1L"</f>
        <v>TPRG1L</v>
      </c>
      <c r="B18605" t="s">
        <v>14</v>
      </c>
      <c r="C18605" t="s">
        <v>19</v>
      </c>
      <c r="D18605" t="s">
        <v>17</v>
      </c>
      <c r="E18605" t="s">
        <v>12</v>
      </c>
      <c r="F18605">
        <v>3541543</v>
      </c>
      <c r="G18605">
        <v>3541658</v>
      </c>
      <c r="H18605">
        <v>3541965</v>
      </c>
      <c r="I18605">
        <v>3542007</v>
      </c>
    </row>
    <row r="18606" spans="1:9" x14ac:dyDescent="0.2">
      <c r="A18606" s="1" t="str">
        <f>"TPRKB"</f>
        <v>TPRKB</v>
      </c>
      <c r="B18606" t="s">
        <v>14</v>
      </c>
      <c r="C18606" t="s">
        <v>26</v>
      </c>
      <c r="D18606" t="s">
        <v>11</v>
      </c>
      <c r="E18606" t="s">
        <v>12</v>
      </c>
      <c r="F18606">
        <v>73964447</v>
      </c>
      <c r="G18606">
        <v>73964495</v>
      </c>
      <c r="H18606">
        <v>73964500</v>
      </c>
      <c r="I18606">
        <v>73964513</v>
      </c>
    </row>
    <row r="18607" spans="1:9" x14ac:dyDescent="0.2">
      <c r="A18607" s="1" t="str">
        <f>"TPRN"</f>
        <v>TPRN</v>
      </c>
      <c r="B18607" t="s">
        <v>14</v>
      </c>
      <c r="C18607" t="s">
        <v>24</v>
      </c>
      <c r="D18607" t="s">
        <v>11</v>
      </c>
      <c r="E18607" t="s">
        <v>12</v>
      </c>
      <c r="F18607">
        <v>140095186</v>
      </c>
      <c r="G18607">
        <v>140095208</v>
      </c>
      <c r="H18607">
        <v>140094857</v>
      </c>
      <c r="I18607">
        <v>140094903</v>
      </c>
    </row>
    <row r="18608" spans="1:9" x14ac:dyDescent="0.2">
      <c r="A18608" s="1" t="str">
        <f>"TPRX1"</f>
        <v>TPRX1</v>
      </c>
      <c r="B18608" t="s">
        <v>1744</v>
      </c>
      <c r="C18608" t="s">
        <v>10</v>
      </c>
      <c r="D18608" t="s">
        <v>11</v>
      </c>
      <c r="E18608" t="s">
        <v>20</v>
      </c>
      <c r="F18608">
        <v>48322307</v>
      </c>
      <c r="G18608">
        <v>48322307</v>
      </c>
      <c r="H18608">
        <v>48322307</v>
      </c>
      <c r="I18608">
        <v>48322307</v>
      </c>
    </row>
    <row r="18609" spans="1:9" x14ac:dyDescent="0.2">
      <c r="A18609" s="1" t="str">
        <f>"TPSAB1"</f>
        <v>TPSAB1</v>
      </c>
      <c r="B18609" t="s">
        <v>14</v>
      </c>
      <c r="C18609" t="s">
        <v>31</v>
      </c>
      <c r="D18609" t="s">
        <v>17</v>
      </c>
      <c r="E18609" t="s">
        <v>12</v>
      </c>
      <c r="F18609">
        <v>1290694</v>
      </c>
      <c r="G18609">
        <v>1290712</v>
      </c>
      <c r="H18609">
        <v>1290928</v>
      </c>
      <c r="I18609">
        <v>1290947</v>
      </c>
    </row>
    <row r="18610" spans="1:9" x14ac:dyDescent="0.2">
      <c r="A18610" s="1" t="str">
        <f>"TPSB2"</f>
        <v>TPSB2</v>
      </c>
      <c r="B18610" t="s">
        <v>14</v>
      </c>
      <c r="C18610" t="s">
        <v>31</v>
      </c>
      <c r="D18610" t="s">
        <v>11</v>
      </c>
      <c r="E18610" t="s">
        <v>12</v>
      </c>
      <c r="F18610">
        <v>1279644</v>
      </c>
      <c r="G18610">
        <v>1279672</v>
      </c>
      <c r="H18610">
        <v>1280084</v>
      </c>
      <c r="I18610">
        <v>1280116</v>
      </c>
    </row>
    <row r="18611" spans="1:9" x14ac:dyDescent="0.2">
      <c r="A18611" s="1" t="str">
        <f>"TPSD1"</f>
        <v>TPSD1</v>
      </c>
      <c r="B18611" t="s">
        <v>14</v>
      </c>
      <c r="C18611" t="s">
        <v>31</v>
      </c>
      <c r="D18611" t="s">
        <v>17</v>
      </c>
      <c r="E18611" t="s">
        <v>12</v>
      </c>
      <c r="F18611">
        <v>1306063</v>
      </c>
      <c r="G18611">
        <v>1306088</v>
      </c>
      <c r="H18611">
        <v>1306281</v>
      </c>
      <c r="I18611">
        <v>1306311</v>
      </c>
    </row>
    <row r="18612" spans="1:9" x14ac:dyDescent="0.2">
      <c r="A18612" s="1" t="str">
        <f>"TPSG1"</f>
        <v>TPSG1</v>
      </c>
      <c r="B18612" t="s">
        <v>14</v>
      </c>
      <c r="C18612" t="s">
        <v>31</v>
      </c>
      <c r="D18612" t="s">
        <v>11</v>
      </c>
      <c r="E18612" t="s">
        <v>12</v>
      </c>
      <c r="F18612">
        <v>1275258</v>
      </c>
      <c r="G18612">
        <v>1275289</v>
      </c>
      <c r="H18612">
        <v>1275258</v>
      </c>
      <c r="I18612">
        <v>1275289</v>
      </c>
    </row>
    <row r="18613" spans="1:9" x14ac:dyDescent="0.2">
      <c r="A18613" s="1" t="str">
        <f>"TPST1"</f>
        <v>TPST1</v>
      </c>
      <c r="B18613" t="s">
        <v>14</v>
      </c>
      <c r="C18613" t="s">
        <v>33</v>
      </c>
      <c r="D18613" t="s">
        <v>17</v>
      </c>
      <c r="E18613" t="s">
        <v>12</v>
      </c>
      <c r="F18613">
        <v>65670312</v>
      </c>
      <c r="G18613">
        <v>65670330</v>
      </c>
      <c r="H18613">
        <v>65670295</v>
      </c>
      <c r="I18613">
        <v>65670309</v>
      </c>
    </row>
    <row r="18614" spans="1:9" x14ac:dyDescent="0.2">
      <c r="A18614" s="1" t="str">
        <f>"TPST2"</f>
        <v>TPST2</v>
      </c>
      <c r="B18614" t="s">
        <v>9</v>
      </c>
      <c r="C18614" t="s">
        <v>21</v>
      </c>
      <c r="D18614" t="s">
        <v>11</v>
      </c>
      <c r="E18614" t="s">
        <v>12</v>
      </c>
      <c r="F18614">
        <v>26986045</v>
      </c>
      <c r="G18614">
        <v>26986106</v>
      </c>
      <c r="H18614">
        <v>26986045</v>
      </c>
      <c r="I18614">
        <v>26986106</v>
      </c>
    </row>
    <row r="18615" spans="1:9" x14ac:dyDescent="0.2">
      <c r="A18615" s="1" t="str">
        <f>"TPST2"</f>
        <v>TPST2</v>
      </c>
      <c r="B18615" t="s">
        <v>13</v>
      </c>
      <c r="C18615" t="s">
        <v>21</v>
      </c>
      <c r="D18615" t="s">
        <v>11</v>
      </c>
      <c r="E18615" t="s">
        <v>12</v>
      </c>
      <c r="F18615">
        <v>26961300</v>
      </c>
      <c r="G18615">
        <v>26961312</v>
      </c>
      <c r="H18615">
        <v>26961300</v>
      </c>
      <c r="I18615">
        <v>26961312</v>
      </c>
    </row>
    <row r="18616" spans="1:9" x14ac:dyDescent="0.2">
      <c r="A18616" s="1" t="str">
        <f>"TPT1"</f>
        <v>TPT1</v>
      </c>
      <c r="B18616" t="s">
        <v>14</v>
      </c>
      <c r="C18616" t="s">
        <v>39</v>
      </c>
      <c r="D18616" t="s">
        <v>11</v>
      </c>
      <c r="E18616" t="s">
        <v>12</v>
      </c>
      <c r="F18616">
        <v>45915315</v>
      </c>
      <c r="G18616">
        <v>45915321</v>
      </c>
      <c r="H18616">
        <v>45915315</v>
      </c>
      <c r="I18616">
        <v>45915321</v>
      </c>
    </row>
    <row r="18617" spans="1:9" x14ac:dyDescent="0.2">
      <c r="A18617" s="1" t="str">
        <f>"TPTE"</f>
        <v>TPTE</v>
      </c>
      <c r="B18617" t="s">
        <v>14</v>
      </c>
      <c r="C18617" t="s">
        <v>42</v>
      </c>
      <c r="D18617" t="s">
        <v>11</v>
      </c>
      <c r="E18617" t="s">
        <v>12</v>
      </c>
      <c r="F18617">
        <v>10990830</v>
      </c>
      <c r="G18617">
        <v>10990886</v>
      </c>
      <c r="H18617">
        <v>10990888</v>
      </c>
      <c r="I18617">
        <v>10990902</v>
      </c>
    </row>
    <row r="18618" spans="1:9" x14ac:dyDescent="0.2">
      <c r="A18618" s="1" t="str">
        <f>"TPTE2"</f>
        <v>TPTE2</v>
      </c>
      <c r="B18618" t="s">
        <v>1745</v>
      </c>
      <c r="C18618" t="s">
        <v>39</v>
      </c>
      <c r="D18618" t="s">
        <v>11</v>
      </c>
      <c r="E18618" t="s">
        <v>20</v>
      </c>
      <c r="F18618">
        <v>20110902</v>
      </c>
      <c r="G18618">
        <v>20110902</v>
      </c>
      <c r="H18618">
        <v>20110902</v>
      </c>
      <c r="I18618">
        <v>20110902</v>
      </c>
    </row>
    <row r="18619" spans="1:9" x14ac:dyDescent="0.2">
      <c r="A18619" s="1" t="str">
        <f>"TPTE2"</f>
        <v>TPTE2</v>
      </c>
      <c r="B18619" t="s">
        <v>1746</v>
      </c>
      <c r="C18619" t="s">
        <v>39</v>
      </c>
      <c r="D18619" t="s">
        <v>11</v>
      </c>
      <c r="E18619" t="s">
        <v>20</v>
      </c>
      <c r="F18619">
        <v>20077418</v>
      </c>
      <c r="G18619">
        <v>20077418</v>
      </c>
      <c r="H18619">
        <v>20077418</v>
      </c>
      <c r="I18619">
        <v>20077418</v>
      </c>
    </row>
    <row r="18620" spans="1:9" x14ac:dyDescent="0.2">
      <c r="A18620" s="1" t="str">
        <f>"TPX2"</f>
        <v>TPX2</v>
      </c>
      <c r="B18620" t="s">
        <v>14</v>
      </c>
      <c r="C18620" t="s">
        <v>29</v>
      </c>
      <c r="D18620" t="s">
        <v>17</v>
      </c>
      <c r="E18620" t="s">
        <v>12</v>
      </c>
      <c r="F18620">
        <v>30327063</v>
      </c>
      <c r="G18620">
        <v>30327138</v>
      </c>
      <c r="H18620">
        <v>30327143</v>
      </c>
      <c r="I18620">
        <v>30327154</v>
      </c>
    </row>
    <row r="18621" spans="1:9" x14ac:dyDescent="0.2">
      <c r="A18621" s="1" t="str">
        <f>"TRA2A"</f>
        <v>TRA2A</v>
      </c>
      <c r="B18621" t="s">
        <v>9</v>
      </c>
      <c r="C18621" t="s">
        <v>33</v>
      </c>
      <c r="D18621" t="s">
        <v>11</v>
      </c>
      <c r="E18621" t="s">
        <v>12</v>
      </c>
      <c r="F18621">
        <v>23571586</v>
      </c>
      <c r="G18621">
        <v>23571610</v>
      </c>
      <c r="H18621">
        <v>23571586</v>
      </c>
      <c r="I18621">
        <v>23571610</v>
      </c>
    </row>
    <row r="18622" spans="1:9" x14ac:dyDescent="0.2">
      <c r="A18622" s="1" t="str">
        <f>"TRA2A"</f>
        <v>TRA2A</v>
      </c>
      <c r="B18622" t="s">
        <v>13</v>
      </c>
      <c r="C18622" t="s">
        <v>33</v>
      </c>
      <c r="D18622" t="s">
        <v>11</v>
      </c>
      <c r="E18622" t="s">
        <v>12</v>
      </c>
      <c r="F18622">
        <v>23545828</v>
      </c>
      <c r="G18622">
        <v>23545860</v>
      </c>
      <c r="H18622">
        <v>23545828</v>
      </c>
      <c r="I18622">
        <v>23545860</v>
      </c>
    </row>
    <row r="18623" spans="1:9" x14ac:dyDescent="0.2">
      <c r="A18623" s="1" t="str">
        <f>"TRA2B"</f>
        <v>TRA2B</v>
      </c>
      <c r="B18623" t="s">
        <v>14</v>
      </c>
      <c r="C18623" t="s">
        <v>22</v>
      </c>
      <c r="D18623" t="s">
        <v>11</v>
      </c>
      <c r="E18623" t="s">
        <v>12</v>
      </c>
      <c r="F18623">
        <v>185655763</v>
      </c>
      <c r="G18623">
        <v>185655783</v>
      </c>
      <c r="H18623">
        <v>185655795</v>
      </c>
      <c r="I18623">
        <v>185655822</v>
      </c>
    </row>
    <row r="18624" spans="1:9" x14ac:dyDescent="0.2">
      <c r="A18624" s="1" t="str">
        <f>"TRABD"</f>
        <v>TRABD</v>
      </c>
      <c r="B18624" t="s">
        <v>9</v>
      </c>
      <c r="C18624" t="s">
        <v>21</v>
      </c>
      <c r="D18624" t="s">
        <v>17</v>
      </c>
      <c r="E18624" t="s">
        <v>12</v>
      </c>
      <c r="F18624">
        <v>50624323</v>
      </c>
      <c r="G18624">
        <v>50624369</v>
      </c>
      <c r="H18624">
        <v>50624323</v>
      </c>
      <c r="I18624">
        <v>50624369</v>
      </c>
    </row>
    <row r="18625" spans="1:9" x14ac:dyDescent="0.2">
      <c r="A18625" s="1" t="str">
        <f>"TRABD"</f>
        <v>TRABD</v>
      </c>
      <c r="B18625" t="s">
        <v>13</v>
      </c>
      <c r="C18625" t="s">
        <v>21</v>
      </c>
      <c r="D18625" t="s">
        <v>17</v>
      </c>
      <c r="E18625" t="s">
        <v>12</v>
      </c>
      <c r="F18625">
        <v>50628999</v>
      </c>
      <c r="G18625">
        <v>50629023</v>
      </c>
      <c r="H18625">
        <v>50628999</v>
      </c>
      <c r="I18625">
        <v>50629023</v>
      </c>
    </row>
    <row r="18626" spans="1:9" x14ac:dyDescent="0.2">
      <c r="A18626" s="1" t="str">
        <f>"TRABD2A"</f>
        <v>TRABD2A</v>
      </c>
      <c r="B18626" t="s">
        <v>14</v>
      </c>
      <c r="C18626" t="s">
        <v>26</v>
      </c>
      <c r="D18626" t="s">
        <v>11</v>
      </c>
      <c r="E18626" t="s">
        <v>12</v>
      </c>
      <c r="F18626">
        <v>85108164</v>
      </c>
      <c r="G18626">
        <v>85108218</v>
      </c>
      <c r="H18626">
        <v>85108416</v>
      </c>
      <c r="I18626">
        <v>85108456</v>
      </c>
    </row>
    <row r="18627" spans="1:9" x14ac:dyDescent="0.2">
      <c r="A18627" s="1" t="str">
        <f>"TRABD2B"</f>
        <v>TRABD2B</v>
      </c>
      <c r="B18627" t="s">
        <v>14</v>
      </c>
      <c r="C18627" t="s">
        <v>19</v>
      </c>
      <c r="D18627" t="s">
        <v>11</v>
      </c>
      <c r="E18627" t="s">
        <v>67</v>
      </c>
      <c r="F18627">
        <v>48463020</v>
      </c>
      <c r="G18627">
        <v>48463063</v>
      </c>
      <c r="H18627">
        <v>48462566</v>
      </c>
      <c r="I18627">
        <v>48462595</v>
      </c>
    </row>
    <row r="18628" spans="1:9" x14ac:dyDescent="0.2">
      <c r="A18628" s="1" t="str">
        <f>"TRADD"</f>
        <v>TRADD</v>
      </c>
      <c r="B18628" t="s">
        <v>14</v>
      </c>
      <c r="C18628" t="s">
        <v>31</v>
      </c>
      <c r="D18628" t="s">
        <v>11</v>
      </c>
      <c r="E18628" t="s">
        <v>12</v>
      </c>
      <c r="F18628">
        <v>67193784</v>
      </c>
      <c r="G18628">
        <v>67193829</v>
      </c>
      <c r="H18628">
        <v>67193774</v>
      </c>
      <c r="I18628">
        <v>67193782</v>
      </c>
    </row>
    <row r="18629" spans="1:9" x14ac:dyDescent="0.2">
      <c r="A18629" s="1" t="str">
        <f>"TRAF1"</f>
        <v>TRAF1</v>
      </c>
      <c r="B18629" t="s">
        <v>9</v>
      </c>
      <c r="C18629" t="s">
        <v>24</v>
      </c>
      <c r="D18629" t="s">
        <v>11</v>
      </c>
      <c r="E18629" t="s">
        <v>12</v>
      </c>
      <c r="F18629">
        <v>123688431</v>
      </c>
      <c r="G18629">
        <v>123688465</v>
      </c>
      <c r="H18629">
        <v>123688431</v>
      </c>
      <c r="I18629">
        <v>123688465</v>
      </c>
    </row>
    <row r="18630" spans="1:9" x14ac:dyDescent="0.2">
      <c r="A18630" s="1" t="str">
        <f>"TRAF1"</f>
        <v>TRAF1</v>
      </c>
      <c r="B18630" t="s">
        <v>13</v>
      </c>
      <c r="C18630" t="s">
        <v>24</v>
      </c>
      <c r="D18630" t="s">
        <v>11</v>
      </c>
      <c r="E18630" t="s">
        <v>12</v>
      </c>
      <c r="F18630">
        <v>123691281</v>
      </c>
      <c r="G18630">
        <v>123691362</v>
      </c>
      <c r="H18630">
        <v>123691281</v>
      </c>
      <c r="I18630">
        <v>123691362</v>
      </c>
    </row>
    <row r="18631" spans="1:9" x14ac:dyDescent="0.2">
      <c r="A18631" s="1" t="str">
        <f>"TRAF2"</f>
        <v>TRAF2</v>
      </c>
      <c r="B18631" t="s">
        <v>9</v>
      </c>
      <c r="C18631" t="s">
        <v>24</v>
      </c>
      <c r="D18631" t="s">
        <v>17</v>
      </c>
      <c r="E18631" t="s">
        <v>12</v>
      </c>
      <c r="F18631">
        <v>139780942</v>
      </c>
      <c r="G18631">
        <v>139780974</v>
      </c>
      <c r="H18631">
        <v>139780942</v>
      </c>
      <c r="I18631">
        <v>139780974</v>
      </c>
    </row>
    <row r="18632" spans="1:9" x14ac:dyDescent="0.2">
      <c r="A18632" s="1" t="str">
        <f>"TRAF2"</f>
        <v>TRAF2</v>
      </c>
      <c r="B18632" t="s">
        <v>13</v>
      </c>
      <c r="C18632" t="s">
        <v>24</v>
      </c>
      <c r="D18632" t="s">
        <v>17</v>
      </c>
      <c r="E18632" t="s">
        <v>12</v>
      </c>
      <c r="F18632">
        <v>139776351</v>
      </c>
      <c r="G18632">
        <v>139776405</v>
      </c>
      <c r="H18632">
        <v>139776351</v>
      </c>
      <c r="I18632">
        <v>139776405</v>
      </c>
    </row>
    <row r="18633" spans="1:9" x14ac:dyDescent="0.2">
      <c r="A18633" s="1" t="str">
        <f>"TRAF3"</f>
        <v>TRAF3</v>
      </c>
      <c r="B18633" t="s">
        <v>14</v>
      </c>
      <c r="C18633" t="s">
        <v>41</v>
      </c>
      <c r="D18633" t="s">
        <v>17</v>
      </c>
      <c r="E18633" t="s">
        <v>12</v>
      </c>
      <c r="F18633">
        <v>103243813</v>
      </c>
      <c r="G18633">
        <v>103243954</v>
      </c>
      <c r="H18633">
        <v>103243770</v>
      </c>
      <c r="I18633">
        <v>103243793</v>
      </c>
    </row>
    <row r="18634" spans="1:9" x14ac:dyDescent="0.2">
      <c r="A18634" s="1" t="str">
        <f>"TRAF3IP1"</f>
        <v>TRAF3IP1</v>
      </c>
      <c r="B18634" t="s">
        <v>14</v>
      </c>
      <c r="C18634" t="s">
        <v>26</v>
      </c>
      <c r="D18634" t="s">
        <v>17</v>
      </c>
      <c r="E18634" t="s">
        <v>12</v>
      </c>
      <c r="F18634">
        <v>239229129</v>
      </c>
      <c r="G18634">
        <v>239229201</v>
      </c>
      <c r="H18634">
        <v>239229102</v>
      </c>
      <c r="I18634">
        <v>239229114</v>
      </c>
    </row>
    <row r="18635" spans="1:9" x14ac:dyDescent="0.2">
      <c r="A18635" s="1" t="str">
        <f>"TRAF3IP2"</f>
        <v>TRAF3IP2</v>
      </c>
      <c r="B18635" t="s">
        <v>14</v>
      </c>
      <c r="C18635" t="s">
        <v>32</v>
      </c>
      <c r="D18635" t="s">
        <v>11</v>
      </c>
      <c r="E18635" t="s">
        <v>12</v>
      </c>
      <c r="F18635">
        <v>111927062</v>
      </c>
      <c r="G18635">
        <v>111927125</v>
      </c>
      <c r="H18635">
        <v>111927156</v>
      </c>
      <c r="I18635">
        <v>111927177</v>
      </c>
    </row>
    <row r="18636" spans="1:9" x14ac:dyDescent="0.2">
      <c r="A18636" s="1" t="str">
        <f>"TRAF3IP3"</f>
        <v>TRAF3IP3</v>
      </c>
      <c r="B18636" t="s">
        <v>9</v>
      </c>
      <c r="C18636" t="s">
        <v>19</v>
      </c>
      <c r="D18636" t="s">
        <v>17</v>
      </c>
      <c r="E18636" t="s">
        <v>12</v>
      </c>
      <c r="F18636">
        <v>209929446</v>
      </c>
      <c r="G18636">
        <v>209929490</v>
      </c>
      <c r="H18636">
        <v>209929446</v>
      </c>
      <c r="I18636">
        <v>209929490</v>
      </c>
    </row>
    <row r="18637" spans="1:9" x14ac:dyDescent="0.2">
      <c r="A18637" s="1" t="str">
        <f>"TRAF3IP3"</f>
        <v>TRAF3IP3</v>
      </c>
      <c r="B18637" t="s">
        <v>13</v>
      </c>
      <c r="C18637" t="s">
        <v>19</v>
      </c>
      <c r="D18637" t="s">
        <v>17</v>
      </c>
      <c r="E18637" t="s">
        <v>12</v>
      </c>
      <c r="F18637">
        <v>209941889</v>
      </c>
      <c r="G18637">
        <v>209941928</v>
      </c>
      <c r="H18637">
        <v>209941889</v>
      </c>
      <c r="I18637">
        <v>209941928</v>
      </c>
    </row>
    <row r="18638" spans="1:9" x14ac:dyDescent="0.2">
      <c r="A18638" s="1" t="str">
        <f>"TRAF4"</f>
        <v>TRAF4</v>
      </c>
      <c r="B18638" t="s">
        <v>14</v>
      </c>
      <c r="C18638" t="s">
        <v>28</v>
      </c>
      <c r="D18638" t="s">
        <v>17</v>
      </c>
      <c r="E18638" t="s">
        <v>12</v>
      </c>
      <c r="F18638">
        <v>27071020</v>
      </c>
      <c r="G18638">
        <v>27071063</v>
      </c>
      <c r="H18638">
        <v>27070660</v>
      </c>
      <c r="I18638">
        <v>27070680</v>
      </c>
    </row>
    <row r="18639" spans="1:9" x14ac:dyDescent="0.2">
      <c r="A18639" s="1" t="str">
        <f>"TRAF5"</f>
        <v>TRAF5</v>
      </c>
      <c r="B18639" t="s">
        <v>14</v>
      </c>
      <c r="C18639" t="s">
        <v>19</v>
      </c>
      <c r="D18639" t="s">
        <v>17</v>
      </c>
      <c r="E18639" t="s">
        <v>12</v>
      </c>
      <c r="F18639">
        <v>211500129</v>
      </c>
      <c r="G18639">
        <v>211500189</v>
      </c>
      <c r="H18639">
        <v>211500190</v>
      </c>
      <c r="I18639">
        <v>211500204</v>
      </c>
    </row>
    <row r="18640" spans="1:9" x14ac:dyDescent="0.2">
      <c r="A18640" s="1" t="str">
        <f>"TRAF6"</f>
        <v>TRAF6</v>
      </c>
      <c r="B18640" t="s">
        <v>14</v>
      </c>
      <c r="C18640" t="s">
        <v>27</v>
      </c>
      <c r="D18640" t="s">
        <v>11</v>
      </c>
      <c r="E18640" t="s">
        <v>12</v>
      </c>
      <c r="F18640">
        <v>36531774</v>
      </c>
      <c r="G18640">
        <v>36531858</v>
      </c>
      <c r="H18640">
        <v>36532147</v>
      </c>
      <c r="I18640">
        <v>36532168</v>
      </c>
    </row>
    <row r="18641" spans="1:9" x14ac:dyDescent="0.2">
      <c r="A18641" s="1" t="str">
        <f>"TRAF7"</f>
        <v>TRAF7</v>
      </c>
      <c r="B18641" t="s">
        <v>9</v>
      </c>
      <c r="C18641" t="s">
        <v>31</v>
      </c>
      <c r="D18641" t="s">
        <v>17</v>
      </c>
      <c r="E18641" t="s">
        <v>12</v>
      </c>
      <c r="F18641">
        <v>2205755</v>
      </c>
      <c r="G18641">
        <v>2205819</v>
      </c>
      <c r="H18641">
        <v>2205755</v>
      </c>
      <c r="I18641">
        <v>2205819</v>
      </c>
    </row>
    <row r="18642" spans="1:9" x14ac:dyDescent="0.2">
      <c r="A18642" s="1" t="str">
        <f>"TRAF7"</f>
        <v>TRAF7</v>
      </c>
      <c r="B18642" t="s">
        <v>13</v>
      </c>
      <c r="C18642" t="s">
        <v>31</v>
      </c>
      <c r="D18642" t="s">
        <v>17</v>
      </c>
      <c r="E18642" t="s">
        <v>12</v>
      </c>
      <c r="F18642">
        <v>2213878</v>
      </c>
      <c r="G18642">
        <v>2213892</v>
      </c>
      <c r="H18642">
        <v>2213878</v>
      </c>
      <c r="I18642">
        <v>2213892</v>
      </c>
    </row>
    <row r="18643" spans="1:9" x14ac:dyDescent="0.2">
      <c r="A18643" s="1" t="str">
        <f>"TRAFD1"</f>
        <v>TRAFD1</v>
      </c>
      <c r="B18643" t="s">
        <v>14</v>
      </c>
      <c r="C18643" t="s">
        <v>16</v>
      </c>
      <c r="D18643" t="s">
        <v>17</v>
      </c>
      <c r="E18643" t="s">
        <v>12</v>
      </c>
      <c r="F18643">
        <v>112563335</v>
      </c>
      <c r="G18643">
        <v>112563371</v>
      </c>
      <c r="H18643">
        <v>112563319</v>
      </c>
      <c r="I18643">
        <v>112563334</v>
      </c>
    </row>
    <row r="18644" spans="1:9" x14ac:dyDescent="0.2">
      <c r="A18644" s="1" t="str">
        <f>"TRAIP"</f>
        <v>TRAIP</v>
      </c>
      <c r="B18644" t="s">
        <v>14</v>
      </c>
      <c r="C18644" t="s">
        <v>22</v>
      </c>
      <c r="D18644" t="s">
        <v>11</v>
      </c>
      <c r="E18644" t="s">
        <v>12</v>
      </c>
      <c r="F18644">
        <v>49893958</v>
      </c>
      <c r="G18644">
        <v>49894005</v>
      </c>
      <c r="H18644">
        <v>49893942</v>
      </c>
      <c r="I18644">
        <v>49893953</v>
      </c>
    </row>
    <row r="18645" spans="1:9" x14ac:dyDescent="0.2">
      <c r="A18645" s="1" t="str">
        <f>"TRAK1"</f>
        <v>TRAK1</v>
      </c>
      <c r="B18645" t="s">
        <v>1747</v>
      </c>
      <c r="C18645" t="s">
        <v>22</v>
      </c>
      <c r="D18645" t="s">
        <v>17</v>
      </c>
      <c r="E18645" t="s">
        <v>35</v>
      </c>
      <c r="F18645">
        <v>42201653</v>
      </c>
      <c r="G18645">
        <v>42201668</v>
      </c>
      <c r="H18645">
        <v>42201673</v>
      </c>
      <c r="I18645">
        <v>42201718</v>
      </c>
    </row>
    <row r="18646" spans="1:9" x14ac:dyDescent="0.2">
      <c r="A18646" s="1" t="str">
        <f>"TRAK2"</f>
        <v>TRAK2</v>
      </c>
      <c r="B18646" t="s">
        <v>14</v>
      </c>
      <c r="C18646" t="s">
        <v>26</v>
      </c>
      <c r="D18646" t="s">
        <v>11</v>
      </c>
      <c r="E18646" t="s">
        <v>12</v>
      </c>
      <c r="F18646">
        <v>202316169</v>
      </c>
      <c r="G18646">
        <v>202316237</v>
      </c>
      <c r="H18646">
        <v>202316260</v>
      </c>
      <c r="I18646">
        <v>202316308</v>
      </c>
    </row>
    <row r="18647" spans="1:9" x14ac:dyDescent="0.2">
      <c r="A18647" s="1" t="str">
        <f>"TRAM1"</f>
        <v>TRAM1</v>
      </c>
      <c r="B18647" t="s">
        <v>14</v>
      </c>
      <c r="C18647" t="s">
        <v>30</v>
      </c>
      <c r="D18647" t="s">
        <v>11</v>
      </c>
      <c r="E18647" t="s">
        <v>12</v>
      </c>
      <c r="F18647">
        <v>71520513</v>
      </c>
      <c r="G18647">
        <v>71520614</v>
      </c>
      <c r="H18647">
        <v>71520642</v>
      </c>
      <c r="I18647">
        <v>71520658</v>
      </c>
    </row>
    <row r="18648" spans="1:9" x14ac:dyDescent="0.2">
      <c r="A18648" s="1" t="str">
        <f>"TRAM1L1"</f>
        <v>TRAM1L1</v>
      </c>
      <c r="B18648" t="s">
        <v>14</v>
      </c>
      <c r="C18648" t="s">
        <v>23</v>
      </c>
      <c r="D18648" t="s">
        <v>11</v>
      </c>
      <c r="E18648" t="s">
        <v>12</v>
      </c>
      <c r="F18648">
        <v>118006697</v>
      </c>
      <c r="G18648">
        <v>118006741</v>
      </c>
      <c r="H18648">
        <v>118006658</v>
      </c>
      <c r="I18648">
        <v>118006694</v>
      </c>
    </row>
    <row r="18649" spans="1:9" x14ac:dyDescent="0.2">
      <c r="A18649" s="1" t="str">
        <f>"TRAM2"</f>
        <v>TRAM2</v>
      </c>
      <c r="B18649" t="s">
        <v>14</v>
      </c>
      <c r="C18649" t="s">
        <v>32</v>
      </c>
      <c r="D18649" t="s">
        <v>11</v>
      </c>
      <c r="E18649" t="s">
        <v>12</v>
      </c>
      <c r="F18649">
        <v>52441810</v>
      </c>
      <c r="G18649">
        <v>52441865</v>
      </c>
      <c r="H18649">
        <v>52441770</v>
      </c>
      <c r="I18649">
        <v>52441784</v>
      </c>
    </row>
    <row r="18650" spans="1:9" x14ac:dyDescent="0.2">
      <c r="A18650" s="1" t="str">
        <f>"TRANK1"</f>
        <v>TRANK1</v>
      </c>
      <c r="B18650" t="s">
        <v>1748</v>
      </c>
      <c r="C18650" t="s">
        <v>22</v>
      </c>
      <c r="D18650" t="s">
        <v>11</v>
      </c>
      <c r="E18650" t="s">
        <v>35</v>
      </c>
      <c r="F18650">
        <v>36986534</v>
      </c>
      <c r="G18650">
        <v>36986619</v>
      </c>
      <c r="H18650">
        <v>36986348</v>
      </c>
      <c r="I18650">
        <v>36986407</v>
      </c>
    </row>
    <row r="18651" spans="1:9" x14ac:dyDescent="0.2">
      <c r="A18651" s="1" t="str">
        <f>"TRAP1"</f>
        <v>TRAP1</v>
      </c>
      <c r="B18651" t="s">
        <v>14</v>
      </c>
      <c r="C18651" t="s">
        <v>31</v>
      </c>
      <c r="D18651" t="s">
        <v>11</v>
      </c>
      <c r="E18651" t="s">
        <v>12</v>
      </c>
      <c r="F18651">
        <v>3767506</v>
      </c>
      <c r="G18651">
        <v>3767550</v>
      </c>
      <c r="H18651">
        <v>3767551</v>
      </c>
      <c r="I18651">
        <v>3767577</v>
      </c>
    </row>
    <row r="18652" spans="1:9" x14ac:dyDescent="0.2">
      <c r="A18652" s="1" t="str">
        <f>"TRAPPC1"</f>
        <v>TRAPPC1</v>
      </c>
      <c r="B18652" t="s">
        <v>14</v>
      </c>
      <c r="C18652" t="s">
        <v>28</v>
      </c>
      <c r="D18652" t="s">
        <v>11</v>
      </c>
      <c r="E18652" t="s">
        <v>12</v>
      </c>
      <c r="F18652">
        <v>7835228</v>
      </c>
      <c r="G18652">
        <v>7835307</v>
      </c>
      <c r="H18652">
        <v>7835212</v>
      </c>
      <c r="I18652">
        <v>7835223</v>
      </c>
    </row>
    <row r="18653" spans="1:9" x14ac:dyDescent="0.2">
      <c r="A18653" s="1" t="str">
        <f>"TRAPPC10"</f>
        <v>TRAPPC10</v>
      </c>
      <c r="B18653" t="s">
        <v>14</v>
      </c>
      <c r="C18653" t="s">
        <v>42</v>
      </c>
      <c r="D18653" t="s">
        <v>17</v>
      </c>
      <c r="E18653" t="s">
        <v>12</v>
      </c>
      <c r="F18653">
        <v>45432174</v>
      </c>
      <c r="G18653">
        <v>45432254</v>
      </c>
      <c r="H18653">
        <v>45432160</v>
      </c>
      <c r="I18653">
        <v>45432173</v>
      </c>
    </row>
    <row r="18654" spans="1:9" x14ac:dyDescent="0.2">
      <c r="A18654" s="1" t="str">
        <f>"TRAPPC11"</f>
        <v>TRAPPC11</v>
      </c>
      <c r="B18654" t="s">
        <v>14</v>
      </c>
      <c r="C18654" t="s">
        <v>23</v>
      </c>
      <c r="D18654" t="s">
        <v>17</v>
      </c>
      <c r="E18654" t="s">
        <v>12</v>
      </c>
      <c r="F18654">
        <v>184580439</v>
      </c>
      <c r="G18654">
        <v>184580485</v>
      </c>
      <c r="H18654">
        <v>184580524</v>
      </c>
      <c r="I18654">
        <v>184580552</v>
      </c>
    </row>
    <row r="18655" spans="1:9" x14ac:dyDescent="0.2">
      <c r="A18655" s="1" t="str">
        <f>"TRAPPC12"</f>
        <v>TRAPPC12</v>
      </c>
      <c r="B18655" t="s">
        <v>14</v>
      </c>
      <c r="C18655" t="s">
        <v>26</v>
      </c>
      <c r="D18655" t="s">
        <v>17</v>
      </c>
      <c r="E18655" t="s">
        <v>12</v>
      </c>
      <c r="F18655">
        <v>3383439</v>
      </c>
      <c r="G18655">
        <v>3383504</v>
      </c>
      <c r="H18655">
        <v>3383515</v>
      </c>
      <c r="I18655">
        <v>3383529</v>
      </c>
    </row>
    <row r="18656" spans="1:9" x14ac:dyDescent="0.2">
      <c r="A18656" s="1" t="str">
        <f>"TRAPPC13"</f>
        <v>TRAPPC13</v>
      </c>
      <c r="B18656" t="s">
        <v>14</v>
      </c>
      <c r="C18656" t="s">
        <v>46</v>
      </c>
      <c r="D18656" t="s">
        <v>17</v>
      </c>
      <c r="E18656" t="s">
        <v>12</v>
      </c>
      <c r="F18656">
        <v>64920826</v>
      </c>
      <c r="G18656">
        <v>64920891</v>
      </c>
      <c r="H18656">
        <v>64920826</v>
      </c>
      <c r="I18656">
        <v>64920891</v>
      </c>
    </row>
    <row r="18657" spans="1:9" x14ac:dyDescent="0.2">
      <c r="A18657" s="1" t="str">
        <f>"TRAPPC2"</f>
        <v>TRAPPC2</v>
      </c>
      <c r="B18657" t="s">
        <v>1749</v>
      </c>
      <c r="C18657" t="s">
        <v>37</v>
      </c>
      <c r="D18657" t="s">
        <v>11</v>
      </c>
      <c r="E18657" t="s">
        <v>35</v>
      </c>
      <c r="F18657">
        <v>13752708</v>
      </c>
      <c r="G18657">
        <v>13752757</v>
      </c>
      <c r="H18657">
        <v>13752649</v>
      </c>
      <c r="I18657">
        <v>13752675</v>
      </c>
    </row>
    <row r="18658" spans="1:9" x14ac:dyDescent="0.2">
      <c r="A18658" s="1" t="str">
        <f>"TRAPPC2L"</f>
        <v>TRAPPC2L</v>
      </c>
      <c r="B18658" t="s">
        <v>14</v>
      </c>
      <c r="C18658" t="s">
        <v>31</v>
      </c>
      <c r="D18658" t="s">
        <v>17</v>
      </c>
      <c r="E18658" t="s">
        <v>12</v>
      </c>
      <c r="F18658">
        <v>88923519</v>
      </c>
      <c r="G18658">
        <v>88923561</v>
      </c>
      <c r="H18658">
        <v>88923145</v>
      </c>
      <c r="I18658">
        <v>88923165</v>
      </c>
    </row>
    <row r="18659" spans="1:9" x14ac:dyDescent="0.2">
      <c r="A18659" s="1" t="str">
        <f>"TRAPPC3"</f>
        <v>TRAPPC3</v>
      </c>
      <c r="B18659" t="s">
        <v>14</v>
      </c>
      <c r="C18659" t="s">
        <v>19</v>
      </c>
      <c r="D18659" t="s">
        <v>11</v>
      </c>
      <c r="E18659" t="s">
        <v>12</v>
      </c>
      <c r="F18659">
        <v>36615065</v>
      </c>
      <c r="G18659">
        <v>36615109</v>
      </c>
      <c r="H18659">
        <v>36615051</v>
      </c>
      <c r="I18659">
        <v>36615062</v>
      </c>
    </row>
    <row r="18660" spans="1:9" x14ac:dyDescent="0.2">
      <c r="A18660" s="1" t="str">
        <f>"TRAPPC3L"</f>
        <v>TRAPPC3L</v>
      </c>
      <c r="B18660" t="s">
        <v>14</v>
      </c>
      <c r="C18660" t="s">
        <v>32</v>
      </c>
      <c r="D18660" t="s">
        <v>11</v>
      </c>
      <c r="E18660" t="s">
        <v>12</v>
      </c>
      <c r="F18660">
        <v>116866825</v>
      </c>
      <c r="G18660">
        <v>116866854</v>
      </c>
      <c r="H18660">
        <v>116866825</v>
      </c>
      <c r="I18660">
        <v>116866854</v>
      </c>
    </row>
    <row r="18661" spans="1:9" x14ac:dyDescent="0.2">
      <c r="A18661" s="1" t="str">
        <f>"TRAPPC4"</f>
        <v>TRAPPC4</v>
      </c>
      <c r="B18661" t="s">
        <v>14</v>
      </c>
      <c r="C18661" t="s">
        <v>27</v>
      </c>
      <c r="D18661" t="s">
        <v>17</v>
      </c>
      <c r="E18661" t="s">
        <v>12</v>
      </c>
      <c r="F18661">
        <v>118889456</v>
      </c>
      <c r="G18661">
        <v>118889507</v>
      </c>
      <c r="H18661">
        <v>118889153</v>
      </c>
      <c r="I18661">
        <v>118889232</v>
      </c>
    </row>
    <row r="18662" spans="1:9" x14ac:dyDescent="0.2">
      <c r="A18662" s="1" t="str">
        <f>"TRAPPC5"</f>
        <v>TRAPPC5</v>
      </c>
      <c r="B18662" t="s">
        <v>14</v>
      </c>
      <c r="C18662" t="s">
        <v>10</v>
      </c>
      <c r="D18662" t="s">
        <v>17</v>
      </c>
      <c r="E18662" t="s">
        <v>12</v>
      </c>
      <c r="F18662">
        <v>7745708</v>
      </c>
      <c r="G18662">
        <v>7745752</v>
      </c>
      <c r="H18662">
        <v>7745708</v>
      </c>
      <c r="I18662">
        <v>7745752</v>
      </c>
    </row>
    <row r="18663" spans="1:9" x14ac:dyDescent="0.2">
      <c r="A18663" s="1" t="str">
        <f>"TRAPPC6A"</f>
        <v>TRAPPC6A</v>
      </c>
      <c r="B18663" t="s">
        <v>14</v>
      </c>
      <c r="C18663" t="s">
        <v>10</v>
      </c>
      <c r="D18663" t="s">
        <v>11</v>
      </c>
      <c r="E18663" t="s">
        <v>12</v>
      </c>
      <c r="F18663">
        <v>45681482</v>
      </c>
      <c r="G18663">
        <v>45681514</v>
      </c>
      <c r="H18663">
        <v>45681460</v>
      </c>
      <c r="I18663">
        <v>45681481</v>
      </c>
    </row>
    <row r="18664" spans="1:9" x14ac:dyDescent="0.2">
      <c r="A18664" s="1" t="str">
        <f>"TRAPPC6B"</f>
        <v>TRAPPC6B</v>
      </c>
      <c r="B18664" t="s">
        <v>14</v>
      </c>
      <c r="C18664" t="s">
        <v>41</v>
      </c>
      <c r="D18664" t="s">
        <v>11</v>
      </c>
      <c r="E18664" t="s">
        <v>12</v>
      </c>
      <c r="F18664">
        <v>39639523</v>
      </c>
      <c r="G18664">
        <v>39639617</v>
      </c>
      <c r="H18664">
        <v>39639480</v>
      </c>
      <c r="I18664">
        <v>39639515</v>
      </c>
    </row>
    <row r="18665" spans="1:9" x14ac:dyDescent="0.2">
      <c r="A18665" s="1" t="str">
        <f>"TRAPPC8"</f>
        <v>TRAPPC8</v>
      </c>
      <c r="B18665" t="s">
        <v>14</v>
      </c>
      <c r="C18665" t="s">
        <v>43</v>
      </c>
      <c r="D18665" t="s">
        <v>11</v>
      </c>
      <c r="E18665" t="s">
        <v>12</v>
      </c>
      <c r="F18665">
        <v>29523050</v>
      </c>
      <c r="G18665">
        <v>29523104</v>
      </c>
      <c r="H18665">
        <v>29523118</v>
      </c>
      <c r="I18665">
        <v>29523134</v>
      </c>
    </row>
    <row r="18666" spans="1:9" x14ac:dyDescent="0.2">
      <c r="A18666" s="1" t="str">
        <f>"TRAPPC9"</f>
        <v>TRAPPC9</v>
      </c>
      <c r="B18666" t="s">
        <v>14</v>
      </c>
      <c r="C18666" t="s">
        <v>30</v>
      </c>
      <c r="D18666" t="s">
        <v>11</v>
      </c>
      <c r="E18666" t="s">
        <v>12</v>
      </c>
      <c r="F18666">
        <v>141467818</v>
      </c>
      <c r="G18666">
        <v>141467866</v>
      </c>
      <c r="H18666">
        <v>141467818</v>
      </c>
      <c r="I18666">
        <v>141467866</v>
      </c>
    </row>
    <row r="18667" spans="1:9" x14ac:dyDescent="0.2">
      <c r="A18667" s="1" t="str">
        <f>"TRAT1"</f>
        <v>TRAT1</v>
      </c>
      <c r="B18667" t="s">
        <v>14</v>
      </c>
      <c r="C18667" t="s">
        <v>22</v>
      </c>
      <c r="D18667" t="s">
        <v>17</v>
      </c>
      <c r="E18667" t="s">
        <v>12</v>
      </c>
      <c r="F18667">
        <v>108541625</v>
      </c>
      <c r="G18667">
        <v>108541659</v>
      </c>
      <c r="H18667">
        <v>108541608</v>
      </c>
      <c r="I18667">
        <v>108541624</v>
      </c>
    </row>
    <row r="18668" spans="1:9" x14ac:dyDescent="0.2">
      <c r="A18668" s="1" t="str">
        <f>"TRDMT1"</f>
        <v>TRDMT1</v>
      </c>
      <c r="B18668" t="s">
        <v>14</v>
      </c>
      <c r="C18668" t="s">
        <v>15</v>
      </c>
      <c r="D18668" t="s">
        <v>11</v>
      </c>
      <c r="E18668" t="s">
        <v>12</v>
      </c>
      <c r="F18668">
        <v>17243628</v>
      </c>
      <c r="G18668">
        <v>17243690</v>
      </c>
      <c r="H18668">
        <v>17243357</v>
      </c>
      <c r="I18668">
        <v>17243399</v>
      </c>
    </row>
    <row r="18669" spans="1:9" x14ac:dyDescent="0.2">
      <c r="A18669" s="1" t="str">
        <f>"TRDN"</f>
        <v>TRDN</v>
      </c>
      <c r="B18669" t="s">
        <v>14</v>
      </c>
      <c r="C18669" t="s">
        <v>32</v>
      </c>
      <c r="D18669" t="s">
        <v>11</v>
      </c>
      <c r="E18669" t="s">
        <v>12</v>
      </c>
      <c r="F18669">
        <v>123958068</v>
      </c>
      <c r="G18669">
        <v>123958110</v>
      </c>
      <c r="H18669">
        <v>123958111</v>
      </c>
      <c r="I18669">
        <v>123958139</v>
      </c>
    </row>
    <row r="18670" spans="1:9" x14ac:dyDescent="0.2">
      <c r="A18670" s="1" t="str">
        <f>"TREH"</f>
        <v>TREH</v>
      </c>
      <c r="B18670" t="s">
        <v>14</v>
      </c>
      <c r="C18670" t="s">
        <v>27</v>
      </c>
      <c r="D18670" t="s">
        <v>11</v>
      </c>
      <c r="E18670" t="s">
        <v>12</v>
      </c>
      <c r="F18670">
        <v>118550346</v>
      </c>
      <c r="G18670">
        <v>118550364</v>
      </c>
      <c r="H18670">
        <v>118550346</v>
      </c>
      <c r="I18670">
        <v>118550364</v>
      </c>
    </row>
    <row r="18671" spans="1:9" x14ac:dyDescent="0.2">
      <c r="A18671" s="1" t="str">
        <f>"TREM1"</f>
        <v>TREM1</v>
      </c>
      <c r="B18671" t="s">
        <v>14</v>
      </c>
      <c r="C18671" t="s">
        <v>32</v>
      </c>
      <c r="D18671" t="s">
        <v>11</v>
      </c>
      <c r="E18671" t="s">
        <v>12</v>
      </c>
      <c r="F18671">
        <v>41254410</v>
      </c>
      <c r="G18671">
        <v>41254441</v>
      </c>
      <c r="H18671">
        <v>41254410</v>
      </c>
      <c r="I18671">
        <v>41254441</v>
      </c>
    </row>
    <row r="18672" spans="1:9" x14ac:dyDescent="0.2">
      <c r="A18672" s="1" t="str">
        <f>"TREM2"</f>
        <v>TREM2</v>
      </c>
      <c r="B18672" t="s">
        <v>14</v>
      </c>
      <c r="C18672" t="s">
        <v>32</v>
      </c>
      <c r="D18672" t="s">
        <v>11</v>
      </c>
      <c r="E18672" t="s">
        <v>12</v>
      </c>
      <c r="F18672">
        <v>41130847</v>
      </c>
      <c r="G18672">
        <v>41130867</v>
      </c>
      <c r="H18672">
        <v>41130921</v>
      </c>
      <c r="I18672">
        <v>41130949</v>
      </c>
    </row>
    <row r="18673" spans="1:9" x14ac:dyDescent="0.2">
      <c r="A18673" s="1" t="str">
        <f>"TREML1"</f>
        <v>TREML1</v>
      </c>
      <c r="B18673" t="s">
        <v>14</v>
      </c>
      <c r="C18673" t="s">
        <v>32</v>
      </c>
      <c r="D18673" t="s">
        <v>11</v>
      </c>
      <c r="E18673" t="s">
        <v>12</v>
      </c>
      <c r="F18673">
        <v>41122063</v>
      </c>
      <c r="G18673">
        <v>41122094</v>
      </c>
      <c r="H18673">
        <v>41122033</v>
      </c>
      <c r="I18673">
        <v>41122057</v>
      </c>
    </row>
    <row r="18674" spans="1:9" x14ac:dyDescent="0.2">
      <c r="A18674" s="1" t="str">
        <f>"TREML2"</f>
        <v>TREML2</v>
      </c>
      <c r="B18674" t="s">
        <v>14</v>
      </c>
      <c r="C18674" t="s">
        <v>32</v>
      </c>
      <c r="D18674" t="s">
        <v>11</v>
      </c>
      <c r="E18674" t="s">
        <v>12</v>
      </c>
      <c r="F18674">
        <v>41168871</v>
      </c>
      <c r="G18674">
        <v>41168911</v>
      </c>
      <c r="H18674">
        <v>41168834</v>
      </c>
      <c r="I18674">
        <v>41168853</v>
      </c>
    </row>
    <row r="18675" spans="1:9" x14ac:dyDescent="0.2">
      <c r="A18675" s="1" t="str">
        <f>"TREML4"</f>
        <v>TREML4</v>
      </c>
      <c r="B18675" t="s">
        <v>14</v>
      </c>
      <c r="C18675" t="s">
        <v>32</v>
      </c>
      <c r="D18675" t="s">
        <v>17</v>
      </c>
      <c r="E18675" t="s">
        <v>12</v>
      </c>
      <c r="F18675">
        <v>41196736</v>
      </c>
      <c r="G18675">
        <v>41196751</v>
      </c>
      <c r="H18675">
        <v>41196079</v>
      </c>
      <c r="I18675">
        <v>41196088</v>
      </c>
    </row>
    <row r="18676" spans="1:9" x14ac:dyDescent="0.2">
      <c r="A18676" s="1" t="str">
        <f>"TRERF1"</f>
        <v>TRERF1</v>
      </c>
      <c r="B18676" t="s">
        <v>14</v>
      </c>
      <c r="C18676" t="s">
        <v>32</v>
      </c>
      <c r="D18676" t="s">
        <v>11</v>
      </c>
      <c r="E18676" t="s">
        <v>12</v>
      </c>
      <c r="F18676">
        <v>42419514</v>
      </c>
      <c r="G18676">
        <v>42419606</v>
      </c>
      <c r="H18676">
        <v>42419043</v>
      </c>
      <c r="I18676">
        <v>42419087</v>
      </c>
    </row>
    <row r="18677" spans="1:9" x14ac:dyDescent="0.2">
      <c r="A18677" s="1" t="str">
        <f>"TREX1"</f>
        <v>TREX1</v>
      </c>
      <c r="B18677" t="s">
        <v>14</v>
      </c>
      <c r="C18677" t="s">
        <v>22</v>
      </c>
      <c r="D18677" t="s">
        <v>17</v>
      </c>
      <c r="E18677" t="s">
        <v>12</v>
      </c>
      <c r="F18677">
        <v>48507621</v>
      </c>
      <c r="G18677">
        <v>48507689</v>
      </c>
      <c r="H18677">
        <v>48507212</v>
      </c>
      <c r="I18677">
        <v>48507241</v>
      </c>
    </row>
    <row r="18678" spans="1:9" x14ac:dyDescent="0.2">
      <c r="A18678" s="1" t="str">
        <f>"TREX2"</f>
        <v>TREX2</v>
      </c>
      <c r="B18678" t="s">
        <v>14</v>
      </c>
      <c r="C18678" t="s">
        <v>37</v>
      </c>
      <c r="D18678" t="s">
        <v>11</v>
      </c>
      <c r="E18678" t="s">
        <v>12</v>
      </c>
      <c r="F18678">
        <v>152736013</v>
      </c>
      <c r="G18678">
        <v>152736052</v>
      </c>
      <c r="H18678">
        <v>152736013</v>
      </c>
      <c r="I18678">
        <v>152736052</v>
      </c>
    </row>
    <row r="18679" spans="1:9" x14ac:dyDescent="0.2">
      <c r="A18679" s="1" t="str">
        <f>"TRH"</f>
        <v>TRH</v>
      </c>
      <c r="B18679" t="s">
        <v>14</v>
      </c>
      <c r="C18679" t="s">
        <v>22</v>
      </c>
      <c r="D18679" t="s">
        <v>17</v>
      </c>
      <c r="E18679" t="s">
        <v>12</v>
      </c>
      <c r="F18679">
        <v>129693555</v>
      </c>
      <c r="G18679">
        <v>129693572</v>
      </c>
      <c r="H18679">
        <v>129693523</v>
      </c>
      <c r="I18679">
        <v>129693541</v>
      </c>
    </row>
    <row r="18680" spans="1:9" x14ac:dyDescent="0.2">
      <c r="A18680" s="1" t="str">
        <f>"TRHDE"</f>
        <v>TRHDE</v>
      </c>
      <c r="B18680" t="s">
        <v>14</v>
      </c>
      <c r="C18680" t="s">
        <v>16</v>
      </c>
      <c r="D18680" t="s">
        <v>17</v>
      </c>
      <c r="E18680" t="s">
        <v>12</v>
      </c>
      <c r="F18680">
        <v>72666140</v>
      </c>
      <c r="G18680">
        <v>72666186</v>
      </c>
      <c r="H18680">
        <v>72666300</v>
      </c>
      <c r="I18680">
        <v>72666320</v>
      </c>
    </row>
    <row r="18681" spans="1:9" x14ac:dyDescent="0.2">
      <c r="A18681" s="1" t="str">
        <f>"TRHR"</f>
        <v>TRHR</v>
      </c>
      <c r="B18681" t="s">
        <v>14</v>
      </c>
      <c r="C18681" t="s">
        <v>30</v>
      </c>
      <c r="D18681" t="s">
        <v>17</v>
      </c>
      <c r="E18681" t="s">
        <v>12</v>
      </c>
      <c r="F18681">
        <v>110098879</v>
      </c>
      <c r="G18681">
        <v>110098890</v>
      </c>
      <c r="H18681">
        <v>110098870</v>
      </c>
      <c r="I18681">
        <v>110098877</v>
      </c>
    </row>
    <row r="18682" spans="1:9" x14ac:dyDescent="0.2">
      <c r="A18682" s="1" t="str">
        <f>"TRIAP1"</f>
        <v>TRIAP1</v>
      </c>
      <c r="B18682" t="s">
        <v>14</v>
      </c>
      <c r="C18682" t="s">
        <v>16</v>
      </c>
      <c r="D18682" t="s">
        <v>11</v>
      </c>
      <c r="E18682" t="s">
        <v>12</v>
      </c>
      <c r="F18682">
        <v>120884175</v>
      </c>
      <c r="G18682">
        <v>120884218</v>
      </c>
      <c r="H18682">
        <v>120884149</v>
      </c>
      <c r="I18682">
        <v>120884160</v>
      </c>
    </row>
    <row r="18683" spans="1:9" x14ac:dyDescent="0.2">
      <c r="A18683" s="1" t="str">
        <f>"TRIB1"</f>
        <v>TRIB1</v>
      </c>
      <c r="B18683" t="s">
        <v>14</v>
      </c>
      <c r="C18683" t="s">
        <v>30</v>
      </c>
      <c r="D18683" t="s">
        <v>17</v>
      </c>
      <c r="E18683" t="s">
        <v>12</v>
      </c>
      <c r="F18683">
        <v>126442570</v>
      </c>
      <c r="G18683">
        <v>126442624</v>
      </c>
      <c r="H18683">
        <v>126442640</v>
      </c>
      <c r="I18683">
        <v>126442651</v>
      </c>
    </row>
    <row r="18684" spans="1:9" x14ac:dyDescent="0.2">
      <c r="A18684" s="1" t="str">
        <f>"TRIB2"</f>
        <v>TRIB2</v>
      </c>
      <c r="B18684" t="s">
        <v>14</v>
      </c>
      <c r="C18684" t="s">
        <v>26</v>
      </c>
      <c r="D18684" t="s">
        <v>17</v>
      </c>
      <c r="E18684" t="s">
        <v>12</v>
      </c>
      <c r="F18684">
        <v>12857043</v>
      </c>
      <c r="G18684">
        <v>12857127</v>
      </c>
      <c r="H18684">
        <v>12857131</v>
      </c>
      <c r="I18684">
        <v>12857157</v>
      </c>
    </row>
    <row r="18685" spans="1:9" x14ac:dyDescent="0.2">
      <c r="A18685" s="1" t="str">
        <f>"TRIB3"</f>
        <v>TRIB3</v>
      </c>
      <c r="B18685" t="s">
        <v>14</v>
      </c>
      <c r="C18685" t="s">
        <v>29</v>
      </c>
      <c r="D18685" t="s">
        <v>17</v>
      </c>
      <c r="E18685" t="s">
        <v>12</v>
      </c>
      <c r="F18685">
        <v>361623</v>
      </c>
      <c r="G18685">
        <v>361731</v>
      </c>
      <c r="H18685">
        <v>361391</v>
      </c>
      <c r="I18685">
        <v>361410</v>
      </c>
    </row>
    <row r="18686" spans="1:9" x14ac:dyDescent="0.2">
      <c r="A18686" s="1" t="str">
        <f>"TRIL"</f>
        <v>TRIL</v>
      </c>
      <c r="B18686" t="s">
        <v>14</v>
      </c>
      <c r="C18686" t="s">
        <v>33</v>
      </c>
      <c r="D18686" t="s">
        <v>11</v>
      </c>
      <c r="E18686" t="s">
        <v>12</v>
      </c>
      <c r="F18686">
        <v>28997870</v>
      </c>
      <c r="G18686">
        <v>28997936</v>
      </c>
      <c r="H18686">
        <v>28997937</v>
      </c>
      <c r="I18686">
        <v>28997953</v>
      </c>
    </row>
    <row r="18687" spans="1:9" x14ac:dyDescent="0.2">
      <c r="A18687" s="1" t="str">
        <f>"TRIM10"</f>
        <v>TRIM10</v>
      </c>
      <c r="B18687" t="s">
        <v>14</v>
      </c>
      <c r="C18687" t="s">
        <v>32</v>
      </c>
      <c r="D18687" t="s">
        <v>11</v>
      </c>
      <c r="E18687" t="s">
        <v>12</v>
      </c>
      <c r="F18687">
        <v>30128977</v>
      </c>
      <c r="G18687">
        <v>30129005</v>
      </c>
      <c r="H18687">
        <v>30128657</v>
      </c>
      <c r="I18687">
        <v>30128681</v>
      </c>
    </row>
    <row r="18688" spans="1:9" x14ac:dyDescent="0.2">
      <c r="A18688" s="1" t="str">
        <f>"TRIM11"</f>
        <v>TRIM11</v>
      </c>
      <c r="B18688" t="s">
        <v>14</v>
      </c>
      <c r="C18688" t="s">
        <v>19</v>
      </c>
      <c r="D18688" t="s">
        <v>11</v>
      </c>
      <c r="E18688" t="s">
        <v>12</v>
      </c>
      <c r="F18688">
        <v>228594490</v>
      </c>
      <c r="G18688">
        <v>228594561</v>
      </c>
      <c r="H18688">
        <v>228594469</v>
      </c>
      <c r="I18688">
        <v>228594488</v>
      </c>
    </row>
    <row r="18689" spans="1:9" x14ac:dyDescent="0.2">
      <c r="A18689" s="1" t="str">
        <f>"TRIM13"</f>
        <v>TRIM13</v>
      </c>
      <c r="B18689" t="s">
        <v>14</v>
      </c>
      <c r="C18689" t="s">
        <v>39</v>
      </c>
      <c r="D18689" t="s">
        <v>17</v>
      </c>
      <c r="E18689" t="s">
        <v>12</v>
      </c>
      <c r="F18689">
        <v>50571160</v>
      </c>
      <c r="G18689">
        <v>50571229</v>
      </c>
      <c r="H18689">
        <v>50571244</v>
      </c>
      <c r="I18689">
        <v>50571255</v>
      </c>
    </row>
    <row r="18690" spans="1:9" x14ac:dyDescent="0.2">
      <c r="A18690" s="1" t="str">
        <f>"TRIM14"</f>
        <v>TRIM14</v>
      </c>
      <c r="B18690" t="s">
        <v>14</v>
      </c>
      <c r="C18690" t="s">
        <v>24</v>
      </c>
      <c r="D18690" t="s">
        <v>11</v>
      </c>
      <c r="E18690" t="s">
        <v>12</v>
      </c>
      <c r="F18690">
        <v>100881466</v>
      </c>
      <c r="G18690">
        <v>100881531</v>
      </c>
      <c r="H18690">
        <v>100881466</v>
      </c>
      <c r="I18690">
        <v>100881531</v>
      </c>
    </row>
    <row r="18691" spans="1:9" x14ac:dyDescent="0.2">
      <c r="A18691" s="1" t="str">
        <f>"TRIM15"</f>
        <v>TRIM15</v>
      </c>
      <c r="B18691" t="s">
        <v>14</v>
      </c>
      <c r="C18691" t="s">
        <v>32</v>
      </c>
      <c r="D18691" t="s">
        <v>17</v>
      </c>
      <c r="E18691" t="s">
        <v>12</v>
      </c>
      <c r="F18691">
        <v>30131318</v>
      </c>
      <c r="G18691">
        <v>30131342</v>
      </c>
      <c r="H18691">
        <v>30131318</v>
      </c>
      <c r="I18691">
        <v>30131342</v>
      </c>
    </row>
    <row r="18692" spans="1:9" x14ac:dyDescent="0.2">
      <c r="A18692" s="1" t="str">
        <f>"TRIM16"</f>
        <v>TRIM16</v>
      </c>
      <c r="B18692" t="s">
        <v>14</v>
      </c>
      <c r="C18692" t="s">
        <v>28</v>
      </c>
      <c r="D18692" t="s">
        <v>11</v>
      </c>
      <c r="E18692" t="s">
        <v>12</v>
      </c>
      <c r="F18692">
        <v>15587602</v>
      </c>
      <c r="G18692">
        <v>15587636</v>
      </c>
      <c r="H18692">
        <v>15587602</v>
      </c>
      <c r="I18692">
        <v>15587636</v>
      </c>
    </row>
    <row r="18693" spans="1:9" x14ac:dyDescent="0.2">
      <c r="A18693" s="1" t="str">
        <f>"TRIM16L"</f>
        <v>TRIM16L</v>
      </c>
      <c r="B18693" t="s">
        <v>9</v>
      </c>
      <c r="C18693" t="s">
        <v>28</v>
      </c>
      <c r="D18693" t="s">
        <v>17</v>
      </c>
      <c r="E18693" t="s">
        <v>12</v>
      </c>
      <c r="F18693">
        <v>18601299</v>
      </c>
      <c r="G18693">
        <v>18601333</v>
      </c>
      <c r="H18693">
        <v>18601299</v>
      </c>
      <c r="I18693">
        <v>18601333</v>
      </c>
    </row>
    <row r="18694" spans="1:9" x14ac:dyDescent="0.2">
      <c r="A18694" s="1" t="str">
        <f>"TRIM16L"</f>
        <v>TRIM16L</v>
      </c>
      <c r="B18694" t="s">
        <v>13</v>
      </c>
      <c r="C18694" t="s">
        <v>28</v>
      </c>
      <c r="D18694" t="s">
        <v>17</v>
      </c>
      <c r="E18694" t="s">
        <v>12</v>
      </c>
      <c r="F18694">
        <v>18625426</v>
      </c>
      <c r="G18694">
        <v>18625454</v>
      </c>
      <c r="H18694">
        <v>18625426</v>
      </c>
      <c r="I18694">
        <v>18625454</v>
      </c>
    </row>
    <row r="18695" spans="1:9" x14ac:dyDescent="0.2">
      <c r="A18695" s="1" t="str">
        <f>"TRIM17"</f>
        <v>TRIM17</v>
      </c>
      <c r="B18695" t="s">
        <v>14</v>
      </c>
      <c r="C18695" t="s">
        <v>19</v>
      </c>
      <c r="D18695" t="s">
        <v>11</v>
      </c>
      <c r="E18695" t="s">
        <v>12</v>
      </c>
      <c r="F18695">
        <v>228604544</v>
      </c>
      <c r="G18695">
        <v>228604568</v>
      </c>
      <c r="H18695">
        <v>228604381</v>
      </c>
      <c r="I18695">
        <v>228604423</v>
      </c>
    </row>
    <row r="18696" spans="1:9" x14ac:dyDescent="0.2">
      <c r="A18696" s="1" t="str">
        <f>"TRIM2"</f>
        <v>TRIM2</v>
      </c>
      <c r="B18696" t="s">
        <v>1750</v>
      </c>
      <c r="C18696" t="s">
        <v>23</v>
      </c>
      <c r="D18696" t="s">
        <v>17</v>
      </c>
      <c r="E18696" t="s">
        <v>35</v>
      </c>
      <c r="F18696">
        <v>154074074</v>
      </c>
      <c r="G18696">
        <v>154074119</v>
      </c>
      <c r="H18696">
        <v>154074389</v>
      </c>
      <c r="I18696">
        <v>154074398</v>
      </c>
    </row>
    <row r="18697" spans="1:9" x14ac:dyDescent="0.2">
      <c r="A18697" s="1" t="str">
        <f>"TRIM21"</f>
        <v>TRIM21</v>
      </c>
      <c r="B18697" t="s">
        <v>14</v>
      </c>
      <c r="C18697" t="s">
        <v>27</v>
      </c>
      <c r="D18697" t="s">
        <v>11</v>
      </c>
      <c r="E18697" t="s">
        <v>12</v>
      </c>
      <c r="F18697">
        <v>4414880</v>
      </c>
      <c r="G18697">
        <v>4414953</v>
      </c>
      <c r="H18697">
        <v>4414880</v>
      </c>
      <c r="I18697">
        <v>4414953</v>
      </c>
    </row>
    <row r="18698" spans="1:9" x14ac:dyDescent="0.2">
      <c r="A18698" s="1" t="str">
        <f>"TRIM22"</f>
        <v>TRIM22</v>
      </c>
      <c r="B18698" t="s">
        <v>14</v>
      </c>
      <c r="C18698" t="s">
        <v>27</v>
      </c>
      <c r="D18698" t="s">
        <v>17</v>
      </c>
      <c r="E18698" t="s">
        <v>12</v>
      </c>
      <c r="F18698">
        <v>5711010</v>
      </c>
      <c r="G18698">
        <v>5711105</v>
      </c>
      <c r="H18698">
        <v>5710850</v>
      </c>
      <c r="I18698">
        <v>5710888</v>
      </c>
    </row>
    <row r="18699" spans="1:9" x14ac:dyDescent="0.2">
      <c r="A18699" s="1" t="str">
        <f>"TRIM23"</f>
        <v>TRIM23</v>
      </c>
      <c r="B18699" t="s">
        <v>14</v>
      </c>
      <c r="C18699" t="s">
        <v>46</v>
      </c>
      <c r="D18699" t="s">
        <v>11</v>
      </c>
      <c r="E18699" t="s">
        <v>12</v>
      </c>
      <c r="F18699">
        <v>64920115</v>
      </c>
      <c r="G18699">
        <v>64920174</v>
      </c>
      <c r="H18699">
        <v>64920445</v>
      </c>
      <c r="I18699">
        <v>64920479</v>
      </c>
    </row>
    <row r="18700" spans="1:9" x14ac:dyDescent="0.2">
      <c r="A18700" s="1" t="str">
        <f>"TRIM24"</f>
        <v>TRIM24</v>
      </c>
      <c r="B18700" t="s">
        <v>14</v>
      </c>
      <c r="C18700" t="s">
        <v>33</v>
      </c>
      <c r="D18700" t="s">
        <v>17</v>
      </c>
      <c r="E18700" t="s">
        <v>12</v>
      </c>
      <c r="F18700">
        <v>138145145</v>
      </c>
      <c r="G18700">
        <v>138145209</v>
      </c>
      <c r="H18700">
        <v>138144983</v>
      </c>
      <c r="I18700">
        <v>138145011</v>
      </c>
    </row>
    <row r="18701" spans="1:9" x14ac:dyDescent="0.2">
      <c r="A18701" s="1" t="str">
        <f>"TRIM25"</f>
        <v>TRIM25</v>
      </c>
      <c r="B18701" t="s">
        <v>14</v>
      </c>
      <c r="C18701" t="s">
        <v>28</v>
      </c>
      <c r="D18701" t="s">
        <v>11</v>
      </c>
      <c r="E18701" t="s">
        <v>12</v>
      </c>
      <c r="F18701">
        <v>54991395</v>
      </c>
      <c r="G18701">
        <v>54991453</v>
      </c>
      <c r="H18701">
        <v>54991369</v>
      </c>
      <c r="I18701">
        <v>54991386</v>
      </c>
    </row>
    <row r="18702" spans="1:9" x14ac:dyDescent="0.2">
      <c r="A18702" s="1" t="str">
        <f>"TRIM26"</f>
        <v>TRIM26</v>
      </c>
      <c r="B18702" t="s">
        <v>14</v>
      </c>
      <c r="C18702" t="s">
        <v>32</v>
      </c>
      <c r="D18702" t="s">
        <v>11</v>
      </c>
      <c r="E18702" t="s">
        <v>12</v>
      </c>
      <c r="F18702">
        <v>30181156</v>
      </c>
      <c r="G18702">
        <v>30181209</v>
      </c>
      <c r="H18702">
        <v>30181133</v>
      </c>
      <c r="I18702">
        <v>30181150</v>
      </c>
    </row>
    <row r="18703" spans="1:9" x14ac:dyDescent="0.2">
      <c r="A18703" s="1" t="str">
        <f>"TRIM27"</f>
        <v>TRIM27</v>
      </c>
      <c r="B18703" t="s">
        <v>14</v>
      </c>
      <c r="C18703" t="s">
        <v>32</v>
      </c>
      <c r="D18703" t="s">
        <v>11</v>
      </c>
      <c r="E18703" t="s">
        <v>12</v>
      </c>
      <c r="F18703">
        <v>28891709</v>
      </c>
      <c r="G18703">
        <v>28891769</v>
      </c>
      <c r="H18703">
        <v>28891654</v>
      </c>
      <c r="I18703">
        <v>28891685</v>
      </c>
    </row>
    <row r="18704" spans="1:9" x14ac:dyDescent="0.2">
      <c r="A18704" s="1" t="str">
        <f>"TRIM28"</f>
        <v>TRIM28</v>
      </c>
      <c r="B18704" t="s">
        <v>14</v>
      </c>
      <c r="C18704" t="s">
        <v>10</v>
      </c>
      <c r="D18704" t="s">
        <v>17</v>
      </c>
      <c r="E18704" t="s">
        <v>12</v>
      </c>
      <c r="F18704">
        <v>59055814</v>
      </c>
      <c r="G18704">
        <v>59055835</v>
      </c>
      <c r="H18704">
        <v>59055412</v>
      </c>
      <c r="I18704">
        <v>59055468</v>
      </c>
    </row>
    <row r="18705" spans="1:9" x14ac:dyDescent="0.2">
      <c r="A18705" s="1" t="str">
        <f>"TRIM29"</f>
        <v>TRIM29</v>
      </c>
      <c r="B18705" t="s">
        <v>9</v>
      </c>
      <c r="C18705" t="s">
        <v>27</v>
      </c>
      <c r="D18705" t="s">
        <v>11</v>
      </c>
      <c r="E18705" t="s">
        <v>12</v>
      </c>
      <c r="F18705">
        <v>120008813</v>
      </c>
      <c r="G18705">
        <v>120008831</v>
      </c>
      <c r="H18705">
        <v>120008813</v>
      </c>
      <c r="I18705">
        <v>120008831</v>
      </c>
    </row>
    <row r="18706" spans="1:9" x14ac:dyDescent="0.2">
      <c r="A18706" s="1" t="str">
        <f>"TRIM29"</f>
        <v>TRIM29</v>
      </c>
      <c r="B18706" t="s">
        <v>13</v>
      </c>
      <c r="C18706" t="s">
        <v>27</v>
      </c>
      <c r="D18706" t="s">
        <v>11</v>
      </c>
      <c r="E18706" t="s">
        <v>12</v>
      </c>
      <c r="F18706">
        <v>119993734</v>
      </c>
      <c r="G18706">
        <v>119993778</v>
      </c>
      <c r="H18706">
        <v>119993734</v>
      </c>
      <c r="I18706">
        <v>119993778</v>
      </c>
    </row>
    <row r="18707" spans="1:9" x14ac:dyDescent="0.2">
      <c r="A18707" s="1" t="str">
        <f>"TRIM3"</f>
        <v>TRIM3</v>
      </c>
      <c r="B18707" t="s">
        <v>14</v>
      </c>
      <c r="C18707" t="s">
        <v>27</v>
      </c>
      <c r="D18707" t="s">
        <v>11</v>
      </c>
      <c r="E18707" t="s">
        <v>12</v>
      </c>
      <c r="F18707">
        <v>6495101</v>
      </c>
      <c r="G18707">
        <v>6495202</v>
      </c>
      <c r="H18707">
        <v>6495082</v>
      </c>
      <c r="I18707">
        <v>6495095</v>
      </c>
    </row>
    <row r="18708" spans="1:9" x14ac:dyDescent="0.2">
      <c r="A18708" s="1" t="str">
        <f>"TRIM31"</f>
        <v>TRIM31</v>
      </c>
      <c r="B18708" t="s">
        <v>14</v>
      </c>
      <c r="C18708" t="s">
        <v>32</v>
      </c>
      <c r="D18708" t="s">
        <v>11</v>
      </c>
      <c r="E18708" t="s">
        <v>12</v>
      </c>
      <c r="F18708">
        <v>30080863</v>
      </c>
      <c r="G18708">
        <v>30080872</v>
      </c>
      <c r="H18708">
        <v>30080894</v>
      </c>
      <c r="I18708">
        <v>30080903</v>
      </c>
    </row>
    <row r="18709" spans="1:9" x14ac:dyDescent="0.2">
      <c r="A18709" s="1" t="str">
        <f>"TRIM32"</f>
        <v>TRIM32</v>
      </c>
      <c r="B18709" t="s">
        <v>14</v>
      </c>
      <c r="C18709" t="s">
        <v>24</v>
      </c>
      <c r="D18709" t="s">
        <v>17</v>
      </c>
      <c r="E18709" t="s">
        <v>12</v>
      </c>
      <c r="F18709">
        <v>119449576</v>
      </c>
      <c r="G18709">
        <v>119449638</v>
      </c>
      <c r="H18709">
        <v>119449576</v>
      </c>
      <c r="I18709">
        <v>119449638</v>
      </c>
    </row>
    <row r="18710" spans="1:9" x14ac:dyDescent="0.2">
      <c r="A18710" s="1" t="str">
        <f>"TRIM33"</f>
        <v>TRIM33</v>
      </c>
      <c r="B18710" t="s">
        <v>14</v>
      </c>
      <c r="C18710" t="s">
        <v>19</v>
      </c>
      <c r="D18710" t="s">
        <v>11</v>
      </c>
      <c r="E18710" t="s">
        <v>12</v>
      </c>
      <c r="F18710">
        <v>115053782</v>
      </c>
      <c r="G18710">
        <v>115053853</v>
      </c>
      <c r="H18710">
        <v>115053702</v>
      </c>
      <c r="I18710">
        <v>115053714</v>
      </c>
    </row>
    <row r="18711" spans="1:9" x14ac:dyDescent="0.2">
      <c r="A18711" s="1" t="str">
        <f>"TRIM34"</f>
        <v>TRIM34</v>
      </c>
      <c r="B18711" t="s">
        <v>9</v>
      </c>
      <c r="C18711" t="s">
        <v>27</v>
      </c>
      <c r="D18711" t="s">
        <v>17</v>
      </c>
      <c r="E18711" t="s">
        <v>12</v>
      </c>
      <c r="F18711">
        <v>5646217</v>
      </c>
      <c r="G18711">
        <v>5646260</v>
      </c>
      <c r="H18711">
        <v>5646217</v>
      </c>
      <c r="I18711">
        <v>5646260</v>
      </c>
    </row>
    <row r="18712" spans="1:9" x14ac:dyDescent="0.2">
      <c r="A18712" s="1" t="str">
        <f>"TRIM34"</f>
        <v>TRIM34</v>
      </c>
      <c r="B18712" t="s">
        <v>13</v>
      </c>
      <c r="C18712" t="s">
        <v>27</v>
      </c>
      <c r="D18712" t="s">
        <v>17</v>
      </c>
      <c r="E18712" t="s">
        <v>12</v>
      </c>
      <c r="F18712">
        <v>5617952</v>
      </c>
      <c r="G18712">
        <v>5617964</v>
      </c>
      <c r="H18712">
        <v>5617952</v>
      </c>
      <c r="I18712">
        <v>5617964</v>
      </c>
    </row>
    <row r="18713" spans="1:9" x14ac:dyDescent="0.2">
      <c r="A18713" s="1" t="str">
        <f>"TRIM35"</f>
        <v>TRIM35</v>
      </c>
      <c r="B18713" t="s">
        <v>14</v>
      </c>
      <c r="C18713" t="s">
        <v>30</v>
      </c>
      <c r="D18713" t="s">
        <v>11</v>
      </c>
      <c r="E18713" t="s">
        <v>12</v>
      </c>
      <c r="F18713">
        <v>27168737</v>
      </c>
      <c r="G18713">
        <v>27168810</v>
      </c>
      <c r="H18713">
        <v>27168822</v>
      </c>
      <c r="I18713">
        <v>27168840</v>
      </c>
    </row>
    <row r="18714" spans="1:9" x14ac:dyDescent="0.2">
      <c r="A18714" s="1" t="str">
        <f>"TRIM36"</f>
        <v>TRIM36</v>
      </c>
      <c r="B18714" t="s">
        <v>9</v>
      </c>
      <c r="C18714" t="s">
        <v>46</v>
      </c>
      <c r="D18714" t="s">
        <v>11</v>
      </c>
      <c r="E18714" t="s">
        <v>12</v>
      </c>
      <c r="F18714">
        <v>114505591</v>
      </c>
      <c r="G18714">
        <v>114505614</v>
      </c>
      <c r="H18714">
        <v>114505591</v>
      </c>
      <c r="I18714">
        <v>114505614</v>
      </c>
    </row>
    <row r="18715" spans="1:9" x14ac:dyDescent="0.2">
      <c r="A18715" s="1" t="str">
        <f>"TRIM36"</f>
        <v>TRIM36</v>
      </c>
      <c r="B18715" t="s">
        <v>13</v>
      </c>
      <c r="C18715" t="s">
        <v>46</v>
      </c>
      <c r="D18715" t="s">
        <v>11</v>
      </c>
      <c r="E18715" t="s">
        <v>12</v>
      </c>
      <c r="F18715">
        <v>114515949</v>
      </c>
      <c r="G18715">
        <v>114516006</v>
      </c>
      <c r="H18715">
        <v>114515949</v>
      </c>
      <c r="I18715">
        <v>114516006</v>
      </c>
    </row>
    <row r="18716" spans="1:9" x14ac:dyDescent="0.2">
      <c r="A18716" s="1" t="str">
        <f>"TRIM37"</f>
        <v>TRIM37</v>
      </c>
      <c r="B18716" t="s">
        <v>14</v>
      </c>
      <c r="C18716" t="s">
        <v>28</v>
      </c>
      <c r="D18716" t="s">
        <v>11</v>
      </c>
      <c r="E18716" t="s">
        <v>12</v>
      </c>
      <c r="F18716">
        <v>57184170</v>
      </c>
      <c r="G18716">
        <v>57184257</v>
      </c>
      <c r="H18716">
        <v>57184088</v>
      </c>
      <c r="I18716">
        <v>57184133</v>
      </c>
    </row>
    <row r="18717" spans="1:9" x14ac:dyDescent="0.2">
      <c r="A18717" s="1" t="str">
        <f>"TRIM38"</f>
        <v>TRIM38</v>
      </c>
      <c r="B18717" t="s">
        <v>14</v>
      </c>
      <c r="C18717" t="s">
        <v>32</v>
      </c>
      <c r="D18717" t="s">
        <v>17</v>
      </c>
      <c r="E18717" t="s">
        <v>12</v>
      </c>
      <c r="F18717">
        <v>25963020</v>
      </c>
      <c r="G18717">
        <v>25963051</v>
      </c>
      <c r="H18717">
        <v>25963052</v>
      </c>
      <c r="I18717">
        <v>25963067</v>
      </c>
    </row>
    <row r="18718" spans="1:9" x14ac:dyDescent="0.2">
      <c r="A18718" s="1" t="str">
        <f>"TRIM39"</f>
        <v>TRIM39</v>
      </c>
      <c r="B18718" t="s">
        <v>14</v>
      </c>
      <c r="C18718" t="s">
        <v>32</v>
      </c>
      <c r="D18718" t="s">
        <v>17</v>
      </c>
      <c r="E18718" t="s">
        <v>12</v>
      </c>
      <c r="F18718">
        <v>30294186</v>
      </c>
      <c r="G18718">
        <v>30294251</v>
      </c>
      <c r="H18718">
        <v>30294289</v>
      </c>
      <c r="I18718">
        <v>30294313</v>
      </c>
    </row>
    <row r="18719" spans="1:9" x14ac:dyDescent="0.2">
      <c r="A18719" s="1" t="str">
        <f>"TRIM39-RPP21"</f>
        <v>TRIM39-RPP21</v>
      </c>
      <c r="B18719" t="s">
        <v>14</v>
      </c>
      <c r="C18719" t="s">
        <v>32</v>
      </c>
      <c r="D18719" t="s">
        <v>17</v>
      </c>
      <c r="E18719" t="s">
        <v>12</v>
      </c>
      <c r="F18719">
        <v>30297309</v>
      </c>
      <c r="G18719">
        <v>30297330</v>
      </c>
      <c r="H18719">
        <v>30297309</v>
      </c>
      <c r="I18719">
        <v>30297330</v>
      </c>
    </row>
    <row r="18720" spans="1:9" x14ac:dyDescent="0.2">
      <c r="A18720" s="1" t="str">
        <f>"TRIM4"</f>
        <v>TRIM4</v>
      </c>
      <c r="B18720" t="s">
        <v>14</v>
      </c>
      <c r="C18720" t="s">
        <v>33</v>
      </c>
      <c r="D18720" t="s">
        <v>11</v>
      </c>
      <c r="E18720" t="s">
        <v>12</v>
      </c>
      <c r="F18720">
        <v>99517131</v>
      </c>
      <c r="G18720">
        <v>99517162</v>
      </c>
      <c r="H18720">
        <v>99517102</v>
      </c>
      <c r="I18720">
        <v>99517125</v>
      </c>
    </row>
    <row r="18721" spans="1:9" x14ac:dyDescent="0.2">
      <c r="A18721" s="1" t="str">
        <f>"TRIM40"</f>
        <v>TRIM40</v>
      </c>
      <c r="B18721" t="s">
        <v>14</v>
      </c>
      <c r="C18721" t="s">
        <v>32</v>
      </c>
      <c r="D18721" t="s">
        <v>17</v>
      </c>
      <c r="E18721" t="s">
        <v>12</v>
      </c>
      <c r="F18721">
        <v>30103907</v>
      </c>
      <c r="G18721">
        <v>30103922</v>
      </c>
      <c r="H18721">
        <v>30103907</v>
      </c>
      <c r="I18721">
        <v>30103922</v>
      </c>
    </row>
    <row r="18722" spans="1:9" x14ac:dyDescent="0.2">
      <c r="A18722" s="1" t="str">
        <f>"TRIM41"</f>
        <v>TRIM41</v>
      </c>
      <c r="B18722" t="s">
        <v>14</v>
      </c>
      <c r="C18722" t="s">
        <v>46</v>
      </c>
      <c r="D18722" t="s">
        <v>17</v>
      </c>
      <c r="E18722" t="s">
        <v>12</v>
      </c>
      <c r="F18722">
        <v>180650271</v>
      </c>
      <c r="G18722">
        <v>180650319</v>
      </c>
      <c r="H18722">
        <v>180650271</v>
      </c>
      <c r="I18722">
        <v>180650319</v>
      </c>
    </row>
    <row r="18723" spans="1:9" x14ac:dyDescent="0.2">
      <c r="A18723" s="1" t="str">
        <f>"TRIM42"</f>
        <v>TRIM42</v>
      </c>
      <c r="B18723" t="s">
        <v>14</v>
      </c>
      <c r="C18723" t="s">
        <v>22</v>
      </c>
      <c r="D18723" t="s">
        <v>17</v>
      </c>
      <c r="E18723" t="s">
        <v>12</v>
      </c>
      <c r="F18723">
        <v>140396889</v>
      </c>
      <c r="G18723">
        <v>140396911</v>
      </c>
      <c r="H18723">
        <v>140396889</v>
      </c>
      <c r="I18723">
        <v>140396911</v>
      </c>
    </row>
    <row r="18724" spans="1:9" x14ac:dyDescent="0.2">
      <c r="A18724" s="1" t="str">
        <f>"TRIM43"</f>
        <v>TRIM43</v>
      </c>
      <c r="B18724" t="s">
        <v>1751</v>
      </c>
      <c r="C18724" t="s">
        <v>26</v>
      </c>
      <c r="D18724" t="s">
        <v>17</v>
      </c>
      <c r="E18724" t="s">
        <v>20</v>
      </c>
      <c r="F18724">
        <v>96257765</v>
      </c>
      <c r="G18724">
        <v>96257765</v>
      </c>
      <c r="H18724">
        <v>96257765</v>
      </c>
      <c r="I18724">
        <v>96257765</v>
      </c>
    </row>
    <row r="18725" spans="1:9" x14ac:dyDescent="0.2">
      <c r="A18725" s="1" t="str">
        <f>"TRIM44"</f>
        <v>TRIM44</v>
      </c>
      <c r="B18725" t="s">
        <v>14</v>
      </c>
      <c r="C18725" t="s">
        <v>27</v>
      </c>
      <c r="D18725" t="s">
        <v>17</v>
      </c>
      <c r="E18725" t="s">
        <v>12</v>
      </c>
      <c r="F18725">
        <v>35684394</v>
      </c>
      <c r="G18725">
        <v>35684456</v>
      </c>
      <c r="H18725">
        <v>35684288</v>
      </c>
      <c r="I18725">
        <v>35684352</v>
      </c>
    </row>
    <row r="18726" spans="1:9" x14ac:dyDescent="0.2">
      <c r="A18726" s="1" t="str">
        <f>"TRIM45"</f>
        <v>TRIM45</v>
      </c>
      <c r="B18726" t="s">
        <v>14</v>
      </c>
      <c r="C18726" t="s">
        <v>19</v>
      </c>
      <c r="D18726" t="s">
        <v>11</v>
      </c>
      <c r="E18726" t="s">
        <v>12</v>
      </c>
      <c r="F18726">
        <v>117664317</v>
      </c>
      <c r="G18726">
        <v>117664379</v>
      </c>
      <c r="H18726">
        <v>117664395</v>
      </c>
      <c r="I18726">
        <v>117664404</v>
      </c>
    </row>
    <row r="18727" spans="1:9" x14ac:dyDescent="0.2">
      <c r="A18727" s="1" t="str">
        <f>"TRIM46"</f>
        <v>TRIM46</v>
      </c>
      <c r="B18727" t="s">
        <v>14</v>
      </c>
      <c r="C18727" t="s">
        <v>19</v>
      </c>
      <c r="D18727" t="s">
        <v>17</v>
      </c>
      <c r="E18727" t="s">
        <v>12</v>
      </c>
      <c r="F18727">
        <v>155146318</v>
      </c>
      <c r="G18727">
        <v>155146384</v>
      </c>
      <c r="H18727">
        <v>155147046</v>
      </c>
      <c r="I18727">
        <v>155147077</v>
      </c>
    </row>
    <row r="18728" spans="1:9" x14ac:dyDescent="0.2">
      <c r="A18728" s="1" t="str">
        <f>"TRIM47"</f>
        <v>TRIM47</v>
      </c>
      <c r="B18728" t="s">
        <v>14</v>
      </c>
      <c r="C18728" t="s">
        <v>28</v>
      </c>
      <c r="D18728" t="s">
        <v>11</v>
      </c>
      <c r="E18728" t="s">
        <v>12</v>
      </c>
      <c r="F18728">
        <v>73874654</v>
      </c>
      <c r="G18728">
        <v>73874675</v>
      </c>
      <c r="H18728">
        <v>73874004</v>
      </c>
      <c r="I18728">
        <v>73874104</v>
      </c>
    </row>
    <row r="18729" spans="1:9" x14ac:dyDescent="0.2">
      <c r="A18729" s="1" t="str">
        <f>"TRIM48"</f>
        <v>TRIM48</v>
      </c>
      <c r="B18729" t="s">
        <v>14</v>
      </c>
      <c r="C18729" t="s">
        <v>27</v>
      </c>
      <c r="D18729" t="s">
        <v>17</v>
      </c>
      <c r="E18729" t="s">
        <v>12</v>
      </c>
      <c r="F18729">
        <v>55029628</v>
      </c>
      <c r="G18729">
        <v>55029641</v>
      </c>
      <c r="H18729">
        <v>55029628</v>
      </c>
      <c r="I18729">
        <v>55029641</v>
      </c>
    </row>
    <row r="18730" spans="1:9" x14ac:dyDescent="0.2">
      <c r="A18730" s="1" t="str">
        <f>"TRIM49"</f>
        <v>TRIM49</v>
      </c>
      <c r="B18730" t="s">
        <v>1752</v>
      </c>
      <c r="C18730" t="s">
        <v>27</v>
      </c>
      <c r="D18730" t="s">
        <v>11</v>
      </c>
      <c r="E18730" t="s">
        <v>20</v>
      </c>
      <c r="F18730">
        <v>89541742</v>
      </c>
      <c r="G18730">
        <v>89541742</v>
      </c>
      <c r="H18730">
        <v>89541742</v>
      </c>
      <c r="I18730">
        <v>89541742</v>
      </c>
    </row>
    <row r="18731" spans="1:9" x14ac:dyDescent="0.2">
      <c r="A18731" s="1" t="str">
        <f>"TRIM49B"</f>
        <v>TRIM49B</v>
      </c>
      <c r="B18731" t="s">
        <v>1753</v>
      </c>
      <c r="C18731" t="s">
        <v>27</v>
      </c>
      <c r="D18731" t="s">
        <v>17</v>
      </c>
      <c r="E18731" t="s">
        <v>20</v>
      </c>
      <c r="F18731">
        <v>49050503</v>
      </c>
      <c r="G18731">
        <v>49050503</v>
      </c>
      <c r="H18731">
        <v>49050503</v>
      </c>
      <c r="I18731">
        <v>49050503</v>
      </c>
    </row>
    <row r="18732" spans="1:9" x14ac:dyDescent="0.2">
      <c r="A18732" s="1" t="str">
        <f>"TRIM49C"</f>
        <v>TRIM49C</v>
      </c>
      <c r="B18732" t="s">
        <v>1754</v>
      </c>
      <c r="C18732" t="s">
        <v>27</v>
      </c>
      <c r="D18732" t="s">
        <v>17</v>
      </c>
      <c r="E18732" t="s">
        <v>20</v>
      </c>
      <c r="F18732">
        <v>89764273</v>
      </c>
      <c r="G18732">
        <v>89764273</v>
      </c>
      <c r="H18732">
        <v>89764273</v>
      </c>
      <c r="I18732">
        <v>89764273</v>
      </c>
    </row>
    <row r="18733" spans="1:9" x14ac:dyDescent="0.2">
      <c r="A18733" s="1" t="str">
        <f>"TRIM49D1"</f>
        <v>TRIM49D1</v>
      </c>
      <c r="B18733" t="s">
        <v>1755</v>
      </c>
      <c r="C18733" t="s">
        <v>27</v>
      </c>
      <c r="D18733" t="s">
        <v>11</v>
      </c>
      <c r="E18733" t="s">
        <v>20</v>
      </c>
      <c r="F18733">
        <v>89653575</v>
      </c>
      <c r="G18733">
        <v>89653575</v>
      </c>
      <c r="H18733">
        <v>89653575</v>
      </c>
      <c r="I18733">
        <v>89653575</v>
      </c>
    </row>
    <row r="18734" spans="1:9" x14ac:dyDescent="0.2">
      <c r="A18734" s="1" t="str">
        <f>"TRIM49D1"</f>
        <v>TRIM49D1</v>
      </c>
      <c r="B18734" t="s">
        <v>1756</v>
      </c>
      <c r="C18734" t="s">
        <v>27</v>
      </c>
      <c r="D18734" t="s">
        <v>11</v>
      </c>
      <c r="E18734" t="s">
        <v>20</v>
      </c>
      <c r="F18734">
        <v>89654934</v>
      </c>
      <c r="G18734">
        <v>89654934</v>
      </c>
      <c r="H18734">
        <v>89654934</v>
      </c>
      <c r="I18734">
        <v>89654934</v>
      </c>
    </row>
    <row r="18735" spans="1:9" x14ac:dyDescent="0.2">
      <c r="A18735" s="1" t="str">
        <f>"TRIM5"</f>
        <v>TRIM5</v>
      </c>
      <c r="B18735" t="s">
        <v>14</v>
      </c>
      <c r="C18735" t="s">
        <v>27</v>
      </c>
      <c r="D18735" t="s">
        <v>11</v>
      </c>
      <c r="E18735" t="s">
        <v>12</v>
      </c>
      <c r="F18735">
        <v>5706239</v>
      </c>
      <c r="G18735">
        <v>5706344</v>
      </c>
      <c r="H18735">
        <v>5706175</v>
      </c>
      <c r="I18735">
        <v>5706211</v>
      </c>
    </row>
    <row r="18736" spans="1:9" x14ac:dyDescent="0.2">
      <c r="A18736" s="1" t="str">
        <f>"TRIM50"</f>
        <v>TRIM50</v>
      </c>
      <c r="B18736" t="s">
        <v>14</v>
      </c>
      <c r="C18736" t="s">
        <v>33</v>
      </c>
      <c r="D18736" t="s">
        <v>11</v>
      </c>
      <c r="E18736" t="s">
        <v>12</v>
      </c>
      <c r="F18736">
        <v>72742067</v>
      </c>
      <c r="G18736">
        <v>72742078</v>
      </c>
      <c r="H18736">
        <v>72742038</v>
      </c>
      <c r="I18736">
        <v>72742044</v>
      </c>
    </row>
    <row r="18737" spans="1:9" x14ac:dyDescent="0.2">
      <c r="A18737" s="1" t="str">
        <f>"TRIM51"</f>
        <v>TRIM51</v>
      </c>
      <c r="B18737" t="s">
        <v>14</v>
      </c>
      <c r="C18737" t="s">
        <v>27</v>
      </c>
      <c r="D18737" t="s">
        <v>17</v>
      </c>
      <c r="E18737" t="s">
        <v>12</v>
      </c>
      <c r="F18737">
        <v>55650738</v>
      </c>
      <c r="G18737">
        <v>55650742</v>
      </c>
      <c r="H18737">
        <v>55650738</v>
      </c>
      <c r="I18737">
        <v>55650742</v>
      </c>
    </row>
    <row r="18738" spans="1:9" x14ac:dyDescent="0.2">
      <c r="A18738" s="1" t="str">
        <f>"TRIM52"</f>
        <v>TRIM52</v>
      </c>
      <c r="B18738" t="s">
        <v>14</v>
      </c>
      <c r="C18738" t="s">
        <v>46</v>
      </c>
      <c r="D18738" t="s">
        <v>11</v>
      </c>
      <c r="E18738" t="s">
        <v>12</v>
      </c>
      <c r="F18738">
        <v>180688105</v>
      </c>
      <c r="G18738">
        <v>180688162</v>
      </c>
      <c r="H18738">
        <v>180688079</v>
      </c>
      <c r="I18738">
        <v>180688104</v>
      </c>
    </row>
    <row r="18739" spans="1:9" x14ac:dyDescent="0.2">
      <c r="A18739" s="1" t="str">
        <f>"TRIM54"</f>
        <v>TRIM54</v>
      </c>
      <c r="B18739" t="s">
        <v>14</v>
      </c>
      <c r="C18739" t="s">
        <v>26</v>
      </c>
      <c r="D18739" t="s">
        <v>17</v>
      </c>
      <c r="E18739" t="s">
        <v>12</v>
      </c>
      <c r="F18739">
        <v>27505287</v>
      </c>
      <c r="G18739">
        <v>27505306</v>
      </c>
      <c r="H18739">
        <v>27505287</v>
      </c>
      <c r="I18739">
        <v>27505306</v>
      </c>
    </row>
    <row r="18740" spans="1:9" x14ac:dyDescent="0.2">
      <c r="A18740" s="1" t="str">
        <f>"TRIM55"</f>
        <v>TRIM55</v>
      </c>
      <c r="B18740" t="s">
        <v>14</v>
      </c>
      <c r="C18740" t="s">
        <v>30</v>
      </c>
      <c r="D18740" t="s">
        <v>17</v>
      </c>
      <c r="E18740" t="s">
        <v>12</v>
      </c>
      <c r="F18740">
        <v>67039329</v>
      </c>
      <c r="G18740">
        <v>67039377</v>
      </c>
      <c r="H18740">
        <v>67039329</v>
      </c>
      <c r="I18740">
        <v>67039377</v>
      </c>
    </row>
    <row r="18741" spans="1:9" x14ac:dyDescent="0.2">
      <c r="A18741" s="1" t="str">
        <f>"TRIM56"</f>
        <v>TRIM56</v>
      </c>
      <c r="B18741" t="s">
        <v>14</v>
      </c>
      <c r="C18741" t="s">
        <v>33</v>
      </c>
      <c r="D18741" t="s">
        <v>17</v>
      </c>
      <c r="E18741" t="s">
        <v>12</v>
      </c>
      <c r="F18741">
        <v>100728745</v>
      </c>
      <c r="G18741">
        <v>100728792</v>
      </c>
      <c r="H18741">
        <v>100728688</v>
      </c>
      <c r="I18741">
        <v>100728719</v>
      </c>
    </row>
    <row r="18742" spans="1:9" x14ac:dyDescent="0.2">
      <c r="A18742" s="1" t="str">
        <f>"TRIM58"</f>
        <v>TRIM58</v>
      </c>
      <c r="B18742" t="s">
        <v>14</v>
      </c>
      <c r="C18742" t="s">
        <v>19</v>
      </c>
      <c r="D18742" t="s">
        <v>17</v>
      </c>
      <c r="E18742" t="s">
        <v>12</v>
      </c>
      <c r="F18742">
        <v>248020481</v>
      </c>
      <c r="G18742">
        <v>248020496</v>
      </c>
      <c r="H18742">
        <v>248020587</v>
      </c>
      <c r="I18742">
        <v>248020624</v>
      </c>
    </row>
    <row r="18743" spans="1:9" x14ac:dyDescent="0.2">
      <c r="A18743" s="1" t="str">
        <f>"TRIM59"</f>
        <v>TRIM59</v>
      </c>
      <c r="B18743" t="s">
        <v>14</v>
      </c>
      <c r="C18743" t="s">
        <v>22</v>
      </c>
      <c r="D18743" t="s">
        <v>11</v>
      </c>
      <c r="E18743" t="s">
        <v>12</v>
      </c>
      <c r="F18743">
        <v>160167540</v>
      </c>
      <c r="G18743">
        <v>160167598</v>
      </c>
      <c r="H18743">
        <v>160167301</v>
      </c>
      <c r="I18743">
        <v>160167369</v>
      </c>
    </row>
    <row r="18744" spans="1:9" x14ac:dyDescent="0.2">
      <c r="A18744" s="1" t="str">
        <f>"TRIM6"</f>
        <v>TRIM6</v>
      </c>
      <c r="B18744" t="s">
        <v>14</v>
      </c>
      <c r="C18744" t="s">
        <v>27</v>
      </c>
      <c r="D18744" t="s">
        <v>17</v>
      </c>
      <c r="E18744" t="s">
        <v>12</v>
      </c>
      <c r="F18744">
        <v>5617858</v>
      </c>
      <c r="G18744">
        <v>5617934</v>
      </c>
      <c r="H18744">
        <v>5617330</v>
      </c>
      <c r="I18744">
        <v>5617354</v>
      </c>
    </row>
    <row r="18745" spans="1:9" x14ac:dyDescent="0.2">
      <c r="A18745" s="1" t="str">
        <f>"TRIM6-TRIM34"</f>
        <v>TRIM6-TRIM34</v>
      </c>
      <c r="B18745" t="s">
        <v>14</v>
      </c>
      <c r="C18745" t="s">
        <v>27</v>
      </c>
      <c r="D18745" t="s">
        <v>17</v>
      </c>
      <c r="E18745" t="s">
        <v>12</v>
      </c>
      <c r="F18745">
        <v>5617858</v>
      </c>
      <c r="G18745">
        <v>5617934</v>
      </c>
      <c r="H18745">
        <v>5617952</v>
      </c>
      <c r="I18745">
        <v>5617964</v>
      </c>
    </row>
    <row r="18746" spans="1:9" x14ac:dyDescent="0.2">
      <c r="A18746" s="1" t="str">
        <f>"TRIM60"</f>
        <v>TRIM60</v>
      </c>
      <c r="B18746" t="s">
        <v>14</v>
      </c>
      <c r="C18746" t="s">
        <v>23</v>
      </c>
      <c r="D18746" t="s">
        <v>17</v>
      </c>
      <c r="E18746" t="s">
        <v>12</v>
      </c>
      <c r="F18746">
        <v>165953174</v>
      </c>
      <c r="G18746">
        <v>165953189</v>
      </c>
      <c r="H18746">
        <v>165953213</v>
      </c>
      <c r="I18746">
        <v>165953229</v>
      </c>
    </row>
    <row r="18747" spans="1:9" x14ac:dyDescent="0.2">
      <c r="A18747" s="1" t="str">
        <f>"TRIM61"</f>
        <v>TRIM61</v>
      </c>
      <c r="B18747" t="s">
        <v>14</v>
      </c>
      <c r="C18747" t="s">
        <v>23</v>
      </c>
      <c r="D18747" t="s">
        <v>11</v>
      </c>
      <c r="E18747" t="s">
        <v>12</v>
      </c>
      <c r="F18747">
        <v>165898768</v>
      </c>
      <c r="G18747">
        <v>165898818</v>
      </c>
      <c r="H18747">
        <v>165898825</v>
      </c>
      <c r="I18747">
        <v>165898833</v>
      </c>
    </row>
    <row r="18748" spans="1:9" x14ac:dyDescent="0.2">
      <c r="A18748" s="1" t="str">
        <f>"TRIM62"</f>
        <v>TRIM62</v>
      </c>
      <c r="B18748" t="s">
        <v>14</v>
      </c>
      <c r="C18748" t="s">
        <v>19</v>
      </c>
      <c r="D18748" t="s">
        <v>11</v>
      </c>
      <c r="E18748" t="s">
        <v>12</v>
      </c>
      <c r="F18748">
        <v>33647631</v>
      </c>
      <c r="G18748">
        <v>33647670</v>
      </c>
      <c r="H18748">
        <v>33647671</v>
      </c>
      <c r="I18748">
        <v>33647686</v>
      </c>
    </row>
    <row r="18749" spans="1:9" x14ac:dyDescent="0.2">
      <c r="A18749" s="1" t="str">
        <f>"TRIM63"</f>
        <v>TRIM63</v>
      </c>
      <c r="B18749" t="s">
        <v>14</v>
      </c>
      <c r="C18749" t="s">
        <v>19</v>
      </c>
      <c r="D18749" t="s">
        <v>11</v>
      </c>
      <c r="E18749" t="s">
        <v>12</v>
      </c>
      <c r="F18749">
        <v>26394114</v>
      </c>
      <c r="G18749">
        <v>26394130</v>
      </c>
      <c r="H18749">
        <v>26394211</v>
      </c>
      <c r="I18749">
        <v>26394222</v>
      </c>
    </row>
    <row r="18750" spans="1:9" x14ac:dyDescent="0.2">
      <c r="A18750" s="1" t="str">
        <f>"TRIM64B"</f>
        <v>TRIM64B</v>
      </c>
      <c r="B18750" t="s">
        <v>1757</v>
      </c>
      <c r="C18750" t="s">
        <v>27</v>
      </c>
      <c r="D18750" t="s">
        <v>11</v>
      </c>
      <c r="E18750" t="s">
        <v>20</v>
      </c>
      <c r="F18750">
        <v>89609184</v>
      </c>
      <c r="G18750">
        <v>89609184</v>
      </c>
      <c r="H18750">
        <v>89609184</v>
      </c>
      <c r="I18750">
        <v>89609184</v>
      </c>
    </row>
    <row r="18751" spans="1:9" x14ac:dyDescent="0.2">
      <c r="A18751" s="1" t="str">
        <f>"TRIM64C"</f>
        <v>TRIM64C</v>
      </c>
      <c r="B18751" t="s">
        <v>1758</v>
      </c>
      <c r="C18751" t="s">
        <v>27</v>
      </c>
      <c r="D18751" t="s">
        <v>11</v>
      </c>
      <c r="E18751" t="s">
        <v>20</v>
      </c>
      <c r="F18751">
        <v>49080663</v>
      </c>
      <c r="G18751">
        <v>49080663</v>
      </c>
      <c r="H18751">
        <v>49080663</v>
      </c>
      <c r="I18751">
        <v>49080663</v>
      </c>
    </row>
    <row r="18752" spans="1:9" x14ac:dyDescent="0.2">
      <c r="A18752" s="1" t="str">
        <f>"TRIM65"</f>
        <v>TRIM65</v>
      </c>
      <c r="B18752" t="s">
        <v>14</v>
      </c>
      <c r="C18752" t="s">
        <v>28</v>
      </c>
      <c r="D18752" t="s">
        <v>11</v>
      </c>
      <c r="E18752" t="s">
        <v>12</v>
      </c>
      <c r="F18752">
        <v>73893024</v>
      </c>
      <c r="G18752">
        <v>73893099</v>
      </c>
      <c r="H18752">
        <v>73892819</v>
      </c>
      <c r="I18752">
        <v>73892862</v>
      </c>
    </row>
    <row r="18753" spans="1:9" x14ac:dyDescent="0.2">
      <c r="A18753" s="1" t="str">
        <f>"TRIM66"</f>
        <v>TRIM66</v>
      </c>
      <c r="B18753" t="s">
        <v>14</v>
      </c>
      <c r="C18753" t="s">
        <v>27</v>
      </c>
      <c r="D18753" t="s">
        <v>11</v>
      </c>
      <c r="E18753" t="s">
        <v>12</v>
      </c>
      <c r="F18753">
        <v>8680420</v>
      </c>
      <c r="G18753">
        <v>8680457</v>
      </c>
      <c r="H18753">
        <v>8680420</v>
      </c>
      <c r="I18753">
        <v>8680457</v>
      </c>
    </row>
    <row r="18754" spans="1:9" x14ac:dyDescent="0.2">
      <c r="A18754" s="1" t="str">
        <f>"TRIM67"</f>
        <v>TRIM67</v>
      </c>
      <c r="B18754" t="s">
        <v>14</v>
      </c>
      <c r="C18754" t="s">
        <v>19</v>
      </c>
      <c r="D18754" t="s">
        <v>17</v>
      </c>
      <c r="E18754" t="s">
        <v>12</v>
      </c>
      <c r="F18754">
        <v>231297798</v>
      </c>
      <c r="G18754">
        <v>231297813</v>
      </c>
      <c r="H18754">
        <v>231298353</v>
      </c>
      <c r="I18754">
        <v>231298403</v>
      </c>
    </row>
    <row r="18755" spans="1:9" x14ac:dyDescent="0.2">
      <c r="A18755" s="1" t="str">
        <f>"TRIM68"</f>
        <v>TRIM68</v>
      </c>
      <c r="B18755" t="s">
        <v>14</v>
      </c>
      <c r="C18755" t="s">
        <v>27</v>
      </c>
      <c r="D18755" t="s">
        <v>11</v>
      </c>
      <c r="E18755" t="s">
        <v>12</v>
      </c>
      <c r="F18755">
        <v>4629388</v>
      </c>
      <c r="G18755">
        <v>4629468</v>
      </c>
      <c r="H18755">
        <v>4629367</v>
      </c>
      <c r="I18755">
        <v>4629384</v>
      </c>
    </row>
    <row r="18756" spans="1:9" x14ac:dyDescent="0.2">
      <c r="A18756" s="1" t="str">
        <f>"TRIM69"</f>
        <v>TRIM69</v>
      </c>
      <c r="B18756" t="s">
        <v>14</v>
      </c>
      <c r="C18756" t="s">
        <v>25</v>
      </c>
      <c r="D18756" t="s">
        <v>17</v>
      </c>
      <c r="E18756" t="s">
        <v>12</v>
      </c>
      <c r="F18756">
        <v>45021241</v>
      </c>
      <c r="G18756">
        <v>45021345</v>
      </c>
      <c r="H18756">
        <v>45021352</v>
      </c>
      <c r="I18756">
        <v>45021380</v>
      </c>
    </row>
    <row r="18757" spans="1:9" x14ac:dyDescent="0.2">
      <c r="A18757" s="1" t="str">
        <f>"TRIM7"</f>
        <v>TRIM7</v>
      </c>
      <c r="B18757" t="s">
        <v>14</v>
      </c>
      <c r="C18757" t="s">
        <v>46</v>
      </c>
      <c r="D18757" t="s">
        <v>11</v>
      </c>
      <c r="E18757" t="s">
        <v>12</v>
      </c>
      <c r="F18757">
        <v>180632147</v>
      </c>
      <c r="G18757">
        <v>180632213</v>
      </c>
      <c r="H18757">
        <v>180632129</v>
      </c>
      <c r="I18757">
        <v>180632140</v>
      </c>
    </row>
    <row r="18758" spans="1:9" x14ac:dyDescent="0.2">
      <c r="A18758" s="1" t="str">
        <f>"TRIM71"</f>
        <v>TRIM71</v>
      </c>
      <c r="B18758" t="s">
        <v>14</v>
      </c>
      <c r="C18758" t="s">
        <v>22</v>
      </c>
      <c r="D18758" t="s">
        <v>17</v>
      </c>
      <c r="E18758" t="s">
        <v>12</v>
      </c>
      <c r="F18758">
        <v>32859521</v>
      </c>
      <c r="G18758">
        <v>32859546</v>
      </c>
      <c r="H18758">
        <v>32859521</v>
      </c>
      <c r="I18758">
        <v>32859546</v>
      </c>
    </row>
    <row r="18759" spans="1:9" x14ac:dyDescent="0.2">
      <c r="A18759" s="1" t="str">
        <f>"TRIM72"</f>
        <v>TRIM72</v>
      </c>
      <c r="B18759" t="s">
        <v>14</v>
      </c>
      <c r="C18759" t="s">
        <v>31</v>
      </c>
      <c r="D18759" t="s">
        <v>17</v>
      </c>
      <c r="E18759" t="s">
        <v>12</v>
      </c>
      <c r="F18759">
        <v>31225461</v>
      </c>
      <c r="G18759">
        <v>31225498</v>
      </c>
      <c r="H18759">
        <v>31225432</v>
      </c>
      <c r="I18759">
        <v>31225453</v>
      </c>
    </row>
    <row r="18760" spans="1:9" x14ac:dyDescent="0.2">
      <c r="A18760" s="1" t="str">
        <f>"TRIM73"</f>
        <v>TRIM73</v>
      </c>
      <c r="B18760" t="s">
        <v>1759</v>
      </c>
      <c r="C18760" t="s">
        <v>33</v>
      </c>
      <c r="D18760" t="s">
        <v>17</v>
      </c>
      <c r="E18760" t="s">
        <v>20</v>
      </c>
      <c r="F18760">
        <v>75024902</v>
      </c>
      <c r="G18760">
        <v>75024902</v>
      </c>
      <c r="H18760">
        <v>75024902</v>
      </c>
      <c r="I18760">
        <v>75024902</v>
      </c>
    </row>
    <row r="18761" spans="1:9" x14ac:dyDescent="0.2">
      <c r="A18761" s="1" t="str">
        <f>"TRIM73"</f>
        <v>TRIM73</v>
      </c>
      <c r="B18761" t="s">
        <v>1760</v>
      </c>
      <c r="C18761" t="s">
        <v>33</v>
      </c>
      <c r="D18761" t="s">
        <v>17</v>
      </c>
      <c r="E18761" t="s">
        <v>20</v>
      </c>
      <c r="F18761">
        <v>75028198</v>
      </c>
      <c r="G18761">
        <v>75028198</v>
      </c>
      <c r="H18761">
        <v>75028198</v>
      </c>
      <c r="I18761">
        <v>75028198</v>
      </c>
    </row>
    <row r="18762" spans="1:9" x14ac:dyDescent="0.2">
      <c r="A18762" s="1" t="str">
        <f>"TRIM73"</f>
        <v>TRIM73</v>
      </c>
      <c r="B18762" t="s">
        <v>1761</v>
      </c>
      <c r="C18762" t="s">
        <v>33</v>
      </c>
      <c r="D18762" t="s">
        <v>17</v>
      </c>
      <c r="E18762" t="s">
        <v>20</v>
      </c>
      <c r="F18762">
        <v>75027417</v>
      </c>
      <c r="G18762">
        <v>75027417</v>
      </c>
      <c r="H18762">
        <v>75027417</v>
      </c>
      <c r="I18762">
        <v>75027417</v>
      </c>
    </row>
    <row r="18763" spans="1:9" x14ac:dyDescent="0.2">
      <c r="A18763" s="1" t="str">
        <f>"TRIM74"</f>
        <v>TRIM74</v>
      </c>
      <c r="B18763" t="s">
        <v>1762</v>
      </c>
      <c r="C18763" t="s">
        <v>33</v>
      </c>
      <c r="D18763" t="s">
        <v>11</v>
      </c>
      <c r="E18763" t="s">
        <v>20</v>
      </c>
      <c r="F18763">
        <v>72439996</v>
      </c>
      <c r="G18763">
        <v>72439996</v>
      </c>
      <c r="H18763">
        <v>72439996</v>
      </c>
      <c r="I18763">
        <v>72439996</v>
      </c>
    </row>
    <row r="18764" spans="1:9" x14ac:dyDescent="0.2">
      <c r="A18764" s="1" t="str">
        <f>"TRIM74"</f>
        <v>TRIM74</v>
      </c>
      <c r="B18764" t="s">
        <v>1763</v>
      </c>
      <c r="C18764" t="s">
        <v>33</v>
      </c>
      <c r="D18764" t="s">
        <v>11</v>
      </c>
      <c r="E18764" t="s">
        <v>20</v>
      </c>
      <c r="F18764">
        <v>72437483</v>
      </c>
      <c r="G18764">
        <v>72437483</v>
      </c>
      <c r="H18764">
        <v>72437483</v>
      </c>
      <c r="I18764">
        <v>72437483</v>
      </c>
    </row>
    <row r="18765" spans="1:9" x14ac:dyDescent="0.2">
      <c r="A18765" s="1" t="str">
        <f>"TRIM77"</f>
        <v>TRIM77</v>
      </c>
      <c r="B18765" t="s">
        <v>1764</v>
      </c>
      <c r="C18765" t="s">
        <v>27</v>
      </c>
      <c r="D18765" t="s">
        <v>17</v>
      </c>
      <c r="E18765" t="s">
        <v>20</v>
      </c>
      <c r="F18765">
        <v>89443466</v>
      </c>
      <c r="G18765">
        <v>89443466</v>
      </c>
      <c r="H18765">
        <v>89443466</v>
      </c>
      <c r="I18765">
        <v>89443466</v>
      </c>
    </row>
    <row r="18766" spans="1:9" x14ac:dyDescent="0.2">
      <c r="A18766" s="1" t="str">
        <f>"TRIM8"</f>
        <v>TRIM8</v>
      </c>
      <c r="B18766" t="s">
        <v>14</v>
      </c>
      <c r="C18766" t="s">
        <v>15</v>
      </c>
      <c r="D18766" t="s">
        <v>17</v>
      </c>
      <c r="E18766" t="s">
        <v>12</v>
      </c>
      <c r="F18766">
        <v>104404218</v>
      </c>
      <c r="G18766">
        <v>104404252</v>
      </c>
      <c r="H18766">
        <v>104404775</v>
      </c>
      <c r="I18766">
        <v>104404890</v>
      </c>
    </row>
    <row r="18767" spans="1:9" x14ac:dyDescent="0.2">
      <c r="A18767" s="1" t="str">
        <f>"TRIM9"</f>
        <v>TRIM9</v>
      </c>
      <c r="B18767" t="s">
        <v>14</v>
      </c>
      <c r="C18767" t="s">
        <v>41</v>
      </c>
      <c r="D18767" t="s">
        <v>11</v>
      </c>
      <c r="E18767" t="s">
        <v>12</v>
      </c>
      <c r="F18767">
        <v>51561784</v>
      </c>
      <c r="G18767">
        <v>51561854</v>
      </c>
      <c r="H18767">
        <v>51562037</v>
      </c>
      <c r="I18767">
        <v>51562053</v>
      </c>
    </row>
    <row r="18768" spans="1:9" x14ac:dyDescent="0.2">
      <c r="A18768" s="1" t="str">
        <f>"TRIML1"</f>
        <v>TRIML1</v>
      </c>
      <c r="B18768" t="s">
        <v>9</v>
      </c>
      <c r="C18768" t="s">
        <v>23</v>
      </c>
      <c r="D18768" t="s">
        <v>17</v>
      </c>
      <c r="E18768" t="s">
        <v>12</v>
      </c>
      <c r="F18768">
        <v>189064784</v>
      </c>
      <c r="G18768">
        <v>189064793</v>
      </c>
      <c r="H18768">
        <v>189064784</v>
      </c>
      <c r="I18768">
        <v>189064793</v>
      </c>
    </row>
    <row r="18769" spans="1:9" x14ac:dyDescent="0.2">
      <c r="A18769" s="1" t="str">
        <f>"TRIML1"</f>
        <v>TRIML1</v>
      </c>
      <c r="B18769" t="s">
        <v>13</v>
      </c>
      <c r="C18769" t="s">
        <v>23</v>
      </c>
      <c r="D18769" t="s">
        <v>17</v>
      </c>
      <c r="E18769" t="s">
        <v>12</v>
      </c>
      <c r="F18769">
        <v>189060592</v>
      </c>
      <c r="G18769">
        <v>189060600</v>
      </c>
      <c r="H18769">
        <v>189060592</v>
      </c>
      <c r="I18769">
        <v>189060600</v>
      </c>
    </row>
    <row r="18770" spans="1:9" x14ac:dyDescent="0.2">
      <c r="A18770" s="1" t="str">
        <f>"TRIML2"</f>
        <v>TRIML2</v>
      </c>
      <c r="B18770" t="s">
        <v>14</v>
      </c>
      <c r="C18770" t="s">
        <v>23</v>
      </c>
      <c r="D18770" t="s">
        <v>11</v>
      </c>
      <c r="E18770" t="s">
        <v>12</v>
      </c>
      <c r="F18770">
        <v>189030755</v>
      </c>
      <c r="G18770">
        <v>189030765</v>
      </c>
      <c r="H18770">
        <v>189030755</v>
      </c>
      <c r="I18770">
        <v>189030765</v>
      </c>
    </row>
    <row r="18771" spans="1:9" x14ac:dyDescent="0.2">
      <c r="A18771" s="1" t="str">
        <f>"TRIO"</f>
        <v>TRIO</v>
      </c>
      <c r="B18771" t="s">
        <v>14</v>
      </c>
      <c r="C18771" t="s">
        <v>46</v>
      </c>
      <c r="D18771" t="s">
        <v>17</v>
      </c>
      <c r="E18771" t="s">
        <v>12</v>
      </c>
      <c r="F18771">
        <v>14143431</v>
      </c>
      <c r="G18771">
        <v>14143466</v>
      </c>
      <c r="H18771">
        <v>14143431</v>
      </c>
      <c r="I18771">
        <v>14143466</v>
      </c>
    </row>
    <row r="18772" spans="1:9" x14ac:dyDescent="0.2">
      <c r="A18772" s="1" t="str">
        <f>"TRIOBP"</f>
        <v>TRIOBP</v>
      </c>
      <c r="B18772" t="s">
        <v>9</v>
      </c>
      <c r="C18772" t="s">
        <v>21</v>
      </c>
      <c r="D18772" t="s">
        <v>17</v>
      </c>
      <c r="E18772" t="s">
        <v>12</v>
      </c>
      <c r="F18772">
        <v>38142239</v>
      </c>
      <c r="G18772">
        <v>38142297</v>
      </c>
      <c r="H18772">
        <v>38142239</v>
      </c>
      <c r="I18772">
        <v>38142297</v>
      </c>
    </row>
    <row r="18773" spans="1:9" x14ac:dyDescent="0.2">
      <c r="A18773" s="1" t="str">
        <f>"TRIOBP"</f>
        <v>TRIOBP</v>
      </c>
      <c r="B18773" t="s">
        <v>13</v>
      </c>
      <c r="C18773" t="s">
        <v>21</v>
      </c>
      <c r="D18773" t="s">
        <v>17</v>
      </c>
      <c r="E18773" t="s">
        <v>12</v>
      </c>
      <c r="F18773">
        <v>38082338</v>
      </c>
      <c r="G18773">
        <v>38082381</v>
      </c>
      <c r="H18773">
        <v>38082338</v>
      </c>
      <c r="I18773">
        <v>38082381</v>
      </c>
    </row>
    <row r="18774" spans="1:9" x14ac:dyDescent="0.2">
      <c r="A18774" s="1" t="str">
        <f>"TRIP10"</f>
        <v>TRIP10</v>
      </c>
      <c r="B18774" t="s">
        <v>9</v>
      </c>
      <c r="C18774" t="s">
        <v>10</v>
      </c>
      <c r="D18774" t="s">
        <v>17</v>
      </c>
      <c r="E18774" t="s">
        <v>12</v>
      </c>
      <c r="F18774">
        <v>6739662</v>
      </c>
      <c r="G18774">
        <v>6739748</v>
      </c>
      <c r="H18774">
        <v>6739662</v>
      </c>
      <c r="I18774">
        <v>6739748</v>
      </c>
    </row>
    <row r="18775" spans="1:9" x14ac:dyDescent="0.2">
      <c r="A18775" s="1" t="str">
        <f>"TRIP10"</f>
        <v>TRIP10</v>
      </c>
      <c r="B18775" t="s">
        <v>13</v>
      </c>
      <c r="C18775" t="s">
        <v>10</v>
      </c>
      <c r="D18775" t="s">
        <v>17</v>
      </c>
      <c r="E18775" t="s">
        <v>12</v>
      </c>
      <c r="F18775">
        <v>6740888</v>
      </c>
      <c r="G18775">
        <v>6740937</v>
      </c>
      <c r="H18775">
        <v>6740888</v>
      </c>
      <c r="I18775">
        <v>6740937</v>
      </c>
    </row>
    <row r="18776" spans="1:9" x14ac:dyDescent="0.2">
      <c r="A18776" s="1" t="str">
        <f>"TRIP11"</f>
        <v>TRIP11</v>
      </c>
      <c r="B18776" t="s">
        <v>14</v>
      </c>
      <c r="C18776" t="s">
        <v>41</v>
      </c>
      <c r="D18776" t="s">
        <v>11</v>
      </c>
      <c r="E18776" t="s">
        <v>12</v>
      </c>
      <c r="F18776">
        <v>92506371</v>
      </c>
      <c r="G18776">
        <v>92506418</v>
      </c>
      <c r="H18776">
        <v>92506178</v>
      </c>
      <c r="I18776">
        <v>92506218</v>
      </c>
    </row>
    <row r="18777" spans="1:9" x14ac:dyDescent="0.2">
      <c r="A18777" s="1" t="str">
        <f>"TRIP12"</f>
        <v>TRIP12</v>
      </c>
      <c r="B18777" t="s">
        <v>14</v>
      </c>
      <c r="C18777" t="s">
        <v>26</v>
      </c>
      <c r="D18777" t="s">
        <v>11</v>
      </c>
      <c r="E18777" t="s">
        <v>12</v>
      </c>
      <c r="F18777">
        <v>230786679</v>
      </c>
      <c r="G18777">
        <v>230786758</v>
      </c>
      <c r="H18777">
        <v>230786446</v>
      </c>
      <c r="I18777">
        <v>230786514</v>
      </c>
    </row>
    <row r="18778" spans="1:9" x14ac:dyDescent="0.2">
      <c r="A18778" s="1" t="str">
        <f>"TRIP13"</f>
        <v>TRIP13</v>
      </c>
      <c r="B18778" t="s">
        <v>14</v>
      </c>
      <c r="C18778" t="s">
        <v>46</v>
      </c>
      <c r="D18778" t="s">
        <v>17</v>
      </c>
      <c r="E18778" t="s">
        <v>12</v>
      </c>
      <c r="F18778">
        <v>892954</v>
      </c>
      <c r="G18778">
        <v>893050</v>
      </c>
      <c r="H18778">
        <v>892697</v>
      </c>
      <c r="I18778">
        <v>892713</v>
      </c>
    </row>
    <row r="18779" spans="1:9" x14ac:dyDescent="0.2">
      <c r="A18779" s="1" t="str">
        <f>"TRIP4"</f>
        <v>TRIP4</v>
      </c>
      <c r="B18779" t="s">
        <v>14</v>
      </c>
      <c r="C18779" t="s">
        <v>25</v>
      </c>
      <c r="D18779" t="s">
        <v>17</v>
      </c>
      <c r="E18779" t="s">
        <v>12</v>
      </c>
      <c r="F18779">
        <v>64680027</v>
      </c>
      <c r="G18779">
        <v>64680063</v>
      </c>
      <c r="H18779">
        <v>64680027</v>
      </c>
      <c r="I18779">
        <v>64680063</v>
      </c>
    </row>
    <row r="18780" spans="1:9" x14ac:dyDescent="0.2">
      <c r="A18780" s="1" t="str">
        <f>"TRIP6"</f>
        <v>TRIP6</v>
      </c>
      <c r="B18780" t="s">
        <v>14</v>
      </c>
      <c r="C18780" t="s">
        <v>33</v>
      </c>
      <c r="D18780" t="s">
        <v>17</v>
      </c>
      <c r="E18780" t="s">
        <v>12</v>
      </c>
      <c r="F18780">
        <v>100465002</v>
      </c>
      <c r="G18780">
        <v>100465045</v>
      </c>
      <c r="H18780">
        <v>100465002</v>
      </c>
      <c r="I18780">
        <v>100465045</v>
      </c>
    </row>
    <row r="18781" spans="1:9" x14ac:dyDescent="0.2">
      <c r="A18781" s="1" t="str">
        <f>"TRIQK"</f>
        <v>TRIQK</v>
      </c>
      <c r="B18781" t="s">
        <v>14</v>
      </c>
      <c r="C18781" t="s">
        <v>30</v>
      </c>
      <c r="D18781" t="s">
        <v>11</v>
      </c>
      <c r="E18781" t="s">
        <v>12</v>
      </c>
      <c r="F18781">
        <v>93978357</v>
      </c>
      <c r="G18781">
        <v>93978379</v>
      </c>
      <c r="H18781">
        <v>93978309</v>
      </c>
      <c r="I18781">
        <v>93978331</v>
      </c>
    </row>
    <row r="18782" spans="1:9" x14ac:dyDescent="0.2">
      <c r="A18782" s="1" t="str">
        <f>"TRIT1"</f>
        <v>TRIT1</v>
      </c>
      <c r="B18782" t="s">
        <v>14</v>
      </c>
      <c r="C18782" t="s">
        <v>19</v>
      </c>
      <c r="D18782" t="s">
        <v>11</v>
      </c>
      <c r="E18782" t="s">
        <v>12</v>
      </c>
      <c r="F18782">
        <v>40349160</v>
      </c>
      <c r="G18782">
        <v>40349184</v>
      </c>
      <c r="H18782">
        <v>40349160</v>
      </c>
      <c r="I18782">
        <v>40349184</v>
      </c>
    </row>
    <row r="18783" spans="1:9" x14ac:dyDescent="0.2">
      <c r="A18783" s="1" t="str">
        <f>"TRMT1"</f>
        <v>TRMT1</v>
      </c>
      <c r="B18783" t="s">
        <v>14</v>
      </c>
      <c r="C18783" t="s">
        <v>10</v>
      </c>
      <c r="D18783" t="s">
        <v>11</v>
      </c>
      <c r="E18783" t="s">
        <v>12</v>
      </c>
      <c r="F18783">
        <v>13227534</v>
      </c>
      <c r="G18783">
        <v>13227570</v>
      </c>
      <c r="H18783">
        <v>13227484</v>
      </c>
      <c r="I18783">
        <v>13227500</v>
      </c>
    </row>
    <row r="18784" spans="1:9" x14ac:dyDescent="0.2">
      <c r="A18784" s="1" t="str">
        <f>"TRMT10A"</f>
        <v>TRMT10A</v>
      </c>
      <c r="B18784" t="s">
        <v>14</v>
      </c>
      <c r="C18784" t="s">
        <v>23</v>
      </c>
      <c r="D18784" t="s">
        <v>11</v>
      </c>
      <c r="E18784" t="s">
        <v>12</v>
      </c>
      <c r="F18784">
        <v>100484838</v>
      </c>
      <c r="G18784">
        <v>100484901</v>
      </c>
      <c r="H18784">
        <v>100485143</v>
      </c>
      <c r="I18784">
        <v>100485182</v>
      </c>
    </row>
    <row r="18785" spans="1:9" x14ac:dyDescent="0.2">
      <c r="A18785" s="1" t="str">
        <f>"TRMT10B"</f>
        <v>TRMT10B</v>
      </c>
      <c r="B18785" t="s">
        <v>14</v>
      </c>
      <c r="C18785" t="s">
        <v>24</v>
      </c>
      <c r="D18785" t="s">
        <v>17</v>
      </c>
      <c r="E18785" t="s">
        <v>12</v>
      </c>
      <c r="F18785">
        <v>37753795</v>
      </c>
      <c r="G18785">
        <v>37753820</v>
      </c>
      <c r="H18785">
        <v>37753795</v>
      </c>
      <c r="I18785">
        <v>37753820</v>
      </c>
    </row>
    <row r="18786" spans="1:9" x14ac:dyDescent="0.2">
      <c r="A18786" s="1" t="str">
        <f>"TRMT10C"</f>
        <v>TRMT10C</v>
      </c>
      <c r="B18786" t="s">
        <v>14</v>
      </c>
      <c r="C18786" t="s">
        <v>22</v>
      </c>
      <c r="D18786" t="s">
        <v>17</v>
      </c>
      <c r="E18786" t="s">
        <v>12</v>
      </c>
      <c r="F18786">
        <v>101280677</v>
      </c>
      <c r="G18786">
        <v>101280754</v>
      </c>
      <c r="H18786">
        <v>101280677</v>
      </c>
      <c r="I18786">
        <v>101280754</v>
      </c>
    </row>
    <row r="18787" spans="1:9" x14ac:dyDescent="0.2">
      <c r="A18787" s="1" t="str">
        <f>"TRMT11"</f>
        <v>TRMT11</v>
      </c>
      <c r="B18787" t="s">
        <v>14</v>
      </c>
      <c r="C18787" t="s">
        <v>32</v>
      </c>
      <c r="D18787" t="s">
        <v>17</v>
      </c>
      <c r="E18787" t="s">
        <v>12</v>
      </c>
      <c r="F18787">
        <v>126307668</v>
      </c>
      <c r="G18787">
        <v>126307695</v>
      </c>
      <c r="H18787">
        <v>126307582</v>
      </c>
      <c r="I18787">
        <v>126307626</v>
      </c>
    </row>
    <row r="18788" spans="1:9" x14ac:dyDescent="0.2">
      <c r="A18788" s="1" t="str">
        <f>"TRMT112"</f>
        <v>TRMT112</v>
      </c>
      <c r="B18788" t="s">
        <v>14</v>
      </c>
      <c r="C18788" t="s">
        <v>27</v>
      </c>
      <c r="D18788" t="s">
        <v>11</v>
      </c>
      <c r="E18788" t="s">
        <v>12</v>
      </c>
      <c r="F18788">
        <v>64085000</v>
      </c>
      <c r="G18788">
        <v>64085043</v>
      </c>
      <c r="H18788">
        <v>64085045</v>
      </c>
      <c r="I18788">
        <v>64085056</v>
      </c>
    </row>
    <row r="18789" spans="1:9" x14ac:dyDescent="0.2">
      <c r="A18789" s="1" t="str">
        <f>"TRMT12"</f>
        <v>TRMT12</v>
      </c>
      <c r="B18789" t="s">
        <v>14</v>
      </c>
      <c r="C18789" t="s">
        <v>30</v>
      </c>
      <c r="D18789" t="s">
        <v>17</v>
      </c>
      <c r="E18789" t="s">
        <v>12</v>
      </c>
      <c r="F18789">
        <v>125463048</v>
      </c>
      <c r="G18789">
        <v>125463073</v>
      </c>
      <c r="H18789">
        <v>125463127</v>
      </c>
      <c r="I18789">
        <v>125463138</v>
      </c>
    </row>
    <row r="18790" spans="1:9" x14ac:dyDescent="0.2">
      <c r="A18790" s="1" t="str">
        <f>"TRMT13"</f>
        <v>TRMT13</v>
      </c>
      <c r="B18790" t="s">
        <v>14</v>
      </c>
      <c r="C18790" t="s">
        <v>19</v>
      </c>
      <c r="D18790" t="s">
        <v>17</v>
      </c>
      <c r="E18790" t="s">
        <v>12</v>
      </c>
      <c r="F18790">
        <v>100598691</v>
      </c>
      <c r="G18790">
        <v>100598732</v>
      </c>
      <c r="H18790">
        <v>100598742</v>
      </c>
      <c r="I18790">
        <v>100598763</v>
      </c>
    </row>
    <row r="18791" spans="1:9" x14ac:dyDescent="0.2">
      <c r="A18791" s="1" t="str">
        <f>"TRMT1L"</f>
        <v>TRMT1L</v>
      </c>
      <c r="B18791" t="s">
        <v>14</v>
      </c>
      <c r="C18791" t="s">
        <v>19</v>
      </c>
      <c r="D18791" t="s">
        <v>11</v>
      </c>
      <c r="E18791" t="s">
        <v>12</v>
      </c>
      <c r="F18791">
        <v>185126037</v>
      </c>
      <c r="G18791">
        <v>185126120</v>
      </c>
      <c r="H18791">
        <v>185125839</v>
      </c>
      <c r="I18791">
        <v>185125873</v>
      </c>
    </row>
    <row r="18792" spans="1:9" x14ac:dyDescent="0.2">
      <c r="A18792" s="1" t="str">
        <f>"TRMT2A"</f>
        <v>TRMT2A</v>
      </c>
      <c r="B18792" t="s">
        <v>14</v>
      </c>
      <c r="C18792" t="s">
        <v>21</v>
      </c>
      <c r="D18792" t="s">
        <v>11</v>
      </c>
      <c r="E18792" t="s">
        <v>12</v>
      </c>
      <c r="F18792">
        <v>20104700</v>
      </c>
      <c r="G18792">
        <v>20104784</v>
      </c>
      <c r="H18792">
        <v>20104486</v>
      </c>
      <c r="I18792">
        <v>20104529</v>
      </c>
    </row>
    <row r="18793" spans="1:9" x14ac:dyDescent="0.2">
      <c r="A18793" s="1" t="str">
        <f>"TRMT2B"</f>
        <v>TRMT2B</v>
      </c>
      <c r="B18793" t="s">
        <v>14</v>
      </c>
      <c r="C18793" t="s">
        <v>37</v>
      </c>
      <c r="D18793" t="s">
        <v>11</v>
      </c>
      <c r="E18793" t="s">
        <v>12</v>
      </c>
      <c r="F18793">
        <v>100307076</v>
      </c>
      <c r="G18793">
        <v>100307107</v>
      </c>
      <c r="H18793">
        <v>100307076</v>
      </c>
      <c r="I18793">
        <v>100307107</v>
      </c>
    </row>
    <row r="18794" spans="1:9" x14ac:dyDescent="0.2">
      <c r="A18794" s="1" t="str">
        <f>"TRMT44"</f>
        <v>TRMT44</v>
      </c>
      <c r="B18794" t="s">
        <v>14</v>
      </c>
      <c r="C18794" t="s">
        <v>23</v>
      </c>
      <c r="D18794" t="s">
        <v>17</v>
      </c>
      <c r="E18794" t="s">
        <v>12</v>
      </c>
      <c r="F18794">
        <v>8442496</v>
      </c>
      <c r="G18794">
        <v>8442541</v>
      </c>
      <c r="H18794">
        <v>8442496</v>
      </c>
      <c r="I18794">
        <v>8442541</v>
      </c>
    </row>
    <row r="18795" spans="1:9" x14ac:dyDescent="0.2">
      <c r="A18795" s="1" t="str">
        <f>"TRMT5"</f>
        <v>TRMT5</v>
      </c>
      <c r="B18795" t="s">
        <v>14</v>
      </c>
      <c r="C18795" t="s">
        <v>41</v>
      </c>
      <c r="D18795" t="s">
        <v>11</v>
      </c>
      <c r="E18795" t="s">
        <v>12</v>
      </c>
      <c r="F18795">
        <v>61447752</v>
      </c>
      <c r="G18795">
        <v>61447817</v>
      </c>
      <c r="H18795">
        <v>61447752</v>
      </c>
      <c r="I18795">
        <v>61447817</v>
      </c>
    </row>
    <row r="18796" spans="1:9" x14ac:dyDescent="0.2">
      <c r="A18796" s="1" t="str">
        <f>"TRMT6"</f>
        <v>TRMT6</v>
      </c>
      <c r="B18796" t="s">
        <v>14</v>
      </c>
      <c r="C18796" t="s">
        <v>29</v>
      </c>
      <c r="D18796" t="s">
        <v>11</v>
      </c>
      <c r="E18796" t="s">
        <v>12</v>
      </c>
      <c r="F18796">
        <v>5931109</v>
      </c>
      <c r="G18796">
        <v>5931212</v>
      </c>
      <c r="H18796">
        <v>5931052</v>
      </c>
      <c r="I18796">
        <v>5931107</v>
      </c>
    </row>
    <row r="18797" spans="1:9" x14ac:dyDescent="0.2">
      <c r="A18797" s="1" t="str">
        <f>"TRMT61A"</f>
        <v>TRMT61A</v>
      </c>
      <c r="B18797" t="s">
        <v>14</v>
      </c>
      <c r="C18797" t="s">
        <v>41</v>
      </c>
      <c r="D18797" t="s">
        <v>17</v>
      </c>
      <c r="E18797" t="s">
        <v>12</v>
      </c>
      <c r="F18797">
        <v>103995503</v>
      </c>
      <c r="G18797">
        <v>103995543</v>
      </c>
      <c r="H18797">
        <v>103995546</v>
      </c>
      <c r="I18797">
        <v>103995575</v>
      </c>
    </row>
    <row r="18798" spans="1:9" x14ac:dyDescent="0.2">
      <c r="A18798" s="1" t="str">
        <f>"TRMT61B"</f>
        <v>TRMT61B</v>
      </c>
      <c r="B18798" t="s">
        <v>14</v>
      </c>
      <c r="C18798" t="s">
        <v>26</v>
      </c>
      <c r="D18798" t="s">
        <v>11</v>
      </c>
      <c r="E18798" t="s">
        <v>12</v>
      </c>
      <c r="F18798">
        <v>29093132</v>
      </c>
      <c r="G18798">
        <v>29093183</v>
      </c>
      <c r="H18798">
        <v>29092831</v>
      </c>
      <c r="I18798">
        <v>29092840</v>
      </c>
    </row>
    <row r="18799" spans="1:9" x14ac:dyDescent="0.2">
      <c r="A18799" s="1" t="str">
        <f>"TRMU"</f>
        <v>TRMU</v>
      </c>
      <c r="B18799" t="s">
        <v>14</v>
      </c>
      <c r="C18799" t="s">
        <v>21</v>
      </c>
      <c r="D18799" t="s">
        <v>17</v>
      </c>
      <c r="E18799" t="s">
        <v>12</v>
      </c>
      <c r="F18799">
        <v>46731596</v>
      </c>
      <c r="G18799">
        <v>46731658</v>
      </c>
      <c r="H18799">
        <v>46731797</v>
      </c>
      <c r="I18799">
        <v>46731847</v>
      </c>
    </row>
    <row r="18800" spans="1:9" x14ac:dyDescent="0.2">
      <c r="A18800" s="1" t="str">
        <f>"TRNAU1AP"</f>
        <v>TRNAU1AP</v>
      </c>
      <c r="B18800" t="s">
        <v>14</v>
      </c>
      <c r="C18800" t="s">
        <v>19</v>
      </c>
      <c r="D18800" t="s">
        <v>17</v>
      </c>
      <c r="E18800" t="s">
        <v>12</v>
      </c>
      <c r="F18800">
        <v>28879588</v>
      </c>
      <c r="G18800">
        <v>28879624</v>
      </c>
      <c r="H18800">
        <v>28879514</v>
      </c>
      <c r="I18800">
        <v>28879536</v>
      </c>
    </row>
    <row r="18801" spans="1:9" x14ac:dyDescent="0.2">
      <c r="A18801" s="1" t="str">
        <f>"TRNP1"</f>
        <v>TRNP1</v>
      </c>
      <c r="B18801" t="s">
        <v>14</v>
      </c>
      <c r="C18801" t="s">
        <v>19</v>
      </c>
      <c r="D18801" t="s">
        <v>17</v>
      </c>
      <c r="E18801" t="s">
        <v>12</v>
      </c>
      <c r="F18801">
        <v>27320176</v>
      </c>
      <c r="G18801">
        <v>27320200</v>
      </c>
      <c r="H18801">
        <v>27320382</v>
      </c>
      <c r="I18801">
        <v>27320395</v>
      </c>
    </row>
    <row r="18802" spans="1:9" x14ac:dyDescent="0.2">
      <c r="A18802" s="1" t="str">
        <f>"TRNT1"</f>
        <v>TRNT1</v>
      </c>
      <c r="B18802" t="s">
        <v>14</v>
      </c>
      <c r="C18802" t="s">
        <v>22</v>
      </c>
      <c r="D18802" t="s">
        <v>17</v>
      </c>
      <c r="E18802" t="s">
        <v>12</v>
      </c>
      <c r="F18802">
        <v>3168614</v>
      </c>
      <c r="G18802">
        <v>3168658</v>
      </c>
      <c r="H18802">
        <v>3168692</v>
      </c>
      <c r="I18802">
        <v>3168709</v>
      </c>
    </row>
    <row r="18803" spans="1:9" x14ac:dyDescent="0.2">
      <c r="A18803" s="1" t="str">
        <f>"TRO"</f>
        <v>TRO</v>
      </c>
      <c r="B18803" t="s">
        <v>9</v>
      </c>
      <c r="C18803" t="s">
        <v>37</v>
      </c>
      <c r="D18803" t="s">
        <v>17</v>
      </c>
      <c r="E18803" t="s">
        <v>12</v>
      </c>
      <c r="F18803">
        <v>54947249</v>
      </c>
      <c r="G18803">
        <v>54947263</v>
      </c>
      <c r="H18803">
        <v>54947249</v>
      </c>
      <c r="I18803">
        <v>54947263</v>
      </c>
    </row>
    <row r="18804" spans="1:9" x14ac:dyDescent="0.2">
      <c r="A18804" s="1" t="str">
        <f>"TRO"</f>
        <v>TRO</v>
      </c>
      <c r="B18804" t="s">
        <v>13</v>
      </c>
      <c r="C18804" t="s">
        <v>37</v>
      </c>
      <c r="D18804" t="s">
        <v>17</v>
      </c>
      <c r="E18804" t="s">
        <v>12</v>
      </c>
      <c r="F18804">
        <v>54949013</v>
      </c>
      <c r="G18804">
        <v>54949041</v>
      </c>
      <c r="H18804">
        <v>54949013</v>
      </c>
      <c r="I18804">
        <v>54949041</v>
      </c>
    </row>
    <row r="18805" spans="1:9" x14ac:dyDescent="0.2">
      <c r="A18805" s="1" t="str">
        <f>"TROAP"</f>
        <v>TROAP</v>
      </c>
      <c r="B18805" t="s">
        <v>14</v>
      </c>
      <c r="C18805" t="s">
        <v>16</v>
      </c>
      <c r="D18805" t="s">
        <v>17</v>
      </c>
      <c r="E18805" t="s">
        <v>12</v>
      </c>
      <c r="F18805">
        <v>49717021</v>
      </c>
      <c r="G18805">
        <v>49717079</v>
      </c>
      <c r="H18805">
        <v>49717081</v>
      </c>
      <c r="I18805">
        <v>49717088</v>
      </c>
    </row>
    <row r="18806" spans="1:9" x14ac:dyDescent="0.2">
      <c r="A18806" s="1" t="str">
        <f>"TROVE2"</f>
        <v>TROVE2</v>
      </c>
      <c r="B18806" t="s">
        <v>14</v>
      </c>
      <c r="C18806" t="s">
        <v>19</v>
      </c>
      <c r="D18806" t="s">
        <v>17</v>
      </c>
      <c r="E18806" t="s">
        <v>12</v>
      </c>
      <c r="F18806">
        <v>193028717</v>
      </c>
      <c r="G18806">
        <v>193028801</v>
      </c>
      <c r="H18806">
        <v>193028717</v>
      </c>
      <c r="I18806">
        <v>193028801</v>
      </c>
    </row>
    <row r="18807" spans="1:9" x14ac:dyDescent="0.2">
      <c r="A18807" s="1" t="str">
        <f>"TRPA1"</f>
        <v>TRPA1</v>
      </c>
      <c r="B18807" t="s">
        <v>14</v>
      </c>
      <c r="C18807" t="s">
        <v>30</v>
      </c>
      <c r="D18807" t="s">
        <v>11</v>
      </c>
      <c r="E18807" t="s">
        <v>12</v>
      </c>
      <c r="F18807">
        <v>72987810</v>
      </c>
      <c r="G18807">
        <v>72987826</v>
      </c>
      <c r="H18807">
        <v>72988013</v>
      </c>
      <c r="I18807">
        <v>72988025</v>
      </c>
    </row>
    <row r="18808" spans="1:9" x14ac:dyDescent="0.2">
      <c r="A18808" s="1" t="str">
        <f>"TRPC1"</f>
        <v>TRPC1</v>
      </c>
      <c r="B18808" t="s">
        <v>14</v>
      </c>
      <c r="C18808" t="s">
        <v>22</v>
      </c>
      <c r="D18808" t="s">
        <v>17</v>
      </c>
      <c r="E18808" t="s">
        <v>12</v>
      </c>
      <c r="F18808">
        <v>142442841</v>
      </c>
      <c r="G18808">
        <v>142442917</v>
      </c>
      <c r="H18808">
        <v>142443364</v>
      </c>
      <c r="I18808">
        <v>142443404</v>
      </c>
    </row>
    <row r="18809" spans="1:9" x14ac:dyDescent="0.2">
      <c r="A18809" s="1" t="str">
        <f>"TRPC3"</f>
        <v>TRPC3</v>
      </c>
      <c r="B18809" t="s">
        <v>14</v>
      </c>
      <c r="C18809" t="s">
        <v>23</v>
      </c>
      <c r="D18809" t="s">
        <v>11</v>
      </c>
      <c r="E18809" t="s">
        <v>12</v>
      </c>
      <c r="F18809">
        <v>122873166</v>
      </c>
      <c r="G18809">
        <v>122873237</v>
      </c>
      <c r="H18809">
        <v>122873064</v>
      </c>
      <c r="I18809">
        <v>122873108</v>
      </c>
    </row>
    <row r="18810" spans="1:9" x14ac:dyDescent="0.2">
      <c r="A18810" s="1" t="str">
        <f>"TRPC4"</f>
        <v>TRPC4</v>
      </c>
      <c r="B18810" t="s">
        <v>14</v>
      </c>
      <c r="C18810" t="s">
        <v>39</v>
      </c>
      <c r="D18810" t="s">
        <v>11</v>
      </c>
      <c r="E18810" t="s">
        <v>12</v>
      </c>
      <c r="F18810">
        <v>38443896</v>
      </c>
      <c r="G18810">
        <v>38443934</v>
      </c>
      <c r="H18810">
        <v>38444314</v>
      </c>
      <c r="I18810">
        <v>38444360</v>
      </c>
    </row>
    <row r="18811" spans="1:9" x14ac:dyDescent="0.2">
      <c r="A18811" s="1" t="str">
        <f>"TRPC4AP"</f>
        <v>TRPC4AP</v>
      </c>
      <c r="B18811" t="s">
        <v>14</v>
      </c>
      <c r="C18811" t="s">
        <v>29</v>
      </c>
      <c r="D18811" t="s">
        <v>11</v>
      </c>
      <c r="E18811" t="s">
        <v>12</v>
      </c>
      <c r="F18811">
        <v>33680588</v>
      </c>
      <c r="G18811">
        <v>33680618</v>
      </c>
      <c r="H18811">
        <v>33680635</v>
      </c>
      <c r="I18811">
        <v>33680639</v>
      </c>
    </row>
    <row r="18812" spans="1:9" x14ac:dyDescent="0.2">
      <c r="A18812" s="1" t="str">
        <f>"TRPC5"</f>
        <v>TRPC5</v>
      </c>
      <c r="B18812" t="s">
        <v>14</v>
      </c>
      <c r="C18812" t="s">
        <v>37</v>
      </c>
      <c r="D18812" t="s">
        <v>11</v>
      </c>
      <c r="E18812" t="s">
        <v>12</v>
      </c>
      <c r="F18812">
        <v>111325207</v>
      </c>
      <c r="G18812">
        <v>111325229</v>
      </c>
      <c r="H18812">
        <v>111325207</v>
      </c>
      <c r="I18812">
        <v>111325229</v>
      </c>
    </row>
    <row r="18813" spans="1:9" x14ac:dyDescent="0.2">
      <c r="A18813" s="1" t="str">
        <f>"TRPC5OS"</f>
        <v>TRPC5OS</v>
      </c>
      <c r="B18813" t="s">
        <v>14</v>
      </c>
      <c r="C18813" t="s">
        <v>37</v>
      </c>
      <c r="D18813" t="s">
        <v>17</v>
      </c>
      <c r="E18813" t="s">
        <v>12</v>
      </c>
      <c r="F18813">
        <v>111125212</v>
      </c>
      <c r="G18813">
        <v>111125213</v>
      </c>
      <c r="H18813">
        <v>111125212</v>
      </c>
      <c r="I18813">
        <v>111125213</v>
      </c>
    </row>
    <row r="18814" spans="1:9" x14ac:dyDescent="0.2">
      <c r="A18814" s="1" t="str">
        <f>"TRPC6"</f>
        <v>TRPC6</v>
      </c>
      <c r="B18814" t="s">
        <v>14</v>
      </c>
      <c r="C18814" t="s">
        <v>27</v>
      </c>
      <c r="D18814" t="s">
        <v>11</v>
      </c>
      <c r="E18814" t="s">
        <v>12</v>
      </c>
      <c r="F18814">
        <v>101454548</v>
      </c>
      <c r="G18814">
        <v>101454609</v>
      </c>
      <c r="H18814">
        <v>101454679</v>
      </c>
      <c r="I18814">
        <v>101454715</v>
      </c>
    </row>
    <row r="18815" spans="1:9" x14ac:dyDescent="0.2">
      <c r="A18815" s="1" t="str">
        <f>"TRPC7"</f>
        <v>TRPC7</v>
      </c>
      <c r="B18815" t="s">
        <v>14</v>
      </c>
      <c r="C18815" t="s">
        <v>46</v>
      </c>
      <c r="D18815" t="s">
        <v>11</v>
      </c>
      <c r="E18815" t="s">
        <v>12</v>
      </c>
      <c r="F18815">
        <v>135701222</v>
      </c>
      <c r="G18815">
        <v>135701265</v>
      </c>
      <c r="H18815">
        <v>135701222</v>
      </c>
      <c r="I18815">
        <v>135701265</v>
      </c>
    </row>
    <row r="18816" spans="1:9" x14ac:dyDescent="0.2">
      <c r="A18816" s="1" t="str">
        <f>"TRPM1"</f>
        <v>TRPM1</v>
      </c>
      <c r="B18816" t="s">
        <v>1765</v>
      </c>
      <c r="C18816" t="s">
        <v>25</v>
      </c>
      <c r="D18816" t="s">
        <v>11</v>
      </c>
      <c r="E18816" t="s">
        <v>20</v>
      </c>
      <c r="F18816">
        <v>31453475</v>
      </c>
      <c r="G18816">
        <v>31453475</v>
      </c>
      <c r="H18816">
        <v>31453475</v>
      </c>
      <c r="I18816">
        <v>31453475</v>
      </c>
    </row>
    <row r="18817" spans="1:9" x14ac:dyDescent="0.2">
      <c r="A18817" s="1" t="str">
        <f>"TRPM2"</f>
        <v>TRPM2</v>
      </c>
      <c r="B18817" t="s">
        <v>9</v>
      </c>
      <c r="C18817" t="s">
        <v>42</v>
      </c>
      <c r="D18817" t="s">
        <v>17</v>
      </c>
      <c r="E18817" t="s">
        <v>12</v>
      </c>
      <c r="F18817">
        <v>45773492</v>
      </c>
      <c r="G18817">
        <v>45773512</v>
      </c>
      <c r="H18817">
        <v>45773492</v>
      </c>
      <c r="I18817">
        <v>45773512</v>
      </c>
    </row>
    <row r="18818" spans="1:9" x14ac:dyDescent="0.2">
      <c r="A18818" s="1" t="str">
        <f>"TRPM2"</f>
        <v>TRPM2</v>
      </c>
      <c r="B18818" t="s">
        <v>13</v>
      </c>
      <c r="C18818" t="s">
        <v>42</v>
      </c>
      <c r="D18818" t="s">
        <v>17</v>
      </c>
      <c r="E18818" t="s">
        <v>12</v>
      </c>
      <c r="F18818">
        <v>45770009</v>
      </c>
      <c r="G18818">
        <v>45770085</v>
      </c>
      <c r="H18818">
        <v>45770009</v>
      </c>
      <c r="I18818">
        <v>45770085</v>
      </c>
    </row>
    <row r="18819" spans="1:9" x14ac:dyDescent="0.2">
      <c r="A18819" s="1" t="str">
        <f>"TRPM3"</f>
        <v>TRPM3</v>
      </c>
      <c r="B18819" t="s">
        <v>1766</v>
      </c>
      <c r="C18819" t="s">
        <v>24</v>
      </c>
      <c r="D18819" t="s">
        <v>11</v>
      </c>
      <c r="E18819" t="s">
        <v>35</v>
      </c>
      <c r="F18819">
        <v>73736511</v>
      </c>
      <c r="G18819">
        <v>73736546</v>
      </c>
      <c r="H18819">
        <v>73736331</v>
      </c>
      <c r="I18819">
        <v>73736347</v>
      </c>
    </row>
    <row r="18820" spans="1:9" x14ac:dyDescent="0.2">
      <c r="A18820" s="1" t="str">
        <f>"TRPM4"</f>
        <v>TRPM4</v>
      </c>
      <c r="B18820" t="s">
        <v>14</v>
      </c>
      <c r="C18820" t="s">
        <v>10</v>
      </c>
      <c r="D18820" t="s">
        <v>17</v>
      </c>
      <c r="E18820" t="s">
        <v>12</v>
      </c>
      <c r="F18820">
        <v>49661037</v>
      </c>
      <c r="G18820">
        <v>49661077</v>
      </c>
      <c r="H18820">
        <v>49660997</v>
      </c>
      <c r="I18820">
        <v>49661036</v>
      </c>
    </row>
    <row r="18821" spans="1:9" x14ac:dyDescent="0.2">
      <c r="A18821" s="1" t="str">
        <f>"TRPM5"</f>
        <v>TRPM5</v>
      </c>
      <c r="B18821" t="s">
        <v>1767</v>
      </c>
      <c r="C18821" t="s">
        <v>27</v>
      </c>
      <c r="D18821" t="s">
        <v>11</v>
      </c>
      <c r="E18821" t="s">
        <v>20</v>
      </c>
      <c r="F18821">
        <v>2444272</v>
      </c>
      <c r="G18821">
        <v>2444272</v>
      </c>
      <c r="H18821">
        <v>2444272</v>
      </c>
      <c r="I18821">
        <v>2444272</v>
      </c>
    </row>
    <row r="18822" spans="1:9" x14ac:dyDescent="0.2">
      <c r="A18822" s="1" t="str">
        <f>"TRPM6"</f>
        <v>TRPM6</v>
      </c>
      <c r="B18822" t="s">
        <v>14</v>
      </c>
      <c r="C18822" t="s">
        <v>24</v>
      </c>
      <c r="D18822" t="s">
        <v>11</v>
      </c>
      <c r="E18822" t="s">
        <v>12</v>
      </c>
      <c r="F18822">
        <v>77502783</v>
      </c>
      <c r="G18822">
        <v>77502795</v>
      </c>
      <c r="H18822">
        <v>77502783</v>
      </c>
      <c r="I18822">
        <v>77502795</v>
      </c>
    </row>
    <row r="18823" spans="1:9" x14ac:dyDescent="0.2">
      <c r="A18823" s="1" t="str">
        <f>"TRPM7"</f>
        <v>TRPM7</v>
      </c>
      <c r="B18823" t="s">
        <v>14</v>
      </c>
      <c r="C18823" t="s">
        <v>25</v>
      </c>
      <c r="D18823" t="s">
        <v>11</v>
      </c>
      <c r="E18823" t="s">
        <v>12</v>
      </c>
      <c r="F18823">
        <v>50978965</v>
      </c>
      <c r="G18823">
        <v>50979012</v>
      </c>
      <c r="H18823">
        <v>50978937</v>
      </c>
      <c r="I18823">
        <v>50978962</v>
      </c>
    </row>
    <row r="18824" spans="1:9" x14ac:dyDescent="0.2">
      <c r="A18824" s="1" t="str">
        <f>"TRPM8"</f>
        <v>TRPM8</v>
      </c>
      <c r="B18824" t="s">
        <v>14</v>
      </c>
      <c r="C18824" t="s">
        <v>26</v>
      </c>
      <c r="D18824" t="s">
        <v>17</v>
      </c>
      <c r="E18824" t="s">
        <v>12</v>
      </c>
      <c r="F18824">
        <v>234826016</v>
      </c>
      <c r="G18824">
        <v>234826024</v>
      </c>
      <c r="H18824">
        <v>234826016</v>
      </c>
      <c r="I18824">
        <v>234826024</v>
      </c>
    </row>
    <row r="18825" spans="1:9" x14ac:dyDescent="0.2">
      <c r="A18825" s="1" t="str">
        <f>"TRPS1"</f>
        <v>TRPS1</v>
      </c>
      <c r="B18825" t="s">
        <v>14</v>
      </c>
      <c r="C18825" t="s">
        <v>30</v>
      </c>
      <c r="D18825" t="s">
        <v>11</v>
      </c>
      <c r="E18825" t="s">
        <v>12</v>
      </c>
      <c r="F18825">
        <v>116681194</v>
      </c>
      <c r="G18825">
        <v>116681214</v>
      </c>
      <c r="H18825">
        <v>116681409</v>
      </c>
      <c r="I18825">
        <v>116681431</v>
      </c>
    </row>
    <row r="18826" spans="1:9" x14ac:dyDescent="0.2">
      <c r="A18826" s="1" t="str">
        <f>"TRPT1"</f>
        <v>TRPT1</v>
      </c>
      <c r="B18826" t="s">
        <v>14</v>
      </c>
      <c r="C18826" t="s">
        <v>27</v>
      </c>
      <c r="D18826" t="s">
        <v>11</v>
      </c>
      <c r="E18826" t="s">
        <v>12</v>
      </c>
      <c r="F18826">
        <v>63993601</v>
      </c>
      <c r="G18826">
        <v>63993689</v>
      </c>
      <c r="H18826">
        <v>63993690</v>
      </c>
      <c r="I18826">
        <v>63993701</v>
      </c>
    </row>
    <row r="18827" spans="1:9" x14ac:dyDescent="0.2">
      <c r="A18827" s="1" t="str">
        <f>"TRPV1"</f>
        <v>TRPV1</v>
      </c>
      <c r="B18827" t="s">
        <v>14</v>
      </c>
      <c r="C18827" t="s">
        <v>28</v>
      </c>
      <c r="D18827" t="s">
        <v>11</v>
      </c>
      <c r="E18827" t="s">
        <v>12</v>
      </c>
      <c r="F18827">
        <v>3500395</v>
      </c>
      <c r="G18827">
        <v>3500409</v>
      </c>
      <c r="H18827">
        <v>3500395</v>
      </c>
      <c r="I18827">
        <v>3500409</v>
      </c>
    </row>
    <row r="18828" spans="1:9" x14ac:dyDescent="0.2">
      <c r="A18828" s="1" t="str">
        <f>"TRPV2"</f>
        <v>TRPV2</v>
      </c>
      <c r="B18828" t="s">
        <v>14</v>
      </c>
      <c r="C18828" t="s">
        <v>28</v>
      </c>
      <c r="D18828" t="s">
        <v>17</v>
      </c>
      <c r="E18828" t="s">
        <v>12</v>
      </c>
      <c r="F18828">
        <v>16318850</v>
      </c>
      <c r="G18828">
        <v>16318904</v>
      </c>
      <c r="H18828">
        <v>16318850</v>
      </c>
      <c r="I18828">
        <v>16318904</v>
      </c>
    </row>
    <row r="18829" spans="1:9" x14ac:dyDescent="0.2">
      <c r="A18829" s="1" t="str">
        <f>"TRPV3"</f>
        <v>TRPV3</v>
      </c>
      <c r="B18829" t="s">
        <v>9</v>
      </c>
      <c r="C18829" t="s">
        <v>28</v>
      </c>
      <c r="D18829" t="s">
        <v>11</v>
      </c>
      <c r="E18829" t="s">
        <v>12</v>
      </c>
      <c r="F18829">
        <v>3461092</v>
      </c>
      <c r="G18829">
        <v>3461126</v>
      </c>
      <c r="H18829">
        <v>3461092</v>
      </c>
      <c r="I18829">
        <v>3461126</v>
      </c>
    </row>
    <row r="18830" spans="1:9" x14ac:dyDescent="0.2">
      <c r="A18830" s="1" t="str">
        <f>"TRPV3"</f>
        <v>TRPV3</v>
      </c>
      <c r="B18830" t="s">
        <v>13</v>
      </c>
      <c r="C18830" t="s">
        <v>28</v>
      </c>
      <c r="D18830" t="s">
        <v>11</v>
      </c>
      <c r="E18830" t="s">
        <v>12</v>
      </c>
      <c r="F18830">
        <v>3438894</v>
      </c>
      <c r="G18830">
        <v>3438926</v>
      </c>
      <c r="H18830">
        <v>3438894</v>
      </c>
      <c r="I18830">
        <v>3438926</v>
      </c>
    </row>
    <row r="18831" spans="1:9" x14ac:dyDescent="0.2">
      <c r="A18831" s="1" t="str">
        <f>"TRPV4"</f>
        <v>TRPV4</v>
      </c>
      <c r="B18831" t="s">
        <v>14</v>
      </c>
      <c r="C18831" t="s">
        <v>16</v>
      </c>
      <c r="D18831" t="s">
        <v>11</v>
      </c>
      <c r="E18831" t="s">
        <v>12</v>
      </c>
      <c r="F18831">
        <v>110271178</v>
      </c>
      <c r="G18831">
        <v>110271211</v>
      </c>
      <c r="H18831">
        <v>110271216</v>
      </c>
      <c r="I18831">
        <v>110271229</v>
      </c>
    </row>
    <row r="18832" spans="1:9" x14ac:dyDescent="0.2">
      <c r="A18832" s="1" t="str">
        <f>"TRPV5"</f>
        <v>TRPV5</v>
      </c>
      <c r="B18832" t="s">
        <v>14</v>
      </c>
      <c r="C18832" t="s">
        <v>33</v>
      </c>
      <c r="D18832" t="s">
        <v>11</v>
      </c>
      <c r="E18832" t="s">
        <v>12</v>
      </c>
      <c r="F18832">
        <v>142630837</v>
      </c>
      <c r="G18832">
        <v>142630848</v>
      </c>
      <c r="H18832">
        <v>142630837</v>
      </c>
      <c r="I18832">
        <v>142630848</v>
      </c>
    </row>
    <row r="18833" spans="1:9" x14ac:dyDescent="0.2">
      <c r="A18833" s="1" t="str">
        <f>"TRPV6"</f>
        <v>TRPV6</v>
      </c>
      <c r="B18833" t="s">
        <v>14</v>
      </c>
      <c r="C18833" t="s">
        <v>33</v>
      </c>
      <c r="D18833" t="s">
        <v>11</v>
      </c>
      <c r="E18833" t="s">
        <v>12</v>
      </c>
      <c r="F18833">
        <v>142583478</v>
      </c>
      <c r="G18833">
        <v>142583496</v>
      </c>
      <c r="H18833">
        <v>142583410</v>
      </c>
      <c r="I18833">
        <v>142583425</v>
      </c>
    </row>
    <row r="18834" spans="1:9" x14ac:dyDescent="0.2">
      <c r="A18834" s="1" t="str">
        <f>"TRRAP"</f>
        <v>TRRAP</v>
      </c>
      <c r="B18834" t="s">
        <v>14</v>
      </c>
      <c r="C18834" t="s">
        <v>33</v>
      </c>
      <c r="D18834" t="s">
        <v>17</v>
      </c>
      <c r="E18834" t="s">
        <v>12</v>
      </c>
      <c r="F18834">
        <v>98476148</v>
      </c>
      <c r="G18834">
        <v>98476190</v>
      </c>
      <c r="H18834">
        <v>98476095</v>
      </c>
      <c r="I18834">
        <v>98476144</v>
      </c>
    </row>
    <row r="18835" spans="1:9" x14ac:dyDescent="0.2">
      <c r="A18835" s="1" t="str">
        <f>"TRUB1"</f>
        <v>TRUB1</v>
      </c>
      <c r="B18835" t="s">
        <v>14</v>
      </c>
      <c r="C18835" t="s">
        <v>15</v>
      </c>
      <c r="D18835" t="s">
        <v>17</v>
      </c>
      <c r="E18835" t="s">
        <v>12</v>
      </c>
      <c r="F18835">
        <v>116697946</v>
      </c>
      <c r="G18835">
        <v>116698013</v>
      </c>
      <c r="H18835">
        <v>116698182</v>
      </c>
      <c r="I18835">
        <v>116698229</v>
      </c>
    </row>
    <row r="18836" spans="1:9" x14ac:dyDescent="0.2">
      <c r="A18836" s="1" t="str">
        <f>"TRUB2"</f>
        <v>TRUB2</v>
      </c>
      <c r="B18836" t="s">
        <v>14</v>
      </c>
      <c r="C18836" t="s">
        <v>24</v>
      </c>
      <c r="D18836" t="s">
        <v>11</v>
      </c>
      <c r="E18836" t="s">
        <v>12</v>
      </c>
      <c r="F18836">
        <v>131084686</v>
      </c>
      <c r="G18836">
        <v>131084734</v>
      </c>
      <c r="H18836">
        <v>131085001</v>
      </c>
      <c r="I18836">
        <v>131085022</v>
      </c>
    </row>
    <row r="18837" spans="1:9" x14ac:dyDescent="0.2">
      <c r="A18837" s="1" t="str">
        <f>"TSACC"</f>
        <v>TSACC</v>
      </c>
      <c r="B18837" t="s">
        <v>14</v>
      </c>
      <c r="C18837" t="s">
        <v>19</v>
      </c>
      <c r="D18837" t="s">
        <v>17</v>
      </c>
      <c r="E18837" t="s">
        <v>12</v>
      </c>
      <c r="F18837">
        <v>156308245</v>
      </c>
      <c r="G18837">
        <v>156308393</v>
      </c>
      <c r="H18837">
        <v>156308403</v>
      </c>
      <c r="I18837">
        <v>156308420</v>
      </c>
    </row>
    <row r="18838" spans="1:9" x14ac:dyDescent="0.2">
      <c r="A18838" s="1" t="str">
        <f>"TSC1"</f>
        <v>TSC1</v>
      </c>
      <c r="B18838" t="s">
        <v>14</v>
      </c>
      <c r="C18838" t="s">
        <v>24</v>
      </c>
      <c r="D18838" t="s">
        <v>11</v>
      </c>
      <c r="E18838" t="s">
        <v>12</v>
      </c>
      <c r="F18838">
        <v>135819987</v>
      </c>
      <c r="G18838">
        <v>135820017</v>
      </c>
      <c r="H18838">
        <v>135819974</v>
      </c>
      <c r="I18838">
        <v>135819986</v>
      </c>
    </row>
    <row r="18839" spans="1:9" x14ac:dyDescent="0.2">
      <c r="A18839" s="1" t="str">
        <f>"TSC2"</f>
        <v>TSC2</v>
      </c>
      <c r="B18839" t="s">
        <v>14</v>
      </c>
      <c r="C18839" t="s">
        <v>31</v>
      </c>
      <c r="D18839" t="s">
        <v>17</v>
      </c>
      <c r="E18839" t="s">
        <v>12</v>
      </c>
      <c r="F18839">
        <v>2097970</v>
      </c>
      <c r="G18839">
        <v>2097997</v>
      </c>
      <c r="H18839">
        <v>2098003</v>
      </c>
      <c r="I18839">
        <v>2098032</v>
      </c>
    </row>
    <row r="18840" spans="1:9" x14ac:dyDescent="0.2">
      <c r="A18840" s="1" t="str">
        <f>"TSC22D1"</f>
        <v>TSC22D1</v>
      </c>
      <c r="B18840" t="s">
        <v>14</v>
      </c>
      <c r="C18840" t="s">
        <v>39</v>
      </c>
      <c r="D18840" t="s">
        <v>11</v>
      </c>
      <c r="E18840" t="s">
        <v>12</v>
      </c>
      <c r="F18840">
        <v>45010939</v>
      </c>
      <c r="G18840">
        <v>45011033</v>
      </c>
      <c r="H18840">
        <v>45010939</v>
      </c>
      <c r="I18840">
        <v>45011033</v>
      </c>
    </row>
    <row r="18841" spans="1:9" x14ac:dyDescent="0.2">
      <c r="A18841" s="1" t="str">
        <f>"TSC22D2"</f>
        <v>TSC22D2</v>
      </c>
      <c r="B18841" t="s">
        <v>14</v>
      </c>
      <c r="C18841" t="s">
        <v>22</v>
      </c>
      <c r="D18841" t="s">
        <v>17</v>
      </c>
      <c r="E18841" t="s">
        <v>12</v>
      </c>
      <c r="F18841">
        <v>150126065</v>
      </c>
      <c r="G18841">
        <v>150126097</v>
      </c>
      <c r="H18841">
        <v>150126759</v>
      </c>
      <c r="I18841">
        <v>150126784</v>
      </c>
    </row>
    <row r="18842" spans="1:9" x14ac:dyDescent="0.2">
      <c r="A18842" s="1" t="str">
        <f>"TSC22D3"</f>
        <v>TSC22D3</v>
      </c>
      <c r="B18842" t="s">
        <v>14</v>
      </c>
      <c r="C18842" t="s">
        <v>37</v>
      </c>
      <c r="D18842" t="s">
        <v>11</v>
      </c>
      <c r="E18842" t="s">
        <v>12</v>
      </c>
      <c r="F18842">
        <v>106960285</v>
      </c>
      <c r="G18842">
        <v>106960299</v>
      </c>
      <c r="H18842">
        <v>106960180</v>
      </c>
      <c r="I18842">
        <v>106960197</v>
      </c>
    </row>
    <row r="18843" spans="1:9" x14ac:dyDescent="0.2">
      <c r="A18843" s="1" t="str">
        <f>"TSC22D4"</f>
        <v>TSC22D4</v>
      </c>
      <c r="B18843" t="s">
        <v>14</v>
      </c>
      <c r="C18843" t="s">
        <v>33</v>
      </c>
      <c r="D18843" t="s">
        <v>11</v>
      </c>
      <c r="E18843" t="s">
        <v>12</v>
      </c>
      <c r="F18843">
        <v>100076765</v>
      </c>
      <c r="G18843">
        <v>100076861</v>
      </c>
      <c r="H18843">
        <v>100076765</v>
      </c>
      <c r="I18843">
        <v>100076861</v>
      </c>
    </row>
    <row r="18844" spans="1:9" x14ac:dyDescent="0.2">
      <c r="A18844" s="1" t="str">
        <f>"TSEN15"</f>
        <v>TSEN15</v>
      </c>
      <c r="B18844" t="s">
        <v>14</v>
      </c>
      <c r="C18844" t="s">
        <v>19</v>
      </c>
      <c r="D18844" t="s">
        <v>17</v>
      </c>
      <c r="E18844" t="s">
        <v>12</v>
      </c>
      <c r="F18844">
        <v>184020830</v>
      </c>
      <c r="G18844">
        <v>184020895</v>
      </c>
      <c r="H18844">
        <v>184020777</v>
      </c>
      <c r="I18844">
        <v>184020799</v>
      </c>
    </row>
    <row r="18845" spans="1:9" x14ac:dyDescent="0.2">
      <c r="A18845" s="1" t="str">
        <f>"TSEN2"</f>
        <v>TSEN2</v>
      </c>
      <c r="B18845" t="s">
        <v>14</v>
      </c>
      <c r="C18845" t="s">
        <v>22</v>
      </c>
      <c r="D18845" t="s">
        <v>17</v>
      </c>
      <c r="E18845" t="s">
        <v>12</v>
      </c>
      <c r="F18845">
        <v>12525964</v>
      </c>
      <c r="G18845">
        <v>12526020</v>
      </c>
      <c r="H18845">
        <v>12526196</v>
      </c>
      <c r="I18845">
        <v>12526255</v>
      </c>
    </row>
    <row r="18846" spans="1:9" x14ac:dyDescent="0.2">
      <c r="A18846" s="1" t="str">
        <f>"TSEN34"</f>
        <v>TSEN34</v>
      </c>
      <c r="B18846" t="s">
        <v>14</v>
      </c>
      <c r="C18846" t="s">
        <v>10</v>
      </c>
      <c r="D18846" t="s">
        <v>17</v>
      </c>
      <c r="E18846" t="s">
        <v>12</v>
      </c>
      <c r="F18846">
        <v>54695098</v>
      </c>
      <c r="G18846">
        <v>54695178</v>
      </c>
      <c r="H18846">
        <v>54694169</v>
      </c>
      <c r="I18846">
        <v>54694214</v>
      </c>
    </row>
    <row r="18847" spans="1:9" x14ac:dyDescent="0.2">
      <c r="A18847" s="1" t="str">
        <f>"TSEN54"</f>
        <v>TSEN54</v>
      </c>
      <c r="B18847" t="s">
        <v>14</v>
      </c>
      <c r="C18847" t="s">
        <v>28</v>
      </c>
      <c r="D18847" t="s">
        <v>17</v>
      </c>
      <c r="E18847" t="s">
        <v>12</v>
      </c>
      <c r="F18847">
        <v>73512594</v>
      </c>
      <c r="G18847">
        <v>73512662</v>
      </c>
      <c r="H18847">
        <v>73511827</v>
      </c>
      <c r="I18847">
        <v>73511858</v>
      </c>
    </row>
    <row r="18848" spans="1:9" x14ac:dyDescent="0.2">
      <c r="A18848" s="1" t="str">
        <f>"TSFM"</f>
        <v>TSFM</v>
      </c>
      <c r="B18848" t="s">
        <v>14</v>
      </c>
      <c r="C18848" t="s">
        <v>16</v>
      </c>
      <c r="D18848" t="s">
        <v>17</v>
      </c>
      <c r="E18848" t="s">
        <v>12</v>
      </c>
      <c r="F18848">
        <v>58176525</v>
      </c>
      <c r="G18848">
        <v>58176586</v>
      </c>
      <c r="H18848">
        <v>58176998</v>
      </c>
      <c r="I18848">
        <v>58177000</v>
      </c>
    </row>
    <row r="18849" spans="1:9" x14ac:dyDescent="0.2">
      <c r="A18849" s="1" t="str">
        <f>"TSG101"</f>
        <v>TSG101</v>
      </c>
      <c r="B18849" t="s">
        <v>14</v>
      </c>
      <c r="C18849" t="s">
        <v>27</v>
      </c>
      <c r="D18849" t="s">
        <v>11</v>
      </c>
      <c r="E18849" t="s">
        <v>12</v>
      </c>
      <c r="F18849">
        <v>18548426</v>
      </c>
      <c r="G18849">
        <v>18548500</v>
      </c>
      <c r="H18849">
        <v>18548407</v>
      </c>
      <c r="I18849">
        <v>18548424</v>
      </c>
    </row>
    <row r="18850" spans="1:9" x14ac:dyDescent="0.2">
      <c r="A18850" s="1" t="str">
        <f>"TSGA10"</f>
        <v>TSGA10</v>
      </c>
      <c r="B18850" t="s">
        <v>14</v>
      </c>
      <c r="C18850" t="s">
        <v>26</v>
      </c>
      <c r="D18850" t="s">
        <v>11</v>
      </c>
      <c r="E18850" t="s">
        <v>12</v>
      </c>
      <c r="F18850">
        <v>99757632</v>
      </c>
      <c r="G18850">
        <v>99757652</v>
      </c>
      <c r="H18850">
        <v>99757977</v>
      </c>
      <c r="I18850">
        <v>99758045</v>
      </c>
    </row>
    <row r="18851" spans="1:9" x14ac:dyDescent="0.2">
      <c r="A18851" s="1" t="str">
        <f>"TSGA10IP"</f>
        <v>TSGA10IP</v>
      </c>
      <c r="B18851" t="s">
        <v>14</v>
      </c>
      <c r="C18851" t="s">
        <v>27</v>
      </c>
      <c r="D18851" t="s">
        <v>17</v>
      </c>
      <c r="E18851" t="s">
        <v>12</v>
      </c>
      <c r="F18851">
        <v>65713180</v>
      </c>
      <c r="G18851">
        <v>65713186</v>
      </c>
      <c r="H18851">
        <v>65713241</v>
      </c>
      <c r="I18851">
        <v>65713248</v>
      </c>
    </row>
    <row r="18852" spans="1:9" x14ac:dyDescent="0.2">
      <c r="A18852" s="1" t="str">
        <f>"TSGA13"</f>
        <v>TSGA13</v>
      </c>
      <c r="B18852" t="s">
        <v>14</v>
      </c>
      <c r="C18852" t="s">
        <v>33</v>
      </c>
      <c r="D18852" t="s">
        <v>11</v>
      </c>
      <c r="E18852" t="s">
        <v>12</v>
      </c>
      <c r="F18852">
        <v>130371374</v>
      </c>
      <c r="G18852">
        <v>130371386</v>
      </c>
      <c r="H18852">
        <v>130371374</v>
      </c>
      <c r="I18852">
        <v>130371386</v>
      </c>
    </row>
    <row r="18853" spans="1:9" x14ac:dyDescent="0.2">
      <c r="A18853" s="1" t="str">
        <f>"TSHB"</f>
        <v>TSHB</v>
      </c>
      <c r="B18853" t="s">
        <v>14</v>
      </c>
      <c r="C18853" t="s">
        <v>19</v>
      </c>
      <c r="D18853" t="s">
        <v>17</v>
      </c>
      <c r="E18853" t="s">
        <v>12</v>
      </c>
      <c r="F18853">
        <v>115572444</v>
      </c>
      <c r="G18853">
        <v>115572451</v>
      </c>
      <c r="H18853">
        <v>115572444</v>
      </c>
      <c r="I18853">
        <v>115572451</v>
      </c>
    </row>
    <row r="18854" spans="1:9" x14ac:dyDescent="0.2">
      <c r="A18854" s="1" t="str">
        <f>"TSHR"</f>
        <v>TSHR</v>
      </c>
      <c r="B18854" t="s">
        <v>14</v>
      </c>
      <c r="C18854" t="s">
        <v>41</v>
      </c>
      <c r="D18854" t="s">
        <v>17</v>
      </c>
      <c r="E18854" t="s">
        <v>12</v>
      </c>
      <c r="F18854">
        <v>81421921</v>
      </c>
      <c r="G18854">
        <v>81421989</v>
      </c>
      <c r="H18854">
        <v>81421324</v>
      </c>
      <c r="I18854">
        <v>81421348</v>
      </c>
    </row>
    <row r="18855" spans="1:9" x14ac:dyDescent="0.2">
      <c r="A18855" s="1" t="str">
        <f>"TSHZ1"</f>
        <v>TSHZ1</v>
      </c>
      <c r="B18855" t="s">
        <v>14</v>
      </c>
      <c r="C18855" t="s">
        <v>43</v>
      </c>
      <c r="D18855" t="s">
        <v>17</v>
      </c>
      <c r="E18855" t="s">
        <v>12</v>
      </c>
      <c r="F18855">
        <v>72922811</v>
      </c>
      <c r="G18855">
        <v>72922827</v>
      </c>
      <c r="H18855">
        <v>72922777</v>
      </c>
      <c r="I18855">
        <v>72922808</v>
      </c>
    </row>
    <row r="18856" spans="1:9" x14ac:dyDescent="0.2">
      <c r="A18856" s="1" t="str">
        <f>"TSHZ2"</f>
        <v>TSHZ2</v>
      </c>
      <c r="B18856" t="s">
        <v>14</v>
      </c>
      <c r="C18856" t="s">
        <v>29</v>
      </c>
      <c r="D18856" t="s">
        <v>17</v>
      </c>
      <c r="E18856" t="s">
        <v>12</v>
      </c>
      <c r="F18856">
        <v>51588873</v>
      </c>
      <c r="G18856">
        <v>51588953</v>
      </c>
      <c r="H18856">
        <v>51588873</v>
      </c>
      <c r="I18856">
        <v>51588953</v>
      </c>
    </row>
    <row r="18857" spans="1:9" x14ac:dyDescent="0.2">
      <c r="A18857" s="1" t="str">
        <f>"TSHZ3"</f>
        <v>TSHZ3</v>
      </c>
      <c r="B18857" t="s">
        <v>14</v>
      </c>
      <c r="C18857" t="s">
        <v>10</v>
      </c>
      <c r="D18857" t="s">
        <v>11</v>
      </c>
      <c r="E18857" t="s">
        <v>12</v>
      </c>
      <c r="F18857">
        <v>31840313</v>
      </c>
      <c r="G18857">
        <v>31840380</v>
      </c>
      <c r="H18857">
        <v>31840130</v>
      </c>
      <c r="I18857">
        <v>31840160</v>
      </c>
    </row>
    <row r="18858" spans="1:9" x14ac:dyDescent="0.2">
      <c r="A18858" s="1" t="str">
        <f>"TSKS"</f>
        <v>TSKS</v>
      </c>
      <c r="B18858" t="s">
        <v>14</v>
      </c>
      <c r="C18858" t="s">
        <v>10</v>
      </c>
      <c r="D18858" t="s">
        <v>11</v>
      </c>
      <c r="E18858" t="s">
        <v>12</v>
      </c>
      <c r="F18858">
        <v>50266554</v>
      </c>
      <c r="G18858">
        <v>50266571</v>
      </c>
      <c r="H18858">
        <v>50266538</v>
      </c>
      <c r="I18858">
        <v>50266549</v>
      </c>
    </row>
    <row r="18859" spans="1:9" x14ac:dyDescent="0.2">
      <c r="A18859" s="1" t="str">
        <f>"TSKU"</f>
        <v>TSKU</v>
      </c>
      <c r="B18859" t="s">
        <v>14</v>
      </c>
      <c r="C18859" t="s">
        <v>27</v>
      </c>
      <c r="D18859" t="s">
        <v>17</v>
      </c>
      <c r="E18859" t="s">
        <v>12</v>
      </c>
      <c r="F18859">
        <v>76494340</v>
      </c>
      <c r="G18859">
        <v>76494391</v>
      </c>
      <c r="H18859">
        <v>76494393</v>
      </c>
      <c r="I18859">
        <v>76494407</v>
      </c>
    </row>
    <row r="18860" spans="1:9" x14ac:dyDescent="0.2">
      <c r="A18860" s="1" t="str">
        <f>"TSLP"</f>
        <v>TSLP</v>
      </c>
      <c r="B18860" t="s">
        <v>14</v>
      </c>
      <c r="C18860" t="s">
        <v>46</v>
      </c>
      <c r="D18860" t="s">
        <v>17</v>
      </c>
      <c r="E18860" t="s">
        <v>12</v>
      </c>
      <c r="F18860">
        <v>110409053</v>
      </c>
      <c r="G18860">
        <v>110409100</v>
      </c>
      <c r="H18860">
        <v>110409111</v>
      </c>
      <c r="I18860">
        <v>110409126</v>
      </c>
    </row>
    <row r="18861" spans="1:9" x14ac:dyDescent="0.2">
      <c r="A18861" s="1" t="str">
        <f>"TSN"</f>
        <v>TSN</v>
      </c>
      <c r="B18861" t="s">
        <v>14</v>
      </c>
      <c r="C18861" t="s">
        <v>26</v>
      </c>
      <c r="D18861" t="s">
        <v>17</v>
      </c>
      <c r="E18861" t="s">
        <v>12</v>
      </c>
      <c r="F18861">
        <v>122513208</v>
      </c>
      <c r="G18861">
        <v>122513293</v>
      </c>
      <c r="H18861">
        <v>122513295</v>
      </c>
      <c r="I18861">
        <v>122513344</v>
      </c>
    </row>
    <row r="18862" spans="1:9" x14ac:dyDescent="0.2">
      <c r="A18862" s="1" t="str">
        <f>"TSNARE1"</f>
        <v>TSNARE1</v>
      </c>
      <c r="B18862" t="s">
        <v>14</v>
      </c>
      <c r="C18862" t="s">
        <v>30</v>
      </c>
      <c r="D18862" t="s">
        <v>11</v>
      </c>
      <c r="E18862" t="s">
        <v>12</v>
      </c>
      <c r="F18862">
        <v>143484483</v>
      </c>
      <c r="G18862">
        <v>143484555</v>
      </c>
      <c r="H18862">
        <v>143484600</v>
      </c>
      <c r="I18862">
        <v>143484612</v>
      </c>
    </row>
    <row r="18863" spans="1:9" x14ac:dyDescent="0.2">
      <c r="A18863" s="1" t="str">
        <f>"TSNAX"</f>
        <v>TSNAX</v>
      </c>
      <c r="B18863" t="s">
        <v>14</v>
      </c>
      <c r="C18863" t="s">
        <v>19</v>
      </c>
      <c r="D18863" t="s">
        <v>17</v>
      </c>
      <c r="E18863" t="s">
        <v>12</v>
      </c>
      <c r="F18863">
        <v>231664390</v>
      </c>
      <c r="G18863">
        <v>231664479</v>
      </c>
      <c r="H18863">
        <v>231664390</v>
      </c>
      <c r="I18863">
        <v>231664479</v>
      </c>
    </row>
    <row r="18864" spans="1:9" x14ac:dyDescent="0.2">
      <c r="A18864" s="1" t="str">
        <f>"TSNAXIP1"</f>
        <v>TSNAXIP1</v>
      </c>
      <c r="B18864" t="s">
        <v>14</v>
      </c>
      <c r="C18864" t="s">
        <v>31</v>
      </c>
      <c r="D18864" t="s">
        <v>17</v>
      </c>
      <c r="E18864" t="s">
        <v>12</v>
      </c>
      <c r="F18864">
        <v>67840780</v>
      </c>
      <c r="G18864">
        <v>67840832</v>
      </c>
      <c r="H18864">
        <v>67840986</v>
      </c>
      <c r="I18864">
        <v>67841045</v>
      </c>
    </row>
    <row r="18865" spans="1:9" x14ac:dyDescent="0.2">
      <c r="A18865" s="1" t="str">
        <f>"TSPAN1"</f>
        <v>TSPAN1</v>
      </c>
      <c r="B18865" t="s">
        <v>9</v>
      </c>
      <c r="C18865" t="s">
        <v>19</v>
      </c>
      <c r="D18865" t="s">
        <v>17</v>
      </c>
      <c r="E18865" t="s">
        <v>12</v>
      </c>
      <c r="F18865">
        <v>46646194</v>
      </c>
      <c r="G18865">
        <v>46646210</v>
      </c>
      <c r="H18865">
        <v>46646194</v>
      </c>
      <c r="I18865">
        <v>46646210</v>
      </c>
    </row>
    <row r="18866" spans="1:9" x14ac:dyDescent="0.2">
      <c r="A18866" s="1" t="str">
        <f>"TSPAN1"</f>
        <v>TSPAN1</v>
      </c>
      <c r="B18866" t="s">
        <v>13</v>
      </c>
      <c r="C18866" t="s">
        <v>19</v>
      </c>
      <c r="D18866" t="s">
        <v>17</v>
      </c>
      <c r="E18866" t="s">
        <v>12</v>
      </c>
      <c r="F18866">
        <v>46640750</v>
      </c>
      <c r="G18866">
        <v>46640770</v>
      </c>
      <c r="H18866">
        <v>46640750</v>
      </c>
      <c r="I18866">
        <v>46640770</v>
      </c>
    </row>
    <row r="18867" spans="1:9" x14ac:dyDescent="0.2">
      <c r="A18867" s="1" t="str">
        <f>"TSPAN10"</f>
        <v>TSPAN10</v>
      </c>
      <c r="B18867" t="s">
        <v>14</v>
      </c>
      <c r="C18867" t="s">
        <v>28</v>
      </c>
      <c r="D18867" t="s">
        <v>17</v>
      </c>
      <c r="E18867" t="s">
        <v>12</v>
      </c>
      <c r="F18867">
        <v>79609341</v>
      </c>
      <c r="G18867">
        <v>79609358</v>
      </c>
      <c r="H18867">
        <v>79609296</v>
      </c>
      <c r="I18867">
        <v>79609335</v>
      </c>
    </row>
    <row r="18868" spans="1:9" x14ac:dyDescent="0.2">
      <c r="A18868" s="1" t="str">
        <f>"TSPAN11"</f>
        <v>TSPAN11</v>
      </c>
      <c r="B18868" t="s">
        <v>14</v>
      </c>
      <c r="C18868" t="s">
        <v>16</v>
      </c>
      <c r="D18868" t="s">
        <v>17</v>
      </c>
      <c r="E18868" t="s">
        <v>12</v>
      </c>
      <c r="F18868">
        <v>31079652</v>
      </c>
      <c r="G18868">
        <v>31079694</v>
      </c>
      <c r="H18868">
        <v>31079412</v>
      </c>
      <c r="I18868">
        <v>31079428</v>
      </c>
    </row>
    <row r="18869" spans="1:9" x14ac:dyDescent="0.2">
      <c r="A18869" s="1" t="str">
        <f>"TSPAN12"</f>
        <v>TSPAN12</v>
      </c>
      <c r="B18869" t="s">
        <v>14</v>
      </c>
      <c r="C18869" t="s">
        <v>33</v>
      </c>
      <c r="D18869" t="s">
        <v>11</v>
      </c>
      <c r="E18869" t="s">
        <v>12</v>
      </c>
      <c r="F18869">
        <v>120498120</v>
      </c>
      <c r="G18869">
        <v>120498203</v>
      </c>
      <c r="H18869">
        <v>120497974</v>
      </c>
      <c r="I18869">
        <v>120498023</v>
      </c>
    </row>
    <row r="18870" spans="1:9" x14ac:dyDescent="0.2">
      <c r="A18870" s="1" t="str">
        <f>"TSPAN13"</f>
        <v>TSPAN13</v>
      </c>
      <c r="B18870" t="s">
        <v>14</v>
      </c>
      <c r="C18870" t="s">
        <v>33</v>
      </c>
      <c r="D18870" t="s">
        <v>17</v>
      </c>
      <c r="E18870" t="s">
        <v>12</v>
      </c>
      <c r="F18870">
        <v>16793362</v>
      </c>
      <c r="G18870">
        <v>16793421</v>
      </c>
      <c r="H18870">
        <v>16793440</v>
      </c>
      <c r="I18870">
        <v>16793451</v>
      </c>
    </row>
    <row r="18871" spans="1:9" x14ac:dyDescent="0.2">
      <c r="A18871" s="1" t="str">
        <f>"TSPAN14"</f>
        <v>TSPAN14</v>
      </c>
      <c r="B18871" t="s">
        <v>14</v>
      </c>
      <c r="C18871" t="s">
        <v>15</v>
      </c>
      <c r="D18871" t="s">
        <v>17</v>
      </c>
      <c r="E18871" t="s">
        <v>12</v>
      </c>
      <c r="F18871">
        <v>82214052</v>
      </c>
      <c r="G18871">
        <v>82214087</v>
      </c>
      <c r="H18871">
        <v>82214031</v>
      </c>
      <c r="I18871">
        <v>82214044</v>
      </c>
    </row>
    <row r="18872" spans="1:9" x14ac:dyDescent="0.2">
      <c r="A18872" s="1" t="str">
        <f>"TSPAN15"</f>
        <v>TSPAN15</v>
      </c>
      <c r="B18872" t="s">
        <v>14</v>
      </c>
      <c r="C18872" t="s">
        <v>15</v>
      </c>
      <c r="D18872" t="s">
        <v>17</v>
      </c>
      <c r="E18872" t="s">
        <v>12</v>
      </c>
      <c r="F18872">
        <v>71211212</v>
      </c>
      <c r="G18872">
        <v>71211288</v>
      </c>
      <c r="H18872">
        <v>71211212</v>
      </c>
      <c r="I18872">
        <v>71211288</v>
      </c>
    </row>
    <row r="18873" spans="1:9" x14ac:dyDescent="0.2">
      <c r="A18873" s="1" t="str">
        <f>"TSPAN16"</f>
        <v>TSPAN16</v>
      </c>
      <c r="B18873" t="s">
        <v>14</v>
      </c>
      <c r="C18873" t="s">
        <v>10</v>
      </c>
      <c r="D18873" t="s">
        <v>17</v>
      </c>
      <c r="E18873" t="s">
        <v>12</v>
      </c>
      <c r="F18873">
        <v>11406821</v>
      </c>
      <c r="G18873">
        <v>11406840</v>
      </c>
      <c r="H18873">
        <v>11406807</v>
      </c>
      <c r="I18873">
        <v>11406808</v>
      </c>
    </row>
    <row r="18874" spans="1:9" x14ac:dyDescent="0.2">
      <c r="A18874" s="1" t="str">
        <f>"TSPAN17"</f>
        <v>TSPAN17</v>
      </c>
      <c r="B18874" t="s">
        <v>14</v>
      </c>
      <c r="C18874" t="s">
        <v>46</v>
      </c>
      <c r="D18874" t="s">
        <v>17</v>
      </c>
      <c r="E18874" t="s">
        <v>12</v>
      </c>
      <c r="F18874">
        <v>176074455</v>
      </c>
      <c r="G18874">
        <v>176074519</v>
      </c>
      <c r="H18874">
        <v>176074396</v>
      </c>
      <c r="I18874">
        <v>176074417</v>
      </c>
    </row>
    <row r="18875" spans="1:9" x14ac:dyDescent="0.2">
      <c r="A18875" s="1" t="str">
        <f>"TSPAN18"</f>
        <v>TSPAN18</v>
      </c>
      <c r="B18875" t="s">
        <v>14</v>
      </c>
      <c r="C18875" t="s">
        <v>27</v>
      </c>
      <c r="D18875" t="s">
        <v>17</v>
      </c>
      <c r="E18875" t="s">
        <v>12</v>
      </c>
      <c r="F18875">
        <v>44748482</v>
      </c>
      <c r="G18875">
        <v>44748571</v>
      </c>
      <c r="H18875">
        <v>44748482</v>
      </c>
      <c r="I18875">
        <v>44748571</v>
      </c>
    </row>
    <row r="18876" spans="1:9" x14ac:dyDescent="0.2">
      <c r="A18876" s="1" t="str">
        <f>"TSPAN19"</f>
        <v>TSPAN19</v>
      </c>
      <c r="B18876" t="s">
        <v>14</v>
      </c>
      <c r="C18876" t="s">
        <v>16</v>
      </c>
      <c r="D18876" t="s">
        <v>11</v>
      </c>
      <c r="E18876" t="s">
        <v>12</v>
      </c>
      <c r="F18876">
        <v>85430024</v>
      </c>
      <c r="G18876">
        <v>85430057</v>
      </c>
      <c r="H18876">
        <v>85430024</v>
      </c>
      <c r="I18876">
        <v>85430057</v>
      </c>
    </row>
    <row r="18877" spans="1:9" x14ac:dyDescent="0.2">
      <c r="A18877" s="1" t="str">
        <f>"TSPAN2"</f>
        <v>TSPAN2</v>
      </c>
      <c r="B18877" t="s">
        <v>14</v>
      </c>
      <c r="C18877" t="s">
        <v>19</v>
      </c>
      <c r="D18877" t="s">
        <v>11</v>
      </c>
      <c r="E18877" t="s">
        <v>12</v>
      </c>
      <c r="F18877">
        <v>115632074</v>
      </c>
      <c r="G18877">
        <v>115632149</v>
      </c>
      <c r="H18877">
        <v>115632074</v>
      </c>
      <c r="I18877">
        <v>115632149</v>
      </c>
    </row>
    <row r="18878" spans="1:9" x14ac:dyDescent="0.2">
      <c r="A18878" s="1" t="str">
        <f>"TSPAN3"</f>
        <v>TSPAN3</v>
      </c>
      <c r="B18878" t="s">
        <v>14</v>
      </c>
      <c r="C18878" t="s">
        <v>25</v>
      </c>
      <c r="D18878" t="s">
        <v>11</v>
      </c>
      <c r="E18878" t="s">
        <v>12</v>
      </c>
      <c r="F18878">
        <v>77363441</v>
      </c>
      <c r="G18878">
        <v>77363506</v>
      </c>
      <c r="H18878">
        <v>77363375</v>
      </c>
      <c r="I18878">
        <v>77363406</v>
      </c>
    </row>
    <row r="18879" spans="1:9" x14ac:dyDescent="0.2">
      <c r="A18879" s="1" t="str">
        <f>"TSPAN31"</f>
        <v>TSPAN31</v>
      </c>
      <c r="B18879" t="s">
        <v>14</v>
      </c>
      <c r="C18879" t="s">
        <v>16</v>
      </c>
      <c r="D18879" t="s">
        <v>17</v>
      </c>
      <c r="E18879" t="s">
        <v>12</v>
      </c>
      <c r="F18879">
        <v>58138800</v>
      </c>
      <c r="G18879">
        <v>58138860</v>
      </c>
      <c r="H18879">
        <v>58138778</v>
      </c>
      <c r="I18879">
        <v>58138789</v>
      </c>
    </row>
    <row r="18880" spans="1:9" x14ac:dyDescent="0.2">
      <c r="A18880" s="1" t="str">
        <f>"TSPAN32"</f>
        <v>TSPAN32</v>
      </c>
      <c r="B18880" t="s">
        <v>14</v>
      </c>
      <c r="C18880" t="s">
        <v>27</v>
      </c>
      <c r="D18880" t="s">
        <v>17</v>
      </c>
      <c r="E18880" t="s">
        <v>12</v>
      </c>
      <c r="F18880">
        <v>2323349</v>
      </c>
      <c r="G18880">
        <v>2323407</v>
      </c>
      <c r="H18880">
        <v>2323236</v>
      </c>
      <c r="I18880">
        <v>2323268</v>
      </c>
    </row>
    <row r="18881" spans="1:9" x14ac:dyDescent="0.2">
      <c r="A18881" s="1" t="str">
        <f>"TSPAN33"</f>
        <v>TSPAN33</v>
      </c>
      <c r="B18881" t="s">
        <v>14</v>
      </c>
      <c r="C18881" t="s">
        <v>33</v>
      </c>
      <c r="D18881" t="s">
        <v>17</v>
      </c>
      <c r="E18881" t="s">
        <v>12</v>
      </c>
      <c r="F18881">
        <v>128806634</v>
      </c>
      <c r="G18881">
        <v>128806637</v>
      </c>
      <c r="H18881">
        <v>128806634</v>
      </c>
      <c r="I18881">
        <v>128806637</v>
      </c>
    </row>
    <row r="18882" spans="1:9" x14ac:dyDescent="0.2">
      <c r="A18882" s="1" t="str">
        <f>"TSPAN4"</f>
        <v>TSPAN4</v>
      </c>
      <c r="B18882" t="s">
        <v>9</v>
      </c>
      <c r="C18882" t="s">
        <v>27</v>
      </c>
      <c r="D18882" t="s">
        <v>17</v>
      </c>
      <c r="E18882" t="s">
        <v>12</v>
      </c>
      <c r="F18882">
        <v>842826</v>
      </c>
      <c r="G18882">
        <v>842881</v>
      </c>
      <c r="H18882">
        <v>842826</v>
      </c>
      <c r="I18882">
        <v>842881</v>
      </c>
    </row>
    <row r="18883" spans="1:9" x14ac:dyDescent="0.2">
      <c r="A18883" s="1" t="str">
        <f>"TSPAN4"</f>
        <v>TSPAN4</v>
      </c>
      <c r="B18883" t="s">
        <v>13</v>
      </c>
      <c r="C18883" t="s">
        <v>27</v>
      </c>
      <c r="D18883" t="s">
        <v>17</v>
      </c>
      <c r="E18883" t="s">
        <v>12</v>
      </c>
      <c r="F18883">
        <v>844067</v>
      </c>
      <c r="G18883">
        <v>844158</v>
      </c>
      <c r="H18883">
        <v>844067</v>
      </c>
      <c r="I18883">
        <v>844158</v>
      </c>
    </row>
    <row r="18884" spans="1:9" x14ac:dyDescent="0.2">
      <c r="A18884" s="1" t="str">
        <f>"TSPAN5"</f>
        <v>TSPAN5</v>
      </c>
      <c r="B18884" t="s">
        <v>14</v>
      </c>
      <c r="C18884" t="s">
        <v>23</v>
      </c>
      <c r="D18884" t="s">
        <v>11</v>
      </c>
      <c r="E18884" t="s">
        <v>12</v>
      </c>
      <c r="F18884">
        <v>99579733</v>
      </c>
      <c r="G18884">
        <v>99579789</v>
      </c>
      <c r="H18884">
        <v>99578789</v>
      </c>
      <c r="I18884">
        <v>99578828</v>
      </c>
    </row>
    <row r="18885" spans="1:9" x14ac:dyDescent="0.2">
      <c r="A18885" s="1" t="str">
        <f>"TSPAN6"</f>
        <v>TSPAN6</v>
      </c>
      <c r="B18885" t="s">
        <v>14</v>
      </c>
      <c r="C18885" t="s">
        <v>37</v>
      </c>
      <c r="D18885" t="s">
        <v>11</v>
      </c>
      <c r="E18885" t="s">
        <v>12</v>
      </c>
      <c r="F18885">
        <v>99891689</v>
      </c>
      <c r="G18885">
        <v>99891764</v>
      </c>
      <c r="H18885">
        <v>99891796</v>
      </c>
      <c r="I18885">
        <v>99891811</v>
      </c>
    </row>
    <row r="18886" spans="1:9" x14ac:dyDescent="0.2">
      <c r="A18886" s="1" t="str">
        <f>"TSPAN7"</f>
        <v>TSPAN7</v>
      </c>
      <c r="B18886" t="s">
        <v>14</v>
      </c>
      <c r="C18886" t="s">
        <v>37</v>
      </c>
      <c r="D18886" t="s">
        <v>17</v>
      </c>
      <c r="E18886" t="s">
        <v>12</v>
      </c>
      <c r="F18886">
        <v>38420783</v>
      </c>
      <c r="G18886">
        <v>38420805</v>
      </c>
      <c r="H18886">
        <v>38420756</v>
      </c>
      <c r="I18886">
        <v>38420774</v>
      </c>
    </row>
    <row r="18887" spans="1:9" x14ac:dyDescent="0.2">
      <c r="A18887" s="1" t="str">
        <f>"TSPAN8"</f>
        <v>TSPAN8</v>
      </c>
      <c r="B18887" t="s">
        <v>14</v>
      </c>
      <c r="C18887" t="s">
        <v>16</v>
      </c>
      <c r="D18887" t="s">
        <v>11</v>
      </c>
      <c r="E18887" t="s">
        <v>12</v>
      </c>
      <c r="F18887">
        <v>71551564</v>
      </c>
      <c r="G18887">
        <v>71551596</v>
      </c>
      <c r="H18887">
        <v>71551772</v>
      </c>
      <c r="I18887">
        <v>71551786</v>
      </c>
    </row>
    <row r="18888" spans="1:9" x14ac:dyDescent="0.2">
      <c r="A18888" s="1" t="str">
        <f>"TSPAN9"</f>
        <v>TSPAN9</v>
      </c>
      <c r="B18888" t="s">
        <v>14</v>
      </c>
      <c r="C18888" t="s">
        <v>16</v>
      </c>
      <c r="D18888" t="s">
        <v>17</v>
      </c>
      <c r="E18888" t="s">
        <v>12</v>
      </c>
      <c r="F18888">
        <v>3186526</v>
      </c>
      <c r="G18888">
        <v>3186575</v>
      </c>
      <c r="H18888">
        <v>3186576</v>
      </c>
      <c r="I18888">
        <v>3186599</v>
      </c>
    </row>
    <row r="18889" spans="1:9" x14ac:dyDescent="0.2">
      <c r="A18889" s="1" t="str">
        <f>"TSPEAR"</f>
        <v>TSPEAR</v>
      </c>
      <c r="B18889" t="s">
        <v>14</v>
      </c>
      <c r="C18889" t="s">
        <v>42</v>
      </c>
      <c r="D18889" t="s">
        <v>11</v>
      </c>
      <c r="E18889" t="s">
        <v>12</v>
      </c>
      <c r="F18889">
        <v>46131470</v>
      </c>
      <c r="G18889">
        <v>46131492</v>
      </c>
      <c r="H18889">
        <v>46131646</v>
      </c>
      <c r="I18889">
        <v>46131651</v>
      </c>
    </row>
    <row r="18890" spans="1:9" x14ac:dyDescent="0.2">
      <c r="A18890" s="1" t="str">
        <f>"TSPO"</f>
        <v>TSPO</v>
      </c>
      <c r="B18890" t="s">
        <v>14</v>
      </c>
      <c r="C18890" t="s">
        <v>21</v>
      </c>
      <c r="D18890" t="s">
        <v>17</v>
      </c>
      <c r="E18890" t="s">
        <v>12</v>
      </c>
      <c r="F18890">
        <v>43547533</v>
      </c>
      <c r="G18890">
        <v>43547590</v>
      </c>
      <c r="H18890">
        <v>43547877</v>
      </c>
      <c r="I18890">
        <v>43547911</v>
      </c>
    </row>
    <row r="18891" spans="1:9" x14ac:dyDescent="0.2">
      <c r="A18891" s="1" t="str">
        <f>"TSPO2"</f>
        <v>TSPO2</v>
      </c>
      <c r="B18891" t="s">
        <v>14</v>
      </c>
      <c r="C18891" t="s">
        <v>32</v>
      </c>
      <c r="D18891" t="s">
        <v>17</v>
      </c>
      <c r="E18891" t="s">
        <v>12</v>
      </c>
      <c r="F18891">
        <v>41010200</v>
      </c>
      <c r="G18891">
        <v>41010223</v>
      </c>
      <c r="H18891">
        <v>41010295</v>
      </c>
      <c r="I18891">
        <v>41010314</v>
      </c>
    </row>
    <row r="18892" spans="1:9" x14ac:dyDescent="0.2">
      <c r="A18892" s="1" t="str">
        <f>"TSPY1"</f>
        <v>TSPY1</v>
      </c>
      <c r="B18892" t="s">
        <v>14</v>
      </c>
      <c r="C18892" t="s">
        <v>63</v>
      </c>
      <c r="D18892" t="s">
        <v>17</v>
      </c>
      <c r="E18892" t="s">
        <v>67</v>
      </c>
      <c r="F18892">
        <v>9304916</v>
      </c>
      <c r="G18892">
        <v>9304924</v>
      </c>
      <c r="H18892">
        <v>9304916</v>
      </c>
      <c r="I18892">
        <v>9304924</v>
      </c>
    </row>
    <row r="18893" spans="1:9" x14ac:dyDescent="0.2">
      <c r="A18893" s="1" t="str">
        <f>"TSPY10"</f>
        <v>TSPY10</v>
      </c>
      <c r="B18893" t="s">
        <v>1768</v>
      </c>
      <c r="C18893" t="s">
        <v>63</v>
      </c>
      <c r="D18893" t="s">
        <v>17</v>
      </c>
      <c r="E18893" t="s">
        <v>20</v>
      </c>
      <c r="F18893">
        <v>9365511</v>
      </c>
      <c r="G18893">
        <v>9365511</v>
      </c>
      <c r="H18893">
        <v>9365511</v>
      </c>
      <c r="I18893">
        <v>9365511</v>
      </c>
    </row>
    <row r="18894" spans="1:9" x14ac:dyDescent="0.2">
      <c r="A18894" s="1" t="str">
        <f>"TSPY2"</f>
        <v>TSPY2</v>
      </c>
      <c r="B18894" t="s">
        <v>1769</v>
      </c>
      <c r="C18894" t="s">
        <v>63</v>
      </c>
      <c r="D18894" t="s">
        <v>17</v>
      </c>
      <c r="E18894" t="s">
        <v>20</v>
      </c>
      <c r="F18894">
        <v>6114286</v>
      </c>
      <c r="G18894">
        <v>6114286</v>
      </c>
      <c r="H18894">
        <v>6114286</v>
      </c>
      <c r="I18894">
        <v>6114286</v>
      </c>
    </row>
    <row r="18895" spans="1:9" x14ac:dyDescent="0.2">
      <c r="A18895" s="1" t="str">
        <f>"TSPY3"</f>
        <v>TSPY3</v>
      </c>
      <c r="B18895" t="s">
        <v>1770</v>
      </c>
      <c r="C18895" t="s">
        <v>63</v>
      </c>
      <c r="D18895" t="s">
        <v>17</v>
      </c>
      <c r="E18895" t="s">
        <v>20</v>
      </c>
      <c r="F18895">
        <v>9236052</v>
      </c>
      <c r="G18895">
        <v>9236052</v>
      </c>
      <c r="H18895">
        <v>9236052</v>
      </c>
      <c r="I18895">
        <v>9236052</v>
      </c>
    </row>
    <row r="18896" spans="1:9" x14ac:dyDescent="0.2">
      <c r="A18896" s="1" t="str">
        <f>"TSPY4"</f>
        <v>TSPY4</v>
      </c>
      <c r="B18896" t="s">
        <v>14</v>
      </c>
      <c r="C18896" t="s">
        <v>63</v>
      </c>
      <c r="D18896" t="s">
        <v>17</v>
      </c>
      <c r="E18896" t="s">
        <v>12</v>
      </c>
      <c r="F18896">
        <v>9195450</v>
      </c>
      <c r="G18896">
        <v>9195471</v>
      </c>
      <c r="H18896">
        <v>9195450</v>
      </c>
      <c r="I18896">
        <v>9195471</v>
      </c>
    </row>
    <row r="18897" spans="1:9" x14ac:dyDescent="0.2">
      <c r="A18897" s="1" t="str">
        <f>"TSPY8"</f>
        <v>TSPY8</v>
      </c>
      <c r="B18897" t="s">
        <v>14</v>
      </c>
      <c r="C18897" t="s">
        <v>63</v>
      </c>
      <c r="D18897" t="s">
        <v>17</v>
      </c>
      <c r="E18897" t="s">
        <v>12</v>
      </c>
      <c r="F18897">
        <v>9195450</v>
      </c>
      <c r="G18897">
        <v>9195471</v>
      </c>
      <c r="H18897">
        <v>9195450</v>
      </c>
      <c r="I18897">
        <v>9195471</v>
      </c>
    </row>
    <row r="18898" spans="1:9" x14ac:dyDescent="0.2">
      <c r="A18898" s="1" t="str">
        <f>"TSPYL1"</f>
        <v>TSPYL1</v>
      </c>
      <c r="B18898" t="s">
        <v>14</v>
      </c>
      <c r="C18898" t="s">
        <v>32</v>
      </c>
      <c r="D18898" t="s">
        <v>11</v>
      </c>
      <c r="E18898" t="s">
        <v>12</v>
      </c>
      <c r="F18898">
        <v>116601044</v>
      </c>
      <c r="G18898">
        <v>116601106</v>
      </c>
      <c r="H18898">
        <v>116601044</v>
      </c>
      <c r="I18898">
        <v>116601106</v>
      </c>
    </row>
    <row r="18899" spans="1:9" x14ac:dyDescent="0.2">
      <c r="A18899" s="1" t="str">
        <f>"TSPYL2"</f>
        <v>TSPYL2</v>
      </c>
      <c r="B18899" t="s">
        <v>14</v>
      </c>
      <c r="C18899" t="s">
        <v>37</v>
      </c>
      <c r="D18899" t="s">
        <v>17</v>
      </c>
      <c r="E18899" t="s">
        <v>12</v>
      </c>
      <c r="F18899">
        <v>53111541</v>
      </c>
      <c r="G18899">
        <v>53111556</v>
      </c>
      <c r="H18899">
        <v>53111541</v>
      </c>
      <c r="I18899">
        <v>53111556</v>
      </c>
    </row>
    <row r="18900" spans="1:9" x14ac:dyDescent="0.2">
      <c r="A18900" s="1" t="str">
        <f>"TSPYL4"</f>
        <v>TSPYL4</v>
      </c>
      <c r="B18900" t="s">
        <v>14</v>
      </c>
      <c r="C18900" t="s">
        <v>32</v>
      </c>
      <c r="D18900" t="s">
        <v>11</v>
      </c>
      <c r="E18900" t="s">
        <v>12</v>
      </c>
      <c r="F18900">
        <v>116575226</v>
      </c>
      <c r="G18900">
        <v>116575278</v>
      </c>
      <c r="H18900">
        <v>116575285</v>
      </c>
      <c r="I18900">
        <v>116575296</v>
      </c>
    </row>
    <row r="18901" spans="1:9" x14ac:dyDescent="0.2">
      <c r="A18901" s="1" t="str">
        <f>"TSPYL5"</f>
        <v>TSPYL5</v>
      </c>
      <c r="B18901" t="s">
        <v>14</v>
      </c>
      <c r="C18901" t="s">
        <v>30</v>
      </c>
      <c r="D18901" t="s">
        <v>11</v>
      </c>
      <c r="E18901" t="s">
        <v>12</v>
      </c>
      <c r="F18901">
        <v>98290087</v>
      </c>
      <c r="G18901">
        <v>98290197</v>
      </c>
      <c r="H18901">
        <v>98290087</v>
      </c>
      <c r="I18901">
        <v>98290197</v>
      </c>
    </row>
    <row r="18902" spans="1:9" x14ac:dyDescent="0.2">
      <c r="A18902" s="1" t="str">
        <f>"TSPYL6"</f>
        <v>TSPYL6</v>
      </c>
      <c r="B18902" t="s">
        <v>14</v>
      </c>
      <c r="C18902" t="s">
        <v>26</v>
      </c>
      <c r="D18902" t="s">
        <v>11</v>
      </c>
      <c r="E18902" t="s">
        <v>12</v>
      </c>
      <c r="F18902">
        <v>54483352</v>
      </c>
      <c r="G18902">
        <v>54483376</v>
      </c>
      <c r="H18902">
        <v>54483339</v>
      </c>
      <c r="I18902">
        <v>54483348</v>
      </c>
    </row>
    <row r="18903" spans="1:9" x14ac:dyDescent="0.2">
      <c r="A18903" s="1" t="str">
        <f>"TSR1"</f>
        <v>TSR1</v>
      </c>
      <c r="B18903" t="s">
        <v>9</v>
      </c>
      <c r="C18903" t="s">
        <v>28</v>
      </c>
      <c r="D18903" t="s">
        <v>11</v>
      </c>
      <c r="E18903" t="s">
        <v>12</v>
      </c>
      <c r="F18903">
        <v>2239729</v>
      </c>
      <c r="G18903">
        <v>2239758</v>
      </c>
      <c r="H18903">
        <v>2239729</v>
      </c>
      <c r="I18903">
        <v>2239758</v>
      </c>
    </row>
    <row r="18904" spans="1:9" x14ac:dyDescent="0.2">
      <c r="A18904" s="1" t="str">
        <f>"TSR1"</f>
        <v>TSR1</v>
      </c>
      <c r="B18904" t="s">
        <v>13</v>
      </c>
      <c r="C18904" t="s">
        <v>28</v>
      </c>
      <c r="D18904" t="s">
        <v>11</v>
      </c>
      <c r="E18904" t="s">
        <v>12</v>
      </c>
      <c r="F18904">
        <v>2241268</v>
      </c>
      <c r="G18904">
        <v>2241289</v>
      </c>
      <c r="H18904">
        <v>2241268</v>
      </c>
      <c r="I18904">
        <v>2241289</v>
      </c>
    </row>
    <row r="18905" spans="1:9" x14ac:dyDescent="0.2">
      <c r="A18905" s="1" t="str">
        <f>"TSR2"</f>
        <v>TSR2</v>
      </c>
      <c r="B18905" t="s">
        <v>14</v>
      </c>
      <c r="C18905" t="s">
        <v>37</v>
      </c>
      <c r="D18905" t="s">
        <v>17</v>
      </c>
      <c r="E18905" t="s">
        <v>12</v>
      </c>
      <c r="F18905">
        <v>54466829</v>
      </c>
      <c r="G18905">
        <v>54466859</v>
      </c>
      <c r="H18905">
        <v>54466829</v>
      </c>
      <c r="I18905">
        <v>54466859</v>
      </c>
    </row>
    <row r="18906" spans="1:9" x14ac:dyDescent="0.2">
      <c r="A18906" s="1" t="str">
        <f>"TSR3"</f>
        <v>TSR3</v>
      </c>
      <c r="B18906" t="s">
        <v>14</v>
      </c>
      <c r="C18906" t="s">
        <v>31</v>
      </c>
      <c r="D18906" t="s">
        <v>11</v>
      </c>
      <c r="E18906" t="s">
        <v>12</v>
      </c>
      <c r="F18906">
        <v>1401799</v>
      </c>
      <c r="G18906">
        <v>1401896</v>
      </c>
      <c r="H18906">
        <v>1401898</v>
      </c>
      <c r="I18906">
        <v>1401915</v>
      </c>
    </row>
    <row r="18907" spans="1:9" x14ac:dyDescent="0.2">
      <c r="A18907" s="1" t="str">
        <f>"TSSC1"</f>
        <v>TSSC1</v>
      </c>
      <c r="B18907" t="s">
        <v>14</v>
      </c>
      <c r="C18907" t="s">
        <v>26</v>
      </c>
      <c r="D18907" t="s">
        <v>11</v>
      </c>
      <c r="E18907" t="s">
        <v>12</v>
      </c>
      <c r="F18907">
        <v>3381575</v>
      </c>
      <c r="G18907">
        <v>3381635</v>
      </c>
      <c r="H18907">
        <v>3381646</v>
      </c>
      <c r="I18907">
        <v>3381653</v>
      </c>
    </row>
    <row r="18908" spans="1:9" x14ac:dyDescent="0.2">
      <c r="A18908" s="1" t="str">
        <f>"TSSC4"</f>
        <v>TSSC4</v>
      </c>
      <c r="B18908" t="s">
        <v>14</v>
      </c>
      <c r="C18908" t="s">
        <v>27</v>
      </c>
      <c r="D18908" t="s">
        <v>17</v>
      </c>
      <c r="E18908" t="s">
        <v>12</v>
      </c>
      <c r="F18908">
        <v>2421953</v>
      </c>
      <c r="G18908">
        <v>2422010</v>
      </c>
      <c r="H18908">
        <v>2422011</v>
      </c>
      <c r="I18908">
        <v>2422022</v>
      </c>
    </row>
    <row r="18909" spans="1:9" x14ac:dyDescent="0.2">
      <c r="A18909" s="1" t="str">
        <f>"TSSK1B"</f>
        <v>TSSK1B</v>
      </c>
      <c r="B18909" t="s">
        <v>14</v>
      </c>
      <c r="C18909" t="s">
        <v>46</v>
      </c>
      <c r="D18909" t="s">
        <v>11</v>
      </c>
      <c r="E18909" t="s">
        <v>12</v>
      </c>
      <c r="F18909">
        <v>112770674</v>
      </c>
      <c r="G18909">
        <v>112770691</v>
      </c>
      <c r="H18909">
        <v>112770653</v>
      </c>
      <c r="I18909">
        <v>112770671</v>
      </c>
    </row>
    <row r="18910" spans="1:9" x14ac:dyDescent="0.2">
      <c r="A18910" s="1" t="str">
        <f>"TSSK2"</f>
        <v>TSSK2</v>
      </c>
      <c r="B18910" t="s">
        <v>14</v>
      </c>
      <c r="C18910" t="s">
        <v>21</v>
      </c>
      <c r="D18910" t="s">
        <v>17</v>
      </c>
      <c r="E18910" t="s">
        <v>12</v>
      </c>
      <c r="F18910">
        <v>19118784</v>
      </c>
      <c r="G18910">
        <v>19118827</v>
      </c>
      <c r="H18910">
        <v>19118784</v>
      </c>
      <c r="I18910">
        <v>19118827</v>
      </c>
    </row>
    <row r="18911" spans="1:9" x14ac:dyDescent="0.2">
      <c r="A18911" s="1" t="str">
        <f>"TSSK3"</f>
        <v>TSSK3</v>
      </c>
      <c r="B18911" t="s">
        <v>14</v>
      </c>
      <c r="C18911" t="s">
        <v>19</v>
      </c>
      <c r="D18911" t="s">
        <v>17</v>
      </c>
      <c r="E18911" t="s">
        <v>12</v>
      </c>
      <c r="F18911">
        <v>32828138</v>
      </c>
      <c r="G18911">
        <v>32828142</v>
      </c>
      <c r="H18911">
        <v>32827759</v>
      </c>
      <c r="I18911">
        <v>32827784</v>
      </c>
    </row>
    <row r="18912" spans="1:9" x14ac:dyDescent="0.2">
      <c r="A18912" s="1" t="str">
        <f>"TSSK4"</f>
        <v>TSSK4</v>
      </c>
      <c r="B18912" t="s">
        <v>14</v>
      </c>
      <c r="C18912" t="s">
        <v>41</v>
      </c>
      <c r="D18912" t="s">
        <v>17</v>
      </c>
      <c r="E18912" t="s">
        <v>12</v>
      </c>
      <c r="F18912">
        <v>24674891</v>
      </c>
      <c r="G18912">
        <v>24674910</v>
      </c>
      <c r="H18912">
        <v>24674932</v>
      </c>
      <c r="I18912">
        <v>24674943</v>
      </c>
    </row>
    <row r="18913" spans="1:9" x14ac:dyDescent="0.2">
      <c r="A18913" s="1" t="str">
        <f>"TSSK6"</f>
        <v>TSSK6</v>
      </c>
      <c r="B18913" t="s">
        <v>14</v>
      </c>
      <c r="C18913" t="s">
        <v>10</v>
      </c>
      <c r="D18913" t="s">
        <v>11</v>
      </c>
      <c r="E18913" t="s">
        <v>12</v>
      </c>
      <c r="F18913">
        <v>19626951</v>
      </c>
      <c r="G18913">
        <v>19626991</v>
      </c>
      <c r="H18913">
        <v>19626351</v>
      </c>
      <c r="I18913">
        <v>19626365</v>
      </c>
    </row>
    <row r="18914" spans="1:9" x14ac:dyDescent="0.2">
      <c r="A18914" s="1" t="str">
        <f>"TST"</f>
        <v>TST</v>
      </c>
      <c r="B18914" t="s">
        <v>14</v>
      </c>
      <c r="C18914" t="s">
        <v>21</v>
      </c>
      <c r="D18914" t="s">
        <v>11</v>
      </c>
      <c r="E18914" t="s">
        <v>12</v>
      </c>
      <c r="F18914">
        <v>37415475</v>
      </c>
      <c r="G18914">
        <v>37415495</v>
      </c>
      <c r="H18914">
        <v>37415754</v>
      </c>
      <c r="I18914">
        <v>37415793</v>
      </c>
    </row>
    <row r="18915" spans="1:9" x14ac:dyDescent="0.2">
      <c r="A18915" s="1" t="str">
        <f>"TSTA3"</f>
        <v>TSTA3</v>
      </c>
      <c r="B18915" t="s">
        <v>14</v>
      </c>
      <c r="C18915" t="s">
        <v>30</v>
      </c>
      <c r="D18915" t="s">
        <v>11</v>
      </c>
      <c r="E18915" t="s">
        <v>12</v>
      </c>
      <c r="F18915">
        <v>144699668</v>
      </c>
      <c r="G18915">
        <v>144699737</v>
      </c>
      <c r="H18915">
        <v>144699628</v>
      </c>
      <c r="I18915">
        <v>144699656</v>
      </c>
    </row>
    <row r="18916" spans="1:9" x14ac:dyDescent="0.2">
      <c r="A18916" s="1" t="str">
        <f>"TSTD1"</f>
        <v>TSTD1</v>
      </c>
      <c r="B18916" t="s">
        <v>14</v>
      </c>
      <c r="C18916" t="s">
        <v>19</v>
      </c>
      <c r="D18916" t="s">
        <v>11</v>
      </c>
      <c r="E18916" t="s">
        <v>12</v>
      </c>
      <c r="F18916">
        <v>161008697</v>
      </c>
      <c r="G18916">
        <v>161008793</v>
      </c>
      <c r="H18916">
        <v>161008535</v>
      </c>
      <c r="I18916">
        <v>161008561</v>
      </c>
    </row>
    <row r="18917" spans="1:9" x14ac:dyDescent="0.2">
      <c r="A18917" s="1" t="str">
        <f>"TSTD2"</f>
        <v>TSTD2</v>
      </c>
      <c r="B18917" t="s">
        <v>14</v>
      </c>
      <c r="C18917" t="s">
        <v>24</v>
      </c>
      <c r="D18917" t="s">
        <v>11</v>
      </c>
      <c r="E18917" t="s">
        <v>12</v>
      </c>
      <c r="F18917">
        <v>100395625</v>
      </c>
      <c r="G18917">
        <v>100395682</v>
      </c>
      <c r="H18917">
        <v>100395590</v>
      </c>
      <c r="I18917">
        <v>100395614</v>
      </c>
    </row>
    <row r="18918" spans="1:9" x14ac:dyDescent="0.2">
      <c r="A18918" s="1" t="str">
        <f>"TSTD3"</f>
        <v>TSTD3</v>
      </c>
      <c r="B18918" t="s">
        <v>14</v>
      </c>
      <c r="C18918" t="s">
        <v>32</v>
      </c>
      <c r="D18918" t="s">
        <v>17</v>
      </c>
      <c r="E18918" t="s">
        <v>67</v>
      </c>
      <c r="F18918">
        <v>99968903</v>
      </c>
      <c r="G18918">
        <v>99968955</v>
      </c>
      <c r="H18918">
        <v>99968844</v>
      </c>
      <c r="I18918">
        <v>99968880</v>
      </c>
    </row>
    <row r="18919" spans="1:9" x14ac:dyDescent="0.2">
      <c r="A18919" s="1" t="str">
        <f>"TTBK1"</f>
        <v>TTBK1</v>
      </c>
      <c r="B18919" t="s">
        <v>14</v>
      </c>
      <c r="C18919" t="s">
        <v>32</v>
      </c>
      <c r="D18919" t="s">
        <v>17</v>
      </c>
      <c r="E18919" t="s">
        <v>12</v>
      </c>
      <c r="F18919">
        <v>43211206</v>
      </c>
      <c r="G18919">
        <v>43211256</v>
      </c>
      <c r="H18919">
        <v>43211379</v>
      </c>
      <c r="I18919">
        <v>43211425</v>
      </c>
    </row>
    <row r="18920" spans="1:9" x14ac:dyDescent="0.2">
      <c r="A18920" s="1" t="str">
        <f>"TTBK2"</f>
        <v>TTBK2</v>
      </c>
      <c r="B18920" t="s">
        <v>14</v>
      </c>
      <c r="C18920" t="s">
        <v>25</v>
      </c>
      <c r="D18920" t="s">
        <v>11</v>
      </c>
      <c r="E18920" t="s">
        <v>12</v>
      </c>
      <c r="F18920">
        <v>43212965</v>
      </c>
      <c r="G18920">
        <v>43212991</v>
      </c>
      <c r="H18920">
        <v>43212996</v>
      </c>
      <c r="I18920">
        <v>43213013</v>
      </c>
    </row>
    <row r="18921" spans="1:9" x14ac:dyDescent="0.2">
      <c r="A18921" s="1" t="str">
        <f>"TTC1"</f>
        <v>TTC1</v>
      </c>
      <c r="B18921" t="s">
        <v>14</v>
      </c>
      <c r="C18921" t="s">
        <v>46</v>
      </c>
      <c r="D18921" t="s">
        <v>17</v>
      </c>
      <c r="E18921" t="s">
        <v>12</v>
      </c>
      <c r="F18921">
        <v>159436128</v>
      </c>
      <c r="G18921">
        <v>159436176</v>
      </c>
      <c r="H18921">
        <v>159436128</v>
      </c>
      <c r="I18921">
        <v>159436176</v>
      </c>
    </row>
    <row r="18922" spans="1:9" x14ac:dyDescent="0.2">
      <c r="A18922" s="1" t="str">
        <f>"TTC12"</f>
        <v>TTC12</v>
      </c>
      <c r="B18922" t="s">
        <v>14</v>
      </c>
      <c r="C18922" t="s">
        <v>27</v>
      </c>
      <c r="D18922" t="s">
        <v>17</v>
      </c>
      <c r="E18922" t="s">
        <v>12</v>
      </c>
      <c r="F18922">
        <v>113185292</v>
      </c>
      <c r="G18922">
        <v>113185325</v>
      </c>
      <c r="H18922">
        <v>113185267</v>
      </c>
      <c r="I18922">
        <v>113185278</v>
      </c>
    </row>
    <row r="18923" spans="1:9" x14ac:dyDescent="0.2">
      <c r="A18923" s="1" t="str">
        <f>"TTC13"</f>
        <v>TTC13</v>
      </c>
      <c r="B18923" t="s">
        <v>14</v>
      </c>
      <c r="C18923" t="s">
        <v>19</v>
      </c>
      <c r="D18923" t="s">
        <v>11</v>
      </c>
      <c r="E18923" t="s">
        <v>12</v>
      </c>
      <c r="F18923">
        <v>231114568</v>
      </c>
      <c r="G18923">
        <v>231114628</v>
      </c>
      <c r="H18923">
        <v>231114658</v>
      </c>
      <c r="I18923">
        <v>231114667</v>
      </c>
    </row>
    <row r="18924" spans="1:9" x14ac:dyDescent="0.2">
      <c r="A18924" s="1" t="str">
        <f>"TTC14"</f>
        <v>TTC14</v>
      </c>
      <c r="B18924" t="s">
        <v>14</v>
      </c>
      <c r="C18924" t="s">
        <v>22</v>
      </c>
      <c r="D18924" t="s">
        <v>17</v>
      </c>
      <c r="E18924" t="s">
        <v>12</v>
      </c>
      <c r="F18924">
        <v>180319943</v>
      </c>
      <c r="G18924">
        <v>180320020</v>
      </c>
      <c r="H18924">
        <v>180320034</v>
      </c>
      <c r="I18924">
        <v>180320043</v>
      </c>
    </row>
    <row r="18925" spans="1:9" x14ac:dyDescent="0.2">
      <c r="A18925" s="1" t="str">
        <f>"TTC16"</f>
        <v>TTC16</v>
      </c>
      <c r="B18925" t="s">
        <v>14</v>
      </c>
      <c r="C18925" t="s">
        <v>24</v>
      </c>
      <c r="D18925" t="s">
        <v>17</v>
      </c>
      <c r="E18925" t="s">
        <v>12</v>
      </c>
      <c r="F18925">
        <v>130482537</v>
      </c>
      <c r="G18925">
        <v>130482559</v>
      </c>
      <c r="H18925">
        <v>130482517</v>
      </c>
      <c r="I18925">
        <v>130482528</v>
      </c>
    </row>
    <row r="18926" spans="1:9" x14ac:dyDescent="0.2">
      <c r="A18926" s="1" t="str">
        <f>"TTC17"</f>
        <v>TTC17</v>
      </c>
      <c r="B18926" t="s">
        <v>14</v>
      </c>
      <c r="C18926" t="s">
        <v>27</v>
      </c>
      <c r="D18926" t="s">
        <v>17</v>
      </c>
      <c r="E18926" t="s">
        <v>12</v>
      </c>
      <c r="F18926">
        <v>43380459</v>
      </c>
      <c r="G18926">
        <v>43380537</v>
      </c>
      <c r="H18926">
        <v>43380605</v>
      </c>
      <c r="I18926">
        <v>43380617</v>
      </c>
    </row>
    <row r="18927" spans="1:9" x14ac:dyDescent="0.2">
      <c r="A18927" s="1" t="str">
        <f>"TTC18"</f>
        <v>TTC18</v>
      </c>
      <c r="B18927" t="s">
        <v>14</v>
      </c>
      <c r="C18927" t="s">
        <v>15</v>
      </c>
      <c r="D18927" t="s">
        <v>11</v>
      </c>
      <c r="E18927" t="s">
        <v>12</v>
      </c>
      <c r="F18927">
        <v>75118471</v>
      </c>
      <c r="G18927">
        <v>75118533</v>
      </c>
      <c r="H18927">
        <v>75118611</v>
      </c>
      <c r="I18927">
        <v>75118626</v>
      </c>
    </row>
    <row r="18928" spans="1:9" x14ac:dyDescent="0.2">
      <c r="A18928" s="1" t="str">
        <f>"TTC19"</f>
        <v>TTC19</v>
      </c>
      <c r="B18928" t="s">
        <v>14</v>
      </c>
      <c r="C18928" t="s">
        <v>28</v>
      </c>
      <c r="D18928" t="s">
        <v>17</v>
      </c>
      <c r="E18928" t="s">
        <v>12</v>
      </c>
      <c r="F18928">
        <v>15903129</v>
      </c>
      <c r="G18928">
        <v>15903144</v>
      </c>
      <c r="H18928">
        <v>15903078</v>
      </c>
      <c r="I18928">
        <v>15903090</v>
      </c>
    </row>
    <row r="18929" spans="1:9" x14ac:dyDescent="0.2">
      <c r="A18929" s="1" t="str">
        <f>"TTC21A"</f>
        <v>TTC21A</v>
      </c>
      <c r="B18929" t="s">
        <v>14</v>
      </c>
      <c r="C18929" t="s">
        <v>22</v>
      </c>
      <c r="D18929" t="s">
        <v>17</v>
      </c>
      <c r="E18929" t="s">
        <v>12</v>
      </c>
      <c r="F18929">
        <v>39149145</v>
      </c>
      <c r="G18929">
        <v>39149266</v>
      </c>
      <c r="H18929">
        <v>39149145</v>
      </c>
      <c r="I18929">
        <v>39149266</v>
      </c>
    </row>
    <row r="18930" spans="1:9" x14ac:dyDescent="0.2">
      <c r="A18930" s="1" t="str">
        <f>"TTC21B"</f>
        <v>TTC21B</v>
      </c>
      <c r="B18930" t="s">
        <v>14</v>
      </c>
      <c r="C18930" t="s">
        <v>26</v>
      </c>
      <c r="D18930" t="s">
        <v>11</v>
      </c>
      <c r="E18930" t="s">
        <v>12</v>
      </c>
      <c r="F18930">
        <v>166810261</v>
      </c>
      <c r="G18930">
        <v>166810351</v>
      </c>
      <c r="H18930">
        <v>166810500</v>
      </c>
      <c r="I18930">
        <v>166810510</v>
      </c>
    </row>
    <row r="18931" spans="1:9" x14ac:dyDescent="0.2">
      <c r="A18931" s="1" t="str">
        <f>"TTC22"</f>
        <v>TTC22</v>
      </c>
      <c r="B18931" t="s">
        <v>14</v>
      </c>
      <c r="C18931" t="s">
        <v>19</v>
      </c>
      <c r="D18931" t="s">
        <v>11</v>
      </c>
      <c r="E18931" t="s">
        <v>12</v>
      </c>
      <c r="F18931">
        <v>55266962</v>
      </c>
      <c r="G18931">
        <v>55267003</v>
      </c>
      <c r="H18931">
        <v>55266926</v>
      </c>
      <c r="I18931">
        <v>55266958</v>
      </c>
    </row>
    <row r="18932" spans="1:9" x14ac:dyDescent="0.2">
      <c r="A18932" s="1" t="str">
        <f>"TTC23"</f>
        <v>TTC23</v>
      </c>
      <c r="B18932" t="s">
        <v>9</v>
      </c>
      <c r="C18932" t="s">
        <v>25</v>
      </c>
      <c r="D18932" t="s">
        <v>11</v>
      </c>
      <c r="E18932" t="s">
        <v>12</v>
      </c>
      <c r="F18932">
        <v>99789749</v>
      </c>
      <c r="G18932">
        <v>99789820</v>
      </c>
      <c r="H18932">
        <v>99789749</v>
      </c>
      <c r="I18932">
        <v>99789820</v>
      </c>
    </row>
    <row r="18933" spans="1:9" x14ac:dyDescent="0.2">
      <c r="A18933" s="1" t="str">
        <f>"TTC23"</f>
        <v>TTC23</v>
      </c>
      <c r="B18933" t="s">
        <v>13</v>
      </c>
      <c r="C18933" t="s">
        <v>25</v>
      </c>
      <c r="D18933" t="s">
        <v>11</v>
      </c>
      <c r="E18933" t="s">
        <v>12</v>
      </c>
      <c r="F18933">
        <v>99791413</v>
      </c>
      <c r="G18933">
        <v>99791437</v>
      </c>
      <c r="H18933">
        <v>99791413</v>
      </c>
      <c r="I18933">
        <v>99791437</v>
      </c>
    </row>
    <row r="18934" spans="1:9" x14ac:dyDescent="0.2">
      <c r="A18934" s="1" t="str">
        <f>"TTC23L"</f>
        <v>TTC23L</v>
      </c>
      <c r="B18934" t="s">
        <v>14</v>
      </c>
      <c r="C18934" t="s">
        <v>46</v>
      </c>
      <c r="D18934" t="s">
        <v>17</v>
      </c>
      <c r="E18934" t="s">
        <v>12</v>
      </c>
      <c r="F18934">
        <v>34839260</v>
      </c>
      <c r="G18934">
        <v>34839339</v>
      </c>
      <c r="H18934">
        <v>34839468</v>
      </c>
      <c r="I18934">
        <v>34839506</v>
      </c>
    </row>
    <row r="18935" spans="1:9" x14ac:dyDescent="0.2">
      <c r="A18935" s="1" t="str">
        <f>"TTC24"</f>
        <v>TTC24</v>
      </c>
      <c r="B18935" t="s">
        <v>14</v>
      </c>
      <c r="C18935" t="s">
        <v>19</v>
      </c>
      <c r="D18935" t="s">
        <v>17</v>
      </c>
      <c r="E18935" t="s">
        <v>12</v>
      </c>
      <c r="F18935">
        <v>156551792</v>
      </c>
      <c r="G18935">
        <v>156551837</v>
      </c>
      <c r="H18935">
        <v>156551839</v>
      </c>
      <c r="I18935">
        <v>156551859</v>
      </c>
    </row>
    <row r="18936" spans="1:9" x14ac:dyDescent="0.2">
      <c r="A18936" s="1" t="str">
        <f>"TTC25"</f>
        <v>TTC25</v>
      </c>
      <c r="B18936" t="s">
        <v>14</v>
      </c>
      <c r="C18936" t="s">
        <v>28</v>
      </c>
      <c r="D18936" t="s">
        <v>17</v>
      </c>
      <c r="E18936" t="s">
        <v>12</v>
      </c>
      <c r="F18936">
        <v>40086852</v>
      </c>
      <c r="G18936">
        <v>40086934</v>
      </c>
      <c r="H18936">
        <v>40086792</v>
      </c>
      <c r="I18936">
        <v>40086796</v>
      </c>
    </row>
    <row r="18937" spans="1:9" x14ac:dyDescent="0.2">
      <c r="A18937" s="1" t="str">
        <f>"TTC26"</f>
        <v>TTC26</v>
      </c>
      <c r="B18937" t="s">
        <v>14</v>
      </c>
      <c r="C18937" t="s">
        <v>33</v>
      </c>
      <c r="D18937" t="s">
        <v>17</v>
      </c>
      <c r="E18937" t="s">
        <v>12</v>
      </c>
      <c r="F18937">
        <v>138818493</v>
      </c>
      <c r="G18937">
        <v>138818541</v>
      </c>
      <c r="H18937">
        <v>138818493</v>
      </c>
      <c r="I18937">
        <v>138818541</v>
      </c>
    </row>
    <row r="18938" spans="1:9" x14ac:dyDescent="0.2">
      <c r="A18938" s="1" t="str">
        <f>"TTC27"</f>
        <v>TTC27</v>
      </c>
      <c r="B18938" t="s">
        <v>14</v>
      </c>
      <c r="C18938" t="s">
        <v>26</v>
      </c>
      <c r="D18938" t="s">
        <v>17</v>
      </c>
      <c r="E18938" t="s">
        <v>12</v>
      </c>
      <c r="F18938">
        <v>32853135</v>
      </c>
      <c r="G18938">
        <v>32853189</v>
      </c>
      <c r="H18938">
        <v>32853093</v>
      </c>
      <c r="I18938">
        <v>32853127</v>
      </c>
    </row>
    <row r="18939" spans="1:9" x14ac:dyDescent="0.2">
      <c r="A18939" s="1" t="str">
        <f>"TTC28"</f>
        <v>TTC28</v>
      </c>
      <c r="B18939" t="s">
        <v>1771</v>
      </c>
      <c r="C18939" t="s">
        <v>21</v>
      </c>
      <c r="D18939" t="s">
        <v>11</v>
      </c>
      <c r="E18939" t="s">
        <v>35</v>
      </c>
      <c r="F18939">
        <v>29075885</v>
      </c>
      <c r="G18939">
        <v>29075893</v>
      </c>
      <c r="H18939">
        <v>29075730</v>
      </c>
      <c r="I18939">
        <v>29075751</v>
      </c>
    </row>
    <row r="18940" spans="1:9" x14ac:dyDescent="0.2">
      <c r="A18940" s="1" t="str">
        <f>"TTC29"</f>
        <v>TTC29</v>
      </c>
      <c r="B18940" t="s">
        <v>14</v>
      </c>
      <c r="C18940" t="s">
        <v>23</v>
      </c>
      <c r="D18940" t="s">
        <v>11</v>
      </c>
      <c r="E18940" t="s">
        <v>12</v>
      </c>
      <c r="F18940">
        <v>147866993</v>
      </c>
      <c r="G18940">
        <v>147867021</v>
      </c>
      <c r="H18940">
        <v>147866960</v>
      </c>
      <c r="I18940">
        <v>147866991</v>
      </c>
    </row>
    <row r="18941" spans="1:9" x14ac:dyDescent="0.2">
      <c r="A18941" s="1" t="str">
        <f>"TTC3"</f>
        <v>TTC3</v>
      </c>
      <c r="B18941" t="s">
        <v>14</v>
      </c>
      <c r="C18941" t="s">
        <v>42</v>
      </c>
      <c r="D18941" t="s">
        <v>17</v>
      </c>
      <c r="E18941" t="s">
        <v>12</v>
      </c>
      <c r="F18941">
        <v>38445539</v>
      </c>
      <c r="G18941">
        <v>38445596</v>
      </c>
      <c r="H18941">
        <v>38445520</v>
      </c>
      <c r="I18941">
        <v>38445533</v>
      </c>
    </row>
    <row r="18942" spans="1:9" x14ac:dyDescent="0.2">
      <c r="A18942" s="1" t="str">
        <f>"TTC30A"</f>
        <v>TTC30A</v>
      </c>
      <c r="B18942" t="s">
        <v>14</v>
      </c>
      <c r="C18942" t="s">
        <v>26</v>
      </c>
      <c r="D18942" t="s">
        <v>11</v>
      </c>
      <c r="E18942" t="s">
        <v>12</v>
      </c>
      <c r="F18942">
        <v>178483435</v>
      </c>
      <c r="G18942">
        <v>178483485</v>
      </c>
      <c r="H18942">
        <v>178483618</v>
      </c>
      <c r="I18942">
        <v>178483632</v>
      </c>
    </row>
    <row r="18943" spans="1:9" x14ac:dyDescent="0.2">
      <c r="A18943" s="1" t="str">
        <f>"TTC30B"</f>
        <v>TTC30B</v>
      </c>
      <c r="B18943" t="s">
        <v>14</v>
      </c>
      <c r="C18943" t="s">
        <v>26</v>
      </c>
      <c r="D18943" t="s">
        <v>11</v>
      </c>
      <c r="E18943" t="s">
        <v>12</v>
      </c>
      <c r="F18943">
        <v>178417510</v>
      </c>
      <c r="G18943">
        <v>178417538</v>
      </c>
      <c r="H18943">
        <v>178417494</v>
      </c>
      <c r="I18943">
        <v>178417506</v>
      </c>
    </row>
    <row r="18944" spans="1:9" x14ac:dyDescent="0.2">
      <c r="A18944" s="1" t="str">
        <f>"TTC31"</f>
        <v>TTC31</v>
      </c>
      <c r="B18944" t="s">
        <v>14</v>
      </c>
      <c r="C18944" t="s">
        <v>26</v>
      </c>
      <c r="D18944" t="s">
        <v>17</v>
      </c>
      <c r="E18944" t="s">
        <v>12</v>
      </c>
      <c r="F18944">
        <v>74710194</v>
      </c>
      <c r="G18944">
        <v>74710217</v>
      </c>
      <c r="H18944">
        <v>74709763</v>
      </c>
      <c r="I18944">
        <v>74709777</v>
      </c>
    </row>
    <row r="18945" spans="1:9" x14ac:dyDescent="0.2">
      <c r="A18945" s="1" t="str">
        <f>"TTC32"</f>
        <v>TTC32</v>
      </c>
      <c r="B18945" t="s">
        <v>14</v>
      </c>
      <c r="C18945" t="s">
        <v>26</v>
      </c>
      <c r="D18945" t="s">
        <v>11</v>
      </c>
      <c r="E18945" t="s">
        <v>12</v>
      </c>
      <c r="F18945">
        <v>20101421</v>
      </c>
      <c r="G18945">
        <v>20101465</v>
      </c>
      <c r="H18945">
        <v>20101701</v>
      </c>
      <c r="I18945">
        <v>20101752</v>
      </c>
    </row>
    <row r="18946" spans="1:9" x14ac:dyDescent="0.2">
      <c r="A18946" s="1" t="str">
        <f>"TTC33"</f>
        <v>TTC33</v>
      </c>
      <c r="B18946" t="s">
        <v>14</v>
      </c>
      <c r="C18946" t="s">
        <v>46</v>
      </c>
      <c r="D18946" t="s">
        <v>11</v>
      </c>
      <c r="E18946" t="s">
        <v>12</v>
      </c>
      <c r="F18946">
        <v>40755987</v>
      </c>
      <c r="G18946">
        <v>40756077</v>
      </c>
      <c r="H18946">
        <v>40755959</v>
      </c>
      <c r="I18946">
        <v>40755972</v>
      </c>
    </row>
    <row r="18947" spans="1:9" x14ac:dyDescent="0.2">
      <c r="A18947" s="1" t="str">
        <f>"TTC34"</f>
        <v>TTC34</v>
      </c>
      <c r="B18947" t="s">
        <v>1772</v>
      </c>
      <c r="C18947" t="s">
        <v>19</v>
      </c>
      <c r="D18947" t="s">
        <v>11</v>
      </c>
      <c r="E18947" t="s">
        <v>75</v>
      </c>
      <c r="F18947">
        <v>2718254</v>
      </c>
      <c r="G18947">
        <v>2718262</v>
      </c>
      <c r="H18947">
        <v>2718254</v>
      </c>
      <c r="I18947">
        <v>2718262</v>
      </c>
    </row>
    <row r="18948" spans="1:9" x14ac:dyDescent="0.2">
      <c r="A18948" s="1" t="str">
        <f>"TTC34"</f>
        <v>TTC34</v>
      </c>
      <c r="B18948" t="s">
        <v>1773</v>
      </c>
      <c r="C18948" t="s">
        <v>19</v>
      </c>
      <c r="D18948" t="s">
        <v>11</v>
      </c>
      <c r="E18948" t="s">
        <v>20</v>
      </c>
      <c r="F18948">
        <v>2706235</v>
      </c>
      <c r="G18948">
        <v>2706235</v>
      </c>
      <c r="H18948">
        <v>2706235</v>
      </c>
      <c r="I18948">
        <v>2706235</v>
      </c>
    </row>
    <row r="18949" spans="1:9" x14ac:dyDescent="0.2">
      <c r="A18949" s="1" t="str">
        <f>"TTC36"</f>
        <v>TTC36</v>
      </c>
      <c r="B18949" t="s">
        <v>14</v>
      </c>
      <c r="C18949" t="s">
        <v>27</v>
      </c>
      <c r="D18949" t="s">
        <v>17</v>
      </c>
      <c r="E18949" t="s">
        <v>12</v>
      </c>
      <c r="F18949">
        <v>118398178</v>
      </c>
      <c r="G18949">
        <v>118398208</v>
      </c>
      <c r="H18949">
        <v>118398168</v>
      </c>
      <c r="I18949">
        <v>118398177</v>
      </c>
    </row>
    <row r="18950" spans="1:9" x14ac:dyDescent="0.2">
      <c r="A18950" s="1" t="str">
        <f>"TTC37"</f>
        <v>TTC37</v>
      </c>
      <c r="B18950" t="s">
        <v>14</v>
      </c>
      <c r="C18950" t="s">
        <v>46</v>
      </c>
      <c r="D18950" t="s">
        <v>11</v>
      </c>
      <c r="E18950" t="s">
        <v>12</v>
      </c>
      <c r="F18950">
        <v>94890671</v>
      </c>
      <c r="G18950">
        <v>94890698</v>
      </c>
      <c r="H18950">
        <v>94890671</v>
      </c>
      <c r="I18950">
        <v>94890698</v>
      </c>
    </row>
    <row r="18951" spans="1:9" x14ac:dyDescent="0.2">
      <c r="A18951" s="1" t="str">
        <f>"TTC38"</f>
        <v>TTC38</v>
      </c>
      <c r="B18951" t="s">
        <v>14</v>
      </c>
      <c r="C18951" t="s">
        <v>21</v>
      </c>
      <c r="D18951" t="s">
        <v>17</v>
      </c>
      <c r="E18951" t="s">
        <v>12</v>
      </c>
      <c r="F18951">
        <v>46663895</v>
      </c>
      <c r="G18951">
        <v>46663937</v>
      </c>
      <c r="H18951">
        <v>46663875</v>
      </c>
      <c r="I18951">
        <v>46663886</v>
      </c>
    </row>
    <row r="18952" spans="1:9" x14ac:dyDescent="0.2">
      <c r="A18952" s="1" t="str">
        <f>"TTC39A"</f>
        <v>TTC39A</v>
      </c>
      <c r="B18952" t="s">
        <v>14</v>
      </c>
      <c r="C18952" t="s">
        <v>19</v>
      </c>
      <c r="D18952" t="s">
        <v>11</v>
      </c>
      <c r="E18952" t="s">
        <v>12</v>
      </c>
      <c r="F18952">
        <v>51796226</v>
      </c>
      <c r="G18952">
        <v>51796260</v>
      </c>
      <c r="H18952">
        <v>51796226</v>
      </c>
      <c r="I18952">
        <v>51796260</v>
      </c>
    </row>
    <row r="18953" spans="1:9" x14ac:dyDescent="0.2">
      <c r="A18953" s="1" t="str">
        <f>"TTC39B"</f>
        <v>TTC39B</v>
      </c>
      <c r="B18953" t="s">
        <v>14</v>
      </c>
      <c r="C18953" t="s">
        <v>24</v>
      </c>
      <c r="D18953" t="s">
        <v>11</v>
      </c>
      <c r="E18953" t="s">
        <v>12</v>
      </c>
      <c r="F18953">
        <v>15307200</v>
      </c>
      <c r="G18953">
        <v>15307243</v>
      </c>
      <c r="H18953">
        <v>15307200</v>
      </c>
      <c r="I18953">
        <v>15307243</v>
      </c>
    </row>
    <row r="18954" spans="1:9" x14ac:dyDescent="0.2">
      <c r="A18954" s="1" t="str">
        <f>"TTC39C"</f>
        <v>TTC39C</v>
      </c>
      <c r="B18954" t="s">
        <v>14</v>
      </c>
      <c r="C18954" t="s">
        <v>43</v>
      </c>
      <c r="D18954" t="s">
        <v>17</v>
      </c>
      <c r="E18954" t="s">
        <v>12</v>
      </c>
      <c r="F18954">
        <v>21594704</v>
      </c>
      <c r="G18954">
        <v>21594773</v>
      </c>
      <c r="H18954">
        <v>21594354</v>
      </c>
      <c r="I18954">
        <v>21594415</v>
      </c>
    </row>
    <row r="18955" spans="1:9" x14ac:dyDescent="0.2">
      <c r="A18955" s="1" t="str">
        <f>"TTC4"</f>
        <v>TTC4</v>
      </c>
      <c r="B18955" t="s">
        <v>14</v>
      </c>
      <c r="C18955" t="s">
        <v>19</v>
      </c>
      <c r="D18955" t="s">
        <v>17</v>
      </c>
      <c r="E18955" t="s">
        <v>12</v>
      </c>
      <c r="F18955">
        <v>55181510</v>
      </c>
      <c r="G18955">
        <v>55181564</v>
      </c>
      <c r="H18955">
        <v>55181490</v>
      </c>
      <c r="I18955">
        <v>55181506</v>
      </c>
    </row>
    <row r="18956" spans="1:9" x14ac:dyDescent="0.2">
      <c r="A18956" s="1" t="str">
        <f>"TTC40"</f>
        <v>TTC40</v>
      </c>
      <c r="B18956" t="s">
        <v>14</v>
      </c>
      <c r="C18956" t="s">
        <v>15</v>
      </c>
      <c r="D18956" t="s">
        <v>11</v>
      </c>
      <c r="E18956" t="s">
        <v>12</v>
      </c>
      <c r="F18956">
        <v>134756030</v>
      </c>
      <c r="G18956">
        <v>134756103</v>
      </c>
      <c r="H18956">
        <v>134756030</v>
      </c>
      <c r="I18956">
        <v>134756103</v>
      </c>
    </row>
    <row r="18957" spans="1:9" x14ac:dyDescent="0.2">
      <c r="A18957" s="1" t="str">
        <f>"TTC5"</f>
        <v>TTC5</v>
      </c>
      <c r="B18957" t="s">
        <v>14</v>
      </c>
      <c r="C18957" t="s">
        <v>41</v>
      </c>
      <c r="D18957" t="s">
        <v>11</v>
      </c>
      <c r="E18957" t="s">
        <v>12</v>
      </c>
      <c r="F18957">
        <v>20774092</v>
      </c>
      <c r="G18957">
        <v>20774127</v>
      </c>
      <c r="H18957">
        <v>20774092</v>
      </c>
      <c r="I18957">
        <v>20774127</v>
      </c>
    </row>
    <row r="18958" spans="1:9" x14ac:dyDescent="0.2">
      <c r="A18958" s="1" t="str">
        <f>"TTC6"</f>
        <v>TTC6</v>
      </c>
      <c r="B18958" t="s">
        <v>9</v>
      </c>
      <c r="C18958" t="s">
        <v>41</v>
      </c>
      <c r="D18958" t="s">
        <v>17</v>
      </c>
      <c r="E18958" t="s">
        <v>12</v>
      </c>
      <c r="F18958">
        <v>38064797</v>
      </c>
      <c r="G18958">
        <v>38064843</v>
      </c>
      <c r="H18958">
        <v>38064797</v>
      </c>
      <c r="I18958">
        <v>38064843</v>
      </c>
    </row>
    <row r="18959" spans="1:9" x14ac:dyDescent="0.2">
      <c r="A18959" s="1" t="str">
        <f>"TTC6"</f>
        <v>TTC6</v>
      </c>
      <c r="B18959" t="s">
        <v>13</v>
      </c>
      <c r="C18959" t="s">
        <v>41</v>
      </c>
      <c r="D18959" t="s">
        <v>17</v>
      </c>
      <c r="E18959" t="s">
        <v>12</v>
      </c>
      <c r="F18959">
        <v>38080424</v>
      </c>
      <c r="G18959">
        <v>38080461</v>
      </c>
      <c r="H18959">
        <v>38080424</v>
      </c>
      <c r="I18959">
        <v>38080461</v>
      </c>
    </row>
    <row r="18960" spans="1:9" x14ac:dyDescent="0.2">
      <c r="A18960" s="1" t="str">
        <f>"TTC7A"</f>
        <v>TTC7A</v>
      </c>
      <c r="B18960" t="s">
        <v>14</v>
      </c>
      <c r="C18960" t="s">
        <v>26</v>
      </c>
      <c r="D18960" t="s">
        <v>17</v>
      </c>
      <c r="E18960" t="s">
        <v>12</v>
      </c>
      <c r="F18960">
        <v>47168344</v>
      </c>
      <c r="G18960">
        <v>47168421</v>
      </c>
      <c r="H18960">
        <v>47168630</v>
      </c>
      <c r="I18960">
        <v>47168680</v>
      </c>
    </row>
    <row r="18961" spans="1:9" x14ac:dyDescent="0.2">
      <c r="A18961" s="1" t="str">
        <f>"TTC7B"</f>
        <v>TTC7B</v>
      </c>
      <c r="B18961" t="s">
        <v>14</v>
      </c>
      <c r="C18961" t="s">
        <v>41</v>
      </c>
      <c r="D18961" t="s">
        <v>11</v>
      </c>
      <c r="E18961" t="s">
        <v>12</v>
      </c>
      <c r="F18961">
        <v>91282726</v>
      </c>
      <c r="G18961">
        <v>91282804</v>
      </c>
      <c r="H18961">
        <v>91282821</v>
      </c>
      <c r="I18961">
        <v>91282857</v>
      </c>
    </row>
    <row r="18962" spans="1:9" x14ac:dyDescent="0.2">
      <c r="A18962" s="1" t="str">
        <f>"TTC8"</f>
        <v>TTC8</v>
      </c>
      <c r="B18962" t="s">
        <v>14</v>
      </c>
      <c r="C18962" t="s">
        <v>41</v>
      </c>
      <c r="D18962" t="s">
        <v>17</v>
      </c>
      <c r="E18962" t="s">
        <v>12</v>
      </c>
      <c r="F18962">
        <v>89290965</v>
      </c>
      <c r="G18962">
        <v>89291047</v>
      </c>
      <c r="H18962">
        <v>89290944</v>
      </c>
      <c r="I18962">
        <v>89290955</v>
      </c>
    </row>
    <row r="18963" spans="1:9" x14ac:dyDescent="0.2">
      <c r="A18963" s="1" t="str">
        <f>"TTC9"</f>
        <v>TTC9</v>
      </c>
      <c r="B18963" t="s">
        <v>14</v>
      </c>
      <c r="C18963" t="s">
        <v>41</v>
      </c>
      <c r="D18963" t="s">
        <v>17</v>
      </c>
      <c r="E18963" t="s">
        <v>12</v>
      </c>
      <c r="F18963">
        <v>71108613</v>
      </c>
      <c r="G18963">
        <v>71108678</v>
      </c>
      <c r="H18963">
        <v>71108460</v>
      </c>
      <c r="I18963">
        <v>71108508</v>
      </c>
    </row>
    <row r="18964" spans="1:9" x14ac:dyDescent="0.2">
      <c r="A18964" s="1" t="str">
        <f>"TTC9B"</f>
        <v>TTC9B</v>
      </c>
      <c r="B18964" t="s">
        <v>14</v>
      </c>
      <c r="C18964" t="s">
        <v>10</v>
      </c>
      <c r="D18964" t="s">
        <v>11</v>
      </c>
      <c r="E18964" t="s">
        <v>12</v>
      </c>
      <c r="F18964">
        <v>40724246</v>
      </c>
      <c r="G18964">
        <v>40724307</v>
      </c>
      <c r="H18964">
        <v>40724201</v>
      </c>
      <c r="I18964">
        <v>40724218</v>
      </c>
    </row>
    <row r="18965" spans="1:9" x14ac:dyDescent="0.2">
      <c r="A18965" s="1" t="str">
        <f>"TTC9C"</f>
        <v>TTC9C</v>
      </c>
      <c r="B18965" t="s">
        <v>14</v>
      </c>
      <c r="C18965" t="s">
        <v>27</v>
      </c>
      <c r="D18965" t="s">
        <v>17</v>
      </c>
      <c r="E18965" t="s">
        <v>12</v>
      </c>
      <c r="F18965">
        <v>62495935</v>
      </c>
      <c r="G18965">
        <v>62495989</v>
      </c>
      <c r="H18965">
        <v>62496203</v>
      </c>
      <c r="I18965">
        <v>62496322</v>
      </c>
    </row>
    <row r="18966" spans="1:9" x14ac:dyDescent="0.2">
      <c r="A18966" s="1" t="str">
        <f>"TTF1"</f>
        <v>TTF1</v>
      </c>
      <c r="B18966" t="s">
        <v>14</v>
      </c>
      <c r="C18966" t="s">
        <v>24</v>
      </c>
      <c r="D18966" t="s">
        <v>11</v>
      </c>
      <c r="E18966" t="s">
        <v>12</v>
      </c>
      <c r="F18966">
        <v>135282195</v>
      </c>
      <c r="G18966">
        <v>135282240</v>
      </c>
      <c r="H18966">
        <v>135282195</v>
      </c>
      <c r="I18966">
        <v>135282240</v>
      </c>
    </row>
    <row r="18967" spans="1:9" x14ac:dyDescent="0.2">
      <c r="A18967" s="1" t="str">
        <f>"TTF2"</f>
        <v>TTF2</v>
      </c>
      <c r="B18967" t="s">
        <v>14</v>
      </c>
      <c r="C18967" t="s">
        <v>19</v>
      </c>
      <c r="D18967" t="s">
        <v>17</v>
      </c>
      <c r="E18967" t="s">
        <v>12</v>
      </c>
      <c r="F18967">
        <v>117602932</v>
      </c>
      <c r="G18967">
        <v>117602973</v>
      </c>
      <c r="H18967">
        <v>117602920</v>
      </c>
      <c r="I18967">
        <v>117602929</v>
      </c>
    </row>
    <row r="18968" spans="1:9" x14ac:dyDescent="0.2">
      <c r="A18968" s="1" t="str">
        <f>"TTI1"</f>
        <v>TTI1</v>
      </c>
      <c r="B18968" t="s">
        <v>14</v>
      </c>
      <c r="C18968" t="s">
        <v>29</v>
      </c>
      <c r="D18968" t="s">
        <v>11</v>
      </c>
      <c r="E18968" t="s">
        <v>12</v>
      </c>
      <c r="F18968">
        <v>36661826</v>
      </c>
      <c r="G18968">
        <v>36661870</v>
      </c>
      <c r="H18968">
        <v>36662161</v>
      </c>
      <c r="I18968">
        <v>36662196</v>
      </c>
    </row>
    <row r="18969" spans="1:9" x14ac:dyDescent="0.2">
      <c r="A18969" s="1" t="str">
        <f>"TTI2"</f>
        <v>TTI2</v>
      </c>
      <c r="B18969" t="s">
        <v>14</v>
      </c>
      <c r="C18969" t="s">
        <v>30</v>
      </c>
      <c r="D18969" t="s">
        <v>11</v>
      </c>
      <c r="E18969" t="s">
        <v>12</v>
      </c>
      <c r="F18969">
        <v>33370607</v>
      </c>
      <c r="G18969">
        <v>33370676</v>
      </c>
      <c r="H18969">
        <v>33370595</v>
      </c>
      <c r="I18969">
        <v>33370606</v>
      </c>
    </row>
    <row r="18970" spans="1:9" x14ac:dyDescent="0.2">
      <c r="A18970" s="1" t="str">
        <f>"TTK"</f>
        <v>TTK</v>
      </c>
      <c r="B18970" t="s">
        <v>14</v>
      </c>
      <c r="C18970" t="s">
        <v>32</v>
      </c>
      <c r="D18970" t="s">
        <v>17</v>
      </c>
      <c r="E18970" t="s">
        <v>12</v>
      </c>
      <c r="F18970">
        <v>80714332</v>
      </c>
      <c r="G18970">
        <v>80714411</v>
      </c>
      <c r="H18970">
        <v>80714318</v>
      </c>
      <c r="I18970">
        <v>80714328</v>
      </c>
    </row>
    <row r="18971" spans="1:9" x14ac:dyDescent="0.2">
      <c r="A18971" s="1" t="str">
        <f>"TTL"</f>
        <v>TTL</v>
      </c>
      <c r="B18971" t="s">
        <v>14</v>
      </c>
      <c r="C18971" t="s">
        <v>26</v>
      </c>
      <c r="D18971" t="s">
        <v>17</v>
      </c>
      <c r="E18971" t="s">
        <v>12</v>
      </c>
      <c r="F18971">
        <v>113239710</v>
      </c>
      <c r="G18971">
        <v>113239753</v>
      </c>
      <c r="H18971">
        <v>113239756</v>
      </c>
      <c r="I18971">
        <v>113239773</v>
      </c>
    </row>
    <row r="18972" spans="1:9" x14ac:dyDescent="0.2">
      <c r="A18972" s="1" t="str">
        <f>"TTLL1"</f>
        <v>TTLL1</v>
      </c>
      <c r="B18972" t="s">
        <v>14</v>
      </c>
      <c r="C18972" t="s">
        <v>21</v>
      </c>
      <c r="D18972" t="s">
        <v>11</v>
      </c>
      <c r="E18972" t="s">
        <v>12</v>
      </c>
      <c r="F18972">
        <v>43485381</v>
      </c>
      <c r="G18972">
        <v>43485424</v>
      </c>
      <c r="H18972">
        <v>43485326</v>
      </c>
      <c r="I18972">
        <v>43485362</v>
      </c>
    </row>
    <row r="18973" spans="1:9" x14ac:dyDescent="0.2">
      <c r="A18973" s="1" t="str">
        <f>"TTLL10"</f>
        <v>TTLL10</v>
      </c>
      <c r="B18973" t="s">
        <v>9</v>
      </c>
      <c r="C18973" t="s">
        <v>19</v>
      </c>
      <c r="D18973" t="s">
        <v>17</v>
      </c>
      <c r="E18973" t="s">
        <v>12</v>
      </c>
      <c r="F18973">
        <v>1115056</v>
      </c>
      <c r="G18973">
        <v>1115079</v>
      </c>
      <c r="H18973">
        <v>1115056</v>
      </c>
      <c r="I18973">
        <v>1115079</v>
      </c>
    </row>
    <row r="18974" spans="1:9" x14ac:dyDescent="0.2">
      <c r="A18974" s="1" t="str">
        <f>"TTLL10"</f>
        <v>TTLL10</v>
      </c>
      <c r="B18974" t="s">
        <v>13</v>
      </c>
      <c r="C18974" t="s">
        <v>19</v>
      </c>
      <c r="D18974" t="s">
        <v>17</v>
      </c>
      <c r="E18974" t="s">
        <v>12</v>
      </c>
      <c r="F18974">
        <v>1109255</v>
      </c>
      <c r="G18974">
        <v>1109268</v>
      </c>
      <c r="H18974">
        <v>1109255</v>
      </c>
      <c r="I18974">
        <v>1109268</v>
      </c>
    </row>
    <row r="18975" spans="1:9" x14ac:dyDescent="0.2">
      <c r="A18975" s="1" t="str">
        <f>"TTLL11"</f>
        <v>TTLL11</v>
      </c>
      <c r="B18975" t="s">
        <v>14</v>
      </c>
      <c r="C18975" t="s">
        <v>24</v>
      </c>
      <c r="D18975" t="s">
        <v>11</v>
      </c>
      <c r="E18975" t="s">
        <v>12</v>
      </c>
      <c r="F18975">
        <v>124855552</v>
      </c>
      <c r="G18975">
        <v>124855593</v>
      </c>
      <c r="H18975">
        <v>124855594</v>
      </c>
      <c r="I18975">
        <v>124855624</v>
      </c>
    </row>
    <row r="18976" spans="1:9" x14ac:dyDescent="0.2">
      <c r="A18976" s="1" t="str">
        <f>"TTLL12"</f>
        <v>TTLL12</v>
      </c>
      <c r="B18976" t="s">
        <v>14</v>
      </c>
      <c r="C18976" t="s">
        <v>21</v>
      </c>
      <c r="D18976" t="s">
        <v>11</v>
      </c>
      <c r="E18976" t="s">
        <v>12</v>
      </c>
      <c r="F18976">
        <v>43583079</v>
      </c>
      <c r="G18976">
        <v>43583153</v>
      </c>
      <c r="H18976">
        <v>43583556</v>
      </c>
      <c r="I18976">
        <v>43583587</v>
      </c>
    </row>
    <row r="18977" spans="1:9" x14ac:dyDescent="0.2">
      <c r="A18977" s="1" t="str">
        <f>"TTLL13"</f>
        <v>TTLL13</v>
      </c>
      <c r="B18977" t="s">
        <v>14</v>
      </c>
      <c r="C18977" t="s">
        <v>25</v>
      </c>
      <c r="D18977" t="s">
        <v>17</v>
      </c>
      <c r="E18977" t="s">
        <v>12</v>
      </c>
      <c r="F18977">
        <v>90792782</v>
      </c>
      <c r="G18977">
        <v>90792794</v>
      </c>
      <c r="H18977">
        <v>90792760</v>
      </c>
      <c r="I18977">
        <v>90792767</v>
      </c>
    </row>
    <row r="18978" spans="1:9" x14ac:dyDescent="0.2">
      <c r="A18978" s="1" t="str">
        <f>"TTLL2"</f>
        <v>TTLL2</v>
      </c>
      <c r="B18978" t="s">
        <v>14</v>
      </c>
      <c r="C18978" t="s">
        <v>32</v>
      </c>
      <c r="D18978" t="s">
        <v>17</v>
      </c>
      <c r="E18978" t="s">
        <v>12</v>
      </c>
      <c r="F18978">
        <v>167738582</v>
      </c>
      <c r="G18978">
        <v>167738608</v>
      </c>
      <c r="H18978">
        <v>167738569</v>
      </c>
      <c r="I18978">
        <v>167738578</v>
      </c>
    </row>
    <row r="18979" spans="1:9" x14ac:dyDescent="0.2">
      <c r="A18979" s="1" t="str">
        <f>"TTLL3"</f>
        <v>TTLL3</v>
      </c>
      <c r="B18979" t="s">
        <v>14</v>
      </c>
      <c r="C18979" t="s">
        <v>22</v>
      </c>
      <c r="D18979" t="s">
        <v>17</v>
      </c>
      <c r="E18979" t="s">
        <v>12</v>
      </c>
      <c r="F18979">
        <v>9851940</v>
      </c>
      <c r="G18979">
        <v>9852023</v>
      </c>
      <c r="H18979">
        <v>9851572</v>
      </c>
      <c r="I18979">
        <v>9851629</v>
      </c>
    </row>
    <row r="18980" spans="1:9" x14ac:dyDescent="0.2">
      <c r="A18980" s="1" t="str">
        <f>"TTLL4"</f>
        <v>TTLL4</v>
      </c>
      <c r="B18980" t="s">
        <v>14</v>
      </c>
      <c r="C18980" t="s">
        <v>26</v>
      </c>
      <c r="D18980" t="s">
        <v>17</v>
      </c>
      <c r="E18980" t="s">
        <v>12</v>
      </c>
      <c r="F18980">
        <v>219575543</v>
      </c>
      <c r="G18980">
        <v>219575622</v>
      </c>
      <c r="H18980">
        <v>219575653</v>
      </c>
      <c r="I18980">
        <v>219575728</v>
      </c>
    </row>
    <row r="18981" spans="1:9" x14ac:dyDescent="0.2">
      <c r="A18981" s="1" t="str">
        <f>"TTLL5"</f>
        <v>TTLL5</v>
      </c>
      <c r="B18981" t="s">
        <v>14</v>
      </c>
      <c r="C18981" t="s">
        <v>41</v>
      </c>
      <c r="D18981" t="s">
        <v>17</v>
      </c>
      <c r="E18981" t="s">
        <v>12</v>
      </c>
      <c r="F18981">
        <v>76127529</v>
      </c>
      <c r="G18981">
        <v>76127647</v>
      </c>
      <c r="H18981">
        <v>76127798</v>
      </c>
      <c r="I18981">
        <v>76127841</v>
      </c>
    </row>
    <row r="18982" spans="1:9" x14ac:dyDescent="0.2">
      <c r="A18982" s="1" t="str">
        <f>"TTLL6"</f>
        <v>TTLL6</v>
      </c>
      <c r="B18982" t="s">
        <v>14</v>
      </c>
      <c r="C18982" t="s">
        <v>28</v>
      </c>
      <c r="D18982" t="s">
        <v>11</v>
      </c>
      <c r="E18982" t="s">
        <v>12</v>
      </c>
      <c r="F18982">
        <v>46894409</v>
      </c>
      <c r="G18982">
        <v>46894431</v>
      </c>
      <c r="H18982">
        <v>46894442</v>
      </c>
      <c r="I18982">
        <v>46894454</v>
      </c>
    </row>
    <row r="18983" spans="1:9" x14ac:dyDescent="0.2">
      <c r="A18983" s="1" t="str">
        <f>"TTLL7"</f>
        <v>TTLL7</v>
      </c>
      <c r="B18983" t="s">
        <v>14</v>
      </c>
      <c r="C18983" t="s">
        <v>19</v>
      </c>
      <c r="D18983" t="s">
        <v>11</v>
      </c>
      <c r="E18983" t="s">
        <v>12</v>
      </c>
      <c r="F18983">
        <v>84464780</v>
      </c>
      <c r="G18983">
        <v>84464862</v>
      </c>
      <c r="H18983">
        <v>84465095</v>
      </c>
      <c r="I18983">
        <v>84465136</v>
      </c>
    </row>
    <row r="18984" spans="1:9" x14ac:dyDescent="0.2">
      <c r="A18984" s="1" t="str">
        <f>"TTLL8"</f>
        <v>TTLL8</v>
      </c>
      <c r="B18984" t="s">
        <v>1774</v>
      </c>
      <c r="C18984" t="s">
        <v>21</v>
      </c>
      <c r="D18984" t="s">
        <v>11</v>
      </c>
      <c r="E18984" t="s">
        <v>20</v>
      </c>
      <c r="F18984">
        <v>50493054</v>
      </c>
      <c r="G18984">
        <v>50493054</v>
      </c>
      <c r="H18984">
        <v>50493054</v>
      </c>
      <c r="I18984">
        <v>50493054</v>
      </c>
    </row>
    <row r="18985" spans="1:9" x14ac:dyDescent="0.2">
      <c r="A18985" s="1" t="str">
        <f>"TTLL9"</f>
        <v>TTLL9</v>
      </c>
      <c r="B18985" t="s">
        <v>9</v>
      </c>
      <c r="C18985" t="s">
        <v>29</v>
      </c>
      <c r="D18985" t="s">
        <v>17</v>
      </c>
      <c r="E18985" t="s">
        <v>12</v>
      </c>
      <c r="F18985">
        <v>30467600</v>
      </c>
      <c r="G18985">
        <v>30467641</v>
      </c>
      <c r="H18985">
        <v>30467600</v>
      </c>
      <c r="I18985">
        <v>30467641</v>
      </c>
    </row>
    <row r="18986" spans="1:9" x14ac:dyDescent="0.2">
      <c r="A18986" s="1" t="str">
        <f>"TTLL9"</f>
        <v>TTLL9</v>
      </c>
      <c r="B18986" t="s">
        <v>13</v>
      </c>
      <c r="C18986" t="s">
        <v>29</v>
      </c>
      <c r="D18986" t="s">
        <v>17</v>
      </c>
      <c r="E18986" t="s">
        <v>12</v>
      </c>
      <c r="F18986">
        <v>30458431</v>
      </c>
      <c r="G18986">
        <v>30458444</v>
      </c>
      <c r="H18986">
        <v>30458431</v>
      </c>
      <c r="I18986">
        <v>30458444</v>
      </c>
    </row>
    <row r="18987" spans="1:9" x14ac:dyDescent="0.2">
      <c r="A18987" s="1" t="str">
        <f>"TTN"</f>
        <v>TTN</v>
      </c>
      <c r="B18987" t="s">
        <v>9</v>
      </c>
      <c r="C18987" t="s">
        <v>26</v>
      </c>
      <c r="D18987" t="s">
        <v>11</v>
      </c>
      <c r="E18987" t="s">
        <v>12</v>
      </c>
      <c r="F18987">
        <v>179672142</v>
      </c>
      <c r="G18987">
        <v>179672157</v>
      </c>
      <c r="H18987">
        <v>179672142</v>
      </c>
      <c r="I18987">
        <v>179672157</v>
      </c>
    </row>
    <row r="18988" spans="1:9" x14ac:dyDescent="0.2">
      <c r="A18988" s="1" t="str">
        <f>"TTN"</f>
        <v>TTN</v>
      </c>
      <c r="B18988" t="s">
        <v>13</v>
      </c>
      <c r="C18988" t="s">
        <v>26</v>
      </c>
      <c r="D18988" t="s">
        <v>11</v>
      </c>
      <c r="E18988" t="s">
        <v>12</v>
      </c>
      <c r="F18988">
        <v>179659669</v>
      </c>
      <c r="G18988">
        <v>179659729</v>
      </c>
      <c r="H18988">
        <v>179659669</v>
      </c>
      <c r="I18988">
        <v>179659729</v>
      </c>
    </row>
    <row r="18989" spans="1:9" x14ac:dyDescent="0.2">
      <c r="A18989" s="1" t="str">
        <f>"TTPA"</f>
        <v>TTPA</v>
      </c>
      <c r="B18989" t="s">
        <v>14</v>
      </c>
      <c r="C18989" t="s">
        <v>30</v>
      </c>
      <c r="D18989" t="s">
        <v>11</v>
      </c>
      <c r="E18989" t="s">
        <v>12</v>
      </c>
      <c r="F18989">
        <v>63998590</v>
      </c>
      <c r="G18989">
        <v>63998634</v>
      </c>
      <c r="H18989">
        <v>63998655</v>
      </c>
      <c r="I18989">
        <v>63998667</v>
      </c>
    </row>
    <row r="18990" spans="1:9" x14ac:dyDescent="0.2">
      <c r="A18990" s="1" t="str">
        <f>"TTPAL"</f>
        <v>TTPAL</v>
      </c>
      <c r="B18990" t="s">
        <v>14</v>
      </c>
      <c r="C18990" t="s">
        <v>29</v>
      </c>
      <c r="D18990" t="s">
        <v>17</v>
      </c>
      <c r="E18990" t="s">
        <v>12</v>
      </c>
      <c r="F18990">
        <v>43104508</v>
      </c>
      <c r="G18990">
        <v>43104540</v>
      </c>
      <c r="H18990">
        <v>43104541</v>
      </c>
      <c r="I18990">
        <v>43104576</v>
      </c>
    </row>
    <row r="18991" spans="1:9" x14ac:dyDescent="0.2">
      <c r="A18991" s="1" t="str">
        <f>"TTR"</f>
        <v>TTR</v>
      </c>
      <c r="B18991" t="s">
        <v>9</v>
      </c>
      <c r="C18991" t="s">
        <v>43</v>
      </c>
      <c r="D18991" t="s">
        <v>17</v>
      </c>
      <c r="E18991" t="s">
        <v>12</v>
      </c>
      <c r="F18991">
        <v>29171832</v>
      </c>
      <c r="G18991">
        <v>29171847</v>
      </c>
      <c r="H18991">
        <v>29171832</v>
      </c>
      <c r="I18991">
        <v>29171847</v>
      </c>
    </row>
    <row r="18992" spans="1:9" x14ac:dyDescent="0.2">
      <c r="A18992" s="1" t="str">
        <f>"TTR"</f>
        <v>TTR</v>
      </c>
      <c r="B18992" t="s">
        <v>13</v>
      </c>
      <c r="C18992" t="s">
        <v>43</v>
      </c>
      <c r="D18992" t="s">
        <v>17</v>
      </c>
      <c r="E18992" t="s">
        <v>12</v>
      </c>
      <c r="F18992">
        <v>29172884</v>
      </c>
      <c r="G18992">
        <v>29172921</v>
      </c>
      <c r="H18992">
        <v>29172884</v>
      </c>
      <c r="I18992">
        <v>29172921</v>
      </c>
    </row>
    <row r="18993" spans="1:9" x14ac:dyDescent="0.2">
      <c r="A18993" s="1" t="str">
        <f>"TTYH1"</f>
        <v>TTYH1</v>
      </c>
      <c r="B18993" t="s">
        <v>14</v>
      </c>
      <c r="C18993" t="s">
        <v>10</v>
      </c>
      <c r="D18993" t="s">
        <v>17</v>
      </c>
      <c r="E18993" t="s">
        <v>12</v>
      </c>
      <c r="F18993">
        <v>54926621</v>
      </c>
      <c r="G18993">
        <v>54926675</v>
      </c>
      <c r="H18993">
        <v>54926601</v>
      </c>
      <c r="I18993">
        <v>54926619</v>
      </c>
    </row>
    <row r="18994" spans="1:9" x14ac:dyDescent="0.2">
      <c r="A18994" s="1" t="str">
        <f>"TTYH2"</f>
        <v>TTYH2</v>
      </c>
      <c r="B18994" t="s">
        <v>9</v>
      </c>
      <c r="C18994" t="s">
        <v>28</v>
      </c>
      <c r="D18994" t="s">
        <v>17</v>
      </c>
      <c r="E18994" t="s">
        <v>12</v>
      </c>
      <c r="F18994">
        <v>72209677</v>
      </c>
      <c r="G18994">
        <v>72209722</v>
      </c>
      <c r="H18994">
        <v>72209677</v>
      </c>
      <c r="I18994">
        <v>72209722</v>
      </c>
    </row>
    <row r="18995" spans="1:9" x14ac:dyDescent="0.2">
      <c r="A18995" s="1" t="str">
        <f>"TTYH2"</f>
        <v>TTYH2</v>
      </c>
      <c r="B18995" t="s">
        <v>13</v>
      </c>
      <c r="C18995" t="s">
        <v>28</v>
      </c>
      <c r="D18995" t="s">
        <v>17</v>
      </c>
      <c r="E18995" t="s">
        <v>12</v>
      </c>
      <c r="F18995">
        <v>72211759</v>
      </c>
      <c r="G18995">
        <v>72211776</v>
      </c>
      <c r="H18995">
        <v>72211759</v>
      </c>
      <c r="I18995">
        <v>72211776</v>
      </c>
    </row>
    <row r="18996" spans="1:9" x14ac:dyDescent="0.2">
      <c r="A18996" s="1" t="str">
        <f>"TTYH3"</f>
        <v>TTYH3</v>
      </c>
      <c r="B18996" t="s">
        <v>14</v>
      </c>
      <c r="C18996" t="s">
        <v>33</v>
      </c>
      <c r="D18996" t="s">
        <v>17</v>
      </c>
      <c r="E18996" t="s">
        <v>12</v>
      </c>
      <c r="F18996">
        <v>2671568</v>
      </c>
      <c r="G18996">
        <v>2671606</v>
      </c>
      <c r="H18996">
        <v>2671611</v>
      </c>
      <c r="I18996">
        <v>2671658</v>
      </c>
    </row>
    <row r="18997" spans="1:9" x14ac:dyDescent="0.2">
      <c r="A18997" s="1" t="str">
        <f>"TUB"</f>
        <v>TUB</v>
      </c>
      <c r="B18997" t="s">
        <v>1775</v>
      </c>
      <c r="C18997" t="s">
        <v>27</v>
      </c>
      <c r="D18997" t="s">
        <v>17</v>
      </c>
      <c r="E18997" t="s">
        <v>75</v>
      </c>
      <c r="F18997">
        <v>8060317</v>
      </c>
      <c r="G18997">
        <v>8060344</v>
      </c>
      <c r="H18997">
        <v>8060317</v>
      </c>
      <c r="I18997">
        <v>8060344</v>
      </c>
    </row>
    <row r="18998" spans="1:9" x14ac:dyDescent="0.2">
      <c r="A18998" s="1" t="str">
        <f>"TUBA1A"</f>
        <v>TUBA1A</v>
      </c>
      <c r="B18998" t="s">
        <v>14</v>
      </c>
      <c r="C18998" t="s">
        <v>16</v>
      </c>
      <c r="D18998" t="s">
        <v>11</v>
      </c>
      <c r="E18998" t="s">
        <v>12</v>
      </c>
      <c r="F18998">
        <v>49582837</v>
      </c>
      <c r="G18998">
        <v>49582875</v>
      </c>
      <c r="H18998">
        <v>49582787</v>
      </c>
      <c r="I18998">
        <v>49582816</v>
      </c>
    </row>
    <row r="18999" spans="1:9" x14ac:dyDescent="0.2">
      <c r="A18999" s="1" t="str">
        <f>"TUBA1B"</f>
        <v>TUBA1B</v>
      </c>
      <c r="B18999" t="s">
        <v>14</v>
      </c>
      <c r="C18999" t="s">
        <v>16</v>
      </c>
      <c r="D18999" t="s">
        <v>11</v>
      </c>
      <c r="E18999" t="s">
        <v>12</v>
      </c>
      <c r="F18999">
        <v>49525175</v>
      </c>
      <c r="G18999">
        <v>49525180</v>
      </c>
      <c r="H18999">
        <v>49525175</v>
      </c>
      <c r="I18999">
        <v>49525180</v>
      </c>
    </row>
    <row r="19000" spans="1:9" x14ac:dyDescent="0.2">
      <c r="A19000" s="1" t="str">
        <f>"TUBA1C"</f>
        <v>TUBA1C</v>
      </c>
      <c r="B19000" t="s">
        <v>14</v>
      </c>
      <c r="C19000" t="s">
        <v>16</v>
      </c>
      <c r="D19000" t="s">
        <v>17</v>
      </c>
      <c r="E19000" t="s">
        <v>12</v>
      </c>
      <c r="F19000">
        <v>49658855</v>
      </c>
      <c r="G19000">
        <v>49658874</v>
      </c>
      <c r="H19000">
        <v>49658855</v>
      </c>
      <c r="I19000">
        <v>49658874</v>
      </c>
    </row>
    <row r="19001" spans="1:9" x14ac:dyDescent="0.2">
      <c r="A19001" s="1" t="str">
        <f>"TUBA3C"</f>
        <v>TUBA3C</v>
      </c>
      <c r="B19001" t="s">
        <v>14</v>
      </c>
      <c r="C19001" t="s">
        <v>39</v>
      </c>
      <c r="D19001" t="s">
        <v>11</v>
      </c>
      <c r="E19001" t="s">
        <v>12</v>
      </c>
      <c r="F19001">
        <v>19755913</v>
      </c>
      <c r="G19001">
        <v>19755970</v>
      </c>
      <c r="H19001">
        <v>19755913</v>
      </c>
      <c r="I19001">
        <v>19755970</v>
      </c>
    </row>
    <row r="19002" spans="1:9" x14ac:dyDescent="0.2">
      <c r="A19002" s="1" t="str">
        <f>"TUBA3D"</f>
        <v>TUBA3D</v>
      </c>
      <c r="B19002" t="s">
        <v>1776</v>
      </c>
      <c r="C19002" t="s">
        <v>26</v>
      </c>
      <c r="D19002" t="s">
        <v>17</v>
      </c>
      <c r="E19002" t="s">
        <v>35</v>
      </c>
      <c r="F19002">
        <v>132233664</v>
      </c>
      <c r="G19002">
        <v>132233697</v>
      </c>
      <c r="H19002">
        <v>132233664</v>
      </c>
      <c r="I19002">
        <v>132233697</v>
      </c>
    </row>
    <row r="19003" spans="1:9" x14ac:dyDescent="0.2">
      <c r="A19003" s="1" t="str">
        <f>"TUBA3E"</f>
        <v>TUBA3E</v>
      </c>
      <c r="B19003" t="s">
        <v>14</v>
      </c>
      <c r="C19003" t="s">
        <v>26</v>
      </c>
      <c r="D19003" t="s">
        <v>11</v>
      </c>
      <c r="E19003" t="s">
        <v>12</v>
      </c>
      <c r="F19003">
        <v>130956006</v>
      </c>
      <c r="G19003">
        <v>130956017</v>
      </c>
      <c r="H19003">
        <v>130956006</v>
      </c>
      <c r="I19003">
        <v>130956017</v>
      </c>
    </row>
    <row r="19004" spans="1:9" x14ac:dyDescent="0.2">
      <c r="A19004" s="1" t="str">
        <f>"TUBA4A"</f>
        <v>TUBA4A</v>
      </c>
      <c r="B19004" t="s">
        <v>14</v>
      </c>
      <c r="C19004" t="s">
        <v>26</v>
      </c>
      <c r="D19004" t="s">
        <v>11</v>
      </c>
      <c r="E19004" t="s">
        <v>12</v>
      </c>
      <c r="F19004">
        <v>220118631</v>
      </c>
      <c r="G19004">
        <v>220118647</v>
      </c>
      <c r="H19004">
        <v>220117988</v>
      </c>
      <c r="I19004">
        <v>220118034</v>
      </c>
    </row>
    <row r="19005" spans="1:9" x14ac:dyDescent="0.2">
      <c r="A19005" s="1" t="str">
        <f>"TUBA8"</f>
        <v>TUBA8</v>
      </c>
      <c r="B19005" t="s">
        <v>14</v>
      </c>
      <c r="C19005" t="s">
        <v>21</v>
      </c>
      <c r="D19005" t="s">
        <v>17</v>
      </c>
      <c r="E19005" t="s">
        <v>12</v>
      </c>
      <c r="F19005">
        <v>18593568</v>
      </c>
      <c r="G19005">
        <v>18593584</v>
      </c>
      <c r="H19005">
        <v>18593568</v>
      </c>
      <c r="I19005">
        <v>18593584</v>
      </c>
    </row>
    <row r="19006" spans="1:9" x14ac:dyDescent="0.2">
      <c r="A19006" s="1" t="str">
        <f>"TUBAL3"</f>
        <v>TUBAL3</v>
      </c>
      <c r="B19006" t="s">
        <v>14</v>
      </c>
      <c r="C19006" t="s">
        <v>15</v>
      </c>
      <c r="D19006" t="s">
        <v>11</v>
      </c>
      <c r="E19006" t="s">
        <v>12</v>
      </c>
      <c r="F19006">
        <v>5446786</v>
      </c>
      <c r="G19006">
        <v>5446795</v>
      </c>
      <c r="H19006">
        <v>5446786</v>
      </c>
      <c r="I19006">
        <v>5446795</v>
      </c>
    </row>
    <row r="19007" spans="1:9" x14ac:dyDescent="0.2">
      <c r="A19007" s="1" t="str">
        <f>"TUBB"</f>
        <v>TUBB</v>
      </c>
      <c r="B19007" t="s">
        <v>9</v>
      </c>
      <c r="C19007" t="s">
        <v>32</v>
      </c>
      <c r="D19007" t="s">
        <v>17</v>
      </c>
      <c r="E19007" t="s">
        <v>12</v>
      </c>
      <c r="F19007">
        <v>30688119</v>
      </c>
      <c r="G19007">
        <v>30688141</v>
      </c>
      <c r="H19007">
        <v>30688119</v>
      </c>
      <c r="I19007">
        <v>30688141</v>
      </c>
    </row>
    <row r="19008" spans="1:9" x14ac:dyDescent="0.2">
      <c r="A19008" s="1" t="str">
        <f>"TUBB"</f>
        <v>TUBB</v>
      </c>
      <c r="B19008" t="s">
        <v>13</v>
      </c>
      <c r="C19008" t="s">
        <v>32</v>
      </c>
      <c r="D19008" t="s">
        <v>17</v>
      </c>
      <c r="E19008" t="s">
        <v>12</v>
      </c>
      <c r="F19008">
        <v>30689401</v>
      </c>
      <c r="G19008">
        <v>30689439</v>
      </c>
      <c r="H19008">
        <v>30689401</v>
      </c>
      <c r="I19008">
        <v>30689439</v>
      </c>
    </row>
    <row r="19009" spans="1:9" x14ac:dyDescent="0.2">
      <c r="A19009" s="1" t="str">
        <f>"TUBB1"</f>
        <v>TUBB1</v>
      </c>
      <c r="B19009" t="s">
        <v>14</v>
      </c>
      <c r="C19009" t="s">
        <v>29</v>
      </c>
      <c r="D19009" t="s">
        <v>17</v>
      </c>
      <c r="E19009" t="s">
        <v>12</v>
      </c>
      <c r="F19009">
        <v>57594454</v>
      </c>
      <c r="G19009">
        <v>57594491</v>
      </c>
      <c r="H19009">
        <v>57594454</v>
      </c>
      <c r="I19009">
        <v>57594491</v>
      </c>
    </row>
    <row r="19010" spans="1:9" x14ac:dyDescent="0.2">
      <c r="A19010" s="1" t="str">
        <f>"TUBB2A"</f>
        <v>TUBB2A</v>
      </c>
      <c r="B19010" t="s">
        <v>14</v>
      </c>
      <c r="C19010" t="s">
        <v>32</v>
      </c>
      <c r="D19010" t="s">
        <v>11</v>
      </c>
      <c r="E19010" t="s">
        <v>12</v>
      </c>
      <c r="F19010">
        <v>3157770</v>
      </c>
      <c r="G19010">
        <v>3157784</v>
      </c>
      <c r="H19010">
        <v>3157770</v>
      </c>
      <c r="I19010">
        <v>3157784</v>
      </c>
    </row>
    <row r="19011" spans="1:9" x14ac:dyDescent="0.2">
      <c r="A19011" s="1" t="str">
        <f>"TUBB2B"</f>
        <v>TUBB2B</v>
      </c>
      <c r="B19011" t="s">
        <v>9</v>
      </c>
      <c r="C19011" t="s">
        <v>32</v>
      </c>
      <c r="D19011" t="s">
        <v>11</v>
      </c>
      <c r="E19011" t="s">
        <v>12</v>
      </c>
      <c r="F19011">
        <v>3227877</v>
      </c>
      <c r="G19011">
        <v>3227894</v>
      </c>
      <c r="H19011">
        <v>3227877</v>
      </c>
      <c r="I19011">
        <v>3227894</v>
      </c>
    </row>
    <row r="19012" spans="1:9" x14ac:dyDescent="0.2">
      <c r="A19012" s="1" t="str">
        <f>"TUBB2B"</f>
        <v>TUBB2B</v>
      </c>
      <c r="B19012" t="s">
        <v>13</v>
      </c>
      <c r="C19012" t="s">
        <v>32</v>
      </c>
      <c r="D19012" t="s">
        <v>11</v>
      </c>
      <c r="E19012" t="s">
        <v>12</v>
      </c>
      <c r="F19012">
        <v>3231965</v>
      </c>
      <c r="G19012">
        <v>3231980</v>
      </c>
      <c r="H19012">
        <v>3231965</v>
      </c>
      <c r="I19012">
        <v>3231980</v>
      </c>
    </row>
    <row r="19013" spans="1:9" x14ac:dyDescent="0.2">
      <c r="A19013" s="1" t="str">
        <f>"TUBB3"</f>
        <v>TUBB3</v>
      </c>
      <c r="B19013" t="s">
        <v>9</v>
      </c>
      <c r="C19013" t="s">
        <v>31</v>
      </c>
      <c r="D19013" t="s">
        <v>17</v>
      </c>
      <c r="E19013" t="s">
        <v>12</v>
      </c>
      <c r="F19013">
        <v>89989741</v>
      </c>
      <c r="G19013">
        <v>89989759</v>
      </c>
      <c r="H19013">
        <v>89989741</v>
      </c>
      <c r="I19013">
        <v>89989759</v>
      </c>
    </row>
    <row r="19014" spans="1:9" x14ac:dyDescent="0.2">
      <c r="A19014" s="1" t="str">
        <f>"TUBB3"</f>
        <v>TUBB3</v>
      </c>
      <c r="B19014" t="s">
        <v>13</v>
      </c>
      <c r="C19014" t="s">
        <v>31</v>
      </c>
      <c r="D19014" t="s">
        <v>17</v>
      </c>
      <c r="E19014" t="s">
        <v>12</v>
      </c>
      <c r="F19014">
        <v>89988312</v>
      </c>
      <c r="G19014">
        <v>89988354</v>
      </c>
      <c r="H19014">
        <v>89988312</v>
      </c>
      <c r="I19014">
        <v>89988354</v>
      </c>
    </row>
    <row r="19015" spans="1:9" x14ac:dyDescent="0.2">
      <c r="A19015" s="1" t="str">
        <f>"TUBB4A"</f>
        <v>TUBB4A</v>
      </c>
      <c r="B19015" t="s">
        <v>14</v>
      </c>
      <c r="C19015" t="s">
        <v>10</v>
      </c>
      <c r="D19015" t="s">
        <v>11</v>
      </c>
      <c r="E19015" t="s">
        <v>12</v>
      </c>
      <c r="F19015">
        <v>6502312</v>
      </c>
      <c r="G19015">
        <v>6502328</v>
      </c>
      <c r="H19015">
        <v>6502341</v>
      </c>
      <c r="I19015">
        <v>6502352</v>
      </c>
    </row>
    <row r="19016" spans="1:9" x14ac:dyDescent="0.2">
      <c r="A19016" s="1" t="str">
        <f>"TUBB4B"</f>
        <v>TUBB4B</v>
      </c>
      <c r="B19016" t="s">
        <v>9</v>
      </c>
      <c r="C19016" t="s">
        <v>24</v>
      </c>
      <c r="D19016" t="s">
        <v>17</v>
      </c>
      <c r="E19016" t="s">
        <v>12</v>
      </c>
      <c r="F19016">
        <v>140135729</v>
      </c>
      <c r="G19016">
        <v>140135748</v>
      </c>
      <c r="H19016">
        <v>140135729</v>
      </c>
      <c r="I19016">
        <v>140135748</v>
      </c>
    </row>
    <row r="19017" spans="1:9" x14ac:dyDescent="0.2">
      <c r="A19017" s="1" t="str">
        <f>"TUBB4B"</f>
        <v>TUBB4B</v>
      </c>
      <c r="B19017" t="s">
        <v>13</v>
      </c>
      <c r="C19017" t="s">
        <v>24</v>
      </c>
      <c r="D19017" t="s">
        <v>17</v>
      </c>
      <c r="E19017" t="s">
        <v>12</v>
      </c>
      <c r="F19017">
        <v>140137256</v>
      </c>
      <c r="G19017">
        <v>140137287</v>
      </c>
      <c r="H19017">
        <v>140137256</v>
      </c>
      <c r="I19017">
        <v>140137287</v>
      </c>
    </row>
    <row r="19018" spans="1:9" x14ac:dyDescent="0.2">
      <c r="A19018" s="1" t="str">
        <f>"TUBB6"</f>
        <v>TUBB6</v>
      </c>
      <c r="B19018" t="s">
        <v>14</v>
      </c>
      <c r="C19018" t="s">
        <v>43</v>
      </c>
      <c r="D19018" t="s">
        <v>17</v>
      </c>
      <c r="E19018" t="s">
        <v>12</v>
      </c>
      <c r="F19018">
        <v>12308232</v>
      </c>
      <c r="G19018">
        <v>12308252</v>
      </c>
      <c r="H19018">
        <v>12308046</v>
      </c>
      <c r="I19018">
        <v>12308094</v>
      </c>
    </row>
    <row r="19019" spans="1:9" x14ac:dyDescent="0.2">
      <c r="A19019" s="1" t="str">
        <f>"TUBB8"</f>
        <v>TUBB8</v>
      </c>
      <c r="B19019" t="s">
        <v>14</v>
      </c>
      <c r="C19019" t="s">
        <v>15</v>
      </c>
      <c r="D19019" t="s">
        <v>11</v>
      </c>
      <c r="E19019" t="s">
        <v>12</v>
      </c>
      <c r="F19019">
        <v>95146</v>
      </c>
      <c r="G19019">
        <v>95178</v>
      </c>
      <c r="H19019">
        <v>95235</v>
      </c>
      <c r="I19019">
        <v>95239</v>
      </c>
    </row>
    <row r="19020" spans="1:9" x14ac:dyDescent="0.2">
      <c r="A19020" s="1" t="str">
        <f>"TUBD1"</f>
        <v>TUBD1</v>
      </c>
      <c r="B19020" t="s">
        <v>14</v>
      </c>
      <c r="C19020" t="s">
        <v>28</v>
      </c>
      <c r="D19020" t="s">
        <v>11</v>
      </c>
      <c r="E19020" t="s">
        <v>12</v>
      </c>
      <c r="F19020">
        <v>57970237</v>
      </c>
      <c r="G19020">
        <v>57970312</v>
      </c>
      <c r="H19020">
        <v>57970074</v>
      </c>
      <c r="I19020">
        <v>57970117</v>
      </c>
    </row>
    <row r="19021" spans="1:9" x14ac:dyDescent="0.2">
      <c r="A19021" s="1" t="str">
        <f>"TUBE1"</f>
        <v>TUBE1</v>
      </c>
      <c r="B19021" t="s">
        <v>14</v>
      </c>
      <c r="C19021" t="s">
        <v>32</v>
      </c>
      <c r="D19021" t="s">
        <v>11</v>
      </c>
      <c r="E19021" t="s">
        <v>12</v>
      </c>
      <c r="F19021">
        <v>112408661</v>
      </c>
      <c r="G19021">
        <v>112408743</v>
      </c>
      <c r="H19021">
        <v>112408745</v>
      </c>
      <c r="I19021">
        <v>112408756</v>
      </c>
    </row>
    <row r="19022" spans="1:9" x14ac:dyDescent="0.2">
      <c r="A19022" s="1" t="str">
        <f>"TUBG1"</f>
        <v>TUBG1</v>
      </c>
      <c r="B19022" t="s">
        <v>14</v>
      </c>
      <c r="C19022" t="s">
        <v>28</v>
      </c>
      <c r="D19022" t="s">
        <v>17</v>
      </c>
      <c r="E19022" t="s">
        <v>12</v>
      </c>
      <c r="F19022">
        <v>40761660</v>
      </c>
      <c r="G19022">
        <v>40761748</v>
      </c>
      <c r="H19022">
        <v>40761428</v>
      </c>
      <c r="I19022">
        <v>40761450</v>
      </c>
    </row>
    <row r="19023" spans="1:9" x14ac:dyDescent="0.2">
      <c r="A19023" s="1" t="str">
        <f>"TUBG2"</f>
        <v>TUBG2</v>
      </c>
      <c r="B19023" t="s">
        <v>14</v>
      </c>
      <c r="C19023" t="s">
        <v>28</v>
      </c>
      <c r="D19023" t="s">
        <v>17</v>
      </c>
      <c r="E19023" t="s">
        <v>12</v>
      </c>
      <c r="F19023">
        <v>40811283</v>
      </c>
      <c r="G19023">
        <v>40811325</v>
      </c>
      <c r="H19023">
        <v>40811378</v>
      </c>
      <c r="I19023">
        <v>40811451</v>
      </c>
    </row>
    <row r="19024" spans="1:9" x14ac:dyDescent="0.2">
      <c r="A19024" s="1" t="str">
        <f>"TUBGCP2"</f>
        <v>TUBGCP2</v>
      </c>
      <c r="B19024" t="s">
        <v>14</v>
      </c>
      <c r="C19024" t="s">
        <v>15</v>
      </c>
      <c r="D19024" t="s">
        <v>11</v>
      </c>
      <c r="E19024" t="s">
        <v>12</v>
      </c>
      <c r="F19024">
        <v>135122346</v>
      </c>
      <c r="G19024">
        <v>135122393</v>
      </c>
      <c r="H19024">
        <v>135122648</v>
      </c>
      <c r="I19024">
        <v>135122690</v>
      </c>
    </row>
    <row r="19025" spans="1:9" x14ac:dyDescent="0.2">
      <c r="A19025" s="1" t="str">
        <f>"TUBGCP3"</f>
        <v>TUBGCP3</v>
      </c>
      <c r="B19025" t="s">
        <v>14</v>
      </c>
      <c r="C19025" t="s">
        <v>39</v>
      </c>
      <c r="D19025" t="s">
        <v>11</v>
      </c>
      <c r="E19025" t="s">
        <v>12</v>
      </c>
      <c r="F19025">
        <v>113242439</v>
      </c>
      <c r="G19025">
        <v>113242488</v>
      </c>
      <c r="H19025">
        <v>113242415</v>
      </c>
      <c r="I19025">
        <v>113242424</v>
      </c>
    </row>
    <row r="19026" spans="1:9" x14ac:dyDescent="0.2">
      <c r="A19026" s="1" t="str">
        <f>"TUBGCP4"</f>
        <v>TUBGCP4</v>
      </c>
      <c r="B19026" t="s">
        <v>14</v>
      </c>
      <c r="C19026" t="s">
        <v>25</v>
      </c>
      <c r="D19026" t="s">
        <v>17</v>
      </c>
      <c r="E19026" t="s">
        <v>12</v>
      </c>
      <c r="F19026">
        <v>43663257</v>
      </c>
      <c r="G19026">
        <v>43663307</v>
      </c>
      <c r="H19026">
        <v>43663354</v>
      </c>
      <c r="I19026">
        <v>43663398</v>
      </c>
    </row>
    <row r="19027" spans="1:9" x14ac:dyDescent="0.2">
      <c r="A19027" s="1" t="str">
        <f>"TUBGCP5"</f>
        <v>TUBGCP5</v>
      </c>
      <c r="B19027" t="s">
        <v>14</v>
      </c>
      <c r="C19027" t="s">
        <v>25</v>
      </c>
      <c r="D19027" t="s">
        <v>17</v>
      </c>
      <c r="E19027" t="s">
        <v>12</v>
      </c>
      <c r="F19027">
        <v>22833482</v>
      </c>
      <c r="G19027">
        <v>22833507</v>
      </c>
      <c r="H19027">
        <v>22833514</v>
      </c>
      <c r="I19027">
        <v>22833525</v>
      </c>
    </row>
    <row r="19028" spans="1:9" x14ac:dyDescent="0.2">
      <c r="A19028" s="1" t="str">
        <f>"TUBGCP6"</f>
        <v>TUBGCP6</v>
      </c>
      <c r="B19028" t="s">
        <v>14</v>
      </c>
      <c r="C19028" t="s">
        <v>21</v>
      </c>
      <c r="D19028" t="s">
        <v>11</v>
      </c>
      <c r="E19028" t="s">
        <v>12</v>
      </c>
      <c r="F19028">
        <v>50683388</v>
      </c>
      <c r="G19028">
        <v>50683444</v>
      </c>
      <c r="H19028">
        <v>50683445</v>
      </c>
      <c r="I19028">
        <v>50683462</v>
      </c>
    </row>
    <row r="19029" spans="1:9" x14ac:dyDescent="0.2">
      <c r="A19029" s="1" t="str">
        <f>"TUFM"</f>
        <v>TUFM</v>
      </c>
      <c r="B19029" t="s">
        <v>14</v>
      </c>
      <c r="C19029" t="s">
        <v>31</v>
      </c>
      <c r="D19029" t="s">
        <v>11</v>
      </c>
      <c r="E19029" t="s">
        <v>12</v>
      </c>
      <c r="F19029">
        <v>28857630</v>
      </c>
      <c r="G19029">
        <v>28857675</v>
      </c>
      <c r="H19029">
        <v>28857677</v>
      </c>
      <c r="I19029">
        <v>28857690</v>
      </c>
    </row>
    <row r="19030" spans="1:9" x14ac:dyDescent="0.2">
      <c r="A19030" s="1" t="str">
        <f>"TUFT1"</f>
        <v>TUFT1</v>
      </c>
      <c r="B19030" t="s">
        <v>14</v>
      </c>
      <c r="C19030" t="s">
        <v>19</v>
      </c>
      <c r="D19030" t="s">
        <v>17</v>
      </c>
      <c r="E19030" t="s">
        <v>12</v>
      </c>
      <c r="F19030">
        <v>151512775</v>
      </c>
      <c r="G19030">
        <v>151512792</v>
      </c>
      <c r="H19030">
        <v>151512775</v>
      </c>
      <c r="I19030">
        <v>151512792</v>
      </c>
    </row>
    <row r="19031" spans="1:9" x14ac:dyDescent="0.2">
      <c r="A19031" s="1" t="str">
        <f>"TULP1"</f>
        <v>TULP1</v>
      </c>
      <c r="B19031" t="s">
        <v>14</v>
      </c>
      <c r="C19031" t="s">
        <v>32</v>
      </c>
      <c r="D19031" t="s">
        <v>11</v>
      </c>
      <c r="E19031" t="s">
        <v>12</v>
      </c>
      <c r="F19031">
        <v>35480659</v>
      </c>
      <c r="G19031">
        <v>35480679</v>
      </c>
      <c r="H19031">
        <v>35480028</v>
      </c>
      <c r="I19031">
        <v>35480060</v>
      </c>
    </row>
    <row r="19032" spans="1:9" x14ac:dyDescent="0.2">
      <c r="A19032" s="1" t="str">
        <f>"TULP2"</f>
        <v>TULP2</v>
      </c>
      <c r="B19032" t="s">
        <v>14</v>
      </c>
      <c r="C19032" t="s">
        <v>10</v>
      </c>
      <c r="D19032" t="s">
        <v>11</v>
      </c>
      <c r="E19032" t="s">
        <v>12</v>
      </c>
      <c r="F19032">
        <v>49401994</v>
      </c>
      <c r="G19032">
        <v>49402004</v>
      </c>
      <c r="H19032">
        <v>49401964</v>
      </c>
      <c r="I19032">
        <v>49401973</v>
      </c>
    </row>
    <row r="19033" spans="1:9" x14ac:dyDescent="0.2">
      <c r="A19033" s="1" t="str">
        <f>"TULP3"</f>
        <v>TULP3</v>
      </c>
      <c r="B19033" t="s">
        <v>9</v>
      </c>
      <c r="C19033" t="s">
        <v>16</v>
      </c>
      <c r="D19033" t="s">
        <v>17</v>
      </c>
      <c r="E19033" t="s">
        <v>12</v>
      </c>
      <c r="F19033">
        <v>2986359</v>
      </c>
      <c r="G19033">
        <v>2986421</v>
      </c>
      <c r="H19033">
        <v>2986359</v>
      </c>
      <c r="I19033">
        <v>2986421</v>
      </c>
    </row>
    <row r="19034" spans="1:9" x14ac:dyDescent="0.2">
      <c r="A19034" s="1" t="str">
        <f>"TULP3"</f>
        <v>TULP3</v>
      </c>
      <c r="B19034" t="s">
        <v>13</v>
      </c>
      <c r="C19034" t="s">
        <v>16</v>
      </c>
      <c r="D19034" t="s">
        <v>17</v>
      </c>
      <c r="E19034" t="s">
        <v>12</v>
      </c>
      <c r="F19034">
        <v>3000037</v>
      </c>
      <c r="G19034">
        <v>3000067</v>
      </c>
      <c r="H19034">
        <v>3000037</v>
      </c>
      <c r="I19034">
        <v>3000067</v>
      </c>
    </row>
    <row r="19035" spans="1:9" x14ac:dyDescent="0.2">
      <c r="A19035" s="1" t="str">
        <f>"TULP4"</f>
        <v>TULP4</v>
      </c>
      <c r="B19035" t="s">
        <v>14</v>
      </c>
      <c r="C19035" t="s">
        <v>32</v>
      </c>
      <c r="D19035" t="s">
        <v>17</v>
      </c>
      <c r="E19035" t="s">
        <v>12</v>
      </c>
      <c r="F19035">
        <v>158733331</v>
      </c>
      <c r="G19035">
        <v>158733364</v>
      </c>
      <c r="H19035">
        <v>158733331</v>
      </c>
      <c r="I19035">
        <v>158733364</v>
      </c>
    </row>
    <row r="19036" spans="1:9" x14ac:dyDescent="0.2">
      <c r="A19036" s="1" t="str">
        <f>"TUSC1"</f>
        <v>TUSC1</v>
      </c>
      <c r="B19036" t="s">
        <v>14</v>
      </c>
      <c r="C19036" t="s">
        <v>24</v>
      </c>
      <c r="D19036" t="s">
        <v>11</v>
      </c>
      <c r="E19036" t="s">
        <v>12</v>
      </c>
      <c r="F19036">
        <v>25678242</v>
      </c>
      <c r="G19036">
        <v>25678308</v>
      </c>
      <c r="H19036">
        <v>25678373</v>
      </c>
      <c r="I19036">
        <v>25678464</v>
      </c>
    </row>
    <row r="19037" spans="1:9" x14ac:dyDescent="0.2">
      <c r="A19037" s="1" t="str">
        <f>"TUSC2"</f>
        <v>TUSC2</v>
      </c>
      <c r="B19037" t="s">
        <v>14</v>
      </c>
      <c r="C19037" t="s">
        <v>22</v>
      </c>
      <c r="D19037" t="s">
        <v>11</v>
      </c>
      <c r="E19037" t="s">
        <v>12</v>
      </c>
      <c r="F19037">
        <v>50365607</v>
      </c>
      <c r="G19037">
        <v>50365676</v>
      </c>
      <c r="H19037">
        <v>50365585</v>
      </c>
      <c r="I19037">
        <v>50365601</v>
      </c>
    </row>
    <row r="19038" spans="1:9" x14ac:dyDescent="0.2">
      <c r="A19038" s="1" t="str">
        <f>"TUSC3"</f>
        <v>TUSC3</v>
      </c>
      <c r="B19038" t="s">
        <v>14</v>
      </c>
      <c r="C19038" t="s">
        <v>30</v>
      </c>
      <c r="D19038" t="s">
        <v>17</v>
      </c>
      <c r="E19038" t="s">
        <v>12</v>
      </c>
      <c r="F19038">
        <v>15397763</v>
      </c>
      <c r="G19038">
        <v>15397786</v>
      </c>
      <c r="H19038">
        <v>15397763</v>
      </c>
      <c r="I19038">
        <v>15397786</v>
      </c>
    </row>
    <row r="19039" spans="1:9" x14ac:dyDescent="0.2">
      <c r="A19039" s="1" t="str">
        <f>"TUSC5"</f>
        <v>TUSC5</v>
      </c>
      <c r="B19039" t="s">
        <v>14</v>
      </c>
      <c r="C19039" t="s">
        <v>28</v>
      </c>
      <c r="D19039" t="s">
        <v>17</v>
      </c>
      <c r="E19039" t="s">
        <v>12</v>
      </c>
      <c r="F19039">
        <v>1182948</v>
      </c>
      <c r="G19039">
        <v>1182967</v>
      </c>
      <c r="H19039">
        <v>1182890</v>
      </c>
      <c r="I19039">
        <v>1182916</v>
      </c>
    </row>
    <row r="19040" spans="1:9" x14ac:dyDescent="0.2">
      <c r="A19040" s="1" t="str">
        <f>"TUT1"</f>
        <v>TUT1</v>
      </c>
      <c r="B19040" t="s">
        <v>9</v>
      </c>
      <c r="C19040" t="s">
        <v>27</v>
      </c>
      <c r="D19040" t="s">
        <v>11</v>
      </c>
      <c r="E19040" t="s">
        <v>12</v>
      </c>
      <c r="F19040">
        <v>62358972</v>
      </c>
      <c r="G19040">
        <v>62359004</v>
      </c>
      <c r="H19040">
        <v>62358972</v>
      </c>
      <c r="I19040">
        <v>62359004</v>
      </c>
    </row>
    <row r="19041" spans="1:9" x14ac:dyDescent="0.2">
      <c r="A19041" s="1" t="str">
        <f>"TUT1"</f>
        <v>TUT1</v>
      </c>
      <c r="B19041" t="s">
        <v>13</v>
      </c>
      <c r="C19041" t="s">
        <v>27</v>
      </c>
      <c r="D19041" t="s">
        <v>11</v>
      </c>
      <c r="E19041" t="s">
        <v>12</v>
      </c>
      <c r="F19041">
        <v>62344721</v>
      </c>
      <c r="G19041">
        <v>62344758</v>
      </c>
      <c r="H19041">
        <v>62344721</v>
      </c>
      <c r="I19041">
        <v>62344758</v>
      </c>
    </row>
    <row r="19042" spans="1:9" x14ac:dyDescent="0.2">
      <c r="A19042" s="1" t="str">
        <f>"TVP23A"</f>
        <v>TVP23A</v>
      </c>
      <c r="B19042" t="s">
        <v>14</v>
      </c>
      <c r="C19042" t="s">
        <v>31</v>
      </c>
      <c r="D19042" t="s">
        <v>11</v>
      </c>
      <c r="E19042" t="s">
        <v>12</v>
      </c>
      <c r="F19042">
        <v>10912495</v>
      </c>
      <c r="G19042">
        <v>10912543</v>
      </c>
      <c r="H19042">
        <v>10912605</v>
      </c>
      <c r="I19042">
        <v>10912656</v>
      </c>
    </row>
    <row r="19043" spans="1:9" x14ac:dyDescent="0.2">
      <c r="A19043" s="1" t="str">
        <f>"TVP23B"</f>
        <v>TVP23B</v>
      </c>
      <c r="B19043" t="s">
        <v>14</v>
      </c>
      <c r="C19043" t="s">
        <v>28</v>
      </c>
      <c r="D19043" t="s">
        <v>17</v>
      </c>
      <c r="E19043" t="s">
        <v>12</v>
      </c>
      <c r="F19043">
        <v>18684563</v>
      </c>
      <c r="G19043">
        <v>18684589</v>
      </c>
      <c r="H19043">
        <v>18684489</v>
      </c>
      <c r="I19043">
        <v>18684506</v>
      </c>
    </row>
    <row r="19044" spans="1:9" x14ac:dyDescent="0.2">
      <c r="A19044" s="1" t="str">
        <f>"TVP23C"</f>
        <v>TVP23C</v>
      </c>
      <c r="B19044" t="s">
        <v>14</v>
      </c>
      <c r="C19044" t="s">
        <v>28</v>
      </c>
      <c r="D19044" t="s">
        <v>11</v>
      </c>
      <c r="E19044" t="s">
        <v>12</v>
      </c>
      <c r="F19044">
        <v>15466784</v>
      </c>
      <c r="G19044">
        <v>15466820</v>
      </c>
      <c r="H19044">
        <v>15466895</v>
      </c>
      <c r="I19044">
        <v>15466926</v>
      </c>
    </row>
    <row r="19045" spans="1:9" x14ac:dyDescent="0.2">
      <c r="A19045" s="1" t="str">
        <f>"TVP23C-CDRT4"</f>
        <v>TVP23C-CDRT4</v>
      </c>
      <c r="B19045" t="s">
        <v>14</v>
      </c>
      <c r="C19045" t="s">
        <v>28</v>
      </c>
      <c r="D19045" t="s">
        <v>11</v>
      </c>
      <c r="E19045" t="s">
        <v>12</v>
      </c>
      <c r="F19045">
        <v>15466784</v>
      </c>
      <c r="G19045">
        <v>15466820</v>
      </c>
      <c r="H19045">
        <v>15466930</v>
      </c>
      <c r="I19045">
        <v>15466942</v>
      </c>
    </row>
    <row r="19046" spans="1:9" x14ac:dyDescent="0.2">
      <c r="A19046" s="1" t="str">
        <f>"TWF1"</f>
        <v>TWF1</v>
      </c>
      <c r="B19046" t="s">
        <v>14</v>
      </c>
      <c r="C19046" t="s">
        <v>16</v>
      </c>
      <c r="D19046" t="s">
        <v>11</v>
      </c>
      <c r="E19046" t="s">
        <v>12</v>
      </c>
      <c r="F19046">
        <v>44200112</v>
      </c>
      <c r="G19046">
        <v>44200136</v>
      </c>
      <c r="H19046">
        <v>44200146</v>
      </c>
      <c r="I19046">
        <v>44200157</v>
      </c>
    </row>
    <row r="19047" spans="1:9" x14ac:dyDescent="0.2">
      <c r="A19047" s="1" t="str">
        <f>"TWF2"</f>
        <v>TWF2</v>
      </c>
      <c r="B19047" t="s">
        <v>14</v>
      </c>
      <c r="C19047" t="s">
        <v>22</v>
      </c>
      <c r="D19047" t="s">
        <v>11</v>
      </c>
      <c r="E19047" t="s">
        <v>12</v>
      </c>
      <c r="F19047">
        <v>52273098</v>
      </c>
      <c r="G19047">
        <v>52273181</v>
      </c>
      <c r="H19047">
        <v>52273098</v>
      </c>
      <c r="I19047">
        <v>52273181</v>
      </c>
    </row>
    <row r="19048" spans="1:9" x14ac:dyDescent="0.2">
      <c r="A19048" s="1" t="str">
        <f>"TWIST1"</f>
        <v>TWIST1</v>
      </c>
      <c r="B19048" t="s">
        <v>14</v>
      </c>
      <c r="C19048" t="s">
        <v>33</v>
      </c>
      <c r="D19048" t="s">
        <v>11</v>
      </c>
      <c r="E19048" t="s">
        <v>12</v>
      </c>
      <c r="F19048">
        <v>19157248</v>
      </c>
      <c r="G19048">
        <v>19157268</v>
      </c>
      <c r="H19048">
        <v>19157043</v>
      </c>
      <c r="I19048">
        <v>19157088</v>
      </c>
    </row>
    <row r="19049" spans="1:9" x14ac:dyDescent="0.2">
      <c r="A19049" s="1" t="str">
        <f>"TWIST2"</f>
        <v>TWIST2</v>
      </c>
      <c r="B19049" t="s">
        <v>14</v>
      </c>
      <c r="C19049" t="s">
        <v>26</v>
      </c>
      <c r="D19049" t="s">
        <v>17</v>
      </c>
      <c r="E19049" t="s">
        <v>12</v>
      </c>
      <c r="F19049">
        <v>239756671</v>
      </c>
      <c r="G19049">
        <v>239756732</v>
      </c>
      <c r="H19049">
        <v>239756739</v>
      </c>
      <c r="I19049">
        <v>239756755</v>
      </c>
    </row>
    <row r="19050" spans="1:9" x14ac:dyDescent="0.2">
      <c r="A19050" s="1" t="str">
        <f>"TWISTNB"</f>
        <v>TWISTNB</v>
      </c>
      <c r="B19050" t="s">
        <v>14</v>
      </c>
      <c r="C19050" t="s">
        <v>33</v>
      </c>
      <c r="D19050" t="s">
        <v>11</v>
      </c>
      <c r="E19050" t="s">
        <v>12</v>
      </c>
      <c r="F19050">
        <v>19748640</v>
      </c>
      <c r="G19050">
        <v>19748689</v>
      </c>
      <c r="H19050">
        <v>19748615</v>
      </c>
      <c r="I19050">
        <v>19748627</v>
      </c>
    </row>
    <row r="19051" spans="1:9" x14ac:dyDescent="0.2">
      <c r="A19051" s="1" t="str">
        <f>"TWSG1"</f>
        <v>TWSG1</v>
      </c>
      <c r="B19051" t="s">
        <v>14</v>
      </c>
      <c r="C19051" t="s">
        <v>43</v>
      </c>
      <c r="D19051" t="s">
        <v>17</v>
      </c>
      <c r="E19051" t="s">
        <v>12</v>
      </c>
      <c r="F19051">
        <v>9334786</v>
      </c>
      <c r="G19051">
        <v>9334844</v>
      </c>
      <c r="H19051">
        <v>9334755</v>
      </c>
      <c r="I19051">
        <v>9334778</v>
      </c>
    </row>
    <row r="19052" spans="1:9" x14ac:dyDescent="0.2">
      <c r="A19052" s="1" t="str">
        <f>"TXK"</f>
        <v>TXK</v>
      </c>
      <c r="B19052" t="s">
        <v>9</v>
      </c>
      <c r="C19052" t="s">
        <v>23</v>
      </c>
      <c r="D19052" t="s">
        <v>11</v>
      </c>
      <c r="E19052" t="s">
        <v>12</v>
      </c>
      <c r="F19052">
        <v>48136217</v>
      </c>
      <c r="G19052">
        <v>48136273</v>
      </c>
      <c r="H19052">
        <v>48136217</v>
      </c>
      <c r="I19052">
        <v>48136273</v>
      </c>
    </row>
    <row r="19053" spans="1:9" x14ac:dyDescent="0.2">
      <c r="A19053" s="1" t="str">
        <f>"TXK"</f>
        <v>TXK</v>
      </c>
      <c r="B19053" t="s">
        <v>13</v>
      </c>
      <c r="C19053" t="s">
        <v>23</v>
      </c>
      <c r="D19053" t="s">
        <v>11</v>
      </c>
      <c r="E19053" t="s">
        <v>12</v>
      </c>
      <c r="F19053">
        <v>48116540</v>
      </c>
      <c r="G19053">
        <v>48116569</v>
      </c>
      <c r="H19053">
        <v>48116540</v>
      </c>
      <c r="I19053">
        <v>48116569</v>
      </c>
    </row>
    <row r="19054" spans="1:9" x14ac:dyDescent="0.2">
      <c r="A19054" s="1" t="str">
        <f>"TXLNA"</f>
        <v>TXLNA</v>
      </c>
      <c r="B19054" t="s">
        <v>14</v>
      </c>
      <c r="C19054" t="s">
        <v>19</v>
      </c>
      <c r="D19054" t="s">
        <v>17</v>
      </c>
      <c r="E19054" t="s">
        <v>12</v>
      </c>
      <c r="F19054">
        <v>32645296</v>
      </c>
      <c r="G19054">
        <v>32645355</v>
      </c>
      <c r="H19054">
        <v>32645645</v>
      </c>
      <c r="I19054">
        <v>32645735</v>
      </c>
    </row>
    <row r="19055" spans="1:9" x14ac:dyDescent="0.2">
      <c r="A19055" s="1" t="str">
        <f>"TXLNB"</f>
        <v>TXLNB</v>
      </c>
      <c r="B19055" t="s">
        <v>14</v>
      </c>
      <c r="C19055" t="s">
        <v>32</v>
      </c>
      <c r="D19055" t="s">
        <v>11</v>
      </c>
      <c r="E19055" t="s">
        <v>12</v>
      </c>
      <c r="F19055">
        <v>139613125</v>
      </c>
      <c r="G19055">
        <v>139613190</v>
      </c>
      <c r="H19055">
        <v>139613101</v>
      </c>
      <c r="I19055">
        <v>139613118</v>
      </c>
    </row>
    <row r="19056" spans="1:9" x14ac:dyDescent="0.2">
      <c r="A19056" s="1" t="str">
        <f>"TXLNG"</f>
        <v>TXLNG</v>
      </c>
      <c r="B19056" t="s">
        <v>14</v>
      </c>
      <c r="C19056" t="s">
        <v>37</v>
      </c>
      <c r="D19056" t="s">
        <v>17</v>
      </c>
      <c r="E19056" t="s">
        <v>12</v>
      </c>
      <c r="F19056">
        <v>16804544</v>
      </c>
      <c r="G19056">
        <v>16804613</v>
      </c>
      <c r="H19056">
        <v>16804656</v>
      </c>
      <c r="I19056">
        <v>16804661</v>
      </c>
    </row>
    <row r="19057" spans="1:9" x14ac:dyDescent="0.2">
      <c r="A19057" s="1" t="str">
        <f>"TXN"</f>
        <v>TXN</v>
      </c>
      <c r="B19057" t="s">
        <v>14</v>
      </c>
      <c r="C19057" t="s">
        <v>24</v>
      </c>
      <c r="D19057" t="s">
        <v>11</v>
      </c>
      <c r="E19057" t="s">
        <v>12</v>
      </c>
      <c r="F19057">
        <v>113018779</v>
      </c>
      <c r="G19057">
        <v>113018796</v>
      </c>
      <c r="H19057">
        <v>113018810</v>
      </c>
      <c r="I19057">
        <v>113018826</v>
      </c>
    </row>
    <row r="19058" spans="1:9" x14ac:dyDescent="0.2">
      <c r="A19058" s="1" t="str">
        <f>"TXN2"</f>
        <v>TXN2</v>
      </c>
      <c r="B19058" t="s">
        <v>14</v>
      </c>
      <c r="C19058" t="s">
        <v>21</v>
      </c>
      <c r="D19058" t="s">
        <v>11</v>
      </c>
      <c r="E19058" t="s">
        <v>12</v>
      </c>
      <c r="F19058">
        <v>36877629</v>
      </c>
      <c r="G19058">
        <v>36877693</v>
      </c>
      <c r="H19058">
        <v>36877371</v>
      </c>
      <c r="I19058">
        <v>36877405</v>
      </c>
    </row>
    <row r="19059" spans="1:9" x14ac:dyDescent="0.2">
      <c r="A19059" s="1" t="str">
        <f>"TXNDC11"</f>
        <v>TXNDC11</v>
      </c>
      <c r="B19059" t="s">
        <v>14</v>
      </c>
      <c r="C19059" t="s">
        <v>31</v>
      </c>
      <c r="D19059" t="s">
        <v>11</v>
      </c>
      <c r="E19059" t="s">
        <v>12</v>
      </c>
      <c r="F19059">
        <v>11836595</v>
      </c>
      <c r="G19059">
        <v>11836726</v>
      </c>
      <c r="H19059">
        <v>11836574</v>
      </c>
      <c r="I19059">
        <v>11836590</v>
      </c>
    </row>
    <row r="19060" spans="1:9" x14ac:dyDescent="0.2">
      <c r="A19060" s="1" t="str">
        <f>"TXNDC12"</f>
        <v>TXNDC12</v>
      </c>
      <c r="B19060" t="s">
        <v>14</v>
      </c>
      <c r="C19060" t="s">
        <v>19</v>
      </c>
      <c r="D19060" t="s">
        <v>11</v>
      </c>
      <c r="E19060" t="s">
        <v>12</v>
      </c>
      <c r="F19060">
        <v>52520828</v>
      </c>
      <c r="G19060">
        <v>52520888</v>
      </c>
      <c r="H19060">
        <v>52521381</v>
      </c>
      <c r="I19060">
        <v>52521400</v>
      </c>
    </row>
    <row r="19061" spans="1:9" x14ac:dyDescent="0.2">
      <c r="A19061" s="1" t="str">
        <f>"TXNDC15"</f>
        <v>TXNDC15</v>
      </c>
      <c r="B19061" t="s">
        <v>14</v>
      </c>
      <c r="C19061" t="s">
        <v>46</v>
      </c>
      <c r="D19061" t="s">
        <v>17</v>
      </c>
      <c r="E19061" t="s">
        <v>12</v>
      </c>
      <c r="F19061">
        <v>134210035</v>
      </c>
      <c r="G19061">
        <v>134210110</v>
      </c>
      <c r="H19061">
        <v>134210730</v>
      </c>
      <c r="I19061">
        <v>134210781</v>
      </c>
    </row>
    <row r="19062" spans="1:9" x14ac:dyDescent="0.2">
      <c r="A19062" s="1" t="str">
        <f>"TXNDC16"</f>
        <v>TXNDC16</v>
      </c>
      <c r="B19062" t="s">
        <v>14</v>
      </c>
      <c r="C19062" t="s">
        <v>41</v>
      </c>
      <c r="D19062" t="s">
        <v>11</v>
      </c>
      <c r="E19062" t="s">
        <v>12</v>
      </c>
      <c r="F19062">
        <v>53019211</v>
      </c>
      <c r="G19062">
        <v>53019269</v>
      </c>
      <c r="H19062">
        <v>53019058</v>
      </c>
      <c r="I19062">
        <v>53019095</v>
      </c>
    </row>
    <row r="19063" spans="1:9" x14ac:dyDescent="0.2">
      <c r="A19063" s="1" t="str">
        <f>"TXNDC17"</f>
        <v>TXNDC17</v>
      </c>
      <c r="B19063" t="s">
        <v>14</v>
      </c>
      <c r="C19063" t="s">
        <v>28</v>
      </c>
      <c r="D19063" t="s">
        <v>17</v>
      </c>
      <c r="E19063" t="s">
        <v>12</v>
      </c>
      <c r="F19063">
        <v>6544372</v>
      </c>
      <c r="G19063">
        <v>6544386</v>
      </c>
      <c r="H19063">
        <v>6544372</v>
      </c>
      <c r="I19063">
        <v>6544386</v>
      </c>
    </row>
    <row r="19064" spans="1:9" x14ac:dyDescent="0.2">
      <c r="A19064" s="1" t="str">
        <f>"TXNDC2"</f>
        <v>TXNDC2</v>
      </c>
      <c r="B19064" t="s">
        <v>14</v>
      </c>
      <c r="C19064" t="s">
        <v>43</v>
      </c>
      <c r="D19064" t="s">
        <v>17</v>
      </c>
      <c r="E19064" t="s">
        <v>12</v>
      </c>
      <c r="F19064">
        <v>9885961</v>
      </c>
      <c r="G19064">
        <v>9885992</v>
      </c>
      <c r="H19064">
        <v>9885934</v>
      </c>
      <c r="I19064">
        <v>9885943</v>
      </c>
    </row>
    <row r="19065" spans="1:9" x14ac:dyDescent="0.2">
      <c r="A19065" s="1" t="str">
        <f>"TXNDC5"</f>
        <v>TXNDC5</v>
      </c>
      <c r="B19065" t="s">
        <v>14</v>
      </c>
      <c r="C19065" t="s">
        <v>32</v>
      </c>
      <c r="D19065" t="s">
        <v>11</v>
      </c>
      <c r="E19065" t="s">
        <v>12</v>
      </c>
      <c r="F19065">
        <v>7911009</v>
      </c>
      <c r="G19065">
        <v>7911038</v>
      </c>
      <c r="H19065">
        <v>7911009</v>
      </c>
      <c r="I19065">
        <v>7911038</v>
      </c>
    </row>
    <row r="19066" spans="1:9" x14ac:dyDescent="0.2">
      <c r="A19066" s="1" t="str">
        <f>"TXNDC8"</f>
        <v>TXNDC8</v>
      </c>
      <c r="B19066" t="s">
        <v>14</v>
      </c>
      <c r="C19066" t="s">
        <v>24</v>
      </c>
      <c r="D19066" t="s">
        <v>11</v>
      </c>
      <c r="E19066" t="s">
        <v>12</v>
      </c>
      <c r="F19066">
        <v>113100137</v>
      </c>
      <c r="G19066">
        <v>113100147</v>
      </c>
      <c r="H19066">
        <v>113100137</v>
      </c>
      <c r="I19066">
        <v>113100147</v>
      </c>
    </row>
    <row r="19067" spans="1:9" x14ac:dyDescent="0.2">
      <c r="A19067" s="1" t="str">
        <f>"TXNDC9"</f>
        <v>TXNDC9</v>
      </c>
      <c r="B19067" t="s">
        <v>14</v>
      </c>
      <c r="C19067" t="s">
        <v>26</v>
      </c>
      <c r="D19067" t="s">
        <v>11</v>
      </c>
      <c r="E19067" t="s">
        <v>12</v>
      </c>
      <c r="F19067">
        <v>99952769</v>
      </c>
      <c r="G19067">
        <v>99952823</v>
      </c>
      <c r="H19067">
        <v>99952769</v>
      </c>
      <c r="I19067">
        <v>99952823</v>
      </c>
    </row>
    <row r="19068" spans="1:9" x14ac:dyDescent="0.2">
      <c r="A19068" s="1" t="str">
        <f>"TXNIP"</f>
        <v>TXNIP</v>
      </c>
      <c r="B19068" t="s">
        <v>9</v>
      </c>
      <c r="C19068" t="s">
        <v>19</v>
      </c>
      <c r="D19068" t="s">
        <v>17</v>
      </c>
      <c r="E19068" t="s">
        <v>12</v>
      </c>
      <c r="F19068">
        <v>145438482</v>
      </c>
      <c r="G19068">
        <v>145438501</v>
      </c>
      <c r="H19068">
        <v>145438482</v>
      </c>
      <c r="I19068">
        <v>145438501</v>
      </c>
    </row>
    <row r="19069" spans="1:9" x14ac:dyDescent="0.2">
      <c r="A19069" s="1" t="str">
        <f>"TXNIP"</f>
        <v>TXNIP</v>
      </c>
      <c r="B19069" t="s">
        <v>13</v>
      </c>
      <c r="C19069" t="s">
        <v>19</v>
      </c>
      <c r="D19069" t="s">
        <v>17</v>
      </c>
      <c r="E19069" t="s">
        <v>12</v>
      </c>
      <c r="F19069">
        <v>145439821</v>
      </c>
      <c r="G19069">
        <v>145439857</v>
      </c>
      <c r="H19069">
        <v>145439821</v>
      </c>
      <c r="I19069">
        <v>145439857</v>
      </c>
    </row>
    <row r="19070" spans="1:9" x14ac:dyDescent="0.2">
      <c r="A19070" s="1" t="str">
        <f>"TXNL1"</f>
        <v>TXNL1</v>
      </c>
      <c r="B19070" t="s">
        <v>14</v>
      </c>
      <c r="C19070" t="s">
        <v>43</v>
      </c>
      <c r="D19070" t="s">
        <v>11</v>
      </c>
      <c r="E19070" t="s">
        <v>12</v>
      </c>
      <c r="F19070">
        <v>54305800</v>
      </c>
      <c r="G19070">
        <v>54305875</v>
      </c>
      <c r="H19070">
        <v>54305880</v>
      </c>
      <c r="I19070">
        <v>54305897</v>
      </c>
    </row>
    <row r="19071" spans="1:9" x14ac:dyDescent="0.2">
      <c r="A19071" s="1" t="str">
        <f>"TXNL4A"</f>
        <v>TXNL4A</v>
      </c>
      <c r="B19071" t="s">
        <v>14</v>
      </c>
      <c r="C19071" t="s">
        <v>43</v>
      </c>
      <c r="D19071" t="s">
        <v>11</v>
      </c>
      <c r="E19071" t="s">
        <v>12</v>
      </c>
      <c r="F19071">
        <v>77748527</v>
      </c>
      <c r="G19071">
        <v>77748598</v>
      </c>
      <c r="H19071">
        <v>77748503</v>
      </c>
      <c r="I19071">
        <v>77748515</v>
      </c>
    </row>
    <row r="19072" spans="1:9" x14ac:dyDescent="0.2">
      <c r="A19072" s="1" t="str">
        <f>"TXNL4B"</f>
        <v>TXNL4B</v>
      </c>
      <c r="B19072" t="s">
        <v>14</v>
      </c>
      <c r="C19072" t="s">
        <v>31</v>
      </c>
      <c r="D19072" t="s">
        <v>11</v>
      </c>
      <c r="E19072" t="s">
        <v>12</v>
      </c>
      <c r="F19072">
        <v>72127497</v>
      </c>
      <c r="G19072">
        <v>72127546</v>
      </c>
      <c r="H19072">
        <v>72127460</v>
      </c>
      <c r="I19072">
        <v>72127493</v>
      </c>
    </row>
    <row r="19073" spans="1:9" x14ac:dyDescent="0.2">
      <c r="A19073" s="1" t="str">
        <f>"TXNRD1"</f>
        <v>TXNRD1</v>
      </c>
      <c r="B19073" t="s">
        <v>1777</v>
      </c>
      <c r="C19073" t="s">
        <v>16</v>
      </c>
      <c r="D19073" t="s">
        <v>17</v>
      </c>
      <c r="E19073" t="s">
        <v>35</v>
      </c>
      <c r="F19073">
        <v>104609523</v>
      </c>
      <c r="G19073">
        <v>104609546</v>
      </c>
      <c r="H19073">
        <v>104609601</v>
      </c>
      <c r="I19073">
        <v>104609604</v>
      </c>
    </row>
    <row r="19074" spans="1:9" x14ac:dyDescent="0.2">
      <c r="A19074" s="1" t="str">
        <f>"TXNRD2"</f>
        <v>TXNRD2</v>
      </c>
      <c r="B19074" t="s">
        <v>14</v>
      </c>
      <c r="C19074" t="s">
        <v>21</v>
      </c>
      <c r="D19074" t="s">
        <v>11</v>
      </c>
      <c r="E19074" t="s">
        <v>12</v>
      </c>
      <c r="F19074">
        <v>19929321</v>
      </c>
      <c r="G19074">
        <v>19929356</v>
      </c>
      <c r="H19074">
        <v>19929321</v>
      </c>
      <c r="I19074">
        <v>19929356</v>
      </c>
    </row>
    <row r="19075" spans="1:9" x14ac:dyDescent="0.2">
      <c r="A19075" s="1" t="str">
        <f>"TXNRD3"</f>
        <v>TXNRD3</v>
      </c>
      <c r="B19075" t="s">
        <v>14</v>
      </c>
      <c r="C19075" t="s">
        <v>22</v>
      </c>
      <c r="D19075" t="s">
        <v>11</v>
      </c>
      <c r="E19075" t="s">
        <v>12</v>
      </c>
      <c r="F19075">
        <v>126373929</v>
      </c>
      <c r="G19075">
        <v>126373992</v>
      </c>
      <c r="H19075">
        <v>126373929</v>
      </c>
      <c r="I19075">
        <v>126373992</v>
      </c>
    </row>
    <row r="19076" spans="1:9" x14ac:dyDescent="0.2">
      <c r="A19076" s="1" t="str">
        <f>"TXNRD3NB"</f>
        <v>TXNRD3NB</v>
      </c>
      <c r="B19076" t="s">
        <v>1778</v>
      </c>
      <c r="C19076" t="s">
        <v>22</v>
      </c>
      <c r="D19076" t="s">
        <v>11</v>
      </c>
      <c r="E19076" t="s">
        <v>20</v>
      </c>
      <c r="F19076">
        <v>126327397</v>
      </c>
      <c r="G19076">
        <v>126327397</v>
      </c>
      <c r="H19076">
        <v>126327397</v>
      </c>
      <c r="I19076">
        <v>126327397</v>
      </c>
    </row>
    <row r="19077" spans="1:9" x14ac:dyDescent="0.2">
      <c r="A19077" s="1" t="str">
        <f>"TXNRD3NB"</f>
        <v>TXNRD3NB</v>
      </c>
      <c r="B19077" t="s">
        <v>1779</v>
      </c>
      <c r="C19077" t="s">
        <v>22</v>
      </c>
      <c r="D19077" t="s">
        <v>11</v>
      </c>
      <c r="E19077" t="s">
        <v>20</v>
      </c>
      <c r="F19077">
        <v>126291478</v>
      </c>
      <c r="G19077">
        <v>126291478</v>
      </c>
      <c r="H19077">
        <v>126291478</v>
      </c>
      <c r="I19077">
        <v>126291478</v>
      </c>
    </row>
    <row r="19078" spans="1:9" x14ac:dyDescent="0.2">
      <c r="A19078" s="1" t="str">
        <f>"TYK2"</f>
        <v>TYK2</v>
      </c>
      <c r="B19078" t="s">
        <v>14</v>
      </c>
      <c r="C19078" t="s">
        <v>10</v>
      </c>
      <c r="D19078" t="s">
        <v>11</v>
      </c>
      <c r="E19078" t="s">
        <v>12</v>
      </c>
      <c r="F19078">
        <v>10491130</v>
      </c>
      <c r="G19078">
        <v>10491220</v>
      </c>
      <c r="H19078">
        <v>10491234</v>
      </c>
      <c r="I19078">
        <v>10491268</v>
      </c>
    </row>
    <row r="19079" spans="1:9" x14ac:dyDescent="0.2">
      <c r="A19079" s="1" t="str">
        <f>"TYMP"</f>
        <v>TYMP</v>
      </c>
      <c r="B19079" t="s">
        <v>14</v>
      </c>
      <c r="C19079" t="s">
        <v>21</v>
      </c>
      <c r="D19079" t="s">
        <v>11</v>
      </c>
      <c r="E19079" t="s">
        <v>12</v>
      </c>
      <c r="F19079">
        <v>50968434</v>
      </c>
      <c r="G19079">
        <v>50968449</v>
      </c>
      <c r="H19079">
        <v>50968434</v>
      </c>
      <c r="I19079">
        <v>50968449</v>
      </c>
    </row>
    <row r="19080" spans="1:9" x14ac:dyDescent="0.2">
      <c r="A19080" s="1" t="str">
        <f>"TYMS"</f>
        <v>TYMS</v>
      </c>
      <c r="B19080" t="s">
        <v>14</v>
      </c>
      <c r="C19080" t="s">
        <v>43</v>
      </c>
      <c r="D19080" t="s">
        <v>17</v>
      </c>
      <c r="E19080" t="s">
        <v>12</v>
      </c>
      <c r="F19080">
        <v>657637</v>
      </c>
      <c r="G19080">
        <v>657729</v>
      </c>
      <c r="H19080">
        <v>657610</v>
      </c>
      <c r="I19080">
        <v>657633</v>
      </c>
    </row>
    <row r="19081" spans="1:9" x14ac:dyDescent="0.2">
      <c r="A19081" s="1" t="str">
        <f>"TYR"</f>
        <v>TYR</v>
      </c>
      <c r="B19081" t="s">
        <v>14</v>
      </c>
      <c r="C19081" t="s">
        <v>27</v>
      </c>
      <c r="D19081" t="s">
        <v>17</v>
      </c>
      <c r="E19081" t="s">
        <v>12</v>
      </c>
      <c r="F19081">
        <v>88911033</v>
      </c>
      <c r="G19081">
        <v>88911049</v>
      </c>
      <c r="H19081">
        <v>88911033</v>
      </c>
      <c r="I19081">
        <v>88911049</v>
      </c>
    </row>
    <row r="19082" spans="1:9" x14ac:dyDescent="0.2">
      <c r="A19082" s="1" t="str">
        <f>"TYRO3"</f>
        <v>TYRO3</v>
      </c>
      <c r="B19082" t="s">
        <v>14</v>
      </c>
      <c r="C19082" t="s">
        <v>25</v>
      </c>
      <c r="D19082" t="s">
        <v>17</v>
      </c>
      <c r="E19082" t="s">
        <v>12</v>
      </c>
      <c r="F19082">
        <v>41851387</v>
      </c>
      <c r="G19082">
        <v>41851458</v>
      </c>
      <c r="H19082">
        <v>41851169</v>
      </c>
      <c r="I19082">
        <v>41851206</v>
      </c>
    </row>
    <row r="19083" spans="1:9" x14ac:dyDescent="0.2">
      <c r="A19083" s="1" t="str">
        <f>"TYROBP"</f>
        <v>TYROBP</v>
      </c>
      <c r="B19083" t="s">
        <v>14</v>
      </c>
      <c r="C19083" t="s">
        <v>10</v>
      </c>
      <c r="D19083" t="s">
        <v>11</v>
      </c>
      <c r="E19083" t="s">
        <v>12</v>
      </c>
      <c r="F19083">
        <v>36399152</v>
      </c>
      <c r="G19083">
        <v>36399219</v>
      </c>
      <c r="H19083">
        <v>36399152</v>
      </c>
      <c r="I19083">
        <v>36399219</v>
      </c>
    </row>
    <row r="19084" spans="1:9" x14ac:dyDescent="0.2">
      <c r="A19084" s="1" t="str">
        <f>"TYRP1"</f>
        <v>TYRP1</v>
      </c>
      <c r="B19084" t="s">
        <v>14</v>
      </c>
      <c r="C19084" t="s">
        <v>24</v>
      </c>
      <c r="D19084" t="s">
        <v>17</v>
      </c>
      <c r="E19084" t="s">
        <v>12</v>
      </c>
      <c r="F19084">
        <v>12693336</v>
      </c>
      <c r="G19084">
        <v>12693460</v>
      </c>
      <c r="H19084">
        <v>12693336</v>
      </c>
      <c r="I19084">
        <v>12693460</v>
      </c>
    </row>
    <row r="19085" spans="1:9" x14ac:dyDescent="0.2">
      <c r="A19085" s="1" t="str">
        <f>"TYSND1"</f>
        <v>TYSND1</v>
      </c>
      <c r="B19085" t="s">
        <v>14</v>
      </c>
      <c r="C19085" t="s">
        <v>15</v>
      </c>
      <c r="D19085" t="s">
        <v>11</v>
      </c>
      <c r="E19085" t="s">
        <v>12</v>
      </c>
      <c r="F19085">
        <v>71906364</v>
      </c>
      <c r="G19085">
        <v>71906479</v>
      </c>
      <c r="H19085">
        <v>71905940</v>
      </c>
      <c r="I19085">
        <v>71905995</v>
      </c>
    </row>
    <row r="19086" spans="1:9" x14ac:dyDescent="0.2">
      <c r="A19086" s="1" t="str">
        <f>"TYW1"</f>
        <v>TYW1</v>
      </c>
      <c r="B19086" t="s">
        <v>14</v>
      </c>
      <c r="C19086" t="s">
        <v>33</v>
      </c>
      <c r="D19086" t="s">
        <v>17</v>
      </c>
      <c r="E19086" t="s">
        <v>12</v>
      </c>
      <c r="F19086">
        <v>66461798</v>
      </c>
      <c r="G19086">
        <v>66461846</v>
      </c>
      <c r="H19086">
        <v>66461849</v>
      </c>
      <c r="I19086">
        <v>66461865</v>
      </c>
    </row>
    <row r="19087" spans="1:9" x14ac:dyDescent="0.2">
      <c r="A19087" s="1" t="str">
        <f>"TYW1B"</f>
        <v>TYW1B</v>
      </c>
      <c r="B19087" t="s">
        <v>1780</v>
      </c>
      <c r="C19087" t="s">
        <v>33</v>
      </c>
      <c r="D19087" t="s">
        <v>11</v>
      </c>
      <c r="E19087" t="s">
        <v>75</v>
      </c>
      <c r="F19087">
        <v>72209698</v>
      </c>
      <c r="G19087">
        <v>72209723</v>
      </c>
      <c r="H19087">
        <v>72209622</v>
      </c>
      <c r="I19087">
        <v>72209625</v>
      </c>
    </row>
    <row r="19088" spans="1:9" x14ac:dyDescent="0.2">
      <c r="A19088" s="1" t="str">
        <f>"TYW3"</f>
        <v>TYW3</v>
      </c>
      <c r="B19088" t="s">
        <v>14</v>
      </c>
      <c r="C19088" t="s">
        <v>19</v>
      </c>
      <c r="D19088" t="s">
        <v>17</v>
      </c>
      <c r="E19088" t="s">
        <v>12</v>
      </c>
      <c r="F19088">
        <v>75198828</v>
      </c>
      <c r="G19088">
        <v>75198868</v>
      </c>
      <c r="H19088">
        <v>75198871</v>
      </c>
      <c r="I19088">
        <v>75198932</v>
      </c>
    </row>
    <row r="19089" spans="1:9" x14ac:dyDescent="0.2">
      <c r="A19089" s="1" t="str">
        <f>"TYW5"</f>
        <v>TYW5</v>
      </c>
      <c r="B19089" t="s">
        <v>14</v>
      </c>
      <c r="C19089" t="s">
        <v>26</v>
      </c>
      <c r="D19089" t="s">
        <v>11</v>
      </c>
      <c r="E19089" t="s">
        <v>12</v>
      </c>
      <c r="F19089">
        <v>200820187</v>
      </c>
      <c r="G19089">
        <v>200820244</v>
      </c>
      <c r="H19089">
        <v>200820410</v>
      </c>
      <c r="I19089">
        <v>200820435</v>
      </c>
    </row>
    <row r="19090" spans="1:9" x14ac:dyDescent="0.2">
      <c r="A19090" s="1" t="str">
        <f>"U2AF1"</f>
        <v>U2AF1</v>
      </c>
      <c r="B19090" t="s">
        <v>14</v>
      </c>
      <c r="C19090" t="s">
        <v>42</v>
      </c>
      <c r="D19090" t="s">
        <v>11</v>
      </c>
      <c r="E19090" t="s">
        <v>12</v>
      </c>
      <c r="F19090">
        <v>44527613</v>
      </c>
      <c r="G19090">
        <v>44527695</v>
      </c>
      <c r="H19090">
        <v>44527613</v>
      </c>
      <c r="I19090">
        <v>44527695</v>
      </c>
    </row>
    <row r="19091" spans="1:9" x14ac:dyDescent="0.2">
      <c r="A19091" s="1" t="str">
        <f>"U2AF1L4"</f>
        <v>U2AF1L4</v>
      </c>
      <c r="B19091" t="s">
        <v>14</v>
      </c>
      <c r="C19091" t="s">
        <v>10</v>
      </c>
      <c r="D19091" t="s">
        <v>11</v>
      </c>
      <c r="E19091" t="s">
        <v>12</v>
      </c>
      <c r="F19091">
        <v>36236292</v>
      </c>
      <c r="G19091">
        <v>36236344</v>
      </c>
      <c r="H19091">
        <v>36235552</v>
      </c>
      <c r="I19091">
        <v>36235619</v>
      </c>
    </row>
    <row r="19092" spans="1:9" x14ac:dyDescent="0.2">
      <c r="A19092" s="1" t="str">
        <f>"U2AF2"</f>
        <v>U2AF2</v>
      </c>
      <c r="B19092" t="s">
        <v>14</v>
      </c>
      <c r="C19092" t="s">
        <v>10</v>
      </c>
      <c r="D19092" t="s">
        <v>17</v>
      </c>
      <c r="E19092" t="s">
        <v>12</v>
      </c>
      <c r="F19092">
        <v>56166360</v>
      </c>
      <c r="G19092">
        <v>56166452</v>
      </c>
      <c r="H19092">
        <v>56166360</v>
      </c>
      <c r="I19092">
        <v>56166452</v>
      </c>
    </row>
    <row r="19093" spans="1:9" x14ac:dyDescent="0.2">
      <c r="A19093" s="1" t="str">
        <f>"U2SURP"</f>
        <v>U2SURP</v>
      </c>
      <c r="B19093" t="s">
        <v>14</v>
      </c>
      <c r="C19093" t="s">
        <v>22</v>
      </c>
      <c r="D19093" t="s">
        <v>17</v>
      </c>
      <c r="E19093" t="s">
        <v>12</v>
      </c>
      <c r="F19093">
        <v>142720404</v>
      </c>
      <c r="G19093">
        <v>142720475</v>
      </c>
      <c r="H19093">
        <v>142720144</v>
      </c>
      <c r="I19093">
        <v>142720182</v>
      </c>
    </row>
    <row r="19094" spans="1:9" x14ac:dyDescent="0.2">
      <c r="A19094" s="1" t="str">
        <f>"UACA"</f>
        <v>UACA</v>
      </c>
      <c r="B19094" t="s">
        <v>14</v>
      </c>
      <c r="C19094" t="s">
        <v>25</v>
      </c>
      <c r="D19094" t="s">
        <v>11</v>
      </c>
      <c r="E19094" t="s">
        <v>12</v>
      </c>
      <c r="F19094">
        <v>71055808</v>
      </c>
      <c r="G19094">
        <v>71055876</v>
      </c>
      <c r="H19094">
        <v>71055878</v>
      </c>
      <c r="I19094">
        <v>71055909</v>
      </c>
    </row>
    <row r="19095" spans="1:9" x14ac:dyDescent="0.2">
      <c r="A19095" s="1" t="str">
        <f>"UAP1"</f>
        <v>UAP1</v>
      </c>
      <c r="B19095" t="s">
        <v>14</v>
      </c>
      <c r="C19095" t="s">
        <v>19</v>
      </c>
      <c r="D19095" t="s">
        <v>17</v>
      </c>
      <c r="E19095" t="s">
        <v>12</v>
      </c>
      <c r="F19095">
        <v>162531503</v>
      </c>
      <c r="G19095">
        <v>162531519</v>
      </c>
      <c r="H19095">
        <v>162531336</v>
      </c>
      <c r="I19095">
        <v>162531393</v>
      </c>
    </row>
    <row r="19096" spans="1:9" x14ac:dyDescent="0.2">
      <c r="A19096" s="1" t="str">
        <f>"UAP1L1"</f>
        <v>UAP1L1</v>
      </c>
      <c r="B19096" t="s">
        <v>14</v>
      </c>
      <c r="C19096" t="s">
        <v>24</v>
      </c>
      <c r="D19096" t="s">
        <v>17</v>
      </c>
      <c r="E19096" t="s">
        <v>12</v>
      </c>
      <c r="F19096">
        <v>139971921</v>
      </c>
      <c r="G19096">
        <v>139971981</v>
      </c>
      <c r="H19096">
        <v>139972225</v>
      </c>
      <c r="I19096">
        <v>139972246</v>
      </c>
    </row>
    <row r="19097" spans="1:9" x14ac:dyDescent="0.2">
      <c r="A19097" s="1" t="str">
        <f>"UBA1"</f>
        <v>UBA1</v>
      </c>
      <c r="B19097" t="s">
        <v>9</v>
      </c>
      <c r="C19097" t="s">
        <v>37</v>
      </c>
      <c r="D19097" t="s">
        <v>17</v>
      </c>
      <c r="E19097" t="s">
        <v>12</v>
      </c>
      <c r="F19097">
        <v>47053208</v>
      </c>
      <c r="G19097">
        <v>47053241</v>
      </c>
      <c r="H19097">
        <v>47053208</v>
      </c>
      <c r="I19097">
        <v>47053241</v>
      </c>
    </row>
    <row r="19098" spans="1:9" x14ac:dyDescent="0.2">
      <c r="A19098" s="1" t="str">
        <f>"UBA1"</f>
        <v>UBA1</v>
      </c>
      <c r="B19098" t="s">
        <v>13</v>
      </c>
      <c r="C19098" t="s">
        <v>37</v>
      </c>
      <c r="D19098" t="s">
        <v>17</v>
      </c>
      <c r="E19098" t="s">
        <v>12</v>
      </c>
      <c r="F19098">
        <v>47050236</v>
      </c>
      <c r="G19098">
        <v>47050262</v>
      </c>
      <c r="H19098">
        <v>47050236</v>
      </c>
      <c r="I19098">
        <v>47050262</v>
      </c>
    </row>
    <row r="19099" spans="1:9" x14ac:dyDescent="0.2">
      <c r="A19099" s="1" t="str">
        <f>"UBA2"</f>
        <v>UBA2</v>
      </c>
      <c r="B19099" t="s">
        <v>14</v>
      </c>
      <c r="C19099" t="s">
        <v>10</v>
      </c>
      <c r="D19099" t="s">
        <v>17</v>
      </c>
      <c r="E19099" t="s">
        <v>12</v>
      </c>
      <c r="F19099">
        <v>34919257</v>
      </c>
      <c r="G19099">
        <v>34919332</v>
      </c>
      <c r="H19099">
        <v>34919257</v>
      </c>
      <c r="I19099">
        <v>34919332</v>
      </c>
    </row>
    <row r="19100" spans="1:9" x14ac:dyDescent="0.2">
      <c r="A19100" s="1" t="str">
        <f>"UBA3"</f>
        <v>UBA3</v>
      </c>
      <c r="B19100" t="s">
        <v>14</v>
      </c>
      <c r="C19100" t="s">
        <v>22</v>
      </c>
      <c r="D19100" t="s">
        <v>11</v>
      </c>
      <c r="E19100" t="s">
        <v>12</v>
      </c>
      <c r="F19100">
        <v>69129501</v>
      </c>
      <c r="G19100">
        <v>69129541</v>
      </c>
      <c r="H19100">
        <v>69129501</v>
      </c>
      <c r="I19100">
        <v>69129541</v>
      </c>
    </row>
    <row r="19101" spans="1:9" x14ac:dyDescent="0.2">
      <c r="A19101" s="1" t="str">
        <f>"UBA5"</f>
        <v>UBA5</v>
      </c>
      <c r="B19101" t="s">
        <v>14</v>
      </c>
      <c r="C19101" t="s">
        <v>22</v>
      </c>
      <c r="D19101" t="s">
        <v>17</v>
      </c>
      <c r="E19101" t="s">
        <v>12</v>
      </c>
      <c r="F19101">
        <v>132379165</v>
      </c>
      <c r="G19101">
        <v>132379256</v>
      </c>
      <c r="H19101">
        <v>132378741</v>
      </c>
      <c r="I19101">
        <v>132378799</v>
      </c>
    </row>
    <row r="19102" spans="1:9" x14ac:dyDescent="0.2">
      <c r="A19102" s="1" t="str">
        <f>"UBA52"</f>
        <v>UBA52</v>
      </c>
      <c r="B19102" t="s">
        <v>9</v>
      </c>
      <c r="C19102" t="s">
        <v>10</v>
      </c>
      <c r="D19102" t="s">
        <v>17</v>
      </c>
      <c r="E19102" t="s">
        <v>12</v>
      </c>
      <c r="F19102">
        <v>18682661</v>
      </c>
      <c r="G19102">
        <v>18682686</v>
      </c>
      <c r="H19102">
        <v>18682661</v>
      </c>
      <c r="I19102">
        <v>18682686</v>
      </c>
    </row>
    <row r="19103" spans="1:9" x14ac:dyDescent="0.2">
      <c r="A19103" s="1" t="str">
        <f>"UBA52"</f>
        <v>UBA52</v>
      </c>
      <c r="B19103" t="s">
        <v>13</v>
      </c>
      <c r="C19103" t="s">
        <v>10</v>
      </c>
      <c r="D19103" t="s">
        <v>17</v>
      </c>
      <c r="E19103" t="s">
        <v>12</v>
      </c>
      <c r="F19103">
        <v>18684091</v>
      </c>
      <c r="G19103">
        <v>18684119</v>
      </c>
      <c r="H19103">
        <v>18684091</v>
      </c>
      <c r="I19103">
        <v>18684119</v>
      </c>
    </row>
    <row r="19104" spans="1:9" x14ac:dyDescent="0.2">
      <c r="A19104" s="1" t="str">
        <f>"UBA6"</f>
        <v>UBA6</v>
      </c>
      <c r="B19104" t="s">
        <v>14</v>
      </c>
      <c r="C19104" t="s">
        <v>23</v>
      </c>
      <c r="D19104" t="s">
        <v>11</v>
      </c>
      <c r="E19104" t="s">
        <v>12</v>
      </c>
      <c r="F19104">
        <v>68566832</v>
      </c>
      <c r="G19104">
        <v>68566896</v>
      </c>
      <c r="H19104">
        <v>68566832</v>
      </c>
      <c r="I19104">
        <v>68566896</v>
      </c>
    </row>
    <row r="19105" spans="1:9" x14ac:dyDescent="0.2">
      <c r="A19105" s="1" t="str">
        <f>"UBA7"</f>
        <v>UBA7</v>
      </c>
      <c r="B19105" t="s">
        <v>9</v>
      </c>
      <c r="C19105" t="s">
        <v>22</v>
      </c>
      <c r="D19105" t="s">
        <v>11</v>
      </c>
      <c r="E19105" t="s">
        <v>12</v>
      </c>
      <c r="F19105">
        <v>49851313</v>
      </c>
      <c r="G19105">
        <v>49851404</v>
      </c>
      <c r="H19105">
        <v>49851313</v>
      </c>
      <c r="I19105">
        <v>49851404</v>
      </c>
    </row>
    <row r="19106" spans="1:9" x14ac:dyDescent="0.2">
      <c r="A19106" s="1" t="str">
        <f>"UBA7"</f>
        <v>UBA7</v>
      </c>
      <c r="B19106" t="s">
        <v>13</v>
      </c>
      <c r="C19106" t="s">
        <v>22</v>
      </c>
      <c r="D19106" t="s">
        <v>11</v>
      </c>
      <c r="E19106" t="s">
        <v>12</v>
      </c>
      <c r="F19106">
        <v>49847780</v>
      </c>
      <c r="G19106">
        <v>49847820</v>
      </c>
      <c r="H19106">
        <v>49847780</v>
      </c>
      <c r="I19106">
        <v>49847820</v>
      </c>
    </row>
    <row r="19107" spans="1:9" x14ac:dyDescent="0.2">
      <c r="A19107" s="1" t="str">
        <f>"UBAC1"</f>
        <v>UBAC1</v>
      </c>
      <c r="B19107" t="s">
        <v>14</v>
      </c>
      <c r="C19107" t="s">
        <v>24</v>
      </c>
      <c r="D19107" t="s">
        <v>11</v>
      </c>
      <c r="E19107" t="s">
        <v>12</v>
      </c>
      <c r="F19107">
        <v>138853156</v>
      </c>
      <c r="G19107">
        <v>138853246</v>
      </c>
      <c r="H19107">
        <v>138853016</v>
      </c>
      <c r="I19107">
        <v>138853090</v>
      </c>
    </row>
    <row r="19108" spans="1:9" x14ac:dyDescent="0.2">
      <c r="A19108" s="1" t="str">
        <f>"UBAC2"</f>
        <v>UBAC2</v>
      </c>
      <c r="B19108" t="s">
        <v>14</v>
      </c>
      <c r="C19108" t="s">
        <v>39</v>
      </c>
      <c r="D19108" t="s">
        <v>17</v>
      </c>
      <c r="E19108" t="s">
        <v>12</v>
      </c>
      <c r="F19108">
        <v>99853124</v>
      </c>
      <c r="G19108">
        <v>99853153</v>
      </c>
      <c r="H19108">
        <v>99853098</v>
      </c>
      <c r="I19108">
        <v>99853121</v>
      </c>
    </row>
    <row r="19109" spans="1:9" x14ac:dyDescent="0.2">
      <c r="A19109" s="1" t="str">
        <f>"UBALD1"</f>
        <v>UBALD1</v>
      </c>
      <c r="B19109" t="s">
        <v>14</v>
      </c>
      <c r="C19109" t="s">
        <v>31</v>
      </c>
      <c r="D19109" t="s">
        <v>11</v>
      </c>
      <c r="E19109" t="s">
        <v>12</v>
      </c>
      <c r="F19109">
        <v>4664860</v>
      </c>
      <c r="G19109">
        <v>4664909</v>
      </c>
      <c r="H19109">
        <v>4665023</v>
      </c>
      <c r="I19109">
        <v>4665047</v>
      </c>
    </row>
    <row r="19110" spans="1:9" x14ac:dyDescent="0.2">
      <c r="A19110" s="1" t="str">
        <f>"UBALD2"</f>
        <v>UBALD2</v>
      </c>
      <c r="B19110" t="s">
        <v>14</v>
      </c>
      <c r="C19110" t="s">
        <v>28</v>
      </c>
      <c r="D19110" t="s">
        <v>17</v>
      </c>
      <c r="E19110" t="s">
        <v>12</v>
      </c>
      <c r="F19110">
        <v>74261413</v>
      </c>
      <c r="G19110">
        <v>74261439</v>
      </c>
      <c r="H19110">
        <v>74261364</v>
      </c>
      <c r="I19110">
        <v>74261405</v>
      </c>
    </row>
    <row r="19111" spans="1:9" x14ac:dyDescent="0.2">
      <c r="A19111" s="1" t="str">
        <f>"UBAP1"</f>
        <v>UBAP1</v>
      </c>
      <c r="B19111" t="s">
        <v>14</v>
      </c>
      <c r="C19111" t="s">
        <v>24</v>
      </c>
      <c r="D19111" t="s">
        <v>17</v>
      </c>
      <c r="E19111" t="s">
        <v>12</v>
      </c>
      <c r="F19111">
        <v>34179030</v>
      </c>
      <c r="G19111">
        <v>34179064</v>
      </c>
      <c r="H19111">
        <v>34179181</v>
      </c>
      <c r="I19111">
        <v>34179206</v>
      </c>
    </row>
    <row r="19112" spans="1:9" x14ac:dyDescent="0.2">
      <c r="A19112" s="1" t="str">
        <f>"UBAP1L"</f>
        <v>UBAP1L</v>
      </c>
      <c r="B19112" t="s">
        <v>14</v>
      </c>
      <c r="C19112" t="s">
        <v>25</v>
      </c>
      <c r="D19112" t="s">
        <v>11</v>
      </c>
      <c r="E19112" t="s">
        <v>12</v>
      </c>
      <c r="F19112">
        <v>65407524</v>
      </c>
      <c r="G19112">
        <v>65407549</v>
      </c>
      <c r="H19112">
        <v>65407524</v>
      </c>
      <c r="I19112">
        <v>65407549</v>
      </c>
    </row>
    <row r="19113" spans="1:9" x14ac:dyDescent="0.2">
      <c r="A19113" s="1" t="str">
        <f>"UBAP2"</f>
        <v>UBAP2</v>
      </c>
      <c r="B19113" t="s">
        <v>14</v>
      </c>
      <c r="C19113" t="s">
        <v>24</v>
      </c>
      <c r="D19113" t="s">
        <v>11</v>
      </c>
      <c r="E19113" t="s">
        <v>12</v>
      </c>
      <c r="F19113">
        <v>34048873</v>
      </c>
      <c r="G19113">
        <v>34048894</v>
      </c>
      <c r="H19113">
        <v>34049179</v>
      </c>
      <c r="I19113">
        <v>34049211</v>
      </c>
    </row>
    <row r="19114" spans="1:9" x14ac:dyDescent="0.2">
      <c r="A19114" s="1" t="str">
        <f>"UBAP2L"</f>
        <v>UBAP2L</v>
      </c>
      <c r="B19114" t="s">
        <v>14</v>
      </c>
      <c r="C19114" t="s">
        <v>19</v>
      </c>
      <c r="D19114" t="s">
        <v>17</v>
      </c>
      <c r="E19114" t="s">
        <v>12</v>
      </c>
      <c r="F19114">
        <v>154193384</v>
      </c>
      <c r="G19114">
        <v>154193442</v>
      </c>
      <c r="H19114">
        <v>154193448</v>
      </c>
      <c r="I19114">
        <v>154193468</v>
      </c>
    </row>
    <row r="19115" spans="1:9" x14ac:dyDescent="0.2">
      <c r="A19115" s="1" t="str">
        <f>"UBASH3A"</f>
        <v>UBASH3A</v>
      </c>
      <c r="B19115" t="s">
        <v>14</v>
      </c>
      <c r="C19115" t="s">
        <v>42</v>
      </c>
      <c r="D19115" t="s">
        <v>17</v>
      </c>
      <c r="E19115" t="s">
        <v>12</v>
      </c>
      <c r="F19115">
        <v>43823983</v>
      </c>
      <c r="G19115">
        <v>43824052</v>
      </c>
      <c r="H19115">
        <v>43823965</v>
      </c>
      <c r="I19115">
        <v>43823976</v>
      </c>
    </row>
    <row r="19116" spans="1:9" x14ac:dyDescent="0.2">
      <c r="A19116" s="1" t="str">
        <f>"UBASH3B"</f>
        <v>UBASH3B</v>
      </c>
      <c r="B19116" t="s">
        <v>14</v>
      </c>
      <c r="C19116" t="s">
        <v>27</v>
      </c>
      <c r="D19116" t="s">
        <v>17</v>
      </c>
      <c r="E19116" t="s">
        <v>12</v>
      </c>
      <c r="F19116">
        <v>122526420</v>
      </c>
      <c r="G19116">
        <v>122526440</v>
      </c>
      <c r="H19116">
        <v>122526420</v>
      </c>
      <c r="I19116">
        <v>122526440</v>
      </c>
    </row>
    <row r="19117" spans="1:9" x14ac:dyDescent="0.2">
      <c r="A19117" s="1" t="str">
        <f>"UBB"</f>
        <v>UBB</v>
      </c>
      <c r="B19117" t="s">
        <v>14</v>
      </c>
      <c r="C19117" t="s">
        <v>28</v>
      </c>
      <c r="D19117" t="s">
        <v>17</v>
      </c>
      <c r="E19117" t="s">
        <v>12</v>
      </c>
      <c r="F19117">
        <v>16284399</v>
      </c>
      <c r="G19117">
        <v>16284416</v>
      </c>
      <c r="H19117">
        <v>16284673</v>
      </c>
      <c r="I19117">
        <v>16284748</v>
      </c>
    </row>
    <row r="19118" spans="1:9" x14ac:dyDescent="0.2">
      <c r="A19118" s="1" t="str">
        <f>"UBC"</f>
        <v>UBC</v>
      </c>
      <c r="B19118" t="s">
        <v>14</v>
      </c>
      <c r="C19118" t="s">
        <v>16</v>
      </c>
      <c r="D19118" t="s">
        <v>11</v>
      </c>
      <c r="E19118" t="s">
        <v>12</v>
      </c>
      <c r="F19118">
        <v>125399192</v>
      </c>
      <c r="G19118">
        <v>125399198</v>
      </c>
      <c r="H19118">
        <v>125399403</v>
      </c>
      <c r="I19118">
        <v>125399469</v>
      </c>
    </row>
    <row r="19119" spans="1:9" x14ac:dyDescent="0.2">
      <c r="A19119" s="1" t="str">
        <f>"UBD"</f>
        <v>UBD</v>
      </c>
      <c r="B19119" t="s">
        <v>14</v>
      </c>
      <c r="C19119" t="s">
        <v>32</v>
      </c>
      <c r="D19119" t="s">
        <v>11</v>
      </c>
      <c r="E19119" t="s">
        <v>12</v>
      </c>
      <c r="F19119">
        <v>29527501</v>
      </c>
      <c r="G19119">
        <v>29527515</v>
      </c>
      <c r="H19119">
        <v>29527501</v>
      </c>
      <c r="I19119">
        <v>29527515</v>
      </c>
    </row>
    <row r="19120" spans="1:9" x14ac:dyDescent="0.2">
      <c r="A19120" s="1" t="str">
        <f>"UBE2A"</f>
        <v>UBE2A</v>
      </c>
      <c r="B19120" t="s">
        <v>14</v>
      </c>
      <c r="C19120" t="s">
        <v>37</v>
      </c>
      <c r="D19120" t="s">
        <v>17</v>
      </c>
      <c r="E19120" t="s">
        <v>12</v>
      </c>
      <c r="F19120">
        <v>118708517</v>
      </c>
      <c r="G19120">
        <v>118708536</v>
      </c>
      <c r="H19120">
        <v>118708493</v>
      </c>
      <c r="I19120">
        <v>118708506</v>
      </c>
    </row>
    <row r="19121" spans="1:9" x14ac:dyDescent="0.2">
      <c r="A19121" s="1" t="str">
        <f>"UBE2B"</f>
        <v>UBE2B</v>
      </c>
      <c r="B19121" t="s">
        <v>14</v>
      </c>
      <c r="C19121" t="s">
        <v>46</v>
      </c>
      <c r="D19121" t="s">
        <v>17</v>
      </c>
      <c r="E19121" t="s">
        <v>12</v>
      </c>
      <c r="F19121">
        <v>133707252</v>
      </c>
      <c r="G19121">
        <v>133707270</v>
      </c>
      <c r="H19121">
        <v>133707133</v>
      </c>
      <c r="I19121">
        <v>133707168</v>
      </c>
    </row>
    <row r="19122" spans="1:9" x14ac:dyDescent="0.2">
      <c r="A19122" s="1" t="str">
        <f>"UBE2C"</f>
        <v>UBE2C</v>
      </c>
      <c r="B19122" t="s">
        <v>14</v>
      </c>
      <c r="C19122" t="s">
        <v>29</v>
      </c>
      <c r="D19122" t="s">
        <v>17</v>
      </c>
      <c r="E19122" t="s">
        <v>12</v>
      </c>
      <c r="F19122">
        <v>44441271</v>
      </c>
      <c r="G19122">
        <v>44441296</v>
      </c>
      <c r="H19122">
        <v>44441304</v>
      </c>
      <c r="I19122">
        <v>44441319</v>
      </c>
    </row>
    <row r="19123" spans="1:9" x14ac:dyDescent="0.2">
      <c r="A19123" s="1" t="str">
        <f>"UBE2D1"</f>
        <v>UBE2D1</v>
      </c>
      <c r="B19123" t="s">
        <v>14</v>
      </c>
      <c r="C19123" t="s">
        <v>15</v>
      </c>
      <c r="D19123" t="s">
        <v>17</v>
      </c>
      <c r="E19123" t="s">
        <v>12</v>
      </c>
      <c r="F19123">
        <v>60094758</v>
      </c>
      <c r="G19123">
        <v>60094774</v>
      </c>
      <c r="H19123">
        <v>60094736</v>
      </c>
      <c r="I19123">
        <v>60094749</v>
      </c>
    </row>
    <row r="19124" spans="1:9" x14ac:dyDescent="0.2">
      <c r="A19124" s="1" t="str">
        <f>"UBE2D2"</f>
        <v>UBE2D2</v>
      </c>
      <c r="B19124" t="s">
        <v>14</v>
      </c>
      <c r="C19124" t="s">
        <v>46</v>
      </c>
      <c r="D19124" t="s">
        <v>17</v>
      </c>
      <c r="E19124" t="s">
        <v>12</v>
      </c>
      <c r="F19124">
        <v>138940893</v>
      </c>
      <c r="G19124">
        <v>138940983</v>
      </c>
      <c r="H19124">
        <v>138941072</v>
      </c>
      <c r="I19124">
        <v>138941126</v>
      </c>
    </row>
    <row r="19125" spans="1:9" x14ac:dyDescent="0.2">
      <c r="A19125" s="1" t="str">
        <f>"UBE2D3"</f>
        <v>UBE2D3</v>
      </c>
      <c r="B19125" t="s">
        <v>14</v>
      </c>
      <c r="C19125" t="s">
        <v>23</v>
      </c>
      <c r="D19125" t="s">
        <v>11</v>
      </c>
      <c r="E19125" t="s">
        <v>12</v>
      </c>
      <c r="F19125">
        <v>103748696</v>
      </c>
      <c r="G19125">
        <v>103748723</v>
      </c>
      <c r="H19125">
        <v>103748651</v>
      </c>
      <c r="I19125">
        <v>103748695</v>
      </c>
    </row>
    <row r="19126" spans="1:9" x14ac:dyDescent="0.2">
      <c r="A19126" s="1" t="str">
        <f>"UBE2D4"</f>
        <v>UBE2D4</v>
      </c>
      <c r="B19126" t="s">
        <v>14</v>
      </c>
      <c r="C19126" t="s">
        <v>33</v>
      </c>
      <c r="D19126" t="s">
        <v>17</v>
      </c>
      <c r="E19126" t="s">
        <v>12</v>
      </c>
      <c r="F19126">
        <v>43966018</v>
      </c>
      <c r="G19126">
        <v>43966079</v>
      </c>
      <c r="H19126">
        <v>43966018</v>
      </c>
      <c r="I19126">
        <v>43966079</v>
      </c>
    </row>
    <row r="19127" spans="1:9" x14ac:dyDescent="0.2">
      <c r="A19127" s="1" t="str">
        <f>"UBE2E1"</f>
        <v>UBE2E1</v>
      </c>
      <c r="B19127" t="s">
        <v>14</v>
      </c>
      <c r="C19127" t="s">
        <v>22</v>
      </c>
      <c r="D19127" t="s">
        <v>17</v>
      </c>
      <c r="E19127" t="s">
        <v>12</v>
      </c>
      <c r="F19127">
        <v>23847432</v>
      </c>
      <c r="G19127">
        <v>23847512</v>
      </c>
      <c r="H19127">
        <v>23847514</v>
      </c>
      <c r="I19127">
        <v>23847545</v>
      </c>
    </row>
    <row r="19128" spans="1:9" x14ac:dyDescent="0.2">
      <c r="A19128" s="1" t="str">
        <f>"UBE2E2"</f>
        <v>UBE2E2</v>
      </c>
      <c r="B19128" t="s">
        <v>14</v>
      </c>
      <c r="C19128" t="s">
        <v>22</v>
      </c>
      <c r="D19128" t="s">
        <v>17</v>
      </c>
      <c r="E19128" t="s">
        <v>12</v>
      </c>
      <c r="F19128">
        <v>23244579</v>
      </c>
      <c r="G19128">
        <v>23244630</v>
      </c>
      <c r="H19128">
        <v>23244641</v>
      </c>
      <c r="I19128">
        <v>23244683</v>
      </c>
    </row>
    <row r="19129" spans="1:9" x14ac:dyDescent="0.2">
      <c r="A19129" s="1" t="str">
        <f>"UBE2E3"</f>
        <v>UBE2E3</v>
      </c>
      <c r="B19129" t="s">
        <v>14</v>
      </c>
      <c r="C19129" t="s">
        <v>26</v>
      </c>
      <c r="D19129" t="s">
        <v>17</v>
      </c>
      <c r="E19129" t="s">
        <v>12</v>
      </c>
      <c r="F19129">
        <v>181845298</v>
      </c>
      <c r="G19129">
        <v>181845378</v>
      </c>
      <c r="H19129">
        <v>181845074</v>
      </c>
      <c r="I19129">
        <v>181845114</v>
      </c>
    </row>
    <row r="19130" spans="1:9" x14ac:dyDescent="0.2">
      <c r="A19130" s="1" t="str">
        <f>"UBE2F"</f>
        <v>UBE2F</v>
      </c>
      <c r="B19130" t="s">
        <v>14</v>
      </c>
      <c r="C19130" t="s">
        <v>26</v>
      </c>
      <c r="D19130" t="s">
        <v>17</v>
      </c>
      <c r="E19130" t="s">
        <v>12</v>
      </c>
      <c r="F19130">
        <v>238875634</v>
      </c>
      <c r="G19130">
        <v>238875717</v>
      </c>
      <c r="H19130">
        <v>238875508</v>
      </c>
      <c r="I19130">
        <v>238875521</v>
      </c>
    </row>
    <row r="19131" spans="1:9" x14ac:dyDescent="0.2">
      <c r="A19131" s="1" t="str">
        <f>"UBE2G1"</f>
        <v>UBE2G1</v>
      </c>
      <c r="B19131" t="s">
        <v>14</v>
      </c>
      <c r="C19131" t="s">
        <v>28</v>
      </c>
      <c r="D19131" t="s">
        <v>11</v>
      </c>
      <c r="E19131" t="s">
        <v>12</v>
      </c>
      <c r="F19131">
        <v>4269768</v>
      </c>
      <c r="G19131">
        <v>4269835</v>
      </c>
      <c r="H19131">
        <v>4269920</v>
      </c>
      <c r="I19131">
        <v>4269982</v>
      </c>
    </row>
    <row r="19132" spans="1:9" x14ac:dyDescent="0.2">
      <c r="A19132" s="1" t="str">
        <f>"UBE2G2"</f>
        <v>UBE2G2</v>
      </c>
      <c r="B19132" t="s">
        <v>14</v>
      </c>
      <c r="C19132" t="s">
        <v>42</v>
      </c>
      <c r="D19132" t="s">
        <v>11</v>
      </c>
      <c r="E19132" t="s">
        <v>12</v>
      </c>
      <c r="F19132">
        <v>46221704</v>
      </c>
      <c r="G19132">
        <v>46221727</v>
      </c>
      <c r="H19132">
        <v>46221728</v>
      </c>
      <c r="I19132">
        <v>46221746</v>
      </c>
    </row>
    <row r="19133" spans="1:9" x14ac:dyDescent="0.2">
      <c r="A19133" s="1" t="str">
        <f>"UBE2H"</f>
        <v>UBE2H</v>
      </c>
      <c r="B19133" t="s">
        <v>14</v>
      </c>
      <c r="C19133" t="s">
        <v>33</v>
      </c>
      <c r="D19133" t="s">
        <v>11</v>
      </c>
      <c r="E19133" t="s">
        <v>12</v>
      </c>
      <c r="F19133">
        <v>129592700</v>
      </c>
      <c r="G19133">
        <v>129592828</v>
      </c>
      <c r="H19133">
        <v>129592400</v>
      </c>
      <c r="I19133">
        <v>129592422</v>
      </c>
    </row>
    <row r="19134" spans="1:9" x14ac:dyDescent="0.2">
      <c r="A19134" s="1" t="str">
        <f>"UBE2I"</f>
        <v>UBE2I</v>
      </c>
      <c r="B19134" t="s">
        <v>14</v>
      </c>
      <c r="C19134" t="s">
        <v>31</v>
      </c>
      <c r="D19134" t="s">
        <v>17</v>
      </c>
      <c r="E19134" t="s">
        <v>12</v>
      </c>
      <c r="F19134">
        <v>1359622</v>
      </c>
      <c r="G19134">
        <v>1359697</v>
      </c>
      <c r="H19134">
        <v>1359138</v>
      </c>
      <c r="I19134">
        <v>1359193</v>
      </c>
    </row>
    <row r="19135" spans="1:9" x14ac:dyDescent="0.2">
      <c r="A19135" s="1" t="str">
        <f>"UBE2J1"</f>
        <v>UBE2J1</v>
      </c>
      <c r="B19135" t="s">
        <v>14</v>
      </c>
      <c r="C19135" t="s">
        <v>32</v>
      </c>
      <c r="D19135" t="s">
        <v>11</v>
      </c>
      <c r="E19135" t="s">
        <v>12</v>
      </c>
      <c r="F19135">
        <v>90062427</v>
      </c>
      <c r="G19135">
        <v>90062459</v>
      </c>
      <c r="H19135">
        <v>90062571</v>
      </c>
      <c r="I19135">
        <v>90062614</v>
      </c>
    </row>
    <row r="19136" spans="1:9" x14ac:dyDescent="0.2">
      <c r="A19136" s="1" t="str">
        <f>"UBE2J2"</f>
        <v>UBE2J2</v>
      </c>
      <c r="B19136" t="s">
        <v>14</v>
      </c>
      <c r="C19136" t="s">
        <v>19</v>
      </c>
      <c r="D19136" t="s">
        <v>11</v>
      </c>
      <c r="E19136" t="s">
        <v>12</v>
      </c>
      <c r="F19136">
        <v>1209195</v>
      </c>
      <c r="G19136">
        <v>1209254</v>
      </c>
      <c r="H19136">
        <v>1208860</v>
      </c>
      <c r="I19136">
        <v>1208912</v>
      </c>
    </row>
    <row r="19137" spans="1:9" x14ac:dyDescent="0.2">
      <c r="A19137" s="1" t="str">
        <f>"UBE2K"</f>
        <v>UBE2K</v>
      </c>
      <c r="B19137" t="s">
        <v>14</v>
      </c>
      <c r="C19137" t="s">
        <v>23</v>
      </c>
      <c r="D19137" t="s">
        <v>17</v>
      </c>
      <c r="E19137" t="s">
        <v>12</v>
      </c>
      <c r="F19137">
        <v>39699733</v>
      </c>
      <c r="G19137">
        <v>39699772</v>
      </c>
      <c r="H19137">
        <v>39699776</v>
      </c>
      <c r="I19137">
        <v>39699796</v>
      </c>
    </row>
    <row r="19138" spans="1:9" x14ac:dyDescent="0.2">
      <c r="A19138" s="1" t="str">
        <f>"UBE2L3"</f>
        <v>UBE2L3</v>
      </c>
      <c r="B19138" t="s">
        <v>14</v>
      </c>
      <c r="C19138" t="s">
        <v>21</v>
      </c>
      <c r="D19138" t="s">
        <v>17</v>
      </c>
      <c r="E19138" t="s">
        <v>12</v>
      </c>
      <c r="F19138">
        <v>21921994</v>
      </c>
      <c r="G19138">
        <v>21922011</v>
      </c>
      <c r="H19138">
        <v>21922445</v>
      </c>
      <c r="I19138">
        <v>21922475</v>
      </c>
    </row>
    <row r="19139" spans="1:9" x14ac:dyDescent="0.2">
      <c r="A19139" s="1" t="str">
        <f>"UBE2L6"</f>
        <v>UBE2L6</v>
      </c>
      <c r="B19139" t="s">
        <v>14</v>
      </c>
      <c r="C19139" t="s">
        <v>27</v>
      </c>
      <c r="D19139" t="s">
        <v>11</v>
      </c>
      <c r="E19139" t="s">
        <v>12</v>
      </c>
      <c r="F19139">
        <v>57335090</v>
      </c>
      <c r="G19139">
        <v>57335155</v>
      </c>
      <c r="H19139">
        <v>57335750</v>
      </c>
      <c r="I19139">
        <v>57335798</v>
      </c>
    </row>
    <row r="19140" spans="1:9" x14ac:dyDescent="0.2">
      <c r="A19140" s="1" t="str">
        <f>"UBE2M"</f>
        <v>UBE2M</v>
      </c>
      <c r="B19140" t="s">
        <v>14</v>
      </c>
      <c r="C19140" t="s">
        <v>10</v>
      </c>
      <c r="D19140" t="s">
        <v>11</v>
      </c>
      <c r="E19140" t="s">
        <v>12</v>
      </c>
      <c r="F19140">
        <v>59070239</v>
      </c>
      <c r="G19140">
        <v>59070359</v>
      </c>
      <c r="H19140">
        <v>59070239</v>
      </c>
      <c r="I19140">
        <v>59070359</v>
      </c>
    </row>
    <row r="19141" spans="1:9" x14ac:dyDescent="0.2">
      <c r="A19141" s="1" t="str">
        <f>"UBE2N"</f>
        <v>UBE2N</v>
      </c>
      <c r="B19141" t="s">
        <v>14</v>
      </c>
      <c r="C19141" t="s">
        <v>16</v>
      </c>
      <c r="D19141" t="s">
        <v>11</v>
      </c>
      <c r="E19141" t="s">
        <v>12</v>
      </c>
      <c r="F19141">
        <v>93835665</v>
      </c>
      <c r="G19141">
        <v>93835750</v>
      </c>
      <c r="H19141">
        <v>93835999</v>
      </c>
      <c r="I19141">
        <v>93836024</v>
      </c>
    </row>
    <row r="19142" spans="1:9" x14ac:dyDescent="0.2">
      <c r="A19142" s="1" t="str">
        <f>"UBE2NL"</f>
        <v>UBE2NL</v>
      </c>
      <c r="B19142" t="s">
        <v>14</v>
      </c>
      <c r="C19142" t="s">
        <v>37</v>
      </c>
      <c r="D19142" t="s">
        <v>17</v>
      </c>
      <c r="E19142" t="s">
        <v>12</v>
      </c>
      <c r="F19142">
        <v>142967170</v>
      </c>
      <c r="G19142">
        <v>142967177</v>
      </c>
      <c r="H19142">
        <v>142967170</v>
      </c>
      <c r="I19142">
        <v>142967177</v>
      </c>
    </row>
    <row r="19143" spans="1:9" x14ac:dyDescent="0.2">
      <c r="A19143" s="1" t="str">
        <f>"UBE2O"</f>
        <v>UBE2O</v>
      </c>
      <c r="B19143" t="s">
        <v>14</v>
      </c>
      <c r="C19143" t="s">
        <v>28</v>
      </c>
      <c r="D19143" t="s">
        <v>11</v>
      </c>
      <c r="E19143" t="s">
        <v>12</v>
      </c>
      <c r="F19143">
        <v>74449224</v>
      </c>
      <c r="G19143">
        <v>74449249</v>
      </c>
      <c r="H19143">
        <v>74449252</v>
      </c>
      <c r="I19143">
        <v>74449294</v>
      </c>
    </row>
    <row r="19144" spans="1:9" x14ac:dyDescent="0.2">
      <c r="A19144" s="1" t="str">
        <f>"UBE2Q1"</f>
        <v>UBE2Q1</v>
      </c>
      <c r="B19144" t="s">
        <v>14</v>
      </c>
      <c r="C19144" t="s">
        <v>19</v>
      </c>
      <c r="D19144" t="s">
        <v>11</v>
      </c>
      <c r="E19144" t="s">
        <v>12</v>
      </c>
      <c r="F19144">
        <v>154531127</v>
      </c>
      <c r="G19144">
        <v>154531197</v>
      </c>
      <c r="H19144">
        <v>154531095</v>
      </c>
      <c r="I19144">
        <v>154531119</v>
      </c>
    </row>
    <row r="19145" spans="1:9" x14ac:dyDescent="0.2">
      <c r="A19145" s="1" t="str">
        <f>"UBE2Q2"</f>
        <v>UBE2Q2</v>
      </c>
      <c r="B19145" t="s">
        <v>14</v>
      </c>
      <c r="C19145" t="s">
        <v>25</v>
      </c>
      <c r="D19145" t="s">
        <v>17</v>
      </c>
      <c r="E19145" t="s">
        <v>12</v>
      </c>
      <c r="F19145">
        <v>76135814</v>
      </c>
      <c r="G19145">
        <v>76135869</v>
      </c>
      <c r="H19145">
        <v>76135814</v>
      </c>
      <c r="I19145">
        <v>76135869</v>
      </c>
    </row>
    <row r="19146" spans="1:9" x14ac:dyDescent="0.2">
      <c r="A19146" s="1" t="str">
        <f>"UBE2QL1"</f>
        <v>UBE2QL1</v>
      </c>
      <c r="B19146" t="s">
        <v>14</v>
      </c>
      <c r="C19146" t="s">
        <v>46</v>
      </c>
      <c r="D19146" t="s">
        <v>17</v>
      </c>
      <c r="E19146" t="s">
        <v>12</v>
      </c>
      <c r="F19146">
        <v>6448948</v>
      </c>
      <c r="G19146">
        <v>6449002</v>
      </c>
      <c r="H19146">
        <v>6448916</v>
      </c>
      <c r="I19146">
        <v>6448929</v>
      </c>
    </row>
    <row r="19147" spans="1:9" x14ac:dyDescent="0.2">
      <c r="A19147" s="1" t="str">
        <f>"UBE2R2"</f>
        <v>UBE2R2</v>
      </c>
      <c r="B19147" t="s">
        <v>14</v>
      </c>
      <c r="C19147" t="s">
        <v>24</v>
      </c>
      <c r="D19147" t="s">
        <v>17</v>
      </c>
      <c r="E19147" t="s">
        <v>12</v>
      </c>
      <c r="F19147">
        <v>33817124</v>
      </c>
      <c r="G19147">
        <v>33817197</v>
      </c>
      <c r="H19147">
        <v>33817461</v>
      </c>
      <c r="I19147">
        <v>33817524</v>
      </c>
    </row>
    <row r="19148" spans="1:9" x14ac:dyDescent="0.2">
      <c r="A19148" s="1" t="str">
        <f>"UBE2S"</f>
        <v>UBE2S</v>
      </c>
      <c r="B19148" t="s">
        <v>14</v>
      </c>
      <c r="C19148" t="s">
        <v>10</v>
      </c>
      <c r="D19148" t="s">
        <v>11</v>
      </c>
      <c r="E19148" t="s">
        <v>12</v>
      </c>
      <c r="F19148">
        <v>55919144</v>
      </c>
      <c r="G19148">
        <v>55919163</v>
      </c>
      <c r="H19148">
        <v>55919490</v>
      </c>
      <c r="I19148">
        <v>55919532</v>
      </c>
    </row>
    <row r="19149" spans="1:9" x14ac:dyDescent="0.2">
      <c r="A19149" s="1" t="str">
        <f>"UBE2T"</f>
        <v>UBE2T</v>
      </c>
      <c r="B19149" t="s">
        <v>14</v>
      </c>
      <c r="C19149" t="s">
        <v>19</v>
      </c>
      <c r="D19149" t="s">
        <v>11</v>
      </c>
      <c r="E19149" t="s">
        <v>12</v>
      </c>
      <c r="F19149">
        <v>202311054</v>
      </c>
      <c r="G19149">
        <v>202311071</v>
      </c>
      <c r="H19149">
        <v>202311088</v>
      </c>
      <c r="I19149">
        <v>202311099</v>
      </c>
    </row>
    <row r="19150" spans="1:9" x14ac:dyDescent="0.2">
      <c r="A19150" s="1" t="str">
        <f>"UBE2U"</f>
        <v>UBE2U</v>
      </c>
      <c r="B19150" t="s">
        <v>14</v>
      </c>
      <c r="C19150" t="s">
        <v>19</v>
      </c>
      <c r="D19150" t="s">
        <v>17</v>
      </c>
      <c r="E19150" t="s">
        <v>12</v>
      </c>
      <c r="F19150">
        <v>64669294</v>
      </c>
      <c r="G19150">
        <v>64669320</v>
      </c>
      <c r="H19150">
        <v>64669321</v>
      </c>
      <c r="I19150">
        <v>64669328</v>
      </c>
    </row>
    <row r="19151" spans="1:9" x14ac:dyDescent="0.2">
      <c r="A19151" s="1" t="str">
        <f>"UBE2V1"</f>
        <v>UBE2V1</v>
      </c>
      <c r="B19151" t="s">
        <v>14</v>
      </c>
      <c r="C19151" t="s">
        <v>29</v>
      </c>
      <c r="D19151" t="s">
        <v>11</v>
      </c>
      <c r="E19151" t="s">
        <v>12</v>
      </c>
      <c r="F19151">
        <v>48729670</v>
      </c>
      <c r="G19151">
        <v>48729694</v>
      </c>
      <c r="H19151">
        <v>48729696</v>
      </c>
      <c r="I19151">
        <v>48729712</v>
      </c>
    </row>
    <row r="19152" spans="1:9" x14ac:dyDescent="0.2">
      <c r="A19152" s="1" t="str">
        <f>"UBE2V2"</f>
        <v>UBE2V2</v>
      </c>
      <c r="B19152" t="s">
        <v>14</v>
      </c>
      <c r="C19152" t="s">
        <v>30</v>
      </c>
      <c r="D19152" t="s">
        <v>17</v>
      </c>
      <c r="E19152" t="s">
        <v>12</v>
      </c>
      <c r="F19152">
        <v>48920969</v>
      </c>
      <c r="G19152">
        <v>48921007</v>
      </c>
      <c r="H19152">
        <v>48920969</v>
      </c>
      <c r="I19152">
        <v>48921007</v>
      </c>
    </row>
    <row r="19153" spans="1:9" x14ac:dyDescent="0.2">
      <c r="A19153" s="1" t="str">
        <f>"UBE2W"</f>
        <v>UBE2W</v>
      </c>
      <c r="B19153" t="s">
        <v>14</v>
      </c>
      <c r="C19153" t="s">
        <v>30</v>
      </c>
      <c r="D19153" t="s">
        <v>11</v>
      </c>
      <c r="E19153" t="s">
        <v>12</v>
      </c>
      <c r="F19153">
        <v>74791051</v>
      </c>
      <c r="G19153">
        <v>74791120</v>
      </c>
      <c r="H19153">
        <v>74791391</v>
      </c>
      <c r="I19153">
        <v>74791392</v>
      </c>
    </row>
    <row r="19154" spans="1:9" x14ac:dyDescent="0.2">
      <c r="A19154" s="1" t="str">
        <f>"UBE2Z"</f>
        <v>UBE2Z</v>
      </c>
      <c r="B19154" t="s">
        <v>14</v>
      </c>
      <c r="C19154" t="s">
        <v>28</v>
      </c>
      <c r="D19154" t="s">
        <v>17</v>
      </c>
      <c r="E19154" t="s">
        <v>12</v>
      </c>
      <c r="F19154">
        <v>46985759</v>
      </c>
      <c r="G19154">
        <v>46985777</v>
      </c>
      <c r="H19154">
        <v>46985823</v>
      </c>
      <c r="I19154">
        <v>46985867</v>
      </c>
    </row>
    <row r="19155" spans="1:9" x14ac:dyDescent="0.2">
      <c r="A19155" s="1" t="str">
        <f>"UBE3A"</f>
        <v>UBE3A</v>
      </c>
      <c r="B19155" t="s">
        <v>14</v>
      </c>
      <c r="C19155" t="s">
        <v>25</v>
      </c>
      <c r="D19155" t="s">
        <v>11</v>
      </c>
      <c r="E19155" t="s">
        <v>12</v>
      </c>
      <c r="F19155">
        <v>25684110</v>
      </c>
      <c r="G19155">
        <v>25684212</v>
      </c>
      <c r="H19155">
        <v>25684214</v>
      </c>
      <c r="I19155">
        <v>25684269</v>
      </c>
    </row>
    <row r="19156" spans="1:9" x14ac:dyDescent="0.2">
      <c r="A19156" s="1" t="str">
        <f>"UBE3B"</f>
        <v>UBE3B</v>
      </c>
      <c r="B19156" t="s">
        <v>14</v>
      </c>
      <c r="C19156" t="s">
        <v>16</v>
      </c>
      <c r="D19156" t="s">
        <v>17</v>
      </c>
      <c r="E19156" t="s">
        <v>12</v>
      </c>
      <c r="F19156">
        <v>109915422</v>
      </c>
      <c r="G19156">
        <v>109915457</v>
      </c>
      <c r="H19156">
        <v>109915179</v>
      </c>
      <c r="I19156">
        <v>109915220</v>
      </c>
    </row>
    <row r="19157" spans="1:9" x14ac:dyDescent="0.2">
      <c r="A19157" s="1" t="str">
        <f>"UBE3C"</f>
        <v>UBE3C</v>
      </c>
      <c r="B19157" t="s">
        <v>14</v>
      </c>
      <c r="C19157" t="s">
        <v>33</v>
      </c>
      <c r="D19157" t="s">
        <v>17</v>
      </c>
      <c r="E19157" t="s">
        <v>12</v>
      </c>
      <c r="F19157">
        <v>156931606</v>
      </c>
      <c r="G19157">
        <v>156931674</v>
      </c>
      <c r="H19157">
        <v>156931904</v>
      </c>
      <c r="I19157">
        <v>156931970</v>
      </c>
    </row>
    <row r="19158" spans="1:9" x14ac:dyDescent="0.2">
      <c r="A19158" s="1" t="str">
        <f>"UBE3D"</f>
        <v>UBE3D</v>
      </c>
      <c r="B19158" t="s">
        <v>14</v>
      </c>
      <c r="C19158" t="s">
        <v>32</v>
      </c>
      <c r="D19158" t="s">
        <v>11</v>
      </c>
      <c r="E19158" t="s">
        <v>12</v>
      </c>
      <c r="F19158">
        <v>83775489</v>
      </c>
      <c r="G19158">
        <v>83775566</v>
      </c>
      <c r="H19158">
        <v>83775442</v>
      </c>
      <c r="I19158">
        <v>83775480</v>
      </c>
    </row>
    <row r="19159" spans="1:9" x14ac:dyDescent="0.2">
      <c r="A19159" s="1" t="str">
        <f>"UBE4A"</f>
        <v>UBE4A</v>
      </c>
      <c r="B19159" t="s">
        <v>14</v>
      </c>
      <c r="C19159" t="s">
        <v>27</v>
      </c>
      <c r="D19159" t="s">
        <v>17</v>
      </c>
      <c r="E19159" t="s">
        <v>12</v>
      </c>
      <c r="F19159">
        <v>118230287</v>
      </c>
      <c r="G19159">
        <v>118230361</v>
      </c>
      <c r="H19159">
        <v>118230287</v>
      </c>
      <c r="I19159">
        <v>118230361</v>
      </c>
    </row>
    <row r="19160" spans="1:9" x14ac:dyDescent="0.2">
      <c r="A19160" s="1" t="str">
        <f>"UBE4B"</f>
        <v>UBE4B</v>
      </c>
      <c r="B19160" t="s">
        <v>14</v>
      </c>
      <c r="C19160" t="s">
        <v>19</v>
      </c>
      <c r="D19160" t="s">
        <v>17</v>
      </c>
      <c r="E19160" t="s">
        <v>12</v>
      </c>
      <c r="F19160">
        <v>10092993</v>
      </c>
      <c r="G19160">
        <v>10093042</v>
      </c>
      <c r="H19160">
        <v>10093188</v>
      </c>
      <c r="I19160">
        <v>10093291</v>
      </c>
    </row>
    <row r="19161" spans="1:9" x14ac:dyDescent="0.2">
      <c r="A19161" s="1" t="str">
        <f>"UBFD1"</f>
        <v>UBFD1</v>
      </c>
      <c r="B19161" t="s">
        <v>14</v>
      </c>
      <c r="C19161" t="s">
        <v>31</v>
      </c>
      <c r="D19161" t="s">
        <v>17</v>
      </c>
      <c r="E19161" t="s">
        <v>12</v>
      </c>
      <c r="F19161">
        <v>23569021</v>
      </c>
      <c r="G19161">
        <v>23569062</v>
      </c>
      <c r="H19161">
        <v>23568998</v>
      </c>
      <c r="I19161">
        <v>23569009</v>
      </c>
    </row>
    <row r="19162" spans="1:9" x14ac:dyDescent="0.2">
      <c r="A19162" s="1" t="str">
        <f>"UBIAD1"</f>
        <v>UBIAD1</v>
      </c>
      <c r="B19162" t="s">
        <v>14</v>
      </c>
      <c r="C19162" t="s">
        <v>19</v>
      </c>
      <c r="D19162" t="s">
        <v>17</v>
      </c>
      <c r="E19162" t="s">
        <v>12</v>
      </c>
      <c r="F19162">
        <v>11333245</v>
      </c>
      <c r="G19162">
        <v>11333290</v>
      </c>
      <c r="H19162">
        <v>11333546</v>
      </c>
      <c r="I19162">
        <v>11333573</v>
      </c>
    </row>
    <row r="19163" spans="1:9" x14ac:dyDescent="0.2">
      <c r="A19163" s="1" t="str">
        <f>"UBL3"</f>
        <v>UBL3</v>
      </c>
      <c r="B19163" t="s">
        <v>14</v>
      </c>
      <c r="C19163" t="s">
        <v>39</v>
      </c>
      <c r="D19163" t="s">
        <v>11</v>
      </c>
      <c r="E19163" t="s">
        <v>12</v>
      </c>
      <c r="F19163">
        <v>30424419</v>
      </c>
      <c r="G19163">
        <v>30424494</v>
      </c>
      <c r="H19163">
        <v>30424742</v>
      </c>
      <c r="I19163">
        <v>30424785</v>
      </c>
    </row>
    <row r="19164" spans="1:9" x14ac:dyDescent="0.2">
      <c r="A19164" s="1" t="str">
        <f>"UBL4A"</f>
        <v>UBL4A</v>
      </c>
      <c r="B19164" t="s">
        <v>14</v>
      </c>
      <c r="C19164" t="s">
        <v>37</v>
      </c>
      <c r="D19164" t="s">
        <v>11</v>
      </c>
      <c r="E19164" t="s">
        <v>12</v>
      </c>
      <c r="F19164">
        <v>153714917</v>
      </c>
      <c r="G19164">
        <v>153714974</v>
      </c>
      <c r="H19164">
        <v>153714994</v>
      </c>
      <c r="I19164">
        <v>153715005</v>
      </c>
    </row>
    <row r="19165" spans="1:9" x14ac:dyDescent="0.2">
      <c r="A19165" s="1" t="str">
        <f>"UBL4B"</f>
        <v>UBL4B</v>
      </c>
      <c r="B19165" t="s">
        <v>14</v>
      </c>
      <c r="C19165" t="s">
        <v>19</v>
      </c>
      <c r="D19165" t="s">
        <v>17</v>
      </c>
      <c r="E19165" t="s">
        <v>12</v>
      </c>
      <c r="F19165">
        <v>110655050</v>
      </c>
      <c r="G19165">
        <v>110655088</v>
      </c>
      <c r="H19165">
        <v>110655101</v>
      </c>
      <c r="I19165">
        <v>110655106</v>
      </c>
    </row>
    <row r="19166" spans="1:9" x14ac:dyDescent="0.2">
      <c r="A19166" s="1" t="str">
        <f>"UBL5"</f>
        <v>UBL5</v>
      </c>
      <c r="B19166" t="s">
        <v>14</v>
      </c>
      <c r="C19166" t="s">
        <v>10</v>
      </c>
      <c r="D19166" t="s">
        <v>17</v>
      </c>
      <c r="E19166" t="s">
        <v>12</v>
      </c>
      <c r="F19166">
        <v>9938562</v>
      </c>
      <c r="G19166">
        <v>9938627</v>
      </c>
      <c r="H19166">
        <v>9938401</v>
      </c>
      <c r="I19166">
        <v>9938402</v>
      </c>
    </row>
    <row r="19167" spans="1:9" x14ac:dyDescent="0.2">
      <c r="A19167" s="1" t="str">
        <f>"UBL7"</f>
        <v>UBL7</v>
      </c>
      <c r="B19167" t="s">
        <v>9</v>
      </c>
      <c r="C19167" t="s">
        <v>25</v>
      </c>
      <c r="D19167" t="s">
        <v>11</v>
      </c>
      <c r="E19167" t="s">
        <v>12</v>
      </c>
      <c r="F19167">
        <v>74753455</v>
      </c>
      <c r="G19167">
        <v>74753533</v>
      </c>
      <c r="H19167">
        <v>74753455</v>
      </c>
      <c r="I19167">
        <v>74753533</v>
      </c>
    </row>
    <row r="19168" spans="1:9" x14ac:dyDescent="0.2">
      <c r="A19168" s="1" t="str">
        <f>"UBL7"</f>
        <v>UBL7</v>
      </c>
      <c r="B19168" t="s">
        <v>13</v>
      </c>
      <c r="C19168" t="s">
        <v>25</v>
      </c>
      <c r="D19168" t="s">
        <v>11</v>
      </c>
      <c r="E19168" t="s">
        <v>12</v>
      </c>
      <c r="F19168">
        <v>74751091</v>
      </c>
      <c r="G19168">
        <v>74751104</v>
      </c>
      <c r="H19168">
        <v>74751091</v>
      </c>
      <c r="I19168">
        <v>74751104</v>
      </c>
    </row>
    <row r="19169" spans="1:9" x14ac:dyDescent="0.2">
      <c r="A19169" s="1" t="str">
        <f>"UBLCP1"</f>
        <v>UBLCP1</v>
      </c>
      <c r="B19169" t="s">
        <v>14</v>
      </c>
      <c r="C19169" t="s">
        <v>46</v>
      </c>
      <c r="D19169" t="s">
        <v>17</v>
      </c>
      <c r="E19169" t="s">
        <v>12</v>
      </c>
      <c r="F19169">
        <v>158690290</v>
      </c>
      <c r="G19169">
        <v>158690334</v>
      </c>
      <c r="H19169">
        <v>158690290</v>
      </c>
      <c r="I19169">
        <v>158690334</v>
      </c>
    </row>
    <row r="19170" spans="1:9" x14ac:dyDescent="0.2">
      <c r="A19170" s="1" t="str">
        <f>"UBN1"</f>
        <v>UBN1</v>
      </c>
      <c r="B19170" t="s">
        <v>14</v>
      </c>
      <c r="C19170" t="s">
        <v>31</v>
      </c>
      <c r="D19170" t="s">
        <v>17</v>
      </c>
      <c r="E19170" t="s">
        <v>12</v>
      </c>
      <c r="F19170">
        <v>4897431</v>
      </c>
      <c r="G19170">
        <v>4897520</v>
      </c>
      <c r="H19170">
        <v>4897431</v>
      </c>
      <c r="I19170">
        <v>4897520</v>
      </c>
    </row>
    <row r="19171" spans="1:9" x14ac:dyDescent="0.2">
      <c r="A19171" s="1" t="str">
        <f>"UBN2"</f>
        <v>UBN2</v>
      </c>
      <c r="B19171" t="s">
        <v>14</v>
      </c>
      <c r="C19171" t="s">
        <v>33</v>
      </c>
      <c r="D19171" t="s">
        <v>17</v>
      </c>
      <c r="E19171" t="s">
        <v>12</v>
      </c>
      <c r="F19171">
        <v>138915971</v>
      </c>
      <c r="G19171">
        <v>138916005</v>
      </c>
      <c r="H19171">
        <v>138915971</v>
      </c>
      <c r="I19171">
        <v>138916005</v>
      </c>
    </row>
    <row r="19172" spans="1:9" x14ac:dyDescent="0.2">
      <c r="A19172" s="1" t="str">
        <f>"UBOX5"</f>
        <v>UBOX5</v>
      </c>
      <c r="B19172" t="s">
        <v>14</v>
      </c>
      <c r="C19172" t="s">
        <v>29</v>
      </c>
      <c r="D19172" t="s">
        <v>11</v>
      </c>
      <c r="E19172" t="s">
        <v>12</v>
      </c>
      <c r="F19172">
        <v>3140490</v>
      </c>
      <c r="G19172">
        <v>3140543</v>
      </c>
      <c r="H19172">
        <v>3140469</v>
      </c>
      <c r="I19172">
        <v>3140486</v>
      </c>
    </row>
    <row r="19173" spans="1:9" x14ac:dyDescent="0.2">
      <c r="A19173" s="1" t="str">
        <f>"UBP1"</f>
        <v>UBP1</v>
      </c>
      <c r="B19173" t="s">
        <v>14</v>
      </c>
      <c r="C19173" t="s">
        <v>22</v>
      </c>
      <c r="D19173" t="s">
        <v>11</v>
      </c>
      <c r="E19173" t="s">
        <v>12</v>
      </c>
      <c r="F19173">
        <v>33481835</v>
      </c>
      <c r="G19173">
        <v>33481905</v>
      </c>
      <c r="H19173">
        <v>33482052</v>
      </c>
      <c r="I19173">
        <v>33482116</v>
      </c>
    </row>
    <row r="19174" spans="1:9" x14ac:dyDescent="0.2">
      <c r="A19174" s="1" t="str">
        <f>"UBQLN1"</f>
        <v>UBQLN1</v>
      </c>
      <c r="B19174" t="s">
        <v>14</v>
      </c>
      <c r="C19174" t="s">
        <v>24</v>
      </c>
      <c r="D19174" t="s">
        <v>11</v>
      </c>
      <c r="E19174" t="s">
        <v>12</v>
      </c>
      <c r="F19174">
        <v>86322831</v>
      </c>
      <c r="G19174">
        <v>86322906</v>
      </c>
      <c r="H19174">
        <v>86322592</v>
      </c>
      <c r="I19174">
        <v>86322632</v>
      </c>
    </row>
    <row r="19175" spans="1:9" x14ac:dyDescent="0.2">
      <c r="A19175" s="1" t="str">
        <f>"UBQLN2"</f>
        <v>UBQLN2</v>
      </c>
      <c r="B19175" t="s">
        <v>14</v>
      </c>
      <c r="C19175" t="s">
        <v>37</v>
      </c>
      <c r="D19175" t="s">
        <v>17</v>
      </c>
      <c r="E19175" t="s">
        <v>12</v>
      </c>
      <c r="F19175">
        <v>56590002</v>
      </c>
      <c r="G19175">
        <v>56590072</v>
      </c>
      <c r="H19175">
        <v>56590078</v>
      </c>
      <c r="I19175">
        <v>56590095</v>
      </c>
    </row>
    <row r="19176" spans="1:9" x14ac:dyDescent="0.2">
      <c r="A19176" s="1" t="str">
        <f>"UBQLN3"</f>
        <v>UBQLN3</v>
      </c>
      <c r="B19176" t="s">
        <v>14</v>
      </c>
      <c r="C19176" t="s">
        <v>27</v>
      </c>
      <c r="D19176" t="s">
        <v>11</v>
      </c>
      <c r="E19176" t="s">
        <v>12</v>
      </c>
      <c r="F19176">
        <v>5531159</v>
      </c>
      <c r="G19176">
        <v>5531209</v>
      </c>
      <c r="H19176">
        <v>5531159</v>
      </c>
      <c r="I19176">
        <v>5531209</v>
      </c>
    </row>
    <row r="19177" spans="1:9" x14ac:dyDescent="0.2">
      <c r="A19177" s="1" t="str">
        <f>"UBQLN4"</f>
        <v>UBQLN4</v>
      </c>
      <c r="B19177" t="s">
        <v>14</v>
      </c>
      <c r="C19177" t="s">
        <v>19</v>
      </c>
      <c r="D19177" t="s">
        <v>11</v>
      </c>
      <c r="E19177" t="s">
        <v>12</v>
      </c>
      <c r="F19177">
        <v>156023580</v>
      </c>
      <c r="G19177">
        <v>156023605</v>
      </c>
      <c r="H19177">
        <v>156023580</v>
      </c>
      <c r="I19177">
        <v>156023605</v>
      </c>
    </row>
    <row r="19178" spans="1:9" x14ac:dyDescent="0.2">
      <c r="A19178" s="1" t="str">
        <f>"UBQLNL"</f>
        <v>UBQLNL</v>
      </c>
      <c r="B19178" t="s">
        <v>14</v>
      </c>
      <c r="C19178" t="s">
        <v>27</v>
      </c>
      <c r="D19178" t="s">
        <v>11</v>
      </c>
      <c r="E19178" t="s">
        <v>12</v>
      </c>
      <c r="F19178">
        <v>5537920</v>
      </c>
      <c r="G19178">
        <v>5537934</v>
      </c>
      <c r="H19178">
        <v>5537900</v>
      </c>
      <c r="I19178">
        <v>5537907</v>
      </c>
    </row>
    <row r="19179" spans="1:9" x14ac:dyDescent="0.2">
      <c r="A19179" s="1" t="str">
        <f>"UBR1"</f>
        <v>UBR1</v>
      </c>
      <c r="B19179" t="s">
        <v>14</v>
      </c>
      <c r="C19179" t="s">
        <v>25</v>
      </c>
      <c r="D19179" t="s">
        <v>11</v>
      </c>
      <c r="E19179" t="s">
        <v>12</v>
      </c>
      <c r="F19179">
        <v>43398221</v>
      </c>
      <c r="G19179">
        <v>43398242</v>
      </c>
      <c r="H19179">
        <v>43398274</v>
      </c>
      <c r="I19179">
        <v>43398318</v>
      </c>
    </row>
    <row r="19180" spans="1:9" x14ac:dyDescent="0.2">
      <c r="A19180" s="1" t="str">
        <f>"UBR2"</f>
        <v>UBR2</v>
      </c>
      <c r="B19180" t="s">
        <v>14</v>
      </c>
      <c r="C19180" t="s">
        <v>32</v>
      </c>
      <c r="D19180" t="s">
        <v>17</v>
      </c>
      <c r="E19180" t="s">
        <v>12</v>
      </c>
      <c r="F19180">
        <v>42531719</v>
      </c>
      <c r="G19180">
        <v>42531775</v>
      </c>
      <c r="H19180">
        <v>42531690</v>
      </c>
      <c r="I19180">
        <v>42531718</v>
      </c>
    </row>
    <row r="19181" spans="1:9" x14ac:dyDescent="0.2">
      <c r="A19181" s="1" t="str">
        <f>"UBR3"</f>
        <v>UBR3</v>
      </c>
      <c r="B19181" t="s">
        <v>14</v>
      </c>
      <c r="C19181" t="s">
        <v>26</v>
      </c>
      <c r="D19181" t="s">
        <v>17</v>
      </c>
      <c r="E19181" t="s">
        <v>12</v>
      </c>
      <c r="F19181">
        <v>170683942</v>
      </c>
      <c r="G19181">
        <v>170683972</v>
      </c>
      <c r="H19181">
        <v>170683979</v>
      </c>
      <c r="I19181">
        <v>170683991</v>
      </c>
    </row>
    <row r="19182" spans="1:9" x14ac:dyDescent="0.2">
      <c r="A19182" s="1" t="str">
        <f>"UBR4"</f>
        <v>UBR4</v>
      </c>
      <c r="B19182" t="s">
        <v>14</v>
      </c>
      <c r="C19182" t="s">
        <v>19</v>
      </c>
      <c r="D19182" t="s">
        <v>11</v>
      </c>
      <c r="E19182" t="s">
        <v>12</v>
      </c>
      <c r="F19182">
        <v>19536744</v>
      </c>
      <c r="G19182">
        <v>19536770</v>
      </c>
      <c r="H19182">
        <v>19536772</v>
      </c>
      <c r="I19182">
        <v>19536783</v>
      </c>
    </row>
    <row r="19183" spans="1:9" x14ac:dyDescent="0.2">
      <c r="A19183" s="1" t="str">
        <f>"UBR5"</f>
        <v>UBR5</v>
      </c>
      <c r="B19183" t="s">
        <v>14</v>
      </c>
      <c r="C19183" t="s">
        <v>30</v>
      </c>
      <c r="D19183" t="s">
        <v>11</v>
      </c>
      <c r="E19183" t="s">
        <v>12</v>
      </c>
      <c r="F19183">
        <v>103424916</v>
      </c>
      <c r="G19183">
        <v>103424966</v>
      </c>
      <c r="H19183">
        <v>103424968</v>
      </c>
      <c r="I19183">
        <v>103424980</v>
      </c>
    </row>
    <row r="19184" spans="1:9" x14ac:dyDescent="0.2">
      <c r="A19184" s="1" t="str">
        <f>"UBR7"</f>
        <v>UBR7</v>
      </c>
      <c r="B19184" t="s">
        <v>14</v>
      </c>
      <c r="C19184" t="s">
        <v>41</v>
      </c>
      <c r="D19184" t="s">
        <v>17</v>
      </c>
      <c r="E19184" t="s">
        <v>12</v>
      </c>
      <c r="F19184">
        <v>93673574</v>
      </c>
      <c r="G19184">
        <v>93673634</v>
      </c>
      <c r="H19184">
        <v>93673574</v>
      </c>
      <c r="I19184">
        <v>93673634</v>
      </c>
    </row>
    <row r="19185" spans="1:9" x14ac:dyDescent="0.2">
      <c r="A19185" s="1" t="str">
        <f>"UBTD1"</f>
        <v>UBTD1</v>
      </c>
      <c r="B19185" t="s">
        <v>14</v>
      </c>
      <c r="C19185" t="s">
        <v>15</v>
      </c>
      <c r="D19185" t="s">
        <v>17</v>
      </c>
      <c r="E19185" t="s">
        <v>12</v>
      </c>
      <c r="F19185">
        <v>99258637</v>
      </c>
      <c r="G19185">
        <v>99258751</v>
      </c>
      <c r="H19185">
        <v>99258760</v>
      </c>
      <c r="I19185">
        <v>99258810</v>
      </c>
    </row>
    <row r="19186" spans="1:9" x14ac:dyDescent="0.2">
      <c r="A19186" s="1" t="str">
        <f>"UBTD2"</f>
        <v>UBTD2</v>
      </c>
      <c r="B19186" t="s">
        <v>14</v>
      </c>
      <c r="C19186" t="s">
        <v>46</v>
      </c>
      <c r="D19186" t="s">
        <v>11</v>
      </c>
      <c r="E19186" t="s">
        <v>12</v>
      </c>
      <c r="F19186">
        <v>171710747</v>
      </c>
      <c r="G19186">
        <v>171710814</v>
      </c>
      <c r="H19186">
        <v>171711082</v>
      </c>
      <c r="I19186">
        <v>171711138</v>
      </c>
    </row>
    <row r="19187" spans="1:9" x14ac:dyDescent="0.2">
      <c r="A19187" s="1" t="str">
        <f>"UBTF"</f>
        <v>UBTF</v>
      </c>
      <c r="B19187" t="s">
        <v>14</v>
      </c>
      <c r="C19187" t="s">
        <v>28</v>
      </c>
      <c r="D19187" t="s">
        <v>11</v>
      </c>
      <c r="E19187" t="s">
        <v>12</v>
      </c>
      <c r="F19187">
        <v>42298201</v>
      </c>
      <c r="G19187">
        <v>42298284</v>
      </c>
      <c r="H19187">
        <v>42298201</v>
      </c>
      <c r="I19187">
        <v>42298284</v>
      </c>
    </row>
    <row r="19188" spans="1:9" x14ac:dyDescent="0.2">
      <c r="A19188" s="1" t="str">
        <f>"UBXN1"</f>
        <v>UBXN1</v>
      </c>
      <c r="B19188" t="s">
        <v>14</v>
      </c>
      <c r="C19188" t="s">
        <v>27</v>
      </c>
      <c r="D19188" t="s">
        <v>11</v>
      </c>
      <c r="E19188" t="s">
        <v>12</v>
      </c>
      <c r="F19188">
        <v>62446527</v>
      </c>
      <c r="G19188">
        <v>62446572</v>
      </c>
      <c r="H19188">
        <v>62446515</v>
      </c>
      <c r="I19188">
        <v>62446522</v>
      </c>
    </row>
    <row r="19189" spans="1:9" x14ac:dyDescent="0.2">
      <c r="A19189" s="1" t="str">
        <f>"UBXN10"</f>
        <v>UBXN10</v>
      </c>
      <c r="B19189" t="s">
        <v>14</v>
      </c>
      <c r="C19189" t="s">
        <v>19</v>
      </c>
      <c r="D19189" t="s">
        <v>17</v>
      </c>
      <c r="E19189" t="s">
        <v>12</v>
      </c>
      <c r="F19189">
        <v>20512568</v>
      </c>
      <c r="G19189">
        <v>20512629</v>
      </c>
      <c r="H19189">
        <v>20512418</v>
      </c>
      <c r="I19189">
        <v>20512435</v>
      </c>
    </row>
    <row r="19190" spans="1:9" x14ac:dyDescent="0.2">
      <c r="A19190" s="1" t="str">
        <f>"UBXN11"</f>
        <v>UBXN11</v>
      </c>
      <c r="B19190" t="s">
        <v>14</v>
      </c>
      <c r="C19190" t="s">
        <v>19</v>
      </c>
      <c r="D19190" t="s">
        <v>11</v>
      </c>
      <c r="E19190" t="s">
        <v>12</v>
      </c>
      <c r="F19190">
        <v>26633110</v>
      </c>
      <c r="G19190">
        <v>26633145</v>
      </c>
      <c r="H19190">
        <v>26633540</v>
      </c>
      <c r="I19190">
        <v>26633570</v>
      </c>
    </row>
    <row r="19191" spans="1:9" x14ac:dyDescent="0.2">
      <c r="A19191" s="1" t="str">
        <f>"UBXN2A"</f>
        <v>UBXN2A</v>
      </c>
      <c r="B19191" t="s">
        <v>9</v>
      </c>
      <c r="C19191" t="s">
        <v>26</v>
      </c>
      <c r="D19191" t="s">
        <v>17</v>
      </c>
      <c r="E19191" t="s">
        <v>12</v>
      </c>
      <c r="F19191">
        <v>24163281</v>
      </c>
      <c r="G19191">
        <v>24163363</v>
      </c>
      <c r="H19191">
        <v>24163281</v>
      </c>
      <c r="I19191">
        <v>24163363</v>
      </c>
    </row>
    <row r="19192" spans="1:9" x14ac:dyDescent="0.2">
      <c r="A19192" s="1" t="str">
        <f>"UBXN2A"</f>
        <v>UBXN2A</v>
      </c>
      <c r="B19192" t="s">
        <v>13</v>
      </c>
      <c r="C19192" t="s">
        <v>26</v>
      </c>
      <c r="D19192" t="s">
        <v>17</v>
      </c>
      <c r="E19192" t="s">
        <v>12</v>
      </c>
      <c r="F19192">
        <v>24150121</v>
      </c>
      <c r="G19192">
        <v>24150174</v>
      </c>
      <c r="H19192">
        <v>24150121</v>
      </c>
      <c r="I19192">
        <v>24150174</v>
      </c>
    </row>
    <row r="19193" spans="1:9" x14ac:dyDescent="0.2">
      <c r="A19193" s="1" t="str">
        <f>"UBXN2B"</f>
        <v>UBXN2B</v>
      </c>
      <c r="B19193" t="s">
        <v>14</v>
      </c>
      <c r="C19193" t="s">
        <v>30</v>
      </c>
      <c r="D19193" t="s">
        <v>17</v>
      </c>
      <c r="E19193" t="s">
        <v>12</v>
      </c>
      <c r="F19193">
        <v>59323892</v>
      </c>
      <c r="G19193">
        <v>59323947</v>
      </c>
      <c r="H19193">
        <v>59323892</v>
      </c>
      <c r="I19193">
        <v>59323947</v>
      </c>
    </row>
    <row r="19194" spans="1:9" x14ac:dyDescent="0.2">
      <c r="A19194" s="1" t="str">
        <f>"UBXN4"</f>
        <v>UBXN4</v>
      </c>
      <c r="B19194" t="s">
        <v>14</v>
      </c>
      <c r="C19194" t="s">
        <v>26</v>
      </c>
      <c r="D19194" t="s">
        <v>17</v>
      </c>
      <c r="E19194" t="s">
        <v>12</v>
      </c>
      <c r="F19194">
        <v>136499386</v>
      </c>
      <c r="G19194">
        <v>136499474</v>
      </c>
      <c r="H19194">
        <v>136499305</v>
      </c>
      <c r="I19194">
        <v>136499381</v>
      </c>
    </row>
    <row r="19195" spans="1:9" x14ac:dyDescent="0.2">
      <c r="A19195" s="1" t="str">
        <f>"UBXN6"</f>
        <v>UBXN6</v>
      </c>
      <c r="B19195" t="s">
        <v>9</v>
      </c>
      <c r="C19195" t="s">
        <v>10</v>
      </c>
      <c r="D19195" t="s">
        <v>11</v>
      </c>
      <c r="E19195" t="s">
        <v>12</v>
      </c>
      <c r="F19195">
        <v>4457776</v>
      </c>
      <c r="G19195">
        <v>4457799</v>
      </c>
      <c r="H19195">
        <v>4457776</v>
      </c>
      <c r="I19195">
        <v>4457799</v>
      </c>
    </row>
    <row r="19196" spans="1:9" x14ac:dyDescent="0.2">
      <c r="A19196" s="1" t="str">
        <f>"UBXN6"</f>
        <v>UBXN6</v>
      </c>
      <c r="B19196" t="s">
        <v>13</v>
      </c>
      <c r="C19196" t="s">
        <v>10</v>
      </c>
      <c r="D19196" t="s">
        <v>11</v>
      </c>
      <c r="E19196" t="s">
        <v>12</v>
      </c>
      <c r="F19196">
        <v>4455290</v>
      </c>
      <c r="G19196">
        <v>4455331</v>
      </c>
      <c r="H19196">
        <v>4455290</v>
      </c>
      <c r="I19196">
        <v>4455331</v>
      </c>
    </row>
    <row r="19197" spans="1:9" x14ac:dyDescent="0.2">
      <c r="A19197" s="1" t="str">
        <f>"UBXN7"</f>
        <v>UBXN7</v>
      </c>
      <c r="B19197" t="s">
        <v>14</v>
      </c>
      <c r="C19197" t="s">
        <v>22</v>
      </c>
      <c r="D19197" t="s">
        <v>11</v>
      </c>
      <c r="E19197" t="s">
        <v>12</v>
      </c>
      <c r="F19197">
        <v>196159289</v>
      </c>
      <c r="G19197">
        <v>196159323</v>
      </c>
      <c r="H19197">
        <v>196159289</v>
      </c>
      <c r="I19197">
        <v>196159323</v>
      </c>
    </row>
    <row r="19198" spans="1:9" x14ac:dyDescent="0.2">
      <c r="A19198" s="1" t="str">
        <f>"UBXN8"</f>
        <v>UBXN8</v>
      </c>
      <c r="B19198" t="s">
        <v>14</v>
      </c>
      <c r="C19198" t="s">
        <v>30</v>
      </c>
      <c r="D19198" t="s">
        <v>17</v>
      </c>
      <c r="E19198" t="s">
        <v>12</v>
      </c>
      <c r="F19198">
        <v>30601667</v>
      </c>
      <c r="G19198">
        <v>30601710</v>
      </c>
      <c r="H19198">
        <v>30601918</v>
      </c>
      <c r="I19198">
        <v>30601941</v>
      </c>
    </row>
    <row r="19199" spans="1:9" x14ac:dyDescent="0.2">
      <c r="A19199" s="1" t="str">
        <f>"UCHL1"</f>
        <v>UCHL1</v>
      </c>
      <c r="B19199" t="s">
        <v>9</v>
      </c>
      <c r="C19199" t="s">
        <v>23</v>
      </c>
      <c r="D19199" t="s">
        <v>17</v>
      </c>
      <c r="E19199" t="s">
        <v>12</v>
      </c>
      <c r="F19199">
        <v>41258938</v>
      </c>
      <c r="G19199">
        <v>41258954</v>
      </c>
      <c r="H19199">
        <v>41258938</v>
      </c>
      <c r="I19199">
        <v>41258954</v>
      </c>
    </row>
    <row r="19200" spans="1:9" x14ac:dyDescent="0.2">
      <c r="A19200" s="1" t="str">
        <f>"UCHL1"</f>
        <v>UCHL1</v>
      </c>
      <c r="B19200" t="s">
        <v>13</v>
      </c>
      <c r="C19200" t="s">
        <v>23</v>
      </c>
      <c r="D19200" t="s">
        <v>17</v>
      </c>
      <c r="E19200" t="s">
        <v>12</v>
      </c>
      <c r="F19200">
        <v>41262733</v>
      </c>
      <c r="G19200">
        <v>41262783</v>
      </c>
      <c r="H19200">
        <v>41262733</v>
      </c>
      <c r="I19200">
        <v>41262783</v>
      </c>
    </row>
    <row r="19201" spans="1:9" x14ac:dyDescent="0.2">
      <c r="A19201" s="1" t="str">
        <f>"UCHL3"</f>
        <v>UCHL3</v>
      </c>
      <c r="B19201" t="s">
        <v>14</v>
      </c>
      <c r="C19201" t="s">
        <v>39</v>
      </c>
      <c r="D19201" t="s">
        <v>17</v>
      </c>
      <c r="E19201" t="s">
        <v>12</v>
      </c>
      <c r="F19201">
        <v>76123883</v>
      </c>
      <c r="G19201">
        <v>76123949</v>
      </c>
      <c r="H19201">
        <v>76123613</v>
      </c>
      <c r="I19201">
        <v>76123659</v>
      </c>
    </row>
    <row r="19202" spans="1:9" x14ac:dyDescent="0.2">
      <c r="A19202" s="1" t="str">
        <f>"UCHL5"</f>
        <v>UCHL5</v>
      </c>
      <c r="B19202" t="s">
        <v>14</v>
      </c>
      <c r="C19202" t="s">
        <v>19</v>
      </c>
      <c r="D19202" t="s">
        <v>11</v>
      </c>
      <c r="E19202" t="s">
        <v>12</v>
      </c>
      <c r="F19202">
        <v>193028456</v>
      </c>
      <c r="G19202">
        <v>193028532</v>
      </c>
      <c r="H19202">
        <v>193029192</v>
      </c>
      <c r="I19202">
        <v>193029224</v>
      </c>
    </row>
    <row r="19203" spans="1:9" x14ac:dyDescent="0.2">
      <c r="A19203" s="1" t="str">
        <f>"UCK1"</f>
        <v>UCK1</v>
      </c>
      <c r="B19203" t="s">
        <v>14</v>
      </c>
      <c r="C19203" t="s">
        <v>24</v>
      </c>
      <c r="D19203" t="s">
        <v>11</v>
      </c>
      <c r="E19203" t="s">
        <v>12</v>
      </c>
      <c r="F19203">
        <v>134406611</v>
      </c>
      <c r="G19203">
        <v>134406673</v>
      </c>
      <c r="H19203">
        <v>134406565</v>
      </c>
      <c r="I19203">
        <v>134406608</v>
      </c>
    </row>
    <row r="19204" spans="1:9" x14ac:dyDescent="0.2">
      <c r="A19204" s="1" t="str">
        <f>"UCK2"</f>
        <v>UCK2</v>
      </c>
      <c r="B19204" t="s">
        <v>14</v>
      </c>
      <c r="C19204" t="s">
        <v>19</v>
      </c>
      <c r="D19204" t="s">
        <v>17</v>
      </c>
      <c r="E19204" t="s">
        <v>12</v>
      </c>
      <c r="F19204">
        <v>165796811</v>
      </c>
      <c r="G19204">
        <v>165796860</v>
      </c>
      <c r="H19204">
        <v>165796782</v>
      </c>
      <c r="I19204">
        <v>165796803</v>
      </c>
    </row>
    <row r="19205" spans="1:9" x14ac:dyDescent="0.2">
      <c r="A19205" s="1" t="str">
        <f>"UCKL1"</f>
        <v>UCKL1</v>
      </c>
      <c r="B19205" t="s">
        <v>14</v>
      </c>
      <c r="C19205" t="s">
        <v>29</v>
      </c>
      <c r="D19205" t="s">
        <v>11</v>
      </c>
      <c r="E19205" t="s">
        <v>12</v>
      </c>
      <c r="F19205">
        <v>62587735</v>
      </c>
      <c r="G19205">
        <v>62587777</v>
      </c>
      <c r="H19205">
        <v>62587794</v>
      </c>
      <c r="I19205">
        <v>62587805</v>
      </c>
    </row>
    <row r="19206" spans="1:9" x14ac:dyDescent="0.2">
      <c r="A19206" s="1" t="str">
        <f>"UCMA"</f>
        <v>UCMA</v>
      </c>
      <c r="B19206" t="s">
        <v>14</v>
      </c>
      <c r="C19206" t="s">
        <v>15</v>
      </c>
      <c r="D19206" t="s">
        <v>11</v>
      </c>
      <c r="E19206" t="s">
        <v>12</v>
      </c>
      <c r="F19206">
        <v>13276368</v>
      </c>
      <c r="G19206">
        <v>13276379</v>
      </c>
      <c r="H19206">
        <v>13276352</v>
      </c>
      <c r="I19206">
        <v>13276361</v>
      </c>
    </row>
    <row r="19207" spans="1:9" x14ac:dyDescent="0.2">
      <c r="A19207" s="1" t="str">
        <f>"UCN"</f>
        <v>UCN</v>
      </c>
      <c r="B19207" t="s">
        <v>14</v>
      </c>
      <c r="C19207" t="s">
        <v>26</v>
      </c>
      <c r="D19207" t="s">
        <v>11</v>
      </c>
      <c r="E19207" t="s">
        <v>12</v>
      </c>
      <c r="F19207">
        <v>27531106</v>
      </c>
      <c r="G19207">
        <v>27531119</v>
      </c>
      <c r="H19207">
        <v>27531106</v>
      </c>
      <c r="I19207">
        <v>27531119</v>
      </c>
    </row>
    <row r="19208" spans="1:9" x14ac:dyDescent="0.2">
      <c r="A19208" s="1" t="str">
        <f>"UCN2"</f>
        <v>UCN2</v>
      </c>
      <c r="B19208" t="s">
        <v>14</v>
      </c>
      <c r="C19208" t="s">
        <v>22</v>
      </c>
      <c r="D19208" t="s">
        <v>11</v>
      </c>
      <c r="E19208" t="s">
        <v>12</v>
      </c>
      <c r="F19208">
        <v>48601207</v>
      </c>
      <c r="G19208">
        <v>48601222</v>
      </c>
      <c r="H19208">
        <v>48601207</v>
      </c>
      <c r="I19208">
        <v>48601222</v>
      </c>
    </row>
    <row r="19209" spans="1:9" x14ac:dyDescent="0.2">
      <c r="A19209" s="1" t="str">
        <f>"UCN3"</f>
        <v>UCN3</v>
      </c>
      <c r="B19209" t="s">
        <v>14</v>
      </c>
      <c r="C19209" t="s">
        <v>15</v>
      </c>
      <c r="D19209" t="s">
        <v>17</v>
      </c>
      <c r="E19209" t="s">
        <v>12</v>
      </c>
      <c r="F19209">
        <v>5406935</v>
      </c>
      <c r="G19209">
        <v>5406962</v>
      </c>
      <c r="H19209">
        <v>5406920</v>
      </c>
      <c r="I19209">
        <v>5406934</v>
      </c>
    </row>
    <row r="19210" spans="1:9" x14ac:dyDescent="0.2">
      <c r="A19210" s="1" t="str">
        <f>"UCP1"</f>
        <v>UCP1</v>
      </c>
      <c r="B19210" t="s">
        <v>14</v>
      </c>
      <c r="C19210" t="s">
        <v>23</v>
      </c>
      <c r="D19210" t="s">
        <v>11</v>
      </c>
      <c r="E19210" t="s">
        <v>12</v>
      </c>
      <c r="F19210">
        <v>141490112</v>
      </c>
      <c r="G19210">
        <v>141490116</v>
      </c>
      <c r="H19210">
        <v>141490112</v>
      </c>
      <c r="I19210">
        <v>141490116</v>
      </c>
    </row>
    <row r="19211" spans="1:9" x14ac:dyDescent="0.2">
      <c r="A19211" s="1" t="str">
        <f>"UCP2"</f>
        <v>UCP2</v>
      </c>
      <c r="B19211" t="s">
        <v>14</v>
      </c>
      <c r="C19211" t="s">
        <v>27</v>
      </c>
      <c r="D19211" t="s">
        <v>11</v>
      </c>
      <c r="E19211" t="s">
        <v>12</v>
      </c>
      <c r="F19211">
        <v>73693878</v>
      </c>
      <c r="G19211">
        <v>73693896</v>
      </c>
      <c r="H19211">
        <v>73694239</v>
      </c>
      <c r="I19211">
        <v>73694253</v>
      </c>
    </row>
    <row r="19212" spans="1:9" x14ac:dyDescent="0.2">
      <c r="A19212" s="1" t="str">
        <f>"UCP3"</f>
        <v>UCP3</v>
      </c>
      <c r="B19212" t="s">
        <v>14</v>
      </c>
      <c r="C19212" t="s">
        <v>27</v>
      </c>
      <c r="D19212" t="s">
        <v>11</v>
      </c>
      <c r="E19212" t="s">
        <v>12</v>
      </c>
      <c r="F19212">
        <v>73720122</v>
      </c>
      <c r="G19212">
        <v>73720136</v>
      </c>
      <c r="H19212">
        <v>73720122</v>
      </c>
      <c r="I19212">
        <v>73720136</v>
      </c>
    </row>
    <row r="19213" spans="1:9" x14ac:dyDescent="0.2">
      <c r="A19213" s="1" t="str">
        <f>"UEVLD"</f>
        <v>UEVLD</v>
      </c>
      <c r="B19213" t="s">
        <v>14</v>
      </c>
      <c r="C19213" t="s">
        <v>27</v>
      </c>
      <c r="D19213" t="s">
        <v>11</v>
      </c>
      <c r="E19213" t="s">
        <v>12</v>
      </c>
      <c r="F19213">
        <v>18610214</v>
      </c>
      <c r="G19213">
        <v>18610239</v>
      </c>
      <c r="H19213">
        <v>18610246</v>
      </c>
      <c r="I19213">
        <v>18610272</v>
      </c>
    </row>
    <row r="19214" spans="1:9" x14ac:dyDescent="0.2">
      <c r="A19214" s="1" t="str">
        <f>"UFC1"</f>
        <v>UFC1</v>
      </c>
      <c r="B19214" t="s">
        <v>14</v>
      </c>
      <c r="C19214" t="s">
        <v>19</v>
      </c>
      <c r="D19214" t="s">
        <v>17</v>
      </c>
      <c r="E19214" t="s">
        <v>12</v>
      </c>
      <c r="F19214">
        <v>161123758</v>
      </c>
      <c r="G19214">
        <v>161123792</v>
      </c>
      <c r="H19214">
        <v>161123536</v>
      </c>
      <c r="I19214">
        <v>161123588</v>
      </c>
    </row>
    <row r="19215" spans="1:9" x14ac:dyDescent="0.2">
      <c r="A19215" s="1" t="str">
        <f>"UFD1L"</f>
        <v>UFD1L</v>
      </c>
      <c r="B19215" t="s">
        <v>14</v>
      </c>
      <c r="C19215" t="s">
        <v>21</v>
      </c>
      <c r="D19215" t="s">
        <v>11</v>
      </c>
      <c r="E19215" t="s">
        <v>12</v>
      </c>
      <c r="F19215">
        <v>19466683</v>
      </c>
      <c r="G19215">
        <v>19466730</v>
      </c>
      <c r="H19215">
        <v>19466643</v>
      </c>
      <c r="I19215">
        <v>19466664</v>
      </c>
    </row>
    <row r="19216" spans="1:9" x14ac:dyDescent="0.2">
      <c r="A19216" s="1" t="str">
        <f>"UFL1"</f>
        <v>UFL1</v>
      </c>
      <c r="B19216" t="s">
        <v>14</v>
      </c>
      <c r="C19216" t="s">
        <v>32</v>
      </c>
      <c r="D19216" t="s">
        <v>17</v>
      </c>
      <c r="E19216" t="s">
        <v>12</v>
      </c>
      <c r="F19216">
        <v>96969672</v>
      </c>
      <c r="G19216">
        <v>96969737</v>
      </c>
      <c r="H19216">
        <v>96970208</v>
      </c>
      <c r="I19216">
        <v>96970241</v>
      </c>
    </row>
    <row r="19217" spans="1:9" x14ac:dyDescent="0.2">
      <c r="A19217" s="1" t="str">
        <f>"UFM1"</f>
        <v>UFM1</v>
      </c>
      <c r="B19217" t="s">
        <v>14</v>
      </c>
      <c r="C19217" t="s">
        <v>39</v>
      </c>
      <c r="D19217" t="s">
        <v>17</v>
      </c>
      <c r="E19217" t="s">
        <v>12</v>
      </c>
      <c r="F19217">
        <v>38923959</v>
      </c>
      <c r="G19217">
        <v>38924034</v>
      </c>
      <c r="H19217">
        <v>38923942</v>
      </c>
      <c r="I19217">
        <v>38923953</v>
      </c>
    </row>
    <row r="19218" spans="1:9" x14ac:dyDescent="0.2">
      <c r="A19218" s="1" t="str">
        <f>"UFSP1"</f>
        <v>UFSP1</v>
      </c>
      <c r="B19218" t="s">
        <v>14</v>
      </c>
      <c r="C19218" t="s">
        <v>33</v>
      </c>
      <c r="D19218" t="s">
        <v>11</v>
      </c>
      <c r="E19218" t="s">
        <v>12</v>
      </c>
      <c r="F19218">
        <v>100487280</v>
      </c>
      <c r="G19218">
        <v>100487343</v>
      </c>
      <c r="H19218">
        <v>100487249</v>
      </c>
      <c r="I19218">
        <v>100487254</v>
      </c>
    </row>
    <row r="19219" spans="1:9" x14ac:dyDescent="0.2">
      <c r="A19219" s="1" t="str">
        <f>"UFSP2"</f>
        <v>UFSP2</v>
      </c>
      <c r="B19219" t="s">
        <v>14</v>
      </c>
      <c r="C19219" t="s">
        <v>23</v>
      </c>
      <c r="D19219" t="s">
        <v>11</v>
      </c>
      <c r="E19219" t="s">
        <v>12</v>
      </c>
      <c r="F19219">
        <v>186347099</v>
      </c>
      <c r="G19219">
        <v>186347140</v>
      </c>
      <c r="H19219">
        <v>186347035</v>
      </c>
      <c r="I19219">
        <v>186347076</v>
      </c>
    </row>
    <row r="19220" spans="1:9" x14ac:dyDescent="0.2">
      <c r="A19220" s="1" t="str">
        <f>"UGCG"</f>
        <v>UGCG</v>
      </c>
      <c r="B19220" t="s">
        <v>14</v>
      </c>
      <c r="C19220" t="s">
        <v>24</v>
      </c>
      <c r="D19220" t="s">
        <v>17</v>
      </c>
      <c r="E19220" t="s">
        <v>12</v>
      </c>
      <c r="F19220">
        <v>114659084</v>
      </c>
      <c r="G19220">
        <v>114659102</v>
      </c>
      <c r="H19220">
        <v>114659336</v>
      </c>
      <c r="I19220">
        <v>114659458</v>
      </c>
    </row>
    <row r="19221" spans="1:9" x14ac:dyDescent="0.2">
      <c r="A19221" s="1" t="str">
        <f>"UGDH"</f>
        <v>UGDH</v>
      </c>
      <c r="B19221" t="s">
        <v>14</v>
      </c>
      <c r="C19221" t="s">
        <v>23</v>
      </c>
      <c r="D19221" t="s">
        <v>11</v>
      </c>
      <c r="E19221" t="s">
        <v>12</v>
      </c>
      <c r="F19221">
        <v>39529049</v>
      </c>
      <c r="G19221">
        <v>39529067</v>
      </c>
      <c r="H19221">
        <v>39529153</v>
      </c>
      <c r="I19221">
        <v>39529164</v>
      </c>
    </row>
    <row r="19222" spans="1:9" x14ac:dyDescent="0.2">
      <c r="A19222" s="1" t="str">
        <f>"UGGT1"</f>
        <v>UGGT1</v>
      </c>
      <c r="B19222" t="s">
        <v>14</v>
      </c>
      <c r="C19222" t="s">
        <v>26</v>
      </c>
      <c r="D19222" t="s">
        <v>17</v>
      </c>
      <c r="E19222" t="s">
        <v>12</v>
      </c>
      <c r="F19222">
        <v>128848740</v>
      </c>
      <c r="G19222">
        <v>128848816</v>
      </c>
      <c r="H19222">
        <v>128848881</v>
      </c>
      <c r="I19222">
        <v>128848908</v>
      </c>
    </row>
    <row r="19223" spans="1:9" x14ac:dyDescent="0.2">
      <c r="A19223" s="1" t="str">
        <f>"UGGT2"</f>
        <v>UGGT2</v>
      </c>
      <c r="B19223" t="s">
        <v>14</v>
      </c>
      <c r="C19223" t="s">
        <v>39</v>
      </c>
      <c r="D19223" t="s">
        <v>11</v>
      </c>
      <c r="E19223" t="s">
        <v>12</v>
      </c>
      <c r="F19223">
        <v>96705624</v>
      </c>
      <c r="G19223">
        <v>96705677</v>
      </c>
      <c r="H19223">
        <v>96705608</v>
      </c>
      <c r="I19223">
        <v>96705619</v>
      </c>
    </row>
    <row r="19224" spans="1:9" x14ac:dyDescent="0.2">
      <c r="A19224" s="1" t="str">
        <f>"UGP2"</f>
        <v>UGP2</v>
      </c>
      <c r="B19224" t="s">
        <v>14</v>
      </c>
      <c r="C19224" t="s">
        <v>26</v>
      </c>
      <c r="D19224" t="s">
        <v>17</v>
      </c>
      <c r="E19224" t="s">
        <v>12</v>
      </c>
      <c r="F19224">
        <v>64069016</v>
      </c>
      <c r="G19224">
        <v>64069039</v>
      </c>
      <c r="H19224">
        <v>64068116</v>
      </c>
      <c r="I19224">
        <v>64068185</v>
      </c>
    </row>
    <row r="19225" spans="1:9" x14ac:dyDescent="0.2">
      <c r="A19225" s="1" t="str">
        <f>"UGT1A1"</f>
        <v>UGT1A1</v>
      </c>
      <c r="B19225" t="s">
        <v>9</v>
      </c>
      <c r="C19225" t="s">
        <v>26</v>
      </c>
      <c r="D19225" t="s">
        <v>17</v>
      </c>
      <c r="E19225" t="s">
        <v>67</v>
      </c>
      <c r="F19225">
        <v>234580525</v>
      </c>
      <c r="G19225">
        <v>234580551</v>
      </c>
      <c r="H19225">
        <v>234580525</v>
      </c>
      <c r="I19225">
        <v>234580551</v>
      </c>
    </row>
    <row r="19226" spans="1:9" x14ac:dyDescent="0.2">
      <c r="A19226" s="1" t="str">
        <f>"UGT1A1"</f>
        <v>UGT1A1</v>
      </c>
      <c r="B19226" t="s">
        <v>13</v>
      </c>
      <c r="C19226" t="s">
        <v>26</v>
      </c>
      <c r="D19226" t="s">
        <v>17</v>
      </c>
      <c r="E19226" t="s">
        <v>67</v>
      </c>
      <c r="F19226">
        <v>234526272</v>
      </c>
      <c r="G19226">
        <v>234526280</v>
      </c>
      <c r="H19226">
        <v>234526272</v>
      </c>
      <c r="I19226">
        <v>234526280</v>
      </c>
    </row>
    <row r="19227" spans="1:9" x14ac:dyDescent="0.2">
      <c r="A19227" s="1" t="str">
        <f>"UGT1A10"</f>
        <v>UGT1A10</v>
      </c>
      <c r="B19227" t="s">
        <v>14</v>
      </c>
      <c r="C19227" t="s">
        <v>26</v>
      </c>
      <c r="D19227" t="s">
        <v>17</v>
      </c>
      <c r="E19227" t="s">
        <v>12</v>
      </c>
      <c r="F19227">
        <v>234545156</v>
      </c>
      <c r="G19227">
        <v>234545161</v>
      </c>
      <c r="H19227">
        <v>234545092</v>
      </c>
      <c r="I19227">
        <v>234545095</v>
      </c>
    </row>
    <row r="19228" spans="1:9" x14ac:dyDescent="0.2">
      <c r="A19228" s="1" t="str">
        <f>"UGT1A3"</f>
        <v>UGT1A3</v>
      </c>
      <c r="B19228" t="s">
        <v>14</v>
      </c>
      <c r="C19228" t="s">
        <v>26</v>
      </c>
      <c r="D19228" t="s">
        <v>17</v>
      </c>
      <c r="E19228" t="s">
        <v>12</v>
      </c>
      <c r="F19228">
        <v>234637687</v>
      </c>
      <c r="G19228">
        <v>234637691</v>
      </c>
      <c r="H19228">
        <v>234637687</v>
      </c>
      <c r="I19228">
        <v>234637691</v>
      </c>
    </row>
    <row r="19229" spans="1:9" x14ac:dyDescent="0.2">
      <c r="A19229" s="1" t="str">
        <f>"UGT1A4"</f>
        <v>UGT1A4</v>
      </c>
      <c r="B19229" t="s">
        <v>14</v>
      </c>
      <c r="C19229" t="s">
        <v>26</v>
      </c>
      <c r="D19229" t="s">
        <v>17</v>
      </c>
      <c r="E19229" t="s">
        <v>12</v>
      </c>
      <c r="F19229">
        <v>234627434</v>
      </c>
      <c r="G19229">
        <v>234627444</v>
      </c>
      <c r="H19229">
        <v>234627377</v>
      </c>
      <c r="I19229">
        <v>234627387</v>
      </c>
    </row>
    <row r="19230" spans="1:9" x14ac:dyDescent="0.2">
      <c r="A19230" s="1" t="str">
        <f>"UGT1A5"</f>
        <v>UGT1A5</v>
      </c>
      <c r="B19230" t="s">
        <v>14</v>
      </c>
      <c r="C19230" t="s">
        <v>26</v>
      </c>
      <c r="D19230" t="s">
        <v>17</v>
      </c>
      <c r="E19230" t="s">
        <v>12</v>
      </c>
      <c r="F19230">
        <v>234621551</v>
      </c>
      <c r="G19230">
        <v>234621595</v>
      </c>
      <c r="H19230">
        <v>234621551</v>
      </c>
      <c r="I19230">
        <v>234621595</v>
      </c>
    </row>
    <row r="19231" spans="1:9" x14ac:dyDescent="0.2">
      <c r="A19231" s="1" t="str">
        <f>"UGT1A6"</f>
        <v>UGT1A6</v>
      </c>
      <c r="B19231" t="s">
        <v>9</v>
      </c>
      <c r="C19231" t="s">
        <v>26</v>
      </c>
      <c r="D19231" t="s">
        <v>17</v>
      </c>
      <c r="E19231" t="s">
        <v>12</v>
      </c>
      <c r="F19231">
        <v>234600339</v>
      </c>
      <c r="G19231">
        <v>234600365</v>
      </c>
      <c r="H19231">
        <v>234600339</v>
      </c>
      <c r="I19231">
        <v>234600365</v>
      </c>
    </row>
    <row r="19232" spans="1:9" x14ac:dyDescent="0.2">
      <c r="A19232" s="1" t="str">
        <f>"UGT1A6"</f>
        <v>UGT1A6</v>
      </c>
      <c r="B19232" t="s">
        <v>13</v>
      </c>
      <c r="C19232" t="s">
        <v>26</v>
      </c>
      <c r="D19232" t="s">
        <v>17</v>
      </c>
      <c r="E19232" t="s">
        <v>12</v>
      </c>
      <c r="F19232">
        <v>234601527</v>
      </c>
      <c r="G19232">
        <v>234601551</v>
      </c>
      <c r="H19232">
        <v>234601527</v>
      </c>
      <c r="I19232">
        <v>234601551</v>
      </c>
    </row>
    <row r="19233" spans="1:9" x14ac:dyDescent="0.2">
      <c r="A19233" s="1" t="str">
        <f>"UGT1A7"</f>
        <v>UGT1A7</v>
      </c>
      <c r="B19233" t="s">
        <v>14</v>
      </c>
      <c r="C19233" t="s">
        <v>26</v>
      </c>
      <c r="D19233" t="s">
        <v>17</v>
      </c>
      <c r="E19233" t="s">
        <v>12</v>
      </c>
      <c r="F19233">
        <v>234590530</v>
      </c>
      <c r="G19233">
        <v>234590553</v>
      </c>
      <c r="H19233">
        <v>234590556</v>
      </c>
      <c r="I19233">
        <v>234590568</v>
      </c>
    </row>
    <row r="19234" spans="1:9" x14ac:dyDescent="0.2">
      <c r="A19234" s="1" t="str">
        <f>"UGT1A8"</f>
        <v>UGT1A8</v>
      </c>
      <c r="B19234" t="s">
        <v>14</v>
      </c>
      <c r="C19234" t="s">
        <v>26</v>
      </c>
      <c r="D19234" t="s">
        <v>17</v>
      </c>
      <c r="E19234" t="s">
        <v>67</v>
      </c>
      <c r="F19234">
        <v>234668909</v>
      </c>
      <c r="G19234">
        <v>234668920</v>
      </c>
      <c r="H19234">
        <v>234668909</v>
      </c>
      <c r="I19234">
        <v>234668920</v>
      </c>
    </row>
    <row r="19235" spans="1:9" x14ac:dyDescent="0.2">
      <c r="A19235" s="1" t="str">
        <f>"UGT1A9"</f>
        <v>UGT1A9</v>
      </c>
      <c r="B19235" t="s">
        <v>14</v>
      </c>
      <c r="C19235" t="s">
        <v>26</v>
      </c>
      <c r="D19235" t="s">
        <v>17</v>
      </c>
      <c r="E19235" t="s">
        <v>12</v>
      </c>
      <c r="F19235">
        <v>234580525</v>
      </c>
      <c r="G19235">
        <v>234580551</v>
      </c>
      <c r="H19235">
        <v>234580502</v>
      </c>
      <c r="I19235">
        <v>234580512</v>
      </c>
    </row>
    <row r="19236" spans="1:9" x14ac:dyDescent="0.2">
      <c r="A19236" s="1" t="str">
        <f>"UGT2A1"</f>
        <v>UGT2A1</v>
      </c>
      <c r="B19236" t="s">
        <v>14</v>
      </c>
      <c r="C19236" t="s">
        <v>23</v>
      </c>
      <c r="D19236" t="s">
        <v>11</v>
      </c>
      <c r="E19236" t="s">
        <v>12</v>
      </c>
      <c r="F19236">
        <v>70518941</v>
      </c>
      <c r="G19236">
        <v>70518967</v>
      </c>
      <c r="H19236">
        <v>70518941</v>
      </c>
      <c r="I19236">
        <v>70518967</v>
      </c>
    </row>
    <row r="19237" spans="1:9" x14ac:dyDescent="0.2">
      <c r="A19237" s="1" t="str">
        <f>"UGT2A2"</f>
        <v>UGT2A2</v>
      </c>
      <c r="B19237" t="s">
        <v>14</v>
      </c>
      <c r="C19237" t="s">
        <v>23</v>
      </c>
      <c r="D19237" t="s">
        <v>11</v>
      </c>
      <c r="E19237" t="s">
        <v>12</v>
      </c>
      <c r="F19237">
        <v>70518941</v>
      </c>
      <c r="G19237">
        <v>70518967</v>
      </c>
      <c r="H19237">
        <v>70518941</v>
      </c>
      <c r="I19237">
        <v>70518967</v>
      </c>
    </row>
    <row r="19238" spans="1:9" x14ac:dyDescent="0.2">
      <c r="A19238" s="1" t="str">
        <f>"UGT2A3"</f>
        <v>UGT2A3</v>
      </c>
      <c r="B19238" t="s">
        <v>14</v>
      </c>
      <c r="C19238" t="s">
        <v>23</v>
      </c>
      <c r="D19238" t="s">
        <v>11</v>
      </c>
      <c r="E19238" t="s">
        <v>12</v>
      </c>
      <c r="F19238">
        <v>69817481</v>
      </c>
      <c r="G19238">
        <v>69817528</v>
      </c>
      <c r="H19238">
        <v>69817481</v>
      </c>
      <c r="I19238">
        <v>69817528</v>
      </c>
    </row>
    <row r="19239" spans="1:9" x14ac:dyDescent="0.2">
      <c r="A19239" s="1" t="str">
        <f>"UGT2B10"</f>
        <v>UGT2B10</v>
      </c>
      <c r="B19239" t="s">
        <v>14</v>
      </c>
      <c r="C19239" t="s">
        <v>23</v>
      </c>
      <c r="D19239" t="s">
        <v>17</v>
      </c>
      <c r="E19239" t="s">
        <v>12</v>
      </c>
      <c r="F19239">
        <v>69681710</v>
      </c>
      <c r="G19239">
        <v>69681716</v>
      </c>
      <c r="H19239">
        <v>69681710</v>
      </c>
      <c r="I19239">
        <v>69681716</v>
      </c>
    </row>
    <row r="19240" spans="1:9" x14ac:dyDescent="0.2">
      <c r="A19240" s="1" t="str">
        <f>"UGT2B11"</f>
        <v>UGT2B11</v>
      </c>
      <c r="B19240" t="s">
        <v>14</v>
      </c>
      <c r="C19240" t="s">
        <v>23</v>
      </c>
      <c r="D19240" t="s">
        <v>11</v>
      </c>
      <c r="E19240" t="s">
        <v>12</v>
      </c>
      <c r="F19240">
        <v>70080462</v>
      </c>
      <c r="G19240">
        <v>70080467</v>
      </c>
      <c r="H19240">
        <v>70080462</v>
      </c>
      <c r="I19240">
        <v>70080467</v>
      </c>
    </row>
    <row r="19241" spans="1:9" x14ac:dyDescent="0.2">
      <c r="A19241" s="1" t="str">
        <f>"UGT2B15"</f>
        <v>UGT2B15</v>
      </c>
      <c r="B19241" t="s">
        <v>14</v>
      </c>
      <c r="C19241" t="s">
        <v>23</v>
      </c>
      <c r="D19241" t="s">
        <v>11</v>
      </c>
      <c r="E19241" t="s">
        <v>12</v>
      </c>
      <c r="F19241">
        <v>69536366</v>
      </c>
      <c r="G19241">
        <v>69536371</v>
      </c>
      <c r="H19241">
        <v>69536366</v>
      </c>
      <c r="I19241">
        <v>69536371</v>
      </c>
    </row>
    <row r="19242" spans="1:9" x14ac:dyDescent="0.2">
      <c r="A19242" s="1" t="str">
        <f>"UGT2B17"</f>
        <v>UGT2B17</v>
      </c>
      <c r="B19242" t="s">
        <v>14</v>
      </c>
      <c r="C19242" t="s">
        <v>23</v>
      </c>
      <c r="D19242" t="s">
        <v>11</v>
      </c>
      <c r="E19242" t="s">
        <v>12</v>
      </c>
      <c r="F19242">
        <v>69434318</v>
      </c>
      <c r="G19242">
        <v>69434341</v>
      </c>
      <c r="H19242">
        <v>69434318</v>
      </c>
      <c r="I19242">
        <v>69434341</v>
      </c>
    </row>
    <row r="19243" spans="1:9" x14ac:dyDescent="0.2">
      <c r="A19243" s="1" t="str">
        <f>"UGT2B28"</f>
        <v>UGT2B28</v>
      </c>
      <c r="B19243" t="s">
        <v>14</v>
      </c>
      <c r="C19243" t="s">
        <v>23</v>
      </c>
      <c r="D19243" t="s">
        <v>17</v>
      </c>
      <c r="E19243" t="s">
        <v>12</v>
      </c>
      <c r="F19243">
        <v>70146190</v>
      </c>
      <c r="G19243">
        <v>70146196</v>
      </c>
      <c r="H19243">
        <v>70146190</v>
      </c>
      <c r="I19243">
        <v>70146196</v>
      </c>
    </row>
    <row r="19244" spans="1:9" x14ac:dyDescent="0.2">
      <c r="A19244" s="1" t="str">
        <f>"UGT2B4"</f>
        <v>UGT2B4</v>
      </c>
      <c r="B19244" t="s">
        <v>14</v>
      </c>
      <c r="C19244" t="s">
        <v>23</v>
      </c>
      <c r="D19244" t="s">
        <v>11</v>
      </c>
      <c r="E19244" t="s">
        <v>12</v>
      </c>
      <c r="F19244">
        <v>70361615</v>
      </c>
      <c r="G19244">
        <v>70361631</v>
      </c>
      <c r="H19244">
        <v>70361615</v>
      </c>
      <c r="I19244">
        <v>70361631</v>
      </c>
    </row>
    <row r="19245" spans="1:9" x14ac:dyDescent="0.2">
      <c r="A19245" s="1" t="str">
        <f>"UGT2B7"</f>
        <v>UGT2B7</v>
      </c>
      <c r="B19245" t="s">
        <v>14</v>
      </c>
      <c r="C19245" t="s">
        <v>23</v>
      </c>
      <c r="D19245" t="s">
        <v>17</v>
      </c>
      <c r="E19245" t="s">
        <v>12</v>
      </c>
      <c r="F19245">
        <v>69962185</v>
      </c>
      <c r="G19245">
        <v>69962202</v>
      </c>
      <c r="H19245">
        <v>69962185</v>
      </c>
      <c r="I19245">
        <v>69962202</v>
      </c>
    </row>
    <row r="19246" spans="1:9" x14ac:dyDescent="0.2">
      <c r="A19246" s="1" t="str">
        <f>"UGT3A1"</f>
        <v>UGT3A1</v>
      </c>
      <c r="B19246" t="s">
        <v>14</v>
      </c>
      <c r="C19246" t="s">
        <v>46</v>
      </c>
      <c r="D19246" t="s">
        <v>11</v>
      </c>
      <c r="E19246" t="s">
        <v>12</v>
      </c>
      <c r="F19246">
        <v>35991458</v>
      </c>
      <c r="G19246">
        <v>35991478</v>
      </c>
      <c r="H19246">
        <v>35991486</v>
      </c>
      <c r="I19246">
        <v>35991509</v>
      </c>
    </row>
    <row r="19247" spans="1:9" x14ac:dyDescent="0.2">
      <c r="A19247" s="1" t="str">
        <f>"UGT3A2"</f>
        <v>UGT3A2</v>
      </c>
      <c r="B19247" t="s">
        <v>14</v>
      </c>
      <c r="C19247" t="s">
        <v>46</v>
      </c>
      <c r="D19247" t="s">
        <v>11</v>
      </c>
      <c r="E19247" t="s">
        <v>12</v>
      </c>
      <c r="F19247">
        <v>36066975</v>
      </c>
      <c r="G19247">
        <v>36067019</v>
      </c>
      <c r="H19247">
        <v>36066898</v>
      </c>
      <c r="I19247">
        <v>36066924</v>
      </c>
    </row>
    <row r="19248" spans="1:9" x14ac:dyDescent="0.2">
      <c r="A19248" s="1" t="str">
        <f>"UGT8"</f>
        <v>UGT8</v>
      </c>
      <c r="B19248" t="s">
        <v>14</v>
      </c>
      <c r="C19248" t="s">
        <v>23</v>
      </c>
      <c r="D19248" t="s">
        <v>17</v>
      </c>
      <c r="E19248" t="s">
        <v>12</v>
      </c>
      <c r="F19248">
        <v>115519894</v>
      </c>
      <c r="G19248">
        <v>115519983</v>
      </c>
      <c r="H19248">
        <v>115519577</v>
      </c>
      <c r="I19248">
        <v>115519631</v>
      </c>
    </row>
    <row r="19249" spans="1:9" x14ac:dyDescent="0.2">
      <c r="A19249" s="1" t="str">
        <f>"UHMK1"</f>
        <v>UHMK1</v>
      </c>
      <c r="B19249" t="s">
        <v>14</v>
      </c>
      <c r="C19249" t="s">
        <v>19</v>
      </c>
      <c r="D19249" t="s">
        <v>17</v>
      </c>
      <c r="E19249" t="s">
        <v>12</v>
      </c>
      <c r="F19249">
        <v>162467600</v>
      </c>
      <c r="G19249">
        <v>162467655</v>
      </c>
      <c r="H19249">
        <v>162467600</v>
      </c>
      <c r="I19249">
        <v>162467655</v>
      </c>
    </row>
    <row r="19250" spans="1:9" x14ac:dyDescent="0.2">
      <c r="A19250" s="1" t="str">
        <f>"UHRF1"</f>
        <v>UHRF1</v>
      </c>
      <c r="B19250" t="s">
        <v>14</v>
      </c>
      <c r="C19250" t="s">
        <v>10</v>
      </c>
      <c r="D19250" t="s">
        <v>17</v>
      </c>
      <c r="E19250" t="s">
        <v>12</v>
      </c>
      <c r="F19250">
        <v>4909505</v>
      </c>
      <c r="G19250">
        <v>4909520</v>
      </c>
      <c r="H19250">
        <v>4910143</v>
      </c>
      <c r="I19250">
        <v>4910175</v>
      </c>
    </row>
    <row r="19251" spans="1:9" x14ac:dyDescent="0.2">
      <c r="A19251" s="1" t="str">
        <f>"UHRF1BP1"</f>
        <v>UHRF1BP1</v>
      </c>
      <c r="B19251" t="s">
        <v>14</v>
      </c>
      <c r="C19251" t="s">
        <v>32</v>
      </c>
      <c r="D19251" t="s">
        <v>17</v>
      </c>
      <c r="E19251" t="s">
        <v>12</v>
      </c>
      <c r="F19251">
        <v>34759837</v>
      </c>
      <c r="G19251">
        <v>34759902</v>
      </c>
      <c r="H19251">
        <v>34759743</v>
      </c>
      <c r="I19251">
        <v>34759826</v>
      </c>
    </row>
    <row r="19252" spans="1:9" x14ac:dyDescent="0.2">
      <c r="A19252" s="1" t="str">
        <f>"UHRF1BP1L"</f>
        <v>UHRF1BP1L</v>
      </c>
      <c r="B19252" t="s">
        <v>14</v>
      </c>
      <c r="C19252" t="s">
        <v>16</v>
      </c>
      <c r="D19252" t="s">
        <v>11</v>
      </c>
      <c r="E19252" t="s">
        <v>12</v>
      </c>
      <c r="F19252">
        <v>100536608</v>
      </c>
      <c r="G19252">
        <v>100536667</v>
      </c>
      <c r="H19252">
        <v>100536431</v>
      </c>
      <c r="I19252">
        <v>100536480</v>
      </c>
    </row>
    <row r="19253" spans="1:9" x14ac:dyDescent="0.2">
      <c r="A19253" s="1" t="str">
        <f>"UHRF2"</f>
        <v>UHRF2</v>
      </c>
      <c r="B19253" t="s">
        <v>14</v>
      </c>
      <c r="C19253" t="s">
        <v>24</v>
      </c>
      <c r="D19253" t="s">
        <v>17</v>
      </c>
      <c r="E19253" t="s">
        <v>12</v>
      </c>
      <c r="F19253">
        <v>6413191</v>
      </c>
      <c r="G19253">
        <v>6413214</v>
      </c>
      <c r="H19253">
        <v>6413215</v>
      </c>
      <c r="I19253">
        <v>6413237</v>
      </c>
    </row>
    <row r="19254" spans="1:9" x14ac:dyDescent="0.2">
      <c r="A19254" s="1" t="str">
        <f>"UIMC1"</f>
        <v>UIMC1</v>
      </c>
      <c r="B19254" t="s">
        <v>14</v>
      </c>
      <c r="C19254" t="s">
        <v>46</v>
      </c>
      <c r="D19254" t="s">
        <v>11</v>
      </c>
      <c r="E19254" t="s">
        <v>12</v>
      </c>
      <c r="F19254">
        <v>176433693</v>
      </c>
      <c r="G19254">
        <v>176433812</v>
      </c>
      <c r="H19254">
        <v>176433587</v>
      </c>
      <c r="I19254">
        <v>176433620</v>
      </c>
    </row>
    <row r="19255" spans="1:9" x14ac:dyDescent="0.2">
      <c r="A19255" s="1" t="str">
        <f>"ULBP1"</f>
        <v>ULBP1</v>
      </c>
      <c r="B19255" t="s">
        <v>14</v>
      </c>
      <c r="C19255" t="s">
        <v>32</v>
      </c>
      <c r="D19255" t="s">
        <v>17</v>
      </c>
      <c r="E19255" t="s">
        <v>12</v>
      </c>
      <c r="F19255">
        <v>150285135</v>
      </c>
      <c r="G19255">
        <v>150285151</v>
      </c>
      <c r="H19255">
        <v>150285070</v>
      </c>
      <c r="I19255">
        <v>150285086</v>
      </c>
    </row>
    <row r="19256" spans="1:9" x14ac:dyDescent="0.2">
      <c r="A19256" s="1" t="str">
        <f>"ULBP2"</f>
        <v>ULBP2</v>
      </c>
      <c r="B19256" t="s">
        <v>14</v>
      </c>
      <c r="C19256" t="s">
        <v>32</v>
      </c>
      <c r="D19256" t="s">
        <v>17</v>
      </c>
      <c r="E19256" t="s">
        <v>12</v>
      </c>
      <c r="F19256">
        <v>150263142</v>
      </c>
      <c r="G19256">
        <v>150263171</v>
      </c>
      <c r="H19256">
        <v>150263115</v>
      </c>
      <c r="I19256">
        <v>150263125</v>
      </c>
    </row>
    <row r="19257" spans="1:9" x14ac:dyDescent="0.2">
      <c r="A19257" s="1" t="str">
        <f>"ULBP3"</f>
        <v>ULBP3</v>
      </c>
      <c r="B19257" t="s">
        <v>14</v>
      </c>
      <c r="C19257" t="s">
        <v>32</v>
      </c>
      <c r="D19257" t="s">
        <v>11</v>
      </c>
      <c r="E19257" t="s">
        <v>12</v>
      </c>
      <c r="F19257">
        <v>150390249</v>
      </c>
      <c r="G19257">
        <v>150390268</v>
      </c>
      <c r="H19257">
        <v>150390280</v>
      </c>
      <c r="I19257">
        <v>150390303</v>
      </c>
    </row>
    <row r="19258" spans="1:9" x14ac:dyDescent="0.2">
      <c r="A19258" s="1" t="str">
        <f>"ULK1"</f>
        <v>ULK1</v>
      </c>
      <c r="B19258" t="s">
        <v>14</v>
      </c>
      <c r="C19258" t="s">
        <v>16</v>
      </c>
      <c r="D19258" t="s">
        <v>17</v>
      </c>
      <c r="E19258" t="s">
        <v>12</v>
      </c>
      <c r="F19258">
        <v>132379160</v>
      </c>
      <c r="G19258">
        <v>132379201</v>
      </c>
      <c r="H19258">
        <v>132379210</v>
      </c>
      <c r="I19258">
        <v>132379234</v>
      </c>
    </row>
    <row r="19259" spans="1:9" x14ac:dyDescent="0.2">
      <c r="A19259" s="1" t="str">
        <f>"ULK2"</f>
        <v>ULK2</v>
      </c>
      <c r="B19259" t="s">
        <v>14</v>
      </c>
      <c r="C19259" t="s">
        <v>28</v>
      </c>
      <c r="D19259" t="s">
        <v>11</v>
      </c>
      <c r="E19259" t="s">
        <v>12</v>
      </c>
      <c r="F19259">
        <v>19771242</v>
      </c>
      <c r="G19259">
        <v>19771256</v>
      </c>
      <c r="H19259">
        <v>19771156</v>
      </c>
      <c r="I19259">
        <v>19771192</v>
      </c>
    </row>
    <row r="19260" spans="1:9" x14ac:dyDescent="0.2">
      <c r="A19260" s="1" t="str">
        <f>"ULK3"</f>
        <v>ULK3</v>
      </c>
      <c r="B19260" t="s">
        <v>14</v>
      </c>
      <c r="C19260" t="s">
        <v>25</v>
      </c>
      <c r="D19260" t="s">
        <v>11</v>
      </c>
      <c r="E19260" t="s">
        <v>12</v>
      </c>
      <c r="F19260">
        <v>75135453</v>
      </c>
      <c r="G19260">
        <v>75135529</v>
      </c>
      <c r="H19260">
        <v>75134992</v>
      </c>
      <c r="I19260">
        <v>75135029</v>
      </c>
    </row>
    <row r="19261" spans="1:9" x14ac:dyDescent="0.2">
      <c r="A19261" s="1" t="str">
        <f>"ULK4"</f>
        <v>ULK4</v>
      </c>
      <c r="B19261" t="s">
        <v>14</v>
      </c>
      <c r="C19261" t="s">
        <v>22</v>
      </c>
      <c r="D19261" t="s">
        <v>11</v>
      </c>
      <c r="E19261" t="s">
        <v>12</v>
      </c>
      <c r="F19261">
        <v>42003479</v>
      </c>
      <c r="G19261">
        <v>42003612</v>
      </c>
      <c r="H19261">
        <v>42003479</v>
      </c>
      <c r="I19261">
        <v>42003612</v>
      </c>
    </row>
    <row r="19262" spans="1:9" x14ac:dyDescent="0.2">
      <c r="A19262" s="1" t="str">
        <f>"UMOD"</f>
        <v>UMOD</v>
      </c>
      <c r="B19262" t="s">
        <v>9</v>
      </c>
      <c r="C19262" t="s">
        <v>31</v>
      </c>
      <c r="D19262" t="s">
        <v>11</v>
      </c>
      <c r="E19262" t="s">
        <v>12</v>
      </c>
      <c r="F19262">
        <v>20364030</v>
      </c>
      <c r="G19262">
        <v>20364038</v>
      </c>
      <c r="H19262">
        <v>20364030</v>
      </c>
      <c r="I19262">
        <v>20364038</v>
      </c>
    </row>
    <row r="19263" spans="1:9" x14ac:dyDescent="0.2">
      <c r="A19263" s="1" t="str">
        <f>"UMOD"</f>
        <v>UMOD</v>
      </c>
      <c r="B19263" t="s">
        <v>13</v>
      </c>
      <c r="C19263" t="s">
        <v>31</v>
      </c>
      <c r="D19263" t="s">
        <v>11</v>
      </c>
      <c r="E19263" t="s">
        <v>12</v>
      </c>
      <c r="F19263">
        <v>20362104</v>
      </c>
      <c r="G19263">
        <v>20362119</v>
      </c>
      <c r="H19263">
        <v>20362104</v>
      </c>
      <c r="I19263">
        <v>20362119</v>
      </c>
    </row>
    <row r="19264" spans="1:9" x14ac:dyDescent="0.2">
      <c r="A19264" s="1" t="str">
        <f>"UMODL1"</f>
        <v>UMODL1</v>
      </c>
      <c r="B19264" t="s">
        <v>14</v>
      </c>
      <c r="C19264" t="s">
        <v>42</v>
      </c>
      <c r="D19264" t="s">
        <v>17</v>
      </c>
      <c r="E19264" t="s">
        <v>12</v>
      </c>
      <c r="F19264">
        <v>43482998</v>
      </c>
      <c r="G19264">
        <v>43483023</v>
      </c>
      <c r="H19264">
        <v>43482969</v>
      </c>
      <c r="I19264">
        <v>43482994</v>
      </c>
    </row>
    <row r="19265" spans="1:9" x14ac:dyDescent="0.2">
      <c r="A19265" s="1" t="str">
        <f>"UMPS"</f>
        <v>UMPS</v>
      </c>
      <c r="B19265" t="s">
        <v>14</v>
      </c>
      <c r="C19265" t="s">
        <v>22</v>
      </c>
      <c r="D19265" t="s">
        <v>17</v>
      </c>
      <c r="E19265" t="s">
        <v>12</v>
      </c>
      <c r="F19265">
        <v>124449275</v>
      </c>
      <c r="G19265">
        <v>124449313</v>
      </c>
      <c r="H19265">
        <v>124449408</v>
      </c>
      <c r="I19265">
        <v>124449423</v>
      </c>
    </row>
    <row r="19266" spans="1:9" x14ac:dyDescent="0.2">
      <c r="A19266" s="1" t="str">
        <f>"UNC119"</f>
        <v>UNC119</v>
      </c>
      <c r="B19266" t="s">
        <v>9</v>
      </c>
      <c r="C19266" t="s">
        <v>28</v>
      </c>
      <c r="D19266" t="s">
        <v>11</v>
      </c>
      <c r="E19266" t="s">
        <v>12</v>
      </c>
      <c r="F19266">
        <v>26879600</v>
      </c>
      <c r="G19266">
        <v>26879654</v>
      </c>
      <c r="H19266">
        <v>26879600</v>
      </c>
      <c r="I19266">
        <v>26879654</v>
      </c>
    </row>
    <row r="19267" spans="1:9" x14ac:dyDescent="0.2">
      <c r="A19267" s="1" t="str">
        <f>"UNC119"</f>
        <v>UNC119</v>
      </c>
      <c r="B19267" t="s">
        <v>13</v>
      </c>
      <c r="C19267" t="s">
        <v>28</v>
      </c>
      <c r="D19267" t="s">
        <v>11</v>
      </c>
      <c r="E19267" t="s">
        <v>12</v>
      </c>
      <c r="F19267">
        <v>26875065</v>
      </c>
      <c r="G19267">
        <v>26875079</v>
      </c>
      <c r="H19267">
        <v>26875065</v>
      </c>
      <c r="I19267">
        <v>26875079</v>
      </c>
    </row>
    <row r="19268" spans="1:9" x14ac:dyDescent="0.2">
      <c r="A19268" s="1" t="str">
        <f>"UNC119B"</f>
        <v>UNC119B</v>
      </c>
      <c r="B19268" t="s">
        <v>14</v>
      </c>
      <c r="C19268" t="s">
        <v>16</v>
      </c>
      <c r="D19268" t="s">
        <v>17</v>
      </c>
      <c r="E19268" t="s">
        <v>12</v>
      </c>
      <c r="F19268">
        <v>121148228</v>
      </c>
      <c r="G19268">
        <v>121148282</v>
      </c>
      <c r="H19268">
        <v>121148284</v>
      </c>
      <c r="I19268">
        <v>121148295</v>
      </c>
    </row>
    <row r="19269" spans="1:9" x14ac:dyDescent="0.2">
      <c r="A19269" s="1" t="str">
        <f>"UNC13A"</f>
        <v>UNC13A</v>
      </c>
      <c r="B19269" t="s">
        <v>14</v>
      </c>
      <c r="C19269" t="s">
        <v>10</v>
      </c>
      <c r="D19269" t="s">
        <v>11</v>
      </c>
      <c r="E19269" t="s">
        <v>12</v>
      </c>
      <c r="F19269">
        <v>17799139</v>
      </c>
      <c r="G19269">
        <v>17799181</v>
      </c>
      <c r="H19269">
        <v>17799182</v>
      </c>
      <c r="I19269">
        <v>17799191</v>
      </c>
    </row>
    <row r="19270" spans="1:9" x14ac:dyDescent="0.2">
      <c r="A19270" s="1" t="str">
        <f>"UNC13B"</f>
        <v>UNC13B</v>
      </c>
      <c r="B19270" t="s">
        <v>14</v>
      </c>
      <c r="C19270" t="s">
        <v>24</v>
      </c>
      <c r="D19270" t="s">
        <v>17</v>
      </c>
      <c r="E19270" t="s">
        <v>12</v>
      </c>
      <c r="F19270">
        <v>35161998</v>
      </c>
      <c r="G19270">
        <v>35162034</v>
      </c>
      <c r="H19270">
        <v>35161948</v>
      </c>
      <c r="I19270">
        <v>35161995</v>
      </c>
    </row>
    <row r="19271" spans="1:9" x14ac:dyDescent="0.2">
      <c r="A19271" s="1" t="str">
        <f>"UNC13C"</f>
        <v>UNC13C</v>
      </c>
      <c r="B19271" t="s">
        <v>14</v>
      </c>
      <c r="C19271" t="s">
        <v>25</v>
      </c>
      <c r="D19271" t="s">
        <v>17</v>
      </c>
      <c r="E19271" t="s">
        <v>12</v>
      </c>
      <c r="F19271">
        <v>54305102</v>
      </c>
      <c r="G19271">
        <v>54305111</v>
      </c>
      <c r="H19271">
        <v>54305102</v>
      </c>
      <c r="I19271">
        <v>54305111</v>
      </c>
    </row>
    <row r="19272" spans="1:9" x14ac:dyDescent="0.2">
      <c r="A19272" s="1" t="str">
        <f>"UNC13D"</f>
        <v>UNC13D</v>
      </c>
      <c r="B19272" t="s">
        <v>14</v>
      </c>
      <c r="C19272" t="s">
        <v>28</v>
      </c>
      <c r="D19272" t="s">
        <v>11</v>
      </c>
      <c r="E19272" t="s">
        <v>12</v>
      </c>
      <c r="F19272">
        <v>73840423</v>
      </c>
      <c r="G19272">
        <v>73840499</v>
      </c>
      <c r="H19272">
        <v>73840774</v>
      </c>
      <c r="I19272">
        <v>73840817</v>
      </c>
    </row>
    <row r="19273" spans="1:9" x14ac:dyDescent="0.2">
      <c r="A19273" s="1" t="str">
        <f>"UNC45A"</f>
        <v>UNC45A</v>
      </c>
      <c r="B19273" t="s">
        <v>9</v>
      </c>
      <c r="C19273" t="s">
        <v>25</v>
      </c>
      <c r="D19273" t="s">
        <v>17</v>
      </c>
      <c r="E19273" t="s">
        <v>12</v>
      </c>
      <c r="F19273">
        <v>91478493</v>
      </c>
      <c r="G19273">
        <v>91478551</v>
      </c>
      <c r="H19273">
        <v>91478493</v>
      </c>
      <c r="I19273">
        <v>91478551</v>
      </c>
    </row>
    <row r="19274" spans="1:9" x14ac:dyDescent="0.2">
      <c r="A19274" s="1" t="str">
        <f>"UNC45A"</f>
        <v>UNC45A</v>
      </c>
      <c r="B19274" t="s">
        <v>13</v>
      </c>
      <c r="C19274" t="s">
        <v>25</v>
      </c>
      <c r="D19274" t="s">
        <v>17</v>
      </c>
      <c r="E19274" t="s">
        <v>12</v>
      </c>
      <c r="F19274">
        <v>91473403</v>
      </c>
      <c r="G19274">
        <v>91473422</v>
      </c>
      <c r="H19274">
        <v>91473403</v>
      </c>
      <c r="I19274">
        <v>91473422</v>
      </c>
    </row>
    <row r="19275" spans="1:9" x14ac:dyDescent="0.2">
      <c r="A19275" s="1" t="str">
        <f>"UNC45B"</f>
        <v>UNC45B</v>
      </c>
      <c r="B19275" t="s">
        <v>14</v>
      </c>
      <c r="C19275" t="s">
        <v>28</v>
      </c>
      <c r="D19275" t="s">
        <v>17</v>
      </c>
      <c r="E19275" t="s">
        <v>12</v>
      </c>
      <c r="F19275">
        <v>33474826</v>
      </c>
      <c r="G19275">
        <v>33474842</v>
      </c>
      <c r="H19275">
        <v>33474868</v>
      </c>
      <c r="I19275">
        <v>33474871</v>
      </c>
    </row>
    <row r="19276" spans="1:9" x14ac:dyDescent="0.2">
      <c r="A19276" s="1" t="str">
        <f>"UNC50"</f>
        <v>UNC50</v>
      </c>
      <c r="B19276" t="s">
        <v>14</v>
      </c>
      <c r="C19276" t="s">
        <v>26</v>
      </c>
      <c r="D19276" t="s">
        <v>17</v>
      </c>
      <c r="E19276" t="s">
        <v>12</v>
      </c>
      <c r="F19276">
        <v>99225018</v>
      </c>
      <c r="G19276">
        <v>99225117</v>
      </c>
      <c r="H19276">
        <v>99225242</v>
      </c>
      <c r="I19276">
        <v>99225289</v>
      </c>
    </row>
    <row r="19277" spans="1:9" x14ac:dyDescent="0.2">
      <c r="A19277" s="1" t="str">
        <f>"UNC5A"</f>
        <v>UNC5A</v>
      </c>
      <c r="B19277" t="s">
        <v>14</v>
      </c>
      <c r="C19277" t="s">
        <v>46</v>
      </c>
      <c r="D19277" t="s">
        <v>17</v>
      </c>
      <c r="E19277" t="s">
        <v>12</v>
      </c>
      <c r="F19277">
        <v>176237500</v>
      </c>
      <c r="G19277">
        <v>176237551</v>
      </c>
      <c r="H19277">
        <v>176237553</v>
      </c>
      <c r="I19277">
        <v>176237570</v>
      </c>
    </row>
    <row r="19278" spans="1:9" x14ac:dyDescent="0.2">
      <c r="A19278" s="1" t="str">
        <f>"UNC5B"</f>
        <v>UNC5B</v>
      </c>
      <c r="B19278" t="s">
        <v>14</v>
      </c>
      <c r="C19278" t="s">
        <v>15</v>
      </c>
      <c r="D19278" t="s">
        <v>17</v>
      </c>
      <c r="E19278" t="s">
        <v>12</v>
      </c>
      <c r="F19278">
        <v>72972281</v>
      </c>
      <c r="G19278">
        <v>72972336</v>
      </c>
      <c r="H19278">
        <v>72972487</v>
      </c>
      <c r="I19278">
        <v>72972494</v>
      </c>
    </row>
    <row r="19279" spans="1:9" x14ac:dyDescent="0.2">
      <c r="A19279" s="1" t="str">
        <f>"UNC5C"</f>
        <v>UNC5C</v>
      </c>
      <c r="B19279" t="s">
        <v>14</v>
      </c>
      <c r="C19279" t="s">
        <v>23</v>
      </c>
      <c r="D19279" t="s">
        <v>11</v>
      </c>
      <c r="E19279" t="s">
        <v>12</v>
      </c>
      <c r="F19279">
        <v>96470108</v>
      </c>
      <c r="G19279">
        <v>96470130</v>
      </c>
      <c r="H19279">
        <v>96470350</v>
      </c>
      <c r="I19279">
        <v>96470373</v>
      </c>
    </row>
    <row r="19280" spans="1:9" x14ac:dyDescent="0.2">
      <c r="A19280" s="1" t="str">
        <f>"UNC5CL"</f>
        <v>UNC5CL</v>
      </c>
      <c r="B19280" t="s">
        <v>14</v>
      </c>
      <c r="C19280" t="s">
        <v>32</v>
      </c>
      <c r="D19280" t="s">
        <v>11</v>
      </c>
      <c r="E19280" t="s">
        <v>12</v>
      </c>
      <c r="F19280">
        <v>41006941</v>
      </c>
      <c r="G19280">
        <v>41006968</v>
      </c>
      <c r="H19280">
        <v>41006987</v>
      </c>
      <c r="I19280">
        <v>41006998</v>
      </c>
    </row>
    <row r="19281" spans="1:9" x14ac:dyDescent="0.2">
      <c r="A19281" s="1" t="str">
        <f>"UNC5D"</f>
        <v>UNC5D</v>
      </c>
      <c r="B19281" t="s">
        <v>14</v>
      </c>
      <c r="C19281" t="s">
        <v>30</v>
      </c>
      <c r="D19281" t="s">
        <v>17</v>
      </c>
      <c r="E19281" t="s">
        <v>12</v>
      </c>
      <c r="F19281">
        <v>35092985</v>
      </c>
      <c r="G19281">
        <v>35093003</v>
      </c>
      <c r="H19281">
        <v>35092959</v>
      </c>
      <c r="I19281">
        <v>35092973</v>
      </c>
    </row>
    <row r="19282" spans="1:9" x14ac:dyDescent="0.2">
      <c r="A19282" s="1" t="str">
        <f>"UNC79"</f>
        <v>UNC79</v>
      </c>
      <c r="B19282" t="s">
        <v>1781</v>
      </c>
      <c r="C19282" t="s">
        <v>41</v>
      </c>
      <c r="D19282" t="s">
        <v>17</v>
      </c>
      <c r="E19282" t="s">
        <v>35</v>
      </c>
      <c r="F19282">
        <v>93799519</v>
      </c>
      <c r="G19282">
        <v>93799537</v>
      </c>
      <c r="H19282">
        <v>93799731</v>
      </c>
      <c r="I19282">
        <v>93799732</v>
      </c>
    </row>
    <row r="19283" spans="1:9" x14ac:dyDescent="0.2">
      <c r="A19283" s="1" t="str">
        <f>"UNC80"</f>
        <v>UNC80</v>
      </c>
      <c r="B19283" t="s">
        <v>14</v>
      </c>
      <c r="C19283" t="s">
        <v>26</v>
      </c>
      <c r="D19283" t="s">
        <v>17</v>
      </c>
      <c r="E19283" t="s">
        <v>12</v>
      </c>
      <c r="F19283">
        <v>210636697</v>
      </c>
      <c r="G19283">
        <v>210636762</v>
      </c>
      <c r="H19283">
        <v>210636549</v>
      </c>
      <c r="I19283">
        <v>210636603</v>
      </c>
    </row>
    <row r="19284" spans="1:9" x14ac:dyDescent="0.2">
      <c r="A19284" s="1" t="str">
        <f>"UNC93A"</f>
        <v>UNC93A</v>
      </c>
      <c r="B19284" t="s">
        <v>14</v>
      </c>
      <c r="C19284" t="s">
        <v>32</v>
      </c>
      <c r="D19284" t="s">
        <v>17</v>
      </c>
      <c r="E19284" t="s">
        <v>12</v>
      </c>
      <c r="F19284">
        <v>167684651</v>
      </c>
      <c r="G19284">
        <v>167684669</v>
      </c>
      <c r="H19284">
        <v>167684651</v>
      </c>
      <c r="I19284">
        <v>167684669</v>
      </c>
    </row>
    <row r="19285" spans="1:9" x14ac:dyDescent="0.2">
      <c r="A19285" s="1" t="str">
        <f>"UNC93B1"</f>
        <v>UNC93B1</v>
      </c>
      <c r="B19285" t="s">
        <v>14</v>
      </c>
      <c r="C19285" t="s">
        <v>27</v>
      </c>
      <c r="D19285" t="s">
        <v>11</v>
      </c>
      <c r="E19285" t="s">
        <v>12</v>
      </c>
      <c r="F19285">
        <v>67771513</v>
      </c>
      <c r="G19285">
        <v>67771604</v>
      </c>
      <c r="H19285">
        <v>67771024</v>
      </c>
      <c r="I19285">
        <v>67771043</v>
      </c>
    </row>
    <row r="19286" spans="1:9" x14ac:dyDescent="0.2">
      <c r="A19286" s="1" t="str">
        <f>"UNCX"</f>
        <v>UNCX</v>
      </c>
      <c r="B19286" t="s">
        <v>14</v>
      </c>
      <c r="C19286" t="s">
        <v>33</v>
      </c>
      <c r="D19286" t="s">
        <v>17</v>
      </c>
      <c r="E19286" t="s">
        <v>12</v>
      </c>
      <c r="F19286">
        <v>1272500</v>
      </c>
      <c r="G19286">
        <v>1272513</v>
      </c>
      <c r="H19286">
        <v>1272522</v>
      </c>
      <c r="I19286">
        <v>1272537</v>
      </c>
    </row>
    <row r="19287" spans="1:9" x14ac:dyDescent="0.2">
      <c r="A19287" s="1" t="str">
        <f>"UNG"</f>
        <v>UNG</v>
      </c>
      <c r="B19287" t="s">
        <v>14</v>
      </c>
      <c r="C19287" t="s">
        <v>16</v>
      </c>
      <c r="D19287" t="s">
        <v>17</v>
      </c>
      <c r="E19287" t="s">
        <v>12</v>
      </c>
      <c r="F19287">
        <v>109535373</v>
      </c>
      <c r="G19287">
        <v>109535414</v>
      </c>
      <c r="H19287">
        <v>109535947</v>
      </c>
      <c r="I19287">
        <v>109536024</v>
      </c>
    </row>
    <row r="19288" spans="1:9" x14ac:dyDescent="0.2">
      <c r="A19288" s="1" t="str">
        <f>"UNK"</f>
        <v>UNK</v>
      </c>
      <c r="B19288" t="s">
        <v>14</v>
      </c>
      <c r="C19288" t="s">
        <v>28</v>
      </c>
      <c r="D19288" t="s">
        <v>17</v>
      </c>
      <c r="E19288" t="s">
        <v>12</v>
      </c>
      <c r="F19288">
        <v>73780879</v>
      </c>
      <c r="G19288">
        <v>73780963</v>
      </c>
      <c r="H19288">
        <v>73780702</v>
      </c>
      <c r="I19288">
        <v>73780703</v>
      </c>
    </row>
    <row r="19289" spans="1:9" x14ac:dyDescent="0.2">
      <c r="A19289" s="1" t="str">
        <f>"UNKL"</f>
        <v>UNKL</v>
      </c>
      <c r="B19289" t="s">
        <v>14</v>
      </c>
      <c r="C19289" t="s">
        <v>31</v>
      </c>
      <c r="D19289" t="s">
        <v>11</v>
      </c>
      <c r="E19289" t="s">
        <v>12</v>
      </c>
      <c r="F19289">
        <v>1464688</v>
      </c>
      <c r="G19289">
        <v>1464728</v>
      </c>
      <c r="H19289">
        <v>1464688</v>
      </c>
      <c r="I19289">
        <v>1464728</v>
      </c>
    </row>
    <row r="19290" spans="1:9" x14ac:dyDescent="0.2">
      <c r="A19290" s="1" t="str">
        <f>"UPB1"</f>
        <v>UPB1</v>
      </c>
      <c r="B19290" t="s">
        <v>14</v>
      </c>
      <c r="C19290" t="s">
        <v>21</v>
      </c>
      <c r="D19290" t="s">
        <v>17</v>
      </c>
      <c r="E19290" t="s">
        <v>12</v>
      </c>
      <c r="F19290">
        <v>24891293</v>
      </c>
      <c r="G19290">
        <v>24891310</v>
      </c>
      <c r="H19290">
        <v>24891327</v>
      </c>
      <c r="I19290">
        <v>24891339</v>
      </c>
    </row>
    <row r="19291" spans="1:9" x14ac:dyDescent="0.2">
      <c r="A19291" s="1" t="str">
        <f>"UPF1"</f>
        <v>UPF1</v>
      </c>
      <c r="B19291" t="s">
        <v>14</v>
      </c>
      <c r="C19291" t="s">
        <v>10</v>
      </c>
      <c r="D19291" t="s">
        <v>17</v>
      </c>
      <c r="E19291" t="s">
        <v>12</v>
      </c>
      <c r="F19291">
        <v>18942761</v>
      </c>
      <c r="G19291">
        <v>18942774</v>
      </c>
      <c r="H19291">
        <v>18942720</v>
      </c>
      <c r="I19291">
        <v>18942748</v>
      </c>
    </row>
    <row r="19292" spans="1:9" x14ac:dyDescent="0.2">
      <c r="A19292" s="1" t="str">
        <f>"UPF2"</f>
        <v>UPF2</v>
      </c>
      <c r="B19292" t="s">
        <v>14</v>
      </c>
      <c r="C19292" t="s">
        <v>15</v>
      </c>
      <c r="D19292" t="s">
        <v>11</v>
      </c>
      <c r="E19292" t="s">
        <v>12</v>
      </c>
      <c r="F19292">
        <v>12084770</v>
      </c>
      <c r="G19292">
        <v>12084830</v>
      </c>
      <c r="H19292">
        <v>12084841</v>
      </c>
      <c r="I19292">
        <v>12084868</v>
      </c>
    </row>
    <row r="19293" spans="1:9" x14ac:dyDescent="0.2">
      <c r="A19293" s="1" t="str">
        <f>"UPF3A"</f>
        <v>UPF3A</v>
      </c>
      <c r="B19293" t="s">
        <v>14</v>
      </c>
      <c r="C19293" t="s">
        <v>39</v>
      </c>
      <c r="D19293" t="s">
        <v>17</v>
      </c>
      <c r="E19293" t="s">
        <v>12</v>
      </c>
      <c r="F19293">
        <v>115047053</v>
      </c>
      <c r="G19293">
        <v>115047095</v>
      </c>
      <c r="H19293">
        <v>115047097</v>
      </c>
      <c r="I19293">
        <v>115047120</v>
      </c>
    </row>
    <row r="19294" spans="1:9" x14ac:dyDescent="0.2">
      <c r="A19294" s="1" t="str">
        <f>"UPF3B"</f>
        <v>UPF3B</v>
      </c>
      <c r="B19294" t="s">
        <v>14</v>
      </c>
      <c r="C19294" t="s">
        <v>37</v>
      </c>
      <c r="D19294" t="s">
        <v>11</v>
      </c>
      <c r="E19294" t="s">
        <v>12</v>
      </c>
      <c r="F19294">
        <v>118986911</v>
      </c>
      <c r="G19294">
        <v>118986988</v>
      </c>
      <c r="H19294">
        <v>118986911</v>
      </c>
      <c r="I19294">
        <v>118986988</v>
      </c>
    </row>
    <row r="19295" spans="1:9" x14ac:dyDescent="0.2">
      <c r="A19295" s="1" t="str">
        <f>"UPK1A"</f>
        <v>UPK1A</v>
      </c>
      <c r="B19295" t="s">
        <v>14</v>
      </c>
      <c r="C19295" t="s">
        <v>10</v>
      </c>
      <c r="D19295" t="s">
        <v>17</v>
      </c>
      <c r="E19295" t="s">
        <v>12</v>
      </c>
      <c r="F19295">
        <v>36157417</v>
      </c>
      <c r="G19295">
        <v>36157420</v>
      </c>
      <c r="H19295">
        <v>36157417</v>
      </c>
      <c r="I19295">
        <v>36157420</v>
      </c>
    </row>
    <row r="19296" spans="1:9" x14ac:dyDescent="0.2">
      <c r="A19296" s="1" t="str">
        <f>"UPK1B"</f>
        <v>UPK1B</v>
      </c>
      <c r="B19296" t="s">
        <v>14</v>
      </c>
      <c r="C19296" t="s">
        <v>22</v>
      </c>
      <c r="D19296" t="s">
        <v>17</v>
      </c>
      <c r="E19296" t="s">
        <v>12</v>
      </c>
      <c r="F19296">
        <v>118892411</v>
      </c>
      <c r="G19296">
        <v>118892453</v>
      </c>
      <c r="H19296">
        <v>118892362</v>
      </c>
      <c r="I19296">
        <v>118892373</v>
      </c>
    </row>
    <row r="19297" spans="1:9" x14ac:dyDescent="0.2">
      <c r="A19297" s="1" t="str">
        <f>"UPK2"</f>
        <v>UPK2</v>
      </c>
      <c r="B19297" t="s">
        <v>14</v>
      </c>
      <c r="C19297" t="s">
        <v>27</v>
      </c>
      <c r="D19297" t="s">
        <v>17</v>
      </c>
      <c r="E19297" t="s">
        <v>12</v>
      </c>
      <c r="F19297">
        <v>118826999</v>
      </c>
      <c r="G19297">
        <v>118827014</v>
      </c>
      <c r="H19297">
        <v>118826999</v>
      </c>
      <c r="I19297">
        <v>118827014</v>
      </c>
    </row>
    <row r="19298" spans="1:9" x14ac:dyDescent="0.2">
      <c r="A19298" s="1" t="str">
        <f>"UPK3A"</f>
        <v>UPK3A</v>
      </c>
      <c r="B19298" t="s">
        <v>14</v>
      </c>
      <c r="C19298" t="s">
        <v>21</v>
      </c>
      <c r="D19298" t="s">
        <v>17</v>
      </c>
      <c r="E19298" t="s">
        <v>12</v>
      </c>
      <c r="F19298">
        <v>45680822</v>
      </c>
      <c r="G19298">
        <v>45680843</v>
      </c>
      <c r="H19298">
        <v>45681795</v>
      </c>
      <c r="I19298">
        <v>45681813</v>
      </c>
    </row>
    <row r="19299" spans="1:9" x14ac:dyDescent="0.2">
      <c r="A19299" s="1" t="str">
        <f>"UPK3B"</f>
        <v>UPK3B</v>
      </c>
      <c r="B19299" t="s">
        <v>14</v>
      </c>
      <c r="C19299" t="s">
        <v>33</v>
      </c>
      <c r="D19299" t="s">
        <v>17</v>
      </c>
      <c r="E19299" t="s">
        <v>12</v>
      </c>
      <c r="F19299">
        <v>76139845</v>
      </c>
      <c r="G19299">
        <v>76139887</v>
      </c>
      <c r="H19299">
        <v>76139925</v>
      </c>
      <c r="I19299">
        <v>76139937</v>
      </c>
    </row>
    <row r="19300" spans="1:9" x14ac:dyDescent="0.2">
      <c r="A19300" s="1" t="str">
        <f>"UPK3BL"</f>
        <v>UPK3BL</v>
      </c>
      <c r="B19300" t="s">
        <v>14</v>
      </c>
      <c r="C19300" t="s">
        <v>33</v>
      </c>
      <c r="D19300" t="s">
        <v>11</v>
      </c>
      <c r="E19300" t="s">
        <v>12</v>
      </c>
      <c r="F19300">
        <v>102283238</v>
      </c>
      <c r="G19300">
        <v>102283282</v>
      </c>
      <c r="H19300">
        <v>102283238</v>
      </c>
      <c r="I19300">
        <v>102283282</v>
      </c>
    </row>
    <row r="19301" spans="1:9" x14ac:dyDescent="0.2">
      <c r="A19301" s="1" t="str">
        <f>"UPP1"</f>
        <v>UPP1</v>
      </c>
      <c r="B19301" t="s">
        <v>14</v>
      </c>
      <c r="C19301" t="s">
        <v>33</v>
      </c>
      <c r="D19301" t="s">
        <v>17</v>
      </c>
      <c r="E19301" t="s">
        <v>12</v>
      </c>
      <c r="F19301">
        <v>48128854</v>
      </c>
      <c r="G19301">
        <v>48128871</v>
      </c>
      <c r="H19301">
        <v>48128816</v>
      </c>
      <c r="I19301">
        <v>48128836</v>
      </c>
    </row>
    <row r="19302" spans="1:9" x14ac:dyDescent="0.2">
      <c r="A19302" s="1" t="str">
        <f>"UPP2"</f>
        <v>UPP2</v>
      </c>
      <c r="B19302" t="s">
        <v>14</v>
      </c>
      <c r="C19302" t="s">
        <v>26</v>
      </c>
      <c r="D19302" t="s">
        <v>17</v>
      </c>
      <c r="E19302" t="s">
        <v>12</v>
      </c>
      <c r="F19302">
        <v>158958378</v>
      </c>
      <c r="G19302">
        <v>158958388</v>
      </c>
      <c r="H19302">
        <v>158958299</v>
      </c>
      <c r="I19302">
        <v>158958302</v>
      </c>
    </row>
    <row r="19303" spans="1:9" x14ac:dyDescent="0.2">
      <c r="A19303" s="1" t="str">
        <f>"UPRT"</f>
        <v>UPRT</v>
      </c>
      <c r="B19303" t="s">
        <v>14</v>
      </c>
      <c r="C19303" t="s">
        <v>37</v>
      </c>
      <c r="D19303" t="s">
        <v>17</v>
      </c>
      <c r="E19303" t="s">
        <v>12</v>
      </c>
      <c r="F19303">
        <v>74493896</v>
      </c>
      <c r="G19303">
        <v>74493970</v>
      </c>
      <c r="H19303">
        <v>74494018</v>
      </c>
      <c r="I19303">
        <v>74494064</v>
      </c>
    </row>
    <row r="19304" spans="1:9" x14ac:dyDescent="0.2">
      <c r="A19304" s="1" t="str">
        <f>"UQCC1"</f>
        <v>UQCC1</v>
      </c>
      <c r="B19304" t="s">
        <v>14</v>
      </c>
      <c r="C19304" t="s">
        <v>29</v>
      </c>
      <c r="D19304" t="s">
        <v>11</v>
      </c>
      <c r="E19304" t="s">
        <v>12</v>
      </c>
      <c r="F19304">
        <v>33999766</v>
      </c>
      <c r="G19304">
        <v>33999802</v>
      </c>
      <c r="H19304">
        <v>33999766</v>
      </c>
      <c r="I19304">
        <v>33999802</v>
      </c>
    </row>
    <row r="19305" spans="1:9" x14ac:dyDescent="0.2">
      <c r="A19305" s="1" t="str">
        <f>"UQCC2"</f>
        <v>UQCC2</v>
      </c>
      <c r="B19305" t="s">
        <v>14</v>
      </c>
      <c r="C19305" t="s">
        <v>32</v>
      </c>
      <c r="D19305" t="s">
        <v>11</v>
      </c>
      <c r="E19305" t="s">
        <v>12</v>
      </c>
      <c r="F19305">
        <v>33679452</v>
      </c>
      <c r="G19305">
        <v>33679528</v>
      </c>
      <c r="H19305">
        <v>33679374</v>
      </c>
      <c r="I19305">
        <v>33679389</v>
      </c>
    </row>
    <row r="19306" spans="1:9" x14ac:dyDescent="0.2">
      <c r="A19306" s="1" t="str">
        <f>"UQCR10"</f>
        <v>UQCR10</v>
      </c>
      <c r="B19306" t="s">
        <v>14</v>
      </c>
      <c r="C19306" t="s">
        <v>21</v>
      </c>
      <c r="D19306" t="s">
        <v>17</v>
      </c>
      <c r="E19306" t="s">
        <v>12</v>
      </c>
      <c r="F19306">
        <v>30163340</v>
      </c>
      <c r="G19306">
        <v>30163390</v>
      </c>
      <c r="H19306">
        <v>30163435</v>
      </c>
      <c r="I19306">
        <v>30163451</v>
      </c>
    </row>
    <row r="19307" spans="1:9" x14ac:dyDescent="0.2">
      <c r="A19307" s="1" t="str">
        <f>"UQCR11"</f>
        <v>UQCR11</v>
      </c>
      <c r="B19307" t="s">
        <v>14</v>
      </c>
      <c r="C19307" t="s">
        <v>10</v>
      </c>
      <c r="D19307" t="s">
        <v>11</v>
      </c>
      <c r="E19307" t="s">
        <v>12</v>
      </c>
      <c r="F19307">
        <v>1605424</v>
      </c>
      <c r="G19307">
        <v>1605474</v>
      </c>
      <c r="H19307">
        <v>1605424</v>
      </c>
      <c r="I19307">
        <v>1605474</v>
      </c>
    </row>
    <row r="19308" spans="1:9" x14ac:dyDescent="0.2">
      <c r="A19308" s="1" t="str">
        <f>"UQCRB"</f>
        <v>UQCRB</v>
      </c>
      <c r="B19308" t="s">
        <v>14</v>
      </c>
      <c r="C19308" t="s">
        <v>30</v>
      </c>
      <c r="D19308" t="s">
        <v>11</v>
      </c>
      <c r="E19308" t="s">
        <v>12</v>
      </c>
      <c r="F19308">
        <v>97247759</v>
      </c>
      <c r="G19308">
        <v>97247780</v>
      </c>
      <c r="H19308">
        <v>97247759</v>
      </c>
      <c r="I19308">
        <v>97247780</v>
      </c>
    </row>
    <row r="19309" spans="1:9" x14ac:dyDescent="0.2">
      <c r="A19309" s="1" t="str">
        <f>"UQCRC1"</f>
        <v>UQCRC1</v>
      </c>
      <c r="B19309" t="s">
        <v>9</v>
      </c>
      <c r="C19309" t="s">
        <v>22</v>
      </c>
      <c r="D19309" t="s">
        <v>11</v>
      </c>
      <c r="E19309" t="s">
        <v>12</v>
      </c>
      <c r="F19309">
        <v>48647059</v>
      </c>
      <c r="G19309">
        <v>48647102</v>
      </c>
      <c r="H19309">
        <v>48647059</v>
      </c>
      <c r="I19309">
        <v>48647102</v>
      </c>
    </row>
    <row r="19310" spans="1:9" x14ac:dyDescent="0.2">
      <c r="A19310" s="1" t="str">
        <f>"UQCRC1"</f>
        <v>UQCRC1</v>
      </c>
      <c r="B19310" t="s">
        <v>13</v>
      </c>
      <c r="C19310" t="s">
        <v>22</v>
      </c>
      <c r="D19310" t="s">
        <v>11</v>
      </c>
      <c r="E19310" t="s">
        <v>12</v>
      </c>
      <c r="F19310">
        <v>48643268</v>
      </c>
      <c r="G19310">
        <v>48643286</v>
      </c>
      <c r="H19310">
        <v>48643268</v>
      </c>
      <c r="I19310">
        <v>48643286</v>
      </c>
    </row>
    <row r="19311" spans="1:9" x14ac:dyDescent="0.2">
      <c r="A19311" s="1" t="str">
        <f>"UQCRC2"</f>
        <v>UQCRC2</v>
      </c>
      <c r="B19311" t="s">
        <v>14</v>
      </c>
      <c r="C19311" t="s">
        <v>31</v>
      </c>
      <c r="D19311" t="s">
        <v>17</v>
      </c>
      <c r="E19311" t="s">
        <v>12</v>
      </c>
      <c r="F19311">
        <v>21964662</v>
      </c>
      <c r="G19311">
        <v>21964720</v>
      </c>
      <c r="H19311">
        <v>21964612</v>
      </c>
      <c r="I19311">
        <v>21964626</v>
      </c>
    </row>
    <row r="19312" spans="1:9" x14ac:dyDescent="0.2">
      <c r="A19312" s="1" t="str">
        <f>"UQCRFS1"</f>
        <v>UQCRFS1</v>
      </c>
      <c r="B19312" t="s">
        <v>14</v>
      </c>
      <c r="C19312" t="s">
        <v>10</v>
      </c>
      <c r="D19312" t="s">
        <v>11</v>
      </c>
      <c r="E19312" t="s">
        <v>12</v>
      </c>
      <c r="F19312">
        <v>29704017</v>
      </c>
      <c r="G19312">
        <v>29704086</v>
      </c>
      <c r="H19312">
        <v>29704017</v>
      </c>
      <c r="I19312">
        <v>29704086</v>
      </c>
    </row>
    <row r="19313" spans="1:9" x14ac:dyDescent="0.2">
      <c r="A19313" s="1" t="str">
        <f>"UQCRH"</f>
        <v>UQCRH</v>
      </c>
      <c r="B19313" t="s">
        <v>14</v>
      </c>
      <c r="C19313" t="s">
        <v>19</v>
      </c>
      <c r="D19313" t="s">
        <v>17</v>
      </c>
      <c r="E19313" t="s">
        <v>12</v>
      </c>
      <c r="F19313">
        <v>46769330</v>
      </c>
      <c r="G19313">
        <v>46769385</v>
      </c>
      <c r="H19313">
        <v>46769322</v>
      </c>
      <c r="I19313">
        <v>46769324</v>
      </c>
    </row>
    <row r="19314" spans="1:9" x14ac:dyDescent="0.2">
      <c r="A19314" s="1" t="str">
        <f>"UQCRQ"</f>
        <v>UQCRQ</v>
      </c>
      <c r="B19314" t="s">
        <v>14</v>
      </c>
      <c r="C19314" t="s">
        <v>46</v>
      </c>
      <c r="D19314" t="s">
        <v>17</v>
      </c>
      <c r="E19314" t="s">
        <v>12</v>
      </c>
      <c r="F19314">
        <v>132202316</v>
      </c>
      <c r="G19314">
        <v>132202360</v>
      </c>
      <c r="H19314">
        <v>132202558</v>
      </c>
      <c r="I19314">
        <v>132202567</v>
      </c>
    </row>
    <row r="19315" spans="1:9" x14ac:dyDescent="0.2">
      <c r="A19315" s="1" t="str">
        <f>"URAD"</f>
        <v>URAD</v>
      </c>
      <c r="B19315" t="s">
        <v>14</v>
      </c>
      <c r="C19315" t="s">
        <v>39</v>
      </c>
      <c r="D19315" t="s">
        <v>11</v>
      </c>
      <c r="E19315" t="s">
        <v>12</v>
      </c>
      <c r="F19315">
        <v>28562829</v>
      </c>
      <c r="G19315">
        <v>28562830</v>
      </c>
      <c r="H19315">
        <v>28562829</v>
      </c>
      <c r="I19315">
        <v>28562830</v>
      </c>
    </row>
    <row r="19316" spans="1:9" x14ac:dyDescent="0.2">
      <c r="A19316" s="1" t="str">
        <f>"URB1"</f>
        <v>URB1</v>
      </c>
      <c r="B19316" t="s">
        <v>14</v>
      </c>
      <c r="C19316" t="s">
        <v>42</v>
      </c>
      <c r="D19316" t="s">
        <v>11</v>
      </c>
      <c r="E19316" t="s">
        <v>12</v>
      </c>
      <c r="F19316">
        <v>33765303</v>
      </c>
      <c r="G19316">
        <v>33765351</v>
      </c>
      <c r="H19316">
        <v>33765270</v>
      </c>
      <c r="I19316">
        <v>33765302</v>
      </c>
    </row>
    <row r="19317" spans="1:9" x14ac:dyDescent="0.2">
      <c r="A19317" s="1" t="str">
        <f>"URB2"</f>
        <v>URB2</v>
      </c>
      <c r="B19317" t="s">
        <v>14</v>
      </c>
      <c r="C19317" t="s">
        <v>19</v>
      </c>
      <c r="D19317" t="s">
        <v>17</v>
      </c>
      <c r="E19317" t="s">
        <v>12</v>
      </c>
      <c r="F19317">
        <v>229761935</v>
      </c>
      <c r="G19317">
        <v>229762006</v>
      </c>
      <c r="H19317">
        <v>229761917</v>
      </c>
      <c r="I19317">
        <v>229761933</v>
      </c>
    </row>
    <row r="19318" spans="1:9" x14ac:dyDescent="0.2">
      <c r="A19318" s="1" t="str">
        <f>"URGCP"</f>
        <v>URGCP</v>
      </c>
      <c r="B19318" t="s">
        <v>9</v>
      </c>
      <c r="C19318" t="s">
        <v>33</v>
      </c>
      <c r="D19318" t="s">
        <v>11</v>
      </c>
      <c r="E19318" t="s">
        <v>12</v>
      </c>
      <c r="F19318">
        <v>43946175</v>
      </c>
      <c r="G19318">
        <v>43946240</v>
      </c>
      <c r="H19318">
        <v>43946175</v>
      </c>
      <c r="I19318">
        <v>43946240</v>
      </c>
    </row>
    <row r="19319" spans="1:9" x14ac:dyDescent="0.2">
      <c r="A19319" s="1" t="str">
        <f>"URGCP"</f>
        <v>URGCP</v>
      </c>
      <c r="B19319" t="s">
        <v>13</v>
      </c>
      <c r="C19319" t="s">
        <v>33</v>
      </c>
      <c r="D19319" t="s">
        <v>11</v>
      </c>
      <c r="E19319" t="s">
        <v>12</v>
      </c>
      <c r="F19319">
        <v>43965966</v>
      </c>
      <c r="G19319">
        <v>43966015</v>
      </c>
      <c r="H19319">
        <v>43965966</v>
      </c>
      <c r="I19319">
        <v>43966015</v>
      </c>
    </row>
    <row r="19320" spans="1:9" x14ac:dyDescent="0.2">
      <c r="A19320" s="1" t="str">
        <f>"URGCP-MRPS24"</f>
        <v>URGCP-MRPS24</v>
      </c>
      <c r="B19320" t="s">
        <v>14</v>
      </c>
      <c r="C19320" t="s">
        <v>33</v>
      </c>
      <c r="D19320" t="s">
        <v>11</v>
      </c>
      <c r="E19320" t="s">
        <v>67</v>
      </c>
      <c r="F19320">
        <v>43946175</v>
      </c>
      <c r="G19320">
        <v>43946240</v>
      </c>
      <c r="H19320">
        <v>43946175</v>
      </c>
      <c r="I19320">
        <v>43946240</v>
      </c>
    </row>
    <row r="19321" spans="1:9" x14ac:dyDescent="0.2">
      <c r="A19321" s="1" t="str">
        <f>"URI1"</f>
        <v>URI1</v>
      </c>
      <c r="B19321" t="s">
        <v>14</v>
      </c>
      <c r="C19321" t="s">
        <v>10</v>
      </c>
      <c r="D19321" t="s">
        <v>17</v>
      </c>
      <c r="E19321" t="s">
        <v>12</v>
      </c>
      <c r="F19321">
        <v>30433110</v>
      </c>
      <c r="G19321">
        <v>30433214</v>
      </c>
      <c r="H19321">
        <v>30433372</v>
      </c>
      <c r="I19321">
        <v>30433456</v>
      </c>
    </row>
    <row r="19322" spans="1:9" x14ac:dyDescent="0.2">
      <c r="A19322" s="1" t="str">
        <f>"URM1"</f>
        <v>URM1</v>
      </c>
      <c r="B19322" t="s">
        <v>14</v>
      </c>
      <c r="C19322" t="s">
        <v>24</v>
      </c>
      <c r="D19322" t="s">
        <v>17</v>
      </c>
      <c r="E19322" t="s">
        <v>12</v>
      </c>
      <c r="F19322">
        <v>131133622</v>
      </c>
      <c r="G19322">
        <v>131133661</v>
      </c>
      <c r="H19322">
        <v>131133622</v>
      </c>
      <c r="I19322">
        <v>131133661</v>
      </c>
    </row>
    <row r="19323" spans="1:9" x14ac:dyDescent="0.2">
      <c r="A19323" s="1" t="str">
        <f>"UROC1"</f>
        <v>UROC1</v>
      </c>
      <c r="B19323" t="s">
        <v>14</v>
      </c>
      <c r="C19323" t="s">
        <v>22</v>
      </c>
      <c r="D19323" t="s">
        <v>11</v>
      </c>
      <c r="E19323" t="s">
        <v>12</v>
      </c>
      <c r="F19323">
        <v>126236588</v>
      </c>
      <c r="G19323">
        <v>126236601</v>
      </c>
      <c r="H19323">
        <v>126236605</v>
      </c>
      <c r="I19323">
        <v>126236621</v>
      </c>
    </row>
    <row r="19324" spans="1:9" x14ac:dyDescent="0.2">
      <c r="A19324" s="1" t="str">
        <f>"UROD"</f>
        <v>UROD</v>
      </c>
      <c r="B19324" t="s">
        <v>14</v>
      </c>
      <c r="C19324" t="s">
        <v>19</v>
      </c>
      <c r="D19324" t="s">
        <v>17</v>
      </c>
      <c r="E19324" t="s">
        <v>12</v>
      </c>
      <c r="F19324">
        <v>45477901</v>
      </c>
      <c r="G19324">
        <v>45477935</v>
      </c>
      <c r="H19324">
        <v>45477889</v>
      </c>
      <c r="I19324">
        <v>45477900</v>
      </c>
    </row>
    <row r="19325" spans="1:9" x14ac:dyDescent="0.2">
      <c r="A19325" s="1" t="str">
        <f>"UROS"</f>
        <v>UROS</v>
      </c>
      <c r="B19325" t="s">
        <v>14</v>
      </c>
      <c r="C19325" t="s">
        <v>15</v>
      </c>
      <c r="D19325" t="s">
        <v>11</v>
      </c>
      <c r="E19325" t="s">
        <v>12</v>
      </c>
      <c r="F19325">
        <v>127511790</v>
      </c>
      <c r="G19325">
        <v>127511837</v>
      </c>
      <c r="H19325">
        <v>127511777</v>
      </c>
      <c r="I19325">
        <v>127511788</v>
      </c>
    </row>
    <row r="19326" spans="1:9" x14ac:dyDescent="0.2">
      <c r="A19326" s="1" t="str">
        <f>"USB1"</f>
        <v>USB1</v>
      </c>
      <c r="B19326" t="s">
        <v>14</v>
      </c>
      <c r="C19326" t="s">
        <v>31</v>
      </c>
      <c r="D19326" t="s">
        <v>17</v>
      </c>
      <c r="E19326" t="s">
        <v>12</v>
      </c>
      <c r="F19326">
        <v>58035303</v>
      </c>
      <c r="G19326">
        <v>58035361</v>
      </c>
      <c r="H19326">
        <v>58035303</v>
      </c>
      <c r="I19326">
        <v>58035361</v>
      </c>
    </row>
    <row r="19327" spans="1:9" x14ac:dyDescent="0.2">
      <c r="A19327" s="1" t="str">
        <f>"USE1"</f>
        <v>USE1</v>
      </c>
      <c r="B19327" t="s">
        <v>14</v>
      </c>
      <c r="C19327" t="s">
        <v>10</v>
      </c>
      <c r="D19327" t="s">
        <v>17</v>
      </c>
      <c r="E19327" t="s">
        <v>12</v>
      </c>
      <c r="F19327">
        <v>17326191</v>
      </c>
      <c r="G19327">
        <v>17326215</v>
      </c>
      <c r="H19327">
        <v>17326141</v>
      </c>
      <c r="I19327">
        <v>17326178</v>
      </c>
    </row>
    <row r="19328" spans="1:9" x14ac:dyDescent="0.2">
      <c r="A19328" s="1" t="str">
        <f>"USF1"</f>
        <v>USF1</v>
      </c>
      <c r="B19328" t="s">
        <v>14</v>
      </c>
      <c r="C19328" t="s">
        <v>19</v>
      </c>
      <c r="D19328" t="s">
        <v>11</v>
      </c>
      <c r="E19328" t="s">
        <v>12</v>
      </c>
      <c r="F19328">
        <v>161015706</v>
      </c>
      <c r="G19328">
        <v>161015747</v>
      </c>
      <c r="H19328">
        <v>161015752</v>
      </c>
      <c r="I19328">
        <v>161015778</v>
      </c>
    </row>
    <row r="19329" spans="1:9" x14ac:dyDescent="0.2">
      <c r="A19329" s="1" t="str">
        <f>"USF2"</f>
        <v>USF2</v>
      </c>
      <c r="B19329" t="s">
        <v>14</v>
      </c>
      <c r="C19329" t="s">
        <v>10</v>
      </c>
      <c r="D19329" t="s">
        <v>17</v>
      </c>
      <c r="E19329" t="s">
        <v>12</v>
      </c>
      <c r="F19329">
        <v>35759824</v>
      </c>
      <c r="G19329">
        <v>35759891</v>
      </c>
      <c r="H19329">
        <v>35759824</v>
      </c>
      <c r="I19329">
        <v>35759891</v>
      </c>
    </row>
    <row r="19330" spans="1:9" x14ac:dyDescent="0.2">
      <c r="A19330" s="1" t="str">
        <f>"USH1C"</f>
        <v>USH1C</v>
      </c>
      <c r="B19330" t="s">
        <v>14</v>
      </c>
      <c r="C19330" t="s">
        <v>27</v>
      </c>
      <c r="D19330" t="s">
        <v>11</v>
      </c>
      <c r="E19330" t="s">
        <v>12</v>
      </c>
      <c r="F19330">
        <v>17565907</v>
      </c>
      <c r="G19330">
        <v>17565933</v>
      </c>
      <c r="H19330">
        <v>17565951</v>
      </c>
      <c r="I19330">
        <v>17565982</v>
      </c>
    </row>
    <row r="19331" spans="1:9" x14ac:dyDescent="0.2">
      <c r="A19331" s="1" t="str">
        <f>"USH1G"</f>
        <v>USH1G</v>
      </c>
      <c r="B19331" t="s">
        <v>14</v>
      </c>
      <c r="C19331" t="s">
        <v>28</v>
      </c>
      <c r="D19331" t="s">
        <v>11</v>
      </c>
      <c r="E19331" t="s">
        <v>12</v>
      </c>
      <c r="F19331">
        <v>72919317</v>
      </c>
      <c r="G19331">
        <v>72919368</v>
      </c>
      <c r="H19331">
        <v>72919472</v>
      </c>
      <c r="I19331">
        <v>72919480</v>
      </c>
    </row>
    <row r="19332" spans="1:9" x14ac:dyDescent="0.2">
      <c r="A19332" s="1" t="str">
        <f>"USH2A"</f>
        <v>USH2A</v>
      </c>
      <c r="B19332" t="s">
        <v>14</v>
      </c>
      <c r="C19332" t="s">
        <v>19</v>
      </c>
      <c r="D19332" t="s">
        <v>11</v>
      </c>
      <c r="E19332" t="s">
        <v>12</v>
      </c>
      <c r="F19332">
        <v>216596783</v>
      </c>
      <c r="G19332">
        <v>216596796</v>
      </c>
      <c r="H19332">
        <v>216596783</v>
      </c>
      <c r="I19332">
        <v>216596796</v>
      </c>
    </row>
    <row r="19333" spans="1:9" x14ac:dyDescent="0.2">
      <c r="A19333" s="1" t="str">
        <f>"USHBP1"</f>
        <v>USHBP1</v>
      </c>
      <c r="B19333" t="s">
        <v>14</v>
      </c>
      <c r="C19333" t="s">
        <v>10</v>
      </c>
      <c r="D19333" t="s">
        <v>11</v>
      </c>
      <c r="E19333" t="s">
        <v>12</v>
      </c>
      <c r="F19333">
        <v>17375541</v>
      </c>
      <c r="G19333">
        <v>17375588</v>
      </c>
      <c r="H19333">
        <v>17375527</v>
      </c>
      <c r="I19333">
        <v>17375538</v>
      </c>
    </row>
    <row r="19334" spans="1:9" x14ac:dyDescent="0.2">
      <c r="A19334" s="1" t="str">
        <f>"USMG5"</f>
        <v>USMG5</v>
      </c>
      <c r="B19334" t="s">
        <v>14</v>
      </c>
      <c r="C19334" t="s">
        <v>15</v>
      </c>
      <c r="D19334" t="s">
        <v>11</v>
      </c>
      <c r="E19334" t="s">
        <v>12</v>
      </c>
      <c r="F19334">
        <v>105156198</v>
      </c>
      <c r="G19334">
        <v>105156248</v>
      </c>
      <c r="H19334">
        <v>105155595</v>
      </c>
      <c r="I19334">
        <v>105155625</v>
      </c>
    </row>
    <row r="19335" spans="1:9" x14ac:dyDescent="0.2">
      <c r="A19335" s="1" t="str">
        <f>"USO1"</f>
        <v>USO1</v>
      </c>
      <c r="B19335" t="s">
        <v>14</v>
      </c>
      <c r="C19335" t="s">
        <v>23</v>
      </c>
      <c r="D19335" t="s">
        <v>17</v>
      </c>
      <c r="E19335" t="s">
        <v>12</v>
      </c>
      <c r="F19335">
        <v>76649797</v>
      </c>
      <c r="G19335">
        <v>76649876</v>
      </c>
      <c r="H19335">
        <v>76649753</v>
      </c>
      <c r="I19335">
        <v>76649774</v>
      </c>
    </row>
    <row r="19336" spans="1:9" x14ac:dyDescent="0.2">
      <c r="A19336" s="1" t="str">
        <f>"USP1"</f>
        <v>USP1</v>
      </c>
      <c r="B19336" t="s">
        <v>14</v>
      </c>
      <c r="C19336" t="s">
        <v>19</v>
      </c>
      <c r="D19336" t="s">
        <v>17</v>
      </c>
      <c r="E19336" t="s">
        <v>12</v>
      </c>
      <c r="F19336">
        <v>62902687</v>
      </c>
      <c r="G19336">
        <v>62902806</v>
      </c>
      <c r="H19336">
        <v>62902336</v>
      </c>
      <c r="I19336">
        <v>62902387</v>
      </c>
    </row>
    <row r="19337" spans="1:9" x14ac:dyDescent="0.2">
      <c r="A19337" s="1" t="str">
        <f>"USP10"</f>
        <v>USP10</v>
      </c>
      <c r="B19337" t="s">
        <v>14</v>
      </c>
      <c r="C19337" t="s">
        <v>31</v>
      </c>
      <c r="D19337" t="s">
        <v>17</v>
      </c>
      <c r="E19337" t="s">
        <v>12</v>
      </c>
      <c r="F19337">
        <v>84733575</v>
      </c>
      <c r="G19337">
        <v>84733625</v>
      </c>
      <c r="H19337">
        <v>84733575</v>
      </c>
      <c r="I19337">
        <v>84733625</v>
      </c>
    </row>
    <row r="19338" spans="1:9" x14ac:dyDescent="0.2">
      <c r="A19338" s="1" t="str">
        <f>"USP11"</f>
        <v>USP11</v>
      </c>
      <c r="B19338" t="s">
        <v>14</v>
      </c>
      <c r="C19338" t="s">
        <v>37</v>
      </c>
      <c r="D19338" t="s">
        <v>17</v>
      </c>
      <c r="E19338" t="s">
        <v>12</v>
      </c>
      <c r="F19338">
        <v>47092400</v>
      </c>
      <c r="G19338">
        <v>47092431</v>
      </c>
      <c r="H19338">
        <v>47092806</v>
      </c>
      <c r="I19338">
        <v>47092860</v>
      </c>
    </row>
    <row r="19339" spans="1:9" x14ac:dyDescent="0.2">
      <c r="A19339" s="1" t="str">
        <f>"USP12"</f>
        <v>USP12</v>
      </c>
      <c r="B19339" t="s">
        <v>14</v>
      </c>
      <c r="C19339" t="s">
        <v>39</v>
      </c>
      <c r="D19339" t="s">
        <v>11</v>
      </c>
      <c r="E19339" t="s">
        <v>12</v>
      </c>
      <c r="F19339">
        <v>27745936</v>
      </c>
      <c r="G19339">
        <v>27745961</v>
      </c>
      <c r="H19339">
        <v>27745913</v>
      </c>
      <c r="I19339">
        <v>27745924</v>
      </c>
    </row>
    <row r="19340" spans="1:9" x14ac:dyDescent="0.2">
      <c r="A19340" s="1" t="str">
        <f>"USP13"</f>
        <v>USP13</v>
      </c>
      <c r="B19340" t="s">
        <v>14</v>
      </c>
      <c r="C19340" t="s">
        <v>22</v>
      </c>
      <c r="D19340" t="s">
        <v>17</v>
      </c>
      <c r="E19340" t="s">
        <v>12</v>
      </c>
      <c r="F19340">
        <v>179370820</v>
      </c>
      <c r="G19340">
        <v>179370912</v>
      </c>
      <c r="H19340">
        <v>179370517</v>
      </c>
      <c r="I19340">
        <v>179370531</v>
      </c>
    </row>
    <row r="19341" spans="1:9" x14ac:dyDescent="0.2">
      <c r="A19341" s="1" t="str">
        <f>"USP14"</f>
        <v>USP14</v>
      </c>
      <c r="B19341" t="s">
        <v>14</v>
      </c>
      <c r="C19341" t="s">
        <v>43</v>
      </c>
      <c r="D19341" t="s">
        <v>17</v>
      </c>
      <c r="E19341" t="s">
        <v>12</v>
      </c>
      <c r="F19341">
        <v>158513</v>
      </c>
      <c r="G19341">
        <v>158596</v>
      </c>
      <c r="H19341">
        <v>158475</v>
      </c>
      <c r="I19341">
        <v>158499</v>
      </c>
    </row>
    <row r="19342" spans="1:9" x14ac:dyDescent="0.2">
      <c r="A19342" s="1" t="str">
        <f>"USP15"</f>
        <v>USP15</v>
      </c>
      <c r="B19342" t="s">
        <v>14</v>
      </c>
      <c r="C19342" t="s">
        <v>16</v>
      </c>
      <c r="D19342" t="s">
        <v>17</v>
      </c>
      <c r="E19342" t="s">
        <v>12</v>
      </c>
      <c r="F19342">
        <v>62654155</v>
      </c>
      <c r="G19342">
        <v>62654194</v>
      </c>
      <c r="H19342">
        <v>62654131</v>
      </c>
      <c r="I19342">
        <v>62654142</v>
      </c>
    </row>
    <row r="19343" spans="1:9" x14ac:dyDescent="0.2">
      <c r="A19343" s="1" t="str">
        <f>"USP16"</f>
        <v>USP16</v>
      </c>
      <c r="B19343" t="s">
        <v>14</v>
      </c>
      <c r="C19343" t="s">
        <v>42</v>
      </c>
      <c r="D19343" t="s">
        <v>17</v>
      </c>
      <c r="E19343" t="s">
        <v>12</v>
      </c>
      <c r="F19343">
        <v>30396966</v>
      </c>
      <c r="G19343">
        <v>30397025</v>
      </c>
      <c r="H19343">
        <v>30396966</v>
      </c>
      <c r="I19343">
        <v>30397025</v>
      </c>
    </row>
    <row r="19344" spans="1:9" x14ac:dyDescent="0.2">
      <c r="A19344" s="1" t="str">
        <f>"USP17L10"</f>
        <v>USP17L10</v>
      </c>
      <c r="B19344" t="s">
        <v>1782</v>
      </c>
      <c r="C19344" t="s">
        <v>23</v>
      </c>
      <c r="D19344" t="s">
        <v>17</v>
      </c>
      <c r="E19344" t="s">
        <v>20</v>
      </c>
      <c r="F19344">
        <v>9212382</v>
      </c>
      <c r="G19344">
        <v>9212382</v>
      </c>
      <c r="H19344">
        <v>9212382</v>
      </c>
      <c r="I19344">
        <v>9212382</v>
      </c>
    </row>
    <row r="19345" spans="1:9" x14ac:dyDescent="0.2">
      <c r="A19345" s="1" t="str">
        <f>"USP17L11"</f>
        <v>USP17L11</v>
      </c>
      <c r="B19345" t="s">
        <v>1783</v>
      </c>
      <c r="C19345" t="s">
        <v>23</v>
      </c>
      <c r="D19345" t="s">
        <v>17</v>
      </c>
      <c r="E19345" t="s">
        <v>20</v>
      </c>
      <c r="F19345">
        <v>9217130</v>
      </c>
      <c r="G19345">
        <v>9217130</v>
      </c>
      <c r="H19345">
        <v>9217130</v>
      </c>
      <c r="I19345">
        <v>9217130</v>
      </c>
    </row>
    <row r="19346" spans="1:9" x14ac:dyDescent="0.2">
      <c r="A19346" s="1" t="str">
        <f>"USP17L12"</f>
        <v>USP17L12</v>
      </c>
      <c r="B19346" t="s">
        <v>1784</v>
      </c>
      <c r="C19346" t="s">
        <v>23</v>
      </c>
      <c r="D19346" t="s">
        <v>17</v>
      </c>
      <c r="E19346" t="s">
        <v>20</v>
      </c>
      <c r="F19346">
        <v>9221877</v>
      </c>
      <c r="G19346">
        <v>9221877</v>
      </c>
      <c r="H19346">
        <v>9221877</v>
      </c>
      <c r="I19346">
        <v>9221877</v>
      </c>
    </row>
    <row r="19347" spans="1:9" x14ac:dyDescent="0.2">
      <c r="A19347" s="1" t="str">
        <f>"USP17L13"</f>
        <v>USP17L13</v>
      </c>
      <c r="B19347" t="s">
        <v>1785</v>
      </c>
      <c r="C19347" t="s">
        <v>23</v>
      </c>
      <c r="D19347" t="s">
        <v>17</v>
      </c>
      <c r="E19347" t="s">
        <v>20</v>
      </c>
      <c r="F19347">
        <v>9212382</v>
      </c>
      <c r="G19347">
        <v>9212382</v>
      </c>
      <c r="H19347">
        <v>9212382</v>
      </c>
      <c r="I19347">
        <v>9212382</v>
      </c>
    </row>
    <row r="19348" spans="1:9" x14ac:dyDescent="0.2">
      <c r="A19348" s="1" t="str">
        <f>"USP17L13"</f>
        <v>USP17L13</v>
      </c>
      <c r="B19348" t="s">
        <v>1786</v>
      </c>
      <c r="C19348" t="s">
        <v>23</v>
      </c>
      <c r="D19348" t="s">
        <v>17</v>
      </c>
      <c r="E19348" t="s">
        <v>20</v>
      </c>
      <c r="F19348">
        <v>9226621</v>
      </c>
      <c r="G19348">
        <v>9226621</v>
      </c>
      <c r="H19348">
        <v>9226621</v>
      </c>
      <c r="I19348">
        <v>9226621</v>
      </c>
    </row>
    <row r="19349" spans="1:9" x14ac:dyDescent="0.2">
      <c r="A19349" s="1" t="str">
        <f>"USP17L15"</f>
        <v>USP17L15</v>
      </c>
      <c r="B19349" t="s">
        <v>1787</v>
      </c>
      <c r="C19349" t="s">
        <v>23</v>
      </c>
      <c r="D19349" t="s">
        <v>17</v>
      </c>
      <c r="E19349" t="s">
        <v>20</v>
      </c>
      <c r="F19349">
        <v>9236110</v>
      </c>
      <c r="G19349">
        <v>9236110</v>
      </c>
      <c r="H19349">
        <v>9236110</v>
      </c>
      <c r="I19349">
        <v>9236110</v>
      </c>
    </row>
    <row r="19350" spans="1:9" x14ac:dyDescent="0.2">
      <c r="A19350" s="1" t="str">
        <f>"USP17L17"</f>
        <v>USP17L17</v>
      </c>
      <c r="B19350" t="s">
        <v>1788</v>
      </c>
      <c r="C19350" t="s">
        <v>23</v>
      </c>
      <c r="D19350" t="s">
        <v>17</v>
      </c>
      <c r="E19350" t="s">
        <v>20</v>
      </c>
      <c r="F19350">
        <v>9245604</v>
      </c>
      <c r="G19350">
        <v>9245604</v>
      </c>
      <c r="H19350">
        <v>9245604</v>
      </c>
      <c r="I19350">
        <v>9245604</v>
      </c>
    </row>
    <row r="19351" spans="1:9" x14ac:dyDescent="0.2">
      <c r="A19351" s="1" t="str">
        <f>"USP17L18"</f>
        <v>USP17L18</v>
      </c>
      <c r="B19351" t="s">
        <v>1789</v>
      </c>
      <c r="C19351" t="s">
        <v>23</v>
      </c>
      <c r="D19351" t="s">
        <v>17</v>
      </c>
      <c r="E19351" t="s">
        <v>20</v>
      </c>
      <c r="F19351">
        <v>9250355</v>
      </c>
      <c r="G19351">
        <v>9250355</v>
      </c>
      <c r="H19351">
        <v>9250355</v>
      </c>
      <c r="I19351">
        <v>9250355</v>
      </c>
    </row>
    <row r="19352" spans="1:9" x14ac:dyDescent="0.2">
      <c r="A19352" s="1" t="str">
        <f>"USP17L19"</f>
        <v>USP17L19</v>
      </c>
      <c r="B19352" t="s">
        <v>1790</v>
      </c>
      <c r="C19352" t="s">
        <v>23</v>
      </c>
      <c r="D19352" t="s">
        <v>17</v>
      </c>
      <c r="E19352" t="s">
        <v>20</v>
      </c>
      <c r="F19352">
        <v>9255103</v>
      </c>
      <c r="G19352">
        <v>9255103</v>
      </c>
      <c r="H19352">
        <v>9255103</v>
      </c>
      <c r="I19352">
        <v>9255103</v>
      </c>
    </row>
    <row r="19353" spans="1:9" x14ac:dyDescent="0.2">
      <c r="A19353" s="1" t="str">
        <f>"USP17L2"</f>
        <v>USP17L2</v>
      </c>
      <c r="B19353" t="s">
        <v>14</v>
      </c>
      <c r="C19353" t="s">
        <v>30</v>
      </c>
      <c r="D19353" t="s">
        <v>11</v>
      </c>
      <c r="E19353" t="s">
        <v>12</v>
      </c>
      <c r="F19353">
        <v>11996356</v>
      </c>
      <c r="G19353">
        <v>11996358</v>
      </c>
      <c r="H19353">
        <v>11996356</v>
      </c>
      <c r="I19353">
        <v>11996358</v>
      </c>
    </row>
    <row r="19354" spans="1:9" x14ac:dyDescent="0.2">
      <c r="A19354" s="1" t="str">
        <f>"USP17L20"</f>
        <v>USP17L20</v>
      </c>
      <c r="B19354" t="s">
        <v>1791</v>
      </c>
      <c r="C19354" t="s">
        <v>23</v>
      </c>
      <c r="D19354" t="s">
        <v>17</v>
      </c>
      <c r="E19354" t="s">
        <v>20</v>
      </c>
      <c r="F19354">
        <v>9259849</v>
      </c>
      <c r="G19354">
        <v>9259849</v>
      </c>
      <c r="H19354">
        <v>9259849</v>
      </c>
      <c r="I19354">
        <v>9259849</v>
      </c>
    </row>
    <row r="19355" spans="1:9" x14ac:dyDescent="0.2">
      <c r="A19355" s="1" t="str">
        <f>"USP17L21"</f>
        <v>USP17L21</v>
      </c>
      <c r="B19355" t="s">
        <v>1792</v>
      </c>
      <c r="C19355" t="s">
        <v>23</v>
      </c>
      <c r="D19355" t="s">
        <v>17</v>
      </c>
      <c r="E19355" t="s">
        <v>20</v>
      </c>
      <c r="F19355">
        <v>9264597</v>
      </c>
      <c r="G19355">
        <v>9264597</v>
      </c>
      <c r="H19355">
        <v>9264597</v>
      </c>
      <c r="I19355">
        <v>9264597</v>
      </c>
    </row>
    <row r="19356" spans="1:9" x14ac:dyDescent="0.2">
      <c r="A19356" s="1" t="str">
        <f>"USP17L22"</f>
        <v>USP17L22</v>
      </c>
      <c r="B19356" t="s">
        <v>1793</v>
      </c>
      <c r="C19356" t="s">
        <v>23</v>
      </c>
      <c r="D19356" t="s">
        <v>17</v>
      </c>
      <c r="E19356" t="s">
        <v>20</v>
      </c>
      <c r="F19356">
        <v>9269344</v>
      </c>
      <c r="G19356">
        <v>9269344</v>
      </c>
      <c r="H19356">
        <v>9269344</v>
      </c>
      <c r="I19356">
        <v>9269344</v>
      </c>
    </row>
    <row r="19357" spans="1:9" x14ac:dyDescent="0.2">
      <c r="A19357" s="1" t="str">
        <f>"USP17L23"</f>
        <v>USP17L23</v>
      </c>
      <c r="B19357" t="s">
        <v>1794</v>
      </c>
      <c r="C19357" t="s">
        <v>23</v>
      </c>
      <c r="D19357" t="s">
        <v>17</v>
      </c>
      <c r="E19357" t="s">
        <v>20</v>
      </c>
      <c r="F19357">
        <v>9274089</v>
      </c>
      <c r="G19357">
        <v>9274089</v>
      </c>
      <c r="H19357">
        <v>9274089</v>
      </c>
      <c r="I19357">
        <v>9274089</v>
      </c>
    </row>
    <row r="19358" spans="1:9" x14ac:dyDescent="0.2">
      <c r="A19358" s="1" t="str">
        <f>"USP17L24"</f>
        <v>USP17L24</v>
      </c>
      <c r="B19358" t="s">
        <v>1795</v>
      </c>
      <c r="C19358" t="s">
        <v>23</v>
      </c>
      <c r="D19358" t="s">
        <v>17</v>
      </c>
      <c r="E19358" t="s">
        <v>20</v>
      </c>
      <c r="F19358">
        <v>9326890</v>
      </c>
      <c r="G19358">
        <v>9326890</v>
      </c>
      <c r="H19358">
        <v>9326890</v>
      </c>
      <c r="I19358">
        <v>9326890</v>
      </c>
    </row>
    <row r="19359" spans="1:9" x14ac:dyDescent="0.2">
      <c r="A19359" s="1" t="str">
        <f>"USP17L25"</f>
        <v>USP17L25</v>
      </c>
      <c r="B19359" t="s">
        <v>1796</v>
      </c>
      <c r="C19359" t="s">
        <v>23</v>
      </c>
      <c r="D19359" t="s">
        <v>17</v>
      </c>
      <c r="E19359" t="s">
        <v>20</v>
      </c>
      <c r="F19359">
        <v>9331636</v>
      </c>
      <c r="G19359">
        <v>9331636</v>
      </c>
      <c r="H19359">
        <v>9331636</v>
      </c>
      <c r="I19359">
        <v>9331636</v>
      </c>
    </row>
    <row r="19360" spans="1:9" x14ac:dyDescent="0.2">
      <c r="A19360" s="1" t="str">
        <f>"USP17L26"</f>
        <v>USP17L26</v>
      </c>
      <c r="B19360" t="s">
        <v>1797</v>
      </c>
      <c r="C19360" t="s">
        <v>23</v>
      </c>
      <c r="D19360" t="s">
        <v>17</v>
      </c>
      <c r="E19360" t="s">
        <v>20</v>
      </c>
      <c r="F19360">
        <v>9336383</v>
      </c>
      <c r="G19360">
        <v>9336383</v>
      </c>
      <c r="H19360">
        <v>9336383</v>
      </c>
      <c r="I19360">
        <v>9336383</v>
      </c>
    </row>
    <row r="19361" spans="1:9" x14ac:dyDescent="0.2">
      <c r="A19361" s="1" t="str">
        <f>"USP17L27"</f>
        <v>USP17L27</v>
      </c>
      <c r="B19361" t="s">
        <v>1798</v>
      </c>
      <c r="C19361" t="s">
        <v>23</v>
      </c>
      <c r="D19361" t="s">
        <v>17</v>
      </c>
      <c r="E19361" t="s">
        <v>20</v>
      </c>
      <c r="F19361">
        <v>9345873</v>
      </c>
      <c r="G19361">
        <v>9345873</v>
      </c>
      <c r="H19361">
        <v>9345873</v>
      </c>
      <c r="I19361">
        <v>9345873</v>
      </c>
    </row>
    <row r="19362" spans="1:9" x14ac:dyDescent="0.2">
      <c r="A19362" s="1" t="str">
        <f>"USP17L28"</f>
        <v>USP17L28</v>
      </c>
      <c r="B19362" t="s">
        <v>1799</v>
      </c>
      <c r="C19362" t="s">
        <v>23</v>
      </c>
      <c r="D19362" t="s">
        <v>17</v>
      </c>
      <c r="E19362" t="s">
        <v>20</v>
      </c>
      <c r="F19362">
        <v>9350618</v>
      </c>
      <c r="G19362">
        <v>9350618</v>
      </c>
      <c r="H19362">
        <v>9350618</v>
      </c>
      <c r="I19362">
        <v>9350618</v>
      </c>
    </row>
    <row r="19363" spans="1:9" x14ac:dyDescent="0.2">
      <c r="A19363" s="1" t="str">
        <f>"USP17L29"</f>
        <v>USP17L29</v>
      </c>
      <c r="B19363" t="s">
        <v>1800</v>
      </c>
      <c r="C19363" t="s">
        <v>23</v>
      </c>
      <c r="D19363" t="s">
        <v>17</v>
      </c>
      <c r="E19363" t="s">
        <v>20</v>
      </c>
      <c r="F19363">
        <v>9355363</v>
      </c>
      <c r="G19363">
        <v>9355363</v>
      </c>
      <c r="H19363">
        <v>9355363</v>
      </c>
      <c r="I19363">
        <v>9355363</v>
      </c>
    </row>
    <row r="19364" spans="1:9" x14ac:dyDescent="0.2">
      <c r="A19364" s="1" t="str">
        <f>"USP17L30"</f>
        <v>USP17L30</v>
      </c>
      <c r="B19364" t="s">
        <v>1801</v>
      </c>
      <c r="C19364" t="s">
        <v>23</v>
      </c>
      <c r="D19364" t="s">
        <v>17</v>
      </c>
      <c r="E19364" t="s">
        <v>20</v>
      </c>
      <c r="F19364">
        <v>9364854</v>
      </c>
      <c r="G19364">
        <v>9364854</v>
      </c>
      <c r="H19364">
        <v>9364854</v>
      </c>
      <c r="I19364">
        <v>9364854</v>
      </c>
    </row>
    <row r="19365" spans="1:9" x14ac:dyDescent="0.2">
      <c r="A19365" s="1" t="str">
        <f>"USP17L5"</f>
        <v>USP17L5</v>
      </c>
      <c r="B19365" t="s">
        <v>1802</v>
      </c>
      <c r="C19365" t="s">
        <v>23</v>
      </c>
      <c r="D19365" t="s">
        <v>17</v>
      </c>
      <c r="E19365" t="s">
        <v>20</v>
      </c>
      <c r="F19365">
        <v>9341128</v>
      </c>
      <c r="G19365">
        <v>9341128</v>
      </c>
      <c r="H19365">
        <v>9341128</v>
      </c>
      <c r="I19365">
        <v>9341128</v>
      </c>
    </row>
    <row r="19366" spans="1:9" x14ac:dyDescent="0.2">
      <c r="A19366" s="1" t="str">
        <f>"USP18"</f>
        <v>USP18</v>
      </c>
      <c r="B19366" t="s">
        <v>14</v>
      </c>
      <c r="C19366" t="s">
        <v>21</v>
      </c>
      <c r="D19366" t="s">
        <v>17</v>
      </c>
      <c r="E19366" t="s">
        <v>12</v>
      </c>
      <c r="F19366">
        <v>18632929</v>
      </c>
      <c r="G19366">
        <v>18632945</v>
      </c>
      <c r="H19366">
        <v>18632700</v>
      </c>
      <c r="I19366">
        <v>18632764</v>
      </c>
    </row>
    <row r="19367" spans="1:9" x14ac:dyDescent="0.2">
      <c r="A19367" s="1" t="str">
        <f>"USP19"</f>
        <v>USP19</v>
      </c>
      <c r="B19367" t="s">
        <v>14</v>
      </c>
      <c r="C19367" t="s">
        <v>22</v>
      </c>
      <c r="D19367" t="s">
        <v>11</v>
      </c>
      <c r="E19367" t="s">
        <v>12</v>
      </c>
      <c r="F19367">
        <v>49158218</v>
      </c>
      <c r="G19367">
        <v>49158263</v>
      </c>
      <c r="H19367">
        <v>49158325</v>
      </c>
      <c r="I19367">
        <v>49158373</v>
      </c>
    </row>
    <row r="19368" spans="1:9" x14ac:dyDescent="0.2">
      <c r="A19368" s="1" t="str">
        <f>"USP2"</f>
        <v>USP2</v>
      </c>
      <c r="B19368" t="s">
        <v>9</v>
      </c>
      <c r="C19368" t="s">
        <v>27</v>
      </c>
      <c r="D19368" t="s">
        <v>11</v>
      </c>
      <c r="E19368" t="s">
        <v>12</v>
      </c>
      <c r="F19368">
        <v>119234876</v>
      </c>
      <c r="G19368">
        <v>119234929</v>
      </c>
      <c r="H19368">
        <v>119234876</v>
      </c>
      <c r="I19368">
        <v>119234929</v>
      </c>
    </row>
    <row r="19369" spans="1:9" x14ac:dyDescent="0.2">
      <c r="A19369" s="1" t="str">
        <f>"USP2"</f>
        <v>USP2</v>
      </c>
      <c r="B19369" t="s">
        <v>13</v>
      </c>
      <c r="C19369" t="s">
        <v>27</v>
      </c>
      <c r="D19369" t="s">
        <v>11</v>
      </c>
      <c r="E19369" t="s">
        <v>12</v>
      </c>
      <c r="F19369">
        <v>119249771</v>
      </c>
      <c r="G19369">
        <v>119249786</v>
      </c>
      <c r="H19369">
        <v>119249771</v>
      </c>
      <c r="I19369">
        <v>119249786</v>
      </c>
    </row>
    <row r="19370" spans="1:9" x14ac:dyDescent="0.2">
      <c r="A19370" s="1" t="str">
        <f>"USP20"</f>
        <v>USP20</v>
      </c>
      <c r="B19370" t="s">
        <v>14</v>
      </c>
      <c r="C19370" t="s">
        <v>24</v>
      </c>
      <c r="D19370" t="s">
        <v>17</v>
      </c>
      <c r="E19370" t="s">
        <v>12</v>
      </c>
      <c r="F19370">
        <v>132597722</v>
      </c>
      <c r="G19370">
        <v>132597755</v>
      </c>
      <c r="H19370">
        <v>132597686</v>
      </c>
      <c r="I19370">
        <v>132597715</v>
      </c>
    </row>
    <row r="19371" spans="1:9" x14ac:dyDescent="0.2">
      <c r="A19371" s="1" t="str">
        <f>"USP21"</f>
        <v>USP21</v>
      </c>
      <c r="B19371" t="s">
        <v>14</v>
      </c>
      <c r="C19371" t="s">
        <v>19</v>
      </c>
      <c r="D19371" t="s">
        <v>17</v>
      </c>
      <c r="E19371" t="s">
        <v>12</v>
      </c>
      <c r="F19371">
        <v>161129254</v>
      </c>
      <c r="G19371">
        <v>161129315</v>
      </c>
      <c r="H19371">
        <v>161129245</v>
      </c>
      <c r="I19371">
        <v>161129250</v>
      </c>
    </row>
    <row r="19372" spans="1:9" x14ac:dyDescent="0.2">
      <c r="A19372" s="1" t="str">
        <f>"USP22"</f>
        <v>USP22</v>
      </c>
      <c r="B19372" t="s">
        <v>14</v>
      </c>
      <c r="C19372" t="s">
        <v>28</v>
      </c>
      <c r="D19372" t="s">
        <v>11</v>
      </c>
      <c r="E19372" t="s">
        <v>12</v>
      </c>
      <c r="F19372">
        <v>20946258</v>
      </c>
      <c r="G19372">
        <v>20946337</v>
      </c>
      <c r="H19372">
        <v>20946338</v>
      </c>
      <c r="I19372">
        <v>20946369</v>
      </c>
    </row>
    <row r="19373" spans="1:9" x14ac:dyDescent="0.2">
      <c r="A19373" s="1" t="str">
        <f>"USP24"</f>
        <v>USP24</v>
      </c>
      <c r="B19373" t="s">
        <v>14</v>
      </c>
      <c r="C19373" t="s">
        <v>19</v>
      </c>
      <c r="D19373" t="s">
        <v>11</v>
      </c>
      <c r="E19373" t="s">
        <v>12</v>
      </c>
      <c r="F19373">
        <v>55680953</v>
      </c>
      <c r="G19373">
        <v>55681050</v>
      </c>
      <c r="H19373">
        <v>55681116</v>
      </c>
      <c r="I19373">
        <v>55681139</v>
      </c>
    </row>
    <row r="19374" spans="1:9" x14ac:dyDescent="0.2">
      <c r="A19374" s="1" t="str">
        <f>"USP25"</f>
        <v>USP25</v>
      </c>
      <c r="B19374" t="s">
        <v>14</v>
      </c>
      <c r="C19374" t="s">
        <v>42</v>
      </c>
      <c r="D19374" t="s">
        <v>17</v>
      </c>
      <c r="E19374" t="s">
        <v>12</v>
      </c>
      <c r="F19374">
        <v>17102257</v>
      </c>
      <c r="G19374">
        <v>17102310</v>
      </c>
      <c r="H19374">
        <v>17102311</v>
      </c>
      <c r="I19374">
        <v>17102373</v>
      </c>
    </row>
    <row r="19375" spans="1:9" x14ac:dyDescent="0.2">
      <c r="A19375" s="1" t="str">
        <f>"USP26"</f>
        <v>USP26</v>
      </c>
      <c r="B19375" t="s">
        <v>14</v>
      </c>
      <c r="C19375" t="s">
        <v>37</v>
      </c>
      <c r="D19375" t="s">
        <v>11</v>
      </c>
      <c r="E19375" t="s">
        <v>12</v>
      </c>
      <c r="F19375">
        <v>132231123</v>
      </c>
      <c r="G19375">
        <v>132231140</v>
      </c>
      <c r="H19375">
        <v>132231123</v>
      </c>
      <c r="I19375">
        <v>132231140</v>
      </c>
    </row>
    <row r="19376" spans="1:9" x14ac:dyDescent="0.2">
      <c r="A19376" s="1" t="str">
        <f>"USP27X"</f>
        <v>USP27X</v>
      </c>
      <c r="B19376" t="s">
        <v>14</v>
      </c>
      <c r="C19376" t="s">
        <v>37</v>
      </c>
      <c r="D19376" t="s">
        <v>17</v>
      </c>
      <c r="E19376" t="s">
        <v>12</v>
      </c>
      <c r="F19376">
        <v>49644079</v>
      </c>
      <c r="G19376">
        <v>49644093</v>
      </c>
      <c r="H19376">
        <v>49644079</v>
      </c>
      <c r="I19376">
        <v>49644093</v>
      </c>
    </row>
    <row r="19377" spans="1:9" x14ac:dyDescent="0.2">
      <c r="A19377" s="1" t="str">
        <f>"USP28"</f>
        <v>USP28</v>
      </c>
      <c r="B19377" t="s">
        <v>14</v>
      </c>
      <c r="C19377" t="s">
        <v>27</v>
      </c>
      <c r="D19377" t="s">
        <v>11</v>
      </c>
      <c r="E19377" t="s">
        <v>12</v>
      </c>
      <c r="F19377">
        <v>113746212</v>
      </c>
      <c r="G19377">
        <v>113746268</v>
      </c>
      <c r="H19377">
        <v>113746277</v>
      </c>
      <c r="I19377">
        <v>113746300</v>
      </c>
    </row>
    <row r="19378" spans="1:9" x14ac:dyDescent="0.2">
      <c r="A19378" s="1" t="str">
        <f>"USP29"</f>
        <v>USP29</v>
      </c>
      <c r="B19378" t="s">
        <v>14</v>
      </c>
      <c r="C19378" t="s">
        <v>10</v>
      </c>
      <c r="D19378" t="s">
        <v>17</v>
      </c>
      <c r="E19378" t="s">
        <v>12</v>
      </c>
      <c r="F19378">
        <v>57631425</v>
      </c>
      <c r="G19378">
        <v>57631459</v>
      </c>
      <c r="H19378">
        <v>57631425</v>
      </c>
      <c r="I19378">
        <v>57631459</v>
      </c>
    </row>
    <row r="19379" spans="1:9" x14ac:dyDescent="0.2">
      <c r="A19379" s="1" t="str">
        <f>"USP3"</f>
        <v>USP3</v>
      </c>
      <c r="B19379" t="s">
        <v>14</v>
      </c>
      <c r="C19379" t="s">
        <v>25</v>
      </c>
      <c r="D19379" t="s">
        <v>17</v>
      </c>
      <c r="E19379" t="s">
        <v>12</v>
      </c>
      <c r="F19379">
        <v>63796779</v>
      </c>
      <c r="G19379">
        <v>63796863</v>
      </c>
      <c r="H19379">
        <v>63796867</v>
      </c>
      <c r="I19379">
        <v>63796887</v>
      </c>
    </row>
    <row r="19380" spans="1:9" x14ac:dyDescent="0.2">
      <c r="A19380" s="1" t="str">
        <f>"USP30"</f>
        <v>USP30</v>
      </c>
      <c r="B19380" t="s">
        <v>14</v>
      </c>
      <c r="C19380" t="s">
        <v>16</v>
      </c>
      <c r="D19380" t="s">
        <v>17</v>
      </c>
      <c r="E19380" t="s">
        <v>12</v>
      </c>
      <c r="F19380">
        <v>109490370</v>
      </c>
      <c r="G19380">
        <v>109490434</v>
      </c>
      <c r="H19380">
        <v>109490348</v>
      </c>
      <c r="I19380">
        <v>109490355</v>
      </c>
    </row>
    <row r="19381" spans="1:9" x14ac:dyDescent="0.2">
      <c r="A19381" s="1" t="str">
        <f>"USP31"</f>
        <v>USP31</v>
      </c>
      <c r="B19381" t="s">
        <v>14</v>
      </c>
      <c r="C19381" t="s">
        <v>31</v>
      </c>
      <c r="D19381" t="s">
        <v>11</v>
      </c>
      <c r="E19381" t="s">
        <v>12</v>
      </c>
      <c r="F19381">
        <v>23160696</v>
      </c>
      <c r="G19381">
        <v>23160787</v>
      </c>
      <c r="H19381">
        <v>23160803</v>
      </c>
      <c r="I19381">
        <v>23160810</v>
      </c>
    </row>
    <row r="19382" spans="1:9" x14ac:dyDescent="0.2">
      <c r="A19382" s="1" t="str">
        <f>"USP32"</f>
        <v>USP32</v>
      </c>
      <c r="B19382" t="s">
        <v>14</v>
      </c>
      <c r="C19382" t="s">
        <v>28</v>
      </c>
      <c r="D19382" t="s">
        <v>11</v>
      </c>
      <c r="E19382" t="s">
        <v>12</v>
      </c>
      <c r="F19382">
        <v>58469474</v>
      </c>
      <c r="G19382">
        <v>58469511</v>
      </c>
      <c r="H19382">
        <v>58469435</v>
      </c>
      <c r="I19382">
        <v>58469454</v>
      </c>
    </row>
    <row r="19383" spans="1:9" x14ac:dyDescent="0.2">
      <c r="A19383" s="1" t="str">
        <f>"USP33"</f>
        <v>USP33</v>
      </c>
      <c r="B19383" t="s">
        <v>14</v>
      </c>
      <c r="C19383" t="s">
        <v>19</v>
      </c>
      <c r="D19383" t="s">
        <v>11</v>
      </c>
      <c r="E19383" t="s">
        <v>12</v>
      </c>
      <c r="F19383">
        <v>78225482</v>
      </c>
      <c r="G19383">
        <v>78225544</v>
      </c>
      <c r="H19383">
        <v>78225420</v>
      </c>
      <c r="I19383">
        <v>78225474</v>
      </c>
    </row>
    <row r="19384" spans="1:9" x14ac:dyDescent="0.2">
      <c r="A19384" s="1" t="str">
        <f>"USP34"</f>
        <v>USP34</v>
      </c>
      <c r="B19384" t="s">
        <v>14</v>
      </c>
      <c r="C19384" t="s">
        <v>26</v>
      </c>
      <c r="D19384" t="s">
        <v>11</v>
      </c>
      <c r="E19384" t="s">
        <v>12</v>
      </c>
      <c r="F19384">
        <v>61698197</v>
      </c>
      <c r="G19384">
        <v>61698240</v>
      </c>
      <c r="H19384">
        <v>61698345</v>
      </c>
      <c r="I19384">
        <v>61698408</v>
      </c>
    </row>
    <row r="19385" spans="1:9" x14ac:dyDescent="0.2">
      <c r="A19385" s="1" t="str">
        <f>"USP35"</f>
        <v>USP35</v>
      </c>
      <c r="B19385" t="s">
        <v>14</v>
      </c>
      <c r="C19385" t="s">
        <v>27</v>
      </c>
      <c r="D19385" t="s">
        <v>17</v>
      </c>
      <c r="E19385" t="s">
        <v>12</v>
      </c>
      <c r="F19385">
        <v>77899920</v>
      </c>
      <c r="G19385">
        <v>77899992</v>
      </c>
      <c r="H19385">
        <v>77899858</v>
      </c>
      <c r="I19385">
        <v>77899889</v>
      </c>
    </row>
    <row r="19386" spans="1:9" x14ac:dyDescent="0.2">
      <c r="A19386" s="1" t="str">
        <f>"USP36"</f>
        <v>USP36</v>
      </c>
      <c r="B19386" t="s">
        <v>14</v>
      </c>
      <c r="C19386" t="s">
        <v>28</v>
      </c>
      <c r="D19386" t="s">
        <v>11</v>
      </c>
      <c r="E19386" t="s">
        <v>12</v>
      </c>
      <c r="F19386">
        <v>76836836</v>
      </c>
      <c r="G19386">
        <v>76836948</v>
      </c>
      <c r="H19386">
        <v>76836963</v>
      </c>
      <c r="I19386">
        <v>76836987</v>
      </c>
    </row>
    <row r="19387" spans="1:9" x14ac:dyDescent="0.2">
      <c r="A19387" s="1" t="str">
        <f>"USP37"</f>
        <v>USP37</v>
      </c>
      <c r="B19387" t="s">
        <v>14</v>
      </c>
      <c r="C19387" t="s">
        <v>26</v>
      </c>
      <c r="D19387" t="s">
        <v>11</v>
      </c>
      <c r="E19387" t="s">
        <v>12</v>
      </c>
      <c r="F19387">
        <v>219433016</v>
      </c>
      <c r="G19387">
        <v>219433100</v>
      </c>
      <c r="H19387">
        <v>219433496</v>
      </c>
      <c r="I19387">
        <v>219433525</v>
      </c>
    </row>
    <row r="19388" spans="1:9" x14ac:dyDescent="0.2">
      <c r="A19388" s="1" t="str">
        <f>"USP38"</f>
        <v>USP38</v>
      </c>
      <c r="B19388" t="s">
        <v>14</v>
      </c>
      <c r="C19388" t="s">
        <v>23</v>
      </c>
      <c r="D19388" t="s">
        <v>17</v>
      </c>
      <c r="E19388" t="s">
        <v>12</v>
      </c>
      <c r="F19388">
        <v>144106080</v>
      </c>
      <c r="G19388">
        <v>144106144</v>
      </c>
      <c r="H19388">
        <v>144106063</v>
      </c>
      <c r="I19388">
        <v>144106078</v>
      </c>
    </row>
    <row r="19389" spans="1:9" x14ac:dyDescent="0.2">
      <c r="A19389" s="1" t="str">
        <f>"USP39"</f>
        <v>USP39</v>
      </c>
      <c r="B19389" t="s">
        <v>9</v>
      </c>
      <c r="C19389" t="s">
        <v>26</v>
      </c>
      <c r="D19389" t="s">
        <v>17</v>
      </c>
      <c r="E19389" t="s">
        <v>12</v>
      </c>
      <c r="F19389">
        <v>85843252</v>
      </c>
      <c r="G19389">
        <v>85843321</v>
      </c>
      <c r="H19389">
        <v>85843252</v>
      </c>
      <c r="I19389">
        <v>85843321</v>
      </c>
    </row>
    <row r="19390" spans="1:9" x14ac:dyDescent="0.2">
      <c r="A19390" s="1" t="str">
        <f>"USP39"</f>
        <v>USP39</v>
      </c>
      <c r="B19390" t="s">
        <v>13</v>
      </c>
      <c r="C19390" t="s">
        <v>26</v>
      </c>
      <c r="D19390" t="s">
        <v>17</v>
      </c>
      <c r="E19390" t="s">
        <v>12</v>
      </c>
      <c r="F19390">
        <v>85829972</v>
      </c>
      <c r="G19390">
        <v>85830028</v>
      </c>
      <c r="H19390">
        <v>85829972</v>
      </c>
      <c r="I19390">
        <v>85830028</v>
      </c>
    </row>
    <row r="19391" spans="1:9" x14ac:dyDescent="0.2">
      <c r="A19391" s="1" t="str">
        <f>"USP4"</f>
        <v>USP4</v>
      </c>
      <c r="B19391" t="s">
        <v>14</v>
      </c>
      <c r="C19391" t="s">
        <v>22</v>
      </c>
      <c r="D19391" t="s">
        <v>11</v>
      </c>
      <c r="E19391" t="s">
        <v>12</v>
      </c>
      <c r="F19391">
        <v>49377446</v>
      </c>
      <c r="G19391">
        <v>49377495</v>
      </c>
      <c r="H19391">
        <v>49377499</v>
      </c>
      <c r="I19391">
        <v>49377515</v>
      </c>
    </row>
    <row r="19392" spans="1:9" x14ac:dyDescent="0.2">
      <c r="A19392" s="1" t="str">
        <f>"USP40"</f>
        <v>USP40</v>
      </c>
      <c r="B19392" t="s">
        <v>14</v>
      </c>
      <c r="C19392" t="s">
        <v>26</v>
      </c>
      <c r="D19392" t="s">
        <v>11</v>
      </c>
      <c r="E19392" t="s">
        <v>12</v>
      </c>
      <c r="F19392">
        <v>234475397</v>
      </c>
      <c r="G19392">
        <v>234475438</v>
      </c>
      <c r="H19392">
        <v>234475397</v>
      </c>
      <c r="I19392">
        <v>234475438</v>
      </c>
    </row>
    <row r="19393" spans="1:9" x14ac:dyDescent="0.2">
      <c r="A19393" s="1" t="str">
        <f>"USP41"</f>
        <v>USP41</v>
      </c>
      <c r="B19393" t="s">
        <v>14</v>
      </c>
      <c r="C19393" t="s">
        <v>21</v>
      </c>
      <c r="D19393" t="s">
        <v>11</v>
      </c>
      <c r="E19393" t="s">
        <v>12</v>
      </c>
      <c r="F19393">
        <v>20726974</v>
      </c>
      <c r="G19393">
        <v>20727010</v>
      </c>
      <c r="H19393">
        <v>20726974</v>
      </c>
      <c r="I19393">
        <v>20727010</v>
      </c>
    </row>
    <row r="19394" spans="1:9" x14ac:dyDescent="0.2">
      <c r="A19394" s="1" t="str">
        <f>"USP42"</f>
        <v>USP42</v>
      </c>
      <c r="B19394" t="s">
        <v>14</v>
      </c>
      <c r="C19394" t="s">
        <v>33</v>
      </c>
      <c r="D19394" t="s">
        <v>17</v>
      </c>
      <c r="E19394" t="s">
        <v>12</v>
      </c>
      <c r="F19394">
        <v>6144514</v>
      </c>
      <c r="G19394">
        <v>6144614</v>
      </c>
      <c r="H19394">
        <v>6144626</v>
      </c>
      <c r="I19394">
        <v>6144640</v>
      </c>
    </row>
    <row r="19395" spans="1:9" x14ac:dyDescent="0.2">
      <c r="A19395" s="1" t="str">
        <f>"USP43"</f>
        <v>USP43</v>
      </c>
      <c r="B19395" t="s">
        <v>14</v>
      </c>
      <c r="C19395" t="s">
        <v>28</v>
      </c>
      <c r="D19395" t="s">
        <v>17</v>
      </c>
      <c r="E19395" t="s">
        <v>12</v>
      </c>
      <c r="F19395">
        <v>9548845</v>
      </c>
      <c r="G19395">
        <v>9548884</v>
      </c>
      <c r="H19395">
        <v>9548820</v>
      </c>
      <c r="I19395">
        <v>9548840</v>
      </c>
    </row>
    <row r="19396" spans="1:9" x14ac:dyDescent="0.2">
      <c r="A19396" s="1" t="str">
        <f>"USP44"</f>
        <v>USP44</v>
      </c>
      <c r="B19396" t="s">
        <v>9</v>
      </c>
      <c r="C19396" t="s">
        <v>16</v>
      </c>
      <c r="D19396" t="s">
        <v>11</v>
      </c>
      <c r="E19396" t="s">
        <v>12</v>
      </c>
      <c r="F19396">
        <v>95942563</v>
      </c>
      <c r="G19396">
        <v>95942595</v>
      </c>
      <c r="H19396">
        <v>95942563</v>
      </c>
      <c r="I19396">
        <v>95942595</v>
      </c>
    </row>
    <row r="19397" spans="1:9" x14ac:dyDescent="0.2">
      <c r="A19397" s="1" t="str">
        <f>"USP44"</f>
        <v>USP44</v>
      </c>
      <c r="B19397" t="s">
        <v>13</v>
      </c>
      <c r="C19397" t="s">
        <v>16</v>
      </c>
      <c r="D19397" t="s">
        <v>11</v>
      </c>
      <c r="E19397" t="s">
        <v>12</v>
      </c>
      <c r="F19397">
        <v>95945132</v>
      </c>
      <c r="G19397">
        <v>95945163</v>
      </c>
      <c r="H19397">
        <v>95945132</v>
      </c>
      <c r="I19397">
        <v>95945163</v>
      </c>
    </row>
    <row r="19398" spans="1:9" x14ac:dyDescent="0.2">
      <c r="A19398" s="1" t="str">
        <f>"USP45"</f>
        <v>USP45</v>
      </c>
      <c r="B19398" t="s">
        <v>14</v>
      </c>
      <c r="C19398" t="s">
        <v>32</v>
      </c>
      <c r="D19398" t="s">
        <v>11</v>
      </c>
      <c r="E19398" t="s">
        <v>12</v>
      </c>
      <c r="F19398">
        <v>99963286</v>
      </c>
      <c r="G19398">
        <v>99963323</v>
      </c>
      <c r="H19398">
        <v>99963255</v>
      </c>
      <c r="I19398">
        <v>99963264</v>
      </c>
    </row>
    <row r="19399" spans="1:9" x14ac:dyDescent="0.2">
      <c r="A19399" s="1" t="str">
        <f>"USP46"</f>
        <v>USP46</v>
      </c>
      <c r="B19399" t="s">
        <v>14</v>
      </c>
      <c r="C19399" t="s">
        <v>23</v>
      </c>
      <c r="D19399" t="s">
        <v>11</v>
      </c>
      <c r="E19399" t="s">
        <v>12</v>
      </c>
      <c r="F19399">
        <v>53525406</v>
      </c>
      <c r="G19399">
        <v>53525478</v>
      </c>
      <c r="H19399">
        <v>53525396</v>
      </c>
      <c r="I19399">
        <v>53525403</v>
      </c>
    </row>
    <row r="19400" spans="1:9" x14ac:dyDescent="0.2">
      <c r="A19400" s="1" t="str">
        <f>"USP47"</f>
        <v>USP47</v>
      </c>
      <c r="B19400" t="s">
        <v>14</v>
      </c>
      <c r="C19400" t="s">
        <v>27</v>
      </c>
      <c r="D19400" t="s">
        <v>17</v>
      </c>
      <c r="E19400" t="s">
        <v>12</v>
      </c>
      <c r="F19400">
        <v>11863500</v>
      </c>
      <c r="G19400">
        <v>11863576</v>
      </c>
      <c r="H19400">
        <v>11863579</v>
      </c>
      <c r="I19400">
        <v>11863618</v>
      </c>
    </row>
    <row r="19401" spans="1:9" x14ac:dyDescent="0.2">
      <c r="A19401" s="1" t="str">
        <f>"USP48"</f>
        <v>USP48</v>
      </c>
      <c r="B19401" t="s">
        <v>14</v>
      </c>
      <c r="C19401" t="s">
        <v>19</v>
      </c>
      <c r="D19401" t="s">
        <v>11</v>
      </c>
      <c r="E19401" t="s">
        <v>12</v>
      </c>
      <c r="F19401">
        <v>22109626</v>
      </c>
      <c r="G19401">
        <v>22109674</v>
      </c>
      <c r="H19401">
        <v>22109560</v>
      </c>
      <c r="I19401">
        <v>22109606</v>
      </c>
    </row>
    <row r="19402" spans="1:9" x14ac:dyDescent="0.2">
      <c r="A19402" s="1" t="str">
        <f>"USP49"</f>
        <v>USP49</v>
      </c>
      <c r="B19402" t="s">
        <v>14</v>
      </c>
      <c r="C19402" t="s">
        <v>32</v>
      </c>
      <c r="D19402" t="s">
        <v>11</v>
      </c>
      <c r="E19402" t="s">
        <v>12</v>
      </c>
      <c r="F19402">
        <v>41863098</v>
      </c>
      <c r="G19402">
        <v>41863120</v>
      </c>
      <c r="H19402">
        <v>41863098</v>
      </c>
      <c r="I19402">
        <v>41863120</v>
      </c>
    </row>
    <row r="19403" spans="1:9" x14ac:dyDescent="0.2">
      <c r="A19403" s="1" t="str">
        <f>"USP5"</f>
        <v>USP5</v>
      </c>
      <c r="B19403" t="s">
        <v>9</v>
      </c>
      <c r="C19403" t="s">
        <v>16</v>
      </c>
      <c r="D19403" t="s">
        <v>17</v>
      </c>
      <c r="E19403" t="s">
        <v>12</v>
      </c>
      <c r="F19403">
        <v>6961279</v>
      </c>
      <c r="G19403">
        <v>6961343</v>
      </c>
      <c r="H19403">
        <v>6961279</v>
      </c>
      <c r="I19403">
        <v>6961343</v>
      </c>
    </row>
    <row r="19404" spans="1:9" x14ac:dyDescent="0.2">
      <c r="A19404" s="1" t="str">
        <f>"USP5"</f>
        <v>USP5</v>
      </c>
      <c r="B19404" t="s">
        <v>13</v>
      </c>
      <c r="C19404" t="s">
        <v>16</v>
      </c>
      <c r="D19404" t="s">
        <v>17</v>
      </c>
      <c r="E19404" t="s">
        <v>12</v>
      </c>
      <c r="F19404">
        <v>6965963</v>
      </c>
      <c r="G19404">
        <v>6965973</v>
      </c>
      <c r="H19404">
        <v>6965963</v>
      </c>
      <c r="I19404">
        <v>6965973</v>
      </c>
    </row>
    <row r="19405" spans="1:9" x14ac:dyDescent="0.2">
      <c r="A19405" s="1" t="str">
        <f>"USP50"</f>
        <v>USP50</v>
      </c>
      <c r="B19405" t="s">
        <v>14</v>
      </c>
      <c r="C19405" t="s">
        <v>25</v>
      </c>
      <c r="D19405" t="s">
        <v>11</v>
      </c>
      <c r="E19405" t="s">
        <v>12</v>
      </c>
      <c r="F19405">
        <v>50838857</v>
      </c>
      <c r="G19405">
        <v>50838868</v>
      </c>
      <c r="H19405">
        <v>50838888</v>
      </c>
      <c r="I19405">
        <v>50838892</v>
      </c>
    </row>
    <row r="19406" spans="1:9" x14ac:dyDescent="0.2">
      <c r="A19406" s="1" t="str">
        <f>"USP51"</f>
        <v>USP51</v>
      </c>
      <c r="B19406" t="s">
        <v>14</v>
      </c>
      <c r="C19406" t="s">
        <v>37</v>
      </c>
      <c r="D19406" t="s">
        <v>11</v>
      </c>
      <c r="E19406" t="s">
        <v>12</v>
      </c>
      <c r="F19406">
        <v>55515478</v>
      </c>
      <c r="G19406">
        <v>55515505</v>
      </c>
      <c r="H19406">
        <v>55515189</v>
      </c>
      <c r="I19406">
        <v>55515239</v>
      </c>
    </row>
    <row r="19407" spans="1:9" x14ac:dyDescent="0.2">
      <c r="A19407" s="1" t="str">
        <f>"USP53"</f>
        <v>USP53</v>
      </c>
      <c r="B19407" t="s">
        <v>14</v>
      </c>
      <c r="C19407" t="s">
        <v>23</v>
      </c>
      <c r="D19407" t="s">
        <v>17</v>
      </c>
      <c r="E19407" t="s">
        <v>12</v>
      </c>
      <c r="F19407">
        <v>120133857</v>
      </c>
      <c r="G19407">
        <v>120133881</v>
      </c>
      <c r="H19407">
        <v>120133818</v>
      </c>
      <c r="I19407">
        <v>120133831</v>
      </c>
    </row>
    <row r="19408" spans="1:9" x14ac:dyDescent="0.2">
      <c r="A19408" s="1" t="str">
        <f>"USP54"</f>
        <v>USP54</v>
      </c>
      <c r="B19408" t="s">
        <v>9</v>
      </c>
      <c r="C19408" t="s">
        <v>15</v>
      </c>
      <c r="D19408" t="s">
        <v>11</v>
      </c>
      <c r="E19408" t="s">
        <v>12</v>
      </c>
      <c r="F19408">
        <v>75351088</v>
      </c>
      <c r="G19408">
        <v>75351113</v>
      </c>
      <c r="H19408">
        <v>75351088</v>
      </c>
      <c r="I19408">
        <v>75351113</v>
      </c>
    </row>
    <row r="19409" spans="1:9" x14ac:dyDescent="0.2">
      <c r="A19409" s="1" t="str">
        <f>"USP54"</f>
        <v>USP54</v>
      </c>
      <c r="B19409" t="s">
        <v>13</v>
      </c>
      <c r="C19409" t="s">
        <v>15</v>
      </c>
      <c r="D19409" t="s">
        <v>11</v>
      </c>
      <c r="E19409" t="s">
        <v>12</v>
      </c>
      <c r="F19409">
        <v>75385728</v>
      </c>
      <c r="G19409">
        <v>75385774</v>
      </c>
      <c r="H19409">
        <v>75385728</v>
      </c>
      <c r="I19409">
        <v>75385774</v>
      </c>
    </row>
    <row r="19410" spans="1:9" x14ac:dyDescent="0.2">
      <c r="A19410" s="1" t="str">
        <f>"USP6"</f>
        <v>USP6</v>
      </c>
      <c r="B19410" t="s">
        <v>14</v>
      </c>
      <c r="C19410" t="s">
        <v>28</v>
      </c>
      <c r="D19410" t="s">
        <v>17</v>
      </c>
      <c r="E19410" t="s">
        <v>12</v>
      </c>
      <c r="F19410">
        <v>5019796</v>
      </c>
      <c r="G19410">
        <v>5019810</v>
      </c>
      <c r="H19410">
        <v>5019796</v>
      </c>
      <c r="I19410">
        <v>5019810</v>
      </c>
    </row>
    <row r="19411" spans="1:9" x14ac:dyDescent="0.2">
      <c r="A19411" s="1" t="str">
        <f>"USP6NL"</f>
        <v>USP6NL</v>
      </c>
      <c r="B19411" t="s">
        <v>1803</v>
      </c>
      <c r="C19411" t="s">
        <v>15</v>
      </c>
      <c r="D19411" t="s">
        <v>11</v>
      </c>
      <c r="E19411" t="s">
        <v>75</v>
      </c>
      <c r="F19411">
        <v>11574383</v>
      </c>
      <c r="G19411">
        <v>11574428</v>
      </c>
      <c r="H19411">
        <v>11574383</v>
      </c>
      <c r="I19411">
        <v>11574428</v>
      </c>
    </row>
    <row r="19412" spans="1:9" x14ac:dyDescent="0.2">
      <c r="A19412" s="1" t="str">
        <f>"USP7"</f>
        <v>USP7</v>
      </c>
      <c r="B19412" t="s">
        <v>14</v>
      </c>
      <c r="C19412" t="s">
        <v>31</v>
      </c>
      <c r="D19412" t="s">
        <v>11</v>
      </c>
      <c r="E19412" t="s">
        <v>12</v>
      </c>
      <c r="F19412">
        <v>9057727</v>
      </c>
      <c r="G19412">
        <v>9057830</v>
      </c>
      <c r="H19412">
        <v>9057690</v>
      </c>
      <c r="I19412">
        <v>9057702</v>
      </c>
    </row>
    <row r="19413" spans="1:9" x14ac:dyDescent="0.2">
      <c r="A19413" s="1" t="str">
        <f>"USP8"</f>
        <v>USP8</v>
      </c>
      <c r="B19413" t="s">
        <v>14</v>
      </c>
      <c r="C19413" t="s">
        <v>25</v>
      </c>
      <c r="D19413" t="s">
        <v>17</v>
      </c>
      <c r="E19413" t="s">
        <v>12</v>
      </c>
      <c r="F19413">
        <v>50716576</v>
      </c>
      <c r="G19413">
        <v>50716624</v>
      </c>
      <c r="H19413">
        <v>50716645</v>
      </c>
      <c r="I19413">
        <v>50716672</v>
      </c>
    </row>
    <row r="19414" spans="1:9" x14ac:dyDescent="0.2">
      <c r="A19414" s="1" t="str">
        <f>"USP9X"</f>
        <v>USP9X</v>
      </c>
      <c r="B19414" t="s">
        <v>14</v>
      </c>
      <c r="C19414" t="s">
        <v>37</v>
      </c>
      <c r="D19414" t="s">
        <v>17</v>
      </c>
      <c r="E19414" t="s">
        <v>12</v>
      </c>
      <c r="F19414">
        <v>40944690</v>
      </c>
      <c r="G19414">
        <v>40944704</v>
      </c>
      <c r="H19414">
        <v>40945032</v>
      </c>
      <c r="I19414">
        <v>40945116</v>
      </c>
    </row>
    <row r="19415" spans="1:9" x14ac:dyDescent="0.2">
      <c r="A19415" s="1" t="str">
        <f>"USP9Y"</f>
        <v>USP9Y</v>
      </c>
      <c r="B19415" t="s">
        <v>1804</v>
      </c>
      <c r="C19415" t="s">
        <v>63</v>
      </c>
      <c r="D19415" t="s">
        <v>17</v>
      </c>
      <c r="E19415" t="s">
        <v>20</v>
      </c>
      <c r="F19415">
        <v>14813159</v>
      </c>
      <c r="G19415">
        <v>14813159</v>
      </c>
      <c r="H19415">
        <v>14813159</v>
      </c>
      <c r="I19415">
        <v>14813159</v>
      </c>
    </row>
    <row r="19416" spans="1:9" x14ac:dyDescent="0.2">
      <c r="A19416" s="1" t="str">
        <f>"USPL1"</f>
        <v>USPL1</v>
      </c>
      <c r="B19416" t="s">
        <v>14</v>
      </c>
      <c r="C19416" t="s">
        <v>39</v>
      </c>
      <c r="D19416" t="s">
        <v>17</v>
      </c>
      <c r="E19416" t="s">
        <v>12</v>
      </c>
      <c r="F19416">
        <v>31192040</v>
      </c>
      <c r="G19416">
        <v>31192069</v>
      </c>
      <c r="H19416">
        <v>31192080</v>
      </c>
      <c r="I19416">
        <v>31192125</v>
      </c>
    </row>
    <row r="19417" spans="1:9" x14ac:dyDescent="0.2">
      <c r="A19417" s="1" t="str">
        <f>"UST"</f>
        <v>UST</v>
      </c>
      <c r="B19417" t="s">
        <v>14</v>
      </c>
      <c r="C19417" t="s">
        <v>32</v>
      </c>
      <c r="D19417" t="s">
        <v>17</v>
      </c>
      <c r="E19417" t="s">
        <v>12</v>
      </c>
      <c r="F19417">
        <v>149068153</v>
      </c>
      <c r="G19417">
        <v>149068210</v>
      </c>
      <c r="H19417">
        <v>149068135</v>
      </c>
      <c r="I19417">
        <v>149068151</v>
      </c>
    </row>
    <row r="19418" spans="1:9" x14ac:dyDescent="0.2">
      <c r="A19418" s="1" t="str">
        <f>"UTF1"</f>
        <v>UTF1</v>
      </c>
      <c r="B19418" t="s">
        <v>14</v>
      </c>
      <c r="C19418" t="s">
        <v>15</v>
      </c>
      <c r="D19418" t="s">
        <v>17</v>
      </c>
      <c r="E19418" t="s">
        <v>12</v>
      </c>
      <c r="F19418">
        <v>135043702</v>
      </c>
      <c r="G19418">
        <v>135043729</v>
      </c>
      <c r="H19418">
        <v>135043493</v>
      </c>
      <c r="I19418">
        <v>135043510</v>
      </c>
    </row>
    <row r="19419" spans="1:9" x14ac:dyDescent="0.2">
      <c r="A19419" s="1" t="str">
        <f>"UTP11L"</f>
        <v>UTP11L</v>
      </c>
      <c r="B19419" t="s">
        <v>14</v>
      </c>
      <c r="C19419" t="s">
        <v>19</v>
      </c>
      <c r="D19419" t="s">
        <v>17</v>
      </c>
      <c r="E19419" t="s">
        <v>12</v>
      </c>
      <c r="F19419">
        <v>38478378</v>
      </c>
      <c r="G19419">
        <v>38478426</v>
      </c>
      <c r="H19419">
        <v>38478432</v>
      </c>
      <c r="I19419">
        <v>38478466</v>
      </c>
    </row>
    <row r="19420" spans="1:9" x14ac:dyDescent="0.2">
      <c r="A19420" s="1" t="str">
        <f>"UTP14A"</f>
        <v>UTP14A</v>
      </c>
      <c r="B19420" t="s">
        <v>14</v>
      </c>
      <c r="C19420" t="s">
        <v>37</v>
      </c>
      <c r="D19420" t="s">
        <v>17</v>
      </c>
      <c r="E19420" t="s">
        <v>12</v>
      </c>
      <c r="F19420">
        <v>129040122</v>
      </c>
      <c r="G19420">
        <v>129040174</v>
      </c>
      <c r="H19420">
        <v>129040094</v>
      </c>
      <c r="I19420">
        <v>129040112</v>
      </c>
    </row>
    <row r="19421" spans="1:9" x14ac:dyDescent="0.2">
      <c r="A19421" s="1" t="str">
        <f>"UTP14C"</f>
        <v>UTP14C</v>
      </c>
      <c r="B19421" t="s">
        <v>14</v>
      </c>
      <c r="C19421" t="s">
        <v>39</v>
      </c>
      <c r="D19421" t="s">
        <v>17</v>
      </c>
      <c r="E19421" t="s">
        <v>12</v>
      </c>
      <c r="F19421">
        <v>52586517</v>
      </c>
      <c r="G19421">
        <v>52586559</v>
      </c>
      <c r="H19421">
        <v>52586517</v>
      </c>
      <c r="I19421">
        <v>52586559</v>
      </c>
    </row>
    <row r="19422" spans="1:9" x14ac:dyDescent="0.2">
      <c r="A19422" s="1" t="str">
        <f>"UTP15"</f>
        <v>UTP15</v>
      </c>
      <c r="B19422" t="s">
        <v>14</v>
      </c>
      <c r="C19422" t="s">
        <v>46</v>
      </c>
      <c r="D19422" t="s">
        <v>17</v>
      </c>
      <c r="E19422" t="s">
        <v>12</v>
      </c>
      <c r="F19422">
        <v>72861560</v>
      </c>
      <c r="G19422">
        <v>72861605</v>
      </c>
      <c r="H19422">
        <v>72861618</v>
      </c>
      <c r="I19422">
        <v>72861635</v>
      </c>
    </row>
    <row r="19423" spans="1:9" x14ac:dyDescent="0.2">
      <c r="A19423" s="1" t="str">
        <f>"UTP18"</f>
        <v>UTP18</v>
      </c>
      <c r="B19423" t="s">
        <v>14</v>
      </c>
      <c r="C19423" t="s">
        <v>28</v>
      </c>
      <c r="D19423" t="s">
        <v>17</v>
      </c>
      <c r="E19423" t="s">
        <v>12</v>
      </c>
      <c r="F19423">
        <v>49337881</v>
      </c>
      <c r="G19423">
        <v>49337947</v>
      </c>
      <c r="H19423">
        <v>49337837</v>
      </c>
      <c r="I19423">
        <v>49337849</v>
      </c>
    </row>
    <row r="19424" spans="1:9" x14ac:dyDescent="0.2">
      <c r="A19424" s="1" t="str">
        <f>"UTP20"</f>
        <v>UTP20</v>
      </c>
      <c r="B19424" t="s">
        <v>14</v>
      </c>
      <c r="C19424" t="s">
        <v>16</v>
      </c>
      <c r="D19424" t="s">
        <v>17</v>
      </c>
      <c r="E19424" t="s">
        <v>12</v>
      </c>
      <c r="F19424">
        <v>101673872</v>
      </c>
      <c r="G19424">
        <v>101673912</v>
      </c>
      <c r="H19424">
        <v>101673872</v>
      </c>
      <c r="I19424">
        <v>101673912</v>
      </c>
    </row>
    <row r="19425" spans="1:9" x14ac:dyDescent="0.2">
      <c r="A19425" s="1" t="str">
        <f>"UTP23"</f>
        <v>UTP23</v>
      </c>
      <c r="B19425" t="s">
        <v>14</v>
      </c>
      <c r="C19425" t="s">
        <v>30</v>
      </c>
      <c r="D19425" t="s">
        <v>17</v>
      </c>
      <c r="E19425" t="s">
        <v>12</v>
      </c>
      <c r="F19425">
        <v>117778736</v>
      </c>
      <c r="G19425">
        <v>117778808</v>
      </c>
      <c r="H19425">
        <v>117778736</v>
      </c>
      <c r="I19425">
        <v>117778808</v>
      </c>
    </row>
    <row r="19426" spans="1:9" x14ac:dyDescent="0.2">
      <c r="A19426" s="1" t="str">
        <f>"UTP3"</f>
        <v>UTP3</v>
      </c>
      <c r="B19426" t="s">
        <v>14</v>
      </c>
      <c r="C19426" t="s">
        <v>23</v>
      </c>
      <c r="D19426" t="s">
        <v>17</v>
      </c>
      <c r="E19426" t="s">
        <v>12</v>
      </c>
      <c r="F19426">
        <v>71554233</v>
      </c>
      <c r="G19426">
        <v>71554273</v>
      </c>
      <c r="H19426">
        <v>71554504</v>
      </c>
      <c r="I19426">
        <v>71554519</v>
      </c>
    </row>
    <row r="19427" spans="1:9" x14ac:dyDescent="0.2">
      <c r="A19427" s="1" t="str">
        <f>"UTP6"</f>
        <v>UTP6</v>
      </c>
      <c r="B19427" t="s">
        <v>14</v>
      </c>
      <c r="C19427" t="s">
        <v>28</v>
      </c>
      <c r="D19427" t="s">
        <v>11</v>
      </c>
      <c r="E19427" t="s">
        <v>12</v>
      </c>
      <c r="F19427">
        <v>30228678</v>
      </c>
      <c r="G19427">
        <v>30228770</v>
      </c>
      <c r="H19427">
        <v>30228678</v>
      </c>
      <c r="I19427">
        <v>30228770</v>
      </c>
    </row>
    <row r="19428" spans="1:9" x14ac:dyDescent="0.2">
      <c r="A19428" s="1" t="str">
        <f>"UTRN"</f>
        <v>UTRN</v>
      </c>
      <c r="B19428" t="s">
        <v>1805</v>
      </c>
      <c r="C19428" t="s">
        <v>32</v>
      </c>
      <c r="D19428" t="s">
        <v>17</v>
      </c>
      <c r="E19428" t="s">
        <v>20</v>
      </c>
      <c r="F19428">
        <v>144612964</v>
      </c>
      <c r="G19428">
        <v>144612964</v>
      </c>
      <c r="H19428">
        <v>144612964</v>
      </c>
      <c r="I19428">
        <v>144612964</v>
      </c>
    </row>
    <row r="19429" spans="1:9" x14ac:dyDescent="0.2">
      <c r="A19429" s="1" t="str">
        <f>"UTS2"</f>
        <v>UTS2</v>
      </c>
      <c r="B19429" t="s">
        <v>1806</v>
      </c>
      <c r="C19429" t="s">
        <v>19</v>
      </c>
      <c r="D19429" t="s">
        <v>11</v>
      </c>
      <c r="E19429" t="s">
        <v>35</v>
      </c>
      <c r="F19429">
        <v>7913114</v>
      </c>
      <c r="G19429">
        <v>7913132</v>
      </c>
      <c r="H19429">
        <v>7913089</v>
      </c>
      <c r="I19429">
        <v>7913096</v>
      </c>
    </row>
    <row r="19430" spans="1:9" x14ac:dyDescent="0.2">
      <c r="A19430" s="1" t="str">
        <f>"UTS2B"</f>
        <v>UTS2B</v>
      </c>
      <c r="B19430" t="s">
        <v>14</v>
      </c>
      <c r="C19430" t="s">
        <v>22</v>
      </c>
      <c r="D19430" t="s">
        <v>11</v>
      </c>
      <c r="E19430" t="s">
        <v>12</v>
      </c>
      <c r="F19430">
        <v>191000091</v>
      </c>
      <c r="G19430">
        <v>191000117</v>
      </c>
      <c r="H19430">
        <v>191000091</v>
      </c>
      <c r="I19430">
        <v>191000117</v>
      </c>
    </row>
    <row r="19431" spans="1:9" x14ac:dyDescent="0.2">
      <c r="A19431" s="1" t="str">
        <f>"UTS2R"</f>
        <v>UTS2R</v>
      </c>
      <c r="B19431" t="s">
        <v>1807</v>
      </c>
      <c r="C19431" t="s">
        <v>28</v>
      </c>
      <c r="D19431" t="s">
        <v>17</v>
      </c>
      <c r="E19431" t="s">
        <v>20</v>
      </c>
      <c r="F19431">
        <v>80332152</v>
      </c>
      <c r="G19431">
        <v>80332152</v>
      </c>
      <c r="H19431">
        <v>80332152</v>
      </c>
      <c r="I19431">
        <v>80332152</v>
      </c>
    </row>
    <row r="19432" spans="1:9" x14ac:dyDescent="0.2">
      <c r="A19432" s="1" t="str">
        <f>"UTY"</f>
        <v>UTY</v>
      </c>
      <c r="B19432" t="s">
        <v>14</v>
      </c>
      <c r="C19432" t="s">
        <v>63</v>
      </c>
      <c r="D19432" t="s">
        <v>11</v>
      </c>
      <c r="E19432" t="s">
        <v>12</v>
      </c>
      <c r="F19432">
        <v>15591818</v>
      </c>
      <c r="G19432">
        <v>15591919</v>
      </c>
      <c r="H19432">
        <v>15591789</v>
      </c>
      <c r="I19432">
        <v>15591808</v>
      </c>
    </row>
    <row r="19433" spans="1:9" x14ac:dyDescent="0.2">
      <c r="A19433" s="1" t="str">
        <f>"UVRAG"</f>
        <v>UVRAG</v>
      </c>
      <c r="B19433" t="s">
        <v>14</v>
      </c>
      <c r="C19433" t="s">
        <v>27</v>
      </c>
      <c r="D19433" t="s">
        <v>17</v>
      </c>
      <c r="E19433" t="s">
        <v>12</v>
      </c>
      <c r="F19433">
        <v>75526225</v>
      </c>
      <c r="G19433">
        <v>75526301</v>
      </c>
      <c r="H19433">
        <v>75526208</v>
      </c>
      <c r="I19433">
        <v>75526215</v>
      </c>
    </row>
    <row r="19434" spans="1:9" x14ac:dyDescent="0.2">
      <c r="A19434" s="1" t="str">
        <f>"UVSSA"</f>
        <v>UVSSA</v>
      </c>
      <c r="B19434" t="s">
        <v>14</v>
      </c>
      <c r="C19434" t="s">
        <v>23</v>
      </c>
      <c r="D19434" t="s">
        <v>17</v>
      </c>
      <c r="E19434" t="s">
        <v>12</v>
      </c>
      <c r="F19434">
        <v>1340986</v>
      </c>
      <c r="G19434">
        <v>1341042</v>
      </c>
      <c r="H19434">
        <v>1341049</v>
      </c>
      <c r="I19434">
        <v>1341085</v>
      </c>
    </row>
    <row r="19435" spans="1:9" x14ac:dyDescent="0.2">
      <c r="A19435" s="1" t="str">
        <f>"UXS1"</f>
        <v>UXS1</v>
      </c>
      <c r="B19435" t="s">
        <v>14</v>
      </c>
      <c r="C19435" t="s">
        <v>26</v>
      </c>
      <c r="D19435" t="s">
        <v>11</v>
      </c>
      <c r="E19435" t="s">
        <v>12</v>
      </c>
      <c r="F19435">
        <v>106810742</v>
      </c>
      <c r="G19435">
        <v>106810775</v>
      </c>
      <c r="H19435">
        <v>106810783</v>
      </c>
      <c r="I19435">
        <v>106810794</v>
      </c>
    </row>
    <row r="19436" spans="1:9" x14ac:dyDescent="0.2">
      <c r="A19436" s="1" t="str">
        <f>"UXT"</f>
        <v>UXT</v>
      </c>
      <c r="B19436" t="s">
        <v>14</v>
      </c>
      <c r="C19436" t="s">
        <v>37</v>
      </c>
      <c r="D19436" t="s">
        <v>11</v>
      </c>
      <c r="E19436" t="s">
        <v>12</v>
      </c>
      <c r="F19436">
        <v>47518527</v>
      </c>
      <c r="G19436">
        <v>47518587</v>
      </c>
      <c r="H19436">
        <v>47518498</v>
      </c>
      <c r="I19436">
        <v>47518521</v>
      </c>
    </row>
    <row r="19437" spans="1:9" x14ac:dyDescent="0.2">
      <c r="A19437" s="1" t="str">
        <f>"VAC14"</f>
        <v>VAC14</v>
      </c>
      <c r="B19437" t="s">
        <v>14</v>
      </c>
      <c r="C19437" t="s">
        <v>31</v>
      </c>
      <c r="D19437" t="s">
        <v>11</v>
      </c>
      <c r="E19437" t="s">
        <v>12</v>
      </c>
      <c r="F19437">
        <v>70835034</v>
      </c>
      <c r="G19437">
        <v>70835081</v>
      </c>
      <c r="H19437">
        <v>70835000</v>
      </c>
      <c r="I19437">
        <v>70835011</v>
      </c>
    </row>
    <row r="19438" spans="1:9" x14ac:dyDescent="0.2">
      <c r="A19438" s="1" t="str">
        <f>"VAMP1"</f>
        <v>VAMP1</v>
      </c>
      <c r="B19438" t="s">
        <v>14</v>
      </c>
      <c r="C19438" t="s">
        <v>16</v>
      </c>
      <c r="D19438" t="s">
        <v>11</v>
      </c>
      <c r="E19438" t="s">
        <v>12</v>
      </c>
      <c r="F19438">
        <v>6579833</v>
      </c>
      <c r="G19438">
        <v>6579850</v>
      </c>
      <c r="H19438">
        <v>6579808</v>
      </c>
      <c r="I19438">
        <v>6579815</v>
      </c>
    </row>
    <row r="19439" spans="1:9" x14ac:dyDescent="0.2">
      <c r="A19439" s="1" t="str">
        <f>"VAMP2"</f>
        <v>VAMP2</v>
      </c>
      <c r="B19439" t="s">
        <v>14</v>
      </c>
      <c r="C19439" t="s">
        <v>28</v>
      </c>
      <c r="D19439" t="s">
        <v>11</v>
      </c>
      <c r="E19439" t="s">
        <v>12</v>
      </c>
      <c r="F19439">
        <v>8066256</v>
      </c>
      <c r="G19439">
        <v>8066301</v>
      </c>
      <c r="H19439">
        <v>8066256</v>
      </c>
      <c r="I19439">
        <v>8066301</v>
      </c>
    </row>
    <row r="19440" spans="1:9" x14ac:dyDescent="0.2">
      <c r="A19440" s="1" t="str">
        <f>"VAMP3"</f>
        <v>VAMP3</v>
      </c>
      <c r="B19440" t="s">
        <v>14</v>
      </c>
      <c r="C19440" t="s">
        <v>19</v>
      </c>
      <c r="D19440" t="s">
        <v>17</v>
      </c>
      <c r="E19440" t="s">
        <v>12</v>
      </c>
      <c r="F19440">
        <v>7831323</v>
      </c>
      <c r="G19440">
        <v>7831414</v>
      </c>
      <c r="H19440">
        <v>7831323</v>
      </c>
      <c r="I19440">
        <v>7831414</v>
      </c>
    </row>
    <row r="19441" spans="1:9" x14ac:dyDescent="0.2">
      <c r="A19441" s="1" t="str">
        <f>"VAMP4"</f>
        <v>VAMP4</v>
      </c>
      <c r="B19441" t="s">
        <v>14</v>
      </c>
      <c r="C19441" t="s">
        <v>19</v>
      </c>
      <c r="D19441" t="s">
        <v>11</v>
      </c>
      <c r="E19441" t="s">
        <v>12</v>
      </c>
      <c r="F19441">
        <v>171711177</v>
      </c>
      <c r="G19441">
        <v>171711234</v>
      </c>
      <c r="H19441">
        <v>171711152</v>
      </c>
      <c r="I19441">
        <v>171711170</v>
      </c>
    </row>
    <row r="19442" spans="1:9" x14ac:dyDescent="0.2">
      <c r="A19442" s="1" t="str">
        <f>"VAMP5"</f>
        <v>VAMP5</v>
      </c>
      <c r="B19442" t="s">
        <v>14</v>
      </c>
      <c r="C19442" t="s">
        <v>26</v>
      </c>
      <c r="D19442" t="s">
        <v>17</v>
      </c>
      <c r="E19442" t="s">
        <v>12</v>
      </c>
      <c r="F19442">
        <v>85811525</v>
      </c>
      <c r="G19442">
        <v>85811583</v>
      </c>
      <c r="H19442">
        <v>85811525</v>
      </c>
      <c r="I19442">
        <v>85811583</v>
      </c>
    </row>
    <row r="19443" spans="1:9" x14ac:dyDescent="0.2">
      <c r="A19443" s="1" t="str">
        <f>"VAMP7"</f>
        <v>VAMP7</v>
      </c>
      <c r="B19443" t="s">
        <v>14</v>
      </c>
      <c r="C19443" t="s">
        <v>37</v>
      </c>
      <c r="D19443" t="s">
        <v>17</v>
      </c>
      <c r="E19443" t="s">
        <v>12</v>
      </c>
      <c r="F19443">
        <v>155110970</v>
      </c>
      <c r="G19443">
        <v>155111047</v>
      </c>
      <c r="H19443">
        <v>155111049</v>
      </c>
      <c r="I19443">
        <v>155111059</v>
      </c>
    </row>
    <row r="19444" spans="1:9" x14ac:dyDescent="0.2">
      <c r="A19444" s="1" t="str">
        <f>"VAMP8"</f>
        <v>VAMP8</v>
      </c>
      <c r="B19444" t="s">
        <v>9</v>
      </c>
      <c r="C19444" t="s">
        <v>26</v>
      </c>
      <c r="D19444" t="s">
        <v>17</v>
      </c>
      <c r="E19444" t="s">
        <v>12</v>
      </c>
      <c r="F19444">
        <v>85804663</v>
      </c>
      <c r="G19444">
        <v>85804748</v>
      </c>
      <c r="H19444">
        <v>85804663</v>
      </c>
      <c r="I19444">
        <v>85804748</v>
      </c>
    </row>
    <row r="19445" spans="1:9" x14ac:dyDescent="0.2">
      <c r="A19445" s="1" t="str">
        <f>"VAMP8"</f>
        <v>VAMP8</v>
      </c>
      <c r="B19445" t="s">
        <v>13</v>
      </c>
      <c r="C19445" t="s">
        <v>26</v>
      </c>
      <c r="D19445" t="s">
        <v>17</v>
      </c>
      <c r="E19445" t="s">
        <v>12</v>
      </c>
      <c r="F19445">
        <v>85788671</v>
      </c>
      <c r="G19445">
        <v>85788706</v>
      </c>
      <c r="H19445">
        <v>85788671</v>
      </c>
      <c r="I19445">
        <v>85788706</v>
      </c>
    </row>
    <row r="19446" spans="1:9" x14ac:dyDescent="0.2">
      <c r="A19446" s="1" t="str">
        <f>"VANGL1"</f>
        <v>VANGL1</v>
      </c>
      <c r="B19446" t="s">
        <v>14</v>
      </c>
      <c r="C19446" t="s">
        <v>19</v>
      </c>
      <c r="D19446" t="s">
        <v>17</v>
      </c>
      <c r="E19446" t="s">
        <v>12</v>
      </c>
      <c r="F19446">
        <v>116184566</v>
      </c>
      <c r="G19446">
        <v>116184633</v>
      </c>
      <c r="H19446">
        <v>116184499</v>
      </c>
      <c r="I19446">
        <v>116184521</v>
      </c>
    </row>
    <row r="19447" spans="1:9" x14ac:dyDescent="0.2">
      <c r="A19447" s="1" t="str">
        <f>"VANGL2"</f>
        <v>VANGL2</v>
      </c>
      <c r="B19447" t="s">
        <v>14</v>
      </c>
      <c r="C19447" t="s">
        <v>19</v>
      </c>
      <c r="D19447" t="s">
        <v>17</v>
      </c>
      <c r="E19447" t="s">
        <v>12</v>
      </c>
      <c r="F19447">
        <v>160370344</v>
      </c>
      <c r="G19447">
        <v>160370406</v>
      </c>
      <c r="H19447">
        <v>160370528</v>
      </c>
      <c r="I19447">
        <v>160370550</v>
      </c>
    </row>
    <row r="19448" spans="1:9" x14ac:dyDescent="0.2">
      <c r="A19448" s="1" t="str">
        <f>"VAPA"</f>
        <v>VAPA</v>
      </c>
      <c r="B19448" t="s">
        <v>14</v>
      </c>
      <c r="C19448" t="s">
        <v>43</v>
      </c>
      <c r="D19448" t="s">
        <v>17</v>
      </c>
      <c r="E19448" t="s">
        <v>12</v>
      </c>
      <c r="F19448">
        <v>9913977</v>
      </c>
      <c r="G19448">
        <v>9914088</v>
      </c>
      <c r="H19448">
        <v>9914210</v>
      </c>
      <c r="I19448">
        <v>9914254</v>
      </c>
    </row>
    <row r="19449" spans="1:9" x14ac:dyDescent="0.2">
      <c r="A19449" s="1" t="str">
        <f>"VAPB"</f>
        <v>VAPB</v>
      </c>
      <c r="B19449" t="s">
        <v>14</v>
      </c>
      <c r="C19449" t="s">
        <v>29</v>
      </c>
      <c r="D19449" t="s">
        <v>17</v>
      </c>
      <c r="E19449" t="s">
        <v>12</v>
      </c>
      <c r="F19449">
        <v>56964253</v>
      </c>
      <c r="G19449">
        <v>56964332</v>
      </c>
      <c r="H19449">
        <v>56964194</v>
      </c>
      <c r="I19449">
        <v>56964212</v>
      </c>
    </row>
    <row r="19450" spans="1:9" x14ac:dyDescent="0.2">
      <c r="A19450" s="1" t="str">
        <f>"VARS"</f>
        <v>VARS</v>
      </c>
      <c r="B19450" t="s">
        <v>14</v>
      </c>
      <c r="C19450" t="s">
        <v>32</v>
      </c>
      <c r="D19450" t="s">
        <v>11</v>
      </c>
      <c r="E19450" t="s">
        <v>12</v>
      </c>
      <c r="F19450">
        <v>31763408</v>
      </c>
      <c r="G19450">
        <v>31763545</v>
      </c>
      <c r="H19450">
        <v>31763721</v>
      </c>
      <c r="I19450">
        <v>31763734</v>
      </c>
    </row>
    <row r="19451" spans="1:9" x14ac:dyDescent="0.2">
      <c r="A19451" s="1" t="str">
        <f>"VARS2"</f>
        <v>VARS2</v>
      </c>
      <c r="B19451" t="s">
        <v>14</v>
      </c>
      <c r="C19451" t="s">
        <v>32</v>
      </c>
      <c r="D19451" t="s">
        <v>17</v>
      </c>
      <c r="E19451" t="s">
        <v>12</v>
      </c>
      <c r="F19451">
        <v>30881989</v>
      </c>
      <c r="G19451">
        <v>30882080</v>
      </c>
      <c r="H19451">
        <v>30882116</v>
      </c>
      <c r="I19451">
        <v>30882135</v>
      </c>
    </row>
    <row r="19452" spans="1:9" x14ac:dyDescent="0.2">
      <c r="A19452" s="1" t="str">
        <f>"VASH1"</f>
        <v>VASH1</v>
      </c>
      <c r="B19452" t="s">
        <v>14</v>
      </c>
      <c r="C19452" t="s">
        <v>41</v>
      </c>
      <c r="D19452" t="s">
        <v>17</v>
      </c>
      <c r="E19452" t="s">
        <v>12</v>
      </c>
      <c r="F19452">
        <v>77227796</v>
      </c>
      <c r="G19452">
        <v>77227886</v>
      </c>
      <c r="H19452">
        <v>77228073</v>
      </c>
      <c r="I19452">
        <v>77228148</v>
      </c>
    </row>
    <row r="19453" spans="1:9" x14ac:dyDescent="0.2">
      <c r="A19453" s="1" t="str">
        <f>"VASH2"</f>
        <v>VASH2</v>
      </c>
      <c r="B19453" t="s">
        <v>14</v>
      </c>
      <c r="C19453" t="s">
        <v>19</v>
      </c>
      <c r="D19453" t="s">
        <v>17</v>
      </c>
      <c r="E19453" t="s">
        <v>12</v>
      </c>
      <c r="F19453">
        <v>213123915</v>
      </c>
      <c r="G19453">
        <v>213123955</v>
      </c>
      <c r="H19453">
        <v>213123871</v>
      </c>
      <c r="I19453">
        <v>213123891</v>
      </c>
    </row>
    <row r="19454" spans="1:9" x14ac:dyDescent="0.2">
      <c r="A19454" s="1" t="str">
        <f>"VASN"</f>
        <v>VASN</v>
      </c>
      <c r="B19454" t="s">
        <v>14</v>
      </c>
      <c r="C19454" t="s">
        <v>31</v>
      </c>
      <c r="D19454" t="s">
        <v>17</v>
      </c>
      <c r="E19454" t="s">
        <v>12</v>
      </c>
      <c r="F19454">
        <v>4421841</v>
      </c>
      <c r="G19454">
        <v>4421855</v>
      </c>
      <c r="H19454">
        <v>4421841</v>
      </c>
      <c r="I19454">
        <v>4421855</v>
      </c>
    </row>
    <row r="19455" spans="1:9" x14ac:dyDescent="0.2">
      <c r="A19455" s="1" t="str">
        <f>"VASP"</f>
        <v>VASP</v>
      </c>
      <c r="B19455" t="s">
        <v>14</v>
      </c>
      <c r="C19455" t="s">
        <v>10</v>
      </c>
      <c r="D19455" t="s">
        <v>17</v>
      </c>
      <c r="E19455" t="s">
        <v>12</v>
      </c>
      <c r="F19455">
        <v>46010676</v>
      </c>
      <c r="G19455">
        <v>46010772</v>
      </c>
      <c r="H19455">
        <v>46010676</v>
      </c>
      <c r="I19455">
        <v>46010772</v>
      </c>
    </row>
    <row r="19456" spans="1:9" x14ac:dyDescent="0.2">
      <c r="A19456" s="1" t="str">
        <f>"VAT1"</f>
        <v>VAT1</v>
      </c>
      <c r="B19456" t="s">
        <v>14</v>
      </c>
      <c r="C19456" t="s">
        <v>28</v>
      </c>
      <c r="D19456" t="s">
        <v>11</v>
      </c>
      <c r="E19456" t="s">
        <v>12</v>
      </c>
      <c r="F19456">
        <v>41174367</v>
      </c>
      <c r="G19456">
        <v>41174418</v>
      </c>
      <c r="H19456">
        <v>41174424</v>
      </c>
      <c r="I19456">
        <v>41174447</v>
      </c>
    </row>
    <row r="19457" spans="1:9" x14ac:dyDescent="0.2">
      <c r="A19457" s="1" t="str">
        <f>"VAT1L"</f>
        <v>VAT1L</v>
      </c>
      <c r="B19457" t="s">
        <v>14</v>
      </c>
      <c r="C19457" t="s">
        <v>31</v>
      </c>
      <c r="D19457" t="s">
        <v>17</v>
      </c>
      <c r="E19457" t="s">
        <v>12</v>
      </c>
      <c r="F19457">
        <v>77822475</v>
      </c>
      <c r="G19457">
        <v>77822492</v>
      </c>
      <c r="H19457">
        <v>77822451</v>
      </c>
      <c r="I19457">
        <v>77822469</v>
      </c>
    </row>
    <row r="19458" spans="1:9" x14ac:dyDescent="0.2">
      <c r="A19458" s="1" t="str">
        <f>"VAV1"</f>
        <v>VAV1</v>
      </c>
      <c r="B19458" t="s">
        <v>14</v>
      </c>
      <c r="C19458" t="s">
        <v>10</v>
      </c>
      <c r="D19458" t="s">
        <v>17</v>
      </c>
      <c r="E19458" t="s">
        <v>12</v>
      </c>
      <c r="F19458">
        <v>6772710</v>
      </c>
      <c r="G19458">
        <v>6772744</v>
      </c>
      <c r="H19458">
        <v>6772686</v>
      </c>
      <c r="I19458">
        <v>6772697</v>
      </c>
    </row>
    <row r="19459" spans="1:9" x14ac:dyDescent="0.2">
      <c r="A19459" s="1" t="str">
        <f>"VAV2"</f>
        <v>VAV2</v>
      </c>
      <c r="B19459" t="s">
        <v>14</v>
      </c>
      <c r="C19459" t="s">
        <v>24</v>
      </c>
      <c r="D19459" t="s">
        <v>11</v>
      </c>
      <c r="E19459" t="s">
        <v>12</v>
      </c>
      <c r="F19459">
        <v>136857890</v>
      </c>
      <c r="G19459">
        <v>136857947</v>
      </c>
      <c r="H19459">
        <v>136857433</v>
      </c>
      <c r="I19459">
        <v>136857461</v>
      </c>
    </row>
    <row r="19460" spans="1:9" x14ac:dyDescent="0.2">
      <c r="A19460" s="1" t="str">
        <f>"VAV3"</f>
        <v>VAV3</v>
      </c>
      <c r="B19460" t="s">
        <v>14</v>
      </c>
      <c r="C19460" t="s">
        <v>19</v>
      </c>
      <c r="D19460" t="s">
        <v>11</v>
      </c>
      <c r="E19460" t="s">
        <v>12</v>
      </c>
      <c r="F19460">
        <v>108507718</v>
      </c>
      <c r="G19460">
        <v>108507809</v>
      </c>
      <c r="H19460">
        <v>108507718</v>
      </c>
      <c r="I19460">
        <v>108507809</v>
      </c>
    </row>
    <row r="19461" spans="1:9" x14ac:dyDescent="0.2">
      <c r="A19461" s="1" t="str">
        <f>"VAX1"</f>
        <v>VAX1</v>
      </c>
      <c r="B19461" t="s">
        <v>14</v>
      </c>
      <c r="C19461" t="s">
        <v>15</v>
      </c>
      <c r="D19461" t="s">
        <v>11</v>
      </c>
      <c r="E19461" t="s">
        <v>12</v>
      </c>
      <c r="F19461">
        <v>118897911</v>
      </c>
      <c r="G19461">
        <v>118897974</v>
      </c>
      <c r="H19461">
        <v>118897775</v>
      </c>
      <c r="I19461">
        <v>118897786</v>
      </c>
    </row>
    <row r="19462" spans="1:9" x14ac:dyDescent="0.2">
      <c r="A19462" s="1" t="str">
        <f>"VAX2"</f>
        <v>VAX2</v>
      </c>
      <c r="B19462" t="s">
        <v>14</v>
      </c>
      <c r="C19462" t="s">
        <v>26</v>
      </c>
      <c r="D19462" t="s">
        <v>17</v>
      </c>
      <c r="E19462" t="s">
        <v>12</v>
      </c>
      <c r="F19462">
        <v>71127699</v>
      </c>
      <c r="G19462">
        <v>71127744</v>
      </c>
      <c r="H19462">
        <v>71127793</v>
      </c>
      <c r="I19462">
        <v>71127809</v>
      </c>
    </row>
    <row r="19463" spans="1:9" x14ac:dyDescent="0.2">
      <c r="A19463" s="1" t="str">
        <f>"VBP1"</f>
        <v>VBP1</v>
      </c>
      <c r="B19463" t="s">
        <v>14</v>
      </c>
      <c r="C19463" t="s">
        <v>37</v>
      </c>
      <c r="D19463" t="s">
        <v>17</v>
      </c>
      <c r="E19463" t="s">
        <v>12</v>
      </c>
      <c r="F19463">
        <v>154444716</v>
      </c>
      <c r="G19463">
        <v>154444761</v>
      </c>
      <c r="H19463">
        <v>154444700</v>
      </c>
      <c r="I19463">
        <v>154444710</v>
      </c>
    </row>
    <row r="19464" spans="1:9" x14ac:dyDescent="0.2">
      <c r="A19464" s="1" t="str">
        <f>"VCAM1"</f>
        <v>VCAM1</v>
      </c>
      <c r="B19464" t="s">
        <v>14</v>
      </c>
      <c r="C19464" t="s">
        <v>19</v>
      </c>
      <c r="D19464" t="s">
        <v>17</v>
      </c>
      <c r="E19464" t="s">
        <v>12</v>
      </c>
      <c r="F19464">
        <v>101185290</v>
      </c>
      <c r="G19464">
        <v>101185305</v>
      </c>
      <c r="H19464">
        <v>101185290</v>
      </c>
      <c r="I19464">
        <v>101185305</v>
      </c>
    </row>
    <row r="19465" spans="1:9" x14ac:dyDescent="0.2">
      <c r="A19465" s="1" t="str">
        <f>"VCAN"</f>
        <v>VCAN</v>
      </c>
      <c r="B19465" t="s">
        <v>14</v>
      </c>
      <c r="C19465" t="s">
        <v>46</v>
      </c>
      <c r="D19465" t="s">
        <v>17</v>
      </c>
      <c r="E19465" t="s">
        <v>12</v>
      </c>
      <c r="F19465">
        <v>82767555</v>
      </c>
      <c r="G19465">
        <v>82767575</v>
      </c>
      <c r="H19465">
        <v>82767585</v>
      </c>
      <c r="I19465">
        <v>82767607</v>
      </c>
    </row>
    <row r="19466" spans="1:9" x14ac:dyDescent="0.2">
      <c r="A19466" s="1" t="str">
        <f>"VCL"</f>
        <v>VCL</v>
      </c>
      <c r="B19466" t="s">
        <v>14</v>
      </c>
      <c r="C19466" t="s">
        <v>15</v>
      </c>
      <c r="D19466" t="s">
        <v>17</v>
      </c>
      <c r="E19466" t="s">
        <v>12</v>
      </c>
      <c r="F19466">
        <v>75757863</v>
      </c>
      <c r="G19466">
        <v>75757897</v>
      </c>
      <c r="H19466">
        <v>75757841</v>
      </c>
      <c r="I19466">
        <v>75757851</v>
      </c>
    </row>
    <row r="19467" spans="1:9" x14ac:dyDescent="0.2">
      <c r="A19467" s="1" t="str">
        <f>"VCP"</f>
        <v>VCP</v>
      </c>
      <c r="B19467" t="s">
        <v>14</v>
      </c>
      <c r="C19467" t="s">
        <v>24</v>
      </c>
      <c r="D19467" t="s">
        <v>11</v>
      </c>
      <c r="E19467" t="s">
        <v>12</v>
      </c>
      <c r="F19467">
        <v>35072585</v>
      </c>
      <c r="G19467">
        <v>35072632</v>
      </c>
      <c r="H19467">
        <v>35072559</v>
      </c>
      <c r="I19467">
        <v>35072571</v>
      </c>
    </row>
    <row r="19468" spans="1:9" x14ac:dyDescent="0.2">
      <c r="A19468" s="1" t="str">
        <f>"VCPIP1"</f>
        <v>VCPIP1</v>
      </c>
      <c r="B19468" t="s">
        <v>14</v>
      </c>
      <c r="C19468" t="s">
        <v>30</v>
      </c>
      <c r="D19468" t="s">
        <v>11</v>
      </c>
      <c r="E19468" t="s">
        <v>12</v>
      </c>
      <c r="F19468">
        <v>67579418</v>
      </c>
      <c r="G19468">
        <v>67579498</v>
      </c>
      <c r="H19468">
        <v>67579326</v>
      </c>
      <c r="I19468">
        <v>67579368</v>
      </c>
    </row>
    <row r="19469" spans="1:9" x14ac:dyDescent="0.2">
      <c r="A19469" s="1" t="str">
        <f>"VCPKMT"</f>
        <v>VCPKMT</v>
      </c>
      <c r="B19469" t="s">
        <v>14</v>
      </c>
      <c r="C19469" t="s">
        <v>41</v>
      </c>
      <c r="D19469" t="s">
        <v>11</v>
      </c>
      <c r="E19469" t="s">
        <v>12</v>
      </c>
      <c r="F19469">
        <v>50583271</v>
      </c>
      <c r="G19469">
        <v>50583302</v>
      </c>
      <c r="H19469">
        <v>50583180</v>
      </c>
      <c r="I19469">
        <v>50583226</v>
      </c>
    </row>
    <row r="19470" spans="1:9" x14ac:dyDescent="0.2">
      <c r="A19470" s="1" t="str">
        <f>"VCX"</f>
        <v>VCX</v>
      </c>
      <c r="B19470" t="s">
        <v>14</v>
      </c>
      <c r="C19470" t="s">
        <v>37</v>
      </c>
      <c r="D19470" t="s">
        <v>17</v>
      </c>
      <c r="E19470" t="s">
        <v>12</v>
      </c>
      <c r="F19470">
        <v>7811211</v>
      </c>
      <c r="G19470">
        <v>7811213</v>
      </c>
      <c r="H19470">
        <v>7811211</v>
      </c>
      <c r="I19470">
        <v>7811213</v>
      </c>
    </row>
    <row r="19471" spans="1:9" x14ac:dyDescent="0.2">
      <c r="A19471" s="1" t="str">
        <f>"VCX2"</f>
        <v>VCX2</v>
      </c>
      <c r="B19471" t="s">
        <v>1808</v>
      </c>
      <c r="C19471" t="s">
        <v>37</v>
      </c>
      <c r="D19471" t="s">
        <v>11</v>
      </c>
      <c r="E19471" t="s">
        <v>20</v>
      </c>
      <c r="F19471">
        <v>8139307</v>
      </c>
      <c r="G19471">
        <v>8139307</v>
      </c>
      <c r="H19471">
        <v>8139307</v>
      </c>
      <c r="I19471">
        <v>8139307</v>
      </c>
    </row>
    <row r="19472" spans="1:9" x14ac:dyDescent="0.2">
      <c r="A19472" s="1" t="str">
        <f>"VCX3A"</f>
        <v>VCX3A</v>
      </c>
      <c r="B19472" t="s">
        <v>1809</v>
      </c>
      <c r="C19472" t="s">
        <v>37</v>
      </c>
      <c r="D19472" t="s">
        <v>11</v>
      </c>
      <c r="E19472" t="s">
        <v>20</v>
      </c>
      <c r="F19472">
        <v>6453158</v>
      </c>
      <c r="G19472">
        <v>6453158</v>
      </c>
      <c r="H19472">
        <v>6453158</v>
      </c>
      <c r="I19472">
        <v>6453158</v>
      </c>
    </row>
    <row r="19473" spans="1:9" x14ac:dyDescent="0.2">
      <c r="A19473" s="1" t="str">
        <f>"VCX3B"</f>
        <v>VCX3B</v>
      </c>
      <c r="B19473" t="s">
        <v>14</v>
      </c>
      <c r="C19473" t="s">
        <v>37</v>
      </c>
      <c r="D19473" t="s">
        <v>17</v>
      </c>
      <c r="E19473" t="s">
        <v>12</v>
      </c>
      <c r="F19473">
        <v>8433394</v>
      </c>
      <c r="G19473">
        <v>8433418</v>
      </c>
      <c r="H19473">
        <v>8433394</v>
      </c>
      <c r="I19473">
        <v>8433418</v>
      </c>
    </row>
    <row r="19474" spans="1:9" x14ac:dyDescent="0.2">
      <c r="A19474" s="1" t="str">
        <f>"VCY"</f>
        <v>VCY</v>
      </c>
      <c r="B19474" t="s">
        <v>1810</v>
      </c>
      <c r="C19474" t="s">
        <v>63</v>
      </c>
      <c r="D19474" t="s">
        <v>11</v>
      </c>
      <c r="E19474" t="s">
        <v>20</v>
      </c>
      <c r="F19474">
        <v>16098392</v>
      </c>
      <c r="G19474">
        <v>16098392</v>
      </c>
      <c r="H19474">
        <v>16098392</v>
      </c>
      <c r="I19474">
        <v>16098392</v>
      </c>
    </row>
    <row r="19475" spans="1:9" x14ac:dyDescent="0.2">
      <c r="A19475" s="1" t="str">
        <f>"VCY1B"</f>
        <v>VCY1B</v>
      </c>
      <c r="B19475" t="s">
        <v>1811</v>
      </c>
      <c r="C19475" t="s">
        <v>63</v>
      </c>
      <c r="D19475" t="s">
        <v>17</v>
      </c>
      <c r="E19475" t="s">
        <v>20</v>
      </c>
      <c r="F19475">
        <v>16168096</v>
      </c>
      <c r="G19475">
        <v>16168096</v>
      </c>
      <c r="H19475">
        <v>16168096</v>
      </c>
      <c r="I19475">
        <v>16168096</v>
      </c>
    </row>
    <row r="19476" spans="1:9" x14ac:dyDescent="0.2">
      <c r="A19476" s="1" t="str">
        <f>"VDAC1"</f>
        <v>VDAC1</v>
      </c>
      <c r="B19476" t="s">
        <v>14</v>
      </c>
      <c r="C19476" t="s">
        <v>46</v>
      </c>
      <c r="D19476" t="s">
        <v>11</v>
      </c>
      <c r="E19476" t="s">
        <v>12</v>
      </c>
      <c r="F19476">
        <v>133340342</v>
      </c>
      <c r="G19476">
        <v>133340470</v>
      </c>
      <c r="H19476">
        <v>133340611</v>
      </c>
      <c r="I19476">
        <v>133340676</v>
      </c>
    </row>
    <row r="19477" spans="1:9" x14ac:dyDescent="0.2">
      <c r="A19477" s="1" t="str">
        <f>"VDAC2"</f>
        <v>VDAC2</v>
      </c>
      <c r="B19477" t="s">
        <v>14</v>
      </c>
      <c r="C19477" t="s">
        <v>15</v>
      </c>
      <c r="D19477" t="s">
        <v>17</v>
      </c>
      <c r="E19477" t="s">
        <v>12</v>
      </c>
      <c r="F19477">
        <v>76970533</v>
      </c>
      <c r="G19477">
        <v>76970602</v>
      </c>
      <c r="H19477">
        <v>76970762</v>
      </c>
      <c r="I19477">
        <v>76970795</v>
      </c>
    </row>
    <row r="19478" spans="1:9" x14ac:dyDescent="0.2">
      <c r="A19478" s="1" t="str">
        <f>"VDAC3"</f>
        <v>VDAC3</v>
      </c>
      <c r="B19478" t="s">
        <v>14</v>
      </c>
      <c r="C19478" t="s">
        <v>30</v>
      </c>
      <c r="D19478" t="s">
        <v>17</v>
      </c>
      <c r="E19478" t="s">
        <v>12</v>
      </c>
      <c r="F19478">
        <v>42249358</v>
      </c>
      <c r="G19478">
        <v>42249410</v>
      </c>
      <c r="H19478">
        <v>42249418</v>
      </c>
      <c r="I19478">
        <v>42249429</v>
      </c>
    </row>
    <row r="19479" spans="1:9" x14ac:dyDescent="0.2">
      <c r="A19479" s="1" t="str">
        <f>"VDR"</f>
        <v>VDR</v>
      </c>
      <c r="B19479" t="s">
        <v>14</v>
      </c>
      <c r="C19479" t="s">
        <v>16</v>
      </c>
      <c r="D19479" t="s">
        <v>11</v>
      </c>
      <c r="E19479" t="s">
        <v>12</v>
      </c>
      <c r="F19479">
        <v>48298785</v>
      </c>
      <c r="G19479">
        <v>48298828</v>
      </c>
      <c r="H19479">
        <v>48298765</v>
      </c>
      <c r="I19479">
        <v>48298783</v>
      </c>
    </row>
    <row r="19480" spans="1:9" x14ac:dyDescent="0.2">
      <c r="A19480" s="1" t="str">
        <f>"VEGFA"</f>
        <v>VEGFA</v>
      </c>
      <c r="B19480" t="s">
        <v>14</v>
      </c>
      <c r="C19480" t="s">
        <v>32</v>
      </c>
      <c r="D19480" t="s">
        <v>17</v>
      </c>
      <c r="E19480" t="s">
        <v>12</v>
      </c>
      <c r="F19480">
        <v>43737939</v>
      </c>
      <c r="G19480">
        <v>43737956</v>
      </c>
      <c r="H19480">
        <v>43738506</v>
      </c>
      <c r="I19480">
        <v>43738520</v>
      </c>
    </row>
    <row r="19481" spans="1:9" x14ac:dyDescent="0.2">
      <c r="A19481" s="1" t="str">
        <f>"VEGFB"</f>
        <v>VEGFB</v>
      </c>
      <c r="B19481" t="s">
        <v>14</v>
      </c>
      <c r="C19481" t="s">
        <v>27</v>
      </c>
      <c r="D19481" t="s">
        <v>17</v>
      </c>
      <c r="E19481" t="s">
        <v>12</v>
      </c>
      <c r="F19481">
        <v>64002041</v>
      </c>
      <c r="G19481">
        <v>64002119</v>
      </c>
      <c r="H19481">
        <v>64001962</v>
      </c>
      <c r="I19481">
        <v>64002033</v>
      </c>
    </row>
    <row r="19482" spans="1:9" x14ac:dyDescent="0.2">
      <c r="A19482" s="1" t="str">
        <f>"VEGFC"</f>
        <v>VEGFC</v>
      </c>
      <c r="B19482" t="s">
        <v>14</v>
      </c>
      <c r="C19482" t="s">
        <v>23</v>
      </c>
      <c r="D19482" t="s">
        <v>11</v>
      </c>
      <c r="E19482" t="s">
        <v>12</v>
      </c>
      <c r="F19482">
        <v>177714068</v>
      </c>
      <c r="G19482">
        <v>177714085</v>
      </c>
      <c r="H19482">
        <v>177713999</v>
      </c>
      <c r="I19482">
        <v>177714050</v>
      </c>
    </row>
    <row r="19483" spans="1:9" x14ac:dyDescent="0.2">
      <c r="A19483" s="1" t="str">
        <f>"VENTX"</f>
        <v>VENTX</v>
      </c>
      <c r="B19483" t="s">
        <v>14</v>
      </c>
      <c r="C19483" t="s">
        <v>15</v>
      </c>
      <c r="D19483" t="s">
        <v>17</v>
      </c>
      <c r="E19483" t="s">
        <v>12</v>
      </c>
      <c r="F19483">
        <v>135051353</v>
      </c>
      <c r="G19483">
        <v>135051367</v>
      </c>
      <c r="H19483">
        <v>135051422</v>
      </c>
      <c r="I19483">
        <v>135051430</v>
      </c>
    </row>
    <row r="19484" spans="1:9" x14ac:dyDescent="0.2">
      <c r="A19484" s="1" t="str">
        <f>"VEPH1"</f>
        <v>VEPH1</v>
      </c>
      <c r="B19484" t="s">
        <v>1812</v>
      </c>
      <c r="C19484" t="s">
        <v>22</v>
      </c>
      <c r="D19484" t="s">
        <v>11</v>
      </c>
      <c r="E19484" t="s">
        <v>35</v>
      </c>
      <c r="F19484">
        <v>157221380</v>
      </c>
      <c r="G19484">
        <v>157221399</v>
      </c>
      <c r="H19484">
        <v>157221156</v>
      </c>
      <c r="I19484">
        <v>157221160</v>
      </c>
    </row>
    <row r="19485" spans="1:9" x14ac:dyDescent="0.2">
      <c r="A19485" s="1" t="str">
        <f>"VEPH1"</f>
        <v>VEPH1</v>
      </c>
      <c r="B19485" t="s">
        <v>1813</v>
      </c>
      <c r="C19485" t="s">
        <v>22</v>
      </c>
      <c r="D19485" t="s">
        <v>11</v>
      </c>
      <c r="E19485" t="s">
        <v>35</v>
      </c>
      <c r="F19485">
        <v>157217541</v>
      </c>
      <c r="G19485">
        <v>157217549</v>
      </c>
      <c r="H19485">
        <v>157217239</v>
      </c>
      <c r="I19485">
        <v>157217240</v>
      </c>
    </row>
    <row r="19486" spans="1:9" x14ac:dyDescent="0.2">
      <c r="A19486" s="1" t="str">
        <f>"VEZF1"</f>
        <v>VEZF1</v>
      </c>
      <c r="B19486" t="s">
        <v>14</v>
      </c>
      <c r="C19486" t="s">
        <v>28</v>
      </c>
      <c r="D19486" t="s">
        <v>11</v>
      </c>
      <c r="E19486" t="s">
        <v>12</v>
      </c>
      <c r="F19486">
        <v>56065540</v>
      </c>
      <c r="G19486">
        <v>56065627</v>
      </c>
      <c r="H19486">
        <v>56065729</v>
      </c>
      <c r="I19486">
        <v>56065781</v>
      </c>
    </row>
    <row r="19487" spans="1:9" x14ac:dyDescent="0.2">
      <c r="A19487" s="1" t="str">
        <f>"VEZT"</f>
        <v>VEZT</v>
      </c>
      <c r="B19487" t="s">
        <v>14</v>
      </c>
      <c r="C19487" t="s">
        <v>16</v>
      </c>
      <c r="D19487" t="s">
        <v>17</v>
      </c>
      <c r="E19487" t="s">
        <v>12</v>
      </c>
      <c r="F19487">
        <v>95611569</v>
      </c>
      <c r="G19487">
        <v>95611608</v>
      </c>
      <c r="H19487">
        <v>95611516</v>
      </c>
      <c r="I19487">
        <v>95611527</v>
      </c>
    </row>
    <row r="19488" spans="1:9" x14ac:dyDescent="0.2">
      <c r="A19488" s="1" t="str">
        <f>"VGF"</f>
        <v>VGF</v>
      </c>
      <c r="B19488" t="s">
        <v>14</v>
      </c>
      <c r="C19488" t="s">
        <v>33</v>
      </c>
      <c r="D19488" t="s">
        <v>11</v>
      </c>
      <c r="E19488" t="s">
        <v>12</v>
      </c>
      <c r="F19488">
        <v>100808843</v>
      </c>
      <c r="G19488">
        <v>100808858</v>
      </c>
      <c r="H19488">
        <v>100808394</v>
      </c>
      <c r="I19488">
        <v>100808436</v>
      </c>
    </row>
    <row r="19489" spans="1:9" x14ac:dyDescent="0.2">
      <c r="A19489" s="1" t="str">
        <f>"VGLL1"</f>
        <v>VGLL1</v>
      </c>
      <c r="B19489" t="s">
        <v>14</v>
      </c>
      <c r="C19489" t="s">
        <v>37</v>
      </c>
      <c r="D19489" t="s">
        <v>17</v>
      </c>
      <c r="E19489" t="s">
        <v>12</v>
      </c>
      <c r="F19489">
        <v>135614364</v>
      </c>
      <c r="G19489">
        <v>135614387</v>
      </c>
      <c r="H19489">
        <v>135614293</v>
      </c>
      <c r="I19489">
        <v>135614318</v>
      </c>
    </row>
    <row r="19490" spans="1:9" x14ac:dyDescent="0.2">
      <c r="A19490" s="1" t="str">
        <f>"VGLL2"</f>
        <v>VGLL2</v>
      </c>
      <c r="B19490" t="s">
        <v>14</v>
      </c>
      <c r="C19490" t="s">
        <v>32</v>
      </c>
      <c r="D19490" t="s">
        <v>17</v>
      </c>
      <c r="E19490" t="s">
        <v>12</v>
      </c>
      <c r="F19490">
        <v>117586713</v>
      </c>
      <c r="G19490">
        <v>117586727</v>
      </c>
      <c r="H19490">
        <v>117586713</v>
      </c>
      <c r="I19490">
        <v>117586727</v>
      </c>
    </row>
    <row r="19491" spans="1:9" x14ac:dyDescent="0.2">
      <c r="A19491" s="1" t="str">
        <f>"VGLL3"</f>
        <v>VGLL3</v>
      </c>
      <c r="B19491" t="s">
        <v>14</v>
      </c>
      <c r="C19491" t="s">
        <v>22</v>
      </c>
      <c r="D19491" t="s">
        <v>11</v>
      </c>
      <c r="E19491" t="s">
        <v>12</v>
      </c>
      <c r="F19491">
        <v>87040259</v>
      </c>
      <c r="G19491">
        <v>87040277</v>
      </c>
      <c r="H19491">
        <v>87040285</v>
      </c>
      <c r="I19491">
        <v>87040306</v>
      </c>
    </row>
    <row r="19492" spans="1:9" x14ac:dyDescent="0.2">
      <c r="A19492" s="1" t="str">
        <f>"VGLL4"</f>
        <v>VGLL4</v>
      </c>
      <c r="B19492" t="s">
        <v>14</v>
      </c>
      <c r="C19492" t="s">
        <v>22</v>
      </c>
      <c r="D19492" t="s">
        <v>11</v>
      </c>
      <c r="E19492" t="s">
        <v>12</v>
      </c>
      <c r="F19492">
        <v>11685345</v>
      </c>
      <c r="G19492">
        <v>11685432</v>
      </c>
      <c r="H19492">
        <v>11685345</v>
      </c>
      <c r="I19492">
        <v>11685432</v>
      </c>
    </row>
    <row r="19493" spans="1:9" x14ac:dyDescent="0.2">
      <c r="A19493" s="1" t="str">
        <f>"VHL"</f>
        <v>VHL</v>
      </c>
      <c r="B19493" t="s">
        <v>14</v>
      </c>
      <c r="C19493" t="s">
        <v>22</v>
      </c>
      <c r="D19493" t="s">
        <v>17</v>
      </c>
      <c r="E19493" t="s">
        <v>12</v>
      </c>
      <c r="F19493">
        <v>10183447</v>
      </c>
      <c r="G19493">
        <v>10183523</v>
      </c>
      <c r="H19493">
        <v>10183415</v>
      </c>
      <c r="I19493">
        <v>10183422</v>
      </c>
    </row>
    <row r="19494" spans="1:9" x14ac:dyDescent="0.2">
      <c r="A19494" s="1" t="str">
        <f>"VHLL"</f>
        <v>VHLL</v>
      </c>
      <c r="B19494" t="s">
        <v>1814</v>
      </c>
      <c r="C19494" t="s">
        <v>19</v>
      </c>
      <c r="D19494" t="s">
        <v>11</v>
      </c>
      <c r="E19494" t="s">
        <v>20</v>
      </c>
      <c r="F19494">
        <v>156269427</v>
      </c>
      <c r="G19494">
        <v>156269427</v>
      </c>
      <c r="H19494">
        <v>156269427</v>
      </c>
      <c r="I19494">
        <v>156269427</v>
      </c>
    </row>
    <row r="19495" spans="1:9" x14ac:dyDescent="0.2">
      <c r="A19495" s="1" t="str">
        <f>"VIL1"</f>
        <v>VIL1</v>
      </c>
      <c r="B19495" t="s">
        <v>14</v>
      </c>
      <c r="C19495" t="s">
        <v>26</v>
      </c>
      <c r="D19495" t="s">
        <v>17</v>
      </c>
      <c r="E19495" t="s">
        <v>12</v>
      </c>
      <c r="F19495">
        <v>219283836</v>
      </c>
      <c r="G19495">
        <v>219283853</v>
      </c>
      <c r="H19495">
        <v>219283836</v>
      </c>
      <c r="I19495">
        <v>219283853</v>
      </c>
    </row>
    <row r="19496" spans="1:9" x14ac:dyDescent="0.2">
      <c r="A19496" s="1" t="str">
        <f>"VILL"</f>
        <v>VILL</v>
      </c>
      <c r="B19496" t="s">
        <v>9</v>
      </c>
      <c r="C19496" t="s">
        <v>22</v>
      </c>
      <c r="D19496" t="s">
        <v>17</v>
      </c>
      <c r="E19496" t="s">
        <v>12</v>
      </c>
      <c r="F19496">
        <v>38035610</v>
      </c>
      <c r="G19496">
        <v>38035687</v>
      </c>
      <c r="H19496">
        <v>38035610</v>
      </c>
      <c r="I19496">
        <v>38035687</v>
      </c>
    </row>
    <row r="19497" spans="1:9" x14ac:dyDescent="0.2">
      <c r="A19497" s="1" t="str">
        <f>"VILL"</f>
        <v>VILL</v>
      </c>
      <c r="B19497" t="s">
        <v>13</v>
      </c>
      <c r="C19497" t="s">
        <v>22</v>
      </c>
      <c r="D19497" t="s">
        <v>17</v>
      </c>
      <c r="E19497" t="s">
        <v>12</v>
      </c>
      <c r="F19497">
        <v>38032261</v>
      </c>
      <c r="G19497">
        <v>38032292</v>
      </c>
      <c r="H19497">
        <v>38032261</v>
      </c>
      <c r="I19497">
        <v>38032292</v>
      </c>
    </row>
    <row r="19498" spans="1:9" x14ac:dyDescent="0.2">
      <c r="A19498" s="1" t="str">
        <f>"VIM"</f>
        <v>VIM</v>
      </c>
      <c r="B19498" t="s">
        <v>14</v>
      </c>
      <c r="C19498" t="s">
        <v>15</v>
      </c>
      <c r="D19498" t="s">
        <v>17</v>
      </c>
      <c r="E19498" t="s">
        <v>12</v>
      </c>
      <c r="F19498">
        <v>17271266</v>
      </c>
      <c r="G19498">
        <v>17271286</v>
      </c>
      <c r="H19498">
        <v>17270548</v>
      </c>
      <c r="I19498">
        <v>17270610</v>
      </c>
    </row>
    <row r="19499" spans="1:9" x14ac:dyDescent="0.2">
      <c r="A19499" s="1" t="str">
        <f>"VIMP"</f>
        <v>VIMP</v>
      </c>
      <c r="B19499" t="s">
        <v>14</v>
      </c>
      <c r="C19499" t="s">
        <v>25</v>
      </c>
      <c r="D19499" t="s">
        <v>11</v>
      </c>
      <c r="E19499" t="s">
        <v>12</v>
      </c>
      <c r="F19499">
        <v>101817616</v>
      </c>
      <c r="G19499">
        <v>101817710</v>
      </c>
      <c r="H19499">
        <v>101817616</v>
      </c>
      <c r="I19499">
        <v>101817710</v>
      </c>
    </row>
    <row r="19500" spans="1:9" x14ac:dyDescent="0.2">
      <c r="A19500" s="1" t="str">
        <f>"VIP"</f>
        <v>VIP</v>
      </c>
      <c r="B19500" t="s">
        <v>14</v>
      </c>
      <c r="C19500" t="s">
        <v>32</v>
      </c>
      <c r="D19500" t="s">
        <v>17</v>
      </c>
      <c r="E19500" t="s">
        <v>12</v>
      </c>
      <c r="F19500">
        <v>153071925</v>
      </c>
      <c r="G19500">
        <v>153071939</v>
      </c>
      <c r="H19500">
        <v>153071925</v>
      </c>
      <c r="I19500">
        <v>153071939</v>
      </c>
    </row>
    <row r="19501" spans="1:9" x14ac:dyDescent="0.2">
      <c r="A19501" s="1" t="str">
        <f>"VIPAS39"</f>
        <v>VIPAS39</v>
      </c>
      <c r="B19501" t="s">
        <v>14</v>
      </c>
      <c r="C19501" t="s">
        <v>41</v>
      </c>
      <c r="D19501" t="s">
        <v>11</v>
      </c>
      <c r="E19501" t="s">
        <v>12</v>
      </c>
      <c r="F19501">
        <v>77923897</v>
      </c>
      <c r="G19501">
        <v>77923953</v>
      </c>
      <c r="H19501">
        <v>77924341</v>
      </c>
      <c r="I19501">
        <v>77924361</v>
      </c>
    </row>
    <row r="19502" spans="1:9" x14ac:dyDescent="0.2">
      <c r="A19502" s="1" t="str">
        <f>"VIPR1"</f>
        <v>VIPR1</v>
      </c>
      <c r="B19502" t="s">
        <v>14</v>
      </c>
      <c r="C19502" t="s">
        <v>22</v>
      </c>
      <c r="D19502" t="s">
        <v>17</v>
      </c>
      <c r="E19502" t="s">
        <v>12</v>
      </c>
      <c r="F19502">
        <v>42544084</v>
      </c>
      <c r="G19502">
        <v>42544141</v>
      </c>
      <c r="H19502">
        <v>42543364</v>
      </c>
      <c r="I19502">
        <v>42543388</v>
      </c>
    </row>
    <row r="19503" spans="1:9" x14ac:dyDescent="0.2">
      <c r="A19503" s="1" t="str">
        <f>"VIPR2"</f>
        <v>VIPR2</v>
      </c>
      <c r="B19503" t="s">
        <v>14</v>
      </c>
      <c r="C19503" t="s">
        <v>33</v>
      </c>
      <c r="D19503" t="s">
        <v>11</v>
      </c>
      <c r="E19503" t="s">
        <v>12</v>
      </c>
      <c r="F19503">
        <v>158937551</v>
      </c>
      <c r="G19503">
        <v>158937569</v>
      </c>
      <c r="H19503">
        <v>158937633</v>
      </c>
      <c r="I19503">
        <v>158937652</v>
      </c>
    </row>
    <row r="19504" spans="1:9" x14ac:dyDescent="0.2">
      <c r="A19504" s="1" t="str">
        <f>"VIT"</f>
        <v>VIT</v>
      </c>
      <c r="B19504" t="s">
        <v>14</v>
      </c>
      <c r="C19504" t="s">
        <v>26</v>
      </c>
      <c r="D19504" t="s">
        <v>17</v>
      </c>
      <c r="E19504" t="s">
        <v>12</v>
      </c>
      <c r="F19504">
        <v>36923830</v>
      </c>
      <c r="G19504">
        <v>36923874</v>
      </c>
      <c r="H19504">
        <v>36923933</v>
      </c>
      <c r="I19504">
        <v>36923957</v>
      </c>
    </row>
    <row r="19505" spans="1:9" x14ac:dyDescent="0.2">
      <c r="A19505" s="1" t="str">
        <f>"VKORC1"</f>
        <v>VKORC1</v>
      </c>
      <c r="B19505" t="s">
        <v>14</v>
      </c>
      <c r="C19505" t="s">
        <v>31</v>
      </c>
      <c r="D19505" t="s">
        <v>11</v>
      </c>
      <c r="E19505" t="s">
        <v>12</v>
      </c>
      <c r="F19505">
        <v>31106048</v>
      </c>
      <c r="G19505">
        <v>31106124</v>
      </c>
      <c r="H19505">
        <v>31106211</v>
      </c>
      <c r="I19505">
        <v>31106315</v>
      </c>
    </row>
    <row r="19506" spans="1:9" x14ac:dyDescent="0.2">
      <c r="A19506" s="1" t="str">
        <f>"VKORC1L1"</f>
        <v>VKORC1L1</v>
      </c>
      <c r="B19506" t="s">
        <v>14</v>
      </c>
      <c r="C19506" t="s">
        <v>33</v>
      </c>
      <c r="D19506" t="s">
        <v>17</v>
      </c>
      <c r="E19506" t="s">
        <v>12</v>
      </c>
      <c r="F19506">
        <v>65338230</v>
      </c>
      <c r="G19506">
        <v>65338293</v>
      </c>
      <c r="H19506">
        <v>65338079</v>
      </c>
      <c r="I19506">
        <v>65338156</v>
      </c>
    </row>
    <row r="19507" spans="1:9" x14ac:dyDescent="0.2">
      <c r="A19507" s="1" t="str">
        <f>"VLDLR"</f>
        <v>VLDLR</v>
      </c>
      <c r="B19507" t="s">
        <v>14</v>
      </c>
      <c r="C19507" t="s">
        <v>24</v>
      </c>
      <c r="D19507" t="s">
        <v>17</v>
      </c>
      <c r="E19507" t="s">
        <v>12</v>
      </c>
      <c r="F19507">
        <v>2621767</v>
      </c>
      <c r="G19507">
        <v>2621797</v>
      </c>
      <c r="H19507">
        <v>2621767</v>
      </c>
      <c r="I19507">
        <v>2621797</v>
      </c>
    </row>
    <row r="19508" spans="1:9" x14ac:dyDescent="0.2">
      <c r="A19508" s="1" t="str">
        <f>"VMA21"</f>
        <v>VMA21</v>
      </c>
      <c r="B19508" t="s">
        <v>14</v>
      </c>
      <c r="C19508" t="s">
        <v>37</v>
      </c>
      <c r="D19508" t="s">
        <v>17</v>
      </c>
      <c r="E19508" t="s">
        <v>12</v>
      </c>
      <c r="F19508">
        <v>150565653</v>
      </c>
      <c r="G19508">
        <v>150565694</v>
      </c>
      <c r="H19508">
        <v>150565696</v>
      </c>
      <c r="I19508">
        <v>150565714</v>
      </c>
    </row>
    <row r="19509" spans="1:9" x14ac:dyDescent="0.2">
      <c r="A19509" s="1" t="str">
        <f>"VMAC"</f>
        <v>VMAC</v>
      </c>
      <c r="B19509" t="s">
        <v>14</v>
      </c>
      <c r="C19509" t="s">
        <v>10</v>
      </c>
      <c r="D19509" t="s">
        <v>17</v>
      </c>
      <c r="E19509" t="s">
        <v>12</v>
      </c>
      <c r="F19509">
        <v>5904866</v>
      </c>
      <c r="G19509">
        <v>5904896</v>
      </c>
      <c r="H19509">
        <v>5904704</v>
      </c>
      <c r="I19509">
        <v>5904731</v>
      </c>
    </row>
    <row r="19510" spans="1:9" x14ac:dyDescent="0.2">
      <c r="A19510" s="1" t="str">
        <f>"VMO1"</f>
        <v>VMO1</v>
      </c>
      <c r="B19510" t="s">
        <v>14</v>
      </c>
      <c r="C19510" t="s">
        <v>28</v>
      </c>
      <c r="D19510" t="s">
        <v>11</v>
      </c>
      <c r="E19510" t="s">
        <v>12</v>
      </c>
      <c r="F19510">
        <v>4689649</v>
      </c>
      <c r="G19510">
        <v>4689671</v>
      </c>
      <c r="H19510">
        <v>4689735</v>
      </c>
      <c r="I19510">
        <v>4689745</v>
      </c>
    </row>
    <row r="19511" spans="1:9" x14ac:dyDescent="0.2">
      <c r="A19511" s="1" t="str">
        <f>"VMP1"</f>
        <v>VMP1</v>
      </c>
      <c r="B19511" t="s">
        <v>14</v>
      </c>
      <c r="C19511" t="s">
        <v>28</v>
      </c>
      <c r="D19511" t="s">
        <v>17</v>
      </c>
      <c r="E19511" t="s">
        <v>12</v>
      </c>
      <c r="F19511">
        <v>57784997</v>
      </c>
      <c r="G19511">
        <v>57785081</v>
      </c>
      <c r="H19511">
        <v>57784869</v>
      </c>
      <c r="I19511">
        <v>57784883</v>
      </c>
    </row>
    <row r="19512" spans="1:9" x14ac:dyDescent="0.2">
      <c r="A19512" s="1" t="str">
        <f>"VN1R1"</f>
        <v>VN1R1</v>
      </c>
      <c r="B19512" t="s">
        <v>14</v>
      </c>
      <c r="C19512" t="s">
        <v>10</v>
      </c>
      <c r="D19512" t="s">
        <v>11</v>
      </c>
      <c r="E19512" t="s">
        <v>12</v>
      </c>
      <c r="F19512">
        <v>57967547</v>
      </c>
      <c r="G19512">
        <v>57967551</v>
      </c>
      <c r="H19512">
        <v>57967547</v>
      </c>
      <c r="I19512">
        <v>57967551</v>
      </c>
    </row>
    <row r="19513" spans="1:9" x14ac:dyDescent="0.2">
      <c r="A19513" s="1" t="str">
        <f>"VN1R2"</f>
        <v>VN1R2</v>
      </c>
      <c r="B19513" t="s">
        <v>1815</v>
      </c>
      <c r="C19513" t="s">
        <v>10</v>
      </c>
      <c r="D19513" t="s">
        <v>17</v>
      </c>
      <c r="E19513" t="s">
        <v>20</v>
      </c>
      <c r="F19513">
        <v>53761544</v>
      </c>
      <c r="G19513">
        <v>53761544</v>
      </c>
      <c r="H19513">
        <v>53761544</v>
      </c>
      <c r="I19513">
        <v>53761544</v>
      </c>
    </row>
    <row r="19514" spans="1:9" x14ac:dyDescent="0.2">
      <c r="A19514" s="1" t="str">
        <f>"VN1R4"</f>
        <v>VN1R4</v>
      </c>
      <c r="B19514" t="s">
        <v>1816</v>
      </c>
      <c r="C19514" t="s">
        <v>10</v>
      </c>
      <c r="D19514" t="s">
        <v>11</v>
      </c>
      <c r="E19514" t="s">
        <v>20</v>
      </c>
      <c r="F19514">
        <v>53770971</v>
      </c>
      <c r="G19514">
        <v>53770971</v>
      </c>
      <c r="H19514">
        <v>53770971</v>
      </c>
      <c r="I19514">
        <v>53770971</v>
      </c>
    </row>
    <row r="19515" spans="1:9" x14ac:dyDescent="0.2">
      <c r="A19515" s="1" t="str">
        <f>"VNN1"</f>
        <v>VNN1</v>
      </c>
      <c r="B19515" t="s">
        <v>9</v>
      </c>
      <c r="C19515" t="s">
        <v>32</v>
      </c>
      <c r="D19515" t="s">
        <v>11</v>
      </c>
      <c r="E19515" t="s">
        <v>12</v>
      </c>
      <c r="F19515">
        <v>133035185</v>
      </c>
      <c r="G19515">
        <v>133035201</v>
      </c>
      <c r="H19515">
        <v>133035185</v>
      </c>
      <c r="I19515">
        <v>133035201</v>
      </c>
    </row>
    <row r="19516" spans="1:9" x14ac:dyDescent="0.2">
      <c r="A19516" s="1" t="str">
        <f>"VNN1"</f>
        <v>VNN1</v>
      </c>
      <c r="B19516" t="s">
        <v>13</v>
      </c>
      <c r="C19516" t="s">
        <v>32</v>
      </c>
      <c r="D19516" t="s">
        <v>11</v>
      </c>
      <c r="E19516" t="s">
        <v>12</v>
      </c>
      <c r="F19516">
        <v>133008504</v>
      </c>
      <c r="G19516">
        <v>133008532</v>
      </c>
      <c r="H19516">
        <v>133008504</v>
      </c>
      <c r="I19516">
        <v>133008532</v>
      </c>
    </row>
    <row r="19517" spans="1:9" x14ac:dyDescent="0.2">
      <c r="A19517" s="1" t="str">
        <f>"VNN2"</f>
        <v>VNN2</v>
      </c>
      <c r="B19517" t="s">
        <v>9</v>
      </c>
      <c r="C19517" t="s">
        <v>32</v>
      </c>
      <c r="D19517" t="s">
        <v>11</v>
      </c>
      <c r="E19517" t="s">
        <v>12</v>
      </c>
      <c r="F19517">
        <v>133079035</v>
      </c>
      <c r="G19517">
        <v>133079050</v>
      </c>
      <c r="H19517">
        <v>133079035</v>
      </c>
      <c r="I19517">
        <v>133079050</v>
      </c>
    </row>
    <row r="19518" spans="1:9" x14ac:dyDescent="0.2">
      <c r="A19518" s="1" t="str">
        <f>"VNN2"</f>
        <v>VNN2</v>
      </c>
      <c r="B19518" t="s">
        <v>13</v>
      </c>
      <c r="C19518" t="s">
        <v>32</v>
      </c>
      <c r="D19518" t="s">
        <v>11</v>
      </c>
      <c r="E19518" t="s">
        <v>12</v>
      </c>
      <c r="F19518">
        <v>133084580</v>
      </c>
      <c r="G19518">
        <v>133084605</v>
      </c>
      <c r="H19518">
        <v>133084580</v>
      </c>
      <c r="I19518">
        <v>133084605</v>
      </c>
    </row>
    <row r="19519" spans="1:9" x14ac:dyDescent="0.2">
      <c r="A19519" s="1" t="str">
        <f>"VOPP1"</f>
        <v>VOPP1</v>
      </c>
      <c r="B19519" t="s">
        <v>14</v>
      </c>
      <c r="C19519" t="s">
        <v>33</v>
      </c>
      <c r="D19519" t="s">
        <v>11</v>
      </c>
      <c r="E19519" t="s">
        <v>12</v>
      </c>
      <c r="F19519">
        <v>55640176</v>
      </c>
      <c r="G19519">
        <v>55640228</v>
      </c>
      <c r="H19519">
        <v>55640141</v>
      </c>
      <c r="I19519">
        <v>55640161</v>
      </c>
    </row>
    <row r="19520" spans="1:9" x14ac:dyDescent="0.2">
      <c r="A19520" s="1" t="str">
        <f>"VPRBP"</f>
        <v>VPRBP</v>
      </c>
      <c r="B19520" t="s">
        <v>14</v>
      </c>
      <c r="C19520" t="s">
        <v>22</v>
      </c>
      <c r="D19520" t="s">
        <v>11</v>
      </c>
      <c r="E19520" t="s">
        <v>12</v>
      </c>
      <c r="F19520">
        <v>51533966</v>
      </c>
      <c r="G19520">
        <v>51534038</v>
      </c>
      <c r="H19520">
        <v>51534043</v>
      </c>
      <c r="I19520">
        <v>51534055</v>
      </c>
    </row>
    <row r="19521" spans="1:9" x14ac:dyDescent="0.2">
      <c r="A19521" s="1" t="str">
        <f>"VPREB1"</f>
        <v>VPREB1</v>
      </c>
      <c r="B19521" t="s">
        <v>14</v>
      </c>
      <c r="C19521" t="s">
        <v>21</v>
      </c>
      <c r="D19521" t="s">
        <v>17</v>
      </c>
      <c r="E19521" t="s">
        <v>12</v>
      </c>
      <c r="F19521">
        <v>22599189</v>
      </c>
      <c r="G19521">
        <v>22599212</v>
      </c>
      <c r="H19521">
        <v>22599180</v>
      </c>
      <c r="I19521">
        <v>22599185</v>
      </c>
    </row>
    <row r="19522" spans="1:9" x14ac:dyDescent="0.2">
      <c r="A19522" s="1" t="str">
        <f>"VPREB3"</f>
        <v>VPREB3</v>
      </c>
      <c r="B19522" t="s">
        <v>14</v>
      </c>
      <c r="C19522" t="s">
        <v>21</v>
      </c>
      <c r="D19522" t="s">
        <v>11</v>
      </c>
      <c r="E19522" t="s">
        <v>12</v>
      </c>
      <c r="F19522">
        <v>24096562</v>
      </c>
      <c r="G19522">
        <v>24096619</v>
      </c>
      <c r="H19522">
        <v>24096630</v>
      </c>
      <c r="I19522">
        <v>24096641</v>
      </c>
    </row>
    <row r="19523" spans="1:9" x14ac:dyDescent="0.2">
      <c r="A19523" s="1" t="str">
        <f>"VPS11"</f>
        <v>VPS11</v>
      </c>
      <c r="B19523" t="s">
        <v>14</v>
      </c>
      <c r="C19523" t="s">
        <v>27</v>
      </c>
      <c r="D19523" t="s">
        <v>17</v>
      </c>
      <c r="E19523" t="s">
        <v>12</v>
      </c>
      <c r="F19523">
        <v>118938485</v>
      </c>
      <c r="G19523">
        <v>118938540</v>
      </c>
      <c r="H19523">
        <v>118938615</v>
      </c>
      <c r="I19523">
        <v>118938656</v>
      </c>
    </row>
    <row r="19524" spans="1:9" x14ac:dyDescent="0.2">
      <c r="A19524" s="1" t="str">
        <f>"VPS13A"</f>
        <v>VPS13A</v>
      </c>
      <c r="B19524" t="s">
        <v>14</v>
      </c>
      <c r="C19524" t="s">
        <v>24</v>
      </c>
      <c r="D19524" t="s">
        <v>17</v>
      </c>
      <c r="E19524" t="s">
        <v>12</v>
      </c>
      <c r="F19524">
        <v>79792410</v>
      </c>
      <c r="G19524">
        <v>79792491</v>
      </c>
      <c r="H19524">
        <v>79792493</v>
      </c>
      <c r="I19524">
        <v>79792515</v>
      </c>
    </row>
    <row r="19525" spans="1:9" x14ac:dyDescent="0.2">
      <c r="A19525" s="1" t="str">
        <f>"VPS13B"</f>
        <v>VPS13B</v>
      </c>
      <c r="B19525" t="s">
        <v>14</v>
      </c>
      <c r="C19525" t="s">
        <v>30</v>
      </c>
      <c r="D19525" t="s">
        <v>17</v>
      </c>
      <c r="E19525" t="s">
        <v>12</v>
      </c>
      <c r="F19525">
        <v>100025476</v>
      </c>
      <c r="G19525">
        <v>100025548</v>
      </c>
      <c r="H19525">
        <v>100025476</v>
      </c>
      <c r="I19525">
        <v>100025548</v>
      </c>
    </row>
    <row r="19526" spans="1:9" x14ac:dyDescent="0.2">
      <c r="A19526" s="1" t="str">
        <f>"VPS13C"</f>
        <v>VPS13C</v>
      </c>
      <c r="B19526" t="s">
        <v>14</v>
      </c>
      <c r="C19526" t="s">
        <v>25</v>
      </c>
      <c r="D19526" t="s">
        <v>11</v>
      </c>
      <c r="E19526" t="s">
        <v>12</v>
      </c>
      <c r="F19526">
        <v>62352570</v>
      </c>
      <c r="G19526">
        <v>62352658</v>
      </c>
      <c r="H19526">
        <v>62352659</v>
      </c>
      <c r="I19526">
        <v>62352672</v>
      </c>
    </row>
    <row r="19527" spans="1:9" x14ac:dyDescent="0.2">
      <c r="A19527" s="1" t="str">
        <f>"VPS13D"</f>
        <v>VPS13D</v>
      </c>
      <c r="B19527" t="s">
        <v>14</v>
      </c>
      <c r="C19527" t="s">
        <v>19</v>
      </c>
      <c r="D19527" t="s">
        <v>17</v>
      </c>
      <c r="E19527" t="s">
        <v>12</v>
      </c>
      <c r="F19527">
        <v>12290063</v>
      </c>
      <c r="G19527">
        <v>12290118</v>
      </c>
      <c r="H19527">
        <v>12290121</v>
      </c>
      <c r="I19527">
        <v>12290141</v>
      </c>
    </row>
    <row r="19528" spans="1:9" x14ac:dyDescent="0.2">
      <c r="A19528" s="1" t="str">
        <f>"VPS16"</f>
        <v>VPS16</v>
      </c>
      <c r="B19528" t="s">
        <v>14</v>
      </c>
      <c r="C19528" t="s">
        <v>29</v>
      </c>
      <c r="D19528" t="s">
        <v>17</v>
      </c>
      <c r="E19528" t="s">
        <v>12</v>
      </c>
      <c r="F19528">
        <v>2821366</v>
      </c>
      <c r="G19528">
        <v>2821410</v>
      </c>
      <c r="H19528">
        <v>2821340</v>
      </c>
      <c r="I19528">
        <v>2821365</v>
      </c>
    </row>
    <row r="19529" spans="1:9" x14ac:dyDescent="0.2">
      <c r="A19529" s="1" t="str">
        <f>"VPS18"</f>
        <v>VPS18</v>
      </c>
      <c r="B19529" t="s">
        <v>14</v>
      </c>
      <c r="C19529" t="s">
        <v>25</v>
      </c>
      <c r="D19529" t="s">
        <v>17</v>
      </c>
      <c r="E19529" t="s">
        <v>12</v>
      </c>
      <c r="F19529">
        <v>41186637</v>
      </c>
      <c r="G19529">
        <v>41186686</v>
      </c>
      <c r="H19529">
        <v>41186609</v>
      </c>
      <c r="I19529">
        <v>41186636</v>
      </c>
    </row>
    <row r="19530" spans="1:9" x14ac:dyDescent="0.2">
      <c r="A19530" s="1" t="str">
        <f>"VPS25"</f>
        <v>VPS25</v>
      </c>
      <c r="B19530" t="s">
        <v>14</v>
      </c>
      <c r="C19530" t="s">
        <v>28</v>
      </c>
      <c r="D19530" t="s">
        <v>17</v>
      </c>
      <c r="E19530" t="s">
        <v>12</v>
      </c>
      <c r="F19530">
        <v>40925460</v>
      </c>
      <c r="G19530">
        <v>40925496</v>
      </c>
      <c r="H19530">
        <v>40925460</v>
      </c>
      <c r="I19530">
        <v>40925496</v>
      </c>
    </row>
    <row r="19531" spans="1:9" x14ac:dyDescent="0.2">
      <c r="A19531" s="1" t="str">
        <f>"VPS26A"</f>
        <v>VPS26A</v>
      </c>
      <c r="B19531" t="s">
        <v>14</v>
      </c>
      <c r="C19531" t="s">
        <v>15</v>
      </c>
      <c r="D19531" t="s">
        <v>17</v>
      </c>
      <c r="E19531" t="s">
        <v>12</v>
      </c>
      <c r="F19531">
        <v>70883923</v>
      </c>
      <c r="G19531">
        <v>70883997</v>
      </c>
      <c r="H19531">
        <v>70883813</v>
      </c>
      <c r="I19531">
        <v>70883833</v>
      </c>
    </row>
    <row r="19532" spans="1:9" x14ac:dyDescent="0.2">
      <c r="A19532" s="1" t="str">
        <f>"VPS26B"</f>
        <v>VPS26B</v>
      </c>
      <c r="B19532" t="s">
        <v>14</v>
      </c>
      <c r="C19532" t="s">
        <v>27</v>
      </c>
      <c r="D19532" t="s">
        <v>17</v>
      </c>
      <c r="E19532" t="s">
        <v>12</v>
      </c>
      <c r="F19532">
        <v>134094508</v>
      </c>
      <c r="G19532">
        <v>134094617</v>
      </c>
      <c r="H19532">
        <v>134094823</v>
      </c>
      <c r="I19532">
        <v>134094901</v>
      </c>
    </row>
    <row r="19533" spans="1:9" x14ac:dyDescent="0.2">
      <c r="A19533" s="1" t="str">
        <f>"VPS28"</f>
        <v>VPS28</v>
      </c>
      <c r="B19533" t="s">
        <v>14</v>
      </c>
      <c r="C19533" t="s">
        <v>30</v>
      </c>
      <c r="D19533" t="s">
        <v>11</v>
      </c>
      <c r="E19533" t="s">
        <v>12</v>
      </c>
      <c r="F19533">
        <v>145653885</v>
      </c>
      <c r="G19533">
        <v>145653937</v>
      </c>
      <c r="H19533">
        <v>145653885</v>
      </c>
      <c r="I19533">
        <v>145653937</v>
      </c>
    </row>
    <row r="19534" spans="1:9" x14ac:dyDescent="0.2">
      <c r="A19534" s="1" t="str">
        <f>"VPS29"</f>
        <v>VPS29</v>
      </c>
      <c r="B19534" t="s">
        <v>14</v>
      </c>
      <c r="C19534" t="s">
        <v>16</v>
      </c>
      <c r="D19534" t="s">
        <v>11</v>
      </c>
      <c r="E19534" t="s">
        <v>12</v>
      </c>
      <c r="F19534">
        <v>110939870</v>
      </c>
      <c r="G19534">
        <v>110939937</v>
      </c>
      <c r="H19534">
        <v>110939870</v>
      </c>
      <c r="I19534">
        <v>110939937</v>
      </c>
    </row>
    <row r="19535" spans="1:9" x14ac:dyDescent="0.2">
      <c r="A19535" s="1" t="str">
        <f>"VPS33A"</f>
        <v>VPS33A</v>
      </c>
      <c r="B19535" t="s">
        <v>14</v>
      </c>
      <c r="C19535" t="s">
        <v>16</v>
      </c>
      <c r="D19535" t="s">
        <v>11</v>
      </c>
      <c r="E19535" t="s">
        <v>12</v>
      </c>
      <c r="F19535">
        <v>122751002</v>
      </c>
      <c r="G19535">
        <v>122751048</v>
      </c>
      <c r="H19535">
        <v>122750957</v>
      </c>
      <c r="I19535">
        <v>122751001</v>
      </c>
    </row>
    <row r="19536" spans="1:9" x14ac:dyDescent="0.2">
      <c r="A19536" s="1" t="str">
        <f>"VPS33B"</f>
        <v>VPS33B</v>
      </c>
      <c r="B19536" t="s">
        <v>14</v>
      </c>
      <c r="C19536" t="s">
        <v>25</v>
      </c>
      <c r="D19536" t="s">
        <v>11</v>
      </c>
      <c r="E19536" t="s">
        <v>12</v>
      </c>
      <c r="F19536">
        <v>91565770</v>
      </c>
      <c r="G19536">
        <v>91565840</v>
      </c>
      <c r="H19536">
        <v>91565751</v>
      </c>
      <c r="I19536">
        <v>91565764</v>
      </c>
    </row>
    <row r="19537" spans="1:9" x14ac:dyDescent="0.2">
      <c r="A19537" s="1" t="str">
        <f>"VPS35"</f>
        <v>VPS35</v>
      </c>
      <c r="B19537" t="s">
        <v>14</v>
      </c>
      <c r="C19537" t="s">
        <v>31</v>
      </c>
      <c r="D19537" t="s">
        <v>11</v>
      </c>
      <c r="E19537" t="s">
        <v>12</v>
      </c>
      <c r="F19537">
        <v>46723066</v>
      </c>
      <c r="G19537">
        <v>46723121</v>
      </c>
      <c r="H19537">
        <v>46723424</v>
      </c>
      <c r="I19537">
        <v>46723445</v>
      </c>
    </row>
    <row r="19538" spans="1:9" x14ac:dyDescent="0.2">
      <c r="A19538" s="1" t="str">
        <f>"VPS36"</f>
        <v>VPS36</v>
      </c>
      <c r="B19538" t="s">
        <v>14</v>
      </c>
      <c r="C19538" t="s">
        <v>39</v>
      </c>
      <c r="D19538" t="s">
        <v>11</v>
      </c>
      <c r="E19538" t="s">
        <v>12</v>
      </c>
      <c r="F19538">
        <v>53024725</v>
      </c>
      <c r="G19538">
        <v>53024809</v>
      </c>
      <c r="H19538">
        <v>53024331</v>
      </c>
      <c r="I19538">
        <v>53024360</v>
      </c>
    </row>
    <row r="19539" spans="1:9" x14ac:dyDescent="0.2">
      <c r="A19539" s="1" t="str">
        <f>"VPS37A"</f>
        <v>VPS37A</v>
      </c>
      <c r="B19539" t="s">
        <v>14</v>
      </c>
      <c r="C19539" t="s">
        <v>30</v>
      </c>
      <c r="D19539" t="s">
        <v>17</v>
      </c>
      <c r="E19539" t="s">
        <v>12</v>
      </c>
      <c r="F19539">
        <v>17104430</v>
      </c>
      <c r="G19539">
        <v>17104501</v>
      </c>
      <c r="H19539">
        <v>17104539</v>
      </c>
      <c r="I19539">
        <v>17104556</v>
      </c>
    </row>
    <row r="19540" spans="1:9" x14ac:dyDescent="0.2">
      <c r="A19540" s="1" t="str">
        <f>"VPS37B"</f>
        <v>VPS37B</v>
      </c>
      <c r="B19540" t="s">
        <v>14</v>
      </c>
      <c r="C19540" t="s">
        <v>16</v>
      </c>
      <c r="D19540" t="s">
        <v>11</v>
      </c>
      <c r="E19540" t="s">
        <v>12</v>
      </c>
      <c r="F19540">
        <v>123380610</v>
      </c>
      <c r="G19540">
        <v>123380692</v>
      </c>
      <c r="H19540">
        <v>123380610</v>
      </c>
      <c r="I19540">
        <v>123380692</v>
      </c>
    </row>
    <row r="19541" spans="1:9" x14ac:dyDescent="0.2">
      <c r="A19541" s="1" t="str">
        <f>"VPS37C"</f>
        <v>VPS37C</v>
      </c>
      <c r="B19541" t="s">
        <v>14</v>
      </c>
      <c r="C19541" t="s">
        <v>27</v>
      </c>
      <c r="D19541" t="s">
        <v>11</v>
      </c>
      <c r="E19541" t="s">
        <v>12</v>
      </c>
      <c r="F19541">
        <v>60928885</v>
      </c>
      <c r="G19541">
        <v>60928945</v>
      </c>
      <c r="H19541">
        <v>60929074</v>
      </c>
      <c r="I19541">
        <v>60929172</v>
      </c>
    </row>
    <row r="19542" spans="1:9" x14ac:dyDescent="0.2">
      <c r="A19542" s="1" t="str">
        <f>"VPS37D"</f>
        <v>VPS37D</v>
      </c>
      <c r="B19542" t="s">
        <v>14</v>
      </c>
      <c r="C19542" t="s">
        <v>33</v>
      </c>
      <c r="D19542" t="s">
        <v>17</v>
      </c>
      <c r="E19542" t="s">
        <v>12</v>
      </c>
      <c r="F19542">
        <v>73082209</v>
      </c>
      <c r="G19542">
        <v>73082263</v>
      </c>
      <c r="H19542">
        <v>73082152</v>
      </c>
      <c r="I19542">
        <v>73082170</v>
      </c>
    </row>
    <row r="19543" spans="1:9" x14ac:dyDescent="0.2">
      <c r="A19543" s="1" t="str">
        <f>"VPS39"</f>
        <v>VPS39</v>
      </c>
      <c r="B19543" t="s">
        <v>14</v>
      </c>
      <c r="C19543" t="s">
        <v>25</v>
      </c>
      <c r="D19543" t="s">
        <v>11</v>
      </c>
      <c r="E19543" t="s">
        <v>12</v>
      </c>
      <c r="F19543">
        <v>42500475</v>
      </c>
      <c r="G19543">
        <v>42500523</v>
      </c>
      <c r="H19543">
        <v>42500475</v>
      </c>
      <c r="I19543">
        <v>42500523</v>
      </c>
    </row>
    <row r="19544" spans="1:9" x14ac:dyDescent="0.2">
      <c r="A19544" s="1" t="str">
        <f>"VPS41"</f>
        <v>VPS41</v>
      </c>
      <c r="B19544" t="s">
        <v>9</v>
      </c>
      <c r="C19544" t="s">
        <v>33</v>
      </c>
      <c r="D19544" t="s">
        <v>11</v>
      </c>
      <c r="E19544" t="s">
        <v>12</v>
      </c>
      <c r="F19544">
        <v>38948780</v>
      </c>
      <c r="G19544">
        <v>38948805</v>
      </c>
      <c r="H19544">
        <v>38948780</v>
      </c>
      <c r="I19544">
        <v>38948805</v>
      </c>
    </row>
    <row r="19545" spans="1:9" x14ac:dyDescent="0.2">
      <c r="A19545" s="1" t="str">
        <f>"VPS41"</f>
        <v>VPS41</v>
      </c>
      <c r="B19545" t="s">
        <v>13</v>
      </c>
      <c r="C19545" t="s">
        <v>33</v>
      </c>
      <c r="D19545" t="s">
        <v>11</v>
      </c>
      <c r="E19545" t="s">
        <v>12</v>
      </c>
      <c r="F19545">
        <v>38969150</v>
      </c>
      <c r="G19545">
        <v>38969169</v>
      </c>
      <c r="H19545">
        <v>38969150</v>
      </c>
      <c r="I19545">
        <v>38969169</v>
      </c>
    </row>
    <row r="19546" spans="1:9" x14ac:dyDescent="0.2">
      <c r="A19546" s="1" t="str">
        <f>"VPS45"</f>
        <v>VPS45</v>
      </c>
      <c r="B19546" t="s">
        <v>14</v>
      </c>
      <c r="C19546" t="s">
        <v>19</v>
      </c>
      <c r="D19546" t="s">
        <v>17</v>
      </c>
      <c r="E19546" t="s">
        <v>12</v>
      </c>
      <c r="F19546">
        <v>150039787</v>
      </c>
      <c r="G19546">
        <v>150039873</v>
      </c>
      <c r="H19546">
        <v>150039877</v>
      </c>
      <c r="I19546">
        <v>150039923</v>
      </c>
    </row>
    <row r="19547" spans="1:9" x14ac:dyDescent="0.2">
      <c r="A19547" s="1" t="str">
        <f>"VPS4A"</f>
        <v>VPS4A</v>
      </c>
      <c r="B19547" t="s">
        <v>14</v>
      </c>
      <c r="C19547" t="s">
        <v>31</v>
      </c>
      <c r="D19547" t="s">
        <v>17</v>
      </c>
      <c r="E19547" t="s">
        <v>12</v>
      </c>
      <c r="F19547">
        <v>69345243</v>
      </c>
      <c r="G19547">
        <v>69345312</v>
      </c>
      <c r="H19547">
        <v>69345220</v>
      </c>
      <c r="I19547">
        <v>69345231</v>
      </c>
    </row>
    <row r="19548" spans="1:9" x14ac:dyDescent="0.2">
      <c r="A19548" s="1" t="str">
        <f>"VPS4B"</f>
        <v>VPS4B</v>
      </c>
      <c r="B19548" t="s">
        <v>14</v>
      </c>
      <c r="C19548" t="s">
        <v>43</v>
      </c>
      <c r="D19548" t="s">
        <v>11</v>
      </c>
      <c r="E19548" t="s">
        <v>12</v>
      </c>
      <c r="F19548">
        <v>61089665</v>
      </c>
      <c r="G19548">
        <v>61089733</v>
      </c>
      <c r="H19548">
        <v>61089628</v>
      </c>
      <c r="I19548">
        <v>61089664</v>
      </c>
    </row>
    <row r="19549" spans="1:9" x14ac:dyDescent="0.2">
      <c r="A19549" s="1" t="str">
        <f>"VPS51"</f>
        <v>VPS51</v>
      </c>
      <c r="B19549" t="s">
        <v>14</v>
      </c>
      <c r="C19549" t="s">
        <v>27</v>
      </c>
      <c r="D19549" t="s">
        <v>17</v>
      </c>
      <c r="E19549" t="s">
        <v>12</v>
      </c>
      <c r="F19549">
        <v>64863673</v>
      </c>
      <c r="G19549">
        <v>64863718</v>
      </c>
      <c r="H19549">
        <v>64863673</v>
      </c>
      <c r="I19549">
        <v>64863718</v>
      </c>
    </row>
    <row r="19550" spans="1:9" x14ac:dyDescent="0.2">
      <c r="A19550" s="1" t="str">
        <f>"VPS52"</f>
        <v>VPS52</v>
      </c>
      <c r="B19550" t="s">
        <v>14</v>
      </c>
      <c r="C19550" t="s">
        <v>32</v>
      </c>
      <c r="D19550" t="s">
        <v>11</v>
      </c>
      <c r="E19550" t="s">
        <v>12</v>
      </c>
      <c r="F19550">
        <v>33239612</v>
      </c>
      <c r="G19550">
        <v>33239684</v>
      </c>
      <c r="H19550">
        <v>33239434</v>
      </c>
      <c r="I19550">
        <v>33239484</v>
      </c>
    </row>
    <row r="19551" spans="1:9" x14ac:dyDescent="0.2">
      <c r="A19551" s="1" t="str">
        <f>"VPS53"</f>
        <v>VPS53</v>
      </c>
      <c r="B19551" t="s">
        <v>14</v>
      </c>
      <c r="C19551" t="s">
        <v>28</v>
      </c>
      <c r="D19551" t="s">
        <v>11</v>
      </c>
      <c r="E19551" t="s">
        <v>12</v>
      </c>
      <c r="F19551">
        <v>618043</v>
      </c>
      <c r="G19551">
        <v>618107</v>
      </c>
      <c r="H19551">
        <v>618043</v>
      </c>
      <c r="I19551">
        <v>618107</v>
      </c>
    </row>
    <row r="19552" spans="1:9" x14ac:dyDescent="0.2">
      <c r="A19552" s="1" t="str">
        <f>"VPS54"</f>
        <v>VPS54</v>
      </c>
      <c r="B19552" t="s">
        <v>14</v>
      </c>
      <c r="C19552" t="s">
        <v>26</v>
      </c>
      <c r="D19552" t="s">
        <v>11</v>
      </c>
      <c r="E19552" t="s">
        <v>12</v>
      </c>
      <c r="F19552">
        <v>64246489</v>
      </c>
      <c r="G19552">
        <v>64246579</v>
      </c>
      <c r="H19552">
        <v>64246638</v>
      </c>
      <c r="I19552">
        <v>64246688</v>
      </c>
    </row>
    <row r="19553" spans="1:9" x14ac:dyDescent="0.2">
      <c r="A19553" s="1" t="str">
        <f>"VPS72"</f>
        <v>VPS72</v>
      </c>
      <c r="B19553" t="s">
        <v>14</v>
      </c>
      <c r="C19553" t="s">
        <v>19</v>
      </c>
      <c r="D19553" t="s">
        <v>11</v>
      </c>
      <c r="E19553" t="s">
        <v>12</v>
      </c>
      <c r="F19553">
        <v>151162606</v>
      </c>
      <c r="G19553">
        <v>151162682</v>
      </c>
      <c r="H19553">
        <v>151162606</v>
      </c>
      <c r="I19553">
        <v>151162682</v>
      </c>
    </row>
    <row r="19554" spans="1:9" x14ac:dyDescent="0.2">
      <c r="A19554" s="1" t="str">
        <f>"VPS8"</f>
        <v>VPS8</v>
      </c>
      <c r="B19554" t="s">
        <v>14</v>
      </c>
      <c r="C19554" t="s">
        <v>22</v>
      </c>
      <c r="D19554" t="s">
        <v>17</v>
      </c>
      <c r="E19554" t="s">
        <v>12</v>
      </c>
      <c r="F19554">
        <v>184529948</v>
      </c>
      <c r="G19554">
        <v>184529990</v>
      </c>
      <c r="H19554">
        <v>184529929</v>
      </c>
      <c r="I19554">
        <v>184529944</v>
      </c>
    </row>
    <row r="19555" spans="1:9" x14ac:dyDescent="0.2">
      <c r="A19555" s="1" t="str">
        <f>"VPS9D1"</f>
        <v>VPS9D1</v>
      </c>
      <c r="B19555" t="s">
        <v>14</v>
      </c>
      <c r="C19555" t="s">
        <v>31</v>
      </c>
      <c r="D19555" t="s">
        <v>11</v>
      </c>
      <c r="E19555" t="s">
        <v>12</v>
      </c>
      <c r="F19555">
        <v>89787269</v>
      </c>
      <c r="G19555">
        <v>89787359</v>
      </c>
      <c r="H19555">
        <v>89787269</v>
      </c>
      <c r="I19555">
        <v>89787359</v>
      </c>
    </row>
    <row r="19556" spans="1:9" x14ac:dyDescent="0.2">
      <c r="A19556" s="1" t="str">
        <f>"VRK1"</f>
        <v>VRK1</v>
      </c>
      <c r="B19556" t="s">
        <v>14</v>
      </c>
      <c r="C19556" t="s">
        <v>41</v>
      </c>
      <c r="D19556" t="s">
        <v>17</v>
      </c>
      <c r="E19556" t="s">
        <v>12</v>
      </c>
      <c r="F19556">
        <v>97263676</v>
      </c>
      <c r="G19556">
        <v>97263764</v>
      </c>
      <c r="H19556">
        <v>97263676</v>
      </c>
      <c r="I19556">
        <v>97263764</v>
      </c>
    </row>
    <row r="19557" spans="1:9" x14ac:dyDescent="0.2">
      <c r="A19557" s="1" t="str">
        <f>"VRK2"</f>
        <v>VRK2</v>
      </c>
      <c r="B19557" t="s">
        <v>14</v>
      </c>
      <c r="C19557" t="s">
        <v>26</v>
      </c>
      <c r="D19557" t="s">
        <v>17</v>
      </c>
      <c r="E19557" t="s">
        <v>12</v>
      </c>
      <c r="F19557">
        <v>58273913</v>
      </c>
      <c r="G19557">
        <v>58273975</v>
      </c>
      <c r="H19557">
        <v>58273760</v>
      </c>
      <c r="I19557">
        <v>58273846</v>
      </c>
    </row>
    <row r="19558" spans="1:9" x14ac:dyDescent="0.2">
      <c r="A19558" s="1" t="str">
        <f>"VRK3"</f>
        <v>VRK3</v>
      </c>
      <c r="B19558" t="s">
        <v>14</v>
      </c>
      <c r="C19558" t="s">
        <v>10</v>
      </c>
      <c r="D19558" t="s">
        <v>11</v>
      </c>
      <c r="E19558" t="s">
        <v>12</v>
      </c>
      <c r="F19558">
        <v>50528616</v>
      </c>
      <c r="G19558">
        <v>50528670</v>
      </c>
      <c r="H19558">
        <v>50528597</v>
      </c>
      <c r="I19558">
        <v>50528611</v>
      </c>
    </row>
    <row r="19559" spans="1:9" x14ac:dyDescent="0.2">
      <c r="A19559" s="1" t="str">
        <f>"VRTN"</f>
        <v>VRTN</v>
      </c>
      <c r="B19559" t="s">
        <v>14</v>
      </c>
      <c r="C19559" t="s">
        <v>41</v>
      </c>
      <c r="D19559" t="s">
        <v>17</v>
      </c>
      <c r="E19559" t="s">
        <v>12</v>
      </c>
      <c r="F19559">
        <v>74815145</v>
      </c>
      <c r="G19559">
        <v>74815202</v>
      </c>
      <c r="H19559">
        <v>74815204</v>
      </c>
      <c r="I19559">
        <v>74815217</v>
      </c>
    </row>
    <row r="19560" spans="1:9" x14ac:dyDescent="0.2">
      <c r="A19560" s="1" t="str">
        <f>"VSIG1"</f>
        <v>VSIG1</v>
      </c>
      <c r="B19560" t="s">
        <v>14</v>
      </c>
      <c r="C19560" t="s">
        <v>37</v>
      </c>
      <c r="D19560" t="s">
        <v>17</v>
      </c>
      <c r="E19560" t="s">
        <v>12</v>
      </c>
      <c r="F19560">
        <v>107288280</v>
      </c>
      <c r="G19560">
        <v>107288317</v>
      </c>
      <c r="H19560">
        <v>107288197</v>
      </c>
      <c r="I19560">
        <v>107288212</v>
      </c>
    </row>
    <row r="19561" spans="1:9" x14ac:dyDescent="0.2">
      <c r="A19561" s="1" t="str">
        <f>"VSIG10"</f>
        <v>VSIG10</v>
      </c>
      <c r="B19561" t="s">
        <v>14</v>
      </c>
      <c r="C19561" t="s">
        <v>16</v>
      </c>
      <c r="D19561" t="s">
        <v>11</v>
      </c>
      <c r="E19561" t="s">
        <v>12</v>
      </c>
      <c r="F19561">
        <v>118541803</v>
      </c>
      <c r="G19561">
        <v>118541847</v>
      </c>
      <c r="H19561">
        <v>118541803</v>
      </c>
      <c r="I19561">
        <v>118541847</v>
      </c>
    </row>
    <row r="19562" spans="1:9" x14ac:dyDescent="0.2">
      <c r="A19562" s="1" t="str">
        <f>"VSIG10L"</f>
        <v>VSIG10L</v>
      </c>
      <c r="B19562" t="s">
        <v>9</v>
      </c>
      <c r="C19562" t="s">
        <v>10</v>
      </c>
      <c r="D19562" t="s">
        <v>11</v>
      </c>
      <c r="E19562" t="s">
        <v>12</v>
      </c>
      <c r="F19562">
        <v>51845384</v>
      </c>
      <c r="G19562">
        <v>51845409</v>
      </c>
      <c r="H19562">
        <v>51845384</v>
      </c>
      <c r="I19562">
        <v>51845409</v>
      </c>
    </row>
    <row r="19563" spans="1:9" x14ac:dyDescent="0.2">
      <c r="A19563" s="1" t="str">
        <f>"VSIG10L"</f>
        <v>VSIG10L</v>
      </c>
      <c r="B19563" t="s">
        <v>13</v>
      </c>
      <c r="C19563" t="s">
        <v>10</v>
      </c>
      <c r="D19563" t="s">
        <v>11</v>
      </c>
      <c r="E19563" t="s">
        <v>12</v>
      </c>
      <c r="F19563">
        <v>51842998</v>
      </c>
      <c r="G19563">
        <v>51843039</v>
      </c>
      <c r="H19563">
        <v>51842998</v>
      </c>
      <c r="I19563">
        <v>51843039</v>
      </c>
    </row>
    <row r="19564" spans="1:9" x14ac:dyDescent="0.2">
      <c r="A19564" s="1" t="str">
        <f>"VSIG2"</f>
        <v>VSIG2</v>
      </c>
      <c r="B19564" t="s">
        <v>14</v>
      </c>
      <c r="C19564" t="s">
        <v>27</v>
      </c>
      <c r="D19564" t="s">
        <v>11</v>
      </c>
      <c r="E19564" t="s">
        <v>12</v>
      </c>
      <c r="F19564">
        <v>124622083</v>
      </c>
      <c r="G19564">
        <v>124622095</v>
      </c>
      <c r="H19564">
        <v>124622143</v>
      </c>
      <c r="I19564">
        <v>124622162</v>
      </c>
    </row>
    <row r="19565" spans="1:9" x14ac:dyDescent="0.2">
      <c r="A19565" s="1" t="str">
        <f>"VSIG4"</f>
        <v>VSIG4</v>
      </c>
      <c r="B19565" t="s">
        <v>14</v>
      </c>
      <c r="C19565" t="s">
        <v>37</v>
      </c>
      <c r="D19565" t="s">
        <v>11</v>
      </c>
      <c r="E19565" t="s">
        <v>12</v>
      </c>
      <c r="F19565">
        <v>65259914</v>
      </c>
      <c r="G19565">
        <v>65259937</v>
      </c>
      <c r="H19565">
        <v>65259884</v>
      </c>
      <c r="I19565">
        <v>65259896</v>
      </c>
    </row>
    <row r="19566" spans="1:9" x14ac:dyDescent="0.2">
      <c r="A19566" s="1" t="str">
        <f>"VSIG8"</f>
        <v>VSIG8</v>
      </c>
      <c r="B19566" t="s">
        <v>14</v>
      </c>
      <c r="C19566" t="s">
        <v>19</v>
      </c>
      <c r="D19566" t="s">
        <v>11</v>
      </c>
      <c r="E19566" t="s">
        <v>12</v>
      </c>
      <c r="F19566">
        <v>159832438</v>
      </c>
      <c r="G19566">
        <v>159832449</v>
      </c>
      <c r="H19566">
        <v>159832378</v>
      </c>
      <c r="I19566">
        <v>159832407</v>
      </c>
    </row>
    <row r="19567" spans="1:9" x14ac:dyDescent="0.2">
      <c r="A19567" s="1" t="str">
        <f>"VSNL1"</f>
        <v>VSNL1</v>
      </c>
      <c r="B19567" t="s">
        <v>14</v>
      </c>
      <c r="C19567" t="s">
        <v>26</v>
      </c>
      <c r="D19567" t="s">
        <v>17</v>
      </c>
      <c r="E19567" t="s">
        <v>12</v>
      </c>
      <c r="F19567">
        <v>17721937</v>
      </c>
      <c r="G19567">
        <v>17721990</v>
      </c>
      <c r="H19567">
        <v>17722000</v>
      </c>
      <c r="I19567">
        <v>17722011</v>
      </c>
    </row>
    <row r="19568" spans="1:9" x14ac:dyDescent="0.2">
      <c r="A19568" s="1" t="str">
        <f>"VSTM1"</f>
        <v>VSTM1</v>
      </c>
      <c r="B19568" t="s">
        <v>14</v>
      </c>
      <c r="C19568" t="s">
        <v>10</v>
      </c>
      <c r="D19568" t="s">
        <v>11</v>
      </c>
      <c r="E19568" t="s">
        <v>12</v>
      </c>
      <c r="F19568">
        <v>54567159</v>
      </c>
      <c r="G19568">
        <v>54567226</v>
      </c>
      <c r="H19568">
        <v>54567136</v>
      </c>
      <c r="I19568">
        <v>54567157</v>
      </c>
    </row>
    <row r="19569" spans="1:9" x14ac:dyDescent="0.2">
      <c r="A19569" s="1" t="str">
        <f>"VSTM2A"</f>
        <v>VSTM2A</v>
      </c>
      <c r="B19569" t="s">
        <v>14</v>
      </c>
      <c r="C19569" t="s">
        <v>33</v>
      </c>
      <c r="D19569" t="s">
        <v>17</v>
      </c>
      <c r="E19569" t="s">
        <v>12</v>
      </c>
      <c r="F19569">
        <v>54610124</v>
      </c>
      <c r="G19569">
        <v>54610198</v>
      </c>
      <c r="H19569">
        <v>54610086</v>
      </c>
      <c r="I19569">
        <v>54610123</v>
      </c>
    </row>
    <row r="19570" spans="1:9" x14ac:dyDescent="0.2">
      <c r="A19570" s="1" t="str">
        <f>"VSTM2B"</f>
        <v>VSTM2B</v>
      </c>
      <c r="B19570" t="s">
        <v>14</v>
      </c>
      <c r="C19570" t="s">
        <v>10</v>
      </c>
      <c r="D19570" t="s">
        <v>17</v>
      </c>
      <c r="E19570" t="s">
        <v>12</v>
      </c>
      <c r="F19570">
        <v>30017053</v>
      </c>
      <c r="G19570">
        <v>30017090</v>
      </c>
      <c r="H19570">
        <v>30017053</v>
      </c>
      <c r="I19570">
        <v>30017090</v>
      </c>
    </row>
    <row r="19571" spans="1:9" x14ac:dyDescent="0.2">
      <c r="A19571" s="1" t="str">
        <f>"VSTM2L"</f>
        <v>VSTM2L</v>
      </c>
      <c r="B19571" t="s">
        <v>14</v>
      </c>
      <c r="C19571" t="s">
        <v>29</v>
      </c>
      <c r="D19571" t="s">
        <v>17</v>
      </c>
      <c r="E19571" t="s">
        <v>12</v>
      </c>
      <c r="F19571">
        <v>36531506</v>
      </c>
      <c r="G19571">
        <v>36531540</v>
      </c>
      <c r="H19571">
        <v>36531551</v>
      </c>
      <c r="I19571">
        <v>36531561</v>
      </c>
    </row>
    <row r="19572" spans="1:9" x14ac:dyDescent="0.2">
      <c r="A19572" s="1" t="str">
        <f>"VSTM4"</f>
        <v>VSTM4</v>
      </c>
      <c r="B19572" t="s">
        <v>14</v>
      </c>
      <c r="C19572" t="s">
        <v>15</v>
      </c>
      <c r="D19572" t="s">
        <v>11</v>
      </c>
      <c r="E19572" t="s">
        <v>12</v>
      </c>
      <c r="F19572">
        <v>50323543</v>
      </c>
      <c r="G19572">
        <v>50323582</v>
      </c>
      <c r="H19572">
        <v>50323510</v>
      </c>
      <c r="I19572">
        <v>50323541</v>
      </c>
    </row>
    <row r="19573" spans="1:9" x14ac:dyDescent="0.2">
      <c r="A19573" s="1" t="str">
        <f>"VSTM5"</f>
        <v>VSTM5</v>
      </c>
      <c r="B19573" t="s">
        <v>14</v>
      </c>
      <c r="C19573" t="s">
        <v>27</v>
      </c>
      <c r="D19573" t="s">
        <v>11</v>
      </c>
      <c r="E19573" t="s">
        <v>12</v>
      </c>
      <c r="F19573">
        <v>93583726</v>
      </c>
      <c r="G19573">
        <v>93583807</v>
      </c>
      <c r="H19573">
        <v>93583696</v>
      </c>
      <c r="I19573">
        <v>93583709</v>
      </c>
    </row>
    <row r="19574" spans="1:9" x14ac:dyDescent="0.2">
      <c r="A19574" s="1" t="str">
        <f>"VSX1"</f>
        <v>VSX1</v>
      </c>
      <c r="B19574" t="s">
        <v>14</v>
      </c>
      <c r="C19574" t="s">
        <v>29</v>
      </c>
      <c r="D19574" t="s">
        <v>11</v>
      </c>
      <c r="E19574" t="s">
        <v>12</v>
      </c>
      <c r="F19574">
        <v>25058622</v>
      </c>
      <c r="G19574">
        <v>25058643</v>
      </c>
      <c r="H19574">
        <v>25058665</v>
      </c>
      <c r="I19574">
        <v>25058692</v>
      </c>
    </row>
    <row r="19575" spans="1:9" x14ac:dyDescent="0.2">
      <c r="A19575" s="1" t="str">
        <f>"VSX2"</f>
        <v>VSX2</v>
      </c>
      <c r="B19575" t="s">
        <v>14</v>
      </c>
      <c r="C19575" t="s">
        <v>41</v>
      </c>
      <c r="D19575" t="s">
        <v>17</v>
      </c>
      <c r="E19575" t="s">
        <v>12</v>
      </c>
      <c r="F19575">
        <v>74706150</v>
      </c>
      <c r="G19575">
        <v>74706155</v>
      </c>
      <c r="H19575">
        <v>74706183</v>
      </c>
      <c r="I19575">
        <v>74706189</v>
      </c>
    </row>
    <row r="19576" spans="1:9" x14ac:dyDescent="0.2">
      <c r="A19576" s="1" t="str">
        <f>"VTA1"</f>
        <v>VTA1</v>
      </c>
      <c r="B19576" t="s">
        <v>14</v>
      </c>
      <c r="C19576" t="s">
        <v>32</v>
      </c>
      <c r="D19576" t="s">
        <v>17</v>
      </c>
      <c r="E19576" t="s">
        <v>12</v>
      </c>
      <c r="F19576">
        <v>142468383</v>
      </c>
      <c r="G19576">
        <v>142468421</v>
      </c>
      <c r="H19576">
        <v>142468361</v>
      </c>
      <c r="I19576">
        <v>142468382</v>
      </c>
    </row>
    <row r="19577" spans="1:9" x14ac:dyDescent="0.2">
      <c r="A19577" s="1" t="str">
        <f>"VTCN1"</f>
        <v>VTCN1</v>
      </c>
      <c r="B19577" t="s">
        <v>14</v>
      </c>
      <c r="C19577" t="s">
        <v>19</v>
      </c>
      <c r="D19577" t="s">
        <v>11</v>
      </c>
      <c r="E19577" t="s">
        <v>12</v>
      </c>
      <c r="F19577">
        <v>117753540</v>
      </c>
      <c r="G19577">
        <v>117753556</v>
      </c>
      <c r="H19577">
        <v>117753498</v>
      </c>
      <c r="I19577">
        <v>117753504</v>
      </c>
    </row>
    <row r="19578" spans="1:9" x14ac:dyDescent="0.2">
      <c r="A19578" s="1" t="str">
        <f>"VTI1A"</f>
        <v>VTI1A</v>
      </c>
      <c r="B19578" t="s">
        <v>14</v>
      </c>
      <c r="C19578" t="s">
        <v>15</v>
      </c>
      <c r="D19578" t="s">
        <v>17</v>
      </c>
      <c r="E19578" t="s">
        <v>12</v>
      </c>
      <c r="F19578">
        <v>114206956</v>
      </c>
      <c r="G19578">
        <v>114207040</v>
      </c>
      <c r="H19578">
        <v>114206722</v>
      </c>
      <c r="I19578">
        <v>114206787</v>
      </c>
    </row>
    <row r="19579" spans="1:9" x14ac:dyDescent="0.2">
      <c r="A19579" s="1" t="str">
        <f>"VTI1B"</f>
        <v>VTI1B</v>
      </c>
      <c r="B19579" t="s">
        <v>14</v>
      </c>
      <c r="C19579" t="s">
        <v>41</v>
      </c>
      <c r="D19579" t="s">
        <v>11</v>
      </c>
      <c r="E19579" t="s">
        <v>12</v>
      </c>
      <c r="F19579">
        <v>68141300</v>
      </c>
      <c r="G19579">
        <v>68141368</v>
      </c>
      <c r="H19579">
        <v>68141535</v>
      </c>
      <c r="I19579">
        <v>68141574</v>
      </c>
    </row>
    <row r="19580" spans="1:9" x14ac:dyDescent="0.2">
      <c r="A19580" s="1" t="str">
        <f>"VTN"</f>
        <v>VTN</v>
      </c>
      <c r="B19580" t="s">
        <v>14</v>
      </c>
      <c r="C19580" t="s">
        <v>28</v>
      </c>
      <c r="D19580" t="s">
        <v>11</v>
      </c>
      <c r="E19580" t="s">
        <v>12</v>
      </c>
      <c r="F19580">
        <v>26697304</v>
      </c>
      <c r="G19580">
        <v>26697335</v>
      </c>
      <c r="H19580">
        <v>26697276</v>
      </c>
      <c r="I19580">
        <v>26697303</v>
      </c>
    </row>
    <row r="19581" spans="1:9" x14ac:dyDescent="0.2">
      <c r="A19581" s="1" t="str">
        <f>"VWA1"</f>
        <v>VWA1</v>
      </c>
      <c r="B19581" t="s">
        <v>14</v>
      </c>
      <c r="C19581" t="s">
        <v>19</v>
      </c>
      <c r="D19581" t="s">
        <v>17</v>
      </c>
      <c r="E19581" t="s">
        <v>12</v>
      </c>
      <c r="F19581">
        <v>1371047</v>
      </c>
      <c r="G19581">
        <v>1371119</v>
      </c>
      <c r="H19581">
        <v>1370868</v>
      </c>
      <c r="I19581">
        <v>1370894</v>
      </c>
    </row>
    <row r="19582" spans="1:9" x14ac:dyDescent="0.2">
      <c r="A19582" s="1" t="str">
        <f>"VWA2"</f>
        <v>VWA2</v>
      </c>
      <c r="B19582" t="s">
        <v>14</v>
      </c>
      <c r="C19582" t="s">
        <v>15</v>
      </c>
      <c r="D19582" t="s">
        <v>17</v>
      </c>
      <c r="E19582" t="s">
        <v>12</v>
      </c>
      <c r="F19582">
        <v>115999004</v>
      </c>
      <c r="G19582">
        <v>115999019</v>
      </c>
      <c r="H19582">
        <v>115999258</v>
      </c>
      <c r="I19582">
        <v>115999292</v>
      </c>
    </row>
    <row r="19583" spans="1:9" x14ac:dyDescent="0.2">
      <c r="A19583" s="1" t="str">
        <f>"VWA3A"</f>
        <v>VWA3A</v>
      </c>
      <c r="B19583" t="s">
        <v>14</v>
      </c>
      <c r="C19583" t="s">
        <v>31</v>
      </c>
      <c r="D19583" t="s">
        <v>17</v>
      </c>
      <c r="E19583" t="s">
        <v>12</v>
      </c>
      <c r="F19583">
        <v>22103828</v>
      </c>
      <c r="G19583">
        <v>22103869</v>
      </c>
      <c r="H19583">
        <v>22103828</v>
      </c>
      <c r="I19583">
        <v>22103869</v>
      </c>
    </row>
    <row r="19584" spans="1:9" x14ac:dyDescent="0.2">
      <c r="A19584" s="1" t="str">
        <f>"VWA3B"</f>
        <v>VWA3B</v>
      </c>
      <c r="B19584" t="s">
        <v>14</v>
      </c>
      <c r="C19584" t="s">
        <v>26</v>
      </c>
      <c r="D19584" t="s">
        <v>17</v>
      </c>
      <c r="E19584" t="s">
        <v>12</v>
      </c>
      <c r="F19584">
        <v>98703643</v>
      </c>
      <c r="G19584">
        <v>98703674</v>
      </c>
      <c r="H19584">
        <v>98703623</v>
      </c>
      <c r="I19584">
        <v>98703635</v>
      </c>
    </row>
    <row r="19585" spans="1:9" x14ac:dyDescent="0.2">
      <c r="A19585" s="1" t="str">
        <f>"VWA5A"</f>
        <v>VWA5A</v>
      </c>
      <c r="B19585" t="s">
        <v>14</v>
      </c>
      <c r="C19585" t="s">
        <v>27</v>
      </c>
      <c r="D19585" t="s">
        <v>17</v>
      </c>
      <c r="E19585" t="s">
        <v>12</v>
      </c>
      <c r="F19585">
        <v>123986149</v>
      </c>
      <c r="G19585">
        <v>123986169</v>
      </c>
      <c r="H19585">
        <v>123986149</v>
      </c>
      <c r="I19585">
        <v>123986169</v>
      </c>
    </row>
    <row r="19586" spans="1:9" x14ac:dyDescent="0.2">
      <c r="A19586" s="1" t="str">
        <f>"VWA5B1"</f>
        <v>VWA5B1</v>
      </c>
      <c r="B19586" t="s">
        <v>14</v>
      </c>
      <c r="C19586" t="s">
        <v>19</v>
      </c>
      <c r="D19586" t="s">
        <v>17</v>
      </c>
      <c r="E19586" t="s">
        <v>12</v>
      </c>
      <c r="F19586">
        <v>20617362</v>
      </c>
      <c r="G19586">
        <v>20617380</v>
      </c>
      <c r="H19586">
        <v>20617398</v>
      </c>
      <c r="I19586">
        <v>20617414</v>
      </c>
    </row>
    <row r="19587" spans="1:9" x14ac:dyDescent="0.2">
      <c r="A19587" s="1" t="str">
        <f>"VWA5B2"</f>
        <v>VWA5B2</v>
      </c>
      <c r="B19587" t="s">
        <v>14</v>
      </c>
      <c r="C19587" t="s">
        <v>22</v>
      </c>
      <c r="D19587" t="s">
        <v>17</v>
      </c>
      <c r="E19587" t="s">
        <v>12</v>
      </c>
      <c r="F19587">
        <v>183948161</v>
      </c>
      <c r="G19587">
        <v>183948173</v>
      </c>
      <c r="H19587">
        <v>183948136</v>
      </c>
      <c r="I19587">
        <v>183948147</v>
      </c>
    </row>
    <row r="19588" spans="1:9" x14ac:dyDescent="0.2">
      <c r="A19588" s="1" t="str">
        <f>"VWA7"</f>
        <v>VWA7</v>
      </c>
      <c r="B19588" t="s">
        <v>14</v>
      </c>
      <c r="C19588" t="s">
        <v>32</v>
      </c>
      <c r="D19588" t="s">
        <v>11</v>
      </c>
      <c r="E19588" t="s">
        <v>12</v>
      </c>
      <c r="F19588">
        <v>31745085</v>
      </c>
      <c r="G19588">
        <v>31745112</v>
      </c>
      <c r="H19588">
        <v>31745037</v>
      </c>
      <c r="I19588">
        <v>31745083</v>
      </c>
    </row>
    <row r="19589" spans="1:9" x14ac:dyDescent="0.2">
      <c r="A19589" s="1" t="str">
        <f>"VWA8"</f>
        <v>VWA8</v>
      </c>
      <c r="B19589" t="s">
        <v>14</v>
      </c>
      <c r="C19589" t="s">
        <v>39</v>
      </c>
      <c r="D19589" t="s">
        <v>11</v>
      </c>
      <c r="E19589" t="s">
        <v>12</v>
      </c>
      <c r="F19589">
        <v>42535214</v>
      </c>
      <c r="G19589">
        <v>42535259</v>
      </c>
      <c r="H19589">
        <v>42535709</v>
      </c>
      <c r="I19589">
        <v>42535737</v>
      </c>
    </row>
    <row r="19590" spans="1:9" x14ac:dyDescent="0.2">
      <c r="A19590" s="1" t="str">
        <f>"VWA9"</f>
        <v>VWA9</v>
      </c>
      <c r="B19590" t="s">
        <v>14</v>
      </c>
      <c r="C19590" t="s">
        <v>25</v>
      </c>
      <c r="D19590" t="s">
        <v>11</v>
      </c>
      <c r="E19590" t="s">
        <v>12</v>
      </c>
      <c r="F19590">
        <v>65903448</v>
      </c>
      <c r="G19590">
        <v>65903498</v>
      </c>
      <c r="H19590">
        <v>65903512</v>
      </c>
      <c r="I19590">
        <v>65903566</v>
      </c>
    </row>
    <row r="19591" spans="1:9" x14ac:dyDescent="0.2">
      <c r="A19591" s="1" t="str">
        <f>"VWC2"</f>
        <v>VWC2</v>
      </c>
      <c r="B19591" t="s">
        <v>14</v>
      </c>
      <c r="C19591" t="s">
        <v>33</v>
      </c>
      <c r="D19591" t="s">
        <v>17</v>
      </c>
      <c r="E19591" t="s">
        <v>12</v>
      </c>
      <c r="F19591">
        <v>49813226</v>
      </c>
      <c r="G19591">
        <v>49813252</v>
      </c>
      <c r="H19591">
        <v>49813255</v>
      </c>
      <c r="I19591">
        <v>49813269</v>
      </c>
    </row>
    <row r="19592" spans="1:9" x14ac:dyDescent="0.2">
      <c r="A19592" s="1" t="str">
        <f>"VWC2L"</f>
        <v>VWC2L</v>
      </c>
      <c r="B19592" t="s">
        <v>14</v>
      </c>
      <c r="C19592" t="s">
        <v>26</v>
      </c>
      <c r="D19592" t="s">
        <v>17</v>
      </c>
      <c r="E19592" t="s">
        <v>12</v>
      </c>
      <c r="F19592">
        <v>215275814</v>
      </c>
      <c r="G19592">
        <v>215275834</v>
      </c>
      <c r="H19592">
        <v>215275862</v>
      </c>
      <c r="I19592">
        <v>215275879</v>
      </c>
    </row>
    <row r="19593" spans="1:9" x14ac:dyDescent="0.2">
      <c r="A19593" s="1" t="str">
        <f>"VWCE"</f>
        <v>VWCE</v>
      </c>
      <c r="B19593" t="s">
        <v>14</v>
      </c>
      <c r="C19593" t="s">
        <v>27</v>
      </c>
      <c r="D19593" t="s">
        <v>11</v>
      </c>
      <c r="E19593" t="s">
        <v>12</v>
      </c>
      <c r="F19593">
        <v>61062762</v>
      </c>
      <c r="G19593">
        <v>61062809</v>
      </c>
      <c r="H19593">
        <v>61062499</v>
      </c>
      <c r="I19593">
        <v>61062549</v>
      </c>
    </row>
    <row r="19594" spans="1:9" x14ac:dyDescent="0.2">
      <c r="A19594" s="1" t="str">
        <f>"VWDE"</f>
        <v>VWDE</v>
      </c>
      <c r="B19594" t="s">
        <v>14</v>
      </c>
      <c r="C19594" t="s">
        <v>33</v>
      </c>
      <c r="D19594" t="s">
        <v>11</v>
      </c>
      <c r="E19594" t="s">
        <v>12</v>
      </c>
      <c r="F19594">
        <v>12443501</v>
      </c>
      <c r="G19594">
        <v>12443549</v>
      </c>
      <c r="H19594">
        <v>12443477</v>
      </c>
      <c r="I19594">
        <v>12443496</v>
      </c>
    </row>
    <row r="19595" spans="1:9" x14ac:dyDescent="0.2">
      <c r="A19595" s="1" t="str">
        <f>"VWF"</f>
        <v>VWF</v>
      </c>
      <c r="B19595" t="s">
        <v>14</v>
      </c>
      <c r="C19595" t="s">
        <v>16</v>
      </c>
      <c r="D19595" t="s">
        <v>11</v>
      </c>
      <c r="E19595" t="s">
        <v>12</v>
      </c>
      <c r="F19595">
        <v>6233828</v>
      </c>
      <c r="G19595">
        <v>6233843</v>
      </c>
      <c r="H19595">
        <v>6233700</v>
      </c>
      <c r="I19595">
        <v>6233715</v>
      </c>
    </row>
    <row r="19596" spans="1:9" x14ac:dyDescent="0.2">
      <c r="A19596" s="1" t="str">
        <f>"WAC"</f>
        <v>WAC</v>
      </c>
      <c r="B19596" t="s">
        <v>14</v>
      </c>
      <c r="C19596" t="s">
        <v>15</v>
      </c>
      <c r="D19596" t="s">
        <v>17</v>
      </c>
      <c r="E19596" t="s">
        <v>12</v>
      </c>
      <c r="F19596">
        <v>28822037</v>
      </c>
      <c r="G19596">
        <v>28822082</v>
      </c>
      <c r="H19596">
        <v>28821674</v>
      </c>
      <c r="I19596">
        <v>28821715</v>
      </c>
    </row>
    <row r="19597" spans="1:9" x14ac:dyDescent="0.2">
      <c r="A19597" s="1" t="str">
        <f>"WAPAL"</f>
        <v>WAPAL</v>
      </c>
      <c r="B19597" t="s">
        <v>14</v>
      </c>
      <c r="C19597" t="s">
        <v>15</v>
      </c>
      <c r="D19597" t="s">
        <v>11</v>
      </c>
      <c r="E19597" t="s">
        <v>12</v>
      </c>
      <c r="F19597">
        <v>88281494</v>
      </c>
      <c r="G19597">
        <v>88281570</v>
      </c>
      <c r="H19597">
        <v>88281228</v>
      </c>
      <c r="I19597">
        <v>88281249</v>
      </c>
    </row>
    <row r="19598" spans="1:9" x14ac:dyDescent="0.2">
      <c r="A19598" s="1" t="str">
        <f>"WARS"</f>
        <v>WARS</v>
      </c>
      <c r="B19598" t="s">
        <v>14</v>
      </c>
      <c r="C19598" t="s">
        <v>41</v>
      </c>
      <c r="D19598" t="s">
        <v>11</v>
      </c>
      <c r="E19598" t="s">
        <v>12</v>
      </c>
      <c r="F19598">
        <v>100841675</v>
      </c>
      <c r="G19598">
        <v>100841691</v>
      </c>
      <c r="H19598">
        <v>100841675</v>
      </c>
      <c r="I19598">
        <v>100841691</v>
      </c>
    </row>
    <row r="19599" spans="1:9" x14ac:dyDescent="0.2">
      <c r="A19599" s="1" t="str">
        <f>"WARS2"</f>
        <v>WARS2</v>
      </c>
      <c r="B19599" t="s">
        <v>14</v>
      </c>
      <c r="C19599" t="s">
        <v>19</v>
      </c>
      <c r="D19599" t="s">
        <v>11</v>
      </c>
      <c r="E19599" t="s">
        <v>12</v>
      </c>
      <c r="F19599">
        <v>119683251</v>
      </c>
      <c r="G19599">
        <v>119683298</v>
      </c>
      <c r="H19599">
        <v>119683251</v>
      </c>
      <c r="I19599">
        <v>119683298</v>
      </c>
    </row>
    <row r="19600" spans="1:9" x14ac:dyDescent="0.2">
      <c r="A19600" s="1" t="str">
        <f>"WAS"</f>
        <v>WAS</v>
      </c>
      <c r="B19600" t="s">
        <v>14</v>
      </c>
      <c r="C19600" t="s">
        <v>37</v>
      </c>
      <c r="D19600" t="s">
        <v>17</v>
      </c>
      <c r="E19600" t="s">
        <v>12</v>
      </c>
      <c r="F19600">
        <v>48542169</v>
      </c>
      <c r="G19600">
        <v>48542241</v>
      </c>
      <c r="H19600">
        <v>48542169</v>
      </c>
      <c r="I19600">
        <v>48542241</v>
      </c>
    </row>
    <row r="19601" spans="1:9" x14ac:dyDescent="0.2">
      <c r="A19601" s="1" t="str">
        <f>"WASF1"</f>
        <v>WASF1</v>
      </c>
      <c r="B19601" t="s">
        <v>14</v>
      </c>
      <c r="C19601" t="s">
        <v>32</v>
      </c>
      <c r="D19601" t="s">
        <v>11</v>
      </c>
      <c r="E19601" t="s">
        <v>12</v>
      </c>
      <c r="F19601">
        <v>110500826</v>
      </c>
      <c r="G19601">
        <v>110500890</v>
      </c>
      <c r="H19601">
        <v>110501148</v>
      </c>
      <c r="I19601">
        <v>110501197</v>
      </c>
    </row>
    <row r="19602" spans="1:9" x14ac:dyDescent="0.2">
      <c r="A19602" s="1" t="str">
        <f>"WASF2"</f>
        <v>WASF2</v>
      </c>
      <c r="B19602" t="s">
        <v>14</v>
      </c>
      <c r="C19602" t="s">
        <v>19</v>
      </c>
      <c r="D19602" t="s">
        <v>11</v>
      </c>
      <c r="E19602" t="s">
        <v>12</v>
      </c>
      <c r="F19602">
        <v>27816641</v>
      </c>
      <c r="G19602">
        <v>27816687</v>
      </c>
      <c r="H19602">
        <v>27816556</v>
      </c>
      <c r="I19602">
        <v>27816572</v>
      </c>
    </row>
    <row r="19603" spans="1:9" x14ac:dyDescent="0.2">
      <c r="A19603" s="1" t="str">
        <f>"WASF3"</f>
        <v>WASF3</v>
      </c>
      <c r="B19603" t="s">
        <v>14</v>
      </c>
      <c r="C19603" t="s">
        <v>39</v>
      </c>
      <c r="D19603" t="s">
        <v>17</v>
      </c>
      <c r="E19603" t="s">
        <v>12</v>
      </c>
      <c r="F19603">
        <v>27131798</v>
      </c>
      <c r="G19603">
        <v>27131886</v>
      </c>
      <c r="H19603">
        <v>27131887</v>
      </c>
      <c r="I19603">
        <v>27131899</v>
      </c>
    </row>
    <row r="19604" spans="1:9" x14ac:dyDescent="0.2">
      <c r="A19604" s="1" t="str">
        <f>"WASH1"</f>
        <v>WASH1</v>
      </c>
      <c r="B19604" t="s">
        <v>1817</v>
      </c>
      <c r="C19604" t="s">
        <v>24</v>
      </c>
      <c r="D19604" t="s">
        <v>11</v>
      </c>
      <c r="E19604" t="s">
        <v>20</v>
      </c>
      <c r="F19604">
        <v>29738</v>
      </c>
      <c r="G19604">
        <v>29738</v>
      </c>
      <c r="H19604">
        <v>29738</v>
      </c>
      <c r="I19604">
        <v>29738</v>
      </c>
    </row>
    <row r="19605" spans="1:9" x14ac:dyDescent="0.2">
      <c r="A19605" s="1" t="str">
        <f>"WASL"</f>
        <v>WASL</v>
      </c>
      <c r="B19605" t="s">
        <v>14</v>
      </c>
      <c r="C19605" t="s">
        <v>33</v>
      </c>
      <c r="D19605" t="s">
        <v>11</v>
      </c>
      <c r="E19605" t="s">
        <v>12</v>
      </c>
      <c r="F19605">
        <v>123388976</v>
      </c>
      <c r="G19605">
        <v>123389093</v>
      </c>
      <c r="H19605">
        <v>123389104</v>
      </c>
      <c r="I19605">
        <v>123389161</v>
      </c>
    </row>
    <row r="19606" spans="1:9" x14ac:dyDescent="0.2">
      <c r="A19606" s="1" t="str">
        <f>"WBP1"</f>
        <v>WBP1</v>
      </c>
      <c r="B19606" t="s">
        <v>14</v>
      </c>
      <c r="C19606" t="s">
        <v>26</v>
      </c>
      <c r="D19606" t="s">
        <v>17</v>
      </c>
      <c r="E19606" t="s">
        <v>12</v>
      </c>
      <c r="F19606">
        <v>74685556</v>
      </c>
      <c r="G19606">
        <v>74685585</v>
      </c>
      <c r="H19606">
        <v>74685413</v>
      </c>
      <c r="I19606">
        <v>74685454</v>
      </c>
    </row>
    <row r="19607" spans="1:9" x14ac:dyDescent="0.2">
      <c r="A19607" s="1" t="str">
        <f>"WBP11"</f>
        <v>WBP11</v>
      </c>
      <c r="B19607" t="s">
        <v>9</v>
      </c>
      <c r="C19607" t="s">
        <v>16</v>
      </c>
      <c r="D19607" t="s">
        <v>11</v>
      </c>
      <c r="E19607" t="s">
        <v>12</v>
      </c>
      <c r="F19607">
        <v>14956396</v>
      </c>
      <c r="G19607">
        <v>14956444</v>
      </c>
      <c r="H19607">
        <v>14956396</v>
      </c>
      <c r="I19607">
        <v>14956444</v>
      </c>
    </row>
    <row r="19608" spans="1:9" x14ac:dyDescent="0.2">
      <c r="A19608" s="1" t="str">
        <f>"WBP11"</f>
        <v>WBP11</v>
      </c>
      <c r="B19608" t="s">
        <v>13</v>
      </c>
      <c r="C19608" t="s">
        <v>16</v>
      </c>
      <c r="D19608" t="s">
        <v>11</v>
      </c>
      <c r="E19608" t="s">
        <v>12</v>
      </c>
      <c r="F19608">
        <v>14946712</v>
      </c>
      <c r="G19608">
        <v>14946728</v>
      </c>
      <c r="H19608">
        <v>14946712</v>
      </c>
      <c r="I19608">
        <v>14946728</v>
      </c>
    </row>
    <row r="19609" spans="1:9" x14ac:dyDescent="0.2">
      <c r="A19609" s="1" t="str">
        <f>"WBP1L"</f>
        <v>WBP1L</v>
      </c>
      <c r="B19609" t="s">
        <v>14</v>
      </c>
      <c r="C19609" t="s">
        <v>15</v>
      </c>
      <c r="D19609" t="s">
        <v>17</v>
      </c>
      <c r="E19609" t="s">
        <v>12</v>
      </c>
      <c r="F19609">
        <v>104503696</v>
      </c>
      <c r="G19609">
        <v>104503726</v>
      </c>
      <c r="H19609">
        <v>104503696</v>
      </c>
      <c r="I19609">
        <v>104503726</v>
      </c>
    </row>
    <row r="19610" spans="1:9" x14ac:dyDescent="0.2">
      <c r="A19610" s="1" t="str">
        <f>"WBP2"</f>
        <v>WBP2</v>
      </c>
      <c r="B19610" t="s">
        <v>14</v>
      </c>
      <c r="C19610" t="s">
        <v>28</v>
      </c>
      <c r="D19610" t="s">
        <v>11</v>
      </c>
      <c r="E19610" t="s">
        <v>12</v>
      </c>
      <c r="F19610">
        <v>73851380</v>
      </c>
      <c r="G19610">
        <v>73851427</v>
      </c>
      <c r="H19610">
        <v>73851380</v>
      </c>
      <c r="I19610">
        <v>73851427</v>
      </c>
    </row>
    <row r="19611" spans="1:9" x14ac:dyDescent="0.2">
      <c r="A19611" s="1" t="str">
        <f>"WBP2NL"</f>
        <v>WBP2NL</v>
      </c>
      <c r="B19611" t="s">
        <v>14</v>
      </c>
      <c r="C19611" t="s">
        <v>21</v>
      </c>
      <c r="D19611" t="s">
        <v>17</v>
      </c>
      <c r="E19611" t="s">
        <v>12</v>
      </c>
      <c r="F19611">
        <v>42394780</v>
      </c>
      <c r="G19611">
        <v>42394821</v>
      </c>
      <c r="H19611">
        <v>42394747</v>
      </c>
      <c r="I19611">
        <v>42394754</v>
      </c>
    </row>
    <row r="19612" spans="1:9" x14ac:dyDescent="0.2">
      <c r="A19612" s="1" t="str">
        <f>"WBP4"</f>
        <v>WBP4</v>
      </c>
      <c r="B19612" t="s">
        <v>14</v>
      </c>
      <c r="C19612" t="s">
        <v>39</v>
      </c>
      <c r="D19612" t="s">
        <v>17</v>
      </c>
      <c r="E19612" t="s">
        <v>12</v>
      </c>
      <c r="F19612">
        <v>41635617</v>
      </c>
      <c r="G19612">
        <v>41635721</v>
      </c>
      <c r="H19612">
        <v>41635159</v>
      </c>
      <c r="I19612">
        <v>41635205</v>
      </c>
    </row>
    <row r="19613" spans="1:9" x14ac:dyDescent="0.2">
      <c r="A19613" s="1" t="str">
        <f>"WBP5"</f>
        <v>WBP5</v>
      </c>
      <c r="B19613" t="s">
        <v>14</v>
      </c>
      <c r="C19613" t="s">
        <v>37</v>
      </c>
      <c r="D19613" t="s">
        <v>17</v>
      </c>
      <c r="E19613" t="s">
        <v>12</v>
      </c>
      <c r="F19613">
        <v>102611383</v>
      </c>
      <c r="G19613">
        <v>102611469</v>
      </c>
      <c r="H19613">
        <v>102611377</v>
      </c>
      <c r="I19613">
        <v>102611382</v>
      </c>
    </row>
    <row r="19614" spans="1:9" x14ac:dyDescent="0.2">
      <c r="A19614" s="1" t="str">
        <f>"WBSCR16"</f>
        <v>WBSCR16</v>
      </c>
      <c r="B19614" t="s">
        <v>14</v>
      </c>
      <c r="C19614" t="s">
        <v>33</v>
      </c>
      <c r="D19614" t="s">
        <v>11</v>
      </c>
      <c r="E19614" t="s">
        <v>12</v>
      </c>
      <c r="F19614">
        <v>74489609</v>
      </c>
      <c r="G19614">
        <v>74489697</v>
      </c>
      <c r="H19614">
        <v>74489594</v>
      </c>
      <c r="I19614">
        <v>74489607</v>
      </c>
    </row>
    <row r="19615" spans="1:9" x14ac:dyDescent="0.2">
      <c r="A19615" s="1" t="str">
        <f>"WBSCR17"</f>
        <v>WBSCR17</v>
      </c>
      <c r="B19615" t="s">
        <v>14</v>
      </c>
      <c r="C19615" t="s">
        <v>33</v>
      </c>
      <c r="D19615" t="s">
        <v>17</v>
      </c>
      <c r="E19615" t="s">
        <v>12</v>
      </c>
      <c r="F19615">
        <v>70596628</v>
      </c>
      <c r="G19615">
        <v>70596711</v>
      </c>
      <c r="H19615">
        <v>70597109</v>
      </c>
      <c r="I19615">
        <v>70597144</v>
      </c>
    </row>
    <row r="19616" spans="1:9" x14ac:dyDescent="0.2">
      <c r="A19616" s="1" t="str">
        <f>"WBSCR22"</f>
        <v>WBSCR22</v>
      </c>
      <c r="B19616" t="s">
        <v>14</v>
      </c>
      <c r="C19616" t="s">
        <v>33</v>
      </c>
      <c r="D19616" t="s">
        <v>17</v>
      </c>
      <c r="E19616" t="s">
        <v>12</v>
      </c>
      <c r="F19616">
        <v>73097890</v>
      </c>
      <c r="G19616">
        <v>73097954</v>
      </c>
      <c r="H19616">
        <v>73097890</v>
      </c>
      <c r="I19616">
        <v>73097954</v>
      </c>
    </row>
    <row r="19617" spans="1:9" x14ac:dyDescent="0.2">
      <c r="A19617" s="1" t="str">
        <f>"WBSCR27"</f>
        <v>WBSCR27</v>
      </c>
      <c r="B19617" t="s">
        <v>14</v>
      </c>
      <c r="C19617" t="s">
        <v>33</v>
      </c>
      <c r="D19617" t="s">
        <v>11</v>
      </c>
      <c r="E19617" t="s">
        <v>12</v>
      </c>
      <c r="F19617">
        <v>73256838</v>
      </c>
      <c r="G19617">
        <v>73256870</v>
      </c>
      <c r="H19617">
        <v>73257044</v>
      </c>
      <c r="I19617">
        <v>73257045</v>
      </c>
    </row>
    <row r="19618" spans="1:9" x14ac:dyDescent="0.2">
      <c r="A19618" s="1" t="str">
        <f>"WBSCR28"</f>
        <v>WBSCR28</v>
      </c>
      <c r="B19618" t="s">
        <v>14</v>
      </c>
      <c r="C19618" t="s">
        <v>33</v>
      </c>
      <c r="D19618" t="s">
        <v>17</v>
      </c>
      <c r="E19618" t="s">
        <v>12</v>
      </c>
      <c r="F19618">
        <v>73275483</v>
      </c>
      <c r="G19618">
        <v>73275504</v>
      </c>
      <c r="H19618">
        <v>73275483</v>
      </c>
      <c r="I19618">
        <v>73275504</v>
      </c>
    </row>
    <row r="19619" spans="1:9" x14ac:dyDescent="0.2">
      <c r="A19619" s="1" t="str">
        <f>"WDFY1"</f>
        <v>WDFY1</v>
      </c>
      <c r="B19619" t="s">
        <v>14</v>
      </c>
      <c r="C19619" t="s">
        <v>26</v>
      </c>
      <c r="D19619" t="s">
        <v>11</v>
      </c>
      <c r="E19619" t="s">
        <v>12</v>
      </c>
      <c r="F19619">
        <v>224810009</v>
      </c>
      <c r="G19619">
        <v>224810035</v>
      </c>
      <c r="H19619">
        <v>224810039</v>
      </c>
      <c r="I19619">
        <v>224810062</v>
      </c>
    </row>
    <row r="19620" spans="1:9" x14ac:dyDescent="0.2">
      <c r="A19620" s="1" t="str">
        <f>"WDFY2"</f>
        <v>WDFY2</v>
      </c>
      <c r="B19620" t="s">
        <v>14</v>
      </c>
      <c r="C19620" t="s">
        <v>39</v>
      </c>
      <c r="D19620" t="s">
        <v>17</v>
      </c>
      <c r="E19620" t="s">
        <v>12</v>
      </c>
      <c r="F19620">
        <v>52158572</v>
      </c>
      <c r="G19620">
        <v>52158606</v>
      </c>
      <c r="H19620">
        <v>52158610</v>
      </c>
      <c r="I19620">
        <v>52158654</v>
      </c>
    </row>
    <row r="19621" spans="1:9" x14ac:dyDescent="0.2">
      <c r="A19621" s="1" t="str">
        <f>"WDFY3"</f>
        <v>WDFY3</v>
      </c>
      <c r="B19621" t="s">
        <v>14</v>
      </c>
      <c r="C19621" t="s">
        <v>23</v>
      </c>
      <c r="D19621" t="s">
        <v>11</v>
      </c>
      <c r="E19621" t="s">
        <v>12</v>
      </c>
      <c r="F19621">
        <v>85887789</v>
      </c>
      <c r="G19621">
        <v>85887862</v>
      </c>
      <c r="H19621">
        <v>85888007</v>
      </c>
      <c r="I19621">
        <v>85888077</v>
      </c>
    </row>
    <row r="19622" spans="1:9" x14ac:dyDescent="0.2">
      <c r="A19622" s="1" t="str">
        <f>"WDFY4"</f>
        <v>WDFY4</v>
      </c>
      <c r="B19622" t="s">
        <v>14</v>
      </c>
      <c r="C19622" t="s">
        <v>15</v>
      </c>
      <c r="D19622" t="s">
        <v>17</v>
      </c>
      <c r="E19622" t="s">
        <v>12</v>
      </c>
      <c r="F19622">
        <v>49892904</v>
      </c>
      <c r="G19622">
        <v>49892925</v>
      </c>
      <c r="H19622">
        <v>49892890</v>
      </c>
      <c r="I19622">
        <v>49892902</v>
      </c>
    </row>
    <row r="19623" spans="1:9" x14ac:dyDescent="0.2">
      <c r="A19623" s="1" t="str">
        <f>"WDHD1"</f>
        <v>WDHD1</v>
      </c>
      <c r="B19623" t="s">
        <v>14</v>
      </c>
      <c r="C19623" t="s">
        <v>41</v>
      </c>
      <c r="D19623" t="s">
        <v>11</v>
      </c>
      <c r="E19623" t="s">
        <v>12</v>
      </c>
      <c r="F19623">
        <v>55493763</v>
      </c>
      <c r="G19623">
        <v>55493824</v>
      </c>
      <c r="H19623">
        <v>55493475</v>
      </c>
      <c r="I19623">
        <v>55493523</v>
      </c>
    </row>
    <row r="19624" spans="1:9" x14ac:dyDescent="0.2">
      <c r="A19624" s="1" t="str">
        <f>"WDPCP"</f>
        <v>WDPCP</v>
      </c>
      <c r="B19624" t="s">
        <v>14</v>
      </c>
      <c r="C19624" t="s">
        <v>26</v>
      </c>
      <c r="D19624" t="s">
        <v>11</v>
      </c>
      <c r="E19624" t="s">
        <v>12</v>
      </c>
      <c r="F19624">
        <v>63815351</v>
      </c>
      <c r="G19624">
        <v>63815403</v>
      </c>
      <c r="H19624">
        <v>63815597</v>
      </c>
      <c r="I19624">
        <v>63815625</v>
      </c>
    </row>
    <row r="19625" spans="1:9" x14ac:dyDescent="0.2">
      <c r="A19625" s="1" t="str">
        <f>"WDR1"</f>
        <v>WDR1</v>
      </c>
      <c r="B19625" t="s">
        <v>14</v>
      </c>
      <c r="C19625" t="s">
        <v>23</v>
      </c>
      <c r="D19625" t="s">
        <v>11</v>
      </c>
      <c r="E19625" t="s">
        <v>12</v>
      </c>
      <c r="F19625">
        <v>10118348</v>
      </c>
      <c r="G19625">
        <v>10118395</v>
      </c>
      <c r="H19625">
        <v>10118405</v>
      </c>
      <c r="I19625">
        <v>10118430</v>
      </c>
    </row>
    <row r="19626" spans="1:9" x14ac:dyDescent="0.2">
      <c r="A19626" s="1" t="str">
        <f>"WDR11"</f>
        <v>WDR11</v>
      </c>
      <c r="B19626" t="s">
        <v>14</v>
      </c>
      <c r="C19626" t="s">
        <v>15</v>
      </c>
      <c r="D19626" t="s">
        <v>17</v>
      </c>
      <c r="E19626" t="s">
        <v>12</v>
      </c>
      <c r="F19626">
        <v>122610853</v>
      </c>
      <c r="G19626">
        <v>122610924</v>
      </c>
      <c r="H19626">
        <v>122611224</v>
      </c>
      <c r="I19626">
        <v>122611295</v>
      </c>
    </row>
    <row r="19627" spans="1:9" x14ac:dyDescent="0.2">
      <c r="A19627" s="1" t="str">
        <f>"WDR12"</f>
        <v>WDR12</v>
      </c>
      <c r="B19627" t="s">
        <v>14</v>
      </c>
      <c r="C19627" t="s">
        <v>26</v>
      </c>
      <c r="D19627" t="s">
        <v>11</v>
      </c>
      <c r="E19627" t="s">
        <v>12</v>
      </c>
      <c r="F19627">
        <v>203776344</v>
      </c>
      <c r="G19627">
        <v>203776423</v>
      </c>
      <c r="H19627">
        <v>203776864</v>
      </c>
      <c r="I19627">
        <v>203776928</v>
      </c>
    </row>
    <row r="19628" spans="1:9" x14ac:dyDescent="0.2">
      <c r="A19628" s="1" t="str">
        <f>"WDR13"</f>
        <v>WDR13</v>
      </c>
      <c r="B19628" t="s">
        <v>14</v>
      </c>
      <c r="C19628" t="s">
        <v>37</v>
      </c>
      <c r="D19628" t="s">
        <v>17</v>
      </c>
      <c r="E19628" t="s">
        <v>12</v>
      </c>
      <c r="F19628">
        <v>48455870</v>
      </c>
      <c r="G19628">
        <v>48455905</v>
      </c>
      <c r="H19628">
        <v>48456135</v>
      </c>
      <c r="I19628">
        <v>48456210</v>
      </c>
    </row>
    <row r="19629" spans="1:9" x14ac:dyDescent="0.2">
      <c r="A19629" s="1" t="str">
        <f>"WDR16"</f>
        <v>WDR16</v>
      </c>
      <c r="B19629" t="s">
        <v>14</v>
      </c>
      <c r="C19629" t="s">
        <v>28</v>
      </c>
      <c r="D19629" t="s">
        <v>17</v>
      </c>
      <c r="E19629" t="s">
        <v>12</v>
      </c>
      <c r="F19629">
        <v>9479949</v>
      </c>
      <c r="G19629">
        <v>9479965</v>
      </c>
      <c r="H19629">
        <v>9479971</v>
      </c>
      <c r="I19629">
        <v>9480003</v>
      </c>
    </row>
    <row r="19630" spans="1:9" x14ac:dyDescent="0.2">
      <c r="A19630" s="1" t="str">
        <f>"WDR17"</f>
        <v>WDR17</v>
      </c>
      <c r="B19630" t="s">
        <v>14</v>
      </c>
      <c r="C19630" t="s">
        <v>23</v>
      </c>
      <c r="D19630" t="s">
        <v>17</v>
      </c>
      <c r="E19630" t="s">
        <v>12</v>
      </c>
      <c r="F19630">
        <v>176986978</v>
      </c>
      <c r="G19630">
        <v>176987046</v>
      </c>
      <c r="H19630">
        <v>176987131</v>
      </c>
      <c r="I19630">
        <v>176987162</v>
      </c>
    </row>
    <row r="19631" spans="1:9" x14ac:dyDescent="0.2">
      <c r="A19631" s="1" t="str">
        <f>"WDR18"</f>
        <v>WDR18</v>
      </c>
      <c r="B19631" t="s">
        <v>14</v>
      </c>
      <c r="C19631" t="s">
        <v>10</v>
      </c>
      <c r="D19631" t="s">
        <v>17</v>
      </c>
      <c r="E19631" t="s">
        <v>12</v>
      </c>
      <c r="F19631">
        <v>984313</v>
      </c>
      <c r="G19631">
        <v>984357</v>
      </c>
      <c r="H19631">
        <v>984293</v>
      </c>
      <c r="I19631">
        <v>984304</v>
      </c>
    </row>
    <row r="19632" spans="1:9" x14ac:dyDescent="0.2">
      <c r="A19632" s="1" t="str">
        <f>"WDR19"</f>
        <v>WDR19</v>
      </c>
      <c r="B19632" t="s">
        <v>14</v>
      </c>
      <c r="C19632" t="s">
        <v>23</v>
      </c>
      <c r="D19632" t="s">
        <v>17</v>
      </c>
      <c r="E19632" t="s">
        <v>12</v>
      </c>
      <c r="F19632">
        <v>39184117</v>
      </c>
      <c r="G19632">
        <v>39184161</v>
      </c>
      <c r="H19632">
        <v>39184117</v>
      </c>
      <c r="I19632">
        <v>39184161</v>
      </c>
    </row>
    <row r="19633" spans="1:9" x14ac:dyDescent="0.2">
      <c r="A19633" s="1" t="str">
        <f>"WDR20"</f>
        <v>WDR20</v>
      </c>
      <c r="B19633" t="s">
        <v>14</v>
      </c>
      <c r="C19633" t="s">
        <v>41</v>
      </c>
      <c r="D19633" t="s">
        <v>17</v>
      </c>
      <c r="E19633" t="s">
        <v>12</v>
      </c>
      <c r="F19633">
        <v>102606215</v>
      </c>
      <c r="G19633">
        <v>102606257</v>
      </c>
      <c r="H19633">
        <v>102605749</v>
      </c>
      <c r="I19633">
        <v>102605772</v>
      </c>
    </row>
    <row r="19634" spans="1:9" x14ac:dyDescent="0.2">
      <c r="A19634" s="1" t="str">
        <f>"WDR24"</f>
        <v>WDR24</v>
      </c>
      <c r="B19634" t="s">
        <v>14</v>
      </c>
      <c r="C19634" t="s">
        <v>31</v>
      </c>
      <c r="D19634" t="s">
        <v>11</v>
      </c>
      <c r="E19634" t="s">
        <v>12</v>
      </c>
      <c r="F19634">
        <v>740354</v>
      </c>
      <c r="G19634">
        <v>740416</v>
      </c>
      <c r="H19634">
        <v>740419</v>
      </c>
      <c r="I19634">
        <v>740435</v>
      </c>
    </row>
    <row r="19635" spans="1:9" x14ac:dyDescent="0.2">
      <c r="A19635" s="1" t="str">
        <f>"WDR25"</f>
        <v>WDR25</v>
      </c>
      <c r="B19635" t="s">
        <v>14</v>
      </c>
      <c r="C19635" t="s">
        <v>41</v>
      </c>
      <c r="D19635" t="s">
        <v>17</v>
      </c>
      <c r="E19635" t="s">
        <v>12</v>
      </c>
      <c r="F19635">
        <v>100842735</v>
      </c>
      <c r="G19635">
        <v>100842848</v>
      </c>
      <c r="H19635">
        <v>100842931</v>
      </c>
      <c r="I19635">
        <v>100842958</v>
      </c>
    </row>
    <row r="19636" spans="1:9" x14ac:dyDescent="0.2">
      <c r="A19636" s="1" t="str">
        <f>"WDR26"</f>
        <v>WDR26</v>
      </c>
      <c r="B19636" t="s">
        <v>14</v>
      </c>
      <c r="C19636" t="s">
        <v>19</v>
      </c>
      <c r="D19636" t="s">
        <v>11</v>
      </c>
      <c r="E19636" t="s">
        <v>12</v>
      </c>
      <c r="F19636">
        <v>224622452</v>
      </c>
      <c r="G19636">
        <v>224622524</v>
      </c>
      <c r="H19636">
        <v>224622210</v>
      </c>
      <c r="I19636">
        <v>224622277</v>
      </c>
    </row>
    <row r="19637" spans="1:9" x14ac:dyDescent="0.2">
      <c r="A19637" s="1" t="str">
        <f>"WDR27"</f>
        <v>WDR27</v>
      </c>
      <c r="B19637" t="s">
        <v>14</v>
      </c>
      <c r="C19637" t="s">
        <v>32</v>
      </c>
      <c r="D19637" t="s">
        <v>11</v>
      </c>
      <c r="E19637" t="s">
        <v>12</v>
      </c>
      <c r="F19637">
        <v>170102082</v>
      </c>
      <c r="G19637">
        <v>170102192</v>
      </c>
      <c r="H19637">
        <v>170102047</v>
      </c>
      <c r="I19637">
        <v>170102070</v>
      </c>
    </row>
    <row r="19638" spans="1:9" x14ac:dyDescent="0.2">
      <c r="A19638" s="1" t="str">
        <f>"WDR3"</f>
        <v>WDR3</v>
      </c>
      <c r="B19638" t="s">
        <v>14</v>
      </c>
      <c r="C19638" t="s">
        <v>19</v>
      </c>
      <c r="D19638" t="s">
        <v>17</v>
      </c>
      <c r="E19638" t="s">
        <v>12</v>
      </c>
      <c r="F19638">
        <v>118472350</v>
      </c>
      <c r="G19638">
        <v>118472418</v>
      </c>
      <c r="H19638">
        <v>118472458</v>
      </c>
      <c r="I19638">
        <v>118472465</v>
      </c>
    </row>
    <row r="19639" spans="1:9" x14ac:dyDescent="0.2">
      <c r="A19639" s="1" t="str">
        <f>"WDR31"</f>
        <v>WDR31</v>
      </c>
      <c r="B19639" t="s">
        <v>14</v>
      </c>
      <c r="C19639" t="s">
        <v>24</v>
      </c>
      <c r="D19639" t="s">
        <v>11</v>
      </c>
      <c r="E19639" t="s">
        <v>12</v>
      </c>
      <c r="F19639">
        <v>116102530</v>
      </c>
      <c r="G19639">
        <v>116102548</v>
      </c>
      <c r="H19639">
        <v>116102549</v>
      </c>
      <c r="I19639">
        <v>116102565</v>
      </c>
    </row>
    <row r="19640" spans="1:9" x14ac:dyDescent="0.2">
      <c r="A19640" s="1" t="str">
        <f>"WDR33"</f>
        <v>WDR33</v>
      </c>
      <c r="B19640" t="s">
        <v>14</v>
      </c>
      <c r="C19640" t="s">
        <v>26</v>
      </c>
      <c r="D19640" t="s">
        <v>11</v>
      </c>
      <c r="E19640" t="s">
        <v>12</v>
      </c>
      <c r="F19640">
        <v>128568725</v>
      </c>
      <c r="G19640">
        <v>128568766</v>
      </c>
      <c r="H19640">
        <v>128568725</v>
      </c>
      <c r="I19640">
        <v>128568766</v>
      </c>
    </row>
    <row r="19641" spans="1:9" x14ac:dyDescent="0.2">
      <c r="A19641" s="1" t="str">
        <f>"WDR34"</f>
        <v>WDR34</v>
      </c>
      <c r="B19641" t="s">
        <v>14</v>
      </c>
      <c r="C19641" t="s">
        <v>24</v>
      </c>
      <c r="D19641" t="s">
        <v>11</v>
      </c>
      <c r="E19641" t="s">
        <v>12</v>
      </c>
      <c r="F19641">
        <v>131418944</v>
      </c>
      <c r="G19641">
        <v>131419017</v>
      </c>
      <c r="H19641">
        <v>131418930</v>
      </c>
      <c r="I19641">
        <v>131418943</v>
      </c>
    </row>
    <row r="19642" spans="1:9" x14ac:dyDescent="0.2">
      <c r="A19642" s="1" t="str">
        <f>"WDR35"</f>
        <v>WDR35</v>
      </c>
      <c r="B19642" t="s">
        <v>14</v>
      </c>
      <c r="C19642" t="s">
        <v>26</v>
      </c>
      <c r="D19642" t="s">
        <v>11</v>
      </c>
      <c r="E19642" t="s">
        <v>12</v>
      </c>
      <c r="F19642">
        <v>20189819</v>
      </c>
      <c r="G19642">
        <v>20189923</v>
      </c>
      <c r="H19642">
        <v>20189819</v>
      </c>
      <c r="I19642">
        <v>20189923</v>
      </c>
    </row>
    <row r="19643" spans="1:9" x14ac:dyDescent="0.2">
      <c r="A19643" s="1" t="str">
        <f>"WDR36"</f>
        <v>WDR36</v>
      </c>
      <c r="B19643" t="s">
        <v>14</v>
      </c>
      <c r="C19643" t="s">
        <v>46</v>
      </c>
      <c r="D19643" t="s">
        <v>17</v>
      </c>
      <c r="E19643" t="s">
        <v>12</v>
      </c>
      <c r="F19643">
        <v>110428004</v>
      </c>
      <c r="G19643">
        <v>110428087</v>
      </c>
      <c r="H19643">
        <v>110428100</v>
      </c>
      <c r="I19643">
        <v>110428113</v>
      </c>
    </row>
    <row r="19644" spans="1:9" x14ac:dyDescent="0.2">
      <c r="A19644" s="1" t="str">
        <f>"WDR37"</f>
        <v>WDR37</v>
      </c>
      <c r="B19644" t="s">
        <v>14</v>
      </c>
      <c r="C19644" t="s">
        <v>15</v>
      </c>
      <c r="D19644" t="s">
        <v>17</v>
      </c>
      <c r="E19644" t="s">
        <v>12</v>
      </c>
      <c r="F19644">
        <v>1102303</v>
      </c>
      <c r="G19644">
        <v>1102379</v>
      </c>
      <c r="H19644">
        <v>1102721</v>
      </c>
      <c r="I19644">
        <v>1102805</v>
      </c>
    </row>
    <row r="19645" spans="1:9" x14ac:dyDescent="0.2">
      <c r="A19645" s="1" t="str">
        <f>"WDR38"</f>
        <v>WDR38</v>
      </c>
      <c r="B19645" t="s">
        <v>14</v>
      </c>
      <c r="C19645" t="s">
        <v>24</v>
      </c>
      <c r="D19645" t="s">
        <v>17</v>
      </c>
      <c r="E19645" t="s">
        <v>12</v>
      </c>
      <c r="F19645">
        <v>127615733</v>
      </c>
      <c r="G19645">
        <v>127615756</v>
      </c>
      <c r="H19645">
        <v>127615715</v>
      </c>
      <c r="I19645">
        <v>127615732</v>
      </c>
    </row>
    <row r="19646" spans="1:9" x14ac:dyDescent="0.2">
      <c r="A19646" s="1" t="str">
        <f>"WDR4"</f>
        <v>WDR4</v>
      </c>
      <c r="B19646" t="s">
        <v>14</v>
      </c>
      <c r="C19646" t="s">
        <v>42</v>
      </c>
      <c r="D19646" t="s">
        <v>11</v>
      </c>
      <c r="E19646" t="s">
        <v>12</v>
      </c>
      <c r="F19646">
        <v>44299626</v>
      </c>
      <c r="G19646">
        <v>44299682</v>
      </c>
      <c r="H19646">
        <v>44299683</v>
      </c>
      <c r="I19646">
        <v>44299693</v>
      </c>
    </row>
    <row r="19647" spans="1:9" x14ac:dyDescent="0.2">
      <c r="A19647" s="1" t="str">
        <f>"WDR41"</f>
        <v>WDR41</v>
      </c>
      <c r="B19647" t="s">
        <v>14</v>
      </c>
      <c r="C19647" t="s">
        <v>46</v>
      </c>
      <c r="D19647" t="s">
        <v>11</v>
      </c>
      <c r="E19647" t="s">
        <v>12</v>
      </c>
      <c r="F19647">
        <v>76788037</v>
      </c>
      <c r="G19647">
        <v>76788098</v>
      </c>
      <c r="H19647">
        <v>76788317</v>
      </c>
      <c r="I19647">
        <v>76788339</v>
      </c>
    </row>
    <row r="19648" spans="1:9" x14ac:dyDescent="0.2">
      <c r="A19648" s="1" t="str">
        <f>"WDR43"</f>
        <v>WDR43</v>
      </c>
      <c r="B19648" t="s">
        <v>14</v>
      </c>
      <c r="C19648" t="s">
        <v>26</v>
      </c>
      <c r="D19648" t="s">
        <v>17</v>
      </c>
      <c r="E19648" t="s">
        <v>12</v>
      </c>
      <c r="F19648">
        <v>29117521</v>
      </c>
      <c r="G19648">
        <v>29117569</v>
      </c>
      <c r="H19648">
        <v>29117521</v>
      </c>
      <c r="I19648">
        <v>29117569</v>
      </c>
    </row>
    <row r="19649" spans="1:9" x14ac:dyDescent="0.2">
      <c r="A19649" s="1" t="str">
        <f>"WDR44"</f>
        <v>WDR44</v>
      </c>
      <c r="B19649" t="s">
        <v>14</v>
      </c>
      <c r="C19649" t="s">
        <v>37</v>
      </c>
      <c r="D19649" t="s">
        <v>17</v>
      </c>
      <c r="E19649" t="s">
        <v>12</v>
      </c>
      <c r="F19649">
        <v>117480036</v>
      </c>
      <c r="G19649">
        <v>117480139</v>
      </c>
      <c r="H19649">
        <v>117480440</v>
      </c>
      <c r="I19649">
        <v>117480474</v>
      </c>
    </row>
    <row r="19650" spans="1:9" x14ac:dyDescent="0.2">
      <c r="A19650" s="1" t="str">
        <f>"WDR45"</f>
        <v>WDR45</v>
      </c>
      <c r="B19650" t="s">
        <v>14</v>
      </c>
      <c r="C19650" t="s">
        <v>37</v>
      </c>
      <c r="D19650" t="s">
        <v>11</v>
      </c>
      <c r="E19650" t="s">
        <v>12</v>
      </c>
      <c r="F19650">
        <v>48937535</v>
      </c>
      <c r="G19650">
        <v>48937580</v>
      </c>
      <c r="H19650">
        <v>48937503</v>
      </c>
      <c r="I19650">
        <v>48937525</v>
      </c>
    </row>
    <row r="19651" spans="1:9" x14ac:dyDescent="0.2">
      <c r="A19651" s="1" t="str">
        <f>"WDR45B"</f>
        <v>WDR45B</v>
      </c>
      <c r="B19651" t="s">
        <v>14</v>
      </c>
      <c r="C19651" t="s">
        <v>28</v>
      </c>
      <c r="D19651" t="s">
        <v>11</v>
      </c>
      <c r="E19651" t="s">
        <v>12</v>
      </c>
      <c r="F19651">
        <v>80606304</v>
      </c>
      <c r="G19651">
        <v>80606326</v>
      </c>
      <c r="H19651">
        <v>80606304</v>
      </c>
      <c r="I19651">
        <v>80606326</v>
      </c>
    </row>
    <row r="19652" spans="1:9" x14ac:dyDescent="0.2">
      <c r="A19652" s="1" t="str">
        <f>"WDR46"</f>
        <v>WDR46</v>
      </c>
      <c r="B19652" t="s">
        <v>14</v>
      </c>
      <c r="C19652" t="s">
        <v>32</v>
      </c>
      <c r="D19652" t="s">
        <v>11</v>
      </c>
      <c r="E19652" t="s">
        <v>12</v>
      </c>
      <c r="F19652">
        <v>33256968</v>
      </c>
      <c r="G19652">
        <v>33257027</v>
      </c>
      <c r="H19652">
        <v>33256756</v>
      </c>
      <c r="I19652">
        <v>33256806</v>
      </c>
    </row>
    <row r="19653" spans="1:9" x14ac:dyDescent="0.2">
      <c r="A19653" s="1" t="str">
        <f>"WDR47"</f>
        <v>WDR47</v>
      </c>
      <c r="B19653" t="s">
        <v>14</v>
      </c>
      <c r="C19653" t="s">
        <v>19</v>
      </c>
      <c r="D19653" t="s">
        <v>11</v>
      </c>
      <c r="E19653" t="s">
        <v>12</v>
      </c>
      <c r="F19653">
        <v>109584716</v>
      </c>
      <c r="G19653">
        <v>109584762</v>
      </c>
      <c r="H19653">
        <v>109584701</v>
      </c>
      <c r="I19653">
        <v>109584712</v>
      </c>
    </row>
    <row r="19654" spans="1:9" x14ac:dyDescent="0.2">
      <c r="A19654" s="1" t="str">
        <f>"WDR48"</f>
        <v>WDR48</v>
      </c>
      <c r="B19654" t="s">
        <v>14</v>
      </c>
      <c r="C19654" t="s">
        <v>22</v>
      </c>
      <c r="D19654" t="s">
        <v>17</v>
      </c>
      <c r="E19654" t="s">
        <v>12</v>
      </c>
      <c r="F19654">
        <v>39093481</v>
      </c>
      <c r="G19654">
        <v>39093520</v>
      </c>
      <c r="H19654">
        <v>39093858</v>
      </c>
      <c r="I19654">
        <v>39093901</v>
      </c>
    </row>
    <row r="19655" spans="1:9" x14ac:dyDescent="0.2">
      <c r="A19655" s="1" t="str">
        <f>"WDR49"</f>
        <v>WDR49</v>
      </c>
      <c r="B19655" t="s">
        <v>14</v>
      </c>
      <c r="C19655" t="s">
        <v>22</v>
      </c>
      <c r="D19655" t="s">
        <v>11</v>
      </c>
      <c r="E19655" t="s">
        <v>12</v>
      </c>
      <c r="F19655">
        <v>167371704</v>
      </c>
      <c r="G19655">
        <v>167371736</v>
      </c>
      <c r="H19655">
        <v>167371740</v>
      </c>
      <c r="I19655">
        <v>167371757</v>
      </c>
    </row>
    <row r="19656" spans="1:9" x14ac:dyDescent="0.2">
      <c r="A19656" s="1" t="str">
        <f>"WDR5"</f>
        <v>WDR5</v>
      </c>
      <c r="B19656" t="s">
        <v>14</v>
      </c>
      <c r="C19656" t="s">
        <v>24</v>
      </c>
      <c r="D19656" t="s">
        <v>17</v>
      </c>
      <c r="E19656" t="s">
        <v>12</v>
      </c>
      <c r="F19656">
        <v>137001185</v>
      </c>
      <c r="G19656">
        <v>137001233</v>
      </c>
      <c r="H19656">
        <v>137001235</v>
      </c>
      <c r="I19656">
        <v>137001260</v>
      </c>
    </row>
    <row r="19657" spans="1:9" x14ac:dyDescent="0.2">
      <c r="A19657" s="1" t="str">
        <f>"WDR52"</f>
        <v>WDR52</v>
      </c>
      <c r="B19657" t="s">
        <v>14</v>
      </c>
      <c r="C19657" t="s">
        <v>22</v>
      </c>
      <c r="D19657" t="s">
        <v>11</v>
      </c>
      <c r="E19657" t="s">
        <v>12</v>
      </c>
      <c r="F19657">
        <v>113160334</v>
      </c>
      <c r="G19657">
        <v>113160373</v>
      </c>
      <c r="H19657">
        <v>113160334</v>
      </c>
      <c r="I19657">
        <v>113160373</v>
      </c>
    </row>
    <row r="19658" spans="1:9" x14ac:dyDescent="0.2">
      <c r="A19658" s="1" t="str">
        <f>"WDR53"</f>
        <v>WDR53</v>
      </c>
      <c r="B19658" t="s">
        <v>14</v>
      </c>
      <c r="C19658" t="s">
        <v>22</v>
      </c>
      <c r="D19658" t="s">
        <v>11</v>
      </c>
      <c r="E19658" t="s">
        <v>12</v>
      </c>
      <c r="F19658">
        <v>196295385</v>
      </c>
      <c r="G19658">
        <v>196295407</v>
      </c>
      <c r="H19658">
        <v>196295413</v>
      </c>
      <c r="I19658">
        <v>196295436</v>
      </c>
    </row>
    <row r="19659" spans="1:9" x14ac:dyDescent="0.2">
      <c r="A19659" s="1" t="str">
        <f>"WDR54"</f>
        <v>WDR54</v>
      </c>
      <c r="B19659" t="s">
        <v>14</v>
      </c>
      <c r="C19659" t="s">
        <v>26</v>
      </c>
      <c r="D19659" t="s">
        <v>17</v>
      </c>
      <c r="E19659" t="s">
        <v>12</v>
      </c>
      <c r="F19659">
        <v>74648848</v>
      </c>
      <c r="G19659">
        <v>74648894</v>
      </c>
      <c r="H19659">
        <v>74649337</v>
      </c>
      <c r="I19659">
        <v>74649349</v>
      </c>
    </row>
    <row r="19660" spans="1:9" x14ac:dyDescent="0.2">
      <c r="A19660" s="1" t="str">
        <f>"WDR55"</f>
        <v>WDR55</v>
      </c>
      <c r="B19660" t="s">
        <v>14</v>
      </c>
      <c r="C19660" t="s">
        <v>46</v>
      </c>
      <c r="D19660" t="s">
        <v>17</v>
      </c>
      <c r="E19660" t="s">
        <v>12</v>
      </c>
      <c r="F19660">
        <v>140044408</v>
      </c>
      <c r="G19660">
        <v>140044464</v>
      </c>
      <c r="H19660">
        <v>140044481</v>
      </c>
      <c r="I19660">
        <v>140044498</v>
      </c>
    </row>
    <row r="19661" spans="1:9" x14ac:dyDescent="0.2">
      <c r="A19661" s="1" t="str">
        <f>"WDR59"</f>
        <v>WDR59</v>
      </c>
      <c r="B19661" t="s">
        <v>14</v>
      </c>
      <c r="C19661" t="s">
        <v>31</v>
      </c>
      <c r="D19661" t="s">
        <v>11</v>
      </c>
      <c r="E19661" t="s">
        <v>12</v>
      </c>
      <c r="F19661">
        <v>75018968</v>
      </c>
      <c r="G19661">
        <v>75019054</v>
      </c>
      <c r="H19661">
        <v>75019055</v>
      </c>
      <c r="I19661">
        <v>75019066</v>
      </c>
    </row>
    <row r="19662" spans="1:9" x14ac:dyDescent="0.2">
      <c r="A19662" s="1" t="str">
        <f>"WDR5B"</f>
        <v>WDR5B</v>
      </c>
      <c r="B19662" t="s">
        <v>14</v>
      </c>
      <c r="C19662" t="s">
        <v>22</v>
      </c>
      <c r="D19662" t="s">
        <v>11</v>
      </c>
      <c r="E19662" t="s">
        <v>12</v>
      </c>
      <c r="F19662">
        <v>122134882</v>
      </c>
      <c r="G19662">
        <v>122134951</v>
      </c>
      <c r="H19662">
        <v>122134882</v>
      </c>
      <c r="I19662">
        <v>122134951</v>
      </c>
    </row>
    <row r="19663" spans="1:9" x14ac:dyDescent="0.2">
      <c r="A19663" s="1" t="str">
        <f>"WDR6"</f>
        <v>WDR6</v>
      </c>
      <c r="B19663" t="s">
        <v>14</v>
      </c>
      <c r="C19663" t="s">
        <v>22</v>
      </c>
      <c r="D19663" t="s">
        <v>17</v>
      </c>
      <c r="E19663" t="s">
        <v>12</v>
      </c>
      <c r="F19663">
        <v>49044798</v>
      </c>
      <c r="G19663">
        <v>49044841</v>
      </c>
      <c r="H19663">
        <v>49044848</v>
      </c>
      <c r="I19663">
        <v>49044864</v>
      </c>
    </row>
    <row r="19664" spans="1:9" x14ac:dyDescent="0.2">
      <c r="A19664" s="1" t="str">
        <f>"WDR60"</f>
        <v>WDR60</v>
      </c>
      <c r="B19664" t="s">
        <v>14</v>
      </c>
      <c r="C19664" t="s">
        <v>33</v>
      </c>
      <c r="D19664" t="s">
        <v>17</v>
      </c>
      <c r="E19664" t="s">
        <v>12</v>
      </c>
      <c r="F19664">
        <v>158649242</v>
      </c>
      <c r="G19664">
        <v>158649335</v>
      </c>
      <c r="H19664">
        <v>158649338</v>
      </c>
      <c r="I19664">
        <v>158649374</v>
      </c>
    </row>
    <row r="19665" spans="1:9" x14ac:dyDescent="0.2">
      <c r="A19665" s="1" t="str">
        <f>"WDR61"</f>
        <v>WDR61</v>
      </c>
      <c r="B19665" t="s">
        <v>14</v>
      </c>
      <c r="C19665" t="s">
        <v>25</v>
      </c>
      <c r="D19665" t="s">
        <v>11</v>
      </c>
      <c r="E19665" t="s">
        <v>12</v>
      </c>
      <c r="F19665">
        <v>78591927</v>
      </c>
      <c r="G19665">
        <v>78591969</v>
      </c>
      <c r="H19665">
        <v>78591970</v>
      </c>
      <c r="I19665">
        <v>78591984</v>
      </c>
    </row>
    <row r="19666" spans="1:9" x14ac:dyDescent="0.2">
      <c r="A19666" s="1" t="str">
        <f>"WDR62"</f>
        <v>WDR62</v>
      </c>
      <c r="B19666" t="s">
        <v>14</v>
      </c>
      <c r="C19666" t="s">
        <v>10</v>
      </c>
      <c r="D19666" t="s">
        <v>17</v>
      </c>
      <c r="E19666" t="s">
        <v>12</v>
      </c>
      <c r="F19666">
        <v>36545781</v>
      </c>
      <c r="G19666">
        <v>36545828</v>
      </c>
      <c r="H19666">
        <v>36545833</v>
      </c>
      <c r="I19666">
        <v>36545875</v>
      </c>
    </row>
    <row r="19667" spans="1:9" x14ac:dyDescent="0.2">
      <c r="A19667" s="1" t="str">
        <f>"WDR63"</f>
        <v>WDR63</v>
      </c>
      <c r="B19667" t="s">
        <v>14</v>
      </c>
      <c r="C19667" t="s">
        <v>19</v>
      </c>
      <c r="D19667" t="s">
        <v>17</v>
      </c>
      <c r="E19667" t="s">
        <v>12</v>
      </c>
      <c r="F19667">
        <v>85528018</v>
      </c>
      <c r="G19667">
        <v>85528039</v>
      </c>
      <c r="H19667">
        <v>85527987</v>
      </c>
      <c r="I19667">
        <v>85528016</v>
      </c>
    </row>
    <row r="19668" spans="1:9" x14ac:dyDescent="0.2">
      <c r="A19668" s="1" t="str">
        <f>"WDR64"</f>
        <v>WDR64</v>
      </c>
      <c r="B19668" t="s">
        <v>14</v>
      </c>
      <c r="C19668" t="s">
        <v>19</v>
      </c>
      <c r="D19668" t="s">
        <v>17</v>
      </c>
      <c r="E19668" t="s">
        <v>12</v>
      </c>
      <c r="F19668">
        <v>241815577</v>
      </c>
      <c r="G19668">
        <v>241815588</v>
      </c>
      <c r="H19668">
        <v>241815577</v>
      </c>
      <c r="I19668">
        <v>241815588</v>
      </c>
    </row>
    <row r="19669" spans="1:9" x14ac:dyDescent="0.2">
      <c r="A19669" s="1" t="str">
        <f>"WDR65"</f>
        <v>WDR65</v>
      </c>
      <c r="B19669" t="s">
        <v>14</v>
      </c>
      <c r="C19669" t="s">
        <v>19</v>
      </c>
      <c r="D19669" t="s">
        <v>17</v>
      </c>
      <c r="E19669" t="s">
        <v>12</v>
      </c>
      <c r="F19669">
        <v>43637996</v>
      </c>
      <c r="G19669">
        <v>43638036</v>
      </c>
      <c r="H19669">
        <v>43638039</v>
      </c>
      <c r="I19669">
        <v>43638053</v>
      </c>
    </row>
    <row r="19670" spans="1:9" x14ac:dyDescent="0.2">
      <c r="A19670" s="1" t="str">
        <f>"WDR66"</f>
        <v>WDR66</v>
      </c>
      <c r="B19670" t="s">
        <v>14</v>
      </c>
      <c r="C19670" t="s">
        <v>16</v>
      </c>
      <c r="D19670" t="s">
        <v>17</v>
      </c>
      <c r="E19670" t="s">
        <v>12</v>
      </c>
      <c r="F19670">
        <v>122356488</v>
      </c>
      <c r="G19670">
        <v>122356522</v>
      </c>
      <c r="H19670">
        <v>122356460</v>
      </c>
      <c r="I19670">
        <v>122356485</v>
      </c>
    </row>
    <row r="19671" spans="1:9" x14ac:dyDescent="0.2">
      <c r="A19671" s="1" t="str">
        <f>"WDR7"</f>
        <v>WDR7</v>
      </c>
      <c r="B19671" t="s">
        <v>14</v>
      </c>
      <c r="C19671" t="s">
        <v>43</v>
      </c>
      <c r="D19671" t="s">
        <v>17</v>
      </c>
      <c r="E19671" t="s">
        <v>12</v>
      </c>
      <c r="F19671">
        <v>54318566</v>
      </c>
      <c r="G19671">
        <v>54318609</v>
      </c>
      <c r="H19671">
        <v>54318616</v>
      </c>
      <c r="I19671">
        <v>54318640</v>
      </c>
    </row>
    <row r="19672" spans="1:9" x14ac:dyDescent="0.2">
      <c r="A19672" s="1" t="str">
        <f>"WDR70"</f>
        <v>WDR70</v>
      </c>
      <c r="B19672" t="s">
        <v>14</v>
      </c>
      <c r="C19672" t="s">
        <v>46</v>
      </c>
      <c r="D19672" t="s">
        <v>17</v>
      </c>
      <c r="E19672" t="s">
        <v>12</v>
      </c>
      <c r="F19672">
        <v>37379413</v>
      </c>
      <c r="G19672">
        <v>37379443</v>
      </c>
      <c r="H19672">
        <v>37379384</v>
      </c>
      <c r="I19672">
        <v>37379395</v>
      </c>
    </row>
    <row r="19673" spans="1:9" x14ac:dyDescent="0.2">
      <c r="A19673" s="1" t="str">
        <f>"WDR72"</f>
        <v>WDR72</v>
      </c>
      <c r="B19673" t="s">
        <v>14</v>
      </c>
      <c r="C19673" t="s">
        <v>25</v>
      </c>
      <c r="D19673" t="s">
        <v>11</v>
      </c>
      <c r="E19673" t="s">
        <v>12</v>
      </c>
      <c r="F19673">
        <v>54051846</v>
      </c>
      <c r="G19673">
        <v>54051904</v>
      </c>
      <c r="H19673">
        <v>54051846</v>
      </c>
      <c r="I19673">
        <v>54051904</v>
      </c>
    </row>
    <row r="19674" spans="1:9" x14ac:dyDescent="0.2">
      <c r="A19674" s="1" t="str">
        <f>"WDR73"</f>
        <v>WDR73</v>
      </c>
      <c r="B19674" t="s">
        <v>14</v>
      </c>
      <c r="C19674" t="s">
        <v>25</v>
      </c>
      <c r="D19674" t="s">
        <v>11</v>
      </c>
      <c r="E19674" t="s">
        <v>12</v>
      </c>
      <c r="F19674">
        <v>85197501</v>
      </c>
      <c r="G19674">
        <v>85197526</v>
      </c>
      <c r="H19674">
        <v>85197219</v>
      </c>
      <c r="I19674">
        <v>85197260</v>
      </c>
    </row>
    <row r="19675" spans="1:9" x14ac:dyDescent="0.2">
      <c r="A19675" s="1" t="str">
        <f>"WDR74"</f>
        <v>WDR74</v>
      </c>
      <c r="B19675" t="s">
        <v>9</v>
      </c>
      <c r="C19675" t="s">
        <v>27</v>
      </c>
      <c r="D19675" t="s">
        <v>11</v>
      </c>
      <c r="E19675" t="s">
        <v>12</v>
      </c>
      <c r="F19675">
        <v>62607036</v>
      </c>
      <c r="G19675">
        <v>62607080</v>
      </c>
      <c r="H19675">
        <v>62607036</v>
      </c>
      <c r="I19675">
        <v>62607080</v>
      </c>
    </row>
    <row r="19676" spans="1:9" x14ac:dyDescent="0.2">
      <c r="A19676" s="1" t="str">
        <f>"WDR74"</f>
        <v>WDR74</v>
      </c>
      <c r="B19676" t="s">
        <v>13</v>
      </c>
      <c r="C19676" t="s">
        <v>27</v>
      </c>
      <c r="D19676" t="s">
        <v>11</v>
      </c>
      <c r="E19676" t="s">
        <v>12</v>
      </c>
      <c r="F19676">
        <v>62609281</v>
      </c>
      <c r="G19676">
        <v>62609282</v>
      </c>
      <c r="H19676">
        <v>62609281</v>
      </c>
      <c r="I19676">
        <v>62609282</v>
      </c>
    </row>
    <row r="19677" spans="1:9" x14ac:dyDescent="0.2">
      <c r="A19677" s="1" t="str">
        <f>"WDR75"</f>
        <v>WDR75</v>
      </c>
      <c r="B19677" t="s">
        <v>14</v>
      </c>
      <c r="C19677" t="s">
        <v>26</v>
      </c>
      <c r="D19677" t="s">
        <v>17</v>
      </c>
      <c r="E19677" t="s">
        <v>12</v>
      </c>
      <c r="F19677">
        <v>190306186</v>
      </c>
      <c r="G19677">
        <v>190306213</v>
      </c>
      <c r="H19677">
        <v>190306172</v>
      </c>
      <c r="I19677">
        <v>190306184</v>
      </c>
    </row>
    <row r="19678" spans="1:9" x14ac:dyDescent="0.2">
      <c r="A19678" s="1" t="str">
        <f>"WDR76"</f>
        <v>WDR76</v>
      </c>
      <c r="B19678" t="s">
        <v>14</v>
      </c>
      <c r="C19678" t="s">
        <v>25</v>
      </c>
      <c r="D19678" t="s">
        <v>17</v>
      </c>
      <c r="E19678" t="s">
        <v>12</v>
      </c>
      <c r="F19678">
        <v>44119159</v>
      </c>
      <c r="G19678">
        <v>44119226</v>
      </c>
      <c r="H19678">
        <v>44119159</v>
      </c>
      <c r="I19678">
        <v>44119226</v>
      </c>
    </row>
    <row r="19679" spans="1:9" x14ac:dyDescent="0.2">
      <c r="A19679" s="1" t="str">
        <f>"WDR77"</f>
        <v>WDR77</v>
      </c>
      <c r="B19679" t="s">
        <v>14</v>
      </c>
      <c r="C19679" t="s">
        <v>19</v>
      </c>
      <c r="D19679" t="s">
        <v>11</v>
      </c>
      <c r="E19679" t="s">
        <v>12</v>
      </c>
      <c r="F19679">
        <v>111991850</v>
      </c>
      <c r="G19679">
        <v>111991885</v>
      </c>
      <c r="H19679">
        <v>111991832</v>
      </c>
      <c r="I19679">
        <v>111991849</v>
      </c>
    </row>
    <row r="19680" spans="1:9" x14ac:dyDescent="0.2">
      <c r="A19680" s="1" t="str">
        <f>"WDR78"</f>
        <v>WDR78</v>
      </c>
      <c r="B19680" t="s">
        <v>14</v>
      </c>
      <c r="C19680" t="s">
        <v>19</v>
      </c>
      <c r="D19680" t="s">
        <v>11</v>
      </c>
      <c r="E19680" t="s">
        <v>12</v>
      </c>
      <c r="F19680">
        <v>67390474</v>
      </c>
      <c r="G19680">
        <v>67390548</v>
      </c>
      <c r="H19680">
        <v>67390474</v>
      </c>
      <c r="I19680">
        <v>67390548</v>
      </c>
    </row>
    <row r="19681" spans="1:9" x14ac:dyDescent="0.2">
      <c r="A19681" s="1" t="str">
        <f>"WDR81"</f>
        <v>WDR81</v>
      </c>
      <c r="B19681" t="s">
        <v>9</v>
      </c>
      <c r="C19681" t="s">
        <v>28</v>
      </c>
      <c r="D19681" t="s">
        <v>17</v>
      </c>
      <c r="E19681" t="s">
        <v>12</v>
      </c>
      <c r="F19681">
        <v>1627974</v>
      </c>
      <c r="G19681">
        <v>1628063</v>
      </c>
      <c r="H19681">
        <v>1627974</v>
      </c>
      <c r="I19681">
        <v>1628063</v>
      </c>
    </row>
    <row r="19682" spans="1:9" x14ac:dyDescent="0.2">
      <c r="A19682" s="1" t="str">
        <f>"WDR81"</f>
        <v>WDR81</v>
      </c>
      <c r="B19682" t="s">
        <v>13</v>
      </c>
      <c r="C19682" t="s">
        <v>28</v>
      </c>
      <c r="D19682" t="s">
        <v>17</v>
      </c>
      <c r="E19682" t="s">
        <v>12</v>
      </c>
      <c r="F19682">
        <v>1619813</v>
      </c>
      <c r="G19682">
        <v>1619844</v>
      </c>
      <c r="H19682">
        <v>1619813</v>
      </c>
      <c r="I19682">
        <v>1619844</v>
      </c>
    </row>
    <row r="19683" spans="1:9" x14ac:dyDescent="0.2">
      <c r="A19683" s="1" t="str">
        <f>"WDR82"</f>
        <v>WDR82</v>
      </c>
      <c r="B19683" t="s">
        <v>14</v>
      </c>
      <c r="C19683" t="s">
        <v>22</v>
      </c>
      <c r="D19683" t="s">
        <v>11</v>
      </c>
      <c r="E19683" t="s">
        <v>12</v>
      </c>
      <c r="F19683">
        <v>52312636</v>
      </c>
      <c r="G19683">
        <v>52312673</v>
      </c>
      <c r="H19683">
        <v>52312381</v>
      </c>
      <c r="I19683">
        <v>52312435</v>
      </c>
    </row>
    <row r="19684" spans="1:9" x14ac:dyDescent="0.2">
      <c r="A19684" s="1" t="str">
        <f>"WDR83"</f>
        <v>WDR83</v>
      </c>
      <c r="B19684" t="s">
        <v>9</v>
      </c>
      <c r="C19684" t="s">
        <v>10</v>
      </c>
      <c r="D19684" t="s">
        <v>17</v>
      </c>
      <c r="E19684" t="s">
        <v>12</v>
      </c>
      <c r="F19684">
        <v>12780512</v>
      </c>
      <c r="G19684">
        <v>12780556</v>
      </c>
      <c r="H19684">
        <v>12780512</v>
      </c>
      <c r="I19684">
        <v>12780556</v>
      </c>
    </row>
    <row r="19685" spans="1:9" x14ac:dyDescent="0.2">
      <c r="A19685" s="1" t="str">
        <f>"WDR83"</f>
        <v>WDR83</v>
      </c>
      <c r="B19685" t="s">
        <v>13</v>
      </c>
      <c r="C19685" t="s">
        <v>10</v>
      </c>
      <c r="D19685" t="s">
        <v>17</v>
      </c>
      <c r="E19685" t="s">
        <v>12</v>
      </c>
      <c r="F19685">
        <v>12777614</v>
      </c>
      <c r="G19685">
        <v>12777666</v>
      </c>
      <c r="H19685">
        <v>12777614</v>
      </c>
      <c r="I19685">
        <v>12777666</v>
      </c>
    </row>
    <row r="19686" spans="1:9" x14ac:dyDescent="0.2">
      <c r="A19686" s="1" t="str">
        <f>"WDR83OS"</f>
        <v>WDR83OS</v>
      </c>
      <c r="B19686" t="s">
        <v>14</v>
      </c>
      <c r="C19686" t="s">
        <v>10</v>
      </c>
      <c r="D19686" t="s">
        <v>11</v>
      </c>
      <c r="E19686" t="s">
        <v>12</v>
      </c>
      <c r="F19686">
        <v>12780211</v>
      </c>
      <c r="G19686">
        <v>12780249</v>
      </c>
      <c r="H19686">
        <v>12780205</v>
      </c>
      <c r="I19686">
        <v>12780210</v>
      </c>
    </row>
    <row r="19687" spans="1:9" x14ac:dyDescent="0.2">
      <c r="A19687" s="1" t="str">
        <f>"WDR86"</f>
        <v>WDR86</v>
      </c>
      <c r="B19687" t="s">
        <v>14</v>
      </c>
      <c r="C19687" t="s">
        <v>33</v>
      </c>
      <c r="D19687" t="s">
        <v>11</v>
      </c>
      <c r="E19687" t="s">
        <v>12</v>
      </c>
      <c r="F19687">
        <v>151107110</v>
      </c>
      <c r="G19687">
        <v>151107129</v>
      </c>
      <c r="H19687">
        <v>151106991</v>
      </c>
      <c r="I19687">
        <v>151107028</v>
      </c>
    </row>
    <row r="19688" spans="1:9" x14ac:dyDescent="0.2">
      <c r="A19688" s="1" t="str">
        <f>"WDR87"</f>
        <v>WDR87</v>
      </c>
      <c r="B19688" t="s">
        <v>14</v>
      </c>
      <c r="C19688" t="s">
        <v>10</v>
      </c>
      <c r="D19688" t="s">
        <v>11</v>
      </c>
      <c r="E19688" t="s">
        <v>12</v>
      </c>
      <c r="F19688">
        <v>38397228</v>
      </c>
      <c r="G19688">
        <v>38397266</v>
      </c>
      <c r="H19688">
        <v>38397712</v>
      </c>
      <c r="I19688">
        <v>38397750</v>
      </c>
    </row>
    <row r="19689" spans="1:9" x14ac:dyDescent="0.2">
      <c r="A19689" s="1" t="str">
        <f>"WDR88"</f>
        <v>WDR88</v>
      </c>
      <c r="B19689" t="s">
        <v>14</v>
      </c>
      <c r="C19689" t="s">
        <v>10</v>
      </c>
      <c r="D19689" t="s">
        <v>17</v>
      </c>
      <c r="E19689" t="s">
        <v>12</v>
      </c>
      <c r="F19689">
        <v>33623017</v>
      </c>
      <c r="G19689">
        <v>33623026</v>
      </c>
      <c r="H19689">
        <v>33623032</v>
      </c>
      <c r="I19689">
        <v>33623042</v>
      </c>
    </row>
    <row r="19690" spans="1:9" x14ac:dyDescent="0.2">
      <c r="A19690" s="1" t="str">
        <f>"WDR89"</f>
        <v>WDR89</v>
      </c>
      <c r="B19690" t="s">
        <v>14</v>
      </c>
      <c r="C19690" t="s">
        <v>41</v>
      </c>
      <c r="D19690" t="s">
        <v>11</v>
      </c>
      <c r="E19690" t="s">
        <v>12</v>
      </c>
      <c r="F19690">
        <v>64108537</v>
      </c>
      <c r="G19690">
        <v>64108597</v>
      </c>
      <c r="H19690">
        <v>64108203</v>
      </c>
      <c r="I19690">
        <v>64108217</v>
      </c>
    </row>
    <row r="19691" spans="1:9" x14ac:dyDescent="0.2">
      <c r="A19691" s="1" t="str">
        <f>"WDR90"</f>
        <v>WDR90</v>
      </c>
      <c r="B19691" t="s">
        <v>14</v>
      </c>
      <c r="C19691" t="s">
        <v>31</v>
      </c>
      <c r="D19691" t="s">
        <v>17</v>
      </c>
      <c r="E19691" t="s">
        <v>12</v>
      </c>
      <c r="F19691">
        <v>699319</v>
      </c>
      <c r="G19691">
        <v>699409</v>
      </c>
      <c r="H19691">
        <v>699294</v>
      </c>
      <c r="I19691">
        <v>699314</v>
      </c>
    </row>
    <row r="19692" spans="1:9" x14ac:dyDescent="0.2">
      <c r="A19692" s="1" t="str">
        <f>"WDR91"</f>
        <v>WDR91</v>
      </c>
      <c r="B19692" t="s">
        <v>14</v>
      </c>
      <c r="C19692" t="s">
        <v>33</v>
      </c>
      <c r="D19692" t="s">
        <v>11</v>
      </c>
      <c r="E19692" t="s">
        <v>12</v>
      </c>
      <c r="F19692">
        <v>134896234</v>
      </c>
      <c r="G19692">
        <v>134896304</v>
      </c>
      <c r="H19692">
        <v>134896234</v>
      </c>
      <c r="I19692">
        <v>134896304</v>
      </c>
    </row>
    <row r="19693" spans="1:9" x14ac:dyDescent="0.2">
      <c r="A19693" s="1" t="str">
        <f>"WDR92"</f>
        <v>WDR92</v>
      </c>
      <c r="B19693" t="s">
        <v>14</v>
      </c>
      <c r="C19693" t="s">
        <v>26</v>
      </c>
      <c r="D19693" t="s">
        <v>11</v>
      </c>
      <c r="E19693" t="s">
        <v>12</v>
      </c>
      <c r="F19693">
        <v>68384603</v>
      </c>
      <c r="G19693">
        <v>68384693</v>
      </c>
      <c r="H19693">
        <v>68384710</v>
      </c>
      <c r="I19693">
        <v>68384719</v>
      </c>
    </row>
    <row r="19694" spans="1:9" x14ac:dyDescent="0.2">
      <c r="A19694" s="1" t="str">
        <f>"WDR93"</f>
        <v>WDR93</v>
      </c>
      <c r="B19694" t="s">
        <v>14</v>
      </c>
      <c r="C19694" t="s">
        <v>25</v>
      </c>
      <c r="D19694" t="s">
        <v>17</v>
      </c>
      <c r="E19694" t="s">
        <v>12</v>
      </c>
      <c r="F19694">
        <v>90234040</v>
      </c>
      <c r="G19694">
        <v>90234061</v>
      </c>
      <c r="H19694">
        <v>90234040</v>
      </c>
      <c r="I19694">
        <v>90234061</v>
      </c>
    </row>
    <row r="19695" spans="1:9" x14ac:dyDescent="0.2">
      <c r="A19695" s="1" t="str">
        <f>"WDR96"</f>
        <v>WDR96</v>
      </c>
      <c r="B19695" t="s">
        <v>14</v>
      </c>
      <c r="C19695" t="s">
        <v>15</v>
      </c>
      <c r="D19695" t="s">
        <v>11</v>
      </c>
      <c r="E19695" t="s">
        <v>12</v>
      </c>
      <c r="F19695">
        <v>105992059</v>
      </c>
      <c r="G19695">
        <v>105992138</v>
      </c>
      <c r="H19695">
        <v>105992034</v>
      </c>
      <c r="I19695">
        <v>105992039</v>
      </c>
    </row>
    <row r="19696" spans="1:9" x14ac:dyDescent="0.2">
      <c r="A19696" s="1" t="str">
        <f>"WDSUB1"</f>
        <v>WDSUB1</v>
      </c>
      <c r="B19696" t="s">
        <v>14</v>
      </c>
      <c r="C19696" t="s">
        <v>26</v>
      </c>
      <c r="D19696" t="s">
        <v>11</v>
      </c>
      <c r="E19696" t="s">
        <v>12</v>
      </c>
      <c r="F19696">
        <v>160143158</v>
      </c>
      <c r="G19696">
        <v>160143235</v>
      </c>
      <c r="H19696">
        <v>160143120</v>
      </c>
      <c r="I19696">
        <v>160143156</v>
      </c>
    </row>
    <row r="19697" spans="1:9" x14ac:dyDescent="0.2">
      <c r="A19697" s="1" t="str">
        <f>"WDTC1"</f>
        <v>WDTC1</v>
      </c>
      <c r="B19697" t="s">
        <v>14</v>
      </c>
      <c r="C19697" t="s">
        <v>19</v>
      </c>
      <c r="D19697" t="s">
        <v>17</v>
      </c>
      <c r="E19697" t="s">
        <v>12</v>
      </c>
      <c r="F19697">
        <v>27561104</v>
      </c>
      <c r="G19697">
        <v>27561159</v>
      </c>
      <c r="H19697">
        <v>27561175</v>
      </c>
      <c r="I19697">
        <v>27561202</v>
      </c>
    </row>
    <row r="19698" spans="1:9" x14ac:dyDescent="0.2">
      <c r="A19698" s="1" t="str">
        <f>"WDYHV1"</f>
        <v>WDYHV1</v>
      </c>
      <c r="B19698" t="s">
        <v>14</v>
      </c>
      <c r="C19698" t="s">
        <v>30</v>
      </c>
      <c r="D19698" t="s">
        <v>17</v>
      </c>
      <c r="E19698" t="s">
        <v>12</v>
      </c>
      <c r="F19698">
        <v>124429006</v>
      </c>
      <c r="G19698">
        <v>124429076</v>
      </c>
      <c r="H19698">
        <v>124428975</v>
      </c>
      <c r="I19698">
        <v>124428999</v>
      </c>
    </row>
    <row r="19699" spans="1:9" x14ac:dyDescent="0.2">
      <c r="A19699" s="1" t="str">
        <f>"WEE1"</f>
        <v>WEE1</v>
      </c>
      <c r="B19699" t="s">
        <v>14</v>
      </c>
      <c r="C19699" t="s">
        <v>27</v>
      </c>
      <c r="D19699" t="s">
        <v>17</v>
      </c>
      <c r="E19699" t="s">
        <v>12</v>
      </c>
      <c r="F19699">
        <v>9595180</v>
      </c>
      <c r="G19699">
        <v>9595267</v>
      </c>
      <c r="H19699">
        <v>9595270</v>
      </c>
      <c r="I19699">
        <v>9595290</v>
      </c>
    </row>
    <row r="19700" spans="1:9" x14ac:dyDescent="0.2">
      <c r="A19700" s="1" t="str">
        <f>"WEE2"</f>
        <v>WEE2</v>
      </c>
      <c r="B19700" t="s">
        <v>1818</v>
      </c>
      <c r="C19700" t="s">
        <v>33</v>
      </c>
      <c r="D19700" t="s">
        <v>17</v>
      </c>
      <c r="E19700" t="s">
        <v>20</v>
      </c>
      <c r="F19700">
        <v>141408152</v>
      </c>
      <c r="G19700">
        <v>141408152</v>
      </c>
      <c r="H19700">
        <v>141408152</v>
      </c>
      <c r="I19700">
        <v>141408152</v>
      </c>
    </row>
    <row r="19701" spans="1:9" x14ac:dyDescent="0.2">
      <c r="A19701" s="1" t="str">
        <f>"WFDC1"</f>
        <v>WFDC1</v>
      </c>
      <c r="B19701" t="s">
        <v>14</v>
      </c>
      <c r="C19701" t="s">
        <v>31</v>
      </c>
      <c r="D19701" t="s">
        <v>17</v>
      </c>
      <c r="E19701" t="s">
        <v>12</v>
      </c>
      <c r="F19701">
        <v>84328459</v>
      </c>
      <c r="G19701">
        <v>84328512</v>
      </c>
      <c r="H19701">
        <v>84328292</v>
      </c>
      <c r="I19701">
        <v>84328340</v>
      </c>
    </row>
    <row r="19702" spans="1:9" x14ac:dyDescent="0.2">
      <c r="A19702" s="1" t="str">
        <f>"WFDC10A"</f>
        <v>WFDC10A</v>
      </c>
      <c r="B19702" t="s">
        <v>14</v>
      </c>
      <c r="C19702" t="s">
        <v>29</v>
      </c>
      <c r="D19702" t="s">
        <v>17</v>
      </c>
      <c r="E19702" t="s">
        <v>12</v>
      </c>
      <c r="F19702">
        <v>44258371</v>
      </c>
      <c r="G19702">
        <v>44258390</v>
      </c>
      <c r="H19702">
        <v>44258358</v>
      </c>
      <c r="I19702">
        <v>44258370</v>
      </c>
    </row>
    <row r="19703" spans="1:9" x14ac:dyDescent="0.2">
      <c r="A19703" s="1" t="str">
        <f>"WFDC10B"</f>
        <v>WFDC10B</v>
      </c>
      <c r="B19703" t="s">
        <v>14</v>
      </c>
      <c r="C19703" t="s">
        <v>29</v>
      </c>
      <c r="D19703" t="s">
        <v>11</v>
      </c>
      <c r="E19703" t="s">
        <v>12</v>
      </c>
      <c r="F19703">
        <v>44333654</v>
      </c>
      <c r="G19703">
        <v>44333661</v>
      </c>
      <c r="H19703">
        <v>44333654</v>
      </c>
      <c r="I19703">
        <v>44333661</v>
      </c>
    </row>
    <row r="19704" spans="1:9" x14ac:dyDescent="0.2">
      <c r="A19704" s="1" t="str">
        <f>"WFDC11"</f>
        <v>WFDC11</v>
      </c>
      <c r="B19704" t="s">
        <v>1819</v>
      </c>
      <c r="C19704" t="s">
        <v>29</v>
      </c>
      <c r="D19704" t="s">
        <v>11</v>
      </c>
      <c r="E19704" t="s">
        <v>20</v>
      </c>
      <c r="F19704">
        <v>44298892</v>
      </c>
      <c r="G19704">
        <v>44298892</v>
      </c>
      <c r="H19704">
        <v>44298892</v>
      </c>
      <c r="I19704">
        <v>44298892</v>
      </c>
    </row>
    <row r="19705" spans="1:9" x14ac:dyDescent="0.2">
      <c r="A19705" s="1" t="str">
        <f>"WFDC12"</f>
        <v>WFDC12</v>
      </c>
      <c r="B19705" t="s">
        <v>14</v>
      </c>
      <c r="C19705" t="s">
        <v>29</v>
      </c>
      <c r="D19705" t="s">
        <v>11</v>
      </c>
      <c r="E19705" t="s">
        <v>12</v>
      </c>
      <c r="F19705">
        <v>43753104</v>
      </c>
      <c r="G19705">
        <v>43753107</v>
      </c>
      <c r="H19705">
        <v>43753104</v>
      </c>
      <c r="I19705">
        <v>43753107</v>
      </c>
    </row>
    <row r="19706" spans="1:9" x14ac:dyDescent="0.2">
      <c r="A19706" s="1" t="str">
        <f>"WFDC13"</f>
        <v>WFDC13</v>
      </c>
      <c r="B19706" t="s">
        <v>14</v>
      </c>
      <c r="C19706" t="s">
        <v>29</v>
      </c>
      <c r="D19706" t="s">
        <v>17</v>
      </c>
      <c r="E19706" t="s">
        <v>12</v>
      </c>
      <c r="F19706">
        <v>44330670</v>
      </c>
      <c r="G19706">
        <v>44330703</v>
      </c>
      <c r="H19706">
        <v>44330651</v>
      </c>
      <c r="I19706">
        <v>44330659</v>
      </c>
    </row>
    <row r="19707" spans="1:9" x14ac:dyDescent="0.2">
      <c r="A19707" s="1" t="str">
        <f>"WFDC2"</f>
        <v>WFDC2</v>
      </c>
      <c r="B19707" t="s">
        <v>14</v>
      </c>
      <c r="C19707" t="s">
        <v>29</v>
      </c>
      <c r="D19707" t="s">
        <v>17</v>
      </c>
      <c r="E19707" t="s">
        <v>12</v>
      </c>
      <c r="F19707">
        <v>44098385</v>
      </c>
      <c r="G19707">
        <v>44098401</v>
      </c>
      <c r="H19707">
        <v>44098361</v>
      </c>
      <c r="I19707">
        <v>44098373</v>
      </c>
    </row>
    <row r="19708" spans="1:9" x14ac:dyDescent="0.2">
      <c r="A19708" s="1" t="str">
        <f>"WFDC3"</f>
        <v>WFDC3</v>
      </c>
      <c r="B19708" t="s">
        <v>14</v>
      </c>
      <c r="C19708" t="s">
        <v>29</v>
      </c>
      <c r="D19708" t="s">
        <v>11</v>
      </c>
      <c r="E19708" t="s">
        <v>12</v>
      </c>
      <c r="F19708">
        <v>44420507</v>
      </c>
      <c r="G19708">
        <v>44420530</v>
      </c>
      <c r="H19708">
        <v>44420483</v>
      </c>
      <c r="I19708">
        <v>44420495</v>
      </c>
    </row>
    <row r="19709" spans="1:9" x14ac:dyDescent="0.2">
      <c r="A19709" s="1" t="str">
        <f>"WFDC5"</f>
        <v>WFDC5</v>
      </c>
      <c r="B19709" t="s">
        <v>14</v>
      </c>
      <c r="C19709" t="s">
        <v>29</v>
      </c>
      <c r="D19709" t="s">
        <v>11</v>
      </c>
      <c r="E19709" t="s">
        <v>12</v>
      </c>
      <c r="F19709">
        <v>43743790</v>
      </c>
      <c r="G19709">
        <v>43743820</v>
      </c>
      <c r="H19709">
        <v>43743845</v>
      </c>
      <c r="I19709">
        <v>43743858</v>
      </c>
    </row>
    <row r="19710" spans="1:9" x14ac:dyDescent="0.2">
      <c r="A19710" s="1" t="str">
        <f>"WFDC6"</f>
        <v>WFDC6</v>
      </c>
      <c r="B19710" t="s">
        <v>14</v>
      </c>
      <c r="C19710" t="s">
        <v>29</v>
      </c>
      <c r="D19710" t="s">
        <v>11</v>
      </c>
      <c r="E19710" t="s">
        <v>12</v>
      </c>
      <c r="F19710">
        <v>44168117</v>
      </c>
      <c r="G19710">
        <v>44168135</v>
      </c>
      <c r="H19710">
        <v>44168081</v>
      </c>
      <c r="I19710">
        <v>44168093</v>
      </c>
    </row>
    <row r="19711" spans="1:9" x14ac:dyDescent="0.2">
      <c r="A19711" s="1" t="str">
        <f>"WFDC8"</f>
        <v>WFDC8</v>
      </c>
      <c r="B19711" t="s">
        <v>14</v>
      </c>
      <c r="C19711" t="s">
        <v>29</v>
      </c>
      <c r="D19711" t="s">
        <v>11</v>
      </c>
      <c r="E19711" t="s">
        <v>12</v>
      </c>
      <c r="F19711">
        <v>44207915</v>
      </c>
      <c r="G19711">
        <v>44207929</v>
      </c>
      <c r="H19711">
        <v>44207890</v>
      </c>
      <c r="I19711">
        <v>44207899</v>
      </c>
    </row>
    <row r="19712" spans="1:9" x14ac:dyDescent="0.2">
      <c r="A19712" s="1" t="str">
        <f>"WFDC9"</f>
        <v>WFDC9</v>
      </c>
      <c r="B19712" t="s">
        <v>14</v>
      </c>
      <c r="C19712" t="s">
        <v>29</v>
      </c>
      <c r="D19712" t="s">
        <v>11</v>
      </c>
      <c r="E19712" t="s">
        <v>12</v>
      </c>
      <c r="F19712">
        <v>44259893</v>
      </c>
      <c r="G19712">
        <v>44259935</v>
      </c>
      <c r="H19712">
        <v>44259876</v>
      </c>
      <c r="I19712">
        <v>44259892</v>
      </c>
    </row>
    <row r="19713" spans="1:9" x14ac:dyDescent="0.2">
      <c r="A19713" s="1" t="str">
        <f>"WFIKKN1"</f>
        <v>WFIKKN1</v>
      </c>
      <c r="B19713" t="s">
        <v>14</v>
      </c>
      <c r="C19713" t="s">
        <v>31</v>
      </c>
      <c r="D19713" t="s">
        <v>17</v>
      </c>
      <c r="E19713" t="s">
        <v>12</v>
      </c>
      <c r="F19713">
        <v>680979</v>
      </c>
      <c r="G19713">
        <v>680994</v>
      </c>
      <c r="H19713">
        <v>680947</v>
      </c>
      <c r="I19713">
        <v>680961</v>
      </c>
    </row>
    <row r="19714" spans="1:9" x14ac:dyDescent="0.2">
      <c r="A19714" s="1" t="str">
        <f>"WFIKKN2"</f>
        <v>WFIKKN2</v>
      </c>
      <c r="B19714" t="s">
        <v>14</v>
      </c>
      <c r="C19714" t="s">
        <v>28</v>
      </c>
      <c r="D19714" t="s">
        <v>17</v>
      </c>
      <c r="E19714" t="s">
        <v>12</v>
      </c>
      <c r="F19714">
        <v>48912939</v>
      </c>
      <c r="G19714">
        <v>48912963</v>
      </c>
      <c r="H19714">
        <v>48912939</v>
      </c>
      <c r="I19714">
        <v>48912963</v>
      </c>
    </row>
    <row r="19715" spans="1:9" x14ac:dyDescent="0.2">
      <c r="A19715" s="1" t="str">
        <f>"WFS1"</f>
        <v>WFS1</v>
      </c>
      <c r="B19715" t="s">
        <v>14</v>
      </c>
      <c r="C19715" t="s">
        <v>23</v>
      </c>
      <c r="D19715" t="s">
        <v>17</v>
      </c>
      <c r="E19715" t="s">
        <v>12</v>
      </c>
      <c r="F19715">
        <v>6271558</v>
      </c>
      <c r="G19715">
        <v>6271594</v>
      </c>
      <c r="H19715">
        <v>6271596</v>
      </c>
      <c r="I19715">
        <v>6271625</v>
      </c>
    </row>
    <row r="19716" spans="1:9" x14ac:dyDescent="0.2">
      <c r="A19716" s="1" t="str">
        <f>"WHAMM"</f>
        <v>WHAMM</v>
      </c>
      <c r="B19716" t="s">
        <v>14</v>
      </c>
      <c r="C19716" t="s">
        <v>25</v>
      </c>
      <c r="D19716" t="s">
        <v>17</v>
      </c>
      <c r="E19716" t="s">
        <v>12</v>
      </c>
      <c r="F19716">
        <v>83478370</v>
      </c>
      <c r="G19716">
        <v>83478426</v>
      </c>
      <c r="H19716">
        <v>83478446</v>
      </c>
      <c r="I19716">
        <v>83478468</v>
      </c>
    </row>
    <row r="19717" spans="1:9" x14ac:dyDescent="0.2">
      <c r="A19717" s="1" t="str">
        <f>"WHSC1"</f>
        <v>WHSC1</v>
      </c>
      <c r="B19717" t="s">
        <v>14</v>
      </c>
      <c r="C19717" t="s">
        <v>23</v>
      </c>
      <c r="D19717" t="s">
        <v>17</v>
      </c>
      <c r="E19717" t="s">
        <v>12</v>
      </c>
      <c r="F19717">
        <v>1873100</v>
      </c>
      <c r="G19717">
        <v>1873152</v>
      </c>
      <c r="H19717">
        <v>1873011</v>
      </c>
      <c r="I19717">
        <v>1873063</v>
      </c>
    </row>
    <row r="19718" spans="1:9" x14ac:dyDescent="0.2">
      <c r="A19718" s="1" t="str">
        <f>"WHSC1L1"</f>
        <v>WHSC1L1</v>
      </c>
      <c r="B19718" t="s">
        <v>14</v>
      </c>
      <c r="C19718" t="s">
        <v>30</v>
      </c>
      <c r="D19718" t="s">
        <v>11</v>
      </c>
      <c r="E19718" t="s">
        <v>12</v>
      </c>
      <c r="F19718">
        <v>38239732</v>
      </c>
      <c r="G19718">
        <v>38239796</v>
      </c>
      <c r="H19718">
        <v>38239704</v>
      </c>
      <c r="I19718">
        <v>38239731</v>
      </c>
    </row>
    <row r="19719" spans="1:9" x14ac:dyDescent="0.2">
      <c r="A19719" s="1" t="str">
        <f>"WIBG"</f>
        <v>WIBG</v>
      </c>
      <c r="B19719" t="s">
        <v>14</v>
      </c>
      <c r="C19719" t="s">
        <v>16</v>
      </c>
      <c r="D19719" t="s">
        <v>11</v>
      </c>
      <c r="E19719" t="s">
        <v>12</v>
      </c>
      <c r="F19719">
        <v>56321649</v>
      </c>
      <c r="G19719">
        <v>56321717</v>
      </c>
      <c r="H19719">
        <v>56320887</v>
      </c>
      <c r="I19719">
        <v>56320924</v>
      </c>
    </row>
    <row r="19720" spans="1:9" x14ac:dyDescent="0.2">
      <c r="A19720" s="1" t="str">
        <f>"WIF1"</f>
        <v>WIF1</v>
      </c>
      <c r="B19720" t="s">
        <v>14</v>
      </c>
      <c r="C19720" t="s">
        <v>16</v>
      </c>
      <c r="D19720" t="s">
        <v>11</v>
      </c>
      <c r="E19720" t="s">
        <v>12</v>
      </c>
      <c r="F19720">
        <v>65515072</v>
      </c>
      <c r="G19720">
        <v>65515111</v>
      </c>
      <c r="H19720">
        <v>65515035</v>
      </c>
      <c r="I19720">
        <v>65515066</v>
      </c>
    </row>
    <row r="19721" spans="1:9" x14ac:dyDescent="0.2">
      <c r="A19721" s="1" t="str">
        <f>"WIPF1"</f>
        <v>WIPF1</v>
      </c>
      <c r="B19721" t="s">
        <v>14</v>
      </c>
      <c r="C19721" t="s">
        <v>26</v>
      </c>
      <c r="D19721" t="s">
        <v>11</v>
      </c>
      <c r="E19721" t="s">
        <v>12</v>
      </c>
      <c r="F19721">
        <v>175547571</v>
      </c>
      <c r="G19721">
        <v>175547667</v>
      </c>
      <c r="H19721">
        <v>175547571</v>
      </c>
      <c r="I19721">
        <v>175547667</v>
      </c>
    </row>
    <row r="19722" spans="1:9" x14ac:dyDescent="0.2">
      <c r="A19722" s="1" t="str">
        <f>"WIPF2"</f>
        <v>WIPF2</v>
      </c>
      <c r="B19722" t="s">
        <v>14</v>
      </c>
      <c r="C19722" t="s">
        <v>28</v>
      </c>
      <c r="D19722" t="s">
        <v>17</v>
      </c>
      <c r="E19722" t="s">
        <v>12</v>
      </c>
      <c r="F19722">
        <v>38375528</v>
      </c>
      <c r="G19722">
        <v>38375570</v>
      </c>
      <c r="H19722">
        <v>38375577</v>
      </c>
      <c r="I19722">
        <v>38375615</v>
      </c>
    </row>
    <row r="19723" spans="1:9" x14ac:dyDescent="0.2">
      <c r="A19723" s="1" t="str">
        <f>"WIPF3"</f>
        <v>WIPF3</v>
      </c>
      <c r="B19723" t="s">
        <v>14</v>
      </c>
      <c r="C19723" t="s">
        <v>33</v>
      </c>
      <c r="D19723" t="s">
        <v>17</v>
      </c>
      <c r="E19723" t="s">
        <v>12</v>
      </c>
      <c r="F19723">
        <v>29846099</v>
      </c>
      <c r="G19723">
        <v>29846181</v>
      </c>
      <c r="H19723">
        <v>29846024</v>
      </c>
      <c r="I19723">
        <v>29846050</v>
      </c>
    </row>
    <row r="19724" spans="1:9" x14ac:dyDescent="0.2">
      <c r="A19724" s="1" t="str">
        <f>"WIPI1"</f>
        <v>WIPI1</v>
      </c>
      <c r="B19724" t="s">
        <v>14</v>
      </c>
      <c r="C19724" t="s">
        <v>28</v>
      </c>
      <c r="D19724" t="s">
        <v>11</v>
      </c>
      <c r="E19724" t="s">
        <v>12</v>
      </c>
      <c r="F19724">
        <v>66453601</v>
      </c>
      <c r="G19724">
        <v>66453666</v>
      </c>
      <c r="H19724">
        <v>66453753</v>
      </c>
      <c r="I19724">
        <v>66453754</v>
      </c>
    </row>
    <row r="19725" spans="1:9" x14ac:dyDescent="0.2">
      <c r="A19725" s="1" t="str">
        <f>"WIPI2"</f>
        <v>WIPI2</v>
      </c>
      <c r="B19725" t="s">
        <v>14</v>
      </c>
      <c r="C19725" t="s">
        <v>33</v>
      </c>
      <c r="D19725" t="s">
        <v>17</v>
      </c>
      <c r="E19725" t="s">
        <v>12</v>
      </c>
      <c r="F19725">
        <v>5229848</v>
      </c>
      <c r="G19725">
        <v>5229900</v>
      </c>
      <c r="H19725">
        <v>5229906</v>
      </c>
      <c r="I19725">
        <v>5229917</v>
      </c>
    </row>
    <row r="19726" spans="1:9" x14ac:dyDescent="0.2">
      <c r="A19726" s="1" t="str">
        <f>"WISP1"</f>
        <v>WISP1</v>
      </c>
      <c r="B19726" t="s">
        <v>14</v>
      </c>
      <c r="C19726" t="s">
        <v>30</v>
      </c>
      <c r="D19726" t="s">
        <v>17</v>
      </c>
      <c r="E19726" t="s">
        <v>12</v>
      </c>
      <c r="F19726">
        <v>134203273</v>
      </c>
      <c r="G19726">
        <v>134203289</v>
      </c>
      <c r="H19726">
        <v>134203303</v>
      </c>
      <c r="I19726">
        <v>134203314</v>
      </c>
    </row>
    <row r="19727" spans="1:9" x14ac:dyDescent="0.2">
      <c r="A19727" s="1" t="str">
        <f>"WISP2"</f>
        <v>WISP2</v>
      </c>
      <c r="B19727" t="s">
        <v>14</v>
      </c>
      <c r="C19727" t="s">
        <v>29</v>
      </c>
      <c r="D19727" t="s">
        <v>17</v>
      </c>
      <c r="E19727" t="s">
        <v>12</v>
      </c>
      <c r="F19727">
        <v>43344001</v>
      </c>
      <c r="G19727">
        <v>43344020</v>
      </c>
      <c r="H19727">
        <v>43343517</v>
      </c>
      <c r="I19727">
        <v>43343580</v>
      </c>
    </row>
    <row r="19728" spans="1:9" x14ac:dyDescent="0.2">
      <c r="A19728" s="1" t="str">
        <f>"WISP3"</f>
        <v>WISP3</v>
      </c>
      <c r="B19728" t="s">
        <v>14</v>
      </c>
      <c r="C19728" t="s">
        <v>32</v>
      </c>
      <c r="D19728" t="s">
        <v>17</v>
      </c>
      <c r="E19728" t="s">
        <v>12</v>
      </c>
      <c r="F19728">
        <v>112375300</v>
      </c>
      <c r="G19728">
        <v>112375334</v>
      </c>
      <c r="H19728">
        <v>112375516</v>
      </c>
      <c r="I19728">
        <v>112375536</v>
      </c>
    </row>
    <row r="19729" spans="1:9" x14ac:dyDescent="0.2">
      <c r="A19729" s="1" t="str">
        <f>"WIZ"</f>
        <v>WIZ</v>
      </c>
      <c r="B19729" t="s">
        <v>14</v>
      </c>
      <c r="C19729" t="s">
        <v>10</v>
      </c>
      <c r="D19729" t="s">
        <v>11</v>
      </c>
      <c r="E19729" t="s">
        <v>12</v>
      </c>
      <c r="F19729">
        <v>15543484</v>
      </c>
      <c r="G19729">
        <v>15543561</v>
      </c>
      <c r="H19729">
        <v>15543565</v>
      </c>
      <c r="I19729">
        <v>15543579</v>
      </c>
    </row>
    <row r="19730" spans="1:9" x14ac:dyDescent="0.2">
      <c r="A19730" s="1" t="str">
        <f>"WLS"</f>
        <v>WLS</v>
      </c>
      <c r="B19730" t="s">
        <v>14</v>
      </c>
      <c r="C19730" t="s">
        <v>19</v>
      </c>
      <c r="D19730" t="s">
        <v>11</v>
      </c>
      <c r="E19730" t="s">
        <v>12</v>
      </c>
      <c r="F19730">
        <v>68698197</v>
      </c>
      <c r="G19730">
        <v>68698214</v>
      </c>
      <c r="H19730">
        <v>68698222</v>
      </c>
      <c r="I19730">
        <v>68698245</v>
      </c>
    </row>
    <row r="19731" spans="1:9" x14ac:dyDescent="0.2">
      <c r="A19731" s="1" t="str">
        <f>"WNK1"</f>
        <v>WNK1</v>
      </c>
      <c r="B19731" t="s">
        <v>14</v>
      </c>
      <c r="C19731" t="s">
        <v>16</v>
      </c>
      <c r="D19731" t="s">
        <v>17</v>
      </c>
      <c r="E19731" t="s">
        <v>12</v>
      </c>
      <c r="F19731">
        <v>861717</v>
      </c>
      <c r="G19731">
        <v>861770</v>
      </c>
      <c r="H19731">
        <v>862256</v>
      </c>
      <c r="I19731">
        <v>862343</v>
      </c>
    </row>
    <row r="19732" spans="1:9" x14ac:dyDescent="0.2">
      <c r="A19732" s="1" t="str">
        <f>"WNK2"</f>
        <v>WNK2</v>
      </c>
      <c r="B19732" t="s">
        <v>14</v>
      </c>
      <c r="C19732" t="s">
        <v>24</v>
      </c>
      <c r="D19732" t="s">
        <v>17</v>
      </c>
      <c r="E19732" t="s">
        <v>12</v>
      </c>
      <c r="F19732">
        <v>95947484</v>
      </c>
      <c r="G19732">
        <v>95947511</v>
      </c>
      <c r="H19732">
        <v>95946824</v>
      </c>
      <c r="I19732">
        <v>95946860</v>
      </c>
    </row>
    <row r="19733" spans="1:9" x14ac:dyDescent="0.2">
      <c r="A19733" s="1" t="str">
        <f>"WNK3"</f>
        <v>WNK3</v>
      </c>
      <c r="B19733" t="s">
        <v>14</v>
      </c>
      <c r="C19733" t="s">
        <v>37</v>
      </c>
      <c r="D19733" t="s">
        <v>11</v>
      </c>
      <c r="E19733" t="s">
        <v>12</v>
      </c>
      <c r="F19733">
        <v>54384425</v>
      </c>
      <c r="G19733">
        <v>54384495</v>
      </c>
      <c r="H19733">
        <v>54384290</v>
      </c>
      <c r="I19733">
        <v>54384319</v>
      </c>
    </row>
    <row r="19734" spans="1:9" x14ac:dyDescent="0.2">
      <c r="A19734" s="1" t="str">
        <f>"WNK4"</f>
        <v>WNK4</v>
      </c>
      <c r="B19734" t="s">
        <v>14</v>
      </c>
      <c r="C19734" t="s">
        <v>28</v>
      </c>
      <c r="D19734" t="s">
        <v>17</v>
      </c>
      <c r="E19734" t="s">
        <v>12</v>
      </c>
      <c r="F19734">
        <v>40932610</v>
      </c>
      <c r="G19734">
        <v>40932660</v>
      </c>
      <c r="H19734">
        <v>40932874</v>
      </c>
      <c r="I19734">
        <v>40932893</v>
      </c>
    </row>
    <row r="19735" spans="1:9" x14ac:dyDescent="0.2">
      <c r="A19735" s="1" t="str">
        <f>"WNT1"</f>
        <v>WNT1</v>
      </c>
      <c r="B19735" t="s">
        <v>9</v>
      </c>
      <c r="C19735" t="s">
        <v>16</v>
      </c>
      <c r="D19735" t="s">
        <v>17</v>
      </c>
      <c r="E19735" t="s">
        <v>12</v>
      </c>
      <c r="F19735">
        <v>49374041</v>
      </c>
      <c r="G19735">
        <v>49374056</v>
      </c>
      <c r="H19735">
        <v>49374041</v>
      </c>
      <c r="I19735">
        <v>49374056</v>
      </c>
    </row>
    <row r="19736" spans="1:9" x14ac:dyDescent="0.2">
      <c r="A19736" s="1" t="str">
        <f>"WNT1"</f>
        <v>WNT1</v>
      </c>
      <c r="B19736" t="s">
        <v>13</v>
      </c>
      <c r="C19736" t="s">
        <v>16</v>
      </c>
      <c r="D19736" t="s">
        <v>17</v>
      </c>
      <c r="E19736" t="s">
        <v>12</v>
      </c>
      <c r="F19736">
        <v>49372251</v>
      </c>
      <c r="G19736">
        <v>49372263</v>
      </c>
      <c r="H19736">
        <v>49372251</v>
      </c>
      <c r="I19736">
        <v>49372263</v>
      </c>
    </row>
    <row r="19737" spans="1:9" x14ac:dyDescent="0.2">
      <c r="A19737" s="1" t="str">
        <f>"WNT10A"</f>
        <v>WNT10A</v>
      </c>
      <c r="B19737" t="s">
        <v>14</v>
      </c>
      <c r="C19737" t="s">
        <v>26</v>
      </c>
      <c r="D19737" t="s">
        <v>17</v>
      </c>
      <c r="E19737" t="s">
        <v>12</v>
      </c>
      <c r="F19737">
        <v>219745249</v>
      </c>
      <c r="G19737">
        <v>219745270</v>
      </c>
      <c r="H19737">
        <v>219745219</v>
      </c>
      <c r="I19737">
        <v>219745236</v>
      </c>
    </row>
    <row r="19738" spans="1:9" x14ac:dyDescent="0.2">
      <c r="A19738" s="1" t="str">
        <f>"WNT10B"</f>
        <v>WNT10B</v>
      </c>
      <c r="B19738" t="s">
        <v>14</v>
      </c>
      <c r="C19738" t="s">
        <v>16</v>
      </c>
      <c r="D19738" t="s">
        <v>11</v>
      </c>
      <c r="E19738" t="s">
        <v>12</v>
      </c>
      <c r="F19738">
        <v>49365595</v>
      </c>
      <c r="G19738">
        <v>49365618</v>
      </c>
      <c r="H19738">
        <v>49365510</v>
      </c>
      <c r="I19738">
        <v>49365525</v>
      </c>
    </row>
    <row r="19739" spans="1:9" x14ac:dyDescent="0.2">
      <c r="A19739" s="1" t="str">
        <f>"WNT11"</f>
        <v>WNT11</v>
      </c>
      <c r="B19739" t="s">
        <v>9</v>
      </c>
      <c r="C19739" t="s">
        <v>27</v>
      </c>
      <c r="D19739" t="s">
        <v>11</v>
      </c>
      <c r="E19739" t="s">
        <v>12</v>
      </c>
      <c r="F19739">
        <v>75921800</v>
      </c>
      <c r="G19739">
        <v>75921806</v>
      </c>
      <c r="H19739">
        <v>75921800</v>
      </c>
      <c r="I19739">
        <v>75921806</v>
      </c>
    </row>
    <row r="19740" spans="1:9" x14ac:dyDescent="0.2">
      <c r="A19740" s="1" t="str">
        <f>"WNT11"</f>
        <v>WNT11</v>
      </c>
      <c r="B19740" t="s">
        <v>13</v>
      </c>
      <c r="C19740" t="s">
        <v>27</v>
      </c>
      <c r="D19740" t="s">
        <v>11</v>
      </c>
      <c r="E19740" t="s">
        <v>12</v>
      </c>
      <c r="F19740">
        <v>75917529</v>
      </c>
      <c r="G19740">
        <v>75917555</v>
      </c>
      <c r="H19740">
        <v>75917529</v>
      </c>
      <c r="I19740">
        <v>75917555</v>
      </c>
    </row>
    <row r="19741" spans="1:9" x14ac:dyDescent="0.2">
      <c r="A19741" s="1" t="str">
        <f>"WNT16"</f>
        <v>WNT16</v>
      </c>
      <c r="B19741" t="s">
        <v>14</v>
      </c>
      <c r="C19741" t="s">
        <v>33</v>
      </c>
      <c r="D19741" t="s">
        <v>17</v>
      </c>
      <c r="E19741" t="s">
        <v>12</v>
      </c>
      <c r="F19741">
        <v>120969045</v>
      </c>
      <c r="G19741">
        <v>120969086</v>
      </c>
      <c r="H19741">
        <v>120969771</v>
      </c>
      <c r="I19741">
        <v>120969788</v>
      </c>
    </row>
    <row r="19742" spans="1:9" x14ac:dyDescent="0.2">
      <c r="A19742" s="1" t="str">
        <f>"WNT2"</f>
        <v>WNT2</v>
      </c>
      <c r="B19742" t="s">
        <v>14</v>
      </c>
      <c r="C19742" t="s">
        <v>33</v>
      </c>
      <c r="D19742" t="s">
        <v>11</v>
      </c>
      <c r="E19742" t="s">
        <v>12</v>
      </c>
      <c r="F19742">
        <v>116963100</v>
      </c>
      <c r="G19742">
        <v>116963125</v>
      </c>
      <c r="H19742">
        <v>116963293</v>
      </c>
      <c r="I19742">
        <v>116963327</v>
      </c>
    </row>
    <row r="19743" spans="1:9" x14ac:dyDescent="0.2">
      <c r="A19743" s="1" t="str">
        <f>"WNT2B"</f>
        <v>WNT2B</v>
      </c>
      <c r="B19743" t="s">
        <v>14</v>
      </c>
      <c r="C19743" t="s">
        <v>19</v>
      </c>
      <c r="D19743" t="s">
        <v>17</v>
      </c>
      <c r="E19743" t="s">
        <v>12</v>
      </c>
      <c r="F19743">
        <v>113051579</v>
      </c>
      <c r="G19743">
        <v>113051596</v>
      </c>
      <c r="H19743">
        <v>113051605</v>
      </c>
      <c r="I19743">
        <v>113051641</v>
      </c>
    </row>
    <row r="19744" spans="1:9" x14ac:dyDescent="0.2">
      <c r="A19744" s="1" t="str">
        <f>"WNT3"</f>
        <v>WNT3</v>
      </c>
      <c r="B19744" t="s">
        <v>14</v>
      </c>
      <c r="C19744" t="s">
        <v>28</v>
      </c>
      <c r="D19744" t="s">
        <v>11</v>
      </c>
      <c r="E19744" t="s">
        <v>12</v>
      </c>
      <c r="F19744">
        <v>44896078</v>
      </c>
      <c r="G19744">
        <v>44896104</v>
      </c>
      <c r="H19744">
        <v>44896047</v>
      </c>
      <c r="I19744">
        <v>44896063</v>
      </c>
    </row>
    <row r="19745" spans="1:9" x14ac:dyDescent="0.2">
      <c r="A19745" s="1" t="str">
        <f>"WNT3A"</f>
        <v>WNT3A</v>
      </c>
      <c r="B19745" t="s">
        <v>14</v>
      </c>
      <c r="C19745" t="s">
        <v>19</v>
      </c>
      <c r="D19745" t="s">
        <v>17</v>
      </c>
      <c r="E19745" t="s">
        <v>12</v>
      </c>
      <c r="F19745">
        <v>228194784</v>
      </c>
      <c r="G19745">
        <v>228194819</v>
      </c>
      <c r="H19745">
        <v>228194693</v>
      </c>
      <c r="I19745">
        <v>228194705</v>
      </c>
    </row>
    <row r="19746" spans="1:9" x14ac:dyDescent="0.2">
      <c r="A19746" s="1" t="str">
        <f>"WNT4"</f>
        <v>WNT4</v>
      </c>
      <c r="B19746" t="s">
        <v>14</v>
      </c>
      <c r="C19746" t="s">
        <v>19</v>
      </c>
      <c r="D19746" t="s">
        <v>11</v>
      </c>
      <c r="E19746" t="s">
        <v>12</v>
      </c>
      <c r="F19746">
        <v>22469582</v>
      </c>
      <c r="G19746">
        <v>22469595</v>
      </c>
      <c r="H19746">
        <v>22469609</v>
      </c>
      <c r="I19746">
        <v>22469630</v>
      </c>
    </row>
    <row r="19747" spans="1:9" x14ac:dyDescent="0.2">
      <c r="A19747" s="1" t="str">
        <f>"WNT5A"</f>
        <v>WNT5A</v>
      </c>
      <c r="B19747" t="s">
        <v>14</v>
      </c>
      <c r="C19747" t="s">
        <v>22</v>
      </c>
      <c r="D19747" t="s">
        <v>11</v>
      </c>
      <c r="E19747" t="s">
        <v>12</v>
      </c>
      <c r="F19747">
        <v>55515368</v>
      </c>
      <c r="G19747">
        <v>55515393</v>
      </c>
      <c r="H19747">
        <v>55515368</v>
      </c>
      <c r="I19747">
        <v>55515393</v>
      </c>
    </row>
    <row r="19748" spans="1:9" x14ac:dyDescent="0.2">
      <c r="A19748" s="1" t="str">
        <f>"WNT5B"</f>
        <v>WNT5B</v>
      </c>
      <c r="B19748" t="s">
        <v>1820</v>
      </c>
      <c r="C19748" t="s">
        <v>16</v>
      </c>
      <c r="D19748" t="s">
        <v>17</v>
      </c>
      <c r="E19748" t="s">
        <v>20</v>
      </c>
      <c r="F19748">
        <v>1726221</v>
      </c>
      <c r="G19748">
        <v>1726221</v>
      </c>
      <c r="H19748">
        <v>1726221</v>
      </c>
      <c r="I19748">
        <v>1726221</v>
      </c>
    </row>
    <row r="19749" spans="1:9" x14ac:dyDescent="0.2">
      <c r="A19749" s="1" t="str">
        <f>"WNT5B"</f>
        <v>WNT5B</v>
      </c>
      <c r="B19749" t="s">
        <v>1821</v>
      </c>
      <c r="C19749" t="s">
        <v>16</v>
      </c>
      <c r="D19749" t="s">
        <v>17</v>
      </c>
      <c r="E19749" t="s">
        <v>35</v>
      </c>
      <c r="F19749">
        <v>1738364</v>
      </c>
      <c r="G19749">
        <v>1738410</v>
      </c>
      <c r="H19749">
        <v>1738492</v>
      </c>
      <c r="I19749">
        <v>1738501</v>
      </c>
    </row>
    <row r="19750" spans="1:9" x14ac:dyDescent="0.2">
      <c r="A19750" s="1" t="str">
        <f>"WNT5B"</f>
        <v>WNT5B</v>
      </c>
      <c r="B19750" t="s">
        <v>1822</v>
      </c>
      <c r="C19750" t="s">
        <v>16</v>
      </c>
      <c r="D19750" t="s">
        <v>17</v>
      </c>
      <c r="E19750" t="s">
        <v>20</v>
      </c>
      <c r="F19750">
        <v>1683822</v>
      </c>
      <c r="G19750">
        <v>1683822</v>
      </c>
      <c r="H19750">
        <v>1683822</v>
      </c>
      <c r="I19750">
        <v>1683822</v>
      </c>
    </row>
    <row r="19751" spans="1:9" x14ac:dyDescent="0.2">
      <c r="A19751" s="1" t="str">
        <f>"WNT6"</f>
        <v>WNT6</v>
      </c>
      <c r="B19751" t="s">
        <v>14</v>
      </c>
      <c r="C19751" t="s">
        <v>26</v>
      </c>
      <c r="D19751" t="s">
        <v>17</v>
      </c>
      <c r="E19751" t="s">
        <v>12</v>
      </c>
      <c r="F19751">
        <v>219724517</v>
      </c>
      <c r="G19751">
        <v>219724538</v>
      </c>
      <c r="H19751">
        <v>219724544</v>
      </c>
      <c r="I19751">
        <v>219724562</v>
      </c>
    </row>
    <row r="19752" spans="1:9" x14ac:dyDescent="0.2">
      <c r="A19752" s="1" t="str">
        <f>"WNT7A"</f>
        <v>WNT7A</v>
      </c>
      <c r="B19752" t="s">
        <v>14</v>
      </c>
      <c r="C19752" t="s">
        <v>22</v>
      </c>
      <c r="D19752" t="s">
        <v>11</v>
      </c>
      <c r="E19752" t="s">
        <v>12</v>
      </c>
      <c r="F19752">
        <v>13921557</v>
      </c>
      <c r="G19752">
        <v>13921575</v>
      </c>
      <c r="H19752">
        <v>13921455</v>
      </c>
      <c r="I19752">
        <v>13921496</v>
      </c>
    </row>
    <row r="19753" spans="1:9" x14ac:dyDescent="0.2">
      <c r="A19753" s="1" t="str">
        <f>"WNT7B"</f>
        <v>WNT7B</v>
      </c>
      <c r="B19753" t="s">
        <v>9</v>
      </c>
      <c r="C19753" t="s">
        <v>21</v>
      </c>
      <c r="D19753" t="s">
        <v>11</v>
      </c>
      <c r="E19753" t="s">
        <v>12</v>
      </c>
      <c r="F19753">
        <v>46373034</v>
      </c>
      <c r="G19753">
        <v>46373058</v>
      </c>
      <c r="H19753">
        <v>46373034</v>
      </c>
      <c r="I19753">
        <v>46373058</v>
      </c>
    </row>
    <row r="19754" spans="1:9" x14ac:dyDescent="0.2">
      <c r="A19754" s="1" t="str">
        <f>"WNT7B"</f>
        <v>WNT7B</v>
      </c>
      <c r="B19754" t="s">
        <v>13</v>
      </c>
      <c r="C19754" t="s">
        <v>21</v>
      </c>
      <c r="D19754" t="s">
        <v>11</v>
      </c>
      <c r="E19754" t="s">
        <v>12</v>
      </c>
      <c r="F19754">
        <v>46368414</v>
      </c>
      <c r="G19754">
        <v>46368429</v>
      </c>
      <c r="H19754">
        <v>46368414</v>
      </c>
      <c r="I19754">
        <v>46368429</v>
      </c>
    </row>
    <row r="19755" spans="1:9" x14ac:dyDescent="0.2">
      <c r="A19755" s="1" t="str">
        <f>"WNT8A"</f>
        <v>WNT8A</v>
      </c>
      <c r="B19755" t="s">
        <v>14</v>
      </c>
      <c r="C19755" t="s">
        <v>46</v>
      </c>
      <c r="D19755" t="s">
        <v>17</v>
      </c>
      <c r="E19755" t="s">
        <v>12</v>
      </c>
      <c r="F19755">
        <v>137419602</v>
      </c>
      <c r="G19755">
        <v>137419646</v>
      </c>
      <c r="H19755">
        <v>137419602</v>
      </c>
      <c r="I19755">
        <v>137419646</v>
      </c>
    </row>
    <row r="19756" spans="1:9" x14ac:dyDescent="0.2">
      <c r="A19756" s="1" t="str">
        <f>"WNT8B"</f>
        <v>WNT8B</v>
      </c>
      <c r="B19756" t="s">
        <v>14</v>
      </c>
      <c r="C19756" t="s">
        <v>15</v>
      </c>
      <c r="D19756" t="s">
        <v>17</v>
      </c>
      <c r="E19756" t="s">
        <v>12</v>
      </c>
      <c r="F19756">
        <v>102222751</v>
      </c>
      <c r="G19756">
        <v>102222793</v>
      </c>
      <c r="H19756">
        <v>102222751</v>
      </c>
      <c r="I19756">
        <v>102222793</v>
      </c>
    </row>
    <row r="19757" spans="1:9" x14ac:dyDescent="0.2">
      <c r="A19757" s="1" t="str">
        <f>"WNT9A"</f>
        <v>WNT9A</v>
      </c>
      <c r="B19757" t="s">
        <v>14</v>
      </c>
      <c r="C19757" t="s">
        <v>19</v>
      </c>
      <c r="D19757" t="s">
        <v>11</v>
      </c>
      <c r="E19757" t="s">
        <v>12</v>
      </c>
      <c r="F19757">
        <v>228135625</v>
      </c>
      <c r="G19757">
        <v>228135640</v>
      </c>
      <c r="H19757">
        <v>228135625</v>
      </c>
      <c r="I19757">
        <v>228135640</v>
      </c>
    </row>
    <row r="19758" spans="1:9" x14ac:dyDescent="0.2">
      <c r="A19758" s="1" t="str">
        <f>"WNT9B"</f>
        <v>WNT9B</v>
      </c>
      <c r="B19758" t="s">
        <v>9</v>
      </c>
      <c r="C19758" t="s">
        <v>28</v>
      </c>
      <c r="D19758" t="s">
        <v>17</v>
      </c>
      <c r="E19758" t="s">
        <v>12</v>
      </c>
      <c r="F19758">
        <v>44928946</v>
      </c>
      <c r="G19758">
        <v>44928953</v>
      </c>
      <c r="H19758">
        <v>44928946</v>
      </c>
      <c r="I19758">
        <v>44928953</v>
      </c>
    </row>
    <row r="19759" spans="1:9" x14ac:dyDescent="0.2">
      <c r="A19759" s="1" t="str">
        <f>"WNT9B"</f>
        <v>WNT9B</v>
      </c>
      <c r="B19759" t="s">
        <v>13</v>
      </c>
      <c r="C19759" t="s">
        <v>28</v>
      </c>
      <c r="D19759" t="s">
        <v>17</v>
      </c>
      <c r="E19759" t="s">
        <v>12</v>
      </c>
      <c r="F19759">
        <v>44910566</v>
      </c>
      <c r="G19759">
        <v>44910589</v>
      </c>
      <c r="H19759">
        <v>44910566</v>
      </c>
      <c r="I19759">
        <v>44910589</v>
      </c>
    </row>
    <row r="19760" spans="1:9" x14ac:dyDescent="0.2">
      <c r="A19760" s="1" t="str">
        <f>"WRAP53"</f>
        <v>WRAP53</v>
      </c>
      <c r="B19760" t="s">
        <v>14</v>
      </c>
      <c r="C19760" t="s">
        <v>28</v>
      </c>
      <c r="D19760" t="s">
        <v>17</v>
      </c>
      <c r="E19760" t="s">
        <v>12</v>
      </c>
      <c r="F19760">
        <v>7591747</v>
      </c>
      <c r="G19760">
        <v>7591809</v>
      </c>
      <c r="H19760">
        <v>7591647</v>
      </c>
      <c r="I19760">
        <v>7591672</v>
      </c>
    </row>
    <row r="19761" spans="1:9" x14ac:dyDescent="0.2">
      <c r="A19761" s="1" t="str">
        <f>"WRAP73"</f>
        <v>WRAP73</v>
      </c>
      <c r="B19761" t="s">
        <v>14</v>
      </c>
      <c r="C19761" t="s">
        <v>19</v>
      </c>
      <c r="D19761" t="s">
        <v>11</v>
      </c>
      <c r="E19761" t="s">
        <v>12</v>
      </c>
      <c r="F19761">
        <v>3566630</v>
      </c>
      <c r="G19761">
        <v>3566676</v>
      </c>
      <c r="H19761">
        <v>3566590</v>
      </c>
      <c r="I19761">
        <v>3566621</v>
      </c>
    </row>
    <row r="19762" spans="1:9" x14ac:dyDescent="0.2">
      <c r="A19762" s="1" t="str">
        <f>"WRB"</f>
        <v>WRB</v>
      </c>
      <c r="B19762" t="s">
        <v>14</v>
      </c>
      <c r="C19762" t="s">
        <v>42</v>
      </c>
      <c r="D19762" t="s">
        <v>17</v>
      </c>
      <c r="E19762" t="s">
        <v>12</v>
      </c>
      <c r="F19762">
        <v>40752223</v>
      </c>
      <c r="G19762">
        <v>40752303</v>
      </c>
      <c r="H19762">
        <v>40752378</v>
      </c>
      <c r="I19762">
        <v>40752418</v>
      </c>
    </row>
    <row r="19763" spans="1:9" x14ac:dyDescent="0.2">
      <c r="A19763" s="1" t="str">
        <f>"WRN"</f>
        <v>WRN</v>
      </c>
      <c r="B19763" t="s">
        <v>14</v>
      </c>
      <c r="C19763" t="s">
        <v>30</v>
      </c>
      <c r="D19763" t="s">
        <v>17</v>
      </c>
      <c r="E19763" t="s">
        <v>12</v>
      </c>
      <c r="F19763">
        <v>30891298</v>
      </c>
      <c r="G19763">
        <v>30891363</v>
      </c>
      <c r="H19763">
        <v>30891379</v>
      </c>
      <c r="I19763">
        <v>30891390</v>
      </c>
    </row>
    <row r="19764" spans="1:9" x14ac:dyDescent="0.2">
      <c r="A19764" s="1" t="str">
        <f>"WRNIP1"</f>
        <v>WRNIP1</v>
      </c>
      <c r="B19764" t="s">
        <v>14</v>
      </c>
      <c r="C19764" t="s">
        <v>32</v>
      </c>
      <c r="D19764" t="s">
        <v>17</v>
      </c>
      <c r="E19764" t="s">
        <v>12</v>
      </c>
      <c r="F19764">
        <v>2765595</v>
      </c>
      <c r="G19764">
        <v>2765797</v>
      </c>
      <c r="H19764">
        <v>2766183</v>
      </c>
      <c r="I19764">
        <v>2766255</v>
      </c>
    </row>
    <row r="19765" spans="1:9" x14ac:dyDescent="0.2">
      <c r="A19765" s="1" t="str">
        <f>"WSB1"</f>
        <v>WSB1</v>
      </c>
      <c r="B19765" t="s">
        <v>14</v>
      </c>
      <c r="C19765" t="s">
        <v>28</v>
      </c>
      <c r="D19765" t="s">
        <v>17</v>
      </c>
      <c r="E19765" t="s">
        <v>12</v>
      </c>
      <c r="F19765">
        <v>25621129</v>
      </c>
      <c r="G19765">
        <v>25621146</v>
      </c>
      <c r="H19765">
        <v>25621129</v>
      </c>
      <c r="I19765">
        <v>25621146</v>
      </c>
    </row>
    <row r="19766" spans="1:9" x14ac:dyDescent="0.2">
      <c r="A19766" s="1" t="str">
        <f>"WSB2"</f>
        <v>WSB2</v>
      </c>
      <c r="B19766" t="s">
        <v>14</v>
      </c>
      <c r="C19766" t="s">
        <v>16</v>
      </c>
      <c r="D19766" t="s">
        <v>11</v>
      </c>
      <c r="E19766" t="s">
        <v>12</v>
      </c>
      <c r="F19766">
        <v>118498958</v>
      </c>
      <c r="G19766">
        <v>118499021</v>
      </c>
      <c r="H19766">
        <v>118498911</v>
      </c>
      <c r="I19766">
        <v>118498924</v>
      </c>
    </row>
    <row r="19767" spans="1:9" x14ac:dyDescent="0.2">
      <c r="A19767" s="1" t="str">
        <f>"WSCD1"</f>
        <v>WSCD1</v>
      </c>
      <c r="B19767" t="s">
        <v>14</v>
      </c>
      <c r="C19767" t="s">
        <v>28</v>
      </c>
      <c r="D19767" t="s">
        <v>17</v>
      </c>
      <c r="E19767" t="s">
        <v>12</v>
      </c>
      <c r="F19767">
        <v>5973740</v>
      </c>
      <c r="G19767">
        <v>5973785</v>
      </c>
      <c r="H19767">
        <v>5973689</v>
      </c>
      <c r="I19767">
        <v>5973732</v>
      </c>
    </row>
    <row r="19768" spans="1:9" x14ac:dyDescent="0.2">
      <c r="A19768" s="1" t="str">
        <f>"WSCD2"</f>
        <v>WSCD2</v>
      </c>
      <c r="B19768" t="s">
        <v>14</v>
      </c>
      <c r="C19768" t="s">
        <v>16</v>
      </c>
      <c r="D19768" t="s">
        <v>17</v>
      </c>
      <c r="E19768" t="s">
        <v>12</v>
      </c>
      <c r="F19768">
        <v>108523053</v>
      </c>
      <c r="G19768">
        <v>108523101</v>
      </c>
      <c r="H19768">
        <v>108523388</v>
      </c>
      <c r="I19768">
        <v>108523427</v>
      </c>
    </row>
    <row r="19769" spans="1:9" x14ac:dyDescent="0.2">
      <c r="A19769" s="1" t="str">
        <f>"WT1"</f>
        <v>WT1</v>
      </c>
      <c r="B19769" t="s">
        <v>14</v>
      </c>
      <c r="C19769" t="s">
        <v>27</v>
      </c>
      <c r="D19769" t="s">
        <v>11</v>
      </c>
      <c r="E19769" t="s">
        <v>12</v>
      </c>
      <c r="F19769">
        <v>32457075</v>
      </c>
      <c r="G19769">
        <v>32457095</v>
      </c>
      <c r="H19769">
        <v>32457075</v>
      </c>
      <c r="I19769">
        <v>32457095</v>
      </c>
    </row>
    <row r="19770" spans="1:9" x14ac:dyDescent="0.2">
      <c r="A19770" s="1" t="str">
        <f>"WTAP"</f>
        <v>WTAP</v>
      </c>
      <c r="B19770" t="s">
        <v>14</v>
      </c>
      <c r="C19770" t="s">
        <v>32</v>
      </c>
      <c r="D19770" t="s">
        <v>17</v>
      </c>
      <c r="E19770" t="s">
        <v>12</v>
      </c>
      <c r="F19770">
        <v>160148525</v>
      </c>
      <c r="G19770">
        <v>160148576</v>
      </c>
      <c r="H19770">
        <v>160148114</v>
      </c>
      <c r="I19770">
        <v>160148176</v>
      </c>
    </row>
    <row r="19771" spans="1:9" x14ac:dyDescent="0.2">
      <c r="A19771" s="1" t="str">
        <f>"WTIP"</f>
        <v>WTIP</v>
      </c>
      <c r="B19771" t="s">
        <v>14</v>
      </c>
      <c r="C19771" t="s">
        <v>10</v>
      </c>
      <c r="D19771" t="s">
        <v>17</v>
      </c>
      <c r="E19771" t="s">
        <v>12</v>
      </c>
      <c r="F19771">
        <v>34972650</v>
      </c>
      <c r="G19771">
        <v>34972677</v>
      </c>
      <c r="H19771">
        <v>34972650</v>
      </c>
      <c r="I19771">
        <v>34972677</v>
      </c>
    </row>
    <row r="19772" spans="1:9" x14ac:dyDescent="0.2">
      <c r="A19772" s="1" t="str">
        <f>"WWC1"</f>
        <v>WWC1</v>
      </c>
      <c r="B19772" t="s">
        <v>14</v>
      </c>
      <c r="C19772" t="s">
        <v>46</v>
      </c>
      <c r="D19772" t="s">
        <v>17</v>
      </c>
      <c r="E19772" t="s">
        <v>12</v>
      </c>
      <c r="F19772">
        <v>167718604</v>
      </c>
      <c r="G19772">
        <v>167718746</v>
      </c>
      <c r="H19772">
        <v>167718876</v>
      </c>
      <c r="I19772">
        <v>167718922</v>
      </c>
    </row>
    <row r="19773" spans="1:9" x14ac:dyDescent="0.2">
      <c r="A19773" s="1" t="str">
        <f>"WWC2"</f>
        <v>WWC2</v>
      </c>
      <c r="B19773" t="s">
        <v>14</v>
      </c>
      <c r="C19773" t="s">
        <v>23</v>
      </c>
      <c r="D19773" t="s">
        <v>17</v>
      </c>
      <c r="E19773" t="s">
        <v>12</v>
      </c>
      <c r="F19773">
        <v>184020398</v>
      </c>
      <c r="G19773">
        <v>184020446</v>
      </c>
      <c r="H19773">
        <v>184020270</v>
      </c>
      <c r="I19773">
        <v>184020312</v>
      </c>
    </row>
    <row r="19774" spans="1:9" x14ac:dyDescent="0.2">
      <c r="A19774" s="1" t="str">
        <f>"WWC3"</f>
        <v>WWC3</v>
      </c>
      <c r="B19774" t="s">
        <v>14</v>
      </c>
      <c r="C19774" t="s">
        <v>37</v>
      </c>
      <c r="D19774" t="s">
        <v>17</v>
      </c>
      <c r="E19774" t="s">
        <v>12</v>
      </c>
      <c r="F19774">
        <v>9983266</v>
      </c>
      <c r="G19774">
        <v>9983320</v>
      </c>
      <c r="H19774">
        <v>9983266</v>
      </c>
      <c r="I19774">
        <v>9983320</v>
      </c>
    </row>
    <row r="19775" spans="1:9" x14ac:dyDescent="0.2">
      <c r="A19775" s="1" t="str">
        <f>"WWOX"</f>
        <v>WWOX</v>
      </c>
      <c r="B19775" t="s">
        <v>14</v>
      </c>
      <c r="C19775" t="s">
        <v>31</v>
      </c>
      <c r="D19775" t="s">
        <v>17</v>
      </c>
      <c r="E19775" t="s">
        <v>12</v>
      </c>
      <c r="F19775">
        <v>78133536</v>
      </c>
      <c r="G19775">
        <v>78133629</v>
      </c>
      <c r="H19775">
        <v>78133293</v>
      </c>
      <c r="I19775">
        <v>78133341</v>
      </c>
    </row>
    <row r="19776" spans="1:9" x14ac:dyDescent="0.2">
      <c r="A19776" s="1" t="str">
        <f>"WWP1"</f>
        <v>WWP1</v>
      </c>
      <c r="B19776" t="s">
        <v>14</v>
      </c>
      <c r="C19776" t="s">
        <v>30</v>
      </c>
      <c r="D19776" t="s">
        <v>17</v>
      </c>
      <c r="E19776" t="s">
        <v>12</v>
      </c>
      <c r="F19776">
        <v>87354945</v>
      </c>
      <c r="G19776">
        <v>87355012</v>
      </c>
      <c r="H19776">
        <v>87354768</v>
      </c>
      <c r="I19776">
        <v>87354821</v>
      </c>
    </row>
    <row r="19777" spans="1:9" x14ac:dyDescent="0.2">
      <c r="A19777" s="1" t="str">
        <f>"WWP2"</f>
        <v>WWP2</v>
      </c>
      <c r="B19777" t="s">
        <v>14</v>
      </c>
      <c r="C19777" t="s">
        <v>31</v>
      </c>
      <c r="D19777" t="s">
        <v>17</v>
      </c>
      <c r="E19777" t="s">
        <v>12</v>
      </c>
      <c r="F19777">
        <v>69796212</v>
      </c>
      <c r="G19777">
        <v>69796275</v>
      </c>
      <c r="H19777">
        <v>69796212</v>
      </c>
      <c r="I19777">
        <v>69796275</v>
      </c>
    </row>
    <row r="19778" spans="1:9" x14ac:dyDescent="0.2">
      <c r="A19778" s="1" t="str">
        <f>"WWTR1"</f>
        <v>WWTR1</v>
      </c>
      <c r="B19778" t="s">
        <v>14</v>
      </c>
      <c r="C19778" t="s">
        <v>22</v>
      </c>
      <c r="D19778" t="s">
        <v>11</v>
      </c>
      <c r="E19778" t="s">
        <v>12</v>
      </c>
      <c r="F19778">
        <v>149375783</v>
      </c>
      <c r="G19778">
        <v>149375835</v>
      </c>
      <c r="H19778">
        <v>149375783</v>
      </c>
      <c r="I19778">
        <v>149375835</v>
      </c>
    </row>
    <row r="19779" spans="1:9" x14ac:dyDescent="0.2">
      <c r="A19779" s="1" t="str">
        <f>"XAB2"</f>
        <v>XAB2</v>
      </c>
      <c r="B19779" t="s">
        <v>14</v>
      </c>
      <c r="C19779" t="s">
        <v>10</v>
      </c>
      <c r="D19779" t="s">
        <v>11</v>
      </c>
      <c r="E19779" t="s">
        <v>12</v>
      </c>
      <c r="F19779">
        <v>7694417</v>
      </c>
      <c r="G19779">
        <v>7694459</v>
      </c>
      <c r="H19779">
        <v>7694417</v>
      </c>
      <c r="I19779">
        <v>7694459</v>
      </c>
    </row>
    <row r="19780" spans="1:9" x14ac:dyDescent="0.2">
      <c r="A19780" s="1" t="str">
        <f>"XAF1"</f>
        <v>XAF1</v>
      </c>
      <c r="B19780" t="s">
        <v>14</v>
      </c>
      <c r="C19780" t="s">
        <v>28</v>
      </c>
      <c r="D19780" t="s">
        <v>17</v>
      </c>
      <c r="E19780" t="s">
        <v>12</v>
      </c>
      <c r="F19780">
        <v>6659354</v>
      </c>
      <c r="G19780">
        <v>6659398</v>
      </c>
      <c r="H19780">
        <v>6658755</v>
      </c>
      <c r="I19780">
        <v>6658782</v>
      </c>
    </row>
    <row r="19781" spans="1:9" x14ac:dyDescent="0.2">
      <c r="A19781" s="1" t="str">
        <f>"XAGE1A"</f>
        <v>XAGE1A</v>
      </c>
      <c r="B19781" t="s">
        <v>1823</v>
      </c>
      <c r="C19781" t="s">
        <v>37</v>
      </c>
      <c r="D19781" t="s">
        <v>11</v>
      </c>
      <c r="E19781" t="s">
        <v>20</v>
      </c>
      <c r="F19781">
        <v>52260198</v>
      </c>
      <c r="G19781">
        <v>52260198</v>
      </c>
      <c r="H19781">
        <v>52260198</v>
      </c>
      <c r="I19781">
        <v>52260198</v>
      </c>
    </row>
    <row r="19782" spans="1:9" x14ac:dyDescent="0.2">
      <c r="A19782" s="1" t="str">
        <f>"XAGE1A"</f>
        <v>XAGE1A</v>
      </c>
      <c r="B19782" t="s">
        <v>1824</v>
      </c>
      <c r="C19782" t="s">
        <v>37</v>
      </c>
      <c r="D19782" t="s">
        <v>11</v>
      </c>
      <c r="E19782" t="s">
        <v>20</v>
      </c>
      <c r="F19782">
        <v>52260358</v>
      </c>
      <c r="G19782">
        <v>52260358</v>
      </c>
      <c r="H19782">
        <v>52260358</v>
      </c>
      <c r="I19782">
        <v>52260358</v>
      </c>
    </row>
    <row r="19783" spans="1:9" x14ac:dyDescent="0.2">
      <c r="A19783" s="1" t="str">
        <f>"XAGE1A"</f>
        <v>XAGE1A</v>
      </c>
      <c r="B19783" t="s">
        <v>1825</v>
      </c>
      <c r="C19783" t="s">
        <v>37</v>
      </c>
      <c r="D19783" t="s">
        <v>11</v>
      </c>
      <c r="E19783" t="s">
        <v>20</v>
      </c>
      <c r="F19783">
        <v>52258668</v>
      </c>
      <c r="G19783">
        <v>52258668</v>
      </c>
      <c r="H19783">
        <v>52258668</v>
      </c>
      <c r="I19783">
        <v>52258668</v>
      </c>
    </row>
    <row r="19784" spans="1:9" x14ac:dyDescent="0.2">
      <c r="A19784" s="1" t="str">
        <f>"XAGE1B"</f>
        <v>XAGE1B</v>
      </c>
      <c r="B19784" t="s">
        <v>1826</v>
      </c>
      <c r="C19784" t="s">
        <v>37</v>
      </c>
      <c r="D19784" t="s">
        <v>17</v>
      </c>
      <c r="E19784" t="s">
        <v>20</v>
      </c>
      <c r="F19784">
        <v>52238973</v>
      </c>
      <c r="G19784">
        <v>52238973</v>
      </c>
      <c r="H19784">
        <v>52238973</v>
      </c>
      <c r="I19784">
        <v>52238973</v>
      </c>
    </row>
    <row r="19785" spans="1:9" x14ac:dyDescent="0.2">
      <c r="A19785" s="1" t="str">
        <f>"XAGE1B"</f>
        <v>XAGE1B</v>
      </c>
      <c r="B19785" t="s">
        <v>1827</v>
      </c>
      <c r="C19785" t="s">
        <v>37</v>
      </c>
      <c r="D19785" t="s">
        <v>17</v>
      </c>
      <c r="E19785" t="s">
        <v>20</v>
      </c>
      <c r="F19785">
        <v>52238813</v>
      </c>
      <c r="G19785">
        <v>52238813</v>
      </c>
      <c r="H19785">
        <v>52238813</v>
      </c>
      <c r="I19785">
        <v>52238813</v>
      </c>
    </row>
    <row r="19786" spans="1:9" x14ac:dyDescent="0.2">
      <c r="A19786" s="1" t="str">
        <f>"XAGE1B"</f>
        <v>XAGE1B</v>
      </c>
      <c r="B19786" t="s">
        <v>1828</v>
      </c>
      <c r="C19786" t="s">
        <v>37</v>
      </c>
      <c r="D19786" t="s">
        <v>17</v>
      </c>
      <c r="E19786" t="s">
        <v>20</v>
      </c>
      <c r="F19786">
        <v>52240503</v>
      </c>
      <c r="G19786">
        <v>52240503</v>
      </c>
      <c r="H19786">
        <v>52240503</v>
      </c>
      <c r="I19786">
        <v>52240503</v>
      </c>
    </row>
    <row r="19787" spans="1:9" x14ac:dyDescent="0.2">
      <c r="A19787" s="1" t="str">
        <f>"XAGE1B"</f>
        <v>XAGE1B</v>
      </c>
      <c r="B19787" t="s">
        <v>1829</v>
      </c>
      <c r="C19787" t="s">
        <v>37</v>
      </c>
      <c r="D19787" t="s">
        <v>17</v>
      </c>
      <c r="E19787" t="s">
        <v>20</v>
      </c>
      <c r="F19787">
        <v>52235227</v>
      </c>
      <c r="G19787">
        <v>52235227</v>
      </c>
      <c r="H19787">
        <v>52235227</v>
      </c>
      <c r="I19787">
        <v>52235227</v>
      </c>
    </row>
    <row r="19788" spans="1:9" x14ac:dyDescent="0.2">
      <c r="A19788" s="1" t="str">
        <f>"XAGE1C"</f>
        <v>XAGE1C</v>
      </c>
      <c r="B19788" t="s">
        <v>1830</v>
      </c>
      <c r="C19788" t="s">
        <v>37</v>
      </c>
      <c r="D19788" t="s">
        <v>17</v>
      </c>
      <c r="E19788" t="s">
        <v>20</v>
      </c>
      <c r="F19788">
        <v>52511817</v>
      </c>
      <c r="G19788">
        <v>52511817</v>
      </c>
      <c r="H19788">
        <v>52511817</v>
      </c>
      <c r="I19788">
        <v>52511817</v>
      </c>
    </row>
    <row r="19789" spans="1:9" x14ac:dyDescent="0.2">
      <c r="A19789" s="1" t="str">
        <f>"XAGE1C"</f>
        <v>XAGE1C</v>
      </c>
      <c r="B19789" t="s">
        <v>1831</v>
      </c>
      <c r="C19789" t="s">
        <v>37</v>
      </c>
      <c r="D19789" t="s">
        <v>17</v>
      </c>
      <c r="E19789" t="s">
        <v>20</v>
      </c>
      <c r="F19789">
        <v>52513454</v>
      </c>
      <c r="G19789">
        <v>52513454</v>
      </c>
      <c r="H19789">
        <v>52513454</v>
      </c>
      <c r="I19789">
        <v>52513454</v>
      </c>
    </row>
    <row r="19790" spans="1:9" x14ac:dyDescent="0.2">
      <c r="A19790" s="1" t="str">
        <f>"XAGE1D"</f>
        <v>XAGE1D</v>
      </c>
      <c r="B19790" t="s">
        <v>1832</v>
      </c>
      <c r="C19790" t="s">
        <v>37</v>
      </c>
      <c r="D19790" t="s">
        <v>11</v>
      </c>
      <c r="E19790" t="s">
        <v>20</v>
      </c>
      <c r="F19790">
        <v>52533298</v>
      </c>
      <c r="G19790">
        <v>52533298</v>
      </c>
      <c r="H19790">
        <v>52533298</v>
      </c>
      <c r="I19790">
        <v>52533298</v>
      </c>
    </row>
    <row r="19791" spans="1:9" x14ac:dyDescent="0.2">
      <c r="A19791" s="1" t="str">
        <f>"XAGE1D"</f>
        <v>XAGE1D</v>
      </c>
      <c r="B19791" t="s">
        <v>1833</v>
      </c>
      <c r="C19791" t="s">
        <v>37</v>
      </c>
      <c r="D19791" t="s">
        <v>11</v>
      </c>
      <c r="E19791" t="s">
        <v>20</v>
      </c>
      <c r="F19791">
        <v>52531608</v>
      </c>
      <c r="G19791">
        <v>52531608</v>
      </c>
      <c r="H19791">
        <v>52531608</v>
      </c>
      <c r="I19791">
        <v>52531608</v>
      </c>
    </row>
    <row r="19792" spans="1:9" x14ac:dyDescent="0.2">
      <c r="A19792" s="1" t="str">
        <f>"XAGE1E"</f>
        <v>XAGE1E</v>
      </c>
      <c r="B19792" t="s">
        <v>1834</v>
      </c>
      <c r="C19792" t="s">
        <v>37</v>
      </c>
      <c r="D19792" t="s">
        <v>11</v>
      </c>
      <c r="E19792" t="s">
        <v>20</v>
      </c>
      <c r="F19792">
        <v>52546138</v>
      </c>
      <c r="G19792">
        <v>52546138</v>
      </c>
      <c r="H19792">
        <v>52546138</v>
      </c>
      <c r="I19792">
        <v>52546138</v>
      </c>
    </row>
    <row r="19793" spans="1:9" x14ac:dyDescent="0.2">
      <c r="A19793" s="1" t="str">
        <f>"XAGE2"</f>
        <v>XAGE2</v>
      </c>
      <c r="B19793" t="s">
        <v>1835</v>
      </c>
      <c r="C19793" t="s">
        <v>37</v>
      </c>
      <c r="D19793" t="s">
        <v>11</v>
      </c>
      <c r="E19793" t="s">
        <v>35</v>
      </c>
      <c r="F19793">
        <v>52386980</v>
      </c>
      <c r="G19793">
        <v>52387013</v>
      </c>
      <c r="H19793">
        <v>52386980</v>
      </c>
      <c r="I19793">
        <v>52387013</v>
      </c>
    </row>
    <row r="19794" spans="1:9" x14ac:dyDescent="0.2">
      <c r="A19794" s="1" t="str">
        <f>"XAGE3"</f>
        <v>XAGE3</v>
      </c>
      <c r="B19794" t="s">
        <v>14</v>
      </c>
      <c r="C19794" t="s">
        <v>37</v>
      </c>
      <c r="D19794" t="s">
        <v>11</v>
      </c>
      <c r="E19794" t="s">
        <v>12</v>
      </c>
      <c r="F19794">
        <v>52897107</v>
      </c>
      <c r="G19794">
        <v>52897121</v>
      </c>
      <c r="H19794">
        <v>52897140</v>
      </c>
      <c r="I19794">
        <v>52897156</v>
      </c>
    </row>
    <row r="19795" spans="1:9" x14ac:dyDescent="0.2">
      <c r="A19795" s="1" t="str">
        <f>"XAGE5"</f>
        <v>XAGE5</v>
      </c>
      <c r="B19795" t="s">
        <v>1836</v>
      </c>
      <c r="C19795" t="s">
        <v>37</v>
      </c>
      <c r="D19795" t="s">
        <v>17</v>
      </c>
      <c r="E19795" t="s">
        <v>20</v>
      </c>
      <c r="F19795">
        <v>52841227</v>
      </c>
      <c r="G19795">
        <v>52841227</v>
      </c>
      <c r="H19795">
        <v>52841227</v>
      </c>
      <c r="I19795">
        <v>52841227</v>
      </c>
    </row>
    <row r="19796" spans="1:9" x14ac:dyDescent="0.2">
      <c r="A19796" s="1" t="str">
        <f>"XAGE5"</f>
        <v>XAGE5</v>
      </c>
      <c r="B19796" t="s">
        <v>1837</v>
      </c>
      <c r="C19796" t="s">
        <v>37</v>
      </c>
      <c r="D19796" t="s">
        <v>17</v>
      </c>
      <c r="E19796" t="s">
        <v>20</v>
      </c>
      <c r="F19796">
        <v>52841590</v>
      </c>
      <c r="G19796">
        <v>52841590</v>
      </c>
      <c r="H19796">
        <v>52841590</v>
      </c>
      <c r="I19796">
        <v>52841590</v>
      </c>
    </row>
    <row r="19797" spans="1:9" x14ac:dyDescent="0.2">
      <c r="A19797" s="1" t="str">
        <f>"XBP1"</f>
        <v>XBP1</v>
      </c>
      <c r="B19797" t="s">
        <v>14</v>
      </c>
      <c r="C19797" t="s">
        <v>21</v>
      </c>
      <c r="D19797" t="s">
        <v>11</v>
      </c>
      <c r="E19797" t="s">
        <v>12</v>
      </c>
      <c r="F19797">
        <v>29196511</v>
      </c>
      <c r="G19797">
        <v>29196541</v>
      </c>
      <c r="H19797">
        <v>29196547</v>
      </c>
      <c r="I19797">
        <v>29196563</v>
      </c>
    </row>
    <row r="19798" spans="1:9" x14ac:dyDescent="0.2">
      <c r="A19798" s="1" t="str">
        <f>"XCL1"</f>
        <v>XCL1</v>
      </c>
      <c r="B19798" t="s">
        <v>14</v>
      </c>
      <c r="C19798" t="s">
        <v>19</v>
      </c>
      <c r="D19798" t="s">
        <v>17</v>
      </c>
      <c r="E19798" t="s">
        <v>12</v>
      </c>
      <c r="F19798">
        <v>168545833</v>
      </c>
      <c r="G19798">
        <v>168545848</v>
      </c>
      <c r="H19798">
        <v>168545711</v>
      </c>
      <c r="I19798">
        <v>168545731</v>
      </c>
    </row>
    <row r="19799" spans="1:9" x14ac:dyDescent="0.2">
      <c r="A19799" s="1" t="str">
        <f>"XCL2"</f>
        <v>XCL2</v>
      </c>
      <c r="B19799" t="s">
        <v>14</v>
      </c>
      <c r="C19799" t="s">
        <v>19</v>
      </c>
      <c r="D19799" t="s">
        <v>11</v>
      </c>
      <c r="E19799" t="s">
        <v>12</v>
      </c>
      <c r="F19799">
        <v>168513229</v>
      </c>
      <c r="G19799">
        <v>168513244</v>
      </c>
      <c r="H19799">
        <v>168513229</v>
      </c>
      <c r="I19799">
        <v>168513244</v>
      </c>
    </row>
    <row r="19800" spans="1:9" x14ac:dyDescent="0.2">
      <c r="A19800" s="1" t="str">
        <f>"XCR1"</f>
        <v>XCR1</v>
      </c>
      <c r="B19800" t="s">
        <v>14</v>
      </c>
      <c r="C19800" t="s">
        <v>22</v>
      </c>
      <c r="D19800" t="s">
        <v>11</v>
      </c>
      <c r="E19800" t="s">
        <v>12</v>
      </c>
      <c r="F19800">
        <v>46068936</v>
      </c>
      <c r="G19800">
        <v>46068956</v>
      </c>
      <c r="H19800">
        <v>46068969</v>
      </c>
      <c r="I19800">
        <v>46068986</v>
      </c>
    </row>
    <row r="19801" spans="1:9" x14ac:dyDescent="0.2">
      <c r="A19801" s="1" t="str">
        <f>"XDH"</f>
        <v>XDH</v>
      </c>
      <c r="B19801" t="s">
        <v>14</v>
      </c>
      <c r="C19801" t="s">
        <v>26</v>
      </c>
      <c r="D19801" t="s">
        <v>11</v>
      </c>
      <c r="E19801" t="s">
        <v>12</v>
      </c>
      <c r="F19801">
        <v>31637560</v>
      </c>
      <c r="G19801">
        <v>31637614</v>
      </c>
      <c r="H19801">
        <v>31637560</v>
      </c>
      <c r="I19801">
        <v>31637614</v>
      </c>
    </row>
    <row r="19802" spans="1:9" x14ac:dyDescent="0.2">
      <c r="A19802" s="1" t="str">
        <f>"XG"</f>
        <v>XG</v>
      </c>
      <c r="B19802" t="s">
        <v>14</v>
      </c>
      <c r="C19802" t="s">
        <v>37</v>
      </c>
      <c r="D19802" t="s">
        <v>17</v>
      </c>
      <c r="E19802" t="s">
        <v>12</v>
      </c>
      <c r="F19802">
        <v>2670066</v>
      </c>
      <c r="G19802">
        <v>2670132</v>
      </c>
      <c r="H19802">
        <v>2670153</v>
      </c>
      <c r="I19802">
        <v>2670172</v>
      </c>
    </row>
    <row r="19803" spans="1:9" x14ac:dyDescent="0.2">
      <c r="A19803" s="1" t="str">
        <f>"XIAP"</f>
        <v>XIAP</v>
      </c>
      <c r="B19803" t="s">
        <v>14</v>
      </c>
      <c r="C19803" t="s">
        <v>37</v>
      </c>
      <c r="D19803" t="s">
        <v>17</v>
      </c>
      <c r="E19803" t="s">
        <v>12</v>
      </c>
      <c r="F19803">
        <v>122993827</v>
      </c>
      <c r="G19803">
        <v>122993910</v>
      </c>
      <c r="H19803">
        <v>122993986</v>
      </c>
      <c r="I19803">
        <v>122994059</v>
      </c>
    </row>
    <row r="19804" spans="1:9" x14ac:dyDescent="0.2">
      <c r="A19804" s="1" t="str">
        <f>"XIRP1"</f>
        <v>XIRP1</v>
      </c>
      <c r="B19804" t="s">
        <v>14</v>
      </c>
      <c r="C19804" t="s">
        <v>22</v>
      </c>
      <c r="D19804" t="s">
        <v>11</v>
      </c>
      <c r="E19804" t="s">
        <v>12</v>
      </c>
      <c r="F19804">
        <v>39234074</v>
      </c>
      <c r="G19804">
        <v>39234095</v>
      </c>
      <c r="H19804">
        <v>39234144</v>
      </c>
      <c r="I19804">
        <v>39234151</v>
      </c>
    </row>
    <row r="19805" spans="1:9" x14ac:dyDescent="0.2">
      <c r="A19805" s="1" t="str">
        <f>"XIRP2"</f>
        <v>XIRP2</v>
      </c>
      <c r="B19805" t="s">
        <v>14</v>
      </c>
      <c r="C19805" t="s">
        <v>26</v>
      </c>
      <c r="D19805" t="s">
        <v>17</v>
      </c>
      <c r="E19805" t="s">
        <v>12</v>
      </c>
      <c r="F19805">
        <v>168043874</v>
      </c>
      <c r="G19805">
        <v>168043891</v>
      </c>
      <c r="H19805">
        <v>168043855</v>
      </c>
      <c r="I19805">
        <v>168043866</v>
      </c>
    </row>
    <row r="19806" spans="1:9" x14ac:dyDescent="0.2">
      <c r="A19806" s="1" t="str">
        <f>"XK"</f>
        <v>XK</v>
      </c>
      <c r="B19806" t="s">
        <v>14</v>
      </c>
      <c r="C19806" t="s">
        <v>37</v>
      </c>
      <c r="D19806" t="s">
        <v>17</v>
      </c>
      <c r="E19806" t="s">
        <v>12</v>
      </c>
      <c r="F19806">
        <v>37545026</v>
      </c>
      <c r="G19806">
        <v>37545064</v>
      </c>
      <c r="H19806">
        <v>37544810</v>
      </c>
      <c r="I19806">
        <v>37544855</v>
      </c>
    </row>
    <row r="19807" spans="1:9" x14ac:dyDescent="0.2">
      <c r="A19807" s="1" t="str">
        <f>"XKR3"</f>
        <v>XKR3</v>
      </c>
      <c r="B19807" t="s">
        <v>14</v>
      </c>
      <c r="C19807" t="s">
        <v>21</v>
      </c>
      <c r="D19807" t="s">
        <v>11</v>
      </c>
      <c r="E19807" t="s">
        <v>12</v>
      </c>
      <c r="F19807">
        <v>17302560</v>
      </c>
      <c r="G19807">
        <v>17302569</v>
      </c>
      <c r="H19807">
        <v>17302560</v>
      </c>
      <c r="I19807">
        <v>17302569</v>
      </c>
    </row>
    <row r="19808" spans="1:9" x14ac:dyDescent="0.2">
      <c r="A19808" s="1" t="str">
        <f>"XKR4"</f>
        <v>XKR4</v>
      </c>
      <c r="B19808" t="s">
        <v>14</v>
      </c>
      <c r="C19808" t="s">
        <v>30</v>
      </c>
      <c r="D19808" t="s">
        <v>17</v>
      </c>
      <c r="E19808" t="s">
        <v>12</v>
      </c>
      <c r="F19808">
        <v>56014644</v>
      </c>
      <c r="G19808">
        <v>56014710</v>
      </c>
      <c r="H19808">
        <v>56014644</v>
      </c>
      <c r="I19808">
        <v>56014710</v>
      </c>
    </row>
    <row r="19809" spans="1:9" x14ac:dyDescent="0.2">
      <c r="A19809" s="1" t="str">
        <f>"XKR5"</f>
        <v>XKR5</v>
      </c>
      <c r="B19809" t="s">
        <v>14</v>
      </c>
      <c r="C19809" t="s">
        <v>30</v>
      </c>
      <c r="D19809" t="s">
        <v>11</v>
      </c>
      <c r="E19809" t="s">
        <v>12</v>
      </c>
      <c r="F19809">
        <v>6693015</v>
      </c>
      <c r="G19809">
        <v>6693056</v>
      </c>
      <c r="H19809">
        <v>6693124</v>
      </c>
      <c r="I19809">
        <v>6693147</v>
      </c>
    </row>
    <row r="19810" spans="1:9" x14ac:dyDescent="0.2">
      <c r="A19810" s="1" t="str">
        <f>"XKR6"</f>
        <v>XKR6</v>
      </c>
      <c r="B19810" t="s">
        <v>14</v>
      </c>
      <c r="C19810" t="s">
        <v>30</v>
      </c>
      <c r="D19810" t="s">
        <v>11</v>
      </c>
      <c r="E19810" t="s">
        <v>12</v>
      </c>
      <c r="F19810">
        <v>11059308</v>
      </c>
      <c r="G19810">
        <v>11059349</v>
      </c>
      <c r="H19810">
        <v>11058847</v>
      </c>
      <c r="I19810">
        <v>11058887</v>
      </c>
    </row>
    <row r="19811" spans="1:9" x14ac:dyDescent="0.2">
      <c r="A19811" s="1" t="str">
        <f>"XKR7"</f>
        <v>XKR7</v>
      </c>
      <c r="B19811" t="s">
        <v>14</v>
      </c>
      <c r="C19811" t="s">
        <v>29</v>
      </c>
      <c r="D19811" t="s">
        <v>17</v>
      </c>
      <c r="E19811" t="s">
        <v>12</v>
      </c>
      <c r="F19811">
        <v>30555945</v>
      </c>
      <c r="G19811">
        <v>30555984</v>
      </c>
      <c r="H19811">
        <v>30555872</v>
      </c>
      <c r="I19811">
        <v>30555890</v>
      </c>
    </row>
    <row r="19812" spans="1:9" x14ac:dyDescent="0.2">
      <c r="A19812" s="1" t="str">
        <f>"XKR8"</f>
        <v>XKR8</v>
      </c>
      <c r="B19812" t="s">
        <v>14</v>
      </c>
      <c r="C19812" t="s">
        <v>19</v>
      </c>
      <c r="D19812" t="s">
        <v>17</v>
      </c>
      <c r="E19812" t="s">
        <v>12</v>
      </c>
      <c r="F19812">
        <v>28286476</v>
      </c>
      <c r="G19812">
        <v>28286549</v>
      </c>
      <c r="H19812">
        <v>28286439</v>
      </c>
      <c r="I19812">
        <v>28286472</v>
      </c>
    </row>
    <row r="19813" spans="1:9" x14ac:dyDescent="0.2">
      <c r="A19813" s="1" t="str">
        <f>"XKR9"</f>
        <v>XKR9</v>
      </c>
      <c r="B19813" t="s">
        <v>14</v>
      </c>
      <c r="C19813" t="s">
        <v>30</v>
      </c>
      <c r="D19813" t="s">
        <v>17</v>
      </c>
      <c r="E19813" t="s">
        <v>12</v>
      </c>
      <c r="F19813">
        <v>71581565</v>
      </c>
      <c r="G19813">
        <v>71581645</v>
      </c>
      <c r="H19813">
        <v>71581652</v>
      </c>
      <c r="I19813">
        <v>71581661</v>
      </c>
    </row>
    <row r="19814" spans="1:9" x14ac:dyDescent="0.2">
      <c r="A19814" s="1" t="str">
        <f>"XKRX"</f>
        <v>XKRX</v>
      </c>
      <c r="B19814" t="s">
        <v>14</v>
      </c>
      <c r="C19814" t="s">
        <v>37</v>
      </c>
      <c r="D19814" t="s">
        <v>11</v>
      </c>
      <c r="E19814" t="s">
        <v>12</v>
      </c>
      <c r="F19814">
        <v>100183894</v>
      </c>
      <c r="G19814">
        <v>100183916</v>
      </c>
      <c r="H19814">
        <v>100183894</v>
      </c>
      <c r="I19814">
        <v>100183916</v>
      </c>
    </row>
    <row r="19815" spans="1:9" x14ac:dyDescent="0.2">
      <c r="A19815" s="1" t="str">
        <f>"XPA"</f>
        <v>XPA</v>
      </c>
      <c r="B19815" t="s">
        <v>14</v>
      </c>
      <c r="C19815" t="s">
        <v>24</v>
      </c>
      <c r="D19815" t="s">
        <v>11</v>
      </c>
      <c r="E19815" t="s">
        <v>12</v>
      </c>
      <c r="F19815">
        <v>100459579</v>
      </c>
      <c r="G19815">
        <v>100459631</v>
      </c>
      <c r="H19815">
        <v>100459641</v>
      </c>
      <c r="I19815">
        <v>100459663</v>
      </c>
    </row>
    <row r="19816" spans="1:9" x14ac:dyDescent="0.2">
      <c r="A19816" s="1" t="str">
        <f>"XPC"</f>
        <v>XPC</v>
      </c>
      <c r="B19816" t="s">
        <v>9</v>
      </c>
      <c r="C19816" t="s">
        <v>22</v>
      </c>
      <c r="D19816" t="s">
        <v>11</v>
      </c>
      <c r="E19816" t="s">
        <v>12</v>
      </c>
      <c r="F19816">
        <v>14220069</v>
      </c>
      <c r="G19816">
        <v>14220108</v>
      </c>
      <c r="H19816">
        <v>14220069</v>
      </c>
      <c r="I19816">
        <v>14220108</v>
      </c>
    </row>
    <row r="19817" spans="1:9" x14ac:dyDescent="0.2">
      <c r="A19817" s="1" t="str">
        <f>"XPC"</f>
        <v>XPC</v>
      </c>
      <c r="B19817" t="s">
        <v>13</v>
      </c>
      <c r="C19817" t="s">
        <v>22</v>
      </c>
      <c r="D19817" t="s">
        <v>11</v>
      </c>
      <c r="E19817" t="s">
        <v>12</v>
      </c>
      <c r="F19817">
        <v>14212107</v>
      </c>
      <c r="G19817">
        <v>14212119</v>
      </c>
      <c r="H19817">
        <v>14212107</v>
      </c>
      <c r="I19817">
        <v>14212119</v>
      </c>
    </row>
    <row r="19818" spans="1:9" x14ac:dyDescent="0.2">
      <c r="A19818" s="1" t="str">
        <f>"XPNPEP1"</f>
        <v>XPNPEP1</v>
      </c>
      <c r="B19818" t="s">
        <v>14</v>
      </c>
      <c r="C19818" t="s">
        <v>15</v>
      </c>
      <c r="D19818" t="s">
        <v>11</v>
      </c>
      <c r="E19818" t="s">
        <v>12</v>
      </c>
      <c r="F19818">
        <v>111683183</v>
      </c>
      <c r="G19818">
        <v>111683277</v>
      </c>
      <c r="H19818">
        <v>111683145</v>
      </c>
      <c r="I19818">
        <v>111683156</v>
      </c>
    </row>
    <row r="19819" spans="1:9" x14ac:dyDescent="0.2">
      <c r="A19819" s="1" t="str">
        <f>"XPNPEP2"</f>
        <v>XPNPEP2</v>
      </c>
      <c r="B19819" t="s">
        <v>14</v>
      </c>
      <c r="C19819" t="s">
        <v>37</v>
      </c>
      <c r="D19819" t="s">
        <v>17</v>
      </c>
      <c r="E19819" t="s">
        <v>12</v>
      </c>
      <c r="F19819">
        <v>128872918</v>
      </c>
      <c r="G19819">
        <v>128872963</v>
      </c>
      <c r="H19819">
        <v>128873074</v>
      </c>
      <c r="I19819">
        <v>128873108</v>
      </c>
    </row>
    <row r="19820" spans="1:9" x14ac:dyDescent="0.2">
      <c r="A19820" s="1" t="str">
        <f>"XPNPEP3"</f>
        <v>XPNPEP3</v>
      </c>
      <c r="B19820" t="s">
        <v>14</v>
      </c>
      <c r="C19820" t="s">
        <v>21</v>
      </c>
      <c r="D19820" t="s">
        <v>17</v>
      </c>
      <c r="E19820" t="s">
        <v>12</v>
      </c>
      <c r="F19820">
        <v>41253080</v>
      </c>
      <c r="G19820">
        <v>41253140</v>
      </c>
      <c r="H19820">
        <v>41253142</v>
      </c>
      <c r="I19820">
        <v>41253168</v>
      </c>
    </row>
    <row r="19821" spans="1:9" x14ac:dyDescent="0.2">
      <c r="A19821" s="1" t="str">
        <f>"XPO1"</f>
        <v>XPO1</v>
      </c>
      <c r="B19821" t="s">
        <v>14</v>
      </c>
      <c r="C19821" t="s">
        <v>26</v>
      </c>
      <c r="D19821" t="s">
        <v>11</v>
      </c>
      <c r="E19821" t="s">
        <v>12</v>
      </c>
      <c r="F19821">
        <v>61765315</v>
      </c>
      <c r="G19821">
        <v>61765422</v>
      </c>
      <c r="H19821">
        <v>61765446</v>
      </c>
      <c r="I19821">
        <v>61765515</v>
      </c>
    </row>
    <row r="19822" spans="1:9" x14ac:dyDescent="0.2">
      <c r="A19822" s="1" t="str">
        <f>"XPO4"</f>
        <v>XPO4</v>
      </c>
      <c r="B19822" t="s">
        <v>14</v>
      </c>
      <c r="C19822" t="s">
        <v>39</v>
      </c>
      <c r="D19822" t="s">
        <v>11</v>
      </c>
      <c r="E19822" t="s">
        <v>12</v>
      </c>
      <c r="F19822">
        <v>21476875</v>
      </c>
      <c r="G19822">
        <v>21476899</v>
      </c>
      <c r="H19822">
        <v>21476900</v>
      </c>
      <c r="I19822">
        <v>21476918</v>
      </c>
    </row>
    <row r="19823" spans="1:9" x14ac:dyDescent="0.2">
      <c r="A19823" s="1" t="str">
        <f>"XPO5"</f>
        <v>XPO5</v>
      </c>
      <c r="B19823" t="s">
        <v>14</v>
      </c>
      <c r="C19823" t="s">
        <v>32</v>
      </c>
      <c r="D19823" t="s">
        <v>11</v>
      </c>
      <c r="E19823" t="s">
        <v>12</v>
      </c>
      <c r="F19823">
        <v>43543702</v>
      </c>
      <c r="G19823">
        <v>43543801</v>
      </c>
      <c r="H19823">
        <v>43543682</v>
      </c>
      <c r="I19823">
        <v>43543696</v>
      </c>
    </row>
    <row r="19824" spans="1:9" x14ac:dyDescent="0.2">
      <c r="A19824" s="1" t="str">
        <f>"XPO6"</f>
        <v>XPO6</v>
      </c>
      <c r="B19824" t="s">
        <v>14</v>
      </c>
      <c r="C19824" t="s">
        <v>31</v>
      </c>
      <c r="D19824" t="s">
        <v>11</v>
      </c>
      <c r="E19824" t="s">
        <v>12</v>
      </c>
      <c r="F19824">
        <v>28223229</v>
      </c>
      <c r="G19824">
        <v>28223308</v>
      </c>
      <c r="H19824">
        <v>28223166</v>
      </c>
      <c r="I19824">
        <v>28223223</v>
      </c>
    </row>
    <row r="19825" spans="1:9" x14ac:dyDescent="0.2">
      <c r="A19825" s="1" t="str">
        <f>"XPO7"</f>
        <v>XPO7</v>
      </c>
      <c r="B19825" t="s">
        <v>14</v>
      </c>
      <c r="C19825" t="s">
        <v>30</v>
      </c>
      <c r="D19825" t="s">
        <v>17</v>
      </c>
      <c r="E19825" t="s">
        <v>12</v>
      </c>
      <c r="F19825">
        <v>21777159</v>
      </c>
      <c r="G19825">
        <v>21777221</v>
      </c>
      <c r="H19825">
        <v>21777243</v>
      </c>
      <c r="I19825">
        <v>21777275</v>
      </c>
    </row>
    <row r="19826" spans="1:9" x14ac:dyDescent="0.2">
      <c r="A19826" s="1" t="str">
        <f>"XPOT"</f>
        <v>XPOT</v>
      </c>
      <c r="B19826" t="s">
        <v>14</v>
      </c>
      <c r="C19826" t="s">
        <v>16</v>
      </c>
      <c r="D19826" t="s">
        <v>17</v>
      </c>
      <c r="E19826" t="s">
        <v>12</v>
      </c>
      <c r="F19826">
        <v>64798302</v>
      </c>
      <c r="G19826">
        <v>64798414</v>
      </c>
      <c r="H19826">
        <v>64798203</v>
      </c>
      <c r="I19826">
        <v>64798275</v>
      </c>
    </row>
    <row r="19827" spans="1:9" x14ac:dyDescent="0.2">
      <c r="A19827" s="1" t="str">
        <f>"XPR1"</f>
        <v>XPR1</v>
      </c>
      <c r="B19827" t="s">
        <v>14</v>
      </c>
      <c r="C19827" t="s">
        <v>19</v>
      </c>
      <c r="D19827" t="s">
        <v>17</v>
      </c>
      <c r="E19827" t="s">
        <v>12</v>
      </c>
      <c r="F19827">
        <v>180601139</v>
      </c>
      <c r="G19827">
        <v>180601180</v>
      </c>
      <c r="H19827">
        <v>180601188</v>
      </c>
      <c r="I19827">
        <v>180601207</v>
      </c>
    </row>
    <row r="19828" spans="1:9" x14ac:dyDescent="0.2">
      <c r="A19828" s="1" t="str">
        <f>"XRCC1"</f>
        <v>XRCC1</v>
      </c>
      <c r="B19828" t="s">
        <v>14</v>
      </c>
      <c r="C19828" t="s">
        <v>10</v>
      </c>
      <c r="D19828" t="s">
        <v>11</v>
      </c>
      <c r="E19828" t="s">
        <v>12</v>
      </c>
      <c r="F19828">
        <v>44079611</v>
      </c>
      <c r="G19828">
        <v>44079745</v>
      </c>
      <c r="H19828">
        <v>44079770</v>
      </c>
      <c r="I19828">
        <v>44079781</v>
      </c>
    </row>
    <row r="19829" spans="1:9" x14ac:dyDescent="0.2">
      <c r="A19829" s="1" t="str">
        <f>"XRCC2"</f>
        <v>XRCC2</v>
      </c>
      <c r="B19829" t="s">
        <v>14</v>
      </c>
      <c r="C19829" t="s">
        <v>33</v>
      </c>
      <c r="D19829" t="s">
        <v>11</v>
      </c>
      <c r="E19829" t="s">
        <v>12</v>
      </c>
      <c r="F19829">
        <v>152373216</v>
      </c>
      <c r="G19829">
        <v>152373260</v>
      </c>
      <c r="H19829">
        <v>152373182</v>
      </c>
      <c r="I19829">
        <v>152373198</v>
      </c>
    </row>
    <row r="19830" spans="1:9" x14ac:dyDescent="0.2">
      <c r="A19830" s="1" t="str">
        <f>"XRCC3"</f>
        <v>XRCC3</v>
      </c>
      <c r="B19830" t="s">
        <v>14</v>
      </c>
      <c r="C19830" t="s">
        <v>41</v>
      </c>
      <c r="D19830" t="s">
        <v>11</v>
      </c>
      <c r="E19830" t="s">
        <v>12</v>
      </c>
      <c r="F19830">
        <v>104181771</v>
      </c>
      <c r="G19830">
        <v>104181827</v>
      </c>
      <c r="H19830">
        <v>104181733</v>
      </c>
      <c r="I19830">
        <v>104181764</v>
      </c>
    </row>
    <row r="19831" spans="1:9" x14ac:dyDescent="0.2">
      <c r="A19831" s="1" t="str">
        <f>"XRCC4"</f>
        <v>XRCC4</v>
      </c>
      <c r="B19831" t="s">
        <v>14</v>
      </c>
      <c r="C19831" t="s">
        <v>46</v>
      </c>
      <c r="D19831" t="s">
        <v>17</v>
      </c>
      <c r="E19831" t="s">
        <v>12</v>
      </c>
      <c r="F19831">
        <v>82373379</v>
      </c>
      <c r="G19831">
        <v>82373444</v>
      </c>
      <c r="H19831">
        <v>82373353</v>
      </c>
      <c r="I19831">
        <v>82373375</v>
      </c>
    </row>
    <row r="19832" spans="1:9" x14ac:dyDescent="0.2">
      <c r="A19832" s="1" t="str">
        <f>"XRCC5"</f>
        <v>XRCC5</v>
      </c>
      <c r="B19832" t="s">
        <v>14</v>
      </c>
      <c r="C19832" t="s">
        <v>26</v>
      </c>
      <c r="D19832" t="s">
        <v>17</v>
      </c>
      <c r="E19832" t="s">
        <v>12</v>
      </c>
      <c r="F19832">
        <v>216974092</v>
      </c>
      <c r="G19832">
        <v>216974148</v>
      </c>
      <c r="H19832">
        <v>216974046</v>
      </c>
      <c r="I19832">
        <v>216974091</v>
      </c>
    </row>
    <row r="19833" spans="1:9" x14ac:dyDescent="0.2">
      <c r="A19833" s="1" t="str">
        <f>"XRCC6"</f>
        <v>XRCC6</v>
      </c>
      <c r="B19833" t="s">
        <v>14</v>
      </c>
      <c r="C19833" t="s">
        <v>21</v>
      </c>
      <c r="D19833" t="s">
        <v>17</v>
      </c>
      <c r="E19833" t="s">
        <v>12</v>
      </c>
      <c r="F19833">
        <v>42017280</v>
      </c>
      <c r="G19833">
        <v>42017325</v>
      </c>
      <c r="H19833">
        <v>42017266</v>
      </c>
      <c r="I19833">
        <v>42017277</v>
      </c>
    </row>
    <row r="19834" spans="1:9" x14ac:dyDescent="0.2">
      <c r="A19834" s="1" t="str">
        <f>"XRCC6BP1"</f>
        <v>XRCC6BP1</v>
      </c>
      <c r="B19834" t="s">
        <v>14</v>
      </c>
      <c r="C19834" t="s">
        <v>16</v>
      </c>
      <c r="D19834" t="s">
        <v>17</v>
      </c>
      <c r="E19834" t="s">
        <v>12</v>
      </c>
      <c r="F19834">
        <v>58335281</v>
      </c>
      <c r="G19834">
        <v>58335356</v>
      </c>
      <c r="H19834">
        <v>58335421</v>
      </c>
      <c r="I19834">
        <v>58335437</v>
      </c>
    </row>
    <row r="19835" spans="1:9" x14ac:dyDescent="0.2">
      <c r="A19835" s="1" t="str">
        <f>"XRN1"</f>
        <v>XRN1</v>
      </c>
      <c r="B19835" t="s">
        <v>14</v>
      </c>
      <c r="C19835" t="s">
        <v>22</v>
      </c>
      <c r="D19835" t="s">
        <v>11</v>
      </c>
      <c r="E19835" t="s">
        <v>12</v>
      </c>
      <c r="F19835">
        <v>142166870</v>
      </c>
      <c r="G19835">
        <v>142166889</v>
      </c>
      <c r="H19835">
        <v>142166846</v>
      </c>
      <c r="I19835">
        <v>142166867</v>
      </c>
    </row>
    <row r="19836" spans="1:9" x14ac:dyDescent="0.2">
      <c r="A19836" s="1" t="str">
        <f>"XRN2"</f>
        <v>XRN2</v>
      </c>
      <c r="B19836" t="s">
        <v>14</v>
      </c>
      <c r="C19836" t="s">
        <v>29</v>
      </c>
      <c r="D19836" t="s">
        <v>17</v>
      </c>
      <c r="E19836" t="s">
        <v>12</v>
      </c>
      <c r="F19836">
        <v>21283941</v>
      </c>
      <c r="G19836">
        <v>21284007</v>
      </c>
      <c r="H19836">
        <v>21283917</v>
      </c>
      <c r="I19836">
        <v>21283928</v>
      </c>
    </row>
    <row r="19837" spans="1:9" x14ac:dyDescent="0.2">
      <c r="A19837" s="1" t="str">
        <f>"XRRA1"</f>
        <v>XRRA1</v>
      </c>
      <c r="B19837" t="s">
        <v>14</v>
      </c>
      <c r="C19837" t="s">
        <v>27</v>
      </c>
      <c r="D19837" t="s">
        <v>11</v>
      </c>
      <c r="E19837" t="s">
        <v>12</v>
      </c>
      <c r="F19837">
        <v>74660103</v>
      </c>
      <c r="G19837">
        <v>74660156</v>
      </c>
      <c r="H19837">
        <v>74660159</v>
      </c>
      <c r="I19837">
        <v>74660210</v>
      </c>
    </row>
    <row r="19838" spans="1:9" x14ac:dyDescent="0.2">
      <c r="A19838" s="1" t="str">
        <f>"XXYLT1"</f>
        <v>XXYLT1</v>
      </c>
      <c r="B19838" t="s">
        <v>14</v>
      </c>
      <c r="C19838" t="s">
        <v>22</v>
      </c>
      <c r="D19838" t="s">
        <v>11</v>
      </c>
      <c r="E19838" t="s">
        <v>12</v>
      </c>
      <c r="F19838">
        <v>194991876</v>
      </c>
      <c r="G19838">
        <v>194991901</v>
      </c>
      <c r="H19838">
        <v>194991828</v>
      </c>
      <c r="I19838">
        <v>194991871</v>
      </c>
    </row>
    <row r="19839" spans="1:9" x14ac:dyDescent="0.2">
      <c r="A19839" s="1" t="str">
        <f>"XYLB"</f>
        <v>XYLB</v>
      </c>
      <c r="B19839" t="s">
        <v>14</v>
      </c>
      <c r="C19839" t="s">
        <v>22</v>
      </c>
      <c r="D19839" t="s">
        <v>17</v>
      </c>
      <c r="E19839" t="s">
        <v>12</v>
      </c>
      <c r="F19839">
        <v>38388255</v>
      </c>
      <c r="G19839">
        <v>38388353</v>
      </c>
      <c r="H19839">
        <v>38388255</v>
      </c>
      <c r="I19839">
        <v>38388353</v>
      </c>
    </row>
    <row r="19840" spans="1:9" x14ac:dyDescent="0.2">
      <c r="A19840" s="1" t="str">
        <f>"XYLT1"</f>
        <v>XYLT1</v>
      </c>
      <c r="B19840" t="s">
        <v>14</v>
      </c>
      <c r="C19840" t="s">
        <v>31</v>
      </c>
      <c r="D19840" t="s">
        <v>11</v>
      </c>
      <c r="E19840" t="s">
        <v>12</v>
      </c>
      <c r="F19840">
        <v>17564811</v>
      </c>
      <c r="G19840">
        <v>17564834</v>
      </c>
      <c r="H19840">
        <v>17564846</v>
      </c>
      <c r="I19840">
        <v>17564871</v>
      </c>
    </row>
    <row r="19841" spans="1:9" x14ac:dyDescent="0.2">
      <c r="A19841" s="1" t="str">
        <f>"XYLT2"</f>
        <v>XYLT2</v>
      </c>
      <c r="B19841" t="s">
        <v>14</v>
      </c>
      <c r="C19841" t="s">
        <v>28</v>
      </c>
      <c r="D19841" t="s">
        <v>17</v>
      </c>
      <c r="E19841" t="s">
        <v>12</v>
      </c>
      <c r="F19841">
        <v>48423460</v>
      </c>
      <c r="G19841">
        <v>48423505</v>
      </c>
      <c r="H19841">
        <v>48423431</v>
      </c>
      <c r="I19841">
        <v>48423454</v>
      </c>
    </row>
    <row r="19842" spans="1:9" x14ac:dyDescent="0.2">
      <c r="A19842" s="1" t="str">
        <f>"YAE1D1"</f>
        <v>YAE1D1</v>
      </c>
      <c r="B19842" t="s">
        <v>14</v>
      </c>
      <c r="C19842" t="s">
        <v>33</v>
      </c>
      <c r="D19842" t="s">
        <v>17</v>
      </c>
      <c r="E19842" t="s">
        <v>12</v>
      </c>
      <c r="F19842">
        <v>39605966</v>
      </c>
      <c r="G19842">
        <v>39606021</v>
      </c>
      <c r="H19842">
        <v>39606026</v>
      </c>
      <c r="I19842">
        <v>39606045</v>
      </c>
    </row>
    <row r="19843" spans="1:9" x14ac:dyDescent="0.2">
      <c r="A19843" s="1" t="str">
        <f>"YAF2"</f>
        <v>YAF2</v>
      </c>
      <c r="B19843" t="s">
        <v>14</v>
      </c>
      <c r="C19843" t="s">
        <v>16</v>
      </c>
      <c r="D19843" t="s">
        <v>11</v>
      </c>
      <c r="E19843" t="s">
        <v>12</v>
      </c>
      <c r="F19843">
        <v>42632016</v>
      </c>
      <c r="G19843">
        <v>42632058</v>
      </c>
      <c r="H19843">
        <v>42632127</v>
      </c>
      <c r="I19843">
        <v>42632177</v>
      </c>
    </row>
    <row r="19844" spans="1:9" x14ac:dyDescent="0.2">
      <c r="A19844" s="1" t="str">
        <f>"YAP1"</f>
        <v>YAP1</v>
      </c>
      <c r="B19844" t="s">
        <v>14</v>
      </c>
      <c r="C19844" t="s">
        <v>27</v>
      </c>
      <c r="D19844" t="s">
        <v>17</v>
      </c>
      <c r="E19844" t="s">
        <v>12</v>
      </c>
      <c r="F19844">
        <v>101981169</v>
      </c>
      <c r="G19844">
        <v>101981187</v>
      </c>
      <c r="H19844">
        <v>101981127</v>
      </c>
      <c r="I19844">
        <v>101981164</v>
      </c>
    </row>
    <row r="19845" spans="1:9" x14ac:dyDescent="0.2">
      <c r="A19845" s="1" t="str">
        <f>"YARS"</f>
        <v>YARS</v>
      </c>
      <c r="B19845" t="s">
        <v>14</v>
      </c>
      <c r="C19845" t="s">
        <v>19</v>
      </c>
      <c r="D19845" t="s">
        <v>11</v>
      </c>
      <c r="E19845" t="s">
        <v>12</v>
      </c>
      <c r="F19845">
        <v>33282912</v>
      </c>
      <c r="G19845">
        <v>33282991</v>
      </c>
      <c r="H19845">
        <v>33283001</v>
      </c>
      <c r="I19845">
        <v>33283023</v>
      </c>
    </row>
    <row r="19846" spans="1:9" x14ac:dyDescent="0.2">
      <c r="A19846" s="1" t="str">
        <f>"YARS2"</f>
        <v>YARS2</v>
      </c>
      <c r="B19846" t="s">
        <v>14</v>
      </c>
      <c r="C19846" t="s">
        <v>16</v>
      </c>
      <c r="D19846" t="s">
        <v>11</v>
      </c>
      <c r="E19846" t="s">
        <v>12</v>
      </c>
      <c r="F19846">
        <v>32908809</v>
      </c>
      <c r="G19846">
        <v>32908840</v>
      </c>
      <c r="H19846">
        <v>32908809</v>
      </c>
      <c r="I19846">
        <v>32908840</v>
      </c>
    </row>
    <row r="19847" spans="1:9" x14ac:dyDescent="0.2">
      <c r="A19847" s="1" t="str">
        <f>"YBEY"</f>
        <v>YBEY</v>
      </c>
      <c r="B19847" t="s">
        <v>14</v>
      </c>
      <c r="C19847" t="s">
        <v>42</v>
      </c>
      <c r="D19847" t="s">
        <v>17</v>
      </c>
      <c r="E19847" t="s">
        <v>12</v>
      </c>
      <c r="F19847">
        <v>47706239</v>
      </c>
      <c r="G19847">
        <v>47706327</v>
      </c>
      <c r="H19847">
        <v>47706537</v>
      </c>
      <c r="I19847">
        <v>47706574</v>
      </c>
    </row>
    <row r="19848" spans="1:9" x14ac:dyDescent="0.2">
      <c r="A19848" s="1" t="str">
        <f>"YBX1"</f>
        <v>YBX1</v>
      </c>
      <c r="B19848" t="s">
        <v>14</v>
      </c>
      <c r="C19848" t="s">
        <v>19</v>
      </c>
      <c r="D19848" t="s">
        <v>17</v>
      </c>
      <c r="E19848" t="s">
        <v>12</v>
      </c>
      <c r="F19848">
        <v>43148059</v>
      </c>
      <c r="G19848">
        <v>43148108</v>
      </c>
      <c r="H19848">
        <v>43148792</v>
      </c>
      <c r="I19848">
        <v>43148849</v>
      </c>
    </row>
    <row r="19849" spans="1:9" x14ac:dyDescent="0.2">
      <c r="A19849" s="1" t="str">
        <f>"YBX2"</f>
        <v>YBX2</v>
      </c>
      <c r="B19849" t="s">
        <v>14</v>
      </c>
      <c r="C19849" t="s">
        <v>28</v>
      </c>
      <c r="D19849" t="s">
        <v>11</v>
      </c>
      <c r="E19849" t="s">
        <v>12</v>
      </c>
      <c r="F19849">
        <v>7197911</v>
      </c>
      <c r="G19849">
        <v>7197964</v>
      </c>
      <c r="H19849">
        <v>7197844</v>
      </c>
      <c r="I19849">
        <v>7197869</v>
      </c>
    </row>
    <row r="19850" spans="1:9" x14ac:dyDescent="0.2">
      <c r="A19850" s="1" t="str">
        <f>"YBX3"</f>
        <v>YBX3</v>
      </c>
      <c r="B19850" t="s">
        <v>14</v>
      </c>
      <c r="C19850" t="s">
        <v>16</v>
      </c>
      <c r="D19850" t="s">
        <v>11</v>
      </c>
      <c r="E19850" t="s">
        <v>12</v>
      </c>
      <c r="F19850">
        <v>10875831</v>
      </c>
      <c r="G19850">
        <v>10876025</v>
      </c>
      <c r="H19850">
        <v>10875658</v>
      </c>
      <c r="I19850">
        <v>10875708</v>
      </c>
    </row>
    <row r="19851" spans="1:9" x14ac:dyDescent="0.2">
      <c r="A19851" s="1" t="str">
        <f>"YDJC"</f>
        <v>YDJC</v>
      </c>
      <c r="B19851" t="s">
        <v>14</v>
      </c>
      <c r="C19851" t="s">
        <v>21</v>
      </c>
      <c r="D19851" t="s">
        <v>11</v>
      </c>
      <c r="E19851" t="s">
        <v>12</v>
      </c>
      <c r="F19851">
        <v>21984282</v>
      </c>
      <c r="G19851">
        <v>21984359</v>
      </c>
      <c r="H19851">
        <v>21984248</v>
      </c>
      <c r="I19851">
        <v>21984259</v>
      </c>
    </row>
    <row r="19852" spans="1:9" x14ac:dyDescent="0.2">
      <c r="A19852" s="1" t="str">
        <f>"YEATS2"</f>
        <v>YEATS2</v>
      </c>
      <c r="B19852" t="s">
        <v>14</v>
      </c>
      <c r="C19852" t="s">
        <v>22</v>
      </c>
      <c r="D19852" t="s">
        <v>17</v>
      </c>
      <c r="E19852" t="s">
        <v>12</v>
      </c>
      <c r="F19852">
        <v>183415558</v>
      </c>
      <c r="G19852">
        <v>183415649</v>
      </c>
      <c r="H19852">
        <v>183415653</v>
      </c>
      <c r="I19852">
        <v>183415664</v>
      </c>
    </row>
    <row r="19853" spans="1:9" x14ac:dyDescent="0.2">
      <c r="A19853" s="1" t="str">
        <f>"YEATS4"</f>
        <v>YEATS4</v>
      </c>
      <c r="B19853" t="s">
        <v>14</v>
      </c>
      <c r="C19853" t="s">
        <v>16</v>
      </c>
      <c r="D19853" t="s">
        <v>17</v>
      </c>
      <c r="E19853" t="s">
        <v>12</v>
      </c>
      <c r="F19853">
        <v>69753448</v>
      </c>
      <c r="G19853">
        <v>69753577</v>
      </c>
      <c r="H19853">
        <v>69753583</v>
      </c>
      <c r="I19853">
        <v>69753598</v>
      </c>
    </row>
    <row r="19854" spans="1:9" x14ac:dyDescent="0.2">
      <c r="A19854" s="1" t="str">
        <f>"YES1"</f>
        <v>YES1</v>
      </c>
      <c r="B19854" t="s">
        <v>14</v>
      </c>
      <c r="C19854" t="s">
        <v>43</v>
      </c>
      <c r="D19854" t="s">
        <v>11</v>
      </c>
      <c r="E19854" t="s">
        <v>12</v>
      </c>
      <c r="F19854">
        <v>812231</v>
      </c>
      <c r="G19854">
        <v>812300</v>
      </c>
      <c r="H19854">
        <v>812517</v>
      </c>
      <c r="I19854">
        <v>812583</v>
      </c>
    </row>
    <row r="19855" spans="1:9" x14ac:dyDescent="0.2">
      <c r="A19855" s="1" t="str">
        <f>"YIF1A"</f>
        <v>YIF1A</v>
      </c>
      <c r="B19855" t="s">
        <v>14</v>
      </c>
      <c r="C19855" t="s">
        <v>27</v>
      </c>
      <c r="D19855" t="s">
        <v>11</v>
      </c>
      <c r="E19855" t="s">
        <v>12</v>
      </c>
      <c r="F19855">
        <v>66056596</v>
      </c>
      <c r="G19855">
        <v>66056622</v>
      </c>
      <c r="H19855">
        <v>66056564</v>
      </c>
      <c r="I19855">
        <v>66056579</v>
      </c>
    </row>
    <row r="19856" spans="1:9" x14ac:dyDescent="0.2">
      <c r="A19856" s="1" t="str">
        <f>"YIF1B"</f>
        <v>YIF1B</v>
      </c>
      <c r="B19856" t="s">
        <v>14</v>
      </c>
      <c r="C19856" t="s">
        <v>10</v>
      </c>
      <c r="D19856" t="s">
        <v>11</v>
      </c>
      <c r="E19856" t="s">
        <v>12</v>
      </c>
      <c r="F19856">
        <v>38806561</v>
      </c>
      <c r="G19856">
        <v>38806607</v>
      </c>
      <c r="H19856">
        <v>38806390</v>
      </c>
      <c r="I19856">
        <v>38806438</v>
      </c>
    </row>
    <row r="19857" spans="1:9" x14ac:dyDescent="0.2">
      <c r="A19857" s="1" t="str">
        <f>"YIPF1"</f>
        <v>YIPF1</v>
      </c>
      <c r="B19857" t="s">
        <v>14</v>
      </c>
      <c r="C19857" t="s">
        <v>19</v>
      </c>
      <c r="D19857" t="s">
        <v>11</v>
      </c>
      <c r="E19857" t="s">
        <v>12</v>
      </c>
      <c r="F19857">
        <v>54355430</v>
      </c>
      <c r="G19857">
        <v>54355495</v>
      </c>
      <c r="H19857">
        <v>54355418</v>
      </c>
      <c r="I19857">
        <v>54355429</v>
      </c>
    </row>
    <row r="19858" spans="1:9" x14ac:dyDescent="0.2">
      <c r="A19858" s="1" t="str">
        <f>"YIPF2"</f>
        <v>YIPF2</v>
      </c>
      <c r="B19858" t="s">
        <v>14</v>
      </c>
      <c r="C19858" t="s">
        <v>10</v>
      </c>
      <c r="D19858" t="s">
        <v>11</v>
      </c>
      <c r="E19858" t="s">
        <v>12</v>
      </c>
      <c r="F19858">
        <v>11039271</v>
      </c>
      <c r="G19858">
        <v>11039355</v>
      </c>
      <c r="H19858">
        <v>11039216</v>
      </c>
      <c r="I19858">
        <v>11039248</v>
      </c>
    </row>
    <row r="19859" spans="1:9" x14ac:dyDescent="0.2">
      <c r="A19859" s="1" t="str">
        <f>"YIPF3"</f>
        <v>YIPF3</v>
      </c>
      <c r="B19859" t="s">
        <v>14</v>
      </c>
      <c r="C19859" t="s">
        <v>32</v>
      </c>
      <c r="D19859" t="s">
        <v>11</v>
      </c>
      <c r="E19859" t="s">
        <v>12</v>
      </c>
      <c r="F19859">
        <v>43484621</v>
      </c>
      <c r="G19859">
        <v>43484706</v>
      </c>
      <c r="H19859">
        <v>43484602</v>
      </c>
      <c r="I19859">
        <v>43484613</v>
      </c>
    </row>
    <row r="19860" spans="1:9" x14ac:dyDescent="0.2">
      <c r="A19860" s="1" t="str">
        <f>"YIPF4"</f>
        <v>YIPF4</v>
      </c>
      <c r="B19860" t="s">
        <v>14</v>
      </c>
      <c r="C19860" t="s">
        <v>26</v>
      </c>
      <c r="D19860" t="s">
        <v>17</v>
      </c>
      <c r="E19860" t="s">
        <v>12</v>
      </c>
      <c r="F19860">
        <v>32502952</v>
      </c>
      <c r="G19860">
        <v>32503025</v>
      </c>
      <c r="H19860">
        <v>32503111</v>
      </c>
      <c r="I19860">
        <v>32503142</v>
      </c>
    </row>
    <row r="19861" spans="1:9" x14ac:dyDescent="0.2">
      <c r="A19861" s="1" t="str">
        <f>"YIPF5"</f>
        <v>YIPF5</v>
      </c>
      <c r="B19861" t="s">
        <v>14</v>
      </c>
      <c r="C19861" t="s">
        <v>46</v>
      </c>
      <c r="D19861" t="s">
        <v>11</v>
      </c>
      <c r="E19861" t="s">
        <v>12</v>
      </c>
      <c r="F19861">
        <v>143550159</v>
      </c>
      <c r="G19861">
        <v>143550236</v>
      </c>
      <c r="H19861">
        <v>143550127</v>
      </c>
      <c r="I19861">
        <v>143550158</v>
      </c>
    </row>
    <row r="19862" spans="1:9" x14ac:dyDescent="0.2">
      <c r="A19862" s="1" t="str">
        <f>"YIPF6"</f>
        <v>YIPF6</v>
      </c>
      <c r="B19862" t="s">
        <v>14</v>
      </c>
      <c r="C19862" t="s">
        <v>37</v>
      </c>
      <c r="D19862" t="s">
        <v>17</v>
      </c>
      <c r="E19862" t="s">
        <v>12</v>
      </c>
      <c r="F19862">
        <v>67718863</v>
      </c>
      <c r="G19862">
        <v>67718906</v>
      </c>
      <c r="H19862">
        <v>67718377</v>
      </c>
      <c r="I19862">
        <v>67718400</v>
      </c>
    </row>
    <row r="19863" spans="1:9" x14ac:dyDescent="0.2">
      <c r="A19863" s="1" t="str">
        <f>"YIPF7"</f>
        <v>YIPF7</v>
      </c>
      <c r="B19863" t="s">
        <v>14</v>
      </c>
      <c r="C19863" t="s">
        <v>23</v>
      </c>
      <c r="D19863" t="s">
        <v>11</v>
      </c>
      <c r="E19863" t="s">
        <v>12</v>
      </c>
      <c r="F19863">
        <v>44680350</v>
      </c>
      <c r="G19863">
        <v>44680379</v>
      </c>
      <c r="H19863">
        <v>44680624</v>
      </c>
      <c r="I19863">
        <v>44680664</v>
      </c>
    </row>
    <row r="19864" spans="1:9" x14ac:dyDescent="0.2">
      <c r="A19864" s="1" t="str">
        <f>"YJEFN3"</f>
        <v>YJEFN3</v>
      </c>
      <c r="B19864" t="s">
        <v>9</v>
      </c>
      <c r="C19864" t="s">
        <v>10</v>
      </c>
      <c r="D19864" t="s">
        <v>17</v>
      </c>
      <c r="E19864" t="s">
        <v>12</v>
      </c>
      <c r="F19864">
        <v>19627026</v>
      </c>
      <c r="G19864">
        <v>19627049</v>
      </c>
      <c r="H19864">
        <v>19627026</v>
      </c>
      <c r="I19864">
        <v>19627049</v>
      </c>
    </row>
    <row r="19865" spans="1:9" x14ac:dyDescent="0.2">
      <c r="A19865" s="1" t="str">
        <f>"YJEFN3"</f>
        <v>YJEFN3</v>
      </c>
      <c r="B19865" t="s">
        <v>13</v>
      </c>
      <c r="C19865" t="s">
        <v>10</v>
      </c>
      <c r="D19865" t="s">
        <v>17</v>
      </c>
      <c r="E19865" t="s">
        <v>12</v>
      </c>
      <c r="F19865">
        <v>19639710</v>
      </c>
      <c r="G19865">
        <v>19639727</v>
      </c>
      <c r="H19865">
        <v>19639710</v>
      </c>
      <c r="I19865">
        <v>19639727</v>
      </c>
    </row>
    <row r="19866" spans="1:9" x14ac:dyDescent="0.2">
      <c r="A19866" s="1" t="str">
        <f>"YKT6"</f>
        <v>YKT6</v>
      </c>
      <c r="B19866" t="s">
        <v>14</v>
      </c>
      <c r="C19866" t="s">
        <v>33</v>
      </c>
      <c r="D19866" t="s">
        <v>17</v>
      </c>
      <c r="E19866" t="s">
        <v>12</v>
      </c>
      <c r="F19866">
        <v>44240520</v>
      </c>
      <c r="G19866">
        <v>44240652</v>
      </c>
      <c r="H19866">
        <v>44240677</v>
      </c>
      <c r="I19866">
        <v>44240688</v>
      </c>
    </row>
    <row r="19867" spans="1:9" x14ac:dyDescent="0.2">
      <c r="A19867" s="1" t="str">
        <f>"YLPM1"</f>
        <v>YLPM1</v>
      </c>
      <c r="B19867" t="s">
        <v>14</v>
      </c>
      <c r="C19867" t="s">
        <v>41</v>
      </c>
      <c r="D19867" t="s">
        <v>17</v>
      </c>
      <c r="E19867" t="s">
        <v>12</v>
      </c>
      <c r="F19867">
        <v>75230011</v>
      </c>
      <c r="G19867">
        <v>75230120</v>
      </c>
      <c r="H19867">
        <v>75229991</v>
      </c>
      <c r="I19867">
        <v>75230004</v>
      </c>
    </row>
    <row r="19868" spans="1:9" x14ac:dyDescent="0.2">
      <c r="A19868" s="1" t="str">
        <f>"YME1L1"</f>
        <v>YME1L1</v>
      </c>
      <c r="B19868" t="s">
        <v>14</v>
      </c>
      <c r="C19868" t="s">
        <v>15</v>
      </c>
      <c r="D19868" t="s">
        <v>11</v>
      </c>
      <c r="E19868" t="s">
        <v>12</v>
      </c>
      <c r="F19868">
        <v>27443294</v>
      </c>
      <c r="G19868">
        <v>27443320</v>
      </c>
      <c r="H19868">
        <v>27443266</v>
      </c>
      <c r="I19868">
        <v>27443288</v>
      </c>
    </row>
    <row r="19869" spans="1:9" x14ac:dyDescent="0.2">
      <c r="A19869" s="1" t="str">
        <f>"YOD1"</f>
        <v>YOD1</v>
      </c>
      <c r="B19869" t="s">
        <v>14</v>
      </c>
      <c r="C19869" t="s">
        <v>19</v>
      </c>
      <c r="D19869" t="s">
        <v>11</v>
      </c>
      <c r="E19869" t="s">
        <v>12</v>
      </c>
      <c r="F19869">
        <v>207224307</v>
      </c>
      <c r="G19869">
        <v>207224368</v>
      </c>
      <c r="H19869">
        <v>207224547</v>
      </c>
      <c r="I19869">
        <v>207224559</v>
      </c>
    </row>
    <row r="19870" spans="1:9" x14ac:dyDescent="0.2">
      <c r="A19870" s="1" t="str">
        <f>"YPEL1"</f>
        <v>YPEL1</v>
      </c>
      <c r="B19870" t="s">
        <v>14</v>
      </c>
      <c r="C19870" t="s">
        <v>21</v>
      </c>
      <c r="D19870" t="s">
        <v>11</v>
      </c>
      <c r="E19870" t="s">
        <v>12</v>
      </c>
      <c r="F19870">
        <v>22090064</v>
      </c>
      <c r="G19870">
        <v>22090127</v>
      </c>
      <c r="H19870">
        <v>22090043</v>
      </c>
      <c r="I19870">
        <v>22090058</v>
      </c>
    </row>
    <row r="19871" spans="1:9" x14ac:dyDescent="0.2">
      <c r="A19871" s="1" t="str">
        <f>"YPEL2"</f>
        <v>YPEL2</v>
      </c>
      <c r="B19871" t="s">
        <v>14</v>
      </c>
      <c r="C19871" t="s">
        <v>28</v>
      </c>
      <c r="D19871" t="s">
        <v>17</v>
      </c>
      <c r="E19871" t="s">
        <v>12</v>
      </c>
      <c r="F19871">
        <v>57408994</v>
      </c>
      <c r="G19871">
        <v>57409088</v>
      </c>
      <c r="H19871">
        <v>57409101</v>
      </c>
      <c r="I19871">
        <v>57409118</v>
      </c>
    </row>
    <row r="19872" spans="1:9" x14ac:dyDescent="0.2">
      <c r="A19872" s="1" t="str">
        <f>"YPEL3"</f>
        <v>YPEL3</v>
      </c>
      <c r="B19872" t="s">
        <v>14</v>
      </c>
      <c r="C19872" t="s">
        <v>31</v>
      </c>
      <c r="D19872" t="s">
        <v>11</v>
      </c>
      <c r="E19872" t="s">
        <v>12</v>
      </c>
      <c r="F19872">
        <v>30107516</v>
      </c>
      <c r="G19872">
        <v>30107569</v>
      </c>
      <c r="H19872">
        <v>30107516</v>
      </c>
      <c r="I19872">
        <v>30107569</v>
      </c>
    </row>
    <row r="19873" spans="1:9" x14ac:dyDescent="0.2">
      <c r="A19873" s="1" t="str">
        <f>"YPEL4"</f>
        <v>YPEL4</v>
      </c>
      <c r="B19873" t="s">
        <v>14</v>
      </c>
      <c r="C19873" t="s">
        <v>27</v>
      </c>
      <c r="D19873" t="s">
        <v>11</v>
      </c>
      <c r="E19873" t="s">
        <v>12</v>
      </c>
      <c r="F19873">
        <v>57417367</v>
      </c>
      <c r="G19873">
        <v>57417401</v>
      </c>
      <c r="H19873">
        <v>57417405</v>
      </c>
      <c r="I19873">
        <v>57417423</v>
      </c>
    </row>
    <row r="19874" spans="1:9" x14ac:dyDescent="0.2">
      <c r="A19874" s="1" t="str">
        <f>"YPEL5"</f>
        <v>YPEL5</v>
      </c>
      <c r="B19874" t="s">
        <v>14</v>
      </c>
      <c r="C19874" t="s">
        <v>26</v>
      </c>
      <c r="D19874" t="s">
        <v>17</v>
      </c>
      <c r="E19874" t="s">
        <v>12</v>
      </c>
      <c r="F19874">
        <v>30369859</v>
      </c>
      <c r="G19874">
        <v>30369880</v>
      </c>
      <c r="H19874">
        <v>30369807</v>
      </c>
      <c r="I19874">
        <v>30369847</v>
      </c>
    </row>
    <row r="19875" spans="1:9" x14ac:dyDescent="0.2">
      <c r="A19875" s="1" t="str">
        <f>"YRDC"</f>
        <v>YRDC</v>
      </c>
      <c r="B19875" t="s">
        <v>14</v>
      </c>
      <c r="C19875" t="s">
        <v>19</v>
      </c>
      <c r="D19875" t="s">
        <v>11</v>
      </c>
      <c r="E19875" t="s">
        <v>12</v>
      </c>
      <c r="F19875">
        <v>38273840</v>
      </c>
      <c r="G19875">
        <v>38273888</v>
      </c>
      <c r="H19875">
        <v>38273817</v>
      </c>
      <c r="I19875">
        <v>38273838</v>
      </c>
    </row>
    <row r="19876" spans="1:9" x14ac:dyDescent="0.2">
      <c r="A19876" s="1" t="str">
        <f>"YTHDC1"</f>
        <v>YTHDC1</v>
      </c>
      <c r="B19876" t="s">
        <v>14</v>
      </c>
      <c r="C19876" t="s">
        <v>23</v>
      </c>
      <c r="D19876" t="s">
        <v>11</v>
      </c>
      <c r="E19876" t="s">
        <v>12</v>
      </c>
      <c r="F19876">
        <v>69215699</v>
      </c>
      <c r="G19876">
        <v>69215815</v>
      </c>
      <c r="H19876">
        <v>69215699</v>
      </c>
      <c r="I19876">
        <v>69215815</v>
      </c>
    </row>
    <row r="19877" spans="1:9" x14ac:dyDescent="0.2">
      <c r="A19877" s="1" t="str">
        <f>"YTHDC2"</f>
        <v>YTHDC2</v>
      </c>
      <c r="B19877" t="s">
        <v>14</v>
      </c>
      <c r="C19877" t="s">
        <v>46</v>
      </c>
      <c r="D19877" t="s">
        <v>17</v>
      </c>
      <c r="E19877" t="s">
        <v>12</v>
      </c>
      <c r="F19877">
        <v>112849373</v>
      </c>
      <c r="G19877">
        <v>112849416</v>
      </c>
      <c r="H19877">
        <v>112849373</v>
      </c>
      <c r="I19877">
        <v>112849416</v>
      </c>
    </row>
    <row r="19878" spans="1:9" x14ac:dyDescent="0.2">
      <c r="A19878" s="1" t="str">
        <f>"YTHDF1"</f>
        <v>YTHDF1</v>
      </c>
      <c r="B19878" t="s">
        <v>14</v>
      </c>
      <c r="C19878" t="s">
        <v>29</v>
      </c>
      <c r="D19878" t="s">
        <v>11</v>
      </c>
      <c r="E19878" t="s">
        <v>12</v>
      </c>
      <c r="F19878">
        <v>61847455</v>
      </c>
      <c r="G19878">
        <v>61847545</v>
      </c>
      <c r="H19878">
        <v>61847591</v>
      </c>
      <c r="I19878">
        <v>61847602</v>
      </c>
    </row>
    <row r="19879" spans="1:9" x14ac:dyDescent="0.2">
      <c r="A19879" s="1" t="str">
        <f>"YTHDF2"</f>
        <v>YTHDF2</v>
      </c>
      <c r="B19879" t="s">
        <v>14</v>
      </c>
      <c r="C19879" t="s">
        <v>19</v>
      </c>
      <c r="D19879" t="s">
        <v>17</v>
      </c>
      <c r="E19879" t="s">
        <v>12</v>
      </c>
      <c r="F19879">
        <v>29063439</v>
      </c>
      <c r="G19879">
        <v>29063486</v>
      </c>
      <c r="H19879">
        <v>29063491</v>
      </c>
      <c r="I19879">
        <v>29063511</v>
      </c>
    </row>
    <row r="19880" spans="1:9" x14ac:dyDescent="0.2">
      <c r="A19880" s="1" t="str">
        <f>"YTHDF3"</f>
        <v>YTHDF3</v>
      </c>
      <c r="B19880" t="s">
        <v>14</v>
      </c>
      <c r="C19880" t="s">
        <v>30</v>
      </c>
      <c r="D19880" t="s">
        <v>17</v>
      </c>
      <c r="E19880" t="s">
        <v>12</v>
      </c>
      <c r="F19880">
        <v>64081156</v>
      </c>
      <c r="G19880">
        <v>64081212</v>
      </c>
      <c r="H19880">
        <v>64081118</v>
      </c>
      <c r="I19880">
        <v>64081131</v>
      </c>
    </row>
    <row r="19881" spans="1:9" x14ac:dyDescent="0.2">
      <c r="A19881" s="1" t="str">
        <f>"YWHAB"</f>
        <v>YWHAB</v>
      </c>
      <c r="B19881" t="s">
        <v>14</v>
      </c>
      <c r="C19881" t="s">
        <v>29</v>
      </c>
      <c r="D19881" t="s">
        <v>17</v>
      </c>
      <c r="E19881" t="s">
        <v>12</v>
      </c>
      <c r="F19881">
        <v>43514320</v>
      </c>
      <c r="G19881">
        <v>43514425</v>
      </c>
      <c r="H19881">
        <v>43514315</v>
      </c>
      <c r="I19881">
        <v>43514319</v>
      </c>
    </row>
    <row r="19882" spans="1:9" x14ac:dyDescent="0.2">
      <c r="A19882" s="1" t="str">
        <f>"YWHAE"</f>
        <v>YWHAE</v>
      </c>
      <c r="B19882" t="s">
        <v>14</v>
      </c>
      <c r="C19882" t="s">
        <v>28</v>
      </c>
      <c r="D19882" t="s">
        <v>11</v>
      </c>
      <c r="E19882" t="s">
        <v>12</v>
      </c>
      <c r="F19882">
        <v>1303462</v>
      </c>
      <c r="G19882">
        <v>1303523</v>
      </c>
      <c r="H19882">
        <v>1303462</v>
      </c>
      <c r="I19882">
        <v>1303523</v>
      </c>
    </row>
    <row r="19883" spans="1:9" x14ac:dyDescent="0.2">
      <c r="A19883" s="1" t="str">
        <f>"YWHAG"</f>
        <v>YWHAG</v>
      </c>
      <c r="B19883" t="s">
        <v>14</v>
      </c>
      <c r="C19883" t="s">
        <v>33</v>
      </c>
      <c r="D19883" t="s">
        <v>11</v>
      </c>
      <c r="E19883" t="s">
        <v>12</v>
      </c>
      <c r="F19883">
        <v>75988299</v>
      </c>
      <c r="G19883">
        <v>75988314</v>
      </c>
      <c r="H19883">
        <v>75988321</v>
      </c>
      <c r="I19883">
        <v>75988339</v>
      </c>
    </row>
    <row r="19884" spans="1:9" x14ac:dyDescent="0.2">
      <c r="A19884" s="1" t="str">
        <f>"YWHAH"</f>
        <v>YWHAH</v>
      </c>
      <c r="B19884" t="s">
        <v>14</v>
      </c>
      <c r="C19884" t="s">
        <v>21</v>
      </c>
      <c r="D19884" t="s">
        <v>17</v>
      </c>
      <c r="E19884" t="s">
        <v>12</v>
      </c>
      <c r="F19884">
        <v>32340513</v>
      </c>
      <c r="G19884">
        <v>32340528</v>
      </c>
      <c r="H19884">
        <v>32340481</v>
      </c>
      <c r="I19884">
        <v>32340510</v>
      </c>
    </row>
    <row r="19885" spans="1:9" x14ac:dyDescent="0.2">
      <c r="A19885" s="1" t="str">
        <f>"YWHAQ"</f>
        <v>YWHAQ</v>
      </c>
      <c r="B19885" t="s">
        <v>14</v>
      </c>
      <c r="C19885" t="s">
        <v>26</v>
      </c>
      <c r="D19885" t="s">
        <v>11</v>
      </c>
      <c r="E19885" t="s">
        <v>12</v>
      </c>
      <c r="F19885">
        <v>9771092</v>
      </c>
      <c r="G19885">
        <v>9771153</v>
      </c>
      <c r="H19885">
        <v>9770571</v>
      </c>
      <c r="I19885">
        <v>9770678</v>
      </c>
    </row>
    <row r="19886" spans="1:9" x14ac:dyDescent="0.2">
      <c r="A19886" s="1" t="str">
        <f>"YWHAZ"</f>
        <v>YWHAZ</v>
      </c>
      <c r="B19886" t="s">
        <v>14</v>
      </c>
      <c r="C19886" t="s">
        <v>30</v>
      </c>
      <c r="D19886" t="s">
        <v>11</v>
      </c>
      <c r="E19886" t="s">
        <v>12</v>
      </c>
      <c r="F19886">
        <v>101964231</v>
      </c>
      <c r="G19886">
        <v>101964255</v>
      </c>
      <c r="H19886">
        <v>101964198</v>
      </c>
      <c r="I19886">
        <v>101964221</v>
      </c>
    </row>
    <row r="19887" spans="1:9" x14ac:dyDescent="0.2">
      <c r="A19887" s="1" t="str">
        <f>"YY1"</f>
        <v>YY1</v>
      </c>
      <c r="B19887" t="s">
        <v>14</v>
      </c>
      <c r="C19887" t="s">
        <v>41</v>
      </c>
      <c r="D19887" t="s">
        <v>17</v>
      </c>
      <c r="E19887" t="s">
        <v>12</v>
      </c>
      <c r="F19887">
        <v>100705458</v>
      </c>
      <c r="G19887">
        <v>100705529</v>
      </c>
      <c r="H19887">
        <v>100705140</v>
      </c>
      <c r="I19887">
        <v>100705188</v>
      </c>
    </row>
    <row r="19888" spans="1:9" x14ac:dyDescent="0.2">
      <c r="A19888" s="1" t="str">
        <f>"YY1AP1"</f>
        <v>YY1AP1</v>
      </c>
      <c r="B19888" t="s">
        <v>14</v>
      </c>
      <c r="C19888" t="s">
        <v>19</v>
      </c>
      <c r="D19888" t="s">
        <v>11</v>
      </c>
      <c r="E19888" t="s">
        <v>12</v>
      </c>
      <c r="F19888">
        <v>155658422</v>
      </c>
      <c r="G19888">
        <v>155658502</v>
      </c>
      <c r="H19888">
        <v>155658518</v>
      </c>
      <c r="I19888">
        <v>155658572</v>
      </c>
    </row>
    <row r="19889" spans="1:9" x14ac:dyDescent="0.2">
      <c r="A19889" s="1" t="str">
        <f>"YY2"</f>
        <v>YY2</v>
      </c>
      <c r="B19889" t="s">
        <v>14</v>
      </c>
      <c r="C19889" t="s">
        <v>37</v>
      </c>
      <c r="D19889" t="s">
        <v>17</v>
      </c>
      <c r="E19889" t="s">
        <v>12</v>
      </c>
      <c r="F19889">
        <v>21874379</v>
      </c>
      <c r="G19889">
        <v>21874393</v>
      </c>
      <c r="H19889">
        <v>21874379</v>
      </c>
      <c r="I19889">
        <v>21874393</v>
      </c>
    </row>
    <row r="19890" spans="1:9" x14ac:dyDescent="0.2">
      <c r="A19890" s="1" t="str">
        <f>"ZACN"</f>
        <v>ZACN</v>
      </c>
      <c r="B19890" t="s">
        <v>14</v>
      </c>
      <c r="C19890" t="s">
        <v>28</v>
      </c>
      <c r="D19890" t="s">
        <v>17</v>
      </c>
      <c r="E19890" t="s">
        <v>12</v>
      </c>
      <c r="F19890">
        <v>74075206</v>
      </c>
      <c r="G19890">
        <v>74075207</v>
      </c>
      <c r="H19890">
        <v>74075206</v>
      </c>
      <c r="I19890">
        <v>74075207</v>
      </c>
    </row>
    <row r="19891" spans="1:9" x14ac:dyDescent="0.2">
      <c r="A19891" s="1" t="str">
        <f>"ZADH2"</f>
        <v>ZADH2</v>
      </c>
      <c r="B19891" t="s">
        <v>14</v>
      </c>
      <c r="C19891" t="s">
        <v>43</v>
      </c>
      <c r="D19891" t="s">
        <v>11</v>
      </c>
      <c r="E19891" t="s">
        <v>12</v>
      </c>
      <c r="F19891">
        <v>72921081</v>
      </c>
      <c r="G19891">
        <v>72921129</v>
      </c>
      <c r="H19891">
        <v>72921081</v>
      </c>
      <c r="I19891">
        <v>72921129</v>
      </c>
    </row>
    <row r="19892" spans="1:9" x14ac:dyDescent="0.2">
      <c r="A19892" s="1" t="str">
        <f>"ZAN"</f>
        <v>ZAN</v>
      </c>
      <c r="B19892" t="s">
        <v>14</v>
      </c>
      <c r="C19892" t="s">
        <v>33</v>
      </c>
      <c r="D19892" t="s">
        <v>17</v>
      </c>
      <c r="E19892" t="s">
        <v>12</v>
      </c>
      <c r="F19892">
        <v>100331199</v>
      </c>
      <c r="G19892">
        <v>100331249</v>
      </c>
      <c r="H19892">
        <v>100331199</v>
      </c>
      <c r="I19892">
        <v>100331249</v>
      </c>
    </row>
    <row r="19893" spans="1:9" x14ac:dyDescent="0.2">
      <c r="A19893" s="1" t="str">
        <f>"ZAP70"</f>
        <v>ZAP70</v>
      </c>
      <c r="B19893" t="s">
        <v>14</v>
      </c>
      <c r="C19893" t="s">
        <v>26</v>
      </c>
      <c r="D19893" t="s">
        <v>17</v>
      </c>
      <c r="E19893" t="s">
        <v>12</v>
      </c>
      <c r="F19893">
        <v>98330032</v>
      </c>
      <c r="G19893">
        <v>98330054</v>
      </c>
      <c r="H19893">
        <v>98330059</v>
      </c>
      <c r="I19893">
        <v>98330088</v>
      </c>
    </row>
    <row r="19894" spans="1:9" x14ac:dyDescent="0.2">
      <c r="A19894" s="1" t="str">
        <f>"ZAR1"</f>
        <v>ZAR1</v>
      </c>
      <c r="B19894" t="s">
        <v>1838</v>
      </c>
      <c r="C19894" t="s">
        <v>23</v>
      </c>
      <c r="D19894" t="s">
        <v>17</v>
      </c>
      <c r="E19894" t="s">
        <v>20</v>
      </c>
      <c r="F19894">
        <v>48492268</v>
      </c>
      <c r="G19894">
        <v>48492268</v>
      </c>
      <c r="H19894">
        <v>48492268</v>
      </c>
      <c r="I19894">
        <v>48492268</v>
      </c>
    </row>
    <row r="19895" spans="1:9" x14ac:dyDescent="0.2">
      <c r="A19895" s="1" t="str">
        <f>"ZAR1L"</f>
        <v>ZAR1L</v>
      </c>
      <c r="B19895" t="s">
        <v>14</v>
      </c>
      <c r="C19895" t="s">
        <v>39</v>
      </c>
      <c r="D19895" t="s">
        <v>11</v>
      </c>
      <c r="E19895" t="s">
        <v>12</v>
      </c>
      <c r="F19895">
        <v>32889559</v>
      </c>
      <c r="G19895">
        <v>32889577</v>
      </c>
      <c r="H19895">
        <v>32889477</v>
      </c>
      <c r="I19895">
        <v>32889486</v>
      </c>
    </row>
    <row r="19896" spans="1:9" x14ac:dyDescent="0.2">
      <c r="A19896" s="1" t="str">
        <f>"ZBBX"</f>
        <v>ZBBX</v>
      </c>
      <c r="B19896" t="s">
        <v>14</v>
      </c>
      <c r="C19896" t="s">
        <v>22</v>
      </c>
      <c r="D19896" t="s">
        <v>11</v>
      </c>
      <c r="E19896" t="s">
        <v>12</v>
      </c>
      <c r="F19896">
        <v>167098059</v>
      </c>
      <c r="G19896">
        <v>167098120</v>
      </c>
      <c r="H19896">
        <v>167098026</v>
      </c>
      <c r="I19896">
        <v>167098027</v>
      </c>
    </row>
    <row r="19897" spans="1:9" x14ac:dyDescent="0.2">
      <c r="A19897" s="1" t="str">
        <f>"ZBED1"</f>
        <v>ZBED1</v>
      </c>
      <c r="B19897" t="s">
        <v>14</v>
      </c>
      <c r="C19897" t="s">
        <v>37</v>
      </c>
      <c r="D19897" t="s">
        <v>11</v>
      </c>
      <c r="E19897" t="s">
        <v>12</v>
      </c>
      <c r="F19897">
        <v>2418949</v>
      </c>
      <c r="G19897">
        <v>2419024</v>
      </c>
      <c r="H19897">
        <v>2418598</v>
      </c>
      <c r="I19897">
        <v>2418621</v>
      </c>
    </row>
    <row r="19898" spans="1:9" x14ac:dyDescent="0.2">
      <c r="A19898" s="1" t="str">
        <f>"ZBED2"</f>
        <v>ZBED2</v>
      </c>
      <c r="B19898" t="s">
        <v>14</v>
      </c>
      <c r="C19898" t="s">
        <v>22</v>
      </c>
      <c r="D19898" t="s">
        <v>11</v>
      </c>
      <c r="E19898" t="s">
        <v>12</v>
      </c>
      <c r="F19898">
        <v>111314186</v>
      </c>
      <c r="G19898">
        <v>111314204</v>
      </c>
      <c r="H19898">
        <v>111314186</v>
      </c>
      <c r="I19898">
        <v>111314204</v>
      </c>
    </row>
    <row r="19899" spans="1:9" x14ac:dyDescent="0.2">
      <c r="A19899" s="1" t="str">
        <f>"ZBED3"</f>
        <v>ZBED3</v>
      </c>
      <c r="B19899" t="s">
        <v>14</v>
      </c>
      <c r="C19899" t="s">
        <v>46</v>
      </c>
      <c r="D19899" t="s">
        <v>11</v>
      </c>
      <c r="E19899" t="s">
        <v>12</v>
      </c>
      <c r="F19899">
        <v>76383017</v>
      </c>
      <c r="G19899">
        <v>76383068</v>
      </c>
      <c r="H19899">
        <v>76383133</v>
      </c>
      <c r="I19899">
        <v>76383186</v>
      </c>
    </row>
    <row r="19900" spans="1:9" x14ac:dyDescent="0.2">
      <c r="A19900" s="1" t="str">
        <f>"ZBED4"</f>
        <v>ZBED4</v>
      </c>
      <c r="B19900" t="s">
        <v>14</v>
      </c>
      <c r="C19900" t="s">
        <v>21</v>
      </c>
      <c r="D19900" t="s">
        <v>17</v>
      </c>
      <c r="E19900" t="s">
        <v>12</v>
      </c>
      <c r="F19900">
        <v>50247449</v>
      </c>
      <c r="G19900">
        <v>50247515</v>
      </c>
      <c r="H19900">
        <v>50247528</v>
      </c>
      <c r="I19900">
        <v>50247568</v>
      </c>
    </row>
    <row r="19901" spans="1:9" x14ac:dyDescent="0.2">
      <c r="A19901" s="1" t="str">
        <f>"ZBED5"</f>
        <v>ZBED5</v>
      </c>
      <c r="B19901" t="s">
        <v>14</v>
      </c>
      <c r="C19901" t="s">
        <v>27</v>
      </c>
      <c r="D19901" t="s">
        <v>11</v>
      </c>
      <c r="E19901" t="s">
        <v>12</v>
      </c>
      <c r="F19901">
        <v>10879593</v>
      </c>
      <c r="G19901">
        <v>10879620</v>
      </c>
      <c r="H19901">
        <v>10879572</v>
      </c>
      <c r="I19901">
        <v>10879591</v>
      </c>
    </row>
    <row r="19902" spans="1:9" x14ac:dyDescent="0.2">
      <c r="A19902" s="1" t="str">
        <f>"ZBED6"</f>
        <v>ZBED6</v>
      </c>
      <c r="B19902" t="s">
        <v>14</v>
      </c>
      <c r="C19902" t="s">
        <v>19</v>
      </c>
      <c r="D19902" t="s">
        <v>17</v>
      </c>
      <c r="E19902" t="s">
        <v>12</v>
      </c>
      <c r="F19902">
        <v>203765198</v>
      </c>
      <c r="G19902">
        <v>203765252</v>
      </c>
      <c r="H19902">
        <v>203765198</v>
      </c>
      <c r="I19902">
        <v>203765252</v>
      </c>
    </row>
    <row r="19903" spans="1:9" x14ac:dyDescent="0.2">
      <c r="A19903" s="1" t="str">
        <f>"ZBED6CL"</f>
        <v>ZBED6CL</v>
      </c>
      <c r="B19903" t="s">
        <v>1839</v>
      </c>
      <c r="C19903" t="s">
        <v>33</v>
      </c>
      <c r="D19903" t="s">
        <v>17</v>
      </c>
      <c r="E19903" t="s">
        <v>20</v>
      </c>
      <c r="F19903">
        <v>150026937</v>
      </c>
      <c r="G19903">
        <v>150026937</v>
      </c>
      <c r="H19903">
        <v>150026937</v>
      </c>
      <c r="I19903">
        <v>150026937</v>
      </c>
    </row>
    <row r="19904" spans="1:9" x14ac:dyDescent="0.2">
      <c r="A19904" s="1" t="str">
        <f>"ZBP1"</f>
        <v>ZBP1</v>
      </c>
      <c r="B19904" t="s">
        <v>14</v>
      </c>
      <c r="C19904" t="s">
        <v>29</v>
      </c>
      <c r="D19904" t="s">
        <v>11</v>
      </c>
      <c r="E19904" t="s">
        <v>12</v>
      </c>
      <c r="F19904">
        <v>56195474</v>
      </c>
      <c r="G19904">
        <v>56195506</v>
      </c>
      <c r="H19904">
        <v>56195525</v>
      </c>
      <c r="I19904">
        <v>56195556</v>
      </c>
    </row>
    <row r="19905" spans="1:9" x14ac:dyDescent="0.2">
      <c r="A19905" s="1" t="str">
        <f>"ZBTB1"</f>
        <v>ZBTB1</v>
      </c>
      <c r="B19905" t="s">
        <v>14</v>
      </c>
      <c r="C19905" t="s">
        <v>41</v>
      </c>
      <c r="D19905" t="s">
        <v>17</v>
      </c>
      <c r="E19905" t="s">
        <v>12</v>
      </c>
      <c r="F19905">
        <v>64971461</v>
      </c>
      <c r="G19905">
        <v>64971542</v>
      </c>
      <c r="H19905">
        <v>64971438</v>
      </c>
      <c r="I19905">
        <v>64971450</v>
      </c>
    </row>
    <row r="19906" spans="1:9" x14ac:dyDescent="0.2">
      <c r="A19906" s="1" t="str">
        <f>"ZBTB10"</f>
        <v>ZBTB10</v>
      </c>
      <c r="B19906" t="s">
        <v>14</v>
      </c>
      <c r="C19906" t="s">
        <v>30</v>
      </c>
      <c r="D19906" t="s">
        <v>17</v>
      </c>
      <c r="E19906" t="s">
        <v>12</v>
      </c>
      <c r="F19906">
        <v>81398444</v>
      </c>
      <c r="G19906">
        <v>81398472</v>
      </c>
      <c r="H19906">
        <v>81397820</v>
      </c>
      <c r="I19906">
        <v>81397836</v>
      </c>
    </row>
    <row r="19907" spans="1:9" x14ac:dyDescent="0.2">
      <c r="A19907" s="1" t="str">
        <f>"ZBTB11"</f>
        <v>ZBTB11</v>
      </c>
      <c r="B19907" t="s">
        <v>14</v>
      </c>
      <c r="C19907" t="s">
        <v>22</v>
      </c>
      <c r="D19907" t="s">
        <v>11</v>
      </c>
      <c r="E19907" t="s">
        <v>12</v>
      </c>
      <c r="F19907">
        <v>101395963</v>
      </c>
      <c r="G19907">
        <v>101395993</v>
      </c>
      <c r="H19907">
        <v>101395936</v>
      </c>
      <c r="I19907">
        <v>101395962</v>
      </c>
    </row>
    <row r="19908" spans="1:9" x14ac:dyDescent="0.2">
      <c r="A19908" s="1" t="str">
        <f>"ZBTB12"</f>
        <v>ZBTB12</v>
      </c>
      <c r="B19908" t="s">
        <v>14</v>
      </c>
      <c r="C19908" t="s">
        <v>32</v>
      </c>
      <c r="D19908" t="s">
        <v>11</v>
      </c>
      <c r="E19908" t="s">
        <v>12</v>
      </c>
      <c r="F19908">
        <v>31869828</v>
      </c>
      <c r="G19908">
        <v>31869880</v>
      </c>
      <c r="H19908">
        <v>31869701</v>
      </c>
      <c r="I19908">
        <v>31869751</v>
      </c>
    </row>
    <row r="19909" spans="1:9" x14ac:dyDescent="0.2">
      <c r="A19909" s="1" t="str">
        <f>"ZBTB14"</f>
        <v>ZBTB14</v>
      </c>
      <c r="B19909" t="s">
        <v>14</v>
      </c>
      <c r="C19909" t="s">
        <v>43</v>
      </c>
      <c r="D19909" t="s">
        <v>11</v>
      </c>
      <c r="E19909" t="s">
        <v>12</v>
      </c>
      <c r="F19909">
        <v>5296001</v>
      </c>
      <c r="G19909">
        <v>5296045</v>
      </c>
      <c r="H19909">
        <v>5295679</v>
      </c>
      <c r="I19909">
        <v>5295734</v>
      </c>
    </row>
    <row r="19910" spans="1:9" x14ac:dyDescent="0.2">
      <c r="A19910" s="1" t="str">
        <f>"ZBTB16"</f>
        <v>ZBTB16</v>
      </c>
      <c r="B19910" t="s">
        <v>14</v>
      </c>
      <c r="C19910" t="s">
        <v>27</v>
      </c>
      <c r="D19910" t="s">
        <v>17</v>
      </c>
      <c r="E19910" t="s">
        <v>12</v>
      </c>
      <c r="F19910">
        <v>113930425</v>
      </c>
      <c r="G19910">
        <v>113930471</v>
      </c>
      <c r="H19910">
        <v>113930291</v>
      </c>
      <c r="I19910">
        <v>113930339</v>
      </c>
    </row>
    <row r="19911" spans="1:9" x14ac:dyDescent="0.2">
      <c r="A19911" s="1" t="str">
        <f>"ZBTB17"</f>
        <v>ZBTB17</v>
      </c>
      <c r="B19911" t="s">
        <v>14</v>
      </c>
      <c r="C19911" t="s">
        <v>19</v>
      </c>
      <c r="D19911" t="s">
        <v>11</v>
      </c>
      <c r="E19911" t="s">
        <v>12</v>
      </c>
      <c r="F19911">
        <v>16302565</v>
      </c>
      <c r="G19911">
        <v>16302605</v>
      </c>
      <c r="H19911">
        <v>16302608</v>
      </c>
      <c r="I19911">
        <v>16302621</v>
      </c>
    </row>
    <row r="19912" spans="1:9" x14ac:dyDescent="0.2">
      <c r="A19912" s="1" t="str">
        <f>"ZBTB18"</f>
        <v>ZBTB18</v>
      </c>
      <c r="B19912" t="s">
        <v>14</v>
      </c>
      <c r="C19912" t="s">
        <v>19</v>
      </c>
      <c r="D19912" t="s">
        <v>17</v>
      </c>
      <c r="E19912" t="s">
        <v>12</v>
      </c>
      <c r="F19912">
        <v>244214577</v>
      </c>
      <c r="G19912">
        <v>244214593</v>
      </c>
      <c r="H19912">
        <v>244214577</v>
      </c>
      <c r="I19912">
        <v>244214593</v>
      </c>
    </row>
    <row r="19913" spans="1:9" x14ac:dyDescent="0.2">
      <c r="A19913" s="1" t="str">
        <f>"ZBTB2"</f>
        <v>ZBTB2</v>
      </c>
      <c r="B19913" t="s">
        <v>14</v>
      </c>
      <c r="C19913" t="s">
        <v>32</v>
      </c>
      <c r="D19913" t="s">
        <v>11</v>
      </c>
      <c r="E19913" t="s">
        <v>12</v>
      </c>
      <c r="F19913">
        <v>151712673</v>
      </c>
      <c r="G19913">
        <v>151712709</v>
      </c>
      <c r="H19913">
        <v>151712800</v>
      </c>
      <c r="I19913">
        <v>151712835</v>
      </c>
    </row>
    <row r="19914" spans="1:9" x14ac:dyDescent="0.2">
      <c r="A19914" s="1" t="str">
        <f>"ZBTB20"</f>
        <v>ZBTB20</v>
      </c>
      <c r="B19914" t="s">
        <v>9</v>
      </c>
      <c r="C19914" t="s">
        <v>22</v>
      </c>
      <c r="D19914" t="s">
        <v>11</v>
      </c>
      <c r="E19914" t="s">
        <v>12</v>
      </c>
      <c r="F19914">
        <v>114343768</v>
      </c>
      <c r="G19914">
        <v>114343822</v>
      </c>
      <c r="H19914">
        <v>114343768</v>
      </c>
      <c r="I19914">
        <v>114343822</v>
      </c>
    </row>
    <row r="19915" spans="1:9" x14ac:dyDescent="0.2">
      <c r="A19915" s="1" t="str">
        <f>"ZBTB20"</f>
        <v>ZBTB20</v>
      </c>
      <c r="B19915" t="s">
        <v>13</v>
      </c>
      <c r="C19915" t="s">
        <v>22</v>
      </c>
      <c r="D19915" t="s">
        <v>11</v>
      </c>
      <c r="E19915" t="s">
        <v>12</v>
      </c>
      <c r="F19915">
        <v>114866084</v>
      </c>
      <c r="G19915">
        <v>114866118</v>
      </c>
      <c r="H19915">
        <v>114866084</v>
      </c>
      <c r="I19915">
        <v>114866118</v>
      </c>
    </row>
    <row r="19916" spans="1:9" x14ac:dyDescent="0.2">
      <c r="A19916" s="1" t="str">
        <f>"ZBTB21"</f>
        <v>ZBTB21</v>
      </c>
      <c r="B19916" t="s">
        <v>14</v>
      </c>
      <c r="C19916" t="s">
        <v>42</v>
      </c>
      <c r="D19916" t="s">
        <v>11</v>
      </c>
      <c r="E19916" t="s">
        <v>12</v>
      </c>
      <c r="F19916">
        <v>43430440</v>
      </c>
      <c r="G19916">
        <v>43430485</v>
      </c>
      <c r="H19916">
        <v>43430440</v>
      </c>
      <c r="I19916">
        <v>43430485</v>
      </c>
    </row>
    <row r="19917" spans="1:9" x14ac:dyDescent="0.2">
      <c r="A19917" s="1" t="str">
        <f>"ZBTB22"</f>
        <v>ZBTB22</v>
      </c>
      <c r="B19917" t="s">
        <v>14</v>
      </c>
      <c r="C19917" t="s">
        <v>32</v>
      </c>
      <c r="D19917" t="s">
        <v>11</v>
      </c>
      <c r="E19917" t="s">
        <v>12</v>
      </c>
      <c r="F19917">
        <v>33285505</v>
      </c>
      <c r="G19917">
        <v>33285529</v>
      </c>
      <c r="H19917">
        <v>33284710</v>
      </c>
      <c r="I19917">
        <v>33284715</v>
      </c>
    </row>
    <row r="19918" spans="1:9" x14ac:dyDescent="0.2">
      <c r="A19918" s="1" t="str">
        <f>"ZBTB24"</f>
        <v>ZBTB24</v>
      </c>
      <c r="B19918" t="s">
        <v>14</v>
      </c>
      <c r="C19918" t="s">
        <v>32</v>
      </c>
      <c r="D19918" t="s">
        <v>11</v>
      </c>
      <c r="E19918" t="s">
        <v>12</v>
      </c>
      <c r="F19918">
        <v>109804412</v>
      </c>
      <c r="G19918">
        <v>109804458</v>
      </c>
      <c r="H19918">
        <v>109804367</v>
      </c>
      <c r="I19918">
        <v>109804402</v>
      </c>
    </row>
    <row r="19919" spans="1:9" x14ac:dyDescent="0.2">
      <c r="A19919" s="1" t="str">
        <f>"ZBTB25"</f>
        <v>ZBTB25</v>
      </c>
      <c r="B19919" t="s">
        <v>14</v>
      </c>
      <c r="C19919" t="s">
        <v>41</v>
      </c>
      <c r="D19919" t="s">
        <v>11</v>
      </c>
      <c r="E19919" t="s">
        <v>12</v>
      </c>
      <c r="F19919">
        <v>64970494</v>
      </c>
      <c r="G19919">
        <v>64970578</v>
      </c>
      <c r="H19919">
        <v>64971288</v>
      </c>
      <c r="I19919">
        <v>64971316</v>
      </c>
    </row>
    <row r="19920" spans="1:9" x14ac:dyDescent="0.2">
      <c r="A19920" s="1" t="str">
        <f>"ZBTB26"</f>
        <v>ZBTB26</v>
      </c>
      <c r="B19920" t="s">
        <v>14</v>
      </c>
      <c r="C19920" t="s">
        <v>24</v>
      </c>
      <c r="D19920" t="s">
        <v>11</v>
      </c>
      <c r="E19920" t="s">
        <v>12</v>
      </c>
      <c r="F19920">
        <v>125693757</v>
      </c>
      <c r="G19920">
        <v>125693818</v>
      </c>
      <c r="H19920">
        <v>125693819</v>
      </c>
      <c r="I19920">
        <v>125693839</v>
      </c>
    </row>
    <row r="19921" spans="1:9" x14ac:dyDescent="0.2">
      <c r="A19921" s="1" t="str">
        <f>"ZBTB3"</f>
        <v>ZBTB3</v>
      </c>
      <c r="B19921" t="s">
        <v>14</v>
      </c>
      <c r="C19921" t="s">
        <v>27</v>
      </c>
      <c r="D19921" t="s">
        <v>11</v>
      </c>
      <c r="E19921" t="s">
        <v>12</v>
      </c>
      <c r="F19921">
        <v>62521614</v>
      </c>
      <c r="G19921">
        <v>62521646</v>
      </c>
      <c r="H19921">
        <v>62521581</v>
      </c>
      <c r="I19921">
        <v>62521586</v>
      </c>
    </row>
    <row r="19922" spans="1:9" x14ac:dyDescent="0.2">
      <c r="A19922" s="1" t="str">
        <f>"ZBTB32"</f>
        <v>ZBTB32</v>
      </c>
      <c r="B19922" t="s">
        <v>14</v>
      </c>
      <c r="C19922" t="s">
        <v>10</v>
      </c>
      <c r="D19922" t="s">
        <v>17</v>
      </c>
      <c r="E19922" t="s">
        <v>12</v>
      </c>
      <c r="F19922">
        <v>36204309</v>
      </c>
      <c r="G19922">
        <v>36204335</v>
      </c>
      <c r="H19922">
        <v>36204309</v>
      </c>
      <c r="I19922">
        <v>36204335</v>
      </c>
    </row>
    <row r="19923" spans="1:9" x14ac:dyDescent="0.2">
      <c r="A19923" s="1" t="str">
        <f>"ZBTB33"</f>
        <v>ZBTB33</v>
      </c>
      <c r="B19923" t="s">
        <v>14</v>
      </c>
      <c r="C19923" t="s">
        <v>37</v>
      </c>
      <c r="D19923" t="s">
        <v>17</v>
      </c>
      <c r="E19923" t="s">
        <v>12</v>
      </c>
      <c r="F19923">
        <v>119384629</v>
      </c>
      <c r="G19923">
        <v>119384720</v>
      </c>
      <c r="H19923">
        <v>119384566</v>
      </c>
      <c r="I19923">
        <v>119384585</v>
      </c>
    </row>
    <row r="19924" spans="1:9" x14ac:dyDescent="0.2">
      <c r="A19924" s="1" t="str">
        <f>"ZBTB34"</f>
        <v>ZBTB34</v>
      </c>
      <c r="B19924" t="s">
        <v>14</v>
      </c>
      <c r="C19924" t="s">
        <v>24</v>
      </c>
      <c r="D19924" t="s">
        <v>17</v>
      </c>
      <c r="E19924" t="s">
        <v>12</v>
      </c>
      <c r="F19924">
        <v>129622904</v>
      </c>
      <c r="G19924">
        <v>129622956</v>
      </c>
      <c r="H19924">
        <v>129622717</v>
      </c>
      <c r="I19924">
        <v>129622735</v>
      </c>
    </row>
    <row r="19925" spans="1:9" x14ac:dyDescent="0.2">
      <c r="A19925" s="1" t="str">
        <f>"ZBTB37"</f>
        <v>ZBTB37</v>
      </c>
      <c r="B19925" t="s">
        <v>14</v>
      </c>
      <c r="C19925" t="s">
        <v>19</v>
      </c>
      <c r="D19925" t="s">
        <v>17</v>
      </c>
      <c r="E19925" t="s">
        <v>12</v>
      </c>
      <c r="F19925">
        <v>173837488</v>
      </c>
      <c r="G19925">
        <v>173837526</v>
      </c>
      <c r="H19925">
        <v>173837325</v>
      </c>
      <c r="I19925">
        <v>173837350</v>
      </c>
    </row>
    <row r="19926" spans="1:9" x14ac:dyDescent="0.2">
      <c r="A19926" s="1" t="str">
        <f>"ZBTB38"</f>
        <v>ZBTB38</v>
      </c>
      <c r="B19926" t="s">
        <v>9</v>
      </c>
      <c r="C19926" t="s">
        <v>22</v>
      </c>
      <c r="D19926" t="s">
        <v>17</v>
      </c>
      <c r="E19926" t="s">
        <v>12</v>
      </c>
      <c r="F19926">
        <v>141121164</v>
      </c>
      <c r="G19926">
        <v>141121249</v>
      </c>
      <c r="H19926">
        <v>141121164</v>
      </c>
      <c r="I19926">
        <v>141121249</v>
      </c>
    </row>
    <row r="19927" spans="1:9" x14ac:dyDescent="0.2">
      <c r="A19927" s="1" t="str">
        <f>"ZBTB38"</f>
        <v>ZBTB38</v>
      </c>
      <c r="B19927" t="s">
        <v>13</v>
      </c>
      <c r="C19927" t="s">
        <v>22</v>
      </c>
      <c r="D19927" t="s">
        <v>17</v>
      </c>
      <c r="E19927" t="s">
        <v>12</v>
      </c>
      <c r="F19927">
        <v>141087339</v>
      </c>
      <c r="G19927">
        <v>141087387</v>
      </c>
      <c r="H19927">
        <v>141087339</v>
      </c>
      <c r="I19927">
        <v>141087387</v>
      </c>
    </row>
    <row r="19928" spans="1:9" x14ac:dyDescent="0.2">
      <c r="A19928" s="1" t="str">
        <f>"ZBTB39"</f>
        <v>ZBTB39</v>
      </c>
      <c r="B19928" t="s">
        <v>14</v>
      </c>
      <c r="C19928" t="s">
        <v>16</v>
      </c>
      <c r="D19928" t="s">
        <v>11</v>
      </c>
      <c r="E19928" t="s">
        <v>12</v>
      </c>
      <c r="F19928">
        <v>57400261</v>
      </c>
      <c r="G19928">
        <v>57400344</v>
      </c>
      <c r="H19928">
        <v>57400227</v>
      </c>
      <c r="I19928">
        <v>57400245</v>
      </c>
    </row>
    <row r="19929" spans="1:9" x14ac:dyDescent="0.2">
      <c r="A19929" s="1" t="str">
        <f>"ZBTB4"</f>
        <v>ZBTB4</v>
      </c>
      <c r="B19929" t="s">
        <v>9</v>
      </c>
      <c r="C19929" t="s">
        <v>28</v>
      </c>
      <c r="D19929" t="s">
        <v>11</v>
      </c>
      <c r="E19929" t="s">
        <v>12</v>
      </c>
      <c r="F19929">
        <v>7387524</v>
      </c>
      <c r="G19929">
        <v>7387597</v>
      </c>
      <c r="H19929">
        <v>7387524</v>
      </c>
      <c r="I19929">
        <v>7387597</v>
      </c>
    </row>
    <row r="19930" spans="1:9" x14ac:dyDescent="0.2">
      <c r="A19930" s="1" t="str">
        <f>"ZBTB4"</f>
        <v>ZBTB4</v>
      </c>
      <c r="B19930" t="s">
        <v>13</v>
      </c>
      <c r="C19930" t="s">
        <v>28</v>
      </c>
      <c r="D19930" t="s">
        <v>11</v>
      </c>
      <c r="E19930" t="s">
        <v>12</v>
      </c>
      <c r="F19930">
        <v>7382935</v>
      </c>
      <c r="G19930">
        <v>7382961</v>
      </c>
      <c r="H19930">
        <v>7382935</v>
      </c>
      <c r="I19930">
        <v>7382961</v>
      </c>
    </row>
    <row r="19931" spans="1:9" x14ac:dyDescent="0.2">
      <c r="A19931" s="1" t="str">
        <f>"ZBTB40"</f>
        <v>ZBTB40</v>
      </c>
      <c r="B19931" t="s">
        <v>14</v>
      </c>
      <c r="C19931" t="s">
        <v>19</v>
      </c>
      <c r="D19931" t="s">
        <v>17</v>
      </c>
      <c r="E19931" t="s">
        <v>12</v>
      </c>
      <c r="F19931">
        <v>22778337</v>
      </c>
      <c r="G19931">
        <v>22778356</v>
      </c>
      <c r="H19931">
        <v>22778437</v>
      </c>
      <c r="I19931">
        <v>22778450</v>
      </c>
    </row>
    <row r="19932" spans="1:9" x14ac:dyDescent="0.2">
      <c r="A19932" s="1" t="str">
        <f>"ZBTB41"</f>
        <v>ZBTB41</v>
      </c>
      <c r="B19932" t="s">
        <v>14</v>
      </c>
      <c r="C19932" t="s">
        <v>19</v>
      </c>
      <c r="D19932" t="s">
        <v>11</v>
      </c>
      <c r="E19932" t="s">
        <v>12</v>
      </c>
      <c r="F19932">
        <v>197170136</v>
      </c>
      <c r="G19932">
        <v>197170165</v>
      </c>
      <c r="H19932">
        <v>197170136</v>
      </c>
      <c r="I19932">
        <v>197170165</v>
      </c>
    </row>
    <row r="19933" spans="1:9" x14ac:dyDescent="0.2">
      <c r="A19933" s="1" t="str">
        <f>"ZBTB42"</f>
        <v>ZBTB42</v>
      </c>
      <c r="B19933" t="s">
        <v>14</v>
      </c>
      <c r="C19933" t="s">
        <v>41</v>
      </c>
      <c r="D19933" t="s">
        <v>17</v>
      </c>
      <c r="E19933" t="s">
        <v>12</v>
      </c>
      <c r="F19933">
        <v>105266857</v>
      </c>
      <c r="G19933">
        <v>105266926</v>
      </c>
      <c r="H19933">
        <v>105267423</v>
      </c>
      <c r="I19933">
        <v>105267443</v>
      </c>
    </row>
    <row r="19934" spans="1:9" x14ac:dyDescent="0.2">
      <c r="A19934" s="1" t="str">
        <f>"ZBTB43"</f>
        <v>ZBTB43</v>
      </c>
      <c r="B19934" t="s">
        <v>14</v>
      </c>
      <c r="C19934" t="s">
        <v>24</v>
      </c>
      <c r="D19934" t="s">
        <v>17</v>
      </c>
      <c r="E19934" t="s">
        <v>12</v>
      </c>
      <c r="F19934">
        <v>129567282</v>
      </c>
      <c r="G19934">
        <v>129567353</v>
      </c>
      <c r="H19934">
        <v>129567282</v>
      </c>
      <c r="I19934">
        <v>129567353</v>
      </c>
    </row>
    <row r="19935" spans="1:9" x14ac:dyDescent="0.2">
      <c r="A19935" s="1" t="str">
        <f>"ZBTB44"</f>
        <v>ZBTB44</v>
      </c>
      <c r="B19935" t="s">
        <v>14</v>
      </c>
      <c r="C19935" t="s">
        <v>27</v>
      </c>
      <c r="D19935" t="s">
        <v>11</v>
      </c>
      <c r="E19935" t="s">
        <v>12</v>
      </c>
      <c r="F19935">
        <v>130184753</v>
      </c>
      <c r="G19935">
        <v>130184824</v>
      </c>
      <c r="H19935">
        <v>130184470</v>
      </c>
      <c r="I19935">
        <v>130184533</v>
      </c>
    </row>
    <row r="19936" spans="1:9" x14ac:dyDescent="0.2">
      <c r="A19936" s="1" t="str">
        <f>"ZBTB45"</f>
        <v>ZBTB45</v>
      </c>
      <c r="B19936" t="s">
        <v>14</v>
      </c>
      <c r="C19936" t="s">
        <v>10</v>
      </c>
      <c r="D19936" t="s">
        <v>11</v>
      </c>
      <c r="E19936" t="s">
        <v>12</v>
      </c>
      <c r="F19936">
        <v>59031131</v>
      </c>
      <c r="G19936">
        <v>59031193</v>
      </c>
      <c r="H19936">
        <v>59030897</v>
      </c>
      <c r="I19936">
        <v>59030935</v>
      </c>
    </row>
    <row r="19937" spans="1:9" x14ac:dyDescent="0.2">
      <c r="A19937" s="1" t="str">
        <f>"ZBTB46"</f>
        <v>ZBTB46</v>
      </c>
      <c r="B19937" t="s">
        <v>14</v>
      </c>
      <c r="C19937" t="s">
        <v>29</v>
      </c>
      <c r="D19937" t="s">
        <v>11</v>
      </c>
      <c r="E19937" t="s">
        <v>12</v>
      </c>
      <c r="F19937">
        <v>62462566</v>
      </c>
      <c r="G19937">
        <v>62462631</v>
      </c>
      <c r="H19937">
        <v>62462654</v>
      </c>
      <c r="I19937">
        <v>62462662</v>
      </c>
    </row>
    <row r="19938" spans="1:9" x14ac:dyDescent="0.2">
      <c r="A19938" s="1" t="str">
        <f>"ZBTB47"</f>
        <v>ZBTB47</v>
      </c>
      <c r="B19938" t="s">
        <v>14</v>
      </c>
      <c r="C19938" t="s">
        <v>22</v>
      </c>
      <c r="D19938" t="s">
        <v>17</v>
      </c>
      <c r="E19938" t="s">
        <v>12</v>
      </c>
      <c r="F19938">
        <v>42695119</v>
      </c>
      <c r="G19938">
        <v>42695177</v>
      </c>
      <c r="H19938">
        <v>42695180</v>
      </c>
      <c r="I19938">
        <v>42695201</v>
      </c>
    </row>
    <row r="19939" spans="1:9" x14ac:dyDescent="0.2">
      <c r="A19939" s="1" t="str">
        <f>"ZBTB48"</f>
        <v>ZBTB48</v>
      </c>
      <c r="B19939" t="s">
        <v>14</v>
      </c>
      <c r="C19939" t="s">
        <v>19</v>
      </c>
      <c r="D19939" t="s">
        <v>17</v>
      </c>
      <c r="E19939" t="s">
        <v>12</v>
      </c>
      <c r="F19939">
        <v>6640046</v>
      </c>
      <c r="G19939">
        <v>6640101</v>
      </c>
      <c r="H19939">
        <v>6640110</v>
      </c>
      <c r="I19939">
        <v>6640130</v>
      </c>
    </row>
    <row r="19940" spans="1:9" x14ac:dyDescent="0.2">
      <c r="A19940" s="1" t="str">
        <f>"ZBTB49"</f>
        <v>ZBTB49</v>
      </c>
      <c r="B19940" t="s">
        <v>14</v>
      </c>
      <c r="C19940" t="s">
        <v>23</v>
      </c>
      <c r="D19940" t="s">
        <v>17</v>
      </c>
      <c r="E19940" t="s">
        <v>12</v>
      </c>
      <c r="F19940">
        <v>4291944</v>
      </c>
      <c r="G19940">
        <v>4292011</v>
      </c>
      <c r="H19940">
        <v>4292012</v>
      </c>
      <c r="I19940">
        <v>4292030</v>
      </c>
    </row>
    <row r="19941" spans="1:9" x14ac:dyDescent="0.2">
      <c r="A19941" s="1" t="str">
        <f>"ZBTB5"</f>
        <v>ZBTB5</v>
      </c>
      <c r="B19941" t="s">
        <v>14</v>
      </c>
      <c r="C19941" t="s">
        <v>24</v>
      </c>
      <c r="D19941" t="s">
        <v>11</v>
      </c>
      <c r="E19941" t="s">
        <v>12</v>
      </c>
      <c r="F19941">
        <v>37465399</v>
      </c>
      <c r="G19941">
        <v>37465454</v>
      </c>
      <c r="H19941">
        <v>37465273</v>
      </c>
      <c r="I19941">
        <v>37465338</v>
      </c>
    </row>
    <row r="19942" spans="1:9" x14ac:dyDescent="0.2">
      <c r="A19942" s="1" t="str">
        <f>"ZBTB6"</f>
        <v>ZBTB6</v>
      </c>
      <c r="B19942" t="s">
        <v>14</v>
      </c>
      <c r="C19942" t="s">
        <v>24</v>
      </c>
      <c r="D19942" t="s">
        <v>11</v>
      </c>
      <c r="E19942" t="s">
        <v>12</v>
      </c>
      <c r="F19942">
        <v>125675576</v>
      </c>
      <c r="G19942">
        <v>125675612</v>
      </c>
      <c r="H19942">
        <v>125675564</v>
      </c>
      <c r="I19942">
        <v>125675575</v>
      </c>
    </row>
    <row r="19943" spans="1:9" x14ac:dyDescent="0.2">
      <c r="A19943" s="1" t="str">
        <f>"ZBTB7A"</f>
        <v>ZBTB7A</v>
      </c>
      <c r="B19943" t="s">
        <v>9</v>
      </c>
      <c r="C19943" t="s">
        <v>10</v>
      </c>
      <c r="D19943" t="s">
        <v>11</v>
      </c>
      <c r="E19943" t="s">
        <v>12</v>
      </c>
      <c r="F19943">
        <v>4066803</v>
      </c>
      <c r="G19943">
        <v>4066886</v>
      </c>
      <c r="H19943">
        <v>4066803</v>
      </c>
      <c r="I19943">
        <v>4066886</v>
      </c>
    </row>
    <row r="19944" spans="1:9" x14ac:dyDescent="0.2">
      <c r="A19944" s="1" t="str">
        <f>"ZBTB7A"</f>
        <v>ZBTB7A</v>
      </c>
      <c r="B19944" t="s">
        <v>13</v>
      </c>
      <c r="C19944" t="s">
        <v>10</v>
      </c>
      <c r="D19944" t="s">
        <v>11</v>
      </c>
      <c r="E19944" t="s">
        <v>12</v>
      </c>
      <c r="F19944">
        <v>4065485</v>
      </c>
      <c r="G19944">
        <v>4065546</v>
      </c>
      <c r="H19944">
        <v>4065485</v>
      </c>
      <c r="I19944">
        <v>4065546</v>
      </c>
    </row>
    <row r="19945" spans="1:9" x14ac:dyDescent="0.2">
      <c r="A19945" s="1" t="str">
        <f>"ZBTB7B"</f>
        <v>ZBTB7B</v>
      </c>
      <c r="B19945" t="s">
        <v>14</v>
      </c>
      <c r="C19945" t="s">
        <v>19</v>
      </c>
      <c r="D19945" t="s">
        <v>17</v>
      </c>
      <c r="E19945" t="s">
        <v>12</v>
      </c>
      <c r="F19945">
        <v>154975258</v>
      </c>
      <c r="G19945">
        <v>154975330</v>
      </c>
      <c r="H19945">
        <v>154975110</v>
      </c>
      <c r="I19945">
        <v>154975149</v>
      </c>
    </row>
    <row r="19946" spans="1:9" x14ac:dyDescent="0.2">
      <c r="A19946" s="1" t="str">
        <f>"ZBTB7C"</f>
        <v>ZBTB7C</v>
      </c>
      <c r="B19946" t="s">
        <v>9</v>
      </c>
      <c r="C19946" t="s">
        <v>43</v>
      </c>
      <c r="D19946" t="s">
        <v>11</v>
      </c>
      <c r="E19946" t="s">
        <v>12</v>
      </c>
      <c r="F19946">
        <v>45935720</v>
      </c>
      <c r="G19946">
        <v>45935772</v>
      </c>
      <c r="H19946">
        <v>45935720</v>
      </c>
      <c r="I19946">
        <v>45935772</v>
      </c>
    </row>
    <row r="19947" spans="1:9" x14ac:dyDescent="0.2">
      <c r="A19947" s="1" t="str">
        <f>"ZBTB7C"</f>
        <v>ZBTB7C</v>
      </c>
      <c r="B19947" t="s">
        <v>13</v>
      </c>
      <c r="C19947" t="s">
        <v>43</v>
      </c>
      <c r="D19947" t="s">
        <v>11</v>
      </c>
      <c r="E19947" t="s">
        <v>12</v>
      </c>
      <c r="F19947">
        <v>45663490</v>
      </c>
      <c r="G19947">
        <v>45663528</v>
      </c>
      <c r="H19947">
        <v>45663490</v>
      </c>
      <c r="I19947">
        <v>45663528</v>
      </c>
    </row>
    <row r="19948" spans="1:9" x14ac:dyDescent="0.2">
      <c r="A19948" s="1" t="str">
        <f>"ZBTB8A"</f>
        <v>ZBTB8A</v>
      </c>
      <c r="B19948" t="s">
        <v>14</v>
      </c>
      <c r="C19948" t="s">
        <v>19</v>
      </c>
      <c r="D19948" t="s">
        <v>17</v>
      </c>
      <c r="E19948" t="s">
        <v>12</v>
      </c>
      <c r="F19948">
        <v>33005020</v>
      </c>
      <c r="G19948">
        <v>33005077</v>
      </c>
      <c r="H19948">
        <v>33004734</v>
      </c>
      <c r="I19948">
        <v>33004807</v>
      </c>
    </row>
    <row r="19949" spans="1:9" x14ac:dyDescent="0.2">
      <c r="A19949" s="1" t="str">
        <f>"ZBTB8B"</f>
        <v>ZBTB8B</v>
      </c>
      <c r="B19949" t="s">
        <v>14</v>
      </c>
      <c r="C19949" t="s">
        <v>19</v>
      </c>
      <c r="D19949" t="s">
        <v>17</v>
      </c>
      <c r="E19949" t="s">
        <v>12</v>
      </c>
      <c r="F19949">
        <v>32930647</v>
      </c>
      <c r="G19949">
        <v>32930684</v>
      </c>
      <c r="H19949">
        <v>32930647</v>
      </c>
      <c r="I19949">
        <v>32930684</v>
      </c>
    </row>
    <row r="19950" spans="1:9" x14ac:dyDescent="0.2">
      <c r="A19950" s="1" t="str">
        <f>"ZBTB8OS"</f>
        <v>ZBTB8OS</v>
      </c>
      <c r="B19950" t="s">
        <v>14</v>
      </c>
      <c r="C19950" t="s">
        <v>19</v>
      </c>
      <c r="D19950" t="s">
        <v>11</v>
      </c>
      <c r="E19950" t="s">
        <v>12</v>
      </c>
      <c r="F19950">
        <v>33116128</v>
      </c>
      <c r="G19950">
        <v>33116159</v>
      </c>
      <c r="H19950">
        <v>33116541</v>
      </c>
      <c r="I19950">
        <v>33116576</v>
      </c>
    </row>
    <row r="19951" spans="1:9" x14ac:dyDescent="0.2">
      <c r="A19951" s="1" t="str">
        <f>"ZBTB9"</f>
        <v>ZBTB9</v>
      </c>
      <c r="B19951" t="s">
        <v>14</v>
      </c>
      <c r="C19951" t="s">
        <v>32</v>
      </c>
      <c r="D19951" t="s">
        <v>17</v>
      </c>
      <c r="E19951" t="s">
        <v>12</v>
      </c>
      <c r="F19951">
        <v>33422343</v>
      </c>
      <c r="G19951">
        <v>33422394</v>
      </c>
      <c r="H19951">
        <v>33422395</v>
      </c>
      <c r="I19951">
        <v>33422406</v>
      </c>
    </row>
    <row r="19952" spans="1:9" x14ac:dyDescent="0.2">
      <c r="A19952" s="1" t="str">
        <f>"ZC2HC1A"</f>
        <v>ZC2HC1A</v>
      </c>
      <c r="B19952" t="s">
        <v>14</v>
      </c>
      <c r="C19952" t="s">
        <v>30</v>
      </c>
      <c r="D19952" t="s">
        <v>17</v>
      </c>
      <c r="E19952" t="s">
        <v>12</v>
      </c>
      <c r="F19952">
        <v>79578291</v>
      </c>
      <c r="G19952">
        <v>79578334</v>
      </c>
      <c r="H19952">
        <v>79578337</v>
      </c>
      <c r="I19952">
        <v>79578360</v>
      </c>
    </row>
    <row r="19953" spans="1:9" x14ac:dyDescent="0.2">
      <c r="A19953" s="1" t="str">
        <f>"ZC2HC1B"</f>
        <v>ZC2HC1B</v>
      </c>
      <c r="B19953" t="s">
        <v>14</v>
      </c>
      <c r="C19953" t="s">
        <v>32</v>
      </c>
      <c r="D19953" t="s">
        <v>17</v>
      </c>
      <c r="E19953" t="s">
        <v>12</v>
      </c>
      <c r="F19953">
        <v>144185595</v>
      </c>
      <c r="G19953">
        <v>144185617</v>
      </c>
      <c r="H19953">
        <v>144185595</v>
      </c>
      <c r="I19953">
        <v>144185617</v>
      </c>
    </row>
    <row r="19954" spans="1:9" x14ac:dyDescent="0.2">
      <c r="A19954" s="1" t="str">
        <f>"ZC2HC1C"</f>
        <v>ZC2HC1C</v>
      </c>
      <c r="B19954" t="s">
        <v>14</v>
      </c>
      <c r="C19954" t="s">
        <v>41</v>
      </c>
      <c r="D19954" t="s">
        <v>17</v>
      </c>
      <c r="E19954" t="s">
        <v>12</v>
      </c>
      <c r="F19954">
        <v>75536335</v>
      </c>
      <c r="G19954">
        <v>75536383</v>
      </c>
      <c r="H19954">
        <v>75536302</v>
      </c>
      <c r="I19954">
        <v>75536321</v>
      </c>
    </row>
    <row r="19955" spans="1:9" x14ac:dyDescent="0.2">
      <c r="A19955" s="1" t="str">
        <f>"ZC3H10"</f>
        <v>ZC3H10</v>
      </c>
      <c r="B19955" t="s">
        <v>14</v>
      </c>
      <c r="C19955" t="s">
        <v>16</v>
      </c>
      <c r="D19955" t="s">
        <v>17</v>
      </c>
      <c r="E19955" t="s">
        <v>12</v>
      </c>
      <c r="F19955">
        <v>56512026</v>
      </c>
      <c r="G19955">
        <v>56512064</v>
      </c>
      <c r="H19955">
        <v>56512066</v>
      </c>
      <c r="I19955">
        <v>56512073</v>
      </c>
    </row>
    <row r="19956" spans="1:9" x14ac:dyDescent="0.2">
      <c r="A19956" s="1" t="str">
        <f>"ZC3H11A"</f>
        <v>ZC3H11A</v>
      </c>
      <c r="B19956" t="s">
        <v>14</v>
      </c>
      <c r="C19956" t="s">
        <v>19</v>
      </c>
      <c r="D19956" t="s">
        <v>17</v>
      </c>
      <c r="E19956" t="s">
        <v>12</v>
      </c>
      <c r="F19956">
        <v>203764742</v>
      </c>
      <c r="G19956">
        <v>203764769</v>
      </c>
      <c r="H19956">
        <v>203764633</v>
      </c>
      <c r="I19956">
        <v>203764674</v>
      </c>
    </row>
    <row r="19957" spans="1:9" x14ac:dyDescent="0.2">
      <c r="A19957" s="1" t="str">
        <f>"ZC3H12A"</f>
        <v>ZC3H12A</v>
      </c>
      <c r="B19957" t="s">
        <v>14</v>
      </c>
      <c r="C19957" t="s">
        <v>19</v>
      </c>
      <c r="D19957" t="s">
        <v>17</v>
      </c>
      <c r="E19957" t="s">
        <v>12</v>
      </c>
      <c r="F19957">
        <v>37940170</v>
      </c>
      <c r="G19957">
        <v>37940190</v>
      </c>
      <c r="H19957">
        <v>37940102</v>
      </c>
      <c r="I19957">
        <v>37940131</v>
      </c>
    </row>
    <row r="19958" spans="1:9" x14ac:dyDescent="0.2">
      <c r="A19958" s="1" t="str">
        <f>"ZC3H12B"</f>
        <v>ZC3H12B</v>
      </c>
      <c r="B19958" t="s">
        <v>14</v>
      </c>
      <c r="C19958" t="s">
        <v>37</v>
      </c>
      <c r="D19958" t="s">
        <v>17</v>
      </c>
      <c r="E19958" t="s">
        <v>12</v>
      </c>
      <c r="F19958">
        <v>64708655</v>
      </c>
      <c r="G19958">
        <v>64708672</v>
      </c>
      <c r="H19958">
        <v>64708655</v>
      </c>
      <c r="I19958">
        <v>64708672</v>
      </c>
    </row>
    <row r="19959" spans="1:9" x14ac:dyDescent="0.2">
      <c r="A19959" s="1" t="str">
        <f>"ZC3H12C"</f>
        <v>ZC3H12C</v>
      </c>
      <c r="B19959" t="s">
        <v>14</v>
      </c>
      <c r="C19959" t="s">
        <v>27</v>
      </c>
      <c r="D19959" t="s">
        <v>17</v>
      </c>
      <c r="E19959" t="s">
        <v>12</v>
      </c>
      <c r="F19959">
        <v>109963515</v>
      </c>
      <c r="G19959">
        <v>109963534</v>
      </c>
      <c r="H19959">
        <v>109963536</v>
      </c>
      <c r="I19959">
        <v>109963580</v>
      </c>
    </row>
    <row r="19960" spans="1:9" x14ac:dyDescent="0.2">
      <c r="A19960" s="1" t="str">
        <f>"ZC3H12D"</f>
        <v>ZC3H12D</v>
      </c>
      <c r="B19960" t="s">
        <v>14</v>
      </c>
      <c r="C19960" t="s">
        <v>32</v>
      </c>
      <c r="D19960" t="s">
        <v>11</v>
      </c>
      <c r="E19960" t="s">
        <v>12</v>
      </c>
      <c r="F19960">
        <v>149806105</v>
      </c>
      <c r="G19960">
        <v>149806172</v>
      </c>
      <c r="H19960">
        <v>149806011</v>
      </c>
      <c r="I19960">
        <v>149806038</v>
      </c>
    </row>
    <row r="19961" spans="1:9" x14ac:dyDescent="0.2">
      <c r="A19961" s="1" t="str">
        <f>"ZC3H13"</f>
        <v>ZC3H13</v>
      </c>
      <c r="B19961" t="s">
        <v>14</v>
      </c>
      <c r="C19961" t="s">
        <v>39</v>
      </c>
      <c r="D19961" t="s">
        <v>11</v>
      </c>
      <c r="E19961" t="s">
        <v>12</v>
      </c>
      <c r="F19961">
        <v>46626847</v>
      </c>
      <c r="G19961">
        <v>46626899</v>
      </c>
      <c r="H19961">
        <v>46626847</v>
      </c>
      <c r="I19961">
        <v>46626899</v>
      </c>
    </row>
    <row r="19962" spans="1:9" x14ac:dyDescent="0.2">
      <c r="A19962" s="1" t="str">
        <f>"ZC3H14"</f>
        <v>ZC3H14</v>
      </c>
      <c r="B19962" t="s">
        <v>14</v>
      </c>
      <c r="C19962" t="s">
        <v>41</v>
      </c>
      <c r="D19962" t="s">
        <v>17</v>
      </c>
      <c r="E19962" t="s">
        <v>12</v>
      </c>
      <c r="F19962">
        <v>89029366</v>
      </c>
      <c r="G19962">
        <v>89029425</v>
      </c>
      <c r="H19962">
        <v>89029336</v>
      </c>
      <c r="I19962">
        <v>89029363</v>
      </c>
    </row>
    <row r="19963" spans="1:9" x14ac:dyDescent="0.2">
      <c r="A19963" s="1" t="str">
        <f>"ZC3H15"</f>
        <v>ZC3H15</v>
      </c>
      <c r="B19963" t="s">
        <v>14</v>
      </c>
      <c r="C19963" t="s">
        <v>26</v>
      </c>
      <c r="D19963" t="s">
        <v>17</v>
      </c>
      <c r="E19963" t="s">
        <v>12</v>
      </c>
      <c r="F19963">
        <v>187350973</v>
      </c>
      <c r="G19963">
        <v>187351072</v>
      </c>
      <c r="H19963">
        <v>187350951</v>
      </c>
      <c r="I19963">
        <v>187350962</v>
      </c>
    </row>
    <row r="19964" spans="1:9" x14ac:dyDescent="0.2">
      <c r="A19964" s="1" t="str">
        <f>"ZC3H18"</f>
        <v>ZC3H18</v>
      </c>
      <c r="B19964" t="s">
        <v>14</v>
      </c>
      <c r="C19964" t="s">
        <v>31</v>
      </c>
      <c r="D19964" t="s">
        <v>17</v>
      </c>
      <c r="E19964" t="s">
        <v>12</v>
      </c>
      <c r="F19964">
        <v>88636795</v>
      </c>
      <c r="G19964">
        <v>88636827</v>
      </c>
      <c r="H19964">
        <v>88636835</v>
      </c>
      <c r="I19964">
        <v>88636846</v>
      </c>
    </row>
    <row r="19965" spans="1:9" x14ac:dyDescent="0.2">
      <c r="A19965" s="1" t="str">
        <f>"ZC3H3"</f>
        <v>ZC3H3</v>
      </c>
      <c r="B19965" t="s">
        <v>14</v>
      </c>
      <c r="C19965" t="s">
        <v>30</v>
      </c>
      <c r="D19965" t="s">
        <v>11</v>
      </c>
      <c r="E19965" t="s">
        <v>12</v>
      </c>
      <c r="F19965">
        <v>144623595</v>
      </c>
      <c r="G19965">
        <v>144623646</v>
      </c>
      <c r="H19965">
        <v>144623732</v>
      </c>
      <c r="I19965">
        <v>144623748</v>
      </c>
    </row>
    <row r="19966" spans="1:9" x14ac:dyDescent="0.2">
      <c r="A19966" s="1" t="str">
        <f>"ZC3H4"</f>
        <v>ZC3H4</v>
      </c>
      <c r="B19966" t="s">
        <v>9</v>
      </c>
      <c r="C19966" t="s">
        <v>10</v>
      </c>
      <c r="D19966" t="s">
        <v>11</v>
      </c>
      <c r="E19966" t="s">
        <v>12</v>
      </c>
      <c r="F19966">
        <v>47615498</v>
      </c>
      <c r="G19966">
        <v>47615522</v>
      </c>
      <c r="H19966">
        <v>47615498</v>
      </c>
      <c r="I19966">
        <v>47615522</v>
      </c>
    </row>
    <row r="19967" spans="1:9" x14ac:dyDescent="0.2">
      <c r="A19967" s="1" t="str">
        <f>"ZC3H4"</f>
        <v>ZC3H4</v>
      </c>
      <c r="B19967" t="s">
        <v>13</v>
      </c>
      <c r="C19967" t="s">
        <v>10</v>
      </c>
      <c r="D19967" t="s">
        <v>11</v>
      </c>
      <c r="E19967" t="s">
        <v>12</v>
      </c>
      <c r="F19967">
        <v>47617013</v>
      </c>
      <c r="G19967">
        <v>47617069</v>
      </c>
      <c r="H19967">
        <v>47617013</v>
      </c>
      <c r="I19967">
        <v>47617069</v>
      </c>
    </row>
    <row r="19968" spans="1:9" x14ac:dyDescent="0.2">
      <c r="A19968" s="1" t="str">
        <f>"ZC3H6"</f>
        <v>ZC3H6</v>
      </c>
      <c r="B19968" t="s">
        <v>14</v>
      </c>
      <c r="C19968" t="s">
        <v>26</v>
      </c>
      <c r="D19968" t="s">
        <v>17</v>
      </c>
      <c r="E19968" t="s">
        <v>12</v>
      </c>
      <c r="F19968">
        <v>113033164</v>
      </c>
      <c r="G19968">
        <v>113033219</v>
      </c>
      <c r="H19968">
        <v>113033141</v>
      </c>
      <c r="I19968">
        <v>113033162</v>
      </c>
    </row>
    <row r="19969" spans="1:9" x14ac:dyDescent="0.2">
      <c r="A19969" s="1" t="str">
        <f>"ZC3H7A"</f>
        <v>ZC3H7A</v>
      </c>
      <c r="B19969" t="s">
        <v>14</v>
      </c>
      <c r="C19969" t="s">
        <v>31</v>
      </c>
      <c r="D19969" t="s">
        <v>11</v>
      </c>
      <c r="E19969" t="s">
        <v>12</v>
      </c>
      <c r="F19969">
        <v>11891048</v>
      </c>
      <c r="G19969">
        <v>11891130</v>
      </c>
      <c r="H19969">
        <v>11891131</v>
      </c>
      <c r="I19969">
        <v>11891142</v>
      </c>
    </row>
    <row r="19970" spans="1:9" x14ac:dyDescent="0.2">
      <c r="A19970" s="1" t="str">
        <f>"ZC3H7B"</f>
        <v>ZC3H7B</v>
      </c>
      <c r="B19970" t="s">
        <v>14</v>
      </c>
      <c r="C19970" t="s">
        <v>21</v>
      </c>
      <c r="D19970" t="s">
        <v>17</v>
      </c>
      <c r="E19970" t="s">
        <v>12</v>
      </c>
      <c r="F19970">
        <v>41697520</v>
      </c>
      <c r="G19970">
        <v>41697613</v>
      </c>
      <c r="H19970">
        <v>41697497</v>
      </c>
      <c r="I19970">
        <v>41697515</v>
      </c>
    </row>
    <row r="19971" spans="1:9" x14ac:dyDescent="0.2">
      <c r="A19971" s="1" t="str">
        <f>"ZC3H8"</f>
        <v>ZC3H8</v>
      </c>
      <c r="B19971" t="s">
        <v>14</v>
      </c>
      <c r="C19971" t="s">
        <v>26</v>
      </c>
      <c r="D19971" t="s">
        <v>11</v>
      </c>
      <c r="E19971" t="s">
        <v>12</v>
      </c>
      <c r="F19971">
        <v>113012592</v>
      </c>
      <c r="G19971">
        <v>113012671</v>
      </c>
      <c r="H19971">
        <v>113012592</v>
      </c>
      <c r="I19971">
        <v>113012671</v>
      </c>
    </row>
    <row r="19972" spans="1:9" x14ac:dyDescent="0.2">
      <c r="A19972" s="1" t="str">
        <f>"ZC3HAV1"</f>
        <v>ZC3HAV1</v>
      </c>
      <c r="B19972" t="s">
        <v>14</v>
      </c>
      <c r="C19972" t="s">
        <v>33</v>
      </c>
      <c r="D19972" t="s">
        <v>11</v>
      </c>
      <c r="E19972" t="s">
        <v>12</v>
      </c>
      <c r="F19972">
        <v>138794453</v>
      </c>
      <c r="G19972">
        <v>138794473</v>
      </c>
      <c r="H19972">
        <v>138794081</v>
      </c>
      <c r="I19972">
        <v>138794159</v>
      </c>
    </row>
    <row r="19973" spans="1:9" x14ac:dyDescent="0.2">
      <c r="A19973" s="1" t="str">
        <f>"ZC3HAV1L"</f>
        <v>ZC3HAV1L</v>
      </c>
      <c r="B19973" t="s">
        <v>14</v>
      </c>
      <c r="C19973" t="s">
        <v>33</v>
      </c>
      <c r="D19973" t="s">
        <v>11</v>
      </c>
      <c r="E19973" t="s">
        <v>12</v>
      </c>
      <c r="F19973">
        <v>138720763</v>
      </c>
      <c r="G19973">
        <v>138720823</v>
      </c>
      <c r="H19973">
        <v>138720763</v>
      </c>
      <c r="I19973">
        <v>138720823</v>
      </c>
    </row>
    <row r="19974" spans="1:9" x14ac:dyDescent="0.2">
      <c r="A19974" s="1" t="str">
        <f>"ZC3HC1"</f>
        <v>ZC3HC1</v>
      </c>
      <c r="B19974" t="s">
        <v>14</v>
      </c>
      <c r="C19974" t="s">
        <v>33</v>
      </c>
      <c r="D19974" t="s">
        <v>11</v>
      </c>
      <c r="E19974" t="s">
        <v>12</v>
      </c>
      <c r="F19974">
        <v>129691201</v>
      </c>
      <c r="G19974">
        <v>129691235</v>
      </c>
      <c r="H19974">
        <v>129691201</v>
      </c>
      <c r="I19974">
        <v>129691235</v>
      </c>
    </row>
    <row r="19975" spans="1:9" x14ac:dyDescent="0.2">
      <c r="A19975" s="1" t="str">
        <f>"ZC4H2"</f>
        <v>ZC4H2</v>
      </c>
      <c r="B19975" t="s">
        <v>14</v>
      </c>
      <c r="C19975" t="s">
        <v>37</v>
      </c>
      <c r="D19975" t="s">
        <v>11</v>
      </c>
      <c r="E19975" t="s">
        <v>12</v>
      </c>
      <c r="F19975">
        <v>64196307</v>
      </c>
      <c r="G19975">
        <v>64196338</v>
      </c>
      <c r="H19975">
        <v>64196307</v>
      </c>
      <c r="I19975">
        <v>64196338</v>
      </c>
    </row>
    <row r="19976" spans="1:9" x14ac:dyDescent="0.2">
      <c r="A19976" s="1" t="str">
        <f>"ZCCHC10"</f>
        <v>ZCCHC10</v>
      </c>
      <c r="B19976" t="s">
        <v>14</v>
      </c>
      <c r="C19976" t="s">
        <v>46</v>
      </c>
      <c r="D19976" t="s">
        <v>11</v>
      </c>
      <c r="E19976" t="s">
        <v>12</v>
      </c>
      <c r="F19976">
        <v>132362226</v>
      </c>
      <c r="G19976">
        <v>132362269</v>
      </c>
      <c r="H19976">
        <v>132362226</v>
      </c>
      <c r="I19976">
        <v>132362269</v>
      </c>
    </row>
    <row r="19977" spans="1:9" x14ac:dyDescent="0.2">
      <c r="A19977" s="1" t="str">
        <f>"ZCCHC11"</f>
        <v>ZCCHC11</v>
      </c>
      <c r="B19977" t="s">
        <v>14</v>
      </c>
      <c r="C19977" t="s">
        <v>19</v>
      </c>
      <c r="D19977" t="s">
        <v>11</v>
      </c>
      <c r="E19977" t="s">
        <v>12</v>
      </c>
      <c r="F19977">
        <v>53018743</v>
      </c>
      <c r="G19977">
        <v>53018777</v>
      </c>
      <c r="H19977">
        <v>53019059</v>
      </c>
      <c r="I19977">
        <v>53019176</v>
      </c>
    </row>
    <row r="19978" spans="1:9" x14ac:dyDescent="0.2">
      <c r="A19978" s="1" t="str">
        <f>"ZCCHC12"</f>
        <v>ZCCHC12</v>
      </c>
      <c r="B19978" t="s">
        <v>14</v>
      </c>
      <c r="C19978" t="s">
        <v>37</v>
      </c>
      <c r="D19978" t="s">
        <v>17</v>
      </c>
      <c r="E19978" t="s">
        <v>12</v>
      </c>
      <c r="F19978">
        <v>117957779</v>
      </c>
      <c r="G19978">
        <v>117957795</v>
      </c>
      <c r="H19978">
        <v>117957741</v>
      </c>
      <c r="I19978">
        <v>117957758</v>
      </c>
    </row>
    <row r="19979" spans="1:9" x14ac:dyDescent="0.2">
      <c r="A19979" s="1" t="str">
        <f>"ZCCHC13"</f>
        <v>ZCCHC13</v>
      </c>
      <c r="B19979" t="s">
        <v>14</v>
      </c>
      <c r="C19979" t="s">
        <v>37</v>
      </c>
      <c r="D19979" t="s">
        <v>17</v>
      </c>
      <c r="E19979" t="s">
        <v>12</v>
      </c>
      <c r="F19979">
        <v>73524020</v>
      </c>
      <c r="G19979">
        <v>73524044</v>
      </c>
      <c r="H19979">
        <v>73524008</v>
      </c>
      <c r="I19979">
        <v>73524019</v>
      </c>
    </row>
    <row r="19980" spans="1:9" x14ac:dyDescent="0.2">
      <c r="A19980" s="1" t="str">
        <f>"ZCCHC14"</f>
        <v>ZCCHC14</v>
      </c>
      <c r="B19980" t="s">
        <v>14</v>
      </c>
      <c r="C19980" t="s">
        <v>31</v>
      </c>
      <c r="D19980" t="s">
        <v>11</v>
      </c>
      <c r="E19980" t="s">
        <v>12</v>
      </c>
      <c r="F19980">
        <v>87525303</v>
      </c>
      <c r="G19980">
        <v>87525338</v>
      </c>
      <c r="H19980">
        <v>87525303</v>
      </c>
      <c r="I19980">
        <v>87525338</v>
      </c>
    </row>
    <row r="19981" spans="1:9" x14ac:dyDescent="0.2">
      <c r="A19981" s="1" t="str">
        <f>"ZCCHC16"</f>
        <v>ZCCHC16</v>
      </c>
      <c r="B19981" t="s">
        <v>1840</v>
      </c>
      <c r="C19981" t="s">
        <v>37</v>
      </c>
      <c r="D19981" t="s">
        <v>17</v>
      </c>
      <c r="E19981" t="s">
        <v>20</v>
      </c>
      <c r="F19981">
        <v>111697726</v>
      </c>
      <c r="G19981">
        <v>111697726</v>
      </c>
      <c r="H19981">
        <v>111697726</v>
      </c>
      <c r="I19981">
        <v>111697726</v>
      </c>
    </row>
    <row r="19982" spans="1:9" x14ac:dyDescent="0.2">
      <c r="A19982" s="1" t="str">
        <f>"ZCCHC17"</f>
        <v>ZCCHC17</v>
      </c>
      <c r="B19982" t="s">
        <v>14</v>
      </c>
      <c r="C19982" t="s">
        <v>19</v>
      </c>
      <c r="D19982" t="s">
        <v>17</v>
      </c>
      <c r="E19982" t="s">
        <v>12</v>
      </c>
      <c r="F19982">
        <v>31769836</v>
      </c>
      <c r="G19982">
        <v>31769893</v>
      </c>
      <c r="H19982">
        <v>31769823</v>
      </c>
      <c r="I19982">
        <v>31769834</v>
      </c>
    </row>
    <row r="19983" spans="1:9" x14ac:dyDescent="0.2">
      <c r="A19983" s="1" t="str">
        <f>"ZCCHC18"</f>
        <v>ZCCHC18</v>
      </c>
      <c r="B19983" t="s">
        <v>14</v>
      </c>
      <c r="C19983" t="s">
        <v>37</v>
      </c>
      <c r="D19983" t="s">
        <v>17</v>
      </c>
      <c r="E19983" t="s">
        <v>12</v>
      </c>
      <c r="F19983">
        <v>103357208</v>
      </c>
      <c r="G19983">
        <v>103357232</v>
      </c>
      <c r="H19983">
        <v>103357241</v>
      </c>
      <c r="I19983">
        <v>103357256</v>
      </c>
    </row>
    <row r="19984" spans="1:9" x14ac:dyDescent="0.2">
      <c r="A19984" s="1" t="str">
        <f>"ZCCHC2"</f>
        <v>ZCCHC2</v>
      </c>
      <c r="B19984" t="s">
        <v>14</v>
      </c>
      <c r="C19984" t="s">
        <v>43</v>
      </c>
      <c r="D19984" t="s">
        <v>17</v>
      </c>
      <c r="E19984" t="s">
        <v>12</v>
      </c>
      <c r="F19984">
        <v>60190226</v>
      </c>
      <c r="G19984">
        <v>60190314</v>
      </c>
      <c r="H19984">
        <v>60190619</v>
      </c>
      <c r="I19984">
        <v>60190652</v>
      </c>
    </row>
    <row r="19985" spans="1:9" x14ac:dyDescent="0.2">
      <c r="A19985" s="1" t="str">
        <f>"ZCCHC24"</f>
        <v>ZCCHC24</v>
      </c>
      <c r="B19985" t="s">
        <v>14</v>
      </c>
      <c r="C19985" t="s">
        <v>15</v>
      </c>
      <c r="D19985" t="s">
        <v>11</v>
      </c>
      <c r="E19985" t="s">
        <v>12</v>
      </c>
      <c r="F19985">
        <v>81205373</v>
      </c>
      <c r="G19985">
        <v>81205429</v>
      </c>
      <c r="H19985">
        <v>81205156</v>
      </c>
      <c r="I19985">
        <v>81205223</v>
      </c>
    </row>
    <row r="19986" spans="1:9" x14ac:dyDescent="0.2">
      <c r="A19986" s="1" t="str">
        <f>"ZCCHC3"</f>
        <v>ZCCHC3</v>
      </c>
      <c r="B19986" t="s">
        <v>14</v>
      </c>
      <c r="C19986" t="s">
        <v>29</v>
      </c>
      <c r="D19986" t="s">
        <v>17</v>
      </c>
      <c r="E19986" t="s">
        <v>12</v>
      </c>
      <c r="F19986">
        <v>278194</v>
      </c>
      <c r="G19986">
        <v>278232</v>
      </c>
      <c r="H19986">
        <v>278141</v>
      </c>
      <c r="I19986">
        <v>278153</v>
      </c>
    </row>
    <row r="19987" spans="1:9" x14ac:dyDescent="0.2">
      <c r="A19987" s="1" t="str">
        <f>"ZCCHC4"</f>
        <v>ZCCHC4</v>
      </c>
      <c r="B19987" t="s">
        <v>14</v>
      </c>
      <c r="C19987" t="s">
        <v>23</v>
      </c>
      <c r="D19987" t="s">
        <v>17</v>
      </c>
      <c r="E19987" t="s">
        <v>12</v>
      </c>
      <c r="F19987">
        <v>25314388</v>
      </c>
      <c r="G19987">
        <v>25314437</v>
      </c>
      <c r="H19987">
        <v>25314388</v>
      </c>
      <c r="I19987">
        <v>25314437</v>
      </c>
    </row>
    <row r="19988" spans="1:9" x14ac:dyDescent="0.2">
      <c r="A19988" s="1" t="str">
        <f>"ZCCHC5"</f>
        <v>ZCCHC5</v>
      </c>
      <c r="B19988" t="s">
        <v>14</v>
      </c>
      <c r="C19988" t="s">
        <v>37</v>
      </c>
      <c r="D19988" t="s">
        <v>11</v>
      </c>
      <c r="E19988" t="s">
        <v>12</v>
      </c>
      <c r="F19988">
        <v>77914811</v>
      </c>
      <c r="G19988">
        <v>77914857</v>
      </c>
      <c r="H19988">
        <v>77914811</v>
      </c>
      <c r="I19988">
        <v>77914857</v>
      </c>
    </row>
    <row r="19989" spans="1:9" x14ac:dyDescent="0.2">
      <c r="A19989" s="1" t="str">
        <f>"ZCCHC6"</f>
        <v>ZCCHC6</v>
      </c>
      <c r="B19989" t="s">
        <v>14</v>
      </c>
      <c r="C19989" t="s">
        <v>24</v>
      </c>
      <c r="D19989" t="s">
        <v>11</v>
      </c>
      <c r="E19989" t="s">
        <v>12</v>
      </c>
      <c r="F19989">
        <v>88969303</v>
      </c>
      <c r="G19989">
        <v>88969335</v>
      </c>
      <c r="H19989">
        <v>88969339</v>
      </c>
      <c r="I19989">
        <v>88969422</v>
      </c>
    </row>
    <row r="19990" spans="1:9" x14ac:dyDescent="0.2">
      <c r="A19990" s="1" t="str">
        <f>"ZCCHC7"</f>
        <v>ZCCHC7</v>
      </c>
      <c r="B19990" t="s">
        <v>14</v>
      </c>
      <c r="C19990" t="s">
        <v>24</v>
      </c>
      <c r="D19990" t="s">
        <v>17</v>
      </c>
      <c r="E19990" t="s">
        <v>12</v>
      </c>
      <c r="F19990">
        <v>37120561</v>
      </c>
      <c r="G19990">
        <v>37120615</v>
      </c>
      <c r="H19990">
        <v>37120474</v>
      </c>
      <c r="I19990">
        <v>37120506</v>
      </c>
    </row>
    <row r="19991" spans="1:9" x14ac:dyDescent="0.2">
      <c r="A19991" s="1" t="str">
        <f>"ZCCHC8"</f>
        <v>ZCCHC8</v>
      </c>
      <c r="B19991" t="s">
        <v>14</v>
      </c>
      <c r="C19991" t="s">
        <v>16</v>
      </c>
      <c r="D19991" t="s">
        <v>11</v>
      </c>
      <c r="E19991" t="s">
        <v>12</v>
      </c>
      <c r="F19991">
        <v>122985389</v>
      </c>
      <c r="G19991">
        <v>122985423</v>
      </c>
      <c r="H19991">
        <v>122985494</v>
      </c>
      <c r="I19991">
        <v>122985543</v>
      </c>
    </row>
    <row r="19992" spans="1:9" x14ac:dyDescent="0.2">
      <c r="A19992" s="1" t="str">
        <f>"ZCCHC9"</f>
        <v>ZCCHC9</v>
      </c>
      <c r="B19992" t="s">
        <v>14</v>
      </c>
      <c r="C19992" t="s">
        <v>46</v>
      </c>
      <c r="D19992" t="s">
        <v>17</v>
      </c>
      <c r="E19992" t="s">
        <v>12</v>
      </c>
      <c r="F19992">
        <v>80597419</v>
      </c>
      <c r="G19992">
        <v>80597448</v>
      </c>
      <c r="H19992">
        <v>80597398</v>
      </c>
      <c r="I19992">
        <v>80597418</v>
      </c>
    </row>
    <row r="19993" spans="1:9" x14ac:dyDescent="0.2">
      <c r="A19993" s="1" t="str">
        <f>"ZCRB1"</f>
        <v>ZCRB1</v>
      </c>
      <c r="B19993" t="s">
        <v>14</v>
      </c>
      <c r="C19993" t="s">
        <v>16</v>
      </c>
      <c r="D19993" t="s">
        <v>11</v>
      </c>
      <c r="E19993" t="s">
        <v>12</v>
      </c>
      <c r="F19993">
        <v>42719885</v>
      </c>
      <c r="G19993">
        <v>42719926</v>
      </c>
      <c r="H19993">
        <v>42719885</v>
      </c>
      <c r="I19993">
        <v>42719926</v>
      </c>
    </row>
    <row r="19994" spans="1:9" x14ac:dyDescent="0.2">
      <c r="A19994" s="1" t="str">
        <f>"ZCWPW1"</f>
        <v>ZCWPW1</v>
      </c>
      <c r="B19994" t="s">
        <v>14</v>
      </c>
      <c r="C19994" t="s">
        <v>33</v>
      </c>
      <c r="D19994" t="s">
        <v>11</v>
      </c>
      <c r="E19994" t="s">
        <v>12</v>
      </c>
      <c r="F19994">
        <v>100026280</v>
      </c>
      <c r="G19994">
        <v>100026331</v>
      </c>
      <c r="H19994">
        <v>100025873</v>
      </c>
      <c r="I19994">
        <v>100025944</v>
      </c>
    </row>
    <row r="19995" spans="1:9" x14ac:dyDescent="0.2">
      <c r="A19995" s="1" t="str">
        <f>"ZCWPW2"</f>
        <v>ZCWPW2</v>
      </c>
      <c r="B19995" t="s">
        <v>14</v>
      </c>
      <c r="C19995" t="s">
        <v>22</v>
      </c>
      <c r="D19995" t="s">
        <v>17</v>
      </c>
      <c r="E19995" t="s">
        <v>12</v>
      </c>
      <c r="F19995">
        <v>28390187</v>
      </c>
      <c r="G19995">
        <v>28390245</v>
      </c>
      <c r="H19995">
        <v>28390642</v>
      </c>
      <c r="I19995">
        <v>28390675</v>
      </c>
    </row>
    <row r="19996" spans="1:9" x14ac:dyDescent="0.2">
      <c r="A19996" s="1" t="str">
        <f>"ZDBF2"</f>
        <v>ZDBF2</v>
      </c>
      <c r="B19996" t="s">
        <v>14</v>
      </c>
      <c r="C19996" t="s">
        <v>26</v>
      </c>
      <c r="D19996" t="s">
        <v>17</v>
      </c>
      <c r="E19996" t="s">
        <v>12</v>
      </c>
      <c r="F19996">
        <v>207139367</v>
      </c>
      <c r="G19996">
        <v>207139452</v>
      </c>
      <c r="H19996">
        <v>207139481</v>
      </c>
      <c r="I19996">
        <v>207139495</v>
      </c>
    </row>
    <row r="19997" spans="1:9" x14ac:dyDescent="0.2">
      <c r="A19997" s="1" t="str">
        <f>"ZDHHC1"</f>
        <v>ZDHHC1</v>
      </c>
      <c r="B19997" t="s">
        <v>14</v>
      </c>
      <c r="C19997" t="s">
        <v>31</v>
      </c>
      <c r="D19997" t="s">
        <v>11</v>
      </c>
      <c r="E19997" t="s">
        <v>12</v>
      </c>
      <c r="F19997">
        <v>67450325</v>
      </c>
      <c r="G19997">
        <v>67450406</v>
      </c>
      <c r="H19997">
        <v>67450288</v>
      </c>
      <c r="I19997">
        <v>67450297</v>
      </c>
    </row>
    <row r="19998" spans="1:9" x14ac:dyDescent="0.2">
      <c r="A19998" s="1" t="str">
        <f>"ZDHHC11"</f>
        <v>ZDHHC11</v>
      </c>
      <c r="B19998" t="s">
        <v>14</v>
      </c>
      <c r="C19998" t="s">
        <v>46</v>
      </c>
      <c r="D19998" t="s">
        <v>11</v>
      </c>
      <c r="E19998" t="s">
        <v>12</v>
      </c>
      <c r="F19998">
        <v>850676</v>
      </c>
      <c r="G19998">
        <v>850697</v>
      </c>
      <c r="H19998">
        <v>849892</v>
      </c>
      <c r="I19998">
        <v>849906</v>
      </c>
    </row>
    <row r="19999" spans="1:9" x14ac:dyDescent="0.2">
      <c r="A19999" s="1" t="str">
        <f>"ZDHHC11B"</f>
        <v>ZDHHC11B</v>
      </c>
      <c r="B19999" t="s">
        <v>1841</v>
      </c>
      <c r="C19999" t="s">
        <v>46</v>
      </c>
      <c r="D19999" t="s">
        <v>11</v>
      </c>
      <c r="E19999" t="s">
        <v>20</v>
      </c>
      <c r="F19999">
        <v>767033</v>
      </c>
      <c r="G19999">
        <v>767033</v>
      </c>
      <c r="H19999">
        <v>767033</v>
      </c>
      <c r="I19999">
        <v>767033</v>
      </c>
    </row>
    <row r="20000" spans="1:9" x14ac:dyDescent="0.2">
      <c r="A20000" s="1" t="str">
        <f>"ZDHHC12"</f>
        <v>ZDHHC12</v>
      </c>
      <c r="B20000" t="s">
        <v>14</v>
      </c>
      <c r="C20000" t="s">
        <v>24</v>
      </c>
      <c r="D20000" t="s">
        <v>11</v>
      </c>
      <c r="E20000" t="s">
        <v>12</v>
      </c>
      <c r="F20000">
        <v>131486367</v>
      </c>
      <c r="G20000">
        <v>131486413</v>
      </c>
      <c r="H20000">
        <v>131486367</v>
      </c>
      <c r="I20000">
        <v>131486413</v>
      </c>
    </row>
    <row r="20001" spans="1:9" x14ac:dyDescent="0.2">
      <c r="A20001" s="1" t="str">
        <f>"ZDHHC13"</f>
        <v>ZDHHC13</v>
      </c>
      <c r="B20001" t="s">
        <v>14</v>
      </c>
      <c r="C20001" t="s">
        <v>27</v>
      </c>
      <c r="D20001" t="s">
        <v>17</v>
      </c>
      <c r="E20001" t="s">
        <v>12</v>
      </c>
      <c r="F20001">
        <v>19138670</v>
      </c>
      <c r="G20001">
        <v>19138732</v>
      </c>
      <c r="H20001">
        <v>19138741</v>
      </c>
      <c r="I20001">
        <v>19138756</v>
      </c>
    </row>
    <row r="20002" spans="1:9" x14ac:dyDescent="0.2">
      <c r="A20002" s="1" t="str">
        <f>"ZDHHC14"</f>
        <v>ZDHHC14</v>
      </c>
      <c r="B20002" t="s">
        <v>14</v>
      </c>
      <c r="C20002" t="s">
        <v>32</v>
      </c>
      <c r="D20002" t="s">
        <v>17</v>
      </c>
      <c r="E20002" t="s">
        <v>12</v>
      </c>
      <c r="F20002">
        <v>157802182</v>
      </c>
      <c r="G20002">
        <v>157802254</v>
      </c>
      <c r="H20002">
        <v>157802507</v>
      </c>
      <c r="I20002">
        <v>157802575</v>
      </c>
    </row>
    <row r="20003" spans="1:9" x14ac:dyDescent="0.2">
      <c r="A20003" s="1" t="str">
        <f>"ZDHHC15"</f>
        <v>ZDHHC15</v>
      </c>
      <c r="B20003" t="s">
        <v>14</v>
      </c>
      <c r="C20003" t="s">
        <v>37</v>
      </c>
      <c r="D20003" t="s">
        <v>11</v>
      </c>
      <c r="E20003" t="s">
        <v>12</v>
      </c>
      <c r="F20003">
        <v>74742846</v>
      </c>
      <c r="G20003">
        <v>74742884</v>
      </c>
      <c r="H20003">
        <v>74743080</v>
      </c>
      <c r="I20003">
        <v>74743108</v>
      </c>
    </row>
    <row r="20004" spans="1:9" x14ac:dyDescent="0.2">
      <c r="A20004" s="1" t="str">
        <f>"ZDHHC16"</f>
        <v>ZDHHC16</v>
      </c>
      <c r="B20004" t="s">
        <v>14</v>
      </c>
      <c r="C20004" t="s">
        <v>15</v>
      </c>
      <c r="D20004" t="s">
        <v>17</v>
      </c>
      <c r="E20004" t="s">
        <v>12</v>
      </c>
      <c r="F20004">
        <v>99205894</v>
      </c>
      <c r="G20004">
        <v>99205949</v>
      </c>
      <c r="H20004">
        <v>99205959</v>
      </c>
      <c r="I20004">
        <v>99205981</v>
      </c>
    </row>
    <row r="20005" spans="1:9" x14ac:dyDescent="0.2">
      <c r="A20005" s="1" t="str">
        <f>"ZDHHC17"</f>
        <v>ZDHHC17</v>
      </c>
      <c r="B20005" t="s">
        <v>14</v>
      </c>
      <c r="C20005" t="s">
        <v>16</v>
      </c>
      <c r="D20005" t="s">
        <v>17</v>
      </c>
      <c r="E20005" t="s">
        <v>12</v>
      </c>
      <c r="F20005">
        <v>77158021</v>
      </c>
      <c r="G20005">
        <v>77158045</v>
      </c>
      <c r="H20005">
        <v>77157889</v>
      </c>
      <c r="I20005">
        <v>77157900</v>
      </c>
    </row>
    <row r="20006" spans="1:9" x14ac:dyDescent="0.2">
      <c r="A20006" s="1" t="str">
        <f>"ZDHHC18"</f>
        <v>ZDHHC18</v>
      </c>
      <c r="B20006" t="s">
        <v>14</v>
      </c>
      <c r="C20006" t="s">
        <v>19</v>
      </c>
      <c r="D20006" t="s">
        <v>17</v>
      </c>
      <c r="E20006" t="s">
        <v>12</v>
      </c>
      <c r="F20006">
        <v>27153173</v>
      </c>
      <c r="G20006">
        <v>27153230</v>
      </c>
      <c r="H20006">
        <v>27153497</v>
      </c>
      <c r="I20006">
        <v>27153544</v>
      </c>
    </row>
    <row r="20007" spans="1:9" x14ac:dyDescent="0.2">
      <c r="A20007" s="1" t="str">
        <f>"ZDHHC19"</f>
        <v>ZDHHC19</v>
      </c>
      <c r="B20007" t="s">
        <v>14</v>
      </c>
      <c r="C20007" t="s">
        <v>22</v>
      </c>
      <c r="D20007" t="s">
        <v>11</v>
      </c>
      <c r="E20007" t="s">
        <v>12</v>
      </c>
      <c r="F20007">
        <v>195938256</v>
      </c>
      <c r="G20007">
        <v>195938279</v>
      </c>
      <c r="H20007">
        <v>195938256</v>
      </c>
      <c r="I20007">
        <v>195938279</v>
      </c>
    </row>
    <row r="20008" spans="1:9" x14ac:dyDescent="0.2">
      <c r="A20008" s="1" t="str">
        <f>"ZDHHC2"</f>
        <v>ZDHHC2</v>
      </c>
      <c r="B20008" t="s">
        <v>14</v>
      </c>
      <c r="C20008" t="s">
        <v>30</v>
      </c>
      <c r="D20008" t="s">
        <v>17</v>
      </c>
      <c r="E20008" t="s">
        <v>12</v>
      </c>
      <c r="F20008">
        <v>17013972</v>
      </c>
      <c r="G20008">
        <v>17014054</v>
      </c>
      <c r="H20008">
        <v>17013771</v>
      </c>
      <c r="I20008">
        <v>17013845</v>
      </c>
    </row>
    <row r="20009" spans="1:9" x14ac:dyDescent="0.2">
      <c r="A20009" s="1" t="str">
        <f>"ZDHHC20"</f>
        <v>ZDHHC20</v>
      </c>
      <c r="B20009" t="s">
        <v>14</v>
      </c>
      <c r="C20009" t="s">
        <v>39</v>
      </c>
      <c r="D20009" t="s">
        <v>11</v>
      </c>
      <c r="E20009" t="s">
        <v>12</v>
      </c>
      <c r="F20009">
        <v>22033392</v>
      </c>
      <c r="G20009">
        <v>22033510</v>
      </c>
      <c r="H20009">
        <v>22033368</v>
      </c>
      <c r="I20009">
        <v>22033391</v>
      </c>
    </row>
    <row r="20010" spans="1:9" x14ac:dyDescent="0.2">
      <c r="A20010" s="1" t="str">
        <f>"ZDHHC21"</f>
        <v>ZDHHC21</v>
      </c>
      <c r="B20010" t="s">
        <v>14</v>
      </c>
      <c r="C20010" t="s">
        <v>24</v>
      </c>
      <c r="D20010" t="s">
        <v>11</v>
      </c>
      <c r="E20010" t="s">
        <v>12</v>
      </c>
      <c r="F20010">
        <v>14693248</v>
      </c>
      <c r="G20010">
        <v>14693413</v>
      </c>
      <c r="H20010">
        <v>14693417</v>
      </c>
      <c r="I20010">
        <v>14693437</v>
      </c>
    </row>
    <row r="20011" spans="1:9" x14ac:dyDescent="0.2">
      <c r="A20011" s="1" t="str">
        <f>"ZDHHC22"</f>
        <v>ZDHHC22</v>
      </c>
      <c r="B20011" t="s">
        <v>14</v>
      </c>
      <c r="C20011" t="s">
        <v>41</v>
      </c>
      <c r="D20011" t="s">
        <v>11</v>
      </c>
      <c r="E20011" t="s">
        <v>12</v>
      </c>
      <c r="F20011">
        <v>77608121</v>
      </c>
      <c r="G20011">
        <v>77608141</v>
      </c>
      <c r="H20011">
        <v>77608054</v>
      </c>
      <c r="I20011">
        <v>77608076</v>
      </c>
    </row>
    <row r="20012" spans="1:9" x14ac:dyDescent="0.2">
      <c r="A20012" s="1" t="str">
        <f>"ZDHHC23"</f>
        <v>ZDHHC23</v>
      </c>
      <c r="B20012" t="s">
        <v>14</v>
      </c>
      <c r="C20012" t="s">
        <v>22</v>
      </c>
      <c r="D20012" t="s">
        <v>17</v>
      </c>
      <c r="E20012" t="s">
        <v>12</v>
      </c>
      <c r="F20012">
        <v>113666739</v>
      </c>
      <c r="G20012">
        <v>113666785</v>
      </c>
      <c r="H20012">
        <v>113666582</v>
      </c>
      <c r="I20012">
        <v>113666610</v>
      </c>
    </row>
    <row r="20013" spans="1:9" x14ac:dyDescent="0.2">
      <c r="A20013" s="1" t="str">
        <f>"ZDHHC24"</f>
        <v>ZDHHC24</v>
      </c>
      <c r="B20013" t="s">
        <v>14</v>
      </c>
      <c r="C20013" t="s">
        <v>27</v>
      </c>
      <c r="D20013" t="s">
        <v>11</v>
      </c>
      <c r="E20013" t="s">
        <v>12</v>
      </c>
      <c r="F20013">
        <v>66313492</v>
      </c>
      <c r="G20013">
        <v>66313546</v>
      </c>
      <c r="H20013">
        <v>66313474</v>
      </c>
      <c r="I20013">
        <v>66313488</v>
      </c>
    </row>
    <row r="20014" spans="1:9" x14ac:dyDescent="0.2">
      <c r="A20014" s="1" t="str">
        <f>"ZDHHC3"</f>
        <v>ZDHHC3</v>
      </c>
      <c r="B20014" t="s">
        <v>14</v>
      </c>
      <c r="C20014" t="s">
        <v>22</v>
      </c>
      <c r="D20014" t="s">
        <v>11</v>
      </c>
      <c r="E20014" t="s">
        <v>12</v>
      </c>
      <c r="F20014">
        <v>45017609</v>
      </c>
      <c r="G20014">
        <v>45017687</v>
      </c>
      <c r="H20014">
        <v>45017609</v>
      </c>
      <c r="I20014">
        <v>45017687</v>
      </c>
    </row>
    <row r="20015" spans="1:9" x14ac:dyDescent="0.2">
      <c r="A20015" s="1" t="str">
        <f>"ZDHHC4"</f>
        <v>ZDHHC4</v>
      </c>
      <c r="B20015" t="s">
        <v>14</v>
      </c>
      <c r="C20015" t="s">
        <v>33</v>
      </c>
      <c r="D20015" t="s">
        <v>17</v>
      </c>
      <c r="E20015" t="s">
        <v>12</v>
      </c>
      <c r="F20015">
        <v>6617039</v>
      </c>
      <c r="G20015">
        <v>6617127</v>
      </c>
      <c r="H20015">
        <v>6617197</v>
      </c>
      <c r="I20015">
        <v>6617215</v>
      </c>
    </row>
    <row r="20016" spans="1:9" x14ac:dyDescent="0.2">
      <c r="A20016" s="1" t="str">
        <f>"ZDHHC5"</f>
        <v>ZDHHC5</v>
      </c>
      <c r="B20016" t="s">
        <v>14</v>
      </c>
      <c r="C20016" t="s">
        <v>27</v>
      </c>
      <c r="D20016" t="s">
        <v>17</v>
      </c>
      <c r="E20016" t="s">
        <v>12</v>
      </c>
      <c r="F20016">
        <v>57435441</v>
      </c>
      <c r="G20016">
        <v>57435628</v>
      </c>
      <c r="H20016">
        <v>57435282</v>
      </c>
      <c r="I20016">
        <v>57435333</v>
      </c>
    </row>
    <row r="20017" spans="1:9" x14ac:dyDescent="0.2">
      <c r="A20017" s="1" t="str">
        <f>"ZDHHC6"</f>
        <v>ZDHHC6</v>
      </c>
      <c r="B20017" t="s">
        <v>14</v>
      </c>
      <c r="C20017" t="s">
        <v>15</v>
      </c>
      <c r="D20017" t="s">
        <v>11</v>
      </c>
      <c r="E20017" t="s">
        <v>12</v>
      </c>
      <c r="F20017">
        <v>114206649</v>
      </c>
      <c r="G20017">
        <v>114206688</v>
      </c>
      <c r="H20017">
        <v>114206689</v>
      </c>
      <c r="I20017">
        <v>114206719</v>
      </c>
    </row>
    <row r="20018" spans="1:9" x14ac:dyDescent="0.2">
      <c r="A20018" s="1" t="str">
        <f>"ZDHHC7"</f>
        <v>ZDHHC7</v>
      </c>
      <c r="B20018" t="s">
        <v>14</v>
      </c>
      <c r="C20018" t="s">
        <v>31</v>
      </c>
      <c r="D20018" t="s">
        <v>11</v>
      </c>
      <c r="E20018" t="s">
        <v>12</v>
      </c>
      <c r="F20018">
        <v>85045069</v>
      </c>
      <c r="G20018">
        <v>85045128</v>
      </c>
      <c r="H20018">
        <v>85045131</v>
      </c>
      <c r="I20018">
        <v>85045147</v>
      </c>
    </row>
    <row r="20019" spans="1:9" x14ac:dyDescent="0.2">
      <c r="A20019" s="1" t="str">
        <f>"ZDHHC8"</f>
        <v>ZDHHC8</v>
      </c>
      <c r="B20019" t="s">
        <v>14</v>
      </c>
      <c r="C20019" t="s">
        <v>21</v>
      </c>
      <c r="D20019" t="s">
        <v>17</v>
      </c>
      <c r="E20019" t="s">
        <v>12</v>
      </c>
      <c r="F20019">
        <v>20119320</v>
      </c>
      <c r="G20019">
        <v>20119399</v>
      </c>
      <c r="H20019">
        <v>20119320</v>
      </c>
      <c r="I20019">
        <v>20119399</v>
      </c>
    </row>
    <row r="20020" spans="1:9" x14ac:dyDescent="0.2">
      <c r="A20020" s="1" t="str">
        <f>"ZDHHC9"</f>
        <v>ZDHHC9</v>
      </c>
      <c r="B20020" t="s">
        <v>14</v>
      </c>
      <c r="C20020" t="s">
        <v>37</v>
      </c>
      <c r="D20020" t="s">
        <v>11</v>
      </c>
      <c r="E20020" t="s">
        <v>12</v>
      </c>
      <c r="F20020">
        <v>128977781</v>
      </c>
      <c r="G20020">
        <v>128977869</v>
      </c>
      <c r="H20020">
        <v>128977875</v>
      </c>
      <c r="I20020">
        <v>128977898</v>
      </c>
    </row>
    <row r="20021" spans="1:9" x14ac:dyDescent="0.2">
      <c r="A20021" s="1" t="str">
        <f>"ZEB1"</f>
        <v>ZEB1</v>
      </c>
      <c r="B20021" t="s">
        <v>9</v>
      </c>
      <c r="C20021" t="s">
        <v>15</v>
      </c>
      <c r="D20021" t="s">
        <v>17</v>
      </c>
      <c r="E20021" t="s">
        <v>12</v>
      </c>
      <c r="F20021">
        <v>31608127</v>
      </c>
      <c r="G20021">
        <v>31608156</v>
      </c>
      <c r="H20021">
        <v>31608127</v>
      </c>
      <c r="I20021">
        <v>31608156</v>
      </c>
    </row>
    <row r="20022" spans="1:9" x14ac:dyDescent="0.2">
      <c r="A20022" s="1" t="str">
        <f>"ZEB1"</f>
        <v>ZEB1</v>
      </c>
      <c r="B20022" t="s">
        <v>13</v>
      </c>
      <c r="C20022" t="s">
        <v>15</v>
      </c>
      <c r="D20022" t="s">
        <v>17</v>
      </c>
      <c r="E20022" t="s">
        <v>12</v>
      </c>
      <c r="F20022">
        <v>31610110</v>
      </c>
      <c r="G20022">
        <v>31610159</v>
      </c>
      <c r="H20022">
        <v>31610110</v>
      </c>
      <c r="I20022">
        <v>31610159</v>
      </c>
    </row>
    <row r="20023" spans="1:9" x14ac:dyDescent="0.2">
      <c r="A20023" s="1" t="str">
        <f>"ZEB2"</f>
        <v>ZEB2</v>
      </c>
      <c r="B20023" t="s">
        <v>9</v>
      </c>
      <c r="C20023" t="s">
        <v>26</v>
      </c>
      <c r="D20023" t="s">
        <v>11</v>
      </c>
      <c r="E20023" t="s">
        <v>12</v>
      </c>
      <c r="F20023">
        <v>145277640</v>
      </c>
      <c r="G20023">
        <v>145277771</v>
      </c>
      <c r="H20023">
        <v>145277640</v>
      </c>
      <c r="I20023">
        <v>145277771</v>
      </c>
    </row>
    <row r="20024" spans="1:9" x14ac:dyDescent="0.2">
      <c r="A20024" s="1" t="str">
        <f>"ZEB2"</f>
        <v>ZEB2</v>
      </c>
      <c r="B20024" t="s">
        <v>13</v>
      </c>
      <c r="C20024" t="s">
        <v>26</v>
      </c>
      <c r="D20024" t="s">
        <v>11</v>
      </c>
      <c r="E20024" t="s">
        <v>12</v>
      </c>
      <c r="F20024">
        <v>145275162</v>
      </c>
      <c r="G20024">
        <v>145275202</v>
      </c>
      <c r="H20024">
        <v>145275162</v>
      </c>
      <c r="I20024">
        <v>145275202</v>
      </c>
    </row>
    <row r="20025" spans="1:9" x14ac:dyDescent="0.2">
      <c r="A20025" s="1" t="str">
        <f>"ZER1"</f>
        <v>ZER1</v>
      </c>
      <c r="B20025" t="s">
        <v>14</v>
      </c>
      <c r="C20025" t="s">
        <v>24</v>
      </c>
      <c r="D20025" t="s">
        <v>11</v>
      </c>
      <c r="E20025" t="s">
        <v>12</v>
      </c>
      <c r="F20025">
        <v>131534188</v>
      </c>
      <c r="G20025">
        <v>131534227</v>
      </c>
      <c r="H20025">
        <v>131534160</v>
      </c>
      <c r="I20025">
        <v>131534184</v>
      </c>
    </row>
    <row r="20026" spans="1:9" x14ac:dyDescent="0.2">
      <c r="A20026" s="1" t="str">
        <f>"ZFAND1"</f>
        <v>ZFAND1</v>
      </c>
      <c r="B20026" t="s">
        <v>9</v>
      </c>
      <c r="C20026" t="s">
        <v>30</v>
      </c>
      <c r="D20026" t="s">
        <v>11</v>
      </c>
      <c r="E20026" t="s">
        <v>12</v>
      </c>
      <c r="F20026">
        <v>82633516</v>
      </c>
      <c r="G20026">
        <v>82633551</v>
      </c>
      <c r="H20026">
        <v>82633516</v>
      </c>
      <c r="I20026">
        <v>82633551</v>
      </c>
    </row>
    <row r="20027" spans="1:9" x14ac:dyDescent="0.2">
      <c r="A20027" s="1" t="str">
        <f>"ZFAND1"</f>
        <v>ZFAND1</v>
      </c>
      <c r="B20027" t="s">
        <v>13</v>
      </c>
      <c r="C20027" t="s">
        <v>30</v>
      </c>
      <c r="D20027" t="s">
        <v>11</v>
      </c>
      <c r="E20027" t="s">
        <v>12</v>
      </c>
      <c r="F20027">
        <v>82644562</v>
      </c>
      <c r="G20027">
        <v>82644654</v>
      </c>
      <c r="H20027">
        <v>82644562</v>
      </c>
      <c r="I20027">
        <v>82644654</v>
      </c>
    </row>
    <row r="20028" spans="1:9" x14ac:dyDescent="0.2">
      <c r="A20028" s="1" t="str">
        <f>"ZFAND2A"</f>
        <v>ZFAND2A</v>
      </c>
      <c r="B20028" t="s">
        <v>14</v>
      </c>
      <c r="C20028" t="s">
        <v>33</v>
      </c>
      <c r="D20028" t="s">
        <v>11</v>
      </c>
      <c r="E20028" t="s">
        <v>12</v>
      </c>
      <c r="F20028">
        <v>1199781</v>
      </c>
      <c r="G20028">
        <v>1199839</v>
      </c>
      <c r="H20028">
        <v>1199845</v>
      </c>
      <c r="I20028">
        <v>1199865</v>
      </c>
    </row>
    <row r="20029" spans="1:9" x14ac:dyDescent="0.2">
      <c r="A20029" s="1" t="str">
        <f>"ZFAND2B"</f>
        <v>ZFAND2B</v>
      </c>
      <c r="B20029" t="s">
        <v>14</v>
      </c>
      <c r="C20029" t="s">
        <v>26</v>
      </c>
      <c r="D20029" t="s">
        <v>17</v>
      </c>
      <c r="E20029" t="s">
        <v>12</v>
      </c>
      <c r="F20029">
        <v>220071490</v>
      </c>
      <c r="G20029">
        <v>220071537</v>
      </c>
      <c r="H20029">
        <v>220071590</v>
      </c>
      <c r="I20029">
        <v>220071623</v>
      </c>
    </row>
    <row r="20030" spans="1:9" x14ac:dyDescent="0.2">
      <c r="A20030" s="1" t="str">
        <f>"ZFAND3"</f>
        <v>ZFAND3</v>
      </c>
      <c r="B20030" t="s">
        <v>14</v>
      </c>
      <c r="C20030" t="s">
        <v>32</v>
      </c>
      <c r="D20030" t="s">
        <v>17</v>
      </c>
      <c r="E20030" t="s">
        <v>12</v>
      </c>
      <c r="F20030">
        <v>37787458</v>
      </c>
      <c r="G20030">
        <v>37787587</v>
      </c>
      <c r="H20030">
        <v>37787627</v>
      </c>
      <c r="I20030">
        <v>37787666</v>
      </c>
    </row>
    <row r="20031" spans="1:9" x14ac:dyDescent="0.2">
      <c r="A20031" s="1" t="str">
        <f>"ZFAND4"</f>
        <v>ZFAND4</v>
      </c>
      <c r="B20031" t="s">
        <v>14</v>
      </c>
      <c r="C20031" t="s">
        <v>15</v>
      </c>
      <c r="D20031" t="s">
        <v>11</v>
      </c>
      <c r="E20031" t="s">
        <v>12</v>
      </c>
      <c r="F20031">
        <v>46168156</v>
      </c>
      <c r="G20031">
        <v>46168246</v>
      </c>
      <c r="H20031">
        <v>46168026</v>
      </c>
      <c r="I20031">
        <v>46168077</v>
      </c>
    </row>
    <row r="20032" spans="1:9" x14ac:dyDescent="0.2">
      <c r="A20032" s="1" t="str">
        <f>"ZFAND5"</f>
        <v>ZFAND5</v>
      </c>
      <c r="B20032" t="s">
        <v>14</v>
      </c>
      <c r="C20032" t="s">
        <v>24</v>
      </c>
      <c r="D20032" t="s">
        <v>11</v>
      </c>
      <c r="E20032" t="s">
        <v>12</v>
      </c>
      <c r="F20032">
        <v>74980114</v>
      </c>
      <c r="G20032">
        <v>74980138</v>
      </c>
      <c r="H20032">
        <v>74979420</v>
      </c>
      <c r="I20032">
        <v>74979479</v>
      </c>
    </row>
    <row r="20033" spans="1:9" x14ac:dyDescent="0.2">
      <c r="A20033" s="1" t="str">
        <f>"ZFAND6"</f>
        <v>ZFAND6</v>
      </c>
      <c r="B20033" t="s">
        <v>14</v>
      </c>
      <c r="C20033" t="s">
        <v>25</v>
      </c>
      <c r="D20033" t="s">
        <v>17</v>
      </c>
      <c r="E20033" t="s">
        <v>12</v>
      </c>
      <c r="F20033">
        <v>80351980</v>
      </c>
      <c r="G20033">
        <v>80352061</v>
      </c>
      <c r="H20033">
        <v>80352070</v>
      </c>
      <c r="I20033">
        <v>80352097</v>
      </c>
    </row>
    <row r="20034" spans="1:9" x14ac:dyDescent="0.2">
      <c r="A20034" s="1" t="str">
        <f>"ZFAT"</f>
        <v>ZFAT</v>
      </c>
      <c r="B20034" t="s">
        <v>9</v>
      </c>
      <c r="C20034" t="s">
        <v>30</v>
      </c>
      <c r="D20034" t="s">
        <v>11</v>
      </c>
      <c r="E20034" t="s">
        <v>12</v>
      </c>
      <c r="F20034">
        <v>135725249</v>
      </c>
      <c r="G20034">
        <v>135725292</v>
      </c>
      <c r="H20034">
        <v>135725249</v>
      </c>
      <c r="I20034">
        <v>135725292</v>
      </c>
    </row>
    <row r="20035" spans="1:9" x14ac:dyDescent="0.2">
      <c r="A20035" s="1" t="str">
        <f>"ZFAT"</f>
        <v>ZFAT</v>
      </c>
      <c r="B20035" t="s">
        <v>13</v>
      </c>
      <c r="C20035" t="s">
        <v>30</v>
      </c>
      <c r="D20035" t="s">
        <v>11</v>
      </c>
      <c r="E20035" t="s">
        <v>12</v>
      </c>
      <c r="F20035">
        <v>135708787</v>
      </c>
      <c r="G20035">
        <v>135708805</v>
      </c>
      <c r="H20035">
        <v>135708787</v>
      </c>
      <c r="I20035">
        <v>135708805</v>
      </c>
    </row>
    <row r="20036" spans="1:9" x14ac:dyDescent="0.2">
      <c r="A20036" s="1" t="str">
        <f>"ZFC3H1"</f>
        <v>ZFC3H1</v>
      </c>
      <c r="B20036" t="s">
        <v>14</v>
      </c>
      <c r="C20036" t="s">
        <v>16</v>
      </c>
      <c r="D20036" t="s">
        <v>11</v>
      </c>
      <c r="E20036" t="s">
        <v>12</v>
      </c>
      <c r="F20036">
        <v>72057607</v>
      </c>
      <c r="G20036">
        <v>72057636</v>
      </c>
      <c r="H20036">
        <v>72057639</v>
      </c>
      <c r="I20036">
        <v>72057678</v>
      </c>
    </row>
    <row r="20037" spans="1:9" x14ac:dyDescent="0.2">
      <c r="A20037" s="1" t="str">
        <f>"ZFHX2"</f>
        <v>ZFHX2</v>
      </c>
      <c r="B20037" t="s">
        <v>9</v>
      </c>
      <c r="C20037" t="s">
        <v>41</v>
      </c>
      <c r="D20037" t="s">
        <v>11</v>
      </c>
      <c r="E20037" t="s">
        <v>12</v>
      </c>
      <c r="F20037">
        <v>24020938</v>
      </c>
      <c r="G20037">
        <v>24020988</v>
      </c>
      <c r="H20037">
        <v>24020938</v>
      </c>
      <c r="I20037">
        <v>24020988</v>
      </c>
    </row>
    <row r="20038" spans="1:9" x14ac:dyDescent="0.2">
      <c r="A20038" s="1" t="str">
        <f>"ZFHX2"</f>
        <v>ZFHX2</v>
      </c>
      <c r="B20038" t="s">
        <v>13</v>
      </c>
      <c r="C20038" t="s">
        <v>41</v>
      </c>
      <c r="D20038" t="s">
        <v>11</v>
      </c>
      <c r="E20038" t="s">
        <v>12</v>
      </c>
      <c r="F20038">
        <v>24025106</v>
      </c>
      <c r="G20038">
        <v>24025172</v>
      </c>
      <c r="H20038">
        <v>24025106</v>
      </c>
      <c r="I20038">
        <v>24025172</v>
      </c>
    </row>
    <row r="20039" spans="1:9" x14ac:dyDescent="0.2">
      <c r="A20039" s="1" t="str">
        <f>"ZFHX3"</f>
        <v>ZFHX3</v>
      </c>
      <c r="B20039" t="s">
        <v>14</v>
      </c>
      <c r="C20039" t="s">
        <v>31</v>
      </c>
      <c r="D20039" t="s">
        <v>11</v>
      </c>
      <c r="E20039" t="s">
        <v>12</v>
      </c>
      <c r="F20039">
        <v>73092898</v>
      </c>
      <c r="G20039">
        <v>73092931</v>
      </c>
      <c r="H20039">
        <v>73092963</v>
      </c>
      <c r="I20039">
        <v>73093001</v>
      </c>
    </row>
    <row r="20040" spans="1:9" x14ac:dyDescent="0.2">
      <c r="A20040" s="1" t="str">
        <f>"ZFHX4"</f>
        <v>ZFHX4</v>
      </c>
      <c r="B20040" t="s">
        <v>14</v>
      </c>
      <c r="C20040" t="s">
        <v>30</v>
      </c>
      <c r="D20040" t="s">
        <v>17</v>
      </c>
      <c r="E20040" t="s">
        <v>12</v>
      </c>
      <c r="F20040">
        <v>77593474</v>
      </c>
      <c r="G20040">
        <v>77593612</v>
      </c>
      <c r="H20040">
        <v>77593448</v>
      </c>
      <c r="I20040">
        <v>77593471</v>
      </c>
    </row>
    <row r="20041" spans="1:9" x14ac:dyDescent="0.2">
      <c r="A20041" s="1" t="str">
        <f>"ZFP1"</f>
        <v>ZFP1</v>
      </c>
      <c r="B20041" t="s">
        <v>14</v>
      </c>
      <c r="C20041" t="s">
        <v>31</v>
      </c>
      <c r="D20041" t="s">
        <v>17</v>
      </c>
      <c r="E20041" t="s">
        <v>12</v>
      </c>
      <c r="F20041">
        <v>75182376</v>
      </c>
      <c r="G20041">
        <v>75182458</v>
      </c>
      <c r="H20041">
        <v>75182376</v>
      </c>
      <c r="I20041">
        <v>75182458</v>
      </c>
    </row>
    <row r="20042" spans="1:9" x14ac:dyDescent="0.2">
      <c r="A20042" s="1" t="str">
        <f>"ZFP14"</f>
        <v>ZFP14</v>
      </c>
      <c r="B20042" t="s">
        <v>14</v>
      </c>
      <c r="C20042" t="s">
        <v>10</v>
      </c>
      <c r="D20042" t="s">
        <v>11</v>
      </c>
      <c r="E20042" t="s">
        <v>12</v>
      </c>
      <c r="F20042">
        <v>36870087</v>
      </c>
      <c r="G20042">
        <v>36870110</v>
      </c>
      <c r="H20042">
        <v>36870114</v>
      </c>
      <c r="I20042">
        <v>36870119</v>
      </c>
    </row>
    <row r="20043" spans="1:9" x14ac:dyDescent="0.2">
      <c r="A20043" s="1" t="str">
        <f>"ZFP2"</f>
        <v>ZFP2</v>
      </c>
      <c r="B20043" t="s">
        <v>14</v>
      </c>
      <c r="C20043" t="s">
        <v>46</v>
      </c>
      <c r="D20043" t="s">
        <v>17</v>
      </c>
      <c r="E20043" t="s">
        <v>12</v>
      </c>
      <c r="F20043">
        <v>178322893</v>
      </c>
      <c r="G20043">
        <v>178322931</v>
      </c>
      <c r="H20043">
        <v>178322893</v>
      </c>
      <c r="I20043">
        <v>178322931</v>
      </c>
    </row>
    <row r="20044" spans="1:9" x14ac:dyDescent="0.2">
      <c r="A20044" s="1" t="str">
        <f>"ZFP28"</f>
        <v>ZFP28</v>
      </c>
      <c r="B20044" t="s">
        <v>14</v>
      </c>
      <c r="C20044" t="s">
        <v>10</v>
      </c>
      <c r="D20044" t="s">
        <v>17</v>
      </c>
      <c r="E20044" t="s">
        <v>12</v>
      </c>
      <c r="F20044">
        <v>57050286</v>
      </c>
      <c r="G20044">
        <v>57050393</v>
      </c>
      <c r="H20044">
        <v>57050241</v>
      </c>
      <c r="I20044">
        <v>57050273</v>
      </c>
    </row>
    <row r="20045" spans="1:9" x14ac:dyDescent="0.2">
      <c r="A20045" s="1" t="str">
        <f>"ZFP3"</f>
        <v>ZFP3</v>
      </c>
      <c r="B20045" t="s">
        <v>14</v>
      </c>
      <c r="C20045" t="s">
        <v>28</v>
      </c>
      <c r="D20045" t="s">
        <v>17</v>
      </c>
      <c r="E20045" t="s">
        <v>12</v>
      </c>
      <c r="F20045">
        <v>4981745</v>
      </c>
      <c r="G20045">
        <v>4981810</v>
      </c>
      <c r="H20045">
        <v>4981745</v>
      </c>
      <c r="I20045">
        <v>4981810</v>
      </c>
    </row>
    <row r="20046" spans="1:9" x14ac:dyDescent="0.2">
      <c r="A20046" s="1" t="str">
        <f>"ZFP30"</f>
        <v>ZFP30</v>
      </c>
      <c r="B20046" t="s">
        <v>14</v>
      </c>
      <c r="C20046" t="s">
        <v>10</v>
      </c>
      <c r="D20046" t="s">
        <v>11</v>
      </c>
      <c r="E20046" t="s">
        <v>12</v>
      </c>
      <c r="F20046">
        <v>38146320</v>
      </c>
      <c r="G20046">
        <v>38146401</v>
      </c>
      <c r="H20046">
        <v>38146320</v>
      </c>
      <c r="I20046">
        <v>38146401</v>
      </c>
    </row>
    <row r="20047" spans="1:9" x14ac:dyDescent="0.2">
      <c r="A20047" s="1" t="str">
        <f>"ZFP36"</f>
        <v>ZFP36</v>
      </c>
      <c r="B20047" t="s">
        <v>14</v>
      </c>
      <c r="C20047" t="s">
        <v>10</v>
      </c>
      <c r="D20047" t="s">
        <v>17</v>
      </c>
      <c r="E20047" t="s">
        <v>12</v>
      </c>
      <c r="F20047">
        <v>39897478</v>
      </c>
      <c r="G20047">
        <v>39897493</v>
      </c>
      <c r="H20047">
        <v>39897478</v>
      </c>
      <c r="I20047">
        <v>39897493</v>
      </c>
    </row>
    <row r="20048" spans="1:9" x14ac:dyDescent="0.2">
      <c r="A20048" s="1" t="str">
        <f>"ZFP36L1"</f>
        <v>ZFP36L1</v>
      </c>
      <c r="B20048" t="s">
        <v>9</v>
      </c>
      <c r="C20048" t="s">
        <v>41</v>
      </c>
      <c r="D20048" t="s">
        <v>11</v>
      </c>
      <c r="E20048" t="s">
        <v>12</v>
      </c>
      <c r="F20048">
        <v>69259772</v>
      </c>
      <c r="G20048">
        <v>69259790</v>
      </c>
      <c r="H20048">
        <v>69259772</v>
      </c>
      <c r="I20048">
        <v>69259790</v>
      </c>
    </row>
    <row r="20049" spans="1:9" x14ac:dyDescent="0.2">
      <c r="A20049" s="1" t="str">
        <f>"ZFP36L1"</f>
        <v>ZFP36L1</v>
      </c>
      <c r="B20049" t="s">
        <v>13</v>
      </c>
      <c r="C20049" t="s">
        <v>41</v>
      </c>
      <c r="D20049" t="s">
        <v>11</v>
      </c>
      <c r="E20049" t="s">
        <v>12</v>
      </c>
      <c r="F20049">
        <v>69262789</v>
      </c>
      <c r="G20049">
        <v>69262822</v>
      </c>
      <c r="H20049">
        <v>69262789</v>
      </c>
      <c r="I20049">
        <v>69262822</v>
      </c>
    </row>
    <row r="20050" spans="1:9" x14ac:dyDescent="0.2">
      <c r="A20050" s="1" t="str">
        <f>"ZFP36L2"</f>
        <v>ZFP36L2</v>
      </c>
      <c r="B20050" t="s">
        <v>14</v>
      </c>
      <c r="C20050" t="s">
        <v>26</v>
      </c>
      <c r="D20050" t="s">
        <v>11</v>
      </c>
      <c r="E20050" t="s">
        <v>12</v>
      </c>
      <c r="F20050">
        <v>43453734</v>
      </c>
      <c r="G20050">
        <v>43453751</v>
      </c>
      <c r="H20050">
        <v>43454125</v>
      </c>
      <c r="I20050">
        <v>43454146</v>
      </c>
    </row>
    <row r="20051" spans="1:9" x14ac:dyDescent="0.2">
      <c r="A20051" s="1" t="str">
        <f>"ZFP37"</f>
        <v>ZFP37</v>
      </c>
      <c r="B20051" t="s">
        <v>14</v>
      </c>
      <c r="C20051" t="s">
        <v>24</v>
      </c>
      <c r="D20051" t="s">
        <v>11</v>
      </c>
      <c r="E20051" t="s">
        <v>12</v>
      </c>
      <c r="F20051">
        <v>115818951</v>
      </c>
      <c r="G20051">
        <v>115819011</v>
      </c>
      <c r="H20051">
        <v>115819058</v>
      </c>
      <c r="I20051">
        <v>115819082</v>
      </c>
    </row>
    <row r="20052" spans="1:9" x14ac:dyDescent="0.2">
      <c r="A20052" s="1" t="str">
        <f>"ZFP41"</f>
        <v>ZFP41</v>
      </c>
      <c r="B20052" t="s">
        <v>14</v>
      </c>
      <c r="C20052" t="s">
        <v>30</v>
      </c>
      <c r="D20052" t="s">
        <v>17</v>
      </c>
      <c r="E20052" t="s">
        <v>12</v>
      </c>
      <c r="F20052">
        <v>144329092</v>
      </c>
      <c r="G20052">
        <v>144329140</v>
      </c>
      <c r="H20052">
        <v>144329092</v>
      </c>
      <c r="I20052">
        <v>144329140</v>
      </c>
    </row>
    <row r="20053" spans="1:9" x14ac:dyDescent="0.2">
      <c r="A20053" s="1" t="str">
        <f>"ZFP42"</f>
        <v>ZFP42</v>
      </c>
      <c r="B20053" t="s">
        <v>9</v>
      </c>
      <c r="C20053" t="s">
        <v>23</v>
      </c>
      <c r="D20053" t="s">
        <v>17</v>
      </c>
      <c r="E20053" t="s">
        <v>12</v>
      </c>
      <c r="F20053">
        <v>188916918</v>
      </c>
      <c r="G20053">
        <v>188916942</v>
      </c>
      <c r="H20053">
        <v>188916918</v>
      </c>
      <c r="I20053">
        <v>188916942</v>
      </c>
    </row>
    <row r="20054" spans="1:9" x14ac:dyDescent="0.2">
      <c r="A20054" s="1" t="str">
        <f>"ZFP42"</f>
        <v>ZFP42</v>
      </c>
      <c r="B20054" t="s">
        <v>13</v>
      </c>
      <c r="C20054" t="s">
        <v>23</v>
      </c>
      <c r="D20054" t="s">
        <v>17</v>
      </c>
      <c r="E20054" t="s">
        <v>12</v>
      </c>
      <c r="F20054">
        <v>188923909</v>
      </c>
      <c r="G20054">
        <v>188923932</v>
      </c>
      <c r="H20054">
        <v>188923909</v>
      </c>
      <c r="I20054">
        <v>188923932</v>
      </c>
    </row>
    <row r="20055" spans="1:9" x14ac:dyDescent="0.2">
      <c r="A20055" s="1" t="str">
        <f>"ZFP57"</f>
        <v>ZFP57</v>
      </c>
      <c r="B20055" t="s">
        <v>14</v>
      </c>
      <c r="C20055" t="s">
        <v>32</v>
      </c>
      <c r="D20055" t="s">
        <v>11</v>
      </c>
      <c r="E20055" t="s">
        <v>12</v>
      </c>
      <c r="F20055">
        <v>29648890</v>
      </c>
      <c r="G20055">
        <v>29648944</v>
      </c>
      <c r="H20055">
        <v>29648890</v>
      </c>
      <c r="I20055">
        <v>29648944</v>
      </c>
    </row>
    <row r="20056" spans="1:9" x14ac:dyDescent="0.2">
      <c r="A20056" s="1" t="str">
        <f>"ZFP62"</f>
        <v>ZFP62</v>
      </c>
      <c r="B20056" t="s">
        <v>14</v>
      </c>
      <c r="C20056" t="s">
        <v>46</v>
      </c>
      <c r="D20056" t="s">
        <v>11</v>
      </c>
      <c r="E20056" t="s">
        <v>12</v>
      </c>
      <c r="F20056">
        <v>180288248</v>
      </c>
      <c r="G20056">
        <v>180288291</v>
      </c>
      <c r="H20056">
        <v>180287681</v>
      </c>
      <c r="I20056">
        <v>180287694</v>
      </c>
    </row>
    <row r="20057" spans="1:9" x14ac:dyDescent="0.2">
      <c r="A20057" s="1" t="str">
        <f>"ZFP64"</f>
        <v>ZFP64</v>
      </c>
      <c r="B20057" t="s">
        <v>14</v>
      </c>
      <c r="C20057" t="s">
        <v>29</v>
      </c>
      <c r="D20057" t="s">
        <v>11</v>
      </c>
      <c r="E20057" t="s">
        <v>12</v>
      </c>
      <c r="F20057">
        <v>50808290</v>
      </c>
      <c r="G20057">
        <v>50808328</v>
      </c>
      <c r="H20057">
        <v>50808290</v>
      </c>
      <c r="I20057">
        <v>50808328</v>
      </c>
    </row>
    <row r="20058" spans="1:9" x14ac:dyDescent="0.2">
      <c r="A20058" s="1" t="str">
        <f>"ZFP69"</f>
        <v>ZFP69</v>
      </c>
      <c r="B20058" t="s">
        <v>14</v>
      </c>
      <c r="C20058" t="s">
        <v>19</v>
      </c>
      <c r="D20058" t="s">
        <v>17</v>
      </c>
      <c r="E20058" t="s">
        <v>12</v>
      </c>
      <c r="F20058">
        <v>40942922</v>
      </c>
      <c r="G20058">
        <v>40942997</v>
      </c>
      <c r="H20058">
        <v>40943020</v>
      </c>
      <c r="I20058">
        <v>40943025</v>
      </c>
    </row>
    <row r="20059" spans="1:9" x14ac:dyDescent="0.2">
      <c r="A20059" s="1" t="str">
        <f>"ZFP69B"</f>
        <v>ZFP69B</v>
      </c>
      <c r="B20059" t="s">
        <v>14</v>
      </c>
      <c r="C20059" t="s">
        <v>19</v>
      </c>
      <c r="D20059" t="s">
        <v>17</v>
      </c>
      <c r="E20059" t="s">
        <v>12</v>
      </c>
      <c r="F20059">
        <v>40915725</v>
      </c>
      <c r="G20059">
        <v>40915808</v>
      </c>
      <c r="H20059">
        <v>40915810</v>
      </c>
      <c r="I20059">
        <v>40915822</v>
      </c>
    </row>
    <row r="20060" spans="1:9" x14ac:dyDescent="0.2">
      <c r="A20060" s="1" t="str">
        <f>"ZFP82"</f>
        <v>ZFP82</v>
      </c>
      <c r="B20060" t="s">
        <v>14</v>
      </c>
      <c r="C20060" t="s">
        <v>10</v>
      </c>
      <c r="D20060" t="s">
        <v>11</v>
      </c>
      <c r="E20060" t="s">
        <v>12</v>
      </c>
      <c r="F20060">
        <v>36909528</v>
      </c>
      <c r="G20060">
        <v>36909581</v>
      </c>
      <c r="H20060">
        <v>36909484</v>
      </c>
      <c r="I20060">
        <v>36909525</v>
      </c>
    </row>
    <row r="20061" spans="1:9" x14ac:dyDescent="0.2">
      <c r="A20061" s="1" t="str">
        <f>"ZFP90"</f>
        <v>ZFP90</v>
      </c>
      <c r="B20061" t="s">
        <v>9</v>
      </c>
      <c r="C20061" t="s">
        <v>31</v>
      </c>
      <c r="D20061" t="s">
        <v>17</v>
      </c>
      <c r="E20061" t="s">
        <v>12</v>
      </c>
      <c r="F20061">
        <v>68573182</v>
      </c>
      <c r="G20061">
        <v>68573228</v>
      </c>
      <c r="H20061">
        <v>68573182</v>
      </c>
      <c r="I20061">
        <v>68573228</v>
      </c>
    </row>
    <row r="20062" spans="1:9" x14ac:dyDescent="0.2">
      <c r="A20062" s="1" t="str">
        <f>"ZFP90"</f>
        <v>ZFP90</v>
      </c>
      <c r="B20062" t="s">
        <v>13</v>
      </c>
      <c r="C20062" t="s">
        <v>31</v>
      </c>
      <c r="D20062" t="s">
        <v>17</v>
      </c>
      <c r="E20062" t="s">
        <v>12</v>
      </c>
      <c r="F20062">
        <v>68564003</v>
      </c>
      <c r="G20062">
        <v>68564050</v>
      </c>
      <c r="H20062">
        <v>68564003</v>
      </c>
      <c r="I20062">
        <v>68564050</v>
      </c>
    </row>
    <row r="20063" spans="1:9" x14ac:dyDescent="0.2">
      <c r="A20063" s="1" t="str">
        <f>"ZFP91"</f>
        <v>ZFP91</v>
      </c>
      <c r="B20063" t="s">
        <v>14</v>
      </c>
      <c r="C20063" t="s">
        <v>27</v>
      </c>
      <c r="D20063" t="s">
        <v>17</v>
      </c>
      <c r="E20063" t="s">
        <v>12</v>
      </c>
      <c r="F20063">
        <v>58346525</v>
      </c>
      <c r="G20063">
        <v>58346570</v>
      </c>
      <c r="H20063">
        <v>58346585</v>
      </c>
      <c r="I20063">
        <v>58346607</v>
      </c>
    </row>
    <row r="20064" spans="1:9" x14ac:dyDescent="0.2">
      <c r="A20064" s="1" t="str">
        <f>"ZFP92"</f>
        <v>ZFP92</v>
      </c>
      <c r="B20064" t="s">
        <v>1842</v>
      </c>
      <c r="C20064" t="s">
        <v>37</v>
      </c>
      <c r="D20064" t="s">
        <v>17</v>
      </c>
      <c r="E20064" t="s">
        <v>20</v>
      </c>
      <c r="F20064">
        <v>152683779</v>
      </c>
      <c r="G20064">
        <v>152683779</v>
      </c>
      <c r="H20064">
        <v>152683779</v>
      </c>
      <c r="I20064">
        <v>152683779</v>
      </c>
    </row>
    <row r="20065" spans="1:9" x14ac:dyDescent="0.2">
      <c r="A20065" s="1" t="str">
        <f>"ZFPL1"</f>
        <v>ZFPL1</v>
      </c>
      <c r="B20065" t="s">
        <v>14</v>
      </c>
      <c r="C20065" t="s">
        <v>27</v>
      </c>
      <c r="D20065" t="s">
        <v>17</v>
      </c>
      <c r="E20065" t="s">
        <v>12</v>
      </c>
      <c r="F20065">
        <v>64851666</v>
      </c>
      <c r="G20065">
        <v>64851728</v>
      </c>
      <c r="H20065">
        <v>64851729</v>
      </c>
      <c r="I20065">
        <v>64851746</v>
      </c>
    </row>
    <row r="20066" spans="1:9" x14ac:dyDescent="0.2">
      <c r="A20066" s="1" t="str">
        <f>"ZFPM1"</f>
        <v>ZFPM1</v>
      </c>
      <c r="B20066" t="s">
        <v>14</v>
      </c>
      <c r="C20066" t="s">
        <v>31</v>
      </c>
      <c r="D20066" t="s">
        <v>17</v>
      </c>
      <c r="E20066" t="s">
        <v>12</v>
      </c>
      <c r="F20066">
        <v>88519669</v>
      </c>
      <c r="G20066">
        <v>88519726</v>
      </c>
      <c r="H20066">
        <v>88519743</v>
      </c>
      <c r="I20066">
        <v>88519754</v>
      </c>
    </row>
    <row r="20067" spans="1:9" x14ac:dyDescent="0.2">
      <c r="A20067" s="1" t="str">
        <f>"ZFPM2"</f>
        <v>ZFPM2</v>
      </c>
      <c r="B20067" t="s">
        <v>14</v>
      </c>
      <c r="C20067" t="s">
        <v>30</v>
      </c>
      <c r="D20067" t="s">
        <v>17</v>
      </c>
      <c r="E20067" t="s">
        <v>12</v>
      </c>
      <c r="F20067">
        <v>106330656</v>
      </c>
      <c r="G20067">
        <v>106330684</v>
      </c>
      <c r="H20067">
        <v>106330696</v>
      </c>
      <c r="I20067">
        <v>106330719</v>
      </c>
    </row>
    <row r="20068" spans="1:9" x14ac:dyDescent="0.2">
      <c r="A20068" s="1" t="str">
        <f>"ZFR"</f>
        <v>ZFR</v>
      </c>
      <c r="B20068" t="s">
        <v>14</v>
      </c>
      <c r="C20068" t="s">
        <v>46</v>
      </c>
      <c r="D20068" t="s">
        <v>11</v>
      </c>
      <c r="E20068" t="s">
        <v>12</v>
      </c>
      <c r="F20068">
        <v>32444769</v>
      </c>
      <c r="G20068">
        <v>32444826</v>
      </c>
      <c r="H20068">
        <v>32444828</v>
      </c>
      <c r="I20068">
        <v>32444872</v>
      </c>
    </row>
    <row r="20069" spans="1:9" x14ac:dyDescent="0.2">
      <c r="A20069" s="1" t="str">
        <f>"ZFR2"</f>
        <v>ZFR2</v>
      </c>
      <c r="B20069" t="s">
        <v>14</v>
      </c>
      <c r="C20069" t="s">
        <v>10</v>
      </c>
      <c r="D20069" t="s">
        <v>11</v>
      </c>
      <c r="E20069" t="s">
        <v>12</v>
      </c>
      <c r="F20069">
        <v>3869012</v>
      </c>
      <c r="G20069">
        <v>3869041</v>
      </c>
      <c r="H20069">
        <v>3869050</v>
      </c>
      <c r="I20069">
        <v>3869055</v>
      </c>
    </row>
    <row r="20070" spans="1:9" x14ac:dyDescent="0.2">
      <c r="A20070" s="1" t="str">
        <f>"ZFX"</f>
        <v>ZFX</v>
      </c>
      <c r="B20070" t="s">
        <v>14</v>
      </c>
      <c r="C20070" t="s">
        <v>37</v>
      </c>
      <c r="D20070" t="s">
        <v>17</v>
      </c>
      <c r="E20070" t="s">
        <v>12</v>
      </c>
      <c r="F20070">
        <v>24167828</v>
      </c>
      <c r="G20070">
        <v>24167890</v>
      </c>
      <c r="H20070">
        <v>24167548</v>
      </c>
      <c r="I20070">
        <v>24167617</v>
      </c>
    </row>
    <row r="20071" spans="1:9" x14ac:dyDescent="0.2">
      <c r="A20071" s="1" t="str">
        <f>"ZFY"</f>
        <v>ZFY</v>
      </c>
      <c r="B20071" t="s">
        <v>14</v>
      </c>
      <c r="C20071" t="s">
        <v>63</v>
      </c>
      <c r="D20071" t="s">
        <v>17</v>
      </c>
      <c r="E20071" t="s">
        <v>12</v>
      </c>
      <c r="F20071">
        <v>2803415</v>
      </c>
      <c r="G20071">
        <v>2803468</v>
      </c>
      <c r="H20071">
        <v>2803198</v>
      </c>
      <c r="I20071">
        <v>2803253</v>
      </c>
    </row>
    <row r="20072" spans="1:9" x14ac:dyDescent="0.2">
      <c r="A20072" s="1" t="str">
        <f>"ZFYVE1"</f>
        <v>ZFYVE1</v>
      </c>
      <c r="B20072" t="s">
        <v>14</v>
      </c>
      <c r="C20072" t="s">
        <v>41</v>
      </c>
      <c r="D20072" t="s">
        <v>11</v>
      </c>
      <c r="E20072" t="s">
        <v>12</v>
      </c>
      <c r="F20072">
        <v>73493784</v>
      </c>
      <c r="G20072">
        <v>73493822</v>
      </c>
      <c r="H20072">
        <v>73493825</v>
      </c>
      <c r="I20072">
        <v>73493878</v>
      </c>
    </row>
    <row r="20073" spans="1:9" x14ac:dyDescent="0.2">
      <c r="A20073" s="1" t="str">
        <f>"ZFYVE16"</f>
        <v>ZFYVE16</v>
      </c>
      <c r="B20073" t="s">
        <v>14</v>
      </c>
      <c r="C20073" t="s">
        <v>46</v>
      </c>
      <c r="D20073" t="s">
        <v>17</v>
      </c>
      <c r="E20073" t="s">
        <v>12</v>
      </c>
      <c r="F20073">
        <v>79703862</v>
      </c>
      <c r="G20073">
        <v>79703897</v>
      </c>
      <c r="H20073">
        <v>79703899</v>
      </c>
      <c r="I20073">
        <v>79703921</v>
      </c>
    </row>
    <row r="20074" spans="1:9" x14ac:dyDescent="0.2">
      <c r="A20074" s="1" t="str">
        <f>"ZFYVE19"</f>
        <v>ZFYVE19</v>
      </c>
      <c r="B20074" t="s">
        <v>14</v>
      </c>
      <c r="C20074" t="s">
        <v>25</v>
      </c>
      <c r="D20074" t="s">
        <v>17</v>
      </c>
      <c r="E20074" t="s">
        <v>12</v>
      </c>
      <c r="F20074">
        <v>41099254</v>
      </c>
      <c r="G20074">
        <v>41099303</v>
      </c>
      <c r="H20074">
        <v>41099809</v>
      </c>
      <c r="I20074">
        <v>41099897</v>
      </c>
    </row>
    <row r="20075" spans="1:9" x14ac:dyDescent="0.2">
      <c r="A20075" s="1" t="str">
        <f>"ZFYVE20"</f>
        <v>ZFYVE20</v>
      </c>
      <c r="B20075" t="s">
        <v>14</v>
      </c>
      <c r="C20075" t="s">
        <v>22</v>
      </c>
      <c r="D20075" t="s">
        <v>11</v>
      </c>
      <c r="E20075" t="s">
        <v>12</v>
      </c>
      <c r="F20075">
        <v>15140629</v>
      </c>
      <c r="G20075">
        <v>15140669</v>
      </c>
      <c r="H20075">
        <v>15140629</v>
      </c>
      <c r="I20075">
        <v>15140669</v>
      </c>
    </row>
    <row r="20076" spans="1:9" x14ac:dyDescent="0.2">
      <c r="A20076" s="1" t="str">
        <f>"ZFYVE21"</f>
        <v>ZFYVE21</v>
      </c>
      <c r="B20076" t="s">
        <v>14</v>
      </c>
      <c r="C20076" t="s">
        <v>41</v>
      </c>
      <c r="D20076" t="s">
        <v>17</v>
      </c>
      <c r="E20076" t="s">
        <v>12</v>
      </c>
      <c r="F20076">
        <v>104182105</v>
      </c>
      <c r="G20076">
        <v>104182184</v>
      </c>
      <c r="H20076">
        <v>104182061</v>
      </c>
      <c r="I20076">
        <v>104182072</v>
      </c>
    </row>
    <row r="20077" spans="1:9" x14ac:dyDescent="0.2">
      <c r="A20077" s="1" t="str">
        <f>"ZFYVE26"</f>
        <v>ZFYVE26</v>
      </c>
      <c r="B20077" t="s">
        <v>14</v>
      </c>
      <c r="C20077" t="s">
        <v>41</v>
      </c>
      <c r="D20077" t="s">
        <v>11</v>
      </c>
      <c r="E20077" t="s">
        <v>12</v>
      </c>
      <c r="F20077">
        <v>68283291</v>
      </c>
      <c r="G20077">
        <v>68283323</v>
      </c>
      <c r="H20077">
        <v>68283291</v>
      </c>
      <c r="I20077">
        <v>68283323</v>
      </c>
    </row>
    <row r="20078" spans="1:9" x14ac:dyDescent="0.2">
      <c r="A20078" s="1" t="str">
        <f>"ZFYVE27"</f>
        <v>ZFYVE27</v>
      </c>
      <c r="B20078" t="s">
        <v>14</v>
      </c>
      <c r="C20078" t="s">
        <v>15</v>
      </c>
      <c r="D20078" t="s">
        <v>17</v>
      </c>
      <c r="E20078" t="s">
        <v>12</v>
      </c>
      <c r="F20078">
        <v>99496872</v>
      </c>
      <c r="G20078">
        <v>99496954</v>
      </c>
      <c r="H20078">
        <v>99496957</v>
      </c>
      <c r="I20078">
        <v>99496971</v>
      </c>
    </row>
    <row r="20079" spans="1:9" x14ac:dyDescent="0.2">
      <c r="A20079" s="1" t="str">
        <f>"ZFYVE28"</f>
        <v>ZFYVE28</v>
      </c>
      <c r="B20079" t="s">
        <v>14</v>
      </c>
      <c r="C20079" t="s">
        <v>23</v>
      </c>
      <c r="D20079" t="s">
        <v>11</v>
      </c>
      <c r="E20079" t="s">
        <v>12</v>
      </c>
      <c r="F20079">
        <v>2420357</v>
      </c>
      <c r="G20079">
        <v>2420413</v>
      </c>
      <c r="H20079">
        <v>2420335</v>
      </c>
      <c r="I20079">
        <v>2420354</v>
      </c>
    </row>
    <row r="20080" spans="1:9" x14ac:dyDescent="0.2">
      <c r="A20080" s="1" t="str">
        <f>"ZFYVE9"</f>
        <v>ZFYVE9</v>
      </c>
      <c r="B20080" t="s">
        <v>14</v>
      </c>
      <c r="C20080" t="s">
        <v>19</v>
      </c>
      <c r="D20080" t="s">
        <v>17</v>
      </c>
      <c r="E20080" t="s">
        <v>12</v>
      </c>
      <c r="F20080">
        <v>52607718</v>
      </c>
      <c r="G20080">
        <v>52607828</v>
      </c>
      <c r="H20080">
        <v>52607569</v>
      </c>
      <c r="I20080">
        <v>52607590</v>
      </c>
    </row>
    <row r="20081" spans="1:9" x14ac:dyDescent="0.2">
      <c r="A20081" s="1" t="str">
        <f>"ZG16"</f>
        <v>ZG16</v>
      </c>
      <c r="B20081" t="s">
        <v>14</v>
      </c>
      <c r="C20081" t="s">
        <v>31</v>
      </c>
      <c r="D20081" t="s">
        <v>17</v>
      </c>
      <c r="E20081" t="s">
        <v>12</v>
      </c>
      <c r="F20081">
        <v>29789573</v>
      </c>
      <c r="G20081">
        <v>29789606</v>
      </c>
      <c r="H20081">
        <v>29789573</v>
      </c>
      <c r="I20081">
        <v>29789606</v>
      </c>
    </row>
    <row r="20082" spans="1:9" x14ac:dyDescent="0.2">
      <c r="A20082" s="1" t="str">
        <f>"ZG16B"</f>
        <v>ZG16B</v>
      </c>
      <c r="B20082" t="s">
        <v>14</v>
      </c>
      <c r="C20082" t="s">
        <v>31</v>
      </c>
      <c r="D20082" t="s">
        <v>17</v>
      </c>
      <c r="E20082" t="s">
        <v>12</v>
      </c>
      <c r="F20082">
        <v>2880296</v>
      </c>
      <c r="G20082">
        <v>2880310</v>
      </c>
      <c r="H20082">
        <v>2880157</v>
      </c>
      <c r="I20082">
        <v>2880210</v>
      </c>
    </row>
    <row r="20083" spans="1:9" x14ac:dyDescent="0.2">
      <c r="A20083" s="1" t="str">
        <f>"ZGLP1"</f>
        <v>ZGLP1</v>
      </c>
      <c r="B20083" t="s">
        <v>14</v>
      </c>
      <c r="C20083" t="s">
        <v>10</v>
      </c>
      <c r="D20083" t="s">
        <v>11</v>
      </c>
      <c r="E20083" t="s">
        <v>12</v>
      </c>
      <c r="F20083">
        <v>10416315</v>
      </c>
      <c r="G20083">
        <v>10416333</v>
      </c>
      <c r="H20083">
        <v>10416336</v>
      </c>
      <c r="I20083">
        <v>10416353</v>
      </c>
    </row>
    <row r="20084" spans="1:9" x14ac:dyDescent="0.2">
      <c r="A20084" s="1" t="str">
        <f>"ZGPAT"</f>
        <v>ZGPAT</v>
      </c>
      <c r="B20084" t="s">
        <v>14</v>
      </c>
      <c r="C20084" t="s">
        <v>29</v>
      </c>
      <c r="D20084" t="s">
        <v>17</v>
      </c>
      <c r="E20084" t="s">
        <v>12</v>
      </c>
      <c r="F20084">
        <v>62339381</v>
      </c>
      <c r="G20084">
        <v>62339428</v>
      </c>
      <c r="H20084">
        <v>62338749</v>
      </c>
      <c r="I20084">
        <v>62338787</v>
      </c>
    </row>
    <row r="20085" spans="1:9" x14ac:dyDescent="0.2">
      <c r="A20085" s="1" t="str">
        <f>"ZHX1"</f>
        <v>ZHX1</v>
      </c>
      <c r="B20085" t="s">
        <v>14</v>
      </c>
      <c r="C20085" t="s">
        <v>30</v>
      </c>
      <c r="D20085" t="s">
        <v>11</v>
      </c>
      <c r="E20085" t="s">
        <v>12</v>
      </c>
      <c r="F20085">
        <v>124286495</v>
      </c>
      <c r="G20085">
        <v>124286548</v>
      </c>
      <c r="H20085">
        <v>124286775</v>
      </c>
      <c r="I20085">
        <v>124286860</v>
      </c>
    </row>
    <row r="20086" spans="1:9" x14ac:dyDescent="0.2">
      <c r="A20086" s="1" t="str">
        <f>"ZHX2"</f>
        <v>ZHX2</v>
      </c>
      <c r="B20086" t="s">
        <v>14</v>
      </c>
      <c r="C20086" t="s">
        <v>30</v>
      </c>
      <c r="D20086" t="s">
        <v>17</v>
      </c>
      <c r="E20086" t="s">
        <v>12</v>
      </c>
      <c r="F20086">
        <v>123793988</v>
      </c>
      <c r="G20086">
        <v>123794016</v>
      </c>
      <c r="H20086">
        <v>123793860</v>
      </c>
      <c r="I20086">
        <v>123793921</v>
      </c>
    </row>
    <row r="20087" spans="1:9" x14ac:dyDescent="0.2">
      <c r="A20087" s="1" t="str">
        <f>"ZHX3"</f>
        <v>ZHX3</v>
      </c>
      <c r="B20087" t="s">
        <v>14</v>
      </c>
      <c r="C20087" t="s">
        <v>29</v>
      </c>
      <c r="D20087" t="s">
        <v>11</v>
      </c>
      <c r="E20087" t="s">
        <v>12</v>
      </c>
      <c r="F20087">
        <v>39946279</v>
      </c>
      <c r="G20087">
        <v>39946356</v>
      </c>
      <c r="H20087">
        <v>39946361</v>
      </c>
      <c r="I20087">
        <v>39946379</v>
      </c>
    </row>
    <row r="20088" spans="1:9" x14ac:dyDescent="0.2">
      <c r="A20088" s="1" t="str">
        <f>"ZIC1"</f>
        <v>ZIC1</v>
      </c>
      <c r="B20088" t="s">
        <v>14</v>
      </c>
      <c r="C20088" t="s">
        <v>22</v>
      </c>
      <c r="D20088" t="s">
        <v>17</v>
      </c>
      <c r="E20088" t="s">
        <v>12</v>
      </c>
      <c r="F20088">
        <v>147127142</v>
      </c>
      <c r="G20088">
        <v>147127168</v>
      </c>
      <c r="H20088">
        <v>147127177</v>
      </c>
      <c r="I20088">
        <v>147127194</v>
      </c>
    </row>
    <row r="20089" spans="1:9" x14ac:dyDescent="0.2">
      <c r="A20089" s="1" t="str">
        <f>"ZIC2"</f>
        <v>ZIC2</v>
      </c>
      <c r="B20089" t="s">
        <v>14</v>
      </c>
      <c r="C20089" t="s">
        <v>39</v>
      </c>
      <c r="D20089" t="s">
        <v>17</v>
      </c>
      <c r="E20089" t="s">
        <v>12</v>
      </c>
      <c r="F20089">
        <v>100634031</v>
      </c>
      <c r="G20089">
        <v>100634045</v>
      </c>
      <c r="H20089">
        <v>100634004</v>
      </c>
      <c r="I20089">
        <v>100634025</v>
      </c>
    </row>
    <row r="20090" spans="1:9" x14ac:dyDescent="0.2">
      <c r="A20090" s="1" t="str">
        <f>"ZIC3"</f>
        <v>ZIC3</v>
      </c>
      <c r="B20090" t="s">
        <v>14</v>
      </c>
      <c r="C20090" t="s">
        <v>37</v>
      </c>
      <c r="D20090" t="s">
        <v>17</v>
      </c>
      <c r="E20090" t="s">
        <v>12</v>
      </c>
      <c r="F20090">
        <v>136648279</v>
      </c>
      <c r="G20090">
        <v>136648295</v>
      </c>
      <c r="H20090">
        <v>136648643</v>
      </c>
      <c r="I20090">
        <v>136648711</v>
      </c>
    </row>
    <row r="20091" spans="1:9" x14ac:dyDescent="0.2">
      <c r="A20091" s="1" t="str">
        <f>"ZIC4"</f>
        <v>ZIC4</v>
      </c>
      <c r="B20091" t="s">
        <v>9</v>
      </c>
      <c r="C20091" t="s">
        <v>22</v>
      </c>
      <c r="D20091" t="s">
        <v>11</v>
      </c>
      <c r="E20091" t="s">
        <v>12</v>
      </c>
      <c r="F20091">
        <v>147110055</v>
      </c>
      <c r="G20091">
        <v>147110129</v>
      </c>
      <c r="H20091">
        <v>147110055</v>
      </c>
      <c r="I20091">
        <v>147110129</v>
      </c>
    </row>
    <row r="20092" spans="1:9" x14ac:dyDescent="0.2">
      <c r="A20092" s="1" t="str">
        <f>"ZIC4"</f>
        <v>ZIC4</v>
      </c>
      <c r="B20092" t="s">
        <v>13</v>
      </c>
      <c r="C20092" t="s">
        <v>22</v>
      </c>
      <c r="D20092" t="s">
        <v>11</v>
      </c>
      <c r="E20092" t="s">
        <v>12</v>
      </c>
      <c r="F20092">
        <v>147124307</v>
      </c>
      <c r="G20092">
        <v>147124336</v>
      </c>
      <c r="H20092">
        <v>147124307</v>
      </c>
      <c r="I20092">
        <v>147124336</v>
      </c>
    </row>
    <row r="20093" spans="1:9" x14ac:dyDescent="0.2">
      <c r="A20093" s="1" t="str">
        <f>"ZIC5"</f>
        <v>ZIC5</v>
      </c>
      <c r="B20093" t="s">
        <v>14</v>
      </c>
      <c r="C20093" t="s">
        <v>39</v>
      </c>
      <c r="D20093" t="s">
        <v>11</v>
      </c>
      <c r="E20093" t="s">
        <v>12</v>
      </c>
      <c r="F20093">
        <v>100623375</v>
      </c>
      <c r="G20093">
        <v>100623425</v>
      </c>
      <c r="H20093">
        <v>100623375</v>
      </c>
      <c r="I20093">
        <v>100623425</v>
      </c>
    </row>
    <row r="20094" spans="1:9" x14ac:dyDescent="0.2">
      <c r="A20094" s="1" t="str">
        <f>"ZIK1"</f>
        <v>ZIK1</v>
      </c>
      <c r="B20094" t="s">
        <v>14</v>
      </c>
      <c r="C20094" t="s">
        <v>10</v>
      </c>
      <c r="D20094" t="s">
        <v>17</v>
      </c>
      <c r="E20094" t="s">
        <v>12</v>
      </c>
      <c r="F20094">
        <v>58095501</v>
      </c>
      <c r="G20094">
        <v>58095535</v>
      </c>
      <c r="H20094">
        <v>58095487</v>
      </c>
      <c r="I20094">
        <v>58095496</v>
      </c>
    </row>
    <row r="20095" spans="1:9" x14ac:dyDescent="0.2">
      <c r="A20095" s="1" t="str">
        <f>"ZIM2"</f>
        <v>ZIM2</v>
      </c>
      <c r="B20095" t="s">
        <v>14</v>
      </c>
      <c r="C20095" t="s">
        <v>10</v>
      </c>
      <c r="D20095" t="s">
        <v>11</v>
      </c>
      <c r="E20095" t="s">
        <v>12</v>
      </c>
      <c r="F20095">
        <v>57352087</v>
      </c>
      <c r="G20095">
        <v>57352102</v>
      </c>
      <c r="H20095">
        <v>57352109</v>
      </c>
      <c r="I20095">
        <v>57352153</v>
      </c>
    </row>
    <row r="20096" spans="1:9" x14ac:dyDescent="0.2">
      <c r="A20096" s="1" t="str">
        <f>"ZIM3"</f>
        <v>ZIM3</v>
      </c>
      <c r="B20096" t="s">
        <v>1843</v>
      </c>
      <c r="C20096" t="s">
        <v>10</v>
      </c>
      <c r="D20096" t="s">
        <v>11</v>
      </c>
      <c r="E20096" t="s">
        <v>20</v>
      </c>
      <c r="F20096">
        <v>57656569</v>
      </c>
      <c r="G20096">
        <v>57656569</v>
      </c>
      <c r="H20096">
        <v>57656569</v>
      </c>
      <c r="I20096">
        <v>57656569</v>
      </c>
    </row>
    <row r="20097" spans="1:9" x14ac:dyDescent="0.2">
      <c r="A20097" s="1" t="str">
        <f>"ZKSCAN1"</f>
        <v>ZKSCAN1</v>
      </c>
      <c r="B20097" t="s">
        <v>14</v>
      </c>
      <c r="C20097" t="s">
        <v>33</v>
      </c>
      <c r="D20097" t="s">
        <v>17</v>
      </c>
      <c r="E20097" t="s">
        <v>12</v>
      </c>
      <c r="F20097">
        <v>99613212</v>
      </c>
      <c r="G20097">
        <v>99613236</v>
      </c>
      <c r="H20097">
        <v>99613250</v>
      </c>
      <c r="I20097">
        <v>99613264</v>
      </c>
    </row>
    <row r="20098" spans="1:9" x14ac:dyDescent="0.2">
      <c r="A20098" s="1" t="str">
        <f>"ZKSCAN2"</f>
        <v>ZKSCAN2</v>
      </c>
      <c r="B20098" t="s">
        <v>14</v>
      </c>
      <c r="C20098" t="s">
        <v>31</v>
      </c>
      <c r="D20098" t="s">
        <v>11</v>
      </c>
      <c r="E20098" t="s">
        <v>12</v>
      </c>
      <c r="F20098">
        <v>25269134</v>
      </c>
      <c r="G20098">
        <v>25269180</v>
      </c>
      <c r="H20098">
        <v>25268750</v>
      </c>
      <c r="I20098">
        <v>25268774</v>
      </c>
    </row>
    <row r="20099" spans="1:9" x14ac:dyDescent="0.2">
      <c r="A20099" s="1" t="str">
        <f>"ZKSCAN3"</f>
        <v>ZKSCAN3</v>
      </c>
      <c r="B20099" t="s">
        <v>14</v>
      </c>
      <c r="C20099" t="s">
        <v>32</v>
      </c>
      <c r="D20099" t="s">
        <v>17</v>
      </c>
      <c r="E20099" t="s">
        <v>12</v>
      </c>
      <c r="F20099">
        <v>28317685</v>
      </c>
      <c r="G20099">
        <v>28317761</v>
      </c>
      <c r="H20099">
        <v>28317808</v>
      </c>
      <c r="I20099">
        <v>28317841</v>
      </c>
    </row>
    <row r="20100" spans="1:9" x14ac:dyDescent="0.2">
      <c r="A20100" s="1" t="str">
        <f>"ZKSCAN4"</f>
        <v>ZKSCAN4</v>
      </c>
      <c r="B20100" t="s">
        <v>14</v>
      </c>
      <c r="C20100" t="s">
        <v>32</v>
      </c>
      <c r="D20100" t="s">
        <v>11</v>
      </c>
      <c r="E20100" t="s">
        <v>12</v>
      </c>
      <c r="F20100">
        <v>28220023</v>
      </c>
      <c r="G20100">
        <v>28220053</v>
      </c>
      <c r="H20100">
        <v>28220061</v>
      </c>
      <c r="I20100">
        <v>28220079</v>
      </c>
    </row>
    <row r="20101" spans="1:9" x14ac:dyDescent="0.2">
      <c r="A20101" s="1" t="str">
        <f>"ZKSCAN5"</f>
        <v>ZKSCAN5</v>
      </c>
      <c r="B20101" t="s">
        <v>14</v>
      </c>
      <c r="C20101" t="s">
        <v>33</v>
      </c>
      <c r="D20101" t="s">
        <v>17</v>
      </c>
      <c r="E20101" t="s">
        <v>12</v>
      </c>
      <c r="F20101">
        <v>99102865</v>
      </c>
      <c r="G20101">
        <v>99102894</v>
      </c>
      <c r="H20101">
        <v>99102267</v>
      </c>
      <c r="I20101">
        <v>99102304</v>
      </c>
    </row>
    <row r="20102" spans="1:9" x14ac:dyDescent="0.2">
      <c r="A20102" s="1" t="str">
        <f>"ZKSCAN7"</f>
        <v>ZKSCAN7</v>
      </c>
      <c r="B20102" t="s">
        <v>14</v>
      </c>
      <c r="C20102" t="s">
        <v>22</v>
      </c>
      <c r="D20102" t="s">
        <v>17</v>
      </c>
      <c r="E20102" t="s">
        <v>12</v>
      </c>
      <c r="F20102">
        <v>44596679</v>
      </c>
      <c r="G20102">
        <v>44596726</v>
      </c>
      <c r="H20102">
        <v>44596664</v>
      </c>
      <c r="I20102">
        <v>44596672</v>
      </c>
    </row>
    <row r="20103" spans="1:9" x14ac:dyDescent="0.2">
      <c r="A20103" s="1" t="str">
        <f>"ZKSCAN8"</f>
        <v>ZKSCAN8</v>
      </c>
      <c r="B20103" t="s">
        <v>14</v>
      </c>
      <c r="C20103" t="s">
        <v>32</v>
      </c>
      <c r="D20103" t="s">
        <v>17</v>
      </c>
      <c r="E20103" t="s">
        <v>12</v>
      </c>
      <c r="F20103">
        <v>28109608</v>
      </c>
      <c r="G20103">
        <v>28109693</v>
      </c>
      <c r="H20103">
        <v>28109608</v>
      </c>
      <c r="I20103">
        <v>28109693</v>
      </c>
    </row>
    <row r="20104" spans="1:9" x14ac:dyDescent="0.2">
      <c r="A20104" s="1" t="str">
        <f>"ZMAT1"</f>
        <v>ZMAT1</v>
      </c>
      <c r="B20104" t="s">
        <v>14</v>
      </c>
      <c r="C20104" t="s">
        <v>37</v>
      </c>
      <c r="D20104" t="s">
        <v>11</v>
      </c>
      <c r="E20104" t="s">
        <v>12</v>
      </c>
      <c r="F20104">
        <v>101186981</v>
      </c>
      <c r="G20104">
        <v>101187030</v>
      </c>
      <c r="H20104">
        <v>101187036</v>
      </c>
      <c r="I20104">
        <v>101187056</v>
      </c>
    </row>
    <row r="20105" spans="1:9" x14ac:dyDescent="0.2">
      <c r="A20105" s="1" t="str">
        <f>"ZMAT2"</f>
        <v>ZMAT2</v>
      </c>
      <c r="B20105" t="s">
        <v>9</v>
      </c>
      <c r="C20105" t="s">
        <v>46</v>
      </c>
      <c r="D20105" t="s">
        <v>17</v>
      </c>
      <c r="E20105" t="s">
        <v>12</v>
      </c>
      <c r="F20105">
        <v>140080022</v>
      </c>
      <c r="G20105">
        <v>140080042</v>
      </c>
      <c r="H20105">
        <v>140080022</v>
      </c>
      <c r="I20105">
        <v>140080042</v>
      </c>
    </row>
    <row r="20106" spans="1:9" x14ac:dyDescent="0.2">
      <c r="A20106" s="1" t="str">
        <f>"ZMAT2"</f>
        <v>ZMAT2</v>
      </c>
      <c r="B20106" t="s">
        <v>13</v>
      </c>
      <c r="C20106" t="s">
        <v>46</v>
      </c>
      <c r="D20106" t="s">
        <v>17</v>
      </c>
      <c r="E20106" t="s">
        <v>12</v>
      </c>
      <c r="F20106">
        <v>140083495</v>
      </c>
      <c r="G20106">
        <v>140083513</v>
      </c>
      <c r="H20106">
        <v>140083495</v>
      </c>
      <c r="I20106">
        <v>140083513</v>
      </c>
    </row>
    <row r="20107" spans="1:9" x14ac:dyDescent="0.2">
      <c r="A20107" s="1" t="str">
        <f>"ZMAT3"</f>
        <v>ZMAT3</v>
      </c>
      <c r="B20107" t="s">
        <v>14</v>
      </c>
      <c r="C20107" t="s">
        <v>22</v>
      </c>
      <c r="D20107" t="s">
        <v>11</v>
      </c>
      <c r="E20107" t="s">
        <v>12</v>
      </c>
      <c r="F20107">
        <v>178789566</v>
      </c>
      <c r="G20107">
        <v>178789620</v>
      </c>
      <c r="H20107">
        <v>178789522</v>
      </c>
      <c r="I20107">
        <v>178789564</v>
      </c>
    </row>
    <row r="20108" spans="1:9" x14ac:dyDescent="0.2">
      <c r="A20108" s="1" t="str">
        <f>"ZMAT4"</f>
        <v>ZMAT4</v>
      </c>
      <c r="B20108" t="s">
        <v>14</v>
      </c>
      <c r="C20108" t="s">
        <v>30</v>
      </c>
      <c r="D20108" t="s">
        <v>11</v>
      </c>
      <c r="E20108" t="s">
        <v>12</v>
      </c>
      <c r="F20108">
        <v>40755333</v>
      </c>
      <c r="G20108">
        <v>40755352</v>
      </c>
      <c r="H20108">
        <v>40755333</v>
      </c>
      <c r="I20108">
        <v>40755352</v>
      </c>
    </row>
    <row r="20109" spans="1:9" x14ac:dyDescent="0.2">
      <c r="A20109" s="1" t="str">
        <f>"ZMAT5"</f>
        <v>ZMAT5</v>
      </c>
      <c r="B20109" t="s">
        <v>14</v>
      </c>
      <c r="C20109" t="s">
        <v>21</v>
      </c>
      <c r="D20109" t="s">
        <v>11</v>
      </c>
      <c r="E20109" t="s">
        <v>12</v>
      </c>
      <c r="F20109">
        <v>30162924</v>
      </c>
      <c r="G20109">
        <v>30163005</v>
      </c>
      <c r="H20109">
        <v>30162893</v>
      </c>
      <c r="I20109">
        <v>30162907</v>
      </c>
    </row>
    <row r="20110" spans="1:9" x14ac:dyDescent="0.2">
      <c r="A20110" s="1" t="str">
        <f>"ZMIZ1"</f>
        <v>ZMIZ1</v>
      </c>
      <c r="B20110" t="s">
        <v>14</v>
      </c>
      <c r="C20110" t="s">
        <v>15</v>
      </c>
      <c r="D20110" t="s">
        <v>17</v>
      </c>
      <c r="E20110" t="s">
        <v>12</v>
      </c>
      <c r="F20110">
        <v>80828712</v>
      </c>
      <c r="G20110">
        <v>80828771</v>
      </c>
      <c r="H20110">
        <v>80828679</v>
      </c>
      <c r="I20110">
        <v>80828700</v>
      </c>
    </row>
    <row r="20111" spans="1:9" x14ac:dyDescent="0.2">
      <c r="A20111" s="1" t="str">
        <f>"ZMIZ2"</f>
        <v>ZMIZ2</v>
      </c>
      <c r="B20111" t="s">
        <v>14</v>
      </c>
      <c r="C20111" t="s">
        <v>33</v>
      </c>
      <c r="D20111" t="s">
        <v>17</v>
      </c>
      <c r="E20111" t="s">
        <v>12</v>
      </c>
      <c r="F20111">
        <v>44788430</v>
      </c>
      <c r="G20111">
        <v>44788471</v>
      </c>
      <c r="H20111">
        <v>44788146</v>
      </c>
      <c r="I20111">
        <v>44788181</v>
      </c>
    </row>
    <row r="20112" spans="1:9" x14ac:dyDescent="0.2">
      <c r="A20112" s="1" t="str">
        <f>"ZMPSTE24"</f>
        <v>ZMPSTE24</v>
      </c>
      <c r="B20112" t="s">
        <v>14</v>
      </c>
      <c r="C20112" t="s">
        <v>19</v>
      </c>
      <c r="D20112" t="s">
        <v>17</v>
      </c>
      <c r="E20112" t="s">
        <v>12</v>
      </c>
      <c r="F20112">
        <v>40723874</v>
      </c>
      <c r="G20112">
        <v>40723943</v>
      </c>
      <c r="H20112">
        <v>40723846</v>
      </c>
      <c r="I20112">
        <v>40723871</v>
      </c>
    </row>
    <row r="20113" spans="1:9" x14ac:dyDescent="0.2">
      <c r="A20113" s="1" t="str">
        <f>"ZMYM1"</f>
        <v>ZMYM1</v>
      </c>
      <c r="B20113" t="s">
        <v>14</v>
      </c>
      <c r="C20113" t="s">
        <v>19</v>
      </c>
      <c r="D20113" t="s">
        <v>17</v>
      </c>
      <c r="E20113" t="s">
        <v>12</v>
      </c>
      <c r="F20113">
        <v>35544975</v>
      </c>
      <c r="G20113">
        <v>35545014</v>
      </c>
      <c r="H20113">
        <v>35544975</v>
      </c>
      <c r="I20113">
        <v>35545014</v>
      </c>
    </row>
    <row r="20114" spans="1:9" x14ac:dyDescent="0.2">
      <c r="A20114" s="1" t="str">
        <f>"ZMYM2"</f>
        <v>ZMYM2</v>
      </c>
      <c r="B20114" t="s">
        <v>14</v>
      </c>
      <c r="C20114" t="s">
        <v>39</v>
      </c>
      <c r="D20114" t="s">
        <v>17</v>
      </c>
      <c r="E20114" t="s">
        <v>12</v>
      </c>
      <c r="F20114">
        <v>20532850</v>
      </c>
      <c r="G20114">
        <v>20532890</v>
      </c>
      <c r="H20114">
        <v>20532807</v>
      </c>
      <c r="I20114">
        <v>20532841</v>
      </c>
    </row>
    <row r="20115" spans="1:9" x14ac:dyDescent="0.2">
      <c r="A20115" s="1" t="str">
        <f>"ZMYM3"</f>
        <v>ZMYM3</v>
      </c>
      <c r="B20115" t="s">
        <v>9</v>
      </c>
      <c r="C20115" t="s">
        <v>37</v>
      </c>
      <c r="D20115" t="s">
        <v>11</v>
      </c>
      <c r="E20115" t="s">
        <v>12</v>
      </c>
      <c r="F20115">
        <v>70473957</v>
      </c>
      <c r="G20115">
        <v>70474049</v>
      </c>
      <c r="H20115">
        <v>70473957</v>
      </c>
      <c r="I20115">
        <v>70474049</v>
      </c>
    </row>
    <row r="20116" spans="1:9" x14ac:dyDescent="0.2">
      <c r="A20116" s="1" t="str">
        <f>"ZMYM3"</f>
        <v>ZMYM3</v>
      </c>
      <c r="B20116" t="s">
        <v>13</v>
      </c>
      <c r="C20116" t="s">
        <v>37</v>
      </c>
      <c r="D20116" t="s">
        <v>11</v>
      </c>
      <c r="E20116" t="s">
        <v>12</v>
      </c>
      <c r="F20116">
        <v>70475101</v>
      </c>
      <c r="G20116">
        <v>70475154</v>
      </c>
      <c r="H20116">
        <v>70475101</v>
      </c>
      <c r="I20116">
        <v>70475154</v>
      </c>
    </row>
    <row r="20117" spans="1:9" x14ac:dyDescent="0.2">
      <c r="A20117" s="1" t="str">
        <f>"ZMYM4"</f>
        <v>ZMYM4</v>
      </c>
      <c r="B20117" t="s">
        <v>14</v>
      </c>
      <c r="C20117" t="s">
        <v>19</v>
      </c>
      <c r="D20117" t="s">
        <v>17</v>
      </c>
      <c r="E20117" t="s">
        <v>12</v>
      </c>
      <c r="F20117">
        <v>35734264</v>
      </c>
      <c r="G20117">
        <v>35734342</v>
      </c>
      <c r="H20117">
        <v>35734406</v>
      </c>
      <c r="I20117">
        <v>35734456</v>
      </c>
    </row>
    <row r="20118" spans="1:9" x14ac:dyDescent="0.2">
      <c r="A20118" s="1" t="str">
        <f>"ZMYM5"</f>
        <v>ZMYM5</v>
      </c>
      <c r="B20118" t="s">
        <v>14</v>
      </c>
      <c r="C20118" t="s">
        <v>39</v>
      </c>
      <c r="D20118" t="s">
        <v>11</v>
      </c>
      <c r="E20118" t="s">
        <v>12</v>
      </c>
      <c r="F20118">
        <v>20437772</v>
      </c>
      <c r="G20118">
        <v>20437802</v>
      </c>
      <c r="H20118">
        <v>20437738</v>
      </c>
      <c r="I20118">
        <v>20437759</v>
      </c>
    </row>
    <row r="20119" spans="1:9" x14ac:dyDescent="0.2">
      <c r="A20119" s="1" t="str">
        <f>"ZMYM6"</f>
        <v>ZMYM6</v>
      </c>
      <c r="B20119" t="s">
        <v>14</v>
      </c>
      <c r="C20119" t="s">
        <v>19</v>
      </c>
      <c r="D20119" t="s">
        <v>11</v>
      </c>
      <c r="E20119" t="s">
        <v>12</v>
      </c>
      <c r="F20119">
        <v>35497283</v>
      </c>
      <c r="G20119">
        <v>35497366</v>
      </c>
      <c r="H20119">
        <v>35497509</v>
      </c>
      <c r="I20119">
        <v>35497574</v>
      </c>
    </row>
    <row r="20120" spans="1:9" x14ac:dyDescent="0.2">
      <c r="A20120" s="1" t="str">
        <f>"ZMYM6NB"</f>
        <v>ZMYM6NB</v>
      </c>
      <c r="B20120" t="s">
        <v>14</v>
      </c>
      <c r="C20120" t="s">
        <v>19</v>
      </c>
      <c r="D20120" t="s">
        <v>11</v>
      </c>
      <c r="E20120" t="s">
        <v>12</v>
      </c>
      <c r="F20120">
        <v>35450897</v>
      </c>
      <c r="G20120">
        <v>35450951</v>
      </c>
      <c r="H20120">
        <v>35450997</v>
      </c>
      <c r="I20120">
        <v>35451012</v>
      </c>
    </row>
    <row r="20121" spans="1:9" x14ac:dyDescent="0.2">
      <c r="A20121" s="1" t="str">
        <f>"ZMYND10"</f>
        <v>ZMYND10</v>
      </c>
      <c r="B20121" t="s">
        <v>14</v>
      </c>
      <c r="C20121" t="s">
        <v>22</v>
      </c>
      <c r="D20121" t="s">
        <v>11</v>
      </c>
      <c r="E20121" t="s">
        <v>12</v>
      </c>
      <c r="F20121">
        <v>50383096</v>
      </c>
      <c r="G20121">
        <v>50383168</v>
      </c>
      <c r="H20121">
        <v>50383076</v>
      </c>
      <c r="I20121">
        <v>50383081</v>
      </c>
    </row>
    <row r="20122" spans="1:9" x14ac:dyDescent="0.2">
      <c r="A20122" s="1" t="str">
        <f>"ZMYND11"</f>
        <v>ZMYND11</v>
      </c>
      <c r="B20122" t="s">
        <v>14</v>
      </c>
      <c r="C20122" t="s">
        <v>15</v>
      </c>
      <c r="D20122" t="s">
        <v>17</v>
      </c>
      <c r="E20122" t="s">
        <v>12</v>
      </c>
      <c r="F20122">
        <v>181370</v>
      </c>
      <c r="G20122">
        <v>181417</v>
      </c>
      <c r="H20122">
        <v>180856</v>
      </c>
      <c r="I20122">
        <v>180973</v>
      </c>
    </row>
    <row r="20123" spans="1:9" x14ac:dyDescent="0.2">
      <c r="A20123" s="1" t="str">
        <f>"ZMYND12"</f>
        <v>ZMYND12</v>
      </c>
      <c r="B20123" t="s">
        <v>14</v>
      </c>
      <c r="C20123" t="s">
        <v>19</v>
      </c>
      <c r="D20123" t="s">
        <v>11</v>
      </c>
      <c r="E20123" t="s">
        <v>12</v>
      </c>
      <c r="F20123">
        <v>42921677</v>
      </c>
      <c r="G20123">
        <v>42921722</v>
      </c>
      <c r="H20123">
        <v>42921915</v>
      </c>
      <c r="I20123">
        <v>42921948</v>
      </c>
    </row>
    <row r="20124" spans="1:9" x14ac:dyDescent="0.2">
      <c r="A20124" s="1" t="str">
        <f>"ZMYND15"</f>
        <v>ZMYND15</v>
      </c>
      <c r="B20124" t="s">
        <v>14</v>
      </c>
      <c r="C20124" t="s">
        <v>28</v>
      </c>
      <c r="D20124" t="s">
        <v>17</v>
      </c>
      <c r="E20124" t="s">
        <v>12</v>
      </c>
      <c r="F20124">
        <v>4643118</v>
      </c>
      <c r="G20124">
        <v>4643145</v>
      </c>
      <c r="H20124">
        <v>4643118</v>
      </c>
      <c r="I20124">
        <v>4643145</v>
      </c>
    </row>
    <row r="20125" spans="1:9" x14ac:dyDescent="0.2">
      <c r="A20125" s="1" t="str">
        <f>"ZMYND19"</f>
        <v>ZMYND19</v>
      </c>
      <c r="B20125" t="s">
        <v>14</v>
      </c>
      <c r="C20125" t="s">
        <v>24</v>
      </c>
      <c r="D20125" t="s">
        <v>11</v>
      </c>
      <c r="E20125" t="s">
        <v>12</v>
      </c>
      <c r="F20125">
        <v>140484917</v>
      </c>
      <c r="G20125">
        <v>140484998</v>
      </c>
      <c r="H20125">
        <v>140484917</v>
      </c>
      <c r="I20125">
        <v>140484998</v>
      </c>
    </row>
    <row r="20126" spans="1:9" x14ac:dyDescent="0.2">
      <c r="A20126" s="1" t="str">
        <f>"ZMYND8"</f>
        <v>ZMYND8</v>
      </c>
      <c r="B20126" t="s">
        <v>14</v>
      </c>
      <c r="C20126" t="s">
        <v>29</v>
      </c>
      <c r="D20126" t="s">
        <v>11</v>
      </c>
      <c r="E20126" t="s">
        <v>12</v>
      </c>
      <c r="F20126">
        <v>45985431</v>
      </c>
      <c r="G20126">
        <v>45985462</v>
      </c>
      <c r="H20126">
        <v>45985465</v>
      </c>
      <c r="I20126">
        <v>45985481</v>
      </c>
    </row>
    <row r="20127" spans="1:9" x14ac:dyDescent="0.2">
      <c r="A20127" s="1" t="str">
        <f>"ZNF10"</f>
        <v>ZNF10</v>
      </c>
      <c r="B20127" t="s">
        <v>14</v>
      </c>
      <c r="C20127" t="s">
        <v>16</v>
      </c>
      <c r="D20127" t="s">
        <v>17</v>
      </c>
      <c r="E20127" t="s">
        <v>12</v>
      </c>
      <c r="F20127">
        <v>133707204</v>
      </c>
      <c r="G20127">
        <v>133707236</v>
      </c>
      <c r="H20127">
        <v>133707172</v>
      </c>
      <c r="I20127">
        <v>133707202</v>
      </c>
    </row>
    <row r="20128" spans="1:9" x14ac:dyDescent="0.2">
      <c r="A20128" s="1" t="str">
        <f>"ZNF100"</f>
        <v>ZNF100</v>
      </c>
      <c r="B20128" t="s">
        <v>14</v>
      </c>
      <c r="C20128" t="s">
        <v>10</v>
      </c>
      <c r="D20128" t="s">
        <v>11</v>
      </c>
      <c r="E20128" t="s">
        <v>12</v>
      </c>
      <c r="F20128">
        <v>21950362</v>
      </c>
      <c r="G20128">
        <v>21950388</v>
      </c>
      <c r="H20128">
        <v>21950332</v>
      </c>
      <c r="I20128">
        <v>21950356</v>
      </c>
    </row>
    <row r="20129" spans="1:9" x14ac:dyDescent="0.2">
      <c r="A20129" s="1" t="str">
        <f>"ZNF101"</f>
        <v>ZNF101</v>
      </c>
      <c r="B20129" t="s">
        <v>14</v>
      </c>
      <c r="C20129" t="s">
        <v>10</v>
      </c>
      <c r="D20129" t="s">
        <v>17</v>
      </c>
      <c r="E20129" t="s">
        <v>12</v>
      </c>
      <c r="F20129">
        <v>19779619</v>
      </c>
      <c r="G20129">
        <v>19779670</v>
      </c>
      <c r="H20129">
        <v>19779589</v>
      </c>
      <c r="I20129">
        <v>19779616</v>
      </c>
    </row>
    <row r="20130" spans="1:9" x14ac:dyDescent="0.2">
      <c r="A20130" s="1" t="str">
        <f>"ZNF106"</f>
        <v>ZNF106</v>
      </c>
      <c r="B20130" t="s">
        <v>1844</v>
      </c>
      <c r="C20130" t="s">
        <v>25</v>
      </c>
      <c r="D20130" t="s">
        <v>11</v>
      </c>
      <c r="E20130" t="s">
        <v>20</v>
      </c>
      <c r="F20130">
        <v>42749729</v>
      </c>
      <c r="G20130">
        <v>42749729</v>
      </c>
      <c r="H20130">
        <v>42749729</v>
      </c>
      <c r="I20130">
        <v>42749729</v>
      </c>
    </row>
    <row r="20131" spans="1:9" x14ac:dyDescent="0.2">
      <c r="A20131" s="1" t="str">
        <f>"ZNF107"</f>
        <v>ZNF107</v>
      </c>
      <c r="B20131" t="s">
        <v>14</v>
      </c>
      <c r="C20131" t="s">
        <v>33</v>
      </c>
      <c r="D20131" t="s">
        <v>17</v>
      </c>
      <c r="E20131" t="s">
        <v>12</v>
      </c>
      <c r="F20131">
        <v>64126503</v>
      </c>
      <c r="G20131">
        <v>64126528</v>
      </c>
      <c r="H20131">
        <v>64126535</v>
      </c>
      <c r="I20131">
        <v>64126559</v>
      </c>
    </row>
    <row r="20132" spans="1:9" x14ac:dyDescent="0.2">
      <c r="A20132" s="1" t="str">
        <f>"ZNF112"</f>
        <v>ZNF112</v>
      </c>
      <c r="B20132" t="s">
        <v>14</v>
      </c>
      <c r="C20132" t="s">
        <v>10</v>
      </c>
      <c r="D20132" t="s">
        <v>11</v>
      </c>
      <c r="E20132" t="s">
        <v>12</v>
      </c>
      <c r="F20132">
        <v>44860820</v>
      </c>
      <c r="G20132">
        <v>44860843</v>
      </c>
      <c r="H20132">
        <v>44860820</v>
      </c>
      <c r="I20132">
        <v>44860843</v>
      </c>
    </row>
    <row r="20133" spans="1:9" x14ac:dyDescent="0.2">
      <c r="A20133" s="1" t="str">
        <f>"ZNF114"</f>
        <v>ZNF114</v>
      </c>
      <c r="B20133" t="s">
        <v>14</v>
      </c>
      <c r="C20133" t="s">
        <v>10</v>
      </c>
      <c r="D20133" t="s">
        <v>17</v>
      </c>
      <c r="E20133" t="s">
        <v>12</v>
      </c>
      <c r="F20133">
        <v>48774586</v>
      </c>
      <c r="G20133">
        <v>48774670</v>
      </c>
      <c r="H20133">
        <v>48774586</v>
      </c>
      <c r="I20133">
        <v>48774670</v>
      </c>
    </row>
    <row r="20134" spans="1:9" x14ac:dyDescent="0.2">
      <c r="A20134" s="1" t="str">
        <f>"ZNF117"</f>
        <v>ZNF117</v>
      </c>
      <c r="B20134" t="s">
        <v>14</v>
      </c>
      <c r="C20134" t="s">
        <v>33</v>
      </c>
      <c r="D20134" t="s">
        <v>11</v>
      </c>
      <c r="E20134" t="s">
        <v>12</v>
      </c>
      <c r="F20134">
        <v>64467057</v>
      </c>
      <c r="G20134">
        <v>64467078</v>
      </c>
      <c r="H20134">
        <v>64467093</v>
      </c>
      <c r="I20134">
        <v>64467104</v>
      </c>
    </row>
    <row r="20135" spans="1:9" x14ac:dyDescent="0.2">
      <c r="A20135" s="1" t="str">
        <f>"ZNF12"</f>
        <v>ZNF12</v>
      </c>
      <c r="B20135" t="s">
        <v>14</v>
      </c>
      <c r="C20135" t="s">
        <v>33</v>
      </c>
      <c r="D20135" t="s">
        <v>11</v>
      </c>
      <c r="E20135" t="s">
        <v>12</v>
      </c>
      <c r="F20135">
        <v>6746529</v>
      </c>
      <c r="G20135">
        <v>6746591</v>
      </c>
      <c r="H20135">
        <v>6746597</v>
      </c>
      <c r="I20135">
        <v>6746608</v>
      </c>
    </row>
    <row r="20136" spans="1:9" x14ac:dyDescent="0.2">
      <c r="A20136" s="1" t="str">
        <f>"ZNF121"</f>
        <v>ZNF121</v>
      </c>
      <c r="B20136" t="s">
        <v>14</v>
      </c>
      <c r="C20136" t="s">
        <v>10</v>
      </c>
      <c r="D20136" t="s">
        <v>11</v>
      </c>
      <c r="E20136" t="s">
        <v>12</v>
      </c>
      <c r="F20136">
        <v>9695169</v>
      </c>
      <c r="G20136">
        <v>9695188</v>
      </c>
      <c r="H20136">
        <v>9695195</v>
      </c>
      <c r="I20136">
        <v>9695221</v>
      </c>
    </row>
    <row r="20137" spans="1:9" x14ac:dyDescent="0.2">
      <c r="A20137" s="1" t="str">
        <f>"ZNF124"</f>
        <v>ZNF124</v>
      </c>
      <c r="B20137" t="s">
        <v>14</v>
      </c>
      <c r="C20137" t="s">
        <v>19</v>
      </c>
      <c r="D20137" t="s">
        <v>11</v>
      </c>
      <c r="E20137" t="s">
        <v>12</v>
      </c>
      <c r="F20137">
        <v>247321249</v>
      </c>
      <c r="G20137">
        <v>247321253</v>
      </c>
      <c r="H20137">
        <v>247321249</v>
      </c>
      <c r="I20137">
        <v>247321253</v>
      </c>
    </row>
    <row r="20138" spans="1:9" x14ac:dyDescent="0.2">
      <c r="A20138" s="1" t="str">
        <f>"ZNF131"</f>
        <v>ZNF131</v>
      </c>
      <c r="B20138" t="s">
        <v>14</v>
      </c>
      <c r="C20138" t="s">
        <v>46</v>
      </c>
      <c r="D20138" t="s">
        <v>17</v>
      </c>
      <c r="E20138" t="s">
        <v>12</v>
      </c>
      <c r="F20138">
        <v>43120995</v>
      </c>
      <c r="G20138">
        <v>43121052</v>
      </c>
      <c r="H20138">
        <v>43121711</v>
      </c>
      <c r="I20138">
        <v>43121753</v>
      </c>
    </row>
    <row r="20139" spans="1:9" x14ac:dyDescent="0.2">
      <c r="A20139" s="1" t="str">
        <f>"ZNF132"</f>
        <v>ZNF132</v>
      </c>
      <c r="B20139" t="s">
        <v>14</v>
      </c>
      <c r="C20139" t="s">
        <v>10</v>
      </c>
      <c r="D20139" t="s">
        <v>11</v>
      </c>
      <c r="E20139" t="s">
        <v>12</v>
      </c>
      <c r="F20139">
        <v>58951496</v>
      </c>
      <c r="G20139">
        <v>58951539</v>
      </c>
      <c r="H20139">
        <v>58951543</v>
      </c>
      <c r="I20139">
        <v>58951552</v>
      </c>
    </row>
    <row r="20140" spans="1:9" x14ac:dyDescent="0.2">
      <c r="A20140" s="1" t="str">
        <f>"ZNF133"</f>
        <v>ZNF133</v>
      </c>
      <c r="B20140" t="s">
        <v>14</v>
      </c>
      <c r="C20140" t="s">
        <v>29</v>
      </c>
      <c r="D20140" t="s">
        <v>17</v>
      </c>
      <c r="E20140" t="s">
        <v>12</v>
      </c>
      <c r="F20140">
        <v>18269151</v>
      </c>
      <c r="G20140">
        <v>18269212</v>
      </c>
      <c r="H20140">
        <v>18269151</v>
      </c>
      <c r="I20140">
        <v>18269212</v>
      </c>
    </row>
    <row r="20141" spans="1:9" x14ac:dyDescent="0.2">
      <c r="A20141" s="1" t="str">
        <f>"ZNF134"</f>
        <v>ZNF134</v>
      </c>
      <c r="B20141" t="s">
        <v>14</v>
      </c>
      <c r="C20141" t="s">
        <v>10</v>
      </c>
      <c r="D20141" t="s">
        <v>17</v>
      </c>
      <c r="E20141" t="s">
        <v>12</v>
      </c>
      <c r="F20141">
        <v>58125580</v>
      </c>
      <c r="G20141">
        <v>58125639</v>
      </c>
      <c r="H20141">
        <v>58125580</v>
      </c>
      <c r="I20141">
        <v>58125639</v>
      </c>
    </row>
    <row r="20142" spans="1:9" x14ac:dyDescent="0.2">
      <c r="A20142" s="1" t="str">
        <f>"ZNF135"</f>
        <v>ZNF135</v>
      </c>
      <c r="B20142" t="s">
        <v>14</v>
      </c>
      <c r="C20142" t="s">
        <v>10</v>
      </c>
      <c r="D20142" t="s">
        <v>17</v>
      </c>
      <c r="E20142" t="s">
        <v>12</v>
      </c>
      <c r="F20142">
        <v>58570605</v>
      </c>
      <c r="G20142">
        <v>58570655</v>
      </c>
      <c r="H20142">
        <v>58570962</v>
      </c>
      <c r="I20142">
        <v>58570993</v>
      </c>
    </row>
    <row r="20143" spans="1:9" x14ac:dyDescent="0.2">
      <c r="A20143" s="1" t="str">
        <f>"ZNF136"</f>
        <v>ZNF136</v>
      </c>
      <c r="B20143" t="s">
        <v>14</v>
      </c>
      <c r="C20143" t="s">
        <v>10</v>
      </c>
      <c r="D20143" t="s">
        <v>17</v>
      </c>
      <c r="E20143" t="s">
        <v>12</v>
      </c>
      <c r="F20143">
        <v>12273866</v>
      </c>
      <c r="G20143">
        <v>12273935</v>
      </c>
      <c r="H20143">
        <v>12273866</v>
      </c>
      <c r="I20143">
        <v>12273935</v>
      </c>
    </row>
    <row r="20144" spans="1:9" x14ac:dyDescent="0.2">
      <c r="A20144" s="1" t="str">
        <f>"ZNF138"</f>
        <v>ZNF138</v>
      </c>
      <c r="B20144" t="s">
        <v>14</v>
      </c>
      <c r="C20144" t="s">
        <v>33</v>
      </c>
      <c r="D20144" t="s">
        <v>17</v>
      </c>
      <c r="E20144" t="s">
        <v>12</v>
      </c>
      <c r="F20144">
        <v>64254793</v>
      </c>
      <c r="G20144">
        <v>64254813</v>
      </c>
      <c r="H20144">
        <v>64254834</v>
      </c>
      <c r="I20144">
        <v>64254854</v>
      </c>
    </row>
    <row r="20145" spans="1:9" x14ac:dyDescent="0.2">
      <c r="A20145" s="1" t="str">
        <f>"ZNF14"</f>
        <v>ZNF14</v>
      </c>
      <c r="B20145" t="s">
        <v>14</v>
      </c>
      <c r="C20145" t="s">
        <v>10</v>
      </c>
      <c r="D20145" t="s">
        <v>11</v>
      </c>
      <c r="E20145" t="s">
        <v>12</v>
      </c>
      <c r="F20145">
        <v>19843900</v>
      </c>
      <c r="G20145">
        <v>19843928</v>
      </c>
      <c r="H20145">
        <v>19843900</v>
      </c>
      <c r="I20145">
        <v>19843928</v>
      </c>
    </row>
    <row r="20146" spans="1:9" x14ac:dyDescent="0.2">
      <c r="A20146" s="1" t="str">
        <f>"ZNF140"</f>
        <v>ZNF140</v>
      </c>
      <c r="B20146" t="s">
        <v>14</v>
      </c>
      <c r="C20146" t="s">
        <v>16</v>
      </c>
      <c r="D20146" t="s">
        <v>17</v>
      </c>
      <c r="E20146" t="s">
        <v>12</v>
      </c>
      <c r="F20146">
        <v>133657477</v>
      </c>
      <c r="G20146">
        <v>133657529</v>
      </c>
      <c r="H20146">
        <v>133656995</v>
      </c>
      <c r="I20146">
        <v>133657049</v>
      </c>
    </row>
    <row r="20147" spans="1:9" x14ac:dyDescent="0.2">
      <c r="A20147" s="1" t="str">
        <f>"ZNF141"</f>
        <v>ZNF141</v>
      </c>
      <c r="B20147" t="s">
        <v>14</v>
      </c>
      <c r="C20147" t="s">
        <v>23</v>
      </c>
      <c r="D20147" t="s">
        <v>17</v>
      </c>
      <c r="E20147" t="s">
        <v>12</v>
      </c>
      <c r="F20147">
        <v>331578</v>
      </c>
      <c r="G20147">
        <v>331615</v>
      </c>
      <c r="H20147">
        <v>331619</v>
      </c>
      <c r="I20147">
        <v>331630</v>
      </c>
    </row>
    <row r="20148" spans="1:9" x14ac:dyDescent="0.2">
      <c r="A20148" s="1" t="str">
        <f>"ZNF142"</f>
        <v>ZNF142</v>
      </c>
      <c r="B20148" t="s">
        <v>14</v>
      </c>
      <c r="C20148" t="s">
        <v>26</v>
      </c>
      <c r="D20148" t="s">
        <v>11</v>
      </c>
      <c r="E20148" t="s">
        <v>12</v>
      </c>
      <c r="F20148">
        <v>219524310</v>
      </c>
      <c r="G20148">
        <v>219524385</v>
      </c>
      <c r="H20148">
        <v>219524217</v>
      </c>
      <c r="I20148">
        <v>219524273</v>
      </c>
    </row>
    <row r="20149" spans="1:9" x14ac:dyDescent="0.2">
      <c r="A20149" s="1" t="str">
        <f>"ZNF143"</f>
        <v>ZNF143</v>
      </c>
      <c r="B20149" t="s">
        <v>14</v>
      </c>
      <c r="C20149" t="s">
        <v>27</v>
      </c>
      <c r="D20149" t="s">
        <v>17</v>
      </c>
      <c r="E20149" t="s">
        <v>12</v>
      </c>
      <c r="F20149">
        <v>9482551</v>
      </c>
      <c r="G20149">
        <v>9482580</v>
      </c>
      <c r="H20149">
        <v>9482521</v>
      </c>
      <c r="I20149">
        <v>9482533</v>
      </c>
    </row>
    <row r="20150" spans="1:9" x14ac:dyDescent="0.2">
      <c r="A20150" s="1" t="str">
        <f>"ZNF146"</f>
        <v>ZNF146</v>
      </c>
      <c r="B20150" t="s">
        <v>14</v>
      </c>
      <c r="C20150" t="s">
        <v>10</v>
      </c>
      <c r="D20150" t="s">
        <v>17</v>
      </c>
      <c r="E20150" t="s">
        <v>12</v>
      </c>
      <c r="F20150">
        <v>36706024</v>
      </c>
      <c r="G20150">
        <v>36706049</v>
      </c>
      <c r="H20150">
        <v>36705998</v>
      </c>
      <c r="I20150">
        <v>36706021</v>
      </c>
    </row>
    <row r="20151" spans="1:9" x14ac:dyDescent="0.2">
      <c r="A20151" s="1" t="str">
        <f>"ZNF148"</f>
        <v>ZNF148</v>
      </c>
      <c r="B20151" t="s">
        <v>14</v>
      </c>
      <c r="C20151" t="s">
        <v>22</v>
      </c>
      <c r="D20151" t="s">
        <v>11</v>
      </c>
      <c r="E20151" t="s">
        <v>12</v>
      </c>
      <c r="F20151">
        <v>125094077</v>
      </c>
      <c r="G20151">
        <v>125094115</v>
      </c>
      <c r="H20151">
        <v>125094150</v>
      </c>
      <c r="I20151">
        <v>125094176</v>
      </c>
    </row>
    <row r="20152" spans="1:9" x14ac:dyDescent="0.2">
      <c r="A20152" s="1" t="str">
        <f>"ZNF154"</f>
        <v>ZNF154</v>
      </c>
      <c r="B20152" t="s">
        <v>14</v>
      </c>
      <c r="C20152" t="s">
        <v>10</v>
      </c>
      <c r="D20152" t="s">
        <v>11</v>
      </c>
      <c r="E20152" t="s">
        <v>12</v>
      </c>
      <c r="F20152">
        <v>58220517</v>
      </c>
      <c r="G20152">
        <v>58220583</v>
      </c>
      <c r="H20152">
        <v>58220517</v>
      </c>
      <c r="I20152">
        <v>58220583</v>
      </c>
    </row>
    <row r="20153" spans="1:9" x14ac:dyDescent="0.2">
      <c r="A20153" s="1" t="str">
        <f>"ZNF155"</f>
        <v>ZNF155</v>
      </c>
      <c r="B20153" t="s">
        <v>14</v>
      </c>
      <c r="C20153" t="s">
        <v>10</v>
      </c>
      <c r="D20153" t="s">
        <v>17</v>
      </c>
      <c r="E20153" t="s">
        <v>12</v>
      </c>
      <c r="F20153">
        <v>44488330</v>
      </c>
      <c r="G20153">
        <v>44488379</v>
      </c>
      <c r="H20153">
        <v>44488320</v>
      </c>
      <c r="I20153">
        <v>44488328</v>
      </c>
    </row>
    <row r="20154" spans="1:9" x14ac:dyDescent="0.2">
      <c r="A20154" s="1" t="str">
        <f>"ZNF157"</f>
        <v>ZNF157</v>
      </c>
      <c r="B20154" t="s">
        <v>1845</v>
      </c>
      <c r="C20154" t="s">
        <v>37</v>
      </c>
      <c r="D20154" t="s">
        <v>17</v>
      </c>
      <c r="E20154" t="s">
        <v>20</v>
      </c>
      <c r="F20154">
        <v>47229981</v>
      </c>
      <c r="G20154">
        <v>47229981</v>
      </c>
      <c r="H20154">
        <v>47229981</v>
      </c>
      <c r="I20154">
        <v>47229981</v>
      </c>
    </row>
    <row r="20155" spans="1:9" x14ac:dyDescent="0.2">
      <c r="A20155" s="1" t="str">
        <f>"ZNF16"</f>
        <v>ZNF16</v>
      </c>
      <c r="B20155" t="s">
        <v>14</v>
      </c>
      <c r="C20155" t="s">
        <v>30</v>
      </c>
      <c r="D20155" t="s">
        <v>11</v>
      </c>
      <c r="E20155" t="s">
        <v>12</v>
      </c>
      <c r="F20155">
        <v>146176199</v>
      </c>
      <c r="G20155">
        <v>146176272</v>
      </c>
      <c r="H20155">
        <v>146175980</v>
      </c>
      <c r="I20155">
        <v>146176011</v>
      </c>
    </row>
    <row r="20156" spans="1:9" x14ac:dyDescent="0.2">
      <c r="A20156" s="1" t="str">
        <f>"ZNF160"</f>
        <v>ZNF160</v>
      </c>
      <c r="B20156" t="s">
        <v>14</v>
      </c>
      <c r="C20156" t="s">
        <v>10</v>
      </c>
      <c r="D20156" t="s">
        <v>11</v>
      </c>
      <c r="E20156" t="s">
        <v>12</v>
      </c>
      <c r="F20156">
        <v>53606636</v>
      </c>
      <c r="G20156">
        <v>53606692</v>
      </c>
      <c r="H20156">
        <v>53606805</v>
      </c>
      <c r="I20156">
        <v>53606841</v>
      </c>
    </row>
    <row r="20157" spans="1:9" x14ac:dyDescent="0.2">
      <c r="A20157" s="1" t="str">
        <f>"ZNF165"</f>
        <v>ZNF165</v>
      </c>
      <c r="B20157" t="s">
        <v>14</v>
      </c>
      <c r="C20157" t="s">
        <v>32</v>
      </c>
      <c r="D20157" t="s">
        <v>17</v>
      </c>
      <c r="E20157" t="s">
        <v>12</v>
      </c>
      <c r="F20157">
        <v>28048343</v>
      </c>
      <c r="G20157">
        <v>28048354</v>
      </c>
      <c r="H20157">
        <v>28048699</v>
      </c>
      <c r="I20157">
        <v>28048725</v>
      </c>
    </row>
    <row r="20158" spans="1:9" x14ac:dyDescent="0.2">
      <c r="A20158" s="1" t="str">
        <f>"ZNF169"</f>
        <v>ZNF169</v>
      </c>
      <c r="B20158" t="s">
        <v>14</v>
      </c>
      <c r="C20158" t="s">
        <v>24</v>
      </c>
      <c r="D20158" t="s">
        <v>17</v>
      </c>
      <c r="E20158" t="s">
        <v>12</v>
      </c>
      <c r="F20158">
        <v>97021572</v>
      </c>
      <c r="G20158">
        <v>97021615</v>
      </c>
      <c r="H20158">
        <v>97021617</v>
      </c>
      <c r="I20158">
        <v>97021628</v>
      </c>
    </row>
    <row r="20159" spans="1:9" x14ac:dyDescent="0.2">
      <c r="A20159" s="1" t="str">
        <f>"ZNF17"</f>
        <v>ZNF17</v>
      </c>
      <c r="B20159" t="s">
        <v>14</v>
      </c>
      <c r="C20159" t="s">
        <v>10</v>
      </c>
      <c r="D20159" t="s">
        <v>17</v>
      </c>
      <c r="E20159" t="s">
        <v>12</v>
      </c>
      <c r="F20159">
        <v>57922521</v>
      </c>
      <c r="G20159">
        <v>57922550</v>
      </c>
      <c r="H20159">
        <v>57922516</v>
      </c>
      <c r="I20159">
        <v>57922520</v>
      </c>
    </row>
    <row r="20160" spans="1:9" x14ac:dyDescent="0.2">
      <c r="A20160" s="1" t="str">
        <f>"ZNF174"</f>
        <v>ZNF174</v>
      </c>
      <c r="B20160" t="s">
        <v>14</v>
      </c>
      <c r="C20160" t="s">
        <v>31</v>
      </c>
      <c r="D20160" t="s">
        <v>17</v>
      </c>
      <c r="E20160" t="s">
        <v>12</v>
      </c>
      <c r="F20160">
        <v>3451184</v>
      </c>
      <c r="G20160">
        <v>3451264</v>
      </c>
      <c r="H20160">
        <v>3451860</v>
      </c>
      <c r="I20160">
        <v>3451885</v>
      </c>
    </row>
    <row r="20161" spans="1:9" x14ac:dyDescent="0.2">
      <c r="A20161" s="1" t="str">
        <f>"ZNF175"</f>
        <v>ZNF175</v>
      </c>
      <c r="B20161" t="s">
        <v>14</v>
      </c>
      <c r="C20161" t="s">
        <v>10</v>
      </c>
      <c r="D20161" t="s">
        <v>17</v>
      </c>
      <c r="E20161" t="s">
        <v>12</v>
      </c>
      <c r="F20161">
        <v>52074502</v>
      </c>
      <c r="G20161">
        <v>52074587</v>
      </c>
      <c r="H20161">
        <v>52074502</v>
      </c>
      <c r="I20161">
        <v>52074587</v>
      </c>
    </row>
    <row r="20162" spans="1:9" x14ac:dyDescent="0.2">
      <c r="A20162" s="1" t="str">
        <f>"ZNF177"</f>
        <v>ZNF177</v>
      </c>
      <c r="B20162" t="s">
        <v>9</v>
      </c>
      <c r="C20162" t="s">
        <v>10</v>
      </c>
      <c r="D20162" t="s">
        <v>17</v>
      </c>
      <c r="E20162" t="s">
        <v>12</v>
      </c>
      <c r="F20162">
        <v>9434962</v>
      </c>
      <c r="G20162">
        <v>9434994</v>
      </c>
      <c r="H20162">
        <v>9434962</v>
      </c>
      <c r="I20162">
        <v>9434994</v>
      </c>
    </row>
    <row r="20163" spans="1:9" x14ac:dyDescent="0.2">
      <c r="A20163" s="1" t="str">
        <f>"ZNF177"</f>
        <v>ZNF177</v>
      </c>
      <c r="B20163" t="s">
        <v>13</v>
      </c>
      <c r="C20163" t="s">
        <v>10</v>
      </c>
      <c r="D20163" t="s">
        <v>17</v>
      </c>
      <c r="E20163" t="s">
        <v>12</v>
      </c>
      <c r="F20163">
        <v>9473676</v>
      </c>
      <c r="G20163">
        <v>9473712</v>
      </c>
      <c r="H20163">
        <v>9473676</v>
      </c>
      <c r="I20163">
        <v>9473712</v>
      </c>
    </row>
    <row r="20164" spans="1:9" x14ac:dyDescent="0.2">
      <c r="A20164" s="1" t="str">
        <f>"ZNF18"</f>
        <v>ZNF18</v>
      </c>
      <c r="B20164" t="s">
        <v>14</v>
      </c>
      <c r="C20164" t="s">
        <v>28</v>
      </c>
      <c r="D20164" t="s">
        <v>11</v>
      </c>
      <c r="E20164" t="s">
        <v>12</v>
      </c>
      <c r="F20164">
        <v>11900745</v>
      </c>
      <c r="G20164">
        <v>11900804</v>
      </c>
      <c r="H20164">
        <v>11900684</v>
      </c>
      <c r="I20164">
        <v>11900706</v>
      </c>
    </row>
    <row r="20165" spans="1:9" x14ac:dyDescent="0.2">
      <c r="A20165" s="1" t="str">
        <f>"ZNF180"</f>
        <v>ZNF180</v>
      </c>
      <c r="B20165" t="s">
        <v>14</v>
      </c>
      <c r="C20165" t="s">
        <v>10</v>
      </c>
      <c r="D20165" t="s">
        <v>11</v>
      </c>
      <c r="E20165" t="s">
        <v>12</v>
      </c>
      <c r="F20165">
        <v>45004556</v>
      </c>
      <c r="G20165">
        <v>45004581</v>
      </c>
      <c r="H20165">
        <v>45004584</v>
      </c>
      <c r="I20165">
        <v>45004601</v>
      </c>
    </row>
    <row r="20166" spans="1:9" x14ac:dyDescent="0.2">
      <c r="A20166" s="1" t="str">
        <f>"ZNF181"</f>
        <v>ZNF181</v>
      </c>
      <c r="B20166" t="s">
        <v>14</v>
      </c>
      <c r="C20166" t="s">
        <v>10</v>
      </c>
      <c r="D20166" t="s">
        <v>17</v>
      </c>
      <c r="E20166" t="s">
        <v>12</v>
      </c>
      <c r="F20166">
        <v>35225121</v>
      </c>
      <c r="G20166">
        <v>35225175</v>
      </c>
      <c r="H20166">
        <v>35225078</v>
      </c>
      <c r="I20166">
        <v>35225120</v>
      </c>
    </row>
    <row r="20167" spans="1:9" x14ac:dyDescent="0.2">
      <c r="A20167" s="1" t="str">
        <f>"ZNF182"</f>
        <v>ZNF182</v>
      </c>
      <c r="B20167" t="s">
        <v>14</v>
      </c>
      <c r="C20167" t="s">
        <v>37</v>
      </c>
      <c r="D20167" t="s">
        <v>11</v>
      </c>
      <c r="E20167" t="s">
        <v>12</v>
      </c>
      <c r="F20167">
        <v>47863348</v>
      </c>
      <c r="G20167">
        <v>47863412</v>
      </c>
      <c r="H20167">
        <v>47863427</v>
      </c>
      <c r="I20167">
        <v>47863440</v>
      </c>
    </row>
    <row r="20168" spans="1:9" x14ac:dyDescent="0.2">
      <c r="A20168" s="1" t="str">
        <f>"ZNF184"</f>
        <v>ZNF184</v>
      </c>
      <c r="B20168" t="s">
        <v>14</v>
      </c>
      <c r="C20168" t="s">
        <v>32</v>
      </c>
      <c r="D20168" t="s">
        <v>11</v>
      </c>
      <c r="E20168" t="s">
        <v>12</v>
      </c>
      <c r="F20168">
        <v>27440837</v>
      </c>
      <c r="G20168">
        <v>27440912</v>
      </c>
      <c r="H20168">
        <v>27440683</v>
      </c>
      <c r="I20168">
        <v>27440726</v>
      </c>
    </row>
    <row r="20169" spans="1:9" x14ac:dyDescent="0.2">
      <c r="A20169" s="1" t="str">
        <f>"ZNF185"</f>
        <v>ZNF185</v>
      </c>
      <c r="B20169" t="s">
        <v>14</v>
      </c>
      <c r="C20169" t="s">
        <v>37</v>
      </c>
      <c r="D20169" t="s">
        <v>17</v>
      </c>
      <c r="E20169" t="s">
        <v>12</v>
      </c>
      <c r="F20169">
        <v>152110218</v>
      </c>
      <c r="G20169">
        <v>152110250</v>
      </c>
      <c r="H20169">
        <v>152110163</v>
      </c>
      <c r="I20169">
        <v>152110200</v>
      </c>
    </row>
    <row r="20170" spans="1:9" x14ac:dyDescent="0.2">
      <c r="A20170" s="1" t="str">
        <f>"ZNF189"</f>
        <v>ZNF189</v>
      </c>
      <c r="B20170" t="s">
        <v>14</v>
      </c>
      <c r="C20170" t="s">
        <v>24</v>
      </c>
      <c r="D20170" t="s">
        <v>17</v>
      </c>
      <c r="E20170" t="s">
        <v>12</v>
      </c>
      <c r="F20170">
        <v>104161123</v>
      </c>
      <c r="G20170">
        <v>104161205</v>
      </c>
      <c r="H20170">
        <v>104161100</v>
      </c>
      <c r="I20170">
        <v>104161115</v>
      </c>
    </row>
    <row r="20171" spans="1:9" x14ac:dyDescent="0.2">
      <c r="A20171" s="1" t="str">
        <f>"ZNF19"</f>
        <v>ZNF19</v>
      </c>
      <c r="B20171" t="s">
        <v>14</v>
      </c>
      <c r="C20171" t="s">
        <v>31</v>
      </c>
      <c r="D20171" t="s">
        <v>11</v>
      </c>
      <c r="E20171" t="s">
        <v>12</v>
      </c>
      <c r="F20171">
        <v>71518504</v>
      </c>
      <c r="G20171">
        <v>71518542</v>
      </c>
      <c r="H20171">
        <v>71518504</v>
      </c>
      <c r="I20171">
        <v>71518542</v>
      </c>
    </row>
    <row r="20172" spans="1:9" x14ac:dyDescent="0.2">
      <c r="A20172" s="1" t="str">
        <f>"ZNF195"</f>
        <v>ZNF195</v>
      </c>
      <c r="B20172" t="s">
        <v>14</v>
      </c>
      <c r="C20172" t="s">
        <v>27</v>
      </c>
      <c r="D20172" t="s">
        <v>11</v>
      </c>
      <c r="E20172" t="s">
        <v>12</v>
      </c>
      <c r="F20172">
        <v>3400340</v>
      </c>
      <c r="G20172">
        <v>3400422</v>
      </c>
      <c r="H20172">
        <v>3400442</v>
      </c>
      <c r="I20172">
        <v>3400453</v>
      </c>
    </row>
    <row r="20173" spans="1:9" x14ac:dyDescent="0.2">
      <c r="A20173" s="1" t="str">
        <f>"ZNF197"</f>
        <v>ZNF197</v>
      </c>
      <c r="B20173" t="s">
        <v>14</v>
      </c>
      <c r="C20173" t="s">
        <v>22</v>
      </c>
      <c r="D20173" t="s">
        <v>17</v>
      </c>
      <c r="E20173" t="s">
        <v>12</v>
      </c>
      <c r="F20173">
        <v>44666519</v>
      </c>
      <c r="G20173">
        <v>44666542</v>
      </c>
      <c r="H20173">
        <v>44666551</v>
      </c>
      <c r="I20173">
        <v>44666577</v>
      </c>
    </row>
    <row r="20174" spans="1:9" x14ac:dyDescent="0.2">
      <c r="A20174" s="1" t="str">
        <f>"ZNF2"</f>
        <v>ZNF2</v>
      </c>
      <c r="B20174" t="s">
        <v>14</v>
      </c>
      <c r="C20174" t="s">
        <v>26</v>
      </c>
      <c r="D20174" t="s">
        <v>17</v>
      </c>
      <c r="E20174" t="s">
        <v>12</v>
      </c>
      <c r="F20174">
        <v>95831529</v>
      </c>
      <c r="G20174">
        <v>95831569</v>
      </c>
      <c r="H20174">
        <v>95831157</v>
      </c>
      <c r="I20174">
        <v>95831188</v>
      </c>
    </row>
    <row r="20175" spans="1:9" x14ac:dyDescent="0.2">
      <c r="A20175" s="1" t="str">
        <f>"ZNF20"</f>
        <v>ZNF20</v>
      </c>
      <c r="B20175" t="s">
        <v>9</v>
      </c>
      <c r="C20175" t="s">
        <v>10</v>
      </c>
      <c r="D20175" t="s">
        <v>11</v>
      </c>
      <c r="E20175" t="s">
        <v>12</v>
      </c>
      <c r="F20175">
        <v>12267524</v>
      </c>
      <c r="G20175">
        <v>12267564</v>
      </c>
      <c r="H20175">
        <v>12267524</v>
      </c>
      <c r="I20175">
        <v>12267564</v>
      </c>
    </row>
    <row r="20176" spans="1:9" x14ac:dyDescent="0.2">
      <c r="A20176" s="1" t="str">
        <f>"ZNF20"</f>
        <v>ZNF20</v>
      </c>
      <c r="B20176" t="s">
        <v>13</v>
      </c>
      <c r="C20176" t="s">
        <v>10</v>
      </c>
      <c r="D20176" t="s">
        <v>11</v>
      </c>
      <c r="E20176" t="s">
        <v>12</v>
      </c>
      <c r="F20176">
        <v>12251144</v>
      </c>
      <c r="G20176">
        <v>12251181</v>
      </c>
      <c r="H20176">
        <v>12251144</v>
      </c>
      <c r="I20176">
        <v>12251181</v>
      </c>
    </row>
    <row r="20177" spans="1:9" x14ac:dyDescent="0.2">
      <c r="A20177" s="1" t="str">
        <f>"ZNF200"</f>
        <v>ZNF200</v>
      </c>
      <c r="B20177" t="s">
        <v>14</v>
      </c>
      <c r="C20177" t="s">
        <v>31</v>
      </c>
      <c r="D20177" t="s">
        <v>11</v>
      </c>
      <c r="E20177" t="s">
        <v>12</v>
      </c>
      <c r="F20177">
        <v>3285144</v>
      </c>
      <c r="G20177">
        <v>3285191</v>
      </c>
      <c r="H20177">
        <v>3285119</v>
      </c>
      <c r="I20177">
        <v>3285133</v>
      </c>
    </row>
    <row r="20178" spans="1:9" x14ac:dyDescent="0.2">
      <c r="A20178" s="1" t="str">
        <f>"ZNF202"</f>
        <v>ZNF202</v>
      </c>
      <c r="B20178" t="s">
        <v>14</v>
      </c>
      <c r="C20178" t="s">
        <v>27</v>
      </c>
      <c r="D20178" t="s">
        <v>11</v>
      </c>
      <c r="E20178" t="s">
        <v>12</v>
      </c>
      <c r="F20178">
        <v>123612319</v>
      </c>
      <c r="G20178">
        <v>123612395</v>
      </c>
      <c r="H20178">
        <v>123612399</v>
      </c>
      <c r="I20178">
        <v>123612400</v>
      </c>
    </row>
    <row r="20179" spans="1:9" x14ac:dyDescent="0.2">
      <c r="A20179" s="1" t="str">
        <f>"ZNF205"</f>
        <v>ZNF205</v>
      </c>
      <c r="B20179" t="s">
        <v>14</v>
      </c>
      <c r="C20179" t="s">
        <v>31</v>
      </c>
      <c r="D20179" t="s">
        <v>17</v>
      </c>
      <c r="E20179" t="s">
        <v>12</v>
      </c>
      <c r="F20179">
        <v>3162557</v>
      </c>
      <c r="G20179">
        <v>3162600</v>
      </c>
      <c r="H20179">
        <v>3162647</v>
      </c>
      <c r="I20179">
        <v>3162651</v>
      </c>
    </row>
    <row r="20180" spans="1:9" x14ac:dyDescent="0.2">
      <c r="A20180" s="1" t="str">
        <f>"ZNF207"</f>
        <v>ZNF207</v>
      </c>
      <c r="B20180" t="s">
        <v>9</v>
      </c>
      <c r="C20180" t="s">
        <v>28</v>
      </c>
      <c r="D20180" t="s">
        <v>17</v>
      </c>
      <c r="E20180" t="s">
        <v>12</v>
      </c>
      <c r="F20180">
        <v>30677160</v>
      </c>
      <c r="G20180">
        <v>30677200</v>
      </c>
      <c r="H20180">
        <v>30677160</v>
      </c>
      <c r="I20180">
        <v>30677200</v>
      </c>
    </row>
    <row r="20181" spans="1:9" x14ac:dyDescent="0.2">
      <c r="A20181" s="1" t="str">
        <f>"ZNF207"</f>
        <v>ZNF207</v>
      </c>
      <c r="B20181" t="s">
        <v>13</v>
      </c>
      <c r="C20181" t="s">
        <v>28</v>
      </c>
      <c r="D20181" t="s">
        <v>17</v>
      </c>
      <c r="E20181" t="s">
        <v>12</v>
      </c>
      <c r="F20181">
        <v>30687655</v>
      </c>
      <c r="G20181">
        <v>30687673</v>
      </c>
      <c r="H20181">
        <v>30687655</v>
      </c>
      <c r="I20181">
        <v>30687673</v>
      </c>
    </row>
    <row r="20182" spans="1:9" x14ac:dyDescent="0.2">
      <c r="A20182" s="1" t="str">
        <f>"ZNF208"</f>
        <v>ZNF208</v>
      </c>
      <c r="B20182" t="s">
        <v>14</v>
      </c>
      <c r="C20182" t="s">
        <v>10</v>
      </c>
      <c r="D20182" t="s">
        <v>11</v>
      </c>
      <c r="E20182" t="s">
        <v>12</v>
      </c>
      <c r="F20182">
        <v>22193731</v>
      </c>
      <c r="G20182">
        <v>22193751</v>
      </c>
      <c r="H20182">
        <v>22193706</v>
      </c>
      <c r="I20182">
        <v>22193717</v>
      </c>
    </row>
    <row r="20183" spans="1:9" x14ac:dyDescent="0.2">
      <c r="A20183" s="1" t="str">
        <f>"ZNF211"</f>
        <v>ZNF211</v>
      </c>
      <c r="B20183" t="s">
        <v>14</v>
      </c>
      <c r="C20183" t="s">
        <v>10</v>
      </c>
      <c r="D20183" t="s">
        <v>17</v>
      </c>
      <c r="E20183" t="s">
        <v>12</v>
      </c>
      <c r="F20183">
        <v>58144529</v>
      </c>
      <c r="G20183">
        <v>58144579</v>
      </c>
      <c r="H20183">
        <v>58144589</v>
      </c>
      <c r="I20183">
        <v>58144603</v>
      </c>
    </row>
    <row r="20184" spans="1:9" x14ac:dyDescent="0.2">
      <c r="A20184" s="1" t="str">
        <f>"ZNF212"</f>
        <v>ZNF212</v>
      </c>
      <c r="B20184" t="s">
        <v>14</v>
      </c>
      <c r="C20184" t="s">
        <v>33</v>
      </c>
      <c r="D20184" t="s">
        <v>17</v>
      </c>
      <c r="E20184" t="s">
        <v>12</v>
      </c>
      <c r="F20184">
        <v>148936732</v>
      </c>
      <c r="G20184">
        <v>148936761</v>
      </c>
      <c r="H20184">
        <v>148936732</v>
      </c>
      <c r="I20184">
        <v>148936761</v>
      </c>
    </row>
    <row r="20185" spans="1:9" x14ac:dyDescent="0.2">
      <c r="A20185" s="1" t="str">
        <f>"ZNF213"</f>
        <v>ZNF213</v>
      </c>
      <c r="B20185" t="s">
        <v>14</v>
      </c>
      <c r="C20185" t="s">
        <v>31</v>
      </c>
      <c r="D20185" t="s">
        <v>17</v>
      </c>
      <c r="E20185" t="s">
        <v>12</v>
      </c>
      <c r="F20185">
        <v>3185125</v>
      </c>
      <c r="G20185">
        <v>3185173</v>
      </c>
      <c r="H20185">
        <v>3185024</v>
      </c>
      <c r="I20185">
        <v>3185045</v>
      </c>
    </row>
    <row r="20186" spans="1:9" x14ac:dyDescent="0.2">
      <c r="A20186" s="1" t="str">
        <f>"ZNF214"</f>
        <v>ZNF214</v>
      </c>
      <c r="B20186" t="s">
        <v>14</v>
      </c>
      <c r="C20186" t="s">
        <v>27</v>
      </c>
      <c r="D20186" t="s">
        <v>11</v>
      </c>
      <c r="E20186" t="s">
        <v>12</v>
      </c>
      <c r="F20186">
        <v>7041554</v>
      </c>
      <c r="G20186">
        <v>7041602</v>
      </c>
      <c r="H20186">
        <v>7041604</v>
      </c>
      <c r="I20186">
        <v>7041618</v>
      </c>
    </row>
    <row r="20187" spans="1:9" x14ac:dyDescent="0.2">
      <c r="A20187" s="1" t="str">
        <f>"ZNF215"</f>
        <v>ZNF215</v>
      </c>
      <c r="B20187" t="s">
        <v>14</v>
      </c>
      <c r="C20187" t="s">
        <v>27</v>
      </c>
      <c r="D20187" t="s">
        <v>17</v>
      </c>
      <c r="E20187" t="s">
        <v>12</v>
      </c>
      <c r="F20187">
        <v>6947720</v>
      </c>
      <c r="G20187">
        <v>6947812</v>
      </c>
      <c r="H20187">
        <v>6947647</v>
      </c>
      <c r="I20187">
        <v>6947698</v>
      </c>
    </row>
    <row r="20188" spans="1:9" x14ac:dyDescent="0.2">
      <c r="A20188" s="1" t="str">
        <f>"ZNF217"</f>
        <v>ZNF217</v>
      </c>
      <c r="B20188" t="s">
        <v>9</v>
      </c>
      <c r="C20188" t="s">
        <v>29</v>
      </c>
      <c r="D20188" t="s">
        <v>11</v>
      </c>
      <c r="E20188" t="s">
        <v>12</v>
      </c>
      <c r="F20188">
        <v>52210368</v>
      </c>
      <c r="G20188">
        <v>52210384</v>
      </c>
      <c r="H20188">
        <v>52210368</v>
      </c>
      <c r="I20188">
        <v>52210384</v>
      </c>
    </row>
    <row r="20189" spans="1:9" x14ac:dyDescent="0.2">
      <c r="A20189" s="1" t="str">
        <f>"ZNF217"</f>
        <v>ZNF217</v>
      </c>
      <c r="B20189" t="s">
        <v>13</v>
      </c>
      <c r="C20189" t="s">
        <v>29</v>
      </c>
      <c r="D20189" t="s">
        <v>11</v>
      </c>
      <c r="E20189" t="s">
        <v>12</v>
      </c>
      <c r="F20189">
        <v>52185447</v>
      </c>
      <c r="G20189">
        <v>52185462</v>
      </c>
      <c r="H20189">
        <v>52185447</v>
      </c>
      <c r="I20189">
        <v>52185462</v>
      </c>
    </row>
    <row r="20190" spans="1:9" x14ac:dyDescent="0.2">
      <c r="A20190" s="1" t="str">
        <f>"ZNF219"</f>
        <v>ZNF219</v>
      </c>
      <c r="B20190" t="s">
        <v>14</v>
      </c>
      <c r="C20190" t="s">
        <v>41</v>
      </c>
      <c r="D20190" t="s">
        <v>11</v>
      </c>
      <c r="E20190" t="s">
        <v>12</v>
      </c>
      <c r="F20190">
        <v>21566731</v>
      </c>
      <c r="G20190">
        <v>21566836</v>
      </c>
      <c r="H20190">
        <v>21566540</v>
      </c>
      <c r="I20190">
        <v>21566580</v>
      </c>
    </row>
    <row r="20191" spans="1:9" x14ac:dyDescent="0.2">
      <c r="A20191" s="1" t="str">
        <f>"ZNF22"</f>
        <v>ZNF22</v>
      </c>
      <c r="B20191" t="s">
        <v>14</v>
      </c>
      <c r="C20191" t="s">
        <v>15</v>
      </c>
      <c r="D20191" t="s">
        <v>17</v>
      </c>
      <c r="E20191" t="s">
        <v>12</v>
      </c>
      <c r="F20191">
        <v>45496346</v>
      </c>
      <c r="G20191">
        <v>45496409</v>
      </c>
      <c r="H20191">
        <v>45495946</v>
      </c>
      <c r="I20191">
        <v>45495976</v>
      </c>
    </row>
    <row r="20192" spans="1:9" x14ac:dyDescent="0.2">
      <c r="A20192" s="1" t="str">
        <f>"ZNF221"</f>
        <v>ZNF221</v>
      </c>
      <c r="B20192" t="s">
        <v>14</v>
      </c>
      <c r="C20192" t="s">
        <v>10</v>
      </c>
      <c r="D20192" t="s">
        <v>17</v>
      </c>
      <c r="E20192" t="s">
        <v>12</v>
      </c>
      <c r="F20192">
        <v>44455368</v>
      </c>
      <c r="G20192">
        <v>44455396</v>
      </c>
      <c r="H20192">
        <v>44455425</v>
      </c>
      <c r="I20192">
        <v>44455435</v>
      </c>
    </row>
    <row r="20193" spans="1:9" x14ac:dyDescent="0.2">
      <c r="A20193" s="1" t="str">
        <f>"ZNF222"</f>
        <v>ZNF222</v>
      </c>
      <c r="B20193" t="s">
        <v>14</v>
      </c>
      <c r="C20193" t="s">
        <v>10</v>
      </c>
      <c r="D20193" t="s">
        <v>17</v>
      </c>
      <c r="E20193" t="s">
        <v>12</v>
      </c>
      <c r="F20193">
        <v>44529479</v>
      </c>
      <c r="G20193">
        <v>44529542</v>
      </c>
      <c r="H20193">
        <v>44529479</v>
      </c>
      <c r="I20193">
        <v>44529542</v>
      </c>
    </row>
    <row r="20194" spans="1:9" x14ac:dyDescent="0.2">
      <c r="A20194" s="1" t="str">
        <f>"ZNF223"</f>
        <v>ZNF223</v>
      </c>
      <c r="B20194" t="s">
        <v>14</v>
      </c>
      <c r="C20194" t="s">
        <v>10</v>
      </c>
      <c r="D20194" t="s">
        <v>17</v>
      </c>
      <c r="E20194" t="s">
        <v>12</v>
      </c>
      <c r="F20194">
        <v>44556158</v>
      </c>
      <c r="G20194">
        <v>44556206</v>
      </c>
      <c r="H20194">
        <v>44556213</v>
      </c>
      <c r="I20194">
        <v>44556225</v>
      </c>
    </row>
    <row r="20195" spans="1:9" x14ac:dyDescent="0.2">
      <c r="A20195" s="1" t="str">
        <f>"ZNF224"</f>
        <v>ZNF224</v>
      </c>
      <c r="B20195" t="s">
        <v>14</v>
      </c>
      <c r="C20195" t="s">
        <v>10</v>
      </c>
      <c r="D20195" t="s">
        <v>17</v>
      </c>
      <c r="E20195" t="s">
        <v>12</v>
      </c>
      <c r="F20195">
        <v>44598498</v>
      </c>
      <c r="G20195">
        <v>44598529</v>
      </c>
      <c r="H20195">
        <v>44598534</v>
      </c>
      <c r="I20195">
        <v>44598559</v>
      </c>
    </row>
    <row r="20196" spans="1:9" x14ac:dyDescent="0.2">
      <c r="A20196" s="1" t="str">
        <f>"ZNF225"</f>
        <v>ZNF225</v>
      </c>
      <c r="B20196" t="s">
        <v>14</v>
      </c>
      <c r="C20196" t="s">
        <v>10</v>
      </c>
      <c r="D20196" t="s">
        <v>17</v>
      </c>
      <c r="E20196" t="s">
        <v>12</v>
      </c>
      <c r="F20196">
        <v>44617538</v>
      </c>
      <c r="G20196">
        <v>44617598</v>
      </c>
      <c r="H20196">
        <v>44617617</v>
      </c>
      <c r="I20196">
        <v>44617628</v>
      </c>
    </row>
    <row r="20197" spans="1:9" x14ac:dyDescent="0.2">
      <c r="A20197" s="1" t="str">
        <f>"ZNF226"</f>
        <v>ZNF226</v>
      </c>
      <c r="B20197" t="s">
        <v>9</v>
      </c>
      <c r="C20197" t="s">
        <v>10</v>
      </c>
      <c r="D20197" t="s">
        <v>17</v>
      </c>
      <c r="E20197" t="s">
        <v>12</v>
      </c>
      <c r="F20197">
        <v>44669221</v>
      </c>
      <c r="G20197">
        <v>44669274</v>
      </c>
      <c r="H20197">
        <v>44669221</v>
      </c>
      <c r="I20197">
        <v>44669274</v>
      </c>
    </row>
    <row r="20198" spans="1:9" x14ac:dyDescent="0.2">
      <c r="A20198" s="1" t="str">
        <f>"ZNF226"</f>
        <v>ZNF226</v>
      </c>
      <c r="B20198" t="s">
        <v>13</v>
      </c>
      <c r="C20198" t="s">
        <v>10</v>
      </c>
      <c r="D20198" t="s">
        <v>17</v>
      </c>
      <c r="E20198" t="s">
        <v>12</v>
      </c>
      <c r="F20198">
        <v>44645731</v>
      </c>
      <c r="G20198">
        <v>44645786</v>
      </c>
      <c r="H20198">
        <v>44645731</v>
      </c>
      <c r="I20198">
        <v>44645786</v>
      </c>
    </row>
    <row r="20199" spans="1:9" x14ac:dyDescent="0.2">
      <c r="A20199" s="1" t="str">
        <f>"ZNF227"</f>
        <v>ZNF227</v>
      </c>
      <c r="B20199" t="s">
        <v>14</v>
      </c>
      <c r="C20199" t="s">
        <v>10</v>
      </c>
      <c r="D20199" t="s">
        <v>17</v>
      </c>
      <c r="E20199" t="s">
        <v>12</v>
      </c>
      <c r="F20199">
        <v>44716678</v>
      </c>
      <c r="G20199">
        <v>44716732</v>
      </c>
      <c r="H20199">
        <v>44716768</v>
      </c>
      <c r="I20199">
        <v>44716775</v>
      </c>
    </row>
    <row r="20200" spans="1:9" x14ac:dyDescent="0.2">
      <c r="A20200" s="1" t="str">
        <f>"ZNF229"</f>
        <v>ZNF229</v>
      </c>
      <c r="B20200" t="s">
        <v>14</v>
      </c>
      <c r="C20200" t="s">
        <v>10</v>
      </c>
      <c r="D20200" t="s">
        <v>11</v>
      </c>
      <c r="E20200" t="s">
        <v>12</v>
      </c>
      <c r="F20200">
        <v>44952635</v>
      </c>
      <c r="G20200">
        <v>44952668</v>
      </c>
      <c r="H20200">
        <v>44952621</v>
      </c>
      <c r="I20200">
        <v>44952634</v>
      </c>
    </row>
    <row r="20201" spans="1:9" x14ac:dyDescent="0.2">
      <c r="A20201" s="1" t="str">
        <f>"ZNF23"</f>
        <v>ZNF23</v>
      </c>
      <c r="B20201" t="s">
        <v>9</v>
      </c>
      <c r="C20201" t="s">
        <v>31</v>
      </c>
      <c r="D20201" t="s">
        <v>11</v>
      </c>
      <c r="E20201" t="s">
        <v>12</v>
      </c>
      <c r="F20201">
        <v>71496112</v>
      </c>
      <c r="G20201">
        <v>71496160</v>
      </c>
      <c r="H20201">
        <v>71496112</v>
      </c>
      <c r="I20201">
        <v>71496160</v>
      </c>
    </row>
    <row r="20202" spans="1:9" x14ac:dyDescent="0.2">
      <c r="A20202" s="1" t="str">
        <f>"ZNF23"</f>
        <v>ZNF23</v>
      </c>
      <c r="B20202" t="s">
        <v>13</v>
      </c>
      <c r="C20202" t="s">
        <v>31</v>
      </c>
      <c r="D20202" t="s">
        <v>11</v>
      </c>
      <c r="E20202" t="s">
        <v>12</v>
      </c>
      <c r="F20202">
        <v>71523222</v>
      </c>
      <c r="G20202">
        <v>71523232</v>
      </c>
      <c r="H20202">
        <v>71523222</v>
      </c>
      <c r="I20202">
        <v>71523232</v>
      </c>
    </row>
    <row r="20203" spans="1:9" x14ac:dyDescent="0.2">
      <c r="A20203" s="1" t="str">
        <f>"ZNF230"</f>
        <v>ZNF230</v>
      </c>
      <c r="B20203" t="s">
        <v>14</v>
      </c>
      <c r="C20203" t="s">
        <v>10</v>
      </c>
      <c r="D20203" t="s">
        <v>17</v>
      </c>
      <c r="E20203" t="s">
        <v>12</v>
      </c>
      <c r="F20203">
        <v>44507091</v>
      </c>
      <c r="G20203">
        <v>44507163</v>
      </c>
      <c r="H20203">
        <v>44507073</v>
      </c>
      <c r="I20203">
        <v>44507081</v>
      </c>
    </row>
    <row r="20204" spans="1:9" x14ac:dyDescent="0.2">
      <c r="A20204" s="1" t="str">
        <f>"ZNF232"</f>
        <v>ZNF232</v>
      </c>
      <c r="B20204" t="s">
        <v>9</v>
      </c>
      <c r="C20204" t="s">
        <v>28</v>
      </c>
      <c r="D20204" t="s">
        <v>11</v>
      </c>
      <c r="E20204" t="s">
        <v>12</v>
      </c>
      <c r="F20204">
        <v>5015129</v>
      </c>
      <c r="G20204">
        <v>5015187</v>
      </c>
      <c r="H20204">
        <v>5015129</v>
      </c>
      <c r="I20204">
        <v>5015187</v>
      </c>
    </row>
    <row r="20205" spans="1:9" x14ac:dyDescent="0.2">
      <c r="A20205" s="1" t="str">
        <f>"ZNF232"</f>
        <v>ZNF232</v>
      </c>
      <c r="B20205" t="s">
        <v>13</v>
      </c>
      <c r="C20205" t="s">
        <v>28</v>
      </c>
      <c r="D20205" t="s">
        <v>11</v>
      </c>
      <c r="E20205" t="s">
        <v>12</v>
      </c>
      <c r="F20205">
        <v>5026405</v>
      </c>
      <c r="G20205">
        <v>5026422</v>
      </c>
      <c r="H20205">
        <v>5026405</v>
      </c>
      <c r="I20205">
        <v>5026422</v>
      </c>
    </row>
    <row r="20206" spans="1:9" x14ac:dyDescent="0.2">
      <c r="A20206" s="1" t="str">
        <f>"ZNF233"</f>
        <v>ZNF233</v>
      </c>
      <c r="B20206" t="s">
        <v>14</v>
      </c>
      <c r="C20206" t="s">
        <v>10</v>
      </c>
      <c r="D20206" t="s">
        <v>17</v>
      </c>
      <c r="E20206" t="s">
        <v>12</v>
      </c>
      <c r="F20206">
        <v>44764031</v>
      </c>
      <c r="G20206">
        <v>44764072</v>
      </c>
      <c r="H20206">
        <v>44764088</v>
      </c>
      <c r="I20206">
        <v>44764099</v>
      </c>
    </row>
    <row r="20207" spans="1:9" x14ac:dyDescent="0.2">
      <c r="A20207" s="1" t="str">
        <f>"ZNF234"</f>
        <v>ZNF234</v>
      </c>
      <c r="B20207" t="s">
        <v>9</v>
      </c>
      <c r="C20207" t="s">
        <v>10</v>
      </c>
      <c r="D20207" t="s">
        <v>17</v>
      </c>
      <c r="E20207" t="s">
        <v>12</v>
      </c>
      <c r="F20207">
        <v>44669221</v>
      </c>
      <c r="G20207">
        <v>44669274</v>
      </c>
      <c r="H20207">
        <v>44669221</v>
      </c>
      <c r="I20207">
        <v>44669274</v>
      </c>
    </row>
    <row r="20208" spans="1:9" x14ac:dyDescent="0.2">
      <c r="A20208" s="1" t="str">
        <f>"ZNF234"</f>
        <v>ZNF234</v>
      </c>
      <c r="B20208" t="s">
        <v>13</v>
      </c>
      <c r="C20208" t="s">
        <v>10</v>
      </c>
      <c r="D20208" t="s">
        <v>17</v>
      </c>
      <c r="E20208" t="s">
        <v>12</v>
      </c>
      <c r="F20208">
        <v>44645731</v>
      </c>
      <c r="G20208">
        <v>44645786</v>
      </c>
      <c r="H20208">
        <v>44645731</v>
      </c>
      <c r="I20208">
        <v>44645786</v>
      </c>
    </row>
    <row r="20209" spans="1:9" x14ac:dyDescent="0.2">
      <c r="A20209" s="1" t="str">
        <f>"ZNF235"</f>
        <v>ZNF235</v>
      </c>
      <c r="B20209" t="s">
        <v>14</v>
      </c>
      <c r="C20209" t="s">
        <v>10</v>
      </c>
      <c r="D20209" t="s">
        <v>11</v>
      </c>
      <c r="E20209" t="s">
        <v>12</v>
      </c>
      <c r="F20209">
        <v>44809143</v>
      </c>
      <c r="G20209">
        <v>44809187</v>
      </c>
      <c r="H20209">
        <v>44809143</v>
      </c>
      <c r="I20209">
        <v>44809187</v>
      </c>
    </row>
    <row r="20210" spans="1:9" x14ac:dyDescent="0.2">
      <c r="A20210" s="1" t="str">
        <f>"ZNF236"</f>
        <v>ZNF236</v>
      </c>
      <c r="B20210" t="s">
        <v>14</v>
      </c>
      <c r="C20210" t="s">
        <v>43</v>
      </c>
      <c r="D20210" t="s">
        <v>17</v>
      </c>
      <c r="E20210" t="s">
        <v>12</v>
      </c>
      <c r="F20210">
        <v>74534479</v>
      </c>
      <c r="G20210">
        <v>74534551</v>
      </c>
      <c r="H20210">
        <v>74534284</v>
      </c>
      <c r="I20210">
        <v>74534360</v>
      </c>
    </row>
    <row r="20211" spans="1:9" x14ac:dyDescent="0.2">
      <c r="A20211" s="1" t="str">
        <f>"ZNF239"</f>
        <v>ZNF239</v>
      </c>
      <c r="B20211" t="s">
        <v>14</v>
      </c>
      <c r="C20211" t="s">
        <v>15</v>
      </c>
      <c r="D20211" t="s">
        <v>11</v>
      </c>
      <c r="E20211" t="s">
        <v>12</v>
      </c>
      <c r="F20211">
        <v>44070016</v>
      </c>
      <c r="G20211">
        <v>44070069</v>
      </c>
      <c r="H20211">
        <v>44069981</v>
      </c>
      <c r="I20211">
        <v>44069988</v>
      </c>
    </row>
    <row r="20212" spans="1:9" x14ac:dyDescent="0.2">
      <c r="A20212" s="1" t="str">
        <f>"ZNF24"</f>
        <v>ZNF24</v>
      </c>
      <c r="B20212" t="s">
        <v>14</v>
      </c>
      <c r="C20212" t="s">
        <v>43</v>
      </c>
      <c r="D20212" t="s">
        <v>11</v>
      </c>
      <c r="E20212" t="s">
        <v>12</v>
      </c>
      <c r="F20212">
        <v>32924372</v>
      </c>
      <c r="G20212">
        <v>32924430</v>
      </c>
      <c r="H20212">
        <v>32924431</v>
      </c>
      <c r="I20212">
        <v>32924440</v>
      </c>
    </row>
    <row r="20213" spans="1:9" x14ac:dyDescent="0.2">
      <c r="A20213" s="1" t="str">
        <f>"ZNF248"</f>
        <v>ZNF248</v>
      </c>
      <c r="B20213" t="s">
        <v>14</v>
      </c>
      <c r="C20213" t="s">
        <v>15</v>
      </c>
      <c r="D20213" t="s">
        <v>11</v>
      </c>
      <c r="E20213" t="s">
        <v>12</v>
      </c>
      <c r="F20213">
        <v>38146510</v>
      </c>
      <c r="G20213">
        <v>38146576</v>
      </c>
      <c r="H20213">
        <v>38146994</v>
      </c>
      <c r="I20213">
        <v>38147039</v>
      </c>
    </row>
    <row r="20214" spans="1:9" x14ac:dyDescent="0.2">
      <c r="A20214" s="1" t="str">
        <f>"ZNF25"</f>
        <v>ZNF25</v>
      </c>
      <c r="B20214" t="s">
        <v>14</v>
      </c>
      <c r="C20214" t="s">
        <v>15</v>
      </c>
      <c r="D20214" t="s">
        <v>11</v>
      </c>
      <c r="E20214" t="s">
        <v>12</v>
      </c>
      <c r="F20214">
        <v>38265517</v>
      </c>
      <c r="G20214">
        <v>38265591</v>
      </c>
      <c r="H20214">
        <v>38265457</v>
      </c>
      <c r="I20214">
        <v>38265499</v>
      </c>
    </row>
    <row r="20215" spans="1:9" x14ac:dyDescent="0.2">
      <c r="A20215" s="1" t="str">
        <f>"ZNF250"</f>
        <v>ZNF250</v>
      </c>
      <c r="B20215" t="s">
        <v>14</v>
      </c>
      <c r="C20215" t="s">
        <v>30</v>
      </c>
      <c r="D20215" t="s">
        <v>11</v>
      </c>
      <c r="E20215" t="s">
        <v>12</v>
      </c>
      <c r="F20215">
        <v>146126799</v>
      </c>
      <c r="G20215">
        <v>146126865</v>
      </c>
      <c r="H20215">
        <v>146127473</v>
      </c>
      <c r="I20215">
        <v>146127507</v>
      </c>
    </row>
    <row r="20216" spans="1:9" x14ac:dyDescent="0.2">
      <c r="A20216" s="1" t="str">
        <f>"ZNF251"</f>
        <v>ZNF251</v>
      </c>
      <c r="B20216" t="s">
        <v>14</v>
      </c>
      <c r="C20216" t="s">
        <v>30</v>
      </c>
      <c r="D20216" t="s">
        <v>11</v>
      </c>
      <c r="E20216" t="s">
        <v>12</v>
      </c>
      <c r="F20216">
        <v>145980808</v>
      </c>
      <c r="G20216">
        <v>145980922</v>
      </c>
      <c r="H20216">
        <v>145980968</v>
      </c>
      <c r="I20216">
        <v>145980996</v>
      </c>
    </row>
    <row r="20217" spans="1:9" x14ac:dyDescent="0.2">
      <c r="A20217" s="1" t="str">
        <f>"ZNF253"</f>
        <v>ZNF253</v>
      </c>
      <c r="B20217" t="s">
        <v>14</v>
      </c>
      <c r="C20217" t="s">
        <v>10</v>
      </c>
      <c r="D20217" t="s">
        <v>17</v>
      </c>
      <c r="E20217" t="s">
        <v>12</v>
      </c>
      <c r="F20217">
        <v>19976683</v>
      </c>
      <c r="G20217">
        <v>19976709</v>
      </c>
      <c r="H20217">
        <v>19976634</v>
      </c>
      <c r="I20217">
        <v>19976677</v>
      </c>
    </row>
    <row r="20218" spans="1:9" x14ac:dyDescent="0.2">
      <c r="A20218" s="1" t="str">
        <f>"ZNF254"</f>
        <v>ZNF254</v>
      </c>
      <c r="B20218" t="s">
        <v>1846</v>
      </c>
      <c r="C20218" t="s">
        <v>10</v>
      </c>
      <c r="D20218" t="s">
        <v>17</v>
      </c>
      <c r="E20218" t="s">
        <v>35</v>
      </c>
      <c r="F20218">
        <v>24269949</v>
      </c>
      <c r="G20218">
        <v>24269969</v>
      </c>
      <c r="H20218">
        <v>24270027</v>
      </c>
      <c r="I20218">
        <v>24270034</v>
      </c>
    </row>
    <row r="20219" spans="1:9" x14ac:dyDescent="0.2">
      <c r="A20219" s="1" t="str">
        <f>"ZNF256"</f>
        <v>ZNF256</v>
      </c>
      <c r="B20219" t="s">
        <v>14</v>
      </c>
      <c r="C20219" t="s">
        <v>10</v>
      </c>
      <c r="D20219" t="s">
        <v>11</v>
      </c>
      <c r="E20219" t="s">
        <v>12</v>
      </c>
      <c r="F20219">
        <v>58459047</v>
      </c>
      <c r="G20219">
        <v>58459083</v>
      </c>
      <c r="H20219">
        <v>58458880</v>
      </c>
      <c r="I20219">
        <v>58458881</v>
      </c>
    </row>
    <row r="20220" spans="1:9" x14ac:dyDescent="0.2">
      <c r="A20220" s="1" t="str">
        <f>"ZNF257"</f>
        <v>ZNF257</v>
      </c>
      <c r="B20220" t="s">
        <v>14</v>
      </c>
      <c r="C20220" t="s">
        <v>10</v>
      </c>
      <c r="D20220" t="s">
        <v>17</v>
      </c>
      <c r="E20220" t="s">
        <v>12</v>
      </c>
      <c r="F20220">
        <v>22235279</v>
      </c>
      <c r="G20220">
        <v>22235301</v>
      </c>
      <c r="H20220">
        <v>22235310</v>
      </c>
      <c r="I20220">
        <v>22235319</v>
      </c>
    </row>
    <row r="20221" spans="1:9" x14ac:dyDescent="0.2">
      <c r="A20221" s="1" t="str">
        <f>"ZNF259"</f>
        <v>ZNF259</v>
      </c>
      <c r="B20221" t="s">
        <v>14</v>
      </c>
      <c r="C20221" t="s">
        <v>27</v>
      </c>
      <c r="D20221" t="s">
        <v>11</v>
      </c>
      <c r="E20221" t="s">
        <v>12</v>
      </c>
      <c r="F20221">
        <v>116658709</v>
      </c>
      <c r="G20221">
        <v>116658750</v>
      </c>
      <c r="H20221">
        <v>116658758</v>
      </c>
      <c r="I20221">
        <v>116658765</v>
      </c>
    </row>
    <row r="20222" spans="1:9" x14ac:dyDescent="0.2">
      <c r="A20222" s="1" t="str">
        <f>"ZNF26"</f>
        <v>ZNF26</v>
      </c>
      <c r="B20222" t="s">
        <v>14</v>
      </c>
      <c r="C20222" t="s">
        <v>16</v>
      </c>
      <c r="D20222" t="s">
        <v>17</v>
      </c>
      <c r="E20222" t="s">
        <v>12</v>
      </c>
      <c r="F20222">
        <v>133562959</v>
      </c>
      <c r="G20222">
        <v>133563013</v>
      </c>
      <c r="H20222">
        <v>133562945</v>
      </c>
      <c r="I20222">
        <v>133562958</v>
      </c>
    </row>
    <row r="20223" spans="1:9" x14ac:dyDescent="0.2">
      <c r="A20223" s="1" t="str">
        <f>"ZNF260"</f>
        <v>ZNF260</v>
      </c>
      <c r="B20223" t="s">
        <v>14</v>
      </c>
      <c r="C20223" t="s">
        <v>10</v>
      </c>
      <c r="D20223" t="s">
        <v>11</v>
      </c>
      <c r="E20223" t="s">
        <v>12</v>
      </c>
      <c r="F20223">
        <v>37019136</v>
      </c>
      <c r="G20223">
        <v>37019178</v>
      </c>
      <c r="H20223">
        <v>37019569</v>
      </c>
      <c r="I20223">
        <v>37019593</v>
      </c>
    </row>
    <row r="20224" spans="1:9" x14ac:dyDescent="0.2">
      <c r="A20224" s="1" t="str">
        <f>"ZNF263"</f>
        <v>ZNF263</v>
      </c>
      <c r="B20224" t="s">
        <v>9</v>
      </c>
      <c r="C20224" t="s">
        <v>31</v>
      </c>
      <c r="D20224" t="s">
        <v>17</v>
      </c>
      <c r="E20224" t="s">
        <v>12</v>
      </c>
      <c r="F20224">
        <v>3333443</v>
      </c>
      <c r="G20224">
        <v>3333545</v>
      </c>
      <c r="H20224">
        <v>3333443</v>
      </c>
      <c r="I20224">
        <v>3333545</v>
      </c>
    </row>
    <row r="20225" spans="1:9" x14ac:dyDescent="0.2">
      <c r="A20225" s="1" t="str">
        <f>"ZNF263"</f>
        <v>ZNF263</v>
      </c>
      <c r="B20225" t="s">
        <v>13</v>
      </c>
      <c r="C20225" t="s">
        <v>31</v>
      </c>
      <c r="D20225" t="s">
        <v>17</v>
      </c>
      <c r="E20225" t="s">
        <v>12</v>
      </c>
      <c r="F20225">
        <v>3313791</v>
      </c>
      <c r="G20225">
        <v>3313834</v>
      </c>
      <c r="H20225">
        <v>3313791</v>
      </c>
      <c r="I20225">
        <v>3313834</v>
      </c>
    </row>
    <row r="20226" spans="1:9" x14ac:dyDescent="0.2">
      <c r="A20226" s="1" t="str">
        <f>"ZNF264"</f>
        <v>ZNF264</v>
      </c>
      <c r="B20226" t="s">
        <v>14</v>
      </c>
      <c r="C20226" t="s">
        <v>10</v>
      </c>
      <c r="D20226" t="s">
        <v>17</v>
      </c>
      <c r="E20226" t="s">
        <v>12</v>
      </c>
      <c r="F20226">
        <v>57702846</v>
      </c>
      <c r="G20226">
        <v>57702891</v>
      </c>
      <c r="H20226">
        <v>57702832</v>
      </c>
      <c r="I20226">
        <v>57702844</v>
      </c>
    </row>
    <row r="20227" spans="1:9" x14ac:dyDescent="0.2">
      <c r="A20227" s="1" t="str">
        <f>"ZNF266"</f>
        <v>ZNF266</v>
      </c>
      <c r="B20227" t="s">
        <v>14</v>
      </c>
      <c r="C20227" t="s">
        <v>10</v>
      </c>
      <c r="D20227" t="s">
        <v>11</v>
      </c>
      <c r="E20227" t="s">
        <v>12</v>
      </c>
      <c r="F20227">
        <v>9546177</v>
      </c>
      <c r="G20227">
        <v>9546224</v>
      </c>
      <c r="H20227">
        <v>9546227</v>
      </c>
      <c r="I20227">
        <v>9546257</v>
      </c>
    </row>
    <row r="20228" spans="1:9" x14ac:dyDescent="0.2">
      <c r="A20228" s="1" t="str">
        <f>"ZNF267"</f>
        <v>ZNF267</v>
      </c>
      <c r="B20228" t="s">
        <v>9</v>
      </c>
      <c r="C20228" t="s">
        <v>31</v>
      </c>
      <c r="D20228" t="s">
        <v>17</v>
      </c>
      <c r="E20228" t="s">
        <v>12</v>
      </c>
      <c r="F20228">
        <v>31885093</v>
      </c>
      <c r="G20228">
        <v>31885165</v>
      </c>
      <c r="H20228">
        <v>31885093</v>
      </c>
      <c r="I20228">
        <v>31885165</v>
      </c>
    </row>
    <row r="20229" spans="1:9" x14ac:dyDescent="0.2">
      <c r="A20229" s="1" t="str">
        <f>"ZNF267"</f>
        <v>ZNF267</v>
      </c>
      <c r="B20229" t="s">
        <v>13</v>
      </c>
      <c r="C20229" t="s">
        <v>31</v>
      </c>
      <c r="D20229" t="s">
        <v>17</v>
      </c>
      <c r="E20229" t="s">
        <v>12</v>
      </c>
      <c r="F20229">
        <v>31895859</v>
      </c>
      <c r="G20229">
        <v>31895875</v>
      </c>
      <c r="H20229">
        <v>31895859</v>
      </c>
      <c r="I20229">
        <v>31895875</v>
      </c>
    </row>
    <row r="20230" spans="1:9" x14ac:dyDescent="0.2">
      <c r="A20230" s="1" t="str">
        <f>"ZNF268"</f>
        <v>ZNF268</v>
      </c>
      <c r="B20230" t="s">
        <v>14</v>
      </c>
      <c r="C20230" t="s">
        <v>16</v>
      </c>
      <c r="D20230" t="s">
        <v>17</v>
      </c>
      <c r="E20230" t="s">
        <v>12</v>
      </c>
      <c r="F20230">
        <v>133758072</v>
      </c>
      <c r="G20230">
        <v>133758114</v>
      </c>
      <c r="H20230">
        <v>133758072</v>
      </c>
      <c r="I20230">
        <v>133758114</v>
      </c>
    </row>
    <row r="20231" spans="1:9" x14ac:dyDescent="0.2">
      <c r="A20231" s="1" t="str">
        <f>"ZNF273"</f>
        <v>ZNF273</v>
      </c>
      <c r="B20231" t="s">
        <v>9</v>
      </c>
      <c r="C20231" t="s">
        <v>33</v>
      </c>
      <c r="D20231" t="s">
        <v>17</v>
      </c>
      <c r="E20231" t="s">
        <v>12</v>
      </c>
      <c r="F20231">
        <v>64363638</v>
      </c>
      <c r="G20231">
        <v>64363667</v>
      </c>
      <c r="H20231">
        <v>64363638</v>
      </c>
      <c r="I20231">
        <v>64363667</v>
      </c>
    </row>
    <row r="20232" spans="1:9" x14ac:dyDescent="0.2">
      <c r="A20232" s="1" t="str">
        <f>"ZNF273"</f>
        <v>ZNF273</v>
      </c>
      <c r="B20232" t="s">
        <v>13</v>
      </c>
      <c r="C20232" t="s">
        <v>33</v>
      </c>
      <c r="D20232" t="s">
        <v>17</v>
      </c>
      <c r="E20232" t="s">
        <v>12</v>
      </c>
      <c r="F20232">
        <v>64342913</v>
      </c>
      <c r="G20232">
        <v>64342935</v>
      </c>
      <c r="H20232">
        <v>64342913</v>
      </c>
      <c r="I20232">
        <v>64342935</v>
      </c>
    </row>
    <row r="20233" spans="1:9" x14ac:dyDescent="0.2">
      <c r="A20233" s="1" t="str">
        <f>"ZNF274"</f>
        <v>ZNF274</v>
      </c>
      <c r="B20233" t="s">
        <v>14</v>
      </c>
      <c r="C20233" t="s">
        <v>10</v>
      </c>
      <c r="D20233" t="s">
        <v>17</v>
      </c>
      <c r="E20233" t="s">
        <v>12</v>
      </c>
      <c r="F20233">
        <v>58694421</v>
      </c>
      <c r="G20233">
        <v>58694485</v>
      </c>
      <c r="H20233">
        <v>58694742</v>
      </c>
      <c r="I20233">
        <v>58694800</v>
      </c>
    </row>
    <row r="20234" spans="1:9" x14ac:dyDescent="0.2">
      <c r="A20234" s="1" t="str">
        <f>"ZNF275"</f>
        <v>ZNF275</v>
      </c>
      <c r="B20234" t="s">
        <v>14</v>
      </c>
      <c r="C20234" t="s">
        <v>37</v>
      </c>
      <c r="D20234" t="s">
        <v>17</v>
      </c>
      <c r="E20234" t="s">
        <v>12</v>
      </c>
      <c r="F20234">
        <v>152599604</v>
      </c>
      <c r="G20234">
        <v>152599626</v>
      </c>
      <c r="H20234">
        <v>152599579</v>
      </c>
      <c r="I20234">
        <v>152599595</v>
      </c>
    </row>
    <row r="20235" spans="1:9" x14ac:dyDescent="0.2">
      <c r="A20235" s="1" t="str">
        <f>"ZNF276"</f>
        <v>ZNF276</v>
      </c>
      <c r="B20235" t="s">
        <v>14</v>
      </c>
      <c r="C20235" t="s">
        <v>31</v>
      </c>
      <c r="D20235" t="s">
        <v>17</v>
      </c>
      <c r="E20235" t="s">
        <v>12</v>
      </c>
      <c r="F20235">
        <v>89787937</v>
      </c>
      <c r="G20235">
        <v>89787971</v>
      </c>
      <c r="H20235">
        <v>89787402</v>
      </c>
      <c r="I20235">
        <v>89787430</v>
      </c>
    </row>
    <row r="20236" spans="1:9" x14ac:dyDescent="0.2">
      <c r="A20236" s="1" t="str">
        <f>"ZNF277"</f>
        <v>ZNF277</v>
      </c>
      <c r="B20236" t="s">
        <v>14</v>
      </c>
      <c r="C20236" t="s">
        <v>33</v>
      </c>
      <c r="D20236" t="s">
        <v>17</v>
      </c>
      <c r="E20236" t="s">
        <v>12</v>
      </c>
      <c r="F20236">
        <v>111846741</v>
      </c>
      <c r="G20236">
        <v>111846776</v>
      </c>
      <c r="H20236">
        <v>111846777</v>
      </c>
      <c r="I20236">
        <v>111846804</v>
      </c>
    </row>
    <row r="20237" spans="1:9" x14ac:dyDescent="0.2">
      <c r="A20237" s="1" t="str">
        <f>"ZNF28"</f>
        <v>ZNF28</v>
      </c>
      <c r="B20237" t="s">
        <v>14</v>
      </c>
      <c r="C20237" t="s">
        <v>10</v>
      </c>
      <c r="D20237" t="s">
        <v>11</v>
      </c>
      <c r="E20237" t="s">
        <v>12</v>
      </c>
      <c r="F20237">
        <v>53324884</v>
      </c>
      <c r="G20237">
        <v>53324886</v>
      </c>
      <c r="H20237">
        <v>53324884</v>
      </c>
      <c r="I20237">
        <v>53324886</v>
      </c>
    </row>
    <row r="20238" spans="1:9" x14ac:dyDescent="0.2">
      <c r="A20238" s="1" t="str">
        <f>"ZNF280A"</f>
        <v>ZNF280A</v>
      </c>
      <c r="B20238" t="s">
        <v>14</v>
      </c>
      <c r="C20238" t="s">
        <v>21</v>
      </c>
      <c r="D20238" t="s">
        <v>11</v>
      </c>
      <c r="E20238" t="s">
        <v>12</v>
      </c>
      <c r="F20238">
        <v>22874610</v>
      </c>
      <c r="G20238">
        <v>22874616</v>
      </c>
      <c r="H20238">
        <v>22874657</v>
      </c>
      <c r="I20238">
        <v>22874693</v>
      </c>
    </row>
    <row r="20239" spans="1:9" x14ac:dyDescent="0.2">
      <c r="A20239" s="1" t="str">
        <f>"ZNF280B"</f>
        <v>ZNF280B</v>
      </c>
      <c r="B20239" t="s">
        <v>14</v>
      </c>
      <c r="C20239" t="s">
        <v>21</v>
      </c>
      <c r="D20239" t="s">
        <v>11</v>
      </c>
      <c r="E20239" t="s">
        <v>12</v>
      </c>
      <c r="F20239">
        <v>22863052</v>
      </c>
      <c r="G20239">
        <v>22863133</v>
      </c>
      <c r="H20239">
        <v>22863031</v>
      </c>
      <c r="I20239">
        <v>22863050</v>
      </c>
    </row>
    <row r="20240" spans="1:9" x14ac:dyDescent="0.2">
      <c r="A20240" s="1" t="str">
        <f>"ZNF280C"</f>
        <v>ZNF280C</v>
      </c>
      <c r="B20240" t="s">
        <v>14</v>
      </c>
      <c r="C20240" t="s">
        <v>37</v>
      </c>
      <c r="D20240" t="s">
        <v>11</v>
      </c>
      <c r="E20240" t="s">
        <v>12</v>
      </c>
      <c r="F20240">
        <v>129402866</v>
      </c>
      <c r="G20240">
        <v>129402880</v>
      </c>
      <c r="H20240">
        <v>129402768</v>
      </c>
      <c r="I20240">
        <v>129402796</v>
      </c>
    </row>
    <row r="20241" spans="1:9" x14ac:dyDescent="0.2">
      <c r="A20241" s="1" t="str">
        <f>"ZNF280D"</f>
        <v>ZNF280D</v>
      </c>
      <c r="B20241" t="s">
        <v>14</v>
      </c>
      <c r="C20241" t="s">
        <v>25</v>
      </c>
      <c r="D20241" t="s">
        <v>11</v>
      </c>
      <c r="E20241" t="s">
        <v>12</v>
      </c>
      <c r="F20241">
        <v>57025675</v>
      </c>
      <c r="G20241">
        <v>57025718</v>
      </c>
      <c r="H20241">
        <v>57025759</v>
      </c>
      <c r="I20241">
        <v>57025811</v>
      </c>
    </row>
    <row r="20242" spans="1:9" x14ac:dyDescent="0.2">
      <c r="A20242" s="1" t="str">
        <f>"ZNF281"</f>
        <v>ZNF281</v>
      </c>
      <c r="B20242" t="s">
        <v>14</v>
      </c>
      <c r="C20242" t="s">
        <v>19</v>
      </c>
      <c r="D20242" t="s">
        <v>11</v>
      </c>
      <c r="E20242" t="s">
        <v>12</v>
      </c>
      <c r="F20242">
        <v>200379129</v>
      </c>
      <c r="G20242">
        <v>200379174</v>
      </c>
      <c r="H20242">
        <v>200379104</v>
      </c>
      <c r="I20242">
        <v>200379128</v>
      </c>
    </row>
    <row r="20243" spans="1:9" x14ac:dyDescent="0.2">
      <c r="A20243" s="1" t="str">
        <f>"ZNF282"</f>
        <v>ZNF282</v>
      </c>
      <c r="B20243" t="s">
        <v>14</v>
      </c>
      <c r="C20243" t="s">
        <v>33</v>
      </c>
      <c r="D20243" t="s">
        <v>17</v>
      </c>
      <c r="E20243" t="s">
        <v>12</v>
      </c>
      <c r="F20243">
        <v>148892653</v>
      </c>
      <c r="G20243">
        <v>148892729</v>
      </c>
      <c r="H20243">
        <v>148892629</v>
      </c>
      <c r="I20243">
        <v>148892651</v>
      </c>
    </row>
    <row r="20244" spans="1:9" x14ac:dyDescent="0.2">
      <c r="A20244" s="1" t="str">
        <f>"ZNF283"</f>
        <v>ZNF283</v>
      </c>
      <c r="B20244" t="s">
        <v>14</v>
      </c>
      <c r="C20244" t="s">
        <v>10</v>
      </c>
      <c r="D20244" t="s">
        <v>17</v>
      </c>
      <c r="E20244" t="s">
        <v>12</v>
      </c>
      <c r="F20244">
        <v>44331493</v>
      </c>
      <c r="G20244">
        <v>44331552</v>
      </c>
      <c r="H20244">
        <v>44331555</v>
      </c>
      <c r="I20244">
        <v>44331581</v>
      </c>
    </row>
    <row r="20245" spans="1:9" x14ac:dyDescent="0.2">
      <c r="A20245" s="1" t="str">
        <f>"ZNF284"</f>
        <v>ZNF284</v>
      </c>
      <c r="B20245" t="s">
        <v>1847</v>
      </c>
      <c r="C20245" t="s">
        <v>10</v>
      </c>
      <c r="D20245" t="s">
        <v>17</v>
      </c>
      <c r="E20245" t="s">
        <v>35</v>
      </c>
      <c r="F20245">
        <v>44576274</v>
      </c>
      <c r="G20245">
        <v>44576281</v>
      </c>
      <c r="H20245">
        <v>44576296</v>
      </c>
      <c r="I20245">
        <v>44576343</v>
      </c>
    </row>
    <row r="20246" spans="1:9" x14ac:dyDescent="0.2">
      <c r="A20246" s="1" t="str">
        <f>"ZNF285"</f>
        <v>ZNF285</v>
      </c>
      <c r="B20246" t="s">
        <v>1848</v>
      </c>
      <c r="C20246" t="s">
        <v>10</v>
      </c>
      <c r="D20246" t="s">
        <v>11</v>
      </c>
      <c r="E20246" t="s">
        <v>35</v>
      </c>
      <c r="F20246">
        <v>44905759</v>
      </c>
      <c r="G20246">
        <v>44905797</v>
      </c>
      <c r="H20246">
        <v>44905759</v>
      </c>
      <c r="I20246">
        <v>44905797</v>
      </c>
    </row>
    <row r="20247" spans="1:9" x14ac:dyDescent="0.2">
      <c r="A20247" s="1" t="str">
        <f>"ZNF286A"</f>
        <v>ZNF286A</v>
      </c>
      <c r="B20247" t="s">
        <v>14</v>
      </c>
      <c r="C20247" t="s">
        <v>28</v>
      </c>
      <c r="D20247" t="s">
        <v>17</v>
      </c>
      <c r="E20247" t="s">
        <v>12</v>
      </c>
      <c r="F20247">
        <v>15602875</v>
      </c>
      <c r="G20247">
        <v>15602903</v>
      </c>
      <c r="H20247">
        <v>15603016</v>
      </c>
      <c r="I20247">
        <v>15603031</v>
      </c>
    </row>
    <row r="20248" spans="1:9" x14ac:dyDescent="0.2">
      <c r="A20248" s="1" t="str">
        <f>"ZNF286B"</f>
        <v>ZNF286B</v>
      </c>
      <c r="B20248" t="s">
        <v>14</v>
      </c>
      <c r="C20248" t="s">
        <v>28</v>
      </c>
      <c r="D20248" t="s">
        <v>11</v>
      </c>
      <c r="E20248" t="s">
        <v>12</v>
      </c>
      <c r="F20248">
        <v>18585616</v>
      </c>
      <c r="G20248">
        <v>18585635</v>
      </c>
      <c r="H20248">
        <v>18585578</v>
      </c>
      <c r="I20248">
        <v>18585587</v>
      </c>
    </row>
    <row r="20249" spans="1:9" x14ac:dyDescent="0.2">
      <c r="A20249" s="1" t="str">
        <f>"ZNF287"</f>
        <v>ZNF287</v>
      </c>
      <c r="B20249" t="s">
        <v>14</v>
      </c>
      <c r="C20249" t="s">
        <v>28</v>
      </c>
      <c r="D20249" t="s">
        <v>11</v>
      </c>
      <c r="E20249" t="s">
        <v>12</v>
      </c>
      <c r="F20249">
        <v>16472486</v>
      </c>
      <c r="G20249">
        <v>16472533</v>
      </c>
      <c r="H20249">
        <v>16472461</v>
      </c>
      <c r="I20249">
        <v>16472476</v>
      </c>
    </row>
    <row r="20250" spans="1:9" x14ac:dyDescent="0.2">
      <c r="A20250" s="1" t="str">
        <f>"ZNF292"</f>
        <v>ZNF292</v>
      </c>
      <c r="B20250" t="s">
        <v>14</v>
      </c>
      <c r="C20250" t="s">
        <v>32</v>
      </c>
      <c r="D20250" t="s">
        <v>17</v>
      </c>
      <c r="E20250" t="s">
        <v>12</v>
      </c>
      <c r="F20250">
        <v>87865262</v>
      </c>
      <c r="G20250">
        <v>87865311</v>
      </c>
      <c r="H20250">
        <v>87865262</v>
      </c>
      <c r="I20250">
        <v>87865311</v>
      </c>
    </row>
    <row r="20251" spans="1:9" x14ac:dyDescent="0.2">
      <c r="A20251" s="1" t="str">
        <f>"ZNF296"</f>
        <v>ZNF296</v>
      </c>
      <c r="B20251" t="s">
        <v>14</v>
      </c>
      <c r="C20251" t="s">
        <v>10</v>
      </c>
      <c r="D20251" t="s">
        <v>11</v>
      </c>
      <c r="E20251" t="s">
        <v>12</v>
      </c>
      <c r="F20251">
        <v>45579725</v>
      </c>
      <c r="G20251">
        <v>45579743</v>
      </c>
      <c r="H20251">
        <v>45579762</v>
      </c>
      <c r="I20251">
        <v>45579772</v>
      </c>
    </row>
    <row r="20252" spans="1:9" x14ac:dyDescent="0.2">
      <c r="A20252" s="1" t="str">
        <f>"ZNF3"</f>
        <v>ZNF3</v>
      </c>
      <c r="B20252" t="s">
        <v>14</v>
      </c>
      <c r="C20252" t="s">
        <v>33</v>
      </c>
      <c r="D20252" t="s">
        <v>11</v>
      </c>
      <c r="E20252" t="s">
        <v>12</v>
      </c>
      <c r="F20252">
        <v>99679324</v>
      </c>
      <c r="G20252">
        <v>99679368</v>
      </c>
      <c r="H20252">
        <v>99680193</v>
      </c>
      <c r="I20252">
        <v>99680204</v>
      </c>
    </row>
    <row r="20253" spans="1:9" x14ac:dyDescent="0.2">
      <c r="A20253" s="1" t="str">
        <f>"ZNF30"</f>
        <v>ZNF30</v>
      </c>
      <c r="B20253" t="s">
        <v>14</v>
      </c>
      <c r="C20253" t="s">
        <v>10</v>
      </c>
      <c r="D20253" t="s">
        <v>17</v>
      </c>
      <c r="E20253" t="s">
        <v>12</v>
      </c>
      <c r="F20253">
        <v>35417798</v>
      </c>
      <c r="G20253">
        <v>35417842</v>
      </c>
      <c r="H20253">
        <v>35417844</v>
      </c>
      <c r="I20253">
        <v>35417877</v>
      </c>
    </row>
    <row r="20254" spans="1:9" x14ac:dyDescent="0.2">
      <c r="A20254" s="1" t="str">
        <f>"ZNF300"</f>
        <v>ZNF300</v>
      </c>
      <c r="B20254" t="s">
        <v>14</v>
      </c>
      <c r="C20254" t="s">
        <v>46</v>
      </c>
      <c r="D20254" t="s">
        <v>11</v>
      </c>
      <c r="E20254" t="s">
        <v>12</v>
      </c>
      <c r="F20254">
        <v>150284532</v>
      </c>
      <c r="G20254">
        <v>150284549</v>
      </c>
      <c r="H20254">
        <v>150284420</v>
      </c>
      <c r="I20254">
        <v>150284443</v>
      </c>
    </row>
    <row r="20255" spans="1:9" x14ac:dyDescent="0.2">
      <c r="A20255" s="1" t="str">
        <f>"ZNF302"</f>
        <v>ZNF302</v>
      </c>
      <c r="B20255" t="s">
        <v>14</v>
      </c>
      <c r="C20255" t="s">
        <v>10</v>
      </c>
      <c r="D20255" t="s">
        <v>17</v>
      </c>
      <c r="E20255" t="s">
        <v>12</v>
      </c>
      <c r="F20255">
        <v>35168567</v>
      </c>
      <c r="G20255">
        <v>35168620</v>
      </c>
      <c r="H20255">
        <v>35168633</v>
      </c>
      <c r="I20255">
        <v>35168652</v>
      </c>
    </row>
    <row r="20256" spans="1:9" x14ac:dyDescent="0.2">
      <c r="A20256" s="1" t="str">
        <f>"ZNF304"</f>
        <v>ZNF304</v>
      </c>
      <c r="B20256" t="s">
        <v>14</v>
      </c>
      <c r="C20256" t="s">
        <v>10</v>
      </c>
      <c r="D20256" t="s">
        <v>17</v>
      </c>
      <c r="E20256" t="s">
        <v>12</v>
      </c>
      <c r="F20256">
        <v>57862622</v>
      </c>
      <c r="G20256">
        <v>57862686</v>
      </c>
      <c r="H20256">
        <v>57862622</v>
      </c>
      <c r="I20256">
        <v>57862686</v>
      </c>
    </row>
    <row r="20257" spans="1:9" x14ac:dyDescent="0.2">
      <c r="A20257" s="1" t="str">
        <f>"ZNF311"</f>
        <v>ZNF311</v>
      </c>
      <c r="B20257" t="s">
        <v>14</v>
      </c>
      <c r="C20257" t="s">
        <v>32</v>
      </c>
      <c r="D20257" t="s">
        <v>11</v>
      </c>
      <c r="E20257" t="s">
        <v>12</v>
      </c>
      <c r="F20257">
        <v>28973090</v>
      </c>
      <c r="G20257">
        <v>28973094</v>
      </c>
      <c r="H20257">
        <v>28973366</v>
      </c>
      <c r="I20257">
        <v>28973394</v>
      </c>
    </row>
    <row r="20258" spans="1:9" x14ac:dyDescent="0.2">
      <c r="A20258" s="1" t="str">
        <f>"ZNF317"</f>
        <v>ZNF317</v>
      </c>
      <c r="B20258" t="s">
        <v>14</v>
      </c>
      <c r="C20258" t="s">
        <v>10</v>
      </c>
      <c r="D20258" t="s">
        <v>17</v>
      </c>
      <c r="E20258" t="s">
        <v>12</v>
      </c>
      <c r="F20258">
        <v>9251081</v>
      </c>
      <c r="G20258">
        <v>9251110</v>
      </c>
      <c r="H20258">
        <v>9251052</v>
      </c>
      <c r="I20258">
        <v>9251079</v>
      </c>
    </row>
    <row r="20259" spans="1:9" x14ac:dyDescent="0.2">
      <c r="A20259" s="1" t="str">
        <f>"ZNF318"</f>
        <v>ZNF318</v>
      </c>
      <c r="B20259" t="s">
        <v>14</v>
      </c>
      <c r="C20259" t="s">
        <v>32</v>
      </c>
      <c r="D20259" t="s">
        <v>11</v>
      </c>
      <c r="E20259" t="s">
        <v>12</v>
      </c>
      <c r="F20259">
        <v>43337180</v>
      </c>
      <c r="G20259">
        <v>43337244</v>
      </c>
      <c r="H20259">
        <v>43337255</v>
      </c>
      <c r="I20259">
        <v>43337329</v>
      </c>
    </row>
    <row r="20260" spans="1:9" x14ac:dyDescent="0.2">
      <c r="A20260" s="1" t="str">
        <f>"ZNF319"</f>
        <v>ZNF319</v>
      </c>
      <c r="B20260" t="s">
        <v>9</v>
      </c>
      <c r="C20260" t="s">
        <v>31</v>
      </c>
      <c r="D20260" t="s">
        <v>11</v>
      </c>
      <c r="E20260" t="s">
        <v>12</v>
      </c>
      <c r="F20260">
        <v>58032371</v>
      </c>
      <c r="G20260">
        <v>58032413</v>
      </c>
      <c r="H20260">
        <v>58032371</v>
      </c>
      <c r="I20260">
        <v>58032413</v>
      </c>
    </row>
    <row r="20261" spans="1:9" x14ac:dyDescent="0.2">
      <c r="A20261" s="1" t="str">
        <f>"ZNF319"</f>
        <v>ZNF319</v>
      </c>
      <c r="B20261" t="s">
        <v>13</v>
      </c>
      <c r="C20261" t="s">
        <v>31</v>
      </c>
      <c r="D20261" t="s">
        <v>11</v>
      </c>
      <c r="E20261" t="s">
        <v>12</v>
      </c>
      <c r="F20261">
        <v>58033539</v>
      </c>
      <c r="G20261">
        <v>58033589</v>
      </c>
      <c r="H20261">
        <v>58033539</v>
      </c>
      <c r="I20261">
        <v>58033589</v>
      </c>
    </row>
    <row r="20262" spans="1:9" x14ac:dyDescent="0.2">
      <c r="A20262" s="1" t="str">
        <f>"ZNF32"</f>
        <v>ZNF32</v>
      </c>
      <c r="B20262" t="s">
        <v>14</v>
      </c>
      <c r="C20262" t="s">
        <v>15</v>
      </c>
      <c r="D20262" t="s">
        <v>11</v>
      </c>
      <c r="E20262" t="s">
        <v>12</v>
      </c>
      <c r="F20262">
        <v>44144292</v>
      </c>
      <c r="G20262">
        <v>44144338</v>
      </c>
      <c r="H20262">
        <v>44144264</v>
      </c>
      <c r="I20262">
        <v>44144286</v>
      </c>
    </row>
    <row r="20263" spans="1:9" x14ac:dyDescent="0.2">
      <c r="A20263" s="1" t="str">
        <f>"ZNF320"</f>
        <v>ZNF320</v>
      </c>
      <c r="B20263" t="s">
        <v>14</v>
      </c>
      <c r="C20263" t="s">
        <v>10</v>
      </c>
      <c r="D20263" t="s">
        <v>11</v>
      </c>
      <c r="E20263" t="s">
        <v>12</v>
      </c>
      <c r="F20263">
        <v>53400852</v>
      </c>
      <c r="G20263">
        <v>53400962</v>
      </c>
      <c r="H20263">
        <v>53400852</v>
      </c>
      <c r="I20263">
        <v>53400962</v>
      </c>
    </row>
    <row r="20264" spans="1:9" x14ac:dyDescent="0.2">
      <c r="A20264" s="1" t="str">
        <f>"ZNF322"</f>
        <v>ZNF322</v>
      </c>
      <c r="B20264" t="s">
        <v>14</v>
      </c>
      <c r="C20264" t="s">
        <v>32</v>
      </c>
      <c r="D20264" t="s">
        <v>11</v>
      </c>
      <c r="E20264" t="s">
        <v>12</v>
      </c>
      <c r="F20264">
        <v>26659967</v>
      </c>
      <c r="G20264">
        <v>26659982</v>
      </c>
      <c r="H20264">
        <v>26659941</v>
      </c>
      <c r="I20264">
        <v>26659964</v>
      </c>
    </row>
    <row r="20265" spans="1:9" x14ac:dyDescent="0.2">
      <c r="A20265" s="1" t="str">
        <f>"ZNF324"</f>
        <v>ZNF324</v>
      </c>
      <c r="B20265" t="s">
        <v>14</v>
      </c>
      <c r="C20265" t="s">
        <v>10</v>
      </c>
      <c r="D20265" t="s">
        <v>17</v>
      </c>
      <c r="E20265" t="s">
        <v>12</v>
      </c>
      <c r="F20265">
        <v>58978418</v>
      </c>
      <c r="G20265">
        <v>58978456</v>
      </c>
      <c r="H20265">
        <v>58978463</v>
      </c>
      <c r="I20265">
        <v>58978476</v>
      </c>
    </row>
    <row r="20266" spans="1:9" x14ac:dyDescent="0.2">
      <c r="A20266" s="1" t="str">
        <f>"ZNF324B"</f>
        <v>ZNF324B</v>
      </c>
      <c r="B20266" t="s">
        <v>14</v>
      </c>
      <c r="C20266" t="s">
        <v>10</v>
      </c>
      <c r="D20266" t="s">
        <v>17</v>
      </c>
      <c r="E20266" t="s">
        <v>12</v>
      </c>
      <c r="F20266">
        <v>58962974</v>
      </c>
      <c r="G20266">
        <v>58963001</v>
      </c>
      <c r="H20266">
        <v>58963008</v>
      </c>
      <c r="I20266">
        <v>58963019</v>
      </c>
    </row>
    <row r="20267" spans="1:9" x14ac:dyDescent="0.2">
      <c r="A20267" s="1" t="str">
        <f>"ZNF326"</f>
        <v>ZNF326</v>
      </c>
      <c r="B20267" t="s">
        <v>14</v>
      </c>
      <c r="C20267" t="s">
        <v>19</v>
      </c>
      <c r="D20267" t="s">
        <v>17</v>
      </c>
      <c r="E20267" t="s">
        <v>12</v>
      </c>
      <c r="F20267">
        <v>90460661</v>
      </c>
      <c r="G20267">
        <v>90460745</v>
      </c>
      <c r="H20267">
        <v>90460661</v>
      </c>
      <c r="I20267">
        <v>90460745</v>
      </c>
    </row>
    <row r="20268" spans="1:9" x14ac:dyDescent="0.2">
      <c r="A20268" s="1" t="str">
        <f>"ZNF329"</f>
        <v>ZNF329</v>
      </c>
      <c r="B20268" t="s">
        <v>9</v>
      </c>
      <c r="C20268" t="s">
        <v>10</v>
      </c>
      <c r="D20268" t="s">
        <v>11</v>
      </c>
      <c r="E20268" t="s">
        <v>12</v>
      </c>
      <c r="F20268">
        <v>58662139</v>
      </c>
      <c r="G20268">
        <v>58662182</v>
      </c>
      <c r="H20268">
        <v>58662139</v>
      </c>
      <c r="I20268">
        <v>58662182</v>
      </c>
    </row>
    <row r="20269" spans="1:9" x14ac:dyDescent="0.2">
      <c r="A20269" s="1" t="str">
        <f>"ZNF329"</f>
        <v>ZNF329</v>
      </c>
      <c r="B20269" t="s">
        <v>13</v>
      </c>
      <c r="C20269" t="s">
        <v>10</v>
      </c>
      <c r="D20269" t="s">
        <v>11</v>
      </c>
      <c r="E20269" t="s">
        <v>12</v>
      </c>
      <c r="F20269">
        <v>58666441</v>
      </c>
      <c r="G20269">
        <v>58666478</v>
      </c>
      <c r="H20269">
        <v>58666441</v>
      </c>
      <c r="I20269">
        <v>58666478</v>
      </c>
    </row>
    <row r="20270" spans="1:9" x14ac:dyDescent="0.2">
      <c r="A20270" s="1" t="str">
        <f>"ZNF330"</f>
        <v>ZNF330</v>
      </c>
      <c r="B20270" t="s">
        <v>14</v>
      </c>
      <c r="C20270" t="s">
        <v>23</v>
      </c>
      <c r="D20270" t="s">
        <v>17</v>
      </c>
      <c r="E20270" t="s">
        <v>12</v>
      </c>
      <c r="F20270">
        <v>142142035</v>
      </c>
      <c r="G20270">
        <v>142142130</v>
      </c>
      <c r="H20270">
        <v>142142035</v>
      </c>
      <c r="I20270">
        <v>142142130</v>
      </c>
    </row>
    <row r="20271" spans="1:9" x14ac:dyDescent="0.2">
      <c r="A20271" s="1" t="str">
        <f>"ZNF331"</f>
        <v>ZNF331</v>
      </c>
      <c r="B20271" t="s">
        <v>9</v>
      </c>
      <c r="C20271" t="s">
        <v>10</v>
      </c>
      <c r="D20271" t="s">
        <v>17</v>
      </c>
      <c r="E20271" t="s">
        <v>12</v>
      </c>
      <c r="F20271">
        <v>54058073</v>
      </c>
      <c r="G20271">
        <v>54058088</v>
      </c>
      <c r="H20271">
        <v>54058073</v>
      </c>
      <c r="I20271">
        <v>54058088</v>
      </c>
    </row>
    <row r="20272" spans="1:9" x14ac:dyDescent="0.2">
      <c r="A20272" s="1" t="str">
        <f>"ZNF331"</f>
        <v>ZNF331</v>
      </c>
      <c r="B20272" t="s">
        <v>13</v>
      </c>
      <c r="C20272" t="s">
        <v>10</v>
      </c>
      <c r="D20272" t="s">
        <v>17</v>
      </c>
      <c r="E20272" t="s">
        <v>12</v>
      </c>
      <c r="F20272">
        <v>54041669</v>
      </c>
      <c r="G20272">
        <v>54041697</v>
      </c>
      <c r="H20272">
        <v>54041669</v>
      </c>
      <c r="I20272">
        <v>54041697</v>
      </c>
    </row>
    <row r="20273" spans="1:9" x14ac:dyDescent="0.2">
      <c r="A20273" s="1" t="str">
        <f>"ZNF333"</f>
        <v>ZNF333</v>
      </c>
      <c r="B20273" t="s">
        <v>14</v>
      </c>
      <c r="C20273" t="s">
        <v>10</v>
      </c>
      <c r="D20273" t="s">
        <v>17</v>
      </c>
      <c r="E20273" t="s">
        <v>12</v>
      </c>
      <c r="F20273">
        <v>14800849</v>
      </c>
      <c r="G20273">
        <v>14800917</v>
      </c>
      <c r="H20273">
        <v>14800674</v>
      </c>
      <c r="I20273">
        <v>14800693</v>
      </c>
    </row>
    <row r="20274" spans="1:9" x14ac:dyDescent="0.2">
      <c r="A20274" s="1" t="str">
        <f>"ZNF334"</f>
        <v>ZNF334</v>
      </c>
      <c r="B20274" t="s">
        <v>14</v>
      </c>
      <c r="C20274" t="s">
        <v>29</v>
      </c>
      <c r="D20274" t="s">
        <v>11</v>
      </c>
      <c r="E20274" t="s">
        <v>12</v>
      </c>
      <c r="F20274">
        <v>45142154</v>
      </c>
      <c r="G20274">
        <v>45142227</v>
      </c>
      <c r="H20274">
        <v>45142147</v>
      </c>
      <c r="I20274">
        <v>45142150</v>
      </c>
    </row>
    <row r="20275" spans="1:9" x14ac:dyDescent="0.2">
      <c r="A20275" s="1" t="str">
        <f>"ZNF335"</f>
        <v>ZNF335</v>
      </c>
      <c r="B20275" t="s">
        <v>14</v>
      </c>
      <c r="C20275" t="s">
        <v>29</v>
      </c>
      <c r="D20275" t="s">
        <v>11</v>
      </c>
      <c r="E20275" t="s">
        <v>12</v>
      </c>
      <c r="F20275">
        <v>44600810</v>
      </c>
      <c r="G20275">
        <v>44600853</v>
      </c>
      <c r="H20275">
        <v>44600810</v>
      </c>
      <c r="I20275">
        <v>44600853</v>
      </c>
    </row>
    <row r="20276" spans="1:9" x14ac:dyDescent="0.2">
      <c r="A20276" s="1" t="str">
        <f>"ZNF337"</f>
        <v>ZNF337</v>
      </c>
      <c r="B20276" t="s">
        <v>14</v>
      </c>
      <c r="C20276" t="s">
        <v>29</v>
      </c>
      <c r="D20276" t="s">
        <v>11</v>
      </c>
      <c r="E20276" t="s">
        <v>12</v>
      </c>
      <c r="F20276">
        <v>25677465</v>
      </c>
      <c r="G20276">
        <v>25677497</v>
      </c>
      <c r="H20276">
        <v>25677443</v>
      </c>
      <c r="I20276">
        <v>25677464</v>
      </c>
    </row>
    <row r="20277" spans="1:9" x14ac:dyDescent="0.2">
      <c r="A20277" s="1" t="str">
        <f>"ZNF33A"</f>
        <v>ZNF33A</v>
      </c>
      <c r="B20277" t="s">
        <v>14</v>
      </c>
      <c r="C20277" t="s">
        <v>15</v>
      </c>
      <c r="D20277" t="s">
        <v>17</v>
      </c>
      <c r="E20277" t="s">
        <v>12</v>
      </c>
      <c r="F20277">
        <v>38299546</v>
      </c>
      <c r="G20277">
        <v>38299686</v>
      </c>
      <c r="H20277">
        <v>38299546</v>
      </c>
      <c r="I20277">
        <v>38299686</v>
      </c>
    </row>
    <row r="20278" spans="1:9" x14ac:dyDescent="0.2">
      <c r="A20278" s="1" t="str">
        <f>"ZNF33B"</f>
        <v>ZNF33B</v>
      </c>
      <c r="B20278" t="s">
        <v>14</v>
      </c>
      <c r="C20278" t="s">
        <v>15</v>
      </c>
      <c r="D20278" t="s">
        <v>11</v>
      </c>
      <c r="E20278" t="s">
        <v>12</v>
      </c>
      <c r="F20278">
        <v>43134001</v>
      </c>
      <c r="G20278">
        <v>43134026</v>
      </c>
      <c r="H20278">
        <v>43133950</v>
      </c>
      <c r="I20278">
        <v>43133994</v>
      </c>
    </row>
    <row r="20279" spans="1:9" x14ac:dyDescent="0.2">
      <c r="A20279" s="1" t="str">
        <f>"ZNF34"</f>
        <v>ZNF34</v>
      </c>
      <c r="B20279" t="s">
        <v>14</v>
      </c>
      <c r="C20279" t="s">
        <v>30</v>
      </c>
      <c r="D20279" t="s">
        <v>11</v>
      </c>
      <c r="E20279" t="s">
        <v>12</v>
      </c>
      <c r="F20279">
        <v>146012660</v>
      </c>
      <c r="G20279">
        <v>146012711</v>
      </c>
      <c r="H20279">
        <v>146012713</v>
      </c>
      <c r="I20279">
        <v>146012718</v>
      </c>
    </row>
    <row r="20280" spans="1:9" x14ac:dyDescent="0.2">
      <c r="A20280" s="1" t="str">
        <f>"ZNF341"</f>
        <v>ZNF341</v>
      </c>
      <c r="B20280" t="s">
        <v>9</v>
      </c>
      <c r="C20280" t="s">
        <v>29</v>
      </c>
      <c r="D20280" t="s">
        <v>17</v>
      </c>
      <c r="E20280" t="s">
        <v>12</v>
      </c>
      <c r="F20280">
        <v>32319784</v>
      </c>
      <c r="G20280">
        <v>32319813</v>
      </c>
      <c r="H20280">
        <v>32319784</v>
      </c>
      <c r="I20280">
        <v>32319813</v>
      </c>
    </row>
    <row r="20281" spans="1:9" x14ac:dyDescent="0.2">
      <c r="A20281" s="1" t="str">
        <f>"ZNF341"</f>
        <v>ZNF341</v>
      </c>
      <c r="B20281" t="s">
        <v>13</v>
      </c>
      <c r="C20281" t="s">
        <v>29</v>
      </c>
      <c r="D20281" t="s">
        <v>17</v>
      </c>
      <c r="E20281" t="s">
        <v>12</v>
      </c>
      <c r="F20281">
        <v>32332965</v>
      </c>
      <c r="G20281">
        <v>32332974</v>
      </c>
      <c r="H20281">
        <v>32332965</v>
      </c>
      <c r="I20281">
        <v>32332974</v>
      </c>
    </row>
    <row r="20282" spans="1:9" x14ac:dyDescent="0.2">
      <c r="A20282" s="1" t="str">
        <f>"ZNF343"</f>
        <v>ZNF343</v>
      </c>
      <c r="B20282" t="s">
        <v>14</v>
      </c>
      <c r="C20282" t="s">
        <v>29</v>
      </c>
      <c r="D20282" t="s">
        <v>11</v>
      </c>
      <c r="E20282" t="s">
        <v>12</v>
      </c>
      <c r="F20282">
        <v>2489542</v>
      </c>
      <c r="G20282">
        <v>2489583</v>
      </c>
      <c r="H20282">
        <v>2489542</v>
      </c>
      <c r="I20282">
        <v>2489583</v>
      </c>
    </row>
    <row r="20283" spans="1:9" x14ac:dyDescent="0.2">
      <c r="A20283" s="1" t="str">
        <f>"ZNF345"</f>
        <v>ZNF345</v>
      </c>
      <c r="B20283" t="s">
        <v>14</v>
      </c>
      <c r="C20283" t="s">
        <v>10</v>
      </c>
      <c r="D20283" t="s">
        <v>17</v>
      </c>
      <c r="E20283" t="s">
        <v>12</v>
      </c>
      <c r="F20283">
        <v>37341752</v>
      </c>
      <c r="G20283">
        <v>37341816</v>
      </c>
      <c r="H20283">
        <v>37341260</v>
      </c>
      <c r="I20283">
        <v>37341284</v>
      </c>
    </row>
    <row r="20284" spans="1:9" x14ac:dyDescent="0.2">
      <c r="A20284" s="1" t="str">
        <f>"ZNF346"</f>
        <v>ZNF346</v>
      </c>
      <c r="B20284" t="s">
        <v>14</v>
      </c>
      <c r="C20284" t="s">
        <v>46</v>
      </c>
      <c r="D20284" t="s">
        <v>17</v>
      </c>
      <c r="E20284" t="s">
        <v>12</v>
      </c>
      <c r="F20284">
        <v>176449684</v>
      </c>
      <c r="G20284">
        <v>176449722</v>
      </c>
      <c r="H20284">
        <v>176449727</v>
      </c>
      <c r="I20284">
        <v>176449734</v>
      </c>
    </row>
    <row r="20285" spans="1:9" x14ac:dyDescent="0.2">
      <c r="A20285" s="1" t="str">
        <f>"ZNF347"</f>
        <v>ZNF347</v>
      </c>
      <c r="B20285" t="s">
        <v>14</v>
      </c>
      <c r="C20285" t="s">
        <v>10</v>
      </c>
      <c r="D20285" t="s">
        <v>11</v>
      </c>
      <c r="E20285" t="s">
        <v>12</v>
      </c>
      <c r="F20285">
        <v>53662295</v>
      </c>
      <c r="G20285">
        <v>53662319</v>
      </c>
      <c r="H20285">
        <v>53662245</v>
      </c>
      <c r="I20285">
        <v>53662250</v>
      </c>
    </row>
    <row r="20286" spans="1:9" x14ac:dyDescent="0.2">
      <c r="A20286" s="1" t="str">
        <f>"ZNF35"</f>
        <v>ZNF35</v>
      </c>
      <c r="B20286" t="s">
        <v>14</v>
      </c>
      <c r="C20286" t="s">
        <v>22</v>
      </c>
      <c r="D20286" t="s">
        <v>17</v>
      </c>
      <c r="E20286" t="s">
        <v>12</v>
      </c>
      <c r="F20286">
        <v>44690211</v>
      </c>
      <c r="G20286">
        <v>44690267</v>
      </c>
      <c r="H20286">
        <v>44690274</v>
      </c>
      <c r="I20286">
        <v>44690279</v>
      </c>
    </row>
    <row r="20287" spans="1:9" x14ac:dyDescent="0.2">
      <c r="A20287" s="1" t="str">
        <f>"ZNF350"</f>
        <v>ZNF350</v>
      </c>
      <c r="B20287" t="s">
        <v>14</v>
      </c>
      <c r="C20287" t="s">
        <v>10</v>
      </c>
      <c r="D20287" t="s">
        <v>11</v>
      </c>
      <c r="E20287" t="s">
        <v>12</v>
      </c>
      <c r="F20287">
        <v>52490043</v>
      </c>
      <c r="G20287">
        <v>52490113</v>
      </c>
      <c r="H20287">
        <v>52490043</v>
      </c>
      <c r="I20287">
        <v>52490113</v>
      </c>
    </row>
    <row r="20288" spans="1:9" x14ac:dyDescent="0.2">
      <c r="A20288" s="1" t="str">
        <f>"ZNF354A"</f>
        <v>ZNF354A</v>
      </c>
      <c r="B20288" t="s">
        <v>14</v>
      </c>
      <c r="C20288" t="s">
        <v>46</v>
      </c>
      <c r="D20288" t="s">
        <v>11</v>
      </c>
      <c r="E20288" t="s">
        <v>12</v>
      </c>
      <c r="F20288">
        <v>178157651</v>
      </c>
      <c r="G20288">
        <v>178157689</v>
      </c>
      <c r="H20288">
        <v>178157609</v>
      </c>
      <c r="I20288">
        <v>178157650</v>
      </c>
    </row>
    <row r="20289" spans="1:9" x14ac:dyDescent="0.2">
      <c r="A20289" s="1" t="str">
        <f>"ZNF354B"</f>
        <v>ZNF354B</v>
      </c>
      <c r="B20289" t="s">
        <v>14</v>
      </c>
      <c r="C20289" t="s">
        <v>46</v>
      </c>
      <c r="D20289" t="s">
        <v>17</v>
      </c>
      <c r="E20289" t="s">
        <v>12</v>
      </c>
      <c r="F20289">
        <v>178286925</v>
      </c>
      <c r="G20289">
        <v>178287007</v>
      </c>
      <c r="H20289">
        <v>178287021</v>
      </c>
      <c r="I20289">
        <v>178287042</v>
      </c>
    </row>
    <row r="20290" spans="1:9" x14ac:dyDescent="0.2">
      <c r="A20290" s="1" t="str">
        <f>"ZNF354C"</f>
        <v>ZNF354C</v>
      </c>
      <c r="B20290" t="s">
        <v>14</v>
      </c>
      <c r="C20290" t="s">
        <v>46</v>
      </c>
      <c r="D20290" t="s">
        <v>17</v>
      </c>
      <c r="E20290" t="s">
        <v>12</v>
      </c>
      <c r="F20290">
        <v>178487354</v>
      </c>
      <c r="G20290">
        <v>178487408</v>
      </c>
      <c r="H20290">
        <v>178487410</v>
      </c>
      <c r="I20290">
        <v>178487431</v>
      </c>
    </row>
    <row r="20291" spans="1:9" x14ac:dyDescent="0.2">
      <c r="A20291" s="1" t="str">
        <f>"ZNF358"</f>
        <v>ZNF358</v>
      </c>
      <c r="B20291" t="s">
        <v>9</v>
      </c>
      <c r="C20291" t="s">
        <v>10</v>
      </c>
      <c r="D20291" t="s">
        <v>17</v>
      </c>
      <c r="E20291" t="s">
        <v>12</v>
      </c>
      <c r="F20291">
        <v>7580944</v>
      </c>
      <c r="G20291">
        <v>7581031</v>
      </c>
      <c r="H20291">
        <v>7580944</v>
      </c>
      <c r="I20291">
        <v>7581031</v>
      </c>
    </row>
    <row r="20292" spans="1:9" x14ac:dyDescent="0.2">
      <c r="A20292" s="1" t="str">
        <f>"ZNF358"</f>
        <v>ZNF358</v>
      </c>
      <c r="B20292" t="s">
        <v>13</v>
      </c>
      <c r="C20292" t="s">
        <v>10</v>
      </c>
      <c r="D20292" t="s">
        <v>17</v>
      </c>
      <c r="E20292" t="s">
        <v>12</v>
      </c>
      <c r="F20292">
        <v>7584815</v>
      </c>
      <c r="G20292">
        <v>7584829</v>
      </c>
      <c r="H20292">
        <v>7584815</v>
      </c>
      <c r="I20292">
        <v>7584829</v>
      </c>
    </row>
    <row r="20293" spans="1:9" x14ac:dyDescent="0.2">
      <c r="A20293" s="1" t="str">
        <f>"ZNF362"</f>
        <v>ZNF362</v>
      </c>
      <c r="B20293" t="s">
        <v>14</v>
      </c>
      <c r="C20293" t="s">
        <v>19</v>
      </c>
      <c r="D20293" t="s">
        <v>17</v>
      </c>
      <c r="E20293" t="s">
        <v>12</v>
      </c>
      <c r="F20293">
        <v>33722080</v>
      </c>
      <c r="G20293">
        <v>33722172</v>
      </c>
      <c r="H20293">
        <v>33721900</v>
      </c>
      <c r="I20293">
        <v>33721921</v>
      </c>
    </row>
    <row r="20294" spans="1:9" x14ac:dyDescent="0.2">
      <c r="A20294" s="1" t="str">
        <f>"ZNF365"</f>
        <v>ZNF365</v>
      </c>
      <c r="B20294" t="s">
        <v>14</v>
      </c>
      <c r="C20294" t="s">
        <v>15</v>
      </c>
      <c r="D20294" t="s">
        <v>17</v>
      </c>
      <c r="E20294" t="s">
        <v>12</v>
      </c>
      <c r="F20294">
        <v>64134120</v>
      </c>
      <c r="G20294">
        <v>64134183</v>
      </c>
      <c r="H20294">
        <v>64134120</v>
      </c>
      <c r="I20294">
        <v>64134183</v>
      </c>
    </row>
    <row r="20295" spans="1:9" x14ac:dyDescent="0.2">
      <c r="A20295" s="1" t="str">
        <f>"ZNF366"</f>
        <v>ZNF366</v>
      </c>
      <c r="B20295" t="s">
        <v>14</v>
      </c>
      <c r="C20295" t="s">
        <v>46</v>
      </c>
      <c r="D20295" t="s">
        <v>11</v>
      </c>
      <c r="E20295" t="s">
        <v>12</v>
      </c>
      <c r="F20295">
        <v>71803177</v>
      </c>
      <c r="G20295">
        <v>71803255</v>
      </c>
      <c r="H20295">
        <v>71803563</v>
      </c>
      <c r="I20295">
        <v>71803577</v>
      </c>
    </row>
    <row r="20296" spans="1:9" x14ac:dyDescent="0.2">
      <c r="A20296" s="1" t="str">
        <f>"ZNF367"</f>
        <v>ZNF367</v>
      </c>
      <c r="B20296" t="s">
        <v>14</v>
      </c>
      <c r="C20296" t="s">
        <v>24</v>
      </c>
      <c r="D20296" t="s">
        <v>11</v>
      </c>
      <c r="E20296" t="s">
        <v>12</v>
      </c>
      <c r="F20296">
        <v>99180617</v>
      </c>
      <c r="G20296">
        <v>99180658</v>
      </c>
      <c r="H20296">
        <v>99180662</v>
      </c>
      <c r="I20296">
        <v>99180690</v>
      </c>
    </row>
    <row r="20297" spans="1:9" x14ac:dyDescent="0.2">
      <c r="A20297" s="1" t="str">
        <f>"ZNF37A"</f>
        <v>ZNF37A</v>
      </c>
      <c r="B20297" t="s">
        <v>14</v>
      </c>
      <c r="C20297" t="s">
        <v>15</v>
      </c>
      <c r="D20297" t="s">
        <v>17</v>
      </c>
      <c r="E20297" t="s">
        <v>12</v>
      </c>
      <c r="F20297">
        <v>38383255</v>
      </c>
      <c r="G20297">
        <v>38383324</v>
      </c>
      <c r="H20297">
        <v>38383255</v>
      </c>
      <c r="I20297">
        <v>38383324</v>
      </c>
    </row>
    <row r="20298" spans="1:9" x14ac:dyDescent="0.2">
      <c r="A20298" s="1" t="str">
        <f>"ZNF382"</f>
        <v>ZNF382</v>
      </c>
      <c r="B20298" t="s">
        <v>14</v>
      </c>
      <c r="C20298" t="s">
        <v>10</v>
      </c>
      <c r="D20298" t="s">
        <v>17</v>
      </c>
      <c r="E20298" t="s">
        <v>12</v>
      </c>
      <c r="F20298">
        <v>37096194</v>
      </c>
      <c r="G20298">
        <v>37096235</v>
      </c>
      <c r="H20298">
        <v>37095841</v>
      </c>
      <c r="I20298">
        <v>37095855</v>
      </c>
    </row>
    <row r="20299" spans="1:9" x14ac:dyDescent="0.2">
      <c r="A20299" s="1" t="str">
        <f>"ZNF383"</f>
        <v>ZNF383</v>
      </c>
      <c r="B20299" t="s">
        <v>14</v>
      </c>
      <c r="C20299" t="s">
        <v>10</v>
      </c>
      <c r="D20299" t="s">
        <v>17</v>
      </c>
      <c r="E20299" t="s">
        <v>12</v>
      </c>
      <c r="F20299">
        <v>37709076</v>
      </c>
      <c r="G20299">
        <v>37709154</v>
      </c>
      <c r="H20299">
        <v>37708814</v>
      </c>
      <c r="I20299">
        <v>37708838</v>
      </c>
    </row>
    <row r="20300" spans="1:9" x14ac:dyDescent="0.2">
      <c r="A20300" s="1" t="str">
        <f>"ZNF384"</f>
        <v>ZNF384</v>
      </c>
      <c r="B20300" t="s">
        <v>14</v>
      </c>
      <c r="C20300" t="s">
        <v>16</v>
      </c>
      <c r="D20300" t="s">
        <v>11</v>
      </c>
      <c r="E20300" t="s">
        <v>12</v>
      </c>
      <c r="F20300">
        <v>6798410</v>
      </c>
      <c r="G20300">
        <v>6798503</v>
      </c>
      <c r="H20300">
        <v>6798616</v>
      </c>
      <c r="I20300">
        <v>6798684</v>
      </c>
    </row>
    <row r="20301" spans="1:9" x14ac:dyDescent="0.2">
      <c r="A20301" s="1" t="str">
        <f>"ZNF385A"</f>
        <v>ZNF385A</v>
      </c>
      <c r="B20301" t="s">
        <v>9</v>
      </c>
      <c r="C20301" t="s">
        <v>16</v>
      </c>
      <c r="D20301" t="s">
        <v>11</v>
      </c>
      <c r="E20301" t="s">
        <v>12</v>
      </c>
      <c r="F20301">
        <v>54778471</v>
      </c>
      <c r="G20301">
        <v>54778528</v>
      </c>
      <c r="H20301">
        <v>54778471</v>
      </c>
      <c r="I20301">
        <v>54778528</v>
      </c>
    </row>
    <row r="20302" spans="1:9" x14ac:dyDescent="0.2">
      <c r="A20302" s="1" t="str">
        <f>"ZNF385A"</f>
        <v>ZNF385A</v>
      </c>
      <c r="B20302" t="s">
        <v>13</v>
      </c>
      <c r="C20302" t="s">
        <v>16</v>
      </c>
      <c r="D20302" t="s">
        <v>11</v>
      </c>
      <c r="E20302" t="s">
        <v>12</v>
      </c>
      <c r="F20302">
        <v>54785074</v>
      </c>
      <c r="G20302">
        <v>54785122</v>
      </c>
      <c r="H20302">
        <v>54785074</v>
      </c>
      <c r="I20302">
        <v>54785122</v>
      </c>
    </row>
    <row r="20303" spans="1:9" x14ac:dyDescent="0.2">
      <c r="A20303" s="1" t="str">
        <f>"ZNF385B"</f>
        <v>ZNF385B</v>
      </c>
      <c r="B20303" t="s">
        <v>14</v>
      </c>
      <c r="C20303" t="s">
        <v>26</v>
      </c>
      <c r="D20303" t="s">
        <v>11</v>
      </c>
      <c r="E20303" t="s">
        <v>12</v>
      </c>
      <c r="F20303">
        <v>180726291</v>
      </c>
      <c r="G20303">
        <v>180726311</v>
      </c>
      <c r="H20303">
        <v>180726040</v>
      </c>
      <c r="I20303">
        <v>180726052</v>
      </c>
    </row>
    <row r="20304" spans="1:9" x14ac:dyDescent="0.2">
      <c r="A20304" s="1" t="str">
        <f>"ZNF385C"</f>
        <v>ZNF385C</v>
      </c>
      <c r="B20304" t="s">
        <v>1849</v>
      </c>
      <c r="C20304" t="s">
        <v>28</v>
      </c>
      <c r="D20304" t="s">
        <v>11</v>
      </c>
      <c r="E20304" t="s">
        <v>20</v>
      </c>
      <c r="F20304">
        <v>40215074</v>
      </c>
      <c r="G20304">
        <v>40215074</v>
      </c>
      <c r="H20304">
        <v>40215074</v>
      </c>
      <c r="I20304">
        <v>40215074</v>
      </c>
    </row>
    <row r="20305" spans="1:9" x14ac:dyDescent="0.2">
      <c r="A20305" s="1" t="str">
        <f>"ZNF385D"</f>
        <v>ZNF385D</v>
      </c>
      <c r="B20305" t="s">
        <v>14</v>
      </c>
      <c r="C20305" t="s">
        <v>22</v>
      </c>
      <c r="D20305" t="s">
        <v>11</v>
      </c>
      <c r="E20305" t="s">
        <v>12</v>
      </c>
      <c r="F20305">
        <v>21792682</v>
      </c>
      <c r="G20305">
        <v>21792720</v>
      </c>
      <c r="H20305">
        <v>21792585</v>
      </c>
      <c r="I20305">
        <v>21792625</v>
      </c>
    </row>
    <row r="20306" spans="1:9" x14ac:dyDescent="0.2">
      <c r="A20306" s="1" t="str">
        <f>"ZNF391"</f>
        <v>ZNF391</v>
      </c>
      <c r="B20306" t="s">
        <v>14</v>
      </c>
      <c r="C20306" t="s">
        <v>32</v>
      </c>
      <c r="D20306" t="s">
        <v>17</v>
      </c>
      <c r="E20306" t="s">
        <v>12</v>
      </c>
      <c r="F20306">
        <v>27356745</v>
      </c>
      <c r="G20306">
        <v>27356777</v>
      </c>
      <c r="H20306">
        <v>27356527</v>
      </c>
      <c r="I20306">
        <v>27356557</v>
      </c>
    </row>
    <row r="20307" spans="1:9" x14ac:dyDescent="0.2">
      <c r="A20307" s="1" t="str">
        <f>"ZNF394"</f>
        <v>ZNF394</v>
      </c>
      <c r="B20307" t="s">
        <v>14</v>
      </c>
      <c r="C20307" t="s">
        <v>33</v>
      </c>
      <c r="D20307" t="s">
        <v>11</v>
      </c>
      <c r="E20307" t="s">
        <v>12</v>
      </c>
      <c r="F20307">
        <v>99097863</v>
      </c>
      <c r="G20307">
        <v>99097936</v>
      </c>
      <c r="H20307">
        <v>99097445</v>
      </c>
      <c r="I20307">
        <v>99097485</v>
      </c>
    </row>
    <row r="20308" spans="1:9" x14ac:dyDescent="0.2">
      <c r="A20308" s="1" t="str">
        <f>"ZNF395"</f>
        <v>ZNF395</v>
      </c>
      <c r="B20308" t="s">
        <v>14</v>
      </c>
      <c r="C20308" t="s">
        <v>30</v>
      </c>
      <c r="D20308" t="s">
        <v>11</v>
      </c>
      <c r="E20308" t="s">
        <v>12</v>
      </c>
      <c r="F20308">
        <v>28243661</v>
      </c>
      <c r="G20308">
        <v>28243709</v>
      </c>
      <c r="H20308">
        <v>28243661</v>
      </c>
      <c r="I20308">
        <v>28243709</v>
      </c>
    </row>
    <row r="20309" spans="1:9" x14ac:dyDescent="0.2">
      <c r="A20309" s="1" t="str">
        <f>"ZNF396"</f>
        <v>ZNF396</v>
      </c>
      <c r="B20309" t="s">
        <v>14</v>
      </c>
      <c r="C20309" t="s">
        <v>43</v>
      </c>
      <c r="D20309" t="s">
        <v>11</v>
      </c>
      <c r="E20309" t="s">
        <v>12</v>
      </c>
      <c r="F20309">
        <v>32957260</v>
      </c>
      <c r="G20309">
        <v>32957309</v>
      </c>
      <c r="H20309">
        <v>32957260</v>
      </c>
      <c r="I20309">
        <v>32957309</v>
      </c>
    </row>
    <row r="20310" spans="1:9" x14ac:dyDescent="0.2">
      <c r="A20310" s="1" t="str">
        <f>"ZNF397"</f>
        <v>ZNF397</v>
      </c>
      <c r="B20310" t="s">
        <v>14</v>
      </c>
      <c r="C20310" t="s">
        <v>43</v>
      </c>
      <c r="D20310" t="s">
        <v>17</v>
      </c>
      <c r="E20310" t="s">
        <v>12</v>
      </c>
      <c r="F20310">
        <v>32820990</v>
      </c>
      <c r="G20310">
        <v>32821031</v>
      </c>
      <c r="H20310">
        <v>32821037</v>
      </c>
      <c r="I20310">
        <v>32821057</v>
      </c>
    </row>
    <row r="20311" spans="1:9" x14ac:dyDescent="0.2">
      <c r="A20311" s="1" t="str">
        <f>"ZNF398"</f>
        <v>ZNF398</v>
      </c>
      <c r="B20311" t="s">
        <v>14</v>
      </c>
      <c r="C20311" t="s">
        <v>33</v>
      </c>
      <c r="D20311" t="s">
        <v>17</v>
      </c>
      <c r="E20311" t="s">
        <v>12</v>
      </c>
      <c r="F20311">
        <v>148844516</v>
      </c>
      <c r="G20311">
        <v>148844577</v>
      </c>
      <c r="H20311">
        <v>148844581</v>
      </c>
      <c r="I20311">
        <v>148844606</v>
      </c>
    </row>
    <row r="20312" spans="1:9" x14ac:dyDescent="0.2">
      <c r="A20312" s="1" t="str">
        <f>"ZNF404"</f>
        <v>ZNF404</v>
      </c>
      <c r="B20312" t="s">
        <v>14</v>
      </c>
      <c r="C20312" t="s">
        <v>10</v>
      </c>
      <c r="D20312" t="s">
        <v>11</v>
      </c>
      <c r="E20312" t="s">
        <v>12</v>
      </c>
      <c r="F20312">
        <v>44384235</v>
      </c>
      <c r="G20312">
        <v>44384244</v>
      </c>
      <c r="H20312">
        <v>44384235</v>
      </c>
      <c r="I20312">
        <v>44384244</v>
      </c>
    </row>
    <row r="20313" spans="1:9" x14ac:dyDescent="0.2">
      <c r="A20313" s="1" t="str">
        <f>"ZNF407"</f>
        <v>ZNF407</v>
      </c>
      <c r="B20313" t="s">
        <v>1850</v>
      </c>
      <c r="C20313" t="s">
        <v>43</v>
      </c>
      <c r="D20313" t="s">
        <v>17</v>
      </c>
      <c r="E20313" t="s">
        <v>20</v>
      </c>
      <c r="F20313">
        <v>72342975</v>
      </c>
      <c r="G20313">
        <v>72342975</v>
      </c>
      <c r="H20313">
        <v>72342975</v>
      </c>
      <c r="I20313">
        <v>72342975</v>
      </c>
    </row>
    <row r="20314" spans="1:9" x14ac:dyDescent="0.2">
      <c r="A20314" s="1" t="str">
        <f>"ZNF408"</f>
        <v>ZNF408</v>
      </c>
      <c r="B20314" t="s">
        <v>14</v>
      </c>
      <c r="C20314" t="s">
        <v>27</v>
      </c>
      <c r="D20314" t="s">
        <v>17</v>
      </c>
      <c r="E20314" t="s">
        <v>12</v>
      </c>
      <c r="F20314">
        <v>46722560</v>
      </c>
      <c r="G20314">
        <v>46722595</v>
      </c>
      <c r="H20314">
        <v>46722606</v>
      </c>
      <c r="I20314">
        <v>46722618</v>
      </c>
    </row>
    <row r="20315" spans="1:9" x14ac:dyDescent="0.2">
      <c r="A20315" s="1" t="str">
        <f>"ZNF41"</f>
        <v>ZNF41</v>
      </c>
      <c r="B20315" t="s">
        <v>14</v>
      </c>
      <c r="C20315" t="s">
        <v>37</v>
      </c>
      <c r="D20315" t="s">
        <v>11</v>
      </c>
      <c r="E20315" t="s">
        <v>12</v>
      </c>
      <c r="F20315">
        <v>47342565</v>
      </c>
      <c r="G20315">
        <v>47342638</v>
      </c>
      <c r="H20315">
        <v>47341928</v>
      </c>
      <c r="I20315">
        <v>47342010</v>
      </c>
    </row>
    <row r="20316" spans="1:9" x14ac:dyDescent="0.2">
      <c r="A20316" s="1" t="str">
        <f>"ZNF410"</f>
        <v>ZNF410</v>
      </c>
      <c r="B20316" t="s">
        <v>14</v>
      </c>
      <c r="C20316" t="s">
        <v>41</v>
      </c>
      <c r="D20316" t="s">
        <v>17</v>
      </c>
      <c r="E20316" t="s">
        <v>12</v>
      </c>
      <c r="F20316">
        <v>74353530</v>
      </c>
      <c r="G20316">
        <v>74353571</v>
      </c>
      <c r="H20316">
        <v>74353530</v>
      </c>
      <c r="I20316">
        <v>74353571</v>
      </c>
    </row>
    <row r="20317" spans="1:9" x14ac:dyDescent="0.2">
      <c r="A20317" s="1" t="str">
        <f>"ZNF414"</f>
        <v>ZNF414</v>
      </c>
      <c r="B20317" t="s">
        <v>14</v>
      </c>
      <c r="C20317" t="s">
        <v>10</v>
      </c>
      <c r="D20317" t="s">
        <v>11</v>
      </c>
      <c r="E20317" t="s">
        <v>12</v>
      </c>
      <c r="F20317">
        <v>8579030</v>
      </c>
      <c r="G20317">
        <v>8579061</v>
      </c>
      <c r="H20317">
        <v>8579030</v>
      </c>
      <c r="I20317">
        <v>8579061</v>
      </c>
    </row>
    <row r="20318" spans="1:9" x14ac:dyDescent="0.2">
      <c r="A20318" s="1" t="str">
        <f>"ZNF415"</f>
        <v>ZNF415</v>
      </c>
      <c r="B20318" t="s">
        <v>14</v>
      </c>
      <c r="C20318" t="s">
        <v>10</v>
      </c>
      <c r="D20318" t="s">
        <v>11</v>
      </c>
      <c r="E20318" t="s">
        <v>12</v>
      </c>
      <c r="F20318">
        <v>53636125</v>
      </c>
      <c r="G20318">
        <v>53636178</v>
      </c>
      <c r="H20318">
        <v>53636125</v>
      </c>
      <c r="I20318">
        <v>53636178</v>
      </c>
    </row>
    <row r="20319" spans="1:9" x14ac:dyDescent="0.2">
      <c r="A20319" s="1" t="str">
        <f>"ZNF416"</f>
        <v>ZNF416</v>
      </c>
      <c r="B20319" t="s">
        <v>14</v>
      </c>
      <c r="C20319" t="s">
        <v>10</v>
      </c>
      <c r="D20319" t="s">
        <v>11</v>
      </c>
      <c r="E20319" t="s">
        <v>12</v>
      </c>
      <c r="F20319">
        <v>58090240</v>
      </c>
      <c r="G20319">
        <v>58090289</v>
      </c>
      <c r="H20319">
        <v>58090229</v>
      </c>
      <c r="I20319">
        <v>58090236</v>
      </c>
    </row>
    <row r="20320" spans="1:9" x14ac:dyDescent="0.2">
      <c r="A20320" s="1" t="str">
        <f>"ZNF417"</f>
        <v>ZNF417</v>
      </c>
      <c r="B20320" t="s">
        <v>14</v>
      </c>
      <c r="C20320" t="s">
        <v>10</v>
      </c>
      <c r="D20320" t="s">
        <v>11</v>
      </c>
      <c r="E20320" t="s">
        <v>12</v>
      </c>
      <c r="F20320">
        <v>58427951</v>
      </c>
      <c r="G20320">
        <v>58427984</v>
      </c>
      <c r="H20320">
        <v>58427951</v>
      </c>
      <c r="I20320">
        <v>58427984</v>
      </c>
    </row>
    <row r="20321" spans="1:9" x14ac:dyDescent="0.2">
      <c r="A20321" s="1" t="str">
        <f>"ZNF418"</f>
        <v>ZNF418</v>
      </c>
      <c r="B20321" t="s">
        <v>14</v>
      </c>
      <c r="C20321" t="s">
        <v>10</v>
      </c>
      <c r="D20321" t="s">
        <v>11</v>
      </c>
      <c r="E20321" t="s">
        <v>12</v>
      </c>
      <c r="F20321">
        <v>58446721</v>
      </c>
      <c r="G20321">
        <v>58446779</v>
      </c>
      <c r="H20321">
        <v>58446526</v>
      </c>
      <c r="I20321">
        <v>58446529</v>
      </c>
    </row>
    <row r="20322" spans="1:9" x14ac:dyDescent="0.2">
      <c r="A20322" s="1" t="str">
        <f>"ZNF419"</f>
        <v>ZNF419</v>
      </c>
      <c r="B20322" t="s">
        <v>14</v>
      </c>
      <c r="C20322" t="s">
        <v>10</v>
      </c>
      <c r="D20322" t="s">
        <v>17</v>
      </c>
      <c r="E20322" t="s">
        <v>12</v>
      </c>
      <c r="F20322">
        <v>57999101</v>
      </c>
      <c r="G20322">
        <v>57999158</v>
      </c>
      <c r="H20322">
        <v>57999082</v>
      </c>
      <c r="I20322">
        <v>57999095</v>
      </c>
    </row>
    <row r="20323" spans="1:9" x14ac:dyDescent="0.2">
      <c r="A20323" s="1" t="str">
        <f>"ZNF420"</f>
        <v>ZNF420</v>
      </c>
      <c r="B20323" t="s">
        <v>14</v>
      </c>
      <c r="C20323" t="s">
        <v>10</v>
      </c>
      <c r="D20323" t="s">
        <v>17</v>
      </c>
      <c r="E20323" t="s">
        <v>12</v>
      </c>
      <c r="F20323">
        <v>37569314</v>
      </c>
      <c r="G20323">
        <v>37569381</v>
      </c>
      <c r="H20323">
        <v>37569314</v>
      </c>
      <c r="I20323">
        <v>37569381</v>
      </c>
    </row>
    <row r="20324" spans="1:9" x14ac:dyDescent="0.2">
      <c r="A20324" s="1" t="str">
        <f>"ZNF423"</f>
        <v>ZNF423</v>
      </c>
      <c r="B20324" t="s">
        <v>1851</v>
      </c>
      <c r="C20324" t="s">
        <v>31</v>
      </c>
      <c r="D20324" t="s">
        <v>11</v>
      </c>
      <c r="E20324" t="s">
        <v>20</v>
      </c>
      <c r="F20324">
        <v>49860917</v>
      </c>
      <c r="G20324">
        <v>49860917</v>
      </c>
      <c r="H20324">
        <v>49860917</v>
      </c>
      <c r="I20324">
        <v>49860917</v>
      </c>
    </row>
    <row r="20325" spans="1:9" x14ac:dyDescent="0.2">
      <c r="A20325" s="1" t="str">
        <f>"ZNF423"</f>
        <v>ZNF423</v>
      </c>
      <c r="B20325" t="s">
        <v>1852</v>
      </c>
      <c r="C20325" t="s">
        <v>31</v>
      </c>
      <c r="D20325" t="s">
        <v>11</v>
      </c>
      <c r="E20325" t="s">
        <v>20</v>
      </c>
      <c r="F20325">
        <v>49856649</v>
      </c>
      <c r="G20325">
        <v>49856649</v>
      </c>
      <c r="H20325">
        <v>49856649</v>
      </c>
      <c r="I20325">
        <v>49856649</v>
      </c>
    </row>
    <row r="20326" spans="1:9" x14ac:dyDescent="0.2">
      <c r="A20326" s="1" t="str">
        <f>"ZNF425"</f>
        <v>ZNF425</v>
      </c>
      <c r="B20326" t="s">
        <v>14</v>
      </c>
      <c r="C20326" t="s">
        <v>33</v>
      </c>
      <c r="D20326" t="s">
        <v>11</v>
      </c>
      <c r="E20326" t="s">
        <v>12</v>
      </c>
      <c r="F20326">
        <v>148823387</v>
      </c>
      <c r="G20326">
        <v>148823440</v>
      </c>
      <c r="H20326">
        <v>148823314</v>
      </c>
      <c r="I20326">
        <v>148823342</v>
      </c>
    </row>
    <row r="20327" spans="1:9" x14ac:dyDescent="0.2">
      <c r="A20327" s="1" t="str">
        <f>"ZNF426"</f>
        <v>ZNF426</v>
      </c>
      <c r="B20327" t="s">
        <v>14</v>
      </c>
      <c r="C20327" t="s">
        <v>10</v>
      </c>
      <c r="D20327" t="s">
        <v>11</v>
      </c>
      <c r="E20327" t="s">
        <v>12</v>
      </c>
      <c r="F20327">
        <v>9649268</v>
      </c>
      <c r="G20327">
        <v>9649298</v>
      </c>
      <c r="H20327">
        <v>9649304</v>
      </c>
      <c r="I20327">
        <v>9649326</v>
      </c>
    </row>
    <row r="20328" spans="1:9" x14ac:dyDescent="0.2">
      <c r="A20328" s="1" t="str">
        <f>"ZNF428"</f>
        <v>ZNF428</v>
      </c>
      <c r="B20328" t="s">
        <v>14</v>
      </c>
      <c r="C20328" t="s">
        <v>10</v>
      </c>
      <c r="D20328" t="s">
        <v>11</v>
      </c>
      <c r="E20328" t="s">
        <v>12</v>
      </c>
      <c r="F20328">
        <v>44123734</v>
      </c>
      <c r="G20328">
        <v>44123796</v>
      </c>
      <c r="H20328">
        <v>44124019</v>
      </c>
      <c r="I20328">
        <v>44124030</v>
      </c>
    </row>
    <row r="20329" spans="1:9" x14ac:dyDescent="0.2">
      <c r="A20329" s="1" t="str">
        <f>"ZNF429"</f>
        <v>ZNF429</v>
      </c>
      <c r="B20329" t="s">
        <v>14</v>
      </c>
      <c r="C20329" t="s">
        <v>10</v>
      </c>
      <c r="D20329" t="s">
        <v>17</v>
      </c>
      <c r="E20329" t="s">
        <v>12</v>
      </c>
      <c r="F20329">
        <v>21688387</v>
      </c>
      <c r="G20329">
        <v>21688432</v>
      </c>
      <c r="H20329">
        <v>21688374</v>
      </c>
      <c r="I20329">
        <v>21688379</v>
      </c>
    </row>
    <row r="20330" spans="1:9" x14ac:dyDescent="0.2">
      <c r="A20330" s="1" t="str">
        <f>"ZNF43"</f>
        <v>ZNF43</v>
      </c>
      <c r="B20330" t="s">
        <v>9</v>
      </c>
      <c r="C20330" t="s">
        <v>10</v>
      </c>
      <c r="D20330" t="s">
        <v>11</v>
      </c>
      <c r="E20330" t="s">
        <v>12</v>
      </c>
      <c r="F20330">
        <v>22018966</v>
      </c>
      <c r="G20330">
        <v>22019001</v>
      </c>
      <c r="H20330">
        <v>22018966</v>
      </c>
      <c r="I20330">
        <v>22019001</v>
      </c>
    </row>
    <row r="20331" spans="1:9" x14ac:dyDescent="0.2">
      <c r="A20331" s="1" t="str">
        <f>"ZNF43"</f>
        <v>ZNF43</v>
      </c>
      <c r="B20331" t="s">
        <v>13</v>
      </c>
      <c r="C20331" t="s">
        <v>10</v>
      </c>
      <c r="D20331" t="s">
        <v>11</v>
      </c>
      <c r="E20331" t="s">
        <v>12</v>
      </c>
      <c r="F20331">
        <v>22034809</v>
      </c>
      <c r="G20331">
        <v>22034878</v>
      </c>
      <c r="H20331">
        <v>22034809</v>
      </c>
      <c r="I20331">
        <v>22034878</v>
      </c>
    </row>
    <row r="20332" spans="1:9" x14ac:dyDescent="0.2">
      <c r="A20332" s="1" t="str">
        <f>"ZNF430"</f>
        <v>ZNF430</v>
      </c>
      <c r="B20332" t="s">
        <v>14</v>
      </c>
      <c r="C20332" t="s">
        <v>10</v>
      </c>
      <c r="D20332" t="s">
        <v>17</v>
      </c>
      <c r="E20332" t="s">
        <v>12</v>
      </c>
      <c r="F20332">
        <v>21203451</v>
      </c>
      <c r="G20332">
        <v>21203475</v>
      </c>
      <c r="H20332">
        <v>21203481</v>
      </c>
      <c r="I20332">
        <v>21203504</v>
      </c>
    </row>
    <row r="20333" spans="1:9" x14ac:dyDescent="0.2">
      <c r="A20333" s="1" t="str">
        <f>"ZNF431"</f>
        <v>ZNF431</v>
      </c>
      <c r="B20333" t="s">
        <v>14</v>
      </c>
      <c r="C20333" t="s">
        <v>10</v>
      </c>
      <c r="D20333" t="s">
        <v>17</v>
      </c>
      <c r="E20333" t="s">
        <v>12</v>
      </c>
      <c r="F20333">
        <v>21324829</v>
      </c>
      <c r="G20333">
        <v>21324855</v>
      </c>
      <c r="H20333">
        <v>21324863</v>
      </c>
      <c r="I20333">
        <v>21324874</v>
      </c>
    </row>
    <row r="20334" spans="1:9" x14ac:dyDescent="0.2">
      <c r="A20334" s="1" t="str">
        <f>"ZNF432"</f>
        <v>ZNF432</v>
      </c>
      <c r="B20334" t="s">
        <v>14</v>
      </c>
      <c r="C20334" t="s">
        <v>10</v>
      </c>
      <c r="D20334" t="s">
        <v>11</v>
      </c>
      <c r="E20334" t="s">
        <v>12</v>
      </c>
      <c r="F20334">
        <v>52552051</v>
      </c>
      <c r="G20334">
        <v>52552113</v>
      </c>
      <c r="H20334">
        <v>52552009</v>
      </c>
      <c r="I20334">
        <v>52552023</v>
      </c>
    </row>
    <row r="20335" spans="1:9" x14ac:dyDescent="0.2">
      <c r="A20335" s="1" t="str">
        <f>"ZNF433"</f>
        <v>ZNF433</v>
      </c>
      <c r="B20335" t="s">
        <v>14</v>
      </c>
      <c r="C20335" t="s">
        <v>10</v>
      </c>
      <c r="D20335" t="s">
        <v>11</v>
      </c>
      <c r="E20335" t="s">
        <v>12</v>
      </c>
      <c r="F20335">
        <v>12146483</v>
      </c>
      <c r="G20335">
        <v>12146546</v>
      </c>
      <c r="H20335">
        <v>12146483</v>
      </c>
      <c r="I20335">
        <v>12146546</v>
      </c>
    </row>
    <row r="20336" spans="1:9" x14ac:dyDescent="0.2">
      <c r="A20336" s="1" t="str">
        <f>"ZNF436"</f>
        <v>ZNF436</v>
      </c>
      <c r="B20336" t="s">
        <v>9</v>
      </c>
      <c r="C20336" t="s">
        <v>19</v>
      </c>
      <c r="D20336" t="s">
        <v>11</v>
      </c>
      <c r="E20336" t="s">
        <v>12</v>
      </c>
      <c r="F20336">
        <v>23694794</v>
      </c>
      <c r="G20336">
        <v>23694863</v>
      </c>
      <c r="H20336">
        <v>23694794</v>
      </c>
      <c r="I20336">
        <v>23694863</v>
      </c>
    </row>
    <row r="20337" spans="1:9" x14ac:dyDescent="0.2">
      <c r="A20337" s="1" t="str">
        <f>"ZNF436"</f>
        <v>ZNF436</v>
      </c>
      <c r="B20337" t="s">
        <v>13</v>
      </c>
      <c r="C20337" t="s">
        <v>19</v>
      </c>
      <c r="D20337" t="s">
        <v>11</v>
      </c>
      <c r="E20337" t="s">
        <v>12</v>
      </c>
      <c r="F20337">
        <v>23696308</v>
      </c>
      <c r="G20337">
        <v>23696339</v>
      </c>
      <c r="H20337">
        <v>23696308</v>
      </c>
      <c r="I20337">
        <v>23696339</v>
      </c>
    </row>
    <row r="20338" spans="1:9" x14ac:dyDescent="0.2">
      <c r="A20338" s="1" t="str">
        <f>"ZNF438"</f>
        <v>ZNF438</v>
      </c>
      <c r="B20338" t="s">
        <v>9</v>
      </c>
      <c r="C20338" t="s">
        <v>15</v>
      </c>
      <c r="D20338" t="s">
        <v>11</v>
      </c>
      <c r="E20338" t="s">
        <v>12</v>
      </c>
      <c r="F20338">
        <v>31320777</v>
      </c>
      <c r="G20338">
        <v>31320834</v>
      </c>
      <c r="H20338">
        <v>31320777</v>
      </c>
      <c r="I20338">
        <v>31320834</v>
      </c>
    </row>
    <row r="20339" spans="1:9" x14ac:dyDescent="0.2">
      <c r="A20339" s="1" t="str">
        <f>"ZNF438"</f>
        <v>ZNF438</v>
      </c>
      <c r="B20339" t="s">
        <v>13</v>
      </c>
      <c r="C20339" t="s">
        <v>15</v>
      </c>
      <c r="D20339" t="s">
        <v>11</v>
      </c>
      <c r="E20339" t="s">
        <v>12</v>
      </c>
      <c r="F20339">
        <v>31288398</v>
      </c>
      <c r="G20339">
        <v>31288455</v>
      </c>
      <c r="H20339">
        <v>31288398</v>
      </c>
      <c r="I20339">
        <v>31288455</v>
      </c>
    </row>
    <row r="20340" spans="1:9" x14ac:dyDescent="0.2">
      <c r="A20340" s="1" t="str">
        <f>"ZNF439"</f>
        <v>ZNF439</v>
      </c>
      <c r="B20340" t="s">
        <v>14</v>
      </c>
      <c r="C20340" t="s">
        <v>10</v>
      </c>
      <c r="D20340" t="s">
        <v>17</v>
      </c>
      <c r="E20340" t="s">
        <v>12</v>
      </c>
      <c r="F20340">
        <v>11959532</v>
      </c>
      <c r="G20340">
        <v>11959593</v>
      </c>
      <c r="H20340">
        <v>11959532</v>
      </c>
      <c r="I20340">
        <v>11959593</v>
      </c>
    </row>
    <row r="20341" spans="1:9" x14ac:dyDescent="0.2">
      <c r="A20341" s="1" t="str">
        <f>"ZNF44"</f>
        <v>ZNF44</v>
      </c>
      <c r="B20341" t="s">
        <v>14</v>
      </c>
      <c r="C20341" t="s">
        <v>10</v>
      </c>
      <c r="D20341" t="s">
        <v>11</v>
      </c>
      <c r="E20341" t="s">
        <v>12</v>
      </c>
      <c r="F20341">
        <v>12405645</v>
      </c>
      <c r="G20341">
        <v>12405685</v>
      </c>
      <c r="H20341">
        <v>12405606</v>
      </c>
      <c r="I20341">
        <v>12405629</v>
      </c>
    </row>
    <row r="20342" spans="1:9" x14ac:dyDescent="0.2">
      <c r="A20342" s="1" t="str">
        <f>"ZNF440"</f>
        <v>ZNF440</v>
      </c>
      <c r="B20342" t="s">
        <v>14</v>
      </c>
      <c r="C20342" t="s">
        <v>10</v>
      </c>
      <c r="D20342" t="s">
        <v>17</v>
      </c>
      <c r="E20342" t="s">
        <v>12</v>
      </c>
      <c r="F20342">
        <v>11925071</v>
      </c>
      <c r="G20342">
        <v>11925113</v>
      </c>
      <c r="H20342">
        <v>11925071</v>
      </c>
      <c r="I20342">
        <v>11925113</v>
      </c>
    </row>
    <row r="20343" spans="1:9" x14ac:dyDescent="0.2">
      <c r="A20343" s="1" t="str">
        <f>"ZNF441"</f>
        <v>ZNF441</v>
      </c>
      <c r="B20343" t="s">
        <v>14</v>
      </c>
      <c r="C20343" t="s">
        <v>10</v>
      </c>
      <c r="D20343" t="s">
        <v>17</v>
      </c>
      <c r="E20343" t="s">
        <v>12</v>
      </c>
      <c r="F20343">
        <v>11877838</v>
      </c>
      <c r="G20343">
        <v>11877915</v>
      </c>
      <c r="H20343">
        <v>11877805</v>
      </c>
      <c r="I20343">
        <v>11877832</v>
      </c>
    </row>
    <row r="20344" spans="1:9" x14ac:dyDescent="0.2">
      <c r="A20344" s="1" t="str">
        <f>"ZNF442"</f>
        <v>ZNF442</v>
      </c>
      <c r="B20344" t="s">
        <v>14</v>
      </c>
      <c r="C20344" t="s">
        <v>10</v>
      </c>
      <c r="D20344" t="s">
        <v>11</v>
      </c>
      <c r="E20344" t="s">
        <v>12</v>
      </c>
      <c r="F20344">
        <v>12476443</v>
      </c>
      <c r="G20344">
        <v>12476467</v>
      </c>
      <c r="H20344">
        <v>12476469</v>
      </c>
      <c r="I20344">
        <v>12476509</v>
      </c>
    </row>
    <row r="20345" spans="1:9" x14ac:dyDescent="0.2">
      <c r="A20345" s="1" t="str">
        <f>"ZNF443"</f>
        <v>ZNF443</v>
      </c>
      <c r="B20345" t="s">
        <v>14</v>
      </c>
      <c r="C20345" t="s">
        <v>10</v>
      </c>
      <c r="D20345" t="s">
        <v>11</v>
      </c>
      <c r="E20345" t="s">
        <v>12</v>
      </c>
      <c r="F20345">
        <v>12551785</v>
      </c>
      <c r="G20345">
        <v>12551823</v>
      </c>
      <c r="H20345">
        <v>12551824</v>
      </c>
      <c r="I20345">
        <v>12551846</v>
      </c>
    </row>
    <row r="20346" spans="1:9" x14ac:dyDescent="0.2">
      <c r="A20346" s="1" t="str">
        <f>"ZNF444"</f>
        <v>ZNF444</v>
      </c>
      <c r="B20346" t="s">
        <v>14</v>
      </c>
      <c r="C20346" t="s">
        <v>10</v>
      </c>
      <c r="D20346" t="s">
        <v>17</v>
      </c>
      <c r="E20346" t="s">
        <v>12</v>
      </c>
      <c r="F20346">
        <v>56652643</v>
      </c>
      <c r="G20346">
        <v>56652683</v>
      </c>
      <c r="H20346">
        <v>56652621</v>
      </c>
      <c r="I20346">
        <v>56652641</v>
      </c>
    </row>
    <row r="20347" spans="1:9" x14ac:dyDescent="0.2">
      <c r="A20347" s="1" t="str">
        <f>"ZNF445"</f>
        <v>ZNF445</v>
      </c>
      <c r="B20347" t="s">
        <v>14</v>
      </c>
      <c r="C20347" t="s">
        <v>22</v>
      </c>
      <c r="D20347" t="s">
        <v>11</v>
      </c>
      <c r="E20347" t="s">
        <v>12</v>
      </c>
      <c r="F20347">
        <v>44519131</v>
      </c>
      <c r="G20347">
        <v>44519186</v>
      </c>
      <c r="H20347">
        <v>44519131</v>
      </c>
      <c r="I20347">
        <v>44519186</v>
      </c>
    </row>
    <row r="20348" spans="1:9" x14ac:dyDescent="0.2">
      <c r="A20348" s="1" t="str">
        <f>"ZNF446"</f>
        <v>ZNF446</v>
      </c>
      <c r="B20348" t="s">
        <v>14</v>
      </c>
      <c r="C20348" t="s">
        <v>10</v>
      </c>
      <c r="D20348" t="s">
        <v>17</v>
      </c>
      <c r="E20348" t="s">
        <v>12</v>
      </c>
      <c r="F20348">
        <v>58987500</v>
      </c>
      <c r="G20348">
        <v>58987548</v>
      </c>
      <c r="H20348">
        <v>58987711</v>
      </c>
      <c r="I20348">
        <v>58987729</v>
      </c>
    </row>
    <row r="20349" spans="1:9" x14ac:dyDescent="0.2">
      <c r="A20349" s="1" t="str">
        <f>"ZNF449"</f>
        <v>ZNF449</v>
      </c>
      <c r="B20349" t="s">
        <v>14</v>
      </c>
      <c r="C20349" t="s">
        <v>37</v>
      </c>
      <c r="D20349" t="s">
        <v>17</v>
      </c>
      <c r="E20349" t="s">
        <v>12</v>
      </c>
      <c r="F20349">
        <v>134478706</v>
      </c>
      <c r="G20349">
        <v>134478736</v>
      </c>
      <c r="H20349">
        <v>134478706</v>
      </c>
      <c r="I20349">
        <v>134478736</v>
      </c>
    </row>
    <row r="20350" spans="1:9" x14ac:dyDescent="0.2">
      <c r="A20350" s="1" t="str">
        <f>"ZNF45"</f>
        <v>ZNF45</v>
      </c>
      <c r="B20350" t="s">
        <v>14</v>
      </c>
      <c r="C20350" t="s">
        <v>10</v>
      </c>
      <c r="D20350" t="s">
        <v>11</v>
      </c>
      <c r="E20350" t="s">
        <v>12</v>
      </c>
      <c r="F20350">
        <v>44439420</v>
      </c>
      <c r="G20350">
        <v>44439447</v>
      </c>
      <c r="H20350">
        <v>44439387</v>
      </c>
      <c r="I20350">
        <v>44439419</v>
      </c>
    </row>
    <row r="20351" spans="1:9" x14ac:dyDescent="0.2">
      <c r="A20351" s="1" t="str">
        <f>"ZNF451"</f>
        <v>ZNF451</v>
      </c>
      <c r="B20351" t="s">
        <v>14</v>
      </c>
      <c r="C20351" t="s">
        <v>32</v>
      </c>
      <c r="D20351" t="s">
        <v>17</v>
      </c>
      <c r="E20351" t="s">
        <v>12</v>
      </c>
      <c r="F20351">
        <v>56954919</v>
      </c>
      <c r="G20351">
        <v>56955000</v>
      </c>
      <c r="H20351">
        <v>56954867</v>
      </c>
      <c r="I20351">
        <v>56954882</v>
      </c>
    </row>
    <row r="20352" spans="1:9" x14ac:dyDescent="0.2">
      <c r="A20352" s="1" t="str">
        <f>"ZNF454"</f>
        <v>ZNF454</v>
      </c>
      <c r="B20352" t="s">
        <v>14</v>
      </c>
      <c r="C20352" t="s">
        <v>46</v>
      </c>
      <c r="D20352" t="s">
        <v>17</v>
      </c>
      <c r="E20352" t="s">
        <v>12</v>
      </c>
      <c r="F20352">
        <v>178368186</v>
      </c>
      <c r="G20352">
        <v>178368238</v>
      </c>
      <c r="H20352">
        <v>178368186</v>
      </c>
      <c r="I20352">
        <v>178368238</v>
      </c>
    </row>
    <row r="20353" spans="1:9" x14ac:dyDescent="0.2">
      <c r="A20353" s="1" t="str">
        <f>"ZNF460"</f>
        <v>ZNF460</v>
      </c>
      <c r="B20353" t="s">
        <v>14</v>
      </c>
      <c r="C20353" t="s">
        <v>10</v>
      </c>
      <c r="D20353" t="s">
        <v>17</v>
      </c>
      <c r="E20353" t="s">
        <v>12</v>
      </c>
      <c r="F20353">
        <v>57791806</v>
      </c>
      <c r="G20353">
        <v>57791875</v>
      </c>
      <c r="H20353">
        <v>57791328</v>
      </c>
      <c r="I20353">
        <v>57791377</v>
      </c>
    </row>
    <row r="20354" spans="1:9" x14ac:dyDescent="0.2">
      <c r="A20354" s="1" t="str">
        <f>"ZNF461"</f>
        <v>ZNF461</v>
      </c>
      <c r="B20354" t="s">
        <v>14</v>
      </c>
      <c r="C20354" t="s">
        <v>10</v>
      </c>
      <c r="D20354" t="s">
        <v>11</v>
      </c>
      <c r="E20354" t="s">
        <v>12</v>
      </c>
      <c r="F20354">
        <v>37157713</v>
      </c>
      <c r="G20354">
        <v>37157760</v>
      </c>
      <c r="H20354">
        <v>37158097</v>
      </c>
      <c r="I20354">
        <v>37158102</v>
      </c>
    </row>
    <row r="20355" spans="1:9" x14ac:dyDescent="0.2">
      <c r="A20355" s="1" t="str">
        <f>"ZNF462"</f>
        <v>ZNF462</v>
      </c>
      <c r="B20355" t="s">
        <v>14</v>
      </c>
      <c r="C20355" t="s">
        <v>24</v>
      </c>
      <c r="D20355" t="s">
        <v>17</v>
      </c>
      <c r="E20355" t="s">
        <v>12</v>
      </c>
      <c r="F20355">
        <v>109625401</v>
      </c>
      <c r="G20355">
        <v>109625458</v>
      </c>
      <c r="H20355">
        <v>109625229</v>
      </c>
      <c r="I20355">
        <v>109625282</v>
      </c>
    </row>
    <row r="20356" spans="1:9" x14ac:dyDescent="0.2">
      <c r="A20356" s="1" t="str">
        <f>"ZNF467"</f>
        <v>ZNF467</v>
      </c>
      <c r="B20356" t="s">
        <v>14</v>
      </c>
      <c r="C20356" t="s">
        <v>33</v>
      </c>
      <c r="D20356" t="s">
        <v>11</v>
      </c>
      <c r="E20356" t="s">
        <v>12</v>
      </c>
      <c r="F20356">
        <v>149470641</v>
      </c>
      <c r="G20356">
        <v>149470694</v>
      </c>
      <c r="H20356">
        <v>149470540</v>
      </c>
      <c r="I20356">
        <v>149470596</v>
      </c>
    </row>
    <row r="20357" spans="1:9" x14ac:dyDescent="0.2">
      <c r="A20357" s="1" t="str">
        <f>"ZNF468"</f>
        <v>ZNF468</v>
      </c>
      <c r="B20357" t="s">
        <v>14</v>
      </c>
      <c r="C20357" t="s">
        <v>10</v>
      </c>
      <c r="D20357" t="s">
        <v>11</v>
      </c>
      <c r="E20357" t="s">
        <v>12</v>
      </c>
      <c r="F20357">
        <v>53360870</v>
      </c>
      <c r="G20357">
        <v>53360873</v>
      </c>
      <c r="H20357">
        <v>53360870</v>
      </c>
      <c r="I20357">
        <v>53360873</v>
      </c>
    </row>
    <row r="20358" spans="1:9" x14ac:dyDescent="0.2">
      <c r="A20358" s="1" t="str">
        <f>"ZNF469"</f>
        <v>ZNF469</v>
      </c>
      <c r="B20358" t="s">
        <v>1853</v>
      </c>
      <c r="C20358" t="s">
        <v>31</v>
      </c>
      <c r="D20358" t="s">
        <v>17</v>
      </c>
      <c r="E20358" t="s">
        <v>20</v>
      </c>
      <c r="F20358">
        <v>88493878</v>
      </c>
      <c r="G20358">
        <v>88493878</v>
      </c>
      <c r="H20358">
        <v>88493878</v>
      </c>
      <c r="I20358">
        <v>88493878</v>
      </c>
    </row>
    <row r="20359" spans="1:9" x14ac:dyDescent="0.2">
      <c r="A20359" s="1" t="str">
        <f>"ZNF470"</f>
        <v>ZNF470</v>
      </c>
      <c r="B20359" t="s">
        <v>14</v>
      </c>
      <c r="C20359" t="s">
        <v>10</v>
      </c>
      <c r="D20359" t="s">
        <v>17</v>
      </c>
      <c r="E20359" t="s">
        <v>12</v>
      </c>
      <c r="F20359">
        <v>57078854</v>
      </c>
      <c r="G20359">
        <v>57078889</v>
      </c>
      <c r="H20359">
        <v>57078972</v>
      </c>
      <c r="I20359">
        <v>57079027</v>
      </c>
    </row>
    <row r="20360" spans="1:9" x14ac:dyDescent="0.2">
      <c r="A20360" s="1" t="str">
        <f>"ZNF471"</f>
        <v>ZNF471</v>
      </c>
      <c r="B20360" t="s">
        <v>14</v>
      </c>
      <c r="C20360" t="s">
        <v>10</v>
      </c>
      <c r="D20360" t="s">
        <v>17</v>
      </c>
      <c r="E20360" t="s">
        <v>12</v>
      </c>
      <c r="F20360">
        <v>57019215</v>
      </c>
      <c r="G20360">
        <v>57019250</v>
      </c>
      <c r="H20360">
        <v>57019172</v>
      </c>
      <c r="I20360">
        <v>57019203</v>
      </c>
    </row>
    <row r="20361" spans="1:9" x14ac:dyDescent="0.2">
      <c r="A20361" s="1" t="str">
        <f>"ZNF473"</f>
        <v>ZNF473</v>
      </c>
      <c r="B20361" t="s">
        <v>14</v>
      </c>
      <c r="C20361" t="s">
        <v>10</v>
      </c>
      <c r="D20361" t="s">
        <v>17</v>
      </c>
      <c r="E20361" t="s">
        <v>12</v>
      </c>
      <c r="F20361">
        <v>50529247</v>
      </c>
      <c r="G20361">
        <v>50529296</v>
      </c>
      <c r="H20361">
        <v>50529247</v>
      </c>
      <c r="I20361">
        <v>50529296</v>
      </c>
    </row>
    <row r="20362" spans="1:9" x14ac:dyDescent="0.2">
      <c r="A20362" s="1" t="str">
        <f>"ZNF474"</f>
        <v>ZNF474</v>
      </c>
      <c r="B20362" t="s">
        <v>14</v>
      </c>
      <c r="C20362" t="s">
        <v>46</v>
      </c>
      <c r="D20362" t="s">
        <v>17</v>
      </c>
      <c r="E20362" t="s">
        <v>12</v>
      </c>
      <c r="F20362">
        <v>121465234</v>
      </c>
      <c r="G20362">
        <v>121465263</v>
      </c>
      <c r="H20362">
        <v>121465268</v>
      </c>
      <c r="I20362">
        <v>121465281</v>
      </c>
    </row>
    <row r="20363" spans="1:9" x14ac:dyDescent="0.2">
      <c r="A20363" s="1" t="str">
        <f>"ZNF479"</f>
        <v>ZNF479</v>
      </c>
      <c r="B20363" t="s">
        <v>14</v>
      </c>
      <c r="C20363" t="s">
        <v>33</v>
      </c>
      <c r="D20363" t="s">
        <v>11</v>
      </c>
      <c r="E20363" t="s">
        <v>12</v>
      </c>
      <c r="F20363">
        <v>57200132</v>
      </c>
      <c r="G20363">
        <v>57200144</v>
      </c>
      <c r="H20363">
        <v>57200132</v>
      </c>
      <c r="I20363">
        <v>57200144</v>
      </c>
    </row>
    <row r="20364" spans="1:9" x14ac:dyDescent="0.2">
      <c r="A20364" s="1" t="str">
        <f>"ZNF48"</f>
        <v>ZNF48</v>
      </c>
      <c r="B20364" t="s">
        <v>14</v>
      </c>
      <c r="C20364" t="s">
        <v>31</v>
      </c>
      <c r="D20364" t="s">
        <v>17</v>
      </c>
      <c r="E20364" t="s">
        <v>12</v>
      </c>
      <c r="F20364">
        <v>30406721</v>
      </c>
      <c r="G20364">
        <v>30406820</v>
      </c>
      <c r="H20364">
        <v>30406721</v>
      </c>
      <c r="I20364">
        <v>30406820</v>
      </c>
    </row>
    <row r="20365" spans="1:9" x14ac:dyDescent="0.2">
      <c r="A20365" s="1" t="str">
        <f>"ZNF480"</f>
        <v>ZNF480</v>
      </c>
      <c r="B20365" t="s">
        <v>14</v>
      </c>
      <c r="C20365" t="s">
        <v>10</v>
      </c>
      <c r="D20365" t="s">
        <v>17</v>
      </c>
      <c r="E20365" t="s">
        <v>12</v>
      </c>
      <c r="F20365">
        <v>52800410</v>
      </c>
      <c r="G20365">
        <v>52800454</v>
      </c>
      <c r="H20365">
        <v>52800410</v>
      </c>
      <c r="I20365">
        <v>52800454</v>
      </c>
    </row>
    <row r="20366" spans="1:9" x14ac:dyDescent="0.2">
      <c r="A20366" s="1" t="str">
        <f>"ZNF483"</f>
        <v>ZNF483</v>
      </c>
      <c r="B20366" t="s">
        <v>14</v>
      </c>
      <c r="C20366" t="s">
        <v>24</v>
      </c>
      <c r="D20366" t="s">
        <v>17</v>
      </c>
      <c r="E20366" t="s">
        <v>12</v>
      </c>
      <c r="F20366">
        <v>114287433</v>
      </c>
      <c r="G20366">
        <v>114287513</v>
      </c>
      <c r="H20366">
        <v>114287429</v>
      </c>
      <c r="I20366">
        <v>114287432</v>
      </c>
    </row>
    <row r="20367" spans="1:9" x14ac:dyDescent="0.2">
      <c r="A20367" s="1" t="str">
        <f>"ZNF484"</f>
        <v>ZNF484</v>
      </c>
      <c r="B20367" t="s">
        <v>14</v>
      </c>
      <c r="C20367" t="s">
        <v>24</v>
      </c>
      <c r="D20367" t="s">
        <v>11</v>
      </c>
      <c r="E20367" t="s">
        <v>12</v>
      </c>
      <c r="F20367">
        <v>95640300</v>
      </c>
      <c r="G20367">
        <v>95640345</v>
      </c>
      <c r="H20367">
        <v>95640300</v>
      </c>
      <c r="I20367">
        <v>95640345</v>
      </c>
    </row>
    <row r="20368" spans="1:9" x14ac:dyDescent="0.2">
      <c r="A20368" s="1" t="str">
        <f>"ZNF485"</f>
        <v>ZNF485</v>
      </c>
      <c r="B20368" t="s">
        <v>14</v>
      </c>
      <c r="C20368" t="s">
        <v>15</v>
      </c>
      <c r="D20368" t="s">
        <v>17</v>
      </c>
      <c r="E20368" t="s">
        <v>12</v>
      </c>
      <c r="F20368">
        <v>44101850</v>
      </c>
      <c r="G20368">
        <v>44101896</v>
      </c>
      <c r="H20368">
        <v>44101902</v>
      </c>
      <c r="I20368">
        <v>44101932</v>
      </c>
    </row>
    <row r="20369" spans="1:9" x14ac:dyDescent="0.2">
      <c r="A20369" s="1" t="str">
        <f>"ZNF486"</f>
        <v>ZNF486</v>
      </c>
      <c r="B20369" t="s">
        <v>14</v>
      </c>
      <c r="C20369" t="s">
        <v>10</v>
      </c>
      <c r="D20369" t="s">
        <v>17</v>
      </c>
      <c r="E20369" t="s">
        <v>12</v>
      </c>
      <c r="F20369">
        <v>20278012</v>
      </c>
      <c r="G20369">
        <v>20278034</v>
      </c>
      <c r="H20369">
        <v>20278043</v>
      </c>
      <c r="I20369">
        <v>20278054</v>
      </c>
    </row>
    <row r="20370" spans="1:9" x14ac:dyDescent="0.2">
      <c r="A20370" s="1" t="str">
        <f>"ZNF488"</f>
        <v>ZNF488</v>
      </c>
      <c r="B20370" t="s">
        <v>9</v>
      </c>
      <c r="C20370" t="s">
        <v>15</v>
      </c>
      <c r="D20370" t="s">
        <v>17</v>
      </c>
      <c r="E20370" t="s">
        <v>12</v>
      </c>
      <c r="F20370">
        <v>48355030</v>
      </c>
      <c r="G20370">
        <v>48355090</v>
      </c>
      <c r="H20370">
        <v>48355030</v>
      </c>
      <c r="I20370">
        <v>48355090</v>
      </c>
    </row>
    <row r="20371" spans="1:9" x14ac:dyDescent="0.2">
      <c r="A20371" s="1" t="str">
        <f>"ZNF488"</f>
        <v>ZNF488</v>
      </c>
      <c r="B20371" t="s">
        <v>13</v>
      </c>
      <c r="C20371" t="s">
        <v>15</v>
      </c>
      <c r="D20371" t="s">
        <v>17</v>
      </c>
      <c r="E20371" t="s">
        <v>12</v>
      </c>
      <c r="F20371">
        <v>48359344</v>
      </c>
      <c r="G20371">
        <v>48359376</v>
      </c>
      <c r="H20371">
        <v>48359344</v>
      </c>
      <c r="I20371">
        <v>48359376</v>
      </c>
    </row>
    <row r="20372" spans="1:9" x14ac:dyDescent="0.2">
      <c r="A20372" s="1" t="str">
        <f>"ZNF490"</f>
        <v>ZNF490</v>
      </c>
      <c r="B20372" t="s">
        <v>14</v>
      </c>
      <c r="C20372" t="s">
        <v>10</v>
      </c>
      <c r="D20372" t="s">
        <v>11</v>
      </c>
      <c r="E20372" t="s">
        <v>12</v>
      </c>
      <c r="F20372">
        <v>12721513</v>
      </c>
      <c r="G20372">
        <v>12721572</v>
      </c>
      <c r="H20372">
        <v>12721616</v>
      </c>
      <c r="I20372">
        <v>12721640</v>
      </c>
    </row>
    <row r="20373" spans="1:9" x14ac:dyDescent="0.2">
      <c r="A20373" s="1" t="str">
        <f>"ZNF491"</f>
        <v>ZNF491</v>
      </c>
      <c r="B20373" t="s">
        <v>14</v>
      </c>
      <c r="C20373" t="s">
        <v>10</v>
      </c>
      <c r="D20373" t="s">
        <v>17</v>
      </c>
      <c r="E20373" t="s">
        <v>12</v>
      </c>
      <c r="F20373">
        <v>11909329</v>
      </c>
      <c r="G20373">
        <v>11909394</v>
      </c>
      <c r="H20373">
        <v>11909397</v>
      </c>
      <c r="I20373">
        <v>11909406</v>
      </c>
    </row>
    <row r="20374" spans="1:9" x14ac:dyDescent="0.2">
      <c r="A20374" s="1" t="str">
        <f>"ZNF492"</f>
        <v>ZNF492</v>
      </c>
      <c r="B20374" t="s">
        <v>14</v>
      </c>
      <c r="C20374" t="s">
        <v>10</v>
      </c>
      <c r="D20374" t="s">
        <v>17</v>
      </c>
      <c r="E20374" t="s">
        <v>12</v>
      </c>
      <c r="F20374">
        <v>22817119</v>
      </c>
      <c r="G20374">
        <v>22817145</v>
      </c>
      <c r="H20374">
        <v>22817119</v>
      </c>
      <c r="I20374">
        <v>22817145</v>
      </c>
    </row>
    <row r="20375" spans="1:9" x14ac:dyDescent="0.2">
      <c r="A20375" s="1" t="str">
        <f>"ZNF493"</f>
        <v>ZNF493</v>
      </c>
      <c r="B20375" t="s">
        <v>14</v>
      </c>
      <c r="C20375" t="s">
        <v>10</v>
      </c>
      <c r="D20375" t="s">
        <v>17</v>
      </c>
      <c r="E20375" t="s">
        <v>12</v>
      </c>
      <c r="F20375">
        <v>21579908</v>
      </c>
      <c r="G20375">
        <v>21579949</v>
      </c>
      <c r="H20375">
        <v>21579964</v>
      </c>
      <c r="I20375">
        <v>21579975</v>
      </c>
    </row>
    <row r="20376" spans="1:9" x14ac:dyDescent="0.2">
      <c r="A20376" s="1" t="str">
        <f>"ZNF496"</f>
        <v>ZNF496</v>
      </c>
      <c r="B20376" t="s">
        <v>14</v>
      </c>
      <c r="C20376" t="s">
        <v>19</v>
      </c>
      <c r="D20376" t="s">
        <v>11</v>
      </c>
      <c r="E20376" t="s">
        <v>12</v>
      </c>
      <c r="F20376">
        <v>247495140</v>
      </c>
      <c r="G20376">
        <v>247495177</v>
      </c>
      <c r="H20376">
        <v>247494988</v>
      </c>
      <c r="I20376">
        <v>247495036</v>
      </c>
    </row>
    <row r="20377" spans="1:9" x14ac:dyDescent="0.2">
      <c r="A20377" s="1" t="str">
        <f>"ZNF497"</f>
        <v>ZNF497</v>
      </c>
      <c r="B20377" t="s">
        <v>14</v>
      </c>
      <c r="C20377" t="s">
        <v>10</v>
      </c>
      <c r="D20377" t="s">
        <v>11</v>
      </c>
      <c r="E20377" t="s">
        <v>12</v>
      </c>
      <c r="F20377">
        <v>58874112</v>
      </c>
      <c r="G20377">
        <v>58874125</v>
      </c>
      <c r="H20377">
        <v>58874176</v>
      </c>
      <c r="I20377">
        <v>58874202</v>
      </c>
    </row>
    <row r="20378" spans="1:9" x14ac:dyDescent="0.2">
      <c r="A20378" s="1" t="str">
        <f>"ZNF500"</f>
        <v>ZNF500</v>
      </c>
      <c r="B20378" t="s">
        <v>14</v>
      </c>
      <c r="C20378" t="s">
        <v>31</v>
      </c>
      <c r="D20378" t="s">
        <v>11</v>
      </c>
      <c r="E20378" t="s">
        <v>12</v>
      </c>
      <c r="F20378">
        <v>4817129</v>
      </c>
      <c r="G20378">
        <v>4817198</v>
      </c>
      <c r="H20378">
        <v>4817209</v>
      </c>
      <c r="I20378">
        <v>4817216</v>
      </c>
    </row>
    <row r="20379" spans="1:9" x14ac:dyDescent="0.2">
      <c r="A20379" s="1" t="str">
        <f>"ZNF501"</f>
        <v>ZNF501</v>
      </c>
      <c r="B20379" t="s">
        <v>14</v>
      </c>
      <c r="C20379" t="s">
        <v>22</v>
      </c>
      <c r="D20379" t="s">
        <v>17</v>
      </c>
      <c r="E20379" t="s">
        <v>12</v>
      </c>
      <c r="F20379">
        <v>44771092</v>
      </c>
      <c r="G20379">
        <v>44771160</v>
      </c>
      <c r="H20379">
        <v>44771092</v>
      </c>
      <c r="I20379">
        <v>44771160</v>
      </c>
    </row>
    <row r="20380" spans="1:9" x14ac:dyDescent="0.2">
      <c r="A20380" s="1" t="str">
        <f>"ZNF502"</f>
        <v>ZNF502</v>
      </c>
      <c r="B20380" t="s">
        <v>14</v>
      </c>
      <c r="C20380" t="s">
        <v>22</v>
      </c>
      <c r="D20380" t="s">
        <v>17</v>
      </c>
      <c r="E20380" t="s">
        <v>12</v>
      </c>
      <c r="F20380">
        <v>44754126</v>
      </c>
      <c r="G20380">
        <v>44754171</v>
      </c>
      <c r="H20380">
        <v>44754176</v>
      </c>
      <c r="I20380">
        <v>44754196</v>
      </c>
    </row>
    <row r="20381" spans="1:9" x14ac:dyDescent="0.2">
      <c r="A20381" s="1" t="str">
        <f>"ZNF503"</f>
        <v>ZNF503</v>
      </c>
      <c r="B20381" t="s">
        <v>14</v>
      </c>
      <c r="C20381" t="s">
        <v>15</v>
      </c>
      <c r="D20381" t="s">
        <v>11</v>
      </c>
      <c r="E20381" t="s">
        <v>12</v>
      </c>
      <c r="F20381">
        <v>77161504</v>
      </c>
      <c r="G20381">
        <v>77161530</v>
      </c>
      <c r="H20381">
        <v>77161533</v>
      </c>
      <c r="I20381">
        <v>77161546</v>
      </c>
    </row>
    <row r="20382" spans="1:9" x14ac:dyDescent="0.2">
      <c r="A20382" s="1" t="str">
        <f>"ZNF506"</f>
        <v>ZNF506</v>
      </c>
      <c r="B20382" t="s">
        <v>14</v>
      </c>
      <c r="C20382" t="s">
        <v>10</v>
      </c>
      <c r="D20382" t="s">
        <v>11</v>
      </c>
      <c r="E20382" t="s">
        <v>12</v>
      </c>
      <c r="F20382">
        <v>19932513</v>
      </c>
      <c r="G20382">
        <v>19932569</v>
      </c>
      <c r="H20382">
        <v>19932586</v>
      </c>
      <c r="I20382">
        <v>19932598</v>
      </c>
    </row>
    <row r="20383" spans="1:9" x14ac:dyDescent="0.2">
      <c r="A20383" s="1" t="str">
        <f>"ZNF507"</f>
        <v>ZNF507</v>
      </c>
      <c r="B20383" t="s">
        <v>14</v>
      </c>
      <c r="C20383" t="s">
        <v>10</v>
      </c>
      <c r="D20383" t="s">
        <v>17</v>
      </c>
      <c r="E20383" t="s">
        <v>12</v>
      </c>
      <c r="F20383">
        <v>32836499</v>
      </c>
      <c r="G20383">
        <v>32836551</v>
      </c>
      <c r="H20383">
        <v>32836499</v>
      </c>
      <c r="I20383">
        <v>32836551</v>
      </c>
    </row>
    <row r="20384" spans="1:9" x14ac:dyDescent="0.2">
      <c r="A20384" s="1" t="str">
        <f>"ZNF510"</f>
        <v>ZNF510</v>
      </c>
      <c r="B20384" t="s">
        <v>14</v>
      </c>
      <c r="C20384" t="s">
        <v>24</v>
      </c>
      <c r="D20384" t="s">
        <v>11</v>
      </c>
      <c r="E20384" t="s">
        <v>12</v>
      </c>
      <c r="F20384">
        <v>99540335</v>
      </c>
      <c r="G20384">
        <v>99540388</v>
      </c>
      <c r="H20384">
        <v>99540335</v>
      </c>
      <c r="I20384">
        <v>99540388</v>
      </c>
    </row>
    <row r="20385" spans="1:9" x14ac:dyDescent="0.2">
      <c r="A20385" s="1" t="str">
        <f>"ZNF511"</f>
        <v>ZNF511</v>
      </c>
      <c r="B20385" t="s">
        <v>14</v>
      </c>
      <c r="C20385" t="s">
        <v>15</v>
      </c>
      <c r="D20385" t="s">
        <v>17</v>
      </c>
      <c r="E20385" t="s">
        <v>12</v>
      </c>
      <c r="F20385">
        <v>135122380</v>
      </c>
      <c r="G20385">
        <v>135122458</v>
      </c>
      <c r="H20385">
        <v>135122459</v>
      </c>
      <c r="I20385">
        <v>135122469</v>
      </c>
    </row>
    <row r="20386" spans="1:9" x14ac:dyDescent="0.2">
      <c r="A20386" s="1" t="str">
        <f>"ZNF512"</f>
        <v>ZNF512</v>
      </c>
      <c r="B20386" t="s">
        <v>14</v>
      </c>
      <c r="C20386" t="s">
        <v>26</v>
      </c>
      <c r="D20386" t="s">
        <v>17</v>
      </c>
      <c r="E20386" t="s">
        <v>12</v>
      </c>
      <c r="F20386">
        <v>27805880</v>
      </c>
      <c r="G20386">
        <v>27805967</v>
      </c>
      <c r="H20386">
        <v>27805866</v>
      </c>
      <c r="I20386">
        <v>27805879</v>
      </c>
    </row>
    <row r="20387" spans="1:9" x14ac:dyDescent="0.2">
      <c r="A20387" s="1" t="str">
        <f>"ZNF512B"</f>
        <v>ZNF512B</v>
      </c>
      <c r="B20387" t="s">
        <v>14</v>
      </c>
      <c r="C20387" t="s">
        <v>29</v>
      </c>
      <c r="D20387" t="s">
        <v>11</v>
      </c>
      <c r="E20387" t="s">
        <v>12</v>
      </c>
      <c r="F20387">
        <v>62601243</v>
      </c>
      <c r="G20387">
        <v>62601291</v>
      </c>
      <c r="H20387">
        <v>62601309</v>
      </c>
      <c r="I20387">
        <v>62601320</v>
      </c>
    </row>
    <row r="20388" spans="1:9" x14ac:dyDescent="0.2">
      <c r="A20388" s="1" t="str">
        <f>"ZNF513"</f>
        <v>ZNF513</v>
      </c>
      <c r="B20388" t="s">
        <v>14</v>
      </c>
      <c r="C20388" t="s">
        <v>26</v>
      </c>
      <c r="D20388" t="s">
        <v>11</v>
      </c>
      <c r="E20388" t="s">
        <v>12</v>
      </c>
      <c r="F20388">
        <v>27603582</v>
      </c>
      <c r="G20388">
        <v>27603616</v>
      </c>
      <c r="H20388">
        <v>27603619</v>
      </c>
      <c r="I20388">
        <v>27603666</v>
      </c>
    </row>
    <row r="20389" spans="1:9" x14ac:dyDescent="0.2">
      <c r="A20389" s="1" t="str">
        <f>"ZNF514"</f>
        <v>ZNF514</v>
      </c>
      <c r="B20389" t="s">
        <v>9</v>
      </c>
      <c r="C20389" t="s">
        <v>26</v>
      </c>
      <c r="D20389" t="s">
        <v>11</v>
      </c>
      <c r="E20389" t="s">
        <v>12</v>
      </c>
      <c r="F20389">
        <v>95831389</v>
      </c>
      <c r="G20389">
        <v>95831432</v>
      </c>
      <c r="H20389">
        <v>95831389</v>
      </c>
      <c r="I20389">
        <v>95831432</v>
      </c>
    </row>
    <row r="20390" spans="1:9" x14ac:dyDescent="0.2">
      <c r="A20390" s="1" t="str">
        <f>"ZNF514"</f>
        <v>ZNF514</v>
      </c>
      <c r="B20390" t="s">
        <v>13</v>
      </c>
      <c r="C20390" t="s">
        <v>26</v>
      </c>
      <c r="D20390" t="s">
        <v>11</v>
      </c>
      <c r="E20390" t="s">
        <v>12</v>
      </c>
      <c r="F20390">
        <v>95825309</v>
      </c>
      <c r="G20390">
        <v>95825336</v>
      </c>
      <c r="H20390">
        <v>95825309</v>
      </c>
      <c r="I20390">
        <v>95825336</v>
      </c>
    </row>
    <row r="20391" spans="1:9" x14ac:dyDescent="0.2">
      <c r="A20391" s="1" t="str">
        <f>"ZNF516"</f>
        <v>ZNF516</v>
      </c>
      <c r="B20391" t="s">
        <v>14</v>
      </c>
      <c r="C20391" t="s">
        <v>43</v>
      </c>
      <c r="D20391" t="s">
        <v>11</v>
      </c>
      <c r="E20391" t="s">
        <v>12</v>
      </c>
      <c r="F20391">
        <v>74207147</v>
      </c>
      <c r="G20391">
        <v>74207183</v>
      </c>
      <c r="H20391">
        <v>74207147</v>
      </c>
      <c r="I20391">
        <v>74207183</v>
      </c>
    </row>
    <row r="20392" spans="1:9" x14ac:dyDescent="0.2">
      <c r="A20392" s="1" t="str">
        <f>"ZNF517"</f>
        <v>ZNF517</v>
      </c>
      <c r="B20392" t="s">
        <v>14</v>
      </c>
      <c r="C20392" t="s">
        <v>30</v>
      </c>
      <c r="D20392" t="s">
        <v>17</v>
      </c>
      <c r="E20392" t="s">
        <v>12</v>
      </c>
      <c r="F20392">
        <v>146024251</v>
      </c>
      <c r="G20392">
        <v>146024312</v>
      </c>
      <c r="H20392">
        <v>146024397</v>
      </c>
      <c r="I20392">
        <v>146024416</v>
      </c>
    </row>
    <row r="20393" spans="1:9" x14ac:dyDescent="0.2">
      <c r="A20393" s="1" t="str">
        <f>"ZNF518A"</f>
        <v>ZNF518A</v>
      </c>
      <c r="B20393" t="s">
        <v>14</v>
      </c>
      <c r="C20393" t="s">
        <v>15</v>
      </c>
      <c r="D20393" t="s">
        <v>17</v>
      </c>
      <c r="E20393" t="s">
        <v>12</v>
      </c>
      <c r="F20393">
        <v>97889784</v>
      </c>
      <c r="G20393">
        <v>97889827</v>
      </c>
      <c r="H20393">
        <v>97889784</v>
      </c>
      <c r="I20393">
        <v>97889827</v>
      </c>
    </row>
    <row r="20394" spans="1:9" x14ac:dyDescent="0.2">
      <c r="A20394" s="1" t="str">
        <f>"ZNF518B"</f>
        <v>ZNF518B</v>
      </c>
      <c r="B20394" t="s">
        <v>14</v>
      </c>
      <c r="C20394" t="s">
        <v>23</v>
      </c>
      <c r="D20394" t="s">
        <v>11</v>
      </c>
      <c r="E20394" t="s">
        <v>12</v>
      </c>
      <c r="F20394">
        <v>10459009</v>
      </c>
      <c r="G20394">
        <v>10459061</v>
      </c>
      <c r="H20394">
        <v>10458982</v>
      </c>
      <c r="I20394">
        <v>10459007</v>
      </c>
    </row>
    <row r="20395" spans="1:9" x14ac:dyDescent="0.2">
      <c r="A20395" s="1" t="str">
        <f>"ZNF519"</f>
        <v>ZNF519</v>
      </c>
      <c r="B20395" t="s">
        <v>14</v>
      </c>
      <c r="C20395" t="s">
        <v>43</v>
      </c>
      <c r="D20395" t="s">
        <v>11</v>
      </c>
      <c r="E20395" t="s">
        <v>12</v>
      </c>
      <c r="F20395">
        <v>14132422</v>
      </c>
      <c r="G20395">
        <v>14132440</v>
      </c>
      <c r="H20395">
        <v>14132422</v>
      </c>
      <c r="I20395">
        <v>14132440</v>
      </c>
    </row>
    <row r="20396" spans="1:9" x14ac:dyDescent="0.2">
      <c r="A20396" s="1" t="str">
        <f>"ZNF521"</f>
        <v>ZNF521</v>
      </c>
      <c r="B20396" t="s">
        <v>14</v>
      </c>
      <c r="C20396" t="s">
        <v>43</v>
      </c>
      <c r="D20396" t="s">
        <v>11</v>
      </c>
      <c r="E20396" t="s">
        <v>12</v>
      </c>
      <c r="F20396">
        <v>22932080</v>
      </c>
      <c r="G20396">
        <v>22932170</v>
      </c>
      <c r="H20396">
        <v>22932080</v>
      </c>
      <c r="I20396">
        <v>22932170</v>
      </c>
    </row>
    <row r="20397" spans="1:9" x14ac:dyDescent="0.2">
      <c r="A20397" s="1" t="str">
        <f>"ZNF524"</f>
        <v>ZNF524</v>
      </c>
      <c r="B20397" t="s">
        <v>14</v>
      </c>
      <c r="C20397" t="s">
        <v>10</v>
      </c>
      <c r="D20397" t="s">
        <v>17</v>
      </c>
      <c r="E20397" t="s">
        <v>12</v>
      </c>
      <c r="F20397">
        <v>56111680</v>
      </c>
      <c r="G20397">
        <v>56111716</v>
      </c>
      <c r="H20397">
        <v>56111639</v>
      </c>
      <c r="I20397">
        <v>56111668</v>
      </c>
    </row>
    <row r="20398" spans="1:9" x14ac:dyDescent="0.2">
      <c r="A20398" s="1" t="str">
        <f>"ZNF526"</f>
        <v>ZNF526</v>
      </c>
      <c r="B20398" t="s">
        <v>14</v>
      </c>
      <c r="C20398" t="s">
        <v>10</v>
      </c>
      <c r="D20398" t="s">
        <v>17</v>
      </c>
      <c r="E20398" t="s">
        <v>12</v>
      </c>
      <c r="F20398">
        <v>42724436</v>
      </c>
      <c r="G20398">
        <v>42724507</v>
      </c>
      <c r="H20398">
        <v>42724421</v>
      </c>
      <c r="I20398">
        <v>42724430</v>
      </c>
    </row>
    <row r="20399" spans="1:9" x14ac:dyDescent="0.2">
      <c r="A20399" s="1" t="str">
        <f>"ZNF527"</f>
        <v>ZNF527</v>
      </c>
      <c r="B20399" t="s">
        <v>14</v>
      </c>
      <c r="C20399" t="s">
        <v>10</v>
      </c>
      <c r="D20399" t="s">
        <v>17</v>
      </c>
      <c r="E20399" t="s">
        <v>12</v>
      </c>
      <c r="F20399">
        <v>37862054</v>
      </c>
      <c r="G20399">
        <v>37862110</v>
      </c>
      <c r="H20399">
        <v>37861994</v>
      </c>
      <c r="I20399">
        <v>37862013</v>
      </c>
    </row>
    <row r="20400" spans="1:9" x14ac:dyDescent="0.2">
      <c r="A20400" s="1" t="str">
        <f>"ZNF528"</f>
        <v>ZNF528</v>
      </c>
      <c r="B20400" t="s">
        <v>14</v>
      </c>
      <c r="C20400" t="s">
        <v>10</v>
      </c>
      <c r="D20400" t="s">
        <v>17</v>
      </c>
      <c r="E20400" t="s">
        <v>12</v>
      </c>
      <c r="F20400">
        <v>52901094</v>
      </c>
      <c r="G20400">
        <v>52901134</v>
      </c>
      <c r="H20400">
        <v>52901151</v>
      </c>
      <c r="I20400">
        <v>52901154</v>
      </c>
    </row>
    <row r="20401" spans="1:9" x14ac:dyDescent="0.2">
      <c r="A20401" s="1" t="str">
        <f>"ZNF529"</f>
        <v>ZNF529</v>
      </c>
      <c r="B20401" t="s">
        <v>14</v>
      </c>
      <c r="C20401" t="s">
        <v>10</v>
      </c>
      <c r="D20401" t="s">
        <v>11</v>
      </c>
      <c r="E20401" t="s">
        <v>12</v>
      </c>
      <c r="F20401">
        <v>37064145</v>
      </c>
      <c r="G20401">
        <v>37064216</v>
      </c>
      <c r="H20401">
        <v>37064145</v>
      </c>
      <c r="I20401">
        <v>37064216</v>
      </c>
    </row>
    <row r="20402" spans="1:9" x14ac:dyDescent="0.2">
      <c r="A20402" s="1" t="str">
        <f>"ZNF530"</f>
        <v>ZNF530</v>
      </c>
      <c r="B20402" t="s">
        <v>14</v>
      </c>
      <c r="C20402" t="s">
        <v>10</v>
      </c>
      <c r="D20402" t="s">
        <v>17</v>
      </c>
      <c r="E20402" t="s">
        <v>12</v>
      </c>
      <c r="F20402">
        <v>58111241</v>
      </c>
      <c r="G20402">
        <v>58111292</v>
      </c>
      <c r="H20402">
        <v>58111241</v>
      </c>
      <c r="I20402">
        <v>58111292</v>
      </c>
    </row>
    <row r="20403" spans="1:9" x14ac:dyDescent="0.2">
      <c r="A20403" s="1" t="str">
        <f>"ZNF532"</f>
        <v>ZNF532</v>
      </c>
      <c r="B20403" t="s">
        <v>9</v>
      </c>
      <c r="C20403" t="s">
        <v>43</v>
      </c>
      <c r="D20403" t="s">
        <v>17</v>
      </c>
      <c r="E20403" t="s">
        <v>12</v>
      </c>
      <c r="F20403">
        <v>56532100</v>
      </c>
      <c r="G20403">
        <v>56532130</v>
      </c>
      <c r="H20403">
        <v>56532100</v>
      </c>
      <c r="I20403">
        <v>56532130</v>
      </c>
    </row>
    <row r="20404" spans="1:9" x14ac:dyDescent="0.2">
      <c r="A20404" s="1" t="str">
        <f>"ZNF532"</f>
        <v>ZNF532</v>
      </c>
      <c r="B20404" t="s">
        <v>13</v>
      </c>
      <c r="C20404" t="s">
        <v>43</v>
      </c>
      <c r="D20404" t="s">
        <v>17</v>
      </c>
      <c r="E20404" t="s">
        <v>12</v>
      </c>
      <c r="F20404">
        <v>56530692</v>
      </c>
      <c r="G20404">
        <v>56530723</v>
      </c>
      <c r="H20404">
        <v>56530692</v>
      </c>
      <c r="I20404">
        <v>56530723</v>
      </c>
    </row>
    <row r="20405" spans="1:9" x14ac:dyDescent="0.2">
      <c r="A20405" s="1" t="str">
        <f>"ZNF534"</f>
        <v>ZNF534</v>
      </c>
      <c r="B20405" t="s">
        <v>14</v>
      </c>
      <c r="C20405" t="s">
        <v>10</v>
      </c>
      <c r="D20405" t="s">
        <v>17</v>
      </c>
      <c r="E20405" t="s">
        <v>12</v>
      </c>
      <c r="F20405">
        <v>52932395</v>
      </c>
      <c r="G20405">
        <v>52932413</v>
      </c>
      <c r="H20405">
        <v>52932444</v>
      </c>
      <c r="I20405">
        <v>52932455</v>
      </c>
    </row>
    <row r="20406" spans="1:9" x14ac:dyDescent="0.2">
      <c r="A20406" s="1" t="str">
        <f>"ZNF536"</f>
        <v>ZNF536</v>
      </c>
      <c r="B20406" t="s">
        <v>14</v>
      </c>
      <c r="C20406" t="s">
        <v>10</v>
      </c>
      <c r="D20406" t="s">
        <v>17</v>
      </c>
      <c r="E20406" t="s">
        <v>12</v>
      </c>
      <c r="F20406">
        <v>30863271</v>
      </c>
      <c r="G20406">
        <v>30863338</v>
      </c>
      <c r="H20406">
        <v>30863271</v>
      </c>
      <c r="I20406">
        <v>30863338</v>
      </c>
    </row>
    <row r="20407" spans="1:9" x14ac:dyDescent="0.2">
      <c r="A20407" s="1" t="str">
        <f>"ZNF540"</f>
        <v>ZNF540</v>
      </c>
      <c r="B20407" t="s">
        <v>9</v>
      </c>
      <c r="C20407" t="s">
        <v>10</v>
      </c>
      <c r="D20407" t="s">
        <v>17</v>
      </c>
      <c r="E20407" t="s">
        <v>12</v>
      </c>
      <c r="F20407">
        <v>38085768</v>
      </c>
      <c r="G20407">
        <v>38085821</v>
      </c>
      <c r="H20407">
        <v>38085768</v>
      </c>
      <c r="I20407">
        <v>38085821</v>
      </c>
    </row>
    <row r="20408" spans="1:9" x14ac:dyDescent="0.2">
      <c r="A20408" s="1" t="str">
        <f>"ZNF540"</f>
        <v>ZNF540</v>
      </c>
      <c r="B20408" t="s">
        <v>13</v>
      </c>
      <c r="C20408" t="s">
        <v>10</v>
      </c>
      <c r="D20408" t="s">
        <v>17</v>
      </c>
      <c r="E20408" t="s">
        <v>12</v>
      </c>
      <c r="F20408">
        <v>38042240</v>
      </c>
      <c r="G20408">
        <v>38042309</v>
      </c>
      <c r="H20408">
        <v>38042240</v>
      </c>
      <c r="I20408">
        <v>38042309</v>
      </c>
    </row>
    <row r="20409" spans="1:9" x14ac:dyDescent="0.2">
      <c r="A20409" s="1" t="str">
        <f>"ZNF541"</f>
        <v>ZNF541</v>
      </c>
      <c r="B20409" t="s">
        <v>14</v>
      </c>
      <c r="C20409" t="s">
        <v>10</v>
      </c>
      <c r="D20409" t="s">
        <v>11</v>
      </c>
      <c r="E20409" t="s">
        <v>12</v>
      </c>
      <c r="F20409">
        <v>48044227</v>
      </c>
      <c r="G20409">
        <v>48044229</v>
      </c>
      <c r="H20409">
        <v>48044252</v>
      </c>
      <c r="I20409">
        <v>48044261</v>
      </c>
    </row>
    <row r="20410" spans="1:9" x14ac:dyDescent="0.2">
      <c r="A20410" s="1" t="str">
        <f>"ZNF543"</f>
        <v>ZNF543</v>
      </c>
      <c r="B20410" t="s">
        <v>14</v>
      </c>
      <c r="C20410" t="s">
        <v>10</v>
      </c>
      <c r="D20410" t="s">
        <v>17</v>
      </c>
      <c r="E20410" t="s">
        <v>12</v>
      </c>
      <c r="F20410">
        <v>57831829</v>
      </c>
      <c r="G20410">
        <v>57831890</v>
      </c>
      <c r="H20410">
        <v>57831898</v>
      </c>
      <c r="I20410">
        <v>57831917</v>
      </c>
    </row>
    <row r="20411" spans="1:9" x14ac:dyDescent="0.2">
      <c r="A20411" s="1" t="str">
        <f>"ZNF544"</f>
        <v>ZNF544</v>
      </c>
      <c r="B20411" t="s">
        <v>14</v>
      </c>
      <c r="C20411" t="s">
        <v>10</v>
      </c>
      <c r="D20411" t="s">
        <v>17</v>
      </c>
      <c r="E20411" t="s">
        <v>12</v>
      </c>
      <c r="F20411">
        <v>58740266</v>
      </c>
      <c r="G20411">
        <v>58740297</v>
      </c>
      <c r="H20411">
        <v>58740302</v>
      </c>
      <c r="I20411">
        <v>58740314</v>
      </c>
    </row>
    <row r="20412" spans="1:9" x14ac:dyDescent="0.2">
      <c r="A20412" s="1" t="str">
        <f>"ZNF546"</f>
        <v>ZNF546</v>
      </c>
      <c r="B20412" t="s">
        <v>14</v>
      </c>
      <c r="C20412" t="s">
        <v>10</v>
      </c>
      <c r="D20412" t="s">
        <v>17</v>
      </c>
      <c r="E20412" t="s">
        <v>12</v>
      </c>
      <c r="F20412">
        <v>40502938</v>
      </c>
      <c r="G20412">
        <v>40502987</v>
      </c>
      <c r="H20412">
        <v>40502991</v>
      </c>
      <c r="I20412">
        <v>40503012</v>
      </c>
    </row>
    <row r="20413" spans="1:9" x14ac:dyDescent="0.2">
      <c r="A20413" s="1" t="str">
        <f>"ZNF547"</f>
        <v>ZNF547</v>
      </c>
      <c r="B20413" t="s">
        <v>14</v>
      </c>
      <c r="C20413" t="s">
        <v>10</v>
      </c>
      <c r="D20413" t="s">
        <v>17</v>
      </c>
      <c r="E20413" t="s">
        <v>12</v>
      </c>
      <c r="F20413">
        <v>57874835</v>
      </c>
      <c r="G20413">
        <v>57874966</v>
      </c>
      <c r="H20413">
        <v>57874835</v>
      </c>
      <c r="I20413">
        <v>57874966</v>
      </c>
    </row>
    <row r="20414" spans="1:9" x14ac:dyDescent="0.2">
      <c r="A20414" s="1" t="str">
        <f>"ZNF548"</f>
        <v>ZNF548</v>
      </c>
      <c r="B20414" t="s">
        <v>14</v>
      </c>
      <c r="C20414" t="s">
        <v>10</v>
      </c>
      <c r="D20414" t="s">
        <v>17</v>
      </c>
      <c r="E20414" t="s">
        <v>12</v>
      </c>
      <c r="F20414">
        <v>57901208</v>
      </c>
      <c r="G20414">
        <v>57901280</v>
      </c>
      <c r="H20414">
        <v>57901326</v>
      </c>
      <c r="I20414">
        <v>57901385</v>
      </c>
    </row>
    <row r="20415" spans="1:9" x14ac:dyDescent="0.2">
      <c r="A20415" s="1" t="str">
        <f>"ZNF549"</f>
        <v>ZNF549</v>
      </c>
      <c r="B20415" t="s">
        <v>14</v>
      </c>
      <c r="C20415" t="s">
        <v>10</v>
      </c>
      <c r="D20415" t="s">
        <v>17</v>
      </c>
      <c r="E20415" t="s">
        <v>12</v>
      </c>
      <c r="F20415">
        <v>58038683</v>
      </c>
      <c r="G20415">
        <v>58038736</v>
      </c>
      <c r="H20415">
        <v>58038779</v>
      </c>
      <c r="I20415">
        <v>58038833</v>
      </c>
    </row>
    <row r="20416" spans="1:9" x14ac:dyDescent="0.2">
      <c r="A20416" s="1" t="str">
        <f>"ZNF550"</f>
        <v>ZNF550</v>
      </c>
      <c r="B20416" t="s">
        <v>14</v>
      </c>
      <c r="C20416" t="s">
        <v>10</v>
      </c>
      <c r="D20416" t="s">
        <v>11</v>
      </c>
      <c r="E20416" t="s">
        <v>12</v>
      </c>
      <c r="F20416">
        <v>58071201</v>
      </c>
      <c r="G20416">
        <v>58071238</v>
      </c>
      <c r="H20416">
        <v>58071166</v>
      </c>
      <c r="I20416">
        <v>58071189</v>
      </c>
    </row>
    <row r="20417" spans="1:9" x14ac:dyDescent="0.2">
      <c r="A20417" s="1" t="str">
        <f>"ZNF551"</f>
        <v>ZNF551</v>
      </c>
      <c r="B20417" t="s">
        <v>14</v>
      </c>
      <c r="C20417" t="s">
        <v>10</v>
      </c>
      <c r="D20417" t="s">
        <v>17</v>
      </c>
      <c r="E20417" t="s">
        <v>12</v>
      </c>
      <c r="F20417">
        <v>58193338</v>
      </c>
      <c r="G20417">
        <v>58193386</v>
      </c>
      <c r="H20417">
        <v>58193388</v>
      </c>
      <c r="I20417">
        <v>58193411</v>
      </c>
    </row>
    <row r="20418" spans="1:9" x14ac:dyDescent="0.2">
      <c r="A20418" s="1" t="str">
        <f>"ZNF552"</f>
        <v>ZNF552</v>
      </c>
      <c r="B20418" t="s">
        <v>14</v>
      </c>
      <c r="C20418" t="s">
        <v>10</v>
      </c>
      <c r="D20418" t="s">
        <v>11</v>
      </c>
      <c r="E20418" t="s">
        <v>12</v>
      </c>
      <c r="F20418">
        <v>58326267</v>
      </c>
      <c r="G20418">
        <v>58326292</v>
      </c>
      <c r="H20418">
        <v>58326246</v>
      </c>
      <c r="I20418">
        <v>58326262</v>
      </c>
    </row>
    <row r="20419" spans="1:9" x14ac:dyDescent="0.2">
      <c r="A20419" s="1" t="str">
        <f>"ZNF554"</f>
        <v>ZNF554</v>
      </c>
      <c r="B20419" t="s">
        <v>14</v>
      </c>
      <c r="C20419" t="s">
        <v>10</v>
      </c>
      <c r="D20419" t="s">
        <v>17</v>
      </c>
      <c r="E20419" t="s">
        <v>12</v>
      </c>
      <c r="F20419">
        <v>2819854</v>
      </c>
      <c r="G20419">
        <v>2819891</v>
      </c>
      <c r="H20419">
        <v>2819943</v>
      </c>
      <c r="I20419">
        <v>2819977</v>
      </c>
    </row>
    <row r="20420" spans="1:9" x14ac:dyDescent="0.2">
      <c r="A20420" s="1" t="str">
        <f>"ZNF555"</f>
        <v>ZNF555</v>
      </c>
      <c r="B20420" t="s">
        <v>14</v>
      </c>
      <c r="C20420" t="s">
        <v>10</v>
      </c>
      <c r="D20420" t="s">
        <v>17</v>
      </c>
      <c r="E20420" t="s">
        <v>12</v>
      </c>
      <c r="F20420">
        <v>2841459</v>
      </c>
      <c r="G20420">
        <v>2841490</v>
      </c>
      <c r="H20420">
        <v>2841497</v>
      </c>
      <c r="I20420">
        <v>2841523</v>
      </c>
    </row>
    <row r="20421" spans="1:9" x14ac:dyDescent="0.2">
      <c r="A20421" s="1" t="str">
        <f>"ZNF556"</f>
        <v>ZNF556</v>
      </c>
      <c r="B20421" t="s">
        <v>14</v>
      </c>
      <c r="C20421" t="s">
        <v>10</v>
      </c>
      <c r="D20421" t="s">
        <v>17</v>
      </c>
      <c r="E20421" t="s">
        <v>12</v>
      </c>
      <c r="F20421">
        <v>2867325</v>
      </c>
      <c r="G20421">
        <v>2867348</v>
      </c>
      <c r="H20421">
        <v>2867298</v>
      </c>
      <c r="I20421">
        <v>2867317</v>
      </c>
    </row>
    <row r="20422" spans="1:9" x14ac:dyDescent="0.2">
      <c r="A20422" s="1" t="str">
        <f>"ZNF557"</f>
        <v>ZNF557</v>
      </c>
      <c r="B20422" t="s">
        <v>14</v>
      </c>
      <c r="C20422" t="s">
        <v>10</v>
      </c>
      <c r="D20422" t="s">
        <v>17</v>
      </c>
      <c r="E20422" t="s">
        <v>12</v>
      </c>
      <c r="F20422">
        <v>7069690</v>
      </c>
      <c r="G20422">
        <v>7069726</v>
      </c>
      <c r="H20422">
        <v>7069690</v>
      </c>
      <c r="I20422">
        <v>7069726</v>
      </c>
    </row>
    <row r="20423" spans="1:9" x14ac:dyDescent="0.2">
      <c r="A20423" s="1" t="str">
        <f>"ZNF558"</f>
        <v>ZNF558</v>
      </c>
      <c r="B20423" t="s">
        <v>14</v>
      </c>
      <c r="C20423" t="s">
        <v>10</v>
      </c>
      <c r="D20423" t="s">
        <v>11</v>
      </c>
      <c r="E20423" t="s">
        <v>12</v>
      </c>
      <c r="F20423">
        <v>8942962</v>
      </c>
      <c r="G20423">
        <v>8942987</v>
      </c>
      <c r="H20423">
        <v>8942909</v>
      </c>
      <c r="I20423">
        <v>8942953</v>
      </c>
    </row>
    <row r="20424" spans="1:9" x14ac:dyDescent="0.2">
      <c r="A20424" s="1" t="str">
        <f>"ZNF559"</f>
        <v>ZNF559</v>
      </c>
      <c r="B20424" t="s">
        <v>14</v>
      </c>
      <c r="C20424" t="s">
        <v>10</v>
      </c>
      <c r="D20424" t="s">
        <v>17</v>
      </c>
      <c r="E20424" t="s">
        <v>12</v>
      </c>
      <c r="F20424">
        <v>9434841</v>
      </c>
      <c r="G20424">
        <v>9434886</v>
      </c>
      <c r="H20424">
        <v>9434962</v>
      </c>
      <c r="I20424">
        <v>9434994</v>
      </c>
    </row>
    <row r="20425" spans="1:9" x14ac:dyDescent="0.2">
      <c r="A20425" s="1" t="str">
        <f>"ZNF559-ZNF177"</f>
        <v>ZNF559-ZNF177</v>
      </c>
      <c r="B20425" t="s">
        <v>14</v>
      </c>
      <c r="C20425" t="s">
        <v>10</v>
      </c>
      <c r="D20425" t="s">
        <v>17</v>
      </c>
      <c r="E20425" t="s">
        <v>12</v>
      </c>
      <c r="F20425">
        <v>9434899</v>
      </c>
      <c r="G20425">
        <v>9434924</v>
      </c>
      <c r="H20425">
        <v>9434899</v>
      </c>
      <c r="I20425">
        <v>9434924</v>
      </c>
    </row>
    <row r="20426" spans="1:9" x14ac:dyDescent="0.2">
      <c r="A20426" s="1" t="str">
        <f>"ZNF560"</f>
        <v>ZNF560</v>
      </c>
      <c r="B20426" t="s">
        <v>14</v>
      </c>
      <c r="C20426" t="s">
        <v>10</v>
      </c>
      <c r="D20426" t="s">
        <v>11</v>
      </c>
      <c r="E20426" t="s">
        <v>12</v>
      </c>
      <c r="F20426">
        <v>9609272</v>
      </c>
      <c r="G20426">
        <v>9609297</v>
      </c>
      <c r="H20426">
        <v>9609247</v>
      </c>
      <c r="I20426">
        <v>9609262</v>
      </c>
    </row>
    <row r="20427" spans="1:9" x14ac:dyDescent="0.2">
      <c r="A20427" s="1" t="str">
        <f>"ZNF561"</f>
        <v>ZNF561</v>
      </c>
      <c r="B20427" t="s">
        <v>14</v>
      </c>
      <c r="C20427" t="s">
        <v>10</v>
      </c>
      <c r="D20427" t="s">
        <v>11</v>
      </c>
      <c r="E20427" t="s">
        <v>12</v>
      </c>
      <c r="F20427">
        <v>9731872</v>
      </c>
      <c r="G20427">
        <v>9731915</v>
      </c>
      <c r="H20427">
        <v>9731872</v>
      </c>
      <c r="I20427">
        <v>9731915</v>
      </c>
    </row>
    <row r="20428" spans="1:9" x14ac:dyDescent="0.2">
      <c r="A20428" s="1" t="str">
        <f>"ZNF562"</f>
        <v>ZNF562</v>
      </c>
      <c r="B20428" t="s">
        <v>14</v>
      </c>
      <c r="C20428" t="s">
        <v>10</v>
      </c>
      <c r="D20428" t="s">
        <v>11</v>
      </c>
      <c r="E20428" t="s">
        <v>12</v>
      </c>
      <c r="F20428">
        <v>9785743</v>
      </c>
      <c r="G20428">
        <v>9785784</v>
      </c>
      <c r="H20428">
        <v>9785724</v>
      </c>
      <c r="I20428">
        <v>9785740</v>
      </c>
    </row>
    <row r="20429" spans="1:9" x14ac:dyDescent="0.2">
      <c r="A20429" s="1" t="str">
        <f>"ZNF563"</f>
        <v>ZNF563</v>
      </c>
      <c r="B20429" t="s">
        <v>14</v>
      </c>
      <c r="C20429" t="s">
        <v>10</v>
      </c>
      <c r="D20429" t="s">
        <v>11</v>
      </c>
      <c r="E20429" t="s">
        <v>12</v>
      </c>
      <c r="F20429">
        <v>12444440</v>
      </c>
      <c r="G20429">
        <v>12444455</v>
      </c>
      <c r="H20429">
        <v>12444458</v>
      </c>
      <c r="I20429">
        <v>12444486</v>
      </c>
    </row>
    <row r="20430" spans="1:9" x14ac:dyDescent="0.2">
      <c r="A20430" s="1" t="str">
        <f>"ZNF564"</f>
        <v>ZNF564</v>
      </c>
      <c r="B20430" t="s">
        <v>14</v>
      </c>
      <c r="C20430" t="s">
        <v>10</v>
      </c>
      <c r="D20430" t="s">
        <v>11</v>
      </c>
      <c r="E20430" t="s">
        <v>12</v>
      </c>
      <c r="F20430">
        <v>12662240</v>
      </c>
      <c r="G20430">
        <v>12662310</v>
      </c>
      <c r="H20430">
        <v>12662314</v>
      </c>
      <c r="I20430">
        <v>12662328</v>
      </c>
    </row>
    <row r="20431" spans="1:9" x14ac:dyDescent="0.2">
      <c r="A20431" s="1" t="str">
        <f>"ZNF565"</f>
        <v>ZNF565</v>
      </c>
      <c r="B20431" t="s">
        <v>14</v>
      </c>
      <c r="C20431" t="s">
        <v>10</v>
      </c>
      <c r="D20431" t="s">
        <v>11</v>
      </c>
      <c r="E20431" t="s">
        <v>12</v>
      </c>
      <c r="F20431">
        <v>36705547</v>
      </c>
      <c r="G20431">
        <v>36705597</v>
      </c>
      <c r="H20431">
        <v>36705961</v>
      </c>
      <c r="I20431">
        <v>36705992</v>
      </c>
    </row>
    <row r="20432" spans="1:9" x14ac:dyDescent="0.2">
      <c r="A20432" s="1" t="str">
        <f>"ZNF566"</f>
        <v>ZNF566</v>
      </c>
      <c r="B20432" t="s">
        <v>14</v>
      </c>
      <c r="C20432" t="s">
        <v>10</v>
      </c>
      <c r="D20432" t="s">
        <v>11</v>
      </c>
      <c r="E20432" t="s">
        <v>12</v>
      </c>
      <c r="F20432">
        <v>36980429</v>
      </c>
      <c r="G20432">
        <v>36980448</v>
      </c>
      <c r="H20432">
        <v>36980455</v>
      </c>
      <c r="I20432">
        <v>36980469</v>
      </c>
    </row>
    <row r="20433" spans="1:9" x14ac:dyDescent="0.2">
      <c r="A20433" s="1" t="str">
        <f>"ZNF567"</f>
        <v>ZNF567</v>
      </c>
      <c r="B20433" t="s">
        <v>14</v>
      </c>
      <c r="C20433" t="s">
        <v>10</v>
      </c>
      <c r="D20433" t="s">
        <v>17</v>
      </c>
      <c r="E20433" t="s">
        <v>12</v>
      </c>
      <c r="F20433">
        <v>37178482</v>
      </c>
      <c r="G20433">
        <v>37178520</v>
      </c>
      <c r="H20433">
        <v>37178523</v>
      </c>
      <c r="I20433">
        <v>37178541</v>
      </c>
    </row>
    <row r="20434" spans="1:9" x14ac:dyDescent="0.2">
      <c r="A20434" s="1" t="str">
        <f>"ZNF568"</f>
        <v>ZNF568</v>
      </c>
      <c r="B20434" t="s">
        <v>14</v>
      </c>
      <c r="C20434" t="s">
        <v>10</v>
      </c>
      <c r="D20434" t="s">
        <v>17</v>
      </c>
      <c r="E20434" t="s">
        <v>12</v>
      </c>
      <c r="F20434">
        <v>37407212</v>
      </c>
      <c r="G20434">
        <v>37407280</v>
      </c>
      <c r="H20434">
        <v>37407212</v>
      </c>
      <c r="I20434">
        <v>37407280</v>
      </c>
    </row>
    <row r="20435" spans="1:9" x14ac:dyDescent="0.2">
      <c r="A20435" s="1" t="str">
        <f>"ZNF569"</f>
        <v>ZNF569</v>
      </c>
      <c r="B20435" t="s">
        <v>14</v>
      </c>
      <c r="C20435" t="s">
        <v>10</v>
      </c>
      <c r="D20435" t="s">
        <v>11</v>
      </c>
      <c r="E20435" t="s">
        <v>12</v>
      </c>
      <c r="F20435">
        <v>37958086</v>
      </c>
      <c r="G20435">
        <v>37958150</v>
      </c>
      <c r="H20435">
        <v>37958318</v>
      </c>
      <c r="I20435">
        <v>37958365</v>
      </c>
    </row>
    <row r="20436" spans="1:9" x14ac:dyDescent="0.2">
      <c r="A20436" s="1" t="str">
        <f>"ZNF57"</f>
        <v>ZNF57</v>
      </c>
      <c r="B20436" t="s">
        <v>14</v>
      </c>
      <c r="C20436" t="s">
        <v>10</v>
      </c>
      <c r="D20436" t="s">
        <v>17</v>
      </c>
      <c r="E20436" t="s">
        <v>12</v>
      </c>
      <c r="F20436">
        <v>2900917</v>
      </c>
      <c r="G20436">
        <v>2900981</v>
      </c>
      <c r="H20436">
        <v>2900917</v>
      </c>
      <c r="I20436">
        <v>2900981</v>
      </c>
    </row>
    <row r="20437" spans="1:9" x14ac:dyDescent="0.2">
      <c r="A20437" s="1" t="str">
        <f>"ZNF570"</f>
        <v>ZNF570</v>
      </c>
      <c r="B20437" t="s">
        <v>9</v>
      </c>
      <c r="C20437" t="s">
        <v>10</v>
      </c>
      <c r="D20437" t="s">
        <v>17</v>
      </c>
      <c r="E20437" t="s">
        <v>12</v>
      </c>
      <c r="F20437">
        <v>37960240</v>
      </c>
      <c r="G20437">
        <v>37960299</v>
      </c>
      <c r="H20437">
        <v>37960240</v>
      </c>
      <c r="I20437">
        <v>37960299</v>
      </c>
    </row>
    <row r="20438" spans="1:9" x14ac:dyDescent="0.2">
      <c r="A20438" s="1" t="str">
        <f>"ZNF570"</f>
        <v>ZNF570</v>
      </c>
      <c r="B20438" t="s">
        <v>13</v>
      </c>
      <c r="C20438" t="s">
        <v>10</v>
      </c>
      <c r="D20438" t="s">
        <v>17</v>
      </c>
      <c r="E20438" t="s">
        <v>12</v>
      </c>
      <c r="F20438">
        <v>37958404</v>
      </c>
      <c r="G20438">
        <v>37958434</v>
      </c>
      <c r="H20438">
        <v>37958404</v>
      </c>
      <c r="I20438">
        <v>37958434</v>
      </c>
    </row>
    <row r="20439" spans="1:9" x14ac:dyDescent="0.2">
      <c r="A20439" s="1" t="str">
        <f>"ZNF571"</f>
        <v>ZNF571</v>
      </c>
      <c r="B20439" t="s">
        <v>14</v>
      </c>
      <c r="C20439" t="s">
        <v>10</v>
      </c>
      <c r="D20439" t="s">
        <v>11</v>
      </c>
      <c r="E20439" t="s">
        <v>12</v>
      </c>
      <c r="F20439">
        <v>38085633</v>
      </c>
      <c r="G20439">
        <v>38085706</v>
      </c>
      <c r="H20439">
        <v>38085633</v>
      </c>
      <c r="I20439">
        <v>38085706</v>
      </c>
    </row>
    <row r="20440" spans="1:9" x14ac:dyDescent="0.2">
      <c r="A20440" s="1" t="str">
        <f>"ZNF572"</f>
        <v>ZNF572</v>
      </c>
      <c r="B20440" t="s">
        <v>14</v>
      </c>
      <c r="C20440" t="s">
        <v>30</v>
      </c>
      <c r="D20440" t="s">
        <v>17</v>
      </c>
      <c r="E20440" t="s">
        <v>12</v>
      </c>
      <c r="F20440">
        <v>125985531</v>
      </c>
      <c r="G20440">
        <v>125985571</v>
      </c>
      <c r="H20440">
        <v>125985587</v>
      </c>
      <c r="I20440">
        <v>125985605</v>
      </c>
    </row>
    <row r="20441" spans="1:9" x14ac:dyDescent="0.2">
      <c r="A20441" s="1" t="str">
        <f>"ZNF573"</f>
        <v>ZNF573</v>
      </c>
      <c r="B20441" t="s">
        <v>14</v>
      </c>
      <c r="C20441" t="s">
        <v>10</v>
      </c>
      <c r="D20441" t="s">
        <v>11</v>
      </c>
      <c r="E20441" t="s">
        <v>12</v>
      </c>
      <c r="F20441">
        <v>38270215</v>
      </c>
      <c r="G20441">
        <v>38270251</v>
      </c>
      <c r="H20441">
        <v>38270528</v>
      </c>
      <c r="I20441">
        <v>38270545</v>
      </c>
    </row>
    <row r="20442" spans="1:9" x14ac:dyDescent="0.2">
      <c r="A20442" s="1" t="str">
        <f>"ZNF574"</f>
        <v>ZNF574</v>
      </c>
      <c r="B20442" t="s">
        <v>9</v>
      </c>
      <c r="C20442" t="s">
        <v>10</v>
      </c>
      <c r="D20442" t="s">
        <v>17</v>
      </c>
      <c r="E20442" t="s">
        <v>12</v>
      </c>
      <c r="F20442">
        <v>42580274</v>
      </c>
      <c r="G20442">
        <v>42580375</v>
      </c>
      <c r="H20442">
        <v>42580274</v>
      </c>
      <c r="I20442">
        <v>42580375</v>
      </c>
    </row>
    <row r="20443" spans="1:9" x14ac:dyDescent="0.2">
      <c r="A20443" s="1" t="str">
        <f>"ZNF574"</f>
        <v>ZNF574</v>
      </c>
      <c r="B20443" t="s">
        <v>13</v>
      </c>
      <c r="C20443" t="s">
        <v>10</v>
      </c>
      <c r="D20443" t="s">
        <v>17</v>
      </c>
      <c r="E20443" t="s">
        <v>12</v>
      </c>
      <c r="F20443">
        <v>42583334</v>
      </c>
      <c r="G20443">
        <v>42583337</v>
      </c>
      <c r="H20443">
        <v>42583334</v>
      </c>
      <c r="I20443">
        <v>42583337</v>
      </c>
    </row>
    <row r="20444" spans="1:9" x14ac:dyDescent="0.2">
      <c r="A20444" s="1" t="str">
        <f>"ZNF575"</f>
        <v>ZNF575</v>
      </c>
      <c r="B20444" t="s">
        <v>14</v>
      </c>
      <c r="C20444" t="s">
        <v>10</v>
      </c>
      <c r="D20444" t="s">
        <v>17</v>
      </c>
      <c r="E20444" t="s">
        <v>12</v>
      </c>
      <c r="F20444">
        <v>44037546</v>
      </c>
      <c r="G20444">
        <v>44037594</v>
      </c>
      <c r="H20444">
        <v>44037334</v>
      </c>
      <c r="I20444">
        <v>44037365</v>
      </c>
    </row>
    <row r="20445" spans="1:9" x14ac:dyDescent="0.2">
      <c r="A20445" s="1" t="str">
        <f>"ZNF576"</f>
        <v>ZNF576</v>
      </c>
      <c r="B20445" t="s">
        <v>14</v>
      </c>
      <c r="C20445" t="s">
        <v>10</v>
      </c>
      <c r="D20445" t="s">
        <v>17</v>
      </c>
      <c r="E20445" t="s">
        <v>12</v>
      </c>
      <c r="F20445">
        <v>44100728</v>
      </c>
      <c r="G20445">
        <v>44100804</v>
      </c>
      <c r="H20445">
        <v>44100548</v>
      </c>
      <c r="I20445">
        <v>44100581</v>
      </c>
    </row>
    <row r="20446" spans="1:9" x14ac:dyDescent="0.2">
      <c r="A20446" s="1" t="str">
        <f>"ZNF577"</f>
        <v>ZNF577</v>
      </c>
      <c r="B20446" t="s">
        <v>14</v>
      </c>
      <c r="C20446" t="s">
        <v>10</v>
      </c>
      <c r="D20446" t="s">
        <v>11</v>
      </c>
      <c r="E20446" t="s">
        <v>12</v>
      </c>
      <c r="F20446">
        <v>52391147</v>
      </c>
      <c r="G20446">
        <v>52391218</v>
      </c>
      <c r="H20446">
        <v>52391220</v>
      </c>
      <c r="I20446">
        <v>52391251</v>
      </c>
    </row>
    <row r="20447" spans="1:9" x14ac:dyDescent="0.2">
      <c r="A20447" s="1" t="str">
        <f>"ZNF578"</f>
        <v>ZNF578</v>
      </c>
      <c r="B20447" t="s">
        <v>14</v>
      </c>
      <c r="C20447" t="s">
        <v>10</v>
      </c>
      <c r="D20447" t="s">
        <v>17</v>
      </c>
      <c r="E20447" t="s">
        <v>12</v>
      </c>
      <c r="F20447">
        <v>52956798</v>
      </c>
      <c r="G20447">
        <v>52956843</v>
      </c>
      <c r="H20447">
        <v>52956798</v>
      </c>
      <c r="I20447">
        <v>52956843</v>
      </c>
    </row>
    <row r="20448" spans="1:9" x14ac:dyDescent="0.2">
      <c r="A20448" s="1" t="str">
        <f>"ZNF579"</f>
        <v>ZNF579</v>
      </c>
      <c r="B20448" t="s">
        <v>14</v>
      </c>
      <c r="C20448" t="s">
        <v>10</v>
      </c>
      <c r="D20448" t="s">
        <v>11</v>
      </c>
      <c r="E20448" t="s">
        <v>12</v>
      </c>
      <c r="F20448">
        <v>56092195</v>
      </c>
      <c r="G20448">
        <v>56092248</v>
      </c>
      <c r="H20448">
        <v>56092252</v>
      </c>
      <c r="I20448">
        <v>56092287</v>
      </c>
    </row>
    <row r="20449" spans="1:9" x14ac:dyDescent="0.2">
      <c r="A20449" s="1" t="str">
        <f>"ZNF580"</f>
        <v>ZNF580</v>
      </c>
      <c r="B20449" t="s">
        <v>9</v>
      </c>
      <c r="C20449" t="s">
        <v>10</v>
      </c>
      <c r="D20449" t="s">
        <v>17</v>
      </c>
      <c r="E20449" t="s">
        <v>12</v>
      </c>
      <c r="F20449">
        <v>56152361</v>
      </c>
      <c r="G20449">
        <v>56152434</v>
      </c>
      <c r="H20449">
        <v>56152361</v>
      </c>
      <c r="I20449">
        <v>56152434</v>
      </c>
    </row>
    <row r="20450" spans="1:9" x14ac:dyDescent="0.2">
      <c r="A20450" s="1" t="str">
        <f>"ZNF580"</f>
        <v>ZNF580</v>
      </c>
      <c r="B20450" t="s">
        <v>13</v>
      </c>
      <c r="C20450" t="s">
        <v>10</v>
      </c>
      <c r="D20450" t="s">
        <v>17</v>
      </c>
      <c r="E20450" t="s">
        <v>12</v>
      </c>
      <c r="F20450">
        <v>56146352</v>
      </c>
      <c r="G20450">
        <v>56146420</v>
      </c>
      <c r="H20450">
        <v>56146352</v>
      </c>
      <c r="I20450">
        <v>56146420</v>
      </c>
    </row>
    <row r="20451" spans="1:9" x14ac:dyDescent="0.2">
      <c r="A20451" s="1" t="str">
        <f>"ZNF581"</f>
        <v>ZNF581</v>
      </c>
      <c r="B20451" t="s">
        <v>9</v>
      </c>
      <c r="C20451" t="s">
        <v>10</v>
      </c>
      <c r="D20451" t="s">
        <v>17</v>
      </c>
      <c r="E20451" t="s">
        <v>12</v>
      </c>
      <c r="F20451">
        <v>56154958</v>
      </c>
      <c r="G20451">
        <v>56155027</v>
      </c>
      <c r="H20451">
        <v>56154958</v>
      </c>
      <c r="I20451">
        <v>56155027</v>
      </c>
    </row>
    <row r="20452" spans="1:9" x14ac:dyDescent="0.2">
      <c r="A20452" s="1" t="str">
        <f>"ZNF581"</f>
        <v>ZNF581</v>
      </c>
      <c r="B20452" t="s">
        <v>13</v>
      </c>
      <c r="C20452" t="s">
        <v>10</v>
      </c>
      <c r="D20452" t="s">
        <v>17</v>
      </c>
      <c r="E20452" t="s">
        <v>12</v>
      </c>
      <c r="F20452">
        <v>56146352</v>
      </c>
      <c r="G20452">
        <v>56146420</v>
      </c>
      <c r="H20452">
        <v>56146352</v>
      </c>
      <c r="I20452">
        <v>56146420</v>
      </c>
    </row>
    <row r="20453" spans="1:9" x14ac:dyDescent="0.2">
      <c r="A20453" s="1" t="str">
        <f>"ZNF582"</f>
        <v>ZNF582</v>
      </c>
      <c r="B20453" t="s">
        <v>14</v>
      </c>
      <c r="C20453" t="s">
        <v>10</v>
      </c>
      <c r="D20453" t="s">
        <v>11</v>
      </c>
      <c r="E20453" t="s">
        <v>12</v>
      </c>
      <c r="F20453">
        <v>56904880</v>
      </c>
      <c r="G20453">
        <v>56904919</v>
      </c>
      <c r="H20453">
        <v>56904947</v>
      </c>
      <c r="I20453">
        <v>56904975</v>
      </c>
    </row>
    <row r="20454" spans="1:9" x14ac:dyDescent="0.2">
      <c r="A20454" s="1" t="str">
        <f>"ZNF583"</f>
        <v>ZNF583</v>
      </c>
      <c r="B20454" t="s">
        <v>14</v>
      </c>
      <c r="C20454" t="s">
        <v>10</v>
      </c>
      <c r="D20454" t="s">
        <v>17</v>
      </c>
      <c r="E20454" t="s">
        <v>12</v>
      </c>
      <c r="F20454">
        <v>56915668</v>
      </c>
      <c r="G20454">
        <v>56915732</v>
      </c>
      <c r="H20454">
        <v>56915429</v>
      </c>
      <c r="I20454">
        <v>56915462</v>
      </c>
    </row>
    <row r="20455" spans="1:9" x14ac:dyDescent="0.2">
      <c r="A20455" s="1" t="str">
        <f>"ZNF584"</f>
        <v>ZNF584</v>
      </c>
      <c r="B20455" t="s">
        <v>14</v>
      </c>
      <c r="C20455" t="s">
        <v>10</v>
      </c>
      <c r="D20455" t="s">
        <v>17</v>
      </c>
      <c r="E20455" t="s">
        <v>12</v>
      </c>
      <c r="F20455">
        <v>58920000</v>
      </c>
      <c r="G20455">
        <v>58920057</v>
      </c>
      <c r="H20455">
        <v>58920102</v>
      </c>
      <c r="I20455">
        <v>58920149</v>
      </c>
    </row>
    <row r="20456" spans="1:9" x14ac:dyDescent="0.2">
      <c r="A20456" s="1" t="str">
        <f>"ZNF585A"</f>
        <v>ZNF585A</v>
      </c>
      <c r="B20456" t="s">
        <v>14</v>
      </c>
      <c r="C20456" t="s">
        <v>10</v>
      </c>
      <c r="D20456" t="s">
        <v>11</v>
      </c>
      <c r="E20456" t="s">
        <v>12</v>
      </c>
      <c r="F20456">
        <v>37663572</v>
      </c>
      <c r="G20456">
        <v>37663630</v>
      </c>
      <c r="H20456">
        <v>37663572</v>
      </c>
      <c r="I20456">
        <v>37663630</v>
      </c>
    </row>
    <row r="20457" spans="1:9" x14ac:dyDescent="0.2">
      <c r="A20457" s="1" t="str">
        <f>"ZNF585B"</f>
        <v>ZNF585B</v>
      </c>
      <c r="B20457" t="s">
        <v>14</v>
      </c>
      <c r="C20457" t="s">
        <v>10</v>
      </c>
      <c r="D20457" t="s">
        <v>11</v>
      </c>
      <c r="E20457" t="s">
        <v>12</v>
      </c>
      <c r="F20457">
        <v>37701396</v>
      </c>
      <c r="G20457">
        <v>37701453</v>
      </c>
      <c r="H20457">
        <v>37701396</v>
      </c>
      <c r="I20457">
        <v>37701453</v>
      </c>
    </row>
    <row r="20458" spans="1:9" x14ac:dyDescent="0.2">
      <c r="A20458" s="1" t="str">
        <f>"ZNF586"</f>
        <v>ZNF586</v>
      </c>
      <c r="B20458" t="s">
        <v>14</v>
      </c>
      <c r="C20458" t="s">
        <v>10</v>
      </c>
      <c r="D20458" t="s">
        <v>17</v>
      </c>
      <c r="E20458" t="s">
        <v>12</v>
      </c>
      <c r="F20458">
        <v>58281014</v>
      </c>
      <c r="G20458">
        <v>58281074</v>
      </c>
      <c r="H20458">
        <v>58281003</v>
      </c>
      <c r="I20458">
        <v>58281012</v>
      </c>
    </row>
    <row r="20459" spans="1:9" x14ac:dyDescent="0.2">
      <c r="A20459" s="1" t="str">
        <f>"ZNF587"</f>
        <v>ZNF587</v>
      </c>
      <c r="B20459" t="s">
        <v>1854</v>
      </c>
      <c r="C20459" t="s">
        <v>10</v>
      </c>
      <c r="D20459" t="s">
        <v>17</v>
      </c>
      <c r="E20459" t="s">
        <v>35</v>
      </c>
      <c r="F20459">
        <v>58361185</v>
      </c>
      <c r="G20459">
        <v>58361235</v>
      </c>
      <c r="H20459">
        <v>58361270</v>
      </c>
      <c r="I20459">
        <v>58361277</v>
      </c>
    </row>
    <row r="20460" spans="1:9" x14ac:dyDescent="0.2">
      <c r="A20460" s="1" t="str">
        <f>"ZNF587B"</f>
        <v>ZNF587B</v>
      </c>
      <c r="B20460" t="s">
        <v>1855</v>
      </c>
      <c r="C20460" t="s">
        <v>10</v>
      </c>
      <c r="D20460" t="s">
        <v>17</v>
      </c>
      <c r="E20460" t="s">
        <v>35</v>
      </c>
      <c r="F20460">
        <v>58341656</v>
      </c>
      <c r="G20460">
        <v>58341694</v>
      </c>
      <c r="H20460">
        <v>58341704</v>
      </c>
      <c r="I20460">
        <v>58341715</v>
      </c>
    </row>
    <row r="20461" spans="1:9" x14ac:dyDescent="0.2">
      <c r="A20461" s="1" t="str">
        <f>"ZNF589"</f>
        <v>ZNF589</v>
      </c>
      <c r="B20461" t="s">
        <v>14</v>
      </c>
      <c r="C20461" t="s">
        <v>22</v>
      </c>
      <c r="D20461" t="s">
        <v>17</v>
      </c>
      <c r="E20461" t="s">
        <v>12</v>
      </c>
      <c r="F20461">
        <v>48282587</v>
      </c>
      <c r="G20461">
        <v>48282603</v>
      </c>
      <c r="H20461">
        <v>48282536</v>
      </c>
      <c r="I20461">
        <v>48282586</v>
      </c>
    </row>
    <row r="20462" spans="1:9" x14ac:dyDescent="0.2">
      <c r="A20462" s="1" t="str">
        <f>"ZNF592"</f>
        <v>ZNF592</v>
      </c>
      <c r="B20462" t="s">
        <v>14</v>
      </c>
      <c r="C20462" t="s">
        <v>25</v>
      </c>
      <c r="D20462" t="s">
        <v>17</v>
      </c>
      <c r="E20462" t="s">
        <v>12</v>
      </c>
      <c r="F20462">
        <v>85291785</v>
      </c>
      <c r="G20462">
        <v>85291848</v>
      </c>
      <c r="H20462">
        <v>85291544</v>
      </c>
      <c r="I20462">
        <v>85291598</v>
      </c>
    </row>
    <row r="20463" spans="1:9" x14ac:dyDescent="0.2">
      <c r="A20463" s="1" t="str">
        <f>"ZNF593"</f>
        <v>ZNF593</v>
      </c>
      <c r="B20463" t="s">
        <v>14</v>
      </c>
      <c r="C20463" t="s">
        <v>19</v>
      </c>
      <c r="D20463" t="s">
        <v>17</v>
      </c>
      <c r="E20463" t="s">
        <v>12</v>
      </c>
      <c r="F20463">
        <v>26496382</v>
      </c>
      <c r="G20463">
        <v>26496457</v>
      </c>
      <c r="H20463">
        <v>26496459</v>
      </c>
      <c r="I20463">
        <v>26496470</v>
      </c>
    </row>
    <row r="20464" spans="1:9" x14ac:dyDescent="0.2">
      <c r="A20464" s="1" t="str">
        <f>"ZNF594"</f>
        <v>ZNF594</v>
      </c>
      <c r="B20464" t="s">
        <v>14</v>
      </c>
      <c r="C20464" t="s">
        <v>28</v>
      </c>
      <c r="D20464" t="s">
        <v>11</v>
      </c>
      <c r="E20464" t="s">
        <v>12</v>
      </c>
      <c r="F20464">
        <v>5095126</v>
      </c>
      <c r="G20464">
        <v>5095169</v>
      </c>
      <c r="H20464">
        <v>5095172</v>
      </c>
      <c r="I20464">
        <v>5095183</v>
      </c>
    </row>
    <row r="20465" spans="1:9" x14ac:dyDescent="0.2">
      <c r="A20465" s="1" t="str">
        <f>"ZNF595"</f>
        <v>ZNF595</v>
      </c>
      <c r="B20465" t="s">
        <v>9</v>
      </c>
      <c r="C20465" t="s">
        <v>23</v>
      </c>
      <c r="D20465" t="s">
        <v>17</v>
      </c>
      <c r="E20465" t="s">
        <v>12</v>
      </c>
      <c r="F20465">
        <v>53206</v>
      </c>
      <c r="G20465">
        <v>53260</v>
      </c>
      <c r="H20465">
        <v>53206</v>
      </c>
      <c r="I20465">
        <v>53260</v>
      </c>
    </row>
    <row r="20466" spans="1:9" x14ac:dyDescent="0.2">
      <c r="A20466" s="1" t="str">
        <f>"ZNF595"</f>
        <v>ZNF595</v>
      </c>
      <c r="B20466" t="s">
        <v>13</v>
      </c>
      <c r="C20466" t="s">
        <v>23</v>
      </c>
      <c r="D20466" t="s">
        <v>17</v>
      </c>
      <c r="E20466" t="s">
        <v>12</v>
      </c>
      <c r="F20466">
        <v>59340</v>
      </c>
      <c r="G20466">
        <v>59357</v>
      </c>
      <c r="H20466">
        <v>59340</v>
      </c>
      <c r="I20466">
        <v>59357</v>
      </c>
    </row>
    <row r="20467" spans="1:9" x14ac:dyDescent="0.2">
      <c r="A20467" s="1" t="str">
        <f>"ZNF596"</f>
        <v>ZNF596</v>
      </c>
      <c r="B20467" t="s">
        <v>14</v>
      </c>
      <c r="C20467" t="s">
        <v>30</v>
      </c>
      <c r="D20467" t="s">
        <v>17</v>
      </c>
      <c r="E20467" t="s">
        <v>12</v>
      </c>
      <c r="F20467">
        <v>182424</v>
      </c>
      <c r="G20467">
        <v>182462</v>
      </c>
      <c r="H20467">
        <v>182368</v>
      </c>
      <c r="I20467">
        <v>182402</v>
      </c>
    </row>
    <row r="20468" spans="1:9" x14ac:dyDescent="0.2">
      <c r="A20468" s="1" t="str">
        <f>"ZNF597"</f>
        <v>ZNF597</v>
      </c>
      <c r="B20468" t="s">
        <v>14</v>
      </c>
      <c r="C20468" t="s">
        <v>31</v>
      </c>
      <c r="D20468" t="s">
        <v>11</v>
      </c>
      <c r="E20468" t="s">
        <v>12</v>
      </c>
      <c r="F20468">
        <v>3493446</v>
      </c>
      <c r="G20468">
        <v>3493510</v>
      </c>
      <c r="H20468">
        <v>3493528</v>
      </c>
      <c r="I20468">
        <v>3493539</v>
      </c>
    </row>
    <row r="20469" spans="1:9" x14ac:dyDescent="0.2">
      <c r="A20469" s="1" t="str">
        <f>"ZNF598"</f>
        <v>ZNF598</v>
      </c>
      <c r="B20469" t="s">
        <v>14</v>
      </c>
      <c r="C20469" t="s">
        <v>31</v>
      </c>
      <c r="D20469" t="s">
        <v>11</v>
      </c>
      <c r="E20469" t="s">
        <v>12</v>
      </c>
      <c r="F20469">
        <v>2059797</v>
      </c>
      <c r="G20469">
        <v>2059837</v>
      </c>
      <c r="H20469">
        <v>2059754</v>
      </c>
      <c r="I20469">
        <v>2059777</v>
      </c>
    </row>
    <row r="20470" spans="1:9" x14ac:dyDescent="0.2">
      <c r="A20470" s="1" t="str">
        <f>"ZNF599"</f>
        <v>ZNF599</v>
      </c>
      <c r="B20470" t="s">
        <v>14</v>
      </c>
      <c r="C20470" t="s">
        <v>10</v>
      </c>
      <c r="D20470" t="s">
        <v>11</v>
      </c>
      <c r="E20470" t="s">
        <v>12</v>
      </c>
      <c r="F20470">
        <v>35264089</v>
      </c>
      <c r="G20470">
        <v>35264146</v>
      </c>
      <c r="H20470">
        <v>35264074</v>
      </c>
      <c r="I20470">
        <v>35264085</v>
      </c>
    </row>
    <row r="20471" spans="1:9" x14ac:dyDescent="0.2">
      <c r="A20471" s="1" t="str">
        <f>"ZNF600"</f>
        <v>ZNF600</v>
      </c>
      <c r="B20471" t="s">
        <v>14</v>
      </c>
      <c r="C20471" t="s">
        <v>10</v>
      </c>
      <c r="D20471" t="s">
        <v>11</v>
      </c>
      <c r="E20471" t="s">
        <v>12</v>
      </c>
      <c r="F20471">
        <v>53289995</v>
      </c>
      <c r="G20471">
        <v>53290050</v>
      </c>
      <c r="H20471">
        <v>53289975</v>
      </c>
      <c r="I20471">
        <v>53289985</v>
      </c>
    </row>
    <row r="20472" spans="1:9" x14ac:dyDescent="0.2">
      <c r="A20472" s="1" t="str">
        <f>"ZNF605"</f>
        <v>ZNF605</v>
      </c>
      <c r="B20472" t="s">
        <v>14</v>
      </c>
      <c r="C20472" t="s">
        <v>16</v>
      </c>
      <c r="D20472" t="s">
        <v>11</v>
      </c>
      <c r="E20472" t="s">
        <v>12</v>
      </c>
      <c r="F20472">
        <v>133532864</v>
      </c>
      <c r="G20472">
        <v>133532899</v>
      </c>
      <c r="H20472">
        <v>133532642</v>
      </c>
      <c r="I20472">
        <v>133532662</v>
      </c>
    </row>
    <row r="20473" spans="1:9" x14ac:dyDescent="0.2">
      <c r="A20473" s="1" t="str">
        <f>"ZNF606"</f>
        <v>ZNF606</v>
      </c>
      <c r="B20473" t="s">
        <v>14</v>
      </c>
      <c r="C20473" t="s">
        <v>10</v>
      </c>
      <c r="D20473" t="s">
        <v>11</v>
      </c>
      <c r="E20473" t="s">
        <v>12</v>
      </c>
      <c r="F20473">
        <v>58514129</v>
      </c>
      <c r="G20473">
        <v>58514205</v>
      </c>
      <c r="H20473">
        <v>58513760</v>
      </c>
      <c r="I20473">
        <v>58513764</v>
      </c>
    </row>
    <row r="20474" spans="1:9" x14ac:dyDescent="0.2">
      <c r="A20474" s="1" t="str">
        <f>"ZNF607"</f>
        <v>ZNF607</v>
      </c>
      <c r="B20474" t="s">
        <v>14</v>
      </c>
      <c r="C20474" t="s">
        <v>10</v>
      </c>
      <c r="D20474" t="s">
        <v>11</v>
      </c>
      <c r="E20474" t="s">
        <v>12</v>
      </c>
      <c r="F20474">
        <v>38210622</v>
      </c>
      <c r="G20474">
        <v>38210681</v>
      </c>
      <c r="H20474">
        <v>38210552</v>
      </c>
      <c r="I20474">
        <v>38210570</v>
      </c>
    </row>
    <row r="20475" spans="1:9" x14ac:dyDescent="0.2">
      <c r="A20475" s="1" t="str">
        <f>"ZNF608"</f>
        <v>ZNF608</v>
      </c>
      <c r="B20475" t="s">
        <v>9</v>
      </c>
      <c r="C20475" t="s">
        <v>46</v>
      </c>
      <c r="D20475" t="s">
        <v>11</v>
      </c>
      <c r="E20475" t="s">
        <v>12</v>
      </c>
      <c r="F20475">
        <v>124082322</v>
      </c>
      <c r="G20475">
        <v>124082364</v>
      </c>
      <c r="H20475">
        <v>124082322</v>
      </c>
      <c r="I20475">
        <v>124082364</v>
      </c>
    </row>
    <row r="20476" spans="1:9" x14ac:dyDescent="0.2">
      <c r="A20476" s="1" t="str">
        <f>"ZNF608"</f>
        <v>ZNF608</v>
      </c>
      <c r="B20476" t="s">
        <v>13</v>
      </c>
      <c r="C20476" t="s">
        <v>46</v>
      </c>
      <c r="D20476" t="s">
        <v>11</v>
      </c>
      <c r="E20476" t="s">
        <v>12</v>
      </c>
      <c r="F20476">
        <v>124084493</v>
      </c>
      <c r="G20476">
        <v>124084524</v>
      </c>
      <c r="H20476">
        <v>124084493</v>
      </c>
      <c r="I20476">
        <v>124084524</v>
      </c>
    </row>
    <row r="20477" spans="1:9" x14ac:dyDescent="0.2">
      <c r="A20477" s="1" t="str">
        <f>"ZNF609"</f>
        <v>ZNF609</v>
      </c>
      <c r="B20477" t="s">
        <v>1856</v>
      </c>
      <c r="C20477" t="s">
        <v>25</v>
      </c>
      <c r="D20477" t="s">
        <v>17</v>
      </c>
      <c r="E20477" t="s">
        <v>20</v>
      </c>
      <c r="F20477">
        <v>64791490</v>
      </c>
      <c r="G20477">
        <v>64791490</v>
      </c>
      <c r="H20477">
        <v>64791490</v>
      </c>
      <c r="I20477">
        <v>64791490</v>
      </c>
    </row>
    <row r="20478" spans="1:9" x14ac:dyDescent="0.2">
      <c r="A20478" s="1" t="str">
        <f>"ZNF610"</f>
        <v>ZNF610</v>
      </c>
      <c r="B20478" t="s">
        <v>14</v>
      </c>
      <c r="C20478" t="s">
        <v>10</v>
      </c>
      <c r="D20478" t="s">
        <v>17</v>
      </c>
      <c r="E20478" t="s">
        <v>12</v>
      </c>
      <c r="F20478">
        <v>52839515</v>
      </c>
      <c r="G20478">
        <v>52839572</v>
      </c>
      <c r="H20478">
        <v>52839490</v>
      </c>
      <c r="I20478">
        <v>52839508</v>
      </c>
    </row>
    <row r="20479" spans="1:9" x14ac:dyDescent="0.2">
      <c r="A20479" s="1" t="str">
        <f>"ZNF611"</f>
        <v>ZNF611</v>
      </c>
      <c r="B20479" t="s">
        <v>14</v>
      </c>
      <c r="C20479" t="s">
        <v>10</v>
      </c>
      <c r="D20479" t="s">
        <v>11</v>
      </c>
      <c r="E20479" t="s">
        <v>12</v>
      </c>
      <c r="F20479">
        <v>53238260</v>
      </c>
      <c r="G20479">
        <v>53238312</v>
      </c>
      <c r="H20479">
        <v>53238323</v>
      </c>
      <c r="I20479">
        <v>53238328</v>
      </c>
    </row>
    <row r="20480" spans="1:9" x14ac:dyDescent="0.2">
      <c r="A20480" s="1" t="str">
        <f>"ZNF613"</f>
        <v>ZNF613</v>
      </c>
      <c r="B20480" t="s">
        <v>14</v>
      </c>
      <c r="C20480" t="s">
        <v>10</v>
      </c>
      <c r="D20480" t="s">
        <v>17</v>
      </c>
      <c r="E20480" t="s">
        <v>12</v>
      </c>
      <c r="F20480">
        <v>52430697</v>
      </c>
      <c r="G20480">
        <v>52430749</v>
      </c>
      <c r="H20480">
        <v>52430668</v>
      </c>
      <c r="I20480">
        <v>52430690</v>
      </c>
    </row>
    <row r="20481" spans="1:9" x14ac:dyDescent="0.2">
      <c r="A20481" s="1" t="str">
        <f>"ZNF614"</f>
        <v>ZNF614</v>
      </c>
      <c r="B20481" t="s">
        <v>14</v>
      </c>
      <c r="C20481" t="s">
        <v>10</v>
      </c>
      <c r="D20481" t="s">
        <v>11</v>
      </c>
      <c r="E20481" t="s">
        <v>12</v>
      </c>
      <c r="F20481">
        <v>52531600</v>
      </c>
      <c r="G20481">
        <v>52531685</v>
      </c>
      <c r="H20481">
        <v>52531585</v>
      </c>
      <c r="I20481">
        <v>52531596</v>
      </c>
    </row>
    <row r="20482" spans="1:9" x14ac:dyDescent="0.2">
      <c r="A20482" s="1" t="str">
        <f>"ZNF615"</f>
        <v>ZNF615</v>
      </c>
      <c r="B20482" t="s">
        <v>14</v>
      </c>
      <c r="C20482" t="s">
        <v>10</v>
      </c>
      <c r="D20482" t="s">
        <v>11</v>
      </c>
      <c r="E20482" t="s">
        <v>12</v>
      </c>
      <c r="F20482">
        <v>52511437</v>
      </c>
      <c r="G20482">
        <v>52511490</v>
      </c>
      <c r="H20482">
        <v>52511423</v>
      </c>
      <c r="I20482">
        <v>52511432</v>
      </c>
    </row>
    <row r="20483" spans="1:9" x14ac:dyDescent="0.2">
      <c r="A20483" s="1" t="str">
        <f>"ZNF616"</f>
        <v>ZNF616</v>
      </c>
      <c r="B20483" t="s">
        <v>14</v>
      </c>
      <c r="C20483" t="s">
        <v>10</v>
      </c>
      <c r="D20483" t="s">
        <v>11</v>
      </c>
      <c r="E20483" t="s">
        <v>12</v>
      </c>
      <c r="F20483">
        <v>52643169</v>
      </c>
      <c r="G20483">
        <v>52643199</v>
      </c>
      <c r="H20483">
        <v>52643145</v>
      </c>
      <c r="I20483">
        <v>52643162</v>
      </c>
    </row>
    <row r="20484" spans="1:9" x14ac:dyDescent="0.2">
      <c r="A20484" s="1" t="str">
        <f>"ZNF618"</f>
        <v>ZNF618</v>
      </c>
      <c r="B20484" t="s">
        <v>14</v>
      </c>
      <c r="C20484" t="s">
        <v>24</v>
      </c>
      <c r="D20484" t="s">
        <v>17</v>
      </c>
      <c r="E20484" t="s">
        <v>12</v>
      </c>
      <c r="F20484">
        <v>116638565</v>
      </c>
      <c r="G20484">
        <v>116638606</v>
      </c>
      <c r="H20484">
        <v>116638634</v>
      </c>
      <c r="I20484">
        <v>116638664</v>
      </c>
    </row>
    <row r="20485" spans="1:9" x14ac:dyDescent="0.2">
      <c r="A20485" s="1" t="str">
        <f>"ZNF619"</f>
        <v>ZNF619</v>
      </c>
      <c r="B20485" t="s">
        <v>14</v>
      </c>
      <c r="C20485" t="s">
        <v>22</v>
      </c>
      <c r="D20485" t="s">
        <v>17</v>
      </c>
      <c r="E20485" t="s">
        <v>12</v>
      </c>
      <c r="F20485">
        <v>40518599</v>
      </c>
      <c r="G20485">
        <v>40518664</v>
      </c>
      <c r="H20485">
        <v>40518670</v>
      </c>
      <c r="I20485">
        <v>40518679</v>
      </c>
    </row>
    <row r="20486" spans="1:9" x14ac:dyDescent="0.2">
      <c r="A20486" s="1" t="str">
        <f>"ZNF620"</f>
        <v>ZNF620</v>
      </c>
      <c r="B20486" t="s">
        <v>14</v>
      </c>
      <c r="C20486" t="s">
        <v>22</v>
      </c>
      <c r="D20486" t="s">
        <v>17</v>
      </c>
      <c r="E20486" t="s">
        <v>12</v>
      </c>
      <c r="F20486">
        <v>40547564</v>
      </c>
      <c r="G20486">
        <v>40547616</v>
      </c>
      <c r="H20486">
        <v>40547505</v>
      </c>
      <c r="I20486">
        <v>40547545</v>
      </c>
    </row>
    <row r="20487" spans="1:9" x14ac:dyDescent="0.2">
      <c r="A20487" s="1" t="str">
        <f>"ZNF621"</f>
        <v>ZNF621</v>
      </c>
      <c r="B20487" t="s">
        <v>14</v>
      </c>
      <c r="C20487" t="s">
        <v>22</v>
      </c>
      <c r="D20487" t="s">
        <v>17</v>
      </c>
      <c r="E20487" t="s">
        <v>12</v>
      </c>
      <c r="F20487">
        <v>40566428</v>
      </c>
      <c r="G20487">
        <v>40566480</v>
      </c>
      <c r="H20487">
        <v>40566371</v>
      </c>
      <c r="I20487">
        <v>40566400</v>
      </c>
    </row>
    <row r="20488" spans="1:9" x14ac:dyDescent="0.2">
      <c r="A20488" s="1" t="str">
        <f>"ZNF622"</f>
        <v>ZNF622</v>
      </c>
      <c r="B20488" t="s">
        <v>14</v>
      </c>
      <c r="C20488" t="s">
        <v>46</v>
      </c>
      <c r="D20488" t="s">
        <v>11</v>
      </c>
      <c r="E20488" t="s">
        <v>12</v>
      </c>
      <c r="F20488">
        <v>16465902</v>
      </c>
      <c r="G20488">
        <v>16465917</v>
      </c>
      <c r="H20488">
        <v>16465869</v>
      </c>
      <c r="I20488">
        <v>16465891</v>
      </c>
    </row>
    <row r="20489" spans="1:9" x14ac:dyDescent="0.2">
      <c r="A20489" s="1" t="str">
        <f>"ZNF623"</f>
        <v>ZNF623</v>
      </c>
      <c r="B20489" t="s">
        <v>14</v>
      </c>
      <c r="C20489" t="s">
        <v>30</v>
      </c>
      <c r="D20489" t="s">
        <v>17</v>
      </c>
      <c r="E20489" t="s">
        <v>12</v>
      </c>
      <c r="F20489">
        <v>144718171</v>
      </c>
      <c r="G20489">
        <v>144718244</v>
      </c>
      <c r="H20489">
        <v>144718261</v>
      </c>
      <c r="I20489">
        <v>144718266</v>
      </c>
    </row>
    <row r="20490" spans="1:9" x14ac:dyDescent="0.2">
      <c r="A20490" s="1" t="str">
        <f>"ZNF624"</f>
        <v>ZNF624</v>
      </c>
      <c r="B20490" t="s">
        <v>14</v>
      </c>
      <c r="C20490" t="s">
        <v>28</v>
      </c>
      <c r="D20490" t="s">
        <v>11</v>
      </c>
      <c r="E20490" t="s">
        <v>12</v>
      </c>
      <c r="F20490">
        <v>16557128</v>
      </c>
      <c r="G20490">
        <v>16557174</v>
      </c>
      <c r="H20490">
        <v>16557095</v>
      </c>
      <c r="I20490">
        <v>16557106</v>
      </c>
    </row>
    <row r="20491" spans="1:9" x14ac:dyDescent="0.2">
      <c r="A20491" s="1" t="str">
        <f>"ZNF625"</f>
        <v>ZNF625</v>
      </c>
      <c r="B20491" t="s">
        <v>14</v>
      </c>
      <c r="C20491" t="s">
        <v>10</v>
      </c>
      <c r="D20491" t="s">
        <v>11</v>
      </c>
      <c r="E20491" t="s">
        <v>12</v>
      </c>
      <c r="F20491">
        <v>12267524</v>
      </c>
      <c r="G20491">
        <v>12267564</v>
      </c>
      <c r="H20491">
        <v>12267492</v>
      </c>
      <c r="I20491">
        <v>12267505</v>
      </c>
    </row>
    <row r="20492" spans="1:9" x14ac:dyDescent="0.2">
      <c r="A20492" s="1" t="str">
        <f>"ZNF626"</f>
        <v>ZNF626</v>
      </c>
      <c r="B20492" t="s">
        <v>14</v>
      </c>
      <c r="C20492" t="s">
        <v>10</v>
      </c>
      <c r="D20492" t="s">
        <v>11</v>
      </c>
      <c r="E20492" t="s">
        <v>12</v>
      </c>
      <c r="F20492">
        <v>20844368</v>
      </c>
      <c r="G20492">
        <v>20844407</v>
      </c>
      <c r="H20492">
        <v>20844346</v>
      </c>
      <c r="I20492">
        <v>20844351</v>
      </c>
    </row>
    <row r="20493" spans="1:9" x14ac:dyDescent="0.2">
      <c r="A20493" s="1" t="str">
        <f>"ZNF627"</f>
        <v>ZNF627</v>
      </c>
      <c r="B20493" t="s">
        <v>14</v>
      </c>
      <c r="C20493" t="s">
        <v>10</v>
      </c>
      <c r="D20493" t="s">
        <v>17</v>
      </c>
      <c r="E20493" t="s">
        <v>12</v>
      </c>
      <c r="F20493">
        <v>11708259</v>
      </c>
      <c r="G20493">
        <v>11708309</v>
      </c>
      <c r="H20493">
        <v>11708311</v>
      </c>
      <c r="I20493">
        <v>11708332</v>
      </c>
    </row>
    <row r="20494" spans="1:9" x14ac:dyDescent="0.2">
      <c r="A20494" s="1" t="str">
        <f>"ZNF628"</f>
        <v>ZNF628</v>
      </c>
      <c r="B20494" t="s">
        <v>14</v>
      </c>
      <c r="C20494" t="s">
        <v>10</v>
      </c>
      <c r="D20494" t="s">
        <v>17</v>
      </c>
      <c r="E20494" t="s">
        <v>12</v>
      </c>
      <c r="F20494">
        <v>55987963</v>
      </c>
      <c r="G20494">
        <v>55987996</v>
      </c>
      <c r="H20494">
        <v>55987998</v>
      </c>
      <c r="I20494">
        <v>55988026</v>
      </c>
    </row>
    <row r="20495" spans="1:9" x14ac:dyDescent="0.2">
      <c r="A20495" s="1" t="str">
        <f>"ZNF629"</f>
        <v>ZNF629</v>
      </c>
      <c r="B20495" t="s">
        <v>14</v>
      </c>
      <c r="C20495" t="s">
        <v>31</v>
      </c>
      <c r="D20495" t="s">
        <v>11</v>
      </c>
      <c r="E20495" t="s">
        <v>12</v>
      </c>
      <c r="F20495">
        <v>30798492</v>
      </c>
      <c r="G20495">
        <v>30798535</v>
      </c>
      <c r="H20495">
        <v>30798476</v>
      </c>
      <c r="I20495">
        <v>30798483</v>
      </c>
    </row>
    <row r="20496" spans="1:9" x14ac:dyDescent="0.2">
      <c r="A20496" s="1" t="str">
        <f>"ZNF630"</f>
        <v>ZNF630</v>
      </c>
      <c r="B20496" t="s">
        <v>14</v>
      </c>
      <c r="C20496" t="s">
        <v>37</v>
      </c>
      <c r="D20496" t="s">
        <v>11</v>
      </c>
      <c r="E20496" t="s">
        <v>12</v>
      </c>
      <c r="F20496">
        <v>47930980</v>
      </c>
      <c r="G20496">
        <v>47931034</v>
      </c>
      <c r="H20496">
        <v>47930960</v>
      </c>
      <c r="I20496">
        <v>47930975</v>
      </c>
    </row>
    <row r="20497" spans="1:9" x14ac:dyDescent="0.2">
      <c r="A20497" s="1" t="str">
        <f>"ZNF638"</f>
        <v>ZNF638</v>
      </c>
      <c r="B20497" t="s">
        <v>14</v>
      </c>
      <c r="C20497" t="s">
        <v>26</v>
      </c>
      <c r="D20497" t="s">
        <v>17</v>
      </c>
      <c r="E20497" t="s">
        <v>12</v>
      </c>
      <c r="F20497">
        <v>71558882</v>
      </c>
      <c r="G20497">
        <v>71558936</v>
      </c>
      <c r="H20497">
        <v>71558882</v>
      </c>
      <c r="I20497">
        <v>71558936</v>
      </c>
    </row>
    <row r="20498" spans="1:9" x14ac:dyDescent="0.2">
      <c r="A20498" s="1" t="str">
        <f>"ZNF639"</f>
        <v>ZNF639</v>
      </c>
      <c r="B20498" t="s">
        <v>14</v>
      </c>
      <c r="C20498" t="s">
        <v>22</v>
      </c>
      <c r="D20498" t="s">
        <v>17</v>
      </c>
      <c r="E20498" t="s">
        <v>12</v>
      </c>
      <c r="F20498">
        <v>179040767</v>
      </c>
      <c r="G20498">
        <v>179040866</v>
      </c>
      <c r="H20498">
        <v>179040643</v>
      </c>
      <c r="I20498">
        <v>179040740</v>
      </c>
    </row>
    <row r="20499" spans="1:9" x14ac:dyDescent="0.2">
      <c r="A20499" s="1" t="str">
        <f>"ZNF641"</f>
        <v>ZNF641</v>
      </c>
      <c r="B20499" t="s">
        <v>14</v>
      </c>
      <c r="C20499" t="s">
        <v>16</v>
      </c>
      <c r="D20499" t="s">
        <v>11</v>
      </c>
      <c r="E20499" t="s">
        <v>12</v>
      </c>
      <c r="F20499">
        <v>48744642</v>
      </c>
      <c r="G20499">
        <v>48744733</v>
      </c>
      <c r="H20499">
        <v>48744583</v>
      </c>
      <c r="I20499">
        <v>48744603</v>
      </c>
    </row>
    <row r="20500" spans="1:9" x14ac:dyDescent="0.2">
      <c r="A20500" s="1" t="str">
        <f>"ZNF644"</f>
        <v>ZNF644</v>
      </c>
      <c r="B20500" t="s">
        <v>14</v>
      </c>
      <c r="C20500" t="s">
        <v>19</v>
      </c>
      <c r="D20500" t="s">
        <v>11</v>
      </c>
      <c r="E20500" t="s">
        <v>12</v>
      </c>
      <c r="F20500">
        <v>91487553</v>
      </c>
      <c r="G20500">
        <v>91487612</v>
      </c>
      <c r="H20500">
        <v>91487774</v>
      </c>
      <c r="I20500">
        <v>91487802</v>
      </c>
    </row>
    <row r="20501" spans="1:9" x14ac:dyDescent="0.2">
      <c r="A20501" s="1" t="str">
        <f>"ZNF645"</f>
        <v>ZNF645</v>
      </c>
      <c r="B20501" t="s">
        <v>14</v>
      </c>
      <c r="C20501" t="s">
        <v>37</v>
      </c>
      <c r="D20501" t="s">
        <v>17</v>
      </c>
      <c r="E20501" t="s">
        <v>12</v>
      </c>
      <c r="F20501">
        <v>22291054</v>
      </c>
      <c r="G20501">
        <v>22291062</v>
      </c>
      <c r="H20501">
        <v>22291054</v>
      </c>
      <c r="I20501">
        <v>22291062</v>
      </c>
    </row>
    <row r="20502" spans="1:9" x14ac:dyDescent="0.2">
      <c r="A20502" s="1" t="str">
        <f>"ZNF646"</f>
        <v>ZNF646</v>
      </c>
      <c r="B20502" t="s">
        <v>14</v>
      </c>
      <c r="C20502" t="s">
        <v>31</v>
      </c>
      <c r="D20502" t="s">
        <v>17</v>
      </c>
      <c r="E20502" t="s">
        <v>12</v>
      </c>
      <c r="F20502">
        <v>31085714</v>
      </c>
      <c r="G20502">
        <v>31085783</v>
      </c>
      <c r="H20502">
        <v>31085961</v>
      </c>
      <c r="I20502">
        <v>31086009</v>
      </c>
    </row>
    <row r="20503" spans="1:9" x14ac:dyDescent="0.2">
      <c r="A20503" s="1" t="str">
        <f>"ZNF648"</f>
        <v>ZNF648</v>
      </c>
      <c r="B20503" t="s">
        <v>14</v>
      </c>
      <c r="C20503" t="s">
        <v>19</v>
      </c>
      <c r="D20503" t="s">
        <v>11</v>
      </c>
      <c r="E20503" t="s">
        <v>12</v>
      </c>
      <c r="F20503">
        <v>182030842</v>
      </c>
      <c r="G20503">
        <v>182030878</v>
      </c>
      <c r="H20503">
        <v>182030842</v>
      </c>
      <c r="I20503">
        <v>182030878</v>
      </c>
    </row>
    <row r="20504" spans="1:9" x14ac:dyDescent="0.2">
      <c r="A20504" s="1" t="str">
        <f>"ZNF649"</f>
        <v>ZNF649</v>
      </c>
      <c r="B20504" t="s">
        <v>14</v>
      </c>
      <c r="C20504" t="s">
        <v>10</v>
      </c>
      <c r="D20504" t="s">
        <v>11</v>
      </c>
      <c r="E20504" t="s">
        <v>12</v>
      </c>
      <c r="F20504">
        <v>52408257</v>
      </c>
      <c r="G20504">
        <v>52408278</v>
      </c>
      <c r="H20504">
        <v>52408227</v>
      </c>
      <c r="I20504">
        <v>52408243</v>
      </c>
    </row>
    <row r="20505" spans="1:9" x14ac:dyDescent="0.2">
      <c r="A20505" s="1" t="str">
        <f>"ZNF652"</f>
        <v>ZNF652</v>
      </c>
      <c r="B20505" t="s">
        <v>14</v>
      </c>
      <c r="C20505" t="s">
        <v>28</v>
      </c>
      <c r="D20505" t="s">
        <v>11</v>
      </c>
      <c r="E20505" t="s">
        <v>12</v>
      </c>
      <c r="F20505">
        <v>47439437</v>
      </c>
      <c r="G20505">
        <v>47439533</v>
      </c>
      <c r="H20505">
        <v>47439568</v>
      </c>
      <c r="I20505">
        <v>47439641</v>
      </c>
    </row>
    <row r="20506" spans="1:9" x14ac:dyDescent="0.2">
      <c r="A20506" s="1" t="str">
        <f>"ZNF653"</f>
        <v>ZNF653</v>
      </c>
      <c r="B20506" t="s">
        <v>14</v>
      </c>
      <c r="C20506" t="s">
        <v>10</v>
      </c>
      <c r="D20506" t="s">
        <v>11</v>
      </c>
      <c r="E20506" t="s">
        <v>12</v>
      </c>
      <c r="F20506">
        <v>11616645</v>
      </c>
      <c r="G20506">
        <v>11616663</v>
      </c>
      <c r="H20506">
        <v>11616614</v>
      </c>
      <c r="I20506">
        <v>11616642</v>
      </c>
    </row>
    <row r="20507" spans="1:9" x14ac:dyDescent="0.2">
      <c r="A20507" s="1" t="str">
        <f>"ZNF654"</f>
        <v>ZNF654</v>
      </c>
      <c r="B20507" t="s">
        <v>14</v>
      </c>
      <c r="C20507" t="s">
        <v>22</v>
      </c>
      <c r="D20507" t="s">
        <v>17</v>
      </c>
      <c r="E20507" t="s">
        <v>12</v>
      </c>
      <c r="F20507">
        <v>88188311</v>
      </c>
      <c r="G20507">
        <v>88188318</v>
      </c>
      <c r="H20507">
        <v>88188311</v>
      </c>
      <c r="I20507">
        <v>88188318</v>
      </c>
    </row>
    <row r="20508" spans="1:9" x14ac:dyDescent="0.2">
      <c r="A20508" s="1" t="str">
        <f>"ZNF655"</f>
        <v>ZNF655</v>
      </c>
      <c r="B20508" t="s">
        <v>14</v>
      </c>
      <c r="C20508" t="s">
        <v>33</v>
      </c>
      <c r="D20508" t="s">
        <v>17</v>
      </c>
      <c r="E20508" t="s">
        <v>12</v>
      </c>
      <c r="F20508">
        <v>99156249</v>
      </c>
      <c r="G20508">
        <v>99156311</v>
      </c>
      <c r="H20508">
        <v>99156434</v>
      </c>
      <c r="I20508">
        <v>99156510</v>
      </c>
    </row>
    <row r="20509" spans="1:9" x14ac:dyDescent="0.2">
      <c r="A20509" s="1" t="str">
        <f>"ZNF658"</f>
        <v>ZNF658</v>
      </c>
      <c r="B20509" t="s">
        <v>1857</v>
      </c>
      <c r="C20509" t="s">
        <v>24</v>
      </c>
      <c r="D20509" t="s">
        <v>11</v>
      </c>
      <c r="E20509" t="s">
        <v>20</v>
      </c>
      <c r="F20509">
        <v>40792079</v>
      </c>
      <c r="G20509">
        <v>40792079</v>
      </c>
      <c r="H20509">
        <v>40792079</v>
      </c>
      <c r="I20509">
        <v>40792079</v>
      </c>
    </row>
    <row r="20510" spans="1:9" x14ac:dyDescent="0.2">
      <c r="A20510" s="1" t="str">
        <f>"ZNF660"</f>
        <v>ZNF660</v>
      </c>
      <c r="B20510" t="s">
        <v>14</v>
      </c>
      <c r="C20510" t="s">
        <v>22</v>
      </c>
      <c r="D20510" t="s">
        <v>17</v>
      </c>
      <c r="E20510" t="s">
        <v>12</v>
      </c>
      <c r="F20510">
        <v>44626446</v>
      </c>
      <c r="G20510">
        <v>44626477</v>
      </c>
      <c r="H20510">
        <v>44626433</v>
      </c>
      <c r="I20510">
        <v>44626440</v>
      </c>
    </row>
    <row r="20511" spans="1:9" x14ac:dyDescent="0.2">
      <c r="A20511" s="1" t="str">
        <f>"ZNF662"</f>
        <v>ZNF662</v>
      </c>
      <c r="B20511" t="s">
        <v>14</v>
      </c>
      <c r="C20511" t="s">
        <v>22</v>
      </c>
      <c r="D20511" t="s">
        <v>17</v>
      </c>
      <c r="E20511" t="s">
        <v>12</v>
      </c>
      <c r="F20511">
        <v>42947600</v>
      </c>
      <c r="G20511">
        <v>42947680</v>
      </c>
      <c r="H20511">
        <v>42947700</v>
      </c>
      <c r="I20511">
        <v>42947703</v>
      </c>
    </row>
    <row r="20512" spans="1:9" x14ac:dyDescent="0.2">
      <c r="A20512" s="1" t="str">
        <f>"ZNF664"</f>
        <v>ZNF664</v>
      </c>
      <c r="B20512" t="s">
        <v>14</v>
      </c>
      <c r="C20512" t="s">
        <v>16</v>
      </c>
      <c r="D20512" t="s">
        <v>17</v>
      </c>
      <c r="E20512" t="s">
        <v>12</v>
      </c>
      <c r="F20512">
        <v>124457746</v>
      </c>
      <c r="G20512">
        <v>124457828</v>
      </c>
      <c r="H20512">
        <v>124457725</v>
      </c>
      <c r="I20512">
        <v>124457736</v>
      </c>
    </row>
    <row r="20513" spans="1:9" x14ac:dyDescent="0.2">
      <c r="A20513" s="1" t="str">
        <f>"ZNF665"</f>
        <v>ZNF665</v>
      </c>
      <c r="B20513" t="s">
        <v>14</v>
      </c>
      <c r="C20513" t="s">
        <v>10</v>
      </c>
      <c r="D20513" t="s">
        <v>11</v>
      </c>
      <c r="E20513" t="s">
        <v>12</v>
      </c>
      <c r="F20513">
        <v>53696587</v>
      </c>
      <c r="G20513">
        <v>53696633</v>
      </c>
      <c r="H20513">
        <v>53696569</v>
      </c>
      <c r="I20513">
        <v>53696576</v>
      </c>
    </row>
    <row r="20514" spans="1:9" x14ac:dyDescent="0.2">
      <c r="A20514" s="1" t="str">
        <f>"ZNF667"</f>
        <v>ZNF667</v>
      </c>
      <c r="B20514" t="s">
        <v>14</v>
      </c>
      <c r="C20514" t="s">
        <v>10</v>
      </c>
      <c r="D20514" t="s">
        <v>11</v>
      </c>
      <c r="E20514" t="s">
        <v>12</v>
      </c>
      <c r="F20514">
        <v>56988677</v>
      </c>
      <c r="G20514">
        <v>56988729</v>
      </c>
      <c r="H20514">
        <v>56988864</v>
      </c>
      <c r="I20514">
        <v>56988924</v>
      </c>
    </row>
    <row r="20515" spans="1:9" x14ac:dyDescent="0.2">
      <c r="A20515" s="1" t="str">
        <f>"ZNF668"</f>
        <v>ZNF668</v>
      </c>
      <c r="B20515" t="s">
        <v>1858</v>
      </c>
      <c r="C20515" t="s">
        <v>31</v>
      </c>
      <c r="D20515" t="s">
        <v>17</v>
      </c>
      <c r="E20515" t="s">
        <v>20</v>
      </c>
      <c r="F20515">
        <v>31072812</v>
      </c>
      <c r="G20515">
        <v>31072812</v>
      </c>
      <c r="H20515">
        <v>31072812</v>
      </c>
      <c r="I20515">
        <v>31072812</v>
      </c>
    </row>
    <row r="20516" spans="1:9" x14ac:dyDescent="0.2">
      <c r="A20516" s="1" t="str">
        <f>"ZNF669"</f>
        <v>ZNF669</v>
      </c>
      <c r="B20516" t="s">
        <v>14</v>
      </c>
      <c r="C20516" t="s">
        <v>19</v>
      </c>
      <c r="D20516" t="s">
        <v>11</v>
      </c>
      <c r="E20516" t="s">
        <v>12</v>
      </c>
      <c r="F20516">
        <v>247267618</v>
      </c>
      <c r="G20516">
        <v>247267674</v>
      </c>
      <c r="H20516">
        <v>247267683</v>
      </c>
      <c r="I20516">
        <v>247267698</v>
      </c>
    </row>
    <row r="20517" spans="1:9" x14ac:dyDescent="0.2">
      <c r="A20517" s="1" t="str">
        <f>"ZNF670"</f>
        <v>ZNF670</v>
      </c>
      <c r="B20517" t="s">
        <v>14</v>
      </c>
      <c r="C20517" t="s">
        <v>19</v>
      </c>
      <c r="D20517" t="s">
        <v>11</v>
      </c>
      <c r="E20517" t="s">
        <v>12</v>
      </c>
      <c r="F20517">
        <v>247242048</v>
      </c>
      <c r="G20517">
        <v>247242098</v>
      </c>
      <c r="H20517">
        <v>247242107</v>
      </c>
      <c r="I20517">
        <v>247242120</v>
      </c>
    </row>
    <row r="20518" spans="1:9" x14ac:dyDescent="0.2">
      <c r="A20518" s="1" t="str">
        <f>"ZNF671"</f>
        <v>ZNF671</v>
      </c>
      <c r="B20518" t="s">
        <v>14</v>
      </c>
      <c r="C20518" t="s">
        <v>10</v>
      </c>
      <c r="D20518" t="s">
        <v>11</v>
      </c>
      <c r="E20518" t="s">
        <v>12</v>
      </c>
      <c r="F20518">
        <v>58238958</v>
      </c>
      <c r="G20518">
        <v>58239000</v>
      </c>
      <c r="H20518">
        <v>58239007</v>
      </c>
      <c r="I20518">
        <v>58239016</v>
      </c>
    </row>
    <row r="20519" spans="1:9" x14ac:dyDescent="0.2">
      <c r="A20519" s="1" t="str">
        <f>"ZNF672"</f>
        <v>ZNF672</v>
      </c>
      <c r="B20519" t="s">
        <v>14</v>
      </c>
      <c r="C20519" t="s">
        <v>19</v>
      </c>
      <c r="D20519" t="s">
        <v>17</v>
      </c>
      <c r="E20519" t="s">
        <v>12</v>
      </c>
      <c r="F20519">
        <v>249132410</v>
      </c>
      <c r="G20519">
        <v>249132456</v>
      </c>
      <c r="H20519">
        <v>249132512</v>
      </c>
      <c r="I20519">
        <v>249132547</v>
      </c>
    </row>
    <row r="20520" spans="1:9" x14ac:dyDescent="0.2">
      <c r="A20520" s="1" t="str">
        <f>"ZNF674"</f>
        <v>ZNF674</v>
      </c>
      <c r="B20520" t="s">
        <v>14</v>
      </c>
      <c r="C20520" t="s">
        <v>37</v>
      </c>
      <c r="D20520" t="s">
        <v>11</v>
      </c>
      <c r="E20520" t="s">
        <v>12</v>
      </c>
      <c r="F20520">
        <v>46404811</v>
      </c>
      <c r="G20520">
        <v>46404869</v>
      </c>
      <c r="H20520">
        <v>46404877</v>
      </c>
      <c r="I20520">
        <v>46404901</v>
      </c>
    </row>
    <row r="20521" spans="1:9" x14ac:dyDescent="0.2">
      <c r="A20521" s="1" t="str">
        <f>"ZNF675"</f>
        <v>ZNF675</v>
      </c>
      <c r="B20521" t="s">
        <v>14</v>
      </c>
      <c r="C20521" t="s">
        <v>10</v>
      </c>
      <c r="D20521" t="s">
        <v>11</v>
      </c>
      <c r="E20521" t="s">
        <v>12</v>
      </c>
      <c r="F20521">
        <v>23869970</v>
      </c>
      <c r="G20521">
        <v>23869991</v>
      </c>
      <c r="H20521">
        <v>23870007</v>
      </c>
      <c r="I20521">
        <v>23870022</v>
      </c>
    </row>
    <row r="20522" spans="1:9" x14ac:dyDescent="0.2">
      <c r="A20522" s="1" t="str">
        <f>"ZNF676"</f>
        <v>ZNF676</v>
      </c>
      <c r="B20522" t="s">
        <v>1859</v>
      </c>
      <c r="C20522" t="s">
        <v>10</v>
      </c>
      <c r="D20522" t="s">
        <v>11</v>
      </c>
      <c r="E20522" t="s">
        <v>20</v>
      </c>
      <c r="F20522">
        <v>22379752</v>
      </c>
      <c r="G20522">
        <v>22379752</v>
      </c>
      <c r="H20522">
        <v>22379752</v>
      </c>
      <c r="I20522">
        <v>22379752</v>
      </c>
    </row>
    <row r="20523" spans="1:9" x14ac:dyDescent="0.2">
      <c r="A20523" s="1" t="str">
        <f>"ZNF677"</f>
        <v>ZNF677</v>
      </c>
      <c r="B20523" t="s">
        <v>14</v>
      </c>
      <c r="C20523" t="s">
        <v>10</v>
      </c>
      <c r="D20523" t="s">
        <v>11</v>
      </c>
      <c r="E20523" t="s">
        <v>12</v>
      </c>
      <c r="F20523">
        <v>53758094</v>
      </c>
      <c r="G20523">
        <v>53758147</v>
      </c>
      <c r="H20523">
        <v>53758058</v>
      </c>
      <c r="I20523">
        <v>53758088</v>
      </c>
    </row>
    <row r="20524" spans="1:9" x14ac:dyDescent="0.2">
      <c r="A20524" s="1" t="str">
        <f>"ZNF678"</f>
        <v>ZNF678</v>
      </c>
      <c r="B20524" t="s">
        <v>14</v>
      </c>
      <c r="C20524" t="s">
        <v>19</v>
      </c>
      <c r="D20524" t="s">
        <v>17</v>
      </c>
      <c r="E20524" t="s">
        <v>12</v>
      </c>
      <c r="F20524">
        <v>227751231</v>
      </c>
      <c r="G20524">
        <v>227751273</v>
      </c>
      <c r="H20524">
        <v>227751287</v>
      </c>
      <c r="I20524">
        <v>227751298</v>
      </c>
    </row>
    <row r="20525" spans="1:9" x14ac:dyDescent="0.2">
      <c r="A20525" s="1" t="str">
        <f>"ZNF679"</f>
        <v>ZNF679</v>
      </c>
      <c r="B20525" t="s">
        <v>14</v>
      </c>
      <c r="C20525" t="s">
        <v>33</v>
      </c>
      <c r="D20525" t="s">
        <v>17</v>
      </c>
      <c r="E20525" t="s">
        <v>12</v>
      </c>
      <c r="F20525">
        <v>63709325</v>
      </c>
      <c r="G20525">
        <v>63709334</v>
      </c>
      <c r="H20525">
        <v>63709325</v>
      </c>
      <c r="I20525">
        <v>63709334</v>
      </c>
    </row>
    <row r="20526" spans="1:9" x14ac:dyDescent="0.2">
      <c r="A20526" s="1" t="str">
        <f>"ZNF680"</f>
        <v>ZNF680</v>
      </c>
      <c r="B20526" t="s">
        <v>14</v>
      </c>
      <c r="C20526" t="s">
        <v>33</v>
      </c>
      <c r="D20526" t="s">
        <v>11</v>
      </c>
      <c r="E20526" t="s">
        <v>12</v>
      </c>
      <c r="F20526">
        <v>64023441</v>
      </c>
      <c r="G20526">
        <v>64023462</v>
      </c>
      <c r="H20526">
        <v>64023410</v>
      </c>
      <c r="I20526">
        <v>64023428</v>
      </c>
    </row>
    <row r="20527" spans="1:9" x14ac:dyDescent="0.2">
      <c r="A20527" s="1" t="str">
        <f>"ZNF681"</f>
        <v>ZNF681</v>
      </c>
      <c r="B20527" t="s">
        <v>14</v>
      </c>
      <c r="C20527" t="s">
        <v>10</v>
      </c>
      <c r="D20527" t="s">
        <v>11</v>
      </c>
      <c r="E20527" t="s">
        <v>12</v>
      </c>
      <c r="F20527">
        <v>23941680</v>
      </c>
      <c r="G20527">
        <v>23941704</v>
      </c>
      <c r="H20527">
        <v>23941647</v>
      </c>
      <c r="I20527">
        <v>23941672</v>
      </c>
    </row>
    <row r="20528" spans="1:9" x14ac:dyDescent="0.2">
      <c r="A20528" s="1" t="str">
        <f>"ZNF682"</f>
        <v>ZNF682</v>
      </c>
      <c r="B20528" t="s">
        <v>14</v>
      </c>
      <c r="C20528" t="s">
        <v>10</v>
      </c>
      <c r="D20528" t="s">
        <v>11</v>
      </c>
      <c r="E20528" t="s">
        <v>12</v>
      </c>
      <c r="F20528">
        <v>20150301</v>
      </c>
      <c r="G20528">
        <v>20150321</v>
      </c>
      <c r="H20528">
        <v>20150268</v>
      </c>
      <c r="I20528">
        <v>20150298</v>
      </c>
    </row>
    <row r="20529" spans="1:9" x14ac:dyDescent="0.2">
      <c r="A20529" s="1" t="str">
        <f>"ZNF683"</f>
        <v>ZNF683</v>
      </c>
      <c r="B20529" t="s">
        <v>14</v>
      </c>
      <c r="C20529" t="s">
        <v>19</v>
      </c>
      <c r="D20529" t="s">
        <v>11</v>
      </c>
      <c r="E20529" t="s">
        <v>12</v>
      </c>
      <c r="F20529">
        <v>26697243</v>
      </c>
      <c r="G20529">
        <v>26697258</v>
      </c>
      <c r="H20529">
        <v>26697189</v>
      </c>
      <c r="I20529">
        <v>26697205</v>
      </c>
    </row>
    <row r="20530" spans="1:9" x14ac:dyDescent="0.2">
      <c r="A20530" s="1" t="str">
        <f>"ZNF684"</f>
        <v>ZNF684</v>
      </c>
      <c r="B20530" t="s">
        <v>14</v>
      </c>
      <c r="C20530" t="s">
        <v>19</v>
      </c>
      <c r="D20530" t="s">
        <v>17</v>
      </c>
      <c r="E20530" t="s">
        <v>12</v>
      </c>
      <c r="F20530">
        <v>40997285</v>
      </c>
      <c r="G20530">
        <v>40997352</v>
      </c>
      <c r="H20530">
        <v>40997363</v>
      </c>
      <c r="I20530">
        <v>40997392</v>
      </c>
    </row>
    <row r="20531" spans="1:9" x14ac:dyDescent="0.2">
      <c r="A20531" s="1" t="str">
        <f>"ZNF687"</f>
        <v>ZNF687</v>
      </c>
      <c r="B20531" t="s">
        <v>14</v>
      </c>
      <c r="C20531" t="s">
        <v>19</v>
      </c>
      <c r="D20531" t="s">
        <v>17</v>
      </c>
      <c r="E20531" t="s">
        <v>12</v>
      </c>
      <c r="F20531">
        <v>151254738</v>
      </c>
      <c r="G20531">
        <v>151254787</v>
      </c>
      <c r="H20531">
        <v>151253991</v>
      </c>
      <c r="I20531">
        <v>151254031</v>
      </c>
    </row>
    <row r="20532" spans="1:9" x14ac:dyDescent="0.2">
      <c r="A20532" s="1" t="str">
        <f>"ZNF688"</f>
        <v>ZNF688</v>
      </c>
      <c r="B20532" t="s">
        <v>14</v>
      </c>
      <c r="C20532" t="s">
        <v>31</v>
      </c>
      <c r="D20532" t="s">
        <v>11</v>
      </c>
      <c r="E20532" t="s">
        <v>12</v>
      </c>
      <c r="F20532">
        <v>30583017</v>
      </c>
      <c r="G20532">
        <v>30583064</v>
      </c>
      <c r="H20532">
        <v>30583017</v>
      </c>
      <c r="I20532">
        <v>30583064</v>
      </c>
    </row>
    <row r="20533" spans="1:9" x14ac:dyDescent="0.2">
      <c r="A20533" s="1" t="str">
        <f>"ZNF689"</f>
        <v>ZNF689</v>
      </c>
      <c r="B20533" t="s">
        <v>14</v>
      </c>
      <c r="C20533" t="s">
        <v>31</v>
      </c>
      <c r="D20533" t="s">
        <v>11</v>
      </c>
      <c r="E20533" t="s">
        <v>12</v>
      </c>
      <c r="F20533">
        <v>30621663</v>
      </c>
      <c r="G20533">
        <v>30621718</v>
      </c>
      <c r="H20533">
        <v>30621615</v>
      </c>
      <c r="I20533">
        <v>30621660</v>
      </c>
    </row>
    <row r="20534" spans="1:9" x14ac:dyDescent="0.2">
      <c r="A20534" s="1" t="str">
        <f>"ZNF69"</f>
        <v>ZNF69</v>
      </c>
      <c r="B20534" t="s">
        <v>14</v>
      </c>
      <c r="C20534" t="s">
        <v>10</v>
      </c>
      <c r="D20534" t="s">
        <v>17</v>
      </c>
      <c r="E20534" t="s">
        <v>12</v>
      </c>
      <c r="F20534">
        <v>11998584</v>
      </c>
      <c r="G20534">
        <v>11998649</v>
      </c>
      <c r="H20534">
        <v>11998664</v>
      </c>
      <c r="I20534">
        <v>11998676</v>
      </c>
    </row>
    <row r="20535" spans="1:9" x14ac:dyDescent="0.2">
      <c r="A20535" s="1" t="str">
        <f>"ZNF691"</f>
        <v>ZNF691</v>
      </c>
      <c r="B20535" t="s">
        <v>14</v>
      </c>
      <c r="C20535" t="s">
        <v>19</v>
      </c>
      <c r="D20535" t="s">
        <v>17</v>
      </c>
      <c r="E20535" t="s">
        <v>12</v>
      </c>
      <c r="F20535">
        <v>43312258</v>
      </c>
      <c r="G20535">
        <v>43312310</v>
      </c>
      <c r="H20535">
        <v>43312258</v>
      </c>
      <c r="I20535">
        <v>43312310</v>
      </c>
    </row>
    <row r="20536" spans="1:9" x14ac:dyDescent="0.2">
      <c r="A20536" s="1" t="str">
        <f>"ZNF692"</f>
        <v>ZNF692</v>
      </c>
      <c r="B20536" t="s">
        <v>14</v>
      </c>
      <c r="C20536" t="s">
        <v>19</v>
      </c>
      <c r="D20536" t="s">
        <v>11</v>
      </c>
      <c r="E20536" t="s">
        <v>12</v>
      </c>
      <c r="F20536">
        <v>249153268</v>
      </c>
      <c r="G20536">
        <v>249153298</v>
      </c>
      <c r="H20536">
        <v>249153232</v>
      </c>
      <c r="I20536">
        <v>249153251</v>
      </c>
    </row>
    <row r="20537" spans="1:9" x14ac:dyDescent="0.2">
      <c r="A20537" s="1" t="str">
        <f>"ZNF695"</f>
        <v>ZNF695</v>
      </c>
      <c r="B20537" t="s">
        <v>1860</v>
      </c>
      <c r="C20537" t="s">
        <v>19</v>
      </c>
      <c r="D20537" t="s">
        <v>11</v>
      </c>
      <c r="E20537" t="s">
        <v>35</v>
      </c>
      <c r="F20537">
        <v>247171347</v>
      </c>
      <c r="G20537">
        <v>247171366</v>
      </c>
      <c r="H20537">
        <v>247171316</v>
      </c>
      <c r="I20537">
        <v>247171336</v>
      </c>
    </row>
    <row r="20538" spans="1:9" x14ac:dyDescent="0.2">
      <c r="A20538" s="1" t="str">
        <f>"ZNF696"</f>
        <v>ZNF696</v>
      </c>
      <c r="B20538" t="s">
        <v>14</v>
      </c>
      <c r="C20538" t="s">
        <v>30</v>
      </c>
      <c r="D20538" t="s">
        <v>17</v>
      </c>
      <c r="E20538" t="s">
        <v>12</v>
      </c>
      <c r="F20538">
        <v>144373550</v>
      </c>
      <c r="G20538">
        <v>144373617</v>
      </c>
      <c r="H20538">
        <v>144373720</v>
      </c>
      <c r="I20538">
        <v>144373745</v>
      </c>
    </row>
    <row r="20539" spans="1:9" x14ac:dyDescent="0.2">
      <c r="A20539" s="1" t="str">
        <f>"ZNF697"</f>
        <v>ZNF697</v>
      </c>
      <c r="B20539" t="s">
        <v>14</v>
      </c>
      <c r="C20539" t="s">
        <v>19</v>
      </c>
      <c r="D20539" t="s">
        <v>11</v>
      </c>
      <c r="E20539" t="s">
        <v>12</v>
      </c>
      <c r="F20539">
        <v>120190786</v>
      </c>
      <c r="G20539">
        <v>120190915</v>
      </c>
      <c r="H20539">
        <v>120190761</v>
      </c>
      <c r="I20539">
        <v>120190782</v>
      </c>
    </row>
    <row r="20540" spans="1:9" x14ac:dyDescent="0.2">
      <c r="A20540" s="1" t="str">
        <f>"ZNF699"</f>
        <v>ZNF699</v>
      </c>
      <c r="B20540" t="s">
        <v>1861</v>
      </c>
      <c r="C20540" t="s">
        <v>10</v>
      </c>
      <c r="D20540" t="s">
        <v>11</v>
      </c>
      <c r="E20540" t="s">
        <v>20</v>
      </c>
      <c r="F20540">
        <v>9415794</v>
      </c>
      <c r="G20540">
        <v>9415794</v>
      </c>
      <c r="H20540">
        <v>9415794</v>
      </c>
      <c r="I20540">
        <v>9415794</v>
      </c>
    </row>
    <row r="20541" spans="1:9" x14ac:dyDescent="0.2">
      <c r="A20541" s="1" t="str">
        <f>"ZNF699"</f>
        <v>ZNF699</v>
      </c>
      <c r="B20541" t="s">
        <v>1862</v>
      </c>
      <c r="C20541" t="s">
        <v>10</v>
      </c>
      <c r="D20541" t="s">
        <v>11</v>
      </c>
      <c r="E20541" t="s">
        <v>75</v>
      </c>
      <c r="F20541">
        <v>9420394</v>
      </c>
      <c r="G20541">
        <v>9420443</v>
      </c>
      <c r="H20541">
        <v>9420326</v>
      </c>
      <c r="I20541">
        <v>9420349</v>
      </c>
    </row>
    <row r="20542" spans="1:9" x14ac:dyDescent="0.2">
      <c r="A20542" s="1" t="str">
        <f>"ZNF7"</f>
        <v>ZNF7</v>
      </c>
      <c r="B20542" t="s">
        <v>14</v>
      </c>
      <c r="C20542" t="s">
        <v>30</v>
      </c>
      <c r="D20542" t="s">
        <v>17</v>
      </c>
      <c r="E20542" t="s">
        <v>12</v>
      </c>
      <c r="F20542">
        <v>146052918</v>
      </c>
      <c r="G20542">
        <v>146052975</v>
      </c>
      <c r="H20542">
        <v>146052848</v>
      </c>
      <c r="I20542">
        <v>146052868</v>
      </c>
    </row>
    <row r="20543" spans="1:9" x14ac:dyDescent="0.2">
      <c r="A20543" s="1" t="str">
        <f>"ZNF70"</f>
        <v>ZNF70</v>
      </c>
      <c r="B20543" t="s">
        <v>14</v>
      </c>
      <c r="C20543" t="s">
        <v>21</v>
      </c>
      <c r="D20543" t="s">
        <v>11</v>
      </c>
      <c r="E20543" t="s">
        <v>12</v>
      </c>
      <c r="F20543">
        <v>24093267</v>
      </c>
      <c r="G20543">
        <v>24093327</v>
      </c>
      <c r="H20543">
        <v>24093154</v>
      </c>
      <c r="I20543">
        <v>24093183</v>
      </c>
    </row>
    <row r="20544" spans="1:9" x14ac:dyDescent="0.2">
      <c r="A20544" s="1" t="str">
        <f>"ZNF700"</f>
        <v>ZNF700</v>
      </c>
      <c r="B20544" t="s">
        <v>14</v>
      </c>
      <c r="C20544" t="s">
        <v>10</v>
      </c>
      <c r="D20544" t="s">
        <v>17</v>
      </c>
      <c r="E20544" t="s">
        <v>12</v>
      </c>
      <c r="F20544">
        <v>12035913</v>
      </c>
      <c r="G20544">
        <v>12035933</v>
      </c>
      <c r="H20544">
        <v>12035878</v>
      </c>
      <c r="I20544">
        <v>12035902</v>
      </c>
    </row>
    <row r="20545" spans="1:9" x14ac:dyDescent="0.2">
      <c r="A20545" s="1" t="str">
        <f>"ZNF701"</f>
        <v>ZNF701</v>
      </c>
      <c r="B20545" t="s">
        <v>14</v>
      </c>
      <c r="C20545" t="s">
        <v>10</v>
      </c>
      <c r="D20545" t="s">
        <v>17</v>
      </c>
      <c r="E20545" t="s">
        <v>12</v>
      </c>
      <c r="F20545">
        <v>53073532</v>
      </c>
      <c r="G20545">
        <v>53073551</v>
      </c>
      <c r="H20545">
        <v>53073525</v>
      </c>
      <c r="I20545">
        <v>53073526</v>
      </c>
    </row>
    <row r="20546" spans="1:9" x14ac:dyDescent="0.2">
      <c r="A20546" s="1" t="str">
        <f>"ZNF703"</f>
        <v>ZNF703</v>
      </c>
      <c r="B20546" t="s">
        <v>14</v>
      </c>
      <c r="C20546" t="s">
        <v>30</v>
      </c>
      <c r="D20546" t="s">
        <v>17</v>
      </c>
      <c r="E20546" t="s">
        <v>12</v>
      </c>
      <c r="F20546">
        <v>37553292</v>
      </c>
      <c r="G20546">
        <v>37553317</v>
      </c>
      <c r="H20546">
        <v>37553261</v>
      </c>
      <c r="I20546">
        <v>37553282</v>
      </c>
    </row>
    <row r="20547" spans="1:9" x14ac:dyDescent="0.2">
      <c r="A20547" s="1" t="str">
        <f>"ZNF704"</f>
        <v>ZNF704</v>
      </c>
      <c r="B20547" t="s">
        <v>14</v>
      </c>
      <c r="C20547" t="s">
        <v>30</v>
      </c>
      <c r="D20547" t="s">
        <v>11</v>
      </c>
      <c r="E20547" t="s">
        <v>12</v>
      </c>
      <c r="F20547">
        <v>81786067</v>
      </c>
      <c r="G20547">
        <v>81786154</v>
      </c>
      <c r="H20547">
        <v>81787006</v>
      </c>
      <c r="I20547">
        <v>81787031</v>
      </c>
    </row>
    <row r="20548" spans="1:9" x14ac:dyDescent="0.2">
      <c r="A20548" s="1" t="str">
        <f>"ZNF705A"</f>
        <v>ZNF705A</v>
      </c>
      <c r="B20548" t="s">
        <v>14</v>
      </c>
      <c r="C20548" t="s">
        <v>16</v>
      </c>
      <c r="D20548" t="s">
        <v>17</v>
      </c>
      <c r="E20548" t="s">
        <v>12</v>
      </c>
      <c r="F20548">
        <v>8309208</v>
      </c>
      <c r="G20548">
        <v>8309216</v>
      </c>
      <c r="H20548">
        <v>8309208</v>
      </c>
      <c r="I20548">
        <v>8309216</v>
      </c>
    </row>
    <row r="20549" spans="1:9" x14ac:dyDescent="0.2">
      <c r="A20549" s="1" t="str">
        <f>"ZNF705B"</f>
        <v>ZNF705B</v>
      </c>
      <c r="B20549" t="s">
        <v>1863</v>
      </c>
      <c r="C20549" t="s">
        <v>30</v>
      </c>
      <c r="D20549" t="s">
        <v>17</v>
      </c>
      <c r="E20549" t="s">
        <v>20</v>
      </c>
      <c r="F20549">
        <v>7783858</v>
      </c>
      <c r="G20549">
        <v>7783858</v>
      </c>
      <c r="H20549">
        <v>7783858</v>
      </c>
      <c r="I20549">
        <v>7783858</v>
      </c>
    </row>
    <row r="20550" spans="1:9" x14ac:dyDescent="0.2">
      <c r="A20550" s="1" t="str">
        <f>"ZNF705B"</f>
        <v>ZNF705B</v>
      </c>
      <c r="B20550" t="s">
        <v>1864</v>
      </c>
      <c r="C20550" t="s">
        <v>30</v>
      </c>
      <c r="D20550" t="s">
        <v>17</v>
      </c>
      <c r="E20550" t="s">
        <v>20</v>
      </c>
      <c r="F20550">
        <v>7801143</v>
      </c>
      <c r="G20550">
        <v>7801143</v>
      </c>
      <c r="H20550">
        <v>7801143</v>
      </c>
      <c r="I20550">
        <v>7801143</v>
      </c>
    </row>
    <row r="20551" spans="1:9" x14ac:dyDescent="0.2">
      <c r="A20551" s="1" t="str">
        <f>"ZNF705D"</f>
        <v>ZNF705D</v>
      </c>
      <c r="B20551" t="s">
        <v>1865</v>
      </c>
      <c r="C20551" t="s">
        <v>30</v>
      </c>
      <c r="D20551" t="s">
        <v>17</v>
      </c>
      <c r="E20551" t="s">
        <v>20</v>
      </c>
      <c r="F20551">
        <v>11961897</v>
      </c>
      <c r="G20551">
        <v>11961897</v>
      </c>
      <c r="H20551">
        <v>11961897</v>
      </c>
      <c r="I20551">
        <v>11961897</v>
      </c>
    </row>
    <row r="20552" spans="1:9" x14ac:dyDescent="0.2">
      <c r="A20552" s="1" t="str">
        <f>"ZNF705G"</f>
        <v>ZNF705G</v>
      </c>
      <c r="B20552" t="s">
        <v>1866</v>
      </c>
      <c r="C20552" t="s">
        <v>30</v>
      </c>
      <c r="D20552" t="s">
        <v>11</v>
      </c>
      <c r="E20552" t="s">
        <v>20</v>
      </c>
      <c r="F20552">
        <v>7220489</v>
      </c>
      <c r="G20552">
        <v>7220489</v>
      </c>
      <c r="H20552">
        <v>7220489</v>
      </c>
      <c r="I20552">
        <v>7220489</v>
      </c>
    </row>
    <row r="20553" spans="1:9" x14ac:dyDescent="0.2">
      <c r="A20553" s="1" t="str">
        <f>"ZNF705G"</f>
        <v>ZNF705G</v>
      </c>
      <c r="B20553" t="s">
        <v>1867</v>
      </c>
      <c r="C20553" t="s">
        <v>30</v>
      </c>
      <c r="D20553" t="s">
        <v>11</v>
      </c>
      <c r="E20553" t="s">
        <v>20</v>
      </c>
      <c r="F20553">
        <v>7243079</v>
      </c>
      <c r="G20553">
        <v>7243079</v>
      </c>
      <c r="H20553">
        <v>7243079</v>
      </c>
      <c r="I20553">
        <v>7243079</v>
      </c>
    </row>
    <row r="20554" spans="1:9" x14ac:dyDescent="0.2">
      <c r="A20554" s="1" t="str">
        <f>"ZNF706"</f>
        <v>ZNF706</v>
      </c>
      <c r="B20554" t="s">
        <v>14</v>
      </c>
      <c r="C20554" t="s">
        <v>30</v>
      </c>
      <c r="D20554" t="s">
        <v>11</v>
      </c>
      <c r="E20554" t="s">
        <v>12</v>
      </c>
      <c r="F20554">
        <v>102217817</v>
      </c>
      <c r="G20554">
        <v>102217936</v>
      </c>
      <c r="H20554">
        <v>102217679</v>
      </c>
      <c r="I20554">
        <v>102217719</v>
      </c>
    </row>
    <row r="20555" spans="1:9" x14ac:dyDescent="0.2">
      <c r="A20555" s="1" t="str">
        <f>"ZNF707"</f>
        <v>ZNF707</v>
      </c>
      <c r="B20555" t="s">
        <v>14</v>
      </c>
      <c r="C20555" t="s">
        <v>30</v>
      </c>
      <c r="D20555" t="s">
        <v>17</v>
      </c>
      <c r="E20555" t="s">
        <v>12</v>
      </c>
      <c r="F20555">
        <v>144766617</v>
      </c>
      <c r="G20555">
        <v>144766664</v>
      </c>
      <c r="H20555">
        <v>144766669</v>
      </c>
      <c r="I20555">
        <v>144766683</v>
      </c>
    </row>
    <row r="20556" spans="1:9" x14ac:dyDescent="0.2">
      <c r="A20556" s="1" t="str">
        <f>"ZNF708"</f>
        <v>ZNF708</v>
      </c>
      <c r="B20556" t="s">
        <v>14</v>
      </c>
      <c r="C20556" t="s">
        <v>10</v>
      </c>
      <c r="D20556" t="s">
        <v>11</v>
      </c>
      <c r="E20556" t="s">
        <v>12</v>
      </c>
      <c r="F20556">
        <v>21512202</v>
      </c>
      <c r="G20556">
        <v>21512225</v>
      </c>
      <c r="H20556">
        <v>21512144</v>
      </c>
      <c r="I20556">
        <v>21512191</v>
      </c>
    </row>
    <row r="20557" spans="1:9" x14ac:dyDescent="0.2">
      <c r="A20557" s="1" t="str">
        <f>"ZNF709"</f>
        <v>ZNF709</v>
      </c>
      <c r="B20557" t="s">
        <v>14</v>
      </c>
      <c r="C20557" t="s">
        <v>10</v>
      </c>
      <c r="D20557" t="s">
        <v>11</v>
      </c>
      <c r="E20557" t="s">
        <v>12</v>
      </c>
      <c r="F20557">
        <v>12662240</v>
      </c>
      <c r="G20557">
        <v>12662310</v>
      </c>
      <c r="H20557">
        <v>12662240</v>
      </c>
      <c r="I20557">
        <v>12662310</v>
      </c>
    </row>
    <row r="20558" spans="1:9" x14ac:dyDescent="0.2">
      <c r="A20558" s="1" t="str">
        <f>"ZNF71"</f>
        <v>ZNF71</v>
      </c>
      <c r="B20558" t="s">
        <v>14</v>
      </c>
      <c r="C20558" t="s">
        <v>10</v>
      </c>
      <c r="D20558" t="s">
        <v>17</v>
      </c>
      <c r="E20558" t="s">
        <v>12</v>
      </c>
      <c r="F20558">
        <v>57106647</v>
      </c>
      <c r="G20558">
        <v>57106686</v>
      </c>
      <c r="H20558">
        <v>57106624</v>
      </c>
      <c r="I20558">
        <v>57106644</v>
      </c>
    </row>
    <row r="20559" spans="1:9" x14ac:dyDescent="0.2">
      <c r="A20559" s="1" t="str">
        <f>"ZNF710"</f>
        <v>ZNF710</v>
      </c>
      <c r="B20559" t="s">
        <v>14</v>
      </c>
      <c r="C20559" t="s">
        <v>25</v>
      </c>
      <c r="D20559" t="s">
        <v>17</v>
      </c>
      <c r="E20559" t="s">
        <v>12</v>
      </c>
      <c r="F20559">
        <v>90544532</v>
      </c>
      <c r="G20559">
        <v>90544563</v>
      </c>
      <c r="H20559">
        <v>90544688</v>
      </c>
      <c r="I20559">
        <v>90544728</v>
      </c>
    </row>
    <row r="20560" spans="1:9" x14ac:dyDescent="0.2">
      <c r="A20560" s="1" t="str">
        <f>"ZNF711"</f>
        <v>ZNF711</v>
      </c>
      <c r="B20560" t="s">
        <v>14</v>
      </c>
      <c r="C20560" t="s">
        <v>37</v>
      </c>
      <c r="D20560" t="s">
        <v>17</v>
      </c>
      <c r="E20560" t="s">
        <v>12</v>
      </c>
      <c r="F20560">
        <v>84498989</v>
      </c>
      <c r="G20560">
        <v>84499003</v>
      </c>
      <c r="H20560">
        <v>84499081</v>
      </c>
      <c r="I20560">
        <v>84499115</v>
      </c>
    </row>
    <row r="20561" spans="1:9" x14ac:dyDescent="0.2">
      <c r="A20561" s="1" t="str">
        <f>"ZNF713"</f>
        <v>ZNF713</v>
      </c>
      <c r="B20561" t="s">
        <v>14</v>
      </c>
      <c r="C20561" t="s">
        <v>33</v>
      </c>
      <c r="D20561" t="s">
        <v>17</v>
      </c>
      <c r="E20561" t="s">
        <v>12</v>
      </c>
      <c r="F20561">
        <v>55955139</v>
      </c>
      <c r="G20561">
        <v>55955190</v>
      </c>
      <c r="H20561">
        <v>55955331</v>
      </c>
      <c r="I20561">
        <v>55955364</v>
      </c>
    </row>
    <row r="20562" spans="1:9" x14ac:dyDescent="0.2">
      <c r="A20562" s="1" t="str">
        <f>"ZNF714"</f>
        <v>ZNF714</v>
      </c>
      <c r="B20562" t="s">
        <v>14</v>
      </c>
      <c r="C20562" t="s">
        <v>10</v>
      </c>
      <c r="D20562" t="s">
        <v>17</v>
      </c>
      <c r="E20562" t="s">
        <v>12</v>
      </c>
      <c r="F20562">
        <v>21264991</v>
      </c>
      <c r="G20562">
        <v>21265026</v>
      </c>
      <c r="H20562">
        <v>21265028</v>
      </c>
      <c r="I20562">
        <v>21265052</v>
      </c>
    </row>
    <row r="20563" spans="1:9" x14ac:dyDescent="0.2">
      <c r="A20563" s="1" t="str">
        <f>"ZNF716"</f>
        <v>ZNF716</v>
      </c>
      <c r="B20563" t="s">
        <v>14</v>
      </c>
      <c r="C20563" t="s">
        <v>33</v>
      </c>
      <c r="D20563" t="s">
        <v>17</v>
      </c>
      <c r="E20563" t="s">
        <v>12</v>
      </c>
      <c r="F20563">
        <v>57509877</v>
      </c>
      <c r="G20563">
        <v>57509895</v>
      </c>
      <c r="H20563">
        <v>57509910</v>
      </c>
      <c r="I20563">
        <v>57509917</v>
      </c>
    </row>
    <row r="20564" spans="1:9" x14ac:dyDescent="0.2">
      <c r="A20564" s="1" t="str">
        <f>"ZNF717"</f>
        <v>ZNF717</v>
      </c>
      <c r="B20564" t="s">
        <v>14</v>
      </c>
      <c r="C20564" t="s">
        <v>22</v>
      </c>
      <c r="D20564" t="s">
        <v>11</v>
      </c>
      <c r="E20564" t="s">
        <v>12</v>
      </c>
      <c r="F20564">
        <v>75834687</v>
      </c>
      <c r="G20564">
        <v>75834720</v>
      </c>
      <c r="H20564">
        <v>75834722</v>
      </c>
      <c r="I20564">
        <v>75834733</v>
      </c>
    </row>
    <row r="20565" spans="1:9" x14ac:dyDescent="0.2">
      <c r="A20565" s="1" t="str">
        <f>"ZNF718"</f>
        <v>ZNF718</v>
      </c>
      <c r="B20565" t="s">
        <v>1868</v>
      </c>
      <c r="C20565" t="s">
        <v>23</v>
      </c>
      <c r="D20565" t="s">
        <v>17</v>
      </c>
      <c r="E20565" t="s">
        <v>20</v>
      </c>
      <c r="F20565">
        <v>154871</v>
      </c>
      <c r="G20565">
        <v>154871</v>
      </c>
      <c r="H20565">
        <v>154871</v>
      </c>
      <c r="I20565">
        <v>154871</v>
      </c>
    </row>
    <row r="20566" spans="1:9" x14ac:dyDescent="0.2">
      <c r="A20566" s="1" t="str">
        <f>"ZNF718"</f>
        <v>ZNF718</v>
      </c>
      <c r="B20566" t="s">
        <v>1869</v>
      </c>
      <c r="C20566" t="s">
        <v>23</v>
      </c>
      <c r="D20566" t="s">
        <v>17</v>
      </c>
      <c r="E20566" t="s">
        <v>20</v>
      </c>
      <c r="F20566">
        <v>154701</v>
      </c>
      <c r="G20566">
        <v>154701</v>
      </c>
      <c r="H20566">
        <v>154701</v>
      </c>
      <c r="I20566">
        <v>154701</v>
      </c>
    </row>
    <row r="20567" spans="1:9" x14ac:dyDescent="0.2">
      <c r="A20567" s="1" t="str">
        <f>"ZNF718"</f>
        <v>ZNF718</v>
      </c>
      <c r="B20567" t="s">
        <v>1870</v>
      </c>
      <c r="C20567" t="s">
        <v>23</v>
      </c>
      <c r="D20567" t="s">
        <v>17</v>
      </c>
      <c r="E20567" t="s">
        <v>35</v>
      </c>
      <c r="F20567">
        <v>124361</v>
      </c>
      <c r="G20567">
        <v>124372</v>
      </c>
      <c r="H20567">
        <v>124374</v>
      </c>
      <c r="I20567">
        <v>124410</v>
      </c>
    </row>
    <row r="20568" spans="1:9" x14ac:dyDescent="0.2">
      <c r="A20568" s="1" t="str">
        <f>"ZNF720"</f>
        <v>ZNF720</v>
      </c>
      <c r="B20568" t="s">
        <v>14</v>
      </c>
      <c r="C20568" t="s">
        <v>31</v>
      </c>
      <c r="D20568" t="s">
        <v>17</v>
      </c>
      <c r="E20568" t="s">
        <v>12</v>
      </c>
      <c r="F20568">
        <v>31724552</v>
      </c>
      <c r="G20568">
        <v>31724617</v>
      </c>
      <c r="H20568">
        <v>31724618</v>
      </c>
      <c r="I20568">
        <v>31724630</v>
      </c>
    </row>
    <row r="20569" spans="1:9" x14ac:dyDescent="0.2">
      <c r="A20569" s="1" t="str">
        <f>"ZNF721"</f>
        <v>ZNF721</v>
      </c>
      <c r="B20569" t="s">
        <v>9</v>
      </c>
      <c r="C20569" t="s">
        <v>23</v>
      </c>
      <c r="D20569" t="s">
        <v>11</v>
      </c>
      <c r="E20569" t="s">
        <v>12</v>
      </c>
      <c r="F20569">
        <v>467892</v>
      </c>
      <c r="G20569">
        <v>467963</v>
      </c>
      <c r="H20569">
        <v>467892</v>
      </c>
      <c r="I20569">
        <v>467963</v>
      </c>
    </row>
    <row r="20570" spans="1:9" x14ac:dyDescent="0.2">
      <c r="A20570" s="1" t="str">
        <f>"ZNF721"</f>
        <v>ZNF721</v>
      </c>
      <c r="B20570" t="s">
        <v>13</v>
      </c>
      <c r="C20570" t="s">
        <v>23</v>
      </c>
      <c r="D20570" t="s">
        <v>11</v>
      </c>
      <c r="E20570" t="s">
        <v>12</v>
      </c>
      <c r="F20570">
        <v>492909</v>
      </c>
      <c r="G20570">
        <v>492968</v>
      </c>
      <c r="H20570">
        <v>492909</v>
      </c>
      <c r="I20570">
        <v>492968</v>
      </c>
    </row>
    <row r="20571" spans="1:9" x14ac:dyDescent="0.2">
      <c r="A20571" s="1" t="str">
        <f>"ZNF726"</f>
        <v>ZNF726</v>
      </c>
      <c r="B20571" t="s">
        <v>14</v>
      </c>
      <c r="C20571" t="s">
        <v>10</v>
      </c>
      <c r="D20571" t="s">
        <v>17</v>
      </c>
      <c r="E20571" t="s">
        <v>12</v>
      </c>
      <c r="F20571">
        <v>24097675</v>
      </c>
      <c r="G20571">
        <v>24097699</v>
      </c>
      <c r="H20571">
        <v>24097706</v>
      </c>
      <c r="I20571">
        <v>24097731</v>
      </c>
    </row>
    <row r="20572" spans="1:9" x14ac:dyDescent="0.2">
      <c r="A20572" s="1" t="str">
        <f>"ZNF727"</f>
        <v>ZNF727</v>
      </c>
      <c r="B20572" t="s">
        <v>14</v>
      </c>
      <c r="C20572" t="s">
        <v>33</v>
      </c>
      <c r="D20572" t="s">
        <v>17</v>
      </c>
      <c r="E20572" t="s">
        <v>12</v>
      </c>
      <c r="F20572">
        <v>63505799</v>
      </c>
      <c r="G20572">
        <v>63505904</v>
      </c>
      <c r="H20572">
        <v>63505960</v>
      </c>
      <c r="I20572">
        <v>63505965</v>
      </c>
    </row>
    <row r="20573" spans="1:9" x14ac:dyDescent="0.2">
      <c r="A20573" s="1" t="str">
        <f>"ZNF728"</f>
        <v>ZNF728</v>
      </c>
      <c r="B20573" t="s">
        <v>1871</v>
      </c>
      <c r="C20573" t="s">
        <v>10</v>
      </c>
      <c r="D20573" t="s">
        <v>11</v>
      </c>
      <c r="E20573" t="s">
        <v>75</v>
      </c>
      <c r="F20573">
        <v>23185947</v>
      </c>
      <c r="G20573">
        <v>23185992</v>
      </c>
      <c r="H20573">
        <v>23185934</v>
      </c>
      <c r="I20573">
        <v>23185946</v>
      </c>
    </row>
    <row r="20574" spans="1:9" x14ac:dyDescent="0.2">
      <c r="A20574" s="1" t="str">
        <f>"ZNF729"</f>
        <v>ZNF729</v>
      </c>
      <c r="B20574" t="s">
        <v>14</v>
      </c>
      <c r="C20574" t="s">
        <v>10</v>
      </c>
      <c r="D20574" t="s">
        <v>17</v>
      </c>
      <c r="E20574" t="s">
        <v>12</v>
      </c>
      <c r="F20574">
        <v>22469236</v>
      </c>
      <c r="G20574">
        <v>22469266</v>
      </c>
      <c r="H20574">
        <v>22469215</v>
      </c>
      <c r="I20574">
        <v>22469229</v>
      </c>
    </row>
    <row r="20575" spans="1:9" x14ac:dyDescent="0.2">
      <c r="A20575" s="1" t="str">
        <f>"ZNF730"</f>
        <v>ZNF730</v>
      </c>
      <c r="B20575" t="s">
        <v>14</v>
      </c>
      <c r="C20575" t="s">
        <v>10</v>
      </c>
      <c r="D20575" t="s">
        <v>17</v>
      </c>
      <c r="E20575" t="s">
        <v>12</v>
      </c>
      <c r="F20575">
        <v>23299814</v>
      </c>
      <c r="G20575">
        <v>23299844</v>
      </c>
      <c r="H20575">
        <v>23299851</v>
      </c>
      <c r="I20575">
        <v>23299880</v>
      </c>
    </row>
    <row r="20576" spans="1:9" x14ac:dyDescent="0.2">
      <c r="A20576" s="1" t="str">
        <f>"ZNF732"</f>
        <v>ZNF732</v>
      </c>
      <c r="B20576" t="s">
        <v>14</v>
      </c>
      <c r="C20576" t="s">
        <v>23</v>
      </c>
      <c r="D20576" t="s">
        <v>11</v>
      </c>
      <c r="E20576" t="s">
        <v>12</v>
      </c>
      <c r="F20576">
        <v>299227</v>
      </c>
      <c r="G20576">
        <v>299272</v>
      </c>
      <c r="H20576">
        <v>299227</v>
      </c>
      <c r="I20576">
        <v>299272</v>
      </c>
    </row>
    <row r="20577" spans="1:9" x14ac:dyDescent="0.2">
      <c r="A20577" s="1" t="str">
        <f>"ZNF735"</f>
        <v>ZNF735</v>
      </c>
      <c r="B20577" t="s">
        <v>1872</v>
      </c>
      <c r="C20577" t="s">
        <v>33</v>
      </c>
      <c r="D20577" t="s">
        <v>17</v>
      </c>
      <c r="E20577" t="s">
        <v>20</v>
      </c>
      <c r="F20577">
        <v>63667580</v>
      </c>
      <c r="G20577">
        <v>63667580</v>
      </c>
      <c r="H20577">
        <v>63667580</v>
      </c>
      <c r="I20577">
        <v>63667580</v>
      </c>
    </row>
    <row r="20578" spans="1:9" x14ac:dyDescent="0.2">
      <c r="A20578" s="1" t="str">
        <f>"ZNF736"</f>
        <v>ZNF736</v>
      </c>
      <c r="B20578" t="s">
        <v>9</v>
      </c>
      <c r="C20578" t="s">
        <v>33</v>
      </c>
      <c r="D20578" t="s">
        <v>17</v>
      </c>
      <c r="E20578" t="s">
        <v>12</v>
      </c>
      <c r="F20578">
        <v>63774321</v>
      </c>
      <c r="G20578">
        <v>63774408</v>
      </c>
      <c r="H20578">
        <v>63774321</v>
      </c>
      <c r="I20578">
        <v>63774408</v>
      </c>
    </row>
    <row r="20579" spans="1:9" x14ac:dyDescent="0.2">
      <c r="A20579" s="1" t="str">
        <f>"ZNF736"</f>
        <v>ZNF736</v>
      </c>
      <c r="B20579" t="s">
        <v>13</v>
      </c>
      <c r="C20579" t="s">
        <v>33</v>
      </c>
      <c r="D20579" t="s">
        <v>17</v>
      </c>
      <c r="E20579" t="s">
        <v>12</v>
      </c>
      <c r="F20579">
        <v>63767783</v>
      </c>
      <c r="G20579">
        <v>63767861</v>
      </c>
      <c r="H20579">
        <v>63767783</v>
      </c>
      <c r="I20579">
        <v>63767861</v>
      </c>
    </row>
    <row r="20580" spans="1:9" x14ac:dyDescent="0.2">
      <c r="A20580" s="1" t="str">
        <f>"ZNF737"</f>
        <v>ZNF737</v>
      </c>
      <c r="B20580" t="s">
        <v>14</v>
      </c>
      <c r="C20580" t="s">
        <v>10</v>
      </c>
      <c r="D20580" t="s">
        <v>11</v>
      </c>
      <c r="E20580" t="s">
        <v>12</v>
      </c>
      <c r="F20580">
        <v>20748574</v>
      </c>
      <c r="G20580">
        <v>20748599</v>
      </c>
      <c r="H20580">
        <v>20748557</v>
      </c>
      <c r="I20580">
        <v>20748568</v>
      </c>
    </row>
    <row r="20581" spans="1:9" x14ac:dyDescent="0.2">
      <c r="A20581" s="1" t="str">
        <f>"ZNF74"</f>
        <v>ZNF74</v>
      </c>
      <c r="B20581" t="s">
        <v>14</v>
      </c>
      <c r="C20581" t="s">
        <v>21</v>
      </c>
      <c r="D20581" t="s">
        <v>17</v>
      </c>
      <c r="E20581" t="s">
        <v>12</v>
      </c>
      <c r="F20581">
        <v>20748434</v>
      </c>
      <c r="G20581">
        <v>20748455</v>
      </c>
      <c r="H20581">
        <v>20748456</v>
      </c>
      <c r="I20581">
        <v>20748488</v>
      </c>
    </row>
    <row r="20582" spans="1:9" x14ac:dyDescent="0.2">
      <c r="A20582" s="1" t="str">
        <f>"ZNF740"</f>
        <v>ZNF740</v>
      </c>
      <c r="B20582" t="s">
        <v>14</v>
      </c>
      <c r="C20582" t="s">
        <v>16</v>
      </c>
      <c r="D20582" t="s">
        <v>17</v>
      </c>
      <c r="E20582" t="s">
        <v>12</v>
      </c>
      <c r="F20582">
        <v>53574464</v>
      </c>
      <c r="G20582">
        <v>53574539</v>
      </c>
      <c r="H20582">
        <v>53574338</v>
      </c>
      <c r="I20582">
        <v>53574358</v>
      </c>
    </row>
    <row r="20583" spans="1:9" x14ac:dyDescent="0.2">
      <c r="A20583" s="1" t="str">
        <f>"ZNF746"</f>
        <v>ZNF746</v>
      </c>
      <c r="B20583" t="s">
        <v>14</v>
      </c>
      <c r="C20583" t="s">
        <v>33</v>
      </c>
      <c r="D20583" t="s">
        <v>11</v>
      </c>
      <c r="E20583" t="s">
        <v>12</v>
      </c>
      <c r="F20583">
        <v>149194756</v>
      </c>
      <c r="G20583">
        <v>149194839</v>
      </c>
      <c r="H20583">
        <v>149194843</v>
      </c>
      <c r="I20583">
        <v>149194922</v>
      </c>
    </row>
    <row r="20584" spans="1:9" x14ac:dyDescent="0.2">
      <c r="A20584" s="1" t="str">
        <f>"ZNF747"</f>
        <v>ZNF747</v>
      </c>
      <c r="B20584" t="s">
        <v>14</v>
      </c>
      <c r="C20584" t="s">
        <v>31</v>
      </c>
      <c r="D20584" t="s">
        <v>11</v>
      </c>
      <c r="E20584" t="s">
        <v>12</v>
      </c>
      <c r="F20584">
        <v>30546141</v>
      </c>
      <c r="G20584">
        <v>30546240</v>
      </c>
      <c r="H20584">
        <v>30546275</v>
      </c>
      <c r="I20584">
        <v>30546297</v>
      </c>
    </row>
    <row r="20585" spans="1:9" x14ac:dyDescent="0.2">
      <c r="A20585" s="1" t="str">
        <f>"ZNF749"</f>
        <v>ZNF749</v>
      </c>
      <c r="B20585" t="s">
        <v>14</v>
      </c>
      <c r="C20585" t="s">
        <v>10</v>
      </c>
      <c r="D20585" t="s">
        <v>17</v>
      </c>
      <c r="E20585" t="s">
        <v>12</v>
      </c>
      <c r="F20585">
        <v>57946684</v>
      </c>
      <c r="G20585">
        <v>57946723</v>
      </c>
      <c r="H20585">
        <v>57946675</v>
      </c>
      <c r="I20585">
        <v>57946680</v>
      </c>
    </row>
    <row r="20586" spans="1:9" x14ac:dyDescent="0.2">
      <c r="A20586" s="1" t="str">
        <f>"ZNF750"</f>
        <v>ZNF750</v>
      </c>
      <c r="B20586" t="s">
        <v>14</v>
      </c>
      <c r="C20586" t="s">
        <v>28</v>
      </c>
      <c r="D20586" t="s">
        <v>11</v>
      </c>
      <c r="E20586" t="s">
        <v>12</v>
      </c>
      <c r="F20586">
        <v>80797886</v>
      </c>
      <c r="G20586">
        <v>80797906</v>
      </c>
      <c r="H20586">
        <v>80797863</v>
      </c>
      <c r="I20586">
        <v>80797874</v>
      </c>
    </row>
    <row r="20587" spans="1:9" x14ac:dyDescent="0.2">
      <c r="A20587" s="1" t="str">
        <f>"ZNF75A"</f>
        <v>ZNF75A</v>
      </c>
      <c r="B20587" t="s">
        <v>14</v>
      </c>
      <c r="C20587" t="s">
        <v>31</v>
      </c>
      <c r="D20587" t="s">
        <v>17</v>
      </c>
      <c r="E20587" t="s">
        <v>12</v>
      </c>
      <c r="F20587">
        <v>3355472</v>
      </c>
      <c r="G20587">
        <v>3355514</v>
      </c>
      <c r="H20587">
        <v>3355230</v>
      </c>
      <c r="I20587">
        <v>3355232</v>
      </c>
    </row>
    <row r="20588" spans="1:9" x14ac:dyDescent="0.2">
      <c r="A20588" s="1" t="str">
        <f>"ZNF75D"</f>
        <v>ZNF75D</v>
      </c>
      <c r="B20588" t="s">
        <v>14</v>
      </c>
      <c r="C20588" t="s">
        <v>37</v>
      </c>
      <c r="D20588" t="s">
        <v>11</v>
      </c>
      <c r="E20588" t="s">
        <v>12</v>
      </c>
      <c r="F20588">
        <v>134477924</v>
      </c>
      <c r="G20588">
        <v>134477988</v>
      </c>
      <c r="H20588">
        <v>134478026</v>
      </c>
      <c r="I20588">
        <v>134478052</v>
      </c>
    </row>
    <row r="20589" spans="1:9" x14ac:dyDescent="0.2">
      <c r="A20589" s="1" t="str">
        <f>"ZNF76"</f>
        <v>ZNF76</v>
      </c>
      <c r="B20589" t="s">
        <v>14</v>
      </c>
      <c r="C20589" t="s">
        <v>32</v>
      </c>
      <c r="D20589" t="s">
        <v>17</v>
      </c>
      <c r="E20589" t="s">
        <v>12</v>
      </c>
      <c r="F20589">
        <v>35227480</v>
      </c>
      <c r="G20589">
        <v>35227546</v>
      </c>
      <c r="H20589">
        <v>35227282</v>
      </c>
      <c r="I20589">
        <v>35227330</v>
      </c>
    </row>
    <row r="20590" spans="1:9" x14ac:dyDescent="0.2">
      <c r="A20590" s="1" t="str">
        <f>"ZNF761"</f>
        <v>ZNF761</v>
      </c>
      <c r="B20590" t="s">
        <v>14</v>
      </c>
      <c r="C20590" t="s">
        <v>10</v>
      </c>
      <c r="D20590" t="s">
        <v>17</v>
      </c>
      <c r="E20590" t="s">
        <v>12</v>
      </c>
      <c r="F20590">
        <v>53935221</v>
      </c>
      <c r="G20590">
        <v>53935258</v>
      </c>
      <c r="H20590">
        <v>53935221</v>
      </c>
      <c r="I20590">
        <v>53935258</v>
      </c>
    </row>
    <row r="20591" spans="1:9" x14ac:dyDescent="0.2">
      <c r="A20591" s="1" t="str">
        <f>"ZNF763"</f>
        <v>ZNF763</v>
      </c>
      <c r="B20591" t="s">
        <v>14</v>
      </c>
      <c r="C20591" t="s">
        <v>10</v>
      </c>
      <c r="D20591" t="s">
        <v>17</v>
      </c>
      <c r="E20591" t="s">
        <v>12</v>
      </c>
      <c r="F20591">
        <v>12035913</v>
      </c>
      <c r="G20591">
        <v>12035933</v>
      </c>
      <c r="H20591">
        <v>12035878</v>
      </c>
      <c r="I20591">
        <v>12035902</v>
      </c>
    </row>
    <row r="20592" spans="1:9" x14ac:dyDescent="0.2">
      <c r="A20592" s="1" t="str">
        <f>"ZNF764"</f>
        <v>ZNF764</v>
      </c>
      <c r="B20592" t="s">
        <v>14</v>
      </c>
      <c r="C20592" t="s">
        <v>31</v>
      </c>
      <c r="D20592" t="s">
        <v>11</v>
      </c>
      <c r="E20592" t="s">
        <v>12</v>
      </c>
      <c r="F20592">
        <v>30569678</v>
      </c>
      <c r="G20592">
        <v>30569720</v>
      </c>
      <c r="H20592">
        <v>30569652</v>
      </c>
      <c r="I20592">
        <v>30569668</v>
      </c>
    </row>
    <row r="20593" spans="1:9" x14ac:dyDescent="0.2">
      <c r="A20593" s="1" t="str">
        <f>"ZNF765"</f>
        <v>ZNF765</v>
      </c>
      <c r="B20593" t="s">
        <v>9</v>
      </c>
      <c r="C20593" t="s">
        <v>10</v>
      </c>
      <c r="D20593" t="s">
        <v>17</v>
      </c>
      <c r="E20593" t="s">
        <v>12</v>
      </c>
      <c r="F20593">
        <v>53898380</v>
      </c>
      <c r="G20593">
        <v>53898422</v>
      </c>
      <c r="H20593">
        <v>53898380</v>
      </c>
      <c r="I20593">
        <v>53898422</v>
      </c>
    </row>
    <row r="20594" spans="1:9" x14ac:dyDescent="0.2">
      <c r="A20594" s="1" t="str">
        <f>"ZNF765"</f>
        <v>ZNF765</v>
      </c>
      <c r="B20594" t="s">
        <v>13</v>
      </c>
      <c r="C20594" t="s">
        <v>10</v>
      </c>
      <c r="D20594" t="s">
        <v>17</v>
      </c>
      <c r="E20594" t="s">
        <v>12</v>
      </c>
      <c r="F20594">
        <v>53868940</v>
      </c>
      <c r="G20594">
        <v>53868990</v>
      </c>
      <c r="H20594">
        <v>53868940</v>
      </c>
      <c r="I20594">
        <v>53868990</v>
      </c>
    </row>
    <row r="20595" spans="1:9" x14ac:dyDescent="0.2">
      <c r="A20595" s="1" t="str">
        <f>"ZNF766"</f>
        <v>ZNF766</v>
      </c>
      <c r="B20595" t="s">
        <v>14</v>
      </c>
      <c r="C20595" t="s">
        <v>10</v>
      </c>
      <c r="D20595" t="s">
        <v>17</v>
      </c>
      <c r="E20595" t="s">
        <v>12</v>
      </c>
      <c r="F20595">
        <v>52772832</v>
      </c>
      <c r="G20595">
        <v>52772861</v>
      </c>
      <c r="H20595">
        <v>52772821</v>
      </c>
      <c r="I20595">
        <v>52772828</v>
      </c>
    </row>
    <row r="20596" spans="1:9" x14ac:dyDescent="0.2">
      <c r="A20596" s="1" t="str">
        <f>"ZNF768"</f>
        <v>ZNF768</v>
      </c>
      <c r="B20596" t="s">
        <v>9</v>
      </c>
      <c r="C20596" t="s">
        <v>31</v>
      </c>
      <c r="D20596" t="s">
        <v>11</v>
      </c>
      <c r="E20596" t="s">
        <v>12</v>
      </c>
      <c r="F20596">
        <v>30537839</v>
      </c>
      <c r="G20596">
        <v>30537929</v>
      </c>
      <c r="H20596">
        <v>30537839</v>
      </c>
      <c r="I20596">
        <v>30537929</v>
      </c>
    </row>
    <row r="20597" spans="1:9" x14ac:dyDescent="0.2">
      <c r="A20597" s="1" t="str">
        <f>"ZNF768"</f>
        <v>ZNF768</v>
      </c>
      <c r="B20597" t="s">
        <v>13</v>
      </c>
      <c r="C20597" t="s">
        <v>31</v>
      </c>
      <c r="D20597" t="s">
        <v>11</v>
      </c>
      <c r="E20597" t="s">
        <v>12</v>
      </c>
      <c r="F20597">
        <v>30546141</v>
      </c>
      <c r="G20597">
        <v>30546240</v>
      </c>
      <c r="H20597">
        <v>30546141</v>
      </c>
      <c r="I20597">
        <v>30546240</v>
      </c>
    </row>
    <row r="20598" spans="1:9" x14ac:dyDescent="0.2">
      <c r="A20598" s="1" t="str">
        <f>"ZNF77"</f>
        <v>ZNF77</v>
      </c>
      <c r="B20598" t="s">
        <v>14</v>
      </c>
      <c r="C20598" t="s">
        <v>10</v>
      </c>
      <c r="D20598" t="s">
        <v>11</v>
      </c>
      <c r="E20598" t="s">
        <v>12</v>
      </c>
      <c r="F20598">
        <v>2944907</v>
      </c>
      <c r="G20598">
        <v>2944981</v>
      </c>
      <c r="H20598">
        <v>2944907</v>
      </c>
      <c r="I20598">
        <v>2944981</v>
      </c>
    </row>
    <row r="20599" spans="1:9" x14ac:dyDescent="0.2">
      <c r="A20599" s="1" t="str">
        <f>"ZNF770"</f>
        <v>ZNF770</v>
      </c>
      <c r="B20599" t="s">
        <v>14</v>
      </c>
      <c r="C20599" t="s">
        <v>25</v>
      </c>
      <c r="D20599" t="s">
        <v>11</v>
      </c>
      <c r="E20599" t="s">
        <v>12</v>
      </c>
      <c r="F20599">
        <v>35280439</v>
      </c>
      <c r="G20599">
        <v>35280503</v>
      </c>
      <c r="H20599">
        <v>35280509</v>
      </c>
      <c r="I20599">
        <v>35280520</v>
      </c>
    </row>
    <row r="20600" spans="1:9" x14ac:dyDescent="0.2">
      <c r="A20600" s="1" t="str">
        <f>"ZNF771"</f>
        <v>ZNF771</v>
      </c>
      <c r="B20600" t="s">
        <v>14</v>
      </c>
      <c r="C20600" t="s">
        <v>31</v>
      </c>
      <c r="D20600" t="s">
        <v>17</v>
      </c>
      <c r="E20600" t="s">
        <v>12</v>
      </c>
      <c r="F20600">
        <v>30418910</v>
      </c>
      <c r="G20600">
        <v>30418961</v>
      </c>
      <c r="H20600">
        <v>30418894</v>
      </c>
      <c r="I20600">
        <v>30418909</v>
      </c>
    </row>
    <row r="20601" spans="1:9" x14ac:dyDescent="0.2">
      <c r="A20601" s="1" t="str">
        <f>"ZNF772"</f>
        <v>ZNF772</v>
      </c>
      <c r="B20601" t="s">
        <v>14</v>
      </c>
      <c r="C20601" t="s">
        <v>10</v>
      </c>
      <c r="D20601" t="s">
        <v>11</v>
      </c>
      <c r="E20601" t="s">
        <v>12</v>
      </c>
      <c r="F20601">
        <v>57988878</v>
      </c>
      <c r="G20601">
        <v>57988941</v>
      </c>
      <c r="H20601">
        <v>57988869</v>
      </c>
      <c r="I20601">
        <v>57988875</v>
      </c>
    </row>
    <row r="20602" spans="1:9" x14ac:dyDescent="0.2">
      <c r="A20602" s="1" t="str">
        <f>"ZNF773"</f>
        <v>ZNF773</v>
      </c>
      <c r="B20602" t="s">
        <v>14</v>
      </c>
      <c r="C20602" t="s">
        <v>10</v>
      </c>
      <c r="D20602" t="s">
        <v>17</v>
      </c>
      <c r="E20602" t="s">
        <v>12</v>
      </c>
      <c r="F20602">
        <v>58011258</v>
      </c>
      <c r="G20602">
        <v>58011317</v>
      </c>
      <c r="H20602">
        <v>58011239</v>
      </c>
      <c r="I20602">
        <v>58011249</v>
      </c>
    </row>
    <row r="20603" spans="1:9" x14ac:dyDescent="0.2">
      <c r="A20603" s="1" t="str">
        <f>"ZNF774"</f>
        <v>ZNF774</v>
      </c>
      <c r="B20603" t="s">
        <v>14</v>
      </c>
      <c r="C20603" t="s">
        <v>25</v>
      </c>
      <c r="D20603" t="s">
        <v>17</v>
      </c>
      <c r="E20603" t="s">
        <v>12</v>
      </c>
      <c r="F20603">
        <v>90895471</v>
      </c>
      <c r="G20603">
        <v>90895543</v>
      </c>
      <c r="H20603">
        <v>90895568</v>
      </c>
      <c r="I20603">
        <v>90895581</v>
      </c>
    </row>
    <row r="20604" spans="1:9" x14ac:dyDescent="0.2">
      <c r="A20604" s="1" t="str">
        <f>"ZNF775"</f>
        <v>ZNF775</v>
      </c>
      <c r="B20604" t="s">
        <v>14</v>
      </c>
      <c r="C20604" t="s">
        <v>33</v>
      </c>
      <c r="D20604" t="s">
        <v>17</v>
      </c>
      <c r="E20604" t="s">
        <v>12</v>
      </c>
      <c r="F20604">
        <v>150076406</v>
      </c>
      <c r="G20604">
        <v>150076456</v>
      </c>
      <c r="H20604">
        <v>150076370</v>
      </c>
      <c r="I20604">
        <v>150076396</v>
      </c>
    </row>
    <row r="20605" spans="1:9" x14ac:dyDescent="0.2">
      <c r="A20605" s="1" t="str">
        <f>"ZNF776"</f>
        <v>ZNF776</v>
      </c>
      <c r="B20605" t="s">
        <v>14</v>
      </c>
      <c r="C20605" t="s">
        <v>10</v>
      </c>
      <c r="D20605" t="s">
        <v>17</v>
      </c>
      <c r="E20605" t="s">
        <v>12</v>
      </c>
      <c r="F20605">
        <v>58258167</v>
      </c>
      <c r="G20605">
        <v>58258201</v>
      </c>
      <c r="H20605">
        <v>58258167</v>
      </c>
      <c r="I20605">
        <v>58258201</v>
      </c>
    </row>
    <row r="20606" spans="1:9" x14ac:dyDescent="0.2">
      <c r="A20606" s="1" t="str">
        <f>"ZNF777"</f>
        <v>ZNF777</v>
      </c>
      <c r="B20606" t="s">
        <v>14</v>
      </c>
      <c r="C20606" t="s">
        <v>33</v>
      </c>
      <c r="D20606" t="s">
        <v>11</v>
      </c>
      <c r="E20606" t="s">
        <v>12</v>
      </c>
      <c r="F20606">
        <v>149157928</v>
      </c>
      <c r="G20606">
        <v>149158025</v>
      </c>
      <c r="H20606">
        <v>149158187</v>
      </c>
      <c r="I20606">
        <v>149158210</v>
      </c>
    </row>
    <row r="20607" spans="1:9" x14ac:dyDescent="0.2">
      <c r="A20607" s="1" t="str">
        <f>"ZNF778"</f>
        <v>ZNF778</v>
      </c>
      <c r="B20607" t="s">
        <v>14</v>
      </c>
      <c r="C20607" t="s">
        <v>31</v>
      </c>
      <c r="D20607" t="s">
        <v>17</v>
      </c>
      <c r="E20607" t="s">
        <v>12</v>
      </c>
      <c r="F20607">
        <v>89284104</v>
      </c>
      <c r="G20607">
        <v>89284150</v>
      </c>
      <c r="H20607">
        <v>89284104</v>
      </c>
      <c r="I20607">
        <v>89284150</v>
      </c>
    </row>
    <row r="20608" spans="1:9" x14ac:dyDescent="0.2">
      <c r="A20608" s="1" t="str">
        <f>"ZNF780A"</f>
        <v>ZNF780A</v>
      </c>
      <c r="B20608" t="s">
        <v>14</v>
      </c>
      <c r="C20608" t="s">
        <v>10</v>
      </c>
      <c r="D20608" t="s">
        <v>11</v>
      </c>
      <c r="E20608" t="s">
        <v>12</v>
      </c>
      <c r="F20608">
        <v>40596828</v>
      </c>
      <c r="G20608">
        <v>40596855</v>
      </c>
      <c r="H20608">
        <v>40596789</v>
      </c>
      <c r="I20608">
        <v>40596825</v>
      </c>
    </row>
    <row r="20609" spans="1:9" x14ac:dyDescent="0.2">
      <c r="A20609" s="1" t="str">
        <f>"ZNF780B"</f>
        <v>ZNF780B</v>
      </c>
      <c r="B20609" t="s">
        <v>14</v>
      </c>
      <c r="C20609" t="s">
        <v>10</v>
      </c>
      <c r="D20609" t="s">
        <v>11</v>
      </c>
      <c r="E20609" t="s">
        <v>12</v>
      </c>
      <c r="F20609">
        <v>40562072</v>
      </c>
      <c r="G20609">
        <v>40562143</v>
      </c>
      <c r="H20609">
        <v>40562072</v>
      </c>
      <c r="I20609">
        <v>40562143</v>
      </c>
    </row>
    <row r="20610" spans="1:9" x14ac:dyDescent="0.2">
      <c r="A20610" s="1" t="str">
        <f>"ZNF781"</f>
        <v>ZNF781</v>
      </c>
      <c r="B20610" t="s">
        <v>14</v>
      </c>
      <c r="C20610" t="s">
        <v>10</v>
      </c>
      <c r="D20610" t="s">
        <v>11</v>
      </c>
      <c r="E20610" t="s">
        <v>12</v>
      </c>
      <c r="F20610">
        <v>38183208</v>
      </c>
      <c r="G20610">
        <v>38183225</v>
      </c>
      <c r="H20610">
        <v>38183138</v>
      </c>
      <c r="I20610">
        <v>38183157</v>
      </c>
    </row>
    <row r="20611" spans="1:9" x14ac:dyDescent="0.2">
      <c r="A20611" s="1" t="str">
        <f>"ZNF782"</f>
        <v>ZNF782</v>
      </c>
      <c r="B20611" t="s">
        <v>14</v>
      </c>
      <c r="C20611" t="s">
        <v>24</v>
      </c>
      <c r="D20611" t="s">
        <v>11</v>
      </c>
      <c r="E20611" t="s">
        <v>12</v>
      </c>
      <c r="F20611">
        <v>99616768</v>
      </c>
      <c r="G20611">
        <v>99616819</v>
      </c>
      <c r="H20611">
        <v>99616618</v>
      </c>
      <c r="I20611">
        <v>99616656</v>
      </c>
    </row>
    <row r="20612" spans="1:9" x14ac:dyDescent="0.2">
      <c r="A20612" s="1" t="str">
        <f>"ZNF783"</f>
        <v>ZNF783</v>
      </c>
      <c r="B20612" t="s">
        <v>14</v>
      </c>
      <c r="C20612" t="s">
        <v>33</v>
      </c>
      <c r="D20612" t="s">
        <v>17</v>
      </c>
      <c r="E20612" t="s">
        <v>12</v>
      </c>
      <c r="F20612">
        <v>148959269</v>
      </c>
      <c r="G20612">
        <v>148959326</v>
      </c>
      <c r="H20612">
        <v>148959065</v>
      </c>
      <c r="I20612">
        <v>148959126</v>
      </c>
    </row>
    <row r="20613" spans="1:9" x14ac:dyDescent="0.2">
      <c r="A20613" s="1" t="str">
        <f>"ZNF784"</f>
        <v>ZNF784</v>
      </c>
      <c r="B20613" t="s">
        <v>14</v>
      </c>
      <c r="C20613" t="s">
        <v>10</v>
      </c>
      <c r="D20613" t="s">
        <v>11</v>
      </c>
      <c r="E20613" t="s">
        <v>12</v>
      </c>
      <c r="F20613">
        <v>56135928</v>
      </c>
      <c r="G20613">
        <v>56135936</v>
      </c>
      <c r="H20613">
        <v>56136248</v>
      </c>
      <c r="I20613">
        <v>56136250</v>
      </c>
    </row>
    <row r="20614" spans="1:9" x14ac:dyDescent="0.2">
      <c r="A20614" s="1" t="str">
        <f>"ZNF785"</f>
        <v>ZNF785</v>
      </c>
      <c r="B20614" t="s">
        <v>14</v>
      </c>
      <c r="C20614" t="s">
        <v>31</v>
      </c>
      <c r="D20614" t="s">
        <v>11</v>
      </c>
      <c r="E20614" t="s">
        <v>12</v>
      </c>
      <c r="F20614">
        <v>30597000</v>
      </c>
      <c r="G20614">
        <v>30597068</v>
      </c>
      <c r="H20614">
        <v>30596854</v>
      </c>
      <c r="I20614">
        <v>30596920</v>
      </c>
    </row>
    <row r="20615" spans="1:9" x14ac:dyDescent="0.2">
      <c r="A20615" s="1" t="str">
        <f>"ZNF786"</f>
        <v>ZNF786</v>
      </c>
      <c r="B20615" t="s">
        <v>14</v>
      </c>
      <c r="C20615" t="s">
        <v>33</v>
      </c>
      <c r="D20615" t="s">
        <v>11</v>
      </c>
      <c r="E20615" t="s">
        <v>12</v>
      </c>
      <c r="F20615">
        <v>148787768</v>
      </c>
      <c r="G20615">
        <v>148787825</v>
      </c>
      <c r="H20615">
        <v>148787859</v>
      </c>
      <c r="I20615">
        <v>148787879</v>
      </c>
    </row>
    <row r="20616" spans="1:9" x14ac:dyDescent="0.2">
      <c r="A20616" s="1" t="str">
        <f>"ZNF787"</f>
        <v>ZNF787</v>
      </c>
      <c r="B20616" t="s">
        <v>14</v>
      </c>
      <c r="C20616" t="s">
        <v>10</v>
      </c>
      <c r="D20616" t="s">
        <v>11</v>
      </c>
      <c r="E20616" t="s">
        <v>12</v>
      </c>
      <c r="F20616">
        <v>56632592</v>
      </c>
      <c r="G20616">
        <v>56632670</v>
      </c>
      <c r="H20616">
        <v>56632858</v>
      </c>
      <c r="I20616">
        <v>56632903</v>
      </c>
    </row>
    <row r="20617" spans="1:9" x14ac:dyDescent="0.2">
      <c r="A20617" s="1" t="str">
        <f>"ZNF789"</f>
        <v>ZNF789</v>
      </c>
      <c r="B20617" t="s">
        <v>14</v>
      </c>
      <c r="C20617" t="s">
        <v>33</v>
      </c>
      <c r="D20617" t="s">
        <v>17</v>
      </c>
      <c r="E20617" t="s">
        <v>12</v>
      </c>
      <c r="F20617">
        <v>99070499</v>
      </c>
      <c r="G20617">
        <v>99070523</v>
      </c>
      <c r="H20617">
        <v>99070527</v>
      </c>
      <c r="I20617">
        <v>99070542</v>
      </c>
    </row>
    <row r="20618" spans="1:9" x14ac:dyDescent="0.2">
      <c r="A20618" s="1" t="str">
        <f>"ZNF79"</f>
        <v>ZNF79</v>
      </c>
      <c r="B20618" t="s">
        <v>14</v>
      </c>
      <c r="C20618" t="s">
        <v>24</v>
      </c>
      <c r="D20618" t="s">
        <v>17</v>
      </c>
      <c r="E20618" t="s">
        <v>12</v>
      </c>
      <c r="F20618">
        <v>130186653</v>
      </c>
      <c r="G20618">
        <v>130186734</v>
      </c>
      <c r="H20618">
        <v>130186763</v>
      </c>
      <c r="I20618">
        <v>130186770</v>
      </c>
    </row>
    <row r="20619" spans="1:9" x14ac:dyDescent="0.2">
      <c r="A20619" s="1" t="str">
        <f>"ZNF790"</f>
        <v>ZNF790</v>
      </c>
      <c r="B20619" t="s">
        <v>9</v>
      </c>
      <c r="C20619" t="s">
        <v>10</v>
      </c>
      <c r="D20619" t="s">
        <v>11</v>
      </c>
      <c r="E20619" t="s">
        <v>12</v>
      </c>
      <c r="F20619">
        <v>37329254</v>
      </c>
      <c r="G20619">
        <v>37329295</v>
      </c>
      <c r="H20619">
        <v>37329254</v>
      </c>
      <c r="I20619">
        <v>37329295</v>
      </c>
    </row>
    <row r="20620" spans="1:9" x14ac:dyDescent="0.2">
      <c r="A20620" s="1" t="str">
        <f>"ZNF790"</f>
        <v>ZNF790</v>
      </c>
      <c r="B20620" t="s">
        <v>13</v>
      </c>
      <c r="C20620" t="s">
        <v>10</v>
      </c>
      <c r="D20620" t="s">
        <v>11</v>
      </c>
      <c r="E20620" t="s">
        <v>12</v>
      </c>
      <c r="F20620">
        <v>37341160</v>
      </c>
      <c r="G20620">
        <v>37341194</v>
      </c>
      <c r="H20620">
        <v>37341160</v>
      </c>
      <c r="I20620">
        <v>37341194</v>
      </c>
    </row>
    <row r="20621" spans="1:9" x14ac:dyDescent="0.2">
      <c r="A20621" s="1" t="str">
        <f>"ZNF791"</f>
        <v>ZNF791</v>
      </c>
      <c r="B20621" t="s">
        <v>14</v>
      </c>
      <c r="C20621" t="s">
        <v>10</v>
      </c>
      <c r="D20621" t="s">
        <v>17</v>
      </c>
      <c r="E20621" t="s">
        <v>12</v>
      </c>
      <c r="F20621">
        <v>12721725</v>
      </c>
      <c r="G20621">
        <v>12721758</v>
      </c>
      <c r="H20621">
        <v>12721790</v>
      </c>
      <c r="I20621">
        <v>12721810</v>
      </c>
    </row>
    <row r="20622" spans="1:9" x14ac:dyDescent="0.2">
      <c r="A20622" s="1" t="str">
        <f>"ZNF792"</f>
        <v>ZNF792</v>
      </c>
      <c r="B20622" t="s">
        <v>14</v>
      </c>
      <c r="C20622" t="s">
        <v>10</v>
      </c>
      <c r="D20622" t="s">
        <v>11</v>
      </c>
      <c r="E20622" t="s">
        <v>12</v>
      </c>
      <c r="F20622">
        <v>35455110</v>
      </c>
      <c r="G20622">
        <v>35455149</v>
      </c>
      <c r="H20622">
        <v>35455160</v>
      </c>
      <c r="I20622">
        <v>35455197</v>
      </c>
    </row>
    <row r="20623" spans="1:9" x14ac:dyDescent="0.2">
      <c r="A20623" s="1" t="str">
        <f>"ZNF793"</f>
        <v>ZNF793</v>
      </c>
      <c r="B20623" t="s">
        <v>14</v>
      </c>
      <c r="C20623" t="s">
        <v>10</v>
      </c>
      <c r="D20623" t="s">
        <v>17</v>
      </c>
      <c r="E20623" t="s">
        <v>12</v>
      </c>
      <c r="F20623">
        <v>37997812</v>
      </c>
      <c r="G20623">
        <v>37997866</v>
      </c>
      <c r="H20623">
        <v>37998036</v>
      </c>
      <c r="I20623">
        <v>37998098</v>
      </c>
    </row>
    <row r="20624" spans="1:9" x14ac:dyDescent="0.2">
      <c r="A20624" s="1" t="str">
        <f>"ZNF799"</f>
        <v>ZNF799</v>
      </c>
      <c r="B20624" t="s">
        <v>14</v>
      </c>
      <c r="C20624" t="s">
        <v>10</v>
      </c>
      <c r="D20624" t="s">
        <v>11</v>
      </c>
      <c r="E20624" t="s">
        <v>12</v>
      </c>
      <c r="F20624">
        <v>12512062</v>
      </c>
      <c r="G20624">
        <v>12512094</v>
      </c>
      <c r="H20624">
        <v>12512015</v>
      </c>
      <c r="I20624">
        <v>12512044</v>
      </c>
    </row>
    <row r="20625" spans="1:9" x14ac:dyDescent="0.2">
      <c r="A20625" s="1" t="str">
        <f>"ZNF8"</f>
        <v>ZNF8</v>
      </c>
      <c r="B20625" t="s">
        <v>14</v>
      </c>
      <c r="C20625" t="s">
        <v>10</v>
      </c>
      <c r="D20625" t="s">
        <v>17</v>
      </c>
      <c r="E20625" t="s">
        <v>12</v>
      </c>
      <c r="F20625">
        <v>58790314</v>
      </c>
      <c r="G20625">
        <v>58790358</v>
      </c>
      <c r="H20625">
        <v>58790361</v>
      </c>
      <c r="I20625">
        <v>58790372</v>
      </c>
    </row>
    <row r="20626" spans="1:9" x14ac:dyDescent="0.2">
      <c r="A20626" s="1" t="str">
        <f>"ZNF80"</f>
        <v>ZNF80</v>
      </c>
      <c r="B20626" t="s">
        <v>1873</v>
      </c>
      <c r="C20626" t="s">
        <v>22</v>
      </c>
      <c r="D20626" t="s">
        <v>11</v>
      </c>
      <c r="E20626" t="s">
        <v>20</v>
      </c>
      <c r="F20626">
        <v>113956424</v>
      </c>
      <c r="G20626">
        <v>113956424</v>
      </c>
      <c r="H20626">
        <v>113956424</v>
      </c>
      <c r="I20626">
        <v>113956424</v>
      </c>
    </row>
    <row r="20627" spans="1:9" x14ac:dyDescent="0.2">
      <c r="A20627" s="1" t="str">
        <f>"ZNF800"</f>
        <v>ZNF800</v>
      </c>
      <c r="B20627" t="s">
        <v>14</v>
      </c>
      <c r="C20627" t="s">
        <v>33</v>
      </c>
      <c r="D20627" t="s">
        <v>11</v>
      </c>
      <c r="E20627" t="s">
        <v>12</v>
      </c>
      <c r="F20627">
        <v>127032741</v>
      </c>
      <c r="G20627">
        <v>127032777</v>
      </c>
      <c r="H20627">
        <v>127032114</v>
      </c>
      <c r="I20627">
        <v>127032163</v>
      </c>
    </row>
    <row r="20628" spans="1:9" x14ac:dyDescent="0.2">
      <c r="A20628" s="1" t="str">
        <f>"ZNF804A"</f>
        <v>ZNF804A</v>
      </c>
      <c r="B20628" t="s">
        <v>14</v>
      </c>
      <c r="C20628" t="s">
        <v>26</v>
      </c>
      <c r="D20628" t="s">
        <v>17</v>
      </c>
      <c r="E20628" t="s">
        <v>12</v>
      </c>
      <c r="F20628">
        <v>185463247</v>
      </c>
      <c r="G20628">
        <v>185463263</v>
      </c>
      <c r="H20628">
        <v>185463158</v>
      </c>
      <c r="I20628">
        <v>185463181</v>
      </c>
    </row>
    <row r="20629" spans="1:9" x14ac:dyDescent="0.2">
      <c r="A20629" s="1" t="str">
        <f>"ZNF804B"</f>
        <v>ZNF804B</v>
      </c>
      <c r="B20629" t="s">
        <v>14</v>
      </c>
      <c r="C20629" t="s">
        <v>33</v>
      </c>
      <c r="D20629" t="s">
        <v>17</v>
      </c>
      <c r="E20629" t="s">
        <v>12</v>
      </c>
      <c r="F20629">
        <v>88389004</v>
      </c>
      <c r="G20629">
        <v>88389019</v>
      </c>
      <c r="H20629">
        <v>88388775</v>
      </c>
      <c r="I20629">
        <v>88388795</v>
      </c>
    </row>
    <row r="20630" spans="1:9" x14ac:dyDescent="0.2">
      <c r="A20630" s="1" t="str">
        <f>"ZNF805"</f>
        <v>ZNF805</v>
      </c>
      <c r="B20630" t="s">
        <v>14</v>
      </c>
      <c r="C20630" t="s">
        <v>10</v>
      </c>
      <c r="D20630" t="s">
        <v>17</v>
      </c>
      <c r="E20630" t="s">
        <v>12</v>
      </c>
      <c r="F20630">
        <v>57752022</v>
      </c>
      <c r="G20630">
        <v>57752108</v>
      </c>
      <c r="H20630">
        <v>57751980</v>
      </c>
      <c r="I20630">
        <v>57752019</v>
      </c>
    </row>
    <row r="20631" spans="1:9" x14ac:dyDescent="0.2">
      <c r="A20631" s="1" t="str">
        <f>"ZNF808"</f>
        <v>ZNF808</v>
      </c>
      <c r="B20631" t="s">
        <v>9</v>
      </c>
      <c r="C20631" t="s">
        <v>10</v>
      </c>
      <c r="D20631" t="s">
        <v>17</v>
      </c>
      <c r="E20631" t="s">
        <v>12</v>
      </c>
      <c r="F20631">
        <v>53030906</v>
      </c>
      <c r="G20631">
        <v>53030952</v>
      </c>
      <c r="H20631">
        <v>53030906</v>
      </c>
      <c r="I20631">
        <v>53030952</v>
      </c>
    </row>
    <row r="20632" spans="1:9" x14ac:dyDescent="0.2">
      <c r="A20632" s="1" t="str">
        <f>"ZNF808"</f>
        <v>ZNF808</v>
      </c>
      <c r="B20632" t="s">
        <v>13</v>
      </c>
      <c r="C20632" t="s">
        <v>10</v>
      </c>
      <c r="D20632" t="s">
        <v>17</v>
      </c>
      <c r="E20632" t="s">
        <v>12</v>
      </c>
      <c r="F20632">
        <v>53039233</v>
      </c>
      <c r="G20632">
        <v>53039247</v>
      </c>
      <c r="H20632">
        <v>53039233</v>
      </c>
      <c r="I20632">
        <v>53039247</v>
      </c>
    </row>
    <row r="20633" spans="1:9" x14ac:dyDescent="0.2">
      <c r="A20633" s="1" t="str">
        <f>"ZNF81"</f>
        <v>ZNF81</v>
      </c>
      <c r="B20633" t="s">
        <v>14</v>
      </c>
      <c r="C20633" t="s">
        <v>37</v>
      </c>
      <c r="D20633" t="s">
        <v>17</v>
      </c>
      <c r="E20633" t="s">
        <v>12</v>
      </c>
      <c r="F20633">
        <v>47696275</v>
      </c>
      <c r="G20633">
        <v>47696335</v>
      </c>
      <c r="H20633">
        <v>47696337</v>
      </c>
      <c r="I20633">
        <v>47696360</v>
      </c>
    </row>
    <row r="20634" spans="1:9" x14ac:dyDescent="0.2">
      <c r="A20634" s="1" t="str">
        <f>"ZNF812"</f>
        <v>ZNF812</v>
      </c>
      <c r="B20634" t="s">
        <v>14</v>
      </c>
      <c r="C20634" t="s">
        <v>10</v>
      </c>
      <c r="D20634" t="s">
        <v>11</v>
      </c>
      <c r="E20634" t="s">
        <v>12</v>
      </c>
      <c r="F20634">
        <v>9811347</v>
      </c>
      <c r="G20634">
        <v>9811351</v>
      </c>
      <c r="H20634">
        <v>9811347</v>
      </c>
      <c r="I20634">
        <v>9811351</v>
      </c>
    </row>
    <row r="20635" spans="1:9" x14ac:dyDescent="0.2">
      <c r="A20635" s="1" t="str">
        <f>"ZNF813"</f>
        <v>ZNF813</v>
      </c>
      <c r="B20635" t="s">
        <v>14</v>
      </c>
      <c r="C20635" t="s">
        <v>10</v>
      </c>
      <c r="D20635" t="s">
        <v>17</v>
      </c>
      <c r="E20635" t="s">
        <v>12</v>
      </c>
      <c r="F20635">
        <v>53970970</v>
      </c>
      <c r="G20635">
        <v>53971021</v>
      </c>
      <c r="H20635">
        <v>53970970</v>
      </c>
      <c r="I20635">
        <v>53971021</v>
      </c>
    </row>
    <row r="20636" spans="1:9" x14ac:dyDescent="0.2">
      <c r="A20636" s="1" t="str">
        <f>"ZNF814"</f>
        <v>ZNF814</v>
      </c>
      <c r="B20636" t="s">
        <v>14</v>
      </c>
      <c r="C20636" t="s">
        <v>10</v>
      </c>
      <c r="D20636" t="s">
        <v>11</v>
      </c>
      <c r="E20636" t="s">
        <v>12</v>
      </c>
      <c r="F20636">
        <v>58400372</v>
      </c>
      <c r="G20636">
        <v>58400411</v>
      </c>
      <c r="H20636">
        <v>58400344</v>
      </c>
      <c r="I20636">
        <v>58400364</v>
      </c>
    </row>
    <row r="20637" spans="1:9" x14ac:dyDescent="0.2">
      <c r="A20637" s="1" t="str">
        <f>"ZNF816"</f>
        <v>ZNF816</v>
      </c>
      <c r="B20637" t="s">
        <v>9</v>
      </c>
      <c r="C20637" t="s">
        <v>10</v>
      </c>
      <c r="D20637" t="s">
        <v>11</v>
      </c>
      <c r="E20637" t="s">
        <v>12</v>
      </c>
      <c r="F20637">
        <v>53466095</v>
      </c>
      <c r="G20637">
        <v>53466149</v>
      </c>
      <c r="H20637">
        <v>53466095</v>
      </c>
      <c r="I20637">
        <v>53466149</v>
      </c>
    </row>
    <row r="20638" spans="1:9" x14ac:dyDescent="0.2">
      <c r="A20638" s="1" t="str">
        <f>"ZNF816"</f>
        <v>ZNF816</v>
      </c>
      <c r="B20638" t="s">
        <v>13</v>
      </c>
      <c r="C20638" t="s">
        <v>10</v>
      </c>
      <c r="D20638" t="s">
        <v>11</v>
      </c>
      <c r="E20638" t="s">
        <v>12</v>
      </c>
      <c r="F20638">
        <v>53445819</v>
      </c>
      <c r="G20638">
        <v>53445860</v>
      </c>
      <c r="H20638">
        <v>53445819</v>
      </c>
      <c r="I20638">
        <v>53445860</v>
      </c>
    </row>
    <row r="20639" spans="1:9" x14ac:dyDescent="0.2">
      <c r="A20639" s="1" t="str">
        <f>"ZNF821"</f>
        <v>ZNF821</v>
      </c>
      <c r="B20639" t="s">
        <v>14</v>
      </c>
      <c r="C20639" t="s">
        <v>31</v>
      </c>
      <c r="D20639" t="s">
        <v>11</v>
      </c>
      <c r="E20639" t="s">
        <v>12</v>
      </c>
      <c r="F20639">
        <v>71918033</v>
      </c>
      <c r="G20639">
        <v>71918101</v>
      </c>
      <c r="H20639">
        <v>71918538</v>
      </c>
      <c r="I20639">
        <v>71918571</v>
      </c>
    </row>
    <row r="20640" spans="1:9" x14ac:dyDescent="0.2">
      <c r="A20640" s="1" t="str">
        <f>"ZNF823"</f>
        <v>ZNF823</v>
      </c>
      <c r="B20640" t="s">
        <v>14</v>
      </c>
      <c r="C20640" t="s">
        <v>10</v>
      </c>
      <c r="D20640" t="s">
        <v>11</v>
      </c>
      <c r="E20640" t="s">
        <v>12</v>
      </c>
      <c r="F20640">
        <v>11849700</v>
      </c>
      <c r="G20640">
        <v>11849803</v>
      </c>
      <c r="H20640">
        <v>11849820</v>
      </c>
      <c r="I20640">
        <v>11849830</v>
      </c>
    </row>
    <row r="20641" spans="1:9" x14ac:dyDescent="0.2">
      <c r="A20641" s="1" t="str">
        <f>"ZNF827"</f>
        <v>ZNF827</v>
      </c>
      <c r="B20641" t="s">
        <v>14</v>
      </c>
      <c r="C20641" t="s">
        <v>23</v>
      </c>
      <c r="D20641" t="s">
        <v>11</v>
      </c>
      <c r="E20641" t="s">
        <v>12</v>
      </c>
      <c r="F20641">
        <v>146859927</v>
      </c>
      <c r="G20641">
        <v>146860055</v>
      </c>
      <c r="H20641">
        <v>146859626</v>
      </c>
      <c r="I20641">
        <v>146859669</v>
      </c>
    </row>
    <row r="20642" spans="1:9" x14ac:dyDescent="0.2">
      <c r="A20642" s="1" t="str">
        <f>"ZNF829"</f>
        <v>ZNF829</v>
      </c>
      <c r="B20642" t="s">
        <v>14</v>
      </c>
      <c r="C20642" t="s">
        <v>10</v>
      </c>
      <c r="D20642" t="s">
        <v>11</v>
      </c>
      <c r="E20642" t="s">
        <v>12</v>
      </c>
      <c r="F20642">
        <v>37406934</v>
      </c>
      <c r="G20642">
        <v>37406949</v>
      </c>
      <c r="H20642">
        <v>37407172</v>
      </c>
      <c r="I20642">
        <v>37407217</v>
      </c>
    </row>
    <row r="20643" spans="1:9" x14ac:dyDescent="0.2">
      <c r="A20643" s="1" t="str">
        <f>"ZNF83"</f>
        <v>ZNF83</v>
      </c>
      <c r="B20643" t="s">
        <v>1874</v>
      </c>
      <c r="C20643" t="s">
        <v>10</v>
      </c>
      <c r="D20643" t="s">
        <v>11</v>
      </c>
      <c r="E20643" t="s">
        <v>35</v>
      </c>
      <c r="F20643">
        <v>53141584</v>
      </c>
      <c r="G20643">
        <v>53141625</v>
      </c>
      <c r="H20643">
        <v>53141584</v>
      </c>
      <c r="I20643">
        <v>53141625</v>
      </c>
    </row>
    <row r="20644" spans="1:9" x14ac:dyDescent="0.2">
      <c r="A20644" s="1" t="str">
        <f>"ZNF83"</f>
        <v>ZNF83</v>
      </c>
      <c r="B20644" t="s">
        <v>1875</v>
      </c>
      <c r="C20644" t="s">
        <v>10</v>
      </c>
      <c r="D20644" t="s">
        <v>11</v>
      </c>
      <c r="E20644" t="s">
        <v>20</v>
      </c>
      <c r="F20644">
        <v>53121292</v>
      </c>
      <c r="G20644">
        <v>53121292</v>
      </c>
      <c r="H20644">
        <v>53121292</v>
      </c>
      <c r="I20644">
        <v>53121292</v>
      </c>
    </row>
    <row r="20645" spans="1:9" x14ac:dyDescent="0.2">
      <c r="A20645" s="1" t="str">
        <f>"ZNF83"</f>
        <v>ZNF83</v>
      </c>
      <c r="B20645" t="s">
        <v>1876</v>
      </c>
      <c r="C20645" t="s">
        <v>10</v>
      </c>
      <c r="D20645" t="s">
        <v>11</v>
      </c>
      <c r="E20645" t="s">
        <v>35</v>
      </c>
      <c r="F20645">
        <v>53140471</v>
      </c>
      <c r="G20645">
        <v>53140473</v>
      </c>
      <c r="H20645">
        <v>53140471</v>
      </c>
      <c r="I20645">
        <v>53140473</v>
      </c>
    </row>
    <row r="20646" spans="1:9" x14ac:dyDescent="0.2">
      <c r="A20646" s="1" t="str">
        <f>"ZNF830"</f>
        <v>ZNF830</v>
      </c>
      <c r="B20646" t="s">
        <v>14</v>
      </c>
      <c r="C20646" t="s">
        <v>28</v>
      </c>
      <c r="D20646" t="s">
        <v>17</v>
      </c>
      <c r="E20646" t="s">
        <v>12</v>
      </c>
      <c r="F20646">
        <v>33288552</v>
      </c>
      <c r="G20646">
        <v>33288598</v>
      </c>
      <c r="H20646">
        <v>33288552</v>
      </c>
      <c r="I20646">
        <v>33288598</v>
      </c>
    </row>
    <row r="20647" spans="1:9" x14ac:dyDescent="0.2">
      <c r="A20647" s="1" t="str">
        <f>"ZNF831"</f>
        <v>ZNF831</v>
      </c>
      <c r="B20647" t="s">
        <v>1877</v>
      </c>
      <c r="C20647" t="s">
        <v>29</v>
      </c>
      <c r="D20647" t="s">
        <v>17</v>
      </c>
      <c r="E20647" t="s">
        <v>20</v>
      </c>
      <c r="F20647">
        <v>57766074</v>
      </c>
      <c r="G20647">
        <v>57766074</v>
      </c>
      <c r="H20647">
        <v>57766074</v>
      </c>
      <c r="I20647">
        <v>57766074</v>
      </c>
    </row>
    <row r="20648" spans="1:9" x14ac:dyDescent="0.2">
      <c r="A20648" s="1" t="str">
        <f>"ZNF835"</f>
        <v>ZNF835</v>
      </c>
      <c r="B20648" t="s">
        <v>14</v>
      </c>
      <c r="C20648" t="s">
        <v>10</v>
      </c>
      <c r="D20648" t="s">
        <v>11</v>
      </c>
      <c r="E20648" t="s">
        <v>12</v>
      </c>
      <c r="F20648">
        <v>57183114</v>
      </c>
      <c r="G20648">
        <v>57183145</v>
      </c>
      <c r="H20648">
        <v>57183114</v>
      </c>
      <c r="I20648">
        <v>57183145</v>
      </c>
    </row>
    <row r="20649" spans="1:9" x14ac:dyDescent="0.2">
      <c r="A20649" s="1" t="str">
        <f>"ZNF836"</f>
        <v>ZNF836</v>
      </c>
      <c r="B20649" t="s">
        <v>14</v>
      </c>
      <c r="C20649" t="s">
        <v>10</v>
      </c>
      <c r="D20649" t="s">
        <v>11</v>
      </c>
      <c r="E20649" t="s">
        <v>12</v>
      </c>
      <c r="F20649">
        <v>52674696</v>
      </c>
      <c r="G20649">
        <v>52674758</v>
      </c>
      <c r="H20649">
        <v>52674853</v>
      </c>
      <c r="I20649">
        <v>52674892</v>
      </c>
    </row>
    <row r="20650" spans="1:9" x14ac:dyDescent="0.2">
      <c r="A20650" s="1" t="str">
        <f>"ZNF837"</f>
        <v>ZNF837</v>
      </c>
      <c r="B20650" t="s">
        <v>14</v>
      </c>
      <c r="C20650" t="s">
        <v>10</v>
      </c>
      <c r="D20650" t="s">
        <v>11</v>
      </c>
      <c r="E20650" t="s">
        <v>12</v>
      </c>
      <c r="F20650">
        <v>58892390</v>
      </c>
      <c r="G20650">
        <v>58892404</v>
      </c>
      <c r="H20650">
        <v>58892414</v>
      </c>
      <c r="I20650">
        <v>58892430</v>
      </c>
    </row>
    <row r="20651" spans="1:9" x14ac:dyDescent="0.2">
      <c r="A20651" s="1" t="str">
        <f>"ZNF839"</f>
        <v>ZNF839</v>
      </c>
      <c r="B20651" t="s">
        <v>14</v>
      </c>
      <c r="C20651" t="s">
        <v>41</v>
      </c>
      <c r="D20651" t="s">
        <v>17</v>
      </c>
      <c r="E20651" t="s">
        <v>12</v>
      </c>
      <c r="F20651">
        <v>102786063</v>
      </c>
      <c r="G20651">
        <v>102786112</v>
      </c>
      <c r="H20651">
        <v>102786063</v>
      </c>
      <c r="I20651">
        <v>102786112</v>
      </c>
    </row>
    <row r="20652" spans="1:9" x14ac:dyDescent="0.2">
      <c r="A20652" s="1" t="str">
        <f>"ZNF84"</f>
        <v>ZNF84</v>
      </c>
      <c r="B20652" t="s">
        <v>14</v>
      </c>
      <c r="C20652" t="s">
        <v>16</v>
      </c>
      <c r="D20652" t="s">
        <v>17</v>
      </c>
      <c r="E20652" t="s">
        <v>12</v>
      </c>
      <c r="F20652">
        <v>133614062</v>
      </c>
      <c r="G20652">
        <v>133614117</v>
      </c>
      <c r="H20652">
        <v>133613937</v>
      </c>
      <c r="I20652">
        <v>133613994</v>
      </c>
    </row>
    <row r="20653" spans="1:9" x14ac:dyDescent="0.2">
      <c r="A20653" s="1" t="str">
        <f>"ZNF841"</f>
        <v>ZNF841</v>
      </c>
      <c r="B20653" t="s">
        <v>14</v>
      </c>
      <c r="C20653" t="s">
        <v>10</v>
      </c>
      <c r="D20653" t="s">
        <v>11</v>
      </c>
      <c r="E20653" t="s">
        <v>12</v>
      </c>
      <c r="F20653">
        <v>52598958</v>
      </c>
      <c r="G20653">
        <v>52599026</v>
      </c>
      <c r="H20653">
        <v>52599029</v>
      </c>
      <c r="I20653">
        <v>52599045</v>
      </c>
    </row>
    <row r="20654" spans="1:9" x14ac:dyDescent="0.2">
      <c r="A20654" s="1" t="str">
        <f>"ZNF843"</f>
        <v>ZNF843</v>
      </c>
      <c r="B20654" t="s">
        <v>14</v>
      </c>
      <c r="C20654" t="s">
        <v>31</v>
      </c>
      <c r="D20654" t="s">
        <v>11</v>
      </c>
      <c r="E20654" t="s">
        <v>12</v>
      </c>
      <c r="F20654">
        <v>31454084</v>
      </c>
      <c r="G20654">
        <v>31454115</v>
      </c>
      <c r="H20654">
        <v>31454084</v>
      </c>
      <c r="I20654">
        <v>31454115</v>
      </c>
    </row>
    <row r="20655" spans="1:9" x14ac:dyDescent="0.2">
      <c r="A20655" s="1" t="str">
        <f>"ZNF844"</f>
        <v>ZNF844</v>
      </c>
      <c r="B20655" t="s">
        <v>14</v>
      </c>
      <c r="C20655" t="s">
        <v>10</v>
      </c>
      <c r="D20655" t="s">
        <v>17</v>
      </c>
      <c r="E20655" t="s">
        <v>12</v>
      </c>
      <c r="F20655">
        <v>12175535</v>
      </c>
      <c r="G20655">
        <v>12175554</v>
      </c>
      <c r="H20655">
        <v>12175504</v>
      </c>
      <c r="I20655">
        <v>12175519</v>
      </c>
    </row>
    <row r="20656" spans="1:9" x14ac:dyDescent="0.2">
      <c r="A20656" s="1" t="str">
        <f>"ZNF845"</f>
        <v>ZNF845</v>
      </c>
      <c r="B20656" t="s">
        <v>14</v>
      </c>
      <c r="C20656" t="s">
        <v>10</v>
      </c>
      <c r="D20656" t="s">
        <v>17</v>
      </c>
      <c r="E20656" t="s">
        <v>12</v>
      </c>
      <c r="F20656">
        <v>53836985</v>
      </c>
      <c r="G20656">
        <v>53837024</v>
      </c>
      <c r="H20656">
        <v>53836985</v>
      </c>
      <c r="I20656">
        <v>53837024</v>
      </c>
    </row>
    <row r="20657" spans="1:9" x14ac:dyDescent="0.2">
      <c r="A20657" s="1" t="str">
        <f>"ZNF846"</f>
        <v>ZNF846</v>
      </c>
      <c r="B20657" t="s">
        <v>14</v>
      </c>
      <c r="C20657" t="s">
        <v>10</v>
      </c>
      <c r="D20657" t="s">
        <v>11</v>
      </c>
      <c r="E20657" t="s">
        <v>12</v>
      </c>
      <c r="F20657">
        <v>9879256</v>
      </c>
      <c r="G20657">
        <v>9879306</v>
      </c>
      <c r="H20657">
        <v>9879350</v>
      </c>
      <c r="I20657">
        <v>9879419</v>
      </c>
    </row>
    <row r="20658" spans="1:9" x14ac:dyDescent="0.2">
      <c r="A20658" s="1" t="str">
        <f>"ZNF85"</f>
        <v>ZNF85</v>
      </c>
      <c r="B20658" t="s">
        <v>14</v>
      </c>
      <c r="C20658" t="s">
        <v>10</v>
      </c>
      <c r="D20658" t="s">
        <v>17</v>
      </c>
      <c r="E20658" t="s">
        <v>12</v>
      </c>
      <c r="F20658">
        <v>21106049</v>
      </c>
      <c r="G20658">
        <v>21106072</v>
      </c>
      <c r="H20658">
        <v>21106081</v>
      </c>
      <c r="I20658">
        <v>21106115</v>
      </c>
    </row>
    <row r="20659" spans="1:9" x14ac:dyDescent="0.2">
      <c r="A20659" s="1" t="str">
        <f>"ZNF850"</f>
        <v>ZNF850</v>
      </c>
      <c r="B20659" t="s">
        <v>14</v>
      </c>
      <c r="C20659" t="s">
        <v>10</v>
      </c>
      <c r="D20659" t="s">
        <v>11</v>
      </c>
      <c r="E20659" t="s">
        <v>12</v>
      </c>
      <c r="F20659">
        <v>37263693</v>
      </c>
      <c r="G20659">
        <v>37263715</v>
      </c>
      <c r="H20659">
        <v>37263723</v>
      </c>
      <c r="I20659">
        <v>37263744</v>
      </c>
    </row>
    <row r="20660" spans="1:9" x14ac:dyDescent="0.2">
      <c r="A20660" s="1" t="str">
        <f>"ZNF852"</f>
        <v>ZNF852</v>
      </c>
      <c r="B20660" t="s">
        <v>14</v>
      </c>
      <c r="C20660" t="s">
        <v>22</v>
      </c>
      <c r="D20660" t="s">
        <v>11</v>
      </c>
      <c r="E20660" t="s">
        <v>12</v>
      </c>
      <c r="F20660">
        <v>44552094</v>
      </c>
      <c r="G20660">
        <v>44552131</v>
      </c>
      <c r="H20660">
        <v>44552073</v>
      </c>
      <c r="I20660">
        <v>44552084</v>
      </c>
    </row>
    <row r="20661" spans="1:9" x14ac:dyDescent="0.2">
      <c r="A20661" s="1" t="str">
        <f>"ZNF853"</f>
        <v>ZNF853</v>
      </c>
      <c r="B20661" t="s">
        <v>9</v>
      </c>
      <c r="C20661" t="s">
        <v>33</v>
      </c>
      <c r="D20661" t="s">
        <v>17</v>
      </c>
      <c r="E20661" t="s">
        <v>12</v>
      </c>
      <c r="F20661">
        <v>6661065</v>
      </c>
      <c r="G20661">
        <v>6661115</v>
      </c>
      <c r="H20661">
        <v>6661065</v>
      </c>
      <c r="I20661">
        <v>6661115</v>
      </c>
    </row>
    <row r="20662" spans="1:9" x14ac:dyDescent="0.2">
      <c r="A20662" s="1" t="str">
        <f>"ZNF853"</f>
        <v>ZNF853</v>
      </c>
      <c r="B20662" t="s">
        <v>13</v>
      </c>
      <c r="C20662" t="s">
        <v>33</v>
      </c>
      <c r="D20662" t="s">
        <v>17</v>
      </c>
      <c r="E20662" t="s">
        <v>12</v>
      </c>
      <c r="F20662">
        <v>6655743</v>
      </c>
      <c r="G20662">
        <v>6655784</v>
      </c>
      <c r="H20662">
        <v>6655743</v>
      </c>
      <c r="I20662">
        <v>6655784</v>
      </c>
    </row>
    <row r="20663" spans="1:9" x14ac:dyDescent="0.2">
      <c r="A20663" s="1" t="str">
        <f>"ZNF860"</f>
        <v>ZNF860</v>
      </c>
      <c r="B20663" t="s">
        <v>14</v>
      </c>
      <c r="C20663" t="s">
        <v>22</v>
      </c>
      <c r="D20663" t="s">
        <v>17</v>
      </c>
      <c r="E20663" t="s">
        <v>12</v>
      </c>
      <c r="F20663">
        <v>32023232</v>
      </c>
      <c r="G20663">
        <v>32023273</v>
      </c>
      <c r="H20663">
        <v>32022914</v>
      </c>
      <c r="I20663">
        <v>32022940</v>
      </c>
    </row>
    <row r="20664" spans="1:9" x14ac:dyDescent="0.2">
      <c r="A20664" s="1" t="str">
        <f>"ZNF862"</f>
        <v>ZNF862</v>
      </c>
      <c r="B20664" t="s">
        <v>14</v>
      </c>
      <c r="C20664" t="s">
        <v>33</v>
      </c>
      <c r="D20664" t="s">
        <v>17</v>
      </c>
      <c r="E20664" t="s">
        <v>12</v>
      </c>
      <c r="F20664">
        <v>149535455</v>
      </c>
      <c r="G20664">
        <v>149535555</v>
      </c>
      <c r="H20664">
        <v>149535455</v>
      </c>
      <c r="I20664">
        <v>149535555</v>
      </c>
    </row>
    <row r="20665" spans="1:9" x14ac:dyDescent="0.2">
      <c r="A20665" s="1" t="str">
        <f>"ZNF865"</f>
        <v>ZNF865</v>
      </c>
      <c r="B20665" t="s">
        <v>14</v>
      </c>
      <c r="C20665" t="s">
        <v>10</v>
      </c>
      <c r="D20665" t="s">
        <v>17</v>
      </c>
      <c r="E20665" t="s">
        <v>12</v>
      </c>
      <c r="F20665">
        <v>56124957</v>
      </c>
      <c r="G20665">
        <v>56124993</v>
      </c>
      <c r="H20665">
        <v>56124728</v>
      </c>
      <c r="I20665">
        <v>56124730</v>
      </c>
    </row>
    <row r="20666" spans="1:9" x14ac:dyDescent="0.2">
      <c r="A20666" s="1" t="str">
        <f>"ZNF878"</f>
        <v>ZNF878</v>
      </c>
      <c r="B20666" t="s">
        <v>14</v>
      </c>
      <c r="C20666" t="s">
        <v>10</v>
      </c>
      <c r="D20666" t="s">
        <v>11</v>
      </c>
      <c r="E20666" t="s">
        <v>12</v>
      </c>
      <c r="F20666">
        <v>12163769</v>
      </c>
      <c r="G20666">
        <v>12163798</v>
      </c>
      <c r="H20666">
        <v>12163769</v>
      </c>
      <c r="I20666">
        <v>12163798</v>
      </c>
    </row>
    <row r="20667" spans="1:9" x14ac:dyDescent="0.2">
      <c r="A20667" s="1" t="str">
        <f>"ZNF879"</f>
        <v>ZNF879</v>
      </c>
      <c r="B20667" t="s">
        <v>14</v>
      </c>
      <c r="C20667" t="s">
        <v>46</v>
      </c>
      <c r="D20667" t="s">
        <v>17</v>
      </c>
      <c r="E20667" t="s">
        <v>12</v>
      </c>
      <c r="F20667">
        <v>178450797</v>
      </c>
      <c r="G20667">
        <v>178450814</v>
      </c>
      <c r="H20667">
        <v>178450829</v>
      </c>
      <c r="I20667">
        <v>178450853</v>
      </c>
    </row>
    <row r="20668" spans="1:9" x14ac:dyDescent="0.2">
      <c r="A20668" s="1" t="str">
        <f>"ZNF880"</f>
        <v>ZNF880</v>
      </c>
      <c r="B20668" t="s">
        <v>14</v>
      </c>
      <c r="C20668" t="s">
        <v>10</v>
      </c>
      <c r="D20668" t="s">
        <v>17</v>
      </c>
      <c r="E20668" t="s">
        <v>12</v>
      </c>
      <c r="F20668">
        <v>52873166</v>
      </c>
      <c r="G20668">
        <v>52873208</v>
      </c>
      <c r="H20668">
        <v>52873166</v>
      </c>
      <c r="I20668">
        <v>52873208</v>
      </c>
    </row>
    <row r="20669" spans="1:9" x14ac:dyDescent="0.2">
      <c r="A20669" s="1" t="str">
        <f>"ZNF883"</f>
        <v>ZNF883</v>
      </c>
      <c r="B20669" t="s">
        <v>14</v>
      </c>
      <c r="C20669" t="s">
        <v>24</v>
      </c>
      <c r="D20669" t="s">
        <v>11</v>
      </c>
      <c r="E20669" t="s">
        <v>12</v>
      </c>
      <c r="F20669">
        <v>115774453</v>
      </c>
      <c r="G20669">
        <v>115774505</v>
      </c>
      <c r="H20669">
        <v>115774453</v>
      </c>
      <c r="I20669">
        <v>115774505</v>
      </c>
    </row>
    <row r="20670" spans="1:9" x14ac:dyDescent="0.2">
      <c r="A20670" s="1" t="str">
        <f>"ZNF888"</f>
        <v>ZNF888</v>
      </c>
      <c r="B20670" t="s">
        <v>1878</v>
      </c>
      <c r="C20670" t="s">
        <v>10</v>
      </c>
      <c r="D20670" t="s">
        <v>11</v>
      </c>
      <c r="E20670" t="s">
        <v>20</v>
      </c>
      <c r="F20670">
        <v>53421125</v>
      </c>
      <c r="G20670">
        <v>53421125</v>
      </c>
      <c r="H20670">
        <v>53421125</v>
      </c>
      <c r="I20670">
        <v>53421125</v>
      </c>
    </row>
    <row r="20671" spans="1:9" x14ac:dyDescent="0.2">
      <c r="A20671" s="1" t="str">
        <f>"ZNF888"</f>
        <v>ZNF888</v>
      </c>
      <c r="B20671" t="s">
        <v>1879</v>
      </c>
      <c r="C20671" t="s">
        <v>10</v>
      </c>
      <c r="D20671" t="s">
        <v>11</v>
      </c>
      <c r="E20671" t="s">
        <v>75</v>
      </c>
      <c r="F20671">
        <v>53426700</v>
      </c>
      <c r="G20671">
        <v>53426735</v>
      </c>
      <c r="H20671">
        <v>53426669</v>
      </c>
      <c r="I20671">
        <v>53426687</v>
      </c>
    </row>
    <row r="20672" spans="1:9" x14ac:dyDescent="0.2">
      <c r="A20672" s="1" t="str">
        <f>"ZNF891"</f>
        <v>ZNF891</v>
      </c>
      <c r="B20672" t="s">
        <v>14</v>
      </c>
      <c r="C20672" t="s">
        <v>16</v>
      </c>
      <c r="D20672" t="s">
        <v>11</v>
      </c>
      <c r="E20672" t="s">
        <v>12</v>
      </c>
      <c r="F20672">
        <v>133706820</v>
      </c>
      <c r="G20672">
        <v>133706881</v>
      </c>
      <c r="H20672">
        <v>133707021</v>
      </c>
      <c r="I20672">
        <v>133707071</v>
      </c>
    </row>
    <row r="20673" spans="1:9" x14ac:dyDescent="0.2">
      <c r="A20673" s="1" t="str">
        <f>"ZNF90"</f>
        <v>ZNF90</v>
      </c>
      <c r="B20673" t="s">
        <v>14</v>
      </c>
      <c r="C20673" t="s">
        <v>10</v>
      </c>
      <c r="D20673" t="s">
        <v>17</v>
      </c>
      <c r="E20673" t="s">
        <v>12</v>
      </c>
      <c r="F20673">
        <v>20188776</v>
      </c>
      <c r="G20673">
        <v>20188826</v>
      </c>
      <c r="H20673">
        <v>20188831</v>
      </c>
      <c r="I20673">
        <v>20188844</v>
      </c>
    </row>
    <row r="20674" spans="1:9" x14ac:dyDescent="0.2">
      <c r="A20674" s="1" t="str">
        <f>"ZNF91"</f>
        <v>ZNF91</v>
      </c>
      <c r="B20674" t="s">
        <v>14</v>
      </c>
      <c r="C20674" t="s">
        <v>10</v>
      </c>
      <c r="D20674" t="s">
        <v>11</v>
      </c>
      <c r="E20674" t="s">
        <v>12</v>
      </c>
      <c r="F20674">
        <v>23578226</v>
      </c>
      <c r="G20674">
        <v>23578285</v>
      </c>
      <c r="H20674">
        <v>23578226</v>
      </c>
      <c r="I20674">
        <v>23578285</v>
      </c>
    </row>
    <row r="20675" spans="1:9" x14ac:dyDescent="0.2">
      <c r="A20675" s="1" t="str">
        <f>"ZNF92"</f>
        <v>ZNF92</v>
      </c>
      <c r="B20675" t="s">
        <v>14</v>
      </c>
      <c r="C20675" t="s">
        <v>33</v>
      </c>
      <c r="D20675" t="s">
        <v>17</v>
      </c>
      <c r="E20675" t="s">
        <v>12</v>
      </c>
      <c r="F20675">
        <v>64838754</v>
      </c>
      <c r="G20675">
        <v>64838778</v>
      </c>
      <c r="H20675">
        <v>64838786</v>
      </c>
      <c r="I20675">
        <v>64838809</v>
      </c>
    </row>
    <row r="20676" spans="1:9" x14ac:dyDescent="0.2">
      <c r="A20676" s="1" t="str">
        <f>"ZNF93"</f>
        <v>ZNF93</v>
      </c>
      <c r="B20676" t="s">
        <v>14</v>
      </c>
      <c r="C20676" t="s">
        <v>10</v>
      </c>
      <c r="D20676" t="s">
        <v>17</v>
      </c>
      <c r="E20676" t="s">
        <v>12</v>
      </c>
      <c r="F20676">
        <v>20011744</v>
      </c>
      <c r="G20676">
        <v>20011770</v>
      </c>
      <c r="H20676">
        <v>20011775</v>
      </c>
      <c r="I20676">
        <v>20011800</v>
      </c>
    </row>
    <row r="20677" spans="1:9" x14ac:dyDescent="0.2">
      <c r="A20677" s="1" t="str">
        <f>"ZNF98"</f>
        <v>ZNF98</v>
      </c>
      <c r="B20677" t="s">
        <v>14</v>
      </c>
      <c r="C20677" t="s">
        <v>10</v>
      </c>
      <c r="D20677" t="s">
        <v>11</v>
      </c>
      <c r="E20677" t="s">
        <v>12</v>
      </c>
      <c r="F20677">
        <v>22605136</v>
      </c>
      <c r="G20677">
        <v>22605154</v>
      </c>
      <c r="H20677">
        <v>22605097</v>
      </c>
      <c r="I20677">
        <v>22605121</v>
      </c>
    </row>
    <row r="20678" spans="1:9" x14ac:dyDescent="0.2">
      <c r="A20678" s="1" t="str">
        <f>"ZNF99"</f>
        <v>ZNF99</v>
      </c>
      <c r="B20678" t="s">
        <v>14</v>
      </c>
      <c r="C20678" t="s">
        <v>10</v>
      </c>
      <c r="D20678" t="s">
        <v>11</v>
      </c>
      <c r="E20678" t="s">
        <v>12</v>
      </c>
      <c r="F20678">
        <v>22966925</v>
      </c>
      <c r="G20678">
        <v>22966958</v>
      </c>
      <c r="H20678">
        <v>22966893</v>
      </c>
      <c r="I20678">
        <v>22966924</v>
      </c>
    </row>
    <row r="20679" spans="1:9" x14ac:dyDescent="0.2">
      <c r="A20679" s="1" t="str">
        <f>"ZNFX1"</f>
        <v>ZNFX1</v>
      </c>
      <c r="B20679" t="s">
        <v>14</v>
      </c>
      <c r="C20679" t="s">
        <v>29</v>
      </c>
      <c r="D20679" t="s">
        <v>11</v>
      </c>
      <c r="E20679" t="s">
        <v>12</v>
      </c>
      <c r="F20679">
        <v>47894569</v>
      </c>
      <c r="G20679">
        <v>47894799</v>
      </c>
      <c r="H20679">
        <v>47894936</v>
      </c>
      <c r="I20679">
        <v>47895010</v>
      </c>
    </row>
    <row r="20680" spans="1:9" x14ac:dyDescent="0.2">
      <c r="A20680" s="1" t="str">
        <f>"ZNHIT1"</f>
        <v>ZNHIT1</v>
      </c>
      <c r="B20680" t="s">
        <v>14</v>
      </c>
      <c r="C20680" t="s">
        <v>33</v>
      </c>
      <c r="D20680" t="s">
        <v>17</v>
      </c>
      <c r="E20680" t="s">
        <v>12</v>
      </c>
      <c r="F20680">
        <v>100861427</v>
      </c>
      <c r="G20680">
        <v>100861471</v>
      </c>
      <c r="H20680">
        <v>100860961</v>
      </c>
      <c r="I20680">
        <v>100860983</v>
      </c>
    </row>
    <row r="20681" spans="1:9" x14ac:dyDescent="0.2">
      <c r="A20681" s="1" t="str">
        <f>"ZNHIT2"</f>
        <v>ZNHIT2</v>
      </c>
      <c r="B20681" t="s">
        <v>14</v>
      </c>
      <c r="C20681" t="s">
        <v>27</v>
      </c>
      <c r="D20681" t="s">
        <v>11</v>
      </c>
      <c r="E20681" t="s">
        <v>12</v>
      </c>
      <c r="F20681">
        <v>64885111</v>
      </c>
      <c r="G20681">
        <v>64885202</v>
      </c>
      <c r="H20681">
        <v>64885031</v>
      </c>
      <c r="I20681">
        <v>64885081</v>
      </c>
    </row>
    <row r="20682" spans="1:9" x14ac:dyDescent="0.2">
      <c r="A20682" s="1" t="str">
        <f>"ZNHIT3"</f>
        <v>ZNHIT3</v>
      </c>
      <c r="B20682" t="s">
        <v>14</v>
      </c>
      <c r="C20682" t="s">
        <v>28</v>
      </c>
      <c r="D20682" t="s">
        <v>17</v>
      </c>
      <c r="E20682" t="s">
        <v>12</v>
      </c>
      <c r="F20682">
        <v>34842512</v>
      </c>
      <c r="G20682">
        <v>34842544</v>
      </c>
      <c r="H20682">
        <v>34842491</v>
      </c>
      <c r="I20682">
        <v>34842507</v>
      </c>
    </row>
    <row r="20683" spans="1:9" x14ac:dyDescent="0.2">
      <c r="A20683" s="1" t="str">
        <f>"ZNHIT6"</f>
        <v>ZNHIT6</v>
      </c>
      <c r="B20683" t="s">
        <v>14</v>
      </c>
      <c r="C20683" t="s">
        <v>19</v>
      </c>
      <c r="D20683" t="s">
        <v>11</v>
      </c>
      <c r="E20683" t="s">
        <v>12</v>
      </c>
      <c r="F20683">
        <v>86174065</v>
      </c>
      <c r="G20683">
        <v>86174134</v>
      </c>
      <c r="H20683">
        <v>86174004</v>
      </c>
      <c r="I20683">
        <v>86174028</v>
      </c>
    </row>
    <row r="20684" spans="1:9" x14ac:dyDescent="0.2">
      <c r="A20684" s="1" t="str">
        <f>"ZNRD1"</f>
        <v>ZNRD1</v>
      </c>
      <c r="B20684" t="s">
        <v>14</v>
      </c>
      <c r="C20684" t="s">
        <v>32</v>
      </c>
      <c r="D20684" t="s">
        <v>17</v>
      </c>
      <c r="E20684" t="s">
        <v>12</v>
      </c>
      <c r="F20684">
        <v>30029062</v>
      </c>
      <c r="G20684">
        <v>30029088</v>
      </c>
      <c r="H20684">
        <v>30029008</v>
      </c>
      <c r="I20684">
        <v>30029055</v>
      </c>
    </row>
    <row r="20685" spans="1:9" x14ac:dyDescent="0.2">
      <c r="A20685" s="1" t="str">
        <f>"ZNRF1"</f>
        <v>ZNRF1</v>
      </c>
      <c r="B20685" t="s">
        <v>14</v>
      </c>
      <c r="C20685" t="s">
        <v>31</v>
      </c>
      <c r="D20685" t="s">
        <v>17</v>
      </c>
      <c r="E20685" t="s">
        <v>12</v>
      </c>
      <c r="F20685">
        <v>75032901</v>
      </c>
      <c r="G20685">
        <v>75032974</v>
      </c>
      <c r="H20685">
        <v>75033210</v>
      </c>
      <c r="I20685">
        <v>75033288</v>
      </c>
    </row>
    <row r="20686" spans="1:9" x14ac:dyDescent="0.2">
      <c r="A20686" s="1" t="str">
        <f>"ZNRF2"</f>
        <v>ZNRF2</v>
      </c>
      <c r="B20686" t="s">
        <v>14</v>
      </c>
      <c r="C20686" t="s">
        <v>33</v>
      </c>
      <c r="D20686" t="s">
        <v>17</v>
      </c>
      <c r="E20686" t="s">
        <v>12</v>
      </c>
      <c r="F20686">
        <v>30324206</v>
      </c>
      <c r="G20686">
        <v>30324252</v>
      </c>
      <c r="H20686">
        <v>30324606</v>
      </c>
      <c r="I20686">
        <v>30324656</v>
      </c>
    </row>
    <row r="20687" spans="1:9" x14ac:dyDescent="0.2">
      <c r="A20687" s="1" t="str">
        <f>"ZNRF3"</f>
        <v>ZNRF3</v>
      </c>
      <c r="B20687" t="s">
        <v>14</v>
      </c>
      <c r="C20687" t="s">
        <v>21</v>
      </c>
      <c r="D20687" t="s">
        <v>17</v>
      </c>
      <c r="E20687" t="s">
        <v>12</v>
      </c>
      <c r="F20687">
        <v>29279552</v>
      </c>
      <c r="G20687">
        <v>29279586</v>
      </c>
      <c r="H20687">
        <v>29279602</v>
      </c>
      <c r="I20687">
        <v>29279621</v>
      </c>
    </row>
    <row r="20688" spans="1:9" x14ac:dyDescent="0.2">
      <c r="A20688" s="1" t="str">
        <f>"ZNRF4"</f>
        <v>ZNRF4</v>
      </c>
      <c r="B20688" t="s">
        <v>14</v>
      </c>
      <c r="C20688" t="s">
        <v>10</v>
      </c>
      <c r="D20688" t="s">
        <v>17</v>
      </c>
      <c r="E20688" t="s">
        <v>12</v>
      </c>
      <c r="F20688">
        <v>5455421</v>
      </c>
      <c r="G20688">
        <v>5455447</v>
      </c>
      <c r="H20688">
        <v>5455453</v>
      </c>
      <c r="I20688">
        <v>5455482</v>
      </c>
    </row>
    <row r="20689" spans="1:9" x14ac:dyDescent="0.2">
      <c r="A20689" s="1" t="str">
        <f>"ZP1"</f>
        <v>ZP1</v>
      </c>
      <c r="B20689" t="s">
        <v>14</v>
      </c>
      <c r="C20689" t="s">
        <v>27</v>
      </c>
      <c r="D20689" t="s">
        <v>17</v>
      </c>
      <c r="E20689" t="s">
        <v>12</v>
      </c>
      <c r="F20689">
        <v>60637963</v>
      </c>
      <c r="G20689">
        <v>60637974</v>
      </c>
      <c r="H20689">
        <v>60637963</v>
      </c>
      <c r="I20689">
        <v>60637974</v>
      </c>
    </row>
    <row r="20690" spans="1:9" x14ac:dyDescent="0.2">
      <c r="A20690" s="1" t="str">
        <f>"ZP2"</f>
        <v>ZP2</v>
      </c>
      <c r="B20690" t="s">
        <v>14</v>
      </c>
      <c r="C20690" t="s">
        <v>31</v>
      </c>
      <c r="D20690" t="s">
        <v>11</v>
      </c>
      <c r="E20690" t="s">
        <v>12</v>
      </c>
      <c r="F20690">
        <v>21222887</v>
      </c>
      <c r="G20690">
        <v>21222900</v>
      </c>
      <c r="H20690">
        <v>21222873</v>
      </c>
      <c r="I20690">
        <v>21222882</v>
      </c>
    </row>
    <row r="20691" spans="1:9" x14ac:dyDescent="0.2">
      <c r="A20691" s="1" t="str">
        <f>"ZP3"</f>
        <v>ZP3</v>
      </c>
      <c r="B20691" t="s">
        <v>14</v>
      </c>
      <c r="C20691" t="s">
        <v>33</v>
      </c>
      <c r="D20691" t="s">
        <v>17</v>
      </c>
      <c r="E20691" t="s">
        <v>12</v>
      </c>
      <c r="F20691">
        <v>76026832</v>
      </c>
      <c r="G20691">
        <v>76026861</v>
      </c>
      <c r="H20691">
        <v>76026918</v>
      </c>
      <c r="I20691">
        <v>76026937</v>
      </c>
    </row>
    <row r="20692" spans="1:9" x14ac:dyDescent="0.2">
      <c r="A20692" s="1" t="str">
        <f>"ZP4"</f>
        <v>ZP4</v>
      </c>
      <c r="B20692" t="s">
        <v>14</v>
      </c>
      <c r="C20692" t="s">
        <v>19</v>
      </c>
      <c r="D20692" t="s">
        <v>11</v>
      </c>
      <c r="E20692" t="s">
        <v>12</v>
      </c>
      <c r="F20692">
        <v>238053989</v>
      </c>
      <c r="G20692">
        <v>238053991</v>
      </c>
      <c r="H20692">
        <v>238053989</v>
      </c>
      <c r="I20692">
        <v>238053991</v>
      </c>
    </row>
    <row r="20693" spans="1:9" x14ac:dyDescent="0.2">
      <c r="A20693" s="1" t="str">
        <f>"ZPBP"</f>
        <v>ZPBP</v>
      </c>
      <c r="B20693" t="s">
        <v>14</v>
      </c>
      <c r="C20693" t="s">
        <v>33</v>
      </c>
      <c r="D20693" t="s">
        <v>11</v>
      </c>
      <c r="E20693" t="s">
        <v>12</v>
      </c>
      <c r="F20693">
        <v>50132801</v>
      </c>
      <c r="G20693">
        <v>50132851</v>
      </c>
      <c r="H20693">
        <v>50132862</v>
      </c>
      <c r="I20693">
        <v>50132871</v>
      </c>
    </row>
    <row r="20694" spans="1:9" x14ac:dyDescent="0.2">
      <c r="A20694" s="1" t="str">
        <f>"ZPBP2"</f>
        <v>ZPBP2</v>
      </c>
      <c r="B20694" t="s">
        <v>14</v>
      </c>
      <c r="C20694" t="s">
        <v>28</v>
      </c>
      <c r="D20694" t="s">
        <v>17</v>
      </c>
      <c r="E20694" t="s">
        <v>12</v>
      </c>
      <c r="F20694">
        <v>38024449</v>
      </c>
      <c r="G20694">
        <v>38024478</v>
      </c>
      <c r="H20694">
        <v>38024491</v>
      </c>
      <c r="I20694">
        <v>38024508</v>
      </c>
    </row>
    <row r="20695" spans="1:9" x14ac:dyDescent="0.2">
      <c r="A20695" s="1" t="str">
        <f>"ZPLD1"</f>
        <v>ZPLD1</v>
      </c>
      <c r="B20695" t="s">
        <v>1880</v>
      </c>
      <c r="C20695" t="s">
        <v>22</v>
      </c>
      <c r="D20695" t="s">
        <v>17</v>
      </c>
      <c r="E20695" t="s">
        <v>20</v>
      </c>
      <c r="F20695">
        <v>102153876</v>
      </c>
      <c r="G20695">
        <v>102153876</v>
      </c>
      <c r="H20695">
        <v>102153876</v>
      </c>
      <c r="I20695">
        <v>102153876</v>
      </c>
    </row>
    <row r="20696" spans="1:9" x14ac:dyDescent="0.2">
      <c r="A20696" s="1" t="str">
        <f>"ZPLD1"</f>
        <v>ZPLD1</v>
      </c>
      <c r="B20696" t="s">
        <v>1881</v>
      </c>
      <c r="C20696" t="s">
        <v>22</v>
      </c>
      <c r="D20696" t="s">
        <v>17</v>
      </c>
      <c r="E20696" t="s">
        <v>20</v>
      </c>
      <c r="F20696">
        <v>101818087</v>
      </c>
      <c r="G20696">
        <v>101818087</v>
      </c>
      <c r="H20696">
        <v>101818087</v>
      </c>
      <c r="I20696">
        <v>101818087</v>
      </c>
    </row>
    <row r="20697" spans="1:9" x14ac:dyDescent="0.2">
      <c r="A20697" s="1" t="str">
        <f>"ZRANB1"</f>
        <v>ZRANB1</v>
      </c>
      <c r="B20697" t="s">
        <v>1882</v>
      </c>
      <c r="C20697" t="s">
        <v>15</v>
      </c>
      <c r="D20697" t="s">
        <v>17</v>
      </c>
      <c r="E20697" t="s">
        <v>20</v>
      </c>
      <c r="F20697">
        <v>126630691</v>
      </c>
      <c r="G20697">
        <v>126630691</v>
      </c>
      <c r="H20697">
        <v>126630691</v>
      </c>
      <c r="I20697">
        <v>126630691</v>
      </c>
    </row>
    <row r="20698" spans="1:9" x14ac:dyDescent="0.2">
      <c r="A20698" s="1" t="str">
        <f>"ZRANB2"</f>
        <v>ZRANB2</v>
      </c>
      <c r="B20698" t="s">
        <v>14</v>
      </c>
      <c r="C20698" t="s">
        <v>19</v>
      </c>
      <c r="D20698" t="s">
        <v>11</v>
      </c>
      <c r="E20698" t="s">
        <v>12</v>
      </c>
      <c r="F20698">
        <v>71546690</v>
      </c>
      <c r="G20698">
        <v>71546730</v>
      </c>
      <c r="H20698">
        <v>71546949</v>
      </c>
      <c r="I20698">
        <v>71546984</v>
      </c>
    </row>
    <row r="20699" spans="1:9" x14ac:dyDescent="0.2">
      <c r="A20699" s="1" t="str">
        <f>"ZRANB3"</f>
        <v>ZRANB3</v>
      </c>
      <c r="B20699" t="s">
        <v>14</v>
      </c>
      <c r="C20699" t="s">
        <v>26</v>
      </c>
      <c r="D20699" t="s">
        <v>11</v>
      </c>
      <c r="E20699" t="s">
        <v>12</v>
      </c>
      <c r="F20699">
        <v>136288740</v>
      </c>
      <c r="G20699">
        <v>136288795</v>
      </c>
      <c r="H20699">
        <v>136288113</v>
      </c>
      <c r="I20699">
        <v>136288170</v>
      </c>
    </row>
    <row r="20700" spans="1:9" x14ac:dyDescent="0.2">
      <c r="A20700" s="1" t="str">
        <f>"ZRSR2"</f>
        <v>ZRSR2</v>
      </c>
      <c r="B20700" t="s">
        <v>14</v>
      </c>
      <c r="C20700" t="s">
        <v>37</v>
      </c>
      <c r="D20700" t="s">
        <v>17</v>
      </c>
      <c r="E20700" t="s">
        <v>12</v>
      </c>
      <c r="F20700">
        <v>15808569</v>
      </c>
      <c r="G20700">
        <v>15808623</v>
      </c>
      <c r="H20700">
        <v>15808255</v>
      </c>
      <c r="I20700">
        <v>15808274</v>
      </c>
    </row>
    <row r="20701" spans="1:9" x14ac:dyDescent="0.2">
      <c r="A20701" s="1" t="str">
        <f>"ZSCAN1"</f>
        <v>ZSCAN1</v>
      </c>
      <c r="B20701" t="s">
        <v>14</v>
      </c>
      <c r="C20701" t="s">
        <v>10</v>
      </c>
      <c r="D20701" t="s">
        <v>17</v>
      </c>
      <c r="E20701" t="s">
        <v>12</v>
      </c>
      <c r="F20701">
        <v>58545454</v>
      </c>
      <c r="G20701">
        <v>58545498</v>
      </c>
      <c r="H20701">
        <v>58545369</v>
      </c>
      <c r="I20701">
        <v>58545404</v>
      </c>
    </row>
    <row r="20702" spans="1:9" x14ac:dyDescent="0.2">
      <c r="A20702" s="1" t="str">
        <f>"ZSCAN10"</f>
        <v>ZSCAN10</v>
      </c>
      <c r="B20702" t="s">
        <v>14</v>
      </c>
      <c r="C20702" t="s">
        <v>31</v>
      </c>
      <c r="D20702" t="s">
        <v>11</v>
      </c>
      <c r="E20702" t="s">
        <v>12</v>
      </c>
      <c r="F20702">
        <v>3149278</v>
      </c>
      <c r="G20702">
        <v>3149305</v>
      </c>
      <c r="H20702">
        <v>3149266</v>
      </c>
      <c r="I20702">
        <v>3149277</v>
      </c>
    </row>
    <row r="20703" spans="1:9" x14ac:dyDescent="0.2">
      <c r="A20703" s="1" t="str">
        <f>"ZSCAN12"</f>
        <v>ZSCAN12</v>
      </c>
      <c r="B20703" t="s">
        <v>14</v>
      </c>
      <c r="C20703" t="s">
        <v>32</v>
      </c>
      <c r="D20703" t="s">
        <v>11</v>
      </c>
      <c r="E20703" t="s">
        <v>12</v>
      </c>
      <c r="F20703">
        <v>28367510</v>
      </c>
      <c r="G20703">
        <v>28367537</v>
      </c>
      <c r="H20703">
        <v>28367481</v>
      </c>
      <c r="I20703">
        <v>28367506</v>
      </c>
    </row>
    <row r="20704" spans="1:9" x14ac:dyDescent="0.2">
      <c r="A20704" s="1" t="str">
        <f>"ZSCAN16"</f>
        <v>ZSCAN16</v>
      </c>
      <c r="B20704" t="s">
        <v>14</v>
      </c>
      <c r="C20704" t="s">
        <v>32</v>
      </c>
      <c r="D20704" t="s">
        <v>17</v>
      </c>
      <c r="E20704" t="s">
        <v>12</v>
      </c>
      <c r="F20704">
        <v>28092375</v>
      </c>
      <c r="G20704">
        <v>28092412</v>
      </c>
      <c r="H20704">
        <v>28092416</v>
      </c>
      <c r="I20704">
        <v>28092433</v>
      </c>
    </row>
    <row r="20705" spans="1:9" x14ac:dyDescent="0.2">
      <c r="A20705" s="1" t="str">
        <f>"ZSCAN18"</f>
        <v>ZSCAN18</v>
      </c>
      <c r="B20705" t="s">
        <v>9</v>
      </c>
      <c r="C20705" t="s">
        <v>10</v>
      </c>
      <c r="D20705" t="s">
        <v>11</v>
      </c>
      <c r="E20705" t="s">
        <v>12</v>
      </c>
      <c r="F20705">
        <v>58609577</v>
      </c>
      <c r="G20705">
        <v>58609628</v>
      </c>
      <c r="H20705">
        <v>58609577</v>
      </c>
      <c r="I20705">
        <v>58609628</v>
      </c>
    </row>
    <row r="20706" spans="1:9" x14ac:dyDescent="0.2">
      <c r="A20706" s="1" t="str">
        <f>"ZSCAN18"</f>
        <v>ZSCAN18</v>
      </c>
      <c r="B20706" t="s">
        <v>13</v>
      </c>
      <c r="C20706" t="s">
        <v>10</v>
      </c>
      <c r="D20706" t="s">
        <v>11</v>
      </c>
      <c r="E20706" t="s">
        <v>12</v>
      </c>
      <c r="F20706">
        <v>58629742</v>
      </c>
      <c r="G20706">
        <v>58629787</v>
      </c>
      <c r="H20706">
        <v>58629742</v>
      </c>
      <c r="I20706">
        <v>58629787</v>
      </c>
    </row>
    <row r="20707" spans="1:9" x14ac:dyDescent="0.2">
      <c r="A20707" s="1" t="str">
        <f>"ZSCAN2"</f>
        <v>ZSCAN2</v>
      </c>
      <c r="B20707" t="s">
        <v>14</v>
      </c>
      <c r="C20707" t="s">
        <v>25</v>
      </c>
      <c r="D20707" t="s">
        <v>17</v>
      </c>
      <c r="E20707" t="s">
        <v>12</v>
      </c>
      <c r="F20707">
        <v>85144229</v>
      </c>
      <c r="G20707">
        <v>85144273</v>
      </c>
      <c r="H20707">
        <v>85144307</v>
      </c>
      <c r="I20707">
        <v>85144329</v>
      </c>
    </row>
    <row r="20708" spans="1:9" x14ac:dyDescent="0.2">
      <c r="A20708" s="1" t="str">
        <f>"ZSCAN20"</f>
        <v>ZSCAN20</v>
      </c>
      <c r="B20708" t="s">
        <v>14</v>
      </c>
      <c r="C20708" t="s">
        <v>19</v>
      </c>
      <c r="D20708" t="s">
        <v>17</v>
      </c>
      <c r="E20708" t="s">
        <v>12</v>
      </c>
      <c r="F20708">
        <v>33938236</v>
      </c>
      <c r="G20708">
        <v>33938267</v>
      </c>
      <c r="H20708">
        <v>33938231</v>
      </c>
      <c r="I20708">
        <v>33938235</v>
      </c>
    </row>
    <row r="20709" spans="1:9" x14ac:dyDescent="0.2">
      <c r="A20709" s="1" t="str">
        <f>"ZSCAN21"</f>
        <v>ZSCAN21</v>
      </c>
      <c r="B20709" t="s">
        <v>14</v>
      </c>
      <c r="C20709" t="s">
        <v>33</v>
      </c>
      <c r="D20709" t="s">
        <v>17</v>
      </c>
      <c r="E20709" t="s">
        <v>12</v>
      </c>
      <c r="F20709">
        <v>99647389</v>
      </c>
      <c r="G20709">
        <v>99647410</v>
      </c>
      <c r="H20709">
        <v>99647411</v>
      </c>
      <c r="I20709">
        <v>99647433</v>
      </c>
    </row>
    <row r="20710" spans="1:9" x14ac:dyDescent="0.2">
      <c r="A20710" s="1" t="str">
        <f>"ZSCAN22"</f>
        <v>ZSCAN22</v>
      </c>
      <c r="B20710" t="s">
        <v>14</v>
      </c>
      <c r="C20710" t="s">
        <v>10</v>
      </c>
      <c r="D20710" t="s">
        <v>17</v>
      </c>
      <c r="E20710" t="s">
        <v>12</v>
      </c>
      <c r="F20710">
        <v>58838369</v>
      </c>
      <c r="G20710">
        <v>58838439</v>
      </c>
      <c r="H20710">
        <v>58838357</v>
      </c>
      <c r="I20710">
        <v>58838367</v>
      </c>
    </row>
    <row r="20711" spans="1:9" x14ac:dyDescent="0.2">
      <c r="A20711" s="1" t="str">
        <f>"ZSCAN23"</f>
        <v>ZSCAN23</v>
      </c>
      <c r="B20711" t="s">
        <v>14</v>
      </c>
      <c r="C20711" t="s">
        <v>32</v>
      </c>
      <c r="D20711" t="s">
        <v>11</v>
      </c>
      <c r="E20711" t="s">
        <v>12</v>
      </c>
      <c r="F20711">
        <v>28411241</v>
      </c>
      <c r="G20711">
        <v>28411284</v>
      </c>
      <c r="H20711">
        <v>28411220</v>
      </c>
      <c r="I20711">
        <v>28411230</v>
      </c>
    </row>
    <row r="20712" spans="1:9" x14ac:dyDescent="0.2">
      <c r="A20712" s="1" t="str">
        <f>"ZSCAN25"</f>
        <v>ZSCAN25</v>
      </c>
      <c r="B20712" t="s">
        <v>14</v>
      </c>
      <c r="C20712" t="s">
        <v>33</v>
      </c>
      <c r="D20712" t="s">
        <v>17</v>
      </c>
      <c r="E20712" t="s">
        <v>12</v>
      </c>
      <c r="F20712">
        <v>99214559</v>
      </c>
      <c r="G20712">
        <v>99214601</v>
      </c>
      <c r="H20712">
        <v>99214559</v>
      </c>
      <c r="I20712">
        <v>99214601</v>
      </c>
    </row>
    <row r="20713" spans="1:9" x14ac:dyDescent="0.2">
      <c r="A20713" s="1" t="str">
        <f>"ZSCAN26"</f>
        <v>ZSCAN26</v>
      </c>
      <c r="B20713" t="s">
        <v>14</v>
      </c>
      <c r="C20713" t="s">
        <v>32</v>
      </c>
      <c r="D20713" t="s">
        <v>17</v>
      </c>
      <c r="E20713" t="s">
        <v>12</v>
      </c>
      <c r="F20713">
        <v>28234822</v>
      </c>
      <c r="G20713">
        <v>28234836</v>
      </c>
      <c r="H20713">
        <v>28235131</v>
      </c>
      <c r="I20713">
        <v>28235151</v>
      </c>
    </row>
    <row r="20714" spans="1:9" x14ac:dyDescent="0.2">
      <c r="A20714" s="1" t="str">
        <f>"ZSCAN29"</f>
        <v>ZSCAN29</v>
      </c>
      <c r="B20714" t="s">
        <v>14</v>
      </c>
      <c r="C20714" t="s">
        <v>25</v>
      </c>
      <c r="D20714" t="s">
        <v>11</v>
      </c>
      <c r="E20714" t="s">
        <v>12</v>
      </c>
      <c r="F20714">
        <v>43661190</v>
      </c>
      <c r="G20714">
        <v>43661197</v>
      </c>
      <c r="H20714">
        <v>43661190</v>
      </c>
      <c r="I20714">
        <v>43661197</v>
      </c>
    </row>
    <row r="20715" spans="1:9" x14ac:dyDescent="0.2">
      <c r="A20715" s="1" t="str">
        <f>"ZSCAN30"</f>
        <v>ZSCAN30</v>
      </c>
      <c r="B20715" t="s">
        <v>14</v>
      </c>
      <c r="C20715" t="s">
        <v>43</v>
      </c>
      <c r="D20715" t="s">
        <v>11</v>
      </c>
      <c r="E20715" t="s">
        <v>12</v>
      </c>
      <c r="F20715">
        <v>32870148</v>
      </c>
      <c r="G20715">
        <v>32870223</v>
      </c>
      <c r="H20715">
        <v>32870122</v>
      </c>
      <c r="I20715">
        <v>32870133</v>
      </c>
    </row>
    <row r="20716" spans="1:9" x14ac:dyDescent="0.2">
      <c r="A20716" s="1" t="str">
        <f>"ZSCAN31"</f>
        <v>ZSCAN31</v>
      </c>
      <c r="B20716" t="s">
        <v>9</v>
      </c>
      <c r="C20716" t="s">
        <v>32</v>
      </c>
      <c r="D20716" t="s">
        <v>11</v>
      </c>
      <c r="E20716" t="s">
        <v>12</v>
      </c>
      <c r="F20716">
        <v>28321971</v>
      </c>
      <c r="G20716">
        <v>28321995</v>
      </c>
      <c r="H20716">
        <v>28321971</v>
      </c>
      <c r="I20716">
        <v>28321995</v>
      </c>
    </row>
    <row r="20717" spans="1:9" x14ac:dyDescent="0.2">
      <c r="A20717" s="1" t="str">
        <f>"ZSCAN31"</f>
        <v>ZSCAN31</v>
      </c>
      <c r="B20717" t="s">
        <v>13</v>
      </c>
      <c r="C20717" t="s">
        <v>32</v>
      </c>
      <c r="D20717" t="s">
        <v>11</v>
      </c>
      <c r="E20717" t="s">
        <v>12</v>
      </c>
      <c r="F20717">
        <v>28303901</v>
      </c>
      <c r="G20717">
        <v>28303944</v>
      </c>
      <c r="H20717">
        <v>28303901</v>
      </c>
      <c r="I20717">
        <v>28303944</v>
      </c>
    </row>
    <row r="20718" spans="1:9" x14ac:dyDescent="0.2">
      <c r="A20718" s="1" t="str">
        <f>"ZSCAN32"</f>
        <v>ZSCAN32</v>
      </c>
      <c r="B20718" t="s">
        <v>14</v>
      </c>
      <c r="C20718" t="s">
        <v>31</v>
      </c>
      <c r="D20718" t="s">
        <v>11</v>
      </c>
      <c r="E20718" t="s">
        <v>12</v>
      </c>
      <c r="F20718">
        <v>3450963</v>
      </c>
      <c r="G20718">
        <v>3451019</v>
      </c>
      <c r="H20718">
        <v>3450963</v>
      </c>
      <c r="I20718">
        <v>3451019</v>
      </c>
    </row>
    <row r="20719" spans="1:9" x14ac:dyDescent="0.2">
      <c r="A20719" s="1" t="str">
        <f>"ZSCAN4"</f>
        <v>ZSCAN4</v>
      </c>
      <c r="B20719" t="s">
        <v>1883</v>
      </c>
      <c r="C20719" t="s">
        <v>10</v>
      </c>
      <c r="D20719" t="s">
        <v>17</v>
      </c>
      <c r="E20719" t="s">
        <v>20</v>
      </c>
      <c r="F20719">
        <v>58180302</v>
      </c>
      <c r="G20719">
        <v>58180302</v>
      </c>
      <c r="H20719">
        <v>58180302</v>
      </c>
      <c r="I20719">
        <v>58180302</v>
      </c>
    </row>
    <row r="20720" spans="1:9" x14ac:dyDescent="0.2">
      <c r="A20720" s="1" t="str">
        <f>"ZSCAN5A"</f>
        <v>ZSCAN5A</v>
      </c>
      <c r="B20720" t="s">
        <v>1884</v>
      </c>
      <c r="C20720" t="s">
        <v>10</v>
      </c>
      <c r="D20720" t="s">
        <v>11</v>
      </c>
      <c r="E20720" t="s">
        <v>20</v>
      </c>
      <c r="F20720">
        <v>56739668</v>
      </c>
      <c r="G20720">
        <v>56739668</v>
      </c>
      <c r="H20720">
        <v>56739668</v>
      </c>
      <c r="I20720">
        <v>56739668</v>
      </c>
    </row>
    <row r="20721" spans="1:9" x14ac:dyDescent="0.2">
      <c r="A20721" s="1" t="str">
        <f>"ZSCAN5A"</f>
        <v>ZSCAN5A</v>
      </c>
      <c r="B20721" t="s">
        <v>1885</v>
      </c>
      <c r="C20721" t="s">
        <v>10</v>
      </c>
      <c r="D20721" t="s">
        <v>11</v>
      </c>
      <c r="E20721" t="s">
        <v>35</v>
      </c>
      <c r="F20721">
        <v>56879747</v>
      </c>
      <c r="G20721">
        <v>56879783</v>
      </c>
      <c r="H20721">
        <v>56879625</v>
      </c>
      <c r="I20721">
        <v>56879651</v>
      </c>
    </row>
    <row r="20722" spans="1:9" x14ac:dyDescent="0.2">
      <c r="A20722" s="1" t="str">
        <f>"ZSCAN5B"</f>
        <v>ZSCAN5B</v>
      </c>
      <c r="B20722" t="s">
        <v>1886</v>
      </c>
      <c r="C20722" t="s">
        <v>10</v>
      </c>
      <c r="D20722" t="s">
        <v>11</v>
      </c>
      <c r="E20722" t="s">
        <v>20</v>
      </c>
      <c r="F20722">
        <v>56704420</v>
      </c>
      <c r="G20722">
        <v>56704420</v>
      </c>
      <c r="H20722">
        <v>56704420</v>
      </c>
      <c r="I20722">
        <v>56704420</v>
      </c>
    </row>
    <row r="20723" spans="1:9" x14ac:dyDescent="0.2">
      <c r="A20723" s="1" t="str">
        <f>"ZSCAN5B"</f>
        <v>ZSCAN5B</v>
      </c>
      <c r="B20723" t="s">
        <v>1887</v>
      </c>
      <c r="C20723" t="s">
        <v>10</v>
      </c>
      <c r="D20723" t="s">
        <v>11</v>
      </c>
      <c r="E20723" t="s">
        <v>20</v>
      </c>
      <c r="F20723">
        <v>56709288</v>
      </c>
      <c r="G20723">
        <v>56709288</v>
      </c>
      <c r="H20723">
        <v>56709288</v>
      </c>
      <c r="I20723">
        <v>56709288</v>
      </c>
    </row>
    <row r="20724" spans="1:9" x14ac:dyDescent="0.2">
      <c r="A20724" s="1" t="str">
        <f>"ZSCAN5D"</f>
        <v>ZSCAN5D</v>
      </c>
      <c r="B20724" t="s">
        <v>1888</v>
      </c>
      <c r="C20724" t="s">
        <v>10</v>
      </c>
      <c r="D20724" t="s">
        <v>17</v>
      </c>
      <c r="E20724" t="s">
        <v>20</v>
      </c>
      <c r="F20724">
        <v>56751772</v>
      </c>
      <c r="G20724">
        <v>56751772</v>
      </c>
      <c r="H20724">
        <v>56751772</v>
      </c>
      <c r="I20724">
        <v>56751772</v>
      </c>
    </row>
    <row r="20725" spans="1:9" x14ac:dyDescent="0.2">
      <c r="A20725" s="1" t="str">
        <f>"ZSCAN9"</f>
        <v>ZSCAN9</v>
      </c>
      <c r="B20725" t="s">
        <v>14</v>
      </c>
      <c r="C20725" t="s">
        <v>32</v>
      </c>
      <c r="D20725" t="s">
        <v>17</v>
      </c>
      <c r="E20725" t="s">
        <v>12</v>
      </c>
      <c r="F20725">
        <v>28193037</v>
      </c>
      <c r="G20725">
        <v>28193086</v>
      </c>
      <c r="H20725">
        <v>28193016</v>
      </c>
      <c r="I20725">
        <v>28193026</v>
      </c>
    </row>
    <row r="20726" spans="1:9" x14ac:dyDescent="0.2">
      <c r="A20726" s="1" t="str">
        <f>"ZSWIM1"</f>
        <v>ZSWIM1</v>
      </c>
      <c r="B20726" t="s">
        <v>14</v>
      </c>
      <c r="C20726" t="s">
        <v>29</v>
      </c>
      <c r="D20726" t="s">
        <v>17</v>
      </c>
      <c r="E20726" t="s">
        <v>12</v>
      </c>
      <c r="F20726">
        <v>44509857</v>
      </c>
      <c r="G20726">
        <v>44509880</v>
      </c>
      <c r="H20726">
        <v>44509840</v>
      </c>
      <c r="I20726">
        <v>44509853</v>
      </c>
    </row>
    <row r="20727" spans="1:9" x14ac:dyDescent="0.2">
      <c r="A20727" s="1" t="str">
        <f>"ZSWIM2"</f>
        <v>ZSWIM2</v>
      </c>
      <c r="B20727" t="s">
        <v>14</v>
      </c>
      <c r="C20727" t="s">
        <v>26</v>
      </c>
      <c r="D20727" t="s">
        <v>11</v>
      </c>
      <c r="E20727" t="s">
        <v>12</v>
      </c>
      <c r="F20727">
        <v>187713891</v>
      </c>
      <c r="G20727">
        <v>187713901</v>
      </c>
      <c r="H20727">
        <v>187714023</v>
      </c>
      <c r="I20727">
        <v>187714033</v>
      </c>
    </row>
    <row r="20728" spans="1:9" x14ac:dyDescent="0.2">
      <c r="A20728" s="1" t="str">
        <f>"ZSWIM3"</f>
        <v>ZSWIM3</v>
      </c>
      <c r="B20728" t="s">
        <v>14</v>
      </c>
      <c r="C20728" t="s">
        <v>29</v>
      </c>
      <c r="D20728" t="s">
        <v>17</v>
      </c>
      <c r="E20728" t="s">
        <v>12</v>
      </c>
      <c r="F20728">
        <v>44486246</v>
      </c>
      <c r="G20728">
        <v>44486267</v>
      </c>
      <c r="H20728">
        <v>44486403</v>
      </c>
      <c r="I20728">
        <v>44486412</v>
      </c>
    </row>
    <row r="20729" spans="1:9" x14ac:dyDescent="0.2">
      <c r="A20729" s="1" t="str">
        <f>"ZSWIM4"</f>
        <v>ZSWIM4</v>
      </c>
      <c r="B20729" t="s">
        <v>14</v>
      </c>
      <c r="C20729" t="s">
        <v>10</v>
      </c>
      <c r="D20729" t="s">
        <v>17</v>
      </c>
      <c r="E20729" t="s">
        <v>12</v>
      </c>
      <c r="F20729">
        <v>13906250</v>
      </c>
      <c r="G20729">
        <v>13906269</v>
      </c>
      <c r="H20729">
        <v>13906215</v>
      </c>
      <c r="I20729">
        <v>13906236</v>
      </c>
    </row>
    <row r="20730" spans="1:9" x14ac:dyDescent="0.2">
      <c r="A20730" s="1" t="str">
        <f>"ZSWIM5"</f>
        <v>ZSWIM5</v>
      </c>
      <c r="B20730" t="s">
        <v>14</v>
      </c>
      <c r="C20730" t="s">
        <v>19</v>
      </c>
      <c r="D20730" t="s">
        <v>11</v>
      </c>
      <c r="E20730" t="s">
        <v>12</v>
      </c>
      <c r="F20730">
        <v>45672027</v>
      </c>
      <c r="G20730">
        <v>45672050</v>
      </c>
      <c r="H20730">
        <v>45672221</v>
      </c>
      <c r="I20730">
        <v>45672260</v>
      </c>
    </row>
    <row r="20731" spans="1:9" x14ac:dyDescent="0.2">
      <c r="A20731" s="1" t="str">
        <f>"ZSWIM6"</f>
        <v>ZSWIM6</v>
      </c>
      <c r="B20731" t="s">
        <v>14</v>
      </c>
      <c r="C20731" t="s">
        <v>46</v>
      </c>
      <c r="D20731" t="s">
        <v>17</v>
      </c>
      <c r="E20731" t="s">
        <v>12</v>
      </c>
      <c r="F20731">
        <v>60628074</v>
      </c>
      <c r="G20731">
        <v>60628092</v>
      </c>
      <c r="H20731">
        <v>60628074</v>
      </c>
      <c r="I20731">
        <v>60628092</v>
      </c>
    </row>
    <row r="20732" spans="1:9" x14ac:dyDescent="0.2">
      <c r="A20732" s="1" t="str">
        <f>"ZSWIM7"</f>
        <v>ZSWIM7</v>
      </c>
      <c r="B20732" t="s">
        <v>14</v>
      </c>
      <c r="C20732" t="s">
        <v>28</v>
      </c>
      <c r="D20732" t="s">
        <v>11</v>
      </c>
      <c r="E20732" t="s">
        <v>12</v>
      </c>
      <c r="F20732">
        <v>15902951</v>
      </c>
      <c r="G20732">
        <v>15903000</v>
      </c>
      <c r="H20732">
        <v>15903002</v>
      </c>
      <c r="I20732">
        <v>15903036</v>
      </c>
    </row>
    <row r="20733" spans="1:9" x14ac:dyDescent="0.2">
      <c r="A20733" s="1" t="str">
        <f>"ZSWIM8"</f>
        <v>ZSWIM8</v>
      </c>
      <c r="B20733" t="s">
        <v>14</v>
      </c>
      <c r="C20733" t="s">
        <v>15</v>
      </c>
      <c r="D20733" t="s">
        <v>17</v>
      </c>
      <c r="E20733" t="s">
        <v>12</v>
      </c>
      <c r="F20733">
        <v>75545329</v>
      </c>
      <c r="G20733">
        <v>75545383</v>
      </c>
      <c r="H20733">
        <v>75545391</v>
      </c>
      <c r="I20733">
        <v>75545414</v>
      </c>
    </row>
    <row r="20734" spans="1:9" x14ac:dyDescent="0.2">
      <c r="A20734" s="1" t="str">
        <f>"ZUFSP"</f>
        <v>ZUFSP</v>
      </c>
      <c r="B20734" t="s">
        <v>14</v>
      </c>
      <c r="C20734" t="s">
        <v>32</v>
      </c>
      <c r="D20734" t="s">
        <v>11</v>
      </c>
      <c r="E20734" t="s">
        <v>12</v>
      </c>
      <c r="F20734">
        <v>116989916</v>
      </c>
      <c r="G20734">
        <v>116989979</v>
      </c>
      <c r="H20734">
        <v>116989837</v>
      </c>
      <c r="I20734">
        <v>116989843</v>
      </c>
    </row>
    <row r="20735" spans="1:9" x14ac:dyDescent="0.2">
      <c r="A20735" s="1" t="str">
        <f>"ZW10"</f>
        <v>ZW10</v>
      </c>
      <c r="B20735" t="s">
        <v>14</v>
      </c>
      <c r="C20735" t="s">
        <v>27</v>
      </c>
      <c r="D20735" t="s">
        <v>11</v>
      </c>
      <c r="E20735" t="s">
        <v>12</v>
      </c>
      <c r="F20735">
        <v>113644390</v>
      </c>
      <c r="G20735">
        <v>113644480</v>
      </c>
      <c r="H20735">
        <v>113644481</v>
      </c>
      <c r="I20735">
        <v>113644490</v>
      </c>
    </row>
    <row r="20736" spans="1:9" x14ac:dyDescent="0.2">
      <c r="A20736" s="1" t="str">
        <f>"ZWILCH"</f>
        <v>ZWILCH</v>
      </c>
      <c r="B20736" t="s">
        <v>14</v>
      </c>
      <c r="C20736" t="s">
        <v>25</v>
      </c>
      <c r="D20736" t="s">
        <v>17</v>
      </c>
      <c r="E20736" t="s">
        <v>12</v>
      </c>
      <c r="F20736">
        <v>66797627</v>
      </c>
      <c r="G20736">
        <v>66797684</v>
      </c>
      <c r="H20736">
        <v>66797463</v>
      </c>
      <c r="I20736">
        <v>66797483</v>
      </c>
    </row>
    <row r="20737" spans="1:9" x14ac:dyDescent="0.2">
      <c r="A20737" s="1" t="str">
        <f>"ZWINT"</f>
        <v>ZWINT</v>
      </c>
      <c r="B20737" t="s">
        <v>14</v>
      </c>
      <c r="C20737" t="s">
        <v>15</v>
      </c>
      <c r="D20737" t="s">
        <v>11</v>
      </c>
      <c r="E20737" t="s">
        <v>12</v>
      </c>
      <c r="F20737">
        <v>58120996</v>
      </c>
      <c r="G20737">
        <v>58121039</v>
      </c>
      <c r="H20737">
        <v>58120996</v>
      </c>
      <c r="I20737">
        <v>58121039</v>
      </c>
    </row>
    <row r="20738" spans="1:9" x14ac:dyDescent="0.2">
      <c r="A20738" s="1" t="str">
        <f>"ZXDA"</f>
        <v>ZXDA</v>
      </c>
      <c r="B20738" t="s">
        <v>14</v>
      </c>
      <c r="C20738" t="s">
        <v>37</v>
      </c>
      <c r="D20738" t="s">
        <v>11</v>
      </c>
      <c r="E20738" t="s">
        <v>12</v>
      </c>
      <c r="F20738">
        <v>57936237</v>
      </c>
      <c r="G20738">
        <v>57936264</v>
      </c>
      <c r="H20738">
        <v>57935868</v>
      </c>
      <c r="I20738">
        <v>57935898</v>
      </c>
    </row>
    <row r="20739" spans="1:9" x14ac:dyDescent="0.2">
      <c r="A20739" s="1" t="str">
        <f>"ZXDB"</f>
        <v>ZXDB</v>
      </c>
      <c r="B20739" t="s">
        <v>14</v>
      </c>
      <c r="C20739" t="s">
        <v>37</v>
      </c>
      <c r="D20739" t="s">
        <v>17</v>
      </c>
      <c r="E20739" t="s">
        <v>12</v>
      </c>
      <c r="F20739">
        <v>57619083</v>
      </c>
      <c r="G20739">
        <v>57619113</v>
      </c>
      <c r="H20739">
        <v>57619447</v>
      </c>
      <c r="I20739">
        <v>57619495</v>
      </c>
    </row>
    <row r="20740" spans="1:9" x14ac:dyDescent="0.2">
      <c r="A20740" s="1" t="str">
        <f>"ZXDC"</f>
        <v>ZXDC</v>
      </c>
      <c r="B20740" t="s">
        <v>14</v>
      </c>
      <c r="C20740" t="s">
        <v>22</v>
      </c>
      <c r="D20740" t="s">
        <v>11</v>
      </c>
      <c r="E20740" t="s">
        <v>12</v>
      </c>
      <c r="F20740">
        <v>126194707</v>
      </c>
      <c r="G20740">
        <v>126194798</v>
      </c>
      <c r="H20740">
        <v>126194815</v>
      </c>
      <c r="I20740">
        <v>126194848</v>
      </c>
    </row>
    <row r="20741" spans="1:9" x14ac:dyDescent="0.2">
      <c r="A20741" s="1" t="str">
        <f>"ZYG11A"</f>
        <v>ZYG11A</v>
      </c>
      <c r="B20741" t="s">
        <v>14</v>
      </c>
      <c r="C20741" t="s">
        <v>19</v>
      </c>
      <c r="D20741" t="s">
        <v>17</v>
      </c>
      <c r="E20741" t="s">
        <v>12</v>
      </c>
      <c r="F20741">
        <v>53308425</v>
      </c>
      <c r="G20741">
        <v>53308442</v>
      </c>
      <c r="H20741">
        <v>53308505</v>
      </c>
      <c r="I20741">
        <v>53308544</v>
      </c>
    </row>
    <row r="20742" spans="1:9" x14ac:dyDescent="0.2">
      <c r="A20742" s="1" t="str">
        <f>"ZYG11B"</f>
        <v>ZYG11B</v>
      </c>
      <c r="B20742" t="s">
        <v>14</v>
      </c>
      <c r="C20742" t="s">
        <v>19</v>
      </c>
      <c r="D20742" t="s">
        <v>17</v>
      </c>
      <c r="E20742" t="s">
        <v>12</v>
      </c>
      <c r="F20742">
        <v>53192114</v>
      </c>
      <c r="G20742">
        <v>53192150</v>
      </c>
      <c r="H20742">
        <v>53192160</v>
      </c>
      <c r="I20742">
        <v>53192181</v>
      </c>
    </row>
    <row r="20743" spans="1:9" x14ac:dyDescent="0.2">
      <c r="A20743" s="1" t="str">
        <f>"ZYX"</f>
        <v>ZYX</v>
      </c>
      <c r="B20743" t="s">
        <v>14</v>
      </c>
      <c r="C20743" t="s">
        <v>33</v>
      </c>
      <c r="D20743" t="s">
        <v>17</v>
      </c>
      <c r="E20743" t="s">
        <v>12</v>
      </c>
      <c r="F20743">
        <v>143078379</v>
      </c>
      <c r="G20743">
        <v>143078454</v>
      </c>
      <c r="H20743">
        <v>143078652</v>
      </c>
      <c r="I20743">
        <v>143078754</v>
      </c>
    </row>
    <row r="20744" spans="1:9" x14ac:dyDescent="0.2">
      <c r="A20744" s="1" t="str">
        <f>"ZZEF1"</f>
        <v>ZZEF1</v>
      </c>
      <c r="B20744" t="s">
        <v>14</v>
      </c>
      <c r="C20744" t="s">
        <v>28</v>
      </c>
      <c r="D20744" t="s">
        <v>11</v>
      </c>
      <c r="E20744" t="s">
        <v>12</v>
      </c>
      <c r="F20744">
        <v>4046257</v>
      </c>
      <c r="G20744">
        <v>4046349</v>
      </c>
      <c r="H20744">
        <v>4046248</v>
      </c>
      <c r="I20744">
        <v>4046251</v>
      </c>
    </row>
    <row r="20745" spans="1:9" x14ac:dyDescent="0.2">
      <c r="A20745" s="1" t="str">
        <f>"ZZZ3"</f>
        <v>ZZZ3</v>
      </c>
      <c r="B20745" t="s">
        <v>14</v>
      </c>
      <c r="C20745" t="s">
        <v>19</v>
      </c>
      <c r="D20745" t="s">
        <v>11</v>
      </c>
      <c r="E20745" t="s">
        <v>12</v>
      </c>
      <c r="F20745">
        <v>78149041</v>
      </c>
      <c r="G20745">
        <v>78149142</v>
      </c>
      <c r="H20745">
        <v>78148324</v>
      </c>
      <c r="I20745">
        <v>78148365</v>
      </c>
    </row>
    <row r="20746" spans="1:9" x14ac:dyDescent="0.2">
      <c r="A20746" s="1" t="str">
        <f>"APOBEC3A_B"</f>
        <v>APOBEC3A_B</v>
      </c>
      <c r="B20746" t="s">
        <v>14</v>
      </c>
      <c r="C20746" t="s">
        <v>21</v>
      </c>
      <c r="D20746" t="s">
        <v>17</v>
      </c>
      <c r="E20746" t="s">
        <v>67</v>
      </c>
      <c r="F20746">
        <v>39353606</v>
      </c>
      <c r="G20746">
        <v>39353623</v>
      </c>
      <c r="H20746">
        <v>39353606</v>
      </c>
      <c r="I20746">
        <v>39353623</v>
      </c>
    </row>
    <row r="20747" spans="1:9" x14ac:dyDescent="0.2">
      <c r="A20747" s="1" t="str">
        <f>"C4B_2"</f>
        <v>C4B_2</v>
      </c>
      <c r="B20747" t="s">
        <v>1889</v>
      </c>
      <c r="C20747" t="s">
        <v>32</v>
      </c>
      <c r="D20747" t="s">
        <v>17</v>
      </c>
      <c r="E20747" t="s">
        <v>20</v>
      </c>
      <c r="F20747">
        <v>31949833</v>
      </c>
      <c r="G20747">
        <v>31949833</v>
      </c>
      <c r="H20747">
        <v>31949833</v>
      </c>
      <c r="I20747">
        <v>31949833</v>
      </c>
    </row>
    <row r="20748" spans="1:9" x14ac:dyDescent="0.2">
      <c r="A20748" s="1" t="str">
        <f>"C4B_2"</f>
        <v>C4B_2</v>
      </c>
      <c r="B20748" t="s">
        <v>1890</v>
      </c>
      <c r="C20748" t="s">
        <v>32</v>
      </c>
      <c r="D20748" t="s">
        <v>17</v>
      </c>
      <c r="E20748" t="s">
        <v>20</v>
      </c>
      <c r="F20748">
        <v>31982571</v>
      </c>
      <c r="G20748">
        <v>31982571</v>
      </c>
      <c r="H20748">
        <v>31982571</v>
      </c>
      <c r="I20748">
        <v>31982571</v>
      </c>
    </row>
    <row r="20749" spans="1:9" x14ac:dyDescent="0.2">
      <c r="A20749" s="1" t="str">
        <f>"CCL3L1"</f>
        <v>CCL3L1</v>
      </c>
      <c r="B20749" t="s">
        <v>14</v>
      </c>
      <c r="C20749" t="s">
        <v>28</v>
      </c>
      <c r="D20749" t="s">
        <v>11</v>
      </c>
      <c r="E20749" t="s">
        <v>12</v>
      </c>
      <c r="F20749">
        <v>34625726</v>
      </c>
      <c r="G20749">
        <v>34625734</v>
      </c>
      <c r="H20749">
        <v>34625726</v>
      </c>
      <c r="I20749">
        <v>34625734</v>
      </c>
    </row>
    <row r="20750" spans="1:9" x14ac:dyDescent="0.2">
      <c r="A20750" s="1" t="str">
        <f>"CCL4L1"</f>
        <v>CCL4L1</v>
      </c>
      <c r="B20750" t="s">
        <v>1891</v>
      </c>
      <c r="C20750" t="s">
        <v>28</v>
      </c>
      <c r="D20750" t="s">
        <v>17</v>
      </c>
      <c r="E20750" t="s">
        <v>20</v>
      </c>
      <c r="F20750">
        <v>34538467</v>
      </c>
      <c r="G20750">
        <v>34538467</v>
      </c>
      <c r="H20750">
        <v>34538467</v>
      </c>
      <c r="I20750">
        <v>34538467</v>
      </c>
    </row>
    <row r="20751" spans="1:9" x14ac:dyDescent="0.2">
      <c r="A20751" s="1" t="str">
        <f>"CCL4L1"</f>
        <v>CCL4L1</v>
      </c>
      <c r="B20751" t="s">
        <v>1892</v>
      </c>
      <c r="C20751" t="s">
        <v>28</v>
      </c>
      <c r="D20751" t="s">
        <v>17</v>
      </c>
      <c r="E20751" t="s">
        <v>20</v>
      </c>
      <c r="F20751">
        <v>34640033</v>
      </c>
      <c r="G20751">
        <v>34640033</v>
      </c>
      <c r="H20751">
        <v>34640033</v>
      </c>
      <c r="I20751">
        <v>34640033</v>
      </c>
    </row>
    <row r="20752" spans="1:9" x14ac:dyDescent="0.2">
      <c r="A20752" s="1" t="str">
        <f>"CYP3A7-CYP3AP1"</f>
        <v>CYP3A7-CYP3AP1</v>
      </c>
      <c r="B20752" t="s">
        <v>14</v>
      </c>
      <c r="C20752" t="s">
        <v>33</v>
      </c>
      <c r="D20752" t="s">
        <v>11</v>
      </c>
      <c r="E20752" t="s">
        <v>67</v>
      </c>
      <c r="F20752">
        <v>99332815</v>
      </c>
      <c r="G20752">
        <v>99332820</v>
      </c>
      <c r="H20752">
        <v>99332815</v>
      </c>
      <c r="I20752">
        <v>99332820</v>
      </c>
    </row>
    <row r="20753" spans="1:9" x14ac:dyDescent="0.2">
      <c r="A20753" s="1" t="str">
        <f>"FLJ22184"</f>
        <v>FLJ22184</v>
      </c>
      <c r="B20753" t="s">
        <v>14</v>
      </c>
      <c r="C20753" t="s">
        <v>10</v>
      </c>
      <c r="D20753" t="s">
        <v>11</v>
      </c>
      <c r="E20753" t="s">
        <v>12</v>
      </c>
      <c r="F20753">
        <v>7939247</v>
      </c>
      <c r="G20753">
        <v>7939286</v>
      </c>
      <c r="H20753">
        <v>7939319</v>
      </c>
      <c r="I20753">
        <v>7939358</v>
      </c>
    </row>
    <row r="20754" spans="1:9" x14ac:dyDescent="0.2">
      <c r="A20754" s="1" t="str">
        <f>"FLJ25363"</f>
        <v>FLJ25363</v>
      </c>
      <c r="B20754" t="s">
        <v>14</v>
      </c>
      <c r="C20754" t="s">
        <v>22</v>
      </c>
      <c r="D20754" t="s">
        <v>17</v>
      </c>
      <c r="E20754" t="s">
        <v>12</v>
      </c>
      <c r="F20754">
        <v>109128858</v>
      </c>
      <c r="G20754">
        <v>109128884</v>
      </c>
      <c r="H20754">
        <v>109128905</v>
      </c>
      <c r="I20754">
        <v>109128913</v>
      </c>
    </row>
    <row r="20755" spans="1:9" x14ac:dyDescent="0.2">
      <c r="A20755" s="1" t="str">
        <f>"FLJ44313"</f>
        <v>FLJ44313</v>
      </c>
      <c r="B20755" t="s">
        <v>14</v>
      </c>
      <c r="C20755" t="s">
        <v>43</v>
      </c>
      <c r="D20755" t="s">
        <v>17</v>
      </c>
      <c r="E20755" t="s">
        <v>67</v>
      </c>
      <c r="F20755">
        <v>74207294</v>
      </c>
      <c r="G20755">
        <v>74207296</v>
      </c>
      <c r="H20755">
        <v>74207555</v>
      </c>
      <c r="I20755">
        <v>74207568</v>
      </c>
    </row>
    <row r="20756" spans="1:9" x14ac:dyDescent="0.2">
      <c r="A20756" s="1" t="str">
        <f>"FLJ44635"</f>
        <v>FLJ44635</v>
      </c>
      <c r="B20756" t="s">
        <v>14</v>
      </c>
      <c r="C20756" t="s">
        <v>37</v>
      </c>
      <c r="D20756" t="s">
        <v>17</v>
      </c>
      <c r="E20756" t="s">
        <v>12</v>
      </c>
      <c r="F20756">
        <v>71363959</v>
      </c>
      <c r="G20756">
        <v>71363973</v>
      </c>
      <c r="H20756">
        <v>71363959</v>
      </c>
      <c r="I20756">
        <v>71363973</v>
      </c>
    </row>
    <row r="20757" spans="1:9" x14ac:dyDescent="0.2">
      <c r="A20757" s="1" t="str">
        <f>"FLJ45513"</f>
        <v>FLJ45513</v>
      </c>
      <c r="B20757" t="s">
        <v>1893</v>
      </c>
      <c r="C20757" t="s">
        <v>28</v>
      </c>
      <c r="D20757" t="s">
        <v>17</v>
      </c>
      <c r="E20757" t="s">
        <v>20</v>
      </c>
      <c r="F20757">
        <v>47923271</v>
      </c>
      <c r="G20757">
        <v>47923271</v>
      </c>
      <c r="H20757">
        <v>47923271</v>
      </c>
      <c r="I20757">
        <v>47923271</v>
      </c>
    </row>
    <row r="20758" spans="1:9" x14ac:dyDescent="0.2">
      <c r="A20758" s="1" t="str">
        <f>"GSTT1"</f>
        <v>GSTT1</v>
      </c>
      <c r="B20758" t="s">
        <v>14</v>
      </c>
      <c r="C20758" t="s">
        <v>21</v>
      </c>
      <c r="D20758" t="s">
        <v>11</v>
      </c>
      <c r="E20758" t="s">
        <v>12</v>
      </c>
      <c r="F20758">
        <v>24384260</v>
      </c>
      <c r="G20758">
        <v>24384281</v>
      </c>
      <c r="H20758">
        <v>24384240</v>
      </c>
      <c r="I20758">
        <v>24384255</v>
      </c>
    </row>
    <row r="20759" spans="1:9" x14ac:dyDescent="0.2">
      <c r="A20759" s="1" t="str">
        <f>"GTF2H2D"</f>
        <v>GTF2H2D</v>
      </c>
      <c r="B20759" t="s">
        <v>14</v>
      </c>
      <c r="C20759" t="s">
        <v>46</v>
      </c>
      <c r="D20759" t="s">
        <v>17</v>
      </c>
      <c r="E20759" t="s">
        <v>12</v>
      </c>
      <c r="F20759">
        <v>68856015</v>
      </c>
      <c r="G20759">
        <v>68856035</v>
      </c>
      <c r="H20759">
        <v>68856085</v>
      </c>
      <c r="I20759">
        <v>68856116</v>
      </c>
    </row>
    <row r="20760" spans="1:9" x14ac:dyDescent="0.2">
      <c r="A20760" s="1" t="str">
        <f>"HDGFRP2"</f>
        <v>HDGFRP2</v>
      </c>
      <c r="B20760" t="s">
        <v>9</v>
      </c>
      <c r="C20760" t="s">
        <v>10</v>
      </c>
      <c r="D20760" t="s">
        <v>17</v>
      </c>
      <c r="E20760" t="s">
        <v>12</v>
      </c>
      <c r="F20760">
        <v>4472230</v>
      </c>
      <c r="G20760">
        <v>4472304</v>
      </c>
      <c r="H20760">
        <v>4472230</v>
      </c>
      <c r="I20760">
        <v>4472304</v>
      </c>
    </row>
    <row r="20761" spans="1:9" x14ac:dyDescent="0.2">
      <c r="A20761" s="1" t="str">
        <f>"HDGFRP2"</f>
        <v>HDGFRP2</v>
      </c>
      <c r="B20761" t="s">
        <v>13</v>
      </c>
      <c r="C20761" t="s">
        <v>10</v>
      </c>
      <c r="D20761" t="s">
        <v>17</v>
      </c>
      <c r="E20761" t="s">
        <v>12</v>
      </c>
      <c r="F20761">
        <v>4488750</v>
      </c>
      <c r="G20761">
        <v>4488765</v>
      </c>
      <c r="H20761">
        <v>4488750</v>
      </c>
      <c r="I20761">
        <v>4488765</v>
      </c>
    </row>
    <row r="20762" spans="1:9" x14ac:dyDescent="0.2">
      <c r="A20762" s="1" t="str">
        <f>"HDGFRP3"</f>
        <v>HDGFRP3</v>
      </c>
      <c r="B20762" t="s">
        <v>14</v>
      </c>
      <c r="C20762" t="s">
        <v>25</v>
      </c>
      <c r="D20762" t="s">
        <v>11</v>
      </c>
      <c r="E20762" t="s">
        <v>12</v>
      </c>
      <c r="F20762">
        <v>83876551</v>
      </c>
      <c r="G20762">
        <v>83876636</v>
      </c>
      <c r="H20762">
        <v>83876268</v>
      </c>
      <c r="I20762">
        <v>83876339</v>
      </c>
    </row>
    <row r="20763" spans="1:9" x14ac:dyDescent="0.2">
      <c r="A20763" s="1" t="str">
        <f>"HGC6.3"</f>
        <v>HGC6.3</v>
      </c>
      <c r="B20763" t="s">
        <v>1894</v>
      </c>
      <c r="C20763" t="s">
        <v>32</v>
      </c>
      <c r="D20763" t="s">
        <v>11</v>
      </c>
      <c r="E20763" t="s">
        <v>20</v>
      </c>
      <c r="F20763">
        <v>168377618</v>
      </c>
      <c r="G20763">
        <v>168377618</v>
      </c>
      <c r="H20763">
        <v>168377618</v>
      </c>
      <c r="I20763">
        <v>168377618</v>
      </c>
    </row>
    <row r="20764" spans="1:9" x14ac:dyDescent="0.2">
      <c r="A20764" s="1" t="str">
        <f>"HMP19"</f>
        <v>HMP19</v>
      </c>
      <c r="B20764" t="s">
        <v>14</v>
      </c>
      <c r="C20764" t="s">
        <v>46</v>
      </c>
      <c r="D20764" t="s">
        <v>17</v>
      </c>
      <c r="E20764" t="s">
        <v>12</v>
      </c>
      <c r="F20764">
        <v>173472676</v>
      </c>
      <c r="G20764">
        <v>173472732</v>
      </c>
      <c r="H20764">
        <v>173472744</v>
      </c>
      <c r="I20764">
        <v>173472756</v>
      </c>
    </row>
    <row r="20765" spans="1:9" x14ac:dyDescent="0.2">
      <c r="A20765" s="1" t="str">
        <f>"KIAA1804"</f>
        <v>KIAA1804</v>
      </c>
      <c r="B20765" t="s">
        <v>14</v>
      </c>
      <c r="C20765" t="s">
        <v>19</v>
      </c>
      <c r="D20765" t="s">
        <v>17</v>
      </c>
      <c r="E20765" t="s">
        <v>12</v>
      </c>
      <c r="F20765">
        <v>233463463</v>
      </c>
      <c r="G20765">
        <v>233463494</v>
      </c>
      <c r="H20765">
        <v>233463507</v>
      </c>
      <c r="I20765">
        <v>233463520</v>
      </c>
    </row>
    <row r="20766" spans="1:9" x14ac:dyDescent="0.2">
      <c r="A20766" s="1" t="str">
        <f>"LILRA3"</f>
        <v>LILRA3</v>
      </c>
      <c r="B20766" t="s">
        <v>14</v>
      </c>
      <c r="C20766" t="s">
        <v>10</v>
      </c>
      <c r="D20766" t="s">
        <v>11</v>
      </c>
      <c r="E20766" t="s">
        <v>12</v>
      </c>
      <c r="F20766">
        <v>54804236</v>
      </c>
      <c r="G20766">
        <v>54804302</v>
      </c>
      <c r="H20766">
        <v>54804236</v>
      </c>
      <c r="I20766">
        <v>54804302</v>
      </c>
    </row>
    <row r="20767" spans="1:9" x14ac:dyDescent="0.2">
      <c r="A20767" s="1" t="str">
        <f>"LOC100129083"</f>
        <v>LOC100129083</v>
      </c>
      <c r="B20767" t="s">
        <v>1895</v>
      </c>
      <c r="C20767" t="s">
        <v>10</v>
      </c>
      <c r="D20767" t="s">
        <v>17</v>
      </c>
      <c r="E20767" t="s">
        <v>20</v>
      </c>
      <c r="F20767">
        <v>51919159</v>
      </c>
      <c r="G20767">
        <v>51919159</v>
      </c>
      <c r="H20767">
        <v>51919159</v>
      </c>
      <c r="I20767">
        <v>51919159</v>
      </c>
    </row>
    <row r="20768" spans="1:9" x14ac:dyDescent="0.2">
      <c r="A20768" s="1" t="str">
        <f>"LOC100129216"</f>
        <v>LOC100129216</v>
      </c>
      <c r="B20768" t="s">
        <v>1896</v>
      </c>
      <c r="C20768" t="s">
        <v>27</v>
      </c>
      <c r="D20768" t="s">
        <v>17</v>
      </c>
      <c r="E20768" t="s">
        <v>20</v>
      </c>
      <c r="F20768">
        <v>71589498</v>
      </c>
      <c r="G20768">
        <v>71589498</v>
      </c>
      <c r="H20768">
        <v>71589498</v>
      </c>
      <c r="I20768">
        <v>71589498</v>
      </c>
    </row>
    <row r="20769" spans="1:9" x14ac:dyDescent="0.2">
      <c r="A20769" s="1" t="str">
        <f>"LOC100129361"</f>
        <v>LOC100129361</v>
      </c>
      <c r="B20769" t="s">
        <v>14</v>
      </c>
      <c r="C20769" t="s">
        <v>16</v>
      </c>
      <c r="D20769" t="s">
        <v>17</v>
      </c>
      <c r="E20769" t="s">
        <v>12</v>
      </c>
      <c r="F20769">
        <v>11323754</v>
      </c>
      <c r="G20769">
        <v>11323869</v>
      </c>
      <c r="H20769">
        <v>11323754</v>
      </c>
      <c r="I20769">
        <v>11323869</v>
      </c>
    </row>
    <row r="20770" spans="1:9" x14ac:dyDescent="0.2">
      <c r="A20770" s="1" t="str">
        <f>"LOC100129520"</f>
        <v>LOC100129520</v>
      </c>
      <c r="B20770" t="s">
        <v>14</v>
      </c>
      <c r="C20770" t="s">
        <v>37</v>
      </c>
      <c r="D20770" t="s">
        <v>17</v>
      </c>
      <c r="E20770" t="s">
        <v>12</v>
      </c>
      <c r="F20770">
        <v>124453717</v>
      </c>
      <c r="G20770">
        <v>124453726</v>
      </c>
      <c r="H20770">
        <v>124453717</v>
      </c>
      <c r="I20770">
        <v>124453726</v>
      </c>
    </row>
    <row r="20771" spans="1:9" x14ac:dyDescent="0.2">
      <c r="A20771" s="1" t="str">
        <f>"LOC100129636"</f>
        <v>LOC100129636</v>
      </c>
      <c r="B20771" t="s">
        <v>14</v>
      </c>
      <c r="C20771" t="s">
        <v>32</v>
      </c>
      <c r="D20771" t="s">
        <v>17</v>
      </c>
      <c r="E20771" t="s">
        <v>12</v>
      </c>
      <c r="F20771">
        <v>29003866</v>
      </c>
      <c r="G20771">
        <v>29003872</v>
      </c>
      <c r="H20771">
        <v>29003866</v>
      </c>
      <c r="I20771">
        <v>29003872</v>
      </c>
    </row>
    <row r="20772" spans="1:9" x14ac:dyDescent="0.2">
      <c r="A20772" s="1" t="str">
        <f>"LOC100129924"</f>
        <v>LOC100129924</v>
      </c>
      <c r="B20772" t="s">
        <v>1897</v>
      </c>
      <c r="C20772" t="s">
        <v>19</v>
      </c>
      <c r="D20772" t="s">
        <v>17</v>
      </c>
      <c r="E20772" t="s">
        <v>20</v>
      </c>
      <c r="F20772">
        <v>43253660</v>
      </c>
      <c r="G20772">
        <v>43253660</v>
      </c>
      <c r="H20772">
        <v>43253660</v>
      </c>
      <c r="I20772">
        <v>43253660</v>
      </c>
    </row>
    <row r="20773" spans="1:9" x14ac:dyDescent="0.2">
      <c r="A20773" s="1" t="str">
        <f>"LOC100130301"</f>
        <v>LOC100130301</v>
      </c>
      <c r="B20773" t="s">
        <v>1898</v>
      </c>
      <c r="C20773" t="s">
        <v>30</v>
      </c>
      <c r="D20773" t="s">
        <v>11</v>
      </c>
      <c r="E20773" t="s">
        <v>20</v>
      </c>
      <c r="F20773">
        <v>74171736</v>
      </c>
      <c r="G20773">
        <v>74171736</v>
      </c>
      <c r="H20773">
        <v>74171736</v>
      </c>
      <c r="I20773">
        <v>74171736</v>
      </c>
    </row>
    <row r="20774" spans="1:9" x14ac:dyDescent="0.2">
      <c r="A20774" s="1" t="str">
        <f>"LOC100130357"</f>
        <v>LOC100130357</v>
      </c>
      <c r="B20774" t="s">
        <v>1899</v>
      </c>
      <c r="C20774" t="s">
        <v>32</v>
      </c>
      <c r="D20774" t="s">
        <v>11</v>
      </c>
      <c r="E20774" t="s">
        <v>20</v>
      </c>
      <c r="F20774">
        <v>13295817</v>
      </c>
      <c r="G20774">
        <v>13295817</v>
      </c>
      <c r="H20774">
        <v>13295817</v>
      </c>
      <c r="I20774">
        <v>13295817</v>
      </c>
    </row>
    <row r="20775" spans="1:9" x14ac:dyDescent="0.2">
      <c r="A20775" s="1" t="str">
        <f>"LOC100130370"</f>
        <v>LOC100130370</v>
      </c>
      <c r="B20775" t="s">
        <v>1900</v>
      </c>
      <c r="C20775" t="s">
        <v>28</v>
      </c>
      <c r="D20775" t="s">
        <v>11</v>
      </c>
      <c r="E20775" t="s">
        <v>20</v>
      </c>
      <c r="F20775">
        <v>79359159</v>
      </c>
      <c r="G20775">
        <v>79359159</v>
      </c>
      <c r="H20775">
        <v>79359159</v>
      </c>
      <c r="I20775">
        <v>79359159</v>
      </c>
    </row>
    <row r="20776" spans="1:9" x14ac:dyDescent="0.2">
      <c r="A20776" s="1" t="str">
        <f>"LOC100130451"</f>
        <v>LOC100130451</v>
      </c>
      <c r="B20776" t="s">
        <v>14</v>
      </c>
      <c r="C20776" t="s">
        <v>26</v>
      </c>
      <c r="D20776" t="s">
        <v>11</v>
      </c>
      <c r="E20776" t="s">
        <v>12</v>
      </c>
      <c r="F20776">
        <v>214148921</v>
      </c>
      <c r="G20776">
        <v>214148945</v>
      </c>
      <c r="H20776">
        <v>214148948</v>
      </c>
      <c r="I20776">
        <v>214148969</v>
      </c>
    </row>
    <row r="20777" spans="1:9" x14ac:dyDescent="0.2">
      <c r="A20777" s="1" t="str">
        <f>"LOC100130539"</f>
        <v>LOC100130539</v>
      </c>
      <c r="B20777" t="s">
        <v>14</v>
      </c>
      <c r="C20777" t="s">
        <v>15</v>
      </c>
      <c r="D20777" t="s">
        <v>17</v>
      </c>
      <c r="E20777" t="s">
        <v>12</v>
      </c>
      <c r="F20777">
        <v>44787950</v>
      </c>
      <c r="G20777">
        <v>44787958</v>
      </c>
      <c r="H20777">
        <v>44787950</v>
      </c>
      <c r="I20777">
        <v>44787958</v>
      </c>
    </row>
    <row r="20778" spans="1:9" x14ac:dyDescent="0.2">
      <c r="A20778" s="1" t="str">
        <f>"LOC100130705"</f>
        <v>LOC100130705</v>
      </c>
      <c r="B20778" t="s">
        <v>14</v>
      </c>
      <c r="C20778" t="s">
        <v>33</v>
      </c>
      <c r="D20778" t="s">
        <v>17</v>
      </c>
      <c r="E20778" t="s">
        <v>12</v>
      </c>
      <c r="F20778">
        <v>128506392</v>
      </c>
      <c r="G20778">
        <v>128506410</v>
      </c>
      <c r="H20778">
        <v>128506378</v>
      </c>
      <c r="I20778">
        <v>128506389</v>
      </c>
    </row>
    <row r="20779" spans="1:9" x14ac:dyDescent="0.2">
      <c r="A20779" s="1" t="str">
        <f>"LOC100130880"</f>
        <v>LOC100130880</v>
      </c>
      <c r="B20779" t="s">
        <v>1901</v>
      </c>
      <c r="C20779" t="s">
        <v>33</v>
      </c>
      <c r="D20779" t="s">
        <v>17</v>
      </c>
      <c r="E20779" t="s">
        <v>20</v>
      </c>
      <c r="F20779">
        <v>137638093</v>
      </c>
      <c r="G20779">
        <v>137638093</v>
      </c>
      <c r="H20779">
        <v>137638093</v>
      </c>
      <c r="I20779">
        <v>137638093</v>
      </c>
    </row>
    <row r="20780" spans="1:9" x14ac:dyDescent="0.2">
      <c r="A20780" s="1" t="str">
        <f>"LOC100131094"</f>
        <v>LOC100131094</v>
      </c>
      <c r="B20780" t="s">
        <v>14</v>
      </c>
      <c r="C20780" t="s">
        <v>10</v>
      </c>
      <c r="D20780" t="s">
        <v>17</v>
      </c>
      <c r="E20780" t="s">
        <v>12</v>
      </c>
      <c r="F20780">
        <v>4679355</v>
      </c>
      <c r="G20780">
        <v>4679356</v>
      </c>
      <c r="H20780">
        <v>4679355</v>
      </c>
      <c r="I20780">
        <v>4679356</v>
      </c>
    </row>
    <row r="20781" spans="1:9" x14ac:dyDescent="0.2">
      <c r="A20781" s="1" t="str">
        <f>"LOC100132146"</f>
        <v>LOC100132146</v>
      </c>
      <c r="B20781" t="s">
        <v>1902</v>
      </c>
      <c r="C20781" t="s">
        <v>22</v>
      </c>
      <c r="D20781" t="s">
        <v>17</v>
      </c>
      <c r="E20781" t="s">
        <v>20</v>
      </c>
      <c r="F20781">
        <v>46653924</v>
      </c>
      <c r="G20781">
        <v>46653924</v>
      </c>
      <c r="H20781">
        <v>46653924</v>
      </c>
      <c r="I20781">
        <v>46653924</v>
      </c>
    </row>
    <row r="20782" spans="1:9" x14ac:dyDescent="0.2">
      <c r="A20782" s="1" t="str">
        <f>"LOC100133267"</f>
        <v>LOC100133267</v>
      </c>
      <c r="B20782" t="s">
        <v>1903</v>
      </c>
      <c r="C20782" t="s">
        <v>30</v>
      </c>
      <c r="D20782" t="s">
        <v>11</v>
      </c>
      <c r="E20782" t="s">
        <v>20</v>
      </c>
      <c r="F20782">
        <v>11929255</v>
      </c>
      <c r="G20782">
        <v>11929255</v>
      </c>
      <c r="H20782">
        <v>11929255</v>
      </c>
      <c r="I20782">
        <v>11929255</v>
      </c>
    </row>
    <row r="20783" spans="1:9" x14ac:dyDescent="0.2">
      <c r="A20783" s="1" t="str">
        <f>"LOC100133267"</f>
        <v>LOC100133267</v>
      </c>
      <c r="B20783" t="s">
        <v>1904</v>
      </c>
      <c r="C20783" t="s">
        <v>30</v>
      </c>
      <c r="D20783" t="s">
        <v>11</v>
      </c>
      <c r="E20783" t="s">
        <v>20</v>
      </c>
      <c r="F20783">
        <v>12175824</v>
      </c>
      <c r="G20783">
        <v>12175824</v>
      </c>
      <c r="H20783">
        <v>12175824</v>
      </c>
      <c r="I20783">
        <v>12175824</v>
      </c>
    </row>
    <row r="20784" spans="1:9" x14ac:dyDescent="0.2">
      <c r="A20784" s="1" t="str">
        <f>"LOC100144595"</f>
        <v>LOC100144595</v>
      </c>
      <c r="B20784" t="s">
        <v>14</v>
      </c>
      <c r="C20784" t="s">
        <v>26</v>
      </c>
      <c r="D20784" t="s">
        <v>11</v>
      </c>
      <c r="E20784" t="s">
        <v>67</v>
      </c>
      <c r="F20784">
        <v>155313943</v>
      </c>
      <c r="G20784">
        <v>155313952</v>
      </c>
      <c r="H20784">
        <v>155313943</v>
      </c>
      <c r="I20784">
        <v>155313952</v>
      </c>
    </row>
    <row r="20785" spans="1:9" x14ac:dyDescent="0.2">
      <c r="A20785" s="1" t="str">
        <f>"LOC100287036"</f>
        <v>LOC100287036</v>
      </c>
      <c r="B20785" t="s">
        <v>14</v>
      </c>
      <c r="C20785" t="s">
        <v>31</v>
      </c>
      <c r="D20785" t="s">
        <v>17</v>
      </c>
      <c r="E20785" t="s">
        <v>12</v>
      </c>
      <c r="F20785">
        <v>89387033</v>
      </c>
      <c r="G20785">
        <v>89387057</v>
      </c>
      <c r="H20785">
        <v>89387033</v>
      </c>
      <c r="I20785">
        <v>89387057</v>
      </c>
    </row>
    <row r="20786" spans="1:9" x14ac:dyDescent="0.2">
      <c r="A20786" s="1" t="str">
        <f>"LOC100287534"</f>
        <v>LOC100287534</v>
      </c>
      <c r="B20786" t="s">
        <v>1905</v>
      </c>
      <c r="C20786" t="s">
        <v>10</v>
      </c>
      <c r="D20786" t="s">
        <v>17</v>
      </c>
      <c r="E20786" t="s">
        <v>20</v>
      </c>
      <c r="F20786">
        <v>55304499</v>
      </c>
      <c r="G20786">
        <v>55304499</v>
      </c>
      <c r="H20786">
        <v>55304499</v>
      </c>
      <c r="I20786">
        <v>55304499</v>
      </c>
    </row>
    <row r="20787" spans="1:9" x14ac:dyDescent="0.2">
      <c r="A20787" s="1" t="str">
        <f>"LOC100288142"</f>
        <v>LOC100288142</v>
      </c>
      <c r="B20787" t="s">
        <v>1906</v>
      </c>
      <c r="C20787" t="s">
        <v>19</v>
      </c>
      <c r="D20787" t="s">
        <v>17</v>
      </c>
      <c r="E20787" t="s">
        <v>20</v>
      </c>
      <c r="F20787">
        <v>144146810</v>
      </c>
      <c r="G20787">
        <v>144146810</v>
      </c>
      <c r="H20787">
        <v>144146810</v>
      </c>
      <c r="I20787">
        <v>144146810</v>
      </c>
    </row>
    <row r="20788" spans="1:9" x14ac:dyDescent="0.2">
      <c r="A20788" s="1" t="str">
        <f>"LOC100288255"</f>
        <v>LOC100288255</v>
      </c>
      <c r="B20788" t="s">
        <v>1907</v>
      </c>
      <c r="C20788" t="s">
        <v>23</v>
      </c>
      <c r="D20788" t="s">
        <v>11</v>
      </c>
      <c r="E20788" t="s">
        <v>20</v>
      </c>
      <c r="F20788">
        <v>190948411</v>
      </c>
      <c r="G20788">
        <v>190948411</v>
      </c>
      <c r="H20788">
        <v>190948411</v>
      </c>
      <c r="I20788">
        <v>190948411</v>
      </c>
    </row>
    <row r="20789" spans="1:9" x14ac:dyDescent="0.2">
      <c r="A20789" s="1" t="str">
        <f>"LOC100288524"</f>
        <v>LOC100288524</v>
      </c>
      <c r="B20789" t="s">
        <v>1908</v>
      </c>
      <c r="C20789" t="s">
        <v>33</v>
      </c>
      <c r="D20789" t="s">
        <v>17</v>
      </c>
      <c r="E20789" t="s">
        <v>20</v>
      </c>
      <c r="F20789">
        <v>330135</v>
      </c>
      <c r="G20789">
        <v>330135</v>
      </c>
      <c r="H20789">
        <v>330135</v>
      </c>
      <c r="I20789">
        <v>330135</v>
      </c>
    </row>
    <row r="20790" spans="1:9" x14ac:dyDescent="0.2">
      <c r="A20790" s="1" t="str">
        <f>"LOC100288814"</f>
        <v>LOC100288814</v>
      </c>
      <c r="B20790" t="s">
        <v>1909</v>
      </c>
      <c r="C20790" t="s">
        <v>37</v>
      </c>
      <c r="D20790" t="s">
        <v>17</v>
      </c>
      <c r="E20790" t="s">
        <v>20</v>
      </c>
      <c r="F20790">
        <v>9935397</v>
      </c>
      <c r="G20790">
        <v>9935397</v>
      </c>
      <c r="H20790">
        <v>9935397</v>
      </c>
      <c r="I20790">
        <v>9935397</v>
      </c>
    </row>
    <row r="20791" spans="1:9" x14ac:dyDescent="0.2">
      <c r="A20791" s="1" t="str">
        <f>"LOC100289187"</f>
        <v>LOC100289187</v>
      </c>
      <c r="B20791" t="s">
        <v>14</v>
      </c>
      <c r="C20791" t="s">
        <v>33</v>
      </c>
      <c r="D20791" t="s">
        <v>17</v>
      </c>
      <c r="E20791" t="s">
        <v>12</v>
      </c>
      <c r="F20791">
        <v>99195878</v>
      </c>
      <c r="G20791">
        <v>99195913</v>
      </c>
      <c r="H20791">
        <v>99195872</v>
      </c>
      <c r="I20791">
        <v>99195877</v>
      </c>
    </row>
    <row r="20792" spans="1:9" x14ac:dyDescent="0.2">
      <c r="A20792" s="1" t="str">
        <f>"LOC100289561"</f>
        <v>LOC100289561</v>
      </c>
      <c r="B20792" t="s">
        <v>1910</v>
      </c>
      <c r="C20792" t="s">
        <v>33</v>
      </c>
      <c r="D20792" t="s">
        <v>17</v>
      </c>
      <c r="E20792" t="s">
        <v>35</v>
      </c>
      <c r="F20792">
        <v>102004322</v>
      </c>
      <c r="G20792">
        <v>102004343</v>
      </c>
      <c r="H20792">
        <v>102004322</v>
      </c>
      <c r="I20792">
        <v>102004343</v>
      </c>
    </row>
    <row r="20793" spans="1:9" x14ac:dyDescent="0.2">
      <c r="A20793" s="1" t="str">
        <f>"LOC100505478"</f>
        <v>LOC100505478</v>
      </c>
      <c r="B20793" t="s">
        <v>14</v>
      </c>
      <c r="C20793" t="s">
        <v>24</v>
      </c>
      <c r="D20793" t="s">
        <v>11</v>
      </c>
      <c r="E20793" t="s">
        <v>12</v>
      </c>
      <c r="F20793">
        <v>117444458</v>
      </c>
      <c r="G20793">
        <v>117444472</v>
      </c>
      <c r="H20793">
        <v>117444458</v>
      </c>
      <c r="I20793">
        <v>117444472</v>
      </c>
    </row>
    <row r="20794" spans="1:9" x14ac:dyDescent="0.2">
      <c r="A20794" s="1" t="str">
        <f>"LOC100505549"</f>
        <v>LOC100505549</v>
      </c>
      <c r="B20794" t="s">
        <v>14</v>
      </c>
      <c r="C20794" t="s">
        <v>43</v>
      </c>
      <c r="D20794" t="s">
        <v>17</v>
      </c>
      <c r="E20794" t="s">
        <v>12</v>
      </c>
      <c r="F20794">
        <v>55297524</v>
      </c>
      <c r="G20794">
        <v>55297543</v>
      </c>
      <c r="H20794">
        <v>55297517</v>
      </c>
      <c r="I20794">
        <v>55297522</v>
      </c>
    </row>
    <row r="20795" spans="1:9" x14ac:dyDescent="0.2">
      <c r="A20795" s="1" t="str">
        <f>"LOC100505679"</f>
        <v>LOC100505679</v>
      </c>
      <c r="B20795" t="s">
        <v>1911</v>
      </c>
      <c r="C20795" t="s">
        <v>25</v>
      </c>
      <c r="D20795" t="s">
        <v>17</v>
      </c>
      <c r="E20795" t="s">
        <v>20</v>
      </c>
      <c r="F20795">
        <v>84841241</v>
      </c>
      <c r="G20795">
        <v>84841241</v>
      </c>
      <c r="H20795">
        <v>84841241</v>
      </c>
      <c r="I20795">
        <v>84841241</v>
      </c>
    </row>
    <row r="20796" spans="1:9" x14ac:dyDescent="0.2">
      <c r="A20796" s="1" t="str">
        <f>"LOC100505841"</f>
        <v>LOC100505841</v>
      </c>
      <c r="B20796" t="s">
        <v>14</v>
      </c>
      <c r="C20796" t="s">
        <v>46</v>
      </c>
      <c r="D20796" t="s">
        <v>17</v>
      </c>
      <c r="E20796" t="s">
        <v>12</v>
      </c>
      <c r="F20796">
        <v>121495861</v>
      </c>
      <c r="G20796">
        <v>121495876</v>
      </c>
      <c r="H20796">
        <v>121495848</v>
      </c>
      <c r="I20796">
        <v>121495852</v>
      </c>
    </row>
    <row r="20797" spans="1:9" x14ac:dyDescent="0.2">
      <c r="A20797" s="1" t="str">
        <f>"LOC100506127"</f>
        <v>LOC100506127</v>
      </c>
      <c r="B20797" t="s">
        <v>14</v>
      </c>
      <c r="C20797" t="s">
        <v>27</v>
      </c>
      <c r="D20797" t="s">
        <v>17</v>
      </c>
      <c r="E20797" t="s">
        <v>12</v>
      </c>
      <c r="F20797">
        <v>76092353</v>
      </c>
      <c r="G20797">
        <v>76092400</v>
      </c>
      <c r="H20797">
        <v>76092440</v>
      </c>
      <c r="I20797">
        <v>76092451</v>
      </c>
    </row>
    <row r="20798" spans="1:9" x14ac:dyDescent="0.2">
      <c r="A20798" s="1" t="str">
        <f>"LOC100506388"</f>
        <v>LOC100506388</v>
      </c>
      <c r="B20798" t="s">
        <v>14</v>
      </c>
      <c r="C20798" t="s">
        <v>28</v>
      </c>
      <c r="D20798" t="s">
        <v>17</v>
      </c>
      <c r="E20798" t="s">
        <v>12</v>
      </c>
      <c r="F20798">
        <v>181008</v>
      </c>
      <c r="G20798">
        <v>181025</v>
      </c>
      <c r="H20798">
        <v>180943</v>
      </c>
      <c r="I20798">
        <v>180969</v>
      </c>
    </row>
    <row r="20799" spans="1:9" x14ac:dyDescent="0.2">
      <c r="A20799" s="1" t="str">
        <f>"LOC100506422"</f>
        <v>LOC100506422</v>
      </c>
      <c r="B20799" t="s">
        <v>1912</v>
      </c>
      <c r="C20799" t="s">
        <v>24</v>
      </c>
      <c r="D20799" t="s">
        <v>17</v>
      </c>
      <c r="E20799" t="s">
        <v>20</v>
      </c>
      <c r="F20799">
        <v>26066672</v>
      </c>
      <c r="G20799">
        <v>26066672</v>
      </c>
      <c r="H20799">
        <v>26066672</v>
      </c>
      <c r="I20799">
        <v>26066672</v>
      </c>
    </row>
    <row r="20800" spans="1:9" x14ac:dyDescent="0.2">
      <c r="A20800" s="1" t="str">
        <f>"LOC100506688"</f>
        <v>LOC100506688</v>
      </c>
      <c r="B20800" t="s">
        <v>14</v>
      </c>
      <c r="C20800" t="s">
        <v>46</v>
      </c>
      <c r="D20800" t="s">
        <v>11</v>
      </c>
      <c r="E20800" t="s">
        <v>12</v>
      </c>
      <c r="F20800">
        <v>989593</v>
      </c>
      <c r="G20800">
        <v>989596</v>
      </c>
      <c r="H20800">
        <v>989593</v>
      </c>
      <c r="I20800">
        <v>989596</v>
      </c>
    </row>
    <row r="20801" spans="1:9" x14ac:dyDescent="0.2">
      <c r="A20801" s="1" t="str">
        <f>"LOC100507003"</f>
        <v>LOC100507003</v>
      </c>
      <c r="B20801" t="s">
        <v>1913</v>
      </c>
      <c r="C20801" t="s">
        <v>10</v>
      </c>
      <c r="D20801" t="s">
        <v>17</v>
      </c>
      <c r="E20801" t="s">
        <v>20</v>
      </c>
      <c r="F20801">
        <v>49929687</v>
      </c>
      <c r="G20801">
        <v>49929687</v>
      </c>
      <c r="H20801">
        <v>49929687</v>
      </c>
      <c r="I20801">
        <v>49929687</v>
      </c>
    </row>
    <row r="20802" spans="1:9" x14ac:dyDescent="0.2">
      <c r="A20802" s="1" t="str">
        <f>"LOC100507462"</f>
        <v>LOC100507462</v>
      </c>
      <c r="B20802" t="s">
        <v>14</v>
      </c>
      <c r="C20802" t="s">
        <v>32</v>
      </c>
      <c r="D20802" t="s">
        <v>11</v>
      </c>
      <c r="E20802" t="s">
        <v>12</v>
      </c>
      <c r="F20802">
        <v>139094779</v>
      </c>
      <c r="G20802">
        <v>139094816</v>
      </c>
      <c r="H20802">
        <v>139094832</v>
      </c>
      <c r="I20802">
        <v>139094845</v>
      </c>
    </row>
    <row r="20803" spans="1:9" x14ac:dyDescent="0.2">
      <c r="A20803" s="1" t="str">
        <f>"LOC100652758"</f>
        <v>LOC100652758</v>
      </c>
      <c r="B20803" t="s">
        <v>14</v>
      </c>
      <c r="C20803" t="s">
        <v>46</v>
      </c>
      <c r="D20803" t="s">
        <v>11</v>
      </c>
      <c r="E20803" t="s">
        <v>12</v>
      </c>
      <c r="F20803">
        <v>151150963</v>
      </c>
      <c r="G20803">
        <v>151151013</v>
      </c>
      <c r="H20803">
        <v>151150923</v>
      </c>
      <c r="I20803">
        <v>151150944</v>
      </c>
    </row>
    <row r="20804" spans="1:9" x14ac:dyDescent="0.2">
      <c r="A20804" s="1" t="str">
        <f>"LOC100652824"</f>
        <v>LOC100652824</v>
      </c>
      <c r="B20804" t="s">
        <v>14</v>
      </c>
      <c r="C20804" t="s">
        <v>26</v>
      </c>
      <c r="D20804" t="s">
        <v>17</v>
      </c>
      <c r="E20804" t="s">
        <v>12</v>
      </c>
      <c r="F20804">
        <v>202937972</v>
      </c>
      <c r="G20804">
        <v>202937988</v>
      </c>
      <c r="H20804">
        <v>202938005</v>
      </c>
      <c r="I20804">
        <v>202938019</v>
      </c>
    </row>
    <row r="20805" spans="1:9" x14ac:dyDescent="0.2">
      <c r="A20805" s="1" t="str">
        <f>"LOC100653046"</f>
        <v>LOC100653046</v>
      </c>
      <c r="B20805" t="s">
        <v>1914</v>
      </c>
      <c r="C20805" t="s">
        <v>15</v>
      </c>
      <c r="D20805" t="s">
        <v>17</v>
      </c>
      <c r="E20805" t="s">
        <v>20</v>
      </c>
      <c r="F20805">
        <v>135480557</v>
      </c>
      <c r="G20805">
        <v>135480557</v>
      </c>
      <c r="H20805">
        <v>135480557</v>
      </c>
      <c r="I20805">
        <v>135480557</v>
      </c>
    </row>
    <row r="20806" spans="1:9" x14ac:dyDescent="0.2">
      <c r="A20806" s="1" t="str">
        <f>"LOC100653046"</f>
        <v>LOC100653046</v>
      </c>
      <c r="B20806" t="s">
        <v>1915</v>
      </c>
      <c r="C20806" t="s">
        <v>15</v>
      </c>
      <c r="D20806" t="s">
        <v>17</v>
      </c>
      <c r="E20806" t="s">
        <v>20</v>
      </c>
      <c r="F20806">
        <v>135487176</v>
      </c>
      <c r="G20806">
        <v>135487176</v>
      </c>
      <c r="H20806">
        <v>135487176</v>
      </c>
      <c r="I20806">
        <v>135487176</v>
      </c>
    </row>
    <row r="20807" spans="1:9" x14ac:dyDescent="0.2">
      <c r="A20807" s="1" t="str">
        <f>"LOC100653046"</f>
        <v>LOC100653046</v>
      </c>
      <c r="B20807" t="s">
        <v>1916</v>
      </c>
      <c r="C20807" t="s">
        <v>15</v>
      </c>
      <c r="D20807" t="s">
        <v>17</v>
      </c>
      <c r="E20807" t="s">
        <v>20</v>
      </c>
      <c r="F20807">
        <v>135493785</v>
      </c>
      <c r="G20807">
        <v>135493785</v>
      </c>
      <c r="H20807">
        <v>135493785</v>
      </c>
      <c r="I20807">
        <v>135493785</v>
      </c>
    </row>
    <row r="20808" spans="1:9" x14ac:dyDescent="0.2">
      <c r="A20808" s="1" t="str">
        <f>"LOC100653515"</f>
        <v>LOC100653515</v>
      </c>
      <c r="B20808" t="s">
        <v>14</v>
      </c>
      <c r="C20808" t="s">
        <v>28</v>
      </c>
      <c r="D20808" t="s">
        <v>11</v>
      </c>
      <c r="E20808" t="s">
        <v>12</v>
      </c>
      <c r="F20808">
        <v>76899275</v>
      </c>
      <c r="G20808">
        <v>76899302</v>
      </c>
      <c r="H20808">
        <v>76899275</v>
      </c>
      <c r="I20808">
        <v>76899302</v>
      </c>
    </row>
    <row r="20809" spans="1:9" x14ac:dyDescent="0.2">
      <c r="A20809" s="1" t="str">
        <f>"LOC100862671"</f>
        <v>LOC100862671</v>
      </c>
      <c r="B20809" t="s">
        <v>14</v>
      </c>
      <c r="C20809" t="s">
        <v>31</v>
      </c>
      <c r="D20809" t="s">
        <v>17</v>
      </c>
      <c r="E20809" t="s">
        <v>67</v>
      </c>
      <c r="F20809">
        <v>30751411</v>
      </c>
      <c r="G20809">
        <v>30751416</v>
      </c>
      <c r="H20809">
        <v>30751411</v>
      </c>
      <c r="I20809">
        <v>30751416</v>
      </c>
    </row>
    <row r="20810" spans="1:9" x14ac:dyDescent="0.2">
      <c r="A20810" s="1" t="str">
        <f>"LOC100996634"</f>
        <v>LOC100996634</v>
      </c>
      <c r="B20810" t="s">
        <v>14</v>
      </c>
      <c r="C20810" t="s">
        <v>32</v>
      </c>
      <c r="D20810" t="s">
        <v>17</v>
      </c>
      <c r="E20810" t="s">
        <v>67</v>
      </c>
      <c r="F20810">
        <v>109557555</v>
      </c>
      <c r="G20810">
        <v>109557558</v>
      </c>
      <c r="H20810">
        <v>109557555</v>
      </c>
      <c r="I20810">
        <v>109557558</v>
      </c>
    </row>
    <row r="20811" spans="1:9" x14ac:dyDescent="0.2">
      <c r="A20811" s="1" t="str">
        <f>"LOC100996693"</f>
        <v>LOC100996693</v>
      </c>
      <c r="B20811" t="s">
        <v>1917</v>
      </c>
      <c r="C20811" t="s">
        <v>26</v>
      </c>
      <c r="D20811" t="s">
        <v>17</v>
      </c>
      <c r="E20811" t="s">
        <v>75</v>
      </c>
      <c r="F20811">
        <v>220360905</v>
      </c>
      <c r="G20811">
        <v>220360906</v>
      </c>
      <c r="H20811">
        <v>220360905</v>
      </c>
      <c r="I20811">
        <v>220360906</v>
      </c>
    </row>
    <row r="20812" spans="1:9" x14ac:dyDescent="0.2">
      <c r="A20812" s="1" t="str">
        <f>"LOC100996758"</f>
        <v>LOC100996758</v>
      </c>
      <c r="B20812" t="s">
        <v>1918</v>
      </c>
      <c r="C20812" t="s">
        <v>15</v>
      </c>
      <c r="D20812" t="s">
        <v>17</v>
      </c>
      <c r="E20812" t="s">
        <v>20</v>
      </c>
      <c r="F20812">
        <v>47086724</v>
      </c>
      <c r="G20812">
        <v>47086724</v>
      </c>
      <c r="H20812">
        <v>47086724</v>
      </c>
      <c r="I20812">
        <v>47086724</v>
      </c>
    </row>
    <row r="20813" spans="1:9" x14ac:dyDescent="0.2">
      <c r="A20813" s="1" t="str">
        <f>"LOC101059918"</f>
        <v>LOC101059918</v>
      </c>
      <c r="B20813" t="s">
        <v>1919</v>
      </c>
      <c r="C20813" t="s">
        <v>25</v>
      </c>
      <c r="D20813" t="s">
        <v>11</v>
      </c>
      <c r="E20813" t="s">
        <v>20</v>
      </c>
      <c r="F20813">
        <v>30706462</v>
      </c>
      <c r="G20813">
        <v>30706462</v>
      </c>
      <c r="H20813">
        <v>30706462</v>
      </c>
      <c r="I20813">
        <v>30706462</v>
      </c>
    </row>
    <row r="20814" spans="1:9" x14ac:dyDescent="0.2">
      <c r="A20814" s="1" t="str">
        <f>"LOC147646"</f>
        <v>LOC147646</v>
      </c>
      <c r="B20814" t="s">
        <v>14</v>
      </c>
      <c r="C20814" t="s">
        <v>10</v>
      </c>
      <c r="D20814" t="s">
        <v>11</v>
      </c>
      <c r="E20814" t="s">
        <v>12</v>
      </c>
      <c r="F20814">
        <v>51893827</v>
      </c>
      <c r="G20814">
        <v>51893851</v>
      </c>
      <c r="H20814">
        <v>51893853</v>
      </c>
      <c r="I20814">
        <v>51893864</v>
      </c>
    </row>
    <row r="20815" spans="1:9" x14ac:dyDescent="0.2">
      <c r="A20815" s="1" t="str">
        <f>"LOC149373"</f>
        <v>LOC149373</v>
      </c>
      <c r="B20815" t="s">
        <v>1920</v>
      </c>
      <c r="C20815" t="s">
        <v>19</v>
      </c>
      <c r="D20815" t="s">
        <v>11</v>
      </c>
      <c r="E20815" t="s">
        <v>20</v>
      </c>
      <c r="F20815">
        <v>231323372</v>
      </c>
      <c r="G20815">
        <v>231323372</v>
      </c>
      <c r="H20815">
        <v>231323372</v>
      </c>
      <c r="I20815">
        <v>231323372</v>
      </c>
    </row>
    <row r="20816" spans="1:9" x14ac:dyDescent="0.2">
      <c r="A20816" s="1" t="str">
        <f>"LOC152586"</f>
        <v>LOC152586</v>
      </c>
      <c r="B20816" t="s">
        <v>14</v>
      </c>
      <c r="C20816" t="s">
        <v>23</v>
      </c>
      <c r="D20816" t="s">
        <v>11</v>
      </c>
      <c r="E20816" t="s">
        <v>12</v>
      </c>
      <c r="F20816">
        <v>141419418</v>
      </c>
      <c r="G20816">
        <v>141419450</v>
      </c>
      <c r="H20816">
        <v>141419511</v>
      </c>
      <c r="I20816">
        <v>141419526</v>
      </c>
    </row>
    <row r="20817" spans="1:9" x14ac:dyDescent="0.2">
      <c r="A20817" s="1" t="str">
        <f>"LOC154872"</f>
        <v>LOC154872</v>
      </c>
      <c r="B20817" t="s">
        <v>14</v>
      </c>
      <c r="C20817" t="s">
        <v>33</v>
      </c>
      <c r="D20817" t="s">
        <v>11</v>
      </c>
      <c r="E20817" t="s">
        <v>12</v>
      </c>
      <c r="F20817">
        <v>124430878</v>
      </c>
      <c r="G20817">
        <v>124430879</v>
      </c>
      <c r="H20817">
        <v>124430878</v>
      </c>
      <c r="I20817">
        <v>124430879</v>
      </c>
    </row>
    <row r="20818" spans="1:9" x14ac:dyDescent="0.2">
      <c r="A20818" s="1" t="str">
        <f>"LOC158434"</f>
        <v>LOC158434</v>
      </c>
      <c r="B20818" t="s">
        <v>14</v>
      </c>
      <c r="C20818" t="s">
        <v>24</v>
      </c>
      <c r="D20818" t="s">
        <v>11</v>
      </c>
      <c r="E20818" t="s">
        <v>12</v>
      </c>
      <c r="F20818">
        <v>98878684</v>
      </c>
      <c r="G20818">
        <v>98878701</v>
      </c>
      <c r="H20818">
        <v>98878684</v>
      </c>
      <c r="I20818">
        <v>98878701</v>
      </c>
    </row>
    <row r="20819" spans="1:9" x14ac:dyDescent="0.2">
      <c r="A20819" s="1" t="str">
        <f>"LOC200726"</f>
        <v>LOC200726</v>
      </c>
      <c r="B20819" t="s">
        <v>1921</v>
      </c>
      <c r="C20819" t="s">
        <v>26</v>
      </c>
      <c r="D20819" t="s">
        <v>17</v>
      </c>
      <c r="E20819" t="s">
        <v>20</v>
      </c>
      <c r="F20819">
        <v>207507141</v>
      </c>
      <c r="G20819">
        <v>207507141</v>
      </c>
      <c r="H20819">
        <v>207507141</v>
      </c>
      <c r="I20819">
        <v>207507141</v>
      </c>
    </row>
    <row r="20820" spans="1:9" x14ac:dyDescent="0.2">
      <c r="A20820" s="1" t="str">
        <f>"LOC283710"</f>
        <v>LOC283710</v>
      </c>
      <c r="B20820" t="s">
        <v>14</v>
      </c>
      <c r="C20820" t="s">
        <v>25</v>
      </c>
      <c r="D20820" t="s">
        <v>11</v>
      </c>
      <c r="E20820" t="s">
        <v>12</v>
      </c>
      <c r="F20820">
        <v>31523055</v>
      </c>
      <c r="G20820">
        <v>31523071</v>
      </c>
      <c r="H20820">
        <v>31523045</v>
      </c>
      <c r="I20820">
        <v>31523046</v>
      </c>
    </row>
    <row r="20821" spans="1:9" x14ac:dyDescent="0.2">
      <c r="A20821" s="1" t="str">
        <f>"LOC286238"</f>
        <v>LOC286238</v>
      </c>
      <c r="B20821" t="s">
        <v>14</v>
      </c>
      <c r="C20821" t="s">
        <v>24</v>
      </c>
      <c r="D20821" t="s">
        <v>11</v>
      </c>
      <c r="E20821" t="s">
        <v>12</v>
      </c>
      <c r="F20821">
        <v>91267068</v>
      </c>
      <c r="G20821">
        <v>91267079</v>
      </c>
      <c r="H20821">
        <v>91267062</v>
      </c>
      <c r="I20821">
        <v>91267067</v>
      </c>
    </row>
    <row r="20822" spans="1:9" x14ac:dyDescent="0.2">
      <c r="A20822" s="1" t="str">
        <f>"LOC339862"</f>
        <v>LOC339862</v>
      </c>
      <c r="B20822" t="s">
        <v>14</v>
      </c>
      <c r="C20822" t="s">
        <v>22</v>
      </c>
      <c r="D20822" t="s">
        <v>17</v>
      </c>
      <c r="E20822" t="s">
        <v>67</v>
      </c>
      <c r="F20822">
        <v>18004038</v>
      </c>
      <c r="G20822">
        <v>18004057</v>
      </c>
      <c r="H20822">
        <v>18004062</v>
      </c>
      <c r="I20822">
        <v>18004068</v>
      </c>
    </row>
    <row r="20823" spans="1:9" x14ac:dyDescent="0.2">
      <c r="A20823" s="1" t="str">
        <f>"LOC388282"</f>
        <v>LOC388282</v>
      </c>
      <c r="B20823" t="s">
        <v>14</v>
      </c>
      <c r="C20823" t="s">
        <v>31</v>
      </c>
      <c r="D20823" t="s">
        <v>17</v>
      </c>
      <c r="E20823" t="s">
        <v>67</v>
      </c>
      <c r="F20823">
        <v>57844427</v>
      </c>
      <c r="G20823">
        <v>57844433</v>
      </c>
      <c r="H20823">
        <v>57844427</v>
      </c>
      <c r="I20823">
        <v>57844433</v>
      </c>
    </row>
    <row r="20824" spans="1:9" x14ac:dyDescent="0.2">
      <c r="A20824" s="1" t="str">
        <f>"LOC388813"</f>
        <v>LOC388813</v>
      </c>
      <c r="B20824" t="s">
        <v>9</v>
      </c>
      <c r="C20824" t="s">
        <v>42</v>
      </c>
      <c r="D20824" t="s">
        <v>11</v>
      </c>
      <c r="E20824" t="s">
        <v>12</v>
      </c>
      <c r="F20824">
        <v>15988765</v>
      </c>
      <c r="G20824">
        <v>15988783</v>
      </c>
      <c r="H20824">
        <v>15988765</v>
      </c>
      <c r="I20824">
        <v>15988783</v>
      </c>
    </row>
    <row r="20825" spans="1:9" x14ac:dyDescent="0.2">
      <c r="A20825" s="1" t="str">
        <f>"LOC388813"</f>
        <v>LOC388813</v>
      </c>
      <c r="B20825" t="s">
        <v>13</v>
      </c>
      <c r="C20825" t="s">
        <v>42</v>
      </c>
      <c r="D20825" t="s">
        <v>11</v>
      </c>
      <c r="E20825" t="s">
        <v>12</v>
      </c>
      <c r="F20825">
        <v>16031122</v>
      </c>
      <c r="G20825">
        <v>16031152</v>
      </c>
      <c r="H20825">
        <v>16031122</v>
      </c>
      <c r="I20825">
        <v>16031152</v>
      </c>
    </row>
    <row r="20826" spans="1:9" x14ac:dyDescent="0.2">
      <c r="A20826" s="1" t="str">
        <f>"LOC388849"</f>
        <v>LOC388849</v>
      </c>
      <c r="B20826" t="s">
        <v>14</v>
      </c>
      <c r="C20826" t="s">
        <v>21</v>
      </c>
      <c r="D20826" t="s">
        <v>11</v>
      </c>
      <c r="E20826" t="s">
        <v>12</v>
      </c>
      <c r="F20826">
        <v>20138573</v>
      </c>
      <c r="G20826">
        <v>20138582</v>
      </c>
      <c r="H20826">
        <v>20138573</v>
      </c>
      <c r="I20826">
        <v>20138582</v>
      </c>
    </row>
    <row r="20827" spans="1:9" x14ac:dyDescent="0.2">
      <c r="A20827" s="1" t="str">
        <f>"LOC389895"</f>
        <v>LOC389895</v>
      </c>
      <c r="B20827" t="s">
        <v>14</v>
      </c>
      <c r="C20827" t="s">
        <v>37</v>
      </c>
      <c r="D20827" t="s">
        <v>17</v>
      </c>
      <c r="E20827" t="s">
        <v>67</v>
      </c>
      <c r="F20827">
        <v>139173470</v>
      </c>
      <c r="G20827">
        <v>139173496</v>
      </c>
      <c r="H20827">
        <v>139173840</v>
      </c>
      <c r="I20827">
        <v>139173844</v>
      </c>
    </row>
    <row r="20828" spans="1:9" x14ac:dyDescent="0.2">
      <c r="A20828" s="1" t="str">
        <f>"LOC391322"</f>
        <v>LOC391322</v>
      </c>
      <c r="B20828" t="s">
        <v>14</v>
      </c>
      <c r="C20828" t="s">
        <v>21</v>
      </c>
      <c r="D20828" t="s">
        <v>17</v>
      </c>
      <c r="E20828" t="s">
        <v>12</v>
      </c>
      <c r="F20828">
        <v>24373105</v>
      </c>
      <c r="G20828">
        <v>24373140</v>
      </c>
      <c r="H20828">
        <v>24373075</v>
      </c>
      <c r="I20828">
        <v>24373100</v>
      </c>
    </row>
    <row r="20829" spans="1:9" x14ac:dyDescent="0.2">
      <c r="A20829" s="1" t="str">
        <f>"LOC401052"</f>
        <v>LOC401052</v>
      </c>
      <c r="B20829" t="s">
        <v>14</v>
      </c>
      <c r="C20829" t="s">
        <v>22</v>
      </c>
      <c r="D20829" t="s">
        <v>11</v>
      </c>
      <c r="E20829" t="s">
        <v>67</v>
      </c>
      <c r="F20829">
        <v>10052849</v>
      </c>
      <c r="G20829">
        <v>10052867</v>
      </c>
      <c r="H20829">
        <v>10052763</v>
      </c>
      <c r="I20829">
        <v>10052816</v>
      </c>
    </row>
    <row r="20830" spans="1:9" x14ac:dyDescent="0.2">
      <c r="A20830" s="1" t="str">
        <f>"LOC402160"</f>
        <v>LOC402160</v>
      </c>
      <c r="B20830" t="s">
        <v>14</v>
      </c>
      <c r="C20830" t="s">
        <v>23</v>
      </c>
      <c r="D20830" t="s">
        <v>17</v>
      </c>
      <c r="E20830" t="s">
        <v>12</v>
      </c>
      <c r="F20830">
        <v>2420659</v>
      </c>
      <c r="G20830">
        <v>2420720</v>
      </c>
      <c r="H20830">
        <v>2420721</v>
      </c>
      <c r="I20830">
        <v>2420765</v>
      </c>
    </row>
    <row r="20831" spans="1:9" x14ac:dyDescent="0.2">
      <c r="A20831" s="1" t="str">
        <f>"LOC440243"</f>
        <v>LOC440243</v>
      </c>
      <c r="B20831" t="s">
        <v>1922</v>
      </c>
      <c r="C20831" t="s">
        <v>25</v>
      </c>
      <c r="D20831" t="s">
        <v>11</v>
      </c>
      <c r="E20831" t="s">
        <v>20</v>
      </c>
      <c r="F20831">
        <v>23579378</v>
      </c>
      <c r="G20831">
        <v>23579378</v>
      </c>
      <c r="H20831">
        <v>23579378</v>
      </c>
      <c r="I20831">
        <v>23579378</v>
      </c>
    </row>
    <row r="20832" spans="1:9" x14ac:dyDescent="0.2">
      <c r="A20832" s="1" t="str">
        <f>"LOC441155"</f>
        <v>LOC441155</v>
      </c>
      <c r="B20832" t="s">
        <v>1923</v>
      </c>
      <c r="C20832" t="s">
        <v>32</v>
      </c>
      <c r="D20832" t="s">
        <v>17</v>
      </c>
      <c r="E20832" t="s">
        <v>20</v>
      </c>
      <c r="F20832">
        <v>66011310</v>
      </c>
      <c r="G20832">
        <v>66011310</v>
      </c>
      <c r="H20832">
        <v>66011310</v>
      </c>
      <c r="I20832">
        <v>66011310</v>
      </c>
    </row>
    <row r="20833" spans="1:9" x14ac:dyDescent="0.2">
      <c r="A20833" s="1" t="str">
        <f>"LOC554223"</f>
        <v>LOC554223</v>
      </c>
      <c r="B20833" t="s">
        <v>14</v>
      </c>
      <c r="C20833" t="s">
        <v>32</v>
      </c>
      <c r="D20833" t="s">
        <v>17</v>
      </c>
      <c r="E20833" t="s">
        <v>67</v>
      </c>
      <c r="F20833">
        <v>29759984</v>
      </c>
      <c r="G20833">
        <v>29760015</v>
      </c>
      <c r="H20833">
        <v>29759984</v>
      </c>
      <c r="I20833">
        <v>29760015</v>
      </c>
    </row>
    <row r="20834" spans="1:9" x14ac:dyDescent="0.2">
      <c r="A20834" s="1" t="str">
        <f>"LOC643037"</f>
        <v>LOC643037</v>
      </c>
      <c r="B20834" t="s">
        <v>14</v>
      </c>
      <c r="C20834" t="s">
        <v>27</v>
      </c>
      <c r="D20834" t="s">
        <v>17</v>
      </c>
      <c r="E20834" t="s">
        <v>12</v>
      </c>
      <c r="F20834">
        <v>94245617</v>
      </c>
      <c r="G20834">
        <v>94245660</v>
      </c>
      <c r="H20834">
        <v>94245596</v>
      </c>
      <c r="I20834">
        <v>94245613</v>
      </c>
    </row>
    <row r="20835" spans="1:9" x14ac:dyDescent="0.2">
      <c r="A20835" s="1" t="str">
        <f>"LOC643355"</f>
        <v>LOC643355</v>
      </c>
      <c r="B20835" t="s">
        <v>1924</v>
      </c>
      <c r="C20835" t="s">
        <v>19</v>
      </c>
      <c r="D20835" t="s">
        <v>17</v>
      </c>
      <c r="E20835" t="s">
        <v>20</v>
      </c>
      <c r="F20835">
        <v>112533189</v>
      </c>
      <c r="G20835">
        <v>112533189</v>
      </c>
      <c r="H20835">
        <v>112533189</v>
      </c>
      <c r="I20835">
        <v>112533189</v>
      </c>
    </row>
    <row r="20836" spans="1:9" x14ac:dyDescent="0.2">
      <c r="A20836" s="1" t="str">
        <f>"LOC643669"</f>
        <v>LOC643669</v>
      </c>
      <c r="B20836" t="s">
        <v>14</v>
      </c>
      <c r="C20836" t="s">
        <v>10</v>
      </c>
      <c r="D20836" t="s">
        <v>11</v>
      </c>
      <c r="E20836" t="s">
        <v>12</v>
      </c>
      <c r="F20836">
        <v>39402817</v>
      </c>
      <c r="G20836">
        <v>39402833</v>
      </c>
      <c r="H20836">
        <v>39402846</v>
      </c>
      <c r="I20836">
        <v>39402860</v>
      </c>
    </row>
    <row r="20837" spans="1:9" x14ac:dyDescent="0.2">
      <c r="A20837" s="1" t="str">
        <f>"LOC643802"</f>
        <v>LOC643802</v>
      </c>
      <c r="B20837" t="s">
        <v>14</v>
      </c>
      <c r="C20837" t="s">
        <v>31</v>
      </c>
      <c r="D20837" t="s">
        <v>11</v>
      </c>
      <c r="E20837" t="s">
        <v>12</v>
      </c>
      <c r="F20837">
        <v>53404999</v>
      </c>
      <c r="G20837">
        <v>53405013</v>
      </c>
      <c r="H20837">
        <v>53404999</v>
      </c>
      <c r="I20837">
        <v>53405013</v>
      </c>
    </row>
    <row r="20838" spans="1:9" x14ac:dyDescent="0.2">
      <c r="A20838" s="1" t="str">
        <f>"LOC646862"</f>
        <v>LOC646862</v>
      </c>
      <c r="B20838" t="s">
        <v>14</v>
      </c>
      <c r="C20838" t="s">
        <v>10</v>
      </c>
      <c r="D20838" t="s">
        <v>17</v>
      </c>
      <c r="E20838" t="s">
        <v>12</v>
      </c>
      <c r="F20838">
        <v>58907015</v>
      </c>
      <c r="G20838">
        <v>58907033</v>
      </c>
      <c r="H20838">
        <v>58907015</v>
      </c>
      <c r="I20838">
        <v>58907033</v>
      </c>
    </row>
    <row r="20839" spans="1:9" x14ac:dyDescent="0.2">
      <c r="A20839" s="1" t="str">
        <f>"LOC649330"</f>
        <v>LOC649330</v>
      </c>
      <c r="B20839" t="s">
        <v>14</v>
      </c>
      <c r="C20839" t="s">
        <v>19</v>
      </c>
      <c r="D20839" t="s">
        <v>11</v>
      </c>
      <c r="E20839" t="s">
        <v>12</v>
      </c>
      <c r="F20839">
        <v>12908304</v>
      </c>
      <c r="G20839">
        <v>12908312</v>
      </c>
      <c r="H20839">
        <v>12908304</v>
      </c>
      <c r="I20839">
        <v>12908312</v>
      </c>
    </row>
    <row r="20840" spans="1:9" x14ac:dyDescent="0.2">
      <c r="A20840" s="1" t="str">
        <f>"LOC650293"</f>
        <v>LOC650293</v>
      </c>
      <c r="B20840" t="s">
        <v>1925</v>
      </c>
      <c r="C20840" t="s">
        <v>23</v>
      </c>
      <c r="D20840" t="s">
        <v>17</v>
      </c>
      <c r="E20840" t="s">
        <v>20</v>
      </c>
      <c r="F20840">
        <v>8951476</v>
      </c>
      <c r="G20840">
        <v>8951476</v>
      </c>
      <c r="H20840">
        <v>8951476</v>
      </c>
      <c r="I20840">
        <v>8951476</v>
      </c>
    </row>
    <row r="20841" spans="1:9" x14ac:dyDescent="0.2">
      <c r="A20841" s="1" t="str">
        <f>"LOC653486"</f>
        <v>LOC653486</v>
      </c>
      <c r="B20841" t="s">
        <v>14</v>
      </c>
      <c r="C20841" t="s">
        <v>27</v>
      </c>
      <c r="D20841" t="s">
        <v>17</v>
      </c>
      <c r="E20841" t="s">
        <v>67</v>
      </c>
      <c r="F20841">
        <v>193065</v>
      </c>
      <c r="G20841">
        <v>193084</v>
      </c>
      <c r="H20841">
        <v>193065</v>
      </c>
      <c r="I20841">
        <v>193084</v>
      </c>
    </row>
    <row r="20842" spans="1:9" x14ac:dyDescent="0.2">
      <c r="A20842" s="1" t="str">
        <f>"LOC728392"</f>
        <v>LOC728392</v>
      </c>
      <c r="B20842" t="s">
        <v>14</v>
      </c>
      <c r="C20842" t="s">
        <v>28</v>
      </c>
      <c r="D20842" t="s">
        <v>11</v>
      </c>
      <c r="E20842" t="s">
        <v>12</v>
      </c>
      <c r="F20842">
        <v>5404305</v>
      </c>
      <c r="G20842">
        <v>5404333</v>
      </c>
      <c r="H20842">
        <v>5404305</v>
      </c>
      <c r="I20842">
        <v>5404333</v>
      </c>
    </row>
    <row r="20843" spans="1:9" x14ac:dyDescent="0.2">
      <c r="A20843" s="1" t="str">
        <f>"LOC728637"</f>
        <v>LOC728637</v>
      </c>
      <c r="B20843" t="s">
        <v>14</v>
      </c>
      <c r="C20843" t="s">
        <v>46</v>
      </c>
      <c r="D20843" t="s">
        <v>11</v>
      </c>
      <c r="E20843" t="s">
        <v>67</v>
      </c>
      <c r="F20843">
        <v>131281354</v>
      </c>
      <c r="G20843">
        <v>131281358</v>
      </c>
      <c r="H20843">
        <v>131281385</v>
      </c>
      <c r="I20843">
        <v>131281415</v>
      </c>
    </row>
    <row r="20844" spans="1:9" x14ac:dyDescent="0.2">
      <c r="A20844" s="1" t="str">
        <f>"LOC728819"</f>
        <v>LOC728819</v>
      </c>
      <c r="B20844" t="s">
        <v>14</v>
      </c>
      <c r="C20844" t="s">
        <v>26</v>
      </c>
      <c r="D20844" t="s">
        <v>11</v>
      </c>
      <c r="E20844" t="s">
        <v>12</v>
      </c>
      <c r="F20844">
        <v>43903545</v>
      </c>
      <c r="G20844">
        <v>43903582</v>
      </c>
      <c r="H20844">
        <v>43903488</v>
      </c>
      <c r="I20844">
        <v>43903505</v>
      </c>
    </row>
    <row r="20845" spans="1:9" x14ac:dyDescent="0.2">
      <c r="A20845" s="1" t="str">
        <f>"LOC729020"</f>
        <v>LOC729020</v>
      </c>
      <c r="B20845" t="s">
        <v>1926</v>
      </c>
      <c r="C20845" t="s">
        <v>15</v>
      </c>
      <c r="D20845" t="s">
        <v>17</v>
      </c>
      <c r="E20845" t="s">
        <v>20</v>
      </c>
      <c r="F20845">
        <v>105005643</v>
      </c>
      <c r="G20845">
        <v>105005643</v>
      </c>
      <c r="H20845">
        <v>105005643</v>
      </c>
      <c r="I20845">
        <v>105005643</v>
      </c>
    </row>
    <row r="20846" spans="1:9" x14ac:dyDescent="0.2">
      <c r="A20846" s="1" t="str">
        <f>"LOC729159"</f>
        <v>LOC729159</v>
      </c>
      <c r="B20846" t="s">
        <v>1927</v>
      </c>
      <c r="C20846" t="s">
        <v>31</v>
      </c>
      <c r="D20846" t="s">
        <v>11</v>
      </c>
      <c r="E20846" t="s">
        <v>75</v>
      </c>
      <c r="F20846">
        <v>60393666</v>
      </c>
      <c r="G20846">
        <v>60393672</v>
      </c>
      <c r="H20846">
        <v>60393666</v>
      </c>
      <c r="I20846">
        <v>60393672</v>
      </c>
    </row>
    <row r="20847" spans="1:9" x14ac:dyDescent="0.2">
      <c r="A20847" s="1" t="str">
        <f>"LOC729574"</f>
        <v>LOC729574</v>
      </c>
      <c r="B20847" t="s">
        <v>1928</v>
      </c>
      <c r="C20847" t="s">
        <v>19</v>
      </c>
      <c r="D20847" t="s">
        <v>17</v>
      </c>
      <c r="E20847" t="s">
        <v>20</v>
      </c>
      <c r="F20847">
        <v>16999497</v>
      </c>
      <c r="G20847">
        <v>16999497</v>
      </c>
      <c r="H20847">
        <v>16999497</v>
      </c>
      <c r="I20847">
        <v>16999497</v>
      </c>
    </row>
    <row r="20848" spans="1:9" x14ac:dyDescent="0.2">
      <c r="A20848" s="1" t="str">
        <f>"LOC729574"</f>
        <v>LOC729574</v>
      </c>
      <c r="B20848" t="s">
        <v>1929</v>
      </c>
      <c r="C20848" t="s">
        <v>19</v>
      </c>
      <c r="D20848" t="s">
        <v>17</v>
      </c>
      <c r="E20848" t="s">
        <v>20</v>
      </c>
      <c r="F20848">
        <v>17060955</v>
      </c>
      <c r="G20848">
        <v>17060955</v>
      </c>
      <c r="H20848">
        <v>17060955</v>
      </c>
      <c r="I20848">
        <v>17060955</v>
      </c>
    </row>
    <row r="20849" spans="1:9" x14ac:dyDescent="0.2">
      <c r="A20849" s="1" t="str">
        <f>"LOC730159"</f>
        <v>LOC730159</v>
      </c>
      <c r="B20849" t="s">
        <v>14</v>
      </c>
      <c r="C20849" t="s">
        <v>19</v>
      </c>
      <c r="D20849" t="s">
        <v>17</v>
      </c>
      <c r="E20849" t="s">
        <v>12</v>
      </c>
      <c r="F20849">
        <v>173604472</v>
      </c>
      <c r="G20849">
        <v>173604481</v>
      </c>
      <c r="H20849">
        <v>173604472</v>
      </c>
      <c r="I20849">
        <v>173604481</v>
      </c>
    </row>
    <row r="20850" spans="1:9" x14ac:dyDescent="0.2">
      <c r="A20850" s="1" t="str">
        <f>"LOC730183"</f>
        <v>LOC730183</v>
      </c>
      <c r="B20850" t="s">
        <v>1930</v>
      </c>
      <c r="C20850" t="s">
        <v>31</v>
      </c>
      <c r="D20850" t="s">
        <v>11</v>
      </c>
      <c r="E20850" t="s">
        <v>75</v>
      </c>
      <c r="F20850">
        <v>30709835</v>
      </c>
      <c r="G20850">
        <v>30709856</v>
      </c>
      <c r="H20850">
        <v>30709596</v>
      </c>
      <c r="I20850">
        <v>30709613</v>
      </c>
    </row>
    <row r="20851" spans="1:9" x14ac:dyDescent="0.2">
      <c r="A20851" s="1" t="str">
        <f>"LOC81691"</f>
        <v>LOC81691</v>
      </c>
      <c r="B20851" t="s">
        <v>14</v>
      </c>
      <c r="C20851" t="s">
        <v>31</v>
      </c>
      <c r="D20851" t="s">
        <v>17</v>
      </c>
      <c r="E20851" t="s">
        <v>12</v>
      </c>
      <c r="F20851">
        <v>20817839</v>
      </c>
      <c r="G20851">
        <v>20817857</v>
      </c>
      <c r="H20851">
        <v>20817953</v>
      </c>
      <c r="I20851">
        <v>20817993</v>
      </c>
    </row>
    <row r="20852" spans="1:9" x14ac:dyDescent="0.2">
      <c r="A20852" s="1" t="str">
        <f>"LPPR1"</f>
        <v>LPPR1</v>
      </c>
      <c r="B20852" t="s">
        <v>14</v>
      </c>
      <c r="C20852" t="s">
        <v>24</v>
      </c>
      <c r="D20852" t="s">
        <v>17</v>
      </c>
      <c r="E20852" t="s">
        <v>12</v>
      </c>
      <c r="F20852">
        <v>103791003</v>
      </c>
      <c r="G20852">
        <v>103791051</v>
      </c>
      <c r="H20852">
        <v>103791003</v>
      </c>
      <c r="I20852">
        <v>103791051</v>
      </c>
    </row>
    <row r="20853" spans="1:9" x14ac:dyDescent="0.2">
      <c r="A20853" s="1" t="str">
        <f>"LPPR2"</f>
        <v>LPPR2</v>
      </c>
      <c r="B20853" t="s">
        <v>14</v>
      </c>
      <c r="C20853" t="s">
        <v>10</v>
      </c>
      <c r="D20853" t="s">
        <v>17</v>
      </c>
      <c r="E20853" t="s">
        <v>12</v>
      </c>
      <c r="F20853">
        <v>11466086</v>
      </c>
      <c r="G20853">
        <v>11466159</v>
      </c>
      <c r="H20853">
        <v>11466167</v>
      </c>
      <c r="I20853">
        <v>11466180</v>
      </c>
    </row>
    <row r="20854" spans="1:9" x14ac:dyDescent="0.2">
      <c r="A20854" s="1" t="str">
        <f>"LPPR3"</f>
        <v>LPPR3</v>
      </c>
      <c r="B20854" t="s">
        <v>14</v>
      </c>
      <c r="C20854" t="s">
        <v>10</v>
      </c>
      <c r="D20854" t="s">
        <v>11</v>
      </c>
      <c r="E20854" t="s">
        <v>12</v>
      </c>
      <c r="F20854">
        <v>815805</v>
      </c>
      <c r="G20854">
        <v>815806</v>
      </c>
      <c r="H20854">
        <v>815805</v>
      </c>
      <c r="I20854">
        <v>815806</v>
      </c>
    </row>
    <row r="20855" spans="1:9" x14ac:dyDescent="0.2">
      <c r="A20855" s="1" t="str">
        <f>"LPPR4"</f>
        <v>LPPR4</v>
      </c>
      <c r="B20855" t="s">
        <v>14</v>
      </c>
      <c r="C20855" t="s">
        <v>19</v>
      </c>
      <c r="D20855" t="s">
        <v>17</v>
      </c>
      <c r="E20855" t="s">
        <v>12</v>
      </c>
      <c r="F20855">
        <v>99730062</v>
      </c>
      <c r="G20855">
        <v>99730107</v>
      </c>
      <c r="H20855">
        <v>99730028</v>
      </c>
      <c r="I20855">
        <v>99730060</v>
      </c>
    </row>
    <row r="20856" spans="1:9" x14ac:dyDescent="0.2">
      <c r="A20856" s="1" t="str">
        <f>"LPPR5"</f>
        <v>LPPR5</v>
      </c>
      <c r="B20856" t="s">
        <v>14</v>
      </c>
      <c r="C20856" t="s">
        <v>19</v>
      </c>
      <c r="D20856" t="s">
        <v>11</v>
      </c>
      <c r="E20856" t="s">
        <v>12</v>
      </c>
      <c r="F20856">
        <v>99470368</v>
      </c>
      <c r="G20856">
        <v>99470446</v>
      </c>
      <c r="H20856">
        <v>99470558</v>
      </c>
      <c r="I20856">
        <v>99470609</v>
      </c>
    </row>
    <row r="20857" spans="1:9" x14ac:dyDescent="0.2">
      <c r="A20857" s="1" t="str">
        <f>"LZTS3"</f>
        <v>LZTS3</v>
      </c>
      <c r="B20857" t="s">
        <v>14</v>
      </c>
      <c r="C20857" t="s">
        <v>29</v>
      </c>
      <c r="D20857" t="s">
        <v>11</v>
      </c>
      <c r="E20857" t="s">
        <v>67</v>
      </c>
      <c r="F20857">
        <v>3154162</v>
      </c>
      <c r="G20857">
        <v>3154232</v>
      </c>
      <c r="H20857">
        <v>3154253</v>
      </c>
      <c r="I20857">
        <v>3154264</v>
      </c>
    </row>
    <row r="20858" spans="1:9" x14ac:dyDescent="0.2">
      <c r="A20858" s="1" t="str">
        <f>"MAGEA10-MAGEA5"</f>
        <v>MAGEA10-MAGEA5</v>
      </c>
      <c r="B20858" t="s">
        <v>14</v>
      </c>
      <c r="C20858" t="s">
        <v>37</v>
      </c>
      <c r="D20858" t="s">
        <v>11</v>
      </c>
      <c r="E20858" t="s">
        <v>67</v>
      </c>
      <c r="F20858">
        <v>151307020</v>
      </c>
      <c r="G20858">
        <v>151307055</v>
      </c>
      <c r="H20858">
        <v>151307006</v>
      </c>
      <c r="I20858">
        <v>151307013</v>
      </c>
    </row>
    <row r="20859" spans="1:9" x14ac:dyDescent="0.2">
      <c r="A20859" s="1" t="str">
        <f>"NARR"</f>
        <v>NARR</v>
      </c>
      <c r="B20859" t="s">
        <v>14</v>
      </c>
      <c r="C20859" t="s">
        <v>28</v>
      </c>
      <c r="D20859" t="s">
        <v>11</v>
      </c>
      <c r="E20859" t="s">
        <v>67</v>
      </c>
      <c r="F20859">
        <v>27045165</v>
      </c>
      <c r="G20859">
        <v>27045230</v>
      </c>
      <c r="H20859">
        <v>27044810</v>
      </c>
      <c r="I20859">
        <v>27044873</v>
      </c>
    </row>
    <row r="20860" spans="1:9" x14ac:dyDescent="0.2">
      <c r="A20860" s="1" t="str">
        <f>"NSG1"</f>
        <v>NSG1</v>
      </c>
      <c r="B20860" t="s">
        <v>1931</v>
      </c>
      <c r="C20860" t="s">
        <v>23</v>
      </c>
      <c r="D20860" t="s">
        <v>17</v>
      </c>
      <c r="E20860" t="s">
        <v>35</v>
      </c>
      <c r="F20860">
        <v>4387805</v>
      </c>
      <c r="G20860">
        <v>4387807</v>
      </c>
      <c r="H20860">
        <v>4388155</v>
      </c>
      <c r="I20860">
        <v>4388166</v>
      </c>
    </row>
    <row r="20861" spans="1:9" x14ac:dyDescent="0.2">
      <c r="A20861" s="1" t="str">
        <f>"OR8U8"</f>
        <v>OR8U8</v>
      </c>
      <c r="B20861" t="s">
        <v>1932</v>
      </c>
      <c r="C20861" t="s">
        <v>27</v>
      </c>
      <c r="D20861" t="s">
        <v>17</v>
      </c>
      <c r="E20861" t="s">
        <v>20</v>
      </c>
      <c r="F20861">
        <v>56143099</v>
      </c>
      <c r="G20861">
        <v>56143099</v>
      </c>
      <c r="H20861">
        <v>56143099</v>
      </c>
      <c r="I20861">
        <v>56143099</v>
      </c>
    </row>
    <row r="20862" spans="1:9" x14ac:dyDescent="0.2">
      <c r="A20862" s="1" t="str">
        <f>"OR9G9"</f>
        <v>OR9G9</v>
      </c>
      <c r="B20862" t="s">
        <v>1933</v>
      </c>
      <c r="C20862" t="s">
        <v>27</v>
      </c>
      <c r="D20862" t="s">
        <v>17</v>
      </c>
      <c r="E20862" t="s">
        <v>20</v>
      </c>
      <c r="F20862">
        <v>56467863</v>
      </c>
      <c r="G20862">
        <v>56467863</v>
      </c>
      <c r="H20862">
        <v>56467863</v>
      </c>
      <c r="I20862">
        <v>56467863</v>
      </c>
    </row>
    <row r="20863" spans="1:9" x14ac:dyDescent="0.2">
      <c r="A20863" s="1" t="str">
        <f>"PAPL"</f>
        <v>PAPL</v>
      </c>
      <c r="B20863" t="s">
        <v>14</v>
      </c>
      <c r="C20863" t="s">
        <v>10</v>
      </c>
      <c r="D20863" t="s">
        <v>17</v>
      </c>
      <c r="E20863" t="s">
        <v>12</v>
      </c>
      <c r="F20863">
        <v>39574967</v>
      </c>
      <c r="G20863">
        <v>39574987</v>
      </c>
      <c r="H20863">
        <v>39575002</v>
      </c>
      <c r="I20863">
        <v>39575011</v>
      </c>
    </row>
    <row r="20864" spans="1:9" x14ac:dyDescent="0.2">
      <c r="A20864" s="1" t="str">
        <f>"PHOSPHO2-KLHL23"</f>
        <v>PHOSPHO2-KLHL23</v>
      </c>
      <c r="B20864" t="s">
        <v>14</v>
      </c>
      <c r="C20864" t="s">
        <v>26</v>
      </c>
      <c r="D20864" t="s">
        <v>17</v>
      </c>
      <c r="E20864" t="s">
        <v>67</v>
      </c>
      <c r="F20864">
        <v>170550944</v>
      </c>
      <c r="G20864">
        <v>170551040</v>
      </c>
      <c r="H20864">
        <v>170551279</v>
      </c>
      <c r="I20864">
        <v>170551294</v>
      </c>
    </row>
    <row r="20865" spans="1:9" x14ac:dyDescent="0.2">
      <c r="A20865" s="1" t="str">
        <f>"PRAMEF22"</f>
        <v>PRAMEF22</v>
      </c>
      <c r="B20865" t="s">
        <v>1934</v>
      </c>
      <c r="C20865" t="s">
        <v>19</v>
      </c>
      <c r="D20865" t="s">
        <v>17</v>
      </c>
      <c r="E20865" t="s">
        <v>20</v>
      </c>
      <c r="F20865">
        <v>13035542</v>
      </c>
      <c r="G20865">
        <v>13035542</v>
      </c>
      <c r="H20865">
        <v>13035542</v>
      </c>
      <c r="I20865">
        <v>13035542</v>
      </c>
    </row>
    <row r="20866" spans="1:9" x14ac:dyDescent="0.2">
      <c r="A20866" s="1" t="str">
        <f>"PRAMEF22"</f>
        <v>PRAMEF22</v>
      </c>
      <c r="B20866" t="s">
        <v>1935</v>
      </c>
      <c r="C20866" t="s">
        <v>19</v>
      </c>
      <c r="D20866" t="s">
        <v>17</v>
      </c>
      <c r="E20866" t="s">
        <v>20</v>
      </c>
      <c r="F20866">
        <v>13331670</v>
      </c>
      <c r="G20866">
        <v>13331670</v>
      </c>
      <c r="H20866">
        <v>13331670</v>
      </c>
      <c r="I20866">
        <v>13331670</v>
      </c>
    </row>
    <row r="20867" spans="1:9" x14ac:dyDescent="0.2">
      <c r="A20867" s="1" t="str">
        <f>"SELK"</f>
        <v>SELK</v>
      </c>
      <c r="B20867" t="s">
        <v>14</v>
      </c>
      <c r="C20867" t="s">
        <v>22</v>
      </c>
      <c r="D20867" t="s">
        <v>11</v>
      </c>
      <c r="E20867" t="s">
        <v>67</v>
      </c>
      <c r="F20867">
        <v>53925863</v>
      </c>
      <c r="G20867">
        <v>53925933</v>
      </c>
      <c r="H20867">
        <v>53925835</v>
      </c>
      <c r="I20867">
        <v>53925860</v>
      </c>
    </row>
    <row r="20868" spans="1:9" x14ac:dyDescent="0.2">
      <c r="A20868" s="1" t="str">
        <f>"SELM"</f>
        <v>SELM</v>
      </c>
      <c r="B20868" t="s">
        <v>14</v>
      </c>
      <c r="C20868" t="s">
        <v>21</v>
      </c>
      <c r="D20868" t="s">
        <v>11</v>
      </c>
      <c r="E20868" t="s">
        <v>12</v>
      </c>
      <c r="F20868">
        <v>31503490</v>
      </c>
      <c r="G20868">
        <v>31503584</v>
      </c>
      <c r="H20868">
        <v>31503490</v>
      </c>
      <c r="I20868">
        <v>31503584</v>
      </c>
    </row>
    <row r="20869" spans="1:9" x14ac:dyDescent="0.2">
      <c r="A20869" s="1" t="str">
        <f>"SELO"</f>
        <v>SELO</v>
      </c>
      <c r="B20869" t="s">
        <v>14</v>
      </c>
      <c r="C20869" t="s">
        <v>21</v>
      </c>
      <c r="D20869" t="s">
        <v>17</v>
      </c>
      <c r="E20869" t="s">
        <v>12</v>
      </c>
      <c r="F20869">
        <v>50639422</v>
      </c>
      <c r="G20869">
        <v>50639479</v>
      </c>
      <c r="H20869">
        <v>50639485</v>
      </c>
      <c r="I20869">
        <v>50639502</v>
      </c>
    </row>
    <row r="20870" spans="1:9" x14ac:dyDescent="0.2">
      <c r="A20870" s="1" t="str">
        <f>"SELT"</f>
        <v>SELT</v>
      </c>
      <c r="B20870" t="s">
        <v>14</v>
      </c>
      <c r="C20870" t="s">
        <v>22</v>
      </c>
      <c r="D20870" t="s">
        <v>17</v>
      </c>
      <c r="E20870" t="s">
        <v>12</v>
      </c>
      <c r="F20870">
        <v>150340187</v>
      </c>
      <c r="G20870">
        <v>150340227</v>
      </c>
      <c r="H20870">
        <v>150340187</v>
      </c>
      <c r="I20870">
        <v>150340227</v>
      </c>
    </row>
    <row r="20871" spans="1:9" x14ac:dyDescent="0.2">
      <c r="A20871" s="1" t="str">
        <f>"SELV"</f>
        <v>SELV</v>
      </c>
      <c r="B20871" t="s">
        <v>14</v>
      </c>
      <c r="C20871" t="s">
        <v>10</v>
      </c>
      <c r="D20871" t="s">
        <v>17</v>
      </c>
      <c r="E20871" t="s">
        <v>12</v>
      </c>
      <c r="F20871">
        <v>40006014</v>
      </c>
      <c r="G20871">
        <v>40006043</v>
      </c>
      <c r="H20871">
        <v>40006014</v>
      </c>
      <c r="I20871">
        <v>40006043</v>
      </c>
    </row>
    <row r="20872" spans="1:9" x14ac:dyDescent="0.2">
      <c r="A20872" s="1" t="str">
        <f>"SEP15"</f>
        <v>SEP15</v>
      </c>
      <c r="B20872" t="s">
        <v>14</v>
      </c>
      <c r="C20872" t="s">
        <v>19</v>
      </c>
      <c r="D20872" t="s">
        <v>11</v>
      </c>
      <c r="E20872" t="s">
        <v>12</v>
      </c>
      <c r="F20872">
        <v>87380101</v>
      </c>
      <c r="G20872">
        <v>87380111</v>
      </c>
      <c r="H20872">
        <v>87380202</v>
      </c>
      <c r="I20872">
        <v>87380215</v>
      </c>
    </row>
    <row r="20873" spans="1:9" x14ac:dyDescent="0.2">
      <c r="A20873" s="1" t="str">
        <f>"SF3B14"</f>
        <v>SF3B14</v>
      </c>
      <c r="B20873" t="s">
        <v>14</v>
      </c>
      <c r="C20873" t="s">
        <v>26</v>
      </c>
      <c r="D20873" t="s">
        <v>11</v>
      </c>
      <c r="E20873" t="s">
        <v>12</v>
      </c>
      <c r="F20873">
        <v>24299153</v>
      </c>
      <c r="G20873">
        <v>24299252</v>
      </c>
      <c r="H20873">
        <v>24299308</v>
      </c>
      <c r="I20873">
        <v>24299354</v>
      </c>
    </row>
    <row r="20874" spans="1:9" x14ac:dyDescent="0.2">
      <c r="A20874" s="1" t="str">
        <f>"SGK223"</f>
        <v>SGK223</v>
      </c>
      <c r="B20874" t="s">
        <v>14</v>
      </c>
      <c r="C20874" t="s">
        <v>30</v>
      </c>
      <c r="D20874" t="s">
        <v>11</v>
      </c>
      <c r="E20874" t="s">
        <v>12</v>
      </c>
      <c r="F20874">
        <v>8243933</v>
      </c>
      <c r="G20874">
        <v>8243954</v>
      </c>
      <c r="H20874">
        <v>8243896</v>
      </c>
      <c r="I20874">
        <v>8243925</v>
      </c>
    </row>
    <row r="20875" spans="1:9" x14ac:dyDescent="0.2">
      <c r="A20875" s="1" t="str">
        <f>"SGK494"</f>
        <v>SGK494</v>
      </c>
      <c r="B20875" t="s">
        <v>14</v>
      </c>
      <c r="C20875" t="s">
        <v>28</v>
      </c>
      <c r="D20875" t="s">
        <v>11</v>
      </c>
      <c r="E20875" t="s">
        <v>12</v>
      </c>
      <c r="F20875">
        <v>26941192</v>
      </c>
      <c r="G20875">
        <v>26941228</v>
      </c>
      <c r="H20875">
        <v>26941192</v>
      </c>
      <c r="I20875">
        <v>26941228</v>
      </c>
    </row>
    <row r="20876" spans="1:9" x14ac:dyDescent="0.2">
      <c r="A20876" s="1" t="str">
        <f>"SMCR9"</f>
        <v>SMCR9</v>
      </c>
      <c r="B20876" t="s">
        <v>1936</v>
      </c>
      <c r="C20876" t="s">
        <v>28</v>
      </c>
      <c r="D20876" t="s">
        <v>17</v>
      </c>
      <c r="E20876" t="s">
        <v>20</v>
      </c>
      <c r="F20876">
        <v>17322657</v>
      </c>
      <c r="G20876">
        <v>17322657</v>
      </c>
      <c r="H20876">
        <v>17322657</v>
      </c>
      <c r="I20876">
        <v>17322657</v>
      </c>
    </row>
    <row r="20877" spans="1:9" x14ac:dyDescent="0.2">
      <c r="A20877" s="1" t="str">
        <f>"TARP"</f>
        <v>TARP</v>
      </c>
      <c r="B20877" t="s">
        <v>14</v>
      </c>
      <c r="C20877" t="s">
        <v>33</v>
      </c>
      <c r="D20877" t="s">
        <v>11</v>
      </c>
      <c r="E20877" t="s">
        <v>67</v>
      </c>
      <c r="F20877">
        <v>38313235</v>
      </c>
      <c r="G20877">
        <v>38313268</v>
      </c>
      <c r="H20877">
        <v>38313235</v>
      </c>
      <c r="I20877">
        <v>38313268</v>
      </c>
    </row>
    <row r="20878" spans="1:9" x14ac:dyDescent="0.2">
      <c r="A20878" s="1" t="str">
        <f>"THEG5"</f>
        <v>THEG5</v>
      </c>
      <c r="B20878" t="s">
        <v>14</v>
      </c>
      <c r="C20878" t="s">
        <v>10</v>
      </c>
      <c r="D20878" t="s">
        <v>17</v>
      </c>
      <c r="E20878" t="s">
        <v>67</v>
      </c>
      <c r="F20878">
        <v>32079149</v>
      </c>
      <c r="G20878">
        <v>32079154</v>
      </c>
      <c r="H20878">
        <v>32079149</v>
      </c>
      <c r="I20878">
        <v>32079154</v>
      </c>
    </row>
    <row r="20879" spans="1:9" x14ac:dyDescent="0.2">
      <c r="A20879" s="1" t="str">
        <f>"TNFAIP8L2-SCNM1"</f>
        <v>TNFAIP8L2-SCNM1</v>
      </c>
      <c r="B20879" t="s">
        <v>14</v>
      </c>
      <c r="C20879" t="s">
        <v>19</v>
      </c>
      <c r="D20879" t="s">
        <v>17</v>
      </c>
      <c r="E20879" t="s">
        <v>67</v>
      </c>
      <c r="F20879">
        <v>151129135</v>
      </c>
      <c r="G20879">
        <v>151129165</v>
      </c>
      <c r="H20879">
        <v>151129103</v>
      </c>
      <c r="I20879">
        <v>151129130</v>
      </c>
    </row>
    <row r="20880" spans="1:9" x14ac:dyDescent="0.2">
      <c r="A20880" s="1" t="str">
        <f>"UQCRHL"</f>
        <v>UQCRHL</v>
      </c>
      <c r="B20880" t="s">
        <v>14</v>
      </c>
      <c r="C20880" t="s">
        <v>19</v>
      </c>
      <c r="D20880" t="s">
        <v>11</v>
      </c>
      <c r="E20880" t="s">
        <v>12</v>
      </c>
      <c r="F20880">
        <v>16134190</v>
      </c>
      <c r="G20880">
        <v>16134194</v>
      </c>
      <c r="H20880">
        <v>16134190</v>
      </c>
      <c r="I20880">
        <v>16134194</v>
      </c>
    </row>
    <row r="20881" spans="1:9" x14ac:dyDescent="0.2">
      <c r="A20881" s="1" t="str">
        <f>"WTH3DI"</f>
        <v>WTH3DI</v>
      </c>
      <c r="B20881" t="s">
        <v>14</v>
      </c>
      <c r="C20881" t="s">
        <v>26</v>
      </c>
      <c r="D20881" t="s">
        <v>11</v>
      </c>
      <c r="E20881" t="s">
        <v>12</v>
      </c>
      <c r="F20881">
        <v>132121747</v>
      </c>
      <c r="G20881">
        <v>132121756</v>
      </c>
      <c r="H20881">
        <v>132121747</v>
      </c>
      <c r="I20881">
        <v>132121756</v>
      </c>
    </row>
    <row r="20882" spans="1:9" x14ac:dyDescent="0.2">
      <c r="A20882" s="1" t="str">
        <f>"ZAK"</f>
        <v>ZAK</v>
      </c>
      <c r="B20882" t="s">
        <v>14</v>
      </c>
      <c r="C20882" t="s">
        <v>26</v>
      </c>
      <c r="D20882" t="s">
        <v>17</v>
      </c>
      <c r="E20882" t="s">
        <v>12</v>
      </c>
      <c r="F20882">
        <v>173940557</v>
      </c>
      <c r="G20882">
        <v>173940625</v>
      </c>
      <c r="H20882">
        <v>173940642</v>
      </c>
      <c r="I20882">
        <v>173940663</v>
      </c>
    </row>
    <row r="20883" spans="1:9" x14ac:dyDescent="0.2">
      <c r="A20883" s="1" t="str">
        <f>"ZHX1-C8ORF76"</f>
        <v>ZHX1-C8ORF76</v>
      </c>
      <c r="B20883" t="s">
        <v>14</v>
      </c>
      <c r="C20883" t="s">
        <v>30</v>
      </c>
      <c r="D20883" t="s">
        <v>11</v>
      </c>
      <c r="E20883" t="s">
        <v>12</v>
      </c>
      <c r="F20883">
        <v>124286715</v>
      </c>
      <c r="G20883">
        <v>124286729</v>
      </c>
      <c r="H20883">
        <v>124286715</v>
      </c>
      <c r="I20883">
        <v>124286729</v>
      </c>
    </row>
    <row r="20884" spans="1:9" x14ac:dyDescent="0.2">
      <c r="A20884" s="1" t="str">
        <f>"ZNF664-FAM101A"</f>
        <v>ZNF664-FAM101A</v>
      </c>
      <c r="B20884" t="s">
        <v>14</v>
      </c>
      <c r="C20884" t="s">
        <v>16</v>
      </c>
      <c r="D20884" t="s">
        <v>17</v>
      </c>
      <c r="E20884" t="s">
        <v>67</v>
      </c>
      <c r="F20884">
        <v>124457746</v>
      </c>
      <c r="G20884">
        <v>124457828</v>
      </c>
      <c r="H20884">
        <v>124457725</v>
      </c>
      <c r="I20884">
        <v>124457736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608"/>
  <sheetViews>
    <sheetView tabSelected="1" workbookViewId="0">
      <selection activeCell="H11" sqref="H11"/>
    </sheetView>
  </sheetViews>
  <sheetFormatPr baseColWidth="10" defaultRowHeight="16" x14ac:dyDescent="0.2"/>
  <cols>
    <col min="1" max="1" width="15" bestFit="1" customWidth="1"/>
    <col min="2" max="2" width="16.33203125" customWidth="1"/>
    <col min="3" max="3" width="11.83203125" bestFit="1" customWidth="1"/>
    <col min="4" max="4" width="6.33203125" bestFit="1" customWidth="1"/>
    <col min="5" max="5" width="18.83203125" bestFit="1" customWidth="1"/>
    <col min="6" max="7" width="13.1640625" bestFit="1" customWidth="1"/>
    <col min="8" max="9" width="15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tr">
        <f>"0610007P14Rik"</f>
        <v>0610007P14Rik</v>
      </c>
      <c r="B2" t="s">
        <v>14</v>
      </c>
      <c r="C2" t="s">
        <v>16</v>
      </c>
      <c r="D2" t="s">
        <v>11</v>
      </c>
      <c r="E2" t="s">
        <v>12</v>
      </c>
      <c r="F2">
        <v>85824506</v>
      </c>
      <c r="G2">
        <v>85824555</v>
      </c>
      <c r="H2">
        <v>85824506</v>
      </c>
      <c r="I2">
        <v>85824555</v>
      </c>
    </row>
    <row r="3" spans="1:9" x14ac:dyDescent="0.2">
      <c r="A3" t="str">
        <f>"0610009B22Rik"</f>
        <v>0610009B22Rik</v>
      </c>
      <c r="B3" t="s">
        <v>14</v>
      </c>
      <c r="C3" t="s">
        <v>27</v>
      </c>
      <c r="D3" t="s">
        <v>11</v>
      </c>
      <c r="E3" t="s">
        <v>12</v>
      </c>
      <c r="F3">
        <v>51688614</v>
      </c>
      <c r="G3">
        <v>51688669</v>
      </c>
      <c r="H3">
        <v>51688614</v>
      </c>
      <c r="I3">
        <v>51688669</v>
      </c>
    </row>
    <row r="4" spans="1:9" x14ac:dyDescent="0.2">
      <c r="A4" t="str">
        <f>"0610009D07Rik"</f>
        <v>0610009D07Rik</v>
      </c>
      <c r="B4" t="s">
        <v>14</v>
      </c>
      <c r="C4" t="s">
        <v>16</v>
      </c>
      <c r="D4" t="s">
        <v>17</v>
      </c>
      <c r="E4" t="s">
        <v>12</v>
      </c>
      <c r="F4">
        <v>4817545</v>
      </c>
      <c r="G4">
        <v>4817578</v>
      </c>
      <c r="H4">
        <v>4817661</v>
      </c>
      <c r="I4">
        <v>4817672</v>
      </c>
    </row>
    <row r="5" spans="1:9" x14ac:dyDescent="0.2">
      <c r="A5" t="str">
        <f>"0610009L18Rik"</f>
        <v>0610009L18Rik</v>
      </c>
      <c r="B5" t="s">
        <v>14</v>
      </c>
      <c r="C5" t="s">
        <v>27</v>
      </c>
      <c r="D5" t="s">
        <v>17</v>
      </c>
      <c r="E5" t="s">
        <v>12</v>
      </c>
      <c r="F5">
        <v>120348654</v>
      </c>
      <c r="G5">
        <v>120348663</v>
      </c>
      <c r="H5">
        <v>120348275</v>
      </c>
      <c r="I5">
        <v>120348311</v>
      </c>
    </row>
    <row r="6" spans="1:9" x14ac:dyDescent="0.2">
      <c r="A6" t="str">
        <f>"0610009O20Rik"</f>
        <v>0610009O20Rik</v>
      </c>
      <c r="B6" t="s">
        <v>14</v>
      </c>
      <c r="C6" t="s">
        <v>43</v>
      </c>
      <c r="D6" t="s">
        <v>17</v>
      </c>
      <c r="E6" t="s">
        <v>12</v>
      </c>
      <c r="F6">
        <v>38250240</v>
      </c>
      <c r="G6">
        <v>38250287</v>
      </c>
      <c r="H6">
        <v>38250294</v>
      </c>
      <c r="I6">
        <v>38250305</v>
      </c>
    </row>
    <row r="7" spans="1:9" x14ac:dyDescent="0.2">
      <c r="A7" t="str">
        <f>"0610010F05Rik"</f>
        <v>0610010F05Rik</v>
      </c>
      <c r="B7" t="s">
        <v>14</v>
      </c>
      <c r="C7" t="s">
        <v>27</v>
      </c>
      <c r="D7" t="s">
        <v>11</v>
      </c>
      <c r="E7" t="s">
        <v>12</v>
      </c>
      <c r="F7">
        <v>23633621</v>
      </c>
      <c r="G7">
        <v>23633638</v>
      </c>
      <c r="H7">
        <v>23633646</v>
      </c>
      <c r="I7">
        <v>23633669</v>
      </c>
    </row>
    <row r="8" spans="1:9" x14ac:dyDescent="0.2">
      <c r="A8" t="str">
        <f>"0610010K14Rik"</f>
        <v>0610010K14Rik</v>
      </c>
      <c r="B8" t="s">
        <v>9</v>
      </c>
      <c r="C8" t="s">
        <v>27</v>
      </c>
      <c r="D8" t="s">
        <v>11</v>
      </c>
      <c r="E8" t="s">
        <v>12</v>
      </c>
      <c r="F8">
        <v>70239794</v>
      </c>
      <c r="G8">
        <v>70239860</v>
      </c>
      <c r="H8">
        <v>70239794</v>
      </c>
      <c r="I8">
        <v>70239860</v>
      </c>
    </row>
    <row r="9" spans="1:9" x14ac:dyDescent="0.2">
      <c r="A9" t="str">
        <f>"0610010K14Rik"</f>
        <v>0610010K14Rik</v>
      </c>
      <c r="B9" t="s">
        <v>13</v>
      </c>
      <c r="C9" t="s">
        <v>27</v>
      </c>
      <c r="D9" t="s">
        <v>11</v>
      </c>
      <c r="E9" t="s">
        <v>12</v>
      </c>
      <c r="F9">
        <v>70237852</v>
      </c>
      <c r="G9">
        <v>70237885</v>
      </c>
      <c r="H9">
        <v>70237852</v>
      </c>
      <c r="I9">
        <v>70237885</v>
      </c>
    </row>
    <row r="10" spans="1:9" x14ac:dyDescent="0.2">
      <c r="A10" t="str">
        <f>"0610011F06Rik"</f>
        <v>0610011F06Rik</v>
      </c>
      <c r="B10" t="s">
        <v>14</v>
      </c>
      <c r="C10" t="s">
        <v>28</v>
      </c>
      <c r="D10" t="s">
        <v>17</v>
      </c>
      <c r="E10" t="s">
        <v>12</v>
      </c>
      <c r="F10">
        <v>25875492</v>
      </c>
      <c r="G10">
        <v>25875536</v>
      </c>
      <c r="H10">
        <v>25875584</v>
      </c>
      <c r="I10">
        <v>25875589</v>
      </c>
    </row>
    <row r="11" spans="1:9" x14ac:dyDescent="0.2">
      <c r="A11" t="str">
        <f>"0610012H03Rik"</f>
        <v>0610012H03Rik</v>
      </c>
      <c r="B11" t="s">
        <v>14</v>
      </c>
      <c r="C11" t="s">
        <v>26</v>
      </c>
      <c r="D11" t="s">
        <v>17</v>
      </c>
      <c r="E11" t="s">
        <v>12</v>
      </c>
      <c r="F11">
        <v>105224314</v>
      </c>
      <c r="G11">
        <v>105224357</v>
      </c>
      <c r="H11">
        <v>105224287</v>
      </c>
      <c r="I11">
        <v>105224308</v>
      </c>
    </row>
    <row r="12" spans="1:9" x14ac:dyDescent="0.2">
      <c r="A12" t="str">
        <f>"0610030E20Rik"</f>
        <v>0610030E20Rik</v>
      </c>
      <c r="B12" t="s">
        <v>14</v>
      </c>
      <c r="C12" t="s">
        <v>32</v>
      </c>
      <c r="D12" t="s">
        <v>17</v>
      </c>
      <c r="E12" t="s">
        <v>12</v>
      </c>
      <c r="F12">
        <v>72347301</v>
      </c>
      <c r="G12">
        <v>72347379</v>
      </c>
      <c r="H12">
        <v>72347382</v>
      </c>
      <c r="I12">
        <v>72347390</v>
      </c>
    </row>
    <row r="13" spans="1:9" x14ac:dyDescent="0.2">
      <c r="A13" t="str">
        <f>"0610031J06Rik"</f>
        <v>0610031J06Rik</v>
      </c>
      <c r="B13" t="s">
        <v>14</v>
      </c>
      <c r="C13" t="s">
        <v>22</v>
      </c>
      <c r="D13" t="s">
        <v>17</v>
      </c>
      <c r="E13" t="s">
        <v>12</v>
      </c>
      <c r="F13">
        <v>88325030</v>
      </c>
      <c r="G13">
        <v>88325075</v>
      </c>
      <c r="H13">
        <v>88325078</v>
      </c>
      <c r="I13">
        <v>88325080</v>
      </c>
    </row>
    <row r="14" spans="1:9" x14ac:dyDescent="0.2">
      <c r="A14" t="str">
        <f>"0610037L13Rik"</f>
        <v>0610037L13Rik</v>
      </c>
      <c r="B14" t="s">
        <v>14</v>
      </c>
      <c r="C14" t="s">
        <v>23</v>
      </c>
      <c r="D14" t="s">
        <v>17</v>
      </c>
      <c r="E14" t="s">
        <v>12</v>
      </c>
      <c r="F14">
        <v>107889830</v>
      </c>
      <c r="G14">
        <v>107889880</v>
      </c>
      <c r="H14">
        <v>107890094</v>
      </c>
      <c r="I14">
        <v>107890129</v>
      </c>
    </row>
    <row r="15" spans="1:9" x14ac:dyDescent="0.2">
      <c r="A15" t="str">
        <f>"0610040J01Rik"</f>
        <v>0610040J01Rik</v>
      </c>
      <c r="B15" t="s">
        <v>14</v>
      </c>
      <c r="C15" t="s">
        <v>46</v>
      </c>
      <c r="D15" t="s">
        <v>17</v>
      </c>
      <c r="E15" t="s">
        <v>12</v>
      </c>
      <c r="F15">
        <v>63812447</v>
      </c>
      <c r="G15">
        <v>63812538</v>
      </c>
      <c r="H15">
        <v>63812539</v>
      </c>
      <c r="I15">
        <v>63812545</v>
      </c>
    </row>
    <row r="16" spans="1:9" x14ac:dyDescent="0.2">
      <c r="A16" t="str">
        <f>"1100001G20Rik"</f>
        <v>1100001G20Rik</v>
      </c>
      <c r="B16" t="s">
        <v>14</v>
      </c>
      <c r="C16" t="s">
        <v>27</v>
      </c>
      <c r="D16" t="s">
        <v>17</v>
      </c>
      <c r="E16" t="s">
        <v>12</v>
      </c>
      <c r="F16">
        <v>83746989</v>
      </c>
      <c r="G16">
        <v>83747006</v>
      </c>
      <c r="H16">
        <v>83746989</v>
      </c>
      <c r="I16">
        <v>83747006</v>
      </c>
    </row>
    <row r="17" spans="1:9" x14ac:dyDescent="0.2">
      <c r="A17" t="str">
        <f>"1110001A16Rik"</f>
        <v>1110001A16Rik</v>
      </c>
      <c r="B17" t="s">
        <v>14</v>
      </c>
      <c r="C17" t="s">
        <v>28</v>
      </c>
      <c r="D17" t="s">
        <v>17</v>
      </c>
      <c r="E17" t="s">
        <v>12</v>
      </c>
      <c r="F17">
        <v>78916473</v>
      </c>
      <c r="G17">
        <v>78916509</v>
      </c>
      <c r="H17">
        <v>78916473</v>
      </c>
      <c r="I17">
        <v>78916509</v>
      </c>
    </row>
    <row r="18" spans="1:9" x14ac:dyDescent="0.2">
      <c r="A18" t="str">
        <f>"1110001J03Rik"</f>
        <v>1110001J03Rik</v>
      </c>
      <c r="B18" t="s">
        <v>9</v>
      </c>
      <c r="C18" t="s">
        <v>32</v>
      </c>
      <c r="D18" t="s">
        <v>17</v>
      </c>
      <c r="E18" t="s">
        <v>12</v>
      </c>
      <c r="F18">
        <v>38534833</v>
      </c>
      <c r="G18">
        <v>38534872</v>
      </c>
      <c r="H18">
        <v>38534833</v>
      </c>
      <c r="I18">
        <v>38534872</v>
      </c>
    </row>
    <row r="19" spans="1:9" x14ac:dyDescent="0.2">
      <c r="A19" t="str">
        <f>"1110001J03Rik"</f>
        <v>1110001J03Rik</v>
      </c>
      <c r="B19" t="s">
        <v>13</v>
      </c>
      <c r="C19" t="s">
        <v>32</v>
      </c>
      <c r="D19" t="s">
        <v>17</v>
      </c>
      <c r="E19" t="s">
        <v>12</v>
      </c>
      <c r="F19">
        <v>38533555</v>
      </c>
      <c r="G19">
        <v>38533585</v>
      </c>
      <c r="H19">
        <v>38533555</v>
      </c>
      <c r="I19">
        <v>38533585</v>
      </c>
    </row>
    <row r="20" spans="1:9" x14ac:dyDescent="0.2">
      <c r="A20" t="str">
        <f>"1110002E22Rik"</f>
        <v>1110002E22Rik</v>
      </c>
      <c r="B20" t="s">
        <v>14</v>
      </c>
      <c r="C20" t="s">
        <v>22</v>
      </c>
      <c r="D20" t="s">
        <v>17</v>
      </c>
      <c r="E20" t="s">
        <v>67</v>
      </c>
      <c r="F20">
        <v>138065014</v>
      </c>
      <c r="G20">
        <v>138065025</v>
      </c>
      <c r="H20">
        <v>138065031</v>
      </c>
      <c r="I20">
        <v>138065042</v>
      </c>
    </row>
    <row r="21" spans="1:9" x14ac:dyDescent="0.2">
      <c r="A21" t="str">
        <f>"1110002L01Rik"</f>
        <v>1110002L01Rik</v>
      </c>
      <c r="B21" t="s">
        <v>14</v>
      </c>
      <c r="C21" t="s">
        <v>16</v>
      </c>
      <c r="D21" t="s">
        <v>11</v>
      </c>
      <c r="E21" t="s">
        <v>12</v>
      </c>
      <c r="F21">
        <v>3426700</v>
      </c>
      <c r="G21">
        <v>3426782</v>
      </c>
      <c r="H21">
        <v>3426588</v>
      </c>
      <c r="I21">
        <v>3426613</v>
      </c>
    </row>
    <row r="22" spans="1:9" x14ac:dyDescent="0.2">
      <c r="A22" t="str">
        <f>"1110004E09Rik"</f>
        <v>1110004E09Rik</v>
      </c>
      <c r="B22" t="s">
        <v>14</v>
      </c>
      <c r="C22" t="s">
        <v>31</v>
      </c>
      <c r="D22" t="s">
        <v>11</v>
      </c>
      <c r="E22" t="s">
        <v>12</v>
      </c>
      <c r="F22">
        <v>90934802</v>
      </c>
      <c r="G22">
        <v>90934857</v>
      </c>
      <c r="H22">
        <v>90934763</v>
      </c>
      <c r="I22">
        <v>90934779</v>
      </c>
    </row>
    <row r="23" spans="1:9" x14ac:dyDescent="0.2">
      <c r="A23" t="str">
        <f>"1110004F10Rik"</f>
        <v>1110004F10Rik</v>
      </c>
      <c r="B23" t="s">
        <v>14</v>
      </c>
      <c r="C23" t="s">
        <v>33</v>
      </c>
      <c r="D23" t="s">
        <v>17</v>
      </c>
      <c r="E23" t="s">
        <v>12</v>
      </c>
      <c r="F23">
        <v>116093339</v>
      </c>
      <c r="G23">
        <v>116093372</v>
      </c>
      <c r="H23">
        <v>116093296</v>
      </c>
      <c r="I23">
        <v>116093329</v>
      </c>
    </row>
    <row r="24" spans="1:9" x14ac:dyDescent="0.2">
      <c r="A24" t="str">
        <f>"1110007C09Rik"</f>
        <v>1110007C09Rik</v>
      </c>
      <c r="B24" t="s">
        <v>14</v>
      </c>
      <c r="C24" t="s">
        <v>39</v>
      </c>
      <c r="D24" t="s">
        <v>11</v>
      </c>
      <c r="E24" t="s">
        <v>12</v>
      </c>
      <c r="F24">
        <v>49215978</v>
      </c>
      <c r="G24">
        <v>49216052</v>
      </c>
      <c r="H24">
        <v>49215858</v>
      </c>
      <c r="I24">
        <v>49215903</v>
      </c>
    </row>
    <row r="25" spans="1:9" x14ac:dyDescent="0.2">
      <c r="A25" t="str">
        <f>"1110008F13Rik"</f>
        <v>1110008F13Rik</v>
      </c>
      <c r="B25" t="s">
        <v>9</v>
      </c>
      <c r="C25" t="s">
        <v>26</v>
      </c>
      <c r="D25" t="s">
        <v>17</v>
      </c>
      <c r="E25" t="s">
        <v>12</v>
      </c>
      <c r="F25">
        <v>156863110</v>
      </c>
      <c r="G25">
        <v>156863170</v>
      </c>
      <c r="H25">
        <v>156863110</v>
      </c>
      <c r="I25">
        <v>156863170</v>
      </c>
    </row>
    <row r="26" spans="1:9" x14ac:dyDescent="0.2">
      <c r="A26" t="str">
        <f>"1110008F13Rik"</f>
        <v>1110008F13Rik</v>
      </c>
      <c r="B26" t="s">
        <v>13</v>
      </c>
      <c r="C26" t="s">
        <v>26</v>
      </c>
      <c r="D26" t="s">
        <v>17</v>
      </c>
      <c r="E26" t="s">
        <v>12</v>
      </c>
      <c r="F26">
        <v>156872498</v>
      </c>
      <c r="G26">
        <v>156872514</v>
      </c>
      <c r="H26">
        <v>156872498</v>
      </c>
      <c r="I26">
        <v>156872514</v>
      </c>
    </row>
    <row r="27" spans="1:9" x14ac:dyDescent="0.2">
      <c r="A27" t="str">
        <f>"1110008J03Rik"</f>
        <v>1110008J03Rik</v>
      </c>
      <c r="B27" t="s">
        <v>14</v>
      </c>
      <c r="C27" t="s">
        <v>46</v>
      </c>
      <c r="D27" t="s">
        <v>11</v>
      </c>
      <c r="E27" t="s">
        <v>12</v>
      </c>
      <c r="F27">
        <v>120612558</v>
      </c>
      <c r="G27">
        <v>120612598</v>
      </c>
      <c r="H27">
        <v>120612542</v>
      </c>
      <c r="I27">
        <v>120612555</v>
      </c>
    </row>
    <row r="28" spans="1:9" x14ac:dyDescent="0.2">
      <c r="A28" t="str">
        <f>"1110008L16Rik"</f>
        <v>1110008L16Rik</v>
      </c>
      <c r="B28" t="s">
        <v>14</v>
      </c>
      <c r="C28" t="s">
        <v>16</v>
      </c>
      <c r="D28" t="s">
        <v>17</v>
      </c>
      <c r="E28" t="s">
        <v>12</v>
      </c>
      <c r="F28">
        <v>55302745</v>
      </c>
      <c r="G28">
        <v>55302770</v>
      </c>
      <c r="H28">
        <v>55302745</v>
      </c>
      <c r="I28">
        <v>55302770</v>
      </c>
    </row>
    <row r="29" spans="1:9" x14ac:dyDescent="0.2">
      <c r="A29" t="str">
        <f>"1110008P14Rik"</f>
        <v>1110008P14Rik</v>
      </c>
      <c r="B29" t="s">
        <v>14</v>
      </c>
      <c r="C29" t="s">
        <v>26</v>
      </c>
      <c r="D29" t="s">
        <v>11</v>
      </c>
      <c r="E29" t="s">
        <v>12</v>
      </c>
      <c r="F29">
        <v>32381821</v>
      </c>
      <c r="G29">
        <v>32381908</v>
      </c>
      <c r="H29">
        <v>32381909</v>
      </c>
      <c r="I29">
        <v>32381920</v>
      </c>
    </row>
    <row r="30" spans="1:9" x14ac:dyDescent="0.2">
      <c r="A30" t="str">
        <f>"1110012L19Rik"</f>
        <v>1110012L19Rik</v>
      </c>
      <c r="B30" t="s">
        <v>14</v>
      </c>
      <c r="C30" t="s">
        <v>37</v>
      </c>
      <c r="D30" t="s">
        <v>17</v>
      </c>
      <c r="E30" t="s">
        <v>12</v>
      </c>
      <c r="F30">
        <v>70385870</v>
      </c>
      <c r="G30">
        <v>70385944</v>
      </c>
      <c r="H30">
        <v>70385870</v>
      </c>
      <c r="I30">
        <v>70385944</v>
      </c>
    </row>
    <row r="31" spans="1:9" x14ac:dyDescent="0.2">
      <c r="A31" t="str">
        <f>"1110017D15Rik"</f>
        <v>1110017D15Rik</v>
      </c>
      <c r="B31" t="s">
        <v>9</v>
      </c>
      <c r="C31" t="s">
        <v>23</v>
      </c>
      <c r="D31" t="s">
        <v>11</v>
      </c>
      <c r="E31" t="s">
        <v>12</v>
      </c>
      <c r="F31">
        <v>41507741</v>
      </c>
      <c r="G31">
        <v>41507775</v>
      </c>
      <c r="H31">
        <v>41507741</v>
      </c>
      <c r="I31">
        <v>41507775</v>
      </c>
    </row>
    <row r="32" spans="1:9" x14ac:dyDescent="0.2">
      <c r="A32" t="str">
        <f>"1110017D15Rik"</f>
        <v>1110017D15Rik</v>
      </c>
      <c r="B32" t="s">
        <v>13</v>
      </c>
      <c r="C32" t="s">
        <v>23</v>
      </c>
      <c r="D32" t="s">
        <v>11</v>
      </c>
      <c r="E32" t="s">
        <v>12</v>
      </c>
      <c r="F32">
        <v>41517301</v>
      </c>
      <c r="G32">
        <v>41517323</v>
      </c>
      <c r="H32">
        <v>41517301</v>
      </c>
      <c r="I32">
        <v>41517323</v>
      </c>
    </row>
    <row r="33" spans="1:9" x14ac:dyDescent="0.2">
      <c r="A33" t="str">
        <f>"1110025L11Rik"</f>
        <v>1110025L11Rik</v>
      </c>
      <c r="B33" t="s">
        <v>1945</v>
      </c>
      <c r="C33" t="s">
        <v>31</v>
      </c>
      <c r="D33" t="s">
        <v>11</v>
      </c>
      <c r="E33" t="s">
        <v>20</v>
      </c>
      <c r="F33">
        <v>89064001</v>
      </c>
      <c r="G33">
        <v>89064001</v>
      </c>
      <c r="H33">
        <v>89064001</v>
      </c>
      <c r="I33">
        <v>89064001</v>
      </c>
    </row>
    <row r="34" spans="1:9" x14ac:dyDescent="0.2">
      <c r="A34" t="str">
        <f>"1110032A03Rik"</f>
        <v>1110032A03Rik</v>
      </c>
      <c r="B34" t="s">
        <v>9</v>
      </c>
      <c r="C34" t="s">
        <v>24</v>
      </c>
      <c r="D34" t="s">
        <v>11</v>
      </c>
      <c r="E34" t="s">
        <v>12</v>
      </c>
      <c r="F34">
        <v>50768109</v>
      </c>
      <c r="G34">
        <v>50768186</v>
      </c>
      <c r="H34">
        <v>50768109</v>
      </c>
      <c r="I34">
        <v>50768186</v>
      </c>
    </row>
    <row r="35" spans="1:9" x14ac:dyDescent="0.2">
      <c r="A35" t="str">
        <f>"1110032A03Rik"</f>
        <v>1110032A03Rik</v>
      </c>
      <c r="B35" t="s">
        <v>13</v>
      </c>
      <c r="C35" t="s">
        <v>24</v>
      </c>
      <c r="D35" t="s">
        <v>11</v>
      </c>
      <c r="E35" t="s">
        <v>12</v>
      </c>
      <c r="F35">
        <v>50765904</v>
      </c>
      <c r="G35">
        <v>50765923</v>
      </c>
      <c r="H35">
        <v>50765904</v>
      </c>
      <c r="I35">
        <v>50765923</v>
      </c>
    </row>
    <row r="36" spans="1:9" x14ac:dyDescent="0.2">
      <c r="A36" t="str">
        <f>"1110032F04Rik"</f>
        <v>1110032F04Rik</v>
      </c>
      <c r="B36" t="s">
        <v>14</v>
      </c>
      <c r="C36" t="s">
        <v>22</v>
      </c>
      <c r="D36" t="s">
        <v>17</v>
      </c>
      <c r="E36" t="s">
        <v>12</v>
      </c>
      <c r="F36">
        <v>68869337</v>
      </c>
      <c r="G36">
        <v>68869399</v>
      </c>
      <c r="H36">
        <v>68869563</v>
      </c>
      <c r="I36">
        <v>68869589</v>
      </c>
    </row>
    <row r="37" spans="1:9" x14ac:dyDescent="0.2">
      <c r="A37" t="str">
        <f>"1110034G24Rik"</f>
        <v>1110034G24Rik</v>
      </c>
      <c r="B37" t="s">
        <v>14</v>
      </c>
      <c r="C37" t="s">
        <v>26</v>
      </c>
      <c r="D37" t="s">
        <v>17</v>
      </c>
      <c r="E37" t="s">
        <v>12</v>
      </c>
      <c r="F37">
        <v>132686944</v>
      </c>
      <c r="G37">
        <v>132686982</v>
      </c>
      <c r="H37">
        <v>132686944</v>
      </c>
      <c r="I37">
        <v>132686982</v>
      </c>
    </row>
    <row r="38" spans="1:9" x14ac:dyDescent="0.2">
      <c r="A38" t="str">
        <f>"1110037F02Rik"</f>
        <v>1110037F02Rik</v>
      </c>
      <c r="B38" t="s">
        <v>14</v>
      </c>
      <c r="C38" t="s">
        <v>23</v>
      </c>
      <c r="D38" t="s">
        <v>17</v>
      </c>
      <c r="E38" t="s">
        <v>12</v>
      </c>
      <c r="F38">
        <v>11486002</v>
      </c>
      <c r="G38">
        <v>11486045</v>
      </c>
      <c r="H38">
        <v>11485947</v>
      </c>
      <c r="I38">
        <v>11485964</v>
      </c>
    </row>
    <row r="39" spans="1:9" x14ac:dyDescent="0.2">
      <c r="A39" t="str">
        <f>"1110038F14Rik"</f>
        <v>1110038F14Rik</v>
      </c>
      <c r="B39" t="s">
        <v>14</v>
      </c>
      <c r="C39" t="s">
        <v>25</v>
      </c>
      <c r="D39" t="s">
        <v>17</v>
      </c>
      <c r="E39" t="s">
        <v>12</v>
      </c>
      <c r="F39">
        <v>76948490</v>
      </c>
      <c r="G39">
        <v>76948539</v>
      </c>
      <c r="H39">
        <v>76948728</v>
      </c>
      <c r="I39">
        <v>76948778</v>
      </c>
    </row>
    <row r="40" spans="1:9" x14ac:dyDescent="0.2">
      <c r="A40" t="str">
        <f>"1110051M20Rik"</f>
        <v>1110051M20Rik</v>
      </c>
      <c r="B40" t="s">
        <v>14</v>
      </c>
      <c r="C40" t="s">
        <v>26</v>
      </c>
      <c r="D40" t="s">
        <v>11</v>
      </c>
      <c r="E40" t="s">
        <v>12</v>
      </c>
      <c r="F40">
        <v>91444629</v>
      </c>
      <c r="G40">
        <v>91444726</v>
      </c>
      <c r="H40">
        <v>91444615</v>
      </c>
      <c r="I40">
        <v>91444622</v>
      </c>
    </row>
    <row r="41" spans="1:9" x14ac:dyDescent="0.2">
      <c r="A41" t="str">
        <f>"1110057K04Rik"</f>
        <v>1110057K04Rik</v>
      </c>
      <c r="B41" t="s">
        <v>14</v>
      </c>
      <c r="C41" t="s">
        <v>16</v>
      </c>
      <c r="D41" t="s">
        <v>17</v>
      </c>
      <c r="E41" t="s">
        <v>12</v>
      </c>
      <c r="F41">
        <v>8208119</v>
      </c>
      <c r="G41">
        <v>8208161</v>
      </c>
      <c r="H41">
        <v>8208164</v>
      </c>
      <c r="I41">
        <v>8208172</v>
      </c>
    </row>
    <row r="42" spans="1:9" x14ac:dyDescent="0.2">
      <c r="A42" t="str">
        <f>"1110057P08Rik"</f>
        <v>1110057P08Rik</v>
      </c>
      <c r="B42" t="s">
        <v>14</v>
      </c>
      <c r="C42" t="s">
        <v>31</v>
      </c>
      <c r="D42" t="s">
        <v>17</v>
      </c>
      <c r="E42" t="s">
        <v>67</v>
      </c>
      <c r="F42">
        <v>89174732</v>
      </c>
      <c r="G42">
        <v>89174736</v>
      </c>
      <c r="H42">
        <v>89174732</v>
      </c>
      <c r="I42">
        <v>89174736</v>
      </c>
    </row>
    <row r="43" spans="1:9" x14ac:dyDescent="0.2">
      <c r="A43" t="str">
        <f>"1110058L19Rik"</f>
        <v>1110058L19Rik</v>
      </c>
      <c r="B43" t="s">
        <v>14</v>
      </c>
      <c r="C43" t="s">
        <v>19</v>
      </c>
      <c r="D43" t="s">
        <v>11</v>
      </c>
      <c r="E43" t="s">
        <v>12</v>
      </c>
      <c r="F43">
        <v>24005608</v>
      </c>
      <c r="G43">
        <v>24005646</v>
      </c>
      <c r="H43">
        <v>24005608</v>
      </c>
      <c r="I43">
        <v>24005646</v>
      </c>
    </row>
    <row r="44" spans="1:9" x14ac:dyDescent="0.2">
      <c r="A44" t="str">
        <f>"1110059E24Rik"</f>
        <v>1110059E24Rik</v>
      </c>
      <c r="B44" t="s">
        <v>14</v>
      </c>
      <c r="C44" t="s">
        <v>10</v>
      </c>
      <c r="D44" t="s">
        <v>11</v>
      </c>
      <c r="E44" t="s">
        <v>12</v>
      </c>
      <c r="F44">
        <v>21652745</v>
      </c>
      <c r="G44">
        <v>21652769</v>
      </c>
      <c r="H44">
        <v>21652779</v>
      </c>
      <c r="I44">
        <v>21652819</v>
      </c>
    </row>
    <row r="45" spans="1:9" x14ac:dyDescent="0.2">
      <c r="A45" t="str">
        <f>"1110059G10Rik"</f>
        <v>1110059G10Rik</v>
      </c>
      <c r="B45" t="s">
        <v>14</v>
      </c>
      <c r="C45" t="s">
        <v>24</v>
      </c>
      <c r="D45" t="s">
        <v>11</v>
      </c>
      <c r="E45" t="s">
        <v>12</v>
      </c>
      <c r="F45">
        <v>122950960</v>
      </c>
      <c r="G45">
        <v>122951006</v>
      </c>
      <c r="H45">
        <v>122950922</v>
      </c>
      <c r="I45">
        <v>122950953</v>
      </c>
    </row>
    <row r="46" spans="1:9" x14ac:dyDescent="0.2">
      <c r="A46" t="str">
        <f>"1110059M19Rik"</f>
        <v>1110059M19Rik</v>
      </c>
      <c r="B46" t="s">
        <v>14</v>
      </c>
      <c r="C46" t="s">
        <v>37</v>
      </c>
      <c r="D46" t="s">
        <v>17</v>
      </c>
      <c r="E46" t="s">
        <v>12</v>
      </c>
      <c r="F46">
        <v>45090920</v>
      </c>
      <c r="G46">
        <v>45090940</v>
      </c>
      <c r="H46">
        <v>45090920</v>
      </c>
      <c r="I46">
        <v>45090940</v>
      </c>
    </row>
    <row r="47" spans="1:9" x14ac:dyDescent="0.2">
      <c r="A47" t="str">
        <f>"1110065P20Rik"</f>
        <v>1110065P20Rik</v>
      </c>
      <c r="B47" t="s">
        <v>14</v>
      </c>
      <c r="C47" t="s">
        <v>23</v>
      </c>
      <c r="D47" t="s">
        <v>11</v>
      </c>
      <c r="E47" t="s">
        <v>12</v>
      </c>
      <c r="F47">
        <v>124850324</v>
      </c>
      <c r="G47">
        <v>124850386</v>
      </c>
      <c r="H47">
        <v>124851152</v>
      </c>
      <c r="I47">
        <v>124851203</v>
      </c>
    </row>
    <row r="48" spans="1:9" x14ac:dyDescent="0.2">
      <c r="A48" t="str">
        <f>"1190002N15Rik"</f>
        <v>1190002N15Rik</v>
      </c>
      <c r="B48" t="s">
        <v>14</v>
      </c>
      <c r="C48" t="s">
        <v>24</v>
      </c>
      <c r="D48" t="s">
        <v>11</v>
      </c>
      <c r="E48" t="s">
        <v>12</v>
      </c>
      <c r="F48">
        <v>94538004</v>
      </c>
      <c r="G48">
        <v>94538053</v>
      </c>
      <c r="H48">
        <v>94538004</v>
      </c>
      <c r="I48">
        <v>94538053</v>
      </c>
    </row>
    <row r="49" spans="1:9" x14ac:dyDescent="0.2">
      <c r="A49" t="str">
        <f>"1190003K10Rik"</f>
        <v>1190003K10Rik</v>
      </c>
      <c r="B49" t="s">
        <v>14</v>
      </c>
      <c r="C49" t="s">
        <v>39</v>
      </c>
      <c r="D49" t="s">
        <v>11</v>
      </c>
      <c r="E49" t="s">
        <v>12</v>
      </c>
      <c r="F49">
        <v>64497561</v>
      </c>
      <c r="G49">
        <v>64497562</v>
      </c>
      <c r="H49">
        <v>64497561</v>
      </c>
      <c r="I49">
        <v>64497562</v>
      </c>
    </row>
    <row r="50" spans="1:9" x14ac:dyDescent="0.2">
      <c r="A50" t="str">
        <f>"1190005I06Rik"</f>
        <v>1190005I06Rik</v>
      </c>
      <c r="B50" t="s">
        <v>14</v>
      </c>
      <c r="C50" t="s">
        <v>30</v>
      </c>
      <c r="D50" t="s">
        <v>11</v>
      </c>
      <c r="E50" t="s">
        <v>12</v>
      </c>
      <c r="F50">
        <v>120634379</v>
      </c>
      <c r="G50">
        <v>120634398</v>
      </c>
      <c r="H50">
        <v>120634358</v>
      </c>
      <c r="I50">
        <v>120634374</v>
      </c>
    </row>
    <row r="51" spans="1:9" x14ac:dyDescent="0.2">
      <c r="A51" t="str">
        <f>"1190007I07Rik"</f>
        <v>1190007I07Rik</v>
      </c>
      <c r="B51" t="s">
        <v>14</v>
      </c>
      <c r="C51" t="s">
        <v>15</v>
      </c>
      <c r="D51" t="s">
        <v>11</v>
      </c>
      <c r="E51" t="s">
        <v>12</v>
      </c>
      <c r="F51">
        <v>82623074</v>
      </c>
      <c r="G51">
        <v>82623123</v>
      </c>
      <c r="H51">
        <v>82623200</v>
      </c>
      <c r="I51">
        <v>82623248</v>
      </c>
    </row>
    <row r="52" spans="1:9" x14ac:dyDescent="0.2">
      <c r="A52" t="str">
        <f>"1200014J11Rik"</f>
        <v>1200014J11Rik</v>
      </c>
      <c r="B52" t="s">
        <v>14</v>
      </c>
      <c r="C52" t="s">
        <v>27</v>
      </c>
      <c r="D52" t="s">
        <v>17</v>
      </c>
      <c r="E52" t="s">
        <v>12</v>
      </c>
      <c r="F52">
        <v>73047854</v>
      </c>
      <c r="G52">
        <v>73047902</v>
      </c>
      <c r="H52">
        <v>73047824</v>
      </c>
      <c r="I52">
        <v>73047827</v>
      </c>
    </row>
    <row r="53" spans="1:9" x14ac:dyDescent="0.2">
      <c r="A53" t="str">
        <f>"1300002K09Rik"</f>
        <v>1300002K09Rik</v>
      </c>
      <c r="B53" t="s">
        <v>14</v>
      </c>
      <c r="C53" t="s">
        <v>23</v>
      </c>
      <c r="D53" t="s">
        <v>17</v>
      </c>
      <c r="E53" t="s">
        <v>12</v>
      </c>
      <c r="F53">
        <v>45848958</v>
      </c>
      <c r="G53">
        <v>45849016</v>
      </c>
      <c r="H53">
        <v>45848920</v>
      </c>
      <c r="I53">
        <v>45848950</v>
      </c>
    </row>
    <row r="54" spans="1:9" x14ac:dyDescent="0.2">
      <c r="A54" t="str">
        <f>"1300017J02Rik"</f>
        <v>1300017J02Rik</v>
      </c>
      <c r="B54" t="s">
        <v>14</v>
      </c>
      <c r="C54" t="s">
        <v>24</v>
      </c>
      <c r="D54" t="s">
        <v>11</v>
      </c>
      <c r="E54" t="s">
        <v>12</v>
      </c>
      <c r="F54">
        <v>103288290</v>
      </c>
      <c r="G54">
        <v>103288307</v>
      </c>
      <c r="H54">
        <v>103288225</v>
      </c>
      <c r="I54">
        <v>103288256</v>
      </c>
    </row>
    <row r="55" spans="1:9" x14ac:dyDescent="0.2">
      <c r="A55" t="str">
        <f>"1500002C15Rik"</f>
        <v>1500002C15Rik</v>
      </c>
      <c r="B55" t="s">
        <v>14</v>
      </c>
      <c r="C55" t="s">
        <v>23</v>
      </c>
      <c r="D55" t="s">
        <v>11</v>
      </c>
      <c r="E55" t="s">
        <v>67</v>
      </c>
      <c r="F55">
        <v>155734621</v>
      </c>
      <c r="G55">
        <v>155734656</v>
      </c>
      <c r="H55">
        <v>155734621</v>
      </c>
      <c r="I55">
        <v>155734656</v>
      </c>
    </row>
    <row r="56" spans="1:9" x14ac:dyDescent="0.2">
      <c r="A56" t="str">
        <f>"1500009C09Rik"</f>
        <v>1500009C09Rik</v>
      </c>
      <c r="B56" t="s">
        <v>14</v>
      </c>
      <c r="C56" t="s">
        <v>25</v>
      </c>
      <c r="D56" t="s">
        <v>17</v>
      </c>
      <c r="E56" t="s">
        <v>12</v>
      </c>
      <c r="F56">
        <v>82256098</v>
      </c>
      <c r="G56">
        <v>82256130</v>
      </c>
      <c r="H56">
        <v>82256098</v>
      </c>
      <c r="I56">
        <v>82256130</v>
      </c>
    </row>
    <row r="57" spans="1:9" x14ac:dyDescent="0.2">
      <c r="A57" t="str">
        <f>"1500009L16Rik"</f>
        <v>1500009L16Rik</v>
      </c>
      <c r="B57" t="s">
        <v>14</v>
      </c>
      <c r="C57" t="s">
        <v>15</v>
      </c>
      <c r="D57" t="s">
        <v>17</v>
      </c>
      <c r="E57" t="s">
        <v>12</v>
      </c>
      <c r="F57">
        <v>83722881</v>
      </c>
      <c r="G57">
        <v>83722947</v>
      </c>
      <c r="H57">
        <v>83722948</v>
      </c>
      <c r="I57">
        <v>83722969</v>
      </c>
    </row>
    <row r="58" spans="1:9" x14ac:dyDescent="0.2">
      <c r="A58" t="str">
        <f>"1500011B03Rik"</f>
        <v>1500011B03Rik</v>
      </c>
      <c r="B58" t="s">
        <v>14</v>
      </c>
      <c r="C58" t="s">
        <v>46</v>
      </c>
      <c r="D58" t="s">
        <v>11</v>
      </c>
      <c r="E58" t="s">
        <v>67</v>
      </c>
      <c r="F58">
        <v>114813902</v>
      </c>
      <c r="G58">
        <v>114813937</v>
      </c>
      <c r="H58">
        <v>114813943</v>
      </c>
      <c r="I58">
        <v>114813964</v>
      </c>
    </row>
    <row r="59" spans="1:9" x14ac:dyDescent="0.2">
      <c r="A59" t="str">
        <f>"1500012F01Rik"</f>
        <v>1500012F01Rik</v>
      </c>
      <c r="B59" t="s">
        <v>14</v>
      </c>
      <c r="C59" t="s">
        <v>26</v>
      </c>
      <c r="D59" t="s">
        <v>17</v>
      </c>
      <c r="E59" t="s">
        <v>12</v>
      </c>
      <c r="F59">
        <v>167063213</v>
      </c>
      <c r="G59">
        <v>167063227</v>
      </c>
      <c r="H59">
        <v>167062817</v>
      </c>
      <c r="I59">
        <v>167062854</v>
      </c>
    </row>
    <row r="60" spans="1:9" x14ac:dyDescent="0.2">
      <c r="A60" t="str">
        <f>"1500015O10Rik"</f>
        <v>1500015O10Rik</v>
      </c>
      <c r="B60" t="s">
        <v>14</v>
      </c>
      <c r="C60" t="s">
        <v>19</v>
      </c>
      <c r="D60" t="s">
        <v>17</v>
      </c>
      <c r="E60" t="s">
        <v>12</v>
      </c>
      <c r="F60">
        <v>43730811</v>
      </c>
      <c r="G60">
        <v>43730875</v>
      </c>
      <c r="H60">
        <v>43730666</v>
      </c>
      <c r="I60">
        <v>43730718</v>
      </c>
    </row>
    <row r="61" spans="1:9" x14ac:dyDescent="0.2">
      <c r="A61" t="str">
        <f>"1500035N22Rik"</f>
        <v>1500035N22Rik</v>
      </c>
      <c r="B61" t="s">
        <v>14</v>
      </c>
      <c r="C61" t="s">
        <v>46</v>
      </c>
      <c r="D61" t="s">
        <v>17</v>
      </c>
      <c r="E61" t="s">
        <v>12</v>
      </c>
      <c r="F61">
        <v>24985840</v>
      </c>
      <c r="G61">
        <v>24985862</v>
      </c>
      <c r="H61">
        <v>24985840</v>
      </c>
      <c r="I61">
        <v>24985862</v>
      </c>
    </row>
    <row r="62" spans="1:9" x14ac:dyDescent="0.2">
      <c r="A62" t="str">
        <f>"1600002H07Rik"</f>
        <v>1600002H07Rik</v>
      </c>
      <c r="B62" t="s">
        <v>14</v>
      </c>
      <c r="C62" t="s">
        <v>28</v>
      </c>
      <c r="D62" t="s">
        <v>11</v>
      </c>
      <c r="E62" t="s">
        <v>12</v>
      </c>
      <c r="F62">
        <v>24220738</v>
      </c>
      <c r="G62">
        <v>24220803</v>
      </c>
      <c r="H62">
        <v>24220708</v>
      </c>
      <c r="I62">
        <v>24220737</v>
      </c>
    </row>
    <row r="63" spans="1:9" x14ac:dyDescent="0.2">
      <c r="A63" t="str">
        <f>"1600002K03Rik"</f>
        <v>1600002K03Rik</v>
      </c>
      <c r="B63" t="s">
        <v>14</v>
      </c>
      <c r="C63" t="s">
        <v>15</v>
      </c>
      <c r="D63" t="s">
        <v>17</v>
      </c>
      <c r="E63" t="s">
        <v>12</v>
      </c>
      <c r="F63">
        <v>80172934</v>
      </c>
      <c r="G63">
        <v>80172961</v>
      </c>
      <c r="H63">
        <v>80172934</v>
      </c>
      <c r="I63">
        <v>80172961</v>
      </c>
    </row>
    <row r="64" spans="1:9" x14ac:dyDescent="0.2">
      <c r="A64" t="str">
        <f>"1600012H06Rik"</f>
        <v>1600012H06Rik</v>
      </c>
      <c r="B64" t="s">
        <v>14</v>
      </c>
      <c r="C64" t="s">
        <v>28</v>
      </c>
      <c r="D64" t="s">
        <v>17</v>
      </c>
      <c r="E64" t="s">
        <v>12</v>
      </c>
      <c r="F64">
        <v>14943204</v>
      </c>
      <c r="G64">
        <v>14943281</v>
      </c>
      <c r="H64">
        <v>14943187</v>
      </c>
      <c r="I64">
        <v>14943200</v>
      </c>
    </row>
    <row r="65" spans="1:9" x14ac:dyDescent="0.2">
      <c r="A65" t="str">
        <f>"1600012P17Rik"</f>
        <v>1600012P17Rik</v>
      </c>
      <c r="B65" t="s">
        <v>14</v>
      </c>
      <c r="C65" t="s">
        <v>19</v>
      </c>
      <c r="D65" t="s">
        <v>11</v>
      </c>
      <c r="E65" t="s">
        <v>67</v>
      </c>
      <c r="F65">
        <v>158980452</v>
      </c>
      <c r="G65">
        <v>158980469</v>
      </c>
      <c r="H65">
        <v>158980452</v>
      </c>
      <c r="I65">
        <v>158980469</v>
      </c>
    </row>
    <row r="66" spans="1:9" x14ac:dyDescent="0.2">
      <c r="A66" t="str">
        <f>"1600014C10Rik"</f>
        <v>1600014C10Rik</v>
      </c>
      <c r="B66" t="s">
        <v>14</v>
      </c>
      <c r="C66" t="s">
        <v>33</v>
      </c>
      <c r="D66" t="s">
        <v>17</v>
      </c>
      <c r="E66" t="s">
        <v>12</v>
      </c>
      <c r="F66">
        <v>38183804</v>
      </c>
      <c r="G66">
        <v>38183869</v>
      </c>
      <c r="H66">
        <v>38183224</v>
      </c>
      <c r="I66">
        <v>38183278</v>
      </c>
    </row>
    <row r="67" spans="1:9" x14ac:dyDescent="0.2">
      <c r="A67" t="str">
        <f>"1600014C23Rik"</f>
        <v>1600014C23Rik</v>
      </c>
      <c r="B67" t="s">
        <v>14</v>
      </c>
      <c r="C67" t="s">
        <v>28</v>
      </c>
      <c r="D67" t="s">
        <v>11</v>
      </c>
      <c r="E67" t="s">
        <v>12</v>
      </c>
      <c r="F67">
        <v>45733843</v>
      </c>
      <c r="G67">
        <v>45733848</v>
      </c>
      <c r="H67">
        <v>45733843</v>
      </c>
      <c r="I67">
        <v>45733848</v>
      </c>
    </row>
    <row r="68" spans="1:9" x14ac:dyDescent="0.2">
      <c r="A68" t="str">
        <f>"1600014K23Rik"</f>
        <v>1600014K23Rik</v>
      </c>
      <c r="B68" t="s">
        <v>14</v>
      </c>
      <c r="C68" t="s">
        <v>37</v>
      </c>
      <c r="D68" t="s">
        <v>17</v>
      </c>
      <c r="E68" t="s">
        <v>12</v>
      </c>
      <c r="F68">
        <v>85249709</v>
      </c>
      <c r="G68">
        <v>85249718</v>
      </c>
      <c r="H68">
        <v>85249674</v>
      </c>
      <c r="I68">
        <v>85249684</v>
      </c>
    </row>
    <row r="69" spans="1:9" x14ac:dyDescent="0.2">
      <c r="A69" t="str">
        <f>"1600015I10Rik"</f>
        <v>1600015I10Rik</v>
      </c>
      <c r="B69" t="s">
        <v>14</v>
      </c>
      <c r="C69" t="s">
        <v>32</v>
      </c>
      <c r="D69" t="s">
        <v>17</v>
      </c>
      <c r="E69" t="s">
        <v>12</v>
      </c>
      <c r="F69">
        <v>48929891</v>
      </c>
      <c r="G69">
        <v>48929897</v>
      </c>
      <c r="H69">
        <v>48929891</v>
      </c>
      <c r="I69">
        <v>48929897</v>
      </c>
    </row>
    <row r="70" spans="1:9" x14ac:dyDescent="0.2">
      <c r="A70" t="str">
        <f>"1600016N20Rik"</f>
        <v>1600016N20Rik</v>
      </c>
      <c r="B70" t="s">
        <v>14</v>
      </c>
      <c r="C70" t="s">
        <v>33</v>
      </c>
      <c r="D70" t="s">
        <v>11</v>
      </c>
      <c r="E70" t="s">
        <v>12</v>
      </c>
      <c r="F70">
        <v>141214455</v>
      </c>
      <c r="G70">
        <v>141214476</v>
      </c>
      <c r="H70">
        <v>141214455</v>
      </c>
      <c r="I70">
        <v>141214476</v>
      </c>
    </row>
    <row r="71" spans="1:9" x14ac:dyDescent="0.2">
      <c r="A71" t="str">
        <f>"1600029D21Rik"</f>
        <v>1600029D21Rik</v>
      </c>
      <c r="B71" t="s">
        <v>14</v>
      </c>
      <c r="C71" t="s">
        <v>24</v>
      </c>
      <c r="D71" t="s">
        <v>17</v>
      </c>
      <c r="E71" t="s">
        <v>12</v>
      </c>
      <c r="F71">
        <v>50494516</v>
      </c>
      <c r="G71">
        <v>50494533</v>
      </c>
      <c r="H71">
        <v>50494516</v>
      </c>
      <c r="I71">
        <v>50494533</v>
      </c>
    </row>
    <row r="72" spans="1:9" x14ac:dyDescent="0.2">
      <c r="A72" t="str">
        <f>"1600029I14Rik"</f>
        <v>1600029I14Rik</v>
      </c>
      <c r="B72" t="s">
        <v>1946</v>
      </c>
      <c r="C72" t="s">
        <v>24</v>
      </c>
      <c r="D72" t="s">
        <v>17</v>
      </c>
      <c r="E72" t="s">
        <v>20</v>
      </c>
      <c r="F72">
        <v>99470439</v>
      </c>
      <c r="G72">
        <v>99470439</v>
      </c>
      <c r="H72">
        <v>99470439</v>
      </c>
      <c r="I72">
        <v>99470439</v>
      </c>
    </row>
    <row r="73" spans="1:9" x14ac:dyDescent="0.2">
      <c r="A73" t="str">
        <f>"1700001C02Rik"</f>
        <v>1700001C02Rik</v>
      </c>
      <c r="B73" t="s">
        <v>14</v>
      </c>
      <c r="C73" t="s">
        <v>46</v>
      </c>
      <c r="D73" t="s">
        <v>17</v>
      </c>
      <c r="E73" t="s">
        <v>12</v>
      </c>
      <c r="F73">
        <v>30466044</v>
      </c>
      <c r="G73">
        <v>30466092</v>
      </c>
      <c r="H73">
        <v>30466099</v>
      </c>
      <c r="I73">
        <v>30466102</v>
      </c>
    </row>
    <row r="74" spans="1:9" x14ac:dyDescent="0.2">
      <c r="A74" t="str">
        <f>"1700001C19Rik"</f>
        <v>1700001C19Rik</v>
      </c>
      <c r="B74" t="s">
        <v>14</v>
      </c>
      <c r="C74" t="s">
        <v>28</v>
      </c>
      <c r="D74" t="s">
        <v>11</v>
      </c>
      <c r="E74" t="s">
        <v>12</v>
      </c>
      <c r="F74">
        <v>47421873</v>
      </c>
      <c r="G74">
        <v>47421885</v>
      </c>
      <c r="H74">
        <v>47421852</v>
      </c>
      <c r="I74">
        <v>47421864</v>
      </c>
    </row>
    <row r="75" spans="1:9" x14ac:dyDescent="0.2">
      <c r="A75" t="str">
        <f>"1700001F09Rik"</f>
        <v>1700001F09Rik</v>
      </c>
      <c r="B75" t="s">
        <v>1947</v>
      </c>
      <c r="C75" t="s">
        <v>41</v>
      </c>
      <c r="D75" t="s">
        <v>11</v>
      </c>
      <c r="E75" t="s">
        <v>20</v>
      </c>
      <c r="F75">
        <v>43347810</v>
      </c>
      <c r="G75">
        <v>43347810</v>
      </c>
      <c r="H75">
        <v>43347810</v>
      </c>
      <c r="I75">
        <v>43347810</v>
      </c>
    </row>
    <row r="76" spans="1:9" x14ac:dyDescent="0.2">
      <c r="A76" t="str">
        <f>"1700001G17Rik"</f>
        <v>1700001G17Rik</v>
      </c>
      <c r="B76" t="s">
        <v>14</v>
      </c>
      <c r="C76" t="s">
        <v>19</v>
      </c>
      <c r="D76" t="s">
        <v>17</v>
      </c>
      <c r="E76" t="s">
        <v>12</v>
      </c>
      <c r="F76">
        <v>33669816</v>
      </c>
      <c r="G76">
        <v>33669856</v>
      </c>
      <c r="H76">
        <v>33669807</v>
      </c>
      <c r="I76">
        <v>33669809</v>
      </c>
    </row>
    <row r="77" spans="1:9" x14ac:dyDescent="0.2">
      <c r="A77" t="str">
        <f>"1700001J03Rik"</f>
        <v>1700001J03Rik</v>
      </c>
      <c r="B77" t="s">
        <v>14</v>
      </c>
      <c r="C77" t="s">
        <v>46</v>
      </c>
      <c r="D77" t="s">
        <v>11</v>
      </c>
      <c r="E77" t="s">
        <v>12</v>
      </c>
      <c r="F77">
        <v>146185312</v>
      </c>
      <c r="G77">
        <v>146185320</v>
      </c>
      <c r="H77">
        <v>146185312</v>
      </c>
      <c r="I77">
        <v>146185320</v>
      </c>
    </row>
    <row r="78" spans="1:9" x14ac:dyDescent="0.2">
      <c r="A78" t="str">
        <f>"1700001K19Rik"</f>
        <v>1700001K19Rik</v>
      </c>
      <c r="B78" t="s">
        <v>14</v>
      </c>
      <c r="C78" t="s">
        <v>16</v>
      </c>
      <c r="D78" t="s">
        <v>11</v>
      </c>
      <c r="E78" t="s">
        <v>12</v>
      </c>
      <c r="F78">
        <v>110682606</v>
      </c>
      <c r="G78">
        <v>110682623</v>
      </c>
      <c r="H78">
        <v>110682606</v>
      </c>
      <c r="I78">
        <v>110682623</v>
      </c>
    </row>
    <row r="79" spans="1:9" x14ac:dyDescent="0.2">
      <c r="A79" t="str">
        <f>"1700001L19Rik"</f>
        <v>1700001L19Rik</v>
      </c>
      <c r="B79" t="s">
        <v>14</v>
      </c>
      <c r="C79" t="s">
        <v>39</v>
      </c>
      <c r="D79" t="s">
        <v>17</v>
      </c>
      <c r="E79" t="s">
        <v>12</v>
      </c>
      <c r="F79">
        <v>68597425</v>
      </c>
      <c r="G79">
        <v>68597473</v>
      </c>
      <c r="H79">
        <v>68597409</v>
      </c>
      <c r="I79">
        <v>68597420</v>
      </c>
    </row>
    <row r="80" spans="1:9" x14ac:dyDescent="0.2">
      <c r="A80" t="str">
        <f>"1700001O22Rik"</f>
        <v>1700001O22Rik</v>
      </c>
      <c r="B80" t="s">
        <v>14</v>
      </c>
      <c r="C80" t="s">
        <v>26</v>
      </c>
      <c r="D80" t="s">
        <v>11</v>
      </c>
      <c r="E80" t="s">
        <v>12</v>
      </c>
      <c r="F80">
        <v>30801698</v>
      </c>
      <c r="G80">
        <v>30801742</v>
      </c>
      <c r="H80">
        <v>30801698</v>
      </c>
      <c r="I80">
        <v>30801742</v>
      </c>
    </row>
    <row r="81" spans="1:9" x14ac:dyDescent="0.2">
      <c r="A81" t="str">
        <f>"1700001P01Rik"</f>
        <v>1700001P01Rik</v>
      </c>
      <c r="B81" t="s">
        <v>14</v>
      </c>
      <c r="C81" t="s">
        <v>27</v>
      </c>
      <c r="D81" t="s">
        <v>11</v>
      </c>
      <c r="E81" t="s">
        <v>12</v>
      </c>
      <c r="F81">
        <v>97775876</v>
      </c>
      <c r="G81">
        <v>97775899</v>
      </c>
      <c r="H81">
        <v>97775876</v>
      </c>
      <c r="I81">
        <v>97775899</v>
      </c>
    </row>
    <row r="82" spans="1:9" x14ac:dyDescent="0.2">
      <c r="A82" t="str">
        <f>"1700003E16Rik"</f>
        <v>1700003E16Rik</v>
      </c>
      <c r="B82" t="s">
        <v>14</v>
      </c>
      <c r="C82" t="s">
        <v>32</v>
      </c>
      <c r="D82" t="s">
        <v>17</v>
      </c>
      <c r="E82" t="s">
        <v>12</v>
      </c>
      <c r="F82">
        <v>83156459</v>
      </c>
      <c r="G82">
        <v>83156514</v>
      </c>
      <c r="H82">
        <v>83156401</v>
      </c>
      <c r="I82">
        <v>83156451</v>
      </c>
    </row>
    <row r="83" spans="1:9" x14ac:dyDescent="0.2">
      <c r="A83" t="str">
        <f>"1700003E24Rik"</f>
        <v>1700003E24Rik</v>
      </c>
      <c r="B83" t="s">
        <v>1948</v>
      </c>
      <c r="C83" t="s">
        <v>37</v>
      </c>
      <c r="D83" t="s">
        <v>17</v>
      </c>
      <c r="E83" t="s">
        <v>20</v>
      </c>
      <c r="F83">
        <v>93156153</v>
      </c>
      <c r="G83">
        <v>93156153</v>
      </c>
      <c r="H83">
        <v>93156153</v>
      </c>
      <c r="I83">
        <v>93156153</v>
      </c>
    </row>
    <row r="84" spans="1:9" x14ac:dyDescent="0.2">
      <c r="A84" t="str">
        <f>"1700003F12Rik"</f>
        <v>1700003F12Rik</v>
      </c>
      <c r="B84" t="s">
        <v>14</v>
      </c>
      <c r="C84" t="s">
        <v>26</v>
      </c>
      <c r="D84" t="s">
        <v>17</v>
      </c>
      <c r="E84" t="s">
        <v>12</v>
      </c>
      <c r="F84">
        <v>154548889</v>
      </c>
      <c r="G84">
        <v>154548932</v>
      </c>
      <c r="H84">
        <v>154548867</v>
      </c>
      <c r="I84">
        <v>154548884</v>
      </c>
    </row>
    <row r="85" spans="1:9" x14ac:dyDescent="0.2">
      <c r="A85" t="str">
        <f>"1700003H04Rik"</f>
        <v>1700003H04Rik</v>
      </c>
      <c r="B85" t="s">
        <v>14</v>
      </c>
      <c r="C85" t="s">
        <v>22</v>
      </c>
      <c r="D85" t="s">
        <v>11</v>
      </c>
      <c r="E85" t="s">
        <v>12</v>
      </c>
      <c r="F85">
        <v>124581076</v>
      </c>
      <c r="G85">
        <v>124581097</v>
      </c>
      <c r="H85">
        <v>124581076</v>
      </c>
      <c r="I85">
        <v>124581097</v>
      </c>
    </row>
    <row r="86" spans="1:9" x14ac:dyDescent="0.2">
      <c r="A86" t="str">
        <f>"1700003M02Rik"</f>
        <v>1700003M02Rik</v>
      </c>
      <c r="B86" t="s">
        <v>14</v>
      </c>
      <c r="C86" t="s">
        <v>23</v>
      </c>
      <c r="D86" t="s">
        <v>11</v>
      </c>
      <c r="E86" t="s">
        <v>12</v>
      </c>
      <c r="F86">
        <v>34730157</v>
      </c>
      <c r="G86">
        <v>34730232</v>
      </c>
      <c r="H86">
        <v>34730142</v>
      </c>
      <c r="I86">
        <v>34730153</v>
      </c>
    </row>
    <row r="87" spans="1:9" x14ac:dyDescent="0.2">
      <c r="A87" t="str">
        <f>"1700006A11Rik"</f>
        <v>1700006A11Rik</v>
      </c>
      <c r="B87" t="s">
        <v>14</v>
      </c>
      <c r="C87" t="s">
        <v>22</v>
      </c>
      <c r="D87" t="s">
        <v>11</v>
      </c>
      <c r="E87" t="s">
        <v>12</v>
      </c>
      <c r="F87">
        <v>124425989</v>
      </c>
      <c r="G87">
        <v>124425996</v>
      </c>
      <c r="H87">
        <v>124426003</v>
      </c>
      <c r="I87">
        <v>124426012</v>
      </c>
    </row>
    <row r="88" spans="1:9" x14ac:dyDescent="0.2">
      <c r="A88" t="str">
        <f>"1700006E09Rik"</f>
        <v>1700006E09Rik</v>
      </c>
      <c r="B88" t="s">
        <v>14</v>
      </c>
      <c r="C88" t="s">
        <v>27</v>
      </c>
      <c r="D88" t="s">
        <v>17</v>
      </c>
      <c r="E88" t="s">
        <v>12</v>
      </c>
      <c r="F88">
        <v>101987072</v>
      </c>
      <c r="G88">
        <v>101987097</v>
      </c>
      <c r="H88">
        <v>101987050</v>
      </c>
      <c r="I88">
        <v>101987069</v>
      </c>
    </row>
    <row r="89" spans="1:9" x14ac:dyDescent="0.2">
      <c r="A89" t="str">
        <f>"1700007B14Rik"</f>
        <v>1700007B14Rik</v>
      </c>
      <c r="B89" t="s">
        <v>14</v>
      </c>
      <c r="C89" t="s">
        <v>30</v>
      </c>
      <c r="D89" t="s">
        <v>17</v>
      </c>
      <c r="E89" t="s">
        <v>12</v>
      </c>
      <c r="F89">
        <v>75448710</v>
      </c>
      <c r="G89">
        <v>75448739</v>
      </c>
      <c r="H89">
        <v>75448751</v>
      </c>
      <c r="I89">
        <v>75448760</v>
      </c>
    </row>
    <row r="90" spans="1:9" x14ac:dyDescent="0.2">
      <c r="A90" t="str">
        <f>"1700007G11Rik"</f>
        <v>1700007G11Rik</v>
      </c>
      <c r="B90" t="s">
        <v>14</v>
      </c>
      <c r="C90" t="s">
        <v>46</v>
      </c>
      <c r="D90" t="s">
        <v>17</v>
      </c>
      <c r="E90" t="s">
        <v>12</v>
      </c>
      <c r="F90">
        <v>98329298</v>
      </c>
      <c r="G90">
        <v>98329350</v>
      </c>
      <c r="H90">
        <v>98329298</v>
      </c>
      <c r="I90">
        <v>98329350</v>
      </c>
    </row>
    <row r="91" spans="1:9" x14ac:dyDescent="0.2">
      <c r="A91" t="str">
        <f>"1700007K09Rik"</f>
        <v>1700007K09Rik</v>
      </c>
      <c r="B91" t="s">
        <v>14</v>
      </c>
      <c r="C91" t="s">
        <v>33</v>
      </c>
      <c r="D91" t="s">
        <v>11</v>
      </c>
      <c r="E91" t="s">
        <v>12</v>
      </c>
      <c r="F91">
        <v>131329507</v>
      </c>
      <c r="G91">
        <v>131329522</v>
      </c>
      <c r="H91">
        <v>131329493</v>
      </c>
      <c r="I91">
        <v>131329504</v>
      </c>
    </row>
    <row r="92" spans="1:9" x14ac:dyDescent="0.2">
      <c r="A92" t="str">
        <f>"1700007K13Rik"</f>
        <v>1700007K13Rik</v>
      </c>
      <c r="B92" t="s">
        <v>14</v>
      </c>
      <c r="C92" t="s">
        <v>26</v>
      </c>
      <c r="D92" t="s">
        <v>11</v>
      </c>
      <c r="E92" t="s">
        <v>12</v>
      </c>
      <c r="F92">
        <v>28466266</v>
      </c>
      <c r="G92">
        <v>28466359</v>
      </c>
      <c r="H92">
        <v>28466266</v>
      </c>
      <c r="I92">
        <v>28466359</v>
      </c>
    </row>
    <row r="93" spans="1:9" x14ac:dyDescent="0.2">
      <c r="A93" t="str">
        <f>"1700008A04Rik"</f>
        <v>1700008A04Rik</v>
      </c>
      <c r="B93" t="s">
        <v>14</v>
      </c>
      <c r="C93" t="s">
        <v>27</v>
      </c>
      <c r="D93" t="s">
        <v>11</v>
      </c>
      <c r="E93" t="s">
        <v>12</v>
      </c>
      <c r="F93">
        <v>32824566</v>
      </c>
      <c r="G93">
        <v>32824586</v>
      </c>
      <c r="H93">
        <v>32824548</v>
      </c>
      <c r="I93">
        <v>32824551</v>
      </c>
    </row>
    <row r="94" spans="1:9" x14ac:dyDescent="0.2">
      <c r="A94" t="str">
        <f>"1700008F21Rik"</f>
        <v>1700008F21Rik</v>
      </c>
      <c r="B94" t="s">
        <v>14</v>
      </c>
      <c r="C94" t="s">
        <v>30</v>
      </c>
      <c r="D94" t="s">
        <v>17</v>
      </c>
      <c r="E94" t="s">
        <v>12</v>
      </c>
      <c r="F94">
        <v>129072593</v>
      </c>
      <c r="G94">
        <v>129072594</v>
      </c>
      <c r="H94">
        <v>129072593</v>
      </c>
      <c r="I94">
        <v>129072594</v>
      </c>
    </row>
    <row r="95" spans="1:9" x14ac:dyDescent="0.2">
      <c r="A95" t="str">
        <f>"1700008I05Rik"</f>
        <v>1700008I05Rik</v>
      </c>
      <c r="B95" t="s">
        <v>14</v>
      </c>
      <c r="C95" t="s">
        <v>37</v>
      </c>
      <c r="D95" t="s">
        <v>11</v>
      </c>
      <c r="E95" t="s">
        <v>12</v>
      </c>
      <c r="F95">
        <v>135693783</v>
      </c>
      <c r="G95">
        <v>135693795</v>
      </c>
      <c r="H95">
        <v>135693783</v>
      </c>
      <c r="I95">
        <v>135693795</v>
      </c>
    </row>
    <row r="96" spans="1:9" x14ac:dyDescent="0.2">
      <c r="A96" t="str">
        <f>"1700008O03Rik"</f>
        <v>1700008O03Rik</v>
      </c>
      <c r="B96" t="s">
        <v>14</v>
      </c>
      <c r="C96" t="s">
        <v>33</v>
      </c>
      <c r="D96" t="s">
        <v>11</v>
      </c>
      <c r="E96" t="s">
        <v>12</v>
      </c>
      <c r="F96">
        <v>44375006</v>
      </c>
      <c r="G96">
        <v>44375035</v>
      </c>
      <c r="H96">
        <v>44374487</v>
      </c>
      <c r="I96">
        <v>44374518</v>
      </c>
    </row>
    <row r="97" spans="1:9" x14ac:dyDescent="0.2">
      <c r="A97" t="str">
        <f>"1700008P02Rik"</f>
        <v>1700008P02Rik</v>
      </c>
      <c r="B97" t="s">
        <v>14</v>
      </c>
      <c r="C97" t="s">
        <v>22</v>
      </c>
      <c r="D97" t="s">
        <v>11</v>
      </c>
      <c r="E97" t="s">
        <v>12</v>
      </c>
      <c r="F97">
        <v>6620441</v>
      </c>
      <c r="G97">
        <v>6620444</v>
      </c>
      <c r="H97">
        <v>6620441</v>
      </c>
      <c r="I97">
        <v>6620444</v>
      </c>
    </row>
    <row r="98" spans="1:9" x14ac:dyDescent="0.2">
      <c r="A98" t="str">
        <f>"1700009J07Rik"</f>
        <v>1700009J07Rik</v>
      </c>
      <c r="B98" t="s">
        <v>14</v>
      </c>
      <c r="C98" t="s">
        <v>15</v>
      </c>
      <c r="D98" t="s">
        <v>17</v>
      </c>
      <c r="E98" t="s">
        <v>12</v>
      </c>
      <c r="F98">
        <v>77893413</v>
      </c>
      <c r="G98">
        <v>77893431</v>
      </c>
      <c r="H98">
        <v>77893435</v>
      </c>
      <c r="I98">
        <v>77893442</v>
      </c>
    </row>
    <row r="99" spans="1:9" x14ac:dyDescent="0.2">
      <c r="A99" t="str">
        <f>"1700009N14Rik"</f>
        <v>1700009N14Rik</v>
      </c>
      <c r="B99" t="s">
        <v>14</v>
      </c>
      <c r="C99" t="s">
        <v>23</v>
      </c>
      <c r="D99" t="s">
        <v>17</v>
      </c>
      <c r="E99" t="s">
        <v>12</v>
      </c>
      <c r="F99">
        <v>39450268</v>
      </c>
      <c r="G99">
        <v>39450314</v>
      </c>
      <c r="H99">
        <v>39450316</v>
      </c>
      <c r="I99">
        <v>39450331</v>
      </c>
    </row>
    <row r="100" spans="1:9" x14ac:dyDescent="0.2">
      <c r="A100" t="str">
        <f>"1700009P17Rik"</f>
        <v>1700009P17Rik</v>
      </c>
      <c r="B100" t="s">
        <v>14</v>
      </c>
      <c r="C100" t="s">
        <v>19</v>
      </c>
      <c r="D100" t="s">
        <v>17</v>
      </c>
      <c r="E100" t="s">
        <v>12</v>
      </c>
      <c r="F100">
        <v>171123126</v>
      </c>
      <c r="G100">
        <v>171123168</v>
      </c>
      <c r="H100">
        <v>171123126</v>
      </c>
      <c r="I100">
        <v>171123168</v>
      </c>
    </row>
    <row r="101" spans="1:9" x14ac:dyDescent="0.2">
      <c r="A101" t="str">
        <f>"1700010B08Rik"</f>
        <v>1700010B08Rik</v>
      </c>
      <c r="B101" t="s">
        <v>14</v>
      </c>
      <c r="C101" t="s">
        <v>26</v>
      </c>
      <c r="D101" t="s">
        <v>17</v>
      </c>
      <c r="E101" t="s">
        <v>12</v>
      </c>
      <c r="F101">
        <v>173719467</v>
      </c>
      <c r="G101">
        <v>173719502</v>
      </c>
      <c r="H101">
        <v>173719426</v>
      </c>
      <c r="I101">
        <v>173719437</v>
      </c>
    </row>
    <row r="102" spans="1:9" x14ac:dyDescent="0.2">
      <c r="A102" t="str">
        <f>"1700010D01Rik"</f>
        <v>1700010D01Rik</v>
      </c>
      <c r="B102" t="s">
        <v>14</v>
      </c>
      <c r="C102" t="s">
        <v>37</v>
      </c>
      <c r="D102" t="s">
        <v>11</v>
      </c>
      <c r="E102" t="s">
        <v>12</v>
      </c>
      <c r="F102">
        <v>95733285</v>
      </c>
      <c r="G102">
        <v>95733308</v>
      </c>
      <c r="H102">
        <v>95733285</v>
      </c>
      <c r="I102">
        <v>95733308</v>
      </c>
    </row>
    <row r="103" spans="1:9" x14ac:dyDescent="0.2">
      <c r="A103" t="str">
        <f>"1700010H22Rik"</f>
        <v>1700010H22Rik</v>
      </c>
      <c r="B103" t="s">
        <v>14</v>
      </c>
      <c r="C103" t="s">
        <v>46</v>
      </c>
      <c r="D103" t="s">
        <v>11</v>
      </c>
      <c r="E103" t="s">
        <v>67</v>
      </c>
      <c r="F103">
        <v>98566854</v>
      </c>
      <c r="G103">
        <v>98566864</v>
      </c>
      <c r="H103">
        <v>98566962</v>
      </c>
      <c r="I103">
        <v>98566969</v>
      </c>
    </row>
    <row r="104" spans="1:9" x14ac:dyDescent="0.2">
      <c r="A104" t="str">
        <f>"1700010I14Rik"</f>
        <v>1700010I14Rik</v>
      </c>
      <c r="B104" t="s">
        <v>14</v>
      </c>
      <c r="C104" t="s">
        <v>28</v>
      </c>
      <c r="D104" t="s">
        <v>17</v>
      </c>
      <c r="E104" t="s">
        <v>12</v>
      </c>
      <c r="F104">
        <v>8988348</v>
      </c>
      <c r="G104">
        <v>8988395</v>
      </c>
      <c r="H104">
        <v>8988340</v>
      </c>
      <c r="I104">
        <v>8988347</v>
      </c>
    </row>
    <row r="105" spans="1:9" x14ac:dyDescent="0.2">
      <c r="A105" t="str">
        <f>"1700010L04Rik"</f>
        <v>1700010L04Rik</v>
      </c>
      <c r="B105" t="s">
        <v>14</v>
      </c>
      <c r="C105" t="s">
        <v>33</v>
      </c>
      <c r="D105" t="s">
        <v>17</v>
      </c>
      <c r="E105" t="s">
        <v>67</v>
      </c>
      <c r="F105">
        <v>82856243</v>
      </c>
      <c r="G105">
        <v>82856269</v>
      </c>
      <c r="H105">
        <v>82856243</v>
      </c>
      <c r="I105">
        <v>82856269</v>
      </c>
    </row>
    <row r="106" spans="1:9" x14ac:dyDescent="0.2">
      <c r="A106" t="str">
        <f>"1700011A15Rik"</f>
        <v>1700011A15Rik</v>
      </c>
      <c r="B106" t="s">
        <v>14</v>
      </c>
      <c r="C106" t="s">
        <v>25</v>
      </c>
      <c r="D106" t="s">
        <v>17</v>
      </c>
      <c r="E106" t="s">
        <v>12</v>
      </c>
      <c r="F106">
        <v>101447762</v>
      </c>
      <c r="G106">
        <v>101447804</v>
      </c>
      <c r="H106">
        <v>101447805</v>
      </c>
      <c r="I106">
        <v>101447814</v>
      </c>
    </row>
    <row r="107" spans="1:9" x14ac:dyDescent="0.2">
      <c r="A107" t="str">
        <f>"1700011E24Rik"</f>
        <v>1700011E24Rik</v>
      </c>
      <c r="B107" t="s">
        <v>14</v>
      </c>
      <c r="C107" t="s">
        <v>28</v>
      </c>
      <c r="D107" t="s">
        <v>11</v>
      </c>
      <c r="E107" t="s">
        <v>12</v>
      </c>
      <c r="F107">
        <v>87427690</v>
      </c>
      <c r="G107">
        <v>87427707</v>
      </c>
      <c r="H107">
        <v>87427732</v>
      </c>
      <c r="I107">
        <v>87427741</v>
      </c>
    </row>
    <row r="108" spans="1:9" x14ac:dyDescent="0.2">
      <c r="A108" t="str">
        <f>"1700011H14Rik"</f>
        <v>1700011H14Rik</v>
      </c>
      <c r="B108" t="s">
        <v>14</v>
      </c>
      <c r="C108" t="s">
        <v>41</v>
      </c>
      <c r="D108" t="s">
        <v>11</v>
      </c>
      <c r="E108" t="s">
        <v>12</v>
      </c>
      <c r="F108">
        <v>49245389</v>
      </c>
      <c r="G108">
        <v>49245441</v>
      </c>
      <c r="H108">
        <v>49245389</v>
      </c>
      <c r="I108">
        <v>49245441</v>
      </c>
    </row>
    <row r="109" spans="1:9" x14ac:dyDescent="0.2">
      <c r="A109" t="str">
        <f>"1700011I03Rik"</f>
        <v>1700011I03Rik</v>
      </c>
      <c r="B109" t="s">
        <v>14</v>
      </c>
      <c r="C109" t="s">
        <v>43</v>
      </c>
      <c r="D109" t="s">
        <v>17</v>
      </c>
      <c r="E109" t="s">
        <v>12</v>
      </c>
      <c r="F109">
        <v>57533842</v>
      </c>
      <c r="G109">
        <v>57533866</v>
      </c>
      <c r="H109">
        <v>57533842</v>
      </c>
      <c r="I109">
        <v>57533866</v>
      </c>
    </row>
    <row r="110" spans="1:9" x14ac:dyDescent="0.2">
      <c r="A110" t="str">
        <f>"1700011L22Rik"</f>
        <v>1700011L22Rik</v>
      </c>
      <c r="B110" t="s">
        <v>14</v>
      </c>
      <c r="C110" t="s">
        <v>30</v>
      </c>
      <c r="D110" t="s">
        <v>11</v>
      </c>
      <c r="E110" t="s">
        <v>12</v>
      </c>
      <c r="F110">
        <v>79248537</v>
      </c>
      <c r="G110">
        <v>79248565</v>
      </c>
      <c r="H110">
        <v>79248537</v>
      </c>
      <c r="I110">
        <v>79248565</v>
      </c>
    </row>
    <row r="111" spans="1:9" x14ac:dyDescent="0.2">
      <c r="A111" t="str">
        <f>"1700011M02Rik"</f>
        <v>1700011M02Rik</v>
      </c>
      <c r="B111" t="s">
        <v>1949</v>
      </c>
      <c r="C111" t="s">
        <v>37</v>
      </c>
      <c r="D111" t="s">
        <v>17</v>
      </c>
      <c r="E111" t="s">
        <v>20</v>
      </c>
      <c r="F111">
        <v>102908904</v>
      </c>
      <c r="G111">
        <v>102908904</v>
      </c>
      <c r="H111">
        <v>102908904</v>
      </c>
      <c r="I111">
        <v>102908904</v>
      </c>
    </row>
    <row r="112" spans="1:9" x14ac:dyDescent="0.2">
      <c r="A112" t="str">
        <f>"1700012A03Rik"</f>
        <v>1700012A03Rik</v>
      </c>
      <c r="B112" t="s">
        <v>14</v>
      </c>
      <c r="C112" t="s">
        <v>32</v>
      </c>
      <c r="D112" t="s">
        <v>17</v>
      </c>
      <c r="E112" t="s">
        <v>12</v>
      </c>
      <c r="F112">
        <v>32050281</v>
      </c>
      <c r="G112">
        <v>32050307</v>
      </c>
      <c r="H112">
        <v>32050266</v>
      </c>
      <c r="I112">
        <v>32050278</v>
      </c>
    </row>
    <row r="113" spans="1:9" x14ac:dyDescent="0.2">
      <c r="A113" t="str">
        <f>"1700012B07Rik"</f>
        <v>1700012B07Rik</v>
      </c>
      <c r="B113" t="s">
        <v>14</v>
      </c>
      <c r="C113" t="s">
        <v>27</v>
      </c>
      <c r="D113" t="s">
        <v>11</v>
      </c>
      <c r="E113" t="s">
        <v>12</v>
      </c>
      <c r="F113">
        <v>109828036</v>
      </c>
      <c r="G113">
        <v>109828065</v>
      </c>
      <c r="H113">
        <v>109828021</v>
      </c>
      <c r="I113">
        <v>109828028</v>
      </c>
    </row>
    <row r="114" spans="1:9" x14ac:dyDescent="0.2">
      <c r="A114" t="str">
        <f>"1700012B09Rik"</f>
        <v>1700012B09Rik</v>
      </c>
      <c r="B114" t="s">
        <v>14</v>
      </c>
      <c r="C114" t="s">
        <v>24</v>
      </c>
      <c r="D114" t="s">
        <v>11</v>
      </c>
      <c r="E114" t="s">
        <v>12</v>
      </c>
      <c r="F114">
        <v>14771004</v>
      </c>
      <c r="G114">
        <v>14771044</v>
      </c>
      <c r="H114">
        <v>14770979</v>
      </c>
      <c r="I114">
        <v>14771000</v>
      </c>
    </row>
    <row r="115" spans="1:9" x14ac:dyDescent="0.2">
      <c r="A115" t="str">
        <f>"1700012L04Rik"</f>
        <v>1700012L04Rik</v>
      </c>
      <c r="B115" t="s">
        <v>1950</v>
      </c>
      <c r="C115" t="s">
        <v>37</v>
      </c>
      <c r="D115" t="s">
        <v>17</v>
      </c>
      <c r="E115" t="s">
        <v>20</v>
      </c>
      <c r="F115">
        <v>9283763</v>
      </c>
      <c r="G115">
        <v>9283763</v>
      </c>
      <c r="H115">
        <v>9283763</v>
      </c>
      <c r="I115">
        <v>9283763</v>
      </c>
    </row>
    <row r="116" spans="1:9" x14ac:dyDescent="0.2">
      <c r="A116" t="str">
        <f>"1700012P22Rik"</f>
        <v>1700012P22Rik</v>
      </c>
      <c r="B116" t="s">
        <v>14</v>
      </c>
      <c r="C116" t="s">
        <v>23</v>
      </c>
      <c r="D116" t="s">
        <v>11</v>
      </c>
      <c r="E116" t="s">
        <v>12</v>
      </c>
      <c r="F116">
        <v>144438766</v>
      </c>
      <c r="G116">
        <v>144438807</v>
      </c>
      <c r="H116">
        <v>144438714</v>
      </c>
      <c r="I116">
        <v>144438717</v>
      </c>
    </row>
    <row r="117" spans="1:9" x14ac:dyDescent="0.2">
      <c r="A117" t="str">
        <f>"1700013D24Rik"</f>
        <v>1700013D24Rik</v>
      </c>
      <c r="B117" t="s">
        <v>14</v>
      </c>
      <c r="C117" t="s">
        <v>32</v>
      </c>
      <c r="D117" t="s">
        <v>11</v>
      </c>
      <c r="E117" t="s">
        <v>12</v>
      </c>
      <c r="F117">
        <v>124357032</v>
      </c>
      <c r="G117">
        <v>124357054</v>
      </c>
      <c r="H117">
        <v>124357067</v>
      </c>
      <c r="I117">
        <v>124357078</v>
      </c>
    </row>
    <row r="118" spans="1:9" x14ac:dyDescent="0.2">
      <c r="A118" t="str">
        <f>"1700013F07Rik"</f>
        <v>1700013F07Rik</v>
      </c>
      <c r="B118" t="s">
        <v>14</v>
      </c>
      <c r="C118" t="s">
        <v>22</v>
      </c>
      <c r="D118" t="s">
        <v>17</v>
      </c>
      <c r="E118" t="s">
        <v>12</v>
      </c>
      <c r="F118">
        <v>108537523</v>
      </c>
      <c r="G118">
        <v>108537583</v>
      </c>
      <c r="H118">
        <v>108537586</v>
      </c>
      <c r="I118">
        <v>108537592</v>
      </c>
    </row>
    <row r="119" spans="1:9" x14ac:dyDescent="0.2">
      <c r="A119" t="str">
        <f>"1700013G24Rik"</f>
        <v>1700013G24Rik</v>
      </c>
      <c r="B119" t="s">
        <v>14</v>
      </c>
      <c r="C119" t="s">
        <v>23</v>
      </c>
      <c r="D119" t="s">
        <v>17</v>
      </c>
      <c r="E119" t="s">
        <v>12</v>
      </c>
      <c r="F119">
        <v>137453253</v>
      </c>
      <c r="G119">
        <v>137453316</v>
      </c>
      <c r="H119">
        <v>137453320</v>
      </c>
      <c r="I119">
        <v>137453335</v>
      </c>
    </row>
    <row r="120" spans="1:9" x14ac:dyDescent="0.2">
      <c r="A120" t="str">
        <f>"1700013H16Rik"</f>
        <v>1700013H16Rik</v>
      </c>
      <c r="B120" t="s">
        <v>14</v>
      </c>
      <c r="C120" t="s">
        <v>37</v>
      </c>
      <c r="D120" t="s">
        <v>11</v>
      </c>
      <c r="E120" t="s">
        <v>12</v>
      </c>
      <c r="F120">
        <v>53757836</v>
      </c>
      <c r="G120">
        <v>53757849</v>
      </c>
      <c r="H120">
        <v>53757798</v>
      </c>
      <c r="I120">
        <v>53757815</v>
      </c>
    </row>
    <row r="121" spans="1:9" x14ac:dyDescent="0.2">
      <c r="A121" t="str">
        <f>"1700014D04Rik"</f>
        <v>1700014D04Rik</v>
      </c>
      <c r="B121" t="s">
        <v>1951</v>
      </c>
      <c r="C121" t="s">
        <v>39</v>
      </c>
      <c r="D121" t="s">
        <v>11</v>
      </c>
      <c r="E121" t="s">
        <v>20</v>
      </c>
      <c r="F121">
        <v>59742749</v>
      </c>
      <c r="G121">
        <v>59742749</v>
      </c>
      <c r="H121">
        <v>59742749</v>
      </c>
      <c r="I121">
        <v>59742749</v>
      </c>
    </row>
    <row r="122" spans="1:9" x14ac:dyDescent="0.2">
      <c r="A122" t="str">
        <f>"1700015E13Rik"</f>
        <v>1700015E13Rik</v>
      </c>
      <c r="B122" t="s">
        <v>14</v>
      </c>
      <c r="C122" t="s">
        <v>19</v>
      </c>
      <c r="D122" t="s">
        <v>17</v>
      </c>
      <c r="E122" t="s">
        <v>12</v>
      </c>
      <c r="F122">
        <v>170308836</v>
      </c>
      <c r="G122">
        <v>170308884</v>
      </c>
      <c r="H122">
        <v>170308836</v>
      </c>
      <c r="I122">
        <v>170308884</v>
      </c>
    </row>
    <row r="123" spans="1:9" x14ac:dyDescent="0.2">
      <c r="A123" t="str">
        <f>"1700015F17Rik"</f>
        <v>1700015F17Rik</v>
      </c>
      <c r="B123" t="s">
        <v>14</v>
      </c>
      <c r="C123" t="s">
        <v>46</v>
      </c>
      <c r="D123" t="s">
        <v>11</v>
      </c>
      <c r="E123" t="s">
        <v>12</v>
      </c>
      <c r="F123">
        <v>5479077</v>
      </c>
      <c r="G123">
        <v>5479107</v>
      </c>
      <c r="H123">
        <v>5479040</v>
      </c>
      <c r="I123">
        <v>5479060</v>
      </c>
    </row>
    <row r="124" spans="1:9" x14ac:dyDescent="0.2">
      <c r="A124" t="str">
        <f>"1700015G11Rik"</f>
        <v>1700015G11Rik</v>
      </c>
      <c r="B124" t="s">
        <v>14</v>
      </c>
      <c r="C124" t="s">
        <v>33</v>
      </c>
      <c r="D124" t="s">
        <v>11</v>
      </c>
      <c r="E124" t="s">
        <v>12</v>
      </c>
      <c r="F124">
        <v>52015710</v>
      </c>
      <c r="G124">
        <v>52015723</v>
      </c>
      <c r="H124">
        <v>52015710</v>
      </c>
      <c r="I124">
        <v>52015723</v>
      </c>
    </row>
    <row r="125" spans="1:9" x14ac:dyDescent="0.2">
      <c r="A125" t="str">
        <f>"1700016C15Rik"</f>
        <v>1700016C15Rik</v>
      </c>
      <c r="B125" t="s">
        <v>14</v>
      </c>
      <c r="C125" t="s">
        <v>19</v>
      </c>
      <c r="D125" t="s">
        <v>17</v>
      </c>
      <c r="E125" t="s">
        <v>12</v>
      </c>
      <c r="F125">
        <v>177729843</v>
      </c>
      <c r="G125">
        <v>177729869</v>
      </c>
      <c r="H125">
        <v>177729843</v>
      </c>
      <c r="I125">
        <v>177729869</v>
      </c>
    </row>
    <row r="126" spans="1:9" x14ac:dyDescent="0.2">
      <c r="A126" t="str">
        <f>"1700016D06Rik"</f>
        <v>1700016D06Rik</v>
      </c>
      <c r="B126" t="s">
        <v>14</v>
      </c>
      <c r="C126" t="s">
        <v>30</v>
      </c>
      <c r="D126" t="s">
        <v>11</v>
      </c>
      <c r="E126" t="s">
        <v>12</v>
      </c>
      <c r="F126">
        <v>11678728</v>
      </c>
      <c r="G126">
        <v>11678754</v>
      </c>
      <c r="H126">
        <v>11678710</v>
      </c>
      <c r="I126">
        <v>11678726</v>
      </c>
    </row>
    <row r="127" spans="1:9" x14ac:dyDescent="0.2">
      <c r="A127" t="str">
        <f>"1700016D08Rik"</f>
        <v>1700016D08Rik</v>
      </c>
      <c r="B127" t="s">
        <v>1952</v>
      </c>
      <c r="C127" t="s">
        <v>31</v>
      </c>
      <c r="D127" t="s">
        <v>11</v>
      </c>
      <c r="E127" t="s">
        <v>20</v>
      </c>
      <c r="F127">
        <v>3909191</v>
      </c>
      <c r="G127">
        <v>3909191</v>
      </c>
      <c r="H127">
        <v>3909191</v>
      </c>
      <c r="I127">
        <v>3909191</v>
      </c>
    </row>
    <row r="128" spans="1:9" x14ac:dyDescent="0.2">
      <c r="A128" t="str">
        <f>"1700016H13Rik"</f>
        <v>1700016H13Rik</v>
      </c>
      <c r="B128" t="s">
        <v>14</v>
      </c>
      <c r="C128" t="s">
        <v>46</v>
      </c>
      <c r="D128" t="s">
        <v>11</v>
      </c>
      <c r="E128" t="s">
        <v>12</v>
      </c>
      <c r="F128">
        <v>103655709</v>
      </c>
      <c r="G128">
        <v>103655743</v>
      </c>
      <c r="H128">
        <v>103655744</v>
      </c>
      <c r="I128">
        <v>103655751</v>
      </c>
    </row>
    <row r="129" spans="1:9" x14ac:dyDescent="0.2">
      <c r="A129" t="str">
        <f>"1700016K19Rik"</f>
        <v>1700016K19Rik</v>
      </c>
      <c r="B129" t="s">
        <v>14</v>
      </c>
      <c r="C129" t="s">
        <v>27</v>
      </c>
      <c r="D129" t="s">
        <v>17</v>
      </c>
      <c r="E129" t="s">
        <v>12</v>
      </c>
      <c r="F129">
        <v>75999980</v>
      </c>
      <c r="G129">
        <v>75999994</v>
      </c>
      <c r="H129">
        <v>75999952</v>
      </c>
      <c r="I129">
        <v>75999977</v>
      </c>
    </row>
    <row r="130" spans="1:9" x14ac:dyDescent="0.2">
      <c r="A130" t="str">
        <f>"1700017B05Rik"</f>
        <v>1700017B05Rik</v>
      </c>
      <c r="B130" t="s">
        <v>14</v>
      </c>
      <c r="C130" t="s">
        <v>24</v>
      </c>
      <c r="D130" t="s">
        <v>11</v>
      </c>
      <c r="E130" t="s">
        <v>12</v>
      </c>
      <c r="F130">
        <v>57262591</v>
      </c>
      <c r="G130">
        <v>57262609</v>
      </c>
      <c r="H130">
        <v>57262563</v>
      </c>
      <c r="I130">
        <v>57262580</v>
      </c>
    </row>
    <row r="131" spans="1:9" x14ac:dyDescent="0.2">
      <c r="A131" t="str">
        <f>"1700017D01Rik"</f>
        <v>1700017D01Rik</v>
      </c>
      <c r="B131" t="s">
        <v>14</v>
      </c>
      <c r="C131" t="s">
        <v>10</v>
      </c>
      <c r="D131" t="s">
        <v>11</v>
      </c>
      <c r="E131" t="s">
        <v>12</v>
      </c>
      <c r="F131">
        <v>11130819</v>
      </c>
      <c r="G131">
        <v>11130859</v>
      </c>
      <c r="H131">
        <v>11130805</v>
      </c>
      <c r="I131">
        <v>11130814</v>
      </c>
    </row>
    <row r="132" spans="1:9" x14ac:dyDescent="0.2">
      <c r="A132" t="str">
        <f>"1700017N19Rik"</f>
        <v>1700017N19Rik</v>
      </c>
      <c r="B132" t="s">
        <v>14</v>
      </c>
      <c r="C132" t="s">
        <v>15</v>
      </c>
      <c r="D132" t="s">
        <v>17</v>
      </c>
      <c r="E132" t="s">
        <v>12</v>
      </c>
      <c r="F132">
        <v>100592365</v>
      </c>
      <c r="G132">
        <v>100592382</v>
      </c>
      <c r="H132">
        <v>100592365</v>
      </c>
      <c r="I132">
        <v>100592382</v>
      </c>
    </row>
    <row r="133" spans="1:9" x14ac:dyDescent="0.2">
      <c r="A133" t="str">
        <f>"1700018A14Rik"</f>
        <v>1700018A14Rik</v>
      </c>
      <c r="B133" t="s">
        <v>14</v>
      </c>
      <c r="C133" t="s">
        <v>43</v>
      </c>
      <c r="D133" t="s">
        <v>17</v>
      </c>
      <c r="E133" t="s">
        <v>12</v>
      </c>
      <c r="F133">
        <v>46198982</v>
      </c>
      <c r="G133">
        <v>46199016</v>
      </c>
      <c r="H133">
        <v>46198901</v>
      </c>
      <c r="I133">
        <v>46198903</v>
      </c>
    </row>
    <row r="134" spans="1:9" x14ac:dyDescent="0.2">
      <c r="A134" t="str">
        <f>"1700018B08Rik"</f>
        <v>1700018B08Rik</v>
      </c>
      <c r="B134" t="s">
        <v>14</v>
      </c>
      <c r="C134" t="s">
        <v>30</v>
      </c>
      <c r="D134" t="s">
        <v>11</v>
      </c>
      <c r="E134" t="s">
        <v>12</v>
      </c>
      <c r="F134">
        <v>121541962</v>
      </c>
      <c r="G134">
        <v>121541974</v>
      </c>
      <c r="H134">
        <v>121541939</v>
      </c>
      <c r="I134">
        <v>121541946</v>
      </c>
    </row>
    <row r="135" spans="1:9" x14ac:dyDescent="0.2">
      <c r="A135" t="str">
        <f>"1700018B24Rik"</f>
        <v>1700018B24Rik</v>
      </c>
      <c r="B135" t="s">
        <v>14</v>
      </c>
      <c r="C135" t="s">
        <v>22</v>
      </c>
      <c r="D135" t="s">
        <v>11</v>
      </c>
      <c r="E135" t="s">
        <v>12</v>
      </c>
      <c r="F135">
        <v>48609080</v>
      </c>
      <c r="G135">
        <v>48609111</v>
      </c>
      <c r="H135">
        <v>48609063</v>
      </c>
      <c r="I135">
        <v>48609074</v>
      </c>
    </row>
    <row r="136" spans="1:9" x14ac:dyDescent="0.2">
      <c r="A136" t="str">
        <f>"1700018C11Rik"</f>
        <v>1700018C11Rik</v>
      </c>
      <c r="B136" t="s">
        <v>14</v>
      </c>
      <c r="C136" t="s">
        <v>23</v>
      </c>
      <c r="D136" t="s">
        <v>11</v>
      </c>
      <c r="E136" t="s">
        <v>12</v>
      </c>
      <c r="F136">
        <v>63622421</v>
      </c>
      <c r="G136">
        <v>63622448</v>
      </c>
      <c r="H136">
        <v>63622414</v>
      </c>
      <c r="I136">
        <v>63622417</v>
      </c>
    </row>
    <row r="137" spans="1:9" x14ac:dyDescent="0.2">
      <c r="A137" t="str">
        <f>"1700018F24Rik"</f>
        <v>1700018F24Rik</v>
      </c>
      <c r="B137" t="s">
        <v>1953</v>
      </c>
      <c r="C137" t="s">
        <v>46</v>
      </c>
      <c r="D137" t="s">
        <v>17</v>
      </c>
      <c r="E137" t="s">
        <v>20</v>
      </c>
      <c r="F137">
        <v>145042989</v>
      </c>
      <c r="G137">
        <v>145042989</v>
      </c>
      <c r="H137">
        <v>145042989</v>
      </c>
      <c r="I137">
        <v>145042989</v>
      </c>
    </row>
    <row r="138" spans="1:9" x14ac:dyDescent="0.2">
      <c r="A138" t="str">
        <f>"1700019A02Rik"</f>
        <v>1700019A02Rik</v>
      </c>
      <c r="B138" t="s">
        <v>14</v>
      </c>
      <c r="C138" t="s">
        <v>19</v>
      </c>
      <c r="D138" t="s">
        <v>11</v>
      </c>
      <c r="E138" t="s">
        <v>12</v>
      </c>
      <c r="F138">
        <v>53187596</v>
      </c>
      <c r="G138">
        <v>53187635</v>
      </c>
      <c r="H138">
        <v>53187596</v>
      </c>
      <c r="I138">
        <v>53187635</v>
      </c>
    </row>
    <row r="139" spans="1:9" x14ac:dyDescent="0.2">
      <c r="A139" t="str">
        <f>"1700019B03Rik"</f>
        <v>1700019B03Rik</v>
      </c>
      <c r="B139" t="s">
        <v>14</v>
      </c>
      <c r="C139" t="s">
        <v>30</v>
      </c>
      <c r="D139" t="s">
        <v>17</v>
      </c>
      <c r="E139" t="s">
        <v>12</v>
      </c>
      <c r="F139">
        <v>3470841</v>
      </c>
      <c r="G139">
        <v>3470858</v>
      </c>
      <c r="H139">
        <v>3470841</v>
      </c>
      <c r="I139">
        <v>3470858</v>
      </c>
    </row>
    <row r="140" spans="1:9" x14ac:dyDescent="0.2">
      <c r="A140" t="str">
        <f>"1700019D03Rik"</f>
        <v>1700019D03Rik</v>
      </c>
      <c r="B140" t="s">
        <v>14</v>
      </c>
      <c r="C140" t="s">
        <v>19</v>
      </c>
      <c r="D140" t="s">
        <v>11</v>
      </c>
      <c r="E140" t="s">
        <v>12</v>
      </c>
      <c r="F140">
        <v>52952804</v>
      </c>
      <c r="G140">
        <v>52952826</v>
      </c>
      <c r="H140">
        <v>52952834</v>
      </c>
      <c r="I140">
        <v>52952854</v>
      </c>
    </row>
    <row r="141" spans="1:9" x14ac:dyDescent="0.2">
      <c r="A141" t="str">
        <f>"1700019G17Rik"</f>
        <v>1700019G17Rik</v>
      </c>
      <c r="B141" t="s">
        <v>14</v>
      </c>
      <c r="C141" t="s">
        <v>32</v>
      </c>
      <c r="D141" t="s">
        <v>11</v>
      </c>
      <c r="E141" t="s">
        <v>12</v>
      </c>
      <c r="F141">
        <v>85902246</v>
      </c>
      <c r="G141">
        <v>85902276</v>
      </c>
      <c r="H141">
        <v>85902246</v>
      </c>
      <c r="I141">
        <v>85902276</v>
      </c>
    </row>
    <row r="142" spans="1:9" x14ac:dyDescent="0.2">
      <c r="A142" t="str">
        <f>"1700019L03Rik"</f>
        <v>1700019L03Rik</v>
      </c>
      <c r="B142" t="s">
        <v>14</v>
      </c>
      <c r="C142" t="s">
        <v>26</v>
      </c>
      <c r="D142" t="s">
        <v>11</v>
      </c>
      <c r="E142" t="s">
        <v>12</v>
      </c>
      <c r="F142">
        <v>32784424</v>
      </c>
      <c r="G142">
        <v>32784446</v>
      </c>
      <c r="H142">
        <v>32784409</v>
      </c>
      <c r="I142">
        <v>32784417</v>
      </c>
    </row>
    <row r="143" spans="1:9" x14ac:dyDescent="0.2">
      <c r="A143" t="str">
        <f>"1700019M22Rik"</f>
        <v>1700019M22Rik</v>
      </c>
      <c r="B143" t="s">
        <v>14</v>
      </c>
      <c r="C143" t="s">
        <v>16</v>
      </c>
      <c r="D143" t="s">
        <v>11</v>
      </c>
      <c r="E143" t="s">
        <v>12</v>
      </c>
      <c r="F143">
        <v>96047144</v>
      </c>
      <c r="G143">
        <v>96047161</v>
      </c>
      <c r="H143">
        <v>96047144</v>
      </c>
      <c r="I143">
        <v>96047161</v>
      </c>
    </row>
    <row r="144" spans="1:9" x14ac:dyDescent="0.2">
      <c r="A144" t="str">
        <f>"1700019N19Rik"</f>
        <v>1700019N19Rik</v>
      </c>
      <c r="B144" t="s">
        <v>14</v>
      </c>
      <c r="C144" t="s">
        <v>10</v>
      </c>
      <c r="D144" t="s">
        <v>11</v>
      </c>
      <c r="E144" t="s">
        <v>12</v>
      </c>
      <c r="F144">
        <v>58794400</v>
      </c>
      <c r="G144">
        <v>58794428</v>
      </c>
      <c r="H144">
        <v>58794436</v>
      </c>
      <c r="I144">
        <v>58794455</v>
      </c>
    </row>
    <row r="145" spans="1:9" x14ac:dyDescent="0.2">
      <c r="A145" t="str">
        <f>"1700019O17Rik"</f>
        <v>1700019O17Rik</v>
      </c>
      <c r="B145" t="s">
        <v>14</v>
      </c>
      <c r="C145" t="s">
        <v>19</v>
      </c>
      <c r="D145" t="s">
        <v>17</v>
      </c>
      <c r="E145" t="s">
        <v>12</v>
      </c>
      <c r="F145">
        <v>86426323</v>
      </c>
      <c r="G145">
        <v>86426349</v>
      </c>
      <c r="H145">
        <v>86426323</v>
      </c>
      <c r="I145">
        <v>86426349</v>
      </c>
    </row>
    <row r="146" spans="1:9" x14ac:dyDescent="0.2">
      <c r="A146" t="str">
        <f>"1700020A23Rik"</f>
        <v>1700020A23Rik</v>
      </c>
      <c r="B146" t="s">
        <v>14</v>
      </c>
      <c r="C146" t="s">
        <v>26</v>
      </c>
      <c r="D146" t="s">
        <v>17</v>
      </c>
      <c r="E146" t="s">
        <v>12</v>
      </c>
      <c r="F146">
        <v>130405256</v>
      </c>
      <c r="G146">
        <v>130405296</v>
      </c>
      <c r="H146">
        <v>130405256</v>
      </c>
      <c r="I146">
        <v>130405296</v>
      </c>
    </row>
    <row r="147" spans="1:9" x14ac:dyDescent="0.2">
      <c r="A147" t="str">
        <f>"1700020L24Rik"</f>
        <v>1700020L24Rik</v>
      </c>
      <c r="B147" t="s">
        <v>14</v>
      </c>
      <c r="C147" t="s">
        <v>27</v>
      </c>
      <c r="D147" t="s">
        <v>17</v>
      </c>
      <c r="E147" t="s">
        <v>12</v>
      </c>
      <c r="F147">
        <v>83437678</v>
      </c>
      <c r="G147">
        <v>83437708</v>
      </c>
      <c r="H147">
        <v>83437655</v>
      </c>
      <c r="I147">
        <v>83437671</v>
      </c>
    </row>
    <row r="148" spans="1:9" x14ac:dyDescent="0.2">
      <c r="A148" t="str">
        <f>"1700020N01Rik"</f>
        <v>1700020N01Rik</v>
      </c>
      <c r="B148" t="s">
        <v>14</v>
      </c>
      <c r="C148" t="s">
        <v>15</v>
      </c>
      <c r="D148" t="s">
        <v>17</v>
      </c>
      <c r="E148" t="s">
        <v>12</v>
      </c>
      <c r="F148">
        <v>21593126</v>
      </c>
      <c r="G148">
        <v>21593137</v>
      </c>
      <c r="H148">
        <v>21593112</v>
      </c>
      <c r="I148">
        <v>21593122</v>
      </c>
    </row>
    <row r="149" spans="1:9" x14ac:dyDescent="0.2">
      <c r="A149" t="str">
        <f>"1700020N15Rik"</f>
        <v>1700020N15Rik</v>
      </c>
      <c r="B149" t="s">
        <v>1954</v>
      </c>
      <c r="C149" t="s">
        <v>37</v>
      </c>
      <c r="D149" t="s">
        <v>17</v>
      </c>
      <c r="E149" t="s">
        <v>20</v>
      </c>
      <c r="F149">
        <v>69945299</v>
      </c>
      <c r="G149">
        <v>69945299</v>
      </c>
      <c r="H149">
        <v>69945299</v>
      </c>
      <c r="I149">
        <v>69945299</v>
      </c>
    </row>
    <row r="150" spans="1:9" x14ac:dyDescent="0.2">
      <c r="A150" t="str">
        <f>"1700021A07Rik"</f>
        <v>1700021A07Rik</v>
      </c>
      <c r="B150" t="s">
        <v>1955</v>
      </c>
      <c r="C150" t="s">
        <v>15</v>
      </c>
      <c r="D150" t="s">
        <v>17</v>
      </c>
      <c r="E150" t="s">
        <v>20</v>
      </c>
      <c r="F150">
        <v>21425341</v>
      </c>
      <c r="G150">
        <v>21425341</v>
      </c>
      <c r="H150">
        <v>21425341</v>
      </c>
      <c r="I150">
        <v>21425341</v>
      </c>
    </row>
    <row r="151" spans="1:9" x14ac:dyDescent="0.2">
      <c r="A151" t="str">
        <f>"1700021F05Rik"</f>
        <v>1700021F05Rik</v>
      </c>
      <c r="B151" t="s">
        <v>14</v>
      </c>
      <c r="C151" t="s">
        <v>15</v>
      </c>
      <c r="D151" t="s">
        <v>11</v>
      </c>
      <c r="E151" t="s">
        <v>12</v>
      </c>
      <c r="F151">
        <v>43540945</v>
      </c>
      <c r="G151">
        <v>43541024</v>
      </c>
      <c r="H151">
        <v>43540945</v>
      </c>
      <c r="I151">
        <v>43541024</v>
      </c>
    </row>
    <row r="152" spans="1:9" x14ac:dyDescent="0.2">
      <c r="A152" t="str">
        <f>"1700021F07Rik"</f>
        <v>1700021F07Rik</v>
      </c>
      <c r="B152" t="s">
        <v>14</v>
      </c>
      <c r="C152" t="s">
        <v>26</v>
      </c>
      <c r="D152" t="s">
        <v>17</v>
      </c>
      <c r="E152" t="s">
        <v>12</v>
      </c>
      <c r="F152">
        <v>173522588</v>
      </c>
      <c r="G152">
        <v>173522618</v>
      </c>
      <c r="H152">
        <v>173522622</v>
      </c>
      <c r="I152">
        <v>173522635</v>
      </c>
    </row>
    <row r="153" spans="1:9" x14ac:dyDescent="0.2">
      <c r="A153" t="str">
        <f>"1700021K19Rik"</f>
        <v>1700021K19Rik</v>
      </c>
      <c r="B153" t="s">
        <v>14</v>
      </c>
      <c r="C153" t="s">
        <v>31</v>
      </c>
      <c r="D153" t="s">
        <v>11</v>
      </c>
      <c r="E153" t="s">
        <v>12</v>
      </c>
      <c r="F153">
        <v>32868286</v>
      </c>
      <c r="G153">
        <v>32868318</v>
      </c>
      <c r="H153">
        <v>32868325</v>
      </c>
      <c r="I153">
        <v>32868368</v>
      </c>
    </row>
    <row r="154" spans="1:9" x14ac:dyDescent="0.2">
      <c r="A154" t="str">
        <f>"1700021P04Rik"</f>
        <v>1700021P04Rik</v>
      </c>
      <c r="B154" t="s">
        <v>1956</v>
      </c>
      <c r="C154" t="s">
        <v>10</v>
      </c>
      <c r="D154" t="s">
        <v>17</v>
      </c>
      <c r="E154" t="s">
        <v>20</v>
      </c>
      <c r="F154">
        <v>24064792</v>
      </c>
      <c r="G154">
        <v>24064792</v>
      </c>
      <c r="H154">
        <v>24064792</v>
      </c>
      <c r="I154">
        <v>24064792</v>
      </c>
    </row>
    <row r="155" spans="1:9" x14ac:dyDescent="0.2">
      <c r="A155" t="str">
        <f>"1700022I11Rik"</f>
        <v>1700022I11Rik</v>
      </c>
      <c r="B155" t="s">
        <v>14</v>
      </c>
      <c r="C155" t="s">
        <v>23</v>
      </c>
      <c r="D155" t="s">
        <v>17</v>
      </c>
      <c r="E155" t="s">
        <v>12</v>
      </c>
      <c r="F155">
        <v>42969953</v>
      </c>
      <c r="G155">
        <v>42969965</v>
      </c>
      <c r="H155">
        <v>42969945</v>
      </c>
      <c r="I155">
        <v>42969951</v>
      </c>
    </row>
    <row r="156" spans="1:9" x14ac:dyDescent="0.2">
      <c r="A156" t="str">
        <f>"1700022P22Rik"</f>
        <v>1700022P22Rik</v>
      </c>
      <c r="B156" t="s">
        <v>14</v>
      </c>
      <c r="C156" t="s">
        <v>19</v>
      </c>
      <c r="D156" t="s">
        <v>17</v>
      </c>
      <c r="E156" t="s">
        <v>12</v>
      </c>
      <c r="F156">
        <v>191036812</v>
      </c>
      <c r="G156">
        <v>191036825</v>
      </c>
      <c r="H156">
        <v>191036829</v>
      </c>
      <c r="I156">
        <v>191036838</v>
      </c>
    </row>
    <row r="157" spans="1:9" x14ac:dyDescent="0.2">
      <c r="A157" t="str">
        <f>"1700023E05Rik"</f>
        <v>1700023E05Rik</v>
      </c>
      <c r="B157" t="s">
        <v>9</v>
      </c>
      <c r="C157" t="s">
        <v>46</v>
      </c>
      <c r="D157" t="s">
        <v>17</v>
      </c>
      <c r="E157" t="s">
        <v>12</v>
      </c>
      <c r="F157">
        <v>77016023</v>
      </c>
      <c r="G157">
        <v>77016054</v>
      </c>
      <c r="H157">
        <v>77016023</v>
      </c>
      <c r="I157">
        <v>77016054</v>
      </c>
    </row>
    <row r="158" spans="1:9" x14ac:dyDescent="0.2">
      <c r="A158" t="str">
        <f>"1700023E05Rik"</f>
        <v>1700023E05Rik</v>
      </c>
      <c r="B158" t="s">
        <v>13</v>
      </c>
      <c r="C158" t="s">
        <v>46</v>
      </c>
      <c r="D158" t="s">
        <v>17</v>
      </c>
      <c r="E158" t="s">
        <v>12</v>
      </c>
      <c r="F158">
        <v>77037010</v>
      </c>
      <c r="G158">
        <v>77037043</v>
      </c>
      <c r="H158">
        <v>77037010</v>
      </c>
      <c r="I158">
        <v>77037043</v>
      </c>
    </row>
    <row r="159" spans="1:9" x14ac:dyDescent="0.2">
      <c r="A159" t="str">
        <f>"1700023F06Rik"</f>
        <v>1700023F06Rik</v>
      </c>
      <c r="B159" t="s">
        <v>14</v>
      </c>
      <c r="C159" t="s">
        <v>27</v>
      </c>
      <c r="D159" t="s">
        <v>11</v>
      </c>
      <c r="E159" t="s">
        <v>12</v>
      </c>
      <c r="F159">
        <v>103208542</v>
      </c>
      <c r="G159">
        <v>103208555</v>
      </c>
      <c r="H159">
        <v>103208531</v>
      </c>
      <c r="I159">
        <v>103208534</v>
      </c>
    </row>
    <row r="160" spans="1:9" x14ac:dyDescent="0.2">
      <c r="A160" t="str">
        <f>"1700024B05Rik"</f>
        <v>1700024B05Rik</v>
      </c>
      <c r="B160" t="s">
        <v>14</v>
      </c>
      <c r="C160" t="s">
        <v>41</v>
      </c>
      <c r="D160" t="s">
        <v>17</v>
      </c>
      <c r="E160" t="s">
        <v>12</v>
      </c>
      <c r="F160">
        <v>41943973</v>
      </c>
      <c r="G160">
        <v>41943997</v>
      </c>
      <c r="H160">
        <v>41943973</v>
      </c>
      <c r="I160">
        <v>41943997</v>
      </c>
    </row>
    <row r="161" spans="1:9" x14ac:dyDescent="0.2">
      <c r="A161" t="str">
        <f>"1700024G13Rik"</f>
        <v>1700024G13Rik</v>
      </c>
      <c r="B161" t="s">
        <v>14</v>
      </c>
      <c r="C161" t="s">
        <v>41</v>
      </c>
      <c r="D161" t="s">
        <v>11</v>
      </c>
      <c r="E161" t="s">
        <v>12</v>
      </c>
      <c r="F161">
        <v>32388355</v>
      </c>
      <c r="G161">
        <v>32388396</v>
      </c>
      <c r="H161">
        <v>32388355</v>
      </c>
      <c r="I161">
        <v>32388396</v>
      </c>
    </row>
    <row r="162" spans="1:9" x14ac:dyDescent="0.2">
      <c r="A162" t="str">
        <f>"1700024P04Rik"</f>
        <v>1700024P04Rik</v>
      </c>
      <c r="B162" t="s">
        <v>14</v>
      </c>
      <c r="C162" t="s">
        <v>39</v>
      </c>
      <c r="D162" t="s">
        <v>11</v>
      </c>
      <c r="E162" t="s">
        <v>12</v>
      </c>
      <c r="F162">
        <v>98984558</v>
      </c>
      <c r="G162">
        <v>98984571</v>
      </c>
      <c r="H162">
        <v>98984601</v>
      </c>
      <c r="I162">
        <v>98984605</v>
      </c>
    </row>
    <row r="163" spans="1:9" x14ac:dyDescent="0.2">
      <c r="A163" t="str">
        <f>"1700024P16Rik"</f>
        <v>1700024P16Rik</v>
      </c>
      <c r="B163" t="s">
        <v>14</v>
      </c>
      <c r="C163" t="s">
        <v>23</v>
      </c>
      <c r="D163" t="s">
        <v>17</v>
      </c>
      <c r="E163" t="s">
        <v>12</v>
      </c>
      <c r="F163">
        <v>104913554</v>
      </c>
      <c r="G163">
        <v>104913579</v>
      </c>
      <c r="H163">
        <v>104913513</v>
      </c>
      <c r="I163">
        <v>104913524</v>
      </c>
    </row>
    <row r="164" spans="1:9" x14ac:dyDescent="0.2">
      <c r="A164" t="str">
        <f>"1700025C18Rik"</f>
        <v>1700025C18Rik</v>
      </c>
      <c r="B164" t="s">
        <v>14</v>
      </c>
      <c r="C164" t="s">
        <v>26</v>
      </c>
      <c r="D164" t="s">
        <v>11</v>
      </c>
      <c r="E164" t="s">
        <v>12</v>
      </c>
      <c r="F164">
        <v>165090739</v>
      </c>
      <c r="G164">
        <v>165090752</v>
      </c>
      <c r="H164">
        <v>165090756</v>
      </c>
      <c r="I164">
        <v>165090761</v>
      </c>
    </row>
    <row r="165" spans="1:9" x14ac:dyDescent="0.2">
      <c r="A165" t="str">
        <f>"1700025F22Rik"</f>
        <v>1700025F22Rik</v>
      </c>
      <c r="B165" t="s">
        <v>14</v>
      </c>
      <c r="C165" t="s">
        <v>10</v>
      </c>
      <c r="D165" t="s">
        <v>11</v>
      </c>
      <c r="E165" t="s">
        <v>12</v>
      </c>
      <c r="F165">
        <v>11165298</v>
      </c>
      <c r="G165">
        <v>11165336</v>
      </c>
      <c r="H165">
        <v>11165341</v>
      </c>
      <c r="I165">
        <v>11165350</v>
      </c>
    </row>
    <row r="166" spans="1:9" x14ac:dyDescent="0.2">
      <c r="A166" t="str">
        <f>"1700025G04Rik"</f>
        <v>1700025G04Rik</v>
      </c>
      <c r="B166" t="s">
        <v>14</v>
      </c>
      <c r="C166" t="s">
        <v>19</v>
      </c>
      <c r="D166" t="s">
        <v>11</v>
      </c>
      <c r="E166" t="s">
        <v>12</v>
      </c>
      <c r="F166">
        <v>152090259</v>
      </c>
      <c r="G166">
        <v>152090307</v>
      </c>
      <c r="H166">
        <v>152090181</v>
      </c>
      <c r="I166">
        <v>152090209</v>
      </c>
    </row>
    <row r="167" spans="1:9" x14ac:dyDescent="0.2">
      <c r="A167" t="str">
        <f>"1700026D08Rik"</f>
        <v>1700026D08Rik</v>
      </c>
      <c r="B167" t="s">
        <v>14</v>
      </c>
      <c r="C167" t="s">
        <v>33</v>
      </c>
      <c r="D167" t="s">
        <v>11</v>
      </c>
      <c r="E167" t="s">
        <v>12</v>
      </c>
      <c r="F167">
        <v>83794842</v>
      </c>
      <c r="G167">
        <v>83794887</v>
      </c>
      <c r="H167">
        <v>83794820</v>
      </c>
      <c r="I167">
        <v>83794841</v>
      </c>
    </row>
    <row r="168" spans="1:9" x14ac:dyDescent="0.2">
      <c r="A168" t="str">
        <f>"1700026L06Rik"</f>
        <v>1700026L06Rik</v>
      </c>
      <c r="B168" t="s">
        <v>14</v>
      </c>
      <c r="C168" t="s">
        <v>26</v>
      </c>
      <c r="D168" t="s">
        <v>11</v>
      </c>
      <c r="E168" t="s">
        <v>12</v>
      </c>
      <c r="F168">
        <v>28699636</v>
      </c>
      <c r="G168">
        <v>28699659</v>
      </c>
      <c r="H168">
        <v>28699661</v>
      </c>
      <c r="I168">
        <v>28699688</v>
      </c>
    </row>
    <row r="169" spans="1:9" x14ac:dyDescent="0.2">
      <c r="A169" t="str">
        <f>"1700028J19Rik"</f>
        <v>1700028J19Rik</v>
      </c>
      <c r="B169" t="s">
        <v>14</v>
      </c>
      <c r="C169" t="s">
        <v>33</v>
      </c>
      <c r="D169" t="s">
        <v>11</v>
      </c>
      <c r="E169" t="s">
        <v>12</v>
      </c>
      <c r="F169">
        <v>44236098</v>
      </c>
      <c r="G169">
        <v>44236124</v>
      </c>
      <c r="H169">
        <v>44236086</v>
      </c>
      <c r="I169">
        <v>44236093</v>
      </c>
    </row>
    <row r="170" spans="1:9" x14ac:dyDescent="0.2">
      <c r="A170" t="str">
        <f>"1700028K03Rik"</f>
        <v>1700028K03Rik</v>
      </c>
      <c r="B170" t="s">
        <v>14</v>
      </c>
      <c r="C170" t="s">
        <v>46</v>
      </c>
      <c r="D170" t="s">
        <v>17</v>
      </c>
      <c r="E170" t="s">
        <v>12</v>
      </c>
      <c r="F170">
        <v>107534738</v>
      </c>
      <c r="G170">
        <v>107534761</v>
      </c>
      <c r="H170">
        <v>107534715</v>
      </c>
      <c r="I170">
        <v>107534732</v>
      </c>
    </row>
    <row r="171" spans="1:9" x14ac:dyDescent="0.2">
      <c r="A171" t="str">
        <f>"1700028P14Rik"</f>
        <v>1700028P14Rik</v>
      </c>
      <c r="B171" t="s">
        <v>14</v>
      </c>
      <c r="C171" t="s">
        <v>10</v>
      </c>
      <c r="D171" t="s">
        <v>11</v>
      </c>
      <c r="E171" t="s">
        <v>12</v>
      </c>
      <c r="F171">
        <v>23652780</v>
      </c>
      <c r="G171">
        <v>23652820</v>
      </c>
      <c r="H171">
        <v>23652780</v>
      </c>
      <c r="I171">
        <v>23652820</v>
      </c>
    </row>
    <row r="172" spans="1:9" x14ac:dyDescent="0.2">
      <c r="A172" t="str">
        <f>"1700029F12Rik"</f>
        <v>1700029F12Rik</v>
      </c>
      <c r="B172" t="s">
        <v>14</v>
      </c>
      <c r="C172" t="s">
        <v>39</v>
      </c>
      <c r="D172" t="s">
        <v>11</v>
      </c>
      <c r="E172" t="s">
        <v>12</v>
      </c>
      <c r="F172">
        <v>97034341</v>
      </c>
      <c r="G172">
        <v>97034365</v>
      </c>
      <c r="H172">
        <v>97034367</v>
      </c>
      <c r="I172">
        <v>97034382</v>
      </c>
    </row>
    <row r="173" spans="1:9" x14ac:dyDescent="0.2">
      <c r="A173" t="str">
        <f>"1700029H14Rik"</f>
        <v>1700029H14Rik</v>
      </c>
      <c r="B173" t="s">
        <v>14</v>
      </c>
      <c r="C173" t="s">
        <v>30</v>
      </c>
      <c r="D173" t="s">
        <v>11</v>
      </c>
      <c r="E173" t="s">
        <v>12</v>
      </c>
      <c r="F173">
        <v>13562397</v>
      </c>
      <c r="G173">
        <v>13562410</v>
      </c>
      <c r="H173">
        <v>13562397</v>
      </c>
      <c r="I173">
        <v>13562410</v>
      </c>
    </row>
    <row r="174" spans="1:9" x14ac:dyDescent="0.2">
      <c r="A174" t="str">
        <f>"1700029I15Rik"</f>
        <v>1700029I15Rik</v>
      </c>
      <c r="B174" t="s">
        <v>14</v>
      </c>
      <c r="C174" t="s">
        <v>26</v>
      </c>
      <c r="D174" t="s">
        <v>17</v>
      </c>
      <c r="E174" t="s">
        <v>12</v>
      </c>
      <c r="F174">
        <v>92382911</v>
      </c>
      <c r="G174">
        <v>92382924</v>
      </c>
      <c r="H174">
        <v>92382932</v>
      </c>
      <c r="I174">
        <v>92382941</v>
      </c>
    </row>
    <row r="175" spans="1:9" x14ac:dyDescent="0.2">
      <c r="A175" t="str">
        <f>"1700029J07Rik"</f>
        <v>1700029J07Rik</v>
      </c>
      <c r="B175" t="s">
        <v>14</v>
      </c>
      <c r="C175" t="s">
        <v>30</v>
      </c>
      <c r="D175" t="s">
        <v>11</v>
      </c>
      <c r="E175" t="s">
        <v>12</v>
      </c>
      <c r="F175">
        <v>45975224</v>
      </c>
      <c r="G175">
        <v>45975281</v>
      </c>
      <c r="H175">
        <v>45975311</v>
      </c>
      <c r="I175">
        <v>45975371</v>
      </c>
    </row>
    <row r="176" spans="1:9" x14ac:dyDescent="0.2">
      <c r="A176" t="str">
        <f>"1700029P11Rik"</f>
        <v>1700029P11Rik</v>
      </c>
      <c r="B176" t="s">
        <v>14</v>
      </c>
      <c r="C176" t="s">
        <v>25</v>
      </c>
      <c r="D176" t="s">
        <v>17</v>
      </c>
      <c r="E176" t="s">
        <v>12</v>
      </c>
      <c r="F176">
        <v>81980509</v>
      </c>
      <c r="G176">
        <v>81980546</v>
      </c>
      <c r="H176">
        <v>81980509</v>
      </c>
      <c r="I176">
        <v>81980546</v>
      </c>
    </row>
    <row r="177" spans="1:9" x14ac:dyDescent="0.2">
      <c r="A177" t="str">
        <f>"1700030C10Rik"</f>
        <v>1700030C10Rik</v>
      </c>
      <c r="B177" t="s">
        <v>14</v>
      </c>
      <c r="C177" t="s">
        <v>16</v>
      </c>
      <c r="D177" t="s">
        <v>11</v>
      </c>
      <c r="E177" t="s">
        <v>12</v>
      </c>
      <c r="F177">
        <v>20815756</v>
      </c>
      <c r="G177">
        <v>20815772</v>
      </c>
      <c r="H177">
        <v>20815756</v>
      </c>
      <c r="I177">
        <v>20815772</v>
      </c>
    </row>
    <row r="178" spans="1:9" x14ac:dyDescent="0.2">
      <c r="A178" t="str">
        <f>"1700030J22Rik"</f>
        <v>1700030J22Rik</v>
      </c>
      <c r="B178" t="s">
        <v>14</v>
      </c>
      <c r="C178" t="s">
        <v>30</v>
      </c>
      <c r="D178" t="s">
        <v>11</v>
      </c>
      <c r="E178" t="s">
        <v>12</v>
      </c>
      <c r="F178">
        <v>116978908</v>
      </c>
      <c r="G178">
        <v>116978997</v>
      </c>
      <c r="H178">
        <v>116978882</v>
      </c>
      <c r="I178">
        <v>116978906</v>
      </c>
    </row>
    <row r="179" spans="1:9" x14ac:dyDescent="0.2">
      <c r="A179" t="str">
        <f>"1700030K09Rik"</f>
        <v>1700030K09Rik</v>
      </c>
      <c r="B179" t="s">
        <v>14</v>
      </c>
      <c r="C179" t="s">
        <v>30</v>
      </c>
      <c r="D179" t="s">
        <v>17</v>
      </c>
      <c r="E179" t="s">
        <v>12</v>
      </c>
      <c r="F179">
        <v>72443874</v>
      </c>
      <c r="G179">
        <v>72443953</v>
      </c>
      <c r="H179">
        <v>72443874</v>
      </c>
      <c r="I179">
        <v>72443953</v>
      </c>
    </row>
    <row r="180" spans="1:9" x14ac:dyDescent="0.2">
      <c r="A180" t="str">
        <f>"1700031F05Rik"</f>
        <v>1700031F05Rik</v>
      </c>
      <c r="B180" t="s">
        <v>1957</v>
      </c>
      <c r="C180" t="s">
        <v>37</v>
      </c>
      <c r="D180" t="s">
        <v>11</v>
      </c>
      <c r="E180" t="s">
        <v>20</v>
      </c>
      <c r="F180">
        <v>102866352</v>
      </c>
      <c r="G180">
        <v>102866352</v>
      </c>
      <c r="H180">
        <v>102866352</v>
      </c>
      <c r="I180">
        <v>102866352</v>
      </c>
    </row>
    <row r="181" spans="1:9" x14ac:dyDescent="0.2">
      <c r="A181" t="str">
        <f>"1700034E13Rik"</f>
        <v>1700034E13Rik</v>
      </c>
      <c r="B181" t="s">
        <v>14</v>
      </c>
      <c r="C181" t="s">
        <v>43</v>
      </c>
      <c r="D181" t="s">
        <v>17</v>
      </c>
      <c r="E181" t="s">
        <v>12</v>
      </c>
      <c r="F181">
        <v>52646206</v>
      </c>
      <c r="G181">
        <v>52646225</v>
      </c>
      <c r="H181">
        <v>52646181</v>
      </c>
      <c r="I181">
        <v>52646185</v>
      </c>
    </row>
    <row r="182" spans="1:9" x14ac:dyDescent="0.2">
      <c r="A182" t="str">
        <f>"1700034H15Rik"</f>
        <v>1700034H15Rik</v>
      </c>
      <c r="B182" t="s">
        <v>14</v>
      </c>
      <c r="C182" t="s">
        <v>19</v>
      </c>
      <c r="D182" t="s">
        <v>11</v>
      </c>
      <c r="E182" t="s">
        <v>12</v>
      </c>
      <c r="F182">
        <v>191907582</v>
      </c>
      <c r="G182">
        <v>191907606</v>
      </c>
      <c r="H182">
        <v>191907582</v>
      </c>
      <c r="I182">
        <v>191907606</v>
      </c>
    </row>
    <row r="183" spans="1:9" x14ac:dyDescent="0.2">
      <c r="A183" t="str">
        <f>"1700034J04Rik"</f>
        <v>1700034J04Rik</v>
      </c>
      <c r="B183" t="s">
        <v>1958</v>
      </c>
      <c r="C183" t="s">
        <v>16</v>
      </c>
      <c r="D183" t="s">
        <v>11</v>
      </c>
      <c r="E183" t="s">
        <v>20</v>
      </c>
      <c r="F183">
        <v>11222209</v>
      </c>
      <c r="G183">
        <v>11222209</v>
      </c>
      <c r="H183">
        <v>11222209</v>
      </c>
      <c r="I183">
        <v>11222209</v>
      </c>
    </row>
    <row r="184" spans="1:9" x14ac:dyDescent="0.2">
      <c r="A184" t="str">
        <f>"1700034J05Rik"</f>
        <v>1700034J05Rik</v>
      </c>
      <c r="B184" t="s">
        <v>14</v>
      </c>
      <c r="C184" t="s">
        <v>32</v>
      </c>
      <c r="D184" t="s">
        <v>11</v>
      </c>
      <c r="E184" t="s">
        <v>12</v>
      </c>
      <c r="F184">
        <v>146954399</v>
      </c>
      <c r="G184">
        <v>146954431</v>
      </c>
      <c r="H184">
        <v>146954383</v>
      </c>
      <c r="I184">
        <v>146954396</v>
      </c>
    </row>
    <row r="185" spans="1:9" x14ac:dyDescent="0.2">
      <c r="A185" t="str">
        <f>"1700034O15Rik"</f>
        <v>1700034O15Rik</v>
      </c>
      <c r="B185" t="s">
        <v>14</v>
      </c>
      <c r="C185" t="s">
        <v>32</v>
      </c>
      <c r="D185" t="s">
        <v>17</v>
      </c>
      <c r="E185" t="s">
        <v>12</v>
      </c>
      <c r="F185">
        <v>41684378</v>
      </c>
      <c r="G185">
        <v>41684402</v>
      </c>
      <c r="H185">
        <v>41684414</v>
      </c>
      <c r="I185">
        <v>41684441</v>
      </c>
    </row>
    <row r="186" spans="1:9" x14ac:dyDescent="0.2">
      <c r="A186" t="str">
        <f>"1700036A12Rik"</f>
        <v>1700036A12Rik</v>
      </c>
      <c r="B186" t="s">
        <v>1959</v>
      </c>
      <c r="C186" t="s">
        <v>24</v>
      </c>
      <c r="D186" t="s">
        <v>17</v>
      </c>
      <c r="E186" t="s">
        <v>20</v>
      </c>
      <c r="F186">
        <v>60769601</v>
      </c>
      <c r="G186">
        <v>60769601</v>
      </c>
      <c r="H186">
        <v>60769601</v>
      </c>
      <c r="I186">
        <v>60769601</v>
      </c>
    </row>
    <row r="187" spans="1:9" x14ac:dyDescent="0.2">
      <c r="A187" t="str">
        <f>"1700037C18Rik"</f>
        <v>1700037C18Rik</v>
      </c>
      <c r="B187" t="s">
        <v>14</v>
      </c>
      <c r="C187" t="s">
        <v>31</v>
      </c>
      <c r="D187" t="s">
        <v>11</v>
      </c>
      <c r="E187" t="s">
        <v>12</v>
      </c>
      <c r="F187">
        <v>3908639</v>
      </c>
      <c r="G187">
        <v>3908686</v>
      </c>
      <c r="H187">
        <v>3907695</v>
      </c>
      <c r="I187">
        <v>3907707</v>
      </c>
    </row>
    <row r="188" spans="1:9" x14ac:dyDescent="0.2">
      <c r="A188" t="str">
        <f>"1700037H04Rik"</f>
        <v>1700037H04Rik</v>
      </c>
      <c r="B188" t="s">
        <v>14</v>
      </c>
      <c r="C188" t="s">
        <v>26</v>
      </c>
      <c r="D188" t="s">
        <v>11</v>
      </c>
      <c r="E188" t="s">
        <v>12</v>
      </c>
      <c r="F188">
        <v>131160006</v>
      </c>
      <c r="G188">
        <v>131160051</v>
      </c>
      <c r="H188">
        <v>131159982</v>
      </c>
      <c r="I188">
        <v>131160005</v>
      </c>
    </row>
    <row r="189" spans="1:9" x14ac:dyDescent="0.2">
      <c r="A189" t="str">
        <f>"1700039E15Rik"</f>
        <v>1700039E15Rik</v>
      </c>
      <c r="B189" t="s">
        <v>14</v>
      </c>
      <c r="C189" t="s">
        <v>33</v>
      </c>
      <c r="D189" t="s">
        <v>17</v>
      </c>
      <c r="E189" t="s">
        <v>12</v>
      </c>
      <c r="F189">
        <v>45282769</v>
      </c>
      <c r="G189">
        <v>45282771</v>
      </c>
      <c r="H189">
        <v>45282769</v>
      </c>
      <c r="I189">
        <v>45282771</v>
      </c>
    </row>
    <row r="190" spans="1:9" x14ac:dyDescent="0.2">
      <c r="A190" t="str">
        <f>"1700040F15Rik"</f>
        <v>1700040F15Rik</v>
      </c>
      <c r="B190" t="s">
        <v>1960</v>
      </c>
      <c r="C190" t="s">
        <v>63</v>
      </c>
      <c r="D190" t="s">
        <v>17</v>
      </c>
      <c r="E190" t="s">
        <v>20</v>
      </c>
      <c r="F190">
        <v>60242634</v>
      </c>
      <c r="G190">
        <v>60242634</v>
      </c>
      <c r="H190">
        <v>60242634</v>
      </c>
      <c r="I190">
        <v>60242634</v>
      </c>
    </row>
    <row r="191" spans="1:9" x14ac:dyDescent="0.2">
      <c r="A191" t="str">
        <f>"1700040L02Rik"</f>
        <v>1700040L02Rik</v>
      </c>
      <c r="B191" t="s">
        <v>14</v>
      </c>
      <c r="C191" t="s">
        <v>15</v>
      </c>
      <c r="D191" t="s">
        <v>11</v>
      </c>
      <c r="E191" t="s">
        <v>12</v>
      </c>
      <c r="F191">
        <v>68541842</v>
      </c>
      <c r="G191">
        <v>68541908</v>
      </c>
      <c r="H191">
        <v>68541842</v>
      </c>
      <c r="I191">
        <v>68541908</v>
      </c>
    </row>
    <row r="192" spans="1:9" x14ac:dyDescent="0.2">
      <c r="A192" t="str">
        <f>"1700041G16Rik"</f>
        <v>1700041G16Rik</v>
      </c>
      <c r="B192" t="s">
        <v>14</v>
      </c>
      <c r="C192" t="s">
        <v>30</v>
      </c>
      <c r="D192" t="s">
        <v>17</v>
      </c>
      <c r="E192" t="s">
        <v>67</v>
      </c>
      <c r="F192">
        <v>22808268</v>
      </c>
      <c r="G192">
        <v>22808275</v>
      </c>
      <c r="H192">
        <v>22808300</v>
      </c>
      <c r="I192">
        <v>22808326</v>
      </c>
    </row>
    <row r="193" spans="1:9" x14ac:dyDescent="0.2">
      <c r="A193" t="str">
        <f>"1700042B14Rik"</f>
        <v>1700042B14Rik</v>
      </c>
      <c r="B193" t="s">
        <v>14</v>
      </c>
      <c r="C193" t="s">
        <v>37</v>
      </c>
      <c r="D193" t="s">
        <v>11</v>
      </c>
      <c r="E193" t="s">
        <v>12</v>
      </c>
      <c r="F193">
        <v>155128409</v>
      </c>
      <c r="G193">
        <v>155128440</v>
      </c>
      <c r="H193">
        <v>155128409</v>
      </c>
      <c r="I193">
        <v>155128440</v>
      </c>
    </row>
    <row r="194" spans="1:9" x14ac:dyDescent="0.2">
      <c r="A194" t="str">
        <f>"1700042G07Rik"</f>
        <v>1700042G07Rik</v>
      </c>
      <c r="B194" t="s">
        <v>14</v>
      </c>
      <c r="C194" t="s">
        <v>23</v>
      </c>
      <c r="D194" t="s">
        <v>17</v>
      </c>
      <c r="E194" t="s">
        <v>12</v>
      </c>
      <c r="F194">
        <v>116173364</v>
      </c>
      <c r="G194">
        <v>116173380</v>
      </c>
      <c r="H194">
        <v>116173389</v>
      </c>
      <c r="I194">
        <v>116173400</v>
      </c>
    </row>
    <row r="195" spans="1:9" x14ac:dyDescent="0.2">
      <c r="A195" t="str">
        <f>"1700045I11Rik"</f>
        <v>1700045I11Rik</v>
      </c>
      <c r="B195" t="s">
        <v>1961</v>
      </c>
      <c r="C195" t="s">
        <v>23</v>
      </c>
      <c r="D195" t="s">
        <v>17</v>
      </c>
      <c r="E195" t="s">
        <v>20</v>
      </c>
      <c r="F195">
        <v>42170844</v>
      </c>
      <c r="G195">
        <v>42170844</v>
      </c>
      <c r="H195">
        <v>42170844</v>
      </c>
      <c r="I195">
        <v>42170844</v>
      </c>
    </row>
    <row r="196" spans="1:9" x14ac:dyDescent="0.2">
      <c r="A196" t="str">
        <f>"1700047I17Rik2"</f>
        <v>1700047I17Rik2</v>
      </c>
      <c r="B196" t="s">
        <v>1962</v>
      </c>
      <c r="C196" t="s">
        <v>16</v>
      </c>
      <c r="D196" t="s">
        <v>17</v>
      </c>
      <c r="E196" t="s">
        <v>20</v>
      </c>
      <c r="F196">
        <v>55199532</v>
      </c>
      <c r="G196">
        <v>55199532</v>
      </c>
      <c r="H196">
        <v>55199532</v>
      </c>
      <c r="I196">
        <v>55199532</v>
      </c>
    </row>
    <row r="197" spans="1:9" x14ac:dyDescent="0.2">
      <c r="A197" t="str">
        <f>"1700048O20Rik"</f>
        <v>1700048O20Rik</v>
      </c>
      <c r="B197" t="s">
        <v>14</v>
      </c>
      <c r="C197" t="s">
        <v>24</v>
      </c>
      <c r="D197" t="s">
        <v>17</v>
      </c>
      <c r="E197" t="s">
        <v>12</v>
      </c>
      <c r="F197">
        <v>121937240</v>
      </c>
      <c r="G197">
        <v>121937264</v>
      </c>
      <c r="H197">
        <v>121937285</v>
      </c>
      <c r="I197">
        <v>121937297</v>
      </c>
    </row>
    <row r="198" spans="1:9" x14ac:dyDescent="0.2">
      <c r="A198" t="str">
        <f>"1700049E17Rik1"</f>
        <v>1700049E17Rik1</v>
      </c>
      <c r="B198" t="s">
        <v>1963</v>
      </c>
      <c r="C198" t="s">
        <v>41</v>
      </c>
      <c r="D198" t="s">
        <v>17</v>
      </c>
      <c r="E198" t="s">
        <v>20</v>
      </c>
      <c r="F198">
        <v>41924948</v>
      </c>
      <c r="G198">
        <v>41924948</v>
      </c>
      <c r="H198">
        <v>41924948</v>
      </c>
      <c r="I198">
        <v>41924948</v>
      </c>
    </row>
    <row r="199" spans="1:9" x14ac:dyDescent="0.2">
      <c r="A199" t="str">
        <f>"1700049E17Rik2"</f>
        <v>1700049E17Rik2</v>
      </c>
      <c r="B199" t="s">
        <v>1964</v>
      </c>
      <c r="C199" t="s">
        <v>41</v>
      </c>
      <c r="D199" t="s">
        <v>17</v>
      </c>
      <c r="E199" t="s">
        <v>20</v>
      </c>
      <c r="F199">
        <v>41573341</v>
      </c>
      <c r="G199">
        <v>41573341</v>
      </c>
      <c r="H199">
        <v>41573341</v>
      </c>
      <c r="I199">
        <v>41573341</v>
      </c>
    </row>
    <row r="200" spans="1:9" x14ac:dyDescent="0.2">
      <c r="A200" t="str">
        <f>"1700049G17Rik"</f>
        <v>1700049G17Rik</v>
      </c>
      <c r="B200" t="s">
        <v>14</v>
      </c>
      <c r="C200" t="s">
        <v>33</v>
      </c>
      <c r="D200" t="s">
        <v>11</v>
      </c>
      <c r="E200" t="s">
        <v>12</v>
      </c>
      <c r="F200">
        <v>27929443</v>
      </c>
      <c r="G200">
        <v>27929465</v>
      </c>
      <c r="H200">
        <v>27929468</v>
      </c>
      <c r="I200">
        <v>27929487</v>
      </c>
    </row>
    <row r="201" spans="1:9" x14ac:dyDescent="0.2">
      <c r="A201" t="str">
        <f>"1700051O22Rik"</f>
        <v>1700051O22Rik</v>
      </c>
      <c r="B201" t="s">
        <v>1965</v>
      </c>
      <c r="C201" t="s">
        <v>30</v>
      </c>
      <c r="D201" t="s">
        <v>17</v>
      </c>
      <c r="E201" t="s">
        <v>35</v>
      </c>
      <c r="F201">
        <v>85432584</v>
      </c>
      <c r="G201">
        <v>85432592</v>
      </c>
      <c r="H201">
        <v>85432584</v>
      </c>
      <c r="I201">
        <v>85432592</v>
      </c>
    </row>
    <row r="202" spans="1:9" x14ac:dyDescent="0.2">
      <c r="A202" t="str">
        <f>"1700052N19Rik"</f>
        <v>1700052N19Rik</v>
      </c>
      <c r="B202" t="s">
        <v>14</v>
      </c>
      <c r="C202" t="s">
        <v>15</v>
      </c>
      <c r="D202" t="s">
        <v>17</v>
      </c>
      <c r="E202" t="s">
        <v>12</v>
      </c>
      <c r="F202">
        <v>4432586</v>
      </c>
      <c r="G202">
        <v>4432661</v>
      </c>
      <c r="H202">
        <v>4432455</v>
      </c>
      <c r="I202">
        <v>4432495</v>
      </c>
    </row>
    <row r="203" spans="1:9" x14ac:dyDescent="0.2">
      <c r="A203" t="str">
        <f>"1700054O13Rik"</f>
        <v>1700054O13Rik</v>
      </c>
      <c r="B203" t="s">
        <v>14</v>
      </c>
      <c r="C203" t="s">
        <v>37</v>
      </c>
      <c r="D203" t="s">
        <v>17</v>
      </c>
      <c r="E203" t="s">
        <v>12</v>
      </c>
      <c r="F203">
        <v>9846945</v>
      </c>
      <c r="G203">
        <v>9846977</v>
      </c>
      <c r="H203">
        <v>9846945</v>
      </c>
      <c r="I203">
        <v>9846977</v>
      </c>
    </row>
    <row r="204" spans="1:9" x14ac:dyDescent="0.2">
      <c r="A204" t="str">
        <f>"1700055D18Rik"</f>
        <v>1700055D18Rik</v>
      </c>
      <c r="B204" t="s">
        <v>14</v>
      </c>
      <c r="C204" t="s">
        <v>23</v>
      </c>
      <c r="D204" t="s">
        <v>17</v>
      </c>
      <c r="E204" t="s">
        <v>67</v>
      </c>
      <c r="F204">
        <v>45012796</v>
      </c>
      <c r="G204">
        <v>45012843</v>
      </c>
      <c r="H204">
        <v>45012846</v>
      </c>
      <c r="I204">
        <v>45012858</v>
      </c>
    </row>
    <row r="205" spans="1:9" x14ac:dyDescent="0.2">
      <c r="A205" t="str">
        <f>"1700055N04Rik"</f>
        <v>1700055N04Rik</v>
      </c>
      <c r="B205" t="s">
        <v>14</v>
      </c>
      <c r="C205" t="s">
        <v>10</v>
      </c>
      <c r="D205" t="s">
        <v>17</v>
      </c>
      <c r="E205" t="s">
        <v>12</v>
      </c>
      <c r="F205">
        <v>3958803</v>
      </c>
      <c r="G205">
        <v>3958832</v>
      </c>
      <c r="H205">
        <v>3958803</v>
      </c>
      <c r="I205">
        <v>3958832</v>
      </c>
    </row>
    <row r="206" spans="1:9" x14ac:dyDescent="0.2">
      <c r="A206" t="str">
        <f>"1700056E22Rik"</f>
        <v>1700056E22Rik</v>
      </c>
      <c r="B206" t="s">
        <v>14</v>
      </c>
      <c r="C206" t="s">
        <v>19</v>
      </c>
      <c r="D206" t="s">
        <v>11</v>
      </c>
      <c r="E206" t="s">
        <v>12</v>
      </c>
      <c r="F206">
        <v>184034148</v>
      </c>
      <c r="G206">
        <v>184034186</v>
      </c>
      <c r="H206">
        <v>184034125</v>
      </c>
      <c r="I206">
        <v>184034144</v>
      </c>
    </row>
    <row r="207" spans="1:9" x14ac:dyDescent="0.2">
      <c r="A207" t="str">
        <f>"1700057G04Rik"</f>
        <v>1700057G04Rik</v>
      </c>
      <c r="B207" t="s">
        <v>14</v>
      </c>
      <c r="C207" t="s">
        <v>24</v>
      </c>
      <c r="D207" t="s">
        <v>17</v>
      </c>
      <c r="E207" t="s">
        <v>12</v>
      </c>
      <c r="F207">
        <v>92309362</v>
      </c>
      <c r="G207">
        <v>92309386</v>
      </c>
      <c r="H207">
        <v>92309391</v>
      </c>
      <c r="I207">
        <v>92309401</v>
      </c>
    </row>
    <row r="208" spans="1:9" x14ac:dyDescent="0.2">
      <c r="A208" t="str">
        <f>"1700060C20Rik"</f>
        <v>1700060C20Rik</v>
      </c>
      <c r="B208" t="s">
        <v>1966</v>
      </c>
      <c r="C208" t="s">
        <v>26</v>
      </c>
      <c r="D208" t="s">
        <v>17</v>
      </c>
      <c r="E208" t="s">
        <v>20</v>
      </c>
      <c r="F208">
        <v>158192008</v>
      </c>
      <c r="G208">
        <v>158192008</v>
      </c>
      <c r="H208">
        <v>158192008</v>
      </c>
      <c r="I208">
        <v>158192008</v>
      </c>
    </row>
    <row r="209" spans="1:9" x14ac:dyDescent="0.2">
      <c r="A209" t="str">
        <f>"1700061G19Rik"</f>
        <v>1700061G19Rik</v>
      </c>
      <c r="B209" t="s">
        <v>14</v>
      </c>
      <c r="C209" t="s">
        <v>28</v>
      </c>
      <c r="D209" t="s">
        <v>17</v>
      </c>
      <c r="E209" t="s">
        <v>12</v>
      </c>
      <c r="F209">
        <v>56875471</v>
      </c>
      <c r="G209">
        <v>56875489</v>
      </c>
      <c r="H209">
        <v>56875523</v>
      </c>
      <c r="I209">
        <v>56875535</v>
      </c>
    </row>
    <row r="210" spans="1:9" x14ac:dyDescent="0.2">
      <c r="A210" t="str">
        <f>"1700061I17Rik"</f>
        <v>1700061I17Rik</v>
      </c>
      <c r="B210" t="s">
        <v>14</v>
      </c>
      <c r="C210" t="s">
        <v>22</v>
      </c>
      <c r="D210" t="s">
        <v>11</v>
      </c>
      <c r="E210" t="s">
        <v>12</v>
      </c>
      <c r="F210">
        <v>117077760</v>
      </c>
      <c r="G210">
        <v>117077769</v>
      </c>
      <c r="H210">
        <v>117077717</v>
      </c>
      <c r="I210">
        <v>117077721</v>
      </c>
    </row>
    <row r="211" spans="1:9" x14ac:dyDescent="0.2">
      <c r="A211" t="str">
        <f>"1700063H04Rik"</f>
        <v>1700063H04Rik</v>
      </c>
      <c r="B211" t="s">
        <v>14</v>
      </c>
      <c r="C211" t="s">
        <v>32</v>
      </c>
      <c r="D211" t="s">
        <v>17</v>
      </c>
      <c r="E211" t="s">
        <v>12</v>
      </c>
      <c r="F211">
        <v>122391351</v>
      </c>
      <c r="G211">
        <v>122391388</v>
      </c>
      <c r="H211">
        <v>122391351</v>
      </c>
      <c r="I211">
        <v>122391388</v>
      </c>
    </row>
    <row r="212" spans="1:9" x14ac:dyDescent="0.2">
      <c r="A212" t="str">
        <f>"1700064H15Rik"</f>
        <v>1700064H15Rik</v>
      </c>
      <c r="B212" t="s">
        <v>14</v>
      </c>
      <c r="C212" t="s">
        <v>22</v>
      </c>
      <c r="D212" t="s">
        <v>11</v>
      </c>
      <c r="E212" t="s">
        <v>67</v>
      </c>
      <c r="F212">
        <v>19628669</v>
      </c>
      <c r="G212">
        <v>19628685</v>
      </c>
      <c r="H212">
        <v>19628643</v>
      </c>
      <c r="I212">
        <v>19628663</v>
      </c>
    </row>
    <row r="213" spans="1:9" x14ac:dyDescent="0.2">
      <c r="A213" t="str">
        <f>"1700065D16Rik"</f>
        <v>1700065D16Rik</v>
      </c>
      <c r="B213" t="s">
        <v>14</v>
      </c>
      <c r="C213" t="s">
        <v>24</v>
      </c>
      <c r="D213" t="s">
        <v>11</v>
      </c>
      <c r="E213" t="s">
        <v>12</v>
      </c>
      <c r="F213">
        <v>95857559</v>
      </c>
      <c r="G213">
        <v>95857570</v>
      </c>
      <c r="H213">
        <v>95858370</v>
      </c>
      <c r="I213">
        <v>95858383</v>
      </c>
    </row>
    <row r="214" spans="1:9" x14ac:dyDescent="0.2">
      <c r="A214" t="str">
        <f>"1700065I17Rik"</f>
        <v>1700065I17Rik</v>
      </c>
      <c r="B214" t="s">
        <v>14</v>
      </c>
      <c r="C214" t="s">
        <v>43</v>
      </c>
      <c r="D214" t="s">
        <v>17</v>
      </c>
      <c r="E214" t="s">
        <v>12</v>
      </c>
      <c r="F214">
        <v>56588342</v>
      </c>
      <c r="G214">
        <v>56588359</v>
      </c>
      <c r="H214">
        <v>56588342</v>
      </c>
      <c r="I214">
        <v>56588359</v>
      </c>
    </row>
    <row r="215" spans="1:9" x14ac:dyDescent="0.2">
      <c r="A215" t="str">
        <f>"1700066B19Rik"</f>
        <v>1700066B19Rik</v>
      </c>
      <c r="B215" t="s">
        <v>14</v>
      </c>
      <c r="C215" t="s">
        <v>43</v>
      </c>
      <c r="D215" t="s">
        <v>17</v>
      </c>
      <c r="E215" t="s">
        <v>12</v>
      </c>
      <c r="F215">
        <v>35726975</v>
      </c>
      <c r="G215">
        <v>35726994</v>
      </c>
      <c r="H215">
        <v>35726975</v>
      </c>
      <c r="I215">
        <v>35726994</v>
      </c>
    </row>
    <row r="216" spans="1:9" x14ac:dyDescent="0.2">
      <c r="A216" t="str">
        <f>"1700066M21Rik"</f>
        <v>1700066M21Rik</v>
      </c>
      <c r="B216" t="s">
        <v>14</v>
      </c>
      <c r="C216" t="s">
        <v>19</v>
      </c>
      <c r="D216" t="s">
        <v>17</v>
      </c>
      <c r="E216" t="s">
        <v>12</v>
      </c>
      <c r="F216">
        <v>57377593</v>
      </c>
      <c r="G216">
        <v>57377689</v>
      </c>
      <c r="H216">
        <v>57377593</v>
      </c>
      <c r="I216">
        <v>57377689</v>
      </c>
    </row>
    <row r="217" spans="1:9" x14ac:dyDescent="0.2">
      <c r="A217" t="str">
        <f>"1700067K01Rik"</f>
        <v>1700067K01Rik</v>
      </c>
      <c r="B217" t="s">
        <v>14</v>
      </c>
      <c r="C217" t="s">
        <v>30</v>
      </c>
      <c r="D217" t="s">
        <v>17</v>
      </c>
      <c r="E217" t="s">
        <v>12</v>
      </c>
      <c r="F217">
        <v>84001455</v>
      </c>
      <c r="G217">
        <v>84001468</v>
      </c>
      <c r="H217">
        <v>84001434</v>
      </c>
      <c r="I217">
        <v>84001441</v>
      </c>
    </row>
    <row r="218" spans="1:9" x14ac:dyDescent="0.2">
      <c r="A218" t="str">
        <f>"1700067P10Rik"</f>
        <v>1700067P10Rik</v>
      </c>
      <c r="B218" t="s">
        <v>14</v>
      </c>
      <c r="C218" t="s">
        <v>28</v>
      </c>
      <c r="D218" t="s">
        <v>17</v>
      </c>
      <c r="E218" t="s">
        <v>12</v>
      </c>
      <c r="F218">
        <v>48089634</v>
      </c>
      <c r="G218">
        <v>48089659</v>
      </c>
      <c r="H218">
        <v>48089660</v>
      </c>
      <c r="I218">
        <v>48089686</v>
      </c>
    </row>
    <row r="219" spans="1:9" x14ac:dyDescent="0.2">
      <c r="A219" t="str">
        <f>"1700069B07Rik"</f>
        <v>1700069B07Rik</v>
      </c>
      <c r="B219" t="s">
        <v>1967</v>
      </c>
      <c r="C219" t="s">
        <v>33</v>
      </c>
      <c r="D219" t="s">
        <v>17</v>
      </c>
      <c r="E219" t="s">
        <v>20</v>
      </c>
      <c r="F219">
        <v>121707188</v>
      </c>
      <c r="G219">
        <v>121707188</v>
      </c>
      <c r="H219">
        <v>121707188</v>
      </c>
      <c r="I219">
        <v>121707188</v>
      </c>
    </row>
    <row r="220" spans="1:9" x14ac:dyDescent="0.2">
      <c r="A220" t="str">
        <f>"1700069L16Rik"</f>
        <v>1700069L16Rik</v>
      </c>
      <c r="B220" t="s">
        <v>14</v>
      </c>
      <c r="C220" t="s">
        <v>46</v>
      </c>
      <c r="D220" t="s">
        <v>11</v>
      </c>
      <c r="E220" t="s">
        <v>12</v>
      </c>
      <c r="F220">
        <v>113724771</v>
      </c>
      <c r="G220">
        <v>113724788</v>
      </c>
      <c r="H220">
        <v>113724789</v>
      </c>
      <c r="I220">
        <v>113724795</v>
      </c>
    </row>
    <row r="221" spans="1:9" x14ac:dyDescent="0.2">
      <c r="A221" t="str">
        <f>"1700074P13Rik"</f>
        <v>1700074P13Rik</v>
      </c>
      <c r="B221" t="s">
        <v>9</v>
      </c>
      <c r="C221" t="s">
        <v>32</v>
      </c>
      <c r="D221" t="s">
        <v>11</v>
      </c>
      <c r="E221" t="s">
        <v>12</v>
      </c>
      <c r="F221">
        <v>40940527</v>
      </c>
      <c r="G221">
        <v>40940554</v>
      </c>
      <c r="H221">
        <v>40940527</v>
      </c>
      <c r="I221">
        <v>40940554</v>
      </c>
    </row>
    <row r="222" spans="1:9" x14ac:dyDescent="0.2">
      <c r="A222" t="str">
        <f>"1700074P13Rik"</f>
        <v>1700074P13Rik</v>
      </c>
      <c r="B222" t="s">
        <v>13</v>
      </c>
      <c r="C222" t="s">
        <v>32</v>
      </c>
      <c r="D222" t="s">
        <v>11</v>
      </c>
      <c r="E222" t="s">
        <v>12</v>
      </c>
      <c r="F222">
        <v>40929731</v>
      </c>
      <c r="G222">
        <v>40929745</v>
      </c>
      <c r="H222">
        <v>40929731</v>
      </c>
      <c r="I222">
        <v>40929745</v>
      </c>
    </row>
    <row r="223" spans="1:9" x14ac:dyDescent="0.2">
      <c r="A223" t="str">
        <f>"1700080E11Rik"</f>
        <v>1700080E11Rik</v>
      </c>
      <c r="B223" t="s">
        <v>14</v>
      </c>
      <c r="C223" t="s">
        <v>24</v>
      </c>
      <c r="D223" t="s">
        <v>11</v>
      </c>
      <c r="E223" t="s">
        <v>12</v>
      </c>
      <c r="F223">
        <v>105145072</v>
      </c>
      <c r="G223">
        <v>105145106</v>
      </c>
      <c r="H223">
        <v>105145072</v>
      </c>
      <c r="I223">
        <v>105145106</v>
      </c>
    </row>
    <row r="224" spans="1:9" x14ac:dyDescent="0.2">
      <c r="A224" t="str">
        <f>"1700080O16Rik"</f>
        <v>1700080O16Rik</v>
      </c>
      <c r="B224" t="s">
        <v>14</v>
      </c>
      <c r="C224" t="s">
        <v>37</v>
      </c>
      <c r="D224" t="s">
        <v>11</v>
      </c>
      <c r="E224" t="s">
        <v>12</v>
      </c>
      <c r="F224">
        <v>51972771</v>
      </c>
      <c r="G224">
        <v>51972798</v>
      </c>
      <c r="H224">
        <v>51972771</v>
      </c>
      <c r="I224">
        <v>51972798</v>
      </c>
    </row>
    <row r="225" spans="1:9" x14ac:dyDescent="0.2">
      <c r="A225" t="str">
        <f>"1700084C01Rik"</f>
        <v>1700084C01Rik</v>
      </c>
      <c r="B225" t="s">
        <v>14</v>
      </c>
      <c r="C225" t="s">
        <v>19</v>
      </c>
      <c r="D225" t="s">
        <v>17</v>
      </c>
      <c r="E225" t="s">
        <v>12</v>
      </c>
      <c r="F225">
        <v>169928956</v>
      </c>
      <c r="G225">
        <v>169928975</v>
      </c>
      <c r="H225">
        <v>169928956</v>
      </c>
      <c r="I225">
        <v>169928975</v>
      </c>
    </row>
    <row r="226" spans="1:9" x14ac:dyDescent="0.2">
      <c r="A226" t="str">
        <f>"1700084J12Rik"</f>
        <v>1700084J12Rik</v>
      </c>
      <c r="B226" t="s">
        <v>14</v>
      </c>
      <c r="C226" t="s">
        <v>25</v>
      </c>
      <c r="D226" t="s">
        <v>11</v>
      </c>
      <c r="E226" t="s">
        <v>67</v>
      </c>
      <c r="F226">
        <v>33405949</v>
      </c>
      <c r="G226">
        <v>33405976</v>
      </c>
      <c r="H226">
        <v>33405949</v>
      </c>
      <c r="I226">
        <v>33405976</v>
      </c>
    </row>
    <row r="227" spans="1:9" x14ac:dyDescent="0.2">
      <c r="A227" t="str">
        <f>"1700084M14Rik"</f>
        <v>1700084M14Rik</v>
      </c>
      <c r="B227" t="s">
        <v>14</v>
      </c>
      <c r="C227" t="s">
        <v>37</v>
      </c>
      <c r="D227" t="s">
        <v>11</v>
      </c>
      <c r="E227" t="s">
        <v>67</v>
      </c>
      <c r="F227">
        <v>91575892</v>
      </c>
      <c r="G227">
        <v>91575916</v>
      </c>
      <c r="H227">
        <v>91575892</v>
      </c>
      <c r="I227">
        <v>91575916</v>
      </c>
    </row>
    <row r="228" spans="1:9" x14ac:dyDescent="0.2">
      <c r="A228" t="str">
        <f>"1700086D15Rik"</f>
        <v>1700086D15Rik</v>
      </c>
      <c r="B228" t="s">
        <v>1968</v>
      </c>
      <c r="C228" t="s">
        <v>27</v>
      </c>
      <c r="D228" t="s">
        <v>11</v>
      </c>
      <c r="E228" t="s">
        <v>20</v>
      </c>
      <c r="F228">
        <v>65159889</v>
      </c>
      <c r="G228">
        <v>65159889</v>
      </c>
      <c r="H228">
        <v>65159889</v>
      </c>
      <c r="I228">
        <v>65159889</v>
      </c>
    </row>
    <row r="229" spans="1:9" x14ac:dyDescent="0.2">
      <c r="A229" t="str">
        <f>"1700086L19Rik"</f>
        <v>1700086L19Rik</v>
      </c>
      <c r="B229" t="s">
        <v>14</v>
      </c>
      <c r="C229" t="s">
        <v>16</v>
      </c>
      <c r="D229" t="s">
        <v>17</v>
      </c>
      <c r="E229" t="s">
        <v>12</v>
      </c>
      <c r="F229">
        <v>74284271</v>
      </c>
      <c r="G229">
        <v>74284310</v>
      </c>
      <c r="H229">
        <v>74284318</v>
      </c>
      <c r="I229">
        <v>74284330</v>
      </c>
    </row>
    <row r="230" spans="1:9" x14ac:dyDescent="0.2">
      <c r="A230" t="str">
        <f>"1700088E04Rik"</f>
        <v>1700088E04Rik</v>
      </c>
      <c r="B230" t="s">
        <v>14</v>
      </c>
      <c r="C230" t="s">
        <v>25</v>
      </c>
      <c r="D230" t="s">
        <v>11</v>
      </c>
      <c r="E230" t="s">
        <v>12</v>
      </c>
      <c r="F230">
        <v>79141197</v>
      </c>
      <c r="G230">
        <v>79141268</v>
      </c>
      <c r="H230">
        <v>79141197</v>
      </c>
      <c r="I230">
        <v>79141268</v>
      </c>
    </row>
    <row r="231" spans="1:9" x14ac:dyDescent="0.2">
      <c r="A231" t="str">
        <f>"1700092M07Rik"</f>
        <v>1700092M07Rik</v>
      </c>
      <c r="B231" t="s">
        <v>14</v>
      </c>
      <c r="C231" t="s">
        <v>10</v>
      </c>
      <c r="D231" t="s">
        <v>17</v>
      </c>
      <c r="E231" t="s">
        <v>12</v>
      </c>
      <c r="F231">
        <v>8740739</v>
      </c>
      <c r="G231">
        <v>8740767</v>
      </c>
      <c r="H231">
        <v>8740712</v>
      </c>
      <c r="I231">
        <v>8740723</v>
      </c>
    </row>
    <row r="232" spans="1:9" x14ac:dyDescent="0.2">
      <c r="A232" t="str">
        <f>"1700093K21Rik"</f>
        <v>1700093K21Rik</v>
      </c>
      <c r="B232" t="s">
        <v>14</v>
      </c>
      <c r="C232" t="s">
        <v>27</v>
      </c>
      <c r="D232" t="s">
        <v>11</v>
      </c>
      <c r="E232" t="s">
        <v>12</v>
      </c>
      <c r="F232">
        <v>23519181</v>
      </c>
      <c r="G232">
        <v>23519233</v>
      </c>
      <c r="H232">
        <v>23519181</v>
      </c>
      <c r="I232">
        <v>23519233</v>
      </c>
    </row>
    <row r="233" spans="1:9" x14ac:dyDescent="0.2">
      <c r="A233" t="str">
        <f>"1700094D03Rik"</f>
        <v>1700094D03Rik</v>
      </c>
      <c r="B233" t="s">
        <v>14</v>
      </c>
      <c r="C233" t="s">
        <v>22</v>
      </c>
      <c r="D233" t="s">
        <v>17</v>
      </c>
      <c r="E233" t="s">
        <v>12</v>
      </c>
      <c r="F233">
        <v>90062781</v>
      </c>
      <c r="G233">
        <v>90062836</v>
      </c>
      <c r="H233">
        <v>90062781</v>
      </c>
      <c r="I233">
        <v>90062836</v>
      </c>
    </row>
    <row r="234" spans="1:9" x14ac:dyDescent="0.2">
      <c r="A234" t="str">
        <f>"1700101E01Rik"</f>
        <v>1700101E01Rik</v>
      </c>
      <c r="B234" t="s">
        <v>14</v>
      </c>
      <c r="C234" t="s">
        <v>26</v>
      </c>
      <c r="D234" t="s">
        <v>11</v>
      </c>
      <c r="E234" t="s">
        <v>12</v>
      </c>
      <c r="F234">
        <v>29055051</v>
      </c>
      <c r="G234">
        <v>29055079</v>
      </c>
      <c r="H234">
        <v>29055217</v>
      </c>
      <c r="I234">
        <v>29055258</v>
      </c>
    </row>
    <row r="235" spans="1:9" x14ac:dyDescent="0.2">
      <c r="A235" t="str">
        <f>"1700101G07Rik"</f>
        <v>1700101G07Rik</v>
      </c>
      <c r="B235" t="s">
        <v>1969</v>
      </c>
      <c r="C235" t="s">
        <v>26</v>
      </c>
      <c r="D235" t="s">
        <v>17</v>
      </c>
      <c r="E235" t="s">
        <v>20</v>
      </c>
      <c r="F235">
        <v>169582080</v>
      </c>
      <c r="G235">
        <v>169582080</v>
      </c>
      <c r="H235">
        <v>169582080</v>
      </c>
      <c r="I235">
        <v>169582080</v>
      </c>
    </row>
    <row r="236" spans="1:9" x14ac:dyDescent="0.2">
      <c r="A236" t="str">
        <f>"1700101I19Rik"</f>
        <v>1700101I19Rik</v>
      </c>
      <c r="B236" t="s">
        <v>14</v>
      </c>
      <c r="C236" t="s">
        <v>19</v>
      </c>
      <c r="D236" t="s">
        <v>11</v>
      </c>
      <c r="E236" t="s">
        <v>67</v>
      </c>
      <c r="F236">
        <v>34579619</v>
      </c>
      <c r="G236">
        <v>34579631</v>
      </c>
      <c r="H236">
        <v>34579678</v>
      </c>
      <c r="I236">
        <v>34579680</v>
      </c>
    </row>
    <row r="237" spans="1:9" x14ac:dyDescent="0.2">
      <c r="A237" t="str">
        <f>"1700102P08Rik"</f>
        <v>1700102P08Rik</v>
      </c>
      <c r="B237" t="s">
        <v>14</v>
      </c>
      <c r="C237" t="s">
        <v>24</v>
      </c>
      <c r="D237" t="s">
        <v>17</v>
      </c>
      <c r="E237" t="s">
        <v>12</v>
      </c>
      <c r="F237">
        <v>108392820</v>
      </c>
      <c r="G237">
        <v>108392843</v>
      </c>
      <c r="H237">
        <v>108392820</v>
      </c>
      <c r="I237">
        <v>108392843</v>
      </c>
    </row>
    <row r="238" spans="1:9" x14ac:dyDescent="0.2">
      <c r="A238" t="str">
        <f>"1700104B16Rik"</f>
        <v>1700104B16Rik</v>
      </c>
      <c r="B238" t="s">
        <v>14</v>
      </c>
      <c r="C238" t="s">
        <v>30</v>
      </c>
      <c r="D238" t="s">
        <v>11</v>
      </c>
      <c r="E238" t="s">
        <v>12</v>
      </c>
      <c r="F238">
        <v>33731793</v>
      </c>
      <c r="G238">
        <v>33731823</v>
      </c>
      <c r="H238">
        <v>33731793</v>
      </c>
      <c r="I238">
        <v>33731823</v>
      </c>
    </row>
    <row r="239" spans="1:9" x14ac:dyDescent="0.2">
      <c r="A239" t="str">
        <f>"1700106J16Rik"</f>
        <v>1700106J16Rik</v>
      </c>
      <c r="B239" t="s">
        <v>14</v>
      </c>
      <c r="C239" t="s">
        <v>27</v>
      </c>
      <c r="D239" t="s">
        <v>17</v>
      </c>
      <c r="E239" t="s">
        <v>12</v>
      </c>
      <c r="F239">
        <v>88294046</v>
      </c>
      <c r="G239">
        <v>88294073</v>
      </c>
      <c r="H239">
        <v>88294030</v>
      </c>
      <c r="I239">
        <v>88294036</v>
      </c>
    </row>
    <row r="240" spans="1:9" x14ac:dyDescent="0.2">
      <c r="A240" t="str">
        <f>"1700109H08Rik"</f>
        <v>1700109H08Rik</v>
      </c>
      <c r="B240" t="s">
        <v>14</v>
      </c>
      <c r="C240" t="s">
        <v>46</v>
      </c>
      <c r="D240" t="s">
        <v>17</v>
      </c>
      <c r="E240" t="s">
        <v>12</v>
      </c>
      <c r="F240">
        <v>3571676</v>
      </c>
      <c r="G240">
        <v>3571692</v>
      </c>
      <c r="H240">
        <v>3571590</v>
      </c>
      <c r="I240">
        <v>3571610</v>
      </c>
    </row>
    <row r="241" spans="1:9" x14ac:dyDescent="0.2">
      <c r="A241" t="str">
        <f>"1700110I01Rik"</f>
        <v>1700110I01Rik</v>
      </c>
      <c r="B241" t="s">
        <v>1970</v>
      </c>
      <c r="C241" t="s">
        <v>41</v>
      </c>
      <c r="D241" t="s">
        <v>17</v>
      </c>
      <c r="E241" t="s">
        <v>20</v>
      </c>
      <c r="F241">
        <v>3270680</v>
      </c>
      <c r="G241">
        <v>3270680</v>
      </c>
      <c r="H241">
        <v>3270680</v>
      </c>
      <c r="I241">
        <v>3270680</v>
      </c>
    </row>
    <row r="242" spans="1:9" x14ac:dyDescent="0.2">
      <c r="A242" t="str">
        <f>"1700110M21Rik"</f>
        <v>1700110M21Rik</v>
      </c>
      <c r="B242" t="s">
        <v>14</v>
      </c>
      <c r="C242" t="s">
        <v>41</v>
      </c>
      <c r="D242" t="s">
        <v>11</v>
      </c>
      <c r="E242" t="s">
        <v>12</v>
      </c>
      <c r="F242">
        <v>101200349</v>
      </c>
      <c r="G242">
        <v>101200418</v>
      </c>
      <c r="H242">
        <v>101200349</v>
      </c>
      <c r="I242">
        <v>101200418</v>
      </c>
    </row>
    <row r="243" spans="1:9" x14ac:dyDescent="0.2">
      <c r="A243" t="str">
        <f>"1700111E14Rik"</f>
        <v>1700111E14Rik</v>
      </c>
      <c r="B243" t="s">
        <v>1971</v>
      </c>
      <c r="C243" t="s">
        <v>32</v>
      </c>
      <c r="D243" t="s">
        <v>17</v>
      </c>
      <c r="E243" t="s">
        <v>20</v>
      </c>
      <c r="F243">
        <v>36937047</v>
      </c>
      <c r="G243">
        <v>36937047</v>
      </c>
      <c r="H243">
        <v>36937047</v>
      </c>
      <c r="I243">
        <v>36937047</v>
      </c>
    </row>
    <row r="244" spans="1:9" x14ac:dyDescent="0.2">
      <c r="A244" t="str">
        <f>"1700112E06Rik"</f>
        <v>1700112E06Rik</v>
      </c>
      <c r="B244" t="s">
        <v>14</v>
      </c>
      <c r="C244" t="s">
        <v>41</v>
      </c>
      <c r="D244" t="s">
        <v>17</v>
      </c>
      <c r="E244" t="s">
        <v>12</v>
      </c>
      <c r="F244">
        <v>22019833</v>
      </c>
      <c r="G244">
        <v>22019856</v>
      </c>
      <c r="H244">
        <v>22019809</v>
      </c>
      <c r="I244">
        <v>22019832</v>
      </c>
    </row>
    <row r="245" spans="1:9" x14ac:dyDescent="0.2">
      <c r="A245" t="str">
        <f>"1700113H08Rik"</f>
        <v>1700113H08Rik</v>
      </c>
      <c r="B245" t="s">
        <v>1972</v>
      </c>
      <c r="C245" t="s">
        <v>15</v>
      </c>
      <c r="D245" t="s">
        <v>17</v>
      </c>
      <c r="E245" t="s">
        <v>35</v>
      </c>
      <c r="F245">
        <v>87058043</v>
      </c>
      <c r="G245">
        <v>87058067</v>
      </c>
      <c r="H245">
        <v>87058102</v>
      </c>
      <c r="I245">
        <v>87058104</v>
      </c>
    </row>
    <row r="246" spans="1:9" x14ac:dyDescent="0.2">
      <c r="A246" t="str">
        <f>"1700119I11Rik"</f>
        <v>1700119I11Rik</v>
      </c>
      <c r="B246" t="s">
        <v>14</v>
      </c>
      <c r="C246" t="s">
        <v>39</v>
      </c>
      <c r="D246" t="s">
        <v>17</v>
      </c>
      <c r="E246" t="s">
        <v>67</v>
      </c>
      <c r="F246">
        <v>91861430</v>
      </c>
      <c r="G246">
        <v>91861443</v>
      </c>
      <c r="H246">
        <v>91861464</v>
      </c>
      <c r="I246">
        <v>91861477</v>
      </c>
    </row>
    <row r="247" spans="1:9" x14ac:dyDescent="0.2">
      <c r="A247" t="str">
        <f>"1700120B22Rik"</f>
        <v>1700120B22Rik</v>
      </c>
      <c r="B247" t="s">
        <v>14</v>
      </c>
      <c r="C247" t="s">
        <v>15</v>
      </c>
      <c r="D247" t="s">
        <v>11</v>
      </c>
      <c r="E247" t="s">
        <v>12</v>
      </c>
      <c r="F247">
        <v>63244135</v>
      </c>
      <c r="G247">
        <v>63244170</v>
      </c>
      <c r="H247">
        <v>63244197</v>
      </c>
      <c r="I247">
        <v>63244198</v>
      </c>
    </row>
    <row r="248" spans="1:9" x14ac:dyDescent="0.2">
      <c r="A248" t="str">
        <f>"1700122O11Rik"</f>
        <v>1700122O11Rik</v>
      </c>
      <c r="B248" t="s">
        <v>14</v>
      </c>
      <c r="C248" t="s">
        <v>28</v>
      </c>
      <c r="D248" t="s">
        <v>11</v>
      </c>
      <c r="E248" t="s">
        <v>12</v>
      </c>
      <c r="F248">
        <v>48038286</v>
      </c>
      <c r="G248">
        <v>48038306</v>
      </c>
      <c r="H248">
        <v>48038286</v>
      </c>
      <c r="I248">
        <v>48038306</v>
      </c>
    </row>
    <row r="249" spans="1:9" x14ac:dyDescent="0.2">
      <c r="A249" t="str">
        <f>"1700123I01Rik"</f>
        <v>1700123I01Rik</v>
      </c>
      <c r="B249" t="s">
        <v>14</v>
      </c>
      <c r="C249" t="s">
        <v>10</v>
      </c>
      <c r="D249" t="s">
        <v>17</v>
      </c>
      <c r="E249" t="s">
        <v>12</v>
      </c>
      <c r="F249">
        <v>6184363</v>
      </c>
      <c r="G249">
        <v>6184375</v>
      </c>
      <c r="H249">
        <v>6184339</v>
      </c>
      <c r="I249">
        <v>6184352</v>
      </c>
    </row>
    <row r="250" spans="1:9" x14ac:dyDescent="0.2">
      <c r="A250" t="str">
        <f>"1700123K08Rik"</f>
        <v>1700123K08Rik</v>
      </c>
      <c r="B250" t="s">
        <v>14</v>
      </c>
      <c r="C250" t="s">
        <v>46</v>
      </c>
      <c r="D250" t="s">
        <v>11</v>
      </c>
      <c r="E250" t="s">
        <v>12</v>
      </c>
      <c r="F250">
        <v>138564671</v>
      </c>
      <c r="G250">
        <v>138564707</v>
      </c>
      <c r="H250">
        <v>138564671</v>
      </c>
      <c r="I250">
        <v>138564707</v>
      </c>
    </row>
    <row r="251" spans="1:9" x14ac:dyDescent="0.2">
      <c r="A251" t="str">
        <f>"1700123L14Rik"</f>
        <v>1700123L14Rik</v>
      </c>
      <c r="B251" t="s">
        <v>14</v>
      </c>
      <c r="C251" t="s">
        <v>32</v>
      </c>
      <c r="D251" t="s">
        <v>11</v>
      </c>
      <c r="E251" t="s">
        <v>12</v>
      </c>
      <c r="F251">
        <v>96166211</v>
      </c>
      <c r="G251">
        <v>96166258</v>
      </c>
      <c r="H251">
        <v>96166195</v>
      </c>
      <c r="I251">
        <v>96166208</v>
      </c>
    </row>
    <row r="252" spans="1:9" x14ac:dyDescent="0.2">
      <c r="A252" t="str">
        <f>"1700123O20Rik"</f>
        <v>1700123O20Rik</v>
      </c>
      <c r="B252" t="s">
        <v>14</v>
      </c>
      <c r="C252" t="s">
        <v>41</v>
      </c>
      <c r="D252" t="s">
        <v>17</v>
      </c>
      <c r="E252" t="s">
        <v>12</v>
      </c>
      <c r="F252">
        <v>54686242</v>
      </c>
      <c r="G252">
        <v>54686261</v>
      </c>
      <c r="H252">
        <v>54686201</v>
      </c>
      <c r="I252">
        <v>54686230</v>
      </c>
    </row>
    <row r="253" spans="1:9" x14ac:dyDescent="0.2">
      <c r="A253" t="str">
        <f>"1700125H20Rik"</f>
        <v>1700125H20Rik</v>
      </c>
      <c r="B253" t="s">
        <v>14</v>
      </c>
      <c r="C253" t="s">
        <v>27</v>
      </c>
      <c r="D253" t="s">
        <v>17</v>
      </c>
      <c r="E253" t="s">
        <v>12</v>
      </c>
      <c r="F253">
        <v>85171074</v>
      </c>
      <c r="G253">
        <v>85171086</v>
      </c>
      <c r="H253">
        <v>85171097</v>
      </c>
      <c r="I253">
        <v>85171104</v>
      </c>
    </row>
    <row r="254" spans="1:9" x14ac:dyDescent="0.2">
      <c r="A254" t="str">
        <f>"1700128F08Rik"</f>
        <v>1700128F08Rik</v>
      </c>
      <c r="B254" t="s">
        <v>14</v>
      </c>
      <c r="C254" t="s">
        <v>24</v>
      </c>
      <c r="D254" t="s">
        <v>17</v>
      </c>
      <c r="E254" t="s">
        <v>12</v>
      </c>
      <c r="F254">
        <v>8221857</v>
      </c>
      <c r="G254">
        <v>8221871</v>
      </c>
      <c r="H254">
        <v>8221890</v>
      </c>
      <c r="I254">
        <v>8221899</v>
      </c>
    </row>
    <row r="255" spans="1:9" x14ac:dyDescent="0.2">
      <c r="A255" t="str">
        <f>"1700129C05Rik"</f>
        <v>1700129C05Rik</v>
      </c>
      <c r="B255" t="s">
        <v>14</v>
      </c>
      <c r="C255" t="s">
        <v>41</v>
      </c>
      <c r="D255" t="s">
        <v>11</v>
      </c>
      <c r="E255" t="s">
        <v>12</v>
      </c>
      <c r="F255">
        <v>59142886</v>
      </c>
      <c r="G255">
        <v>59142898</v>
      </c>
      <c r="H255">
        <v>59142886</v>
      </c>
      <c r="I255">
        <v>59142898</v>
      </c>
    </row>
    <row r="256" spans="1:9" x14ac:dyDescent="0.2">
      <c r="A256" t="str">
        <f>"1810009A15Rik"</f>
        <v>1810009A15Rik</v>
      </c>
      <c r="B256" t="s">
        <v>14</v>
      </c>
      <c r="C256" t="s">
        <v>10</v>
      </c>
      <c r="D256" t="s">
        <v>17</v>
      </c>
      <c r="E256" t="s">
        <v>12</v>
      </c>
      <c r="F256">
        <v>8888880</v>
      </c>
      <c r="G256">
        <v>8888925</v>
      </c>
      <c r="H256">
        <v>8888860</v>
      </c>
      <c r="I256">
        <v>8888861</v>
      </c>
    </row>
    <row r="257" spans="1:9" x14ac:dyDescent="0.2">
      <c r="A257" t="str">
        <f>"1810009J06Rik"</f>
        <v>1810009J06Rik</v>
      </c>
      <c r="B257" t="s">
        <v>14</v>
      </c>
      <c r="C257" t="s">
        <v>32</v>
      </c>
      <c r="D257" t="s">
        <v>17</v>
      </c>
      <c r="E257" t="s">
        <v>12</v>
      </c>
      <c r="F257">
        <v>40964760</v>
      </c>
      <c r="G257">
        <v>40964781</v>
      </c>
      <c r="H257">
        <v>40964760</v>
      </c>
      <c r="I257">
        <v>40964781</v>
      </c>
    </row>
    <row r="258" spans="1:9" x14ac:dyDescent="0.2">
      <c r="A258" t="str">
        <f>"1810011H11Rik"</f>
        <v>1810011H11Rik</v>
      </c>
      <c r="B258" t="s">
        <v>14</v>
      </c>
      <c r="C258" t="s">
        <v>41</v>
      </c>
      <c r="D258" t="s">
        <v>17</v>
      </c>
      <c r="E258" t="s">
        <v>12</v>
      </c>
      <c r="F258">
        <v>32786004</v>
      </c>
      <c r="G258">
        <v>32786023</v>
      </c>
      <c r="H258">
        <v>32786004</v>
      </c>
      <c r="I258">
        <v>32786023</v>
      </c>
    </row>
    <row r="259" spans="1:9" x14ac:dyDescent="0.2">
      <c r="A259" t="str">
        <f>"1810011O10Rik"</f>
        <v>1810011O10Rik</v>
      </c>
      <c r="B259" t="s">
        <v>14</v>
      </c>
      <c r="C259" t="s">
        <v>30</v>
      </c>
      <c r="D259" t="s">
        <v>11</v>
      </c>
      <c r="E259" t="s">
        <v>12</v>
      </c>
      <c r="F259">
        <v>24438937</v>
      </c>
      <c r="G259">
        <v>24438952</v>
      </c>
      <c r="H259">
        <v>24438937</v>
      </c>
      <c r="I259">
        <v>24438952</v>
      </c>
    </row>
    <row r="260" spans="1:9" x14ac:dyDescent="0.2">
      <c r="A260" t="str">
        <f>"1810013L24Rik"</f>
        <v>1810013L24Rik</v>
      </c>
      <c r="B260" t="s">
        <v>14</v>
      </c>
      <c r="C260" t="s">
        <v>31</v>
      </c>
      <c r="D260" t="s">
        <v>17</v>
      </c>
      <c r="E260" t="s">
        <v>12</v>
      </c>
      <c r="F260">
        <v>8830115</v>
      </c>
      <c r="G260">
        <v>8830142</v>
      </c>
      <c r="H260">
        <v>8830093</v>
      </c>
      <c r="I260">
        <v>8830104</v>
      </c>
    </row>
    <row r="261" spans="1:9" x14ac:dyDescent="0.2">
      <c r="A261" t="str">
        <f>"1810019J16Rik"</f>
        <v>1810019J16Rik</v>
      </c>
      <c r="B261" t="s">
        <v>14</v>
      </c>
      <c r="C261" t="s">
        <v>23</v>
      </c>
      <c r="D261" t="s">
        <v>17</v>
      </c>
      <c r="E261" t="s">
        <v>12</v>
      </c>
      <c r="F261">
        <v>133518981</v>
      </c>
      <c r="G261">
        <v>133519010</v>
      </c>
      <c r="H261">
        <v>133519067</v>
      </c>
      <c r="I261">
        <v>133519088</v>
      </c>
    </row>
    <row r="262" spans="1:9" x14ac:dyDescent="0.2">
      <c r="A262" t="str">
        <f>"1810022K09Rik"</f>
        <v>1810022K09Rik</v>
      </c>
      <c r="B262" t="s">
        <v>14</v>
      </c>
      <c r="C262" t="s">
        <v>22</v>
      </c>
      <c r="D262" t="s">
        <v>11</v>
      </c>
      <c r="E262" t="s">
        <v>12</v>
      </c>
      <c r="F262">
        <v>14611250</v>
      </c>
      <c r="G262">
        <v>14611275</v>
      </c>
      <c r="H262">
        <v>14611250</v>
      </c>
      <c r="I262">
        <v>14611275</v>
      </c>
    </row>
    <row r="263" spans="1:9" x14ac:dyDescent="0.2">
      <c r="A263" t="str">
        <f>"1810024B03Rik"</f>
        <v>1810024B03Rik</v>
      </c>
      <c r="B263" t="s">
        <v>14</v>
      </c>
      <c r="C263" t="s">
        <v>26</v>
      </c>
      <c r="D263" t="s">
        <v>11</v>
      </c>
      <c r="E263" t="s">
        <v>12</v>
      </c>
      <c r="F263">
        <v>127208244</v>
      </c>
      <c r="G263">
        <v>127208273</v>
      </c>
      <c r="H263">
        <v>127208274</v>
      </c>
      <c r="I263">
        <v>127208289</v>
      </c>
    </row>
    <row r="264" spans="1:9" x14ac:dyDescent="0.2">
      <c r="A264" t="str">
        <f>"1810026J23Rik"</f>
        <v>1810026J23Rik</v>
      </c>
      <c r="B264" t="s">
        <v>14</v>
      </c>
      <c r="C264" t="s">
        <v>24</v>
      </c>
      <c r="D264" t="s">
        <v>17</v>
      </c>
      <c r="E264" t="s">
        <v>12</v>
      </c>
      <c r="F264">
        <v>21592905</v>
      </c>
      <c r="G264">
        <v>21592963</v>
      </c>
      <c r="H264">
        <v>21592905</v>
      </c>
      <c r="I264">
        <v>21592963</v>
      </c>
    </row>
    <row r="265" spans="1:9" x14ac:dyDescent="0.2">
      <c r="A265" t="str">
        <f>"1810030O07Rik"</f>
        <v>1810030O07Rik</v>
      </c>
      <c r="B265" t="s">
        <v>14</v>
      </c>
      <c r="C265" t="s">
        <v>37</v>
      </c>
      <c r="D265" t="s">
        <v>11</v>
      </c>
      <c r="E265" t="s">
        <v>12</v>
      </c>
      <c r="F265">
        <v>12673540</v>
      </c>
      <c r="G265">
        <v>12673583</v>
      </c>
      <c r="H265">
        <v>12673587</v>
      </c>
      <c r="I265">
        <v>12673598</v>
      </c>
    </row>
    <row r="266" spans="1:9" x14ac:dyDescent="0.2">
      <c r="A266" t="str">
        <f>"1810032O08Rik"</f>
        <v>1810032O08Rik</v>
      </c>
      <c r="B266" t="s">
        <v>14</v>
      </c>
      <c r="C266" t="s">
        <v>27</v>
      </c>
      <c r="D266" t="s">
        <v>17</v>
      </c>
      <c r="E266" t="s">
        <v>12</v>
      </c>
      <c r="F266">
        <v>116671658</v>
      </c>
      <c r="G266">
        <v>116671694</v>
      </c>
      <c r="H266">
        <v>116671658</v>
      </c>
      <c r="I266">
        <v>116671694</v>
      </c>
    </row>
    <row r="267" spans="1:9" x14ac:dyDescent="0.2">
      <c r="A267" t="str">
        <f>"1810033B17Rik"</f>
        <v>1810033B17Rik</v>
      </c>
      <c r="B267" t="s">
        <v>14</v>
      </c>
      <c r="C267" t="s">
        <v>30</v>
      </c>
      <c r="D267" t="s">
        <v>17</v>
      </c>
      <c r="E267" t="s">
        <v>12</v>
      </c>
      <c r="F267">
        <v>3665747</v>
      </c>
      <c r="G267">
        <v>3665763</v>
      </c>
      <c r="H267">
        <v>3665773</v>
      </c>
      <c r="I267">
        <v>3665784</v>
      </c>
    </row>
    <row r="268" spans="1:9" x14ac:dyDescent="0.2">
      <c r="A268" t="str">
        <f>"1810037I17Rik"</f>
        <v>1810037I17Rik</v>
      </c>
      <c r="B268" t="s">
        <v>14</v>
      </c>
      <c r="C268" t="s">
        <v>22</v>
      </c>
      <c r="D268" t="s">
        <v>17</v>
      </c>
      <c r="E268" t="s">
        <v>12</v>
      </c>
      <c r="F268">
        <v>122924353</v>
      </c>
      <c r="G268">
        <v>122924402</v>
      </c>
      <c r="H268">
        <v>122924420</v>
      </c>
      <c r="I268">
        <v>122924459</v>
      </c>
    </row>
    <row r="269" spans="1:9" x14ac:dyDescent="0.2">
      <c r="A269" t="str">
        <f>"1810041L15Rik"</f>
        <v>1810041L15Rik</v>
      </c>
      <c r="B269" t="s">
        <v>14</v>
      </c>
      <c r="C269" t="s">
        <v>25</v>
      </c>
      <c r="D269" t="s">
        <v>11</v>
      </c>
      <c r="E269" t="s">
        <v>12</v>
      </c>
      <c r="F269">
        <v>84446537</v>
      </c>
      <c r="G269">
        <v>84446581</v>
      </c>
      <c r="H269">
        <v>84446599</v>
      </c>
      <c r="I269">
        <v>84446628</v>
      </c>
    </row>
    <row r="270" spans="1:9" x14ac:dyDescent="0.2">
      <c r="A270" t="str">
        <f>"1810043G02Rik"</f>
        <v>1810043G02Rik</v>
      </c>
      <c r="B270" t="s">
        <v>14</v>
      </c>
      <c r="C270" t="s">
        <v>15</v>
      </c>
      <c r="D270" t="s">
        <v>17</v>
      </c>
      <c r="E270" t="s">
        <v>12</v>
      </c>
      <c r="F270">
        <v>77978620</v>
      </c>
      <c r="G270">
        <v>77978671</v>
      </c>
      <c r="H270">
        <v>77978611</v>
      </c>
      <c r="I270">
        <v>77978616</v>
      </c>
    </row>
    <row r="271" spans="1:9" x14ac:dyDescent="0.2">
      <c r="A271" t="str">
        <f>"1810043H04Rik"</f>
        <v>1810043H04Rik</v>
      </c>
      <c r="B271" t="s">
        <v>14</v>
      </c>
      <c r="C271" t="s">
        <v>27</v>
      </c>
      <c r="D271" t="s">
        <v>17</v>
      </c>
      <c r="E271" t="s">
        <v>12</v>
      </c>
      <c r="F271">
        <v>120098910</v>
      </c>
      <c r="G271">
        <v>120098983</v>
      </c>
      <c r="H271">
        <v>120098910</v>
      </c>
      <c r="I271">
        <v>120098983</v>
      </c>
    </row>
    <row r="272" spans="1:9" x14ac:dyDescent="0.2">
      <c r="A272" t="str">
        <f>"1810046K07Rik"</f>
        <v>1810046K07Rik</v>
      </c>
      <c r="B272" t="s">
        <v>14</v>
      </c>
      <c r="C272" t="s">
        <v>24</v>
      </c>
      <c r="D272" t="s">
        <v>11</v>
      </c>
      <c r="E272" t="s">
        <v>12</v>
      </c>
      <c r="F272">
        <v>51328898</v>
      </c>
      <c r="G272">
        <v>51328923</v>
      </c>
      <c r="H272">
        <v>51328898</v>
      </c>
      <c r="I272">
        <v>51328923</v>
      </c>
    </row>
    <row r="273" spans="1:9" x14ac:dyDescent="0.2">
      <c r="A273" t="str">
        <f>"1810049J17Rik"</f>
        <v>1810049J17Rik</v>
      </c>
      <c r="B273" t="s">
        <v>1973</v>
      </c>
      <c r="C273" t="s">
        <v>25</v>
      </c>
      <c r="D273" t="s">
        <v>11</v>
      </c>
      <c r="E273" t="s">
        <v>20</v>
      </c>
      <c r="F273">
        <v>12321898</v>
      </c>
      <c r="G273">
        <v>12321898</v>
      </c>
      <c r="H273">
        <v>12321898</v>
      </c>
      <c r="I273">
        <v>12321898</v>
      </c>
    </row>
    <row r="274" spans="1:9" x14ac:dyDescent="0.2">
      <c r="A274" t="str">
        <f>"1810055G02Rik"</f>
        <v>1810055G02Rik</v>
      </c>
      <c r="B274" t="s">
        <v>14</v>
      </c>
      <c r="C274" t="s">
        <v>10</v>
      </c>
      <c r="D274" t="s">
        <v>17</v>
      </c>
      <c r="E274" t="s">
        <v>12</v>
      </c>
      <c r="F274">
        <v>3708287</v>
      </c>
      <c r="G274">
        <v>3708395</v>
      </c>
      <c r="H274">
        <v>3708287</v>
      </c>
      <c r="I274">
        <v>3708395</v>
      </c>
    </row>
    <row r="275" spans="1:9" x14ac:dyDescent="0.2">
      <c r="A275" t="str">
        <f>"1810062G17Rik"</f>
        <v>1810062G17Rik</v>
      </c>
      <c r="B275" t="s">
        <v>14</v>
      </c>
      <c r="C275" t="s">
        <v>22</v>
      </c>
      <c r="D275" t="s">
        <v>17</v>
      </c>
      <c r="E275" t="s">
        <v>12</v>
      </c>
      <c r="F275">
        <v>36475932</v>
      </c>
      <c r="G275">
        <v>36475959</v>
      </c>
      <c r="H275">
        <v>36475986</v>
      </c>
      <c r="I275">
        <v>36476021</v>
      </c>
    </row>
    <row r="276" spans="1:9" x14ac:dyDescent="0.2">
      <c r="A276" t="str">
        <f>"1810064F22Rik"</f>
        <v>1810064F22Rik</v>
      </c>
      <c r="B276" t="s">
        <v>14</v>
      </c>
      <c r="C276" t="s">
        <v>24</v>
      </c>
      <c r="D276" t="s">
        <v>11</v>
      </c>
      <c r="E276" t="s">
        <v>12</v>
      </c>
      <c r="F276">
        <v>22213850</v>
      </c>
      <c r="G276">
        <v>22213866</v>
      </c>
      <c r="H276">
        <v>22213850</v>
      </c>
      <c r="I276">
        <v>22213866</v>
      </c>
    </row>
    <row r="277" spans="1:9" x14ac:dyDescent="0.2">
      <c r="A277" t="str">
        <f>"1810065E05Rik"</f>
        <v>1810065E05Rik</v>
      </c>
      <c r="B277" t="s">
        <v>14</v>
      </c>
      <c r="C277" t="s">
        <v>27</v>
      </c>
      <c r="D277" t="s">
        <v>17</v>
      </c>
      <c r="E277" t="s">
        <v>12</v>
      </c>
      <c r="F277">
        <v>58421103</v>
      </c>
      <c r="G277">
        <v>58421118</v>
      </c>
      <c r="H277">
        <v>58421103</v>
      </c>
      <c r="I277">
        <v>58421118</v>
      </c>
    </row>
    <row r="278" spans="1:9" x14ac:dyDescent="0.2">
      <c r="A278" t="str">
        <f>"2010001E11Rik"</f>
        <v>2010001E11Rik</v>
      </c>
      <c r="B278" t="s">
        <v>14</v>
      </c>
      <c r="C278" t="s">
        <v>15</v>
      </c>
      <c r="D278" t="s">
        <v>11</v>
      </c>
      <c r="E278" t="s">
        <v>12</v>
      </c>
      <c r="F278">
        <v>39926928</v>
      </c>
      <c r="G278">
        <v>39926944</v>
      </c>
      <c r="H278">
        <v>39926875</v>
      </c>
      <c r="I278">
        <v>39926876</v>
      </c>
    </row>
    <row r="279" spans="1:9" x14ac:dyDescent="0.2">
      <c r="A279" t="str">
        <f>"2010002M12Rik"</f>
        <v>2010002M12Rik</v>
      </c>
      <c r="B279" t="s">
        <v>14</v>
      </c>
      <c r="C279" t="s">
        <v>10</v>
      </c>
      <c r="D279" t="s">
        <v>11</v>
      </c>
      <c r="E279" t="s">
        <v>12</v>
      </c>
      <c r="F279">
        <v>34629809</v>
      </c>
      <c r="G279">
        <v>34629813</v>
      </c>
      <c r="H279">
        <v>34629852</v>
      </c>
      <c r="I279">
        <v>34629870</v>
      </c>
    </row>
    <row r="280" spans="1:9" x14ac:dyDescent="0.2">
      <c r="A280" t="str">
        <f>"2010003K11Rik"</f>
        <v>2010003K11Rik</v>
      </c>
      <c r="B280" t="s">
        <v>14</v>
      </c>
      <c r="C280" t="s">
        <v>10</v>
      </c>
      <c r="D280" t="s">
        <v>11</v>
      </c>
      <c r="E280" t="s">
        <v>12</v>
      </c>
      <c r="F280">
        <v>4498547</v>
      </c>
      <c r="G280">
        <v>4498572</v>
      </c>
      <c r="H280">
        <v>4498574</v>
      </c>
      <c r="I280">
        <v>4498596</v>
      </c>
    </row>
    <row r="281" spans="1:9" x14ac:dyDescent="0.2">
      <c r="A281" t="str">
        <f>"2010005H15Rik"</f>
        <v>2010005H15Rik</v>
      </c>
      <c r="B281" t="s">
        <v>14</v>
      </c>
      <c r="C281" t="s">
        <v>31</v>
      </c>
      <c r="D281" t="s">
        <v>17</v>
      </c>
      <c r="E281" t="s">
        <v>12</v>
      </c>
      <c r="F281">
        <v>36252872</v>
      </c>
      <c r="G281">
        <v>36252877</v>
      </c>
      <c r="H281">
        <v>36252872</v>
      </c>
      <c r="I281">
        <v>36252877</v>
      </c>
    </row>
    <row r="282" spans="1:9" x14ac:dyDescent="0.2">
      <c r="A282" t="str">
        <f>"2010007H06Rik"</f>
        <v>2010007H06Rik</v>
      </c>
      <c r="B282" t="s">
        <v>1974</v>
      </c>
      <c r="C282" t="s">
        <v>24</v>
      </c>
      <c r="D282" t="s">
        <v>17</v>
      </c>
      <c r="E282" t="s">
        <v>20</v>
      </c>
      <c r="F282">
        <v>51280294</v>
      </c>
      <c r="G282">
        <v>51280294</v>
      </c>
      <c r="H282">
        <v>51280294</v>
      </c>
      <c r="I282">
        <v>51280294</v>
      </c>
    </row>
    <row r="283" spans="1:9" x14ac:dyDescent="0.2">
      <c r="A283" t="str">
        <f>"2010012O05Rik"</f>
        <v>2010012O05Rik</v>
      </c>
      <c r="B283" t="s">
        <v>14</v>
      </c>
      <c r="C283" t="s">
        <v>10</v>
      </c>
      <c r="D283" t="s">
        <v>17</v>
      </c>
      <c r="E283" t="s">
        <v>12</v>
      </c>
      <c r="F283">
        <v>46689902</v>
      </c>
      <c r="G283">
        <v>46689943</v>
      </c>
      <c r="H283">
        <v>46689902</v>
      </c>
      <c r="I283">
        <v>46689943</v>
      </c>
    </row>
    <row r="284" spans="1:9" x14ac:dyDescent="0.2">
      <c r="A284" t="str">
        <f>"2010015L04Rik"</f>
        <v>2010015L04Rik</v>
      </c>
      <c r="B284" t="s">
        <v>14</v>
      </c>
      <c r="C284" t="s">
        <v>23</v>
      </c>
      <c r="D284" t="s">
        <v>17</v>
      </c>
      <c r="E284" t="s">
        <v>12</v>
      </c>
      <c r="F284">
        <v>155409201</v>
      </c>
      <c r="G284">
        <v>155409266</v>
      </c>
      <c r="H284">
        <v>155409270</v>
      </c>
      <c r="I284">
        <v>155409280</v>
      </c>
    </row>
    <row r="285" spans="1:9" x14ac:dyDescent="0.2">
      <c r="A285" t="str">
        <f>"2010016I18Rik"</f>
        <v>2010016I18Rik</v>
      </c>
      <c r="B285" t="s">
        <v>14</v>
      </c>
      <c r="C285" t="s">
        <v>22</v>
      </c>
      <c r="D285" t="s">
        <v>11</v>
      </c>
      <c r="E285" t="s">
        <v>12</v>
      </c>
      <c r="F285">
        <v>106485928</v>
      </c>
      <c r="G285">
        <v>106485960</v>
      </c>
      <c r="H285">
        <v>106485903</v>
      </c>
      <c r="I285">
        <v>106485926</v>
      </c>
    </row>
    <row r="286" spans="1:9" x14ac:dyDescent="0.2">
      <c r="A286" t="str">
        <f>"2010106E10Rik"</f>
        <v>2010106E10Rik</v>
      </c>
      <c r="B286" t="s">
        <v>14</v>
      </c>
      <c r="C286" t="s">
        <v>37</v>
      </c>
      <c r="D286" t="s">
        <v>17</v>
      </c>
      <c r="E286" t="s">
        <v>12</v>
      </c>
      <c r="F286">
        <v>112495266</v>
      </c>
      <c r="G286">
        <v>112495281</v>
      </c>
      <c r="H286">
        <v>112495266</v>
      </c>
      <c r="I286">
        <v>112495281</v>
      </c>
    </row>
    <row r="287" spans="1:9" x14ac:dyDescent="0.2">
      <c r="A287" t="str">
        <f>"2010107E04Rik"</f>
        <v>2010107E04Rik</v>
      </c>
      <c r="B287" t="s">
        <v>14</v>
      </c>
      <c r="C287" t="s">
        <v>16</v>
      </c>
      <c r="D287" t="s">
        <v>11</v>
      </c>
      <c r="E287" t="s">
        <v>12</v>
      </c>
      <c r="F287">
        <v>111966954</v>
      </c>
      <c r="G287">
        <v>111967017</v>
      </c>
      <c r="H287">
        <v>111966954</v>
      </c>
      <c r="I287">
        <v>111967017</v>
      </c>
    </row>
    <row r="288" spans="1:9" x14ac:dyDescent="0.2">
      <c r="A288" t="str">
        <f>"2010107G12Rik"</f>
        <v>2010107G12Rik</v>
      </c>
      <c r="B288" t="s">
        <v>14</v>
      </c>
      <c r="C288" t="s">
        <v>32</v>
      </c>
      <c r="D288" t="s">
        <v>11</v>
      </c>
      <c r="E288" t="s">
        <v>12</v>
      </c>
      <c r="F288">
        <v>34948576</v>
      </c>
      <c r="G288">
        <v>34948614</v>
      </c>
      <c r="H288">
        <v>34948576</v>
      </c>
      <c r="I288">
        <v>34948614</v>
      </c>
    </row>
    <row r="289" spans="1:9" x14ac:dyDescent="0.2">
      <c r="A289" t="str">
        <f>"2010107G23Rik"</f>
        <v>2010107G23Rik</v>
      </c>
      <c r="B289" t="s">
        <v>14</v>
      </c>
      <c r="C289" t="s">
        <v>15</v>
      </c>
      <c r="D289" t="s">
        <v>11</v>
      </c>
      <c r="E289" t="s">
        <v>12</v>
      </c>
      <c r="F289">
        <v>62110976</v>
      </c>
      <c r="G289">
        <v>62111060</v>
      </c>
      <c r="H289">
        <v>62110956</v>
      </c>
      <c r="I289">
        <v>62110969</v>
      </c>
    </row>
    <row r="290" spans="1:9" x14ac:dyDescent="0.2">
      <c r="A290" t="str">
        <f>"2010109A12Rik"</f>
        <v>2010109A12Rik</v>
      </c>
      <c r="B290" t="s">
        <v>14</v>
      </c>
      <c r="C290" t="s">
        <v>46</v>
      </c>
      <c r="D290" t="s">
        <v>17</v>
      </c>
      <c r="E290" t="s">
        <v>12</v>
      </c>
      <c r="F290">
        <v>93206519</v>
      </c>
      <c r="G290">
        <v>93206545</v>
      </c>
      <c r="H290">
        <v>93206519</v>
      </c>
      <c r="I290">
        <v>93206545</v>
      </c>
    </row>
    <row r="291" spans="1:9" x14ac:dyDescent="0.2">
      <c r="A291" t="str">
        <f>"2010109I03Rik"</f>
        <v>2010109I03Rik</v>
      </c>
      <c r="B291" t="s">
        <v>14</v>
      </c>
      <c r="C291" t="s">
        <v>25</v>
      </c>
      <c r="D291" t="s">
        <v>11</v>
      </c>
      <c r="E291" t="s">
        <v>12</v>
      </c>
      <c r="F291">
        <v>74881694</v>
      </c>
      <c r="G291">
        <v>74881710</v>
      </c>
      <c r="H291">
        <v>74881694</v>
      </c>
      <c r="I291">
        <v>74881710</v>
      </c>
    </row>
    <row r="292" spans="1:9" x14ac:dyDescent="0.2">
      <c r="A292" t="str">
        <f>"2010111I01Rik"</f>
        <v>2010111I01Rik</v>
      </c>
      <c r="B292" t="s">
        <v>1975</v>
      </c>
      <c r="C292" t="s">
        <v>39</v>
      </c>
      <c r="D292" t="s">
        <v>17</v>
      </c>
      <c r="E292" t="s">
        <v>20</v>
      </c>
      <c r="F292">
        <v>63015166</v>
      </c>
      <c r="G292">
        <v>63015166</v>
      </c>
      <c r="H292">
        <v>63015166</v>
      </c>
      <c r="I292">
        <v>63015166</v>
      </c>
    </row>
    <row r="293" spans="1:9" x14ac:dyDescent="0.2">
      <c r="A293" t="str">
        <f>"2010111I01Rik"</f>
        <v>2010111I01Rik</v>
      </c>
      <c r="B293" t="s">
        <v>1976</v>
      </c>
      <c r="C293" t="s">
        <v>39</v>
      </c>
      <c r="D293" t="s">
        <v>17</v>
      </c>
      <c r="E293" t="s">
        <v>20</v>
      </c>
      <c r="F293">
        <v>63014933</v>
      </c>
      <c r="G293">
        <v>63014933</v>
      </c>
      <c r="H293">
        <v>63014933</v>
      </c>
      <c r="I293">
        <v>63014933</v>
      </c>
    </row>
    <row r="294" spans="1:9" x14ac:dyDescent="0.2">
      <c r="A294" t="str">
        <f>"2010300C02Rik"</f>
        <v>2010300C02Rik</v>
      </c>
      <c r="B294" t="s">
        <v>14</v>
      </c>
      <c r="C294" t="s">
        <v>19</v>
      </c>
      <c r="D294" t="s">
        <v>11</v>
      </c>
      <c r="E294" t="s">
        <v>12</v>
      </c>
      <c r="F294">
        <v>37719782</v>
      </c>
      <c r="G294">
        <v>37719899</v>
      </c>
      <c r="H294">
        <v>37720219</v>
      </c>
      <c r="I294">
        <v>37720262</v>
      </c>
    </row>
    <row r="295" spans="1:9" x14ac:dyDescent="0.2">
      <c r="A295" t="str">
        <f>"2010315B03Rik"</f>
        <v>2010315B03Rik</v>
      </c>
      <c r="B295" t="s">
        <v>1977</v>
      </c>
      <c r="C295" t="s">
        <v>24</v>
      </c>
      <c r="D295" t="s">
        <v>11</v>
      </c>
      <c r="E295" t="s">
        <v>20</v>
      </c>
      <c r="F295">
        <v>124304717</v>
      </c>
      <c r="G295">
        <v>124304717</v>
      </c>
      <c r="H295">
        <v>124304717</v>
      </c>
      <c r="I295">
        <v>124304717</v>
      </c>
    </row>
    <row r="296" spans="1:9" x14ac:dyDescent="0.2">
      <c r="A296" t="str">
        <f>"2010315B03Rik"</f>
        <v>2010315B03Rik</v>
      </c>
      <c r="B296" t="s">
        <v>1978</v>
      </c>
      <c r="C296" t="s">
        <v>24</v>
      </c>
      <c r="D296" t="s">
        <v>11</v>
      </c>
      <c r="E296" t="s">
        <v>20</v>
      </c>
      <c r="F296">
        <v>124311749</v>
      </c>
      <c r="G296">
        <v>124311749</v>
      </c>
      <c r="H296">
        <v>124311749</v>
      </c>
      <c r="I296">
        <v>124311749</v>
      </c>
    </row>
    <row r="297" spans="1:9" x14ac:dyDescent="0.2">
      <c r="A297" t="str">
        <f>"2200002D01Rik"</f>
        <v>2200002D01Rik</v>
      </c>
      <c r="B297" t="s">
        <v>14</v>
      </c>
      <c r="C297" t="s">
        <v>33</v>
      </c>
      <c r="D297" t="s">
        <v>11</v>
      </c>
      <c r="E297" t="s">
        <v>12</v>
      </c>
      <c r="F297">
        <v>29248375</v>
      </c>
      <c r="G297">
        <v>29248424</v>
      </c>
      <c r="H297">
        <v>29248375</v>
      </c>
      <c r="I297">
        <v>29248424</v>
      </c>
    </row>
    <row r="298" spans="1:9" x14ac:dyDescent="0.2">
      <c r="A298" t="str">
        <f>"2200002J24Rik"</f>
        <v>2200002J24Rik</v>
      </c>
      <c r="B298" t="s">
        <v>14</v>
      </c>
      <c r="C298" t="s">
        <v>33</v>
      </c>
      <c r="D298" t="s">
        <v>17</v>
      </c>
      <c r="E298" t="s">
        <v>12</v>
      </c>
      <c r="F298">
        <v>30698934</v>
      </c>
      <c r="G298">
        <v>30698947</v>
      </c>
      <c r="H298">
        <v>30698949</v>
      </c>
      <c r="I298">
        <v>30698965</v>
      </c>
    </row>
    <row r="299" spans="1:9" x14ac:dyDescent="0.2">
      <c r="A299" t="str">
        <f>"2210010C04Rik"</f>
        <v>2210010C04Rik</v>
      </c>
      <c r="B299" t="s">
        <v>14</v>
      </c>
      <c r="C299" t="s">
        <v>32</v>
      </c>
      <c r="D299" t="s">
        <v>11</v>
      </c>
      <c r="E299" t="s">
        <v>12</v>
      </c>
      <c r="F299">
        <v>41035501</v>
      </c>
      <c r="G299">
        <v>41035514</v>
      </c>
      <c r="H299">
        <v>41035501</v>
      </c>
      <c r="I299">
        <v>41035514</v>
      </c>
    </row>
    <row r="300" spans="1:9" x14ac:dyDescent="0.2">
      <c r="A300" t="str">
        <f>"2210011C24Rik"</f>
        <v>2210011C24Rik</v>
      </c>
      <c r="B300" t="s">
        <v>14</v>
      </c>
      <c r="C300" t="s">
        <v>30</v>
      </c>
      <c r="D300" t="s">
        <v>11</v>
      </c>
      <c r="E300" t="s">
        <v>12</v>
      </c>
      <c r="F300">
        <v>84011411</v>
      </c>
      <c r="G300">
        <v>84011444</v>
      </c>
      <c r="H300">
        <v>84011476</v>
      </c>
      <c r="I300">
        <v>84011486</v>
      </c>
    </row>
    <row r="301" spans="1:9" x14ac:dyDescent="0.2">
      <c r="A301" t="str">
        <f>"2210016F16Rik"</f>
        <v>2210016F16Rik</v>
      </c>
      <c r="B301" t="s">
        <v>14</v>
      </c>
      <c r="C301" t="s">
        <v>39</v>
      </c>
      <c r="D301" t="s">
        <v>11</v>
      </c>
      <c r="E301" t="s">
        <v>12</v>
      </c>
      <c r="F301">
        <v>58385190</v>
      </c>
      <c r="G301">
        <v>58385242</v>
      </c>
      <c r="H301">
        <v>58385176</v>
      </c>
      <c r="I301">
        <v>58385188</v>
      </c>
    </row>
    <row r="302" spans="1:9" x14ac:dyDescent="0.2">
      <c r="A302" t="str">
        <f>"2210016L21Rik"</f>
        <v>2210016L21Rik</v>
      </c>
      <c r="B302" t="s">
        <v>14</v>
      </c>
      <c r="C302" t="s">
        <v>46</v>
      </c>
      <c r="D302" t="s">
        <v>17</v>
      </c>
      <c r="E302" t="s">
        <v>12</v>
      </c>
      <c r="F302">
        <v>114942176</v>
      </c>
      <c r="G302">
        <v>114942212</v>
      </c>
      <c r="H302">
        <v>114942176</v>
      </c>
      <c r="I302">
        <v>114942212</v>
      </c>
    </row>
    <row r="303" spans="1:9" x14ac:dyDescent="0.2">
      <c r="A303" t="str">
        <f>"2210018M11Rik"</f>
        <v>2210018M11Rik</v>
      </c>
      <c r="B303" t="s">
        <v>14</v>
      </c>
      <c r="C303" t="s">
        <v>33</v>
      </c>
      <c r="D303" t="s">
        <v>11</v>
      </c>
      <c r="E303" t="s">
        <v>12</v>
      </c>
      <c r="F303">
        <v>98656530</v>
      </c>
      <c r="G303">
        <v>98656600</v>
      </c>
      <c r="H303">
        <v>98656792</v>
      </c>
      <c r="I303">
        <v>98656813</v>
      </c>
    </row>
    <row r="304" spans="1:9" x14ac:dyDescent="0.2">
      <c r="A304" t="str">
        <f>"2210404O07Rik"</f>
        <v>2210404O07Rik</v>
      </c>
      <c r="B304" t="s">
        <v>14</v>
      </c>
      <c r="C304" t="s">
        <v>15</v>
      </c>
      <c r="D304" t="s">
        <v>17</v>
      </c>
      <c r="E304" t="s">
        <v>12</v>
      </c>
      <c r="F304">
        <v>81393043</v>
      </c>
      <c r="G304">
        <v>81393058</v>
      </c>
      <c r="H304">
        <v>81393610</v>
      </c>
      <c r="I304">
        <v>81393688</v>
      </c>
    </row>
    <row r="305" spans="1:9" x14ac:dyDescent="0.2">
      <c r="A305" t="str">
        <f>"2210404O09Rik"</f>
        <v>2210404O09Rik</v>
      </c>
      <c r="B305" t="s">
        <v>1979</v>
      </c>
      <c r="C305" t="s">
        <v>28</v>
      </c>
      <c r="D305" t="s">
        <v>11</v>
      </c>
      <c r="E305" t="s">
        <v>20</v>
      </c>
      <c r="F305">
        <v>21908091</v>
      </c>
      <c r="G305">
        <v>21908091</v>
      </c>
      <c r="H305">
        <v>21908091</v>
      </c>
      <c r="I305">
        <v>21908091</v>
      </c>
    </row>
    <row r="306" spans="1:9" x14ac:dyDescent="0.2">
      <c r="A306" t="str">
        <f>"2210407C18Rik"</f>
        <v>2210407C18Rik</v>
      </c>
      <c r="B306" t="s">
        <v>14</v>
      </c>
      <c r="C306" t="s">
        <v>27</v>
      </c>
      <c r="D306" t="s">
        <v>11</v>
      </c>
      <c r="E306" t="s">
        <v>12</v>
      </c>
      <c r="F306">
        <v>58613481</v>
      </c>
      <c r="G306">
        <v>58613495</v>
      </c>
      <c r="H306">
        <v>58613481</v>
      </c>
      <c r="I306">
        <v>58613495</v>
      </c>
    </row>
    <row r="307" spans="1:9" x14ac:dyDescent="0.2">
      <c r="A307" t="str">
        <f>"2210408I21Rik"</f>
        <v>2210408I21Rik</v>
      </c>
      <c r="B307" t="s">
        <v>14</v>
      </c>
      <c r="C307" t="s">
        <v>39</v>
      </c>
      <c r="D307" t="s">
        <v>17</v>
      </c>
      <c r="E307" t="s">
        <v>12</v>
      </c>
      <c r="F307">
        <v>77135513</v>
      </c>
      <c r="G307">
        <v>77135583</v>
      </c>
      <c r="H307">
        <v>77135064</v>
      </c>
      <c r="I307">
        <v>77135114</v>
      </c>
    </row>
    <row r="308" spans="1:9" x14ac:dyDescent="0.2">
      <c r="A308" t="str">
        <f>"2210418O10Rik"</f>
        <v>2210418O10Rik</v>
      </c>
      <c r="B308" t="s">
        <v>1980</v>
      </c>
      <c r="C308" t="s">
        <v>26</v>
      </c>
      <c r="D308" t="s">
        <v>17</v>
      </c>
      <c r="E308" t="s">
        <v>20</v>
      </c>
      <c r="F308">
        <v>176226568</v>
      </c>
      <c r="G308">
        <v>176226568</v>
      </c>
      <c r="H308">
        <v>176226568</v>
      </c>
      <c r="I308">
        <v>176226568</v>
      </c>
    </row>
    <row r="309" spans="1:9" x14ac:dyDescent="0.2">
      <c r="A309" t="str">
        <f>"2300002M23Rik"</f>
        <v>2300002M23Rik</v>
      </c>
      <c r="B309" t="s">
        <v>14</v>
      </c>
      <c r="C309" t="s">
        <v>28</v>
      </c>
      <c r="D309" t="s">
        <v>17</v>
      </c>
      <c r="E309" t="s">
        <v>12</v>
      </c>
      <c r="F309">
        <v>35567527</v>
      </c>
      <c r="G309">
        <v>35567544</v>
      </c>
      <c r="H309">
        <v>35567465</v>
      </c>
      <c r="I309">
        <v>35567490</v>
      </c>
    </row>
    <row r="310" spans="1:9" x14ac:dyDescent="0.2">
      <c r="A310" t="str">
        <f>"2300003K06Rik"</f>
        <v>2300003K06Rik</v>
      </c>
      <c r="B310" t="s">
        <v>14</v>
      </c>
      <c r="C310" t="s">
        <v>27</v>
      </c>
      <c r="D310" t="s">
        <v>11</v>
      </c>
      <c r="E310" t="s">
        <v>12</v>
      </c>
      <c r="F310">
        <v>99838069</v>
      </c>
      <c r="G310">
        <v>99838073</v>
      </c>
      <c r="H310">
        <v>99838069</v>
      </c>
      <c r="I310">
        <v>99838073</v>
      </c>
    </row>
    <row r="311" spans="1:9" x14ac:dyDescent="0.2">
      <c r="A311" t="str">
        <f>"2300005B03Rik"</f>
        <v>2300005B03Rik</v>
      </c>
      <c r="B311" t="s">
        <v>14</v>
      </c>
      <c r="C311" t="s">
        <v>25</v>
      </c>
      <c r="D311" t="s">
        <v>11</v>
      </c>
      <c r="E311" t="s">
        <v>12</v>
      </c>
      <c r="F311">
        <v>74746684</v>
      </c>
      <c r="G311">
        <v>74746708</v>
      </c>
      <c r="H311">
        <v>74746684</v>
      </c>
      <c r="I311">
        <v>74746708</v>
      </c>
    </row>
    <row r="312" spans="1:9" x14ac:dyDescent="0.2">
      <c r="A312" t="str">
        <f>"2300009A05Rik"</f>
        <v>2300009A05Rik</v>
      </c>
      <c r="B312" t="s">
        <v>14</v>
      </c>
      <c r="C312" t="s">
        <v>24</v>
      </c>
      <c r="D312" t="s">
        <v>11</v>
      </c>
      <c r="E312" t="s">
        <v>12</v>
      </c>
      <c r="F312">
        <v>63399216</v>
      </c>
      <c r="G312">
        <v>63399262</v>
      </c>
      <c r="H312">
        <v>63399264</v>
      </c>
      <c r="I312">
        <v>63399302</v>
      </c>
    </row>
    <row r="313" spans="1:9" x14ac:dyDescent="0.2">
      <c r="A313" t="str">
        <f>"2310001K24Rik"</f>
        <v>2310001K24Rik</v>
      </c>
      <c r="B313" t="s">
        <v>14</v>
      </c>
      <c r="C313" t="s">
        <v>26</v>
      </c>
      <c r="D313" t="s">
        <v>17</v>
      </c>
      <c r="E313" t="s">
        <v>12</v>
      </c>
      <c r="F313">
        <v>163472263</v>
      </c>
      <c r="G313">
        <v>163472313</v>
      </c>
      <c r="H313">
        <v>163472263</v>
      </c>
      <c r="I313">
        <v>163472313</v>
      </c>
    </row>
    <row r="314" spans="1:9" x14ac:dyDescent="0.2">
      <c r="A314" t="str">
        <f>"2310002J15Rik"</f>
        <v>2310002J15Rik</v>
      </c>
      <c r="B314" t="s">
        <v>9</v>
      </c>
      <c r="C314" t="s">
        <v>26</v>
      </c>
      <c r="D314" t="s">
        <v>11</v>
      </c>
      <c r="E314" t="s">
        <v>12</v>
      </c>
      <c r="F314">
        <v>25239850</v>
      </c>
      <c r="G314">
        <v>25239870</v>
      </c>
      <c r="H314">
        <v>25239850</v>
      </c>
      <c r="I314">
        <v>25239870</v>
      </c>
    </row>
    <row r="315" spans="1:9" x14ac:dyDescent="0.2">
      <c r="A315" t="str">
        <f>"2310002J15Rik"</f>
        <v>2310002J15Rik</v>
      </c>
      <c r="B315" t="s">
        <v>13</v>
      </c>
      <c r="C315" t="s">
        <v>26</v>
      </c>
      <c r="D315" t="s">
        <v>11</v>
      </c>
      <c r="E315" t="s">
        <v>12</v>
      </c>
      <c r="F315">
        <v>25242478</v>
      </c>
      <c r="G315">
        <v>25242481</v>
      </c>
      <c r="H315">
        <v>25242478</v>
      </c>
      <c r="I315">
        <v>25242481</v>
      </c>
    </row>
    <row r="316" spans="1:9" x14ac:dyDescent="0.2">
      <c r="A316" t="str">
        <f>"2310002L09Rik"</f>
        <v>2310002L09Rik</v>
      </c>
      <c r="B316" t="s">
        <v>14</v>
      </c>
      <c r="C316" t="s">
        <v>23</v>
      </c>
      <c r="D316" t="s">
        <v>11</v>
      </c>
      <c r="E316" t="s">
        <v>12</v>
      </c>
      <c r="F316">
        <v>73950834</v>
      </c>
      <c r="G316">
        <v>73950853</v>
      </c>
      <c r="H316">
        <v>73950814</v>
      </c>
      <c r="I316">
        <v>73950833</v>
      </c>
    </row>
    <row r="317" spans="1:9" x14ac:dyDescent="0.2">
      <c r="A317" t="str">
        <f>"2310003H01Rik"</f>
        <v>2310003H01Rik</v>
      </c>
      <c r="B317" t="s">
        <v>14</v>
      </c>
      <c r="C317" t="s">
        <v>27</v>
      </c>
      <c r="D317" t="s">
        <v>11</v>
      </c>
      <c r="E317" t="s">
        <v>12</v>
      </c>
      <c r="F317">
        <v>120378692</v>
      </c>
      <c r="G317">
        <v>120378779</v>
      </c>
      <c r="H317">
        <v>120378435</v>
      </c>
      <c r="I317">
        <v>120378481</v>
      </c>
    </row>
    <row r="318" spans="1:9" x14ac:dyDescent="0.2">
      <c r="A318" t="str">
        <f>"2310003L06Rik"</f>
        <v>2310003L06Rik</v>
      </c>
      <c r="B318" t="s">
        <v>14</v>
      </c>
      <c r="C318" t="s">
        <v>46</v>
      </c>
      <c r="D318" t="s">
        <v>17</v>
      </c>
      <c r="E318" t="s">
        <v>12</v>
      </c>
      <c r="F318">
        <v>87969455</v>
      </c>
      <c r="G318">
        <v>87969461</v>
      </c>
      <c r="H318">
        <v>87969455</v>
      </c>
      <c r="I318">
        <v>87969461</v>
      </c>
    </row>
    <row r="319" spans="1:9" x14ac:dyDescent="0.2">
      <c r="A319" t="str">
        <f>"2310005G13Rik"</f>
        <v>2310005G13Rik</v>
      </c>
      <c r="B319" t="s">
        <v>14</v>
      </c>
      <c r="C319" t="s">
        <v>31</v>
      </c>
      <c r="D319" t="s">
        <v>11</v>
      </c>
      <c r="E319" t="s">
        <v>12</v>
      </c>
      <c r="F319">
        <v>57071348</v>
      </c>
      <c r="G319">
        <v>57071388</v>
      </c>
      <c r="H319">
        <v>57071348</v>
      </c>
      <c r="I319">
        <v>57071388</v>
      </c>
    </row>
    <row r="320" spans="1:9" x14ac:dyDescent="0.2">
      <c r="A320" t="str">
        <f>"2310007B03Rik"</f>
        <v>2310007B03Rik</v>
      </c>
      <c r="B320" t="s">
        <v>14</v>
      </c>
      <c r="C320" t="s">
        <v>19</v>
      </c>
      <c r="D320" t="s">
        <v>11</v>
      </c>
      <c r="E320" t="s">
        <v>12</v>
      </c>
      <c r="F320">
        <v>93160907</v>
      </c>
      <c r="G320">
        <v>93160955</v>
      </c>
      <c r="H320">
        <v>93160841</v>
      </c>
      <c r="I320">
        <v>93160850</v>
      </c>
    </row>
    <row r="321" spans="1:9" x14ac:dyDescent="0.2">
      <c r="A321" t="str">
        <f>"2310007L24Rik"</f>
        <v>2310007L24Rik</v>
      </c>
      <c r="B321" t="s">
        <v>14</v>
      </c>
      <c r="C321" t="s">
        <v>27</v>
      </c>
      <c r="D321" t="s">
        <v>17</v>
      </c>
      <c r="E321" t="s">
        <v>12</v>
      </c>
      <c r="F321">
        <v>106374835</v>
      </c>
      <c r="G321">
        <v>106374850</v>
      </c>
      <c r="H321">
        <v>106374820</v>
      </c>
      <c r="I321">
        <v>106374832</v>
      </c>
    </row>
    <row r="322" spans="1:9" x14ac:dyDescent="0.2">
      <c r="A322" t="str">
        <f>"2310009B15Rik"</f>
        <v>2310009B15Rik</v>
      </c>
      <c r="B322" t="s">
        <v>14</v>
      </c>
      <c r="C322" t="s">
        <v>19</v>
      </c>
      <c r="D322" t="s">
        <v>11</v>
      </c>
      <c r="E322" t="s">
        <v>12</v>
      </c>
      <c r="F322">
        <v>138856819</v>
      </c>
      <c r="G322">
        <v>138856848</v>
      </c>
      <c r="H322">
        <v>138856819</v>
      </c>
      <c r="I322">
        <v>138856848</v>
      </c>
    </row>
    <row r="323" spans="1:9" x14ac:dyDescent="0.2">
      <c r="A323" t="str">
        <f>"2310011J03Rik"</f>
        <v>2310011J03Rik</v>
      </c>
      <c r="B323" t="s">
        <v>14</v>
      </c>
      <c r="C323" t="s">
        <v>15</v>
      </c>
      <c r="D323" t="s">
        <v>11</v>
      </c>
      <c r="E323" t="s">
        <v>12</v>
      </c>
      <c r="F323">
        <v>80320506</v>
      </c>
      <c r="G323">
        <v>80320553</v>
      </c>
      <c r="H323">
        <v>80320555</v>
      </c>
      <c r="I323">
        <v>80320560</v>
      </c>
    </row>
    <row r="324" spans="1:9" x14ac:dyDescent="0.2">
      <c r="A324" t="str">
        <f>"2310014L17Rik"</f>
        <v>2310014L17Rik</v>
      </c>
      <c r="B324" t="s">
        <v>14</v>
      </c>
      <c r="C324" t="s">
        <v>33</v>
      </c>
      <c r="D324" t="s">
        <v>17</v>
      </c>
      <c r="E324" t="s">
        <v>12</v>
      </c>
      <c r="F324">
        <v>12927410</v>
      </c>
      <c r="G324">
        <v>12927439</v>
      </c>
      <c r="H324">
        <v>12927387</v>
      </c>
      <c r="I324">
        <v>12927402</v>
      </c>
    </row>
    <row r="325" spans="1:9" x14ac:dyDescent="0.2">
      <c r="A325" t="str">
        <f>"2310015B20Rik"</f>
        <v>2310015B20Rik</v>
      </c>
      <c r="B325" t="s">
        <v>14</v>
      </c>
      <c r="C325" t="s">
        <v>15</v>
      </c>
      <c r="D325" t="s">
        <v>17</v>
      </c>
      <c r="E325" t="s">
        <v>12</v>
      </c>
      <c r="F325">
        <v>70204653</v>
      </c>
      <c r="G325">
        <v>70204670</v>
      </c>
      <c r="H325">
        <v>70204632</v>
      </c>
      <c r="I325">
        <v>70204639</v>
      </c>
    </row>
    <row r="326" spans="1:9" x14ac:dyDescent="0.2">
      <c r="A326" t="str">
        <f>"2310016G11Rik"</f>
        <v>2310016G11Rik</v>
      </c>
      <c r="B326" t="s">
        <v>14</v>
      </c>
      <c r="C326" t="s">
        <v>33</v>
      </c>
      <c r="D326" t="s">
        <v>17</v>
      </c>
      <c r="E326" t="s">
        <v>12</v>
      </c>
      <c r="F326">
        <v>44676949</v>
      </c>
      <c r="G326">
        <v>44676969</v>
      </c>
      <c r="H326">
        <v>44676949</v>
      </c>
      <c r="I326">
        <v>44676969</v>
      </c>
    </row>
    <row r="327" spans="1:9" x14ac:dyDescent="0.2">
      <c r="A327" t="str">
        <f>"2310022A10Rik"</f>
        <v>2310022A10Rik</v>
      </c>
      <c r="B327" t="s">
        <v>9</v>
      </c>
      <c r="C327" t="s">
        <v>33</v>
      </c>
      <c r="D327" t="s">
        <v>17</v>
      </c>
      <c r="E327" t="s">
        <v>12</v>
      </c>
      <c r="F327">
        <v>27553244</v>
      </c>
      <c r="G327">
        <v>27553302</v>
      </c>
      <c r="H327">
        <v>27553244</v>
      </c>
      <c r="I327">
        <v>27553302</v>
      </c>
    </row>
    <row r="328" spans="1:9" x14ac:dyDescent="0.2">
      <c r="A328" t="str">
        <f>"2310022A10Rik"</f>
        <v>2310022A10Rik</v>
      </c>
      <c r="B328" t="s">
        <v>13</v>
      </c>
      <c r="C328" t="s">
        <v>33</v>
      </c>
      <c r="D328" t="s">
        <v>17</v>
      </c>
      <c r="E328" t="s">
        <v>12</v>
      </c>
      <c r="F328">
        <v>27560498</v>
      </c>
      <c r="G328">
        <v>27560516</v>
      </c>
      <c r="H328">
        <v>27560498</v>
      </c>
      <c r="I328">
        <v>27560516</v>
      </c>
    </row>
    <row r="329" spans="1:9" x14ac:dyDescent="0.2">
      <c r="A329" t="str">
        <f>"2310022B05Rik"</f>
        <v>2310022B05Rik</v>
      </c>
      <c r="B329" t="s">
        <v>14</v>
      </c>
      <c r="C329" t="s">
        <v>30</v>
      </c>
      <c r="D329" t="s">
        <v>11</v>
      </c>
      <c r="E329" t="s">
        <v>12</v>
      </c>
      <c r="F329">
        <v>124663143</v>
      </c>
      <c r="G329">
        <v>124663230</v>
      </c>
      <c r="H329">
        <v>124663368</v>
      </c>
      <c r="I329">
        <v>124663383</v>
      </c>
    </row>
    <row r="330" spans="1:9" x14ac:dyDescent="0.2">
      <c r="A330" t="str">
        <f>"2310030G06Rik"</f>
        <v>2310030G06Rik</v>
      </c>
      <c r="B330" t="s">
        <v>14</v>
      </c>
      <c r="C330" t="s">
        <v>24</v>
      </c>
      <c r="D330" t="s">
        <v>11</v>
      </c>
      <c r="E330" t="s">
        <v>12</v>
      </c>
      <c r="F330">
        <v>50746501</v>
      </c>
      <c r="G330">
        <v>50746597</v>
      </c>
      <c r="H330">
        <v>50746603</v>
      </c>
      <c r="I330">
        <v>50746608</v>
      </c>
    </row>
    <row r="331" spans="1:9" x14ac:dyDescent="0.2">
      <c r="A331" t="str">
        <f>"2310033P09Rik"</f>
        <v>2310033P09Rik</v>
      </c>
      <c r="B331" t="s">
        <v>14</v>
      </c>
      <c r="C331" t="s">
        <v>27</v>
      </c>
      <c r="D331" t="s">
        <v>17</v>
      </c>
      <c r="E331" t="s">
        <v>12</v>
      </c>
      <c r="F331">
        <v>59208357</v>
      </c>
      <c r="G331">
        <v>59208419</v>
      </c>
      <c r="H331">
        <v>59208329</v>
      </c>
      <c r="I331">
        <v>59208355</v>
      </c>
    </row>
    <row r="332" spans="1:9" x14ac:dyDescent="0.2">
      <c r="A332" t="str">
        <f>"2310035C23Rik"</f>
        <v>2310035C23Rik</v>
      </c>
      <c r="B332" t="s">
        <v>14</v>
      </c>
      <c r="C332" t="s">
        <v>19</v>
      </c>
      <c r="D332" t="s">
        <v>17</v>
      </c>
      <c r="E332" t="s">
        <v>12</v>
      </c>
      <c r="F332">
        <v>105663869</v>
      </c>
      <c r="G332">
        <v>105663920</v>
      </c>
      <c r="H332">
        <v>105663855</v>
      </c>
      <c r="I332">
        <v>105663866</v>
      </c>
    </row>
    <row r="333" spans="1:9" x14ac:dyDescent="0.2">
      <c r="A333" t="str">
        <f>"2310036O22Rik"</f>
        <v>2310036O22Rik</v>
      </c>
      <c r="B333" t="s">
        <v>14</v>
      </c>
      <c r="C333" t="s">
        <v>30</v>
      </c>
      <c r="D333" t="s">
        <v>17</v>
      </c>
      <c r="E333" t="s">
        <v>12</v>
      </c>
      <c r="F333">
        <v>85026851</v>
      </c>
      <c r="G333">
        <v>85026899</v>
      </c>
      <c r="H333">
        <v>85026851</v>
      </c>
      <c r="I333">
        <v>85026899</v>
      </c>
    </row>
    <row r="334" spans="1:9" x14ac:dyDescent="0.2">
      <c r="A334" t="str">
        <f>"2310039H08Rik"</f>
        <v>2310039H08Rik</v>
      </c>
      <c r="B334" t="s">
        <v>14</v>
      </c>
      <c r="C334" t="s">
        <v>28</v>
      </c>
      <c r="D334" t="s">
        <v>17</v>
      </c>
      <c r="E334" t="s">
        <v>12</v>
      </c>
      <c r="F334">
        <v>46772803</v>
      </c>
      <c r="G334">
        <v>46772828</v>
      </c>
      <c r="H334">
        <v>46772604</v>
      </c>
      <c r="I334">
        <v>46772613</v>
      </c>
    </row>
    <row r="335" spans="1:9" x14ac:dyDescent="0.2">
      <c r="A335" t="str">
        <f>"2310042D19Rik"</f>
        <v>2310042D19Rik</v>
      </c>
      <c r="B335" t="s">
        <v>14</v>
      </c>
      <c r="C335" t="s">
        <v>23</v>
      </c>
      <c r="D335" t="s">
        <v>17</v>
      </c>
      <c r="E335" t="s">
        <v>12</v>
      </c>
      <c r="F335">
        <v>156215920</v>
      </c>
      <c r="G335">
        <v>156215944</v>
      </c>
      <c r="H335">
        <v>156215892</v>
      </c>
      <c r="I335">
        <v>156215903</v>
      </c>
    </row>
    <row r="336" spans="1:9" x14ac:dyDescent="0.2">
      <c r="A336" t="str">
        <f>"2310044G17Rik"</f>
        <v>2310044G17Rik</v>
      </c>
      <c r="B336" t="s">
        <v>14</v>
      </c>
      <c r="C336" t="s">
        <v>16</v>
      </c>
      <c r="D336" t="s">
        <v>17</v>
      </c>
      <c r="E336" t="s">
        <v>12</v>
      </c>
      <c r="F336">
        <v>86947369</v>
      </c>
      <c r="G336">
        <v>86947430</v>
      </c>
      <c r="H336">
        <v>86947431</v>
      </c>
      <c r="I336">
        <v>86947481</v>
      </c>
    </row>
    <row r="337" spans="1:9" x14ac:dyDescent="0.2">
      <c r="A337" t="str">
        <f>"2310045N01Rik"</f>
        <v>2310045N01Rik</v>
      </c>
      <c r="B337" t="s">
        <v>14</v>
      </c>
      <c r="C337" t="s">
        <v>30</v>
      </c>
      <c r="D337" t="s">
        <v>17</v>
      </c>
      <c r="E337" t="s">
        <v>12</v>
      </c>
      <c r="F337">
        <v>70139687</v>
      </c>
      <c r="G337">
        <v>70139734</v>
      </c>
      <c r="H337">
        <v>70139448</v>
      </c>
      <c r="I337">
        <v>70139499</v>
      </c>
    </row>
    <row r="338" spans="1:9" x14ac:dyDescent="0.2">
      <c r="A338" t="str">
        <f>"2310047M10Rik"</f>
        <v>2310047M10Rik</v>
      </c>
      <c r="B338" t="s">
        <v>14</v>
      </c>
      <c r="C338" t="s">
        <v>27</v>
      </c>
      <c r="D338" t="s">
        <v>17</v>
      </c>
      <c r="E338" t="s">
        <v>12</v>
      </c>
      <c r="F338">
        <v>69059750</v>
      </c>
      <c r="G338">
        <v>69059809</v>
      </c>
      <c r="H338">
        <v>69059708</v>
      </c>
      <c r="I338">
        <v>69059745</v>
      </c>
    </row>
    <row r="339" spans="1:9" x14ac:dyDescent="0.2">
      <c r="A339" t="str">
        <f>"2310050C09Rik"</f>
        <v>2310050C09Rik</v>
      </c>
      <c r="B339" t="s">
        <v>14</v>
      </c>
      <c r="C339" t="s">
        <v>22</v>
      </c>
      <c r="D339" t="s">
        <v>11</v>
      </c>
      <c r="E339" t="s">
        <v>12</v>
      </c>
      <c r="F339">
        <v>92870215</v>
      </c>
      <c r="G339">
        <v>92870224</v>
      </c>
      <c r="H339">
        <v>92870215</v>
      </c>
      <c r="I339">
        <v>92870224</v>
      </c>
    </row>
    <row r="340" spans="1:9" x14ac:dyDescent="0.2">
      <c r="A340" t="str">
        <f>"2310057J18Rik"</f>
        <v>2310057J18Rik</v>
      </c>
      <c r="B340" t="s">
        <v>14</v>
      </c>
      <c r="C340" t="s">
        <v>15</v>
      </c>
      <c r="D340" t="s">
        <v>11</v>
      </c>
      <c r="E340" t="s">
        <v>12</v>
      </c>
      <c r="F340">
        <v>28986280</v>
      </c>
      <c r="G340">
        <v>28986313</v>
      </c>
      <c r="H340">
        <v>28986280</v>
      </c>
      <c r="I340">
        <v>28986313</v>
      </c>
    </row>
    <row r="341" spans="1:9" x14ac:dyDescent="0.2">
      <c r="A341" t="str">
        <f>"2310057M21Rik"</f>
        <v>2310057M21Rik</v>
      </c>
      <c r="B341" t="s">
        <v>14</v>
      </c>
      <c r="C341" t="s">
        <v>33</v>
      </c>
      <c r="D341" t="s">
        <v>11</v>
      </c>
      <c r="E341" t="s">
        <v>12</v>
      </c>
      <c r="F341">
        <v>131362687</v>
      </c>
      <c r="G341">
        <v>131362725</v>
      </c>
      <c r="H341">
        <v>131362752</v>
      </c>
      <c r="I341">
        <v>131362766</v>
      </c>
    </row>
    <row r="342" spans="1:9" x14ac:dyDescent="0.2">
      <c r="A342" t="str">
        <f>"2310057N15Rik"</f>
        <v>2310057N15Rik</v>
      </c>
      <c r="B342" t="s">
        <v>14</v>
      </c>
      <c r="C342" t="s">
        <v>31</v>
      </c>
      <c r="D342" t="s">
        <v>11</v>
      </c>
      <c r="E342" t="s">
        <v>12</v>
      </c>
      <c r="F342">
        <v>88774201</v>
      </c>
      <c r="G342">
        <v>88774206</v>
      </c>
      <c r="H342">
        <v>88774201</v>
      </c>
      <c r="I342">
        <v>88774206</v>
      </c>
    </row>
    <row r="343" spans="1:9" x14ac:dyDescent="0.2">
      <c r="A343" t="str">
        <f>"2310061I04Rik"</f>
        <v>2310061I04Rik</v>
      </c>
      <c r="B343" t="s">
        <v>14</v>
      </c>
      <c r="C343" t="s">
        <v>28</v>
      </c>
      <c r="D343" t="s">
        <v>11</v>
      </c>
      <c r="E343" t="s">
        <v>12</v>
      </c>
      <c r="F343">
        <v>35897342</v>
      </c>
      <c r="G343">
        <v>35897369</v>
      </c>
      <c r="H343">
        <v>35897079</v>
      </c>
      <c r="I343">
        <v>35897141</v>
      </c>
    </row>
    <row r="344" spans="1:9" x14ac:dyDescent="0.2">
      <c r="A344" t="str">
        <f>"2310061N02Rik"</f>
        <v>2310061N02Rik</v>
      </c>
      <c r="B344" t="s">
        <v>14</v>
      </c>
      <c r="C344" t="s">
        <v>31</v>
      </c>
      <c r="D344" t="s">
        <v>11</v>
      </c>
      <c r="E344" t="s">
        <v>12</v>
      </c>
      <c r="F344">
        <v>88707961</v>
      </c>
      <c r="G344">
        <v>88707965</v>
      </c>
      <c r="H344">
        <v>88707961</v>
      </c>
      <c r="I344">
        <v>88707965</v>
      </c>
    </row>
    <row r="345" spans="1:9" x14ac:dyDescent="0.2">
      <c r="A345" t="str">
        <f>"2310067B10Rik"</f>
        <v>2310067B10Rik</v>
      </c>
      <c r="B345" t="s">
        <v>14</v>
      </c>
      <c r="C345" t="s">
        <v>27</v>
      </c>
      <c r="D345" t="s">
        <v>17</v>
      </c>
      <c r="E345" t="s">
        <v>12</v>
      </c>
      <c r="F345">
        <v>115765420</v>
      </c>
      <c r="G345">
        <v>115765466</v>
      </c>
      <c r="H345">
        <v>115765500</v>
      </c>
      <c r="I345">
        <v>115765533</v>
      </c>
    </row>
    <row r="346" spans="1:9" x14ac:dyDescent="0.2">
      <c r="A346" t="str">
        <f>"2310079G19Rik"</f>
        <v>2310079G19Rik</v>
      </c>
      <c r="B346" t="s">
        <v>14</v>
      </c>
      <c r="C346" t="s">
        <v>31</v>
      </c>
      <c r="D346" t="s">
        <v>11</v>
      </c>
      <c r="E346" t="s">
        <v>12</v>
      </c>
      <c r="F346">
        <v>88627658</v>
      </c>
      <c r="G346">
        <v>88627667</v>
      </c>
      <c r="H346">
        <v>88627658</v>
      </c>
      <c r="I346">
        <v>88627667</v>
      </c>
    </row>
    <row r="347" spans="1:9" x14ac:dyDescent="0.2">
      <c r="A347" t="str">
        <f>"2410002F23Rik"</f>
        <v>2410002F23Rik</v>
      </c>
      <c r="B347" t="s">
        <v>14</v>
      </c>
      <c r="C347" t="s">
        <v>33</v>
      </c>
      <c r="D347" t="s">
        <v>17</v>
      </c>
      <c r="E347" t="s">
        <v>12</v>
      </c>
      <c r="F347">
        <v>44246777</v>
      </c>
      <c r="G347">
        <v>44246796</v>
      </c>
      <c r="H347">
        <v>44246890</v>
      </c>
      <c r="I347">
        <v>44246936</v>
      </c>
    </row>
    <row r="348" spans="1:9" x14ac:dyDescent="0.2">
      <c r="A348" t="str">
        <f>"2410004B18Rik"</f>
        <v>2410004B18Rik</v>
      </c>
      <c r="B348" t="s">
        <v>14</v>
      </c>
      <c r="C348" t="s">
        <v>22</v>
      </c>
      <c r="D348" t="s">
        <v>17</v>
      </c>
      <c r="E348" t="s">
        <v>12</v>
      </c>
      <c r="F348">
        <v>145938004</v>
      </c>
      <c r="G348">
        <v>145938063</v>
      </c>
      <c r="H348">
        <v>145938967</v>
      </c>
      <c r="I348">
        <v>145938975</v>
      </c>
    </row>
    <row r="349" spans="1:9" x14ac:dyDescent="0.2">
      <c r="A349" t="str">
        <f>"2410004P03Rik"</f>
        <v>2410004P03Rik</v>
      </c>
      <c r="B349" t="s">
        <v>14</v>
      </c>
      <c r="C349" t="s">
        <v>16</v>
      </c>
      <c r="D349" t="s">
        <v>11</v>
      </c>
      <c r="E349" t="s">
        <v>12</v>
      </c>
      <c r="F349">
        <v>17011512</v>
      </c>
      <c r="G349">
        <v>17011561</v>
      </c>
      <c r="H349">
        <v>17011512</v>
      </c>
      <c r="I349">
        <v>17011561</v>
      </c>
    </row>
    <row r="350" spans="1:9" x14ac:dyDescent="0.2">
      <c r="A350" t="str">
        <f>"2410012M07Rik"</f>
        <v>2410012M07Rik</v>
      </c>
      <c r="B350" t="s">
        <v>14</v>
      </c>
      <c r="C350" t="s">
        <v>24</v>
      </c>
      <c r="D350" t="s">
        <v>17</v>
      </c>
      <c r="E350" t="s">
        <v>12</v>
      </c>
      <c r="F350">
        <v>98864748</v>
      </c>
      <c r="G350">
        <v>98864798</v>
      </c>
      <c r="H350">
        <v>98864883</v>
      </c>
      <c r="I350">
        <v>98864887</v>
      </c>
    </row>
    <row r="351" spans="1:9" x14ac:dyDescent="0.2">
      <c r="A351" t="str">
        <f>"2410015M20Rik"</f>
        <v>2410015M20Rik</v>
      </c>
      <c r="B351" t="s">
        <v>14</v>
      </c>
      <c r="C351" t="s">
        <v>28</v>
      </c>
      <c r="D351" t="s">
        <v>11</v>
      </c>
      <c r="E351" t="s">
        <v>12</v>
      </c>
      <c r="F351">
        <v>56609689</v>
      </c>
      <c r="G351">
        <v>56609715</v>
      </c>
      <c r="H351">
        <v>56609675</v>
      </c>
      <c r="I351">
        <v>56609686</v>
      </c>
    </row>
    <row r="352" spans="1:9" x14ac:dyDescent="0.2">
      <c r="A352" t="str">
        <f>"2410016O06Rik"</f>
        <v>2410016O06Rik</v>
      </c>
      <c r="B352" t="s">
        <v>14</v>
      </c>
      <c r="C352" t="s">
        <v>16</v>
      </c>
      <c r="D352" t="s">
        <v>17</v>
      </c>
      <c r="E352" t="s">
        <v>12</v>
      </c>
      <c r="F352">
        <v>83950634</v>
      </c>
      <c r="G352">
        <v>83950705</v>
      </c>
      <c r="H352">
        <v>83950344</v>
      </c>
      <c r="I352">
        <v>83950345</v>
      </c>
    </row>
    <row r="353" spans="1:9" x14ac:dyDescent="0.2">
      <c r="A353" t="str">
        <f>"2410017I17Rik"</f>
        <v>2410017I17Rik</v>
      </c>
      <c r="B353" t="s">
        <v>14</v>
      </c>
      <c r="C353" t="s">
        <v>28</v>
      </c>
      <c r="D353" t="s">
        <v>17</v>
      </c>
      <c r="E353" t="s">
        <v>12</v>
      </c>
      <c r="F353">
        <v>36144933</v>
      </c>
      <c r="G353">
        <v>36144969</v>
      </c>
      <c r="H353">
        <v>36145016</v>
      </c>
      <c r="I353">
        <v>36145021</v>
      </c>
    </row>
    <row r="354" spans="1:9" x14ac:dyDescent="0.2">
      <c r="A354" t="str">
        <f>"2410018M08Rik"</f>
        <v>2410018M08Rik</v>
      </c>
      <c r="B354" t="s">
        <v>14</v>
      </c>
      <c r="C354" t="s">
        <v>46</v>
      </c>
      <c r="D354" t="s">
        <v>17</v>
      </c>
      <c r="E354" t="s">
        <v>12</v>
      </c>
      <c r="F354">
        <v>129895746</v>
      </c>
      <c r="G354">
        <v>129895800</v>
      </c>
      <c r="H354">
        <v>129895717</v>
      </c>
      <c r="I354">
        <v>129895742</v>
      </c>
    </row>
    <row r="355" spans="1:9" x14ac:dyDescent="0.2">
      <c r="A355" t="str">
        <f>"2410066E13Rik"</f>
        <v>2410066E13Rik</v>
      </c>
      <c r="B355" t="s">
        <v>14</v>
      </c>
      <c r="C355" t="s">
        <v>32</v>
      </c>
      <c r="D355" t="s">
        <v>17</v>
      </c>
      <c r="E355" t="s">
        <v>12</v>
      </c>
      <c r="F355">
        <v>54681687</v>
      </c>
      <c r="G355">
        <v>54681783</v>
      </c>
      <c r="H355">
        <v>54681609</v>
      </c>
      <c r="I355">
        <v>54681618</v>
      </c>
    </row>
    <row r="356" spans="1:9" x14ac:dyDescent="0.2">
      <c r="A356" t="str">
        <f>"2410076I21Rik"</f>
        <v>2410076I21Rik</v>
      </c>
      <c r="B356" t="s">
        <v>14</v>
      </c>
      <c r="C356" t="s">
        <v>24</v>
      </c>
      <c r="D356" t="s">
        <v>11</v>
      </c>
      <c r="E356" t="s">
        <v>12</v>
      </c>
      <c r="F356">
        <v>58741543</v>
      </c>
      <c r="G356">
        <v>58741580</v>
      </c>
      <c r="H356">
        <v>58741582</v>
      </c>
      <c r="I356">
        <v>58741585</v>
      </c>
    </row>
    <row r="357" spans="1:9" x14ac:dyDescent="0.2">
      <c r="A357" t="str">
        <f>"2410089E03Rik"</f>
        <v>2410089E03Rik</v>
      </c>
      <c r="B357" t="s">
        <v>14</v>
      </c>
      <c r="C357" t="s">
        <v>25</v>
      </c>
      <c r="D357" t="s">
        <v>17</v>
      </c>
      <c r="E357" t="s">
        <v>12</v>
      </c>
      <c r="F357">
        <v>8169031</v>
      </c>
      <c r="G357">
        <v>8169066</v>
      </c>
      <c r="H357">
        <v>8169067</v>
      </c>
      <c r="I357">
        <v>8169105</v>
      </c>
    </row>
    <row r="358" spans="1:9" x14ac:dyDescent="0.2">
      <c r="A358" t="str">
        <f>"2410124H12Rik"</f>
        <v>2410124H12Rik</v>
      </c>
      <c r="B358" t="s">
        <v>14</v>
      </c>
      <c r="C358" t="s">
        <v>31</v>
      </c>
      <c r="D358" t="s">
        <v>17</v>
      </c>
      <c r="E358" t="s">
        <v>12</v>
      </c>
      <c r="F358">
        <v>92478739</v>
      </c>
      <c r="G358">
        <v>92478783</v>
      </c>
      <c r="H358">
        <v>92478739</v>
      </c>
      <c r="I358">
        <v>92478783</v>
      </c>
    </row>
    <row r="359" spans="1:9" x14ac:dyDescent="0.2">
      <c r="A359" t="str">
        <f>"2410127L17Rik"</f>
        <v>2410127L17Rik</v>
      </c>
      <c r="B359" t="s">
        <v>14</v>
      </c>
      <c r="C359" t="s">
        <v>10</v>
      </c>
      <c r="D359" t="s">
        <v>17</v>
      </c>
      <c r="E359" t="s">
        <v>12</v>
      </c>
      <c r="F359">
        <v>18670812</v>
      </c>
      <c r="G359">
        <v>18670849</v>
      </c>
      <c r="H359">
        <v>18670780</v>
      </c>
      <c r="I359">
        <v>18670810</v>
      </c>
    </row>
    <row r="360" spans="1:9" x14ac:dyDescent="0.2">
      <c r="A360" t="str">
        <f>"2410131K14Rik"</f>
        <v>2410131K14Rik</v>
      </c>
      <c r="B360" t="s">
        <v>14</v>
      </c>
      <c r="C360" t="s">
        <v>46</v>
      </c>
      <c r="D360" t="s">
        <v>17</v>
      </c>
      <c r="E360" t="s">
        <v>12</v>
      </c>
      <c r="F360">
        <v>118245226</v>
      </c>
      <c r="G360">
        <v>118245289</v>
      </c>
      <c r="H360">
        <v>118245329</v>
      </c>
      <c r="I360">
        <v>118245357</v>
      </c>
    </row>
    <row r="361" spans="1:9" x14ac:dyDescent="0.2">
      <c r="A361" t="str">
        <f>"2410137M14Rik"</f>
        <v>2410137M14Rik</v>
      </c>
      <c r="B361" t="s">
        <v>14</v>
      </c>
      <c r="C361" t="s">
        <v>28</v>
      </c>
      <c r="D361" t="s">
        <v>11</v>
      </c>
      <c r="E361" t="s">
        <v>12</v>
      </c>
      <c r="F361">
        <v>36981207</v>
      </c>
      <c r="G361">
        <v>36981229</v>
      </c>
      <c r="H361">
        <v>36981207</v>
      </c>
      <c r="I361">
        <v>36981229</v>
      </c>
    </row>
    <row r="362" spans="1:9" x14ac:dyDescent="0.2">
      <c r="A362" t="str">
        <f>"2410141K09Rik"</f>
        <v>2410141K09Rik</v>
      </c>
      <c r="B362" t="s">
        <v>1981</v>
      </c>
      <c r="C362" t="s">
        <v>39</v>
      </c>
      <c r="D362" t="s">
        <v>11</v>
      </c>
      <c r="E362" t="s">
        <v>20</v>
      </c>
      <c r="F362">
        <v>66433894</v>
      </c>
      <c r="G362">
        <v>66433894</v>
      </c>
      <c r="H362">
        <v>66433894</v>
      </c>
      <c r="I362">
        <v>66433894</v>
      </c>
    </row>
    <row r="363" spans="1:9" x14ac:dyDescent="0.2">
      <c r="A363" t="str">
        <f>"2510002D24Rik"</f>
        <v>2510002D24Rik</v>
      </c>
      <c r="B363" t="s">
        <v>14</v>
      </c>
      <c r="C363" t="s">
        <v>31</v>
      </c>
      <c r="D363" t="s">
        <v>17</v>
      </c>
      <c r="E363" t="s">
        <v>12</v>
      </c>
      <c r="F363">
        <v>18836573</v>
      </c>
      <c r="G363">
        <v>18836583</v>
      </c>
      <c r="H363">
        <v>18836573</v>
      </c>
      <c r="I363">
        <v>18836583</v>
      </c>
    </row>
    <row r="364" spans="1:9" x14ac:dyDescent="0.2">
      <c r="A364" t="str">
        <f>"2510003E04Rik"</f>
        <v>2510003E04Rik</v>
      </c>
      <c r="B364" t="s">
        <v>14</v>
      </c>
      <c r="C364" t="s">
        <v>15</v>
      </c>
      <c r="D364" t="s">
        <v>11</v>
      </c>
      <c r="E364" t="s">
        <v>12</v>
      </c>
      <c r="F364">
        <v>62578387</v>
      </c>
      <c r="G364">
        <v>62578450</v>
      </c>
      <c r="H364">
        <v>62578197</v>
      </c>
      <c r="I364">
        <v>62578229</v>
      </c>
    </row>
    <row r="365" spans="1:9" x14ac:dyDescent="0.2">
      <c r="A365" t="str">
        <f>"2510009E07Rik"</f>
        <v>2510009E07Rik</v>
      </c>
      <c r="B365" t="s">
        <v>14</v>
      </c>
      <c r="C365" t="s">
        <v>31</v>
      </c>
      <c r="D365" t="s">
        <v>11</v>
      </c>
      <c r="E365" t="s">
        <v>12</v>
      </c>
      <c r="F365">
        <v>21694570</v>
      </c>
      <c r="G365">
        <v>21694601</v>
      </c>
      <c r="H365">
        <v>21694649</v>
      </c>
      <c r="I365">
        <v>21694678</v>
      </c>
    </row>
    <row r="366" spans="1:9" x14ac:dyDescent="0.2">
      <c r="A366" t="str">
        <f>"2510039O18Rik"</f>
        <v>2510039O18Rik</v>
      </c>
      <c r="B366" t="s">
        <v>14</v>
      </c>
      <c r="C366" t="s">
        <v>23</v>
      </c>
      <c r="D366" t="s">
        <v>17</v>
      </c>
      <c r="E366" t="s">
        <v>12</v>
      </c>
      <c r="F366">
        <v>147940859</v>
      </c>
      <c r="G366">
        <v>147940920</v>
      </c>
      <c r="H366">
        <v>147940926</v>
      </c>
      <c r="I366">
        <v>147940931</v>
      </c>
    </row>
    <row r="367" spans="1:9" x14ac:dyDescent="0.2">
      <c r="A367" t="str">
        <f>"2510046G10Rik"</f>
        <v>2510046G10Rik</v>
      </c>
      <c r="B367" t="s">
        <v>14</v>
      </c>
      <c r="C367" t="s">
        <v>33</v>
      </c>
      <c r="D367" t="s">
        <v>11</v>
      </c>
      <c r="E367" t="s">
        <v>67</v>
      </c>
      <c r="F367">
        <v>126649556</v>
      </c>
      <c r="G367">
        <v>126649580</v>
      </c>
      <c r="H367">
        <v>126649589</v>
      </c>
      <c r="I367">
        <v>126649598</v>
      </c>
    </row>
    <row r="368" spans="1:9" x14ac:dyDescent="0.2">
      <c r="A368" t="str">
        <f>"2510049J12Rik"</f>
        <v>2510049J12Rik</v>
      </c>
      <c r="B368" t="s">
        <v>14</v>
      </c>
      <c r="C368" t="s">
        <v>32</v>
      </c>
      <c r="D368" t="s">
        <v>11</v>
      </c>
      <c r="E368" t="s">
        <v>12</v>
      </c>
      <c r="F368">
        <v>115592571</v>
      </c>
      <c r="G368">
        <v>115592599</v>
      </c>
      <c r="H368">
        <v>115592543</v>
      </c>
      <c r="I368">
        <v>115592570</v>
      </c>
    </row>
    <row r="369" spans="1:9" x14ac:dyDescent="0.2">
      <c r="A369" t="str">
        <f>"2600006K01Rik"</f>
        <v>2600006K01Rik</v>
      </c>
      <c r="B369" t="s">
        <v>14</v>
      </c>
      <c r="C369" t="s">
        <v>26</v>
      </c>
      <c r="D369" t="s">
        <v>11</v>
      </c>
      <c r="E369" t="s">
        <v>67</v>
      </c>
      <c r="F369">
        <v>29870188</v>
      </c>
      <c r="G369">
        <v>29870223</v>
      </c>
      <c r="H369">
        <v>29870188</v>
      </c>
      <c r="I369">
        <v>29870223</v>
      </c>
    </row>
    <row r="370" spans="1:9" x14ac:dyDescent="0.2">
      <c r="A370" t="str">
        <f>"2610001J05Rik"</f>
        <v>2610001J05Rik</v>
      </c>
      <c r="B370" t="s">
        <v>14</v>
      </c>
      <c r="C370" t="s">
        <v>32</v>
      </c>
      <c r="D370" t="s">
        <v>11</v>
      </c>
      <c r="E370" t="s">
        <v>12</v>
      </c>
      <c r="F370">
        <v>13871477</v>
      </c>
      <c r="G370">
        <v>13871487</v>
      </c>
      <c r="H370">
        <v>13871477</v>
      </c>
      <c r="I370">
        <v>13871487</v>
      </c>
    </row>
    <row r="371" spans="1:9" x14ac:dyDescent="0.2">
      <c r="A371" t="str">
        <f>"2610002J02Rik"</f>
        <v>2610002J02Rik</v>
      </c>
      <c r="B371" t="s">
        <v>14</v>
      </c>
      <c r="C371" t="s">
        <v>23</v>
      </c>
      <c r="D371" t="s">
        <v>17</v>
      </c>
      <c r="E371" t="s">
        <v>12</v>
      </c>
      <c r="F371">
        <v>155249960</v>
      </c>
      <c r="G371">
        <v>155250010</v>
      </c>
      <c r="H371">
        <v>155250088</v>
      </c>
      <c r="I371">
        <v>155250123</v>
      </c>
    </row>
    <row r="372" spans="1:9" x14ac:dyDescent="0.2">
      <c r="A372" t="str">
        <f>"2610002M06Rik"</f>
        <v>2610002M06Rik</v>
      </c>
      <c r="B372" t="s">
        <v>14</v>
      </c>
      <c r="C372" t="s">
        <v>37</v>
      </c>
      <c r="D372" t="s">
        <v>11</v>
      </c>
      <c r="E372" t="s">
        <v>12</v>
      </c>
      <c r="F372">
        <v>107816238</v>
      </c>
      <c r="G372">
        <v>107816337</v>
      </c>
      <c r="H372">
        <v>107816379</v>
      </c>
      <c r="I372">
        <v>107816402</v>
      </c>
    </row>
    <row r="373" spans="1:9" x14ac:dyDescent="0.2">
      <c r="A373" t="str">
        <f>"2610008E11Rik"</f>
        <v>2610008E11Rik</v>
      </c>
      <c r="B373" t="s">
        <v>14</v>
      </c>
      <c r="C373" t="s">
        <v>15</v>
      </c>
      <c r="D373" t="s">
        <v>11</v>
      </c>
      <c r="E373" t="s">
        <v>12</v>
      </c>
      <c r="F373">
        <v>79097560</v>
      </c>
      <c r="G373">
        <v>79097614</v>
      </c>
      <c r="H373">
        <v>79097560</v>
      </c>
      <c r="I373">
        <v>79097614</v>
      </c>
    </row>
    <row r="374" spans="1:9" x14ac:dyDescent="0.2">
      <c r="A374" t="str">
        <f>"2610015P09Rik"</f>
        <v>2610015P09Rik</v>
      </c>
      <c r="B374" t="s">
        <v>14</v>
      </c>
      <c r="C374" t="s">
        <v>31</v>
      </c>
      <c r="D374" t="s">
        <v>17</v>
      </c>
      <c r="E374" t="s">
        <v>12</v>
      </c>
      <c r="F374">
        <v>43889896</v>
      </c>
      <c r="G374">
        <v>43889930</v>
      </c>
      <c r="H374">
        <v>43889865</v>
      </c>
      <c r="I374">
        <v>43889878</v>
      </c>
    </row>
    <row r="375" spans="1:9" x14ac:dyDescent="0.2">
      <c r="A375" t="str">
        <f>"2610018G03Rik"</f>
        <v>2610018G03Rik</v>
      </c>
      <c r="B375" t="s">
        <v>14</v>
      </c>
      <c r="C375" t="s">
        <v>37</v>
      </c>
      <c r="D375" t="s">
        <v>17</v>
      </c>
      <c r="E375" t="s">
        <v>12</v>
      </c>
      <c r="F375">
        <v>50841389</v>
      </c>
      <c r="G375">
        <v>50841421</v>
      </c>
      <c r="H375">
        <v>50841434</v>
      </c>
      <c r="I375">
        <v>50841449</v>
      </c>
    </row>
    <row r="376" spans="1:9" x14ac:dyDescent="0.2">
      <c r="A376" t="str">
        <f>"2610020H08Rik"</f>
        <v>2610020H08Rik</v>
      </c>
      <c r="B376" t="s">
        <v>14</v>
      </c>
      <c r="C376" t="s">
        <v>33</v>
      </c>
      <c r="D376" t="s">
        <v>17</v>
      </c>
      <c r="E376" t="s">
        <v>12</v>
      </c>
      <c r="F376">
        <v>119794102</v>
      </c>
      <c r="G376">
        <v>119794157</v>
      </c>
      <c r="H376">
        <v>119794021</v>
      </c>
      <c r="I376">
        <v>119794045</v>
      </c>
    </row>
    <row r="377" spans="1:9" x14ac:dyDescent="0.2">
      <c r="A377" t="str">
        <f>"2610021A01Rik"</f>
        <v>2610021A01Rik</v>
      </c>
      <c r="B377" t="s">
        <v>14</v>
      </c>
      <c r="C377" t="s">
        <v>33</v>
      </c>
      <c r="D377" t="s">
        <v>17</v>
      </c>
      <c r="E377" t="s">
        <v>67</v>
      </c>
      <c r="F377">
        <v>41599269</v>
      </c>
      <c r="G377">
        <v>41599318</v>
      </c>
      <c r="H377">
        <v>41599250</v>
      </c>
      <c r="I377">
        <v>41599266</v>
      </c>
    </row>
    <row r="378" spans="1:9" x14ac:dyDescent="0.2">
      <c r="A378" t="str">
        <f>"2610028H24Rik"</f>
        <v>2610028H24Rik</v>
      </c>
      <c r="B378" t="s">
        <v>14</v>
      </c>
      <c r="C378" t="s">
        <v>15</v>
      </c>
      <c r="D378" t="s">
        <v>17</v>
      </c>
      <c r="E378" t="s">
        <v>12</v>
      </c>
      <c r="F378">
        <v>76449121</v>
      </c>
      <c r="G378">
        <v>76449135</v>
      </c>
      <c r="H378">
        <v>76449074</v>
      </c>
      <c r="I378">
        <v>76449093</v>
      </c>
    </row>
    <row r="379" spans="1:9" x14ac:dyDescent="0.2">
      <c r="A379" t="str">
        <f>"2610034B18Rik"</f>
        <v>2610034B18Rik</v>
      </c>
      <c r="B379" t="s">
        <v>14</v>
      </c>
      <c r="C379" t="s">
        <v>33</v>
      </c>
      <c r="D379" t="s">
        <v>11</v>
      </c>
      <c r="E379" t="s">
        <v>12</v>
      </c>
      <c r="F379">
        <v>79935258</v>
      </c>
      <c r="G379">
        <v>79935371</v>
      </c>
      <c r="H379">
        <v>79935241</v>
      </c>
      <c r="I379">
        <v>79935255</v>
      </c>
    </row>
    <row r="380" spans="1:9" x14ac:dyDescent="0.2">
      <c r="A380" t="str">
        <f>"2610034M16Rik"</f>
        <v>2610034M16Rik</v>
      </c>
      <c r="B380" t="s">
        <v>14</v>
      </c>
      <c r="C380" t="s">
        <v>28</v>
      </c>
      <c r="D380" t="s">
        <v>11</v>
      </c>
      <c r="E380" t="s">
        <v>12</v>
      </c>
      <c r="F380">
        <v>58991343</v>
      </c>
      <c r="G380">
        <v>58991354</v>
      </c>
      <c r="H380">
        <v>58991343</v>
      </c>
      <c r="I380">
        <v>58991354</v>
      </c>
    </row>
    <row r="381" spans="1:9" x14ac:dyDescent="0.2">
      <c r="A381" t="str">
        <f>"2610042L04Rik"</f>
        <v>2610042L04Rik</v>
      </c>
      <c r="B381" t="s">
        <v>1982</v>
      </c>
      <c r="C381" t="s">
        <v>41</v>
      </c>
      <c r="D381" t="s">
        <v>17</v>
      </c>
      <c r="E381" t="s">
        <v>20</v>
      </c>
      <c r="F381">
        <v>4339562</v>
      </c>
      <c r="G381">
        <v>4339562</v>
      </c>
      <c r="H381">
        <v>4339562</v>
      </c>
      <c r="I381">
        <v>4339562</v>
      </c>
    </row>
    <row r="382" spans="1:9" x14ac:dyDescent="0.2">
      <c r="A382" t="str">
        <f>"2610042L04Rik"</f>
        <v>2610042L04Rik</v>
      </c>
      <c r="B382" t="s">
        <v>1983</v>
      </c>
      <c r="C382" t="s">
        <v>41</v>
      </c>
      <c r="D382" t="s">
        <v>17</v>
      </c>
      <c r="E382" t="s">
        <v>20</v>
      </c>
      <c r="F382">
        <v>4334762</v>
      </c>
      <c r="G382">
        <v>4334762</v>
      </c>
      <c r="H382">
        <v>4334762</v>
      </c>
      <c r="I382">
        <v>4334762</v>
      </c>
    </row>
    <row r="383" spans="1:9" x14ac:dyDescent="0.2">
      <c r="A383" t="str">
        <f>"2610044O15Rik8"</f>
        <v>2610044O15Rik8</v>
      </c>
      <c r="B383" t="s">
        <v>1984</v>
      </c>
      <c r="C383" t="s">
        <v>30</v>
      </c>
      <c r="D383" t="s">
        <v>11</v>
      </c>
      <c r="E383" t="s">
        <v>20</v>
      </c>
      <c r="F383">
        <v>129221949</v>
      </c>
      <c r="G383">
        <v>129221949</v>
      </c>
      <c r="H383">
        <v>129221949</v>
      </c>
      <c r="I383">
        <v>129221949</v>
      </c>
    </row>
    <row r="384" spans="1:9" x14ac:dyDescent="0.2">
      <c r="A384" t="str">
        <f>"2610203C22Rik"</f>
        <v>2610203C22Rik</v>
      </c>
      <c r="B384" t="s">
        <v>14</v>
      </c>
      <c r="C384" t="s">
        <v>19</v>
      </c>
      <c r="D384" t="s">
        <v>11</v>
      </c>
      <c r="E384" t="s">
        <v>12</v>
      </c>
      <c r="F384">
        <v>9631101</v>
      </c>
      <c r="G384">
        <v>9631116</v>
      </c>
      <c r="H384">
        <v>9631101</v>
      </c>
      <c r="I384">
        <v>9631116</v>
      </c>
    </row>
    <row r="385" spans="1:9" x14ac:dyDescent="0.2">
      <c r="A385" t="str">
        <f>"2610301B20Rik"</f>
        <v>2610301B20Rik</v>
      </c>
      <c r="B385" t="s">
        <v>14</v>
      </c>
      <c r="C385" t="s">
        <v>23</v>
      </c>
      <c r="D385" t="s">
        <v>17</v>
      </c>
      <c r="E385" t="s">
        <v>12</v>
      </c>
      <c r="F385">
        <v>10874538</v>
      </c>
      <c r="G385">
        <v>10874607</v>
      </c>
      <c r="H385">
        <v>10874499</v>
      </c>
      <c r="I385">
        <v>10874526</v>
      </c>
    </row>
    <row r="386" spans="1:9" x14ac:dyDescent="0.2">
      <c r="A386" t="str">
        <f>"2610303G11Rik"</f>
        <v>2610303G11Rik</v>
      </c>
      <c r="B386" t="s">
        <v>1985</v>
      </c>
      <c r="C386" t="s">
        <v>24</v>
      </c>
      <c r="D386" t="s">
        <v>11</v>
      </c>
      <c r="E386" t="s">
        <v>20</v>
      </c>
      <c r="F386">
        <v>98187151</v>
      </c>
      <c r="G386">
        <v>98187151</v>
      </c>
      <c r="H386">
        <v>98187151</v>
      </c>
      <c r="I386">
        <v>98187151</v>
      </c>
    </row>
    <row r="387" spans="1:9" x14ac:dyDescent="0.2">
      <c r="A387" t="str">
        <f>"2610305D13Rik"</f>
        <v>2610305D13Rik</v>
      </c>
      <c r="B387" t="s">
        <v>1986</v>
      </c>
      <c r="C387" t="s">
        <v>23</v>
      </c>
      <c r="D387" t="s">
        <v>11</v>
      </c>
      <c r="E387" t="s">
        <v>20</v>
      </c>
      <c r="F387">
        <v>147642509</v>
      </c>
      <c r="G387">
        <v>147642509</v>
      </c>
      <c r="H387">
        <v>147642509</v>
      </c>
      <c r="I387">
        <v>147642509</v>
      </c>
    </row>
    <row r="388" spans="1:9" x14ac:dyDescent="0.2">
      <c r="A388" t="str">
        <f>"2610318N02Rik"</f>
        <v>2610318N02Rik</v>
      </c>
      <c r="B388" t="s">
        <v>14</v>
      </c>
      <c r="C388" t="s">
        <v>31</v>
      </c>
      <c r="D388" t="s">
        <v>11</v>
      </c>
      <c r="E388" t="s">
        <v>12</v>
      </c>
      <c r="F388">
        <v>17125130</v>
      </c>
      <c r="G388">
        <v>17125146</v>
      </c>
      <c r="H388">
        <v>17125059</v>
      </c>
      <c r="I388">
        <v>17125060</v>
      </c>
    </row>
    <row r="389" spans="1:9" x14ac:dyDescent="0.2">
      <c r="A389" t="str">
        <f>"2610507B11Rik"</f>
        <v>2610507B11Rik</v>
      </c>
      <c r="B389" t="s">
        <v>14</v>
      </c>
      <c r="C389" t="s">
        <v>27</v>
      </c>
      <c r="D389" t="s">
        <v>17</v>
      </c>
      <c r="E389" t="s">
        <v>12</v>
      </c>
      <c r="F389">
        <v>78261717</v>
      </c>
      <c r="G389">
        <v>78261803</v>
      </c>
      <c r="H389">
        <v>78262477</v>
      </c>
      <c r="I389">
        <v>78262480</v>
      </c>
    </row>
    <row r="390" spans="1:9" x14ac:dyDescent="0.2">
      <c r="A390" t="str">
        <f>"2610524H06Rik"</f>
        <v>2610524H06Rik</v>
      </c>
      <c r="B390" t="s">
        <v>14</v>
      </c>
      <c r="C390" t="s">
        <v>46</v>
      </c>
      <c r="D390" t="s">
        <v>11</v>
      </c>
      <c r="E390" t="s">
        <v>12</v>
      </c>
      <c r="F390">
        <v>114823461</v>
      </c>
      <c r="G390">
        <v>114823475</v>
      </c>
      <c r="H390">
        <v>114823478</v>
      </c>
      <c r="I390">
        <v>114823489</v>
      </c>
    </row>
    <row r="391" spans="1:9" x14ac:dyDescent="0.2">
      <c r="A391" t="str">
        <f>"2610528A11Rik"</f>
        <v>2610528A11Rik</v>
      </c>
      <c r="B391" t="s">
        <v>14</v>
      </c>
      <c r="C391" t="s">
        <v>41</v>
      </c>
      <c r="D391" t="s">
        <v>11</v>
      </c>
      <c r="E391" t="s">
        <v>12</v>
      </c>
      <c r="F391">
        <v>37110087</v>
      </c>
      <c r="G391">
        <v>37110106</v>
      </c>
      <c r="H391">
        <v>37110087</v>
      </c>
      <c r="I391">
        <v>37110106</v>
      </c>
    </row>
    <row r="392" spans="1:9" x14ac:dyDescent="0.2">
      <c r="A392" t="str">
        <f>"2610528J11Rik"</f>
        <v>2610528J11Rik</v>
      </c>
      <c r="B392" t="s">
        <v>14</v>
      </c>
      <c r="C392" t="s">
        <v>23</v>
      </c>
      <c r="D392" t="s">
        <v>17</v>
      </c>
      <c r="E392" t="s">
        <v>12</v>
      </c>
      <c r="F392">
        <v>118527267</v>
      </c>
      <c r="G392">
        <v>118527303</v>
      </c>
      <c r="H392">
        <v>118527229</v>
      </c>
      <c r="I392">
        <v>118527247</v>
      </c>
    </row>
    <row r="393" spans="1:9" x14ac:dyDescent="0.2">
      <c r="A393" t="str">
        <f>"2700029M09Rik"</f>
        <v>2700029M09Rik</v>
      </c>
      <c r="B393" t="s">
        <v>14</v>
      </c>
      <c r="C393" t="s">
        <v>30</v>
      </c>
      <c r="D393" t="s">
        <v>17</v>
      </c>
      <c r="E393" t="s">
        <v>12</v>
      </c>
      <c r="F393">
        <v>60890410</v>
      </c>
      <c r="G393">
        <v>60890483</v>
      </c>
      <c r="H393">
        <v>60890301</v>
      </c>
      <c r="I393">
        <v>60890304</v>
      </c>
    </row>
    <row r="394" spans="1:9" x14ac:dyDescent="0.2">
      <c r="A394" t="str">
        <f>"2700046A07Rik"</f>
        <v>2700046A07Rik</v>
      </c>
      <c r="B394" t="s">
        <v>14</v>
      </c>
      <c r="C394" t="s">
        <v>43</v>
      </c>
      <c r="D394" t="s">
        <v>11</v>
      </c>
      <c r="E394" t="s">
        <v>12</v>
      </c>
      <c r="F394">
        <v>62756303</v>
      </c>
      <c r="G394">
        <v>62756319</v>
      </c>
      <c r="H394">
        <v>62756337</v>
      </c>
      <c r="I394">
        <v>62756340</v>
      </c>
    </row>
    <row r="395" spans="1:9" x14ac:dyDescent="0.2">
      <c r="A395" t="str">
        <f>"2700049A03Rik"</f>
        <v>2700049A03Rik</v>
      </c>
      <c r="B395" t="s">
        <v>14</v>
      </c>
      <c r="C395" t="s">
        <v>16</v>
      </c>
      <c r="D395" t="s">
        <v>17</v>
      </c>
      <c r="E395" t="s">
        <v>12</v>
      </c>
      <c r="F395">
        <v>71137170</v>
      </c>
      <c r="G395">
        <v>71137221</v>
      </c>
      <c r="H395">
        <v>71137170</v>
      </c>
      <c r="I395">
        <v>71137221</v>
      </c>
    </row>
    <row r="396" spans="1:9" x14ac:dyDescent="0.2">
      <c r="A396" t="str">
        <f>"2700050L05Rik"</f>
        <v>2700050L05Rik</v>
      </c>
      <c r="B396" t="s">
        <v>14</v>
      </c>
      <c r="C396" t="s">
        <v>33</v>
      </c>
      <c r="D396" t="s">
        <v>17</v>
      </c>
      <c r="E396" t="s">
        <v>12</v>
      </c>
      <c r="F396">
        <v>133637686</v>
      </c>
      <c r="G396">
        <v>133637742</v>
      </c>
      <c r="H396">
        <v>133637667</v>
      </c>
      <c r="I396">
        <v>133637676</v>
      </c>
    </row>
    <row r="397" spans="1:9" x14ac:dyDescent="0.2">
      <c r="A397" t="str">
        <f>"2700060E02Rik"</f>
        <v>2700060E02Rik</v>
      </c>
      <c r="B397" t="s">
        <v>14</v>
      </c>
      <c r="C397" t="s">
        <v>41</v>
      </c>
      <c r="D397" t="s">
        <v>11</v>
      </c>
      <c r="E397" t="s">
        <v>12</v>
      </c>
      <c r="F397">
        <v>19823807</v>
      </c>
      <c r="G397">
        <v>19823832</v>
      </c>
      <c r="H397">
        <v>19823771</v>
      </c>
      <c r="I397">
        <v>19823797</v>
      </c>
    </row>
    <row r="398" spans="1:9" x14ac:dyDescent="0.2">
      <c r="A398" t="str">
        <f>"2700062C07Rik"</f>
        <v>2700062C07Rik</v>
      </c>
      <c r="B398" t="s">
        <v>14</v>
      </c>
      <c r="C398" t="s">
        <v>43</v>
      </c>
      <c r="D398" t="s">
        <v>17</v>
      </c>
      <c r="E398" t="s">
        <v>12</v>
      </c>
      <c r="F398">
        <v>24470844</v>
      </c>
      <c r="G398">
        <v>24470922</v>
      </c>
      <c r="H398">
        <v>24470800</v>
      </c>
      <c r="I398">
        <v>24470813</v>
      </c>
    </row>
    <row r="399" spans="1:9" x14ac:dyDescent="0.2">
      <c r="A399" t="str">
        <f>"2700073G19Rik"</f>
        <v>2700073G19Rik</v>
      </c>
      <c r="B399" t="s">
        <v>14</v>
      </c>
      <c r="C399" t="s">
        <v>16</v>
      </c>
      <c r="D399" t="s">
        <v>11</v>
      </c>
      <c r="E399" t="s">
        <v>67</v>
      </c>
      <c r="F399">
        <v>87443800</v>
      </c>
      <c r="G399">
        <v>87443850</v>
      </c>
      <c r="H399">
        <v>87443800</v>
      </c>
      <c r="I399">
        <v>87443850</v>
      </c>
    </row>
    <row r="400" spans="1:9" x14ac:dyDescent="0.2">
      <c r="A400" t="str">
        <f>"2700081O15Rik"</f>
        <v>2700081O15Rik</v>
      </c>
      <c r="B400" t="s">
        <v>14</v>
      </c>
      <c r="C400" t="s">
        <v>10</v>
      </c>
      <c r="D400" t="s">
        <v>17</v>
      </c>
      <c r="E400" t="s">
        <v>12</v>
      </c>
      <c r="F400">
        <v>7417586</v>
      </c>
      <c r="G400">
        <v>7417650</v>
      </c>
      <c r="H400">
        <v>7417586</v>
      </c>
      <c r="I400">
        <v>7417650</v>
      </c>
    </row>
    <row r="401" spans="1:9" x14ac:dyDescent="0.2">
      <c r="A401" t="str">
        <f>"2700089E24Rik"</f>
        <v>2700089E24Rik</v>
      </c>
      <c r="B401" t="s">
        <v>14</v>
      </c>
      <c r="C401" t="s">
        <v>32</v>
      </c>
      <c r="D401" t="s">
        <v>17</v>
      </c>
      <c r="E401" t="s">
        <v>12</v>
      </c>
      <c r="F401">
        <v>133105240</v>
      </c>
      <c r="G401">
        <v>133105319</v>
      </c>
      <c r="H401">
        <v>133105199</v>
      </c>
      <c r="I401">
        <v>133105208</v>
      </c>
    </row>
    <row r="402" spans="1:9" x14ac:dyDescent="0.2">
      <c r="A402" t="str">
        <f>"2700094K13Rik"</f>
        <v>2700094K13Rik</v>
      </c>
      <c r="B402" t="s">
        <v>14</v>
      </c>
      <c r="C402" t="s">
        <v>26</v>
      </c>
      <c r="D402" t="s">
        <v>11</v>
      </c>
      <c r="E402" t="s">
        <v>12</v>
      </c>
      <c r="F402">
        <v>84670659</v>
      </c>
      <c r="G402">
        <v>84670726</v>
      </c>
      <c r="H402">
        <v>84670727</v>
      </c>
      <c r="I402">
        <v>84670742</v>
      </c>
    </row>
    <row r="403" spans="1:9" x14ac:dyDescent="0.2">
      <c r="A403" t="str">
        <f>"2700097O09Rik"</f>
        <v>2700097O09Rik</v>
      </c>
      <c r="B403" t="s">
        <v>14</v>
      </c>
      <c r="C403" t="s">
        <v>16</v>
      </c>
      <c r="D403" t="s">
        <v>11</v>
      </c>
      <c r="E403" t="s">
        <v>12</v>
      </c>
      <c r="F403">
        <v>55080098</v>
      </c>
      <c r="G403">
        <v>55080121</v>
      </c>
      <c r="H403">
        <v>55080437</v>
      </c>
      <c r="I403">
        <v>55080469</v>
      </c>
    </row>
    <row r="404" spans="1:9" x14ac:dyDescent="0.2">
      <c r="A404" t="str">
        <f>"2810004N23Rik"</f>
        <v>2810004N23Rik</v>
      </c>
      <c r="B404" t="s">
        <v>14</v>
      </c>
      <c r="C404" t="s">
        <v>30</v>
      </c>
      <c r="D404" t="s">
        <v>11</v>
      </c>
      <c r="E404" t="s">
        <v>12</v>
      </c>
      <c r="F404">
        <v>124862972</v>
      </c>
      <c r="G404">
        <v>124863006</v>
      </c>
      <c r="H404">
        <v>124863008</v>
      </c>
      <c r="I404">
        <v>124863019</v>
      </c>
    </row>
    <row r="405" spans="1:9" x14ac:dyDescent="0.2">
      <c r="A405" t="str">
        <f>"2810006K23Rik"</f>
        <v>2810006K23Rik</v>
      </c>
      <c r="B405" t="s">
        <v>14</v>
      </c>
      <c r="C405" t="s">
        <v>46</v>
      </c>
      <c r="D405" t="s">
        <v>17</v>
      </c>
      <c r="E405" t="s">
        <v>12</v>
      </c>
      <c r="F405">
        <v>124328131</v>
      </c>
      <c r="G405">
        <v>124328188</v>
      </c>
      <c r="H405">
        <v>124328195</v>
      </c>
      <c r="I405">
        <v>124328209</v>
      </c>
    </row>
    <row r="406" spans="1:9" x14ac:dyDescent="0.2">
      <c r="A406" t="str">
        <f>"2810007J24Rik"</f>
        <v>2810007J24Rik</v>
      </c>
      <c r="B406" t="s">
        <v>14</v>
      </c>
      <c r="C406" t="s">
        <v>33</v>
      </c>
      <c r="D406" t="s">
        <v>11</v>
      </c>
      <c r="E406" t="s">
        <v>12</v>
      </c>
      <c r="F406">
        <v>14438538</v>
      </c>
      <c r="G406">
        <v>14438558</v>
      </c>
      <c r="H406">
        <v>14438538</v>
      </c>
      <c r="I406">
        <v>14438558</v>
      </c>
    </row>
    <row r="407" spans="1:9" x14ac:dyDescent="0.2">
      <c r="A407" t="str">
        <f>"2810021J22Rik"</f>
        <v>2810021J22Rik</v>
      </c>
      <c r="B407" t="s">
        <v>14</v>
      </c>
      <c r="C407" t="s">
        <v>27</v>
      </c>
      <c r="D407" t="s">
        <v>17</v>
      </c>
      <c r="E407" t="s">
        <v>12</v>
      </c>
      <c r="F407">
        <v>58867230</v>
      </c>
      <c r="G407">
        <v>58867275</v>
      </c>
      <c r="H407">
        <v>58867204</v>
      </c>
      <c r="I407">
        <v>58867229</v>
      </c>
    </row>
    <row r="408" spans="1:9" x14ac:dyDescent="0.2">
      <c r="A408" t="str">
        <f>"2810025M15Rik"</f>
        <v>2810025M15Rik</v>
      </c>
      <c r="B408" t="s">
        <v>14</v>
      </c>
      <c r="C408" t="s">
        <v>19</v>
      </c>
      <c r="D408" t="s">
        <v>17</v>
      </c>
      <c r="E408" t="s">
        <v>12</v>
      </c>
      <c r="F408">
        <v>157412701</v>
      </c>
      <c r="G408">
        <v>157412774</v>
      </c>
      <c r="H408">
        <v>157412335</v>
      </c>
      <c r="I408">
        <v>157412353</v>
      </c>
    </row>
    <row r="409" spans="1:9" x14ac:dyDescent="0.2">
      <c r="A409" t="str">
        <f>"2810032G03Rik"</f>
        <v>2810032G03Rik</v>
      </c>
      <c r="B409" t="s">
        <v>9</v>
      </c>
      <c r="C409" t="s">
        <v>16</v>
      </c>
      <c r="D409" t="s">
        <v>17</v>
      </c>
      <c r="E409" t="s">
        <v>67</v>
      </c>
      <c r="F409">
        <v>5411640</v>
      </c>
      <c r="G409">
        <v>5411649</v>
      </c>
      <c r="H409">
        <v>5411640</v>
      </c>
      <c r="I409">
        <v>5411649</v>
      </c>
    </row>
    <row r="410" spans="1:9" x14ac:dyDescent="0.2">
      <c r="A410" t="str">
        <f>"2810032G03Rik"</f>
        <v>2810032G03Rik</v>
      </c>
      <c r="B410" t="s">
        <v>13</v>
      </c>
      <c r="C410" t="s">
        <v>16</v>
      </c>
      <c r="D410" t="s">
        <v>17</v>
      </c>
      <c r="E410" t="s">
        <v>67</v>
      </c>
      <c r="F410">
        <v>5375833</v>
      </c>
      <c r="G410">
        <v>5375852</v>
      </c>
      <c r="H410">
        <v>5375833</v>
      </c>
      <c r="I410">
        <v>5375852</v>
      </c>
    </row>
    <row r="411" spans="1:9" x14ac:dyDescent="0.2">
      <c r="A411" t="str">
        <f>"2810403A07Rik"</f>
        <v>2810403A07Rik</v>
      </c>
      <c r="B411" t="s">
        <v>14</v>
      </c>
      <c r="C411" t="s">
        <v>22</v>
      </c>
      <c r="D411" t="s">
        <v>17</v>
      </c>
      <c r="E411" t="s">
        <v>12</v>
      </c>
      <c r="F411">
        <v>88685802</v>
      </c>
      <c r="G411">
        <v>88685852</v>
      </c>
      <c r="H411">
        <v>88685785</v>
      </c>
      <c r="I411">
        <v>88685796</v>
      </c>
    </row>
    <row r="412" spans="1:9" x14ac:dyDescent="0.2">
      <c r="A412" t="str">
        <f>"2810407A14Rik"</f>
        <v>2810407A14Rik</v>
      </c>
      <c r="B412" t="s">
        <v>14</v>
      </c>
      <c r="C412" t="s">
        <v>31</v>
      </c>
      <c r="D412" t="s">
        <v>17</v>
      </c>
      <c r="E412" t="s">
        <v>67</v>
      </c>
      <c r="F412">
        <v>87784478</v>
      </c>
      <c r="G412">
        <v>87784493</v>
      </c>
      <c r="H412">
        <v>87784478</v>
      </c>
      <c r="I412">
        <v>87784493</v>
      </c>
    </row>
    <row r="413" spans="1:9" x14ac:dyDescent="0.2">
      <c r="A413" t="str">
        <f>"2810408A11Rik"</f>
        <v>2810408A11Rik</v>
      </c>
      <c r="B413" t="s">
        <v>14</v>
      </c>
      <c r="C413" t="s">
        <v>27</v>
      </c>
      <c r="D413" t="s">
        <v>11</v>
      </c>
      <c r="E413" t="s">
        <v>12</v>
      </c>
      <c r="F413">
        <v>69900896</v>
      </c>
      <c r="G413">
        <v>69900929</v>
      </c>
      <c r="H413">
        <v>69900949</v>
      </c>
      <c r="I413">
        <v>69901001</v>
      </c>
    </row>
    <row r="414" spans="1:9" x14ac:dyDescent="0.2">
      <c r="A414" t="str">
        <f>"2810408M09Rik"</f>
        <v>2810408M09Rik</v>
      </c>
      <c r="B414" t="s">
        <v>14</v>
      </c>
      <c r="C414" t="s">
        <v>26</v>
      </c>
      <c r="D414" t="s">
        <v>11</v>
      </c>
      <c r="E414" t="s">
        <v>12</v>
      </c>
      <c r="F414">
        <v>165493298</v>
      </c>
      <c r="G414">
        <v>165493330</v>
      </c>
      <c r="H414">
        <v>165493298</v>
      </c>
      <c r="I414">
        <v>165493330</v>
      </c>
    </row>
    <row r="415" spans="1:9" x14ac:dyDescent="0.2">
      <c r="A415" t="str">
        <f>"2810417H13Rik"</f>
        <v>2810417H13Rik</v>
      </c>
      <c r="B415" t="s">
        <v>14</v>
      </c>
      <c r="C415" t="s">
        <v>24</v>
      </c>
      <c r="D415" t="s">
        <v>17</v>
      </c>
      <c r="E415" t="s">
        <v>12</v>
      </c>
      <c r="F415">
        <v>65890291</v>
      </c>
      <c r="G415">
        <v>65890343</v>
      </c>
      <c r="H415">
        <v>65890344</v>
      </c>
      <c r="I415">
        <v>65890358</v>
      </c>
    </row>
    <row r="416" spans="1:9" x14ac:dyDescent="0.2">
      <c r="A416" t="str">
        <f>"2810428I15Rik"</f>
        <v>2810428I15Rik</v>
      </c>
      <c r="B416" t="s">
        <v>14</v>
      </c>
      <c r="C416" t="s">
        <v>30</v>
      </c>
      <c r="D416" t="s">
        <v>11</v>
      </c>
      <c r="E416" t="s">
        <v>12</v>
      </c>
      <c r="F416">
        <v>70506710</v>
      </c>
      <c r="G416">
        <v>70506766</v>
      </c>
      <c r="H416">
        <v>70506346</v>
      </c>
      <c r="I416">
        <v>70506376</v>
      </c>
    </row>
    <row r="417" spans="1:9" x14ac:dyDescent="0.2">
      <c r="A417" t="str">
        <f>"2810459M11Rik"</f>
        <v>2810459M11Rik</v>
      </c>
      <c r="B417" t="s">
        <v>14</v>
      </c>
      <c r="C417" t="s">
        <v>19</v>
      </c>
      <c r="D417" t="s">
        <v>17</v>
      </c>
      <c r="E417" t="s">
        <v>12</v>
      </c>
      <c r="F417">
        <v>86045920</v>
      </c>
      <c r="G417">
        <v>86045968</v>
      </c>
      <c r="H417">
        <v>86046236</v>
      </c>
      <c r="I417">
        <v>86046268</v>
      </c>
    </row>
    <row r="418" spans="1:9" x14ac:dyDescent="0.2">
      <c r="A418" t="str">
        <f>"2810474O19Rik"</f>
        <v>2810474O19Rik</v>
      </c>
      <c r="B418" t="s">
        <v>14</v>
      </c>
      <c r="C418" t="s">
        <v>32</v>
      </c>
      <c r="D418" t="s">
        <v>17</v>
      </c>
      <c r="E418" t="s">
        <v>12</v>
      </c>
      <c r="F418">
        <v>149309391</v>
      </c>
      <c r="G418">
        <v>149309438</v>
      </c>
      <c r="H418">
        <v>149309444</v>
      </c>
      <c r="I418">
        <v>149309482</v>
      </c>
    </row>
    <row r="419" spans="1:9" x14ac:dyDescent="0.2">
      <c r="A419" t="str">
        <f>"2900011O08Rik"</f>
        <v>2900011O08Rik</v>
      </c>
      <c r="B419" t="s">
        <v>14</v>
      </c>
      <c r="C419" t="s">
        <v>31</v>
      </c>
      <c r="D419" t="s">
        <v>17</v>
      </c>
      <c r="E419" t="s">
        <v>12</v>
      </c>
      <c r="F419">
        <v>13986596</v>
      </c>
      <c r="G419">
        <v>13986665</v>
      </c>
      <c r="H419">
        <v>13986596</v>
      </c>
      <c r="I419">
        <v>13986665</v>
      </c>
    </row>
    <row r="420" spans="1:9" x14ac:dyDescent="0.2">
      <c r="A420" t="str">
        <f>"2900026A02Rik"</f>
        <v>2900026A02Rik</v>
      </c>
      <c r="B420" t="s">
        <v>14</v>
      </c>
      <c r="C420" t="s">
        <v>46</v>
      </c>
      <c r="D420" t="s">
        <v>11</v>
      </c>
      <c r="E420" t="s">
        <v>12</v>
      </c>
      <c r="F420">
        <v>113163288</v>
      </c>
      <c r="G420">
        <v>113163308</v>
      </c>
      <c r="H420">
        <v>113163319</v>
      </c>
      <c r="I420">
        <v>113163333</v>
      </c>
    </row>
    <row r="421" spans="1:9" x14ac:dyDescent="0.2">
      <c r="A421" t="str">
        <f>"2900055J20Rik"</f>
        <v>2900055J20Rik</v>
      </c>
      <c r="B421" t="s">
        <v>14</v>
      </c>
      <c r="C421" t="s">
        <v>43</v>
      </c>
      <c r="D421" t="s">
        <v>17</v>
      </c>
      <c r="E421" t="s">
        <v>12</v>
      </c>
      <c r="F421">
        <v>40256960</v>
      </c>
      <c r="G421">
        <v>40257018</v>
      </c>
      <c r="H421">
        <v>40256870</v>
      </c>
      <c r="I421">
        <v>40256882</v>
      </c>
    </row>
    <row r="422" spans="1:9" x14ac:dyDescent="0.2">
      <c r="A422" t="str">
        <f>"2900060B14Rik"</f>
        <v>2900060B14Rik</v>
      </c>
      <c r="B422" t="s">
        <v>14</v>
      </c>
      <c r="C422" t="s">
        <v>19</v>
      </c>
      <c r="D422" t="s">
        <v>11</v>
      </c>
      <c r="E422" t="s">
        <v>12</v>
      </c>
      <c r="F422">
        <v>118459263</v>
      </c>
      <c r="G422">
        <v>118459267</v>
      </c>
      <c r="H422">
        <v>118459263</v>
      </c>
      <c r="I422">
        <v>118459267</v>
      </c>
    </row>
    <row r="423" spans="1:9" x14ac:dyDescent="0.2">
      <c r="A423" t="str">
        <f>"2900092C05Rik"</f>
        <v>2900092C05Rik</v>
      </c>
      <c r="B423" t="s">
        <v>14</v>
      </c>
      <c r="C423" t="s">
        <v>33</v>
      </c>
      <c r="D423" t="s">
        <v>17</v>
      </c>
      <c r="E423" t="s">
        <v>12</v>
      </c>
      <c r="F423">
        <v>12512488</v>
      </c>
      <c r="G423">
        <v>12512512</v>
      </c>
      <c r="H423">
        <v>12512522</v>
      </c>
      <c r="I423">
        <v>12512540</v>
      </c>
    </row>
    <row r="424" spans="1:9" x14ac:dyDescent="0.2">
      <c r="A424" t="str">
        <f>"2900097C17Rik"</f>
        <v>2900097C17Rik</v>
      </c>
      <c r="B424" t="s">
        <v>14</v>
      </c>
      <c r="C424" t="s">
        <v>26</v>
      </c>
      <c r="D424" t="s">
        <v>11</v>
      </c>
      <c r="E424" t="s">
        <v>12</v>
      </c>
      <c r="F424">
        <v>156392961</v>
      </c>
      <c r="G424">
        <v>156392993</v>
      </c>
      <c r="H424">
        <v>156392994</v>
      </c>
      <c r="I424">
        <v>156393003</v>
      </c>
    </row>
    <row r="425" spans="1:9" x14ac:dyDescent="0.2">
      <c r="A425" t="str">
        <f>"3010026O09Rik"</f>
        <v>3010026O09Rik</v>
      </c>
      <c r="B425" t="s">
        <v>14</v>
      </c>
      <c r="C425" t="s">
        <v>27</v>
      </c>
      <c r="D425" t="s">
        <v>17</v>
      </c>
      <c r="E425" t="s">
        <v>12</v>
      </c>
      <c r="F425">
        <v>50174839</v>
      </c>
      <c r="G425">
        <v>50174884</v>
      </c>
      <c r="H425">
        <v>50174813</v>
      </c>
      <c r="I425">
        <v>50174822</v>
      </c>
    </row>
    <row r="426" spans="1:9" x14ac:dyDescent="0.2">
      <c r="A426" t="str">
        <f>"3100002H09Rik"</f>
        <v>3100002H09Rik</v>
      </c>
      <c r="B426" t="s">
        <v>1987</v>
      </c>
      <c r="C426" t="s">
        <v>23</v>
      </c>
      <c r="D426" t="s">
        <v>11</v>
      </c>
      <c r="E426" t="s">
        <v>20</v>
      </c>
      <c r="F426">
        <v>124610802</v>
      </c>
      <c r="G426">
        <v>124610802</v>
      </c>
      <c r="H426">
        <v>124610802</v>
      </c>
      <c r="I426">
        <v>124610802</v>
      </c>
    </row>
    <row r="427" spans="1:9" x14ac:dyDescent="0.2">
      <c r="A427" t="str">
        <f>"3110001I22Rik"</f>
        <v>3110001I22Rik</v>
      </c>
      <c r="B427" t="s">
        <v>14</v>
      </c>
      <c r="C427" t="s">
        <v>31</v>
      </c>
      <c r="D427" t="s">
        <v>17</v>
      </c>
      <c r="E427" t="s">
        <v>12</v>
      </c>
      <c r="F427">
        <v>13671980</v>
      </c>
      <c r="G427">
        <v>13672032</v>
      </c>
      <c r="H427">
        <v>13671858</v>
      </c>
      <c r="I427">
        <v>13671918</v>
      </c>
    </row>
    <row r="428" spans="1:9" x14ac:dyDescent="0.2">
      <c r="A428" t="str">
        <f>"3110002H16Rik"</f>
        <v>3110002H16Rik</v>
      </c>
      <c r="B428" t="s">
        <v>14</v>
      </c>
      <c r="C428" t="s">
        <v>43</v>
      </c>
      <c r="D428" t="s">
        <v>17</v>
      </c>
      <c r="E428" t="s">
        <v>12</v>
      </c>
      <c r="F428">
        <v>12168711</v>
      </c>
      <c r="G428">
        <v>12168791</v>
      </c>
      <c r="H428">
        <v>12168711</v>
      </c>
      <c r="I428">
        <v>12168791</v>
      </c>
    </row>
    <row r="429" spans="1:9" x14ac:dyDescent="0.2">
      <c r="A429" t="str">
        <f>"3110007F17Rik"</f>
        <v>3110007F17Rik</v>
      </c>
      <c r="B429" t="s">
        <v>14</v>
      </c>
      <c r="C429" t="s">
        <v>37</v>
      </c>
      <c r="D429" t="s">
        <v>17</v>
      </c>
      <c r="E429" t="s">
        <v>12</v>
      </c>
      <c r="F429">
        <v>123103546</v>
      </c>
      <c r="G429">
        <v>123103572</v>
      </c>
      <c r="H429">
        <v>123103516</v>
      </c>
      <c r="I429">
        <v>123103534</v>
      </c>
    </row>
    <row r="430" spans="1:9" x14ac:dyDescent="0.2">
      <c r="A430" t="str">
        <f>"3110009E18Rik"</f>
        <v>3110009E18Rik</v>
      </c>
      <c r="B430" t="s">
        <v>14</v>
      </c>
      <c r="C430" t="s">
        <v>19</v>
      </c>
      <c r="D430" t="s">
        <v>17</v>
      </c>
      <c r="E430" t="s">
        <v>12</v>
      </c>
      <c r="F430">
        <v>120121161</v>
      </c>
      <c r="G430">
        <v>120121183</v>
      </c>
      <c r="H430">
        <v>120121248</v>
      </c>
      <c r="I430">
        <v>120121296</v>
      </c>
    </row>
    <row r="431" spans="1:9" x14ac:dyDescent="0.2">
      <c r="A431" t="str">
        <f>"3110018I06Rik"</f>
        <v>3110018I06Rik</v>
      </c>
      <c r="B431" t="s">
        <v>1988</v>
      </c>
      <c r="C431" t="s">
        <v>16</v>
      </c>
      <c r="D431" t="s">
        <v>17</v>
      </c>
      <c r="E431" t="s">
        <v>20</v>
      </c>
      <c r="F431">
        <v>107488631</v>
      </c>
      <c r="G431">
        <v>107488631</v>
      </c>
      <c r="H431">
        <v>107488631</v>
      </c>
      <c r="I431">
        <v>107488631</v>
      </c>
    </row>
    <row r="432" spans="1:9" x14ac:dyDescent="0.2">
      <c r="A432" t="str">
        <f>"3110021A11Rik"</f>
        <v>3110021A11Rik</v>
      </c>
      <c r="B432" t="s">
        <v>14</v>
      </c>
      <c r="C432" t="s">
        <v>32</v>
      </c>
      <c r="D432" t="s">
        <v>17</v>
      </c>
      <c r="E432" t="s">
        <v>12</v>
      </c>
      <c r="F432">
        <v>119848227</v>
      </c>
      <c r="G432">
        <v>119848259</v>
      </c>
      <c r="H432">
        <v>119848210</v>
      </c>
      <c r="I432">
        <v>119848221</v>
      </c>
    </row>
    <row r="433" spans="1:9" x14ac:dyDescent="0.2">
      <c r="A433" t="str">
        <f>"3110021N24Rik"</f>
        <v>3110021N24Rik</v>
      </c>
      <c r="B433" t="s">
        <v>1989</v>
      </c>
      <c r="C433" t="s">
        <v>23</v>
      </c>
      <c r="D433" t="s">
        <v>17</v>
      </c>
      <c r="E433" t="s">
        <v>20</v>
      </c>
      <c r="F433">
        <v>108719648</v>
      </c>
      <c r="G433">
        <v>108719648</v>
      </c>
      <c r="H433">
        <v>108719648</v>
      </c>
      <c r="I433">
        <v>108719648</v>
      </c>
    </row>
    <row r="434" spans="1:9" x14ac:dyDescent="0.2">
      <c r="A434" t="str">
        <f>"3110035E14Rik"</f>
        <v>3110035E14Rik</v>
      </c>
      <c r="B434" t="s">
        <v>14</v>
      </c>
      <c r="C434" t="s">
        <v>19</v>
      </c>
      <c r="D434" t="s">
        <v>17</v>
      </c>
      <c r="E434" t="s">
        <v>12</v>
      </c>
      <c r="F434">
        <v>9601163</v>
      </c>
      <c r="G434">
        <v>9601256</v>
      </c>
      <c r="H434">
        <v>9601263</v>
      </c>
      <c r="I434">
        <v>9601310</v>
      </c>
    </row>
    <row r="435" spans="1:9" x14ac:dyDescent="0.2">
      <c r="A435" t="str">
        <f>"3110039M20Rik"</f>
        <v>3110039M20Rik</v>
      </c>
      <c r="B435" t="s">
        <v>14</v>
      </c>
      <c r="C435" t="s">
        <v>16</v>
      </c>
      <c r="D435" t="s">
        <v>17</v>
      </c>
      <c r="E435" t="s">
        <v>12</v>
      </c>
      <c r="F435">
        <v>49389859</v>
      </c>
      <c r="G435">
        <v>49389894</v>
      </c>
      <c r="H435">
        <v>49389859</v>
      </c>
      <c r="I435">
        <v>49389894</v>
      </c>
    </row>
    <row r="436" spans="1:9" x14ac:dyDescent="0.2">
      <c r="A436" t="str">
        <f>"3110040N11Rik"</f>
        <v>3110040N11Rik</v>
      </c>
      <c r="B436" t="s">
        <v>14</v>
      </c>
      <c r="C436" t="s">
        <v>33</v>
      </c>
      <c r="D436" t="s">
        <v>11</v>
      </c>
      <c r="E436" t="s">
        <v>12</v>
      </c>
      <c r="F436">
        <v>81789426</v>
      </c>
      <c r="G436">
        <v>81789490</v>
      </c>
      <c r="H436">
        <v>81789426</v>
      </c>
      <c r="I436">
        <v>81789490</v>
      </c>
    </row>
    <row r="437" spans="1:9" x14ac:dyDescent="0.2">
      <c r="A437" t="str">
        <f>"3110043O21Rik"</f>
        <v>3110043O21Rik</v>
      </c>
      <c r="B437" t="s">
        <v>14</v>
      </c>
      <c r="C437" t="s">
        <v>23</v>
      </c>
      <c r="D437" t="s">
        <v>11</v>
      </c>
      <c r="E437" t="s">
        <v>12</v>
      </c>
      <c r="F437">
        <v>35225789</v>
      </c>
      <c r="G437">
        <v>35225857</v>
      </c>
      <c r="H437">
        <v>35226128</v>
      </c>
      <c r="I437">
        <v>35226157</v>
      </c>
    </row>
    <row r="438" spans="1:9" x14ac:dyDescent="0.2">
      <c r="A438" t="str">
        <f>"3110047P20Rik"</f>
        <v>3110047P20Rik</v>
      </c>
      <c r="B438" t="s">
        <v>14</v>
      </c>
      <c r="C438" t="s">
        <v>46</v>
      </c>
      <c r="D438" t="s">
        <v>17</v>
      </c>
      <c r="E438" t="s">
        <v>12</v>
      </c>
      <c r="F438">
        <v>63649335</v>
      </c>
      <c r="G438">
        <v>63649350</v>
      </c>
      <c r="H438">
        <v>63649141</v>
      </c>
      <c r="I438">
        <v>63649190</v>
      </c>
    </row>
    <row r="439" spans="1:9" x14ac:dyDescent="0.2">
      <c r="A439" t="str">
        <f>"3110052M02Rik"</f>
        <v>3110052M02Rik</v>
      </c>
      <c r="B439" t="s">
        <v>14</v>
      </c>
      <c r="C439" t="s">
        <v>28</v>
      </c>
      <c r="D439" t="s">
        <v>17</v>
      </c>
      <c r="E439" t="s">
        <v>12</v>
      </c>
      <c r="F439">
        <v>21650807</v>
      </c>
      <c r="G439">
        <v>21650827</v>
      </c>
      <c r="H439">
        <v>21650807</v>
      </c>
      <c r="I439">
        <v>21650827</v>
      </c>
    </row>
    <row r="440" spans="1:9" x14ac:dyDescent="0.2">
      <c r="A440" t="str">
        <f>"3110057O12Rik"</f>
        <v>3110057O12Rik</v>
      </c>
      <c r="B440" t="s">
        <v>14</v>
      </c>
      <c r="C440" t="s">
        <v>22</v>
      </c>
      <c r="D440" t="s">
        <v>17</v>
      </c>
      <c r="E440" t="s">
        <v>12</v>
      </c>
      <c r="F440">
        <v>40894123</v>
      </c>
      <c r="G440">
        <v>40894148</v>
      </c>
      <c r="H440">
        <v>40894123</v>
      </c>
      <c r="I440">
        <v>40894148</v>
      </c>
    </row>
    <row r="441" spans="1:9" x14ac:dyDescent="0.2">
      <c r="A441" t="str">
        <f>"3110062M04Rik"</f>
        <v>3110062M04Rik</v>
      </c>
      <c r="B441" t="s">
        <v>14</v>
      </c>
      <c r="C441" t="s">
        <v>32</v>
      </c>
      <c r="D441" t="s">
        <v>11</v>
      </c>
      <c r="E441" t="s">
        <v>12</v>
      </c>
      <c r="F441">
        <v>34878006</v>
      </c>
      <c r="G441">
        <v>34878078</v>
      </c>
      <c r="H441">
        <v>34877994</v>
      </c>
      <c r="I441">
        <v>34878005</v>
      </c>
    </row>
    <row r="442" spans="1:9" x14ac:dyDescent="0.2">
      <c r="A442" t="str">
        <f>"3110070M22Rik"</f>
        <v>3110070M22Rik</v>
      </c>
      <c r="B442" t="s">
        <v>14</v>
      </c>
      <c r="C442" t="s">
        <v>39</v>
      </c>
      <c r="D442" t="s">
        <v>11</v>
      </c>
      <c r="E442" t="s">
        <v>12</v>
      </c>
      <c r="F442">
        <v>119488334</v>
      </c>
      <c r="G442">
        <v>119488389</v>
      </c>
      <c r="H442">
        <v>119488402</v>
      </c>
      <c r="I442">
        <v>119488411</v>
      </c>
    </row>
    <row r="443" spans="1:9" x14ac:dyDescent="0.2">
      <c r="A443" t="str">
        <f>"3110079O15Rik"</f>
        <v>3110079O15Rik</v>
      </c>
      <c r="B443" t="s">
        <v>14</v>
      </c>
      <c r="C443" t="s">
        <v>19</v>
      </c>
      <c r="D443" t="s">
        <v>17</v>
      </c>
      <c r="E443" t="s">
        <v>12</v>
      </c>
      <c r="F443">
        <v>87470258</v>
      </c>
      <c r="G443">
        <v>87470281</v>
      </c>
      <c r="H443">
        <v>87470308</v>
      </c>
      <c r="I443">
        <v>87470330</v>
      </c>
    </row>
    <row r="444" spans="1:9" x14ac:dyDescent="0.2">
      <c r="A444" t="str">
        <f>"3110082I17Rik"</f>
        <v>3110082I17Rik</v>
      </c>
      <c r="B444" t="s">
        <v>14</v>
      </c>
      <c r="C444" t="s">
        <v>46</v>
      </c>
      <c r="D444" t="s">
        <v>11</v>
      </c>
      <c r="E444" t="s">
        <v>12</v>
      </c>
      <c r="F444">
        <v>139460501</v>
      </c>
      <c r="G444">
        <v>139460549</v>
      </c>
      <c r="H444">
        <v>139460490</v>
      </c>
      <c r="I444">
        <v>139460500</v>
      </c>
    </row>
    <row r="445" spans="1:9" x14ac:dyDescent="0.2">
      <c r="A445" t="str">
        <f>"3110082J24Rik"</f>
        <v>3110082J24Rik</v>
      </c>
      <c r="B445" t="s">
        <v>1990</v>
      </c>
      <c r="C445" t="s">
        <v>46</v>
      </c>
      <c r="D445" t="s">
        <v>11</v>
      </c>
      <c r="E445" t="s">
        <v>20</v>
      </c>
      <c r="F445">
        <v>30105358</v>
      </c>
      <c r="G445">
        <v>30105358</v>
      </c>
      <c r="H445">
        <v>30105358</v>
      </c>
      <c r="I445">
        <v>30105358</v>
      </c>
    </row>
    <row r="446" spans="1:9" x14ac:dyDescent="0.2">
      <c r="A446" t="str">
        <f>"3222401L13Rik"</f>
        <v>3222401L13Rik</v>
      </c>
      <c r="B446" t="s">
        <v>1991</v>
      </c>
      <c r="C446" t="s">
        <v>43</v>
      </c>
      <c r="D446" t="s">
        <v>17</v>
      </c>
      <c r="E446" t="s">
        <v>35</v>
      </c>
      <c r="F446">
        <v>37655891</v>
      </c>
      <c r="G446">
        <v>37655915</v>
      </c>
      <c r="H446">
        <v>37655934</v>
      </c>
      <c r="I446">
        <v>37655944</v>
      </c>
    </row>
    <row r="447" spans="1:9" x14ac:dyDescent="0.2">
      <c r="A447" t="str">
        <f>"3300002I08Rik"</f>
        <v>3300002I08Rik</v>
      </c>
      <c r="B447" t="s">
        <v>14</v>
      </c>
      <c r="C447" t="s">
        <v>26</v>
      </c>
      <c r="D447" t="s">
        <v>11</v>
      </c>
      <c r="E447" t="s">
        <v>12</v>
      </c>
      <c r="F447">
        <v>150362708</v>
      </c>
      <c r="G447">
        <v>150362753</v>
      </c>
      <c r="H447">
        <v>150362766</v>
      </c>
      <c r="I447">
        <v>150362775</v>
      </c>
    </row>
    <row r="448" spans="1:9" x14ac:dyDescent="0.2">
      <c r="A448" t="str">
        <f>"3425401B19Rik"</f>
        <v>3425401B19Rik</v>
      </c>
      <c r="B448" t="s">
        <v>14</v>
      </c>
      <c r="C448" t="s">
        <v>41</v>
      </c>
      <c r="D448" t="s">
        <v>11</v>
      </c>
      <c r="E448" t="s">
        <v>12</v>
      </c>
      <c r="F448">
        <v>32685246</v>
      </c>
      <c r="G448">
        <v>32685312</v>
      </c>
      <c r="H448">
        <v>32685246</v>
      </c>
      <c r="I448">
        <v>32685312</v>
      </c>
    </row>
    <row r="449" spans="1:9" x14ac:dyDescent="0.2">
      <c r="A449" t="str">
        <f>"3632451O06Rik"</f>
        <v>3632451O06Rik</v>
      </c>
      <c r="B449" t="s">
        <v>14</v>
      </c>
      <c r="C449" t="s">
        <v>41</v>
      </c>
      <c r="D449" t="s">
        <v>11</v>
      </c>
      <c r="E449" t="s">
        <v>12</v>
      </c>
      <c r="F449">
        <v>49783327</v>
      </c>
      <c r="G449">
        <v>49783394</v>
      </c>
      <c r="H449">
        <v>49783314</v>
      </c>
      <c r="I449">
        <v>49783315</v>
      </c>
    </row>
    <row r="450" spans="1:9" x14ac:dyDescent="0.2">
      <c r="A450" t="str">
        <f>"3830403N18Rik"</f>
        <v>3830403N18Rik</v>
      </c>
      <c r="B450" t="s">
        <v>14</v>
      </c>
      <c r="C450" t="s">
        <v>37</v>
      </c>
      <c r="D450" t="s">
        <v>17</v>
      </c>
      <c r="E450" t="s">
        <v>12</v>
      </c>
      <c r="F450">
        <v>56136557</v>
      </c>
      <c r="G450">
        <v>56136587</v>
      </c>
      <c r="H450">
        <v>56136557</v>
      </c>
      <c r="I450">
        <v>56136587</v>
      </c>
    </row>
    <row r="451" spans="1:9" x14ac:dyDescent="0.2">
      <c r="A451" t="str">
        <f>"3830406C13Rik"</f>
        <v>3830406C13Rik</v>
      </c>
      <c r="B451" t="s">
        <v>14</v>
      </c>
      <c r="C451" t="s">
        <v>41</v>
      </c>
      <c r="D451" t="s">
        <v>17</v>
      </c>
      <c r="E451" t="s">
        <v>12</v>
      </c>
      <c r="F451">
        <v>12284198</v>
      </c>
      <c r="G451">
        <v>12284239</v>
      </c>
      <c r="H451">
        <v>12284242</v>
      </c>
      <c r="I451">
        <v>12284271</v>
      </c>
    </row>
    <row r="452" spans="1:9" x14ac:dyDescent="0.2">
      <c r="A452" t="str">
        <f>"3830408C21Rik"</f>
        <v>3830408C21Rik</v>
      </c>
      <c r="B452" t="s">
        <v>14</v>
      </c>
      <c r="C452" t="s">
        <v>39</v>
      </c>
      <c r="D452" t="s">
        <v>17</v>
      </c>
      <c r="E452" t="s">
        <v>12</v>
      </c>
      <c r="F452">
        <v>107022457</v>
      </c>
      <c r="G452">
        <v>107022473</v>
      </c>
      <c r="H452">
        <v>107022415</v>
      </c>
      <c r="I452">
        <v>107022425</v>
      </c>
    </row>
    <row r="453" spans="1:9" x14ac:dyDescent="0.2">
      <c r="A453" t="str">
        <f>"3830417A13Rik"</f>
        <v>3830417A13Rik</v>
      </c>
      <c r="B453" t="s">
        <v>14</v>
      </c>
      <c r="C453" t="s">
        <v>37</v>
      </c>
      <c r="D453" t="s">
        <v>17</v>
      </c>
      <c r="E453" t="s">
        <v>12</v>
      </c>
      <c r="F453">
        <v>64173545</v>
      </c>
      <c r="G453">
        <v>64173558</v>
      </c>
      <c r="H453">
        <v>64174318</v>
      </c>
      <c r="I453">
        <v>64174324</v>
      </c>
    </row>
    <row r="454" spans="1:9" x14ac:dyDescent="0.2">
      <c r="A454" t="str">
        <f>"3930402G23Rik"</f>
        <v>3930402G23Rik</v>
      </c>
      <c r="B454" t="s">
        <v>14</v>
      </c>
      <c r="C454" t="s">
        <v>30</v>
      </c>
      <c r="D454" t="s">
        <v>11</v>
      </c>
      <c r="E454" t="s">
        <v>12</v>
      </c>
      <c r="F454">
        <v>10928286</v>
      </c>
      <c r="G454">
        <v>10928309</v>
      </c>
      <c r="H454">
        <v>10928449</v>
      </c>
      <c r="I454">
        <v>10928464</v>
      </c>
    </row>
    <row r="455" spans="1:9" x14ac:dyDescent="0.2">
      <c r="A455" t="str">
        <f>"4430402I18Rik"</f>
        <v>4430402I18Rik</v>
      </c>
      <c r="B455" t="s">
        <v>9</v>
      </c>
      <c r="C455" t="s">
        <v>10</v>
      </c>
      <c r="D455" t="s">
        <v>11</v>
      </c>
      <c r="E455" t="s">
        <v>12</v>
      </c>
      <c r="F455">
        <v>28967794</v>
      </c>
      <c r="G455">
        <v>28967852</v>
      </c>
      <c r="H455">
        <v>28967794</v>
      </c>
      <c r="I455">
        <v>28967852</v>
      </c>
    </row>
    <row r="456" spans="1:9" x14ac:dyDescent="0.2">
      <c r="A456" t="str">
        <f>"4430402I18Rik"</f>
        <v>4430402I18Rik</v>
      </c>
      <c r="B456" t="s">
        <v>13</v>
      </c>
      <c r="C456" t="s">
        <v>10</v>
      </c>
      <c r="D456" t="s">
        <v>11</v>
      </c>
      <c r="E456" t="s">
        <v>12</v>
      </c>
      <c r="F456">
        <v>28963863</v>
      </c>
      <c r="G456">
        <v>28963893</v>
      </c>
      <c r="H456">
        <v>28963863</v>
      </c>
      <c r="I456">
        <v>28963893</v>
      </c>
    </row>
    <row r="457" spans="1:9" x14ac:dyDescent="0.2">
      <c r="A457" t="str">
        <f>"4632404H12Rik"</f>
        <v>4632404H12Rik</v>
      </c>
      <c r="B457" t="s">
        <v>14</v>
      </c>
      <c r="C457" t="s">
        <v>22</v>
      </c>
      <c r="D457" t="s">
        <v>11</v>
      </c>
      <c r="E457" t="s">
        <v>67</v>
      </c>
      <c r="F457">
        <v>89773221</v>
      </c>
      <c r="G457">
        <v>89773279</v>
      </c>
      <c r="H457">
        <v>89773282</v>
      </c>
      <c r="I457">
        <v>89773295</v>
      </c>
    </row>
    <row r="458" spans="1:9" x14ac:dyDescent="0.2">
      <c r="A458" t="str">
        <f>"4632415L05Rik"</f>
        <v>4632415L05Rik</v>
      </c>
      <c r="B458" t="s">
        <v>14</v>
      </c>
      <c r="C458" t="s">
        <v>22</v>
      </c>
      <c r="D458" t="s">
        <v>17</v>
      </c>
      <c r="E458" t="s">
        <v>12</v>
      </c>
      <c r="F458">
        <v>19894855</v>
      </c>
      <c r="G458">
        <v>19894894</v>
      </c>
      <c r="H458">
        <v>19894855</v>
      </c>
      <c r="I458">
        <v>19894894</v>
      </c>
    </row>
    <row r="459" spans="1:9" x14ac:dyDescent="0.2">
      <c r="A459" t="str">
        <f>"4632428N05Rik"</f>
        <v>4632428N05Rik</v>
      </c>
      <c r="B459" t="s">
        <v>14</v>
      </c>
      <c r="C459" t="s">
        <v>15</v>
      </c>
      <c r="D459" t="s">
        <v>17</v>
      </c>
      <c r="E459" t="s">
        <v>12</v>
      </c>
      <c r="F459">
        <v>60346896</v>
      </c>
      <c r="G459">
        <v>60346916</v>
      </c>
      <c r="H459">
        <v>60346896</v>
      </c>
      <c r="I459">
        <v>60346916</v>
      </c>
    </row>
    <row r="460" spans="1:9" x14ac:dyDescent="0.2">
      <c r="A460" t="str">
        <f>"4632433K11Rik"</f>
        <v>4632433K11Rik</v>
      </c>
      <c r="B460" t="s">
        <v>1992</v>
      </c>
      <c r="C460" t="s">
        <v>33</v>
      </c>
      <c r="D460" t="s">
        <v>17</v>
      </c>
      <c r="E460" t="s">
        <v>20</v>
      </c>
      <c r="F460">
        <v>5034117</v>
      </c>
      <c r="G460">
        <v>5034117</v>
      </c>
      <c r="H460">
        <v>5034117</v>
      </c>
      <c r="I460">
        <v>5034117</v>
      </c>
    </row>
    <row r="461" spans="1:9" x14ac:dyDescent="0.2">
      <c r="A461" t="str">
        <f>"4632434I11Rik"</f>
        <v>4632434I11Rik</v>
      </c>
      <c r="B461" t="s">
        <v>14</v>
      </c>
      <c r="C461" t="s">
        <v>33</v>
      </c>
      <c r="D461" t="s">
        <v>11</v>
      </c>
      <c r="E461" t="s">
        <v>12</v>
      </c>
      <c r="F461">
        <v>92874196</v>
      </c>
      <c r="G461">
        <v>92874244</v>
      </c>
      <c r="H461">
        <v>92874146</v>
      </c>
      <c r="I461">
        <v>92874162</v>
      </c>
    </row>
    <row r="462" spans="1:9" x14ac:dyDescent="0.2">
      <c r="A462" t="str">
        <f>"4731417B20Rik"</f>
        <v>4731417B20Rik</v>
      </c>
      <c r="B462" t="s">
        <v>1993</v>
      </c>
      <c r="C462" t="s">
        <v>46</v>
      </c>
      <c r="D462" t="s">
        <v>11</v>
      </c>
      <c r="E462" t="s">
        <v>20</v>
      </c>
      <c r="F462">
        <v>136615327</v>
      </c>
      <c r="G462">
        <v>136615327</v>
      </c>
      <c r="H462">
        <v>136615327</v>
      </c>
      <c r="I462">
        <v>136615327</v>
      </c>
    </row>
    <row r="463" spans="1:9" x14ac:dyDescent="0.2">
      <c r="A463" t="str">
        <f>"4732440D04Rik"</f>
        <v>4732440D04Rik</v>
      </c>
      <c r="B463" t="s">
        <v>1994</v>
      </c>
      <c r="C463" t="s">
        <v>19</v>
      </c>
      <c r="D463" t="s">
        <v>11</v>
      </c>
      <c r="E463" t="s">
        <v>20</v>
      </c>
      <c r="F463">
        <v>6215291</v>
      </c>
      <c r="G463">
        <v>6215291</v>
      </c>
      <c r="H463">
        <v>6215291</v>
      </c>
      <c r="I463">
        <v>6215291</v>
      </c>
    </row>
    <row r="464" spans="1:9" x14ac:dyDescent="0.2">
      <c r="A464" t="str">
        <f>"4732456N10Rik"</f>
        <v>4732456N10Rik</v>
      </c>
      <c r="B464" t="s">
        <v>14</v>
      </c>
      <c r="C464" t="s">
        <v>25</v>
      </c>
      <c r="D464" t="s">
        <v>11</v>
      </c>
      <c r="E464" t="s">
        <v>12</v>
      </c>
      <c r="F464">
        <v>101562889</v>
      </c>
      <c r="G464">
        <v>101562892</v>
      </c>
      <c r="H464">
        <v>101562847</v>
      </c>
      <c r="I464">
        <v>101562864</v>
      </c>
    </row>
    <row r="465" spans="1:9" x14ac:dyDescent="0.2">
      <c r="A465" t="str">
        <f>"4732465J04Rik"</f>
        <v>4732465J04Rik</v>
      </c>
      <c r="B465" t="s">
        <v>1995</v>
      </c>
      <c r="C465" t="s">
        <v>15</v>
      </c>
      <c r="D465" t="s">
        <v>17</v>
      </c>
      <c r="E465" t="s">
        <v>20</v>
      </c>
      <c r="F465">
        <v>95792570</v>
      </c>
      <c r="G465">
        <v>95792570</v>
      </c>
      <c r="H465">
        <v>95792570</v>
      </c>
      <c r="I465">
        <v>95792570</v>
      </c>
    </row>
    <row r="466" spans="1:9" x14ac:dyDescent="0.2">
      <c r="A466" t="str">
        <f>"4732471J01Rik"</f>
        <v>4732471J01Rik</v>
      </c>
      <c r="B466" t="s">
        <v>14</v>
      </c>
      <c r="C466" t="s">
        <v>33</v>
      </c>
      <c r="D466" t="s">
        <v>17</v>
      </c>
      <c r="E466" t="s">
        <v>12</v>
      </c>
      <c r="F466">
        <v>25376796</v>
      </c>
      <c r="G466">
        <v>25376834</v>
      </c>
      <c r="H466">
        <v>25376776</v>
      </c>
      <c r="I466">
        <v>25376790</v>
      </c>
    </row>
    <row r="467" spans="1:9" x14ac:dyDescent="0.2">
      <c r="A467" t="str">
        <f>"4833403I15Rik"</f>
        <v>4833403I15Rik</v>
      </c>
      <c r="B467" t="s">
        <v>14</v>
      </c>
      <c r="C467" t="s">
        <v>43</v>
      </c>
      <c r="D467" t="s">
        <v>17</v>
      </c>
      <c r="E467" t="s">
        <v>12</v>
      </c>
      <c r="F467">
        <v>46850034</v>
      </c>
      <c r="G467">
        <v>46850059</v>
      </c>
      <c r="H467">
        <v>46850062</v>
      </c>
      <c r="I467">
        <v>46850073</v>
      </c>
    </row>
    <row r="468" spans="1:9" x14ac:dyDescent="0.2">
      <c r="A468" t="str">
        <f>"4833413E03Rik"</f>
        <v>4833413E03Rik</v>
      </c>
      <c r="B468" t="s">
        <v>1996</v>
      </c>
      <c r="C468" t="s">
        <v>28</v>
      </c>
      <c r="D468" t="s">
        <v>17</v>
      </c>
      <c r="E468" t="s">
        <v>20</v>
      </c>
      <c r="F468">
        <v>31557125</v>
      </c>
      <c r="G468">
        <v>31557125</v>
      </c>
      <c r="H468">
        <v>31557125</v>
      </c>
      <c r="I468">
        <v>31557125</v>
      </c>
    </row>
    <row r="469" spans="1:9" x14ac:dyDescent="0.2">
      <c r="A469" t="str">
        <f>"4833420G17Rik"</f>
        <v>4833420G17Rik</v>
      </c>
      <c r="B469" t="s">
        <v>14</v>
      </c>
      <c r="C469" t="s">
        <v>39</v>
      </c>
      <c r="D469" t="s">
        <v>17</v>
      </c>
      <c r="E469" t="s">
        <v>12</v>
      </c>
      <c r="F469">
        <v>119462752</v>
      </c>
      <c r="G469">
        <v>119462810</v>
      </c>
      <c r="H469">
        <v>119462752</v>
      </c>
      <c r="I469">
        <v>119462810</v>
      </c>
    </row>
    <row r="470" spans="1:9" x14ac:dyDescent="0.2">
      <c r="A470" t="str">
        <f>"4833423E24Rik"</f>
        <v>4833423E24Rik</v>
      </c>
      <c r="B470" t="s">
        <v>14</v>
      </c>
      <c r="C470" t="s">
        <v>26</v>
      </c>
      <c r="D470" t="s">
        <v>11</v>
      </c>
      <c r="E470" t="s">
        <v>12</v>
      </c>
      <c r="F470">
        <v>85519018</v>
      </c>
      <c r="G470">
        <v>85519033</v>
      </c>
      <c r="H470">
        <v>85519045</v>
      </c>
      <c r="I470">
        <v>85519056</v>
      </c>
    </row>
    <row r="471" spans="1:9" x14ac:dyDescent="0.2">
      <c r="A471" t="str">
        <f>"4833424O15Rik"</f>
        <v>4833424O15Rik</v>
      </c>
      <c r="B471" t="s">
        <v>14</v>
      </c>
      <c r="C471" t="s">
        <v>22</v>
      </c>
      <c r="D471" t="s">
        <v>17</v>
      </c>
      <c r="E471" t="s">
        <v>12</v>
      </c>
      <c r="F471">
        <v>117575519</v>
      </c>
      <c r="G471">
        <v>117575534</v>
      </c>
      <c r="H471">
        <v>117575519</v>
      </c>
      <c r="I471">
        <v>117575534</v>
      </c>
    </row>
    <row r="472" spans="1:9" x14ac:dyDescent="0.2">
      <c r="A472" t="str">
        <f>"4833427G06Rik"</f>
        <v>4833427G06Rik</v>
      </c>
      <c r="B472" t="s">
        <v>14</v>
      </c>
      <c r="C472" t="s">
        <v>24</v>
      </c>
      <c r="D472" t="s">
        <v>11</v>
      </c>
      <c r="E472" t="s">
        <v>12</v>
      </c>
      <c r="F472">
        <v>51101950</v>
      </c>
      <c r="G472">
        <v>51101967</v>
      </c>
      <c r="H472">
        <v>51102062</v>
      </c>
      <c r="I472">
        <v>51102085</v>
      </c>
    </row>
    <row r="473" spans="1:9" x14ac:dyDescent="0.2">
      <c r="A473" t="str">
        <f>"4833439L19Rik"</f>
        <v>4833439L19Rik</v>
      </c>
      <c r="B473" t="s">
        <v>14</v>
      </c>
      <c r="C473" t="s">
        <v>39</v>
      </c>
      <c r="D473" t="s">
        <v>11</v>
      </c>
      <c r="E473" t="s">
        <v>12</v>
      </c>
      <c r="F473">
        <v>54565299</v>
      </c>
      <c r="G473">
        <v>54565362</v>
      </c>
      <c r="H473">
        <v>54565368</v>
      </c>
      <c r="I473">
        <v>54565386</v>
      </c>
    </row>
    <row r="474" spans="1:9" x14ac:dyDescent="0.2">
      <c r="A474" t="str">
        <f>"4921501E09Rik"</f>
        <v>4921501E09Rik</v>
      </c>
      <c r="B474" t="s">
        <v>14</v>
      </c>
      <c r="C474" t="s">
        <v>28</v>
      </c>
      <c r="D474" t="s">
        <v>11</v>
      </c>
      <c r="E474" t="s">
        <v>12</v>
      </c>
      <c r="F474">
        <v>33068035</v>
      </c>
      <c r="G474">
        <v>33068043</v>
      </c>
      <c r="H474">
        <v>33068012</v>
      </c>
      <c r="I474">
        <v>33068016</v>
      </c>
    </row>
    <row r="475" spans="1:9" x14ac:dyDescent="0.2">
      <c r="A475" t="str">
        <f>"4921504E06Rik"</f>
        <v>4921504E06Rik</v>
      </c>
      <c r="B475" t="s">
        <v>14</v>
      </c>
      <c r="C475" t="s">
        <v>26</v>
      </c>
      <c r="D475" t="s">
        <v>11</v>
      </c>
      <c r="E475" t="s">
        <v>12</v>
      </c>
      <c r="F475">
        <v>19553908</v>
      </c>
      <c r="G475">
        <v>19553922</v>
      </c>
      <c r="H475">
        <v>19553908</v>
      </c>
      <c r="I475">
        <v>19553922</v>
      </c>
    </row>
    <row r="476" spans="1:9" x14ac:dyDescent="0.2">
      <c r="A476" t="str">
        <f>"4921507P07Rik"</f>
        <v>4921507P07Rik</v>
      </c>
      <c r="B476" t="s">
        <v>14</v>
      </c>
      <c r="C476" t="s">
        <v>32</v>
      </c>
      <c r="D476" t="s">
        <v>11</v>
      </c>
      <c r="E476" t="s">
        <v>12</v>
      </c>
      <c r="F476">
        <v>50596578</v>
      </c>
      <c r="G476">
        <v>50596612</v>
      </c>
      <c r="H476">
        <v>50596724</v>
      </c>
      <c r="I476">
        <v>50596764</v>
      </c>
    </row>
    <row r="477" spans="1:9" x14ac:dyDescent="0.2">
      <c r="A477" t="str">
        <f>"4921508M14Rik"</f>
        <v>4921508M14Rik</v>
      </c>
      <c r="B477" t="s">
        <v>14</v>
      </c>
      <c r="C477" t="s">
        <v>16</v>
      </c>
      <c r="D477" t="s">
        <v>11</v>
      </c>
      <c r="E477" t="s">
        <v>12</v>
      </c>
      <c r="F477">
        <v>34874802</v>
      </c>
      <c r="G477">
        <v>34874828</v>
      </c>
      <c r="H477">
        <v>34874802</v>
      </c>
      <c r="I477">
        <v>34874828</v>
      </c>
    </row>
    <row r="478" spans="1:9" x14ac:dyDescent="0.2">
      <c r="A478" t="str">
        <f>"4921509C19Rik"</f>
        <v>4921509C19Rik</v>
      </c>
      <c r="B478" t="s">
        <v>1997</v>
      </c>
      <c r="C478" t="s">
        <v>26</v>
      </c>
      <c r="D478" t="s">
        <v>11</v>
      </c>
      <c r="E478" t="s">
        <v>20</v>
      </c>
      <c r="F478">
        <v>151476152</v>
      </c>
      <c r="G478">
        <v>151476152</v>
      </c>
      <c r="H478">
        <v>151476152</v>
      </c>
      <c r="I478">
        <v>151476152</v>
      </c>
    </row>
    <row r="479" spans="1:9" x14ac:dyDescent="0.2">
      <c r="A479" t="str">
        <f>"4921511C20Rik"</f>
        <v>4921511C20Rik</v>
      </c>
      <c r="B479" t="s">
        <v>1998</v>
      </c>
      <c r="C479" t="s">
        <v>37</v>
      </c>
      <c r="D479" t="s">
        <v>17</v>
      </c>
      <c r="E479" t="s">
        <v>20</v>
      </c>
      <c r="F479">
        <v>127394292</v>
      </c>
      <c r="G479">
        <v>127394292</v>
      </c>
      <c r="H479">
        <v>127394292</v>
      </c>
      <c r="I479">
        <v>127394292</v>
      </c>
    </row>
    <row r="480" spans="1:9" x14ac:dyDescent="0.2">
      <c r="A480" t="str">
        <f>"4921511H03Rik"</f>
        <v>4921511H03Rik</v>
      </c>
      <c r="B480" t="s">
        <v>14</v>
      </c>
      <c r="C480" t="s">
        <v>46</v>
      </c>
      <c r="D480" t="s">
        <v>17</v>
      </c>
      <c r="E480" t="s">
        <v>12</v>
      </c>
      <c r="F480">
        <v>7304128</v>
      </c>
      <c r="G480">
        <v>7304152</v>
      </c>
      <c r="H480">
        <v>7304113</v>
      </c>
      <c r="I480">
        <v>7304124</v>
      </c>
    </row>
    <row r="481" spans="1:9" x14ac:dyDescent="0.2">
      <c r="A481" t="str">
        <f>"4921511M17Rik"</f>
        <v>4921511M17Rik</v>
      </c>
      <c r="B481" t="s">
        <v>1999</v>
      </c>
      <c r="C481" t="s">
        <v>37</v>
      </c>
      <c r="D481" t="s">
        <v>11</v>
      </c>
      <c r="E481" t="s">
        <v>20</v>
      </c>
      <c r="F481">
        <v>154033826</v>
      </c>
      <c r="G481">
        <v>154033826</v>
      </c>
      <c r="H481">
        <v>154033826</v>
      </c>
      <c r="I481">
        <v>154033826</v>
      </c>
    </row>
    <row r="482" spans="1:9" x14ac:dyDescent="0.2">
      <c r="A482" t="str">
        <f>"4921511M17Rik"</f>
        <v>4921511M17Rik</v>
      </c>
      <c r="B482" t="s">
        <v>2000</v>
      </c>
      <c r="C482" t="s">
        <v>37</v>
      </c>
      <c r="D482" t="s">
        <v>11</v>
      </c>
      <c r="E482" t="s">
        <v>20</v>
      </c>
      <c r="F482">
        <v>154032450</v>
      </c>
      <c r="G482">
        <v>154032450</v>
      </c>
      <c r="H482">
        <v>154032450</v>
      </c>
      <c r="I482">
        <v>154032450</v>
      </c>
    </row>
    <row r="483" spans="1:9" x14ac:dyDescent="0.2">
      <c r="A483" t="str">
        <f>"4921513D11Rik"</f>
        <v>4921513D11Rik</v>
      </c>
      <c r="B483" t="s">
        <v>14</v>
      </c>
      <c r="C483" t="s">
        <v>28</v>
      </c>
      <c r="D483" t="s">
        <v>17</v>
      </c>
      <c r="E483" t="s">
        <v>67</v>
      </c>
      <c r="F483">
        <v>79626669</v>
      </c>
      <c r="G483">
        <v>79626697</v>
      </c>
      <c r="H483">
        <v>79626653</v>
      </c>
      <c r="I483">
        <v>79626656</v>
      </c>
    </row>
    <row r="484" spans="1:9" x14ac:dyDescent="0.2">
      <c r="A484" t="str">
        <f>"4921513I03Rik"</f>
        <v>4921513I03Rik</v>
      </c>
      <c r="B484" t="s">
        <v>14</v>
      </c>
      <c r="C484" t="s">
        <v>15</v>
      </c>
      <c r="D484" t="s">
        <v>17</v>
      </c>
      <c r="E484" t="s">
        <v>12</v>
      </c>
      <c r="F484">
        <v>120765720</v>
      </c>
      <c r="G484">
        <v>120765734</v>
      </c>
      <c r="H484">
        <v>120765720</v>
      </c>
      <c r="I484">
        <v>120765734</v>
      </c>
    </row>
    <row r="485" spans="1:9" x14ac:dyDescent="0.2">
      <c r="A485" t="str">
        <f>"4921514A10Rik"</f>
        <v>4921514A10Rik</v>
      </c>
      <c r="B485" t="s">
        <v>14</v>
      </c>
      <c r="C485" t="s">
        <v>23</v>
      </c>
      <c r="D485" t="s">
        <v>17</v>
      </c>
      <c r="E485" t="s">
        <v>67</v>
      </c>
      <c r="F485">
        <v>141115659</v>
      </c>
      <c r="G485">
        <v>141115663</v>
      </c>
      <c r="H485">
        <v>141115659</v>
      </c>
      <c r="I485">
        <v>141115663</v>
      </c>
    </row>
    <row r="486" spans="1:9" x14ac:dyDescent="0.2">
      <c r="A486" t="str">
        <f>"4921517D22Rik"</f>
        <v>4921517D22Rik</v>
      </c>
      <c r="B486" t="s">
        <v>14</v>
      </c>
      <c r="C486" t="s">
        <v>39</v>
      </c>
      <c r="D486" t="s">
        <v>11</v>
      </c>
      <c r="E486" t="s">
        <v>12</v>
      </c>
      <c r="F486">
        <v>59694100</v>
      </c>
      <c r="G486">
        <v>59694108</v>
      </c>
      <c r="H486">
        <v>59694100</v>
      </c>
      <c r="I486">
        <v>59694108</v>
      </c>
    </row>
    <row r="487" spans="1:9" x14ac:dyDescent="0.2">
      <c r="A487" t="str">
        <f>"4921522P10Rik"</f>
        <v>4921522P10Rik</v>
      </c>
      <c r="B487" t="s">
        <v>14</v>
      </c>
      <c r="C487" t="s">
        <v>30</v>
      </c>
      <c r="D487" t="s">
        <v>17</v>
      </c>
      <c r="E487" t="s">
        <v>67</v>
      </c>
      <c r="F487">
        <v>8661794</v>
      </c>
      <c r="G487">
        <v>8661806</v>
      </c>
      <c r="H487">
        <v>8661807</v>
      </c>
      <c r="I487">
        <v>8661817</v>
      </c>
    </row>
    <row r="488" spans="1:9" x14ac:dyDescent="0.2">
      <c r="A488" t="str">
        <f>"4921524J17Rik"</f>
        <v>4921524J17Rik</v>
      </c>
      <c r="B488" t="s">
        <v>14</v>
      </c>
      <c r="C488" t="s">
        <v>30</v>
      </c>
      <c r="D488" t="s">
        <v>11</v>
      </c>
      <c r="E488" t="s">
        <v>12</v>
      </c>
      <c r="F488">
        <v>85432769</v>
      </c>
      <c r="G488">
        <v>85432836</v>
      </c>
      <c r="H488">
        <v>85432843</v>
      </c>
      <c r="I488">
        <v>85432859</v>
      </c>
    </row>
    <row r="489" spans="1:9" x14ac:dyDescent="0.2">
      <c r="A489" t="str">
        <f>"4921524L21Rik"</f>
        <v>4921524L21Rik</v>
      </c>
      <c r="B489" t="s">
        <v>14</v>
      </c>
      <c r="C489" t="s">
        <v>43</v>
      </c>
      <c r="D489" t="s">
        <v>17</v>
      </c>
      <c r="E489" t="s">
        <v>12</v>
      </c>
      <c r="F489">
        <v>6603627</v>
      </c>
      <c r="G489">
        <v>6603633</v>
      </c>
      <c r="H489">
        <v>6603627</v>
      </c>
      <c r="I489">
        <v>6603633</v>
      </c>
    </row>
    <row r="490" spans="1:9" x14ac:dyDescent="0.2">
      <c r="A490" t="str">
        <f>"4921528I07Rik"</f>
        <v>4921528I07Rik</v>
      </c>
      <c r="B490" t="s">
        <v>2001</v>
      </c>
      <c r="C490" t="s">
        <v>24</v>
      </c>
      <c r="D490" t="s">
        <v>11</v>
      </c>
      <c r="E490" t="s">
        <v>20</v>
      </c>
      <c r="F490">
        <v>114317027</v>
      </c>
      <c r="G490">
        <v>114317027</v>
      </c>
      <c r="H490">
        <v>114317027</v>
      </c>
      <c r="I490">
        <v>114317027</v>
      </c>
    </row>
    <row r="491" spans="1:9" x14ac:dyDescent="0.2">
      <c r="A491" t="str">
        <f>"4921530D09Rik"</f>
        <v>4921530D09Rik</v>
      </c>
      <c r="B491" t="s">
        <v>14</v>
      </c>
      <c r="C491" t="s">
        <v>26</v>
      </c>
      <c r="D491" t="s">
        <v>11</v>
      </c>
      <c r="E491" t="s">
        <v>12</v>
      </c>
      <c r="F491">
        <v>25617672</v>
      </c>
      <c r="G491">
        <v>25617689</v>
      </c>
      <c r="H491">
        <v>25617636</v>
      </c>
      <c r="I491">
        <v>25617658</v>
      </c>
    </row>
    <row r="492" spans="1:9" x14ac:dyDescent="0.2">
      <c r="A492" t="str">
        <f>"4921530L21Rik"</f>
        <v>4921530L21Rik</v>
      </c>
      <c r="B492" t="s">
        <v>14</v>
      </c>
      <c r="C492" t="s">
        <v>41</v>
      </c>
      <c r="D492" t="s">
        <v>17</v>
      </c>
      <c r="E492" t="s">
        <v>12</v>
      </c>
      <c r="F492">
        <v>95881223</v>
      </c>
      <c r="G492">
        <v>95881241</v>
      </c>
      <c r="H492">
        <v>95881223</v>
      </c>
      <c r="I492">
        <v>95881241</v>
      </c>
    </row>
    <row r="493" spans="1:9" x14ac:dyDescent="0.2">
      <c r="A493" t="str">
        <f>"4921536K21Rik"</f>
        <v>4921536K21Rik</v>
      </c>
      <c r="B493" t="s">
        <v>14</v>
      </c>
      <c r="C493" t="s">
        <v>27</v>
      </c>
      <c r="D493" t="s">
        <v>11</v>
      </c>
      <c r="E493" t="s">
        <v>12</v>
      </c>
      <c r="F493">
        <v>3895110</v>
      </c>
      <c r="G493">
        <v>3895136</v>
      </c>
      <c r="H493">
        <v>3895085</v>
      </c>
      <c r="I493">
        <v>3895104</v>
      </c>
    </row>
    <row r="494" spans="1:9" x14ac:dyDescent="0.2">
      <c r="A494" t="str">
        <f>"4921539E11Rik"</f>
        <v>4921539E11Rik</v>
      </c>
      <c r="B494" t="s">
        <v>14</v>
      </c>
      <c r="C494" t="s">
        <v>23</v>
      </c>
      <c r="D494" t="s">
        <v>11</v>
      </c>
      <c r="E494" t="s">
        <v>12</v>
      </c>
      <c r="F494">
        <v>103290853</v>
      </c>
      <c r="G494">
        <v>103290870</v>
      </c>
      <c r="H494">
        <v>103290853</v>
      </c>
      <c r="I494">
        <v>103290870</v>
      </c>
    </row>
    <row r="495" spans="1:9" x14ac:dyDescent="0.2">
      <c r="A495" t="str">
        <f>"4922501C03Rik"</f>
        <v>4922501C03Rik</v>
      </c>
      <c r="B495" t="s">
        <v>14</v>
      </c>
      <c r="C495" t="s">
        <v>24</v>
      </c>
      <c r="D495" t="s">
        <v>11</v>
      </c>
      <c r="E495" t="s">
        <v>12</v>
      </c>
      <c r="F495">
        <v>87255463</v>
      </c>
      <c r="G495">
        <v>87255522</v>
      </c>
      <c r="H495">
        <v>87255282</v>
      </c>
      <c r="I495">
        <v>87255301</v>
      </c>
    </row>
    <row r="496" spans="1:9" x14ac:dyDescent="0.2">
      <c r="A496" t="str">
        <f>"4922501L14Rik"</f>
        <v>4922501L14Rik</v>
      </c>
      <c r="B496" t="s">
        <v>2002</v>
      </c>
      <c r="C496" t="s">
        <v>22</v>
      </c>
      <c r="D496" t="s">
        <v>17</v>
      </c>
      <c r="E496" t="s">
        <v>35</v>
      </c>
      <c r="F496">
        <v>154711085</v>
      </c>
      <c r="G496">
        <v>154711096</v>
      </c>
      <c r="H496">
        <v>154711151</v>
      </c>
      <c r="I496">
        <v>154711162</v>
      </c>
    </row>
    <row r="497" spans="1:9" x14ac:dyDescent="0.2">
      <c r="A497" t="str">
        <f>"4922502B01Rik"</f>
        <v>4922502B01Rik</v>
      </c>
      <c r="B497" t="s">
        <v>14</v>
      </c>
      <c r="C497" t="s">
        <v>30</v>
      </c>
      <c r="D497" t="s">
        <v>11</v>
      </c>
      <c r="E497" t="s">
        <v>67</v>
      </c>
      <c r="F497">
        <v>109251698</v>
      </c>
      <c r="G497">
        <v>109251713</v>
      </c>
      <c r="H497">
        <v>109251686</v>
      </c>
      <c r="I497">
        <v>109251696</v>
      </c>
    </row>
    <row r="498" spans="1:9" x14ac:dyDescent="0.2">
      <c r="A498" t="str">
        <f>"4922502D21Rik"</f>
        <v>4922502D21Rik</v>
      </c>
      <c r="B498" t="s">
        <v>14</v>
      </c>
      <c r="C498" t="s">
        <v>32</v>
      </c>
      <c r="D498" t="s">
        <v>11</v>
      </c>
      <c r="E498" t="s">
        <v>12</v>
      </c>
      <c r="F498">
        <v>129331738</v>
      </c>
      <c r="G498">
        <v>129331779</v>
      </c>
      <c r="H498">
        <v>129331786</v>
      </c>
      <c r="I498">
        <v>129331791</v>
      </c>
    </row>
    <row r="499" spans="1:9" x14ac:dyDescent="0.2">
      <c r="A499" t="str">
        <f>"4922505E12Rik"</f>
        <v>4922505E12Rik</v>
      </c>
      <c r="B499" t="s">
        <v>14</v>
      </c>
      <c r="C499" t="s">
        <v>19</v>
      </c>
      <c r="D499" t="s">
        <v>11</v>
      </c>
      <c r="E499" t="s">
        <v>12</v>
      </c>
      <c r="F499">
        <v>182749175</v>
      </c>
      <c r="G499">
        <v>182749189</v>
      </c>
      <c r="H499">
        <v>182749175</v>
      </c>
      <c r="I499">
        <v>182749189</v>
      </c>
    </row>
    <row r="500" spans="1:9" x14ac:dyDescent="0.2">
      <c r="A500" t="str">
        <f>"4930402F06Rik"</f>
        <v>4930402F06Rik</v>
      </c>
      <c r="B500" t="s">
        <v>14</v>
      </c>
      <c r="C500" t="s">
        <v>26</v>
      </c>
      <c r="D500" t="s">
        <v>11</v>
      </c>
      <c r="E500" t="s">
        <v>12</v>
      </c>
      <c r="F500">
        <v>35397174</v>
      </c>
      <c r="G500">
        <v>35397208</v>
      </c>
      <c r="H500">
        <v>35397174</v>
      </c>
      <c r="I500">
        <v>35397208</v>
      </c>
    </row>
    <row r="501" spans="1:9" x14ac:dyDescent="0.2">
      <c r="A501" t="str">
        <f>"4930402H24Rik"</f>
        <v>4930402H24Rik</v>
      </c>
      <c r="B501" t="s">
        <v>14</v>
      </c>
      <c r="C501" t="s">
        <v>26</v>
      </c>
      <c r="D501" t="s">
        <v>11</v>
      </c>
      <c r="E501" t="s">
        <v>12</v>
      </c>
      <c r="F501">
        <v>130840091</v>
      </c>
      <c r="G501">
        <v>130840150</v>
      </c>
      <c r="H501">
        <v>130840060</v>
      </c>
      <c r="I501">
        <v>130840082</v>
      </c>
    </row>
    <row r="502" spans="1:9" x14ac:dyDescent="0.2">
      <c r="A502" t="str">
        <f>"4930402K13Rik"</f>
        <v>4930402K13Rik</v>
      </c>
      <c r="B502" t="s">
        <v>14</v>
      </c>
      <c r="C502" t="s">
        <v>37</v>
      </c>
      <c r="D502" t="s">
        <v>17</v>
      </c>
      <c r="E502" t="s">
        <v>12</v>
      </c>
      <c r="F502">
        <v>9104610</v>
      </c>
      <c r="G502">
        <v>9104617</v>
      </c>
      <c r="H502">
        <v>9104589</v>
      </c>
      <c r="I502">
        <v>9104593</v>
      </c>
    </row>
    <row r="503" spans="1:9" x14ac:dyDescent="0.2">
      <c r="A503" t="str">
        <f>"4930404A10Rik"</f>
        <v>4930404A10Rik</v>
      </c>
      <c r="B503" t="s">
        <v>14</v>
      </c>
      <c r="C503" t="s">
        <v>27</v>
      </c>
      <c r="D503" t="s">
        <v>17</v>
      </c>
      <c r="E503" t="s">
        <v>12</v>
      </c>
      <c r="F503">
        <v>54370598</v>
      </c>
      <c r="G503">
        <v>54370613</v>
      </c>
      <c r="H503">
        <v>54370616</v>
      </c>
      <c r="I503">
        <v>54370623</v>
      </c>
    </row>
    <row r="504" spans="1:9" x14ac:dyDescent="0.2">
      <c r="A504" t="str">
        <f>"4930404H24Rik"</f>
        <v>4930404H24Rik</v>
      </c>
      <c r="B504" t="s">
        <v>14</v>
      </c>
      <c r="C504" t="s">
        <v>26</v>
      </c>
      <c r="D504" t="s">
        <v>17</v>
      </c>
      <c r="E504" t="s">
        <v>67</v>
      </c>
      <c r="F504">
        <v>153492695</v>
      </c>
      <c r="G504">
        <v>153492734</v>
      </c>
      <c r="H504">
        <v>153492786</v>
      </c>
      <c r="I504">
        <v>153492822</v>
      </c>
    </row>
    <row r="505" spans="1:9" x14ac:dyDescent="0.2">
      <c r="A505" t="str">
        <f>"4930404N11Rik"</f>
        <v>4930404N11Rik</v>
      </c>
      <c r="B505" t="s">
        <v>14</v>
      </c>
      <c r="C505" t="s">
        <v>15</v>
      </c>
      <c r="D505" t="s">
        <v>11</v>
      </c>
      <c r="E505" t="s">
        <v>12</v>
      </c>
      <c r="F505">
        <v>81364846</v>
      </c>
      <c r="G505">
        <v>81364859</v>
      </c>
      <c r="H505">
        <v>81365807</v>
      </c>
      <c r="I505">
        <v>81365825</v>
      </c>
    </row>
    <row r="506" spans="1:9" x14ac:dyDescent="0.2">
      <c r="A506" t="str">
        <f>"4930407I10Rik"</f>
        <v>4930407I10Rik</v>
      </c>
      <c r="B506" t="s">
        <v>14</v>
      </c>
      <c r="C506" t="s">
        <v>25</v>
      </c>
      <c r="D506" t="s">
        <v>17</v>
      </c>
      <c r="E506" t="s">
        <v>12</v>
      </c>
      <c r="F506">
        <v>82059144</v>
      </c>
      <c r="G506">
        <v>82059158</v>
      </c>
      <c r="H506">
        <v>82059137</v>
      </c>
      <c r="I506">
        <v>82059140</v>
      </c>
    </row>
    <row r="507" spans="1:9" x14ac:dyDescent="0.2">
      <c r="A507" t="str">
        <f>"4930408O17Rik"</f>
        <v>4930408O17Rik</v>
      </c>
      <c r="B507" t="s">
        <v>2003</v>
      </c>
      <c r="C507" t="s">
        <v>16</v>
      </c>
      <c r="D507" t="s">
        <v>17</v>
      </c>
      <c r="E507" t="s">
        <v>20</v>
      </c>
      <c r="F507">
        <v>104865329</v>
      </c>
      <c r="G507">
        <v>104865329</v>
      </c>
      <c r="H507">
        <v>104865329</v>
      </c>
      <c r="I507">
        <v>104865329</v>
      </c>
    </row>
    <row r="508" spans="1:9" x14ac:dyDescent="0.2">
      <c r="A508" t="str">
        <f>"4930412D23Rik"</f>
        <v>4930412D23Rik</v>
      </c>
      <c r="B508" t="s">
        <v>14</v>
      </c>
      <c r="C508" t="s">
        <v>37</v>
      </c>
      <c r="D508" t="s">
        <v>11</v>
      </c>
      <c r="E508" t="s">
        <v>12</v>
      </c>
      <c r="F508">
        <v>127736542</v>
      </c>
      <c r="G508">
        <v>127736553</v>
      </c>
      <c r="H508">
        <v>127736561</v>
      </c>
      <c r="I508">
        <v>127736570</v>
      </c>
    </row>
    <row r="509" spans="1:9" x14ac:dyDescent="0.2">
      <c r="A509" t="str">
        <f>"4930412O13Rik"</f>
        <v>4930412O13Rik</v>
      </c>
      <c r="B509" t="s">
        <v>14</v>
      </c>
      <c r="C509" t="s">
        <v>26</v>
      </c>
      <c r="D509" t="s">
        <v>17</v>
      </c>
      <c r="E509" t="s">
        <v>12</v>
      </c>
      <c r="F509">
        <v>9881195</v>
      </c>
      <c r="G509">
        <v>9881216</v>
      </c>
      <c r="H509">
        <v>9881152</v>
      </c>
      <c r="I509">
        <v>9881170</v>
      </c>
    </row>
    <row r="510" spans="1:9" x14ac:dyDescent="0.2">
      <c r="A510" t="str">
        <f>"4930415F15Rik"</f>
        <v>4930415F15Rik</v>
      </c>
      <c r="B510" t="s">
        <v>14</v>
      </c>
      <c r="C510" t="s">
        <v>27</v>
      </c>
      <c r="D510" t="s">
        <v>17</v>
      </c>
      <c r="E510" t="s">
        <v>12</v>
      </c>
      <c r="F510">
        <v>11462079</v>
      </c>
      <c r="G510">
        <v>11462103</v>
      </c>
      <c r="H510">
        <v>11462106</v>
      </c>
      <c r="I510">
        <v>11462120</v>
      </c>
    </row>
    <row r="511" spans="1:9" x14ac:dyDescent="0.2">
      <c r="A511" t="str">
        <f>"4930415L06Rik"</f>
        <v>4930415L06Rik</v>
      </c>
      <c r="B511" t="s">
        <v>2004</v>
      </c>
      <c r="C511" t="s">
        <v>37</v>
      </c>
      <c r="D511" t="s">
        <v>11</v>
      </c>
      <c r="E511" t="s">
        <v>20</v>
      </c>
      <c r="F511">
        <v>89932851</v>
      </c>
      <c r="G511">
        <v>89932851</v>
      </c>
      <c r="H511">
        <v>89932851</v>
      </c>
      <c r="I511">
        <v>89932851</v>
      </c>
    </row>
    <row r="512" spans="1:9" x14ac:dyDescent="0.2">
      <c r="A512" t="str">
        <f>"4930415O20Rik"</f>
        <v>4930415O20Rik</v>
      </c>
      <c r="B512" t="s">
        <v>14</v>
      </c>
      <c r="C512" t="s">
        <v>25</v>
      </c>
      <c r="D512" t="s">
        <v>17</v>
      </c>
      <c r="E512" t="s">
        <v>12</v>
      </c>
      <c r="F512">
        <v>98571007</v>
      </c>
      <c r="G512">
        <v>98571026</v>
      </c>
      <c r="H512">
        <v>98571040</v>
      </c>
      <c r="I512">
        <v>98571045</v>
      </c>
    </row>
    <row r="513" spans="1:9" x14ac:dyDescent="0.2">
      <c r="A513" t="str">
        <f>"4930422G04Rik"</f>
        <v>4930422G04Rik</v>
      </c>
      <c r="B513" t="s">
        <v>14</v>
      </c>
      <c r="C513" t="s">
        <v>22</v>
      </c>
      <c r="D513" t="s">
        <v>17</v>
      </c>
      <c r="E513" t="s">
        <v>12</v>
      </c>
      <c r="F513">
        <v>127553462</v>
      </c>
      <c r="G513">
        <v>127553512</v>
      </c>
      <c r="H513">
        <v>127553462</v>
      </c>
      <c r="I513">
        <v>127553512</v>
      </c>
    </row>
    <row r="514" spans="1:9" x14ac:dyDescent="0.2">
      <c r="A514" t="str">
        <f>"4930423O20Rik"</f>
        <v>4930423O20Rik</v>
      </c>
      <c r="B514" t="s">
        <v>2005</v>
      </c>
      <c r="C514" t="s">
        <v>31</v>
      </c>
      <c r="D514" t="s">
        <v>11</v>
      </c>
      <c r="E514" t="s">
        <v>20</v>
      </c>
      <c r="F514">
        <v>70382384</v>
      </c>
      <c r="G514">
        <v>70382384</v>
      </c>
      <c r="H514">
        <v>70382384</v>
      </c>
      <c r="I514">
        <v>70382384</v>
      </c>
    </row>
    <row r="515" spans="1:9" x14ac:dyDescent="0.2">
      <c r="A515" t="str">
        <f>"4930425F17Rik"</f>
        <v>4930425F17Rik</v>
      </c>
      <c r="B515" t="s">
        <v>2006</v>
      </c>
      <c r="C515" t="s">
        <v>26</v>
      </c>
      <c r="D515" t="s">
        <v>17</v>
      </c>
      <c r="E515" t="s">
        <v>20</v>
      </c>
      <c r="F515">
        <v>131647824</v>
      </c>
      <c r="G515">
        <v>131647824</v>
      </c>
      <c r="H515">
        <v>131647824</v>
      </c>
      <c r="I515">
        <v>131647824</v>
      </c>
    </row>
    <row r="516" spans="1:9" x14ac:dyDescent="0.2">
      <c r="A516" t="str">
        <f>"4930426L09Rik"</f>
        <v>4930426L09Rik</v>
      </c>
      <c r="B516" t="s">
        <v>14</v>
      </c>
      <c r="C516" t="s">
        <v>26</v>
      </c>
      <c r="D516" t="s">
        <v>17</v>
      </c>
      <c r="E516" t="s">
        <v>12</v>
      </c>
      <c r="F516">
        <v>18998314</v>
      </c>
      <c r="G516">
        <v>18998316</v>
      </c>
      <c r="H516">
        <v>18998314</v>
      </c>
      <c r="I516">
        <v>18998316</v>
      </c>
    </row>
    <row r="517" spans="1:9" x14ac:dyDescent="0.2">
      <c r="A517" t="str">
        <f>"4930427A07Rik"</f>
        <v>4930427A07Rik</v>
      </c>
      <c r="B517" t="s">
        <v>14</v>
      </c>
      <c r="C517" t="s">
        <v>16</v>
      </c>
      <c r="D517" t="s">
        <v>17</v>
      </c>
      <c r="E517" t="s">
        <v>12</v>
      </c>
      <c r="F517">
        <v>113156403</v>
      </c>
      <c r="G517">
        <v>113156442</v>
      </c>
      <c r="H517">
        <v>113156447</v>
      </c>
      <c r="I517">
        <v>113156452</v>
      </c>
    </row>
    <row r="518" spans="1:9" x14ac:dyDescent="0.2">
      <c r="A518" t="str">
        <f>"4930428D18Rik"</f>
        <v>4930428D18Rik</v>
      </c>
      <c r="B518" t="s">
        <v>14</v>
      </c>
      <c r="C518" t="s">
        <v>37</v>
      </c>
      <c r="D518" t="s">
        <v>17</v>
      </c>
      <c r="E518" t="s">
        <v>12</v>
      </c>
      <c r="F518">
        <v>76393361</v>
      </c>
      <c r="G518">
        <v>76393372</v>
      </c>
      <c r="H518">
        <v>76393352</v>
      </c>
      <c r="I518">
        <v>76393359</v>
      </c>
    </row>
    <row r="519" spans="1:9" x14ac:dyDescent="0.2">
      <c r="A519" t="str">
        <f>"4930429B21Rik"</f>
        <v>4930429B21Rik</v>
      </c>
      <c r="B519" t="s">
        <v>14</v>
      </c>
      <c r="C519" t="s">
        <v>22</v>
      </c>
      <c r="D519" t="s">
        <v>17</v>
      </c>
      <c r="E519" t="s">
        <v>12</v>
      </c>
      <c r="F519">
        <v>32365337</v>
      </c>
      <c r="G519">
        <v>32365352</v>
      </c>
      <c r="H519">
        <v>32365337</v>
      </c>
      <c r="I519">
        <v>32365352</v>
      </c>
    </row>
    <row r="520" spans="1:9" x14ac:dyDescent="0.2">
      <c r="A520" t="str">
        <f>"4930430A15Rik"</f>
        <v>4930430A15Rik</v>
      </c>
      <c r="B520" t="s">
        <v>14</v>
      </c>
      <c r="C520" t="s">
        <v>26</v>
      </c>
      <c r="D520" t="s">
        <v>11</v>
      </c>
      <c r="E520" t="s">
        <v>12</v>
      </c>
      <c r="F520">
        <v>111229558</v>
      </c>
      <c r="G520">
        <v>111229612</v>
      </c>
      <c r="H520">
        <v>111229558</v>
      </c>
      <c r="I520">
        <v>111229612</v>
      </c>
    </row>
    <row r="521" spans="1:9" x14ac:dyDescent="0.2">
      <c r="A521" t="str">
        <f>"4930430D24Rik"</f>
        <v>4930430D24Rik</v>
      </c>
      <c r="B521" t="s">
        <v>14</v>
      </c>
      <c r="C521" t="s">
        <v>37</v>
      </c>
      <c r="D521" t="s">
        <v>11</v>
      </c>
      <c r="E521" t="s">
        <v>12</v>
      </c>
      <c r="F521">
        <v>38043105</v>
      </c>
      <c r="G521">
        <v>38043137</v>
      </c>
      <c r="H521">
        <v>38043105</v>
      </c>
      <c r="I521">
        <v>38043137</v>
      </c>
    </row>
    <row r="522" spans="1:9" x14ac:dyDescent="0.2">
      <c r="A522" t="str">
        <f>"4930430F08Rik"</f>
        <v>4930430F08Rik</v>
      </c>
      <c r="B522" t="s">
        <v>14</v>
      </c>
      <c r="C522" t="s">
        <v>15</v>
      </c>
      <c r="D522" t="s">
        <v>11</v>
      </c>
      <c r="E522" t="s">
        <v>12</v>
      </c>
      <c r="F522">
        <v>100589205</v>
      </c>
      <c r="G522">
        <v>100589269</v>
      </c>
      <c r="H522">
        <v>100589202</v>
      </c>
      <c r="I522">
        <v>100589203</v>
      </c>
    </row>
    <row r="523" spans="1:9" x14ac:dyDescent="0.2">
      <c r="A523" t="str">
        <f>"4930430O22Rik"</f>
        <v>4930430O22Rik</v>
      </c>
      <c r="B523" t="s">
        <v>14</v>
      </c>
      <c r="C523" t="s">
        <v>46</v>
      </c>
      <c r="D523" t="s">
        <v>11</v>
      </c>
      <c r="E523" t="s">
        <v>12</v>
      </c>
      <c r="F523">
        <v>115436546</v>
      </c>
      <c r="G523">
        <v>115436557</v>
      </c>
      <c r="H523">
        <v>115436546</v>
      </c>
      <c r="I523">
        <v>115436557</v>
      </c>
    </row>
    <row r="524" spans="1:9" x14ac:dyDescent="0.2">
      <c r="A524" t="str">
        <f>"4930431F12Rik"</f>
        <v>4930431F12Rik</v>
      </c>
      <c r="B524" t="s">
        <v>2007</v>
      </c>
      <c r="C524" t="s">
        <v>46</v>
      </c>
      <c r="D524" t="s">
        <v>17</v>
      </c>
      <c r="E524" t="s">
        <v>20</v>
      </c>
      <c r="F524">
        <v>44966582</v>
      </c>
      <c r="G524">
        <v>44966582</v>
      </c>
      <c r="H524">
        <v>44966582</v>
      </c>
      <c r="I524">
        <v>44966582</v>
      </c>
    </row>
    <row r="525" spans="1:9" x14ac:dyDescent="0.2">
      <c r="A525" t="str">
        <f>"4930432E11Rik"</f>
        <v>4930432E11Rik</v>
      </c>
      <c r="B525" t="s">
        <v>2008</v>
      </c>
      <c r="C525" t="s">
        <v>33</v>
      </c>
      <c r="D525" t="s">
        <v>17</v>
      </c>
      <c r="E525" t="s">
        <v>20</v>
      </c>
      <c r="F525">
        <v>29560514</v>
      </c>
      <c r="G525">
        <v>29560514</v>
      </c>
      <c r="H525">
        <v>29560514</v>
      </c>
      <c r="I525">
        <v>29560514</v>
      </c>
    </row>
    <row r="526" spans="1:9" x14ac:dyDescent="0.2">
      <c r="A526" t="str">
        <f>"4930432K09Rik"</f>
        <v>4930432K09Rik</v>
      </c>
      <c r="B526" t="s">
        <v>14</v>
      </c>
      <c r="C526" t="s">
        <v>46</v>
      </c>
      <c r="D526" t="s">
        <v>17</v>
      </c>
      <c r="E526" t="s">
        <v>12</v>
      </c>
      <c r="F526">
        <v>87825675</v>
      </c>
      <c r="G526">
        <v>87825754</v>
      </c>
      <c r="H526">
        <v>87825675</v>
      </c>
      <c r="I526">
        <v>87825754</v>
      </c>
    </row>
    <row r="527" spans="1:9" x14ac:dyDescent="0.2">
      <c r="A527" t="str">
        <f>"4930432K21Rik"</f>
        <v>4930432K21Rik</v>
      </c>
      <c r="B527" t="s">
        <v>14</v>
      </c>
      <c r="C527" t="s">
        <v>30</v>
      </c>
      <c r="D527" t="s">
        <v>17</v>
      </c>
      <c r="E527" t="s">
        <v>12</v>
      </c>
      <c r="F527">
        <v>84148304</v>
      </c>
      <c r="G527">
        <v>84148321</v>
      </c>
      <c r="H527">
        <v>84148038</v>
      </c>
      <c r="I527">
        <v>84148057</v>
      </c>
    </row>
    <row r="528" spans="1:9" x14ac:dyDescent="0.2">
      <c r="A528" t="str">
        <f>"4930432M17Rik"</f>
        <v>4930432M17Rik</v>
      </c>
      <c r="B528" t="s">
        <v>2009</v>
      </c>
      <c r="C528" t="s">
        <v>22</v>
      </c>
      <c r="D528" t="s">
        <v>17</v>
      </c>
      <c r="E528" t="s">
        <v>20</v>
      </c>
      <c r="F528">
        <v>121671316</v>
      </c>
      <c r="G528">
        <v>121671316</v>
      </c>
      <c r="H528">
        <v>121671316</v>
      </c>
      <c r="I528">
        <v>121671316</v>
      </c>
    </row>
    <row r="529" spans="1:9" x14ac:dyDescent="0.2">
      <c r="A529" t="str">
        <f>"4930433I11Rik"</f>
        <v>4930433I11Rik</v>
      </c>
      <c r="B529" t="s">
        <v>14</v>
      </c>
      <c r="C529" t="s">
        <v>33</v>
      </c>
      <c r="D529" t="s">
        <v>17</v>
      </c>
      <c r="E529" t="s">
        <v>12</v>
      </c>
      <c r="F529">
        <v>40987549</v>
      </c>
      <c r="G529">
        <v>40987570</v>
      </c>
      <c r="H529">
        <v>40987576</v>
      </c>
      <c r="I529">
        <v>40987590</v>
      </c>
    </row>
    <row r="530" spans="1:9" x14ac:dyDescent="0.2">
      <c r="A530" t="str">
        <f>"4930433N12Rik"</f>
        <v>4930433N12Rik</v>
      </c>
      <c r="B530" t="s">
        <v>14</v>
      </c>
      <c r="C530" t="s">
        <v>24</v>
      </c>
      <c r="D530" t="s">
        <v>11</v>
      </c>
      <c r="E530" t="s">
        <v>12</v>
      </c>
      <c r="F530">
        <v>3199809</v>
      </c>
      <c r="G530">
        <v>3199819</v>
      </c>
      <c r="H530">
        <v>3199809</v>
      </c>
      <c r="I530">
        <v>3199819</v>
      </c>
    </row>
    <row r="531" spans="1:9" x14ac:dyDescent="0.2">
      <c r="A531" t="str">
        <f>"4930435E12Rik"</f>
        <v>4930435E12Rik</v>
      </c>
      <c r="B531" t="s">
        <v>14</v>
      </c>
      <c r="C531" t="s">
        <v>31</v>
      </c>
      <c r="D531" t="s">
        <v>11</v>
      </c>
      <c r="E531" t="s">
        <v>12</v>
      </c>
      <c r="F531">
        <v>38828756</v>
      </c>
      <c r="G531">
        <v>38828770</v>
      </c>
      <c r="H531">
        <v>38828725</v>
      </c>
      <c r="I531">
        <v>38828736</v>
      </c>
    </row>
    <row r="532" spans="1:9" x14ac:dyDescent="0.2">
      <c r="A532" t="str">
        <f>"4930435H24Rik"</f>
        <v>4930435H24Rik</v>
      </c>
      <c r="B532" t="s">
        <v>2010</v>
      </c>
      <c r="C532" t="s">
        <v>46</v>
      </c>
      <c r="D532" t="s">
        <v>11</v>
      </c>
      <c r="E532" t="s">
        <v>20</v>
      </c>
      <c r="F532">
        <v>45169563</v>
      </c>
      <c r="G532">
        <v>45169563</v>
      </c>
      <c r="H532">
        <v>45169563</v>
      </c>
      <c r="I532">
        <v>45169563</v>
      </c>
    </row>
    <row r="533" spans="1:9" x14ac:dyDescent="0.2">
      <c r="A533" t="str">
        <f>"4930438A08Rik"</f>
        <v>4930438A08Rik</v>
      </c>
      <c r="B533" t="s">
        <v>14</v>
      </c>
      <c r="C533" t="s">
        <v>27</v>
      </c>
      <c r="D533" t="s">
        <v>17</v>
      </c>
      <c r="E533" t="s">
        <v>67</v>
      </c>
      <c r="F533">
        <v>58274806</v>
      </c>
      <c r="G533">
        <v>58274856</v>
      </c>
      <c r="H533">
        <v>58274806</v>
      </c>
      <c r="I533">
        <v>58274856</v>
      </c>
    </row>
    <row r="534" spans="1:9" x14ac:dyDescent="0.2">
      <c r="A534" t="str">
        <f>"4930442H23Rik"</f>
        <v>4930442H23Rik</v>
      </c>
      <c r="B534" t="s">
        <v>2011</v>
      </c>
      <c r="C534" t="s">
        <v>15</v>
      </c>
      <c r="D534" t="s">
        <v>11</v>
      </c>
      <c r="E534" t="s">
        <v>20</v>
      </c>
      <c r="F534">
        <v>81183848</v>
      </c>
      <c r="G534">
        <v>81183848</v>
      </c>
      <c r="H534">
        <v>81183848</v>
      </c>
      <c r="I534">
        <v>81183848</v>
      </c>
    </row>
    <row r="535" spans="1:9" x14ac:dyDescent="0.2">
      <c r="A535" t="str">
        <f>"4930444G20Rik"</f>
        <v>4930444G20Rik</v>
      </c>
      <c r="B535" t="s">
        <v>14</v>
      </c>
      <c r="C535" t="s">
        <v>15</v>
      </c>
      <c r="D535" t="s">
        <v>11</v>
      </c>
      <c r="E535" t="s">
        <v>12</v>
      </c>
      <c r="F535">
        <v>22068538</v>
      </c>
      <c r="G535">
        <v>22068546</v>
      </c>
      <c r="H535">
        <v>22068538</v>
      </c>
      <c r="I535">
        <v>22068546</v>
      </c>
    </row>
    <row r="536" spans="1:9" x14ac:dyDescent="0.2">
      <c r="A536" t="str">
        <f>"4930444P10Rik"</f>
        <v>4930444P10Rik</v>
      </c>
      <c r="B536" t="s">
        <v>14</v>
      </c>
      <c r="C536" t="s">
        <v>19</v>
      </c>
      <c r="D536" t="s">
        <v>11</v>
      </c>
      <c r="E536" t="s">
        <v>12</v>
      </c>
      <c r="F536">
        <v>16093286</v>
      </c>
      <c r="G536">
        <v>16093341</v>
      </c>
      <c r="H536">
        <v>16093101</v>
      </c>
      <c r="I536">
        <v>16093115</v>
      </c>
    </row>
    <row r="537" spans="1:9" x14ac:dyDescent="0.2">
      <c r="A537" t="str">
        <f>"4930447A16Rik"</f>
        <v>4930447A16Rik</v>
      </c>
      <c r="B537" t="s">
        <v>2012</v>
      </c>
      <c r="C537" t="s">
        <v>25</v>
      </c>
      <c r="D537" t="s">
        <v>17</v>
      </c>
      <c r="E537" t="s">
        <v>20</v>
      </c>
      <c r="F537">
        <v>37425553</v>
      </c>
      <c r="G537">
        <v>37425553</v>
      </c>
      <c r="H537">
        <v>37425553</v>
      </c>
      <c r="I537">
        <v>37425553</v>
      </c>
    </row>
    <row r="538" spans="1:9" x14ac:dyDescent="0.2">
      <c r="A538" t="str">
        <f>"4930447C04Rik"</f>
        <v>4930447C04Rik</v>
      </c>
      <c r="B538" t="s">
        <v>14</v>
      </c>
      <c r="C538" t="s">
        <v>16</v>
      </c>
      <c r="D538" t="s">
        <v>11</v>
      </c>
      <c r="E538" t="s">
        <v>12</v>
      </c>
      <c r="F538">
        <v>72917872</v>
      </c>
      <c r="G538">
        <v>72917942</v>
      </c>
      <c r="H538">
        <v>72917850</v>
      </c>
      <c r="I538">
        <v>72917865</v>
      </c>
    </row>
    <row r="539" spans="1:9" x14ac:dyDescent="0.2">
      <c r="A539" t="str">
        <f>"4930447F04Rik"</f>
        <v>4930447F04Rik</v>
      </c>
      <c r="B539" t="s">
        <v>14</v>
      </c>
      <c r="C539" t="s">
        <v>37</v>
      </c>
      <c r="D539" t="s">
        <v>11</v>
      </c>
      <c r="E539" t="s">
        <v>12</v>
      </c>
      <c r="F539">
        <v>66304143</v>
      </c>
      <c r="G539">
        <v>66304165</v>
      </c>
      <c r="H539">
        <v>66304114</v>
      </c>
      <c r="I539">
        <v>66304121</v>
      </c>
    </row>
    <row r="540" spans="1:9" x14ac:dyDescent="0.2">
      <c r="A540" t="str">
        <f>"4930449A18Rik"</f>
        <v>4930449A18Rik</v>
      </c>
      <c r="B540" t="s">
        <v>14</v>
      </c>
      <c r="C540" t="s">
        <v>22</v>
      </c>
      <c r="D540" t="s">
        <v>17</v>
      </c>
      <c r="E540" t="s">
        <v>67</v>
      </c>
      <c r="F540">
        <v>59777801</v>
      </c>
      <c r="G540">
        <v>59777827</v>
      </c>
      <c r="H540">
        <v>59777801</v>
      </c>
      <c r="I540">
        <v>59777827</v>
      </c>
    </row>
    <row r="541" spans="1:9" x14ac:dyDescent="0.2">
      <c r="A541" t="str">
        <f>"4930449E01Rik"</f>
        <v>4930449E01Rik</v>
      </c>
      <c r="B541" t="s">
        <v>2013</v>
      </c>
      <c r="C541" t="s">
        <v>41</v>
      </c>
      <c r="D541" t="s">
        <v>17</v>
      </c>
      <c r="E541" t="s">
        <v>20</v>
      </c>
      <c r="F541">
        <v>105498787</v>
      </c>
      <c r="G541">
        <v>105498787</v>
      </c>
      <c r="H541">
        <v>105498787</v>
      </c>
      <c r="I541">
        <v>105498787</v>
      </c>
    </row>
    <row r="542" spans="1:9" x14ac:dyDescent="0.2">
      <c r="A542" t="str">
        <f>"4930449I24Rik"</f>
        <v>4930449I24Rik</v>
      </c>
      <c r="B542" t="s">
        <v>2014</v>
      </c>
      <c r="C542" t="s">
        <v>46</v>
      </c>
      <c r="D542" t="s">
        <v>17</v>
      </c>
      <c r="E542" t="s">
        <v>20</v>
      </c>
      <c r="F542">
        <v>146502427</v>
      </c>
      <c r="G542">
        <v>146502427</v>
      </c>
      <c r="H542">
        <v>146502427</v>
      </c>
      <c r="I542">
        <v>146502427</v>
      </c>
    </row>
    <row r="543" spans="1:9" x14ac:dyDescent="0.2">
      <c r="A543" t="str">
        <f>"4930451C15Rik"</f>
        <v>4930451C15Rik</v>
      </c>
      <c r="B543" t="s">
        <v>14</v>
      </c>
      <c r="C543" t="s">
        <v>31</v>
      </c>
      <c r="D543" t="s">
        <v>11</v>
      </c>
      <c r="E543" t="s">
        <v>12</v>
      </c>
      <c r="F543">
        <v>17561240</v>
      </c>
      <c r="G543">
        <v>17561254</v>
      </c>
      <c r="H543">
        <v>17561240</v>
      </c>
      <c r="I543">
        <v>17561254</v>
      </c>
    </row>
    <row r="544" spans="1:9" x14ac:dyDescent="0.2">
      <c r="A544" t="str">
        <f>"4930451G09Rik"</f>
        <v>4930451G09Rik</v>
      </c>
      <c r="B544" t="s">
        <v>2015</v>
      </c>
      <c r="C544" t="s">
        <v>31</v>
      </c>
      <c r="D544" t="s">
        <v>17</v>
      </c>
      <c r="E544" t="s">
        <v>20</v>
      </c>
      <c r="F544">
        <v>4968935</v>
      </c>
      <c r="G544">
        <v>4968935</v>
      </c>
      <c r="H544">
        <v>4968935</v>
      </c>
      <c r="I544">
        <v>4968935</v>
      </c>
    </row>
    <row r="545" spans="1:9" x14ac:dyDescent="0.2">
      <c r="A545" t="str">
        <f>"4930451I11Rik"</f>
        <v>4930451I11Rik</v>
      </c>
      <c r="B545" t="s">
        <v>14</v>
      </c>
      <c r="C545" t="s">
        <v>33</v>
      </c>
      <c r="D545" t="s">
        <v>11</v>
      </c>
      <c r="E545" t="s">
        <v>12</v>
      </c>
      <c r="F545">
        <v>126831466</v>
      </c>
      <c r="G545">
        <v>126831481</v>
      </c>
      <c r="H545">
        <v>126831466</v>
      </c>
      <c r="I545">
        <v>126831481</v>
      </c>
    </row>
    <row r="546" spans="1:9" x14ac:dyDescent="0.2">
      <c r="A546" t="str">
        <f>"4930452B06Rik"</f>
        <v>4930452B06Rik</v>
      </c>
      <c r="B546" t="s">
        <v>14</v>
      </c>
      <c r="C546" t="s">
        <v>41</v>
      </c>
      <c r="D546" t="s">
        <v>11</v>
      </c>
      <c r="E546" t="s">
        <v>12</v>
      </c>
      <c r="F546">
        <v>8666236</v>
      </c>
      <c r="G546">
        <v>8666279</v>
      </c>
      <c r="H546">
        <v>8666203</v>
      </c>
      <c r="I546">
        <v>8666235</v>
      </c>
    </row>
    <row r="547" spans="1:9" x14ac:dyDescent="0.2">
      <c r="A547" t="str">
        <f>"4930453N24Rik"</f>
        <v>4930453N24Rik</v>
      </c>
      <c r="B547" t="s">
        <v>14</v>
      </c>
      <c r="C547" t="s">
        <v>31</v>
      </c>
      <c r="D547" t="s">
        <v>11</v>
      </c>
      <c r="E547" t="s">
        <v>12</v>
      </c>
      <c r="F547">
        <v>64770916</v>
      </c>
      <c r="G547">
        <v>64770971</v>
      </c>
      <c r="H547">
        <v>64771146</v>
      </c>
      <c r="I547">
        <v>64771184</v>
      </c>
    </row>
    <row r="548" spans="1:9" x14ac:dyDescent="0.2">
      <c r="A548" t="str">
        <f>"4930455H04Rik"</f>
        <v>4930455H04Rik</v>
      </c>
      <c r="B548" t="s">
        <v>14</v>
      </c>
      <c r="C548" t="s">
        <v>22</v>
      </c>
      <c r="D548" t="s">
        <v>17</v>
      </c>
      <c r="E548" t="s">
        <v>12</v>
      </c>
      <c r="F548">
        <v>116968266</v>
      </c>
      <c r="G548">
        <v>116968289</v>
      </c>
      <c r="H548">
        <v>116968266</v>
      </c>
      <c r="I548">
        <v>116968289</v>
      </c>
    </row>
    <row r="549" spans="1:9" x14ac:dyDescent="0.2">
      <c r="A549" t="str">
        <f>"4930467E23Rik"</f>
        <v>4930467E23Rik</v>
      </c>
      <c r="B549" t="s">
        <v>2016</v>
      </c>
      <c r="C549" t="s">
        <v>30</v>
      </c>
      <c r="D549" t="s">
        <v>17</v>
      </c>
      <c r="E549" t="s">
        <v>20</v>
      </c>
      <c r="F549">
        <v>19729745</v>
      </c>
      <c r="G549">
        <v>19729745</v>
      </c>
      <c r="H549">
        <v>19729745</v>
      </c>
      <c r="I549">
        <v>19729745</v>
      </c>
    </row>
    <row r="550" spans="1:9" x14ac:dyDescent="0.2">
      <c r="A550" t="str">
        <f>"4930468A15Rik"</f>
        <v>4930468A15Rik</v>
      </c>
      <c r="B550" t="s">
        <v>14</v>
      </c>
      <c r="C550" t="s">
        <v>37</v>
      </c>
      <c r="D550" t="s">
        <v>11</v>
      </c>
      <c r="E550" t="s">
        <v>12</v>
      </c>
      <c r="F550">
        <v>76602896</v>
      </c>
      <c r="G550">
        <v>76602945</v>
      </c>
      <c r="H550">
        <v>76602896</v>
      </c>
      <c r="I550">
        <v>76602945</v>
      </c>
    </row>
    <row r="551" spans="1:9" x14ac:dyDescent="0.2">
      <c r="A551" t="str">
        <f>"4930470P17Rik"</f>
        <v>4930470P17Rik</v>
      </c>
      <c r="B551" t="s">
        <v>14</v>
      </c>
      <c r="C551" t="s">
        <v>26</v>
      </c>
      <c r="D551" t="s">
        <v>11</v>
      </c>
      <c r="E551" t="s">
        <v>12</v>
      </c>
      <c r="F551">
        <v>170601993</v>
      </c>
      <c r="G551">
        <v>170602022</v>
      </c>
      <c r="H551">
        <v>170601993</v>
      </c>
      <c r="I551">
        <v>170602022</v>
      </c>
    </row>
    <row r="552" spans="1:9" x14ac:dyDescent="0.2">
      <c r="A552" t="str">
        <f>"4930474N05Rik"</f>
        <v>4930474N05Rik</v>
      </c>
      <c r="B552" t="s">
        <v>14</v>
      </c>
      <c r="C552" t="s">
        <v>41</v>
      </c>
      <c r="D552" t="s">
        <v>17</v>
      </c>
      <c r="E552" t="s">
        <v>12</v>
      </c>
      <c r="F552">
        <v>36094960</v>
      </c>
      <c r="G552">
        <v>36094967</v>
      </c>
      <c r="H552">
        <v>36094960</v>
      </c>
      <c r="I552">
        <v>36094967</v>
      </c>
    </row>
    <row r="553" spans="1:9" x14ac:dyDescent="0.2">
      <c r="A553" t="str">
        <f>"4930480E11Rik"</f>
        <v>4930480E11Rik</v>
      </c>
      <c r="B553" t="s">
        <v>14</v>
      </c>
      <c r="C553" t="s">
        <v>37</v>
      </c>
      <c r="D553" t="s">
        <v>17</v>
      </c>
      <c r="E553" t="s">
        <v>12</v>
      </c>
      <c r="F553">
        <v>78369636</v>
      </c>
      <c r="G553">
        <v>78369671</v>
      </c>
      <c r="H553">
        <v>78369636</v>
      </c>
      <c r="I553">
        <v>78369671</v>
      </c>
    </row>
    <row r="554" spans="1:9" x14ac:dyDescent="0.2">
      <c r="A554" t="str">
        <f>"4930481A15Rik"</f>
        <v>4930481A15Rik</v>
      </c>
      <c r="B554" t="s">
        <v>14</v>
      </c>
      <c r="C554" t="s">
        <v>10</v>
      </c>
      <c r="D554" t="s">
        <v>17</v>
      </c>
      <c r="E554" t="s">
        <v>12</v>
      </c>
      <c r="F554">
        <v>5406864</v>
      </c>
      <c r="G554">
        <v>5406880</v>
      </c>
      <c r="H554">
        <v>5406849</v>
      </c>
      <c r="I554">
        <v>5406862</v>
      </c>
    </row>
    <row r="555" spans="1:9" x14ac:dyDescent="0.2">
      <c r="A555" t="str">
        <f>"4930486L24Rik"</f>
        <v>4930486L24Rik</v>
      </c>
      <c r="B555" t="s">
        <v>14</v>
      </c>
      <c r="C555" t="s">
        <v>39</v>
      </c>
      <c r="D555" t="s">
        <v>11</v>
      </c>
      <c r="E555" t="s">
        <v>12</v>
      </c>
      <c r="F555">
        <v>60864373</v>
      </c>
      <c r="G555">
        <v>60864437</v>
      </c>
      <c r="H555">
        <v>60864373</v>
      </c>
      <c r="I555">
        <v>60864437</v>
      </c>
    </row>
    <row r="556" spans="1:9" x14ac:dyDescent="0.2">
      <c r="A556" t="str">
        <f>"4930500M09Rik"</f>
        <v>4930500M09Rik</v>
      </c>
      <c r="B556" t="s">
        <v>14</v>
      </c>
      <c r="C556" t="s">
        <v>19</v>
      </c>
      <c r="D556" t="s">
        <v>17</v>
      </c>
      <c r="E556" t="s">
        <v>67</v>
      </c>
      <c r="F556">
        <v>170214826</v>
      </c>
      <c r="G556">
        <v>170214863</v>
      </c>
      <c r="H556">
        <v>170214765</v>
      </c>
      <c r="I556">
        <v>170214769</v>
      </c>
    </row>
    <row r="557" spans="1:9" x14ac:dyDescent="0.2">
      <c r="A557" t="str">
        <f>"4930502E18Rik"</f>
        <v>4930502E18Rik</v>
      </c>
      <c r="B557" t="s">
        <v>14</v>
      </c>
      <c r="C557" t="s">
        <v>37</v>
      </c>
      <c r="D557" t="s">
        <v>17</v>
      </c>
      <c r="E557" t="s">
        <v>12</v>
      </c>
      <c r="F557">
        <v>53724795</v>
      </c>
      <c r="G557">
        <v>53724815</v>
      </c>
      <c r="H557">
        <v>53724795</v>
      </c>
      <c r="I557">
        <v>53724815</v>
      </c>
    </row>
    <row r="558" spans="1:9" x14ac:dyDescent="0.2">
      <c r="A558" t="str">
        <f>"4930503B20Rik"</f>
        <v>4930503B20Rik</v>
      </c>
      <c r="B558" t="s">
        <v>14</v>
      </c>
      <c r="C558" t="s">
        <v>22</v>
      </c>
      <c r="D558" t="s">
        <v>11</v>
      </c>
      <c r="E558" t="s">
        <v>12</v>
      </c>
      <c r="F558">
        <v>146651304</v>
      </c>
      <c r="G558">
        <v>146651327</v>
      </c>
      <c r="H558">
        <v>146651291</v>
      </c>
      <c r="I558">
        <v>146651298</v>
      </c>
    </row>
    <row r="559" spans="1:9" x14ac:dyDescent="0.2">
      <c r="A559" t="str">
        <f>"4930503E14Rik"</f>
        <v>4930503E14Rik</v>
      </c>
      <c r="B559" t="s">
        <v>2017</v>
      </c>
      <c r="C559" t="s">
        <v>41</v>
      </c>
      <c r="D559" t="s">
        <v>11</v>
      </c>
      <c r="E559" t="s">
        <v>20</v>
      </c>
      <c r="F559">
        <v>44171370</v>
      </c>
      <c r="G559">
        <v>44171370</v>
      </c>
      <c r="H559">
        <v>44171370</v>
      </c>
      <c r="I559">
        <v>44171370</v>
      </c>
    </row>
    <row r="560" spans="1:9" x14ac:dyDescent="0.2">
      <c r="A560" t="str">
        <f>"4930503L19Rik"</f>
        <v>4930503L19Rik</v>
      </c>
      <c r="B560" t="s">
        <v>14</v>
      </c>
      <c r="C560" t="s">
        <v>43</v>
      </c>
      <c r="D560" t="s">
        <v>11</v>
      </c>
      <c r="E560" t="s">
        <v>12</v>
      </c>
      <c r="F560">
        <v>70472429</v>
      </c>
      <c r="G560">
        <v>70472520</v>
      </c>
      <c r="H560">
        <v>70472339</v>
      </c>
      <c r="I560">
        <v>70472408</v>
      </c>
    </row>
    <row r="561" spans="1:9" x14ac:dyDescent="0.2">
      <c r="A561" t="str">
        <f>"4930504O13Rik"</f>
        <v>4930504O13Rik</v>
      </c>
      <c r="B561" t="s">
        <v>14</v>
      </c>
      <c r="C561" t="s">
        <v>27</v>
      </c>
      <c r="D561" t="s">
        <v>11</v>
      </c>
      <c r="E561" t="s">
        <v>12</v>
      </c>
      <c r="F561">
        <v>58452919</v>
      </c>
      <c r="G561">
        <v>58452950</v>
      </c>
      <c r="H561">
        <v>58452919</v>
      </c>
      <c r="I561">
        <v>58452950</v>
      </c>
    </row>
    <row r="562" spans="1:9" x14ac:dyDescent="0.2">
      <c r="A562" t="str">
        <f>"4930505A04Rik"</f>
        <v>4930505A04Rik</v>
      </c>
      <c r="B562" t="s">
        <v>14</v>
      </c>
      <c r="C562" t="s">
        <v>27</v>
      </c>
      <c r="D562" t="s">
        <v>11</v>
      </c>
      <c r="E562" t="s">
        <v>12</v>
      </c>
      <c r="F562">
        <v>30471792</v>
      </c>
      <c r="G562">
        <v>30471820</v>
      </c>
      <c r="H562">
        <v>30471874</v>
      </c>
      <c r="I562">
        <v>30471886</v>
      </c>
    </row>
    <row r="563" spans="1:9" x14ac:dyDescent="0.2">
      <c r="A563" t="str">
        <f>"4930506M07Rik"</f>
        <v>4930506M07Rik</v>
      </c>
      <c r="B563" t="s">
        <v>14</v>
      </c>
      <c r="C563" t="s">
        <v>10</v>
      </c>
      <c r="D563" t="s">
        <v>11</v>
      </c>
      <c r="E563" t="s">
        <v>12</v>
      </c>
      <c r="F563">
        <v>59075610</v>
      </c>
      <c r="G563">
        <v>59075644</v>
      </c>
      <c r="H563">
        <v>59075610</v>
      </c>
      <c r="I563">
        <v>59075644</v>
      </c>
    </row>
    <row r="564" spans="1:9" x14ac:dyDescent="0.2">
      <c r="A564" t="str">
        <f>"4930507D05Rik"</f>
        <v>4930507D05Rik</v>
      </c>
      <c r="B564" t="s">
        <v>14</v>
      </c>
      <c r="C564" t="s">
        <v>15</v>
      </c>
      <c r="D564" t="s">
        <v>17</v>
      </c>
      <c r="E564" t="s">
        <v>12</v>
      </c>
      <c r="F564">
        <v>62449151</v>
      </c>
      <c r="G564">
        <v>62449200</v>
      </c>
      <c r="H564">
        <v>62449469</v>
      </c>
      <c r="I564">
        <v>62449474</v>
      </c>
    </row>
    <row r="565" spans="1:9" x14ac:dyDescent="0.2">
      <c r="A565" t="str">
        <f>"4930510E17Rik"</f>
        <v>4930510E17Rik</v>
      </c>
      <c r="B565" t="s">
        <v>2018</v>
      </c>
      <c r="C565" t="s">
        <v>24</v>
      </c>
      <c r="D565" t="s">
        <v>17</v>
      </c>
      <c r="E565" t="s">
        <v>20</v>
      </c>
      <c r="F565">
        <v>53264614</v>
      </c>
      <c r="G565">
        <v>53264614</v>
      </c>
      <c r="H565">
        <v>53264614</v>
      </c>
      <c r="I565">
        <v>53264614</v>
      </c>
    </row>
    <row r="566" spans="1:9" x14ac:dyDescent="0.2">
      <c r="A566" t="str">
        <f>"4930511M11Rik"</f>
        <v>4930511M11Rik</v>
      </c>
      <c r="B566" t="s">
        <v>14</v>
      </c>
      <c r="C566" t="s">
        <v>46</v>
      </c>
      <c r="D566" t="s">
        <v>17</v>
      </c>
      <c r="E566" t="s">
        <v>12</v>
      </c>
      <c r="F566">
        <v>3657172</v>
      </c>
      <c r="G566">
        <v>3657186</v>
      </c>
      <c r="H566">
        <v>3657187</v>
      </c>
      <c r="I566">
        <v>3657205</v>
      </c>
    </row>
    <row r="567" spans="1:9" x14ac:dyDescent="0.2">
      <c r="A567" t="str">
        <f>"4930512B01Rik"</f>
        <v>4930512B01Rik</v>
      </c>
      <c r="B567" t="s">
        <v>14</v>
      </c>
      <c r="C567" t="s">
        <v>16</v>
      </c>
      <c r="D567" t="s">
        <v>17</v>
      </c>
      <c r="E567" t="s">
        <v>67</v>
      </c>
      <c r="F567">
        <v>69789874</v>
      </c>
      <c r="G567">
        <v>69789909</v>
      </c>
      <c r="H567">
        <v>69789874</v>
      </c>
      <c r="I567">
        <v>69789909</v>
      </c>
    </row>
    <row r="568" spans="1:9" x14ac:dyDescent="0.2">
      <c r="A568" t="str">
        <f>"4930512M02Rik"</f>
        <v>4930512M02Rik</v>
      </c>
      <c r="B568" t="s">
        <v>2019</v>
      </c>
      <c r="C568" t="s">
        <v>27</v>
      </c>
      <c r="D568" t="s">
        <v>11</v>
      </c>
      <c r="E568" t="s">
        <v>20</v>
      </c>
      <c r="F568">
        <v>11627823</v>
      </c>
      <c r="G568">
        <v>11627823</v>
      </c>
      <c r="H568">
        <v>11627823</v>
      </c>
      <c r="I568">
        <v>11627823</v>
      </c>
    </row>
    <row r="569" spans="1:9" x14ac:dyDescent="0.2">
      <c r="A569" t="str">
        <f>"4930513O06Rik"</f>
        <v>4930513O06Rik</v>
      </c>
      <c r="B569" t="s">
        <v>14</v>
      </c>
      <c r="C569" t="s">
        <v>37</v>
      </c>
      <c r="D569" t="s">
        <v>17</v>
      </c>
      <c r="E569" t="s">
        <v>12</v>
      </c>
      <c r="F569">
        <v>139086226</v>
      </c>
      <c r="G569">
        <v>139086250</v>
      </c>
      <c r="H569">
        <v>139086226</v>
      </c>
      <c r="I569">
        <v>139086250</v>
      </c>
    </row>
    <row r="570" spans="1:9" x14ac:dyDescent="0.2">
      <c r="A570" t="str">
        <f>"4930516K23Rik"</f>
        <v>4930516K23Rik</v>
      </c>
      <c r="B570" t="s">
        <v>14</v>
      </c>
      <c r="C570" t="s">
        <v>33</v>
      </c>
      <c r="D570" t="s">
        <v>11</v>
      </c>
      <c r="E570" t="s">
        <v>67</v>
      </c>
      <c r="F570">
        <v>104137373</v>
      </c>
      <c r="G570">
        <v>104137404</v>
      </c>
      <c r="H570">
        <v>104137373</v>
      </c>
      <c r="I570">
        <v>104137404</v>
      </c>
    </row>
    <row r="571" spans="1:9" x14ac:dyDescent="0.2">
      <c r="A571" t="str">
        <f>"4930518I15Rik"</f>
        <v>4930518I15Rik</v>
      </c>
      <c r="B571" t="s">
        <v>14</v>
      </c>
      <c r="C571" t="s">
        <v>26</v>
      </c>
      <c r="D571" t="s">
        <v>11</v>
      </c>
      <c r="E571" t="s">
        <v>67</v>
      </c>
      <c r="F571">
        <v>156857943</v>
      </c>
      <c r="G571">
        <v>156857947</v>
      </c>
      <c r="H571">
        <v>156857943</v>
      </c>
      <c r="I571">
        <v>156857947</v>
      </c>
    </row>
    <row r="572" spans="1:9" x14ac:dyDescent="0.2">
      <c r="A572" t="str">
        <f>"4930519G04Rik"</f>
        <v>4930519G04Rik</v>
      </c>
      <c r="B572" t="s">
        <v>9</v>
      </c>
      <c r="C572" t="s">
        <v>46</v>
      </c>
      <c r="D572" t="s">
        <v>17</v>
      </c>
      <c r="E572" t="s">
        <v>12</v>
      </c>
      <c r="F572">
        <v>114865465</v>
      </c>
      <c r="G572">
        <v>114865480</v>
      </c>
      <c r="H572">
        <v>114865465</v>
      </c>
      <c r="I572">
        <v>114865480</v>
      </c>
    </row>
    <row r="573" spans="1:9" x14ac:dyDescent="0.2">
      <c r="A573" t="str">
        <f>"4930519G04Rik"</f>
        <v>4930519G04Rik</v>
      </c>
      <c r="B573" t="s">
        <v>13</v>
      </c>
      <c r="C573" t="s">
        <v>46</v>
      </c>
      <c r="D573" t="s">
        <v>17</v>
      </c>
      <c r="E573" t="s">
        <v>12</v>
      </c>
      <c r="F573">
        <v>114853708</v>
      </c>
      <c r="G573">
        <v>114853721</v>
      </c>
      <c r="H573">
        <v>114853708</v>
      </c>
      <c r="I573">
        <v>114853721</v>
      </c>
    </row>
    <row r="574" spans="1:9" x14ac:dyDescent="0.2">
      <c r="A574" t="str">
        <f>"4930519P11Rik"</f>
        <v>4930519P11Rik</v>
      </c>
      <c r="B574" t="s">
        <v>14</v>
      </c>
      <c r="C574" t="s">
        <v>26</v>
      </c>
      <c r="D574" t="s">
        <v>11</v>
      </c>
      <c r="E574" t="s">
        <v>67</v>
      </c>
      <c r="F574">
        <v>154613380</v>
      </c>
      <c r="G574">
        <v>154613416</v>
      </c>
      <c r="H574">
        <v>154613425</v>
      </c>
      <c r="I574">
        <v>154613444</v>
      </c>
    </row>
    <row r="575" spans="1:9" x14ac:dyDescent="0.2">
      <c r="A575" t="str">
        <f>"4930522H14Rik"</f>
        <v>4930522H14Rik</v>
      </c>
      <c r="B575" t="s">
        <v>14</v>
      </c>
      <c r="C575" t="s">
        <v>23</v>
      </c>
      <c r="D575" t="s">
        <v>11</v>
      </c>
      <c r="E575" t="s">
        <v>12</v>
      </c>
      <c r="F575">
        <v>109531198</v>
      </c>
      <c r="G575">
        <v>109531212</v>
      </c>
      <c r="H575">
        <v>109531226</v>
      </c>
      <c r="I575">
        <v>109531232</v>
      </c>
    </row>
    <row r="576" spans="1:9" x14ac:dyDescent="0.2">
      <c r="A576" t="str">
        <f>"4930522L14Rik"</f>
        <v>4930522L14Rik</v>
      </c>
      <c r="B576" t="s">
        <v>14</v>
      </c>
      <c r="C576" t="s">
        <v>46</v>
      </c>
      <c r="D576" t="s">
        <v>11</v>
      </c>
      <c r="E576" t="s">
        <v>67</v>
      </c>
      <c r="F576">
        <v>109751989</v>
      </c>
      <c r="G576">
        <v>109751995</v>
      </c>
      <c r="H576">
        <v>109751989</v>
      </c>
      <c r="I576">
        <v>109751995</v>
      </c>
    </row>
    <row r="577" spans="1:9" x14ac:dyDescent="0.2">
      <c r="A577" t="str">
        <f>"4930523C07Rik"</f>
        <v>4930523C07Rik</v>
      </c>
      <c r="B577" t="s">
        <v>14</v>
      </c>
      <c r="C577" t="s">
        <v>19</v>
      </c>
      <c r="D577" t="s">
        <v>17</v>
      </c>
      <c r="E577" t="s">
        <v>12</v>
      </c>
      <c r="F577">
        <v>160044374</v>
      </c>
      <c r="G577">
        <v>160044452</v>
      </c>
      <c r="H577">
        <v>160044374</v>
      </c>
      <c r="I577">
        <v>160044452</v>
      </c>
    </row>
    <row r="578" spans="1:9" x14ac:dyDescent="0.2">
      <c r="A578" t="str">
        <f>"4930524B15Rik"</f>
        <v>4930524B15Rik</v>
      </c>
      <c r="B578" t="s">
        <v>14</v>
      </c>
      <c r="C578" t="s">
        <v>27</v>
      </c>
      <c r="D578" t="s">
        <v>17</v>
      </c>
      <c r="E578" t="s">
        <v>12</v>
      </c>
      <c r="F578">
        <v>31965542</v>
      </c>
      <c r="G578">
        <v>31965597</v>
      </c>
      <c r="H578">
        <v>31965604</v>
      </c>
      <c r="I578">
        <v>31965611</v>
      </c>
    </row>
    <row r="579" spans="1:9" x14ac:dyDescent="0.2">
      <c r="A579" t="str">
        <f>"4930524J08Rik"</f>
        <v>4930524J08Rik</v>
      </c>
      <c r="B579" t="s">
        <v>14</v>
      </c>
      <c r="C579" t="s">
        <v>46</v>
      </c>
      <c r="D579" t="s">
        <v>17</v>
      </c>
      <c r="E579" t="s">
        <v>67</v>
      </c>
      <c r="F579">
        <v>99978511</v>
      </c>
      <c r="G579">
        <v>99978567</v>
      </c>
      <c r="H579">
        <v>99978511</v>
      </c>
      <c r="I579">
        <v>99978567</v>
      </c>
    </row>
    <row r="580" spans="1:9" x14ac:dyDescent="0.2">
      <c r="A580" t="str">
        <f>"4930524N10Rik"</f>
        <v>4930524N10Rik</v>
      </c>
      <c r="B580" t="s">
        <v>2020</v>
      </c>
      <c r="C580" t="s">
        <v>37</v>
      </c>
      <c r="D580" t="s">
        <v>11</v>
      </c>
      <c r="E580" t="s">
        <v>20</v>
      </c>
      <c r="F580">
        <v>154343391</v>
      </c>
      <c r="G580">
        <v>154343391</v>
      </c>
      <c r="H580">
        <v>154343391</v>
      </c>
      <c r="I580">
        <v>154343391</v>
      </c>
    </row>
    <row r="581" spans="1:9" x14ac:dyDescent="0.2">
      <c r="A581" t="str">
        <f>"4930525M21RIK"</f>
        <v>4930525M21RIK</v>
      </c>
      <c r="B581" t="s">
        <v>14</v>
      </c>
      <c r="C581" t="s">
        <v>37</v>
      </c>
      <c r="D581" t="s">
        <v>11</v>
      </c>
      <c r="E581" t="s">
        <v>67</v>
      </c>
      <c r="F581">
        <v>38018808</v>
      </c>
      <c r="G581">
        <v>38018852</v>
      </c>
      <c r="H581">
        <v>38018808</v>
      </c>
      <c r="I581">
        <v>38018852</v>
      </c>
    </row>
    <row r="582" spans="1:9" x14ac:dyDescent="0.2">
      <c r="A582" t="str">
        <f>"4930526D03Rik"</f>
        <v>4930526D03Rik</v>
      </c>
      <c r="B582" t="s">
        <v>14</v>
      </c>
      <c r="C582" t="s">
        <v>26</v>
      </c>
      <c r="D582" t="s">
        <v>11</v>
      </c>
      <c r="E582" t="s">
        <v>12</v>
      </c>
      <c r="F582">
        <v>181698433</v>
      </c>
      <c r="G582">
        <v>181698447</v>
      </c>
      <c r="H582">
        <v>181698433</v>
      </c>
      <c r="I582">
        <v>181698447</v>
      </c>
    </row>
    <row r="583" spans="1:9" x14ac:dyDescent="0.2">
      <c r="A583" t="str">
        <f>"4930529M08Rik"</f>
        <v>4930529M08Rik</v>
      </c>
      <c r="B583" t="s">
        <v>14</v>
      </c>
      <c r="C583" t="s">
        <v>26</v>
      </c>
      <c r="D583" t="s">
        <v>17</v>
      </c>
      <c r="E583" t="s">
        <v>12</v>
      </c>
      <c r="F583">
        <v>145934776</v>
      </c>
      <c r="G583">
        <v>145934797</v>
      </c>
      <c r="H583">
        <v>145934800</v>
      </c>
      <c r="I583">
        <v>145934813</v>
      </c>
    </row>
    <row r="584" spans="1:9" x14ac:dyDescent="0.2">
      <c r="A584" t="str">
        <f>"4930533K18Rik"</f>
        <v>4930533K18Rik</v>
      </c>
      <c r="B584" t="s">
        <v>14</v>
      </c>
      <c r="C584" t="s">
        <v>15</v>
      </c>
      <c r="D584" t="s">
        <v>17</v>
      </c>
      <c r="E584" t="s">
        <v>67</v>
      </c>
      <c r="F584">
        <v>70868691</v>
      </c>
      <c r="G584">
        <v>70868693</v>
      </c>
      <c r="H584">
        <v>70868691</v>
      </c>
      <c r="I584">
        <v>70868693</v>
      </c>
    </row>
    <row r="585" spans="1:9" x14ac:dyDescent="0.2">
      <c r="A585" t="str">
        <f>"4930533L02Rik"</f>
        <v>4930533L02Rik</v>
      </c>
      <c r="B585" t="s">
        <v>14</v>
      </c>
      <c r="C585" t="s">
        <v>33</v>
      </c>
      <c r="D585" t="s">
        <v>17</v>
      </c>
      <c r="E585" t="s">
        <v>12</v>
      </c>
      <c r="F585">
        <v>125318334</v>
      </c>
      <c r="G585">
        <v>125318343</v>
      </c>
      <c r="H585">
        <v>125318334</v>
      </c>
      <c r="I585">
        <v>125318343</v>
      </c>
    </row>
    <row r="586" spans="1:9" x14ac:dyDescent="0.2">
      <c r="A586" t="str">
        <f>"4930535I16Rik"</f>
        <v>4930535I16Rik</v>
      </c>
      <c r="B586" t="s">
        <v>2021</v>
      </c>
      <c r="C586" t="s">
        <v>23</v>
      </c>
      <c r="D586" t="s">
        <v>11</v>
      </c>
      <c r="E586" t="s">
        <v>35</v>
      </c>
      <c r="F586">
        <v>123918047</v>
      </c>
      <c r="G586">
        <v>123918050</v>
      </c>
      <c r="H586">
        <v>123917921</v>
      </c>
      <c r="I586">
        <v>123917922</v>
      </c>
    </row>
    <row r="587" spans="1:9" x14ac:dyDescent="0.2">
      <c r="A587" t="str">
        <f>"4930538K18Rik"</f>
        <v>4930538K18Rik</v>
      </c>
      <c r="B587" t="s">
        <v>14</v>
      </c>
      <c r="C587" t="s">
        <v>23</v>
      </c>
      <c r="D587" t="s">
        <v>11</v>
      </c>
      <c r="E587" t="s">
        <v>12</v>
      </c>
      <c r="F587">
        <v>119218165</v>
      </c>
      <c r="G587">
        <v>119218183</v>
      </c>
      <c r="H587">
        <v>119218165</v>
      </c>
      <c r="I587">
        <v>119218183</v>
      </c>
    </row>
    <row r="588" spans="1:9" x14ac:dyDescent="0.2">
      <c r="A588" t="str">
        <f>"4930539E08Rik"</f>
        <v>4930539E08Rik</v>
      </c>
      <c r="B588" t="s">
        <v>14</v>
      </c>
      <c r="C588" t="s">
        <v>28</v>
      </c>
      <c r="D588" t="s">
        <v>11</v>
      </c>
      <c r="E588" t="s">
        <v>12</v>
      </c>
      <c r="F588">
        <v>28915314</v>
      </c>
      <c r="G588">
        <v>28915330</v>
      </c>
      <c r="H588">
        <v>28915314</v>
      </c>
      <c r="I588">
        <v>28915330</v>
      </c>
    </row>
    <row r="589" spans="1:9" x14ac:dyDescent="0.2">
      <c r="A589" t="str">
        <f>"4930542C12Rik"</f>
        <v>4930542C12Rik</v>
      </c>
      <c r="B589" t="s">
        <v>14</v>
      </c>
      <c r="C589" t="s">
        <v>24</v>
      </c>
      <c r="D589" t="s">
        <v>11</v>
      </c>
      <c r="E589" t="s">
        <v>67</v>
      </c>
      <c r="F589">
        <v>78396222</v>
      </c>
      <c r="G589">
        <v>78396235</v>
      </c>
      <c r="H589">
        <v>78396181</v>
      </c>
      <c r="I589">
        <v>78396189</v>
      </c>
    </row>
    <row r="590" spans="1:9" x14ac:dyDescent="0.2">
      <c r="A590" t="str">
        <f>"4930544D05Rik"</f>
        <v>4930544D05Rik</v>
      </c>
      <c r="B590" t="s">
        <v>14</v>
      </c>
      <c r="C590" t="s">
        <v>27</v>
      </c>
      <c r="D590" t="s">
        <v>17</v>
      </c>
      <c r="E590" t="s">
        <v>12</v>
      </c>
      <c r="F590">
        <v>70615888</v>
      </c>
      <c r="G590">
        <v>70615900</v>
      </c>
      <c r="H590">
        <v>70615888</v>
      </c>
      <c r="I590">
        <v>70615900</v>
      </c>
    </row>
    <row r="591" spans="1:9" x14ac:dyDescent="0.2">
      <c r="A591" t="str">
        <f>"4930544G11Rik"</f>
        <v>4930544G11Rik</v>
      </c>
      <c r="B591" t="s">
        <v>14</v>
      </c>
      <c r="C591" t="s">
        <v>32</v>
      </c>
      <c r="D591" t="s">
        <v>17</v>
      </c>
      <c r="E591" t="s">
        <v>12</v>
      </c>
      <c r="F591">
        <v>65952561</v>
      </c>
      <c r="G591">
        <v>65952621</v>
      </c>
      <c r="H591">
        <v>65952550</v>
      </c>
      <c r="I591">
        <v>65952553</v>
      </c>
    </row>
    <row r="592" spans="1:9" x14ac:dyDescent="0.2">
      <c r="A592" t="str">
        <f>"4930544L04Rik"</f>
        <v>4930544L04Rik</v>
      </c>
      <c r="B592" t="s">
        <v>14</v>
      </c>
      <c r="C592" t="s">
        <v>33</v>
      </c>
      <c r="D592" t="s">
        <v>17</v>
      </c>
      <c r="E592" t="s">
        <v>67</v>
      </c>
      <c r="F592">
        <v>135396330</v>
      </c>
      <c r="G592">
        <v>135396362</v>
      </c>
      <c r="H592">
        <v>135396330</v>
      </c>
      <c r="I592">
        <v>135396362</v>
      </c>
    </row>
    <row r="593" spans="1:9" x14ac:dyDescent="0.2">
      <c r="A593" t="str">
        <f>"4930546C10Rik"</f>
        <v>4930546C10Rik</v>
      </c>
      <c r="B593" t="s">
        <v>2022</v>
      </c>
      <c r="C593" t="s">
        <v>43</v>
      </c>
      <c r="D593" t="s">
        <v>11</v>
      </c>
      <c r="E593" t="s">
        <v>20</v>
      </c>
      <c r="F593">
        <v>68950140</v>
      </c>
      <c r="G593">
        <v>68950140</v>
      </c>
      <c r="H593">
        <v>68950140</v>
      </c>
      <c r="I593">
        <v>68950140</v>
      </c>
    </row>
    <row r="594" spans="1:9" x14ac:dyDescent="0.2">
      <c r="A594" t="str">
        <f>"4930546H06Rik"</f>
        <v>4930546H06Rik</v>
      </c>
      <c r="B594" t="s">
        <v>14</v>
      </c>
      <c r="C594" t="s">
        <v>28</v>
      </c>
      <c r="D594" t="s">
        <v>17</v>
      </c>
      <c r="E594" t="s">
        <v>67</v>
      </c>
      <c r="F594">
        <v>17830876</v>
      </c>
      <c r="G594">
        <v>17830880</v>
      </c>
      <c r="H594">
        <v>17831409</v>
      </c>
      <c r="I594">
        <v>17831432</v>
      </c>
    </row>
    <row r="595" spans="1:9" x14ac:dyDescent="0.2">
      <c r="A595" t="str">
        <f>"4930547C10Rik"</f>
        <v>4930547C10Rik</v>
      </c>
      <c r="B595" t="s">
        <v>14</v>
      </c>
      <c r="C595" t="s">
        <v>23</v>
      </c>
      <c r="D595" t="s">
        <v>17</v>
      </c>
      <c r="E595" t="s">
        <v>12</v>
      </c>
      <c r="F595">
        <v>52596285</v>
      </c>
      <c r="G595">
        <v>52596299</v>
      </c>
      <c r="H595">
        <v>52596285</v>
      </c>
      <c r="I595">
        <v>52596299</v>
      </c>
    </row>
    <row r="596" spans="1:9" x14ac:dyDescent="0.2">
      <c r="A596" t="str">
        <f>"4930548G14Rik"</f>
        <v>4930548G14Rik</v>
      </c>
      <c r="B596" t="s">
        <v>2023</v>
      </c>
      <c r="C596" t="s">
        <v>25</v>
      </c>
      <c r="D596" t="s">
        <v>17</v>
      </c>
      <c r="E596" t="s">
        <v>20</v>
      </c>
      <c r="F596">
        <v>46625455</v>
      </c>
      <c r="G596">
        <v>46625455</v>
      </c>
      <c r="H596">
        <v>46625455</v>
      </c>
      <c r="I596">
        <v>46625455</v>
      </c>
    </row>
    <row r="597" spans="1:9" x14ac:dyDescent="0.2">
      <c r="A597" t="str">
        <f>"4930548H24Rik"</f>
        <v>4930548H24Rik</v>
      </c>
      <c r="B597" t="s">
        <v>14</v>
      </c>
      <c r="C597" t="s">
        <v>46</v>
      </c>
      <c r="D597" t="s">
        <v>17</v>
      </c>
      <c r="E597" t="s">
        <v>12</v>
      </c>
      <c r="F597">
        <v>31485881</v>
      </c>
      <c r="G597">
        <v>31485891</v>
      </c>
      <c r="H597">
        <v>31485858</v>
      </c>
      <c r="I597">
        <v>31485865</v>
      </c>
    </row>
    <row r="598" spans="1:9" x14ac:dyDescent="0.2">
      <c r="A598" t="str">
        <f>"4930549C01Rik"</f>
        <v>4930549C01Rik</v>
      </c>
      <c r="B598" t="s">
        <v>14</v>
      </c>
      <c r="C598" t="s">
        <v>23</v>
      </c>
      <c r="D598" t="s">
        <v>17</v>
      </c>
      <c r="E598" t="s">
        <v>12</v>
      </c>
      <c r="F598">
        <v>136610431</v>
      </c>
      <c r="G598">
        <v>136610451</v>
      </c>
      <c r="H598">
        <v>136610473</v>
      </c>
      <c r="I598">
        <v>136610476</v>
      </c>
    </row>
    <row r="599" spans="1:9" x14ac:dyDescent="0.2">
      <c r="A599" t="str">
        <f>"4930550C14Rik"</f>
        <v>4930550C14Rik</v>
      </c>
      <c r="B599" t="s">
        <v>14</v>
      </c>
      <c r="C599" t="s">
        <v>24</v>
      </c>
      <c r="D599" t="s">
        <v>17</v>
      </c>
      <c r="E599" t="s">
        <v>12</v>
      </c>
      <c r="F599">
        <v>53405280</v>
      </c>
      <c r="G599">
        <v>53405323</v>
      </c>
      <c r="H599">
        <v>53405274</v>
      </c>
      <c r="I599">
        <v>53405279</v>
      </c>
    </row>
    <row r="600" spans="1:9" x14ac:dyDescent="0.2">
      <c r="A600" t="str">
        <f>"4930550L24Rik"</f>
        <v>4930550L24Rik</v>
      </c>
      <c r="B600" t="s">
        <v>14</v>
      </c>
      <c r="C600" t="s">
        <v>37</v>
      </c>
      <c r="D600" t="s">
        <v>17</v>
      </c>
      <c r="E600" t="s">
        <v>12</v>
      </c>
      <c r="F600">
        <v>58911472</v>
      </c>
      <c r="G600">
        <v>58911488</v>
      </c>
      <c r="H600">
        <v>58911503</v>
      </c>
      <c r="I600">
        <v>58911513</v>
      </c>
    </row>
    <row r="601" spans="1:9" x14ac:dyDescent="0.2">
      <c r="A601" t="str">
        <f>"4930553J12Rik"</f>
        <v>4930553J12Rik</v>
      </c>
      <c r="B601" t="s">
        <v>14</v>
      </c>
      <c r="C601" t="s">
        <v>31</v>
      </c>
      <c r="D601" t="s">
        <v>17</v>
      </c>
      <c r="E601" t="s">
        <v>67</v>
      </c>
      <c r="F601">
        <v>88820047</v>
      </c>
      <c r="G601">
        <v>88820050</v>
      </c>
      <c r="H601">
        <v>88820047</v>
      </c>
      <c r="I601">
        <v>88820050</v>
      </c>
    </row>
    <row r="602" spans="1:9" x14ac:dyDescent="0.2">
      <c r="A602" t="str">
        <f>"4930553M12Rik"</f>
        <v>4930553M12Rik</v>
      </c>
      <c r="B602" t="s">
        <v>14</v>
      </c>
      <c r="C602" t="s">
        <v>23</v>
      </c>
      <c r="D602" t="s">
        <v>11</v>
      </c>
      <c r="E602" t="s">
        <v>67</v>
      </c>
      <c r="F602">
        <v>88868396</v>
      </c>
      <c r="G602">
        <v>88868400</v>
      </c>
      <c r="H602">
        <v>88868387</v>
      </c>
      <c r="I602">
        <v>88868392</v>
      </c>
    </row>
    <row r="603" spans="1:9" x14ac:dyDescent="0.2">
      <c r="A603" t="str">
        <f>"4930555F03Rik"</f>
        <v>4930555F03Rik</v>
      </c>
      <c r="B603" t="s">
        <v>2024</v>
      </c>
      <c r="C603" t="s">
        <v>30</v>
      </c>
      <c r="D603" t="s">
        <v>17</v>
      </c>
      <c r="E603" t="s">
        <v>20</v>
      </c>
      <c r="F603">
        <v>49463322</v>
      </c>
      <c r="G603">
        <v>49463322</v>
      </c>
      <c r="H603">
        <v>49463322</v>
      </c>
      <c r="I603">
        <v>49463322</v>
      </c>
    </row>
    <row r="604" spans="1:9" x14ac:dyDescent="0.2">
      <c r="A604" t="str">
        <f>"4930555G01Rik"</f>
        <v>4930555G01Rik</v>
      </c>
      <c r="B604" t="s">
        <v>2025</v>
      </c>
      <c r="C604" t="s">
        <v>41</v>
      </c>
      <c r="D604" t="s">
        <v>17</v>
      </c>
      <c r="E604" t="s">
        <v>20</v>
      </c>
      <c r="F604">
        <v>5050628</v>
      </c>
      <c r="G604">
        <v>5050628</v>
      </c>
      <c r="H604">
        <v>5050628</v>
      </c>
      <c r="I604">
        <v>5050628</v>
      </c>
    </row>
    <row r="605" spans="1:9" x14ac:dyDescent="0.2">
      <c r="A605" t="str">
        <f>"4930556J24Rik"</f>
        <v>4930556J24Rik</v>
      </c>
      <c r="B605" t="s">
        <v>14</v>
      </c>
      <c r="C605" t="s">
        <v>27</v>
      </c>
      <c r="D605" t="s">
        <v>11</v>
      </c>
      <c r="E605" t="s">
        <v>12</v>
      </c>
      <c r="F605">
        <v>3976778</v>
      </c>
      <c r="G605">
        <v>3976781</v>
      </c>
      <c r="H605">
        <v>3976778</v>
      </c>
      <c r="I605">
        <v>3976781</v>
      </c>
    </row>
    <row r="606" spans="1:9" x14ac:dyDescent="0.2">
      <c r="A606" t="str">
        <f>"4930557A04Rik"</f>
        <v>4930557A04Rik</v>
      </c>
      <c r="B606" t="s">
        <v>14</v>
      </c>
      <c r="C606" t="s">
        <v>37</v>
      </c>
      <c r="D606" t="s">
        <v>17</v>
      </c>
      <c r="E606" t="s">
        <v>12</v>
      </c>
      <c r="F606">
        <v>9849707</v>
      </c>
      <c r="G606">
        <v>9849710</v>
      </c>
      <c r="H606">
        <v>9849707</v>
      </c>
      <c r="I606">
        <v>9849710</v>
      </c>
    </row>
    <row r="607" spans="1:9" x14ac:dyDescent="0.2">
      <c r="A607" t="str">
        <f>"4930558K02Rik"</f>
        <v>4930558K02Rik</v>
      </c>
      <c r="B607" t="s">
        <v>14</v>
      </c>
      <c r="C607" t="s">
        <v>19</v>
      </c>
      <c r="D607" t="s">
        <v>11</v>
      </c>
      <c r="E607" t="s">
        <v>12</v>
      </c>
      <c r="F607">
        <v>161979656</v>
      </c>
      <c r="G607">
        <v>161979681</v>
      </c>
      <c r="H607">
        <v>161979656</v>
      </c>
      <c r="I607">
        <v>161979681</v>
      </c>
    </row>
    <row r="608" spans="1:9" x14ac:dyDescent="0.2">
      <c r="A608" t="str">
        <f>"4930562C15Rik"</f>
        <v>4930562C15Rik</v>
      </c>
      <c r="B608" t="s">
        <v>14</v>
      </c>
      <c r="C608" t="s">
        <v>31</v>
      </c>
      <c r="D608" t="s">
        <v>17</v>
      </c>
      <c r="E608" t="s">
        <v>12</v>
      </c>
      <c r="F608">
        <v>4835432</v>
      </c>
      <c r="G608">
        <v>4835457</v>
      </c>
      <c r="H608">
        <v>4835406</v>
      </c>
      <c r="I608">
        <v>4835422</v>
      </c>
    </row>
    <row r="609" spans="1:9" x14ac:dyDescent="0.2">
      <c r="A609" t="str">
        <f>"4930562F07Rik"</f>
        <v>4930562F07Rik</v>
      </c>
      <c r="B609" t="s">
        <v>14</v>
      </c>
      <c r="C609" t="s">
        <v>19</v>
      </c>
      <c r="D609" t="s">
        <v>11</v>
      </c>
      <c r="E609" t="s">
        <v>12</v>
      </c>
      <c r="F609">
        <v>160077917</v>
      </c>
      <c r="G609">
        <v>160077924</v>
      </c>
      <c r="H609">
        <v>160077917</v>
      </c>
      <c r="I609">
        <v>160077924</v>
      </c>
    </row>
    <row r="610" spans="1:9" x14ac:dyDescent="0.2">
      <c r="A610" t="str">
        <f>"4930563D23Rik"</f>
        <v>4930563D23Rik</v>
      </c>
      <c r="B610" t="s">
        <v>14</v>
      </c>
      <c r="C610" t="s">
        <v>31</v>
      </c>
      <c r="D610" t="s">
        <v>11</v>
      </c>
      <c r="E610" t="s">
        <v>12</v>
      </c>
      <c r="F610">
        <v>92321425</v>
      </c>
      <c r="G610">
        <v>92321446</v>
      </c>
      <c r="H610">
        <v>92321406</v>
      </c>
      <c r="I610">
        <v>92321422</v>
      </c>
    </row>
    <row r="611" spans="1:9" x14ac:dyDescent="0.2">
      <c r="A611" t="str">
        <f>"4930563I02Rik"</f>
        <v>4930563I02Rik</v>
      </c>
      <c r="B611" t="s">
        <v>14</v>
      </c>
      <c r="C611" t="s">
        <v>41</v>
      </c>
      <c r="D611" t="s">
        <v>17</v>
      </c>
      <c r="E611" t="s">
        <v>67</v>
      </c>
      <c r="F611">
        <v>60087529</v>
      </c>
      <c r="G611">
        <v>60087546</v>
      </c>
      <c r="H611">
        <v>60087502</v>
      </c>
      <c r="I611">
        <v>60087514</v>
      </c>
    </row>
    <row r="612" spans="1:9" x14ac:dyDescent="0.2">
      <c r="A612" t="str">
        <f>"4930564B18Rik"</f>
        <v>4930564B18Rik</v>
      </c>
      <c r="B612" t="s">
        <v>14</v>
      </c>
      <c r="C612" t="s">
        <v>41</v>
      </c>
      <c r="D612" t="s">
        <v>17</v>
      </c>
      <c r="E612" t="s">
        <v>12</v>
      </c>
      <c r="F612">
        <v>75642219</v>
      </c>
      <c r="G612">
        <v>75642227</v>
      </c>
      <c r="H612">
        <v>75642258</v>
      </c>
      <c r="I612">
        <v>75642266</v>
      </c>
    </row>
    <row r="613" spans="1:9" x14ac:dyDescent="0.2">
      <c r="A613" t="str">
        <f>"4930564D02Rik"</f>
        <v>4930564D02Rik</v>
      </c>
      <c r="B613" t="s">
        <v>14</v>
      </c>
      <c r="C613" t="s">
        <v>22</v>
      </c>
      <c r="D613" t="s">
        <v>17</v>
      </c>
      <c r="E613" t="s">
        <v>12</v>
      </c>
      <c r="F613">
        <v>105066840</v>
      </c>
      <c r="G613">
        <v>105066847</v>
      </c>
      <c r="H613">
        <v>105066811</v>
      </c>
      <c r="I613">
        <v>105066816</v>
      </c>
    </row>
    <row r="614" spans="1:9" x14ac:dyDescent="0.2">
      <c r="A614" t="str">
        <f>"4930566N20Rik"</f>
        <v>4930566N20Rik</v>
      </c>
      <c r="B614" t="s">
        <v>2026</v>
      </c>
      <c r="C614" t="s">
        <v>22</v>
      </c>
      <c r="D614" t="s">
        <v>11</v>
      </c>
      <c r="E614" t="s">
        <v>20</v>
      </c>
      <c r="F614">
        <v>157208859</v>
      </c>
      <c r="G614">
        <v>157208859</v>
      </c>
      <c r="H614">
        <v>157208859</v>
      </c>
      <c r="I614">
        <v>157208859</v>
      </c>
    </row>
    <row r="615" spans="1:9" x14ac:dyDescent="0.2">
      <c r="A615" t="str">
        <f>"4930567H17Rik"</f>
        <v>4930567H17Rik</v>
      </c>
      <c r="B615" t="s">
        <v>2027</v>
      </c>
      <c r="C615" t="s">
        <v>37</v>
      </c>
      <c r="D615" t="s">
        <v>11</v>
      </c>
      <c r="E615" t="s">
        <v>20</v>
      </c>
      <c r="F615">
        <v>70394739</v>
      </c>
      <c r="G615">
        <v>70394739</v>
      </c>
      <c r="H615">
        <v>70394739</v>
      </c>
      <c r="I615">
        <v>70394739</v>
      </c>
    </row>
    <row r="616" spans="1:9" x14ac:dyDescent="0.2">
      <c r="A616" t="str">
        <f>"4930568D16Rik"</f>
        <v>4930568D16Rik</v>
      </c>
      <c r="B616" t="s">
        <v>14</v>
      </c>
      <c r="C616" t="s">
        <v>26</v>
      </c>
      <c r="D616" t="s">
        <v>11</v>
      </c>
      <c r="E616" t="s">
        <v>12</v>
      </c>
      <c r="F616">
        <v>35367716</v>
      </c>
      <c r="G616">
        <v>35367726</v>
      </c>
      <c r="H616">
        <v>35367700</v>
      </c>
      <c r="I616">
        <v>35367709</v>
      </c>
    </row>
    <row r="617" spans="1:9" x14ac:dyDescent="0.2">
      <c r="A617" t="str">
        <f>"4930569F06Rik"</f>
        <v>4930569F06Rik</v>
      </c>
      <c r="B617" t="s">
        <v>2028</v>
      </c>
      <c r="C617" t="s">
        <v>46</v>
      </c>
      <c r="D617" t="s">
        <v>17</v>
      </c>
      <c r="E617" t="s">
        <v>20</v>
      </c>
      <c r="F617">
        <v>116821453</v>
      </c>
      <c r="G617">
        <v>116821453</v>
      </c>
      <c r="H617">
        <v>116821453</v>
      </c>
      <c r="I617">
        <v>116821453</v>
      </c>
    </row>
    <row r="618" spans="1:9" x14ac:dyDescent="0.2">
      <c r="A618" t="str">
        <f>"4930570N19Rik"</f>
        <v>4930570N19Rik</v>
      </c>
      <c r="B618" t="s">
        <v>14</v>
      </c>
      <c r="C618" t="s">
        <v>41</v>
      </c>
      <c r="D618" t="s">
        <v>11</v>
      </c>
      <c r="E618" t="s">
        <v>67</v>
      </c>
      <c r="F618">
        <v>26638062</v>
      </c>
      <c r="G618">
        <v>26638084</v>
      </c>
      <c r="H618">
        <v>26638103</v>
      </c>
      <c r="I618">
        <v>26638112</v>
      </c>
    </row>
    <row r="619" spans="1:9" x14ac:dyDescent="0.2">
      <c r="A619" t="str">
        <f>"4930571K23Rik"</f>
        <v>4930571K23Rik</v>
      </c>
      <c r="B619" t="s">
        <v>14</v>
      </c>
      <c r="C619" t="s">
        <v>33</v>
      </c>
      <c r="D619" t="s">
        <v>17</v>
      </c>
      <c r="E619" t="s">
        <v>12</v>
      </c>
      <c r="F619">
        <v>125368986</v>
      </c>
      <c r="G619">
        <v>125369003</v>
      </c>
      <c r="H619">
        <v>125368986</v>
      </c>
      <c r="I619">
        <v>125369003</v>
      </c>
    </row>
    <row r="620" spans="1:9" x14ac:dyDescent="0.2">
      <c r="A620" t="str">
        <f>"4930572O03Rik"</f>
        <v>4930572O03Rik</v>
      </c>
      <c r="B620" t="s">
        <v>2029</v>
      </c>
      <c r="C620" t="s">
        <v>46</v>
      </c>
      <c r="D620" t="s">
        <v>11</v>
      </c>
      <c r="E620" t="s">
        <v>20</v>
      </c>
      <c r="F620">
        <v>15657058</v>
      </c>
      <c r="G620">
        <v>15657058</v>
      </c>
      <c r="H620">
        <v>15657058</v>
      </c>
      <c r="I620">
        <v>15657058</v>
      </c>
    </row>
    <row r="621" spans="1:9" x14ac:dyDescent="0.2">
      <c r="A621" t="str">
        <f>"4930578C19Rik"</f>
        <v>4930578C19Rik</v>
      </c>
      <c r="B621" t="s">
        <v>14</v>
      </c>
      <c r="C621" t="s">
        <v>37</v>
      </c>
      <c r="D621" t="s">
        <v>11</v>
      </c>
      <c r="E621" t="s">
        <v>12</v>
      </c>
      <c r="F621">
        <v>18461285</v>
      </c>
      <c r="G621">
        <v>18461323</v>
      </c>
      <c r="H621">
        <v>18461385</v>
      </c>
      <c r="I621">
        <v>18461402</v>
      </c>
    </row>
    <row r="622" spans="1:9" x14ac:dyDescent="0.2">
      <c r="A622" t="str">
        <f>"4930578G10Rik"</f>
        <v>4930578G10Rik</v>
      </c>
      <c r="B622" t="s">
        <v>2030</v>
      </c>
      <c r="C622" t="s">
        <v>23</v>
      </c>
      <c r="D622" t="s">
        <v>17</v>
      </c>
      <c r="E622" t="s">
        <v>20</v>
      </c>
      <c r="F622">
        <v>42735544</v>
      </c>
      <c r="G622">
        <v>42735544</v>
      </c>
      <c r="H622">
        <v>42735544</v>
      </c>
      <c r="I622">
        <v>42735544</v>
      </c>
    </row>
    <row r="623" spans="1:9" x14ac:dyDescent="0.2">
      <c r="A623" t="str">
        <f>"4930578G10Rik"</f>
        <v>4930578G10Rik</v>
      </c>
      <c r="B623" t="s">
        <v>2031</v>
      </c>
      <c r="C623" t="s">
        <v>23</v>
      </c>
      <c r="D623" t="s">
        <v>17</v>
      </c>
      <c r="E623" t="s">
        <v>20</v>
      </c>
      <c r="F623">
        <v>42735911</v>
      </c>
      <c r="G623">
        <v>42735911</v>
      </c>
      <c r="H623">
        <v>42735911</v>
      </c>
      <c r="I623">
        <v>42735911</v>
      </c>
    </row>
    <row r="624" spans="1:9" x14ac:dyDescent="0.2">
      <c r="A624" t="str">
        <f>"4930578I06Rik"</f>
        <v>4930578I06Rik</v>
      </c>
      <c r="B624" t="s">
        <v>14</v>
      </c>
      <c r="C624" t="s">
        <v>41</v>
      </c>
      <c r="D624" t="s">
        <v>11</v>
      </c>
      <c r="E624" t="s">
        <v>12</v>
      </c>
      <c r="F624">
        <v>63987739</v>
      </c>
      <c r="G624">
        <v>63987767</v>
      </c>
      <c r="H624">
        <v>63987774</v>
      </c>
      <c r="I624">
        <v>63987793</v>
      </c>
    </row>
    <row r="625" spans="1:9" x14ac:dyDescent="0.2">
      <c r="A625" t="str">
        <f>"4930578I07Rik"</f>
        <v>4930578I07Rik</v>
      </c>
      <c r="B625" t="s">
        <v>2032</v>
      </c>
      <c r="C625" t="s">
        <v>41</v>
      </c>
      <c r="D625" t="s">
        <v>17</v>
      </c>
      <c r="E625" t="s">
        <v>20</v>
      </c>
      <c r="F625">
        <v>66937364</v>
      </c>
      <c r="G625">
        <v>66937364</v>
      </c>
      <c r="H625">
        <v>66937364</v>
      </c>
      <c r="I625">
        <v>66937364</v>
      </c>
    </row>
    <row r="626" spans="1:9" x14ac:dyDescent="0.2">
      <c r="A626" t="str">
        <f>"4930579C12Rik"</f>
        <v>4930579C12Rik</v>
      </c>
      <c r="B626" t="s">
        <v>14</v>
      </c>
      <c r="C626" t="s">
        <v>24</v>
      </c>
      <c r="D626" t="s">
        <v>11</v>
      </c>
      <c r="E626" t="s">
        <v>67</v>
      </c>
      <c r="F626">
        <v>89177883</v>
      </c>
      <c r="G626">
        <v>89177888</v>
      </c>
      <c r="H626">
        <v>89177883</v>
      </c>
      <c r="I626">
        <v>89177888</v>
      </c>
    </row>
    <row r="627" spans="1:9" x14ac:dyDescent="0.2">
      <c r="A627" t="str">
        <f>"4930579F01Rik"</f>
        <v>4930579F01Rik</v>
      </c>
      <c r="B627" t="s">
        <v>14</v>
      </c>
      <c r="C627" t="s">
        <v>22</v>
      </c>
      <c r="D627" t="s">
        <v>11</v>
      </c>
      <c r="E627" t="s">
        <v>12</v>
      </c>
      <c r="F627">
        <v>138186700</v>
      </c>
      <c r="G627">
        <v>138186732</v>
      </c>
      <c r="H627">
        <v>138186741</v>
      </c>
      <c r="I627">
        <v>138186748</v>
      </c>
    </row>
    <row r="628" spans="1:9" x14ac:dyDescent="0.2">
      <c r="A628" t="str">
        <f>"4930579G24Rik"</f>
        <v>4930579G24Rik</v>
      </c>
      <c r="B628" t="s">
        <v>14</v>
      </c>
      <c r="C628" t="s">
        <v>22</v>
      </c>
      <c r="D628" t="s">
        <v>17</v>
      </c>
      <c r="E628" t="s">
        <v>12</v>
      </c>
      <c r="F628">
        <v>79629074</v>
      </c>
      <c r="G628">
        <v>79629115</v>
      </c>
      <c r="H628">
        <v>79629117</v>
      </c>
      <c r="I628">
        <v>79629134</v>
      </c>
    </row>
    <row r="629" spans="1:9" x14ac:dyDescent="0.2">
      <c r="A629" t="str">
        <f>"4930579K19Rik"</f>
        <v>4930579K19Rik</v>
      </c>
      <c r="B629" t="s">
        <v>14</v>
      </c>
      <c r="C629" t="s">
        <v>24</v>
      </c>
      <c r="D629" t="s">
        <v>11</v>
      </c>
      <c r="E629" t="s">
        <v>12</v>
      </c>
      <c r="F629">
        <v>98563580</v>
      </c>
      <c r="G629">
        <v>98563620</v>
      </c>
      <c r="H629">
        <v>98563556</v>
      </c>
      <c r="I629">
        <v>98563565</v>
      </c>
    </row>
    <row r="630" spans="1:9" x14ac:dyDescent="0.2">
      <c r="A630" t="str">
        <f>"4930583I09Rik"</f>
        <v>4930583I09Rik</v>
      </c>
      <c r="B630" t="s">
        <v>2033</v>
      </c>
      <c r="C630" t="s">
        <v>28</v>
      </c>
      <c r="D630" t="s">
        <v>11</v>
      </c>
      <c r="E630" t="s">
        <v>20</v>
      </c>
      <c r="F630">
        <v>64836070</v>
      </c>
      <c r="G630">
        <v>64836070</v>
      </c>
      <c r="H630">
        <v>64836070</v>
      </c>
      <c r="I630">
        <v>64836070</v>
      </c>
    </row>
    <row r="631" spans="1:9" x14ac:dyDescent="0.2">
      <c r="A631" t="str">
        <f>"4930584F24Rik"</f>
        <v>4930584F24Rik</v>
      </c>
      <c r="B631" t="s">
        <v>14</v>
      </c>
      <c r="C631" t="s">
        <v>46</v>
      </c>
      <c r="D631" t="s">
        <v>11</v>
      </c>
      <c r="E631" t="s">
        <v>12</v>
      </c>
      <c r="F631">
        <v>26493308</v>
      </c>
      <c r="G631">
        <v>26493318</v>
      </c>
      <c r="H631">
        <v>26493308</v>
      </c>
      <c r="I631">
        <v>26493318</v>
      </c>
    </row>
    <row r="632" spans="1:9" x14ac:dyDescent="0.2">
      <c r="A632" t="str">
        <f>"4930589L23Rik"</f>
        <v>4930589L23Rik</v>
      </c>
      <c r="B632" t="s">
        <v>14</v>
      </c>
      <c r="C632" t="s">
        <v>22</v>
      </c>
      <c r="D632" t="s">
        <v>17</v>
      </c>
      <c r="E632" t="s">
        <v>12</v>
      </c>
      <c r="F632">
        <v>79568200</v>
      </c>
      <c r="G632">
        <v>79568212</v>
      </c>
      <c r="H632">
        <v>79568307</v>
      </c>
      <c r="I632">
        <v>79568310</v>
      </c>
    </row>
    <row r="633" spans="1:9" x14ac:dyDescent="0.2">
      <c r="A633" t="str">
        <f>"4930590J08Rik"</f>
        <v>4930590J08Rik</v>
      </c>
      <c r="B633" t="s">
        <v>14</v>
      </c>
      <c r="C633" t="s">
        <v>32</v>
      </c>
      <c r="D633" t="s">
        <v>17</v>
      </c>
      <c r="E633" t="s">
        <v>12</v>
      </c>
      <c r="F633">
        <v>91904212</v>
      </c>
      <c r="G633">
        <v>91904273</v>
      </c>
      <c r="H633">
        <v>91904276</v>
      </c>
      <c r="I633">
        <v>91904281</v>
      </c>
    </row>
    <row r="634" spans="1:9" x14ac:dyDescent="0.2">
      <c r="A634" t="str">
        <f>"4930595D18Rik"</f>
        <v>4930595D18Rik</v>
      </c>
      <c r="B634" t="s">
        <v>14</v>
      </c>
      <c r="C634" t="s">
        <v>16</v>
      </c>
      <c r="D634" t="s">
        <v>11</v>
      </c>
      <c r="E634" t="s">
        <v>67</v>
      </c>
      <c r="F634">
        <v>111184458</v>
      </c>
      <c r="G634">
        <v>111184508</v>
      </c>
      <c r="H634">
        <v>111184458</v>
      </c>
      <c r="I634">
        <v>111184508</v>
      </c>
    </row>
    <row r="635" spans="1:9" x14ac:dyDescent="0.2">
      <c r="A635" t="str">
        <f>"4930595M18Rik"</f>
        <v>4930595M18Rik</v>
      </c>
      <c r="B635" t="s">
        <v>14</v>
      </c>
      <c r="C635" t="s">
        <v>37</v>
      </c>
      <c r="D635" t="s">
        <v>11</v>
      </c>
      <c r="E635" t="s">
        <v>12</v>
      </c>
      <c r="F635">
        <v>81458096</v>
      </c>
      <c r="G635">
        <v>81458136</v>
      </c>
      <c r="H635">
        <v>81458096</v>
      </c>
      <c r="I635">
        <v>81458136</v>
      </c>
    </row>
    <row r="636" spans="1:9" x14ac:dyDescent="0.2">
      <c r="A636" t="str">
        <f>"4930596D02Rik"</f>
        <v>4930596D02Rik</v>
      </c>
      <c r="B636" t="s">
        <v>14</v>
      </c>
      <c r="C636" t="s">
        <v>41</v>
      </c>
      <c r="D636" t="s">
        <v>11</v>
      </c>
      <c r="E636" t="s">
        <v>12</v>
      </c>
      <c r="F636">
        <v>35811965</v>
      </c>
      <c r="G636">
        <v>35811999</v>
      </c>
      <c r="H636">
        <v>35811965</v>
      </c>
      <c r="I636">
        <v>35811999</v>
      </c>
    </row>
    <row r="637" spans="1:9" x14ac:dyDescent="0.2">
      <c r="A637" t="str">
        <f>"4930597O21Rik"</f>
        <v>4930597O21Rik</v>
      </c>
      <c r="B637" t="s">
        <v>14</v>
      </c>
      <c r="C637" t="s">
        <v>32</v>
      </c>
      <c r="D637" t="s">
        <v>11</v>
      </c>
      <c r="E637" t="s">
        <v>12</v>
      </c>
      <c r="F637">
        <v>66896515</v>
      </c>
      <c r="G637">
        <v>66896521</v>
      </c>
      <c r="H637">
        <v>66896977</v>
      </c>
      <c r="I637">
        <v>66896978</v>
      </c>
    </row>
    <row r="638" spans="1:9" x14ac:dyDescent="0.2">
      <c r="A638" t="str">
        <f>"4931400O07Rik"</f>
        <v>4931400O07Rik</v>
      </c>
      <c r="B638" t="s">
        <v>14</v>
      </c>
      <c r="C638" t="s">
        <v>37</v>
      </c>
      <c r="D638" t="s">
        <v>17</v>
      </c>
      <c r="E638" t="s">
        <v>12</v>
      </c>
      <c r="F638">
        <v>62468020</v>
      </c>
      <c r="G638">
        <v>62468026</v>
      </c>
      <c r="H638">
        <v>62468033</v>
      </c>
      <c r="I638">
        <v>62468038</v>
      </c>
    </row>
    <row r="639" spans="1:9" x14ac:dyDescent="0.2">
      <c r="A639" t="str">
        <f>"4931406B18Rik"</f>
        <v>4931406B18Rik</v>
      </c>
      <c r="B639" t="s">
        <v>14</v>
      </c>
      <c r="C639" t="s">
        <v>33</v>
      </c>
      <c r="D639" t="s">
        <v>11</v>
      </c>
      <c r="E639" t="s">
        <v>12</v>
      </c>
      <c r="F639">
        <v>43505926</v>
      </c>
      <c r="G639">
        <v>43505944</v>
      </c>
      <c r="H639">
        <v>43505910</v>
      </c>
      <c r="I639">
        <v>43505919</v>
      </c>
    </row>
    <row r="640" spans="1:9" x14ac:dyDescent="0.2">
      <c r="A640" t="str">
        <f>"4931406C07Rik"</f>
        <v>4931406C07Rik</v>
      </c>
      <c r="B640" t="s">
        <v>14</v>
      </c>
      <c r="C640" t="s">
        <v>24</v>
      </c>
      <c r="D640" t="s">
        <v>11</v>
      </c>
      <c r="E640" t="s">
        <v>12</v>
      </c>
      <c r="F640">
        <v>15306116</v>
      </c>
      <c r="G640">
        <v>15306159</v>
      </c>
      <c r="H640">
        <v>15306116</v>
      </c>
      <c r="I640">
        <v>15306159</v>
      </c>
    </row>
    <row r="641" spans="1:9" x14ac:dyDescent="0.2">
      <c r="A641" t="str">
        <f>"4931406P16Rik"</f>
        <v>4931406P16Rik</v>
      </c>
      <c r="B641" t="s">
        <v>14</v>
      </c>
      <c r="C641" t="s">
        <v>33</v>
      </c>
      <c r="D641" t="s">
        <v>11</v>
      </c>
      <c r="E641" t="s">
        <v>12</v>
      </c>
      <c r="F641">
        <v>34313531</v>
      </c>
      <c r="G641">
        <v>34313568</v>
      </c>
      <c r="H641">
        <v>34313508</v>
      </c>
      <c r="I641">
        <v>34313528</v>
      </c>
    </row>
    <row r="642" spans="1:9" x14ac:dyDescent="0.2">
      <c r="A642" t="str">
        <f>"4931408C20Rik"</f>
        <v>4931408C20Rik</v>
      </c>
      <c r="B642" t="s">
        <v>14</v>
      </c>
      <c r="C642" t="s">
        <v>19</v>
      </c>
      <c r="D642" t="s">
        <v>11</v>
      </c>
      <c r="E642" t="s">
        <v>12</v>
      </c>
      <c r="F642">
        <v>26687458</v>
      </c>
      <c r="G642">
        <v>26687462</v>
      </c>
      <c r="H642">
        <v>26687458</v>
      </c>
      <c r="I642">
        <v>26687462</v>
      </c>
    </row>
    <row r="643" spans="1:9" x14ac:dyDescent="0.2">
      <c r="A643" t="str">
        <f>"4931409K22Rik"</f>
        <v>4931409K22Rik</v>
      </c>
      <c r="B643" t="s">
        <v>14</v>
      </c>
      <c r="C643" t="s">
        <v>46</v>
      </c>
      <c r="D643" t="s">
        <v>11</v>
      </c>
      <c r="E643" t="s">
        <v>12</v>
      </c>
      <c r="F643">
        <v>24555401</v>
      </c>
      <c r="G643">
        <v>24555421</v>
      </c>
      <c r="H643">
        <v>24555428</v>
      </c>
      <c r="I643">
        <v>24555440</v>
      </c>
    </row>
    <row r="644" spans="1:9" x14ac:dyDescent="0.2">
      <c r="A644" t="str">
        <f>"4931414P19Rik"</f>
        <v>4931414P19Rik</v>
      </c>
      <c r="B644" t="s">
        <v>14</v>
      </c>
      <c r="C644" t="s">
        <v>41</v>
      </c>
      <c r="D644" t="s">
        <v>11</v>
      </c>
      <c r="E644" t="s">
        <v>12</v>
      </c>
      <c r="F644">
        <v>54605909</v>
      </c>
      <c r="G644">
        <v>54605935</v>
      </c>
      <c r="H644">
        <v>54605905</v>
      </c>
      <c r="I644">
        <v>54605908</v>
      </c>
    </row>
    <row r="645" spans="1:9" x14ac:dyDescent="0.2">
      <c r="A645" t="str">
        <f>"4931417E11Rik"</f>
        <v>4931417E11Rik</v>
      </c>
      <c r="B645" t="s">
        <v>14</v>
      </c>
      <c r="C645" t="s">
        <v>32</v>
      </c>
      <c r="D645" t="s">
        <v>11</v>
      </c>
      <c r="E645" t="s">
        <v>12</v>
      </c>
      <c r="F645">
        <v>73469577</v>
      </c>
      <c r="G645">
        <v>73469647</v>
      </c>
      <c r="H645">
        <v>73469577</v>
      </c>
      <c r="I645">
        <v>73469647</v>
      </c>
    </row>
    <row r="646" spans="1:9" x14ac:dyDescent="0.2">
      <c r="A646" t="str">
        <f>"4931422A03Rik"</f>
        <v>4931422A03Rik</v>
      </c>
      <c r="B646" t="s">
        <v>14</v>
      </c>
      <c r="C646" t="s">
        <v>26</v>
      </c>
      <c r="D646" t="s">
        <v>11</v>
      </c>
      <c r="E646" t="s">
        <v>67</v>
      </c>
      <c r="F646">
        <v>104028287</v>
      </c>
      <c r="G646">
        <v>104028337</v>
      </c>
      <c r="H646">
        <v>104028271</v>
      </c>
      <c r="I646">
        <v>104028274</v>
      </c>
    </row>
    <row r="647" spans="1:9" x14ac:dyDescent="0.2">
      <c r="A647" t="str">
        <f>"4931423N10Rik"</f>
        <v>4931423N10Rik</v>
      </c>
      <c r="B647" t="s">
        <v>14</v>
      </c>
      <c r="C647" t="s">
        <v>26</v>
      </c>
      <c r="D647" t="s">
        <v>17</v>
      </c>
      <c r="E647" t="s">
        <v>12</v>
      </c>
      <c r="F647">
        <v>23207470</v>
      </c>
      <c r="G647">
        <v>23207493</v>
      </c>
      <c r="H647">
        <v>23207470</v>
      </c>
      <c r="I647">
        <v>23207493</v>
      </c>
    </row>
    <row r="648" spans="1:9" x14ac:dyDescent="0.2">
      <c r="A648" t="str">
        <f>"4931428F04Rik"</f>
        <v>4931428F04Rik</v>
      </c>
      <c r="B648" t="s">
        <v>14</v>
      </c>
      <c r="C648" t="s">
        <v>30</v>
      </c>
      <c r="D648" t="s">
        <v>11</v>
      </c>
      <c r="E648" t="s">
        <v>12</v>
      </c>
      <c r="F648">
        <v>105289465</v>
      </c>
      <c r="G648">
        <v>105289541</v>
      </c>
      <c r="H648">
        <v>105289068</v>
      </c>
      <c r="I648">
        <v>105289083</v>
      </c>
    </row>
    <row r="649" spans="1:9" x14ac:dyDescent="0.2">
      <c r="A649" t="str">
        <f>"4931428L18Rik"</f>
        <v>4931428L18Rik</v>
      </c>
      <c r="B649" t="s">
        <v>14</v>
      </c>
      <c r="C649" t="s">
        <v>19</v>
      </c>
      <c r="D649" t="s">
        <v>11</v>
      </c>
      <c r="E649" t="s">
        <v>12</v>
      </c>
      <c r="F649">
        <v>31222644</v>
      </c>
      <c r="G649">
        <v>31222677</v>
      </c>
      <c r="H649">
        <v>31222627</v>
      </c>
      <c r="I649">
        <v>31222643</v>
      </c>
    </row>
    <row r="650" spans="1:9" x14ac:dyDescent="0.2">
      <c r="A650" t="str">
        <f>"4931429I11Rik"</f>
        <v>4931429I11Rik</v>
      </c>
      <c r="B650" t="s">
        <v>14</v>
      </c>
      <c r="C650" t="s">
        <v>24</v>
      </c>
      <c r="D650" t="s">
        <v>11</v>
      </c>
      <c r="E650" t="s">
        <v>12</v>
      </c>
      <c r="F650">
        <v>40964534</v>
      </c>
      <c r="G650">
        <v>40964545</v>
      </c>
      <c r="H650">
        <v>40964534</v>
      </c>
      <c r="I650">
        <v>40964545</v>
      </c>
    </row>
    <row r="651" spans="1:9" x14ac:dyDescent="0.2">
      <c r="A651" t="str">
        <f>"4931429L15Rik"</f>
        <v>4931429L15Rik</v>
      </c>
      <c r="B651" t="s">
        <v>14</v>
      </c>
      <c r="C651" t="s">
        <v>24</v>
      </c>
      <c r="D651" t="s">
        <v>11</v>
      </c>
      <c r="E651" t="s">
        <v>12</v>
      </c>
      <c r="F651">
        <v>46315921</v>
      </c>
      <c r="G651">
        <v>46315948</v>
      </c>
      <c r="H651">
        <v>46315921</v>
      </c>
      <c r="I651">
        <v>46315948</v>
      </c>
    </row>
    <row r="652" spans="1:9" x14ac:dyDescent="0.2">
      <c r="A652" t="str">
        <f>"4931429P17Rik"</f>
        <v>4931429P17Rik</v>
      </c>
      <c r="B652" t="s">
        <v>14</v>
      </c>
      <c r="C652" t="s">
        <v>39</v>
      </c>
      <c r="D652" t="s">
        <v>11</v>
      </c>
      <c r="E652" t="s">
        <v>12</v>
      </c>
      <c r="F652">
        <v>48018607</v>
      </c>
      <c r="G652">
        <v>48018608</v>
      </c>
      <c r="H652">
        <v>48018607</v>
      </c>
      <c r="I652">
        <v>48018608</v>
      </c>
    </row>
    <row r="653" spans="1:9" x14ac:dyDescent="0.2">
      <c r="A653" t="str">
        <f>"4931431F19Rik"</f>
        <v>4931431F19Rik</v>
      </c>
      <c r="B653" t="s">
        <v>14</v>
      </c>
      <c r="C653" t="s">
        <v>33</v>
      </c>
      <c r="D653" t="s">
        <v>11</v>
      </c>
      <c r="E653" t="s">
        <v>12</v>
      </c>
      <c r="F653">
        <v>104129792</v>
      </c>
      <c r="G653">
        <v>104129819</v>
      </c>
      <c r="H653">
        <v>104129792</v>
      </c>
      <c r="I653">
        <v>104129819</v>
      </c>
    </row>
    <row r="654" spans="1:9" x14ac:dyDescent="0.2">
      <c r="A654" t="str">
        <f>"4931440F15Rik"</f>
        <v>4931440F15Rik</v>
      </c>
      <c r="B654" t="s">
        <v>14</v>
      </c>
      <c r="C654" t="s">
        <v>27</v>
      </c>
      <c r="D654" t="s">
        <v>11</v>
      </c>
      <c r="E654" t="s">
        <v>12</v>
      </c>
      <c r="F654">
        <v>29825649</v>
      </c>
      <c r="G654">
        <v>29825680</v>
      </c>
      <c r="H654">
        <v>29825649</v>
      </c>
      <c r="I654">
        <v>29825680</v>
      </c>
    </row>
    <row r="655" spans="1:9" x14ac:dyDescent="0.2">
      <c r="A655" t="str">
        <f>"4931440L10Rik"</f>
        <v>4931440L10Rik</v>
      </c>
      <c r="B655" t="s">
        <v>14</v>
      </c>
      <c r="C655" t="s">
        <v>19</v>
      </c>
      <c r="D655" t="s">
        <v>11</v>
      </c>
      <c r="E655" t="s">
        <v>12</v>
      </c>
      <c r="F655">
        <v>134549663</v>
      </c>
      <c r="G655">
        <v>134549687</v>
      </c>
      <c r="H655">
        <v>134549609</v>
      </c>
      <c r="I655">
        <v>134549616</v>
      </c>
    </row>
    <row r="656" spans="1:9" x14ac:dyDescent="0.2">
      <c r="A656" t="str">
        <f>"4931440P22Rik"</f>
        <v>4931440P22Rik</v>
      </c>
      <c r="B656" t="s">
        <v>14</v>
      </c>
      <c r="C656" t="s">
        <v>22</v>
      </c>
      <c r="D656" t="s">
        <v>11</v>
      </c>
      <c r="E656" t="s">
        <v>12</v>
      </c>
      <c r="F656">
        <v>65528274</v>
      </c>
      <c r="G656">
        <v>65528299</v>
      </c>
      <c r="H656">
        <v>65528189</v>
      </c>
      <c r="I656">
        <v>65528226</v>
      </c>
    </row>
    <row r="657" spans="1:9" x14ac:dyDescent="0.2">
      <c r="A657" t="str">
        <f>"4932411E22Rik"</f>
        <v>4932411E22Rik</v>
      </c>
      <c r="B657" t="s">
        <v>14</v>
      </c>
      <c r="C657" t="s">
        <v>27</v>
      </c>
      <c r="D657" t="s">
        <v>11</v>
      </c>
      <c r="E657" t="s">
        <v>12</v>
      </c>
      <c r="F657">
        <v>89418903</v>
      </c>
      <c r="G657">
        <v>89418948</v>
      </c>
      <c r="H657">
        <v>89418903</v>
      </c>
      <c r="I657">
        <v>89418948</v>
      </c>
    </row>
    <row r="658" spans="1:9" x14ac:dyDescent="0.2">
      <c r="A658" t="str">
        <f>"4932411N23Rik"</f>
        <v>4932411N23Rik</v>
      </c>
      <c r="B658" t="s">
        <v>2034</v>
      </c>
      <c r="C658" t="s">
        <v>37</v>
      </c>
      <c r="D658" t="s">
        <v>11</v>
      </c>
      <c r="E658" t="s">
        <v>20</v>
      </c>
      <c r="F658">
        <v>126815867</v>
      </c>
      <c r="G658">
        <v>126815867</v>
      </c>
      <c r="H658">
        <v>126815867</v>
      </c>
      <c r="I658">
        <v>126815867</v>
      </c>
    </row>
    <row r="659" spans="1:9" x14ac:dyDescent="0.2">
      <c r="A659" t="str">
        <f>"4932411N23Rik"</f>
        <v>4932411N23Rik</v>
      </c>
      <c r="B659" t="s">
        <v>2035</v>
      </c>
      <c r="C659" t="s">
        <v>37</v>
      </c>
      <c r="D659" t="s">
        <v>11</v>
      </c>
      <c r="E659" t="s">
        <v>20</v>
      </c>
      <c r="F659">
        <v>126834003</v>
      </c>
      <c r="G659">
        <v>126834003</v>
      </c>
      <c r="H659">
        <v>126834003</v>
      </c>
      <c r="I659">
        <v>126834003</v>
      </c>
    </row>
    <row r="660" spans="1:9" x14ac:dyDescent="0.2">
      <c r="A660" t="str">
        <f>"4932414N04Rik"</f>
        <v>4932414N04Rik</v>
      </c>
      <c r="B660" t="s">
        <v>14</v>
      </c>
      <c r="C660" t="s">
        <v>26</v>
      </c>
      <c r="D660" t="s">
        <v>17</v>
      </c>
      <c r="E660" t="s">
        <v>12</v>
      </c>
      <c r="F660">
        <v>68657874</v>
      </c>
      <c r="G660">
        <v>68657893</v>
      </c>
      <c r="H660">
        <v>68657874</v>
      </c>
      <c r="I660">
        <v>68657893</v>
      </c>
    </row>
    <row r="661" spans="1:9" x14ac:dyDescent="0.2">
      <c r="A661" t="str">
        <f>"4932415D10Rik"</f>
        <v>4932415D10Rik</v>
      </c>
      <c r="B661" t="s">
        <v>2036</v>
      </c>
      <c r="C661" t="s">
        <v>15</v>
      </c>
      <c r="D661" t="s">
        <v>11</v>
      </c>
      <c r="E661" t="s">
        <v>20</v>
      </c>
      <c r="F661">
        <v>82285277</v>
      </c>
      <c r="G661">
        <v>82285277</v>
      </c>
      <c r="H661">
        <v>82285277</v>
      </c>
      <c r="I661">
        <v>82285277</v>
      </c>
    </row>
    <row r="662" spans="1:9" x14ac:dyDescent="0.2">
      <c r="A662" t="str">
        <f>"4932418E24Rik"</f>
        <v>4932418E24Rik</v>
      </c>
      <c r="B662" t="s">
        <v>14</v>
      </c>
      <c r="C662" t="s">
        <v>26</v>
      </c>
      <c r="D662" t="s">
        <v>11</v>
      </c>
      <c r="E662" t="s">
        <v>12</v>
      </c>
      <c r="F662">
        <v>26294598</v>
      </c>
      <c r="G662">
        <v>26294625</v>
      </c>
      <c r="H662">
        <v>26294579</v>
      </c>
      <c r="I662">
        <v>26294588</v>
      </c>
    </row>
    <row r="663" spans="1:9" x14ac:dyDescent="0.2">
      <c r="A663" t="str">
        <f>"4932427H20Rik"</f>
        <v>4932427H20Rik</v>
      </c>
      <c r="B663" t="s">
        <v>2037</v>
      </c>
      <c r="C663" t="s">
        <v>24</v>
      </c>
      <c r="D663" t="s">
        <v>17</v>
      </c>
      <c r="E663" t="s">
        <v>20</v>
      </c>
      <c r="F663">
        <v>88438597</v>
      </c>
      <c r="G663">
        <v>88438597</v>
      </c>
      <c r="H663">
        <v>88438597</v>
      </c>
      <c r="I663">
        <v>88438597</v>
      </c>
    </row>
    <row r="664" spans="1:9" x14ac:dyDescent="0.2">
      <c r="A664" t="str">
        <f>"4932429P05Rik"</f>
        <v>4932429P05Rik</v>
      </c>
      <c r="B664" t="s">
        <v>14</v>
      </c>
      <c r="C664" t="s">
        <v>37</v>
      </c>
      <c r="D664" t="s">
        <v>17</v>
      </c>
      <c r="E664" t="s">
        <v>12</v>
      </c>
      <c r="F664">
        <v>89752242</v>
      </c>
      <c r="G664">
        <v>89752280</v>
      </c>
      <c r="H664">
        <v>89752242</v>
      </c>
      <c r="I664">
        <v>89752280</v>
      </c>
    </row>
    <row r="665" spans="1:9" x14ac:dyDescent="0.2">
      <c r="A665" t="str">
        <f>"4932431P20Rik"</f>
        <v>4932431P20Rik</v>
      </c>
      <c r="B665" t="s">
        <v>14</v>
      </c>
      <c r="C665" t="s">
        <v>33</v>
      </c>
      <c r="D665" t="s">
        <v>17</v>
      </c>
      <c r="E665" t="s">
        <v>67</v>
      </c>
      <c r="F665">
        <v>29519158</v>
      </c>
      <c r="G665">
        <v>29519169</v>
      </c>
      <c r="H665">
        <v>29519146</v>
      </c>
      <c r="I665">
        <v>29519156</v>
      </c>
    </row>
    <row r="666" spans="1:9" x14ac:dyDescent="0.2">
      <c r="A666" t="str">
        <f>"4932438A13Rik"</f>
        <v>4932438A13Rik</v>
      </c>
      <c r="B666" t="s">
        <v>14</v>
      </c>
      <c r="C666" t="s">
        <v>22</v>
      </c>
      <c r="D666" t="s">
        <v>17</v>
      </c>
      <c r="E666" t="s">
        <v>12</v>
      </c>
      <c r="F666">
        <v>36863102</v>
      </c>
      <c r="G666">
        <v>36863147</v>
      </c>
      <c r="H666">
        <v>36863148</v>
      </c>
      <c r="I666">
        <v>36863164</v>
      </c>
    </row>
    <row r="667" spans="1:9" x14ac:dyDescent="0.2">
      <c r="A667" t="str">
        <f>"4932438H23Rik"</f>
        <v>4932438H23Rik</v>
      </c>
      <c r="B667" t="s">
        <v>14</v>
      </c>
      <c r="C667" t="s">
        <v>31</v>
      </c>
      <c r="D667" t="s">
        <v>11</v>
      </c>
      <c r="E667" t="s">
        <v>12</v>
      </c>
      <c r="F667">
        <v>91069095</v>
      </c>
      <c r="G667">
        <v>91069106</v>
      </c>
      <c r="H667">
        <v>91069142</v>
      </c>
      <c r="I667">
        <v>91069159</v>
      </c>
    </row>
    <row r="668" spans="1:9" x14ac:dyDescent="0.2">
      <c r="A668" t="str">
        <f>"4932442E05Rik"</f>
        <v>4932442E05Rik</v>
      </c>
      <c r="B668" t="s">
        <v>2038</v>
      </c>
      <c r="C668" t="s">
        <v>15</v>
      </c>
      <c r="D668" t="s">
        <v>17</v>
      </c>
      <c r="E668" t="s">
        <v>20</v>
      </c>
      <c r="F668">
        <v>118860825</v>
      </c>
      <c r="G668">
        <v>118860825</v>
      </c>
      <c r="H668">
        <v>118860825</v>
      </c>
      <c r="I668">
        <v>118860825</v>
      </c>
    </row>
    <row r="669" spans="1:9" x14ac:dyDescent="0.2">
      <c r="A669" t="str">
        <f>"4932442L08Rik"</f>
        <v>4932442L08Rik</v>
      </c>
      <c r="B669" t="s">
        <v>14</v>
      </c>
      <c r="C669" t="s">
        <v>37</v>
      </c>
      <c r="D669" t="s">
        <v>11</v>
      </c>
      <c r="E669" t="s">
        <v>67</v>
      </c>
      <c r="F669">
        <v>94365858</v>
      </c>
      <c r="G669">
        <v>94365859</v>
      </c>
      <c r="H669">
        <v>94365960</v>
      </c>
      <c r="I669">
        <v>94365966</v>
      </c>
    </row>
    <row r="670" spans="1:9" x14ac:dyDescent="0.2">
      <c r="A670" t="str">
        <f>"4932443I19Rik"</f>
        <v>4932443I19Rik</v>
      </c>
      <c r="B670" t="s">
        <v>14</v>
      </c>
      <c r="C670" t="s">
        <v>30</v>
      </c>
      <c r="D670" t="s">
        <v>17</v>
      </c>
      <c r="E670" t="s">
        <v>12</v>
      </c>
      <c r="F670">
        <v>13705884</v>
      </c>
      <c r="G670">
        <v>13705952</v>
      </c>
      <c r="H670">
        <v>13705884</v>
      </c>
      <c r="I670">
        <v>13705952</v>
      </c>
    </row>
    <row r="671" spans="1:9" x14ac:dyDescent="0.2">
      <c r="A671" t="str">
        <f>"4933400A11Rik"</f>
        <v>4933400A11Rik</v>
      </c>
      <c r="B671" t="s">
        <v>14</v>
      </c>
      <c r="C671" t="s">
        <v>37</v>
      </c>
      <c r="D671" t="s">
        <v>11</v>
      </c>
      <c r="E671" t="s">
        <v>12</v>
      </c>
      <c r="F671">
        <v>169779609</v>
      </c>
      <c r="G671">
        <v>169779621</v>
      </c>
      <c r="H671">
        <v>169779630</v>
      </c>
      <c r="I671">
        <v>169779639</v>
      </c>
    </row>
    <row r="672" spans="1:9" x14ac:dyDescent="0.2">
      <c r="A672" t="str">
        <f>"4933402D24Rik"</f>
        <v>4933402D24Rik</v>
      </c>
      <c r="B672" t="s">
        <v>14</v>
      </c>
      <c r="C672" t="s">
        <v>19</v>
      </c>
      <c r="D672" t="s">
        <v>11</v>
      </c>
      <c r="E672" t="s">
        <v>67</v>
      </c>
      <c r="F672">
        <v>63769227</v>
      </c>
      <c r="G672">
        <v>63769234</v>
      </c>
      <c r="H672">
        <v>63769260</v>
      </c>
      <c r="I672">
        <v>63769262</v>
      </c>
    </row>
    <row r="673" spans="1:9" x14ac:dyDescent="0.2">
      <c r="A673" t="str">
        <f>"4933402E13Rik"</f>
        <v>4933402E13Rik</v>
      </c>
      <c r="B673" t="s">
        <v>14</v>
      </c>
      <c r="C673" t="s">
        <v>37</v>
      </c>
      <c r="D673" t="s">
        <v>17</v>
      </c>
      <c r="E673" t="s">
        <v>12</v>
      </c>
      <c r="F673">
        <v>62287164</v>
      </c>
      <c r="G673">
        <v>62287193</v>
      </c>
      <c r="H673">
        <v>62287164</v>
      </c>
      <c r="I673">
        <v>62287193</v>
      </c>
    </row>
    <row r="674" spans="1:9" x14ac:dyDescent="0.2">
      <c r="A674" t="str">
        <f>"4933402J07Rik"</f>
        <v>4933402J07Rik</v>
      </c>
      <c r="B674" t="s">
        <v>14</v>
      </c>
      <c r="C674" t="s">
        <v>30</v>
      </c>
      <c r="D674" t="s">
        <v>17</v>
      </c>
      <c r="E674" t="s">
        <v>12</v>
      </c>
      <c r="F674">
        <v>87563876</v>
      </c>
      <c r="G674">
        <v>87563914</v>
      </c>
      <c r="H674">
        <v>87563846</v>
      </c>
      <c r="I674">
        <v>87563869</v>
      </c>
    </row>
    <row r="675" spans="1:9" x14ac:dyDescent="0.2">
      <c r="A675" t="str">
        <f>"4933402N03Rik"</f>
        <v>4933402N03Rik</v>
      </c>
      <c r="B675" t="s">
        <v>14</v>
      </c>
      <c r="C675" t="s">
        <v>33</v>
      </c>
      <c r="D675" t="s">
        <v>11</v>
      </c>
      <c r="E675" t="s">
        <v>12</v>
      </c>
      <c r="F675">
        <v>131146306</v>
      </c>
      <c r="G675">
        <v>131146322</v>
      </c>
      <c r="H675">
        <v>131146291</v>
      </c>
      <c r="I675">
        <v>131146299</v>
      </c>
    </row>
    <row r="676" spans="1:9" x14ac:dyDescent="0.2">
      <c r="A676" t="str">
        <f>"4933402N22Rik"</f>
        <v>4933402N22Rik</v>
      </c>
      <c r="B676" t="s">
        <v>2039</v>
      </c>
      <c r="C676" t="s">
        <v>46</v>
      </c>
      <c r="D676" t="s">
        <v>17</v>
      </c>
      <c r="E676" t="s">
        <v>20</v>
      </c>
      <c r="F676">
        <v>11918042</v>
      </c>
      <c r="G676">
        <v>11918042</v>
      </c>
      <c r="H676">
        <v>11918042</v>
      </c>
      <c r="I676">
        <v>11918042</v>
      </c>
    </row>
    <row r="677" spans="1:9" x14ac:dyDescent="0.2">
      <c r="A677" t="str">
        <f>"4933402P03Rik"</f>
        <v>4933402P03Rik</v>
      </c>
      <c r="B677" t="s">
        <v>14</v>
      </c>
      <c r="C677" t="s">
        <v>27</v>
      </c>
      <c r="D677" t="s">
        <v>11</v>
      </c>
      <c r="E677" t="s">
        <v>12</v>
      </c>
      <c r="F677">
        <v>69818457</v>
      </c>
      <c r="G677">
        <v>69818468</v>
      </c>
      <c r="H677">
        <v>69818475</v>
      </c>
      <c r="I677">
        <v>69818492</v>
      </c>
    </row>
    <row r="678" spans="1:9" x14ac:dyDescent="0.2">
      <c r="A678" t="str">
        <f>"4933403O08Rik"</f>
        <v>4933403O08Rik</v>
      </c>
      <c r="B678" t="s">
        <v>2040</v>
      </c>
      <c r="C678" t="s">
        <v>37</v>
      </c>
      <c r="D678" t="s">
        <v>17</v>
      </c>
      <c r="E678" t="s">
        <v>20</v>
      </c>
      <c r="F678">
        <v>112239048</v>
      </c>
      <c r="G678">
        <v>112239048</v>
      </c>
      <c r="H678">
        <v>112239048</v>
      </c>
      <c r="I678">
        <v>112239048</v>
      </c>
    </row>
    <row r="679" spans="1:9" x14ac:dyDescent="0.2">
      <c r="A679" t="str">
        <f>"4933403O08Rik"</f>
        <v>4933403O08Rik</v>
      </c>
      <c r="B679" t="s">
        <v>2041</v>
      </c>
      <c r="C679" t="s">
        <v>37</v>
      </c>
      <c r="D679" t="s">
        <v>17</v>
      </c>
      <c r="E679" t="s">
        <v>20</v>
      </c>
      <c r="F679">
        <v>112240473</v>
      </c>
      <c r="G679">
        <v>112240473</v>
      </c>
      <c r="H679">
        <v>112240473</v>
      </c>
      <c r="I679">
        <v>112240473</v>
      </c>
    </row>
    <row r="680" spans="1:9" x14ac:dyDescent="0.2">
      <c r="A680" t="str">
        <f>"4933405L10Rik"</f>
        <v>4933405L10Rik</v>
      </c>
      <c r="B680" t="s">
        <v>14</v>
      </c>
      <c r="C680" t="s">
        <v>30</v>
      </c>
      <c r="D680" t="s">
        <v>17</v>
      </c>
      <c r="E680" t="s">
        <v>12</v>
      </c>
      <c r="F680">
        <v>105708270</v>
      </c>
      <c r="G680">
        <v>105708302</v>
      </c>
      <c r="H680">
        <v>105708251</v>
      </c>
      <c r="I680">
        <v>105708261</v>
      </c>
    </row>
    <row r="681" spans="1:9" x14ac:dyDescent="0.2">
      <c r="A681" t="str">
        <f>"4933405O20Rik"</f>
        <v>4933405O20Rik</v>
      </c>
      <c r="B681" t="s">
        <v>14</v>
      </c>
      <c r="C681" t="s">
        <v>33</v>
      </c>
      <c r="D681" t="s">
        <v>17</v>
      </c>
      <c r="E681" t="s">
        <v>12</v>
      </c>
      <c r="F681">
        <v>50599180</v>
      </c>
      <c r="G681">
        <v>50599201</v>
      </c>
      <c r="H681">
        <v>50599204</v>
      </c>
      <c r="I681">
        <v>50599218</v>
      </c>
    </row>
    <row r="682" spans="1:9" x14ac:dyDescent="0.2">
      <c r="A682" t="str">
        <f>"4933406J08Rik"</f>
        <v>4933406J08Rik</v>
      </c>
      <c r="B682" t="s">
        <v>14</v>
      </c>
      <c r="C682" t="s">
        <v>26</v>
      </c>
      <c r="D682" t="s">
        <v>17</v>
      </c>
      <c r="E682" t="s">
        <v>12</v>
      </c>
      <c r="F682">
        <v>122186268</v>
      </c>
      <c r="G682">
        <v>122186285</v>
      </c>
      <c r="H682">
        <v>122186374</v>
      </c>
      <c r="I682">
        <v>122186389</v>
      </c>
    </row>
    <row r="683" spans="1:9" x14ac:dyDescent="0.2">
      <c r="A683" t="str">
        <f>"4933406M09Rik"</f>
        <v>4933406M09Rik</v>
      </c>
      <c r="B683" t="s">
        <v>14</v>
      </c>
      <c r="C683" t="s">
        <v>19</v>
      </c>
      <c r="D683" t="s">
        <v>17</v>
      </c>
      <c r="E683" t="s">
        <v>12</v>
      </c>
      <c r="F683">
        <v>134385938</v>
      </c>
      <c r="G683">
        <v>134385943</v>
      </c>
      <c r="H683">
        <v>134385938</v>
      </c>
      <c r="I683">
        <v>134385943</v>
      </c>
    </row>
    <row r="684" spans="1:9" x14ac:dyDescent="0.2">
      <c r="A684" t="str">
        <f>"4933406P04Rik"</f>
        <v>4933406P04Rik</v>
      </c>
      <c r="B684" t="s">
        <v>14</v>
      </c>
      <c r="C684" t="s">
        <v>15</v>
      </c>
      <c r="D684" t="s">
        <v>11</v>
      </c>
      <c r="E684" t="s">
        <v>12</v>
      </c>
      <c r="F684">
        <v>20312239</v>
      </c>
      <c r="G684">
        <v>20312278</v>
      </c>
      <c r="H684">
        <v>20312280</v>
      </c>
      <c r="I684">
        <v>20312299</v>
      </c>
    </row>
    <row r="685" spans="1:9" x14ac:dyDescent="0.2">
      <c r="A685" t="str">
        <f>"4933407L21Rik"</f>
        <v>4933407L21Rik</v>
      </c>
      <c r="B685" t="s">
        <v>14</v>
      </c>
      <c r="C685" t="s">
        <v>19</v>
      </c>
      <c r="D685" t="s">
        <v>17</v>
      </c>
      <c r="E685" t="s">
        <v>12</v>
      </c>
      <c r="F685">
        <v>85928535</v>
      </c>
      <c r="G685">
        <v>85928557</v>
      </c>
      <c r="H685">
        <v>85928523</v>
      </c>
      <c r="I685">
        <v>85928533</v>
      </c>
    </row>
    <row r="686" spans="1:9" x14ac:dyDescent="0.2">
      <c r="A686" t="str">
        <f>"4933408B17Rik"</f>
        <v>4933408B17Rik</v>
      </c>
      <c r="B686" t="s">
        <v>2042</v>
      </c>
      <c r="C686" t="s">
        <v>43</v>
      </c>
      <c r="D686" t="s">
        <v>11</v>
      </c>
      <c r="E686" t="s">
        <v>20</v>
      </c>
      <c r="F686">
        <v>34597467</v>
      </c>
      <c r="G686">
        <v>34597467</v>
      </c>
      <c r="H686">
        <v>34597467</v>
      </c>
      <c r="I686">
        <v>34597467</v>
      </c>
    </row>
    <row r="687" spans="1:9" x14ac:dyDescent="0.2">
      <c r="A687" t="str">
        <f>"4933408J17Rik"</f>
        <v>4933408J17Rik</v>
      </c>
      <c r="B687" t="s">
        <v>2043</v>
      </c>
      <c r="C687" t="s">
        <v>15</v>
      </c>
      <c r="D687" t="s">
        <v>17</v>
      </c>
      <c r="E687" t="s">
        <v>20</v>
      </c>
      <c r="F687">
        <v>93589412</v>
      </c>
      <c r="G687">
        <v>93589412</v>
      </c>
      <c r="H687">
        <v>93589412</v>
      </c>
      <c r="I687">
        <v>93589412</v>
      </c>
    </row>
    <row r="688" spans="1:9" x14ac:dyDescent="0.2">
      <c r="A688" t="str">
        <f>"4933409G03Rik"</f>
        <v>4933409G03Rik</v>
      </c>
      <c r="B688" t="s">
        <v>14</v>
      </c>
      <c r="C688" t="s">
        <v>26</v>
      </c>
      <c r="D688" t="s">
        <v>17</v>
      </c>
      <c r="E688" t="s">
        <v>12</v>
      </c>
      <c r="F688">
        <v>68582428</v>
      </c>
      <c r="G688">
        <v>68582457</v>
      </c>
      <c r="H688">
        <v>68582409</v>
      </c>
      <c r="I688">
        <v>68582416</v>
      </c>
    </row>
    <row r="689" spans="1:9" x14ac:dyDescent="0.2">
      <c r="A689" t="str">
        <f>"4933411G06Rik"</f>
        <v>4933411G06Rik</v>
      </c>
      <c r="B689" t="s">
        <v>14</v>
      </c>
      <c r="C689" t="s">
        <v>15</v>
      </c>
      <c r="D689" t="s">
        <v>11</v>
      </c>
      <c r="E689" t="s">
        <v>12</v>
      </c>
      <c r="F689">
        <v>51757189</v>
      </c>
      <c r="G689">
        <v>51757201</v>
      </c>
      <c r="H689">
        <v>51757158</v>
      </c>
      <c r="I689">
        <v>51757170</v>
      </c>
    </row>
    <row r="690" spans="1:9" x14ac:dyDescent="0.2">
      <c r="A690" t="str">
        <f>"4933411G11Rik"</f>
        <v>4933411G11Rik</v>
      </c>
      <c r="B690" t="s">
        <v>14</v>
      </c>
      <c r="C690" t="s">
        <v>46</v>
      </c>
      <c r="D690" t="s">
        <v>17</v>
      </c>
      <c r="E690" t="s">
        <v>12</v>
      </c>
      <c r="F690">
        <v>143181010</v>
      </c>
      <c r="G690">
        <v>143181028</v>
      </c>
      <c r="H690">
        <v>143180921</v>
      </c>
      <c r="I690">
        <v>143180962</v>
      </c>
    </row>
    <row r="691" spans="1:9" x14ac:dyDescent="0.2">
      <c r="A691" t="str">
        <f>"4933411K16Rik"</f>
        <v>4933411K16Rik</v>
      </c>
      <c r="B691" t="s">
        <v>14</v>
      </c>
      <c r="C691" t="s">
        <v>10</v>
      </c>
      <c r="D691" t="s">
        <v>17</v>
      </c>
      <c r="E691" t="s">
        <v>12</v>
      </c>
      <c r="F691">
        <v>42052240</v>
      </c>
      <c r="G691">
        <v>42052258</v>
      </c>
      <c r="H691">
        <v>42052240</v>
      </c>
      <c r="I691">
        <v>42052258</v>
      </c>
    </row>
    <row r="692" spans="1:9" x14ac:dyDescent="0.2">
      <c r="A692" t="str">
        <f>"4933411K20Rik"</f>
        <v>4933411K20Rik</v>
      </c>
      <c r="B692" t="s">
        <v>9</v>
      </c>
      <c r="C692" t="s">
        <v>30</v>
      </c>
      <c r="D692" t="s">
        <v>17</v>
      </c>
      <c r="E692" t="s">
        <v>12</v>
      </c>
      <c r="F692">
        <v>46163675</v>
      </c>
      <c r="G692">
        <v>46163729</v>
      </c>
      <c r="H692">
        <v>46163675</v>
      </c>
      <c r="I692">
        <v>46163729</v>
      </c>
    </row>
    <row r="693" spans="1:9" x14ac:dyDescent="0.2">
      <c r="A693" t="str">
        <f>"4933411K20Rik"</f>
        <v>4933411K20Rik</v>
      </c>
      <c r="B693" t="s">
        <v>13</v>
      </c>
      <c r="C693" t="s">
        <v>30</v>
      </c>
      <c r="D693" t="s">
        <v>17</v>
      </c>
      <c r="E693" t="s">
        <v>12</v>
      </c>
      <c r="F693">
        <v>46151749</v>
      </c>
      <c r="G693">
        <v>46151781</v>
      </c>
      <c r="H693">
        <v>46151749</v>
      </c>
      <c r="I693">
        <v>46151781</v>
      </c>
    </row>
    <row r="694" spans="1:9" x14ac:dyDescent="0.2">
      <c r="A694" t="str">
        <f>"4933412E24Rik"</f>
        <v>4933412E24Rik</v>
      </c>
      <c r="B694" t="s">
        <v>14</v>
      </c>
      <c r="C694" t="s">
        <v>25</v>
      </c>
      <c r="D694" t="s">
        <v>11</v>
      </c>
      <c r="E694" t="s">
        <v>12</v>
      </c>
      <c r="F694">
        <v>60016588</v>
      </c>
      <c r="G694">
        <v>60016623</v>
      </c>
      <c r="H694">
        <v>60016588</v>
      </c>
      <c r="I694">
        <v>60016623</v>
      </c>
    </row>
    <row r="695" spans="1:9" x14ac:dyDescent="0.2">
      <c r="A695" t="str">
        <f>"4933413G19Rik"</f>
        <v>4933413G19Rik</v>
      </c>
      <c r="B695" t="s">
        <v>14</v>
      </c>
      <c r="C695" t="s">
        <v>32</v>
      </c>
      <c r="D695" t="s">
        <v>17</v>
      </c>
      <c r="E695" t="s">
        <v>12</v>
      </c>
      <c r="F695">
        <v>128375476</v>
      </c>
      <c r="G695">
        <v>128375512</v>
      </c>
      <c r="H695">
        <v>128375476</v>
      </c>
      <c r="I695">
        <v>128375512</v>
      </c>
    </row>
    <row r="696" spans="1:9" x14ac:dyDescent="0.2">
      <c r="A696" t="str">
        <f>"4933414I15Rik"</f>
        <v>4933414I15Rik</v>
      </c>
      <c r="B696" t="s">
        <v>14</v>
      </c>
      <c r="C696" t="s">
        <v>27</v>
      </c>
      <c r="D696" t="s">
        <v>11</v>
      </c>
      <c r="E696" t="s">
        <v>67</v>
      </c>
      <c r="F696">
        <v>50943713</v>
      </c>
      <c r="G696">
        <v>50943756</v>
      </c>
      <c r="H696">
        <v>50943622</v>
      </c>
      <c r="I696">
        <v>50943661</v>
      </c>
    </row>
    <row r="697" spans="1:9" x14ac:dyDescent="0.2">
      <c r="A697" t="str">
        <f>"4933415A04Rik"</f>
        <v>4933415A04Rik</v>
      </c>
      <c r="B697" t="s">
        <v>14</v>
      </c>
      <c r="C697" t="s">
        <v>27</v>
      </c>
      <c r="D697" t="s">
        <v>17</v>
      </c>
      <c r="E697" t="s">
        <v>12</v>
      </c>
      <c r="F697">
        <v>43587068</v>
      </c>
      <c r="G697">
        <v>43587072</v>
      </c>
      <c r="H697">
        <v>43587068</v>
      </c>
      <c r="I697">
        <v>43587072</v>
      </c>
    </row>
    <row r="698" spans="1:9" x14ac:dyDescent="0.2">
      <c r="A698" t="str">
        <f>"4933415F23Rik"</f>
        <v>4933415F23Rik</v>
      </c>
      <c r="B698" t="s">
        <v>14</v>
      </c>
      <c r="C698" t="s">
        <v>19</v>
      </c>
      <c r="D698" t="s">
        <v>11</v>
      </c>
      <c r="E698" t="s">
        <v>12</v>
      </c>
      <c r="F698">
        <v>23102243</v>
      </c>
      <c r="G698">
        <v>23102266</v>
      </c>
      <c r="H698">
        <v>23102243</v>
      </c>
      <c r="I698">
        <v>23102266</v>
      </c>
    </row>
    <row r="699" spans="1:9" x14ac:dyDescent="0.2">
      <c r="A699" t="str">
        <f>"4933416C03Rik"</f>
        <v>4933416C03Rik</v>
      </c>
      <c r="B699" t="s">
        <v>14</v>
      </c>
      <c r="C699" t="s">
        <v>15</v>
      </c>
      <c r="D699" t="s">
        <v>11</v>
      </c>
      <c r="E699" t="s">
        <v>12</v>
      </c>
      <c r="F699">
        <v>116113889</v>
      </c>
      <c r="G699">
        <v>116113933</v>
      </c>
      <c r="H699">
        <v>116113889</v>
      </c>
      <c r="I699">
        <v>116113933</v>
      </c>
    </row>
    <row r="700" spans="1:9" x14ac:dyDescent="0.2">
      <c r="A700" t="str">
        <f>"4933417A18Rik"</f>
        <v>4933417A18Rik</v>
      </c>
      <c r="B700" t="s">
        <v>14</v>
      </c>
      <c r="C700" t="s">
        <v>39</v>
      </c>
      <c r="D700" t="s">
        <v>17</v>
      </c>
      <c r="E700" t="s">
        <v>12</v>
      </c>
      <c r="F700">
        <v>34924438</v>
      </c>
      <c r="G700">
        <v>34924455</v>
      </c>
      <c r="H700">
        <v>34924413</v>
      </c>
      <c r="I700">
        <v>34924426</v>
      </c>
    </row>
    <row r="701" spans="1:9" x14ac:dyDescent="0.2">
      <c r="A701" t="str">
        <f>"4933421I07Rik"</f>
        <v>4933421I07Rik</v>
      </c>
      <c r="B701" t="s">
        <v>14</v>
      </c>
      <c r="C701" t="s">
        <v>33</v>
      </c>
      <c r="D701" t="s">
        <v>11</v>
      </c>
      <c r="E701" t="s">
        <v>12</v>
      </c>
      <c r="F701">
        <v>42448079</v>
      </c>
      <c r="G701">
        <v>42448112</v>
      </c>
      <c r="H701">
        <v>42448079</v>
      </c>
      <c r="I701">
        <v>42448112</v>
      </c>
    </row>
    <row r="702" spans="1:9" x14ac:dyDescent="0.2">
      <c r="A702" t="str">
        <f>"4933422H20Rik"</f>
        <v>4933422H20Rik</v>
      </c>
      <c r="B702" t="s">
        <v>14</v>
      </c>
      <c r="C702" t="s">
        <v>27</v>
      </c>
      <c r="D702" t="s">
        <v>17</v>
      </c>
      <c r="E702" t="s">
        <v>12</v>
      </c>
      <c r="F702">
        <v>115440540</v>
      </c>
      <c r="G702">
        <v>115440554</v>
      </c>
      <c r="H702">
        <v>115440515</v>
      </c>
      <c r="I702">
        <v>115440524</v>
      </c>
    </row>
    <row r="703" spans="1:9" x14ac:dyDescent="0.2">
      <c r="A703" t="str">
        <f>"4933425L06Rik"</f>
        <v>4933425L06Rik</v>
      </c>
      <c r="B703" t="s">
        <v>14</v>
      </c>
      <c r="C703" t="s">
        <v>39</v>
      </c>
      <c r="D703" t="s">
        <v>17</v>
      </c>
      <c r="E703" t="s">
        <v>12</v>
      </c>
      <c r="F703">
        <v>105082130</v>
      </c>
      <c r="G703">
        <v>105082152</v>
      </c>
      <c r="H703">
        <v>105082117</v>
      </c>
      <c r="I703">
        <v>105082127</v>
      </c>
    </row>
    <row r="704" spans="1:9" x14ac:dyDescent="0.2">
      <c r="A704" t="str">
        <f>"4933426M11Rik"</f>
        <v>4933426M11Rik</v>
      </c>
      <c r="B704" t="s">
        <v>14</v>
      </c>
      <c r="C704" t="s">
        <v>16</v>
      </c>
      <c r="D704" t="s">
        <v>17</v>
      </c>
      <c r="E704" t="s">
        <v>12</v>
      </c>
      <c r="F704">
        <v>80790547</v>
      </c>
      <c r="G704">
        <v>80790574</v>
      </c>
      <c r="H704">
        <v>80790584</v>
      </c>
      <c r="I704">
        <v>80790595</v>
      </c>
    </row>
    <row r="705" spans="1:9" x14ac:dyDescent="0.2">
      <c r="A705" t="str">
        <f>"4933427D06Rik"</f>
        <v>4933427D06Rik</v>
      </c>
      <c r="B705" t="s">
        <v>14</v>
      </c>
      <c r="C705" t="s">
        <v>32</v>
      </c>
      <c r="D705" t="s">
        <v>17</v>
      </c>
      <c r="E705" t="s">
        <v>12</v>
      </c>
      <c r="F705">
        <v>89096103</v>
      </c>
      <c r="G705">
        <v>89096115</v>
      </c>
      <c r="H705">
        <v>89096154</v>
      </c>
      <c r="I705">
        <v>89096163</v>
      </c>
    </row>
    <row r="706" spans="1:9" x14ac:dyDescent="0.2">
      <c r="A706" t="str">
        <f>"4933427D14Rik"</f>
        <v>4933427D14Rik</v>
      </c>
      <c r="B706" t="s">
        <v>14</v>
      </c>
      <c r="C706" t="s">
        <v>27</v>
      </c>
      <c r="D706" t="s">
        <v>11</v>
      </c>
      <c r="E706" t="s">
        <v>12</v>
      </c>
      <c r="F706">
        <v>72207213</v>
      </c>
      <c r="G706">
        <v>72207279</v>
      </c>
      <c r="H706">
        <v>72207413</v>
      </c>
      <c r="I706">
        <v>72207488</v>
      </c>
    </row>
    <row r="707" spans="1:9" x14ac:dyDescent="0.2">
      <c r="A707" t="str">
        <f>"4933427E11Rik"</f>
        <v>4933427E11Rik</v>
      </c>
      <c r="B707" t="s">
        <v>14</v>
      </c>
      <c r="C707" t="s">
        <v>25</v>
      </c>
      <c r="D707" t="s">
        <v>17</v>
      </c>
      <c r="E707" t="s">
        <v>12</v>
      </c>
      <c r="F707">
        <v>74709369</v>
      </c>
      <c r="G707">
        <v>74709398</v>
      </c>
      <c r="H707">
        <v>74709369</v>
      </c>
      <c r="I707">
        <v>74709398</v>
      </c>
    </row>
    <row r="708" spans="1:9" x14ac:dyDescent="0.2">
      <c r="A708" t="str">
        <f>"4933427G17Rik"</f>
        <v>4933427G17Rik</v>
      </c>
      <c r="B708" t="s">
        <v>14</v>
      </c>
      <c r="C708" t="s">
        <v>33</v>
      </c>
      <c r="D708" t="s">
        <v>17</v>
      </c>
      <c r="E708" t="s">
        <v>12</v>
      </c>
      <c r="F708">
        <v>120982521</v>
      </c>
      <c r="G708">
        <v>120982546</v>
      </c>
      <c r="H708">
        <v>120982496</v>
      </c>
      <c r="I708">
        <v>120982514</v>
      </c>
    </row>
    <row r="709" spans="1:9" x14ac:dyDescent="0.2">
      <c r="A709" t="str">
        <f>"4933427I04Rik"</f>
        <v>4933427I04Rik</v>
      </c>
      <c r="B709" t="s">
        <v>14</v>
      </c>
      <c r="C709" t="s">
        <v>23</v>
      </c>
      <c r="D709" t="s">
        <v>17</v>
      </c>
      <c r="E709" t="s">
        <v>67</v>
      </c>
      <c r="F709">
        <v>123859651</v>
      </c>
      <c r="G709">
        <v>123859700</v>
      </c>
      <c r="H709">
        <v>123859651</v>
      </c>
      <c r="I709">
        <v>123859700</v>
      </c>
    </row>
    <row r="710" spans="1:9" x14ac:dyDescent="0.2">
      <c r="A710" t="str">
        <f>"4933428G20Rik"</f>
        <v>4933428G20Rik</v>
      </c>
      <c r="B710" t="s">
        <v>14</v>
      </c>
      <c r="C710" t="s">
        <v>27</v>
      </c>
      <c r="D710" t="s">
        <v>11</v>
      </c>
      <c r="E710" t="s">
        <v>67</v>
      </c>
      <c r="F710">
        <v>97500350</v>
      </c>
      <c r="G710">
        <v>97500368</v>
      </c>
      <c r="H710">
        <v>97500422</v>
      </c>
      <c r="I710">
        <v>97500452</v>
      </c>
    </row>
    <row r="711" spans="1:9" x14ac:dyDescent="0.2">
      <c r="A711" t="str">
        <f>"4933428M09Rik"</f>
        <v>4933428M09Rik</v>
      </c>
      <c r="B711" t="s">
        <v>14</v>
      </c>
      <c r="C711" t="s">
        <v>37</v>
      </c>
      <c r="D711" t="s">
        <v>17</v>
      </c>
      <c r="E711" t="s">
        <v>12</v>
      </c>
      <c r="F711">
        <v>139179207</v>
      </c>
      <c r="G711">
        <v>139179232</v>
      </c>
      <c r="H711">
        <v>139179243</v>
      </c>
      <c r="I711">
        <v>139179246</v>
      </c>
    </row>
    <row r="712" spans="1:9" x14ac:dyDescent="0.2">
      <c r="A712" t="str">
        <f>"4933429H19Rik"</f>
        <v>4933429H19Rik</v>
      </c>
      <c r="B712" t="s">
        <v>2044</v>
      </c>
      <c r="C712" t="s">
        <v>22</v>
      </c>
      <c r="D712" t="s">
        <v>11</v>
      </c>
      <c r="E712" t="s">
        <v>35</v>
      </c>
      <c r="F712">
        <v>30793549</v>
      </c>
      <c r="G712">
        <v>30793595</v>
      </c>
      <c r="H712">
        <v>30793406</v>
      </c>
      <c r="I712">
        <v>30793414</v>
      </c>
    </row>
    <row r="713" spans="1:9" x14ac:dyDescent="0.2">
      <c r="A713" t="str">
        <f>"4933430I17Rik"</f>
        <v>4933430I17Rik</v>
      </c>
      <c r="B713" t="s">
        <v>14</v>
      </c>
      <c r="C713" t="s">
        <v>23</v>
      </c>
      <c r="D713" t="s">
        <v>17</v>
      </c>
      <c r="E713" t="s">
        <v>12</v>
      </c>
      <c r="F713">
        <v>62525107</v>
      </c>
      <c r="G713">
        <v>62525150</v>
      </c>
      <c r="H713">
        <v>62525351</v>
      </c>
      <c r="I713">
        <v>62525371</v>
      </c>
    </row>
    <row r="714" spans="1:9" x14ac:dyDescent="0.2">
      <c r="A714" t="str">
        <f>"4933433C11Rik"</f>
        <v>4933433C11Rik</v>
      </c>
      <c r="B714" t="s">
        <v>14</v>
      </c>
      <c r="C714" t="s">
        <v>26</v>
      </c>
      <c r="D714" t="s">
        <v>11</v>
      </c>
      <c r="E714" t="s">
        <v>12</v>
      </c>
      <c r="F714">
        <v>25214581</v>
      </c>
      <c r="G714">
        <v>25214608</v>
      </c>
      <c r="H714">
        <v>25214616</v>
      </c>
      <c r="I714">
        <v>25214623</v>
      </c>
    </row>
    <row r="715" spans="1:9" x14ac:dyDescent="0.2">
      <c r="A715" t="str">
        <f>"4933434E20Rik"</f>
        <v>4933434E20Rik</v>
      </c>
      <c r="B715" t="s">
        <v>14</v>
      </c>
      <c r="C715" t="s">
        <v>22</v>
      </c>
      <c r="D715" t="s">
        <v>17</v>
      </c>
      <c r="E715" t="s">
        <v>12</v>
      </c>
      <c r="F715">
        <v>90052921</v>
      </c>
      <c r="G715">
        <v>90052936</v>
      </c>
      <c r="H715">
        <v>90052824</v>
      </c>
      <c r="I715">
        <v>90052857</v>
      </c>
    </row>
    <row r="716" spans="1:9" x14ac:dyDescent="0.2">
      <c r="A716" t="str">
        <f>"4933434I20Rik"</f>
        <v>4933434I20Rik</v>
      </c>
      <c r="B716" t="s">
        <v>14</v>
      </c>
      <c r="C716" t="s">
        <v>30</v>
      </c>
      <c r="D716" t="s">
        <v>17</v>
      </c>
      <c r="E716" t="s">
        <v>12</v>
      </c>
      <c r="F716">
        <v>83348451</v>
      </c>
      <c r="G716">
        <v>83348481</v>
      </c>
      <c r="H716">
        <v>83348438</v>
      </c>
      <c r="I716">
        <v>83348450</v>
      </c>
    </row>
    <row r="717" spans="1:9" x14ac:dyDescent="0.2">
      <c r="A717" t="str">
        <f>"4933436I01Rik"</f>
        <v>4933436I01Rik</v>
      </c>
      <c r="B717" t="s">
        <v>14</v>
      </c>
      <c r="C717" t="s">
        <v>37</v>
      </c>
      <c r="D717" t="s">
        <v>11</v>
      </c>
      <c r="E717" t="s">
        <v>12</v>
      </c>
      <c r="F717">
        <v>67921430</v>
      </c>
      <c r="G717">
        <v>67921438</v>
      </c>
      <c r="H717">
        <v>67921430</v>
      </c>
      <c r="I717">
        <v>67921438</v>
      </c>
    </row>
    <row r="718" spans="1:9" x14ac:dyDescent="0.2">
      <c r="A718" t="str">
        <f>"4933440M02Rik"</f>
        <v>4933440M02Rik</v>
      </c>
      <c r="B718" t="s">
        <v>14</v>
      </c>
      <c r="C718" t="s">
        <v>33</v>
      </c>
      <c r="D718" t="s">
        <v>11</v>
      </c>
      <c r="E718" t="s">
        <v>67</v>
      </c>
      <c r="F718">
        <v>125349745</v>
      </c>
      <c r="G718">
        <v>125349783</v>
      </c>
      <c r="H718">
        <v>125349784</v>
      </c>
      <c r="I718">
        <v>125349814</v>
      </c>
    </row>
    <row r="719" spans="1:9" x14ac:dyDescent="0.2">
      <c r="A719" t="str">
        <f>"4933440N22Rik"</f>
        <v>4933440N22Rik</v>
      </c>
      <c r="B719" t="s">
        <v>14</v>
      </c>
      <c r="C719" t="s">
        <v>32</v>
      </c>
      <c r="D719" t="s">
        <v>11</v>
      </c>
      <c r="E719" t="s">
        <v>67</v>
      </c>
      <c r="F719">
        <v>117907753</v>
      </c>
      <c r="G719">
        <v>117907761</v>
      </c>
      <c r="H719">
        <v>117907753</v>
      </c>
      <c r="I719">
        <v>117907761</v>
      </c>
    </row>
    <row r="720" spans="1:9" x14ac:dyDescent="0.2">
      <c r="A720" t="str">
        <f>"5031410I06Rik"</f>
        <v>5031410I06Rik</v>
      </c>
      <c r="B720" t="s">
        <v>2045</v>
      </c>
      <c r="C720" t="s">
        <v>46</v>
      </c>
      <c r="D720" t="s">
        <v>11</v>
      </c>
      <c r="E720" t="s">
        <v>20</v>
      </c>
      <c r="F720">
        <v>26105361</v>
      </c>
      <c r="G720">
        <v>26105361</v>
      </c>
      <c r="H720">
        <v>26105361</v>
      </c>
      <c r="I720">
        <v>26105361</v>
      </c>
    </row>
    <row r="721" spans="1:9" x14ac:dyDescent="0.2">
      <c r="A721" t="str">
        <f>"5031414D18Rik"</f>
        <v>5031414D18Rik</v>
      </c>
      <c r="B721" t="s">
        <v>14</v>
      </c>
      <c r="C721" t="s">
        <v>41</v>
      </c>
      <c r="D721" t="s">
        <v>17</v>
      </c>
      <c r="E721" t="s">
        <v>12</v>
      </c>
      <c r="F721">
        <v>75016048</v>
      </c>
      <c r="G721">
        <v>75016074</v>
      </c>
      <c r="H721">
        <v>75016028</v>
      </c>
      <c r="I721">
        <v>75016045</v>
      </c>
    </row>
    <row r="722" spans="1:9" x14ac:dyDescent="0.2">
      <c r="A722" t="str">
        <f>"5031425E22Rik"</f>
        <v>5031425E22Rik</v>
      </c>
      <c r="B722" t="s">
        <v>14</v>
      </c>
      <c r="C722" t="s">
        <v>46</v>
      </c>
      <c r="D722" t="s">
        <v>11</v>
      </c>
      <c r="E722" t="s">
        <v>12</v>
      </c>
      <c r="F722">
        <v>23434307</v>
      </c>
      <c r="G722">
        <v>23434359</v>
      </c>
      <c r="H722">
        <v>23434307</v>
      </c>
      <c r="I722">
        <v>23434359</v>
      </c>
    </row>
    <row r="723" spans="1:9" x14ac:dyDescent="0.2">
      <c r="A723" t="str">
        <f>"5031434C07Rik"</f>
        <v>5031434C07Rik</v>
      </c>
      <c r="B723" t="s">
        <v>2046</v>
      </c>
      <c r="C723" t="s">
        <v>32</v>
      </c>
      <c r="D723" t="s">
        <v>11</v>
      </c>
      <c r="E723" t="s">
        <v>20</v>
      </c>
      <c r="F723">
        <v>112288836</v>
      </c>
      <c r="G723">
        <v>112288836</v>
      </c>
      <c r="H723">
        <v>112288836</v>
      </c>
      <c r="I723">
        <v>112288836</v>
      </c>
    </row>
    <row r="724" spans="1:9" x14ac:dyDescent="0.2">
      <c r="A724" t="str">
        <f>"5031439G07Rik"</f>
        <v>5031439G07Rik</v>
      </c>
      <c r="B724" t="s">
        <v>9</v>
      </c>
      <c r="C724" t="s">
        <v>25</v>
      </c>
      <c r="D724" t="s">
        <v>11</v>
      </c>
      <c r="E724" t="s">
        <v>12</v>
      </c>
      <c r="F724">
        <v>84987958</v>
      </c>
      <c r="G724">
        <v>84988018</v>
      </c>
      <c r="H724">
        <v>84987958</v>
      </c>
      <c r="I724">
        <v>84988018</v>
      </c>
    </row>
    <row r="725" spans="1:9" x14ac:dyDescent="0.2">
      <c r="A725" t="str">
        <f>"5031439G07Rik"</f>
        <v>5031439G07Rik</v>
      </c>
      <c r="B725" t="s">
        <v>13</v>
      </c>
      <c r="C725" t="s">
        <v>25</v>
      </c>
      <c r="D725" t="s">
        <v>11</v>
      </c>
      <c r="E725" t="s">
        <v>12</v>
      </c>
      <c r="F725">
        <v>84960943</v>
      </c>
      <c r="G725">
        <v>84960971</v>
      </c>
      <c r="H725">
        <v>84960943</v>
      </c>
      <c r="I725">
        <v>84960971</v>
      </c>
    </row>
    <row r="726" spans="1:9" x14ac:dyDescent="0.2">
      <c r="A726" t="str">
        <f>"5033411D12Rik"</f>
        <v>5033411D12Rik</v>
      </c>
      <c r="B726" t="s">
        <v>14</v>
      </c>
      <c r="C726" t="s">
        <v>39</v>
      </c>
      <c r="D726" t="s">
        <v>11</v>
      </c>
      <c r="E726" t="s">
        <v>12</v>
      </c>
      <c r="F726">
        <v>17694729</v>
      </c>
      <c r="G726">
        <v>17694786</v>
      </c>
      <c r="H726">
        <v>17694729</v>
      </c>
      <c r="I726">
        <v>17694786</v>
      </c>
    </row>
    <row r="727" spans="1:9" x14ac:dyDescent="0.2">
      <c r="A727" t="str">
        <f>"5033430I15Rik"</f>
        <v>5033430I15Rik</v>
      </c>
      <c r="B727" t="s">
        <v>14</v>
      </c>
      <c r="C727" t="s">
        <v>39</v>
      </c>
      <c r="D727" t="s">
        <v>17</v>
      </c>
      <c r="E727" t="s">
        <v>12</v>
      </c>
      <c r="F727">
        <v>45965211</v>
      </c>
      <c r="G727">
        <v>45965231</v>
      </c>
      <c r="H727">
        <v>45965232</v>
      </c>
      <c r="I727">
        <v>45965284</v>
      </c>
    </row>
    <row r="728" spans="1:9" x14ac:dyDescent="0.2">
      <c r="A728" t="str">
        <f>"5330417C22Rik"</f>
        <v>5330417C22Rik</v>
      </c>
      <c r="B728" t="s">
        <v>14</v>
      </c>
      <c r="C728" t="s">
        <v>22</v>
      </c>
      <c r="D728" t="s">
        <v>11</v>
      </c>
      <c r="E728" t="s">
        <v>12</v>
      </c>
      <c r="F728">
        <v>108536466</v>
      </c>
      <c r="G728">
        <v>108536522</v>
      </c>
      <c r="H728">
        <v>108536610</v>
      </c>
      <c r="I728">
        <v>108536629</v>
      </c>
    </row>
    <row r="729" spans="1:9" x14ac:dyDescent="0.2">
      <c r="A729" t="str">
        <f>"5330417H12Rik"</f>
        <v>5330417H12Rik</v>
      </c>
      <c r="B729" t="s">
        <v>2047</v>
      </c>
      <c r="C729" t="s">
        <v>33</v>
      </c>
      <c r="D729" t="s">
        <v>11</v>
      </c>
      <c r="E729" t="s">
        <v>20</v>
      </c>
      <c r="F729">
        <v>107625160</v>
      </c>
      <c r="G729">
        <v>107625160</v>
      </c>
      <c r="H729">
        <v>107625160</v>
      </c>
      <c r="I729">
        <v>107625160</v>
      </c>
    </row>
    <row r="730" spans="1:9" x14ac:dyDescent="0.2">
      <c r="A730" t="str">
        <f>"5330426P16Rik"</f>
        <v>5330426P16Rik</v>
      </c>
      <c r="B730" t="s">
        <v>14</v>
      </c>
      <c r="C730" t="s">
        <v>31</v>
      </c>
      <c r="D730" t="s">
        <v>11</v>
      </c>
      <c r="E730" t="s">
        <v>12</v>
      </c>
      <c r="F730">
        <v>50732707</v>
      </c>
      <c r="G730">
        <v>50732775</v>
      </c>
      <c r="H730">
        <v>50732680</v>
      </c>
      <c r="I730">
        <v>50732701</v>
      </c>
    </row>
    <row r="731" spans="1:9" x14ac:dyDescent="0.2">
      <c r="A731" t="str">
        <f>"5330438I03Rik"</f>
        <v>5330438I03Rik</v>
      </c>
      <c r="B731" t="s">
        <v>2048</v>
      </c>
      <c r="C731" t="s">
        <v>19</v>
      </c>
      <c r="D731" t="s">
        <v>11</v>
      </c>
      <c r="E731" t="s">
        <v>20</v>
      </c>
      <c r="F731">
        <v>166309584</v>
      </c>
      <c r="G731">
        <v>166309584</v>
      </c>
      <c r="H731">
        <v>166309584</v>
      </c>
      <c r="I731">
        <v>166309584</v>
      </c>
    </row>
    <row r="732" spans="1:9" x14ac:dyDescent="0.2">
      <c r="A732" t="str">
        <f>"5430401F13Rik"</f>
        <v>5430401F13Rik</v>
      </c>
      <c r="B732" t="s">
        <v>2049</v>
      </c>
      <c r="C732" t="s">
        <v>32</v>
      </c>
      <c r="D732" t="s">
        <v>17</v>
      </c>
      <c r="E732" t="s">
        <v>20</v>
      </c>
      <c r="F732">
        <v>131486399</v>
      </c>
      <c r="G732">
        <v>131486399</v>
      </c>
      <c r="H732">
        <v>131486399</v>
      </c>
      <c r="I732">
        <v>131486399</v>
      </c>
    </row>
    <row r="733" spans="1:9" x14ac:dyDescent="0.2">
      <c r="A733" t="str">
        <f>"5430401F13Rik"</f>
        <v>5430401F13Rik</v>
      </c>
      <c r="B733" t="s">
        <v>2050</v>
      </c>
      <c r="C733" t="s">
        <v>32</v>
      </c>
      <c r="D733" t="s">
        <v>17</v>
      </c>
      <c r="E733" t="s">
        <v>20</v>
      </c>
      <c r="F733">
        <v>131543761</v>
      </c>
      <c r="G733">
        <v>131543761</v>
      </c>
      <c r="H733">
        <v>131543761</v>
      </c>
      <c r="I733">
        <v>131543761</v>
      </c>
    </row>
    <row r="734" spans="1:9" x14ac:dyDescent="0.2">
      <c r="A734" t="str">
        <f>"5430402E10Rik"</f>
        <v>5430402E10Rik</v>
      </c>
      <c r="B734" t="s">
        <v>2051</v>
      </c>
      <c r="C734" t="s">
        <v>37</v>
      </c>
      <c r="D734" t="s">
        <v>11</v>
      </c>
      <c r="E734" t="s">
        <v>20</v>
      </c>
      <c r="F734">
        <v>77925061</v>
      </c>
      <c r="G734">
        <v>77925061</v>
      </c>
      <c r="H734">
        <v>77925061</v>
      </c>
      <c r="I734">
        <v>77925061</v>
      </c>
    </row>
    <row r="735" spans="1:9" x14ac:dyDescent="0.2">
      <c r="A735" t="str">
        <f>"5430403G16Rik"</f>
        <v>5430403G16Rik</v>
      </c>
      <c r="B735" t="s">
        <v>14</v>
      </c>
      <c r="C735" t="s">
        <v>46</v>
      </c>
      <c r="D735" t="s">
        <v>11</v>
      </c>
      <c r="E735" t="s">
        <v>67</v>
      </c>
      <c r="F735">
        <v>109690819</v>
      </c>
      <c r="G735">
        <v>109690857</v>
      </c>
      <c r="H735">
        <v>109690819</v>
      </c>
      <c r="I735">
        <v>109690857</v>
      </c>
    </row>
    <row r="736" spans="1:9" x14ac:dyDescent="0.2">
      <c r="A736" t="str">
        <f>"5430419D17Rik"</f>
        <v>5430419D17Rik</v>
      </c>
      <c r="B736" t="s">
        <v>14</v>
      </c>
      <c r="C736" t="s">
        <v>33</v>
      </c>
      <c r="D736" t="s">
        <v>17</v>
      </c>
      <c r="E736" t="s">
        <v>12</v>
      </c>
      <c r="F736">
        <v>131174400</v>
      </c>
      <c r="G736">
        <v>131174403</v>
      </c>
      <c r="H736">
        <v>131174400</v>
      </c>
      <c r="I736">
        <v>131174403</v>
      </c>
    </row>
    <row r="737" spans="1:9" x14ac:dyDescent="0.2">
      <c r="A737" t="str">
        <f>"5430421N21Rik"</f>
        <v>5430421N21Rik</v>
      </c>
      <c r="B737" t="s">
        <v>9</v>
      </c>
      <c r="C737" t="s">
        <v>25</v>
      </c>
      <c r="D737" t="s">
        <v>11</v>
      </c>
      <c r="E737" t="s">
        <v>12</v>
      </c>
      <c r="F737">
        <v>101491509</v>
      </c>
      <c r="G737">
        <v>101491514</v>
      </c>
      <c r="H737">
        <v>101491509</v>
      </c>
      <c r="I737">
        <v>101491514</v>
      </c>
    </row>
    <row r="738" spans="1:9" x14ac:dyDescent="0.2">
      <c r="A738" t="str">
        <f>"5430421N21Rik"</f>
        <v>5430421N21Rik</v>
      </c>
      <c r="B738" t="s">
        <v>13</v>
      </c>
      <c r="C738" t="s">
        <v>25</v>
      </c>
      <c r="D738" t="s">
        <v>11</v>
      </c>
      <c r="E738" t="s">
        <v>12</v>
      </c>
      <c r="F738">
        <v>101488095</v>
      </c>
      <c r="G738">
        <v>101488112</v>
      </c>
      <c r="H738">
        <v>101488095</v>
      </c>
      <c r="I738">
        <v>101488112</v>
      </c>
    </row>
    <row r="739" spans="1:9" x14ac:dyDescent="0.2">
      <c r="A739" t="str">
        <f>"5430427O19Rik"</f>
        <v>5430427O19Rik</v>
      </c>
      <c r="B739" t="s">
        <v>14</v>
      </c>
      <c r="C739" t="s">
        <v>37</v>
      </c>
      <c r="D739" t="s">
        <v>17</v>
      </c>
      <c r="E739" t="s">
        <v>12</v>
      </c>
      <c r="F739">
        <v>85870266</v>
      </c>
      <c r="G739">
        <v>85870297</v>
      </c>
      <c r="H739">
        <v>85870221</v>
      </c>
      <c r="I739">
        <v>85870251</v>
      </c>
    </row>
    <row r="740" spans="1:9" x14ac:dyDescent="0.2">
      <c r="A740" t="str">
        <f>"5430435G22Rik"</f>
        <v>5430435G22Rik</v>
      </c>
      <c r="B740" t="s">
        <v>14</v>
      </c>
      <c r="C740" t="s">
        <v>19</v>
      </c>
      <c r="D740" t="s">
        <v>17</v>
      </c>
      <c r="E740" t="s">
        <v>12</v>
      </c>
      <c r="F740">
        <v>131688670</v>
      </c>
      <c r="G740">
        <v>131688734</v>
      </c>
      <c r="H740">
        <v>131688670</v>
      </c>
      <c r="I740">
        <v>131688734</v>
      </c>
    </row>
    <row r="741" spans="1:9" x14ac:dyDescent="0.2">
      <c r="A741" t="str">
        <f>"5530400C23Rik"</f>
        <v>5530400C23Rik</v>
      </c>
      <c r="B741" t="s">
        <v>2052</v>
      </c>
      <c r="C741" t="s">
        <v>32</v>
      </c>
      <c r="D741" t="s">
        <v>17</v>
      </c>
      <c r="E741" t="s">
        <v>20</v>
      </c>
      <c r="F741">
        <v>133292215</v>
      </c>
      <c r="G741">
        <v>133292215</v>
      </c>
      <c r="H741">
        <v>133292215</v>
      </c>
      <c r="I741">
        <v>133292215</v>
      </c>
    </row>
    <row r="742" spans="1:9" x14ac:dyDescent="0.2">
      <c r="A742" t="str">
        <f>"5530401A14Rik"</f>
        <v>5530401A14Rik</v>
      </c>
      <c r="B742" t="s">
        <v>2053</v>
      </c>
      <c r="C742" t="s">
        <v>27</v>
      </c>
      <c r="D742" t="s">
        <v>17</v>
      </c>
      <c r="E742" t="s">
        <v>20</v>
      </c>
      <c r="F742">
        <v>81860678</v>
      </c>
      <c r="G742">
        <v>81860678</v>
      </c>
      <c r="H742">
        <v>81860678</v>
      </c>
      <c r="I742">
        <v>81860678</v>
      </c>
    </row>
    <row r="743" spans="1:9" x14ac:dyDescent="0.2">
      <c r="A743" t="str">
        <f>"5730409E04Rik"</f>
        <v>5730409E04Rik</v>
      </c>
      <c r="B743" t="s">
        <v>14</v>
      </c>
      <c r="C743" t="s">
        <v>23</v>
      </c>
      <c r="D743" t="s">
        <v>17</v>
      </c>
      <c r="E743" t="s">
        <v>12</v>
      </c>
      <c r="F743">
        <v>126609819</v>
      </c>
      <c r="G743">
        <v>126609896</v>
      </c>
      <c r="H743">
        <v>126609899</v>
      </c>
      <c r="I743">
        <v>126609911</v>
      </c>
    </row>
    <row r="744" spans="1:9" x14ac:dyDescent="0.2">
      <c r="A744" t="str">
        <f>"5730455P16Rik"</f>
        <v>5730455P16Rik</v>
      </c>
      <c r="B744" t="s">
        <v>14</v>
      </c>
      <c r="C744" t="s">
        <v>27</v>
      </c>
      <c r="D744" t="s">
        <v>11</v>
      </c>
      <c r="E744" t="s">
        <v>12</v>
      </c>
      <c r="F744">
        <v>80377975</v>
      </c>
      <c r="G744">
        <v>80378025</v>
      </c>
      <c r="H744">
        <v>80377961</v>
      </c>
      <c r="I744">
        <v>80377974</v>
      </c>
    </row>
    <row r="745" spans="1:9" x14ac:dyDescent="0.2">
      <c r="A745" t="str">
        <f>"5730460C07Rik"</f>
        <v>5730460C07Rik</v>
      </c>
      <c r="B745" t="s">
        <v>2054</v>
      </c>
      <c r="C745" t="s">
        <v>22</v>
      </c>
      <c r="D745" t="s">
        <v>11</v>
      </c>
      <c r="E745" t="s">
        <v>20</v>
      </c>
      <c r="F745">
        <v>153792086</v>
      </c>
      <c r="G745">
        <v>153792086</v>
      </c>
      <c r="H745">
        <v>153792086</v>
      </c>
      <c r="I745">
        <v>153792086</v>
      </c>
    </row>
    <row r="746" spans="1:9" x14ac:dyDescent="0.2">
      <c r="A746" t="str">
        <f>"5730507C01Rik"</f>
        <v>5730507C01Rik</v>
      </c>
      <c r="B746" t="s">
        <v>14</v>
      </c>
      <c r="C746" t="s">
        <v>16</v>
      </c>
      <c r="D746" t="s">
        <v>17</v>
      </c>
      <c r="E746" t="s">
        <v>12</v>
      </c>
      <c r="F746">
        <v>18514462</v>
      </c>
      <c r="G746">
        <v>18514487</v>
      </c>
      <c r="H746">
        <v>18514435</v>
      </c>
      <c r="I746">
        <v>18514439</v>
      </c>
    </row>
    <row r="747" spans="1:9" x14ac:dyDescent="0.2">
      <c r="A747" t="str">
        <f>"5730508B09Rik"</f>
        <v>5730508B09Rik</v>
      </c>
      <c r="B747" t="s">
        <v>14</v>
      </c>
      <c r="C747" t="s">
        <v>22</v>
      </c>
      <c r="D747" t="s">
        <v>11</v>
      </c>
      <c r="E747" t="s">
        <v>12</v>
      </c>
      <c r="F747">
        <v>127896271</v>
      </c>
      <c r="G747">
        <v>127896337</v>
      </c>
      <c r="H747">
        <v>127896247</v>
      </c>
      <c r="I747">
        <v>127896270</v>
      </c>
    </row>
    <row r="748" spans="1:9" x14ac:dyDescent="0.2">
      <c r="A748" t="str">
        <f>"5730522E02Rik"</f>
        <v>5730522E02Rik</v>
      </c>
      <c r="B748" t="s">
        <v>14</v>
      </c>
      <c r="C748" t="s">
        <v>27</v>
      </c>
      <c r="D748" t="s">
        <v>11</v>
      </c>
      <c r="E748" t="s">
        <v>12</v>
      </c>
      <c r="F748">
        <v>26210553</v>
      </c>
      <c r="G748">
        <v>26210585</v>
      </c>
      <c r="H748">
        <v>26210637</v>
      </c>
      <c r="I748">
        <v>26210650</v>
      </c>
    </row>
    <row r="749" spans="1:9" x14ac:dyDescent="0.2">
      <c r="A749" t="str">
        <f>"5730559C18Rik"</f>
        <v>5730559C18Rik</v>
      </c>
      <c r="B749" t="s">
        <v>9</v>
      </c>
      <c r="C749" t="s">
        <v>19</v>
      </c>
      <c r="D749" t="s">
        <v>11</v>
      </c>
      <c r="E749" t="s">
        <v>12</v>
      </c>
      <c r="F749">
        <v>136230307</v>
      </c>
      <c r="G749">
        <v>136230332</v>
      </c>
      <c r="H749">
        <v>136230307</v>
      </c>
      <c r="I749">
        <v>136230332</v>
      </c>
    </row>
    <row r="750" spans="1:9" x14ac:dyDescent="0.2">
      <c r="A750" t="str">
        <f>"5730559C18Rik"</f>
        <v>5730559C18Rik</v>
      </c>
      <c r="B750" t="s">
        <v>13</v>
      </c>
      <c r="C750" t="s">
        <v>19</v>
      </c>
      <c r="D750" t="s">
        <v>11</v>
      </c>
      <c r="E750" t="s">
        <v>12</v>
      </c>
      <c r="F750">
        <v>136234053</v>
      </c>
      <c r="G750">
        <v>136234080</v>
      </c>
      <c r="H750">
        <v>136234053</v>
      </c>
      <c r="I750">
        <v>136234080</v>
      </c>
    </row>
    <row r="751" spans="1:9" x14ac:dyDescent="0.2">
      <c r="A751" t="str">
        <f>"5730596B20Rik"</f>
        <v>5730596B20Rik</v>
      </c>
      <c r="B751" t="s">
        <v>14</v>
      </c>
      <c r="C751" t="s">
        <v>32</v>
      </c>
      <c r="D751" t="s">
        <v>17</v>
      </c>
      <c r="E751" t="s">
        <v>67</v>
      </c>
      <c r="F751">
        <v>52177152</v>
      </c>
      <c r="G751">
        <v>52177156</v>
      </c>
      <c r="H751">
        <v>52177342</v>
      </c>
      <c r="I751">
        <v>52177385</v>
      </c>
    </row>
    <row r="752" spans="1:9" x14ac:dyDescent="0.2">
      <c r="A752" t="str">
        <f>"5830403L16Rik"</f>
        <v>5830403L16Rik</v>
      </c>
      <c r="B752" t="s">
        <v>14</v>
      </c>
      <c r="C752" t="s">
        <v>19</v>
      </c>
      <c r="D752" t="s">
        <v>11</v>
      </c>
      <c r="E752" t="s">
        <v>12</v>
      </c>
      <c r="F752">
        <v>153851189</v>
      </c>
      <c r="G752">
        <v>153851198</v>
      </c>
      <c r="H752">
        <v>153851189</v>
      </c>
      <c r="I752">
        <v>153851198</v>
      </c>
    </row>
    <row r="753" spans="1:9" x14ac:dyDescent="0.2">
      <c r="A753" t="str">
        <f>"5830411N06Rik"</f>
        <v>5830411N06Rik</v>
      </c>
      <c r="B753" t="s">
        <v>14</v>
      </c>
      <c r="C753" t="s">
        <v>33</v>
      </c>
      <c r="D753" t="s">
        <v>17</v>
      </c>
      <c r="E753" t="s">
        <v>12</v>
      </c>
      <c r="F753">
        <v>140247267</v>
      </c>
      <c r="G753">
        <v>140247314</v>
      </c>
      <c r="H753">
        <v>140247267</v>
      </c>
      <c r="I753">
        <v>140247314</v>
      </c>
    </row>
    <row r="754" spans="1:9" x14ac:dyDescent="0.2">
      <c r="A754" t="str">
        <f>"5830415F09Rik"</f>
        <v>5830415F09Rik</v>
      </c>
      <c r="B754" t="s">
        <v>14</v>
      </c>
      <c r="C754" t="s">
        <v>23</v>
      </c>
      <c r="D754" t="s">
        <v>11</v>
      </c>
      <c r="E754" t="s">
        <v>12</v>
      </c>
      <c r="F754">
        <v>46389391</v>
      </c>
      <c r="G754">
        <v>46389456</v>
      </c>
      <c r="H754">
        <v>46389370</v>
      </c>
      <c r="I754">
        <v>46389377</v>
      </c>
    </row>
    <row r="755" spans="1:9" x14ac:dyDescent="0.2">
      <c r="A755" t="str">
        <f>"5830418K08Rik"</f>
        <v>5830418K08Rik</v>
      </c>
      <c r="B755" t="s">
        <v>14</v>
      </c>
      <c r="C755" t="s">
        <v>24</v>
      </c>
      <c r="D755" t="s">
        <v>11</v>
      </c>
      <c r="E755" t="s">
        <v>12</v>
      </c>
      <c r="F755">
        <v>15357692</v>
      </c>
      <c r="G755">
        <v>15357759</v>
      </c>
      <c r="H755">
        <v>15357663</v>
      </c>
      <c r="I755">
        <v>15357674</v>
      </c>
    </row>
    <row r="756" spans="1:9" x14ac:dyDescent="0.2">
      <c r="A756" t="str">
        <f>"5830454E08Rik"</f>
        <v>5830454E08Rik</v>
      </c>
      <c r="B756" t="s">
        <v>14</v>
      </c>
      <c r="C756" t="s">
        <v>24</v>
      </c>
      <c r="D756" t="s">
        <v>17</v>
      </c>
      <c r="E756" t="s">
        <v>67</v>
      </c>
      <c r="F756">
        <v>120577346</v>
      </c>
      <c r="G756">
        <v>120577374</v>
      </c>
      <c r="H756">
        <v>120577346</v>
      </c>
      <c r="I756">
        <v>120577374</v>
      </c>
    </row>
    <row r="757" spans="1:9" x14ac:dyDescent="0.2">
      <c r="A757" t="str">
        <f>"5830462I19Rik"</f>
        <v>5830462I19Rik</v>
      </c>
      <c r="B757" t="s">
        <v>2055</v>
      </c>
      <c r="C757" t="s">
        <v>24</v>
      </c>
      <c r="D757" t="s">
        <v>11</v>
      </c>
      <c r="E757" t="s">
        <v>20</v>
      </c>
      <c r="F757">
        <v>110375429</v>
      </c>
      <c r="G757">
        <v>110375429</v>
      </c>
      <c r="H757">
        <v>110375429</v>
      </c>
      <c r="I757">
        <v>110375429</v>
      </c>
    </row>
    <row r="758" spans="1:9" x14ac:dyDescent="0.2">
      <c r="A758" t="str">
        <f>"5830472F04Rik"</f>
        <v>5830472F04Rik</v>
      </c>
      <c r="B758" t="s">
        <v>2056</v>
      </c>
      <c r="C758" t="s">
        <v>19</v>
      </c>
      <c r="D758" t="s">
        <v>17</v>
      </c>
      <c r="E758" t="s">
        <v>20</v>
      </c>
      <c r="F758">
        <v>87796466</v>
      </c>
      <c r="G758">
        <v>87796466</v>
      </c>
      <c r="H758">
        <v>87796466</v>
      </c>
      <c r="I758">
        <v>87796466</v>
      </c>
    </row>
    <row r="759" spans="1:9" x14ac:dyDescent="0.2">
      <c r="A759" t="str">
        <f>"5830473C10Rik"</f>
        <v>5830473C10Rik</v>
      </c>
      <c r="B759" t="s">
        <v>14</v>
      </c>
      <c r="C759" t="s">
        <v>46</v>
      </c>
      <c r="D759" t="s">
        <v>17</v>
      </c>
      <c r="E759" t="s">
        <v>12</v>
      </c>
      <c r="F759">
        <v>90561064</v>
      </c>
      <c r="G759">
        <v>90561078</v>
      </c>
      <c r="H759">
        <v>90561064</v>
      </c>
      <c r="I759">
        <v>90561078</v>
      </c>
    </row>
    <row r="760" spans="1:9" x14ac:dyDescent="0.2">
      <c r="A760" t="str">
        <f>"5930403N24Rik"</f>
        <v>5930403N24Rik</v>
      </c>
      <c r="B760" t="s">
        <v>14</v>
      </c>
      <c r="C760" t="s">
        <v>15</v>
      </c>
      <c r="D760" t="s">
        <v>17</v>
      </c>
      <c r="E760" t="s">
        <v>67</v>
      </c>
      <c r="F760">
        <v>37139530</v>
      </c>
      <c r="G760">
        <v>37139536</v>
      </c>
      <c r="H760">
        <v>37139336</v>
      </c>
      <c r="I760">
        <v>37139347</v>
      </c>
    </row>
    <row r="761" spans="1:9" x14ac:dyDescent="0.2">
      <c r="A761" t="str">
        <f>"5930422O12Rik"</f>
        <v>5930422O12Rik</v>
      </c>
      <c r="B761" t="s">
        <v>2057</v>
      </c>
      <c r="C761" t="s">
        <v>30</v>
      </c>
      <c r="D761" t="s">
        <v>17</v>
      </c>
      <c r="E761" t="s">
        <v>20</v>
      </c>
      <c r="F761">
        <v>33428708</v>
      </c>
      <c r="G761">
        <v>33428708</v>
      </c>
      <c r="H761">
        <v>33428708</v>
      </c>
      <c r="I761">
        <v>33428708</v>
      </c>
    </row>
    <row r="762" spans="1:9" x14ac:dyDescent="0.2">
      <c r="A762" t="str">
        <f>"6030408B16Rik"</f>
        <v>6030408B16Rik</v>
      </c>
      <c r="B762" t="s">
        <v>14</v>
      </c>
      <c r="C762" t="s">
        <v>25</v>
      </c>
      <c r="D762" t="s">
        <v>17</v>
      </c>
      <c r="E762" t="s">
        <v>12</v>
      </c>
      <c r="F762">
        <v>101293218</v>
      </c>
      <c r="G762">
        <v>101293237</v>
      </c>
      <c r="H762">
        <v>101293196</v>
      </c>
      <c r="I762">
        <v>101293209</v>
      </c>
    </row>
    <row r="763" spans="1:9" x14ac:dyDescent="0.2">
      <c r="A763" t="str">
        <f>"6030419C18Rik"</f>
        <v>6030419C18Rik</v>
      </c>
      <c r="B763" t="s">
        <v>14</v>
      </c>
      <c r="C763" t="s">
        <v>24</v>
      </c>
      <c r="D763" t="s">
        <v>17</v>
      </c>
      <c r="E763" t="s">
        <v>12</v>
      </c>
      <c r="F763">
        <v>58488083</v>
      </c>
      <c r="G763">
        <v>58488110</v>
      </c>
      <c r="H763">
        <v>58488083</v>
      </c>
      <c r="I763">
        <v>58488110</v>
      </c>
    </row>
    <row r="764" spans="1:9" x14ac:dyDescent="0.2">
      <c r="A764" t="str">
        <f>"6030445D17Rik"</f>
        <v>6030445D17Rik</v>
      </c>
      <c r="B764" t="s">
        <v>14</v>
      </c>
      <c r="C764" t="s">
        <v>23</v>
      </c>
      <c r="D764" t="s">
        <v>17</v>
      </c>
      <c r="E764" t="s">
        <v>67</v>
      </c>
      <c r="F764">
        <v>136462262</v>
      </c>
      <c r="G764">
        <v>136462283</v>
      </c>
      <c r="H764">
        <v>136462114</v>
      </c>
      <c r="I764">
        <v>136462120</v>
      </c>
    </row>
    <row r="765" spans="1:9" x14ac:dyDescent="0.2">
      <c r="A765" t="str">
        <f>"6030452D12Rik"</f>
        <v>6030452D12Rik</v>
      </c>
      <c r="B765" t="s">
        <v>2058</v>
      </c>
      <c r="C765" t="s">
        <v>30</v>
      </c>
      <c r="D765" t="s">
        <v>17</v>
      </c>
      <c r="E765" t="s">
        <v>20</v>
      </c>
      <c r="F765">
        <v>106500521</v>
      </c>
      <c r="G765">
        <v>106500521</v>
      </c>
      <c r="H765">
        <v>106500521</v>
      </c>
      <c r="I765">
        <v>106500521</v>
      </c>
    </row>
    <row r="766" spans="1:9" x14ac:dyDescent="0.2">
      <c r="A766" t="str">
        <f>"6030458C11Rik"</f>
        <v>6030458C11Rik</v>
      </c>
      <c r="B766" t="s">
        <v>14</v>
      </c>
      <c r="C766" t="s">
        <v>25</v>
      </c>
      <c r="D766" t="s">
        <v>11</v>
      </c>
      <c r="E766" t="s">
        <v>12</v>
      </c>
      <c r="F766">
        <v>12824605</v>
      </c>
      <c r="G766">
        <v>12824654</v>
      </c>
      <c r="H766">
        <v>12824584</v>
      </c>
      <c r="I766">
        <v>12824604</v>
      </c>
    </row>
    <row r="767" spans="1:9" x14ac:dyDescent="0.2">
      <c r="A767" t="str">
        <f>"6030468B19Rik"</f>
        <v>6030468B19Rik</v>
      </c>
      <c r="B767" t="s">
        <v>14</v>
      </c>
      <c r="C767" t="s">
        <v>27</v>
      </c>
      <c r="D767" t="s">
        <v>17</v>
      </c>
      <c r="E767" t="s">
        <v>12</v>
      </c>
      <c r="F767">
        <v>117797726</v>
      </c>
      <c r="G767">
        <v>117797748</v>
      </c>
      <c r="H767">
        <v>117797707</v>
      </c>
      <c r="I767">
        <v>117797723</v>
      </c>
    </row>
    <row r="768" spans="1:9" x14ac:dyDescent="0.2">
      <c r="A768" t="str">
        <f>"6030469F06Rik"</f>
        <v>6030469F06Rik</v>
      </c>
      <c r="B768" t="s">
        <v>2059</v>
      </c>
      <c r="C768" t="s">
        <v>16</v>
      </c>
      <c r="D768" t="s">
        <v>17</v>
      </c>
      <c r="E768" t="s">
        <v>20</v>
      </c>
      <c r="F768">
        <v>31184622</v>
      </c>
      <c r="G768">
        <v>31184622</v>
      </c>
      <c r="H768">
        <v>31184622</v>
      </c>
      <c r="I768">
        <v>31184622</v>
      </c>
    </row>
    <row r="769" spans="1:9" x14ac:dyDescent="0.2">
      <c r="A769" t="str">
        <f>"6030498E09Rik"</f>
        <v>6030498E09Rik</v>
      </c>
      <c r="B769" t="s">
        <v>14</v>
      </c>
      <c r="C769" t="s">
        <v>37</v>
      </c>
      <c r="D769" t="s">
        <v>17</v>
      </c>
      <c r="E769" t="s">
        <v>12</v>
      </c>
      <c r="F769">
        <v>38772724</v>
      </c>
      <c r="G769">
        <v>38772741</v>
      </c>
      <c r="H769">
        <v>38772756</v>
      </c>
      <c r="I769">
        <v>38772762</v>
      </c>
    </row>
    <row r="770" spans="1:9" x14ac:dyDescent="0.2">
      <c r="A770" t="str">
        <f>"6330403A02Rik"</f>
        <v>6330403A02Rik</v>
      </c>
      <c r="B770" t="s">
        <v>14</v>
      </c>
      <c r="C770" t="s">
        <v>19</v>
      </c>
      <c r="D770" t="s">
        <v>11</v>
      </c>
      <c r="E770" t="s">
        <v>12</v>
      </c>
      <c r="F770">
        <v>180483410</v>
      </c>
      <c r="G770">
        <v>180483485</v>
      </c>
      <c r="H770">
        <v>180483719</v>
      </c>
      <c r="I770">
        <v>180483730</v>
      </c>
    </row>
    <row r="771" spans="1:9" x14ac:dyDescent="0.2">
      <c r="A771" t="str">
        <f>"6330403L08Rik"</f>
        <v>6330403L08Rik</v>
      </c>
      <c r="B771" t="s">
        <v>14</v>
      </c>
      <c r="C771" t="s">
        <v>46</v>
      </c>
      <c r="D771" t="s">
        <v>17</v>
      </c>
      <c r="E771" t="s">
        <v>67</v>
      </c>
      <c r="F771">
        <v>138995038</v>
      </c>
      <c r="G771">
        <v>138995066</v>
      </c>
      <c r="H771">
        <v>138995038</v>
      </c>
      <c r="I771">
        <v>138995066</v>
      </c>
    </row>
    <row r="772" spans="1:9" x14ac:dyDescent="0.2">
      <c r="A772" t="str">
        <f>"6330408A02Rik"</f>
        <v>6330408A02Rik</v>
      </c>
      <c r="B772" t="s">
        <v>14</v>
      </c>
      <c r="C772" t="s">
        <v>33</v>
      </c>
      <c r="D772" t="s">
        <v>11</v>
      </c>
      <c r="E772" t="s">
        <v>12</v>
      </c>
      <c r="F772">
        <v>13278661</v>
      </c>
      <c r="G772">
        <v>13278708</v>
      </c>
      <c r="H772">
        <v>13278420</v>
      </c>
      <c r="I772">
        <v>13278449</v>
      </c>
    </row>
    <row r="773" spans="1:9" x14ac:dyDescent="0.2">
      <c r="A773" t="str">
        <f>"6330409D20Rik"</f>
        <v>6330409D20Rik</v>
      </c>
      <c r="B773" t="s">
        <v>14</v>
      </c>
      <c r="C773" t="s">
        <v>26</v>
      </c>
      <c r="D773" t="s">
        <v>11</v>
      </c>
      <c r="E773" t="s">
        <v>12</v>
      </c>
      <c r="F773">
        <v>32741329</v>
      </c>
      <c r="G773">
        <v>32741372</v>
      </c>
      <c r="H773">
        <v>32741329</v>
      </c>
      <c r="I773">
        <v>32741372</v>
      </c>
    </row>
    <row r="774" spans="1:9" x14ac:dyDescent="0.2">
      <c r="A774" t="str">
        <f>"6330416G13Rik"</f>
        <v>6330416G13Rik</v>
      </c>
      <c r="B774" t="s">
        <v>14</v>
      </c>
      <c r="C774" t="s">
        <v>23</v>
      </c>
      <c r="D774" t="s">
        <v>17</v>
      </c>
      <c r="E774" t="s">
        <v>12</v>
      </c>
      <c r="F774">
        <v>63558748</v>
      </c>
      <c r="G774">
        <v>63558859</v>
      </c>
      <c r="H774">
        <v>63558545</v>
      </c>
      <c r="I774">
        <v>63558594</v>
      </c>
    </row>
    <row r="775" spans="1:9" x14ac:dyDescent="0.2">
      <c r="A775" t="str">
        <f>"6330419J24Rik"</f>
        <v>6330419J24Rik</v>
      </c>
      <c r="B775" t="s">
        <v>14</v>
      </c>
      <c r="C775" t="s">
        <v>37</v>
      </c>
      <c r="D775" t="s">
        <v>17</v>
      </c>
      <c r="E775" t="s">
        <v>67</v>
      </c>
      <c r="F775">
        <v>56374624</v>
      </c>
      <c r="G775">
        <v>56374627</v>
      </c>
      <c r="H775">
        <v>56374516</v>
      </c>
      <c r="I775">
        <v>56374547</v>
      </c>
    </row>
    <row r="776" spans="1:9" x14ac:dyDescent="0.2">
      <c r="A776" t="str">
        <f>"6330444E15Rik"</f>
        <v>6330444E15Rik</v>
      </c>
      <c r="B776" t="s">
        <v>2060</v>
      </c>
      <c r="C776" t="s">
        <v>33</v>
      </c>
      <c r="D776" t="s">
        <v>17</v>
      </c>
      <c r="E776" t="s">
        <v>20</v>
      </c>
      <c r="F776">
        <v>29578874</v>
      </c>
      <c r="G776">
        <v>29578874</v>
      </c>
      <c r="H776">
        <v>29578874</v>
      </c>
      <c r="I776">
        <v>29578874</v>
      </c>
    </row>
    <row r="777" spans="1:9" x14ac:dyDescent="0.2">
      <c r="A777" t="str">
        <f>"6430503K07Rik"</f>
        <v>6430503K07Rik</v>
      </c>
      <c r="B777" t="s">
        <v>14</v>
      </c>
      <c r="C777" t="s">
        <v>26</v>
      </c>
      <c r="D777" t="s">
        <v>17</v>
      </c>
      <c r="E777" t="s">
        <v>67</v>
      </c>
      <c r="F777">
        <v>147187403</v>
      </c>
      <c r="G777">
        <v>147187435</v>
      </c>
      <c r="H777">
        <v>147187403</v>
      </c>
      <c r="I777">
        <v>147187435</v>
      </c>
    </row>
    <row r="778" spans="1:9" x14ac:dyDescent="0.2">
      <c r="A778" t="str">
        <f>"6430531B16Rik"</f>
        <v>6430531B16Rik</v>
      </c>
      <c r="B778" t="s">
        <v>14</v>
      </c>
      <c r="C778" t="s">
        <v>33</v>
      </c>
      <c r="D778" t="s">
        <v>11</v>
      </c>
      <c r="E778" t="s">
        <v>12</v>
      </c>
      <c r="F778">
        <v>139978709</v>
      </c>
      <c r="G778">
        <v>139978747</v>
      </c>
      <c r="H778">
        <v>139978748</v>
      </c>
      <c r="I778">
        <v>139978768</v>
      </c>
    </row>
    <row r="779" spans="1:9" x14ac:dyDescent="0.2">
      <c r="A779" t="str">
        <f>"6430548M08Rik"</f>
        <v>6430548M08Rik</v>
      </c>
      <c r="B779" t="s">
        <v>14</v>
      </c>
      <c r="C779" t="s">
        <v>30</v>
      </c>
      <c r="D779" t="s">
        <v>17</v>
      </c>
      <c r="E779" t="s">
        <v>12</v>
      </c>
      <c r="F779">
        <v>120114144</v>
      </c>
      <c r="G779">
        <v>120114176</v>
      </c>
      <c r="H779">
        <v>120114127</v>
      </c>
      <c r="I779">
        <v>120114135</v>
      </c>
    </row>
    <row r="780" spans="1:9" x14ac:dyDescent="0.2">
      <c r="A780" t="str">
        <f>"6430550D23Rik"</f>
        <v>6430550D23Rik</v>
      </c>
      <c r="B780" t="s">
        <v>14</v>
      </c>
      <c r="C780" t="s">
        <v>26</v>
      </c>
      <c r="D780" t="s">
        <v>11</v>
      </c>
      <c r="E780" t="s">
        <v>12</v>
      </c>
      <c r="F780">
        <v>156007905</v>
      </c>
      <c r="G780">
        <v>156007923</v>
      </c>
      <c r="H780">
        <v>156007905</v>
      </c>
      <c r="I780">
        <v>156007923</v>
      </c>
    </row>
    <row r="781" spans="1:9" x14ac:dyDescent="0.2">
      <c r="A781" t="str">
        <f>"6430571L13Rik"</f>
        <v>6430571L13Rik</v>
      </c>
      <c r="B781" t="s">
        <v>14</v>
      </c>
      <c r="C781" t="s">
        <v>24</v>
      </c>
      <c r="D781" t="s">
        <v>17</v>
      </c>
      <c r="E781" t="s">
        <v>12</v>
      </c>
      <c r="F781">
        <v>107340593</v>
      </c>
      <c r="G781">
        <v>107340648</v>
      </c>
      <c r="H781">
        <v>107340558</v>
      </c>
      <c r="I781">
        <v>107340569</v>
      </c>
    </row>
    <row r="782" spans="1:9" x14ac:dyDescent="0.2">
      <c r="A782" t="str">
        <f>"6430573F11Rik"</f>
        <v>6430573F11Rik</v>
      </c>
      <c r="B782" t="s">
        <v>14</v>
      </c>
      <c r="C782" t="s">
        <v>30</v>
      </c>
      <c r="D782" t="s">
        <v>17</v>
      </c>
      <c r="E782" t="s">
        <v>12</v>
      </c>
      <c r="F782">
        <v>36458110</v>
      </c>
      <c r="G782">
        <v>36458159</v>
      </c>
      <c r="H782">
        <v>36458161</v>
      </c>
      <c r="I782">
        <v>36458206</v>
      </c>
    </row>
    <row r="783" spans="1:9" x14ac:dyDescent="0.2">
      <c r="A783" t="str">
        <f>"6530403G13Rik"</f>
        <v>6530403G13Rik</v>
      </c>
      <c r="B783" t="s">
        <v>14</v>
      </c>
      <c r="C783" t="s">
        <v>15</v>
      </c>
      <c r="D783" t="s">
        <v>11</v>
      </c>
      <c r="E783" t="s">
        <v>67</v>
      </c>
      <c r="F783">
        <v>7792837</v>
      </c>
      <c r="G783">
        <v>7792856</v>
      </c>
      <c r="H783">
        <v>7792795</v>
      </c>
      <c r="I783">
        <v>7792833</v>
      </c>
    </row>
    <row r="784" spans="1:9" x14ac:dyDescent="0.2">
      <c r="A784" t="str">
        <f>"6530409C15Rik"</f>
        <v>6530409C15Rik</v>
      </c>
      <c r="B784" t="s">
        <v>14</v>
      </c>
      <c r="C784" t="s">
        <v>32</v>
      </c>
      <c r="D784" t="s">
        <v>17</v>
      </c>
      <c r="E784" t="s">
        <v>12</v>
      </c>
      <c r="F784">
        <v>28215570</v>
      </c>
      <c r="G784">
        <v>28215585</v>
      </c>
      <c r="H784">
        <v>28215543</v>
      </c>
      <c r="I784">
        <v>28215552</v>
      </c>
    </row>
    <row r="785" spans="1:9" x14ac:dyDescent="0.2">
      <c r="A785" t="str">
        <f>"6720489N17Rik"</f>
        <v>6720489N17Rik</v>
      </c>
      <c r="B785" t="s">
        <v>14</v>
      </c>
      <c r="C785" t="s">
        <v>39</v>
      </c>
      <c r="D785" t="s">
        <v>11</v>
      </c>
      <c r="E785" t="s">
        <v>12</v>
      </c>
      <c r="F785">
        <v>62624135</v>
      </c>
      <c r="G785">
        <v>62624182</v>
      </c>
      <c r="H785">
        <v>62624135</v>
      </c>
      <c r="I785">
        <v>62624182</v>
      </c>
    </row>
    <row r="786" spans="1:9" x14ac:dyDescent="0.2">
      <c r="A786" t="str">
        <f>"6820408C15Rik"</f>
        <v>6820408C15Rik</v>
      </c>
      <c r="B786" t="s">
        <v>14</v>
      </c>
      <c r="C786" t="s">
        <v>26</v>
      </c>
      <c r="D786" t="s">
        <v>17</v>
      </c>
      <c r="E786" t="s">
        <v>12</v>
      </c>
      <c r="F786">
        <v>152427639</v>
      </c>
      <c r="G786">
        <v>152427699</v>
      </c>
      <c r="H786">
        <v>152427612</v>
      </c>
      <c r="I786">
        <v>152427638</v>
      </c>
    </row>
    <row r="787" spans="1:9" x14ac:dyDescent="0.2">
      <c r="A787" t="str">
        <f>"7420426K07Rik"</f>
        <v>7420426K07Rik</v>
      </c>
      <c r="B787" t="s">
        <v>14</v>
      </c>
      <c r="C787" t="s">
        <v>24</v>
      </c>
      <c r="D787" t="s">
        <v>17</v>
      </c>
      <c r="E787" t="s">
        <v>12</v>
      </c>
      <c r="F787">
        <v>98903118</v>
      </c>
      <c r="G787">
        <v>98903119</v>
      </c>
      <c r="H787">
        <v>98903118</v>
      </c>
      <c r="I787">
        <v>98903119</v>
      </c>
    </row>
    <row r="788" spans="1:9" x14ac:dyDescent="0.2">
      <c r="A788" t="str">
        <f>"7420461P10Rik"</f>
        <v>7420461P10Rik</v>
      </c>
      <c r="B788" t="s">
        <v>14</v>
      </c>
      <c r="C788" t="s">
        <v>19</v>
      </c>
      <c r="D788" t="s">
        <v>11</v>
      </c>
      <c r="E788" t="s">
        <v>12</v>
      </c>
      <c r="F788">
        <v>162658175</v>
      </c>
      <c r="G788">
        <v>162658177</v>
      </c>
      <c r="H788">
        <v>162658175</v>
      </c>
      <c r="I788">
        <v>162658177</v>
      </c>
    </row>
    <row r="789" spans="1:9" x14ac:dyDescent="0.2">
      <c r="A789" t="str">
        <f>"7530416G11Rik"</f>
        <v>7530416G11Rik</v>
      </c>
      <c r="B789" t="s">
        <v>2061</v>
      </c>
      <c r="C789" t="s">
        <v>25</v>
      </c>
      <c r="D789" t="s">
        <v>11</v>
      </c>
      <c r="E789" t="s">
        <v>20</v>
      </c>
      <c r="F789">
        <v>85503226</v>
      </c>
      <c r="G789">
        <v>85503226</v>
      </c>
      <c r="H789">
        <v>85503226</v>
      </c>
      <c r="I789">
        <v>85503226</v>
      </c>
    </row>
    <row r="790" spans="1:9" x14ac:dyDescent="0.2">
      <c r="A790" t="str">
        <f>"8030411F24Rik"</f>
        <v>8030411F24Rik</v>
      </c>
      <c r="B790" t="s">
        <v>14</v>
      </c>
      <c r="C790" t="s">
        <v>26</v>
      </c>
      <c r="D790" t="s">
        <v>17</v>
      </c>
      <c r="E790" t="s">
        <v>12</v>
      </c>
      <c r="F790">
        <v>148782050</v>
      </c>
      <c r="G790">
        <v>148782072</v>
      </c>
      <c r="H790">
        <v>148782086</v>
      </c>
      <c r="I790">
        <v>148782108</v>
      </c>
    </row>
    <row r="791" spans="1:9" x14ac:dyDescent="0.2">
      <c r="A791" t="str">
        <f>"8030423J24Rik"</f>
        <v>8030423J24Rik</v>
      </c>
      <c r="B791" t="s">
        <v>2062</v>
      </c>
      <c r="C791" t="s">
        <v>39</v>
      </c>
      <c r="D791" t="s">
        <v>17</v>
      </c>
      <c r="E791" t="s">
        <v>20</v>
      </c>
      <c r="F791">
        <v>70882947</v>
      </c>
      <c r="G791">
        <v>70882947</v>
      </c>
      <c r="H791">
        <v>70882947</v>
      </c>
      <c r="I791">
        <v>70882947</v>
      </c>
    </row>
    <row r="792" spans="1:9" x14ac:dyDescent="0.2">
      <c r="A792" t="str">
        <f>"8030462N17Rik"</f>
        <v>8030462N17Rik</v>
      </c>
      <c r="B792" t="s">
        <v>14</v>
      </c>
      <c r="C792" t="s">
        <v>43</v>
      </c>
      <c r="D792" t="s">
        <v>11</v>
      </c>
      <c r="E792" t="s">
        <v>12</v>
      </c>
      <c r="F792">
        <v>77713916</v>
      </c>
      <c r="G792">
        <v>77713973</v>
      </c>
      <c r="H792">
        <v>77713978</v>
      </c>
      <c r="I792">
        <v>77714002</v>
      </c>
    </row>
    <row r="793" spans="1:9" x14ac:dyDescent="0.2">
      <c r="A793" t="str">
        <f>"8030474K03Rik"</f>
        <v>8030474K03Rik</v>
      </c>
      <c r="B793" t="s">
        <v>14</v>
      </c>
      <c r="C793" t="s">
        <v>37</v>
      </c>
      <c r="D793" t="s">
        <v>17</v>
      </c>
      <c r="E793" t="s">
        <v>12</v>
      </c>
      <c r="F793">
        <v>101794644</v>
      </c>
      <c r="G793">
        <v>101794680</v>
      </c>
      <c r="H793">
        <v>101794627</v>
      </c>
      <c r="I793">
        <v>101794642</v>
      </c>
    </row>
    <row r="794" spans="1:9" x14ac:dyDescent="0.2">
      <c r="A794" t="str">
        <f>"8430408G22Rik"</f>
        <v>8430408G22Rik</v>
      </c>
      <c r="B794" t="s">
        <v>14</v>
      </c>
      <c r="C794" t="s">
        <v>32</v>
      </c>
      <c r="D794" t="s">
        <v>17</v>
      </c>
      <c r="E794" t="s">
        <v>12</v>
      </c>
      <c r="F794">
        <v>116650674</v>
      </c>
      <c r="G794">
        <v>116650690</v>
      </c>
      <c r="H794">
        <v>116650661</v>
      </c>
      <c r="I794">
        <v>116650666</v>
      </c>
    </row>
    <row r="795" spans="1:9" x14ac:dyDescent="0.2">
      <c r="A795" t="str">
        <f>"8430419L09Rik"</f>
        <v>8430419L09Rik</v>
      </c>
      <c r="B795" t="s">
        <v>14</v>
      </c>
      <c r="C795" t="s">
        <v>32</v>
      </c>
      <c r="D795" t="s">
        <v>17</v>
      </c>
      <c r="E795" t="s">
        <v>12</v>
      </c>
      <c r="F795">
        <v>135198034</v>
      </c>
      <c r="G795">
        <v>135198062</v>
      </c>
      <c r="H795">
        <v>135198010</v>
      </c>
      <c r="I795">
        <v>135198023</v>
      </c>
    </row>
    <row r="796" spans="1:9" x14ac:dyDescent="0.2">
      <c r="A796" t="str">
        <f>"8430423G03Rik"</f>
        <v>8430423G03Rik</v>
      </c>
      <c r="B796" t="s">
        <v>14</v>
      </c>
      <c r="C796" t="s">
        <v>46</v>
      </c>
      <c r="D796" t="s">
        <v>17</v>
      </c>
      <c r="E796" t="s">
        <v>12</v>
      </c>
      <c r="F796">
        <v>148950241</v>
      </c>
      <c r="G796">
        <v>148950248</v>
      </c>
      <c r="H796">
        <v>148950281</v>
      </c>
      <c r="I796">
        <v>148950289</v>
      </c>
    </row>
    <row r="797" spans="1:9" x14ac:dyDescent="0.2">
      <c r="A797" t="str">
        <f>"8430427H17Rik"</f>
        <v>8430427H17Rik</v>
      </c>
      <c r="B797" t="s">
        <v>2063</v>
      </c>
      <c r="C797" t="s">
        <v>26</v>
      </c>
      <c r="D797" t="s">
        <v>11</v>
      </c>
      <c r="E797" t="s">
        <v>35</v>
      </c>
      <c r="F797">
        <v>153530081</v>
      </c>
      <c r="G797">
        <v>153530086</v>
      </c>
      <c r="H797">
        <v>153529894</v>
      </c>
      <c r="I797">
        <v>153529928</v>
      </c>
    </row>
    <row r="798" spans="1:9" x14ac:dyDescent="0.2">
      <c r="A798" t="str">
        <f>"8430432A02Rik"</f>
        <v>8430432A02Rik</v>
      </c>
      <c r="B798" t="s">
        <v>14</v>
      </c>
      <c r="C798" t="s">
        <v>19</v>
      </c>
      <c r="D798" t="s">
        <v>17</v>
      </c>
      <c r="E798" t="s">
        <v>67</v>
      </c>
      <c r="F798">
        <v>43092521</v>
      </c>
      <c r="G798">
        <v>43092533</v>
      </c>
      <c r="H798">
        <v>43092521</v>
      </c>
      <c r="I798">
        <v>43092533</v>
      </c>
    </row>
    <row r="799" spans="1:9" x14ac:dyDescent="0.2">
      <c r="A799" t="str">
        <f>"9030025P20Rik"</f>
        <v>9030025P20Rik</v>
      </c>
      <c r="B799" t="s">
        <v>2064</v>
      </c>
      <c r="C799" t="s">
        <v>28</v>
      </c>
      <c r="D799" t="s">
        <v>17</v>
      </c>
      <c r="E799" t="s">
        <v>20</v>
      </c>
      <c r="F799">
        <v>14978863</v>
      </c>
      <c r="G799">
        <v>14978863</v>
      </c>
      <c r="H799">
        <v>14978863</v>
      </c>
      <c r="I799">
        <v>14978863</v>
      </c>
    </row>
    <row r="800" spans="1:9" x14ac:dyDescent="0.2">
      <c r="A800" t="str">
        <f>"9030612E09Rik"</f>
        <v>9030612E09Rik</v>
      </c>
      <c r="B800" t="s">
        <v>14</v>
      </c>
      <c r="C800" t="s">
        <v>15</v>
      </c>
      <c r="D800" t="s">
        <v>17</v>
      </c>
      <c r="E800" t="s">
        <v>12</v>
      </c>
      <c r="F800">
        <v>43174684</v>
      </c>
      <c r="G800">
        <v>43174734</v>
      </c>
      <c r="H800">
        <v>43174684</v>
      </c>
      <c r="I800">
        <v>43174734</v>
      </c>
    </row>
    <row r="801" spans="1:9" x14ac:dyDescent="0.2">
      <c r="A801" t="str">
        <f>"9030617O03Rik"</f>
        <v>9030617O03Rik</v>
      </c>
      <c r="B801" t="s">
        <v>14</v>
      </c>
      <c r="C801" t="s">
        <v>16</v>
      </c>
      <c r="D801" t="s">
        <v>17</v>
      </c>
      <c r="E801" t="s">
        <v>12</v>
      </c>
      <c r="F801">
        <v>100779105</v>
      </c>
      <c r="G801">
        <v>100779137</v>
      </c>
      <c r="H801">
        <v>100779088</v>
      </c>
      <c r="I801">
        <v>100779101</v>
      </c>
    </row>
    <row r="802" spans="1:9" x14ac:dyDescent="0.2">
      <c r="A802" t="str">
        <f>"9030619P08Rik"</f>
        <v>9030619P08Rik</v>
      </c>
      <c r="B802" t="s">
        <v>14</v>
      </c>
      <c r="C802" t="s">
        <v>25</v>
      </c>
      <c r="D802" t="s">
        <v>11</v>
      </c>
      <c r="E802" t="s">
        <v>12</v>
      </c>
      <c r="F802">
        <v>75431745</v>
      </c>
      <c r="G802">
        <v>75431774</v>
      </c>
      <c r="H802">
        <v>75431745</v>
      </c>
      <c r="I802">
        <v>75431774</v>
      </c>
    </row>
    <row r="803" spans="1:9" x14ac:dyDescent="0.2">
      <c r="A803" t="str">
        <f>"9030624G23Rik"</f>
        <v>9030624G23Rik</v>
      </c>
      <c r="B803" t="s">
        <v>14</v>
      </c>
      <c r="C803" t="s">
        <v>16</v>
      </c>
      <c r="D803" t="s">
        <v>11</v>
      </c>
      <c r="E803" t="s">
        <v>67</v>
      </c>
      <c r="F803">
        <v>24097206</v>
      </c>
      <c r="G803">
        <v>24097227</v>
      </c>
      <c r="H803">
        <v>24097206</v>
      </c>
      <c r="I803">
        <v>24097227</v>
      </c>
    </row>
    <row r="804" spans="1:9" x14ac:dyDescent="0.2">
      <c r="A804" t="str">
        <f>"9030624J02Rik"</f>
        <v>9030624J02Rik</v>
      </c>
      <c r="B804" t="s">
        <v>14</v>
      </c>
      <c r="C804" t="s">
        <v>33</v>
      </c>
      <c r="D804" t="s">
        <v>17</v>
      </c>
      <c r="E804" t="s">
        <v>12</v>
      </c>
      <c r="F804">
        <v>118740724</v>
      </c>
      <c r="G804">
        <v>118740754</v>
      </c>
      <c r="H804">
        <v>118740170</v>
      </c>
      <c r="I804">
        <v>118740176</v>
      </c>
    </row>
    <row r="805" spans="1:9" x14ac:dyDescent="0.2">
      <c r="A805" t="str">
        <f>"9130008F23Rik"</f>
        <v>9130008F23Rik</v>
      </c>
      <c r="B805" t="s">
        <v>14</v>
      </c>
      <c r="C805" t="s">
        <v>28</v>
      </c>
      <c r="D805" t="s">
        <v>11</v>
      </c>
      <c r="E805" t="s">
        <v>12</v>
      </c>
      <c r="F805">
        <v>40880525</v>
      </c>
      <c r="G805">
        <v>40880579</v>
      </c>
      <c r="H805">
        <v>40880598</v>
      </c>
      <c r="I805">
        <v>40880603</v>
      </c>
    </row>
    <row r="806" spans="1:9" x14ac:dyDescent="0.2">
      <c r="A806" t="str">
        <f>"9130011E15Rik"</f>
        <v>9130011E15Rik</v>
      </c>
      <c r="B806" t="s">
        <v>14</v>
      </c>
      <c r="C806" t="s">
        <v>10</v>
      </c>
      <c r="D806" t="s">
        <v>11</v>
      </c>
      <c r="E806" t="s">
        <v>12</v>
      </c>
      <c r="F806">
        <v>45998479</v>
      </c>
      <c r="G806">
        <v>45998521</v>
      </c>
      <c r="H806">
        <v>45998449</v>
      </c>
      <c r="I806">
        <v>45998478</v>
      </c>
    </row>
    <row r="807" spans="1:9" x14ac:dyDescent="0.2">
      <c r="A807" t="str">
        <f>"9130019O22Rik"</f>
        <v>9130019O22Rik</v>
      </c>
      <c r="B807" t="s">
        <v>14</v>
      </c>
      <c r="C807" t="s">
        <v>33</v>
      </c>
      <c r="D807" t="s">
        <v>11</v>
      </c>
      <c r="E807" t="s">
        <v>12</v>
      </c>
      <c r="F807">
        <v>127387132</v>
      </c>
      <c r="G807">
        <v>127387151</v>
      </c>
      <c r="H807">
        <v>127387160</v>
      </c>
      <c r="I807">
        <v>127387181</v>
      </c>
    </row>
    <row r="808" spans="1:9" x14ac:dyDescent="0.2">
      <c r="A808" t="str">
        <f>"9130023H24Rik"</f>
        <v>9130023H24Rik</v>
      </c>
      <c r="B808" t="s">
        <v>14</v>
      </c>
      <c r="C808" t="s">
        <v>33</v>
      </c>
      <c r="D808" t="s">
        <v>11</v>
      </c>
      <c r="E808" t="s">
        <v>12</v>
      </c>
      <c r="F808">
        <v>128238019</v>
      </c>
      <c r="G808">
        <v>128238059</v>
      </c>
      <c r="H808">
        <v>128237984</v>
      </c>
      <c r="I808">
        <v>128237995</v>
      </c>
    </row>
    <row r="809" spans="1:9" x14ac:dyDescent="0.2">
      <c r="A809" t="str">
        <f>"9130204L05Rik"</f>
        <v>9130204L05Rik</v>
      </c>
      <c r="B809" t="s">
        <v>2065</v>
      </c>
      <c r="C809" t="s">
        <v>22</v>
      </c>
      <c r="D809" t="s">
        <v>11</v>
      </c>
      <c r="E809" t="s">
        <v>20</v>
      </c>
      <c r="F809">
        <v>91090804</v>
      </c>
      <c r="G809">
        <v>91090804</v>
      </c>
      <c r="H809">
        <v>91090804</v>
      </c>
      <c r="I809">
        <v>91090804</v>
      </c>
    </row>
    <row r="810" spans="1:9" x14ac:dyDescent="0.2">
      <c r="A810" t="str">
        <f>"9130213A22Rik"</f>
        <v>9130213A22Rik</v>
      </c>
      <c r="B810" t="s">
        <v>14</v>
      </c>
      <c r="C810" t="s">
        <v>27</v>
      </c>
      <c r="D810" t="s">
        <v>11</v>
      </c>
      <c r="E810" t="s">
        <v>67</v>
      </c>
      <c r="F810">
        <v>69122773</v>
      </c>
      <c r="G810">
        <v>69122783</v>
      </c>
      <c r="H810">
        <v>69122773</v>
      </c>
      <c r="I810">
        <v>69122783</v>
      </c>
    </row>
    <row r="811" spans="1:9" x14ac:dyDescent="0.2">
      <c r="A811" t="str">
        <f>"9130221H12Rik"</f>
        <v>9130221H12Rik</v>
      </c>
      <c r="B811" t="s">
        <v>2066</v>
      </c>
      <c r="C811" t="s">
        <v>33</v>
      </c>
      <c r="D811" t="s">
        <v>17</v>
      </c>
      <c r="E811" t="s">
        <v>20</v>
      </c>
      <c r="F811">
        <v>25228686</v>
      </c>
      <c r="G811">
        <v>25228686</v>
      </c>
      <c r="H811">
        <v>25228686</v>
      </c>
      <c r="I811">
        <v>25228686</v>
      </c>
    </row>
    <row r="812" spans="1:9" x14ac:dyDescent="0.2">
      <c r="A812" t="str">
        <f>"9130230L23Rik"</f>
        <v>9130230L23Rik</v>
      </c>
      <c r="B812" t="s">
        <v>14</v>
      </c>
      <c r="C812" t="s">
        <v>46</v>
      </c>
      <c r="D812" t="s">
        <v>11</v>
      </c>
      <c r="E812" t="s">
        <v>12</v>
      </c>
      <c r="F812">
        <v>66004278</v>
      </c>
      <c r="G812">
        <v>66004291</v>
      </c>
      <c r="H812">
        <v>66004278</v>
      </c>
      <c r="I812">
        <v>66004291</v>
      </c>
    </row>
    <row r="813" spans="1:9" x14ac:dyDescent="0.2">
      <c r="A813" t="str">
        <f>"9130401M01Rik"</f>
        <v>9130401M01Rik</v>
      </c>
      <c r="B813" t="s">
        <v>2067</v>
      </c>
      <c r="C813" t="s">
        <v>25</v>
      </c>
      <c r="D813" t="s">
        <v>11</v>
      </c>
      <c r="E813" t="s">
        <v>35</v>
      </c>
      <c r="F813">
        <v>58034336</v>
      </c>
      <c r="G813">
        <v>58034349</v>
      </c>
      <c r="H813">
        <v>58034208</v>
      </c>
      <c r="I813">
        <v>58034224</v>
      </c>
    </row>
    <row r="814" spans="1:9" x14ac:dyDescent="0.2">
      <c r="A814" t="str">
        <f>"9130409I23Rik"</f>
        <v>9130409I23Rik</v>
      </c>
      <c r="B814" t="s">
        <v>14</v>
      </c>
      <c r="C814" t="s">
        <v>19</v>
      </c>
      <c r="D814" t="s">
        <v>17</v>
      </c>
      <c r="E814" t="s">
        <v>12</v>
      </c>
      <c r="F814">
        <v>181051249</v>
      </c>
      <c r="G814">
        <v>181051266</v>
      </c>
      <c r="H814">
        <v>181051232</v>
      </c>
      <c r="I814">
        <v>181051242</v>
      </c>
    </row>
    <row r="815" spans="1:9" x14ac:dyDescent="0.2">
      <c r="A815" t="str">
        <f>"9230009I02Rik"</f>
        <v>9230009I02Rik</v>
      </c>
      <c r="B815" t="s">
        <v>2068</v>
      </c>
      <c r="C815" t="s">
        <v>27</v>
      </c>
      <c r="D815" t="s">
        <v>17</v>
      </c>
      <c r="E815" t="s">
        <v>20</v>
      </c>
      <c r="F815">
        <v>51085086</v>
      </c>
      <c r="G815">
        <v>51085086</v>
      </c>
      <c r="H815">
        <v>51085086</v>
      </c>
      <c r="I815">
        <v>51085086</v>
      </c>
    </row>
    <row r="816" spans="1:9" x14ac:dyDescent="0.2">
      <c r="A816" t="str">
        <f>"9230019H11Rik"</f>
        <v>9230019H11Rik</v>
      </c>
      <c r="B816" t="s">
        <v>2069</v>
      </c>
      <c r="C816" t="s">
        <v>15</v>
      </c>
      <c r="D816" t="s">
        <v>17</v>
      </c>
      <c r="E816" t="s">
        <v>20</v>
      </c>
      <c r="F816">
        <v>3119840</v>
      </c>
      <c r="G816">
        <v>3119840</v>
      </c>
      <c r="H816">
        <v>3119840</v>
      </c>
      <c r="I816">
        <v>3119840</v>
      </c>
    </row>
    <row r="817" spans="1:9" x14ac:dyDescent="0.2">
      <c r="A817" t="str">
        <f>"9230102O04Rik"</f>
        <v>9230102O04Rik</v>
      </c>
      <c r="B817" t="s">
        <v>14</v>
      </c>
      <c r="C817" t="s">
        <v>26</v>
      </c>
      <c r="D817" t="s">
        <v>11</v>
      </c>
      <c r="E817" t="s">
        <v>12</v>
      </c>
      <c r="F817">
        <v>9889586</v>
      </c>
      <c r="G817">
        <v>9889596</v>
      </c>
      <c r="H817">
        <v>9889535</v>
      </c>
      <c r="I817">
        <v>9889544</v>
      </c>
    </row>
    <row r="818" spans="1:9" x14ac:dyDescent="0.2">
      <c r="A818" t="str">
        <f>"9230104L09Rik"</f>
        <v>9230104L09Rik</v>
      </c>
      <c r="B818" t="s">
        <v>14</v>
      </c>
      <c r="C818" t="s">
        <v>26</v>
      </c>
      <c r="D818" t="s">
        <v>11</v>
      </c>
      <c r="E818" t="s">
        <v>12</v>
      </c>
      <c r="F818">
        <v>148850899</v>
      </c>
      <c r="G818">
        <v>148850954</v>
      </c>
      <c r="H818">
        <v>148850959</v>
      </c>
      <c r="I818">
        <v>148850985</v>
      </c>
    </row>
    <row r="819" spans="1:9" x14ac:dyDescent="0.2">
      <c r="A819" t="str">
        <f>"9230104M06Rik"</f>
        <v>9230104M06Rik</v>
      </c>
      <c r="B819" t="s">
        <v>2070</v>
      </c>
      <c r="C819" t="s">
        <v>16</v>
      </c>
      <c r="D819" t="s">
        <v>17</v>
      </c>
      <c r="E819" t="s">
        <v>20</v>
      </c>
      <c r="F819">
        <v>112999963</v>
      </c>
      <c r="G819">
        <v>112999963</v>
      </c>
      <c r="H819">
        <v>112999963</v>
      </c>
      <c r="I819">
        <v>112999963</v>
      </c>
    </row>
    <row r="820" spans="1:9" x14ac:dyDescent="0.2">
      <c r="A820" t="str">
        <f>"9230106D20Rik"</f>
        <v>9230106D20Rik</v>
      </c>
      <c r="B820" t="s">
        <v>14</v>
      </c>
      <c r="C820" t="s">
        <v>15</v>
      </c>
      <c r="D820" t="s">
        <v>17</v>
      </c>
      <c r="E820" t="s">
        <v>67</v>
      </c>
      <c r="F820">
        <v>19644990</v>
      </c>
      <c r="G820">
        <v>19644994</v>
      </c>
      <c r="H820">
        <v>19644990</v>
      </c>
      <c r="I820">
        <v>19644994</v>
      </c>
    </row>
    <row r="821" spans="1:9" x14ac:dyDescent="0.2">
      <c r="A821" t="str">
        <f>"9230109A22Rik"</f>
        <v>9230109A22Rik</v>
      </c>
      <c r="B821" t="s">
        <v>14</v>
      </c>
      <c r="C821" t="s">
        <v>25</v>
      </c>
      <c r="D821" t="s">
        <v>11</v>
      </c>
      <c r="E821" t="s">
        <v>67</v>
      </c>
      <c r="F821">
        <v>25149072</v>
      </c>
      <c r="G821">
        <v>25149100</v>
      </c>
      <c r="H821">
        <v>25149072</v>
      </c>
      <c r="I821">
        <v>25149100</v>
      </c>
    </row>
    <row r="822" spans="1:9" x14ac:dyDescent="0.2">
      <c r="A822" t="str">
        <f>"9230110C19Rik"</f>
        <v>9230110C19Rik</v>
      </c>
      <c r="B822" t="s">
        <v>14</v>
      </c>
      <c r="C822" t="s">
        <v>24</v>
      </c>
      <c r="D822" t="s">
        <v>11</v>
      </c>
      <c r="E822" t="s">
        <v>12</v>
      </c>
      <c r="F822">
        <v>8042785</v>
      </c>
      <c r="G822">
        <v>8042882</v>
      </c>
      <c r="H822">
        <v>8042785</v>
      </c>
      <c r="I822">
        <v>8042882</v>
      </c>
    </row>
    <row r="823" spans="1:9" x14ac:dyDescent="0.2">
      <c r="A823" t="str">
        <f>"9230110F15Rik"</f>
        <v>9230110F15Rik</v>
      </c>
      <c r="B823" t="s">
        <v>14</v>
      </c>
      <c r="C823" t="s">
        <v>24</v>
      </c>
      <c r="D823" t="s">
        <v>11</v>
      </c>
      <c r="E823" t="s">
        <v>12</v>
      </c>
      <c r="F823">
        <v>35844203</v>
      </c>
      <c r="G823">
        <v>35844219</v>
      </c>
      <c r="H823">
        <v>35844179</v>
      </c>
      <c r="I823">
        <v>35844197</v>
      </c>
    </row>
    <row r="824" spans="1:9" x14ac:dyDescent="0.2">
      <c r="A824" t="str">
        <f>"9230112D13Rik"</f>
        <v>9230112D13Rik</v>
      </c>
      <c r="B824" t="s">
        <v>2071</v>
      </c>
      <c r="C824" t="s">
        <v>41</v>
      </c>
      <c r="D824" t="s">
        <v>11</v>
      </c>
      <c r="E824" t="s">
        <v>20</v>
      </c>
      <c r="F824">
        <v>34522800</v>
      </c>
      <c r="G824">
        <v>34522800</v>
      </c>
      <c r="H824">
        <v>34522800</v>
      </c>
      <c r="I824">
        <v>34522800</v>
      </c>
    </row>
    <row r="825" spans="1:9" x14ac:dyDescent="0.2">
      <c r="A825" t="str">
        <f>"9230112E08Rik"</f>
        <v>9230112E08Rik</v>
      </c>
      <c r="B825" t="s">
        <v>14</v>
      </c>
      <c r="C825" t="s">
        <v>26</v>
      </c>
      <c r="D825" t="s">
        <v>17</v>
      </c>
      <c r="E825" t="s">
        <v>67</v>
      </c>
      <c r="F825">
        <v>180984202</v>
      </c>
      <c r="G825">
        <v>180984212</v>
      </c>
      <c r="H825">
        <v>180984202</v>
      </c>
      <c r="I825">
        <v>180984212</v>
      </c>
    </row>
    <row r="826" spans="1:9" x14ac:dyDescent="0.2">
      <c r="A826" t="str">
        <f>"9230113P08Rik"</f>
        <v>9230113P08Rik</v>
      </c>
      <c r="B826" t="s">
        <v>14</v>
      </c>
      <c r="C826" t="s">
        <v>24</v>
      </c>
      <c r="D826" t="s">
        <v>17</v>
      </c>
      <c r="E826" t="s">
        <v>12</v>
      </c>
      <c r="F826">
        <v>35908412</v>
      </c>
      <c r="G826">
        <v>35908423</v>
      </c>
      <c r="H826">
        <v>35908412</v>
      </c>
      <c r="I826">
        <v>35908423</v>
      </c>
    </row>
    <row r="827" spans="1:9" x14ac:dyDescent="0.2">
      <c r="A827" t="str">
        <f>"9330101J02Rik"</f>
        <v>9330101J02Rik</v>
      </c>
      <c r="B827" t="s">
        <v>14</v>
      </c>
      <c r="C827" t="s">
        <v>33</v>
      </c>
      <c r="D827" t="s">
        <v>11</v>
      </c>
      <c r="E827" t="s">
        <v>12</v>
      </c>
      <c r="F827">
        <v>139683797</v>
      </c>
      <c r="G827">
        <v>139683853</v>
      </c>
      <c r="H827">
        <v>139683797</v>
      </c>
      <c r="I827">
        <v>139683853</v>
      </c>
    </row>
    <row r="828" spans="1:9" x14ac:dyDescent="0.2">
      <c r="A828" t="str">
        <f>"9330151L19Rik"</f>
        <v>9330151L19Rik</v>
      </c>
      <c r="B828" t="s">
        <v>14</v>
      </c>
      <c r="C828" t="s">
        <v>16</v>
      </c>
      <c r="D828" t="s">
        <v>17</v>
      </c>
      <c r="E828" t="s">
        <v>12</v>
      </c>
      <c r="F828">
        <v>69197200</v>
      </c>
      <c r="G828">
        <v>69197253</v>
      </c>
      <c r="H828">
        <v>69197164</v>
      </c>
      <c r="I828">
        <v>69197196</v>
      </c>
    </row>
    <row r="829" spans="1:9" x14ac:dyDescent="0.2">
      <c r="A829" t="str">
        <f>"9330154J02Rik"</f>
        <v>9330154J02Rik</v>
      </c>
      <c r="B829" t="s">
        <v>2072</v>
      </c>
      <c r="C829" t="s">
        <v>24</v>
      </c>
      <c r="D829" t="s">
        <v>11</v>
      </c>
      <c r="E829" t="s">
        <v>35</v>
      </c>
      <c r="F829">
        <v>85843231</v>
      </c>
      <c r="G829">
        <v>85843233</v>
      </c>
      <c r="H829">
        <v>85843231</v>
      </c>
      <c r="I829">
        <v>85843233</v>
      </c>
    </row>
    <row r="830" spans="1:9" x14ac:dyDescent="0.2">
      <c r="A830" t="str">
        <f>"9330159F19Rik"</f>
        <v>9330159F19Rik</v>
      </c>
      <c r="B830" t="s">
        <v>14</v>
      </c>
      <c r="C830" t="s">
        <v>15</v>
      </c>
      <c r="D830" t="s">
        <v>17</v>
      </c>
      <c r="E830" t="s">
        <v>12</v>
      </c>
      <c r="F830">
        <v>29211662</v>
      </c>
      <c r="G830">
        <v>29211700</v>
      </c>
      <c r="H830">
        <v>29211662</v>
      </c>
      <c r="I830">
        <v>29211700</v>
      </c>
    </row>
    <row r="831" spans="1:9" x14ac:dyDescent="0.2">
      <c r="A831" t="str">
        <f>"9330159N05Rik"</f>
        <v>9330159N05Rik</v>
      </c>
      <c r="B831" t="s">
        <v>2073</v>
      </c>
      <c r="C831" t="s">
        <v>46</v>
      </c>
      <c r="D831" t="s">
        <v>17</v>
      </c>
      <c r="E831" t="s">
        <v>20</v>
      </c>
      <c r="F831">
        <v>93044719</v>
      </c>
      <c r="G831">
        <v>93044719</v>
      </c>
      <c r="H831">
        <v>93044719</v>
      </c>
      <c r="I831">
        <v>93044719</v>
      </c>
    </row>
    <row r="832" spans="1:9" x14ac:dyDescent="0.2">
      <c r="A832" t="str">
        <f>"9330160F10Rik"</f>
        <v>9330160F10Rik</v>
      </c>
      <c r="B832" t="s">
        <v>2074</v>
      </c>
      <c r="C832" t="s">
        <v>27</v>
      </c>
      <c r="D832" t="s">
        <v>11</v>
      </c>
      <c r="E832" t="s">
        <v>20</v>
      </c>
      <c r="F832">
        <v>69060482</v>
      </c>
      <c r="G832">
        <v>69060482</v>
      </c>
      <c r="H832">
        <v>69060482</v>
      </c>
      <c r="I832">
        <v>69060482</v>
      </c>
    </row>
    <row r="833" spans="1:9" x14ac:dyDescent="0.2">
      <c r="A833" t="str">
        <f>"9330161L09Rik"</f>
        <v>9330161L09Rik</v>
      </c>
      <c r="B833" t="s">
        <v>2075</v>
      </c>
      <c r="C833" t="s">
        <v>16</v>
      </c>
      <c r="D833" t="s">
        <v>11</v>
      </c>
      <c r="E833" t="s">
        <v>20</v>
      </c>
      <c r="F833">
        <v>103407819</v>
      </c>
      <c r="G833">
        <v>103407819</v>
      </c>
      <c r="H833">
        <v>103407819</v>
      </c>
      <c r="I833">
        <v>103407819</v>
      </c>
    </row>
    <row r="834" spans="1:9" x14ac:dyDescent="0.2">
      <c r="A834" t="str">
        <f>"9330171B17Rik"</f>
        <v>9330171B17Rik</v>
      </c>
      <c r="B834" t="s">
        <v>14</v>
      </c>
      <c r="C834" t="s">
        <v>33</v>
      </c>
      <c r="D834" t="s">
        <v>17</v>
      </c>
      <c r="E834" t="s">
        <v>67</v>
      </c>
      <c r="F834">
        <v>79710377</v>
      </c>
      <c r="G834">
        <v>79710406</v>
      </c>
      <c r="H834">
        <v>79710408</v>
      </c>
      <c r="I834">
        <v>79710423</v>
      </c>
    </row>
    <row r="835" spans="1:9" x14ac:dyDescent="0.2">
      <c r="A835" t="str">
        <f>"9330182L06Rik"</f>
        <v>9330182L06Rik</v>
      </c>
      <c r="B835" t="s">
        <v>14</v>
      </c>
      <c r="C835" t="s">
        <v>46</v>
      </c>
      <c r="D835" t="s">
        <v>17</v>
      </c>
      <c r="E835" t="s">
        <v>12</v>
      </c>
      <c r="F835">
        <v>9266097</v>
      </c>
      <c r="G835">
        <v>9266202</v>
      </c>
      <c r="H835">
        <v>9266369</v>
      </c>
      <c r="I835">
        <v>9266412</v>
      </c>
    </row>
    <row r="836" spans="1:9" x14ac:dyDescent="0.2">
      <c r="A836" t="str">
        <f>"9330182O14Rik"</f>
        <v>9330182O14Rik</v>
      </c>
      <c r="B836" t="s">
        <v>14</v>
      </c>
      <c r="C836" t="s">
        <v>25</v>
      </c>
      <c r="D836" t="s">
        <v>17</v>
      </c>
      <c r="E836" t="s">
        <v>12</v>
      </c>
      <c r="F836">
        <v>40134441</v>
      </c>
      <c r="G836">
        <v>40134442</v>
      </c>
      <c r="H836">
        <v>40134441</v>
      </c>
      <c r="I836">
        <v>40134442</v>
      </c>
    </row>
    <row r="837" spans="1:9" x14ac:dyDescent="0.2">
      <c r="A837" t="str">
        <f>"9430002A10Rik"</f>
        <v>9430002A10Rik</v>
      </c>
      <c r="B837" t="s">
        <v>14</v>
      </c>
      <c r="C837" t="s">
        <v>30</v>
      </c>
      <c r="D837" t="s">
        <v>17</v>
      </c>
      <c r="E837" t="s">
        <v>67</v>
      </c>
      <c r="F837">
        <v>88174380</v>
      </c>
      <c r="G837">
        <v>88174385</v>
      </c>
      <c r="H837">
        <v>88174380</v>
      </c>
      <c r="I837">
        <v>88174385</v>
      </c>
    </row>
    <row r="838" spans="1:9" x14ac:dyDescent="0.2">
      <c r="A838" t="str">
        <f>"9430007A20Rik"</f>
        <v>9430007A20Rik</v>
      </c>
      <c r="B838" t="s">
        <v>14</v>
      </c>
      <c r="C838" t="s">
        <v>23</v>
      </c>
      <c r="D838" t="s">
        <v>17</v>
      </c>
      <c r="E838" t="s">
        <v>12</v>
      </c>
      <c r="F838">
        <v>144519814</v>
      </c>
      <c r="G838">
        <v>144519835</v>
      </c>
      <c r="H838">
        <v>144519814</v>
      </c>
      <c r="I838">
        <v>144519835</v>
      </c>
    </row>
    <row r="839" spans="1:9" x14ac:dyDescent="0.2">
      <c r="A839" t="str">
        <f>"9430015G10Rik"</f>
        <v>9430015G10Rik</v>
      </c>
      <c r="B839" t="s">
        <v>14</v>
      </c>
      <c r="C839" t="s">
        <v>23</v>
      </c>
      <c r="D839" t="s">
        <v>17</v>
      </c>
      <c r="E839" t="s">
        <v>12</v>
      </c>
      <c r="F839">
        <v>156110013</v>
      </c>
      <c r="G839">
        <v>156110053</v>
      </c>
      <c r="H839">
        <v>156109971</v>
      </c>
      <c r="I839">
        <v>156110004</v>
      </c>
    </row>
    <row r="840" spans="1:9" x14ac:dyDescent="0.2">
      <c r="A840" t="str">
        <f>"9430016H08Rik"</f>
        <v>9430016H08Rik</v>
      </c>
      <c r="B840" t="s">
        <v>14</v>
      </c>
      <c r="C840" t="s">
        <v>19</v>
      </c>
      <c r="D840" t="s">
        <v>17</v>
      </c>
      <c r="E840" t="s">
        <v>12</v>
      </c>
      <c r="F840">
        <v>57406728</v>
      </c>
      <c r="G840">
        <v>57406774</v>
      </c>
      <c r="H840">
        <v>57406533</v>
      </c>
      <c r="I840">
        <v>57406571</v>
      </c>
    </row>
    <row r="841" spans="1:9" x14ac:dyDescent="0.2">
      <c r="A841" t="str">
        <f>"9430020K01Rik"</f>
        <v>9430020K01Rik</v>
      </c>
      <c r="B841" t="s">
        <v>14</v>
      </c>
      <c r="C841" t="s">
        <v>43</v>
      </c>
      <c r="D841" t="s">
        <v>17</v>
      </c>
      <c r="E841" t="s">
        <v>12</v>
      </c>
      <c r="F841">
        <v>4634912</v>
      </c>
      <c r="G841">
        <v>4634974</v>
      </c>
      <c r="H841">
        <v>4634977</v>
      </c>
      <c r="I841">
        <v>4634990</v>
      </c>
    </row>
    <row r="842" spans="1:9" x14ac:dyDescent="0.2">
      <c r="A842" t="str">
        <f>"9430023L20Rik"</f>
        <v>9430023L20Rik</v>
      </c>
      <c r="B842" t="s">
        <v>14</v>
      </c>
      <c r="C842" t="s">
        <v>25</v>
      </c>
      <c r="D842" t="s">
        <v>17</v>
      </c>
      <c r="E842" t="s">
        <v>12</v>
      </c>
      <c r="F842">
        <v>101284280</v>
      </c>
      <c r="G842">
        <v>101284308</v>
      </c>
      <c r="H842">
        <v>101284176</v>
      </c>
      <c r="I842">
        <v>101284178</v>
      </c>
    </row>
    <row r="843" spans="1:9" x14ac:dyDescent="0.2">
      <c r="A843" t="str">
        <f>"9430038I01Rik"</f>
        <v>9430038I01Rik</v>
      </c>
      <c r="B843" t="s">
        <v>14</v>
      </c>
      <c r="C843" t="s">
        <v>33</v>
      </c>
      <c r="D843" t="s">
        <v>11</v>
      </c>
      <c r="E843" t="s">
        <v>12</v>
      </c>
      <c r="F843">
        <v>137410717</v>
      </c>
      <c r="G843">
        <v>137410761</v>
      </c>
      <c r="H843">
        <v>137410717</v>
      </c>
      <c r="I843">
        <v>137410761</v>
      </c>
    </row>
    <row r="844" spans="1:9" x14ac:dyDescent="0.2">
      <c r="A844" t="str">
        <f>"9430069I07Rik"</f>
        <v>9430069I07Rik</v>
      </c>
      <c r="B844" t="s">
        <v>2076</v>
      </c>
      <c r="C844" t="s">
        <v>25</v>
      </c>
      <c r="D844" t="s">
        <v>11</v>
      </c>
      <c r="E844" t="s">
        <v>20</v>
      </c>
      <c r="F844">
        <v>34356420</v>
      </c>
      <c r="G844">
        <v>34356420</v>
      </c>
      <c r="H844">
        <v>34356420</v>
      </c>
      <c r="I844">
        <v>34356420</v>
      </c>
    </row>
    <row r="845" spans="1:9" x14ac:dyDescent="0.2">
      <c r="A845" t="str">
        <f>"9430097D07Rik"</f>
        <v>9430097D07Rik</v>
      </c>
      <c r="B845" t="s">
        <v>14</v>
      </c>
      <c r="C845" t="s">
        <v>26</v>
      </c>
      <c r="D845" t="s">
        <v>11</v>
      </c>
      <c r="E845" t="s">
        <v>67</v>
      </c>
      <c r="F845">
        <v>32575715</v>
      </c>
      <c r="G845">
        <v>32575726</v>
      </c>
      <c r="H845">
        <v>32575689</v>
      </c>
      <c r="I845">
        <v>32575698</v>
      </c>
    </row>
    <row r="846" spans="1:9" x14ac:dyDescent="0.2">
      <c r="A846" t="str">
        <f>"9530002B09Rik"</f>
        <v>9530002B09Rik</v>
      </c>
      <c r="B846" t="s">
        <v>14</v>
      </c>
      <c r="C846" t="s">
        <v>23</v>
      </c>
      <c r="D846" t="s">
        <v>17</v>
      </c>
      <c r="E846" t="s">
        <v>12</v>
      </c>
      <c r="F846">
        <v>122689330</v>
      </c>
      <c r="G846">
        <v>122689369</v>
      </c>
      <c r="H846">
        <v>122689291</v>
      </c>
      <c r="I846">
        <v>122689320</v>
      </c>
    </row>
    <row r="847" spans="1:9" x14ac:dyDescent="0.2">
      <c r="A847" t="str">
        <f>"9530003J23Rik"</f>
        <v>9530003J23Rik</v>
      </c>
      <c r="B847" t="s">
        <v>14</v>
      </c>
      <c r="C847" t="s">
        <v>15</v>
      </c>
      <c r="D847" t="s">
        <v>11</v>
      </c>
      <c r="E847" t="s">
        <v>12</v>
      </c>
      <c r="F847">
        <v>117238589</v>
      </c>
      <c r="G847">
        <v>117238614</v>
      </c>
      <c r="H847">
        <v>117238647</v>
      </c>
      <c r="I847">
        <v>117238654</v>
      </c>
    </row>
    <row r="848" spans="1:9" x14ac:dyDescent="0.2">
      <c r="A848" t="str">
        <f>"9530053A07Rik"</f>
        <v>9530053A07Rik</v>
      </c>
      <c r="B848" t="s">
        <v>14</v>
      </c>
      <c r="C848" t="s">
        <v>33</v>
      </c>
      <c r="D848" t="s">
        <v>17</v>
      </c>
      <c r="E848" t="s">
        <v>12</v>
      </c>
      <c r="F848">
        <v>28129804</v>
      </c>
      <c r="G848">
        <v>28129810</v>
      </c>
      <c r="H848">
        <v>28129431</v>
      </c>
      <c r="I848">
        <v>28129458</v>
      </c>
    </row>
    <row r="849" spans="1:9" x14ac:dyDescent="0.2">
      <c r="A849" t="str">
        <f>"9530068E07Rik"</f>
        <v>9530068E07Rik</v>
      </c>
      <c r="B849" t="s">
        <v>14</v>
      </c>
      <c r="C849" t="s">
        <v>27</v>
      </c>
      <c r="D849" t="s">
        <v>17</v>
      </c>
      <c r="E849" t="s">
        <v>12</v>
      </c>
      <c r="F849">
        <v>52396414</v>
      </c>
      <c r="G849">
        <v>52396449</v>
      </c>
      <c r="H849">
        <v>52396451</v>
      </c>
      <c r="I849">
        <v>52396473</v>
      </c>
    </row>
    <row r="850" spans="1:9" x14ac:dyDescent="0.2">
      <c r="A850" t="str">
        <f>"9530077C05Rik"</f>
        <v>9530077C05Rik</v>
      </c>
      <c r="B850" t="s">
        <v>14</v>
      </c>
      <c r="C850" t="s">
        <v>24</v>
      </c>
      <c r="D850" t="s">
        <v>17</v>
      </c>
      <c r="E850" t="s">
        <v>12</v>
      </c>
      <c r="F850">
        <v>22411515</v>
      </c>
      <c r="G850">
        <v>22411576</v>
      </c>
      <c r="H850">
        <v>22411579</v>
      </c>
      <c r="I850">
        <v>22411594</v>
      </c>
    </row>
    <row r="851" spans="1:9" x14ac:dyDescent="0.2">
      <c r="A851" t="str">
        <f>"9630014M24Rik"</f>
        <v>9630014M24Rik</v>
      </c>
      <c r="B851" t="s">
        <v>2077</v>
      </c>
      <c r="C851" t="s">
        <v>43</v>
      </c>
      <c r="D851" t="s">
        <v>17</v>
      </c>
      <c r="E851" t="s">
        <v>35</v>
      </c>
      <c r="F851">
        <v>38601454</v>
      </c>
      <c r="G851">
        <v>38601457</v>
      </c>
      <c r="H851">
        <v>38601605</v>
      </c>
      <c r="I851">
        <v>38601619</v>
      </c>
    </row>
    <row r="852" spans="1:9" x14ac:dyDescent="0.2">
      <c r="A852" t="str">
        <f>"9630033F20Rik"</f>
        <v>9630033F20Rik</v>
      </c>
      <c r="B852" t="s">
        <v>14</v>
      </c>
      <c r="C852" t="s">
        <v>32</v>
      </c>
      <c r="D852" t="s">
        <v>11</v>
      </c>
      <c r="E852" t="s">
        <v>12</v>
      </c>
      <c r="F852">
        <v>127109517</v>
      </c>
      <c r="G852">
        <v>127109569</v>
      </c>
      <c r="H852">
        <v>127109496</v>
      </c>
      <c r="I852">
        <v>127109507</v>
      </c>
    </row>
    <row r="853" spans="1:9" x14ac:dyDescent="0.2">
      <c r="A853" t="str">
        <f>"9630041A04Rik"</f>
        <v>9630041A04Rik</v>
      </c>
      <c r="B853" t="s">
        <v>2078</v>
      </c>
      <c r="C853" t="s">
        <v>24</v>
      </c>
      <c r="D853" t="s">
        <v>17</v>
      </c>
      <c r="E853" t="s">
        <v>20</v>
      </c>
      <c r="F853">
        <v>101938480</v>
      </c>
      <c r="G853">
        <v>101938480</v>
      </c>
      <c r="H853">
        <v>101938480</v>
      </c>
      <c r="I853">
        <v>101938480</v>
      </c>
    </row>
    <row r="854" spans="1:9" x14ac:dyDescent="0.2">
      <c r="A854" t="str">
        <f>"9830107B12Rik"</f>
        <v>9830107B12Rik</v>
      </c>
      <c r="B854" t="s">
        <v>14</v>
      </c>
      <c r="C854" t="s">
        <v>28</v>
      </c>
      <c r="D854" t="s">
        <v>11</v>
      </c>
      <c r="E854" t="s">
        <v>12</v>
      </c>
      <c r="F854">
        <v>48146234</v>
      </c>
      <c r="G854">
        <v>48146294</v>
      </c>
      <c r="H854">
        <v>48146198</v>
      </c>
      <c r="I854">
        <v>48146209</v>
      </c>
    </row>
    <row r="855" spans="1:9" x14ac:dyDescent="0.2">
      <c r="A855" t="str">
        <f>"9830147E19Rik"</f>
        <v>9830147E19Rik</v>
      </c>
      <c r="B855" t="s">
        <v>14</v>
      </c>
      <c r="C855" t="s">
        <v>33</v>
      </c>
      <c r="D855" t="s">
        <v>11</v>
      </c>
      <c r="E855" t="s">
        <v>12</v>
      </c>
      <c r="F855">
        <v>42642575</v>
      </c>
      <c r="G855">
        <v>42642609</v>
      </c>
      <c r="H855">
        <v>42642575</v>
      </c>
      <c r="I855">
        <v>42642609</v>
      </c>
    </row>
    <row r="856" spans="1:9" x14ac:dyDescent="0.2">
      <c r="A856" t="str">
        <f>"9930012K11Rik"</f>
        <v>9930012K11Rik</v>
      </c>
      <c r="B856" t="s">
        <v>14</v>
      </c>
      <c r="C856" t="s">
        <v>41</v>
      </c>
      <c r="D856" t="s">
        <v>11</v>
      </c>
      <c r="E856" t="s">
        <v>12</v>
      </c>
      <c r="F856">
        <v>70159433</v>
      </c>
      <c r="G856">
        <v>70159483</v>
      </c>
      <c r="H856">
        <v>70159416</v>
      </c>
      <c r="I856">
        <v>70159430</v>
      </c>
    </row>
    <row r="857" spans="1:9" x14ac:dyDescent="0.2">
      <c r="A857" t="str">
        <f>"9930013L23Rik"</f>
        <v>9930013L23Rik</v>
      </c>
      <c r="B857" t="s">
        <v>14</v>
      </c>
      <c r="C857" t="s">
        <v>33</v>
      </c>
      <c r="D857" t="s">
        <v>11</v>
      </c>
      <c r="E857" t="s">
        <v>12</v>
      </c>
      <c r="F857">
        <v>84086494</v>
      </c>
      <c r="G857">
        <v>84086509</v>
      </c>
      <c r="H857">
        <v>84086295</v>
      </c>
      <c r="I857">
        <v>84086330</v>
      </c>
    </row>
    <row r="858" spans="1:9" x14ac:dyDescent="0.2">
      <c r="A858" t="str">
        <f>"9930021J03Rik"</f>
        <v>9930021J03Rik</v>
      </c>
      <c r="B858" t="s">
        <v>14</v>
      </c>
      <c r="C858" t="s">
        <v>10</v>
      </c>
      <c r="D858" t="s">
        <v>11</v>
      </c>
      <c r="E858" t="s">
        <v>12</v>
      </c>
      <c r="F858">
        <v>29806384</v>
      </c>
      <c r="G858">
        <v>29806435</v>
      </c>
      <c r="H858">
        <v>29806003</v>
      </c>
      <c r="I858">
        <v>29806037</v>
      </c>
    </row>
    <row r="859" spans="1:9" x14ac:dyDescent="0.2">
      <c r="A859" t="str">
        <f>"9930022D16Rik"</f>
        <v>9930022D16Rik</v>
      </c>
      <c r="B859" t="s">
        <v>14</v>
      </c>
      <c r="C859" t="s">
        <v>27</v>
      </c>
      <c r="D859" t="s">
        <v>17</v>
      </c>
      <c r="E859" t="s">
        <v>67</v>
      </c>
      <c r="F859">
        <v>109413912</v>
      </c>
      <c r="G859">
        <v>109413922</v>
      </c>
      <c r="H859">
        <v>109413912</v>
      </c>
      <c r="I859">
        <v>109413922</v>
      </c>
    </row>
    <row r="860" spans="1:9" x14ac:dyDescent="0.2">
      <c r="A860" t="str">
        <f>"9930111J21Rik1"</f>
        <v>9930111J21Rik1</v>
      </c>
      <c r="B860" t="s">
        <v>2079</v>
      </c>
      <c r="C860" t="s">
        <v>27</v>
      </c>
      <c r="D860" t="s">
        <v>11</v>
      </c>
      <c r="E860" t="s">
        <v>20</v>
      </c>
      <c r="F860">
        <v>48979380</v>
      </c>
      <c r="G860">
        <v>48979380</v>
      </c>
      <c r="H860">
        <v>48979380</v>
      </c>
      <c r="I860">
        <v>48979380</v>
      </c>
    </row>
    <row r="861" spans="1:9" x14ac:dyDescent="0.2">
      <c r="A861" t="str">
        <f>"9930111J21Rik2"</f>
        <v>9930111J21Rik2</v>
      </c>
      <c r="B861" t="s">
        <v>14</v>
      </c>
      <c r="C861" t="s">
        <v>27</v>
      </c>
      <c r="D861" t="s">
        <v>11</v>
      </c>
      <c r="E861" t="s">
        <v>12</v>
      </c>
      <c r="F861">
        <v>49051213</v>
      </c>
      <c r="G861">
        <v>49051221</v>
      </c>
      <c r="H861">
        <v>49051213</v>
      </c>
      <c r="I861">
        <v>49051221</v>
      </c>
    </row>
    <row r="862" spans="1:9" x14ac:dyDescent="0.2">
      <c r="A862" t="str">
        <f>"A130010J15Rik"</f>
        <v>A130010J15Rik</v>
      </c>
      <c r="B862" t="s">
        <v>14</v>
      </c>
      <c r="C862" t="s">
        <v>19</v>
      </c>
      <c r="D862" t="s">
        <v>17</v>
      </c>
      <c r="E862" t="s">
        <v>12</v>
      </c>
      <c r="F862">
        <v>193173574</v>
      </c>
      <c r="G862">
        <v>193173595</v>
      </c>
      <c r="H862">
        <v>193173602</v>
      </c>
      <c r="I862">
        <v>193173630</v>
      </c>
    </row>
    <row r="863" spans="1:9" x14ac:dyDescent="0.2">
      <c r="A863" t="str">
        <f>"A130050O07Rik"</f>
        <v>A130050O07Rik</v>
      </c>
      <c r="B863" t="s">
        <v>14</v>
      </c>
      <c r="C863" t="s">
        <v>19</v>
      </c>
      <c r="D863" t="s">
        <v>17</v>
      </c>
      <c r="E863" t="s">
        <v>67</v>
      </c>
      <c r="F863">
        <v>137928100</v>
      </c>
      <c r="G863">
        <v>137928135</v>
      </c>
      <c r="H863">
        <v>137928100</v>
      </c>
      <c r="I863">
        <v>137928135</v>
      </c>
    </row>
    <row r="864" spans="1:9" x14ac:dyDescent="0.2">
      <c r="A864" t="str">
        <f>"A130051J06Rik"</f>
        <v>A130051J06Rik</v>
      </c>
      <c r="B864" t="s">
        <v>2080</v>
      </c>
      <c r="C864" t="s">
        <v>25</v>
      </c>
      <c r="D864" t="s">
        <v>11</v>
      </c>
      <c r="E864" t="s">
        <v>35</v>
      </c>
      <c r="F864">
        <v>95791636</v>
      </c>
      <c r="G864">
        <v>95791654</v>
      </c>
      <c r="H864">
        <v>95791636</v>
      </c>
      <c r="I864">
        <v>95791654</v>
      </c>
    </row>
    <row r="865" spans="1:9" x14ac:dyDescent="0.2">
      <c r="A865" t="str">
        <f>"A130057D12Rik"</f>
        <v>A130057D12Rik</v>
      </c>
      <c r="B865" t="s">
        <v>2081</v>
      </c>
      <c r="C865" t="s">
        <v>24</v>
      </c>
      <c r="D865" t="s">
        <v>11</v>
      </c>
      <c r="E865" t="s">
        <v>20</v>
      </c>
      <c r="F865">
        <v>75441651</v>
      </c>
      <c r="G865">
        <v>75441651</v>
      </c>
      <c r="H865">
        <v>75441651</v>
      </c>
      <c r="I865">
        <v>75441651</v>
      </c>
    </row>
    <row r="866" spans="1:9" x14ac:dyDescent="0.2">
      <c r="A866" t="str">
        <f>"A1bg"</f>
        <v>A1bg</v>
      </c>
      <c r="B866" t="s">
        <v>14</v>
      </c>
      <c r="C866" t="s">
        <v>25</v>
      </c>
      <c r="D866" t="s">
        <v>11</v>
      </c>
      <c r="E866" t="s">
        <v>12</v>
      </c>
      <c r="F866">
        <v>60921280</v>
      </c>
      <c r="G866">
        <v>60921288</v>
      </c>
      <c r="H866">
        <v>60921280</v>
      </c>
      <c r="I866">
        <v>60921288</v>
      </c>
    </row>
    <row r="867" spans="1:9" x14ac:dyDescent="0.2">
      <c r="A867" t="str">
        <f>"A1cf"</f>
        <v>A1cf</v>
      </c>
      <c r="B867" t="s">
        <v>14</v>
      </c>
      <c r="C867" t="s">
        <v>10</v>
      </c>
      <c r="D867" t="s">
        <v>17</v>
      </c>
      <c r="E867" t="s">
        <v>12</v>
      </c>
      <c r="F867">
        <v>31868805</v>
      </c>
      <c r="G867">
        <v>31868820</v>
      </c>
      <c r="H867">
        <v>31868805</v>
      </c>
      <c r="I867">
        <v>31868820</v>
      </c>
    </row>
    <row r="868" spans="1:9" x14ac:dyDescent="0.2">
      <c r="A868" t="str">
        <f>"A230020J21Rik"</f>
        <v>A230020J21Rik</v>
      </c>
      <c r="B868" t="s">
        <v>2082</v>
      </c>
      <c r="C868" t="s">
        <v>19</v>
      </c>
      <c r="D868" t="s">
        <v>17</v>
      </c>
      <c r="E868" t="s">
        <v>20</v>
      </c>
      <c r="F868">
        <v>191025349</v>
      </c>
      <c r="G868">
        <v>191025349</v>
      </c>
      <c r="H868">
        <v>191025349</v>
      </c>
      <c r="I868">
        <v>191025349</v>
      </c>
    </row>
    <row r="869" spans="1:9" x14ac:dyDescent="0.2">
      <c r="A869" t="str">
        <f>"A230046K03Rik"</f>
        <v>A230046K03Rik</v>
      </c>
      <c r="B869" t="s">
        <v>14</v>
      </c>
      <c r="C869" t="s">
        <v>15</v>
      </c>
      <c r="D869" t="s">
        <v>17</v>
      </c>
      <c r="E869" t="s">
        <v>12</v>
      </c>
      <c r="F869">
        <v>83543941</v>
      </c>
      <c r="G869">
        <v>83544007</v>
      </c>
      <c r="H869">
        <v>83544012</v>
      </c>
      <c r="I869">
        <v>83544023</v>
      </c>
    </row>
    <row r="870" spans="1:9" x14ac:dyDescent="0.2">
      <c r="A870" t="str">
        <f>"A230050P20Rik"</f>
        <v>A230050P20Rik</v>
      </c>
      <c r="B870" t="s">
        <v>14</v>
      </c>
      <c r="C870" t="s">
        <v>24</v>
      </c>
      <c r="D870" t="s">
        <v>17</v>
      </c>
      <c r="E870" t="s">
        <v>12</v>
      </c>
      <c r="F870">
        <v>20868628</v>
      </c>
      <c r="G870">
        <v>20868706</v>
      </c>
      <c r="H870">
        <v>20868628</v>
      </c>
      <c r="I870">
        <v>20868706</v>
      </c>
    </row>
    <row r="871" spans="1:9" x14ac:dyDescent="0.2">
      <c r="A871" t="str">
        <f>"A230052G05Rik"</f>
        <v>A230052G05Rik</v>
      </c>
      <c r="B871" t="s">
        <v>14</v>
      </c>
      <c r="C871" t="s">
        <v>30</v>
      </c>
      <c r="D871" t="s">
        <v>17</v>
      </c>
      <c r="E871" t="s">
        <v>67</v>
      </c>
      <c r="F871">
        <v>70862928</v>
      </c>
      <c r="G871">
        <v>70862952</v>
      </c>
      <c r="H871">
        <v>70863065</v>
      </c>
      <c r="I871">
        <v>70863067</v>
      </c>
    </row>
    <row r="872" spans="1:9" x14ac:dyDescent="0.2">
      <c r="A872" t="str">
        <f>"A230060F14Rik"</f>
        <v>A230060F14Rik</v>
      </c>
      <c r="B872" t="s">
        <v>2083</v>
      </c>
      <c r="C872" t="s">
        <v>15</v>
      </c>
      <c r="D872" t="s">
        <v>11</v>
      </c>
      <c r="E872" t="s">
        <v>35</v>
      </c>
      <c r="F872">
        <v>86022331</v>
      </c>
      <c r="G872">
        <v>86022353</v>
      </c>
      <c r="H872">
        <v>86022331</v>
      </c>
      <c r="I872">
        <v>86022353</v>
      </c>
    </row>
    <row r="873" spans="1:9" x14ac:dyDescent="0.2">
      <c r="A873" t="str">
        <f>"A230065H16Rik"</f>
        <v>A230065H16Rik</v>
      </c>
      <c r="B873" t="s">
        <v>14</v>
      </c>
      <c r="C873" t="s">
        <v>16</v>
      </c>
      <c r="D873" t="s">
        <v>17</v>
      </c>
      <c r="E873" t="s">
        <v>12</v>
      </c>
      <c r="F873">
        <v>111406831</v>
      </c>
      <c r="G873">
        <v>111406846</v>
      </c>
      <c r="H873">
        <v>111406815</v>
      </c>
      <c r="I873">
        <v>111406822</v>
      </c>
    </row>
    <row r="874" spans="1:9" x14ac:dyDescent="0.2">
      <c r="A874" t="str">
        <f>"A230065N10Rik"</f>
        <v>A230065N10Rik</v>
      </c>
      <c r="B874" t="s">
        <v>14</v>
      </c>
      <c r="C874" t="s">
        <v>33</v>
      </c>
      <c r="D874" t="s">
        <v>11</v>
      </c>
      <c r="E874" t="s">
        <v>67</v>
      </c>
      <c r="F874">
        <v>89633121</v>
      </c>
      <c r="G874">
        <v>89633141</v>
      </c>
      <c r="H874">
        <v>89633095</v>
      </c>
      <c r="I874">
        <v>89633105</v>
      </c>
    </row>
    <row r="875" spans="1:9" x14ac:dyDescent="0.2">
      <c r="A875" t="str">
        <f>"A230072I06Rik"</f>
        <v>A230072I06Rik</v>
      </c>
      <c r="B875" t="s">
        <v>2084</v>
      </c>
      <c r="C875" t="s">
        <v>30</v>
      </c>
      <c r="D875" t="s">
        <v>17</v>
      </c>
      <c r="E875" t="s">
        <v>20</v>
      </c>
      <c r="F875">
        <v>12278818</v>
      </c>
      <c r="G875">
        <v>12278818</v>
      </c>
      <c r="H875">
        <v>12278818</v>
      </c>
      <c r="I875">
        <v>12278818</v>
      </c>
    </row>
    <row r="876" spans="1:9" x14ac:dyDescent="0.2">
      <c r="A876" t="str">
        <f>"A230083G16Rik"</f>
        <v>A230083G16Rik</v>
      </c>
      <c r="B876" t="s">
        <v>14</v>
      </c>
      <c r="C876" t="s">
        <v>32</v>
      </c>
      <c r="D876" t="s">
        <v>17</v>
      </c>
      <c r="E876" t="s">
        <v>67</v>
      </c>
      <c r="F876">
        <v>124916623</v>
      </c>
      <c r="G876">
        <v>124916627</v>
      </c>
      <c r="H876">
        <v>124916813</v>
      </c>
      <c r="I876">
        <v>124916818</v>
      </c>
    </row>
    <row r="877" spans="1:9" x14ac:dyDescent="0.2">
      <c r="A877" t="str">
        <f>"A2m"</f>
        <v>A2m</v>
      </c>
      <c r="B877" t="s">
        <v>14</v>
      </c>
      <c r="C877" t="s">
        <v>32</v>
      </c>
      <c r="D877" t="s">
        <v>17</v>
      </c>
      <c r="E877" t="s">
        <v>12</v>
      </c>
      <c r="F877">
        <v>121636218</v>
      </c>
      <c r="G877">
        <v>121636237</v>
      </c>
      <c r="H877">
        <v>121636268</v>
      </c>
      <c r="I877">
        <v>121636279</v>
      </c>
    </row>
    <row r="878" spans="1:9" x14ac:dyDescent="0.2">
      <c r="A878" t="str">
        <f>"A330008L17Rik"</f>
        <v>A330008L17Rik</v>
      </c>
      <c r="B878" t="s">
        <v>14</v>
      </c>
      <c r="C878" t="s">
        <v>30</v>
      </c>
      <c r="D878" t="s">
        <v>17</v>
      </c>
      <c r="E878" t="s">
        <v>67</v>
      </c>
      <c r="F878">
        <v>99416678</v>
      </c>
      <c r="G878">
        <v>99416681</v>
      </c>
      <c r="H878">
        <v>99416649</v>
      </c>
      <c r="I878">
        <v>99416662</v>
      </c>
    </row>
    <row r="879" spans="1:9" x14ac:dyDescent="0.2">
      <c r="A879" t="str">
        <f>"A330017A19Rik"</f>
        <v>A330017A19Rik</v>
      </c>
      <c r="B879" t="s">
        <v>14</v>
      </c>
      <c r="C879" t="s">
        <v>28</v>
      </c>
      <c r="D879" t="s">
        <v>11</v>
      </c>
      <c r="E879" t="s">
        <v>67</v>
      </c>
      <c r="F879">
        <v>46890382</v>
      </c>
      <c r="G879">
        <v>46890429</v>
      </c>
      <c r="H879">
        <v>46890298</v>
      </c>
      <c r="I879">
        <v>46890311</v>
      </c>
    </row>
    <row r="880" spans="1:9" x14ac:dyDescent="0.2">
      <c r="A880" t="str">
        <f>"A330021E22Rik"</f>
        <v>A330021E22Rik</v>
      </c>
      <c r="B880" t="s">
        <v>14</v>
      </c>
      <c r="C880" t="s">
        <v>46</v>
      </c>
      <c r="D880" t="s">
        <v>11</v>
      </c>
      <c r="E880" t="s">
        <v>12</v>
      </c>
      <c r="F880">
        <v>5664196</v>
      </c>
      <c r="G880">
        <v>5664253</v>
      </c>
      <c r="H880">
        <v>5663263</v>
      </c>
      <c r="I880">
        <v>5663294</v>
      </c>
    </row>
    <row r="881" spans="1:9" x14ac:dyDescent="0.2">
      <c r="A881" t="str">
        <f>"A330041J22Rik"</f>
        <v>A330041J22Rik</v>
      </c>
      <c r="B881" t="s">
        <v>14</v>
      </c>
      <c r="C881" t="s">
        <v>24</v>
      </c>
      <c r="D881" t="s">
        <v>17</v>
      </c>
      <c r="E881" t="s">
        <v>67</v>
      </c>
      <c r="F881">
        <v>86695484</v>
      </c>
      <c r="G881">
        <v>86695488</v>
      </c>
      <c r="H881">
        <v>86695455</v>
      </c>
      <c r="I881">
        <v>86695460</v>
      </c>
    </row>
    <row r="882" spans="1:9" x14ac:dyDescent="0.2">
      <c r="A882" t="str">
        <f>"A330050F15Rik"</f>
        <v>A330050F15Rik</v>
      </c>
      <c r="B882" t="s">
        <v>14</v>
      </c>
      <c r="C882" t="s">
        <v>28</v>
      </c>
      <c r="D882" t="s">
        <v>17</v>
      </c>
      <c r="E882" t="s">
        <v>12</v>
      </c>
      <c r="F882">
        <v>69439367</v>
      </c>
      <c r="G882">
        <v>69439402</v>
      </c>
      <c r="H882">
        <v>69439321</v>
      </c>
      <c r="I882">
        <v>69439333</v>
      </c>
    </row>
    <row r="883" spans="1:9" x14ac:dyDescent="0.2">
      <c r="A883" t="str">
        <f>"A330070K13Rik"</f>
        <v>A330070K13Rik</v>
      </c>
      <c r="B883" t="s">
        <v>14</v>
      </c>
      <c r="C883" t="s">
        <v>46</v>
      </c>
      <c r="D883" t="s">
        <v>11</v>
      </c>
      <c r="E883" t="s">
        <v>67</v>
      </c>
      <c r="F883">
        <v>130384596</v>
      </c>
      <c r="G883">
        <v>130384639</v>
      </c>
      <c r="H883">
        <v>130384596</v>
      </c>
      <c r="I883">
        <v>130384639</v>
      </c>
    </row>
    <row r="884" spans="1:9" x14ac:dyDescent="0.2">
      <c r="A884" t="str">
        <f>"A3galt2"</f>
        <v>A3galt2</v>
      </c>
      <c r="B884" t="s">
        <v>14</v>
      </c>
      <c r="C884" t="s">
        <v>23</v>
      </c>
      <c r="D884" t="s">
        <v>17</v>
      </c>
      <c r="E884" t="s">
        <v>12</v>
      </c>
      <c r="F884">
        <v>128759368</v>
      </c>
      <c r="G884">
        <v>128759408</v>
      </c>
      <c r="H884">
        <v>128759368</v>
      </c>
      <c r="I884">
        <v>128759408</v>
      </c>
    </row>
    <row r="885" spans="1:9" x14ac:dyDescent="0.2">
      <c r="A885" t="str">
        <f>"A430005L14Rik"</f>
        <v>A430005L14Rik</v>
      </c>
      <c r="B885" t="s">
        <v>14</v>
      </c>
      <c r="C885" t="s">
        <v>23</v>
      </c>
      <c r="D885" t="s">
        <v>17</v>
      </c>
      <c r="E885" t="s">
        <v>12</v>
      </c>
      <c r="F885">
        <v>153957247</v>
      </c>
      <c r="G885">
        <v>153957275</v>
      </c>
      <c r="H885">
        <v>153957230</v>
      </c>
      <c r="I885">
        <v>153957241</v>
      </c>
    </row>
    <row r="886" spans="1:9" x14ac:dyDescent="0.2">
      <c r="A886" t="str">
        <f>"A430033K04Rik"</f>
        <v>A430033K04Rik</v>
      </c>
      <c r="B886" t="s">
        <v>14</v>
      </c>
      <c r="C886" t="s">
        <v>46</v>
      </c>
      <c r="D886" t="s">
        <v>17</v>
      </c>
      <c r="E886" t="s">
        <v>12</v>
      </c>
      <c r="F886">
        <v>138622838</v>
      </c>
      <c r="G886">
        <v>138622893</v>
      </c>
      <c r="H886">
        <v>138622896</v>
      </c>
      <c r="I886">
        <v>138622905</v>
      </c>
    </row>
    <row r="887" spans="1:9" x14ac:dyDescent="0.2">
      <c r="A887" t="str">
        <f>"A430078G23Rik"</f>
        <v>A430078G23Rik</v>
      </c>
      <c r="B887" t="s">
        <v>14</v>
      </c>
      <c r="C887" t="s">
        <v>30</v>
      </c>
      <c r="D887" t="s">
        <v>17</v>
      </c>
      <c r="E887" t="s">
        <v>12</v>
      </c>
      <c r="F887">
        <v>3353417</v>
      </c>
      <c r="G887">
        <v>3353468</v>
      </c>
      <c r="H887">
        <v>3353417</v>
      </c>
      <c r="I887">
        <v>3353468</v>
      </c>
    </row>
    <row r="888" spans="1:9" x14ac:dyDescent="0.2">
      <c r="A888" t="str">
        <f>"A430093F15Rik"</f>
        <v>A430093F15Rik</v>
      </c>
      <c r="B888" t="s">
        <v>14</v>
      </c>
      <c r="C888" t="s">
        <v>10</v>
      </c>
      <c r="D888" t="s">
        <v>17</v>
      </c>
      <c r="E888" t="s">
        <v>12</v>
      </c>
      <c r="F888">
        <v>10740935</v>
      </c>
      <c r="G888">
        <v>10740949</v>
      </c>
      <c r="H888">
        <v>10740935</v>
      </c>
      <c r="I888">
        <v>10740949</v>
      </c>
    </row>
    <row r="889" spans="1:9" x14ac:dyDescent="0.2">
      <c r="A889" t="str">
        <f>"A430105I19Rik"</f>
        <v>A430105I19Rik</v>
      </c>
      <c r="B889" t="s">
        <v>14</v>
      </c>
      <c r="C889" t="s">
        <v>26</v>
      </c>
      <c r="D889" t="s">
        <v>11</v>
      </c>
      <c r="E889" t="s">
        <v>12</v>
      </c>
      <c r="F889">
        <v>118762607</v>
      </c>
      <c r="G889">
        <v>118762666</v>
      </c>
      <c r="H889">
        <v>118762808</v>
      </c>
      <c r="I889">
        <v>118762824</v>
      </c>
    </row>
    <row r="890" spans="1:9" x14ac:dyDescent="0.2">
      <c r="A890" t="str">
        <f>"A4galt"</f>
        <v>A4galt</v>
      </c>
      <c r="B890" t="s">
        <v>14</v>
      </c>
      <c r="C890" t="s">
        <v>25</v>
      </c>
      <c r="D890" t="s">
        <v>11</v>
      </c>
      <c r="E890" t="s">
        <v>12</v>
      </c>
      <c r="F890">
        <v>83251720</v>
      </c>
      <c r="G890">
        <v>83251736</v>
      </c>
      <c r="H890">
        <v>83251720</v>
      </c>
      <c r="I890">
        <v>83251736</v>
      </c>
    </row>
    <row r="891" spans="1:9" x14ac:dyDescent="0.2">
      <c r="A891" t="str">
        <f>"A4gnt"</f>
        <v>A4gnt</v>
      </c>
      <c r="B891" t="s">
        <v>14</v>
      </c>
      <c r="C891" t="s">
        <v>24</v>
      </c>
      <c r="D891" t="s">
        <v>17</v>
      </c>
      <c r="E891" t="s">
        <v>12</v>
      </c>
      <c r="F891">
        <v>99612468</v>
      </c>
      <c r="G891">
        <v>99612529</v>
      </c>
      <c r="H891">
        <v>99612545</v>
      </c>
      <c r="I891">
        <v>99612557</v>
      </c>
    </row>
    <row r="892" spans="1:9" x14ac:dyDescent="0.2">
      <c r="A892" t="str">
        <f>"A530016L24Rik"</f>
        <v>A530016L24Rik</v>
      </c>
      <c r="B892" t="s">
        <v>14</v>
      </c>
      <c r="C892" t="s">
        <v>16</v>
      </c>
      <c r="D892" t="s">
        <v>17</v>
      </c>
      <c r="E892" t="s">
        <v>12</v>
      </c>
      <c r="F892">
        <v>112489461</v>
      </c>
      <c r="G892">
        <v>112489479</v>
      </c>
      <c r="H892">
        <v>112489461</v>
      </c>
      <c r="I892">
        <v>112489479</v>
      </c>
    </row>
    <row r="893" spans="1:9" x14ac:dyDescent="0.2">
      <c r="A893" t="str">
        <f>"A530021J07Rik"</f>
        <v>A530021J07Rik</v>
      </c>
      <c r="B893" t="s">
        <v>14</v>
      </c>
      <c r="C893" t="s">
        <v>33</v>
      </c>
      <c r="D893" t="s">
        <v>17</v>
      </c>
      <c r="E893" t="s">
        <v>67</v>
      </c>
      <c r="F893">
        <v>83148512</v>
      </c>
      <c r="G893">
        <v>83148554</v>
      </c>
      <c r="H893">
        <v>83148512</v>
      </c>
      <c r="I893">
        <v>83148554</v>
      </c>
    </row>
    <row r="894" spans="1:9" x14ac:dyDescent="0.2">
      <c r="A894" t="str">
        <f>"A530032D15Rik"</f>
        <v>A530032D15Rik</v>
      </c>
      <c r="B894" t="s">
        <v>2085</v>
      </c>
      <c r="C894" t="s">
        <v>19</v>
      </c>
      <c r="D894" t="s">
        <v>11</v>
      </c>
      <c r="E894" t="s">
        <v>20</v>
      </c>
      <c r="F894">
        <v>85109852</v>
      </c>
      <c r="G894">
        <v>85109852</v>
      </c>
      <c r="H894">
        <v>85109852</v>
      </c>
      <c r="I894">
        <v>85109852</v>
      </c>
    </row>
    <row r="895" spans="1:9" x14ac:dyDescent="0.2">
      <c r="A895" t="str">
        <f>"A530053G22Rik"</f>
        <v>A530053G22Rik</v>
      </c>
      <c r="B895" t="s">
        <v>14</v>
      </c>
      <c r="C895" t="s">
        <v>32</v>
      </c>
      <c r="D895" t="s">
        <v>11</v>
      </c>
      <c r="E895" t="s">
        <v>12</v>
      </c>
      <c r="F895">
        <v>60403692</v>
      </c>
      <c r="G895">
        <v>60403712</v>
      </c>
      <c r="H895">
        <v>60403692</v>
      </c>
      <c r="I895">
        <v>60403712</v>
      </c>
    </row>
    <row r="896" spans="1:9" x14ac:dyDescent="0.2">
      <c r="A896" t="str">
        <f>"A530054K11Rik"</f>
        <v>A530054K11Rik</v>
      </c>
      <c r="B896" t="s">
        <v>14</v>
      </c>
      <c r="C896" t="s">
        <v>39</v>
      </c>
      <c r="D896" t="s">
        <v>11</v>
      </c>
      <c r="E896" t="s">
        <v>12</v>
      </c>
      <c r="F896">
        <v>67637776</v>
      </c>
      <c r="G896">
        <v>67637801</v>
      </c>
      <c r="H896">
        <v>67637759</v>
      </c>
      <c r="I896">
        <v>67637771</v>
      </c>
    </row>
    <row r="897" spans="1:9" x14ac:dyDescent="0.2">
      <c r="A897" t="str">
        <f>"A530064D06Rik"</f>
        <v>A530064D06Rik</v>
      </c>
      <c r="B897" t="s">
        <v>14</v>
      </c>
      <c r="C897" t="s">
        <v>28</v>
      </c>
      <c r="D897" t="s">
        <v>11</v>
      </c>
      <c r="E897" t="s">
        <v>12</v>
      </c>
      <c r="F897">
        <v>48167187</v>
      </c>
      <c r="G897">
        <v>48167218</v>
      </c>
      <c r="H897">
        <v>48167273</v>
      </c>
      <c r="I897">
        <v>48167275</v>
      </c>
    </row>
    <row r="898" spans="1:9" x14ac:dyDescent="0.2">
      <c r="A898" t="str">
        <f>"A530084C06Rik"</f>
        <v>A530084C06Rik</v>
      </c>
      <c r="B898" t="s">
        <v>2086</v>
      </c>
      <c r="C898" t="s">
        <v>39</v>
      </c>
      <c r="D898" t="s">
        <v>11</v>
      </c>
      <c r="E898" t="s">
        <v>20</v>
      </c>
      <c r="F898">
        <v>31559332</v>
      </c>
      <c r="G898">
        <v>31559332</v>
      </c>
      <c r="H898">
        <v>31559332</v>
      </c>
      <c r="I898">
        <v>31559332</v>
      </c>
    </row>
    <row r="899" spans="1:9" x14ac:dyDescent="0.2">
      <c r="A899" t="str">
        <f>"A530088E08Rik"</f>
        <v>A530088E08Rik</v>
      </c>
      <c r="B899" t="s">
        <v>14</v>
      </c>
      <c r="C899" t="s">
        <v>28</v>
      </c>
      <c r="D899" t="s">
        <v>17</v>
      </c>
      <c r="E899" t="s">
        <v>12</v>
      </c>
      <c r="F899">
        <v>32402997</v>
      </c>
      <c r="G899">
        <v>32403027</v>
      </c>
      <c r="H899">
        <v>32402997</v>
      </c>
      <c r="I899">
        <v>32403027</v>
      </c>
    </row>
    <row r="900" spans="1:9" x14ac:dyDescent="0.2">
      <c r="A900" t="str">
        <f>"A530099J19Rik"</f>
        <v>A530099J19Rik</v>
      </c>
      <c r="B900" t="s">
        <v>14</v>
      </c>
      <c r="C900" t="s">
        <v>39</v>
      </c>
      <c r="D900" t="s">
        <v>11</v>
      </c>
      <c r="E900" t="s">
        <v>12</v>
      </c>
      <c r="F900">
        <v>19732730</v>
      </c>
      <c r="G900">
        <v>19732755</v>
      </c>
      <c r="H900">
        <v>19732730</v>
      </c>
      <c r="I900">
        <v>19732755</v>
      </c>
    </row>
    <row r="901" spans="1:9" x14ac:dyDescent="0.2">
      <c r="A901" t="str">
        <f>"A630001G21Rik"</f>
        <v>A630001G21Rik</v>
      </c>
      <c r="B901" t="s">
        <v>14</v>
      </c>
      <c r="C901" t="s">
        <v>19</v>
      </c>
      <c r="D901" t="s">
        <v>11</v>
      </c>
      <c r="E901" t="s">
        <v>12</v>
      </c>
      <c r="F901">
        <v>85736525</v>
      </c>
      <c r="G901">
        <v>85736624</v>
      </c>
      <c r="H901">
        <v>85736525</v>
      </c>
      <c r="I901">
        <v>85736624</v>
      </c>
    </row>
    <row r="902" spans="1:9" x14ac:dyDescent="0.2">
      <c r="A902" t="str">
        <f>"A630007B06Rik"</f>
        <v>A630007B06Rik</v>
      </c>
      <c r="B902" t="s">
        <v>14</v>
      </c>
      <c r="C902" t="s">
        <v>10</v>
      </c>
      <c r="D902" t="s">
        <v>11</v>
      </c>
      <c r="E902" t="s">
        <v>12</v>
      </c>
      <c r="F902">
        <v>56822161</v>
      </c>
      <c r="G902">
        <v>56822220</v>
      </c>
      <c r="H902">
        <v>56822108</v>
      </c>
      <c r="I902">
        <v>56822117</v>
      </c>
    </row>
    <row r="903" spans="1:9" x14ac:dyDescent="0.2">
      <c r="A903" t="str">
        <f>"A630010A05Rik"</f>
        <v>A630010A05Rik</v>
      </c>
      <c r="B903" t="s">
        <v>2087</v>
      </c>
      <c r="C903" t="s">
        <v>31</v>
      </c>
      <c r="D903" t="s">
        <v>17</v>
      </c>
      <c r="E903" t="s">
        <v>20</v>
      </c>
      <c r="F903">
        <v>14589208</v>
      </c>
      <c r="G903">
        <v>14589208</v>
      </c>
      <c r="H903">
        <v>14589208</v>
      </c>
      <c r="I903">
        <v>14589208</v>
      </c>
    </row>
    <row r="904" spans="1:9" x14ac:dyDescent="0.2">
      <c r="A904" t="str">
        <f>"A630023A22Rik"</f>
        <v>A630023A22Rik</v>
      </c>
      <c r="B904" t="s">
        <v>14</v>
      </c>
      <c r="C904" t="s">
        <v>41</v>
      </c>
      <c r="D904" t="s">
        <v>11</v>
      </c>
      <c r="E904" t="s">
        <v>12</v>
      </c>
      <c r="F904">
        <v>34102794</v>
      </c>
      <c r="G904">
        <v>34102819</v>
      </c>
      <c r="H904">
        <v>34102740</v>
      </c>
      <c r="I904">
        <v>34102743</v>
      </c>
    </row>
    <row r="905" spans="1:9" x14ac:dyDescent="0.2">
      <c r="A905" t="str">
        <f>"A630033H20Rik"</f>
        <v>A630033H20Rik</v>
      </c>
      <c r="B905" t="s">
        <v>14</v>
      </c>
      <c r="C905" t="s">
        <v>37</v>
      </c>
      <c r="D905" t="s">
        <v>17</v>
      </c>
      <c r="E905" t="s">
        <v>12</v>
      </c>
      <c r="F905">
        <v>107149580</v>
      </c>
      <c r="G905">
        <v>107149605</v>
      </c>
      <c r="H905">
        <v>107148904</v>
      </c>
      <c r="I905">
        <v>107148940</v>
      </c>
    </row>
    <row r="906" spans="1:9" x14ac:dyDescent="0.2">
      <c r="A906" t="str">
        <f>"A630073D07Rik"</f>
        <v>A630073D07Rik</v>
      </c>
      <c r="B906" t="s">
        <v>14</v>
      </c>
      <c r="C906" t="s">
        <v>32</v>
      </c>
      <c r="D906" t="s">
        <v>11</v>
      </c>
      <c r="E906" t="s">
        <v>12</v>
      </c>
      <c r="F906">
        <v>132627512</v>
      </c>
      <c r="G906">
        <v>132627516</v>
      </c>
      <c r="H906">
        <v>132627512</v>
      </c>
      <c r="I906">
        <v>132627516</v>
      </c>
    </row>
    <row r="907" spans="1:9" x14ac:dyDescent="0.2">
      <c r="A907" t="str">
        <f>"A630076J17Rik"</f>
        <v>A630076J17Rik</v>
      </c>
      <c r="B907" t="s">
        <v>14</v>
      </c>
      <c r="C907" t="s">
        <v>22</v>
      </c>
      <c r="D907" t="s">
        <v>17</v>
      </c>
      <c r="E907" t="s">
        <v>67</v>
      </c>
      <c r="F907">
        <v>107230608</v>
      </c>
      <c r="G907">
        <v>107230617</v>
      </c>
      <c r="H907">
        <v>107230456</v>
      </c>
      <c r="I907">
        <v>107230467</v>
      </c>
    </row>
    <row r="908" spans="1:9" x14ac:dyDescent="0.2">
      <c r="A908" t="str">
        <f>"A630081J09Rik"</f>
        <v>A630081J09Rik</v>
      </c>
      <c r="B908" t="s">
        <v>2088</v>
      </c>
      <c r="C908" t="s">
        <v>46</v>
      </c>
      <c r="D908" t="s">
        <v>11</v>
      </c>
      <c r="E908" t="s">
        <v>20</v>
      </c>
      <c r="F908">
        <v>137212388</v>
      </c>
      <c r="G908">
        <v>137212388</v>
      </c>
      <c r="H908">
        <v>137212388</v>
      </c>
      <c r="I908">
        <v>137212388</v>
      </c>
    </row>
    <row r="909" spans="1:9" x14ac:dyDescent="0.2">
      <c r="A909" t="str">
        <f>"A630091E08Rik"</f>
        <v>A630091E08Rik</v>
      </c>
      <c r="B909" t="s">
        <v>14</v>
      </c>
      <c r="C909" t="s">
        <v>33</v>
      </c>
      <c r="D909" t="s">
        <v>11</v>
      </c>
      <c r="E909" t="s">
        <v>67</v>
      </c>
      <c r="F909">
        <v>98562982</v>
      </c>
      <c r="G909">
        <v>98563004</v>
      </c>
      <c r="H909">
        <v>98562971</v>
      </c>
      <c r="I909">
        <v>98562980</v>
      </c>
    </row>
    <row r="910" spans="1:9" x14ac:dyDescent="0.2">
      <c r="A910" t="str">
        <f>"A630095E13Rik"</f>
        <v>A630095E13Rik</v>
      </c>
      <c r="B910" t="s">
        <v>14</v>
      </c>
      <c r="C910" t="s">
        <v>24</v>
      </c>
      <c r="D910" t="s">
        <v>11</v>
      </c>
      <c r="E910" t="s">
        <v>12</v>
      </c>
      <c r="F910">
        <v>36638595</v>
      </c>
      <c r="G910">
        <v>36638609</v>
      </c>
      <c r="H910">
        <v>36638595</v>
      </c>
      <c r="I910">
        <v>36638609</v>
      </c>
    </row>
    <row r="911" spans="1:9" x14ac:dyDescent="0.2">
      <c r="A911" t="str">
        <f>"A630095N17Rik"</f>
        <v>A630095N17Rik</v>
      </c>
      <c r="B911" t="s">
        <v>9</v>
      </c>
      <c r="C911" t="s">
        <v>19</v>
      </c>
      <c r="D911" t="s">
        <v>11</v>
      </c>
      <c r="E911" t="s">
        <v>12</v>
      </c>
      <c r="F911">
        <v>75223724</v>
      </c>
      <c r="G911">
        <v>75223742</v>
      </c>
      <c r="H911">
        <v>75223724</v>
      </c>
      <c r="I911">
        <v>75223742</v>
      </c>
    </row>
    <row r="912" spans="1:9" x14ac:dyDescent="0.2">
      <c r="A912" t="str">
        <f>"A630095N17Rik"</f>
        <v>A630095N17Rik</v>
      </c>
      <c r="B912" t="s">
        <v>13</v>
      </c>
      <c r="C912" t="s">
        <v>19</v>
      </c>
      <c r="D912" t="s">
        <v>11</v>
      </c>
      <c r="E912" t="s">
        <v>12</v>
      </c>
      <c r="F912">
        <v>75232074</v>
      </c>
      <c r="G912">
        <v>75232081</v>
      </c>
      <c r="H912">
        <v>75232074</v>
      </c>
      <c r="I912">
        <v>75232081</v>
      </c>
    </row>
    <row r="913" spans="1:9" x14ac:dyDescent="0.2">
      <c r="A913" t="str">
        <f>"A730013G03Rik"</f>
        <v>A730013G03Rik</v>
      </c>
      <c r="B913" t="s">
        <v>14</v>
      </c>
      <c r="C913" t="s">
        <v>19</v>
      </c>
      <c r="D913" t="s">
        <v>11</v>
      </c>
      <c r="E913" t="s">
        <v>67</v>
      </c>
      <c r="F913">
        <v>192834557</v>
      </c>
      <c r="G913">
        <v>192834558</v>
      </c>
      <c r="H913">
        <v>192834557</v>
      </c>
      <c r="I913">
        <v>192834558</v>
      </c>
    </row>
    <row r="914" spans="1:9" x14ac:dyDescent="0.2">
      <c r="A914" t="str">
        <f>"A730015C16Rik"</f>
        <v>A730015C16Rik</v>
      </c>
      <c r="B914" t="s">
        <v>14</v>
      </c>
      <c r="C914" t="s">
        <v>23</v>
      </c>
      <c r="D914" t="s">
        <v>11</v>
      </c>
      <c r="E914" t="s">
        <v>67</v>
      </c>
      <c r="F914">
        <v>108848356</v>
      </c>
      <c r="G914">
        <v>108848405</v>
      </c>
      <c r="H914">
        <v>108848356</v>
      </c>
      <c r="I914">
        <v>108848405</v>
      </c>
    </row>
    <row r="915" spans="1:9" x14ac:dyDescent="0.2">
      <c r="A915" t="str">
        <f>"A730017C20Rik"</f>
        <v>A730017C20Rik</v>
      </c>
      <c r="B915" t="s">
        <v>14</v>
      </c>
      <c r="C915" t="s">
        <v>43</v>
      </c>
      <c r="D915" t="s">
        <v>17</v>
      </c>
      <c r="E915" t="s">
        <v>12</v>
      </c>
      <c r="F915">
        <v>59062488</v>
      </c>
      <c r="G915">
        <v>59062538</v>
      </c>
      <c r="H915">
        <v>59062344</v>
      </c>
      <c r="I915">
        <v>59062376</v>
      </c>
    </row>
    <row r="916" spans="1:9" x14ac:dyDescent="0.2">
      <c r="A916" t="str">
        <f>"A730018C14Rik"</f>
        <v>A730018C14Rik</v>
      </c>
      <c r="B916" t="s">
        <v>14</v>
      </c>
      <c r="C916" t="s">
        <v>16</v>
      </c>
      <c r="D916" t="s">
        <v>11</v>
      </c>
      <c r="E916" t="s">
        <v>12</v>
      </c>
      <c r="F916">
        <v>112423164</v>
      </c>
      <c r="G916">
        <v>112423167</v>
      </c>
      <c r="H916">
        <v>112423164</v>
      </c>
      <c r="I916">
        <v>112423167</v>
      </c>
    </row>
    <row r="917" spans="1:9" x14ac:dyDescent="0.2">
      <c r="A917" t="str">
        <f>"A730020M07Rik"</f>
        <v>A730020M07Rik</v>
      </c>
      <c r="B917" t="s">
        <v>14</v>
      </c>
      <c r="C917" t="s">
        <v>22</v>
      </c>
      <c r="D917" t="s">
        <v>11</v>
      </c>
      <c r="E917" t="s">
        <v>12</v>
      </c>
      <c r="F917">
        <v>121643388</v>
      </c>
      <c r="G917">
        <v>121643419</v>
      </c>
      <c r="H917">
        <v>121643388</v>
      </c>
      <c r="I917">
        <v>121643419</v>
      </c>
    </row>
    <row r="918" spans="1:9" x14ac:dyDescent="0.2">
      <c r="A918" t="str">
        <f>"A730045E13Rik"</f>
        <v>A730045E13Rik</v>
      </c>
      <c r="B918" t="s">
        <v>2089</v>
      </c>
      <c r="C918" t="s">
        <v>30</v>
      </c>
      <c r="D918" t="s">
        <v>17</v>
      </c>
      <c r="E918" t="s">
        <v>20</v>
      </c>
      <c r="F918">
        <v>24173903</v>
      </c>
      <c r="G918">
        <v>24173903</v>
      </c>
      <c r="H918">
        <v>24173903</v>
      </c>
      <c r="I918">
        <v>24173903</v>
      </c>
    </row>
    <row r="919" spans="1:9" x14ac:dyDescent="0.2">
      <c r="A919" t="str">
        <f>"A730049H05Rik"</f>
        <v>A730049H05Rik</v>
      </c>
      <c r="B919" t="s">
        <v>14</v>
      </c>
      <c r="C919" t="s">
        <v>32</v>
      </c>
      <c r="D919" t="s">
        <v>17</v>
      </c>
      <c r="E919" t="s">
        <v>67</v>
      </c>
      <c r="F919">
        <v>92816460</v>
      </c>
      <c r="G919">
        <v>92816483</v>
      </c>
      <c r="H919">
        <v>92816433</v>
      </c>
      <c r="I919">
        <v>92816455</v>
      </c>
    </row>
    <row r="920" spans="1:9" x14ac:dyDescent="0.2">
      <c r="A920" t="str">
        <f>"A730061H03Rik"</f>
        <v>A730061H03Rik</v>
      </c>
      <c r="B920" t="s">
        <v>14</v>
      </c>
      <c r="C920" t="s">
        <v>41</v>
      </c>
      <c r="D920" t="s">
        <v>11</v>
      </c>
      <c r="E920" t="s">
        <v>67</v>
      </c>
      <c r="F920">
        <v>55560403</v>
      </c>
      <c r="G920">
        <v>55560411</v>
      </c>
      <c r="H920">
        <v>55560425</v>
      </c>
      <c r="I920">
        <v>55560432</v>
      </c>
    </row>
    <row r="921" spans="1:9" x14ac:dyDescent="0.2">
      <c r="A921" t="str">
        <f>"A730071L15Rik"</f>
        <v>A730071L15Rik</v>
      </c>
      <c r="B921" t="s">
        <v>2090</v>
      </c>
      <c r="C921" t="s">
        <v>27</v>
      </c>
      <c r="D921" t="s">
        <v>17</v>
      </c>
      <c r="E921" t="s">
        <v>20</v>
      </c>
      <c r="F921">
        <v>6200028</v>
      </c>
      <c r="G921">
        <v>6200028</v>
      </c>
      <c r="H921">
        <v>6200028</v>
      </c>
      <c r="I921">
        <v>6200028</v>
      </c>
    </row>
    <row r="922" spans="1:9" x14ac:dyDescent="0.2">
      <c r="A922" t="str">
        <f>"A830005F24Rik"</f>
        <v>A830005F24Rik</v>
      </c>
      <c r="B922" t="s">
        <v>14</v>
      </c>
      <c r="C922" t="s">
        <v>39</v>
      </c>
      <c r="D922" t="s">
        <v>17</v>
      </c>
      <c r="E922" t="s">
        <v>12</v>
      </c>
      <c r="F922">
        <v>48513512</v>
      </c>
      <c r="G922">
        <v>48513545</v>
      </c>
      <c r="H922">
        <v>48513557</v>
      </c>
      <c r="I922">
        <v>48513575</v>
      </c>
    </row>
    <row r="923" spans="1:9" x14ac:dyDescent="0.2">
      <c r="A923" t="str">
        <f>"A830010M20Rik"</f>
        <v>A830010M20Rik</v>
      </c>
      <c r="B923" t="s">
        <v>14</v>
      </c>
      <c r="C923" t="s">
        <v>46</v>
      </c>
      <c r="D923" t="s">
        <v>17</v>
      </c>
      <c r="E923" t="s">
        <v>12</v>
      </c>
      <c r="F923">
        <v>107497762</v>
      </c>
      <c r="G923">
        <v>107497802</v>
      </c>
      <c r="H923">
        <v>107497762</v>
      </c>
      <c r="I923">
        <v>107497802</v>
      </c>
    </row>
    <row r="924" spans="1:9" x14ac:dyDescent="0.2">
      <c r="A924" t="str">
        <f>"A830018L16Rik"</f>
        <v>A830018L16Rik</v>
      </c>
      <c r="B924" t="s">
        <v>14</v>
      </c>
      <c r="C924" t="s">
        <v>19</v>
      </c>
      <c r="D924" t="s">
        <v>17</v>
      </c>
      <c r="E924" t="s">
        <v>12</v>
      </c>
      <c r="F924">
        <v>11414089</v>
      </c>
      <c r="G924">
        <v>11414146</v>
      </c>
      <c r="H924">
        <v>11414184</v>
      </c>
      <c r="I924">
        <v>11414248</v>
      </c>
    </row>
    <row r="925" spans="1:9" x14ac:dyDescent="0.2">
      <c r="A925" t="str">
        <f>"A830031A19Rik"</f>
        <v>A830031A19Rik</v>
      </c>
      <c r="B925" t="s">
        <v>2091</v>
      </c>
      <c r="C925" t="s">
        <v>27</v>
      </c>
      <c r="D925" t="s">
        <v>11</v>
      </c>
      <c r="E925" t="s">
        <v>20</v>
      </c>
      <c r="F925">
        <v>24075053</v>
      </c>
      <c r="G925">
        <v>24075053</v>
      </c>
      <c r="H925">
        <v>24075053</v>
      </c>
      <c r="I925">
        <v>24075053</v>
      </c>
    </row>
    <row r="926" spans="1:9" x14ac:dyDescent="0.2">
      <c r="A926" t="str">
        <f>"A830035O19Rik"</f>
        <v>A830035O19Rik</v>
      </c>
      <c r="B926" t="s">
        <v>2092</v>
      </c>
      <c r="C926" t="s">
        <v>24</v>
      </c>
      <c r="D926" t="s">
        <v>17</v>
      </c>
      <c r="E926" t="s">
        <v>20</v>
      </c>
      <c r="F926">
        <v>45954100</v>
      </c>
      <c r="G926">
        <v>45954100</v>
      </c>
      <c r="H926">
        <v>45954100</v>
      </c>
      <c r="I926">
        <v>45954100</v>
      </c>
    </row>
    <row r="927" spans="1:9" x14ac:dyDescent="0.2">
      <c r="A927" t="str">
        <f>"A830073O21Rik"</f>
        <v>A830073O21Rik</v>
      </c>
      <c r="B927" t="s">
        <v>14</v>
      </c>
      <c r="C927" t="s">
        <v>33</v>
      </c>
      <c r="D927" t="s">
        <v>11</v>
      </c>
      <c r="E927" t="s">
        <v>67</v>
      </c>
      <c r="F927">
        <v>73740896</v>
      </c>
      <c r="G927">
        <v>73740926</v>
      </c>
      <c r="H927">
        <v>73740932</v>
      </c>
      <c r="I927">
        <v>73740951</v>
      </c>
    </row>
    <row r="928" spans="1:9" x14ac:dyDescent="0.2">
      <c r="A928" t="str">
        <f>"A830080D01Rik"</f>
        <v>A830080D01Rik</v>
      </c>
      <c r="B928" t="s">
        <v>14</v>
      </c>
      <c r="C928" t="s">
        <v>37</v>
      </c>
      <c r="D928" t="s">
        <v>17</v>
      </c>
      <c r="E928" t="s">
        <v>12</v>
      </c>
      <c r="F928">
        <v>159532674</v>
      </c>
      <c r="G928">
        <v>159532748</v>
      </c>
      <c r="H928">
        <v>159532655</v>
      </c>
      <c r="I928">
        <v>159532668</v>
      </c>
    </row>
    <row r="929" spans="1:9" x14ac:dyDescent="0.2">
      <c r="A929" t="str">
        <f>"A830092H15Rik"</f>
        <v>A830092H15Rik</v>
      </c>
      <c r="B929" t="s">
        <v>14</v>
      </c>
      <c r="C929" t="s">
        <v>22</v>
      </c>
      <c r="D929" t="s">
        <v>17</v>
      </c>
      <c r="E929" t="s">
        <v>67</v>
      </c>
      <c r="F929">
        <v>26331252</v>
      </c>
      <c r="G929">
        <v>26331284</v>
      </c>
      <c r="H929">
        <v>26331174</v>
      </c>
      <c r="I929">
        <v>26331184</v>
      </c>
    </row>
    <row r="930" spans="1:9" x14ac:dyDescent="0.2">
      <c r="A930" t="str">
        <f>"A930002H24Rik"</f>
        <v>A930002H24Rik</v>
      </c>
      <c r="B930" t="s">
        <v>2093</v>
      </c>
      <c r="C930" t="s">
        <v>28</v>
      </c>
      <c r="D930" t="s">
        <v>11</v>
      </c>
      <c r="E930" t="s">
        <v>20</v>
      </c>
      <c r="F930">
        <v>63863790</v>
      </c>
      <c r="G930">
        <v>63863790</v>
      </c>
      <c r="H930">
        <v>63863790</v>
      </c>
      <c r="I930">
        <v>63863790</v>
      </c>
    </row>
    <row r="931" spans="1:9" x14ac:dyDescent="0.2">
      <c r="A931" t="str">
        <f>"A930003A15Rik"</f>
        <v>A930003A15Rik</v>
      </c>
      <c r="B931" t="s">
        <v>14</v>
      </c>
      <c r="C931" t="s">
        <v>31</v>
      </c>
      <c r="D931" t="s">
        <v>11</v>
      </c>
      <c r="E931" t="s">
        <v>12</v>
      </c>
      <c r="F931">
        <v>19884267</v>
      </c>
      <c r="G931">
        <v>19884285</v>
      </c>
      <c r="H931">
        <v>19884231</v>
      </c>
      <c r="I931">
        <v>19884252</v>
      </c>
    </row>
    <row r="932" spans="1:9" x14ac:dyDescent="0.2">
      <c r="A932" t="str">
        <f>"A930004D18Rik"</f>
        <v>A930004D18Rik</v>
      </c>
      <c r="B932" t="s">
        <v>14</v>
      </c>
      <c r="C932" t="s">
        <v>26</v>
      </c>
      <c r="D932" t="s">
        <v>11</v>
      </c>
      <c r="E932" t="s">
        <v>12</v>
      </c>
      <c r="F932">
        <v>18037718</v>
      </c>
      <c r="G932">
        <v>18037758</v>
      </c>
      <c r="H932">
        <v>18037718</v>
      </c>
      <c r="I932">
        <v>18037758</v>
      </c>
    </row>
    <row r="933" spans="1:9" x14ac:dyDescent="0.2">
      <c r="A933" t="str">
        <f>"A930005H10Rik"</f>
        <v>A930005H10Rik</v>
      </c>
      <c r="B933" t="s">
        <v>14</v>
      </c>
      <c r="C933" t="s">
        <v>22</v>
      </c>
      <c r="D933" t="s">
        <v>11</v>
      </c>
      <c r="E933" t="s">
        <v>12</v>
      </c>
      <c r="F933">
        <v>115888086</v>
      </c>
      <c r="G933">
        <v>115888137</v>
      </c>
      <c r="H933">
        <v>115888055</v>
      </c>
      <c r="I933">
        <v>115888082</v>
      </c>
    </row>
    <row r="934" spans="1:9" x14ac:dyDescent="0.2">
      <c r="A934" t="str">
        <f>"A930009A15Rik"</f>
        <v>A930009A15Rik</v>
      </c>
      <c r="B934" t="s">
        <v>14</v>
      </c>
      <c r="C934" t="s">
        <v>15</v>
      </c>
      <c r="D934" t="s">
        <v>17</v>
      </c>
      <c r="E934" t="s">
        <v>12</v>
      </c>
      <c r="F934">
        <v>115570009</v>
      </c>
      <c r="G934">
        <v>115570035</v>
      </c>
      <c r="H934">
        <v>115570041</v>
      </c>
      <c r="I934">
        <v>115570055</v>
      </c>
    </row>
    <row r="935" spans="1:9" x14ac:dyDescent="0.2">
      <c r="A935" t="str">
        <f>"A930011G23Rik"</f>
        <v>A930011G23Rik</v>
      </c>
      <c r="B935" t="s">
        <v>14</v>
      </c>
      <c r="C935" t="s">
        <v>46</v>
      </c>
      <c r="D935" t="s">
        <v>11</v>
      </c>
      <c r="E935" t="s">
        <v>12</v>
      </c>
      <c r="F935">
        <v>99729039</v>
      </c>
      <c r="G935">
        <v>99729112</v>
      </c>
      <c r="H935">
        <v>99729039</v>
      </c>
      <c r="I935">
        <v>99729112</v>
      </c>
    </row>
    <row r="936" spans="1:9" x14ac:dyDescent="0.2">
      <c r="A936" t="str">
        <f>"A930016O22Rik"</f>
        <v>A930016O22Rik</v>
      </c>
      <c r="B936" t="s">
        <v>14</v>
      </c>
      <c r="C936" t="s">
        <v>33</v>
      </c>
      <c r="D936" t="s">
        <v>11</v>
      </c>
      <c r="E936" t="s">
        <v>67</v>
      </c>
      <c r="F936">
        <v>19421375</v>
      </c>
      <c r="G936">
        <v>19421389</v>
      </c>
      <c r="H936">
        <v>19421411</v>
      </c>
      <c r="I936">
        <v>19421420</v>
      </c>
    </row>
    <row r="937" spans="1:9" x14ac:dyDescent="0.2">
      <c r="A937" t="str">
        <f>"A930017K11Rik"</f>
        <v>A930017K11Rik</v>
      </c>
      <c r="B937" t="s">
        <v>14</v>
      </c>
      <c r="C937" t="s">
        <v>28</v>
      </c>
      <c r="D937" t="s">
        <v>11</v>
      </c>
      <c r="E937" t="s">
        <v>67</v>
      </c>
      <c r="F937">
        <v>25952053</v>
      </c>
      <c r="G937">
        <v>25952082</v>
      </c>
      <c r="H937">
        <v>25952673</v>
      </c>
      <c r="I937">
        <v>25952708</v>
      </c>
    </row>
    <row r="938" spans="1:9" x14ac:dyDescent="0.2">
      <c r="A938" t="str">
        <f>"A930018M24Rik"</f>
        <v>A930018M24Rik</v>
      </c>
      <c r="B938" t="s">
        <v>14</v>
      </c>
      <c r="C938" t="s">
        <v>41</v>
      </c>
      <c r="D938" t="s">
        <v>11</v>
      </c>
      <c r="E938" t="s">
        <v>67</v>
      </c>
      <c r="F938">
        <v>50897472</v>
      </c>
      <c r="G938">
        <v>50897507</v>
      </c>
      <c r="H938">
        <v>50897580</v>
      </c>
      <c r="I938">
        <v>50897592</v>
      </c>
    </row>
    <row r="939" spans="1:9" x14ac:dyDescent="0.2">
      <c r="A939" t="str">
        <f>"A930018P22Rik"</f>
        <v>A930018P22Rik</v>
      </c>
      <c r="B939" t="s">
        <v>14</v>
      </c>
      <c r="C939" t="s">
        <v>26</v>
      </c>
      <c r="D939" t="s">
        <v>17</v>
      </c>
      <c r="E939" t="s">
        <v>12</v>
      </c>
      <c r="F939">
        <v>104122738</v>
      </c>
      <c r="G939">
        <v>104122774</v>
      </c>
      <c r="H939">
        <v>104122795</v>
      </c>
      <c r="I939">
        <v>104122813</v>
      </c>
    </row>
    <row r="940" spans="1:9" x14ac:dyDescent="0.2">
      <c r="A940" t="str">
        <f>"A930033H14Rik"</f>
        <v>A930033H14Rik</v>
      </c>
      <c r="B940" t="s">
        <v>14</v>
      </c>
      <c r="C940" t="s">
        <v>15</v>
      </c>
      <c r="D940" t="s">
        <v>11</v>
      </c>
      <c r="E940" t="s">
        <v>67</v>
      </c>
      <c r="F940">
        <v>69212996</v>
      </c>
      <c r="G940">
        <v>69213014</v>
      </c>
      <c r="H940">
        <v>69213092</v>
      </c>
      <c r="I940">
        <v>69213131</v>
      </c>
    </row>
    <row r="941" spans="1:9" x14ac:dyDescent="0.2">
      <c r="A941" t="str">
        <f>"A930039A15Rik"</f>
        <v>A930039A15Rik</v>
      </c>
      <c r="B941" t="s">
        <v>14</v>
      </c>
      <c r="C941" t="s">
        <v>19</v>
      </c>
      <c r="D941" t="s">
        <v>17</v>
      </c>
      <c r="E941" t="s">
        <v>67</v>
      </c>
      <c r="F941">
        <v>153904808</v>
      </c>
      <c r="G941">
        <v>153904809</v>
      </c>
      <c r="H941">
        <v>153904808</v>
      </c>
      <c r="I941">
        <v>153904809</v>
      </c>
    </row>
    <row r="942" spans="1:9" x14ac:dyDescent="0.2">
      <c r="A942" t="str">
        <f>"AA386476"</f>
        <v>AA386476</v>
      </c>
      <c r="B942" t="s">
        <v>14</v>
      </c>
      <c r="C942" t="s">
        <v>30</v>
      </c>
      <c r="D942" t="s">
        <v>17</v>
      </c>
      <c r="E942" t="s">
        <v>67</v>
      </c>
      <c r="F942">
        <v>47675362</v>
      </c>
      <c r="G942">
        <v>47675413</v>
      </c>
      <c r="H942">
        <v>47675362</v>
      </c>
      <c r="I942">
        <v>47675413</v>
      </c>
    </row>
    <row r="943" spans="1:9" x14ac:dyDescent="0.2">
      <c r="A943" t="str">
        <f>"AA415398"</f>
        <v>AA415398</v>
      </c>
      <c r="B943" t="s">
        <v>2094</v>
      </c>
      <c r="C943" t="s">
        <v>23</v>
      </c>
      <c r="D943" t="s">
        <v>11</v>
      </c>
      <c r="E943" t="s">
        <v>20</v>
      </c>
      <c r="F943">
        <v>119538768</v>
      </c>
      <c r="G943">
        <v>119538768</v>
      </c>
      <c r="H943">
        <v>119538768</v>
      </c>
      <c r="I943">
        <v>119538768</v>
      </c>
    </row>
    <row r="944" spans="1:9" x14ac:dyDescent="0.2">
      <c r="A944" t="str">
        <f>"AA467197"</f>
        <v>AA467197</v>
      </c>
      <c r="B944" t="s">
        <v>14</v>
      </c>
      <c r="C944" t="s">
        <v>26</v>
      </c>
      <c r="D944" t="s">
        <v>17</v>
      </c>
      <c r="E944" t="s">
        <v>12</v>
      </c>
      <c r="F944">
        <v>122637867</v>
      </c>
      <c r="G944">
        <v>122637923</v>
      </c>
      <c r="H944">
        <v>122637844</v>
      </c>
      <c r="I944">
        <v>122637864</v>
      </c>
    </row>
    <row r="945" spans="1:9" x14ac:dyDescent="0.2">
      <c r="A945" t="str">
        <f>"AA474331"</f>
        <v>AA474331</v>
      </c>
      <c r="B945" t="s">
        <v>14</v>
      </c>
      <c r="C945" t="s">
        <v>15</v>
      </c>
      <c r="D945" t="s">
        <v>11</v>
      </c>
      <c r="E945" t="s">
        <v>12</v>
      </c>
      <c r="F945">
        <v>39899187</v>
      </c>
      <c r="G945">
        <v>39899270</v>
      </c>
      <c r="H945">
        <v>39899163</v>
      </c>
      <c r="I945">
        <v>39899184</v>
      </c>
    </row>
    <row r="946" spans="1:9" x14ac:dyDescent="0.2">
      <c r="A946" t="str">
        <f>"AA474408"</f>
        <v>AA474408</v>
      </c>
      <c r="B946" t="s">
        <v>14</v>
      </c>
      <c r="C946" t="s">
        <v>33</v>
      </c>
      <c r="D946" t="s">
        <v>11</v>
      </c>
      <c r="E946" t="s">
        <v>67</v>
      </c>
      <c r="F946">
        <v>110061319</v>
      </c>
      <c r="G946">
        <v>110061341</v>
      </c>
      <c r="H946">
        <v>110061353</v>
      </c>
      <c r="I946">
        <v>110061364</v>
      </c>
    </row>
    <row r="947" spans="1:9" x14ac:dyDescent="0.2">
      <c r="A947" t="str">
        <f>"AA792892"</f>
        <v>AA792892</v>
      </c>
      <c r="B947" t="s">
        <v>2095</v>
      </c>
      <c r="C947" t="s">
        <v>46</v>
      </c>
      <c r="D947" t="s">
        <v>17</v>
      </c>
      <c r="E947" t="s">
        <v>20</v>
      </c>
      <c r="F947">
        <v>94339748</v>
      </c>
      <c r="G947">
        <v>94339748</v>
      </c>
      <c r="H947">
        <v>94339748</v>
      </c>
      <c r="I947">
        <v>94339748</v>
      </c>
    </row>
    <row r="948" spans="1:9" x14ac:dyDescent="0.2">
      <c r="A948" t="str">
        <f>"AA986860"</f>
        <v>AA986860</v>
      </c>
      <c r="B948" t="s">
        <v>14</v>
      </c>
      <c r="C948" t="s">
        <v>19</v>
      </c>
      <c r="D948" t="s">
        <v>17</v>
      </c>
      <c r="E948" t="s">
        <v>12</v>
      </c>
      <c r="F948">
        <v>130732103</v>
      </c>
      <c r="G948">
        <v>130732135</v>
      </c>
      <c r="H948">
        <v>130732103</v>
      </c>
      <c r="I948">
        <v>130732135</v>
      </c>
    </row>
    <row r="949" spans="1:9" x14ac:dyDescent="0.2">
      <c r="A949" t="str">
        <f>"AA987161"</f>
        <v>AA987161</v>
      </c>
      <c r="B949" t="s">
        <v>14</v>
      </c>
      <c r="C949" t="s">
        <v>39</v>
      </c>
      <c r="D949" t="s">
        <v>11</v>
      </c>
      <c r="E949" t="s">
        <v>12</v>
      </c>
      <c r="F949">
        <v>67609634</v>
      </c>
      <c r="G949">
        <v>67609664</v>
      </c>
      <c r="H949">
        <v>67609667</v>
      </c>
      <c r="I949">
        <v>67609695</v>
      </c>
    </row>
    <row r="950" spans="1:9" x14ac:dyDescent="0.2">
      <c r="A950" t="str">
        <f>"AB041803"</f>
        <v>AB041803</v>
      </c>
      <c r="B950" t="s">
        <v>14</v>
      </c>
      <c r="C950" t="s">
        <v>32</v>
      </c>
      <c r="D950" t="s">
        <v>11</v>
      </c>
      <c r="E950" t="s">
        <v>67</v>
      </c>
      <c r="F950">
        <v>31218470</v>
      </c>
      <c r="G950">
        <v>31218485</v>
      </c>
      <c r="H950">
        <v>31218421</v>
      </c>
      <c r="I950">
        <v>31218440</v>
      </c>
    </row>
    <row r="951" spans="1:9" x14ac:dyDescent="0.2">
      <c r="A951" t="str">
        <f>"AB041806"</f>
        <v>AB041806</v>
      </c>
      <c r="B951" t="s">
        <v>14</v>
      </c>
      <c r="C951" t="s">
        <v>23</v>
      </c>
      <c r="D951" t="s">
        <v>17</v>
      </c>
      <c r="E951" t="s">
        <v>67</v>
      </c>
      <c r="F951">
        <v>138395197</v>
      </c>
      <c r="G951">
        <v>138395210</v>
      </c>
      <c r="H951">
        <v>138395197</v>
      </c>
      <c r="I951">
        <v>138395210</v>
      </c>
    </row>
    <row r="952" spans="1:9" x14ac:dyDescent="0.2">
      <c r="A952" t="str">
        <f>"AB099516"</f>
        <v>AB099516</v>
      </c>
      <c r="B952" t="s">
        <v>14</v>
      </c>
      <c r="C952" t="s">
        <v>25</v>
      </c>
      <c r="D952" t="s">
        <v>17</v>
      </c>
      <c r="E952" t="s">
        <v>12</v>
      </c>
      <c r="F952">
        <v>100364563</v>
      </c>
      <c r="G952">
        <v>100364573</v>
      </c>
      <c r="H952">
        <v>100364538</v>
      </c>
      <c r="I952">
        <v>100364551</v>
      </c>
    </row>
    <row r="953" spans="1:9" x14ac:dyDescent="0.2">
      <c r="A953" t="str">
        <f>"AB124611"</f>
        <v>AB124611</v>
      </c>
      <c r="B953" t="s">
        <v>14</v>
      </c>
      <c r="C953" t="s">
        <v>24</v>
      </c>
      <c r="D953" t="s">
        <v>17</v>
      </c>
      <c r="E953" t="s">
        <v>12</v>
      </c>
      <c r="F953">
        <v>21526144</v>
      </c>
      <c r="G953">
        <v>21526207</v>
      </c>
      <c r="H953">
        <v>21526222</v>
      </c>
      <c r="I953">
        <v>21526233</v>
      </c>
    </row>
    <row r="954" spans="1:9" x14ac:dyDescent="0.2">
      <c r="A954" t="str">
        <f>"AC110575.1"</f>
        <v>AC110575.1</v>
      </c>
      <c r="B954" t="s">
        <v>2096</v>
      </c>
      <c r="C954" t="s">
        <v>22</v>
      </c>
      <c r="D954" t="s">
        <v>11</v>
      </c>
      <c r="E954" t="s">
        <v>20</v>
      </c>
      <c r="F954">
        <v>64719601</v>
      </c>
      <c r="G954">
        <v>64719601</v>
      </c>
      <c r="H954">
        <v>64719601</v>
      </c>
      <c r="I954">
        <v>64719601</v>
      </c>
    </row>
    <row r="955" spans="1:9" x14ac:dyDescent="0.2">
      <c r="A955" t="str">
        <f>"AC163993.1"</f>
        <v>AC163993.1</v>
      </c>
      <c r="B955" t="s">
        <v>2097</v>
      </c>
      <c r="C955" t="s">
        <v>10</v>
      </c>
      <c r="D955" t="s">
        <v>11</v>
      </c>
      <c r="E955" t="s">
        <v>20</v>
      </c>
      <c r="F955">
        <v>28911878</v>
      </c>
      <c r="G955">
        <v>28911878</v>
      </c>
      <c r="H955">
        <v>28911878</v>
      </c>
      <c r="I955">
        <v>28911878</v>
      </c>
    </row>
    <row r="956" spans="1:9" x14ac:dyDescent="0.2">
      <c r="A956" t="str">
        <f>"ACE3"</f>
        <v>ACE3</v>
      </c>
      <c r="B956" t="s">
        <v>14</v>
      </c>
      <c r="C956" t="s">
        <v>27</v>
      </c>
      <c r="D956" t="s">
        <v>17</v>
      </c>
      <c r="E956" t="s">
        <v>67</v>
      </c>
      <c r="F956">
        <v>105994635</v>
      </c>
      <c r="G956">
        <v>105994678</v>
      </c>
      <c r="H956">
        <v>105994635</v>
      </c>
      <c r="I956">
        <v>105994678</v>
      </c>
    </row>
    <row r="957" spans="1:9" x14ac:dyDescent="0.2">
      <c r="A957" t="str">
        <f>"AF067061"</f>
        <v>AF067061</v>
      </c>
      <c r="B957" t="s">
        <v>2098</v>
      </c>
      <c r="C957" t="s">
        <v>39</v>
      </c>
      <c r="D957" t="s">
        <v>17</v>
      </c>
      <c r="E957" t="s">
        <v>20</v>
      </c>
      <c r="F957">
        <v>120263151</v>
      </c>
      <c r="G957">
        <v>120263151</v>
      </c>
      <c r="H957">
        <v>120263151</v>
      </c>
      <c r="I957">
        <v>120263151</v>
      </c>
    </row>
    <row r="958" spans="1:9" x14ac:dyDescent="0.2">
      <c r="A958" t="str">
        <f>"AF067063"</f>
        <v>AF067063</v>
      </c>
      <c r="B958" t="s">
        <v>2099</v>
      </c>
      <c r="C958" t="s">
        <v>39</v>
      </c>
      <c r="D958" t="s">
        <v>11</v>
      </c>
      <c r="E958" t="s">
        <v>20</v>
      </c>
      <c r="F958">
        <v>119828677</v>
      </c>
      <c r="G958">
        <v>119828677</v>
      </c>
      <c r="H958">
        <v>119828677</v>
      </c>
      <c r="I958">
        <v>119828677</v>
      </c>
    </row>
    <row r="959" spans="1:9" x14ac:dyDescent="0.2">
      <c r="A959" t="str">
        <f>"AF251705"</f>
        <v>AF251705</v>
      </c>
      <c r="B959" t="s">
        <v>14</v>
      </c>
      <c r="C959" t="s">
        <v>27</v>
      </c>
      <c r="D959" t="s">
        <v>11</v>
      </c>
      <c r="E959" t="s">
        <v>12</v>
      </c>
      <c r="F959">
        <v>115001587</v>
      </c>
      <c r="G959">
        <v>115001638</v>
      </c>
      <c r="H959">
        <v>115001587</v>
      </c>
      <c r="I959">
        <v>115001638</v>
      </c>
    </row>
    <row r="960" spans="1:9" x14ac:dyDescent="0.2">
      <c r="A960" t="str">
        <f>"AF366264"</f>
        <v>AF366264</v>
      </c>
      <c r="B960" t="s">
        <v>14</v>
      </c>
      <c r="C960" t="s">
        <v>30</v>
      </c>
      <c r="D960" t="s">
        <v>11</v>
      </c>
      <c r="E960" t="s">
        <v>12</v>
      </c>
      <c r="F960">
        <v>13838557</v>
      </c>
      <c r="G960">
        <v>13838565</v>
      </c>
      <c r="H960">
        <v>13838557</v>
      </c>
      <c r="I960">
        <v>13838565</v>
      </c>
    </row>
    <row r="961" spans="1:9" x14ac:dyDescent="0.2">
      <c r="A961" t="str">
        <f>"AF529169"</f>
        <v>AF529169</v>
      </c>
      <c r="B961" t="s">
        <v>14</v>
      </c>
      <c r="C961" t="s">
        <v>24</v>
      </c>
      <c r="D961" t="s">
        <v>11</v>
      </c>
      <c r="E961" t="s">
        <v>12</v>
      </c>
      <c r="F961">
        <v>89623101</v>
      </c>
      <c r="G961">
        <v>89623112</v>
      </c>
      <c r="H961">
        <v>89623081</v>
      </c>
      <c r="I961">
        <v>89623096</v>
      </c>
    </row>
    <row r="962" spans="1:9" x14ac:dyDescent="0.2">
      <c r="A962" t="str">
        <f>"AI118078"</f>
        <v>AI118078</v>
      </c>
      <c r="B962" t="s">
        <v>14</v>
      </c>
      <c r="C962" t="s">
        <v>24</v>
      </c>
      <c r="D962" t="s">
        <v>17</v>
      </c>
      <c r="E962" t="s">
        <v>12</v>
      </c>
      <c r="F962">
        <v>55326959</v>
      </c>
      <c r="G962">
        <v>55326980</v>
      </c>
      <c r="H962">
        <v>55326937</v>
      </c>
      <c r="I962">
        <v>55326958</v>
      </c>
    </row>
    <row r="963" spans="1:9" x14ac:dyDescent="0.2">
      <c r="A963" t="str">
        <f>"AI182371"</f>
        <v>AI182371</v>
      </c>
      <c r="B963" t="s">
        <v>14</v>
      </c>
      <c r="C963" t="s">
        <v>26</v>
      </c>
      <c r="D963" t="s">
        <v>11</v>
      </c>
      <c r="E963" t="s">
        <v>12</v>
      </c>
      <c r="F963">
        <v>35100677</v>
      </c>
      <c r="G963">
        <v>35100692</v>
      </c>
      <c r="H963">
        <v>35100652</v>
      </c>
      <c r="I963">
        <v>35100665</v>
      </c>
    </row>
    <row r="964" spans="1:9" x14ac:dyDescent="0.2">
      <c r="A964" t="str">
        <f>"AI314180"</f>
        <v>AI314180</v>
      </c>
      <c r="B964" t="s">
        <v>14</v>
      </c>
      <c r="C964" t="s">
        <v>23</v>
      </c>
      <c r="D964" t="s">
        <v>11</v>
      </c>
      <c r="E964" t="s">
        <v>12</v>
      </c>
      <c r="F964">
        <v>58912678</v>
      </c>
      <c r="G964">
        <v>58912776</v>
      </c>
      <c r="H964">
        <v>58911913</v>
      </c>
      <c r="I964">
        <v>58911945</v>
      </c>
    </row>
    <row r="965" spans="1:9" x14ac:dyDescent="0.2">
      <c r="A965" t="str">
        <f>"AI317395"</f>
        <v>AI317395</v>
      </c>
      <c r="B965" t="s">
        <v>14</v>
      </c>
      <c r="C965" t="s">
        <v>15</v>
      </c>
      <c r="D965" t="s">
        <v>11</v>
      </c>
      <c r="E965" t="s">
        <v>12</v>
      </c>
      <c r="F965">
        <v>40025154</v>
      </c>
      <c r="G965">
        <v>40025171</v>
      </c>
      <c r="H965">
        <v>40025253</v>
      </c>
      <c r="I965">
        <v>40025286</v>
      </c>
    </row>
    <row r="966" spans="1:9" x14ac:dyDescent="0.2">
      <c r="A966" t="str">
        <f>"AI413582"</f>
        <v>AI413582</v>
      </c>
      <c r="B966" t="s">
        <v>14</v>
      </c>
      <c r="C966" t="s">
        <v>28</v>
      </c>
      <c r="D966" t="s">
        <v>11</v>
      </c>
      <c r="E966" t="s">
        <v>12</v>
      </c>
      <c r="F966">
        <v>27565678</v>
      </c>
      <c r="G966">
        <v>27565757</v>
      </c>
      <c r="H966">
        <v>27565678</v>
      </c>
      <c r="I966">
        <v>27565757</v>
      </c>
    </row>
    <row r="967" spans="1:9" x14ac:dyDescent="0.2">
      <c r="A967" t="str">
        <f>"AI429214"</f>
        <v>AI429214</v>
      </c>
      <c r="B967" t="s">
        <v>14</v>
      </c>
      <c r="C967" t="s">
        <v>30</v>
      </c>
      <c r="D967" t="s">
        <v>17</v>
      </c>
      <c r="E967" t="s">
        <v>12</v>
      </c>
      <c r="F967">
        <v>36993551</v>
      </c>
      <c r="G967">
        <v>36993611</v>
      </c>
      <c r="H967">
        <v>36993551</v>
      </c>
      <c r="I967">
        <v>36993611</v>
      </c>
    </row>
    <row r="968" spans="1:9" x14ac:dyDescent="0.2">
      <c r="A968" t="str">
        <f>"AI462493"</f>
        <v>AI462493</v>
      </c>
      <c r="B968" t="s">
        <v>14</v>
      </c>
      <c r="C968" t="s">
        <v>10</v>
      </c>
      <c r="D968" t="s">
        <v>11</v>
      </c>
      <c r="E968" t="s">
        <v>12</v>
      </c>
      <c r="F968">
        <v>8880883</v>
      </c>
      <c r="G968">
        <v>8880928</v>
      </c>
      <c r="H968">
        <v>8880832</v>
      </c>
      <c r="I968">
        <v>8880854</v>
      </c>
    </row>
    <row r="969" spans="1:9" x14ac:dyDescent="0.2">
      <c r="A969" t="str">
        <f>"AI464131"</f>
        <v>AI464131</v>
      </c>
      <c r="B969" t="s">
        <v>14</v>
      </c>
      <c r="C969" t="s">
        <v>23</v>
      </c>
      <c r="D969" t="s">
        <v>11</v>
      </c>
      <c r="E969" t="s">
        <v>12</v>
      </c>
      <c r="F969">
        <v>41503046</v>
      </c>
      <c r="G969">
        <v>41503122</v>
      </c>
      <c r="H969">
        <v>41503046</v>
      </c>
      <c r="I969">
        <v>41503122</v>
      </c>
    </row>
    <row r="970" spans="1:9" x14ac:dyDescent="0.2">
      <c r="A970" t="str">
        <f>"AI467606"</f>
        <v>AI467606</v>
      </c>
      <c r="B970" t="s">
        <v>14</v>
      </c>
      <c r="C970" t="s">
        <v>33</v>
      </c>
      <c r="D970" t="s">
        <v>17</v>
      </c>
      <c r="E970" t="s">
        <v>12</v>
      </c>
      <c r="F970">
        <v>127091367</v>
      </c>
      <c r="G970">
        <v>127091423</v>
      </c>
      <c r="H970">
        <v>127091426</v>
      </c>
      <c r="I970">
        <v>127091450</v>
      </c>
    </row>
    <row r="971" spans="1:9" x14ac:dyDescent="0.2">
      <c r="A971" t="str">
        <f>"AI481877"</f>
        <v>AI481877</v>
      </c>
      <c r="B971" t="s">
        <v>2100</v>
      </c>
      <c r="C971" t="s">
        <v>23</v>
      </c>
      <c r="D971" t="s">
        <v>11</v>
      </c>
      <c r="E971" t="s">
        <v>20</v>
      </c>
      <c r="F971">
        <v>59138982</v>
      </c>
      <c r="G971">
        <v>59138982</v>
      </c>
      <c r="H971">
        <v>59138982</v>
      </c>
      <c r="I971">
        <v>59138982</v>
      </c>
    </row>
    <row r="972" spans="1:9" x14ac:dyDescent="0.2">
      <c r="A972" t="str">
        <f>"AI593442"</f>
        <v>AI593442</v>
      </c>
      <c r="B972" t="s">
        <v>14</v>
      </c>
      <c r="C972" t="s">
        <v>24</v>
      </c>
      <c r="D972" t="s">
        <v>11</v>
      </c>
      <c r="E972" t="s">
        <v>12</v>
      </c>
      <c r="F972">
        <v>52679730</v>
      </c>
      <c r="G972">
        <v>52679787</v>
      </c>
      <c r="H972">
        <v>52679730</v>
      </c>
      <c r="I972">
        <v>52679787</v>
      </c>
    </row>
    <row r="973" spans="1:9" x14ac:dyDescent="0.2">
      <c r="A973" t="str">
        <f>"AI597468"</f>
        <v>AI597468</v>
      </c>
      <c r="B973" t="s">
        <v>14</v>
      </c>
      <c r="C973" t="s">
        <v>15</v>
      </c>
      <c r="D973" t="s">
        <v>17</v>
      </c>
      <c r="E973" t="s">
        <v>12</v>
      </c>
      <c r="F973">
        <v>85102758</v>
      </c>
      <c r="G973">
        <v>85102833</v>
      </c>
      <c r="H973">
        <v>85102697</v>
      </c>
      <c r="I973">
        <v>85102719</v>
      </c>
    </row>
    <row r="974" spans="1:9" x14ac:dyDescent="0.2">
      <c r="A974" t="str">
        <f>"AI597479"</f>
        <v>AI597479</v>
      </c>
      <c r="B974" t="s">
        <v>14</v>
      </c>
      <c r="C974" t="s">
        <v>19</v>
      </c>
      <c r="D974" t="s">
        <v>17</v>
      </c>
      <c r="E974" t="s">
        <v>12</v>
      </c>
      <c r="F974">
        <v>43098712</v>
      </c>
      <c r="G974">
        <v>43098760</v>
      </c>
      <c r="H974">
        <v>43098692</v>
      </c>
      <c r="I974">
        <v>43098711</v>
      </c>
    </row>
    <row r="975" spans="1:9" x14ac:dyDescent="0.2">
      <c r="A975" t="str">
        <f>"AI606181"</f>
        <v>AI606181</v>
      </c>
      <c r="B975" t="s">
        <v>2101</v>
      </c>
      <c r="C975" t="s">
        <v>10</v>
      </c>
      <c r="D975" t="s">
        <v>17</v>
      </c>
      <c r="E975" t="s">
        <v>20</v>
      </c>
      <c r="F975">
        <v>41593362</v>
      </c>
      <c r="G975">
        <v>41593362</v>
      </c>
      <c r="H975">
        <v>41593362</v>
      </c>
      <c r="I975">
        <v>41593362</v>
      </c>
    </row>
    <row r="976" spans="1:9" x14ac:dyDescent="0.2">
      <c r="A976" t="str">
        <f>"AI607873"</f>
        <v>AI607873</v>
      </c>
      <c r="B976" t="s">
        <v>14</v>
      </c>
      <c r="C976" t="s">
        <v>19</v>
      </c>
      <c r="D976" t="s">
        <v>11</v>
      </c>
      <c r="E976" t="s">
        <v>12</v>
      </c>
      <c r="F976">
        <v>173741758</v>
      </c>
      <c r="G976">
        <v>173741786</v>
      </c>
      <c r="H976">
        <v>173741717</v>
      </c>
      <c r="I976">
        <v>173741755</v>
      </c>
    </row>
    <row r="977" spans="1:9" x14ac:dyDescent="0.2">
      <c r="A977" t="str">
        <f>"AI661453"</f>
        <v>AI661453</v>
      </c>
      <c r="B977" t="s">
        <v>14</v>
      </c>
      <c r="C977" t="s">
        <v>28</v>
      </c>
      <c r="D977" t="s">
        <v>17</v>
      </c>
      <c r="E977" t="s">
        <v>12</v>
      </c>
      <c r="F977">
        <v>47436616</v>
      </c>
      <c r="G977">
        <v>47436639</v>
      </c>
      <c r="H977">
        <v>47436585</v>
      </c>
      <c r="I977">
        <v>47436595</v>
      </c>
    </row>
    <row r="978" spans="1:9" x14ac:dyDescent="0.2">
      <c r="A978" t="str">
        <f>"AI747448"</f>
        <v>AI747448</v>
      </c>
      <c r="B978" t="s">
        <v>14</v>
      </c>
      <c r="C978" t="s">
        <v>22</v>
      </c>
      <c r="D978" t="s">
        <v>11</v>
      </c>
      <c r="E978" t="s">
        <v>12</v>
      </c>
      <c r="F978">
        <v>144932523</v>
      </c>
      <c r="G978">
        <v>144932536</v>
      </c>
      <c r="H978">
        <v>144932523</v>
      </c>
      <c r="I978">
        <v>144932536</v>
      </c>
    </row>
    <row r="979" spans="1:9" x14ac:dyDescent="0.2">
      <c r="A979" t="str">
        <f>"AI836003"</f>
        <v>AI836003</v>
      </c>
      <c r="B979" t="s">
        <v>14</v>
      </c>
      <c r="C979" t="s">
        <v>25</v>
      </c>
      <c r="D979" t="s">
        <v>17</v>
      </c>
      <c r="E979" t="s">
        <v>12</v>
      </c>
      <c r="F979">
        <v>98167816</v>
      </c>
      <c r="G979">
        <v>98167873</v>
      </c>
      <c r="H979">
        <v>98167816</v>
      </c>
      <c r="I979">
        <v>98167873</v>
      </c>
    </row>
    <row r="980" spans="1:9" x14ac:dyDescent="0.2">
      <c r="A980" t="str">
        <f>"AI837181"</f>
        <v>AI837181</v>
      </c>
      <c r="B980" t="s">
        <v>14</v>
      </c>
      <c r="C980" t="s">
        <v>10</v>
      </c>
      <c r="D980" t="s">
        <v>17</v>
      </c>
      <c r="E980" t="s">
        <v>12</v>
      </c>
      <c r="F980">
        <v>5425121</v>
      </c>
      <c r="G980">
        <v>5425173</v>
      </c>
      <c r="H980">
        <v>5425237</v>
      </c>
      <c r="I980">
        <v>5425248</v>
      </c>
    </row>
    <row r="981" spans="1:9" x14ac:dyDescent="0.2">
      <c r="A981" t="str">
        <f>"AI846148"</f>
        <v>AI846148</v>
      </c>
      <c r="B981" t="s">
        <v>14</v>
      </c>
      <c r="C981" t="s">
        <v>10</v>
      </c>
      <c r="D981" t="s">
        <v>11</v>
      </c>
      <c r="E981" t="s">
        <v>12</v>
      </c>
      <c r="F981">
        <v>7382985</v>
      </c>
      <c r="G981">
        <v>7383000</v>
      </c>
      <c r="H981">
        <v>7383029</v>
      </c>
      <c r="I981">
        <v>7383063</v>
      </c>
    </row>
    <row r="982" spans="1:9" x14ac:dyDescent="0.2">
      <c r="A982" t="str">
        <f>"AI848285"</f>
        <v>AI848285</v>
      </c>
      <c r="B982" t="s">
        <v>14</v>
      </c>
      <c r="C982" t="s">
        <v>25</v>
      </c>
      <c r="D982" t="s">
        <v>11</v>
      </c>
      <c r="E982" t="s">
        <v>12</v>
      </c>
      <c r="F982">
        <v>82212796</v>
      </c>
      <c r="G982">
        <v>82212812</v>
      </c>
      <c r="H982">
        <v>82212828</v>
      </c>
      <c r="I982">
        <v>82212848</v>
      </c>
    </row>
    <row r="983" spans="1:9" x14ac:dyDescent="0.2">
      <c r="A983" t="str">
        <f>"AI987944"</f>
        <v>AI987944</v>
      </c>
      <c r="B983" t="s">
        <v>14</v>
      </c>
      <c r="C983" t="s">
        <v>33</v>
      </c>
      <c r="D983" t="s">
        <v>11</v>
      </c>
      <c r="E983" t="s">
        <v>12</v>
      </c>
      <c r="F983">
        <v>41393319</v>
      </c>
      <c r="G983">
        <v>41393356</v>
      </c>
      <c r="H983">
        <v>41393371</v>
      </c>
      <c r="I983">
        <v>41393379</v>
      </c>
    </row>
    <row r="984" spans="1:9" x14ac:dyDescent="0.2">
      <c r="A984" t="str">
        <f>"AK010878"</f>
        <v>AK010878</v>
      </c>
      <c r="B984" t="s">
        <v>14</v>
      </c>
      <c r="C984" t="s">
        <v>16</v>
      </c>
      <c r="D984" t="s">
        <v>11</v>
      </c>
      <c r="E984" t="s">
        <v>12</v>
      </c>
      <c r="F984">
        <v>102757769</v>
      </c>
      <c r="G984">
        <v>102757809</v>
      </c>
      <c r="H984">
        <v>102757899</v>
      </c>
      <c r="I984">
        <v>102757933</v>
      </c>
    </row>
    <row r="985" spans="1:9" x14ac:dyDescent="0.2">
      <c r="A985" t="str">
        <f>"AK129341"</f>
        <v>AK129341</v>
      </c>
      <c r="B985" t="s">
        <v>14</v>
      </c>
      <c r="C985" t="s">
        <v>24</v>
      </c>
      <c r="D985" t="s">
        <v>11</v>
      </c>
      <c r="E985" t="s">
        <v>12</v>
      </c>
      <c r="F985">
        <v>8134428</v>
      </c>
      <c r="G985">
        <v>8134480</v>
      </c>
      <c r="H985">
        <v>8134351</v>
      </c>
      <c r="I985">
        <v>8134364</v>
      </c>
    </row>
    <row r="986" spans="1:9" x14ac:dyDescent="0.2">
      <c r="A986" t="str">
        <f>"ATF7"</f>
        <v>ATF7</v>
      </c>
      <c r="B986" t="s">
        <v>14</v>
      </c>
      <c r="C986" t="s">
        <v>25</v>
      </c>
      <c r="D986" t="s">
        <v>11</v>
      </c>
      <c r="E986" t="s">
        <v>67</v>
      </c>
      <c r="F986">
        <v>102625436</v>
      </c>
      <c r="G986">
        <v>102625499</v>
      </c>
      <c r="H986">
        <v>102625061</v>
      </c>
      <c r="I986">
        <v>102625100</v>
      </c>
    </row>
    <row r="987" spans="1:9" x14ac:dyDescent="0.2">
      <c r="A987" t="str">
        <f>"AU015836"</f>
        <v>AU015836</v>
      </c>
      <c r="B987" t="s">
        <v>14</v>
      </c>
      <c r="C987" t="s">
        <v>37</v>
      </c>
      <c r="D987" t="s">
        <v>17</v>
      </c>
      <c r="E987" t="s">
        <v>12</v>
      </c>
      <c r="F987">
        <v>93968649</v>
      </c>
      <c r="G987">
        <v>93968675</v>
      </c>
      <c r="H987">
        <v>93968649</v>
      </c>
      <c r="I987">
        <v>93968675</v>
      </c>
    </row>
    <row r="988" spans="1:9" x14ac:dyDescent="0.2">
      <c r="A988" t="str">
        <f>"AU016765"</f>
        <v>AU016765</v>
      </c>
      <c r="B988" t="s">
        <v>2102</v>
      </c>
      <c r="C988" t="s">
        <v>28</v>
      </c>
      <c r="D988" t="s">
        <v>11</v>
      </c>
      <c r="E988" t="s">
        <v>20</v>
      </c>
      <c r="F988">
        <v>64555580</v>
      </c>
      <c r="G988">
        <v>64555580</v>
      </c>
      <c r="H988">
        <v>64555580</v>
      </c>
      <c r="I988">
        <v>64555580</v>
      </c>
    </row>
    <row r="989" spans="1:9" x14ac:dyDescent="0.2">
      <c r="A989" t="str">
        <f>"AU018091"</f>
        <v>AU018091</v>
      </c>
      <c r="B989" t="s">
        <v>14</v>
      </c>
      <c r="C989" t="s">
        <v>33</v>
      </c>
      <c r="D989" t="s">
        <v>11</v>
      </c>
      <c r="E989" t="s">
        <v>12</v>
      </c>
      <c r="F989">
        <v>3169093</v>
      </c>
      <c r="G989">
        <v>3169112</v>
      </c>
      <c r="H989">
        <v>3169093</v>
      </c>
      <c r="I989">
        <v>3169112</v>
      </c>
    </row>
    <row r="990" spans="1:9" x14ac:dyDescent="0.2">
      <c r="A990" t="str">
        <f>"AU019823"</f>
        <v>AU019823</v>
      </c>
      <c r="B990" t="s">
        <v>14</v>
      </c>
      <c r="C990" t="s">
        <v>24</v>
      </c>
      <c r="D990" t="s">
        <v>11</v>
      </c>
      <c r="E990" t="s">
        <v>12</v>
      </c>
      <c r="F990">
        <v>50617228</v>
      </c>
      <c r="G990">
        <v>50617289</v>
      </c>
      <c r="H990">
        <v>50617428</v>
      </c>
      <c r="I990">
        <v>50617467</v>
      </c>
    </row>
    <row r="991" spans="1:9" x14ac:dyDescent="0.2">
      <c r="A991" t="str">
        <f>"AU021092"</f>
        <v>AU021092</v>
      </c>
      <c r="B991" t="s">
        <v>14</v>
      </c>
      <c r="C991" t="s">
        <v>31</v>
      </c>
      <c r="D991" t="s">
        <v>11</v>
      </c>
      <c r="E991" t="s">
        <v>12</v>
      </c>
      <c r="F991">
        <v>5222257</v>
      </c>
      <c r="G991">
        <v>5222299</v>
      </c>
      <c r="H991">
        <v>5222369</v>
      </c>
      <c r="I991">
        <v>5222380</v>
      </c>
    </row>
    <row r="992" spans="1:9" x14ac:dyDescent="0.2">
      <c r="A992" t="str">
        <f>"AU022252"</f>
        <v>AU022252</v>
      </c>
      <c r="B992" t="s">
        <v>14</v>
      </c>
      <c r="C992" t="s">
        <v>23</v>
      </c>
      <c r="D992" t="s">
        <v>11</v>
      </c>
      <c r="E992" t="s">
        <v>12</v>
      </c>
      <c r="F992">
        <v>119232661</v>
      </c>
      <c r="G992">
        <v>119232717</v>
      </c>
      <c r="H992">
        <v>119232722</v>
      </c>
      <c r="I992">
        <v>119232728</v>
      </c>
    </row>
    <row r="993" spans="1:9" x14ac:dyDescent="0.2">
      <c r="A993" t="str">
        <f>"AU022751"</f>
        <v>AU022751</v>
      </c>
      <c r="B993" t="s">
        <v>14</v>
      </c>
      <c r="C993" t="s">
        <v>37</v>
      </c>
      <c r="D993" t="s">
        <v>11</v>
      </c>
      <c r="E993" t="s">
        <v>12</v>
      </c>
      <c r="F993">
        <v>6083415</v>
      </c>
      <c r="G993">
        <v>6083423</v>
      </c>
      <c r="H993">
        <v>6083404</v>
      </c>
      <c r="I993">
        <v>6083412</v>
      </c>
    </row>
    <row r="994" spans="1:9" x14ac:dyDescent="0.2">
      <c r="A994" t="str">
        <f>"AU023871"</f>
        <v>AU023871</v>
      </c>
      <c r="B994" t="s">
        <v>14</v>
      </c>
      <c r="C994" t="s">
        <v>28</v>
      </c>
      <c r="D994" t="s">
        <v>11</v>
      </c>
      <c r="E994" t="s">
        <v>12</v>
      </c>
      <c r="F994">
        <v>35066171</v>
      </c>
      <c r="G994">
        <v>35066189</v>
      </c>
      <c r="H994">
        <v>35066194</v>
      </c>
      <c r="I994">
        <v>35066205</v>
      </c>
    </row>
    <row r="995" spans="1:9" x14ac:dyDescent="0.2">
      <c r="A995" t="str">
        <f>"AU040320"</f>
        <v>AU040320</v>
      </c>
      <c r="B995" t="s">
        <v>14</v>
      </c>
      <c r="C995" t="s">
        <v>23</v>
      </c>
      <c r="D995" t="s">
        <v>17</v>
      </c>
      <c r="E995" t="s">
        <v>12</v>
      </c>
      <c r="F995">
        <v>126753788</v>
      </c>
      <c r="G995">
        <v>126753835</v>
      </c>
      <c r="H995">
        <v>126753538</v>
      </c>
      <c r="I995">
        <v>126753585</v>
      </c>
    </row>
    <row r="996" spans="1:9" x14ac:dyDescent="0.2">
      <c r="A996" t="str">
        <f>"AU041133"</f>
        <v>AU041133</v>
      </c>
      <c r="B996" t="s">
        <v>14</v>
      </c>
      <c r="C996" t="s">
        <v>15</v>
      </c>
      <c r="D996" t="s">
        <v>17</v>
      </c>
      <c r="E996" t="s">
        <v>12</v>
      </c>
      <c r="F996">
        <v>82127998</v>
      </c>
      <c r="G996">
        <v>82128020</v>
      </c>
      <c r="H996">
        <v>82128024</v>
      </c>
      <c r="I996">
        <v>82128046</v>
      </c>
    </row>
    <row r="997" spans="1:9" x14ac:dyDescent="0.2">
      <c r="A997" t="str">
        <f>"AV320801"</f>
        <v>AV320801</v>
      </c>
      <c r="B997" t="s">
        <v>2103</v>
      </c>
      <c r="C997" t="s">
        <v>37</v>
      </c>
      <c r="D997" t="s">
        <v>17</v>
      </c>
      <c r="E997" t="s">
        <v>20</v>
      </c>
      <c r="F997">
        <v>135494587</v>
      </c>
      <c r="G997">
        <v>135494587</v>
      </c>
      <c r="H997">
        <v>135494587</v>
      </c>
      <c r="I997">
        <v>135494587</v>
      </c>
    </row>
    <row r="998" spans="1:9" x14ac:dyDescent="0.2">
      <c r="A998" t="str">
        <f>"AW011738"</f>
        <v>AW011738</v>
      </c>
      <c r="B998" t="s">
        <v>14</v>
      </c>
      <c r="C998" t="s">
        <v>23</v>
      </c>
      <c r="D998" t="s">
        <v>17</v>
      </c>
      <c r="E998" t="s">
        <v>12</v>
      </c>
      <c r="F998">
        <v>156203292</v>
      </c>
      <c r="G998">
        <v>156203310</v>
      </c>
      <c r="H998">
        <v>156203292</v>
      </c>
      <c r="I998">
        <v>156203310</v>
      </c>
    </row>
    <row r="999" spans="1:9" x14ac:dyDescent="0.2">
      <c r="A999" t="str">
        <f>"AW112010"</f>
        <v>AW112010</v>
      </c>
      <c r="B999" t="s">
        <v>14</v>
      </c>
      <c r="C999" t="s">
        <v>10</v>
      </c>
      <c r="D999" t="s">
        <v>11</v>
      </c>
      <c r="E999" t="s">
        <v>12</v>
      </c>
      <c r="F999">
        <v>11050413</v>
      </c>
      <c r="G999">
        <v>11050433</v>
      </c>
      <c r="H999">
        <v>11050413</v>
      </c>
      <c r="I999">
        <v>11050433</v>
      </c>
    </row>
    <row r="1000" spans="1:9" x14ac:dyDescent="0.2">
      <c r="A1000" t="str">
        <f>"AW146154"</f>
        <v>AW146154</v>
      </c>
      <c r="B1000" t="s">
        <v>14</v>
      </c>
      <c r="C1000" t="s">
        <v>33</v>
      </c>
      <c r="D1000" t="s">
        <v>11</v>
      </c>
      <c r="E1000" t="s">
        <v>12</v>
      </c>
      <c r="F1000">
        <v>41499678</v>
      </c>
      <c r="G1000">
        <v>41499685</v>
      </c>
      <c r="H1000">
        <v>41499678</v>
      </c>
      <c r="I1000">
        <v>41499685</v>
      </c>
    </row>
    <row r="1001" spans="1:9" x14ac:dyDescent="0.2">
      <c r="A1001" t="str">
        <f>"AW209491"</f>
        <v>AW209491</v>
      </c>
      <c r="B1001" t="s">
        <v>14</v>
      </c>
      <c r="C1001" t="s">
        <v>39</v>
      </c>
      <c r="D1001" t="s">
        <v>17</v>
      </c>
      <c r="E1001" t="s">
        <v>12</v>
      </c>
      <c r="F1001">
        <v>14630237</v>
      </c>
      <c r="G1001">
        <v>14630296</v>
      </c>
      <c r="H1001">
        <v>14630237</v>
      </c>
      <c r="I1001">
        <v>14630296</v>
      </c>
    </row>
    <row r="1002" spans="1:9" x14ac:dyDescent="0.2">
      <c r="A1002" t="str">
        <f>"AW549877"</f>
        <v>AW549877</v>
      </c>
      <c r="B1002" t="s">
        <v>14</v>
      </c>
      <c r="C1002" t="s">
        <v>25</v>
      </c>
      <c r="D1002" t="s">
        <v>11</v>
      </c>
      <c r="E1002" t="s">
        <v>12</v>
      </c>
      <c r="F1002">
        <v>3995708</v>
      </c>
      <c r="G1002">
        <v>3995760</v>
      </c>
      <c r="H1002">
        <v>3995761</v>
      </c>
      <c r="I1002">
        <v>3995770</v>
      </c>
    </row>
    <row r="1003" spans="1:9" x14ac:dyDescent="0.2">
      <c r="A1003" t="str">
        <f>"AW551984"</f>
        <v>AW551984</v>
      </c>
      <c r="B1003" t="s">
        <v>14</v>
      </c>
      <c r="C1003" t="s">
        <v>24</v>
      </c>
      <c r="D1003" t="s">
        <v>11</v>
      </c>
      <c r="E1003" t="s">
        <v>12</v>
      </c>
      <c r="F1003">
        <v>39603608</v>
      </c>
      <c r="G1003">
        <v>39603632</v>
      </c>
      <c r="H1003">
        <v>39603551</v>
      </c>
      <c r="I1003">
        <v>39603603</v>
      </c>
    </row>
    <row r="1004" spans="1:9" x14ac:dyDescent="0.2">
      <c r="A1004" t="str">
        <f>"AW554918"</f>
        <v>AW554918</v>
      </c>
      <c r="B1004" t="s">
        <v>14</v>
      </c>
      <c r="C1004" t="s">
        <v>43</v>
      </c>
      <c r="D1004" t="s">
        <v>17</v>
      </c>
      <c r="E1004" t="s">
        <v>12</v>
      </c>
      <c r="F1004">
        <v>25168993</v>
      </c>
      <c r="G1004">
        <v>25169029</v>
      </c>
      <c r="H1004">
        <v>25168993</v>
      </c>
      <c r="I1004">
        <v>25169029</v>
      </c>
    </row>
    <row r="1005" spans="1:9" x14ac:dyDescent="0.2">
      <c r="A1005" t="str">
        <f>"AW822073"</f>
        <v>AW822073</v>
      </c>
      <c r="B1005" t="s">
        <v>2104</v>
      </c>
      <c r="C1005" t="s">
        <v>15</v>
      </c>
      <c r="D1005" t="s">
        <v>11</v>
      </c>
      <c r="E1005" t="s">
        <v>20</v>
      </c>
      <c r="F1005">
        <v>58225705</v>
      </c>
      <c r="G1005">
        <v>58225705</v>
      </c>
      <c r="H1005">
        <v>58225705</v>
      </c>
      <c r="I1005">
        <v>58225705</v>
      </c>
    </row>
    <row r="1006" spans="1:9" x14ac:dyDescent="0.2">
      <c r="A1006" t="str">
        <f>"AY074887"</f>
        <v>AY074887</v>
      </c>
      <c r="B1006" t="s">
        <v>2105</v>
      </c>
      <c r="C1006" t="s">
        <v>24</v>
      </c>
      <c r="D1006" t="s">
        <v>11</v>
      </c>
      <c r="E1006" t="s">
        <v>20</v>
      </c>
      <c r="F1006">
        <v>54950953</v>
      </c>
      <c r="G1006">
        <v>54950953</v>
      </c>
      <c r="H1006">
        <v>54950953</v>
      </c>
      <c r="I1006">
        <v>54950953</v>
      </c>
    </row>
    <row r="1007" spans="1:9" x14ac:dyDescent="0.2">
      <c r="A1007" t="str">
        <f>"AY358078"</f>
        <v>AY358078</v>
      </c>
      <c r="B1007" t="s">
        <v>2106</v>
      </c>
      <c r="C1007" t="s">
        <v>41</v>
      </c>
      <c r="D1007" t="s">
        <v>17</v>
      </c>
      <c r="E1007" t="s">
        <v>20</v>
      </c>
      <c r="F1007">
        <v>51800045</v>
      </c>
      <c r="G1007">
        <v>51800045</v>
      </c>
      <c r="H1007">
        <v>51800045</v>
      </c>
      <c r="I1007">
        <v>51800045</v>
      </c>
    </row>
    <row r="1008" spans="1:9" x14ac:dyDescent="0.2">
      <c r="A1008" t="str">
        <f>"AY702102"</f>
        <v>AY702102</v>
      </c>
      <c r="B1008" t="s">
        <v>14</v>
      </c>
      <c r="C1008" t="s">
        <v>26</v>
      </c>
      <c r="D1008" t="s">
        <v>11</v>
      </c>
      <c r="E1008" t="s">
        <v>67</v>
      </c>
      <c r="F1008">
        <v>169963169</v>
      </c>
      <c r="G1008">
        <v>169963201</v>
      </c>
      <c r="H1008">
        <v>169963075</v>
      </c>
      <c r="I1008">
        <v>169963082</v>
      </c>
    </row>
    <row r="1009" spans="1:9" x14ac:dyDescent="0.2">
      <c r="A1009" t="str">
        <f>"AY761184"</f>
        <v>AY761184</v>
      </c>
      <c r="B1009" t="s">
        <v>14</v>
      </c>
      <c r="C1009" t="s">
        <v>30</v>
      </c>
      <c r="D1009" t="s">
        <v>11</v>
      </c>
      <c r="E1009" t="s">
        <v>12</v>
      </c>
      <c r="F1009">
        <v>21703642</v>
      </c>
      <c r="G1009">
        <v>21703649</v>
      </c>
      <c r="H1009">
        <v>21703687</v>
      </c>
      <c r="I1009">
        <v>21703697</v>
      </c>
    </row>
    <row r="1010" spans="1:9" x14ac:dyDescent="0.2">
      <c r="A1010" t="str">
        <f>"AY761185"</f>
        <v>AY761185</v>
      </c>
      <c r="B1010" t="s">
        <v>14</v>
      </c>
      <c r="C1010" t="s">
        <v>30</v>
      </c>
      <c r="D1010" t="s">
        <v>11</v>
      </c>
      <c r="E1010" t="s">
        <v>12</v>
      </c>
      <c r="F1010">
        <v>20944752</v>
      </c>
      <c r="G1010">
        <v>20944756</v>
      </c>
      <c r="H1010">
        <v>20944805</v>
      </c>
      <c r="I1010">
        <v>20944806</v>
      </c>
    </row>
    <row r="1011" spans="1:9" x14ac:dyDescent="0.2">
      <c r="A1011" t="str">
        <f>"Aaas"</f>
        <v>Aaas</v>
      </c>
      <c r="B1011" t="s">
        <v>14</v>
      </c>
      <c r="C1011" t="s">
        <v>25</v>
      </c>
      <c r="D1011" t="s">
        <v>11</v>
      </c>
      <c r="E1011" t="s">
        <v>12</v>
      </c>
      <c r="F1011">
        <v>102350634</v>
      </c>
      <c r="G1011">
        <v>102350690</v>
      </c>
      <c r="H1011">
        <v>102350692</v>
      </c>
      <c r="I1011">
        <v>102350771</v>
      </c>
    </row>
    <row r="1012" spans="1:9" x14ac:dyDescent="0.2">
      <c r="A1012" t="str">
        <f>"Aacs"</f>
        <v>Aacs</v>
      </c>
      <c r="B1012" t="s">
        <v>14</v>
      </c>
      <c r="C1012" t="s">
        <v>46</v>
      </c>
      <c r="D1012" t="s">
        <v>17</v>
      </c>
      <c r="E1012" t="s">
        <v>12</v>
      </c>
      <c r="F1012">
        <v>125475864</v>
      </c>
      <c r="G1012">
        <v>125475889</v>
      </c>
      <c r="H1012">
        <v>125475826</v>
      </c>
      <c r="I1012">
        <v>125475860</v>
      </c>
    </row>
    <row r="1013" spans="1:9" x14ac:dyDescent="0.2">
      <c r="A1013" t="str">
        <f>"Aadac"</f>
        <v>Aadac</v>
      </c>
      <c r="B1013" t="s">
        <v>14</v>
      </c>
      <c r="C1013" t="s">
        <v>22</v>
      </c>
      <c r="D1013" t="s">
        <v>17</v>
      </c>
      <c r="E1013" t="s">
        <v>12</v>
      </c>
      <c r="F1013">
        <v>60031773</v>
      </c>
      <c r="G1013">
        <v>60031802</v>
      </c>
      <c r="H1013">
        <v>60031754</v>
      </c>
      <c r="I1013">
        <v>60031771</v>
      </c>
    </row>
    <row r="1014" spans="1:9" x14ac:dyDescent="0.2">
      <c r="A1014" t="str">
        <f>"Aadacl2"</f>
        <v>Aadacl2</v>
      </c>
      <c r="B1014" t="s">
        <v>14</v>
      </c>
      <c r="C1014" t="s">
        <v>22</v>
      </c>
      <c r="D1014" t="s">
        <v>17</v>
      </c>
      <c r="E1014" t="s">
        <v>12</v>
      </c>
      <c r="F1014">
        <v>60006862</v>
      </c>
      <c r="G1014">
        <v>60006879</v>
      </c>
      <c r="H1014">
        <v>60006862</v>
      </c>
      <c r="I1014">
        <v>60006879</v>
      </c>
    </row>
    <row r="1015" spans="1:9" x14ac:dyDescent="0.2">
      <c r="A1015" t="str">
        <f>"Aadacl3"</f>
        <v>Aadacl3</v>
      </c>
      <c r="B1015" t="s">
        <v>14</v>
      </c>
      <c r="C1015" t="s">
        <v>23</v>
      </c>
      <c r="D1015" t="s">
        <v>11</v>
      </c>
      <c r="E1015" t="s">
        <v>12</v>
      </c>
      <c r="F1015">
        <v>144463776</v>
      </c>
      <c r="G1015">
        <v>144463788</v>
      </c>
      <c r="H1015">
        <v>144463776</v>
      </c>
      <c r="I1015">
        <v>144463788</v>
      </c>
    </row>
    <row r="1016" spans="1:9" x14ac:dyDescent="0.2">
      <c r="A1016" t="str">
        <f>"Aadat"</f>
        <v>Aadat</v>
      </c>
      <c r="B1016" t="s">
        <v>14</v>
      </c>
      <c r="C1016" t="s">
        <v>30</v>
      </c>
      <c r="D1016" t="s">
        <v>17</v>
      </c>
      <c r="E1016" t="s">
        <v>12</v>
      </c>
      <c r="F1016">
        <v>60506109</v>
      </c>
      <c r="G1016">
        <v>60506125</v>
      </c>
      <c r="H1016">
        <v>60506109</v>
      </c>
      <c r="I1016">
        <v>60506125</v>
      </c>
    </row>
    <row r="1017" spans="1:9" x14ac:dyDescent="0.2">
      <c r="A1017" t="str">
        <f>"Aaed1"</f>
        <v>Aaed1</v>
      </c>
      <c r="B1017" t="s">
        <v>14</v>
      </c>
      <c r="C1017" t="s">
        <v>39</v>
      </c>
      <c r="D1017" t="s">
        <v>11</v>
      </c>
      <c r="E1017" t="s">
        <v>67</v>
      </c>
      <c r="F1017">
        <v>64312676</v>
      </c>
      <c r="G1017">
        <v>64312746</v>
      </c>
      <c r="H1017">
        <v>64312676</v>
      </c>
      <c r="I1017">
        <v>64312746</v>
      </c>
    </row>
    <row r="1018" spans="1:9" x14ac:dyDescent="0.2">
      <c r="A1018" t="str">
        <f>"Aagab"</f>
        <v>Aagab</v>
      </c>
      <c r="B1018" t="s">
        <v>14</v>
      </c>
      <c r="C1018" t="s">
        <v>24</v>
      </c>
      <c r="D1018" t="s">
        <v>17</v>
      </c>
      <c r="E1018" t="s">
        <v>12</v>
      </c>
      <c r="F1018">
        <v>63602650</v>
      </c>
      <c r="G1018">
        <v>63602703</v>
      </c>
      <c r="H1018">
        <v>63602650</v>
      </c>
      <c r="I1018">
        <v>63602703</v>
      </c>
    </row>
    <row r="1019" spans="1:9" x14ac:dyDescent="0.2">
      <c r="A1019" t="str">
        <f>"Aak1"</f>
        <v>Aak1</v>
      </c>
      <c r="B1019" t="s">
        <v>14</v>
      </c>
      <c r="C1019" t="s">
        <v>32</v>
      </c>
      <c r="D1019" t="s">
        <v>17</v>
      </c>
      <c r="E1019" t="s">
        <v>12</v>
      </c>
      <c r="F1019">
        <v>86849488</v>
      </c>
      <c r="G1019">
        <v>86849594</v>
      </c>
      <c r="H1019">
        <v>86849266</v>
      </c>
      <c r="I1019">
        <v>86849335</v>
      </c>
    </row>
    <row r="1020" spans="1:9" x14ac:dyDescent="0.2">
      <c r="A1020" t="str">
        <f>"Aamdc"</f>
        <v>Aamdc</v>
      </c>
      <c r="B1020" t="s">
        <v>14</v>
      </c>
      <c r="C1020" t="s">
        <v>33</v>
      </c>
      <c r="D1020" t="s">
        <v>11</v>
      </c>
      <c r="E1020" t="s">
        <v>67</v>
      </c>
      <c r="F1020">
        <v>97579428</v>
      </c>
      <c r="G1020">
        <v>97579501</v>
      </c>
      <c r="H1020">
        <v>97579727</v>
      </c>
      <c r="I1020">
        <v>97579730</v>
      </c>
    </row>
    <row r="1021" spans="1:9" x14ac:dyDescent="0.2">
      <c r="A1021" t="str">
        <f>"Aamp"</f>
        <v>Aamp</v>
      </c>
      <c r="B1021" t="s">
        <v>14</v>
      </c>
      <c r="C1021" t="s">
        <v>19</v>
      </c>
      <c r="D1021" t="s">
        <v>11</v>
      </c>
      <c r="E1021" t="s">
        <v>12</v>
      </c>
      <c r="F1021">
        <v>74284636</v>
      </c>
      <c r="G1021">
        <v>74284712</v>
      </c>
      <c r="H1021">
        <v>74284849</v>
      </c>
      <c r="I1021">
        <v>74284896</v>
      </c>
    </row>
    <row r="1022" spans="1:9" x14ac:dyDescent="0.2">
      <c r="A1022" t="str">
        <f>"Aanat"</f>
        <v>Aanat</v>
      </c>
      <c r="B1022" t="s">
        <v>14</v>
      </c>
      <c r="C1022" t="s">
        <v>27</v>
      </c>
      <c r="D1022" t="s">
        <v>17</v>
      </c>
      <c r="E1022" t="s">
        <v>12</v>
      </c>
      <c r="F1022">
        <v>116593679</v>
      </c>
      <c r="G1022">
        <v>116593708</v>
      </c>
      <c r="H1022">
        <v>116593679</v>
      </c>
      <c r="I1022">
        <v>116593708</v>
      </c>
    </row>
    <row r="1023" spans="1:9" x14ac:dyDescent="0.2">
      <c r="A1023" t="str">
        <f>"Aar2"</f>
        <v>Aar2</v>
      </c>
      <c r="B1023" t="s">
        <v>14</v>
      </c>
      <c r="C1023" t="s">
        <v>26</v>
      </c>
      <c r="D1023" t="s">
        <v>17</v>
      </c>
      <c r="E1023" t="s">
        <v>67</v>
      </c>
      <c r="F1023">
        <v>156547570</v>
      </c>
      <c r="G1023">
        <v>156547614</v>
      </c>
      <c r="H1023">
        <v>156547622</v>
      </c>
      <c r="I1023">
        <v>156547631</v>
      </c>
    </row>
    <row r="1024" spans="1:9" x14ac:dyDescent="0.2">
      <c r="A1024" t="str">
        <f>"Aard"</f>
        <v>Aard</v>
      </c>
      <c r="B1024" t="s">
        <v>14</v>
      </c>
      <c r="C1024" t="s">
        <v>25</v>
      </c>
      <c r="D1024" t="s">
        <v>17</v>
      </c>
      <c r="E1024" t="s">
        <v>12</v>
      </c>
      <c r="F1024">
        <v>52040147</v>
      </c>
      <c r="G1024">
        <v>52040161</v>
      </c>
      <c r="H1024">
        <v>52040018</v>
      </c>
      <c r="I1024">
        <v>52040036</v>
      </c>
    </row>
    <row r="1025" spans="1:9" x14ac:dyDescent="0.2">
      <c r="A1025" t="str">
        <f>"Aars"</f>
        <v>Aars</v>
      </c>
      <c r="B1025" t="s">
        <v>14</v>
      </c>
      <c r="C1025" t="s">
        <v>30</v>
      </c>
      <c r="D1025" t="s">
        <v>17</v>
      </c>
      <c r="E1025" t="s">
        <v>12</v>
      </c>
      <c r="F1025">
        <v>111033890</v>
      </c>
      <c r="G1025">
        <v>111033932</v>
      </c>
      <c r="H1025">
        <v>111033861</v>
      </c>
      <c r="I1025">
        <v>111033886</v>
      </c>
    </row>
    <row r="1026" spans="1:9" x14ac:dyDescent="0.2">
      <c r="A1026" t="str">
        <f>"Aars2"</f>
        <v>Aars2</v>
      </c>
      <c r="B1026" t="s">
        <v>14</v>
      </c>
      <c r="C1026" t="s">
        <v>28</v>
      </c>
      <c r="D1026" t="s">
        <v>17</v>
      </c>
      <c r="E1026" t="s">
        <v>12</v>
      </c>
      <c r="F1026">
        <v>45506825</v>
      </c>
      <c r="G1026">
        <v>45506857</v>
      </c>
      <c r="H1026">
        <v>45506825</v>
      </c>
      <c r="I1026">
        <v>45506857</v>
      </c>
    </row>
    <row r="1027" spans="1:9" x14ac:dyDescent="0.2">
      <c r="A1027" t="str">
        <f>"Aarsd1"</f>
        <v>Aarsd1</v>
      </c>
      <c r="B1027" t="s">
        <v>9</v>
      </c>
      <c r="C1027" t="s">
        <v>27</v>
      </c>
      <c r="D1027" t="s">
        <v>11</v>
      </c>
      <c r="E1027" t="s">
        <v>12</v>
      </c>
      <c r="F1027">
        <v>101417392</v>
      </c>
      <c r="G1027">
        <v>101417407</v>
      </c>
      <c r="H1027">
        <v>101417392</v>
      </c>
      <c r="I1027">
        <v>101417407</v>
      </c>
    </row>
    <row r="1028" spans="1:9" x14ac:dyDescent="0.2">
      <c r="A1028" t="str">
        <f>"Aarsd1"</f>
        <v>Aarsd1</v>
      </c>
      <c r="B1028" t="s">
        <v>13</v>
      </c>
      <c r="C1028" t="s">
        <v>27</v>
      </c>
      <c r="D1028" t="s">
        <v>11</v>
      </c>
      <c r="E1028" t="s">
        <v>12</v>
      </c>
      <c r="F1028">
        <v>101424630</v>
      </c>
      <c r="G1028">
        <v>101424675</v>
      </c>
      <c r="H1028">
        <v>101424630</v>
      </c>
      <c r="I1028">
        <v>101424675</v>
      </c>
    </row>
    <row r="1029" spans="1:9" x14ac:dyDescent="0.2">
      <c r="A1029" t="str">
        <f>"Aasdh"</f>
        <v>Aasdh</v>
      </c>
      <c r="B1029" t="s">
        <v>14</v>
      </c>
      <c r="C1029" t="s">
        <v>46</v>
      </c>
      <c r="D1029" t="s">
        <v>11</v>
      </c>
      <c r="E1029" t="s">
        <v>12</v>
      </c>
      <c r="F1029">
        <v>76905463</v>
      </c>
      <c r="G1029">
        <v>76905507</v>
      </c>
      <c r="H1029">
        <v>76905441</v>
      </c>
      <c r="I1029">
        <v>76905459</v>
      </c>
    </row>
    <row r="1030" spans="1:9" x14ac:dyDescent="0.2">
      <c r="A1030" t="str">
        <f>"Aasdhppt"</f>
        <v>Aasdhppt</v>
      </c>
      <c r="B1030" t="s">
        <v>14</v>
      </c>
      <c r="C1030" t="s">
        <v>24</v>
      </c>
      <c r="D1030" t="s">
        <v>11</v>
      </c>
      <c r="E1030" t="s">
        <v>12</v>
      </c>
      <c r="F1030">
        <v>4309432</v>
      </c>
      <c r="G1030">
        <v>4309504</v>
      </c>
      <c r="H1030">
        <v>4309510</v>
      </c>
      <c r="I1030">
        <v>4309517</v>
      </c>
    </row>
    <row r="1031" spans="1:9" x14ac:dyDescent="0.2">
      <c r="A1031" t="str">
        <f>"Aass"</f>
        <v>Aass</v>
      </c>
      <c r="B1031" t="s">
        <v>14</v>
      </c>
      <c r="C1031" t="s">
        <v>32</v>
      </c>
      <c r="D1031" t="s">
        <v>11</v>
      </c>
      <c r="E1031" t="s">
        <v>12</v>
      </c>
      <c r="F1031">
        <v>23132920</v>
      </c>
      <c r="G1031">
        <v>23132956</v>
      </c>
      <c r="H1031">
        <v>23132981</v>
      </c>
      <c r="I1031">
        <v>23132992</v>
      </c>
    </row>
    <row r="1032" spans="1:9" x14ac:dyDescent="0.2">
      <c r="A1032" t="str">
        <f>"Aatf"</f>
        <v>Aatf</v>
      </c>
      <c r="B1032" t="s">
        <v>14</v>
      </c>
      <c r="C1032" t="s">
        <v>27</v>
      </c>
      <c r="D1032" t="s">
        <v>11</v>
      </c>
      <c r="E1032" t="s">
        <v>12</v>
      </c>
      <c r="F1032">
        <v>84513485</v>
      </c>
      <c r="G1032">
        <v>84513553</v>
      </c>
      <c r="H1032">
        <v>84513471</v>
      </c>
      <c r="I1032">
        <v>84513476</v>
      </c>
    </row>
    <row r="1033" spans="1:9" x14ac:dyDescent="0.2">
      <c r="A1033" t="str">
        <f>"Aatk"</f>
        <v>Aatk</v>
      </c>
      <c r="B1033" t="s">
        <v>9</v>
      </c>
      <c r="C1033" t="s">
        <v>27</v>
      </c>
      <c r="D1033" t="s">
        <v>11</v>
      </c>
      <c r="E1033" t="s">
        <v>12</v>
      </c>
      <c r="F1033">
        <v>120017058</v>
      </c>
      <c r="G1033">
        <v>120017160</v>
      </c>
      <c r="H1033">
        <v>120017058</v>
      </c>
      <c r="I1033">
        <v>120017160</v>
      </c>
    </row>
    <row r="1034" spans="1:9" x14ac:dyDescent="0.2">
      <c r="A1034" t="str">
        <f>"Aatk"</f>
        <v>Aatk</v>
      </c>
      <c r="B1034" t="s">
        <v>13</v>
      </c>
      <c r="C1034" t="s">
        <v>27</v>
      </c>
      <c r="D1034" t="s">
        <v>11</v>
      </c>
      <c r="E1034" t="s">
        <v>12</v>
      </c>
      <c r="F1034">
        <v>120047144</v>
      </c>
      <c r="G1034">
        <v>120047193</v>
      </c>
      <c r="H1034">
        <v>120047144</v>
      </c>
      <c r="I1034">
        <v>120047193</v>
      </c>
    </row>
    <row r="1035" spans="1:9" x14ac:dyDescent="0.2">
      <c r="A1035" t="str">
        <f>"Abat"</f>
        <v>Abat</v>
      </c>
      <c r="B1035" t="s">
        <v>14</v>
      </c>
      <c r="C1035" t="s">
        <v>31</v>
      </c>
      <c r="D1035" t="s">
        <v>17</v>
      </c>
      <c r="E1035" t="s">
        <v>12</v>
      </c>
      <c r="F1035">
        <v>8513472</v>
      </c>
      <c r="G1035">
        <v>8513497</v>
      </c>
      <c r="H1035">
        <v>8513472</v>
      </c>
      <c r="I1035">
        <v>8513497</v>
      </c>
    </row>
    <row r="1036" spans="1:9" x14ac:dyDescent="0.2">
      <c r="A1036" t="str">
        <f>"Abca1"</f>
        <v>Abca1</v>
      </c>
      <c r="B1036" t="s">
        <v>14</v>
      </c>
      <c r="C1036" t="s">
        <v>23</v>
      </c>
      <c r="D1036" t="s">
        <v>11</v>
      </c>
      <c r="E1036" t="s">
        <v>12</v>
      </c>
      <c r="F1036">
        <v>53159885</v>
      </c>
      <c r="G1036">
        <v>53159900</v>
      </c>
      <c r="H1036">
        <v>53160035</v>
      </c>
      <c r="I1036">
        <v>53160049</v>
      </c>
    </row>
    <row r="1037" spans="1:9" x14ac:dyDescent="0.2">
      <c r="A1037" t="str">
        <f>"Abca12"</f>
        <v>Abca12</v>
      </c>
      <c r="B1037" t="s">
        <v>14</v>
      </c>
      <c r="C1037" t="s">
        <v>19</v>
      </c>
      <c r="D1037" t="s">
        <v>11</v>
      </c>
      <c r="E1037" t="s">
        <v>12</v>
      </c>
      <c r="F1037">
        <v>71414881</v>
      </c>
      <c r="G1037">
        <v>71414915</v>
      </c>
      <c r="H1037">
        <v>71414840</v>
      </c>
      <c r="I1037">
        <v>71414872</v>
      </c>
    </row>
    <row r="1038" spans="1:9" x14ac:dyDescent="0.2">
      <c r="A1038" t="str">
        <f>"Abca13"</f>
        <v>Abca13</v>
      </c>
      <c r="B1038" t="s">
        <v>14</v>
      </c>
      <c r="C1038" t="s">
        <v>27</v>
      </c>
      <c r="D1038" t="s">
        <v>17</v>
      </c>
      <c r="E1038" t="s">
        <v>12</v>
      </c>
      <c r="F1038">
        <v>9191934</v>
      </c>
      <c r="G1038">
        <v>9191948</v>
      </c>
      <c r="H1038">
        <v>9191934</v>
      </c>
      <c r="I1038">
        <v>9191948</v>
      </c>
    </row>
    <row r="1039" spans="1:9" x14ac:dyDescent="0.2">
      <c r="A1039" t="str">
        <f>"Abca14"</f>
        <v>Abca14</v>
      </c>
      <c r="B1039" t="s">
        <v>14</v>
      </c>
      <c r="C1039" t="s">
        <v>33</v>
      </c>
      <c r="D1039" t="s">
        <v>17</v>
      </c>
      <c r="E1039" t="s">
        <v>12</v>
      </c>
      <c r="F1039">
        <v>120204000</v>
      </c>
      <c r="G1039">
        <v>120204013</v>
      </c>
      <c r="H1039">
        <v>120203972</v>
      </c>
      <c r="I1039">
        <v>120203985</v>
      </c>
    </row>
    <row r="1040" spans="1:9" x14ac:dyDescent="0.2">
      <c r="A1040" t="str">
        <f>"Abca15"</f>
        <v>Abca15</v>
      </c>
      <c r="B1040" t="s">
        <v>14</v>
      </c>
      <c r="C1040" t="s">
        <v>33</v>
      </c>
      <c r="D1040" t="s">
        <v>17</v>
      </c>
      <c r="E1040" t="s">
        <v>12</v>
      </c>
      <c r="F1040">
        <v>120328660</v>
      </c>
      <c r="G1040">
        <v>120328691</v>
      </c>
      <c r="H1040">
        <v>120328693</v>
      </c>
      <c r="I1040">
        <v>120328700</v>
      </c>
    </row>
    <row r="1041" spans="1:9" x14ac:dyDescent="0.2">
      <c r="A1041" t="str">
        <f>"Abca16"</f>
        <v>Abca16</v>
      </c>
      <c r="B1041" t="s">
        <v>14</v>
      </c>
      <c r="C1041" t="s">
        <v>33</v>
      </c>
      <c r="D1041" t="s">
        <v>17</v>
      </c>
      <c r="E1041" t="s">
        <v>12</v>
      </c>
      <c r="F1041">
        <v>120409635</v>
      </c>
      <c r="G1041">
        <v>120409699</v>
      </c>
      <c r="H1041">
        <v>120409702</v>
      </c>
      <c r="I1041">
        <v>120409705</v>
      </c>
    </row>
    <row r="1042" spans="1:9" x14ac:dyDescent="0.2">
      <c r="A1042" t="str">
        <f>"Abca17"</f>
        <v>Abca17</v>
      </c>
      <c r="B1042" t="s">
        <v>14</v>
      </c>
      <c r="C1042" t="s">
        <v>28</v>
      </c>
      <c r="D1042" t="s">
        <v>11</v>
      </c>
      <c r="E1042" t="s">
        <v>12</v>
      </c>
      <c r="F1042">
        <v>24351072</v>
      </c>
      <c r="G1042">
        <v>24351108</v>
      </c>
      <c r="H1042">
        <v>24351053</v>
      </c>
      <c r="I1042">
        <v>24351064</v>
      </c>
    </row>
    <row r="1043" spans="1:9" x14ac:dyDescent="0.2">
      <c r="A1043" t="str">
        <f>"Abca2"</f>
        <v>Abca2</v>
      </c>
      <c r="B1043" t="s">
        <v>14</v>
      </c>
      <c r="C1043" t="s">
        <v>26</v>
      </c>
      <c r="D1043" t="s">
        <v>17</v>
      </c>
      <c r="E1043" t="s">
        <v>12</v>
      </c>
      <c r="F1043">
        <v>25428644</v>
      </c>
      <c r="G1043">
        <v>25428686</v>
      </c>
      <c r="H1043">
        <v>25428591</v>
      </c>
      <c r="I1043">
        <v>25428605</v>
      </c>
    </row>
    <row r="1044" spans="1:9" x14ac:dyDescent="0.2">
      <c r="A1044" t="str">
        <f>"Abca3"</f>
        <v>Abca3</v>
      </c>
      <c r="B1044" t="s">
        <v>14</v>
      </c>
      <c r="C1044" t="s">
        <v>28</v>
      </c>
      <c r="D1044" t="s">
        <v>17</v>
      </c>
      <c r="E1044" t="s">
        <v>12</v>
      </c>
      <c r="F1044">
        <v>24352037</v>
      </c>
      <c r="G1044">
        <v>24352149</v>
      </c>
      <c r="H1044">
        <v>24351954</v>
      </c>
      <c r="I1044">
        <v>24351968</v>
      </c>
    </row>
    <row r="1045" spans="1:9" x14ac:dyDescent="0.2">
      <c r="A1045" t="str">
        <f>"Abca4"</f>
        <v>Abca4</v>
      </c>
      <c r="B1045" t="s">
        <v>14</v>
      </c>
      <c r="C1045" t="s">
        <v>22</v>
      </c>
      <c r="D1045" t="s">
        <v>17</v>
      </c>
      <c r="E1045" t="s">
        <v>12</v>
      </c>
      <c r="F1045">
        <v>122044428</v>
      </c>
      <c r="G1045">
        <v>122044469</v>
      </c>
      <c r="H1045">
        <v>122044471</v>
      </c>
      <c r="I1045">
        <v>122044491</v>
      </c>
    </row>
    <row r="1046" spans="1:9" x14ac:dyDescent="0.2">
      <c r="A1046" t="str">
        <f>"Abca5"</f>
        <v>Abca5</v>
      </c>
      <c r="B1046" t="s">
        <v>14</v>
      </c>
      <c r="C1046" t="s">
        <v>27</v>
      </c>
      <c r="D1046" t="s">
        <v>11</v>
      </c>
      <c r="E1046" t="s">
        <v>12</v>
      </c>
      <c r="F1046">
        <v>110337612</v>
      </c>
      <c r="G1046">
        <v>110337704</v>
      </c>
      <c r="H1046">
        <v>110337707</v>
      </c>
      <c r="I1046">
        <v>110337719</v>
      </c>
    </row>
    <row r="1047" spans="1:9" x14ac:dyDescent="0.2">
      <c r="A1047" t="str">
        <f>"Abca6"</f>
        <v>Abca6</v>
      </c>
      <c r="B1047" t="s">
        <v>14</v>
      </c>
      <c r="C1047" t="s">
        <v>27</v>
      </c>
      <c r="D1047" t="s">
        <v>11</v>
      </c>
      <c r="E1047" t="s">
        <v>12</v>
      </c>
      <c r="F1047">
        <v>110251736</v>
      </c>
      <c r="G1047">
        <v>110251754</v>
      </c>
      <c r="H1047">
        <v>110251711</v>
      </c>
      <c r="I1047">
        <v>110251734</v>
      </c>
    </row>
    <row r="1048" spans="1:9" x14ac:dyDescent="0.2">
      <c r="A1048" t="str">
        <f>"Abca7"</f>
        <v>Abca7</v>
      </c>
      <c r="B1048" t="s">
        <v>14</v>
      </c>
      <c r="C1048" t="s">
        <v>15</v>
      </c>
      <c r="D1048" t="s">
        <v>17</v>
      </c>
      <c r="E1048" t="s">
        <v>12</v>
      </c>
      <c r="F1048">
        <v>79996479</v>
      </c>
      <c r="G1048">
        <v>79996505</v>
      </c>
      <c r="H1048">
        <v>79996455</v>
      </c>
      <c r="I1048">
        <v>79996475</v>
      </c>
    </row>
    <row r="1049" spans="1:9" x14ac:dyDescent="0.2">
      <c r="A1049" t="str">
        <f>"Abca8a"</f>
        <v>Abca8a</v>
      </c>
      <c r="B1049" t="s">
        <v>14</v>
      </c>
      <c r="C1049" t="s">
        <v>27</v>
      </c>
      <c r="D1049" t="s">
        <v>11</v>
      </c>
      <c r="E1049" t="s">
        <v>12</v>
      </c>
      <c r="F1049">
        <v>110095974</v>
      </c>
      <c r="G1049">
        <v>110096043</v>
      </c>
      <c r="H1049">
        <v>110095974</v>
      </c>
      <c r="I1049">
        <v>110096043</v>
      </c>
    </row>
    <row r="1050" spans="1:9" x14ac:dyDescent="0.2">
      <c r="A1050" t="str">
        <f>"Abca8b"</f>
        <v>Abca8b</v>
      </c>
      <c r="B1050" t="s">
        <v>14</v>
      </c>
      <c r="C1050" t="s">
        <v>27</v>
      </c>
      <c r="D1050" t="s">
        <v>11</v>
      </c>
      <c r="E1050" t="s">
        <v>12</v>
      </c>
      <c r="F1050">
        <v>109995747</v>
      </c>
      <c r="G1050">
        <v>109995762</v>
      </c>
      <c r="H1050">
        <v>109995775</v>
      </c>
      <c r="I1050">
        <v>109995800</v>
      </c>
    </row>
    <row r="1051" spans="1:9" x14ac:dyDescent="0.2">
      <c r="A1051" t="str">
        <f>"Abca9"</f>
        <v>Abca9</v>
      </c>
      <c r="B1051" t="s">
        <v>14</v>
      </c>
      <c r="C1051" t="s">
        <v>27</v>
      </c>
      <c r="D1051" t="s">
        <v>11</v>
      </c>
      <c r="E1051" t="s">
        <v>12</v>
      </c>
      <c r="F1051">
        <v>110168073</v>
      </c>
      <c r="G1051">
        <v>110168182</v>
      </c>
      <c r="H1051">
        <v>110168201</v>
      </c>
      <c r="I1051">
        <v>110168217</v>
      </c>
    </row>
    <row r="1052" spans="1:9" x14ac:dyDescent="0.2">
      <c r="A1052" t="str">
        <f>"Abcb10"</f>
        <v>Abcb10</v>
      </c>
      <c r="B1052" t="s">
        <v>14</v>
      </c>
      <c r="C1052" t="s">
        <v>30</v>
      </c>
      <c r="D1052" t="s">
        <v>11</v>
      </c>
      <c r="E1052" t="s">
        <v>12</v>
      </c>
      <c r="F1052">
        <v>123982807</v>
      </c>
      <c r="G1052">
        <v>123982880</v>
      </c>
      <c r="H1052">
        <v>123982894</v>
      </c>
      <c r="I1052">
        <v>123982912</v>
      </c>
    </row>
    <row r="1053" spans="1:9" x14ac:dyDescent="0.2">
      <c r="A1053" t="str">
        <f>"Abcb11"</f>
        <v>Abcb11</v>
      </c>
      <c r="B1053" t="s">
        <v>14</v>
      </c>
      <c r="C1053" t="s">
        <v>26</v>
      </c>
      <c r="D1053" t="s">
        <v>11</v>
      </c>
      <c r="E1053" t="s">
        <v>12</v>
      </c>
      <c r="F1053">
        <v>69342604</v>
      </c>
      <c r="G1053">
        <v>69342624</v>
      </c>
      <c r="H1053">
        <v>69342578</v>
      </c>
      <c r="I1053">
        <v>69342592</v>
      </c>
    </row>
    <row r="1054" spans="1:9" x14ac:dyDescent="0.2">
      <c r="A1054" t="str">
        <f>"Abcb1a"</f>
        <v>Abcb1a</v>
      </c>
      <c r="B1054" t="s">
        <v>14</v>
      </c>
      <c r="C1054" t="s">
        <v>46</v>
      </c>
      <c r="D1054" t="s">
        <v>17</v>
      </c>
      <c r="E1054" t="s">
        <v>12</v>
      </c>
      <c r="F1054">
        <v>8660059</v>
      </c>
      <c r="G1054">
        <v>8660099</v>
      </c>
      <c r="H1054">
        <v>8660221</v>
      </c>
      <c r="I1054">
        <v>8660234</v>
      </c>
    </row>
    <row r="1055" spans="1:9" x14ac:dyDescent="0.2">
      <c r="A1055" t="str">
        <f>"Abcb1b"</f>
        <v>Abcb1b</v>
      </c>
      <c r="B1055" t="s">
        <v>14</v>
      </c>
      <c r="C1055" t="s">
        <v>46</v>
      </c>
      <c r="D1055" t="s">
        <v>17</v>
      </c>
      <c r="E1055" t="s">
        <v>12</v>
      </c>
      <c r="F1055">
        <v>8798139</v>
      </c>
      <c r="G1055">
        <v>8798164</v>
      </c>
      <c r="H1055">
        <v>8798139</v>
      </c>
      <c r="I1055">
        <v>8798164</v>
      </c>
    </row>
    <row r="1056" spans="1:9" x14ac:dyDescent="0.2">
      <c r="A1056" t="str">
        <f>"Abcb4"</f>
        <v>Abcb4</v>
      </c>
      <c r="B1056" t="s">
        <v>14</v>
      </c>
      <c r="C1056" t="s">
        <v>46</v>
      </c>
      <c r="D1056" t="s">
        <v>17</v>
      </c>
      <c r="E1056" t="s">
        <v>12</v>
      </c>
      <c r="F1056">
        <v>8893677</v>
      </c>
      <c r="G1056">
        <v>8893745</v>
      </c>
      <c r="H1056">
        <v>8893856</v>
      </c>
      <c r="I1056">
        <v>8893896</v>
      </c>
    </row>
    <row r="1057" spans="1:9" x14ac:dyDescent="0.2">
      <c r="A1057" t="str">
        <f>"Abcb5"</f>
        <v>Abcb5</v>
      </c>
      <c r="B1057" t="s">
        <v>14</v>
      </c>
      <c r="C1057" t="s">
        <v>16</v>
      </c>
      <c r="D1057" t="s">
        <v>11</v>
      </c>
      <c r="E1057" t="s">
        <v>12</v>
      </c>
      <c r="F1057">
        <v>118966395</v>
      </c>
      <c r="G1057">
        <v>118966411</v>
      </c>
      <c r="H1057">
        <v>118966390</v>
      </c>
      <c r="I1057">
        <v>118966393</v>
      </c>
    </row>
    <row r="1058" spans="1:9" x14ac:dyDescent="0.2">
      <c r="A1058" t="str">
        <f>"Abcb6"</f>
        <v>Abcb6</v>
      </c>
      <c r="B1058" t="s">
        <v>14</v>
      </c>
      <c r="C1058" t="s">
        <v>19</v>
      </c>
      <c r="D1058" t="s">
        <v>11</v>
      </c>
      <c r="E1058" t="s">
        <v>12</v>
      </c>
      <c r="F1058">
        <v>75180349</v>
      </c>
      <c r="G1058">
        <v>75180407</v>
      </c>
      <c r="H1058">
        <v>75180226</v>
      </c>
      <c r="I1058">
        <v>75180309</v>
      </c>
    </row>
    <row r="1059" spans="1:9" x14ac:dyDescent="0.2">
      <c r="A1059" t="str">
        <f>"Abcb7"</f>
        <v>Abcb7</v>
      </c>
      <c r="B1059" t="s">
        <v>14</v>
      </c>
      <c r="C1059" t="s">
        <v>37</v>
      </c>
      <c r="D1059" t="s">
        <v>11</v>
      </c>
      <c r="E1059" t="s">
        <v>12</v>
      </c>
      <c r="F1059">
        <v>104413825</v>
      </c>
      <c r="G1059">
        <v>104413856</v>
      </c>
      <c r="H1059">
        <v>104413862</v>
      </c>
      <c r="I1059">
        <v>104413871</v>
      </c>
    </row>
    <row r="1060" spans="1:9" x14ac:dyDescent="0.2">
      <c r="A1060" t="str">
        <f>"Abcb8"</f>
        <v>Abcb8</v>
      </c>
      <c r="B1060" t="s">
        <v>14</v>
      </c>
      <c r="C1060" t="s">
        <v>46</v>
      </c>
      <c r="D1060" t="s">
        <v>17</v>
      </c>
      <c r="E1060" t="s">
        <v>12</v>
      </c>
      <c r="F1060">
        <v>24394388</v>
      </c>
      <c r="G1060">
        <v>24394430</v>
      </c>
      <c r="H1060">
        <v>24394388</v>
      </c>
      <c r="I1060">
        <v>24394430</v>
      </c>
    </row>
    <row r="1061" spans="1:9" x14ac:dyDescent="0.2">
      <c r="A1061" t="str">
        <f>"Abcb9"</f>
        <v>Abcb9</v>
      </c>
      <c r="B1061" t="s">
        <v>14</v>
      </c>
      <c r="C1061" t="s">
        <v>46</v>
      </c>
      <c r="D1061" t="s">
        <v>11</v>
      </c>
      <c r="E1061" t="s">
        <v>12</v>
      </c>
      <c r="F1061">
        <v>124095749</v>
      </c>
      <c r="G1061">
        <v>124095820</v>
      </c>
      <c r="H1061">
        <v>124095749</v>
      </c>
      <c r="I1061">
        <v>124095820</v>
      </c>
    </row>
    <row r="1062" spans="1:9" x14ac:dyDescent="0.2">
      <c r="A1062" t="str">
        <f>"Abcc1"</f>
        <v>Abcc1</v>
      </c>
      <c r="B1062" t="s">
        <v>14</v>
      </c>
      <c r="C1062" t="s">
        <v>31</v>
      </c>
      <c r="D1062" t="s">
        <v>17</v>
      </c>
      <c r="E1062" t="s">
        <v>12</v>
      </c>
      <c r="F1062">
        <v>14361552</v>
      </c>
      <c r="G1062">
        <v>14361601</v>
      </c>
      <c r="H1062">
        <v>14361552</v>
      </c>
      <c r="I1062">
        <v>14361601</v>
      </c>
    </row>
    <row r="1063" spans="1:9" x14ac:dyDescent="0.2">
      <c r="A1063" t="str">
        <f>"Abcc10"</f>
        <v>Abcc10</v>
      </c>
      <c r="B1063" t="s">
        <v>14</v>
      </c>
      <c r="C1063" t="s">
        <v>28</v>
      </c>
      <c r="D1063" t="s">
        <v>11</v>
      </c>
      <c r="E1063" t="s">
        <v>12</v>
      </c>
      <c r="F1063">
        <v>46327949</v>
      </c>
      <c r="G1063">
        <v>46327987</v>
      </c>
      <c r="H1063">
        <v>46327990</v>
      </c>
      <c r="I1063">
        <v>46328001</v>
      </c>
    </row>
    <row r="1064" spans="1:9" x14ac:dyDescent="0.2">
      <c r="A1064" t="str">
        <f>"Abcc12"</f>
        <v>Abcc12</v>
      </c>
      <c r="B1064" t="s">
        <v>14</v>
      </c>
      <c r="C1064" t="s">
        <v>30</v>
      </c>
      <c r="D1064" t="s">
        <v>11</v>
      </c>
      <c r="E1064" t="s">
        <v>12</v>
      </c>
      <c r="F1064">
        <v>86580647</v>
      </c>
      <c r="G1064">
        <v>86580660</v>
      </c>
      <c r="H1064">
        <v>86580664</v>
      </c>
      <c r="I1064">
        <v>86580675</v>
      </c>
    </row>
    <row r="1065" spans="1:9" x14ac:dyDescent="0.2">
      <c r="A1065" t="str">
        <f>"Abcc2"</f>
        <v>Abcc2</v>
      </c>
      <c r="B1065" t="s">
        <v>14</v>
      </c>
      <c r="C1065" t="s">
        <v>10</v>
      </c>
      <c r="D1065" t="s">
        <v>17</v>
      </c>
      <c r="E1065" t="s">
        <v>12</v>
      </c>
      <c r="F1065">
        <v>43782297</v>
      </c>
      <c r="G1065">
        <v>43782313</v>
      </c>
      <c r="H1065">
        <v>43782297</v>
      </c>
      <c r="I1065">
        <v>43782313</v>
      </c>
    </row>
    <row r="1066" spans="1:9" x14ac:dyDescent="0.2">
      <c r="A1066" t="str">
        <f>"Abcc3"</f>
        <v>Abcc3</v>
      </c>
      <c r="B1066" t="s">
        <v>14</v>
      </c>
      <c r="C1066" t="s">
        <v>27</v>
      </c>
      <c r="D1066" t="s">
        <v>11</v>
      </c>
      <c r="E1066" t="s">
        <v>12</v>
      </c>
      <c r="F1066">
        <v>94392917</v>
      </c>
      <c r="G1066">
        <v>94392983</v>
      </c>
      <c r="H1066">
        <v>94392917</v>
      </c>
      <c r="I1066">
        <v>94392983</v>
      </c>
    </row>
    <row r="1067" spans="1:9" x14ac:dyDescent="0.2">
      <c r="A1067" t="str">
        <f>"Abcc4"</f>
        <v>Abcc4</v>
      </c>
      <c r="B1067" t="s">
        <v>14</v>
      </c>
      <c r="C1067" t="s">
        <v>41</v>
      </c>
      <c r="D1067" t="s">
        <v>11</v>
      </c>
      <c r="E1067" t="s">
        <v>12</v>
      </c>
      <c r="F1067">
        <v>118706180</v>
      </c>
      <c r="G1067">
        <v>118706234</v>
      </c>
      <c r="H1067">
        <v>118706180</v>
      </c>
      <c r="I1067">
        <v>118706234</v>
      </c>
    </row>
    <row r="1068" spans="1:9" x14ac:dyDescent="0.2">
      <c r="A1068" t="str">
        <f>"Abcc5"</f>
        <v>Abcc5</v>
      </c>
      <c r="B1068" t="s">
        <v>14</v>
      </c>
      <c r="C1068" t="s">
        <v>31</v>
      </c>
      <c r="D1068" t="s">
        <v>11</v>
      </c>
      <c r="E1068" t="s">
        <v>12</v>
      </c>
      <c r="F1068">
        <v>20426322</v>
      </c>
      <c r="G1068">
        <v>20426372</v>
      </c>
      <c r="H1068">
        <v>20426293</v>
      </c>
      <c r="I1068">
        <v>20426314</v>
      </c>
    </row>
    <row r="1069" spans="1:9" x14ac:dyDescent="0.2">
      <c r="A1069" t="str">
        <f>"Abcc6"</f>
        <v>Abcc6</v>
      </c>
      <c r="B1069" t="s">
        <v>14</v>
      </c>
      <c r="C1069" t="s">
        <v>33</v>
      </c>
      <c r="D1069" t="s">
        <v>11</v>
      </c>
      <c r="E1069" t="s">
        <v>12</v>
      </c>
      <c r="F1069">
        <v>46030281</v>
      </c>
      <c r="G1069">
        <v>46030307</v>
      </c>
      <c r="H1069">
        <v>46030316</v>
      </c>
      <c r="I1069">
        <v>46030325</v>
      </c>
    </row>
    <row r="1070" spans="1:9" x14ac:dyDescent="0.2">
      <c r="A1070" t="str">
        <f>"Abcc8"</f>
        <v>Abcc8</v>
      </c>
      <c r="B1070" t="s">
        <v>14</v>
      </c>
      <c r="C1070" t="s">
        <v>33</v>
      </c>
      <c r="D1070" t="s">
        <v>11</v>
      </c>
      <c r="E1070" t="s">
        <v>12</v>
      </c>
      <c r="F1070">
        <v>46179929</v>
      </c>
      <c r="G1070">
        <v>46180032</v>
      </c>
      <c r="H1070">
        <v>46180033</v>
      </c>
      <c r="I1070">
        <v>46180043</v>
      </c>
    </row>
    <row r="1071" spans="1:9" x14ac:dyDescent="0.2">
      <c r="A1071" t="str">
        <f>"Abcc9"</f>
        <v>Abcc9</v>
      </c>
      <c r="B1071" t="s">
        <v>14</v>
      </c>
      <c r="C1071" t="s">
        <v>32</v>
      </c>
      <c r="D1071" t="s">
        <v>11</v>
      </c>
      <c r="E1071" t="s">
        <v>12</v>
      </c>
      <c r="F1071">
        <v>142702259</v>
      </c>
      <c r="G1071">
        <v>142702290</v>
      </c>
      <c r="H1071">
        <v>142702222</v>
      </c>
      <c r="I1071">
        <v>142702255</v>
      </c>
    </row>
    <row r="1072" spans="1:9" x14ac:dyDescent="0.2">
      <c r="A1072" t="str">
        <f>"Abcd1"</f>
        <v>Abcd1</v>
      </c>
      <c r="B1072" t="s">
        <v>14</v>
      </c>
      <c r="C1072" t="s">
        <v>37</v>
      </c>
      <c r="D1072" t="s">
        <v>17</v>
      </c>
      <c r="E1072" t="s">
        <v>12</v>
      </c>
      <c r="F1072">
        <v>73716712</v>
      </c>
      <c r="G1072">
        <v>73716750</v>
      </c>
      <c r="H1072">
        <v>73716712</v>
      </c>
      <c r="I1072">
        <v>73716750</v>
      </c>
    </row>
    <row r="1073" spans="1:9" x14ac:dyDescent="0.2">
      <c r="A1073" t="str">
        <f>"Abcd2"</f>
        <v>Abcd2</v>
      </c>
      <c r="B1073" t="s">
        <v>14</v>
      </c>
      <c r="C1073" t="s">
        <v>25</v>
      </c>
      <c r="D1073" t="s">
        <v>11</v>
      </c>
      <c r="E1073" t="s">
        <v>12</v>
      </c>
      <c r="F1073">
        <v>91191733</v>
      </c>
      <c r="G1073">
        <v>91191825</v>
      </c>
      <c r="H1073">
        <v>91191711</v>
      </c>
      <c r="I1073">
        <v>91191722</v>
      </c>
    </row>
    <row r="1074" spans="1:9" x14ac:dyDescent="0.2">
      <c r="A1074" t="str">
        <f>"Abcd3"</f>
        <v>Abcd3</v>
      </c>
      <c r="B1074" t="s">
        <v>14</v>
      </c>
      <c r="C1074" t="s">
        <v>22</v>
      </c>
      <c r="D1074" t="s">
        <v>11</v>
      </c>
      <c r="E1074" t="s">
        <v>12</v>
      </c>
      <c r="F1074">
        <v>121815160</v>
      </c>
      <c r="G1074">
        <v>121815209</v>
      </c>
      <c r="H1074">
        <v>121815137</v>
      </c>
      <c r="I1074">
        <v>121815153</v>
      </c>
    </row>
    <row r="1075" spans="1:9" x14ac:dyDescent="0.2">
      <c r="A1075" t="str">
        <f>"Abcd4"</f>
        <v>Abcd4</v>
      </c>
      <c r="B1075" t="s">
        <v>14</v>
      </c>
      <c r="C1075" t="s">
        <v>16</v>
      </c>
      <c r="D1075" t="s">
        <v>11</v>
      </c>
      <c r="E1075" t="s">
        <v>12</v>
      </c>
      <c r="F1075">
        <v>84617326</v>
      </c>
      <c r="G1075">
        <v>84617419</v>
      </c>
      <c r="H1075">
        <v>84617420</v>
      </c>
      <c r="I1075">
        <v>84617431</v>
      </c>
    </row>
    <row r="1076" spans="1:9" x14ac:dyDescent="0.2">
      <c r="A1076" t="str">
        <f>"Abce1"</f>
        <v>Abce1</v>
      </c>
      <c r="B1076" t="s">
        <v>14</v>
      </c>
      <c r="C1076" t="s">
        <v>30</v>
      </c>
      <c r="D1076" t="s">
        <v>11</v>
      </c>
      <c r="E1076" t="s">
        <v>12</v>
      </c>
      <c r="F1076">
        <v>79711631</v>
      </c>
      <c r="G1076">
        <v>79711695</v>
      </c>
      <c r="H1076">
        <v>79711620</v>
      </c>
      <c r="I1076">
        <v>79711630</v>
      </c>
    </row>
    <row r="1077" spans="1:9" x14ac:dyDescent="0.2">
      <c r="A1077" t="str">
        <f>"Abcf1"</f>
        <v>Abcf1</v>
      </c>
      <c r="B1077" t="s">
        <v>14</v>
      </c>
      <c r="C1077" t="s">
        <v>28</v>
      </c>
      <c r="D1077" t="s">
        <v>11</v>
      </c>
      <c r="E1077" t="s">
        <v>12</v>
      </c>
      <c r="F1077">
        <v>35969724</v>
      </c>
      <c r="G1077">
        <v>35969785</v>
      </c>
      <c r="H1077">
        <v>35969697</v>
      </c>
      <c r="I1077">
        <v>35969711</v>
      </c>
    </row>
    <row r="1078" spans="1:9" x14ac:dyDescent="0.2">
      <c r="A1078" t="str">
        <f>"Abcf2"</f>
        <v>Abcf2</v>
      </c>
      <c r="B1078" t="s">
        <v>14</v>
      </c>
      <c r="C1078" t="s">
        <v>46</v>
      </c>
      <c r="D1078" t="s">
        <v>11</v>
      </c>
      <c r="E1078" t="s">
        <v>12</v>
      </c>
      <c r="F1078">
        <v>24577370</v>
      </c>
      <c r="G1078">
        <v>24577429</v>
      </c>
      <c r="H1078">
        <v>24577477</v>
      </c>
      <c r="I1078">
        <v>24577493</v>
      </c>
    </row>
    <row r="1079" spans="1:9" x14ac:dyDescent="0.2">
      <c r="A1079" t="str">
        <f>"Abcf3"</f>
        <v>Abcf3</v>
      </c>
      <c r="B1079" t="s">
        <v>14</v>
      </c>
      <c r="C1079" t="s">
        <v>31</v>
      </c>
      <c r="D1079" t="s">
        <v>17</v>
      </c>
      <c r="E1079" t="s">
        <v>12</v>
      </c>
      <c r="F1079">
        <v>20548637</v>
      </c>
      <c r="G1079">
        <v>20548672</v>
      </c>
      <c r="H1079">
        <v>20548637</v>
      </c>
      <c r="I1079">
        <v>20548672</v>
      </c>
    </row>
    <row r="1080" spans="1:9" x14ac:dyDescent="0.2">
      <c r="A1080" t="str">
        <f>"Abcg1"</f>
        <v>Abcg1</v>
      </c>
      <c r="B1080" t="s">
        <v>14</v>
      </c>
      <c r="C1080" t="s">
        <v>28</v>
      </c>
      <c r="D1080" t="s">
        <v>17</v>
      </c>
      <c r="E1080" t="s">
        <v>12</v>
      </c>
      <c r="F1080">
        <v>31057719</v>
      </c>
      <c r="G1080">
        <v>31057734</v>
      </c>
      <c r="H1080">
        <v>31057686</v>
      </c>
      <c r="I1080">
        <v>31057699</v>
      </c>
    </row>
    <row r="1081" spans="1:9" x14ac:dyDescent="0.2">
      <c r="A1081" t="str">
        <f>"Abcg2"</f>
        <v>Abcg2</v>
      </c>
      <c r="B1081" t="s">
        <v>14</v>
      </c>
      <c r="C1081" t="s">
        <v>32</v>
      </c>
      <c r="D1081" t="s">
        <v>17</v>
      </c>
      <c r="E1081" t="s">
        <v>12</v>
      </c>
      <c r="F1081">
        <v>58640536</v>
      </c>
      <c r="G1081">
        <v>58640596</v>
      </c>
      <c r="H1081">
        <v>58640536</v>
      </c>
      <c r="I1081">
        <v>58640596</v>
      </c>
    </row>
    <row r="1082" spans="1:9" x14ac:dyDescent="0.2">
      <c r="A1082" t="str">
        <f>"Abcg3"</f>
        <v>Abcg3</v>
      </c>
      <c r="B1082" t="s">
        <v>14</v>
      </c>
      <c r="C1082" t="s">
        <v>46</v>
      </c>
      <c r="D1082" t="s">
        <v>11</v>
      </c>
      <c r="E1082" t="s">
        <v>12</v>
      </c>
      <c r="F1082">
        <v>104982656</v>
      </c>
      <c r="G1082">
        <v>104982714</v>
      </c>
      <c r="H1082">
        <v>104982656</v>
      </c>
      <c r="I1082">
        <v>104982714</v>
      </c>
    </row>
    <row r="1083" spans="1:9" x14ac:dyDescent="0.2">
      <c r="A1083" t="str">
        <f>"Abcg4"</f>
        <v>Abcg4</v>
      </c>
      <c r="B1083" t="s">
        <v>14</v>
      </c>
      <c r="C1083" t="s">
        <v>24</v>
      </c>
      <c r="D1083" t="s">
        <v>11</v>
      </c>
      <c r="E1083" t="s">
        <v>12</v>
      </c>
      <c r="F1083">
        <v>44288332</v>
      </c>
      <c r="G1083">
        <v>44288409</v>
      </c>
      <c r="H1083">
        <v>44288535</v>
      </c>
      <c r="I1083">
        <v>44288601</v>
      </c>
    </row>
    <row r="1084" spans="1:9" x14ac:dyDescent="0.2">
      <c r="A1084" t="str">
        <f>"Abcg5"</f>
        <v>Abcg5</v>
      </c>
      <c r="B1084" t="s">
        <v>14</v>
      </c>
      <c r="C1084" t="s">
        <v>28</v>
      </c>
      <c r="D1084" t="s">
        <v>11</v>
      </c>
      <c r="E1084" t="s">
        <v>12</v>
      </c>
      <c r="F1084">
        <v>84682885</v>
      </c>
      <c r="G1084">
        <v>84682914</v>
      </c>
      <c r="H1084">
        <v>84682932</v>
      </c>
      <c r="I1084">
        <v>84682944</v>
      </c>
    </row>
    <row r="1085" spans="1:9" x14ac:dyDescent="0.2">
      <c r="A1085" t="str">
        <f>"Abcg8"</f>
        <v>Abcg8</v>
      </c>
      <c r="B1085" t="s">
        <v>14</v>
      </c>
      <c r="C1085" t="s">
        <v>28</v>
      </c>
      <c r="D1085" t="s">
        <v>17</v>
      </c>
      <c r="E1085" t="s">
        <v>12</v>
      </c>
      <c r="F1085">
        <v>84683159</v>
      </c>
      <c r="G1085">
        <v>84683185</v>
      </c>
      <c r="H1085">
        <v>84683113</v>
      </c>
      <c r="I1085">
        <v>84683128</v>
      </c>
    </row>
    <row r="1086" spans="1:9" x14ac:dyDescent="0.2">
      <c r="A1086" t="str">
        <f>"Abhd10"</f>
        <v>Abhd10</v>
      </c>
      <c r="B1086" t="s">
        <v>14</v>
      </c>
      <c r="C1086" t="s">
        <v>31</v>
      </c>
      <c r="D1086" t="s">
        <v>11</v>
      </c>
      <c r="E1086" t="s">
        <v>12</v>
      </c>
      <c r="F1086">
        <v>45742888</v>
      </c>
      <c r="G1086">
        <v>45742947</v>
      </c>
      <c r="H1086">
        <v>45742810</v>
      </c>
      <c r="I1086">
        <v>45742821</v>
      </c>
    </row>
    <row r="1087" spans="1:9" x14ac:dyDescent="0.2">
      <c r="A1087" t="str">
        <f>"Abhd11"</f>
        <v>Abhd11</v>
      </c>
      <c r="B1087" t="s">
        <v>14</v>
      </c>
      <c r="C1087" t="s">
        <v>46</v>
      </c>
      <c r="D1087" t="s">
        <v>17</v>
      </c>
      <c r="E1087" t="s">
        <v>12</v>
      </c>
      <c r="F1087">
        <v>135009633</v>
      </c>
      <c r="G1087">
        <v>135009699</v>
      </c>
      <c r="H1087">
        <v>135009932</v>
      </c>
      <c r="I1087">
        <v>135010014</v>
      </c>
    </row>
    <row r="1088" spans="1:9" x14ac:dyDescent="0.2">
      <c r="A1088" t="str">
        <f>"Abhd12"</f>
        <v>Abhd12</v>
      </c>
      <c r="B1088" t="s">
        <v>14</v>
      </c>
      <c r="C1088" t="s">
        <v>26</v>
      </c>
      <c r="D1088" t="s">
        <v>11</v>
      </c>
      <c r="E1088" t="s">
        <v>12</v>
      </c>
      <c r="F1088">
        <v>150904620</v>
      </c>
      <c r="G1088">
        <v>150904748</v>
      </c>
      <c r="H1088">
        <v>150904620</v>
      </c>
      <c r="I1088">
        <v>150904748</v>
      </c>
    </row>
    <row r="1089" spans="1:9" x14ac:dyDescent="0.2">
      <c r="A1089" t="str">
        <f>"Abhd12b"</f>
        <v>Abhd12b</v>
      </c>
      <c r="B1089" t="s">
        <v>14</v>
      </c>
      <c r="C1089" t="s">
        <v>16</v>
      </c>
      <c r="D1089" t="s">
        <v>17</v>
      </c>
      <c r="E1089" t="s">
        <v>12</v>
      </c>
      <c r="F1089">
        <v>70154124</v>
      </c>
      <c r="G1089">
        <v>70154157</v>
      </c>
      <c r="H1089">
        <v>70154109</v>
      </c>
      <c r="I1089">
        <v>70154112</v>
      </c>
    </row>
    <row r="1090" spans="1:9" x14ac:dyDescent="0.2">
      <c r="A1090" t="str">
        <f>"Abhd13"</f>
        <v>Abhd13</v>
      </c>
      <c r="B1090" t="s">
        <v>14</v>
      </c>
      <c r="C1090" t="s">
        <v>30</v>
      </c>
      <c r="D1090" t="s">
        <v>17</v>
      </c>
      <c r="E1090" t="s">
        <v>12</v>
      </c>
      <c r="F1090">
        <v>9977810</v>
      </c>
      <c r="G1090">
        <v>9977848</v>
      </c>
      <c r="H1090">
        <v>9977733</v>
      </c>
      <c r="I1090">
        <v>9977763</v>
      </c>
    </row>
    <row r="1091" spans="1:9" x14ac:dyDescent="0.2">
      <c r="A1091" t="str">
        <f>"Abhd14a"</f>
        <v>Abhd14a</v>
      </c>
      <c r="B1091" t="s">
        <v>14</v>
      </c>
      <c r="C1091" t="s">
        <v>24</v>
      </c>
      <c r="D1091" t="s">
        <v>11</v>
      </c>
      <c r="E1091" t="s">
        <v>12</v>
      </c>
      <c r="F1091">
        <v>106447584</v>
      </c>
      <c r="G1091">
        <v>106447689</v>
      </c>
      <c r="H1091">
        <v>106447548</v>
      </c>
      <c r="I1091">
        <v>106447582</v>
      </c>
    </row>
    <row r="1092" spans="1:9" x14ac:dyDescent="0.2">
      <c r="A1092" t="str">
        <f>"Abhd14b"</f>
        <v>Abhd14b</v>
      </c>
      <c r="B1092" t="s">
        <v>14</v>
      </c>
      <c r="C1092" t="s">
        <v>24</v>
      </c>
      <c r="D1092" t="s">
        <v>17</v>
      </c>
      <c r="E1092" t="s">
        <v>12</v>
      </c>
      <c r="F1092">
        <v>106448660</v>
      </c>
      <c r="G1092">
        <v>106448683</v>
      </c>
      <c r="H1092">
        <v>106448629</v>
      </c>
      <c r="I1092">
        <v>106448655</v>
      </c>
    </row>
    <row r="1093" spans="1:9" x14ac:dyDescent="0.2">
      <c r="A1093" t="str">
        <f>"Abhd15"</f>
        <v>Abhd15</v>
      </c>
      <c r="B1093" t="s">
        <v>9</v>
      </c>
      <c r="C1093" t="s">
        <v>27</v>
      </c>
      <c r="D1093" t="s">
        <v>17</v>
      </c>
      <c r="E1093" t="s">
        <v>12</v>
      </c>
      <c r="F1093">
        <v>77515104</v>
      </c>
      <c r="G1093">
        <v>77515128</v>
      </c>
      <c r="H1093">
        <v>77515104</v>
      </c>
      <c r="I1093">
        <v>77515128</v>
      </c>
    </row>
    <row r="1094" spans="1:9" x14ac:dyDescent="0.2">
      <c r="A1094" t="str">
        <f>"Abhd15"</f>
        <v>Abhd15</v>
      </c>
      <c r="B1094" t="s">
        <v>13</v>
      </c>
      <c r="C1094" t="s">
        <v>27</v>
      </c>
      <c r="D1094" t="s">
        <v>17</v>
      </c>
      <c r="E1094" t="s">
        <v>12</v>
      </c>
      <c r="F1094">
        <v>77518566</v>
      </c>
      <c r="G1094">
        <v>77518576</v>
      </c>
      <c r="H1094">
        <v>77518566</v>
      </c>
      <c r="I1094">
        <v>77518576</v>
      </c>
    </row>
    <row r="1095" spans="1:9" x14ac:dyDescent="0.2">
      <c r="A1095" t="str">
        <f>"Abhd16a"</f>
        <v>Abhd16a</v>
      </c>
      <c r="B1095" t="s">
        <v>14</v>
      </c>
      <c r="C1095" t="s">
        <v>28</v>
      </c>
      <c r="D1095" t="s">
        <v>17</v>
      </c>
      <c r="E1095" t="s">
        <v>12</v>
      </c>
      <c r="F1095">
        <v>35089229</v>
      </c>
      <c r="G1095">
        <v>35089307</v>
      </c>
      <c r="H1095">
        <v>35089582</v>
      </c>
      <c r="I1095">
        <v>35089612</v>
      </c>
    </row>
    <row r="1096" spans="1:9" x14ac:dyDescent="0.2">
      <c r="A1096" t="str">
        <f>"Abhd16b"</f>
        <v>Abhd16b</v>
      </c>
      <c r="B1096" t="s">
        <v>14</v>
      </c>
      <c r="C1096" t="s">
        <v>26</v>
      </c>
      <c r="D1096" t="s">
        <v>17</v>
      </c>
      <c r="E1096" t="s">
        <v>12</v>
      </c>
      <c r="F1096">
        <v>181493185</v>
      </c>
      <c r="G1096">
        <v>181493220</v>
      </c>
      <c r="H1096">
        <v>181493185</v>
      </c>
      <c r="I1096">
        <v>181493220</v>
      </c>
    </row>
    <row r="1097" spans="1:9" x14ac:dyDescent="0.2">
      <c r="A1097" t="str">
        <f>"Abhd17a"</f>
        <v>Abhd17a</v>
      </c>
      <c r="B1097" t="s">
        <v>14</v>
      </c>
      <c r="C1097" t="s">
        <v>15</v>
      </c>
      <c r="D1097" t="s">
        <v>11</v>
      </c>
      <c r="E1097" t="s">
        <v>67</v>
      </c>
      <c r="F1097">
        <v>80590292</v>
      </c>
      <c r="G1097">
        <v>80590329</v>
      </c>
      <c r="H1097">
        <v>80590292</v>
      </c>
      <c r="I1097">
        <v>80590329</v>
      </c>
    </row>
    <row r="1098" spans="1:9" x14ac:dyDescent="0.2">
      <c r="A1098" t="str">
        <f>"Abhd17b"</f>
        <v>Abhd17b</v>
      </c>
      <c r="B1098" t="s">
        <v>14</v>
      </c>
      <c r="C1098" t="s">
        <v>10</v>
      </c>
      <c r="D1098" t="s">
        <v>17</v>
      </c>
      <c r="E1098" t="s">
        <v>67</v>
      </c>
      <c r="F1098">
        <v>21653176</v>
      </c>
      <c r="G1098">
        <v>21653192</v>
      </c>
      <c r="H1098">
        <v>21653302</v>
      </c>
      <c r="I1098">
        <v>21653320</v>
      </c>
    </row>
    <row r="1099" spans="1:9" x14ac:dyDescent="0.2">
      <c r="A1099" t="str">
        <f>"Abhd17c"</f>
        <v>Abhd17c</v>
      </c>
      <c r="B1099" t="s">
        <v>14</v>
      </c>
      <c r="C1099" t="s">
        <v>33</v>
      </c>
      <c r="D1099" t="s">
        <v>11</v>
      </c>
      <c r="E1099" t="s">
        <v>67</v>
      </c>
      <c r="F1099">
        <v>84151868</v>
      </c>
      <c r="G1099">
        <v>84151938</v>
      </c>
      <c r="H1099">
        <v>84151868</v>
      </c>
      <c r="I1099">
        <v>84151938</v>
      </c>
    </row>
    <row r="1100" spans="1:9" x14ac:dyDescent="0.2">
      <c r="A1100" t="str">
        <f>"Abhd2"</f>
        <v>Abhd2</v>
      </c>
      <c r="B1100" t="s">
        <v>14</v>
      </c>
      <c r="C1100" t="s">
        <v>33</v>
      </c>
      <c r="D1100" t="s">
        <v>17</v>
      </c>
      <c r="E1100" t="s">
        <v>12</v>
      </c>
      <c r="F1100">
        <v>79273248</v>
      </c>
      <c r="G1100">
        <v>79273270</v>
      </c>
      <c r="H1100">
        <v>79273277</v>
      </c>
      <c r="I1100">
        <v>79273295</v>
      </c>
    </row>
    <row r="1101" spans="1:9" x14ac:dyDescent="0.2">
      <c r="A1101" t="str">
        <f>"Abhd3"</f>
        <v>Abhd3</v>
      </c>
      <c r="B1101" t="s">
        <v>2107</v>
      </c>
      <c r="C1101" t="s">
        <v>43</v>
      </c>
      <c r="D1101" t="s">
        <v>11</v>
      </c>
      <c r="E1101" t="s">
        <v>20</v>
      </c>
      <c r="F1101">
        <v>10706695</v>
      </c>
      <c r="G1101">
        <v>10706695</v>
      </c>
      <c r="H1101">
        <v>10706695</v>
      </c>
      <c r="I1101">
        <v>10706695</v>
      </c>
    </row>
    <row r="1102" spans="1:9" x14ac:dyDescent="0.2">
      <c r="A1102" t="str">
        <f>"Abhd4"</f>
        <v>Abhd4</v>
      </c>
      <c r="B1102" t="s">
        <v>9</v>
      </c>
      <c r="C1102" t="s">
        <v>41</v>
      </c>
      <c r="D1102" t="s">
        <v>17</v>
      </c>
      <c r="E1102" t="s">
        <v>12</v>
      </c>
      <c r="F1102">
        <v>54259242</v>
      </c>
      <c r="G1102">
        <v>54259300</v>
      </c>
      <c r="H1102">
        <v>54259242</v>
      </c>
      <c r="I1102">
        <v>54259300</v>
      </c>
    </row>
    <row r="1103" spans="1:9" x14ac:dyDescent="0.2">
      <c r="A1103" t="str">
        <f>"Abhd4"</f>
        <v>Abhd4</v>
      </c>
      <c r="B1103" t="s">
        <v>13</v>
      </c>
      <c r="C1103" t="s">
        <v>41</v>
      </c>
      <c r="D1103" t="s">
        <v>17</v>
      </c>
      <c r="E1103" t="s">
        <v>12</v>
      </c>
      <c r="F1103">
        <v>54254124</v>
      </c>
      <c r="G1103">
        <v>54254247</v>
      </c>
      <c r="H1103">
        <v>54254124</v>
      </c>
      <c r="I1103">
        <v>54254247</v>
      </c>
    </row>
    <row r="1104" spans="1:9" x14ac:dyDescent="0.2">
      <c r="A1104" t="str">
        <f>"Abhd5"</f>
        <v>Abhd5</v>
      </c>
      <c r="B1104" t="s">
        <v>14</v>
      </c>
      <c r="C1104" t="s">
        <v>24</v>
      </c>
      <c r="D1104" t="s">
        <v>17</v>
      </c>
      <c r="E1104" t="s">
        <v>12</v>
      </c>
      <c r="F1104">
        <v>122351723</v>
      </c>
      <c r="G1104">
        <v>122351738</v>
      </c>
      <c r="H1104">
        <v>122351775</v>
      </c>
      <c r="I1104">
        <v>122351784</v>
      </c>
    </row>
    <row r="1105" spans="1:9" x14ac:dyDescent="0.2">
      <c r="A1105" t="str">
        <f>"Abhd6"</f>
        <v>Abhd6</v>
      </c>
      <c r="B1105" t="s">
        <v>14</v>
      </c>
      <c r="C1105" t="s">
        <v>41</v>
      </c>
      <c r="D1105" t="s">
        <v>17</v>
      </c>
      <c r="E1105" t="s">
        <v>12</v>
      </c>
      <c r="F1105">
        <v>8002890</v>
      </c>
      <c r="G1105">
        <v>8002946</v>
      </c>
      <c r="H1105">
        <v>8002949</v>
      </c>
      <c r="I1105">
        <v>8002979</v>
      </c>
    </row>
    <row r="1106" spans="1:9" x14ac:dyDescent="0.2">
      <c r="A1106" t="str">
        <f>"Abhd8"</f>
        <v>Abhd8</v>
      </c>
      <c r="B1106" t="s">
        <v>14</v>
      </c>
      <c r="C1106" t="s">
        <v>30</v>
      </c>
      <c r="D1106" t="s">
        <v>11</v>
      </c>
      <c r="E1106" t="s">
        <v>12</v>
      </c>
      <c r="F1106">
        <v>71463600</v>
      </c>
      <c r="G1106">
        <v>71463680</v>
      </c>
      <c r="H1106">
        <v>71463576</v>
      </c>
      <c r="I1106">
        <v>71463593</v>
      </c>
    </row>
    <row r="1107" spans="1:9" x14ac:dyDescent="0.2">
      <c r="A1107" t="str">
        <f>"Abi1"</f>
        <v>Abi1</v>
      </c>
      <c r="B1107" t="s">
        <v>14</v>
      </c>
      <c r="C1107" t="s">
        <v>26</v>
      </c>
      <c r="D1107" t="s">
        <v>11</v>
      </c>
      <c r="E1107" t="s">
        <v>12</v>
      </c>
      <c r="F1107">
        <v>23040177</v>
      </c>
      <c r="G1107">
        <v>23040201</v>
      </c>
      <c r="H1107">
        <v>23040092</v>
      </c>
      <c r="I1107">
        <v>23040127</v>
      </c>
    </row>
    <row r="1108" spans="1:9" x14ac:dyDescent="0.2">
      <c r="A1108" t="str">
        <f>"Abi2"</f>
        <v>Abi2</v>
      </c>
      <c r="B1108" t="s">
        <v>14</v>
      </c>
      <c r="C1108" t="s">
        <v>19</v>
      </c>
      <c r="D1108" t="s">
        <v>17</v>
      </c>
      <c r="E1108" t="s">
        <v>12</v>
      </c>
      <c r="F1108">
        <v>60409660</v>
      </c>
      <c r="G1108">
        <v>60409754</v>
      </c>
      <c r="H1108">
        <v>60409544</v>
      </c>
      <c r="I1108">
        <v>60409600</v>
      </c>
    </row>
    <row r="1109" spans="1:9" x14ac:dyDescent="0.2">
      <c r="A1109" t="str">
        <f>"Abi3"</f>
        <v>Abi3</v>
      </c>
      <c r="B1109" t="s">
        <v>14</v>
      </c>
      <c r="C1109" t="s">
        <v>27</v>
      </c>
      <c r="D1109" t="s">
        <v>11</v>
      </c>
      <c r="E1109" t="s">
        <v>12</v>
      </c>
      <c r="F1109">
        <v>95842151</v>
      </c>
      <c r="G1109">
        <v>95842168</v>
      </c>
      <c r="H1109">
        <v>95842432</v>
      </c>
      <c r="I1109">
        <v>95842450</v>
      </c>
    </row>
    <row r="1110" spans="1:9" x14ac:dyDescent="0.2">
      <c r="A1110" t="str">
        <f>"Abi3bp"</f>
        <v>Abi3bp</v>
      </c>
      <c r="B1110" t="s">
        <v>14</v>
      </c>
      <c r="C1110" t="s">
        <v>31</v>
      </c>
      <c r="D1110" t="s">
        <v>17</v>
      </c>
      <c r="E1110" t="s">
        <v>12</v>
      </c>
      <c r="F1110">
        <v>56477867</v>
      </c>
      <c r="G1110">
        <v>56477891</v>
      </c>
      <c r="H1110">
        <v>56477838</v>
      </c>
      <c r="I1110">
        <v>56477860</v>
      </c>
    </row>
    <row r="1111" spans="1:9" x14ac:dyDescent="0.2">
      <c r="A1111" t="str">
        <f>"Abl1"</f>
        <v>Abl1</v>
      </c>
      <c r="B1111" t="s">
        <v>14</v>
      </c>
      <c r="C1111" t="s">
        <v>26</v>
      </c>
      <c r="D1111" t="s">
        <v>17</v>
      </c>
      <c r="E1111" t="s">
        <v>12</v>
      </c>
      <c r="F1111">
        <v>31688525</v>
      </c>
      <c r="G1111">
        <v>31688560</v>
      </c>
      <c r="H1111">
        <v>31688525</v>
      </c>
      <c r="I1111">
        <v>31688560</v>
      </c>
    </row>
    <row r="1112" spans="1:9" x14ac:dyDescent="0.2">
      <c r="A1112" t="str">
        <f>"Abl2"</f>
        <v>Abl2</v>
      </c>
      <c r="B1112" t="s">
        <v>14</v>
      </c>
      <c r="C1112" t="s">
        <v>19</v>
      </c>
      <c r="D1112" t="s">
        <v>17</v>
      </c>
      <c r="E1112" t="s">
        <v>12</v>
      </c>
      <c r="F1112">
        <v>156558759</v>
      </c>
      <c r="G1112">
        <v>156558806</v>
      </c>
      <c r="H1112">
        <v>156558844</v>
      </c>
      <c r="I1112">
        <v>156558869</v>
      </c>
    </row>
    <row r="1113" spans="1:9" x14ac:dyDescent="0.2">
      <c r="A1113" t="str">
        <f>"Ablim1"</f>
        <v>Ablim1</v>
      </c>
      <c r="B1113" t="s">
        <v>2108</v>
      </c>
      <c r="C1113" t="s">
        <v>10</v>
      </c>
      <c r="D1113" t="s">
        <v>11</v>
      </c>
      <c r="E1113" t="s">
        <v>20</v>
      </c>
      <c r="F1113">
        <v>57215964</v>
      </c>
      <c r="G1113">
        <v>57215964</v>
      </c>
      <c r="H1113">
        <v>57215964</v>
      </c>
      <c r="I1113">
        <v>57215964</v>
      </c>
    </row>
    <row r="1114" spans="1:9" x14ac:dyDescent="0.2">
      <c r="A1114" t="str">
        <f>"Ablim2"</f>
        <v>Ablim2</v>
      </c>
      <c r="B1114" t="s">
        <v>14</v>
      </c>
      <c r="C1114" t="s">
        <v>46</v>
      </c>
      <c r="D1114" t="s">
        <v>17</v>
      </c>
      <c r="E1114" t="s">
        <v>12</v>
      </c>
      <c r="F1114">
        <v>35757875</v>
      </c>
      <c r="G1114">
        <v>35757946</v>
      </c>
      <c r="H1114">
        <v>35757875</v>
      </c>
      <c r="I1114">
        <v>35757946</v>
      </c>
    </row>
    <row r="1115" spans="1:9" x14ac:dyDescent="0.2">
      <c r="A1115" t="str">
        <f>"Ablim3"</f>
        <v>Ablim3</v>
      </c>
      <c r="B1115" t="s">
        <v>14</v>
      </c>
      <c r="C1115" t="s">
        <v>43</v>
      </c>
      <c r="D1115" t="s">
        <v>11</v>
      </c>
      <c r="E1115" t="s">
        <v>12</v>
      </c>
      <c r="F1115">
        <v>61911783</v>
      </c>
      <c r="G1115">
        <v>61911854</v>
      </c>
      <c r="H1115">
        <v>61911533</v>
      </c>
      <c r="I1115">
        <v>61911610</v>
      </c>
    </row>
    <row r="1116" spans="1:9" x14ac:dyDescent="0.2">
      <c r="A1116" t="str">
        <f>"Abo"</f>
        <v>Abo</v>
      </c>
      <c r="B1116" t="s">
        <v>14</v>
      </c>
      <c r="C1116" t="s">
        <v>26</v>
      </c>
      <c r="D1116" t="s">
        <v>11</v>
      </c>
      <c r="E1116" t="s">
        <v>12</v>
      </c>
      <c r="F1116">
        <v>26864943</v>
      </c>
      <c r="G1116">
        <v>26864966</v>
      </c>
      <c r="H1116">
        <v>26864943</v>
      </c>
      <c r="I1116">
        <v>26864966</v>
      </c>
    </row>
    <row r="1117" spans="1:9" x14ac:dyDescent="0.2">
      <c r="A1117" t="str">
        <f>"Abr"</f>
        <v>Abr</v>
      </c>
      <c r="B1117" t="s">
        <v>2109</v>
      </c>
      <c r="C1117" t="s">
        <v>27</v>
      </c>
      <c r="D1117" t="s">
        <v>11</v>
      </c>
      <c r="E1117" t="s">
        <v>35</v>
      </c>
      <c r="F1117">
        <v>76571662</v>
      </c>
      <c r="G1117">
        <v>76571673</v>
      </c>
      <c r="H1117">
        <v>76571343</v>
      </c>
      <c r="I1117">
        <v>76571364</v>
      </c>
    </row>
    <row r="1118" spans="1:9" x14ac:dyDescent="0.2">
      <c r="A1118" t="str">
        <f>"Abra"</f>
        <v>Abra</v>
      </c>
      <c r="B1118" t="s">
        <v>14</v>
      </c>
      <c r="C1118" t="s">
        <v>25</v>
      </c>
      <c r="D1118" t="s">
        <v>11</v>
      </c>
      <c r="E1118" t="s">
        <v>12</v>
      </c>
      <c r="F1118">
        <v>41869703</v>
      </c>
      <c r="G1118">
        <v>41869727</v>
      </c>
      <c r="H1118">
        <v>41869692</v>
      </c>
      <c r="I1118">
        <v>41869701</v>
      </c>
    </row>
    <row r="1119" spans="1:9" x14ac:dyDescent="0.2">
      <c r="A1119" t="str">
        <f>"Abracl"</f>
        <v>Abracl</v>
      </c>
      <c r="B1119" t="s">
        <v>14</v>
      </c>
      <c r="C1119" t="s">
        <v>15</v>
      </c>
      <c r="D1119" t="s">
        <v>11</v>
      </c>
      <c r="E1119" t="s">
        <v>67</v>
      </c>
      <c r="F1119">
        <v>18023122</v>
      </c>
      <c r="G1119">
        <v>18023225</v>
      </c>
      <c r="H1119">
        <v>18023229</v>
      </c>
      <c r="I1119">
        <v>18023265</v>
      </c>
    </row>
    <row r="1120" spans="1:9" x14ac:dyDescent="0.2">
      <c r="A1120" t="str">
        <f>"Abt1"</f>
        <v>Abt1</v>
      </c>
      <c r="B1120" t="s">
        <v>14</v>
      </c>
      <c r="C1120" t="s">
        <v>39</v>
      </c>
      <c r="D1120" t="s">
        <v>11</v>
      </c>
      <c r="E1120" t="s">
        <v>12</v>
      </c>
      <c r="F1120">
        <v>23423836</v>
      </c>
      <c r="G1120">
        <v>23423884</v>
      </c>
      <c r="H1120">
        <v>23423836</v>
      </c>
      <c r="I1120">
        <v>23423884</v>
      </c>
    </row>
    <row r="1121" spans="1:9" x14ac:dyDescent="0.2">
      <c r="A1121" t="str">
        <f>"Abtb1"</f>
        <v>Abtb1</v>
      </c>
      <c r="B1121" t="s">
        <v>14</v>
      </c>
      <c r="C1121" t="s">
        <v>32</v>
      </c>
      <c r="D1121" t="s">
        <v>11</v>
      </c>
      <c r="E1121" t="s">
        <v>12</v>
      </c>
      <c r="F1121">
        <v>88841851</v>
      </c>
      <c r="G1121">
        <v>88841905</v>
      </c>
      <c r="H1121">
        <v>88841828</v>
      </c>
      <c r="I1121">
        <v>88841844</v>
      </c>
    </row>
    <row r="1122" spans="1:9" x14ac:dyDescent="0.2">
      <c r="A1122" t="str">
        <f>"Abtb2"</f>
        <v>Abtb2</v>
      </c>
      <c r="B1122" t="s">
        <v>14</v>
      </c>
      <c r="C1122" t="s">
        <v>26</v>
      </c>
      <c r="D1122" t="s">
        <v>17</v>
      </c>
      <c r="E1122" t="s">
        <v>12</v>
      </c>
      <c r="F1122">
        <v>103566304</v>
      </c>
      <c r="G1122">
        <v>103566323</v>
      </c>
      <c r="H1122">
        <v>103566342</v>
      </c>
      <c r="I1122">
        <v>103566351</v>
      </c>
    </row>
    <row r="1123" spans="1:9" x14ac:dyDescent="0.2">
      <c r="A1123" t="str">
        <f>"Acaa1a"</f>
        <v>Acaa1a</v>
      </c>
      <c r="B1123" t="s">
        <v>14</v>
      </c>
      <c r="C1123" t="s">
        <v>24</v>
      </c>
      <c r="D1123" t="s">
        <v>17</v>
      </c>
      <c r="E1123" t="s">
        <v>12</v>
      </c>
      <c r="F1123">
        <v>119341419</v>
      </c>
      <c r="G1123">
        <v>119341486</v>
      </c>
      <c r="H1123">
        <v>119341366</v>
      </c>
      <c r="I1123">
        <v>119341409</v>
      </c>
    </row>
    <row r="1124" spans="1:9" x14ac:dyDescent="0.2">
      <c r="A1124" t="str">
        <f>"Acaa1b"</f>
        <v>Acaa1b</v>
      </c>
      <c r="B1124" t="s">
        <v>14</v>
      </c>
      <c r="C1124" t="s">
        <v>24</v>
      </c>
      <c r="D1124" t="s">
        <v>11</v>
      </c>
      <c r="E1124" t="s">
        <v>12</v>
      </c>
      <c r="F1124">
        <v>119157055</v>
      </c>
      <c r="G1124">
        <v>119157075</v>
      </c>
      <c r="H1124">
        <v>119157014</v>
      </c>
      <c r="I1124">
        <v>119157029</v>
      </c>
    </row>
    <row r="1125" spans="1:9" x14ac:dyDescent="0.2">
      <c r="A1125" t="str">
        <f>"Acaa2"</f>
        <v>Acaa2</v>
      </c>
      <c r="B1125" t="s">
        <v>14</v>
      </c>
      <c r="C1125" t="s">
        <v>43</v>
      </c>
      <c r="D1125" t="s">
        <v>17</v>
      </c>
      <c r="E1125" t="s">
        <v>12</v>
      </c>
      <c r="F1125">
        <v>74779203</v>
      </c>
      <c r="G1125">
        <v>74779224</v>
      </c>
      <c r="H1125">
        <v>74779178</v>
      </c>
      <c r="I1125">
        <v>74779189</v>
      </c>
    </row>
    <row r="1126" spans="1:9" x14ac:dyDescent="0.2">
      <c r="A1126" t="str">
        <f>"Acaca"</f>
        <v>Acaca</v>
      </c>
      <c r="B1126" t="s">
        <v>14</v>
      </c>
      <c r="C1126" t="s">
        <v>27</v>
      </c>
      <c r="D1126" t="s">
        <v>17</v>
      </c>
      <c r="E1126" t="s">
        <v>12</v>
      </c>
      <c r="F1126">
        <v>84179792</v>
      </c>
      <c r="G1126">
        <v>84179849</v>
      </c>
      <c r="H1126">
        <v>84179611</v>
      </c>
      <c r="I1126">
        <v>84179657</v>
      </c>
    </row>
    <row r="1127" spans="1:9" x14ac:dyDescent="0.2">
      <c r="A1127" t="str">
        <f>"Acacb"</f>
        <v>Acacb</v>
      </c>
      <c r="B1127" t="s">
        <v>14</v>
      </c>
      <c r="C1127" t="s">
        <v>46</v>
      </c>
      <c r="D1127" t="s">
        <v>17</v>
      </c>
      <c r="E1127" t="s">
        <v>12</v>
      </c>
      <c r="F1127">
        <v>114146675</v>
      </c>
      <c r="G1127">
        <v>114146715</v>
      </c>
      <c r="H1127">
        <v>114146675</v>
      </c>
      <c r="I1127">
        <v>114146715</v>
      </c>
    </row>
    <row r="1128" spans="1:9" x14ac:dyDescent="0.2">
      <c r="A1128" t="str">
        <f>"Acad10"</f>
        <v>Acad10</v>
      </c>
      <c r="B1128" t="s">
        <v>14</v>
      </c>
      <c r="C1128" t="s">
        <v>46</v>
      </c>
      <c r="D1128" t="s">
        <v>11</v>
      </c>
      <c r="E1128" t="s">
        <v>12</v>
      </c>
      <c r="F1128">
        <v>121660477</v>
      </c>
      <c r="G1128">
        <v>121660519</v>
      </c>
      <c r="H1128">
        <v>121660441</v>
      </c>
      <c r="I1128">
        <v>121660476</v>
      </c>
    </row>
    <row r="1129" spans="1:9" x14ac:dyDescent="0.2">
      <c r="A1129" t="str">
        <f>"Acad11"</f>
        <v>Acad11</v>
      </c>
      <c r="B1129" t="s">
        <v>14</v>
      </c>
      <c r="C1129" t="s">
        <v>24</v>
      </c>
      <c r="D1129" t="s">
        <v>17</v>
      </c>
      <c r="E1129" t="s">
        <v>12</v>
      </c>
      <c r="F1129">
        <v>104063716</v>
      </c>
      <c r="G1129">
        <v>104063736</v>
      </c>
      <c r="H1129">
        <v>104063678</v>
      </c>
      <c r="I1129">
        <v>104063710</v>
      </c>
    </row>
    <row r="1130" spans="1:9" x14ac:dyDescent="0.2">
      <c r="A1130" t="str">
        <f>"Acad12"</f>
        <v>Acad12</v>
      </c>
      <c r="B1130" t="s">
        <v>14</v>
      </c>
      <c r="C1130" t="s">
        <v>46</v>
      </c>
      <c r="D1130" t="s">
        <v>11</v>
      </c>
      <c r="E1130" t="s">
        <v>12</v>
      </c>
      <c r="F1130">
        <v>121618865</v>
      </c>
      <c r="G1130">
        <v>121618925</v>
      </c>
      <c r="H1130">
        <v>121618838</v>
      </c>
      <c r="I1130">
        <v>121618861</v>
      </c>
    </row>
    <row r="1131" spans="1:9" x14ac:dyDescent="0.2">
      <c r="A1131" t="str">
        <f>"Acad8"</f>
        <v>Acad8</v>
      </c>
      <c r="B1131" t="s">
        <v>14</v>
      </c>
      <c r="C1131" t="s">
        <v>24</v>
      </c>
      <c r="D1131" t="s">
        <v>11</v>
      </c>
      <c r="E1131" t="s">
        <v>12</v>
      </c>
      <c r="F1131">
        <v>26999491</v>
      </c>
      <c r="G1131">
        <v>26999557</v>
      </c>
      <c r="H1131">
        <v>26999491</v>
      </c>
      <c r="I1131">
        <v>26999557</v>
      </c>
    </row>
    <row r="1132" spans="1:9" x14ac:dyDescent="0.2">
      <c r="A1132" t="str">
        <f>"Acad9"</f>
        <v>Acad9</v>
      </c>
      <c r="B1132" t="s">
        <v>14</v>
      </c>
      <c r="C1132" t="s">
        <v>22</v>
      </c>
      <c r="D1132" t="s">
        <v>17</v>
      </c>
      <c r="E1132" t="s">
        <v>12</v>
      </c>
      <c r="F1132">
        <v>36066064</v>
      </c>
      <c r="G1132">
        <v>36066102</v>
      </c>
      <c r="H1132">
        <v>36066046</v>
      </c>
      <c r="I1132">
        <v>36066063</v>
      </c>
    </row>
    <row r="1133" spans="1:9" x14ac:dyDescent="0.2">
      <c r="A1133" t="str">
        <f>"Acadl"</f>
        <v>Acadl</v>
      </c>
      <c r="B1133" t="s">
        <v>14</v>
      </c>
      <c r="C1133" t="s">
        <v>19</v>
      </c>
      <c r="D1133" t="s">
        <v>11</v>
      </c>
      <c r="E1133" t="s">
        <v>12</v>
      </c>
      <c r="F1133">
        <v>66863265</v>
      </c>
      <c r="G1133">
        <v>66863285</v>
      </c>
      <c r="H1133">
        <v>66863300</v>
      </c>
      <c r="I1133">
        <v>66863315</v>
      </c>
    </row>
    <row r="1134" spans="1:9" x14ac:dyDescent="0.2">
      <c r="A1134" t="str">
        <f>"Acadm"</f>
        <v>Acadm</v>
      </c>
      <c r="B1134" t="s">
        <v>14</v>
      </c>
      <c r="C1134" t="s">
        <v>22</v>
      </c>
      <c r="D1134" t="s">
        <v>11</v>
      </c>
      <c r="E1134" t="s">
        <v>12</v>
      </c>
      <c r="F1134">
        <v>153944461</v>
      </c>
      <c r="G1134">
        <v>153944514</v>
      </c>
      <c r="H1134">
        <v>153944425</v>
      </c>
      <c r="I1134">
        <v>153944452</v>
      </c>
    </row>
    <row r="1135" spans="1:9" x14ac:dyDescent="0.2">
      <c r="A1135" t="str">
        <f>"Acads"</f>
        <v>Acads</v>
      </c>
      <c r="B1135" t="s">
        <v>14</v>
      </c>
      <c r="C1135" t="s">
        <v>46</v>
      </c>
      <c r="D1135" t="s">
        <v>11</v>
      </c>
      <c r="E1135" t="s">
        <v>12</v>
      </c>
      <c r="F1135">
        <v>115119277</v>
      </c>
      <c r="G1135">
        <v>115119345</v>
      </c>
      <c r="H1135">
        <v>115119277</v>
      </c>
      <c r="I1135">
        <v>115119345</v>
      </c>
    </row>
    <row r="1136" spans="1:9" x14ac:dyDescent="0.2">
      <c r="A1136" t="str">
        <f>"Acadsb"</f>
        <v>Acadsb</v>
      </c>
      <c r="B1136" t="s">
        <v>14</v>
      </c>
      <c r="C1136" t="s">
        <v>33</v>
      </c>
      <c r="D1136" t="s">
        <v>17</v>
      </c>
      <c r="E1136" t="s">
        <v>12</v>
      </c>
      <c r="F1136">
        <v>131410633</v>
      </c>
      <c r="G1136">
        <v>131410726</v>
      </c>
      <c r="H1136">
        <v>131410623</v>
      </c>
      <c r="I1136">
        <v>131410630</v>
      </c>
    </row>
    <row r="1137" spans="1:9" x14ac:dyDescent="0.2">
      <c r="A1137" t="str">
        <f>"Acadvl"</f>
        <v>Acadvl</v>
      </c>
      <c r="B1137" t="s">
        <v>14</v>
      </c>
      <c r="C1137" t="s">
        <v>27</v>
      </c>
      <c r="D1137" t="s">
        <v>11</v>
      </c>
      <c r="E1137" t="s">
        <v>12</v>
      </c>
      <c r="F1137">
        <v>70015346</v>
      </c>
      <c r="G1137">
        <v>70015435</v>
      </c>
      <c r="H1137">
        <v>70015346</v>
      </c>
      <c r="I1137">
        <v>70015435</v>
      </c>
    </row>
    <row r="1138" spans="1:9" x14ac:dyDescent="0.2">
      <c r="A1138" t="str">
        <f>"Acan"</f>
        <v>Acan</v>
      </c>
      <c r="B1138" t="s">
        <v>14</v>
      </c>
      <c r="C1138" t="s">
        <v>33</v>
      </c>
      <c r="D1138" t="s">
        <v>17</v>
      </c>
      <c r="E1138" t="s">
        <v>12</v>
      </c>
      <c r="F1138">
        <v>79053215</v>
      </c>
      <c r="G1138">
        <v>79053234</v>
      </c>
      <c r="H1138">
        <v>79053236</v>
      </c>
      <c r="I1138">
        <v>79053265</v>
      </c>
    </row>
    <row r="1139" spans="1:9" x14ac:dyDescent="0.2">
      <c r="A1139" t="str">
        <f>"Acap1"</f>
        <v>Acap1</v>
      </c>
      <c r="B1139" t="s">
        <v>14</v>
      </c>
      <c r="C1139" t="s">
        <v>27</v>
      </c>
      <c r="D1139" t="s">
        <v>11</v>
      </c>
      <c r="E1139" t="s">
        <v>12</v>
      </c>
      <c r="F1139">
        <v>69895523</v>
      </c>
      <c r="G1139">
        <v>69895560</v>
      </c>
      <c r="H1139">
        <v>69895498</v>
      </c>
      <c r="I1139">
        <v>69895520</v>
      </c>
    </row>
    <row r="1140" spans="1:9" x14ac:dyDescent="0.2">
      <c r="A1140" t="str">
        <f>"Acap2"</f>
        <v>Acap2</v>
      </c>
      <c r="B1140" t="s">
        <v>14</v>
      </c>
      <c r="C1140" t="s">
        <v>31</v>
      </c>
      <c r="D1140" t="s">
        <v>11</v>
      </c>
      <c r="E1140" t="s">
        <v>12</v>
      </c>
      <c r="F1140">
        <v>31201150</v>
      </c>
      <c r="G1140">
        <v>31201243</v>
      </c>
      <c r="H1140">
        <v>31201319</v>
      </c>
      <c r="I1140">
        <v>31201326</v>
      </c>
    </row>
    <row r="1141" spans="1:9" x14ac:dyDescent="0.2">
      <c r="A1141" t="str">
        <f>"Acap3"</f>
        <v>Acap3</v>
      </c>
      <c r="B1141" t="s">
        <v>14</v>
      </c>
      <c r="C1141" t="s">
        <v>23</v>
      </c>
      <c r="D1141" t="s">
        <v>17</v>
      </c>
      <c r="E1141" t="s">
        <v>12</v>
      </c>
      <c r="F1141">
        <v>155892254</v>
      </c>
      <c r="G1141">
        <v>155892268</v>
      </c>
      <c r="H1141">
        <v>155891825</v>
      </c>
      <c r="I1141">
        <v>155891892</v>
      </c>
    </row>
    <row r="1142" spans="1:9" x14ac:dyDescent="0.2">
      <c r="A1142" t="str">
        <f>"Acat1"</f>
        <v>Acat1</v>
      </c>
      <c r="B1142" t="s">
        <v>14</v>
      </c>
      <c r="C1142" t="s">
        <v>24</v>
      </c>
      <c r="D1142" t="s">
        <v>11</v>
      </c>
      <c r="E1142" t="s">
        <v>12</v>
      </c>
      <c r="F1142">
        <v>53610329</v>
      </c>
      <c r="G1142">
        <v>53610367</v>
      </c>
      <c r="H1142">
        <v>53610285</v>
      </c>
      <c r="I1142">
        <v>53610328</v>
      </c>
    </row>
    <row r="1143" spans="1:9" x14ac:dyDescent="0.2">
      <c r="A1143" t="str">
        <f>"Acat2"</f>
        <v>Acat2</v>
      </c>
      <c r="B1143" t="s">
        <v>14</v>
      </c>
      <c r="C1143" t="s">
        <v>28</v>
      </c>
      <c r="D1143" t="s">
        <v>11</v>
      </c>
      <c r="E1143" t="s">
        <v>12</v>
      </c>
      <c r="F1143">
        <v>12960701</v>
      </c>
      <c r="G1143">
        <v>12960723</v>
      </c>
      <c r="H1143">
        <v>12960729</v>
      </c>
      <c r="I1143">
        <v>12960738</v>
      </c>
    </row>
    <row r="1144" spans="1:9" x14ac:dyDescent="0.2">
      <c r="A1144" t="str">
        <f>"Acat3"</f>
        <v>Acat3</v>
      </c>
      <c r="B1144" t="s">
        <v>14</v>
      </c>
      <c r="C1144" t="s">
        <v>28</v>
      </c>
      <c r="D1144" t="s">
        <v>11</v>
      </c>
      <c r="E1144" t="s">
        <v>12</v>
      </c>
      <c r="F1144">
        <v>12940317</v>
      </c>
      <c r="G1144">
        <v>12940370</v>
      </c>
      <c r="H1144">
        <v>12940317</v>
      </c>
      <c r="I1144">
        <v>12940370</v>
      </c>
    </row>
    <row r="1145" spans="1:9" x14ac:dyDescent="0.2">
      <c r="A1145" t="str">
        <f>"Acbd3"</f>
        <v>Acbd3</v>
      </c>
      <c r="B1145" t="s">
        <v>14</v>
      </c>
      <c r="C1145" t="s">
        <v>19</v>
      </c>
      <c r="D1145" t="s">
        <v>17</v>
      </c>
      <c r="E1145" t="s">
        <v>12</v>
      </c>
      <c r="F1145">
        <v>180726019</v>
      </c>
      <c r="G1145">
        <v>180726106</v>
      </c>
      <c r="H1145">
        <v>180726005</v>
      </c>
      <c r="I1145">
        <v>180726017</v>
      </c>
    </row>
    <row r="1146" spans="1:9" x14ac:dyDescent="0.2">
      <c r="A1146" t="str">
        <f>"Acbd4"</f>
        <v>Acbd4</v>
      </c>
      <c r="B1146" t="s">
        <v>9</v>
      </c>
      <c r="C1146" t="s">
        <v>27</v>
      </c>
      <c r="D1146" t="s">
        <v>17</v>
      </c>
      <c r="E1146" t="s">
        <v>12</v>
      </c>
      <c r="F1146">
        <v>103103051</v>
      </c>
      <c r="G1146">
        <v>103103115</v>
      </c>
      <c r="H1146">
        <v>103103051</v>
      </c>
      <c r="I1146">
        <v>103103115</v>
      </c>
    </row>
    <row r="1147" spans="1:9" x14ac:dyDescent="0.2">
      <c r="A1147" t="str">
        <f>"Acbd4"</f>
        <v>Acbd4</v>
      </c>
      <c r="B1147" t="s">
        <v>13</v>
      </c>
      <c r="C1147" t="s">
        <v>27</v>
      </c>
      <c r="D1147" t="s">
        <v>17</v>
      </c>
      <c r="E1147" t="s">
        <v>12</v>
      </c>
      <c r="F1147">
        <v>103101689</v>
      </c>
      <c r="G1147">
        <v>103101726</v>
      </c>
      <c r="H1147">
        <v>103101689</v>
      </c>
      <c r="I1147">
        <v>103101726</v>
      </c>
    </row>
    <row r="1148" spans="1:9" x14ac:dyDescent="0.2">
      <c r="A1148" t="str">
        <f>"Acbd5"</f>
        <v>Acbd5</v>
      </c>
      <c r="B1148" t="s">
        <v>14</v>
      </c>
      <c r="C1148" t="s">
        <v>26</v>
      </c>
      <c r="D1148" t="s">
        <v>17</v>
      </c>
      <c r="E1148" t="s">
        <v>12</v>
      </c>
      <c r="F1148">
        <v>23069057</v>
      </c>
      <c r="G1148">
        <v>23069089</v>
      </c>
      <c r="H1148">
        <v>23068217</v>
      </c>
      <c r="I1148">
        <v>23068241</v>
      </c>
    </row>
    <row r="1149" spans="1:9" x14ac:dyDescent="0.2">
      <c r="A1149" t="str">
        <f>"Acbd6"</f>
        <v>Acbd6</v>
      </c>
      <c r="B1149" t="s">
        <v>14</v>
      </c>
      <c r="C1149" t="s">
        <v>19</v>
      </c>
      <c r="D1149" t="s">
        <v>17</v>
      </c>
      <c r="E1149" t="s">
        <v>12</v>
      </c>
      <c r="F1149">
        <v>155558112</v>
      </c>
      <c r="G1149">
        <v>155558232</v>
      </c>
      <c r="H1149">
        <v>155558112</v>
      </c>
      <c r="I1149">
        <v>155558232</v>
      </c>
    </row>
    <row r="1150" spans="1:9" x14ac:dyDescent="0.2">
      <c r="A1150" t="str">
        <f>"Acbd7"</f>
        <v>Acbd7</v>
      </c>
      <c r="B1150" t="s">
        <v>14</v>
      </c>
      <c r="C1150" t="s">
        <v>26</v>
      </c>
      <c r="D1150" t="s">
        <v>17</v>
      </c>
      <c r="E1150" t="s">
        <v>12</v>
      </c>
      <c r="F1150">
        <v>3336159</v>
      </c>
      <c r="G1150">
        <v>3336174</v>
      </c>
      <c r="H1150">
        <v>3336159</v>
      </c>
      <c r="I1150">
        <v>3336174</v>
      </c>
    </row>
    <row r="1151" spans="1:9" x14ac:dyDescent="0.2">
      <c r="A1151" t="str">
        <f>"Accs"</f>
        <v>Accs</v>
      </c>
      <c r="B1151" t="s">
        <v>14</v>
      </c>
      <c r="C1151" t="s">
        <v>26</v>
      </c>
      <c r="D1151" t="s">
        <v>11</v>
      </c>
      <c r="E1151" t="s">
        <v>12</v>
      </c>
      <c r="F1151">
        <v>93849921</v>
      </c>
      <c r="G1151">
        <v>93849980</v>
      </c>
      <c r="H1151">
        <v>93849778</v>
      </c>
      <c r="I1151">
        <v>93849836</v>
      </c>
    </row>
    <row r="1152" spans="1:9" x14ac:dyDescent="0.2">
      <c r="A1152" t="str">
        <f>"Accsl"</f>
        <v>Accsl</v>
      </c>
      <c r="B1152" t="s">
        <v>14</v>
      </c>
      <c r="C1152" t="s">
        <v>26</v>
      </c>
      <c r="D1152" t="s">
        <v>11</v>
      </c>
      <c r="E1152" t="s">
        <v>12</v>
      </c>
      <c r="F1152">
        <v>93869101</v>
      </c>
      <c r="G1152">
        <v>93869103</v>
      </c>
      <c r="H1152">
        <v>93869101</v>
      </c>
      <c r="I1152">
        <v>93869103</v>
      </c>
    </row>
    <row r="1153" spans="1:9" x14ac:dyDescent="0.2">
      <c r="A1153" t="str">
        <f>"Acd"</f>
        <v>Acd</v>
      </c>
      <c r="B1153" t="s">
        <v>14</v>
      </c>
      <c r="C1153" t="s">
        <v>30</v>
      </c>
      <c r="D1153" t="s">
        <v>11</v>
      </c>
      <c r="E1153" t="s">
        <v>12</v>
      </c>
      <c r="F1153">
        <v>105701077</v>
      </c>
      <c r="G1153">
        <v>105701118</v>
      </c>
      <c r="H1153">
        <v>105701048</v>
      </c>
      <c r="I1153">
        <v>105701063</v>
      </c>
    </row>
    <row r="1154" spans="1:9" x14ac:dyDescent="0.2">
      <c r="A1154" t="str">
        <f>"Ace"</f>
        <v>Ace</v>
      </c>
      <c r="B1154" t="s">
        <v>14</v>
      </c>
      <c r="C1154" t="s">
        <v>27</v>
      </c>
      <c r="D1154" t="s">
        <v>17</v>
      </c>
      <c r="E1154" t="s">
        <v>12</v>
      </c>
      <c r="F1154">
        <v>105967938</v>
      </c>
      <c r="G1154">
        <v>105967956</v>
      </c>
      <c r="H1154">
        <v>105967914</v>
      </c>
      <c r="I1154">
        <v>105967927</v>
      </c>
    </row>
    <row r="1155" spans="1:9" x14ac:dyDescent="0.2">
      <c r="A1155" t="str">
        <f>"Ace2"</f>
        <v>Ace2</v>
      </c>
      <c r="B1155" t="s">
        <v>14</v>
      </c>
      <c r="C1155" t="s">
        <v>37</v>
      </c>
      <c r="D1155" t="s">
        <v>17</v>
      </c>
      <c r="E1155" t="s">
        <v>12</v>
      </c>
      <c r="F1155">
        <v>164140595</v>
      </c>
      <c r="G1155">
        <v>164140639</v>
      </c>
      <c r="H1155">
        <v>164140595</v>
      </c>
      <c r="I1155">
        <v>164140639</v>
      </c>
    </row>
    <row r="1156" spans="1:9" x14ac:dyDescent="0.2">
      <c r="A1156" t="str">
        <f>"Ace3"</f>
        <v>Ace3</v>
      </c>
      <c r="B1156" t="s">
        <v>14</v>
      </c>
      <c r="C1156" t="s">
        <v>27</v>
      </c>
      <c r="D1156" t="s">
        <v>17</v>
      </c>
      <c r="E1156" t="s">
        <v>67</v>
      </c>
      <c r="F1156">
        <v>105994635</v>
      </c>
      <c r="G1156">
        <v>105994678</v>
      </c>
      <c r="H1156">
        <v>105994635</v>
      </c>
      <c r="I1156">
        <v>105994678</v>
      </c>
    </row>
    <row r="1157" spans="1:9" x14ac:dyDescent="0.2">
      <c r="A1157" t="str">
        <f>"Acer1"</f>
        <v>Acer1</v>
      </c>
      <c r="B1157" t="s">
        <v>14</v>
      </c>
      <c r="C1157" t="s">
        <v>28</v>
      </c>
      <c r="D1157" t="s">
        <v>11</v>
      </c>
      <c r="E1157" t="s">
        <v>12</v>
      </c>
      <c r="F1157">
        <v>56982120</v>
      </c>
      <c r="G1157">
        <v>56982161</v>
      </c>
      <c r="H1157">
        <v>56982104</v>
      </c>
      <c r="I1157">
        <v>56982118</v>
      </c>
    </row>
    <row r="1158" spans="1:9" x14ac:dyDescent="0.2">
      <c r="A1158" t="str">
        <f>"Acer2"</f>
        <v>Acer2</v>
      </c>
      <c r="B1158" t="s">
        <v>14</v>
      </c>
      <c r="C1158" t="s">
        <v>23</v>
      </c>
      <c r="D1158" t="s">
        <v>17</v>
      </c>
      <c r="E1158" t="s">
        <v>67</v>
      </c>
      <c r="F1158">
        <v>86930704</v>
      </c>
      <c r="G1158">
        <v>86930713</v>
      </c>
      <c r="H1158">
        <v>86930714</v>
      </c>
      <c r="I1158">
        <v>86930726</v>
      </c>
    </row>
    <row r="1159" spans="1:9" x14ac:dyDescent="0.2">
      <c r="A1159" t="str">
        <f>"Acer3"</f>
        <v>Acer3</v>
      </c>
      <c r="B1159" t="s">
        <v>14</v>
      </c>
      <c r="C1159" t="s">
        <v>33</v>
      </c>
      <c r="D1159" t="s">
        <v>11</v>
      </c>
      <c r="E1159" t="s">
        <v>12</v>
      </c>
      <c r="F1159">
        <v>98309471</v>
      </c>
      <c r="G1159">
        <v>98309514</v>
      </c>
      <c r="H1159">
        <v>98309471</v>
      </c>
      <c r="I1159">
        <v>98309514</v>
      </c>
    </row>
    <row r="1160" spans="1:9" x14ac:dyDescent="0.2">
      <c r="A1160" t="str">
        <f>"Ache"</f>
        <v>Ache</v>
      </c>
      <c r="B1160" t="s">
        <v>14</v>
      </c>
      <c r="C1160" t="s">
        <v>46</v>
      </c>
      <c r="D1160" t="s">
        <v>17</v>
      </c>
      <c r="E1160" t="s">
        <v>12</v>
      </c>
      <c r="F1160">
        <v>137288273</v>
      </c>
      <c r="G1160">
        <v>137288292</v>
      </c>
      <c r="H1160">
        <v>137288042</v>
      </c>
      <c r="I1160">
        <v>137288120</v>
      </c>
    </row>
    <row r="1161" spans="1:9" x14ac:dyDescent="0.2">
      <c r="A1161" t="str">
        <f>"Acin1"</f>
        <v>Acin1</v>
      </c>
      <c r="B1161" t="s">
        <v>14</v>
      </c>
      <c r="C1161" t="s">
        <v>41</v>
      </c>
      <c r="D1161" t="s">
        <v>11</v>
      </c>
      <c r="E1161" t="s">
        <v>12</v>
      </c>
      <c r="F1161">
        <v>54686605</v>
      </c>
      <c r="G1161">
        <v>54686647</v>
      </c>
      <c r="H1161">
        <v>54686605</v>
      </c>
      <c r="I1161">
        <v>54686647</v>
      </c>
    </row>
    <row r="1162" spans="1:9" x14ac:dyDescent="0.2">
      <c r="A1162" t="str">
        <f>"Ackr2"</f>
        <v>Ackr2</v>
      </c>
      <c r="B1162" t="s">
        <v>14</v>
      </c>
      <c r="C1162" t="s">
        <v>24</v>
      </c>
      <c r="D1162" t="s">
        <v>17</v>
      </c>
      <c r="E1162" t="s">
        <v>67</v>
      </c>
      <c r="F1162">
        <v>121898409</v>
      </c>
      <c r="G1162">
        <v>121898423</v>
      </c>
      <c r="H1162">
        <v>121898458</v>
      </c>
      <c r="I1162">
        <v>121898466</v>
      </c>
    </row>
    <row r="1163" spans="1:9" x14ac:dyDescent="0.2">
      <c r="A1163" t="str">
        <f>"Ackr3"</f>
        <v>Ackr3</v>
      </c>
      <c r="B1163" t="s">
        <v>14</v>
      </c>
      <c r="C1163" t="s">
        <v>19</v>
      </c>
      <c r="D1163" t="s">
        <v>17</v>
      </c>
      <c r="E1163" t="s">
        <v>67</v>
      </c>
      <c r="F1163">
        <v>90203995</v>
      </c>
      <c r="G1163">
        <v>90204012</v>
      </c>
      <c r="H1163">
        <v>90203995</v>
      </c>
      <c r="I1163">
        <v>90204012</v>
      </c>
    </row>
    <row r="1164" spans="1:9" x14ac:dyDescent="0.2">
      <c r="A1164" t="str">
        <f>"Ackr4"</f>
        <v>Ackr4</v>
      </c>
      <c r="B1164" t="s">
        <v>2110</v>
      </c>
      <c r="C1164" t="s">
        <v>24</v>
      </c>
      <c r="D1164" t="s">
        <v>11</v>
      </c>
      <c r="E1164" t="s">
        <v>20</v>
      </c>
      <c r="F1164">
        <v>104126642</v>
      </c>
      <c r="G1164">
        <v>104126642</v>
      </c>
      <c r="H1164">
        <v>104126642</v>
      </c>
      <c r="I1164">
        <v>104126642</v>
      </c>
    </row>
    <row r="1165" spans="1:9" x14ac:dyDescent="0.2">
      <c r="A1165" t="str">
        <f>"Acly"</f>
        <v>Acly</v>
      </c>
      <c r="B1165" t="s">
        <v>14</v>
      </c>
      <c r="C1165" t="s">
        <v>27</v>
      </c>
      <c r="D1165" t="s">
        <v>11</v>
      </c>
      <c r="E1165" t="s">
        <v>12</v>
      </c>
      <c r="F1165">
        <v>100527862</v>
      </c>
      <c r="G1165">
        <v>100527878</v>
      </c>
      <c r="H1165">
        <v>100527896</v>
      </c>
      <c r="I1165">
        <v>100527916</v>
      </c>
    </row>
    <row r="1166" spans="1:9" x14ac:dyDescent="0.2">
      <c r="A1166" t="str">
        <f>"Acmsd"</f>
        <v>Acmsd</v>
      </c>
      <c r="B1166" t="s">
        <v>14</v>
      </c>
      <c r="C1166" t="s">
        <v>19</v>
      </c>
      <c r="D1166" t="s">
        <v>17</v>
      </c>
      <c r="E1166" t="s">
        <v>12</v>
      </c>
      <c r="F1166">
        <v>127729405</v>
      </c>
      <c r="G1166">
        <v>127729418</v>
      </c>
      <c r="H1166">
        <v>127729430</v>
      </c>
      <c r="I1166">
        <v>127729435</v>
      </c>
    </row>
    <row r="1167" spans="1:9" x14ac:dyDescent="0.2">
      <c r="A1167" t="str">
        <f>"Acn9"</f>
        <v>Acn9</v>
      </c>
      <c r="B1167" t="s">
        <v>14</v>
      </c>
      <c r="C1167" t="s">
        <v>32</v>
      </c>
      <c r="D1167" t="s">
        <v>17</v>
      </c>
      <c r="E1167" t="s">
        <v>12</v>
      </c>
      <c r="F1167">
        <v>6955993</v>
      </c>
      <c r="G1167">
        <v>6956049</v>
      </c>
      <c r="H1167">
        <v>6956084</v>
      </c>
      <c r="I1167">
        <v>6956091</v>
      </c>
    </row>
    <row r="1168" spans="1:9" x14ac:dyDescent="0.2">
      <c r="A1168" t="str">
        <f>"Acnat1"</f>
        <v>Acnat1</v>
      </c>
      <c r="B1168" t="s">
        <v>14</v>
      </c>
      <c r="C1168" t="s">
        <v>23</v>
      </c>
      <c r="D1168" t="s">
        <v>11</v>
      </c>
      <c r="E1168" t="s">
        <v>12</v>
      </c>
      <c r="F1168">
        <v>49473905</v>
      </c>
      <c r="G1168">
        <v>49473918</v>
      </c>
      <c r="H1168">
        <v>49473870</v>
      </c>
      <c r="I1168">
        <v>49473887</v>
      </c>
    </row>
    <row r="1169" spans="1:9" x14ac:dyDescent="0.2">
      <c r="A1169" t="str">
        <f>"Acnat2"</f>
        <v>Acnat2</v>
      </c>
      <c r="B1169" t="s">
        <v>14</v>
      </c>
      <c r="C1169" t="s">
        <v>23</v>
      </c>
      <c r="D1169" t="s">
        <v>11</v>
      </c>
      <c r="E1169" t="s">
        <v>12</v>
      </c>
      <c r="F1169">
        <v>49383689</v>
      </c>
      <c r="G1169">
        <v>49383716</v>
      </c>
      <c r="H1169">
        <v>49383689</v>
      </c>
      <c r="I1169">
        <v>49383716</v>
      </c>
    </row>
    <row r="1170" spans="1:9" x14ac:dyDescent="0.2">
      <c r="A1170" t="str">
        <f>"Aco1"</f>
        <v>Aco1</v>
      </c>
      <c r="B1170" t="s">
        <v>14</v>
      </c>
      <c r="C1170" t="s">
        <v>23</v>
      </c>
      <c r="D1170" t="s">
        <v>17</v>
      </c>
      <c r="E1170" t="s">
        <v>12</v>
      </c>
      <c r="F1170">
        <v>40143368</v>
      </c>
      <c r="G1170">
        <v>40143444</v>
      </c>
      <c r="H1170">
        <v>40143460</v>
      </c>
      <c r="I1170">
        <v>40143502</v>
      </c>
    </row>
    <row r="1171" spans="1:9" x14ac:dyDescent="0.2">
      <c r="A1171" t="str">
        <f>"Aco2"</f>
        <v>Aco2</v>
      </c>
      <c r="B1171" t="s">
        <v>14</v>
      </c>
      <c r="C1171" t="s">
        <v>25</v>
      </c>
      <c r="D1171" t="s">
        <v>17</v>
      </c>
      <c r="E1171" t="s">
        <v>12</v>
      </c>
      <c r="F1171">
        <v>81872470</v>
      </c>
      <c r="G1171">
        <v>81872514</v>
      </c>
      <c r="H1171">
        <v>81872470</v>
      </c>
      <c r="I1171">
        <v>81872514</v>
      </c>
    </row>
    <row r="1172" spans="1:9" x14ac:dyDescent="0.2">
      <c r="A1172" t="str">
        <f>"Acot1"</f>
        <v>Acot1</v>
      </c>
      <c r="B1172" t="s">
        <v>14</v>
      </c>
      <c r="C1172" t="s">
        <v>16</v>
      </c>
      <c r="D1172" t="s">
        <v>17</v>
      </c>
      <c r="E1172" t="s">
        <v>12</v>
      </c>
      <c r="F1172">
        <v>84009481</v>
      </c>
      <c r="G1172">
        <v>84009503</v>
      </c>
      <c r="H1172">
        <v>84009481</v>
      </c>
      <c r="I1172">
        <v>84009503</v>
      </c>
    </row>
    <row r="1173" spans="1:9" x14ac:dyDescent="0.2">
      <c r="A1173" t="str">
        <f>"Acot10"</f>
        <v>Acot10</v>
      </c>
      <c r="B1173" t="s">
        <v>14</v>
      </c>
      <c r="C1173" t="s">
        <v>25</v>
      </c>
      <c r="D1173" t="s">
        <v>11</v>
      </c>
      <c r="E1173" t="s">
        <v>12</v>
      </c>
      <c r="F1173">
        <v>20666764</v>
      </c>
      <c r="G1173">
        <v>20666780</v>
      </c>
      <c r="H1173">
        <v>20666749</v>
      </c>
      <c r="I1173">
        <v>20666752</v>
      </c>
    </row>
    <row r="1174" spans="1:9" x14ac:dyDescent="0.2">
      <c r="A1174" t="str">
        <f>"Acot11"</f>
        <v>Acot11</v>
      </c>
      <c r="B1174" t="s">
        <v>14</v>
      </c>
      <c r="C1174" t="s">
        <v>23</v>
      </c>
      <c r="D1174" t="s">
        <v>11</v>
      </c>
      <c r="E1174" t="s">
        <v>12</v>
      </c>
      <c r="F1174">
        <v>106799779</v>
      </c>
      <c r="G1174">
        <v>106799840</v>
      </c>
      <c r="H1174">
        <v>106799779</v>
      </c>
      <c r="I1174">
        <v>106799840</v>
      </c>
    </row>
    <row r="1175" spans="1:9" x14ac:dyDescent="0.2">
      <c r="A1175" t="str">
        <f>"Acot12"</f>
        <v>Acot12</v>
      </c>
      <c r="B1175" t="s">
        <v>14</v>
      </c>
      <c r="C1175" t="s">
        <v>39</v>
      </c>
      <c r="D1175" t="s">
        <v>17</v>
      </c>
      <c r="E1175" t="s">
        <v>12</v>
      </c>
      <c r="F1175">
        <v>91741507</v>
      </c>
      <c r="G1175">
        <v>91741531</v>
      </c>
      <c r="H1175">
        <v>91741484</v>
      </c>
      <c r="I1175">
        <v>91741489</v>
      </c>
    </row>
    <row r="1176" spans="1:9" x14ac:dyDescent="0.2">
      <c r="A1176" t="str">
        <f>"Acot13"</f>
        <v>Acot13</v>
      </c>
      <c r="B1176" t="s">
        <v>14</v>
      </c>
      <c r="C1176" t="s">
        <v>39</v>
      </c>
      <c r="D1176" t="s">
        <v>11</v>
      </c>
      <c r="E1176" t="s">
        <v>12</v>
      </c>
      <c r="F1176">
        <v>24831409</v>
      </c>
      <c r="G1176">
        <v>24831518</v>
      </c>
      <c r="H1176">
        <v>24831353</v>
      </c>
      <c r="I1176">
        <v>24831408</v>
      </c>
    </row>
    <row r="1177" spans="1:9" x14ac:dyDescent="0.2">
      <c r="A1177" t="str">
        <f>"Acot2"</f>
        <v>Acot2</v>
      </c>
      <c r="B1177" t="s">
        <v>14</v>
      </c>
      <c r="C1177" t="s">
        <v>16</v>
      </c>
      <c r="D1177" t="s">
        <v>17</v>
      </c>
      <c r="E1177" t="s">
        <v>12</v>
      </c>
      <c r="F1177">
        <v>83987854</v>
      </c>
      <c r="G1177">
        <v>83987898</v>
      </c>
      <c r="H1177">
        <v>83987684</v>
      </c>
      <c r="I1177">
        <v>83987725</v>
      </c>
    </row>
    <row r="1178" spans="1:9" x14ac:dyDescent="0.2">
      <c r="A1178" t="str">
        <f>"Acot3"</f>
        <v>Acot3</v>
      </c>
      <c r="B1178" t="s">
        <v>14</v>
      </c>
      <c r="C1178" t="s">
        <v>16</v>
      </c>
      <c r="D1178" t="s">
        <v>17</v>
      </c>
      <c r="E1178" t="s">
        <v>12</v>
      </c>
      <c r="F1178">
        <v>84052114</v>
      </c>
      <c r="G1178">
        <v>84052145</v>
      </c>
      <c r="H1178">
        <v>84052147</v>
      </c>
      <c r="I1178">
        <v>84052157</v>
      </c>
    </row>
    <row r="1179" spans="1:9" x14ac:dyDescent="0.2">
      <c r="A1179" t="str">
        <f>"Acot4"</f>
        <v>Acot4</v>
      </c>
      <c r="B1179" t="s">
        <v>14</v>
      </c>
      <c r="C1179" t="s">
        <v>16</v>
      </c>
      <c r="D1179" t="s">
        <v>17</v>
      </c>
      <c r="E1179" t="s">
        <v>12</v>
      </c>
      <c r="F1179">
        <v>84038388</v>
      </c>
      <c r="G1179">
        <v>84038435</v>
      </c>
      <c r="H1179">
        <v>84038363</v>
      </c>
      <c r="I1179">
        <v>84038379</v>
      </c>
    </row>
    <row r="1180" spans="1:9" x14ac:dyDescent="0.2">
      <c r="A1180" t="str">
        <f>"Acot5"</f>
        <v>Acot5</v>
      </c>
      <c r="B1180" t="s">
        <v>14</v>
      </c>
      <c r="C1180" t="s">
        <v>16</v>
      </c>
      <c r="D1180" t="s">
        <v>17</v>
      </c>
      <c r="E1180" t="s">
        <v>12</v>
      </c>
      <c r="F1180">
        <v>84069346</v>
      </c>
      <c r="G1180">
        <v>84069376</v>
      </c>
      <c r="H1180">
        <v>84069079</v>
      </c>
      <c r="I1180">
        <v>84069080</v>
      </c>
    </row>
    <row r="1181" spans="1:9" x14ac:dyDescent="0.2">
      <c r="A1181" t="str">
        <f>"Acot6"</f>
        <v>Acot6</v>
      </c>
      <c r="B1181" t="s">
        <v>14</v>
      </c>
      <c r="C1181" t="s">
        <v>16</v>
      </c>
      <c r="D1181" t="s">
        <v>17</v>
      </c>
      <c r="E1181" t="s">
        <v>12</v>
      </c>
      <c r="F1181">
        <v>84100740</v>
      </c>
      <c r="G1181">
        <v>84100791</v>
      </c>
      <c r="H1181">
        <v>84100797</v>
      </c>
      <c r="I1181">
        <v>84100815</v>
      </c>
    </row>
    <row r="1182" spans="1:9" x14ac:dyDescent="0.2">
      <c r="A1182" t="str">
        <f>"Acot7"</f>
        <v>Acot7</v>
      </c>
      <c r="B1182" t="s">
        <v>14</v>
      </c>
      <c r="C1182" t="s">
        <v>23</v>
      </c>
      <c r="D1182" t="s">
        <v>17</v>
      </c>
      <c r="E1182" t="s">
        <v>12</v>
      </c>
      <c r="F1182">
        <v>152186179</v>
      </c>
      <c r="G1182">
        <v>152186206</v>
      </c>
      <c r="H1182">
        <v>152186054</v>
      </c>
      <c r="I1182">
        <v>152186094</v>
      </c>
    </row>
    <row r="1183" spans="1:9" x14ac:dyDescent="0.2">
      <c r="A1183" t="str">
        <f>"Acot8"</f>
        <v>Acot8</v>
      </c>
      <c r="B1183" t="s">
        <v>14</v>
      </c>
      <c r="C1183" t="s">
        <v>26</v>
      </c>
      <c r="D1183" t="s">
        <v>11</v>
      </c>
      <c r="E1183" t="s">
        <v>12</v>
      </c>
      <c r="F1183">
        <v>164804824</v>
      </c>
      <c r="G1183">
        <v>164804837</v>
      </c>
      <c r="H1183">
        <v>164804876</v>
      </c>
      <c r="I1183">
        <v>164804894</v>
      </c>
    </row>
    <row r="1184" spans="1:9" x14ac:dyDescent="0.2">
      <c r="A1184" t="str">
        <f>"Acot9"</f>
        <v>Acot9</v>
      </c>
      <c r="B1184" t="s">
        <v>14</v>
      </c>
      <c r="C1184" t="s">
        <v>37</v>
      </c>
      <c r="D1184" t="s">
        <v>17</v>
      </c>
      <c r="E1184" t="s">
        <v>12</v>
      </c>
      <c r="F1184">
        <v>155262531</v>
      </c>
      <c r="G1184">
        <v>155262544</v>
      </c>
      <c r="H1184">
        <v>155262460</v>
      </c>
      <c r="I1184">
        <v>155262481</v>
      </c>
    </row>
    <row r="1185" spans="1:9" x14ac:dyDescent="0.2">
      <c r="A1185" t="str">
        <f>"Acox1"</f>
        <v>Acox1</v>
      </c>
      <c r="B1185" t="s">
        <v>14</v>
      </c>
      <c r="C1185" t="s">
        <v>27</v>
      </c>
      <c r="D1185" t="s">
        <v>11</v>
      </c>
      <c r="E1185" t="s">
        <v>12</v>
      </c>
      <c r="F1185">
        <v>116198701</v>
      </c>
      <c r="G1185">
        <v>116198836</v>
      </c>
      <c r="H1185">
        <v>116199040</v>
      </c>
      <c r="I1185">
        <v>116199090</v>
      </c>
    </row>
    <row r="1186" spans="1:9" x14ac:dyDescent="0.2">
      <c r="A1186" t="str">
        <f>"Acox2"</f>
        <v>Acox2</v>
      </c>
      <c r="B1186" t="s">
        <v>14</v>
      </c>
      <c r="C1186" t="s">
        <v>41</v>
      </c>
      <c r="D1186" t="s">
        <v>11</v>
      </c>
      <c r="E1186" t="s">
        <v>12</v>
      </c>
      <c r="F1186">
        <v>8258800</v>
      </c>
      <c r="G1186">
        <v>8258813</v>
      </c>
      <c r="H1186">
        <v>8258910</v>
      </c>
      <c r="I1186">
        <v>8258954</v>
      </c>
    </row>
    <row r="1187" spans="1:9" x14ac:dyDescent="0.2">
      <c r="A1187" t="str">
        <f>"Acox3"</f>
        <v>Acox3</v>
      </c>
      <c r="B1187" t="s">
        <v>14</v>
      </c>
      <c r="C1187" t="s">
        <v>46</v>
      </c>
      <c r="D1187" t="s">
        <v>17</v>
      </c>
      <c r="E1187" t="s">
        <v>12</v>
      </c>
      <c r="F1187">
        <v>35583018</v>
      </c>
      <c r="G1187">
        <v>35583110</v>
      </c>
      <c r="H1187">
        <v>35583018</v>
      </c>
      <c r="I1187">
        <v>35583110</v>
      </c>
    </row>
    <row r="1188" spans="1:9" x14ac:dyDescent="0.2">
      <c r="A1188" t="str">
        <f>"Acoxl"</f>
        <v>Acoxl</v>
      </c>
      <c r="B1188" t="s">
        <v>14</v>
      </c>
      <c r="C1188" t="s">
        <v>26</v>
      </c>
      <c r="D1188" t="s">
        <v>17</v>
      </c>
      <c r="E1188" t="s">
        <v>12</v>
      </c>
      <c r="F1188">
        <v>127838784</v>
      </c>
      <c r="G1188">
        <v>127838799</v>
      </c>
      <c r="H1188">
        <v>127838814</v>
      </c>
      <c r="I1188">
        <v>127838836</v>
      </c>
    </row>
    <row r="1189" spans="1:9" x14ac:dyDescent="0.2">
      <c r="A1189" t="str">
        <f>"Acp1"</f>
        <v>Acp1</v>
      </c>
      <c r="B1189" t="s">
        <v>14</v>
      </c>
      <c r="C1189" t="s">
        <v>16</v>
      </c>
      <c r="D1189" t="s">
        <v>11</v>
      </c>
      <c r="E1189" t="s">
        <v>12</v>
      </c>
      <c r="F1189">
        <v>30911593</v>
      </c>
      <c r="G1189">
        <v>30911615</v>
      </c>
      <c r="H1189">
        <v>30911618</v>
      </c>
      <c r="I1189">
        <v>30911623</v>
      </c>
    </row>
    <row r="1190" spans="1:9" x14ac:dyDescent="0.2">
      <c r="A1190" t="str">
        <f>"Acp2"</f>
        <v>Acp2</v>
      </c>
      <c r="B1190" t="s">
        <v>14</v>
      </c>
      <c r="C1190" t="s">
        <v>26</v>
      </c>
      <c r="D1190" t="s">
        <v>17</v>
      </c>
      <c r="E1190" t="s">
        <v>12</v>
      </c>
      <c r="F1190">
        <v>91202903</v>
      </c>
      <c r="G1190">
        <v>91202934</v>
      </c>
      <c r="H1190">
        <v>91202792</v>
      </c>
      <c r="I1190">
        <v>91202798</v>
      </c>
    </row>
    <row r="1191" spans="1:9" x14ac:dyDescent="0.2">
      <c r="A1191" t="str">
        <f>"Acp5"</f>
        <v>Acp5</v>
      </c>
      <c r="B1191" t="s">
        <v>9</v>
      </c>
      <c r="C1191" t="s">
        <v>24</v>
      </c>
      <c r="D1191" t="s">
        <v>11</v>
      </c>
      <c r="E1191" t="s">
        <v>12</v>
      </c>
      <c r="F1191">
        <v>22130567</v>
      </c>
      <c r="G1191">
        <v>22130581</v>
      </c>
      <c r="H1191">
        <v>22130567</v>
      </c>
      <c r="I1191">
        <v>22130581</v>
      </c>
    </row>
    <row r="1192" spans="1:9" x14ac:dyDescent="0.2">
      <c r="A1192" t="str">
        <f>"Acp5"</f>
        <v>Acp5</v>
      </c>
      <c r="B1192" t="s">
        <v>13</v>
      </c>
      <c r="C1192" t="s">
        <v>24</v>
      </c>
      <c r="D1192" t="s">
        <v>11</v>
      </c>
      <c r="E1192" t="s">
        <v>12</v>
      </c>
      <c r="F1192">
        <v>22131801</v>
      </c>
      <c r="G1192">
        <v>22131874</v>
      </c>
      <c r="H1192">
        <v>22131801</v>
      </c>
      <c r="I1192">
        <v>22131874</v>
      </c>
    </row>
    <row r="1193" spans="1:9" x14ac:dyDescent="0.2">
      <c r="A1193" t="str">
        <f>"Acp6"</f>
        <v>Acp6</v>
      </c>
      <c r="B1193" t="s">
        <v>14</v>
      </c>
      <c r="C1193" t="s">
        <v>22</v>
      </c>
      <c r="D1193" t="s">
        <v>17</v>
      </c>
      <c r="E1193" t="s">
        <v>12</v>
      </c>
      <c r="F1193">
        <v>97158852</v>
      </c>
      <c r="G1193">
        <v>97158870</v>
      </c>
      <c r="H1193">
        <v>97158767</v>
      </c>
      <c r="I1193">
        <v>97158820</v>
      </c>
    </row>
    <row r="1194" spans="1:9" x14ac:dyDescent="0.2">
      <c r="A1194" t="str">
        <f>"Acpl2"</f>
        <v>Acpl2</v>
      </c>
      <c r="B1194" t="s">
        <v>14</v>
      </c>
      <c r="C1194" t="s">
        <v>24</v>
      </c>
      <c r="D1194" t="s">
        <v>11</v>
      </c>
      <c r="E1194" t="s">
        <v>12</v>
      </c>
      <c r="F1194">
        <v>96889381</v>
      </c>
      <c r="G1194">
        <v>96889438</v>
      </c>
      <c r="H1194">
        <v>96889381</v>
      </c>
      <c r="I1194">
        <v>96889438</v>
      </c>
    </row>
    <row r="1195" spans="1:9" x14ac:dyDescent="0.2">
      <c r="A1195" t="str">
        <f>"Acpp"</f>
        <v>Acpp</v>
      </c>
      <c r="B1195" t="s">
        <v>14</v>
      </c>
      <c r="C1195" t="s">
        <v>24</v>
      </c>
      <c r="D1195" t="s">
        <v>11</v>
      </c>
      <c r="E1195" t="s">
        <v>12</v>
      </c>
      <c r="F1195">
        <v>104337700</v>
      </c>
      <c r="G1195">
        <v>104337733</v>
      </c>
      <c r="H1195">
        <v>104337700</v>
      </c>
      <c r="I1195">
        <v>104337733</v>
      </c>
    </row>
    <row r="1196" spans="1:9" x14ac:dyDescent="0.2">
      <c r="A1196" t="str">
        <f>"Acpt"</f>
        <v>Acpt</v>
      </c>
      <c r="B1196" t="s">
        <v>2111</v>
      </c>
      <c r="C1196" t="s">
        <v>33</v>
      </c>
      <c r="D1196" t="s">
        <v>11</v>
      </c>
      <c r="E1196" t="s">
        <v>20</v>
      </c>
      <c r="F1196">
        <v>44257290</v>
      </c>
      <c r="G1196">
        <v>44257290</v>
      </c>
      <c r="H1196">
        <v>44257290</v>
      </c>
      <c r="I1196">
        <v>44257290</v>
      </c>
    </row>
    <row r="1197" spans="1:9" x14ac:dyDescent="0.2">
      <c r="A1197" t="str">
        <f>"Acr"</f>
        <v>Acr</v>
      </c>
      <c r="B1197" t="s">
        <v>14</v>
      </c>
      <c r="C1197" t="s">
        <v>25</v>
      </c>
      <c r="D1197" t="s">
        <v>17</v>
      </c>
      <c r="E1197" t="s">
        <v>12</v>
      </c>
      <c r="F1197">
        <v>89568327</v>
      </c>
      <c r="G1197">
        <v>89568383</v>
      </c>
      <c r="H1197">
        <v>89568322</v>
      </c>
      <c r="I1197">
        <v>89568325</v>
      </c>
    </row>
    <row r="1198" spans="1:9" x14ac:dyDescent="0.2">
      <c r="A1198" t="str">
        <f>"Acrbp"</f>
        <v>Acrbp</v>
      </c>
      <c r="B1198" t="s">
        <v>14</v>
      </c>
      <c r="C1198" t="s">
        <v>32</v>
      </c>
      <c r="D1198" t="s">
        <v>17</v>
      </c>
      <c r="E1198" t="s">
        <v>12</v>
      </c>
      <c r="F1198">
        <v>125049903</v>
      </c>
      <c r="G1198">
        <v>125049947</v>
      </c>
      <c r="H1198">
        <v>125049952</v>
      </c>
      <c r="I1198">
        <v>125049971</v>
      </c>
    </row>
    <row r="1199" spans="1:9" x14ac:dyDescent="0.2">
      <c r="A1199" t="str">
        <f>"Acrv1"</f>
        <v>Acrv1</v>
      </c>
      <c r="B1199" t="s">
        <v>14</v>
      </c>
      <c r="C1199" t="s">
        <v>24</v>
      </c>
      <c r="D1199" t="s">
        <v>17</v>
      </c>
      <c r="E1199" t="s">
        <v>12</v>
      </c>
      <c r="F1199">
        <v>36693247</v>
      </c>
      <c r="G1199">
        <v>36693256</v>
      </c>
      <c r="H1199">
        <v>36693217</v>
      </c>
      <c r="I1199">
        <v>36693221</v>
      </c>
    </row>
    <row r="1200" spans="1:9" x14ac:dyDescent="0.2">
      <c r="A1200" t="str">
        <f>"Acsbg1"</f>
        <v>Acsbg1</v>
      </c>
      <c r="B1200" t="s">
        <v>14</v>
      </c>
      <c r="C1200" t="s">
        <v>24</v>
      </c>
      <c r="D1200" t="s">
        <v>11</v>
      </c>
      <c r="E1200" t="s">
        <v>12</v>
      </c>
      <c r="F1200">
        <v>54661666</v>
      </c>
      <c r="G1200">
        <v>54661716</v>
      </c>
      <c r="H1200">
        <v>54661666</v>
      </c>
      <c r="I1200">
        <v>54661716</v>
      </c>
    </row>
    <row r="1201" spans="1:9" x14ac:dyDescent="0.2">
      <c r="A1201" t="str">
        <f>"Acsbg2"</f>
        <v>Acsbg2</v>
      </c>
      <c r="B1201" t="s">
        <v>14</v>
      </c>
      <c r="C1201" t="s">
        <v>28</v>
      </c>
      <c r="D1201" t="s">
        <v>11</v>
      </c>
      <c r="E1201" t="s">
        <v>12</v>
      </c>
      <c r="F1201">
        <v>56874421</v>
      </c>
      <c r="G1201">
        <v>56874460</v>
      </c>
      <c r="H1201">
        <v>56874400</v>
      </c>
      <c r="I1201">
        <v>56874414</v>
      </c>
    </row>
    <row r="1202" spans="1:9" x14ac:dyDescent="0.2">
      <c r="A1202" t="str">
        <f>"Acsf2"</f>
        <v>Acsf2</v>
      </c>
      <c r="B1202" t="s">
        <v>14</v>
      </c>
      <c r="C1202" t="s">
        <v>27</v>
      </c>
      <c r="D1202" t="s">
        <v>11</v>
      </c>
      <c r="E1202" t="s">
        <v>12</v>
      </c>
      <c r="F1202">
        <v>94601796</v>
      </c>
      <c r="G1202">
        <v>94601822</v>
      </c>
      <c r="H1202">
        <v>94601825</v>
      </c>
      <c r="I1202">
        <v>94601851</v>
      </c>
    </row>
    <row r="1203" spans="1:9" x14ac:dyDescent="0.2">
      <c r="A1203" t="str">
        <f>"Acsf3"</f>
        <v>Acsf3</v>
      </c>
      <c r="B1203" t="s">
        <v>14</v>
      </c>
      <c r="C1203" t="s">
        <v>30</v>
      </c>
      <c r="D1203" t="s">
        <v>17</v>
      </c>
      <c r="E1203" t="s">
        <v>12</v>
      </c>
      <c r="F1203">
        <v>122775497</v>
      </c>
      <c r="G1203">
        <v>122775514</v>
      </c>
      <c r="H1203">
        <v>122775497</v>
      </c>
      <c r="I1203">
        <v>122775514</v>
      </c>
    </row>
    <row r="1204" spans="1:9" x14ac:dyDescent="0.2">
      <c r="A1204" t="str">
        <f>"Acsl1"</f>
        <v>Acsl1</v>
      </c>
      <c r="B1204" t="s">
        <v>14</v>
      </c>
      <c r="C1204" t="s">
        <v>30</v>
      </c>
      <c r="D1204" t="s">
        <v>17</v>
      </c>
      <c r="E1204" t="s">
        <v>12</v>
      </c>
      <c r="F1204">
        <v>46471169</v>
      </c>
      <c r="G1204">
        <v>46471186</v>
      </c>
      <c r="H1204">
        <v>46471081</v>
      </c>
      <c r="I1204">
        <v>46471109</v>
      </c>
    </row>
    <row r="1205" spans="1:9" x14ac:dyDescent="0.2">
      <c r="A1205" t="str">
        <f>"Acsl3"</f>
        <v>Acsl3</v>
      </c>
      <c r="B1205" t="s">
        <v>14</v>
      </c>
      <c r="C1205" t="s">
        <v>19</v>
      </c>
      <c r="D1205" t="s">
        <v>17</v>
      </c>
      <c r="E1205" t="s">
        <v>12</v>
      </c>
      <c r="F1205">
        <v>78657874</v>
      </c>
      <c r="G1205">
        <v>78657889</v>
      </c>
      <c r="H1205">
        <v>78657856</v>
      </c>
      <c r="I1205">
        <v>78657868</v>
      </c>
    </row>
    <row r="1206" spans="1:9" x14ac:dyDescent="0.2">
      <c r="A1206" t="str">
        <f>"Acsl4"</f>
        <v>Acsl4</v>
      </c>
      <c r="B1206" t="s">
        <v>14</v>
      </c>
      <c r="C1206" t="s">
        <v>37</v>
      </c>
      <c r="D1206" t="s">
        <v>11</v>
      </c>
      <c r="E1206" t="s">
        <v>12</v>
      </c>
      <c r="F1206">
        <v>142390491</v>
      </c>
      <c r="G1206">
        <v>142390520</v>
      </c>
      <c r="H1206">
        <v>142390394</v>
      </c>
      <c r="I1206">
        <v>142390428</v>
      </c>
    </row>
    <row r="1207" spans="1:9" x14ac:dyDescent="0.2">
      <c r="A1207" t="str">
        <f>"Acsl5"</f>
        <v>Acsl5</v>
      </c>
      <c r="B1207" t="s">
        <v>14</v>
      </c>
      <c r="C1207" t="s">
        <v>10</v>
      </c>
      <c r="D1207" t="s">
        <v>17</v>
      </c>
      <c r="E1207" t="s">
        <v>12</v>
      </c>
      <c r="F1207">
        <v>55253641</v>
      </c>
      <c r="G1207">
        <v>55253678</v>
      </c>
      <c r="H1207">
        <v>55253641</v>
      </c>
      <c r="I1207">
        <v>55253678</v>
      </c>
    </row>
    <row r="1208" spans="1:9" x14ac:dyDescent="0.2">
      <c r="A1208" t="str">
        <f>"Acsl6"</f>
        <v>Acsl6</v>
      </c>
      <c r="B1208" t="s">
        <v>9</v>
      </c>
      <c r="C1208" t="s">
        <v>27</v>
      </c>
      <c r="D1208" t="s">
        <v>17</v>
      </c>
      <c r="E1208" t="s">
        <v>12</v>
      </c>
      <c r="F1208">
        <v>54314928</v>
      </c>
      <c r="G1208">
        <v>54314957</v>
      </c>
      <c r="H1208">
        <v>54314928</v>
      </c>
      <c r="I1208">
        <v>54314957</v>
      </c>
    </row>
    <row r="1209" spans="1:9" x14ac:dyDescent="0.2">
      <c r="A1209" t="str">
        <f>"Acsl6"</f>
        <v>Acsl6</v>
      </c>
      <c r="B1209" t="s">
        <v>13</v>
      </c>
      <c r="C1209" t="s">
        <v>27</v>
      </c>
      <c r="D1209" t="s">
        <v>17</v>
      </c>
      <c r="E1209" t="s">
        <v>12</v>
      </c>
      <c r="F1209">
        <v>54304180</v>
      </c>
      <c r="G1209">
        <v>54304236</v>
      </c>
      <c r="H1209">
        <v>54304180</v>
      </c>
      <c r="I1209">
        <v>54304236</v>
      </c>
    </row>
    <row r="1210" spans="1:9" x14ac:dyDescent="0.2">
      <c r="A1210" t="str">
        <f>"Acsm1"</f>
        <v>Acsm1</v>
      </c>
      <c r="B1210" t="s">
        <v>14</v>
      </c>
      <c r="C1210" t="s">
        <v>33</v>
      </c>
      <c r="D1210" t="s">
        <v>17</v>
      </c>
      <c r="E1210" t="s">
        <v>12</v>
      </c>
      <c r="F1210">
        <v>119617804</v>
      </c>
      <c r="G1210">
        <v>119617819</v>
      </c>
      <c r="H1210">
        <v>119617793</v>
      </c>
      <c r="I1210">
        <v>119617802</v>
      </c>
    </row>
    <row r="1211" spans="1:9" x14ac:dyDescent="0.2">
      <c r="A1211" t="str">
        <f>"Acsm2"</f>
        <v>Acsm2</v>
      </c>
      <c r="B1211" t="s">
        <v>14</v>
      </c>
      <c r="C1211" t="s">
        <v>33</v>
      </c>
      <c r="D1211" t="s">
        <v>17</v>
      </c>
      <c r="E1211" t="s">
        <v>12</v>
      </c>
      <c r="F1211">
        <v>119561699</v>
      </c>
      <c r="G1211">
        <v>119561726</v>
      </c>
      <c r="H1211">
        <v>119561528</v>
      </c>
      <c r="I1211">
        <v>119561572</v>
      </c>
    </row>
    <row r="1212" spans="1:9" x14ac:dyDescent="0.2">
      <c r="A1212" t="str">
        <f>"Acsm3"</f>
        <v>Acsm3</v>
      </c>
      <c r="B1212" t="s">
        <v>14</v>
      </c>
      <c r="C1212" t="s">
        <v>33</v>
      </c>
      <c r="D1212" t="s">
        <v>17</v>
      </c>
      <c r="E1212" t="s">
        <v>12</v>
      </c>
      <c r="F1212">
        <v>119760943</v>
      </c>
      <c r="G1212">
        <v>119760963</v>
      </c>
      <c r="H1212">
        <v>119760918</v>
      </c>
      <c r="I1212">
        <v>119760934</v>
      </c>
    </row>
    <row r="1213" spans="1:9" x14ac:dyDescent="0.2">
      <c r="A1213" t="str">
        <f>"Acsm4"</f>
        <v>Acsm4</v>
      </c>
      <c r="B1213" t="s">
        <v>14</v>
      </c>
      <c r="C1213" t="s">
        <v>33</v>
      </c>
      <c r="D1213" t="s">
        <v>17</v>
      </c>
      <c r="E1213" t="s">
        <v>12</v>
      </c>
      <c r="F1213">
        <v>119690022</v>
      </c>
      <c r="G1213">
        <v>119690066</v>
      </c>
      <c r="H1213">
        <v>119690022</v>
      </c>
      <c r="I1213">
        <v>119690066</v>
      </c>
    </row>
    <row r="1214" spans="1:9" x14ac:dyDescent="0.2">
      <c r="A1214" t="str">
        <f>"Acsm5"</f>
        <v>Acsm5</v>
      </c>
      <c r="B1214" t="s">
        <v>14</v>
      </c>
      <c r="C1214" t="s">
        <v>33</v>
      </c>
      <c r="D1214" t="s">
        <v>17</v>
      </c>
      <c r="E1214" t="s">
        <v>12</v>
      </c>
      <c r="F1214">
        <v>119526220</v>
      </c>
      <c r="G1214">
        <v>119526264</v>
      </c>
      <c r="H1214">
        <v>119526269</v>
      </c>
      <c r="I1214">
        <v>119526300</v>
      </c>
    </row>
    <row r="1215" spans="1:9" x14ac:dyDescent="0.2">
      <c r="A1215" t="str">
        <f>"Acss1"</f>
        <v>Acss1</v>
      </c>
      <c r="B1215" t="s">
        <v>14</v>
      </c>
      <c r="C1215" t="s">
        <v>26</v>
      </c>
      <c r="D1215" t="s">
        <v>11</v>
      </c>
      <c r="E1215" t="s">
        <v>12</v>
      </c>
      <c r="F1215">
        <v>150668198</v>
      </c>
      <c r="G1215">
        <v>150668257</v>
      </c>
      <c r="H1215">
        <v>150668500</v>
      </c>
      <c r="I1215">
        <v>150668510</v>
      </c>
    </row>
    <row r="1216" spans="1:9" x14ac:dyDescent="0.2">
      <c r="A1216" t="str">
        <f>"Acss2"</f>
        <v>Acss2</v>
      </c>
      <c r="B1216" t="s">
        <v>14</v>
      </c>
      <c r="C1216" t="s">
        <v>26</v>
      </c>
      <c r="D1216" t="s">
        <v>17</v>
      </c>
      <c r="E1216" t="s">
        <v>12</v>
      </c>
      <c r="F1216">
        <v>155518026</v>
      </c>
      <c r="G1216">
        <v>155518088</v>
      </c>
      <c r="H1216">
        <v>155518003</v>
      </c>
      <c r="I1216">
        <v>155518012</v>
      </c>
    </row>
    <row r="1217" spans="1:9" x14ac:dyDescent="0.2">
      <c r="A1217" t="str">
        <f>"Acss3"</f>
        <v>Acss3</v>
      </c>
      <c r="B1217" t="s">
        <v>14</v>
      </c>
      <c r="C1217" t="s">
        <v>15</v>
      </c>
      <c r="D1217" t="s">
        <v>11</v>
      </c>
      <c r="E1217" t="s">
        <v>12</v>
      </c>
      <c r="F1217">
        <v>107123585</v>
      </c>
      <c r="G1217">
        <v>107123673</v>
      </c>
      <c r="H1217">
        <v>107123772</v>
      </c>
      <c r="I1217">
        <v>107123794</v>
      </c>
    </row>
    <row r="1218" spans="1:9" x14ac:dyDescent="0.2">
      <c r="A1218" t="str">
        <f>"Acta1"</f>
        <v>Acta1</v>
      </c>
      <c r="B1218" t="s">
        <v>14</v>
      </c>
      <c r="C1218" t="s">
        <v>30</v>
      </c>
      <c r="D1218" t="s">
        <v>11</v>
      </c>
      <c r="E1218" t="s">
        <v>12</v>
      </c>
      <c r="F1218">
        <v>123894744</v>
      </c>
      <c r="G1218">
        <v>123894760</v>
      </c>
      <c r="H1218">
        <v>123894819</v>
      </c>
      <c r="I1218">
        <v>123894857</v>
      </c>
    </row>
    <row r="1219" spans="1:9" x14ac:dyDescent="0.2">
      <c r="A1219" t="str">
        <f>"Acta2"</f>
        <v>Acta2</v>
      </c>
      <c r="B1219" t="s">
        <v>14</v>
      </c>
      <c r="C1219" t="s">
        <v>10</v>
      </c>
      <c r="D1219" t="s">
        <v>11</v>
      </c>
      <c r="E1219" t="s">
        <v>12</v>
      </c>
      <c r="F1219">
        <v>34255325</v>
      </c>
      <c r="G1219">
        <v>34255342</v>
      </c>
      <c r="H1219">
        <v>34255325</v>
      </c>
      <c r="I1219">
        <v>34255342</v>
      </c>
    </row>
    <row r="1220" spans="1:9" x14ac:dyDescent="0.2">
      <c r="A1220" t="str">
        <f>"Actb"</f>
        <v>Actb</v>
      </c>
      <c r="B1220" t="s">
        <v>9</v>
      </c>
      <c r="C1220" t="s">
        <v>46</v>
      </c>
      <c r="D1220" t="s">
        <v>11</v>
      </c>
      <c r="E1220" t="s">
        <v>12</v>
      </c>
      <c r="F1220">
        <v>142906721</v>
      </c>
      <c r="G1220">
        <v>142906726</v>
      </c>
      <c r="H1220">
        <v>142906721</v>
      </c>
      <c r="I1220">
        <v>142906726</v>
      </c>
    </row>
    <row r="1221" spans="1:9" x14ac:dyDescent="0.2">
      <c r="A1221" t="str">
        <f>"Actb"</f>
        <v>Actb</v>
      </c>
      <c r="B1221" t="s">
        <v>13</v>
      </c>
      <c r="C1221" t="s">
        <v>46</v>
      </c>
      <c r="D1221" t="s">
        <v>11</v>
      </c>
      <c r="E1221" t="s">
        <v>12</v>
      </c>
      <c r="F1221">
        <v>142905696</v>
      </c>
      <c r="G1221">
        <v>142905718</v>
      </c>
      <c r="H1221">
        <v>142905696</v>
      </c>
      <c r="I1221">
        <v>142905718</v>
      </c>
    </row>
    <row r="1222" spans="1:9" x14ac:dyDescent="0.2">
      <c r="A1222" t="str">
        <f>"Actbl2"</f>
        <v>Actbl2</v>
      </c>
      <c r="B1222" t="s">
        <v>14</v>
      </c>
      <c r="C1222" t="s">
        <v>39</v>
      </c>
      <c r="D1222" t="s">
        <v>17</v>
      </c>
      <c r="E1222" t="s">
        <v>12</v>
      </c>
      <c r="F1222">
        <v>111255010</v>
      </c>
      <c r="G1222">
        <v>111255018</v>
      </c>
      <c r="H1222">
        <v>111255010</v>
      </c>
      <c r="I1222">
        <v>111255018</v>
      </c>
    </row>
    <row r="1223" spans="1:9" x14ac:dyDescent="0.2">
      <c r="A1223" t="str">
        <f>"Actc1"</f>
        <v>Actc1</v>
      </c>
      <c r="B1223" t="s">
        <v>14</v>
      </c>
      <c r="C1223" t="s">
        <v>26</v>
      </c>
      <c r="D1223" t="s">
        <v>11</v>
      </c>
      <c r="E1223" t="s">
        <v>12</v>
      </c>
      <c r="F1223">
        <v>114052804</v>
      </c>
      <c r="G1223">
        <v>114052818</v>
      </c>
      <c r="H1223">
        <v>114052804</v>
      </c>
      <c r="I1223">
        <v>114052818</v>
      </c>
    </row>
    <row r="1224" spans="1:9" x14ac:dyDescent="0.2">
      <c r="A1224" t="str">
        <f>"Actg1"</f>
        <v>Actg1</v>
      </c>
      <c r="B1224" t="s">
        <v>14</v>
      </c>
      <c r="C1224" t="s">
        <v>27</v>
      </c>
      <c r="D1224" t="s">
        <v>11</v>
      </c>
      <c r="E1224" t="s">
        <v>12</v>
      </c>
      <c r="F1224">
        <v>120348513</v>
      </c>
      <c r="G1224">
        <v>120348559</v>
      </c>
      <c r="H1224">
        <v>120348495</v>
      </c>
      <c r="I1224">
        <v>120348508</v>
      </c>
    </row>
    <row r="1225" spans="1:9" x14ac:dyDescent="0.2">
      <c r="A1225" t="str">
        <f>"Actg2"</f>
        <v>Actg2</v>
      </c>
      <c r="B1225" t="s">
        <v>14</v>
      </c>
      <c r="C1225" t="s">
        <v>32</v>
      </c>
      <c r="D1225" t="s">
        <v>11</v>
      </c>
      <c r="E1225" t="s">
        <v>12</v>
      </c>
      <c r="F1225">
        <v>83536215</v>
      </c>
      <c r="G1225">
        <v>83536230</v>
      </c>
      <c r="H1225">
        <v>83536215</v>
      </c>
      <c r="I1225">
        <v>83536230</v>
      </c>
    </row>
    <row r="1226" spans="1:9" x14ac:dyDescent="0.2">
      <c r="A1226" t="str">
        <f>"Actl10"</f>
        <v>Actl10</v>
      </c>
      <c r="B1226" t="s">
        <v>14</v>
      </c>
      <c r="C1226" t="s">
        <v>26</v>
      </c>
      <c r="D1226" t="s">
        <v>17</v>
      </c>
      <c r="E1226" t="s">
        <v>67</v>
      </c>
      <c r="F1226">
        <v>154551771</v>
      </c>
      <c r="G1226">
        <v>154551786</v>
      </c>
      <c r="H1226">
        <v>154551788</v>
      </c>
      <c r="I1226">
        <v>154551798</v>
      </c>
    </row>
    <row r="1227" spans="1:9" x14ac:dyDescent="0.2">
      <c r="A1227" t="str">
        <f>"Actl11"</f>
        <v>Actl11</v>
      </c>
      <c r="B1227" t="s">
        <v>14</v>
      </c>
      <c r="C1227" t="s">
        <v>24</v>
      </c>
      <c r="D1227" t="s">
        <v>17</v>
      </c>
      <c r="E1227" t="s">
        <v>67</v>
      </c>
      <c r="F1227">
        <v>107928440</v>
      </c>
      <c r="G1227">
        <v>107928483</v>
      </c>
      <c r="H1227">
        <v>107928440</v>
      </c>
      <c r="I1227">
        <v>107928483</v>
      </c>
    </row>
    <row r="1228" spans="1:9" x14ac:dyDescent="0.2">
      <c r="A1228" t="str">
        <f>"Actl6a"</f>
        <v>Actl6a</v>
      </c>
      <c r="B1228" t="s">
        <v>14</v>
      </c>
      <c r="C1228" t="s">
        <v>22</v>
      </c>
      <c r="D1228" t="s">
        <v>17</v>
      </c>
      <c r="E1228" t="s">
        <v>12</v>
      </c>
      <c r="F1228">
        <v>32708670</v>
      </c>
      <c r="G1228">
        <v>32708738</v>
      </c>
      <c r="H1228">
        <v>32708968</v>
      </c>
      <c r="I1228">
        <v>32709010</v>
      </c>
    </row>
    <row r="1229" spans="1:9" x14ac:dyDescent="0.2">
      <c r="A1229" t="str">
        <f>"Actl6b"</f>
        <v>Actl6b</v>
      </c>
      <c r="B1229" t="s">
        <v>14</v>
      </c>
      <c r="C1229" t="s">
        <v>46</v>
      </c>
      <c r="D1229" t="s">
        <v>17</v>
      </c>
      <c r="E1229" t="s">
        <v>12</v>
      </c>
      <c r="F1229">
        <v>137553530</v>
      </c>
      <c r="G1229">
        <v>137553600</v>
      </c>
      <c r="H1229">
        <v>137553601</v>
      </c>
      <c r="I1229">
        <v>137553608</v>
      </c>
    </row>
    <row r="1230" spans="1:9" x14ac:dyDescent="0.2">
      <c r="A1230" t="str">
        <f>"Actl7a"</f>
        <v>Actl7a</v>
      </c>
      <c r="B1230" t="s">
        <v>14</v>
      </c>
      <c r="C1230" t="s">
        <v>23</v>
      </c>
      <c r="D1230" t="s">
        <v>17</v>
      </c>
      <c r="E1230" t="s">
        <v>12</v>
      </c>
      <c r="F1230">
        <v>56743406</v>
      </c>
      <c r="G1230">
        <v>56743438</v>
      </c>
      <c r="H1230">
        <v>56743406</v>
      </c>
      <c r="I1230">
        <v>56743438</v>
      </c>
    </row>
    <row r="1231" spans="1:9" x14ac:dyDescent="0.2">
      <c r="A1231" t="str">
        <f>"Actl7b"</f>
        <v>Actl7b</v>
      </c>
      <c r="B1231" t="s">
        <v>14</v>
      </c>
      <c r="C1231" t="s">
        <v>23</v>
      </c>
      <c r="D1231" t="s">
        <v>11</v>
      </c>
      <c r="E1231" t="s">
        <v>12</v>
      </c>
      <c r="F1231">
        <v>56741403</v>
      </c>
      <c r="G1231">
        <v>56741417</v>
      </c>
      <c r="H1231">
        <v>56741423</v>
      </c>
      <c r="I1231">
        <v>56741435</v>
      </c>
    </row>
    <row r="1232" spans="1:9" x14ac:dyDescent="0.2">
      <c r="A1232" t="str">
        <f>"Actl9"</f>
        <v>Actl9</v>
      </c>
      <c r="B1232" t="s">
        <v>14</v>
      </c>
      <c r="C1232" t="s">
        <v>28</v>
      </c>
      <c r="D1232" t="s">
        <v>17</v>
      </c>
      <c r="E1232" t="s">
        <v>12</v>
      </c>
      <c r="F1232">
        <v>33432890</v>
      </c>
      <c r="G1232">
        <v>33432911</v>
      </c>
      <c r="H1232">
        <v>33432890</v>
      </c>
      <c r="I1232">
        <v>33432911</v>
      </c>
    </row>
    <row r="1233" spans="1:9" x14ac:dyDescent="0.2">
      <c r="A1233" t="str">
        <f>"Actn1"</f>
        <v>Actn1</v>
      </c>
      <c r="B1233" t="s">
        <v>14</v>
      </c>
      <c r="C1233" t="s">
        <v>16</v>
      </c>
      <c r="D1233" t="s">
        <v>11</v>
      </c>
      <c r="E1233" t="s">
        <v>12</v>
      </c>
      <c r="F1233">
        <v>80260356</v>
      </c>
      <c r="G1233">
        <v>80260371</v>
      </c>
      <c r="H1233">
        <v>80260142</v>
      </c>
      <c r="I1233">
        <v>80260209</v>
      </c>
    </row>
    <row r="1234" spans="1:9" x14ac:dyDescent="0.2">
      <c r="A1234" t="str">
        <f>"Actn2"</f>
        <v>Actn2</v>
      </c>
      <c r="B1234" t="s">
        <v>14</v>
      </c>
      <c r="C1234" t="s">
        <v>39</v>
      </c>
      <c r="D1234" t="s">
        <v>11</v>
      </c>
      <c r="E1234" t="s">
        <v>12</v>
      </c>
      <c r="F1234">
        <v>12340723</v>
      </c>
      <c r="G1234">
        <v>12340739</v>
      </c>
      <c r="H1234">
        <v>12340723</v>
      </c>
      <c r="I1234">
        <v>12340739</v>
      </c>
    </row>
    <row r="1235" spans="1:9" x14ac:dyDescent="0.2">
      <c r="A1235" t="str">
        <f>"Actn3"</f>
        <v>Actn3</v>
      </c>
      <c r="B1235" t="s">
        <v>14</v>
      </c>
      <c r="C1235" t="s">
        <v>10</v>
      </c>
      <c r="D1235" t="s">
        <v>11</v>
      </c>
      <c r="E1235" t="s">
        <v>12</v>
      </c>
      <c r="F1235">
        <v>4877882</v>
      </c>
      <c r="G1235">
        <v>4877899</v>
      </c>
      <c r="H1235">
        <v>4877882</v>
      </c>
      <c r="I1235">
        <v>4877899</v>
      </c>
    </row>
    <row r="1236" spans="1:9" x14ac:dyDescent="0.2">
      <c r="A1236" t="str">
        <f>"Actn4"</f>
        <v>Actn4</v>
      </c>
      <c r="B1236" t="s">
        <v>14</v>
      </c>
      <c r="C1236" t="s">
        <v>33</v>
      </c>
      <c r="D1236" t="s">
        <v>11</v>
      </c>
      <c r="E1236" t="s">
        <v>12</v>
      </c>
      <c r="F1236">
        <v>28962265</v>
      </c>
      <c r="G1236">
        <v>28962310</v>
      </c>
      <c r="H1236">
        <v>28962236</v>
      </c>
      <c r="I1236">
        <v>28962247</v>
      </c>
    </row>
    <row r="1237" spans="1:9" x14ac:dyDescent="0.2">
      <c r="A1237" t="str">
        <f>"Actr10"</f>
        <v>Actr10</v>
      </c>
      <c r="B1237" t="s">
        <v>14</v>
      </c>
      <c r="C1237" t="s">
        <v>16</v>
      </c>
      <c r="D1237" t="s">
        <v>17</v>
      </c>
      <c r="E1237" t="s">
        <v>12</v>
      </c>
      <c r="F1237">
        <v>70937865</v>
      </c>
      <c r="G1237">
        <v>70937939</v>
      </c>
      <c r="H1237">
        <v>70937865</v>
      </c>
      <c r="I1237">
        <v>70937939</v>
      </c>
    </row>
    <row r="1238" spans="1:9" x14ac:dyDescent="0.2">
      <c r="A1238" t="str">
        <f>"Actr1a"</f>
        <v>Actr1a</v>
      </c>
      <c r="B1238" t="s">
        <v>14</v>
      </c>
      <c r="C1238" t="s">
        <v>10</v>
      </c>
      <c r="D1238" t="s">
        <v>11</v>
      </c>
      <c r="E1238" t="s">
        <v>12</v>
      </c>
      <c r="F1238">
        <v>46395722</v>
      </c>
      <c r="G1238">
        <v>46395756</v>
      </c>
      <c r="H1238">
        <v>46395722</v>
      </c>
      <c r="I1238">
        <v>46395756</v>
      </c>
    </row>
    <row r="1239" spans="1:9" x14ac:dyDescent="0.2">
      <c r="A1239" t="str">
        <f>"Actr1b"</f>
        <v>Actr1b</v>
      </c>
      <c r="B1239" t="s">
        <v>14</v>
      </c>
      <c r="C1239" t="s">
        <v>19</v>
      </c>
      <c r="D1239" t="s">
        <v>11</v>
      </c>
      <c r="E1239" t="s">
        <v>12</v>
      </c>
      <c r="F1239">
        <v>36709904</v>
      </c>
      <c r="G1239">
        <v>36709978</v>
      </c>
      <c r="H1239">
        <v>36709676</v>
      </c>
      <c r="I1239">
        <v>36709697</v>
      </c>
    </row>
    <row r="1240" spans="1:9" x14ac:dyDescent="0.2">
      <c r="A1240" t="str">
        <f>"Actr2"</f>
        <v>Actr2</v>
      </c>
      <c r="B1240" t="s">
        <v>14</v>
      </c>
      <c r="C1240" t="s">
        <v>27</v>
      </c>
      <c r="D1240" t="s">
        <v>11</v>
      </c>
      <c r="E1240" t="s">
        <v>12</v>
      </c>
      <c r="F1240">
        <v>20112876</v>
      </c>
      <c r="G1240">
        <v>20112925</v>
      </c>
      <c r="H1240">
        <v>20112876</v>
      </c>
      <c r="I1240">
        <v>20112925</v>
      </c>
    </row>
    <row r="1241" spans="1:9" x14ac:dyDescent="0.2">
      <c r="A1241" t="str">
        <f>"Actr3"</f>
        <v>Actr3</v>
      </c>
      <c r="B1241" t="s">
        <v>14</v>
      </c>
      <c r="C1241" t="s">
        <v>19</v>
      </c>
      <c r="D1241" t="s">
        <v>11</v>
      </c>
      <c r="E1241" t="s">
        <v>12</v>
      </c>
      <c r="F1241">
        <v>125435474</v>
      </c>
      <c r="G1241">
        <v>125435532</v>
      </c>
      <c r="H1241">
        <v>125435535</v>
      </c>
      <c r="I1241">
        <v>125435557</v>
      </c>
    </row>
    <row r="1242" spans="1:9" x14ac:dyDescent="0.2">
      <c r="A1242" t="str">
        <f>"Actr3b"</f>
        <v>Actr3b</v>
      </c>
      <c r="B1242" t="s">
        <v>14</v>
      </c>
      <c r="C1242" t="s">
        <v>46</v>
      </c>
      <c r="D1242" t="s">
        <v>17</v>
      </c>
      <c r="E1242" t="s">
        <v>12</v>
      </c>
      <c r="F1242">
        <v>25759987</v>
      </c>
      <c r="G1242">
        <v>25760044</v>
      </c>
      <c r="H1242">
        <v>25759940</v>
      </c>
      <c r="I1242">
        <v>25759984</v>
      </c>
    </row>
    <row r="1243" spans="1:9" x14ac:dyDescent="0.2">
      <c r="A1243" t="str">
        <f>"Actr5"</f>
        <v>Actr5</v>
      </c>
      <c r="B1243" t="s">
        <v>14</v>
      </c>
      <c r="C1243" t="s">
        <v>26</v>
      </c>
      <c r="D1243" t="s">
        <v>17</v>
      </c>
      <c r="E1243" t="s">
        <v>12</v>
      </c>
      <c r="F1243">
        <v>158624903</v>
      </c>
      <c r="G1243">
        <v>158624930</v>
      </c>
      <c r="H1243">
        <v>158624882</v>
      </c>
      <c r="I1243">
        <v>158624896</v>
      </c>
    </row>
    <row r="1244" spans="1:9" x14ac:dyDescent="0.2">
      <c r="A1244" t="str">
        <f>"Actr6"</f>
        <v>Actr6</v>
      </c>
      <c r="B1244" t="s">
        <v>14</v>
      </c>
      <c r="C1244" t="s">
        <v>15</v>
      </c>
      <c r="D1244" t="s">
        <v>11</v>
      </c>
      <c r="E1244" t="s">
        <v>12</v>
      </c>
      <c r="F1244">
        <v>89732253</v>
      </c>
      <c r="G1244">
        <v>89732324</v>
      </c>
      <c r="H1244">
        <v>89732253</v>
      </c>
      <c r="I1244">
        <v>89732324</v>
      </c>
    </row>
    <row r="1245" spans="1:9" x14ac:dyDescent="0.2">
      <c r="A1245" t="str">
        <f>"Actr8"</f>
        <v>Actr8</v>
      </c>
      <c r="B1245" t="s">
        <v>14</v>
      </c>
      <c r="C1245" t="s">
        <v>41</v>
      </c>
      <c r="D1245" t="s">
        <v>17</v>
      </c>
      <c r="E1245" t="s">
        <v>12</v>
      </c>
      <c r="F1245">
        <v>29978373</v>
      </c>
      <c r="G1245">
        <v>29978418</v>
      </c>
      <c r="H1245">
        <v>29978423</v>
      </c>
      <c r="I1245">
        <v>29978434</v>
      </c>
    </row>
    <row r="1246" spans="1:9" x14ac:dyDescent="0.2">
      <c r="A1246" t="str">
        <f>"Actrt1"</f>
        <v>Actrt1</v>
      </c>
      <c r="B1246" t="s">
        <v>14</v>
      </c>
      <c r="C1246" t="s">
        <v>37</v>
      </c>
      <c r="D1246" t="s">
        <v>17</v>
      </c>
      <c r="E1246" t="s">
        <v>12</v>
      </c>
      <c r="F1246">
        <v>46328983</v>
      </c>
      <c r="G1246">
        <v>46328995</v>
      </c>
      <c r="H1246">
        <v>46328970</v>
      </c>
      <c r="I1246">
        <v>46328979</v>
      </c>
    </row>
    <row r="1247" spans="1:9" x14ac:dyDescent="0.2">
      <c r="A1247" t="str">
        <f>"Actrt2"</f>
        <v>Actrt2</v>
      </c>
      <c r="B1247" t="s">
        <v>14</v>
      </c>
      <c r="C1247" t="s">
        <v>23</v>
      </c>
      <c r="D1247" t="s">
        <v>11</v>
      </c>
      <c r="E1247" t="s">
        <v>12</v>
      </c>
      <c r="F1247">
        <v>154667863</v>
      </c>
      <c r="G1247">
        <v>154667868</v>
      </c>
      <c r="H1247">
        <v>154667863</v>
      </c>
      <c r="I1247">
        <v>154667868</v>
      </c>
    </row>
    <row r="1248" spans="1:9" x14ac:dyDescent="0.2">
      <c r="A1248" t="str">
        <f>"Actrt3"</f>
        <v>Actrt3</v>
      </c>
      <c r="B1248" t="s">
        <v>14</v>
      </c>
      <c r="C1248" t="s">
        <v>22</v>
      </c>
      <c r="D1248" t="s">
        <v>11</v>
      </c>
      <c r="E1248" t="s">
        <v>67</v>
      </c>
      <c r="F1248">
        <v>30599863</v>
      </c>
      <c r="G1248">
        <v>30599886</v>
      </c>
      <c r="H1248">
        <v>30599863</v>
      </c>
      <c r="I1248">
        <v>30599886</v>
      </c>
    </row>
    <row r="1249" spans="1:9" x14ac:dyDescent="0.2">
      <c r="A1249" t="str">
        <f>"Acvr1"</f>
        <v>Acvr1</v>
      </c>
      <c r="B1249" t="s">
        <v>14</v>
      </c>
      <c r="C1249" t="s">
        <v>26</v>
      </c>
      <c r="D1249" t="s">
        <v>11</v>
      </c>
      <c r="E1249" t="s">
        <v>12</v>
      </c>
      <c r="F1249">
        <v>58567157</v>
      </c>
      <c r="G1249">
        <v>58567288</v>
      </c>
      <c r="H1249">
        <v>58567048</v>
      </c>
      <c r="I1249">
        <v>58567094</v>
      </c>
    </row>
    <row r="1250" spans="1:9" x14ac:dyDescent="0.2">
      <c r="A1250" t="str">
        <f>"Acvr1b"</f>
        <v>Acvr1b</v>
      </c>
      <c r="B1250" t="s">
        <v>14</v>
      </c>
      <c r="C1250" t="s">
        <v>25</v>
      </c>
      <c r="D1250" t="s">
        <v>17</v>
      </c>
      <c r="E1250" t="s">
        <v>12</v>
      </c>
      <c r="F1250">
        <v>101174096</v>
      </c>
      <c r="G1250">
        <v>101174148</v>
      </c>
      <c r="H1250">
        <v>101174083</v>
      </c>
      <c r="I1250">
        <v>101174090</v>
      </c>
    </row>
    <row r="1251" spans="1:9" x14ac:dyDescent="0.2">
      <c r="A1251" t="str">
        <f>"Acvr1c"</f>
        <v>Acvr1c</v>
      </c>
      <c r="B1251" t="s">
        <v>14</v>
      </c>
      <c r="C1251" t="s">
        <v>26</v>
      </c>
      <c r="D1251" t="s">
        <v>11</v>
      </c>
      <c r="E1251" t="s">
        <v>12</v>
      </c>
      <c r="F1251">
        <v>58357778</v>
      </c>
      <c r="G1251">
        <v>58357817</v>
      </c>
      <c r="H1251">
        <v>58357896</v>
      </c>
      <c r="I1251">
        <v>58357920</v>
      </c>
    </row>
    <row r="1252" spans="1:9" x14ac:dyDescent="0.2">
      <c r="A1252" t="str">
        <f>"Acvr2a"</f>
        <v>Acvr2a</v>
      </c>
      <c r="B1252" t="s">
        <v>14</v>
      </c>
      <c r="C1252" t="s">
        <v>26</v>
      </c>
      <c r="D1252" t="s">
        <v>17</v>
      </c>
      <c r="E1252" t="s">
        <v>12</v>
      </c>
      <c r="F1252">
        <v>48814124</v>
      </c>
      <c r="G1252">
        <v>48814173</v>
      </c>
      <c r="H1252">
        <v>48814176</v>
      </c>
      <c r="I1252">
        <v>48814219</v>
      </c>
    </row>
    <row r="1253" spans="1:9" x14ac:dyDescent="0.2">
      <c r="A1253" t="str">
        <f>"Acvr2b"</f>
        <v>Acvr2b</v>
      </c>
      <c r="B1253" t="s">
        <v>14</v>
      </c>
      <c r="C1253" t="s">
        <v>24</v>
      </c>
      <c r="D1253" t="s">
        <v>17</v>
      </c>
      <c r="E1253" t="s">
        <v>12</v>
      </c>
      <c r="F1253">
        <v>119402081</v>
      </c>
      <c r="G1253">
        <v>119402153</v>
      </c>
      <c r="H1253">
        <v>119402081</v>
      </c>
      <c r="I1253">
        <v>119402153</v>
      </c>
    </row>
    <row r="1254" spans="1:9" x14ac:dyDescent="0.2">
      <c r="A1254" t="str">
        <f>"Acvrl1"</f>
        <v>Acvrl1</v>
      </c>
      <c r="B1254" t="s">
        <v>14</v>
      </c>
      <c r="C1254" t="s">
        <v>25</v>
      </c>
      <c r="D1254" t="s">
        <v>17</v>
      </c>
      <c r="E1254" t="s">
        <v>12</v>
      </c>
      <c r="F1254">
        <v>101128927</v>
      </c>
      <c r="G1254">
        <v>101128948</v>
      </c>
      <c r="H1254">
        <v>101128544</v>
      </c>
      <c r="I1254">
        <v>101128562</v>
      </c>
    </row>
    <row r="1255" spans="1:9" x14ac:dyDescent="0.2">
      <c r="A1255" t="str">
        <f>"Acy1"</f>
        <v>Acy1</v>
      </c>
      <c r="B1255" t="s">
        <v>14</v>
      </c>
      <c r="C1255" t="s">
        <v>24</v>
      </c>
      <c r="D1255" t="s">
        <v>11</v>
      </c>
      <c r="E1255" t="s">
        <v>12</v>
      </c>
      <c r="F1255">
        <v>106438169</v>
      </c>
      <c r="G1255">
        <v>106438198</v>
      </c>
      <c r="H1255">
        <v>106438331</v>
      </c>
      <c r="I1255">
        <v>106438391</v>
      </c>
    </row>
    <row r="1256" spans="1:9" x14ac:dyDescent="0.2">
      <c r="A1256" t="str">
        <f>"Acy3"</f>
        <v>Acy3</v>
      </c>
      <c r="B1256" t="s">
        <v>14</v>
      </c>
      <c r="C1256" t="s">
        <v>10</v>
      </c>
      <c r="D1256" t="s">
        <v>17</v>
      </c>
      <c r="E1256" t="s">
        <v>12</v>
      </c>
      <c r="F1256">
        <v>3986564</v>
      </c>
      <c r="G1256">
        <v>3986579</v>
      </c>
      <c r="H1256">
        <v>3986564</v>
      </c>
      <c r="I1256">
        <v>3986579</v>
      </c>
    </row>
    <row r="1257" spans="1:9" x14ac:dyDescent="0.2">
      <c r="A1257" t="str">
        <f>"Acyp1"</f>
        <v>Acyp1</v>
      </c>
      <c r="B1257" t="s">
        <v>14</v>
      </c>
      <c r="C1257" t="s">
        <v>16</v>
      </c>
      <c r="D1257" t="s">
        <v>11</v>
      </c>
      <c r="E1257" t="s">
        <v>12</v>
      </c>
      <c r="F1257">
        <v>85280361</v>
      </c>
      <c r="G1257">
        <v>85280435</v>
      </c>
      <c r="H1257">
        <v>85280342</v>
      </c>
      <c r="I1257">
        <v>85280347</v>
      </c>
    </row>
    <row r="1258" spans="1:9" x14ac:dyDescent="0.2">
      <c r="A1258" t="str">
        <f>"Acyp2"</f>
        <v>Acyp2</v>
      </c>
      <c r="B1258" t="s">
        <v>14</v>
      </c>
      <c r="C1258" t="s">
        <v>27</v>
      </c>
      <c r="D1258" t="s">
        <v>11</v>
      </c>
      <c r="E1258" t="s">
        <v>12</v>
      </c>
      <c r="F1258">
        <v>30649375</v>
      </c>
      <c r="G1258">
        <v>30649413</v>
      </c>
      <c r="H1258">
        <v>30649417</v>
      </c>
      <c r="I1258">
        <v>30649445</v>
      </c>
    </row>
    <row r="1259" spans="1:9" x14ac:dyDescent="0.2">
      <c r="A1259" t="str">
        <f>"Ada"</f>
        <v>Ada</v>
      </c>
      <c r="B1259" t="s">
        <v>14</v>
      </c>
      <c r="C1259" t="s">
        <v>26</v>
      </c>
      <c r="D1259" t="s">
        <v>11</v>
      </c>
      <c r="E1259" t="s">
        <v>12</v>
      </c>
      <c r="F1259">
        <v>163750169</v>
      </c>
      <c r="G1259">
        <v>163750183</v>
      </c>
      <c r="H1259">
        <v>163750169</v>
      </c>
      <c r="I1259">
        <v>163750183</v>
      </c>
    </row>
    <row r="1260" spans="1:9" x14ac:dyDescent="0.2">
      <c r="A1260" t="str">
        <f>"Adad1"</f>
        <v>Adad1</v>
      </c>
      <c r="B1260" t="s">
        <v>14</v>
      </c>
      <c r="C1260" t="s">
        <v>22</v>
      </c>
      <c r="D1260" t="s">
        <v>17</v>
      </c>
      <c r="E1260" t="s">
        <v>12</v>
      </c>
      <c r="F1260">
        <v>37063674</v>
      </c>
      <c r="G1260">
        <v>37063697</v>
      </c>
      <c r="H1260">
        <v>37063644</v>
      </c>
      <c r="I1260">
        <v>37063672</v>
      </c>
    </row>
    <row r="1261" spans="1:9" x14ac:dyDescent="0.2">
      <c r="A1261" t="str">
        <f>"Adad2"</f>
        <v>Adad2</v>
      </c>
      <c r="B1261" t="s">
        <v>14</v>
      </c>
      <c r="C1261" t="s">
        <v>30</v>
      </c>
      <c r="D1261" t="s">
        <v>17</v>
      </c>
      <c r="E1261" t="s">
        <v>12</v>
      </c>
      <c r="F1261">
        <v>119612738</v>
      </c>
      <c r="G1261">
        <v>119612753</v>
      </c>
      <c r="H1261">
        <v>119612711</v>
      </c>
      <c r="I1261">
        <v>119612719</v>
      </c>
    </row>
    <row r="1262" spans="1:9" x14ac:dyDescent="0.2">
      <c r="A1262" t="str">
        <f>"Adal"</f>
        <v>Adal</v>
      </c>
      <c r="B1262" t="s">
        <v>14</v>
      </c>
      <c r="C1262" t="s">
        <v>26</v>
      </c>
      <c r="D1262" t="s">
        <v>17</v>
      </c>
      <c r="E1262" t="s">
        <v>12</v>
      </c>
      <c r="F1262">
        <v>121140407</v>
      </c>
      <c r="G1262">
        <v>121140461</v>
      </c>
      <c r="H1262">
        <v>121140501</v>
      </c>
      <c r="I1262">
        <v>121140530</v>
      </c>
    </row>
    <row r="1263" spans="1:9" x14ac:dyDescent="0.2">
      <c r="A1263" t="str">
        <f>"Adam10"</f>
        <v>Adam10</v>
      </c>
      <c r="B1263" t="s">
        <v>14</v>
      </c>
      <c r="C1263" t="s">
        <v>24</v>
      </c>
      <c r="D1263" t="s">
        <v>17</v>
      </c>
      <c r="E1263" t="s">
        <v>12</v>
      </c>
      <c r="F1263">
        <v>70679021</v>
      </c>
      <c r="G1263">
        <v>70679116</v>
      </c>
      <c r="H1263">
        <v>70678950</v>
      </c>
      <c r="I1263">
        <v>70679010</v>
      </c>
    </row>
    <row r="1264" spans="1:9" x14ac:dyDescent="0.2">
      <c r="A1264" t="str">
        <f>"Adam11"</f>
        <v>Adam11</v>
      </c>
      <c r="B1264" t="s">
        <v>14</v>
      </c>
      <c r="C1264" t="s">
        <v>27</v>
      </c>
      <c r="D1264" t="s">
        <v>17</v>
      </c>
      <c r="E1264" t="s">
        <v>12</v>
      </c>
      <c r="F1264">
        <v>102761563</v>
      </c>
      <c r="G1264">
        <v>102761620</v>
      </c>
      <c r="H1264">
        <v>102761402</v>
      </c>
      <c r="I1264">
        <v>102761448</v>
      </c>
    </row>
    <row r="1265" spans="1:9" x14ac:dyDescent="0.2">
      <c r="A1265" t="str">
        <f>"Adam12"</f>
        <v>Adam12</v>
      </c>
      <c r="B1265" t="s">
        <v>14</v>
      </c>
      <c r="C1265" t="s">
        <v>33</v>
      </c>
      <c r="D1265" t="s">
        <v>11</v>
      </c>
      <c r="E1265" t="s">
        <v>12</v>
      </c>
      <c r="F1265">
        <v>134224989</v>
      </c>
      <c r="G1265">
        <v>134225042</v>
      </c>
      <c r="H1265">
        <v>134225088</v>
      </c>
      <c r="I1265">
        <v>134225104</v>
      </c>
    </row>
    <row r="1266" spans="1:9" x14ac:dyDescent="0.2">
      <c r="A1266" t="str">
        <f>"Adam15"</f>
        <v>Adam15</v>
      </c>
      <c r="B1266" t="s">
        <v>14</v>
      </c>
      <c r="C1266" t="s">
        <v>22</v>
      </c>
      <c r="D1266" t="s">
        <v>11</v>
      </c>
      <c r="E1266" t="s">
        <v>12</v>
      </c>
      <c r="F1266">
        <v>89349968</v>
      </c>
      <c r="G1266">
        <v>89350001</v>
      </c>
      <c r="H1266">
        <v>89349939</v>
      </c>
      <c r="I1266">
        <v>89349959</v>
      </c>
    </row>
    <row r="1267" spans="1:9" x14ac:dyDescent="0.2">
      <c r="A1267" t="str">
        <f>"Adam17"</f>
        <v>Adam17</v>
      </c>
      <c r="B1267" t="s">
        <v>14</v>
      </c>
      <c r="C1267" t="s">
        <v>16</v>
      </c>
      <c r="D1267" t="s">
        <v>11</v>
      </c>
      <c r="E1267" t="s">
        <v>12</v>
      </c>
      <c r="F1267">
        <v>21373526</v>
      </c>
      <c r="G1267">
        <v>21373546</v>
      </c>
      <c r="H1267">
        <v>21373550</v>
      </c>
      <c r="I1267">
        <v>21373592</v>
      </c>
    </row>
    <row r="1268" spans="1:9" x14ac:dyDescent="0.2">
      <c r="A1268" t="str">
        <f>"Adam18"</f>
        <v>Adam18</v>
      </c>
      <c r="B1268" t="s">
        <v>14</v>
      </c>
      <c r="C1268" t="s">
        <v>30</v>
      </c>
      <c r="D1268" t="s">
        <v>11</v>
      </c>
      <c r="E1268" t="s">
        <v>12</v>
      </c>
      <c r="F1268">
        <v>24674707</v>
      </c>
      <c r="G1268">
        <v>24674740</v>
      </c>
      <c r="H1268">
        <v>24674751</v>
      </c>
      <c r="I1268">
        <v>24674759</v>
      </c>
    </row>
    <row r="1269" spans="1:9" x14ac:dyDescent="0.2">
      <c r="A1269" t="str">
        <f>"Adam19"</f>
        <v>Adam19</v>
      </c>
      <c r="B1269" t="s">
        <v>14</v>
      </c>
      <c r="C1269" t="s">
        <v>27</v>
      </c>
      <c r="D1269" t="s">
        <v>17</v>
      </c>
      <c r="E1269" t="s">
        <v>12</v>
      </c>
      <c r="F1269">
        <v>46055973</v>
      </c>
      <c r="G1269">
        <v>46056068</v>
      </c>
      <c r="H1269">
        <v>46055948</v>
      </c>
      <c r="I1269">
        <v>46055966</v>
      </c>
    </row>
    <row r="1270" spans="1:9" x14ac:dyDescent="0.2">
      <c r="A1270" t="str">
        <f>"Adam1a"</f>
        <v>Adam1a</v>
      </c>
      <c r="B1270" t="s">
        <v>14</v>
      </c>
      <c r="C1270" t="s">
        <v>46</v>
      </c>
      <c r="D1270" t="s">
        <v>11</v>
      </c>
      <c r="E1270" t="s">
        <v>12</v>
      </c>
      <c r="F1270">
        <v>121521573</v>
      </c>
      <c r="G1270">
        <v>121521599</v>
      </c>
      <c r="H1270">
        <v>121521560</v>
      </c>
      <c r="I1270">
        <v>121521563</v>
      </c>
    </row>
    <row r="1271" spans="1:9" x14ac:dyDescent="0.2">
      <c r="A1271" t="str">
        <f>"Adam1b"</f>
        <v>Adam1b</v>
      </c>
      <c r="B1271" t="s">
        <v>14</v>
      </c>
      <c r="C1271" t="s">
        <v>46</v>
      </c>
      <c r="D1271" t="s">
        <v>11</v>
      </c>
      <c r="E1271" t="s">
        <v>12</v>
      </c>
      <c r="F1271">
        <v>121503397</v>
      </c>
      <c r="G1271">
        <v>121503440</v>
      </c>
      <c r="H1271">
        <v>121503397</v>
      </c>
      <c r="I1271">
        <v>121503440</v>
      </c>
    </row>
    <row r="1272" spans="1:9" x14ac:dyDescent="0.2">
      <c r="A1272" t="str">
        <f>"Adam2"</f>
        <v>Adam2</v>
      </c>
      <c r="B1272" t="s">
        <v>14</v>
      </c>
      <c r="C1272" t="s">
        <v>41</v>
      </c>
      <c r="D1272" t="s">
        <v>11</v>
      </c>
      <c r="E1272" t="s">
        <v>12</v>
      </c>
      <c r="F1272">
        <v>66077694</v>
      </c>
      <c r="G1272">
        <v>66077740</v>
      </c>
      <c r="H1272">
        <v>66077741</v>
      </c>
      <c r="I1272">
        <v>66077761</v>
      </c>
    </row>
    <row r="1273" spans="1:9" x14ac:dyDescent="0.2">
      <c r="A1273" t="str">
        <f>"Adam20"</f>
        <v>Adam20</v>
      </c>
      <c r="B1273" t="s">
        <v>14</v>
      </c>
      <c r="C1273" t="s">
        <v>30</v>
      </c>
      <c r="D1273" t="s">
        <v>17</v>
      </c>
      <c r="E1273" t="s">
        <v>67</v>
      </c>
      <c r="F1273">
        <v>40793272</v>
      </c>
      <c r="G1273">
        <v>40793297</v>
      </c>
      <c r="H1273">
        <v>40793272</v>
      </c>
      <c r="I1273">
        <v>40793297</v>
      </c>
    </row>
    <row r="1274" spans="1:9" x14ac:dyDescent="0.2">
      <c r="A1274" t="str">
        <f>"Adam21"</f>
        <v>Adam21</v>
      </c>
      <c r="B1274" t="s">
        <v>14</v>
      </c>
      <c r="C1274" t="s">
        <v>16</v>
      </c>
      <c r="D1274" t="s">
        <v>11</v>
      </c>
      <c r="E1274" t="s">
        <v>12</v>
      </c>
      <c r="F1274">
        <v>81568209</v>
      </c>
      <c r="G1274">
        <v>81568240</v>
      </c>
      <c r="H1274">
        <v>81568209</v>
      </c>
      <c r="I1274">
        <v>81568240</v>
      </c>
    </row>
    <row r="1275" spans="1:9" x14ac:dyDescent="0.2">
      <c r="A1275" t="str">
        <f>"Adam22"</f>
        <v>Adam22</v>
      </c>
      <c r="B1275" t="s">
        <v>14</v>
      </c>
      <c r="C1275" t="s">
        <v>46</v>
      </c>
      <c r="D1275" t="s">
        <v>11</v>
      </c>
      <c r="E1275" t="s">
        <v>12</v>
      </c>
      <c r="F1275">
        <v>8368049</v>
      </c>
      <c r="G1275">
        <v>8368107</v>
      </c>
      <c r="H1275">
        <v>8368118</v>
      </c>
      <c r="I1275">
        <v>8368152</v>
      </c>
    </row>
    <row r="1276" spans="1:9" x14ac:dyDescent="0.2">
      <c r="A1276" t="str">
        <f>"Adam23"</f>
        <v>Adam23</v>
      </c>
      <c r="B1276" t="s">
        <v>14</v>
      </c>
      <c r="C1276" t="s">
        <v>19</v>
      </c>
      <c r="D1276" t="s">
        <v>17</v>
      </c>
      <c r="E1276" t="s">
        <v>12</v>
      </c>
      <c r="F1276">
        <v>63445842</v>
      </c>
      <c r="G1276">
        <v>63445943</v>
      </c>
      <c r="H1276">
        <v>63445842</v>
      </c>
      <c r="I1276">
        <v>63445943</v>
      </c>
    </row>
    <row r="1277" spans="1:9" x14ac:dyDescent="0.2">
      <c r="A1277" t="str">
        <f>"Adam24"</f>
        <v>Adam24</v>
      </c>
      <c r="B1277" t="s">
        <v>14</v>
      </c>
      <c r="C1277" t="s">
        <v>30</v>
      </c>
      <c r="D1277" t="s">
        <v>17</v>
      </c>
      <c r="E1277" t="s">
        <v>12</v>
      </c>
      <c r="F1277">
        <v>40675059</v>
      </c>
      <c r="G1277">
        <v>40675086</v>
      </c>
      <c r="H1277">
        <v>40675048</v>
      </c>
      <c r="I1277">
        <v>40675056</v>
      </c>
    </row>
    <row r="1278" spans="1:9" x14ac:dyDescent="0.2">
      <c r="A1278" t="str">
        <f>"Adam25"</f>
        <v>Adam25</v>
      </c>
      <c r="B1278" t="s">
        <v>14</v>
      </c>
      <c r="C1278" t="s">
        <v>30</v>
      </c>
      <c r="D1278" t="s">
        <v>17</v>
      </c>
      <c r="E1278" t="s">
        <v>12</v>
      </c>
      <c r="F1278">
        <v>40752227</v>
      </c>
      <c r="G1278">
        <v>40752245</v>
      </c>
      <c r="H1278">
        <v>40752227</v>
      </c>
      <c r="I1278">
        <v>40752245</v>
      </c>
    </row>
    <row r="1279" spans="1:9" x14ac:dyDescent="0.2">
      <c r="A1279" t="str">
        <f>"Adam26a"</f>
        <v>Adam26a</v>
      </c>
      <c r="B1279" t="s">
        <v>2112</v>
      </c>
      <c r="C1279" t="s">
        <v>30</v>
      </c>
      <c r="D1279" t="s">
        <v>11</v>
      </c>
      <c r="E1279" t="s">
        <v>20</v>
      </c>
      <c r="F1279">
        <v>43576706</v>
      </c>
      <c r="G1279">
        <v>43576706</v>
      </c>
      <c r="H1279">
        <v>43576706</v>
      </c>
      <c r="I1279">
        <v>43576706</v>
      </c>
    </row>
    <row r="1280" spans="1:9" x14ac:dyDescent="0.2">
      <c r="A1280" t="str">
        <f>"Adam26b"</f>
        <v>Adam26b</v>
      </c>
      <c r="B1280" t="s">
        <v>2113</v>
      </c>
      <c r="C1280" t="s">
        <v>30</v>
      </c>
      <c r="D1280" t="s">
        <v>11</v>
      </c>
      <c r="E1280" t="s">
        <v>20</v>
      </c>
      <c r="F1280">
        <v>43528136</v>
      </c>
      <c r="G1280">
        <v>43528136</v>
      </c>
      <c r="H1280">
        <v>43528136</v>
      </c>
      <c r="I1280">
        <v>43528136</v>
      </c>
    </row>
    <row r="1281" spans="1:9" x14ac:dyDescent="0.2">
      <c r="A1281" t="str">
        <f>"Adam28"</f>
        <v>Adam28</v>
      </c>
      <c r="B1281" t="s">
        <v>14</v>
      </c>
      <c r="C1281" t="s">
        <v>41</v>
      </c>
      <c r="D1281" t="s">
        <v>11</v>
      </c>
      <c r="E1281" t="s">
        <v>12</v>
      </c>
      <c r="F1281">
        <v>68655724</v>
      </c>
      <c r="G1281">
        <v>68655751</v>
      </c>
      <c r="H1281">
        <v>68655804</v>
      </c>
      <c r="I1281">
        <v>68655817</v>
      </c>
    </row>
    <row r="1282" spans="1:9" x14ac:dyDescent="0.2">
      <c r="A1282" t="str">
        <f>"Adam29"</f>
        <v>Adam29</v>
      </c>
      <c r="B1282" t="s">
        <v>14</v>
      </c>
      <c r="C1282" t="s">
        <v>30</v>
      </c>
      <c r="D1282" t="s">
        <v>11</v>
      </c>
      <c r="E1282" t="s">
        <v>12</v>
      </c>
      <c r="F1282">
        <v>55906963</v>
      </c>
      <c r="G1282">
        <v>55906977</v>
      </c>
      <c r="H1282">
        <v>55906950</v>
      </c>
      <c r="I1282">
        <v>55906958</v>
      </c>
    </row>
    <row r="1283" spans="1:9" x14ac:dyDescent="0.2">
      <c r="A1283" t="str">
        <f>"Adam3"</f>
        <v>Adam3</v>
      </c>
      <c r="B1283" t="s">
        <v>14</v>
      </c>
      <c r="C1283" t="s">
        <v>30</v>
      </c>
      <c r="D1283" t="s">
        <v>11</v>
      </c>
      <c r="E1283" t="s">
        <v>12</v>
      </c>
      <c r="F1283">
        <v>24725762</v>
      </c>
      <c r="G1283">
        <v>24725818</v>
      </c>
      <c r="H1283">
        <v>24725762</v>
      </c>
      <c r="I1283">
        <v>24725818</v>
      </c>
    </row>
    <row r="1284" spans="1:9" x14ac:dyDescent="0.2">
      <c r="A1284" t="str">
        <f>"Adam30"</f>
        <v>Adam30</v>
      </c>
      <c r="B1284" t="s">
        <v>14</v>
      </c>
      <c r="C1284" t="s">
        <v>22</v>
      </c>
      <c r="D1284" t="s">
        <v>17</v>
      </c>
      <c r="E1284" t="s">
        <v>12</v>
      </c>
      <c r="F1284">
        <v>98160623</v>
      </c>
      <c r="G1284">
        <v>98160639</v>
      </c>
      <c r="H1284">
        <v>98160623</v>
      </c>
      <c r="I1284">
        <v>98160639</v>
      </c>
    </row>
    <row r="1285" spans="1:9" x14ac:dyDescent="0.2">
      <c r="A1285" t="str">
        <f>"Adam32"</f>
        <v>Adam32</v>
      </c>
      <c r="B1285" t="s">
        <v>14</v>
      </c>
      <c r="C1285" t="s">
        <v>30</v>
      </c>
      <c r="D1285" t="s">
        <v>11</v>
      </c>
      <c r="E1285" t="s">
        <v>12</v>
      </c>
      <c r="F1285">
        <v>24948771</v>
      </c>
      <c r="G1285">
        <v>24948829</v>
      </c>
      <c r="H1285">
        <v>24948771</v>
      </c>
      <c r="I1285">
        <v>24948829</v>
      </c>
    </row>
    <row r="1286" spans="1:9" x14ac:dyDescent="0.2">
      <c r="A1286" t="str">
        <f>"Adam33"</f>
        <v>Adam33</v>
      </c>
      <c r="B1286" t="s">
        <v>9</v>
      </c>
      <c r="C1286" t="s">
        <v>26</v>
      </c>
      <c r="D1286" t="s">
        <v>11</v>
      </c>
      <c r="E1286" t="s">
        <v>12</v>
      </c>
      <c r="F1286">
        <v>131063508</v>
      </c>
      <c r="G1286">
        <v>131063559</v>
      </c>
      <c r="H1286">
        <v>131063508</v>
      </c>
      <c r="I1286">
        <v>131063559</v>
      </c>
    </row>
    <row r="1287" spans="1:9" x14ac:dyDescent="0.2">
      <c r="A1287" t="str">
        <f>"Adam33"</f>
        <v>Adam33</v>
      </c>
      <c r="B1287" t="s">
        <v>13</v>
      </c>
      <c r="C1287" t="s">
        <v>26</v>
      </c>
      <c r="D1287" t="s">
        <v>11</v>
      </c>
      <c r="E1287" t="s">
        <v>12</v>
      </c>
      <c r="F1287">
        <v>131054558</v>
      </c>
      <c r="G1287">
        <v>131054582</v>
      </c>
      <c r="H1287">
        <v>131054558</v>
      </c>
      <c r="I1287">
        <v>131054582</v>
      </c>
    </row>
    <row r="1288" spans="1:9" x14ac:dyDescent="0.2">
      <c r="A1288" t="str">
        <f>"Adam34"</f>
        <v>Adam34</v>
      </c>
      <c r="B1288" t="s">
        <v>14</v>
      </c>
      <c r="C1288" t="s">
        <v>30</v>
      </c>
      <c r="D1288" t="s">
        <v>11</v>
      </c>
      <c r="E1288" t="s">
        <v>12</v>
      </c>
      <c r="F1288">
        <v>43699489</v>
      </c>
      <c r="G1288">
        <v>43699506</v>
      </c>
      <c r="H1288">
        <v>43699489</v>
      </c>
      <c r="I1288">
        <v>43699506</v>
      </c>
    </row>
    <row r="1289" spans="1:9" x14ac:dyDescent="0.2">
      <c r="A1289" t="str">
        <f>"Adam39"</f>
        <v>Adam39</v>
      </c>
      <c r="B1289" t="s">
        <v>14</v>
      </c>
      <c r="C1289" t="s">
        <v>30</v>
      </c>
      <c r="D1289" t="s">
        <v>17</v>
      </c>
      <c r="E1289" t="s">
        <v>12</v>
      </c>
      <c r="F1289">
        <v>40823026</v>
      </c>
      <c r="G1289">
        <v>40823065</v>
      </c>
      <c r="H1289">
        <v>40823026</v>
      </c>
      <c r="I1289">
        <v>40823065</v>
      </c>
    </row>
    <row r="1290" spans="1:9" x14ac:dyDescent="0.2">
      <c r="A1290" t="str">
        <f>"Adam4"</f>
        <v>Adam4</v>
      </c>
      <c r="B1290" t="s">
        <v>14</v>
      </c>
      <c r="C1290" t="s">
        <v>16</v>
      </c>
      <c r="D1290" t="s">
        <v>11</v>
      </c>
      <c r="E1290" t="s">
        <v>12</v>
      </c>
      <c r="F1290">
        <v>81421910</v>
      </c>
      <c r="G1290">
        <v>81421921</v>
      </c>
      <c r="H1290">
        <v>81421910</v>
      </c>
      <c r="I1290">
        <v>81421921</v>
      </c>
    </row>
    <row r="1291" spans="1:9" x14ac:dyDescent="0.2">
      <c r="A1291" t="str">
        <f>"Adam5"</f>
        <v>Adam5</v>
      </c>
      <c r="B1291" t="s">
        <v>14</v>
      </c>
      <c r="C1291" t="s">
        <v>30</v>
      </c>
      <c r="D1291" t="s">
        <v>11</v>
      </c>
      <c r="E1291" t="s">
        <v>12</v>
      </c>
      <c r="F1291">
        <v>24824016</v>
      </c>
      <c r="G1291">
        <v>24824045</v>
      </c>
      <c r="H1291">
        <v>24824049</v>
      </c>
      <c r="I1291">
        <v>24824059</v>
      </c>
    </row>
    <row r="1292" spans="1:9" x14ac:dyDescent="0.2">
      <c r="A1292" t="str">
        <f>"Adam6a"</f>
        <v>Adam6a</v>
      </c>
      <c r="B1292" t="s">
        <v>14</v>
      </c>
      <c r="C1292" t="s">
        <v>16</v>
      </c>
      <c r="D1292" t="s">
        <v>17</v>
      </c>
      <c r="E1292" t="s">
        <v>12</v>
      </c>
      <c r="F1292">
        <v>113543953</v>
      </c>
      <c r="G1292">
        <v>113543970</v>
      </c>
      <c r="H1292">
        <v>113543953</v>
      </c>
      <c r="I1292">
        <v>113543970</v>
      </c>
    </row>
    <row r="1293" spans="1:9" x14ac:dyDescent="0.2">
      <c r="A1293" t="str">
        <f>"Adam6b"</f>
        <v>Adam6b</v>
      </c>
      <c r="B1293" t="s">
        <v>14</v>
      </c>
      <c r="C1293" t="s">
        <v>16</v>
      </c>
      <c r="D1293" t="s">
        <v>17</v>
      </c>
      <c r="E1293" t="s">
        <v>12</v>
      </c>
      <c r="F1293">
        <v>113489510</v>
      </c>
      <c r="G1293">
        <v>113489524</v>
      </c>
      <c r="H1293">
        <v>113489510</v>
      </c>
      <c r="I1293">
        <v>113489524</v>
      </c>
    </row>
    <row r="1294" spans="1:9" x14ac:dyDescent="0.2">
      <c r="A1294" t="str">
        <f>"Adam7"</f>
        <v>Adam7</v>
      </c>
      <c r="B1294" t="s">
        <v>14</v>
      </c>
      <c r="C1294" t="s">
        <v>41</v>
      </c>
      <c r="D1294" t="s">
        <v>11</v>
      </c>
      <c r="E1294" t="s">
        <v>12</v>
      </c>
      <c r="F1294">
        <v>68533731</v>
      </c>
      <c r="G1294">
        <v>68533757</v>
      </c>
      <c r="H1294">
        <v>68533762</v>
      </c>
      <c r="I1294">
        <v>68533781</v>
      </c>
    </row>
    <row r="1295" spans="1:9" x14ac:dyDescent="0.2">
      <c r="A1295" t="str">
        <f>"Adam8"</f>
        <v>Adam8</v>
      </c>
      <c r="B1295" t="s">
        <v>14</v>
      </c>
      <c r="C1295" t="s">
        <v>33</v>
      </c>
      <c r="D1295" t="s">
        <v>11</v>
      </c>
      <c r="E1295" t="s">
        <v>12</v>
      </c>
      <c r="F1295">
        <v>139992501</v>
      </c>
      <c r="G1295">
        <v>139992520</v>
      </c>
      <c r="H1295">
        <v>139992475</v>
      </c>
      <c r="I1295">
        <v>139992500</v>
      </c>
    </row>
    <row r="1296" spans="1:9" x14ac:dyDescent="0.2">
      <c r="A1296" t="str">
        <f>"Adam9"</f>
        <v>Adam9</v>
      </c>
      <c r="B1296" t="s">
        <v>14</v>
      </c>
      <c r="C1296" t="s">
        <v>30</v>
      </c>
      <c r="D1296" t="s">
        <v>11</v>
      </c>
      <c r="E1296" t="s">
        <v>12</v>
      </c>
      <c r="F1296">
        <v>25016743</v>
      </c>
      <c r="G1296">
        <v>25016877</v>
      </c>
      <c r="H1296">
        <v>25016901</v>
      </c>
      <c r="I1296">
        <v>25016924</v>
      </c>
    </row>
    <row r="1297" spans="1:9" x14ac:dyDescent="0.2">
      <c r="A1297" t="str">
        <f>"Adamdec1"</f>
        <v>Adamdec1</v>
      </c>
      <c r="B1297" t="s">
        <v>14</v>
      </c>
      <c r="C1297" t="s">
        <v>41</v>
      </c>
      <c r="D1297" t="s">
        <v>11</v>
      </c>
      <c r="E1297" t="s">
        <v>12</v>
      </c>
      <c r="F1297">
        <v>68582078</v>
      </c>
      <c r="G1297">
        <v>68582092</v>
      </c>
      <c r="H1297">
        <v>68582097</v>
      </c>
      <c r="I1297">
        <v>68582121</v>
      </c>
    </row>
    <row r="1298" spans="1:9" x14ac:dyDescent="0.2">
      <c r="A1298" t="str">
        <f>"Adamts1"</f>
        <v>Adamts1</v>
      </c>
      <c r="B1298" t="s">
        <v>14</v>
      </c>
      <c r="C1298" t="s">
        <v>31</v>
      </c>
      <c r="D1298" t="s">
        <v>11</v>
      </c>
      <c r="E1298" t="s">
        <v>12</v>
      </c>
      <c r="F1298">
        <v>85803106</v>
      </c>
      <c r="G1298">
        <v>85803121</v>
      </c>
      <c r="H1298">
        <v>85803336</v>
      </c>
      <c r="I1298">
        <v>85803360</v>
      </c>
    </row>
    <row r="1299" spans="1:9" x14ac:dyDescent="0.2">
      <c r="A1299" t="str">
        <f>"Adamts10"</f>
        <v>Adamts10</v>
      </c>
      <c r="B1299" t="s">
        <v>14</v>
      </c>
      <c r="C1299" t="s">
        <v>28</v>
      </c>
      <c r="D1299" t="s">
        <v>17</v>
      </c>
      <c r="E1299" t="s">
        <v>12</v>
      </c>
      <c r="F1299">
        <v>33524170</v>
      </c>
      <c r="G1299">
        <v>33524231</v>
      </c>
      <c r="H1299">
        <v>33524109</v>
      </c>
      <c r="I1299">
        <v>33524118</v>
      </c>
    </row>
    <row r="1300" spans="1:9" x14ac:dyDescent="0.2">
      <c r="A1300" t="str">
        <f>"Adamts12"</f>
        <v>Adamts12</v>
      </c>
      <c r="B1300" t="s">
        <v>14</v>
      </c>
      <c r="C1300" t="s">
        <v>25</v>
      </c>
      <c r="D1300" t="s">
        <v>17</v>
      </c>
      <c r="E1300" t="s">
        <v>12</v>
      </c>
      <c r="F1300">
        <v>11064801</v>
      </c>
      <c r="G1300">
        <v>11064823</v>
      </c>
      <c r="H1300">
        <v>11064764</v>
      </c>
      <c r="I1300">
        <v>11064797</v>
      </c>
    </row>
    <row r="1301" spans="1:9" x14ac:dyDescent="0.2">
      <c r="A1301" t="str">
        <f>"Adamts13"</f>
        <v>Adamts13</v>
      </c>
      <c r="B1301" t="s">
        <v>14</v>
      </c>
      <c r="C1301" t="s">
        <v>26</v>
      </c>
      <c r="D1301" t="s">
        <v>17</v>
      </c>
      <c r="E1301" t="s">
        <v>12</v>
      </c>
      <c r="F1301">
        <v>26973482</v>
      </c>
      <c r="G1301">
        <v>26973505</v>
      </c>
      <c r="H1301">
        <v>26973469</v>
      </c>
      <c r="I1301">
        <v>26973478</v>
      </c>
    </row>
    <row r="1302" spans="1:9" x14ac:dyDescent="0.2">
      <c r="A1302" t="str">
        <f>"Adamts14"</f>
        <v>Adamts14</v>
      </c>
      <c r="B1302" t="s">
        <v>14</v>
      </c>
      <c r="C1302" t="s">
        <v>15</v>
      </c>
      <c r="D1302" t="s">
        <v>11</v>
      </c>
      <c r="E1302" t="s">
        <v>12</v>
      </c>
      <c r="F1302">
        <v>61273409</v>
      </c>
      <c r="G1302">
        <v>61273453</v>
      </c>
      <c r="H1302">
        <v>61273381</v>
      </c>
      <c r="I1302">
        <v>61273404</v>
      </c>
    </row>
    <row r="1303" spans="1:9" x14ac:dyDescent="0.2">
      <c r="A1303" t="str">
        <f>"Adamts15"</f>
        <v>Adamts15</v>
      </c>
      <c r="B1303" t="s">
        <v>14</v>
      </c>
      <c r="C1303" t="s">
        <v>24</v>
      </c>
      <c r="D1303" t="s">
        <v>11</v>
      </c>
      <c r="E1303" t="s">
        <v>12</v>
      </c>
      <c r="F1303">
        <v>30922549</v>
      </c>
      <c r="G1303">
        <v>30922567</v>
      </c>
      <c r="H1303">
        <v>30922334</v>
      </c>
      <c r="I1303">
        <v>30922343</v>
      </c>
    </row>
    <row r="1304" spans="1:9" x14ac:dyDescent="0.2">
      <c r="A1304" t="str">
        <f>"Adamts16"</f>
        <v>Adamts16</v>
      </c>
      <c r="B1304" t="s">
        <v>14</v>
      </c>
      <c r="C1304" t="s">
        <v>39</v>
      </c>
      <c r="D1304" t="s">
        <v>11</v>
      </c>
      <c r="E1304" t="s">
        <v>12</v>
      </c>
      <c r="F1304">
        <v>70841729</v>
      </c>
      <c r="G1304">
        <v>70841754</v>
      </c>
      <c r="H1304">
        <v>70841762</v>
      </c>
      <c r="I1304">
        <v>70841783</v>
      </c>
    </row>
    <row r="1305" spans="1:9" x14ac:dyDescent="0.2">
      <c r="A1305" t="str">
        <f>"Adamts17"</f>
        <v>Adamts17</v>
      </c>
      <c r="B1305" t="s">
        <v>14</v>
      </c>
      <c r="C1305" t="s">
        <v>33</v>
      </c>
      <c r="D1305" t="s">
        <v>17</v>
      </c>
      <c r="E1305" t="s">
        <v>12</v>
      </c>
      <c r="F1305">
        <v>66839726</v>
      </c>
      <c r="G1305">
        <v>66839750</v>
      </c>
      <c r="H1305">
        <v>66839752</v>
      </c>
      <c r="I1305">
        <v>66839770</v>
      </c>
    </row>
    <row r="1306" spans="1:9" x14ac:dyDescent="0.2">
      <c r="A1306" t="str">
        <f>"Adamts18"</f>
        <v>Adamts18</v>
      </c>
      <c r="B1306" t="s">
        <v>14</v>
      </c>
      <c r="C1306" t="s">
        <v>30</v>
      </c>
      <c r="D1306" t="s">
        <v>11</v>
      </c>
      <c r="E1306" t="s">
        <v>12</v>
      </c>
      <c r="F1306">
        <v>113848728</v>
      </c>
      <c r="G1306">
        <v>113848774</v>
      </c>
      <c r="H1306">
        <v>113848851</v>
      </c>
      <c r="I1306">
        <v>113848870</v>
      </c>
    </row>
    <row r="1307" spans="1:9" x14ac:dyDescent="0.2">
      <c r="A1307" t="str">
        <f>"Adamts19"</f>
        <v>Adamts19</v>
      </c>
      <c r="B1307" t="s">
        <v>14</v>
      </c>
      <c r="C1307" t="s">
        <v>43</v>
      </c>
      <c r="D1307" t="s">
        <v>17</v>
      </c>
      <c r="E1307" t="s">
        <v>12</v>
      </c>
      <c r="F1307">
        <v>58836721</v>
      </c>
      <c r="G1307">
        <v>58836751</v>
      </c>
      <c r="H1307">
        <v>58836721</v>
      </c>
      <c r="I1307">
        <v>58836751</v>
      </c>
    </row>
    <row r="1308" spans="1:9" x14ac:dyDescent="0.2">
      <c r="A1308" t="str">
        <f>"Adamts2"</f>
        <v>Adamts2</v>
      </c>
      <c r="B1308" t="s">
        <v>14</v>
      </c>
      <c r="C1308" t="s">
        <v>27</v>
      </c>
      <c r="D1308" t="s">
        <v>17</v>
      </c>
      <c r="E1308" t="s">
        <v>12</v>
      </c>
      <c r="F1308">
        <v>50602007</v>
      </c>
      <c r="G1308">
        <v>50602067</v>
      </c>
      <c r="H1308">
        <v>50602072</v>
      </c>
      <c r="I1308">
        <v>50602094</v>
      </c>
    </row>
    <row r="1309" spans="1:9" x14ac:dyDescent="0.2">
      <c r="A1309" t="str">
        <f>"Adamts20"</f>
        <v>Adamts20</v>
      </c>
      <c r="B1309" t="s">
        <v>14</v>
      </c>
      <c r="C1309" t="s">
        <v>25</v>
      </c>
      <c r="D1309" t="s">
        <v>11</v>
      </c>
      <c r="E1309" t="s">
        <v>12</v>
      </c>
      <c r="F1309">
        <v>94404288</v>
      </c>
      <c r="G1309">
        <v>94404327</v>
      </c>
      <c r="H1309">
        <v>94404339</v>
      </c>
      <c r="I1309">
        <v>94404371</v>
      </c>
    </row>
    <row r="1310" spans="1:9" x14ac:dyDescent="0.2">
      <c r="A1310" t="str">
        <f>"Adamts3"</f>
        <v>Adamts3</v>
      </c>
      <c r="B1310" t="s">
        <v>14</v>
      </c>
      <c r="C1310" t="s">
        <v>46</v>
      </c>
      <c r="D1310" t="s">
        <v>11</v>
      </c>
      <c r="E1310" t="s">
        <v>12</v>
      </c>
      <c r="F1310">
        <v>89883345</v>
      </c>
      <c r="G1310">
        <v>89883378</v>
      </c>
      <c r="H1310">
        <v>89883321</v>
      </c>
      <c r="I1310">
        <v>89883343</v>
      </c>
    </row>
    <row r="1311" spans="1:9" x14ac:dyDescent="0.2">
      <c r="A1311" t="str">
        <f>"Adamts4"</f>
        <v>Adamts4</v>
      </c>
      <c r="B1311" t="s">
        <v>14</v>
      </c>
      <c r="C1311" t="s">
        <v>19</v>
      </c>
      <c r="D1311" t="s">
        <v>17</v>
      </c>
      <c r="E1311" t="s">
        <v>12</v>
      </c>
      <c r="F1311">
        <v>171250416</v>
      </c>
      <c r="G1311">
        <v>171250433</v>
      </c>
      <c r="H1311">
        <v>171250416</v>
      </c>
      <c r="I1311">
        <v>171250433</v>
      </c>
    </row>
    <row r="1312" spans="1:9" x14ac:dyDescent="0.2">
      <c r="A1312" t="str">
        <f>"Adamts5"</f>
        <v>Adamts5</v>
      </c>
      <c r="B1312" t="s">
        <v>14</v>
      </c>
      <c r="C1312" t="s">
        <v>31</v>
      </c>
      <c r="D1312" t="s">
        <v>11</v>
      </c>
      <c r="E1312" t="s">
        <v>12</v>
      </c>
      <c r="F1312">
        <v>85901056</v>
      </c>
      <c r="G1312">
        <v>85901071</v>
      </c>
      <c r="H1312">
        <v>85901118</v>
      </c>
      <c r="I1312">
        <v>85901133</v>
      </c>
    </row>
    <row r="1313" spans="1:9" x14ac:dyDescent="0.2">
      <c r="A1313" t="str">
        <f>"Adamts6"</f>
        <v>Adamts6</v>
      </c>
      <c r="B1313" t="s">
        <v>14</v>
      </c>
      <c r="C1313" t="s">
        <v>39</v>
      </c>
      <c r="D1313" t="s">
        <v>17</v>
      </c>
      <c r="E1313" t="s">
        <v>12</v>
      </c>
      <c r="F1313">
        <v>104287855</v>
      </c>
      <c r="G1313">
        <v>104287882</v>
      </c>
      <c r="H1313">
        <v>104287855</v>
      </c>
      <c r="I1313">
        <v>104287882</v>
      </c>
    </row>
    <row r="1314" spans="1:9" x14ac:dyDescent="0.2">
      <c r="A1314" t="str">
        <f>"Adamts7"</f>
        <v>Adamts7</v>
      </c>
      <c r="B1314" t="s">
        <v>14</v>
      </c>
      <c r="C1314" t="s">
        <v>24</v>
      </c>
      <c r="D1314" t="s">
        <v>17</v>
      </c>
      <c r="E1314" t="s">
        <v>12</v>
      </c>
      <c r="F1314">
        <v>90163057</v>
      </c>
      <c r="G1314">
        <v>90163101</v>
      </c>
      <c r="H1314">
        <v>90163008</v>
      </c>
      <c r="I1314">
        <v>90163037</v>
      </c>
    </row>
    <row r="1315" spans="1:9" x14ac:dyDescent="0.2">
      <c r="A1315" t="str">
        <f>"Adamts8"</f>
        <v>Adamts8</v>
      </c>
      <c r="B1315" t="s">
        <v>14</v>
      </c>
      <c r="C1315" t="s">
        <v>24</v>
      </c>
      <c r="D1315" t="s">
        <v>17</v>
      </c>
      <c r="E1315" t="s">
        <v>12</v>
      </c>
      <c r="F1315">
        <v>30942541</v>
      </c>
      <c r="G1315">
        <v>30942546</v>
      </c>
      <c r="H1315">
        <v>30942541</v>
      </c>
      <c r="I1315">
        <v>30942546</v>
      </c>
    </row>
    <row r="1316" spans="1:9" x14ac:dyDescent="0.2">
      <c r="A1316" t="str">
        <f>"Adamts9"</f>
        <v>Adamts9</v>
      </c>
      <c r="B1316" t="s">
        <v>14</v>
      </c>
      <c r="C1316" t="s">
        <v>32</v>
      </c>
      <c r="D1316" t="s">
        <v>11</v>
      </c>
      <c r="E1316" t="s">
        <v>12</v>
      </c>
      <c r="F1316">
        <v>92943513</v>
      </c>
      <c r="G1316">
        <v>92943539</v>
      </c>
      <c r="H1316">
        <v>92943485</v>
      </c>
      <c r="I1316">
        <v>92943507</v>
      </c>
    </row>
    <row r="1317" spans="1:9" x14ac:dyDescent="0.2">
      <c r="A1317" t="str">
        <f>"Adamtsl1"</f>
        <v>Adamtsl1</v>
      </c>
      <c r="B1317" t="s">
        <v>14</v>
      </c>
      <c r="C1317" t="s">
        <v>23</v>
      </c>
      <c r="D1317" t="s">
        <v>17</v>
      </c>
      <c r="E1317" t="s">
        <v>12</v>
      </c>
      <c r="F1317">
        <v>86053887</v>
      </c>
      <c r="G1317">
        <v>86053987</v>
      </c>
      <c r="H1317">
        <v>86053887</v>
      </c>
      <c r="I1317">
        <v>86053987</v>
      </c>
    </row>
    <row r="1318" spans="1:9" x14ac:dyDescent="0.2">
      <c r="A1318" t="str">
        <f>"Adamtsl2"</f>
        <v>Adamtsl2</v>
      </c>
      <c r="B1318" t="s">
        <v>14</v>
      </c>
      <c r="C1318" t="s">
        <v>26</v>
      </c>
      <c r="D1318" t="s">
        <v>17</v>
      </c>
      <c r="E1318" t="s">
        <v>12</v>
      </c>
      <c r="F1318">
        <v>27079371</v>
      </c>
      <c r="G1318">
        <v>27079385</v>
      </c>
      <c r="H1318">
        <v>27079474</v>
      </c>
      <c r="I1318">
        <v>27079497</v>
      </c>
    </row>
    <row r="1319" spans="1:9" x14ac:dyDescent="0.2">
      <c r="A1319" t="str">
        <f>"Adamtsl3"</f>
        <v>Adamtsl3</v>
      </c>
      <c r="B1319" t="s">
        <v>14</v>
      </c>
      <c r="C1319" t="s">
        <v>33</v>
      </c>
      <c r="D1319" t="s">
        <v>17</v>
      </c>
      <c r="E1319" t="s">
        <v>12</v>
      </c>
      <c r="F1319">
        <v>82335422</v>
      </c>
      <c r="G1319">
        <v>82335482</v>
      </c>
      <c r="H1319">
        <v>82335734</v>
      </c>
      <c r="I1319">
        <v>82335760</v>
      </c>
    </row>
    <row r="1320" spans="1:9" x14ac:dyDescent="0.2">
      <c r="A1320" t="str">
        <f>"Adamtsl4"</f>
        <v>Adamtsl4</v>
      </c>
      <c r="B1320" t="s">
        <v>14</v>
      </c>
      <c r="C1320" t="s">
        <v>22</v>
      </c>
      <c r="D1320" t="s">
        <v>11</v>
      </c>
      <c r="E1320" t="s">
        <v>12</v>
      </c>
      <c r="F1320">
        <v>95687846</v>
      </c>
      <c r="G1320">
        <v>95687895</v>
      </c>
      <c r="H1320">
        <v>95687846</v>
      </c>
      <c r="I1320">
        <v>95687895</v>
      </c>
    </row>
    <row r="1321" spans="1:9" x14ac:dyDescent="0.2">
      <c r="A1321" t="str">
        <f>"Adamtsl5"</f>
        <v>Adamtsl5</v>
      </c>
      <c r="B1321" t="s">
        <v>14</v>
      </c>
      <c r="C1321" t="s">
        <v>15</v>
      </c>
      <c r="D1321" t="s">
        <v>11</v>
      </c>
      <c r="E1321" t="s">
        <v>12</v>
      </c>
      <c r="F1321">
        <v>80348405</v>
      </c>
      <c r="G1321">
        <v>80348418</v>
      </c>
      <c r="H1321">
        <v>80348432</v>
      </c>
      <c r="I1321">
        <v>80348458</v>
      </c>
    </row>
    <row r="1322" spans="1:9" x14ac:dyDescent="0.2">
      <c r="A1322" t="str">
        <f>"Adap1"</f>
        <v>Adap1</v>
      </c>
      <c r="B1322" t="s">
        <v>14</v>
      </c>
      <c r="C1322" t="s">
        <v>46</v>
      </c>
      <c r="D1322" t="s">
        <v>11</v>
      </c>
      <c r="E1322" t="s">
        <v>12</v>
      </c>
      <c r="F1322">
        <v>139325490</v>
      </c>
      <c r="G1322">
        <v>139325568</v>
      </c>
      <c r="H1322">
        <v>139325697</v>
      </c>
      <c r="I1322">
        <v>139325752</v>
      </c>
    </row>
    <row r="1323" spans="1:9" x14ac:dyDescent="0.2">
      <c r="A1323" t="str">
        <f>"Adap2"</f>
        <v>Adap2</v>
      </c>
      <c r="B1323" t="s">
        <v>14</v>
      </c>
      <c r="C1323" t="s">
        <v>27</v>
      </c>
      <c r="D1323" t="s">
        <v>17</v>
      </c>
      <c r="E1323" t="s">
        <v>12</v>
      </c>
      <c r="F1323">
        <v>80154103</v>
      </c>
      <c r="G1323">
        <v>80154137</v>
      </c>
      <c r="H1323">
        <v>80154071</v>
      </c>
      <c r="I1323">
        <v>80154082</v>
      </c>
    </row>
    <row r="1324" spans="1:9" x14ac:dyDescent="0.2">
      <c r="A1324" t="str">
        <f>"Adar"</f>
        <v>Adar</v>
      </c>
      <c r="B1324" t="s">
        <v>9</v>
      </c>
      <c r="C1324" t="s">
        <v>22</v>
      </c>
      <c r="D1324" t="s">
        <v>17</v>
      </c>
      <c r="E1324" t="s">
        <v>12</v>
      </c>
      <c r="F1324">
        <v>89715016</v>
      </c>
      <c r="G1324">
        <v>89715084</v>
      </c>
      <c r="H1324">
        <v>89715016</v>
      </c>
      <c r="I1324">
        <v>89715084</v>
      </c>
    </row>
    <row r="1325" spans="1:9" x14ac:dyDescent="0.2">
      <c r="A1325" t="str">
        <f>"Adar"</f>
        <v>Adar</v>
      </c>
      <c r="B1325" t="s">
        <v>13</v>
      </c>
      <c r="C1325" t="s">
        <v>22</v>
      </c>
      <c r="D1325" t="s">
        <v>17</v>
      </c>
      <c r="E1325" t="s">
        <v>12</v>
      </c>
      <c r="F1325">
        <v>89730735</v>
      </c>
      <c r="G1325">
        <v>89730786</v>
      </c>
      <c r="H1325">
        <v>89730735</v>
      </c>
      <c r="I1325">
        <v>89730786</v>
      </c>
    </row>
    <row r="1326" spans="1:9" x14ac:dyDescent="0.2">
      <c r="A1326" t="str">
        <f>"Adarb1"</f>
        <v>Adarb1</v>
      </c>
      <c r="B1326" t="s">
        <v>14</v>
      </c>
      <c r="C1326" t="s">
        <v>15</v>
      </c>
      <c r="D1326" t="s">
        <v>11</v>
      </c>
      <c r="E1326" t="s">
        <v>12</v>
      </c>
      <c r="F1326">
        <v>77418230</v>
      </c>
      <c r="G1326">
        <v>77418276</v>
      </c>
      <c r="H1326">
        <v>77418207</v>
      </c>
      <c r="I1326">
        <v>77418228</v>
      </c>
    </row>
    <row r="1327" spans="1:9" x14ac:dyDescent="0.2">
      <c r="A1327" t="str">
        <f>"Adarb2"</f>
        <v>Adarb2</v>
      </c>
      <c r="B1327" t="s">
        <v>14</v>
      </c>
      <c r="C1327" t="s">
        <v>39</v>
      </c>
      <c r="D1327" t="s">
        <v>17</v>
      </c>
      <c r="E1327" t="s">
        <v>12</v>
      </c>
      <c r="F1327">
        <v>8202885</v>
      </c>
      <c r="G1327">
        <v>8202918</v>
      </c>
      <c r="H1327">
        <v>8202922</v>
      </c>
      <c r="I1327">
        <v>8202935</v>
      </c>
    </row>
    <row r="1328" spans="1:9" x14ac:dyDescent="0.2">
      <c r="A1328" t="str">
        <f>"Adat1"</f>
        <v>Adat1</v>
      </c>
      <c r="B1328" t="s">
        <v>14</v>
      </c>
      <c r="C1328" t="s">
        <v>30</v>
      </c>
      <c r="D1328" t="s">
        <v>11</v>
      </c>
      <c r="E1328" t="s">
        <v>12</v>
      </c>
      <c r="F1328">
        <v>111992258</v>
      </c>
      <c r="G1328">
        <v>111992295</v>
      </c>
      <c r="H1328">
        <v>111992258</v>
      </c>
      <c r="I1328">
        <v>111992295</v>
      </c>
    </row>
    <row r="1329" spans="1:9" x14ac:dyDescent="0.2">
      <c r="A1329" t="str">
        <f>"Adat2"</f>
        <v>Adat2</v>
      </c>
      <c r="B1329" t="s">
        <v>14</v>
      </c>
      <c r="C1329" t="s">
        <v>15</v>
      </c>
      <c r="D1329" t="s">
        <v>17</v>
      </c>
      <c r="E1329" t="s">
        <v>12</v>
      </c>
      <c r="F1329">
        <v>13553187</v>
      </c>
      <c r="G1329">
        <v>13553239</v>
      </c>
      <c r="H1329">
        <v>13553187</v>
      </c>
      <c r="I1329">
        <v>13553239</v>
      </c>
    </row>
    <row r="1330" spans="1:9" x14ac:dyDescent="0.2">
      <c r="A1330" t="str">
        <f>"Adat3"</f>
        <v>Adat3</v>
      </c>
      <c r="B1330" t="s">
        <v>14</v>
      </c>
      <c r="C1330" t="s">
        <v>15</v>
      </c>
      <c r="D1330" t="s">
        <v>17</v>
      </c>
      <c r="E1330" t="s">
        <v>12</v>
      </c>
      <c r="F1330">
        <v>80602865</v>
      </c>
      <c r="G1330">
        <v>80602904</v>
      </c>
      <c r="H1330">
        <v>80602865</v>
      </c>
      <c r="I1330">
        <v>80602904</v>
      </c>
    </row>
    <row r="1331" spans="1:9" x14ac:dyDescent="0.2">
      <c r="A1331" t="str">
        <f>"Adc"</f>
        <v>Adc</v>
      </c>
      <c r="B1331" t="s">
        <v>14</v>
      </c>
      <c r="C1331" t="s">
        <v>23</v>
      </c>
      <c r="D1331" t="s">
        <v>11</v>
      </c>
      <c r="E1331" t="s">
        <v>12</v>
      </c>
      <c r="F1331">
        <v>128962428</v>
      </c>
      <c r="G1331">
        <v>128962449</v>
      </c>
      <c r="H1331">
        <v>128961880</v>
      </c>
      <c r="I1331">
        <v>128961884</v>
      </c>
    </row>
    <row r="1332" spans="1:9" x14ac:dyDescent="0.2">
      <c r="A1332" t="str">
        <f>"Adck1"</f>
        <v>Adck1</v>
      </c>
      <c r="B1332" t="s">
        <v>14</v>
      </c>
      <c r="C1332" t="s">
        <v>16</v>
      </c>
      <c r="D1332" t="s">
        <v>17</v>
      </c>
      <c r="E1332" t="s">
        <v>12</v>
      </c>
      <c r="F1332">
        <v>88360535</v>
      </c>
      <c r="G1332">
        <v>88360603</v>
      </c>
      <c r="H1332">
        <v>88360803</v>
      </c>
      <c r="I1332">
        <v>88360826</v>
      </c>
    </row>
    <row r="1333" spans="1:9" x14ac:dyDescent="0.2">
      <c r="A1333" t="str">
        <f>"Adck2"</f>
        <v>Adck2</v>
      </c>
      <c r="B1333" t="s">
        <v>14</v>
      </c>
      <c r="C1333" t="s">
        <v>32</v>
      </c>
      <c r="D1333" t="s">
        <v>17</v>
      </c>
      <c r="E1333" t="s">
        <v>12</v>
      </c>
      <c r="F1333">
        <v>39573894</v>
      </c>
      <c r="G1333">
        <v>39573940</v>
      </c>
      <c r="H1333">
        <v>39573858</v>
      </c>
      <c r="I1333">
        <v>39573887</v>
      </c>
    </row>
    <row r="1334" spans="1:9" x14ac:dyDescent="0.2">
      <c r="A1334" t="str">
        <f>"Adck3"</f>
        <v>Adck3</v>
      </c>
      <c r="B1334" t="s">
        <v>9</v>
      </c>
      <c r="C1334" t="s">
        <v>19</v>
      </c>
      <c r="D1334" t="s">
        <v>11</v>
      </c>
      <c r="E1334" t="s">
        <v>12</v>
      </c>
      <c r="F1334">
        <v>180195953</v>
      </c>
      <c r="G1334">
        <v>180195977</v>
      </c>
      <c r="H1334">
        <v>180195953</v>
      </c>
      <c r="I1334">
        <v>180195977</v>
      </c>
    </row>
    <row r="1335" spans="1:9" x14ac:dyDescent="0.2">
      <c r="A1335" t="str">
        <f>"Adck3"</f>
        <v>Adck3</v>
      </c>
      <c r="B1335" t="s">
        <v>13</v>
      </c>
      <c r="C1335" t="s">
        <v>19</v>
      </c>
      <c r="D1335" t="s">
        <v>11</v>
      </c>
      <c r="E1335" t="s">
        <v>12</v>
      </c>
      <c r="F1335">
        <v>180193475</v>
      </c>
      <c r="G1335">
        <v>180193492</v>
      </c>
      <c r="H1335">
        <v>180193475</v>
      </c>
      <c r="I1335">
        <v>180193492</v>
      </c>
    </row>
    <row r="1336" spans="1:9" x14ac:dyDescent="0.2">
      <c r="A1336" t="str">
        <f>"Adck4"</f>
        <v>Adck4</v>
      </c>
      <c r="B1336" t="s">
        <v>9</v>
      </c>
      <c r="C1336" t="s">
        <v>33</v>
      </c>
      <c r="D1336" t="s">
        <v>17</v>
      </c>
      <c r="E1336" t="s">
        <v>12</v>
      </c>
      <c r="F1336">
        <v>27233003</v>
      </c>
      <c r="G1336">
        <v>27233064</v>
      </c>
      <c r="H1336">
        <v>27233003</v>
      </c>
      <c r="I1336">
        <v>27233064</v>
      </c>
    </row>
    <row r="1337" spans="1:9" x14ac:dyDescent="0.2">
      <c r="A1337" t="str">
        <f>"Adck4"</f>
        <v>Adck4</v>
      </c>
      <c r="B1337" t="s">
        <v>13</v>
      </c>
      <c r="C1337" t="s">
        <v>33</v>
      </c>
      <c r="D1337" t="s">
        <v>17</v>
      </c>
      <c r="E1337" t="s">
        <v>12</v>
      </c>
      <c r="F1337">
        <v>27252175</v>
      </c>
      <c r="G1337">
        <v>27252208</v>
      </c>
      <c r="H1337">
        <v>27252175</v>
      </c>
      <c r="I1337">
        <v>27252208</v>
      </c>
    </row>
    <row r="1338" spans="1:9" x14ac:dyDescent="0.2">
      <c r="A1338" t="str">
        <f>"Adck5"</f>
        <v>Adck5</v>
      </c>
      <c r="B1338" t="s">
        <v>14</v>
      </c>
      <c r="C1338" t="s">
        <v>25</v>
      </c>
      <c r="D1338" t="s">
        <v>17</v>
      </c>
      <c r="E1338" t="s">
        <v>12</v>
      </c>
      <c r="F1338">
        <v>76576386</v>
      </c>
      <c r="G1338">
        <v>76576457</v>
      </c>
      <c r="H1338">
        <v>76576352</v>
      </c>
      <c r="I1338">
        <v>76576380</v>
      </c>
    </row>
    <row r="1339" spans="1:9" x14ac:dyDescent="0.2">
      <c r="A1339" t="str">
        <f>"Adcy1"</f>
        <v>Adcy1</v>
      </c>
      <c r="B1339" t="s">
        <v>14</v>
      </c>
      <c r="C1339" t="s">
        <v>27</v>
      </c>
      <c r="D1339" t="s">
        <v>17</v>
      </c>
      <c r="E1339" t="s">
        <v>12</v>
      </c>
      <c r="F1339">
        <v>7063423</v>
      </c>
      <c r="G1339">
        <v>7063496</v>
      </c>
      <c r="H1339">
        <v>7063567</v>
      </c>
      <c r="I1339">
        <v>7063583</v>
      </c>
    </row>
    <row r="1340" spans="1:9" x14ac:dyDescent="0.2">
      <c r="A1340" t="str">
        <f>"Adcy10"</f>
        <v>Adcy10</v>
      </c>
      <c r="B1340" t="s">
        <v>14</v>
      </c>
      <c r="C1340" t="s">
        <v>19</v>
      </c>
      <c r="D1340" t="s">
        <v>17</v>
      </c>
      <c r="E1340" t="s">
        <v>12</v>
      </c>
      <c r="F1340">
        <v>165485168</v>
      </c>
      <c r="G1340">
        <v>165485206</v>
      </c>
      <c r="H1340">
        <v>165485168</v>
      </c>
      <c r="I1340">
        <v>165485206</v>
      </c>
    </row>
    <row r="1341" spans="1:9" x14ac:dyDescent="0.2">
      <c r="A1341" t="str">
        <f>"Adcy2"</f>
        <v>Adcy2</v>
      </c>
      <c r="B1341" t="s">
        <v>14</v>
      </c>
      <c r="C1341" t="s">
        <v>39</v>
      </c>
      <c r="D1341" t="s">
        <v>11</v>
      </c>
      <c r="E1341" t="s">
        <v>12</v>
      </c>
      <c r="F1341">
        <v>68999406</v>
      </c>
      <c r="G1341">
        <v>68999457</v>
      </c>
      <c r="H1341">
        <v>68999518</v>
      </c>
      <c r="I1341">
        <v>68999565</v>
      </c>
    </row>
    <row r="1342" spans="1:9" x14ac:dyDescent="0.2">
      <c r="A1342" t="str">
        <f>"Adcy3"</f>
        <v>Adcy3</v>
      </c>
      <c r="B1342" t="s">
        <v>14</v>
      </c>
      <c r="C1342" t="s">
        <v>16</v>
      </c>
      <c r="D1342" t="s">
        <v>17</v>
      </c>
      <c r="E1342" t="s">
        <v>12</v>
      </c>
      <c r="F1342">
        <v>4133394</v>
      </c>
      <c r="G1342">
        <v>4133411</v>
      </c>
      <c r="H1342">
        <v>4133047</v>
      </c>
      <c r="I1342">
        <v>4133126</v>
      </c>
    </row>
    <row r="1343" spans="1:9" x14ac:dyDescent="0.2">
      <c r="A1343" t="str">
        <f>"Adcy4"</f>
        <v>Adcy4</v>
      </c>
      <c r="B1343" t="s">
        <v>14</v>
      </c>
      <c r="C1343" t="s">
        <v>41</v>
      </c>
      <c r="D1343" t="s">
        <v>11</v>
      </c>
      <c r="E1343" t="s">
        <v>12</v>
      </c>
      <c r="F1343">
        <v>55784027</v>
      </c>
      <c r="G1343">
        <v>55784073</v>
      </c>
      <c r="H1343">
        <v>55784007</v>
      </c>
      <c r="I1343">
        <v>55784019</v>
      </c>
    </row>
    <row r="1344" spans="1:9" x14ac:dyDescent="0.2">
      <c r="A1344" t="str">
        <f>"Adcy5"</f>
        <v>Adcy5</v>
      </c>
      <c r="B1344" t="s">
        <v>14</v>
      </c>
      <c r="C1344" t="s">
        <v>31</v>
      </c>
      <c r="D1344" t="s">
        <v>17</v>
      </c>
      <c r="E1344" t="s">
        <v>12</v>
      </c>
      <c r="F1344">
        <v>35154870</v>
      </c>
      <c r="G1344">
        <v>35154929</v>
      </c>
      <c r="H1344">
        <v>35155530</v>
      </c>
      <c r="I1344">
        <v>35155545</v>
      </c>
    </row>
    <row r="1345" spans="1:9" x14ac:dyDescent="0.2">
      <c r="A1345" t="str">
        <f>"Adcy6"</f>
        <v>Adcy6</v>
      </c>
      <c r="B1345" t="s">
        <v>14</v>
      </c>
      <c r="C1345" t="s">
        <v>25</v>
      </c>
      <c r="D1345" t="s">
        <v>11</v>
      </c>
      <c r="E1345" t="s">
        <v>12</v>
      </c>
      <c r="F1345">
        <v>98607611</v>
      </c>
      <c r="G1345">
        <v>98607638</v>
      </c>
      <c r="H1345">
        <v>98607611</v>
      </c>
      <c r="I1345">
        <v>98607638</v>
      </c>
    </row>
    <row r="1346" spans="1:9" x14ac:dyDescent="0.2">
      <c r="A1346" t="str">
        <f>"Adcy7"</f>
        <v>Adcy7</v>
      </c>
      <c r="B1346" t="s">
        <v>14</v>
      </c>
      <c r="C1346" t="s">
        <v>30</v>
      </c>
      <c r="D1346" t="s">
        <v>17</v>
      </c>
      <c r="E1346" t="s">
        <v>12</v>
      </c>
      <c r="F1346">
        <v>88289028</v>
      </c>
      <c r="G1346">
        <v>88289076</v>
      </c>
      <c r="H1346">
        <v>88289028</v>
      </c>
      <c r="I1346">
        <v>88289076</v>
      </c>
    </row>
    <row r="1347" spans="1:9" x14ac:dyDescent="0.2">
      <c r="A1347" t="str">
        <f>"Adcy8"</f>
        <v>Adcy8</v>
      </c>
      <c r="B1347" t="s">
        <v>14</v>
      </c>
      <c r="C1347" t="s">
        <v>25</v>
      </c>
      <c r="D1347" t="s">
        <v>11</v>
      </c>
      <c r="E1347" t="s">
        <v>12</v>
      </c>
      <c r="F1347">
        <v>64922290</v>
      </c>
      <c r="G1347">
        <v>64922315</v>
      </c>
      <c r="H1347">
        <v>64922325</v>
      </c>
      <c r="I1347">
        <v>64922341</v>
      </c>
    </row>
    <row r="1348" spans="1:9" x14ac:dyDescent="0.2">
      <c r="A1348" t="str">
        <f>"Adcy9"</f>
        <v>Adcy9</v>
      </c>
      <c r="B1348" t="s">
        <v>14</v>
      </c>
      <c r="C1348" t="s">
        <v>31</v>
      </c>
      <c r="D1348" t="s">
        <v>11</v>
      </c>
      <c r="E1348" t="s">
        <v>12</v>
      </c>
      <c r="F1348">
        <v>4420484</v>
      </c>
      <c r="G1348">
        <v>4420547</v>
      </c>
      <c r="H1348">
        <v>4420416</v>
      </c>
      <c r="I1348">
        <v>4420441</v>
      </c>
    </row>
    <row r="1349" spans="1:9" x14ac:dyDescent="0.2">
      <c r="A1349" t="str">
        <f>"Adcyap1"</f>
        <v>Adcyap1</v>
      </c>
      <c r="B1349" t="s">
        <v>14</v>
      </c>
      <c r="C1349" t="s">
        <v>28</v>
      </c>
      <c r="D1349" t="s">
        <v>17</v>
      </c>
      <c r="E1349" t="s">
        <v>12</v>
      </c>
      <c r="F1349">
        <v>93199117</v>
      </c>
      <c r="G1349">
        <v>93199146</v>
      </c>
      <c r="H1349">
        <v>93199348</v>
      </c>
      <c r="I1349">
        <v>93199408</v>
      </c>
    </row>
    <row r="1350" spans="1:9" x14ac:dyDescent="0.2">
      <c r="A1350" t="str">
        <f>"Adcyap1r1"</f>
        <v>Adcyap1r1</v>
      </c>
      <c r="B1350" t="s">
        <v>14</v>
      </c>
      <c r="C1350" t="s">
        <v>32</v>
      </c>
      <c r="D1350" t="s">
        <v>17</v>
      </c>
      <c r="E1350" t="s">
        <v>12</v>
      </c>
      <c r="F1350">
        <v>55451995</v>
      </c>
      <c r="G1350">
        <v>55452051</v>
      </c>
      <c r="H1350">
        <v>55451828</v>
      </c>
      <c r="I1350">
        <v>55451872</v>
      </c>
    </row>
    <row r="1351" spans="1:9" x14ac:dyDescent="0.2">
      <c r="A1351" t="str">
        <f>"Add1"</f>
        <v>Add1</v>
      </c>
      <c r="B1351" t="s">
        <v>14</v>
      </c>
      <c r="C1351" t="s">
        <v>46</v>
      </c>
      <c r="D1351" t="s">
        <v>17</v>
      </c>
      <c r="E1351" t="s">
        <v>12</v>
      </c>
      <c r="F1351">
        <v>34573808</v>
      </c>
      <c r="G1351">
        <v>34573875</v>
      </c>
      <c r="H1351">
        <v>34573744</v>
      </c>
      <c r="I1351">
        <v>34573792</v>
      </c>
    </row>
    <row r="1352" spans="1:9" x14ac:dyDescent="0.2">
      <c r="A1352" t="str">
        <f>"Add2"</f>
        <v>Add2</v>
      </c>
      <c r="B1352" t="s">
        <v>2114</v>
      </c>
      <c r="C1352" t="s">
        <v>32</v>
      </c>
      <c r="D1352" t="s">
        <v>17</v>
      </c>
      <c r="E1352" t="s">
        <v>35</v>
      </c>
      <c r="F1352">
        <v>86078037</v>
      </c>
      <c r="G1352">
        <v>86078063</v>
      </c>
      <c r="H1352">
        <v>86078070</v>
      </c>
      <c r="I1352">
        <v>86078089</v>
      </c>
    </row>
    <row r="1353" spans="1:9" x14ac:dyDescent="0.2">
      <c r="A1353" t="str">
        <f>"Add3"</f>
        <v>Add3</v>
      </c>
      <c r="B1353" t="s">
        <v>9</v>
      </c>
      <c r="C1353" t="s">
        <v>10</v>
      </c>
      <c r="D1353" t="s">
        <v>17</v>
      </c>
      <c r="E1353" t="s">
        <v>12</v>
      </c>
      <c r="F1353">
        <v>53142785</v>
      </c>
      <c r="G1353">
        <v>53142803</v>
      </c>
      <c r="H1353">
        <v>53142785</v>
      </c>
      <c r="I1353">
        <v>53142803</v>
      </c>
    </row>
    <row r="1354" spans="1:9" x14ac:dyDescent="0.2">
      <c r="A1354" t="str">
        <f>"Add3"</f>
        <v>Add3</v>
      </c>
      <c r="B1354" t="s">
        <v>13</v>
      </c>
      <c r="C1354" t="s">
        <v>10</v>
      </c>
      <c r="D1354" t="s">
        <v>17</v>
      </c>
      <c r="E1354" t="s">
        <v>12</v>
      </c>
      <c r="F1354">
        <v>53140536</v>
      </c>
      <c r="G1354">
        <v>53140593</v>
      </c>
      <c r="H1354">
        <v>53140536</v>
      </c>
      <c r="I1354">
        <v>53140593</v>
      </c>
    </row>
    <row r="1355" spans="1:9" x14ac:dyDescent="0.2">
      <c r="A1355" t="str">
        <f>"Adgb"</f>
        <v>Adgb</v>
      </c>
      <c r="B1355" t="s">
        <v>14</v>
      </c>
      <c r="C1355" t="s">
        <v>15</v>
      </c>
      <c r="D1355" t="s">
        <v>11</v>
      </c>
      <c r="E1355" t="s">
        <v>67</v>
      </c>
      <c r="F1355">
        <v>10472346</v>
      </c>
      <c r="G1355">
        <v>10472368</v>
      </c>
      <c r="H1355">
        <v>10472375</v>
      </c>
      <c r="I1355">
        <v>10472390</v>
      </c>
    </row>
    <row r="1356" spans="1:9" x14ac:dyDescent="0.2">
      <c r="A1356" t="str">
        <f>"Adh1"</f>
        <v>Adh1</v>
      </c>
      <c r="B1356" t="s">
        <v>14</v>
      </c>
      <c r="C1356" t="s">
        <v>22</v>
      </c>
      <c r="D1356" t="s">
        <v>17</v>
      </c>
      <c r="E1356" t="s">
        <v>12</v>
      </c>
      <c r="F1356">
        <v>138277642</v>
      </c>
      <c r="G1356">
        <v>138277659</v>
      </c>
      <c r="H1356">
        <v>138277642</v>
      </c>
      <c r="I1356">
        <v>138277659</v>
      </c>
    </row>
    <row r="1357" spans="1:9" x14ac:dyDescent="0.2">
      <c r="A1357" t="str">
        <f>"Adh4"</f>
        <v>Adh4</v>
      </c>
      <c r="B1357" t="s">
        <v>14</v>
      </c>
      <c r="C1357" t="s">
        <v>22</v>
      </c>
      <c r="D1357" t="s">
        <v>17</v>
      </c>
      <c r="E1357" t="s">
        <v>12</v>
      </c>
      <c r="F1357">
        <v>138415484</v>
      </c>
      <c r="G1357">
        <v>138415510</v>
      </c>
      <c r="H1357">
        <v>138415484</v>
      </c>
      <c r="I1357">
        <v>138415510</v>
      </c>
    </row>
    <row r="1358" spans="1:9" x14ac:dyDescent="0.2">
      <c r="A1358" t="str">
        <f>"Adh5"</f>
        <v>Adh5</v>
      </c>
      <c r="B1358" t="s">
        <v>14</v>
      </c>
      <c r="C1358" t="s">
        <v>22</v>
      </c>
      <c r="D1358" t="s">
        <v>17</v>
      </c>
      <c r="E1358" t="s">
        <v>12</v>
      </c>
      <c r="F1358">
        <v>138443085</v>
      </c>
      <c r="G1358">
        <v>138443176</v>
      </c>
      <c r="H1358">
        <v>138443085</v>
      </c>
      <c r="I1358">
        <v>138443176</v>
      </c>
    </row>
    <row r="1359" spans="1:9" x14ac:dyDescent="0.2">
      <c r="A1359" t="str">
        <f>"Adh6-ps1"</f>
        <v>Adh6-ps1</v>
      </c>
      <c r="B1359" t="s">
        <v>14</v>
      </c>
      <c r="C1359" t="s">
        <v>22</v>
      </c>
      <c r="D1359" t="s">
        <v>17</v>
      </c>
      <c r="E1359" t="s">
        <v>12</v>
      </c>
      <c r="F1359">
        <v>138374146</v>
      </c>
      <c r="G1359">
        <v>138374163</v>
      </c>
      <c r="H1359">
        <v>138374146</v>
      </c>
      <c r="I1359">
        <v>138374163</v>
      </c>
    </row>
    <row r="1360" spans="1:9" x14ac:dyDescent="0.2">
      <c r="A1360" t="str">
        <f>"Adh6a"</f>
        <v>Adh6a</v>
      </c>
      <c r="B1360" t="s">
        <v>14</v>
      </c>
      <c r="C1360" t="s">
        <v>22</v>
      </c>
      <c r="D1360" t="s">
        <v>17</v>
      </c>
      <c r="E1360" t="s">
        <v>12</v>
      </c>
      <c r="F1360">
        <v>138313279</v>
      </c>
      <c r="G1360">
        <v>138313293</v>
      </c>
      <c r="H1360">
        <v>138313279</v>
      </c>
      <c r="I1360">
        <v>138313293</v>
      </c>
    </row>
    <row r="1361" spans="1:9" x14ac:dyDescent="0.2">
      <c r="A1361" t="str">
        <f>"Adh6b"</f>
        <v>Adh6b</v>
      </c>
      <c r="B1361" t="s">
        <v>14</v>
      </c>
      <c r="C1361" t="s">
        <v>22</v>
      </c>
      <c r="D1361" t="s">
        <v>17</v>
      </c>
      <c r="E1361" t="s">
        <v>67</v>
      </c>
      <c r="F1361">
        <v>138352349</v>
      </c>
      <c r="G1361">
        <v>138352388</v>
      </c>
      <c r="H1361">
        <v>138352349</v>
      </c>
      <c r="I1361">
        <v>138352388</v>
      </c>
    </row>
    <row r="1362" spans="1:9" x14ac:dyDescent="0.2">
      <c r="A1362" t="str">
        <f>"Adh7"</f>
        <v>Adh7</v>
      </c>
      <c r="B1362" t="s">
        <v>14</v>
      </c>
      <c r="C1362" t="s">
        <v>22</v>
      </c>
      <c r="D1362" t="s">
        <v>17</v>
      </c>
      <c r="E1362" t="s">
        <v>12</v>
      </c>
      <c r="F1362">
        <v>138217814</v>
      </c>
      <c r="G1362">
        <v>138217828</v>
      </c>
      <c r="H1362">
        <v>138217789</v>
      </c>
      <c r="I1362">
        <v>138217803</v>
      </c>
    </row>
    <row r="1363" spans="1:9" x14ac:dyDescent="0.2">
      <c r="A1363" t="str">
        <f>"Adhfe1"</f>
        <v>Adhfe1</v>
      </c>
      <c r="B1363" t="s">
        <v>14</v>
      </c>
      <c r="C1363" t="s">
        <v>19</v>
      </c>
      <c r="D1363" t="s">
        <v>17</v>
      </c>
      <c r="E1363" t="s">
        <v>12</v>
      </c>
      <c r="F1363">
        <v>9548049</v>
      </c>
      <c r="G1363">
        <v>9548101</v>
      </c>
      <c r="H1363">
        <v>9548114</v>
      </c>
      <c r="I1363">
        <v>9548125</v>
      </c>
    </row>
    <row r="1364" spans="1:9" x14ac:dyDescent="0.2">
      <c r="A1364" t="str">
        <f>"Adi1"</f>
        <v>Adi1</v>
      </c>
      <c r="B1364" t="s">
        <v>14</v>
      </c>
      <c r="C1364" t="s">
        <v>16</v>
      </c>
      <c r="D1364" t="s">
        <v>17</v>
      </c>
      <c r="E1364" t="s">
        <v>12</v>
      </c>
      <c r="F1364">
        <v>28675220</v>
      </c>
      <c r="G1364">
        <v>28675239</v>
      </c>
      <c r="H1364">
        <v>28675201</v>
      </c>
      <c r="I1364">
        <v>28675212</v>
      </c>
    </row>
    <row r="1365" spans="1:9" x14ac:dyDescent="0.2">
      <c r="A1365" t="str">
        <f>"Adig"</f>
        <v>Adig</v>
      </c>
      <c r="B1365" t="s">
        <v>14</v>
      </c>
      <c r="C1365" t="s">
        <v>26</v>
      </c>
      <c r="D1365" t="s">
        <v>17</v>
      </c>
      <c r="E1365" t="s">
        <v>12</v>
      </c>
      <c r="F1365">
        <v>158502633</v>
      </c>
      <c r="G1365">
        <v>158502698</v>
      </c>
      <c r="H1365">
        <v>158502537</v>
      </c>
      <c r="I1365">
        <v>158502552</v>
      </c>
    </row>
    <row r="1366" spans="1:9" x14ac:dyDescent="0.2">
      <c r="A1366" t="str">
        <f>"Adipoq"</f>
        <v>Adipoq</v>
      </c>
      <c r="B1366" t="s">
        <v>14</v>
      </c>
      <c r="C1366" t="s">
        <v>31</v>
      </c>
      <c r="D1366" t="s">
        <v>17</v>
      </c>
      <c r="E1366" t="s">
        <v>12</v>
      </c>
      <c r="F1366">
        <v>23146580</v>
      </c>
      <c r="G1366">
        <v>23146621</v>
      </c>
      <c r="H1366">
        <v>23146580</v>
      </c>
      <c r="I1366">
        <v>23146621</v>
      </c>
    </row>
    <row r="1367" spans="1:9" x14ac:dyDescent="0.2">
      <c r="A1367" t="str">
        <f>"Adipor1"</f>
        <v>Adipor1</v>
      </c>
      <c r="B1367" t="s">
        <v>14</v>
      </c>
      <c r="C1367" t="s">
        <v>19</v>
      </c>
      <c r="D1367" t="s">
        <v>17</v>
      </c>
      <c r="E1367" t="s">
        <v>12</v>
      </c>
      <c r="F1367">
        <v>134415414</v>
      </c>
      <c r="G1367">
        <v>134415504</v>
      </c>
      <c r="H1367">
        <v>134415710</v>
      </c>
      <c r="I1367">
        <v>134415785</v>
      </c>
    </row>
    <row r="1368" spans="1:9" x14ac:dyDescent="0.2">
      <c r="A1368" t="str">
        <f>"Adipor2"</f>
        <v>Adipor2</v>
      </c>
      <c r="B1368" t="s">
        <v>9</v>
      </c>
      <c r="C1368" t="s">
        <v>32</v>
      </c>
      <c r="D1368" t="s">
        <v>11</v>
      </c>
      <c r="E1368" t="s">
        <v>12</v>
      </c>
      <c r="F1368">
        <v>119417479</v>
      </c>
      <c r="G1368">
        <v>119417530</v>
      </c>
      <c r="H1368">
        <v>119417479</v>
      </c>
      <c r="I1368">
        <v>119417530</v>
      </c>
    </row>
    <row r="1369" spans="1:9" x14ac:dyDescent="0.2">
      <c r="A1369" t="str">
        <f>"Adipor2"</f>
        <v>Adipor2</v>
      </c>
      <c r="B1369" t="s">
        <v>13</v>
      </c>
      <c r="C1369" t="s">
        <v>32</v>
      </c>
      <c r="D1369" t="s">
        <v>11</v>
      </c>
      <c r="E1369" t="s">
        <v>12</v>
      </c>
      <c r="F1369">
        <v>119388671</v>
      </c>
      <c r="G1369">
        <v>119388739</v>
      </c>
      <c r="H1369">
        <v>119388671</v>
      </c>
      <c r="I1369">
        <v>119388739</v>
      </c>
    </row>
    <row r="1370" spans="1:9" x14ac:dyDescent="0.2">
      <c r="A1370" t="str">
        <f>"Adk"</f>
        <v>Adk</v>
      </c>
      <c r="B1370" t="s">
        <v>9</v>
      </c>
      <c r="C1370" t="s">
        <v>41</v>
      </c>
      <c r="D1370" t="s">
        <v>17</v>
      </c>
      <c r="E1370" t="s">
        <v>12</v>
      </c>
      <c r="F1370">
        <v>21076169</v>
      </c>
      <c r="G1370">
        <v>21076222</v>
      </c>
      <c r="H1370">
        <v>21076169</v>
      </c>
      <c r="I1370">
        <v>21076222</v>
      </c>
    </row>
    <row r="1371" spans="1:9" x14ac:dyDescent="0.2">
      <c r="A1371" t="str">
        <f>"Adk"</f>
        <v>Adk</v>
      </c>
      <c r="B1371" t="s">
        <v>13</v>
      </c>
      <c r="C1371" t="s">
        <v>41</v>
      </c>
      <c r="D1371" t="s">
        <v>17</v>
      </c>
      <c r="E1371" t="s">
        <v>12</v>
      </c>
      <c r="F1371">
        <v>21052594</v>
      </c>
      <c r="G1371">
        <v>21052633</v>
      </c>
      <c r="H1371">
        <v>21052594</v>
      </c>
      <c r="I1371">
        <v>21052633</v>
      </c>
    </row>
    <row r="1372" spans="1:9" x14ac:dyDescent="0.2">
      <c r="A1372" t="str">
        <f>"Adm"</f>
        <v>Adm</v>
      </c>
      <c r="B1372" t="s">
        <v>14</v>
      </c>
      <c r="C1372" t="s">
        <v>33</v>
      </c>
      <c r="D1372" t="s">
        <v>17</v>
      </c>
      <c r="E1372" t="s">
        <v>12</v>
      </c>
      <c r="F1372">
        <v>110627650</v>
      </c>
      <c r="G1372">
        <v>110627666</v>
      </c>
      <c r="H1372">
        <v>110627737</v>
      </c>
      <c r="I1372">
        <v>110627764</v>
      </c>
    </row>
    <row r="1373" spans="1:9" x14ac:dyDescent="0.2">
      <c r="A1373" t="str">
        <f>"Adm2"</f>
        <v>Adm2</v>
      </c>
      <c r="B1373" t="s">
        <v>14</v>
      </c>
      <c r="C1373" t="s">
        <v>25</v>
      </c>
      <c r="D1373" t="s">
        <v>17</v>
      </c>
      <c r="E1373" t="s">
        <v>12</v>
      </c>
      <c r="F1373">
        <v>89322969</v>
      </c>
      <c r="G1373">
        <v>89322986</v>
      </c>
      <c r="H1373">
        <v>89322929</v>
      </c>
      <c r="I1373">
        <v>89322945</v>
      </c>
    </row>
    <row r="1374" spans="1:9" x14ac:dyDescent="0.2">
      <c r="A1374" t="str">
        <f>"Adnp"</f>
        <v>Adnp</v>
      </c>
      <c r="B1374" t="s">
        <v>9</v>
      </c>
      <c r="C1374" t="s">
        <v>26</v>
      </c>
      <c r="D1374" t="s">
        <v>11</v>
      </c>
      <c r="E1374" t="s">
        <v>12</v>
      </c>
      <c r="F1374">
        <v>168230353</v>
      </c>
      <c r="G1374">
        <v>168230386</v>
      </c>
      <c r="H1374">
        <v>168230353</v>
      </c>
      <c r="I1374">
        <v>168230386</v>
      </c>
    </row>
    <row r="1375" spans="1:9" x14ac:dyDescent="0.2">
      <c r="A1375" t="str">
        <f>"Adnp"</f>
        <v>Adnp</v>
      </c>
      <c r="B1375" t="s">
        <v>13</v>
      </c>
      <c r="C1375" t="s">
        <v>26</v>
      </c>
      <c r="D1375" t="s">
        <v>11</v>
      </c>
      <c r="E1375" t="s">
        <v>12</v>
      </c>
      <c r="F1375">
        <v>168207063</v>
      </c>
      <c r="G1375">
        <v>168207142</v>
      </c>
      <c r="H1375">
        <v>168207063</v>
      </c>
      <c r="I1375">
        <v>168207142</v>
      </c>
    </row>
    <row r="1376" spans="1:9" x14ac:dyDescent="0.2">
      <c r="A1376" t="str">
        <f>"Adnp2"</f>
        <v>Adnp2</v>
      </c>
      <c r="B1376" t="s">
        <v>14</v>
      </c>
      <c r="C1376" t="s">
        <v>43</v>
      </c>
      <c r="D1376" t="s">
        <v>11</v>
      </c>
      <c r="E1376" t="s">
        <v>12</v>
      </c>
      <c r="F1376">
        <v>80151467</v>
      </c>
      <c r="G1376">
        <v>80151517</v>
      </c>
      <c r="H1376">
        <v>80151412</v>
      </c>
      <c r="I1376">
        <v>80151442</v>
      </c>
    </row>
    <row r="1377" spans="1:9" x14ac:dyDescent="0.2">
      <c r="A1377" t="str">
        <f>"Ado"</f>
        <v>Ado</v>
      </c>
      <c r="B1377" t="s">
        <v>14</v>
      </c>
      <c r="C1377" t="s">
        <v>15</v>
      </c>
      <c r="D1377" t="s">
        <v>11</v>
      </c>
      <c r="E1377" t="s">
        <v>12</v>
      </c>
      <c r="F1377">
        <v>67548944</v>
      </c>
      <c r="G1377">
        <v>67549001</v>
      </c>
      <c r="H1377">
        <v>67549101</v>
      </c>
      <c r="I1377">
        <v>67549149</v>
      </c>
    </row>
    <row r="1378" spans="1:9" x14ac:dyDescent="0.2">
      <c r="A1378" t="str">
        <f>"Adora1"</f>
        <v>Adora1</v>
      </c>
      <c r="B1378" t="s">
        <v>14</v>
      </c>
      <c r="C1378" t="s">
        <v>19</v>
      </c>
      <c r="D1378" t="s">
        <v>11</v>
      </c>
      <c r="E1378" t="s">
        <v>12</v>
      </c>
      <c r="F1378">
        <v>134234835</v>
      </c>
      <c r="G1378">
        <v>134234880</v>
      </c>
      <c r="H1378">
        <v>134235420</v>
      </c>
      <c r="I1378">
        <v>134235443</v>
      </c>
    </row>
    <row r="1379" spans="1:9" x14ac:dyDescent="0.2">
      <c r="A1379" t="str">
        <f>"Adora2a"</f>
        <v>Adora2a</v>
      </c>
      <c r="B1379" t="s">
        <v>14</v>
      </c>
      <c r="C1379" t="s">
        <v>15</v>
      </c>
      <c r="D1379" t="s">
        <v>17</v>
      </c>
      <c r="E1379" t="s">
        <v>12</v>
      </c>
      <c r="F1379">
        <v>75317076</v>
      </c>
      <c r="G1379">
        <v>75317124</v>
      </c>
      <c r="H1379">
        <v>75316918</v>
      </c>
      <c r="I1379">
        <v>75316946</v>
      </c>
    </row>
    <row r="1380" spans="1:9" x14ac:dyDescent="0.2">
      <c r="A1380" t="str">
        <f>"Adora2b"</f>
        <v>Adora2b</v>
      </c>
      <c r="B1380" t="s">
        <v>14</v>
      </c>
      <c r="C1380" t="s">
        <v>27</v>
      </c>
      <c r="D1380" t="s">
        <v>17</v>
      </c>
      <c r="E1380" t="s">
        <v>12</v>
      </c>
      <c r="F1380">
        <v>62248977</v>
      </c>
      <c r="G1380">
        <v>62249011</v>
      </c>
      <c r="H1380">
        <v>62248958</v>
      </c>
      <c r="I1380">
        <v>62248975</v>
      </c>
    </row>
    <row r="1381" spans="1:9" x14ac:dyDescent="0.2">
      <c r="A1381" t="str">
        <f>"Adora3"</f>
        <v>Adora3</v>
      </c>
      <c r="B1381" t="s">
        <v>14</v>
      </c>
      <c r="C1381" t="s">
        <v>22</v>
      </c>
      <c r="D1381" t="s">
        <v>17</v>
      </c>
      <c r="E1381" t="s">
        <v>12</v>
      </c>
      <c r="F1381">
        <v>105870898</v>
      </c>
      <c r="G1381">
        <v>105870912</v>
      </c>
      <c r="H1381">
        <v>105870898</v>
      </c>
      <c r="I1381">
        <v>105870912</v>
      </c>
    </row>
    <row r="1382" spans="1:9" x14ac:dyDescent="0.2">
      <c r="A1382" t="str">
        <f>"Adpgk"</f>
        <v>Adpgk</v>
      </c>
      <c r="B1382" t="s">
        <v>14</v>
      </c>
      <c r="C1382" t="s">
        <v>24</v>
      </c>
      <c r="D1382" t="s">
        <v>17</v>
      </c>
      <c r="E1382" t="s">
        <v>12</v>
      </c>
      <c r="F1382">
        <v>59291580</v>
      </c>
      <c r="G1382">
        <v>59291613</v>
      </c>
      <c r="H1382">
        <v>59291617</v>
      </c>
      <c r="I1382">
        <v>59291628</v>
      </c>
    </row>
    <row r="1383" spans="1:9" x14ac:dyDescent="0.2">
      <c r="A1383" t="str">
        <f>"Adprh"</f>
        <v>Adprh</v>
      </c>
      <c r="B1383" t="s">
        <v>14</v>
      </c>
      <c r="C1383" t="s">
        <v>31</v>
      </c>
      <c r="D1383" t="s">
        <v>11</v>
      </c>
      <c r="E1383" t="s">
        <v>12</v>
      </c>
      <c r="F1383">
        <v>38452612</v>
      </c>
      <c r="G1383">
        <v>38452675</v>
      </c>
      <c r="H1383">
        <v>38452683</v>
      </c>
      <c r="I1383">
        <v>38452704</v>
      </c>
    </row>
    <row r="1384" spans="1:9" x14ac:dyDescent="0.2">
      <c r="A1384" t="str">
        <f>"Adprhl1"</f>
        <v>Adprhl1</v>
      </c>
      <c r="B1384" t="s">
        <v>14</v>
      </c>
      <c r="C1384" t="s">
        <v>30</v>
      </c>
      <c r="D1384" t="s">
        <v>11</v>
      </c>
      <c r="E1384" t="s">
        <v>12</v>
      </c>
      <c r="F1384">
        <v>13254068</v>
      </c>
      <c r="G1384">
        <v>13254085</v>
      </c>
      <c r="H1384">
        <v>13254121</v>
      </c>
      <c r="I1384">
        <v>13254150</v>
      </c>
    </row>
    <row r="1385" spans="1:9" x14ac:dyDescent="0.2">
      <c r="A1385" t="str">
        <f>"Adprhl2"</f>
        <v>Adprhl2</v>
      </c>
      <c r="B1385" t="s">
        <v>14</v>
      </c>
      <c r="C1385" t="s">
        <v>23</v>
      </c>
      <c r="D1385" t="s">
        <v>11</v>
      </c>
      <c r="E1385" t="s">
        <v>12</v>
      </c>
      <c r="F1385">
        <v>126321669</v>
      </c>
      <c r="G1385">
        <v>126321704</v>
      </c>
      <c r="H1385">
        <v>126321714</v>
      </c>
      <c r="I1385">
        <v>126321723</v>
      </c>
    </row>
    <row r="1386" spans="1:9" x14ac:dyDescent="0.2">
      <c r="A1386" t="str">
        <f>"Adprm"</f>
        <v>Adprm</v>
      </c>
      <c r="B1386" t="s">
        <v>14</v>
      </c>
      <c r="C1386" t="s">
        <v>27</v>
      </c>
      <c r="D1386" t="s">
        <v>11</v>
      </c>
      <c r="E1386" t="s">
        <v>67</v>
      </c>
      <c r="F1386">
        <v>67052563</v>
      </c>
      <c r="G1386">
        <v>67052618</v>
      </c>
      <c r="H1386">
        <v>67052641</v>
      </c>
      <c r="I1386">
        <v>67052650</v>
      </c>
    </row>
    <row r="1387" spans="1:9" x14ac:dyDescent="0.2">
      <c r="A1387" t="str">
        <f>"Adra1a"</f>
        <v>Adra1a</v>
      </c>
      <c r="B1387" t="s">
        <v>14</v>
      </c>
      <c r="C1387" t="s">
        <v>41</v>
      </c>
      <c r="D1387" t="s">
        <v>17</v>
      </c>
      <c r="E1387" t="s">
        <v>12</v>
      </c>
      <c r="F1387">
        <v>66635264</v>
      </c>
      <c r="G1387">
        <v>66635349</v>
      </c>
      <c r="H1387">
        <v>66635252</v>
      </c>
      <c r="I1387">
        <v>66635259</v>
      </c>
    </row>
    <row r="1388" spans="1:9" x14ac:dyDescent="0.2">
      <c r="A1388" t="str">
        <f>"Adra1b"</f>
        <v>Adra1b</v>
      </c>
      <c r="B1388" t="s">
        <v>14</v>
      </c>
      <c r="C1388" t="s">
        <v>27</v>
      </c>
      <c r="D1388" t="s">
        <v>11</v>
      </c>
      <c r="E1388" t="s">
        <v>12</v>
      </c>
      <c r="F1388">
        <v>43836469</v>
      </c>
      <c r="G1388">
        <v>43836517</v>
      </c>
      <c r="H1388">
        <v>43836243</v>
      </c>
      <c r="I1388">
        <v>43836311</v>
      </c>
    </row>
    <row r="1389" spans="1:9" x14ac:dyDescent="0.2">
      <c r="A1389" t="str">
        <f>"Adra1d"</f>
        <v>Adra1d</v>
      </c>
      <c r="B1389" t="s">
        <v>14</v>
      </c>
      <c r="C1389" t="s">
        <v>26</v>
      </c>
      <c r="D1389" t="s">
        <v>11</v>
      </c>
      <c r="E1389" t="s">
        <v>12</v>
      </c>
      <c r="F1389">
        <v>131562488</v>
      </c>
      <c r="G1389">
        <v>131562502</v>
      </c>
      <c r="H1389">
        <v>131562488</v>
      </c>
      <c r="I1389">
        <v>131562502</v>
      </c>
    </row>
    <row r="1390" spans="1:9" x14ac:dyDescent="0.2">
      <c r="A1390" t="str">
        <f>"Adra2a"</f>
        <v>Adra2a</v>
      </c>
      <c r="B1390" t="s">
        <v>14</v>
      </c>
      <c r="C1390" t="s">
        <v>10</v>
      </c>
      <c r="D1390" t="s">
        <v>17</v>
      </c>
      <c r="E1390" t="s">
        <v>12</v>
      </c>
      <c r="F1390">
        <v>54045251</v>
      </c>
      <c r="G1390">
        <v>54045267</v>
      </c>
      <c r="H1390">
        <v>54045233</v>
      </c>
      <c r="I1390">
        <v>54045244</v>
      </c>
    </row>
    <row r="1391" spans="1:9" x14ac:dyDescent="0.2">
      <c r="A1391" t="str">
        <f>"Adra2b"</f>
        <v>Adra2b</v>
      </c>
      <c r="B1391" t="s">
        <v>14</v>
      </c>
      <c r="C1391" t="s">
        <v>26</v>
      </c>
      <c r="D1391" t="s">
        <v>17</v>
      </c>
      <c r="E1391" t="s">
        <v>12</v>
      </c>
      <c r="F1391">
        <v>127363197</v>
      </c>
      <c r="G1391">
        <v>127363217</v>
      </c>
      <c r="H1391">
        <v>127363169</v>
      </c>
      <c r="I1391">
        <v>127363193</v>
      </c>
    </row>
    <row r="1392" spans="1:9" x14ac:dyDescent="0.2">
      <c r="A1392" t="str">
        <f>"Adra2c"</f>
        <v>Adra2c</v>
      </c>
      <c r="B1392" t="s">
        <v>14</v>
      </c>
      <c r="C1392" t="s">
        <v>46</v>
      </c>
      <c r="D1392" t="s">
        <v>17</v>
      </c>
      <c r="E1392" t="s">
        <v>12</v>
      </c>
      <c r="F1392">
        <v>35279031</v>
      </c>
      <c r="G1392">
        <v>35279072</v>
      </c>
      <c r="H1392">
        <v>35278874</v>
      </c>
      <c r="I1392">
        <v>35278922</v>
      </c>
    </row>
    <row r="1393" spans="1:9" x14ac:dyDescent="0.2">
      <c r="A1393" t="str">
        <f>"Adrb1"</f>
        <v>Adrb1</v>
      </c>
      <c r="B1393" t="s">
        <v>14</v>
      </c>
      <c r="C1393" t="s">
        <v>10</v>
      </c>
      <c r="D1393" t="s">
        <v>17</v>
      </c>
      <c r="E1393" t="s">
        <v>12</v>
      </c>
      <c r="F1393">
        <v>56722110</v>
      </c>
      <c r="G1393">
        <v>56722128</v>
      </c>
      <c r="H1393">
        <v>56722110</v>
      </c>
      <c r="I1393">
        <v>56722128</v>
      </c>
    </row>
    <row r="1394" spans="1:9" x14ac:dyDescent="0.2">
      <c r="A1394" t="str">
        <f>"Adrb2"</f>
        <v>Adrb2</v>
      </c>
      <c r="B1394" t="s">
        <v>14</v>
      </c>
      <c r="C1394" t="s">
        <v>43</v>
      </c>
      <c r="D1394" t="s">
        <v>11</v>
      </c>
      <c r="E1394" t="s">
        <v>12</v>
      </c>
      <c r="F1394">
        <v>62179948</v>
      </c>
      <c r="G1394">
        <v>62179986</v>
      </c>
      <c r="H1394">
        <v>62179948</v>
      </c>
      <c r="I1394">
        <v>62179986</v>
      </c>
    </row>
    <row r="1395" spans="1:9" x14ac:dyDescent="0.2">
      <c r="A1395" t="str">
        <f>"Adrb3"</f>
        <v>Adrb3</v>
      </c>
      <c r="B1395" t="s">
        <v>14</v>
      </c>
      <c r="C1395" t="s">
        <v>30</v>
      </c>
      <c r="D1395" t="s">
        <v>11</v>
      </c>
      <c r="E1395" t="s">
        <v>12</v>
      </c>
      <c r="F1395">
        <v>27228529</v>
      </c>
      <c r="G1395">
        <v>27228556</v>
      </c>
      <c r="H1395">
        <v>27228581</v>
      </c>
      <c r="I1395">
        <v>27228587</v>
      </c>
    </row>
    <row r="1396" spans="1:9" x14ac:dyDescent="0.2">
      <c r="A1396" t="str">
        <f>"Adrbk1"</f>
        <v>Adrbk1</v>
      </c>
      <c r="B1396" t="s">
        <v>14</v>
      </c>
      <c r="C1396" t="s">
        <v>10</v>
      </c>
      <c r="D1396" t="s">
        <v>11</v>
      </c>
      <c r="E1396" t="s">
        <v>12</v>
      </c>
      <c r="F1396">
        <v>4306215</v>
      </c>
      <c r="G1396">
        <v>4306369</v>
      </c>
      <c r="H1396">
        <v>4306010</v>
      </c>
      <c r="I1396">
        <v>4306044</v>
      </c>
    </row>
    <row r="1397" spans="1:9" x14ac:dyDescent="0.2">
      <c r="A1397" t="str">
        <f>"Adrbk2"</f>
        <v>Adrbk2</v>
      </c>
      <c r="B1397" t="s">
        <v>14</v>
      </c>
      <c r="C1397" t="s">
        <v>46</v>
      </c>
      <c r="D1397" t="s">
        <v>11</v>
      </c>
      <c r="E1397" t="s">
        <v>12</v>
      </c>
      <c r="F1397">
        <v>113015473</v>
      </c>
      <c r="G1397">
        <v>113015567</v>
      </c>
      <c r="H1397">
        <v>113015818</v>
      </c>
      <c r="I1397">
        <v>113015868</v>
      </c>
    </row>
    <row r="1398" spans="1:9" x14ac:dyDescent="0.2">
      <c r="A1398" t="str">
        <f>"Adrm1"</f>
        <v>Adrm1</v>
      </c>
      <c r="B1398" t="s">
        <v>14</v>
      </c>
      <c r="C1398" t="s">
        <v>26</v>
      </c>
      <c r="D1398" t="s">
        <v>17</v>
      </c>
      <c r="E1398" t="s">
        <v>12</v>
      </c>
      <c r="F1398">
        <v>180171589</v>
      </c>
      <c r="G1398">
        <v>180171658</v>
      </c>
      <c r="H1398">
        <v>180171562</v>
      </c>
      <c r="I1398">
        <v>180171573</v>
      </c>
    </row>
    <row r="1399" spans="1:9" x14ac:dyDescent="0.2">
      <c r="A1399" t="str">
        <f>"Adsl"</f>
        <v>Adsl</v>
      </c>
      <c r="B1399" t="s">
        <v>14</v>
      </c>
      <c r="C1399" t="s">
        <v>25</v>
      </c>
      <c r="D1399" t="s">
        <v>17</v>
      </c>
      <c r="E1399" t="s">
        <v>12</v>
      </c>
      <c r="F1399">
        <v>80948484</v>
      </c>
      <c r="G1399">
        <v>80948549</v>
      </c>
      <c r="H1399">
        <v>80948484</v>
      </c>
      <c r="I1399">
        <v>80948549</v>
      </c>
    </row>
    <row r="1400" spans="1:9" x14ac:dyDescent="0.2">
      <c r="A1400" t="str">
        <f>"Adss"</f>
        <v>Adss</v>
      </c>
      <c r="B1400" t="s">
        <v>14</v>
      </c>
      <c r="C1400" t="s">
        <v>19</v>
      </c>
      <c r="D1400" t="s">
        <v>11</v>
      </c>
      <c r="E1400" t="s">
        <v>12</v>
      </c>
      <c r="F1400">
        <v>177796451</v>
      </c>
      <c r="G1400">
        <v>177796514</v>
      </c>
      <c r="H1400">
        <v>177796414</v>
      </c>
      <c r="I1400">
        <v>177796433</v>
      </c>
    </row>
    <row r="1401" spans="1:9" x14ac:dyDescent="0.2">
      <c r="A1401" t="str">
        <f>"Adssl1"</f>
        <v>Adssl1</v>
      </c>
      <c r="B1401" t="s">
        <v>14</v>
      </c>
      <c r="C1401" t="s">
        <v>16</v>
      </c>
      <c r="D1401" t="s">
        <v>17</v>
      </c>
      <c r="E1401" t="s">
        <v>12</v>
      </c>
      <c r="F1401">
        <v>112620067</v>
      </c>
      <c r="G1401">
        <v>112620084</v>
      </c>
      <c r="H1401">
        <v>112620030</v>
      </c>
      <c r="I1401">
        <v>112620056</v>
      </c>
    </row>
    <row r="1402" spans="1:9" x14ac:dyDescent="0.2">
      <c r="A1402" t="str">
        <f>"Adtrp"</f>
        <v>Adtrp</v>
      </c>
      <c r="B1402" t="s">
        <v>2115</v>
      </c>
      <c r="C1402" t="s">
        <v>39</v>
      </c>
      <c r="D1402" t="s">
        <v>11</v>
      </c>
      <c r="E1402" t="s">
        <v>35</v>
      </c>
      <c r="F1402">
        <v>41847626</v>
      </c>
      <c r="G1402">
        <v>41847642</v>
      </c>
      <c r="H1402">
        <v>41847482</v>
      </c>
      <c r="I1402">
        <v>41847490</v>
      </c>
    </row>
    <row r="1403" spans="1:9" x14ac:dyDescent="0.2">
      <c r="A1403" t="str">
        <f>"Aebp1"</f>
        <v>Aebp1</v>
      </c>
      <c r="B1403" t="s">
        <v>14</v>
      </c>
      <c r="C1403" t="s">
        <v>27</v>
      </c>
      <c r="D1403" t="s">
        <v>17</v>
      </c>
      <c r="E1403" t="s">
        <v>12</v>
      </c>
      <c r="F1403">
        <v>5861886</v>
      </c>
      <c r="G1403">
        <v>5861966</v>
      </c>
      <c r="H1403">
        <v>5861976</v>
      </c>
      <c r="I1403">
        <v>5861989</v>
      </c>
    </row>
    <row r="1404" spans="1:9" x14ac:dyDescent="0.2">
      <c r="A1404" t="str">
        <f>"Aebp2"</f>
        <v>Aebp2</v>
      </c>
      <c r="B1404" t="s">
        <v>14</v>
      </c>
      <c r="C1404" t="s">
        <v>32</v>
      </c>
      <c r="D1404" t="s">
        <v>17</v>
      </c>
      <c r="E1404" t="s">
        <v>12</v>
      </c>
      <c r="F1404">
        <v>140623476</v>
      </c>
      <c r="G1404">
        <v>140623615</v>
      </c>
      <c r="H1404">
        <v>140623646</v>
      </c>
      <c r="I1404">
        <v>140623715</v>
      </c>
    </row>
    <row r="1405" spans="1:9" x14ac:dyDescent="0.2">
      <c r="A1405" t="str">
        <f>"Aen"</f>
        <v>Aen</v>
      </c>
      <c r="B1405" t="s">
        <v>14</v>
      </c>
      <c r="C1405" t="s">
        <v>33</v>
      </c>
      <c r="D1405" t="s">
        <v>17</v>
      </c>
      <c r="E1405" t="s">
        <v>12</v>
      </c>
      <c r="F1405">
        <v>78895903</v>
      </c>
      <c r="G1405">
        <v>78895990</v>
      </c>
      <c r="H1405">
        <v>78895994</v>
      </c>
      <c r="I1405">
        <v>78896003</v>
      </c>
    </row>
    <row r="1406" spans="1:9" x14ac:dyDescent="0.2">
      <c r="A1406" t="str">
        <f>"Aes"</f>
        <v>Aes</v>
      </c>
      <c r="B1406" t="s">
        <v>14</v>
      </c>
      <c r="C1406" t="s">
        <v>15</v>
      </c>
      <c r="D1406" t="s">
        <v>17</v>
      </c>
      <c r="E1406" t="s">
        <v>12</v>
      </c>
      <c r="F1406">
        <v>81559447</v>
      </c>
      <c r="G1406">
        <v>81559498</v>
      </c>
      <c r="H1406">
        <v>81559524</v>
      </c>
      <c r="I1406">
        <v>81559583</v>
      </c>
    </row>
    <row r="1407" spans="1:9" x14ac:dyDescent="0.2">
      <c r="A1407" t="str">
        <f>"Afap1"</f>
        <v>Afap1</v>
      </c>
      <c r="B1407" t="s">
        <v>14</v>
      </c>
      <c r="C1407" t="s">
        <v>46</v>
      </c>
      <c r="D1407" t="s">
        <v>17</v>
      </c>
      <c r="E1407" t="s">
        <v>12</v>
      </c>
      <c r="F1407">
        <v>35893360</v>
      </c>
      <c r="G1407">
        <v>35893426</v>
      </c>
      <c r="H1407">
        <v>35893430</v>
      </c>
      <c r="I1407">
        <v>35893473</v>
      </c>
    </row>
    <row r="1408" spans="1:9" x14ac:dyDescent="0.2">
      <c r="A1408" t="str">
        <f>"Afap1l1"</f>
        <v>Afap1l1</v>
      </c>
      <c r="B1408" t="s">
        <v>14</v>
      </c>
      <c r="C1408" t="s">
        <v>43</v>
      </c>
      <c r="D1408" t="s">
        <v>11</v>
      </c>
      <c r="E1408" t="s">
        <v>12</v>
      </c>
      <c r="F1408">
        <v>61786636</v>
      </c>
      <c r="G1408">
        <v>61786691</v>
      </c>
      <c r="H1408">
        <v>61786636</v>
      </c>
      <c r="I1408">
        <v>61786691</v>
      </c>
    </row>
    <row r="1409" spans="1:9" x14ac:dyDescent="0.2">
      <c r="A1409" t="str">
        <f>"Afap1l2"</f>
        <v>Afap1l2</v>
      </c>
      <c r="B1409" t="s">
        <v>14</v>
      </c>
      <c r="C1409" t="s">
        <v>10</v>
      </c>
      <c r="D1409" t="s">
        <v>11</v>
      </c>
      <c r="E1409" t="s">
        <v>12</v>
      </c>
      <c r="F1409">
        <v>57008187</v>
      </c>
      <c r="G1409">
        <v>57008223</v>
      </c>
      <c r="H1409">
        <v>57008546</v>
      </c>
      <c r="I1409">
        <v>57008560</v>
      </c>
    </row>
    <row r="1410" spans="1:9" x14ac:dyDescent="0.2">
      <c r="A1410" t="str">
        <f>"Aff1"</f>
        <v>Aff1</v>
      </c>
      <c r="B1410" t="s">
        <v>14</v>
      </c>
      <c r="C1410" t="s">
        <v>46</v>
      </c>
      <c r="D1410" t="s">
        <v>17</v>
      </c>
      <c r="E1410" t="s">
        <v>12</v>
      </c>
      <c r="F1410">
        <v>103754154</v>
      </c>
      <c r="G1410">
        <v>103754188</v>
      </c>
      <c r="H1410">
        <v>103754200</v>
      </c>
      <c r="I1410">
        <v>103754217</v>
      </c>
    </row>
    <row r="1411" spans="1:9" x14ac:dyDescent="0.2">
      <c r="A1411" t="str">
        <f>"Aff2"</f>
        <v>Aff2</v>
      </c>
      <c r="B1411" t="s">
        <v>14</v>
      </c>
      <c r="C1411" t="s">
        <v>37</v>
      </c>
      <c r="D1411" t="s">
        <v>17</v>
      </c>
      <c r="E1411" t="s">
        <v>12</v>
      </c>
      <c r="F1411">
        <v>69360306</v>
      </c>
      <c r="G1411">
        <v>69360387</v>
      </c>
      <c r="H1411">
        <v>69360394</v>
      </c>
      <c r="I1411">
        <v>69360411</v>
      </c>
    </row>
    <row r="1412" spans="1:9" x14ac:dyDescent="0.2">
      <c r="A1412" t="str">
        <f>"Aff3"</f>
        <v>Aff3</v>
      </c>
      <c r="B1412" t="s">
        <v>9</v>
      </c>
      <c r="C1412" t="s">
        <v>19</v>
      </c>
      <c r="D1412" t="s">
        <v>11</v>
      </c>
      <c r="E1412" t="s">
        <v>12</v>
      </c>
      <c r="F1412">
        <v>38664947</v>
      </c>
      <c r="G1412">
        <v>38665000</v>
      </c>
      <c r="H1412">
        <v>38664947</v>
      </c>
      <c r="I1412">
        <v>38665000</v>
      </c>
    </row>
    <row r="1413" spans="1:9" x14ac:dyDescent="0.2">
      <c r="A1413" t="str">
        <f>"Aff3"</f>
        <v>Aff3</v>
      </c>
      <c r="B1413" t="s">
        <v>13</v>
      </c>
      <c r="C1413" t="s">
        <v>19</v>
      </c>
      <c r="D1413" t="s">
        <v>11</v>
      </c>
      <c r="E1413" t="s">
        <v>12</v>
      </c>
      <c r="F1413">
        <v>38627415</v>
      </c>
      <c r="G1413">
        <v>38627467</v>
      </c>
      <c r="H1413">
        <v>38627415</v>
      </c>
      <c r="I1413">
        <v>38627467</v>
      </c>
    </row>
    <row r="1414" spans="1:9" x14ac:dyDescent="0.2">
      <c r="A1414" t="str">
        <f>"Aff4"</f>
        <v>Aff4</v>
      </c>
      <c r="B1414" t="s">
        <v>14</v>
      </c>
      <c r="C1414" t="s">
        <v>27</v>
      </c>
      <c r="D1414" t="s">
        <v>17</v>
      </c>
      <c r="E1414" t="s">
        <v>12</v>
      </c>
      <c r="F1414">
        <v>53350734</v>
      </c>
      <c r="G1414">
        <v>53350782</v>
      </c>
      <c r="H1414">
        <v>53350876</v>
      </c>
      <c r="I1414">
        <v>53350890</v>
      </c>
    </row>
    <row r="1415" spans="1:9" x14ac:dyDescent="0.2">
      <c r="A1415" t="str">
        <f>"Afg3l1"</f>
        <v>Afg3l1</v>
      </c>
      <c r="B1415" t="s">
        <v>14</v>
      </c>
      <c r="C1415" t="s">
        <v>30</v>
      </c>
      <c r="D1415" t="s">
        <v>17</v>
      </c>
      <c r="E1415" t="s">
        <v>12</v>
      </c>
      <c r="F1415">
        <v>123477859</v>
      </c>
      <c r="G1415">
        <v>123477904</v>
      </c>
      <c r="H1415">
        <v>123477934</v>
      </c>
      <c r="I1415">
        <v>123477945</v>
      </c>
    </row>
    <row r="1416" spans="1:9" x14ac:dyDescent="0.2">
      <c r="A1416" t="str">
        <f>"Afg3l2"</f>
        <v>Afg3l2</v>
      </c>
      <c r="B1416" t="s">
        <v>14</v>
      </c>
      <c r="C1416" t="s">
        <v>43</v>
      </c>
      <c r="D1416" t="s">
        <v>11</v>
      </c>
      <c r="E1416" t="s">
        <v>12</v>
      </c>
      <c r="F1416">
        <v>67449083</v>
      </c>
      <c r="G1416">
        <v>67449205</v>
      </c>
      <c r="H1416">
        <v>67449083</v>
      </c>
      <c r="I1416">
        <v>67449205</v>
      </c>
    </row>
    <row r="1417" spans="1:9" x14ac:dyDescent="0.2">
      <c r="A1417" t="str">
        <f>"Afm"</f>
        <v>Afm</v>
      </c>
      <c r="B1417" t="s">
        <v>14</v>
      </c>
      <c r="C1417" t="s">
        <v>46</v>
      </c>
      <c r="D1417" t="s">
        <v>17</v>
      </c>
      <c r="E1417" t="s">
        <v>12</v>
      </c>
      <c r="F1417">
        <v>90518941</v>
      </c>
      <c r="G1417">
        <v>90518956</v>
      </c>
      <c r="H1417">
        <v>90518941</v>
      </c>
      <c r="I1417">
        <v>90518956</v>
      </c>
    </row>
    <row r="1418" spans="1:9" x14ac:dyDescent="0.2">
      <c r="A1418" t="str">
        <f>"Afmid"</f>
        <v>Afmid</v>
      </c>
      <c r="B1418" t="s">
        <v>9</v>
      </c>
      <c r="C1418" t="s">
        <v>27</v>
      </c>
      <c r="D1418" t="s">
        <v>17</v>
      </c>
      <c r="E1418" t="s">
        <v>12</v>
      </c>
      <c r="F1418">
        <v>117809653</v>
      </c>
      <c r="G1418">
        <v>117809685</v>
      </c>
      <c r="H1418">
        <v>117809653</v>
      </c>
      <c r="I1418">
        <v>117809685</v>
      </c>
    </row>
    <row r="1419" spans="1:9" x14ac:dyDescent="0.2">
      <c r="A1419" t="str">
        <f>"Afmid"</f>
        <v>Afmid</v>
      </c>
      <c r="B1419" t="s">
        <v>13</v>
      </c>
      <c r="C1419" t="s">
        <v>27</v>
      </c>
      <c r="D1419" t="s">
        <v>17</v>
      </c>
      <c r="E1419" t="s">
        <v>12</v>
      </c>
      <c r="F1419">
        <v>117825885</v>
      </c>
      <c r="G1419">
        <v>117825926</v>
      </c>
      <c r="H1419">
        <v>117825885</v>
      </c>
      <c r="I1419">
        <v>117825926</v>
      </c>
    </row>
    <row r="1420" spans="1:9" x14ac:dyDescent="0.2">
      <c r="A1420" t="str">
        <f>"Afp"</f>
        <v>Afp</v>
      </c>
      <c r="B1420" t="s">
        <v>14</v>
      </c>
      <c r="C1420" t="s">
        <v>46</v>
      </c>
      <c r="D1420" t="s">
        <v>17</v>
      </c>
      <c r="E1420" t="s">
        <v>12</v>
      </c>
      <c r="F1420">
        <v>90490729</v>
      </c>
      <c r="G1420">
        <v>90490744</v>
      </c>
      <c r="H1420">
        <v>90490729</v>
      </c>
      <c r="I1420">
        <v>90490744</v>
      </c>
    </row>
    <row r="1421" spans="1:9" x14ac:dyDescent="0.2">
      <c r="A1421" t="str">
        <f>"Aftph"</f>
        <v>Aftph</v>
      </c>
      <c r="B1421" t="s">
        <v>14</v>
      </c>
      <c r="C1421" t="s">
        <v>27</v>
      </c>
      <c r="D1421" t="s">
        <v>11</v>
      </c>
      <c r="E1421" t="s">
        <v>12</v>
      </c>
      <c r="F1421">
        <v>20741447</v>
      </c>
      <c r="G1421">
        <v>20741524</v>
      </c>
      <c r="H1421">
        <v>20741580</v>
      </c>
      <c r="I1421">
        <v>20741622</v>
      </c>
    </row>
    <row r="1422" spans="1:9" x14ac:dyDescent="0.2">
      <c r="A1422" t="str">
        <f>"Aga"</f>
        <v>Aga</v>
      </c>
      <c r="B1422" t="s">
        <v>14</v>
      </c>
      <c r="C1422" t="s">
        <v>30</v>
      </c>
      <c r="D1422" t="s">
        <v>17</v>
      </c>
      <c r="E1422" t="s">
        <v>12</v>
      </c>
      <c r="F1422">
        <v>53511774</v>
      </c>
      <c r="G1422">
        <v>53511808</v>
      </c>
      <c r="H1422">
        <v>53511695</v>
      </c>
      <c r="I1422">
        <v>53511739</v>
      </c>
    </row>
    <row r="1423" spans="1:9" x14ac:dyDescent="0.2">
      <c r="A1423" t="str">
        <f>"Agap1"</f>
        <v>Agap1</v>
      </c>
      <c r="B1423" t="s">
        <v>14</v>
      </c>
      <c r="C1423" t="s">
        <v>19</v>
      </c>
      <c r="D1423" t="s">
        <v>17</v>
      </c>
      <c r="E1423" t="s">
        <v>12</v>
      </c>
      <c r="F1423">
        <v>89454769</v>
      </c>
      <c r="G1423">
        <v>89454885</v>
      </c>
      <c r="H1423">
        <v>89455304</v>
      </c>
      <c r="I1423">
        <v>89455308</v>
      </c>
    </row>
    <row r="1424" spans="1:9" x14ac:dyDescent="0.2">
      <c r="A1424" t="str">
        <f>"Agap2"</f>
        <v>Agap2</v>
      </c>
      <c r="B1424" t="s">
        <v>14</v>
      </c>
      <c r="C1424" t="s">
        <v>15</v>
      </c>
      <c r="D1424" t="s">
        <v>17</v>
      </c>
      <c r="E1424" t="s">
        <v>12</v>
      </c>
      <c r="F1424">
        <v>127078886</v>
      </c>
      <c r="G1424">
        <v>127078918</v>
      </c>
      <c r="H1424">
        <v>127079040</v>
      </c>
      <c r="I1424">
        <v>127079069</v>
      </c>
    </row>
    <row r="1425" spans="1:9" x14ac:dyDescent="0.2">
      <c r="A1425" t="str">
        <f>"Agap3"</f>
        <v>Agap3</v>
      </c>
      <c r="B1425" t="s">
        <v>14</v>
      </c>
      <c r="C1425" t="s">
        <v>46</v>
      </c>
      <c r="D1425" t="s">
        <v>17</v>
      </c>
      <c r="E1425" t="s">
        <v>12</v>
      </c>
      <c r="F1425">
        <v>24451937</v>
      </c>
      <c r="G1425">
        <v>24451969</v>
      </c>
      <c r="H1425">
        <v>24451973</v>
      </c>
      <c r="I1425">
        <v>24451990</v>
      </c>
    </row>
    <row r="1426" spans="1:9" x14ac:dyDescent="0.2">
      <c r="A1426" t="str">
        <f>"Agbl1"</f>
        <v>Agbl1</v>
      </c>
      <c r="B1426" t="s">
        <v>2116</v>
      </c>
      <c r="C1426" t="s">
        <v>33</v>
      </c>
      <c r="D1426" t="s">
        <v>17</v>
      </c>
      <c r="E1426" t="s">
        <v>20</v>
      </c>
      <c r="F1426">
        <v>76411061</v>
      </c>
      <c r="G1426">
        <v>76411061</v>
      </c>
      <c r="H1426">
        <v>76411061</v>
      </c>
      <c r="I1426">
        <v>76411061</v>
      </c>
    </row>
    <row r="1427" spans="1:9" x14ac:dyDescent="0.2">
      <c r="A1427" t="str">
        <f>"Agbl2"</f>
        <v>Agbl2</v>
      </c>
      <c r="B1427" t="s">
        <v>14</v>
      </c>
      <c r="C1427" t="s">
        <v>26</v>
      </c>
      <c r="D1427" t="s">
        <v>17</v>
      </c>
      <c r="E1427" t="s">
        <v>12</v>
      </c>
      <c r="F1427">
        <v>90783228</v>
      </c>
      <c r="G1427">
        <v>90783263</v>
      </c>
      <c r="H1427">
        <v>90782697</v>
      </c>
      <c r="I1427">
        <v>90782715</v>
      </c>
    </row>
    <row r="1428" spans="1:9" x14ac:dyDescent="0.2">
      <c r="A1428" t="str">
        <f>"Agbl3"</f>
        <v>Agbl3</v>
      </c>
      <c r="B1428" t="s">
        <v>14</v>
      </c>
      <c r="C1428" t="s">
        <v>32</v>
      </c>
      <c r="D1428" t="s">
        <v>17</v>
      </c>
      <c r="E1428" t="s">
        <v>12</v>
      </c>
      <c r="F1428">
        <v>34780412</v>
      </c>
      <c r="G1428">
        <v>34780467</v>
      </c>
      <c r="H1428">
        <v>34780836</v>
      </c>
      <c r="I1428">
        <v>34780905</v>
      </c>
    </row>
    <row r="1429" spans="1:9" x14ac:dyDescent="0.2">
      <c r="A1429" t="str">
        <f>"Agbl4"</f>
        <v>Agbl4</v>
      </c>
      <c r="B1429" t="s">
        <v>14</v>
      </c>
      <c r="C1429" t="s">
        <v>23</v>
      </c>
      <c r="D1429" t="s">
        <v>17</v>
      </c>
      <c r="E1429" t="s">
        <v>12</v>
      </c>
      <c r="F1429">
        <v>110397710</v>
      </c>
      <c r="G1429">
        <v>110397763</v>
      </c>
      <c r="H1429">
        <v>110397764</v>
      </c>
      <c r="I1429">
        <v>110397808</v>
      </c>
    </row>
    <row r="1430" spans="1:9" x14ac:dyDescent="0.2">
      <c r="A1430" t="str">
        <f>"Agbl5"</f>
        <v>Agbl5</v>
      </c>
      <c r="B1430" t="s">
        <v>14</v>
      </c>
      <c r="C1430" t="s">
        <v>46</v>
      </c>
      <c r="D1430" t="s">
        <v>17</v>
      </c>
      <c r="E1430" t="s">
        <v>12</v>
      </c>
      <c r="F1430">
        <v>30888927</v>
      </c>
      <c r="G1430">
        <v>30888997</v>
      </c>
      <c r="H1430">
        <v>30889296</v>
      </c>
      <c r="I1430">
        <v>30889320</v>
      </c>
    </row>
    <row r="1431" spans="1:9" x14ac:dyDescent="0.2">
      <c r="A1431" t="str">
        <f>"Ager"</f>
        <v>Ager</v>
      </c>
      <c r="B1431" t="s">
        <v>14</v>
      </c>
      <c r="C1431" t="s">
        <v>28</v>
      </c>
      <c r="D1431" t="s">
        <v>17</v>
      </c>
      <c r="E1431" t="s">
        <v>12</v>
      </c>
      <c r="F1431">
        <v>34597852</v>
      </c>
      <c r="G1431">
        <v>34597868</v>
      </c>
      <c r="H1431">
        <v>34597852</v>
      </c>
      <c r="I1431">
        <v>34597868</v>
      </c>
    </row>
    <row r="1432" spans="1:9" x14ac:dyDescent="0.2">
      <c r="A1432" t="str">
        <f>"Agfg1"</f>
        <v>Agfg1</v>
      </c>
      <c r="B1432" t="s">
        <v>14</v>
      </c>
      <c r="C1432" t="s">
        <v>19</v>
      </c>
      <c r="D1432" t="s">
        <v>17</v>
      </c>
      <c r="E1432" t="s">
        <v>12</v>
      </c>
      <c r="F1432">
        <v>82839449</v>
      </c>
      <c r="G1432">
        <v>82839518</v>
      </c>
      <c r="H1432">
        <v>82839651</v>
      </c>
      <c r="I1432">
        <v>82839684</v>
      </c>
    </row>
    <row r="1433" spans="1:9" x14ac:dyDescent="0.2">
      <c r="A1433" t="str">
        <f>"Agfg2"</f>
        <v>Agfg2</v>
      </c>
      <c r="B1433" t="s">
        <v>14</v>
      </c>
      <c r="C1433" t="s">
        <v>46</v>
      </c>
      <c r="D1433" t="s">
        <v>11</v>
      </c>
      <c r="E1433" t="s">
        <v>12</v>
      </c>
      <c r="F1433">
        <v>137684665</v>
      </c>
      <c r="G1433">
        <v>137684729</v>
      </c>
      <c r="H1433">
        <v>137684588</v>
      </c>
      <c r="I1433">
        <v>137684603</v>
      </c>
    </row>
    <row r="1434" spans="1:9" x14ac:dyDescent="0.2">
      <c r="A1434" t="str">
        <f>"Aggf1"</f>
        <v>Aggf1</v>
      </c>
      <c r="B1434" t="s">
        <v>14</v>
      </c>
      <c r="C1434" t="s">
        <v>39</v>
      </c>
      <c r="D1434" t="s">
        <v>11</v>
      </c>
      <c r="E1434" t="s">
        <v>12</v>
      </c>
      <c r="F1434">
        <v>95375329</v>
      </c>
      <c r="G1434">
        <v>95375369</v>
      </c>
      <c r="H1434">
        <v>95375305</v>
      </c>
      <c r="I1434">
        <v>95375321</v>
      </c>
    </row>
    <row r="1435" spans="1:9" x14ac:dyDescent="0.2">
      <c r="A1435" t="str">
        <f>"Agk"</f>
        <v>Agk</v>
      </c>
      <c r="B1435" t="s">
        <v>14</v>
      </c>
      <c r="C1435" t="s">
        <v>32</v>
      </c>
      <c r="D1435" t="s">
        <v>17</v>
      </c>
      <c r="E1435" t="s">
        <v>12</v>
      </c>
      <c r="F1435">
        <v>40325471</v>
      </c>
      <c r="G1435">
        <v>40325501</v>
      </c>
      <c r="H1435">
        <v>40325113</v>
      </c>
      <c r="I1435">
        <v>40325152</v>
      </c>
    </row>
    <row r="1436" spans="1:9" x14ac:dyDescent="0.2">
      <c r="A1436" t="str">
        <f>"Agl"</f>
        <v>Agl</v>
      </c>
      <c r="B1436" t="s">
        <v>14</v>
      </c>
      <c r="C1436" t="s">
        <v>22</v>
      </c>
      <c r="D1436" t="s">
        <v>11</v>
      </c>
      <c r="E1436" t="s">
        <v>12</v>
      </c>
      <c r="F1436">
        <v>116808067</v>
      </c>
      <c r="G1436">
        <v>116808136</v>
      </c>
      <c r="H1436">
        <v>116807802</v>
      </c>
      <c r="I1436">
        <v>116807866</v>
      </c>
    </row>
    <row r="1437" spans="1:9" x14ac:dyDescent="0.2">
      <c r="A1437" t="str">
        <f>"Agmat"</f>
        <v>Agmat</v>
      </c>
      <c r="B1437" t="s">
        <v>14</v>
      </c>
      <c r="C1437" t="s">
        <v>23</v>
      </c>
      <c r="D1437" t="s">
        <v>17</v>
      </c>
      <c r="E1437" t="s">
        <v>12</v>
      </c>
      <c r="F1437">
        <v>141746769</v>
      </c>
      <c r="G1437">
        <v>141746787</v>
      </c>
      <c r="H1437">
        <v>141746792</v>
      </c>
      <c r="I1437">
        <v>141746814</v>
      </c>
    </row>
    <row r="1438" spans="1:9" x14ac:dyDescent="0.2">
      <c r="A1438" t="str">
        <f>"Agmo"</f>
        <v>Agmo</v>
      </c>
      <c r="B1438" t="s">
        <v>14</v>
      </c>
      <c r="C1438" t="s">
        <v>16</v>
      </c>
      <c r="D1438" t="s">
        <v>17</v>
      </c>
      <c r="E1438" t="s">
        <v>12</v>
      </c>
      <c r="F1438">
        <v>37241804</v>
      </c>
      <c r="G1438">
        <v>37241897</v>
      </c>
      <c r="H1438">
        <v>37241729</v>
      </c>
      <c r="I1438">
        <v>37241758</v>
      </c>
    </row>
    <row r="1439" spans="1:9" x14ac:dyDescent="0.2">
      <c r="A1439" t="str">
        <f>"Ago1"</f>
        <v>Ago1</v>
      </c>
      <c r="B1439" t="s">
        <v>14</v>
      </c>
      <c r="C1439" t="s">
        <v>23</v>
      </c>
      <c r="D1439" t="s">
        <v>11</v>
      </c>
      <c r="E1439" t="s">
        <v>67</v>
      </c>
      <c r="F1439">
        <v>126468580</v>
      </c>
      <c r="G1439">
        <v>126468653</v>
      </c>
      <c r="H1439">
        <v>126468696</v>
      </c>
      <c r="I1439">
        <v>126468705</v>
      </c>
    </row>
    <row r="1440" spans="1:9" x14ac:dyDescent="0.2">
      <c r="A1440" t="str">
        <f>"Ago2"</f>
        <v>Ago2</v>
      </c>
      <c r="B1440" t="s">
        <v>14</v>
      </c>
      <c r="C1440" t="s">
        <v>25</v>
      </c>
      <c r="D1440" t="s">
        <v>11</v>
      </c>
      <c r="E1440" t="s">
        <v>67</v>
      </c>
      <c r="F1440">
        <v>73184863</v>
      </c>
      <c r="G1440">
        <v>73184971</v>
      </c>
      <c r="H1440">
        <v>73184863</v>
      </c>
      <c r="I1440">
        <v>73184971</v>
      </c>
    </row>
    <row r="1441" spans="1:9" x14ac:dyDescent="0.2">
      <c r="A1441" t="str">
        <f>"Ago3"</f>
        <v>Ago3</v>
      </c>
      <c r="B1441" t="s">
        <v>14</v>
      </c>
      <c r="C1441" t="s">
        <v>23</v>
      </c>
      <c r="D1441" t="s">
        <v>11</v>
      </c>
      <c r="E1441" t="s">
        <v>67</v>
      </c>
      <c r="F1441">
        <v>126429421</v>
      </c>
      <c r="G1441">
        <v>126429474</v>
      </c>
      <c r="H1441">
        <v>126429501</v>
      </c>
      <c r="I1441">
        <v>126429513</v>
      </c>
    </row>
    <row r="1442" spans="1:9" x14ac:dyDescent="0.2">
      <c r="A1442" t="str">
        <f>"Ago4"</f>
        <v>Ago4</v>
      </c>
      <c r="B1442" t="s">
        <v>14</v>
      </c>
      <c r="C1442" t="s">
        <v>23</v>
      </c>
      <c r="D1442" t="s">
        <v>11</v>
      </c>
      <c r="E1442" t="s">
        <v>67</v>
      </c>
      <c r="F1442">
        <v>126533561</v>
      </c>
      <c r="G1442">
        <v>126533613</v>
      </c>
      <c r="H1442">
        <v>126533441</v>
      </c>
      <c r="I1442">
        <v>126533480</v>
      </c>
    </row>
    <row r="1443" spans="1:9" x14ac:dyDescent="0.2">
      <c r="A1443" t="str">
        <f>"Agpat1"</f>
        <v>Agpat1</v>
      </c>
      <c r="B1443" t="s">
        <v>14</v>
      </c>
      <c r="C1443" t="s">
        <v>28</v>
      </c>
      <c r="D1443" t="s">
        <v>17</v>
      </c>
      <c r="E1443" t="s">
        <v>12</v>
      </c>
      <c r="F1443">
        <v>34605899</v>
      </c>
      <c r="G1443">
        <v>34605939</v>
      </c>
      <c r="H1443">
        <v>34605864</v>
      </c>
      <c r="I1443">
        <v>34605881</v>
      </c>
    </row>
    <row r="1444" spans="1:9" x14ac:dyDescent="0.2">
      <c r="A1444" t="str">
        <f>"Agpat2"</f>
        <v>Agpat2</v>
      </c>
      <c r="B1444" t="s">
        <v>14</v>
      </c>
      <c r="C1444" t="s">
        <v>26</v>
      </c>
      <c r="D1444" t="s">
        <v>11</v>
      </c>
      <c r="E1444" t="s">
        <v>12</v>
      </c>
      <c r="F1444">
        <v>26604235</v>
      </c>
      <c r="G1444">
        <v>26604252</v>
      </c>
      <c r="H1444">
        <v>26604267</v>
      </c>
      <c r="I1444">
        <v>26604309</v>
      </c>
    </row>
    <row r="1445" spans="1:9" x14ac:dyDescent="0.2">
      <c r="A1445" t="str">
        <f>"Agpat3"</f>
        <v>Agpat3</v>
      </c>
      <c r="B1445" t="s">
        <v>14</v>
      </c>
      <c r="C1445" t="s">
        <v>15</v>
      </c>
      <c r="D1445" t="s">
        <v>11</v>
      </c>
      <c r="E1445" t="s">
        <v>12</v>
      </c>
      <c r="F1445">
        <v>78352323</v>
      </c>
      <c r="G1445">
        <v>78352459</v>
      </c>
      <c r="H1445">
        <v>78352469</v>
      </c>
      <c r="I1445">
        <v>78352515</v>
      </c>
    </row>
    <row r="1446" spans="1:9" x14ac:dyDescent="0.2">
      <c r="A1446" t="str">
        <f>"Agpat4"</f>
        <v>Agpat4</v>
      </c>
      <c r="B1446" t="s">
        <v>14</v>
      </c>
      <c r="C1446" t="s">
        <v>28</v>
      </c>
      <c r="D1446" t="s">
        <v>17</v>
      </c>
      <c r="E1446" t="s">
        <v>12</v>
      </c>
      <c r="F1446">
        <v>12119274</v>
      </c>
      <c r="G1446">
        <v>12119348</v>
      </c>
      <c r="H1446">
        <v>12119365</v>
      </c>
      <c r="I1446">
        <v>12119377</v>
      </c>
    </row>
    <row r="1447" spans="1:9" x14ac:dyDescent="0.2">
      <c r="A1447" t="str">
        <f>"Agpat5"</f>
        <v>Agpat5</v>
      </c>
      <c r="B1447" t="s">
        <v>14</v>
      </c>
      <c r="C1447" t="s">
        <v>30</v>
      </c>
      <c r="D1447" t="s">
        <v>17</v>
      </c>
      <c r="E1447" t="s">
        <v>12</v>
      </c>
      <c r="F1447">
        <v>18846251</v>
      </c>
      <c r="G1447">
        <v>18846328</v>
      </c>
      <c r="H1447">
        <v>18846251</v>
      </c>
      <c r="I1447">
        <v>18846328</v>
      </c>
    </row>
    <row r="1448" spans="1:9" x14ac:dyDescent="0.2">
      <c r="A1448" t="str">
        <f>"Agpat6"</f>
        <v>Agpat6</v>
      </c>
      <c r="B1448" t="s">
        <v>14</v>
      </c>
      <c r="C1448" t="s">
        <v>30</v>
      </c>
      <c r="D1448" t="s">
        <v>11</v>
      </c>
      <c r="E1448" t="s">
        <v>12</v>
      </c>
      <c r="F1448">
        <v>23208361</v>
      </c>
      <c r="G1448">
        <v>23208404</v>
      </c>
      <c r="H1448">
        <v>23208319</v>
      </c>
      <c r="I1448">
        <v>23208356</v>
      </c>
    </row>
    <row r="1449" spans="1:9" x14ac:dyDescent="0.2">
      <c r="A1449" t="str">
        <f>"Agpat9"</f>
        <v>Agpat9</v>
      </c>
      <c r="B1449" t="s">
        <v>14</v>
      </c>
      <c r="C1449" t="s">
        <v>46</v>
      </c>
      <c r="D1449" t="s">
        <v>17</v>
      </c>
      <c r="E1449" t="s">
        <v>12</v>
      </c>
      <c r="F1449">
        <v>100846278</v>
      </c>
      <c r="G1449">
        <v>100846293</v>
      </c>
      <c r="H1449">
        <v>100846450</v>
      </c>
      <c r="I1449">
        <v>100846508</v>
      </c>
    </row>
    <row r="1450" spans="1:9" x14ac:dyDescent="0.2">
      <c r="A1450" t="str">
        <f>"Agps"</f>
        <v>Agps</v>
      </c>
      <c r="B1450" t="s">
        <v>14</v>
      </c>
      <c r="C1450" t="s">
        <v>26</v>
      </c>
      <c r="D1450" t="s">
        <v>17</v>
      </c>
      <c r="E1450" t="s">
        <v>12</v>
      </c>
      <c r="F1450">
        <v>75832168</v>
      </c>
      <c r="G1450">
        <v>75832194</v>
      </c>
      <c r="H1450">
        <v>75832237</v>
      </c>
      <c r="I1450">
        <v>75832284</v>
      </c>
    </row>
    <row r="1451" spans="1:9" x14ac:dyDescent="0.2">
      <c r="A1451" t="str">
        <f>"Agr2"</f>
        <v>Agr2</v>
      </c>
      <c r="B1451" t="s">
        <v>14</v>
      </c>
      <c r="C1451" t="s">
        <v>16</v>
      </c>
      <c r="D1451" t="s">
        <v>17</v>
      </c>
      <c r="E1451" t="s">
        <v>12</v>
      </c>
      <c r="F1451">
        <v>35992900</v>
      </c>
      <c r="G1451">
        <v>35992917</v>
      </c>
      <c r="H1451">
        <v>35992900</v>
      </c>
      <c r="I1451">
        <v>35992917</v>
      </c>
    </row>
    <row r="1452" spans="1:9" x14ac:dyDescent="0.2">
      <c r="A1452" t="str">
        <f>"Agr3"</f>
        <v>Agr3</v>
      </c>
      <c r="B1452" t="s">
        <v>14</v>
      </c>
      <c r="C1452" t="s">
        <v>16</v>
      </c>
      <c r="D1452" t="s">
        <v>17</v>
      </c>
      <c r="E1452" t="s">
        <v>12</v>
      </c>
      <c r="F1452">
        <v>35925679</v>
      </c>
      <c r="G1452">
        <v>35925708</v>
      </c>
      <c r="H1452">
        <v>35925661</v>
      </c>
      <c r="I1452">
        <v>35925670</v>
      </c>
    </row>
    <row r="1453" spans="1:9" x14ac:dyDescent="0.2">
      <c r="A1453" t="str">
        <f>"Agrn"</f>
        <v>Agrn</v>
      </c>
      <c r="B1453" t="s">
        <v>9</v>
      </c>
      <c r="C1453" t="s">
        <v>23</v>
      </c>
      <c r="D1453" t="s">
        <v>11</v>
      </c>
      <c r="E1453" t="s">
        <v>12</v>
      </c>
      <c r="F1453">
        <v>156197479</v>
      </c>
      <c r="G1453">
        <v>156197496</v>
      </c>
      <c r="H1453">
        <v>156197479</v>
      </c>
      <c r="I1453">
        <v>156197496</v>
      </c>
    </row>
    <row r="1454" spans="1:9" x14ac:dyDescent="0.2">
      <c r="A1454" t="str">
        <f>"Agrn"</f>
        <v>Agrn</v>
      </c>
      <c r="B1454" t="s">
        <v>13</v>
      </c>
      <c r="C1454" t="s">
        <v>23</v>
      </c>
      <c r="D1454" t="s">
        <v>11</v>
      </c>
      <c r="E1454" t="s">
        <v>12</v>
      </c>
      <c r="F1454">
        <v>156186215</v>
      </c>
      <c r="G1454">
        <v>156186279</v>
      </c>
      <c r="H1454">
        <v>156186215</v>
      </c>
      <c r="I1454">
        <v>156186279</v>
      </c>
    </row>
    <row r="1455" spans="1:9" x14ac:dyDescent="0.2">
      <c r="A1455" t="str">
        <f>"Agrp"</f>
        <v>Agrp</v>
      </c>
      <c r="B1455" t="s">
        <v>2117</v>
      </c>
      <c r="C1455" t="s">
        <v>30</v>
      </c>
      <c r="D1455" t="s">
        <v>11</v>
      </c>
      <c r="E1455" t="s">
        <v>20</v>
      </c>
      <c r="F1455">
        <v>105568297</v>
      </c>
      <c r="G1455">
        <v>105568297</v>
      </c>
      <c r="H1455">
        <v>105568297</v>
      </c>
      <c r="I1455">
        <v>105568297</v>
      </c>
    </row>
    <row r="1456" spans="1:9" x14ac:dyDescent="0.2">
      <c r="A1456" t="str">
        <f>"Agt"</f>
        <v>Agt</v>
      </c>
      <c r="B1456" t="s">
        <v>14</v>
      </c>
      <c r="C1456" t="s">
        <v>30</v>
      </c>
      <c r="D1456" t="s">
        <v>11</v>
      </c>
      <c r="E1456" t="s">
        <v>12</v>
      </c>
      <c r="F1456">
        <v>124569696</v>
      </c>
      <c r="G1456">
        <v>124569714</v>
      </c>
      <c r="H1456">
        <v>124569696</v>
      </c>
      <c r="I1456">
        <v>124569714</v>
      </c>
    </row>
    <row r="1457" spans="1:9" x14ac:dyDescent="0.2">
      <c r="A1457" t="str">
        <f>"Agtpbp1"</f>
        <v>Agtpbp1</v>
      </c>
      <c r="B1457" t="s">
        <v>14</v>
      </c>
      <c r="C1457" t="s">
        <v>39</v>
      </c>
      <c r="D1457" t="s">
        <v>11</v>
      </c>
      <c r="E1457" t="s">
        <v>12</v>
      </c>
      <c r="F1457">
        <v>59557230</v>
      </c>
      <c r="G1457">
        <v>59557346</v>
      </c>
      <c r="H1457">
        <v>59557354</v>
      </c>
      <c r="I1457">
        <v>59557372</v>
      </c>
    </row>
    <row r="1458" spans="1:9" x14ac:dyDescent="0.2">
      <c r="A1458" t="str">
        <f>"Agtr1a"</f>
        <v>Agtr1a</v>
      </c>
      <c r="B1458" t="s">
        <v>14</v>
      </c>
      <c r="C1458" t="s">
        <v>39</v>
      </c>
      <c r="D1458" t="s">
        <v>17</v>
      </c>
      <c r="E1458" t="s">
        <v>12</v>
      </c>
      <c r="F1458">
        <v>30336433</v>
      </c>
      <c r="G1458">
        <v>30336450</v>
      </c>
      <c r="H1458">
        <v>30336381</v>
      </c>
      <c r="I1458">
        <v>30336415</v>
      </c>
    </row>
    <row r="1459" spans="1:9" x14ac:dyDescent="0.2">
      <c r="A1459" t="str">
        <f>"Agtr1b"</f>
        <v>Agtr1b</v>
      </c>
      <c r="B1459" t="s">
        <v>14</v>
      </c>
      <c r="C1459" t="s">
        <v>22</v>
      </c>
      <c r="D1459" t="s">
        <v>11</v>
      </c>
      <c r="E1459" t="s">
        <v>12</v>
      </c>
      <c r="F1459">
        <v>20367170</v>
      </c>
      <c r="G1459">
        <v>20367184</v>
      </c>
      <c r="H1459">
        <v>20367145</v>
      </c>
      <c r="I1459">
        <v>20367157</v>
      </c>
    </row>
    <row r="1460" spans="1:9" x14ac:dyDescent="0.2">
      <c r="A1460" t="str">
        <f>"Agtr2"</f>
        <v>Agtr2</v>
      </c>
      <c r="B1460" t="s">
        <v>14</v>
      </c>
      <c r="C1460" t="s">
        <v>37</v>
      </c>
      <c r="D1460" t="s">
        <v>17</v>
      </c>
      <c r="E1460" t="s">
        <v>12</v>
      </c>
      <c r="F1460">
        <v>21484607</v>
      </c>
      <c r="G1460">
        <v>21484638</v>
      </c>
      <c r="H1460">
        <v>21484532</v>
      </c>
      <c r="I1460">
        <v>21484547</v>
      </c>
    </row>
    <row r="1461" spans="1:9" x14ac:dyDescent="0.2">
      <c r="A1461" t="str">
        <f>"Agtrap"</f>
        <v>Agtrap</v>
      </c>
      <c r="B1461" t="s">
        <v>14</v>
      </c>
      <c r="C1461" t="s">
        <v>23</v>
      </c>
      <c r="D1461" t="s">
        <v>11</v>
      </c>
      <c r="E1461" t="s">
        <v>12</v>
      </c>
      <c r="F1461">
        <v>148087961</v>
      </c>
      <c r="G1461">
        <v>148088027</v>
      </c>
      <c r="H1461">
        <v>148088036</v>
      </c>
      <c r="I1461">
        <v>148088056</v>
      </c>
    </row>
    <row r="1462" spans="1:9" x14ac:dyDescent="0.2">
      <c r="A1462" t="str">
        <f>"Agxt"</f>
        <v>Agxt</v>
      </c>
      <c r="B1462" t="s">
        <v>14</v>
      </c>
      <c r="C1462" t="s">
        <v>19</v>
      </c>
      <c r="D1462" t="s">
        <v>17</v>
      </c>
      <c r="E1462" t="s">
        <v>12</v>
      </c>
      <c r="F1462">
        <v>93135244</v>
      </c>
      <c r="G1462">
        <v>93135256</v>
      </c>
      <c r="H1462">
        <v>93135244</v>
      </c>
      <c r="I1462">
        <v>93135256</v>
      </c>
    </row>
    <row r="1463" spans="1:9" x14ac:dyDescent="0.2">
      <c r="A1463" t="str">
        <f>"Agxt2"</f>
        <v>Agxt2</v>
      </c>
      <c r="B1463" t="s">
        <v>14</v>
      </c>
      <c r="C1463" t="s">
        <v>25</v>
      </c>
      <c r="D1463" t="s">
        <v>17</v>
      </c>
      <c r="E1463" t="s">
        <v>12</v>
      </c>
      <c r="F1463">
        <v>10358556</v>
      </c>
      <c r="G1463">
        <v>10358598</v>
      </c>
      <c r="H1463">
        <v>10358525</v>
      </c>
      <c r="I1463">
        <v>10358545</v>
      </c>
    </row>
    <row r="1464" spans="1:9" x14ac:dyDescent="0.2">
      <c r="A1464" t="str">
        <f>"Ahctf1"</f>
        <v>Ahctf1</v>
      </c>
      <c r="B1464" t="s">
        <v>14</v>
      </c>
      <c r="C1464" t="s">
        <v>19</v>
      </c>
      <c r="D1464" t="s">
        <v>11</v>
      </c>
      <c r="E1464" t="s">
        <v>12</v>
      </c>
      <c r="F1464">
        <v>179803625</v>
      </c>
      <c r="G1464">
        <v>179803702</v>
      </c>
      <c r="H1464">
        <v>179803606</v>
      </c>
      <c r="I1464">
        <v>179803624</v>
      </c>
    </row>
    <row r="1465" spans="1:9" x14ac:dyDescent="0.2">
      <c r="A1465" t="str">
        <f>"Ahcy"</f>
        <v>Ahcy</v>
      </c>
      <c r="B1465" t="s">
        <v>14</v>
      </c>
      <c r="C1465" t="s">
        <v>26</v>
      </c>
      <c r="D1465" t="s">
        <v>11</v>
      </c>
      <c r="E1465" t="s">
        <v>12</v>
      </c>
      <c r="F1465">
        <v>155074456</v>
      </c>
      <c r="G1465">
        <v>155074502</v>
      </c>
      <c r="H1465">
        <v>155074456</v>
      </c>
      <c r="I1465">
        <v>155074502</v>
      </c>
    </row>
    <row r="1466" spans="1:9" x14ac:dyDescent="0.2">
      <c r="A1466" t="str">
        <f>"Ahcyl1"</f>
        <v>Ahcyl1</v>
      </c>
      <c r="B1466" t="s">
        <v>14</v>
      </c>
      <c r="C1466" t="s">
        <v>22</v>
      </c>
      <c r="D1466" t="s">
        <v>11</v>
      </c>
      <c r="E1466" t="s">
        <v>12</v>
      </c>
      <c r="F1466">
        <v>107696462</v>
      </c>
      <c r="G1466">
        <v>107696574</v>
      </c>
      <c r="H1466">
        <v>107696205</v>
      </c>
      <c r="I1466">
        <v>107696216</v>
      </c>
    </row>
    <row r="1467" spans="1:9" x14ac:dyDescent="0.2">
      <c r="A1467" t="str">
        <f>"Ahcyl2"</f>
        <v>Ahcyl2</v>
      </c>
      <c r="B1467" t="s">
        <v>14</v>
      </c>
      <c r="C1467" t="s">
        <v>32</v>
      </c>
      <c r="D1467" t="s">
        <v>17</v>
      </c>
      <c r="E1467" t="s">
        <v>12</v>
      </c>
      <c r="F1467">
        <v>29768473</v>
      </c>
      <c r="G1467">
        <v>29768542</v>
      </c>
      <c r="H1467">
        <v>29768473</v>
      </c>
      <c r="I1467">
        <v>29768542</v>
      </c>
    </row>
    <row r="1468" spans="1:9" x14ac:dyDescent="0.2">
      <c r="A1468" t="str">
        <f>"Ahdc1"</f>
        <v>Ahdc1</v>
      </c>
      <c r="B1468" t="s">
        <v>14</v>
      </c>
      <c r="C1468" t="s">
        <v>23</v>
      </c>
      <c r="D1468" t="s">
        <v>17</v>
      </c>
      <c r="E1468" t="s">
        <v>12</v>
      </c>
      <c r="F1468">
        <v>133011518</v>
      </c>
      <c r="G1468">
        <v>133011546</v>
      </c>
      <c r="H1468">
        <v>133011794</v>
      </c>
      <c r="I1468">
        <v>133011822</v>
      </c>
    </row>
    <row r="1469" spans="1:9" x14ac:dyDescent="0.2">
      <c r="A1469" t="str">
        <f>"Ahi1"</f>
        <v>Ahi1</v>
      </c>
      <c r="B1469" t="s">
        <v>14</v>
      </c>
      <c r="C1469" t="s">
        <v>15</v>
      </c>
      <c r="D1469" t="s">
        <v>17</v>
      </c>
      <c r="E1469" t="s">
        <v>12</v>
      </c>
      <c r="F1469">
        <v>20952597</v>
      </c>
      <c r="G1469">
        <v>20952683</v>
      </c>
      <c r="H1469">
        <v>20952582</v>
      </c>
      <c r="I1469">
        <v>20952593</v>
      </c>
    </row>
    <row r="1470" spans="1:9" x14ac:dyDescent="0.2">
      <c r="A1470" t="str">
        <f>"Ahnak"</f>
        <v>Ahnak</v>
      </c>
      <c r="B1470" t="s">
        <v>14</v>
      </c>
      <c r="C1470" t="s">
        <v>10</v>
      </c>
      <c r="D1470" t="s">
        <v>17</v>
      </c>
      <c r="E1470" t="s">
        <v>12</v>
      </c>
      <c r="F1470">
        <v>8989277</v>
      </c>
      <c r="G1470">
        <v>8989295</v>
      </c>
      <c r="H1470">
        <v>8989277</v>
      </c>
      <c r="I1470">
        <v>8989295</v>
      </c>
    </row>
    <row r="1471" spans="1:9" x14ac:dyDescent="0.2">
      <c r="A1471" t="str">
        <f>"Ahnak2"</f>
        <v>Ahnak2</v>
      </c>
      <c r="B1471" t="s">
        <v>14</v>
      </c>
      <c r="C1471" t="s">
        <v>16</v>
      </c>
      <c r="D1471" t="s">
        <v>11</v>
      </c>
      <c r="E1471" t="s">
        <v>12</v>
      </c>
      <c r="F1471">
        <v>112802646</v>
      </c>
      <c r="G1471">
        <v>112802665</v>
      </c>
      <c r="H1471">
        <v>112802681</v>
      </c>
      <c r="I1471">
        <v>112802693</v>
      </c>
    </row>
    <row r="1472" spans="1:9" x14ac:dyDescent="0.2">
      <c r="A1472" t="str">
        <f>"Ahr"</f>
        <v>Ahr</v>
      </c>
      <c r="B1472" t="s">
        <v>14</v>
      </c>
      <c r="C1472" t="s">
        <v>16</v>
      </c>
      <c r="D1472" t="s">
        <v>11</v>
      </c>
      <c r="E1472" t="s">
        <v>12</v>
      </c>
      <c r="F1472">
        <v>35534973</v>
      </c>
      <c r="G1472">
        <v>35535058</v>
      </c>
      <c r="H1472">
        <v>35534611</v>
      </c>
      <c r="I1472">
        <v>35534626</v>
      </c>
    </row>
    <row r="1473" spans="1:9" x14ac:dyDescent="0.2">
      <c r="A1473" t="str">
        <f>"Ahrr"</f>
        <v>Ahrr</v>
      </c>
      <c r="B1473" t="s">
        <v>14</v>
      </c>
      <c r="C1473" t="s">
        <v>39</v>
      </c>
      <c r="D1473" t="s">
        <v>11</v>
      </c>
      <c r="E1473" t="s">
        <v>12</v>
      </c>
      <c r="F1473">
        <v>74292288</v>
      </c>
      <c r="G1473">
        <v>74292338</v>
      </c>
      <c r="H1473">
        <v>74292288</v>
      </c>
      <c r="I1473">
        <v>74292338</v>
      </c>
    </row>
    <row r="1474" spans="1:9" x14ac:dyDescent="0.2">
      <c r="A1474" t="str">
        <f>"Ahsa1"</f>
        <v>Ahsa1</v>
      </c>
      <c r="B1474" t="s">
        <v>14</v>
      </c>
      <c r="C1474" t="s">
        <v>16</v>
      </c>
      <c r="D1474" t="s">
        <v>17</v>
      </c>
      <c r="E1474" t="s">
        <v>12</v>
      </c>
      <c r="F1474">
        <v>87266696</v>
      </c>
      <c r="G1474">
        <v>87266760</v>
      </c>
      <c r="H1474">
        <v>87266696</v>
      </c>
      <c r="I1474">
        <v>87266760</v>
      </c>
    </row>
    <row r="1475" spans="1:9" x14ac:dyDescent="0.2">
      <c r="A1475" t="str">
        <f>"Ahsa2"</f>
        <v>Ahsa2</v>
      </c>
      <c r="B1475" t="s">
        <v>14</v>
      </c>
      <c r="C1475" t="s">
        <v>27</v>
      </c>
      <c r="D1475" t="s">
        <v>11</v>
      </c>
      <c r="E1475" t="s">
        <v>12</v>
      </c>
      <c r="F1475">
        <v>23497867</v>
      </c>
      <c r="G1475">
        <v>23497962</v>
      </c>
      <c r="H1475">
        <v>23497979</v>
      </c>
      <c r="I1475">
        <v>23497989</v>
      </c>
    </row>
    <row r="1476" spans="1:9" x14ac:dyDescent="0.2">
      <c r="A1476" t="str">
        <f>"Ahsg"</f>
        <v>Ahsg</v>
      </c>
      <c r="B1476" t="s">
        <v>14</v>
      </c>
      <c r="C1476" t="s">
        <v>31</v>
      </c>
      <c r="D1476" t="s">
        <v>17</v>
      </c>
      <c r="E1476" t="s">
        <v>12</v>
      </c>
      <c r="F1476">
        <v>22892035</v>
      </c>
      <c r="G1476">
        <v>22892051</v>
      </c>
      <c r="H1476">
        <v>22892035</v>
      </c>
      <c r="I1476">
        <v>22892051</v>
      </c>
    </row>
    <row r="1477" spans="1:9" x14ac:dyDescent="0.2">
      <c r="A1477" t="str">
        <f>"Aicda"</f>
        <v>Aicda</v>
      </c>
      <c r="B1477" t="s">
        <v>14</v>
      </c>
      <c r="C1477" t="s">
        <v>32</v>
      </c>
      <c r="D1477" t="s">
        <v>17</v>
      </c>
      <c r="E1477" t="s">
        <v>12</v>
      </c>
      <c r="F1477">
        <v>122553799</v>
      </c>
      <c r="G1477">
        <v>122553816</v>
      </c>
      <c r="H1477">
        <v>122553799</v>
      </c>
      <c r="I1477">
        <v>122553816</v>
      </c>
    </row>
    <row r="1478" spans="1:9" x14ac:dyDescent="0.2">
      <c r="A1478" t="str">
        <f>"Aida"</f>
        <v>Aida</v>
      </c>
      <c r="B1478" t="s">
        <v>2118</v>
      </c>
      <c r="C1478" t="s">
        <v>19</v>
      </c>
      <c r="D1478" t="s">
        <v>17</v>
      </c>
      <c r="E1478" t="s">
        <v>20</v>
      </c>
      <c r="F1478">
        <v>183297059</v>
      </c>
      <c r="G1478">
        <v>183297059</v>
      </c>
      <c r="H1478">
        <v>183297059</v>
      </c>
      <c r="I1478">
        <v>183297059</v>
      </c>
    </row>
    <row r="1479" spans="1:9" x14ac:dyDescent="0.2">
      <c r="A1479" t="str">
        <f>"Aif1"</f>
        <v>Aif1</v>
      </c>
      <c r="B1479" t="s">
        <v>14</v>
      </c>
      <c r="C1479" t="s">
        <v>28</v>
      </c>
      <c r="D1479" t="s">
        <v>11</v>
      </c>
      <c r="E1479" t="s">
        <v>12</v>
      </c>
      <c r="F1479">
        <v>35172608</v>
      </c>
      <c r="G1479">
        <v>35172638</v>
      </c>
      <c r="H1479">
        <v>35172608</v>
      </c>
      <c r="I1479">
        <v>35172638</v>
      </c>
    </row>
    <row r="1480" spans="1:9" x14ac:dyDescent="0.2">
      <c r="A1480" t="str">
        <f>"Aif1l"</f>
        <v>Aif1l</v>
      </c>
      <c r="B1480" t="s">
        <v>14</v>
      </c>
      <c r="C1480" t="s">
        <v>26</v>
      </c>
      <c r="D1480" t="s">
        <v>17</v>
      </c>
      <c r="E1480" t="s">
        <v>12</v>
      </c>
      <c r="F1480">
        <v>31950257</v>
      </c>
      <c r="G1480">
        <v>31950281</v>
      </c>
      <c r="H1480">
        <v>31950307</v>
      </c>
      <c r="I1480">
        <v>31950315</v>
      </c>
    </row>
    <row r="1481" spans="1:9" x14ac:dyDescent="0.2">
      <c r="A1481" t="str">
        <f>"Aifm1"</f>
        <v>Aifm1</v>
      </c>
      <c r="B1481" t="s">
        <v>14</v>
      </c>
      <c r="C1481" t="s">
        <v>37</v>
      </c>
      <c r="D1481" t="s">
        <v>11</v>
      </c>
      <c r="E1481" t="s">
        <v>12</v>
      </c>
      <c r="F1481">
        <v>48513385</v>
      </c>
      <c r="G1481">
        <v>48513438</v>
      </c>
      <c r="H1481">
        <v>48513518</v>
      </c>
      <c r="I1481">
        <v>48513565</v>
      </c>
    </row>
    <row r="1482" spans="1:9" x14ac:dyDescent="0.2">
      <c r="A1482" t="str">
        <f>"Aifm2"</f>
        <v>Aifm2</v>
      </c>
      <c r="B1482" t="s">
        <v>14</v>
      </c>
      <c r="C1482" t="s">
        <v>15</v>
      </c>
      <c r="D1482" t="s">
        <v>17</v>
      </c>
      <c r="E1482" t="s">
        <v>12</v>
      </c>
      <c r="F1482">
        <v>61715280</v>
      </c>
      <c r="G1482">
        <v>61715328</v>
      </c>
      <c r="H1482">
        <v>61715280</v>
      </c>
      <c r="I1482">
        <v>61715328</v>
      </c>
    </row>
    <row r="1483" spans="1:9" x14ac:dyDescent="0.2">
      <c r="A1483" t="str">
        <f>"Aifm3"</f>
        <v>Aifm3</v>
      </c>
      <c r="B1483" t="s">
        <v>14</v>
      </c>
      <c r="C1483" t="s">
        <v>31</v>
      </c>
      <c r="D1483" t="s">
        <v>17</v>
      </c>
      <c r="E1483" t="s">
        <v>12</v>
      </c>
      <c r="F1483">
        <v>17489639</v>
      </c>
      <c r="G1483">
        <v>17489683</v>
      </c>
      <c r="H1483">
        <v>17489600</v>
      </c>
      <c r="I1483">
        <v>17489627</v>
      </c>
    </row>
    <row r="1484" spans="1:9" x14ac:dyDescent="0.2">
      <c r="A1484" t="str">
        <f>"Aig1"</f>
        <v>Aig1</v>
      </c>
      <c r="B1484" t="s">
        <v>14</v>
      </c>
      <c r="C1484" t="s">
        <v>15</v>
      </c>
      <c r="D1484" t="s">
        <v>11</v>
      </c>
      <c r="E1484" t="s">
        <v>12</v>
      </c>
      <c r="F1484">
        <v>13868779</v>
      </c>
      <c r="G1484">
        <v>13868874</v>
      </c>
      <c r="H1484">
        <v>13868932</v>
      </c>
      <c r="I1484">
        <v>13869004</v>
      </c>
    </row>
    <row r="1485" spans="1:9" x14ac:dyDescent="0.2">
      <c r="A1485" t="str">
        <f>"Aim1"</f>
        <v>Aim1</v>
      </c>
      <c r="B1485" t="s">
        <v>14</v>
      </c>
      <c r="C1485" t="s">
        <v>15</v>
      </c>
      <c r="D1485" t="s">
        <v>11</v>
      </c>
      <c r="E1485" t="s">
        <v>12</v>
      </c>
      <c r="F1485">
        <v>44004357</v>
      </c>
      <c r="G1485">
        <v>44004385</v>
      </c>
      <c r="H1485">
        <v>44004357</v>
      </c>
      <c r="I1485">
        <v>44004385</v>
      </c>
    </row>
    <row r="1486" spans="1:9" x14ac:dyDescent="0.2">
      <c r="A1486" t="str">
        <f>"Aim1l"</f>
        <v>Aim1l</v>
      </c>
      <c r="B1486" t="s">
        <v>14</v>
      </c>
      <c r="C1486" t="s">
        <v>23</v>
      </c>
      <c r="D1486" t="s">
        <v>17</v>
      </c>
      <c r="E1486" t="s">
        <v>12</v>
      </c>
      <c r="F1486">
        <v>134065622</v>
      </c>
      <c r="G1486">
        <v>134065674</v>
      </c>
      <c r="H1486">
        <v>134065866</v>
      </c>
      <c r="I1486">
        <v>134065893</v>
      </c>
    </row>
    <row r="1487" spans="1:9" x14ac:dyDescent="0.2">
      <c r="A1487" t="str">
        <f>"Aim2"</f>
        <v>Aim2</v>
      </c>
      <c r="B1487" t="s">
        <v>2119</v>
      </c>
      <c r="C1487" t="s">
        <v>19</v>
      </c>
      <c r="D1487" t="s">
        <v>17</v>
      </c>
      <c r="E1487" t="s">
        <v>20</v>
      </c>
      <c r="F1487">
        <v>173350878</v>
      </c>
      <c r="G1487">
        <v>173350878</v>
      </c>
      <c r="H1487">
        <v>173350878</v>
      </c>
      <c r="I1487">
        <v>173350878</v>
      </c>
    </row>
    <row r="1488" spans="1:9" x14ac:dyDescent="0.2">
      <c r="A1488" t="str">
        <f>"Aim2"</f>
        <v>Aim2</v>
      </c>
      <c r="B1488" t="s">
        <v>2120</v>
      </c>
      <c r="C1488" t="s">
        <v>19</v>
      </c>
      <c r="D1488" t="s">
        <v>17</v>
      </c>
      <c r="E1488" t="s">
        <v>20</v>
      </c>
      <c r="F1488">
        <v>173455353</v>
      </c>
      <c r="G1488">
        <v>173455353</v>
      </c>
      <c r="H1488">
        <v>173455353</v>
      </c>
      <c r="I1488">
        <v>173455353</v>
      </c>
    </row>
    <row r="1489" spans="1:9" x14ac:dyDescent="0.2">
      <c r="A1489" t="str">
        <f>"Aimp1"</f>
        <v>Aimp1</v>
      </c>
      <c r="B1489" t="s">
        <v>14</v>
      </c>
      <c r="C1489" t="s">
        <v>22</v>
      </c>
      <c r="D1489" t="s">
        <v>11</v>
      </c>
      <c r="E1489" t="s">
        <v>12</v>
      </c>
      <c r="F1489">
        <v>132683824</v>
      </c>
      <c r="G1489">
        <v>132683856</v>
      </c>
      <c r="H1489">
        <v>132684061</v>
      </c>
      <c r="I1489">
        <v>132684088</v>
      </c>
    </row>
    <row r="1490" spans="1:9" x14ac:dyDescent="0.2">
      <c r="A1490" t="str">
        <f>"Aimp2"</f>
        <v>Aimp2</v>
      </c>
      <c r="B1490" t="s">
        <v>14</v>
      </c>
      <c r="C1490" t="s">
        <v>46</v>
      </c>
      <c r="D1490" t="s">
        <v>11</v>
      </c>
      <c r="E1490" t="s">
        <v>12</v>
      </c>
      <c r="F1490">
        <v>143909782</v>
      </c>
      <c r="G1490">
        <v>143909841</v>
      </c>
      <c r="H1490">
        <v>143909782</v>
      </c>
      <c r="I1490">
        <v>143909841</v>
      </c>
    </row>
    <row r="1491" spans="1:9" x14ac:dyDescent="0.2">
      <c r="A1491" t="str">
        <f>"Aip"</f>
        <v>Aip</v>
      </c>
      <c r="B1491" t="s">
        <v>14</v>
      </c>
      <c r="C1491" t="s">
        <v>10</v>
      </c>
      <c r="D1491" t="s">
        <v>11</v>
      </c>
      <c r="E1491" t="s">
        <v>12</v>
      </c>
      <c r="F1491">
        <v>4121536</v>
      </c>
      <c r="G1491">
        <v>4121581</v>
      </c>
      <c r="H1491">
        <v>4121438</v>
      </c>
      <c r="I1491">
        <v>4121486</v>
      </c>
    </row>
    <row r="1492" spans="1:9" x14ac:dyDescent="0.2">
      <c r="A1492" t="str">
        <f>"Aipl1"</f>
        <v>Aipl1</v>
      </c>
      <c r="B1492" t="s">
        <v>14</v>
      </c>
      <c r="C1492" t="s">
        <v>27</v>
      </c>
      <c r="D1492" t="s">
        <v>11</v>
      </c>
      <c r="E1492" t="s">
        <v>12</v>
      </c>
      <c r="F1492">
        <v>72037474</v>
      </c>
      <c r="G1492">
        <v>72037495</v>
      </c>
      <c r="H1492">
        <v>72037513</v>
      </c>
      <c r="I1492">
        <v>72037525</v>
      </c>
    </row>
    <row r="1493" spans="1:9" x14ac:dyDescent="0.2">
      <c r="A1493" t="str">
        <f>"Aire"</f>
        <v>Aire</v>
      </c>
      <c r="B1493" t="s">
        <v>14</v>
      </c>
      <c r="C1493" t="s">
        <v>15</v>
      </c>
      <c r="D1493" t="s">
        <v>11</v>
      </c>
      <c r="E1493" t="s">
        <v>12</v>
      </c>
      <c r="F1493">
        <v>78043660</v>
      </c>
      <c r="G1493">
        <v>78043696</v>
      </c>
      <c r="H1493">
        <v>78043607</v>
      </c>
      <c r="I1493">
        <v>78043611</v>
      </c>
    </row>
    <row r="1494" spans="1:9" x14ac:dyDescent="0.2">
      <c r="A1494" t="str">
        <f>"Ajap1"</f>
        <v>Ajap1</v>
      </c>
      <c r="B1494" t="s">
        <v>14</v>
      </c>
      <c r="C1494" t="s">
        <v>23</v>
      </c>
      <c r="D1494" t="s">
        <v>11</v>
      </c>
      <c r="E1494" t="s">
        <v>12</v>
      </c>
      <c r="F1494">
        <v>153482939</v>
      </c>
      <c r="G1494">
        <v>153482972</v>
      </c>
      <c r="H1494">
        <v>153482768</v>
      </c>
      <c r="I1494">
        <v>153482787</v>
      </c>
    </row>
    <row r="1495" spans="1:9" x14ac:dyDescent="0.2">
      <c r="A1495" t="str">
        <f>"Ajuba"</f>
        <v>Ajuba</v>
      </c>
      <c r="B1495" t="s">
        <v>14</v>
      </c>
      <c r="C1495" t="s">
        <v>41</v>
      </c>
      <c r="D1495" t="s">
        <v>11</v>
      </c>
      <c r="E1495" t="s">
        <v>67</v>
      </c>
      <c r="F1495">
        <v>54577578</v>
      </c>
      <c r="G1495">
        <v>54577612</v>
      </c>
      <c r="H1495">
        <v>54577543</v>
      </c>
      <c r="I1495">
        <v>54577558</v>
      </c>
    </row>
    <row r="1496" spans="1:9" x14ac:dyDescent="0.2">
      <c r="A1496" t="str">
        <f>"Ak1"</f>
        <v>Ak1</v>
      </c>
      <c r="B1496" t="s">
        <v>9</v>
      </c>
      <c r="C1496" t="s">
        <v>26</v>
      </c>
      <c r="D1496" t="s">
        <v>17</v>
      </c>
      <c r="E1496" t="s">
        <v>12</v>
      </c>
      <c r="F1496">
        <v>32625444</v>
      </c>
      <c r="G1496">
        <v>32625495</v>
      </c>
      <c r="H1496">
        <v>32625444</v>
      </c>
      <c r="I1496">
        <v>32625495</v>
      </c>
    </row>
    <row r="1497" spans="1:9" x14ac:dyDescent="0.2">
      <c r="A1497" t="str">
        <f>"Ak1"</f>
        <v>Ak1</v>
      </c>
      <c r="B1497" t="s">
        <v>13</v>
      </c>
      <c r="C1497" t="s">
        <v>26</v>
      </c>
      <c r="D1497" t="s">
        <v>17</v>
      </c>
      <c r="E1497" t="s">
        <v>12</v>
      </c>
      <c r="F1497">
        <v>32628418</v>
      </c>
      <c r="G1497">
        <v>32628462</v>
      </c>
      <c r="H1497">
        <v>32628418</v>
      </c>
      <c r="I1497">
        <v>32628462</v>
      </c>
    </row>
    <row r="1498" spans="1:9" x14ac:dyDescent="0.2">
      <c r="A1498" t="str">
        <f>"Ak2"</f>
        <v>Ak2</v>
      </c>
      <c r="B1498" t="s">
        <v>14</v>
      </c>
      <c r="C1498" t="s">
        <v>23</v>
      </c>
      <c r="D1498" t="s">
        <v>17</v>
      </c>
      <c r="E1498" t="s">
        <v>12</v>
      </c>
      <c r="F1498">
        <v>128993292</v>
      </c>
      <c r="G1498">
        <v>128993334</v>
      </c>
      <c r="H1498">
        <v>128993248</v>
      </c>
      <c r="I1498">
        <v>128993290</v>
      </c>
    </row>
    <row r="1499" spans="1:9" x14ac:dyDescent="0.2">
      <c r="A1499" t="str">
        <f>"Ak3"</f>
        <v>Ak3</v>
      </c>
      <c r="B1499" t="s">
        <v>14</v>
      </c>
      <c r="C1499" t="s">
        <v>10</v>
      </c>
      <c r="D1499" t="s">
        <v>11</v>
      </c>
      <c r="E1499" t="s">
        <v>12</v>
      </c>
      <c r="F1499">
        <v>29047847</v>
      </c>
      <c r="G1499">
        <v>29047977</v>
      </c>
      <c r="H1499">
        <v>29047832</v>
      </c>
      <c r="I1499">
        <v>29047844</v>
      </c>
    </row>
    <row r="1500" spans="1:9" x14ac:dyDescent="0.2">
      <c r="A1500" t="str">
        <f>"Ak4"</f>
        <v>Ak4</v>
      </c>
      <c r="B1500" t="s">
        <v>14</v>
      </c>
      <c r="C1500" t="s">
        <v>23</v>
      </c>
      <c r="D1500" t="s">
        <v>17</v>
      </c>
      <c r="E1500" t="s">
        <v>12</v>
      </c>
      <c r="F1500">
        <v>101419696</v>
      </c>
      <c r="G1500">
        <v>101419732</v>
      </c>
      <c r="H1500">
        <v>101419301</v>
      </c>
      <c r="I1500">
        <v>101419332</v>
      </c>
    </row>
    <row r="1501" spans="1:9" x14ac:dyDescent="0.2">
      <c r="A1501" t="str">
        <f>"Ak5"</f>
        <v>Ak5</v>
      </c>
      <c r="B1501" t="s">
        <v>14</v>
      </c>
      <c r="C1501" t="s">
        <v>22</v>
      </c>
      <c r="D1501" t="s">
        <v>11</v>
      </c>
      <c r="E1501" t="s">
        <v>12</v>
      </c>
      <c r="F1501">
        <v>152668033</v>
      </c>
      <c r="G1501">
        <v>152668102</v>
      </c>
      <c r="H1501">
        <v>152668135</v>
      </c>
      <c r="I1501">
        <v>152668147</v>
      </c>
    </row>
    <row r="1502" spans="1:9" x14ac:dyDescent="0.2">
      <c r="A1502" t="str">
        <f>"Ak7"</f>
        <v>Ak7</v>
      </c>
      <c r="B1502" t="s">
        <v>14</v>
      </c>
      <c r="C1502" t="s">
        <v>16</v>
      </c>
      <c r="D1502" t="s">
        <v>17</v>
      </c>
      <c r="E1502" t="s">
        <v>12</v>
      </c>
      <c r="F1502">
        <v>105706107</v>
      </c>
      <c r="G1502">
        <v>105706158</v>
      </c>
      <c r="H1502">
        <v>105705970</v>
      </c>
      <c r="I1502">
        <v>105705987</v>
      </c>
    </row>
    <row r="1503" spans="1:9" x14ac:dyDescent="0.2">
      <c r="A1503" t="str">
        <f>"Ak8"</f>
        <v>Ak8</v>
      </c>
      <c r="B1503" t="s">
        <v>14</v>
      </c>
      <c r="C1503" t="s">
        <v>26</v>
      </c>
      <c r="D1503" t="s">
        <v>17</v>
      </c>
      <c r="E1503" t="s">
        <v>12</v>
      </c>
      <c r="F1503">
        <v>28700155</v>
      </c>
      <c r="G1503">
        <v>28700187</v>
      </c>
      <c r="H1503">
        <v>28700155</v>
      </c>
      <c r="I1503">
        <v>28700187</v>
      </c>
    </row>
    <row r="1504" spans="1:9" x14ac:dyDescent="0.2">
      <c r="A1504" t="str">
        <f>"Ak9"</f>
        <v>Ak9</v>
      </c>
      <c r="B1504" t="s">
        <v>2121</v>
      </c>
      <c r="C1504" t="s">
        <v>15</v>
      </c>
      <c r="D1504" t="s">
        <v>17</v>
      </c>
      <c r="E1504" t="s">
        <v>20</v>
      </c>
      <c r="F1504">
        <v>41351710</v>
      </c>
      <c r="G1504">
        <v>41351710</v>
      </c>
      <c r="H1504">
        <v>41351710</v>
      </c>
      <c r="I1504">
        <v>41351710</v>
      </c>
    </row>
    <row r="1505" spans="1:9" x14ac:dyDescent="0.2">
      <c r="A1505" t="str">
        <f>"Ak9"</f>
        <v>Ak9</v>
      </c>
      <c r="B1505" t="s">
        <v>2122</v>
      </c>
      <c r="C1505" t="s">
        <v>15</v>
      </c>
      <c r="D1505" t="s">
        <v>17</v>
      </c>
      <c r="E1505" t="s">
        <v>20</v>
      </c>
      <c r="F1505">
        <v>41303979</v>
      </c>
      <c r="G1505">
        <v>41303979</v>
      </c>
      <c r="H1505">
        <v>41303979</v>
      </c>
      <c r="I1505">
        <v>41303979</v>
      </c>
    </row>
    <row r="1506" spans="1:9" x14ac:dyDescent="0.2">
      <c r="A1506" t="str">
        <f>"Akap1"</f>
        <v>Akap1</v>
      </c>
      <c r="B1506" t="s">
        <v>14</v>
      </c>
      <c r="C1506" t="s">
        <v>27</v>
      </c>
      <c r="D1506" t="s">
        <v>11</v>
      </c>
      <c r="E1506" t="s">
        <v>12</v>
      </c>
      <c r="F1506">
        <v>88864534</v>
      </c>
      <c r="G1506">
        <v>88864591</v>
      </c>
      <c r="H1506">
        <v>88864509</v>
      </c>
      <c r="I1506">
        <v>88864527</v>
      </c>
    </row>
    <row r="1507" spans="1:9" x14ac:dyDescent="0.2">
      <c r="A1507" t="str">
        <f>"Akap10"</f>
        <v>Akap10</v>
      </c>
      <c r="B1507" t="s">
        <v>14</v>
      </c>
      <c r="C1507" t="s">
        <v>27</v>
      </c>
      <c r="D1507" t="s">
        <v>11</v>
      </c>
      <c r="E1507" t="s">
        <v>12</v>
      </c>
      <c r="F1507">
        <v>61930197</v>
      </c>
      <c r="G1507">
        <v>61930243</v>
      </c>
      <c r="H1507">
        <v>61930246</v>
      </c>
      <c r="I1507">
        <v>61930257</v>
      </c>
    </row>
    <row r="1508" spans="1:9" x14ac:dyDescent="0.2">
      <c r="A1508" t="str">
        <f>"Akap11"</f>
        <v>Akap11</v>
      </c>
      <c r="B1508" t="s">
        <v>14</v>
      </c>
      <c r="C1508" t="s">
        <v>41</v>
      </c>
      <c r="D1508" t="s">
        <v>11</v>
      </c>
      <c r="E1508" t="s">
        <v>12</v>
      </c>
      <c r="F1508">
        <v>78536762</v>
      </c>
      <c r="G1508">
        <v>78536851</v>
      </c>
      <c r="H1508">
        <v>78536854</v>
      </c>
      <c r="I1508">
        <v>78536879</v>
      </c>
    </row>
    <row r="1509" spans="1:9" x14ac:dyDescent="0.2">
      <c r="A1509" t="str">
        <f>"Akap12"</f>
        <v>Akap12</v>
      </c>
      <c r="B1509" t="s">
        <v>14</v>
      </c>
      <c r="C1509" t="s">
        <v>15</v>
      </c>
      <c r="D1509" t="s">
        <v>17</v>
      </c>
      <c r="E1509" t="s">
        <v>12</v>
      </c>
      <c r="F1509">
        <v>4266353</v>
      </c>
      <c r="G1509">
        <v>4266374</v>
      </c>
      <c r="H1509">
        <v>4266323</v>
      </c>
      <c r="I1509">
        <v>4266341</v>
      </c>
    </row>
    <row r="1510" spans="1:9" x14ac:dyDescent="0.2">
      <c r="A1510" t="str">
        <f>"Akap13"</f>
        <v>Akap13</v>
      </c>
      <c r="B1510" t="s">
        <v>14</v>
      </c>
      <c r="C1510" t="s">
        <v>33</v>
      </c>
      <c r="D1510" t="s">
        <v>17</v>
      </c>
      <c r="E1510" t="s">
        <v>12</v>
      </c>
      <c r="F1510">
        <v>75455547</v>
      </c>
      <c r="G1510">
        <v>75455629</v>
      </c>
      <c r="H1510">
        <v>75455547</v>
      </c>
      <c r="I1510">
        <v>75455629</v>
      </c>
    </row>
    <row r="1511" spans="1:9" x14ac:dyDescent="0.2">
      <c r="A1511" t="str">
        <f>"Akap14"</f>
        <v>Akap14</v>
      </c>
      <c r="B1511" t="s">
        <v>14</v>
      </c>
      <c r="C1511" t="s">
        <v>37</v>
      </c>
      <c r="D1511" t="s">
        <v>11</v>
      </c>
      <c r="E1511" t="s">
        <v>12</v>
      </c>
      <c r="F1511">
        <v>37168829</v>
      </c>
      <c r="G1511">
        <v>37168854</v>
      </c>
      <c r="H1511">
        <v>37168829</v>
      </c>
      <c r="I1511">
        <v>37168854</v>
      </c>
    </row>
    <row r="1512" spans="1:9" x14ac:dyDescent="0.2">
      <c r="A1512" t="str">
        <f>"Akap17b"</f>
        <v>Akap17b</v>
      </c>
      <c r="B1512" t="s">
        <v>14</v>
      </c>
      <c r="C1512" t="s">
        <v>37</v>
      </c>
      <c r="D1512" t="s">
        <v>11</v>
      </c>
      <c r="E1512" t="s">
        <v>12</v>
      </c>
      <c r="F1512">
        <v>36645359</v>
      </c>
      <c r="G1512">
        <v>36645414</v>
      </c>
      <c r="H1512">
        <v>36645318</v>
      </c>
      <c r="I1512">
        <v>36645344</v>
      </c>
    </row>
    <row r="1513" spans="1:9" x14ac:dyDescent="0.2">
      <c r="A1513" t="str">
        <f>"Akap2"</f>
        <v>Akap2</v>
      </c>
      <c r="B1513" t="s">
        <v>14</v>
      </c>
      <c r="C1513" t="s">
        <v>23</v>
      </c>
      <c r="D1513" t="s">
        <v>17</v>
      </c>
      <c r="E1513" t="s">
        <v>12</v>
      </c>
      <c r="F1513">
        <v>57845240</v>
      </c>
      <c r="G1513">
        <v>57845265</v>
      </c>
      <c r="H1513">
        <v>57845240</v>
      </c>
      <c r="I1513">
        <v>57845265</v>
      </c>
    </row>
    <row r="1514" spans="1:9" x14ac:dyDescent="0.2">
      <c r="A1514" t="str">
        <f>"Akap3"</f>
        <v>Akap3</v>
      </c>
      <c r="B1514" t="s">
        <v>14</v>
      </c>
      <c r="C1514" t="s">
        <v>32</v>
      </c>
      <c r="D1514" t="s">
        <v>17</v>
      </c>
      <c r="E1514" t="s">
        <v>12</v>
      </c>
      <c r="F1514">
        <v>126853091</v>
      </c>
      <c r="G1514">
        <v>126853116</v>
      </c>
      <c r="H1514">
        <v>126853091</v>
      </c>
      <c r="I1514">
        <v>126853116</v>
      </c>
    </row>
    <row r="1515" spans="1:9" x14ac:dyDescent="0.2">
      <c r="A1515" t="str">
        <f>"Akap4"</f>
        <v>Akap4</v>
      </c>
      <c r="B1515" t="s">
        <v>14</v>
      </c>
      <c r="C1515" t="s">
        <v>37</v>
      </c>
      <c r="D1515" t="s">
        <v>17</v>
      </c>
      <c r="E1515" t="s">
        <v>12</v>
      </c>
      <c r="F1515">
        <v>7068208</v>
      </c>
      <c r="G1515">
        <v>7068219</v>
      </c>
      <c r="H1515">
        <v>7067496</v>
      </c>
      <c r="I1515">
        <v>7067515</v>
      </c>
    </row>
    <row r="1516" spans="1:9" x14ac:dyDescent="0.2">
      <c r="A1516" t="str">
        <f>"Akap5"</f>
        <v>Akap5</v>
      </c>
      <c r="B1516" t="s">
        <v>14</v>
      </c>
      <c r="C1516" t="s">
        <v>16</v>
      </c>
      <c r="D1516" t="s">
        <v>17</v>
      </c>
      <c r="E1516" t="s">
        <v>12</v>
      </c>
      <c r="F1516">
        <v>76324860</v>
      </c>
      <c r="G1516">
        <v>76324898</v>
      </c>
      <c r="H1516">
        <v>76324910</v>
      </c>
      <c r="I1516">
        <v>76324932</v>
      </c>
    </row>
    <row r="1517" spans="1:9" x14ac:dyDescent="0.2">
      <c r="A1517" t="str">
        <f>"Akap6"</f>
        <v>Akap6</v>
      </c>
      <c r="B1517" t="s">
        <v>14</v>
      </c>
      <c r="C1517" t="s">
        <v>16</v>
      </c>
      <c r="D1517" t="s">
        <v>17</v>
      </c>
      <c r="E1517" t="s">
        <v>12</v>
      </c>
      <c r="F1517">
        <v>52699297</v>
      </c>
      <c r="G1517">
        <v>52699411</v>
      </c>
      <c r="H1517">
        <v>52699297</v>
      </c>
      <c r="I1517">
        <v>52699411</v>
      </c>
    </row>
    <row r="1518" spans="1:9" x14ac:dyDescent="0.2">
      <c r="A1518" t="str">
        <f>"Akap7"</f>
        <v>Akap7</v>
      </c>
      <c r="B1518" t="s">
        <v>2123</v>
      </c>
      <c r="C1518" t="s">
        <v>15</v>
      </c>
      <c r="D1518" t="s">
        <v>11</v>
      </c>
      <c r="E1518" t="s">
        <v>20</v>
      </c>
      <c r="F1518">
        <v>25299163</v>
      </c>
      <c r="G1518">
        <v>25299163</v>
      </c>
      <c r="H1518">
        <v>25299163</v>
      </c>
      <c r="I1518">
        <v>25299163</v>
      </c>
    </row>
    <row r="1519" spans="1:9" x14ac:dyDescent="0.2">
      <c r="A1519" t="str">
        <f>"Akap8"</f>
        <v>Akap8</v>
      </c>
      <c r="B1519" t="s">
        <v>14</v>
      </c>
      <c r="C1519" t="s">
        <v>28</v>
      </c>
      <c r="D1519" t="s">
        <v>11</v>
      </c>
      <c r="E1519" t="s">
        <v>12</v>
      </c>
      <c r="F1519">
        <v>32321118</v>
      </c>
      <c r="G1519">
        <v>32321204</v>
      </c>
      <c r="H1519">
        <v>32321102</v>
      </c>
      <c r="I1519">
        <v>32321116</v>
      </c>
    </row>
    <row r="1520" spans="1:9" x14ac:dyDescent="0.2">
      <c r="A1520" t="str">
        <f>"Akap8l"</f>
        <v>Akap8l</v>
      </c>
      <c r="B1520" t="s">
        <v>14</v>
      </c>
      <c r="C1520" t="s">
        <v>28</v>
      </c>
      <c r="D1520" t="s">
        <v>11</v>
      </c>
      <c r="E1520" t="s">
        <v>12</v>
      </c>
      <c r="F1520">
        <v>32350535</v>
      </c>
      <c r="G1520">
        <v>32350568</v>
      </c>
      <c r="H1520">
        <v>32350569</v>
      </c>
      <c r="I1520">
        <v>32350600</v>
      </c>
    </row>
    <row r="1521" spans="1:9" x14ac:dyDescent="0.2">
      <c r="A1521" t="str">
        <f>"Akap9"</f>
        <v>Akap9</v>
      </c>
      <c r="B1521" t="s">
        <v>14</v>
      </c>
      <c r="C1521" t="s">
        <v>46</v>
      </c>
      <c r="D1521" t="s">
        <v>17</v>
      </c>
      <c r="E1521" t="s">
        <v>12</v>
      </c>
      <c r="F1521">
        <v>3928267</v>
      </c>
      <c r="G1521">
        <v>3928300</v>
      </c>
      <c r="H1521">
        <v>3928033</v>
      </c>
      <c r="I1521">
        <v>3928103</v>
      </c>
    </row>
    <row r="1522" spans="1:9" x14ac:dyDescent="0.2">
      <c r="A1522" t="str">
        <f>"Akip1"</f>
        <v>Akip1</v>
      </c>
      <c r="B1522" t="s">
        <v>14</v>
      </c>
      <c r="C1522" t="s">
        <v>33</v>
      </c>
      <c r="D1522" t="s">
        <v>17</v>
      </c>
      <c r="E1522" t="s">
        <v>67</v>
      </c>
      <c r="F1522">
        <v>109703672</v>
      </c>
      <c r="G1522">
        <v>109703759</v>
      </c>
      <c r="H1522">
        <v>109703911</v>
      </c>
      <c r="I1522">
        <v>109703936</v>
      </c>
    </row>
    <row r="1523" spans="1:9" x14ac:dyDescent="0.2">
      <c r="A1523" t="str">
        <f>"Akirin1"</f>
        <v>Akirin1</v>
      </c>
      <c r="B1523" t="s">
        <v>14</v>
      </c>
      <c r="C1523" t="s">
        <v>23</v>
      </c>
      <c r="D1523" t="s">
        <v>11</v>
      </c>
      <c r="E1523" t="s">
        <v>12</v>
      </c>
      <c r="F1523">
        <v>123750236</v>
      </c>
      <c r="G1523">
        <v>123750293</v>
      </c>
      <c r="H1523">
        <v>123750301</v>
      </c>
      <c r="I1523">
        <v>123750306</v>
      </c>
    </row>
    <row r="1524" spans="1:9" x14ac:dyDescent="0.2">
      <c r="A1524" t="str">
        <f>"Akirin2"</f>
        <v>Akirin2</v>
      </c>
      <c r="B1524" t="s">
        <v>14</v>
      </c>
      <c r="C1524" t="s">
        <v>23</v>
      </c>
      <c r="D1524" t="s">
        <v>17</v>
      </c>
      <c r="E1524" t="s">
        <v>12</v>
      </c>
      <c r="F1524">
        <v>34550587</v>
      </c>
      <c r="G1524">
        <v>34550662</v>
      </c>
      <c r="H1524">
        <v>34550677</v>
      </c>
      <c r="I1524">
        <v>34550688</v>
      </c>
    </row>
    <row r="1525" spans="1:9" x14ac:dyDescent="0.2">
      <c r="A1525" t="str">
        <f>"Akna"</f>
        <v>Akna</v>
      </c>
      <c r="B1525" t="s">
        <v>14</v>
      </c>
      <c r="C1525" t="s">
        <v>23</v>
      </c>
      <c r="D1525" t="s">
        <v>11</v>
      </c>
      <c r="E1525" t="s">
        <v>12</v>
      </c>
      <c r="F1525">
        <v>63403330</v>
      </c>
      <c r="G1525">
        <v>63403350</v>
      </c>
      <c r="H1525">
        <v>63403361</v>
      </c>
      <c r="I1525">
        <v>63403376</v>
      </c>
    </row>
    <row r="1526" spans="1:9" x14ac:dyDescent="0.2">
      <c r="A1526" t="str">
        <f>"Aknad1"</f>
        <v>Aknad1</v>
      </c>
      <c r="B1526" t="s">
        <v>14</v>
      </c>
      <c r="C1526" t="s">
        <v>22</v>
      </c>
      <c r="D1526" t="s">
        <v>17</v>
      </c>
      <c r="E1526" t="s">
        <v>12</v>
      </c>
      <c r="F1526">
        <v>108744366</v>
      </c>
      <c r="G1526">
        <v>108744410</v>
      </c>
      <c r="H1526">
        <v>108744366</v>
      </c>
      <c r="I1526">
        <v>108744410</v>
      </c>
    </row>
    <row r="1527" spans="1:9" x14ac:dyDescent="0.2">
      <c r="A1527" t="str">
        <f>"Akp3"</f>
        <v>Akp3</v>
      </c>
      <c r="B1527" t="s">
        <v>14</v>
      </c>
      <c r="C1527" t="s">
        <v>19</v>
      </c>
      <c r="D1527" t="s">
        <v>17</v>
      </c>
      <c r="E1527" t="s">
        <v>12</v>
      </c>
      <c r="F1527">
        <v>87124946</v>
      </c>
      <c r="G1527">
        <v>87124960</v>
      </c>
      <c r="H1527">
        <v>87124946</v>
      </c>
      <c r="I1527">
        <v>87124960</v>
      </c>
    </row>
    <row r="1528" spans="1:9" x14ac:dyDescent="0.2">
      <c r="A1528" t="str">
        <f>"Akr1a1"</f>
        <v>Akr1a1</v>
      </c>
      <c r="B1528" t="s">
        <v>14</v>
      </c>
      <c r="C1528" t="s">
        <v>23</v>
      </c>
      <c r="D1528" t="s">
        <v>11</v>
      </c>
      <c r="E1528" t="s">
        <v>12</v>
      </c>
      <c r="F1528">
        <v>116651596</v>
      </c>
      <c r="G1528">
        <v>116651636</v>
      </c>
      <c r="H1528">
        <v>116651644</v>
      </c>
      <c r="I1528">
        <v>116651665</v>
      </c>
    </row>
    <row r="1529" spans="1:9" x14ac:dyDescent="0.2">
      <c r="A1529" t="str">
        <f>"Akr1b10"</f>
        <v>Akr1b10</v>
      </c>
      <c r="B1529" t="s">
        <v>14</v>
      </c>
      <c r="C1529" t="s">
        <v>32</v>
      </c>
      <c r="D1529" t="s">
        <v>17</v>
      </c>
      <c r="E1529" t="s">
        <v>12</v>
      </c>
      <c r="F1529">
        <v>34384230</v>
      </c>
      <c r="G1529">
        <v>34384335</v>
      </c>
      <c r="H1529">
        <v>34384213</v>
      </c>
      <c r="I1529">
        <v>34384226</v>
      </c>
    </row>
    <row r="1530" spans="1:9" x14ac:dyDescent="0.2">
      <c r="A1530" t="str">
        <f>"Akr1b3"</f>
        <v>Akr1b3</v>
      </c>
      <c r="B1530" t="s">
        <v>14</v>
      </c>
      <c r="C1530" t="s">
        <v>32</v>
      </c>
      <c r="D1530" t="s">
        <v>11</v>
      </c>
      <c r="E1530" t="s">
        <v>12</v>
      </c>
      <c r="F1530">
        <v>34317442</v>
      </c>
      <c r="G1530">
        <v>34317499</v>
      </c>
      <c r="H1530">
        <v>34317646</v>
      </c>
      <c r="I1530">
        <v>34317676</v>
      </c>
    </row>
    <row r="1531" spans="1:9" x14ac:dyDescent="0.2">
      <c r="A1531" t="str">
        <f>"Akr1b7"</f>
        <v>Akr1b7</v>
      </c>
      <c r="B1531" t="s">
        <v>14</v>
      </c>
      <c r="C1531" t="s">
        <v>32</v>
      </c>
      <c r="D1531" t="s">
        <v>17</v>
      </c>
      <c r="E1531" t="s">
        <v>12</v>
      </c>
      <c r="F1531">
        <v>34412353</v>
      </c>
      <c r="G1531">
        <v>34412373</v>
      </c>
      <c r="H1531">
        <v>34412353</v>
      </c>
      <c r="I1531">
        <v>34412373</v>
      </c>
    </row>
    <row r="1532" spans="1:9" x14ac:dyDescent="0.2">
      <c r="A1532" t="str">
        <f>"Akr1b8"</f>
        <v>Akr1b8</v>
      </c>
      <c r="B1532" t="s">
        <v>14</v>
      </c>
      <c r="C1532" t="s">
        <v>32</v>
      </c>
      <c r="D1532" t="s">
        <v>17</v>
      </c>
      <c r="E1532" t="s">
        <v>12</v>
      </c>
      <c r="F1532">
        <v>34354155</v>
      </c>
      <c r="G1532">
        <v>34354199</v>
      </c>
      <c r="H1532">
        <v>34354155</v>
      </c>
      <c r="I1532">
        <v>34354199</v>
      </c>
    </row>
    <row r="1533" spans="1:9" x14ac:dyDescent="0.2">
      <c r="A1533" t="str">
        <f>"Akr1c12"</f>
        <v>Akr1c12</v>
      </c>
      <c r="B1533" t="s">
        <v>14</v>
      </c>
      <c r="C1533" t="s">
        <v>39</v>
      </c>
      <c r="D1533" t="s">
        <v>11</v>
      </c>
      <c r="E1533" t="s">
        <v>12</v>
      </c>
      <c r="F1533">
        <v>4279390</v>
      </c>
      <c r="G1533">
        <v>4279409</v>
      </c>
      <c r="H1533">
        <v>4279357</v>
      </c>
      <c r="I1533">
        <v>4279373</v>
      </c>
    </row>
    <row r="1534" spans="1:9" x14ac:dyDescent="0.2">
      <c r="A1534" t="str">
        <f>"Akr1c13"</f>
        <v>Akr1c13</v>
      </c>
      <c r="B1534" t="s">
        <v>14</v>
      </c>
      <c r="C1534" t="s">
        <v>39</v>
      </c>
      <c r="D1534" t="s">
        <v>17</v>
      </c>
      <c r="E1534" t="s">
        <v>12</v>
      </c>
      <c r="F1534">
        <v>4191163</v>
      </c>
      <c r="G1534">
        <v>4191200</v>
      </c>
      <c r="H1534">
        <v>4191163</v>
      </c>
      <c r="I1534">
        <v>4191200</v>
      </c>
    </row>
    <row r="1535" spans="1:9" x14ac:dyDescent="0.2">
      <c r="A1535" t="str">
        <f>"Akr1c14"</f>
        <v>Akr1c14</v>
      </c>
      <c r="B1535" t="s">
        <v>9</v>
      </c>
      <c r="C1535" t="s">
        <v>39</v>
      </c>
      <c r="D1535" t="s">
        <v>17</v>
      </c>
      <c r="E1535" t="s">
        <v>12</v>
      </c>
      <c r="F1535">
        <v>4059565</v>
      </c>
      <c r="G1535">
        <v>4059586</v>
      </c>
      <c r="H1535">
        <v>4059565</v>
      </c>
      <c r="I1535">
        <v>4059586</v>
      </c>
    </row>
    <row r="1536" spans="1:9" x14ac:dyDescent="0.2">
      <c r="A1536" t="str">
        <f>"Akr1c14"</f>
        <v>Akr1c14</v>
      </c>
      <c r="B1536" t="s">
        <v>13</v>
      </c>
      <c r="C1536" t="s">
        <v>39</v>
      </c>
      <c r="D1536" t="s">
        <v>17</v>
      </c>
      <c r="E1536" t="s">
        <v>12</v>
      </c>
      <c r="F1536">
        <v>4049001</v>
      </c>
      <c r="G1536">
        <v>4049030</v>
      </c>
      <c r="H1536">
        <v>4049001</v>
      </c>
      <c r="I1536">
        <v>4049030</v>
      </c>
    </row>
    <row r="1537" spans="1:9" x14ac:dyDescent="0.2">
      <c r="A1537" t="str">
        <f>"Akr1c18"</f>
        <v>Akr1c18</v>
      </c>
      <c r="B1537" t="s">
        <v>14</v>
      </c>
      <c r="C1537" t="s">
        <v>39</v>
      </c>
      <c r="D1537" t="s">
        <v>11</v>
      </c>
      <c r="E1537" t="s">
        <v>12</v>
      </c>
      <c r="F1537">
        <v>4150633</v>
      </c>
      <c r="G1537">
        <v>4150653</v>
      </c>
      <c r="H1537">
        <v>4150659</v>
      </c>
      <c r="I1537">
        <v>4150673</v>
      </c>
    </row>
    <row r="1538" spans="1:9" x14ac:dyDescent="0.2">
      <c r="A1538" t="str">
        <f>"Akr1c19"</f>
        <v>Akr1c19</v>
      </c>
      <c r="B1538" t="s">
        <v>14</v>
      </c>
      <c r="C1538" t="s">
        <v>39</v>
      </c>
      <c r="D1538" t="s">
        <v>17</v>
      </c>
      <c r="E1538" t="s">
        <v>12</v>
      </c>
      <c r="F1538">
        <v>4233730</v>
      </c>
      <c r="G1538">
        <v>4233758</v>
      </c>
      <c r="H1538">
        <v>4233730</v>
      </c>
      <c r="I1538">
        <v>4233758</v>
      </c>
    </row>
    <row r="1539" spans="1:9" x14ac:dyDescent="0.2">
      <c r="A1539" t="str">
        <f>"Akr1c20"</f>
        <v>Akr1c20</v>
      </c>
      <c r="B1539" t="s">
        <v>14</v>
      </c>
      <c r="C1539" t="s">
        <v>39</v>
      </c>
      <c r="D1539" t="s">
        <v>11</v>
      </c>
      <c r="E1539" t="s">
        <v>12</v>
      </c>
      <c r="F1539">
        <v>4523322</v>
      </c>
      <c r="G1539">
        <v>4523355</v>
      </c>
      <c r="H1539">
        <v>4523322</v>
      </c>
      <c r="I1539">
        <v>4523355</v>
      </c>
    </row>
    <row r="1540" spans="1:9" x14ac:dyDescent="0.2">
      <c r="A1540" t="str">
        <f>"Akr1c21"</f>
        <v>Akr1c21</v>
      </c>
      <c r="B1540" t="s">
        <v>9</v>
      </c>
      <c r="C1540" t="s">
        <v>39</v>
      </c>
      <c r="D1540" t="s">
        <v>17</v>
      </c>
      <c r="E1540" t="s">
        <v>12</v>
      </c>
      <c r="F1540">
        <v>4574075</v>
      </c>
      <c r="G1540">
        <v>4574088</v>
      </c>
      <c r="H1540">
        <v>4574075</v>
      </c>
      <c r="I1540">
        <v>4574088</v>
      </c>
    </row>
    <row r="1541" spans="1:9" x14ac:dyDescent="0.2">
      <c r="A1541" t="str">
        <f>"Akr1c21"</f>
        <v>Akr1c21</v>
      </c>
      <c r="B1541" t="s">
        <v>13</v>
      </c>
      <c r="C1541" t="s">
        <v>39</v>
      </c>
      <c r="D1541" t="s">
        <v>17</v>
      </c>
      <c r="E1541" t="s">
        <v>12</v>
      </c>
      <c r="F1541">
        <v>4577170</v>
      </c>
      <c r="G1541">
        <v>4577179</v>
      </c>
      <c r="H1541">
        <v>4577170</v>
      </c>
      <c r="I1541">
        <v>4577179</v>
      </c>
    </row>
    <row r="1542" spans="1:9" x14ac:dyDescent="0.2">
      <c r="A1542" t="str">
        <f>"Akr1c6"</f>
        <v>Akr1c6</v>
      </c>
      <c r="B1542" t="s">
        <v>14</v>
      </c>
      <c r="C1542" t="s">
        <v>39</v>
      </c>
      <c r="D1542" t="s">
        <v>17</v>
      </c>
      <c r="E1542" t="s">
        <v>12</v>
      </c>
      <c r="F1542">
        <v>4434337</v>
      </c>
      <c r="G1542">
        <v>4434388</v>
      </c>
      <c r="H1542">
        <v>4434337</v>
      </c>
      <c r="I1542">
        <v>4434388</v>
      </c>
    </row>
    <row r="1543" spans="1:9" x14ac:dyDescent="0.2">
      <c r="A1543" t="str">
        <f>"Akr1cl"</f>
        <v>Akr1cl</v>
      </c>
      <c r="B1543" t="s">
        <v>14</v>
      </c>
      <c r="C1543" t="s">
        <v>19</v>
      </c>
      <c r="D1543" t="s">
        <v>11</v>
      </c>
      <c r="E1543" t="s">
        <v>12</v>
      </c>
      <c r="F1543">
        <v>65032738</v>
      </c>
      <c r="G1543">
        <v>65032754</v>
      </c>
      <c r="H1543">
        <v>65032738</v>
      </c>
      <c r="I1543">
        <v>65032754</v>
      </c>
    </row>
    <row r="1544" spans="1:9" x14ac:dyDescent="0.2">
      <c r="A1544" t="str">
        <f>"Akr1d1"</f>
        <v>Akr1d1</v>
      </c>
      <c r="B1544" t="s">
        <v>14</v>
      </c>
      <c r="C1544" t="s">
        <v>32</v>
      </c>
      <c r="D1544" t="s">
        <v>17</v>
      </c>
      <c r="E1544" t="s">
        <v>12</v>
      </c>
      <c r="F1544">
        <v>37530204</v>
      </c>
      <c r="G1544">
        <v>37530240</v>
      </c>
      <c r="H1544">
        <v>37530184</v>
      </c>
      <c r="I1544">
        <v>37530198</v>
      </c>
    </row>
    <row r="1545" spans="1:9" x14ac:dyDescent="0.2">
      <c r="A1545" t="str">
        <f>"Akr1e1"</f>
        <v>Akr1e1</v>
      </c>
      <c r="B1545" t="s">
        <v>14</v>
      </c>
      <c r="C1545" t="s">
        <v>39</v>
      </c>
      <c r="D1545" t="s">
        <v>11</v>
      </c>
      <c r="E1545" t="s">
        <v>12</v>
      </c>
      <c r="F1545">
        <v>4609122</v>
      </c>
      <c r="G1545">
        <v>4609189</v>
      </c>
      <c r="H1545">
        <v>4609198</v>
      </c>
      <c r="I1545">
        <v>4609205</v>
      </c>
    </row>
    <row r="1546" spans="1:9" x14ac:dyDescent="0.2">
      <c r="A1546" t="str">
        <f>"Akr7a5"</f>
        <v>Akr7a5</v>
      </c>
      <c r="B1546" t="s">
        <v>14</v>
      </c>
      <c r="C1546" t="s">
        <v>23</v>
      </c>
      <c r="D1546" t="s">
        <v>17</v>
      </c>
      <c r="E1546" t="s">
        <v>12</v>
      </c>
      <c r="F1546">
        <v>139310732</v>
      </c>
      <c r="G1546">
        <v>139310793</v>
      </c>
      <c r="H1546">
        <v>139310732</v>
      </c>
      <c r="I1546">
        <v>139310793</v>
      </c>
    </row>
    <row r="1547" spans="1:9" x14ac:dyDescent="0.2">
      <c r="A1547" t="str">
        <f>"Akt1"</f>
        <v>Akt1</v>
      </c>
      <c r="B1547" t="s">
        <v>14</v>
      </c>
      <c r="C1547" t="s">
        <v>16</v>
      </c>
      <c r="D1547" t="s">
        <v>11</v>
      </c>
      <c r="E1547" t="s">
        <v>12</v>
      </c>
      <c r="F1547">
        <v>112674193</v>
      </c>
      <c r="G1547">
        <v>112674275</v>
      </c>
      <c r="H1547">
        <v>112674343</v>
      </c>
      <c r="I1547">
        <v>112674367</v>
      </c>
    </row>
    <row r="1548" spans="1:9" x14ac:dyDescent="0.2">
      <c r="A1548" t="str">
        <f>"Akt1s1"</f>
        <v>Akt1s1</v>
      </c>
      <c r="B1548" t="s">
        <v>14</v>
      </c>
      <c r="C1548" t="s">
        <v>33</v>
      </c>
      <c r="D1548" t="s">
        <v>17</v>
      </c>
      <c r="E1548" t="s">
        <v>12</v>
      </c>
      <c r="F1548">
        <v>44849216</v>
      </c>
      <c r="G1548">
        <v>44849295</v>
      </c>
      <c r="H1548">
        <v>44849949</v>
      </c>
      <c r="I1548">
        <v>44850026</v>
      </c>
    </row>
    <row r="1549" spans="1:9" x14ac:dyDescent="0.2">
      <c r="A1549" t="str">
        <f>"Akt2"</f>
        <v>Akt2</v>
      </c>
      <c r="B1549" t="s">
        <v>9</v>
      </c>
      <c r="C1549" t="s">
        <v>33</v>
      </c>
      <c r="D1549" t="s">
        <v>17</v>
      </c>
      <c r="E1549" t="s">
        <v>12</v>
      </c>
      <c r="F1549">
        <v>27591705</v>
      </c>
      <c r="G1549">
        <v>27591778</v>
      </c>
      <c r="H1549">
        <v>27591705</v>
      </c>
      <c r="I1549">
        <v>27591778</v>
      </c>
    </row>
    <row r="1550" spans="1:9" x14ac:dyDescent="0.2">
      <c r="A1550" t="str">
        <f>"Akt2"</f>
        <v>Akt2</v>
      </c>
      <c r="B1550" t="s">
        <v>13</v>
      </c>
      <c r="C1550" t="s">
        <v>33</v>
      </c>
      <c r="D1550" t="s">
        <v>17</v>
      </c>
      <c r="E1550" t="s">
        <v>12</v>
      </c>
      <c r="F1550">
        <v>27605801</v>
      </c>
      <c r="G1550">
        <v>27605841</v>
      </c>
      <c r="H1550">
        <v>27605801</v>
      </c>
      <c r="I1550">
        <v>27605841</v>
      </c>
    </row>
    <row r="1551" spans="1:9" x14ac:dyDescent="0.2">
      <c r="A1551" t="str">
        <f>"Akt3"</f>
        <v>Akt3</v>
      </c>
      <c r="B1551" t="s">
        <v>14</v>
      </c>
      <c r="C1551" t="s">
        <v>19</v>
      </c>
      <c r="D1551" t="s">
        <v>11</v>
      </c>
      <c r="E1551" t="s">
        <v>12</v>
      </c>
      <c r="F1551">
        <v>177258315</v>
      </c>
      <c r="G1551">
        <v>177258438</v>
      </c>
      <c r="H1551">
        <v>177258182</v>
      </c>
      <c r="I1551">
        <v>177258214</v>
      </c>
    </row>
    <row r="1552" spans="1:9" x14ac:dyDescent="0.2">
      <c r="A1552" t="str">
        <f>"Aktip"</f>
        <v>Aktip</v>
      </c>
      <c r="B1552" t="s">
        <v>14</v>
      </c>
      <c r="C1552" t="s">
        <v>30</v>
      </c>
      <c r="D1552" t="s">
        <v>11</v>
      </c>
      <c r="E1552" t="s">
        <v>12</v>
      </c>
      <c r="F1552">
        <v>91133949</v>
      </c>
      <c r="G1552">
        <v>91134022</v>
      </c>
      <c r="H1552">
        <v>91134027</v>
      </c>
      <c r="I1552">
        <v>91134038</v>
      </c>
    </row>
    <row r="1553" spans="1:9" x14ac:dyDescent="0.2">
      <c r="A1553" t="str">
        <f>"Alad"</f>
        <v>Alad</v>
      </c>
      <c r="B1553" t="s">
        <v>14</v>
      </c>
      <c r="C1553" t="s">
        <v>23</v>
      </c>
      <c r="D1553" t="s">
        <v>11</v>
      </c>
      <c r="E1553" t="s">
        <v>12</v>
      </c>
      <c r="F1553">
        <v>62519885</v>
      </c>
      <c r="G1553">
        <v>62519967</v>
      </c>
      <c r="H1553">
        <v>62520054</v>
      </c>
      <c r="I1553">
        <v>62520079</v>
      </c>
    </row>
    <row r="1554" spans="1:9" x14ac:dyDescent="0.2">
      <c r="A1554" t="str">
        <f>"Alas1"</f>
        <v>Alas1</v>
      </c>
      <c r="B1554" t="s">
        <v>14</v>
      </c>
      <c r="C1554" t="s">
        <v>24</v>
      </c>
      <c r="D1554" t="s">
        <v>11</v>
      </c>
      <c r="E1554" t="s">
        <v>12</v>
      </c>
      <c r="F1554">
        <v>106247860</v>
      </c>
      <c r="G1554">
        <v>106247874</v>
      </c>
      <c r="H1554">
        <v>106247903</v>
      </c>
      <c r="I1554">
        <v>106247912</v>
      </c>
    </row>
    <row r="1555" spans="1:9" x14ac:dyDescent="0.2">
      <c r="A1555" t="str">
        <f>"Alas2"</f>
        <v>Alas2</v>
      </c>
      <c r="B1555" t="s">
        <v>14</v>
      </c>
      <c r="C1555" t="s">
        <v>37</v>
      </c>
      <c r="D1555" t="s">
        <v>17</v>
      </c>
      <c r="E1555" t="s">
        <v>12</v>
      </c>
      <c r="F1555">
        <v>150547437</v>
      </c>
      <c r="G1555">
        <v>150547452</v>
      </c>
      <c r="H1555">
        <v>150547437</v>
      </c>
      <c r="I1555">
        <v>150547452</v>
      </c>
    </row>
    <row r="1556" spans="1:9" x14ac:dyDescent="0.2">
      <c r="A1556" t="str">
        <f>"Alb"</f>
        <v>Alb</v>
      </c>
      <c r="B1556" t="s">
        <v>14</v>
      </c>
      <c r="C1556" t="s">
        <v>46</v>
      </c>
      <c r="D1556" t="s">
        <v>17</v>
      </c>
      <c r="E1556" t="s">
        <v>12</v>
      </c>
      <c r="F1556">
        <v>90460892</v>
      </c>
      <c r="G1556">
        <v>90460908</v>
      </c>
      <c r="H1556">
        <v>90460892</v>
      </c>
      <c r="I1556">
        <v>90460908</v>
      </c>
    </row>
    <row r="1557" spans="1:9" x14ac:dyDescent="0.2">
      <c r="A1557" t="str">
        <f>"Alcam"</f>
        <v>Alcam</v>
      </c>
      <c r="B1557" t="s">
        <v>14</v>
      </c>
      <c r="C1557" t="s">
        <v>31</v>
      </c>
      <c r="D1557" t="s">
        <v>11</v>
      </c>
      <c r="E1557" t="s">
        <v>12</v>
      </c>
      <c r="F1557">
        <v>52452989</v>
      </c>
      <c r="G1557">
        <v>52453013</v>
      </c>
      <c r="H1557">
        <v>52452958</v>
      </c>
      <c r="I1557">
        <v>52452983</v>
      </c>
    </row>
    <row r="1558" spans="1:9" x14ac:dyDescent="0.2">
      <c r="A1558" t="str">
        <f>"Aldh16a1"</f>
        <v>Aldh16a1</v>
      </c>
      <c r="B1558" t="s">
        <v>14</v>
      </c>
      <c r="C1558" t="s">
        <v>33</v>
      </c>
      <c r="D1558" t="s">
        <v>11</v>
      </c>
      <c r="E1558" t="s">
        <v>12</v>
      </c>
      <c r="F1558">
        <v>45154519</v>
      </c>
      <c r="G1558">
        <v>45154572</v>
      </c>
      <c r="H1558">
        <v>45154504</v>
      </c>
      <c r="I1558">
        <v>45154514</v>
      </c>
    </row>
    <row r="1559" spans="1:9" x14ac:dyDescent="0.2">
      <c r="A1559" t="str">
        <f>"Aldh18a1"</f>
        <v>Aldh18a1</v>
      </c>
      <c r="B1559" t="s">
        <v>14</v>
      </c>
      <c r="C1559" t="s">
        <v>10</v>
      </c>
      <c r="D1559" t="s">
        <v>11</v>
      </c>
      <c r="E1559" t="s">
        <v>12</v>
      </c>
      <c r="F1559">
        <v>40588374</v>
      </c>
      <c r="G1559">
        <v>40588426</v>
      </c>
      <c r="H1559">
        <v>40588338</v>
      </c>
      <c r="I1559">
        <v>40588371</v>
      </c>
    </row>
    <row r="1560" spans="1:9" x14ac:dyDescent="0.2">
      <c r="A1560" t="str">
        <f>"Aldh1a1"</f>
        <v>Aldh1a1</v>
      </c>
      <c r="B1560" t="s">
        <v>14</v>
      </c>
      <c r="C1560" t="s">
        <v>10</v>
      </c>
      <c r="D1560" t="s">
        <v>17</v>
      </c>
      <c r="E1560" t="s">
        <v>12</v>
      </c>
      <c r="F1560">
        <v>20601958</v>
      </c>
      <c r="G1560">
        <v>20601974</v>
      </c>
      <c r="H1560">
        <v>20601958</v>
      </c>
      <c r="I1560">
        <v>20601974</v>
      </c>
    </row>
    <row r="1561" spans="1:9" x14ac:dyDescent="0.2">
      <c r="A1561" t="str">
        <f>"Aldh1a2"</f>
        <v>Aldh1a2</v>
      </c>
      <c r="B1561" t="s">
        <v>14</v>
      </c>
      <c r="C1561" t="s">
        <v>24</v>
      </c>
      <c r="D1561" t="s">
        <v>17</v>
      </c>
      <c r="E1561" t="s">
        <v>12</v>
      </c>
      <c r="F1561">
        <v>71215807</v>
      </c>
      <c r="G1561">
        <v>71215831</v>
      </c>
      <c r="H1561">
        <v>71215779</v>
      </c>
      <c r="I1561">
        <v>71215792</v>
      </c>
    </row>
    <row r="1562" spans="1:9" x14ac:dyDescent="0.2">
      <c r="A1562" t="str">
        <f>"Aldh1a3"</f>
        <v>Aldh1a3</v>
      </c>
      <c r="B1562" t="s">
        <v>14</v>
      </c>
      <c r="C1562" t="s">
        <v>33</v>
      </c>
      <c r="D1562" t="s">
        <v>11</v>
      </c>
      <c r="E1562" t="s">
        <v>12</v>
      </c>
      <c r="F1562">
        <v>66427469</v>
      </c>
      <c r="G1562">
        <v>66427483</v>
      </c>
      <c r="H1562">
        <v>66427469</v>
      </c>
      <c r="I1562">
        <v>66427483</v>
      </c>
    </row>
    <row r="1563" spans="1:9" x14ac:dyDescent="0.2">
      <c r="A1563" t="str">
        <f>"Aldh1a7"</f>
        <v>Aldh1a7</v>
      </c>
      <c r="B1563" t="s">
        <v>14</v>
      </c>
      <c r="C1563" t="s">
        <v>10</v>
      </c>
      <c r="D1563" t="s">
        <v>11</v>
      </c>
      <c r="E1563" t="s">
        <v>12</v>
      </c>
      <c r="F1563">
        <v>20727533</v>
      </c>
      <c r="G1563">
        <v>20727568</v>
      </c>
      <c r="H1563">
        <v>20727533</v>
      </c>
      <c r="I1563">
        <v>20727568</v>
      </c>
    </row>
    <row r="1564" spans="1:9" x14ac:dyDescent="0.2">
      <c r="A1564" t="str">
        <f>"Aldh1b1"</f>
        <v>Aldh1b1</v>
      </c>
      <c r="B1564" t="s">
        <v>14</v>
      </c>
      <c r="C1564" t="s">
        <v>23</v>
      </c>
      <c r="D1564" t="s">
        <v>17</v>
      </c>
      <c r="E1564" t="s">
        <v>12</v>
      </c>
      <c r="F1564">
        <v>45799059</v>
      </c>
      <c r="G1564">
        <v>45799149</v>
      </c>
      <c r="H1564">
        <v>45799016</v>
      </c>
      <c r="I1564">
        <v>45799056</v>
      </c>
    </row>
    <row r="1565" spans="1:9" x14ac:dyDescent="0.2">
      <c r="A1565" t="str">
        <f>"Aldh1l1"</f>
        <v>Aldh1l1</v>
      </c>
      <c r="B1565" t="s">
        <v>14</v>
      </c>
      <c r="C1565" t="s">
        <v>32</v>
      </c>
      <c r="D1565" t="s">
        <v>17</v>
      </c>
      <c r="E1565" t="s">
        <v>12</v>
      </c>
      <c r="F1565">
        <v>90550789</v>
      </c>
      <c r="G1565">
        <v>90550849</v>
      </c>
      <c r="H1565">
        <v>90550753</v>
      </c>
      <c r="I1565">
        <v>90550764</v>
      </c>
    </row>
    <row r="1566" spans="1:9" x14ac:dyDescent="0.2">
      <c r="A1566" t="str">
        <f>"Aldh1l2"</f>
        <v>Aldh1l2</v>
      </c>
      <c r="B1566" t="s">
        <v>14</v>
      </c>
      <c r="C1566" t="s">
        <v>15</v>
      </c>
      <c r="D1566" t="s">
        <v>11</v>
      </c>
      <c r="E1566" t="s">
        <v>12</v>
      </c>
      <c r="F1566">
        <v>83534066</v>
      </c>
      <c r="G1566">
        <v>83534127</v>
      </c>
      <c r="H1566">
        <v>83534049</v>
      </c>
      <c r="I1566">
        <v>83534061</v>
      </c>
    </row>
    <row r="1567" spans="1:9" x14ac:dyDescent="0.2">
      <c r="A1567" t="str">
        <f>"Aldh2"</f>
        <v>Aldh2</v>
      </c>
      <c r="B1567" t="s">
        <v>14</v>
      </c>
      <c r="C1567" t="s">
        <v>46</v>
      </c>
      <c r="D1567" t="s">
        <v>11</v>
      </c>
      <c r="E1567" t="s">
        <v>12</v>
      </c>
      <c r="F1567">
        <v>121593552</v>
      </c>
      <c r="G1567">
        <v>121593603</v>
      </c>
      <c r="H1567">
        <v>121593482</v>
      </c>
      <c r="I1567">
        <v>121593493</v>
      </c>
    </row>
    <row r="1568" spans="1:9" x14ac:dyDescent="0.2">
      <c r="A1568" t="str">
        <f>"Aldh3a1"</f>
        <v>Aldh3a1</v>
      </c>
      <c r="B1568" t="s">
        <v>14</v>
      </c>
      <c r="C1568" t="s">
        <v>27</v>
      </c>
      <c r="D1568" t="s">
        <v>17</v>
      </c>
      <c r="E1568" t="s">
        <v>12</v>
      </c>
      <c r="F1568">
        <v>61208734</v>
      </c>
      <c r="G1568">
        <v>61208747</v>
      </c>
      <c r="H1568">
        <v>61208549</v>
      </c>
      <c r="I1568">
        <v>61208562</v>
      </c>
    </row>
    <row r="1569" spans="1:9" x14ac:dyDescent="0.2">
      <c r="A1569" t="str">
        <f>"Aldh3a2"</f>
        <v>Aldh3a2</v>
      </c>
      <c r="B1569" t="s">
        <v>14</v>
      </c>
      <c r="C1569" t="s">
        <v>27</v>
      </c>
      <c r="D1569" t="s">
        <v>11</v>
      </c>
      <c r="E1569" t="s">
        <v>12</v>
      </c>
      <c r="F1569">
        <v>61267102</v>
      </c>
      <c r="G1569">
        <v>61267134</v>
      </c>
      <c r="H1569">
        <v>61267141</v>
      </c>
      <c r="I1569">
        <v>61267154</v>
      </c>
    </row>
    <row r="1570" spans="1:9" x14ac:dyDescent="0.2">
      <c r="A1570" t="str">
        <f>"Aldh3b1"</f>
        <v>Aldh3b1</v>
      </c>
      <c r="B1570" t="s">
        <v>14</v>
      </c>
      <c r="C1570" t="s">
        <v>10</v>
      </c>
      <c r="D1570" t="s">
        <v>11</v>
      </c>
      <c r="E1570" t="s">
        <v>12</v>
      </c>
      <c r="F1570">
        <v>3929723</v>
      </c>
      <c r="G1570">
        <v>3929765</v>
      </c>
      <c r="H1570">
        <v>3929767</v>
      </c>
      <c r="I1570">
        <v>3929783</v>
      </c>
    </row>
    <row r="1571" spans="1:9" x14ac:dyDescent="0.2">
      <c r="A1571" t="str">
        <f>"Aldh3b2"</f>
        <v>Aldh3b2</v>
      </c>
      <c r="B1571" t="s">
        <v>14</v>
      </c>
      <c r="C1571" t="s">
        <v>10</v>
      </c>
      <c r="D1571" t="s">
        <v>17</v>
      </c>
      <c r="E1571" t="s">
        <v>12</v>
      </c>
      <c r="F1571">
        <v>3972475</v>
      </c>
      <c r="G1571">
        <v>3972503</v>
      </c>
      <c r="H1571">
        <v>3972475</v>
      </c>
      <c r="I1571">
        <v>3972503</v>
      </c>
    </row>
    <row r="1572" spans="1:9" x14ac:dyDescent="0.2">
      <c r="A1572" t="str">
        <f>"Aldh4a1"</f>
        <v>Aldh4a1</v>
      </c>
      <c r="B1572" t="s">
        <v>14</v>
      </c>
      <c r="C1572" t="s">
        <v>23</v>
      </c>
      <c r="D1572" t="s">
        <v>17</v>
      </c>
      <c r="E1572" t="s">
        <v>12</v>
      </c>
      <c r="F1572">
        <v>139623089</v>
      </c>
      <c r="G1572">
        <v>139623134</v>
      </c>
      <c r="H1572">
        <v>139622842</v>
      </c>
      <c r="I1572">
        <v>139622902</v>
      </c>
    </row>
    <row r="1573" spans="1:9" x14ac:dyDescent="0.2">
      <c r="A1573" t="str">
        <f>"Aldh5a1"</f>
        <v>Aldh5a1</v>
      </c>
      <c r="B1573" t="s">
        <v>14</v>
      </c>
      <c r="C1573" t="s">
        <v>39</v>
      </c>
      <c r="D1573" t="s">
        <v>11</v>
      </c>
      <c r="E1573" t="s">
        <v>12</v>
      </c>
      <c r="F1573">
        <v>24937585</v>
      </c>
      <c r="G1573">
        <v>24937691</v>
      </c>
      <c r="H1573">
        <v>24937585</v>
      </c>
      <c r="I1573">
        <v>24937691</v>
      </c>
    </row>
    <row r="1574" spans="1:9" x14ac:dyDescent="0.2">
      <c r="A1574" t="str">
        <f>"Aldh6a1"</f>
        <v>Aldh6a1</v>
      </c>
      <c r="B1574" t="s">
        <v>14</v>
      </c>
      <c r="C1574" t="s">
        <v>16</v>
      </c>
      <c r="D1574" t="s">
        <v>11</v>
      </c>
      <c r="E1574" t="s">
        <v>12</v>
      </c>
      <c r="F1574">
        <v>84450944</v>
      </c>
      <c r="G1574">
        <v>84451018</v>
      </c>
      <c r="H1574">
        <v>84450944</v>
      </c>
      <c r="I1574">
        <v>84451018</v>
      </c>
    </row>
    <row r="1575" spans="1:9" x14ac:dyDescent="0.2">
      <c r="A1575" t="str">
        <f>"Aldh7a1"</f>
        <v>Aldh7a1</v>
      </c>
      <c r="B1575" t="s">
        <v>9</v>
      </c>
      <c r="C1575" t="s">
        <v>43</v>
      </c>
      <c r="D1575" t="s">
        <v>11</v>
      </c>
      <c r="E1575" t="s">
        <v>12</v>
      </c>
      <c r="F1575">
        <v>56562215</v>
      </c>
      <c r="G1575">
        <v>56562254</v>
      </c>
      <c r="H1575">
        <v>56562215</v>
      </c>
      <c r="I1575">
        <v>56562254</v>
      </c>
    </row>
    <row r="1576" spans="1:9" x14ac:dyDescent="0.2">
      <c r="A1576" t="str">
        <f>"Aldh7a1"</f>
        <v>Aldh7a1</v>
      </c>
      <c r="B1576" t="s">
        <v>13</v>
      </c>
      <c r="C1576" t="s">
        <v>43</v>
      </c>
      <c r="D1576" t="s">
        <v>11</v>
      </c>
      <c r="E1576" t="s">
        <v>12</v>
      </c>
      <c r="F1576">
        <v>56572888</v>
      </c>
      <c r="G1576">
        <v>56572945</v>
      </c>
      <c r="H1576">
        <v>56572888</v>
      </c>
      <c r="I1576">
        <v>56572945</v>
      </c>
    </row>
    <row r="1577" spans="1:9" x14ac:dyDescent="0.2">
      <c r="A1577" t="str">
        <f>"Aldh8a1"</f>
        <v>Aldh8a1</v>
      </c>
      <c r="B1577" t="s">
        <v>14</v>
      </c>
      <c r="C1577" t="s">
        <v>15</v>
      </c>
      <c r="D1577" t="s">
        <v>17</v>
      </c>
      <c r="E1577" t="s">
        <v>12</v>
      </c>
      <c r="F1577">
        <v>21377290</v>
      </c>
      <c r="G1577">
        <v>21377327</v>
      </c>
      <c r="H1577">
        <v>21377290</v>
      </c>
      <c r="I1577">
        <v>21377327</v>
      </c>
    </row>
    <row r="1578" spans="1:9" x14ac:dyDescent="0.2">
      <c r="A1578" t="str">
        <f>"Aldh9a1"</f>
        <v>Aldh9a1</v>
      </c>
      <c r="B1578" t="s">
        <v>14</v>
      </c>
      <c r="C1578" t="s">
        <v>19</v>
      </c>
      <c r="D1578" t="s">
        <v>17</v>
      </c>
      <c r="E1578" t="s">
        <v>12</v>
      </c>
      <c r="F1578">
        <v>167350184</v>
      </c>
      <c r="G1578">
        <v>167350234</v>
      </c>
      <c r="H1578">
        <v>167349976</v>
      </c>
      <c r="I1578">
        <v>167350065</v>
      </c>
    </row>
    <row r="1579" spans="1:9" x14ac:dyDescent="0.2">
      <c r="A1579" t="str">
        <f>"Aldoa"</f>
        <v>Aldoa</v>
      </c>
      <c r="B1579" t="s">
        <v>14</v>
      </c>
      <c r="C1579" t="s">
        <v>33</v>
      </c>
      <c r="D1579" t="s">
        <v>11</v>
      </c>
      <c r="E1579" t="s">
        <v>12</v>
      </c>
      <c r="F1579">
        <v>126800037</v>
      </c>
      <c r="G1579">
        <v>126800054</v>
      </c>
      <c r="H1579">
        <v>126799163</v>
      </c>
      <c r="I1579">
        <v>126799191</v>
      </c>
    </row>
    <row r="1580" spans="1:9" x14ac:dyDescent="0.2">
      <c r="A1580" t="str">
        <f>"Aldoart1"</f>
        <v>Aldoart1</v>
      </c>
      <c r="B1580" t="s">
        <v>2124</v>
      </c>
      <c r="C1580" t="s">
        <v>23</v>
      </c>
      <c r="D1580" t="s">
        <v>11</v>
      </c>
      <c r="E1580" t="s">
        <v>35</v>
      </c>
      <c r="F1580">
        <v>72852673</v>
      </c>
      <c r="G1580">
        <v>72852683</v>
      </c>
      <c r="H1580">
        <v>72852600</v>
      </c>
      <c r="I1580">
        <v>72852609</v>
      </c>
    </row>
    <row r="1581" spans="1:9" x14ac:dyDescent="0.2">
      <c r="A1581" t="str">
        <f>"Aldoart2"</f>
        <v>Aldoart2</v>
      </c>
      <c r="B1581" t="s">
        <v>14</v>
      </c>
      <c r="C1581" t="s">
        <v>16</v>
      </c>
      <c r="D1581" t="s">
        <v>17</v>
      </c>
      <c r="E1581" t="s">
        <v>12</v>
      </c>
      <c r="F1581">
        <v>55565565</v>
      </c>
      <c r="G1581">
        <v>55565566</v>
      </c>
      <c r="H1581">
        <v>55565565</v>
      </c>
      <c r="I1581">
        <v>55565566</v>
      </c>
    </row>
    <row r="1582" spans="1:9" x14ac:dyDescent="0.2">
      <c r="A1582" t="str">
        <f>"Aldob"</f>
        <v>Aldob</v>
      </c>
      <c r="B1582" t="s">
        <v>14</v>
      </c>
      <c r="C1582" t="s">
        <v>23</v>
      </c>
      <c r="D1582" t="s">
        <v>11</v>
      </c>
      <c r="E1582" t="s">
        <v>12</v>
      </c>
      <c r="F1582">
        <v>49549485</v>
      </c>
      <c r="G1582">
        <v>49549514</v>
      </c>
      <c r="H1582">
        <v>49549523</v>
      </c>
      <c r="I1582">
        <v>49549538</v>
      </c>
    </row>
    <row r="1583" spans="1:9" x14ac:dyDescent="0.2">
      <c r="A1583" t="str">
        <f>"Aldoc"</f>
        <v>Aldoc</v>
      </c>
      <c r="B1583" t="s">
        <v>14</v>
      </c>
      <c r="C1583" t="s">
        <v>27</v>
      </c>
      <c r="D1583" t="s">
        <v>17</v>
      </c>
      <c r="E1583" t="s">
        <v>12</v>
      </c>
      <c r="F1583">
        <v>78323087</v>
      </c>
      <c r="G1583">
        <v>78323112</v>
      </c>
      <c r="H1583">
        <v>78323120</v>
      </c>
      <c r="I1583">
        <v>78323145</v>
      </c>
    </row>
    <row r="1584" spans="1:9" x14ac:dyDescent="0.2">
      <c r="A1584" t="str">
        <f>"Alg1"</f>
        <v>Alg1</v>
      </c>
      <c r="B1584" t="s">
        <v>14</v>
      </c>
      <c r="C1584" t="s">
        <v>31</v>
      </c>
      <c r="D1584" t="s">
        <v>17</v>
      </c>
      <c r="E1584" t="s">
        <v>12</v>
      </c>
      <c r="F1584">
        <v>5233615</v>
      </c>
      <c r="G1584">
        <v>5233653</v>
      </c>
      <c r="H1584">
        <v>5233615</v>
      </c>
      <c r="I1584">
        <v>5233653</v>
      </c>
    </row>
    <row r="1585" spans="1:9" x14ac:dyDescent="0.2">
      <c r="A1585" t="str">
        <f>"Alg10b"</f>
        <v>Alg10b</v>
      </c>
      <c r="B1585" t="s">
        <v>14</v>
      </c>
      <c r="C1585" t="s">
        <v>25</v>
      </c>
      <c r="D1585" t="s">
        <v>17</v>
      </c>
      <c r="E1585" t="s">
        <v>12</v>
      </c>
      <c r="F1585">
        <v>90224293</v>
      </c>
      <c r="G1585">
        <v>90224374</v>
      </c>
      <c r="H1585">
        <v>90224277</v>
      </c>
      <c r="I1585">
        <v>90224291</v>
      </c>
    </row>
    <row r="1586" spans="1:9" x14ac:dyDescent="0.2">
      <c r="A1586" t="str">
        <f>"Alg11"</f>
        <v>Alg11</v>
      </c>
      <c r="B1586" t="s">
        <v>14</v>
      </c>
      <c r="C1586" t="s">
        <v>30</v>
      </c>
      <c r="D1586" t="s">
        <v>17</v>
      </c>
      <c r="E1586" t="s">
        <v>12</v>
      </c>
      <c r="F1586">
        <v>22060712</v>
      </c>
      <c r="G1586">
        <v>22060732</v>
      </c>
      <c r="H1586">
        <v>22060712</v>
      </c>
      <c r="I1586">
        <v>22060732</v>
      </c>
    </row>
    <row r="1587" spans="1:9" x14ac:dyDescent="0.2">
      <c r="A1587" t="str">
        <f>"Alg12"</f>
        <v>Alg12</v>
      </c>
      <c r="B1587" t="s">
        <v>14</v>
      </c>
      <c r="C1587" t="s">
        <v>25</v>
      </c>
      <c r="D1587" t="s">
        <v>11</v>
      </c>
      <c r="E1587" t="s">
        <v>12</v>
      </c>
      <c r="F1587">
        <v>88819279</v>
      </c>
      <c r="G1587">
        <v>88819335</v>
      </c>
      <c r="H1587">
        <v>88819073</v>
      </c>
      <c r="I1587">
        <v>88819117</v>
      </c>
    </row>
    <row r="1588" spans="1:9" x14ac:dyDescent="0.2">
      <c r="A1588" t="str">
        <f>"Alg13"</f>
        <v>Alg13</v>
      </c>
      <c r="B1588" t="s">
        <v>14</v>
      </c>
      <c r="C1588" t="s">
        <v>37</v>
      </c>
      <c r="D1588" t="s">
        <v>17</v>
      </c>
      <c r="E1588" t="s">
        <v>12</v>
      </c>
      <c r="F1588">
        <v>144317991</v>
      </c>
      <c r="G1588">
        <v>144318034</v>
      </c>
      <c r="H1588">
        <v>144318065</v>
      </c>
      <c r="I1588">
        <v>144318080</v>
      </c>
    </row>
    <row r="1589" spans="1:9" x14ac:dyDescent="0.2">
      <c r="A1589" t="str">
        <f>"Alg14"</f>
        <v>Alg14</v>
      </c>
      <c r="B1589" t="s">
        <v>14</v>
      </c>
      <c r="C1589" t="s">
        <v>22</v>
      </c>
      <c r="D1589" t="s">
        <v>17</v>
      </c>
      <c r="E1589" t="s">
        <v>12</v>
      </c>
      <c r="F1589">
        <v>121291725</v>
      </c>
      <c r="G1589">
        <v>121291817</v>
      </c>
      <c r="H1589">
        <v>121291725</v>
      </c>
      <c r="I1589">
        <v>121291817</v>
      </c>
    </row>
    <row r="1590" spans="1:9" x14ac:dyDescent="0.2">
      <c r="A1590" t="str">
        <f>"Alg2"</f>
        <v>Alg2</v>
      </c>
      <c r="B1590" t="s">
        <v>14</v>
      </c>
      <c r="C1590" t="s">
        <v>23</v>
      </c>
      <c r="D1590" t="s">
        <v>11</v>
      </c>
      <c r="E1590" t="s">
        <v>12</v>
      </c>
      <c r="F1590">
        <v>47474283</v>
      </c>
      <c r="G1590">
        <v>47474349</v>
      </c>
      <c r="H1590">
        <v>47474283</v>
      </c>
      <c r="I1590">
        <v>47474349</v>
      </c>
    </row>
    <row r="1591" spans="1:9" x14ac:dyDescent="0.2">
      <c r="A1591" t="str">
        <f>"Alg3"</f>
        <v>Alg3</v>
      </c>
      <c r="B1591" t="s">
        <v>14</v>
      </c>
      <c r="C1591" t="s">
        <v>31</v>
      </c>
      <c r="D1591" t="s">
        <v>11</v>
      </c>
      <c r="E1591" t="s">
        <v>12</v>
      </c>
      <c r="F1591">
        <v>20610741</v>
      </c>
      <c r="G1591">
        <v>20610757</v>
      </c>
      <c r="H1591">
        <v>20610741</v>
      </c>
      <c r="I1591">
        <v>20610757</v>
      </c>
    </row>
    <row r="1592" spans="1:9" x14ac:dyDescent="0.2">
      <c r="A1592" t="str">
        <f>"Alg5"</f>
        <v>Alg5</v>
      </c>
      <c r="B1592" t="s">
        <v>14</v>
      </c>
      <c r="C1592" t="s">
        <v>22</v>
      </c>
      <c r="D1592" t="s">
        <v>17</v>
      </c>
      <c r="E1592" t="s">
        <v>12</v>
      </c>
      <c r="F1592">
        <v>54735536</v>
      </c>
      <c r="G1592">
        <v>54735586</v>
      </c>
      <c r="H1592">
        <v>54735536</v>
      </c>
      <c r="I1592">
        <v>54735586</v>
      </c>
    </row>
    <row r="1593" spans="1:9" x14ac:dyDescent="0.2">
      <c r="A1593" t="str">
        <f>"Alg6"</f>
        <v>Alg6</v>
      </c>
      <c r="B1593" t="s">
        <v>14</v>
      </c>
      <c r="C1593" t="s">
        <v>23</v>
      </c>
      <c r="D1593" t="s">
        <v>17</v>
      </c>
      <c r="E1593" t="s">
        <v>12</v>
      </c>
      <c r="F1593">
        <v>99715640</v>
      </c>
      <c r="G1593">
        <v>99715682</v>
      </c>
      <c r="H1593">
        <v>99715620</v>
      </c>
      <c r="I1593">
        <v>99715635</v>
      </c>
    </row>
    <row r="1594" spans="1:9" x14ac:dyDescent="0.2">
      <c r="A1594" t="str">
        <f>"Alg8"</f>
        <v>Alg8</v>
      </c>
      <c r="B1594" t="s">
        <v>14</v>
      </c>
      <c r="C1594" t="s">
        <v>33</v>
      </c>
      <c r="D1594" t="s">
        <v>17</v>
      </c>
      <c r="E1594" t="s">
        <v>12</v>
      </c>
      <c r="F1594">
        <v>97371604</v>
      </c>
      <c r="G1594">
        <v>97371640</v>
      </c>
      <c r="H1594">
        <v>97371592</v>
      </c>
      <c r="I1594">
        <v>97371601</v>
      </c>
    </row>
    <row r="1595" spans="1:9" x14ac:dyDescent="0.2">
      <c r="A1595" t="str">
        <f>"Alg9"</f>
        <v>Alg9</v>
      </c>
      <c r="B1595" t="s">
        <v>14</v>
      </c>
      <c r="C1595" t="s">
        <v>24</v>
      </c>
      <c r="D1595" t="s">
        <v>17</v>
      </c>
      <c r="E1595" t="s">
        <v>12</v>
      </c>
      <c r="F1595">
        <v>50775279</v>
      </c>
      <c r="G1595">
        <v>50775327</v>
      </c>
      <c r="H1595">
        <v>50775347</v>
      </c>
      <c r="I1595">
        <v>50775369</v>
      </c>
    </row>
    <row r="1596" spans="1:9" x14ac:dyDescent="0.2">
      <c r="A1596" t="str">
        <f>"Alk"</f>
        <v>Alk</v>
      </c>
      <c r="B1596" t="s">
        <v>14</v>
      </c>
      <c r="C1596" t="s">
        <v>28</v>
      </c>
      <c r="D1596" t="s">
        <v>11</v>
      </c>
      <c r="E1596" t="s">
        <v>12</v>
      </c>
      <c r="F1596">
        <v>72604633</v>
      </c>
      <c r="G1596">
        <v>72604645</v>
      </c>
      <c r="H1596">
        <v>72604633</v>
      </c>
      <c r="I1596">
        <v>72604645</v>
      </c>
    </row>
    <row r="1597" spans="1:9" x14ac:dyDescent="0.2">
      <c r="A1597" t="str">
        <f>"Alkbh1"</f>
        <v>Alkbh1</v>
      </c>
      <c r="B1597" t="s">
        <v>14</v>
      </c>
      <c r="C1597" t="s">
        <v>16</v>
      </c>
      <c r="D1597" t="s">
        <v>11</v>
      </c>
      <c r="E1597" t="s">
        <v>12</v>
      </c>
      <c r="F1597">
        <v>87443800</v>
      </c>
      <c r="G1597">
        <v>87443850</v>
      </c>
      <c r="H1597">
        <v>87443800</v>
      </c>
      <c r="I1597">
        <v>87443850</v>
      </c>
    </row>
    <row r="1598" spans="1:9" x14ac:dyDescent="0.2">
      <c r="A1598" t="str">
        <f>"Alkbh2"</f>
        <v>Alkbh2</v>
      </c>
      <c r="B1598" t="s">
        <v>14</v>
      </c>
      <c r="C1598" t="s">
        <v>46</v>
      </c>
      <c r="D1598" t="s">
        <v>11</v>
      </c>
      <c r="E1598" t="s">
        <v>12</v>
      </c>
      <c r="F1598">
        <v>114128171</v>
      </c>
      <c r="G1598">
        <v>114128219</v>
      </c>
      <c r="H1598">
        <v>114128244</v>
      </c>
      <c r="I1598">
        <v>114128247</v>
      </c>
    </row>
    <row r="1599" spans="1:9" x14ac:dyDescent="0.2">
      <c r="A1599" t="str">
        <f>"Alkbh3"</f>
        <v>Alkbh3</v>
      </c>
      <c r="B1599" t="s">
        <v>14</v>
      </c>
      <c r="C1599" t="s">
        <v>26</v>
      </c>
      <c r="D1599" t="s">
        <v>11</v>
      </c>
      <c r="E1599" t="s">
        <v>12</v>
      </c>
      <c r="F1599">
        <v>94010729</v>
      </c>
      <c r="G1599">
        <v>94010764</v>
      </c>
      <c r="H1599">
        <v>94010816</v>
      </c>
      <c r="I1599">
        <v>94010823</v>
      </c>
    </row>
    <row r="1600" spans="1:9" x14ac:dyDescent="0.2">
      <c r="A1600" t="str">
        <f>"Alkbh4"</f>
        <v>Alkbh4</v>
      </c>
      <c r="B1600" t="s">
        <v>14</v>
      </c>
      <c r="C1600" t="s">
        <v>46</v>
      </c>
      <c r="D1600" t="s">
        <v>17</v>
      </c>
      <c r="E1600" t="s">
        <v>12</v>
      </c>
      <c r="F1600">
        <v>136136137</v>
      </c>
      <c r="G1600">
        <v>136136174</v>
      </c>
      <c r="H1600">
        <v>136136223</v>
      </c>
      <c r="I1600">
        <v>136136256</v>
      </c>
    </row>
    <row r="1601" spans="1:9" x14ac:dyDescent="0.2">
      <c r="A1601" t="str">
        <f>"Alkbh5"</f>
        <v>Alkbh5</v>
      </c>
      <c r="B1601" t="s">
        <v>14</v>
      </c>
      <c r="C1601" t="s">
        <v>27</v>
      </c>
      <c r="D1601" t="s">
        <v>17</v>
      </c>
      <c r="E1601" t="s">
        <v>12</v>
      </c>
      <c r="F1601">
        <v>60537989</v>
      </c>
      <c r="G1601">
        <v>60538074</v>
      </c>
      <c r="H1601">
        <v>60537661</v>
      </c>
      <c r="I1601">
        <v>60537738</v>
      </c>
    </row>
    <row r="1602" spans="1:9" x14ac:dyDescent="0.2">
      <c r="A1602" t="str">
        <f>"Alkbh6"</f>
        <v>Alkbh6</v>
      </c>
      <c r="B1602" t="s">
        <v>14</v>
      </c>
      <c r="C1602" t="s">
        <v>33</v>
      </c>
      <c r="D1602" t="s">
        <v>17</v>
      </c>
      <c r="E1602" t="s">
        <v>12</v>
      </c>
      <c r="F1602">
        <v>30308772</v>
      </c>
      <c r="G1602">
        <v>30308818</v>
      </c>
      <c r="H1602">
        <v>30308741</v>
      </c>
      <c r="I1602">
        <v>30308758</v>
      </c>
    </row>
    <row r="1603" spans="1:9" x14ac:dyDescent="0.2">
      <c r="A1603" t="str">
        <f>"Alkbh7"</f>
        <v>Alkbh7</v>
      </c>
      <c r="B1603" t="s">
        <v>14</v>
      </c>
      <c r="C1603" t="s">
        <v>28</v>
      </c>
      <c r="D1603" t="s">
        <v>17</v>
      </c>
      <c r="E1603" t="s">
        <v>12</v>
      </c>
      <c r="F1603">
        <v>56997332</v>
      </c>
      <c r="G1603">
        <v>56997365</v>
      </c>
      <c r="H1603">
        <v>56997332</v>
      </c>
      <c r="I1603">
        <v>56997365</v>
      </c>
    </row>
    <row r="1604" spans="1:9" x14ac:dyDescent="0.2">
      <c r="A1604" t="str">
        <f>"Alkbh8"</f>
        <v>Alkbh8</v>
      </c>
      <c r="B1604" t="s">
        <v>14</v>
      </c>
      <c r="C1604" t="s">
        <v>24</v>
      </c>
      <c r="D1604" t="s">
        <v>17</v>
      </c>
      <c r="E1604" t="s">
        <v>12</v>
      </c>
      <c r="F1604">
        <v>3335470</v>
      </c>
      <c r="G1604">
        <v>3335501</v>
      </c>
      <c r="H1604">
        <v>3335508</v>
      </c>
      <c r="I1604">
        <v>3335531</v>
      </c>
    </row>
    <row r="1605" spans="1:9" x14ac:dyDescent="0.2">
      <c r="A1605" t="str">
        <f>"Allc"</f>
        <v>Allc</v>
      </c>
      <c r="B1605" t="s">
        <v>14</v>
      </c>
      <c r="C1605" t="s">
        <v>16</v>
      </c>
      <c r="D1605" t="s">
        <v>11</v>
      </c>
      <c r="E1605" t="s">
        <v>12</v>
      </c>
      <c r="F1605">
        <v>28582517</v>
      </c>
      <c r="G1605">
        <v>28582533</v>
      </c>
      <c r="H1605">
        <v>28582538</v>
      </c>
      <c r="I1605">
        <v>28582559</v>
      </c>
    </row>
    <row r="1606" spans="1:9" x14ac:dyDescent="0.2">
      <c r="A1606" t="str">
        <f>"Alms1"</f>
        <v>Alms1</v>
      </c>
      <c r="B1606" t="s">
        <v>14</v>
      </c>
      <c r="C1606" t="s">
        <v>32</v>
      </c>
      <c r="D1606" t="s">
        <v>17</v>
      </c>
      <c r="E1606" t="s">
        <v>12</v>
      </c>
      <c r="F1606">
        <v>85587591</v>
      </c>
      <c r="G1606">
        <v>85587630</v>
      </c>
      <c r="H1606">
        <v>85587638</v>
      </c>
      <c r="I1606">
        <v>85587647</v>
      </c>
    </row>
    <row r="1607" spans="1:9" x14ac:dyDescent="0.2">
      <c r="A1607" t="str">
        <f>"Alox12"</f>
        <v>Alox12</v>
      </c>
      <c r="B1607" t="s">
        <v>14</v>
      </c>
      <c r="C1607" t="s">
        <v>27</v>
      </c>
      <c r="D1607" t="s">
        <v>11</v>
      </c>
      <c r="E1607" t="s">
        <v>12</v>
      </c>
      <c r="F1607">
        <v>70255329</v>
      </c>
      <c r="G1607">
        <v>70255347</v>
      </c>
      <c r="H1607">
        <v>70255277</v>
      </c>
      <c r="I1607">
        <v>70255286</v>
      </c>
    </row>
    <row r="1608" spans="1:9" x14ac:dyDescent="0.2">
      <c r="A1608" t="str">
        <f>"Alox12b"</f>
        <v>Alox12b</v>
      </c>
      <c r="B1608" t="s">
        <v>14</v>
      </c>
      <c r="C1608" t="s">
        <v>27</v>
      </c>
      <c r="D1608" t="s">
        <v>17</v>
      </c>
      <c r="E1608" t="s">
        <v>12</v>
      </c>
      <c r="F1608">
        <v>69157032</v>
      </c>
      <c r="G1608">
        <v>69157051</v>
      </c>
      <c r="H1608">
        <v>69157063</v>
      </c>
      <c r="I1608">
        <v>69157081</v>
      </c>
    </row>
    <row r="1609" spans="1:9" x14ac:dyDescent="0.2">
      <c r="A1609" t="str">
        <f>"Alox12e"</f>
        <v>Alox12e</v>
      </c>
      <c r="B1609" t="s">
        <v>14</v>
      </c>
      <c r="C1609" t="s">
        <v>27</v>
      </c>
      <c r="D1609" t="s">
        <v>11</v>
      </c>
      <c r="E1609" t="s">
        <v>12</v>
      </c>
      <c r="F1609">
        <v>70322520</v>
      </c>
      <c r="G1609">
        <v>70322537</v>
      </c>
      <c r="H1609">
        <v>70322502</v>
      </c>
      <c r="I1609">
        <v>70322514</v>
      </c>
    </row>
    <row r="1610" spans="1:9" x14ac:dyDescent="0.2">
      <c r="A1610" t="str">
        <f>"Alox15"</f>
        <v>Alox15</v>
      </c>
      <c r="B1610" t="s">
        <v>9</v>
      </c>
      <c r="C1610" t="s">
        <v>27</v>
      </c>
      <c r="D1610" t="s">
        <v>11</v>
      </c>
      <c r="E1610" t="s">
        <v>12</v>
      </c>
      <c r="F1610">
        <v>70352029</v>
      </c>
      <c r="G1610">
        <v>70352032</v>
      </c>
      <c r="H1610">
        <v>70352029</v>
      </c>
      <c r="I1610">
        <v>70352032</v>
      </c>
    </row>
    <row r="1611" spans="1:9" x14ac:dyDescent="0.2">
      <c r="A1611" t="str">
        <f>"Alox15"</f>
        <v>Alox15</v>
      </c>
      <c r="B1611" t="s">
        <v>13</v>
      </c>
      <c r="C1611" t="s">
        <v>27</v>
      </c>
      <c r="D1611" t="s">
        <v>11</v>
      </c>
      <c r="E1611" t="s">
        <v>12</v>
      </c>
      <c r="F1611">
        <v>70345702</v>
      </c>
      <c r="G1611">
        <v>70345723</v>
      </c>
      <c r="H1611">
        <v>70345702</v>
      </c>
      <c r="I1611">
        <v>70345723</v>
      </c>
    </row>
    <row r="1612" spans="1:9" x14ac:dyDescent="0.2">
      <c r="A1612" t="str">
        <f>"Alox5"</f>
        <v>Alox5</v>
      </c>
      <c r="B1612" t="s">
        <v>14</v>
      </c>
      <c r="C1612" t="s">
        <v>32</v>
      </c>
      <c r="D1612" t="s">
        <v>11</v>
      </c>
      <c r="E1612" t="s">
        <v>12</v>
      </c>
      <c r="F1612">
        <v>116461120</v>
      </c>
      <c r="G1612">
        <v>116461140</v>
      </c>
      <c r="H1612">
        <v>116461151</v>
      </c>
      <c r="I1612">
        <v>116461172</v>
      </c>
    </row>
    <row r="1613" spans="1:9" x14ac:dyDescent="0.2">
      <c r="A1613" t="str">
        <f>"Alox5ap"</f>
        <v>Alox5ap</v>
      </c>
      <c r="B1613" t="s">
        <v>14</v>
      </c>
      <c r="C1613" t="s">
        <v>46</v>
      </c>
      <c r="D1613" t="s">
        <v>17</v>
      </c>
      <c r="E1613" t="s">
        <v>12</v>
      </c>
      <c r="F1613">
        <v>149265035</v>
      </c>
      <c r="G1613">
        <v>149265058</v>
      </c>
      <c r="H1613">
        <v>149265077</v>
      </c>
      <c r="I1613">
        <v>149265088</v>
      </c>
    </row>
    <row r="1614" spans="1:9" x14ac:dyDescent="0.2">
      <c r="A1614" t="str">
        <f>"Alox8"</f>
        <v>Alox8</v>
      </c>
      <c r="B1614" t="s">
        <v>14</v>
      </c>
      <c r="C1614" t="s">
        <v>27</v>
      </c>
      <c r="D1614" t="s">
        <v>11</v>
      </c>
      <c r="E1614" t="s">
        <v>12</v>
      </c>
      <c r="F1614">
        <v>69197834</v>
      </c>
      <c r="G1614">
        <v>69197838</v>
      </c>
      <c r="H1614">
        <v>69197834</v>
      </c>
      <c r="I1614">
        <v>69197838</v>
      </c>
    </row>
    <row r="1615" spans="1:9" x14ac:dyDescent="0.2">
      <c r="A1615" t="str">
        <f>"Aloxe3"</f>
        <v>Aloxe3</v>
      </c>
      <c r="B1615" t="s">
        <v>14</v>
      </c>
      <c r="C1615" t="s">
        <v>27</v>
      </c>
      <c r="D1615" t="s">
        <v>17</v>
      </c>
      <c r="E1615" t="s">
        <v>12</v>
      </c>
      <c r="F1615">
        <v>69126218</v>
      </c>
      <c r="G1615">
        <v>69126249</v>
      </c>
      <c r="H1615">
        <v>69126186</v>
      </c>
      <c r="I1615">
        <v>69126210</v>
      </c>
    </row>
    <row r="1616" spans="1:9" x14ac:dyDescent="0.2">
      <c r="A1616" t="str">
        <f>"Alpi"</f>
        <v>Alpi</v>
      </c>
      <c r="B1616" t="s">
        <v>14</v>
      </c>
      <c r="C1616" t="s">
        <v>19</v>
      </c>
      <c r="D1616" t="s">
        <v>11</v>
      </c>
      <c r="E1616" t="s">
        <v>12</v>
      </c>
      <c r="F1616">
        <v>87101590</v>
      </c>
      <c r="G1616">
        <v>87101617</v>
      </c>
      <c r="H1616">
        <v>87101630</v>
      </c>
      <c r="I1616">
        <v>87101636</v>
      </c>
    </row>
    <row r="1617" spans="1:9" x14ac:dyDescent="0.2">
      <c r="A1617" t="str">
        <f>"Alpk1"</f>
        <v>Alpk1</v>
      </c>
      <c r="B1617" t="s">
        <v>14</v>
      </c>
      <c r="C1617" t="s">
        <v>22</v>
      </c>
      <c r="D1617" t="s">
        <v>11</v>
      </c>
      <c r="E1617" t="s">
        <v>12</v>
      </c>
      <c r="F1617">
        <v>127780461</v>
      </c>
      <c r="G1617">
        <v>127780529</v>
      </c>
      <c r="H1617">
        <v>127780461</v>
      </c>
      <c r="I1617">
        <v>127780529</v>
      </c>
    </row>
    <row r="1618" spans="1:9" x14ac:dyDescent="0.2">
      <c r="A1618" t="str">
        <f>"Alpk2"</f>
        <v>Alpk2</v>
      </c>
      <c r="B1618" t="s">
        <v>14</v>
      </c>
      <c r="C1618" t="s">
        <v>43</v>
      </c>
      <c r="D1618" t="s">
        <v>11</v>
      </c>
      <c r="E1618" t="s">
        <v>12</v>
      </c>
      <c r="F1618">
        <v>65393844</v>
      </c>
      <c r="G1618">
        <v>65393922</v>
      </c>
      <c r="H1618">
        <v>65394008</v>
      </c>
      <c r="I1618">
        <v>65394021</v>
      </c>
    </row>
    <row r="1619" spans="1:9" x14ac:dyDescent="0.2">
      <c r="A1619" t="str">
        <f>"Alpk3"</f>
        <v>Alpk3</v>
      </c>
      <c r="B1619" t="s">
        <v>14</v>
      </c>
      <c r="C1619" t="s">
        <v>33</v>
      </c>
      <c r="D1619" t="s">
        <v>17</v>
      </c>
      <c r="E1619" t="s">
        <v>12</v>
      </c>
      <c r="F1619">
        <v>81057589</v>
      </c>
      <c r="G1619">
        <v>81057603</v>
      </c>
      <c r="H1619">
        <v>81057583</v>
      </c>
      <c r="I1619">
        <v>81057588</v>
      </c>
    </row>
    <row r="1620" spans="1:9" x14ac:dyDescent="0.2">
      <c r="A1620" t="str">
        <f>"Alpl"</f>
        <v>Alpl</v>
      </c>
      <c r="B1620" t="s">
        <v>14</v>
      </c>
      <c r="C1620" t="s">
        <v>23</v>
      </c>
      <c r="D1620" t="s">
        <v>11</v>
      </c>
      <c r="E1620" t="s">
        <v>12</v>
      </c>
      <c r="F1620">
        <v>137796308</v>
      </c>
      <c r="G1620">
        <v>137796325</v>
      </c>
      <c r="H1620">
        <v>137796308</v>
      </c>
      <c r="I1620">
        <v>137796325</v>
      </c>
    </row>
    <row r="1621" spans="1:9" x14ac:dyDescent="0.2">
      <c r="A1621" t="str">
        <f>"Alppl2"</f>
        <v>Alppl2</v>
      </c>
      <c r="B1621" t="s">
        <v>2125</v>
      </c>
      <c r="C1621" t="s">
        <v>19</v>
      </c>
      <c r="D1621" t="s">
        <v>11</v>
      </c>
      <c r="E1621" t="s">
        <v>20</v>
      </c>
      <c r="F1621">
        <v>87089927</v>
      </c>
      <c r="G1621">
        <v>87089927</v>
      </c>
      <c r="H1621">
        <v>87089927</v>
      </c>
      <c r="I1621">
        <v>87089927</v>
      </c>
    </row>
    <row r="1622" spans="1:9" x14ac:dyDescent="0.2">
      <c r="A1622" t="str">
        <f>"Als2"</f>
        <v>Als2</v>
      </c>
      <c r="B1622" t="s">
        <v>14</v>
      </c>
      <c r="C1622" t="s">
        <v>19</v>
      </c>
      <c r="D1622" t="s">
        <v>11</v>
      </c>
      <c r="E1622" t="s">
        <v>12</v>
      </c>
      <c r="F1622">
        <v>59237175</v>
      </c>
      <c r="G1622">
        <v>59237256</v>
      </c>
      <c r="H1622">
        <v>59237660</v>
      </c>
      <c r="I1622">
        <v>59237685</v>
      </c>
    </row>
    <row r="1623" spans="1:9" x14ac:dyDescent="0.2">
      <c r="A1623" t="str">
        <f>"Als2cl"</f>
        <v>Als2cl</v>
      </c>
      <c r="B1623" t="s">
        <v>14</v>
      </c>
      <c r="C1623" t="s">
        <v>24</v>
      </c>
      <c r="D1623" t="s">
        <v>17</v>
      </c>
      <c r="E1623" t="s">
        <v>12</v>
      </c>
      <c r="F1623">
        <v>110880286</v>
      </c>
      <c r="G1623">
        <v>110880315</v>
      </c>
      <c r="H1623">
        <v>110880157</v>
      </c>
      <c r="I1623">
        <v>110880187</v>
      </c>
    </row>
    <row r="1624" spans="1:9" x14ac:dyDescent="0.2">
      <c r="A1624" t="str">
        <f>"Als2cr11"</f>
        <v>Als2cr11</v>
      </c>
      <c r="B1624" t="s">
        <v>14</v>
      </c>
      <c r="C1624" t="s">
        <v>19</v>
      </c>
      <c r="D1624" t="s">
        <v>11</v>
      </c>
      <c r="E1624" t="s">
        <v>12</v>
      </c>
      <c r="F1624">
        <v>59094885</v>
      </c>
      <c r="G1624">
        <v>59094903</v>
      </c>
      <c r="H1624">
        <v>59094885</v>
      </c>
      <c r="I1624">
        <v>59094903</v>
      </c>
    </row>
    <row r="1625" spans="1:9" x14ac:dyDescent="0.2">
      <c r="A1625" t="str">
        <f>"Als2cr12"</f>
        <v>Als2cr12</v>
      </c>
      <c r="B1625" t="s">
        <v>14</v>
      </c>
      <c r="C1625" t="s">
        <v>19</v>
      </c>
      <c r="D1625" t="s">
        <v>11</v>
      </c>
      <c r="E1625" t="s">
        <v>12</v>
      </c>
      <c r="F1625">
        <v>58695944</v>
      </c>
      <c r="G1625">
        <v>58695964</v>
      </c>
      <c r="H1625">
        <v>58695997</v>
      </c>
      <c r="I1625">
        <v>58696010</v>
      </c>
    </row>
    <row r="1626" spans="1:9" x14ac:dyDescent="0.2">
      <c r="A1626" t="str">
        <f>"Alx1"</f>
        <v>Alx1</v>
      </c>
      <c r="B1626" t="s">
        <v>14</v>
      </c>
      <c r="C1626" t="s">
        <v>15</v>
      </c>
      <c r="D1626" t="s">
        <v>11</v>
      </c>
      <c r="E1626" t="s">
        <v>12</v>
      </c>
      <c r="F1626">
        <v>103028771</v>
      </c>
      <c r="G1626">
        <v>103028782</v>
      </c>
      <c r="H1626">
        <v>103028603</v>
      </c>
      <c r="I1626">
        <v>103028657</v>
      </c>
    </row>
    <row r="1627" spans="1:9" x14ac:dyDescent="0.2">
      <c r="A1627" t="str">
        <f>"Alx3"</f>
        <v>Alx3</v>
      </c>
      <c r="B1627" t="s">
        <v>14</v>
      </c>
      <c r="C1627" t="s">
        <v>22</v>
      </c>
      <c r="D1627" t="s">
        <v>17</v>
      </c>
      <c r="E1627" t="s">
        <v>12</v>
      </c>
      <c r="F1627">
        <v>107595138</v>
      </c>
      <c r="G1627">
        <v>107595164</v>
      </c>
      <c r="H1627">
        <v>107595094</v>
      </c>
      <c r="I1627">
        <v>107595110</v>
      </c>
    </row>
    <row r="1628" spans="1:9" x14ac:dyDescent="0.2">
      <c r="A1628" t="str">
        <f>"Alx4"</f>
        <v>Alx4</v>
      </c>
      <c r="B1628" t="s">
        <v>14</v>
      </c>
      <c r="C1628" t="s">
        <v>26</v>
      </c>
      <c r="D1628" t="s">
        <v>17</v>
      </c>
      <c r="E1628" t="s">
        <v>12</v>
      </c>
      <c r="F1628">
        <v>93642307</v>
      </c>
      <c r="G1628">
        <v>93642334</v>
      </c>
      <c r="H1628">
        <v>93642629</v>
      </c>
      <c r="I1628">
        <v>93642657</v>
      </c>
    </row>
    <row r="1629" spans="1:9" x14ac:dyDescent="0.2">
      <c r="A1629" t="str">
        <f>"Alyref"</f>
        <v>Alyref</v>
      </c>
      <c r="B1629" t="s">
        <v>14</v>
      </c>
      <c r="C1629" t="s">
        <v>27</v>
      </c>
      <c r="D1629" t="s">
        <v>11</v>
      </c>
      <c r="E1629" t="s">
        <v>12</v>
      </c>
      <c r="F1629">
        <v>120598346</v>
      </c>
      <c r="G1629">
        <v>120598405</v>
      </c>
      <c r="H1629">
        <v>120598514</v>
      </c>
      <c r="I1629">
        <v>120598518</v>
      </c>
    </row>
    <row r="1630" spans="1:9" x14ac:dyDescent="0.2">
      <c r="A1630" t="str">
        <f>"Alyref2"</f>
        <v>Alyref2</v>
      </c>
      <c r="B1630" t="s">
        <v>14</v>
      </c>
      <c r="C1630" t="s">
        <v>19</v>
      </c>
      <c r="D1630" t="s">
        <v>17</v>
      </c>
      <c r="E1630" t="s">
        <v>12</v>
      </c>
      <c r="F1630">
        <v>171503625</v>
      </c>
      <c r="G1630">
        <v>171503649</v>
      </c>
      <c r="H1630">
        <v>171503410</v>
      </c>
      <c r="I1630">
        <v>171503456</v>
      </c>
    </row>
    <row r="1631" spans="1:9" x14ac:dyDescent="0.2">
      <c r="A1631" t="str">
        <f>"Amacr"</f>
        <v>Amacr</v>
      </c>
      <c r="B1631" t="s">
        <v>14</v>
      </c>
      <c r="C1631" t="s">
        <v>25</v>
      </c>
      <c r="D1631" t="s">
        <v>17</v>
      </c>
      <c r="E1631" t="s">
        <v>12</v>
      </c>
      <c r="F1631">
        <v>10981780</v>
      </c>
      <c r="G1631">
        <v>10981805</v>
      </c>
      <c r="H1631">
        <v>10981747</v>
      </c>
      <c r="I1631">
        <v>10981765</v>
      </c>
    </row>
    <row r="1632" spans="1:9" x14ac:dyDescent="0.2">
      <c r="A1632" t="str">
        <f>"Ambn"</f>
        <v>Ambn</v>
      </c>
      <c r="B1632" t="s">
        <v>14</v>
      </c>
      <c r="C1632" t="s">
        <v>46</v>
      </c>
      <c r="D1632" t="s">
        <v>17</v>
      </c>
      <c r="E1632" t="s">
        <v>12</v>
      </c>
      <c r="F1632">
        <v>88455988</v>
      </c>
      <c r="G1632">
        <v>88455993</v>
      </c>
      <c r="H1632">
        <v>88455988</v>
      </c>
      <c r="I1632">
        <v>88455993</v>
      </c>
    </row>
    <row r="1633" spans="1:9" x14ac:dyDescent="0.2">
      <c r="A1633" t="str">
        <f>"Ambp"</f>
        <v>Ambp</v>
      </c>
      <c r="B1633" t="s">
        <v>14</v>
      </c>
      <c r="C1633" t="s">
        <v>23</v>
      </c>
      <c r="D1633" t="s">
        <v>11</v>
      </c>
      <c r="E1633" t="s">
        <v>12</v>
      </c>
      <c r="F1633">
        <v>63154130</v>
      </c>
      <c r="G1633">
        <v>63154150</v>
      </c>
      <c r="H1633">
        <v>63154130</v>
      </c>
      <c r="I1633">
        <v>63154150</v>
      </c>
    </row>
    <row r="1634" spans="1:9" x14ac:dyDescent="0.2">
      <c r="A1634" t="str">
        <f>"Ambra1"</f>
        <v>Ambra1</v>
      </c>
      <c r="B1634" t="s">
        <v>14</v>
      </c>
      <c r="C1634" t="s">
        <v>26</v>
      </c>
      <c r="D1634" t="s">
        <v>17</v>
      </c>
      <c r="E1634" t="s">
        <v>12</v>
      </c>
      <c r="F1634">
        <v>91730127</v>
      </c>
      <c r="G1634">
        <v>91730197</v>
      </c>
      <c r="H1634">
        <v>91730303</v>
      </c>
      <c r="I1634">
        <v>91730316</v>
      </c>
    </row>
    <row r="1635" spans="1:9" x14ac:dyDescent="0.2">
      <c r="A1635" t="str">
        <f>"Amd1"</f>
        <v>Amd1</v>
      </c>
      <c r="B1635" t="s">
        <v>14</v>
      </c>
      <c r="C1635" t="s">
        <v>15</v>
      </c>
      <c r="D1635" t="s">
        <v>11</v>
      </c>
      <c r="E1635" t="s">
        <v>12</v>
      </c>
      <c r="F1635">
        <v>40302186</v>
      </c>
      <c r="G1635">
        <v>40302206</v>
      </c>
      <c r="H1635">
        <v>40302208</v>
      </c>
      <c r="I1635">
        <v>40302219</v>
      </c>
    </row>
    <row r="1636" spans="1:9" x14ac:dyDescent="0.2">
      <c r="A1636" t="str">
        <f>"Amd2"</f>
        <v>Amd2</v>
      </c>
      <c r="B1636" t="s">
        <v>2126</v>
      </c>
      <c r="C1636" t="s">
        <v>15</v>
      </c>
      <c r="D1636" t="s">
        <v>11</v>
      </c>
      <c r="E1636" t="s">
        <v>20</v>
      </c>
      <c r="F1636">
        <v>35711890</v>
      </c>
      <c r="G1636">
        <v>35711890</v>
      </c>
      <c r="H1636">
        <v>35711890</v>
      </c>
      <c r="I1636">
        <v>35711890</v>
      </c>
    </row>
    <row r="1637" spans="1:9" x14ac:dyDescent="0.2">
      <c r="A1637" t="str">
        <f>"Amdhd1"</f>
        <v>Amdhd1</v>
      </c>
      <c r="B1637" t="s">
        <v>14</v>
      </c>
      <c r="C1637" t="s">
        <v>15</v>
      </c>
      <c r="D1637" t="s">
        <v>11</v>
      </c>
      <c r="E1637" t="s">
        <v>12</v>
      </c>
      <c r="F1637">
        <v>93539971</v>
      </c>
      <c r="G1637">
        <v>93540014</v>
      </c>
      <c r="H1637">
        <v>93540016</v>
      </c>
      <c r="I1637">
        <v>93540027</v>
      </c>
    </row>
    <row r="1638" spans="1:9" x14ac:dyDescent="0.2">
      <c r="A1638" t="str">
        <f>"Amdhd2"</f>
        <v>Amdhd2</v>
      </c>
      <c r="B1638" t="s">
        <v>14</v>
      </c>
      <c r="C1638" t="s">
        <v>28</v>
      </c>
      <c r="D1638" t="s">
        <v>11</v>
      </c>
      <c r="E1638" t="s">
        <v>12</v>
      </c>
      <c r="F1638">
        <v>24163668</v>
      </c>
      <c r="G1638">
        <v>24163771</v>
      </c>
      <c r="H1638">
        <v>24163618</v>
      </c>
      <c r="I1638">
        <v>24163629</v>
      </c>
    </row>
    <row r="1639" spans="1:9" x14ac:dyDescent="0.2">
      <c r="A1639" t="str">
        <f>"Amelx"</f>
        <v>Amelx</v>
      </c>
      <c r="B1639" t="s">
        <v>14</v>
      </c>
      <c r="C1639" t="s">
        <v>37</v>
      </c>
      <c r="D1639" t="s">
        <v>11</v>
      </c>
      <c r="E1639" t="s">
        <v>12</v>
      </c>
      <c r="F1639">
        <v>169187205</v>
      </c>
      <c r="G1639">
        <v>169187210</v>
      </c>
      <c r="H1639">
        <v>169187205</v>
      </c>
      <c r="I1639">
        <v>169187210</v>
      </c>
    </row>
    <row r="1640" spans="1:9" x14ac:dyDescent="0.2">
      <c r="A1640" t="str">
        <f>"Amer1"</f>
        <v>Amer1</v>
      </c>
      <c r="B1640" t="s">
        <v>14</v>
      </c>
      <c r="C1640" t="s">
        <v>37</v>
      </c>
      <c r="D1640" t="s">
        <v>11</v>
      </c>
      <c r="E1640" t="s">
        <v>67</v>
      </c>
      <c r="F1640">
        <v>95444789</v>
      </c>
      <c r="G1640">
        <v>95444829</v>
      </c>
      <c r="H1640">
        <v>95444842</v>
      </c>
      <c r="I1640">
        <v>95444880</v>
      </c>
    </row>
    <row r="1641" spans="1:9" x14ac:dyDescent="0.2">
      <c r="A1641" t="str">
        <f>"Amer2"</f>
        <v>Amer2</v>
      </c>
      <c r="B1641" t="s">
        <v>14</v>
      </c>
      <c r="C1641" t="s">
        <v>41</v>
      </c>
      <c r="D1641" t="s">
        <v>17</v>
      </c>
      <c r="E1641" t="s">
        <v>67</v>
      </c>
      <c r="F1641">
        <v>60378295</v>
      </c>
      <c r="G1641">
        <v>60378371</v>
      </c>
      <c r="H1641">
        <v>60378242</v>
      </c>
      <c r="I1641">
        <v>60378292</v>
      </c>
    </row>
    <row r="1642" spans="1:9" x14ac:dyDescent="0.2">
      <c r="A1642" t="str">
        <f>"Amer3"</f>
        <v>Amer3</v>
      </c>
      <c r="B1642" t="s">
        <v>14</v>
      </c>
      <c r="C1642" t="s">
        <v>19</v>
      </c>
      <c r="D1642" t="s">
        <v>17</v>
      </c>
      <c r="E1642" t="s">
        <v>67</v>
      </c>
      <c r="F1642">
        <v>34579695</v>
      </c>
      <c r="G1642">
        <v>34579751</v>
      </c>
      <c r="H1642">
        <v>34579662</v>
      </c>
      <c r="I1642">
        <v>34579671</v>
      </c>
    </row>
    <row r="1643" spans="1:9" x14ac:dyDescent="0.2">
      <c r="A1643" t="str">
        <f>"Amfr"</f>
        <v>Amfr</v>
      </c>
      <c r="B1643" t="s">
        <v>14</v>
      </c>
      <c r="C1643" t="s">
        <v>30</v>
      </c>
      <c r="D1643" t="s">
        <v>11</v>
      </c>
      <c r="E1643" t="s">
        <v>12</v>
      </c>
      <c r="F1643">
        <v>94012558</v>
      </c>
      <c r="G1643">
        <v>94012687</v>
      </c>
      <c r="H1643">
        <v>94012537</v>
      </c>
      <c r="I1643">
        <v>94012554</v>
      </c>
    </row>
    <row r="1644" spans="1:9" x14ac:dyDescent="0.2">
      <c r="A1644" t="str">
        <f>"Amh"</f>
        <v>Amh</v>
      </c>
      <c r="B1644" t="s">
        <v>14</v>
      </c>
      <c r="C1644" t="s">
        <v>15</v>
      </c>
      <c r="D1644" t="s">
        <v>17</v>
      </c>
      <c r="E1644" t="s">
        <v>12</v>
      </c>
      <c r="F1644">
        <v>80805233</v>
      </c>
      <c r="G1644">
        <v>80805249</v>
      </c>
      <c r="H1644">
        <v>80805233</v>
      </c>
      <c r="I1644">
        <v>80805249</v>
      </c>
    </row>
    <row r="1645" spans="1:9" x14ac:dyDescent="0.2">
      <c r="A1645" t="str">
        <f>"Amhr2"</f>
        <v>Amhr2</v>
      </c>
      <c r="B1645" t="s">
        <v>14</v>
      </c>
      <c r="C1645" t="s">
        <v>25</v>
      </c>
      <c r="D1645" t="s">
        <v>17</v>
      </c>
      <c r="E1645" t="s">
        <v>12</v>
      </c>
      <c r="F1645">
        <v>102445387</v>
      </c>
      <c r="G1645">
        <v>102445403</v>
      </c>
      <c r="H1645">
        <v>102445387</v>
      </c>
      <c r="I1645">
        <v>102445403</v>
      </c>
    </row>
    <row r="1646" spans="1:9" x14ac:dyDescent="0.2">
      <c r="A1646" t="str">
        <f>"Amica1"</f>
        <v>Amica1</v>
      </c>
      <c r="B1646" t="s">
        <v>14</v>
      </c>
      <c r="C1646" t="s">
        <v>24</v>
      </c>
      <c r="D1646" t="s">
        <v>17</v>
      </c>
      <c r="E1646" t="s">
        <v>12</v>
      </c>
      <c r="F1646">
        <v>45079204</v>
      </c>
      <c r="G1646">
        <v>45079236</v>
      </c>
      <c r="H1646">
        <v>45079170</v>
      </c>
      <c r="I1646">
        <v>45079203</v>
      </c>
    </row>
    <row r="1647" spans="1:9" x14ac:dyDescent="0.2">
      <c r="A1647" t="str">
        <f>"Amigo1"</f>
        <v>Amigo1</v>
      </c>
      <c r="B1647" t="s">
        <v>14</v>
      </c>
      <c r="C1647" t="s">
        <v>22</v>
      </c>
      <c r="D1647" t="s">
        <v>17</v>
      </c>
      <c r="E1647" t="s">
        <v>12</v>
      </c>
      <c r="F1647">
        <v>108186332</v>
      </c>
      <c r="G1647">
        <v>108186407</v>
      </c>
      <c r="H1647">
        <v>108186290</v>
      </c>
      <c r="I1647">
        <v>108186301</v>
      </c>
    </row>
    <row r="1648" spans="1:9" x14ac:dyDescent="0.2">
      <c r="A1648" t="str">
        <f>"Amigo2"</f>
        <v>Amigo2</v>
      </c>
      <c r="B1648" t="s">
        <v>14</v>
      </c>
      <c r="C1648" t="s">
        <v>25</v>
      </c>
      <c r="D1648" t="s">
        <v>11</v>
      </c>
      <c r="E1648" t="s">
        <v>12</v>
      </c>
      <c r="F1648">
        <v>97247242</v>
      </c>
      <c r="G1648">
        <v>97247257</v>
      </c>
      <c r="H1648">
        <v>97247306</v>
      </c>
      <c r="I1648">
        <v>97247315</v>
      </c>
    </row>
    <row r="1649" spans="1:9" x14ac:dyDescent="0.2">
      <c r="A1649" t="str">
        <f>"Amigo3"</f>
        <v>Amigo3</v>
      </c>
      <c r="B1649" t="s">
        <v>14</v>
      </c>
      <c r="C1649" t="s">
        <v>24</v>
      </c>
      <c r="D1649" t="s">
        <v>17</v>
      </c>
      <c r="E1649" t="s">
        <v>12</v>
      </c>
      <c r="F1649">
        <v>108053154</v>
      </c>
      <c r="G1649">
        <v>108053165</v>
      </c>
      <c r="H1649">
        <v>108053166</v>
      </c>
      <c r="I1649">
        <v>108053176</v>
      </c>
    </row>
    <row r="1650" spans="1:9" x14ac:dyDescent="0.2">
      <c r="A1650" t="str">
        <f>"Ammecr1"</f>
        <v>Ammecr1</v>
      </c>
      <c r="B1650" t="s">
        <v>14</v>
      </c>
      <c r="C1650" t="s">
        <v>37</v>
      </c>
      <c r="D1650" t="s">
        <v>11</v>
      </c>
      <c r="E1650" t="s">
        <v>12</v>
      </c>
      <c r="F1650">
        <v>142966709</v>
      </c>
      <c r="G1650">
        <v>142966734</v>
      </c>
      <c r="H1650">
        <v>142966745</v>
      </c>
      <c r="I1650">
        <v>142966762</v>
      </c>
    </row>
    <row r="1651" spans="1:9" x14ac:dyDescent="0.2">
      <c r="A1651" t="str">
        <f>"Ammecr1l"</f>
        <v>Ammecr1l</v>
      </c>
      <c r="B1651" t="s">
        <v>14</v>
      </c>
      <c r="C1651" t="s">
        <v>43</v>
      </c>
      <c r="D1651" t="s">
        <v>17</v>
      </c>
      <c r="E1651" t="s">
        <v>12</v>
      </c>
      <c r="F1651">
        <v>31759888</v>
      </c>
      <c r="G1651">
        <v>31759973</v>
      </c>
      <c r="H1651">
        <v>31759976</v>
      </c>
      <c r="I1651">
        <v>31760003</v>
      </c>
    </row>
    <row r="1652" spans="1:9" x14ac:dyDescent="0.2">
      <c r="A1652" t="str">
        <f>"Amn"</f>
        <v>Amn</v>
      </c>
      <c r="B1652" t="s">
        <v>9</v>
      </c>
      <c r="C1652" t="s">
        <v>16</v>
      </c>
      <c r="D1652" t="s">
        <v>17</v>
      </c>
      <c r="E1652" t="s">
        <v>12</v>
      </c>
      <c r="F1652">
        <v>111271089</v>
      </c>
      <c r="G1652">
        <v>111271121</v>
      </c>
      <c r="H1652">
        <v>111271089</v>
      </c>
      <c r="I1652">
        <v>111271121</v>
      </c>
    </row>
    <row r="1653" spans="1:9" x14ac:dyDescent="0.2">
      <c r="A1653" t="str">
        <f>"Amn"</f>
        <v>Amn</v>
      </c>
      <c r="B1653" t="s">
        <v>13</v>
      </c>
      <c r="C1653" t="s">
        <v>16</v>
      </c>
      <c r="D1653" t="s">
        <v>17</v>
      </c>
      <c r="E1653" t="s">
        <v>12</v>
      </c>
      <c r="F1653">
        <v>111274655</v>
      </c>
      <c r="G1653">
        <v>111274683</v>
      </c>
      <c r="H1653">
        <v>111274655</v>
      </c>
      <c r="I1653">
        <v>111274683</v>
      </c>
    </row>
    <row r="1654" spans="1:9" x14ac:dyDescent="0.2">
      <c r="A1654" t="str">
        <f>"Amn1"</f>
        <v>Amn1</v>
      </c>
      <c r="B1654" t="s">
        <v>14</v>
      </c>
      <c r="C1654" t="s">
        <v>32</v>
      </c>
      <c r="D1654" t="s">
        <v>11</v>
      </c>
      <c r="E1654" t="s">
        <v>12</v>
      </c>
      <c r="F1654">
        <v>149188648</v>
      </c>
      <c r="G1654">
        <v>149188725</v>
      </c>
      <c r="H1654">
        <v>149188622</v>
      </c>
      <c r="I1654">
        <v>149188636</v>
      </c>
    </row>
    <row r="1655" spans="1:9" x14ac:dyDescent="0.2">
      <c r="A1655" t="str">
        <f>"Amot"</f>
        <v>Amot</v>
      </c>
      <c r="B1655" t="s">
        <v>14</v>
      </c>
      <c r="C1655" t="s">
        <v>37</v>
      </c>
      <c r="D1655" t="s">
        <v>11</v>
      </c>
      <c r="E1655" t="s">
        <v>12</v>
      </c>
      <c r="F1655">
        <v>145505136</v>
      </c>
      <c r="G1655">
        <v>145505159</v>
      </c>
      <c r="H1655">
        <v>145505175</v>
      </c>
      <c r="I1655">
        <v>145505212</v>
      </c>
    </row>
    <row r="1656" spans="1:9" x14ac:dyDescent="0.2">
      <c r="A1656" t="str">
        <f>"Amotl1"</f>
        <v>Amotl1</v>
      </c>
      <c r="B1656" t="s">
        <v>14</v>
      </c>
      <c r="C1656" t="s">
        <v>24</v>
      </c>
      <c r="D1656" t="s">
        <v>11</v>
      </c>
      <c r="E1656" t="s">
        <v>12</v>
      </c>
      <c r="F1656">
        <v>14614949</v>
      </c>
      <c r="G1656">
        <v>14615034</v>
      </c>
      <c r="H1656">
        <v>14615473</v>
      </c>
      <c r="I1656">
        <v>14615490</v>
      </c>
    </row>
    <row r="1657" spans="1:9" x14ac:dyDescent="0.2">
      <c r="A1657" t="str">
        <f>"Amotl2"</f>
        <v>Amotl2</v>
      </c>
      <c r="B1657" t="s">
        <v>14</v>
      </c>
      <c r="C1657" t="s">
        <v>24</v>
      </c>
      <c r="D1657" t="s">
        <v>17</v>
      </c>
      <c r="E1657" t="s">
        <v>12</v>
      </c>
      <c r="F1657">
        <v>102717796</v>
      </c>
      <c r="G1657">
        <v>102717815</v>
      </c>
      <c r="H1657">
        <v>102717717</v>
      </c>
      <c r="I1657">
        <v>102717730</v>
      </c>
    </row>
    <row r="1658" spans="1:9" x14ac:dyDescent="0.2">
      <c r="A1658" t="str">
        <f>"Ampd1"</f>
        <v>Ampd1</v>
      </c>
      <c r="B1658" t="s">
        <v>14</v>
      </c>
      <c r="C1658" t="s">
        <v>22</v>
      </c>
      <c r="D1658" t="s">
        <v>17</v>
      </c>
      <c r="E1658" t="s">
        <v>12</v>
      </c>
      <c r="F1658">
        <v>103074009</v>
      </c>
      <c r="G1658">
        <v>103074033</v>
      </c>
      <c r="H1658">
        <v>103074035</v>
      </c>
      <c r="I1658">
        <v>103074048</v>
      </c>
    </row>
    <row r="1659" spans="1:9" x14ac:dyDescent="0.2">
      <c r="A1659" t="str">
        <f>"Ampd2"</f>
        <v>Ampd2</v>
      </c>
      <c r="B1659" t="s">
        <v>9</v>
      </c>
      <c r="C1659" t="s">
        <v>22</v>
      </c>
      <c r="D1659" t="s">
        <v>11</v>
      </c>
      <c r="E1659" t="s">
        <v>12</v>
      </c>
      <c r="F1659">
        <v>108086590</v>
      </c>
      <c r="G1659">
        <v>108086707</v>
      </c>
      <c r="H1659">
        <v>108086590</v>
      </c>
      <c r="I1659">
        <v>108086707</v>
      </c>
    </row>
    <row r="1660" spans="1:9" x14ac:dyDescent="0.2">
      <c r="A1660" t="str">
        <f>"Ampd2"</f>
        <v>Ampd2</v>
      </c>
      <c r="B1660" t="s">
        <v>13</v>
      </c>
      <c r="C1660" t="s">
        <v>22</v>
      </c>
      <c r="D1660" t="s">
        <v>11</v>
      </c>
      <c r="E1660" t="s">
        <v>12</v>
      </c>
      <c r="F1660">
        <v>108085346</v>
      </c>
      <c r="G1660">
        <v>108085412</v>
      </c>
      <c r="H1660">
        <v>108085346</v>
      </c>
      <c r="I1660">
        <v>108085412</v>
      </c>
    </row>
    <row r="1661" spans="1:9" x14ac:dyDescent="0.2">
      <c r="A1661" t="str">
        <f>"Ampd3"</f>
        <v>Ampd3</v>
      </c>
      <c r="B1661" t="s">
        <v>9</v>
      </c>
      <c r="C1661" t="s">
        <v>33</v>
      </c>
      <c r="D1661" t="s">
        <v>17</v>
      </c>
      <c r="E1661" t="s">
        <v>12</v>
      </c>
      <c r="F1661">
        <v>110773866</v>
      </c>
      <c r="G1661">
        <v>110773934</v>
      </c>
      <c r="H1661">
        <v>110773866</v>
      </c>
      <c r="I1661">
        <v>110773934</v>
      </c>
    </row>
    <row r="1662" spans="1:9" x14ac:dyDescent="0.2">
      <c r="A1662" t="str">
        <f>"Ampd3"</f>
        <v>Ampd3</v>
      </c>
      <c r="B1662" t="s">
        <v>13</v>
      </c>
      <c r="C1662" t="s">
        <v>33</v>
      </c>
      <c r="D1662" t="s">
        <v>17</v>
      </c>
      <c r="E1662" t="s">
        <v>12</v>
      </c>
      <c r="F1662">
        <v>110777653</v>
      </c>
      <c r="G1662">
        <v>110777697</v>
      </c>
      <c r="H1662">
        <v>110777653</v>
      </c>
      <c r="I1662">
        <v>110777697</v>
      </c>
    </row>
    <row r="1663" spans="1:9" x14ac:dyDescent="0.2">
      <c r="A1663" t="str">
        <f>"Amph"</f>
        <v>Amph</v>
      </c>
      <c r="B1663" t="s">
        <v>14</v>
      </c>
      <c r="C1663" t="s">
        <v>39</v>
      </c>
      <c r="D1663" t="s">
        <v>17</v>
      </c>
      <c r="E1663" t="s">
        <v>12</v>
      </c>
      <c r="F1663">
        <v>18948344</v>
      </c>
      <c r="G1663">
        <v>18948417</v>
      </c>
      <c r="H1663">
        <v>18948201</v>
      </c>
      <c r="I1663">
        <v>18948222</v>
      </c>
    </row>
    <row r="1664" spans="1:9" x14ac:dyDescent="0.2">
      <c r="A1664" t="str">
        <f>"Amt"</f>
        <v>Amt</v>
      </c>
      <c r="B1664" t="s">
        <v>14</v>
      </c>
      <c r="C1664" t="s">
        <v>24</v>
      </c>
      <c r="D1664" t="s">
        <v>17</v>
      </c>
      <c r="E1664" t="s">
        <v>12</v>
      </c>
      <c r="F1664">
        <v>108296874</v>
      </c>
      <c r="G1664">
        <v>108296937</v>
      </c>
      <c r="H1664">
        <v>108296709</v>
      </c>
      <c r="I1664">
        <v>108296752</v>
      </c>
    </row>
    <row r="1665" spans="1:9" x14ac:dyDescent="0.2">
      <c r="A1665" t="str">
        <f>"Amtn"</f>
        <v>Amtn</v>
      </c>
      <c r="B1665" t="s">
        <v>14</v>
      </c>
      <c r="C1665" t="s">
        <v>46</v>
      </c>
      <c r="D1665" t="s">
        <v>17</v>
      </c>
      <c r="E1665" t="s">
        <v>12</v>
      </c>
      <c r="F1665">
        <v>88376105</v>
      </c>
      <c r="G1665">
        <v>88376109</v>
      </c>
      <c r="H1665">
        <v>88376141</v>
      </c>
      <c r="I1665">
        <v>88376147</v>
      </c>
    </row>
    <row r="1666" spans="1:9" x14ac:dyDescent="0.2">
      <c r="A1666" t="str">
        <f>"Amy1"</f>
        <v>Amy1</v>
      </c>
      <c r="B1666" t="s">
        <v>9</v>
      </c>
      <c r="C1666" t="s">
        <v>22</v>
      </c>
      <c r="D1666" t="s">
        <v>11</v>
      </c>
      <c r="E1666" t="s">
        <v>12</v>
      </c>
      <c r="F1666">
        <v>113577743</v>
      </c>
      <c r="G1666">
        <v>113577756</v>
      </c>
      <c r="H1666">
        <v>113577743</v>
      </c>
      <c r="I1666">
        <v>113577756</v>
      </c>
    </row>
    <row r="1667" spans="1:9" x14ac:dyDescent="0.2">
      <c r="A1667" t="str">
        <f>"Amy1"</f>
        <v>Amy1</v>
      </c>
      <c r="B1667" t="s">
        <v>13</v>
      </c>
      <c r="C1667" t="s">
        <v>22</v>
      </c>
      <c r="D1667" t="s">
        <v>11</v>
      </c>
      <c r="E1667" t="s">
        <v>12</v>
      </c>
      <c r="F1667">
        <v>113574758</v>
      </c>
      <c r="G1667">
        <v>113574774</v>
      </c>
      <c r="H1667">
        <v>113574758</v>
      </c>
      <c r="I1667">
        <v>113574774</v>
      </c>
    </row>
    <row r="1668" spans="1:9" x14ac:dyDescent="0.2">
      <c r="A1668" t="str">
        <f>"Amy2a1"</f>
        <v>Amy2a1</v>
      </c>
      <c r="B1668" t="s">
        <v>14</v>
      </c>
      <c r="C1668" t="s">
        <v>22</v>
      </c>
      <c r="D1668" t="s">
        <v>11</v>
      </c>
      <c r="E1668" t="s">
        <v>12</v>
      </c>
      <c r="F1668">
        <v>113532288</v>
      </c>
      <c r="G1668">
        <v>113532291</v>
      </c>
      <c r="H1668">
        <v>113532288</v>
      </c>
      <c r="I1668">
        <v>113532291</v>
      </c>
    </row>
    <row r="1669" spans="1:9" x14ac:dyDescent="0.2">
      <c r="A1669" t="str">
        <f>"Amy2a2"</f>
        <v>Amy2a2</v>
      </c>
      <c r="B1669" t="s">
        <v>2127</v>
      </c>
      <c r="C1669" t="s">
        <v>22</v>
      </c>
      <c r="D1669" t="s">
        <v>11</v>
      </c>
      <c r="E1669" t="s">
        <v>20</v>
      </c>
      <c r="F1669">
        <v>113356657</v>
      </c>
      <c r="G1669">
        <v>113356657</v>
      </c>
      <c r="H1669">
        <v>113356657</v>
      </c>
      <c r="I1669">
        <v>113356657</v>
      </c>
    </row>
    <row r="1670" spans="1:9" x14ac:dyDescent="0.2">
      <c r="A1670" t="str">
        <f>"Amy2a3"</f>
        <v>Amy2a3</v>
      </c>
      <c r="B1670" t="s">
        <v>2128</v>
      </c>
      <c r="C1670" t="s">
        <v>22</v>
      </c>
      <c r="D1670" t="s">
        <v>11</v>
      </c>
      <c r="E1670" t="s">
        <v>20</v>
      </c>
      <c r="F1670">
        <v>113324051</v>
      </c>
      <c r="G1670">
        <v>113324051</v>
      </c>
      <c r="H1670">
        <v>113324051</v>
      </c>
      <c r="I1670">
        <v>113324051</v>
      </c>
    </row>
    <row r="1671" spans="1:9" x14ac:dyDescent="0.2">
      <c r="A1671" t="str">
        <f>"Amy2a4"</f>
        <v>Amy2a4</v>
      </c>
      <c r="B1671" t="s">
        <v>2129</v>
      </c>
      <c r="C1671" t="s">
        <v>22</v>
      </c>
      <c r="D1671" t="s">
        <v>11</v>
      </c>
      <c r="E1671" t="s">
        <v>20</v>
      </c>
      <c r="F1671">
        <v>113291448</v>
      </c>
      <c r="G1671">
        <v>113291448</v>
      </c>
      <c r="H1671">
        <v>113291448</v>
      </c>
      <c r="I1671">
        <v>113291448</v>
      </c>
    </row>
    <row r="1672" spans="1:9" x14ac:dyDescent="0.2">
      <c r="A1672" t="str">
        <f>"Amy2a5"</f>
        <v>Amy2a5</v>
      </c>
      <c r="B1672" t="s">
        <v>2130</v>
      </c>
      <c r="C1672" t="s">
        <v>22</v>
      </c>
      <c r="D1672" t="s">
        <v>11</v>
      </c>
      <c r="E1672" t="s">
        <v>20</v>
      </c>
      <c r="F1672">
        <v>113258836</v>
      </c>
      <c r="G1672">
        <v>113258836</v>
      </c>
      <c r="H1672">
        <v>113258836</v>
      </c>
      <c r="I1672">
        <v>113258836</v>
      </c>
    </row>
    <row r="1673" spans="1:9" x14ac:dyDescent="0.2">
      <c r="A1673" t="str">
        <f>"Amz1"</f>
        <v>Amz1</v>
      </c>
      <c r="B1673" t="s">
        <v>9</v>
      </c>
      <c r="C1673" t="s">
        <v>46</v>
      </c>
      <c r="D1673" t="s">
        <v>17</v>
      </c>
      <c r="E1673" t="s">
        <v>12</v>
      </c>
      <c r="F1673">
        <v>140724085</v>
      </c>
      <c r="G1673">
        <v>140724112</v>
      </c>
      <c r="H1673">
        <v>140724085</v>
      </c>
      <c r="I1673">
        <v>140724112</v>
      </c>
    </row>
    <row r="1674" spans="1:9" x14ac:dyDescent="0.2">
      <c r="A1674" t="str">
        <f>"Amz1"</f>
        <v>Amz1</v>
      </c>
      <c r="B1674" t="s">
        <v>13</v>
      </c>
      <c r="C1674" t="s">
        <v>46</v>
      </c>
      <c r="D1674" t="s">
        <v>17</v>
      </c>
      <c r="E1674" t="s">
        <v>12</v>
      </c>
      <c r="F1674">
        <v>140735599</v>
      </c>
      <c r="G1674">
        <v>140735615</v>
      </c>
      <c r="H1674">
        <v>140735599</v>
      </c>
      <c r="I1674">
        <v>140735615</v>
      </c>
    </row>
    <row r="1675" spans="1:9" x14ac:dyDescent="0.2">
      <c r="A1675" t="str">
        <f>"Amz2"</f>
        <v>Amz2</v>
      </c>
      <c r="B1675" t="s">
        <v>14</v>
      </c>
      <c r="C1675" t="s">
        <v>27</v>
      </c>
      <c r="D1675" t="s">
        <v>17</v>
      </c>
      <c r="E1675" t="s">
        <v>12</v>
      </c>
      <c r="F1675">
        <v>109425967</v>
      </c>
      <c r="G1675">
        <v>109426010</v>
      </c>
      <c r="H1675">
        <v>109426154</v>
      </c>
      <c r="I1675">
        <v>109426222</v>
      </c>
    </row>
    <row r="1676" spans="1:9" x14ac:dyDescent="0.2">
      <c r="A1676" t="str">
        <f>"Anapc1"</f>
        <v>Anapc1</v>
      </c>
      <c r="B1676" t="s">
        <v>14</v>
      </c>
      <c r="C1676" t="s">
        <v>26</v>
      </c>
      <c r="D1676" t="s">
        <v>11</v>
      </c>
      <c r="E1676" t="s">
        <v>12</v>
      </c>
      <c r="F1676">
        <v>128687357</v>
      </c>
      <c r="G1676">
        <v>128687396</v>
      </c>
      <c r="H1676">
        <v>128687400</v>
      </c>
      <c r="I1676">
        <v>128687411</v>
      </c>
    </row>
    <row r="1677" spans="1:9" x14ac:dyDescent="0.2">
      <c r="A1677" t="str">
        <f>"Anapc10"</f>
        <v>Anapc10</v>
      </c>
      <c r="B1677" t="s">
        <v>14</v>
      </c>
      <c r="C1677" t="s">
        <v>30</v>
      </c>
      <c r="D1677" t="s">
        <v>17</v>
      </c>
      <c r="E1677" t="s">
        <v>12</v>
      </c>
      <c r="F1677">
        <v>79711833</v>
      </c>
      <c r="G1677">
        <v>79711884</v>
      </c>
      <c r="H1677">
        <v>79711792</v>
      </c>
      <c r="I1677">
        <v>79711827</v>
      </c>
    </row>
    <row r="1678" spans="1:9" x14ac:dyDescent="0.2">
      <c r="A1678" t="str">
        <f>"Anapc11"</f>
        <v>Anapc11</v>
      </c>
      <c r="B1678" t="s">
        <v>14</v>
      </c>
      <c r="C1678" t="s">
        <v>27</v>
      </c>
      <c r="D1678" t="s">
        <v>17</v>
      </c>
      <c r="E1678" t="s">
        <v>12</v>
      </c>
      <c r="F1678">
        <v>120598454</v>
      </c>
      <c r="G1678">
        <v>120598518</v>
      </c>
      <c r="H1678">
        <v>120598641</v>
      </c>
      <c r="I1678">
        <v>120598678</v>
      </c>
    </row>
    <row r="1679" spans="1:9" x14ac:dyDescent="0.2">
      <c r="A1679" t="str">
        <f>"Anapc13"</f>
        <v>Anapc13</v>
      </c>
      <c r="B1679" t="s">
        <v>14</v>
      </c>
      <c r="C1679" t="s">
        <v>24</v>
      </c>
      <c r="D1679" t="s">
        <v>17</v>
      </c>
      <c r="E1679" t="s">
        <v>12</v>
      </c>
      <c r="F1679">
        <v>102626278</v>
      </c>
      <c r="G1679">
        <v>102626328</v>
      </c>
      <c r="H1679">
        <v>102626278</v>
      </c>
      <c r="I1679">
        <v>102626328</v>
      </c>
    </row>
    <row r="1680" spans="1:9" x14ac:dyDescent="0.2">
      <c r="A1680" t="str">
        <f>"Anapc15"</f>
        <v>Anapc15</v>
      </c>
      <c r="B1680" t="s">
        <v>14</v>
      </c>
      <c r="C1680" t="s">
        <v>33</v>
      </c>
      <c r="D1680" t="s">
        <v>17</v>
      </c>
      <c r="E1680" t="s">
        <v>67</v>
      </c>
      <c r="F1680">
        <v>101896372</v>
      </c>
      <c r="G1680">
        <v>101896431</v>
      </c>
      <c r="H1680">
        <v>101896817</v>
      </c>
      <c r="I1680">
        <v>101896850</v>
      </c>
    </row>
    <row r="1681" spans="1:9" x14ac:dyDescent="0.2">
      <c r="A1681" t="str">
        <f>"Anapc15-ps"</f>
        <v>Anapc15-ps</v>
      </c>
      <c r="B1681" t="s">
        <v>14</v>
      </c>
      <c r="C1681" t="s">
        <v>15</v>
      </c>
      <c r="D1681" t="s">
        <v>11</v>
      </c>
      <c r="E1681" t="s">
        <v>67</v>
      </c>
      <c r="F1681">
        <v>95673465</v>
      </c>
      <c r="G1681">
        <v>95673481</v>
      </c>
      <c r="H1681">
        <v>95673465</v>
      </c>
      <c r="I1681">
        <v>95673481</v>
      </c>
    </row>
    <row r="1682" spans="1:9" x14ac:dyDescent="0.2">
      <c r="A1682" t="str">
        <f>"Anapc16"</f>
        <v>Anapc16</v>
      </c>
      <c r="B1682" t="s">
        <v>14</v>
      </c>
      <c r="C1682" t="s">
        <v>15</v>
      </c>
      <c r="D1682" t="s">
        <v>11</v>
      </c>
      <c r="E1682" t="s">
        <v>12</v>
      </c>
      <c r="F1682">
        <v>60003056</v>
      </c>
      <c r="G1682">
        <v>60003136</v>
      </c>
      <c r="H1682">
        <v>60003034</v>
      </c>
      <c r="I1682">
        <v>60003048</v>
      </c>
    </row>
    <row r="1683" spans="1:9" x14ac:dyDescent="0.2">
      <c r="A1683" t="str">
        <f>"Anapc2"</f>
        <v>Anapc2</v>
      </c>
      <c r="B1683" t="s">
        <v>14</v>
      </c>
      <c r="C1683" t="s">
        <v>26</v>
      </c>
      <c r="D1683" t="s">
        <v>17</v>
      </c>
      <c r="E1683" t="s">
        <v>12</v>
      </c>
      <c r="F1683">
        <v>25272487</v>
      </c>
      <c r="G1683">
        <v>25272517</v>
      </c>
      <c r="H1683">
        <v>25272462</v>
      </c>
      <c r="I1683">
        <v>25272473</v>
      </c>
    </row>
    <row r="1684" spans="1:9" x14ac:dyDescent="0.2">
      <c r="A1684" t="str">
        <f>"Anapc4"</f>
        <v>Anapc4</v>
      </c>
      <c r="B1684" t="s">
        <v>14</v>
      </c>
      <c r="C1684" t="s">
        <v>46</v>
      </c>
      <c r="D1684" t="s">
        <v>17</v>
      </c>
      <c r="E1684" t="s">
        <v>12</v>
      </c>
      <c r="F1684">
        <v>52834114</v>
      </c>
      <c r="G1684">
        <v>52834167</v>
      </c>
      <c r="H1684">
        <v>52834045</v>
      </c>
      <c r="I1684">
        <v>52834112</v>
      </c>
    </row>
    <row r="1685" spans="1:9" x14ac:dyDescent="0.2">
      <c r="A1685" t="str">
        <f>"Anapc5"</f>
        <v>Anapc5</v>
      </c>
      <c r="B1685" t="s">
        <v>14</v>
      </c>
      <c r="C1685" t="s">
        <v>46</v>
      </c>
      <c r="D1685" t="s">
        <v>11</v>
      </c>
      <c r="E1685" t="s">
        <v>12</v>
      </c>
      <c r="F1685">
        <v>122821258</v>
      </c>
      <c r="G1685">
        <v>122821292</v>
      </c>
      <c r="H1685">
        <v>122821298</v>
      </c>
      <c r="I1685">
        <v>122821315</v>
      </c>
    </row>
    <row r="1686" spans="1:9" x14ac:dyDescent="0.2">
      <c r="A1686" t="str">
        <f>"Anapc7"</f>
        <v>Anapc7</v>
      </c>
      <c r="B1686" t="s">
        <v>14</v>
      </c>
      <c r="C1686" t="s">
        <v>46</v>
      </c>
      <c r="D1686" t="s">
        <v>17</v>
      </c>
      <c r="E1686" t="s">
        <v>12</v>
      </c>
      <c r="F1686">
        <v>122422440</v>
      </c>
      <c r="G1686">
        <v>122422495</v>
      </c>
      <c r="H1686">
        <v>122422496</v>
      </c>
      <c r="I1686">
        <v>122422520</v>
      </c>
    </row>
    <row r="1687" spans="1:9" x14ac:dyDescent="0.2">
      <c r="A1687" t="str">
        <f>"Ang"</f>
        <v>Ang</v>
      </c>
      <c r="B1687" t="s">
        <v>9</v>
      </c>
      <c r="C1687" t="s">
        <v>41</v>
      </c>
      <c r="D1687" t="s">
        <v>17</v>
      </c>
      <c r="E1687" t="s">
        <v>12</v>
      </c>
      <c r="F1687">
        <v>51096388</v>
      </c>
      <c r="G1687">
        <v>51096408</v>
      </c>
      <c r="H1687">
        <v>51096388</v>
      </c>
      <c r="I1687">
        <v>51096408</v>
      </c>
    </row>
    <row r="1688" spans="1:9" x14ac:dyDescent="0.2">
      <c r="A1688" t="str">
        <f>"Ang"</f>
        <v>Ang</v>
      </c>
      <c r="B1688" t="s">
        <v>13</v>
      </c>
      <c r="C1688" t="s">
        <v>41</v>
      </c>
      <c r="D1688" t="s">
        <v>17</v>
      </c>
      <c r="E1688" t="s">
        <v>12</v>
      </c>
      <c r="F1688">
        <v>51091089</v>
      </c>
      <c r="G1688">
        <v>51091160</v>
      </c>
      <c r="H1688">
        <v>51091089</v>
      </c>
      <c r="I1688">
        <v>51091160</v>
      </c>
    </row>
    <row r="1689" spans="1:9" x14ac:dyDescent="0.2">
      <c r="A1689" t="str">
        <f>"Ang2"</f>
        <v>Ang2</v>
      </c>
      <c r="B1689" t="s">
        <v>2131</v>
      </c>
      <c r="C1689" t="s">
        <v>41</v>
      </c>
      <c r="D1689" t="s">
        <v>11</v>
      </c>
      <c r="E1689" t="s">
        <v>20</v>
      </c>
      <c r="F1689">
        <v>51195922</v>
      </c>
      <c r="G1689">
        <v>51195922</v>
      </c>
      <c r="H1689">
        <v>51195922</v>
      </c>
      <c r="I1689">
        <v>51195922</v>
      </c>
    </row>
    <row r="1690" spans="1:9" x14ac:dyDescent="0.2">
      <c r="A1690" t="str">
        <f>"Ang4"</f>
        <v>Ang4</v>
      </c>
      <c r="B1690" t="s">
        <v>14</v>
      </c>
      <c r="C1690" t="s">
        <v>41</v>
      </c>
      <c r="D1690" t="s">
        <v>11</v>
      </c>
      <c r="E1690" t="s">
        <v>12</v>
      </c>
      <c r="F1690">
        <v>51773578</v>
      </c>
      <c r="G1690">
        <v>51773596</v>
      </c>
      <c r="H1690">
        <v>51773578</v>
      </c>
      <c r="I1690">
        <v>51773596</v>
      </c>
    </row>
    <row r="1691" spans="1:9" x14ac:dyDescent="0.2">
      <c r="A1691" t="str">
        <f>"Ang5"</f>
        <v>Ang5</v>
      </c>
      <c r="B1691" t="s">
        <v>14</v>
      </c>
      <c r="C1691" t="s">
        <v>41</v>
      </c>
      <c r="D1691" t="s">
        <v>17</v>
      </c>
      <c r="E1691" t="s">
        <v>12</v>
      </c>
      <c r="F1691">
        <v>43957038</v>
      </c>
      <c r="G1691">
        <v>43957039</v>
      </c>
      <c r="H1691">
        <v>43957038</v>
      </c>
      <c r="I1691">
        <v>43957039</v>
      </c>
    </row>
    <row r="1692" spans="1:9" x14ac:dyDescent="0.2">
      <c r="A1692" t="str">
        <f>"Ang6"</f>
        <v>Ang6</v>
      </c>
      <c r="B1692" t="s">
        <v>2132</v>
      </c>
      <c r="C1692" t="s">
        <v>41</v>
      </c>
      <c r="D1692" t="s">
        <v>11</v>
      </c>
      <c r="E1692" t="s">
        <v>20</v>
      </c>
      <c r="F1692">
        <v>44002268</v>
      </c>
      <c r="G1692">
        <v>44002268</v>
      </c>
      <c r="H1692">
        <v>44002268</v>
      </c>
      <c r="I1692">
        <v>44002268</v>
      </c>
    </row>
    <row r="1693" spans="1:9" x14ac:dyDescent="0.2">
      <c r="A1693" t="str">
        <f>"Angel1"</f>
        <v>Angel1</v>
      </c>
      <c r="B1693" t="s">
        <v>14</v>
      </c>
      <c r="C1693" t="s">
        <v>16</v>
      </c>
      <c r="D1693" t="s">
        <v>11</v>
      </c>
      <c r="E1693" t="s">
        <v>12</v>
      </c>
      <c r="F1693">
        <v>86726387</v>
      </c>
      <c r="G1693">
        <v>86726438</v>
      </c>
      <c r="H1693">
        <v>86726439</v>
      </c>
      <c r="I1693">
        <v>86726475</v>
      </c>
    </row>
    <row r="1694" spans="1:9" x14ac:dyDescent="0.2">
      <c r="A1694" t="str">
        <f>"Angel2"</f>
        <v>Angel2</v>
      </c>
      <c r="B1694" t="s">
        <v>14</v>
      </c>
      <c r="C1694" t="s">
        <v>19</v>
      </c>
      <c r="D1694" t="s">
        <v>17</v>
      </c>
      <c r="E1694" t="s">
        <v>12</v>
      </c>
      <c r="F1694">
        <v>190928573</v>
      </c>
      <c r="G1694">
        <v>190928652</v>
      </c>
      <c r="H1694">
        <v>190928501</v>
      </c>
      <c r="I1694">
        <v>190928550</v>
      </c>
    </row>
    <row r="1695" spans="1:9" x14ac:dyDescent="0.2">
      <c r="A1695" t="str">
        <f>"Angpt1"</f>
        <v>Angpt1</v>
      </c>
      <c r="B1695" t="s">
        <v>14</v>
      </c>
      <c r="C1695" t="s">
        <v>25</v>
      </c>
      <c r="D1695" t="s">
        <v>11</v>
      </c>
      <c r="E1695" t="s">
        <v>12</v>
      </c>
      <c r="F1695">
        <v>42676812</v>
      </c>
      <c r="G1695">
        <v>42676827</v>
      </c>
      <c r="H1695">
        <v>42676898</v>
      </c>
      <c r="I1695">
        <v>42676931</v>
      </c>
    </row>
    <row r="1696" spans="1:9" x14ac:dyDescent="0.2">
      <c r="A1696" t="str">
        <f>"Angpt2"</f>
        <v>Angpt2</v>
      </c>
      <c r="B1696" t="s">
        <v>14</v>
      </c>
      <c r="C1696" t="s">
        <v>30</v>
      </c>
      <c r="D1696" t="s">
        <v>11</v>
      </c>
      <c r="E1696" t="s">
        <v>12</v>
      </c>
      <c r="F1696">
        <v>18741542</v>
      </c>
      <c r="G1696">
        <v>18741566</v>
      </c>
      <c r="H1696">
        <v>18741503</v>
      </c>
      <c r="I1696">
        <v>18741525</v>
      </c>
    </row>
    <row r="1697" spans="1:9" x14ac:dyDescent="0.2">
      <c r="A1697" t="str">
        <f>"Angpt4"</f>
        <v>Angpt4</v>
      </c>
      <c r="B1697" t="s">
        <v>14</v>
      </c>
      <c r="C1697" t="s">
        <v>26</v>
      </c>
      <c r="D1697" t="s">
        <v>17</v>
      </c>
      <c r="E1697" t="s">
        <v>12</v>
      </c>
      <c r="F1697">
        <v>151911204</v>
      </c>
      <c r="G1697">
        <v>151911212</v>
      </c>
      <c r="H1697">
        <v>151911204</v>
      </c>
      <c r="I1697">
        <v>151911212</v>
      </c>
    </row>
    <row r="1698" spans="1:9" x14ac:dyDescent="0.2">
      <c r="A1698" t="str">
        <f>"Angptl1"</f>
        <v>Angptl1</v>
      </c>
      <c r="B1698" t="s">
        <v>14</v>
      </c>
      <c r="C1698" t="s">
        <v>19</v>
      </c>
      <c r="D1698" t="s">
        <v>17</v>
      </c>
      <c r="E1698" t="s">
        <v>12</v>
      </c>
      <c r="F1698">
        <v>156838915</v>
      </c>
      <c r="G1698">
        <v>156838978</v>
      </c>
      <c r="H1698">
        <v>156838903</v>
      </c>
      <c r="I1698">
        <v>156838912</v>
      </c>
    </row>
    <row r="1699" spans="1:9" x14ac:dyDescent="0.2">
      <c r="A1699" t="str">
        <f>"Angptl2"</f>
        <v>Angptl2</v>
      </c>
      <c r="B1699" t="s">
        <v>14</v>
      </c>
      <c r="C1699" t="s">
        <v>26</v>
      </c>
      <c r="D1699" t="s">
        <v>17</v>
      </c>
      <c r="E1699" t="s">
        <v>12</v>
      </c>
      <c r="F1699">
        <v>33216051</v>
      </c>
      <c r="G1699">
        <v>33216084</v>
      </c>
      <c r="H1699">
        <v>33216090</v>
      </c>
      <c r="I1699">
        <v>33216106</v>
      </c>
    </row>
    <row r="1700" spans="1:9" x14ac:dyDescent="0.2">
      <c r="A1700" t="str">
        <f>"Angptl3"</f>
        <v>Angptl3</v>
      </c>
      <c r="B1700" t="s">
        <v>14</v>
      </c>
      <c r="C1700" t="s">
        <v>23</v>
      </c>
      <c r="D1700" t="s">
        <v>17</v>
      </c>
      <c r="E1700" t="s">
        <v>12</v>
      </c>
      <c r="F1700">
        <v>99030946</v>
      </c>
      <c r="G1700">
        <v>99030961</v>
      </c>
      <c r="H1700">
        <v>99030907</v>
      </c>
      <c r="I1700">
        <v>99030944</v>
      </c>
    </row>
    <row r="1701" spans="1:9" x14ac:dyDescent="0.2">
      <c r="A1701" t="str">
        <f>"Angptl4"</f>
        <v>Angptl4</v>
      </c>
      <c r="B1701" t="s">
        <v>14</v>
      </c>
      <c r="C1701" t="s">
        <v>28</v>
      </c>
      <c r="D1701" t="s">
        <v>11</v>
      </c>
      <c r="E1701" t="s">
        <v>12</v>
      </c>
      <c r="F1701">
        <v>33781535</v>
      </c>
      <c r="G1701">
        <v>33781550</v>
      </c>
      <c r="H1701">
        <v>33781535</v>
      </c>
      <c r="I1701">
        <v>33781550</v>
      </c>
    </row>
    <row r="1702" spans="1:9" x14ac:dyDescent="0.2">
      <c r="A1702" t="str">
        <f>"Angptl6"</f>
        <v>Angptl6</v>
      </c>
      <c r="B1702" t="s">
        <v>14</v>
      </c>
      <c r="C1702" t="s">
        <v>24</v>
      </c>
      <c r="D1702" t="s">
        <v>11</v>
      </c>
      <c r="E1702" t="s">
        <v>12</v>
      </c>
      <c r="F1702">
        <v>20879718</v>
      </c>
      <c r="G1702">
        <v>20879738</v>
      </c>
      <c r="H1702">
        <v>20879743</v>
      </c>
      <c r="I1702">
        <v>20879748</v>
      </c>
    </row>
    <row r="1703" spans="1:9" x14ac:dyDescent="0.2">
      <c r="A1703" t="str">
        <f>"Angptl7"</f>
        <v>Angptl7</v>
      </c>
      <c r="B1703" t="s">
        <v>14</v>
      </c>
      <c r="C1703" t="s">
        <v>23</v>
      </c>
      <c r="D1703" t="s">
        <v>11</v>
      </c>
      <c r="E1703" t="s">
        <v>12</v>
      </c>
      <c r="F1703">
        <v>148500449</v>
      </c>
      <c r="G1703">
        <v>148500466</v>
      </c>
      <c r="H1703">
        <v>148500449</v>
      </c>
      <c r="I1703">
        <v>148500466</v>
      </c>
    </row>
    <row r="1704" spans="1:9" x14ac:dyDescent="0.2">
      <c r="A1704" t="str">
        <f>"Ank"</f>
        <v>Ank</v>
      </c>
      <c r="B1704" t="s">
        <v>14</v>
      </c>
      <c r="C1704" t="s">
        <v>25</v>
      </c>
      <c r="D1704" t="s">
        <v>17</v>
      </c>
      <c r="E1704" t="s">
        <v>12</v>
      </c>
      <c r="F1704">
        <v>27466647</v>
      </c>
      <c r="G1704">
        <v>27466696</v>
      </c>
      <c r="H1704">
        <v>27466837</v>
      </c>
      <c r="I1704">
        <v>27466862</v>
      </c>
    </row>
    <row r="1705" spans="1:9" x14ac:dyDescent="0.2">
      <c r="A1705" t="str">
        <f>"Ank1"</f>
        <v>Ank1</v>
      </c>
      <c r="B1705" t="s">
        <v>14</v>
      </c>
      <c r="C1705" t="s">
        <v>30</v>
      </c>
      <c r="D1705" t="s">
        <v>17</v>
      </c>
      <c r="E1705" t="s">
        <v>12</v>
      </c>
      <c r="F1705">
        <v>23035116</v>
      </c>
      <c r="G1705">
        <v>23035185</v>
      </c>
      <c r="H1705">
        <v>23035116</v>
      </c>
      <c r="I1705">
        <v>23035185</v>
      </c>
    </row>
    <row r="1706" spans="1:9" x14ac:dyDescent="0.2">
      <c r="A1706" t="str">
        <f>"Ank2"</f>
        <v>Ank2</v>
      </c>
      <c r="B1706" t="s">
        <v>2133</v>
      </c>
      <c r="C1706" t="s">
        <v>22</v>
      </c>
      <c r="D1706" t="s">
        <v>11</v>
      </c>
      <c r="E1706" t="s">
        <v>35</v>
      </c>
      <c r="F1706">
        <v>127226016</v>
      </c>
      <c r="G1706">
        <v>127226021</v>
      </c>
      <c r="H1706">
        <v>127225894</v>
      </c>
      <c r="I1706">
        <v>127225915</v>
      </c>
    </row>
    <row r="1707" spans="1:9" x14ac:dyDescent="0.2">
      <c r="A1707" t="str">
        <f>"Ank3"</f>
        <v>Ank3</v>
      </c>
      <c r="B1707" t="s">
        <v>14</v>
      </c>
      <c r="C1707" t="s">
        <v>15</v>
      </c>
      <c r="D1707" t="s">
        <v>17</v>
      </c>
      <c r="E1707" t="s">
        <v>12</v>
      </c>
      <c r="F1707">
        <v>69533803</v>
      </c>
      <c r="G1707">
        <v>69533848</v>
      </c>
      <c r="H1707">
        <v>69533803</v>
      </c>
      <c r="I1707">
        <v>69533848</v>
      </c>
    </row>
    <row r="1708" spans="1:9" x14ac:dyDescent="0.2">
      <c r="A1708" t="str">
        <f>"Ankar"</f>
        <v>Ankar</v>
      </c>
      <c r="B1708" t="s">
        <v>14</v>
      </c>
      <c r="C1708" t="s">
        <v>19</v>
      </c>
      <c r="D1708" t="s">
        <v>11</v>
      </c>
      <c r="E1708" t="s">
        <v>12</v>
      </c>
      <c r="F1708">
        <v>72700558</v>
      </c>
      <c r="G1708">
        <v>72700584</v>
      </c>
      <c r="H1708">
        <v>72700544</v>
      </c>
      <c r="I1708">
        <v>72700556</v>
      </c>
    </row>
    <row r="1709" spans="1:9" x14ac:dyDescent="0.2">
      <c r="A1709" t="str">
        <f>"Ankdd1a"</f>
        <v>Ankdd1a</v>
      </c>
      <c r="B1709" t="s">
        <v>2134</v>
      </c>
      <c r="C1709" t="s">
        <v>24</v>
      </c>
      <c r="D1709" t="s">
        <v>11</v>
      </c>
      <c r="E1709" t="s">
        <v>20</v>
      </c>
      <c r="F1709">
        <v>65516998</v>
      </c>
      <c r="G1709">
        <v>65516998</v>
      </c>
      <c r="H1709">
        <v>65516998</v>
      </c>
      <c r="I1709">
        <v>65516998</v>
      </c>
    </row>
    <row r="1710" spans="1:9" x14ac:dyDescent="0.2">
      <c r="A1710" t="str">
        <f>"Ankdd1b"</f>
        <v>Ankdd1b</v>
      </c>
      <c r="B1710" t="s">
        <v>2135</v>
      </c>
      <c r="C1710" t="s">
        <v>39</v>
      </c>
      <c r="D1710" t="s">
        <v>11</v>
      </c>
      <c r="E1710" t="s">
        <v>35</v>
      </c>
      <c r="F1710">
        <v>96471214</v>
      </c>
      <c r="G1710">
        <v>96471224</v>
      </c>
      <c r="H1710">
        <v>96471162</v>
      </c>
      <c r="I1710">
        <v>96471165</v>
      </c>
    </row>
    <row r="1711" spans="1:9" x14ac:dyDescent="0.2">
      <c r="A1711" t="str">
        <f>"Ankef1"</f>
        <v>Ankef1</v>
      </c>
      <c r="B1711" t="s">
        <v>14</v>
      </c>
      <c r="C1711" t="s">
        <v>26</v>
      </c>
      <c r="D1711" t="s">
        <v>17</v>
      </c>
      <c r="E1711" t="s">
        <v>67</v>
      </c>
      <c r="F1711">
        <v>136532266</v>
      </c>
      <c r="G1711">
        <v>136532287</v>
      </c>
      <c r="H1711">
        <v>136532180</v>
      </c>
      <c r="I1711">
        <v>136532215</v>
      </c>
    </row>
    <row r="1712" spans="1:9" x14ac:dyDescent="0.2">
      <c r="A1712" t="str">
        <f>"Ankfn1"</f>
        <v>Ankfn1</v>
      </c>
      <c r="B1712" t="s">
        <v>14</v>
      </c>
      <c r="C1712" t="s">
        <v>27</v>
      </c>
      <c r="D1712" t="s">
        <v>11</v>
      </c>
      <c r="E1712" t="s">
        <v>12</v>
      </c>
      <c r="F1712">
        <v>89538620</v>
      </c>
      <c r="G1712">
        <v>89538647</v>
      </c>
      <c r="H1712">
        <v>89538620</v>
      </c>
      <c r="I1712">
        <v>89538647</v>
      </c>
    </row>
    <row r="1713" spans="1:9" x14ac:dyDescent="0.2">
      <c r="A1713" t="str">
        <f>"Ankfy1"</f>
        <v>Ankfy1</v>
      </c>
      <c r="B1713" t="s">
        <v>14</v>
      </c>
      <c r="C1713" t="s">
        <v>27</v>
      </c>
      <c r="D1713" t="s">
        <v>17</v>
      </c>
      <c r="E1713" t="s">
        <v>12</v>
      </c>
      <c r="F1713">
        <v>72689997</v>
      </c>
      <c r="G1713">
        <v>72690015</v>
      </c>
      <c r="H1713">
        <v>72689997</v>
      </c>
      <c r="I1713">
        <v>72690015</v>
      </c>
    </row>
    <row r="1714" spans="1:9" x14ac:dyDescent="0.2">
      <c r="A1714" t="str">
        <f>"Ankhd1"</f>
        <v>Ankhd1</v>
      </c>
      <c r="B1714" t="s">
        <v>14</v>
      </c>
      <c r="C1714" t="s">
        <v>43</v>
      </c>
      <c r="D1714" t="s">
        <v>17</v>
      </c>
      <c r="E1714" t="s">
        <v>12</v>
      </c>
      <c r="F1714">
        <v>36560581</v>
      </c>
      <c r="G1714">
        <v>36560620</v>
      </c>
      <c r="H1714">
        <v>36560630</v>
      </c>
      <c r="I1714">
        <v>36560657</v>
      </c>
    </row>
    <row r="1715" spans="1:9" x14ac:dyDescent="0.2">
      <c r="A1715" t="str">
        <f>"Ankib1"</f>
        <v>Ankib1</v>
      </c>
      <c r="B1715" t="s">
        <v>14</v>
      </c>
      <c r="C1715" t="s">
        <v>46</v>
      </c>
      <c r="D1715" t="s">
        <v>11</v>
      </c>
      <c r="E1715" t="s">
        <v>12</v>
      </c>
      <c r="F1715">
        <v>3803081</v>
      </c>
      <c r="G1715">
        <v>3803119</v>
      </c>
      <c r="H1715">
        <v>3803062</v>
      </c>
      <c r="I1715">
        <v>3803079</v>
      </c>
    </row>
    <row r="1716" spans="1:9" x14ac:dyDescent="0.2">
      <c r="A1716" t="str">
        <f>"Ankk1"</f>
        <v>Ankk1</v>
      </c>
      <c r="B1716" t="s">
        <v>14</v>
      </c>
      <c r="C1716" t="s">
        <v>24</v>
      </c>
      <c r="D1716" t="s">
        <v>11</v>
      </c>
      <c r="E1716" t="s">
        <v>12</v>
      </c>
      <c r="F1716">
        <v>49426969</v>
      </c>
      <c r="G1716">
        <v>49426974</v>
      </c>
      <c r="H1716">
        <v>49427040</v>
      </c>
      <c r="I1716">
        <v>49427057</v>
      </c>
    </row>
    <row r="1717" spans="1:9" x14ac:dyDescent="0.2">
      <c r="A1717" t="str">
        <f>"Ankle1"</f>
        <v>Ankle1</v>
      </c>
      <c r="B1717" t="s">
        <v>14</v>
      </c>
      <c r="C1717" t="s">
        <v>30</v>
      </c>
      <c r="D1717" t="s">
        <v>17</v>
      </c>
      <c r="E1717" t="s">
        <v>12</v>
      </c>
      <c r="F1717">
        <v>71406003</v>
      </c>
      <c r="G1717">
        <v>71406050</v>
      </c>
      <c r="H1717">
        <v>71406003</v>
      </c>
      <c r="I1717">
        <v>71406050</v>
      </c>
    </row>
    <row r="1718" spans="1:9" x14ac:dyDescent="0.2">
      <c r="A1718" t="str">
        <f>"Ankle2"</f>
        <v>Ankle2</v>
      </c>
      <c r="B1718" t="s">
        <v>14</v>
      </c>
      <c r="C1718" t="s">
        <v>46</v>
      </c>
      <c r="D1718" t="s">
        <v>17</v>
      </c>
      <c r="E1718" t="s">
        <v>12</v>
      </c>
      <c r="F1718">
        <v>110230975</v>
      </c>
      <c r="G1718">
        <v>110231099</v>
      </c>
      <c r="H1718">
        <v>110231117</v>
      </c>
      <c r="I1718">
        <v>110231133</v>
      </c>
    </row>
    <row r="1719" spans="1:9" x14ac:dyDescent="0.2">
      <c r="A1719" t="str">
        <f>"Ankmy1"</f>
        <v>Ankmy1</v>
      </c>
      <c r="B1719" t="s">
        <v>14</v>
      </c>
      <c r="C1719" t="s">
        <v>19</v>
      </c>
      <c r="D1719" t="s">
        <v>11</v>
      </c>
      <c r="E1719" t="s">
        <v>12</v>
      </c>
      <c r="F1719">
        <v>92902883</v>
      </c>
      <c r="G1719">
        <v>92902921</v>
      </c>
      <c r="H1719">
        <v>92902925</v>
      </c>
      <c r="I1719">
        <v>92902932</v>
      </c>
    </row>
    <row r="1720" spans="1:9" x14ac:dyDescent="0.2">
      <c r="A1720" t="str">
        <f>"Ankmy2"</f>
        <v>Ankmy2</v>
      </c>
      <c r="B1720" t="s">
        <v>14</v>
      </c>
      <c r="C1720" t="s">
        <v>16</v>
      </c>
      <c r="D1720" t="s">
        <v>17</v>
      </c>
      <c r="E1720" t="s">
        <v>12</v>
      </c>
      <c r="F1720">
        <v>36157167</v>
      </c>
      <c r="G1720">
        <v>36157238</v>
      </c>
      <c r="H1720">
        <v>36157151</v>
      </c>
      <c r="I1720">
        <v>36157157</v>
      </c>
    </row>
    <row r="1721" spans="1:9" x14ac:dyDescent="0.2">
      <c r="A1721" t="str">
        <f>"Ankra2"</f>
        <v>Ankra2</v>
      </c>
      <c r="B1721" t="s">
        <v>14</v>
      </c>
      <c r="C1721" t="s">
        <v>39</v>
      </c>
      <c r="D1721" t="s">
        <v>17</v>
      </c>
      <c r="E1721" t="s">
        <v>12</v>
      </c>
      <c r="F1721">
        <v>98263105</v>
      </c>
      <c r="G1721">
        <v>98263177</v>
      </c>
      <c r="H1721">
        <v>98263262</v>
      </c>
      <c r="I1721">
        <v>98263302</v>
      </c>
    </row>
    <row r="1722" spans="1:9" x14ac:dyDescent="0.2">
      <c r="A1722" t="str">
        <f>"Ankrd1"</f>
        <v>Ankrd1</v>
      </c>
      <c r="B1722" t="s">
        <v>14</v>
      </c>
      <c r="C1722" t="s">
        <v>10</v>
      </c>
      <c r="D1722" t="s">
        <v>11</v>
      </c>
      <c r="E1722" t="s">
        <v>12</v>
      </c>
      <c r="F1722">
        <v>36119833</v>
      </c>
      <c r="G1722">
        <v>36119847</v>
      </c>
      <c r="H1722">
        <v>36119833</v>
      </c>
      <c r="I1722">
        <v>36119847</v>
      </c>
    </row>
    <row r="1723" spans="1:9" x14ac:dyDescent="0.2">
      <c r="A1723" t="str">
        <f>"Ankrd10"</f>
        <v>Ankrd10</v>
      </c>
      <c r="B1723" t="s">
        <v>14</v>
      </c>
      <c r="C1723" t="s">
        <v>30</v>
      </c>
      <c r="D1723" t="s">
        <v>11</v>
      </c>
      <c r="E1723" t="s">
        <v>12</v>
      </c>
      <c r="F1723">
        <v>11635745</v>
      </c>
      <c r="G1723">
        <v>11635765</v>
      </c>
      <c r="H1723">
        <v>11635693</v>
      </c>
      <c r="I1723">
        <v>11635723</v>
      </c>
    </row>
    <row r="1724" spans="1:9" x14ac:dyDescent="0.2">
      <c r="A1724" t="str">
        <f>"Ankrd11"</f>
        <v>Ankrd11</v>
      </c>
      <c r="B1724" t="s">
        <v>2136</v>
      </c>
      <c r="C1724" t="s">
        <v>30</v>
      </c>
      <c r="D1724" t="s">
        <v>11</v>
      </c>
      <c r="E1724" t="s">
        <v>20</v>
      </c>
      <c r="F1724">
        <v>122974792</v>
      </c>
      <c r="G1724">
        <v>122974792</v>
      </c>
      <c r="H1724">
        <v>122974792</v>
      </c>
      <c r="I1724">
        <v>122974792</v>
      </c>
    </row>
    <row r="1725" spans="1:9" x14ac:dyDescent="0.2">
      <c r="A1725" t="str">
        <f>"Ankrd12"</f>
        <v>Ankrd12</v>
      </c>
      <c r="B1725" t="s">
        <v>14</v>
      </c>
      <c r="C1725" t="s">
        <v>28</v>
      </c>
      <c r="D1725" t="s">
        <v>11</v>
      </c>
      <c r="E1725" t="s">
        <v>12</v>
      </c>
      <c r="F1725">
        <v>66077033</v>
      </c>
      <c r="G1725">
        <v>66077081</v>
      </c>
      <c r="H1725">
        <v>66077084</v>
      </c>
      <c r="I1725">
        <v>66077091</v>
      </c>
    </row>
    <row r="1726" spans="1:9" x14ac:dyDescent="0.2">
      <c r="A1726" t="str">
        <f>"Ankrd13a"</f>
        <v>Ankrd13a</v>
      </c>
      <c r="B1726" t="s">
        <v>14</v>
      </c>
      <c r="C1726" t="s">
        <v>46</v>
      </c>
      <c r="D1726" t="s">
        <v>17</v>
      </c>
      <c r="E1726" t="s">
        <v>12</v>
      </c>
      <c r="F1726">
        <v>114774939</v>
      </c>
      <c r="G1726">
        <v>114774957</v>
      </c>
      <c r="H1726">
        <v>114774674</v>
      </c>
      <c r="I1726">
        <v>114774705</v>
      </c>
    </row>
    <row r="1727" spans="1:9" x14ac:dyDescent="0.2">
      <c r="A1727" t="str">
        <f>"Ankrd13b"</f>
        <v>Ankrd13b</v>
      </c>
      <c r="B1727" t="s">
        <v>14</v>
      </c>
      <c r="C1727" t="s">
        <v>27</v>
      </c>
      <c r="D1727" t="s">
        <v>11</v>
      </c>
      <c r="E1727" t="s">
        <v>12</v>
      </c>
      <c r="F1727">
        <v>77490010</v>
      </c>
      <c r="G1727">
        <v>77490055</v>
      </c>
      <c r="H1727">
        <v>77489670</v>
      </c>
      <c r="I1727">
        <v>77489687</v>
      </c>
    </row>
    <row r="1728" spans="1:9" x14ac:dyDescent="0.2">
      <c r="A1728" t="str">
        <f>"Ankrd13c"</f>
        <v>Ankrd13c</v>
      </c>
      <c r="B1728" t="s">
        <v>14</v>
      </c>
      <c r="C1728" t="s">
        <v>22</v>
      </c>
      <c r="D1728" t="s">
        <v>17</v>
      </c>
      <c r="E1728" t="s">
        <v>12</v>
      </c>
      <c r="F1728">
        <v>157946954</v>
      </c>
      <c r="G1728">
        <v>157946993</v>
      </c>
      <c r="H1728">
        <v>157947213</v>
      </c>
      <c r="I1728">
        <v>157947244</v>
      </c>
    </row>
    <row r="1729" spans="1:9" x14ac:dyDescent="0.2">
      <c r="A1729" t="str">
        <f>"Ankrd13d"</f>
        <v>Ankrd13d</v>
      </c>
      <c r="B1729" t="s">
        <v>14</v>
      </c>
      <c r="C1729" t="s">
        <v>10</v>
      </c>
      <c r="D1729" t="s">
        <v>11</v>
      </c>
      <c r="E1729" t="s">
        <v>12</v>
      </c>
      <c r="F1729">
        <v>4283085</v>
      </c>
      <c r="G1729">
        <v>4283142</v>
      </c>
      <c r="H1729">
        <v>4283144</v>
      </c>
      <c r="I1729">
        <v>4283154</v>
      </c>
    </row>
    <row r="1730" spans="1:9" x14ac:dyDescent="0.2">
      <c r="A1730" t="str">
        <f>"Ankrd16"</f>
        <v>Ankrd16</v>
      </c>
      <c r="B1730" t="s">
        <v>14</v>
      </c>
      <c r="C1730" t="s">
        <v>26</v>
      </c>
      <c r="D1730" t="s">
        <v>17</v>
      </c>
      <c r="E1730" t="s">
        <v>12</v>
      </c>
      <c r="F1730">
        <v>11778480</v>
      </c>
      <c r="G1730">
        <v>11778586</v>
      </c>
      <c r="H1730">
        <v>11777912</v>
      </c>
      <c r="I1730">
        <v>11777939</v>
      </c>
    </row>
    <row r="1731" spans="1:9" x14ac:dyDescent="0.2">
      <c r="A1731" t="str">
        <f>"Ankrd17"</f>
        <v>Ankrd17</v>
      </c>
      <c r="B1731" t="s">
        <v>14</v>
      </c>
      <c r="C1731" t="s">
        <v>46</v>
      </c>
      <c r="D1731" t="s">
        <v>11</v>
      </c>
      <c r="E1731" t="s">
        <v>12</v>
      </c>
      <c r="F1731">
        <v>90366176</v>
      </c>
      <c r="G1731">
        <v>90366192</v>
      </c>
      <c r="H1731">
        <v>90366504</v>
      </c>
      <c r="I1731">
        <v>90366609</v>
      </c>
    </row>
    <row r="1732" spans="1:9" x14ac:dyDescent="0.2">
      <c r="A1732" t="str">
        <f>"Ankrd2"</f>
        <v>Ankrd2</v>
      </c>
      <c r="B1732" t="s">
        <v>14</v>
      </c>
      <c r="C1732" t="s">
        <v>10</v>
      </c>
      <c r="D1732" t="s">
        <v>17</v>
      </c>
      <c r="E1732" t="s">
        <v>12</v>
      </c>
      <c r="F1732">
        <v>42036025</v>
      </c>
      <c r="G1732">
        <v>42036032</v>
      </c>
      <c r="H1732">
        <v>42036025</v>
      </c>
      <c r="I1732">
        <v>42036032</v>
      </c>
    </row>
    <row r="1733" spans="1:9" x14ac:dyDescent="0.2">
      <c r="A1733" t="str">
        <f>"Ankrd22"</f>
        <v>Ankrd22</v>
      </c>
      <c r="B1733" t="s">
        <v>14</v>
      </c>
      <c r="C1733" t="s">
        <v>10</v>
      </c>
      <c r="D1733" t="s">
        <v>11</v>
      </c>
      <c r="E1733" t="s">
        <v>12</v>
      </c>
      <c r="F1733">
        <v>34166037</v>
      </c>
      <c r="G1733">
        <v>34166092</v>
      </c>
      <c r="H1733">
        <v>34165917</v>
      </c>
      <c r="I1733">
        <v>34165951</v>
      </c>
    </row>
    <row r="1734" spans="1:9" x14ac:dyDescent="0.2">
      <c r="A1734" t="str">
        <f>"Ankrd23"</f>
        <v>Ankrd23</v>
      </c>
      <c r="B1734" t="s">
        <v>14</v>
      </c>
      <c r="C1734" t="s">
        <v>19</v>
      </c>
      <c r="D1734" t="s">
        <v>11</v>
      </c>
      <c r="E1734" t="s">
        <v>12</v>
      </c>
      <c r="F1734">
        <v>36535719</v>
      </c>
      <c r="G1734">
        <v>36535764</v>
      </c>
      <c r="H1734">
        <v>36535719</v>
      </c>
      <c r="I1734">
        <v>36535764</v>
      </c>
    </row>
    <row r="1735" spans="1:9" x14ac:dyDescent="0.2">
      <c r="A1735" t="str">
        <f>"Ankrd24"</f>
        <v>Ankrd24</v>
      </c>
      <c r="B1735" t="s">
        <v>14</v>
      </c>
      <c r="C1735" t="s">
        <v>15</v>
      </c>
      <c r="D1735" t="s">
        <v>17</v>
      </c>
      <c r="E1735" t="s">
        <v>12</v>
      </c>
      <c r="F1735">
        <v>81633694</v>
      </c>
      <c r="G1735">
        <v>81633710</v>
      </c>
      <c r="H1735">
        <v>81633694</v>
      </c>
      <c r="I1735">
        <v>81633710</v>
      </c>
    </row>
    <row r="1736" spans="1:9" x14ac:dyDescent="0.2">
      <c r="A1736" t="str">
        <f>"Ankrd26"</f>
        <v>Ankrd26</v>
      </c>
      <c r="B1736" t="s">
        <v>14</v>
      </c>
      <c r="C1736" t="s">
        <v>32</v>
      </c>
      <c r="D1736" t="s">
        <v>11</v>
      </c>
      <c r="E1736" t="s">
        <v>12</v>
      </c>
      <c r="F1736">
        <v>118562226</v>
      </c>
      <c r="G1736">
        <v>118562280</v>
      </c>
      <c r="H1736">
        <v>118562204</v>
      </c>
      <c r="I1736">
        <v>118562216</v>
      </c>
    </row>
    <row r="1737" spans="1:9" x14ac:dyDescent="0.2">
      <c r="A1737" t="str">
        <f>"Ankrd27"</f>
        <v>Ankrd27</v>
      </c>
      <c r="B1737" t="s">
        <v>14</v>
      </c>
      <c r="C1737" t="s">
        <v>33</v>
      </c>
      <c r="D1737" t="s">
        <v>17</v>
      </c>
      <c r="E1737" t="s">
        <v>12</v>
      </c>
      <c r="F1737">
        <v>35586232</v>
      </c>
      <c r="G1737">
        <v>35586290</v>
      </c>
      <c r="H1737">
        <v>35586295</v>
      </c>
      <c r="I1737">
        <v>35586310</v>
      </c>
    </row>
    <row r="1738" spans="1:9" x14ac:dyDescent="0.2">
      <c r="A1738" t="str">
        <f>"Ankrd28"</f>
        <v>Ankrd28</v>
      </c>
      <c r="B1738" t="s">
        <v>14</v>
      </c>
      <c r="C1738" t="s">
        <v>41</v>
      </c>
      <c r="D1738" t="s">
        <v>11</v>
      </c>
      <c r="E1738" t="s">
        <v>12</v>
      </c>
      <c r="F1738">
        <v>31830653</v>
      </c>
      <c r="G1738">
        <v>31830733</v>
      </c>
      <c r="H1738">
        <v>31830402</v>
      </c>
      <c r="I1738">
        <v>31830440</v>
      </c>
    </row>
    <row r="1739" spans="1:9" x14ac:dyDescent="0.2">
      <c r="A1739" t="str">
        <f>"Ankrd29"</f>
        <v>Ankrd29</v>
      </c>
      <c r="B1739" t="s">
        <v>14</v>
      </c>
      <c r="C1739" t="s">
        <v>43</v>
      </c>
      <c r="D1739" t="s">
        <v>11</v>
      </c>
      <c r="E1739" t="s">
        <v>12</v>
      </c>
      <c r="F1739">
        <v>12305666</v>
      </c>
      <c r="G1739">
        <v>12305722</v>
      </c>
      <c r="H1739">
        <v>12305725</v>
      </c>
      <c r="I1739">
        <v>12305764</v>
      </c>
    </row>
    <row r="1740" spans="1:9" x14ac:dyDescent="0.2">
      <c r="A1740" t="str">
        <f>"Ankrd32"</f>
        <v>Ankrd32</v>
      </c>
      <c r="B1740" t="s">
        <v>14</v>
      </c>
      <c r="C1740" t="s">
        <v>39</v>
      </c>
      <c r="D1740" t="s">
        <v>11</v>
      </c>
      <c r="E1740" t="s">
        <v>12</v>
      </c>
      <c r="F1740">
        <v>77135416</v>
      </c>
      <c r="G1740">
        <v>77135491</v>
      </c>
      <c r="H1740">
        <v>77135497</v>
      </c>
      <c r="I1740">
        <v>77135514</v>
      </c>
    </row>
    <row r="1741" spans="1:9" x14ac:dyDescent="0.2">
      <c r="A1741" t="str">
        <f>"Ankrd33"</f>
        <v>Ankrd33</v>
      </c>
      <c r="B1741" t="s">
        <v>14</v>
      </c>
      <c r="C1741" t="s">
        <v>25</v>
      </c>
      <c r="D1741" t="s">
        <v>17</v>
      </c>
      <c r="E1741" t="s">
        <v>12</v>
      </c>
      <c r="F1741">
        <v>101115773</v>
      </c>
      <c r="G1741">
        <v>101115786</v>
      </c>
      <c r="H1741">
        <v>101115738</v>
      </c>
      <c r="I1741">
        <v>101115753</v>
      </c>
    </row>
    <row r="1742" spans="1:9" x14ac:dyDescent="0.2">
      <c r="A1742" t="str">
        <f>"Ankrd33b"</f>
        <v>Ankrd33b</v>
      </c>
      <c r="B1742" t="s">
        <v>14</v>
      </c>
      <c r="C1742" t="s">
        <v>25</v>
      </c>
      <c r="D1742" t="s">
        <v>11</v>
      </c>
      <c r="E1742" t="s">
        <v>12</v>
      </c>
      <c r="F1742">
        <v>31367527</v>
      </c>
      <c r="G1742">
        <v>31367580</v>
      </c>
      <c r="H1742">
        <v>31367747</v>
      </c>
      <c r="I1742">
        <v>31367789</v>
      </c>
    </row>
    <row r="1743" spans="1:9" x14ac:dyDescent="0.2">
      <c r="A1743" t="str">
        <f>"Ankrd34a"</f>
        <v>Ankrd34a</v>
      </c>
      <c r="B1743" t="s">
        <v>14</v>
      </c>
      <c r="C1743" t="s">
        <v>22</v>
      </c>
      <c r="D1743" t="s">
        <v>17</v>
      </c>
      <c r="E1743" t="s">
        <v>12</v>
      </c>
      <c r="F1743">
        <v>96596628</v>
      </c>
      <c r="G1743">
        <v>96596662</v>
      </c>
      <c r="H1743">
        <v>96596593</v>
      </c>
      <c r="I1743">
        <v>96596609</v>
      </c>
    </row>
    <row r="1744" spans="1:9" x14ac:dyDescent="0.2">
      <c r="A1744" t="str">
        <f>"Ankrd34b"</f>
        <v>Ankrd34b</v>
      </c>
      <c r="B1744" t="s">
        <v>14</v>
      </c>
      <c r="C1744" t="s">
        <v>39</v>
      </c>
      <c r="D1744" t="s">
        <v>17</v>
      </c>
      <c r="E1744" t="s">
        <v>12</v>
      </c>
      <c r="F1744">
        <v>92425957</v>
      </c>
      <c r="G1744">
        <v>92426031</v>
      </c>
      <c r="H1744">
        <v>92425920</v>
      </c>
      <c r="I1744">
        <v>92425929</v>
      </c>
    </row>
    <row r="1745" spans="1:9" x14ac:dyDescent="0.2">
      <c r="A1745" t="str">
        <f>"Ankrd34c"</f>
        <v>Ankrd34c</v>
      </c>
      <c r="B1745" t="s">
        <v>14</v>
      </c>
      <c r="C1745" t="s">
        <v>24</v>
      </c>
      <c r="D1745" t="s">
        <v>11</v>
      </c>
      <c r="E1745" t="s">
        <v>12</v>
      </c>
      <c r="F1745">
        <v>89738414</v>
      </c>
      <c r="G1745">
        <v>89738463</v>
      </c>
      <c r="H1745">
        <v>89738466</v>
      </c>
      <c r="I1745">
        <v>89738475</v>
      </c>
    </row>
    <row r="1746" spans="1:9" x14ac:dyDescent="0.2">
      <c r="A1746" t="str">
        <f>"Ankrd35"</f>
        <v>Ankrd35</v>
      </c>
      <c r="B1746" t="s">
        <v>14</v>
      </c>
      <c r="C1746" t="s">
        <v>22</v>
      </c>
      <c r="D1746" t="s">
        <v>17</v>
      </c>
      <c r="E1746" t="s">
        <v>12</v>
      </c>
      <c r="F1746">
        <v>96670298</v>
      </c>
      <c r="G1746">
        <v>96670346</v>
      </c>
      <c r="H1746">
        <v>96670131</v>
      </c>
      <c r="I1746">
        <v>96670145</v>
      </c>
    </row>
    <row r="1747" spans="1:9" x14ac:dyDescent="0.2">
      <c r="A1747" t="str">
        <f>"Ankrd36"</f>
        <v>Ankrd36</v>
      </c>
      <c r="B1747" t="s">
        <v>9</v>
      </c>
      <c r="C1747" t="s">
        <v>27</v>
      </c>
      <c r="D1747" t="s">
        <v>17</v>
      </c>
      <c r="E1747" t="s">
        <v>12</v>
      </c>
      <c r="F1747">
        <v>5569679</v>
      </c>
      <c r="G1747">
        <v>5569690</v>
      </c>
      <c r="H1747">
        <v>5569679</v>
      </c>
      <c r="I1747">
        <v>5569690</v>
      </c>
    </row>
    <row r="1748" spans="1:9" x14ac:dyDescent="0.2">
      <c r="A1748" t="str">
        <f>"Ankrd36"</f>
        <v>Ankrd36</v>
      </c>
      <c r="B1748" t="s">
        <v>13</v>
      </c>
      <c r="C1748" t="s">
        <v>27</v>
      </c>
      <c r="D1748" t="s">
        <v>17</v>
      </c>
      <c r="E1748" t="s">
        <v>12</v>
      </c>
      <c r="F1748">
        <v>5574156</v>
      </c>
      <c r="G1748">
        <v>5574167</v>
      </c>
      <c r="H1748">
        <v>5574156</v>
      </c>
      <c r="I1748">
        <v>5574167</v>
      </c>
    </row>
    <row r="1749" spans="1:9" x14ac:dyDescent="0.2">
      <c r="A1749" t="str">
        <f>"Ankrd37"</f>
        <v>Ankrd37</v>
      </c>
      <c r="B1749" t="s">
        <v>14</v>
      </c>
      <c r="C1749" t="s">
        <v>30</v>
      </c>
      <c r="D1749" t="s">
        <v>11</v>
      </c>
      <c r="E1749" t="s">
        <v>12</v>
      </c>
      <c r="F1749">
        <v>45999860</v>
      </c>
      <c r="G1749">
        <v>45999873</v>
      </c>
      <c r="H1749">
        <v>45999709</v>
      </c>
      <c r="I1749">
        <v>45999713</v>
      </c>
    </row>
    <row r="1750" spans="1:9" x14ac:dyDescent="0.2">
      <c r="A1750" t="str">
        <f>"Ankrd39"</f>
        <v>Ankrd39</v>
      </c>
      <c r="B1750" t="s">
        <v>14</v>
      </c>
      <c r="C1750" t="s">
        <v>19</v>
      </c>
      <c r="D1750" t="s">
        <v>11</v>
      </c>
      <c r="E1750" t="s">
        <v>12</v>
      </c>
      <c r="F1750">
        <v>36547194</v>
      </c>
      <c r="G1750">
        <v>36547233</v>
      </c>
      <c r="H1750">
        <v>36547182</v>
      </c>
      <c r="I1750">
        <v>36547187</v>
      </c>
    </row>
    <row r="1751" spans="1:9" x14ac:dyDescent="0.2">
      <c r="A1751" t="str">
        <f>"Ankrd40"</f>
        <v>Ankrd40</v>
      </c>
      <c r="B1751" t="s">
        <v>14</v>
      </c>
      <c r="C1751" t="s">
        <v>27</v>
      </c>
      <c r="D1751" t="s">
        <v>17</v>
      </c>
      <c r="E1751" t="s">
        <v>12</v>
      </c>
      <c r="F1751">
        <v>94327984</v>
      </c>
      <c r="G1751">
        <v>94328029</v>
      </c>
      <c r="H1751">
        <v>94328037</v>
      </c>
      <c r="I1751">
        <v>94328064</v>
      </c>
    </row>
    <row r="1752" spans="1:9" x14ac:dyDescent="0.2">
      <c r="A1752" t="str">
        <f>"Ankrd42"</f>
        <v>Ankrd42</v>
      </c>
      <c r="B1752" t="s">
        <v>14</v>
      </c>
      <c r="C1752" t="s">
        <v>33</v>
      </c>
      <c r="D1752" t="s">
        <v>11</v>
      </c>
      <c r="E1752" t="s">
        <v>12</v>
      </c>
      <c r="F1752">
        <v>92637079</v>
      </c>
      <c r="G1752">
        <v>92637147</v>
      </c>
      <c r="H1752">
        <v>92637056</v>
      </c>
      <c r="I1752">
        <v>92637076</v>
      </c>
    </row>
    <row r="1753" spans="1:9" x14ac:dyDescent="0.2">
      <c r="A1753" t="str">
        <f>"Ankrd44"</f>
        <v>Ankrd44</v>
      </c>
      <c r="B1753" t="s">
        <v>14</v>
      </c>
      <c r="C1753" t="s">
        <v>19</v>
      </c>
      <c r="D1753" t="s">
        <v>11</v>
      </c>
      <c r="E1753" t="s">
        <v>12</v>
      </c>
      <c r="F1753">
        <v>54926311</v>
      </c>
      <c r="G1753">
        <v>54926402</v>
      </c>
      <c r="H1753">
        <v>54926293</v>
      </c>
      <c r="I1753">
        <v>54926304</v>
      </c>
    </row>
    <row r="1754" spans="1:9" x14ac:dyDescent="0.2">
      <c r="A1754" t="str">
        <f>"Ankrd45"</f>
        <v>Ankrd45</v>
      </c>
      <c r="B1754" t="s">
        <v>14</v>
      </c>
      <c r="C1754" t="s">
        <v>19</v>
      </c>
      <c r="D1754" t="s">
        <v>17</v>
      </c>
      <c r="E1754" t="s">
        <v>12</v>
      </c>
      <c r="F1754">
        <v>161142661</v>
      </c>
      <c r="G1754">
        <v>161142701</v>
      </c>
      <c r="H1754">
        <v>161142706</v>
      </c>
      <c r="I1754">
        <v>161142744</v>
      </c>
    </row>
    <row r="1755" spans="1:9" x14ac:dyDescent="0.2">
      <c r="A1755" t="str">
        <f>"Ankrd46"</f>
        <v>Ankrd46</v>
      </c>
      <c r="B1755" t="s">
        <v>14</v>
      </c>
      <c r="C1755" t="s">
        <v>25</v>
      </c>
      <c r="D1755" t="s">
        <v>11</v>
      </c>
      <c r="E1755" t="s">
        <v>12</v>
      </c>
      <c r="F1755">
        <v>36496722</v>
      </c>
      <c r="G1755">
        <v>36496808</v>
      </c>
      <c r="H1755">
        <v>36496722</v>
      </c>
      <c r="I1755">
        <v>36496808</v>
      </c>
    </row>
    <row r="1756" spans="1:9" x14ac:dyDescent="0.2">
      <c r="A1756" t="str">
        <f>"Ankrd49"</f>
        <v>Ankrd49</v>
      </c>
      <c r="B1756" t="s">
        <v>14</v>
      </c>
      <c r="C1756" t="s">
        <v>24</v>
      </c>
      <c r="D1756" t="s">
        <v>11</v>
      </c>
      <c r="E1756" t="s">
        <v>12</v>
      </c>
      <c r="F1756">
        <v>14784506</v>
      </c>
      <c r="G1756">
        <v>14784577</v>
      </c>
      <c r="H1756">
        <v>14784506</v>
      </c>
      <c r="I1756">
        <v>14784577</v>
      </c>
    </row>
    <row r="1757" spans="1:9" x14ac:dyDescent="0.2">
      <c r="A1757" t="str">
        <f>"Ankrd50"</f>
        <v>Ankrd50</v>
      </c>
      <c r="B1757" t="s">
        <v>14</v>
      </c>
      <c r="C1757" t="s">
        <v>22</v>
      </c>
      <c r="D1757" t="s">
        <v>11</v>
      </c>
      <c r="E1757" t="s">
        <v>12</v>
      </c>
      <c r="F1757">
        <v>38484831</v>
      </c>
      <c r="G1757">
        <v>38484864</v>
      </c>
      <c r="H1757">
        <v>38484802</v>
      </c>
      <c r="I1757">
        <v>38484822</v>
      </c>
    </row>
    <row r="1758" spans="1:9" x14ac:dyDescent="0.2">
      <c r="A1758" t="str">
        <f>"Ankrd52"</f>
        <v>Ankrd52</v>
      </c>
      <c r="B1758" t="s">
        <v>14</v>
      </c>
      <c r="C1758" t="s">
        <v>15</v>
      </c>
      <c r="D1758" t="s">
        <v>17</v>
      </c>
      <c r="E1758" t="s">
        <v>12</v>
      </c>
      <c r="F1758">
        <v>128377086</v>
      </c>
      <c r="G1758">
        <v>128377155</v>
      </c>
      <c r="H1758">
        <v>128376764</v>
      </c>
      <c r="I1758">
        <v>128376778</v>
      </c>
    </row>
    <row r="1759" spans="1:9" x14ac:dyDescent="0.2">
      <c r="A1759" t="str">
        <f>"Ankrd53"</f>
        <v>Ankrd53</v>
      </c>
      <c r="B1759" t="s">
        <v>14</v>
      </c>
      <c r="C1759" t="s">
        <v>32</v>
      </c>
      <c r="D1759" t="s">
        <v>17</v>
      </c>
      <c r="E1759" t="s">
        <v>12</v>
      </c>
      <c r="F1759">
        <v>83762665</v>
      </c>
      <c r="G1759">
        <v>83762692</v>
      </c>
      <c r="H1759">
        <v>83762701</v>
      </c>
      <c r="I1759">
        <v>83762710</v>
      </c>
    </row>
    <row r="1760" spans="1:9" x14ac:dyDescent="0.2">
      <c r="A1760" t="str">
        <f>"Ankrd54"</f>
        <v>Ankrd54</v>
      </c>
      <c r="B1760" t="s">
        <v>14</v>
      </c>
      <c r="C1760" t="s">
        <v>25</v>
      </c>
      <c r="D1760" t="s">
        <v>11</v>
      </c>
      <c r="E1760" t="s">
        <v>12</v>
      </c>
      <c r="F1760">
        <v>79062866</v>
      </c>
      <c r="G1760">
        <v>79062941</v>
      </c>
      <c r="H1760">
        <v>79062866</v>
      </c>
      <c r="I1760">
        <v>79062941</v>
      </c>
    </row>
    <row r="1761" spans="1:9" x14ac:dyDescent="0.2">
      <c r="A1761" t="str">
        <f>"Ankrd55"</f>
        <v>Ankrd55</v>
      </c>
      <c r="B1761" t="s">
        <v>14</v>
      </c>
      <c r="C1761" t="s">
        <v>39</v>
      </c>
      <c r="D1761" t="s">
        <v>17</v>
      </c>
      <c r="E1761" t="s">
        <v>12</v>
      </c>
      <c r="F1761">
        <v>112288516</v>
      </c>
      <c r="G1761">
        <v>112288548</v>
      </c>
      <c r="H1761">
        <v>112288580</v>
      </c>
      <c r="I1761">
        <v>112288594</v>
      </c>
    </row>
    <row r="1762" spans="1:9" x14ac:dyDescent="0.2">
      <c r="A1762" t="str">
        <f>"Ankrd6"</f>
        <v>Ankrd6</v>
      </c>
      <c r="B1762" t="s">
        <v>14</v>
      </c>
      <c r="C1762" t="s">
        <v>23</v>
      </c>
      <c r="D1762" t="s">
        <v>11</v>
      </c>
      <c r="E1762" t="s">
        <v>12</v>
      </c>
      <c r="F1762">
        <v>32950813</v>
      </c>
      <c r="G1762">
        <v>32950866</v>
      </c>
      <c r="H1762">
        <v>32950813</v>
      </c>
      <c r="I1762">
        <v>32950866</v>
      </c>
    </row>
    <row r="1763" spans="1:9" x14ac:dyDescent="0.2">
      <c r="A1763" t="str">
        <f>"Ankrd60"</f>
        <v>Ankrd60</v>
      </c>
      <c r="B1763" t="s">
        <v>14</v>
      </c>
      <c r="C1763" t="s">
        <v>26</v>
      </c>
      <c r="D1763" t="s">
        <v>11</v>
      </c>
      <c r="E1763" t="s">
        <v>12</v>
      </c>
      <c r="F1763">
        <v>173578215</v>
      </c>
      <c r="G1763">
        <v>173578278</v>
      </c>
      <c r="H1763">
        <v>173578300</v>
      </c>
      <c r="I1763">
        <v>173578334</v>
      </c>
    </row>
    <row r="1764" spans="1:9" x14ac:dyDescent="0.2">
      <c r="A1764" t="str">
        <f>"Ankrd61"</f>
        <v>Ankrd61</v>
      </c>
      <c r="B1764" t="s">
        <v>14</v>
      </c>
      <c r="C1764" t="s">
        <v>46</v>
      </c>
      <c r="D1764" t="s">
        <v>11</v>
      </c>
      <c r="E1764" t="s">
        <v>12</v>
      </c>
      <c r="F1764">
        <v>143895025</v>
      </c>
      <c r="G1764">
        <v>143895075</v>
      </c>
      <c r="H1764">
        <v>143895078</v>
      </c>
      <c r="I1764">
        <v>143895091</v>
      </c>
    </row>
    <row r="1765" spans="1:9" x14ac:dyDescent="0.2">
      <c r="A1765" t="str">
        <f>"Ankrd63"</f>
        <v>Ankrd63</v>
      </c>
      <c r="B1765" t="s">
        <v>14</v>
      </c>
      <c r="C1765" t="s">
        <v>26</v>
      </c>
      <c r="D1765" t="s">
        <v>11</v>
      </c>
      <c r="E1765" t="s">
        <v>67</v>
      </c>
      <c r="F1765">
        <v>118703848</v>
      </c>
      <c r="G1765">
        <v>118703859</v>
      </c>
      <c r="H1765">
        <v>118704033</v>
      </c>
      <c r="I1765">
        <v>118704044</v>
      </c>
    </row>
    <row r="1766" spans="1:9" x14ac:dyDescent="0.2">
      <c r="A1766" t="str">
        <f>"Ankrd65"</f>
        <v>Ankrd65</v>
      </c>
      <c r="B1766" t="s">
        <v>2137</v>
      </c>
      <c r="C1766" t="s">
        <v>23</v>
      </c>
      <c r="D1766" t="s">
        <v>17</v>
      </c>
      <c r="E1766" t="s">
        <v>20</v>
      </c>
      <c r="F1766">
        <v>155790438</v>
      </c>
      <c r="G1766">
        <v>155790438</v>
      </c>
      <c r="H1766">
        <v>155790438</v>
      </c>
      <c r="I1766">
        <v>155790438</v>
      </c>
    </row>
    <row r="1767" spans="1:9" x14ac:dyDescent="0.2">
      <c r="A1767" t="str">
        <f>"Ankrd66"</f>
        <v>Ankrd66</v>
      </c>
      <c r="B1767" t="s">
        <v>2138</v>
      </c>
      <c r="C1767" t="s">
        <v>28</v>
      </c>
      <c r="D1767" t="s">
        <v>11</v>
      </c>
      <c r="E1767" t="s">
        <v>20</v>
      </c>
      <c r="F1767">
        <v>43543638</v>
      </c>
      <c r="G1767">
        <v>43543638</v>
      </c>
      <c r="H1767">
        <v>43543638</v>
      </c>
      <c r="I1767">
        <v>43543638</v>
      </c>
    </row>
    <row r="1768" spans="1:9" x14ac:dyDescent="0.2">
      <c r="A1768" t="str">
        <f>"Ankrd7"</f>
        <v>Ankrd7</v>
      </c>
      <c r="B1768" t="s">
        <v>14</v>
      </c>
      <c r="C1768" t="s">
        <v>32</v>
      </c>
      <c r="D1768" t="s">
        <v>17</v>
      </c>
      <c r="E1768" t="s">
        <v>12</v>
      </c>
      <c r="F1768">
        <v>18866309</v>
      </c>
      <c r="G1768">
        <v>18866333</v>
      </c>
      <c r="H1768">
        <v>18866342</v>
      </c>
      <c r="I1768">
        <v>18866355</v>
      </c>
    </row>
    <row r="1769" spans="1:9" x14ac:dyDescent="0.2">
      <c r="A1769" t="str">
        <f>"Ankrd9"</f>
        <v>Ankrd9</v>
      </c>
      <c r="B1769" t="s">
        <v>14</v>
      </c>
      <c r="C1769" t="s">
        <v>16</v>
      </c>
      <c r="D1769" t="s">
        <v>11</v>
      </c>
      <c r="E1769" t="s">
        <v>12</v>
      </c>
      <c r="F1769">
        <v>110978981</v>
      </c>
      <c r="G1769">
        <v>110979028</v>
      </c>
      <c r="H1769">
        <v>110978964</v>
      </c>
      <c r="I1769">
        <v>110978979</v>
      </c>
    </row>
    <row r="1770" spans="1:9" x14ac:dyDescent="0.2">
      <c r="A1770" t="str">
        <f>"Anks1"</f>
        <v>Anks1</v>
      </c>
      <c r="B1770" t="s">
        <v>14</v>
      </c>
      <c r="C1770" t="s">
        <v>28</v>
      </c>
      <c r="D1770" t="s">
        <v>17</v>
      </c>
      <c r="E1770" t="s">
        <v>12</v>
      </c>
      <c r="F1770">
        <v>27909337</v>
      </c>
      <c r="G1770">
        <v>27909409</v>
      </c>
      <c r="H1770">
        <v>27909337</v>
      </c>
      <c r="I1770">
        <v>27909409</v>
      </c>
    </row>
    <row r="1771" spans="1:9" x14ac:dyDescent="0.2">
      <c r="A1771" t="str">
        <f>"Anks1b"</f>
        <v>Anks1b</v>
      </c>
      <c r="B1771" t="s">
        <v>2139</v>
      </c>
      <c r="C1771" t="s">
        <v>15</v>
      </c>
      <c r="D1771" t="s">
        <v>17</v>
      </c>
      <c r="E1771" t="s">
        <v>35</v>
      </c>
      <c r="F1771">
        <v>89873393</v>
      </c>
      <c r="G1771">
        <v>89873398</v>
      </c>
      <c r="H1771">
        <v>89873664</v>
      </c>
      <c r="I1771">
        <v>89873669</v>
      </c>
    </row>
    <row r="1772" spans="1:9" x14ac:dyDescent="0.2">
      <c r="A1772" t="str">
        <f>"Anks3"</f>
        <v>Anks3</v>
      </c>
      <c r="B1772" t="s">
        <v>14</v>
      </c>
      <c r="C1772" t="s">
        <v>31</v>
      </c>
      <c r="D1772" t="s">
        <v>11</v>
      </c>
      <c r="E1772" t="s">
        <v>12</v>
      </c>
      <c r="F1772">
        <v>4964168</v>
      </c>
      <c r="G1772">
        <v>4964220</v>
      </c>
      <c r="H1772">
        <v>4964153</v>
      </c>
      <c r="I1772">
        <v>4964162</v>
      </c>
    </row>
    <row r="1773" spans="1:9" x14ac:dyDescent="0.2">
      <c r="A1773" t="str">
        <f>"Anks4b"</f>
        <v>Anks4b</v>
      </c>
      <c r="B1773" t="s">
        <v>14</v>
      </c>
      <c r="C1773" t="s">
        <v>33</v>
      </c>
      <c r="D1773" t="s">
        <v>17</v>
      </c>
      <c r="E1773" t="s">
        <v>12</v>
      </c>
      <c r="F1773">
        <v>120173847</v>
      </c>
      <c r="G1773">
        <v>120173893</v>
      </c>
      <c r="H1773">
        <v>120173902</v>
      </c>
      <c r="I1773">
        <v>120173914</v>
      </c>
    </row>
    <row r="1774" spans="1:9" x14ac:dyDescent="0.2">
      <c r="A1774" t="str">
        <f>"Anks6"</f>
        <v>Anks6</v>
      </c>
      <c r="B1774" t="s">
        <v>14</v>
      </c>
      <c r="C1774" t="s">
        <v>23</v>
      </c>
      <c r="D1774" t="s">
        <v>11</v>
      </c>
      <c r="E1774" t="s">
        <v>12</v>
      </c>
      <c r="F1774">
        <v>47057296</v>
      </c>
      <c r="G1774">
        <v>47057356</v>
      </c>
      <c r="H1774">
        <v>47057279</v>
      </c>
      <c r="I1774">
        <v>47057295</v>
      </c>
    </row>
    <row r="1775" spans="1:9" x14ac:dyDescent="0.2">
      <c r="A1775" t="str">
        <f>"Ankzf1"</f>
        <v>Ankzf1</v>
      </c>
      <c r="B1775" t="s">
        <v>14</v>
      </c>
      <c r="C1775" t="s">
        <v>19</v>
      </c>
      <c r="D1775" t="s">
        <v>17</v>
      </c>
      <c r="E1775" t="s">
        <v>67</v>
      </c>
      <c r="F1775">
        <v>75192143</v>
      </c>
      <c r="G1775">
        <v>75192230</v>
      </c>
      <c r="H1775">
        <v>75192143</v>
      </c>
      <c r="I1775">
        <v>75192230</v>
      </c>
    </row>
    <row r="1776" spans="1:9" x14ac:dyDescent="0.2">
      <c r="A1776" t="str">
        <f>"Anln"</f>
        <v>Anln</v>
      </c>
      <c r="B1776" t="s">
        <v>14</v>
      </c>
      <c r="C1776" t="s">
        <v>24</v>
      </c>
      <c r="D1776" t="s">
        <v>11</v>
      </c>
      <c r="E1776" t="s">
        <v>12</v>
      </c>
      <c r="F1776">
        <v>22389113</v>
      </c>
      <c r="G1776">
        <v>22389196</v>
      </c>
      <c r="H1776">
        <v>22389086</v>
      </c>
      <c r="I1776">
        <v>22389099</v>
      </c>
    </row>
    <row r="1777" spans="1:9" x14ac:dyDescent="0.2">
      <c r="A1777" t="str">
        <f>"Ano1"</f>
        <v>Ano1</v>
      </c>
      <c r="B1777" t="s">
        <v>14</v>
      </c>
      <c r="C1777" t="s">
        <v>33</v>
      </c>
      <c r="D1777" t="s">
        <v>11</v>
      </c>
      <c r="E1777" t="s">
        <v>12</v>
      </c>
      <c r="F1777">
        <v>144738520</v>
      </c>
      <c r="G1777">
        <v>144738597</v>
      </c>
      <c r="H1777">
        <v>144738520</v>
      </c>
      <c r="I1777">
        <v>144738597</v>
      </c>
    </row>
    <row r="1778" spans="1:9" x14ac:dyDescent="0.2">
      <c r="A1778" t="str">
        <f>"Ano10"</f>
        <v>Ano10</v>
      </c>
      <c r="B1778" t="s">
        <v>14</v>
      </c>
      <c r="C1778" t="s">
        <v>24</v>
      </c>
      <c r="D1778" t="s">
        <v>11</v>
      </c>
      <c r="E1778" t="s">
        <v>12</v>
      </c>
      <c r="F1778">
        <v>122294361</v>
      </c>
      <c r="G1778">
        <v>122294407</v>
      </c>
      <c r="H1778">
        <v>122294409</v>
      </c>
      <c r="I1778">
        <v>122294431</v>
      </c>
    </row>
    <row r="1779" spans="1:9" x14ac:dyDescent="0.2">
      <c r="A1779" t="str">
        <f>"Ano2"</f>
        <v>Ano2</v>
      </c>
      <c r="B1779" t="s">
        <v>14</v>
      </c>
      <c r="C1779" t="s">
        <v>32</v>
      </c>
      <c r="D1779" t="s">
        <v>17</v>
      </c>
      <c r="E1779" t="s">
        <v>12</v>
      </c>
      <c r="F1779">
        <v>125690668</v>
      </c>
      <c r="G1779">
        <v>125690679</v>
      </c>
      <c r="H1779">
        <v>125690668</v>
      </c>
      <c r="I1779">
        <v>125690679</v>
      </c>
    </row>
    <row r="1780" spans="1:9" x14ac:dyDescent="0.2">
      <c r="A1780" t="str">
        <f>"Ano3"</f>
        <v>Ano3</v>
      </c>
      <c r="B1780" t="s">
        <v>14</v>
      </c>
      <c r="C1780" t="s">
        <v>26</v>
      </c>
      <c r="D1780" t="s">
        <v>11</v>
      </c>
      <c r="E1780" t="s">
        <v>12</v>
      </c>
      <c r="F1780">
        <v>110950222</v>
      </c>
      <c r="G1780">
        <v>110950303</v>
      </c>
      <c r="H1780">
        <v>110950193</v>
      </c>
      <c r="I1780">
        <v>110950206</v>
      </c>
    </row>
    <row r="1781" spans="1:9" x14ac:dyDescent="0.2">
      <c r="A1781" t="str">
        <f>"Ano4"</f>
        <v>Ano4</v>
      </c>
      <c r="B1781" t="s">
        <v>14</v>
      </c>
      <c r="C1781" t="s">
        <v>15</v>
      </c>
      <c r="D1781" t="s">
        <v>11</v>
      </c>
      <c r="E1781" t="s">
        <v>12</v>
      </c>
      <c r="F1781">
        <v>89257806</v>
      </c>
      <c r="G1781">
        <v>89257831</v>
      </c>
      <c r="H1781">
        <v>89257645</v>
      </c>
      <c r="I1781">
        <v>89257657</v>
      </c>
    </row>
    <row r="1782" spans="1:9" x14ac:dyDescent="0.2">
      <c r="A1782" t="str">
        <f>"Ano5"</f>
        <v>Ano5</v>
      </c>
      <c r="B1782" t="s">
        <v>14</v>
      </c>
      <c r="C1782" t="s">
        <v>33</v>
      </c>
      <c r="D1782" t="s">
        <v>17</v>
      </c>
      <c r="E1782" t="s">
        <v>12</v>
      </c>
      <c r="F1782">
        <v>51511005</v>
      </c>
      <c r="G1782">
        <v>51511046</v>
      </c>
      <c r="H1782">
        <v>51511124</v>
      </c>
      <c r="I1782">
        <v>51511190</v>
      </c>
    </row>
    <row r="1783" spans="1:9" x14ac:dyDescent="0.2">
      <c r="A1783" t="str">
        <f>"Ano6"</f>
        <v>Ano6</v>
      </c>
      <c r="B1783" t="s">
        <v>14</v>
      </c>
      <c r="C1783" t="s">
        <v>25</v>
      </c>
      <c r="D1783" t="s">
        <v>17</v>
      </c>
      <c r="E1783" t="s">
        <v>12</v>
      </c>
      <c r="F1783">
        <v>95790831</v>
      </c>
      <c r="G1783">
        <v>95790859</v>
      </c>
      <c r="H1783">
        <v>95790971</v>
      </c>
      <c r="I1783">
        <v>95791008</v>
      </c>
    </row>
    <row r="1784" spans="1:9" x14ac:dyDescent="0.2">
      <c r="A1784" t="str">
        <f>"Ano7"</f>
        <v>Ano7</v>
      </c>
      <c r="B1784" t="s">
        <v>14</v>
      </c>
      <c r="C1784" t="s">
        <v>19</v>
      </c>
      <c r="D1784" t="s">
        <v>17</v>
      </c>
      <c r="E1784" t="s">
        <v>12</v>
      </c>
      <c r="F1784">
        <v>93373810</v>
      </c>
      <c r="G1784">
        <v>93373839</v>
      </c>
      <c r="H1784">
        <v>93373874</v>
      </c>
      <c r="I1784">
        <v>93373899</v>
      </c>
    </row>
    <row r="1785" spans="1:9" x14ac:dyDescent="0.2">
      <c r="A1785" t="str">
        <f>"Ano8"</f>
        <v>Ano8</v>
      </c>
      <c r="B1785" t="s">
        <v>14</v>
      </c>
      <c r="C1785" t="s">
        <v>30</v>
      </c>
      <c r="D1785" t="s">
        <v>11</v>
      </c>
      <c r="E1785" t="s">
        <v>12</v>
      </c>
      <c r="F1785">
        <v>71485954</v>
      </c>
      <c r="G1785">
        <v>71485981</v>
      </c>
      <c r="H1785">
        <v>71485997</v>
      </c>
      <c r="I1785">
        <v>71486035</v>
      </c>
    </row>
    <row r="1786" spans="1:9" x14ac:dyDescent="0.2">
      <c r="A1786" t="str">
        <f>"Ano9"</f>
        <v>Ano9</v>
      </c>
      <c r="B1786" t="s">
        <v>14</v>
      </c>
      <c r="C1786" t="s">
        <v>33</v>
      </c>
      <c r="D1786" t="s">
        <v>11</v>
      </c>
      <c r="E1786" t="s">
        <v>12</v>
      </c>
      <c r="F1786">
        <v>141117772</v>
      </c>
      <c r="G1786">
        <v>141117797</v>
      </c>
      <c r="H1786">
        <v>141117818</v>
      </c>
      <c r="I1786">
        <v>141117821</v>
      </c>
    </row>
    <row r="1787" spans="1:9" x14ac:dyDescent="0.2">
      <c r="A1787" t="str">
        <f>"Anp32a"</f>
        <v>Anp32a</v>
      </c>
      <c r="B1787" t="s">
        <v>14</v>
      </c>
      <c r="C1787" t="s">
        <v>24</v>
      </c>
      <c r="D1787" t="s">
        <v>17</v>
      </c>
      <c r="E1787" t="s">
        <v>12</v>
      </c>
      <c r="F1787">
        <v>62341338</v>
      </c>
      <c r="G1787">
        <v>62341390</v>
      </c>
      <c r="H1787">
        <v>62341393</v>
      </c>
      <c r="I1787">
        <v>62341416</v>
      </c>
    </row>
    <row r="1788" spans="1:9" x14ac:dyDescent="0.2">
      <c r="A1788" t="str">
        <f>"Anp32b"</f>
        <v>Anp32b</v>
      </c>
      <c r="B1788" t="s">
        <v>14</v>
      </c>
      <c r="C1788" t="s">
        <v>23</v>
      </c>
      <c r="D1788" t="s">
        <v>17</v>
      </c>
      <c r="E1788" t="s">
        <v>12</v>
      </c>
      <c r="F1788">
        <v>46450912</v>
      </c>
      <c r="G1788">
        <v>46450994</v>
      </c>
      <c r="H1788">
        <v>46451080</v>
      </c>
      <c r="I1788">
        <v>46451111</v>
      </c>
    </row>
    <row r="1789" spans="1:9" x14ac:dyDescent="0.2">
      <c r="A1789" t="str">
        <f>"Anp32e"</f>
        <v>Anp32e</v>
      </c>
      <c r="B1789" t="s">
        <v>14</v>
      </c>
      <c r="C1789" t="s">
        <v>22</v>
      </c>
      <c r="D1789" t="s">
        <v>17</v>
      </c>
      <c r="E1789" t="s">
        <v>12</v>
      </c>
      <c r="F1789">
        <v>95929279</v>
      </c>
      <c r="G1789">
        <v>95929298</v>
      </c>
      <c r="H1789">
        <v>95929332</v>
      </c>
      <c r="I1789">
        <v>95929343</v>
      </c>
    </row>
    <row r="1790" spans="1:9" x14ac:dyDescent="0.2">
      <c r="A1790" t="str">
        <f>"Anpep"</f>
        <v>Anpep</v>
      </c>
      <c r="B1790" t="s">
        <v>9</v>
      </c>
      <c r="C1790" t="s">
        <v>33</v>
      </c>
      <c r="D1790" t="s">
        <v>11</v>
      </c>
      <c r="E1790" t="s">
        <v>12</v>
      </c>
      <c r="F1790">
        <v>79842287</v>
      </c>
      <c r="G1790">
        <v>79842302</v>
      </c>
      <c r="H1790">
        <v>79842287</v>
      </c>
      <c r="I1790">
        <v>79842302</v>
      </c>
    </row>
    <row r="1791" spans="1:9" x14ac:dyDescent="0.2">
      <c r="A1791" t="str">
        <f>"Anpep"</f>
        <v>Anpep</v>
      </c>
      <c r="B1791" t="s">
        <v>13</v>
      </c>
      <c r="C1791" t="s">
        <v>33</v>
      </c>
      <c r="D1791" t="s">
        <v>11</v>
      </c>
      <c r="E1791" t="s">
        <v>12</v>
      </c>
      <c r="F1791">
        <v>79848191</v>
      </c>
      <c r="G1791">
        <v>79848224</v>
      </c>
      <c r="H1791">
        <v>79848191</v>
      </c>
      <c r="I1791">
        <v>79848224</v>
      </c>
    </row>
    <row r="1792" spans="1:9" x14ac:dyDescent="0.2">
      <c r="A1792" t="str">
        <f>"Antxr1"</f>
        <v>Antxr1</v>
      </c>
      <c r="B1792" t="s">
        <v>14</v>
      </c>
      <c r="C1792" t="s">
        <v>32</v>
      </c>
      <c r="D1792" t="s">
        <v>11</v>
      </c>
      <c r="E1792" t="s">
        <v>12</v>
      </c>
      <c r="F1792">
        <v>87335707</v>
      </c>
      <c r="G1792">
        <v>87335724</v>
      </c>
      <c r="H1792">
        <v>87335727</v>
      </c>
      <c r="I1792">
        <v>87335756</v>
      </c>
    </row>
    <row r="1793" spans="1:9" x14ac:dyDescent="0.2">
      <c r="A1793" t="str">
        <f>"Antxr2"</f>
        <v>Antxr2</v>
      </c>
      <c r="B1793" t="s">
        <v>14</v>
      </c>
      <c r="C1793" t="s">
        <v>46</v>
      </c>
      <c r="D1793" t="s">
        <v>11</v>
      </c>
      <c r="E1793" t="s">
        <v>12</v>
      </c>
      <c r="F1793">
        <v>98030994</v>
      </c>
      <c r="G1793">
        <v>98031038</v>
      </c>
      <c r="H1793">
        <v>98031137</v>
      </c>
      <c r="I1793">
        <v>98031254</v>
      </c>
    </row>
    <row r="1794" spans="1:9" x14ac:dyDescent="0.2">
      <c r="A1794" t="str">
        <f>"Antxrl"</f>
        <v>Antxrl</v>
      </c>
      <c r="B1794" t="s">
        <v>14</v>
      </c>
      <c r="C1794" t="s">
        <v>41</v>
      </c>
      <c r="D1794" t="s">
        <v>17</v>
      </c>
      <c r="E1794" t="s">
        <v>12</v>
      </c>
      <c r="F1794">
        <v>34052683</v>
      </c>
      <c r="G1794">
        <v>34052730</v>
      </c>
      <c r="H1794">
        <v>34053158</v>
      </c>
      <c r="I1794">
        <v>34053176</v>
      </c>
    </row>
    <row r="1795" spans="1:9" x14ac:dyDescent="0.2">
      <c r="A1795" t="str">
        <f>"Anxa1"</f>
        <v>Anxa1</v>
      </c>
      <c r="B1795" t="s">
        <v>14</v>
      </c>
      <c r="C1795" t="s">
        <v>10</v>
      </c>
      <c r="D1795" t="s">
        <v>11</v>
      </c>
      <c r="E1795" t="s">
        <v>12</v>
      </c>
      <c r="F1795">
        <v>20390665</v>
      </c>
      <c r="G1795">
        <v>20390679</v>
      </c>
      <c r="H1795">
        <v>20390665</v>
      </c>
      <c r="I1795">
        <v>20390679</v>
      </c>
    </row>
    <row r="1796" spans="1:9" x14ac:dyDescent="0.2">
      <c r="A1796" t="str">
        <f>"Anxa10"</f>
        <v>Anxa10</v>
      </c>
      <c r="B1796" t="s">
        <v>14</v>
      </c>
      <c r="C1796" t="s">
        <v>30</v>
      </c>
      <c r="D1796" t="s">
        <v>11</v>
      </c>
      <c r="E1796" t="s">
        <v>12</v>
      </c>
      <c r="F1796">
        <v>62123106</v>
      </c>
      <c r="G1796">
        <v>62123123</v>
      </c>
      <c r="H1796">
        <v>62123106</v>
      </c>
      <c r="I1796">
        <v>62123123</v>
      </c>
    </row>
    <row r="1797" spans="1:9" x14ac:dyDescent="0.2">
      <c r="A1797" t="str">
        <f>"Anxa11"</f>
        <v>Anxa11</v>
      </c>
      <c r="B1797" t="s">
        <v>14</v>
      </c>
      <c r="C1797" t="s">
        <v>41</v>
      </c>
      <c r="D1797" t="s">
        <v>17</v>
      </c>
      <c r="E1797" t="s">
        <v>12</v>
      </c>
      <c r="F1797">
        <v>25842174</v>
      </c>
      <c r="G1797">
        <v>25842193</v>
      </c>
      <c r="H1797">
        <v>25842201</v>
      </c>
      <c r="I1797">
        <v>25842222</v>
      </c>
    </row>
    <row r="1798" spans="1:9" x14ac:dyDescent="0.2">
      <c r="A1798" t="str">
        <f>"Anxa13"</f>
        <v>Anxa13</v>
      </c>
      <c r="B1798" t="s">
        <v>14</v>
      </c>
      <c r="C1798" t="s">
        <v>25</v>
      </c>
      <c r="D1798" t="s">
        <v>11</v>
      </c>
      <c r="E1798" t="s">
        <v>12</v>
      </c>
      <c r="F1798">
        <v>58389263</v>
      </c>
      <c r="G1798">
        <v>58389280</v>
      </c>
      <c r="H1798">
        <v>58389263</v>
      </c>
      <c r="I1798">
        <v>58389280</v>
      </c>
    </row>
    <row r="1799" spans="1:9" x14ac:dyDescent="0.2">
      <c r="A1799" t="str">
        <f>"Anxa2"</f>
        <v>Anxa2</v>
      </c>
      <c r="B1799" t="s">
        <v>14</v>
      </c>
      <c r="C1799" t="s">
        <v>24</v>
      </c>
      <c r="D1799" t="s">
        <v>17</v>
      </c>
      <c r="E1799" t="s">
        <v>12</v>
      </c>
      <c r="F1799">
        <v>69453676</v>
      </c>
      <c r="G1799">
        <v>69453704</v>
      </c>
      <c r="H1799">
        <v>69454084</v>
      </c>
      <c r="I1799">
        <v>69454116</v>
      </c>
    </row>
    <row r="1800" spans="1:9" x14ac:dyDescent="0.2">
      <c r="A1800" t="str">
        <f>"Anxa3"</f>
        <v>Anxa3</v>
      </c>
      <c r="B1800" t="s">
        <v>14</v>
      </c>
      <c r="C1800" t="s">
        <v>46</v>
      </c>
      <c r="D1800" t="s">
        <v>17</v>
      </c>
      <c r="E1800" t="s">
        <v>12</v>
      </c>
      <c r="F1800">
        <v>96793453</v>
      </c>
      <c r="G1800">
        <v>96793528</v>
      </c>
      <c r="H1800">
        <v>96793387</v>
      </c>
      <c r="I1800">
        <v>96793404</v>
      </c>
    </row>
    <row r="1801" spans="1:9" x14ac:dyDescent="0.2">
      <c r="A1801" t="str">
        <f>"Anxa4"</f>
        <v>Anxa4</v>
      </c>
      <c r="B1801" t="s">
        <v>14</v>
      </c>
      <c r="C1801" t="s">
        <v>32</v>
      </c>
      <c r="D1801" t="s">
        <v>11</v>
      </c>
      <c r="E1801" t="s">
        <v>12</v>
      </c>
      <c r="F1801">
        <v>86793522</v>
      </c>
      <c r="G1801">
        <v>86793582</v>
      </c>
      <c r="H1801">
        <v>86793522</v>
      </c>
      <c r="I1801">
        <v>86793582</v>
      </c>
    </row>
    <row r="1802" spans="1:9" x14ac:dyDescent="0.2">
      <c r="A1802" t="str">
        <f>"Anxa5"</f>
        <v>Anxa5</v>
      </c>
      <c r="B1802" t="s">
        <v>14</v>
      </c>
      <c r="C1802" t="s">
        <v>22</v>
      </c>
      <c r="D1802" t="s">
        <v>11</v>
      </c>
      <c r="E1802" t="s">
        <v>12</v>
      </c>
      <c r="F1802">
        <v>36475604</v>
      </c>
      <c r="G1802">
        <v>36475675</v>
      </c>
      <c r="H1802">
        <v>36475688</v>
      </c>
      <c r="I1802">
        <v>36475705</v>
      </c>
    </row>
    <row r="1803" spans="1:9" x14ac:dyDescent="0.2">
      <c r="A1803" t="str">
        <f>"Anxa6"</f>
        <v>Anxa6</v>
      </c>
      <c r="B1803" t="s">
        <v>14</v>
      </c>
      <c r="C1803" t="s">
        <v>27</v>
      </c>
      <c r="D1803" t="s">
        <v>11</v>
      </c>
      <c r="E1803" t="s">
        <v>12</v>
      </c>
      <c r="F1803">
        <v>55033398</v>
      </c>
      <c r="G1803">
        <v>55033461</v>
      </c>
      <c r="H1803">
        <v>55033398</v>
      </c>
      <c r="I1803">
        <v>55033461</v>
      </c>
    </row>
    <row r="1804" spans="1:9" x14ac:dyDescent="0.2">
      <c r="A1804" t="str">
        <f>"Anxa7"</f>
        <v>Anxa7</v>
      </c>
      <c r="B1804" t="s">
        <v>14</v>
      </c>
      <c r="C1804" t="s">
        <v>41</v>
      </c>
      <c r="D1804" t="s">
        <v>11</v>
      </c>
      <c r="E1804" t="s">
        <v>12</v>
      </c>
      <c r="F1804">
        <v>20479929</v>
      </c>
      <c r="G1804">
        <v>20479968</v>
      </c>
      <c r="H1804">
        <v>20479862</v>
      </c>
      <c r="I1804">
        <v>20479869</v>
      </c>
    </row>
    <row r="1805" spans="1:9" x14ac:dyDescent="0.2">
      <c r="A1805" t="str">
        <f>"Anxa8"</f>
        <v>Anxa8</v>
      </c>
      <c r="B1805" t="s">
        <v>14</v>
      </c>
      <c r="C1805" t="s">
        <v>41</v>
      </c>
      <c r="D1805" t="s">
        <v>17</v>
      </c>
      <c r="E1805" t="s">
        <v>12</v>
      </c>
      <c r="F1805">
        <v>34086008</v>
      </c>
      <c r="G1805">
        <v>34086026</v>
      </c>
      <c r="H1805">
        <v>34085978</v>
      </c>
      <c r="I1805">
        <v>34086004</v>
      </c>
    </row>
    <row r="1806" spans="1:9" x14ac:dyDescent="0.2">
      <c r="A1806" t="str">
        <f>"Anxa9"</f>
        <v>Anxa9</v>
      </c>
      <c r="B1806" t="s">
        <v>14</v>
      </c>
      <c r="C1806" t="s">
        <v>22</v>
      </c>
      <c r="D1806" t="s">
        <v>11</v>
      </c>
      <c r="E1806" t="s">
        <v>12</v>
      </c>
      <c r="F1806">
        <v>95307132</v>
      </c>
      <c r="G1806">
        <v>95307181</v>
      </c>
      <c r="H1806">
        <v>95307132</v>
      </c>
      <c r="I1806">
        <v>95307181</v>
      </c>
    </row>
    <row r="1807" spans="1:9" x14ac:dyDescent="0.2">
      <c r="A1807" t="str">
        <f>"Aoah"</f>
        <v>Aoah</v>
      </c>
      <c r="B1807" t="s">
        <v>14</v>
      </c>
      <c r="C1807" t="s">
        <v>39</v>
      </c>
      <c r="D1807" t="s">
        <v>17</v>
      </c>
      <c r="E1807" t="s">
        <v>12</v>
      </c>
      <c r="F1807">
        <v>20794128</v>
      </c>
      <c r="G1807">
        <v>20794179</v>
      </c>
      <c r="H1807">
        <v>20794187</v>
      </c>
      <c r="I1807">
        <v>20794204</v>
      </c>
    </row>
    <row r="1808" spans="1:9" x14ac:dyDescent="0.2">
      <c r="A1808" t="str">
        <f>"Aoc1"</f>
        <v>Aoc1</v>
      </c>
      <c r="B1808" t="s">
        <v>9</v>
      </c>
      <c r="C1808" t="s">
        <v>32</v>
      </c>
      <c r="D1808" t="s">
        <v>17</v>
      </c>
      <c r="E1808" t="s">
        <v>67</v>
      </c>
      <c r="F1808">
        <v>48895243</v>
      </c>
      <c r="G1808">
        <v>48895264</v>
      </c>
      <c r="H1808">
        <v>48895243</v>
      </c>
      <c r="I1808">
        <v>48895264</v>
      </c>
    </row>
    <row r="1809" spans="1:9" x14ac:dyDescent="0.2">
      <c r="A1809" t="str">
        <f>"Aoc1"</f>
        <v>Aoc1</v>
      </c>
      <c r="B1809" t="s">
        <v>13</v>
      </c>
      <c r="C1809" t="s">
        <v>32</v>
      </c>
      <c r="D1809" t="s">
        <v>17</v>
      </c>
      <c r="E1809" t="s">
        <v>67</v>
      </c>
      <c r="F1809">
        <v>48904979</v>
      </c>
      <c r="G1809">
        <v>48904991</v>
      </c>
      <c r="H1809">
        <v>48904979</v>
      </c>
      <c r="I1809">
        <v>48904991</v>
      </c>
    </row>
    <row r="1810" spans="1:9" x14ac:dyDescent="0.2">
      <c r="A1810" t="str">
        <f>"Aoc2"</f>
        <v>Aoc2</v>
      </c>
      <c r="B1810" t="s">
        <v>2140</v>
      </c>
      <c r="C1810" t="s">
        <v>27</v>
      </c>
      <c r="D1810" t="s">
        <v>17</v>
      </c>
      <c r="E1810" t="s">
        <v>20</v>
      </c>
      <c r="F1810">
        <v>101325062</v>
      </c>
      <c r="G1810">
        <v>101325062</v>
      </c>
      <c r="H1810">
        <v>101325062</v>
      </c>
      <c r="I1810">
        <v>101325062</v>
      </c>
    </row>
    <row r="1811" spans="1:9" x14ac:dyDescent="0.2">
      <c r="A1811" t="str">
        <f>"Aoc3"</f>
        <v>Aoc3</v>
      </c>
      <c r="B1811" t="s">
        <v>14</v>
      </c>
      <c r="C1811" t="s">
        <v>27</v>
      </c>
      <c r="D1811" t="s">
        <v>17</v>
      </c>
      <c r="E1811" t="s">
        <v>12</v>
      </c>
      <c r="F1811">
        <v>101330832</v>
      </c>
      <c r="G1811">
        <v>101330858</v>
      </c>
      <c r="H1811">
        <v>101330832</v>
      </c>
      <c r="I1811">
        <v>101330858</v>
      </c>
    </row>
    <row r="1812" spans="1:9" x14ac:dyDescent="0.2">
      <c r="A1812" t="str">
        <f>"Aox1"</f>
        <v>Aox1</v>
      </c>
      <c r="B1812" t="s">
        <v>14</v>
      </c>
      <c r="C1812" t="s">
        <v>19</v>
      </c>
      <c r="D1812" t="s">
        <v>17</v>
      </c>
      <c r="E1812" t="s">
        <v>12</v>
      </c>
      <c r="F1812">
        <v>58029955</v>
      </c>
      <c r="G1812">
        <v>58029974</v>
      </c>
      <c r="H1812">
        <v>58029984</v>
      </c>
      <c r="I1812">
        <v>58029997</v>
      </c>
    </row>
    <row r="1813" spans="1:9" x14ac:dyDescent="0.2">
      <c r="A1813" t="str">
        <f>"Aox2"</f>
        <v>Aox2</v>
      </c>
      <c r="B1813" t="s">
        <v>14</v>
      </c>
      <c r="C1813" t="s">
        <v>19</v>
      </c>
      <c r="D1813" t="s">
        <v>17</v>
      </c>
      <c r="E1813" t="s">
        <v>67</v>
      </c>
      <c r="F1813">
        <v>58278309</v>
      </c>
      <c r="G1813">
        <v>58278311</v>
      </c>
      <c r="H1813">
        <v>58278309</v>
      </c>
      <c r="I1813">
        <v>58278311</v>
      </c>
    </row>
    <row r="1814" spans="1:9" x14ac:dyDescent="0.2">
      <c r="A1814" t="str">
        <f>"Aox3"</f>
        <v>Aox3</v>
      </c>
      <c r="B1814" t="s">
        <v>9</v>
      </c>
      <c r="C1814" t="s">
        <v>19</v>
      </c>
      <c r="D1814" t="s">
        <v>17</v>
      </c>
      <c r="E1814" t="s">
        <v>12</v>
      </c>
      <c r="F1814">
        <v>58113166</v>
      </c>
      <c r="G1814">
        <v>58113184</v>
      </c>
      <c r="H1814">
        <v>58113166</v>
      </c>
      <c r="I1814">
        <v>58113184</v>
      </c>
    </row>
    <row r="1815" spans="1:9" x14ac:dyDescent="0.2">
      <c r="A1815" t="str">
        <f>"Aox3"</f>
        <v>Aox3</v>
      </c>
      <c r="B1815" t="s">
        <v>13</v>
      </c>
      <c r="C1815" t="s">
        <v>19</v>
      </c>
      <c r="D1815" t="s">
        <v>17</v>
      </c>
      <c r="E1815" t="s">
        <v>12</v>
      </c>
      <c r="F1815">
        <v>58122228</v>
      </c>
      <c r="G1815">
        <v>58122251</v>
      </c>
      <c r="H1815">
        <v>58122228</v>
      </c>
      <c r="I1815">
        <v>58122251</v>
      </c>
    </row>
    <row r="1816" spans="1:9" x14ac:dyDescent="0.2">
      <c r="A1816" t="str">
        <f>"Aox4"</f>
        <v>Aox4</v>
      </c>
      <c r="B1816" t="s">
        <v>14</v>
      </c>
      <c r="C1816" t="s">
        <v>19</v>
      </c>
      <c r="D1816" t="s">
        <v>17</v>
      </c>
      <c r="E1816" t="s">
        <v>12</v>
      </c>
      <c r="F1816">
        <v>58210443</v>
      </c>
      <c r="G1816">
        <v>58210457</v>
      </c>
      <c r="H1816">
        <v>58210443</v>
      </c>
      <c r="I1816">
        <v>58210457</v>
      </c>
    </row>
    <row r="1817" spans="1:9" x14ac:dyDescent="0.2">
      <c r="A1817" t="str">
        <f>"Ap1ar"</f>
        <v>Ap1ar</v>
      </c>
      <c r="B1817" t="s">
        <v>14</v>
      </c>
      <c r="C1817" t="s">
        <v>22</v>
      </c>
      <c r="D1817" t="s">
        <v>11</v>
      </c>
      <c r="E1817" t="s">
        <v>12</v>
      </c>
      <c r="F1817">
        <v>127837419</v>
      </c>
      <c r="G1817">
        <v>127837505</v>
      </c>
      <c r="H1817">
        <v>127837405</v>
      </c>
      <c r="I1817">
        <v>127837414</v>
      </c>
    </row>
    <row r="1818" spans="1:9" x14ac:dyDescent="0.2">
      <c r="A1818" t="str">
        <f>"Ap1b1"</f>
        <v>Ap1b1</v>
      </c>
      <c r="B1818" t="s">
        <v>14</v>
      </c>
      <c r="C1818" t="s">
        <v>27</v>
      </c>
      <c r="D1818" t="s">
        <v>17</v>
      </c>
      <c r="E1818" t="s">
        <v>12</v>
      </c>
      <c r="F1818">
        <v>4986898</v>
      </c>
      <c r="G1818">
        <v>4986949</v>
      </c>
      <c r="H1818">
        <v>4986950</v>
      </c>
      <c r="I1818">
        <v>4986964</v>
      </c>
    </row>
    <row r="1819" spans="1:9" x14ac:dyDescent="0.2">
      <c r="A1819" t="str">
        <f>"Ap1g1"</f>
        <v>Ap1g1</v>
      </c>
      <c r="B1819" t="s">
        <v>2141</v>
      </c>
      <c r="C1819" t="s">
        <v>30</v>
      </c>
      <c r="D1819" t="s">
        <v>17</v>
      </c>
      <c r="E1819" t="s">
        <v>20</v>
      </c>
      <c r="F1819">
        <v>109863107</v>
      </c>
      <c r="G1819">
        <v>109863107</v>
      </c>
      <c r="H1819">
        <v>109863107</v>
      </c>
      <c r="I1819">
        <v>109863107</v>
      </c>
    </row>
    <row r="1820" spans="1:9" x14ac:dyDescent="0.2">
      <c r="A1820" t="str">
        <f>"Ap1g2"</f>
        <v>Ap1g2</v>
      </c>
      <c r="B1820" t="s">
        <v>14</v>
      </c>
      <c r="C1820" t="s">
        <v>41</v>
      </c>
      <c r="D1820" t="s">
        <v>11</v>
      </c>
      <c r="E1820" t="s">
        <v>12</v>
      </c>
      <c r="F1820">
        <v>55106547</v>
      </c>
      <c r="G1820">
        <v>55106594</v>
      </c>
      <c r="H1820">
        <v>55106521</v>
      </c>
      <c r="I1820">
        <v>55106541</v>
      </c>
    </row>
    <row r="1821" spans="1:9" x14ac:dyDescent="0.2">
      <c r="A1821" t="str">
        <f>"Ap1m1"</f>
        <v>Ap1m1</v>
      </c>
      <c r="B1821" t="s">
        <v>14</v>
      </c>
      <c r="C1821" t="s">
        <v>30</v>
      </c>
      <c r="D1821" t="s">
        <v>17</v>
      </c>
      <c r="E1821" t="s">
        <v>12</v>
      </c>
      <c r="F1821">
        <v>72240052</v>
      </c>
      <c r="G1821">
        <v>72240181</v>
      </c>
      <c r="H1821">
        <v>72240034</v>
      </c>
      <c r="I1821">
        <v>72240045</v>
      </c>
    </row>
    <row r="1822" spans="1:9" x14ac:dyDescent="0.2">
      <c r="A1822" t="str">
        <f>"Ap1m2"</f>
        <v>Ap1m2</v>
      </c>
      <c r="B1822" t="s">
        <v>14</v>
      </c>
      <c r="C1822" t="s">
        <v>24</v>
      </c>
      <c r="D1822" t="s">
        <v>11</v>
      </c>
      <c r="E1822" t="s">
        <v>12</v>
      </c>
      <c r="F1822">
        <v>21312255</v>
      </c>
      <c r="G1822">
        <v>21312332</v>
      </c>
      <c r="H1822">
        <v>21312336</v>
      </c>
      <c r="I1822">
        <v>21312345</v>
      </c>
    </row>
    <row r="1823" spans="1:9" x14ac:dyDescent="0.2">
      <c r="A1823" t="str">
        <f>"Ap1s1"</f>
        <v>Ap1s1</v>
      </c>
      <c r="B1823" t="s">
        <v>14</v>
      </c>
      <c r="C1823" t="s">
        <v>46</v>
      </c>
      <c r="D1823" t="s">
        <v>11</v>
      </c>
      <c r="E1823" t="s">
        <v>12</v>
      </c>
      <c r="F1823">
        <v>137046026</v>
      </c>
      <c r="G1823">
        <v>137046085</v>
      </c>
      <c r="H1823">
        <v>137045542</v>
      </c>
      <c r="I1823">
        <v>137045581</v>
      </c>
    </row>
    <row r="1824" spans="1:9" x14ac:dyDescent="0.2">
      <c r="A1824" t="str">
        <f>"Ap1s2"</f>
        <v>Ap1s2</v>
      </c>
      <c r="B1824" t="s">
        <v>14</v>
      </c>
      <c r="C1824" t="s">
        <v>37</v>
      </c>
      <c r="D1824" t="s">
        <v>17</v>
      </c>
      <c r="E1824" t="s">
        <v>12</v>
      </c>
      <c r="F1824">
        <v>163909132</v>
      </c>
      <c r="G1824">
        <v>163909169</v>
      </c>
      <c r="H1824">
        <v>163909106</v>
      </c>
      <c r="I1824">
        <v>163909128</v>
      </c>
    </row>
    <row r="1825" spans="1:9" x14ac:dyDescent="0.2">
      <c r="A1825" t="str">
        <f>"Ap1s3"</f>
        <v>Ap1s3</v>
      </c>
      <c r="B1825" t="s">
        <v>14</v>
      </c>
      <c r="C1825" t="s">
        <v>19</v>
      </c>
      <c r="D1825" t="s">
        <v>11</v>
      </c>
      <c r="E1825" t="s">
        <v>12</v>
      </c>
      <c r="F1825">
        <v>79671966</v>
      </c>
      <c r="G1825">
        <v>79671993</v>
      </c>
      <c r="H1825">
        <v>79672160</v>
      </c>
      <c r="I1825">
        <v>79672208</v>
      </c>
    </row>
    <row r="1826" spans="1:9" x14ac:dyDescent="0.2">
      <c r="A1826" t="str">
        <f>"Ap2a1"</f>
        <v>Ap2a1</v>
      </c>
      <c r="B1826" t="s">
        <v>14</v>
      </c>
      <c r="C1826" t="s">
        <v>33</v>
      </c>
      <c r="D1826" t="s">
        <v>11</v>
      </c>
      <c r="E1826" t="s">
        <v>12</v>
      </c>
      <c r="F1826">
        <v>44929410</v>
      </c>
      <c r="G1826">
        <v>44929521</v>
      </c>
      <c r="H1826">
        <v>44929391</v>
      </c>
      <c r="I1826">
        <v>44929402</v>
      </c>
    </row>
    <row r="1827" spans="1:9" x14ac:dyDescent="0.2">
      <c r="A1827" t="str">
        <f>"Ap2a2"</f>
        <v>Ap2a2</v>
      </c>
      <c r="B1827" t="s">
        <v>14</v>
      </c>
      <c r="C1827" t="s">
        <v>33</v>
      </c>
      <c r="D1827" t="s">
        <v>17</v>
      </c>
      <c r="E1827" t="s">
        <v>12</v>
      </c>
      <c r="F1827">
        <v>141562193</v>
      </c>
      <c r="G1827">
        <v>141562276</v>
      </c>
      <c r="H1827">
        <v>141562162</v>
      </c>
      <c r="I1827">
        <v>141562192</v>
      </c>
    </row>
    <row r="1828" spans="1:9" x14ac:dyDescent="0.2">
      <c r="A1828" t="str">
        <f>"Ap2b1"</f>
        <v>Ap2b1</v>
      </c>
      <c r="B1828" t="s">
        <v>14</v>
      </c>
      <c r="C1828" t="s">
        <v>27</v>
      </c>
      <c r="D1828" t="s">
        <v>17</v>
      </c>
      <c r="E1828" t="s">
        <v>12</v>
      </c>
      <c r="F1828">
        <v>83302641</v>
      </c>
      <c r="G1828">
        <v>83302803</v>
      </c>
      <c r="H1828">
        <v>83302817</v>
      </c>
      <c r="I1828">
        <v>83302822</v>
      </c>
    </row>
    <row r="1829" spans="1:9" x14ac:dyDescent="0.2">
      <c r="A1829" t="str">
        <f>"Ap2m1"</f>
        <v>Ap2m1</v>
      </c>
      <c r="B1829" t="s">
        <v>14</v>
      </c>
      <c r="C1829" t="s">
        <v>31</v>
      </c>
      <c r="D1829" t="s">
        <v>17</v>
      </c>
      <c r="E1829" t="s">
        <v>12</v>
      </c>
      <c r="F1829">
        <v>20535475</v>
      </c>
      <c r="G1829">
        <v>20535546</v>
      </c>
      <c r="H1829">
        <v>20535460</v>
      </c>
      <c r="I1829">
        <v>20535471</v>
      </c>
    </row>
    <row r="1830" spans="1:9" x14ac:dyDescent="0.2">
      <c r="A1830" t="str">
        <f>"Ap2s1"</f>
        <v>Ap2s1</v>
      </c>
      <c r="B1830" t="s">
        <v>14</v>
      </c>
      <c r="C1830" t="s">
        <v>33</v>
      </c>
      <c r="D1830" t="s">
        <v>17</v>
      </c>
      <c r="E1830" t="s">
        <v>12</v>
      </c>
      <c r="F1830">
        <v>16738436</v>
      </c>
      <c r="G1830">
        <v>16738476</v>
      </c>
      <c r="H1830">
        <v>16738436</v>
      </c>
      <c r="I1830">
        <v>16738476</v>
      </c>
    </row>
    <row r="1831" spans="1:9" x14ac:dyDescent="0.2">
      <c r="A1831" t="str">
        <f>"Ap3b1"</f>
        <v>Ap3b1</v>
      </c>
      <c r="B1831" t="s">
        <v>14</v>
      </c>
      <c r="C1831" t="s">
        <v>39</v>
      </c>
      <c r="D1831" t="s">
        <v>17</v>
      </c>
      <c r="E1831" t="s">
        <v>12</v>
      </c>
      <c r="F1831">
        <v>94358943</v>
      </c>
      <c r="G1831">
        <v>94359055</v>
      </c>
      <c r="H1831">
        <v>94359056</v>
      </c>
      <c r="I1831">
        <v>94359097</v>
      </c>
    </row>
    <row r="1832" spans="1:9" x14ac:dyDescent="0.2">
      <c r="A1832" t="str">
        <f>"Ap3b2"</f>
        <v>Ap3b2</v>
      </c>
      <c r="B1832" t="s">
        <v>14</v>
      </c>
      <c r="C1832" t="s">
        <v>33</v>
      </c>
      <c r="D1832" t="s">
        <v>11</v>
      </c>
      <c r="E1832" t="s">
        <v>12</v>
      </c>
      <c r="F1832">
        <v>81493699</v>
      </c>
      <c r="G1832">
        <v>81493719</v>
      </c>
      <c r="H1832">
        <v>81493883</v>
      </c>
      <c r="I1832">
        <v>81493947</v>
      </c>
    </row>
    <row r="1833" spans="1:9" x14ac:dyDescent="0.2">
      <c r="A1833" t="str">
        <f>"Ap3d1"</f>
        <v>Ap3d1</v>
      </c>
      <c r="B1833" t="s">
        <v>14</v>
      </c>
      <c r="C1833" t="s">
        <v>15</v>
      </c>
      <c r="D1833" t="s">
        <v>11</v>
      </c>
      <c r="E1833" t="s">
        <v>12</v>
      </c>
      <c r="F1833">
        <v>80742222</v>
      </c>
      <c r="G1833">
        <v>80742280</v>
      </c>
      <c r="H1833">
        <v>80742222</v>
      </c>
      <c r="I1833">
        <v>80742280</v>
      </c>
    </row>
    <row r="1834" spans="1:9" x14ac:dyDescent="0.2">
      <c r="A1834" t="str">
        <f>"Ap3m1"</f>
        <v>Ap3m1</v>
      </c>
      <c r="B1834" t="s">
        <v>14</v>
      </c>
      <c r="C1834" t="s">
        <v>41</v>
      </c>
      <c r="D1834" t="s">
        <v>11</v>
      </c>
      <c r="E1834" t="s">
        <v>12</v>
      </c>
      <c r="F1834">
        <v>21052177</v>
      </c>
      <c r="G1834">
        <v>21052225</v>
      </c>
      <c r="H1834">
        <v>21052452</v>
      </c>
      <c r="I1834">
        <v>21052510</v>
      </c>
    </row>
    <row r="1835" spans="1:9" x14ac:dyDescent="0.2">
      <c r="A1835" t="str">
        <f>"Ap3m2"</f>
        <v>Ap3m2</v>
      </c>
      <c r="B1835" t="s">
        <v>14</v>
      </c>
      <c r="C1835" t="s">
        <v>30</v>
      </c>
      <c r="D1835" t="s">
        <v>11</v>
      </c>
      <c r="E1835" t="s">
        <v>12</v>
      </c>
      <c r="F1835">
        <v>22805596</v>
      </c>
      <c r="G1835">
        <v>22805649</v>
      </c>
      <c r="H1835">
        <v>22805596</v>
      </c>
      <c r="I1835">
        <v>22805649</v>
      </c>
    </row>
    <row r="1836" spans="1:9" x14ac:dyDescent="0.2">
      <c r="A1836" t="str">
        <f>"Ap3s1"</f>
        <v>Ap3s1</v>
      </c>
      <c r="B1836" t="s">
        <v>14</v>
      </c>
      <c r="C1836" t="s">
        <v>43</v>
      </c>
      <c r="D1836" t="s">
        <v>17</v>
      </c>
      <c r="E1836" t="s">
        <v>12</v>
      </c>
      <c r="F1836">
        <v>46741903</v>
      </c>
      <c r="G1836">
        <v>46741930</v>
      </c>
      <c r="H1836">
        <v>46741852</v>
      </c>
      <c r="I1836">
        <v>46741900</v>
      </c>
    </row>
    <row r="1837" spans="1:9" x14ac:dyDescent="0.2">
      <c r="A1837" t="str">
        <f>"Ap3s2"</f>
        <v>Ap3s2</v>
      </c>
      <c r="B1837" t="s">
        <v>14</v>
      </c>
      <c r="C1837" t="s">
        <v>33</v>
      </c>
      <c r="D1837" t="s">
        <v>11</v>
      </c>
      <c r="E1837" t="s">
        <v>12</v>
      </c>
      <c r="F1837">
        <v>79920599</v>
      </c>
      <c r="G1837">
        <v>79920658</v>
      </c>
      <c r="H1837">
        <v>79920660</v>
      </c>
      <c r="I1837">
        <v>79920661</v>
      </c>
    </row>
    <row r="1838" spans="1:9" x14ac:dyDescent="0.2">
      <c r="A1838" t="str">
        <f>"Ap4b1"</f>
        <v>Ap4b1</v>
      </c>
      <c r="B1838" t="s">
        <v>14</v>
      </c>
      <c r="C1838" t="s">
        <v>22</v>
      </c>
      <c r="D1838" t="s">
        <v>17</v>
      </c>
      <c r="E1838" t="s">
        <v>12</v>
      </c>
      <c r="F1838">
        <v>103809575</v>
      </c>
      <c r="G1838">
        <v>103809635</v>
      </c>
      <c r="H1838">
        <v>103809502</v>
      </c>
      <c r="I1838">
        <v>103809530</v>
      </c>
    </row>
    <row r="1839" spans="1:9" x14ac:dyDescent="0.2">
      <c r="A1839" t="str">
        <f>"Ap4e1"</f>
        <v>Ap4e1</v>
      </c>
      <c r="B1839" t="s">
        <v>14</v>
      </c>
      <c r="C1839" t="s">
        <v>26</v>
      </c>
      <c r="D1839" t="s">
        <v>17</v>
      </c>
      <c r="E1839" t="s">
        <v>12</v>
      </c>
      <c r="F1839">
        <v>127008711</v>
      </c>
      <c r="G1839">
        <v>127008756</v>
      </c>
      <c r="H1839">
        <v>127008695</v>
      </c>
      <c r="I1839">
        <v>127008702</v>
      </c>
    </row>
    <row r="1840" spans="1:9" x14ac:dyDescent="0.2">
      <c r="A1840" t="str">
        <f>"Ap4m1"</f>
        <v>Ap4m1</v>
      </c>
      <c r="B1840" t="s">
        <v>14</v>
      </c>
      <c r="C1840" t="s">
        <v>46</v>
      </c>
      <c r="D1840" t="s">
        <v>17</v>
      </c>
      <c r="E1840" t="s">
        <v>12</v>
      </c>
      <c r="F1840">
        <v>138172110</v>
      </c>
      <c r="G1840">
        <v>138172132</v>
      </c>
      <c r="H1840">
        <v>138172141</v>
      </c>
      <c r="I1840">
        <v>138172188</v>
      </c>
    </row>
    <row r="1841" spans="1:9" x14ac:dyDescent="0.2">
      <c r="A1841" t="str">
        <f>"Ap4s1"</f>
        <v>Ap4s1</v>
      </c>
      <c r="B1841" t="s">
        <v>14</v>
      </c>
      <c r="C1841" t="s">
        <v>16</v>
      </c>
      <c r="D1841" t="s">
        <v>17</v>
      </c>
      <c r="E1841" t="s">
        <v>12</v>
      </c>
      <c r="F1841">
        <v>51690992</v>
      </c>
      <c r="G1841">
        <v>51691039</v>
      </c>
      <c r="H1841">
        <v>51691200</v>
      </c>
      <c r="I1841">
        <v>51691232</v>
      </c>
    </row>
    <row r="1842" spans="1:9" x14ac:dyDescent="0.2">
      <c r="A1842" t="str">
        <f>"Ap5b1"</f>
        <v>Ap5b1</v>
      </c>
      <c r="B1842" t="s">
        <v>14</v>
      </c>
      <c r="C1842" t="s">
        <v>10</v>
      </c>
      <c r="D1842" t="s">
        <v>17</v>
      </c>
      <c r="E1842" t="s">
        <v>67</v>
      </c>
      <c r="F1842">
        <v>5568002</v>
      </c>
      <c r="G1842">
        <v>5568062</v>
      </c>
      <c r="H1842">
        <v>5568068</v>
      </c>
      <c r="I1842">
        <v>5568084</v>
      </c>
    </row>
    <row r="1843" spans="1:9" x14ac:dyDescent="0.2">
      <c r="A1843" t="str">
        <f>"Ap5m1"</f>
        <v>Ap5m1</v>
      </c>
      <c r="B1843" t="s">
        <v>14</v>
      </c>
      <c r="C1843" t="s">
        <v>41</v>
      </c>
      <c r="D1843" t="s">
        <v>17</v>
      </c>
      <c r="E1843" t="s">
        <v>67</v>
      </c>
      <c r="F1843">
        <v>49066505</v>
      </c>
      <c r="G1843">
        <v>49066587</v>
      </c>
      <c r="H1843">
        <v>49066505</v>
      </c>
      <c r="I1843">
        <v>49066587</v>
      </c>
    </row>
    <row r="1844" spans="1:9" x14ac:dyDescent="0.2">
      <c r="A1844" t="str">
        <f>"Ap5s1"</f>
        <v>Ap5s1</v>
      </c>
      <c r="B1844" t="s">
        <v>14</v>
      </c>
      <c r="C1844" t="s">
        <v>26</v>
      </c>
      <c r="D1844" t="s">
        <v>17</v>
      </c>
      <c r="E1844" t="s">
        <v>67</v>
      </c>
      <c r="F1844">
        <v>131210363</v>
      </c>
      <c r="G1844">
        <v>131210476</v>
      </c>
      <c r="H1844">
        <v>131210501</v>
      </c>
      <c r="I1844">
        <v>131210552</v>
      </c>
    </row>
    <row r="1845" spans="1:9" x14ac:dyDescent="0.2">
      <c r="A1845" t="str">
        <f>"Ap5z1"</f>
        <v>Ap5z1</v>
      </c>
      <c r="B1845" t="s">
        <v>14</v>
      </c>
      <c r="C1845" t="s">
        <v>46</v>
      </c>
      <c r="D1845" t="s">
        <v>17</v>
      </c>
      <c r="E1845" t="s">
        <v>67</v>
      </c>
      <c r="F1845">
        <v>142464018</v>
      </c>
      <c r="G1845">
        <v>142464072</v>
      </c>
      <c r="H1845">
        <v>142463916</v>
      </c>
      <c r="I1845">
        <v>142463935</v>
      </c>
    </row>
    <row r="1846" spans="1:9" x14ac:dyDescent="0.2">
      <c r="A1846" t="str">
        <f>"Apaf1"</f>
        <v>Apaf1</v>
      </c>
      <c r="B1846" t="s">
        <v>14</v>
      </c>
      <c r="C1846" t="s">
        <v>15</v>
      </c>
      <c r="D1846" t="s">
        <v>11</v>
      </c>
      <c r="E1846" t="s">
        <v>12</v>
      </c>
      <c r="F1846">
        <v>91082704</v>
      </c>
      <c r="G1846">
        <v>91082773</v>
      </c>
      <c r="H1846">
        <v>91082683</v>
      </c>
      <c r="I1846">
        <v>91082700</v>
      </c>
    </row>
    <row r="1847" spans="1:9" x14ac:dyDescent="0.2">
      <c r="A1847" t="str">
        <f>"Apba1"</f>
        <v>Apba1</v>
      </c>
      <c r="B1847" t="s">
        <v>14</v>
      </c>
      <c r="C1847" t="s">
        <v>10</v>
      </c>
      <c r="D1847" t="s">
        <v>17</v>
      </c>
      <c r="E1847" t="s">
        <v>12</v>
      </c>
      <c r="F1847">
        <v>23758819</v>
      </c>
      <c r="G1847">
        <v>23758907</v>
      </c>
      <c r="H1847">
        <v>23758792</v>
      </c>
      <c r="I1847">
        <v>23758807</v>
      </c>
    </row>
    <row r="1848" spans="1:9" x14ac:dyDescent="0.2">
      <c r="A1848" t="str">
        <f>"Apba2"</f>
        <v>Apba2</v>
      </c>
      <c r="B1848" t="s">
        <v>14</v>
      </c>
      <c r="C1848" t="s">
        <v>33</v>
      </c>
      <c r="D1848" t="s">
        <v>17</v>
      </c>
      <c r="E1848" t="s">
        <v>12</v>
      </c>
      <c r="F1848">
        <v>64502090</v>
      </c>
      <c r="G1848">
        <v>64502155</v>
      </c>
      <c r="H1848">
        <v>64501650</v>
      </c>
      <c r="I1848">
        <v>64501683</v>
      </c>
    </row>
    <row r="1849" spans="1:9" x14ac:dyDescent="0.2">
      <c r="A1849" t="str">
        <f>"Apba3"</f>
        <v>Apba3</v>
      </c>
      <c r="B1849" t="s">
        <v>14</v>
      </c>
      <c r="C1849" t="s">
        <v>15</v>
      </c>
      <c r="D1849" t="s">
        <v>17</v>
      </c>
      <c r="E1849" t="s">
        <v>12</v>
      </c>
      <c r="F1849">
        <v>81268207</v>
      </c>
      <c r="G1849">
        <v>81268270</v>
      </c>
      <c r="H1849">
        <v>81268176</v>
      </c>
      <c r="I1849">
        <v>81268205</v>
      </c>
    </row>
    <row r="1850" spans="1:9" x14ac:dyDescent="0.2">
      <c r="A1850" t="str">
        <f>"Apbb1"</f>
        <v>Apbb1</v>
      </c>
      <c r="B1850" t="s">
        <v>14</v>
      </c>
      <c r="C1850" t="s">
        <v>33</v>
      </c>
      <c r="D1850" t="s">
        <v>11</v>
      </c>
      <c r="E1850" t="s">
        <v>12</v>
      </c>
      <c r="F1850">
        <v>105581200</v>
      </c>
      <c r="G1850">
        <v>105581271</v>
      </c>
      <c r="H1850">
        <v>105581501</v>
      </c>
      <c r="I1850">
        <v>105581569</v>
      </c>
    </row>
    <row r="1851" spans="1:9" x14ac:dyDescent="0.2">
      <c r="A1851" t="str">
        <f>"Apbb1ip"</f>
        <v>Apbb1ip</v>
      </c>
      <c r="B1851" t="s">
        <v>14</v>
      </c>
      <c r="C1851" t="s">
        <v>26</v>
      </c>
      <c r="D1851" t="s">
        <v>17</v>
      </c>
      <c r="E1851" t="s">
        <v>12</v>
      </c>
      <c r="F1851">
        <v>22774373</v>
      </c>
      <c r="G1851">
        <v>22774424</v>
      </c>
      <c r="H1851">
        <v>22774432</v>
      </c>
      <c r="I1851">
        <v>22774472</v>
      </c>
    </row>
    <row r="1852" spans="1:9" x14ac:dyDescent="0.2">
      <c r="A1852" t="str">
        <f>"Apbb2"</f>
        <v>Apbb2</v>
      </c>
      <c r="B1852" t="s">
        <v>14</v>
      </c>
      <c r="C1852" t="s">
        <v>46</v>
      </c>
      <c r="D1852" t="s">
        <v>11</v>
      </c>
      <c r="E1852" t="s">
        <v>12</v>
      </c>
      <c r="F1852">
        <v>66618636</v>
      </c>
      <c r="G1852">
        <v>66618711</v>
      </c>
      <c r="H1852">
        <v>66618772</v>
      </c>
      <c r="I1852">
        <v>66618807</v>
      </c>
    </row>
    <row r="1853" spans="1:9" x14ac:dyDescent="0.2">
      <c r="A1853" t="str">
        <f>"Apbb3"</f>
        <v>Apbb3</v>
      </c>
      <c r="B1853" t="s">
        <v>14</v>
      </c>
      <c r="C1853" t="s">
        <v>43</v>
      </c>
      <c r="D1853" t="s">
        <v>11</v>
      </c>
      <c r="E1853" t="s">
        <v>12</v>
      </c>
      <c r="F1853">
        <v>36679285</v>
      </c>
      <c r="G1853">
        <v>36679349</v>
      </c>
      <c r="H1853">
        <v>36679470</v>
      </c>
      <c r="I1853">
        <v>36679497</v>
      </c>
    </row>
    <row r="1854" spans="1:9" x14ac:dyDescent="0.2">
      <c r="A1854" t="str">
        <f>"Apc"</f>
        <v>Apc</v>
      </c>
      <c r="B1854" t="s">
        <v>9</v>
      </c>
      <c r="C1854" t="s">
        <v>43</v>
      </c>
      <c r="D1854" t="s">
        <v>17</v>
      </c>
      <c r="E1854" t="s">
        <v>12</v>
      </c>
      <c r="F1854">
        <v>34220890</v>
      </c>
      <c r="G1854">
        <v>34220931</v>
      </c>
      <c r="H1854">
        <v>34220890</v>
      </c>
      <c r="I1854">
        <v>34220931</v>
      </c>
    </row>
    <row r="1855" spans="1:9" x14ac:dyDescent="0.2">
      <c r="A1855" t="str">
        <f>"Apc"</f>
        <v>Apc</v>
      </c>
      <c r="B1855" t="s">
        <v>13</v>
      </c>
      <c r="C1855" t="s">
        <v>43</v>
      </c>
      <c r="D1855" t="s">
        <v>17</v>
      </c>
      <c r="E1855" t="s">
        <v>12</v>
      </c>
      <c r="F1855">
        <v>34247685</v>
      </c>
      <c r="G1855">
        <v>34247704</v>
      </c>
      <c r="H1855">
        <v>34247685</v>
      </c>
      <c r="I1855">
        <v>34247704</v>
      </c>
    </row>
    <row r="1856" spans="1:9" x14ac:dyDescent="0.2">
      <c r="A1856" t="str">
        <f>"Apc2"</f>
        <v>Apc2</v>
      </c>
      <c r="B1856" t="s">
        <v>9</v>
      </c>
      <c r="C1856" t="s">
        <v>15</v>
      </c>
      <c r="D1856" t="s">
        <v>17</v>
      </c>
      <c r="E1856" t="s">
        <v>12</v>
      </c>
      <c r="F1856">
        <v>80300997</v>
      </c>
      <c r="G1856">
        <v>80301050</v>
      </c>
      <c r="H1856">
        <v>80300997</v>
      </c>
      <c r="I1856">
        <v>80301050</v>
      </c>
    </row>
    <row r="1857" spans="1:9" x14ac:dyDescent="0.2">
      <c r="A1857" t="str">
        <f>"Apc2"</f>
        <v>Apc2</v>
      </c>
      <c r="B1857" t="s">
        <v>13</v>
      </c>
      <c r="C1857" t="s">
        <v>15</v>
      </c>
      <c r="D1857" t="s">
        <v>17</v>
      </c>
      <c r="E1857" t="s">
        <v>12</v>
      </c>
      <c r="F1857">
        <v>80299084</v>
      </c>
      <c r="G1857">
        <v>80299126</v>
      </c>
      <c r="H1857">
        <v>80299084</v>
      </c>
      <c r="I1857">
        <v>80299126</v>
      </c>
    </row>
    <row r="1858" spans="1:9" x14ac:dyDescent="0.2">
      <c r="A1858" t="str">
        <f>"Apcdd1"</f>
        <v>Apcdd1</v>
      </c>
      <c r="B1858" t="s">
        <v>14</v>
      </c>
      <c r="C1858" t="s">
        <v>43</v>
      </c>
      <c r="D1858" t="s">
        <v>17</v>
      </c>
      <c r="E1858" t="s">
        <v>12</v>
      </c>
      <c r="F1858">
        <v>62922317</v>
      </c>
      <c r="G1858">
        <v>62922339</v>
      </c>
      <c r="H1858">
        <v>62922290</v>
      </c>
      <c r="I1858">
        <v>62922308</v>
      </c>
    </row>
    <row r="1859" spans="1:9" x14ac:dyDescent="0.2">
      <c r="A1859" t="str">
        <f>"Apcs"</f>
        <v>Apcs</v>
      </c>
      <c r="B1859" t="s">
        <v>14</v>
      </c>
      <c r="C1859" t="s">
        <v>19</v>
      </c>
      <c r="D1859" t="s">
        <v>11</v>
      </c>
      <c r="E1859" t="s">
        <v>12</v>
      </c>
      <c r="F1859">
        <v>172894925</v>
      </c>
      <c r="G1859">
        <v>172894958</v>
      </c>
      <c r="H1859">
        <v>172895048</v>
      </c>
      <c r="I1859">
        <v>172895063</v>
      </c>
    </row>
    <row r="1860" spans="1:9" x14ac:dyDescent="0.2">
      <c r="A1860" t="str">
        <f>"Apeh"</f>
        <v>Apeh</v>
      </c>
      <c r="B1860" t="s">
        <v>14</v>
      </c>
      <c r="C1860" t="s">
        <v>24</v>
      </c>
      <c r="D1860" t="s">
        <v>11</v>
      </c>
      <c r="E1860" t="s">
        <v>12</v>
      </c>
      <c r="F1860">
        <v>108094459</v>
      </c>
      <c r="G1860">
        <v>108094487</v>
      </c>
      <c r="H1860">
        <v>108094527</v>
      </c>
      <c r="I1860">
        <v>108094542</v>
      </c>
    </row>
    <row r="1861" spans="1:9" x14ac:dyDescent="0.2">
      <c r="A1861" t="str">
        <f>"Apex1"</f>
        <v>Apex1</v>
      </c>
      <c r="B1861" t="s">
        <v>14</v>
      </c>
      <c r="C1861" t="s">
        <v>41</v>
      </c>
      <c r="D1861" t="s">
        <v>17</v>
      </c>
      <c r="E1861" t="s">
        <v>12</v>
      </c>
      <c r="F1861">
        <v>50924971</v>
      </c>
      <c r="G1861">
        <v>50925004</v>
      </c>
      <c r="H1861">
        <v>50924949</v>
      </c>
      <c r="I1861">
        <v>50924965</v>
      </c>
    </row>
    <row r="1862" spans="1:9" x14ac:dyDescent="0.2">
      <c r="A1862" t="str">
        <f>"Apex2"</f>
        <v>Apex2</v>
      </c>
      <c r="B1862" t="s">
        <v>14</v>
      </c>
      <c r="C1862" t="s">
        <v>37</v>
      </c>
      <c r="D1862" t="s">
        <v>11</v>
      </c>
      <c r="E1862" t="s">
        <v>12</v>
      </c>
      <c r="F1862">
        <v>150588073</v>
      </c>
      <c r="G1862">
        <v>150588153</v>
      </c>
      <c r="H1862">
        <v>150588180</v>
      </c>
      <c r="I1862">
        <v>150588189</v>
      </c>
    </row>
    <row r="1863" spans="1:9" x14ac:dyDescent="0.2">
      <c r="A1863" t="str">
        <f>"Aph1a"</f>
        <v>Aph1a</v>
      </c>
      <c r="B1863" t="s">
        <v>14</v>
      </c>
      <c r="C1863" t="s">
        <v>22</v>
      </c>
      <c r="D1863" t="s">
        <v>17</v>
      </c>
      <c r="E1863" t="s">
        <v>12</v>
      </c>
      <c r="F1863">
        <v>95893953</v>
      </c>
      <c r="G1863">
        <v>95893974</v>
      </c>
      <c r="H1863">
        <v>95893920</v>
      </c>
      <c r="I1863">
        <v>95893933</v>
      </c>
    </row>
    <row r="1864" spans="1:9" x14ac:dyDescent="0.2">
      <c r="A1864" t="str">
        <f>"Aph1b"</f>
        <v>Aph1b</v>
      </c>
      <c r="B1864" t="s">
        <v>14</v>
      </c>
      <c r="C1864" t="s">
        <v>24</v>
      </c>
      <c r="D1864" t="s">
        <v>11</v>
      </c>
      <c r="E1864" t="s">
        <v>12</v>
      </c>
      <c r="F1864">
        <v>66795331</v>
      </c>
      <c r="G1864">
        <v>66795411</v>
      </c>
      <c r="H1864">
        <v>66795469</v>
      </c>
      <c r="I1864">
        <v>66795521</v>
      </c>
    </row>
    <row r="1865" spans="1:9" x14ac:dyDescent="0.2">
      <c r="A1865" t="str">
        <f>"Aph1c"</f>
        <v>Aph1c</v>
      </c>
      <c r="B1865" t="s">
        <v>14</v>
      </c>
      <c r="C1865" t="s">
        <v>24</v>
      </c>
      <c r="D1865" t="s">
        <v>11</v>
      </c>
      <c r="E1865" t="s">
        <v>12</v>
      </c>
      <c r="F1865">
        <v>66834659</v>
      </c>
      <c r="G1865">
        <v>66834677</v>
      </c>
      <c r="H1865">
        <v>66834693</v>
      </c>
      <c r="I1865">
        <v>66834744</v>
      </c>
    </row>
    <row r="1866" spans="1:9" x14ac:dyDescent="0.2">
      <c r="A1866" t="str">
        <f>"Api5"</f>
        <v>Api5</v>
      </c>
      <c r="B1866" t="s">
        <v>14</v>
      </c>
      <c r="C1866" t="s">
        <v>26</v>
      </c>
      <c r="D1866" t="s">
        <v>11</v>
      </c>
      <c r="E1866" t="s">
        <v>12</v>
      </c>
      <c r="F1866">
        <v>94438081</v>
      </c>
      <c r="G1866">
        <v>94438161</v>
      </c>
      <c r="H1866">
        <v>94438061</v>
      </c>
      <c r="I1866">
        <v>94438075</v>
      </c>
    </row>
    <row r="1867" spans="1:9" x14ac:dyDescent="0.2">
      <c r="A1867" t="str">
        <f>"Apip"</f>
        <v>Apip</v>
      </c>
      <c r="B1867" t="s">
        <v>14</v>
      </c>
      <c r="C1867" t="s">
        <v>26</v>
      </c>
      <c r="D1867" t="s">
        <v>17</v>
      </c>
      <c r="E1867" t="s">
        <v>12</v>
      </c>
      <c r="F1867">
        <v>103073669</v>
      </c>
      <c r="G1867">
        <v>103073755</v>
      </c>
      <c r="H1867">
        <v>103073764</v>
      </c>
      <c r="I1867">
        <v>103073788</v>
      </c>
    </row>
    <row r="1868" spans="1:9" x14ac:dyDescent="0.2">
      <c r="A1868" t="str">
        <f>"Apitd1"</f>
        <v>Apitd1</v>
      </c>
      <c r="B1868" t="s">
        <v>14</v>
      </c>
      <c r="C1868" t="s">
        <v>23</v>
      </c>
      <c r="D1868" t="s">
        <v>11</v>
      </c>
      <c r="E1868" t="s">
        <v>12</v>
      </c>
      <c r="F1868">
        <v>149137536</v>
      </c>
      <c r="G1868">
        <v>149137595</v>
      </c>
      <c r="H1868">
        <v>149137600</v>
      </c>
      <c r="I1868">
        <v>149137625</v>
      </c>
    </row>
    <row r="1869" spans="1:9" x14ac:dyDescent="0.2">
      <c r="A1869" t="str">
        <f>"Aplf"</f>
        <v>Aplf</v>
      </c>
      <c r="B1869" t="s">
        <v>14</v>
      </c>
      <c r="C1869" t="s">
        <v>32</v>
      </c>
      <c r="D1869" t="s">
        <v>11</v>
      </c>
      <c r="E1869" t="s">
        <v>12</v>
      </c>
      <c r="F1869">
        <v>87672142</v>
      </c>
      <c r="G1869">
        <v>87672179</v>
      </c>
      <c r="H1869">
        <v>87672121</v>
      </c>
      <c r="I1869">
        <v>87672138</v>
      </c>
    </row>
    <row r="1870" spans="1:9" x14ac:dyDescent="0.2">
      <c r="A1870" t="str">
        <f>"Apln"</f>
        <v>Apln</v>
      </c>
      <c r="B1870" t="s">
        <v>14</v>
      </c>
      <c r="C1870" t="s">
        <v>37</v>
      </c>
      <c r="D1870" t="s">
        <v>11</v>
      </c>
      <c r="E1870" t="s">
        <v>12</v>
      </c>
      <c r="F1870">
        <v>48034842</v>
      </c>
      <c r="G1870">
        <v>48034858</v>
      </c>
      <c r="H1870">
        <v>48034842</v>
      </c>
      <c r="I1870">
        <v>48034858</v>
      </c>
    </row>
    <row r="1871" spans="1:9" x14ac:dyDescent="0.2">
      <c r="A1871" t="str">
        <f>"Aplnr"</f>
        <v>Aplnr</v>
      </c>
      <c r="B1871" t="s">
        <v>14</v>
      </c>
      <c r="C1871" t="s">
        <v>26</v>
      </c>
      <c r="D1871" t="s">
        <v>17</v>
      </c>
      <c r="E1871" t="s">
        <v>12</v>
      </c>
      <c r="F1871">
        <v>85136374</v>
      </c>
      <c r="G1871">
        <v>85136439</v>
      </c>
      <c r="H1871">
        <v>85136355</v>
      </c>
      <c r="I1871">
        <v>85136371</v>
      </c>
    </row>
    <row r="1872" spans="1:9" x14ac:dyDescent="0.2">
      <c r="A1872" t="str">
        <f>"Aplp1"</f>
        <v>Aplp1</v>
      </c>
      <c r="B1872" t="s">
        <v>14</v>
      </c>
      <c r="C1872" t="s">
        <v>33</v>
      </c>
      <c r="D1872" t="s">
        <v>11</v>
      </c>
      <c r="E1872" t="s">
        <v>12</v>
      </c>
      <c r="F1872">
        <v>30445508</v>
      </c>
      <c r="G1872">
        <v>30445591</v>
      </c>
      <c r="H1872">
        <v>30445462</v>
      </c>
      <c r="I1872">
        <v>30445494</v>
      </c>
    </row>
    <row r="1873" spans="1:9" x14ac:dyDescent="0.2">
      <c r="A1873" t="str">
        <f>"Aplp2"</f>
        <v>Aplp2</v>
      </c>
      <c r="B1873" t="s">
        <v>14</v>
      </c>
      <c r="C1873" t="s">
        <v>24</v>
      </c>
      <c r="D1873" t="s">
        <v>11</v>
      </c>
      <c r="E1873" t="s">
        <v>12</v>
      </c>
      <c r="F1873">
        <v>31211805</v>
      </c>
      <c r="G1873">
        <v>31211824</v>
      </c>
      <c r="H1873">
        <v>31211805</v>
      </c>
      <c r="I1873">
        <v>31211824</v>
      </c>
    </row>
    <row r="1874" spans="1:9" x14ac:dyDescent="0.2">
      <c r="A1874" t="str">
        <f>"Apmap"</f>
        <v>Apmap</v>
      </c>
      <c r="B1874" t="s">
        <v>14</v>
      </c>
      <c r="C1874" t="s">
        <v>26</v>
      </c>
      <c r="D1874" t="s">
        <v>11</v>
      </c>
      <c r="E1874" t="s">
        <v>67</v>
      </c>
      <c r="F1874">
        <v>150608502</v>
      </c>
      <c r="G1874">
        <v>150608561</v>
      </c>
      <c r="H1874">
        <v>150608502</v>
      </c>
      <c r="I1874">
        <v>150608561</v>
      </c>
    </row>
    <row r="1875" spans="1:9" x14ac:dyDescent="0.2">
      <c r="A1875" t="str">
        <f>"Apoa1"</f>
        <v>Apoa1</v>
      </c>
      <c r="B1875" t="s">
        <v>14</v>
      </c>
      <c r="C1875" t="s">
        <v>24</v>
      </c>
      <c r="D1875" t="s">
        <v>17</v>
      </c>
      <c r="E1875" t="s">
        <v>12</v>
      </c>
      <c r="F1875">
        <v>46228701</v>
      </c>
      <c r="G1875">
        <v>46228714</v>
      </c>
      <c r="H1875">
        <v>46228701</v>
      </c>
      <c r="I1875">
        <v>46228714</v>
      </c>
    </row>
    <row r="1876" spans="1:9" x14ac:dyDescent="0.2">
      <c r="A1876" t="str">
        <f>"Apoa1bp"</f>
        <v>Apoa1bp</v>
      </c>
      <c r="B1876" t="s">
        <v>14</v>
      </c>
      <c r="C1876" t="s">
        <v>22</v>
      </c>
      <c r="D1876" t="s">
        <v>11</v>
      </c>
      <c r="E1876" t="s">
        <v>12</v>
      </c>
      <c r="F1876">
        <v>88058446</v>
      </c>
      <c r="G1876">
        <v>88058535</v>
      </c>
      <c r="H1876">
        <v>88058446</v>
      </c>
      <c r="I1876">
        <v>88058535</v>
      </c>
    </row>
    <row r="1877" spans="1:9" x14ac:dyDescent="0.2">
      <c r="A1877" t="str">
        <f>"Apoa2"</f>
        <v>Apoa2</v>
      </c>
      <c r="B1877" t="s">
        <v>14</v>
      </c>
      <c r="C1877" t="s">
        <v>19</v>
      </c>
      <c r="D1877" t="s">
        <v>17</v>
      </c>
      <c r="E1877" t="s">
        <v>12</v>
      </c>
      <c r="F1877">
        <v>171225077</v>
      </c>
      <c r="G1877">
        <v>171225100</v>
      </c>
      <c r="H1877">
        <v>171225003</v>
      </c>
      <c r="I1877">
        <v>171225017</v>
      </c>
    </row>
    <row r="1878" spans="1:9" x14ac:dyDescent="0.2">
      <c r="A1878" t="str">
        <f>"Apoa4"</f>
        <v>Apoa4</v>
      </c>
      <c r="B1878" t="s">
        <v>14</v>
      </c>
      <c r="C1878" t="s">
        <v>24</v>
      </c>
      <c r="D1878" t="s">
        <v>17</v>
      </c>
      <c r="E1878" t="s">
        <v>12</v>
      </c>
      <c r="F1878">
        <v>46241052</v>
      </c>
      <c r="G1878">
        <v>46241068</v>
      </c>
      <c r="H1878">
        <v>46241052</v>
      </c>
      <c r="I1878">
        <v>46241068</v>
      </c>
    </row>
    <row r="1879" spans="1:9" x14ac:dyDescent="0.2">
      <c r="A1879" t="str">
        <f>"Apoa5"</f>
        <v>Apoa5</v>
      </c>
      <c r="B1879" t="s">
        <v>14</v>
      </c>
      <c r="C1879" t="s">
        <v>24</v>
      </c>
      <c r="D1879" t="s">
        <v>17</v>
      </c>
      <c r="E1879" t="s">
        <v>12</v>
      </c>
      <c r="F1879">
        <v>46268601</v>
      </c>
      <c r="G1879">
        <v>46268619</v>
      </c>
      <c r="H1879">
        <v>46269069</v>
      </c>
      <c r="I1879">
        <v>46269084</v>
      </c>
    </row>
    <row r="1880" spans="1:9" x14ac:dyDescent="0.2">
      <c r="A1880" t="str">
        <f>"Apob"</f>
        <v>Apob</v>
      </c>
      <c r="B1880" t="s">
        <v>14</v>
      </c>
      <c r="C1880" t="s">
        <v>16</v>
      </c>
      <c r="D1880" t="s">
        <v>17</v>
      </c>
      <c r="E1880" t="s">
        <v>12</v>
      </c>
      <c r="F1880">
        <v>7977640</v>
      </c>
      <c r="G1880">
        <v>7977654</v>
      </c>
      <c r="H1880">
        <v>7977640</v>
      </c>
      <c r="I1880">
        <v>7977654</v>
      </c>
    </row>
    <row r="1881" spans="1:9" x14ac:dyDescent="0.2">
      <c r="A1881" t="str">
        <f>"Apobec1"</f>
        <v>Apobec1</v>
      </c>
      <c r="B1881" t="s">
        <v>14</v>
      </c>
      <c r="C1881" t="s">
        <v>32</v>
      </c>
      <c r="D1881" t="s">
        <v>11</v>
      </c>
      <c r="E1881" t="s">
        <v>12</v>
      </c>
      <c r="F1881">
        <v>122602345</v>
      </c>
      <c r="G1881">
        <v>122602400</v>
      </c>
      <c r="H1881">
        <v>122602313</v>
      </c>
      <c r="I1881">
        <v>122602344</v>
      </c>
    </row>
    <row r="1882" spans="1:9" x14ac:dyDescent="0.2">
      <c r="A1882" t="str">
        <f>"Apobec2"</f>
        <v>Apobec2</v>
      </c>
      <c r="B1882" t="s">
        <v>14</v>
      </c>
      <c r="C1882" t="s">
        <v>28</v>
      </c>
      <c r="D1882" t="s">
        <v>11</v>
      </c>
      <c r="E1882" t="s">
        <v>12</v>
      </c>
      <c r="F1882">
        <v>48432723</v>
      </c>
      <c r="G1882">
        <v>48432741</v>
      </c>
      <c r="H1882">
        <v>48432723</v>
      </c>
      <c r="I1882">
        <v>48432741</v>
      </c>
    </row>
    <row r="1883" spans="1:9" x14ac:dyDescent="0.2">
      <c r="A1883" t="str">
        <f>"Apobec3"</f>
        <v>Apobec3</v>
      </c>
      <c r="B1883" t="s">
        <v>14</v>
      </c>
      <c r="C1883" t="s">
        <v>25</v>
      </c>
      <c r="D1883" t="s">
        <v>17</v>
      </c>
      <c r="E1883" t="s">
        <v>12</v>
      </c>
      <c r="F1883">
        <v>79892436</v>
      </c>
      <c r="G1883">
        <v>79892482</v>
      </c>
      <c r="H1883">
        <v>79892397</v>
      </c>
      <c r="I1883">
        <v>79892435</v>
      </c>
    </row>
    <row r="1884" spans="1:9" x14ac:dyDescent="0.2">
      <c r="A1884" t="str">
        <f>"Apobec4"</f>
        <v>Apobec4</v>
      </c>
      <c r="B1884" t="s">
        <v>14</v>
      </c>
      <c r="C1884" t="s">
        <v>19</v>
      </c>
      <c r="D1884" t="s">
        <v>17</v>
      </c>
      <c r="E1884" t="s">
        <v>12</v>
      </c>
      <c r="F1884">
        <v>152750527</v>
      </c>
      <c r="G1884">
        <v>152750553</v>
      </c>
      <c r="H1884">
        <v>152750554</v>
      </c>
      <c r="I1884">
        <v>152750564</v>
      </c>
    </row>
    <row r="1885" spans="1:9" x14ac:dyDescent="0.2">
      <c r="A1885" t="str">
        <f>"Apobr"</f>
        <v>Apobr</v>
      </c>
      <c r="B1885" t="s">
        <v>14</v>
      </c>
      <c r="C1885" t="s">
        <v>33</v>
      </c>
      <c r="D1885" t="s">
        <v>17</v>
      </c>
      <c r="E1885" t="s">
        <v>12</v>
      </c>
      <c r="F1885">
        <v>126584968</v>
      </c>
      <c r="G1885">
        <v>126584988</v>
      </c>
      <c r="H1885">
        <v>126584948</v>
      </c>
      <c r="I1885">
        <v>126584953</v>
      </c>
    </row>
    <row r="1886" spans="1:9" x14ac:dyDescent="0.2">
      <c r="A1886" t="str">
        <f>"Apoc1"</f>
        <v>Apoc1</v>
      </c>
      <c r="B1886" t="s">
        <v>14</v>
      </c>
      <c r="C1886" t="s">
        <v>33</v>
      </c>
      <c r="D1886" t="s">
        <v>11</v>
      </c>
      <c r="E1886" t="s">
        <v>12</v>
      </c>
      <c r="F1886">
        <v>19692629</v>
      </c>
      <c r="G1886">
        <v>19692648</v>
      </c>
      <c r="H1886">
        <v>19692451</v>
      </c>
      <c r="I1886">
        <v>19692471</v>
      </c>
    </row>
    <row r="1887" spans="1:9" x14ac:dyDescent="0.2">
      <c r="A1887" t="str">
        <f>"Apoc2"</f>
        <v>Apoc2</v>
      </c>
      <c r="B1887" t="s">
        <v>9</v>
      </c>
      <c r="C1887" t="s">
        <v>33</v>
      </c>
      <c r="D1887" t="s">
        <v>11</v>
      </c>
      <c r="E1887" t="s">
        <v>12</v>
      </c>
      <c r="F1887">
        <v>19676749</v>
      </c>
      <c r="G1887">
        <v>19676767</v>
      </c>
      <c r="H1887">
        <v>19676749</v>
      </c>
      <c r="I1887">
        <v>19676767</v>
      </c>
    </row>
    <row r="1888" spans="1:9" x14ac:dyDescent="0.2">
      <c r="A1888" t="str">
        <f>"Apoc2"</f>
        <v>Apoc2</v>
      </c>
      <c r="B1888" t="s">
        <v>13</v>
      </c>
      <c r="C1888" t="s">
        <v>33</v>
      </c>
      <c r="D1888" t="s">
        <v>11</v>
      </c>
      <c r="E1888" t="s">
        <v>12</v>
      </c>
      <c r="F1888">
        <v>19681396</v>
      </c>
      <c r="G1888">
        <v>19681467</v>
      </c>
      <c r="H1888">
        <v>19681396</v>
      </c>
      <c r="I1888">
        <v>19681467</v>
      </c>
    </row>
    <row r="1889" spans="1:9" x14ac:dyDescent="0.2">
      <c r="A1889" t="str">
        <f>"Apoc3"</f>
        <v>Apoc3</v>
      </c>
      <c r="B1889" t="s">
        <v>14</v>
      </c>
      <c r="C1889" t="s">
        <v>24</v>
      </c>
      <c r="D1889" t="s">
        <v>11</v>
      </c>
      <c r="E1889" t="s">
        <v>12</v>
      </c>
      <c r="F1889">
        <v>46235289</v>
      </c>
      <c r="G1889">
        <v>46235306</v>
      </c>
      <c r="H1889">
        <v>46235631</v>
      </c>
      <c r="I1889">
        <v>46235665</v>
      </c>
    </row>
    <row r="1890" spans="1:9" x14ac:dyDescent="0.2">
      <c r="A1890" t="str">
        <f>"Apoc4"</f>
        <v>Apoc4</v>
      </c>
      <c r="B1890" t="s">
        <v>14</v>
      </c>
      <c r="C1890" t="s">
        <v>33</v>
      </c>
      <c r="D1890" t="s">
        <v>11</v>
      </c>
      <c r="E1890" t="s">
        <v>12</v>
      </c>
      <c r="F1890">
        <v>19681396</v>
      </c>
      <c r="G1890">
        <v>19681467</v>
      </c>
      <c r="H1890">
        <v>19681396</v>
      </c>
      <c r="I1890">
        <v>19681467</v>
      </c>
    </row>
    <row r="1891" spans="1:9" x14ac:dyDescent="0.2">
      <c r="A1891" t="str">
        <f>"Apod"</f>
        <v>Apod</v>
      </c>
      <c r="B1891" t="s">
        <v>14</v>
      </c>
      <c r="C1891" t="s">
        <v>31</v>
      </c>
      <c r="D1891" t="s">
        <v>11</v>
      </c>
      <c r="E1891" t="s">
        <v>12</v>
      </c>
      <c r="F1891">
        <v>31314586</v>
      </c>
      <c r="G1891">
        <v>31314605</v>
      </c>
      <c r="H1891">
        <v>31314586</v>
      </c>
      <c r="I1891">
        <v>31314605</v>
      </c>
    </row>
    <row r="1892" spans="1:9" x14ac:dyDescent="0.2">
      <c r="A1892" t="str">
        <f>"Apoe"</f>
        <v>Apoe</v>
      </c>
      <c r="B1892" t="s">
        <v>14</v>
      </c>
      <c r="C1892" t="s">
        <v>33</v>
      </c>
      <c r="D1892" t="s">
        <v>11</v>
      </c>
      <c r="E1892" t="s">
        <v>12</v>
      </c>
      <c r="F1892">
        <v>19699045</v>
      </c>
      <c r="G1892">
        <v>19699063</v>
      </c>
      <c r="H1892">
        <v>19698206</v>
      </c>
      <c r="I1892">
        <v>19698261</v>
      </c>
    </row>
    <row r="1893" spans="1:9" x14ac:dyDescent="0.2">
      <c r="A1893" t="str">
        <f>"Apof"</f>
        <v>Apof</v>
      </c>
      <c r="B1893" t="s">
        <v>2142</v>
      </c>
      <c r="C1893" t="s">
        <v>15</v>
      </c>
      <c r="D1893" t="s">
        <v>17</v>
      </c>
      <c r="E1893" t="s">
        <v>20</v>
      </c>
      <c r="F1893">
        <v>128267996</v>
      </c>
      <c r="G1893">
        <v>128267996</v>
      </c>
      <c r="H1893">
        <v>128267996</v>
      </c>
      <c r="I1893">
        <v>128267996</v>
      </c>
    </row>
    <row r="1894" spans="1:9" x14ac:dyDescent="0.2">
      <c r="A1894" t="str">
        <f>"Apoh"</f>
        <v>Apoh</v>
      </c>
      <c r="B1894" t="s">
        <v>9</v>
      </c>
      <c r="C1894" t="s">
        <v>27</v>
      </c>
      <c r="D1894" t="s">
        <v>17</v>
      </c>
      <c r="E1894" t="s">
        <v>12</v>
      </c>
      <c r="F1894">
        <v>108395288</v>
      </c>
      <c r="G1894">
        <v>108395324</v>
      </c>
      <c r="H1894">
        <v>108395288</v>
      </c>
      <c r="I1894">
        <v>108395324</v>
      </c>
    </row>
    <row r="1895" spans="1:9" x14ac:dyDescent="0.2">
      <c r="A1895" t="str">
        <f>"Apoh"</f>
        <v>Apoh</v>
      </c>
      <c r="B1895" t="s">
        <v>13</v>
      </c>
      <c r="C1895" t="s">
        <v>27</v>
      </c>
      <c r="D1895" t="s">
        <v>17</v>
      </c>
      <c r="E1895" t="s">
        <v>12</v>
      </c>
      <c r="F1895">
        <v>108381204</v>
      </c>
      <c r="G1895">
        <v>108381229</v>
      </c>
      <c r="H1895">
        <v>108381204</v>
      </c>
      <c r="I1895">
        <v>108381229</v>
      </c>
    </row>
    <row r="1896" spans="1:9" x14ac:dyDescent="0.2">
      <c r="A1896" t="str">
        <f>"Apol10a"</f>
        <v>Apol10a</v>
      </c>
      <c r="B1896" t="s">
        <v>14</v>
      </c>
      <c r="C1896" t="s">
        <v>25</v>
      </c>
      <c r="D1896" t="s">
        <v>17</v>
      </c>
      <c r="E1896" t="s">
        <v>12</v>
      </c>
      <c r="F1896">
        <v>77477044</v>
      </c>
      <c r="G1896">
        <v>77477048</v>
      </c>
      <c r="H1896">
        <v>77477044</v>
      </c>
      <c r="I1896">
        <v>77477048</v>
      </c>
    </row>
    <row r="1897" spans="1:9" x14ac:dyDescent="0.2">
      <c r="A1897" t="str">
        <f>"Apol10b"</f>
        <v>Apol10b</v>
      </c>
      <c r="B1897" t="s">
        <v>14</v>
      </c>
      <c r="C1897" t="s">
        <v>25</v>
      </c>
      <c r="D1897" t="s">
        <v>11</v>
      </c>
      <c r="E1897" t="s">
        <v>12</v>
      </c>
      <c r="F1897">
        <v>77596110</v>
      </c>
      <c r="G1897">
        <v>77596131</v>
      </c>
      <c r="H1897">
        <v>77596110</v>
      </c>
      <c r="I1897">
        <v>77596131</v>
      </c>
    </row>
    <row r="1898" spans="1:9" x14ac:dyDescent="0.2">
      <c r="A1898" t="str">
        <f>"Apol11a"</f>
        <v>Apol11a</v>
      </c>
      <c r="B1898" t="s">
        <v>14</v>
      </c>
      <c r="C1898" t="s">
        <v>25</v>
      </c>
      <c r="D1898" t="s">
        <v>17</v>
      </c>
      <c r="E1898" t="s">
        <v>12</v>
      </c>
      <c r="F1898">
        <v>77508268</v>
      </c>
      <c r="G1898">
        <v>77508270</v>
      </c>
      <c r="H1898">
        <v>77508268</v>
      </c>
      <c r="I1898">
        <v>77508270</v>
      </c>
    </row>
    <row r="1899" spans="1:9" x14ac:dyDescent="0.2">
      <c r="A1899" t="str">
        <f>"Apol11b"</f>
        <v>Apol11b</v>
      </c>
      <c r="B1899" t="s">
        <v>2143</v>
      </c>
      <c r="C1899" t="s">
        <v>25</v>
      </c>
      <c r="D1899" t="s">
        <v>11</v>
      </c>
      <c r="E1899" t="s">
        <v>20</v>
      </c>
      <c r="F1899">
        <v>77643282</v>
      </c>
      <c r="G1899">
        <v>77643282</v>
      </c>
      <c r="H1899">
        <v>77643282</v>
      </c>
      <c r="I1899">
        <v>77643282</v>
      </c>
    </row>
    <row r="1900" spans="1:9" x14ac:dyDescent="0.2">
      <c r="A1900" t="str">
        <f>"Apol6"</f>
        <v>Apol6</v>
      </c>
      <c r="B1900" t="s">
        <v>14</v>
      </c>
      <c r="C1900" t="s">
        <v>25</v>
      </c>
      <c r="D1900" t="s">
        <v>17</v>
      </c>
      <c r="E1900" t="s">
        <v>12</v>
      </c>
      <c r="F1900">
        <v>77045103</v>
      </c>
      <c r="G1900">
        <v>77045139</v>
      </c>
      <c r="H1900">
        <v>77045259</v>
      </c>
      <c r="I1900">
        <v>77045275</v>
      </c>
    </row>
    <row r="1901" spans="1:9" x14ac:dyDescent="0.2">
      <c r="A1901" t="str">
        <f>"Apol7a"</f>
        <v>Apol7a</v>
      </c>
      <c r="B1901" t="s">
        <v>14</v>
      </c>
      <c r="C1901" t="s">
        <v>25</v>
      </c>
      <c r="D1901" t="s">
        <v>11</v>
      </c>
      <c r="E1901" t="s">
        <v>12</v>
      </c>
      <c r="F1901">
        <v>77399211</v>
      </c>
      <c r="G1901">
        <v>77399235</v>
      </c>
      <c r="H1901">
        <v>77399211</v>
      </c>
      <c r="I1901">
        <v>77399235</v>
      </c>
    </row>
    <row r="1902" spans="1:9" x14ac:dyDescent="0.2">
      <c r="A1902" t="str">
        <f>"Apol7b"</f>
        <v>Apol7b</v>
      </c>
      <c r="B1902" t="s">
        <v>2144</v>
      </c>
      <c r="C1902" t="s">
        <v>25</v>
      </c>
      <c r="D1902" t="s">
        <v>11</v>
      </c>
      <c r="E1902" t="s">
        <v>20</v>
      </c>
      <c r="F1902">
        <v>77447443</v>
      </c>
      <c r="G1902">
        <v>77447443</v>
      </c>
      <c r="H1902">
        <v>77447443</v>
      </c>
      <c r="I1902">
        <v>77447443</v>
      </c>
    </row>
    <row r="1903" spans="1:9" x14ac:dyDescent="0.2">
      <c r="A1903" t="str">
        <f>"Apol7c"</f>
        <v>Apol7c</v>
      </c>
      <c r="B1903" t="s">
        <v>14</v>
      </c>
      <c r="C1903" t="s">
        <v>25</v>
      </c>
      <c r="D1903" t="s">
        <v>11</v>
      </c>
      <c r="E1903" t="s">
        <v>12</v>
      </c>
      <c r="F1903">
        <v>77533312</v>
      </c>
      <c r="G1903">
        <v>77533317</v>
      </c>
      <c r="H1903">
        <v>77533312</v>
      </c>
      <c r="I1903">
        <v>77533317</v>
      </c>
    </row>
    <row r="1904" spans="1:9" x14ac:dyDescent="0.2">
      <c r="A1904" t="str">
        <f>"Apol7d"</f>
        <v>Apol7d</v>
      </c>
      <c r="B1904" t="s">
        <v>14</v>
      </c>
      <c r="C1904" t="s">
        <v>19</v>
      </c>
      <c r="D1904" t="s">
        <v>17</v>
      </c>
      <c r="E1904" t="s">
        <v>12</v>
      </c>
      <c r="F1904">
        <v>71653316</v>
      </c>
      <c r="G1904">
        <v>71653347</v>
      </c>
      <c r="H1904">
        <v>71653316</v>
      </c>
      <c r="I1904">
        <v>71653347</v>
      </c>
    </row>
    <row r="1905" spans="1:9" x14ac:dyDescent="0.2">
      <c r="A1905" t="str">
        <f>"Apol7e"</f>
        <v>Apol7e</v>
      </c>
      <c r="B1905" t="s">
        <v>14</v>
      </c>
      <c r="C1905" t="s">
        <v>25</v>
      </c>
      <c r="D1905" t="s">
        <v>17</v>
      </c>
      <c r="E1905" t="s">
        <v>12</v>
      </c>
      <c r="F1905">
        <v>77698904</v>
      </c>
      <c r="G1905">
        <v>77698910</v>
      </c>
      <c r="H1905">
        <v>77698853</v>
      </c>
      <c r="I1905">
        <v>77698863</v>
      </c>
    </row>
    <row r="1906" spans="1:9" x14ac:dyDescent="0.2">
      <c r="A1906" t="str">
        <f>"Apol8"</f>
        <v>Apol8</v>
      </c>
      <c r="B1906" t="s">
        <v>14</v>
      </c>
      <c r="C1906" t="s">
        <v>25</v>
      </c>
      <c r="D1906" t="s">
        <v>11</v>
      </c>
      <c r="E1906" t="s">
        <v>12</v>
      </c>
      <c r="F1906">
        <v>77755218</v>
      </c>
      <c r="G1906">
        <v>77755265</v>
      </c>
      <c r="H1906">
        <v>77755266</v>
      </c>
      <c r="I1906">
        <v>77755281</v>
      </c>
    </row>
    <row r="1907" spans="1:9" x14ac:dyDescent="0.2">
      <c r="A1907" t="str">
        <f>"Apol9a"</f>
        <v>Apol9a</v>
      </c>
      <c r="B1907" t="s">
        <v>14</v>
      </c>
      <c r="C1907" t="s">
        <v>25</v>
      </c>
      <c r="D1907" t="s">
        <v>11</v>
      </c>
      <c r="E1907" t="s">
        <v>12</v>
      </c>
      <c r="F1907">
        <v>77410997</v>
      </c>
      <c r="G1907">
        <v>77411014</v>
      </c>
      <c r="H1907">
        <v>77410997</v>
      </c>
      <c r="I1907">
        <v>77411014</v>
      </c>
    </row>
    <row r="1908" spans="1:9" x14ac:dyDescent="0.2">
      <c r="A1908" t="str">
        <f>"Apol9b"</f>
        <v>Apol9b</v>
      </c>
      <c r="B1908" t="s">
        <v>14</v>
      </c>
      <c r="C1908" t="s">
        <v>25</v>
      </c>
      <c r="D1908" t="s">
        <v>17</v>
      </c>
      <c r="E1908" t="s">
        <v>12</v>
      </c>
      <c r="F1908">
        <v>77729153</v>
      </c>
      <c r="G1908">
        <v>77729182</v>
      </c>
      <c r="H1908">
        <v>77729153</v>
      </c>
      <c r="I1908">
        <v>77729182</v>
      </c>
    </row>
    <row r="1909" spans="1:9" x14ac:dyDescent="0.2">
      <c r="A1909" t="str">
        <f>"Apold1"</f>
        <v>Apold1</v>
      </c>
      <c r="B1909" t="s">
        <v>14</v>
      </c>
      <c r="C1909" t="s">
        <v>32</v>
      </c>
      <c r="D1909" t="s">
        <v>17</v>
      </c>
      <c r="E1909" t="s">
        <v>12</v>
      </c>
      <c r="F1909">
        <v>134981998</v>
      </c>
      <c r="G1909">
        <v>134982002</v>
      </c>
      <c r="H1909">
        <v>134981920</v>
      </c>
      <c r="I1909">
        <v>134981953</v>
      </c>
    </row>
    <row r="1910" spans="1:9" x14ac:dyDescent="0.2">
      <c r="A1910" t="str">
        <f>"Apom"</f>
        <v>Apom</v>
      </c>
      <c r="B1910" t="s">
        <v>14</v>
      </c>
      <c r="C1910" t="s">
        <v>28</v>
      </c>
      <c r="D1910" t="s">
        <v>11</v>
      </c>
      <c r="E1910" t="s">
        <v>12</v>
      </c>
      <c r="F1910">
        <v>35131790</v>
      </c>
      <c r="G1910">
        <v>35131807</v>
      </c>
      <c r="H1910">
        <v>35131763</v>
      </c>
      <c r="I1910">
        <v>35131785</v>
      </c>
    </row>
    <row r="1911" spans="1:9" x14ac:dyDescent="0.2">
      <c r="A1911" t="str">
        <f>"Apon"</f>
        <v>Apon</v>
      </c>
      <c r="B1911" t="s">
        <v>14</v>
      </c>
      <c r="C1911" t="s">
        <v>15</v>
      </c>
      <c r="D1911" t="s">
        <v>17</v>
      </c>
      <c r="E1911" t="s">
        <v>12</v>
      </c>
      <c r="F1911">
        <v>128254157</v>
      </c>
      <c r="G1911">
        <v>128254176</v>
      </c>
      <c r="H1911">
        <v>128254185</v>
      </c>
      <c r="I1911">
        <v>128254196</v>
      </c>
    </row>
    <row r="1912" spans="1:9" x14ac:dyDescent="0.2">
      <c r="A1912" t="str">
        <f>"Apoo"</f>
        <v>Apoo</v>
      </c>
      <c r="B1912" t="s">
        <v>14</v>
      </c>
      <c r="C1912" t="s">
        <v>37</v>
      </c>
      <c r="D1912" t="s">
        <v>17</v>
      </c>
      <c r="E1912" t="s">
        <v>12</v>
      </c>
      <c r="F1912">
        <v>94367112</v>
      </c>
      <c r="G1912">
        <v>94367134</v>
      </c>
      <c r="H1912">
        <v>94367112</v>
      </c>
      <c r="I1912">
        <v>94367134</v>
      </c>
    </row>
    <row r="1913" spans="1:9" x14ac:dyDescent="0.2">
      <c r="A1913" t="str">
        <f>"Apoo-ps"</f>
        <v>Apoo-ps</v>
      </c>
      <c r="B1913" t="s">
        <v>2145</v>
      </c>
      <c r="C1913" t="s">
        <v>39</v>
      </c>
      <c r="D1913" t="s">
        <v>11</v>
      </c>
      <c r="E1913" t="s">
        <v>20</v>
      </c>
      <c r="F1913">
        <v>107414766</v>
      </c>
      <c r="G1913">
        <v>107414766</v>
      </c>
      <c r="H1913">
        <v>107414766</v>
      </c>
      <c r="I1913">
        <v>107414766</v>
      </c>
    </row>
    <row r="1914" spans="1:9" x14ac:dyDescent="0.2">
      <c r="A1914" t="str">
        <f>"Apool"</f>
        <v>Apool</v>
      </c>
      <c r="B1914" t="s">
        <v>14</v>
      </c>
      <c r="C1914" t="s">
        <v>37</v>
      </c>
      <c r="D1914" t="s">
        <v>17</v>
      </c>
      <c r="E1914" t="s">
        <v>12</v>
      </c>
      <c r="F1914">
        <v>112311375</v>
      </c>
      <c r="G1914">
        <v>112311407</v>
      </c>
      <c r="H1914">
        <v>112311351</v>
      </c>
      <c r="I1914">
        <v>112311363</v>
      </c>
    </row>
    <row r="1915" spans="1:9" x14ac:dyDescent="0.2">
      <c r="A1915" t="str">
        <f>"Apopt1"</f>
        <v>Apopt1</v>
      </c>
      <c r="B1915" t="s">
        <v>14</v>
      </c>
      <c r="C1915" t="s">
        <v>16</v>
      </c>
      <c r="D1915" t="s">
        <v>17</v>
      </c>
      <c r="E1915" t="s">
        <v>67</v>
      </c>
      <c r="F1915">
        <v>111713255</v>
      </c>
      <c r="G1915">
        <v>111713303</v>
      </c>
      <c r="H1915">
        <v>111713255</v>
      </c>
      <c r="I1915">
        <v>111713303</v>
      </c>
    </row>
    <row r="1916" spans="1:9" x14ac:dyDescent="0.2">
      <c r="A1916" t="str">
        <f>"App"</f>
        <v>App</v>
      </c>
      <c r="B1916" t="s">
        <v>14</v>
      </c>
      <c r="C1916" t="s">
        <v>31</v>
      </c>
      <c r="D1916" t="s">
        <v>11</v>
      </c>
      <c r="E1916" t="s">
        <v>12</v>
      </c>
      <c r="F1916">
        <v>85173692</v>
      </c>
      <c r="G1916">
        <v>85173718</v>
      </c>
      <c r="H1916">
        <v>85174050</v>
      </c>
      <c r="I1916">
        <v>85174061</v>
      </c>
    </row>
    <row r="1917" spans="1:9" x14ac:dyDescent="0.2">
      <c r="A1917" t="str">
        <f>"Appbp2"</f>
        <v>Appbp2</v>
      </c>
      <c r="B1917" t="s">
        <v>14</v>
      </c>
      <c r="C1917" t="s">
        <v>27</v>
      </c>
      <c r="D1917" t="s">
        <v>11</v>
      </c>
      <c r="E1917" t="s">
        <v>12</v>
      </c>
      <c r="F1917">
        <v>85235065</v>
      </c>
      <c r="G1917">
        <v>85235137</v>
      </c>
      <c r="H1917">
        <v>85235065</v>
      </c>
      <c r="I1917">
        <v>85235137</v>
      </c>
    </row>
    <row r="1918" spans="1:9" x14ac:dyDescent="0.2">
      <c r="A1918" t="str">
        <f>"Appl1"</f>
        <v>Appl1</v>
      </c>
      <c r="B1918" t="s">
        <v>14</v>
      </c>
      <c r="C1918" t="s">
        <v>41</v>
      </c>
      <c r="D1918" t="s">
        <v>11</v>
      </c>
      <c r="E1918" t="s">
        <v>12</v>
      </c>
      <c r="F1918">
        <v>26970447</v>
      </c>
      <c r="G1918">
        <v>26970556</v>
      </c>
      <c r="H1918">
        <v>26970558</v>
      </c>
      <c r="I1918">
        <v>26970596</v>
      </c>
    </row>
    <row r="1919" spans="1:9" x14ac:dyDescent="0.2">
      <c r="A1919" t="str">
        <f>"Appl2"</f>
        <v>Appl2</v>
      </c>
      <c r="B1919" t="s">
        <v>14</v>
      </c>
      <c r="C1919" t="s">
        <v>15</v>
      </c>
      <c r="D1919" t="s">
        <v>11</v>
      </c>
      <c r="E1919" t="s">
        <v>12</v>
      </c>
      <c r="F1919">
        <v>83648631</v>
      </c>
      <c r="G1919">
        <v>83648682</v>
      </c>
      <c r="H1919">
        <v>83648602</v>
      </c>
      <c r="I1919">
        <v>83648629</v>
      </c>
    </row>
    <row r="1920" spans="1:9" x14ac:dyDescent="0.2">
      <c r="A1920" t="str">
        <f>"Aprt"</f>
        <v>Aprt</v>
      </c>
      <c r="B1920" t="s">
        <v>14</v>
      </c>
      <c r="C1920" t="s">
        <v>30</v>
      </c>
      <c r="D1920" t="s">
        <v>11</v>
      </c>
      <c r="E1920" t="s">
        <v>12</v>
      </c>
      <c r="F1920">
        <v>122576830</v>
      </c>
      <c r="G1920">
        <v>122576892</v>
      </c>
      <c r="H1920">
        <v>122576899</v>
      </c>
      <c r="I1920">
        <v>122576927</v>
      </c>
    </row>
    <row r="1921" spans="1:9" x14ac:dyDescent="0.2">
      <c r="A1921" t="str">
        <f>"Aptx"</f>
        <v>Aptx</v>
      </c>
      <c r="B1921" t="s">
        <v>14</v>
      </c>
      <c r="C1921" t="s">
        <v>23</v>
      </c>
      <c r="D1921" t="s">
        <v>11</v>
      </c>
      <c r="E1921" t="s">
        <v>12</v>
      </c>
      <c r="F1921">
        <v>40703154</v>
      </c>
      <c r="G1921">
        <v>40703187</v>
      </c>
      <c r="H1921">
        <v>40702893</v>
      </c>
      <c r="I1921">
        <v>40702937</v>
      </c>
    </row>
    <row r="1922" spans="1:9" x14ac:dyDescent="0.2">
      <c r="A1922" t="str">
        <f>"Aqp1"</f>
        <v>Aqp1</v>
      </c>
      <c r="B1922" t="s">
        <v>14</v>
      </c>
      <c r="C1922" t="s">
        <v>32</v>
      </c>
      <c r="D1922" t="s">
        <v>17</v>
      </c>
      <c r="E1922" t="s">
        <v>12</v>
      </c>
      <c r="F1922">
        <v>55336424</v>
      </c>
      <c r="G1922">
        <v>55336438</v>
      </c>
      <c r="H1922">
        <v>55336424</v>
      </c>
      <c r="I1922">
        <v>55336438</v>
      </c>
    </row>
    <row r="1923" spans="1:9" x14ac:dyDescent="0.2">
      <c r="A1923" t="str">
        <f>"Aqp11"</f>
        <v>Aqp11</v>
      </c>
      <c r="B1923" t="s">
        <v>14</v>
      </c>
      <c r="C1923" t="s">
        <v>33</v>
      </c>
      <c r="D1923" t="s">
        <v>11</v>
      </c>
      <c r="E1923" t="s">
        <v>12</v>
      </c>
      <c r="F1923">
        <v>97737994</v>
      </c>
      <c r="G1923">
        <v>97738056</v>
      </c>
      <c r="H1923">
        <v>97738222</v>
      </c>
      <c r="I1923">
        <v>97738317</v>
      </c>
    </row>
    <row r="1924" spans="1:9" x14ac:dyDescent="0.2">
      <c r="A1924" t="str">
        <f>"Aqp12"</f>
        <v>Aqp12</v>
      </c>
      <c r="B1924" t="s">
        <v>14</v>
      </c>
      <c r="C1924" t="s">
        <v>19</v>
      </c>
      <c r="D1924" t="s">
        <v>17</v>
      </c>
      <c r="E1924" t="s">
        <v>12</v>
      </c>
      <c r="F1924">
        <v>93006349</v>
      </c>
      <c r="G1924">
        <v>93006393</v>
      </c>
      <c r="H1924">
        <v>93006328</v>
      </c>
      <c r="I1924">
        <v>93006348</v>
      </c>
    </row>
    <row r="1925" spans="1:9" x14ac:dyDescent="0.2">
      <c r="A1925" t="str">
        <f>"Aqp2"</f>
        <v>Aqp2</v>
      </c>
      <c r="B1925" t="s">
        <v>14</v>
      </c>
      <c r="C1925" t="s">
        <v>25</v>
      </c>
      <c r="D1925" t="s">
        <v>17</v>
      </c>
      <c r="E1925" t="s">
        <v>12</v>
      </c>
      <c r="F1925">
        <v>99579054</v>
      </c>
      <c r="G1925">
        <v>99579059</v>
      </c>
      <c r="H1925">
        <v>99579096</v>
      </c>
      <c r="I1925">
        <v>99579138</v>
      </c>
    </row>
    <row r="1926" spans="1:9" x14ac:dyDescent="0.2">
      <c r="A1926" t="str">
        <f>"Aqp3"</f>
        <v>Aqp3</v>
      </c>
      <c r="B1926" t="s">
        <v>14</v>
      </c>
      <c r="C1926" t="s">
        <v>23</v>
      </c>
      <c r="D1926" t="s">
        <v>11</v>
      </c>
      <c r="E1926" t="s">
        <v>12</v>
      </c>
      <c r="F1926">
        <v>41098174</v>
      </c>
      <c r="G1926">
        <v>41098190</v>
      </c>
      <c r="H1926">
        <v>41098174</v>
      </c>
      <c r="I1926">
        <v>41098190</v>
      </c>
    </row>
    <row r="1927" spans="1:9" x14ac:dyDescent="0.2">
      <c r="A1927" t="str">
        <f>"Aqp4"</f>
        <v>Aqp4</v>
      </c>
      <c r="B1927" t="s">
        <v>14</v>
      </c>
      <c r="C1927" t="s">
        <v>43</v>
      </c>
      <c r="D1927" t="s">
        <v>11</v>
      </c>
      <c r="E1927" t="s">
        <v>12</v>
      </c>
      <c r="F1927">
        <v>15403640</v>
      </c>
      <c r="G1927">
        <v>15403657</v>
      </c>
      <c r="H1927">
        <v>15403640</v>
      </c>
      <c r="I1927">
        <v>15403657</v>
      </c>
    </row>
    <row r="1928" spans="1:9" x14ac:dyDescent="0.2">
      <c r="A1928" t="str">
        <f>"Aqp5"</f>
        <v>Aqp5</v>
      </c>
      <c r="B1928" t="s">
        <v>14</v>
      </c>
      <c r="C1928" t="s">
        <v>25</v>
      </c>
      <c r="D1928" t="s">
        <v>17</v>
      </c>
      <c r="E1928" t="s">
        <v>12</v>
      </c>
      <c r="F1928">
        <v>99591136</v>
      </c>
      <c r="G1928">
        <v>99591150</v>
      </c>
      <c r="H1928">
        <v>99591005</v>
      </c>
      <c r="I1928">
        <v>99591045</v>
      </c>
    </row>
    <row r="1929" spans="1:9" x14ac:dyDescent="0.2">
      <c r="A1929" t="str">
        <f>"Aqp6"</f>
        <v>Aqp6</v>
      </c>
      <c r="B1929" t="s">
        <v>14</v>
      </c>
      <c r="C1929" t="s">
        <v>25</v>
      </c>
      <c r="D1929" t="s">
        <v>17</v>
      </c>
      <c r="E1929" t="s">
        <v>12</v>
      </c>
      <c r="F1929">
        <v>99601229</v>
      </c>
      <c r="G1929">
        <v>99601268</v>
      </c>
      <c r="H1929">
        <v>99601229</v>
      </c>
      <c r="I1929">
        <v>99601268</v>
      </c>
    </row>
    <row r="1930" spans="1:9" x14ac:dyDescent="0.2">
      <c r="A1930" t="str">
        <f>"Aqp7"</f>
        <v>Aqp7</v>
      </c>
      <c r="B1930" t="s">
        <v>14</v>
      </c>
      <c r="C1930" t="s">
        <v>23</v>
      </c>
      <c r="D1930" t="s">
        <v>11</v>
      </c>
      <c r="E1930" t="s">
        <v>12</v>
      </c>
      <c r="F1930">
        <v>41047955</v>
      </c>
      <c r="G1930">
        <v>41047974</v>
      </c>
      <c r="H1930">
        <v>41047955</v>
      </c>
      <c r="I1930">
        <v>41047974</v>
      </c>
    </row>
    <row r="1931" spans="1:9" x14ac:dyDescent="0.2">
      <c r="A1931" t="str">
        <f>"Aqp8"</f>
        <v>Aqp8</v>
      </c>
      <c r="B1931" t="s">
        <v>14</v>
      </c>
      <c r="C1931" t="s">
        <v>33</v>
      </c>
      <c r="D1931" t="s">
        <v>17</v>
      </c>
      <c r="E1931" t="s">
        <v>12</v>
      </c>
      <c r="F1931">
        <v>123462350</v>
      </c>
      <c r="G1931">
        <v>123462368</v>
      </c>
      <c r="H1931">
        <v>123462274</v>
      </c>
      <c r="I1931">
        <v>123462296</v>
      </c>
    </row>
    <row r="1932" spans="1:9" x14ac:dyDescent="0.2">
      <c r="A1932" t="str">
        <f>"Aqp9"</f>
        <v>Aqp9</v>
      </c>
      <c r="B1932" t="s">
        <v>14</v>
      </c>
      <c r="C1932" t="s">
        <v>24</v>
      </c>
      <c r="D1932" t="s">
        <v>11</v>
      </c>
      <c r="E1932" t="s">
        <v>12</v>
      </c>
      <c r="F1932">
        <v>71163224</v>
      </c>
      <c r="G1932">
        <v>71163293</v>
      </c>
      <c r="H1932">
        <v>71163295</v>
      </c>
      <c r="I1932">
        <v>71163315</v>
      </c>
    </row>
    <row r="1933" spans="1:9" x14ac:dyDescent="0.2">
      <c r="A1933" t="str">
        <f>"Aqr"</f>
        <v>Aqr</v>
      </c>
      <c r="B1933" t="s">
        <v>14</v>
      </c>
      <c r="C1933" t="s">
        <v>26</v>
      </c>
      <c r="D1933" t="s">
        <v>11</v>
      </c>
      <c r="E1933" t="s">
        <v>12</v>
      </c>
      <c r="F1933">
        <v>114175299</v>
      </c>
      <c r="G1933">
        <v>114175317</v>
      </c>
      <c r="H1933">
        <v>114175321</v>
      </c>
      <c r="I1933">
        <v>114175344</v>
      </c>
    </row>
    <row r="1934" spans="1:9" x14ac:dyDescent="0.2">
      <c r="A1934" t="str">
        <f>"Ar"</f>
        <v>Ar</v>
      </c>
      <c r="B1934" t="s">
        <v>14</v>
      </c>
      <c r="C1934" t="s">
        <v>37</v>
      </c>
      <c r="D1934" t="s">
        <v>17</v>
      </c>
      <c r="E1934" t="s">
        <v>12</v>
      </c>
      <c r="F1934">
        <v>98149666</v>
      </c>
      <c r="G1934">
        <v>98149714</v>
      </c>
      <c r="H1934">
        <v>98149717</v>
      </c>
      <c r="I1934">
        <v>98149724</v>
      </c>
    </row>
    <row r="1935" spans="1:9" x14ac:dyDescent="0.2">
      <c r="A1935" t="str">
        <f>"Araf"</f>
        <v>Araf</v>
      </c>
      <c r="B1935" t="s">
        <v>14</v>
      </c>
      <c r="C1935" t="s">
        <v>37</v>
      </c>
      <c r="D1935" t="s">
        <v>17</v>
      </c>
      <c r="E1935" t="s">
        <v>12</v>
      </c>
      <c r="F1935">
        <v>20848559</v>
      </c>
      <c r="G1935">
        <v>20848583</v>
      </c>
      <c r="H1935">
        <v>20848559</v>
      </c>
      <c r="I1935">
        <v>20848583</v>
      </c>
    </row>
    <row r="1936" spans="1:9" x14ac:dyDescent="0.2">
      <c r="A1936" t="str">
        <f>"Arap1"</f>
        <v>Arap1</v>
      </c>
      <c r="B1936" t="s">
        <v>9</v>
      </c>
      <c r="C1936" t="s">
        <v>33</v>
      </c>
      <c r="D1936" t="s">
        <v>17</v>
      </c>
      <c r="E1936" t="s">
        <v>12</v>
      </c>
      <c r="F1936">
        <v>101394361</v>
      </c>
      <c r="G1936">
        <v>101394436</v>
      </c>
      <c r="H1936">
        <v>101394361</v>
      </c>
      <c r="I1936">
        <v>101394436</v>
      </c>
    </row>
    <row r="1937" spans="1:9" x14ac:dyDescent="0.2">
      <c r="A1937" t="str">
        <f>"Arap1"</f>
        <v>Arap1</v>
      </c>
      <c r="B1937" t="s">
        <v>13</v>
      </c>
      <c r="C1937" t="s">
        <v>33</v>
      </c>
      <c r="D1937" t="s">
        <v>17</v>
      </c>
      <c r="E1937" t="s">
        <v>12</v>
      </c>
      <c r="F1937">
        <v>101378183</v>
      </c>
      <c r="G1937">
        <v>101378210</v>
      </c>
      <c r="H1937">
        <v>101378183</v>
      </c>
      <c r="I1937">
        <v>101378210</v>
      </c>
    </row>
    <row r="1938" spans="1:9" x14ac:dyDescent="0.2">
      <c r="A1938" t="str">
        <f>"Arap2"</f>
        <v>Arap2</v>
      </c>
      <c r="B1938" t="s">
        <v>14</v>
      </c>
      <c r="C1938" t="s">
        <v>46</v>
      </c>
      <c r="D1938" t="s">
        <v>11</v>
      </c>
      <c r="E1938" t="s">
        <v>12</v>
      </c>
      <c r="F1938">
        <v>62766153</v>
      </c>
      <c r="G1938">
        <v>62766246</v>
      </c>
      <c r="H1938">
        <v>62766256</v>
      </c>
      <c r="I1938">
        <v>62766271</v>
      </c>
    </row>
    <row r="1939" spans="1:9" x14ac:dyDescent="0.2">
      <c r="A1939" t="str">
        <f>"Arap3"</f>
        <v>Arap3</v>
      </c>
      <c r="B1939" t="s">
        <v>9</v>
      </c>
      <c r="C1939" t="s">
        <v>43</v>
      </c>
      <c r="D1939" t="s">
        <v>11</v>
      </c>
      <c r="E1939" t="s">
        <v>12</v>
      </c>
      <c r="F1939">
        <v>37998714</v>
      </c>
      <c r="G1939">
        <v>37998771</v>
      </c>
      <c r="H1939">
        <v>37998714</v>
      </c>
      <c r="I1939">
        <v>37998771</v>
      </c>
    </row>
    <row r="1940" spans="1:9" x14ac:dyDescent="0.2">
      <c r="A1940" t="str">
        <f>"Arap3"</f>
        <v>Arap3</v>
      </c>
      <c r="B1940" t="s">
        <v>13</v>
      </c>
      <c r="C1940" t="s">
        <v>43</v>
      </c>
      <c r="D1940" t="s">
        <v>11</v>
      </c>
      <c r="E1940" t="s">
        <v>12</v>
      </c>
      <c r="F1940">
        <v>37997543</v>
      </c>
      <c r="G1940">
        <v>37997569</v>
      </c>
      <c r="H1940">
        <v>37997543</v>
      </c>
      <c r="I1940">
        <v>37997569</v>
      </c>
    </row>
    <row r="1941" spans="1:9" x14ac:dyDescent="0.2">
      <c r="A1941" t="str">
        <f>"Arc"</f>
        <v>Arc</v>
      </c>
      <c r="B1941" t="s">
        <v>14</v>
      </c>
      <c r="C1941" t="s">
        <v>25</v>
      </c>
      <c r="D1941" t="s">
        <v>11</v>
      </c>
      <c r="E1941" t="s">
        <v>12</v>
      </c>
      <c r="F1941">
        <v>74672560</v>
      </c>
      <c r="G1941">
        <v>74672577</v>
      </c>
      <c r="H1941">
        <v>74672560</v>
      </c>
      <c r="I1941">
        <v>74672577</v>
      </c>
    </row>
    <row r="1942" spans="1:9" x14ac:dyDescent="0.2">
      <c r="A1942" t="str">
        <f>"Arcn1"</f>
        <v>Arcn1</v>
      </c>
      <c r="B1942" t="s">
        <v>14</v>
      </c>
      <c r="C1942" t="s">
        <v>24</v>
      </c>
      <c r="D1942" t="s">
        <v>11</v>
      </c>
      <c r="E1942" t="s">
        <v>12</v>
      </c>
      <c r="F1942">
        <v>44767792</v>
      </c>
      <c r="G1942">
        <v>44767838</v>
      </c>
      <c r="H1942">
        <v>44767792</v>
      </c>
      <c r="I1942">
        <v>44767838</v>
      </c>
    </row>
    <row r="1943" spans="1:9" x14ac:dyDescent="0.2">
      <c r="A1943" t="str">
        <f>"Areg"</f>
        <v>Areg</v>
      </c>
      <c r="B1943" t="s">
        <v>14</v>
      </c>
      <c r="C1943" t="s">
        <v>46</v>
      </c>
      <c r="D1943" t="s">
        <v>17</v>
      </c>
      <c r="E1943" t="s">
        <v>12</v>
      </c>
      <c r="F1943">
        <v>91139591</v>
      </c>
      <c r="G1943">
        <v>91139607</v>
      </c>
      <c r="H1943">
        <v>91139591</v>
      </c>
      <c r="I1943">
        <v>91139607</v>
      </c>
    </row>
    <row r="1944" spans="1:9" x14ac:dyDescent="0.2">
      <c r="A1944" t="str">
        <f>"Arel1"</f>
        <v>Arel1</v>
      </c>
      <c r="B1944" t="s">
        <v>14</v>
      </c>
      <c r="C1944" t="s">
        <v>16</v>
      </c>
      <c r="D1944" t="s">
        <v>11</v>
      </c>
      <c r="E1944" t="s">
        <v>67</v>
      </c>
      <c r="F1944">
        <v>84970814</v>
      </c>
      <c r="G1944">
        <v>84970884</v>
      </c>
      <c r="H1944">
        <v>84970888</v>
      </c>
      <c r="I1944">
        <v>84970899</v>
      </c>
    </row>
    <row r="1945" spans="1:9" x14ac:dyDescent="0.2">
      <c r="A1945" t="str">
        <f>"Arf1"</f>
        <v>Arf1</v>
      </c>
      <c r="B1945" t="s">
        <v>14</v>
      </c>
      <c r="C1945" t="s">
        <v>27</v>
      </c>
      <c r="D1945" t="s">
        <v>11</v>
      </c>
      <c r="E1945" t="s">
        <v>12</v>
      </c>
      <c r="F1945">
        <v>59228208</v>
      </c>
      <c r="G1945">
        <v>59228247</v>
      </c>
      <c r="H1945">
        <v>59228208</v>
      </c>
      <c r="I1945">
        <v>59228247</v>
      </c>
    </row>
    <row r="1946" spans="1:9" x14ac:dyDescent="0.2">
      <c r="A1946" t="str">
        <f>"Arf2"</f>
        <v>Arf2</v>
      </c>
      <c r="B1946" t="s">
        <v>14</v>
      </c>
      <c r="C1946" t="s">
        <v>27</v>
      </c>
      <c r="D1946" t="s">
        <v>17</v>
      </c>
      <c r="E1946" t="s">
        <v>12</v>
      </c>
      <c r="F1946">
        <v>103966716</v>
      </c>
      <c r="G1946">
        <v>103966790</v>
      </c>
      <c r="H1946">
        <v>103967008</v>
      </c>
      <c r="I1946">
        <v>103967017</v>
      </c>
    </row>
    <row r="1947" spans="1:9" x14ac:dyDescent="0.2">
      <c r="A1947" t="str">
        <f>"Arf3"</f>
        <v>Arf3</v>
      </c>
      <c r="B1947" t="s">
        <v>14</v>
      </c>
      <c r="C1947" t="s">
        <v>25</v>
      </c>
      <c r="D1947" t="s">
        <v>11</v>
      </c>
      <c r="E1947" t="s">
        <v>12</v>
      </c>
      <c r="F1947">
        <v>98763136</v>
      </c>
      <c r="G1947">
        <v>98763190</v>
      </c>
      <c r="H1947">
        <v>98763195</v>
      </c>
      <c r="I1947">
        <v>98763220</v>
      </c>
    </row>
    <row r="1948" spans="1:9" x14ac:dyDescent="0.2">
      <c r="A1948" t="str">
        <f>"Arf4"</f>
        <v>Arf4</v>
      </c>
      <c r="B1948" t="s">
        <v>14</v>
      </c>
      <c r="C1948" t="s">
        <v>41</v>
      </c>
      <c r="D1948" t="s">
        <v>17</v>
      </c>
      <c r="E1948" t="s">
        <v>12</v>
      </c>
      <c r="F1948">
        <v>26638157</v>
      </c>
      <c r="G1948">
        <v>26638224</v>
      </c>
      <c r="H1948">
        <v>26638120</v>
      </c>
      <c r="I1948">
        <v>26638151</v>
      </c>
    </row>
    <row r="1949" spans="1:9" x14ac:dyDescent="0.2">
      <c r="A1949" t="str">
        <f>"Arf5"</f>
        <v>Arf5</v>
      </c>
      <c r="B1949" t="s">
        <v>14</v>
      </c>
      <c r="C1949" t="s">
        <v>32</v>
      </c>
      <c r="D1949" t="s">
        <v>17</v>
      </c>
      <c r="E1949" t="s">
        <v>12</v>
      </c>
      <c r="F1949">
        <v>28423539</v>
      </c>
      <c r="G1949">
        <v>28423640</v>
      </c>
      <c r="H1949">
        <v>28423534</v>
      </c>
      <c r="I1949">
        <v>28423537</v>
      </c>
    </row>
    <row r="1950" spans="1:9" x14ac:dyDescent="0.2">
      <c r="A1950" t="str">
        <f>"Arf6"</f>
        <v>Arf6</v>
      </c>
      <c r="B1950" t="s">
        <v>14</v>
      </c>
      <c r="C1950" t="s">
        <v>16</v>
      </c>
      <c r="D1950" t="s">
        <v>17</v>
      </c>
      <c r="E1950" t="s">
        <v>12</v>
      </c>
      <c r="F1950">
        <v>69372112</v>
      </c>
      <c r="G1950">
        <v>69372172</v>
      </c>
      <c r="H1950">
        <v>69372051</v>
      </c>
      <c r="I1950">
        <v>69372062</v>
      </c>
    </row>
    <row r="1951" spans="1:9" x14ac:dyDescent="0.2">
      <c r="A1951" t="str">
        <f>"Arfgap1"</f>
        <v>Arfgap1</v>
      </c>
      <c r="B1951" t="s">
        <v>14</v>
      </c>
      <c r="C1951" t="s">
        <v>26</v>
      </c>
      <c r="D1951" t="s">
        <v>17</v>
      </c>
      <c r="E1951" t="s">
        <v>12</v>
      </c>
      <c r="F1951">
        <v>180967218</v>
      </c>
      <c r="G1951">
        <v>180967289</v>
      </c>
      <c r="H1951">
        <v>180967291</v>
      </c>
      <c r="I1951">
        <v>180967303</v>
      </c>
    </row>
    <row r="1952" spans="1:9" x14ac:dyDescent="0.2">
      <c r="A1952" t="str">
        <f>"Arfgap2"</f>
        <v>Arfgap2</v>
      </c>
      <c r="B1952" t="s">
        <v>14</v>
      </c>
      <c r="C1952" t="s">
        <v>26</v>
      </c>
      <c r="D1952" t="s">
        <v>17</v>
      </c>
      <c r="E1952" t="s">
        <v>12</v>
      </c>
      <c r="F1952">
        <v>91265252</v>
      </c>
      <c r="G1952">
        <v>91265315</v>
      </c>
      <c r="H1952">
        <v>91265207</v>
      </c>
      <c r="I1952">
        <v>91265227</v>
      </c>
    </row>
    <row r="1953" spans="1:9" x14ac:dyDescent="0.2">
      <c r="A1953" t="str">
        <f>"Arfgap3"</f>
        <v>Arfgap3</v>
      </c>
      <c r="B1953" t="s">
        <v>14</v>
      </c>
      <c r="C1953" t="s">
        <v>25</v>
      </c>
      <c r="D1953" t="s">
        <v>11</v>
      </c>
      <c r="E1953" t="s">
        <v>12</v>
      </c>
      <c r="F1953">
        <v>83350151</v>
      </c>
      <c r="G1953">
        <v>83350262</v>
      </c>
      <c r="H1953">
        <v>83350306</v>
      </c>
      <c r="I1953">
        <v>83350311</v>
      </c>
    </row>
    <row r="1954" spans="1:9" x14ac:dyDescent="0.2">
      <c r="A1954" t="str">
        <f>"Arfgef1"</f>
        <v>Arfgef1</v>
      </c>
      <c r="B1954" t="s">
        <v>14</v>
      </c>
      <c r="C1954" t="s">
        <v>19</v>
      </c>
      <c r="D1954" t="s">
        <v>11</v>
      </c>
      <c r="E1954" t="s">
        <v>12</v>
      </c>
      <c r="F1954">
        <v>10232968</v>
      </c>
      <c r="G1954">
        <v>10233000</v>
      </c>
      <c r="H1954">
        <v>10233047</v>
      </c>
      <c r="I1954">
        <v>10233093</v>
      </c>
    </row>
    <row r="1955" spans="1:9" x14ac:dyDescent="0.2">
      <c r="A1955" t="str">
        <f>"Arfgef2"</f>
        <v>Arfgef2</v>
      </c>
      <c r="B1955" t="s">
        <v>14</v>
      </c>
      <c r="C1955" t="s">
        <v>26</v>
      </c>
      <c r="D1955" t="s">
        <v>17</v>
      </c>
      <c r="E1955" t="s">
        <v>12</v>
      </c>
      <c r="F1955">
        <v>166805506</v>
      </c>
      <c r="G1955">
        <v>166805605</v>
      </c>
      <c r="H1955">
        <v>166805487</v>
      </c>
      <c r="I1955">
        <v>166805498</v>
      </c>
    </row>
    <row r="1956" spans="1:9" x14ac:dyDescent="0.2">
      <c r="A1956" t="str">
        <f>"Arfip1"</f>
        <v>Arfip1</v>
      </c>
      <c r="B1956" t="s">
        <v>14</v>
      </c>
      <c r="C1956" t="s">
        <v>22</v>
      </c>
      <c r="D1956" t="s">
        <v>11</v>
      </c>
      <c r="E1956" t="s">
        <v>12</v>
      </c>
      <c r="F1956">
        <v>84582616</v>
      </c>
      <c r="G1956">
        <v>84582699</v>
      </c>
      <c r="H1956">
        <v>84582476</v>
      </c>
      <c r="I1956">
        <v>84582522</v>
      </c>
    </row>
    <row r="1957" spans="1:9" x14ac:dyDescent="0.2">
      <c r="A1957" t="str">
        <f>"Arfip2"</f>
        <v>Arfip2</v>
      </c>
      <c r="B1957" t="s">
        <v>14</v>
      </c>
      <c r="C1957" t="s">
        <v>33</v>
      </c>
      <c r="D1957" t="s">
        <v>11</v>
      </c>
      <c r="E1957" t="s">
        <v>12</v>
      </c>
      <c r="F1957">
        <v>105640317</v>
      </c>
      <c r="G1957">
        <v>105640370</v>
      </c>
      <c r="H1957">
        <v>105640317</v>
      </c>
      <c r="I1957">
        <v>105640370</v>
      </c>
    </row>
    <row r="1958" spans="1:9" x14ac:dyDescent="0.2">
      <c r="A1958" t="str">
        <f>"Arfrp1"</f>
        <v>Arfrp1</v>
      </c>
      <c r="B1958" t="s">
        <v>14</v>
      </c>
      <c r="C1958" t="s">
        <v>26</v>
      </c>
      <c r="D1958" t="s">
        <v>11</v>
      </c>
      <c r="E1958" t="s">
        <v>12</v>
      </c>
      <c r="F1958">
        <v>181365306</v>
      </c>
      <c r="G1958">
        <v>181365371</v>
      </c>
      <c r="H1958">
        <v>181365375</v>
      </c>
      <c r="I1958">
        <v>181365386</v>
      </c>
    </row>
    <row r="1959" spans="1:9" x14ac:dyDescent="0.2">
      <c r="A1959" t="str">
        <f>"Arg1"</f>
        <v>Arg1</v>
      </c>
      <c r="B1959" t="s">
        <v>14</v>
      </c>
      <c r="C1959" t="s">
        <v>15</v>
      </c>
      <c r="D1959" t="s">
        <v>11</v>
      </c>
      <c r="E1959" t="s">
        <v>12</v>
      </c>
      <c r="F1959">
        <v>24927444</v>
      </c>
      <c r="G1959">
        <v>24927460</v>
      </c>
      <c r="H1959">
        <v>24927444</v>
      </c>
      <c r="I1959">
        <v>24927460</v>
      </c>
    </row>
    <row r="1960" spans="1:9" x14ac:dyDescent="0.2">
      <c r="A1960" t="str">
        <f>"Arg2"</f>
        <v>Arg2</v>
      </c>
      <c r="B1960" t="s">
        <v>14</v>
      </c>
      <c r="C1960" t="s">
        <v>16</v>
      </c>
      <c r="D1960" t="s">
        <v>17</v>
      </c>
      <c r="E1960" t="s">
        <v>12</v>
      </c>
      <c r="F1960">
        <v>79130800</v>
      </c>
      <c r="G1960">
        <v>79130816</v>
      </c>
      <c r="H1960">
        <v>79130800</v>
      </c>
      <c r="I1960">
        <v>79130816</v>
      </c>
    </row>
    <row r="1961" spans="1:9" x14ac:dyDescent="0.2">
      <c r="A1961" t="str">
        <f>"Arglu1"</f>
        <v>Arglu1</v>
      </c>
      <c r="B1961" t="s">
        <v>14</v>
      </c>
      <c r="C1961" t="s">
        <v>30</v>
      </c>
      <c r="D1961" t="s">
        <v>11</v>
      </c>
      <c r="E1961" t="s">
        <v>12</v>
      </c>
      <c r="F1961">
        <v>8690493</v>
      </c>
      <c r="G1961">
        <v>8690538</v>
      </c>
      <c r="H1961">
        <v>8690481</v>
      </c>
      <c r="I1961">
        <v>8690492</v>
      </c>
    </row>
    <row r="1962" spans="1:9" x14ac:dyDescent="0.2">
      <c r="A1962" t="str">
        <f>"Arhgap1"</f>
        <v>Arhgap1</v>
      </c>
      <c r="B1962" t="s">
        <v>14</v>
      </c>
      <c r="C1962" t="s">
        <v>26</v>
      </c>
      <c r="D1962" t="s">
        <v>17</v>
      </c>
      <c r="E1962" t="s">
        <v>12</v>
      </c>
      <c r="F1962">
        <v>91650169</v>
      </c>
      <c r="G1962">
        <v>91650237</v>
      </c>
      <c r="H1962">
        <v>91650116</v>
      </c>
      <c r="I1962">
        <v>91650133</v>
      </c>
    </row>
    <row r="1963" spans="1:9" x14ac:dyDescent="0.2">
      <c r="A1963" t="str">
        <f>"Arhgap10"</f>
        <v>Arhgap10</v>
      </c>
      <c r="B1963" t="s">
        <v>14</v>
      </c>
      <c r="C1963" t="s">
        <v>30</v>
      </c>
      <c r="D1963" t="s">
        <v>11</v>
      </c>
      <c r="E1963" t="s">
        <v>12</v>
      </c>
      <c r="F1963">
        <v>77517898</v>
      </c>
      <c r="G1963">
        <v>77517938</v>
      </c>
      <c r="H1963">
        <v>77517949</v>
      </c>
      <c r="I1963">
        <v>77517979</v>
      </c>
    </row>
    <row r="1964" spans="1:9" x14ac:dyDescent="0.2">
      <c r="A1964" t="str">
        <f>"Arhgap11a"</f>
        <v>Arhgap11a</v>
      </c>
      <c r="B1964" t="s">
        <v>14</v>
      </c>
      <c r="C1964" t="s">
        <v>26</v>
      </c>
      <c r="D1964" t="s">
        <v>11</v>
      </c>
      <c r="E1964" t="s">
        <v>12</v>
      </c>
      <c r="F1964">
        <v>113848655</v>
      </c>
      <c r="G1964">
        <v>113848744</v>
      </c>
      <c r="H1964">
        <v>113848274</v>
      </c>
      <c r="I1964">
        <v>113848375</v>
      </c>
    </row>
    <row r="1965" spans="1:9" x14ac:dyDescent="0.2">
      <c r="A1965" t="str">
        <f>"Arhgap12"</f>
        <v>Arhgap12</v>
      </c>
      <c r="B1965" t="s">
        <v>14</v>
      </c>
      <c r="C1965" t="s">
        <v>43</v>
      </c>
      <c r="D1965" t="s">
        <v>11</v>
      </c>
      <c r="E1965" t="s">
        <v>12</v>
      </c>
      <c r="F1965">
        <v>6135896</v>
      </c>
      <c r="G1965">
        <v>6135999</v>
      </c>
      <c r="H1965">
        <v>6135861</v>
      </c>
      <c r="I1965">
        <v>6135868</v>
      </c>
    </row>
    <row r="1966" spans="1:9" x14ac:dyDescent="0.2">
      <c r="A1966" t="str">
        <f>"Arhgap15"</f>
        <v>Arhgap15</v>
      </c>
      <c r="B1966" t="s">
        <v>14</v>
      </c>
      <c r="C1966" t="s">
        <v>26</v>
      </c>
      <c r="D1966" t="s">
        <v>17</v>
      </c>
      <c r="E1966" t="s">
        <v>12</v>
      </c>
      <c r="F1966">
        <v>43748802</v>
      </c>
      <c r="G1966">
        <v>43748875</v>
      </c>
      <c r="H1966">
        <v>43748802</v>
      </c>
      <c r="I1966">
        <v>43748875</v>
      </c>
    </row>
    <row r="1967" spans="1:9" x14ac:dyDescent="0.2">
      <c r="A1967" t="str">
        <f>"Arhgap17"</f>
        <v>Arhgap17</v>
      </c>
      <c r="B1967" t="s">
        <v>14</v>
      </c>
      <c r="C1967" t="s">
        <v>33</v>
      </c>
      <c r="D1967" t="s">
        <v>11</v>
      </c>
      <c r="E1967" t="s">
        <v>12</v>
      </c>
      <c r="F1967">
        <v>123369870</v>
      </c>
      <c r="G1967">
        <v>123369920</v>
      </c>
      <c r="H1967">
        <v>123369842</v>
      </c>
      <c r="I1967">
        <v>123369867</v>
      </c>
    </row>
    <row r="1968" spans="1:9" x14ac:dyDescent="0.2">
      <c r="A1968" t="str">
        <f>"Arhgap18"</f>
        <v>Arhgap18</v>
      </c>
      <c r="B1968" t="s">
        <v>14</v>
      </c>
      <c r="C1968" t="s">
        <v>15</v>
      </c>
      <c r="D1968" t="s">
        <v>17</v>
      </c>
      <c r="E1968" t="s">
        <v>12</v>
      </c>
      <c r="F1968">
        <v>26772523</v>
      </c>
      <c r="G1968">
        <v>26772569</v>
      </c>
      <c r="H1968">
        <v>26772488</v>
      </c>
      <c r="I1968">
        <v>26772515</v>
      </c>
    </row>
    <row r="1969" spans="1:9" x14ac:dyDescent="0.2">
      <c r="A1969" t="str">
        <f>"Arhgap19"</f>
        <v>Arhgap19</v>
      </c>
      <c r="B1969" t="s">
        <v>14</v>
      </c>
      <c r="C1969" t="s">
        <v>10</v>
      </c>
      <c r="D1969" t="s">
        <v>11</v>
      </c>
      <c r="E1969" t="s">
        <v>12</v>
      </c>
      <c r="F1969">
        <v>41802028</v>
      </c>
      <c r="G1969">
        <v>41802060</v>
      </c>
      <c r="H1969">
        <v>41802028</v>
      </c>
      <c r="I1969">
        <v>41802060</v>
      </c>
    </row>
    <row r="1970" spans="1:9" x14ac:dyDescent="0.2">
      <c r="A1970" t="str">
        <f>"Arhgap20"</f>
        <v>Arhgap20</v>
      </c>
      <c r="B1970" t="s">
        <v>14</v>
      </c>
      <c r="C1970" t="s">
        <v>24</v>
      </c>
      <c r="D1970" t="s">
        <v>17</v>
      </c>
      <c r="E1970" t="s">
        <v>12</v>
      </c>
      <c r="F1970">
        <v>51765325</v>
      </c>
      <c r="G1970">
        <v>51765364</v>
      </c>
      <c r="H1970">
        <v>51765304</v>
      </c>
      <c r="I1970">
        <v>51765317</v>
      </c>
    </row>
    <row r="1971" spans="1:9" x14ac:dyDescent="0.2">
      <c r="A1971" t="str">
        <f>"Arhgap21"</f>
        <v>Arhgap21</v>
      </c>
      <c r="B1971" t="s">
        <v>14</v>
      </c>
      <c r="C1971" t="s">
        <v>26</v>
      </c>
      <c r="D1971" t="s">
        <v>11</v>
      </c>
      <c r="E1971" t="s">
        <v>12</v>
      </c>
      <c r="F1971">
        <v>20968943</v>
      </c>
      <c r="G1971">
        <v>20968957</v>
      </c>
      <c r="H1971">
        <v>20968550</v>
      </c>
      <c r="I1971">
        <v>20968613</v>
      </c>
    </row>
    <row r="1972" spans="1:9" x14ac:dyDescent="0.2">
      <c r="A1972" t="str">
        <f>"Arhgap22"</f>
        <v>Arhgap22</v>
      </c>
      <c r="B1972" t="s">
        <v>2146</v>
      </c>
      <c r="C1972" t="s">
        <v>41</v>
      </c>
      <c r="D1972" t="s">
        <v>17</v>
      </c>
      <c r="E1972" t="s">
        <v>35</v>
      </c>
      <c r="F1972">
        <v>33216832</v>
      </c>
      <c r="G1972">
        <v>33216837</v>
      </c>
      <c r="H1972">
        <v>33216870</v>
      </c>
      <c r="I1972">
        <v>33216880</v>
      </c>
    </row>
    <row r="1973" spans="1:9" x14ac:dyDescent="0.2">
      <c r="A1973" t="str">
        <f>"Arhgap23"</f>
        <v>Arhgap23</v>
      </c>
      <c r="B1973" t="s">
        <v>14</v>
      </c>
      <c r="C1973" t="s">
        <v>27</v>
      </c>
      <c r="D1973" t="s">
        <v>17</v>
      </c>
      <c r="E1973" t="s">
        <v>67</v>
      </c>
      <c r="F1973">
        <v>97415577</v>
      </c>
      <c r="G1973">
        <v>97415597</v>
      </c>
      <c r="H1973">
        <v>97415554</v>
      </c>
      <c r="I1973">
        <v>97415576</v>
      </c>
    </row>
    <row r="1974" spans="1:9" x14ac:dyDescent="0.2">
      <c r="A1974" t="str">
        <f>"Arhgap24"</f>
        <v>Arhgap24</v>
      </c>
      <c r="B1974" t="s">
        <v>14</v>
      </c>
      <c r="C1974" t="s">
        <v>46</v>
      </c>
      <c r="D1974" t="s">
        <v>17</v>
      </c>
      <c r="E1974" t="s">
        <v>12</v>
      </c>
      <c r="F1974">
        <v>102481422</v>
      </c>
      <c r="G1974">
        <v>102481495</v>
      </c>
      <c r="H1974">
        <v>102481422</v>
      </c>
      <c r="I1974">
        <v>102481495</v>
      </c>
    </row>
    <row r="1975" spans="1:9" x14ac:dyDescent="0.2">
      <c r="A1975" t="str">
        <f>"Arhgap25"</f>
        <v>Arhgap25</v>
      </c>
      <c r="B1975" t="s">
        <v>14</v>
      </c>
      <c r="C1975" t="s">
        <v>32</v>
      </c>
      <c r="D1975" t="s">
        <v>11</v>
      </c>
      <c r="E1975" t="s">
        <v>12</v>
      </c>
      <c r="F1975">
        <v>87533219</v>
      </c>
      <c r="G1975">
        <v>87533264</v>
      </c>
      <c r="H1975">
        <v>87533219</v>
      </c>
      <c r="I1975">
        <v>87533264</v>
      </c>
    </row>
    <row r="1976" spans="1:9" x14ac:dyDescent="0.2">
      <c r="A1976" t="str">
        <f>"Arhgap26"</f>
        <v>Arhgap26</v>
      </c>
      <c r="B1976" t="s">
        <v>14</v>
      </c>
      <c r="C1976" t="s">
        <v>43</v>
      </c>
      <c r="D1976" t="s">
        <v>17</v>
      </c>
      <c r="E1976" t="s">
        <v>12</v>
      </c>
      <c r="F1976">
        <v>38993126</v>
      </c>
      <c r="G1976">
        <v>38993186</v>
      </c>
      <c r="H1976">
        <v>38993126</v>
      </c>
      <c r="I1976">
        <v>38993186</v>
      </c>
    </row>
    <row r="1977" spans="1:9" x14ac:dyDescent="0.2">
      <c r="A1977" t="str">
        <f>"Arhgap27"</f>
        <v>Arhgap27</v>
      </c>
      <c r="B1977" t="s">
        <v>14</v>
      </c>
      <c r="C1977" t="s">
        <v>27</v>
      </c>
      <c r="D1977" t="s">
        <v>11</v>
      </c>
      <c r="E1977" t="s">
        <v>12</v>
      </c>
      <c r="F1977">
        <v>103344651</v>
      </c>
      <c r="G1977">
        <v>103344719</v>
      </c>
      <c r="H1977">
        <v>103344651</v>
      </c>
      <c r="I1977">
        <v>103344719</v>
      </c>
    </row>
    <row r="1978" spans="1:9" x14ac:dyDescent="0.2">
      <c r="A1978" t="str">
        <f>"Arhgap28"</f>
        <v>Arhgap28</v>
      </c>
      <c r="B1978" t="s">
        <v>14</v>
      </c>
      <c r="C1978" t="s">
        <v>28</v>
      </c>
      <c r="D1978" t="s">
        <v>11</v>
      </c>
      <c r="E1978" t="s">
        <v>12</v>
      </c>
      <c r="F1978">
        <v>68004075</v>
      </c>
      <c r="G1978">
        <v>68004140</v>
      </c>
      <c r="H1978">
        <v>68004075</v>
      </c>
      <c r="I1978">
        <v>68004140</v>
      </c>
    </row>
    <row r="1979" spans="1:9" x14ac:dyDescent="0.2">
      <c r="A1979" t="str">
        <f>"Arhgap29"</f>
        <v>Arhgap29</v>
      </c>
      <c r="B1979" t="s">
        <v>9</v>
      </c>
      <c r="C1979" t="s">
        <v>22</v>
      </c>
      <c r="D1979" t="s">
        <v>17</v>
      </c>
      <c r="E1979" t="s">
        <v>12</v>
      </c>
      <c r="F1979">
        <v>121967822</v>
      </c>
      <c r="G1979">
        <v>121967838</v>
      </c>
      <c r="H1979">
        <v>121967822</v>
      </c>
      <c r="I1979">
        <v>121967838</v>
      </c>
    </row>
    <row r="1980" spans="1:9" x14ac:dyDescent="0.2">
      <c r="A1980" t="str">
        <f>"Arhgap29"</f>
        <v>Arhgap29</v>
      </c>
      <c r="B1980" t="s">
        <v>13</v>
      </c>
      <c r="C1980" t="s">
        <v>22</v>
      </c>
      <c r="D1980" t="s">
        <v>17</v>
      </c>
      <c r="E1980" t="s">
        <v>12</v>
      </c>
      <c r="F1980">
        <v>121953213</v>
      </c>
      <c r="G1980">
        <v>121953295</v>
      </c>
      <c r="H1980">
        <v>121953213</v>
      </c>
      <c r="I1980">
        <v>121953295</v>
      </c>
    </row>
    <row r="1981" spans="1:9" x14ac:dyDescent="0.2">
      <c r="A1981" t="str">
        <f>"Arhgap30"</f>
        <v>Arhgap30</v>
      </c>
      <c r="B1981" t="s">
        <v>14</v>
      </c>
      <c r="C1981" t="s">
        <v>19</v>
      </c>
      <c r="D1981" t="s">
        <v>17</v>
      </c>
      <c r="E1981" t="s">
        <v>12</v>
      </c>
      <c r="F1981">
        <v>171388955</v>
      </c>
      <c r="G1981">
        <v>171389042</v>
      </c>
      <c r="H1981">
        <v>171388955</v>
      </c>
      <c r="I1981">
        <v>171389042</v>
      </c>
    </row>
    <row r="1982" spans="1:9" x14ac:dyDescent="0.2">
      <c r="A1982" t="str">
        <f>"Arhgap31"</f>
        <v>Arhgap31</v>
      </c>
      <c r="B1982" t="s">
        <v>14</v>
      </c>
      <c r="C1982" t="s">
        <v>31</v>
      </c>
      <c r="D1982" t="s">
        <v>11</v>
      </c>
      <c r="E1982" t="s">
        <v>12</v>
      </c>
      <c r="F1982">
        <v>38712842</v>
      </c>
      <c r="G1982">
        <v>38712860</v>
      </c>
      <c r="H1982">
        <v>38712862</v>
      </c>
      <c r="I1982">
        <v>38712903</v>
      </c>
    </row>
    <row r="1983" spans="1:9" x14ac:dyDescent="0.2">
      <c r="A1983" t="str">
        <f>"Arhgap32"</f>
        <v>Arhgap32</v>
      </c>
      <c r="B1983" t="s">
        <v>2147</v>
      </c>
      <c r="C1983" t="s">
        <v>24</v>
      </c>
      <c r="D1983" t="s">
        <v>17</v>
      </c>
      <c r="E1983" t="s">
        <v>35</v>
      </c>
      <c r="F1983">
        <v>32115979</v>
      </c>
      <c r="G1983">
        <v>32115996</v>
      </c>
      <c r="H1983">
        <v>32116062</v>
      </c>
      <c r="I1983">
        <v>32116069</v>
      </c>
    </row>
    <row r="1984" spans="1:9" x14ac:dyDescent="0.2">
      <c r="A1984" t="str">
        <f>"Arhgap33"</f>
        <v>Arhgap33</v>
      </c>
      <c r="B1984" t="s">
        <v>14</v>
      </c>
      <c r="C1984" t="s">
        <v>33</v>
      </c>
      <c r="D1984" t="s">
        <v>11</v>
      </c>
      <c r="E1984" t="s">
        <v>12</v>
      </c>
      <c r="F1984">
        <v>30535006</v>
      </c>
      <c r="G1984">
        <v>30535047</v>
      </c>
      <c r="H1984">
        <v>30535056</v>
      </c>
      <c r="I1984">
        <v>30535066</v>
      </c>
    </row>
    <row r="1985" spans="1:9" x14ac:dyDescent="0.2">
      <c r="A1985" t="str">
        <f>"Arhgap36"</f>
        <v>Arhgap36</v>
      </c>
      <c r="B1985" t="s">
        <v>14</v>
      </c>
      <c r="C1985" t="s">
        <v>37</v>
      </c>
      <c r="D1985" t="s">
        <v>17</v>
      </c>
      <c r="E1985" t="s">
        <v>12</v>
      </c>
      <c r="F1985">
        <v>49470555</v>
      </c>
      <c r="G1985">
        <v>49470579</v>
      </c>
      <c r="H1985">
        <v>49470532</v>
      </c>
      <c r="I1985">
        <v>49470548</v>
      </c>
    </row>
    <row r="1986" spans="1:9" x14ac:dyDescent="0.2">
      <c r="A1986" t="str">
        <f>"Arhgap39"</f>
        <v>Arhgap39</v>
      </c>
      <c r="B1986" t="s">
        <v>14</v>
      </c>
      <c r="C1986" t="s">
        <v>25</v>
      </c>
      <c r="D1986" t="s">
        <v>11</v>
      </c>
      <c r="E1986" t="s">
        <v>12</v>
      </c>
      <c r="F1986">
        <v>76818093</v>
      </c>
      <c r="G1986">
        <v>76818174</v>
      </c>
      <c r="H1986">
        <v>76818176</v>
      </c>
      <c r="I1986">
        <v>76818177</v>
      </c>
    </row>
    <row r="1987" spans="1:9" x14ac:dyDescent="0.2">
      <c r="A1987" t="str">
        <f>"Arhgap4"</f>
        <v>Arhgap4</v>
      </c>
      <c r="B1987" t="s">
        <v>14</v>
      </c>
      <c r="C1987" t="s">
        <v>37</v>
      </c>
      <c r="D1987" t="s">
        <v>11</v>
      </c>
      <c r="E1987" t="s">
        <v>12</v>
      </c>
      <c r="F1987">
        <v>73921839</v>
      </c>
      <c r="G1987">
        <v>73921916</v>
      </c>
      <c r="H1987">
        <v>73921839</v>
      </c>
      <c r="I1987">
        <v>73921916</v>
      </c>
    </row>
    <row r="1988" spans="1:9" x14ac:dyDescent="0.2">
      <c r="A1988" t="str">
        <f>"Arhgap40"</f>
        <v>Arhgap40</v>
      </c>
      <c r="B1988" t="s">
        <v>14</v>
      </c>
      <c r="C1988" t="s">
        <v>26</v>
      </c>
      <c r="D1988" t="s">
        <v>17</v>
      </c>
      <c r="E1988" t="s">
        <v>12</v>
      </c>
      <c r="F1988">
        <v>158512747</v>
      </c>
      <c r="G1988">
        <v>158512771</v>
      </c>
      <c r="H1988">
        <v>158512747</v>
      </c>
      <c r="I1988">
        <v>158512771</v>
      </c>
    </row>
    <row r="1989" spans="1:9" x14ac:dyDescent="0.2">
      <c r="A1989" t="str">
        <f>"Arhgap42"</f>
        <v>Arhgap42</v>
      </c>
      <c r="B1989" t="s">
        <v>14</v>
      </c>
      <c r="C1989" t="s">
        <v>24</v>
      </c>
      <c r="D1989" t="s">
        <v>11</v>
      </c>
      <c r="E1989" t="s">
        <v>12</v>
      </c>
      <c r="F1989">
        <v>9239019</v>
      </c>
      <c r="G1989">
        <v>9239042</v>
      </c>
      <c r="H1989">
        <v>9239052</v>
      </c>
      <c r="I1989">
        <v>9239095</v>
      </c>
    </row>
    <row r="1990" spans="1:9" x14ac:dyDescent="0.2">
      <c r="A1990" t="str">
        <f>"Arhgap44"</f>
        <v>Arhgap44</v>
      </c>
      <c r="B1990" t="s">
        <v>14</v>
      </c>
      <c r="C1990" t="s">
        <v>27</v>
      </c>
      <c r="D1990" t="s">
        <v>11</v>
      </c>
      <c r="E1990" t="s">
        <v>12</v>
      </c>
      <c r="F1990">
        <v>65162907</v>
      </c>
      <c r="G1990">
        <v>65162976</v>
      </c>
      <c r="H1990">
        <v>65162826</v>
      </c>
      <c r="I1990">
        <v>65162831</v>
      </c>
    </row>
    <row r="1991" spans="1:9" x14ac:dyDescent="0.2">
      <c r="A1991" t="str">
        <f>"Arhgap5"</f>
        <v>Arhgap5</v>
      </c>
      <c r="B1991" t="s">
        <v>14</v>
      </c>
      <c r="C1991" t="s">
        <v>16</v>
      </c>
      <c r="D1991" t="s">
        <v>17</v>
      </c>
      <c r="E1991" t="s">
        <v>12</v>
      </c>
      <c r="F1991">
        <v>52503992</v>
      </c>
      <c r="G1991">
        <v>52504028</v>
      </c>
      <c r="H1991">
        <v>52503923</v>
      </c>
      <c r="I1991">
        <v>52503949</v>
      </c>
    </row>
    <row r="1992" spans="1:9" x14ac:dyDescent="0.2">
      <c r="A1992" t="str">
        <f>"Arhgap6"</f>
        <v>Arhgap6</v>
      </c>
      <c r="B1992" t="s">
        <v>2148</v>
      </c>
      <c r="C1992" t="s">
        <v>37</v>
      </c>
      <c r="D1992" t="s">
        <v>17</v>
      </c>
      <c r="E1992" t="s">
        <v>35</v>
      </c>
      <c r="F1992">
        <v>168795094</v>
      </c>
      <c r="G1992">
        <v>168795106</v>
      </c>
      <c r="H1992">
        <v>168795267</v>
      </c>
      <c r="I1992">
        <v>168795287</v>
      </c>
    </row>
    <row r="1993" spans="1:9" x14ac:dyDescent="0.2">
      <c r="A1993" t="str">
        <f>"Arhgap8"</f>
        <v>Arhgap8</v>
      </c>
      <c r="B1993" t="s">
        <v>14</v>
      </c>
      <c r="C1993" t="s">
        <v>25</v>
      </c>
      <c r="D1993" t="s">
        <v>17</v>
      </c>
      <c r="E1993" t="s">
        <v>12</v>
      </c>
      <c r="F1993">
        <v>84720053</v>
      </c>
      <c r="G1993">
        <v>84720092</v>
      </c>
      <c r="H1993">
        <v>84720093</v>
      </c>
      <c r="I1993">
        <v>84720104</v>
      </c>
    </row>
    <row r="1994" spans="1:9" x14ac:dyDescent="0.2">
      <c r="A1994" t="str">
        <f>"Arhgap9"</f>
        <v>Arhgap9</v>
      </c>
      <c r="B1994" t="s">
        <v>9</v>
      </c>
      <c r="C1994" t="s">
        <v>15</v>
      </c>
      <c r="D1994" t="s">
        <v>17</v>
      </c>
      <c r="E1994" t="s">
        <v>12</v>
      </c>
      <c r="F1994">
        <v>127321866</v>
      </c>
      <c r="G1994">
        <v>127321884</v>
      </c>
      <c r="H1994">
        <v>127321866</v>
      </c>
      <c r="I1994">
        <v>127321884</v>
      </c>
    </row>
    <row r="1995" spans="1:9" x14ac:dyDescent="0.2">
      <c r="A1995" t="str">
        <f>"Arhgap9"</f>
        <v>Arhgap9</v>
      </c>
      <c r="B1995" t="s">
        <v>13</v>
      </c>
      <c r="C1995" t="s">
        <v>15</v>
      </c>
      <c r="D1995" t="s">
        <v>17</v>
      </c>
      <c r="E1995" t="s">
        <v>12</v>
      </c>
      <c r="F1995">
        <v>127323700</v>
      </c>
      <c r="G1995">
        <v>127323736</v>
      </c>
      <c r="H1995">
        <v>127323700</v>
      </c>
      <c r="I1995">
        <v>127323736</v>
      </c>
    </row>
    <row r="1996" spans="1:9" x14ac:dyDescent="0.2">
      <c r="A1996" t="str">
        <f>"Arhgdia"</f>
        <v>Arhgdia</v>
      </c>
      <c r="B1996" t="s">
        <v>14</v>
      </c>
      <c r="C1996" t="s">
        <v>27</v>
      </c>
      <c r="D1996" t="s">
        <v>11</v>
      </c>
      <c r="E1996" t="s">
        <v>12</v>
      </c>
      <c r="F1996">
        <v>120581553</v>
      </c>
      <c r="G1996">
        <v>120581632</v>
      </c>
      <c r="H1996">
        <v>120581196</v>
      </c>
      <c r="I1996">
        <v>120581237</v>
      </c>
    </row>
    <row r="1997" spans="1:9" x14ac:dyDescent="0.2">
      <c r="A1997" t="str">
        <f>"Arhgdib"</f>
        <v>Arhgdib</v>
      </c>
      <c r="B1997" t="s">
        <v>14</v>
      </c>
      <c r="C1997" t="s">
        <v>32</v>
      </c>
      <c r="D1997" t="s">
        <v>11</v>
      </c>
      <c r="E1997" t="s">
        <v>12</v>
      </c>
      <c r="F1997">
        <v>136941694</v>
      </c>
      <c r="G1997">
        <v>136941726</v>
      </c>
      <c r="H1997">
        <v>136941859</v>
      </c>
      <c r="I1997">
        <v>136941884</v>
      </c>
    </row>
    <row r="1998" spans="1:9" x14ac:dyDescent="0.2">
      <c r="A1998" t="str">
        <f>"Arhgdig"</f>
        <v>Arhgdig</v>
      </c>
      <c r="B1998" t="s">
        <v>14</v>
      </c>
      <c r="C1998" t="s">
        <v>28</v>
      </c>
      <c r="D1998" t="s">
        <v>11</v>
      </c>
      <c r="E1998" t="s">
        <v>12</v>
      </c>
      <c r="F1998">
        <v>26201328</v>
      </c>
      <c r="G1998">
        <v>26201350</v>
      </c>
      <c r="H1998">
        <v>26201189</v>
      </c>
      <c r="I1998">
        <v>26201227</v>
      </c>
    </row>
    <row r="1999" spans="1:9" x14ac:dyDescent="0.2">
      <c r="A1999" t="str">
        <f>"Arhgef1"</f>
        <v>Arhgef1</v>
      </c>
      <c r="B1999" t="s">
        <v>9</v>
      </c>
      <c r="C1999" t="s">
        <v>33</v>
      </c>
      <c r="D1999" t="s">
        <v>17</v>
      </c>
      <c r="E1999" t="s">
        <v>12</v>
      </c>
      <c r="F1999">
        <v>24903011</v>
      </c>
      <c r="G1999">
        <v>24903080</v>
      </c>
      <c r="H1999">
        <v>24903011</v>
      </c>
      <c r="I1999">
        <v>24903080</v>
      </c>
    </row>
    <row r="2000" spans="1:9" x14ac:dyDescent="0.2">
      <c r="A2000" t="str">
        <f>"Arhgef1"</f>
        <v>Arhgef1</v>
      </c>
      <c r="B2000" t="s">
        <v>13</v>
      </c>
      <c r="C2000" t="s">
        <v>33</v>
      </c>
      <c r="D2000" t="s">
        <v>17</v>
      </c>
      <c r="E2000" t="s">
        <v>12</v>
      </c>
      <c r="F2000">
        <v>24904416</v>
      </c>
      <c r="G2000">
        <v>24904459</v>
      </c>
      <c r="H2000">
        <v>24904416</v>
      </c>
      <c r="I2000">
        <v>24904459</v>
      </c>
    </row>
    <row r="2001" spans="1:9" x14ac:dyDescent="0.2">
      <c r="A2001" t="str">
        <f>"Arhgef10"</f>
        <v>Arhgef10</v>
      </c>
      <c r="B2001" t="s">
        <v>14</v>
      </c>
      <c r="C2001" t="s">
        <v>30</v>
      </c>
      <c r="D2001" t="s">
        <v>17</v>
      </c>
      <c r="E2001" t="s">
        <v>12</v>
      </c>
      <c r="F2001">
        <v>14911704</v>
      </c>
      <c r="G2001">
        <v>14911742</v>
      </c>
      <c r="H2001">
        <v>14911704</v>
      </c>
      <c r="I2001">
        <v>14911742</v>
      </c>
    </row>
    <row r="2002" spans="1:9" x14ac:dyDescent="0.2">
      <c r="A2002" t="str">
        <f>"Arhgef10l"</f>
        <v>Arhgef10l</v>
      </c>
      <c r="B2002" t="s">
        <v>9</v>
      </c>
      <c r="C2002" t="s">
        <v>23</v>
      </c>
      <c r="D2002" t="s">
        <v>11</v>
      </c>
      <c r="E2002" t="s">
        <v>12</v>
      </c>
      <c r="F2002">
        <v>140648736</v>
      </c>
      <c r="G2002">
        <v>140648781</v>
      </c>
      <c r="H2002">
        <v>140648736</v>
      </c>
      <c r="I2002">
        <v>140648781</v>
      </c>
    </row>
    <row r="2003" spans="1:9" x14ac:dyDescent="0.2">
      <c r="A2003" t="str">
        <f>"Arhgef10l"</f>
        <v>Arhgef10l</v>
      </c>
      <c r="B2003" t="s">
        <v>13</v>
      </c>
      <c r="C2003" t="s">
        <v>23</v>
      </c>
      <c r="D2003" t="s">
        <v>11</v>
      </c>
      <c r="E2003" t="s">
        <v>12</v>
      </c>
      <c r="F2003">
        <v>140665854</v>
      </c>
      <c r="G2003">
        <v>140665867</v>
      </c>
      <c r="H2003">
        <v>140665854</v>
      </c>
      <c r="I2003">
        <v>140665867</v>
      </c>
    </row>
    <row r="2004" spans="1:9" x14ac:dyDescent="0.2">
      <c r="A2004" t="str">
        <f>"Arhgef11"</f>
        <v>Arhgef11</v>
      </c>
      <c r="B2004" t="s">
        <v>14</v>
      </c>
      <c r="C2004" t="s">
        <v>22</v>
      </c>
      <c r="D2004" t="s">
        <v>17</v>
      </c>
      <c r="E2004" t="s">
        <v>12</v>
      </c>
      <c r="F2004">
        <v>87617541</v>
      </c>
      <c r="G2004">
        <v>87617613</v>
      </c>
      <c r="H2004">
        <v>87617541</v>
      </c>
      <c r="I2004">
        <v>87617613</v>
      </c>
    </row>
    <row r="2005" spans="1:9" x14ac:dyDescent="0.2">
      <c r="A2005" t="str">
        <f>"Arhgef12"</f>
        <v>Arhgef12</v>
      </c>
      <c r="B2005" t="s">
        <v>14</v>
      </c>
      <c r="C2005" t="s">
        <v>24</v>
      </c>
      <c r="D2005" t="s">
        <v>11</v>
      </c>
      <c r="E2005" t="s">
        <v>12</v>
      </c>
      <c r="F2005">
        <v>43105954</v>
      </c>
      <c r="G2005">
        <v>43106026</v>
      </c>
      <c r="H2005">
        <v>43106041</v>
      </c>
      <c r="I2005">
        <v>43106096</v>
      </c>
    </row>
    <row r="2006" spans="1:9" x14ac:dyDescent="0.2">
      <c r="A2006" t="str">
        <f>"Arhgef15"</f>
        <v>Arhgef15</v>
      </c>
      <c r="B2006" t="s">
        <v>14</v>
      </c>
      <c r="C2006" t="s">
        <v>27</v>
      </c>
      <c r="D2006" t="s">
        <v>11</v>
      </c>
      <c r="E2006" t="s">
        <v>12</v>
      </c>
      <c r="F2006">
        <v>68956873</v>
      </c>
      <c r="G2006">
        <v>68956909</v>
      </c>
      <c r="H2006">
        <v>68956873</v>
      </c>
      <c r="I2006">
        <v>68956909</v>
      </c>
    </row>
    <row r="2007" spans="1:9" x14ac:dyDescent="0.2">
      <c r="A2007" t="str">
        <f>"Arhgef16"</f>
        <v>Arhgef16</v>
      </c>
      <c r="B2007" t="s">
        <v>14</v>
      </c>
      <c r="C2007" t="s">
        <v>23</v>
      </c>
      <c r="D2007" t="s">
        <v>11</v>
      </c>
      <c r="E2007" t="s">
        <v>12</v>
      </c>
      <c r="F2007">
        <v>154299851</v>
      </c>
      <c r="G2007">
        <v>154299919</v>
      </c>
      <c r="H2007">
        <v>154300029</v>
      </c>
      <c r="I2007">
        <v>154300079</v>
      </c>
    </row>
    <row r="2008" spans="1:9" x14ac:dyDescent="0.2">
      <c r="A2008" t="str">
        <f>"Arhgef17"</f>
        <v>Arhgef17</v>
      </c>
      <c r="B2008" t="s">
        <v>14</v>
      </c>
      <c r="C2008" t="s">
        <v>33</v>
      </c>
      <c r="D2008" t="s">
        <v>11</v>
      </c>
      <c r="E2008" t="s">
        <v>12</v>
      </c>
      <c r="F2008">
        <v>100932140</v>
      </c>
      <c r="G2008">
        <v>100932200</v>
      </c>
      <c r="H2008">
        <v>100932140</v>
      </c>
      <c r="I2008">
        <v>100932200</v>
      </c>
    </row>
    <row r="2009" spans="1:9" x14ac:dyDescent="0.2">
      <c r="A2009" t="str">
        <f>"Arhgef18"</f>
        <v>Arhgef18</v>
      </c>
      <c r="B2009" t="s">
        <v>14</v>
      </c>
      <c r="C2009" t="s">
        <v>30</v>
      </c>
      <c r="D2009" t="s">
        <v>17</v>
      </c>
      <c r="E2009" t="s">
        <v>12</v>
      </c>
      <c r="F2009">
        <v>3393018</v>
      </c>
      <c r="G2009">
        <v>3393053</v>
      </c>
      <c r="H2009">
        <v>3392997</v>
      </c>
      <c r="I2009">
        <v>3393015</v>
      </c>
    </row>
    <row r="2010" spans="1:9" x14ac:dyDescent="0.2">
      <c r="A2010" t="str">
        <f>"Arhgef19"</f>
        <v>Arhgef19</v>
      </c>
      <c r="B2010" t="s">
        <v>9</v>
      </c>
      <c r="C2010" t="s">
        <v>23</v>
      </c>
      <c r="D2010" t="s">
        <v>17</v>
      </c>
      <c r="E2010" t="s">
        <v>12</v>
      </c>
      <c r="F2010">
        <v>141239569</v>
      </c>
      <c r="G2010">
        <v>141239633</v>
      </c>
      <c r="H2010">
        <v>141239569</v>
      </c>
      <c r="I2010">
        <v>141239633</v>
      </c>
    </row>
    <row r="2011" spans="1:9" x14ac:dyDescent="0.2">
      <c r="A2011" t="str">
        <f>"Arhgef19"</f>
        <v>Arhgef19</v>
      </c>
      <c r="B2011" t="s">
        <v>13</v>
      </c>
      <c r="C2011" t="s">
        <v>23</v>
      </c>
      <c r="D2011" t="s">
        <v>17</v>
      </c>
      <c r="E2011" t="s">
        <v>12</v>
      </c>
      <c r="F2011">
        <v>141242850</v>
      </c>
      <c r="G2011">
        <v>141242909</v>
      </c>
      <c r="H2011">
        <v>141242850</v>
      </c>
      <c r="I2011">
        <v>141242909</v>
      </c>
    </row>
    <row r="2012" spans="1:9" x14ac:dyDescent="0.2">
      <c r="A2012" t="str">
        <f>"Arhgef2"</f>
        <v>Arhgef2</v>
      </c>
      <c r="B2012" t="s">
        <v>14</v>
      </c>
      <c r="C2012" t="s">
        <v>22</v>
      </c>
      <c r="D2012" t="s">
        <v>17</v>
      </c>
      <c r="E2012" t="s">
        <v>12</v>
      </c>
      <c r="F2012">
        <v>88621144</v>
      </c>
      <c r="G2012">
        <v>88621173</v>
      </c>
      <c r="H2012">
        <v>88621459</v>
      </c>
      <c r="I2012">
        <v>88621539</v>
      </c>
    </row>
    <row r="2013" spans="1:9" x14ac:dyDescent="0.2">
      <c r="A2013" t="str">
        <f>"Arhgef25"</f>
        <v>Arhgef25</v>
      </c>
      <c r="B2013" t="s">
        <v>14</v>
      </c>
      <c r="C2013" t="s">
        <v>15</v>
      </c>
      <c r="D2013" t="s">
        <v>11</v>
      </c>
      <c r="E2013" t="s">
        <v>12</v>
      </c>
      <c r="F2013">
        <v>127189981</v>
      </c>
      <c r="G2013">
        <v>127190071</v>
      </c>
      <c r="H2013">
        <v>127189820</v>
      </c>
      <c r="I2013">
        <v>127189837</v>
      </c>
    </row>
    <row r="2014" spans="1:9" x14ac:dyDescent="0.2">
      <c r="A2014" t="str">
        <f>"Arhgef26"</f>
        <v>Arhgef26</v>
      </c>
      <c r="B2014" t="s">
        <v>14</v>
      </c>
      <c r="C2014" t="s">
        <v>22</v>
      </c>
      <c r="D2014" t="s">
        <v>17</v>
      </c>
      <c r="E2014" t="s">
        <v>12</v>
      </c>
      <c r="F2014">
        <v>62338941</v>
      </c>
      <c r="G2014">
        <v>62339012</v>
      </c>
      <c r="H2014">
        <v>62339024</v>
      </c>
      <c r="I2014">
        <v>62339037</v>
      </c>
    </row>
    <row r="2015" spans="1:9" x14ac:dyDescent="0.2">
      <c r="A2015" t="str">
        <f>"Arhgef28"</f>
        <v>Arhgef28</v>
      </c>
      <c r="B2015" t="s">
        <v>14</v>
      </c>
      <c r="C2015" t="s">
        <v>39</v>
      </c>
      <c r="D2015" t="s">
        <v>11</v>
      </c>
      <c r="E2015" t="s">
        <v>67</v>
      </c>
      <c r="F2015">
        <v>98206151</v>
      </c>
      <c r="G2015">
        <v>98206186</v>
      </c>
      <c r="H2015">
        <v>98206151</v>
      </c>
      <c r="I2015">
        <v>98206186</v>
      </c>
    </row>
    <row r="2016" spans="1:9" x14ac:dyDescent="0.2">
      <c r="A2016" t="str">
        <f>"Arhgef3"</f>
        <v>Arhgef3</v>
      </c>
      <c r="B2016" t="s">
        <v>2149</v>
      </c>
      <c r="C2016" t="s">
        <v>41</v>
      </c>
      <c r="D2016" t="s">
        <v>17</v>
      </c>
      <c r="E2016" t="s">
        <v>35</v>
      </c>
      <c r="F2016">
        <v>27238009</v>
      </c>
      <c r="G2016">
        <v>27238012</v>
      </c>
      <c r="H2016">
        <v>27238048</v>
      </c>
      <c r="I2016">
        <v>27238063</v>
      </c>
    </row>
    <row r="2017" spans="1:9" x14ac:dyDescent="0.2">
      <c r="A2017" t="str">
        <f>"Arhgef33"</f>
        <v>Arhgef33</v>
      </c>
      <c r="B2017" t="s">
        <v>14</v>
      </c>
      <c r="C2017" t="s">
        <v>28</v>
      </c>
      <c r="D2017" t="s">
        <v>17</v>
      </c>
      <c r="E2017" t="s">
        <v>12</v>
      </c>
      <c r="F2017">
        <v>80307396</v>
      </c>
      <c r="G2017">
        <v>80307413</v>
      </c>
      <c r="H2017">
        <v>80307383</v>
      </c>
      <c r="I2017">
        <v>80307394</v>
      </c>
    </row>
    <row r="2018" spans="1:9" x14ac:dyDescent="0.2">
      <c r="A2018" t="str">
        <f>"Arhgef37"</f>
        <v>Arhgef37</v>
      </c>
      <c r="B2018" t="s">
        <v>14</v>
      </c>
      <c r="C2018" t="s">
        <v>43</v>
      </c>
      <c r="D2018" t="s">
        <v>11</v>
      </c>
      <c r="E2018" t="s">
        <v>12</v>
      </c>
      <c r="F2018">
        <v>61536522</v>
      </c>
      <c r="G2018">
        <v>61536558</v>
      </c>
      <c r="H2018">
        <v>61536444</v>
      </c>
      <c r="I2018">
        <v>61536470</v>
      </c>
    </row>
    <row r="2019" spans="1:9" x14ac:dyDescent="0.2">
      <c r="A2019" t="str">
        <f>"Arhgef38"</f>
        <v>Arhgef38</v>
      </c>
      <c r="B2019" t="s">
        <v>14</v>
      </c>
      <c r="C2019" t="s">
        <v>22</v>
      </c>
      <c r="D2019" t="s">
        <v>11</v>
      </c>
      <c r="E2019" t="s">
        <v>12</v>
      </c>
      <c r="F2019">
        <v>133234917</v>
      </c>
      <c r="G2019">
        <v>133234932</v>
      </c>
      <c r="H2019">
        <v>133234939</v>
      </c>
      <c r="I2019">
        <v>133234961</v>
      </c>
    </row>
    <row r="2020" spans="1:9" x14ac:dyDescent="0.2">
      <c r="A2020" t="str">
        <f>"Arhgef39"</f>
        <v>Arhgef39</v>
      </c>
      <c r="B2020" t="s">
        <v>14</v>
      </c>
      <c r="C2020" t="s">
        <v>23</v>
      </c>
      <c r="D2020" t="s">
        <v>11</v>
      </c>
      <c r="E2020" t="s">
        <v>67</v>
      </c>
      <c r="F2020">
        <v>43499617</v>
      </c>
      <c r="G2020">
        <v>43499677</v>
      </c>
      <c r="H2020">
        <v>43499684</v>
      </c>
      <c r="I2020">
        <v>43499697</v>
      </c>
    </row>
    <row r="2021" spans="1:9" x14ac:dyDescent="0.2">
      <c r="A2021" t="str">
        <f>"Arhgef4"</f>
        <v>Arhgef4</v>
      </c>
      <c r="B2021" t="s">
        <v>9</v>
      </c>
      <c r="C2021" t="s">
        <v>19</v>
      </c>
      <c r="D2021" t="s">
        <v>17</v>
      </c>
      <c r="E2021" t="s">
        <v>12</v>
      </c>
      <c r="F2021">
        <v>34801708</v>
      </c>
      <c r="G2021">
        <v>34801776</v>
      </c>
      <c r="H2021">
        <v>34801708</v>
      </c>
      <c r="I2021">
        <v>34801776</v>
      </c>
    </row>
    <row r="2022" spans="1:9" x14ac:dyDescent="0.2">
      <c r="A2022" t="str">
        <f>"Arhgef4"</f>
        <v>Arhgef4</v>
      </c>
      <c r="B2022" t="s">
        <v>13</v>
      </c>
      <c r="C2022" t="s">
        <v>19</v>
      </c>
      <c r="D2022" t="s">
        <v>17</v>
      </c>
      <c r="E2022" t="s">
        <v>12</v>
      </c>
      <c r="F2022">
        <v>34750584</v>
      </c>
      <c r="G2022">
        <v>34750652</v>
      </c>
      <c r="H2022">
        <v>34750584</v>
      </c>
      <c r="I2022">
        <v>34750652</v>
      </c>
    </row>
    <row r="2023" spans="1:9" x14ac:dyDescent="0.2">
      <c r="A2023" t="str">
        <f>"Arhgef40"</f>
        <v>Arhgef40</v>
      </c>
      <c r="B2023" t="s">
        <v>14</v>
      </c>
      <c r="C2023" t="s">
        <v>41</v>
      </c>
      <c r="D2023" t="s">
        <v>17</v>
      </c>
      <c r="E2023" t="s">
        <v>12</v>
      </c>
      <c r="F2023">
        <v>51984857</v>
      </c>
      <c r="G2023">
        <v>51984908</v>
      </c>
      <c r="H2023">
        <v>51984826</v>
      </c>
      <c r="I2023">
        <v>51984856</v>
      </c>
    </row>
    <row r="2024" spans="1:9" x14ac:dyDescent="0.2">
      <c r="A2024" t="str">
        <f>"Arhgef5"</f>
        <v>Arhgef5</v>
      </c>
      <c r="B2024" t="s">
        <v>14</v>
      </c>
      <c r="C2024" t="s">
        <v>32</v>
      </c>
      <c r="D2024" t="s">
        <v>17</v>
      </c>
      <c r="E2024" t="s">
        <v>12</v>
      </c>
      <c r="F2024">
        <v>43265616</v>
      </c>
      <c r="G2024">
        <v>43265681</v>
      </c>
      <c r="H2024">
        <v>43265684</v>
      </c>
      <c r="I2024">
        <v>43265712</v>
      </c>
    </row>
    <row r="2025" spans="1:9" x14ac:dyDescent="0.2">
      <c r="A2025" t="str">
        <f>"Arhgef6"</f>
        <v>Arhgef6</v>
      </c>
      <c r="B2025" t="s">
        <v>9</v>
      </c>
      <c r="C2025" t="s">
        <v>37</v>
      </c>
      <c r="D2025" t="s">
        <v>11</v>
      </c>
      <c r="E2025" t="s">
        <v>12</v>
      </c>
      <c r="F2025">
        <v>57338513</v>
      </c>
      <c r="G2025">
        <v>57338583</v>
      </c>
      <c r="H2025">
        <v>57338513</v>
      </c>
      <c r="I2025">
        <v>57338583</v>
      </c>
    </row>
    <row r="2026" spans="1:9" x14ac:dyDescent="0.2">
      <c r="A2026" t="str">
        <f>"Arhgef6"</f>
        <v>Arhgef6</v>
      </c>
      <c r="B2026" t="s">
        <v>13</v>
      </c>
      <c r="C2026" t="s">
        <v>37</v>
      </c>
      <c r="D2026" t="s">
        <v>11</v>
      </c>
      <c r="E2026" t="s">
        <v>12</v>
      </c>
      <c r="F2026">
        <v>57326593</v>
      </c>
      <c r="G2026">
        <v>57326677</v>
      </c>
      <c r="H2026">
        <v>57326593</v>
      </c>
      <c r="I2026">
        <v>57326677</v>
      </c>
    </row>
    <row r="2027" spans="1:9" x14ac:dyDescent="0.2">
      <c r="A2027" t="str">
        <f>"Arhgef7"</f>
        <v>Arhgef7</v>
      </c>
      <c r="B2027" t="s">
        <v>2150</v>
      </c>
      <c r="C2027" t="s">
        <v>30</v>
      </c>
      <c r="D2027" t="s">
        <v>17</v>
      </c>
      <c r="E2027" t="s">
        <v>35</v>
      </c>
      <c r="F2027">
        <v>11727945</v>
      </c>
      <c r="G2027">
        <v>11727967</v>
      </c>
      <c r="H2027">
        <v>11728263</v>
      </c>
      <c r="I2027">
        <v>11728270</v>
      </c>
    </row>
    <row r="2028" spans="1:9" x14ac:dyDescent="0.2">
      <c r="A2028" t="str">
        <f>"Arhgef9"</f>
        <v>Arhgef9</v>
      </c>
      <c r="B2028" t="s">
        <v>9</v>
      </c>
      <c r="C2028" t="s">
        <v>37</v>
      </c>
      <c r="D2028" t="s">
        <v>11</v>
      </c>
      <c r="E2028" t="s">
        <v>12</v>
      </c>
      <c r="F2028">
        <v>95196450</v>
      </c>
      <c r="G2028">
        <v>95196519</v>
      </c>
      <c r="H2028">
        <v>95196450</v>
      </c>
      <c r="I2028">
        <v>95196519</v>
      </c>
    </row>
    <row r="2029" spans="1:9" x14ac:dyDescent="0.2">
      <c r="A2029" t="str">
        <f>"Arhgef9"</f>
        <v>Arhgef9</v>
      </c>
      <c r="B2029" t="s">
        <v>13</v>
      </c>
      <c r="C2029" t="s">
        <v>37</v>
      </c>
      <c r="D2029" t="s">
        <v>11</v>
      </c>
      <c r="E2029" t="s">
        <v>12</v>
      </c>
      <c r="F2029">
        <v>95166343</v>
      </c>
      <c r="G2029">
        <v>95166426</v>
      </c>
      <c r="H2029">
        <v>95166343</v>
      </c>
      <c r="I2029">
        <v>95166426</v>
      </c>
    </row>
    <row r="2030" spans="1:9" x14ac:dyDescent="0.2">
      <c r="A2030" t="str">
        <f>"Arid1a"</f>
        <v>Arid1a</v>
      </c>
      <c r="B2030" t="s">
        <v>14</v>
      </c>
      <c r="C2030" t="s">
        <v>23</v>
      </c>
      <c r="D2030" t="s">
        <v>11</v>
      </c>
      <c r="E2030" t="s">
        <v>12</v>
      </c>
      <c r="F2030">
        <v>133753961</v>
      </c>
      <c r="G2030">
        <v>133754019</v>
      </c>
      <c r="H2030">
        <v>133753961</v>
      </c>
      <c r="I2030">
        <v>133754019</v>
      </c>
    </row>
    <row r="2031" spans="1:9" x14ac:dyDescent="0.2">
      <c r="A2031" t="str">
        <f>"Arid1b"</f>
        <v>Arid1b</v>
      </c>
      <c r="B2031" t="s">
        <v>9</v>
      </c>
      <c r="C2031" t="s">
        <v>28</v>
      </c>
      <c r="D2031" t="s">
        <v>17</v>
      </c>
      <c r="E2031" t="s">
        <v>12</v>
      </c>
      <c r="F2031">
        <v>4995902</v>
      </c>
      <c r="G2031">
        <v>4995959</v>
      </c>
      <c r="H2031">
        <v>4995902</v>
      </c>
      <c r="I2031">
        <v>4995959</v>
      </c>
    </row>
    <row r="2032" spans="1:9" x14ac:dyDescent="0.2">
      <c r="A2032" t="str">
        <f>"Arid1b"</f>
        <v>Arid1b</v>
      </c>
      <c r="B2032" t="s">
        <v>13</v>
      </c>
      <c r="C2032" t="s">
        <v>28</v>
      </c>
      <c r="D2032" t="s">
        <v>17</v>
      </c>
      <c r="E2032" t="s">
        <v>12</v>
      </c>
      <c r="F2032">
        <v>4994286</v>
      </c>
      <c r="G2032">
        <v>4994373</v>
      </c>
      <c r="H2032">
        <v>4994286</v>
      </c>
      <c r="I2032">
        <v>4994373</v>
      </c>
    </row>
    <row r="2033" spans="1:9" x14ac:dyDescent="0.2">
      <c r="A2033" t="str">
        <f>"Arid2"</f>
        <v>Arid2</v>
      </c>
      <c r="B2033" t="s">
        <v>14</v>
      </c>
      <c r="C2033" t="s">
        <v>25</v>
      </c>
      <c r="D2033" t="s">
        <v>17</v>
      </c>
      <c r="E2033" t="s">
        <v>12</v>
      </c>
      <c r="F2033">
        <v>96287537</v>
      </c>
      <c r="G2033">
        <v>96287604</v>
      </c>
      <c r="H2033">
        <v>96287537</v>
      </c>
      <c r="I2033">
        <v>96287604</v>
      </c>
    </row>
    <row r="2034" spans="1:9" x14ac:dyDescent="0.2">
      <c r="A2034" t="str">
        <f>"Arid3a"</f>
        <v>Arid3a</v>
      </c>
      <c r="B2034" t="s">
        <v>14</v>
      </c>
      <c r="C2034" t="s">
        <v>15</v>
      </c>
      <c r="D2034" t="s">
        <v>17</v>
      </c>
      <c r="E2034" t="s">
        <v>12</v>
      </c>
      <c r="F2034">
        <v>79927039</v>
      </c>
      <c r="G2034">
        <v>79927088</v>
      </c>
      <c r="H2034">
        <v>79927330</v>
      </c>
      <c r="I2034">
        <v>79927370</v>
      </c>
    </row>
    <row r="2035" spans="1:9" x14ac:dyDescent="0.2">
      <c r="A2035" t="str">
        <f>"Arid3b"</f>
        <v>Arid3b</v>
      </c>
      <c r="B2035" t="s">
        <v>14</v>
      </c>
      <c r="C2035" t="s">
        <v>24</v>
      </c>
      <c r="D2035" t="s">
        <v>11</v>
      </c>
      <c r="E2035" t="s">
        <v>12</v>
      </c>
      <c r="F2035">
        <v>57836713</v>
      </c>
      <c r="G2035">
        <v>57836805</v>
      </c>
      <c r="H2035">
        <v>57836650</v>
      </c>
      <c r="I2035">
        <v>57836667</v>
      </c>
    </row>
    <row r="2036" spans="1:9" x14ac:dyDescent="0.2">
      <c r="A2036" t="str">
        <f>"Arid3c"</f>
        <v>Arid3c</v>
      </c>
      <c r="B2036" t="s">
        <v>14</v>
      </c>
      <c r="C2036" t="s">
        <v>23</v>
      </c>
      <c r="D2036" t="s">
        <v>11</v>
      </c>
      <c r="E2036" t="s">
        <v>12</v>
      </c>
      <c r="F2036">
        <v>41731224</v>
      </c>
      <c r="G2036">
        <v>41731263</v>
      </c>
      <c r="H2036">
        <v>41731224</v>
      </c>
      <c r="I2036">
        <v>41731263</v>
      </c>
    </row>
    <row r="2037" spans="1:9" x14ac:dyDescent="0.2">
      <c r="A2037" t="str">
        <f>"Arid4a"</f>
        <v>Arid4a</v>
      </c>
      <c r="B2037" t="s">
        <v>14</v>
      </c>
      <c r="C2037" t="s">
        <v>16</v>
      </c>
      <c r="D2037" t="s">
        <v>17</v>
      </c>
      <c r="E2037" t="s">
        <v>12</v>
      </c>
      <c r="F2037">
        <v>71015966</v>
      </c>
      <c r="G2037">
        <v>71016063</v>
      </c>
      <c r="H2037">
        <v>71015966</v>
      </c>
      <c r="I2037">
        <v>71016063</v>
      </c>
    </row>
    <row r="2038" spans="1:9" x14ac:dyDescent="0.2">
      <c r="A2038" t="str">
        <f>"Arid4b"</f>
        <v>Arid4b</v>
      </c>
      <c r="B2038" t="s">
        <v>14</v>
      </c>
      <c r="C2038" t="s">
        <v>39</v>
      </c>
      <c r="D2038" t="s">
        <v>17</v>
      </c>
      <c r="E2038" t="s">
        <v>12</v>
      </c>
      <c r="F2038">
        <v>14063776</v>
      </c>
      <c r="G2038">
        <v>14063822</v>
      </c>
      <c r="H2038">
        <v>14064053</v>
      </c>
      <c r="I2038">
        <v>14064071</v>
      </c>
    </row>
    <row r="2039" spans="1:9" x14ac:dyDescent="0.2">
      <c r="A2039" t="str">
        <f>"Arid5a"</f>
        <v>Arid5a</v>
      </c>
      <c r="B2039" t="s">
        <v>14</v>
      </c>
      <c r="C2039" t="s">
        <v>19</v>
      </c>
      <c r="D2039" t="s">
        <v>17</v>
      </c>
      <c r="E2039" t="s">
        <v>12</v>
      </c>
      <c r="F2039">
        <v>36307745</v>
      </c>
      <c r="G2039">
        <v>36307763</v>
      </c>
      <c r="H2039">
        <v>36307727</v>
      </c>
      <c r="I2039">
        <v>36307735</v>
      </c>
    </row>
    <row r="2040" spans="1:9" x14ac:dyDescent="0.2">
      <c r="A2040" t="str">
        <f>"Arid5b"</f>
        <v>Arid5b</v>
      </c>
      <c r="B2040" t="s">
        <v>14</v>
      </c>
      <c r="C2040" t="s">
        <v>15</v>
      </c>
      <c r="D2040" t="s">
        <v>11</v>
      </c>
      <c r="E2040" t="s">
        <v>12</v>
      </c>
      <c r="F2040">
        <v>68278713</v>
      </c>
      <c r="G2040">
        <v>68278735</v>
      </c>
      <c r="H2040">
        <v>68278713</v>
      </c>
      <c r="I2040">
        <v>68278735</v>
      </c>
    </row>
    <row r="2041" spans="1:9" x14ac:dyDescent="0.2">
      <c r="A2041" t="str">
        <f>"Arih1"</f>
        <v>Arih1</v>
      </c>
      <c r="B2041" t="s">
        <v>14</v>
      </c>
      <c r="C2041" t="s">
        <v>24</v>
      </c>
      <c r="D2041" t="s">
        <v>11</v>
      </c>
      <c r="E2041" t="s">
        <v>12</v>
      </c>
      <c r="F2041">
        <v>59486647</v>
      </c>
      <c r="G2041">
        <v>59486679</v>
      </c>
      <c r="H2041">
        <v>59486323</v>
      </c>
      <c r="I2041">
        <v>59486415</v>
      </c>
    </row>
    <row r="2042" spans="1:9" x14ac:dyDescent="0.2">
      <c r="A2042" t="str">
        <f>"Arih2"</f>
        <v>Arih2</v>
      </c>
      <c r="B2042" t="s">
        <v>14</v>
      </c>
      <c r="C2042" t="s">
        <v>24</v>
      </c>
      <c r="D2042" t="s">
        <v>11</v>
      </c>
      <c r="E2042" t="s">
        <v>12</v>
      </c>
      <c r="F2042">
        <v>108649349</v>
      </c>
      <c r="G2042">
        <v>108649407</v>
      </c>
      <c r="H2042">
        <v>108649309</v>
      </c>
      <c r="I2042">
        <v>108649323</v>
      </c>
    </row>
    <row r="2043" spans="1:9" x14ac:dyDescent="0.2">
      <c r="A2043" t="str">
        <f>"Arl1"</f>
        <v>Arl1</v>
      </c>
      <c r="B2043" t="s">
        <v>14</v>
      </c>
      <c r="C2043" t="s">
        <v>15</v>
      </c>
      <c r="D2043" t="s">
        <v>17</v>
      </c>
      <c r="E2043" t="s">
        <v>12</v>
      </c>
      <c r="F2043">
        <v>88731352</v>
      </c>
      <c r="G2043">
        <v>88731400</v>
      </c>
      <c r="H2043">
        <v>88731404</v>
      </c>
      <c r="I2043">
        <v>88731423</v>
      </c>
    </row>
    <row r="2044" spans="1:9" x14ac:dyDescent="0.2">
      <c r="A2044" t="str">
        <f>"Arl10"</f>
        <v>Arl10</v>
      </c>
      <c r="B2044" t="s">
        <v>14</v>
      </c>
      <c r="C2044" t="s">
        <v>39</v>
      </c>
      <c r="D2044" t="s">
        <v>17</v>
      </c>
      <c r="E2044" t="s">
        <v>12</v>
      </c>
      <c r="F2044">
        <v>54575020</v>
      </c>
      <c r="G2044">
        <v>54575093</v>
      </c>
      <c r="H2044">
        <v>54575008</v>
      </c>
      <c r="I2044">
        <v>54575017</v>
      </c>
    </row>
    <row r="2045" spans="1:9" x14ac:dyDescent="0.2">
      <c r="A2045" t="str">
        <f>"Arl11"</f>
        <v>Arl11</v>
      </c>
      <c r="B2045" t="s">
        <v>14</v>
      </c>
      <c r="C2045" t="s">
        <v>41</v>
      </c>
      <c r="D2045" t="s">
        <v>17</v>
      </c>
      <c r="E2045" t="s">
        <v>12</v>
      </c>
      <c r="F2045">
        <v>61309819</v>
      </c>
      <c r="G2045">
        <v>61309855</v>
      </c>
      <c r="H2045">
        <v>61309819</v>
      </c>
      <c r="I2045">
        <v>61309855</v>
      </c>
    </row>
    <row r="2046" spans="1:9" x14ac:dyDescent="0.2">
      <c r="A2046" t="str">
        <f>"Arl13a"</f>
        <v>Arl13a</v>
      </c>
      <c r="B2046" t="s">
        <v>14</v>
      </c>
      <c r="C2046" t="s">
        <v>37</v>
      </c>
      <c r="D2046" t="s">
        <v>17</v>
      </c>
      <c r="E2046" t="s">
        <v>12</v>
      </c>
      <c r="F2046">
        <v>134187492</v>
      </c>
      <c r="G2046">
        <v>134187503</v>
      </c>
      <c r="H2046">
        <v>134187505</v>
      </c>
      <c r="I2046">
        <v>134187513</v>
      </c>
    </row>
    <row r="2047" spans="1:9" x14ac:dyDescent="0.2">
      <c r="A2047" t="str">
        <f>"Arl13b"</f>
        <v>Arl13b</v>
      </c>
      <c r="B2047" t="s">
        <v>14</v>
      </c>
      <c r="C2047" t="s">
        <v>31</v>
      </c>
      <c r="D2047" t="s">
        <v>11</v>
      </c>
      <c r="E2047" t="s">
        <v>12</v>
      </c>
      <c r="F2047">
        <v>62846947</v>
      </c>
      <c r="G2047">
        <v>62847005</v>
      </c>
      <c r="H2047">
        <v>62847008</v>
      </c>
      <c r="I2047">
        <v>62847041</v>
      </c>
    </row>
    <row r="2048" spans="1:9" x14ac:dyDescent="0.2">
      <c r="A2048" t="str">
        <f>"Arl14ep"</f>
        <v>Arl14ep</v>
      </c>
      <c r="B2048" t="s">
        <v>14</v>
      </c>
      <c r="C2048" t="s">
        <v>26</v>
      </c>
      <c r="D2048" t="s">
        <v>11</v>
      </c>
      <c r="E2048" t="s">
        <v>67</v>
      </c>
      <c r="F2048">
        <v>106974383</v>
      </c>
      <c r="G2048">
        <v>106974422</v>
      </c>
      <c r="H2048">
        <v>106974332</v>
      </c>
      <c r="I2048">
        <v>106974360</v>
      </c>
    </row>
    <row r="2049" spans="1:9" x14ac:dyDescent="0.2">
      <c r="A2049" t="str">
        <f>"Arl14epl"</f>
        <v>Arl14epl</v>
      </c>
      <c r="B2049" t="s">
        <v>2151</v>
      </c>
      <c r="C2049" t="s">
        <v>43</v>
      </c>
      <c r="D2049" t="s">
        <v>17</v>
      </c>
      <c r="E2049" t="s">
        <v>20</v>
      </c>
      <c r="F2049">
        <v>46925981</v>
      </c>
      <c r="G2049">
        <v>46925981</v>
      </c>
      <c r="H2049">
        <v>46925981</v>
      </c>
      <c r="I2049">
        <v>46925981</v>
      </c>
    </row>
    <row r="2050" spans="1:9" x14ac:dyDescent="0.2">
      <c r="A2050" t="str">
        <f>"Arl15"</f>
        <v>Arl15</v>
      </c>
      <c r="B2050" t="s">
        <v>14</v>
      </c>
      <c r="C2050" t="s">
        <v>39</v>
      </c>
      <c r="D2050" t="s">
        <v>17</v>
      </c>
      <c r="E2050" t="s">
        <v>12</v>
      </c>
      <c r="F2050">
        <v>113794515</v>
      </c>
      <c r="G2050">
        <v>113794572</v>
      </c>
      <c r="H2050">
        <v>113794604</v>
      </c>
      <c r="I2050">
        <v>113794618</v>
      </c>
    </row>
    <row r="2051" spans="1:9" x14ac:dyDescent="0.2">
      <c r="A2051" t="str">
        <f>"Arl16"</f>
        <v>Arl16</v>
      </c>
      <c r="B2051" t="s">
        <v>14</v>
      </c>
      <c r="C2051" t="s">
        <v>27</v>
      </c>
      <c r="D2051" t="s">
        <v>11</v>
      </c>
      <c r="E2051" t="s">
        <v>12</v>
      </c>
      <c r="F2051">
        <v>120467414</v>
      </c>
      <c r="G2051">
        <v>120467479</v>
      </c>
      <c r="H2051">
        <v>120467330</v>
      </c>
      <c r="I2051">
        <v>120467371</v>
      </c>
    </row>
    <row r="2052" spans="1:9" x14ac:dyDescent="0.2">
      <c r="A2052" t="str">
        <f>"Arl2"</f>
        <v>Arl2</v>
      </c>
      <c r="B2052" t="s">
        <v>14</v>
      </c>
      <c r="C2052" t="s">
        <v>10</v>
      </c>
      <c r="D2052" t="s">
        <v>11</v>
      </c>
      <c r="E2052" t="s">
        <v>12</v>
      </c>
      <c r="F2052">
        <v>6141128</v>
      </c>
      <c r="G2052">
        <v>6141168</v>
      </c>
      <c r="H2052">
        <v>6141075</v>
      </c>
      <c r="I2052">
        <v>6141122</v>
      </c>
    </row>
    <row r="2053" spans="1:9" x14ac:dyDescent="0.2">
      <c r="A2053" t="str">
        <f>"Arl2bp"</f>
        <v>Arl2bp</v>
      </c>
      <c r="B2053" t="s">
        <v>14</v>
      </c>
      <c r="C2053" t="s">
        <v>30</v>
      </c>
      <c r="D2053" t="s">
        <v>17</v>
      </c>
      <c r="E2053" t="s">
        <v>12</v>
      </c>
      <c r="F2053">
        <v>94666614</v>
      </c>
      <c r="G2053">
        <v>94666650</v>
      </c>
      <c r="H2053">
        <v>94666652</v>
      </c>
      <c r="I2053">
        <v>94666676</v>
      </c>
    </row>
    <row r="2054" spans="1:9" x14ac:dyDescent="0.2">
      <c r="A2054" t="str">
        <f>"Arl3"</f>
        <v>Arl3</v>
      </c>
      <c r="B2054" t="s">
        <v>14</v>
      </c>
      <c r="C2054" t="s">
        <v>10</v>
      </c>
      <c r="D2054" t="s">
        <v>11</v>
      </c>
      <c r="E2054" t="s">
        <v>12</v>
      </c>
      <c r="F2054">
        <v>46573096</v>
      </c>
      <c r="G2054">
        <v>46573207</v>
      </c>
      <c r="H2054">
        <v>46573059</v>
      </c>
      <c r="I2054">
        <v>46573082</v>
      </c>
    </row>
    <row r="2055" spans="1:9" x14ac:dyDescent="0.2">
      <c r="A2055" t="str">
        <f>"Arl4a"</f>
        <v>Arl4a</v>
      </c>
      <c r="B2055" t="s">
        <v>14</v>
      </c>
      <c r="C2055" t="s">
        <v>16</v>
      </c>
      <c r="D2055" t="s">
        <v>11</v>
      </c>
      <c r="E2055" t="s">
        <v>12</v>
      </c>
      <c r="F2055">
        <v>40037368</v>
      </c>
      <c r="G2055">
        <v>40037382</v>
      </c>
      <c r="H2055">
        <v>40037919</v>
      </c>
      <c r="I2055">
        <v>40038013</v>
      </c>
    </row>
    <row r="2056" spans="1:9" x14ac:dyDescent="0.2">
      <c r="A2056" t="str">
        <f>"Arl4c"</f>
        <v>Arl4c</v>
      </c>
      <c r="B2056" t="s">
        <v>14</v>
      </c>
      <c r="C2056" t="s">
        <v>19</v>
      </c>
      <c r="D2056" t="s">
        <v>11</v>
      </c>
      <c r="E2056" t="s">
        <v>12</v>
      </c>
      <c r="F2056">
        <v>88702121</v>
      </c>
      <c r="G2056">
        <v>88702180</v>
      </c>
      <c r="H2056">
        <v>88701687</v>
      </c>
      <c r="I2056">
        <v>88701705</v>
      </c>
    </row>
    <row r="2057" spans="1:9" x14ac:dyDescent="0.2">
      <c r="A2057" t="str">
        <f>"Arl4d"</f>
        <v>Arl4d</v>
      </c>
      <c r="B2057" t="s">
        <v>14</v>
      </c>
      <c r="C2057" t="s">
        <v>27</v>
      </c>
      <c r="D2057" t="s">
        <v>17</v>
      </c>
      <c r="E2057" t="s">
        <v>12</v>
      </c>
      <c r="F2057">
        <v>101665554</v>
      </c>
      <c r="G2057">
        <v>101665572</v>
      </c>
      <c r="H2057">
        <v>101665554</v>
      </c>
      <c r="I2057">
        <v>101665572</v>
      </c>
    </row>
    <row r="2058" spans="1:9" x14ac:dyDescent="0.2">
      <c r="A2058" t="str">
        <f>"Arl5a"</f>
        <v>Arl5a</v>
      </c>
      <c r="B2058" t="s">
        <v>14</v>
      </c>
      <c r="C2058" t="s">
        <v>26</v>
      </c>
      <c r="D2058" t="s">
        <v>11</v>
      </c>
      <c r="E2058" t="s">
        <v>12</v>
      </c>
      <c r="F2058">
        <v>52424826</v>
      </c>
      <c r="G2058">
        <v>52424916</v>
      </c>
      <c r="H2058">
        <v>52424917</v>
      </c>
      <c r="I2058">
        <v>52424935</v>
      </c>
    </row>
    <row r="2059" spans="1:9" x14ac:dyDescent="0.2">
      <c r="A2059" t="str">
        <f>"Arl5b"</f>
        <v>Arl5b</v>
      </c>
      <c r="B2059" t="s">
        <v>14</v>
      </c>
      <c r="C2059" t="s">
        <v>26</v>
      </c>
      <c r="D2059" t="s">
        <v>17</v>
      </c>
      <c r="E2059" t="s">
        <v>12</v>
      </c>
      <c r="F2059">
        <v>15055274</v>
      </c>
      <c r="G2059">
        <v>15055379</v>
      </c>
      <c r="H2059">
        <v>15055382</v>
      </c>
      <c r="I2059">
        <v>15055402</v>
      </c>
    </row>
    <row r="2060" spans="1:9" x14ac:dyDescent="0.2">
      <c r="A2060" t="str">
        <f>"Arl5c"</f>
        <v>Arl5c</v>
      </c>
      <c r="B2060" t="s">
        <v>14</v>
      </c>
      <c r="C2060" t="s">
        <v>27</v>
      </c>
      <c r="D2060" t="s">
        <v>11</v>
      </c>
      <c r="E2060" t="s">
        <v>12</v>
      </c>
      <c r="F2060">
        <v>97995863</v>
      </c>
      <c r="G2060">
        <v>97995935</v>
      </c>
      <c r="H2060">
        <v>97996171</v>
      </c>
      <c r="I2060">
        <v>97996190</v>
      </c>
    </row>
    <row r="2061" spans="1:9" x14ac:dyDescent="0.2">
      <c r="A2061" t="str">
        <f>"Arl6"</f>
        <v>Arl6</v>
      </c>
      <c r="B2061" t="s">
        <v>14</v>
      </c>
      <c r="C2061" t="s">
        <v>31</v>
      </c>
      <c r="D2061" t="s">
        <v>11</v>
      </c>
      <c r="E2061" t="s">
        <v>12</v>
      </c>
      <c r="F2061">
        <v>59639124</v>
      </c>
      <c r="G2061">
        <v>59639191</v>
      </c>
      <c r="H2061">
        <v>59639384</v>
      </c>
      <c r="I2061">
        <v>59639443</v>
      </c>
    </row>
    <row r="2062" spans="1:9" x14ac:dyDescent="0.2">
      <c r="A2062" t="str">
        <f>"Arl6ip1"</f>
        <v>Arl6ip1</v>
      </c>
      <c r="B2062" t="s">
        <v>14</v>
      </c>
      <c r="C2062" t="s">
        <v>33</v>
      </c>
      <c r="D2062" t="s">
        <v>11</v>
      </c>
      <c r="E2062" t="s">
        <v>12</v>
      </c>
      <c r="F2062">
        <v>118129567</v>
      </c>
      <c r="G2062">
        <v>118129584</v>
      </c>
      <c r="H2062">
        <v>118129672</v>
      </c>
      <c r="I2062">
        <v>118129679</v>
      </c>
    </row>
    <row r="2063" spans="1:9" x14ac:dyDescent="0.2">
      <c r="A2063" t="str">
        <f>"Arl6ip4"</f>
        <v>Arl6ip4</v>
      </c>
      <c r="B2063" t="s">
        <v>14</v>
      </c>
      <c r="C2063" t="s">
        <v>46</v>
      </c>
      <c r="D2063" t="s">
        <v>17</v>
      </c>
      <c r="E2063" t="s">
        <v>12</v>
      </c>
      <c r="F2063">
        <v>124116085</v>
      </c>
      <c r="G2063">
        <v>124116124</v>
      </c>
      <c r="H2063">
        <v>124116072</v>
      </c>
      <c r="I2063">
        <v>124116083</v>
      </c>
    </row>
    <row r="2064" spans="1:9" x14ac:dyDescent="0.2">
      <c r="A2064" t="str">
        <f>"Arl6ip5"</f>
        <v>Arl6ip5</v>
      </c>
      <c r="B2064" t="s">
        <v>14</v>
      </c>
      <c r="C2064" t="s">
        <v>32</v>
      </c>
      <c r="D2064" t="s">
        <v>17</v>
      </c>
      <c r="E2064" t="s">
        <v>12</v>
      </c>
      <c r="F2064">
        <v>97210780</v>
      </c>
      <c r="G2064">
        <v>97210818</v>
      </c>
      <c r="H2064">
        <v>97210717</v>
      </c>
      <c r="I2064">
        <v>97210728</v>
      </c>
    </row>
    <row r="2065" spans="1:9" x14ac:dyDescent="0.2">
      <c r="A2065" t="str">
        <f>"Arl6ip6"</f>
        <v>Arl6ip6</v>
      </c>
      <c r="B2065" t="s">
        <v>14</v>
      </c>
      <c r="C2065" t="s">
        <v>26</v>
      </c>
      <c r="D2065" t="s">
        <v>17</v>
      </c>
      <c r="E2065" t="s">
        <v>12</v>
      </c>
      <c r="F2065">
        <v>53192101</v>
      </c>
      <c r="G2065">
        <v>53192128</v>
      </c>
      <c r="H2065">
        <v>53192067</v>
      </c>
      <c r="I2065">
        <v>53192100</v>
      </c>
    </row>
    <row r="2066" spans="1:9" x14ac:dyDescent="0.2">
      <c r="A2066" t="str">
        <f>"Arl8a"</f>
        <v>Arl8a</v>
      </c>
      <c r="B2066" t="s">
        <v>14</v>
      </c>
      <c r="C2066" t="s">
        <v>19</v>
      </c>
      <c r="D2066" t="s">
        <v>17</v>
      </c>
      <c r="E2066" t="s">
        <v>12</v>
      </c>
      <c r="F2066">
        <v>135146782</v>
      </c>
      <c r="G2066">
        <v>135146871</v>
      </c>
      <c r="H2066">
        <v>135146707</v>
      </c>
      <c r="I2066">
        <v>135146718</v>
      </c>
    </row>
    <row r="2067" spans="1:9" x14ac:dyDescent="0.2">
      <c r="A2067" t="str">
        <f>"Arl8b"</f>
        <v>Arl8b</v>
      </c>
      <c r="B2067" t="s">
        <v>14</v>
      </c>
      <c r="C2067" t="s">
        <v>32</v>
      </c>
      <c r="D2067" t="s">
        <v>17</v>
      </c>
      <c r="E2067" t="s">
        <v>12</v>
      </c>
      <c r="F2067">
        <v>108783064</v>
      </c>
      <c r="G2067">
        <v>108783116</v>
      </c>
      <c r="H2067">
        <v>108783117</v>
      </c>
      <c r="I2067">
        <v>108783135</v>
      </c>
    </row>
    <row r="2068" spans="1:9" x14ac:dyDescent="0.2">
      <c r="A2068" t="str">
        <f>"Arl9"</f>
        <v>Arl9</v>
      </c>
      <c r="B2068" t="s">
        <v>2152</v>
      </c>
      <c r="C2068" t="s">
        <v>46</v>
      </c>
      <c r="D2068" t="s">
        <v>17</v>
      </c>
      <c r="E2068" t="s">
        <v>20</v>
      </c>
      <c r="F2068">
        <v>77004054</v>
      </c>
      <c r="G2068">
        <v>77004054</v>
      </c>
      <c r="H2068">
        <v>77004054</v>
      </c>
      <c r="I2068">
        <v>77004054</v>
      </c>
    </row>
    <row r="2069" spans="1:9" x14ac:dyDescent="0.2">
      <c r="A2069" t="str">
        <f>"Armc1"</f>
        <v>Armc1</v>
      </c>
      <c r="B2069" t="s">
        <v>14</v>
      </c>
      <c r="C2069" t="s">
        <v>22</v>
      </c>
      <c r="D2069" t="s">
        <v>11</v>
      </c>
      <c r="E2069" t="s">
        <v>12</v>
      </c>
      <c r="F2069">
        <v>19163011</v>
      </c>
      <c r="G2069">
        <v>19163085</v>
      </c>
      <c r="H2069">
        <v>19163011</v>
      </c>
      <c r="I2069">
        <v>19163085</v>
      </c>
    </row>
    <row r="2070" spans="1:9" x14ac:dyDescent="0.2">
      <c r="A2070" t="str">
        <f>"Armc10"</f>
        <v>Armc10</v>
      </c>
      <c r="B2070" t="s">
        <v>14</v>
      </c>
      <c r="C2070" t="s">
        <v>46</v>
      </c>
      <c r="D2070" t="s">
        <v>17</v>
      </c>
      <c r="E2070" t="s">
        <v>12</v>
      </c>
      <c r="F2070">
        <v>21645978</v>
      </c>
      <c r="G2070">
        <v>21646032</v>
      </c>
      <c r="H2070">
        <v>21646033</v>
      </c>
      <c r="I2070">
        <v>21646057</v>
      </c>
    </row>
    <row r="2071" spans="1:9" x14ac:dyDescent="0.2">
      <c r="A2071" t="str">
        <f>"Armc12"</f>
        <v>Armc12</v>
      </c>
      <c r="B2071" t="s">
        <v>14</v>
      </c>
      <c r="C2071" t="s">
        <v>28</v>
      </c>
      <c r="D2071" t="s">
        <v>17</v>
      </c>
      <c r="E2071" t="s">
        <v>67</v>
      </c>
      <c r="F2071">
        <v>28530834</v>
      </c>
      <c r="G2071">
        <v>28530879</v>
      </c>
      <c r="H2071">
        <v>28530828</v>
      </c>
      <c r="I2071">
        <v>28530833</v>
      </c>
    </row>
    <row r="2072" spans="1:9" x14ac:dyDescent="0.2">
      <c r="A2072" t="str">
        <f>"Armc2"</f>
        <v>Armc2</v>
      </c>
      <c r="B2072" t="s">
        <v>14</v>
      </c>
      <c r="C2072" t="s">
        <v>15</v>
      </c>
      <c r="D2072" t="s">
        <v>11</v>
      </c>
      <c r="E2072" t="s">
        <v>12</v>
      </c>
      <c r="F2072">
        <v>42018363</v>
      </c>
      <c r="G2072">
        <v>42018401</v>
      </c>
      <c r="H2072">
        <v>42018334</v>
      </c>
      <c r="I2072">
        <v>42018345</v>
      </c>
    </row>
    <row r="2073" spans="1:9" x14ac:dyDescent="0.2">
      <c r="A2073" t="str">
        <f>"Armc3"</f>
        <v>Armc3</v>
      </c>
      <c r="B2073" t="s">
        <v>14</v>
      </c>
      <c r="C2073" t="s">
        <v>26</v>
      </c>
      <c r="D2073" t="s">
        <v>17</v>
      </c>
      <c r="E2073" t="s">
        <v>12</v>
      </c>
      <c r="F2073">
        <v>19199266</v>
      </c>
      <c r="G2073">
        <v>19199316</v>
      </c>
      <c r="H2073">
        <v>19199249</v>
      </c>
      <c r="I2073">
        <v>19199263</v>
      </c>
    </row>
    <row r="2074" spans="1:9" x14ac:dyDescent="0.2">
      <c r="A2074" t="str">
        <f>"Armc4"</f>
        <v>Armc4</v>
      </c>
      <c r="B2074" t="s">
        <v>14</v>
      </c>
      <c r="C2074" t="s">
        <v>43</v>
      </c>
      <c r="D2074" t="s">
        <v>11</v>
      </c>
      <c r="E2074" t="s">
        <v>12</v>
      </c>
      <c r="F2074">
        <v>7297927</v>
      </c>
      <c r="G2074">
        <v>7297942</v>
      </c>
      <c r="H2074">
        <v>7297901</v>
      </c>
      <c r="I2074">
        <v>7297913</v>
      </c>
    </row>
    <row r="2075" spans="1:9" x14ac:dyDescent="0.2">
      <c r="A2075" t="str">
        <f>"Armc5"</f>
        <v>Armc5</v>
      </c>
      <c r="B2075" t="s">
        <v>14</v>
      </c>
      <c r="C2075" t="s">
        <v>33</v>
      </c>
      <c r="D2075" t="s">
        <v>17</v>
      </c>
      <c r="E2075" t="s">
        <v>12</v>
      </c>
      <c r="F2075">
        <v>128237511</v>
      </c>
      <c r="G2075">
        <v>128237554</v>
      </c>
      <c r="H2075">
        <v>128237337</v>
      </c>
      <c r="I2075">
        <v>128237388</v>
      </c>
    </row>
    <row r="2076" spans="1:9" x14ac:dyDescent="0.2">
      <c r="A2076" t="str">
        <f>"Armc6"</f>
        <v>Armc6</v>
      </c>
      <c r="B2076" t="s">
        <v>14</v>
      </c>
      <c r="C2076" t="s">
        <v>30</v>
      </c>
      <c r="D2076" t="s">
        <v>11</v>
      </c>
      <c r="E2076" t="s">
        <v>12</v>
      </c>
      <c r="F2076">
        <v>70234401</v>
      </c>
      <c r="G2076">
        <v>70234459</v>
      </c>
      <c r="H2076">
        <v>70234097</v>
      </c>
      <c r="I2076">
        <v>70234160</v>
      </c>
    </row>
    <row r="2077" spans="1:9" x14ac:dyDescent="0.2">
      <c r="A2077" t="str">
        <f>"Armc7"</f>
        <v>Armc7</v>
      </c>
      <c r="B2077" t="s">
        <v>14</v>
      </c>
      <c r="C2077" t="s">
        <v>27</v>
      </c>
      <c r="D2077" t="s">
        <v>17</v>
      </c>
      <c r="E2077" t="s">
        <v>12</v>
      </c>
      <c r="F2077">
        <v>115475645</v>
      </c>
      <c r="G2077">
        <v>115475727</v>
      </c>
      <c r="H2077">
        <v>115475743</v>
      </c>
      <c r="I2077">
        <v>115475790</v>
      </c>
    </row>
    <row r="2078" spans="1:9" x14ac:dyDescent="0.2">
      <c r="A2078" t="str">
        <f>"Armc8"</f>
        <v>Armc8</v>
      </c>
      <c r="B2078" t="s">
        <v>14</v>
      </c>
      <c r="C2078" t="s">
        <v>24</v>
      </c>
      <c r="D2078" t="s">
        <v>11</v>
      </c>
      <c r="E2078" t="s">
        <v>12</v>
      </c>
      <c r="F2078">
        <v>99568640</v>
      </c>
      <c r="G2078">
        <v>99568678</v>
      </c>
      <c r="H2078">
        <v>99568849</v>
      </c>
      <c r="I2078">
        <v>99568911</v>
      </c>
    </row>
    <row r="2079" spans="1:9" x14ac:dyDescent="0.2">
      <c r="A2079" t="str">
        <f>"Armc9"</f>
        <v>Armc9</v>
      </c>
      <c r="B2079" t="s">
        <v>14</v>
      </c>
      <c r="C2079" t="s">
        <v>19</v>
      </c>
      <c r="D2079" t="s">
        <v>17</v>
      </c>
      <c r="E2079" t="s">
        <v>12</v>
      </c>
      <c r="F2079">
        <v>86154752</v>
      </c>
      <c r="G2079">
        <v>86154821</v>
      </c>
      <c r="H2079">
        <v>86154744</v>
      </c>
      <c r="I2079">
        <v>86154749</v>
      </c>
    </row>
    <row r="2080" spans="1:9" x14ac:dyDescent="0.2">
      <c r="A2080" t="str">
        <f>"Armcx1"</f>
        <v>Armcx1</v>
      </c>
      <c r="B2080" t="s">
        <v>14</v>
      </c>
      <c r="C2080" t="s">
        <v>37</v>
      </c>
      <c r="D2080" t="s">
        <v>17</v>
      </c>
      <c r="E2080" t="s">
        <v>12</v>
      </c>
      <c r="F2080">
        <v>134717943</v>
      </c>
      <c r="G2080">
        <v>134718018</v>
      </c>
      <c r="H2080">
        <v>134717930</v>
      </c>
      <c r="I2080">
        <v>134717941</v>
      </c>
    </row>
    <row r="2081" spans="1:9" x14ac:dyDescent="0.2">
      <c r="A2081" t="str">
        <f>"Armcx2"</f>
        <v>Armcx2</v>
      </c>
      <c r="B2081" t="s">
        <v>14</v>
      </c>
      <c r="C2081" t="s">
        <v>37</v>
      </c>
      <c r="D2081" t="s">
        <v>11</v>
      </c>
      <c r="E2081" t="s">
        <v>12</v>
      </c>
      <c r="F2081">
        <v>134808984</v>
      </c>
      <c r="G2081">
        <v>134809002</v>
      </c>
      <c r="H2081">
        <v>134808984</v>
      </c>
      <c r="I2081">
        <v>134809002</v>
      </c>
    </row>
    <row r="2082" spans="1:9" x14ac:dyDescent="0.2">
      <c r="A2082" t="str">
        <f>"Armcx3"</f>
        <v>Armcx3</v>
      </c>
      <c r="B2082" t="s">
        <v>14</v>
      </c>
      <c r="C2082" t="s">
        <v>37</v>
      </c>
      <c r="D2082" t="s">
        <v>17</v>
      </c>
      <c r="E2082" t="s">
        <v>12</v>
      </c>
      <c r="F2082">
        <v>134756563</v>
      </c>
      <c r="G2082">
        <v>134756617</v>
      </c>
      <c r="H2082">
        <v>134756715</v>
      </c>
      <c r="I2082">
        <v>134756734</v>
      </c>
    </row>
    <row r="2083" spans="1:9" x14ac:dyDescent="0.2">
      <c r="A2083" t="str">
        <f>"Armcx4"</f>
        <v>Armcx4</v>
      </c>
      <c r="B2083" t="s">
        <v>14</v>
      </c>
      <c r="C2083" t="s">
        <v>37</v>
      </c>
      <c r="D2083" t="s">
        <v>17</v>
      </c>
      <c r="E2083" t="s">
        <v>12</v>
      </c>
      <c r="F2083">
        <v>134686548</v>
      </c>
      <c r="G2083">
        <v>134686569</v>
      </c>
      <c r="H2083">
        <v>134686528</v>
      </c>
      <c r="I2083">
        <v>134686536</v>
      </c>
    </row>
    <row r="2084" spans="1:9" x14ac:dyDescent="0.2">
      <c r="A2084" t="str">
        <f>"Armcx5"</f>
        <v>Armcx5</v>
      </c>
      <c r="B2084" t="s">
        <v>14</v>
      </c>
      <c r="C2084" t="s">
        <v>37</v>
      </c>
      <c r="D2084" t="s">
        <v>17</v>
      </c>
      <c r="E2084" t="s">
        <v>12</v>
      </c>
      <c r="F2084">
        <v>135742686</v>
      </c>
      <c r="G2084">
        <v>135742744</v>
      </c>
      <c r="H2084">
        <v>135742839</v>
      </c>
      <c r="I2084">
        <v>135742870</v>
      </c>
    </row>
    <row r="2085" spans="1:9" x14ac:dyDescent="0.2">
      <c r="A2085" t="str">
        <f>"Armcx6"</f>
        <v>Armcx6</v>
      </c>
      <c r="B2085" t="s">
        <v>14</v>
      </c>
      <c r="C2085" t="s">
        <v>37</v>
      </c>
      <c r="D2085" t="s">
        <v>11</v>
      </c>
      <c r="E2085" t="s">
        <v>12</v>
      </c>
      <c r="F2085">
        <v>134751370</v>
      </c>
      <c r="G2085">
        <v>134751424</v>
      </c>
      <c r="H2085">
        <v>134751430</v>
      </c>
      <c r="I2085">
        <v>134751447</v>
      </c>
    </row>
    <row r="2086" spans="1:9" x14ac:dyDescent="0.2">
      <c r="A2086" t="str">
        <f>"Arnt"</f>
        <v>Arnt</v>
      </c>
      <c r="B2086" t="s">
        <v>14</v>
      </c>
      <c r="C2086" t="s">
        <v>22</v>
      </c>
      <c r="D2086" t="s">
        <v>17</v>
      </c>
      <c r="E2086" t="s">
        <v>12</v>
      </c>
      <c r="F2086">
        <v>95434386</v>
      </c>
      <c r="G2086">
        <v>95434421</v>
      </c>
      <c r="H2086">
        <v>95434510</v>
      </c>
      <c r="I2086">
        <v>95434533</v>
      </c>
    </row>
    <row r="2087" spans="1:9" x14ac:dyDescent="0.2">
      <c r="A2087" t="str">
        <f>"Arnt2"</f>
        <v>Arnt2</v>
      </c>
      <c r="B2087" t="s">
        <v>14</v>
      </c>
      <c r="C2087" t="s">
        <v>33</v>
      </c>
      <c r="D2087" t="s">
        <v>11</v>
      </c>
      <c r="E2087" t="s">
        <v>12</v>
      </c>
      <c r="F2087">
        <v>84409882</v>
      </c>
      <c r="G2087">
        <v>84409924</v>
      </c>
      <c r="H2087">
        <v>84409962</v>
      </c>
      <c r="I2087">
        <v>84410002</v>
      </c>
    </row>
    <row r="2088" spans="1:9" x14ac:dyDescent="0.2">
      <c r="A2088" t="str">
        <f>"Arntl"</f>
        <v>Arntl</v>
      </c>
      <c r="B2088" t="s">
        <v>14</v>
      </c>
      <c r="C2088" t="s">
        <v>33</v>
      </c>
      <c r="D2088" t="s">
        <v>17</v>
      </c>
      <c r="E2088" t="s">
        <v>12</v>
      </c>
      <c r="F2088">
        <v>113207500</v>
      </c>
      <c r="G2088">
        <v>113207595</v>
      </c>
      <c r="H2088">
        <v>113207500</v>
      </c>
      <c r="I2088">
        <v>113207595</v>
      </c>
    </row>
    <row r="2089" spans="1:9" x14ac:dyDescent="0.2">
      <c r="A2089" t="str">
        <f>"Arntl2"</f>
        <v>Arntl2</v>
      </c>
      <c r="B2089" t="s">
        <v>14</v>
      </c>
      <c r="C2089" t="s">
        <v>32</v>
      </c>
      <c r="D2089" t="s">
        <v>17</v>
      </c>
      <c r="E2089" t="s">
        <v>12</v>
      </c>
      <c r="F2089">
        <v>146796041</v>
      </c>
      <c r="G2089">
        <v>146796072</v>
      </c>
      <c r="H2089">
        <v>146796073</v>
      </c>
      <c r="I2089">
        <v>146796091</v>
      </c>
    </row>
    <row r="2090" spans="1:9" x14ac:dyDescent="0.2">
      <c r="A2090" t="str">
        <f>"Arpc1a"</f>
        <v>Arpc1a</v>
      </c>
      <c r="B2090" t="s">
        <v>14</v>
      </c>
      <c r="C2090" t="s">
        <v>46</v>
      </c>
      <c r="D2090" t="s">
        <v>17</v>
      </c>
      <c r="E2090" t="s">
        <v>12</v>
      </c>
      <c r="F2090">
        <v>145083831</v>
      </c>
      <c r="G2090">
        <v>145083887</v>
      </c>
      <c r="H2090">
        <v>145083891</v>
      </c>
      <c r="I2090">
        <v>145083915</v>
      </c>
    </row>
    <row r="2091" spans="1:9" x14ac:dyDescent="0.2">
      <c r="A2091" t="str">
        <f>"Arpc1b"</f>
        <v>Arpc1b</v>
      </c>
      <c r="B2091" t="s">
        <v>14</v>
      </c>
      <c r="C2091" t="s">
        <v>46</v>
      </c>
      <c r="D2091" t="s">
        <v>17</v>
      </c>
      <c r="E2091" t="s">
        <v>12</v>
      </c>
      <c r="F2091">
        <v>145114280</v>
      </c>
      <c r="G2091">
        <v>145114300</v>
      </c>
      <c r="H2091">
        <v>145114249</v>
      </c>
      <c r="I2091">
        <v>145114275</v>
      </c>
    </row>
    <row r="2092" spans="1:9" x14ac:dyDescent="0.2">
      <c r="A2092" t="str">
        <f>"Arpc2"</f>
        <v>Arpc2</v>
      </c>
      <c r="B2092" t="s">
        <v>14</v>
      </c>
      <c r="C2092" t="s">
        <v>19</v>
      </c>
      <c r="D2092" t="s">
        <v>17</v>
      </c>
      <c r="E2092" t="s">
        <v>12</v>
      </c>
      <c r="F2092">
        <v>74236479</v>
      </c>
      <c r="G2092">
        <v>74236598</v>
      </c>
      <c r="H2092">
        <v>74236602</v>
      </c>
      <c r="I2092">
        <v>74236628</v>
      </c>
    </row>
    <row r="2093" spans="1:9" x14ac:dyDescent="0.2">
      <c r="A2093" t="str">
        <f>"Arpc3"</f>
        <v>Arpc3</v>
      </c>
      <c r="B2093" t="s">
        <v>14</v>
      </c>
      <c r="C2093" t="s">
        <v>46</v>
      </c>
      <c r="D2093" t="s">
        <v>17</v>
      </c>
      <c r="E2093" t="s">
        <v>12</v>
      </c>
      <c r="F2093">
        <v>122391890</v>
      </c>
      <c r="G2093">
        <v>122391928</v>
      </c>
      <c r="H2093">
        <v>122391890</v>
      </c>
      <c r="I2093">
        <v>122391928</v>
      </c>
    </row>
    <row r="2094" spans="1:9" x14ac:dyDescent="0.2">
      <c r="A2094" t="str">
        <f>"Arpc4"</f>
        <v>Arpc4</v>
      </c>
      <c r="B2094" t="s">
        <v>14</v>
      </c>
      <c r="C2094" t="s">
        <v>32</v>
      </c>
      <c r="D2094" t="s">
        <v>17</v>
      </c>
      <c r="E2094" t="s">
        <v>12</v>
      </c>
      <c r="F2094">
        <v>113378158</v>
      </c>
      <c r="G2094">
        <v>113378191</v>
      </c>
      <c r="H2094">
        <v>113378425</v>
      </c>
      <c r="I2094">
        <v>113378450</v>
      </c>
    </row>
    <row r="2095" spans="1:9" x14ac:dyDescent="0.2">
      <c r="A2095" t="str">
        <f>"Arpc5"</f>
        <v>Arpc5</v>
      </c>
      <c r="B2095" t="s">
        <v>14</v>
      </c>
      <c r="C2095" t="s">
        <v>19</v>
      </c>
      <c r="D2095" t="s">
        <v>17</v>
      </c>
      <c r="E2095" t="s">
        <v>12</v>
      </c>
      <c r="F2095">
        <v>152766591</v>
      </c>
      <c r="G2095">
        <v>152766687</v>
      </c>
      <c r="H2095">
        <v>152766693</v>
      </c>
      <c r="I2095">
        <v>152766710</v>
      </c>
    </row>
    <row r="2096" spans="1:9" x14ac:dyDescent="0.2">
      <c r="A2096" t="str">
        <f>"Arpc5l"</f>
        <v>Arpc5l</v>
      </c>
      <c r="B2096" t="s">
        <v>14</v>
      </c>
      <c r="C2096" t="s">
        <v>26</v>
      </c>
      <c r="D2096" t="s">
        <v>17</v>
      </c>
      <c r="E2096" t="s">
        <v>12</v>
      </c>
      <c r="F2096">
        <v>39008076</v>
      </c>
      <c r="G2096">
        <v>39008174</v>
      </c>
      <c r="H2096">
        <v>39008043</v>
      </c>
      <c r="I2096">
        <v>39008071</v>
      </c>
    </row>
    <row r="2097" spans="1:9" x14ac:dyDescent="0.2">
      <c r="A2097" t="str">
        <f>"Arpp19"</f>
        <v>Arpp19</v>
      </c>
      <c r="B2097" t="s">
        <v>14</v>
      </c>
      <c r="C2097" t="s">
        <v>24</v>
      </c>
      <c r="D2097" t="s">
        <v>17</v>
      </c>
      <c r="E2097" t="s">
        <v>12</v>
      </c>
      <c r="F2097">
        <v>75037656</v>
      </c>
      <c r="G2097">
        <v>75037701</v>
      </c>
      <c r="H2097">
        <v>75037712</v>
      </c>
      <c r="I2097">
        <v>75037737</v>
      </c>
    </row>
    <row r="2098" spans="1:9" x14ac:dyDescent="0.2">
      <c r="A2098" t="str">
        <f>"Arpp21"</f>
        <v>Arpp21</v>
      </c>
      <c r="B2098" t="s">
        <v>9</v>
      </c>
      <c r="C2098" t="s">
        <v>24</v>
      </c>
      <c r="D2098" t="s">
        <v>11</v>
      </c>
      <c r="E2098" t="s">
        <v>12</v>
      </c>
      <c r="F2098">
        <v>112217318</v>
      </c>
      <c r="G2098">
        <v>112217337</v>
      </c>
      <c r="H2098">
        <v>112217318</v>
      </c>
      <c r="I2098">
        <v>112217337</v>
      </c>
    </row>
    <row r="2099" spans="1:9" x14ac:dyDescent="0.2">
      <c r="A2099" t="str">
        <f>"Arpp21"</f>
        <v>Arpp21</v>
      </c>
      <c r="B2099" t="s">
        <v>13</v>
      </c>
      <c r="C2099" t="s">
        <v>24</v>
      </c>
      <c r="D2099" t="s">
        <v>11</v>
      </c>
      <c r="E2099" t="s">
        <v>12</v>
      </c>
      <c r="F2099">
        <v>112187898</v>
      </c>
      <c r="G2099">
        <v>112187938</v>
      </c>
      <c r="H2099">
        <v>112187898</v>
      </c>
      <c r="I2099">
        <v>112187938</v>
      </c>
    </row>
    <row r="2100" spans="1:9" x14ac:dyDescent="0.2">
      <c r="A2100" t="str">
        <f>"Arr3"</f>
        <v>Arr3</v>
      </c>
      <c r="B2100" t="s">
        <v>14</v>
      </c>
      <c r="C2100" t="s">
        <v>37</v>
      </c>
      <c r="D2100" t="s">
        <v>17</v>
      </c>
      <c r="E2100" t="s">
        <v>12</v>
      </c>
      <c r="F2100">
        <v>100605535</v>
      </c>
      <c r="G2100">
        <v>100605548</v>
      </c>
      <c r="H2100">
        <v>100605493</v>
      </c>
      <c r="I2100">
        <v>100605497</v>
      </c>
    </row>
    <row r="2101" spans="1:9" x14ac:dyDescent="0.2">
      <c r="A2101" t="str">
        <f>"Arrb1"</f>
        <v>Arrb1</v>
      </c>
      <c r="B2101" t="s">
        <v>14</v>
      </c>
      <c r="C2101" t="s">
        <v>33</v>
      </c>
      <c r="D2101" t="s">
        <v>17</v>
      </c>
      <c r="E2101" t="s">
        <v>12</v>
      </c>
      <c r="F2101">
        <v>99535652</v>
      </c>
      <c r="G2101">
        <v>99535740</v>
      </c>
      <c r="H2101">
        <v>99535652</v>
      </c>
      <c r="I2101">
        <v>99535740</v>
      </c>
    </row>
    <row r="2102" spans="1:9" x14ac:dyDescent="0.2">
      <c r="A2102" t="str">
        <f>"Arrb2"</f>
        <v>Arrb2</v>
      </c>
      <c r="B2102" t="s">
        <v>14</v>
      </c>
      <c r="C2102" t="s">
        <v>27</v>
      </c>
      <c r="D2102" t="s">
        <v>17</v>
      </c>
      <c r="E2102" t="s">
        <v>12</v>
      </c>
      <c r="F2102">
        <v>70432627</v>
      </c>
      <c r="G2102">
        <v>70432707</v>
      </c>
      <c r="H2102">
        <v>70432601</v>
      </c>
      <c r="I2102">
        <v>70432624</v>
      </c>
    </row>
    <row r="2103" spans="1:9" x14ac:dyDescent="0.2">
      <c r="A2103" t="str">
        <f>"Arrdc1"</f>
        <v>Arrdc1</v>
      </c>
      <c r="B2103" t="s">
        <v>14</v>
      </c>
      <c r="C2103" t="s">
        <v>26</v>
      </c>
      <c r="D2103" t="s">
        <v>11</v>
      </c>
      <c r="E2103" t="s">
        <v>12</v>
      </c>
      <c r="F2103">
        <v>24935148</v>
      </c>
      <c r="G2103">
        <v>24935215</v>
      </c>
      <c r="H2103">
        <v>24935119</v>
      </c>
      <c r="I2103">
        <v>24935137</v>
      </c>
    </row>
    <row r="2104" spans="1:9" x14ac:dyDescent="0.2">
      <c r="A2104" t="str">
        <f>"Arrdc2"</f>
        <v>Arrdc2</v>
      </c>
      <c r="B2104" t="s">
        <v>14</v>
      </c>
      <c r="C2104" t="s">
        <v>30</v>
      </c>
      <c r="D2104" t="s">
        <v>11</v>
      </c>
      <c r="E2104" t="s">
        <v>12</v>
      </c>
      <c r="F2104">
        <v>70839526</v>
      </c>
      <c r="G2104">
        <v>70839542</v>
      </c>
      <c r="H2104">
        <v>70839178</v>
      </c>
      <c r="I2104">
        <v>70839200</v>
      </c>
    </row>
    <row r="2105" spans="1:9" x14ac:dyDescent="0.2">
      <c r="A2105" t="str">
        <f>"Arrdc3"</f>
        <v>Arrdc3</v>
      </c>
      <c r="B2105" t="s">
        <v>14</v>
      </c>
      <c r="C2105" t="s">
        <v>39</v>
      </c>
      <c r="D2105" t="s">
        <v>17</v>
      </c>
      <c r="E2105" t="s">
        <v>12</v>
      </c>
      <c r="F2105">
        <v>80883403</v>
      </c>
      <c r="G2105">
        <v>80883422</v>
      </c>
      <c r="H2105">
        <v>80883395</v>
      </c>
      <c r="I2105">
        <v>80883398</v>
      </c>
    </row>
    <row r="2106" spans="1:9" x14ac:dyDescent="0.2">
      <c r="A2106" t="str">
        <f>"Arrdc4"</f>
        <v>Arrdc4</v>
      </c>
      <c r="B2106" t="s">
        <v>14</v>
      </c>
      <c r="C2106" t="s">
        <v>33</v>
      </c>
      <c r="D2106" t="s">
        <v>11</v>
      </c>
      <c r="E2106" t="s">
        <v>12</v>
      </c>
      <c r="F2106">
        <v>68749170</v>
      </c>
      <c r="G2106">
        <v>68749233</v>
      </c>
      <c r="H2106">
        <v>68749243</v>
      </c>
      <c r="I2106">
        <v>68749250</v>
      </c>
    </row>
    <row r="2107" spans="1:9" x14ac:dyDescent="0.2">
      <c r="A2107" t="str">
        <f>"Arrdc5"</f>
        <v>Arrdc5</v>
      </c>
      <c r="B2107" t="s">
        <v>14</v>
      </c>
      <c r="C2107" t="s">
        <v>28</v>
      </c>
      <c r="D2107" t="s">
        <v>11</v>
      </c>
      <c r="E2107" t="s">
        <v>12</v>
      </c>
      <c r="F2107">
        <v>56300252</v>
      </c>
      <c r="G2107">
        <v>56300270</v>
      </c>
      <c r="H2107">
        <v>56300229</v>
      </c>
      <c r="I2107">
        <v>56300248</v>
      </c>
    </row>
    <row r="2108" spans="1:9" x14ac:dyDescent="0.2">
      <c r="A2108" t="str">
        <f>"Arsa"</f>
        <v>Arsa</v>
      </c>
      <c r="B2108" t="s">
        <v>14</v>
      </c>
      <c r="C2108" t="s">
        <v>25</v>
      </c>
      <c r="D2108" t="s">
        <v>11</v>
      </c>
      <c r="E2108" t="s">
        <v>12</v>
      </c>
      <c r="F2108">
        <v>89476140</v>
      </c>
      <c r="G2108">
        <v>89476184</v>
      </c>
      <c r="H2108">
        <v>89476092</v>
      </c>
      <c r="I2108">
        <v>89476138</v>
      </c>
    </row>
    <row r="2109" spans="1:9" x14ac:dyDescent="0.2">
      <c r="A2109" t="str">
        <f>"Arsb"</f>
        <v>Arsb</v>
      </c>
      <c r="B2109" t="s">
        <v>14</v>
      </c>
      <c r="C2109" t="s">
        <v>39</v>
      </c>
      <c r="D2109" t="s">
        <v>17</v>
      </c>
      <c r="E2109" t="s">
        <v>12</v>
      </c>
      <c r="F2109">
        <v>93771656</v>
      </c>
      <c r="G2109">
        <v>93771702</v>
      </c>
      <c r="H2109">
        <v>93771716</v>
      </c>
      <c r="I2109">
        <v>93771731</v>
      </c>
    </row>
    <row r="2110" spans="1:9" x14ac:dyDescent="0.2">
      <c r="A2110" t="str">
        <f>"Arsg"</f>
        <v>Arsg</v>
      </c>
      <c r="B2110" t="s">
        <v>9</v>
      </c>
      <c r="C2110" t="s">
        <v>27</v>
      </c>
      <c r="D2110" t="s">
        <v>17</v>
      </c>
      <c r="E2110" t="s">
        <v>12</v>
      </c>
      <c r="F2110">
        <v>109485631</v>
      </c>
      <c r="G2110">
        <v>109485713</v>
      </c>
      <c r="H2110">
        <v>109485631</v>
      </c>
      <c r="I2110">
        <v>109485713</v>
      </c>
    </row>
    <row r="2111" spans="1:9" x14ac:dyDescent="0.2">
      <c r="A2111" t="str">
        <f>"Arsg"</f>
        <v>Arsg</v>
      </c>
      <c r="B2111" t="s">
        <v>13</v>
      </c>
      <c r="C2111" t="s">
        <v>27</v>
      </c>
      <c r="D2111" t="s">
        <v>17</v>
      </c>
      <c r="E2111" t="s">
        <v>12</v>
      </c>
      <c r="F2111">
        <v>109473345</v>
      </c>
      <c r="G2111">
        <v>109473393</v>
      </c>
      <c r="H2111">
        <v>109473345</v>
      </c>
      <c r="I2111">
        <v>109473393</v>
      </c>
    </row>
    <row r="2112" spans="1:9" x14ac:dyDescent="0.2">
      <c r="A2112" t="str">
        <f>"Arsi"</f>
        <v>Arsi</v>
      </c>
      <c r="B2112" t="s">
        <v>14</v>
      </c>
      <c r="C2112" t="s">
        <v>43</v>
      </c>
      <c r="D2112" t="s">
        <v>17</v>
      </c>
      <c r="E2112" t="s">
        <v>12</v>
      </c>
      <c r="F2112">
        <v>60911805</v>
      </c>
      <c r="G2112">
        <v>60911847</v>
      </c>
      <c r="H2112">
        <v>60911727</v>
      </c>
      <c r="I2112">
        <v>60911755</v>
      </c>
    </row>
    <row r="2113" spans="1:9" x14ac:dyDescent="0.2">
      <c r="A2113" t="str">
        <f>"Arsj"</f>
        <v>Arsj</v>
      </c>
      <c r="B2113" t="s">
        <v>14</v>
      </c>
      <c r="C2113" t="s">
        <v>22</v>
      </c>
      <c r="D2113" t="s">
        <v>17</v>
      </c>
      <c r="E2113" t="s">
        <v>12</v>
      </c>
      <c r="F2113">
        <v>126363850</v>
      </c>
      <c r="G2113">
        <v>126363893</v>
      </c>
      <c r="H2113">
        <v>126363908</v>
      </c>
      <c r="I2113">
        <v>126363944</v>
      </c>
    </row>
    <row r="2114" spans="1:9" x14ac:dyDescent="0.2">
      <c r="A2114" t="str">
        <f>"Arsk"</f>
        <v>Arsk</v>
      </c>
      <c r="B2114" t="s">
        <v>14</v>
      </c>
      <c r="C2114" t="s">
        <v>39</v>
      </c>
      <c r="D2114" t="s">
        <v>11</v>
      </c>
      <c r="E2114" t="s">
        <v>12</v>
      </c>
      <c r="F2114">
        <v>76098606</v>
      </c>
      <c r="G2114">
        <v>76098658</v>
      </c>
      <c r="H2114">
        <v>76098569</v>
      </c>
      <c r="I2114">
        <v>76098605</v>
      </c>
    </row>
    <row r="2115" spans="1:9" x14ac:dyDescent="0.2">
      <c r="A2115" t="str">
        <f>"Art1"</f>
        <v>Art1</v>
      </c>
      <c r="B2115" t="s">
        <v>14</v>
      </c>
      <c r="C2115" t="s">
        <v>33</v>
      </c>
      <c r="D2115" t="s">
        <v>17</v>
      </c>
      <c r="E2115" t="s">
        <v>12</v>
      </c>
      <c r="F2115">
        <v>102101736</v>
      </c>
      <c r="G2115">
        <v>102101752</v>
      </c>
      <c r="H2115">
        <v>102101736</v>
      </c>
      <c r="I2115">
        <v>102101752</v>
      </c>
    </row>
    <row r="2116" spans="1:9" x14ac:dyDescent="0.2">
      <c r="A2116" t="str">
        <f>"Art2b"</f>
        <v>Art2b</v>
      </c>
      <c r="B2116" t="s">
        <v>2153</v>
      </c>
      <c r="C2116" t="s">
        <v>33</v>
      </c>
      <c r="D2116" t="s">
        <v>11</v>
      </c>
      <c r="E2116" t="s">
        <v>20</v>
      </c>
      <c r="F2116">
        <v>101581160</v>
      </c>
      <c r="G2116">
        <v>101581160</v>
      </c>
      <c r="H2116">
        <v>101581160</v>
      </c>
      <c r="I2116">
        <v>101581160</v>
      </c>
    </row>
    <row r="2117" spans="1:9" x14ac:dyDescent="0.2">
      <c r="A2117" t="str">
        <f>"Art3"</f>
        <v>Art3</v>
      </c>
      <c r="B2117" t="s">
        <v>9</v>
      </c>
      <c r="C2117" t="s">
        <v>46</v>
      </c>
      <c r="D2117" t="s">
        <v>17</v>
      </c>
      <c r="E2117" t="s">
        <v>12</v>
      </c>
      <c r="F2117">
        <v>92386879</v>
      </c>
      <c r="G2117">
        <v>92386895</v>
      </c>
      <c r="H2117">
        <v>92386879</v>
      </c>
      <c r="I2117">
        <v>92386895</v>
      </c>
    </row>
    <row r="2118" spans="1:9" x14ac:dyDescent="0.2">
      <c r="A2118" t="str">
        <f>"Art3"</f>
        <v>Art3</v>
      </c>
      <c r="B2118" t="s">
        <v>13</v>
      </c>
      <c r="C2118" t="s">
        <v>46</v>
      </c>
      <c r="D2118" t="s">
        <v>17</v>
      </c>
      <c r="E2118" t="s">
        <v>12</v>
      </c>
      <c r="F2118">
        <v>92331828</v>
      </c>
      <c r="G2118">
        <v>92331847</v>
      </c>
      <c r="H2118">
        <v>92331828</v>
      </c>
      <c r="I2118">
        <v>92331847</v>
      </c>
    </row>
    <row r="2119" spans="1:9" x14ac:dyDescent="0.2">
      <c r="A2119" t="str">
        <f>"Art4"</f>
        <v>Art4</v>
      </c>
      <c r="B2119" t="s">
        <v>14</v>
      </c>
      <c r="C2119" t="s">
        <v>32</v>
      </c>
      <c r="D2119" t="s">
        <v>11</v>
      </c>
      <c r="E2119" t="s">
        <v>12</v>
      </c>
      <c r="F2119">
        <v>136857590</v>
      </c>
      <c r="G2119">
        <v>136857610</v>
      </c>
      <c r="H2119">
        <v>136857649</v>
      </c>
      <c r="I2119">
        <v>136857678</v>
      </c>
    </row>
    <row r="2120" spans="1:9" x14ac:dyDescent="0.2">
      <c r="A2120" t="str">
        <f>"Art5"</f>
        <v>Art5</v>
      </c>
      <c r="B2120" t="s">
        <v>14</v>
      </c>
      <c r="C2120" t="s">
        <v>33</v>
      </c>
      <c r="D2120" t="s">
        <v>11</v>
      </c>
      <c r="E2120" t="s">
        <v>12</v>
      </c>
      <c r="F2120">
        <v>102100227</v>
      </c>
      <c r="G2120">
        <v>102100258</v>
      </c>
      <c r="H2120">
        <v>102100202</v>
      </c>
      <c r="I2120">
        <v>102100219</v>
      </c>
    </row>
    <row r="2121" spans="1:9" x14ac:dyDescent="0.2">
      <c r="A2121" t="str">
        <f>"Artn"</f>
        <v>Artn</v>
      </c>
      <c r="B2121" t="s">
        <v>14</v>
      </c>
      <c r="C2121" t="s">
        <v>23</v>
      </c>
      <c r="D2121" t="s">
        <v>11</v>
      </c>
      <c r="E2121" t="s">
        <v>12</v>
      </c>
      <c r="F2121">
        <v>117929726</v>
      </c>
      <c r="G2121">
        <v>117929739</v>
      </c>
      <c r="H2121">
        <v>117929466</v>
      </c>
      <c r="I2121">
        <v>117929475</v>
      </c>
    </row>
    <row r="2122" spans="1:9" x14ac:dyDescent="0.2">
      <c r="A2122" t="str">
        <f>"Arv1"</f>
        <v>Arv1</v>
      </c>
      <c r="B2122" t="s">
        <v>14</v>
      </c>
      <c r="C2122" t="s">
        <v>30</v>
      </c>
      <c r="D2122" t="s">
        <v>17</v>
      </c>
      <c r="E2122" t="s">
        <v>12</v>
      </c>
      <c r="F2122">
        <v>124722145</v>
      </c>
      <c r="G2122">
        <v>124722187</v>
      </c>
      <c r="H2122">
        <v>124722128</v>
      </c>
      <c r="I2122">
        <v>124722143</v>
      </c>
    </row>
    <row r="2123" spans="1:9" x14ac:dyDescent="0.2">
      <c r="A2123" t="str">
        <f>"Arvcf"</f>
        <v>Arvcf</v>
      </c>
      <c r="B2123" t="s">
        <v>9</v>
      </c>
      <c r="C2123" t="s">
        <v>31</v>
      </c>
      <c r="D2123" t="s">
        <v>17</v>
      </c>
      <c r="E2123" t="s">
        <v>12</v>
      </c>
      <c r="F2123">
        <v>18392554</v>
      </c>
      <c r="G2123">
        <v>18392622</v>
      </c>
      <c r="H2123">
        <v>18392554</v>
      </c>
      <c r="I2123">
        <v>18392622</v>
      </c>
    </row>
    <row r="2124" spans="1:9" x14ac:dyDescent="0.2">
      <c r="A2124" t="str">
        <f>"Arvcf"</f>
        <v>Arvcf</v>
      </c>
      <c r="B2124" t="s">
        <v>13</v>
      </c>
      <c r="C2124" t="s">
        <v>31</v>
      </c>
      <c r="D2124" t="s">
        <v>17</v>
      </c>
      <c r="E2124" t="s">
        <v>12</v>
      </c>
      <c r="F2124">
        <v>18348181</v>
      </c>
      <c r="G2124">
        <v>18348273</v>
      </c>
      <c r="H2124">
        <v>18348181</v>
      </c>
      <c r="I2124">
        <v>18348273</v>
      </c>
    </row>
    <row r="2125" spans="1:9" x14ac:dyDescent="0.2">
      <c r="A2125" t="str">
        <f>"Arx"</f>
        <v>Arx</v>
      </c>
      <c r="B2125" t="s">
        <v>14</v>
      </c>
      <c r="C2125" t="s">
        <v>37</v>
      </c>
      <c r="D2125" t="s">
        <v>17</v>
      </c>
      <c r="E2125" t="s">
        <v>12</v>
      </c>
      <c r="F2125">
        <v>93286499</v>
      </c>
      <c r="G2125">
        <v>93286522</v>
      </c>
      <c r="H2125">
        <v>93286624</v>
      </c>
      <c r="I2125">
        <v>93286657</v>
      </c>
    </row>
    <row r="2126" spans="1:9" x14ac:dyDescent="0.2">
      <c r="A2126" t="str">
        <f>"Arxes1"</f>
        <v>Arxes1</v>
      </c>
      <c r="B2126" t="s">
        <v>2154</v>
      </c>
      <c r="C2126" t="s">
        <v>37</v>
      </c>
      <c r="D2126" t="s">
        <v>17</v>
      </c>
      <c r="E2126" t="s">
        <v>35</v>
      </c>
      <c r="F2126">
        <v>136033392</v>
      </c>
      <c r="G2126">
        <v>136033421</v>
      </c>
      <c r="H2126">
        <v>136033392</v>
      </c>
      <c r="I2126">
        <v>136033421</v>
      </c>
    </row>
    <row r="2127" spans="1:9" x14ac:dyDescent="0.2">
      <c r="A2127" t="str">
        <f>"Arxes2"</f>
        <v>Arxes2</v>
      </c>
      <c r="B2127" t="s">
        <v>14</v>
      </c>
      <c r="C2127" t="s">
        <v>37</v>
      </c>
      <c r="D2127" t="s">
        <v>17</v>
      </c>
      <c r="E2127" t="s">
        <v>12</v>
      </c>
      <c r="F2127">
        <v>135993843</v>
      </c>
      <c r="G2127">
        <v>135993878</v>
      </c>
      <c r="H2127">
        <v>135993843</v>
      </c>
      <c r="I2127">
        <v>135993878</v>
      </c>
    </row>
    <row r="2128" spans="1:9" x14ac:dyDescent="0.2">
      <c r="A2128" t="str">
        <f>"As3mt"</f>
        <v>As3mt</v>
      </c>
      <c r="B2128" t="s">
        <v>14</v>
      </c>
      <c r="C2128" t="s">
        <v>10</v>
      </c>
      <c r="D2128" t="s">
        <v>17</v>
      </c>
      <c r="E2128" t="s">
        <v>12</v>
      </c>
      <c r="F2128">
        <v>46707449</v>
      </c>
      <c r="G2128">
        <v>46707511</v>
      </c>
      <c r="H2128">
        <v>46707658</v>
      </c>
      <c r="I2128">
        <v>46707708</v>
      </c>
    </row>
    <row r="2129" spans="1:9" x14ac:dyDescent="0.2">
      <c r="A2129" t="str">
        <f>"Asah1"</f>
        <v>Asah1</v>
      </c>
      <c r="B2129" t="s">
        <v>14</v>
      </c>
      <c r="C2129" t="s">
        <v>30</v>
      </c>
      <c r="D2129" t="s">
        <v>11</v>
      </c>
      <c r="E2129" t="s">
        <v>12</v>
      </c>
      <c r="F2129">
        <v>41374602</v>
      </c>
      <c r="G2129">
        <v>41374677</v>
      </c>
      <c r="H2129">
        <v>41374602</v>
      </c>
      <c r="I2129">
        <v>41374677</v>
      </c>
    </row>
    <row r="2130" spans="1:9" x14ac:dyDescent="0.2">
      <c r="A2130" t="str">
        <f>"Asah2"</f>
        <v>Asah2</v>
      </c>
      <c r="B2130" t="s">
        <v>14</v>
      </c>
      <c r="C2130" t="s">
        <v>10</v>
      </c>
      <c r="D2130" t="s">
        <v>11</v>
      </c>
      <c r="E2130" t="s">
        <v>12</v>
      </c>
      <c r="F2130">
        <v>32061384</v>
      </c>
      <c r="G2130">
        <v>32061413</v>
      </c>
      <c r="H2130">
        <v>32061384</v>
      </c>
      <c r="I2130">
        <v>32061413</v>
      </c>
    </row>
    <row r="2131" spans="1:9" x14ac:dyDescent="0.2">
      <c r="A2131" t="str">
        <f>"Asap1"</f>
        <v>Asap1</v>
      </c>
      <c r="B2131" t="s">
        <v>2155</v>
      </c>
      <c r="C2131" t="s">
        <v>25</v>
      </c>
      <c r="D2131" t="s">
        <v>11</v>
      </c>
      <c r="E2131" t="s">
        <v>20</v>
      </c>
      <c r="F2131">
        <v>64349885</v>
      </c>
      <c r="G2131">
        <v>64349885</v>
      </c>
      <c r="H2131">
        <v>64349885</v>
      </c>
      <c r="I2131">
        <v>64349885</v>
      </c>
    </row>
    <row r="2132" spans="1:9" x14ac:dyDescent="0.2">
      <c r="A2132" t="str">
        <f>"Asap1"</f>
        <v>Asap1</v>
      </c>
      <c r="B2132" t="s">
        <v>2156</v>
      </c>
      <c r="C2132" t="s">
        <v>25</v>
      </c>
      <c r="D2132" t="s">
        <v>11</v>
      </c>
      <c r="E2132" t="s">
        <v>35</v>
      </c>
      <c r="F2132">
        <v>64382937</v>
      </c>
      <c r="G2132">
        <v>64382958</v>
      </c>
      <c r="H2132">
        <v>64382685</v>
      </c>
      <c r="I2132">
        <v>64382686</v>
      </c>
    </row>
    <row r="2133" spans="1:9" x14ac:dyDescent="0.2">
      <c r="A2133" t="str">
        <f>"Asap1"</f>
        <v>Asap1</v>
      </c>
      <c r="B2133" t="s">
        <v>2157</v>
      </c>
      <c r="C2133" t="s">
        <v>25</v>
      </c>
      <c r="D2133" t="s">
        <v>11</v>
      </c>
      <c r="E2133" t="s">
        <v>35</v>
      </c>
      <c r="F2133">
        <v>64383023</v>
      </c>
      <c r="G2133">
        <v>64383035</v>
      </c>
      <c r="H2133">
        <v>64382736</v>
      </c>
      <c r="I2133">
        <v>64382845</v>
      </c>
    </row>
    <row r="2134" spans="1:9" x14ac:dyDescent="0.2">
      <c r="A2134" t="str">
        <f>"Asap2"</f>
        <v>Asap2</v>
      </c>
      <c r="B2134" t="s">
        <v>14</v>
      </c>
      <c r="C2134" t="s">
        <v>16</v>
      </c>
      <c r="D2134" t="s">
        <v>17</v>
      </c>
      <c r="E2134" t="s">
        <v>12</v>
      </c>
      <c r="F2134">
        <v>21111720</v>
      </c>
      <c r="G2134">
        <v>21111776</v>
      </c>
      <c r="H2134">
        <v>21111778</v>
      </c>
      <c r="I2134">
        <v>21111809</v>
      </c>
    </row>
    <row r="2135" spans="1:9" x14ac:dyDescent="0.2">
      <c r="A2135" t="str">
        <f>"Asap3"</f>
        <v>Asap3</v>
      </c>
      <c r="B2135" t="s">
        <v>14</v>
      </c>
      <c r="C2135" t="s">
        <v>23</v>
      </c>
      <c r="D2135" t="s">
        <v>17</v>
      </c>
      <c r="E2135" t="s">
        <v>12</v>
      </c>
      <c r="F2135">
        <v>136206411</v>
      </c>
      <c r="G2135">
        <v>136206454</v>
      </c>
      <c r="H2135">
        <v>136206379</v>
      </c>
      <c r="I2135">
        <v>136206405</v>
      </c>
    </row>
    <row r="2136" spans="1:9" x14ac:dyDescent="0.2">
      <c r="A2136" t="str">
        <f>"Asb1"</f>
        <v>Asb1</v>
      </c>
      <c r="B2136" t="s">
        <v>14</v>
      </c>
      <c r="C2136" t="s">
        <v>19</v>
      </c>
      <c r="D2136" t="s">
        <v>17</v>
      </c>
      <c r="E2136" t="s">
        <v>12</v>
      </c>
      <c r="F2136">
        <v>91540687</v>
      </c>
      <c r="G2136">
        <v>91540761</v>
      </c>
      <c r="H2136">
        <v>91540553</v>
      </c>
      <c r="I2136">
        <v>91540578</v>
      </c>
    </row>
    <row r="2137" spans="1:9" x14ac:dyDescent="0.2">
      <c r="A2137" t="str">
        <f>"Asb10"</f>
        <v>Asb10</v>
      </c>
      <c r="B2137" t="s">
        <v>14</v>
      </c>
      <c r="C2137" t="s">
        <v>46</v>
      </c>
      <c r="D2137" t="s">
        <v>11</v>
      </c>
      <c r="E2137" t="s">
        <v>12</v>
      </c>
      <c r="F2137">
        <v>24540439</v>
      </c>
      <c r="G2137">
        <v>24540451</v>
      </c>
      <c r="H2137">
        <v>24540976</v>
      </c>
      <c r="I2137">
        <v>24541008</v>
      </c>
    </row>
    <row r="2138" spans="1:9" x14ac:dyDescent="0.2">
      <c r="A2138" t="str">
        <f>"Asb11"</f>
        <v>Asb11</v>
      </c>
      <c r="B2138" t="s">
        <v>9</v>
      </c>
      <c r="C2138" t="s">
        <v>37</v>
      </c>
      <c r="D2138" t="s">
        <v>17</v>
      </c>
      <c r="E2138" t="s">
        <v>12</v>
      </c>
      <c r="F2138">
        <v>164436987</v>
      </c>
      <c r="G2138">
        <v>164437036</v>
      </c>
      <c r="H2138">
        <v>164436987</v>
      </c>
      <c r="I2138">
        <v>164437036</v>
      </c>
    </row>
    <row r="2139" spans="1:9" x14ac:dyDescent="0.2">
      <c r="A2139" t="str">
        <f>"Asb11"</f>
        <v>Asb11</v>
      </c>
      <c r="B2139" t="s">
        <v>13</v>
      </c>
      <c r="C2139" t="s">
        <v>37</v>
      </c>
      <c r="D2139" t="s">
        <v>17</v>
      </c>
      <c r="E2139" t="s">
        <v>12</v>
      </c>
      <c r="F2139">
        <v>164438039</v>
      </c>
      <c r="G2139">
        <v>164438052</v>
      </c>
      <c r="H2139">
        <v>164438039</v>
      </c>
      <c r="I2139">
        <v>164438052</v>
      </c>
    </row>
    <row r="2140" spans="1:9" x14ac:dyDescent="0.2">
      <c r="A2140" t="str">
        <f>"Asb12"</f>
        <v>Asb12</v>
      </c>
      <c r="B2140" t="s">
        <v>14</v>
      </c>
      <c r="C2140" t="s">
        <v>37</v>
      </c>
      <c r="D2140" t="s">
        <v>11</v>
      </c>
      <c r="E2140" t="s">
        <v>12</v>
      </c>
      <c r="F2140">
        <v>95478107</v>
      </c>
      <c r="G2140">
        <v>95478137</v>
      </c>
      <c r="H2140">
        <v>95478107</v>
      </c>
      <c r="I2140">
        <v>95478137</v>
      </c>
    </row>
    <row r="2141" spans="1:9" x14ac:dyDescent="0.2">
      <c r="A2141" t="str">
        <f>"Asb13"</f>
        <v>Asb13</v>
      </c>
      <c r="B2141" t="s">
        <v>14</v>
      </c>
      <c r="C2141" t="s">
        <v>39</v>
      </c>
      <c r="D2141" t="s">
        <v>17</v>
      </c>
      <c r="E2141" t="s">
        <v>12</v>
      </c>
      <c r="F2141">
        <v>3634034</v>
      </c>
      <c r="G2141">
        <v>3634108</v>
      </c>
      <c r="H2141">
        <v>3634012</v>
      </c>
      <c r="I2141">
        <v>3634027</v>
      </c>
    </row>
    <row r="2142" spans="1:9" x14ac:dyDescent="0.2">
      <c r="A2142" t="str">
        <f>"Asb14"</f>
        <v>Asb14</v>
      </c>
      <c r="B2142" t="s">
        <v>14</v>
      </c>
      <c r="C2142" t="s">
        <v>41</v>
      </c>
      <c r="D2142" t="s">
        <v>17</v>
      </c>
      <c r="E2142" t="s">
        <v>12</v>
      </c>
      <c r="F2142">
        <v>26894606</v>
      </c>
      <c r="G2142">
        <v>26894627</v>
      </c>
      <c r="H2142">
        <v>26894599</v>
      </c>
      <c r="I2142">
        <v>26894604</v>
      </c>
    </row>
    <row r="2143" spans="1:9" x14ac:dyDescent="0.2">
      <c r="A2143" t="str">
        <f>"Asb15"</f>
        <v>Asb15</v>
      </c>
      <c r="B2143" t="s">
        <v>14</v>
      </c>
      <c r="C2143" t="s">
        <v>32</v>
      </c>
      <c r="D2143" t="s">
        <v>17</v>
      </c>
      <c r="E2143" t="s">
        <v>12</v>
      </c>
      <c r="F2143">
        <v>24527716</v>
      </c>
      <c r="G2143">
        <v>24527735</v>
      </c>
      <c r="H2143">
        <v>24528186</v>
      </c>
      <c r="I2143">
        <v>24528200</v>
      </c>
    </row>
    <row r="2144" spans="1:9" x14ac:dyDescent="0.2">
      <c r="A2144" t="str">
        <f>"Asb16"</f>
        <v>Asb16</v>
      </c>
      <c r="B2144" t="s">
        <v>14</v>
      </c>
      <c r="C2144" t="s">
        <v>27</v>
      </c>
      <c r="D2144" t="s">
        <v>17</v>
      </c>
      <c r="E2144" t="s">
        <v>12</v>
      </c>
      <c r="F2144">
        <v>102268732</v>
      </c>
      <c r="G2144">
        <v>102268761</v>
      </c>
      <c r="H2144">
        <v>102268779</v>
      </c>
      <c r="I2144">
        <v>102268788</v>
      </c>
    </row>
    <row r="2145" spans="1:9" x14ac:dyDescent="0.2">
      <c r="A2145" t="str">
        <f>"Asb17"</f>
        <v>Asb17</v>
      </c>
      <c r="B2145" t="s">
        <v>14</v>
      </c>
      <c r="C2145" t="s">
        <v>22</v>
      </c>
      <c r="D2145" t="s">
        <v>17</v>
      </c>
      <c r="E2145" t="s">
        <v>12</v>
      </c>
      <c r="F2145">
        <v>153844235</v>
      </c>
      <c r="G2145">
        <v>153844270</v>
      </c>
      <c r="H2145">
        <v>153844217</v>
      </c>
      <c r="I2145">
        <v>153844225</v>
      </c>
    </row>
    <row r="2146" spans="1:9" x14ac:dyDescent="0.2">
      <c r="A2146" t="str">
        <f>"Asb18"</f>
        <v>Asb18</v>
      </c>
      <c r="B2146" t="s">
        <v>14</v>
      </c>
      <c r="C2146" t="s">
        <v>19</v>
      </c>
      <c r="D2146" t="s">
        <v>11</v>
      </c>
      <c r="E2146" t="s">
        <v>12</v>
      </c>
      <c r="F2146">
        <v>90014604</v>
      </c>
      <c r="G2146">
        <v>90014634</v>
      </c>
      <c r="H2146">
        <v>90014485</v>
      </c>
      <c r="I2146">
        <v>90014507</v>
      </c>
    </row>
    <row r="2147" spans="1:9" x14ac:dyDescent="0.2">
      <c r="A2147" t="str">
        <f>"Asb2"</f>
        <v>Asb2</v>
      </c>
      <c r="B2147" t="s">
        <v>9</v>
      </c>
      <c r="C2147" t="s">
        <v>16</v>
      </c>
      <c r="D2147" t="s">
        <v>11</v>
      </c>
      <c r="E2147" t="s">
        <v>12</v>
      </c>
      <c r="F2147">
        <v>103355798</v>
      </c>
      <c r="G2147">
        <v>103355825</v>
      </c>
      <c r="H2147">
        <v>103355798</v>
      </c>
      <c r="I2147">
        <v>103355825</v>
      </c>
    </row>
    <row r="2148" spans="1:9" x14ac:dyDescent="0.2">
      <c r="A2148" t="str">
        <f>"Asb2"</f>
        <v>Asb2</v>
      </c>
      <c r="B2148" t="s">
        <v>13</v>
      </c>
      <c r="C2148" t="s">
        <v>16</v>
      </c>
      <c r="D2148" t="s">
        <v>11</v>
      </c>
      <c r="E2148" t="s">
        <v>12</v>
      </c>
      <c r="F2148">
        <v>103338314</v>
      </c>
      <c r="G2148">
        <v>103338399</v>
      </c>
      <c r="H2148">
        <v>103338314</v>
      </c>
      <c r="I2148">
        <v>103338399</v>
      </c>
    </row>
    <row r="2149" spans="1:9" x14ac:dyDescent="0.2">
      <c r="A2149" t="str">
        <f>"Asb3"</f>
        <v>Asb3</v>
      </c>
      <c r="B2149" t="s">
        <v>14</v>
      </c>
      <c r="C2149" t="s">
        <v>27</v>
      </c>
      <c r="D2149" t="s">
        <v>17</v>
      </c>
      <c r="E2149" t="s">
        <v>12</v>
      </c>
      <c r="F2149">
        <v>30954450</v>
      </c>
      <c r="G2149">
        <v>30954480</v>
      </c>
      <c r="H2149">
        <v>30954389</v>
      </c>
      <c r="I2149">
        <v>30954439</v>
      </c>
    </row>
    <row r="2150" spans="1:9" x14ac:dyDescent="0.2">
      <c r="A2150" t="str">
        <f>"Asb4"</f>
        <v>Asb4</v>
      </c>
      <c r="B2150" t="s">
        <v>14</v>
      </c>
      <c r="C2150" t="s">
        <v>32</v>
      </c>
      <c r="D2150" t="s">
        <v>17</v>
      </c>
      <c r="E2150" t="s">
        <v>12</v>
      </c>
      <c r="F2150">
        <v>5390518</v>
      </c>
      <c r="G2150">
        <v>5390546</v>
      </c>
      <c r="H2150">
        <v>5390387</v>
      </c>
      <c r="I2150">
        <v>5390423</v>
      </c>
    </row>
    <row r="2151" spans="1:9" x14ac:dyDescent="0.2">
      <c r="A2151" t="str">
        <f>"Asb5"</f>
        <v>Asb5</v>
      </c>
      <c r="B2151" t="s">
        <v>14</v>
      </c>
      <c r="C2151" t="s">
        <v>30</v>
      </c>
      <c r="D2151" t="s">
        <v>17</v>
      </c>
      <c r="E2151" t="s">
        <v>12</v>
      </c>
      <c r="F2151">
        <v>54550324</v>
      </c>
      <c r="G2151">
        <v>54550339</v>
      </c>
      <c r="H2151">
        <v>54550423</v>
      </c>
      <c r="I2151">
        <v>54550439</v>
      </c>
    </row>
    <row r="2152" spans="1:9" x14ac:dyDescent="0.2">
      <c r="A2152" t="str">
        <f>"Asb6"</f>
        <v>Asb6</v>
      </c>
      <c r="B2152" t="s">
        <v>14</v>
      </c>
      <c r="C2152" t="s">
        <v>26</v>
      </c>
      <c r="D2152" t="s">
        <v>11</v>
      </c>
      <c r="E2152" t="s">
        <v>12</v>
      </c>
      <c r="F2152">
        <v>30828228</v>
      </c>
      <c r="G2152">
        <v>30828311</v>
      </c>
      <c r="H2152">
        <v>30828201</v>
      </c>
      <c r="I2152">
        <v>30828219</v>
      </c>
    </row>
    <row r="2153" spans="1:9" x14ac:dyDescent="0.2">
      <c r="A2153" t="str">
        <f>"Asb7"</f>
        <v>Asb7</v>
      </c>
      <c r="B2153" t="s">
        <v>14</v>
      </c>
      <c r="C2153" t="s">
        <v>33</v>
      </c>
      <c r="D2153" t="s">
        <v>11</v>
      </c>
      <c r="E2153" t="s">
        <v>12</v>
      </c>
      <c r="F2153">
        <v>66689500</v>
      </c>
      <c r="G2153">
        <v>66689525</v>
      </c>
      <c r="H2153">
        <v>66689551</v>
      </c>
      <c r="I2153">
        <v>66689569</v>
      </c>
    </row>
    <row r="2154" spans="1:9" x14ac:dyDescent="0.2">
      <c r="A2154" t="str">
        <f>"Asb8"</f>
        <v>Asb8</v>
      </c>
      <c r="B2154" t="s">
        <v>14</v>
      </c>
      <c r="C2154" t="s">
        <v>25</v>
      </c>
      <c r="D2154" t="s">
        <v>11</v>
      </c>
      <c r="E2154" t="s">
        <v>12</v>
      </c>
      <c r="F2154">
        <v>98145625</v>
      </c>
      <c r="G2154">
        <v>98145667</v>
      </c>
      <c r="H2154">
        <v>98145698</v>
      </c>
      <c r="I2154">
        <v>98145711</v>
      </c>
    </row>
    <row r="2155" spans="1:9" x14ac:dyDescent="0.2">
      <c r="A2155" t="str">
        <f>"Asb9"</f>
        <v>Asb9</v>
      </c>
      <c r="B2155" t="s">
        <v>14</v>
      </c>
      <c r="C2155" t="s">
        <v>37</v>
      </c>
      <c r="D2155" t="s">
        <v>17</v>
      </c>
      <c r="E2155" t="s">
        <v>12</v>
      </c>
      <c r="F2155">
        <v>164506348</v>
      </c>
      <c r="G2155">
        <v>164506370</v>
      </c>
      <c r="H2155">
        <v>164506227</v>
      </c>
      <c r="I2155">
        <v>164506264</v>
      </c>
    </row>
    <row r="2156" spans="1:9" x14ac:dyDescent="0.2">
      <c r="A2156" t="str">
        <f>"Ascc1"</f>
        <v>Ascc1</v>
      </c>
      <c r="B2156" t="s">
        <v>14</v>
      </c>
      <c r="C2156" t="s">
        <v>15</v>
      </c>
      <c r="D2156" t="s">
        <v>17</v>
      </c>
      <c r="E2156" t="s">
        <v>12</v>
      </c>
      <c r="F2156">
        <v>60002816</v>
      </c>
      <c r="G2156">
        <v>60002851</v>
      </c>
      <c r="H2156">
        <v>60003321</v>
      </c>
      <c r="I2156">
        <v>60003343</v>
      </c>
    </row>
    <row r="2157" spans="1:9" x14ac:dyDescent="0.2">
      <c r="A2157" t="str">
        <f>"Ascc2"</f>
        <v>Ascc2</v>
      </c>
      <c r="B2157" t="s">
        <v>14</v>
      </c>
      <c r="C2157" t="s">
        <v>27</v>
      </c>
      <c r="D2157" t="s">
        <v>17</v>
      </c>
      <c r="E2157" t="s">
        <v>12</v>
      </c>
      <c r="F2157">
        <v>4637734</v>
      </c>
      <c r="G2157">
        <v>4637789</v>
      </c>
      <c r="H2157">
        <v>4637719</v>
      </c>
      <c r="I2157">
        <v>4637726</v>
      </c>
    </row>
    <row r="2158" spans="1:9" x14ac:dyDescent="0.2">
      <c r="A2158" t="str">
        <f>"Ascc3"</f>
        <v>Ascc3</v>
      </c>
      <c r="B2158" t="s">
        <v>14</v>
      </c>
      <c r="C2158" t="s">
        <v>15</v>
      </c>
      <c r="D2158" t="s">
        <v>17</v>
      </c>
      <c r="E2158" t="s">
        <v>12</v>
      </c>
      <c r="F2158">
        <v>50592670</v>
      </c>
      <c r="G2158">
        <v>50592739</v>
      </c>
      <c r="H2158">
        <v>50592670</v>
      </c>
      <c r="I2158">
        <v>50592739</v>
      </c>
    </row>
    <row r="2159" spans="1:9" x14ac:dyDescent="0.2">
      <c r="A2159" t="str">
        <f>"Ascl1"</f>
        <v>Ascl1</v>
      </c>
      <c r="B2159" t="s">
        <v>14</v>
      </c>
      <c r="C2159" t="s">
        <v>15</v>
      </c>
      <c r="D2159" t="s">
        <v>11</v>
      </c>
      <c r="E2159" t="s">
        <v>12</v>
      </c>
      <c r="F2159">
        <v>87493651</v>
      </c>
      <c r="G2159">
        <v>87493666</v>
      </c>
      <c r="H2159">
        <v>87493651</v>
      </c>
      <c r="I2159">
        <v>87493666</v>
      </c>
    </row>
    <row r="2160" spans="1:9" x14ac:dyDescent="0.2">
      <c r="A2160" t="str">
        <f>"Ascl2"</f>
        <v>Ascl2</v>
      </c>
      <c r="B2160" t="s">
        <v>14</v>
      </c>
      <c r="C2160" t="s">
        <v>33</v>
      </c>
      <c r="D2160" t="s">
        <v>11</v>
      </c>
      <c r="E2160" t="s">
        <v>12</v>
      </c>
      <c r="F2160">
        <v>142969238</v>
      </c>
      <c r="G2160">
        <v>142969251</v>
      </c>
      <c r="H2160">
        <v>142969259</v>
      </c>
      <c r="I2160">
        <v>142969268</v>
      </c>
    </row>
    <row r="2161" spans="1:9" x14ac:dyDescent="0.2">
      <c r="A2161" t="str">
        <f>"Ascl3"</f>
        <v>Ascl3</v>
      </c>
      <c r="B2161" t="s">
        <v>14</v>
      </c>
      <c r="C2161" t="s">
        <v>33</v>
      </c>
      <c r="D2161" t="s">
        <v>11</v>
      </c>
      <c r="E2161" t="s">
        <v>12</v>
      </c>
      <c r="F2161">
        <v>109731708</v>
      </c>
      <c r="G2161">
        <v>109731715</v>
      </c>
      <c r="H2161">
        <v>109731708</v>
      </c>
      <c r="I2161">
        <v>109731715</v>
      </c>
    </row>
    <row r="2162" spans="1:9" x14ac:dyDescent="0.2">
      <c r="A2162" t="str">
        <f>"Ascl4"</f>
        <v>Ascl4</v>
      </c>
      <c r="B2162" t="s">
        <v>14</v>
      </c>
      <c r="C2162" t="s">
        <v>15</v>
      </c>
      <c r="D2162" t="s">
        <v>17</v>
      </c>
      <c r="E2162" t="s">
        <v>12</v>
      </c>
      <c r="F2162">
        <v>85928010</v>
      </c>
      <c r="G2162">
        <v>85928029</v>
      </c>
      <c r="H2162">
        <v>85928746</v>
      </c>
      <c r="I2162">
        <v>85928751</v>
      </c>
    </row>
    <row r="2163" spans="1:9" x14ac:dyDescent="0.2">
      <c r="A2163" t="str">
        <f>"Ascl5"</f>
        <v>Ascl5</v>
      </c>
      <c r="B2163" t="s">
        <v>2158</v>
      </c>
      <c r="C2163" t="s">
        <v>19</v>
      </c>
      <c r="D2163" t="s">
        <v>17</v>
      </c>
      <c r="E2163" t="s">
        <v>20</v>
      </c>
      <c r="F2163">
        <v>136050803</v>
      </c>
      <c r="G2163">
        <v>136050803</v>
      </c>
      <c r="H2163">
        <v>136050803</v>
      </c>
      <c r="I2163">
        <v>136050803</v>
      </c>
    </row>
    <row r="2164" spans="1:9" x14ac:dyDescent="0.2">
      <c r="A2164" t="str">
        <f>"Asf1a"</f>
        <v>Asf1a</v>
      </c>
      <c r="B2164" t="s">
        <v>14</v>
      </c>
      <c r="C2164" t="s">
        <v>15</v>
      </c>
      <c r="D2164" t="s">
        <v>17</v>
      </c>
      <c r="E2164" t="s">
        <v>12</v>
      </c>
      <c r="F2164">
        <v>53596936</v>
      </c>
      <c r="G2164">
        <v>53597004</v>
      </c>
      <c r="H2164">
        <v>53597060</v>
      </c>
      <c r="I2164">
        <v>53597075</v>
      </c>
    </row>
    <row r="2165" spans="1:9" x14ac:dyDescent="0.2">
      <c r="A2165" t="str">
        <f>"Asf1b"</f>
        <v>Asf1b</v>
      </c>
      <c r="B2165" t="s">
        <v>14</v>
      </c>
      <c r="C2165" t="s">
        <v>30</v>
      </c>
      <c r="D2165" t="s">
        <v>17</v>
      </c>
      <c r="E2165" t="s">
        <v>12</v>
      </c>
      <c r="F2165">
        <v>83955703</v>
      </c>
      <c r="G2165">
        <v>83955721</v>
      </c>
      <c r="H2165">
        <v>83955677</v>
      </c>
      <c r="I2165">
        <v>83955688</v>
      </c>
    </row>
    <row r="2166" spans="1:9" x14ac:dyDescent="0.2">
      <c r="A2166" t="str">
        <f>"Asgr1"</f>
        <v>Asgr1</v>
      </c>
      <c r="B2166" t="s">
        <v>14</v>
      </c>
      <c r="C2166" t="s">
        <v>27</v>
      </c>
      <c r="D2166" t="s">
        <v>17</v>
      </c>
      <c r="E2166" t="s">
        <v>12</v>
      </c>
      <c r="F2166">
        <v>70054385</v>
      </c>
      <c r="G2166">
        <v>70054466</v>
      </c>
      <c r="H2166">
        <v>70054334</v>
      </c>
      <c r="I2166">
        <v>70054360</v>
      </c>
    </row>
    <row r="2167" spans="1:9" x14ac:dyDescent="0.2">
      <c r="A2167" t="str">
        <f>"Asgr2"</f>
        <v>Asgr2</v>
      </c>
      <c r="B2167" t="s">
        <v>14</v>
      </c>
      <c r="C2167" t="s">
        <v>27</v>
      </c>
      <c r="D2167" t="s">
        <v>17</v>
      </c>
      <c r="E2167" t="s">
        <v>12</v>
      </c>
      <c r="F2167">
        <v>70092653</v>
      </c>
      <c r="G2167">
        <v>70092698</v>
      </c>
      <c r="H2167">
        <v>70092705</v>
      </c>
      <c r="I2167">
        <v>70092749</v>
      </c>
    </row>
    <row r="2168" spans="1:9" x14ac:dyDescent="0.2">
      <c r="A2168" t="str">
        <f>"Ash1l"</f>
        <v>Ash1l</v>
      </c>
      <c r="B2168" t="s">
        <v>14</v>
      </c>
      <c r="C2168" t="s">
        <v>22</v>
      </c>
      <c r="D2168" t="s">
        <v>17</v>
      </c>
      <c r="E2168" t="s">
        <v>12</v>
      </c>
      <c r="F2168">
        <v>88950031</v>
      </c>
      <c r="G2168">
        <v>88950082</v>
      </c>
      <c r="H2168">
        <v>88950352</v>
      </c>
      <c r="I2168">
        <v>88950372</v>
      </c>
    </row>
    <row r="2169" spans="1:9" x14ac:dyDescent="0.2">
      <c r="A2169" t="str">
        <f>"Ash2l"</f>
        <v>Ash2l</v>
      </c>
      <c r="B2169" t="s">
        <v>9</v>
      </c>
      <c r="C2169" t="s">
        <v>30</v>
      </c>
      <c r="D2169" t="s">
        <v>11</v>
      </c>
      <c r="E2169" t="s">
        <v>12</v>
      </c>
      <c r="F2169">
        <v>25840755</v>
      </c>
      <c r="G2169">
        <v>25840794</v>
      </c>
      <c r="H2169">
        <v>25840755</v>
      </c>
      <c r="I2169">
        <v>25840794</v>
      </c>
    </row>
    <row r="2170" spans="1:9" x14ac:dyDescent="0.2">
      <c r="A2170" t="str">
        <f>"Ash2l"</f>
        <v>Ash2l</v>
      </c>
      <c r="B2170" t="s">
        <v>13</v>
      </c>
      <c r="C2170" t="s">
        <v>30</v>
      </c>
      <c r="D2170" t="s">
        <v>11</v>
      </c>
      <c r="E2170" t="s">
        <v>12</v>
      </c>
      <c r="F2170">
        <v>25847621</v>
      </c>
      <c r="G2170">
        <v>25847676</v>
      </c>
      <c r="H2170">
        <v>25847621</v>
      </c>
      <c r="I2170">
        <v>25847676</v>
      </c>
    </row>
    <row r="2171" spans="1:9" x14ac:dyDescent="0.2">
      <c r="A2171" t="str">
        <f>"Asic1"</f>
        <v>Asic1</v>
      </c>
      <c r="B2171" t="s">
        <v>14</v>
      </c>
      <c r="C2171" t="s">
        <v>25</v>
      </c>
      <c r="D2171" t="s">
        <v>17</v>
      </c>
      <c r="E2171" t="s">
        <v>67</v>
      </c>
      <c r="F2171">
        <v>99670327</v>
      </c>
      <c r="G2171">
        <v>99670396</v>
      </c>
      <c r="H2171">
        <v>99670574</v>
      </c>
      <c r="I2171">
        <v>99670634</v>
      </c>
    </row>
    <row r="2172" spans="1:9" x14ac:dyDescent="0.2">
      <c r="A2172" t="str">
        <f>"Asic2"</f>
        <v>Asic2</v>
      </c>
      <c r="B2172" t="s">
        <v>2159</v>
      </c>
      <c r="C2172" t="s">
        <v>27</v>
      </c>
      <c r="D2172" t="s">
        <v>11</v>
      </c>
      <c r="E2172" t="s">
        <v>35</v>
      </c>
      <c r="F2172">
        <v>81968447</v>
      </c>
      <c r="G2172">
        <v>81968456</v>
      </c>
      <c r="H2172">
        <v>81968336</v>
      </c>
      <c r="I2172">
        <v>81968339</v>
      </c>
    </row>
    <row r="2173" spans="1:9" x14ac:dyDescent="0.2">
      <c r="A2173" t="str">
        <f>"Asic3"</f>
        <v>Asic3</v>
      </c>
      <c r="B2173" t="s">
        <v>14</v>
      </c>
      <c r="C2173" t="s">
        <v>46</v>
      </c>
      <c r="D2173" t="s">
        <v>17</v>
      </c>
      <c r="E2173" t="s">
        <v>67</v>
      </c>
      <c r="F2173">
        <v>24413382</v>
      </c>
      <c r="G2173">
        <v>24413398</v>
      </c>
      <c r="H2173">
        <v>24413406</v>
      </c>
      <c r="I2173">
        <v>24413420</v>
      </c>
    </row>
    <row r="2174" spans="1:9" x14ac:dyDescent="0.2">
      <c r="A2174" t="str">
        <f>"Asic4"</f>
        <v>Asic4</v>
      </c>
      <c r="B2174" t="s">
        <v>14</v>
      </c>
      <c r="C2174" t="s">
        <v>19</v>
      </c>
      <c r="D2174" t="s">
        <v>17</v>
      </c>
      <c r="E2174" t="s">
        <v>67</v>
      </c>
      <c r="F2174">
        <v>75450500</v>
      </c>
      <c r="G2174">
        <v>75450516</v>
      </c>
      <c r="H2174">
        <v>75450582</v>
      </c>
      <c r="I2174">
        <v>75450614</v>
      </c>
    </row>
    <row r="2175" spans="1:9" x14ac:dyDescent="0.2">
      <c r="A2175" t="str">
        <f>"Asic5"</f>
        <v>Asic5</v>
      </c>
      <c r="B2175" t="s">
        <v>2160</v>
      </c>
      <c r="C2175" t="s">
        <v>22</v>
      </c>
      <c r="D2175" t="s">
        <v>17</v>
      </c>
      <c r="E2175" t="s">
        <v>20</v>
      </c>
      <c r="F2175">
        <v>81996921</v>
      </c>
      <c r="G2175">
        <v>81996921</v>
      </c>
      <c r="H2175">
        <v>81996921</v>
      </c>
      <c r="I2175">
        <v>81996921</v>
      </c>
    </row>
    <row r="2176" spans="1:9" x14ac:dyDescent="0.2">
      <c r="A2176" t="str">
        <f>"Asl"</f>
        <v>Asl</v>
      </c>
      <c r="B2176" t="s">
        <v>14</v>
      </c>
      <c r="C2176" t="s">
        <v>46</v>
      </c>
      <c r="D2176" t="s">
        <v>11</v>
      </c>
      <c r="E2176" t="s">
        <v>12</v>
      </c>
      <c r="F2176">
        <v>130024280</v>
      </c>
      <c r="G2176">
        <v>130024357</v>
      </c>
      <c r="H2176">
        <v>130024280</v>
      </c>
      <c r="I2176">
        <v>130024357</v>
      </c>
    </row>
    <row r="2177" spans="1:9" x14ac:dyDescent="0.2">
      <c r="A2177" t="str">
        <f>"Asmt"</f>
        <v>Asmt</v>
      </c>
      <c r="B2177" t="s">
        <v>2161</v>
      </c>
      <c r="C2177" t="s">
        <v>37</v>
      </c>
      <c r="D2177" t="s">
        <v>17</v>
      </c>
      <c r="E2177" t="s">
        <v>20</v>
      </c>
      <c r="F2177">
        <v>170672643</v>
      </c>
      <c r="G2177">
        <v>170672643</v>
      </c>
      <c r="H2177">
        <v>170672643</v>
      </c>
      <c r="I2177">
        <v>170672643</v>
      </c>
    </row>
    <row r="2178" spans="1:9" x14ac:dyDescent="0.2">
      <c r="A2178" t="str">
        <f>"Asna1"</f>
        <v>Asna1</v>
      </c>
      <c r="B2178" t="s">
        <v>14</v>
      </c>
      <c r="C2178" t="s">
        <v>30</v>
      </c>
      <c r="D2178" t="s">
        <v>11</v>
      </c>
      <c r="E2178" t="s">
        <v>12</v>
      </c>
      <c r="F2178">
        <v>85025268</v>
      </c>
      <c r="G2178">
        <v>85025296</v>
      </c>
      <c r="H2178">
        <v>85025498</v>
      </c>
      <c r="I2178">
        <v>85025528</v>
      </c>
    </row>
    <row r="2179" spans="1:9" x14ac:dyDescent="0.2">
      <c r="A2179" t="str">
        <f>"Asns"</f>
        <v>Asns</v>
      </c>
      <c r="B2179" t="s">
        <v>14</v>
      </c>
      <c r="C2179" t="s">
        <v>32</v>
      </c>
      <c r="D2179" t="s">
        <v>11</v>
      </c>
      <c r="E2179" t="s">
        <v>12</v>
      </c>
      <c r="F2179">
        <v>7693184</v>
      </c>
      <c r="G2179">
        <v>7693244</v>
      </c>
      <c r="H2179">
        <v>7693153</v>
      </c>
      <c r="I2179">
        <v>7693169</v>
      </c>
    </row>
    <row r="2180" spans="1:9" x14ac:dyDescent="0.2">
      <c r="A2180" t="str">
        <f>"Asnsd1"</f>
        <v>Asnsd1</v>
      </c>
      <c r="B2180" t="s">
        <v>14</v>
      </c>
      <c r="C2180" t="s">
        <v>19</v>
      </c>
      <c r="D2180" t="s">
        <v>11</v>
      </c>
      <c r="E2180" t="s">
        <v>12</v>
      </c>
      <c r="F2180">
        <v>53352637</v>
      </c>
      <c r="G2180">
        <v>53352716</v>
      </c>
      <c r="H2180">
        <v>53352637</v>
      </c>
      <c r="I2180">
        <v>53352716</v>
      </c>
    </row>
    <row r="2181" spans="1:9" x14ac:dyDescent="0.2">
      <c r="A2181" t="str">
        <f>"Aspa"</f>
        <v>Aspa</v>
      </c>
      <c r="B2181" t="s">
        <v>14</v>
      </c>
      <c r="C2181" t="s">
        <v>27</v>
      </c>
      <c r="D2181" t="s">
        <v>11</v>
      </c>
      <c r="E2181" t="s">
        <v>12</v>
      </c>
      <c r="F2181">
        <v>73324616</v>
      </c>
      <c r="G2181">
        <v>73324641</v>
      </c>
      <c r="H2181">
        <v>73324616</v>
      </c>
      <c r="I2181">
        <v>73324641</v>
      </c>
    </row>
    <row r="2182" spans="1:9" x14ac:dyDescent="0.2">
      <c r="A2182" t="str">
        <f>"Aspdh"</f>
        <v>Aspdh</v>
      </c>
      <c r="B2182" t="s">
        <v>14</v>
      </c>
      <c r="C2182" t="s">
        <v>33</v>
      </c>
      <c r="D2182" t="s">
        <v>17</v>
      </c>
      <c r="E2182" t="s">
        <v>12</v>
      </c>
      <c r="F2182">
        <v>44465391</v>
      </c>
      <c r="G2182">
        <v>44465419</v>
      </c>
      <c r="H2182">
        <v>44465422</v>
      </c>
      <c r="I2182">
        <v>44465451</v>
      </c>
    </row>
    <row r="2183" spans="1:9" x14ac:dyDescent="0.2">
      <c r="A2183" t="str">
        <f>"Aspg"</f>
        <v>Aspg</v>
      </c>
      <c r="B2183" t="s">
        <v>14</v>
      </c>
      <c r="C2183" t="s">
        <v>16</v>
      </c>
      <c r="D2183" t="s">
        <v>17</v>
      </c>
      <c r="E2183" t="s">
        <v>12</v>
      </c>
      <c r="F2183">
        <v>112106841</v>
      </c>
      <c r="G2183">
        <v>112106887</v>
      </c>
      <c r="H2183">
        <v>112106791</v>
      </c>
      <c r="I2183">
        <v>112106810</v>
      </c>
    </row>
    <row r="2184" spans="1:9" x14ac:dyDescent="0.2">
      <c r="A2184" t="str">
        <f>"Asph"</f>
        <v>Asph</v>
      </c>
      <c r="B2184" t="s">
        <v>14</v>
      </c>
      <c r="C2184" t="s">
        <v>23</v>
      </c>
      <c r="D2184" t="s">
        <v>11</v>
      </c>
      <c r="E2184" t="s">
        <v>12</v>
      </c>
      <c r="F2184">
        <v>9669068</v>
      </c>
      <c r="G2184">
        <v>9669113</v>
      </c>
      <c r="H2184">
        <v>9669068</v>
      </c>
      <c r="I2184">
        <v>9669113</v>
      </c>
    </row>
    <row r="2185" spans="1:9" x14ac:dyDescent="0.2">
      <c r="A2185" t="str">
        <f>"Asphd1"</f>
        <v>Asphd1</v>
      </c>
      <c r="B2185" t="s">
        <v>14</v>
      </c>
      <c r="C2185" t="s">
        <v>33</v>
      </c>
      <c r="D2185" t="s">
        <v>11</v>
      </c>
      <c r="E2185" t="s">
        <v>12</v>
      </c>
      <c r="F2185">
        <v>126949894</v>
      </c>
      <c r="G2185">
        <v>126949939</v>
      </c>
      <c r="H2185">
        <v>126949894</v>
      </c>
      <c r="I2185">
        <v>126949939</v>
      </c>
    </row>
    <row r="2186" spans="1:9" x14ac:dyDescent="0.2">
      <c r="A2186" t="str">
        <f>"Asphd2"</f>
        <v>Asphd2</v>
      </c>
      <c r="B2186" t="s">
        <v>2162</v>
      </c>
      <c r="C2186" t="s">
        <v>46</v>
      </c>
      <c r="D2186" t="s">
        <v>11</v>
      </c>
      <c r="E2186" t="s">
        <v>20</v>
      </c>
      <c r="F2186">
        <v>112392212</v>
      </c>
      <c r="G2186">
        <v>112392212</v>
      </c>
      <c r="H2186">
        <v>112392212</v>
      </c>
      <c r="I2186">
        <v>112392212</v>
      </c>
    </row>
    <row r="2187" spans="1:9" x14ac:dyDescent="0.2">
      <c r="A2187" t="str">
        <f>"Aspm"</f>
        <v>Aspm</v>
      </c>
      <c r="B2187" t="s">
        <v>14</v>
      </c>
      <c r="C2187" t="s">
        <v>19</v>
      </c>
      <c r="D2187" t="s">
        <v>17</v>
      </c>
      <c r="E2187" t="s">
        <v>12</v>
      </c>
      <c r="F2187">
        <v>139454747</v>
      </c>
      <c r="G2187">
        <v>139454825</v>
      </c>
      <c r="H2187">
        <v>139454828</v>
      </c>
      <c r="I2187">
        <v>139454842</v>
      </c>
    </row>
    <row r="2188" spans="1:9" x14ac:dyDescent="0.2">
      <c r="A2188" t="str">
        <f>"Aspn"</f>
        <v>Aspn</v>
      </c>
      <c r="B2188" t="s">
        <v>14</v>
      </c>
      <c r="C2188" t="s">
        <v>39</v>
      </c>
      <c r="D2188" t="s">
        <v>17</v>
      </c>
      <c r="E2188" t="s">
        <v>12</v>
      </c>
      <c r="F2188">
        <v>49544479</v>
      </c>
      <c r="G2188">
        <v>49544533</v>
      </c>
      <c r="H2188">
        <v>49544479</v>
      </c>
      <c r="I2188">
        <v>49544533</v>
      </c>
    </row>
    <row r="2189" spans="1:9" x14ac:dyDescent="0.2">
      <c r="A2189" t="str">
        <f>"Asprv1"</f>
        <v>Asprv1</v>
      </c>
      <c r="B2189" t="s">
        <v>2163</v>
      </c>
      <c r="C2189" t="s">
        <v>32</v>
      </c>
      <c r="D2189" t="s">
        <v>17</v>
      </c>
      <c r="E2189" t="s">
        <v>20</v>
      </c>
      <c r="F2189">
        <v>86628173</v>
      </c>
      <c r="G2189">
        <v>86628173</v>
      </c>
      <c r="H2189">
        <v>86628173</v>
      </c>
      <c r="I2189">
        <v>86628173</v>
      </c>
    </row>
    <row r="2190" spans="1:9" x14ac:dyDescent="0.2">
      <c r="A2190" t="str">
        <f>"Aspscr1"</f>
        <v>Aspscr1</v>
      </c>
      <c r="B2190" t="s">
        <v>14</v>
      </c>
      <c r="C2190" t="s">
        <v>27</v>
      </c>
      <c r="D2190" t="s">
        <v>17</v>
      </c>
      <c r="E2190" t="s">
        <v>12</v>
      </c>
      <c r="F2190">
        <v>120673018</v>
      </c>
      <c r="G2190">
        <v>120673066</v>
      </c>
      <c r="H2190">
        <v>120673369</v>
      </c>
      <c r="I2190">
        <v>120673393</v>
      </c>
    </row>
    <row r="2191" spans="1:9" x14ac:dyDescent="0.2">
      <c r="A2191" t="str">
        <f>"Asrgl1"</f>
        <v>Asrgl1</v>
      </c>
      <c r="B2191" t="s">
        <v>14</v>
      </c>
      <c r="C2191" t="s">
        <v>10</v>
      </c>
      <c r="D2191" t="s">
        <v>11</v>
      </c>
      <c r="E2191" t="s">
        <v>12</v>
      </c>
      <c r="F2191">
        <v>9135556</v>
      </c>
      <c r="G2191">
        <v>9135602</v>
      </c>
      <c r="H2191">
        <v>9135603</v>
      </c>
      <c r="I2191">
        <v>9135635</v>
      </c>
    </row>
    <row r="2192" spans="1:9" x14ac:dyDescent="0.2">
      <c r="A2192" t="str">
        <f>"Ass1"</f>
        <v>Ass1</v>
      </c>
      <c r="B2192" t="s">
        <v>14</v>
      </c>
      <c r="C2192" t="s">
        <v>26</v>
      </c>
      <c r="D2192" t="s">
        <v>17</v>
      </c>
      <c r="E2192" t="s">
        <v>12</v>
      </c>
      <c r="F2192">
        <v>31470288</v>
      </c>
      <c r="G2192">
        <v>31470310</v>
      </c>
      <c r="H2192">
        <v>31470254</v>
      </c>
      <c r="I2192">
        <v>31470282</v>
      </c>
    </row>
    <row r="2193" spans="1:9" x14ac:dyDescent="0.2">
      <c r="A2193" t="str">
        <f>"Aste1"</f>
        <v>Aste1</v>
      </c>
      <c r="B2193" t="s">
        <v>14</v>
      </c>
      <c r="C2193" t="s">
        <v>24</v>
      </c>
      <c r="D2193" t="s">
        <v>17</v>
      </c>
      <c r="E2193" t="s">
        <v>12</v>
      </c>
      <c r="F2193">
        <v>105395519</v>
      </c>
      <c r="G2193">
        <v>105395563</v>
      </c>
      <c r="H2193">
        <v>105395348</v>
      </c>
      <c r="I2193">
        <v>105395411</v>
      </c>
    </row>
    <row r="2194" spans="1:9" x14ac:dyDescent="0.2">
      <c r="A2194" t="str">
        <f>"Astl"</f>
        <v>Astl</v>
      </c>
      <c r="B2194" t="s">
        <v>14</v>
      </c>
      <c r="C2194" t="s">
        <v>26</v>
      </c>
      <c r="D2194" t="s">
        <v>17</v>
      </c>
      <c r="E2194" t="s">
        <v>12</v>
      </c>
      <c r="F2194">
        <v>127338295</v>
      </c>
      <c r="G2194">
        <v>127338316</v>
      </c>
      <c r="H2194">
        <v>127338295</v>
      </c>
      <c r="I2194">
        <v>127338316</v>
      </c>
    </row>
    <row r="2195" spans="1:9" x14ac:dyDescent="0.2">
      <c r="A2195" t="str">
        <f>"Astn1"</f>
        <v>Astn1</v>
      </c>
      <c r="B2195" t="s">
        <v>14</v>
      </c>
      <c r="C2195" t="s">
        <v>19</v>
      </c>
      <c r="D2195" t="s">
        <v>17</v>
      </c>
      <c r="E2195" t="s">
        <v>12</v>
      </c>
      <c r="F2195">
        <v>158362330</v>
      </c>
      <c r="G2195">
        <v>158362411</v>
      </c>
      <c r="H2195">
        <v>158362521</v>
      </c>
      <c r="I2195">
        <v>158362585</v>
      </c>
    </row>
    <row r="2196" spans="1:9" x14ac:dyDescent="0.2">
      <c r="A2196" t="str">
        <f>"Astn2"</f>
        <v>Astn2</v>
      </c>
      <c r="B2196" t="s">
        <v>14</v>
      </c>
      <c r="C2196" t="s">
        <v>23</v>
      </c>
      <c r="D2196" t="s">
        <v>11</v>
      </c>
      <c r="E2196" t="s">
        <v>12</v>
      </c>
      <c r="F2196">
        <v>66404458</v>
      </c>
      <c r="G2196">
        <v>66404509</v>
      </c>
      <c r="H2196">
        <v>66404434</v>
      </c>
      <c r="I2196">
        <v>66404456</v>
      </c>
    </row>
    <row r="2197" spans="1:9" x14ac:dyDescent="0.2">
      <c r="A2197" t="str">
        <f>"Asun"</f>
        <v>Asun</v>
      </c>
      <c r="B2197" t="s">
        <v>14</v>
      </c>
      <c r="C2197" t="s">
        <v>32</v>
      </c>
      <c r="D2197" t="s">
        <v>11</v>
      </c>
      <c r="E2197" t="s">
        <v>67</v>
      </c>
      <c r="F2197">
        <v>146577756</v>
      </c>
      <c r="G2197">
        <v>146577799</v>
      </c>
      <c r="H2197">
        <v>146577430</v>
      </c>
      <c r="I2197">
        <v>146577472</v>
      </c>
    </row>
    <row r="2198" spans="1:9" x14ac:dyDescent="0.2">
      <c r="A2198" t="str">
        <f>"Asxl1"</f>
        <v>Asxl1</v>
      </c>
      <c r="B2198" t="s">
        <v>14</v>
      </c>
      <c r="C2198" t="s">
        <v>26</v>
      </c>
      <c r="D2198" t="s">
        <v>17</v>
      </c>
      <c r="E2198" t="s">
        <v>12</v>
      </c>
      <c r="F2198">
        <v>153345809</v>
      </c>
      <c r="G2198">
        <v>153345889</v>
      </c>
      <c r="H2198">
        <v>153345990</v>
      </c>
      <c r="I2198">
        <v>153346073</v>
      </c>
    </row>
    <row r="2199" spans="1:9" x14ac:dyDescent="0.2">
      <c r="A2199" t="str">
        <f>"Asxl2"</f>
        <v>Asxl2</v>
      </c>
      <c r="B2199" t="s">
        <v>14</v>
      </c>
      <c r="C2199" t="s">
        <v>16</v>
      </c>
      <c r="D2199" t="s">
        <v>17</v>
      </c>
      <c r="E2199" t="s">
        <v>12</v>
      </c>
      <c r="F2199">
        <v>3426878</v>
      </c>
      <c r="G2199">
        <v>3426931</v>
      </c>
      <c r="H2199">
        <v>3426848</v>
      </c>
      <c r="I2199">
        <v>3426862</v>
      </c>
    </row>
    <row r="2200" spans="1:9" x14ac:dyDescent="0.2">
      <c r="A2200" t="str">
        <f>"Asxl3"</f>
        <v>Asxl3</v>
      </c>
      <c r="B2200" t="s">
        <v>14</v>
      </c>
      <c r="C2200" t="s">
        <v>43</v>
      </c>
      <c r="D2200" t="s">
        <v>17</v>
      </c>
      <c r="E2200" t="s">
        <v>12</v>
      </c>
      <c r="F2200">
        <v>22344913</v>
      </c>
      <c r="G2200">
        <v>22344925</v>
      </c>
      <c r="H2200">
        <v>22344913</v>
      </c>
      <c r="I2200">
        <v>22344925</v>
      </c>
    </row>
    <row r="2201" spans="1:9" x14ac:dyDescent="0.2">
      <c r="A2201" t="str">
        <f>"Asz1"</f>
        <v>Asz1</v>
      </c>
      <c r="B2201" t="s">
        <v>14</v>
      </c>
      <c r="C2201" t="s">
        <v>32</v>
      </c>
      <c r="D2201" t="s">
        <v>11</v>
      </c>
      <c r="E2201" t="s">
        <v>12</v>
      </c>
      <c r="F2201">
        <v>18109038</v>
      </c>
      <c r="G2201">
        <v>18109062</v>
      </c>
      <c r="H2201">
        <v>18109063</v>
      </c>
      <c r="I2201">
        <v>18109084</v>
      </c>
    </row>
    <row r="2202" spans="1:9" x14ac:dyDescent="0.2">
      <c r="A2202" t="str">
        <f>"Atad1"</f>
        <v>Atad1</v>
      </c>
      <c r="B2202" t="s">
        <v>14</v>
      </c>
      <c r="C2202" t="s">
        <v>10</v>
      </c>
      <c r="D2202" t="s">
        <v>11</v>
      </c>
      <c r="E2202" t="s">
        <v>12</v>
      </c>
      <c r="F2202">
        <v>32712287</v>
      </c>
      <c r="G2202">
        <v>32712336</v>
      </c>
      <c r="H2202">
        <v>32712337</v>
      </c>
      <c r="I2202">
        <v>32712340</v>
      </c>
    </row>
    <row r="2203" spans="1:9" x14ac:dyDescent="0.2">
      <c r="A2203" t="str">
        <f>"Atad2"</f>
        <v>Atad2</v>
      </c>
      <c r="B2203" t="s">
        <v>14</v>
      </c>
      <c r="C2203" t="s">
        <v>25</v>
      </c>
      <c r="D2203" t="s">
        <v>11</v>
      </c>
      <c r="E2203" t="s">
        <v>12</v>
      </c>
      <c r="F2203">
        <v>58135047</v>
      </c>
      <c r="G2203">
        <v>58135095</v>
      </c>
      <c r="H2203">
        <v>58135047</v>
      </c>
      <c r="I2203">
        <v>58135095</v>
      </c>
    </row>
    <row r="2204" spans="1:9" x14ac:dyDescent="0.2">
      <c r="A2204" t="str">
        <f>"Atad2b"</f>
        <v>Atad2b</v>
      </c>
      <c r="B2204" t="s">
        <v>14</v>
      </c>
      <c r="C2204" t="s">
        <v>16</v>
      </c>
      <c r="D2204" t="s">
        <v>17</v>
      </c>
      <c r="E2204" t="s">
        <v>12</v>
      </c>
      <c r="F2204">
        <v>4917376</v>
      </c>
      <c r="G2204">
        <v>4917438</v>
      </c>
      <c r="H2204">
        <v>4917346</v>
      </c>
      <c r="I2204">
        <v>4917370</v>
      </c>
    </row>
    <row r="2205" spans="1:9" x14ac:dyDescent="0.2">
      <c r="A2205" t="str">
        <f>"Atad3a"</f>
        <v>Atad3a</v>
      </c>
      <c r="B2205" t="s">
        <v>14</v>
      </c>
      <c r="C2205" t="s">
        <v>23</v>
      </c>
      <c r="D2205" t="s">
        <v>11</v>
      </c>
      <c r="E2205" t="s">
        <v>12</v>
      </c>
      <c r="F2205">
        <v>155761042</v>
      </c>
      <c r="G2205">
        <v>155761109</v>
      </c>
      <c r="H2205">
        <v>155761042</v>
      </c>
      <c r="I2205">
        <v>155761109</v>
      </c>
    </row>
    <row r="2206" spans="1:9" x14ac:dyDescent="0.2">
      <c r="A2206" t="str">
        <f>"Atad5"</f>
        <v>Atad5</v>
      </c>
      <c r="B2206" t="s">
        <v>14</v>
      </c>
      <c r="C2206" t="s">
        <v>27</v>
      </c>
      <c r="D2206" t="s">
        <v>17</v>
      </c>
      <c r="E2206" t="s">
        <v>12</v>
      </c>
      <c r="F2206">
        <v>80089426</v>
      </c>
      <c r="G2206">
        <v>80089469</v>
      </c>
      <c r="H2206">
        <v>80089385</v>
      </c>
      <c r="I2206">
        <v>80089417</v>
      </c>
    </row>
    <row r="2207" spans="1:9" x14ac:dyDescent="0.2">
      <c r="A2207" t="str">
        <f>"Atat1"</f>
        <v>Atat1</v>
      </c>
      <c r="B2207" t="s">
        <v>14</v>
      </c>
      <c r="C2207" t="s">
        <v>28</v>
      </c>
      <c r="D2207" t="s">
        <v>11</v>
      </c>
      <c r="E2207" t="s">
        <v>12</v>
      </c>
      <c r="F2207">
        <v>35910032</v>
      </c>
      <c r="G2207">
        <v>35910076</v>
      </c>
      <c r="H2207">
        <v>35910000</v>
      </c>
      <c r="I2207">
        <v>35910029</v>
      </c>
    </row>
    <row r="2208" spans="1:9" x14ac:dyDescent="0.2">
      <c r="A2208" t="str">
        <f>"Atcay"</f>
        <v>Atcay</v>
      </c>
      <c r="B2208" t="s">
        <v>14</v>
      </c>
      <c r="C2208" t="s">
        <v>15</v>
      </c>
      <c r="D2208" t="s">
        <v>11</v>
      </c>
      <c r="E2208" t="s">
        <v>12</v>
      </c>
      <c r="F2208">
        <v>81230773</v>
      </c>
      <c r="G2208">
        <v>81230825</v>
      </c>
      <c r="H2208">
        <v>81230758</v>
      </c>
      <c r="I2208">
        <v>81230769</v>
      </c>
    </row>
    <row r="2209" spans="1:9" x14ac:dyDescent="0.2">
      <c r="A2209" t="str">
        <f>"Ate1"</f>
        <v>Ate1</v>
      </c>
      <c r="B2209" t="s">
        <v>14</v>
      </c>
      <c r="C2209" t="s">
        <v>33</v>
      </c>
      <c r="D2209" t="s">
        <v>11</v>
      </c>
      <c r="E2209" t="s">
        <v>12</v>
      </c>
      <c r="F2209">
        <v>130519465</v>
      </c>
      <c r="G2209">
        <v>130519558</v>
      </c>
      <c r="H2209">
        <v>130519965</v>
      </c>
      <c r="I2209">
        <v>130520004</v>
      </c>
    </row>
    <row r="2210" spans="1:9" x14ac:dyDescent="0.2">
      <c r="A2210" t="str">
        <f>"Atf1"</f>
        <v>Atf1</v>
      </c>
      <c r="B2210" t="s">
        <v>14</v>
      </c>
      <c r="C2210" t="s">
        <v>25</v>
      </c>
      <c r="D2210" t="s">
        <v>17</v>
      </c>
      <c r="E2210" t="s">
        <v>12</v>
      </c>
      <c r="F2210">
        <v>100227835</v>
      </c>
      <c r="G2210">
        <v>100227856</v>
      </c>
      <c r="H2210">
        <v>100228229</v>
      </c>
      <c r="I2210">
        <v>100228280</v>
      </c>
    </row>
    <row r="2211" spans="1:9" x14ac:dyDescent="0.2">
      <c r="A2211" t="str">
        <f>"Atf2"</f>
        <v>Atf2</v>
      </c>
      <c r="B2211" t="s">
        <v>14</v>
      </c>
      <c r="C2211" t="s">
        <v>26</v>
      </c>
      <c r="D2211" t="s">
        <v>11</v>
      </c>
      <c r="E2211" t="s">
        <v>12</v>
      </c>
      <c r="F2211">
        <v>73892619</v>
      </c>
      <c r="G2211">
        <v>73892635</v>
      </c>
      <c r="H2211">
        <v>73892588</v>
      </c>
      <c r="I2211">
        <v>73892616</v>
      </c>
    </row>
    <row r="2212" spans="1:9" x14ac:dyDescent="0.2">
      <c r="A2212" t="str">
        <f>"Atf3"</f>
        <v>Atf3</v>
      </c>
      <c r="B2212" t="s">
        <v>14</v>
      </c>
      <c r="C2212" t="s">
        <v>19</v>
      </c>
      <c r="D2212" t="s">
        <v>11</v>
      </c>
      <c r="E2212" t="s">
        <v>12</v>
      </c>
      <c r="F2212">
        <v>191183244</v>
      </c>
      <c r="G2212">
        <v>191183260</v>
      </c>
      <c r="H2212">
        <v>191183244</v>
      </c>
      <c r="I2212">
        <v>191183260</v>
      </c>
    </row>
    <row r="2213" spans="1:9" x14ac:dyDescent="0.2">
      <c r="A2213" t="str">
        <f>"Atf4"</f>
        <v>Atf4</v>
      </c>
      <c r="B2213" t="s">
        <v>14</v>
      </c>
      <c r="C2213" t="s">
        <v>25</v>
      </c>
      <c r="D2213" t="s">
        <v>17</v>
      </c>
      <c r="E2213" t="s">
        <v>12</v>
      </c>
      <c r="F2213">
        <v>80255490</v>
      </c>
      <c r="G2213">
        <v>80255511</v>
      </c>
      <c r="H2213">
        <v>80255248</v>
      </c>
      <c r="I2213">
        <v>80255263</v>
      </c>
    </row>
    <row r="2214" spans="1:9" x14ac:dyDescent="0.2">
      <c r="A2214" t="str">
        <f>"Atf5"</f>
        <v>Atf5</v>
      </c>
      <c r="B2214" t="s">
        <v>14</v>
      </c>
      <c r="C2214" t="s">
        <v>33</v>
      </c>
      <c r="D2214" t="s">
        <v>11</v>
      </c>
      <c r="E2214" t="s">
        <v>12</v>
      </c>
      <c r="F2214">
        <v>44816586</v>
      </c>
      <c r="G2214">
        <v>44816608</v>
      </c>
      <c r="H2214">
        <v>44815664</v>
      </c>
      <c r="I2214">
        <v>44815682</v>
      </c>
    </row>
    <row r="2215" spans="1:9" x14ac:dyDescent="0.2">
      <c r="A2215" t="str">
        <f>"Atf6"</f>
        <v>Atf6</v>
      </c>
      <c r="B2215" t="s">
        <v>14</v>
      </c>
      <c r="C2215" t="s">
        <v>19</v>
      </c>
      <c r="D2215" t="s">
        <v>11</v>
      </c>
      <c r="E2215" t="s">
        <v>12</v>
      </c>
      <c r="F2215">
        <v>170867761</v>
      </c>
      <c r="G2215">
        <v>170867784</v>
      </c>
      <c r="H2215">
        <v>170867733</v>
      </c>
      <c r="I2215">
        <v>170867742</v>
      </c>
    </row>
    <row r="2216" spans="1:9" x14ac:dyDescent="0.2">
      <c r="A2216" t="str">
        <f>"Atf6b"</f>
        <v>Atf6b</v>
      </c>
      <c r="B2216" t="s">
        <v>14</v>
      </c>
      <c r="C2216" t="s">
        <v>28</v>
      </c>
      <c r="D2216" t="s">
        <v>17</v>
      </c>
      <c r="E2216" t="s">
        <v>12</v>
      </c>
      <c r="F2216">
        <v>34647187</v>
      </c>
      <c r="G2216">
        <v>34647216</v>
      </c>
      <c r="H2216">
        <v>34647128</v>
      </c>
      <c r="I2216">
        <v>34647173</v>
      </c>
    </row>
    <row r="2217" spans="1:9" x14ac:dyDescent="0.2">
      <c r="A2217" t="str">
        <f>"Atf7"</f>
        <v>Atf7</v>
      </c>
      <c r="B2217" t="s">
        <v>2164</v>
      </c>
      <c r="C2217" t="s">
        <v>25</v>
      </c>
      <c r="D2217" t="s">
        <v>11</v>
      </c>
      <c r="E2217" t="s">
        <v>20</v>
      </c>
      <c r="F2217">
        <v>102529024</v>
      </c>
      <c r="G2217">
        <v>102529024</v>
      </c>
      <c r="H2217">
        <v>102529024</v>
      </c>
      <c r="I2217">
        <v>102529024</v>
      </c>
    </row>
    <row r="2218" spans="1:9" x14ac:dyDescent="0.2">
      <c r="A2218" t="str">
        <f>"Atf7ip"</f>
        <v>Atf7ip</v>
      </c>
      <c r="B2218" t="s">
        <v>2165</v>
      </c>
      <c r="C2218" t="s">
        <v>32</v>
      </c>
      <c r="D2218" t="s">
        <v>17</v>
      </c>
      <c r="E2218" t="s">
        <v>20</v>
      </c>
      <c r="F2218">
        <v>136608858</v>
      </c>
      <c r="G2218">
        <v>136608858</v>
      </c>
      <c r="H2218">
        <v>136608858</v>
      </c>
      <c r="I2218">
        <v>136608858</v>
      </c>
    </row>
    <row r="2219" spans="1:9" x14ac:dyDescent="0.2">
      <c r="A2219" t="str">
        <f>"Atf7ip2"</f>
        <v>Atf7ip2</v>
      </c>
      <c r="B2219" t="s">
        <v>14</v>
      </c>
      <c r="C2219" t="s">
        <v>31</v>
      </c>
      <c r="D2219" t="s">
        <v>17</v>
      </c>
      <c r="E2219" t="s">
        <v>12</v>
      </c>
      <c r="F2219">
        <v>10192910</v>
      </c>
      <c r="G2219">
        <v>10192927</v>
      </c>
      <c r="H2219">
        <v>10192910</v>
      </c>
      <c r="I2219">
        <v>10192927</v>
      </c>
    </row>
    <row r="2220" spans="1:9" x14ac:dyDescent="0.2">
      <c r="A2220" t="str">
        <f>"Atg10"</f>
        <v>Atg10</v>
      </c>
      <c r="B2220" t="s">
        <v>14</v>
      </c>
      <c r="C2220" t="s">
        <v>39</v>
      </c>
      <c r="D2220" t="s">
        <v>11</v>
      </c>
      <c r="E2220" t="s">
        <v>12</v>
      </c>
      <c r="F2220">
        <v>91223955</v>
      </c>
      <c r="G2220">
        <v>91223994</v>
      </c>
      <c r="H2220">
        <v>91224038</v>
      </c>
      <c r="I2220">
        <v>91224049</v>
      </c>
    </row>
    <row r="2221" spans="1:9" x14ac:dyDescent="0.2">
      <c r="A2221" t="str">
        <f>"Atg12"</f>
        <v>Atg12</v>
      </c>
      <c r="B2221" t="s">
        <v>14</v>
      </c>
      <c r="C2221" t="s">
        <v>43</v>
      </c>
      <c r="D2221" t="s">
        <v>11</v>
      </c>
      <c r="E2221" t="s">
        <v>12</v>
      </c>
      <c r="F2221">
        <v>46741544</v>
      </c>
      <c r="G2221">
        <v>46741584</v>
      </c>
      <c r="H2221">
        <v>46741803</v>
      </c>
      <c r="I2221">
        <v>46741832</v>
      </c>
    </row>
    <row r="2222" spans="1:9" x14ac:dyDescent="0.2">
      <c r="A2222" t="str">
        <f>"Atg13"</f>
        <v>Atg13</v>
      </c>
      <c r="B2222" t="s">
        <v>14</v>
      </c>
      <c r="C2222" t="s">
        <v>26</v>
      </c>
      <c r="D2222" t="s">
        <v>11</v>
      </c>
      <c r="E2222" t="s">
        <v>12</v>
      </c>
      <c r="F2222">
        <v>91710526</v>
      </c>
      <c r="G2222">
        <v>91710582</v>
      </c>
      <c r="H2222">
        <v>91710585</v>
      </c>
      <c r="I2222">
        <v>91710598</v>
      </c>
    </row>
    <row r="2223" spans="1:9" x14ac:dyDescent="0.2">
      <c r="A2223" t="str">
        <f>"Atg14"</f>
        <v>Atg14</v>
      </c>
      <c r="B2223" t="s">
        <v>14</v>
      </c>
      <c r="C2223" t="s">
        <v>41</v>
      </c>
      <c r="D2223" t="s">
        <v>11</v>
      </c>
      <c r="E2223" t="s">
        <v>12</v>
      </c>
      <c r="F2223">
        <v>47568407</v>
      </c>
      <c r="G2223">
        <v>47568425</v>
      </c>
      <c r="H2223">
        <v>47568427</v>
      </c>
      <c r="I2223">
        <v>47568436</v>
      </c>
    </row>
    <row r="2224" spans="1:9" x14ac:dyDescent="0.2">
      <c r="A2224" t="str">
        <f>"Atg16l1"</f>
        <v>Atg16l1</v>
      </c>
      <c r="B2224" t="s">
        <v>14</v>
      </c>
      <c r="C2224" t="s">
        <v>19</v>
      </c>
      <c r="D2224" t="s">
        <v>17</v>
      </c>
      <c r="E2224" t="s">
        <v>12</v>
      </c>
      <c r="F2224">
        <v>87756004</v>
      </c>
      <c r="G2224">
        <v>87756115</v>
      </c>
      <c r="H2224">
        <v>87756148</v>
      </c>
      <c r="I2224">
        <v>87756155</v>
      </c>
    </row>
    <row r="2225" spans="1:9" x14ac:dyDescent="0.2">
      <c r="A2225" t="str">
        <f>"Atg16l2"</f>
        <v>Atg16l2</v>
      </c>
      <c r="B2225" t="s">
        <v>14</v>
      </c>
      <c r="C2225" t="s">
        <v>33</v>
      </c>
      <c r="D2225" t="s">
        <v>11</v>
      </c>
      <c r="E2225" t="s">
        <v>12</v>
      </c>
      <c r="F2225">
        <v>101302020</v>
      </c>
      <c r="G2225">
        <v>101302082</v>
      </c>
      <c r="H2225">
        <v>101302222</v>
      </c>
      <c r="I2225">
        <v>101302263</v>
      </c>
    </row>
    <row r="2226" spans="1:9" x14ac:dyDescent="0.2">
      <c r="A2226" t="str">
        <f>"Atg2a"</f>
        <v>Atg2a</v>
      </c>
      <c r="B2226" t="s">
        <v>14</v>
      </c>
      <c r="C2226" t="s">
        <v>10</v>
      </c>
      <c r="D2226" t="s">
        <v>17</v>
      </c>
      <c r="E2226" t="s">
        <v>12</v>
      </c>
      <c r="F2226">
        <v>6241699</v>
      </c>
      <c r="G2226">
        <v>6241734</v>
      </c>
      <c r="H2226">
        <v>6241682</v>
      </c>
      <c r="I2226">
        <v>6241694</v>
      </c>
    </row>
    <row r="2227" spans="1:9" x14ac:dyDescent="0.2">
      <c r="A2227" t="str">
        <f>"Atg2b"</f>
        <v>Atg2b</v>
      </c>
      <c r="B2227" t="s">
        <v>14</v>
      </c>
      <c r="C2227" t="s">
        <v>16</v>
      </c>
      <c r="D2227" t="s">
        <v>11</v>
      </c>
      <c r="E2227" t="s">
        <v>12</v>
      </c>
      <c r="F2227">
        <v>105685235</v>
      </c>
      <c r="G2227">
        <v>105685310</v>
      </c>
      <c r="H2227">
        <v>105685179</v>
      </c>
      <c r="I2227">
        <v>105685231</v>
      </c>
    </row>
    <row r="2228" spans="1:9" x14ac:dyDescent="0.2">
      <c r="A2228" t="str">
        <f>"Atg3"</f>
        <v>Atg3</v>
      </c>
      <c r="B2228" t="s">
        <v>14</v>
      </c>
      <c r="C2228" t="s">
        <v>31</v>
      </c>
      <c r="D2228" t="s">
        <v>17</v>
      </c>
      <c r="E2228" t="s">
        <v>12</v>
      </c>
      <c r="F2228">
        <v>45158725</v>
      </c>
      <c r="G2228">
        <v>45158810</v>
      </c>
      <c r="H2228">
        <v>45158869</v>
      </c>
      <c r="I2228">
        <v>45158921</v>
      </c>
    </row>
    <row r="2229" spans="1:9" x14ac:dyDescent="0.2">
      <c r="A2229" t="str">
        <f>"Atg4a"</f>
        <v>Atg4a</v>
      </c>
      <c r="B2229" t="s">
        <v>14</v>
      </c>
      <c r="C2229" t="s">
        <v>37</v>
      </c>
      <c r="D2229" t="s">
        <v>17</v>
      </c>
      <c r="E2229" t="s">
        <v>12</v>
      </c>
      <c r="F2229">
        <v>140956892</v>
      </c>
      <c r="G2229">
        <v>140956923</v>
      </c>
      <c r="H2229">
        <v>140956943</v>
      </c>
      <c r="I2229">
        <v>140956954</v>
      </c>
    </row>
    <row r="2230" spans="1:9" x14ac:dyDescent="0.2">
      <c r="A2230" t="str">
        <f>"Atg4b"</f>
        <v>Atg4b</v>
      </c>
      <c r="B2230" t="s">
        <v>14</v>
      </c>
      <c r="C2230" t="s">
        <v>19</v>
      </c>
      <c r="D2230" t="s">
        <v>17</v>
      </c>
      <c r="E2230" t="s">
        <v>12</v>
      </c>
      <c r="F2230">
        <v>93754952</v>
      </c>
      <c r="G2230">
        <v>93755029</v>
      </c>
      <c r="H2230">
        <v>93754899</v>
      </c>
      <c r="I2230">
        <v>93754932</v>
      </c>
    </row>
    <row r="2231" spans="1:9" x14ac:dyDescent="0.2">
      <c r="A2231" t="str">
        <f>"Atg4c"</f>
        <v>Atg4c</v>
      </c>
      <c r="B2231" t="s">
        <v>14</v>
      </c>
      <c r="C2231" t="s">
        <v>23</v>
      </c>
      <c r="D2231" t="s">
        <v>17</v>
      </c>
      <c r="E2231" t="s">
        <v>12</v>
      </c>
      <c r="F2231">
        <v>99194124</v>
      </c>
      <c r="G2231">
        <v>99194204</v>
      </c>
      <c r="H2231">
        <v>99193896</v>
      </c>
      <c r="I2231">
        <v>99193935</v>
      </c>
    </row>
    <row r="2232" spans="1:9" x14ac:dyDescent="0.2">
      <c r="A2232" t="str">
        <f>"Atg4d"</f>
        <v>Atg4d</v>
      </c>
      <c r="B2232" t="s">
        <v>14</v>
      </c>
      <c r="C2232" t="s">
        <v>24</v>
      </c>
      <c r="D2232" t="s">
        <v>17</v>
      </c>
      <c r="E2232" t="s">
        <v>12</v>
      </c>
      <c r="F2232">
        <v>21265287</v>
      </c>
      <c r="G2232">
        <v>21265322</v>
      </c>
      <c r="H2232">
        <v>21265287</v>
      </c>
      <c r="I2232">
        <v>21265322</v>
      </c>
    </row>
    <row r="2233" spans="1:9" x14ac:dyDescent="0.2">
      <c r="A2233" t="str">
        <f>"Atg5"</f>
        <v>Atg5</v>
      </c>
      <c r="B2233" t="s">
        <v>14</v>
      </c>
      <c r="C2233" t="s">
        <v>15</v>
      </c>
      <c r="D2233" t="s">
        <v>17</v>
      </c>
      <c r="E2233" t="s">
        <v>12</v>
      </c>
      <c r="F2233">
        <v>44268448</v>
      </c>
      <c r="G2233">
        <v>44268528</v>
      </c>
      <c r="H2233">
        <v>44268328</v>
      </c>
      <c r="I2233">
        <v>44268379</v>
      </c>
    </row>
    <row r="2234" spans="1:9" x14ac:dyDescent="0.2">
      <c r="A2234" t="str">
        <f>"Atg7"</f>
        <v>Atg7</v>
      </c>
      <c r="B2234" t="s">
        <v>14</v>
      </c>
      <c r="C2234" t="s">
        <v>32</v>
      </c>
      <c r="D2234" t="s">
        <v>17</v>
      </c>
      <c r="E2234" t="s">
        <v>12</v>
      </c>
      <c r="F2234">
        <v>114643106</v>
      </c>
      <c r="G2234">
        <v>114643169</v>
      </c>
      <c r="H2234">
        <v>114643094</v>
      </c>
      <c r="I2234">
        <v>114643105</v>
      </c>
    </row>
    <row r="2235" spans="1:9" x14ac:dyDescent="0.2">
      <c r="A2235" t="str">
        <f>"Atg9a"</f>
        <v>Atg9a</v>
      </c>
      <c r="B2235" t="s">
        <v>14</v>
      </c>
      <c r="C2235" t="s">
        <v>19</v>
      </c>
      <c r="D2235" t="s">
        <v>11</v>
      </c>
      <c r="E2235" t="s">
        <v>12</v>
      </c>
      <c r="F2235">
        <v>75191934</v>
      </c>
      <c r="G2235">
        <v>75191997</v>
      </c>
      <c r="H2235">
        <v>75192004</v>
      </c>
      <c r="I2235">
        <v>75192016</v>
      </c>
    </row>
    <row r="2236" spans="1:9" x14ac:dyDescent="0.2">
      <c r="A2236" t="str">
        <f>"Atg9b"</f>
        <v>Atg9b</v>
      </c>
      <c r="B2236" t="s">
        <v>14</v>
      </c>
      <c r="C2236" t="s">
        <v>46</v>
      </c>
      <c r="D2236" t="s">
        <v>11</v>
      </c>
      <c r="E2236" t="s">
        <v>12</v>
      </c>
      <c r="F2236">
        <v>24391964</v>
      </c>
      <c r="G2236">
        <v>24392007</v>
      </c>
      <c r="H2236">
        <v>24391964</v>
      </c>
      <c r="I2236">
        <v>24392007</v>
      </c>
    </row>
    <row r="2237" spans="1:9" x14ac:dyDescent="0.2">
      <c r="A2237" t="str">
        <f>"Athl1"</f>
        <v>Athl1</v>
      </c>
      <c r="B2237" t="s">
        <v>14</v>
      </c>
      <c r="C2237" t="s">
        <v>33</v>
      </c>
      <c r="D2237" t="s">
        <v>17</v>
      </c>
      <c r="E2237" t="s">
        <v>12</v>
      </c>
      <c r="F2237">
        <v>140941550</v>
      </c>
      <c r="G2237">
        <v>140941615</v>
      </c>
      <c r="H2237">
        <v>140941550</v>
      </c>
      <c r="I2237">
        <v>140941615</v>
      </c>
    </row>
    <row r="2238" spans="1:9" x14ac:dyDescent="0.2">
      <c r="A2238" t="str">
        <f>"Atic"</f>
        <v>Atic</v>
      </c>
      <c r="B2238" t="s">
        <v>14</v>
      </c>
      <c r="C2238" t="s">
        <v>19</v>
      </c>
      <c r="D2238" t="s">
        <v>17</v>
      </c>
      <c r="E2238" t="s">
        <v>12</v>
      </c>
      <c r="F2238">
        <v>71557168</v>
      </c>
      <c r="G2238">
        <v>71557240</v>
      </c>
      <c r="H2238">
        <v>71557155</v>
      </c>
      <c r="I2238">
        <v>71557166</v>
      </c>
    </row>
    <row r="2239" spans="1:9" x14ac:dyDescent="0.2">
      <c r="A2239" t="str">
        <f>"Atl1"</f>
        <v>Atl1</v>
      </c>
      <c r="B2239" t="s">
        <v>14</v>
      </c>
      <c r="C2239" t="s">
        <v>16</v>
      </c>
      <c r="D2239" t="s">
        <v>17</v>
      </c>
      <c r="E2239" t="s">
        <v>12</v>
      </c>
      <c r="F2239">
        <v>69893221</v>
      </c>
      <c r="G2239">
        <v>69893275</v>
      </c>
      <c r="H2239">
        <v>69893221</v>
      </c>
      <c r="I2239">
        <v>69893275</v>
      </c>
    </row>
    <row r="2240" spans="1:9" x14ac:dyDescent="0.2">
      <c r="A2240" t="str">
        <f>"Atl2"</f>
        <v>Atl2</v>
      </c>
      <c r="B2240" t="s">
        <v>14</v>
      </c>
      <c r="C2240" t="s">
        <v>28</v>
      </c>
      <c r="D2240" t="s">
        <v>11</v>
      </c>
      <c r="E2240" t="s">
        <v>12</v>
      </c>
      <c r="F2240">
        <v>79896028</v>
      </c>
      <c r="G2240">
        <v>79896061</v>
      </c>
      <c r="H2240">
        <v>79895995</v>
      </c>
      <c r="I2240">
        <v>79896019</v>
      </c>
    </row>
    <row r="2241" spans="1:9" x14ac:dyDescent="0.2">
      <c r="A2241" t="str">
        <f>"Atl3"</f>
        <v>Atl3</v>
      </c>
      <c r="B2241" t="s">
        <v>14</v>
      </c>
      <c r="C2241" t="s">
        <v>10</v>
      </c>
      <c r="D2241" t="s">
        <v>17</v>
      </c>
      <c r="E2241" t="s">
        <v>12</v>
      </c>
      <c r="F2241">
        <v>7494522</v>
      </c>
      <c r="G2241">
        <v>7494598</v>
      </c>
      <c r="H2241">
        <v>7494427</v>
      </c>
      <c r="I2241">
        <v>7494462</v>
      </c>
    </row>
    <row r="2242" spans="1:9" x14ac:dyDescent="0.2">
      <c r="A2242" t="str">
        <f>"Atm"</f>
        <v>Atm</v>
      </c>
      <c r="B2242" t="s">
        <v>14</v>
      </c>
      <c r="C2242" t="s">
        <v>24</v>
      </c>
      <c r="D2242" t="s">
        <v>11</v>
      </c>
      <c r="E2242" t="s">
        <v>12</v>
      </c>
      <c r="F2242">
        <v>53536619</v>
      </c>
      <c r="G2242">
        <v>53536693</v>
      </c>
      <c r="H2242">
        <v>53536728</v>
      </c>
      <c r="I2242">
        <v>53536747</v>
      </c>
    </row>
    <row r="2243" spans="1:9" x14ac:dyDescent="0.2">
      <c r="A2243" t="str">
        <f>"Atmin"</f>
        <v>Atmin</v>
      </c>
      <c r="B2243" t="s">
        <v>14</v>
      </c>
      <c r="C2243" t="s">
        <v>30</v>
      </c>
      <c r="D2243" t="s">
        <v>17</v>
      </c>
      <c r="E2243" t="s">
        <v>12</v>
      </c>
      <c r="F2243">
        <v>116943387</v>
      </c>
      <c r="G2243">
        <v>116943424</v>
      </c>
      <c r="H2243">
        <v>116943500</v>
      </c>
      <c r="I2243">
        <v>116943547</v>
      </c>
    </row>
    <row r="2244" spans="1:9" x14ac:dyDescent="0.2">
      <c r="A2244" t="str">
        <f>"Atn1"</f>
        <v>Atn1</v>
      </c>
      <c r="B2244" t="s">
        <v>14</v>
      </c>
      <c r="C2244" t="s">
        <v>32</v>
      </c>
      <c r="D2244" t="s">
        <v>11</v>
      </c>
      <c r="E2244" t="s">
        <v>12</v>
      </c>
      <c r="F2244">
        <v>124756699</v>
      </c>
      <c r="G2244">
        <v>124756768</v>
      </c>
      <c r="H2244">
        <v>124756699</v>
      </c>
      <c r="I2244">
        <v>124756768</v>
      </c>
    </row>
    <row r="2245" spans="1:9" x14ac:dyDescent="0.2">
      <c r="A2245" t="str">
        <f>"Atoh1"</f>
        <v>Atoh1</v>
      </c>
      <c r="B2245" t="s">
        <v>14</v>
      </c>
      <c r="C2245" t="s">
        <v>32</v>
      </c>
      <c r="D2245" t="s">
        <v>17</v>
      </c>
      <c r="E2245" t="s">
        <v>12</v>
      </c>
      <c r="F2245">
        <v>64729118</v>
      </c>
      <c r="G2245">
        <v>64729132</v>
      </c>
      <c r="H2245">
        <v>64729241</v>
      </c>
      <c r="I2245">
        <v>64729254</v>
      </c>
    </row>
    <row r="2246" spans="1:9" x14ac:dyDescent="0.2">
      <c r="A2246" t="str">
        <f>"Atoh7"</f>
        <v>Atoh7</v>
      </c>
      <c r="B2246" t="s">
        <v>14</v>
      </c>
      <c r="C2246" t="s">
        <v>15</v>
      </c>
      <c r="D2246" t="s">
        <v>17</v>
      </c>
      <c r="E2246" t="s">
        <v>12</v>
      </c>
      <c r="F2246">
        <v>63099782</v>
      </c>
      <c r="G2246">
        <v>63099792</v>
      </c>
      <c r="H2246">
        <v>63100361</v>
      </c>
      <c r="I2246">
        <v>63100396</v>
      </c>
    </row>
    <row r="2247" spans="1:9" x14ac:dyDescent="0.2">
      <c r="A2247" t="str">
        <f>"Atoh8"</f>
        <v>Atoh8</v>
      </c>
      <c r="B2247" t="s">
        <v>14</v>
      </c>
      <c r="C2247" t="s">
        <v>32</v>
      </c>
      <c r="D2247" t="s">
        <v>11</v>
      </c>
      <c r="E2247" t="s">
        <v>12</v>
      </c>
      <c r="F2247">
        <v>72235238</v>
      </c>
      <c r="G2247">
        <v>72235278</v>
      </c>
      <c r="H2247">
        <v>72235559</v>
      </c>
      <c r="I2247">
        <v>72235618</v>
      </c>
    </row>
    <row r="2248" spans="1:9" x14ac:dyDescent="0.2">
      <c r="A2248" t="str">
        <f>"Atox1"</f>
        <v>Atox1</v>
      </c>
      <c r="B2248" t="s">
        <v>14</v>
      </c>
      <c r="C2248" t="s">
        <v>27</v>
      </c>
      <c r="D2248" t="s">
        <v>11</v>
      </c>
      <c r="E2248" t="s">
        <v>12</v>
      </c>
      <c r="F2248">
        <v>55461131</v>
      </c>
      <c r="G2248">
        <v>55461156</v>
      </c>
      <c r="H2248">
        <v>55461179</v>
      </c>
      <c r="I2248">
        <v>55461190</v>
      </c>
    </row>
    <row r="2249" spans="1:9" x14ac:dyDescent="0.2">
      <c r="A2249" t="str">
        <f>"Atp10a"</f>
        <v>Atp10a</v>
      </c>
      <c r="B2249" t="s">
        <v>14</v>
      </c>
      <c r="C2249" t="s">
        <v>33</v>
      </c>
      <c r="D2249" t="s">
        <v>17</v>
      </c>
      <c r="E2249" t="s">
        <v>12</v>
      </c>
      <c r="F2249">
        <v>58658181</v>
      </c>
      <c r="G2249">
        <v>58658294</v>
      </c>
      <c r="H2249">
        <v>58658313</v>
      </c>
      <c r="I2249">
        <v>58658344</v>
      </c>
    </row>
    <row r="2250" spans="1:9" x14ac:dyDescent="0.2">
      <c r="A2250" t="str">
        <f>"Atp10b"</f>
        <v>Atp10b</v>
      </c>
      <c r="B2250" t="s">
        <v>14</v>
      </c>
      <c r="C2250" t="s">
        <v>27</v>
      </c>
      <c r="D2250" t="s">
        <v>17</v>
      </c>
      <c r="E2250" t="s">
        <v>12</v>
      </c>
      <c r="F2250">
        <v>43155648</v>
      </c>
      <c r="G2250">
        <v>43155704</v>
      </c>
      <c r="H2250">
        <v>43155648</v>
      </c>
      <c r="I2250">
        <v>43155704</v>
      </c>
    </row>
    <row r="2251" spans="1:9" x14ac:dyDescent="0.2">
      <c r="A2251" t="str">
        <f>"Atp11a"</f>
        <v>Atp11a</v>
      </c>
      <c r="B2251" t="s">
        <v>14</v>
      </c>
      <c r="C2251" t="s">
        <v>30</v>
      </c>
      <c r="D2251" t="s">
        <v>17</v>
      </c>
      <c r="E2251" t="s">
        <v>12</v>
      </c>
      <c r="F2251">
        <v>12757030</v>
      </c>
      <c r="G2251">
        <v>12757065</v>
      </c>
      <c r="H2251">
        <v>12757002</v>
      </c>
      <c r="I2251">
        <v>12757027</v>
      </c>
    </row>
    <row r="2252" spans="1:9" x14ac:dyDescent="0.2">
      <c r="A2252" t="str">
        <f>"Atp11b"</f>
        <v>Atp11b</v>
      </c>
      <c r="B2252" t="s">
        <v>14</v>
      </c>
      <c r="C2252" t="s">
        <v>22</v>
      </c>
      <c r="D2252" t="s">
        <v>17</v>
      </c>
      <c r="E2252" t="s">
        <v>12</v>
      </c>
      <c r="F2252">
        <v>35754121</v>
      </c>
      <c r="G2252">
        <v>35754135</v>
      </c>
      <c r="H2252">
        <v>35754089</v>
      </c>
      <c r="I2252">
        <v>35754114</v>
      </c>
    </row>
    <row r="2253" spans="1:9" x14ac:dyDescent="0.2">
      <c r="A2253" t="str">
        <f>"Atp11c"</f>
        <v>Atp11c</v>
      </c>
      <c r="B2253" t="s">
        <v>14</v>
      </c>
      <c r="C2253" t="s">
        <v>37</v>
      </c>
      <c r="D2253" t="s">
        <v>11</v>
      </c>
      <c r="E2253" t="s">
        <v>12</v>
      </c>
      <c r="F2253">
        <v>60403947</v>
      </c>
      <c r="G2253">
        <v>60404015</v>
      </c>
      <c r="H2253">
        <v>60403902</v>
      </c>
      <c r="I2253">
        <v>60403911</v>
      </c>
    </row>
    <row r="2254" spans="1:9" x14ac:dyDescent="0.2">
      <c r="A2254" t="str">
        <f>"Atp12a"</f>
        <v>Atp12a</v>
      </c>
      <c r="B2254" t="s">
        <v>14</v>
      </c>
      <c r="C2254" t="s">
        <v>41</v>
      </c>
      <c r="D2254" t="s">
        <v>17</v>
      </c>
      <c r="E2254" t="s">
        <v>12</v>
      </c>
      <c r="F2254">
        <v>56365004</v>
      </c>
      <c r="G2254">
        <v>56365016</v>
      </c>
      <c r="H2254">
        <v>56364858</v>
      </c>
      <c r="I2254">
        <v>56364865</v>
      </c>
    </row>
    <row r="2255" spans="1:9" x14ac:dyDescent="0.2">
      <c r="A2255" t="str">
        <f>"Atp13a1"</f>
        <v>Atp13a1</v>
      </c>
      <c r="B2255" t="s">
        <v>14</v>
      </c>
      <c r="C2255" t="s">
        <v>30</v>
      </c>
      <c r="D2255" t="s">
        <v>17</v>
      </c>
      <c r="E2255" t="s">
        <v>12</v>
      </c>
      <c r="F2255">
        <v>69791221</v>
      </c>
      <c r="G2255">
        <v>69791257</v>
      </c>
      <c r="H2255">
        <v>69791597</v>
      </c>
      <c r="I2255">
        <v>69791601</v>
      </c>
    </row>
    <row r="2256" spans="1:9" x14ac:dyDescent="0.2">
      <c r="A2256" t="str">
        <f>"Atp13a2"</f>
        <v>Atp13a2</v>
      </c>
      <c r="B2256" t="s">
        <v>14</v>
      </c>
      <c r="C2256" t="s">
        <v>23</v>
      </c>
      <c r="D2256" t="s">
        <v>17</v>
      </c>
      <c r="E2256" t="s">
        <v>12</v>
      </c>
      <c r="F2256">
        <v>140986881</v>
      </c>
      <c r="G2256">
        <v>140986936</v>
      </c>
      <c r="H2256">
        <v>140986881</v>
      </c>
      <c r="I2256">
        <v>140986936</v>
      </c>
    </row>
    <row r="2257" spans="1:9" x14ac:dyDescent="0.2">
      <c r="A2257" t="str">
        <f>"Atp13a3"</f>
        <v>Atp13a3</v>
      </c>
      <c r="B2257" t="s">
        <v>14</v>
      </c>
      <c r="C2257" t="s">
        <v>31</v>
      </c>
      <c r="D2257" t="s">
        <v>11</v>
      </c>
      <c r="E2257" t="s">
        <v>12</v>
      </c>
      <c r="F2257">
        <v>30388806</v>
      </c>
      <c r="G2257">
        <v>30388858</v>
      </c>
      <c r="H2257">
        <v>30388768</v>
      </c>
      <c r="I2257">
        <v>30388802</v>
      </c>
    </row>
    <row r="2258" spans="1:9" x14ac:dyDescent="0.2">
      <c r="A2258" t="str">
        <f>"Atp13a4"</f>
        <v>Atp13a4</v>
      </c>
      <c r="B2258" t="s">
        <v>9</v>
      </c>
      <c r="C2258" t="s">
        <v>31</v>
      </c>
      <c r="D2258" t="s">
        <v>11</v>
      </c>
      <c r="E2258" t="s">
        <v>12</v>
      </c>
      <c r="F2258">
        <v>29544852</v>
      </c>
      <c r="G2258">
        <v>29544869</v>
      </c>
      <c r="H2258">
        <v>29544852</v>
      </c>
      <c r="I2258">
        <v>29544869</v>
      </c>
    </row>
    <row r="2259" spans="1:9" x14ac:dyDescent="0.2">
      <c r="A2259" t="str">
        <f>"Atp13a4"</f>
        <v>Atp13a4</v>
      </c>
      <c r="B2259" t="s">
        <v>13</v>
      </c>
      <c r="C2259" t="s">
        <v>31</v>
      </c>
      <c r="D2259" t="s">
        <v>11</v>
      </c>
      <c r="E2259" t="s">
        <v>12</v>
      </c>
      <c r="F2259">
        <v>29541384</v>
      </c>
      <c r="G2259">
        <v>29541409</v>
      </c>
      <c r="H2259">
        <v>29541384</v>
      </c>
      <c r="I2259">
        <v>29541409</v>
      </c>
    </row>
    <row r="2260" spans="1:9" x14ac:dyDescent="0.2">
      <c r="A2260" t="str">
        <f>"Atp13a5"</f>
        <v>Atp13a5</v>
      </c>
      <c r="B2260" t="s">
        <v>14</v>
      </c>
      <c r="C2260" t="s">
        <v>31</v>
      </c>
      <c r="D2260" t="s">
        <v>11</v>
      </c>
      <c r="E2260" t="s">
        <v>12</v>
      </c>
      <c r="F2260">
        <v>29378570</v>
      </c>
      <c r="G2260">
        <v>29378610</v>
      </c>
      <c r="H2260">
        <v>29378696</v>
      </c>
      <c r="I2260">
        <v>29378712</v>
      </c>
    </row>
    <row r="2261" spans="1:9" x14ac:dyDescent="0.2">
      <c r="A2261" t="str">
        <f>"Atp1a1"</f>
        <v>Atp1a1</v>
      </c>
      <c r="B2261" t="s">
        <v>14</v>
      </c>
      <c r="C2261" t="s">
        <v>22</v>
      </c>
      <c r="D2261" t="s">
        <v>11</v>
      </c>
      <c r="E2261" t="s">
        <v>12</v>
      </c>
      <c r="F2261">
        <v>101604655</v>
      </c>
      <c r="G2261">
        <v>101604689</v>
      </c>
      <c r="H2261">
        <v>101604580</v>
      </c>
      <c r="I2261">
        <v>101604629</v>
      </c>
    </row>
    <row r="2262" spans="1:9" x14ac:dyDescent="0.2">
      <c r="A2262" t="str">
        <f>"Atp1a2"</f>
        <v>Atp1a2</v>
      </c>
      <c r="B2262" t="s">
        <v>14</v>
      </c>
      <c r="C2262" t="s">
        <v>19</v>
      </c>
      <c r="D2262" t="s">
        <v>11</v>
      </c>
      <c r="E2262" t="s">
        <v>12</v>
      </c>
      <c r="F2262">
        <v>172297989</v>
      </c>
      <c r="G2262">
        <v>172298008</v>
      </c>
      <c r="H2262">
        <v>172297989</v>
      </c>
      <c r="I2262">
        <v>172298008</v>
      </c>
    </row>
    <row r="2263" spans="1:9" x14ac:dyDescent="0.2">
      <c r="A2263" t="str">
        <f>"Atp1a3"</f>
        <v>Atp1a3</v>
      </c>
      <c r="B2263" t="s">
        <v>14</v>
      </c>
      <c r="C2263" t="s">
        <v>33</v>
      </c>
      <c r="D2263" t="s">
        <v>11</v>
      </c>
      <c r="E2263" t="s">
        <v>12</v>
      </c>
      <c r="F2263">
        <v>25005898</v>
      </c>
      <c r="G2263">
        <v>25005923</v>
      </c>
      <c r="H2263">
        <v>25005876</v>
      </c>
      <c r="I2263">
        <v>25005887</v>
      </c>
    </row>
    <row r="2264" spans="1:9" x14ac:dyDescent="0.2">
      <c r="A2264" t="str">
        <f>"Atp1a4"</f>
        <v>Atp1a4</v>
      </c>
      <c r="B2264" t="s">
        <v>14</v>
      </c>
      <c r="C2264" t="s">
        <v>19</v>
      </c>
      <c r="D2264" t="s">
        <v>11</v>
      </c>
      <c r="E2264" t="s">
        <v>12</v>
      </c>
      <c r="F2264">
        <v>172258410</v>
      </c>
      <c r="G2264">
        <v>172258438</v>
      </c>
      <c r="H2264">
        <v>172258444</v>
      </c>
      <c r="I2264">
        <v>172258453</v>
      </c>
    </row>
    <row r="2265" spans="1:9" x14ac:dyDescent="0.2">
      <c r="A2265" t="str">
        <f>"Atp1b1"</f>
        <v>Atp1b1</v>
      </c>
      <c r="B2265" t="s">
        <v>14</v>
      </c>
      <c r="C2265" t="s">
        <v>19</v>
      </c>
      <c r="D2265" t="s">
        <v>11</v>
      </c>
      <c r="E2265" t="s">
        <v>12</v>
      </c>
      <c r="F2265">
        <v>164458345</v>
      </c>
      <c r="G2265">
        <v>164458363</v>
      </c>
      <c r="H2265">
        <v>164457994</v>
      </c>
      <c r="I2265">
        <v>164458012</v>
      </c>
    </row>
    <row r="2266" spans="1:9" x14ac:dyDescent="0.2">
      <c r="A2266" t="str">
        <f>"Atp1b2"</f>
        <v>Atp1b2</v>
      </c>
      <c r="B2266" t="s">
        <v>9</v>
      </c>
      <c r="C2266" t="s">
        <v>27</v>
      </c>
      <c r="D2266" t="s">
        <v>11</v>
      </c>
      <c r="E2266" t="s">
        <v>12</v>
      </c>
      <c r="F2266">
        <v>69605953</v>
      </c>
      <c r="G2266">
        <v>69605971</v>
      </c>
      <c r="H2266">
        <v>69605953</v>
      </c>
      <c r="I2266">
        <v>69605971</v>
      </c>
    </row>
    <row r="2267" spans="1:9" x14ac:dyDescent="0.2">
      <c r="A2267" t="str">
        <f>"Atp1b2"</f>
        <v>Atp1b2</v>
      </c>
      <c r="B2267" t="s">
        <v>13</v>
      </c>
      <c r="C2267" t="s">
        <v>27</v>
      </c>
      <c r="D2267" t="s">
        <v>11</v>
      </c>
      <c r="E2267" t="s">
        <v>12</v>
      </c>
      <c r="F2267">
        <v>69602743</v>
      </c>
      <c r="G2267">
        <v>69602783</v>
      </c>
      <c r="H2267">
        <v>69602743</v>
      </c>
      <c r="I2267">
        <v>69602783</v>
      </c>
    </row>
    <row r="2268" spans="1:9" x14ac:dyDescent="0.2">
      <c r="A2268" t="str">
        <f>"Atp1b3"</f>
        <v>Atp1b3</v>
      </c>
      <c r="B2268" t="s">
        <v>14</v>
      </c>
      <c r="C2268" t="s">
        <v>24</v>
      </c>
      <c r="D2268" t="s">
        <v>11</v>
      </c>
      <c r="E2268" t="s">
        <v>12</v>
      </c>
      <c r="F2268">
        <v>96364299</v>
      </c>
      <c r="G2268">
        <v>96364322</v>
      </c>
      <c r="H2268">
        <v>96364407</v>
      </c>
      <c r="I2268">
        <v>96364425</v>
      </c>
    </row>
    <row r="2269" spans="1:9" x14ac:dyDescent="0.2">
      <c r="A2269" t="str">
        <f>"Atp1b4"</f>
        <v>Atp1b4</v>
      </c>
      <c r="B2269" t="s">
        <v>14</v>
      </c>
      <c r="C2269" t="s">
        <v>37</v>
      </c>
      <c r="D2269" t="s">
        <v>17</v>
      </c>
      <c r="E2269" t="s">
        <v>12</v>
      </c>
      <c r="F2269">
        <v>38316177</v>
      </c>
      <c r="G2269">
        <v>38316193</v>
      </c>
      <c r="H2269">
        <v>38316148</v>
      </c>
      <c r="I2269">
        <v>38316165</v>
      </c>
    </row>
    <row r="2270" spans="1:9" x14ac:dyDescent="0.2">
      <c r="A2270" t="str">
        <f>"Atp2a1"</f>
        <v>Atp2a1</v>
      </c>
      <c r="B2270" t="s">
        <v>14</v>
      </c>
      <c r="C2270" t="s">
        <v>33</v>
      </c>
      <c r="D2270" t="s">
        <v>11</v>
      </c>
      <c r="E2270" t="s">
        <v>12</v>
      </c>
      <c r="F2270">
        <v>126463100</v>
      </c>
      <c r="G2270">
        <v>126463115</v>
      </c>
      <c r="H2270">
        <v>126463100</v>
      </c>
      <c r="I2270">
        <v>126463115</v>
      </c>
    </row>
    <row r="2271" spans="1:9" x14ac:dyDescent="0.2">
      <c r="A2271" t="str">
        <f>"Atp2a2"</f>
        <v>Atp2a2</v>
      </c>
      <c r="B2271" t="s">
        <v>14</v>
      </c>
      <c r="C2271" t="s">
        <v>46</v>
      </c>
      <c r="D2271" t="s">
        <v>11</v>
      </c>
      <c r="E2271" t="s">
        <v>12</v>
      </c>
      <c r="F2271">
        <v>122502192</v>
      </c>
      <c r="G2271">
        <v>122502244</v>
      </c>
      <c r="H2271">
        <v>122502162</v>
      </c>
      <c r="I2271">
        <v>122502176</v>
      </c>
    </row>
    <row r="2272" spans="1:9" x14ac:dyDescent="0.2">
      <c r="A2272" t="str">
        <f>"Atp2a3"</f>
        <v>Atp2a3</v>
      </c>
      <c r="B2272" t="s">
        <v>14</v>
      </c>
      <c r="C2272" t="s">
        <v>27</v>
      </c>
      <c r="D2272" t="s">
        <v>17</v>
      </c>
      <c r="E2272" t="s">
        <v>12</v>
      </c>
      <c r="F2272">
        <v>72961180</v>
      </c>
      <c r="G2272">
        <v>72961228</v>
      </c>
      <c r="H2272">
        <v>72961163</v>
      </c>
      <c r="I2272">
        <v>72961179</v>
      </c>
    </row>
    <row r="2273" spans="1:9" x14ac:dyDescent="0.2">
      <c r="A2273" t="str">
        <f>"Atp2b1"</f>
        <v>Atp2b1</v>
      </c>
      <c r="B2273" t="s">
        <v>14</v>
      </c>
      <c r="C2273" t="s">
        <v>15</v>
      </c>
      <c r="D2273" t="s">
        <v>17</v>
      </c>
      <c r="E2273" t="s">
        <v>12</v>
      </c>
      <c r="F2273">
        <v>98914639</v>
      </c>
      <c r="G2273">
        <v>98914721</v>
      </c>
      <c r="H2273">
        <v>98915117</v>
      </c>
      <c r="I2273">
        <v>98915172</v>
      </c>
    </row>
    <row r="2274" spans="1:9" x14ac:dyDescent="0.2">
      <c r="A2274" t="str">
        <f>"Atp2b2"</f>
        <v>Atp2b2</v>
      </c>
      <c r="B2274" t="s">
        <v>9</v>
      </c>
      <c r="C2274" t="s">
        <v>32</v>
      </c>
      <c r="D2274" t="s">
        <v>11</v>
      </c>
      <c r="E2274" t="s">
        <v>12</v>
      </c>
      <c r="F2274">
        <v>113891294</v>
      </c>
      <c r="G2274">
        <v>113891375</v>
      </c>
      <c r="H2274">
        <v>113891294</v>
      </c>
      <c r="I2274">
        <v>113891375</v>
      </c>
    </row>
    <row r="2275" spans="1:9" x14ac:dyDescent="0.2">
      <c r="A2275" t="str">
        <f>"Atp2b2"</f>
        <v>Atp2b2</v>
      </c>
      <c r="B2275" t="s">
        <v>13</v>
      </c>
      <c r="C2275" t="s">
        <v>32</v>
      </c>
      <c r="D2275" t="s">
        <v>11</v>
      </c>
      <c r="E2275" t="s">
        <v>12</v>
      </c>
      <c r="F2275">
        <v>114042020</v>
      </c>
      <c r="G2275">
        <v>114042097</v>
      </c>
      <c r="H2275">
        <v>114042020</v>
      </c>
      <c r="I2275">
        <v>114042097</v>
      </c>
    </row>
    <row r="2276" spans="1:9" x14ac:dyDescent="0.2">
      <c r="A2276" t="str">
        <f>"Atp2b3"</f>
        <v>Atp2b3</v>
      </c>
      <c r="B2276" t="s">
        <v>14</v>
      </c>
      <c r="C2276" t="s">
        <v>37</v>
      </c>
      <c r="D2276" t="s">
        <v>17</v>
      </c>
      <c r="E2276" t="s">
        <v>12</v>
      </c>
      <c r="F2276">
        <v>73503074</v>
      </c>
      <c r="G2276">
        <v>73503116</v>
      </c>
      <c r="H2276">
        <v>73503153</v>
      </c>
      <c r="I2276">
        <v>73503170</v>
      </c>
    </row>
    <row r="2277" spans="1:9" x14ac:dyDescent="0.2">
      <c r="A2277" t="str">
        <f>"Atp2b4"</f>
        <v>Atp2b4</v>
      </c>
      <c r="B2277" t="s">
        <v>14</v>
      </c>
      <c r="C2277" t="s">
        <v>19</v>
      </c>
      <c r="D2277" t="s">
        <v>11</v>
      </c>
      <c r="E2277" t="s">
        <v>12</v>
      </c>
      <c r="F2277">
        <v>133800996</v>
      </c>
      <c r="G2277">
        <v>133801023</v>
      </c>
      <c r="H2277">
        <v>133800975</v>
      </c>
      <c r="I2277">
        <v>133800986</v>
      </c>
    </row>
    <row r="2278" spans="1:9" x14ac:dyDescent="0.2">
      <c r="A2278" t="str">
        <f>"Atp2c1"</f>
        <v>Atp2c1</v>
      </c>
      <c r="B2278" t="s">
        <v>14</v>
      </c>
      <c r="C2278" t="s">
        <v>24</v>
      </c>
      <c r="D2278" t="s">
        <v>11</v>
      </c>
      <c r="E2278" t="s">
        <v>12</v>
      </c>
      <c r="F2278">
        <v>105495037</v>
      </c>
      <c r="G2278">
        <v>105495117</v>
      </c>
      <c r="H2278">
        <v>105494962</v>
      </c>
      <c r="I2278">
        <v>105494997</v>
      </c>
    </row>
    <row r="2279" spans="1:9" x14ac:dyDescent="0.2">
      <c r="A2279" t="str">
        <f>"Atp2c2"</f>
        <v>Atp2c2</v>
      </c>
      <c r="B2279" t="s">
        <v>14</v>
      </c>
      <c r="C2279" t="s">
        <v>30</v>
      </c>
      <c r="D2279" t="s">
        <v>17</v>
      </c>
      <c r="E2279" t="s">
        <v>12</v>
      </c>
      <c r="F2279">
        <v>119700017</v>
      </c>
      <c r="G2279">
        <v>119700062</v>
      </c>
      <c r="H2279">
        <v>119700017</v>
      </c>
      <c r="I2279">
        <v>119700062</v>
      </c>
    </row>
    <row r="2280" spans="1:9" x14ac:dyDescent="0.2">
      <c r="A2280" t="str">
        <f>"Atp4a"</f>
        <v>Atp4a</v>
      </c>
      <c r="B2280" t="s">
        <v>9</v>
      </c>
      <c r="C2280" t="s">
        <v>33</v>
      </c>
      <c r="D2280" t="s">
        <v>17</v>
      </c>
      <c r="E2280" t="s">
        <v>12</v>
      </c>
      <c r="F2280">
        <v>30712210</v>
      </c>
      <c r="G2280">
        <v>30712227</v>
      </c>
      <c r="H2280">
        <v>30712210</v>
      </c>
      <c r="I2280">
        <v>30712227</v>
      </c>
    </row>
    <row r="2281" spans="1:9" x14ac:dyDescent="0.2">
      <c r="A2281" t="str">
        <f>"Atp4a"</f>
        <v>Atp4a</v>
      </c>
      <c r="B2281" t="s">
        <v>13</v>
      </c>
      <c r="C2281" t="s">
        <v>33</v>
      </c>
      <c r="D2281" t="s">
        <v>17</v>
      </c>
      <c r="E2281" t="s">
        <v>12</v>
      </c>
      <c r="F2281">
        <v>30717667</v>
      </c>
      <c r="G2281">
        <v>30717706</v>
      </c>
      <c r="H2281">
        <v>30717667</v>
      </c>
      <c r="I2281">
        <v>30717706</v>
      </c>
    </row>
    <row r="2282" spans="1:9" x14ac:dyDescent="0.2">
      <c r="A2282" t="str">
        <f>"Atp4b"</f>
        <v>Atp4b</v>
      </c>
      <c r="B2282" t="s">
        <v>14</v>
      </c>
      <c r="C2282" t="s">
        <v>30</v>
      </c>
      <c r="D2282" t="s">
        <v>11</v>
      </c>
      <c r="E2282" t="s">
        <v>12</v>
      </c>
      <c r="F2282">
        <v>13396769</v>
      </c>
      <c r="G2282">
        <v>13396783</v>
      </c>
      <c r="H2282">
        <v>13396769</v>
      </c>
      <c r="I2282">
        <v>13396783</v>
      </c>
    </row>
    <row r="2283" spans="1:9" x14ac:dyDescent="0.2">
      <c r="A2283" t="str">
        <f>"Atp5a1"</f>
        <v>Atp5a1</v>
      </c>
      <c r="B2283" t="s">
        <v>14</v>
      </c>
      <c r="C2283" t="s">
        <v>43</v>
      </c>
      <c r="D2283" t="s">
        <v>17</v>
      </c>
      <c r="E2283" t="s">
        <v>12</v>
      </c>
      <c r="F2283">
        <v>77773984</v>
      </c>
      <c r="G2283">
        <v>77774006</v>
      </c>
      <c r="H2283">
        <v>77773984</v>
      </c>
      <c r="I2283">
        <v>77774006</v>
      </c>
    </row>
    <row r="2284" spans="1:9" x14ac:dyDescent="0.2">
      <c r="A2284" t="str">
        <f>"Atp5b"</f>
        <v>Atp5b</v>
      </c>
      <c r="B2284" t="s">
        <v>14</v>
      </c>
      <c r="C2284" t="s">
        <v>15</v>
      </c>
      <c r="D2284" t="s">
        <v>17</v>
      </c>
      <c r="E2284" t="s">
        <v>12</v>
      </c>
      <c r="F2284">
        <v>128083301</v>
      </c>
      <c r="G2284">
        <v>128083309</v>
      </c>
      <c r="H2284">
        <v>128083301</v>
      </c>
      <c r="I2284">
        <v>128083309</v>
      </c>
    </row>
    <row r="2285" spans="1:9" x14ac:dyDescent="0.2">
      <c r="A2285" t="str">
        <f>"Atp5c1"</f>
        <v>Atp5c1</v>
      </c>
      <c r="B2285" t="s">
        <v>14</v>
      </c>
      <c r="C2285" t="s">
        <v>26</v>
      </c>
      <c r="D2285" t="s">
        <v>11</v>
      </c>
      <c r="E2285" t="s">
        <v>12</v>
      </c>
      <c r="F2285">
        <v>10080405</v>
      </c>
      <c r="G2285">
        <v>10080446</v>
      </c>
      <c r="H2285">
        <v>10080069</v>
      </c>
      <c r="I2285">
        <v>10080087</v>
      </c>
    </row>
    <row r="2286" spans="1:9" x14ac:dyDescent="0.2">
      <c r="A2286" t="str">
        <f>"Atp5d"</f>
        <v>Atp5d</v>
      </c>
      <c r="B2286" t="s">
        <v>14</v>
      </c>
      <c r="C2286" t="s">
        <v>15</v>
      </c>
      <c r="D2286" t="s">
        <v>17</v>
      </c>
      <c r="E2286" t="s">
        <v>12</v>
      </c>
      <c r="F2286">
        <v>80142358</v>
      </c>
      <c r="G2286">
        <v>80142404</v>
      </c>
      <c r="H2286">
        <v>80142334</v>
      </c>
      <c r="I2286">
        <v>80142353</v>
      </c>
    </row>
    <row r="2287" spans="1:9" x14ac:dyDescent="0.2">
      <c r="A2287" t="str">
        <f>"Atp5e"</f>
        <v>Atp5e</v>
      </c>
      <c r="B2287" t="s">
        <v>14</v>
      </c>
      <c r="C2287" t="s">
        <v>26</v>
      </c>
      <c r="D2287" t="s">
        <v>11</v>
      </c>
      <c r="E2287" t="s">
        <v>12</v>
      </c>
      <c r="F2287">
        <v>174464063</v>
      </c>
      <c r="G2287">
        <v>174464099</v>
      </c>
      <c r="H2287">
        <v>174464039</v>
      </c>
      <c r="I2287">
        <v>174464050</v>
      </c>
    </row>
    <row r="2288" spans="1:9" x14ac:dyDescent="0.2">
      <c r="A2288" t="str">
        <f>"Atp5f1"</f>
        <v>Atp5f1</v>
      </c>
      <c r="B2288" t="s">
        <v>14</v>
      </c>
      <c r="C2288" t="s">
        <v>22</v>
      </c>
      <c r="D2288" t="s">
        <v>11</v>
      </c>
      <c r="E2288" t="s">
        <v>12</v>
      </c>
      <c r="F2288">
        <v>105959252</v>
      </c>
      <c r="G2288">
        <v>105959280</v>
      </c>
      <c r="H2288">
        <v>105959212</v>
      </c>
      <c r="I2288">
        <v>105959237</v>
      </c>
    </row>
    <row r="2289" spans="1:9" x14ac:dyDescent="0.2">
      <c r="A2289" t="str">
        <f>"Atp5g1"</f>
        <v>Atp5g1</v>
      </c>
      <c r="B2289" t="s">
        <v>14</v>
      </c>
      <c r="C2289" t="s">
        <v>27</v>
      </c>
      <c r="D2289" t="s">
        <v>11</v>
      </c>
      <c r="E2289" t="s">
        <v>12</v>
      </c>
      <c r="F2289">
        <v>96075596</v>
      </c>
      <c r="G2289">
        <v>96075636</v>
      </c>
      <c r="H2289">
        <v>96075655</v>
      </c>
      <c r="I2289">
        <v>96075677</v>
      </c>
    </row>
    <row r="2290" spans="1:9" x14ac:dyDescent="0.2">
      <c r="A2290" t="str">
        <f>"Atp5g2"</f>
        <v>Atp5g2</v>
      </c>
      <c r="B2290" t="s">
        <v>14</v>
      </c>
      <c r="C2290" t="s">
        <v>25</v>
      </c>
      <c r="D2290" t="s">
        <v>11</v>
      </c>
      <c r="E2290" t="s">
        <v>12</v>
      </c>
      <c r="F2290">
        <v>102671033</v>
      </c>
      <c r="G2290">
        <v>102671086</v>
      </c>
      <c r="H2290">
        <v>102671287</v>
      </c>
      <c r="I2290">
        <v>102671307</v>
      </c>
    </row>
    <row r="2291" spans="1:9" x14ac:dyDescent="0.2">
      <c r="A2291" t="str">
        <f>"Atp5g3"</f>
        <v>Atp5g3</v>
      </c>
      <c r="B2291" t="s">
        <v>14</v>
      </c>
      <c r="C2291" t="s">
        <v>26</v>
      </c>
      <c r="D2291" t="s">
        <v>11</v>
      </c>
      <c r="E2291" t="s">
        <v>12</v>
      </c>
      <c r="F2291">
        <v>73911285</v>
      </c>
      <c r="G2291">
        <v>73911308</v>
      </c>
      <c r="H2291">
        <v>73911323</v>
      </c>
      <c r="I2291">
        <v>73911328</v>
      </c>
    </row>
    <row r="2292" spans="1:9" x14ac:dyDescent="0.2">
      <c r="A2292" t="str">
        <f>"Atp5h"</f>
        <v>Atp5h</v>
      </c>
      <c r="B2292" t="s">
        <v>14</v>
      </c>
      <c r="C2292" t="s">
        <v>27</v>
      </c>
      <c r="D2292" t="s">
        <v>11</v>
      </c>
      <c r="E2292" t="s">
        <v>12</v>
      </c>
      <c r="F2292">
        <v>115419932</v>
      </c>
      <c r="G2292">
        <v>115419953</v>
      </c>
      <c r="H2292">
        <v>115420456</v>
      </c>
      <c r="I2292">
        <v>115420516</v>
      </c>
    </row>
    <row r="2293" spans="1:9" x14ac:dyDescent="0.2">
      <c r="A2293" t="str">
        <f>"Atp5j"</f>
        <v>Atp5j</v>
      </c>
      <c r="B2293" t="s">
        <v>14</v>
      </c>
      <c r="C2293" t="s">
        <v>31</v>
      </c>
      <c r="D2293" t="s">
        <v>11</v>
      </c>
      <c r="E2293" t="s">
        <v>12</v>
      </c>
      <c r="F2293">
        <v>84834848</v>
      </c>
      <c r="G2293">
        <v>84834874</v>
      </c>
      <c r="H2293">
        <v>84835557</v>
      </c>
      <c r="I2293">
        <v>84835617</v>
      </c>
    </row>
    <row r="2294" spans="1:9" x14ac:dyDescent="0.2">
      <c r="A2294" t="str">
        <f>"Atp5j2"</f>
        <v>Atp5j2</v>
      </c>
      <c r="B2294" t="s">
        <v>14</v>
      </c>
      <c r="C2294" t="s">
        <v>46</v>
      </c>
      <c r="D2294" t="s">
        <v>11</v>
      </c>
      <c r="E2294" t="s">
        <v>12</v>
      </c>
      <c r="F2294">
        <v>145191534</v>
      </c>
      <c r="G2294">
        <v>145191548</v>
      </c>
      <c r="H2294">
        <v>145191549</v>
      </c>
      <c r="I2294">
        <v>145191565</v>
      </c>
    </row>
    <row r="2295" spans="1:9" x14ac:dyDescent="0.2">
      <c r="A2295" t="str">
        <f>"Atp5k"</f>
        <v>Atp5k</v>
      </c>
      <c r="B2295" t="s">
        <v>14</v>
      </c>
      <c r="C2295" t="s">
        <v>46</v>
      </c>
      <c r="D2295" t="s">
        <v>11</v>
      </c>
      <c r="E2295" t="s">
        <v>12</v>
      </c>
      <c r="F2295">
        <v>108434373</v>
      </c>
      <c r="G2295">
        <v>108434409</v>
      </c>
      <c r="H2295">
        <v>108434359</v>
      </c>
      <c r="I2295">
        <v>108434370</v>
      </c>
    </row>
    <row r="2296" spans="1:9" x14ac:dyDescent="0.2">
      <c r="A2296" t="str">
        <f>"Atp5l"</f>
        <v>Atp5l</v>
      </c>
      <c r="B2296" t="s">
        <v>14</v>
      </c>
      <c r="C2296" t="s">
        <v>24</v>
      </c>
      <c r="D2296" t="s">
        <v>11</v>
      </c>
      <c r="E2296" t="s">
        <v>12</v>
      </c>
      <c r="F2296">
        <v>44920698</v>
      </c>
      <c r="G2296">
        <v>44920725</v>
      </c>
      <c r="H2296">
        <v>44920698</v>
      </c>
      <c r="I2296">
        <v>44920725</v>
      </c>
    </row>
    <row r="2297" spans="1:9" x14ac:dyDescent="0.2">
      <c r="A2297" t="str">
        <f>"Atp5l-ps1"</f>
        <v>Atp5l-ps1</v>
      </c>
      <c r="B2297" t="s">
        <v>2166</v>
      </c>
      <c r="C2297" t="s">
        <v>33</v>
      </c>
      <c r="D2297" t="s">
        <v>17</v>
      </c>
      <c r="E2297" t="s">
        <v>20</v>
      </c>
      <c r="F2297">
        <v>62476305</v>
      </c>
      <c r="G2297">
        <v>62476305</v>
      </c>
      <c r="H2297">
        <v>62476305</v>
      </c>
      <c r="I2297">
        <v>62476305</v>
      </c>
    </row>
    <row r="2298" spans="1:9" x14ac:dyDescent="0.2">
      <c r="A2298" t="str">
        <f>"Atp5o"</f>
        <v>Atp5o</v>
      </c>
      <c r="B2298" t="s">
        <v>14</v>
      </c>
      <c r="C2298" t="s">
        <v>31</v>
      </c>
      <c r="D2298" t="s">
        <v>11</v>
      </c>
      <c r="E2298" t="s">
        <v>12</v>
      </c>
      <c r="F2298">
        <v>91931554</v>
      </c>
      <c r="G2298">
        <v>91931618</v>
      </c>
      <c r="H2298">
        <v>91931643</v>
      </c>
      <c r="I2298">
        <v>91931654</v>
      </c>
    </row>
    <row r="2299" spans="1:9" x14ac:dyDescent="0.2">
      <c r="A2299" t="str">
        <f>"Atp5s"</f>
        <v>Atp5s</v>
      </c>
      <c r="B2299" t="s">
        <v>14</v>
      </c>
      <c r="C2299" t="s">
        <v>16</v>
      </c>
      <c r="D2299" t="s">
        <v>17</v>
      </c>
      <c r="E2299" t="s">
        <v>12</v>
      </c>
      <c r="F2299">
        <v>69724939</v>
      </c>
      <c r="G2299">
        <v>69724986</v>
      </c>
      <c r="H2299">
        <v>69724987</v>
      </c>
      <c r="I2299">
        <v>69725004</v>
      </c>
    </row>
    <row r="2300" spans="1:9" x14ac:dyDescent="0.2">
      <c r="A2300" t="str">
        <f>"Atp5sl"</f>
        <v>Atp5sl</v>
      </c>
      <c r="B2300" t="s">
        <v>14</v>
      </c>
      <c r="C2300" t="s">
        <v>33</v>
      </c>
      <c r="D2300" t="s">
        <v>17</v>
      </c>
      <c r="E2300" t="s">
        <v>12</v>
      </c>
      <c r="F2300">
        <v>25619404</v>
      </c>
      <c r="G2300">
        <v>25619446</v>
      </c>
      <c r="H2300">
        <v>25619404</v>
      </c>
      <c r="I2300">
        <v>25619446</v>
      </c>
    </row>
    <row r="2301" spans="1:9" x14ac:dyDescent="0.2">
      <c r="A2301" t="str">
        <f>"Atp6ap1"</f>
        <v>Atp6ap1</v>
      </c>
      <c r="B2301" t="s">
        <v>14</v>
      </c>
      <c r="C2301" t="s">
        <v>37</v>
      </c>
      <c r="D2301" t="s">
        <v>17</v>
      </c>
      <c r="E2301" t="s">
        <v>12</v>
      </c>
      <c r="F2301">
        <v>74297120</v>
      </c>
      <c r="G2301">
        <v>74297178</v>
      </c>
      <c r="H2301">
        <v>74297120</v>
      </c>
      <c r="I2301">
        <v>74297178</v>
      </c>
    </row>
    <row r="2302" spans="1:9" x14ac:dyDescent="0.2">
      <c r="A2302" t="str">
        <f>"Atp6ap1l"</f>
        <v>Atp6ap1l</v>
      </c>
      <c r="B2302" t="s">
        <v>14</v>
      </c>
      <c r="C2302" t="s">
        <v>39</v>
      </c>
      <c r="D2302" t="s">
        <v>11</v>
      </c>
      <c r="E2302" t="s">
        <v>12</v>
      </c>
      <c r="F2302">
        <v>90905321</v>
      </c>
      <c r="G2302">
        <v>90905341</v>
      </c>
      <c r="H2302">
        <v>90905359</v>
      </c>
      <c r="I2302">
        <v>90905371</v>
      </c>
    </row>
    <row r="2303" spans="1:9" x14ac:dyDescent="0.2">
      <c r="A2303" t="str">
        <f>"Atp6ap2"</f>
        <v>Atp6ap2</v>
      </c>
      <c r="B2303" t="s">
        <v>14</v>
      </c>
      <c r="C2303" t="s">
        <v>37</v>
      </c>
      <c r="D2303" t="s">
        <v>17</v>
      </c>
      <c r="E2303" t="s">
        <v>12</v>
      </c>
      <c r="F2303">
        <v>12587791</v>
      </c>
      <c r="G2303">
        <v>12587846</v>
      </c>
      <c r="H2303">
        <v>12587864</v>
      </c>
      <c r="I2303">
        <v>12587877</v>
      </c>
    </row>
    <row r="2304" spans="1:9" x14ac:dyDescent="0.2">
      <c r="A2304" t="str">
        <f>"Atp6v0a1"</f>
        <v>Atp6v0a1</v>
      </c>
      <c r="B2304" t="s">
        <v>14</v>
      </c>
      <c r="C2304" t="s">
        <v>27</v>
      </c>
      <c r="D2304" t="s">
        <v>17</v>
      </c>
      <c r="E2304" t="s">
        <v>12</v>
      </c>
      <c r="F2304">
        <v>101009465</v>
      </c>
      <c r="G2304">
        <v>101009528</v>
      </c>
      <c r="H2304">
        <v>101009529</v>
      </c>
      <c r="I2304">
        <v>101009538</v>
      </c>
    </row>
    <row r="2305" spans="1:9" x14ac:dyDescent="0.2">
      <c r="A2305" t="str">
        <f>"Atp6v0a2"</f>
        <v>Atp6v0a2</v>
      </c>
      <c r="B2305" t="s">
        <v>14</v>
      </c>
      <c r="C2305" t="s">
        <v>46</v>
      </c>
      <c r="D2305" t="s">
        <v>17</v>
      </c>
      <c r="E2305" t="s">
        <v>12</v>
      </c>
      <c r="F2305">
        <v>124629050</v>
      </c>
      <c r="G2305">
        <v>124629097</v>
      </c>
      <c r="H2305">
        <v>124629099</v>
      </c>
      <c r="I2305">
        <v>124629113</v>
      </c>
    </row>
    <row r="2306" spans="1:9" x14ac:dyDescent="0.2">
      <c r="A2306" t="str">
        <f>"Atp6v0a4"</f>
        <v>Atp6v0a4</v>
      </c>
      <c r="B2306" t="s">
        <v>14</v>
      </c>
      <c r="C2306" t="s">
        <v>32</v>
      </c>
      <c r="D2306" t="s">
        <v>11</v>
      </c>
      <c r="E2306" t="s">
        <v>12</v>
      </c>
      <c r="F2306">
        <v>38124568</v>
      </c>
      <c r="G2306">
        <v>38124595</v>
      </c>
      <c r="H2306">
        <v>38124502</v>
      </c>
      <c r="I2306">
        <v>38124538</v>
      </c>
    </row>
    <row r="2307" spans="1:9" x14ac:dyDescent="0.2">
      <c r="A2307" t="str">
        <f>"Atp6v0b"</f>
        <v>Atp6v0b</v>
      </c>
      <c r="B2307" t="s">
        <v>14</v>
      </c>
      <c r="C2307" t="s">
        <v>23</v>
      </c>
      <c r="D2307" t="s">
        <v>11</v>
      </c>
      <c r="E2307" t="s">
        <v>12</v>
      </c>
      <c r="F2307">
        <v>117887292</v>
      </c>
      <c r="G2307">
        <v>117887353</v>
      </c>
      <c r="H2307">
        <v>117887279</v>
      </c>
      <c r="I2307">
        <v>117887290</v>
      </c>
    </row>
    <row r="2308" spans="1:9" x14ac:dyDescent="0.2">
      <c r="A2308" t="str">
        <f>"Atp6v0c"</f>
        <v>Atp6v0c</v>
      </c>
      <c r="B2308" t="s">
        <v>14</v>
      </c>
      <c r="C2308" t="s">
        <v>28</v>
      </c>
      <c r="D2308" t="s">
        <v>11</v>
      </c>
      <c r="E2308" t="s">
        <v>12</v>
      </c>
      <c r="F2308">
        <v>24169414</v>
      </c>
      <c r="G2308">
        <v>24169450</v>
      </c>
      <c r="H2308">
        <v>24169648</v>
      </c>
      <c r="I2308">
        <v>24169713</v>
      </c>
    </row>
    <row r="2309" spans="1:9" x14ac:dyDescent="0.2">
      <c r="A2309" t="str">
        <f>"Atp6v0d1"</f>
        <v>Atp6v0d1</v>
      </c>
      <c r="B2309" t="s">
        <v>14</v>
      </c>
      <c r="C2309" t="s">
        <v>30</v>
      </c>
      <c r="D2309" t="s">
        <v>11</v>
      </c>
      <c r="E2309" t="s">
        <v>12</v>
      </c>
      <c r="F2309">
        <v>105565985</v>
      </c>
      <c r="G2309">
        <v>105566071</v>
      </c>
      <c r="H2309">
        <v>105565921</v>
      </c>
      <c r="I2309">
        <v>105565947</v>
      </c>
    </row>
    <row r="2310" spans="1:9" x14ac:dyDescent="0.2">
      <c r="A2310" t="str">
        <f>"Atp6v0d2"</f>
        <v>Atp6v0d2</v>
      </c>
      <c r="B2310" t="s">
        <v>14</v>
      </c>
      <c r="C2310" t="s">
        <v>23</v>
      </c>
      <c r="D2310" t="s">
        <v>11</v>
      </c>
      <c r="E2310" t="s">
        <v>12</v>
      </c>
      <c r="F2310">
        <v>19922494</v>
      </c>
      <c r="G2310">
        <v>19922550</v>
      </c>
      <c r="H2310">
        <v>19922599</v>
      </c>
      <c r="I2310">
        <v>19922614</v>
      </c>
    </row>
    <row r="2311" spans="1:9" x14ac:dyDescent="0.2">
      <c r="A2311" t="str">
        <f>"Atp6v0e"</f>
        <v>Atp6v0e</v>
      </c>
      <c r="B2311" t="s">
        <v>14</v>
      </c>
      <c r="C2311" t="s">
        <v>28</v>
      </c>
      <c r="D2311" t="s">
        <v>17</v>
      </c>
      <c r="E2311" t="s">
        <v>12</v>
      </c>
      <c r="F2311">
        <v>26676405</v>
      </c>
      <c r="G2311">
        <v>26676466</v>
      </c>
      <c r="H2311">
        <v>26676390</v>
      </c>
      <c r="I2311">
        <v>26676401</v>
      </c>
    </row>
    <row r="2312" spans="1:9" x14ac:dyDescent="0.2">
      <c r="A2312" t="str">
        <f>"Atp6v0e2"</f>
        <v>Atp6v0e2</v>
      </c>
      <c r="B2312" t="s">
        <v>14</v>
      </c>
      <c r="C2312" t="s">
        <v>32</v>
      </c>
      <c r="D2312" t="s">
        <v>17</v>
      </c>
      <c r="E2312" t="s">
        <v>12</v>
      </c>
      <c r="F2312">
        <v>48537631</v>
      </c>
      <c r="G2312">
        <v>48537733</v>
      </c>
      <c r="H2312">
        <v>48537560</v>
      </c>
      <c r="I2312">
        <v>48537622</v>
      </c>
    </row>
    <row r="2313" spans="1:9" x14ac:dyDescent="0.2">
      <c r="A2313" t="str">
        <f>"Atp6v1a"</f>
        <v>Atp6v1a</v>
      </c>
      <c r="B2313" t="s">
        <v>14</v>
      </c>
      <c r="C2313" t="s">
        <v>31</v>
      </c>
      <c r="D2313" t="s">
        <v>11</v>
      </c>
      <c r="E2313" t="s">
        <v>12</v>
      </c>
      <c r="F2313">
        <v>44139033</v>
      </c>
      <c r="G2313">
        <v>44139050</v>
      </c>
      <c r="H2313">
        <v>44139003</v>
      </c>
      <c r="I2313">
        <v>44139026</v>
      </c>
    </row>
    <row r="2314" spans="1:9" x14ac:dyDescent="0.2">
      <c r="A2314" t="str">
        <f>"Atp6v1b1"</f>
        <v>Atp6v1b1</v>
      </c>
      <c r="B2314" t="s">
        <v>14</v>
      </c>
      <c r="C2314" t="s">
        <v>32</v>
      </c>
      <c r="D2314" t="s">
        <v>17</v>
      </c>
      <c r="E2314" t="s">
        <v>12</v>
      </c>
      <c r="F2314">
        <v>83743040</v>
      </c>
      <c r="G2314">
        <v>83743065</v>
      </c>
      <c r="H2314">
        <v>83743010</v>
      </c>
      <c r="I2314">
        <v>83743038</v>
      </c>
    </row>
    <row r="2315" spans="1:9" x14ac:dyDescent="0.2">
      <c r="A2315" t="str">
        <f>"Atp6v1b2"</f>
        <v>Atp6v1b2</v>
      </c>
      <c r="B2315" t="s">
        <v>14</v>
      </c>
      <c r="C2315" t="s">
        <v>30</v>
      </c>
      <c r="D2315" t="s">
        <v>17</v>
      </c>
      <c r="E2315" t="s">
        <v>12</v>
      </c>
      <c r="F2315">
        <v>69088753</v>
      </c>
      <c r="G2315">
        <v>69088796</v>
      </c>
      <c r="H2315">
        <v>69088733</v>
      </c>
      <c r="I2315">
        <v>69088744</v>
      </c>
    </row>
    <row r="2316" spans="1:9" x14ac:dyDescent="0.2">
      <c r="A2316" t="str">
        <f>"Atp6v1c1"</f>
        <v>Atp6v1c1</v>
      </c>
      <c r="B2316" t="s">
        <v>14</v>
      </c>
      <c r="C2316" t="s">
        <v>25</v>
      </c>
      <c r="D2316" t="s">
        <v>17</v>
      </c>
      <c r="E2316" t="s">
        <v>12</v>
      </c>
      <c r="F2316">
        <v>38661914</v>
      </c>
      <c r="G2316">
        <v>38661981</v>
      </c>
      <c r="H2316">
        <v>38661985</v>
      </c>
      <c r="I2316">
        <v>38661999</v>
      </c>
    </row>
    <row r="2317" spans="1:9" x14ac:dyDescent="0.2">
      <c r="A2317" t="str">
        <f>"Atp6v1c2"</f>
        <v>Atp6v1c2</v>
      </c>
      <c r="B2317" t="s">
        <v>14</v>
      </c>
      <c r="C2317" t="s">
        <v>16</v>
      </c>
      <c r="D2317" t="s">
        <v>11</v>
      </c>
      <c r="E2317" t="s">
        <v>12</v>
      </c>
      <c r="F2317">
        <v>17324722</v>
      </c>
      <c r="G2317">
        <v>17324736</v>
      </c>
      <c r="H2317">
        <v>17324722</v>
      </c>
      <c r="I2317">
        <v>17324736</v>
      </c>
    </row>
    <row r="2318" spans="1:9" x14ac:dyDescent="0.2">
      <c r="A2318" t="str">
        <f>"Atp6v1d"</f>
        <v>Atp6v1d</v>
      </c>
      <c r="B2318" t="s">
        <v>14</v>
      </c>
      <c r="C2318" t="s">
        <v>16</v>
      </c>
      <c r="D2318" t="s">
        <v>11</v>
      </c>
      <c r="E2318" t="s">
        <v>12</v>
      </c>
      <c r="F2318">
        <v>78861466</v>
      </c>
      <c r="G2318">
        <v>78861609</v>
      </c>
      <c r="H2318">
        <v>78861972</v>
      </c>
      <c r="I2318">
        <v>78862045</v>
      </c>
    </row>
    <row r="2319" spans="1:9" x14ac:dyDescent="0.2">
      <c r="A2319" t="str">
        <f>"Atp6v1e1"</f>
        <v>Atp6v1e1</v>
      </c>
      <c r="B2319" t="s">
        <v>14</v>
      </c>
      <c r="C2319" t="s">
        <v>32</v>
      </c>
      <c r="D2319" t="s">
        <v>11</v>
      </c>
      <c r="E2319" t="s">
        <v>12</v>
      </c>
      <c r="F2319">
        <v>120822680</v>
      </c>
      <c r="G2319">
        <v>120822707</v>
      </c>
      <c r="H2319">
        <v>120822713</v>
      </c>
      <c r="I2319">
        <v>120822756</v>
      </c>
    </row>
    <row r="2320" spans="1:9" x14ac:dyDescent="0.2">
      <c r="A2320" t="str">
        <f>"Atp6v1e2"</f>
        <v>Atp6v1e2</v>
      </c>
      <c r="B2320" t="s">
        <v>14</v>
      </c>
      <c r="C2320" t="s">
        <v>28</v>
      </c>
      <c r="D2320" t="s">
        <v>11</v>
      </c>
      <c r="E2320" t="s">
        <v>12</v>
      </c>
      <c r="F2320">
        <v>86947867</v>
      </c>
      <c r="G2320">
        <v>86947901</v>
      </c>
      <c r="H2320">
        <v>86947962</v>
      </c>
      <c r="I2320">
        <v>86947966</v>
      </c>
    </row>
    <row r="2321" spans="1:9" x14ac:dyDescent="0.2">
      <c r="A2321" t="str">
        <f>"Atp6v1f"</f>
        <v>Atp6v1f</v>
      </c>
      <c r="B2321" t="s">
        <v>14</v>
      </c>
      <c r="C2321" t="s">
        <v>32</v>
      </c>
      <c r="D2321" t="s">
        <v>17</v>
      </c>
      <c r="E2321" t="s">
        <v>12</v>
      </c>
      <c r="F2321">
        <v>29467772</v>
      </c>
      <c r="G2321">
        <v>29467810</v>
      </c>
      <c r="H2321">
        <v>29467733</v>
      </c>
      <c r="I2321">
        <v>29467764</v>
      </c>
    </row>
    <row r="2322" spans="1:9" x14ac:dyDescent="0.2">
      <c r="A2322" t="str">
        <f>"Atp6v1g1"</f>
        <v>Atp6v1g1</v>
      </c>
      <c r="B2322" t="s">
        <v>14</v>
      </c>
      <c r="C2322" t="s">
        <v>23</v>
      </c>
      <c r="D2322" t="s">
        <v>17</v>
      </c>
      <c r="E2322" t="s">
        <v>12</v>
      </c>
      <c r="F2322">
        <v>63544799</v>
      </c>
      <c r="G2322">
        <v>63544853</v>
      </c>
      <c r="H2322">
        <v>63544747</v>
      </c>
      <c r="I2322">
        <v>63544762</v>
      </c>
    </row>
    <row r="2323" spans="1:9" x14ac:dyDescent="0.2">
      <c r="A2323" t="str">
        <f>"Atp6v1g2"</f>
        <v>Atp6v1g2</v>
      </c>
      <c r="B2323" t="s">
        <v>14</v>
      </c>
      <c r="C2323" t="s">
        <v>28</v>
      </c>
      <c r="D2323" t="s">
        <v>17</v>
      </c>
      <c r="E2323" t="s">
        <v>12</v>
      </c>
      <c r="F2323">
        <v>35236695</v>
      </c>
      <c r="G2323">
        <v>35236759</v>
      </c>
      <c r="H2323">
        <v>35236556</v>
      </c>
      <c r="I2323">
        <v>35236607</v>
      </c>
    </row>
    <row r="2324" spans="1:9" x14ac:dyDescent="0.2">
      <c r="A2324" t="str">
        <f>"Atp6v1g3"</f>
        <v>Atp6v1g3</v>
      </c>
      <c r="B2324" t="s">
        <v>14</v>
      </c>
      <c r="C2324" t="s">
        <v>19</v>
      </c>
      <c r="D2324" t="s">
        <v>17</v>
      </c>
      <c r="E2324" t="s">
        <v>12</v>
      </c>
      <c r="F2324">
        <v>138273722</v>
      </c>
      <c r="G2324">
        <v>138273769</v>
      </c>
      <c r="H2324">
        <v>138273722</v>
      </c>
      <c r="I2324">
        <v>138273769</v>
      </c>
    </row>
    <row r="2325" spans="1:9" x14ac:dyDescent="0.2">
      <c r="A2325" t="str">
        <f>"Atp6v1h"</f>
        <v>Atp6v1h</v>
      </c>
      <c r="B2325" t="s">
        <v>14</v>
      </c>
      <c r="C2325" t="s">
        <v>19</v>
      </c>
      <c r="D2325" t="s">
        <v>17</v>
      </c>
      <c r="E2325" t="s">
        <v>12</v>
      </c>
      <c r="F2325">
        <v>5083105</v>
      </c>
      <c r="G2325">
        <v>5083160</v>
      </c>
      <c r="H2325">
        <v>5083105</v>
      </c>
      <c r="I2325">
        <v>5083160</v>
      </c>
    </row>
    <row r="2326" spans="1:9" x14ac:dyDescent="0.2">
      <c r="A2326" t="str">
        <f>"Atp7a"</f>
        <v>Atp7a</v>
      </c>
      <c r="B2326" t="s">
        <v>14</v>
      </c>
      <c r="C2326" t="s">
        <v>37</v>
      </c>
      <c r="D2326" t="s">
        <v>17</v>
      </c>
      <c r="E2326" t="s">
        <v>12</v>
      </c>
      <c r="F2326">
        <v>106027259</v>
      </c>
      <c r="G2326">
        <v>106027293</v>
      </c>
      <c r="H2326">
        <v>106027300</v>
      </c>
      <c r="I2326">
        <v>106027323</v>
      </c>
    </row>
    <row r="2327" spans="1:9" x14ac:dyDescent="0.2">
      <c r="A2327" t="str">
        <f>"Atp7b"</f>
        <v>Atp7b</v>
      </c>
      <c r="B2327" t="s">
        <v>14</v>
      </c>
      <c r="C2327" t="s">
        <v>30</v>
      </c>
      <c r="D2327" t="s">
        <v>11</v>
      </c>
      <c r="E2327" t="s">
        <v>12</v>
      </c>
      <c r="F2327">
        <v>22060019</v>
      </c>
      <c r="G2327">
        <v>22060056</v>
      </c>
      <c r="H2327">
        <v>22060310</v>
      </c>
      <c r="I2327">
        <v>22060336</v>
      </c>
    </row>
    <row r="2328" spans="1:9" x14ac:dyDescent="0.2">
      <c r="A2328" t="str">
        <f>"Atp8a1"</f>
        <v>Atp8a1</v>
      </c>
      <c r="B2328" t="s">
        <v>14</v>
      </c>
      <c r="C2328" t="s">
        <v>46</v>
      </c>
      <c r="D2328" t="s">
        <v>11</v>
      </c>
      <c r="E2328" t="s">
        <v>12</v>
      </c>
      <c r="F2328">
        <v>67847400</v>
      </c>
      <c r="G2328">
        <v>67847439</v>
      </c>
      <c r="H2328">
        <v>67847360</v>
      </c>
      <c r="I2328">
        <v>67847375</v>
      </c>
    </row>
    <row r="2329" spans="1:9" x14ac:dyDescent="0.2">
      <c r="A2329" t="str">
        <f>"Atp8a2"</f>
        <v>Atp8a2</v>
      </c>
      <c r="B2329" t="s">
        <v>2167</v>
      </c>
      <c r="C2329" t="s">
        <v>41</v>
      </c>
      <c r="D2329" t="s">
        <v>11</v>
      </c>
      <c r="E2329" t="s">
        <v>35</v>
      </c>
      <c r="F2329">
        <v>60086913</v>
      </c>
      <c r="G2329">
        <v>60086924</v>
      </c>
      <c r="H2329">
        <v>60086683</v>
      </c>
      <c r="I2329">
        <v>60086721</v>
      </c>
    </row>
    <row r="2330" spans="1:9" x14ac:dyDescent="0.2">
      <c r="A2330" t="str">
        <f>"Atp8b1"</f>
        <v>Atp8b1</v>
      </c>
      <c r="B2330" t="s">
        <v>14</v>
      </c>
      <c r="C2330" t="s">
        <v>43</v>
      </c>
      <c r="D2330" t="s">
        <v>11</v>
      </c>
      <c r="E2330" t="s">
        <v>12</v>
      </c>
      <c r="F2330">
        <v>64660823</v>
      </c>
      <c r="G2330">
        <v>64660915</v>
      </c>
      <c r="H2330">
        <v>64661013</v>
      </c>
      <c r="I2330">
        <v>64661063</v>
      </c>
    </row>
    <row r="2331" spans="1:9" x14ac:dyDescent="0.2">
      <c r="A2331" t="str">
        <f>"Atp8b2"</f>
        <v>Atp8b2</v>
      </c>
      <c r="B2331" t="s">
        <v>9</v>
      </c>
      <c r="C2331" t="s">
        <v>22</v>
      </c>
      <c r="D2331" t="s">
        <v>11</v>
      </c>
      <c r="E2331" t="s">
        <v>12</v>
      </c>
      <c r="F2331">
        <v>89963304</v>
      </c>
      <c r="G2331">
        <v>89963355</v>
      </c>
      <c r="H2331">
        <v>89963304</v>
      </c>
      <c r="I2331">
        <v>89963355</v>
      </c>
    </row>
    <row r="2332" spans="1:9" x14ac:dyDescent="0.2">
      <c r="A2332" t="str">
        <f>"Atp8b2"</f>
        <v>Atp8b2</v>
      </c>
      <c r="B2332" t="s">
        <v>13</v>
      </c>
      <c r="C2332" t="s">
        <v>22</v>
      </c>
      <c r="D2332" t="s">
        <v>11</v>
      </c>
      <c r="E2332" t="s">
        <v>12</v>
      </c>
      <c r="F2332">
        <v>89960562</v>
      </c>
      <c r="G2332">
        <v>89960617</v>
      </c>
      <c r="H2332">
        <v>89960562</v>
      </c>
      <c r="I2332">
        <v>89960617</v>
      </c>
    </row>
    <row r="2333" spans="1:9" x14ac:dyDescent="0.2">
      <c r="A2333" t="str">
        <f>"Atp8b3"</f>
        <v>Atp8b3</v>
      </c>
      <c r="B2333" t="s">
        <v>14</v>
      </c>
      <c r="C2333" t="s">
        <v>15</v>
      </c>
      <c r="D2333" t="s">
        <v>11</v>
      </c>
      <c r="E2333" t="s">
        <v>12</v>
      </c>
      <c r="F2333">
        <v>80539107</v>
      </c>
      <c r="G2333">
        <v>80539129</v>
      </c>
      <c r="H2333">
        <v>80539082</v>
      </c>
      <c r="I2333">
        <v>80539103</v>
      </c>
    </row>
    <row r="2334" spans="1:9" x14ac:dyDescent="0.2">
      <c r="A2334" t="str">
        <f>"Atp8b4"</f>
        <v>Atp8b4</v>
      </c>
      <c r="B2334" t="s">
        <v>14</v>
      </c>
      <c r="C2334" t="s">
        <v>26</v>
      </c>
      <c r="D2334" t="s">
        <v>11</v>
      </c>
      <c r="E2334" t="s">
        <v>12</v>
      </c>
      <c r="F2334">
        <v>126491566</v>
      </c>
      <c r="G2334">
        <v>126491582</v>
      </c>
      <c r="H2334">
        <v>126491533</v>
      </c>
      <c r="I2334">
        <v>126491558</v>
      </c>
    </row>
    <row r="2335" spans="1:9" x14ac:dyDescent="0.2">
      <c r="A2335" t="str">
        <f>"Atp8b5"</f>
        <v>Atp8b5</v>
      </c>
      <c r="B2335" t="s">
        <v>14</v>
      </c>
      <c r="C2335" t="s">
        <v>23</v>
      </c>
      <c r="D2335" t="s">
        <v>17</v>
      </c>
      <c r="E2335" t="s">
        <v>12</v>
      </c>
      <c r="F2335">
        <v>43267165</v>
      </c>
      <c r="G2335">
        <v>43267204</v>
      </c>
      <c r="H2335">
        <v>43267165</v>
      </c>
      <c r="I2335">
        <v>43267204</v>
      </c>
    </row>
    <row r="2336" spans="1:9" x14ac:dyDescent="0.2">
      <c r="A2336" t="str">
        <f>"Atp9a"</f>
        <v>Atp9a</v>
      </c>
      <c r="B2336" t="s">
        <v>14</v>
      </c>
      <c r="C2336" t="s">
        <v>26</v>
      </c>
      <c r="D2336" t="s">
        <v>11</v>
      </c>
      <c r="E2336" t="s">
        <v>12</v>
      </c>
      <c r="F2336">
        <v>168741898</v>
      </c>
      <c r="G2336">
        <v>168741973</v>
      </c>
      <c r="H2336">
        <v>168742100</v>
      </c>
      <c r="I2336">
        <v>168742142</v>
      </c>
    </row>
    <row r="2337" spans="1:9" x14ac:dyDescent="0.2">
      <c r="A2337" t="str">
        <f>"Atp9b"</f>
        <v>Atp9b</v>
      </c>
      <c r="B2337" t="s">
        <v>14</v>
      </c>
      <c r="C2337" t="s">
        <v>43</v>
      </c>
      <c r="D2337" t="s">
        <v>11</v>
      </c>
      <c r="E2337" t="s">
        <v>12</v>
      </c>
      <c r="F2337">
        <v>80933973</v>
      </c>
      <c r="G2337">
        <v>80934045</v>
      </c>
      <c r="H2337">
        <v>80934054</v>
      </c>
      <c r="I2337">
        <v>80934077</v>
      </c>
    </row>
    <row r="2338" spans="1:9" x14ac:dyDescent="0.2">
      <c r="A2338" t="str">
        <f>"Atpaf1"</f>
        <v>Atpaf1</v>
      </c>
      <c r="B2338" t="s">
        <v>14</v>
      </c>
      <c r="C2338" t="s">
        <v>23</v>
      </c>
      <c r="D2338" t="s">
        <v>17</v>
      </c>
      <c r="E2338" t="s">
        <v>12</v>
      </c>
      <c r="F2338">
        <v>115784996</v>
      </c>
      <c r="G2338">
        <v>115785052</v>
      </c>
      <c r="H2338">
        <v>115784799</v>
      </c>
      <c r="I2338">
        <v>115784837</v>
      </c>
    </row>
    <row r="2339" spans="1:9" x14ac:dyDescent="0.2">
      <c r="A2339" t="str">
        <f>"Atpaf2"</f>
        <v>Atpaf2</v>
      </c>
      <c r="B2339" t="s">
        <v>14</v>
      </c>
      <c r="C2339" t="s">
        <v>27</v>
      </c>
      <c r="D2339" t="s">
        <v>11</v>
      </c>
      <c r="E2339" t="s">
        <v>12</v>
      </c>
      <c r="F2339">
        <v>60417022</v>
      </c>
      <c r="G2339">
        <v>60417056</v>
      </c>
      <c r="H2339">
        <v>60417022</v>
      </c>
      <c r="I2339">
        <v>60417056</v>
      </c>
    </row>
    <row r="2340" spans="1:9" x14ac:dyDescent="0.2">
      <c r="A2340" t="str">
        <f>"Atpif1"</f>
        <v>Atpif1</v>
      </c>
      <c r="B2340" t="s">
        <v>14</v>
      </c>
      <c r="C2340" t="s">
        <v>23</v>
      </c>
      <c r="D2340" t="s">
        <v>11</v>
      </c>
      <c r="E2340" t="s">
        <v>12</v>
      </c>
      <c r="F2340">
        <v>132533569</v>
      </c>
      <c r="G2340">
        <v>132533652</v>
      </c>
      <c r="H2340">
        <v>132533380</v>
      </c>
      <c r="I2340">
        <v>132533393</v>
      </c>
    </row>
    <row r="2341" spans="1:9" x14ac:dyDescent="0.2">
      <c r="A2341" t="str">
        <f>"Atr"</f>
        <v>Atr</v>
      </c>
      <c r="B2341" t="s">
        <v>14</v>
      </c>
      <c r="C2341" t="s">
        <v>24</v>
      </c>
      <c r="D2341" t="s">
        <v>17</v>
      </c>
      <c r="E2341" t="s">
        <v>12</v>
      </c>
      <c r="F2341">
        <v>95857628</v>
      </c>
      <c r="G2341">
        <v>95857686</v>
      </c>
      <c r="H2341">
        <v>95857694</v>
      </c>
      <c r="I2341">
        <v>95857710</v>
      </c>
    </row>
    <row r="2342" spans="1:9" x14ac:dyDescent="0.2">
      <c r="A2342" t="str">
        <f>"Atraid"</f>
        <v>Atraid</v>
      </c>
      <c r="B2342" t="s">
        <v>14</v>
      </c>
      <c r="C2342" t="s">
        <v>46</v>
      </c>
      <c r="D2342" t="s">
        <v>17</v>
      </c>
      <c r="E2342" t="s">
        <v>67</v>
      </c>
      <c r="F2342">
        <v>31048627</v>
      </c>
      <c r="G2342">
        <v>31048673</v>
      </c>
      <c r="H2342">
        <v>31048308</v>
      </c>
      <c r="I2342">
        <v>31048336</v>
      </c>
    </row>
    <row r="2343" spans="1:9" x14ac:dyDescent="0.2">
      <c r="A2343" t="str">
        <f>"Atrip"</f>
        <v>Atrip</v>
      </c>
      <c r="B2343" t="s">
        <v>14</v>
      </c>
      <c r="C2343" t="s">
        <v>24</v>
      </c>
      <c r="D2343" t="s">
        <v>11</v>
      </c>
      <c r="E2343" t="s">
        <v>12</v>
      </c>
      <c r="F2343">
        <v>109074049</v>
      </c>
      <c r="G2343">
        <v>109074140</v>
      </c>
      <c r="H2343">
        <v>109074049</v>
      </c>
      <c r="I2343">
        <v>109074140</v>
      </c>
    </row>
    <row r="2344" spans="1:9" x14ac:dyDescent="0.2">
      <c r="A2344" t="str">
        <f>"Atrn"</f>
        <v>Atrn</v>
      </c>
      <c r="B2344" t="s">
        <v>14</v>
      </c>
      <c r="C2344" t="s">
        <v>26</v>
      </c>
      <c r="D2344" t="s">
        <v>17</v>
      </c>
      <c r="E2344" t="s">
        <v>12</v>
      </c>
      <c r="F2344">
        <v>130906505</v>
      </c>
      <c r="G2344">
        <v>130906558</v>
      </c>
      <c r="H2344">
        <v>130906461</v>
      </c>
      <c r="I2344">
        <v>130906500</v>
      </c>
    </row>
    <row r="2345" spans="1:9" x14ac:dyDescent="0.2">
      <c r="A2345" t="str">
        <f>"Atrnl1"</f>
        <v>Atrnl1</v>
      </c>
      <c r="B2345" t="s">
        <v>14</v>
      </c>
      <c r="C2345" t="s">
        <v>10</v>
      </c>
      <c r="D2345" t="s">
        <v>17</v>
      </c>
      <c r="E2345" t="s">
        <v>12</v>
      </c>
      <c r="F2345">
        <v>57611020</v>
      </c>
      <c r="G2345">
        <v>57611079</v>
      </c>
      <c r="H2345">
        <v>57610945</v>
      </c>
      <c r="I2345">
        <v>57610963</v>
      </c>
    </row>
    <row r="2346" spans="1:9" x14ac:dyDescent="0.2">
      <c r="A2346" t="str">
        <f>"Atrx"</f>
        <v>Atrx</v>
      </c>
      <c r="B2346" t="s">
        <v>14</v>
      </c>
      <c r="C2346" t="s">
        <v>37</v>
      </c>
      <c r="D2346" t="s">
        <v>11</v>
      </c>
      <c r="E2346" t="s">
        <v>12</v>
      </c>
      <c r="F2346">
        <v>105929333</v>
      </c>
      <c r="G2346">
        <v>105929382</v>
      </c>
      <c r="H2346">
        <v>105929304</v>
      </c>
      <c r="I2346">
        <v>105929321</v>
      </c>
    </row>
    <row r="2347" spans="1:9" x14ac:dyDescent="0.2">
      <c r="A2347" t="str">
        <f>"Atxn1"</f>
        <v>Atxn1</v>
      </c>
      <c r="B2347" t="s">
        <v>14</v>
      </c>
      <c r="C2347" t="s">
        <v>39</v>
      </c>
      <c r="D2347" t="s">
        <v>11</v>
      </c>
      <c r="E2347" t="s">
        <v>12</v>
      </c>
      <c r="F2347">
        <v>45964964</v>
      </c>
      <c r="G2347">
        <v>45965001</v>
      </c>
      <c r="H2347">
        <v>45964964</v>
      </c>
      <c r="I2347">
        <v>45965001</v>
      </c>
    </row>
    <row r="2348" spans="1:9" x14ac:dyDescent="0.2">
      <c r="A2348" t="str">
        <f>"Atxn10"</f>
        <v>Atxn10</v>
      </c>
      <c r="B2348" t="s">
        <v>14</v>
      </c>
      <c r="C2348" t="s">
        <v>25</v>
      </c>
      <c r="D2348" t="s">
        <v>17</v>
      </c>
      <c r="E2348" t="s">
        <v>12</v>
      </c>
      <c r="F2348">
        <v>85336237</v>
      </c>
      <c r="G2348">
        <v>85336278</v>
      </c>
      <c r="H2348">
        <v>85336350</v>
      </c>
      <c r="I2348">
        <v>85336387</v>
      </c>
    </row>
    <row r="2349" spans="1:9" x14ac:dyDescent="0.2">
      <c r="A2349" t="str">
        <f>"Atxn1l"</f>
        <v>Atxn1l</v>
      </c>
      <c r="B2349" t="s">
        <v>14</v>
      </c>
      <c r="C2349" t="s">
        <v>30</v>
      </c>
      <c r="D2349" t="s">
        <v>11</v>
      </c>
      <c r="E2349" t="s">
        <v>12</v>
      </c>
      <c r="F2349">
        <v>109737714</v>
      </c>
      <c r="G2349">
        <v>109737786</v>
      </c>
      <c r="H2349">
        <v>109738160</v>
      </c>
      <c r="I2349">
        <v>109738163</v>
      </c>
    </row>
    <row r="2350" spans="1:9" x14ac:dyDescent="0.2">
      <c r="A2350" t="str">
        <f>"Atxn2"</f>
        <v>Atxn2</v>
      </c>
      <c r="B2350" t="s">
        <v>14</v>
      </c>
      <c r="C2350" t="s">
        <v>46</v>
      </c>
      <c r="D2350" t="s">
        <v>17</v>
      </c>
      <c r="E2350" t="s">
        <v>12</v>
      </c>
      <c r="F2350">
        <v>121711785</v>
      </c>
      <c r="G2350">
        <v>121711859</v>
      </c>
      <c r="H2350">
        <v>121711785</v>
      </c>
      <c r="I2350">
        <v>121711859</v>
      </c>
    </row>
    <row r="2351" spans="1:9" x14ac:dyDescent="0.2">
      <c r="A2351" t="str">
        <f>"Atxn2l"</f>
        <v>Atxn2l</v>
      </c>
      <c r="B2351" t="s">
        <v>14</v>
      </c>
      <c r="C2351" t="s">
        <v>33</v>
      </c>
      <c r="D2351" t="s">
        <v>11</v>
      </c>
      <c r="E2351" t="s">
        <v>12</v>
      </c>
      <c r="F2351">
        <v>126503298</v>
      </c>
      <c r="G2351">
        <v>126503405</v>
      </c>
      <c r="H2351">
        <v>126503408</v>
      </c>
      <c r="I2351">
        <v>126503477</v>
      </c>
    </row>
    <row r="2352" spans="1:9" x14ac:dyDescent="0.2">
      <c r="A2352" t="str">
        <f>"Atxn3"</f>
        <v>Atxn3</v>
      </c>
      <c r="B2352" t="s">
        <v>14</v>
      </c>
      <c r="C2352" t="s">
        <v>16</v>
      </c>
      <c r="D2352" t="s">
        <v>11</v>
      </c>
      <c r="E2352" t="s">
        <v>12</v>
      </c>
      <c r="F2352">
        <v>101958161</v>
      </c>
      <c r="G2352">
        <v>101958212</v>
      </c>
      <c r="H2352">
        <v>101958161</v>
      </c>
      <c r="I2352">
        <v>101958212</v>
      </c>
    </row>
    <row r="2353" spans="1:9" x14ac:dyDescent="0.2">
      <c r="A2353" t="str">
        <f>"Atxn7"</f>
        <v>Atxn7</v>
      </c>
      <c r="B2353" t="s">
        <v>14</v>
      </c>
      <c r="C2353" t="s">
        <v>41</v>
      </c>
      <c r="D2353" t="s">
        <v>17</v>
      </c>
      <c r="E2353" t="s">
        <v>12</v>
      </c>
      <c r="F2353">
        <v>14012627</v>
      </c>
      <c r="G2353">
        <v>14012693</v>
      </c>
      <c r="H2353">
        <v>14012697</v>
      </c>
      <c r="I2353">
        <v>14012716</v>
      </c>
    </row>
    <row r="2354" spans="1:9" x14ac:dyDescent="0.2">
      <c r="A2354" t="str">
        <f>"Atxn7l1"</f>
        <v>Atxn7l1</v>
      </c>
      <c r="B2354" t="s">
        <v>2168</v>
      </c>
      <c r="C2354" t="s">
        <v>16</v>
      </c>
      <c r="D2354" t="s">
        <v>17</v>
      </c>
      <c r="E2354" t="s">
        <v>35</v>
      </c>
      <c r="F2354">
        <v>33302503</v>
      </c>
      <c r="G2354">
        <v>33302534</v>
      </c>
      <c r="H2354">
        <v>33302567</v>
      </c>
      <c r="I2354">
        <v>33302577</v>
      </c>
    </row>
    <row r="2355" spans="1:9" x14ac:dyDescent="0.2">
      <c r="A2355" t="str">
        <f>"Atxn7l2"</f>
        <v>Atxn7l2</v>
      </c>
      <c r="B2355" t="s">
        <v>14</v>
      </c>
      <c r="C2355" t="s">
        <v>22</v>
      </c>
      <c r="D2355" t="s">
        <v>11</v>
      </c>
      <c r="E2355" t="s">
        <v>12</v>
      </c>
      <c r="F2355">
        <v>108210438</v>
      </c>
      <c r="G2355">
        <v>108210502</v>
      </c>
      <c r="H2355">
        <v>108210545</v>
      </c>
      <c r="I2355">
        <v>108210590</v>
      </c>
    </row>
    <row r="2356" spans="1:9" x14ac:dyDescent="0.2">
      <c r="A2356" t="str">
        <f>"Atxn7l3"</f>
        <v>Atxn7l3</v>
      </c>
      <c r="B2356" t="s">
        <v>14</v>
      </c>
      <c r="C2356" t="s">
        <v>27</v>
      </c>
      <c r="D2356" t="s">
        <v>11</v>
      </c>
      <c r="E2356" t="s">
        <v>12</v>
      </c>
      <c r="F2356">
        <v>102296751</v>
      </c>
      <c r="G2356">
        <v>102296812</v>
      </c>
      <c r="H2356">
        <v>102297009</v>
      </c>
      <c r="I2356">
        <v>102297053</v>
      </c>
    </row>
    <row r="2357" spans="1:9" x14ac:dyDescent="0.2">
      <c r="A2357" t="str">
        <f>"Atxn7l3b"</f>
        <v>Atxn7l3b</v>
      </c>
      <c r="B2357" t="s">
        <v>14</v>
      </c>
      <c r="C2357" t="s">
        <v>15</v>
      </c>
      <c r="D2357" t="s">
        <v>11</v>
      </c>
      <c r="E2357" t="s">
        <v>12</v>
      </c>
      <c r="F2357">
        <v>112928974</v>
      </c>
      <c r="G2357">
        <v>112929014</v>
      </c>
      <c r="H2357">
        <v>112928949</v>
      </c>
      <c r="I2357">
        <v>112928973</v>
      </c>
    </row>
    <row r="2358" spans="1:9" x14ac:dyDescent="0.2">
      <c r="A2358" t="str">
        <f>"Auh"</f>
        <v>Auh</v>
      </c>
      <c r="B2358" t="s">
        <v>14</v>
      </c>
      <c r="C2358" t="s">
        <v>39</v>
      </c>
      <c r="D2358" t="s">
        <v>11</v>
      </c>
      <c r="E2358" t="s">
        <v>12</v>
      </c>
      <c r="F2358">
        <v>52929640</v>
      </c>
      <c r="G2358">
        <v>52929678</v>
      </c>
      <c r="H2358">
        <v>52929503</v>
      </c>
      <c r="I2358">
        <v>52929523</v>
      </c>
    </row>
    <row r="2359" spans="1:9" x14ac:dyDescent="0.2">
      <c r="A2359" t="str">
        <f>"Aunip"</f>
        <v>Aunip</v>
      </c>
      <c r="B2359" t="s">
        <v>14</v>
      </c>
      <c r="C2359" t="s">
        <v>23</v>
      </c>
      <c r="D2359" t="s">
        <v>17</v>
      </c>
      <c r="E2359" t="s">
        <v>67</v>
      </c>
      <c r="F2359">
        <v>134511002</v>
      </c>
      <c r="G2359">
        <v>134511076</v>
      </c>
      <c r="H2359">
        <v>134511002</v>
      </c>
      <c r="I2359">
        <v>134511076</v>
      </c>
    </row>
    <row r="2360" spans="1:9" x14ac:dyDescent="0.2">
      <c r="A2360" t="str">
        <f>"Aup1"</f>
        <v>Aup1</v>
      </c>
      <c r="B2360" t="s">
        <v>14</v>
      </c>
      <c r="C2360" t="s">
        <v>32</v>
      </c>
      <c r="D2360" t="s">
        <v>17</v>
      </c>
      <c r="E2360" t="s">
        <v>12</v>
      </c>
      <c r="F2360">
        <v>83054722</v>
      </c>
      <c r="G2360">
        <v>83054739</v>
      </c>
      <c r="H2360">
        <v>83054722</v>
      </c>
      <c r="I2360">
        <v>83054739</v>
      </c>
    </row>
    <row r="2361" spans="1:9" x14ac:dyDescent="0.2">
      <c r="A2361" t="str">
        <f>"Aurka"</f>
        <v>Aurka</v>
      </c>
      <c r="B2361" t="s">
        <v>14</v>
      </c>
      <c r="C2361" t="s">
        <v>26</v>
      </c>
      <c r="D2361" t="s">
        <v>11</v>
      </c>
      <c r="E2361" t="s">
        <v>12</v>
      </c>
      <c r="F2361">
        <v>172370514</v>
      </c>
      <c r="G2361">
        <v>172370540</v>
      </c>
      <c r="H2361">
        <v>172370878</v>
      </c>
      <c r="I2361">
        <v>172370922</v>
      </c>
    </row>
    <row r="2362" spans="1:9" x14ac:dyDescent="0.2">
      <c r="A2362" t="str">
        <f>"Aurkaip1"</f>
        <v>Aurkaip1</v>
      </c>
      <c r="B2362" t="s">
        <v>14</v>
      </c>
      <c r="C2362" t="s">
        <v>23</v>
      </c>
      <c r="D2362" t="s">
        <v>17</v>
      </c>
      <c r="E2362" t="s">
        <v>12</v>
      </c>
      <c r="F2362">
        <v>155831630</v>
      </c>
      <c r="G2362">
        <v>155831698</v>
      </c>
      <c r="H2362">
        <v>155831309</v>
      </c>
      <c r="I2362">
        <v>155831341</v>
      </c>
    </row>
    <row r="2363" spans="1:9" x14ac:dyDescent="0.2">
      <c r="A2363" t="str">
        <f>"Aurkb"</f>
        <v>Aurkb</v>
      </c>
      <c r="B2363" t="s">
        <v>14</v>
      </c>
      <c r="C2363" t="s">
        <v>27</v>
      </c>
      <c r="D2363" t="s">
        <v>17</v>
      </c>
      <c r="E2363" t="s">
        <v>12</v>
      </c>
      <c r="F2363">
        <v>69045640</v>
      </c>
      <c r="G2363">
        <v>69045713</v>
      </c>
      <c r="H2363">
        <v>69045620</v>
      </c>
      <c r="I2363">
        <v>69045627</v>
      </c>
    </row>
    <row r="2364" spans="1:9" x14ac:dyDescent="0.2">
      <c r="A2364" t="str">
        <f>"Aurkc"</f>
        <v>Aurkc</v>
      </c>
      <c r="B2364" t="s">
        <v>14</v>
      </c>
      <c r="C2364" t="s">
        <v>33</v>
      </c>
      <c r="D2364" t="s">
        <v>17</v>
      </c>
      <c r="E2364" t="s">
        <v>12</v>
      </c>
      <c r="F2364">
        <v>6995444</v>
      </c>
      <c r="G2364">
        <v>6995497</v>
      </c>
      <c r="H2364">
        <v>6995444</v>
      </c>
      <c r="I2364">
        <v>6995497</v>
      </c>
    </row>
    <row r="2365" spans="1:9" x14ac:dyDescent="0.2">
      <c r="A2365" t="str">
        <f>"Auts2"</f>
        <v>Auts2</v>
      </c>
      <c r="B2365" t="s">
        <v>14</v>
      </c>
      <c r="C2365" t="s">
        <v>46</v>
      </c>
      <c r="D2365" t="s">
        <v>11</v>
      </c>
      <c r="E2365" t="s">
        <v>12</v>
      </c>
      <c r="F2365">
        <v>132543163</v>
      </c>
      <c r="G2365">
        <v>132543235</v>
      </c>
      <c r="H2365">
        <v>132543163</v>
      </c>
      <c r="I2365">
        <v>132543235</v>
      </c>
    </row>
    <row r="2366" spans="1:9" x14ac:dyDescent="0.2">
      <c r="A2366" t="str">
        <f>"Aven"</f>
        <v>Aven</v>
      </c>
      <c r="B2366" t="s">
        <v>14</v>
      </c>
      <c r="C2366" t="s">
        <v>26</v>
      </c>
      <c r="D2366" t="s">
        <v>17</v>
      </c>
      <c r="E2366" t="s">
        <v>12</v>
      </c>
      <c r="F2366">
        <v>112492926</v>
      </c>
      <c r="G2366">
        <v>112493005</v>
      </c>
      <c r="H2366">
        <v>112492926</v>
      </c>
      <c r="I2366">
        <v>112493005</v>
      </c>
    </row>
    <row r="2367" spans="1:9" x14ac:dyDescent="0.2">
      <c r="A2367" t="str">
        <f>"Avil"</f>
        <v>Avil</v>
      </c>
      <c r="B2367" t="s">
        <v>14</v>
      </c>
      <c r="C2367" t="s">
        <v>15</v>
      </c>
      <c r="D2367" t="s">
        <v>17</v>
      </c>
      <c r="E2367" t="s">
        <v>12</v>
      </c>
      <c r="F2367">
        <v>127000732</v>
      </c>
      <c r="G2367">
        <v>127000747</v>
      </c>
      <c r="H2367">
        <v>127000732</v>
      </c>
      <c r="I2367">
        <v>127000747</v>
      </c>
    </row>
    <row r="2368" spans="1:9" x14ac:dyDescent="0.2">
      <c r="A2368" t="str">
        <f>"Avl9"</f>
        <v>Avl9</v>
      </c>
      <c r="B2368" t="s">
        <v>14</v>
      </c>
      <c r="C2368" t="s">
        <v>32</v>
      </c>
      <c r="D2368" t="s">
        <v>17</v>
      </c>
      <c r="E2368" t="s">
        <v>12</v>
      </c>
      <c r="F2368">
        <v>56714891</v>
      </c>
      <c r="G2368">
        <v>56714951</v>
      </c>
      <c r="H2368">
        <v>56714821</v>
      </c>
      <c r="I2368">
        <v>56714853</v>
      </c>
    </row>
    <row r="2369" spans="1:9" x14ac:dyDescent="0.2">
      <c r="A2369" t="str">
        <f>"Avp"</f>
        <v>Avp</v>
      </c>
      <c r="B2369" t="s">
        <v>14</v>
      </c>
      <c r="C2369" t="s">
        <v>26</v>
      </c>
      <c r="D2369" t="s">
        <v>11</v>
      </c>
      <c r="E2369" t="s">
        <v>12</v>
      </c>
      <c r="F2369">
        <v>130582569</v>
      </c>
      <c r="G2369">
        <v>130582574</v>
      </c>
      <c r="H2369">
        <v>130582569</v>
      </c>
      <c r="I2369">
        <v>130582574</v>
      </c>
    </row>
    <row r="2370" spans="1:9" x14ac:dyDescent="0.2">
      <c r="A2370" t="str">
        <f>"Avpi1"</f>
        <v>Avpi1</v>
      </c>
      <c r="B2370" t="s">
        <v>14</v>
      </c>
      <c r="C2370" t="s">
        <v>10</v>
      </c>
      <c r="D2370" t="s">
        <v>11</v>
      </c>
      <c r="E2370" t="s">
        <v>12</v>
      </c>
      <c r="F2370">
        <v>42128982</v>
      </c>
      <c r="G2370">
        <v>42129041</v>
      </c>
      <c r="H2370">
        <v>42128946</v>
      </c>
      <c r="I2370">
        <v>42128967</v>
      </c>
    </row>
    <row r="2371" spans="1:9" x14ac:dyDescent="0.2">
      <c r="A2371" t="str">
        <f>"Avpr1a"</f>
        <v>Avpr1a</v>
      </c>
      <c r="B2371" t="s">
        <v>14</v>
      </c>
      <c r="C2371" t="s">
        <v>15</v>
      </c>
      <c r="D2371" t="s">
        <v>17</v>
      </c>
      <c r="E2371" t="s">
        <v>12</v>
      </c>
      <c r="F2371">
        <v>122448531</v>
      </c>
      <c r="G2371">
        <v>122448550</v>
      </c>
      <c r="H2371">
        <v>122448551</v>
      </c>
      <c r="I2371">
        <v>122448575</v>
      </c>
    </row>
    <row r="2372" spans="1:9" x14ac:dyDescent="0.2">
      <c r="A2372" t="str">
        <f>"Avpr1b"</f>
        <v>Avpr1b</v>
      </c>
      <c r="B2372" t="s">
        <v>14</v>
      </c>
      <c r="C2372" t="s">
        <v>19</v>
      </c>
      <c r="D2372" t="s">
        <v>17</v>
      </c>
      <c r="E2372" t="s">
        <v>12</v>
      </c>
      <c r="F2372">
        <v>131599193</v>
      </c>
      <c r="G2372">
        <v>131599197</v>
      </c>
      <c r="H2372">
        <v>131599193</v>
      </c>
      <c r="I2372">
        <v>131599197</v>
      </c>
    </row>
    <row r="2373" spans="1:9" x14ac:dyDescent="0.2">
      <c r="A2373" t="str">
        <f>"Avpr2"</f>
        <v>Avpr2</v>
      </c>
      <c r="B2373" t="s">
        <v>14</v>
      </c>
      <c r="C2373" t="s">
        <v>37</v>
      </c>
      <c r="D2373" t="s">
        <v>17</v>
      </c>
      <c r="E2373" t="s">
        <v>12</v>
      </c>
      <c r="F2373">
        <v>73891815</v>
      </c>
      <c r="G2373">
        <v>73891833</v>
      </c>
      <c r="H2373">
        <v>73891778</v>
      </c>
      <c r="I2373">
        <v>73891801</v>
      </c>
    </row>
    <row r="2374" spans="1:9" x14ac:dyDescent="0.2">
      <c r="A2374" t="str">
        <f>"Awat1"</f>
        <v>Awat1</v>
      </c>
      <c r="B2374" t="s">
        <v>14</v>
      </c>
      <c r="C2374" t="s">
        <v>37</v>
      </c>
      <c r="D2374" t="s">
        <v>17</v>
      </c>
      <c r="E2374" t="s">
        <v>12</v>
      </c>
      <c r="F2374">
        <v>100572234</v>
      </c>
      <c r="G2374">
        <v>100572265</v>
      </c>
      <c r="H2374">
        <v>100572234</v>
      </c>
      <c r="I2374">
        <v>100572265</v>
      </c>
    </row>
    <row r="2375" spans="1:9" x14ac:dyDescent="0.2">
      <c r="A2375" t="str">
        <f>"Awat2"</f>
        <v>Awat2</v>
      </c>
      <c r="B2375" t="s">
        <v>14</v>
      </c>
      <c r="C2375" t="s">
        <v>37</v>
      </c>
      <c r="D2375" t="s">
        <v>11</v>
      </c>
      <c r="E2375" t="s">
        <v>12</v>
      </c>
      <c r="F2375">
        <v>100412591</v>
      </c>
      <c r="G2375">
        <v>100412606</v>
      </c>
      <c r="H2375">
        <v>100412579</v>
      </c>
      <c r="I2375">
        <v>100412580</v>
      </c>
    </row>
    <row r="2376" spans="1:9" x14ac:dyDescent="0.2">
      <c r="A2376" t="str">
        <f>"Axdnd1"</f>
        <v>Axdnd1</v>
      </c>
      <c r="B2376" t="s">
        <v>2169</v>
      </c>
      <c r="C2376" t="s">
        <v>19</v>
      </c>
      <c r="D2376" t="s">
        <v>11</v>
      </c>
      <c r="E2376" t="s">
        <v>20</v>
      </c>
      <c r="F2376">
        <v>156419309</v>
      </c>
      <c r="G2376">
        <v>156419309</v>
      </c>
      <c r="H2376">
        <v>156419309</v>
      </c>
      <c r="I2376">
        <v>156419309</v>
      </c>
    </row>
    <row r="2377" spans="1:9" x14ac:dyDescent="0.2">
      <c r="A2377" t="str">
        <f>"Axdnd1"</f>
        <v>Axdnd1</v>
      </c>
      <c r="B2377" t="s">
        <v>2170</v>
      </c>
      <c r="C2377" t="s">
        <v>19</v>
      </c>
      <c r="D2377" t="s">
        <v>11</v>
      </c>
      <c r="E2377" t="s">
        <v>20</v>
      </c>
      <c r="F2377">
        <v>156421158</v>
      </c>
      <c r="G2377">
        <v>156421158</v>
      </c>
      <c r="H2377">
        <v>156421158</v>
      </c>
      <c r="I2377">
        <v>156421158</v>
      </c>
    </row>
    <row r="2378" spans="1:9" x14ac:dyDescent="0.2">
      <c r="A2378" t="str">
        <f>"Axdnd1"</f>
        <v>Axdnd1</v>
      </c>
      <c r="B2378" t="s">
        <v>2171</v>
      </c>
      <c r="C2378" t="s">
        <v>19</v>
      </c>
      <c r="D2378" t="s">
        <v>11</v>
      </c>
      <c r="E2378" t="s">
        <v>20</v>
      </c>
      <c r="F2378">
        <v>156420903</v>
      </c>
      <c r="G2378">
        <v>156420903</v>
      </c>
      <c r="H2378">
        <v>156420903</v>
      </c>
      <c r="I2378">
        <v>156420903</v>
      </c>
    </row>
    <row r="2379" spans="1:9" x14ac:dyDescent="0.2">
      <c r="A2379" t="str">
        <f>"Axdnd1"</f>
        <v>Axdnd1</v>
      </c>
      <c r="B2379" t="s">
        <v>2172</v>
      </c>
      <c r="C2379" t="s">
        <v>19</v>
      </c>
      <c r="D2379" t="s">
        <v>11</v>
      </c>
      <c r="E2379" t="s">
        <v>20</v>
      </c>
      <c r="F2379">
        <v>156398541</v>
      </c>
      <c r="G2379">
        <v>156398541</v>
      </c>
      <c r="H2379">
        <v>156398541</v>
      </c>
      <c r="I2379">
        <v>156398541</v>
      </c>
    </row>
    <row r="2380" spans="1:9" x14ac:dyDescent="0.2">
      <c r="A2380" t="str">
        <f>"Axin1"</f>
        <v>Axin1</v>
      </c>
      <c r="B2380" t="s">
        <v>14</v>
      </c>
      <c r="C2380" t="s">
        <v>28</v>
      </c>
      <c r="D2380" t="s">
        <v>17</v>
      </c>
      <c r="E2380" t="s">
        <v>12</v>
      </c>
      <c r="F2380">
        <v>26138661</v>
      </c>
      <c r="G2380">
        <v>26138769</v>
      </c>
      <c r="H2380">
        <v>26138661</v>
      </c>
      <c r="I2380">
        <v>26138769</v>
      </c>
    </row>
    <row r="2381" spans="1:9" x14ac:dyDescent="0.2">
      <c r="A2381" t="str">
        <f>"Axin2"</f>
        <v>Axin2</v>
      </c>
      <c r="B2381" t="s">
        <v>14</v>
      </c>
      <c r="C2381" t="s">
        <v>27</v>
      </c>
      <c r="D2381" t="s">
        <v>17</v>
      </c>
      <c r="E2381" t="s">
        <v>12</v>
      </c>
      <c r="F2381">
        <v>108920811</v>
      </c>
      <c r="G2381">
        <v>108920841</v>
      </c>
      <c r="H2381">
        <v>108920399</v>
      </c>
      <c r="I2381">
        <v>108920493</v>
      </c>
    </row>
    <row r="2382" spans="1:9" x14ac:dyDescent="0.2">
      <c r="A2382" t="str">
        <f>"Axl"</f>
        <v>Axl</v>
      </c>
      <c r="B2382" t="s">
        <v>14</v>
      </c>
      <c r="C2382" t="s">
        <v>33</v>
      </c>
      <c r="D2382" t="s">
        <v>11</v>
      </c>
      <c r="E2382" t="s">
        <v>12</v>
      </c>
      <c r="F2382">
        <v>25788635</v>
      </c>
      <c r="G2382">
        <v>25788710</v>
      </c>
      <c r="H2382">
        <v>25788635</v>
      </c>
      <c r="I2382">
        <v>25788710</v>
      </c>
    </row>
    <row r="2383" spans="1:9" x14ac:dyDescent="0.2">
      <c r="A2383" t="str">
        <f>"Aym1"</f>
        <v>Aym1</v>
      </c>
      <c r="B2383" t="s">
        <v>2173</v>
      </c>
      <c r="C2383" t="s">
        <v>46</v>
      </c>
      <c r="D2383" t="s">
        <v>17</v>
      </c>
      <c r="E2383" t="s">
        <v>20</v>
      </c>
      <c r="F2383">
        <v>113357293</v>
      </c>
      <c r="G2383">
        <v>113357293</v>
      </c>
      <c r="H2383">
        <v>113357293</v>
      </c>
      <c r="I2383">
        <v>113357293</v>
      </c>
    </row>
    <row r="2384" spans="1:9" x14ac:dyDescent="0.2">
      <c r="A2384" t="str">
        <f>"Azgp1"</f>
        <v>Azgp1</v>
      </c>
      <c r="B2384" t="s">
        <v>14</v>
      </c>
      <c r="C2384" t="s">
        <v>46</v>
      </c>
      <c r="D2384" t="s">
        <v>17</v>
      </c>
      <c r="E2384" t="s">
        <v>12</v>
      </c>
      <c r="F2384">
        <v>137981512</v>
      </c>
      <c r="G2384">
        <v>137981556</v>
      </c>
      <c r="H2384">
        <v>137981512</v>
      </c>
      <c r="I2384">
        <v>137981556</v>
      </c>
    </row>
    <row r="2385" spans="1:9" x14ac:dyDescent="0.2">
      <c r="A2385" t="str">
        <f>"Azi1"</f>
        <v>Azi1</v>
      </c>
      <c r="B2385" t="s">
        <v>14</v>
      </c>
      <c r="C2385" t="s">
        <v>27</v>
      </c>
      <c r="D2385" t="s">
        <v>11</v>
      </c>
      <c r="E2385" t="s">
        <v>12</v>
      </c>
      <c r="F2385">
        <v>120086790</v>
      </c>
      <c r="G2385">
        <v>120086852</v>
      </c>
      <c r="H2385">
        <v>120086768</v>
      </c>
      <c r="I2385">
        <v>120086780</v>
      </c>
    </row>
    <row r="2386" spans="1:9" x14ac:dyDescent="0.2">
      <c r="A2386" t="str">
        <f>"Azi2"</f>
        <v>Azi2</v>
      </c>
      <c r="B2386" t="s">
        <v>14</v>
      </c>
      <c r="C2386" t="s">
        <v>24</v>
      </c>
      <c r="D2386" t="s">
        <v>17</v>
      </c>
      <c r="E2386" t="s">
        <v>12</v>
      </c>
      <c r="F2386">
        <v>118040509</v>
      </c>
      <c r="G2386">
        <v>118040566</v>
      </c>
      <c r="H2386">
        <v>118040475</v>
      </c>
      <c r="I2386">
        <v>118040494</v>
      </c>
    </row>
    <row r="2387" spans="1:9" x14ac:dyDescent="0.2">
      <c r="A2387" t="str">
        <f>"Azin1"</f>
        <v>Azin1</v>
      </c>
      <c r="B2387" t="s">
        <v>9</v>
      </c>
      <c r="C2387" t="s">
        <v>25</v>
      </c>
      <c r="D2387" t="s">
        <v>11</v>
      </c>
      <c r="E2387" t="s">
        <v>12</v>
      </c>
      <c r="F2387">
        <v>38519255</v>
      </c>
      <c r="G2387">
        <v>38519271</v>
      </c>
      <c r="H2387">
        <v>38519255</v>
      </c>
      <c r="I2387">
        <v>38519271</v>
      </c>
    </row>
    <row r="2388" spans="1:9" x14ac:dyDescent="0.2">
      <c r="A2388" t="str">
        <f>"Azin1"</f>
        <v>Azin1</v>
      </c>
      <c r="B2388" t="s">
        <v>13</v>
      </c>
      <c r="C2388" t="s">
        <v>25</v>
      </c>
      <c r="D2388" t="s">
        <v>11</v>
      </c>
      <c r="E2388" t="s">
        <v>12</v>
      </c>
      <c r="F2388">
        <v>38518195</v>
      </c>
      <c r="G2388">
        <v>38518212</v>
      </c>
      <c r="H2388">
        <v>38518195</v>
      </c>
      <c r="I2388">
        <v>38518212</v>
      </c>
    </row>
    <row r="2389" spans="1:9" x14ac:dyDescent="0.2">
      <c r="A2389" t="str">
        <f>"B020004C17Rik"</f>
        <v>B020004C17Rik</v>
      </c>
      <c r="B2389" t="s">
        <v>2174</v>
      </c>
      <c r="C2389" t="s">
        <v>41</v>
      </c>
      <c r="D2389" t="s">
        <v>17</v>
      </c>
      <c r="E2389" t="s">
        <v>20</v>
      </c>
      <c r="F2389">
        <v>57015133</v>
      </c>
      <c r="G2389">
        <v>57015133</v>
      </c>
      <c r="H2389">
        <v>57015133</v>
      </c>
      <c r="I2389">
        <v>57015133</v>
      </c>
    </row>
    <row r="2390" spans="1:9" x14ac:dyDescent="0.2">
      <c r="A2390" t="str">
        <f>"B020004J07Rik"</f>
        <v>B020004J07Rik</v>
      </c>
      <c r="B2390" t="s">
        <v>2175</v>
      </c>
      <c r="C2390" t="s">
        <v>23</v>
      </c>
      <c r="D2390" t="s">
        <v>11</v>
      </c>
      <c r="E2390" t="s">
        <v>20</v>
      </c>
      <c r="F2390">
        <v>101838138</v>
      </c>
      <c r="G2390">
        <v>101838138</v>
      </c>
      <c r="H2390">
        <v>101838138</v>
      </c>
      <c r="I2390">
        <v>101838138</v>
      </c>
    </row>
    <row r="2391" spans="1:9" x14ac:dyDescent="0.2">
      <c r="A2391" t="str">
        <f>"B020004J07Rik"</f>
        <v>B020004J07Rik</v>
      </c>
      <c r="B2391" t="s">
        <v>2176</v>
      </c>
      <c r="C2391" t="s">
        <v>23</v>
      </c>
      <c r="D2391" t="s">
        <v>11</v>
      </c>
      <c r="E2391" t="s">
        <v>20</v>
      </c>
      <c r="F2391">
        <v>101844022</v>
      </c>
      <c r="G2391">
        <v>101844022</v>
      </c>
      <c r="H2391">
        <v>101844022</v>
      </c>
      <c r="I2391">
        <v>101844022</v>
      </c>
    </row>
    <row r="2392" spans="1:9" x14ac:dyDescent="0.2">
      <c r="A2392" t="str">
        <f>"B020018G12Rik"</f>
        <v>B020018G12Rik</v>
      </c>
      <c r="B2392" t="s">
        <v>2177</v>
      </c>
      <c r="C2392" t="s">
        <v>19</v>
      </c>
      <c r="D2392" t="s">
        <v>11</v>
      </c>
      <c r="E2392" t="s">
        <v>20</v>
      </c>
      <c r="F2392">
        <v>175979113</v>
      </c>
      <c r="G2392">
        <v>175979113</v>
      </c>
      <c r="H2392">
        <v>175979113</v>
      </c>
      <c r="I2392">
        <v>175979113</v>
      </c>
    </row>
    <row r="2393" spans="1:9" x14ac:dyDescent="0.2">
      <c r="A2393" t="str">
        <f>"B020031M17Rik"</f>
        <v>B020031M17Rik</v>
      </c>
      <c r="B2393" t="s">
        <v>2178</v>
      </c>
      <c r="C2393" t="s">
        <v>39</v>
      </c>
      <c r="D2393" t="s">
        <v>11</v>
      </c>
      <c r="E2393" t="s">
        <v>20</v>
      </c>
      <c r="F2393">
        <v>119950067</v>
      </c>
      <c r="G2393">
        <v>119950067</v>
      </c>
      <c r="H2393">
        <v>119950067</v>
      </c>
      <c r="I2393">
        <v>119950067</v>
      </c>
    </row>
    <row r="2394" spans="1:9" x14ac:dyDescent="0.2">
      <c r="A2394" t="str">
        <f>"B020031M17Rik"</f>
        <v>B020031M17Rik</v>
      </c>
      <c r="B2394" t="s">
        <v>2179</v>
      </c>
      <c r="C2394" t="s">
        <v>39</v>
      </c>
      <c r="D2394" t="s">
        <v>11</v>
      </c>
      <c r="E2394" t="s">
        <v>20</v>
      </c>
      <c r="F2394">
        <v>119950805</v>
      </c>
      <c r="G2394">
        <v>119950805</v>
      </c>
      <c r="H2394">
        <v>119950805</v>
      </c>
      <c r="I2394">
        <v>119950805</v>
      </c>
    </row>
    <row r="2395" spans="1:9" x14ac:dyDescent="0.2">
      <c r="A2395" t="str">
        <f>"B130006D01Rik"</f>
        <v>B130006D01Rik</v>
      </c>
      <c r="B2395" t="s">
        <v>2180</v>
      </c>
      <c r="C2395" t="s">
        <v>27</v>
      </c>
      <c r="D2395" t="s">
        <v>17</v>
      </c>
      <c r="E2395" t="s">
        <v>20</v>
      </c>
      <c r="F2395">
        <v>95723586</v>
      </c>
      <c r="G2395">
        <v>95723586</v>
      </c>
      <c r="H2395">
        <v>95723586</v>
      </c>
      <c r="I2395">
        <v>95723586</v>
      </c>
    </row>
    <row r="2396" spans="1:9" x14ac:dyDescent="0.2">
      <c r="A2396" t="str">
        <f>"B130024G19Rik"</f>
        <v>B130024G19Rik</v>
      </c>
      <c r="B2396" t="s">
        <v>2181</v>
      </c>
      <c r="C2396" t="s">
        <v>33</v>
      </c>
      <c r="D2396" t="s">
        <v>17</v>
      </c>
      <c r="E2396" t="s">
        <v>20</v>
      </c>
      <c r="F2396">
        <v>70388304</v>
      </c>
      <c r="G2396">
        <v>70388304</v>
      </c>
      <c r="H2396">
        <v>70388304</v>
      </c>
      <c r="I2396">
        <v>70388304</v>
      </c>
    </row>
    <row r="2397" spans="1:9" x14ac:dyDescent="0.2">
      <c r="A2397" t="str">
        <f>"B230104I21Rik"</f>
        <v>B230104I21Rik</v>
      </c>
      <c r="B2397" t="s">
        <v>2182</v>
      </c>
      <c r="C2397" t="s">
        <v>23</v>
      </c>
      <c r="D2397" t="s">
        <v>17</v>
      </c>
      <c r="E2397" t="s">
        <v>20</v>
      </c>
      <c r="F2397">
        <v>154336126</v>
      </c>
      <c r="G2397">
        <v>154336126</v>
      </c>
      <c r="H2397">
        <v>154336126</v>
      </c>
      <c r="I2397">
        <v>154336126</v>
      </c>
    </row>
    <row r="2398" spans="1:9" x14ac:dyDescent="0.2">
      <c r="A2398" t="str">
        <f>"B230118H07Rik"</f>
        <v>B230118H07Rik</v>
      </c>
      <c r="B2398" t="s">
        <v>9</v>
      </c>
      <c r="C2398" t="s">
        <v>26</v>
      </c>
      <c r="D2398" t="s">
        <v>11</v>
      </c>
      <c r="E2398" t="s">
        <v>12</v>
      </c>
      <c r="F2398">
        <v>101649523</v>
      </c>
      <c r="G2398">
        <v>101649539</v>
      </c>
      <c r="H2398">
        <v>101649523</v>
      </c>
      <c r="I2398">
        <v>101649539</v>
      </c>
    </row>
    <row r="2399" spans="1:9" x14ac:dyDescent="0.2">
      <c r="A2399" t="str">
        <f>"B230118H07Rik"</f>
        <v>B230118H07Rik</v>
      </c>
      <c r="B2399" t="s">
        <v>13</v>
      </c>
      <c r="C2399" t="s">
        <v>26</v>
      </c>
      <c r="D2399" t="s">
        <v>11</v>
      </c>
      <c r="E2399" t="s">
        <v>12</v>
      </c>
      <c r="F2399">
        <v>101628958</v>
      </c>
      <c r="G2399">
        <v>101629014</v>
      </c>
      <c r="H2399">
        <v>101628958</v>
      </c>
      <c r="I2399">
        <v>101629014</v>
      </c>
    </row>
    <row r="2400" spans="1:9" x14ac:dyDescent="0.2">
      <c r="A2400" t="str">
        <f>"B230216G23Rik"</f>
        <v>B230216G23Rik</v>
      </c>
      <c r="B2400" t="s">
        <v>2183</v>
      </c>
      <c r="C2400" t="s">
        <v>32</v>
      </c>
      <c r="D2400" t="s">
        <v>17</v>
      </c>
      <c r="E2400" t="s">
        <v>20</v>
      </c>
      <c r="F2400">
        <v>142413440</v>
      </c>
      <c r="G2400">
        <v>142413440</v>
      </c>
      <c r="H2400">
        <v>142413440</v>
      </c>
      <c r="I2400">
        <v>142413440</v>
      </c>
    </row>
    <row r="2401" spans="1:9" x14ac:dyDescent="0.2">
      <c r="A2401" t="str">
        <f>"B230219D22Rik"</f>
        <v>B230219D22Rik</v>
      </c>
      <c r="B2401" t="s">
        <v>14</v>
      </c>
      <c r="C2401" t="s">
        <v>39</v>
      </c>
      <c r="D2401" t="s">
        <v>17</v>
      </c>
      <c r="E2401" t="s">
        <v>12</v>
      </c>
      <c r="F2401">
        <v>55693082</v>
      </c>
      <c r="G2401">
        <v>55693151</v>
      </c>
      <c r="H2401">
        <v>55693259</v>
      </c>
      <c r="I2401">
        <v>55693272</v>
      </c>
    </row>
    <row r="2402" spans="1:9" x14ac:dyDescent="0.2">
      <c r="A2402" t="str">
        <f>"B230307C23Rik"</f>
        <v>B230307C23Rik</v>
      </c>
      <c r="B2402" t="s">
        <v>14</v>
      </c>
      <c r="C2402" t="s">
        <v>31</v>
      </c>
      <c r="D2402" t="s">
        <v>17</v>
      </c>
      <c r="E2402" t="s">
        <v>67</v>
      </c>
      <c r="F2402">
        <v>97997313</v>
      </c>
      <c r="G2402">
        <v>97997362</v>
      </c>
      <c r="H2402">
        <v>97997313</v>
      </c>
      <c r="I2402">
        <v>97997362</v>
      </c>
    </row>
    <row r="2403" spans="1:9" x14ac:dyDescent="0.2">
      <c r="A2403" t="str">
        <f>"B230317F23Rik"</f>
        <v>B230317F23Rik</v>
      </c>
      <c r="B2403" t="s">
        <v>14</v>
      </c>
      <c r="C2403" t="s">
        <v>30</v>
      </c>
      <c r="D2403" t="s">
        <v>17</v>
      </c>
      <c r="E2403" t="s">
        <v>67</v>
      </c>
      <c r="F2403">
        <v>60983442</v>
      </c>
      <c r="G2403">
        <v>60983478</v>
      </c>
      <c r="H2403">
        <v>60983419</v>
      </c>
      <c r="I2403">
        <v>60983431</v>
      </c>
    </row>
    <row r="2404" spans="1:9" x14ac:dyDescent="0.2">
      <c r="A2404" t="str">
        <f>"B230322F03Rik"</f>
        <v>B230322F03Rik</v>
      </c>
      <c r="B2404" t="s">
        <v>2184</v>
      </c>
      <c r="C2404" t="s">
        <v>33</v>
      </c>
      <c r="D2404" t="s">
        <v>17</v>
      </c>
      <c r="E2404" t="s">
        <v>35</v>
      </c>
      <c r="F2404">
        <v>35555290</v>
      </c>
      <c r="G2404">
        <v>35555306</v>
      </c>
      <c r="H2404">
        <v>35555497</v>
      </c>
      <c r="I2404">
        <v>35555527</v>
      </c>
    </row>
    <row r="2405" spans="1:9" x14ac:dyDescent="0.2">
      <c r="A2405" t="str">
        <f>"B230325K18Rik"</f>
        <v>B230325K18Rik</v>
      </c>
      <c r="B2405" t="s">
        <v>14</v>
      </c>
      <c r="C2405" t="s">
        <v>33</v>
      </c>
      <c r="D2405" t="s">
        <v>17</v>
      </c>
      <c r="E2405" t="s">
        <v>67</v>
      </c>
      <c r="F2405">
        <v>127982784</v>
      </c>
      <c r="G2405">
        <v>127982789</v>
      </c>
      <c r="H2405">
        <v>127982784</v>
      </c>
      <c r="I2405">
        <v>127982789</v>
      </c>
    </row>
    <row r="2406" spans="1:9" x14ac:dyDescent="0.2">
      <c r="A2406" t="str">
        <f>"B230359F08Rik"</f>
        <v>B230359F08Rik</v>
      </c>
      <c r="B2406" t="s">
        <v>14</v>
      </c>
      <c r="C2406" t="s">
        <v>41</v>
      </c>
      <c r="D2406" t="s">
        <v>17</v>
      </c>
      <c r="E2406" t="s">
        <v>67</v>
      </c>
      <c r="F2406">
        <v>53795348</v>
      </c>
      <c r="G2406">
        <v>53795371</v>
      </c>
      <c r="H2406">
        <v>53795348</v>
      </c>
      <c r="I2406">
        <v>53795371</v>
      </c>
    </row>
    <row r="2407" spans="1:9" x14ac:dyDescent="0.2">
      <c r="A2407" t="str">
        <f>"B230364G03Rik"</f>
        <v>B230364G03Rik</v>
      </c>
      <c r="B2407" t="s">
        <v>2185</v>
      </c>
      <c r="C2407" t="s">
        <v>15</v>
      </c>
      <c r="D2407" t="s">
        <v>11</v>
      </c>
      <c r="E2407" t="s">
        <v>20</v>
      </c>
      <c r="F2407">
        <v>14760719</v>
      </c>
      <c r="G2407">
        <v>14760719</v>
      </c>
      <c r="H2407">
        <v>14760719</v>
      </c>
      <c r="I2407">
        <v>14760719</v>
      </c>
    </row>
    <row r="2408" spans="1:9" x14ac:dyDescent="0.2">
      <c r="A2408" t="str">
        <f>"B230377A18Rik"</f>
        <v>B230377A18Rik</v>
      </c>
      <c r="B2408" t="s">
        <v>2186</v>
      </c>
      <c r="C2408" t="s">
        <v>46</v>
      </c>
      <c r="D2408" t="s">
        <v>17</v>
      </c>
      <c r="E2408" t="s">
        <v>20</v>
      </c>
      <c r="F2408">
        <v>134176357</v>
      </c>
      <c r="G2408">
        <v>134176357</v>
      </c>
      <c r="H2408">
        <v>134176357</v>
      </c>
      <c r="I2408">
        <v>134176357</v>
      </c>
    </row>
    <row r="2409" spans="1:9" x14ac:dyDescent="0.2">
      <c r="A2409" t="str">
        <f>"B2m"</f>
        <v>B2m</v>
      </c>
      <c r="B2409" t="s">
        <v>14</v>
      </c>
      <c r="C2409" t="s">
        <v>26</v>
      </c>
      <c r="D2409" t="s">
        <v>17</v>
      </c>
      <c r="E2409" t="s">
        <v>12</v>
      </c>
      <c r="F2409">
        <v>122147680</v>
      </c>
      <c r="G2409">
        <v>122147696</v>
      </c>
      <c r="H2409">
        <v>122147722</v>
      </c>
      <c r="I2409">
        <v>122147728</v>
      </c>
    </row>
    <row r="2410" spans="1:9" x14ac:dyDescent="0.2">
      <c r="A2410" t="str">
        <f>"B3galnt1"</f>
        <v>B3galnt1</v>
      </c>
      <c r="B2410" t="s">
        <v>14</v>
      </c>
      <c r="C2410" t="s">
        <v>22</v>
      </c>
      <c r="D2410" t="s">
        <v>11</v>
      </c>
      <c r="E2410" t="s">
        <v>12</v>
      </c>
      <c r="F2410">
        <v>69598822</v>
      </c>
      <c r="G2410">
        <v>69598874</v>
      </c>
      <c r="H2410">
        <v>69598876</v>
      </c>
      <c r="I2410">
        <v>69598929</v>
      </c>
    </row>
    <row r="2411" spans="1:9" x14ac:dyDescent="0.2">
      <c r="A2411" t="str">
        <f>"B3galnt2"</f>
        <v>B3galnt2</v>
      </c>
      <c r="B2411" t="s">
        <v>14</v>
      </c>
      <c r="C2411" t="s">
        <v>39</v>
      </c>
      <c r="D2411" t="s">
        <v>17</v>
      </c>
      <c r="E2411" t="s">
        <v>12</v>
      </c>
      <c r="F2411">
        <v>13954614</v>
      </c>
      <c r="G2411">
        <v>13954691</v>
      </c>
      <c r="H2411">
        <v>13954539</v>
      </c>
      <c r="I2411">
        <v>13954555</v>
      </c>
    </row>
    <row r="2412" spans="1:9" x14ac:dyDescent="0.2">
      <c r="A2412" t="str">
        <f>"B3galt1"</f>
        <v>B3galt1</v>
      </c>
      <c r="B2412" t="s">
        <v>2187</v>
      </c>
      <c r="C2412" t="s">
        <v>26</v>
      </c>
      <c r="D2412" t="s">
        <v>17</v>
      </c>
      <c r="E2412" t="s">
        <v>20</v>
      </c>
      <c r="F2412">
        <v>68104670</v>
      </c>
      <c r="G2412">
        <v>68104670</v>
      </c>
      <c r="H2412">
        <v>68104670</v>
      </c>
      <c r="I2412">
        <v>68104670</v>
      </c>
    </row>
    <row r="2413" spans="1:9" x14ac:dyDescent="0.2">
      <c r="A2413" t="str">
        <f>"B3galt1"</f>
        <v>B3galt1</v>
      </c>
      <c r="B2413" t="s">
        <v>2188</v>
      </c>
      <c r="C2413" t="s">
        <v>26</v>
      </c>
      <c r="D2413" t="s">
        <v>17</v>
      </c>
      <c r="E2413" t="s">
        <v>20</v>
      </c>
      <c r="F2413">
        <v>68117712</v>
      </c>
      <c r="G2413">
        <v>68117712</v>
      </c>
      <c r="H2413">
        <v>68117712</v>
      </c>
      <c r="I2413">
        <v>68117712</v>
      </c>
    </row>
    <row r="2414" spans="1:9" x14ac:dyDescent="0.2">
      <c r="A2414" t="str">
        <f>"B3galt2"</f>
        <v>B3galt2</v>
      </c>
      <c r="B2414" t="s">
        <v>14</v>
      </c>
      <c r="C2414" t="s">
        <v>19</v>
      </c>
      <c r="D2414" t="s">
        <v>17</v>
      </c>
      <c r="E2414" t="s">
        <v>12</v>
      </c>
      <c r="F2414">
        <v>143640704</v>
      </c>
      <c r="G2414">
        <v>143640751</v>
      </c>
      <c r="H2414">
        <v>143640704</v>
      </c>
      <c r="I2414">
        <v>143640751</v>
      </c>
    </row>
    <row r="2415" spans="1:9" x14ac:dyDescent="0.2">
      <c r="A2415" t="str">
        <f>"B3galt4"</f>
        <v>B3galt4</v>
      </c>
      <c r="B2415" t="s">
        <v>14</v>
      </c>
      <c r="C2415" t="s">
        <v>28</v>
      </c>
      <c r="D2415" t="s">
        <v>11</v>
      </c>
      <c r="E2415" t="s">
        <v>12</v>
      </c>
      <c r="F2415">
        <v>33951438</v>
      </c>
      <c r="G2415">
        <v>33951493</v>
      </c>
      <c r="H2415">
        <v>33951438</v>
      </c>
      <c r="I2415">
        <v>33951493</v>
      </c>
    </row>
    <row r="2416" spans="1:9" x14ac:dyDescent="0.2">
      <c r="A2416" t="str">
        <f>"B3galt5"</f>
        <v>B3galt5</v>
      </c>
      <c r="B2416" t="s">
        <v>14</v>
      </c>
      <c r="C2416" t="s">
        <v>31</v>
      </c>
      <c r="D2416" t="s">
        <v>17</v>
      </c>
      <c r="E2416" t="s">
        <v>12</v>
      </c>
      <c r="F2416">
        <v>96281011</v>
      </c>
      <c r="G2416">
        <v>96281026</v>
      </c>
      <c r="H2416">
        <v>96280982</v>
      </c>
      <c r="I2416">
        <v>96280994</v>
      </c>
    </row>
    <row r="2417" spans="1:9" x14ac:dyDescent="0.2">
      <c r="A2417" t="str">
        <f>"B3galt6"</f>
        <v>B3galt6</v>
      </c>
      <c r="B2417" t="s">
        <v>14</v>
      </c>
      <c r="C2417" t="s">
        <v>23</v>
      </c>
      <c r="D2417" t="s">
        <v>11</v>
      </c>
      <c r="E2417" t="s">
        <v>12</v>
      </c>
      <c r="F2417">
        <v>155992604</v>
      </c>
      <c r="G2417">
        <v>155992674</v>
      </c>
      <c r="H2417">
        <v>155992604</v>
      </c>
      <c r="I2417">
        <v>155992674</v>
      </c>
    </row>
    <row r="2418" spans="1:9" x14ac:dyDescent="0.2">
      <c r="A2418" t="str">
        <f>"B3galtl"</f>
        <v>B3galtl</v>
      </c>
      <c r="B2418" t="s">
        <v>14</v>
      </c>
      <c r="C2418" t="s">
        <v>46</v>
      </c>
      <c r="D2418" t="s">
        <v>17</v>
      </c>
      <c r="E2418" t="s">
        <v>12</v>
      </c>
      <c r="F2418">
        <v>149678246</v>
      </c>
      <c r="G2418">
        <v>149678304</v>
      </c>
      <c r="H2418">
        <v>149678224</v>
      </c>
      <c r="I2418">
        <v>149678241</v>
      </c>
    </row>
    <row r="2419" spans="1:9" x14ac:dyDescent="0.2">
      <c r="A2419" t="str">
        <f>"B3gat1"</f>
        <v>B3gat1</v>
      </c>
      <c r="B2419" t="s">
        <v>14</v>
      </c>
      <c r="C2419" t="s">
        <v>24</v>
      </c>
      <c r="D2419" t="s">
        <v>17</v>
      </c>
      <c r="E2419" t="s">
        <v>12</v>
      </c>
      <c r="F2419">
        <v>26733743</v>
      </c>
      <c r="G2419">
        <v>26733815</v>
      </c>
      <c r="H2419">
        <v>26733825</v>
      </c>
      <c r="I2419">
        <v>26733840</v>
      </c>
    </row>
    <row r="2420" spans="1:9" x14ac:dyDescent="0.2">
      <c r="A2420" t="str">
        <f>"B3gat2"</f>
        <v>B3gat2</v>
      </c>
      <c r="B2420" t="s">
        <v>14</v>
      </c>
      <c r="C2420" t="s">
        <v>19</v>
      </c>
      <c r="D2420" t="s">
        <v>17</v>
      </c>
      <c r="E2420" t="s">
        <v>12</v>
      </c>
      <c r="F2420">
        <v>23762003</v>
      </c>
      <c r="G2420">
        <v>23762018</v>
      </c>
      <c r="H2420">
        <v>23761976</v>
      </c>
      <c r="I2420">
        <v>23761999</v>
      </c>
    </row>
    <row r="2421" spans="1:9" x14ac:dyDescent="0.2">
      <c r="A2421" t="str">
        <f>"B3gat3"</f>
        <v>B3gat3</v>
      </c>
      <c r="B2421" t="s">
        <v>14</v>
      </c>
      <c r="C2421" t="s">
        <v>10</v>
      </c>
      <c r="D2421" t="s">
        <v>17</v>
      </c>
      <c r="E2421" t="s">
        <v>12</v>
      </c>
      <c r="F2421">
        <v>8920358</v>
      </c>
      <c r="G2421">
        <v>8920426</v>
      </c>
      <c r="H2421">
        <v>8920496</v>
      </c>
      <c r="I2421">
        <v>8920575</v>
      </c>
    </row>
    <row r="2422" spans="1:9" x14ac:dyDescent="0.2">
      <c r="A2422" t="str">
        <f>"B3gnt1"</f>
        <v>B3gnt1</v>
      </c>
      <c r="B2422" t="s">
        <v>14</v>
      </c>
      <c r="C2422" t="s">
        <v>10</v>
      </c>
      <c r="D2422" t="s">
        <v>17</v>
      </c>
      <c r="E2422" t="s">
        <v>12</v>
      </c>
      <c r="F2422">
        <v>5038847</v>
      </c>
      <c r="G2422">
        <v>5038938</v>
      </c>
      <c r="H2422">
        <v>5039187</v>
      </c>
      <c r="I2422">
        <v>5039195</v>
      </c>
    </row>
    <row r="2423" spans="1:9" x14ac:dyDescent="0.2">
      <c r="A2423" t="str">
        <f>"B3gnt2"</f>
        <v>B3gnt2</v>
      </c>
      <c r="B2423" t="s">
        <v>14</v>
      </c>
      <c r="C2423" t="s">
        <v>27</v>
      </c>
      <c r="D2423" t="s">
        <v>11</v>
      </c>
      <c r="E2423" t="s">
        <v>12</v>
      </c>
      <c r="F2423">
        <v>22859684</v>
      </c>
      <c r="G2423">
        <v>22859713</v>
      </c>
      <c r="H2423">
        <v>22859662</v>
      </c>
      <c r="I2423">
        <v>22859680</v>
      </c>
    </row>
    <row r="2424" spans="1:9" x14ac:dyDescent="0.2">
      <c r="A2424" t="str">
        <f>"B3gnt3"</f>
        <v>B3gnt3</v>
      </c>
      <c r="B2424" t="s">
        <v>14</v>
      </c>
      <c r="C2424" t="s">
        <v>30</v>
      </c>
      <c r="D2424" t="s">
        <v>11</v>
      </c>
      <c r="E2424" t="s">
        <v>12</v>
      </c>
      <c r="F2424">
        <v>71701796</v>
      </c>
      <c r="G2424">
        <v>71701841</v>
      </c>
      <c r="H2424">
        <v>71701762</v>
      </c>
      <c r="I2424">
        <v>71701784</v>
      </c>
    </row>
    <row r="2425" spans="1:9" x14ac:dyDescent="0.2">
      <c r="A2425" t="str">
        <f>"B3gnt4"</f>
        <v>B3gnt4</v>
      </c>
      <c r="B2425" t="s">
        <v>2189</v>
      </c>
      <c r="C2425" t="s">
        <v>46</v>
      </c>
      <c r="D2425" t="s">
        <v>17</v>
      </c>
      <c r="E2425" t="s">
        <v>20</v>
      </c>
      <c r="F2425">
        <v>123510459</v>
      </c>
      <c r="G2425">
        <v>123510459</v>
      </c>
      <c r="H2425">
        <v>123510459</v>
      </c>
      <c r="I2425">
        <v>123510459</v>
      </c>
    </row>
    <row r="2426" spans="1:9" x14ac:dyDescent="0.2">
      <c r="A2426" t="str">
        <f>"B3gnt5"</f>
        <v>B3gnt5</v>
      </c>
      <c r="B2426" t="s">
        <v>14</v>
      </c>
      <c r="C2426" t="s">
        <v>31</v>
      </c>
      <c r="D2426" t="s">
        <v>17</v>
      </c>
      <c r="E2426" t="s">
        <v>12</v>
      </c>
      <c r="F2426">
        <v>19760263</v>
      </c>
      <c r="G2426">
        <v>19760331</v>
      </c>
      <c r="H2426">
        <v>19760336</v>
      </c>
      <c r="I2426">
        <v>19760394</v>
      </c>
    </row>
    <row r="2427" spans="1:9" x14ac:dyDescent="0.2">
      <c r="A2427" t="str">
        <f>"B3gnt6"</f>
        <v>B3gnt6</v>
      </c>
      <c r="B2427" t="s">
        <v>14</v>
      </c>
      <c r="C2427" t="s">
        <v>33</v>
      </c>
      <c r="D2427" t="s">
        <v>11</v>
      </c>
      <c r="E2427" t="s">
        <v>12</v>
      </c>
      <c r="F2427">
        <v>98199505</v>
      </c>
      <c r="G2427">
        <v>98199521</v>
      </c>
      <c r="H2427">
        <v>98199496</v>
      </c>
      <c r="I2427">
        <v>98199501</v>
      </c>
    </row>
    <row r="2428" spans="1:9" x14ac:dyDescent="0.2">
      <c r="A2428" t="str">
        <f>"B3gnt7"</f>
        <v>B3gnt7</v>
      </c>
      <c r="B2428" t="s">
        <v>14</v>
      </c>
      <c r="C2428" t="s">
        <v>19</v>
      </c>
      <c r="D2428" t="s">
        <v>17</v>
      </c>
      <c r="E2428" t="s">
        <v>12</v>
      </c>
      <c r="F2428">
        <v>86303453</v>
      </c>
      <c r="G2428">
        <v>86303482</v>
      </c>
      <c r="H2428">
        <v>86303489</v>
      </c>
      <c r="I2428">
        <v>86303503</v>
      </c>
    </row>
    <row r="2429" spans="1:9" x14ac:dyDescent="0.2">
      <c r="A2429" t="str">
        <f>"B3gnt8"</f>
        <v>B3gnt8</v>
      </c>
      <c r="B2429" t="s">
        <v>14</v>
      </c>
      <c r="C2429" t="s">
        <v>33</v>
      </c>
      <c r="D2429" t="s">
        <v>17</v>
      </c>
      <c r="E2429" t="s">
        <v>12</v>
      </c>
      <c r="F2429">
        <v>25627604</v>
      </c>
      <c r="G2429">
        <v>25627652</v>
      </c>
      <c r="H2429">
        <v>25627604</v>
      </c>
      <c r="I2429">
        <v>25627652</v>
      </c>
    </row>
    <row r="2430" spans="1:9" x14ac:dyDescent="0.2">
      <c r="A2430" t="str">
        <f>"B3gnt9"</f>
        <v>B3gnt9</v>
      </c>
      <c r="B2430" t="s">
        <v>14</v>
      </c>
      <c r="C2430" t="s">
        <v>30</v>
      </c>
      <c r="D2430" t="s">
        <v>11</v>
      </c>
      <c r="E2430" t="s">
        <v>67</v>
      </c>
      <c r="F2430">
        <v>105255100</v>
      </c>
      <c r="G2430">
        <v>105255157</v>
      </c>
      <c r="H2430">
        <v>105255100</v>
      </c>
      <c r="I2430">
        <v>105255157</v>
      </c>
    </row>
    <row r="2431" spans="1:9" x14ac:dyDescent="0.2">
      <c r="A2431" t="str">
        <f>"B3gntl1"</f>
        <v>B3gntl1</v>
      </c>
      <c r="B2431" t="s">
        <v>14</v>
      </c>
      <c r="C2431" t="s">
        <v>27</v>
      </c>
      <c r="D2431" t="s">
        <v>11</v>
      </c>
      <c r="E2431" t="s">
        <v>12</v>
      </c>
      <c r="F2431">
        <v>121673103</v>
      </c>
      <c r="G2431">
        <v>121673146</v>
      </c>
      <c r="H2431">
        <v>121673069</v>
      </c>
      <c r="I2431">
        <v>121673102</v>
      </c>
    </row>
    <row r="2432" spans="1:9" x14ac:dyDescent="0.2">
      <c r="A2432" t="str">
        <f>"B430202K04Rik"</f>
        <v>B430202K04Rik</v>
      </c>
      <c r="B2432" t="s">
        <v>2190</v>
      </c>
      <c r="C2432" t="s">
        <v>27</v>
      </c>
      <c r="D2432" t="s">
        <v>17</v>
      </c>
      <c r="E2432" t="s">
        <v>20</v>
      </c>
      <c r="F2432">
        <v>65162131</v>
      </c>
      <c r="G2432">
        <v>65162131</v>
      </c>
      <c r="H2432">
        <v>65162131</v>
      </c>
      <c r="I2432">
        <v>65162131</v>
      </c>
    </row>
    <row r="2433" spans="1:9" x14ac:dyDescent="0.2">
      <c r="A2433" t="str">
        <f>"B430203G13Rik"</f>
        <v>B430203G13Rik</v>
      </c>
      <c r="B2433" t="s">
        <v>2191</v>
      </c>
      <c r="C2433" t="s">
        <v>16</v>
      </c>
      <c r="D2433" t="s">
        <v>17</v>
      </c>
      <c r="E2433" t="s">
        <v>20</v>
      </c>
      <c r="F2433">
        <v>17924293</v>
      </c>
      <c r="G2433">
        <v>17924293</v>
      </c>
      <c r="H2433">
        <v>17924293</v>
      </c>
      <c r="I2433">
        <v>17924293</v>
      </c>
    </row>
    <row r="2434" spans="1:9" x14ac:dyDescent="0.2">
      <c r="A2434" t="str">
        <f>"B430218F22Rik"</f>
        <v>B430218F22Rik</v>
      </c>
      <c r="B2434" t="s">
        <v>2192</v>
      </c>
      <c r="C2434" t="s">
        <v>39</v>
      </c>
      <c r="D2434" t="s">
        <v>17</v>
      </c>
      <c r="E2434" t="s">
        <v>20</v>
      </c>
      <c r="F2434">
        <v>118386629</v>
      </c>
      <c r="G2434">
        <v>118386629</v>
      </c>
      <c r="H2434">
        <v>118386629</v>
      </c>
      <c r="I2434">
        <v>118386629</v>
      </c>
    </row>
    <row r="2435" spans="1:9" x14ac:dyDescent="0.2">
      <c r="A2435" t="str">
        <f>"B430305J03Rik"</f>
        <v>B430305J03Rik</v>
      </c>
      <c r="B2435" t="s">
        <v>14</v>
      </c>
      <c r="C2435" t="s">
        <v>22</v>
      </c>
      <c r="D2435" t="s">
        <v>11</v>
      </c>
      <c r="E2435" t="s">
        <v>67</v>
      </c>
      <c r="F2435">
        <v>61365990</v>
      </c>
      <c r="G2435">
        <v>61366013</v>
      </c>
      <c r="H2435">
        <v>61365942</v>
      </c>
      <c r="I2435">
        <v>61365951</v>
      </c>
    </row>
    <row r="2436" spans="1:9" x14ac:dyDescent="0.2">
      <c r="A2436" t="str">
        <f>"B430306N03Rik"</f>
        <v>B430306N03Rik</v>
      </c>
      <c r="B2436" t="s">
        <v>14</v>
      </c>
      <c r="C2436" t="s">
        <v>28</v>
      </c>
      <c r="D2436" t="s">
        <v>17</v>
      </c>
      <c r="E2436" t="s">
        <v>12</v>
      </c>
      <c r="F2436">
        <v>48316193</v>
      </c>
      <c r="G2436">
        <v>48316204</v>
      </c>
      <c r="H2436">
        <v>48316217</v>
      </c>
      <c r="I2436">
        <v>48316229</v>
      </c>
    </row>
    <row r="2437" spans="1:9" x14ac:dyDescent="0.2">
      <c r="A2437" t="str">
        <f>"B430319F04Rik"</f>
        <v>B430319F04Rik</v>
      </c>
      <c r="B2437" t="s">
        <v>14</v>
      </c>
      <c r="C2437" t="s">
        <v>33</v>
      </c>
      <c r="D2437" t="s">
        <v>11</v>
      </c>
      <c r="E2437" t="s">
        <v>67</v>
      </c>
      <c r="F2437">
        <v>110769339</v>
      </c>
      <c r="G2437">
        <v>110769351</v>
      </c>
      <c r="H2437">
        <v>110769339</v>
      </c>
      <c r="I2437">
        <v>110769351</v>
      </c>
    </row>
    <row r="2438" spans="1:9" x14ac:dyDescent="0.2">
      <c r="A2438" t="str">
        <f>"B4galnt1"</f>
        <v>B4galnt1</v>
      </c>
      <c r="B2438" t="s">
        <v>14</v>
      </c>
      <c r="C2438" t="s">
        <v>15</v>
      </c>
      <c r="D2438" t="s">
        <v>17</v>
      </c>
      <c r="E2438" t="s">
        <v>12</v>
      </c>
      <c r="F2438">
        <v>127165118</v>
      </c>
      <c r="G2438">
        <v>127165225</v>
      </c>
      <c r="H2438">
        <v>127165825</v>
      </c>
      <c r="I2438">
        <v>127165900</v>
      </c>
    </row>
    <row r="2439" spans="1:9" x14ac:dyDescent="0.2">
      <c r="A2439" t="str">
        <f>"B4galnt2"</f>
        <v>B4galnt2</v>
      </c>
      <c r="B2439" t="s">
        <v>14</v>
      </c>
      <c r="C2439" t="s">
        <v>27</v>
      </c>
      <c r="D2439" t="s">
        <v>11</v>
      </c>
      <c r="E2439" t="s">
        <v>12</v>
      </c>
      <c r="F2439">
        <v>95914854</v>
      </c>
      <c r="G2439">
        <v>95914881</v>
      </c>
      <c r="H2439">
        <v>95914884</v>
      </c>
      <c r="I2439">
        <v>95914901</v>
      </c>
    </row>
    <row r="2440" spans="1:9" x14ac:dyDescent="0.2">
      <c r="A2440" t="str">
        <f>"B4galnt3"</f>
        <v>B4galnt3</v>
      </c>
      <c r="B2440" t="s">
        <v>14</v>
      </c>
      <c r="C2440" t="s">
        <v>32</v>
      </c>
      <c r="D2440" t="s">
        <v>11</v>
      </c>
      <c r="E2440" t="s">
        <v>12</v>
      </c>
      <c r="F2440">
        <v>120294888</v>
      </c>
      <c r="G2440">
        <v>120294904</v>
      </c>
      <c r="H2440">
        <v>120294888</v>
      </c>
      <c r="I2440">
        <v>120294904</v>
      </c>
    </row>
    <row r="2441" spans="1:9" x14ac:dyDescent="0.2">
      <c r="A2441" t="str">
        <f>"B4galnt4"</f>
        <v>B4galnt4</v>
      </c>
      <c r="B2441" t="s">
        <v>14</v>
      </c>
      <c r="C2441" t="s">
        <v>33</v>
      </c>
      <c r="D2441" t="s">
        <v>17</v>
      </c>
      <c r="E2441" t="s">
        <v>12</v>
      </c>
      <c r="F2441">
        <v>141060962</v>
      </c>
      <c r="G2441">
        <v>141061046</v>
      </c>
      <c r="H2441">
        <v>141061097</v>
      </c>
      <c r="I2441">
        <v>141061109</v>
      </c>
    </row>
    <row r="2442" spans="1:9" x14ac:dyDescent="0.2">
      <c r="A2442" t="str">
        <f>"B4galt1"</f>
        <v>B4galt1</v>
      </c>
      <c r="B2442" t="s">
        <v>14</v>
      </c>
      <c r="C2442" t="s">
        <v>23</v>
      </c>
      <c r="D2442" t="s">
        <v>11</v>
      </c>
      <c r="E2442" t="s">
        <v>12</v>
      </c>
      <c r="F2442">
        <v>40853950</v>
      </c>
      <c r="G2442">
        <v>40854021</v>
      </c>
      <c r="H2442">
        <v>40853892</v>
      </c>
      <c r="I2442">
        <v>40853906</v>
      </c>
    </row>
    <row r="2443" spans="1:9" x14ac:dyDescent="0.2">
      <c r="A2443" t="str">
        <f>"B4galt2"</f>
        <v>B4galt2</v>
      </c>
      <c r="B2443" t="s">
        <v>14</v>
      </c>
      <c r="C2443" t="s">
        <v>23</v>
      </c>
      <c r="D2443" t="s">
        <v>11</v>
      </c>
      <c r="E2443" t="s">
        <v>12</v>
      </c>
      <c r="F2443">
        <v>117883428</v>
      </c>
      <c r="G2443">
        <v>117883507</v>
      </c>
      <c r="H2443">
        <v>117883369</v>
      </c>
      <c r="I2443">
        <v>117883384</v>
      </c>
    </row>
    <row r="2444" spans="1:9" x14ac:dyDescent="0.2">
      <c r="A2444" t="str">
        <f>"B4galt3"</f>
        <v>B4galt3</v>
      </c>
      <c r="B2444" t="s">
        <v>14</v>
      </c>
      <c r="C2444" t="s">
        <v>19</v>
      </c>
      <c r="D2444" t="s">
        <v>17</v>
      </c>
      <c r="E2444" t="s">
        <v>12</v>
      </c>
      <c r="F2444">
        <v>171270321</v>
      </c>
      <c r="G2444">
        <v>171270360</v>
      </c>
      <c r="H2444">
        <v>171270321</v>
      </c>
      <c r="I2444">
        <v>171270360</v>
      </c>
    </row>
    <row r="2445" spans="1:9" x14ac:dyDescent="0.2">
      <c r="A2445" t="str">
        <f>"B4galt4"</f>
        <v>B4galt4</v>
      </c>
      <c r="B2445" t="s">
        <v>14</v>
      </c>
      <c r="C2445" t="s">
        <v>31</v>
      </c>
      <c r="D2445" t="s">
        <v>17</v>
      </c>
      <c r="E2445" t="s">
        <v>12</v>
      </c>
      <c r="F2445">
        <v>38742254</v>
      </c>
      <c r="G2445">
        <v>38742279</v>
      </c>
      <c r="H2445">
        <v>38742280</v>
      </c>
      <c r="I2445">
        <v>38742307</v>
      </c>
    </row>
    <row r="2446" spans="1:9" x14ac:dyDescent="0.2">
      <c r="A2446" t="str">
        <f>"B4galt5"</f>
        <v>B4galt5</v>
      </c>
      <c r="B2446" t="s">
        <v>14</v>
      </c>
      <c r="C2446" t="s">
        <v>26</v>
      </c>
      <c r="D2446" t="s">
        <v>11</v>
      </c>
      <c r="E2446" t="s">
        <v>12</v>
      </c>
      <c r="F2446">
        <v>167349167</v>
      </c>
      <c r="G2446">
        <v>167349249</v>
      </c>
      <c r="H2446">
        <v>167349142</v>
      </c>
      <c r="I2446">
        <v>167349157</v>
      </c>
    </row>
    <row r="2447" spans="1:9" x14ac:dyDescent="0.2">
      <c r="A2447" t="str">
        <f>"B4galt6"</f>
        <v>B4galt6</v>
      </c>
      <c r="B2447" t="s">
        <v>14</v>
      </c>
      <c r="C2447" t="s">
        <v>43</v>
      </c>
      <c r="D2447" t="s">
        <v>11</v>
      </c>
      <c r="E2447" t="s">
        <v>12</v>
      </c>
      <c r="F2447">
        <v>20746334</v>
      </c>
      <c r="G2447">
        <v>20746394</v>
      </c>
      <c r="H2447">
        <v>20746267</v>
      </c>
      <c r="I2447">
        <v>20746333</v>
      </c>
    </row>
    <row r="2448" spans="1:9" x14ac:dyDescent="0.2">
      <c r="A2448" t="str">
        <f>"B4galt7"</f>
        <v>B4galt7</v>
      </c>
      <c r="B2448" t="s">
        <v>14</v>
      </c>
      <c r="C2448" t="s">
        <v>39</v>
      </c>
      <c r="D2448" t="s">
        <v>17</v>
      </c>
      <c r="E2448" t="s">
        <v>12</v>
      </c>
      <c r="F2448">
        <v>55600055</v>
      </c>
      <c r="G2448">
        <v>55600135</v>
      </c>
      <c r="H2448">
        <v>55600055</v>
      </c>
      <c r="I2448">
        <v>55600135</v>
      </c>
    </row>
    <row r="2449" spans="1:9" x14ac:dyDescent="0.2">
      <c r="A2449" t="str">
        <f>"B530045E10Rik"</f>
        <v>B530045E10Rik</v>
      </c>
      <c r="B2449" t="s">
        <v>2193</v>
      </c>
      <c r="C2449" t="s">
        <v>15</v>
      </c>
      <c r="D2449" t="s">
        <v>17</v>
      </c>
      <c r="E2449" t="s">
        <v>20</v>
      </c>
      <c r="F2449">
        <v>99420521</v>
      </c>
      <c r="G2449">
        <v>99420521</v>
      </c>
      <c r="H2449">
        <v>99420521</v>
      </c>
      <c r="I2449">
        <v>99420521</v>
      </c>
    </row>
    <row r="2450" spans="1:9" x14ac:dyDescent="0.2">
      <c r="A2450" t="str">
        <f>"B630005N14Rik"</f>
        <v>B630005N14Rik</v>
      </c>
      <c r="B2450" t="s">
        <v>14</v>
      </c>
      <c r="C2450" t="s">
        <v>32</v>
      </c>
      <c r="D2450" t="s">
        <v>11</v>
      </c>
      <c r="E2450" t="s">
        <v>12</v>
      </c>
      <c r="F2450">
        <v>13677930</v>
      </c>
      <c r="G2450">
        <v>13677974</v>
      </c>
      <c r="H2450">
        <v>13677907</v>
      </c>
      <c r="I2450">
        <v>13677923</v>
      </c>
    </row>
    <row r="2451" spans="1:9" x14ac:dyDescent="0.2">
      <c r="A2451" t="str">
        <f>"B630019K06Rik"</f>
        <v>B630019K06Rik</v>
      </c>
      <c r="B2451" t="s">
        <v>14</v>
      </c>
      <c r="C2451" t="s">
        <v>37</v>
      </c>
      <c r="D2451" t="s">
        <v>17</v>
      </c>
      <c r="E2451" t="s">
        <v>12</v>
      </c>
      <c r="F2451">
        <v>8892376</v>
      </c>
      <c r="G2451">
        <v>8892423</v>
      </c>
      <c r="H2451">
        <v>8892354</v>
      </c>
      <c r="I2451">
        <v>8892372</v>
      </c>
    </row>
    <row r="2452" spans="1:9" x14ac:dyDescent="0.2">
      <c r="A2452" t="str">
        <f>"B930078G14Rik"</f>
        <v>B930078G14Rik</v>
      </c>
      <c r="B2452" t="s">
        <v>2194</v>
      </c>
      <c r="C2452" t="s">
        <v>30</v>
      </c>
      <c r="D2452" t="s">
        <v>17</v>
      </c>
      <c r="E2452" t="s">
        <v>20</v>
      </c>
      <c r="F2452">
        <v>8689665</v>
      </c>
      <c r="G2452">
        <v>8689665</v>
      </c>
      <c r="H2452">
        <v>8689665</v>
      </c>
      <c r="I2452">
        <v>8689665</v>
      </c>
    </row>
    <row r="2453" spans="1:9" x14ac:dyDescent="0.2">
      <c r="A2453" t="str">
        <f>"B930094E09Rik"</f>
        <v>B930094E09Rik</v>
      </c>
      <c r="B2453" t="s">
        <v>14</v>
      </c>
      <c r="C2453" t="s">
        <v>43</v>
      </c>
      <c r="D2453" t="s">
        <v>17</v>
      </c>
      <c r="E2453" t="s">
        <v>67</v>
      </c>
      <c r="F2453">
        <v>31609471</v>
      </c>
      <c r="G2453">
        <v>31609495</v>
      </c>
      <c r="H2453">
        <v>31609507</v>
      </c>
      <c r="I2453">
        <v>31609516</v>
      </c>
    </row>
    <row r="2454" spans="1:9" x14ac:dyDescent="0.2">
      <c r="A2454" t="str">
        <f>"B9d1"</f>
        <v>B9d1</v>
      </c>
      <c r="B2454" t="s">
        <v>14</v>
      </c>
      <c r="C2454" t="s">
        <v>27</v>
      </c>
      <c r="D2454" t="s">
        <v>17</v>
      </c>
      <c r="E2454" t="s">
        <v>12</v>
      </c>
      <c r="F2454">
        <v>61505138</v>
      </c>
      <c r="G2454">
        <v>61505210</v>
      </c>
      <c r="H2454">
        <v>61504927</v>
      </c>
      <c r="I2454">
        <v>61504928</v>
      </c>
    </row>
    <row r="2455" spans="1:9" x14ac:dyDescent="0.2">
      <c r="A2455" t="str">
        <f>"B9d2"</f>
        <v>B9d2</v>
      </c>
      <c r="B2455" t="s">
        <v>14</v>
      </c>
      <c r="C2455" t="s">
        <v>33</v>
      </c>
      <c r="D2455" t="s">
        <v>17</v>
      </c>
      <c r="E2455" t="s">
        <v>12</v>
      </c>
      <c r="F2455">
        <v>25680780</v>
      </c>
      <c r="G2455">
        <v>25680834</v>
      </c>
      <c r="H2455">
        <v>25680842</v>
      </c>
      <c r="I2455">
        <v>25680861</v>
      </c>
    </row>
    <row r="2456" spans="1:9" x14ac:dyDescent="0.2">
      <c r="A2456" t="str">
        <f>"BB014433"</f>
        <v>BB014433</v>
      </c>
      <c r="B2456" t="s">
        <v>14</v>
      </c>
      <c r="C2456" t="s">
        <v>30</v>
      </c>
      <c r="D2456" t="s">
        <v>11</v>
      </c>
      <c r="E2456" t="s">
        <v>12</v>
      </c>
      <c r="F2456">
        <v>15046047</v>
      </c>
      <c r="G2456">
        <v>15046091</v>
      </c>
      <c r="H2456">
        <v>15046047</v>
      </c>
      <c r="I2456">
        <v>15046091</v>
      </c>
    </row>
    <row r="2457" spans="1:9" x14ac:dyDescent="0.2">
      <c r="A2457" t="str">
        <f>"BB019430"</f>
        <v>BB019430</v>
      </c>
      <c r="B2457" t="s">
        <v>14</v>
      </c>
      <c r="C2457" t="s">
        <v>15</v>
      </c>
      <c r="D2457" t="s">
        <v>17</v>
      </c>
      <c r="E2457" t="s">
        <v>12</v>
      </c>
      <c r="F2457">
        <v>58696725</v>
      </c>
      <c r="G2457">
        <v>58696754</v>
      </c>
      <c r="H2457">
        <v>58696725</v>
      </c>
      <c r="I2457">
        <v>58696754</v>
      </c>
    </row>
    <row r="2458" spans="1:9" x14ac:dyDescent="0.2">
      <c r="A2458" t="str">
        <f>"BB287469"</f>
        <v>BB287469</v>
      </c>
      <c r="B2458" t="s">
        <v>2195</v>
      </c>
      <c r="C2458" t="s">
        <v>16</v>
      </c>
      <c r="D2458" t="s">
        <v>17</v>
      </c>
      <c r="E2458" t="s">
        <v>20</v>
      </c>
      <c r="F2458">
        <v>87816576</v>
      </c>
      <c r="G2458">
        <v>87816576</v>
      </c>
      <c r="H2458">
        <v>87816576</v>
      </c>
      <c r="I2458">
        <v>87816576</v>
      </c>
    </row>
    <row r="2459" spans="1:9" x14ac:dyDescent="0.2">
      <c r="A2459" t="str">
        <f>"BC001981"</f>
        <v>BC001981</v>
      </c>
      <c r="B2459" t="s">
        <v>2196</v>
      </c>
      <c r="C2459" t="s">
        <v>39</v>
      </c>
      <c r="D2459" t="s">
        <v>11</v>
      </c>
      <c r="E2459" t="s">
        <v>35</v>
      </c>
      <c r="F2459">
        <v>100108178</v>
      </c>
      <c r="G2459">
        <v>100108183</v>
      </c>
      <c r="H2459">
        <v>100108178</v>
      </c>
      <c r="I2459">
        <v>100108183</v>
      </c>
    </row>
    <row r="2460" spans="1:9" x14ac:dyDescent="0.2">
      <c r="A2460" t="str">
        <f>"BC002059"</f>
        <v>BC002059</v>
      </c>
      <c r="B2460" t="s">
        <v>2197</v>
      </c>
      <c r="C2460" t="s">
        <v>28</v>
      </c>
      <c r="D2460" t="s">
        <v>17</v>
      </c>
      <c r="E2460" t="s">
        <v>20</v>
      </c>
      <c r="F2460">
        <v>16972909</v>
      </c>
      <c r="G2460">
        <v>16972909</v>
      </c>
      <c r="H2460">
        <v>16972909</v>
      </c>
      <c r="I2460">
        <v>16972909</v>
      </c>
    </row>
    <row r="2461" spans="1:9" x14ac:dyDescent="0.2">
      <c r="A2461" t="str">
        <f>"BC003331"</f>
        <v>BC003331</v>
      </c>
      <c r="B2461" t="s">
        <v>14</v>
      </c>
      <c r="C2461" t="s">
        <v>19</v>
      </c>
      <c r="D2461" t="s">
        <v>11</v>
      </c>
      <c r="E2461" t="s">
        <v>12</v>
      </c>
      <c r="F2461">
        <v>150392721</v>
      </c>
      <c r="G2461">
        <v>150392757</v>
      </c>
      <c r="H2461">
        <v>150393024</v>
      </c>
      <c r="I2461">
        <v>150393079</v>
      </c>
    </row>
    <row r="2462" spans="1:9" x14ac:dyDescent="0.2">
      <c r="A2462" t="str">
        <f>"BC003965"</f>
        <v>BC003965</v>
      </c>
      <c r="B2462" t="s">
        <v>14</v>
      </c>
      <c r="C2462" t="s">
        <v>28</v>
      </c>
      <c r="D2462" t="s">
        <v>17</v>
      </c>
      <c r="E2462" t="s">
        <v>12</v>
      </c>
      <c r="F2462">
        <v>25184564</v>
      </c>
      <c r="G2462">
        <v>25184602</v>
      </c>
      <c r="H2462">
        <v>25184560</v>
      </c>
      <c r="I2462">
        <v>25184561</v>
      </c>
    </row>
    <row r="2463" spans="1:9" x14ac:dyDescent="0.2">
      <c r="A2463" t="str">
        <f>"BC004004"</f>
        <v>BC004004</v>
      </c>
      <c r="B2463" t="s">
        <v>14</v>
      </c>
      <c r="C2463" t="s">
        <v>28</v>
      </c>
      <c r="D2463" t="s">
        <v>17</v>
      </c>
      <c r="E2463" t="s">
        <v>12</v>
      </c>
      <c r="F2463">
        <v>29268908</v>
      </c>
      <c r="G2463">
        <v>29268974</v>
      </c>
      <c r="H2463">
        <v>29268818</v>
      </c>
      <c r="I2463">
        <v>29268829</v>
      </c>
    </row>
    <row r="2464" spans="1:9" x14ac:dyDescent="0.2">
      <c r="A2464" t="str">
        <f>"BC005537"</f>
        <v>BC005537</v>
      </c>
      <c r="B2464" t="s">
        <v>14</v>
      </c>
      <c r="C2464" t="s">
        <v>39</v>
      </c>
      <c r="D2464" t="s">
        <v>17</v>
      </c>
      <c r="E2464" t="s">
        <v>12</v>
      </c>
      <c r="F2464">
        <v>24801194</v>
      </c>
      <c r="G2464">
        <v>24801213</v>
      </c>
      <c r="H2464">
        <v>24801194</v>
      </c>
      <c r="I2464">
        <v>24801213</v>
      </c>
    </row>
    <row r="2465" spans="1:9" x14ac:dyDescent="0.2">
      <c r="A2465" t="str">
        <f>"BC005561"</f>
        <v>BC005561</v>
      </c>
      <c r="B2465" t="s">
        <v>14</v>
      </c>
      <c r="C2465" t="s">
        <v>46</v>
      </c>
      <c r="D2465" t="s">
        <v>17</v>
      </c>
      <c r="E2465" t="s">
        <v>12</v>
      </c>
      <c r="F2465">
        <v>104508338</v>
      </c>
      <c r="G2465">
        <v>104508392</v>
      </c>
      <c r="H2465">
        <v>104508398</v>
      </c>
      <c r="I2465">
        <v>104508410</v>
      </c>
    </row>
    <row r="2466" spans="1:9" x14ac:dyDescent="0.2">
      <c r="A2466" t="str">
        <f>"BC005624"</f>
        <v>BC005624</v>
      </c>
      <c r="B2466" t="s">
        <v>14</v>
      </c>
      <c r="C2466" t="s">
        <v>26</v>
      </c>
      <c r="D2466" t="s">
        <v>11</v>
      </c>
      <c r="E2466" t="s">
        <v>12</v>
      </c>
      <c r="F2466">
        <v>30981857</v>
      </c>
      <c r="G2466">
        <v>30981947</v>
      </c>
      <c r="H2466">
        <v>30982182</v>
      </c>
      <c r="I2466">
        <v>30982224</v>
      </c>
    </row>
    <row r="2467" spans="1:9" x14ac:dyDescent="0.2">
      <c r="A2467" t="str">
        <f>"BC005764"</f>
        <v>BC005764</v>
      </c>
      <c r="B2467" t="s">
        <v>14</v>
      </c>
      <c r="C2467" t="s">
        <v>15</v>
      </c>
      <c r="D2467" t="s">
        <v>11</v>
      </c>
      <c r="E2467" t="s">
        <v>12</v>
      </c>
      <c r="F2467">
        <v>79874233</v>
      </c>
      <c r="G2467">
        <v>79874439</v>
      </c>
      <c r="H2467">
        <v>79874541</v>
      </c>
      <c r="I2467">
        <v>79874561</v>
      </c>
    </row>
    <row r="2468" spans="1:9" x14ac:dyDescent="0.2">
      <c r="A2468" t="str">
        <f>"BC007180"</f>
        <v>BC007180</v>
      </c>
      <c r="B2468" t="s">
        <v>2198</v>
      </c>
      <c r="C2468" t="s">
        <v>22</v>
      </c>
      <c r="D2468" t="s">
        <v>17</v>
      </c>
      <c r="E2468" t="s">
        <v>20</v>
      </c>
      <c r="F2468">
        <v>154762156</v>
      </c>
      <c r="G2468">
        <v>154762156</v>
      </c>
      <c r="H2468">
        <v>154762156</v>
      </c>
      <c r="I2468">
        <v>154762156</v>
      </c>
    </row>
    <row r="2469" spans="1:9" x14ac:dyDescent="0.2">
      <c r="A2469" t="str">
        <f>"BC016423"</f>
        <v>BC016423</v>
      </c>
      <c r="B2469" t="s">
        <v>14</v>
      </c>
      <c r="C2469" t="s">
        <v>39</v>
      </c>
      <c r="D2469" t="s">
        <v>11</v>
      </c>
      <c r="E2469" t="s">
        <v>12</v>
      </c>
      <c r="F2469">
        <v>3611064</v>
      </c>
      <c r="G2469">
        <v>3611118</v>
      </c>
      <c r="H2469">
        <v>3611036</v>
      </c>
      <c r="I2469">
        <v>3611062</v>
      </c>
    </row>
    <row r="2470" spans="1:9" x14ac:dyDescent="0.2">
      <c r="A2470" t="str">
        <f>"BC016579"</f>
        <v>BC016579</v>
      </c>
      <c r="B2470" t="s">
        <v>14</v>
      </c>
      <c r="C2470" t="s">
        <v>31</v>
      </c>
      <c r="D2470" t="s">
        <v>11</v>
      </c>
      <c r="E2470" t="s">
        <v>12</v>
      </c>
      <c r="F2470">
        <v>45654083</v>
      </c>
      <c r="G2470">
        <v>45654096</v>
      </c>
      <c r="H2470">
        <v>45654050</v>
      </c>
      <c r="I2470">
        <v>45654061</v>
      </c>
    </row>
    <row r="2471" spans="1:9" x14ac:dyDescent="0.2">
      <c r="A2471" t="str">
        <f>"BC017158"</f>
        <v>BC017158</v>
      </c>
      <c r="B2471" t="s">
        <v>14</v>
      </c>
      <c r="C2471" t="s">
        <v>33</v>
      </c>
      <c r="D2471" t="s">
        <v>11</v>
      </c>
      <c r="E2471" t="s">
        <v>12</v>
      </c>
      <c r="F2471">
        <v>128298081</v>
      </c>
      <c r="G2471">
        <v>128298138</v>
      </c>
      <c r="H2471">
        <v>128298081</v>
      </c>
      <c r="I2471">
        <v>128298138</v>
      </c>
    </row>
    <row r="2472" spans="1:9" x14ac:dyDescent="0.2">
      <c r="A2472" t="str">
        <f>"BC017643"</f>
        <v>BC017643</v>
      </c>
      <c r="B2472" t="s">
        <v>14</v>
      </c>
      <c r="C2472" t="s">
        <v>27</v>
      </c>
      <c r="D2472" t="s">
        <v>11</v>
      </c>
      <c r="E2472" t="s">
        <v>12</v>
      </c>
      <c r="F2472">
        <v>121229226</v>
      </c>
      <c r="G2472">
        <v>121229292</v>
      </c>
      <c r="H2472">
        <v>121229293</v>
      </c>
      <c r="I2472">
        <v>121229314</v>
      </c>
    </row>
    <row r="2473" spans="1:9" x14ac:dyDescent="0.2">
      <c r="A2473" t="str">
        <f>"BC018242"</f>
        <v>BC018242</v>
      </c>
      <c r="B2473" t="s">
        <v>14</v>
      </c>
      <c r="C2473" t="s">
        <v>24</v>
      </c>
      <c r="D2473" t="s">
        <v>17</v>
      </c>
      <c r="E2473" t="s">
        <v>12</v>
      </c>
      <c r="F2473">
        <v>21936986</v>
      </c>
      <c r="G2473">
        <v>21937070</v>
      </c>
      <c r="H2473">
        <v>21937075</v>
      </c>
      <c r="I2473">
        <v>21937098</v>
      </c>
    </row>
    <row r="2474" spans="1:9" x14ac:dyDescent="0.2">
      <c r="A2474" t="str">
        <f>"BC018507"</f>
        <v>BC018507</v>
      </c>
      <c r="B2474" t="s">
        <v>14</v>
      </c>
      <c r="C2474" t="s">
        <v>39</v>
      </c>
      <c r="D2474" t="s">
        <v>11</v>
      </c>
      <c r="E2474" t="s">
        <v>12</v>
      </c>
      <c r="F2474">
        <v>70637769</v>
      </c>
      <c r="G2474">
        <v>70637825</v>
      </c>
      <c r="H2474">
        <v>70637611</v>
      </c>
      <c r="I2474">
        <v>70637618</v>
      </c>
    </row>
    <row r="2475" spans="1:9" x14ac:dyDescent="0.2">
      <c r="A2475" t="str">
        <f>"BC021614"</f>
        <v>BC021614</v>
      </c>
      <c r="B2475" t="s">
        <v>14</v>
      </c>
      <c r="C2475" t="s">
        <v>10</v>
      </c>
      <c r="D2475" t="s">
        <v>11</v>
      </c>
      <c r="E2475" t="s">
        <v>12</v>
      </c>
      <c r="F2475">
        <v>4059449</v>
      </c>
      <c r="G2475">
        <v>4059476</v>
      </c>
      <c r="H2475">
        <v>4059449</v>
      </c>
      <c r="I2475">
        <v>4059476</v>
      </c>
    </row>
    <row r="2476" spans="1:9" x14ac:dyDescent="0.2">
      <c r="A2476" t="str">
        <f>"BC021785"</f>
        <v>BC021785</v>
      </c>
      <c r="B2476" t="s">
        <v>14</v>
      </c>
      <c r="C2476" t="s">
        <v>15</v>
      </c>
      <c r="D2476" t="s">
        <v>11</v>
      </c>
      <c r="E2476" t="s">
        <v>12</v>
      </c>
      <c r="F2476">
        <v>39986625</v>
      </c>
      <c r="G2476">
        <v>39986648</v>
      </c>
      <c r="H2476">
        <v>39986595</v>
      </c>
      <c r="I2476">
        <v>39986608</v>
      </c>
    </row>
    <row r="2477" spans="1:9" x14ac:dyDescent="0.2">
      <c r="A2477" t="str">
        <f>"BC021891"</f>
        <v>BC021891</v>
      </c>
      <c r="B2477" t="s">
        <v>14</v>
      </c>
      <c r="C2477" t="s">
        <v>30</v>
      </c>
      <c r="D2477" t="s">
        <v>17</v>
      </c>
      <c r="E2477" t="s">
        <v>12</v>
      </c>
      <c r="F2477">
        <v>125910426</v>
      </c>
      <c r="G2477">
        <v>125910469</v>
      </c>
      <c r="H2477">
        <v>125910339</v>
      </c>
      <c r="I2477">
        <v>125910350</v>
      </c>
    </row>
    <row r="2478" spans="1:9" x14ac:dyDescent="0.2">
      <c r="A2478" t="str">
        <f>"BC022687"</f>
        <v>BC022687</v>
      </c>
      <c r="B2478" t="s">
        <v>14</v>
      </c>
      <c r="C2478" t="s">
        <v>16</v>
      </c>
      <c r="D2478" t="s">
        <v>17</v>
      </c>
      <c r="E2478" t="s">
        <v>12</v>
      </c>
      <c r="F2478">
        <v>112808914</v>
      </c>
      <c r="G2478">
        <v>112809002</v>
      </c>
      <c r="H2478">
        <v>112808914</v>
      </c>
      <c r="I2478">
        <v>112809002</v>
      </c>
    </row>
    <row r="2479" spans="1:9" x14ac:dyDescent="0.2">
      <c r="A2479" t="str">
        <f>"BC023829"</f>
        <v>BC023829</v>
      </c>
      <c r="B2479" t="s">
        <v>14</v>
      </c>
      <c r="C2479" t="s">
        <v>37</v>
      </c>
      <c r="D2479" t="s">
        <v>11</v>
      </c>
      <c r="E2479" t="s">
        <v>12</v>
      </c>
      <c r="F2479">
        <v>70477100</v>
      </c>
      <c r="G2479">
        <v>70477161</v>
      </c>
      <c r="H2479">
        <v>70477170</v>
      </c>
      <c r="I2479">
        <v>70477197</v>
      </c>
    </row>
    <row r="2480" spans="1:9" x14ac:dyDescent="0.2">
      <c r="A2480" t="str">
        <f>"BC024139"</f>
        <v>BC024139</v>
      </c>
      <c r="B2480" t="s">
        <v>14</v>
      </c>
      <c r="C2480" t="s">
        <v>25</v>
      </c>
      <c r="D2480" t="s">
        <v>11</v>
      </c>
      <c r="E2480" t="s">
        <v>12</v>
      </c>
      <c r="F2480">
        <v>76126538</v>
      </c>
      <c r="G2480">
        <v>76126550</v>
      </c>
      <c r="H2480">
        <v>76126552</v>
      </c>
      <c r="I2480">
        <v>76126559</v>
      </c>
    </row>
    <row r="2481" spans="1:9" x14ac:dyDescent="0.2">
      <c r="A2481" t="str">
        <f>"BC024978"</f>
        <v>BC024978</v>
      </c>
      <c r="B2481" t="s">
        <v>14</v>
      </c>
      <c r="C2481" t="s">
        <v>33</v>
      </c>
      <c r="D2481" t="s">
        <v>17</v>
      </c>
      <c r="E2481" t="s">
        <v>12</v>
      </c>
      <c r="F2481">
        <v>27195899</v>
      </c>
      <c r="G2481">
        <v>27195915</v>
      </c>
      <c r="H2481">
        <v>27195841</v>
      </c>
      <c r="I2481">
        <v>27195885</v>
      </c>
    </row>
    <row r="2482" spans="1:9" x14ac:dyDescent="0.2">
      <c r="A2482" t="str">
        <f>"BC025446"</f>
        <v>BC025446</v>
      </c>
      <c r="B2482" t="s">
        <v>14</v>
      </c>
      <c r="C2482" t="s">
        <v>25</v>
      </c>
      <c r="D2482" t="s">
        <v>17</v>
      </c>
      <c r="E2482" t="s">
        <v>67</v>
      </c>
      <c r="F2482">
        <v>75216676</v>
      </c>
      <c r="G2482">
        <v>75216692</v>
      </c>
      <c r="H2482">
        <v>75216676</v>
      </c>
      <c r="I2482">
        <v>75216692</v>
      </c>
    </row>
    <row r="2483" spans="1:9" x14ac:dyDescent="0.2">
      <c r="A2483" t="str">
        <f>"BC025920"</f>
        <v>BC025920</v>
      </c>
      <c r="B2483" t="s">
        <v>14</v>
      </c>
      <c r="C2483" t="s">
        <v>15</v>
      </c>
      <c r="D2483" t="s">
        <v>17</v>
      </c>
      <c r="E2483" t="s">
        <v>12</v>
      </c>
      <c r="F2483">
        <v>81606289</v>
      </c>
      <c r="G2483">
        <v>81606376</v>
      </c>
      <c r="H2483">
        <v>81606380</v>
      </c>
      <c r="I2483">
        <v>81606390</v>
      </c>
    </row>
    <row r="2484" spans="1:9" x14ac:dyDescent="0.2">
      <c r="A2484" t="str">
        <f>"BC026585"</f>
        <v>BC026585</v>
      </c>
      <c r="B2484" t="s">
        <v>14</v>
      </c>
      <c r="C2484" t="s">
        <v>19</v>
      </c>
      <c r="D2484" t="s">
        <v>17</v>
      </c>
      <c r="E2484" t="s">
        <v>12</v>
      </c>
      <c r="F2484">
        <v>157458554</v>
      </c>
      <c r="G2484">
        <v>157458597</v>
      </c>
      <c r="H2484">
        <v>157458554</v>
      </c>
      <c r="I2484">
        <v>157458597</v>
      </c>
    </row>
    <row r="2485" spans="1:9" x14ac:dyDescent="0.2">
      <c r="A2485" t="str">
        <f>"BC026590"</f>
        <v>BC026590</v>
      </c>
      <c r="B2485" t="s">
        <v>14</v>
      </c>
      <c r="C2485" t="s">
        <v>23</v>
      </c>
      <c r="D2485" t="s">
        <v>17</v>
      </c>
      <c r="E2485" t="s">
        <v>12</v>
      </c>
      <c r="F2485">
        <v>56802337</v>
      </c>
      <c r="G2485">
        <v>56802359</v>
      </c>
      <c r="H2485">
        <v>56802570</v>
      </c>
      <c r="I2485">
        <v>56802613</v>
      </c>
    </row>
    <row r="2486" spans="1:9" x14ac:dyDescent="0.2">
      <c r="A2486" t="str">
        <f>"BC027072"</f>
        <v>BC027072</v>
      </c>
      <c r="B2486" t="s">
        <v>14</v>
      </c>
      <c r="C2486" t="s">
        <v>28</v>
      </c>
      <c r="D2486" t="s">
        <v>11</v>
      </c>
      <c r="E2486" t="s">
        <v>12</v>
      </c>
      <c r="F2486">
        <v>71752901</v>
      </c>
      <c r="G2486">
        <v>71752917</v>
      </c>
      <c r="H2486">
        <v>71752867</v>
      </c>
      <c r="I2486">
        <v>71752891</v>
      </c>
    </row>
    <row r="2487" spans="1:9" x14ac:dyDescent="0.2">
      <c r="A2487" t="str">
        <f>"BC027231"</f>
        <v>BC027231</v>
      </c>
      <c r="B2487" t="s">
        <v>14</v>
      </c>
      <c r="C2487" t="s">
        <v>31</v>
      </c>
      <c r="D2487" t="s">
        <v>17</v>
      </c>
      <c r="E2487" t="s">
        <v>12</v>
      </c>
      <c r="F2487">
        <v>44724271</v>
      </c>
      <c r="G2487">
        <v>44724325</v>
      </c>
      <c r="H2487">
        <v>44724271</v>
      </c>
      <c r="I2487">
        <v>44724325</v>
      </c>
    </row>
    <row r="2488" spans="1:9" x14ac:dyDescent="0.2">
      <c r="A2488" t="str">
        <f>"BC027582"</f>
        <v>BC027582</v>
      </c>
      <c r="B2488" t="s">
        <v>2199</v>
      </c>
      <c r="C2488" t="s">
        <v>22</v>
      </c>
      <c r="D2488" t="s">
        <v>11</v>
      </c>
      <c r="E2488" t="s">
        <v>20</v>
      </c>
      <c r="F2488">
        <v>103732552</v>
      </c>
      <c r="G2488">
        <v>103732552</v>
      </c>
      <c r="H2488">
        <v>103732552</v>
      </c>
      <c r="I2488">
        <v>103732552</v>
      </c>
    </row>
    <row r="2489" spans="1:9" x14ac:dyDescent="0.2">
      <c r="A2489" t="str">
        <f>"BC028528"</f>
        <v>BC028528</v>
      </c>
      <c r="B2489" t="s">
        <v>14</v>
      </c>
      <c r="C2489" t="s">
        <v>22</v>
      </c>
      <c r="D2489" t="s">
        <v>11</v>
      </c>
      <c r="E2489" t="s">
        <v>12</v>
      </c>
      <c r="F2489">
        <v>95891938</v>
      </c>
      <c r="G2489">
        <v>95891985</v>
      </c>
      <c r="H2489">
        <v>95891929</v>
      </c>
      <c r="I2489">
        <v>95891936</v>
      </c>
    </row>
    <row r="2490" spans="1:9" x14ac:dyDescent="0.2">
      <c r="A2490" t="str">
        <f>"BC029214"</f>
        <v>BC029214</v>
      </c>
      <c r="B2490" t="s">
        <v>14</v>
      </c>
      <c r="C2490" t="s">
        <v>26</v>
      </c>
      <c r="D2490" t="s">
        <v>11</v>
      </c>
      <c r="E2490" t="s">
        <v>12</v>
      </c>
      <c r="F2490">
        <v>25460933</v>
      </c>
      <c r="G2490">
        <v>25460959</v>
      </c>
      <c r="H2490">
        <v>25460906</v>
      </c>
      <c r="I2490">
        <v>25460931</v>
      </c>
    </row>
    <row r="2491" spans="1:9" x14ac:dyDescent="0.2">
      <c r="A2491" t="str">
        <f>"BC030307"</f>
        <v>BC030307</v>
      </c>
      <c r="B2491" t="s">
        <v>14</v>
      </c>
      <c r="C2491" t="s">
        <v>15</v>
      </c>
      <c r="D2491" t="s">
        <v>17</v>
      </c>
      <c r="E2491" t="s">
        <v>12</v>
      </c>
      <c r="F2491">
        <v>86705803</v>
      </c>
      <c r="G2491">
        <v>86705831</v>
      </c>
      <c r="H2491">
        <v>86705856</v>
      </c>
      <c r="I2491">
        <v>86705878</v>
      </c>
    </row>
    <row r="2492" spans="1:9" x14ac:dyDescent="0.2">
      <c r="A2492" t="str">
        <f>"BC030336"</f>
        <v>BC030336</v>
      </c>
      <c r="B2492" t="s">
        <v>14</v>
      </c>
      <c r="C2492" t="s">
        <v>33</v>
      </c>
      <c r="D2492" t="s">
        <v>17</v>
      </c>
      <c r="E2492" t="s">
        <v>12</v>
      </c>
      <c r="F2492">
        <v>120677579</v>
      </c>
      <c r="G2492">
        <v>120677630</v>
      </c>
      <c r="H2492">
        <v>120677632</v>
      </c>
      <c r="I2492">
        <v>120677645</v>
      </c>
    </row>
    <row r="2493" spans="1:9" x14ac:dyDescent="0.2">
      <c r="A2493" t="str">
        <f>"BC030476"</f>
        <v>BC030476</v>
      </c>
      <c r="B2493" t="s">
        <v>14</v>
      </c>
      <c r="C2493" t="s">
        <v>25</v>
      </c>
      <c r="D2493" t="s">
        <v>17</v>
      </c>
      <c r="E2493" t="s">
        <v>12</v>
      </c>
      <c r="F2493">
        <v>34453285</v>
      </c>
      <c r="G2493">
        <v>34453303</v>
      </c>
      <c r="H2493">
        <v>34453285</v>
      </c>
      <c r="I2493">
        <v>34453303</v>
      </c>
    </row>
    <row r="2494" spans="1:9" x14ac:dyDescent="0.2">
      <c r="A2494" t="str">
        <f>"BC030499"</f>
        <v>BC030499</v>
      </c>
      <c r="B2494" t="s">
        <v>14</v>
      </c>
      <c r="C2494" t="s">
        <v>27</v>
      </c>
      <c r="D2494" t="s">
        <v>17</v>
      </c>
      <c r="E2494" t="s">
        <v>12</v>
      </c>
      <c r="F2494">
        <v>78290835</v>
      </c>
      <c r="G2494">
        <v>78290851</v>
      </c>
      <c r="H2494">
        <v>78290869</v>
      </c>
      <c r="I2494">
        <v>78290884</v>
      </c>
    </row>
    <row r="2495" spans="1:9" x14ac:dyDescent="0.2">
      <c r="A2495" t="str">
        <f>"BC030500"</f>
        <v>BC030500</v>
      </c>
      <c r="B2495" t="s">
        <v>14</v>
      </c>
      <c r="C2495" t="s">
        <v>30</v>
      </c>
      <c r="D2495" t="s">
        <v>17</v>
      </c>
      <c r="E2495" t="s">
        <v>12</v>
      </c>
      <c r="F2495">
        <v>58912287</v>
      </c>
      <c r="G2495">
        <v>58912312</v>
      </c>
      <c r="H2495">
        <v>58912287</v>
      </c>
      <c r="I2495">
        <v>58912312</v>
      </c>
    </row>
    <row r="2496" spans="1:9" x14ac:dyDescent="0.2">
      <c r="A2496" t="str">
        <f>"BC030867"</f>
        <v>BC030867</v>
      </c>
      <c r="B2496" t="s">
        <v>14</v>
      </c>
      <c r="C2496" t="s">
        <v>27</v>
      </c>
      <c r="D2496" t="s">
        <v>17</v>
      </c>
      <c r="E2496" t="s">
        <v>12</v>
      </c>
      <c r="F2496">
        <v>102248842</v>
      </c>
      <c r="G2496">
        <v>102248888</v>
      </c>
      <c r="H2496">
        <v>102248891</v>
      </c>
      <c r="I2496">
        <v>102248937</v>
      </c>
    </row>
    <row r="2497" spans="1:9" x14ac:dyDescent="0.2">
      <c r="A2497" t="str">
        <f>"BC030870"</f>
        <v>BC030870</v>
      </c>
      <c r="B2497" t="s">
        <v>14</v>
      </c>
      <c r="C2497" t="s">
        <v>30</v>
      </c>
      <c r="D2497" t="s">
        <v>11</v>
      </c>
      <c r="E2497" t="s">
        <v>12</v>
      </c>
      <c r="F2497">
        <v>65129554</v>
      </c>
      <c r="G2497">
        <v>65129572</v>
      </c>
      <c r="H2497">
        <v>65129445</v>
      </c>
      <c r="I2497">
        <v>65129463</v>
      </c>
    </row>
    <row r="2498" spans="1:9" x14ac:dyDescent="0.2">
      <c r="A2498" t="str">
        <f>"BC031181"</f>
        <v>BC031181</v>
      </c>
      <c r="B2498" t="s">
        <v>14</v>
      </c>
      <c r="C2498" t="s">
        <v>43</v>
      </c>
      <c r="D2498" t="s">
        <v>17</v>
      </c>
      <c r="E2498" t="s">
        <v>12</v>
      </c>
      <c r="F2498">
        <v>75005839</v>
      </c>
      <c r="G2498">
        <v>75005945</v>
      </c>
      <c r="H2498">
        <v>75006059</v>
      </c>
      <c r="I2498">
        <v>75006090</v>
      </c>
    </row>
    <row r="2499" spans="1:9" x14ac:dyDescent="0.2">
      <c r="A2499" t="str">
        <f>"BC034090"</f>
        <v>BC034090</v>
      </c>
      <c r="B2499" t="s">
        <v>14</v>
      </c>
      <c r="C2499" t="s">
        <v>19</v>
      </c>
      <c r="D2499" t="s">
        <v>11</v>
      </c>
      <c r="E2499" t="s">
        <v>12</v>
      </c>
      <c r="F2499">
        <v>155232710</v>
      </c>
      <c r="G2499">
        <v>155232729</v>
      </c>
      <c r="H2499">
        <v>155232710</v>
      </c>
      <c r="I2499">
        <v>155232729</v>
      </c>
    </row>
    <row r="2500" spans="1:9" x14ac:dyDescent="0.2">
      <c r="A2500" t="str">
        <f>"BC034902"</f>
        <v>BC034902</v>
      </c>
      <c r="B2500" t="s">
        <v>14</v>
      </c>
      <c r="C2500" t="s">
        <v>26</v>
      </c>
      <c r="D2500" t="s">
        <v>17</v>
      </c>
      <c r="E2500" t="s">
        <v>67</v>
      </c>
      <c r="F2500">
        <v>136502018</v>
      </c>
      <c r="G2500">
        <v>136502025</v>
      </c>
      <c r="H2500">
        <v>136502018</v>
      </c>
      <c r="I2500">
        <v>136502025</v>
      </c>
    </row>
    <row r="2501" spans="1:9" x14ac:dyDescent="0.2">
      <c r="A2501" t="str">
        <f>"BC035044"</f>
        <v>BC035044</v>
      </c>
      <c r="B2501" t="s">
        <v>14</v>
      </c>
      <c r="C2501" t="s">
        <v>32</v>
      </c>
      <c r="D2501" t="s">
        <v>11</v>
      </c>
      <c r="E2501" t="s">
        <v>12</v>
      </c>
      <c r="F2501">
        <v>128891105</v>
      </c>
      <c r="G2501">
        <v>128891178</v>
      </c>
      <c r="H2501">
        <v>128891105</v>
      </c>
      <c r="I2501">
        <v>128891178</v>
      </c>
    </row>
    <row r="2502" spans="1:9" x14ac:dyDescent="0.2">
      <c r="A2502" t="str">
        <f>"BC035947"</f>
        <v>BC035947</v>
      </c>
      <c r="B2502" t="s">
        <v>14</v>
      </c>
      <c r="C2502" t="s">
        <v>19</v>
      </c>
      <c r="D2502" t="s">
        <v>11</v>
      </c>
      <c r="E2502" t="s">
        <v>67</v>
      </c>
      <c r="F2502">
        <v>78512131</v>
      </c>
      <c r="G2502">
        <v>78512136</v>
      </c>
      <c r="H2502">
        <v>78512131</v>
      </c>
      <c r="I2502">
        <v>78512136</v>
      </c>
    </row>
    <row r="2503" spans="1:9" x14ac:dyDescent="0.2">
      <c r="A2503" t="str">
        <f>"BC037034"</f>
        <v>BC037034</v>
      </c>
      <c r="B2503" t="s">
        <v>14</v>
      </c>
      <c r="C2503" t="s">
        <v>46</v>
      </c>
      <c r="D2503" t="s">
        <v>11</v>
      </c>
      <c r="E2503" t="s">
        <v>12</v>
      </c>
      <c r="F2503">
        <v>138264013</v>
      </c>
      <c r="G2503">
        <v>138264060</v>
      </c>
      <c r="H2503">
        <v>138263942</v>
      </c>
      <c r="I2503">
        <v>138263988</v>
      </c>
    </row>
    <row r="2504" spans="1:9" x14ac:dyDescent="0.2">
      <c r="A2504" t="str">
        <f>"BC043934"</f>
        <v>BC043934</v>
      </c>
      <c r="B2504" t="s">
        <v>2200</v>
      </c>
      <c r="C2504" t="s">
        <v>24</v>
      </c>
      <c r="D2504" t="s">
        <v>11</v>
      </c>
      <c r="E2504" t="s">
        <v>20</v>
      </c>
      <c r="F2504">
        <v>96437433</v>
      </c>
      <c r="G2504">
        <v>96437433</v>
      </c>
      <c r="H2504">
        <v>96437433</v>
      </c>
      <c r="I2504">
        <v>96437433</v>
      </c>
    </row>
    <row r="2505" spans="1:9" x14ac:dyDescent="0.2">
      <c r="A2505" t="str">
        <f>"BC048403"</f>
        <v>BC048403</v>
      </c>
      <c r="B2505" t="s">
        <v>14</v>
      </c>
      <c r="C2505" t="s">
        <v>15</v>
      </c>
      <c r="D2505" t="s">
        <v>17</v>
      </c>
      <c r="E2505" t="s">
        <v>12</v>
      </c>
      <c r="F2505">
        <v>121739915</v>
      </c>
      <c r="G2505">
        <v>121739965</v>
      </c>
      <c r="H2505">
        <v>121739971</v>
      </c>
      <c r="I2505">
        <v>121739996</v>
      </c>
    </row>
    <row r="2506" spans="1:9" x14ac:dyDescent="0.2">
      <c r="A2506" t="str">
        <f>"BC048502"</f>
        <v>BC048502</v>
      </c>
      <c r="B2506" t="s">
        <v>14</v>
      </c>
      <c r="C2506" t="s">
        <v>25</v>
      </c>
      <c r="D2506" t="s">
        <v>11</v>
      </c>
      <c r="E2506" t="s">
        <v>12</v>
      </c>
      <c r="F2506">
        <v>103448473</v>
      </c>
      <c r="G2506">
        <v>103448492</v>
      </c>
      <c r="H2506">
        <v>103448473</v>
      </c>
      <c r="I2506">
        <v>103448492</v>
      </c>
    </row>
    <row r="2507" spans="1:9" x14ac:dyDescent="0.2">
      <c r="A2507" t="str">
        <f>"BC048507"</f>
        <v>BC048507</v>
      </c>
      <c r="B2507" t="s">
        <v>14</v>
      </c>
      <c r="C2507" t="s">
        <v>39</v>
      </c>
      <c r="D2507" t="s">
        <v>17</v>
      </c>
      <c r="E2507" t="s">
        <v>12</v>
      </c>
      <c r="F2507">
        <v>67863381</v>
      </c>
      <c r="G2507">
        <v>67863392</v>
      </c>
      <c r="H2507">
        <v>67863351</v>
      </c>
      <c r="I2507">
        <v>67863372</v>
      </c>
    </row>
    <row r="2508" spans="1:9" x14ac:dyDescent="0.2">
      <c r="A2508" t="str">
        <f>"BC048546"</f>
        <v>BC048546</v>
      </c>
      <c r="B2508" t="s">
        <v>2201</v>
      </c>
      <c r="C2508" t="s">
        <v>32</v>
      </c>
      <c r="D2508" t="s">
        <v>11</v>
      </c>
      <c r="E2508" t="s">
        <v>35</v>
      </c>
      <c r="F2508">
        <v>128581797</v>
      </c>
      <c r="G2508">
        <v>128581808</v>
      </c>
      <c r="H2508">
        <v>128581549</v>
      </c>
      <c r="I2508">
        <v>128581551</v>
      </c>
    </row>
    <row r="2509" spans="1:9" x14ac:dyDescent="0.2">
      <c r="A2509" t="str">
        <f>"BC048562"</f>
        <v>BC048562</v>
      </c>
      <c r="B2509" t="s">
        <v>14</v>
      </c>
      <c r="C2509" t="s">
        <v>24</v>
      </c>
      <c r="D2509" t="s">
        <v>17</v>
      </c>
      <c r="E2509" t="s">
        <v>12</v>
      </c>
      <c r="F2509">
        <v>108436474</v>
      </c>
      <c r="G2509">
        <v>108436504</v>
      </c>
      <c r="H2509">
        <v>108436463</v>
      </c>
      <c r="I2509">
        <v>108436470</v>
      </c>
    </row>
    <row r="2510" spans="1:9" x14ac:dyDescent="0.2">
      <c r="A2510" t="str">
        <f>"BC048609"</f>
        <v>BC048609</v>
      </c>
      <c r="B2510" t="s">
        <v>14</v>
      </c>
      <c r="C2510" t="s">
        <v>10</v>
      </c>
      <c r="D2510" t="s">
        <v>17</v>
      </c>
      <c r="E2510" t="s">
        <v>12</v>
      </c>
      <c r="F2510">
        <v>6080029</v>
      </c>
      <c r="G2510">
        <v>6080042</v>
      </c>
      <c r="H2510">
        <v>6080017</v>
      </c>
      <c r="I2510">
        <v>6080028</v>
      </c>
    </row>
    <row r="2511" spans="1:9" x14ac:dyDescent="0.2">
      <c r="A2511" t="str">
        <f>"BC048671"</f>
        <v>BC048671</v>
      </c>
      <c r="B2511" t="s">
        <v>14</v>
      </c>
      <c r="C2511" t="s">
        <v>32</v>
      </c>
      <c r="D2511" t="s">
        <v>17</v>
      </c>
      <c r="E2511" t="s">
        <v>12</v>
      </c>
      <c r="F2511">
        <v>90302083</v>
      </c>
      <c r="G2511">
        <v>90302140</v>
      </c>
      <c r="H2511">
        <v>90301241</v>
      </c>
      <c r="I2511">
        <v>90301294</v>
      </c>
    </row>
    <row r="2512" spans="1:9" x14ac:dyDescent="0.2">
      <c r="A2512" t="str">
        <f>"BC048679"</f>
        <v>BC048679</v>
      </c>
      <c r="B2512" t="s">
        <v>14</v>
      </c>
      <c r="C2512" t="s">
        <v>33</v>
      </c>
      <c r="D2512" t="s">
        <v>11</v>
      </c>
      <c r="E2512" t="s">
        <v>12</v>
      </c>
      <c r="F2512">
        <v>81498273</v>
      </c>
      <c r="G2512">
        <v>81498287</v>
      </c>
      <c r="H2512">
        <v>81498273</v>
      </c>
      <c r="I2512">
        <v>81498287</v>
      </c>
    </row>
    <row r="2513" spans="1:9" x14ac:dyDescent="0.2">
      <c r="A2513" t="str">
        <f>"BC048943"</f>
        <v>BC048943</v>
      </c>
      <c r="B2513" t="s">
        <v>14</v>
      </c>
      <c r="C2513" t="s">
        <v>16</v>
      </c>
      <c r="D2513" t="s">
        <v>11</v>
      </c>
      <c r="E2513" t="s">
        <v>12</v>
      </c>
      <c r="F2513">
        <v>111981136</v>
      </c>
      <c r="G2513">
        <v>111981151</v>
      </c>
      <c r="H2513">
        <v>111981053</v>
      </c>
      <c r="I2513">
        <v>111981064</v>
      </c>
    </row>
    <row r="2514" spans="1:9" x14ac:dyDescent="0.2">
      <c r="A2514" t="str">
        <f>"BC049352"</f>
        <v>BC049352</v>
      </c>
      <c r="B2514" t="s">
        <v>9</v>
      </c>
      <c r="C2514" t="s">
        <v>24</v>
      </c>
      <c r="D2514" t="s">
        <v>17</v>
      </c>
      <c r="E2514" t="s">
        <v>12</v>
      </c>
      <c r="F2514">
        <v>45195775</v>
      </c>
      <c r="G2514">
        <v>45195782</v>
      </c>
      <c r="H2514">
        <v>45195775</v>
      </c>
      <c r="I2514">
        <v>45195782</v>
      </c>
    </row>
    <row r="2515" spans="1:9" x14ac:dyDescent="0.2">
      <c r="A2515" t="str">
        <f>"BC049352"</f>
        <v>BC049352</v>
      </c>
      <c r="B2515" t="s">
        <v>13</v>
      </c>
      <c r="C2515" t="s">
        <v>24</v>
      </c>
      <c r="D2515" t="s">
        <v>17</v>
      </c>
      <c r="E2515" t="s">
        <v>12</v>
      </c>
      <c r="F2515">
        <v>45181992</v>
      </c>
      <c r="G2515">
        <v>45181998</v>
      </c>
      <c r="H2515">
        <v>45181992</v>
      </c>
      <c r="I2515">
        <v>45181998</v>
      </c>
    </row>
    <row r="2516" spans="1:9" x14ac:dyDescent="0.2">
      <c r="A2516" t="str">
        <f>"BC049635"</f>
        <v>BC049635</v>
      </c>
      <c r="B2516" t="s">
        <v>14</v>
      </c>
      <c r="C2516" t="s">
        <v>23</v>
      </c>
      <c r="D2516" t="s">
        <v>11</v>
      </c>
      <c r="E2516" t="s">
        <v>12</v>
      </c>
      <c r="F2516">
        <v>42874197</v>
      </c>
      <c r="G2516">
        <v>42874223</v>
      </c>
      <c r="H2516">
        <v>42874227</v>
      </c>
      <c r="I2516">
        <v>42874239</v>
      </c>
    </row>
    <row r="2517" spans="1:9" x14ac:dyDescent="0.2">
      <c r="A2517" t="str">
        <f>"BC049702"</f>
        <v>BC049702</v>
      </c>
      <c r="B2517" t="s">
        <v>2202</v>
      </c>
      <c r="C2517" t="s">
        <v>37</v>
      </c>
      <c r="D2517" t="s">
        <v>11</v>
      </c>
      <c r="E2517" t="s">
        <v>20</v>
      </c>
      <c r="F2517">
        <v>19481318</v>
      </c>
      <c r="G2517">
        <v>19481318</v>
      </c>
      <c r="H2517">
        <v>19481318</v>
      </c>
      <c r="I2517">
        <v>19481318</v>
      </c>
    </row>
    <row r="2518" spans="1:9" x14ac:dyDescent="0.2">
      <c r="A2518" t="str">
        <f>"BC049715"</f>
        <v>BC049715</v>
      </c>
      <c r="B2518" t="s">
        <v>14</v>
      </c>
      <c r="C2518" t="s">
        <v>32</v>
      </c>
      <c r="D2518" t="s">
        <v>17</v>
      </c>
      <c r="E2518" t="s">
        <v>12</v>
      </c>
      <c r="F2518">
        <v>136827761</v>
      </c>
      <c r="G2518">
        <v>136827798</v>
      </c>
      <c r="H2518">
        <v>136827761</v>
      </c>
      <c r="I2518">
        <v>136827798</v>
      </c>
    </row>
    <row r="2519" spans="1:9" x14ac:dyDescent="0.2">
      <c r="A2519" t="str">
        <f>"BC049730"</f>
        <v>BC049730</v>
      </c>
      <c r="B2519" t="s">
        <v>14</v>
      </c>
      <c r="C2519" t="s">
        <v>33</v>
      </c>
      <c r="D2519" t="s">
        <v>17</v>
      </c>
      <c r="E2519" t="s">
        <v>12</v>
      </c>
      <c r="F2519">
        <v>24709237</v>
      </c>
      <c r="G2519">
        <v>24709271</v>
      </c>
      <c r="H2519">
        <v>24709229</v>
      </c>
      <c r="I2519">
        <v>24709234</v>
      </c>
    </row>
    <row r="2520" spans="1:9" x14ac:dyDescent="0.2">
      <c r="A2520" t="str">
        <f>"BC049762"</f>
        <v>BC049762</v>
      </c>
      <c r="B2520" t="s">
        <v>14</v>
      </c>
      <c r="C2520" t="s">
        <v>27</v>
      </c>
      <c r="D2520" t="s">
        <v>11</v>
      </c>
      <c r="E2520" t="s">
        <v>12</v>
      </c>
      <c r="F2520">
        <v>51262940</v>
      </c>
      <c r="G2520">
        <v>51262968</v>
      </c>
      <c r="H2520">
        <v>51262988</v>
      </c>
      <c r="I2520">
        <v>51263012</v>
      </c>
    </row>
    <row r="2521" spans="1:9" x14ac:dyDescent="0.2">
      <c r="A2521" t="str">
        <f>"BC051019"</f>
        <v>BC051019</v>
      </c>
      <c r="B2521" t="s">
        <v>14</v>
      </c>
      <c r="C2521" t="s">
        <v>33</v>
      </c>
      <c r="D2521" t="s">
        <v>11</v>
      </c>
      <c r="E2521" t="s">
        <v>12</v>
      </c>
      <c r="F2521">
        <v>109723860</v>
      </c>
      <c r="G2521">
        <v>109723889</v>
      </c>
      <c r="H2521">
        <v>109723844</v>
      </c>
      <c r="I2521">
        <v>109723855</v>
      </c>
    </row>
    <row r="2522" spans="1:9" x14ac:dyDescent="0.2">
      <c r="A2522" t="str">
        <f>"BC051070"</f>
        <v>BC051070</v>
      </c>
      <c r="B2522" t="s">
        <v>14</v>
      </c>
      <c r="C2522" t="s">
        <v>22</v>
      </c>
      <c r="D2522" t="s">
        <v>11</v>
      </c>
      <c r="E2522" t="s">
        <v>12</v>
      </c>
      <c r="F2522">
        <v>106406090</v>
      </c>
      <c r="G2522">
        <v>106406110</v>
      </c>
      <c r="H2522">
        <v>106406090</v>
      </c>
      <c r="I2522">
        <v>106406110</v>
      </c>
    </row>
    <row r="2523" spans="1:9" x14ac:dyDescent="0.2">
      <c r="A2523" t="str">
        <f>"BC051076"</f>
        <v>BC051076</v>
      </c>
      <c r="B2523" t="s">
        <v>14</v>
      </c>
      <c r="C2523" t="s">
        <v>46</v>
      </c>
      <c r="D2523" t="s">
        <v>17</v>
      </c>
      <c r="E2523" t="s">
        <v>12</v>
      </c>
      <c r="F2523">
        <v>87963273</v>
      </c>
      <c r="G2523">
        <v>87963276</v>
      </c>
      <c r="H2523">
        <v>87963273</v>
      </c>
      <c r="I2523">
        <v>87963276</v>
      </c>
    </row>
    <row r="2524" spans="1:9" x14ac:dyDescent="0.2">
      <c r="A2524" t="str">
        <f>"BC051142"</f>
        <v>BC051142</v>
      </c>
      <c r="B2524" t="s">
        <v>9</v>
      </c>
      <c r="C2524" t="s">
        <v>28</v>
      </c>
      <c r="D2524" t="s">
        <v>17</v>
      </c>
      <c r="E2524" t="s">
        <v>12</v>
      </c>
      <c r="F2524">
        <v>34398802</v>
      </c>
      <c r="G2524">
        <v>34398830</v>
      </c>
      <c r="H2524">
        <v>34398802</v>
      </c>
      <c r="I2524">
        <v>34398830</v>
      </c>
    </row>
    <row r="2525" spans="1:9" x14ac:dyDescent="0.2">
      <c r="A2525" t="str">
        <f>"BC051142"</f>
        <v>BC051142</v>
      </c>
      <c r="B2525" t="s">
        <v>13</v>
      </c>
      <c r="C2525" t="s">
        <v>28</v>
      </c>
      <c r="D2525" t="s">
        <v>17</v>
      </c>
      <c r="E2525" t="s">
        <v>12</v>
      </c>
      <c r="F2525">
        <v>34417347</v>
      </c>
      <c r="G2525">
        <v>34417361</v>
      </c>
      <c r="H2525">
        <v>34417347</v>
      </c>
      <c r="I2525">
        <v>34417361</v>
      </c>
    </row>
    <row r="2526" spans="1:9" x14ac:dyDescent="0.2">
      <c r="A2526" t="str">
        <f>"BC051628"</f>
        <v>BC051628</v>
      </c>
      <c r="B2526" t="s">
        <v>14</v>
      </c>
      <c r="C2526" t="s">
        <v>26</v>
      </c>
      <c r="D2526" t="s">
        <v>17</v>
      </c>
      <c r="E2526" t="s">
        <v>12</v>
      </c>
      <c r="F2526">
        <v>181219998</v>
      </c>
      <c r="G2526">
        <v>181220055</v>
      </c>
      <c r="H2526">
        <v>181220059</v>
      </c>
      <c r="I2526">
        <v>181220069</v>
      </c>
    </row>
    <row r="2527" spans="1:9" x14ac:dyDescent="0.2">
      <c r="A2527" t="str">
        <f>"BC051665"</f>
        <v>BC051665</v>
      </c>
      <c r="B2527" t="s">
        <v>2203</v>
      </c>
      <c r="C2527" t="s">
        <v>39</v>
      </c>
      <c r="D2527" t="s">
        <v>11</v>
      </c>
      <c r="E2527" t="s">
        <v>20</v>
      </c>
      <c r="F2527">
        <v>60786363</v>
      </c>
      <c r="G2527">
        <v>60786363</v>
      </c>
      <c r="H2527">
        <v>60786363</v>
      </c>
      <c r="I2527">
        <v>60786363</v>
      </c>
    </row>
    <row r="2528" spans="1:9" x14ac:dyDescent="0.2">
      <c r="A2528" t="str">
        <f>"BC052040"</f>
        <v>BC052040</v>
      </c>
      <c r="B2528" t="s">
        <v>14</v>
      </c>
      <c r="C2528" t="s">
        <v>26</v>
      </c>
      <c r="D2528" t="s">
        <v>17</v>
      </c>
      <c r="E2528" t="s">
        <v>12</v>
      </c>
      <c r="F2528">
        <v>115581667</v>
      </c>
      <c r="G2528">
        <v>115581743</v>
      </c>
      <c r="H2528">
        <v>115581765</v>
      </c>
      <c r="I2528">
        <v>115581779</v>
      </c>
    </row>
    <row r="2529" spans="1:9" x14ac:dyDescent="0.2">
      <c r="A2529" t="str">
        <f>"BC053393"</f>
        <v>BC053393</v>
      </c>
      <c r="B2529" t="s">
        <v>2204</v>
      </c>
      <c r="C2529" t="s">
        <v>27</v>
      </c>
      <c r="D2529" t="s">
        <v>17</v>
      </c>
      <c r="E2529" t="s">
        <v>20</v>
      </c>
      <c r="F2529">
        <v>46571535</v>
      </c>
      <c r="G2529">
        <v>46571535</v>
      </c>
      <c r="H2529">
        <v>46571535</v>
      </c>
      <c r="I2529">
        <v>46571535</v>
      </c>
    </row>
    <row r="2530" spans="1:9" x14ac:dyDescent="0.2">
      <c r="A2530" t="str">
        <f>"BC053749"</f>
        <v>BC053749</v>
      </c>
      <c r="B2530" t="s">
        <v>14</v>
      </c>
      <c r="C2530" t="s">
        <v>33</v>
      </c>
      <c r="D2530" t="s">
        <v>11</v>
      </c>
      <c r="E2530" t="s">
        <v>12</v>
      </c>
      <c r="F2530">
        <v>30552255</v>
      </c>
      <c r="G2530">
        <v>30552316</v>
      </c>
      <c r="H2530">
        <v>30552346</v>
      </c>
      <c r="I2530">
        <v>30552375</v>
      </c>
    </row>
    <row r="2531" spans="1:9" x14ac:dyDescent="0.2">
      <c r="A2531" t="str">
        <f>"BC055111"</f>
        <v>BC055111</v>
      </c>
      <c r="B2531" t="s">
        <v>14</v>
      </c>
      <c r="C2531" t="s">
        <v>23</v>
      </c>
      <c r="D2531" t="s">
        <v>11</v>
      </c>
      <c r="E2531" t="s">
        <v>12</v>
      </c>
      <c r="F2531">
        <v>106617214</v>
      </c>
      <c r="G2531">
        <v>106617226</v>
      </c>
      <c r="H2531">
        <v>106617232</v>
      </c>
      <c r="I2531">
        <v>106617240</v>
      </c>
    </row>
    <row r="2532" spans="1:9" x14ac:dyDescent="0.2">
      <c r="A2532" t="str">
        <f>"BC055324"</f>
        <v>BC055324</v>
      </c>
      <c r="B2532" t="s">
        <v>14</v>
      </c>
      <c r="C2532" t="s">
        <v>19</v>
      </c>
      <c r="D2532" t="s">
        <v>11</v>
      </c>
      <c r="E2532" t="s">
        <v>12</v>
      </c>
      <c r="F2532">
        <v>163994767</v>
      </c>
      <c r="G2532">
        <v>163994808</v>
      </c>
      <c r="H2532">
        <v>163994737</v>
      </c>
      <c r="I2532">
        <v>163994765</v>
      </c>
    </row>
    <row r="2533" spans="1:9" x14ac:dyDescent="0.2">
      <c r="A2533" t="str">
        <f>"BC056474"</f>
        <v>BC056474</v>
      </c>
      <c r="B2533" t="s">
        <v>14</v>
      </c>
      <c r="C2533" t="s">
        <v>30</v>
      </c>
      <c r="D2533" t="s">
        <v>17</v>
      </c>
      <c r="E2533" t="s">
        <v>12</v>
      </c>
      <c r="F2533">
        <v>85080939</v>
      </c>
      <c r="G2533">
        <v>85080977</v>
      </c>
      <c r="H2533">
        <v>85080736</v>
      </c>
      <c r="I2533">
        <v>85080782</v>
      </c>
    </row>
    <row r="2534" spans="1:9" x14ac:dyDescent="0.2">
      <c r="A2534" t="str">
        <f>"BC061194"</f>
        <v>BC061194</v>
      </c>
      <c r="B2534" t="s">
        <v>14</v>
      </c>
      <c r="C2534" t="s">
        <v>26</v>
      </c>
      <c r="D2534" t="s">
        <v>17</v>
      </c>
      <c r="E2534" t="s">
        <v>12</v>
      </c>
      <c r="F2534">
        <v>18698998</v>
      </c>
      <c r="G2534">
        <v>18699018</v>
      </c>
      <c r="H2534">
        <v>18698987</v>
      </c>
      <c r="I2534">
        <v>18698997</v>
      </c>
    </row>
    <row r="2535" spans="1:9" x14ac:dyDescent="0.2">
      <c r="A2535" t="str">
        <f>"BC061195"</f>
        <v>BC061195</v>
      </c>
      <c r="B2535" t="s">
        <v>2205</v>
      </c>
      <c r="C2535" t="s">
        <v>37</v>
      </c>
      <c r="D2535" t="s">
        <v>17</v>
      </c>
      <c r="E2535" t="s">
        <v>20</v>
      </c>
      <c r="F2535">
        <v>93183226</v>
      </c>
      <c r="G2535">
        <v>93183226</v>
      </c>
      <c r="H2535">
        <v>93183226</v>
      </c>
      <c r="I2535">
        <v>93183226</v>
      </c>
    </row>
    <row r="2536" spans="1:9" x14ac:dyDescent="0.2">
      <c r="A2536" t="str">
        <f>"BC061212"</f>
        <v>BC061212</v>
      </c>
      <c r="B2536" t="s">
        <v>2206</v>
      </c>
      <c r="C2536" t="s">
        <v>46</v>
      </c>
      <c r="D2536" t="s">
        <v>11</v>
      </c>
      <c r="E2536" t="s">
        <v>20</v>
      </c>
      <c r="F2536">
        <v>94070544</v>
      </c>
      <c r="G2536">
        <v>94070544</v>
      </c>
      <c r="H2536">
        <v>94070544</v>
      </c>
      <c r="I2536">
        <v>94070544</v>
      </c>
    </row>
    <row r="2537" spans="1:9" x14ac:dyDescent="0.2">
      <c r="A2537" t="str">
        <f>"BC061237"</f>
        <v>BC061237</v>
      </c>
      <c r="B2537" t="s">
        <v>2207</v>
      </c>
      <c r="C2537" t="s">
        <v>41</v>
      </c>
      <c r="D2537" t="s">
        <v>17</v>
      </c>
      <c r="E2537" t="s">
        <v>20</v>
      </c>
      <c r="F2537">
        <v>44500121</v>
      </c>
      <c r="G2537">
        <v>44500121</v>
      </c>
      <c r="H2537">
        <v>44500121</v>
      </c>
      <c r="I2537">
        <v>44500121</v>
      </c>
    </row>
    <row r="2538" spans="1:9" x14ac:dyDescent="0.2">
      <c r="A2538" t="str">
        <f>"BC065397"</f>
        <v>BC065397</v>
      </c>
      <c r="B2538" t="s">
        <v>14</v>
      </c>
      <c r="C2538" t="s">
        <v>37</v>
      </c>
      <c r="D2538" t="s">
        <v>17</v>
      </c>
      <c r="E2538" t="s">
        <v>67</v>
      </c>
      <c r="F2538">
        <v>136741821</v>
      </c>
      <c r="G2538">
        <v>136741864</v>
      </c>
      <c r="H2538">
        <v>136741472</v>
      </c>
      <c r="I2538">
        <v>136741473</v>
      </c>
    </row>
    <row r="2539" spans="1:9" x14ac:dyDescent="0.2">
      <c r="A2539" t="str">
        <f>"BC067074"</f>
        <v>BC067074</v>
      </c>
      <c r="B2539" t="s">
        <v>2208</v>
      </c>
      <c r="C2539" t="s">
        <v>39</v>
      </c>
      <c r="D2539" t="s">
        <v>17</v>
      </c>
      <c r="E2539" t="s">
        <v>20</v>
      </c>
      <c r="F2539">
        <v>113342547</v>
      </c>
      <c r="G2539">
        <v>113342547</v>
      </c>
      <c r="H2539">
        <v>113342547</v>
      </c>
      <c r="I2539">
        <v>113342547</v>
      </c>
    </row>
    <row r="2540" spans="1:9" x14ac:dyDescent="0.2">
      <c r="A2540" t="str">
        <f>"BC068157"</f>
        <v>BC068157</v>
      </c>
      <c r="B2540" t="s">
        <v>14</v>
      </c>
      <c r="C2540" t="s">
        <v>30</v>
      </c>
      <c r="D2540" t="s">
        <v>11</v>
      </c>
      <c r="E2540" t="s">
        <v>12</v>
      </c>
      <c r="F2540">
        <v>4217179</v>
      </c>
      <c r="G2540">
        <v>4217252</v>
      </c>
      <c r="H2540">
        <v>4217179</v>
      </c>
      <c r="I2540">
        <v>4217252</v>
      </c>
    </row>
    <row r="2541" spans="1:9" x14ac:dyDescent="0.2">
      <c r="A2541" t="str">
        <f>"BC068281"</f>
        <v>BC068281</v>
      </c>
      <c r="B2541" t="s">
        <v>14</v>
      </c>
      <c r="C2541" t="s">
        <v>16</v>
      </c>
      <c r="D2541" t="s">
        <v>17</v>
      </c>
      <c r="E2541" t="s">
        <v>12</v>
      </c>
      <c r="F2541">
        <v>4843316</v>
      </c>
      <c r="G2541">
        <v>4843419</v>
      </c>
      <c r="H2541">
        <v>4843421</v>
      </c>
      <c r="I2541">
        <v>4843422</v>
      </c>
    </row>
    <row r="2542" spans="1:9" x14ac:dyDescent="0.2">
      <c r="A2542" t="str">
        <f>"BC080695"</f>
        <v>BC080695</v>
      </c>
      <c r="B2542" t="s">
        <v>2209</v>
      </c>
      <c r="C2542" t="s">
        <v>23</v>
      </c>
      <c r="D2542" t="s">
        <v>17</v>
      </c>
      <c r="E2542" t="s">
        <v>20</v>
      </c>
      <c r="F2542">
        <v>143551699</v>
      </c>
      <c r="G2542">
        <v>143551699</v>
      </c>
      <c r="H2542">
        <v>143551699</v>
      </c>
      <c r="I2542">
        <v>143551699</v>
      </c>
    </row>
    <row r="2543" spans="1:9" x14ac:dyDescent="0.2">
      <c r="A2543" t="str">
        <f>"BC080695"</f>
        <v>BC080695</v>
      </c>
      <c r="B2543" t="s">
        <v>2210</v>
      </c>
      <c r="C2543" t="s">
        <v>23</v>
      </c>
      <c r="D2543" t="s">
        <v>17</v>
      </c>
      <c r="E2543" t="s">
        <v>20</v>
      </c>
      <c r="F2543">
        <v>143567474</v>
      </c>
      <c r="G2543">
        <v>143567474</v>
      </c>
      <c r="H2543">
        <v>143567474</v>
      </c>
      <c r="I2543">
        <v>143567474</v>
      </c>
    </row>
    <row r="2544" spans="1:9" x14ac:dyDescent="0.2">
      <c r="A2544" t="str">
        <f>"BC089491"</f>
        <v>BC089491</v>
      </c>
      <c r="B2544" t="s">
        <v>14</v>
      </c>
      <c r="C2544" t="s">
        <v>33</v>
      </c>
      <c r="D2544" t="s">
        <v>11</v>
      </c>
      <c r="E2544" t="s">
        <v>12</v>
      </c>
      <c r="F2544">
        <v>28291130</v>
      </c>
      <c r="G2544">
        <v>28291164</v>
      </c>
      <c r="H2544">
        <v>28291117</v>
      </c>
      <c r="I2544">
        <v>28291128</v>
      </c>
    </row>
    <row r="2545" spans="1:9" x14ac:dyDescent="0.2">
      <c r="A2545" t="str">
        <f>"BC089597"</f>
        <v>BC089597</v>
      </c>
      <c r="B2545" t="s">
        <v>14</v>
      </c>
      <c r="C2545" t="s">
        <v>15</v>
      </c>
      <c r="D2545" t="s">
        <v>17</v>
      </c>
      <c r="E2545" t="s">
        <v>12</v>
      </c>
      <c r="F2545">
        <v>127866457</v>
      </c>
      <c r="G2545">
        <v>127866496</v>
      </c>
      <c r="H2545">
        <v>127866442</v>
      </c>
      <c r="I2545">
        <v>127866455</v>
      </c>
    </row>
    <row r="2546" spans="1:9" x14ac:dyDescent="0.2">
      <c r="A2546" t="str">
        <f>"BC094916"</f>
        <v>BC094916</v>
      </c>
      <c r="B2546" t="s">
        <v>14</v>
      </c>
      <c r="C2546" t="s">
        <v>19</v>
      </c>
      <c r="D2546" t="s">
        <v>11</v>
      </c>
      <c r="E2546" t="s">
        <v>12</v>
      </c>
      <c r="F2546">
        <v>173535985</v>
      </c>
      <c r="G2546">
        <v>173536030</v>
      </c>
      <c r="H2546">
        <v>173535985</v>
      </c>
      <c r="I2546">
        <v>173536030</v>
      </c>
    </row>
    <row r="2547" spans="1:9" x14ac:dyDescent="0.2">
      <c r="A2547" t="str">
        <f>"BC096441"</f>
        <v>BC096441</v>
      </c>
      <c r="B2547" t="s">
        <v>14</v>
      </c>
      <c r="C2547" t="s">
        <v>27</v>
      </c>
      <c r="D2547" t="s">
        <v>11</v>
      </c>
      <c r="E2547" t="s">
        <v>12</v>
      </c>
      <c r="F2547">
        <v>69695802</v>
      </c>
      <c r="G2547">
        <v>69695872</v>
      </c>
      <c r="H2547">
        <v>69696058</v>
      </c>
      <c r="I2547">
        <v>69696102</v>
      </c>
    </row>
    <row r="2548" spans="1:9" x14ac:dyDescent="0.2">
      <c r="A2548" t="str">
        <f>"BC100451"</f>
        <v>BC100451</v>
      </c>
      <c r="B2548" t="s">
        <v>14</v>
      </c>
      <c r="C2548" t="s">
        <v>27</v>
      </c>
      <c r="D2548" t="s">
        <v>11</v>
      </c>
      <c r="E2548" t="s">
        <v>12</v>
      </c>
      <c r="F2548">
        <v>118342523</v>
      </c>
      <c r="G2548">
        <v>118342569</v>
      </c>
      <c r="H2548">
        <v>118342375</v>
      </c>
      <c r="I2548">
        <v>118342378</v>
      </c>
    </row>
    <row r="2549" spans="1:9" x14ac:dyDescent="0.2">
      <c r="A2549" t="str">
        <f>"BC100530"</f>
        <v>BC100530</v>
      </c>
      <c r="B2549" t="s">
        <v>14</v>
      </c>
      <c r="C2549" t="s">
        <v>31</v>
      </c>
      <c r="D2549" t="s">
        <v>11</v>
      </c>
      <c r="E2549" t="s">
        <v>12</v>
      </c>
      <c r="F2549">
        <v>36367534</v>
      </c>
      <c r="G2549">
        <v>36367551</v>
      </c>
      <c r="H2549">
        <v>36367623</v>
      </c>
      <c r="I2549">
        <v>36367637</v>
      </c>
    </row>
    <row r="2550" spans="1:9" x14ac:dyDescent="0.2">
      <c r="A2550" t="str">
        <f>"BC106179"</f>
        <v>BC106179</v>
      </c>
      <c r="B2550" t="s">
        <v>14</v>
      </c>
      <c r="C2550" t="s">
        <v>31</v>
      </c>
      <c r="D2550" t="s">
        <v>11</v>
      </c>
      <c r="E2550" t="s">
        <v>67</v>
      </c>
      <c r="F2550">
        <v>23225302</v>
      </c>
      <c r="G2550">
        <v>23225316</v>
      </c>
      <c r="H2550">
        <v>23225225</v>
      </c>
      <c r="I2550">
        <v>23225240</v>
      </c>
    </row>
    <row r="2551" spans="1:9" x14ac:dyDescent="0.2">
      <c r="A2551" t="str">
        <f>"BC107364"</f>
        <v>BC107364</v>
      </c>
      <c r="B2551" t="s">
        <v>2211</v>
      </c>
      <c r="C2551" t="s">
        <v>22</v>
      </c>
      <c r="D2551" t="s">
        <v>11</v>
      </c>
      <c r="E2551" t="s">
        <v>20</v>
      </c>
      <c r="F2551">
        <v>96452305</v>
      </c>
      <c r="G2551">
        <v>96452305</v>
      </c>
      <c r="H2551">
        <v>96452305</v>
      </c>
      <c r="I2551">
        <v>96452305</v>
      </c>
    </row>
    <row r="2552" spans="1:9" x14ac:dyDescent="0.2">
      <c r="A2552" t="str">
        <f>"BC117090"</f>
        <v>BC117090</v>
      </c>
      <c r="B2552" t="s">
        <v>14</v>
      </c>
      <c r="C2552" t="s">
        <v>31</v>
      </c>
      <c r="D2552" t="s">
        <v>11</v>
      </c>
      <c r="E2552" t="s">
        <v>12</v>
      </c>
      <c r="F2552">
        <v>36334330</v>
      </c>
      <c r="G2552">
        <v>36334347</v>
      </c>
      <c r="H2552">
        <v>36334330</v>
      </c>
      <c r="I2552">
        <v>36334347</v>
      </c>
    </row>
    <row r="2553" spans="1:9" x14ac:dyDescent="0.2">
      <c r="A2553" t="str">
        <f>"BC147527"</f>
        <v>BC147527</v>
      </c>
      <c r="B2553" t="s">
        <v>2212</v>
      </c>
      <c r="C2553" t="s">
        <v>39</v>
      </c>
      <c r="D2553" t="s">
        <v>17</v>
      </c>
      <c r="E2553" t="s">
        <v>20</v>
      </c>
      <c r="F2553">
        <v>120308145</v>
      </c>
      <c r="G2553">
        <v>120308145</v>
      </c>
      <c r="H2553">
        <v>120308145</v>
      </c>
      <c r="I2553">
        <v>120308145</v>
      </c>
    </row>
    <row r="2554" spans="1:9" x14ac:dyDescent="0.2">
      <c r="A2554" t="str">
        <f>"Baalc"</f>
        <v>Baalc</v>
      </c>
      <c r="B2554" t="s">
        <v>14</v>
      </c>
      <c r="C2554" t="s">
        <v>25</v>
      </c>
      <c r="D2554" t="s">
        <v>17</v>
      </c>
      <c r="E2554" t="s">
        <v>67</v>
      </c>
      <c r="F2554">
        <v>38933135</v>
      </c>
      <c r="G2554">
        <v>38933180</v>
      </c>
      <c r="H2554">
        <v>38933135</v>
      </c>
      <c r="I2554">
        <v>38933180</v>
      </c>
    </row>
    <row r="2555" spans="1:9" x14ac:dyDescent="0.2">
      <c r="A2555" t="str">
        <f>"Baat"</f>
        <v>Baat</v>
      </c>
      <c r="B2555" t="s">
        <v>14</v>
      </c>
      <c r="C2555" t="s">
        <v>23</v>
      </c>
      <c r="D2555" t="s">
        <v>11</v>
      </c>
      <c r="E2555" t="s">
        <v>12</v>
      </c>
      <c r="F2555">
        <v>49506490</v>
      </c>
      <c r="G2555">
        <v>49506513</v>
      </c>
      <c r="H2555">
        <v>49506538</v>
      </c>
      <c r="I2555">
        <v>49506563</v>
      </c>
    </row>
    <row r="2556" spans="1:9" x14ac:dyDescent="0.2">
      <c r="A2556" t="str">
        <f>"Babam1"</f>
        <v>Babam1</v>
      </c>
      <c r="B2556" t="s">
        <v>14</v>
      </c>
      <c r="C2556" t="s">
        <v>30</v>
      </c>
      <c r="D2556" t="s">
        <v>17</v>
      </c>
      <c r="E2556" t="s">
        <v>67</v>
      </c>
      <c r="F2556">
        <v>71396853</v>
      </c>
      <c r="G2556">
        <v>71396891</v>
      </c>
      <c r="H2556">
        <v>71396853</v>
      </c>
      <c r="I2556">
        <v>71396891</v>
      </c>
    </row>
    <row r="2557" spans="1:9" x14ac:dyDescent="0.2">
      <c r="A2557" t="str">
        <f>"Bace1"</f>
        <v>Bace1</v>
      </c>
      <c r="B2557" t="s">
        <v>14</v>
      </c>
      <c r="C2557" t="s">
        <v>24</v>
      </c>
      <c r="D2557" t="s">
        <v>17</v>
      </c>
      <c r="E2557" t="s">
        <v>12</v>
      </c>
      <c r="F2557">
        <v>45838572</v>
      </c>
      <c r="G2557">
        <v>45838592</v>
      </c>
      <c r="H2557">
        <v>45838572</v>
      </c>
      <c r="I2557">
        <v>45838592</v>
      </c>
    </row>
    <row r="2558" spans="1:9" x14ac:dyDescent="0.2">
      <c r="A2558" t="str">
        <f>"Bace2"</f>
        <v>Bace2</v>
      </c>
      <c r="B2558" t="s">
        <v>14</v>
      </c>
      <c r="C2558" t="s">
        <v>31</v>
      </c>
      <c r="D2558" t="s">
        <v>17</v>
      </c>
      <c r="E2558" t="s">
        <v>12</v>
      </c>
      <c r="F2558">
        <v>97356734</v>
      </c>
      <c r="G2558">
        <v>97356798</v>
      </c>
      <c r="H2558">
        <v>97356721</v>
      </c>
      <c r="I2558">
        <v>97356732</v>
      </c>
    </row>
    <row r="2559" spans="1:9" x14ac:dyDescent="0.2">
      <c r="A2559" t="str">
        <f>"Bach1"</f>
        <v>Bach1</v>
      </c>
      <c r="B2559" t="s">
        <v>14</v>
      </c>
      <c r="C2559" t="s">
        <v>31</v>
      </c>
      <c r="D2559" t="s">
        <v>17</v>
      </c>
      <c r="E2559" t="s">
        <v>12</v>
      </c>
      <c r="F2559">
        <v>87698992</v>
      </c>
      <c r="G2559">
        <v>87699034</v>
      </c>
      <c r="H2559">
        <v>87698904</v>
      </c>
      <c r="I2559">
        <v>87698959</v>
      </c>
    </row>
    <row r="2560" spans="1:9" x14ac:dyDescent="0.2">
      <c r="A2560" t="str">
        <f>"Bach2"</f>
        <v>Bach2</v>
      </c>
      <c r="B2560" t="s">
        <v>14</v>
      </c>
      <c r="C2560" t="s">
        <v>23</v>
      </c>
      <c r="D2560" t="s">
        <v>17</v>
      </c>
      <c r="E2560" t="s">
        <v>12</v>
      </c>
      <c r="F2560">
        <v>32238713</v>
      </c>
      <c r="G2560">
        <v>32238802</v>
      </c>
      <c r="H2560">
        <v>32238713</v>
      </c>
      <c r="I2560">
        <v>32238802</v>
      </c>
    </row>
    <row r="2561" spans="1:9" x14ac:dyDescent="0.2">
      <c r="A2561" t="str">
        <f>"Bad"</f>
        <v>Bad</v>
      </c>
      <c r="B2561" t="s">
        <v>14</v>
      </c>
      <c r="C2561" t="s">
        <v>10</v>
      </c>
      <c r="D2561" t="s">
        <v>17</v>
      </c>
      <c r="E2561" t="s">
        <v>12</v>
      </c>
      <c r="F2561">
        <v>6941901</v>
      </c>
      <c r="G2561">
        <v>6941932</v>
      </c>
      <c r="H2561">
        <v>6942593</v>
      </c>
      <c r="I2561">
        <v>6942607</v>
      </c>
    </row>
    <row r="2562" spans="1:9" x14ac:dyDescent="0.2">
      <c r="A2562" t="str">
        <f>"Bag1"</f>
        <v>Bag1</v>
      </c>
      <c r="B2562" t="s">
        <v>14</v>
      </c>
      <c r="C2562" t="s">
        <v>23</v>
      </c>
      <c r="D2562" t="s">
        <v>11</v>
      </c>
      <c r="E2562" t="s">
        <v>12</v>
      </c>
      <c r="F2562">
        <v>40948196</v>
      </c>
      <c r="G2562">
        <v>40948296</v>
      </c>
      <c r="H2562">
        <v>40948301</v>
      </c>
      <c r="I2562">
        <v>40948318</v>
      </c>
    </row>
    <row r="2563" spans="1:9" x14ac:dyDescent="0.2">
      <c r="A2563" t="str">
        <f>"Bag2"</f>
        <v>Bag2</v>
      </c>
      <c r="B2563" t="s">
        <v>14</v>
      </c>
      <c r="C2563" t="s">
        <v>19</v>
      </c>
      <c r="D2563" t="s">
        <v>11</v>
      </c>
      <c r="E2563" t="s">
        <v>12</v>
      </c>
      <c r="F2563">
        <v>33757711</v>
      </c>
      <c r="G2563">
        <v>33757780</v>
      </c>
      <c r="H2563">
        <v>33757711</v>
      </c>
      <c r="I2563">
        <v>33757780</v>
      </c>
    </row>
    <row r="2564" spans="1:9" x14ac:dyDescent="0.2">
      <c r="A2564" t="str">
        <f>"Bag3"</f>
        <v>Bag3</v>
      </c>
      <c r="B2564" t="s">
        <v>14</v>
      </c>
      <c r="C2564" t="s">
        <v>33</v>
      </c>
      <c r="D2564" t="s">
        <v>17</v>
      </c>
      <c r="E2564" t="s">
        <v>12</v>
      </c>
      <c r="F2564">
        <v>128523762</v>
      </c>
      <c r="G2564">
        <v>128523782</v>
      </c>
      <c r="H2564">
        <v>128523576</v>
      </c>
      <c r="I2564">
        <v>128523598</v>
      </c>
    </row>
    <row r="2565" spans="1:9" x14ac:dyDescent="0.2">
      <c r="A2565" t="str">
        <f>"Bag4"</f>
        <v>Bag4</v>
      </c>
      <c r="B2565" t="s">
        <v>14</v>
      </c>
      <c r="C2565" t="s">
        <v>30</v>
      </c>
      <c r="D2565" t="s">
        <v>11</v>
      </c>
      <c r="E2565" t="s">
        <v>12</v>
      </c>
      <c r="F2565">
        <v>25785154</v>
      </c>
      <c r="G2565">
        <v>25785215</v>
      </c>
      <c r="H2565">
        <v>25785223</v>
      </c>
      <c r="I2565">
        <v>25785230</v>
      </c>
    </row>
    <row r="2566" spans="1:9" x14ac:dyDescent="0.2">
      <c r="A2566" t="str">
        <f>"Bag5"</f>
        <v>Bag5</v>
      </c>
      <c r="B2566" t="s">
        <v>14</v>
      </c>
      <c r="C2566" t="s">
        <v>16</v>
      </c>
      <c r="D2566" t="s">
        <v>11</v>
      </c>
      <c r="E2566" t="s">
        <v>12</v>
      </c>
      <c r="F2566">
        <v>111713058</v>
      </c>
      <c r="G2566">
        <v>111713116</v>
      </c>
      <c r="H2566">
        <v>111713185</v>
      </c>
      <c r="I2566">
        <v>111713218</v>
      </c>
    </row>
    <row r="2567" spans="1:9" x14ac:dyDescent="0.2">
      <c r="A2567" t="str">
        <f>"Bag6"</f>
        <v>Bag6</v>
      </c>
      <c r="B2567" t="s">
        <v>14</v>
      </c>
      <c r="C2567" t="s">
        <v>28</v>
      </c>
      <c r="D2567" t="s">
        <v>17</v>
      </c>
      <c r="E2567" t="s">
        <v>12</v>
      </c>
      <c r="F2567">
        <v>35135196</v>
      </c>
      <c r="G2567">
        <v>35135243</v>
      </c>
      <c r="H2567">
        <v>35135463</v>
      </c>
      <c r="I2567">
        <v>35135539</v>
      </c>
    </row>
    <row r="2568" spans="1:9" x14ac:dyDescent="0.2">
      <c r="A2568" t="str">
        <f>"Bahcc1"</f>
        <v>Bahcc1</v>
      </c>
      <c r="B2568" t="s">
        <v>14</v>
      </c>
      <c r="C2568" t="s">
        <v>27</v>
      </c>
      <c r="D2568" t="s">
        <v>17</v>
      </c>
      <c r="E2568" t="s">
        <v>12</v>
      </c>
      <c r="F2568">
        <v>120232921</v>
      </c>
      <c r="G2568">
        <v>120232952</v>
      </c>
      <c r="H2568">
        <v>120232958</v>
      </c>
      <c r="I2568">
        <v>120232980</v>
      </c>
    </row>
    <row r="2569" spans="1:9" x14ac:dyDescent="0.2">
      <c r="A2569" t="str">
        <f>"Bahd1"</f>
        <v>Bahd1</v>
      </c>
      <c r="B2569" t="s">
        <v>14</v>
      </c>
      <c r="C2569" t="s">
        <v>26</v>
      </c>
      <c r="D2569" t="s">
        <v>17</v>
      </c>
      <c r="E2569" t="s">
        <v>12</v>
      </c>
      <c r="F2569">
        <v>118901428</v>
      </c>
      <c r="G2569">
        <v>118901488</v>
      </c>
      <c r="H2569">
        <v>118901622</v>
      </c>
      <c r="I2569">
        <v>118901659</v>
      </c>
    </row>
    <row r="2570" spans="1:9" x14ac:dyDescent="0.2">
      <c r="A2570" t="str">
        <f>"Bai1"</f>
        <v>Bai1</v>
      </c>
      <c r="B2570" t="s">
        <v>2213</v>
      </c>
      <c r="C2570" t="s">
        <v>25</v>
      </c>
      <c r="D2570" t="s">
        <v>17</v>
      </c>
      <c r="E2570" t="s">
        <v>35</v>
      </c>
      <c r="F2570">
        <v>74516001</v>
      </c>
      <c r="G2570">
        <v>74516002</v>
      </c>
      <c r="H2570">
        <v>74516391</v>
      </c>
      <c r="I2570">
        <v>74516434</v>
      </c>
    </row>
    <row r="2571" spans="1:9" x14ac:dyDescent="0.2">
      <c r="A2571" t="str">
        <f>"Bai2"</f>
        <v>Bai2</v>
      </c>
      <c r="B2571" t="s">
        <v>14</v>
      </c>
      <c r="C2571" t="s">
        <v>23</v>
      </c>
      <c r="D2571" t="s">
        <v>17</v>
      </c>
      <c r="E2571" t="s">
        <v>12</v>
      </c>
      <c r="F2571">
        <v>129984833</v>
      </c>
      <c r="G2571">
        <v>129984876</v>
      </c>
      <c r="H2571">
        <v>129985098</v>
      </c>
      <c r="I2571">
        <v>129985154</v>
      </c>
    </row>
    <row r="2572" spans="1:9" x14ac:dyDescent="0.2">
      <c r="A2572" t="str">
        <f>"Bai3"</f>
        <v>Bai3</v>
      </c>
      <c r="B2572" t="s">
        <v>14</v>
      </c>
      <c r="C2572" t="s">
        <v>19</v>
      </c>
      <c r="D2572" t="s">
        <v>11</v>
      </c>
      <c r="E2572" t="s">
        <v>12</v>
      </c>
      <c r="F2572">
        <v>25830090</v>
      </c>
      <c r="G2572">
        <v>25830189</v>
      </c>
      <c r="H2572">
        <v>25830090</v>
      </c>
      <c r="I2572">
        <v>25830189</v>
      </c>
    </row>
    <row r="2573" spans="1:9" x14ac:dyDescent="0.2">
      <c r="A2573" t="str">
        <f>"Baiap2"</f>
        <v>Baiap2</v>
      </c>
      <c r="B2573" t="s">
        <v>14</v>
      </c>
      <c r="C2573" t="s">
        <v>27</v>
      </c>
      <c r="D2573" t="s">
        <v>17</v>
      </c>
      <c r="E2573" t="s">
        <v>12</v>
      </c>
      <c r="F2573">
        <v>119943082</v>
      </c>
      <c r="G2573">
        <v>119943099</v>
      </c>
      <c r="H2573">
        <v>119943437</v>
      </c>
      <c r="I2573">
        <v>119943476</v>
      </c>
    </row>
    <row r="2574" spans="1:9" x14ac:dyDescent="0.2">
      <c r="A2574" t="str">
        <f>"Baiap2l1"</f>
        <v>Baiap2l1</v>
      </c>
      <c r="B2574" t="s">
        <v>14</v>
      </c>
      <c r="C2574" t="s">
        <v>46</v>
      </c>
      <c r="D2574" t="s">
        <v>11</v>
      </c>
      <c r="E2574" t="s">
        <v>12</v>
      </c>
      <c r="F2574">
        <v>144358045</v>
      </c>
      <c r="G2574">
        <v>144358101</v>
      </c>
      <c r="H2574">
        <v>144358103</v>
      </c>
      <c r="I2574">
        <v>144358123</v>
      </c>
    </row>
    <row r="2575" spans="1:9" x14ac:dyDescent="0.2">
      <c r="A2575" t="str">
        <f>"Baiap2l2"</f>
        <v>Baiap2l2</v>
      </c>
      <c r="B2575" t="s">
        <v>14</v>
      </c>
      <c r="C2575" t="s">
        <v>25</v>
      </c>
      <c r="D2575" t="s">
        <v>11</v>
      </c>
      <c r="E2575" t="s">
        <v>12</v>
      </c>
      <c r="F2575">
        <v>79285470</v>
      </c>
      <c r="G2575">
        <v>79285498</v>
      </c>
      <c r="H2575">
        <v>79285502</v>
      </c>
      <c r="I2575">
        <v>79285516</v>
      </c>
    </row>
    <row r="2576" spans="1:9" x14ac:dyDescent="0.2">
      <c r="A2576" t="str">
        <f>"Baiap3"</f>
        <v>Baiap3</v>
      </c>
      <c r="B2576" t="s">
        <v>14</v>
      </c>
      <c r="C2576" t="s">
        <v>28</v>
      </c>
      <c r="D2576" t="s">
        <v>11</v>
      </c>
      <c r="E2576" t="s">
        <v>12</v>
      </c>
      <c r="F2576">
        <v>25256274</v>
      </c>
      <c r="G2576">
        <v>25256293</v>
      </c>
      <c r="H2576">
        <v>25256485</v>
      </c>
      <c r="I2576">
        <v>25256505</v>
      </c>
    </row>
    <row r="2577" spans="1:9" x14ac:dyDescent="0.2">
      <c r="A2577" t="str">
        <f>"Bak1"</f>
        <v>Bak1</v>
      </c>
      <c r="B2577" t="s">
        <v>14</v>
      </c>
      <c r="C2577" t="s">
        <v>28</v>
      </c>
      <c r="D2577" t="s">
        <v>11</v>
      </c>
      <c r="E2577" t="s">
        <v>12</v>
      </c>
      <c r="F2577">
        <v>27028534</v>
      </c>
      <c r="G2577">
        <v>27028606</v>
      </c>
      <c r="H2577">
        <v>27028620</v>
      </c>
      <c r="I2577">
        <v>27028631</v>
      </c>
    </row>
    <row r="2578" spans="1:9" x14ac:dyDescent="0.2">
      <c r="A2578" t="str">
        <f>"Bambi"</f>
        <v>Bambi</v>
      </c>
      <c r="B2578" t="s">
        <v>14</v>
      </c>
      <c r="C2578" t="s">
        <v>43</v>
      </c>
      <c r="D2578" t="s">
        <v>17</v>
      </c>
      <c r="E2578" t="s">
        <v>12</v>
      </c>
      <c r="F2578">
        <v>3507945</v>
      </c>
      <c r="G2578">
        <v>3507964</v>
      </c>
      <c r="H2578">
        <v>3507917</v>
      </c>
      <c r="I2578">
        <v>3507943</v>
      </c>
    </row>
    <row r="2579" spans="1:9" x14ac:dyDescent="0.2">
      <c r="A2579" t="str">
        <f>"Banf1"</f>
        <v>Banf1</v>
      </c>
      <c r="B2579" t="s">
        <v>14</v>
      </c>
      <c r="C2579" t="s">
        <v>10</v>
      </c>
      <c r="D2579" t="s">
        <v>11</v>
      </c>
      <c r="E2579" t="s">
        <v>12</v>
      </c>
      <c r="F2579">
        <v>5366626</v>
      </c>
      <c r="G2579">
        <v>5366663</v>
      </c>
      <c r="H2579">
        <v>5366598</v>
      </c>
      <c r="I2579">
        <v>5366611</v>
      </c>
    </row>
    <row r="2580" spans="1:9" x14ac:dyDescent="0.2">
      <c r="A2580" t="str">
        <f>"Banf2"</f>
        <v>Banf2</v>
      </c>
      <c r="B2580" t="s">
        <v>14</v>
      </c>
      <c r="C2580" t="s">
        <v>26</v>
      </c>
      <c r="D2580" t="s">
        <v>17</v>
      </c>
      <c r="E2580" t="s">
        <v>12</v>
      </c>
      <c r="F2580">
        <v>144033077</v>
      </c>
      <c r="G2580">
        <v>144033110</v>
      </c>
      <c r="H2580">
        <v>144033111</v>
      </c>
      <c r="I2580">
        <v>144033123</v>
      </c>
    </row>
    <row r="2581" spans="1:9" x14ac:dyDescent="0.2">
      <c r="A2581" t="str">
        <f>"Bank1"</f>
        <v>Bank1</v>
      </c>
      <c r="B2581" t="s">
        <v>14</v>
      </c>
      <c r="C2581" t="s">
        <v>22</v>
      </c>
      <c r="D2581" t="s">
        <v>11</v>
      </c>
      <c r="E2581" t="s">
        <v>12</v>
      </c>
      <c r="F2581">
        <v>136325962</v>
      </c>
      <c r="G2581">
        <v>136326034</v>
      </c>
      <c r="H2581">
        <v>136325962</v>
      </c>
      <c r="I2581">
        <v>136326034</v>
      </c>
    </row>
    <row r="2582" spans="1:9" x14ac:dyDescent="0.2">
      <c r="A2582" t="str">
        <f>"Banp"</f>
        <v>Banp</v>
      </c>
      <c r="B2582" t="s">
        <v>14</v>
      </c>
      <c r="C2582" t="s">
        <v>30</v>
      </c>
      <c r="D2582" t="s">
        <v>17</v>
      </c>
      <c r="E2582" t="s">
        <v>12</v>
      </c>
      <c r="F2582">
        <v>121950557</v>
      </c>
      <c r="G2582">
        <v>121950656</v>
      </c>
      <c r="H2582">
        <v>121950557</v>
      </c>
      <c r="I2582">
        <v>121950656</v>
      </c>
    </row>
    <row r="2583" spans="1:9" x14ac:dyDescent="0.2">
      <c r="A2583" t="str">
        <f>"Bap1"</f>
        <v>Bap1</v>
      </c>
      <c r="B2583" t="s">
        <v>14</v>
      </c>
      <c r="C2583" t="s">
        <v>41</v>
      </c>
      <c r="D2583" t="s">
        <v>17</v>
      </c>
      <c r="E2583" t="s">
        <v>12</v>
      </c>
      <c r="F2583">
        <v>31251454</v>
      </c>
      <c r="G2583">
        <v>31251530</v>
      </c>
      <c r="H2583">
        <v>31251090</v>
      </c>
      <c r="I2583">
        <v>31251103</v>
      </c>
    </row>
    <row r="2584" spans="1:9" x14ac:dyDescent="0.2">
      <c r="A2584" t="str">
        <f>"Bard1"</f>
        <v>Bard1</v>
      </c>
      <c r="B2584" t="s">
        <v>14</v>
      </c>
      <c r="C2584" t="s">
        <v>19</v>
      </c>
      <c r="D2584" t="s">
        <v>11</v>
      </c>
      <c r="E2584" t="s">
        <v>12</v>
      </c>
      <c r="F2584">
        <v>71102901</v>
      </c>
      <c r="G2584">
        <v>71102979</v>
      </c>
      <c r="H2584">
        <v>71102901</v>
      </c>
      <c r="I2584">
        <v>71102979</v>
      </c>
    </row>
    <row r="2585" spans="1:9" x14ac:dyDescent="0.2">
      <c r="A2585" t="str">
        <f>"Barhl1"</f>
        <v>Barhl1</v>
      </c>
      <c r="B2585" t="s">
        <v>14</v>
      </c>
      <c r="C2585" t="s">
        <v>26</v>
      </c>
      <c r="D2585" t="s">
        <v>11</v>
      </c>
      <c r="E2585" t="s">
        <v>12</v>
      </c>
      <c r="F2585">
        <v>28915536</v>
      </c>
      <c r="G2585">
        <v>28915572</v>
      </c>
      <c r="H2585">
        <v>28915860</v>
      </c>
      <c r="I2585">
        <v>28915893</v>
      </c>
    </row>
    <row r="2586" spans="1:9" x14ac:dyDescent="0.2">
      <c r="A2586" t="str">
        <f>"Barhl2"</f>
        <v>Barhl2</v>
      </c>
      <c r="B2586" t="s">
        <v>14</v>
      </c>
      <c r="C2586" t="s">
        <v>46</v>
      </c>
      <c r="D2586" t="s">
        <v>11</v>
      </c>
      <c r="E2586" t="s">
        <v>12</v>
      </c>
      <c r="F2586">
        <v>106458455</v>
      </c>
      <c r="G2586">
        <v>106458470</v>
      </c>
      <c r="H2586">
        <v>106458477</v>
      </c>
      <c r="I2586">
        <v>106458496</v>
      </c>
    </row>
    <row r="2587" spans="1:9" x14ac:dyDescent="0.2">
      <c r="A2587" t="str">
        <f>"Barx1"</f>
        <v>Barx1</v>
      </c>
      <c r="B2587" t="s">
        <v>14</v>
      </c>
      <c r="C2587" t="s">
        <v>39</v>
      </c>
      <c r="D2587" t="s">
        <v>17</v>
      </c>
      <c r="E2587" t="s">
        <v>12</v>
      </c>
      <c r="F2587">
        <v>48662907</v>
      </c>
      <c r="G2587">
        <v>48662922</v>
      </c>
      <c r="H2587">
        <v>48662989</v>
      </c>
      <c r="I2587">
        <v>48663046</v>
      </c>
    </row>
    <row r="2588" spans="1:9" x14ac:dyDescent="0.2">
      <c r="A2588" t="str">
        <f>"Barx2"</f>
        <v>Barx2</v>
      </c>
      <c r="B2588" t="s">
        <v>14</v>
      </c>
      <c r="C2588" t="s">
        <v>24</v>
      </c>
      <c r="D2588" t="s">
        <v>11</v>
      </c>
      <c r="E2588" t="s">
        <v>12</v>
      </c>
      <c r="F2588">
        <v>31913258</v>
      </c>
      <c r="G2588">
        <v>31913303</v>
      </c>
      <c r="H2588">
        <v>31913318</v>
      </c>
      <c r="I2588">
        <v>31913333</v>
      </c>
    </row>
    <row r="2589" spans="1:9" x14ac:dyDescent="0.2">
      <c r="A2589" t="str">
        <f>"Basp1"</f>
        <v>Basp1</v>
      </c>
      <c r="B2589" t="s">
        <v>14</v>
      </c>
      <c r="C2589" t="s">
        <v>25</v>
      </c>
      <c r="D2589" t="s">
        <v>11</v>
      </c>
      <c r="E2589" t="s">
        <v>12</v>
      </c>
      <c r="F2589">
        <v>25413728</v>
      </c>
      <c r="G2589">
        <v>25413745</v>
      </c>
      <c r="H2589">
        <v>25413752</v>
      </c>
      <c r="I2589">
        <v>25413773</v>
      </c>
    </row>
    <row r="2590" spans="1:9" x14ac:dyDescent="0.2">
      <c r="A2590" t="str">
        <f>"Batf"</f>
        <v>Batf</v>
      </c>
      <c r="B2590" t="s">
        <v>14</v>
      </c>
      <c r="C2590" t="s">
        <v>16</v>
      </c>
      <c r="D2590" t="s">
        <v>17</v>
      </c>
      <c r="E2590" t="s">
        <v>12</v>
      </c>
      <c r="F2590">
        <v>85686648</v>
      </c>
      <c r="G2590">
        <v>85686702</v>
      </c>
      <c r="H2590">
        <v>85686713</v>
      </c>
      <c r="I2590">
        <v>85686728</v>
      </c>
    </row>
    <row r="2591" spans="1:9" x14ac:dyDescent="0.2">
      <c r="A2591" t="str">
        <f>"Batf2"</f>
        <v>Batf2</v>
      </c>
      <c r="B2591" t="s">
        <v>14</v>
      </c>
      <c r="C2591" t="s">
        <v>10</v>
      </c>
      <c r="D2591" t="s">
        <v>17</v>
      </c>
      <c r="E2591" t="s">
        <v>12</v>
      </c>
      <c r="F2591">
        <v>6164480</v>
      </c>
      <c r="G2591">
        <v>6164504</v>
      </c>
      <c r="H2591">
        <v>6164433</v>
      </c>
      <c r="I2591">
        <v>6164446</v>
      </c>
    </row>
    <row r="2592" spans="1:9" x14ac:dyDescent="0.2">
      <c r="A2592" t="str">
        <f>"Batf3"</f>
        <v>Batf3</v>
      </c>
      <c r="B2592" t="s">
        <v>14</v>
      </c>
      <c r="C2592" t="s">
        <v>19</v>
      </c>
      <c r="D2592" t="s">
        <v>17</v>
      </c>
      <c r="E2592" t="s">
        <v>12</v>
      </c>
      <c r="F2592">
        <v>191097836</v>
      </c>
      <c r="G2592">
        <v>191097858</v>
      </c>
      <c r="H2592">
        <v>191097873</v>
      </c>
      <c r="I2592">
        <v>191097886</v>
      </c>
    </row>
    <row r="2593" spans="1:9" x14ac:dyDescent="0.2">
      <c r="A2593" t="str">
        <f>"Bax"</f>
        <v>Bax</v>
      </c>
      <c r="B2593" t="s">
        <v>14</v>
      </c>
      <c r="C2593" t="s">
        <v>33</v>
      </c>
      <c r="D2593" t="s">
        <v>11</v>
      </c>
      <c r="E2593" t="s">
        <v>12</v>
      </c>
      <c r="F2593">
        <v>45466793</v>
      </c>
      <c r="G2593">
        <v>45466854</v>
      </c>
      <c r="H2593">
        <v>45466779</v>
      </c>
      <c r="I2593">
        <v>45466790</v>
      </c>
    </row>
    <row r="2594" spans="1:9" x14ac:dyDescent="0.2">
      <c r="A2594" t="str">
        <f>"Baz1a"</f>
        <v>Baz1a</v>
      </c>
      <c r="B2594" t="s">
        <v>14</v>
      </c>
      <c r="C2594" t="s">
        <v>16</v>
      </c>
      <c r="D2594" t="s">
        <v>11</v>
      </c>
      <c r="E2594" t="s">
        <v>12</v>
      </c>
      <c r="F2594">
        <v>54986328</v>
      </c>
      <c r="G2594">
        <v>54986342</v>
      </c>
      <c r="H2594">
        <v>54986345</v>
      </c>
      <c r="I2594">
        <v>54986362</v>
      </c>
    </row>
    <row r="2595" spans="1:9" x14ac:dyDescent="0.2">
      <c r="A2595" t="str">
        <f>"Baz1b"</f>
        <v>Baz1b</v>
      </c>
      <c r="B2595" t="s">
        <v>14</v>
      </c>
      <c r="C2595" t="s">
        <v>46</v>
      </c>
      <c r="D2595" t="s">
        <v>17</v>
      </c>
      <c r="E2595" t="s">
        <v>12</v>
      </c>
      <c r="F2595">
        <v>135187251</v>
      </c>
      <c r="G2595">
        <v>135187269</v>
      </c>
      <c r="H2595">
        <v>135187304</v>
      </c>
      <c r="I2595">
        <v>135187333</v>
      </c>
    </row>
    <row r="2596" spans="1:9" x14ac:dyDescent="0.2">
      <c r="A2596" t="str">
        <f>"Baz2a"</f>
        <v>Baz2a</v>
      </c>
      <c r="B2596" t="s">
        <v>2214</v>
      </c>
      <c r="C2596" t="s">
        <v>15</v>
      </c>
      <c r="D2596" t="s">
        <v>17</v>
      </c>
      <c r="E2596" t="s">
        <v>35</v>
      </c>
      <c r="F2596">
        <v>128092658</v>
      </c>
      <c r="G2596">
        <v>128092694</v>
      </c>
      <c r="H2596">
        <v>128092840</v>
      </c>
      <c r="I2596">
        <v>128092842</v>
      </c>
    </row>
    <row r="2597" spans="1:9" x14ac:dyDescent="0.2">
      <c r="A2597" t="str">
        <f>"Baz2b"</f>
        <v>Baz2b</v>
      </c>
      <c r="B2597" t="s">
        <v>14</v>
      </c>
      <c r="C2597" t="s">
        <v>26</v>
      </c>
      <c r="D2597" t="s">
        <v>11</v>
      </c>
      <c r="E2597" t="s">
        <v>12</v>
      </c>
      <c r="F2597">
        <v>60125651</v>
      </c>
      <c r="G2597">
        <v>60125775</v>
      </c>
      <c r="H2597">
        <v>60125651</v>
      </c>
      <c r="I2597">
        <v>60125775</v>
      </c>
    </row>
    <row r="2598" spans="1:9" x14ac:dyDescent="0.2">
      <c r="A2598" t="str">
        <f>"Bbc3"</f>
        <v>Bbc3</v>
      </c>
      <c r="B2598" t="s">
        <v>14</v>
      </c>
      <c r="C2598" t="s">
        <v>33</v>
      </c>
      <c r="D2598" t="s">
        <v>17</v>
      </c>
      <c r="E2598" t="s">
        <v>12</v>
      </c>
      <c r="F2598">
        <v>16309577</v>
      </c>
      <c r="G2598">
        <v>16309641</v>
      </c>
      <c r="H2598">
        <v>16309577</v>
      </c>
      <c r="I2598">
        <v>16309641</v>
      </c>
    </row>
    <row r="2599" spans="1:9" x14ac:dyDescent="0.2">
      <c r="A2599" t="str">
        <f>"Bbip1"</f>
        <v>Bbip1</v>
      </c>
      <c r="B2599" t="s">
        <v>14</v>
      </c>
      <c r="C2599" t="s">
        <v>10</v>
      </c>
      <c r="D2599" t="s">
        <v>11</v>
      </c>
      <c r="E2599" t="s">
        <v>12</v>
      </c>
      <c r="F2599">
        <v>53944436</v>
      </c>
      <c r="G2599">
        <v>53944487</v>
      </c>
      <c r="H2599">
        <v>53944492</v>
      </c>
      <c r="I2599">
        <v>53944516</v>
      </c>
    </row>
    <row r="2600" spans="1:9" x14ac:dyDescent="0.2">
      <c r="A2600" t="str">
        <f>"Bbox1"</f>
        <v>Bbox1</v>
      </c>
      <c r="B2600" t="s">
        <v>14</v>
      </c>
      <c r="C2600" t="s">
        <v>26</v>
      </c>
      <c r="D2600" t="s">
        <v>11</v>
      </c>
      <c r="E2600" t="s">
        <v>12</v>
      </c>
      <c r="F2600">
        <v>110305730</v>
      </c>
      <c r="G2600">
        <v>110305755</v>
      </c>
      <c r="H2600">
        <v>110305677</v>
      </c>
      <c r="I2600">
        <v>110305721</v>
      </c>
    </row>
    <row r="2601" spans="1:9" x14ac:dyDescent="0.2">
      <c r="A2601" t="str">
        <f>"Bbs1"</f>
        <v>Bbs1</v>
      </c>
      <c r="B2601" t="s">
        <v>14</v>
      </c>
      <c r="C2601" t="s">
        <v>10</v>
      </c>
      <c r="D2601" t="s">
        <v>11</v>
      </c>
      <c r="E2601" t="s">
        <v>12</v>
      </c>
      <c r="F2601">
        <v>4906598</v>
      </c>
      <c r="G2601">
        <v>4906632</v>
      </c>
      <c r="H2601">
        <v>4906636</v>
      </c>
      <c r="I2601">
        <v>4906640</v>
      </c>
    </row>
    <row r="2602" spans="1:9" x14ac:dyDescent="0.2">
      <c r="A2602" t="str">
        <f>"Bbs10"</f>
        <v>Bbs10</v>
      </c>
      <c r="B2602" t="s">
        <v>14</v>
      </c>
      <c r="C2602" t="s">
        <v>15</v>
      </c>
      <c r="D2602" t="s">
        <v>17</v>
      </c>
      <c r="E2602" t="s">
        <v>12</v>
      </c>
      <c r="F2602">
        <v>111298699</v>
      </c>
      <c r="G2602">
        <v>111298721</v>
      </c>
      <c r="H2602">
        <v>111298682</v>
      </c>
      <c r="I2602">
        <v>111298689</v>
      </c>
    </row>
    <row r="2603" spans="1:9" x14ac:dyDescent="0.2">
      <c r="A2603" t="str">
        <f>"Bbs12"</f>
        <v>Bbs12</v>
      </c>
      <c r="B2603" t="s">
        <v>14</v>
      </c>
      <c r="C2603" t="s">
        <v>22</v>
      </c>
      <c r="D2603" t="s">
        <v>17</v>
      </c>
      <c r="E2603" t="s">
        <v>12</v>
      </c>
      <c r="F2603">
        <v>37312514</v>
      </c>
      <c r="G2603">
        <v>37312575</v>
      </c>
      <c r="H2603">
        <v>37312514</v>
      </c>
      <c r="I2603">
        <v>37312575</v>
      </c>
    </row>
    <row r="2604" spans="1:9" x14ac:dyDescent="0.2">
      <c r="A2604" t="str">
        <f>"Bbs2"</f>
        <v>Bbs2</v>
      </c>
      <c r="B2604" t="s">
        <v>14</v>
      </c>
      <c r="C2604" t="s">
        <v>30</v>
      </c>
      <c r="D2604" t="s">
        <v>11</v>
      </c>
      <c r="E2604" t="s">
        <v>12</v>
      </c>
      <c r="F2604">
        <v>94098342</v>
      </c>
      <c r="G2604">
        <v>94098388</v>
      </c>
      <c r="H2604">
        <v>94098342</v>
      </c>
      <c r="I2604">
        <v>94098388</v>
      </c>
    </row>
    <row r="2605" spans="1:9" x14ac:dyDescent="0.2">
      <c r="A2605" t="str">
        <f>"Bbs4"</f>
        <v>Bbs4</v>
      </c>
      <c r="B2605" t="s">
        <v>14</v>
      </c>
      <c r="C2605" t="s">
        <v>24</v>
      </c>
      <c r="D2605" t="s">
        <v>11</v>
      </c>
      <c r="E2605" t="s">
        <v>12</v>
      </c>
      <c r="F2605">
        <v>59353430</v>
      </c>
      <c r="G2605">
        <v>59353465</v>
      </c>
      <c r="H2605">
        <v>59353430</v>
      </c>
      <c r="I2605">
        <v>59353465</v>
      </c>
    </row>
    <row r="2606" spans="1:9" x14ac:dyDescent="0.2">
      <c r="A2606" t="str">
        <f>"Bbs5"</f>
        <v>Bbs5</v>
      </c>
      <c r="B2606" t="s">
        <v>14</v>
      </c>
      <c r="C2606" t="s">
        <v>26</v>
      </c>
      <c r="D2606" t="s">
        <v>17</v>
      </c>
      <c r="E2606" t="s">
        <v>12</v>
      </c>
      <c r="F2606">
        <v>69647211</v>
      </c>
      <c r="G2606">
        <v>69647272</v>
      </c>
      <c r="H2606">
        <v>69647192</v>
      </c>
      <c r="I2606">
        <v>69647202</v>
      </c>
    </row>
    <row r="2607" spans="1:9" x14ac:dyDescent="0.2">
      <c r="A2607" t="str">
        <f>"Bbs7"</f>
        <v>Bbs7</v>
      </c>
      <c r="B2607" t="s">
        <v>14</v>
      </c>
      <c r="C2607" t="s">
        <v>22</v>
      </c>
      <c r="D2607" t="s">
        <v>11</v>
      </c>
      <c r="E2607" t="s">
        <v>12</v>
      </c>
      <c r="F2607">
        <v>36613370</v>
      </c>
      <c r="G2607">
        <v>36613397</v>
      </c>
      <c r="H2607">
        <v>36613339</v>
      </c>
      <c r="I2607">
        <v>36613367</v>
      </c>
    </row>
    <row r="2608" spans="1:9" x14ac:dyDescent="0.2">
      <c r="A2608" t="str">
        <f>"Bbs9"</f>
        <v>Bbs9</v>
      </c>
      <c r="B2608" t="s">
        <v>14</v>
      </c>
      <c r="C2608" t="s">
        <v>24</v>
      </c>
      <c r="D2608" t="s">
        <v>17</v>
      </c>
      <c r="E2608" t="s">
        <v>12</v>
      </c>
      <c r="F2608">
        <v>22475691</v>
      </c>
      <c r="G2608">
        <v>22475756</v>
      </c>
      <c r="H2608">
        <v>22475813</v>
      </c>
      <c r="I2608">
        <v>22475858</v>
      </c>
    </row>
    <row r="2609" spans="1:9" x14ac:dyDescent="0.2">
      <c r="A2609" t="str">
        <f>"Bbx"</f>
        <v>Bbx</v>
      </c>
      <c r="B2609" t="s">
        <v>14</v>
      </c>
      <c r="C2609" t="s">
        <v>31</v>
      </c>
      <c r="D2609" t="s">
        <v>11</v>
      </c>
      <c r="E2609" t="s">
        <v>12</v>
      </c>
      <c r="F2609">
        <v>50432354</v>
      </c>
      <c r="G2609">
        <v>50432409</v>
      </c>
      <c r="H2609">
        <v>50432295</v>
      </c>
      <c r="I2609">
        <v>50432313</v>
      </c>
    </row>
    <row r="2610" spans="1:9" x14ac:dyDescent="0.2">
      <c r="A2610" t="str">
        <f>"Bcam"</f>
        <v>Bcam</v>
      </c>
      <c r="B2610" t="s">
        <v>14</v>
      </c>
      <c r="C2610" t="s">
        <v>33</v>
      </c>
      <c r="D2610" t="s">
        <v>11</v>
      </c>
      <c r="E2610" t="s">
        <v>12</v>
      </c>
      <c r="F2610">
        <v>19770485</v>
      </c>
      <c r="G2610">
        <v>19770504</v>
      </c>
      <c r="H2610">
        <v>19770509</v>
      </c>
      <c r="I2610">
        <v>19770526</v>
      </c>
    </row>
    <row r="2611" spans="1:9" x14ac:dyDescent="0.2">
      <c r="A2611" t="str">
        <f>"Bcan"</f>
        <v>Bcan</v>
      </c>
      <c r="B2611" t="s">
        <v>14</v>
      </c>
      <c r="C2611" t="s">
        <v>22</v>
      </c>
      <c r="D2611" t="s">
        <v>11</v>
      </c>
      <c r="E2611" t="s">
        <v>12</v>
      </c>
      <c r="F2611">
        <v>88000148</v>
      </c>
      <c r="G2611">
        <v>88000180</v>
      </c>
      <c r="H2611">
        <v>88000364</v>
      </c>
      <c r="I2611">
        <v>88000389</v>
      </c>
    </row>
    <row r="2612" spans="1:9" x14ac:dyDescent="0.2">
      <c r="A2612" t="str">
        <f>"Bcap29"</f>
        <v>Bcap29</v>
      </c>
      <c r="B2612" t="s">
        <v>14</v>
      </c>
      <c r="C2612" t="s">
        <v>16</v>
      </c>
      <c r="D2612" t="s">
        <v>11</v>
      </c>
      <c r="E2612" t="s">
        <v>12</v>
      </c>
      <c r="F2612">
        <v>31634592</v>
      </c>
      <c r="G2612">
        <v>31634677</v>
      </c>
      <c r="H2612">
        <v>31634417</v>
      </c>
      <c r="I2612">
        <v>31634497</v>
      </c>
    </row>
    <row r="2613" spans="1:9" x14ac:dyDescent="0.2">
      <c r="A2613" t="str">
        <f>"Bcap31"</f>
        <v>Bcap31</v>
      </c>
      <c r="B2613" t="s">
        <v>14</v>
      </c>
      <c r="C2613" t="s">
        <v>37</v>
      </c>
      <c r="D2613" t="s">
        <v>11</v>
      </c>
      <c r="E2613" t="s">
        <v>12</v>
      </c>
      <c r="F2613">
        <v>73716145</v>
      </c>
      <c r="G2613">
        <v>73716187</v>
      </c>
      <c r="H2613">
        <v>73716198</v>
      </c>
      <c r="I2613">
        <v>73716209</v>
      </c>
    </row>
    <row r="2614" spans="1:9" x14ac:dyDescent="0.2">
      <c r="A2614" t="str">
        <f>"Bcar1"</f>
        <v>Bcar1</v>
      </c>
      <c r="B2614" t="s">
        <v>9</v>
      </c>
      <c r="C2614" t="s">
        <v>30</v>
      </c>
      <c r="D2614" t="s">
        <v>11</v>
      </c>
      <c r="E2614" t="s">
        <v>12</v>
      </c>
      <c r="F2614">
        <v>111743799</v>
      </c>
      <c r="G2614">
        <v>111743857</v>
      </c>
      <c r="H2614">
        <v>111743799</v>
      </c>
      <c r="I2614">
        <v>111743857</v>
      </c>
    </row>
    <row r="2615" spans="1:9" x14ac:dyDescent="0.2">
      <c r="A2615" t="str">
        <f>"Bcar1"</f>
        <v>Bcar1</v>
      </c>
      <c r="B2615" t="s">
        <v>13</v>
      </c>
      <c r="C2615" t="s">
        <v>30</v>
      </c>
      <c r="D2615" t="s">
        <v>11</v>
      </c>
      <c r="E2615" t="s">
        <v>12</v>
      </c>
      <c r="F2615">
        <v>111732091</v>
      </c>
      <c r="G2615">
        <v>111732146</v>
      </c>
      <c r="H2615">
        <v>111732091</v>
      </c>
      <c r="I2615">
        <v>111732146</v>
      </c>
    </row>
    <row r="2616" spans="1:9" x14ac:dyDescent="0.2">
      <c r="A2616" t="str">
        <f>"Bcar3"</f>
        <v>Bcar3</v>
      </c>
      <c r="B2616" t="s">
        <v>14</v>
      </c>
      <c r="C2616" t="s">
        <v>22</v>
      </c>
      <c r="D2616" t="s">
        <v>17</v>
      </c>
      <c r="E2616" t="s">
        <v>12</v>
      </c>
      <c r="F2616">
        <v>122419985</v>
      </c>
      <c r="G2616">
        <v>122420000</v>
      </c>
      <c r="H2616">
        <v>122419772</v>
      </c>
      <c r="I2616">
        <v>122419787</v>
      </c>
    </row>
    <row r="2617" spans="1:9" x14ac:dyDescent="0.2">
      <c r="A2617" t="str">
        <f>"Bcas1"</f>
        <v>Bcas1</v>
      </c>
      <c r="B2617" t="s">
        <v>9</v>
      </c>
      <c r="C2617" t="s">
        <v>26</v>
      </c>
      <c r="D2617" t="s">
        <v>11</v>
      </c>
      <c r="E2617" t="s">
        <v>12</v>
      </c>
      <c r="F2617">
        <v>170406501</v>
      </c>
      <c r="G2617">
        <v>170406518</v>
      </c>
      <c r="H2617">
        <v>170406501</v>
      </c>
      <c r="I2617">
        <v>170406518</v>
      </c>
    </row>
    <row r="2618" spans="1:9" x14ac:dyDescent="0.2">
      <c r="A2618" t="str">
        <f>"Bcas1"</f>
        <v>Bcas1</v>
      </c>
      <c r="B2618" t="s">
        <v>13</v>
      </c>
      <c r="C2618" t="s">
        <v>26</v>
      </c>
      <c r="D2618" t="s">
        <v>11</v>
      </c>
      <c r="E2618" t="s">
        <v>12</v>
      </c>
      <c r="F2618">
        <v>170427837</v>
      </c>
      <c r="G2618">
        <v>170427852</v>
      </c>
      <c r="H2618">
        <v>170427837</v>
      </c>
      <c r="I2618">
        <v>170427852</v>
      </c>
    </row>
    <row r="2619" spans="1:9" x14ac:dyDescent="0.2">
      <c r="A2619" t="str">
        <f>"Bcas2"</f>
        <v>Bcas2</v>
      </c>
      <c r="B2619" t="s">
        <v>14</v>
      </c>
      <c r="C2619" t="s">
        <v>22</v>
      </c>
      <c r="D2619" t="s">
        <v>17</v>
      </c>
      <c r="E2619" t="s">
        <v>12</v>
      </c>
      <c r="F2619">
        <v>103171728</v>
      </c>
      <c r="G2619">
        <v>103171767</v>
      </c>
      <c r="H2619">
        <v>103171714</v>
      </c>
      <c r="I2619">
        <v>103171725</v>
      </c>
    </row>
    <row r="2620" spans="1:9" x14ac:dyDescent="0.2">
      <c r="A2620" t="str">
        <f>"Bcas3"</f>
        <v>Bcas3</v>
      </c>
      <c r="B2620" t="s">
        <v>14</v>
      </c>
      <c r="C2620" t="s">
        <v>27</v>
      </c>
      <c r="D2620" t="s">
        <v>17</v>
      </c>
      <c r="E2620" t="s">
        <v>12</v>
      </c>
      <c r="F2620">
        <v>85353156</v>
      </c>
      <c r="G2620">
        <v>85353219</v>
      </c>
      <c r="H2620">
        <v>85353156</v>
      </c>
      <c r="I2620">
        <v>85353219</v>
      </c>
    </row>
    <row r="2621" spans="1:9" x14ac:dyDescent="0.2">
      <c r="A2621" t="str">
        <f>"Bcat1"</f>
        <v>Bcat1</v>
      </c>
      <c r="B2621" t="s">
        <v>9</v>
      </c>
      <c r="C2621" t="s">
        <v>32</v>
      </c>
      <c r="D2621" t="s">
        <v>11</v>
      </c>
      <c r="E2621" t="s">
        <v>12</v>
      </c>
      <c r="F2621">
        <v>145048749</v>
      </c>
      <c r="G2621">
        <v>145048805</v>
      </c>
      <c r="H2621">
        <v>145048749</v>
      </c>
      <c r="I2621">
        <v>145048805</v>
      </c>
    </row>
    <row r="2622" spans="1:9" x14ac:dyDescent="0.2">
      <c r="A2622" t="str">
        <f>"Bcat1"</f>
        <v>Bcat1</v>
      </c>
      <c r="B2622" t="s">
        <v>13</v>
      </c>
      <c r="C2622" t="s">
        <v>32</v>
      </c>
      <c r="D2622" t="s">
        <v>11</v>
      </c>
      <c r="E2622" t="s">
        <v>12</v>
      </c>
      <c r="F2622">
        <v>145075960</v>
      </c>
      <c r="G2622">
        <v>145076018</v>
      </c>
      <c r="H2622">
        <v>145075960</v>
      </c>
      <c r="I2622">
        <v>145076018</v>
      </c>
    </row>
    <row r="2623" spans="1:9" x14ac:dyDescent="0.2">
      <c r="A2623" t="str">
        <f>"Bcat2"</f>
        <v>Bcat2</v>
      </c>
      <c r="B2623" t="s">
        <v>14</v>
      </c>
      <c r="C2623" t="s">
        <v>33</v>
      </c>
      <c r="D2623" t="s">
        <v>17</v>
      </c>
      <c r="E2623" t="s">
        <v>12</v>
      </c>
      <c r="F2623">
        <v>45570342</v>
      </c>
      <c r="G2623">
        <v>45570371</v>
      </c>
      <c r="H2623">
        <v>45570342</v>
      </c>
      <c r="I2623">
        <v>45570371</v>
      </c>
    </row>
    <row r="2624" spans="1:9" x14ac:dyDescent="0.2">
      <c r="A2624" t="str">
        <f>"Bccip"</f>
        <v>Bccip</v>
      </c>
      <c r="B2624" t="s">
        <v>14</v>
      </c>
      <c r="C2624" t="s">
        <v>33</v>
      </c>
      <c r="D2624" t="s">
        <v>17</v>
      </c>
      <c r="E2624" t="s">
        <v>12</v>
      </c>
      <c r="F2624">
        <v>133709335</v>
      </c>
      <c r="G2624">
        <v>133709348</v>
      </c>
      <c r="H2624">
        <v>133709351</v>
      </c>
      <c r="I2624">
        <v>133709358</v>
      </c>
    </row>
    <row r="2625" spans="1:9" x14ac:dyDescent="0.2">
      <c r="A2625" t="str">
        <f>"Bcdin3d"</f>
        <v>Bcdin3d</v>
      </c>
      <c r="B2625" t="s">
        <v>14</v>
      </c>
      <c r="C2625" t="s">
        <v>25</v>
      </c>
      <c r="D2625" t="s">
        <v>11</v>
      </c>
      <c r="E2625" t="s">
        <v>12</v>
      </c>
      <c r="F2625">
        <v>99474696</v>
      </c>
      <c r="G2625">
        <v>99474735</v>
      </c>
      <c r="H2625">
        <v>99474696</v>
      </c>
      <c r="I2625">
        <v>99474735</v>
      </c>
    </row>
    <row r="2626" spans="1:9" x14ac:dyDescent="0.2">
      <c r="A2626" t="str">
        <f>"Bche"</f>
        <v>Bche</v>
      </c>
      <c r="B2626" t="s">
        <v>14</v>
      </c>
      <c r="C2626" t="s">
        <v>22</v>
      </c>
      <c r="D2626" t="s">
        <v>11</v>
      </c>
      <c r="E2626" t="s">
        <v>12</v>
      </c>
      <c r="F2626">
        <v>73708202</v>
      </c>
      <c r="G2626">
        <v>73708277</v>
      </c>
      <c r="H2626">
        <v>73708399</v>
      </c>
      <c r="I2626">
        <v>73708423</v>
      </c>
    </row>
    <row r="2627" spans="1:9" x14ac:dyDescent="0.2">
      <c r="A2627" t="str">
        <f>"Bckdha"</f>
        <v>Bckdha</v>
      </c>
      <c r="B2627" t="s">
        <v>14</v>
      </c>
      <c r="C2627" t="s">
        <v>33</v>
      </c>
      <c r="D2627" t="s">
        <v>11</v>
      </c>
      <c r="E2627" t="s">
        <v>12</v>
      </c>
      <c r="F2627">
        <v>25658726</v>
      </c>
      <c r="G2627">
        <v>25658761</v>
      </c>
      <c r="H2627">
        <v>25658765</v>
      </c>
      <c r="I2627">
        <v>25658770</v>
      </c>
    </row>
    <row r="2628" spans="1:9" x14ac:dyDescent="0.2">
      <c r="A2628" t="str">
        <f>"Bckdhb"</f>
        <v>Bckdhb</v>
      </c>
      <c r="B2628" t="s">
        <v>14</v>
      </c>
      <c r="C2628" t="s">
        <v>24</v>
      </c>
      <c r="D2628" t="s">
        <v>17</v>
      </c>
      <c r="E2628" t="s">
        <v>12</v>
      </c>
      <c r="F2628">
        <v>83925118</v>
      </c>
      <c r="G2628">
        <v>83925175</v>
      </c>
      <c r="H2628">
        <v>83925112</v>
      </c>
      <c r="I2628">
        <v>83925116</v>
      </c>
    </row>
    <row r="2629" spans="1:9" x14ac:dyDescent="0.2">
      <c r="A2629" t="str">
        <f>"Bckdk"</f>
        <v>Bckdk</v>
      </c>
      <c r="B2629" t="s">
        <v>14</v>
      </c>
      <c r="C2629" t="s">
        <v>33</v>
      </c>
      <c r="D2629" t="s">
        <v>17</v>
      </c>
      <c r="E2629" t="s">
        <v>12</v>
      </c>
      <c r="F2629">
        <v>127904079</v>
      </c>
      <c r="G2629">
        <v>127904125</v>
      </c>
      <c r="H2629">
        <v>127904824</v>
      </c>
      <c r="I2629">
        <v>127904839</v>
      </c>
    </row>
    <row r="2630" spans="1:9" x14ac:dyDescent="0.2">
      <c r="A2630" t="str">
        <f>"Bcl10"</f>
        <v>Bcl10</v>
      </c>
      <c r="B2630" t="s">
        <v>14</v>
      </c>
      <c r="C2630" t="s">
        <v>22</v>
      </c>
      <c r="D2630" t="s">
        <v>17</v>
      </c>
      <c r="E2630" t="s">
        <v>12</v>
      </c>
      <c r="F2630">
        <v>145924303</v>
      </c>
      <c r="G2630">
        <v>145924378</v>
      </c>
      <c r="H2630">
        <v>145924280</v>
      </c>
      <c r="I2630">
        <v>145924295</v>
      </c>
    </row>
    <row r="2631" spans="1:9" x14ac:dyDescent="0.2">
      <c r="A2631" t="str">
        <f>"Bcl11a"</f>
        <v>Bcl11a</v>
      </c>
      <c r="B2631" t="s">
        <v>9</v>
      </c>
      <c r="C2631" t="s">
        <v>27</v>
      </c>
      <c r="D2631" t="s">
        <v>17</v>
      </c>
      <c r="E2631" t="s">
        <v>12</v>
      </c>
      <c r="F2631">
        <v>24078022</v>
      </c>
      <c r="G2631">
        <v>24078076</v>
      </c>
      <c r="H2631">
        <v>24078022</v>
      </c>
      <c r="I2631">
        <v>24078076</v>
      </c>
    </row>
    <row r="2632" spans="1:9" x14ac:dyDescent="0.2">
      <c r="A2632" t="str">
        <f>"Bcl11a"</f>
        <v>Bcl11a</v>
      </c>
      <c r="B2632" t="s">
        <v>13</v>
      </c>
      <c r="C2632" t="s">
        <v>27</v>
      </c>
      <c r="D2632" t="s">
        <v>17</v>
      </c>
      <c r="E2632" t="s">
        <v>12</v>
      </c>
      <c r="F2632">
        <v>24080664</v>
      </c>
      <c r="G2632">
        <v>24080706</v>
      </c>
      <c r="H2632">
        <v>24080664</v>
      </c>
      <c r="I2632">
        <v>24080706</v>
      </c>
    </row>
    <row r="2633" spans="1:9" x14ac:dyDescent="0.2">
      <c r="A2633" t="str">
        <f>"Bcl11b"</f>
        <v>Bcl11b</v>
      </c>
      <c r="B2633" t="s">
        <v>14</v>
      </c>
      <c r="C2633" t="s">
        <v>16</v>
      </c>
      <c r="D2633" t="s">
        <v>11</v>
      </c>
      <c r="E2633" t="s">
        <v>12</v>
      </c>
      <c r="F2633">
        <v>108004056</v>
      </c>
      <c r="G2633">
        <v>108004085</v>
      </c>
      <c r="H2633">
        <v>108003518</v>
      </c>
      <c r="I2633">
        <v>108003571</v>
      </c>
    </row>
    <row r="2634" spans="1:9" x14ac:dyDescent="0.2">
      <c r="A2634" t="str">
        <f>"Bcl2"</f>
        <v>Bcl2</v>
      </c>
      <c r="B2634" t="s">
        <v>14</v>
      </c>
      <c r="C2634" t="s">
        <v>19</v>
      </c>
      <c r="D2634" t="s">
        <v>11</v>
      </c>
      <c r="E2634" t="s">
        <v>12</v>
      </c>
      <c r="F2634">
        <v>106714217</v>
      </c>
      <c r="G2634">
        <v>106714330</v>
      </c>
      <c r="H2634">
        <v>106714217</v>
      </c>
      <c r="I2634">
        <v>106714330</v>
      </c>
    </row>
    <row r="2635" spans="1:9" x14ac:dyDescent="0.2">
      <c r="A2635" t="str">
        <f>"Bcl2a1a"</f>
        <v>Bcl2a1a</v>
      </c>
      <c r="B2635" t="s">
        <v>14</v>
      </c>
      <c r="C2635" t="s">
        <v>24</v>
      </c>
      <c r="D2635" t="s">
        <v>17</v>
      </c>
      <c r="E2635" t="s">
        <v>12</v>
      </c>
      <c r="F2635">
        <v>88957027</v>
      </c>
      <c r="G2635">
        <v>88957037</v>
      </c>
      <c r="H2635">
        <v>88956984</v>
      </c>
      <c r="I2635">
        <v>88956992</v>
      </c>
    </row>
    <row r="2636" spans="1:9" x14ac:dyDescent="0.2">
      <c r="A2636" t="str">
        <f>"Bcl2a1b"</f>
        <v>Bcl2a1b</v>
      </c>
      <c r="B2636" t="s">
        <v>14</v>
      </c>
      <c r="C2636" t="s">
        <v>24</v>
      </c>
      <c r="D2636" t="s">
        <v>17</v>
      </c>
      <c r="E2636" t="s">
        <v>12</v>
      </c>
      <c r="F2636">
        <v>89199297</v>
      </c>
      <c r="G2636">
        <v>89199310</v>
      </c>
      <c r="H2636">
        <v>89199319</v>
      </c>
      <c r="I2636">
        <v>89199332</v>
      </c>
    </row>
    <row r="2637" spans="1:9" x14ac:dyDescent="0.2">
      <c r="A2637" t="str">
        <f>"Bcl2a1c"</f>
        <v>Bcl2a1c</v>
      </c>
      <c r="B2637" t="s">
        <v>2215</v>
      </c>
      <c r="C2637" t="s">
        <v>24</v>
      </c>
      <c r="D2637" t="s">
        <v>17</v>
      </c>
      <c r="E2637" t="s">
        <v>20</v>
      </c>
      <c r="F2637">
        <v>114330134</v>
      </c>
      <c r="G2637">
        <v>114330134</v>
      </c>
      <c r="H2637">
        <v>114330134</v>
      </c>
      <c r="I2637">
        <v>114330134</v>
      </c>
    </row>
    <row r="2638" spans="1:9" x14ac:dyDescent="0.2">
      <c r="A2638" t="str">
        <f>"Bcl2a1d"</f>
        <v>Bcl2a1d</v>
      </c>
      <c r="B2638" t="s">
        <v>14</v>
      </c>
      <c r="C2638" t="s">
        <v>24</v>
      </c>
      <c r="D2638" t="s">
        <v>11</v>
      </c>
      <c r="E2638" t="s">
        <v>12</v>
      </c>
      <c r="F2638">
        <v>88731724</v>
      </c>
      <c r="G2638">
        <v>88731755</v>
      </c>
      <c r="H2638">
        <v>88731782</v>
      </c>
      <c r="I2638">
        <v>88731783</v>
      </c>
    </row>
    <row r="2639" spans="1:9" x14ac:dyDescent="0.2">
      <c r="A2639" t="str">
        <f>"Bcl2l1"</f>
        <v>Bcl2l1</v>
      </c>
      <c r="B2639" t="s">
        <v>9</v>
      </c>
      <c r="C2639" t="s">
        <v>26</v>
      </c>
      <c r="D2639" t="s">
        <v>11</v>
      </c>
      <c r="E2639" t="s">
        <v>12</v>
      </c>
      <c r="F2639">
        <v>152830480</v>
      </c>
      <c r="G2639">
        <v>152830495</v>
      </c>
      <c r="H2639">
        <v>152830480</v>
      </c>
      <c r="I2639">
        <v>152830495</v>
      </c>
    </row>
    <row r="2640" spans="1:9" x14ac:dyDescent="0.2">
      <c r="A2640" t="str">
        <f>"Bcl2l1"</f>
        <v>Bcl2l1</v>
      </c>
      <c r="B2640" t="s">
        <v>13</v>
      </c>
      <c r="C2640" t="s">
        <v>26</v>
      </c>
      <c r="D2640" t="s">
        <v>11</v>
      </c>
      <c r="E2640" t="s">
        <v>12</v>
      </c>
      <c r="F2640">
        <v>152831665</v>
      </c>
      <c r="G2640">
        <v>152831735</v>
      </c>
      <c r="H2640">
        <v>152831665</v>
      </c>
      <c r="I2640">
        <v>152831735</v>
      </c>
    </row>
    <row r="2641" spans="1:9" x14ac:dyDescent="0.2">
      <c r="A2641" t="str">
        <f>"Bcl2l10"</f>
        <v>Bcl2l10</v>
      </c>
      <c r="B2641" t="s">
        <v>14</v>
      </c>
      <c r="C2641" t="s">
        <v>24</v>
      </c>
      <c r="D2641" t="s">
        <v>17</v>
      </c>
      <c r="E2641" t="s">
        <v>12</v>
      </c>
      <c r="F2641">
        <v>75347889</v>
      </c>
      <c r="G2641">
        <v>75347893</v>
      </c>
      <c r="H2641">
        <v>75347889</v>
      </c>
      <c r="I2641">
        <v>75347893</v>
      </c>
    </row>
    <row r="2642" spans="1:9" x14ac:dyDescent="0.2">
      <c r="A2642" t="str">
        <f>"Bcl2l11"</f>
        <v>Bcl2l11</v>
      </c>
      <c r="B2642" t="s">
        <v>9</v>
      </c>
      <c r="C2642" t="s">
        <v>26</v>
      </c>
      <c r="D2642" t="s">
        <v>17</v>
      </c>
      <c r="E2642" t="s">
        <v>12</v>
      </c>
      <c r="F2642">
        <v>128126030</v>
      </c>
      <c r="G2642">
        <v>128126056</v>
      </c>
      <c r="H2642">
        <v>128126030</v>
      </c>
      <c r="I2642">
        <v>128126056</v>
      </c>
    </row>
    <row r="2643" spans="1:9" x14ac:dyDescent="0.2">
      <c r="A2643" t="str">
        <f>"Bcl2l11"</f>
        <v>Bcl2l11</v>
      </c>
      <c r="B2643" t="s">
        <v>13</v>
      </c>
      <c r="C2643" t="s">
        <v>26</v>
      </c>
      <c r="D2643" t="s">
        <v>17</v>
      </c>
      <c r="E2643" t="s">
        <v>12</v>
      </c>
      <c r="F2643">
        <v>128127587</v>
      </c>
      <c r="G2643">
        <v>128127643</v>
      </c>
      <c r="H2643">
        <v>128127587</v>
      </c>
      <c r="I2643">
        <v>128127643</v>
      </c>
    </row>
    <row r="2644" spans="1:9" x14ac:dyDescent="0.2">
      <c r="A2644" t="str">
        <f>"Bcl2l12"</f>
        <v>Bcl2l12</v>
      </c>
      <c r="B2644" t="s">
        <v>14</v>
      </c>
      <c r="C2644" t="s">
        <v>33</v>
      </c>
      <c r="D2644" t="s">
        <v>11</v>
      </c>
      <c r="E2644" t="s">
        <v>12</v>
      </c>
      <c r="F2644">
        <v>44997535</v>
      </c>
      <c r="G2644">
        <v>44997605</v>
      </c>
      <c r="H2644">
        <v>44997221</v>
      </c>
      <c r="I2644">
        <v>44997276</v>
      </c>
    </row>
    <row r="2645" spans="1:9" x14ac:dyDescent="0.2">
      <c r="A2645" t="str">
        <f>"Bcl2l13"</f>
        <v>Bcl2l13</v>
      </c>
      <c r="B2645" t="s">
        <v>14</v>
      </c>
      <c r="C2645" t="s">
        <v>32</v>
      </c>
      <c r="D2645" t="s">
        <v>17</v>
      </c>
      <c r="E2645" t="s">
        <v>12</v>
      </c>
      <c r="F2645">
        <v>120836201</v>
      </c>
      <c r="G2645">
        <v>120836257</v>
      </c>
      <c r="H2645">
        <v>120836268</v>
      </c>
      <c r="I2645">
        <v>120836283</v>
      </c>
    </row>
    <row r="2646" spans="1:9" x14ac:dyDescent="0.2">
      <c r="A2646" t="str">
        <f>"Bcl2l14"</f>
        <v>Bcl2l14</v>
      </c>
      <c r="B2646" t="s">
        <v>9</v>
      </c>
      <c r="C2646" t="s">
        <v>32</v>
      </c>
      <c r="D2646" t="s">
        <v>17</v>
      </c>
      <c r="E2646" t="s">
        <v>12</v>
      </c>
      <c r="F2646">
        <v>134414459</v>
      </c>
      <c r="G2646">
        <v>134414485</v>
      </c>
      <c r="H2646">
        <v>134414459</v>
      </c>
      <c r="I2646">
        <v>134414485</v>
      </c>
    </row>
    <row r="2647" spans="1:9" x14ac:dyDescent="0.2">
      <c r="A2647" t="str">
        <f>"Bcl2l14"</f>
        <v>Bcl2l14</v>
      </c>
      <c r="B2647" t="s">
        <v>13</v>
      </c>
      <c r="C2647" t="s">
        <v>32</v>
      </c>
      <c r="D2647" t="s">
        <v>17</v>
      </c>
      <c r="E2647" t="s">
        <v>12</v>
      </c>
      <c r="F2647">
        <v>134396321</v>
      </c>
      <c r="G2647">
        <v>134396338</v>
      </c>
      <c r="H2647">
        <v>134396321</v>
      </c>
      <c r="I2647">
        <v>134396338</v>
      </c>
    </row>
    <row r="2648" spans="1:9" x14ac:dyDescent="0.2">
      <c r="A2648" t="str">
        <f>"Bcl2l15"</f>
        <v>Bcl2l15</v>
      </c>
      <c r="B2648" t="s">
        <v>14</v>
      </c>
      <c r="C2648" t="s">
        <v>22</v>
      </c>
      <c r="D2648" t="s">
        <v>17</v>
      </c>
      <c r="E2648" t="s">
        <v>12</v>
      </c>
      <c r="F2648">
        <v>103832741</v>
      </c>
      <c r="G2648">
        <v>103832840</v>
      </c>
      <c r="H2648">
        <v>103832741</v>
      </c>
      <c r="I2648">
        <v>103832840</v>
      </c>
    </row>
    <row r="2649" spans="1:9" x14ac:dyDescent="0.2">
      <c r="A2649" t="str">
        <f>"Bcl2l2"</f>
        <v>Bcl2l2</v>
      </c>
      <c r="B2649" t="s">
        <v>14</v>
      </c>
      <c r="C2649" t="s">
        <v>41</v>
      </c>
      <c r="D2649" t="s">
        <v>17</v>
      </c>
      <c r="E2649" t="s">
        <v>12</v>
      </c>
      <c r="F2649">
        <v>54883430</v>
      </c>
      <c r="G2649">
        <v>54883489</v>
      </c>
      <c r="H2649">
        <v>54883320</v>
      </c>
      <c r="I2649">
        <v>54883376</v>
      </c>
    </row>
    <row r="2650" spans="1:9" x14ac:dyDescent="0.2">
      <c r="A2650" t="str">
        <f>"Bcl3"</f>
        <v>Bcl3</v>
      </c>
      <c r="B2650" t="s">
        <v>14</v>
      </c>
      <c r="C2650" t="s">
        <v>33</v>
      </c>
      <c r="D2650" t="s">
        <v>11</v>
      </c>
      <c r="E2650" t="s">
        <v>12</v>
      </c>
      <c r="F2650">
        <v>19822698</v>
      </c>
      <c r="G2650">
        <v>19822776</v>
      </c>
      <c r="H2650">
        <v>19822779</v>
      </c>
      <c r="I2650">
        <v>19822789</v>
      </c>
    </row>
    <row r="2651" spans="1:9" x14ac:dyDescent="0.2">
      <c r="A2651" t="str">
        <f>"Bcl6"</f>
        <v>Bcl6</v>
      </c>
      <c r="B2651" t="s">
        <v>14</v>
      </c>
      <c r="C2651" t="s">
        <v>31</v>
      </c>
      <c r="D2651" t="s">
        <v>11</v>
      </c>
      <c r="E2651" t="s">
        <v>12</v>
      </c>
      <c r="F2651">
        <v>23988625</v>
      </c>
      <c r="G2651">
        <v>23988641</v>
      </c>
      <c r="H2651">
        <v>23988600</v>
      </c>
      <c r="I2651">
        <v>23988607</v>
      </c>
    </row>
    <row r="2652" spans="1:9" x14ac:dyDescent="0.2">
      <c r="A2652" t="str">
        <f>"Bcl6b"</f>
        <v>Bcl6b</v>
      </c>
      <c r="B2652" t="s">
        <v>14</v>
      </c>
      <c r="C2652" t="s">
        <v>27</v>
      </c>
      <c r="D2652" t="s">
        <v>11</v>
      </c>
      <c r="E2652" t="s">
        <v>12</v>
      </c>
      <c r="F2652">
        <v>70229755</v>
      </c>
      <c r="G2652">
        <v>70229761</v>
      </c>
      <c r="H2652">
        <v>70229675</v>
      </c>
      <c r="I2652">
        <v>70229713</v>
      </c>
    </row>
    <row r="2653" spans="1:9" x14ac:dyDescent="0.2">
      <c r="A2653" t="str">
        <f>"Bcl7a"</f>
        <v>Bcl7a</v>
      </c>
      <c r="B2653" t="s">
        <v>14</v>
      </c>
      <c r="C2653" t="s">
        <v>46</v>
      </c>
      <c r="D2653" t="s">
        <v>17</v>
      </c>
      <c r="E2653" t="s">
        <v>12</v>
      </c>
      <c r="F2653">
        <v>123344440</v>
      </c>
      <c r="G2653">
        <v>123344576</v>
      </c>
      <c r="H2653">
        <v>123344582</v>
      </c>
      <c r="I2653">
        <v>123344629</v>
      </c>
    </row>
    <row r="2654" spans="1:9" x14ac:dyDescent="0.2">
      <c r="A2654" t="str">
        <f>"Bcl7b"</f>
        <v>Bcl7b</v>
      </c>
      <c r="B2654" t="s">
        <v>14</v>
      </c>
      <c r="C2654" t="s">
        <v>46</v>
      </c>
      <c r="D2654" t="s">
        <v>17</v>
      </c>
      <c r="E2654" t="s">
        <v>12</v>
      </c>
      <c r="F2654">
        <v>135168382</v>
      </c>
      <c r="G2654">
        <v>135168442</v>
      </c>
      <c r="H2654">
        <v>135168443</v>
      </c>
      <c r="I2654">
        <v>135168502</v>
      </c>
    </row>
    <row r="2655" spans="1:9" x14ac:dyDescent="0.2">
      <c r="A2655" t="str">
        <f>"Bcl7c"</f>
        <v>Bcl7c</v>
      </c>
      <c r="B2655" t="s">
        <v>14</v>
      </c>
      <c r="C2655" t="s">
        <v>33</v>
      </c>
      <c r="D2655" t="s">
        <v>11</v>
      </c>
      <c r="E2655" t="s">
        <v>12</v>
      </c>
      <c r="F2655">
        <v>127708738</v>
      </c>
      <c r="G2655">
        <v>127708791</v>
      </c>
      <c r="H2655">
        <v>127708620</v>
      </c>
      <c r="I2655">
        <v>127708665</v>
      </c>
    </row>
    <row r="2656" spans="1:9" x14ac:dyDescent="0.2">
      <c r="A2656" t="str">
        <f>"Bcl9"</f>
        <v>Bcl9</v>
      </c>
      <c r="B2656" t="s">
        <v>14</v>
      </c>
      <c r="C2656" t="s">
        <v>22</v>
      </c>
      <c r="D2656" t="s">
        <v>11</v>
      </c>
      <c r="E2656" t="s">
        <v>12</v>
      </c>
      <c r="F2656">
        <v>97227383</v>
      </c>
      <c r="G2656">
        <v>97227421</v>
      </c>
      <c r="H2656">
        <v>97227314</v>
      </c>
      <c r="I2656">
        <v>97227330</v>
      </c>
    </row>
    <row r="2657" spans="1:9" x14ac:dyDescent="0.2">
      <c r="A2657" t="str">
        <f>"Bcl9l"</f>
        <v>Bcl9l</v>
      </c>
      <c r="B2657" t="s">
        <v>14</v>
      </c>
      <c r="C2657" t="s">
        <v>24</v>
      </c>
      <c r="D2657" t="s">
        <v>17</v>
      </c>
      <c r="E2657" t="s">
        <v>12</v>
      </c>
      <c r="F2657">
        <v>44482783</v>
      </c>
      <c r="G2657">
        <v>44482815</v>
      </c>
      <c r="H2657">
        <v>44482783</v>
      </c>
      <c r="I2657">
        <v>44482815</v>
      </c>
    </row>
    <row r="2658" spans="1:9" x14ac:dyDescent="0.2">
      <c r="A2658" t="str">
        <f>"Bclaf1"</f>
        <v>Bclaf1</v>
      </c>
      <c r="B2658" t="s">
        <v>14</v>
      </c>
      <c r="C2658" t="s">
        <v>15</v>
      </c>
      <c r="D2658" t="s">
        <v>17</v>
      </c>
      <c r="E2658" t="s">
        <v>12</v>
      </c>
      <c r="F2658">
        <v>20312461</v>
      </c>
      <c r="G2658">
        <v>20312492</v>
      </c>
      <c r="H2658">
        <v>20312498</v>
      </c>
      <c r="I2658">
        <v>20312518</v>
      </c>
    </row>
    <row r="2659" spans="1:9" x14ac:dyDescent="0.2">
      <c r="A2659" t="str">
        <f>"Bcmo1"</f>
        <v>Bcmo1</v>
      </c>
      <c r="B2659" t="s">
        <v>14</v>
      </c>
      <c r="C2659" t="s">
        <v>30</v>
      </c>
      <c r="D2659" t="s">
        <v>17</v>
      </c>
      <c r="E2659" t="s">
        <v>12</v>
      </c>
      <c r="F2659">
        <v>117095859</v>
      </c>
      <c r="G2659">
        <v>117095875</v>
      </c>
      <c r="H2659">
        <v>117095859</v>
      </c>
      <c r="I2659">
        <v>117095875</v>
      </c>
    </row>
    <row r="2660" spans="1:9" x14ac:dyDescent="0.2">
      <c r="A2660" t="str">
        <f>"Bco2"</f>
        <v>Bco2</v>
      </c>
      <c r="B2660" t="s">
        <v>14</v>
      </c>
      <c r="C2660" t="s">
        <v>24</v>
      </c>
      <c r="D2660" t="s">
        <v>11</v>
      </c>
      <c r="E2660" t="s">
        <v>12</v>
      </c>
      <c r="F2660">
        <v>50555127</v>
      </c>
      <c r="G2660">
        <v>50555151</v>
      </c>
      <c r="H2660">
        <v>50555170</v>
      </c>
      <c r="I2660">
        <v>50555183</v>
      </c>
    </row>
    <row r="2661" spans="1:9" x14ac:dyDescent="0.2">
      <c r="A2661" t="str">
        <f>"Bcor"</f>
        <v>Bcor</v>
      </c>
      <c r="B2661" t="s">
        <v>14</v>
      </c>
      <c r="C2661" t="s">
        <v>37</v>
      </c>
      <c r="D2661" t="s">
        <v>11</v>
      </c>
      <c r="E2661" t="s">
        <v>12</v>
      </c>
      <c r="F2661">
        <v>12080545</v>
      </c>
      <c r="G2661">
        <v>12080561</v>
      </c>
      <c r="H2661">
        <v>12080545</v>
      </c>
      <c r="I2661">
        <v>12080561</v>
      </c>
    </row>
    <row r="2662" spans="1:9" x14ac:dyDescent="0.2">
      <c r="A2662" t="str">
        <f>"Bcorl1"</f>
        <v>Bcorl1</v>
      </c>
      <c r="B2662" t="s">
        <v>9</v>
      </c>
      <c r="C2662" t="s">
        <v>37</v>
      </c>
      <c r="D2662" t="s">
        <v>17</v>
      </c>
      <c r="E2662" t="s">
        <v>12</v>
      </c>
      <c r="F2662">
        <v>48343758</v>
      </c>
      <c r="G2662">
        <v>48343776</v>
      </c>
      <c r="H2662">
        <v>48343758</v>
      </c>
      <c r="I2662">
        <v>48343776</v>
      </c>
    </row>
    <row r="2663" spans="1:9" x14ac:dyDescent="0.2">
      <c r="A2663" t="str">
        <f>"Bcorl1"</f>
        <v>Bcorl1</v>
      </c>
      <c r="B2663" t="s">
        <v>13</v>
      </c>
      <c r="C2663" t="s">
        <v>37</v>
      </c>
      <c r="D2663" t="s">
        <v>17</v>
      </c>
      <c r="E2663" t="s">
        <v>12</v>
      </c>
      <c r="F2663">
        <v>48341345</v>
      </c>
      <c r="G2663">
        <v>48341419</v>
      </c>
      <c r="H2663">
        <v>48341345</v>
      </c>
      <c r="I2663">
        <v>48341419</v>
      </c>
    </row>
    <row r="2664" spans="1:9" x14ac:dyDescent="0.2">
      <c r="A2664" t="str">
        <f>"Bcr"</f>
        <v>Bcr</v>
      </c>
      <c r="B2664" t="s">
        <v>14</v>
      </c>
      <c r="C2664" t="s">
        <v>15</v>
      </c>
      <c r="D2664" t="s">
        <v>17</v>
      </c>
      <c r="E2664" t="s">
        <v>12</v>
      </c>
      <c r="F2664">
        <v>75060551</v>
      </c>
      <c r="G2664">
        <v>75060628</v>
      </c>
      <c r="H2664">
        <v>75060551</v>
      </c>
      <c r="I2664">
        <v>75060628</v>
      </c>
    </row>
    <row r="2665" spans="1:9" x14ac:dyDescent="0.2">
      <c r="A2665" t="str">
        <f>"Bcs1l"</f>
        <v>Bcs1l</v>
      </c>
      <c r="B2665" t="s">
        <v>14</v>
      </c>
      <c r="C2665" t="s">
        <v>19</v>
      </c>
      <c r="D2665" t="s">
        <v>17</v>
      </c>
      <c r="E2665" t="s">
        <v>12</v>
      </c>
      <c r="F2665">
        <v>74588347</v>
      </c>
      <c r="G2665">
        <v>74588383</v>
      </c>
      <c r="H2665">
        <v>74588309</v>
      </c>
      <c r="I2665">
        <v>74588328</v>
      </c>
    </row>
    <row r="2666" spans="1:9" x14ac:dyDescent="0.2">
      <c r="A2666" t="str">
        <f>"Bdh1"</f>
        <v>Bdh1</v>
      </c>
      <c r="B2666" t="s">
        <v>9</v>
      </c>
      <c r="C2666" t="s">
        <v>31</v>
      </c>
      <c r="D2666" t="s">
        <v>17</v>
      </c>
      <c r="E2666" t="s">
        <v>12</v>
      </c>
      <c r="F2666">
        <v>31428764</v>
      </c>
      <c r="G2666">
        <v>31428837</v>
      </c>
      <c r="H2666">
        <v>31428764</v>
      </c>
      <c r="I2666">
        <v>31428837</v>
      </c>
    </row>
    <row r="2667" spans="1:9" x14ac:dyDescent="0.2">
      <c r="A2667" t="str">
        <f>"Bdh1"</f>
        <v>Bdh1</v>
      </c>
      <c r="B2667" t="s">
        <v>13</v>
      </c>
      <c r="C2667" t="s">
        <v>31</v>
      </c>
      <c r="D2667" t="s">
        <v>17</v>
      </c>
      <c r="E2667" t="s">
        <v>12</v>
      </c>
      <c r="F2667">
        <v>31422315</v>
      </c>
      <c r="G2667">
        <v>31422347</v>
      </c>
      <c r="H2667">
        <v>31422315</v>
      </c>
      <c r="I2667">
        <v>31422347</v>
      </c>
    </row>
    <row r="2668" spans="1:9" x14ac:dyDescent="0.2">
      <c r="A2668" t="str">
        <f>"Bdh2"</f>
        <v>Bdh2</v>
      </c>
      <c r="B2668" t="s">
        <v>14</v>
      </c>
      <c r="C2668" t="s">
        <v>22</v>
      </c>
      <c r="D2668" t="s">
        <v>17</v>
      </c>
      <c r="E2668" t="s">
        <v>12</v>
      </c>
      <c r="F2668">
        <v>135281300</v>
      </c>
      <c r="G2668">
        <v>135281332</v>
      </c>
      <c r="H2668">
        <v>135281274</v>
      </c>
      <c r="I2668">
        <v>135281299</v>
      </c>
    </row>
    <row r="2669" spans="1:9" x14ac:dyDescent="0.2">
      <c r="A2669" t="str">
        <f>"Bdkrb1"</f>
        <v>Bdkrb1</v>
      </c>
      <c r="B2669" t="s">
        <v>2216</v>
      </c>
      <c r="C2669" t="s">
        <v>16</v>
      </c>
      <c r="D2669" t="s">
        <v>17</v>
      </c>
      <c r="E2669" t="s">
        <v>20</v>
      </c>
      <c r="F2669">
        <v>105604090</v>
      </c>
      <c r="G2669">
        <v>105604090</v>
      </c>
      <c r="H2669">
        <v>105604090</v>
      </c>
      <c r="I2669">
        <v>105604090</v>
      </c>
    </row>
    <row r="2670" spans="1:9" x14ac:dyDescent="0.2">
      <c r="A2670" t="str">
        <f>"Bdkrb1"</f>
        <v>Bdkrb1</v>
      </c>
      <c r="B2670" t="s">
        <v>2217</v>
      </c>
      <c r="C2670" t="s">
        <v>16</v>
      </c>
      <c r="D2670" t="s">
        <v>17</v>
      </c>
      <c r="E2670" t="s">
        <v>20</v>
      </c>
      <c r="F2670">
        <v>105603084</v>
      </c>
      <c r="G2670">
        <v>105603084</v>
      </c>
      <c r="H2670">
        <v>105603084</v>
      </c>
      <c r="I2670">
        <v>105603084</v>
      </c>
    </row>
    <row r="2671" spans="1:9" x14ac:dyDescent="0.2">
      <c r="A2671" t="str">
        <f>"Bdkrb2"</f>
        <v>Bdkrb2</v>
      </c>
      <c r="B2671" t="s">
        <v>14</v>
      </c>
      <c r="C2671" t="s">
        <v>16</v>
      </c>
      <c r="D2671" t="s">
        <v>17</v>
      </c>
      <c r="E2671" t="s">
        <v>12</v>
      </c>
      <c r="F2671">
        <v>105563123</v>
      </c>
      <c r="G2671">
        <v>105563142</v>
      </c>
      <c r="H2671">
        <v>105563154</v>
      </c>
      <c r="I2671">
        <v>105563175</v>
      </c>
    </row>
    <row r="2672" spans="1:9" x14ac:dyDescent="0.2">
      <c r="A2672" t="str">
        <f>"Bdnf"</f>
        <v>Bdnf</v>
      </c>
      <c r="B2672" t="s">
        <v>14</v>
      </c>
      <c r="C2672" t="s">
        <v>26</v>
      </c>
      <c r="D2672" t="s">
        <v>17</v>
      </c>
      <c r="E2672" t="s">
        <v>12</v>
      </c>
      <c r="F2672">
        <v>109693601</v>
      </c>
      <c r="G2672">
        <v>109693624</v>
      </c>
      <c r="H2672">
        <v>109693575</v>
      </c>
      <c r="I2672">
        <v>109693586</v>
      </c>
    </row>
    <row r="2673" spans="1:9" x14ac:dyDescent="0.2">
      <c r="A2673" t="str">
        <f>"Bdp1"</f>
        <v>Bdp1</v>
      </c>
      <c r="B2673" t="s">
        <v>14</v>
      </c>
      <c r="C2673" t="s">
        <v>39</v>
      </c>
      <c r="D2673" t="s">
        <v>11</v>
      </c>
      <c r="E2673" t="s">
        <v>12</v>
      </c>
      <c r="F2673">
        <v>100104027</v>
      </c>
      <c r="G2673">
        <v>100104053</v>
      </c>
      <c r="H2673">
        <v>100104064</v>
      </c>
      <c r="I2673">
        <v>100104082</v>
      </c>
    </row>
    <row r="2674" spans="1:9" x14ac:dyDescent="0.2">
      <c r="A2674" t="str">
        <f>"Bean1"</f>
        <v>Bean1</v>
      </c>
      <c r="B2674" t="s">
        <v>14</v>
      </c>
      <c r="C2674" t="s">
        <v>30</v>
      </c>
      <c r="D2674" t="s">
        <v>17</v>
      </c>
      <c r="E2674" t="s">
        <v>12</v>
      </c>
      <c r="F2674">
        <v>104170538</v>
      </c>
      <c r="G2674">
        <v>104170612</v>
      </c>
      <c r="H2674">
        <v>104170488</v>
      </c>
      <c r="I2674">
        <v>104170518</v>
      </c>
    </row>
    <row r="2675" spans="1:9" x14ac:dyDescent="0.2">
      <c r="A2675" t="str">
        <f>"Becn1"</f>
        <v>Becn1</v>
      </c>
      <c r="B2675" t="s">
        <v>14</v>
      </c>
      <c r="C2675" t="s">
        <v>27</v>
      </c>
      <c r="D2675" t="s">
        <v>11</v>
      </c>
      <c r="E2675" t="s">
        <v>12</v>
      </c>
      <c r="F2675">
        <v>101302229</v>
      </c>
      <c r="G2675">
        <v>101302291</v>
      </c>
      <c r="H2675">
        <v>101302229</v>
      </c>
      <c r="I2675">
        <v>101302291</v>
      </c>
    </row>
    <row r="2676" spans="1:9" x14ac:dyDescent="0.2">
      <c r="A2676" t="str">
        <f>"Begain"</f>
        <v>Begain</v>
      </c>
      <c r="B2676" t="s">
        <v>14</v>
      </c>
      <c r="C2676" t="s">
        <v>16</v>
      </c>
      <c r="D2676" t="s">
        <v>11</v>
      </c>
      <c r="E2676" t="s">
        <v>12</v>
      </c>
      <c r="F2676">
        <v>109068173</v>
      </c>
      <c r="G2676">
        <v>109068247</v>
      </c>
      <c r="H2676">
        <v>109068173</v>
      </c>
      <c r="I2676">
        <v>109068247</v>
      </c>
    </row>
    <row r="2677" spans="1:9" x14ac:dyDescent="0.2">
      <c r="A2677" t="str">
        <f>"Bend3"</f>
        <v>Bend3</v>
      </c>
      <c r="B2677" t="s">
        <v>14</v>
      </c>
      <c r="C2677" t="s">
        <v>15</v>
      </c>
      <c r="D2677" t="s">
        <v>17</v>
      </c>
      <c r="E2677" t="s">
        <v>12</v>
      </c>
      <c r="F2677">
        <v>43479141</v>
      </c>
      <c r="G2677">
        <v>43479194</v>
      </c>
      <c r="H2677">
        <v>43479201</v>
      </c>
      <c r="I2677">
        <v>43479249</v>
      </c>
    </row>
    <row r="2678" spans="1:9" x14ac:dyDescent="0.2">
      <c r="A2678" t="str">
        <f>"Bend4"</f>
        <v>Bend4</v>
      </c>
      <c r="B2678" t="s">
        <v>14</v>
      </c>
      <c r="C2678" t="s">
        <v>46</v>
      </c>
      <c r="D2678" t="s">
        <v>11</v>
      </c>
      <c r="E2678" t="s">
        <v>12</v>
      </c>
      <c r="F2678">
        <v>67428059</v>
      </c>
      <c r="G2678">
        <v>67428095</v>
      </c>
      <c r="H2678">
        <v>67427699</v>
      </c>
      <c r="I2678">
        <v>67427748</v>
      </c>
    </row>
    <row r="2679" spans="1:9" x14ac:dyDescent="0.2">
      <c r="A2679" t="str">
        <f>"Bend5"</f>
        <v>Bend5</v>
      </c>
      <c r="B2679" t="s">
        <v>14</v>
      </c>
      <c r="C2679" t="s">
        <v>23</v>
      </c>
      <c r="D2679" t="s">
        <v>17</v>
      </c>
      <c r="E2679" t="s">
        <v>12</v>
      </c>
      <c r="F2679">
        <v>111415136</v>
      </c>
      <c r="G2679">
        <v>111415218</v>
      </c>
      <c r="H2679">
        <v>111414959</v>
      </c>
      <c r="I2679">
        <v>111415036</v>
      </c>
    </row>
    <row r="2680" spans="1:9" x14ac:dyDescent="0.2">
      <c r="A2680" t="str">
        <f>"Bend6"</f>
        <v>Bend6</v>
      </c>
      <c r="B2680" t="s">
        <v>14</v>
      </c>
      <c r="C2680" t="s">
        <v>19</v>
      </c>
      <c r="D2680" t="s">
        <v>11</v>
      </c>
      <c r="E2680" t="s">
        <v>12</v>
      </c>
      <c r="F2680">
        <v>33907721</v>
      </c>
      <c r="G2680">
        <v>33907809</v>
      </c>
      <c r="H2680">
        <v>33907849</v>
      </c>
      <c r="I2680">
        <v>33907860</v>
      </c>
    </row>
    <row r="2681" spans="1:9" x14ac:dyDescent="0.2">
      <c r="A2681" t="str">
        <f>"Bend7"</f>
        <v>Bend7</v>
      </c>
      <c r="B2681" t="s">
        <v>14</v>
      </c>
      <c r="C2681" t="s">
        <v>26</v>
      </c>
      <c r="D2681" t="s">
        <v>17</v>
      </c>
      <c r="E2681" t="s">
        <v>12</v>
      </c>
      <c r="F2681">
        <v>4717825</v>
      </c>
      <c r="G2681">
        <v>4717893</v>
      </c>
      <c r="H2681">
        <v>4718191</v>
      </c>
      <c r="I2681">
        <v>4718205</v>
      </c>
    </row>
    <row r="2682" spans="1:9" x14ac:dyDescent="0.2">
      <c r="A2682" t="str">
        <f>"Best1"</f>
        <v>Best1</v>
      </c>
      <c r="B2682" t="s">
        <v>14</v>
      </c>
      <c r="C2682" t="s">
        <v>10</v>
      </c>
      <c r="D2682" t="s">
        <v>11</v>
      </c>
      <c r="E2682" t="s">
        <v>12</v>
      </c>
      <c r="F2682">
        <v>10001585</v>
      </c>
      <c r="G2682">
        <v>10001622</v>
      </c>
      <c r="H2682">
        <v>10001561</v>
      </c>
      <c r="I2682">
        <v>10001582</v>
      </c>
    </row>
    <row r="2683" spans="1:9" x14ac:dyDescent="0.2">
      <c r="A2683" t="str">
        <f>"Best2"</f>
        <v>Best2</v>
      </c>
      <c r="B2683" t="s">
        <v>14</v>
      </c>
      <c r="C2683" t="s">
        <v>30</v>
      </c>
      <c r="D2683" t="s">
        <v>11</v>
      </c>
      <c r="E2683" t="s">
        <v>12</v>
      </c>
      <c r="F2683">
        <v>85014379</v>
      </c>
      <c r="G2683">
        <v>85014412</v>
      </c>
      <c r="H2683">
        <v>85014320</v>
      </c>
      <c r="I2683">
        <v>85014323</v>
      </c>
    </row>
    <row r="2684" spans="1:9" x14ac:dyDescent="0.2">
      <c r="A2684" t="str">
        <f>"Best3"</f>
        <v>Best3</v>
      </c>
      <c r="B2684" t="s">
        <v>14</v>
      </c>
      <c r="C2684" t="s">
        <v>15</v>
      </c>
      <c r="D2684" t="s">
        <v>17</v>
      </c>
      <c r="E2684" t="s">
        <v>12</v>
      </c>
      <c r="F2684">
        <v>116986651</v>
      </c>
      <c r="G2684">
        <v>116986695</v>
      </c>
      <c r="H2684">
        <v>116986651</v>
      </c>
      <c r="I2684">
        <v>116986695</v>
      </c>
    </row>
    <row r="2685" spans="1:9" x14ac:dyDescent="0.2">
      <c r="A2685" t="str">
        <f>"Bet1"</f>
        <v>Bet1</v>
      </c>
      <c r="B2685" t="s">
        <v>14</v>
      </c>
      <c r="C2685" t="s">
        <v>32</v>
      </c>
      <c r="D2685" t="s">
        <v>11</v>
      </c>
      <c r="E2685" t="s">
        <v>12</v>
      </c>
      <c r="F2685">
        <v>4086914</v>
      </c>
      <c r="G2685">
        <v>4086960</v>
      </c>
      <c r="H2685">
        <v>4086885</v>
      </c>
      <c r="I2685">
        <v>4086904</v>
      </c>
    </row>
    <row r="2686" spans="1:9" x14ac:dyDescent="0.2">
      <c r="A2686" t="str">
        <f>"Bet1l"</f>
        <v>Bet1l</v>
      </c>
      <c r="B2686" t="s">
        <v>14</v>
      </c>
      <c r="C2686" t="s">
        <v>33</v>
      </c>
      <c r="D2686" t="s">
        <v>11</v>
      </c>
      <c r="E2686" t="s">
        <v>12</v>
      </c>
      <c r="F2686">
        <v>140856254</v>
      </c>
      <c r="G2686">
        <v>140856325</v>
      </c>
      <c r="H2686">
        <v>140856254</v>
      </c>
      <c r="I2686">
        <v>140856325</v>
      </c>
    </row>
    <row r="2687" spans="1:9" x14ac:dyDescent="0.2">
      <c r="A2687" t="str">
        <f>"Bex1"</f>
        <v>Bex1</v>
      </c>
      <c r="B2687" t="s">
        <v>2218</v>
      </c>
      <c r="C2687" t="s">
        <v>37</v>
      </c>
      <c r="D2687" t="s">
        <v>11</v>
      </c>
      <c r="E2687" t="s">
        <v>20</v>
      </c>
      <c r="F2687">
        <v>136215479</v>
      </c>
      <c r="G2687">
        <v>136215479</v>
      </c>
      <c r="H2687">
        <v>136215479</v>
      </c>
      <c r="I2687">
        <v>136215479</v>
      </c>
    </row>
    <row r="2688" spans="1:9" x14ac:dyDescent="0.2">
      <c r="A2688" t="str">
        <f>"Bex2"</f>
        <v>Bex2</v>
      </c>
      <c r="B2688" t="s">
        <v>14</v>
      </c>
      <c r="C2688" t="s">
        <v>37</v>
      </c>
      <c r="D2688" t="s">
        <v>11</v>
      </c>
      <c r="E2688" t="s">
        <v>12</v>
      </c>
      <c r="F2688">
        <v>136068225</v>
      </c>
      <c r="G2688">
        <v>136068236</v>
      </c>
      <c r="H2688">
        <v>136068225</v>
      </c>
      <c r="I2688">
        <v>136068236</v>
      </c>
    </row>
    <row r="2689" spans="1:9" x14ac:dyDescent="0.2">
      <c r="A2689" t="str">
        <f>"Bex4"</f>
        <v>Bex4</v>
      </c>
      <c r="B2689" t="s">
        <v>14</v>
      </c>
      <c r="C2689" t="s">
        <v>37</v>
      </c>
      <c r="D2689" t="s">
        <v>17</v>
      </c>
      <c r="E2689" t="s">
        <v>12</v>
      </c>
      <c r="F2689">
        <v>136139039</v>
      </c>
      <c r="G2689">
        <v>136139053</v>
      </c>
      <c r="H2689">
        <v>136139072</v>
      </c>
      <c r="I2689">
        <v>136139080</v>
      </c>
    </row>
    <row r="2690" spans="1:9" x14ac:dyDescent="0.2">
      <c r="A2690" t="str">
        <f>"Bex6"</f>
        <v>Bex6</v>
      </c>
      <c r="B2690" t="s">
        <v>14</v>
      </c>
      <c r="C2690" t="s">
        <v>31</v>
      </c>
      <c r="D2690" t="s">
        <v>17</v>
      </c>
      <c r="E2690" t="s">
        <v>12</v>
      </c>
      <c r="F2690">
        <v>32179794</v>
      </c>
      <c r="G2690">
        <v>32179835</v>
      </c>
      <c r="H2690">
        <v>32179776</v>
      </c>
      <c r="I2690">
        <v>32179788</v>
      </c>
    </row>
    <row r="2691" spans="1:9" x14ac:dyDescent="0.2">
      <c r="A2691" t="str">
        <f>"Bfar"</f>
        <v>Bfar</v>
      </c>
      <c r="B2691" t="s">
        <v>14</v>
      </c>
      <c r="C2691" t="s">
        <v>31</v>
      </c>
      <c r="D2691" t="s">
        <v>17</v>
      </c>
      <c r="E2691" t="s">
        <v>12</v>
      </c>
      <c r="F2691">
        <v>13671980</v>
      </c>
      <c r="G2691">
        <v>13672032</v>
      </c>
      <c r="H2691">
        <v>13671858</v>
      </c>
      <c r="I2691">
        <v>13671918</v>
      </c>
    </row>
    <row r="2692" spans="1:9" x14ac:dyDescent="0.2">
      <c r="A2692" t="str">
        <f>"Bfsp1"</f>
        <v>Bfsp1</v>
      </c>
      <c r="B2692" t="s">
        <v>14</v>
      </c>
      <c r="C2692" t="s">
        <v>26</v>
      </c>
      <c r="D2692" t="s">
        <v>11</v>
      </c>
      <c r="E2692" t="s">
        <v>12</v>
      </c>
      <c r="F2692">
        <v>143862933</v>
      </c>
      <c r="G2692">
        <v>143862950</v>
      </c>
      <c r="H2692">
        <v>143863146</v>
      </c>
      <c r="I2692">
        <v>143863163</v>
      </c>
    </row>
    <row r="2693" spans="1:9" x14ac:dyDescent="0.2">
      <c r="A2693" t="str">
        <f>"Bfsp2"</f>
        <v>Bfsp2</v>
      </c>
      <c r="B2693" t="s">
        <v>14</v>
      </c>
      <c r="C2693" t="s">
        <v>24</v>
      </c>
      <c r="D2693" t="s">
        <v>11</v>
      </c>
      <c r="E2693" t="s">
        <v>12</v>
      </c>
      <c r="F2693">
        <v>103480224</v>
      </c>
      <c r="G2693">
        <v>103480263</v>
      </c>
      <c r="H2693">
        <v>103480304</v>
      </c>
      <c r="I2693">
        <v>103480315</v>
      </c>
    </row>
    <row r="2694" spans="1:9" x14ac:dyDescent="0.2">
      <c r="A2694" t="str">
        <f>"Bglap"</f>
        <v>Bglap</v>
      </c>
      <c r="B2694" t="s">
        <v>14</v>
      </c>
      <c r="C2694" t="s">
        <v>22</v>
      </c>
      <c r="D2694" t="s">
        <v>11</v>
      </c>
      <c r="E2694" t="s">
        <v>12</v>
      </c>
      <c r="F2694">
        <v>88384453</v>
      </c>
      <c r="G2694">
        <v>88384471</v>
      </c>
      <c r="H2694">
        <v>88384453</v>
      </c>
      <c r="I2694">
        <v>88384471</v>
      </c>
    </row>
    <row r="2695" spans="1:9" x14ac:dyDescent="0.2">
      <c r="A2695" t="str">
        <f>"Bglap2"</f>
        <v>Bglap2</v>
      </c>
      <c r="B2695" t="s">
        <v>14</v>
      </c>
      <c r="C2695" t="s">
        <v>22</v>
      </c>
      <c r="D2695" t="s">
        <v>11</v>
      </c>
      <c r="E2695" t="s">
        <v>12</v>
      </c>
      <c r="F2695">
        <v>88378740</v>
      </c>
      <c r="G2695">
        <v>88378753</v>
      </c>
      <c r="H2695">
        <v>88378740</v>
      </c>
      <c r="I2695">
        <v>88378753</v>
      </c>
    </row>
    <row r="2696" spans="1:9" x14ac:dyDescent="0.2">
      <c r="A2696" t="str">
        <f>"Bglap3"</f>
        <v>Bglap3</v>
      </c>
      <c r="B2696" t="s">
        <v>9</v>
      </c>
      <c r="C2696" t="s">
        <v>22</v>
      </c>
      <c r="D2696" t="s">
        <v>11</v>
      </c>
      <c r="E2696" t="s">
        <v>67</v>
      </c>
      <c r="F2696">
        <v>88369730</v>
      </c>
      <c r="G2696">
        <v>88369735</v>
      </c>
      <c r="H2696">
        <v>88369730</v>
      </c>
      <c r="I2696">
        <v>88369735</v>
      </c>
    </row>
    <row r="2697" spans="1:9" x14ac:dyDescent="0.2">
      <c r="A2697" t="str">
        <f>"Bglap3"</f>
        <v>Bglap3</v>
      </c>
      <c r="B2697" t="s">
        <v>13</v>
      </c>
      <c r="C2697" t="s">
        <v>22</v>
      </c>
      <c r="D2697" t="s">
        <v>11</v>
      </c>
      <c r="E2697" t="s">
        <v>67</v>
      </c>
      <c r="F2697">
        <v>88372740</v>
      </c>
      <c r="G2697">
        <v>88372745</v>
      </c>
      <c r="H2697">
        <v>88372740</v>
      </c>
      <c r="I2697">
        <v>88372745</v>
      </c>
    </row>
    <row r="2698" spans="1:9" x14ac:dyDescent="0.2">
      <c r="A2698" t="str">
        <f>"Bgn"</f>
        <v>Bgn</v>
      </c>
      <c r="B2698" t="s">
        <v>9</v>
      </c>
      <c r="C2698" t="s">
        <v>37</v>
      </c>
      <c r="D2698" t="s">
        <v>17</v>
      </c>
      <c r="E2698" t="s">
        <v>12</v>
      </c>
      <c r="F2698">
        <v>73483625</v>
      </c>
      <c r="G2698">
        <v>73483644</v>
      </c>
      <c r="H2698">
        <v>73483625</v>
      </c>
      <c r="I2698">
        <v>73483644</v>
      </c>
    </row>
    <row r="2699" spans="1:9" x14ac:dyDescent="0.2">
      <c r="A2699" t="str">
        <f>"Bgn"</f>
        <v>Bgn</v>
      </c>
      <c r="B2699" t="s">
        <v>13</v>
      </c>
      <c r="C2699" t="s">
        <v>37</v>
      </c>
      <c r="D2699" t="s">
        <v>17</v>
      </c>
      <c r="E2699" t="s">
        <v>12</v>
      </c>
      <c r="F2699">
        <v>73492043</v>
      </c>
      <c r="G2699">
        <v>73492061</v>
      </c>
      <c r="H2699">
        <v>73492043</v>
      </c>
      <c r="I2699">
        <v>73492061</v>
      </c>
    </row>
    <row r="2700" spans="1:9" x14ac:dyDescent="0.2">
      <c r="A2700" t="str">
        <f>"Bhlha15"</f>
        <v>Bhlha15</v>
      </c>
      <c r="B2700" t="s">
        <v>14</v>
      </c>
      <c r="C2700" t="s">
        <v>46</v>
      </c>
      <c r="D2700" t="s">
        <v>17</v>
      </c>
      <c r="E2700" t="s">
        <v>12</v>
      </c>
      <c r="F2700">
        <v>144190284</v>
      </c>
      <c r="G2700">
        <v>144190334</v>
      </c>
      <c r="H2700">
        <v>144190267</v>
      </c>
      <c r="I2700">
        <v>144190270</v>
      </c>
    </row>
    <row r="2701" spans="1:9" x14ac:dyDescent="0.2">
      <c r="A2701" t="str">
        <f>"Bhlha9"</f>
        <v>Bhlha9</v>
      </c>
      <c r="B2701" t="s">
        <v>14</v>
      </c>
      <c r="C2701" t="s">
        <v>27</v>
      </c>
      <c r="D2701" t="s">
        <v>17</v>
      </c>
      <c r="E2701" t="s">
        <v>12</v>
      </c>
      <c r="F2701">
        <v>76672456</v>
      </c>
      <c r="G2701">
        <v>76672461</v>
      </c>
      <c r="H2701">
        <v>76672716</v>
      </c>
      <c r="I2701">
        <v>76672728</v>
      </c>
    </row>
    <row r="2702" spans="1:9" x14ac:dyDescent="0.2">
      <c r="A2702" t="str">
        <f>"Bhlhb9"</f>
        <v>Bhlhb9</v>
      </c>
      <c r="B2702" t="s">
        <v>14</v>
      </c>
      <c r="C2702" t="s">
        <v>37</v>
      </c>
      <c r="D2702" t="s">
        <v>17</v>
      </c>
      <c r="E2702" t="s">
        <v>12</v>
      </c>
      <c r="F2702">
        <v>135885860</v>
      </c>
      <c r="G2702">
        <v>135885897</v>
      </c>
      <c r="H2702">
        <v>135885903</v>
      </c>
      <c r="I2702">
        <v>135885943</v>
      </c>
    </row>
    <row r="2703" spans="1:9" x14ac:dyDescent="0.2">
      <c r="A2703" t="str">
        <f>"Bhlhe22"</f>
        <v>Bhlhe22</v>
      </c>
      <c r="B2703" t="s">
        <v>14</v>
      </c>
      <c r="C2703" t="s">
        <v>22</v>
      </c>
      <c r="D2703" t="s">
        <v>17</v>
      </c>
      <c r="E2703" t="s">
        <v>12</v>
      </c>
      <c r="F2703">
        <v>18054233</v>
      </c>
      <c r="G2703">
        <v>18054249</v>
      </c>
      <c r="H2703">
        <v>18054392</v>
      </c>
      <c r="I2703">
        <v>18054407</v>
      </c>
    </row>
    <row r="2704" spans="1:9" x14ac:dyDescent="0.2">
      <c r="A2704" t="str">
        <f>"Bhlhe23"</f>
        <v>Bhlhe23</v>
      </c>
      <c r="B2704" t="s">
        <v>14</v>
      </c>
      <c r="C2704" t="s">
        <v>26</v>
      </c>
      <c r="D2704" t="s">
        <v>11</v>
      </c>
      <c r="E2704" t="s">
        <v>12</v>
      </c>
      <c r="F2704">
        <v>180776899</v>
      </c>
      <c r="G2704">
        <v>180776900</v>
      </c>
      <c r="H2704">
        <v>180776899</v>
      </c>
      <c r="I2704">
        <v>180776900</v>
      </c>
    </row>
    <row r="2705" spans="1:9" x14ac:dyDescent="0.2">
      <c r="A2705" t="str">
        <f>"Bhlhe40"</f>
        <v>Bhlhe40</v>
      </c>
      <c r="B2705" t="s">
        <v>14</v>
      </c>
      <c r="C2705" t="s">
        <v>32</v>
      </c>
      <c r="D2705" t="s">
        <v>17</v>
      </c>
      <c r="E2705" t="s">
        <v>12</v>
      </c>
      <c r="F2705">
        <v>108660616</v>
      </c>
      <c r="G2705">
        <v>108660682</v>
      </c>
      <c r="H2705">
        <v>108660772</v>
      </c>
      <c r="I2705">
        <v>108660787</v>
      </c>
    </row>
    <row r="2706" spans="1:9" x14ac:dyDescent="0.2">
      <c r="A2706" t="str">
        <f>"Bhlhe41"</f>
        <v>Bhlhe41</v>
      </c>
      <c r="B2706" t="s">
        <v>14</v>
      </c>
      <c r="C2706" t="s">
        <v>32</v>
      </c>
      <c r="D2706" t="s">
        <v>11</v>
      </c>
      <c r="E2706" t="s">
        <v>12</v>
      </c>
      <c r="F2706">
        <v>145865483</v>
      </c>
      <c r="G2706">
        <v>145865536</v>
      </c>
      <c r="H2706">
        <v>145865385</v>
      </c>
      <c r="I2706">
        <v>145865412</v>
      </c>
    </row>
    <row r="2707" spans="1:9" x14ac:dyDescent="0.2">
      <c r="A2707" t="str">
        <f>"Bhmt"</f>
        <v>Bhmt</v>
      </c>
      <c r="B2707" t="s">
        <v>14</v>
      </c>
      <c r="C2707" t="s">
        <v>39</v>
      </c>
      <c r="D2707" t="s">
        <v>11</v>
      </c>
      <c r="E2707" t="s">
        <v>12</v>
      </c>
      <c r="F2707">
        <v>93637564</v>
      </c>
      <c r="G2707">
        <v>93637576</v>
      </c>
      <c r="H2707">
        <v>93637585</v>
      </c>
      <c r="I2707">
        <v>93637621</v>
      </c>
    </row>
    <row r="2708" spans="1:9" x14ac:dyDescent="0.2">
      <c r="A2708" t="str">
        <f>"Bhmt2"</f>
        <v>Bhmt2</v>
      </c>
      <c r="B2708" t="s">
        <v>14</v>
      </c>
      <c r="C2708" t="s">
        <v>39</v>
      </c>
      <c r="D2708" t="s">
        <v>11</v>
      </c>
      <c r="E2708" t="s">
        <v>12</v>
      </c>
      <c r="F2708">
        <v>93674276</v>
      </c>
      <c r="G2708">
        <v>93674297</v>
      </c>
      <c r="H2708">
        <v>93674300</v>
      </c>
      <c r="I2708">
        <v>93674309</v>
      </c>
    </row>
    <row r="2709" spans="1:9" x14ac:dyDescent="0.2">
      <c r="A2709" t="str">
        <f>"Bicc1"</f>
        <v>Bicc1</v>
      </c>
      <c r="B2709" t="s">
        <v>14</v>
      </c>
      <c r="C2709" t="s">
        <v>15</v>
      </c>
      <c r="D2709" t="s">
        <v>11</v>
      </c>
      <c r="E2709" t="s">
        <v>12</v>
      </c>
      <c r="F2709">
        <v>71159676</v>
      </c>
      <c r="G2709">
        <v>71159708</v>
      </c>
      <c r="H2709">
        <v>71159809</v>
      </c>
      <c r="I2709">
        <v>71159829</v>
      </c>
    </row>
    <row r="2710" spans="1:9" x14ac:dyDescent="0.2">
      <c r="A2710" t="str">
        <f>"Bicd1"</f>
        <v>Bicd1</v>
      </c>
      <c r="B2710" t="s">
        <v>14</v>
      </c>
      <c r="C2710" t="s">
        <v>32</v>
      </c>
      <c r="D2710" t="s">
        <v>17</v>
      </c>
      <c r="E2710" t="s">
        <v>12</v>
      </c>
      <c r="F2710">
        <v>149408973</v>
      </c>
      <c r="G2710">
        <v>149409038</v>
      </c>
      <c r="H2710">
        <v>149409039</v>
      </c>
      <c r="I2710">
        <v>149409094</v>
      </c>
    </row>
    <row r="2711" spans="1:9" x14ac:dyDescent="0.2">
      <c r="A2711" t="str">
        <f>"Bicd2"</f>
        <v>Bicd2</v>
      </c>
      <c r="B2711" t="s">
        <v>14</v>
      </c>
      <c r="C2711" t="s">
        <v>39</v>
      </c>
      <c r="D2711" t="s">
        <v>17</v>
      </c>
      <c r="E2711" t="s">
        <v>12</v>
      </c>
      <c r="F2711">
        <v>49341549</v>
      </c>
      <c r="G2711">
        <v>49341623</v>
      </c>
      <c r="H2711">
        <v>49341531</v>
      </c>
      <c r="I2711">
        <v>49341543</v>
      </c>
    </row>
    <row r="2712" spans="1:9" x14ac:dyDescent="0.2">
      <c r="A2712" t="str">
        <f>"Bid"</f>
        <v>Bid</v>
      </c>
      <c r="B2712" t="s">
        <v>14</v>
      </c>
      <c r="C2712" t="s">
        <v>32</v>
      </c>
      <c r="D2712" t="s">
        <v>11</v>
      </c>
      <c r="E2712" t="s">
        <v>12</v>
      </c>
      <c r="F2712">
        <v>120916813</v>
      </c>
      <c r="G2712">
        <v>120916867</v>
      </c>
      <c r="H2712">
        <v>120916782</v>
      </c>
      <c r="I2712">
        <v>120916807</v>
      </c>
    </row>
    <row r="2713" spans="1:9" x14ac:dyDescent="0.2">
      <c r="A2713" t="str">
        <f>"Bik"</f>
        <v>Bik</v>
      </c>
      <c r="B2713" t="s">
        <v>14</v>
      </c>
      <c r="C2713" t="s">
        <v>25</v>
      </c>
      <c r="D2713" t="s">
        <v>17</v>
      </c>
      <c r="E2713" t="s">
        <v>12</v>
      </c>
      <c r="F2713">
        <v>83526854</v>
      </c>
      <c r="G2713">
        <v>83526874</v>
      </c>
      <c r="H2713">
        <v>83526829</v>
      </c>
      <c r="I2713">
        <v>83526844</v>
      </c>
    </row>
    <row r="2714" spans="1:9" x14ac:dyDescent="0.2">
      <c r="A2714" t="str">
        <f>"Bin1"</f>
        <v>Bin1</v>
      </c>
      <c r="B2714" t="s">
        <v>14</v>
      </c>
      <c r="C2714" t="s">
        <v>43</v>
      </c>
      <c r="D2714" t="s">
        <v>17</v>
      </c>
      <c r="E2714" t="s">
        <v>12</v>
      </c>
      <c r="F2714">
        <v>32377176</v>
      </c>
      <c r="G2714">
        <v>32377289</v>
      </c>
      <c r="H2714">
        <v>32377294</v>
      </c>
      <c r="I2714">
        <v>32377317</v>
      </c>
    </row>
    <row r="2715" spans="1:9" x14ac:dyDescent="0.2">
      <c r="A2715" t="str">
        <f>"Bin2"</f>
        <v>Bin2</v>
      </c>
      <c r="B2715" t="s">
        <v>14</v>
      </c>
      <c r="C2715" t="s">
        <v>25</v>
      </c>
      <c r="D2715" t="s">
        <v>11</v>
      </c>
      <c r="E2715" t="s">
        <v>67</v>
      </c>
      <c r="F2715">
        <v>100669496</v>
      </c>
      <c r="G2715">
        <v>100669511</v>
      </c>
      <c r="H2715">
        <v>100669512</v>
      </c>
      <c r="I2715">
        <v>100669529</v>
      </c>
    </row>
    <row r="2716" spans="1:9" x14ac:dyDescent="0.2">
      <c r="A2716" t="str">
        <f>"Bin3"</f>
        <v>Bin3</v>
      </c>
      <c r="B2716" t="s">
        <v>14</v>
      </c>
      <c r="C2716" t="s">
        <v>41</v>
      </c>
      <c r="D2716" t="s">
        <v>17</v>
      </c>
      <c r="E2716" t="s">
        <v>12</v>
      </c>
      <c r="F2716">
        <v>70100083</v>
      </c>
      <c r="G2716">
        <v>70100144</v>
      </c>
      <c r="H2716">
        <v>70100162</v>
      </c>
      <c r="I2716">
        <v>70100179</v>
      </c>
    </row>
    <row r="2717" spans="1:9" x14ac:dyDescent="0.2">
      <c r="A2717" t="str">
        <f>"Birc2"</f>
        <v>Birc2</v>
      </c>
      <c r="B2717" t="s">
        <v>14</v>
      </c>
      <c r="C2717" t="s">
        <v>24</v>
      </c>
      <c r="D2717" t="s">
        <v>11</v>
      </c>
      <c r="E2717" t="s">
        <v>12</v>
      </c>
      <c r="F2717">
        <v>7835286</v>
      </c>
      <c r="G2717">
        <v>7835292</v>
      </c>
      <c r="H2717">
        <v>7835286</v>
      </c>
      <c r="I2717">
        <v>7835292</v>
      </c>
    </row>
    <row r="2718" spans="1:9" x14ac:dyDescent="0.2">
      <c r="A2718" t="str">
        <f>"Birc3"</f>
        <v>Birc3</v>
      </c>
      <c r="B2718" t="s">
        <v>14</v>
      </c>
      <c r="C2718" t="s">
        <v>24</v>
      </c>
      <c r="D2718" t="s">
        <v>11</v>
      </c>
      <c r="E2718" t="s">
        <v>12</v>
      </c>
      <c r="F2718">
        <v>7872814</v>
      </c>
      <c r="G2718">
        <v>7872876</v>
      </c>
      <c r="H2718">
        <v>7873016</v>
      </c>
      <c r="I2718">
        <v>7873046</v>
      </c>
    </row>
    <row r="2719" spans="1:9" x14ac:dyDescent="0.2">
      <c r="A2719" t="str">
        <f>"Birc5"</f>
        <v>Birc5</v>
      </c>
      <c r="B2719" t="s">
        <v>14</v>
      </c>
      <c r="C2719" t="s">
        <v>27</v>
      </c>
      <c r="D2719" t="s">
        <v>17</v>
      </c>
      <c r="E2719" t="s">
        <v>12</v>
      </c>
      <c r="F2719">
        <v>117849286</v>
      </c>
      <c r="G2719">
        <v>117849340</v>
      </c>
      <c r="H2719">
        <v>117849273</v>
      </c>
      <c r="I2719">
        <v>117849282</v>
      </c>
    </row>
    <row r="2720" spans="1:9" x14ac:dyDescent="0.2">
      <c r="A2720" t="str">
        <f>"Birc6"</f>
        <v>Birc6</v>
      </c>
      <c r="B2720" t="s">
        <v>14</v>
      </c>
      <c r="C2720" t="s">
        <v>28</v>
      </c>
      <c r="D2720" t="s">
        <v>17</v>
      </c>
      <c r="E2720" t="s">
        <v>12</v>
      </c>
      <c r="F2720">
        <v>74528467</v>
      </c>
      <c r="G2720">
        <v>74528547</v>
      </c>
      <c r="H2720">
        <v>74528435</v>
      </c>
      <c r="I2720">
        <v>74528465</v>
      </c>
    </row>
    <row r="2721" spans="1:9" x14ac:dyDescent="0.2">
      <c r="A2721" t="str">
        <f>"Birc7"</f>
        <v>Birc7</v>
      </c>
      <c r="B2721" t="s">
        <v>14</v>
      </c>
      <c r="C2721" t="s">
        <v>26</v>
      </c>
      <c r="D2721" t="s">
        <v>17</v>
      </c>
      <c r="E2721" t="s">
        <v>12</v>
      </c>
      <c r="F2721">
        <v>180929000</v>
      </c>
      <c r="G2721">
        <v>180929046</v>
      </c>
      <c r="H2721">
        <v>180928937</v>
      </c>
      <c r="I2721">
        <v>180928979</v>
      </c>
    </row>
    <row r="2722" spans="1:9" x14ac:dyDescent="0.2">
      <c r="A2722" t="str">
        <f>"Bivm"</f>
        <v>Bivm</v>
      </c>
      <c r="B2722" t="s">
        <v>14</v>
      </c>
      <c r="C2722" t="s">
        <v>19</v>
      </c>
      <c r="D2722" t="s">
        <v>17</v>
      </c>
      <c r="E2722" t="s">
        <v>12</v>
      </c>
      <c r="F2722">
        <v>44119451</v>
      </c>
      <c r="G2722">
        <v>44119519</v>
      </c>
      <c r="H2722">
        <v>44118951</v>
      </c>
      <c r="I2722">
        <v>44119009</v>
      </c>
    </row>
    <row r="2723" spans="1:9" x14ac:dyDescent="0.2">
      <c r="A2723" t="str">
        <f>"Blcap"</f>
        <v>Blcap</v>
      </c>
      <c r="B2723" t="s">
        <v>14</v>
      </c>
      <c r="C2723" t="s">
        <v>26</v>
      </c>
      <c r="D2723" t="s">
        <v>11</v>
      </c>
      <c r="E2723" t="s">
        <v>12</v>
      </c>
      <c r="F2723">
        <v>157566319</v>
      </c>
      <c r="G2723">
        <v>157566350</v>
      </c>
      <c r="H2723">
        <v>157566294</v>
      </c>
      <c r="I2723">
        <v>157566305</v>
      </c>
    </row>
    <row r="2724" spans="1:9" x14ac:dyDescent="0.2">
      <c r="A2724" t="str">
        <f>"Blk"</f>
        <v>Blk</v>
      </c>
      <c r="B2724" t="s">
        <v>14</v>
      </c>
      <c r="C2724" t="s">
        <v>41</v>
      </c>
      <c r="D2724" t="s">
        <v>11</v>
      </c>
      <c r="E2724" t="s">
        <v>12</v>
      </c>
      <c r="F2724">
        <v>63417029</v>
      </c>
      <c r="G2724">
        <v>63417059</v>
      </c>
      <c r="H2724">
        <v>63417029</v>
      </c>
      <c r="I2724">
        <v>63417059</v>
      </c>
    </row>
    <row r="2725" spans="1:9" x14ac:dyDescent="0.2">
      <c r="A2725" t="str">
        <f>"Blm"</f>
        <v>Blm</v>
      </c>
      <c r="B2725" t="s">
        <v>14</v>
      </c>
      <c r="C2725" t="s">
        <v>33</v>
      </c>
      <c r="D2725" t="s">
        <v>11</v>
      </c>
      <c r="E2725" t="s">
        <v>12</v>
      </c>
      <c r="F2725">
        <v>80535068</v>
      </c>
      <c r="G2725">
        <v>80535121</v>
      </c>
      <c r="H2725">
        <v>80535127</v>
      </c>
      <c r="I2725">
        <v>80535138</v>
      </c>
    </row>
    <row r="2726" spans="1:9" x14ac:dyDescent="0.2">
      <c r="A2726" t="str">
        <f>"Blmh"</f>
        <v>Blmh</v>
      </c>
      <c r="B2726" t="s">
        <v>14</v>
      </c>
      <c r="C2726" t="s">
        <v>27</v>
      </c>
      <c r="D2726" t="s">
        <v>17</v>
      </c>
      <c r="E2726" t="s">
        <v>12</v>
      </c>
      <c r="F2726">
        <v>76945719</v>
      </c>
      <c r="G2726">
        <v>76945791</v>
      </c>
      <c r="H2726">
        <v>76945702</v>
      </c>
      <c r="I2726">
        <v>76945713</v>
      </c>
    </row>
    <row r="2727" spans="1:9" x14ac:dyDescent="0.2">
      <c r="A2727" t="str">
        <f>"Blnk"</f>
        <v>Blnk</v>
      </c>
      <c r="B2727" t="s">
        <v>14</v>
      </c>
      <c r="C2727" t="s">
        <v>10</v>
      </c>
      <c r="D2727" t="s">
        <v>11</v>
      </c>
      <c r="E2727" t="s">
        <v>12</v>
      </c>
      <c r="F2727">
        <v>40994155</v>
      </c>
      <c r="G2727">
        <v>40994181</v>
      </c>
      <c r="H2727">
        <v>40994211</v>
      </c>
      <c r="I2727">
        <v>40994227</v>
      </c>
    </row>
    <row r="2728" spans="1:9" x14ac:dyDescent="0.2">
      <c r="A2728" t="str">
        <f>"Bloc1s1"</f>
        <v>Bloc1s1</v>
      </c>
      <c r="B2728" t="s">
        <v>14</v>
      </c>
      <c r="C2728" t="s">
        <v>15</v>
      </c>
      <c r="D2728" t="s">
        <v>11</v>
      </c>
      <c r="E2728" t="s">
        <v>12</v>
      </c>
      <c r="F2728">
        <v>128923439</v>
      </c>
      <c r="G2728">
        <v>128923545</v>
      </c>
      <c r="H2728">
        <v>128923439</v>
      </c>
      <c r="I2728">
        <v>128923545</v>
      </c>
    </row>
    <row r="2729" spans="1:9" x14ac:dyDescent="0.2">
      <c r="A2729" t="str">
        <f>"Bloc1s2"</f>
        <v>Bloc1s2</v>
      </c>
      <c r="B2729" t="s">
        <v>14</v>
      </c>
      <c r="C2729" t="s">
        <v>10</v>
      </c>
      <c r="D2729" t="s">
        <v>11</v>
      </c>
      <c r="E2729" t="s">
        <v>12</v>
      </c>
      <c r="F2729">
        <v>44146433</v>
      </c>
      <c r="G2729">
        <v>44146447</v>
      </c>
      <c r="H2729">
        <v>44146433</v>
      </c>
      <c r="I2729">
        <v>44146447</v>
      </c>
    </row>
    <row r="2730" spans="1:9" x14ac:dyDescent="0.2">
      <c r="A2730" t="str">
        <f>"Bloc1s3"</f>
        <v>Bloc1s3</v>
      </c>
      <c r="B2730" t="s">
        <v>14</v>
      </c>
      <c r="C2730" t="s">
        <v>33</v>
      </c>
      <c r="D2730" t="s">
        <v>11</v>
      </c>
      <c r="E2730" t="s">
        <v>12</v>
      </c>
      <c r="F2730">
        <v>19508321</v>
      </c>
      <c r="G2730">
        <v>19508377</v>
      </c>
      <c r="H2730">
        <v>19508382</v>
      </c>
      <c r="I2730">
        <v>19508388</v>
      </c>
    </row>
    <row r="2731" spans="1:9" x14ac:dyDescent="0.2">
      <c r="A2731" t="str">
        <f>"Bloc1s4"</f>
        <v>Bloc1s4</v>
      </c>
      <c r="B2731" t="s">
        <v>14</v>
      </c>
      <c r="C2731" t="s">
        <v>46</v>
      </c>
      <c r="D2731" t="s">
        <v>11</v>
      </c>
      <c r="E2731" t="s">
        <v>67</v>
      </c>
      <c r="F2731">
        <v>36748639</v>
      </c>
      <c r="G2731">
        <v>36748694</v>
      </c>
      <c r="H2731">
        <v>36748639</v>
      </c>
      <c r="I2731">
        <v>36748694</v>
      </c>
    </row>
    <row r="2732" spans="1:9" x14ac:dyDescent="0.2">
      <c r="A2732" t="str">
        <f>"Bloc1s5"</f>
        <v>Bloc1s5</v>
      </c>
      <c r="B2732" t="s">
        <v>14</v>
      </c>
      <c r="C2732" t="s">
        <v>39</v>
      </c>
      <c r="D2732" t="s">
        <v>11</v>
      </c>
      <c r="E2732" t="s">
        <v>67</v>
      </c>
      <c r="F2732">
        <v>38635036</v>
      </c>
      <c r="G2732">
        <v>38635119</v>
      </c>
      <c r="H2732">
        <v>38635036</v>
      </c>
      <c r="I2732">
        <v>38635119</v>
      </c>
    </row>
    <row r="2733" spans="1:9" x14ac:dyDescent="0.2">
      <c r="A2733" t="str">
        <f>"Bloc1s6"</f>
        <v>Bloc1s6</v>
      </c>
      <c r="B2733" t="s">
        <v>14</v>
      </c>
      <c r="C2733" t="s">
        <v>26</v>
      </c>
      <c r="D2733" t="s">
        <v>17</v>
      </c>
      <c r="E2733" t="s">
        <v>67</v>
      </c>
      <c r="F2733">
        <v>122738495</v>
      </c>
      <c r="G2733">
        <v>122738600</v>
      </c>
      <c r="H2733">
        <v>122738607</v>
      </c>
      <c r="I2733">
        <v>122738616</v>
      </c>
    </row>
    <row r="2734" spans="1:9" x14ac:dyDescent="0.2">
      <c r="A2734" t="str">
        <f>"Blvra"</f>
        <v>Blvra</v>
      </c>
      <c r="B2734" t="s">
        <v>9</v>
      </c>
      <c r="C2734" t="s">
        <v>26</v>
      </c>
      <c r="D2734" t="s">
        <v>17</v>
      </c>
      <c r="E2734" t="s">
        <v>12</v>
      </c>
      <c r="F2734">
        <v>127070646</v>
      </c>
      <c r="G2734">
        <v>127070709</v>
      </c>
      <c r="H2734">
        <v>127070646</v>
      </c>
      <c r="I2734">
        <v>127070709</v>
      </c>
    </row>
    <row r="2735" spans="1:9" x14ac:dyDescent="0.2">
      <c r="A2735" t="str">
        <f>"Blvra"</f>
        <v>Blvra</v>
      </c>
      <c r="B2735" t="s">
        <v>13</v>
      </c>
      <c r="C2735" t="s">
        <v>26</v>
      </c>
      <c r="D2735" t="s">
        <v>17</v>
      </c>
      <c r="E2735" t="s">
        <v>12</v>
      </c>
      <c r="F2735">
        <v>127080469</v>
      </c>
      <c r="G2735">
        <v>127080497</v>
      </c>
      <c r="H2735">
        <v>127080469</v>
      </c>
      <c r="I2735">
        <v>127080497</v>
      </c>
    </row>
    <row r="2736" spans="1:9" x14ac:dyDescent="0.2">
      <c r="A2736" t="str">
        <f>"Blvrb"</f>
        <v>Blvrb</v>
      </c>
      <c r="B2736" t="s">
        <v>14</v>
      </c>
      <c r="C2736" t="s">
        <v>33</v>
      </c>
      <c r="D2736" t="s">
        <v>17</v>
      </c>
      <c r="E2736" t="s">
        <v>12</v>
      </c>
      <c r="F2736">
        <v>27448051</v>
      </c>
      <c r="G2736">
        <v>27448069</v>
      </c>
      <c r="H2736">
        <v>27447995</v>
      </c>
      <c r="I2736">
        <v>27448046</v>
      </c>
    </row>
    <row r="2737" spans="1:9" x14ac:dyDescent="0.2">
      <c r="A2737" t="str">
        <f>"Blzf1"</f>
        <v>Blzf1</v>
      </c>
      <c r="B2737" t="s">
        <v>14</v>
      </c>
      <c r="C2737" t="s">
        <v>19</v>
      </c>
      <c r="D2737" t="s">
        <v>11</v>
      </c>
      <c r="E2737" t="s">
        <v>12</v>
      </c>
      <c r="F2737">
        <v>164307229</v>
      </c>
      <c r="G2737">
        <v>164307290</v>
      </c>
      <c r="H2737">
        <v>164307443</v>
      </c>
      <c r="I2737">
        <v>164307503</v>
      </c>
    </row>
    <row r="2738" spans="1:9" x14ac:dyDescent="0.2">
      <c r="A2738" t="str">
        <f>"Bmf"</f>
        <v>Bmf</v>
      </c>
      <c r="B2738" t="s">
        <v>14</v>
      </c>
      <c r="C2738" t="s">
        <v>26</v>
      </c>
      <c r="D2738" t="s">
        <v>11</v>
      </c>
      <c r="E2738" t="s">
        <v>12</v>
      </c>
      <c r="F2738">
        <v>118549625</v>
      </c>
      <c r="G2738">
        <v>118549655</v>
      </c>
      <c r="H2738">
        <v>118549668</v>
      </c>
      <c r="I2738">
        <v>118549683</v>
      </c>
    </row>
    <row r="2739" spans="1:9" x14ac:dyDescent="0.2">
      <c r="A2739" t="str">
        <f>"Bmi1"</f>
        <v>Bmi1</v>
      </c>
      <c r="B2739" t="s">
        <v>14</v>
      </c>
      <c r="C2739" t="s">
        <v>26</v>
      </c>
      <c r="D2739" t="s">
        <v>17</v>
      </c>
      <c r="E2739" t="s">
        <v>12</v>
      </c>
      <c r="F2739">
        <v>18677133</v>
      </c>
      <c r="G2739">
        <v>18677214</v>
      </c>
      <c r="H2739">
        <v>18676827</v>
      </c>
      <c r="I2739">
        <v>18676885</v>
      </c>
    </row>
    <row r="2740" spans="1:9" x14ac:dyDescent="0.2">
      <c r="A2740" t="str">
        <f>"Bmp1"</f>
        <v>Bmp1</v>
      </c>
      <c r="B2740" t="s">
        <v>14</v>
      </c>
      <c r="C2740" t="s">
        <v>41</v>
      </c>
      <c r="D2740" t="s">
        <v>11</v>
      </c>
      <c r="E2740" t="s">
        <v>12</v>
      </c>
      <c r="F2740">
        <v>70520070</v>
      </c>
      <c r="G2740">
        <v>70520135</v>
      </c>
      <c r="H2740">
        <v>70520209</v>
      </c>
      <c r="I2740">
        <v>70520226</v>
      </c>
    </row>
    <row r="2741" spans="1:9" x14ac:dyDescent="0.2">
      <c r="A2741" t="str">
        <f>"Bmp10"</f>
        <v>Bmp10</v>
      </c>
      <c r="B2741" t="s">
        <v>14</v>
      </c>
      <c r="C2741" t="s">
        <v>32</v>
      </c>
      <c r="D2741" t="s">
        <v>17</v>
      </c>
      <c r="E2741" t="s">
        <v>12</v>
      </c>
      <c r="F2741">
        <v>87428986</v>
      </c>
      <c r="G2741">
        <v>87429000</v>
      </c>
      <c r="H2741">
        <v>87428986</v>
      </c>
      <c r="I2741">
        <v>87429000</v>
      </c>
    </row>
    <row r="2742" spans="1:9" x14ac:dyDescent="0.2">
      <c r="A2742" t="str">
        <f>"Bmp15"</f>
        <v>Bmp15</v>
      </c>
      <c r="B2742" t="s">
        <v>14</v>
      </c>
      <c r="C2742" t="s">
        <v>37</v>
      </c>
      <c r="D2742" t="s">
        <v>11</v>
      </c>
      <c r="E2742" t="s">
        <v>12</v>
      </c>
      <c r="F2742">
        <v>6320717</v>
      </c>
      <c r="G2742">
        <v>6320726</v>
      </c>
      <c r="H2742">
        <v>6320717</v>
      </c>
      <c r="I2742">
        <v>6320726</v>
      </c>
    </row>
    <row r="2743" spans="1:9" x14ac:dyDescent="0.2">
      <c r="A2743" t="str">
        <f>"Bmp2"</f>
        <v>Bmp2</v>
      </c>
      <c r="B2743" t="s">
        <v>14</v>
      </c>
      <c r="C2743" t="s">
        <v>26</v>
      </c>
      <c r="D2743" t="s">
        <v>17</v>
      </c>
      <c r="E2743" t="s">
        <v>12</v>
      </c>
      <c r="F2743">
        <v>133552218</v>
      </c>
      <c r="G2743">
        <v>133552237</v>
      </c>
      <c r="H2743">
        <v>133553004</v>
      </c>
      <c r="I2743">
        <v>133553017</v>
      </c>
    </row>
    <row r="2744" spans="1:9" x14ac:dyDescent="0.2">
      <c r="A2744" t="str">
        <f>"Bmp2k"</f>
        <v>Bmp2k</v>
      </c>
      <c r="B2744" t="s">
        <v>14</v>
      </c>
      <c r="C2744" t="s">
        <v>46</v>
      </c>
      <c r="D2744" t="s">
        <v>17</v>
      </c>
      <c r="E2744" t="s">
        <v>12</v>
      </c>
      <c r="F2744">
        <v>96997676</v>
      </c>
      <c r="G2744">
        <v>96997766</v>
      </c>
      <c r="H2744">
        <v>96997676</v>
      </c>
      <c r="I2744">
        <v>96997766</v>
      </c>
    </row>
    <row r="2745" spans="1:9" x14ac:dyDescent="0.2">
      <c r="A2745" t="str">
        <f>"Bmp3"</f>
        <v>Bmp3</v>
      </c>
      <c r="B2745" t="s">
        <v>14</v>
      </c>
      <c r="C2745" t="s">
        <v>46</v>
      </c>
      <c r="D2745" t="s">
        <v>17</v>
      </c>
      <c r="E2745" t="s">
        <v>12</v>
      </c>
      <c r="F2745">
        <v>98854434</v>
      </c>
      <c r="G2745">
        <v>98854466</v>
      </c>
      <c r="H2745">
        <v>98854473</v>
      </c>
      <c r="I2745">
        <v>98854487</v>
      </c>
    </row>
    <row r="2746" spans="1:9" x14ac:dyDescent="0.2">
      <c r="A2746" t="str">
        <f>"Bmp4"</f>
        <v>Bmp4</v>
      </c>
      <c r="B2746" t="s">
        <v>14</v>
      </c>
      <c r="C2746" t="s">
        <v>41</v>
      </c>
      <c r="D2746" t="s">
        <v>11</v>
      </c>
      <c r="E2746" t="s">
        <v>12</v>
      </c>
      <c r="F2746">
        <v>46390576</v>
      </c>
      <c r="G2746">
        <v>46390606</v>
      </c>
      <c r="H2746">
        <v>46390501</v>
      </c>
      <c r="I2746">
        <v>46390529</v>
      </c>
    </row>
    <row r="2747" spans="1:9" x14ac:dyDescent="0.2">
      <c r="A2747" t="str">
        <f>"Bmp5"</f>
        <v>Bmp5</v>
      </c>
      <c r="B2747" t="s">
        <v>14</v>
      </c>
      <c r="C2747" t="s">
        <v>24</v>
      </c>
      <c r="D2747" t="s">
        <v>17</v>
      </c>
      <c r="E2747" t="s">
        <v>12</v>
      </c>
      <c r="F2747">
        <v>75775355</v>
      </c>
      <c r="G2747">
        <v>75775378</v>
      </c>
      <c r="H2747">
        <v>75775355</v>
      </c>
      <c r="I2747">
        <v>75775378</v>
      </c>
    </row>
    <row r="2748" spans="1:9" x14ac:dyDescent="0.2">
      <c r="A2748" t="str">
        <f>"Bmp6"</f>
        <v>Bmp6</v>
      </c>
      <c r="B2748" t="s">
        <v>14</v>
      </c>
      <c r="C2748" t="s">
        <v>39</v>
      </c>
      <c r="D2748" t="s">
        <v>17</v>
      </c>
      <c r="E2748" t="s">
        <v>12</v>
      </c>
      <c r="F2748">
        <v>38345108</v>
      </c>
      <c r="G2748">
        <v>38345140</v>
      </c>
      <c r="H2748">
        <v>38345094</v>
      </c>
      <c r="I2748">
        <v>38345105</v>
      </c>
    </row>
    <row r="2749" spans="1:9" x14ac:dyDescent="0.2">
      <c r="A2749" t="str">
        <f>"Bmp7"</f>
        <v>Bmp7</v>
      </c>
      <c r="B2749" t="s">
        <v>14</v>
      </c>
      <c r="C2749" t="s">
        <v>26</v>
      </c>
      <c r="D2749" t="s">
        <v>11</v>
      </c>
      <c r="E2749" t="s">
        <v>12</v>
      </c>
      <c r="F2749">
        <v>172940299</v>
      </c>
      <c r="G2749">
        <v>172940349</v>
      </c>
      <c r="H2749">
        <v>172940561</v>
      </c>
      <c r="I2749">
        <v>172940617</v>
      </c>
    </row>
    <row r="2750" spans="1:9" x14ac:dyDescent="0.2">
      <c r="A2750" t="str">
        <f>"Bmp8a"</f>
        <v>Bmp8a</v>
      </c>
      <c r="B2750" t="s">
        <v>14</v>
      </c>
      <c r="C2750" t="s">
        <v>23</v>
      </c>
      <c r="D2750" t="s">
        <v>11</v>
      </c>
      <c r="E2750" t="s">
        <v>12</v>
      </c>
      <c r="F2750">
        <v>123342893</v>
      </c>
      <c r="G2750">
        <v>123342918</v>
      </c>
      <c r="H2750">
        <v>123343599</v>
      </c>
      <c r="I2750">
        <v>123343628</v>
      </c>
    </row>
    <row r="2751" spans="1:9" x14ac:dyDescent="0.2">
      <c r="A2751" t="str">
        <f>"Bmp8b"</f>
        <v>Bmp8b</v>
      </c>
      <c r="B2751" t="s">
        <v>14</v>
      </c>
      <c r="C2751" t="s">
        <v>23</v>
      </c>
      <c r="D2751" t="s">
        <v>17</v>
      </c>
      <c r="E2751" t="s">
        <v>12</v>
      </c>
      <c r="F2751">
        <v>123105146</v>
      </c>
      <c r="G2751">
        <v>123105168</v>
      </c>
      <c r="H2751">
        <v>123105129</v>
      </c>
      <c r="I2751">
        <v>123105138</v>
      </c>
    </row>
    <row r="2752" spans="1:9" x14ac:dyDescent="0.2">
      <c r="A2752" t="str">
        <f>"Bmper"</f>
        <v>Bmper</v>
      </c>
      <c r="B2752" t="s">
        <v>14</v>
      </c>
      <c r="C2752" t="s">
        <v>24</v>
      </c>
      <c r="D2752" t="s">
        <v>17</v>
      </c>
      <c r="E2752" t="s">
        <v>12</v>
      </c>
      <c r="F2752">
        <v>23223509</v>
      </c>
      <c r="G2752">
        <v>23223601</v>
      </c>
      <c r="H2752">
        <v>23223065</v>
      </c>
      <c r="I2752">
        <v>23223095</v>
      </c>
    </row>
    <row r="2753" spans="1:9" x14ac:dyDescent="0.2">
      <c r="A2753" t="str">
        <f>"Bmpr1a"</f>
        <v>Bmpr1a</v>
      </c>
      <c r="B2753" t="s">
        <v>14</v>
      </c>
      <c r="C2753" t="s">
        <v>41</v>
      </c>
      <c r="D2753" t="s">
        <v>11</v>
      </c>
      <c r="E2753" t="s">
        <v>12</v>
      </c>
      <c r="F2753">
        <v>34502522</v>
      </c>
      <c r="G2753">
        <v>34502574</v>
      </c>
      <c r="H2753">
        <v>34502663</v>
      </c>
      <c r="I2753">
        <v>34502715</v>
      </c>
    </row>
    <row r="2754" spans="1:9" x14ac:dyDescent="0.2">
      <c r="A2754" t="str">
        <f>"Bmpr1b"</f>
        <v>Bmpr1b</v>
      </c>
      <c r="B2754" t="s">
        <v>9</v>
      </c>
      <c r="C2754" t="s">
        <v>22</v>
      </c>
      <c r="D2754" t="s">
        <v>11</v>
      </c>
      <c r="E2754" t="s">
        <v>12</v>
      </c>
      <c r="F2754">
        <v>142169196</v>
      </c>
      <c r="G2754">
        <v>142169261</v>
      </c>
      <c r="H2754">
        <v>142169196</v>
      </c>
      <c r="I2754">
        <v>142169261</v>
      </c>
    </row>
    <row r="2755" spans="1:9" x14ac:dyDescent="0.2">
      <c r="A2755" t="str">
        <f>"Bmpr1b"</f>
        <v>Bmpr1b</v>
      </c>
      <c r="B2755" t="s">
        <v>13</v>
      </c>
      <c r="C2755" t="s">
        <v>22</v>
      </c>
      <c r="D2755" t="s">
        <v>11</v>
      </c>
      <c r="E2755" t="s">
        <v>12</v>
      </c>
      <c r="F2755">
        <v>141982206</v>
      </c>
      <c r="G2755">
        <v>141982221</v>
      </c>
      <c r="H2755">
        <v>141982206</v>
      </c>
      <c r="I2755">
        <v>141982221</v>
      </c>
    </row>
    <row r="2756" spans="1:9" x14ac:dyDescent="0.2">
      <c r="A2756" t="str">
        <f>"Bmpr2"</f>
        <v>Bmpr2</v>
      </c>
      <c r="B2756" t="s">
        <v>14</v>
      </c>
      <c r="C2756" t="s">
        <v>19</v>
      </c>
      <c r="D2756" t="s">
        <v>17</v>
      </c>
      <c r="E2756" t="s">
        <v>12</v>
      </c>
      <c r="F2756">
        <v>59764304</v>
      </c>
      <c r="G2756">
        <v>59764326</v>
      </c>
      <c r="H2756">
        <v>59764304</v>
      </c>
      <c r="I2756">
        <v>59764326</v>
      </c>
    </row>
    <row r="2757" spans="1:9" x14ac:dyDescent="0.2">
      <c r="A2757" t="str">
        <f>"Bms1"</f>
        <v>Bms1</v>
      </c>
      <c r="B2757" t="s">
        <v>14</v>
      </c>
      <c r="C2757" t="s">
        <v>32</v>
      </c>
      <c r="D2757" t="s">
        <v>11</v>
      </c>
      <c r="E2757" t="s">
        <v>12</v>
      </c>
      <c r="F2757">
        <v>118419388</v>
      </c>
      <c r="G2757">
        <v>118419441</v>
      </c>
      <c r="H2757">
        <v>118419358</v>
      </c>
      <c r="I2757">
        <v>118419387</v>
      </c>
    </row>
    <row r="2758" spans="1:9" x14ac:dyDescent="0.2">
      <c r="A2758" t="str">
        <f>"Bmx"</f>
        <v>Bmx</v>
      </c>
      <c r="B2758" t="s">
        <v>14</v>
      </c>
      <c r="C2758" t="s">
        <v>37</v>
      </c>
      <c r="D2758" t="s">
        <v>11</v>
      </c>
      <c r="E2758" t="s">
        <v>12</v>
      </c>
      <c r="F2758">
        <v>164258186</v>
      </c>
      <c r="G2758">
        <v>164258199</v>
      </c>
      <c r="H2758">
        <v>164258186</v>
      </c>
      <c r="I2758">
        <v>164258199</v>
      </c>
    </row>
    <row r="2759" spans="1:9" x14ac:dyDescent="0.2">
      <c r="A2759" t="str">
        <f>"Bmyc"</f>
        <v>Bmyc</v>
      </c>
      <c r="B2759" t="s">
        <v>14</v>
      </c>
      <c r="C2759" t="s">
        <v>26</v>
      </c>
      <c r="D2759" t="s">
        <v>17</v>
      </c>
      <c r="E2759" t="s">
        <v>12</v>
      </c>
      <c r="F2759">
        <v>25706826</v>
      </c>
      <c r="G2759">
        <v>25706913</v>
      </c>
      <c r="H2759">
        <v>25706743</v>
      </c>
      <c r="I2759">
        <v>25706794</v>
      </c>
    </row>
    <row r="2760" spans="1:9" x14ac:dyDescent="0.2">
      <c r="A2760" t="str">
        <f>"Bnc1"</f>
        <v>Bnc1</v>
      </c>
      <c r="B2760" t="s">
        <v>14</v>
      </c>
      <c r="C2760" t="s">
        <v>33</v>
      </c>
      <c r="D2760" t="s">
        <v>11</v>
      </c>
      <c r="E2760" t="s">
        <v>12</v>
      </c>
      <c r="F2760">
        <v>81992277</v>
      </c>
      <c r="G2760">
        <v>81992314</v>
      </c>
      <c r="H2760">
        <v>81992668</v>
      </c>
      <c r="I2760">
        <v>81992679</v>
      </c>
    </row>
    <row r="2761" spans="1:9" x14ac:dyDescent="0.2">
      <c r="A2761" t="str">
        <f>"Bnc2"</f>
        <v>Bnc2</v>
      </c>
      <c r="B2761" t="s">
        <v>14</v>
      </c>
      <c r="C2761" t="s">
        <v>23</v>
      </c>
      <c r="D2761" t="s">
        <v>11</v>
      </c>
      <c r="E2761" t="s">
        <v>12</v>
      </c>
      <c r="F2761">
        <v>84674989</v>
      </c>
      <c r="G2761">
        <v>84675006</v>
      </c>
      <c r="H2761">
        <v>84674989</v>
      </c>
      <c r="I2761">
        <v>84675006</v>
      </c>
    </row>
    <row r="2762" spans="1:9" x14ac:dyDescent="0.2">
      <c r="A2762" t="str">
        <f>"Bnip1"</f>
        <v>Bnip1</v>
      </c>
      <c r="B2762" t="s">
        <v>14</v>
      </c>
      <c r="C2762" t="s">
        <v>28</v>
      </c>
      <c r="D2762" t="s">
        <v>17</v>
      </c>
      <c r="E2762" t="s">
        <v>12</v>
      </c>
      <c r="F2762">
        <v>26781060</v>
      </c>
      <c r="G2762">
        <v>26781094</v>
      </c>
      <c r="H2762">
        <v>26781060</v>
      </c>
      <c r="I2762">
        <v>26781094</v>
      </c>
    </row>
    <row r="2763" spans="1:9" x14ac:dyDescent="0.2">
      <c r="A2763" t="str">
        <f>"Bnip2"</f>
        <v>Bnip2</v>
      </c>
      <c r="B2763" t="s">
        <v>14</v>
      </c>
      <c r="C2763" t="s">
        <v>24</v>
      </c>
      <c r="D2763" t="s">
        <v>17</v>
      </c>
      <c r="E2763" t="s">
        <v>12</v>
      </c>
      <c r="F2763">
        <v>69989468</v>
      </c>
      <c r="G2763">
        <v>69989539</v>
      </c>
      <c r="H2763">
        <v>69989416</v>
      </c>
      <c r="I2763">
        <v>69989450</v>
      </c>
    </row>
    <row r="2764" spans="1:9" x14ac:dyDescent="0.2">
      <c r="A2764" t="str">
        <f>"Bnip3"</f>
        <v>Bnip3</v>
      </c>
      <c r="B2764" t="s">
        <v>14</v>
      </c>
      <c r="C2764" t="s">
        <v>33</v>
      </c>
      <c r="D2764" t="s">
        <v>11</v>
      </c>
      <c r="E2764" t="s">
        <v>12</v>
      </c>
      <c r="F2764">
        <v>138909492</v>
      </c>
      <c r="G2764">
        <v>138909513</v>
      </c>
      <c r="H2764">
        <v>138909448</v>
      </c>
      <c r="I2764">
        <v>138909491</v>
      </c>
    </row>
    <row r="2765" spans="1:9" x14ac:dyDescent="0.2">
      <c r="A2765" t="str">
        <f>"Bnip3l"</f>
        <v>Bnip3l</v>
      </c>
      <c r="B2765" t="s">
        <v>9</v>
      </c>
      <c r="C2765" t="s">
        <v>41</v>
      </c>
      <c r="D2765" t="s">
        <v>11</v>
      </c>
      <c r="E2765" t="s">
        <v>12</v>
      </c>
      <c r="F2765">
        <v>67008834</v>
      </c>
      <c r="G2765">
        <v>67008867</v>
      </c>
      <c r="H2765">
        <v>67008834</v>
      </c>
      <c r="I2765">
        <v>67008867</v>
      </c>
    </row>
    <row r="2766" spans="1:9" x14ac:dyDescent="0.2">
      <c r="A2766" t="str">
        <f>"Bnip3l"</f>
        <v>Bnip3l</v>
      </c>
      <c r="B2766" t="s">
        <v>13</v>
      </c>
      <c r="C2766" t="s">
        <v>41</v>
      </c>
      <c r="D2766" t="s">
        <v>11</v>
      </c>
      <c r="E2766" t="s">
        <v>12</v>
      </c>
      <c r="F2766">
        <v>67000463</v>
      </c>
      <c r="G2766">
        <v>67000485</v>
      </c>
      <c r="H2766">
        <v>67000463</v>
      </c>
      <c r="I2766">
        <v>67000485</v>
      </c>
    </row>
    <row r="2767" spans="1:9" x14ac:dyDescent="0.2">
      <c r="A2767" t="str">
        <f>"Bnipl"</f>
        <v>Bnipl</v>
      </c>
      <c r="B2767" t="s">
        <v>14</v>
      </c>
      <c r="C2767" t="s">
        <v>22</v>
      </c>
      <c r="D2767" t="s">
        <v>11</v>
      </c>
      <c r="E2767" t="s">
        <v>12</v>
      </c>
      <c r="F2767">
        <v>95251120</v>
      </c>
      <c r="G2767">
        <v>95251144</v>
      </c>
      <c r="H2767">
        <v>95251104</v>
      </c>
      <c r="I2767">
        <v>95251118</v>
      </c>
    </row>
    <row r="2768" spans="1:9" x14ac:dyDescent="0.2">
      <c r="A2768" t="str">
        <f>"Boc"</f>
        <v>Boc</v>
      </c>
      <c r="B2768" t="s">
        <v>14</v>
      </c>
      <c r="C2768" t="s">
        <v>31</v>
      </c>
      <c r="D2768" t="s">
        <v>11</v>
      </c>
      <c r="E2768" t="s">
        <v>12</v>
      </c>
      <c r="F2768">
        <v>44558825</v>
      </c>
      <c r="G2768">
        <v>44558851</v>
      </c>
      <c r="H2768">
        <v>44558879</v>
      </c>
      <c r="I2768">
        <v>44558905</v>
      </c>
    </row>
    <row r="2769" spans="1:9" x14ac:dyDescent="0.2">
      <c r="A2769" t="str">
        <f>"Bod1"</f>
        <v>Bod1</v>
      </c>
      <c r="B2769" t="s">
        <v>14</v>
      </c>
      <c r="C2769" t="s">
        <v>27</v>
      </c>
      <c r="D2769" t="s">
        <v>11</v>
      </c>
      <c r="E2769" t="s">
        <v>12</v>
      </c>
      <c r="F2769">
        <v>31671804</v>
      </c>
      <c r="G2769">
        <v>31671856</v>
      </c>
      <c r="H2769">
        <v>31671863</v>
      </c>
      <c r="I2769">
        <v>31671881</v>
      </c>
    </row>
    <row r="2770" spans="1:9" x14ac:dyDescent="0.2">
      <c r="A2770" t="str">
        <f>"Bod1l"</f>
        <v>Bod1l</v>
      </c>
      <c r="B2770" t="s">
        <v>14</v>
      </c>
      <c r="C2770" t="s">
        <v>46</v>
      </c>
      <c r="D2770" t="s">
        <v>11</v>
      </c>
      <c r="E2770" t="s">
        <v>12</v>
      </c>
      <c r="F2770">
        <v>41844232</v>
      </c>
      <c r="G2770">
        <v>41844329</v>
      </c>
      <c r="H2770">
        <v>41844232</v>
      </c>
      <c r="I2770">
        <v>41844329</v>
      </c>
    </row>
    <row r="2771" spans="1:9" x14ac:dyDescent="0.2">
      <c r="A2771" t="str">
        <f>"Bok"</f>
        <v>Bok</v>
      </c>
      <c r="B2771" t="s">
        <v>14</v>
      </c>
      <c r="C2771" t="s">
        <v>19</v>
      </c>
      <c r="D2771" t="s">
        <v>17</v>
      </c>
      <c r="E2771" t="s">
        <v>12</v>
      </c>
      <c r="F2771">
        <v>93685574</v>
      </c>
      <c r="G2771">
        <v>93685678</v>
      </c>
      <c r="H2771">
        <v>93685738</v>
      </c>
      <c r="I2771">
        <v>93685807</v>
      </c>
    </row>
    <row r="2772" spans="1:9" x14ac:dyDescent="0.2">
      <c r="A2772" t="str">
        <f>"Bola1"</f>
        <v>Bola1</v>
      </c>
      <c r="B2772" t="s">
        <v>14</v>
      </c>
      <c r="C2772" t="s">
        <v>22</v>
      </c>
      <c r="D2772" t="s">
        <v>11</v>
      </c>
      <c r="E2772" t="s">
        <v>12</v>
      </c>
      <c r="F2772">
        <v>96197580</v>
      </c>
      <c r="G2772">
        <v>96197634</v>
      </c>
      <c r="H2772">
        <v>96197637</v>
      </c>
      <c r="I2772">
        <v>96197648</v>
      </c>
    </row>
    <row r="2773" spans="1:9" x14ac:dyDescent="0.2">
      <c r="A2773" t="str">
        <f>"Bola2"</f>
        <v>Bola2</v>
      </c>
      <c r="B2773" t="s">
        <v>14</v>
      </c>
      <c r="C2773" t="s">
        <v>33</v>
      </c>
      <c r="D2773" t="s">
        <v>17</v>
      </c>
      <c r="E2773" t="s">
        <v>12</v>
      </c>
      <c r="F2773">
        <v>126695942</v>
      </c>
      <c r="G2773">
        <v>126696009</v>
      </c>
      <c r="H2773">
        <v>126695355</v>
      </c>
      <c r="I2773">
        <v>126695431</v>
      </c>
    </row>
    <row r="2774" spans="1:9" x14ac:dyDescent="0.2">
      <c r="A2774" t="str">
        <f>"Bola3"</f>
        <v>Bola3</v>
      </c>
      <c r="B2774" t="s">
        <v>14</v>
      </c>
      <c r="C2774" t="s">
        <v>32</v>
      </c>
      <c r="D2774" t="s">
        <v>17</v>
      </c>
      <c r="E2774" t="s">
        <v>12</v>
      </c>
      <c r="F2774">
        <v>83349451</v>
      </c>
      <c r="G2774">
        <v>83349496</v>
      </c>
      <c r="H2774">
        <v>83349451</v>
      </c>
      <c r="I2774">
        <v>83349496</v>
      </c>
    </row>
    <row r="2775" spans="1:9" x14ac:dyDescent="0.2">
      <c r="A2775" t="str">
        <f>"Boll"</f>
        <v>Boll</v>
      </c>
      <c r="B2775" t="s">
        <v>14</v>
      </c>
      <c r="C2775" t="s">
        <v>19</v>
      </c>
      <c r="D2775" t="s">
        <v>11</v>
      </c>
      <c r="E2775" t="s">
        <v>12</v>
      </c>
      <c r="F2775">
        <v>55362692</v>
      </c>
      <c r="G2775">
        <v>55362749</v>
      </c>
      <c r="H2775">
        <v>55362692</v>
      </c>
      <c r="I2775">
        <v>55362749</v>
      </c>
    </row>
    <row r="2776" spans="1:9" x14ac:dyDescent="0.2">
      <c r="A2776" t="str">
        <f>"Bop1"</f>
        <v>Bop1</v>
      </c>
      <c r="B2776" t="s">
        <v>14</v>
      </c>
      <c r="C2776" t="s">
        <v>25</v>
      </c>
      <c r="D2776" t="s">
        <v>11</v>
      </c>
      <c r="E2776" t="s">
        <v>12</v>
      </c>
      <c r="F2776">
        <v>76477239</v>
      </c>
      <c r="G2776">
        <v>76477259</v>
      </c>
      <c r="H2776">
        <v>76477273</v>
      </c>
      <c r="I2776">
        <v>76477284</v>
      </c>
    </row>
    <row r="2777" spans="1:9" x14ac:dyDescent="0.2">
      <c r="A2777" t="str">
        <f>"Bora"</f>
        <v>Bora</v>
      </c>
      <c r="B2777" t="s">
        <v>14</v>
      </c>
      <c r="C2777" t="s">
        <v>41</v>
      </c>
      <c r="D2777" t="s">
        <v>17</v>
      </c>
      <c r="E2777" t="s">
        <v>67</v>
      </c>
      <c r="F2777">
        <v>99046434</v>
      </c>
      <c r="G2777">
        <v>99046463</v>
      </c>
      <c r="H2777">
        <v>99046406</v>
      </c>
      <c r="I2777">
        <v>99046429</v>
      </c>
    </row>
    <row r="2778" spans="1:9" x14ac:dyDescent="0.2">
      <c r="A2778" t="str">
        <f>"Bpgm"</f>
        <v>Bpgm</v>
      </c>
      <c r="B2778" t="s">
        <v>14</v>
      </c>
      <c r="C2778" t="s">
        <v>32</v>
      </c>
      <c r="D2778" t="s">
        <v>17</v>
      </c>
      <c r="E2778" t="s">
        <v>12</v>
      </c>
      <c r="F2778">
        <v>34476286</v>
      </c>
      <c r="G2778">
        <v>34476362</v>
      </c>
      <c r="H2778">
        <v>34476286</v>
      </c>
      <c r="I2778">
        <v>34476362</v>
      </c>
    </row>
    <row r="2779" spans="1:9" x14ac:dyDescent="0.2">
      <c r="A2779" t="str">
        <f>"Bphl"</f>
        <v>Bphl</v>
      </c>
      <c r="B2779" t="s">
        <v>14</v>
      </c>
      <c r="C2779" t="s">
        <v>39</v>
      </c>
      <c r="D2779" t="s">
        <v>17</v>
      </c>
      <c r="E2779" t="s">
        <v>12</v>
      </c>
      <c r="F2779">
        <v>34037619</v>
      </c>
      <c r="G2779">
        <v>34037655</v>
      </c>
      <c r="H2779">
        <v>34037591</v>
      </c>
      <c r="I2779">
        <v>34037605</v>
      </c>
    </row>
    <row r="2780" spans="1:9" x14ac:dyDescent="0.2">
      <c r="A2780" t="str">
        <f>"Bpi"</f>
        <v>Bpi</v>
      </c>
      <c r="B2780" t="s">
        <v>14</v>
      </c>
      <c r="C2780" t="s">
        <v>26</v>
      </c>
      <c r="D2780" t="s">
        <v>17</v>
      </c>
      <c r="E2780" t="s">
        <v>12</v>
      </c>
      <c r="F2780">
        <v>158258065</v>
      </c>
      <c r="G2780">
        <v>158258109</v>
      </c>
      <c r="H2780">
        <v>158258260</v>
      </c>
      <c r="I2780">
        <v>158258276</v>
      </c>
    </row>
    <row r="2781" spans="1:9" x14ac:dyDescent="0.2">
      <c r="A2781" t="str">
        <f>"Bpifa1"</f>
        <v>Bpifa1</v>
      </c>
      <c r="B2781" t="s">
        <v>14</v>
      </c>
      <c r="C2781" t="s">
        <v>26</v>
      </c>
      <c r="D2781" t="s">
        <v>17</v>
      </c>
      <c r="E2781" t="s">
        <v>12</v>
      </c>
      <c r="F2781">
        <v>154142880</v>
      </c>
      <c r="G2781">
        <v>154142885</v>
      </c>
      <c r="H2781">
        <v>154142880</v>
      </c>
      <c r="I2781">
        <v>154142885</v>
      </c>
    </row>
    <row r="2782" spans="1:9" x14ac:dyDescent="0.2">
      <c r="A2782" t="str">
        <f>"Bpifa2"</f>
        <v>Bpifa2</v>
      </c>
      <c r="B2782" t="s">
        <v>14</v>
      </c>
      <c r="C2782" t="s">
        <v>26</v>
      </c>
      <c r="D2782" t="s">
        <v>17</v>
      </c>
      <c r="E2782" t="s">
        <v>67</v>
      </c>
      <c r="F2782">
        <v>154008256</v>
      </c>
      <c r="G2782">
        <v>154008274</v>
      </c>
      <c r="H2782">
        <v>154008329</v>
      </c>
      <c r="I2782">
        <v>154008343</v>
      </c>
    </row>
    <row r="2783" spans="1:9" x14ac:dyDescent="0.2">
      <c r="A2783" t="str">
        <f>"Bpifa3"</f>
        <v>Bpifa3</v>
      </c>
      <c r="B2783" t="s">
        <v>14</v>
      </c>
      <c r="C2783" t="s">
        <v>26</v>
      </c>
      <c r="D2783" t="s">
        <v>17</v>
      </c>
      <c r="E2783" t="s">
        <v>12</v>
      </c>
      <c r="F2783">
        <v>154130332</v>
      </c>
      <c r="G2783">
        <v>154130356</v>
      </c>
      <c r="H2783">
        <v>154130367</v>
      </c>
      <c r="I2783">
        <v>154130374</v>
      </c>
    </row>
    <row r="2784" spans="1:9" x14ac:dyDescent="0.2">
      <c r="A2784" t="str">
        <f>"Bpifa5"</f>
        <v>Bpifa5</v>
      </c>
      <c r="B2784" t="s">
        <v>14</v>
      </c>
      <c r="C2784" t="s">
        <v>26</v>
      </c>
      <c r="D2784" t="s">
        <v>17</v>
      </c>
      <c r="E2784" t="s">
        <v>12</v>
      </c>
      <c r="F2784">
        <v>154162606</v>
      </c>
      <c r="G2784">
        <v>154162613</v>
      </c>
      <c r="H2784">
        <v>154162606</v>
      </c>
      <c r="I2784">
        <v>154162613</v>
      </c>
    </row>
    <row r="2785" spans="1:9" x14ac:dyDescent="0.2">
      <c r="A2785" t="str">
        <f>"Bpifa6"</f>
        <v>Bpifa6</v>
      </c>
      <c r="B2785" t="s">
        <v>14</v>
      </c>
      <c r="C2785" t="s">
        <v>26</v>
      </c>
      <c r="D2785" t="s">
        <v>17</v>
      </c>
      <c r="E2785" t="s">
        <v>12</v>
      </c>
      <c r="F2785">
        <v>153974906</v>
      </c>
      <c r="G2785">
        <v>153974935</v>
      </c>
      <c r="H2785">
        <v>153974906</v>
      </c>
      <c r="I2785">
        <v>153974935</v>
      </c>
    </row>
    <row r="2786" spans="1:9" x14ac:dyDescent="0.2">
      <c r="A2786" t="str">
        <f>"Bpifb1"</f>
        <v>Bpifb1</v>
      </c>
      <c r="B2786" t="s">
        <v>9</v>
      </c>
      <c r="C2786" t="s">
        <v>26</v>
      </c>
      <c r="D2786" t="s">
        <v>17</v>
      </c>
      <c r="E2786" t="s">
        <v>12</v>
      </c>
      <c r="F2786">
        <v>154190806</v>
      </c>
      <c r="G2786">
        <v>154190832</v>
      </c>
      <c r="H2786">
        <v>154190806</v>
      </c>
      <c r="I2786">
        <v>154190832</v>
      </c>
    </row>
    <row r="2787" spans="1:9" x14ac:dyDescent="0.2">
      <c r="A2787" t="str">
        <f>"Bpifb1"</f>
        <v>Bpifb1</v>
      </c>
      <c r="B2787" t="s">
        <v>13</v>
      </c>
      <c r="C2787" t="s">
        <v>26</v>
      </c>
      <c r="D2787" t="s">
        <v>17</v>
      </c>
      <c r="E2787" t="s">
        <v>12</v>
      </c>
      <c r="F2787">
        <v>154200371</v>
      </c>
      <c r="G2787">
        <v>154200385</v>
      </c>
      <c r="H2787">
        <v>154200371</v>
      </c>
      <c r="I2787">
        <v>154200385</v>
      </c>
    </row>
    <row r="2788" spans="1:9" x14ac:dyDescent="0.2">
      <c r="A2788" t="str">
        <f>"Bpifb2"</f>
        <v>Bpifb2</v>
      </c>
      <c r="B2788" t="s">
        <v>14</v>
      </c>
      <c r="C2788" t="s">
        <v>26</v>
      </c>
      <c r="D2788" t="s">
        <v>17</v>
      </c>
      <c r="E2788" t="s">
        <v>12</v>
      </c>
      <c r="F2788">
        <v>153875065</v>
      </c>
      <c r="G2788">
        <v>153875077</v>
      </c>
      <c r="H2788">
        <v>153874978</v>
      </c>
      <c r="I2788">
        <v>153874987</v>
      </c>
    </row>
    <row r="2789" spans="1:9" x14ac:dyDescent="0.2">
      <c r="A2789" t="str">
        <f>"Bpifb3"</f>
        <v>Bpifb3</v>
      </c>
      <c r="B2789" t="s">
        <v>14</v>
      </c>
      <c r="C2789" t="s">
        <v>26</v>
      </c>
      <c r="D2789" t="s">
        <v>17</v>
      </c>
      <c r="E2789" t="s">
        <v>12</v>
      </c>
      <c r="F2789">
        <v>153918391</v>
      </c>
      <c r="G2789">
        <v>153918396</v>
      </c>
      <c r="H2789">
        <v>153918391</v>
      </c>
      <c r="I2789">
        <v>153918396</v>
      </c>
    </row>
    <row r="2790" spans="1:9" x14ac:dyDescent="0.2">
      <c r="A2790" t="str">
        <f>"Bpifb4"</f>
        <v>Bpifb4</v>
      </c>
      <c r="B2790" t="s">
        <v>14</v>
      </c>
      <c r="C2790" t="s">
        <v>26</v>
      </c>
      <c r="D2790" t="s">
        <v>17</v>
      </c>
      <c r="E2790" t="s">
        <v>12</v>
      </c>
      <c r="F2790">
        <v>153943919</v>
      </c>
      <c r="G2790">
        <v>153943934</v>
      </c>
      <c r="H2790">
        <v>153943919</v>
      </c>
      <c r="I2790">
        <v>153943934</v>
      </c>
    </row>
    <row r="2791" spans="1:9" x14ac:dyDescent="0.2">
      <c r="A2791" t="str">
        <f>"Bpifb5"</f>
        <v>Bpifb5</v>
      </c>
      <c r="B2791" t="s">
        <v>14</v>
      </c>
      <c r="C2791" t="s">
        <v>26</v>
      </c>
      <c r="D2791" t="s">
        <v>17</v>
      </c>
      <c r="E2791" t="s">
        <v>12</v>
      </c>
      <c r="F2791">
        <v>154223737</v>
      </c>
      <c r="G2791">
        <v>154223776</v>
      </c>
      <c r="H2791">
        <v>154223737</v>
      </c>
      <c r="I2791">
        <v>154223776</v>
      </c>
    </row>
    <row r="2792" spans="1:9" x14ac:dyDescent="0.2">
      <c r="A2792" t="str">
        <f>"Bpifb6"</f>
        <v>Bpifb6</v>
      </c>
      <c r="B2792" t="s">
        <v>14</v>
      </c>
      <c r="C2792" t="s">
        <v>26</v>
      </c>
      <c r="D2792" t="s">
        <v>17</v>
      </c>
      <c r="E2792" t="s">
        <v>12</v>
      </c>
      <c r="F2792">
        <v>153900374</v>
      </c>
      <c r="G2792">
        <v>153900378</v>
      </c>
      <c r="H2792">
        <v>153900374</v>
      </c>
      <c r="I2792">
        <v>153900378</v>
      </c>
    </row>
    <row r="2793" spans="1:9" x14ac:dyDescent="0.2">
      <c r="A2793" t="str">
        <f>"Bpifb9a"</f>
        <v>Bpifb9a</v>
      </c>
      <c r="B2793" t="s">
        <v>2219</v>
      </c>
      <c r="C2793" t="s">
        <v>26</v>
      </c>
      <c r="D2793" t="s">
        <v>17</v>
      </c>
      <c r="E2793" t="s">
        <v>20</v>
      </c>
      <c r="F2793">
        <v>154257853</v>
      </c>
      <c r="G2793">
        <v>154257853</v>
      </c>
      <c r="H2793">
        <v>154257853</v>
      </c>
      <c r="I2793">
        <v>154257853</v>
      </c>
    </row>
    <row r="2794" spans="1:9" x14ac:dyDescent="0.2">
      <c r="A2794" t="str">
        <f>"Bpifb9b"</f>
        <v>Bpifb9b</v>
      </c>
      <c r="B2794" t="s">
        <v>14</v>
      </c>
      <c r="C2794" t="s">
        <v>26</v>
      </c>
      <c r="D2794" t="s">
        <v>17</v>
      </c>
      <c r="E2794" t="s">
        <v>12</v>
      </c>
      <c r="F2794">
        <v>154307202</v>
      </c>
      <c r="G2794">
        <v>154307208</v>
      </c>
      <c r="H2794">
        <v>154307202</v>
      </c>
      <c r="I2794">
        <v>154307208</v>
      </c>
    </row>
    <row r="2795" spans="1:9" x14ac:dyDescent="0.2">
      <c r="A2795" t="str">
        <f>"Bpifc"</f>
        <v>Bpifc</v>
      </c>
      <c r="B2795" t="s">
        <v>14</v>
      </c>
      <c r="C2795" t="s">
        <v>15</v>
      </c>
      <c r="D2795" t="s">
        <v>11</v>
      </c>
      <c r="E2795" t="s">
        <v>12</v>
      </c>
      <c r="F2795">
        <v>86011833</v>
      </c>
      <c r="G2795">
        <v>86011896</v>
      </c>
      <c r="H2795">
        <v>86011833</v>
      </c>
      <c r="I2795">
        <v>86011896</v>
      </c>
    </row>
    <row r="2796" spans="1:9" x14ac:dyDescent="0.2">
      <c r="A2796" t="str">
        <f>"Bpnt1"</f>
        <v>Bpnt1</v>
      </c>
      <c r="B2796" t="s">
        <v>14</v>
      </c>
      <c r="C2796" t="s">
        <v>19</v>
      </c>
      <c r="D2796" t="s">
        <v>17</v>
      </c>
      <c r="E2796" t="s">
        <v>12</v>
      </c>
      <c r="F2796">
        <v>185332143</v>
      </c>
      <c r="G2796">
        <v>185332216</v>
      </c>
      <c r="H2796">
        <v>185332075</v>
      </c>
      <c r="I2796">
        <v>185332088</v>
      </c>
    </row>
    <row r="2797" spans="1:9" x14ac:dyDescent="0.2">
      <c r="A2797" t="str">
        <f>"Bptf"</f>
        <v>Bptf</v>
      </c>
      <c r="B2797" t="s">
        <v>14</v>
      </c>
      <c r="C2797" t="s">
        <v>27</v>
      </c>
      <c r="D2797" t="s">
        <v>11</v>
      </c>
      <c r="E2797" t="s">
        <v>12</v>
      </c>
      <c r="F2797">
        <v>107132114</v>
      </c>
      <c r="G2797">
        <v>107132166</v>
      </c>
      <c r="H2797">
        <v>107132173</v>
      </c>
      <c r="I2797">
        <v>107132201</v>
      </c>
    </row>
    <row r="2798" spans="1:9" x14ac:dyDescent="0.2">
      <c r="A2798" t="str">
        <f>"Braf"</f>
        <v>Braf</v>
      </c>
      <c r="B2798" t="s">
        <v>14</v>
      </c>
      <c r="C2798" t="s">
        <v>32</v>
      </c>
      <c r="D2798" t="s">
        <v>11</v>
      </c>
      <c r="E2798" t="s">
        <v>12</v>
      </c>
      <c r="F2798">
        <v>39725293</v>
      </c>
      <c r="G2798">
        <v>39725357</v>
      </c>
      <c r="H2798">
        <v>39725448</v>
      </c>
      <c r="I2798">
        <v>39725478</v>
      </c>
    </row>
    <row r="2799" spans="1:9" x14ac:dyDescent="0.2">
      <c r="A2799" t="str">
        <f>"Brap"</f>
        <v>Brap</v>
      </c>
      <c r="B2799" t="s">
        <v>14</v>
      </c>
      <c r="C2799" t="s">
        <v>46</v>
      </c>
      <c r="D2799" t="s">
        <v>17</v>
      </c>
      <c r="E2799" t="s">
        <v>12</v>
      </c>
      <c r="F2799">
        <v>121660528</v>
      </c>
      <c r="G2799">
        <v>121660631</v>
      </c>
      <c r="H2799">
        <v>121660642</v>
      </c>
      <c r="I2799">
        <v>121660645</v>
      </c>
    </row>
    <row r="2800" spans="1:9" x14ac:dyDescent="0.2">
      <c r="A2800" t="str">
        <f>"Brat1"</f>
        <v>Brat1</v>
      </c>
      <c r="B2800" t="s">
        <v>14</v>
      </c>
      <c r="C2800" t="s">
        <v>46</v>
      </c>
      <c r="D2800" t="s">
        <v>17</v>
      </c>
      <c r="E2800" t="s">
        <v>67</v>
      </c>
      <c r="F2800">
        <v>140705006</v>
      </c>
      <c r="G2800">
        <v>140705037</v>
      </c>
      <c r="H2800">
        <v>140705076</v>
      </c>
      <c r="I2800">
        <v>140705091</v>
      </c>
    </row>
    <row r="2801" spans="1:9" x14ac:dyDescent="0.2">
      <c r="A2801" t="str">
        <f>"Brca1"</f>
        <v>Brca1</v>
      </c>
      <c r="B2801" t="s">
        <v>14</v>
      </c>
      <c r="C2801" t="s">
        <v>27</v>
      </c>
      <c r="D2801" t="s">
        <v>11</v>
      </c>
      <c r="E2801" t="s">
        <v>12</v>
      </c>
      <c r="F2801">
        <v>101551837</v>
      </c>
      <c r="G2801">
        <v>101551893</v>
      </c>
      <c r="H2801">
        <v>101551946</v>
      </c>
      <c r="I2801">
        <v>101551972</v>
      </c>
    </row>
    <row r="2802" spans="1:9" x14ac:dyDescent="0.2">
      <c r="A2802" t="str">
        <f>"Brca2"</f>
        <v>Brca2</v>
      </c>
      <c r="B2802" t="s">
        <v>14</v>
      </c>
      <c r="C2802" t="s">
        <v>46</v>
      </c>
      <c r="D2802" t="s">
        <v>17</v>
      </c>
      <c r="E2802" t="s">
        <v>12</v>
      </c>
      <c r="F2802">
        <v>150522646</v>
      </c>
      <c r="G2802">
        <v>150522670</v>
      </c>
      <c r="H2802">
        <v>150522599</v>
      </c>
      <c r="I2802">
        <v>150522637</v>
      </c>
    </row>
    <row r="2803" spans="1:9" x14ac:dyDescent="0.2">
      <c r="A2803" t="str">
        <f>"Brcc3"</f>
        <v>Brcc3</v>
      </c>
      <c r="B2803" t="s">
        <v>14</v>
      </c>
      <c r="C2803" t="s">
        <v>37</v>
      </c>
      <c r="D2803" t="s">
        <v>17</v>
      </c>
      <c r="E2803" t="s">
        <v>12</v>
      </c>
      <c r="F2803">
        <v>75416669</v>
      </c>
      <c r="G2803">
        <v>75416722</v>
      </c>
      <c r="H2803">
        <v>75416637</v>
      </c>
      <c r="I2803">
        <v>75416649</v>
      </c>
    </row>
    <row r="2804" spans="1:9" x14ac:dyDescent="0.2">
      <c r="A2804" t="str">
        <f>"Brd1"</f>
        <v>Brd1</v>
      </c>
      <c r="B2804" t="s">
        <v>14</v>
      </c>
      <c r="C2804" t="s">
        <v>25</v>
      </c>
      <c r="D2804" t="s">
        <v>11</v>
      </c>
      <c r="E2804" t="s">
        <v>12</v>
      </c>
      <c r="F2804">
        <v>88734217</v>
      </c>
      <c r="G2804">
        <v>88734240</v>
      </c>
      <c r="H2804">
        <v>88734188</v>
      </c>
      <c r="I2804">
        <v>88734214</v>
      </c>
    </row>
    <row r="2805" spans="1:9" x14ac:dyDescent="0.2">
      <c r="A2805" t="str">
        <f>"Brd2"</f>
        <v>Brd2</v>
      </c>
      <c r="B2805" t="s">
        <v>9</v>
      </c>
      <c r="C2805" t="s">
        <v>28</v>
      </c>
      <c r="D2805" t="s">
        <v>11</v>
      </c>
      <c r="E2805" t="s">
        <v>12</v>
      </c>
      <c r="F2805">
        <v>34122572</v>
      </c>
      <c r="G2805">
        <v>34122632</v>
      </c>
      <c r="H2805">
        <v>34122572</v>
      </c>
      <c r="I2805">
        <v>34122632</v>
      </c>
    </row>
    <row r="2806" spans="1:9" x14ac:dyDescent="0.2">
      <c r="A2806" t="str">
        <f>"Brd2"</f>
        <v>Brd2</v>
      </c>
      <c r="B2806" t="s">
        <v>13</v>
      </c>
      <c r="C2806" t="s">
        <v>28</v>
      </c>
      <c r="D2806" t="s">
        <v>11</v>
      </c>
      <c r="E2806" t="s">
        <v>12</v>
      </c>
      <c r="F2806">
        <v>34120378</v>
      </c>
      <c r="G2806">
        <v>34120422</v>
      </c>
      <c r="H2806">
        <v>34120378</v>
      </c>
      <c r="I2806">
        <v>34120422</v>
      </c>
    </row>
    <row r="2807" spans="1:9" x14ac:dyDescent="0.2">
      <c r="A2807" t="str">
        <f>"Brd3"</f>
        <v>Brd3</v>
      </c>
      <c r="B2807" t="s">
        <v>14</v>
      </c>
      <c r="C2807" t="s">
        <v>26</v>
      </c>
      <c r="D2807" t="s">
        <v>11</v>
      </c>
      <c r="E2807" t="s">
        <v>12</v>
      </c>
      <c r="F2807">
        <v>27475622</v>
      </c>
      <c r="G2807">
        <v>27475698</v>
      </c>
      <c r="H2807">
        <v>27475600</v>
      </c>
      <c r="I2807">
        <v>27475611</v>
      </c>
    </row>
    <row r="2808" spans="1:9" x14ac:dyDescent="0.2">
      <c r="A2808" t="str">
        <f>"Brd4"</f>
        <v>Brd4</v>
      </c>
      <c r="B2808" t="s">
        <v>14</v>
      </c>
      <c r="C2808" t="s">
        <v>28</v>
      </c>
      <c r="D2808" t="s">
        <v>11</v>
      </c>
      <c r="E2808" t="s">
        <v>12</v>
      </c>
      <c r="F2808">
        <v>32284715</v>
      </c>
      <c r="G2808">
        <v>32284738</v>
      </c>
      <c r="H2808">
        <v>32284659</v>
      </c>
      <c r="I2808">
        <v>32284706</v>
      </c>
    </row>
    <row r="2809" spans="1:9" x14ac:dyDescent="0.2">
      <c r="A2809" t="str">
        <f>"Brd7"</f>
        <v>Brd7</v>
      </c>
      <c r="B2809" t="s">
        <v>14</v>
      </c>
      <c r="C2809" t="s">
        <v>30</v>
      </c>
      <c r="D2809" t="s">
        <v>11</v>
      </c>
      <c r="E2809" t="s">
        <v>12</v>
      </c>
      <c r="F2809">
        <v>88362154</v>
      </c>
      <c r="G2809">
        <v>88362210</v>
      </c>
      <c r="H2809">
        <v>88361941</v>
      </c>
      <c r="I2809">
        <v>88361976</v>
      </c>
    </row>
    <row r="2810" spans="1:9" x14ac:dyDescent="0.2">
      <c r="A2810" t="str">
        <f>"Brd8"</f>
        <v>Brd8</v>
      </c>
      <c r="B2810" t="s">
        <v>14</v>
      </c>
      <c r="C2810" t="s">
        <v>43</v>
      </c>
      <c r="D2810" t="s">
        <v>11</v>
      </c>
      <c r="E2810" t="s">
        <v>12</v>
      </c>
      <c r="F2810">
        <v>34624562</v>
      </c>
      <c r="G2810">
        <v>34624591</v>
      </c>
      <c r="H2810">
        <v>34624772</v>
      </c>
      <c r="I2810">
        <v>34624815</v>
      </c>
    </row>
    <row r="2811" spans="1:9" x14ac:dyDescent="0.2">
      <c r="A2811" t="str">
        <f>"Brd9"</f>
        <v>Brd9</v>
      </c>
      <c r="B2811" t="s">
        <v>14</v>
      </c>
      <c r="C2811" t="s">
        <v>39</v>
      </c>
      <c r="D2811" t="s">
        <v>17</v>
      </c>
      <c r="E2811" t="s">
        <v>12</v>
      </c>
      <c r="F2811">
        <v>73937799</v>
      </c>
      <c r="G2811">
        <v>73937880</v>
      </c>
      <c r="H2811">
        <v>73937882</v>
      </c>
      <c r="I2811">
        <v>73937887</v>
      </c>
    </row>
    <row r="2812" spans="1:9" x14ac:dyDescent="0.2">
      <c r="A2812" t="str">
        <f>"Brdt"</f>
        <v>Brdt</v>
      </c>
      <c r="B2812" t="s">
        <v>14</v>
      </c>
      <c r="C2812" t="s">
        <v>46</v>
      </c>
      <c r="D2812" t="s">
        <v>17</v>
      </c>
      <c r="E2812" t="s">
        <v>12</v>
      </c>
      <c r="F2812">
        <v>107331157</v>
      </c>
      <c r="G2812">
        <v>107331197</v>
      </c>
      <c r="H2812">
        <v>107331157</v>
      </c>
      <c r="I2812">
        <v>107331197</v>
      </c>
    </row>
    <row r="2813" spans="1:9" x14ac:dyDescent="0.2">
      <c r="A2813" t="str">
        <f>"Bre"</f>
        <v>Bre</v>
      </c>
      <c r="B2813" t="s">
        <v>14</v>
      </c>
      <c r="C2813" t="s">
        <v>46</v>
      </c>
      <c r="D2813" t="s">
        <v>17</v>
      </c>
      <c r="E2813" t="s">
        <v>12</v>
      </c>
      <c r="F2813">
        <v>31697960</v>
      </c>
      <c r="G2813">
        <v>31698042</v>
      </c>
      <c r="H2813">
        <v>31697665</v>
      </c>
      <c r="I2813">
        <v>31697709</v>
      </c>
    </row>
    <row r="2814" spans="1:9" x14ac:dyDescent="0.2">
      <c r="A2814" t="str">
        <f>"Brf1"</f>
        <v>Brf1</v>
      </c>
      <c r="B2814" t="s">
        <v>14</v>
      </c>
      <c r="C2814" t="s">
        <v>16</v>
      </c>
      <c r="D2814" t="s">
        <v>11</v>
      </c>
      <c r="E2814" t="s">
        <v>12</v>
      </c>
      <c r="F2814">
        <v>113000392</v>
      </c>
      <c r="G2814">
        <v>113000466</v>
      </c>
      <c r="H2814">
        <v>113000658</v>
      </c>
      <c r="I2814">
        <v>113000695</v>
      </c>
    </row>
    <row r="2815" spans="1:9" x14ac:dyDescent="0.2">
      <c r="A2815" t="str">
        <f>"Brf2"</f>
        <v>Brf2</v>
      </c>
      <c r="B2815" t="s">
        <v>14</v>
      </c>
      <c r="C2815" t="s">
        <v>30</v>
      </c>
      <c r="D2815" t="s">
        <v>11</v>
      </c>
      <c r="E2815" t="s">
        <v>12</v>
      </c>
      <c r="F2815">
        <v>27128615</v>
      </c>
      <c r="G2815">
        <v>27128687</v>
      </c>
      <c r="H2815">
        <v>27128615</v>
      </c>
      <c r="I2815">
        <v>27128687</v>
      </c>
    </row>
    <row r="2816" spans="1:9" x14ac:dyDescent="0.2">
      <c r="A2816" t="str">
        <f>"Bri3"</f>
        <v>Bri3</v>
      </c>
      <c r="B2816" t="s">
        <v>14</v>
      </c>
      <c r="C2816" t="s">
        <v>46</v>
      </c>
      <c r="D2816" t="s">
        <v>17</v>
      </c>
      <c r="E2816" t="s">
        <v>12</v>
      </c>
      <c r="F2816">
        <v>144255244</v>
      </c>
      <c r="G2816">
        <v>144255284</v>
      </c>
      <c r="H2816">
        <v>144255223</v>
      </c>
      <c r="I2816">
        <v>144255242</v>
      </c>
    </row>
    <row r="2817" spans="1:9" x14ac:dyDescent="0.2">
      <c r="A2817" t="str">
        <f>"Bri3bp"</f>
        <v>Bri3bp</v>
      </c>
      <c r="B2817" t="s">
        <v>14</v>
      </c>
      <c r="C2817" t="s">
        <v>46</v>
      </c>
      <c r="D2817" t="s">
        <v>17</v>
      </c>
      <c r="E2817" t="s">
        <v>12</v>
      </c>
      <c r="F2817">
        <v>125441618</v>
      </c>
      <c r="G2817">
        <v>125441667</v>
      </c>
      <c r="H2817">
        <v>125441546</v>
      </c>
      <c r="I2817">
        <v>125441614</v>
      </c>
    </row>
    <row r="2818" spans="1:9" x14ac:dyDescent="0.2">
      <c r="A2818" t="str">
        <f>"Bricd5"</f>
        <v>Bricd5</v>
      </c>
      <c r="B2818" t="s">
        <v>14</v>
      </c>
      <c r="C2818" t="s">
        <v>28</v>
      </c>
      <c r="D2818" t="s">
        <v>17</v>
      </c>
      <c r="E2818" t="s">
        <v>67</v>
      </c>
      <c r="F2818">
        <v>24473895</v>
      </c>
      <c r="G2818">
        <v>24473922</v>
      </c>
      <c r="H2818">
        <v>24473878</v>
      </c>
      <c r="I2818">
        <v>24473888</v>
      </c>
    </row>
    <row r="2819" spans="1:9" x14ac:dyDescent="0.2">
      <c r="A2819" t="str">
        <f>"Brinp1"</f>
        <v>Brinp1</v>
      </c>
      <c r="B2819" t="s">
        <v>14</v>
      </c>
      <c r="C2819" t="s">
        <v>23</v>
      </c>
      <c r="D2819" t="s">
        <v>11</v>
      </c>
      <c r="E2819" t="s">
        <v>67</v>
      </c>
      <c r="F2819">
        <v>68954351</v>
      </c>
      <c r="G2819">
        <v>68954397</v>
      </c>
      <c r="H2819">
        <v>68954256</v>
      </c>
      <c r="I2819">
        <v>68954267</v>
      </c>
    </row>
    <row r="2820" spans="1:9" x14ac:dyDescent="0.2">
      <c r="A2820" t="str">
        <f>"Brinp2"</f>
        <v>Brinp2</v>
      </c>
      <c r="B2820" t="s">
        <v>14</v>
      </c>
      <c r="C2820" t="s">
        <v>19</v>
      </c>
      <c r="D2820" t="s">
        <v>11</v>
      </c>
      <c r="E2820" t="s">
        <v>67</v>
      </c>
      <c r="F2820">
        <v>158356258</v>
      </c>
      <c r="G2820">
        <v>158356313</v>
      </c>
      <c r="H2820">
        <v>158356324</v>
      </c>
      <c r="I2820">
        <v>158356344</v>
      </c>
    </row>
    <row r="2821" spans="1:9" x14ac:dyDescent="0.2">
      <c r="A2821" t="str">
        <f>"Brinp3"</f>
        <v>Brinp3</v>
      </c>
      <c r="B2821" t="s">
        <v>9</v>
      </c>
      <c r="C2821" t="s">
        <v>19</v>
      </c>
      <c r="D2821" t="s">
        <v>17</v>
      </c>
      <c r="E2821" t="s">
        <v>67</v>
      </c>
      <c r="F2821">
        <v>146495644</v>
      </c>
      <c r="G2821">
        <v>146495679</v>
      </c>
      <c r="H2821">
        <v>146495644</v>
      </c>
      <c r="I2821">
        <v>146495679</v>
      </c>
    </row>
    <row r="2822" spans="1:9" x14ac:dyDescent="0.2">
      <c r="A2822" t="str">
        <f>"Brinp3"</f>
        <v>Brinp3</v>
      </c>
      <c r="B2822" t="s">
        <v>13</v>
      </c>
      <c r="C2822" t="s">
        <v>19</v>
      </c>
      <c r="D2822" t="s">
        <v>17</v>
      </c>
      <c r="E2822" t="s">
        <v>67</v>
      </c>
      <c r="F2822">
        <v>146497671</v>
      </c>
      <c r="G2822">
        <v>146497707</v>
      </c>
      <c r="H2822">
        <v>146497671</v>
      </c>
      <c r="I2822">
        <v>146497707</v>
      </c>
    </row>
    <row r="2823" spans="1:9" x14ac:dyDescent="0.2">
      <c r="A2823" t="str">
        <f>"Brip1"</f>
        <v>Brip1</v>
      </c>
      <c r="B2823" t="s">
        <v>14</v>
      </c>
      <c r="C2823" t="s">
        <v>27</v>
      </c>
      <c r="D2823" t="s">
        <v>11</v>
      </c>
      <c r="E2823" t="s">
        <v>12</v>
      </c>
      <c r="F2823">
        <v>86201144</v>
      </c>
      <c r="G2823">
        <v>86201200</v>
      </c>
      <c r="H2823">
        <v>86201144</v>
      </c>
      <c r="I2823">
        <v>86201200</v>
      </c>
    </row>
    <row r="2824" spans="1:9" x14ac:dyDescent="0.2">
      <c r="A2824" t="str">
        <f>"Brix1"</f>
        <v>Brix1</v>
      </c>
      <c r="B2824" t="s">
        <v>14</v>
      </c>
      <c r="C2824" t="s">
        <v>25</v>
      </c>
      <c r="D2824" t="s">
        <v>11</v>
      </c>
      <c r="E2824" t="s">
        <v>12</v>
      </c>
      <c r="F2824">
        <v>10485890</v>
      </c>
      <c r="G2824">
        <v>10485951</v>
      </c>
      <c r="H2824">
        <v>10485418</v>
      </c>
      <c r="I2824">
        <v>10485422</v>
      </c>
    </row>
    <row r="2825" spans="1:9" x14ac:dyDescent="0.2">
      <c r="A2825" t="str">
        <f>"Brk1"</f>
        <v>Brk1</v>
      </c>
      <c r="B2825" t="s">
        <v>14</v>
      </c>
      <c r="C2825" t="s">
        <v>32</v>
      </c>
      <c r="D2825" t="s">
        <v>17</v>
      </c>
      <c r="E2825" t="s">
        <v>67</v>
      </c>
      <c r="F2825">
        <v>113604749</v>
      </c>
      <c r="G2825">
        <v>113604768</v>
      </c>
      <c r="H2825">
        <v>113604749</v>
      </c>
      <c r="I2825">
        <v>113604768</v>
      </c>
    </row>
    <row r="2826" spans="1:9" x14ac:dyDescent="0.2">
      <c r="A2826" t="str">
        <f>"Brms1"</f>
        <v>Brms1</v>
      </c>
      <c r="B2826" t="s">
        <v>14</v>
      </c>
      <c r="C2826" t="s">
        <v>10</v>
      </c>
      <c r="D2826" t="s">
        <v>17</v>
      </c>
      <c r="E2826" t="s">
        <v>12</v>
      </c>
      <c r="F2826">
        <v>5041337</v>
      </c>
      <c r="G2826">
        <v>5041416</v>
      </c>
      <c r="H2826">
        <v>5041337</v>
      </c>
      <c r="I2826">
        <v>5041416</v>
      </c>
    </row>
    <row r="2827" spans="1:9" x14ac:dyDescent="0.2">
      <c r="A2827" t="str">
        <f>"Brms1l"</f>
        <v>Brms1l</v>
      </c>
      <c r="B2827" t="s">
        <v>14</v>
      </c>
      <c r="C2827" t="s">
        <v>16</v>
      </c>
      <c r="D2827" t="s">
        <v>17</v>
      </c>
      <c r="E2827" t="s">
        <v>12</v>
      </c>
      <c r="F2827">
        <v>55836365</v>
      </c>
      <c r="G2827">
        <v>55836408</v>
      </c>
      <c r="H2827">
        <v>55836332</v>
      </c>
      <c r="I2827">
        <v>55836361</v>
      </c>
    </row>
    <row r="2828" spans="1:9" x14ac:dyDescent="0.2">
      <c r="A2828" t="str">
        <f>"Brox"</f>
        <v>Brox</v>
      </c>
      <c r="B2828" t="s">
        <v>2220</v>
      </c>
      <c r="C2828" t="s">
        <v>19</v>
      </c>
      <c r="D2828" t="s">
        <v>11</v>
      </c>
      <c r="E2828" t="s">
        <v>20</v>
      </c>
      <c r="F2828">
        <v>183297007</v>
      </c>
      <c r="G2828">
        <v>183297007</v>
      </c>
      <c r="H2828">
        <v>183297007</v>
      </c>
      <c r="I2828">
        <v>183297007</v>
      </c>
    </row>
    <row r="2829" spans="1:9" x14ac:dyDescent="0.2">
      <c r="A2829" t="str">
        <f>"Brpf1"</f>
        <v>Brpf1</v>
      </c>
      <c r="B2829" t="s">
        <v>14</v>
      </c>
      <c r="C2829" t="s">
        <v>32</v>
      </c>
      <c r="D2829" t="s">
        <v>17</v>
      </c>
      <c r="E2829" t="s">
        <v>12</v>
      </c>
      <c r="F2829">
        <v>113307160</v>
      </c>
      <c r="G2829">
        <v>113307230</v>
      </c>
      <c r="H2829">
        <v>113307160</v>
      </c>
      <c r="I2829">
        <v>113307230</v>
      </c>
    </row>
    <row r="2830" spans="1:9" x14ac:dyDescent="0.2">
      <c r="A2830" t="str">
        <f>"Brpf3"</f>
        <v>Brpf3</v>
      </c>
      <c r="B2830" t="s">
        <v>14</v>
      </c>
      <c r="C2830" t="s">
        <v>28</v>
      </c>
      <c r="D2830" t="s">
        <v>17</v>
      </c>
      <c r="E2830" t="s">
        <v>12</v>
      </c>
      <c r="F2830">
        <v>28801091</v>
      </c>
      <c r="G2830">
        <v>28801145</v>
      </c>
      <c r="H2830">
        <v>28801150</v>
      </c>
      <c r="I2830">
        <v>28801173</v>
      </c>
    </row>
    <row r="2831" spans="1:9" x14ac:dyDescent="0.2">
      <c r="A2831" t="str">
        <f>"Brs3"</f>
        <v>Brs3</v>
      </c>
      <c r="B2831" t="s">
        <v>14</v>
      </c>
      <c r="C2831" t="s">
        <v>37</v>
      </c>
      <c r="D2831" t="s">
        <v>17</v>
      </c>
      <c r="E2831" t="s">
        <v>12</v>
      </c>
      <c r="F2831">
        <v>57043185</v>
      </c>
      <c r="G2831">
        <v>57043229</v>
      </c>
      <c r="H2831">
        <v>57043185</v>
      </c>
      <c r="I2831">
        <v>57043229</v>
      </c>
    </row>
    <row r="2832" spans="1:9" x14ac:dyDescent="0.2">
      <c r="A2832" t="str">
        <f>"Brsk1"</f>
        <v>Brsk1</v>
      </c>
      <c r="B2832" t="s">
        <v>14</v>
      </c>
      <c r="C2832" t="s">
        <v>33</v>
      </c>
      <c r="D2832" t="s">
        <v>17</v>
      </c>
      <c r="E2832" t="s">
        <v>12</v>
      </c>
      <c r="F2832">
        <v>4690624</v>
      </c>
      <c r="G2832">
        <v>4690672</v>
      </c>
      <c r="H2832">
        <v>4690729</v>
      </c>
      <c r="I2832">
        <v>4690754</v>
      </c>
    </row>
    <row r="2833" spans="1:9" x14ac:dyDescent="0.2">
      <c r="A2833" t="str">
        <f>"Brsk2"</f>
        <v>Brsk2</v>
      </c>
      <c r="B2833" t="s">
        <v>14</v>
      </c>
      <c r="C2833" t="s">
        <v>33</v>
      </c>
      <c r="D2833" t="s">
        <v>17</v>
      </c>
      <c r="E2833" t="s">
        <v>12</v>
      </c>
      <c r="F2833">
        <v>141949688</v>
      </c>
      <c r="G2833">
        <v>141949797</v>
      </c>
      <c r="H2833">
        <v>141949875</v>
      </c>
      <c r="I2833">
        <v>141949898</v>
      </c>
    </row>
    <row r="2834" spans="1:9" x14ac:dyDescent="0.2">
      <c r="A2834" t="str">
        <f>"Brwd1"</f>
        <v>Brwd1</v>
      </c>
      <c r="B2834" t="s">
        <v>14</v>
      </c>
      <c r="C2834" t="s">
        <v>31</v>
      </c>
      <c r="D2834" t="s">
        <v>11</v>
      </c>
      <c r="E2834" t="s">
        <v>12</v>
      </c>
      <c r="F2834">
        <v>96082389</v>
      </c>
      <c r="G2834">
        <v>96082481</v>
      </c>
      <c r="H2834">
        <v>96082513</v>
      </c>
      <c r="I2834">
        <v>96082573</v>
      </c>
    </row>
    <row r="2835" spans="1:9" x14ac:dyDescent="0.2">
      <c r="A2835" t="str">
        <f>"Brwd3"</f>
        <v>Brwd3</v>
      </c>
      <c r="B2835" t="s">
        <v>14</v>
      </c>
      <c r="C2835" t="s">
        <v>37</v>
      </c>
      <c r="D2835" t="s">
        <v>11</v>
      </c>
      <c r="E2835" t="s">
        <v>12</v>
      </c>
      <c r="F2835">
        <v>108834303</v>
      </c>
      <c r="G2835">
        <v>108834381</v>
      </c>
      <c r="H2835">
        <v>108834272</v>
      </c>
      <c r="I2835">
        <v>108834283</v>
      </c>
    </row>
    <row r="2836" spans="1:9" x14ac:dyDescent="0.2">
      <c r="A2836" t="str">
        <f>"Bscl2"</f>
        <v>Bscl2</v>
      </c>
      <c r="B2836" t="s">
        <v>9</v>
      </c>
      <c r="C2836" t="s">
        <v>10</v>
      </c>
      <c r="D2836" t="s">
        <v>17</v>
      </c>
      <c r="E2836" t="s">
        <v>12</v>
      </c>
      <c r="F2836">
        <v>8840519</v>
      </c>
      <c r="G2836">
        <v>8840549</v>
      </c>
      <c r="H2836">
        <v>8840519</v>
      </c>
      <c r="I2836">
        <v>8840549</v>
      </c>
    </row>
    <row r="2837" spans="1:9" x14ac:dyDescent="0.2">
      <c r="A2837" t="str">
        <f>"Bscl2"</f>
        <v>Bscl2</v>
      </c>
      <c r="B2837" t="s">
        <v>13</v>
      </c>
      <c r="C2837" t="s">
        <v>10</v>
      </c>
      <c r="D2837" t="s">
        <v>17</v>
      </c>
      <c r="E2837" t="s">
        <v>12</v>
      </c>
      <c r="F2837">
        <v>8837445</v>
      </c>
      <c r="G2837">
        <v>8837558</v>
      </c>
      <c r="H2837">
        <v>8837445</v>
      </c>
      <c r="I2837">
        <v>8837558</v>
      </c>
    </row>
    <row r="2838" spans="1:9" x14ac:dyDescent="0.2">
      <c r="A2838" t="str">
        <f>"Bsdc1"</f>
        <v>Bsdc1</v>
      </c>
      <c r="B2838" t="s">
        <v>9</v>
      </c>
      <c r="C2838" t="s">
        <v>23</v>
      </c>
      <c r="D2838" t="s">
        <v>17</v>
      </c>
      <c r="E2838" t="s">
        <v>12</v>
      </c>
      <c r="F2838">
        <v>129461661</v>
      </c>
      <c r="G2838">
        <v>129461689</v>
      </c>
      <c r="H2838">
        <v>129461661</v>
      </c>
      <c r="I2838">
        <v>129461689</v>
      </c>
    </row>
    <row r="2839" spans="1:9" x14ac:dyDescent="0.2">
      <c r="A2839" t="str">
        <f>"Bsdc1"</f>
        <v>Bsdc1</v>
      </c>
      <c r="B2839" t="s">
        <v>13</v>
      </c>
      <c r="C2839" t="s">
        <v>23</v>
      </c>
      <c r="D2839" t="s">
        <v>17</v>
      </c>
      <c r="E2839" t="s">
        <v>12</v>
      </c>
      <c r="F2839">
        <v>129464538</v>
      </c>
      <c r="G2839">
        <v>129464550</v>
      </c>
      <c r="H2839">
        <v>129464538</v>
      </c>
      <c r="I2839">
        <v>129464550</v>
      </c>
    </row>
    <row r="2840" spans="1:9" x14ac:dyDescent="0.2">
      <c r="A2840" t="str">
        <f>"Bsg"</f>
        <v>Bsg</v>
      </c>
      <c r="B2840" t="s">
        <v>14</v>
      </c>
      <c r="C2840" t="s">
        <v>15</v>
      </c>
      <c r="D2840" t="s">
        <v>17</v>
      </c>
      <c r="E2840" t="s">
        <v>12</v>
      </c>
      <c r="F2840">
        <v>79704499</v>
      </c>
      <c r="G2840">
        <v>79704512</v>
      </c>
      <c r="H2840">
        <v>79704499</v>
      </c>
      <c r="I2840">
        <v>79704512</v>
      </c>
    </row>
    <row r="2841" spans="1:9" x14ac:dyDescent="0.2">
      <c r="A2841" t="str">
        <f>"Bsn"</f>
        <v>Bsn</v>
      </c>
      <c r="B2841" t="s">
        <v>14</v>
      </c>
      <c r="C2841" t="s">
        <v>24</v>
      </c>
      <c r="D2841" t="s">
        <v>11</v>
      </c>
      <c r="E2841" t="s">
        <v>12</v>
      </c>
      <c r="F2841">
        <v>108190352</v>
      </c>
      <c r="G2841">
        <v>108190420</v>
      </c>
      <c r="H2841">
        <v>108190421</v>
      </c>
      <c r="I2841">
        <v>108190430</v>
      </c>
    </row>
    <row r="2842" spans="1:9" x14ac:dyDescent="0.2">
      <c r="A2842" t="str">
        <f>"Bsnd"</f>
        <v>Bsnd</v>
      </c>
      <c r="B2842" t="s">
        <v>14</v>
      </c>
      <c r="C2842" t="s">
        <v>23</v>
      </c>
      <c r="D2842" t="s">
        <v>11</v>
      </c>
      <c r="E2842" t="s">
        <v>12</v>
      </c>
      <c r="F2842">
        <v>106492306</v>
      </c>
      <c r="G2842">
        <v>106492340</v>
      </c>
      <c r="H2842">
        <v>106492223</v>
      </c>
      <c r="I2842">
        <v>106492251</v>
      </c>
    </row>
    <row r="2843" spans="1:9" x14ac:dyDescent="0.2">
      <c r="A2843" t="str">
        <f>"Bsph1"</f>
        <v>Bsph1</v>
      </c>
      <c r="B2843" t="s">
        <v>14</v>
      </c>
      <c r="C2843" t="s">
        <v>33</v>
      </c>
      <c r="D2843" t="s">
        <v>17</v>
      </c>
      <c r="E2843" t="s">
        <v>12</v>
      </c>
      <c r="F2843">
        <v>13450872</v>
      </c>
      <c r="G2843">
        <v>13450883</v>
      </c>
      <c r="H2843">
        <v>13450872</v>
      </c>
      <c r="I2843">
        <v>13450883</v>
      </c>
    </row>
    <row r="2844" spans="1:9" x14ac:dyDescent="0.2">
      <c r="A2844" t="str">
        <f>"Bsph2"</f>
        <v>Bsph2</v>
      </c>
      <c r="B2844" t="s">
        <v>14</v>
      </c>
      <c r="C2844" t="s">
        <v>33</v>
      </c>
      <c r="D2844" t="s">
        <v>11</v>
      </c>
      <c r="E2844" t="s">
        <v>67</v>
      </c>
      <c r="F2844">
        <v>13571061</v>
      </c>
      <c r="G2844">
        <v>13571073</v>
      </c>
      <c r="H2844">
        <v>13571061</v>
      </c>
      <c r="I2844">
        <v>13571073</v>
      </c>
    </row>
    <row r="2845" spans="1:9" x14ac:dyDescent="0.2">
      <c r="A2845" t="str">
        <f>"Bspry"</f>
        <v>Bspry</v>
      </c>
      <c r="B2845" t="s">
        <v>14</v>
      </c>
      <c r="C2845" t="s">
        <v>23</v>
      </c>
      <c r="D2845" t="s">
        <v>17</v>
      </c>
      <c r="E2845" t="s">
        <v>12</v>
      </c>
      <c r="F2845">
        <v>62480025</v>
      </c>
      <c r="G2845">
        <v>62480098</v>
      </c>
      <c r="H2845">
        <v>62480025</v>
      </c>
      <c r="I2845">
        <v>62480098</v>
      </c>
    </row>
    <row r="2846" spans="1:9" x14ac:dyDescent="0.2">
      <c r="A2846" t="str">
        <f>"Bst1"</f>
        <v>Bst1</v>
      </c>
      <c r="B2846" t="s">
        <v>14</v>
      </c>
      <c r="C2846" t="s">
        <v>46</v>
      </c>
      <c r="D2846" t="s">
        <v>17</v>
      </c>
      <c r="E2846" t="s">
        <v>12</v>
      </c>
      <c r="F2846">
        <v>43818899</v>
      </c>
      <c r="G2846">
        <v>43818928</v>
      </c>
      <c r="H2846">
        <v>43818939</v>
      </c>
      <c r="I2846">
        <v>43818954</v>
      </c>
    </row>
    <row r="2847" spans="1:9" x14ac:dyDescent="0.2">
      <c r="A2847" t="str">
        <f>"Bst2"</f>
        <v>Bst2</v>
      </c>
      <c r="B2847" t="s">
        <v>14</v>
      </c>
      <c r="C2847" t="s">
        <v>30</v>
      </c>
      <c r="D2847" t="s">
        <v>11</v>
      </c>
      <c r="E2847" t="s">
        <v>12</v>
      </c>
      <c r="F2847">
        <v>71537402</v>
      </c>
      <c r="G2847">
        <v>71537468</v>
      </c>
      <c r="H2847">
        <v>71537402</v>
      </c>
      <c r="I2847">
        <v>71537468</v>
      </c>
    </row>
    <row r="2848" spans="1:9" x14ac:dyDescent="0.2">
      <c r="A2848" t="str">
        <f>"Bsx"</f>
        <v>Bsx</v>
      </c>
      <c r="B2848" t="s">
        <v>14</v>
      </c>
      <c r="C2848" t="s">
        <v>24</v>
      </c>
      <c r="D2848" t="s">
        <v>17</v>
      </c>
      <c r="E2848" t="s">
        <v>12</v>
      </c>
      <c r="F2848">
        <v>40873981</v>
      </c>
      <c r="G2848">
        <v>40873998</v>
      </c>
      <c r="H2848">
        <v>40874005</v>
      </c>
      <c r="I2848">
        <v>40874025</v>
      </c>
    </row>
    <row r="2849" spans="1:9" x14ac:dyDescent="0.2">
      <c r="A2849" t="str">
        <f>"Btaf1"</f>
        <v>Btaf1</v>
      </c>
      <c r="B2849" t="s">
        <v>14</v>
      </c>
      <c r="C2849" t="s">
        <v>10</v>
      </c>
      <c r="D2849" t="s">
        <v>17</v>
      </c>
      <c r="E2849" t="s">
        <v>12</v>
      </c>
      <c r="F2849">
        <v>36926071</v>
      </c>
      <c r="G2849">
        <v>36926177</v>
      </c>
      <c r="H2849">
        <v>36925795</v>
      </c>
      <c r="I2849">
        <v>36925806</v>
      </c>
    </row>
    <row r="2850" spans="1:9" x14ac:dyDescent="0.2">
      <c r="A2850" t="str">
        <f>"Btbd1"</f>
        <v>Btbd1</v>
      </c>
      <c r="B2850" t="s">
        <v>14</v>
      </c>
      <c r="C2850" t="s">
        <v>33</v>
      </c>
      <c r="D2850" t="s">
        <v>11</v>
      </c>
      <c r="E2850" t="s">
        <v>12</v>
      </c>
      <c r="F2850">
        <v>81829443</v>
      </c>
      <c r="G2850">
        <v>81829514</v>
      </c>
      <c r="H2850">
        <v>81829732</v>
      </c>
      <c r="I2850">
        <v>81829735</v>
      </c>
    </row>
    <row r="2851" spans="1:9" x14ac:dyDescent="0.2">
      <c r="A2851" t="str">
        <f>"Btbd10"</f>
        <v>Btbd10</v>
      </c>
      <c r="B2851" t="s">
        <v>9</v>
      </c>
      <c r="C2851" t="s">
        <v>33</v>
      </c>
      <c r="D2851" t="s">
        <v>11</v>
      </c>
      <c r="E2851" t="s">
        <v>12</v>
      </c>
      <c r="F2851">
        <v>113369326</v>
      </c>
      <c r="G2851">
        <v>113369395</v>
      </c>
      <c r="H2851">
        <v>113369326</v>
      </c>
      <c r="I2851">
        <v>113369395</v>
      </c>
    </row>
    <row r="2852" spans="1:9" x14ac:dyDescent="0.2">
      <c r="A2852" t="str">
        <f>"Btbd10"</f>
        <v>Btbd10</v>
      </c>
      <c r="B2852" t="s">
        <v>13</v>
      </c>
      <c r="C2852" t="s">
        <v>33</v>
      </c>
      <c r="D2852" t="s">
        <v>11</v>
      </c>
      <c r="E2852" t="s">
        <v>12</v>
      </c>
      <c r="F2852">
        <v>113347376</v>
      </c>
      <c r="G2852">
        <v>113347413</v>
      </c>
      <c r="H2852">
        <v>113347376</v>
      </c>
      <c r="I2852">
        <v>113347413</v>
      </c>
    </row>
    <row r="2853" spans="1:9" x14ac:dyDescent="0.2">
      <c r="A2853" t="str">
        <f>"Btbd11"</f>
        <v>Btbd11</v>
      </c>
      <c r="B2853" t="s">
        <v>14</v>
      </c>
      <c r="C2853" t="s">
        <v>15</v>
      </c>
      <c r="D2853" t="s">
        <v>17</v>
      </c>
      <c r="E2853" t="s">
        <v>12</v>
      </c>
      <c r="F2853">
        <v>85386813</v>
      </c>
      <c r="G2853">
        <v>85386846</v>
      </c>
      <c r="H2853">
        <v>85386848</v>
      </c>
      <c r="I2853">
        <v>85386860</v>
      </c>
    </row>
    <row r="2854" spans="1:9" x14ac:dyDescent="0.2">
      <c r="A2854" t="str">
        <f>"Btbd16"</f>
        <v>Btbd16</v>
      </c>
      <c r="B2854" t="s">
        <v>14</v>
      </c>
      <c r="C2854" t="s">
        <v>33</v>
      </c>
      <c r="D2854" t="s">
        <v>17</v>
      </c>
      <c r="E2854" t="s">
        <v>12</v>
      </c>
      <c r="F2854">
        <v>130774132</v>
      </c>
      <c r="G2854">
        <v>130774185</v>
      </c>
      <c r="H2854">
        <v>130774186</v>
      </c>
      <c r="I2854">
        <v>130774193</v>
      </c>
    </row>
    <row r="2855" spans="1:9" x14ac:dyDescent="0.2">
      <c r="A2855" t="str">
        <f>"Btbd17"</f>
        <v>Btbd17</v>
      </c>
      <c r="B2855" t="s">
        <v>14</v>
      </c>
      <c r="C2855" t="s">
        <v>27</v>
      </c>
      <c r="D2855" t="s">
        <v>11</v>
      </c>
      <c r="E2855" t="s">
        <v>12</v>
      </c>
      <c r="F2855">
        <v>114795888</v>
      </c>
      <c r="G2855">
        <v>114795903</v>
      </c>
      <c r="H2855">
        <v>114795888</v>
      </c>
      <c r="I2855">
        <v>114795903</v>
      </c>
    </row>
    <row r="2856" spans="1:9" x14ac:dyDescent="0.2">
      <c r="A2856" t="str">
        <f>"Btbd19"</f>
        <v>Btbd19</v>
      </c>
      <c r="B2856" t="s">
        <v>14</v>
      </c>
      <c r="C2856" t="s">
        <v>23</v>
      </c>
      <c r="D2856" t="s">
        <v>11</v>
      </c>
      <c r="E2856" t="s">
        <v>12</v>
      </c>
      <c r="F2856">
        <v>117126054</v>
      </c>
      <c r="G2856">
        <v>117126074</v>
      </c>
      <c r="H2856">
        <v>117126054</v>
      </c>
      <c r="I2856">
        <v>117126074</v>
      </c>
    </row>
    <row r="2857" spans="1:9" x14ac:dyDescent="0.2">
      <c r="A2857" t="str">
        <f>"Btbd2"</f>
        <v>Btbd2</v>
      </c>
      <c r="B2857" t="s">
        <v>14</v>
      </c>
      <c r="C2857" t="s">
        <v>15</v>
      </c>
      <c r="D2857" t="s">
        <v>11</v>
      </c>
      <c r="E2857" t="s">
        <v>12</v>
      </c>
      <c r="F2857">
        <v>80656485</v>
      </c>
      <c r="G2857">
        <v>80656519</v>
      </c>
      <c r="H2857">
        <v>80657102</v>
      </c>
      <c r="I2857">
        <v>80657119</v>
      </c>
    </row>
    <row r="2858" spans="1:9" x14ac:dyDescent="0.2">
      <c r="A2858" t="str">
        <f>"Btbd3"</f>
        <v>Btbd3</v>
      </c>
      <c r="B2858" t="s">
        <v>9</v>
      </c>
      <c r="C2858" t="s">
        <v>26</v>
      </c>
      <c r="D2858" t="s">
        <v>17</v>
      </c>
      <c r="E2858" t="s">
        <v>12</v>
      </c>
      <c r="F2858">
        <v>138278481</v>
      </c>
      <c r="G2858">
        <v>138278531</v>
      </c>
      <c r="H2858">
        <v>138278481</v>
      </c>
      <c r="I2858">
        <v>138278531</v>
      </c>
    </row>
    <row r="2859" spans="1:9" x14ac:dyDescent="0.2">
      <c r="A2859" t="str">
        <f>"Btbd3"</f>
        <v>Btbd3</v>
      </c>
      <c r="B2859" t="s">
        <v>13</v>
      </c>
      <c r="C2859" t="s">
        <v>26</v>
      </c>
      <c r="D2859" t="s">
        <v>17</v>
      </c>
      <c r="E2859" t="s">
        <v>12</v>
      </c>
      <c r="F2859">
        <v>138256617</v>
      </c>
      <c r="G2859">
        <v>138256677</v>
      </c>
      <c r="H2859">
        <v>138256617</v>
      </c>
      <c r="I2859">
        <v>138256677</v>
      </c>
    </row>
    <row r="2860" spans="1:9" x14ac:dyDescent="0.2">
      <c r="A2860" t="str">
        <f>"Btbd6"</f>
        <v>Btbd6</v>
      </c>
      <c r="B2860" t="s">
        <v>14</v>
      </c>
      <c r="C2860" t="s">
        <v>16</v>
      </c>
      <c r="D2860" t="s">
        <v>17</v>
      </c>
      <c r="E2860" t="s">
        <v>12</v>
      </c>
      <c r="F2860">
        <v>112976471</v>
      </c>
      <c r="G2860">
        <v>112976552</v>
      </c>
      <c r="H2860">
        <v>112976401</v>
      </c>
      <c r="I2860">
        <v>112976402</v>
      </c>
    </row>
    <row r="2861" spans="1:9" x14ac:dyDescent="0.2">
      <c r="A2861" t="str">
        <f>"Btbd7"</f>
        <v>Btbd7</v>
      </c>
      <c r="B2861" t="s">
        <v>14</v>
      </c>
      <c r="C2861" t="s">
        <v>16</v>
      </c>
      <c r="D2861" t="s">
        <v>11</v>
      </c>
      <c r="E2861" t="s">
        <v>12</v>
      </c>
      <c r="F2861">
        <v>102878408</v>
      </c>
      <c r="G2861">
        <v>102878449</v>
      </c>
      <c r="H2861">
        <v>102878455</v>
      </c>
      <c r="I2861">
        <v>102878477</v>
      </c>
    </row>
    <row r="2862" spans="1:9" x14ac:dyDescent="0.2">
      <c r="A2862" t="str">
        <f>"Btbd8"</f>
        <v>Btbd8</v>
      </c>
      <c r="B2862" t="s">
        <v>14</v>
      </c>
      <c r="C2862" t="s">
        <v>46</v>
      </c>
      <c r="D2862" t="s">
        <v>17</v>
      </c>
      <c r="E2862" t="s">
        <v>12</v>
      </c>
      <c r="F2862">
        <v>107437908</v>
      </c>
      <c r="G2862">
        <v>107437991</v>
      </c>
      <c r="H2862">
        <v>107437908</v>
      </c>
      <c r="I2862">
        <v>107437991</v>
      </c>
    </row>
    <row r="2863" spans="1:9" x14ac:dyDescent="0.2">
      <c r="A2863" t="str">
        <f>"Btbd9"</f>
        <v>Btbd9</v>
      </c>
      <c r="B2863" t="s">
        <v>14</v>
      </c>
      <c r="C2863" t="s">
        <v>28</v>
      </c>
      <c r="D2863" t="s">
        <v>11</v>
      </c>
      <c r="E2863" t="s">
        <v>12</v>
      </c>
      <c r="F2863">
        <v>30576163</v>
      </c>
      <c r="G2863">
        <v>30576240</v>
      </c>
      <c r="H2863">
        <v>30576241</v>
      </c>
      <c r="I2863">
        <v>30576312</v>
      </c>
    </row>
    <row r="2864" spans="1:9" x14ac:dyDescent="0.2">
      <c r="A2864" t="str">
        <f>"Btc"</f>
        <v>Btc</v>
      </c>
      <c r="B2864" t="s">
        <v>14</v>
      </c>
      <c r="C2864" t="s">
        <v>46</v>
      </c>
      <c r="D2864" t="s">
        <v>11</v>
      </c>
      <c r="E2864" t="s">
        <v>12</v>
      </c>
      <c r="F2864">
        <v>91402905</v>
      </c>
      <c r="G2864">
        <v>91402922</v>
      </c>
      <c r="H2864">
        <v>91402844</v>
      </c>
      <c r="I2864">
        <v>91402851</v>
      </c>
    </row>
    <row r="2865" spans="1:9" x14ac:dyDescent="0.2">
      <c r="A2865" t="str">
        <f>"Btd"</f>
        <v>Btd</v>
      </c>
      <c r="B2865" t="s">
        <v>14</v>
      </c>
      <c r="C2865" t="s">
        <v>41</v>
      </c>
      <c r="D2865" t="s">
        <v>17</v>
      </c>
      <c r="E2865" t="s">
        <v>12</v>
      </c>
      <c r="F2865">
        <v>31641051</v>
      </c>
      <c r="G2865">
        <v>31641082</v>
      </c>
      <c r="H2865">
        <v>31641018</v>
      </c>
      <c r="I2865">
        <v>31641029</v>
      </c>
    </row>
    <row r="2866" spans="1:9" x14ac:dyDescent="0.2">
      <c r="A2866" t="str">
        <f>"Btf3"</f>
        <v>Btf3</v>
      </c>
      <c r="B2866" t="s">
        <v>14</v>
      </c>
      <c r="C2866" t="s">
        <v>39</v>
      </c>
      <c r="D2866" t="s">
        <v>11</v>
      </c>
      <c r="E2866" t="s">
        <v>12</v>
      </c>
      <c r="F2866">
        <v>98316975</v>
      </c>
      <c r="G2866">
        <v>98317003</v>
      </c>
      <c r="H2866">
        <v>98316975</v>
      </c>
      <c r="I2866">
        <v>98317003</v>
      </c>
    </row>
    <row r="2867" spans="1:9" x14ac:dyDescent="0.2">
      <c r="A2867" t="str">
        <f>"Btf3l4"</f>
        <v>Btf3l4</v>
      </c>
      <c r="B2867" t="s">
        <v>14</v>
      </c>
      <c r="C2867" t="s">
        <v>23</v>
      </c>
      <c r="D2867" t="s">
        <v>11</v>
      </c>
      <c r="E2867" t="s">
        <v>12</v>
      </c>
      <c r="F2867">
        <v>108833544</v>
      </c>
      <c r="G2867">
        <v>108833597</v>
      </c>
      <c r="H2867">
        <v>108833608</v>
      </c>
      <c r="I2867">
        <v>108833626</v>
      </c>
    </row>
    <row r="2868" spans="1:9" x14ac:dyDescent="0.2">
      <c r="A2868" t="str">
        <f>"Btg1"</f>
        <v>Btg1</v>
      </c>
      <c r="B2868" t="s">
        <v>14</v>
      </c>
      <c r="C2868" t="s">
        <v>15</v>
      </c>
      <c r="D2868" t="s">
        <v>17</v>
      </c>
      <c r="E2868" t="s">
        <v>12</v>
      </c>
      <c r="F2868">
        <v>96616998</v>
      </c>
      <c r="G2868">
        <v>96617015</v>
      </c>
      <c r="H2868">
        <v>96616998</v>
      </c>
      <c r="I2868">
        <v>96617015</v>
      </c>
    </row>
    <row r="2869" spans="1:9" x14ac:dyDescent="0.2">
      <c r="A2869" t="str">
        <f>"Btg2"</f>
        <v>Btg2</v>
      </c>
      <c r="B2869" t="s">
        <v>14</v>
      </c>
      <c r="C2869" t="s">
        <v>19</v>
      </c>
      <c r="D2869" t="s">
        <v>11</v>
      </c>
      <c r="E2869" t="s">
        <v>12</v>
      </c>
      <c r="F2869">
        <v>134079114</v>
      </c>
      <c r="G2869">
        <v>134079119</v>
      </c>
      <c r="H2869">
        <v>134079114</v>
      </c>
      <c r="I2869">
        <v>134079119</v>
      </c>
    </row>
    <row r="2870" spans="1:9" x14ac:dyDescent="0.2">
      <c r="A2870" t="str">
        <f>"Btg3"</f>
        <v>Btg3</v>
      </c>
      <c r="B2870" t="s">
        <v>14</v>
      </c>
      <c r="C2870" t="s">
        <v>31</v>
      </c>
      <c r="D2870" t="s">
        <v>11</v>
      </c>
      <c r="E2870" t="s">
        <v>12</v>
      </c>
      <c r="F2870">
        <v>78376758</v>
      </c>
      <c r="G2870">
        <v>78376818</v>
      </c>
      <c r="H2870">
        <v>78376980</v>
      </c>
      <c r="I2870">
        <v>78377020</v>
      </c>
    </row>
    <row r="2871" spans="1:9" x14ac:dyDescent="0.2">
      <c r="A2871" t="str">
        <f>"Btg4"</f>
        <v>Btg4</v>
      </c>
      <c r="B2871" t="s">
        <v>14</v>
      </c>
      <c r="C2871" t="s">
        <v>24</v>
      </c>
      <c r="D2871" t="s">
        <v>17</v>
      </c>
      <c r="E2871" t="s">
        <v>12</v>
      </c>
      <c r="F2871">
        <v>51115999</v>
      </c>
      <c r="G2871">
        <v>51116006</v>
      </c>
      <c r="H2871">
        <v>51115999</v>
      </c>
      <c r="I2871">
        <v>51116006</v>
      </c>
    </row>
    <row r="2872" spans="1:9" x14ac:dyDescent="0.2">
      <c r="A2872" t="str">
        <f>"Btk"</f>
        <v>Btk</v>
      </c>
      <c r="B2872" t="s">
        <v>14</v>
      </c>
      <c r="C2872" t="s">
        <v>37</v>
      </c>
      <c r="D2872" t="s">
        <v>11</v>
      </c>
      <c r="E2872" t="s">
        <v>12</v>
      </c>
      <c r="F2872">
        <v>134583114</v>
      </c>
      <c r="G2872">
        <v>134583149</v>
      </c>
      <c r="H2872">
        <v>134582459</v>
      </c>
      <c r="I2872">
        <v>134582482</v>
      </c>
    </row>
    <row r="2873" spans="1:9" x14ac:dyDescent="0.2">
      <c r="A2873" t="str">
        <f>"Btla"</f>
        <v>Btla</v>
      </c>
      <c r="B2873" t="s">
        <v>14</v>
      </c>
      <c r="C2873" t="s">
        <v>31</v>
      </c>
      <c r="D2873" t="s">
        <v>17</v>
      </c>
      <c r="E2873" t="s">
        <v>12</v>
      </c>
      <c r="F2873">
        <v>45224171</v>
      </c>
      <c r="G2873">
        <v>45224192</v>
      </c>
      <c r="H2873">
        <v>45224171</v>
      </c>
      <c r="I2873">
        <v>45224192</v>
      </c>
    </row>
    <row r="2874" spans="1:9" x14ac:dyDescent="0.2">
      <c r="A2874" t="str">
        <f>"Btn1a1"</f>
        <v>Btn1a1</v>
      </c>
      <c r="B2874" t="s">
        <v>14</v>
      </c>
      <c r="C2874" t="s">
        <v>39</v>
      </c>
      <c r="D2874" t="s">
        <v>11</v>
      </c>
      <c r="E2874" t="s">
        <v>12</v>
      </c>
      <c r="F2874">
        <v>23465895</v>
      </c>
      <c r="G2874">
        <v>23465914</v>
      </c>
      <c r="H2874">
        <v>23465839</v>
      </c>
      <c r="I2874">
        <v>23465859</v>
      </c>
    </row>
    <row r="2875" spans="1:9" x14ac:dyDescent="0.2">
      <c r="A2875" t="str">
        <f>"Btn2a2"</f>
        <v>Btn2a2</v>
      </c>
      <c r="B2875" t="s">
        <v>14</v>
      </c>
      <c r="C2875" t="s">
        <v>39</v>
      </c>
      <c r="D2875" t="s">
        <v>11</v>
      </c>
      <c r="E2875" t="s">
        <v>12</v>
      </c>
      <c r="F2875">
        <v>23488819</v>
      </c>
      <c r="G2875">
        <v>23488837</v>
      </c>
      <c r="H2875">
        <v>23488841</v>
      </c>
      <c r="I2875">
        <v>23488851</v>
      </c>
    </row>
    <row r="2876" spans="1:9" x14ac:dyDescent="0.2">
      <c r="A2876" t="str">
        <f>"Btnl1"</f>
        <v>Btnl1</v>
      </c>
      <c r="B2876" t="s">
        <v>14</v>
      </c>
      <c r="C2876" t="s">
        <v>28</v>
      </c>
      <c r="D2876" t="s">
        <v>17</v>
      </c>
      <c r="E2876" t="s">
        <v>67</v>
      </c>
      <c r="F2876">
        <v>34377124</v>
      </c>
      <c r="G2876">
        <v>34377154</v>
      </c>
      <c r="H2876">
        <v>34377160</v>
      </c>
      <c r="I2876">
        <v>34377177</v>
      </c>
    </row>
    <row r="2877" spans="1:9" x14ac:dyDescent="0.2">
      <c r="A2877" t="str">
        <f>"Btnl10"</f>
        <v>Btnl10</v>
      </c>
      <c r="B2877" t="s">
        <v>14</v>
      </c>
      <c r="C2877" t="s">
        <v>27</v>
      </c>
      <c r="D2877" t="s">
        <v>17</v>
      </c>
      <c r="E2877" t="s">
        <v>67</v>
      </c>
      <c r="F2877">
        <v>58917973</v>
      </c>
      <c r="G2877">
        <v>58918002</v>
      </c>
      <c r="H2877">
        <v>58917889</v>
      </c>
      <c r="I2877">
        <v>58917915</v>
      </c>
    </row>
    <row r="2878" spans="1:9" x14ac:dyDescent="0.2">
      <c r="A2878" t="str">
        <f>"Btnl2"</f>
        <v>Btnl2</v>
      </c>
      <c r="B2878" t="s">
        <v>14</v>
      </c>
      <c r="C2878" t="s">
        <v>28</v>
      </c>
      <c r="D2878" t="s">
        <v>17</v>
      </c>
      <c r="E2878" t="s">
        <v>12</v>
      </c>
      <c r="F2878">
        <v>34354787</v>
      </c>
      <c r="G2878">
        <v>34354836</v>
      </c>
      <c r="H2878">
        <v>34354842</v>
      </c>
      <c r="I2878">
        <v>34354865</v>
      </c>
    </row>
    <row r="2879" spans="1:9" x14ac:dyDescent="0.2">
      <c r="A2879" t="str">
        <f>"Btnl4"</f>
        <v>Btnl4</v>
      </c>
      <c r="B2879" t="s">
        <v>2221</v>
      </c>
      <c r="C2879" t="s">
        <v>28</v>
      </c>
      <c r="D2879" t="s">
        <v>11</v>
      </c>
      <c r="E2879" t="s">
        <v>20</v>
      </c>
      <c r="F2879">
        <v>34475936</v>
      </c>
      <c r="G2879">
        <v>34475936</v>
      </c>
      <c r="H2879">
        <v>34475936</v>
      </c>
      <c r="I2879">
        <v>34475936</v>
      </c>
    </row>
    <row r="2880" spans="1:9" x14ac:dyDescent="0.2">
      <c r="A2880" t="str">
        <f>"Btnl6"</f>
        <v>Btnl6</v>
      </c>
      <c r="B2880" t="s">
        <v>14</v>
      </c>
      <c r="C2880" t="s">
        <v>28</v>
      </c>
      <c r="D2880" t="s">
        <v>11</v>
      </c>
      <c r="E2880" t="s">
        <v>12</v>
      </c>
      <c r="F2880">
        <v>34517782</v>
      </c>
      <c r="G2880">
        <v>34517789</v>
      </c>
      <c r="H2880">
        <v>34517782</v>
      </c>
      <c r="I2880">
        <v>34517789</v>
      </c>
    </row>
    <row r="2881" spans="1:9" x14ac:dyDescent="0.2">
      <c r="A2881" t="str">
        <f>"Btnl9"</f>
        <v>Btnl9</v>
      </c>
      <c r="B2881" t="s">
        <v>14</v>
      </c>
      <c r="C2881" t="s">
        <v>27</v>
      </c>
      <c r="D2881" t="s">
        <v>11</v>
      </c>
      <c r="E2881" t="s">
        <v>12</v>
      </c>
      <c r="F2881">
        <v>49187052</v>
      </c>
      <c r="G2881">
        <v>49187076</v>
      </c>
      <c r="H2881">
        <v>49187092</v>
      </c>
      <c r="I2881">
        <v>49187105</v>
      </c>
    </row>
    <row r="2882" spans="1:9" x14ac:dyDescent="0.2">
      <c r="A2882" t="str">
        <f>"Btrc"</f>
        <v>Btrc</v>
      </c>
      <c r="B2882" t="s">
        <v>14</v>
      </c>
      <c r="C2882" t="s">
        <v>10</v>
      </c>
      <c r="D2882" t="s">
        <v>17</v>
      </c>
      <c r="E2882" t="s">
        <v>12</v>
      </c>
      <c r="F2882">
        <v>45363744</v>
      </c>
      <c r="G2882">
        <v>45363831</v>
      </c>
      <c r="H2882">
        <v>45363744</v>
      </c>
      <c r="I2882">
        <v>45363831</v>
      </c>
    </row>
    <row r="2883" spans="1:9" x14ac:dyDescent="0.2">
      <c r="A2883" t="str">
        <f>"Bub1"</f>
        <v>Bub1</v>
      </c>
      <c r="B2883" t="s">
        <v>14</v>
      </c>
      <c r="C2883" t="s">
        <v>26</v>
      </c>
      <c r="D2883" t="s">
        <v>11</v>
      </c>
      <c r="E2883" t="s">
        <v>12</v>
      </c>
      <c r="F2883">
        <v>127831817</v>
      </c>
      <c r="G2883">
        <v>127831875</v>
      </c>
      <c r="H2883">
        <v>127831817</v>
      </c>
      <c r="I2883">
        <v>127831875</v>
      </c>
    </row>
    <row r="2884" spans="1:9" x14ac:dyDescent="0.2">
      <c r="A2884" t="str">
        <f>"Bub1b"</f>
        <v>Bub1b</v>
      </c>
      <c r="B2884" t="s">
        <v>14</v>
      </c>
      <c r="C2884" t="s">
        <v>26</v>
      </c>
      <c r="D2884" t="s">
        <v>17</v>
      </c>
      <c r="E2884" t="s">
        <v>12</v>
      </c>
      <c r="F2884">
        <v>118598232</v>
      </c>
      <c r="G2884">
        <v>118598267</v>
      </c>
      <c r="H2884">
        <v>118598271</v>
      </c>
      <c r="I2884">
        <v>118598300</v>
      </c>
    </row>
    <row r="2885" spans="1:9" x14ac:dyDescent="0.2">
      <c r="A2885" t="str">
        <f>"Bub3"</f>
        <v>Bub3</v>
      </c>
      <c r="B2885" t="s">
        <v>14</v>
      </c>
      <c r="C2885" t="s">
        <v>33</v>
      </c>
      <c r="D2885" t="s">
        <v>17</v>
      </c>
      <c r="E2885" t="s">
        <v>12</v>
      </c>
      <c r="F2885">
        <v>131560363</v>
      </c>
      <c r="G2885">
        <v>131560398</v>
      </c>
      <c r="H2885">
        <v>131560408</v>
      </c>
      <c r="I2885">
        <v>131560419</v>
      </c>
    </row>
    <row r="2886" spans="1:9" x14ac:dyDescent="0.2">
      <c r="A2886" t="str">
        <f>"Bud13"</f>
        <v>Bud13</v>
      </c>
      <c r="B2886" t="s">
        <v>14</v>
      </c>
      <c r="C2886" t="s">
        <v>24</v>
      </c>
      <c r="D2886" t="s">
        <v>17</v>
      </c>
      <c r="E2886" t="s">
        <v>12</v>
      </c>
      <c r="F2886">
        <v>46282997</v>
      </c>
      <c r="G2886">
        <v>46283024</v>
      </c>
      <c r="H2886">
        <v>46282997</v>
      </c>
      <c r="I2886">
        <v>46283024</v>
      </c>
    </row>
    <row r="2887" spans="1:9" x14ac:dyDescent="0.2">
      <c r="A2887" t="str">
        <f>"Bud31"</f>
        <v>Bud31</v>
      </c>
      <c r="B2887" t="s">
        <v>14</v>
      </c>
      <c r="C2887" t="s">
        <v>46</v>
      </c>
      <c r="D2887" t="s">
        <v>17</v>
      </c>
      <c r="E2887" t="s">
        <v>12</v>
      </c>
      <c r="F2887">
        <v>145140365</v>
      </c>
      <c r="G2887">
        <v>145140414</v>
      </c>
      <c r="H2887">
        <v>145140428</v>
      </c>
      <c r="I2887">
        <v>145140440</v>
      </c>
    </row>
    <row r="2888" spans="1:9" x14ac:dyDescent="0.2">
      <c r="A2888" t="str">
        <f>"Bves"</f>
        <v>Bves</v>
      </c>
      <c r="B2888" t="s">
        <v>14</v>
      </c>
      <c r="C2888" t="s">
        <v>15</v>
      </c>
      <c r="D2888" t="s">
        <v>17</v>
      </c>
      <c r="E2888" t="s">
        <v>12</v>
      </c>
      <c r="F2888">
        <v>45335723</v>
      </c>
      <c r="G2888">
        <v>45335744</v>
      </c>
      <c r="H2888">
        <v>45335751</v>
      </c>
      <c r="I2888">
        <v>45335789</v>
      </c>
    </row>
    <row r="2889" spans="1:9" x14ac:dyDescent="0.2">
      <c r="A2889" t="str">
        <f>"Bysl"</f>
        <v>Bysl</v>
      </c>
      <c r="B2889" t="s">
        <v>14</v>
      </c>
      <c r="C2889" t="s">
        <v>28</v>
      </c>
      <c r="D2889" t="s">
        <v>11</v>
      </c>
      <c r="E2889" t="s">
        <v>12</v>
      </c>
      <c r="F2889">
        <v>47611211</v>
      </c>
      <c r="G2889">
        <v>47611244</v>
      </c>
      <c r="H2889">
        <v>47611449</v>
      </c>
      <c r="I2889">
        <v>47611544</v>
      </c>
    </row>
    <row r="2890" spans="1:9" x14ac:dyDescent="0.2">
      <c r="A2890" t="str">
        <f>"Bzrap1"</f>
        <v>Bzrap1</v>
      </c>
      <c r="B2890" t="s">
        <v>9</v>
      </c>
      <c r="C2890" t="s">
        <v>27</v>
      </c>
      <c r="D2890" t="s">
        <v>17</v>
      </c>
      <c r="E2890" t="s">
        <v>12</v>
      </c>
      <c r="F2890">
        <v>87760533</v>
      </c>
      <c r="G2890">
        <v>87760551</v>
      </c>
      <c r="H2890">
        <v>87760533</v>
      </c>
      <c r="I2890">
        <v>87760551</v>
      </c>
    </row>
    <row r="2891" spans="1:9" x14ac:dyDescent="0.2">
      <c r="A2891" t="str">
        <f>"Bzrap1"</f>
        <v>Bzrap1</v>
      </c>
      <c r="B2891" t="s">
        <v>13</v>
      </c>
      <c r="C2891" t="s">
        <v>27</v>
      </c>
      <c r="D2891" t="s">
        <v>17</v>
      </c>
      <c r="E2891" t="s">
        <v>12</v>
      </c>
      <c r="F2891">
        <v>87764702</v>
      </c>
      <c r="G2891">
        <v>87764732</v>
      </c>
      <c r="H2891">
        <v>87764702</v>
      </c>
      <c r="I2891">
        <v>87764732</v>
      </c>
    </row>
    <row r="2892" spans="1:9" x14ac:dyDescent="0.2">
      <c r="A2892" t="str">
        <f>"Bzw1"</f>
        <v>Bzw1</v>
      </c>
      <c r="B2892" t="s">
        <v>14</v>
      </c>
      <c r="C2892" t="s">
        <v>19</v>
      </c>
      <c r="D2892" t="s">
        <v>17</v>
      </c>
      <c r="E2892" t="s">
        <v>12</v>
      </c>
      <c r="F2892">
        <v>58393119</v>
      </c>
      <c r="G2892">
        <v>58393147</v>
      </c>
      <c r="H2892">
        <v>58392807</v>
      </c>
      <c r="I2892">
        <v>58392850</v>
      </c>
    </row>
    <row r="2893" spans="1:9" x14ac:dyDescent="0.2">
      <c r="A2893" t="str">
        <f>"Bzw2"</f>
        <v>Bzw2</v>
      </c>
      <c r="B2893" t="s">
        <v>14</v>
      </c>
      <c r="C2893" t="s">
        <v>16</v>
      </c>
      <c r="D2893" t="s">
        <v>11</v>
      </c>
      <c r="E2893" t="s">
        <v>12</v>
      </c>
      <c r="F2893">
        <v>36156747</v>
      </c>
      <c r="G2893">
        <v>36156776</v>
      </c>
      <c r="H2893">
        <v>36156781</v>
      </c>
      <c r="I2893">
        <v>36156815</v>
      </c>
    </row>
    <row r="2894" spans="1:9" x14ac:dyDescent="0.2">
      <c r="A2894" t="str">
        <f>"C030005K15Rik"</f>
        <v>C030005K15Rik</v>
      </c>
      <c r="B2894" t="s">
        <v>2222</v>
      </c>
      <c r="C2894" t="s">
        <v>15</v>
      </c>
      <c r="D2894" t="s">
        <v>11</v>
      </c>
      <c r="E2894" t="s">
        <v>20</v>
      </c>
      <c r="F2894">
        <v>97726754</v>
      </c>
      <c r="G2894">
        <v>97726754</v>
      </c>
      <c r="H2894">
        <v>97726754</v>
      </c>
      <c r="I2894">
        <v>97726754</v>
      </c>
    </row>
    <row r="2895" spans="1:9" x14ac:dyDescent="0.2">
      <c r="A2895" t="str">
        <f>"C030006K11Rik"</f>
        <v>C030006K11Rik</v>
      </c>
      <c r="B2895" t="s">
        <v>14</v>
      </c>
      <c r="C2895" t="s">
        <v>25</v>
      </c>
      <c r="D2895" t="s">
        <v>11</v>
      </c>
      <c r="E2895" t="s">
        <v>12</v>
      </c>
      <c r="F2895">
        <v>76723814</v>
      </c>
      <c r="G2895">
        <v>76723853</v>
      </c>
      <c r="H2895">
        <v>76723772</v>
      </c>
      <c r="I2895">
        <v>76723801</v>
      </c>
    </row>
    <row r="2896" spans="1:9" x14ac:dyDescent="0.2">
      <c r="A2896" t="str">
        <f>"C030017K20Rik"</f>
        <v>C030017K20Rik</v>
      </c>
      <c r="B2896" t="s">
        <v>2223</v>
      </c>
      <c r="C2896" t="s">
        <v>23</v>
      </c>
      <c r="D2896" t="s">
        <v>17</v>
      </c>
      <c r="E2896" t="s">
        <v>20</v>
      </c>
      <c r="F2896">
        <v>155451569</v>
      </c>
      <c r="G2896">
        <v>155451569</v>
      </c>
      <c r="H2896">
        <v>155451569</v>
      </c>
      <c r="I2896">
        <v>155451569</v>
      </c>
    </row>
    <row r="2897" spans="1:9" x14ac:dyDescent="0.2">
      <c r="A2897" t="str">
        <f>"C030034I22Rik"</f>
        <v>C030034I22Rik</v>
      </c>
      <c r="B2897" t="s">
        <v>14</v>
      </c>
      <c r="C2897" t="s">
        <v>28</v>
      </c>
      <c r="D2897" t="s">
        <v>17</v>
      </c>
      <c r="E2897" t="s">
        <v>67</v>
      </c>
      <c r="F2897">
        <v>69417374</v>
      </c>
      <c r="G2897">
        <v>69417419</v>
      </c>
      <c r="H2897">
        <v>69417441</v>
      </c>
      <c r="I2897">
        <v>69417465</v>
      </c>
    </row>
    <row r="2898" spans="1:9" x14ac:dyDescent="0.2">
      <c r="A2898" t="str">
        <f>"C030037F17Rik"</f>
        <v>C030037F17Rik</v>
      </c>
      <c r="B2898" t="s">
        <v>2224</v>
      </c>
      <c r="C2898" t="s">
        <v>30</v>
      </c>
      <c r="D2898" t="s">
        <v>11</v>
      </c>
      <c r="E2898" t="s">
        <v>20</v>
      </c>
      <c r="F2898">
        <v>14747426</v>
      </c>
      <c r="G2898">
        <v>14747426</v>
      </c>
      <c r="H2898">
        <v>14747426</v>
      </c>
      <c r="I2898">
        <v>14747426</v>
      </c>
    </row>
    <row r="2899" spans="1:9" x14ac:dyDescent="0.2">
      <c r="A2899" t="str">
        <f>"C030039L03Rik"</f>
        <v>C030039L03Rik</v>
      </c>
      <c r="B2899" t="s">
        <v>9</v>
      </c>
      <c r="C2899" t="s">
        <v>33</v>
      </c>
      <c r="D2899" t="s">
        <v>17</v>
      </c>
      <c r="E2899" t="s">
        <v>12</v>
      </c>
      <c r="F2899">
        <v>27689417</v>
      </c>
      <c r="G2899">
        <v>27689456</v>
      </c>
      <c r="H2899">
        <v>27689417</v>
      </c>
      <c r="I2899">
        <v>27689456</v>
      </c>
    </row>
    <row r="2900" spans="1:9" x14ac:dyDescent="0.2">
      <c r="A2900" t="str">
        <f>"C030039L03Rik"</f>
        <v>C030039L03Rik</v>
      </c>
      <c r="B2900" t="s">
        <v>13</v>
      </c>
      <c r="C2900" t="s">
        <v>33</v>
      </c>
      <c r="D2900" t="s">
        <v>17</v>
      </c>
      <c r="E2900" t="s">
        <v>12</v>
      </c>
      <c r="F2900">
        <v>27674643</v>
      </c>
      <c r="G2900">
        <v>27674674</v>
      </c>
      <c r="H2900">
        <v>27674643</v>
      </c>
      <c r="I2900">
        <v>27674674</v>
      </c>
    </row>
    <row r="2901" spans="1:9" x14ac:dyDescent="0.2">
      <c r="A2901" t="str">
        <f>"C030046E11Rik"</f>
        <v>C030046E11Rik</v>
      </c>
      <c r="B2901" t="s">
        <v>14</v>
      </c>
      <c r="C2901" t="s">
        <v>10</v>
      </c>
      <c r="D2901" t="s">
        <v>17</v>
      </c>
      <c r="E2901" t="s">
        <v>12</v>
      </c>
      <c r="F2901">
        <v>29522263</v>
      </c>
      <c r="G2901">
        <v>29522341</v>
      </c>
      <c r="H2901">
        <v>29522380</v>
      </c>
      <c r="I2901">
        <v>29522391</v>
      </c>
    </row>
    <row r="2902" spans="1:9" x14ac:dyDescent="0.2">
      <c r="A2902" t="str">
        <f>"C030048H21Rik"</f>
        <v>C030048H21Rik</v>
      </c>
      <c r="B2902" t="s">
        <v>2225</v>
      </c>
      <c r="C2902" t="s">
        <v>26</v>
      </c>
      <c r="D2902" t="s">
        <v>11</v>
      </c>
      <c r="E2902" t="s">
        <v>20</v>
      </c>
      <c r="F2902">
        <v>26257553</v>
      </c>
      <c r="G2902">
        <v>26257553</v>
      </c>
      <c r="H2902">
        <v>26257553</v>
      </c>
      <c r="I2902">
        <v>26257553</v>
      </c>
    </row>
    <row r="2903" spans="1:9" x14ac:dyDescent="0.2">
      <c r="A2903" t="str">
        <f>"C130026I21Rik"</f>
        <v>C130026I21Rik</v>
      </c>
      <c r="B2903" t="s">
        <v>2226</v>
      </c>
      <c r="C2903" t="s">
        <v>19</v>
      </c>
      <c r="D2903" t="s">
        <v>11</v>
      </c>
      <c r="E2903" t="s">
        <v>20</v>
      </c>
      <c r="F2903">
        <v>85270553</v>
      </c>
      <c r="G2903">
        <v>85270553</v>
      </c>
      <c r="H2903">
        <v>85270553</v>
      </c>
      <c r="I2903">
        <v>85270553</v>
      </c>
    </row>
    <row r="2904" spans="1:9" x14ac:dyDescent="0.2">
      <c r="A2904" t="str">
        <f>"C130026I21Rik"</f>
        <v>C130026I21Rik</v>
      </c>
      <c r="B2904" t="s">
        <v>2227</v>
      </c>
      <c r="C2904" t="s">
        <v>19</v>
      </c>
      <c r="D2904" t="s">
        <v>11</v>
      </c>
      <c r="E2904" t="s">
        <v>20</v>
      </c>
      <c r="F2904">
        <v>85270177</v>
      </c>
      <c r="G2904">
        <v>85270177</v>
      </c>
      <c r="H2904">
        <v>85270177</v>
      </c>
      <c r="I2904">
        <v>85270177</v>
      </c>
    </row>
    <row r="2905" spans="1:9" x14ac:dyDescent="0.2">
      <c r="A2905" t="str">
        <f>"C130026I21Rik"</f>
        <v>C130026I21Rik</v>
      </c>
      <c r="B2905" t="s">
        <v>2228</v>
      </c>
      <c r="C2905" t="s">
        <v>19</v>
      </c>
      <c r="D2905" t="s">
        <v>11</v>
      </c>
      <c r="E2905" t="s">
        <v>20</v>
      </c>
      <c r="F2905">
        <v>85262069</v>
      </c>
      <c r="G2905">
        <v>85262069</v>
      </c>
      <c r="H2905">
        <v>85262069</v>
      </c>
      <c r="I2905">
        <v>85262069</v>
      </c>
    </row>
    <row r="2906" spans="1:9" x14ac:dyDescent="0.2">
      <c r="A2906" t="str">
        <f>"C130026L21Rik"</f>
        <v>C130026L21Rik</v>
      </c>
      <c r="B2906" t="s">
        <v>14</v>
      </c>
      <c r="C2906" t="s">
        <v>46</v>
      </c>
      <c r="D2906" t="s">
        <v>17</v>
      </c>
      <c r="E2906" t="s">
        <v>12</v>
      </c>
      <c r="F2906">
        <v>111581414</v>
      </c>
      <c r="G2906">
        <v>111581427</v>
      </c>
      <c r="H2906">
        <v>111581414</v>
      </c>
      <c r="I2906">
        <v>111581427</v>
      </c>
    </row>
    <row r="2907" spans="1:9" x14ac:dyDescent="0.2">
      <c r="A2907" t="str">
        <f>"C130032M10Rik"</f>
        <v>C130032M10Rik</v>
      </c>
      <c r="B2907" t="s">
        <v>2229</v>
      </c>
      <c r="C2907" t="s">
        <v>24</v>
      </c>
      <c r="D2907" t="s">
        <v>17</v>
      </c>
      <c r="E2907" t="s">
        <v>20</v>
      </c>
      <c r="F2907">
        <v>114515696</v>
      </c>
      <c r="G2907">
        <v>114515696</v>
      </c>
      <c r="H2907">
        <v>114515696</v>
      </c>
      <c r="I2907">
        <v>114515696</v>
      </c>
    </row>
    <row r="2908" spans="1:9" x14ac:dyDescent="0.2">
      <c r="A2908" t="str">
        <f>"C130040N14Rik"</f>
        <v>C130040N14Rik</v>
      </c>
      <c r="B2908" t="s">
        <v>2230</v>
      </c>
      <c r="C2908" t="s">
        <v>28</v>
      </c>
      <c r="D2908" t="s">
        <v>17</v>
      </c>
      <c r="E2908" t="s">
        <v>20</v>
      </c>
      <c r="F2908">
        <v>27565111</v>
      </c>
      <c r="G2908">
        <v>27565111</v>
      </c>
      <c r="H2908">
        <v>27565111</v>
      </c>
      <c r="I2908">
        <v>27565111</v>
      </c>
    </row>
    <row r="2909" spans="1:9" x14ac:dyDescent="0.2">
      <c r="A2909" t="str">
        <f>"C130050O18Rik"</f>
        <v>C130050O18Rik</v>
      </c>
      <c r="B2909" t="s">
        <v>14</v>
      </c>
      <c r="C2909" t="s">
        <v>46</v>
      </c>
      <c r="D2909" t="s">
        <v>17</v>
      </c>
      <c r="E2909" t="s">
        <v>12</v>
      </c>
      <c r="F2909">
        <v>139406402</v>
      </c>
      <c r="G2909">
        <v>139406422</v>
      </c>
      <c r="H2909">
        <v>139406446</v>
      </c>
      <c r="I2909">
        <v>139406466</v>
      </c>
    </row>
    <row r="2910" spans="1:9" x14ac:dyDescent="0.2">
      <c r="A2910" t="str">
        <f>"C130060K24Rik"</f>
        <v>C130060K24Rik</v>
      </c>
      <c r="B2910" t="s">
        <v>14</v>
      </c>
      <c r="C2910" t="s">
        <v>32</v>
      </c>
      <c r="D2910" t="s">
        <v>17</v>
      </c>
      <c r="E2910" t="s">
        <v>12</v>
      </c>
      <c r="F2910">
        <v>65381020</v>
      </c>
      <c r="G2910">
        <v>65381027</v>
      </c>
      <c r="H2910">
        <v>65381118</v>
      </c>
      <c r="I2910">
        <v>65381126</v>
      </c>
    </row>
    <row r="2911" spans="1:9" x14ac:dyDescent="0.2">
      <c r="A2911" t="str">
        <f>"C130073F10Rik"</f>
        <v>C130073F10Rik</v>
      </c>
      <c r="B2911" t="s">
        <v>2231</v>
      </c>
      <c r="C2911" t="s">
        <v>23</v>
      </c>
      <c r="D2911" t="s">
        <v>11</v>
      </c>
      <c r="E2911" t="s">
        <v>20</v>
      </c>
      <c r="F2911">
        <v>101893788</v>
      </c>
      <c r="G2911">
        <v>101893788</v>
      </c>
      <c r="H2911">
        <v>101893788</v>
      </c>
      <c r="I2911">
        <v>101893788</v>
      </c>
    </row>
    <row r="2912" spans="1:9" x14ac:dyDescent="0.2">
      <c r="A2912" t="str">
        <f>"C130074G19Rik"</f>
        <v>C130074G19Rik</v>
      </c>
      <c r="B2912" t="s">
        <v>14</v>
      </c>
      <c r="C2912" t="s">
        <v>19</v>
      </c>
      <c r="D2912" t="s">
        <v>11</v>
      </c>
      <c r="E2912" t="s">
        <v>12</v>
      </c>
      <c r="F2912">
        <v>184882991</v>
      </c>
      <c r="G2912">
        <v>184883031</v>
      </c>
      <c r="H2912">
        <v>184883214</v>
      </c>
      <c r="I2912">
        <v>184883238</v>
      </c>
    </row>
    <row r="2913" spans="1:9" x14ac:dyDescent="0.2">
      <c r="A2913" t="str">
        <f>"C130079G13Rik"</f>
        <v>C130079G13Rik</v>
      </c>
      <c r="B2913" t="s">
        <v>14</v>
      </c>
      <c r="C2913" t="s">
        <v>22</v>
      </c>
      <c r="D2913" t="s">
        <v>17</v>
      </c>
      <c r="E2913" t="s">
        <v>12</v>
      </c>
      <c r="F2913">
        <v>59925208</v>
      </c>
      <c r="G2913">
        <v>59925237</v>
      </c>
      <c r="H2913">
        <v>59925246</v>
      </c>
      <c r="I2913">
        <v>59925267</v>
      </c>
    </row>
    <row r="2914" spans="1:9" x14ac:dyDescent="0.2">
      <c r="A2914" t="str">
        <f>"C1d"</f>
        <v>C1d</v>
      </c>
      <c r="B2914" t="s">
        <v>14</v>
      </c>
      <c r="C2914" t="s">
        <v>27</v>
      </c>
      <c r="D2914" t="s">
        <v>17</v>
      </c>
      <c r="E2914" t="s">
        <v>12</v>
      </c>
      <c r="F2914">
        <v>17257558</v>
      </c>
      <c r="G2914">
        <v>17257637</v>
      </c>
      <c r="H2914">
        <v>17257558</v>
      </c>
      <c r="I2914">
        <v>17257637</v>
      </c>
    </row>
    <row r="2915" spans="1:9" x14ac:dyDescent="0.2">
      <c r="A2915" t="str">
        <f>"C1galt1"</f>
        <v>C1galt1</v>
      </c>
      <c r="B2915" t="s">
        <v>14</v>
      </c>
      <c r="C2915" t="s">
        <v>32</v>
      </c>
      <c r="D2915" t="s">
        <v>17</v>
      </c>
      <c r="E2915" t="s">
        <v>12</v>
      </c>
      <c r="F2915">
        <v>7845251</v>
      </c>
      <c r="G2915">
        <v>7845299</v>
      </c>
      <c r="H2915">
        <v>7844766</v>
      </c>
      <c r="I2915">
        <v>7844803</v>
      </c>
    </row>
    <row r="2916" spans="1:9" x14ac:dyDescent="0.2">
      <c r="A2916" t="str">
        <f>"C1galt1c1"</f>
        <v>C1galt1c1</v>
      </c>
      <c r="B2916" t="s">
        <v>14</v>
      </c>
      <c r="C2916" t="s">
        <v>37</v>
      </c>
      <c r="D2916" t="s">
        <v>11</v>
      </c>
      <c r="E2916" t="s">
        <v>12</v>
      </c>
      <c r="F2916">
        <v>38635095</v>
      </c>
      <c r="G2916">
        <v>38635148</v>
      </c>
      <c r="H2916">
        <v>38635066</v>
      </c>
      <c r="I2916">
        <v>38635093</v>
      </c>
    </row>
    <row r="2917" spans="1:9" x14ac:dyDescent="0.2">
      <c r="A2917" t="str">
        <f>"C1qa"</f>
        <v>C1qa</v>
      </c>
      <c r="B2917" t="s">
        <v>14</v>
      </c>
      <c r="C2917" t="s">
        <v>23</v>
      </c>
      <c r="D2917" t="s">
        <v>11</v>
      </c>
      <c r="E2917" t="s">
        <v>12</v>
      </c>
      <c r="F2917">
        <v>136898762</v>
      </c>
      <c r="G2917">
        <v>136898792</v>
      </c>
      <c r="H2917">
        <v>136898810</v>
      </c>
      <c r="I2917">
        <v>136898823</v>
      </c>
    </row>
    <row r="2918" spans="1:9" x14ac:dyDescent="0.2">
      <c r="A2918" t="str">
        <f>"C1qb"</f>
        <v>C1qb</v>
      </c>
      <c r="B2918" t="s">
        <v>14</v>
      </c>
      <c r="C2918" t="s">
        <v>23</v>
      </c>
      <c r="D2918" t="s">
        <v>11</v>
      </c>
      <c r="E2918" t="s">
        <v>12</v>
      </c>
      <c r="F2918">
        <v>136886111</v>
      </c>
      <c r="G2918">
        <v>136886155</v>
      </c>
      <c r="H2918">
        <v>136886071</v>
      </c>
      <c r="I2918">
        <v>136886110</v>
      </c>
    </row>
    <row r="2919" spans="1:9" x14ac:dyDescent="0.2">
      <c r="A2919" t="str">
        <f>"C1qbp"</f>
        <v>C1qbp</v>
      </c>
      <c r="B2919" t="s">
        <v>14</v>
      </c>
      <c r="C2919" t="s">
        <v>27</v>
      </c>
      <c r="D2919" t="s">
        <v>11</v>
      </c>
      <c r="E2919" t="s">
        <v>12</v>
      </c>
      <c r="F2919">
        <v>70982947</v>
      </c>
      <c r="G2919">
        <v>70982985</v>
      </c>
      <c r="H2919">
        <v>70982987</v>
      </c>
      <c r="I2919">
        <v>70983024</v>
      </c>
    </row>
    <row r="2920" spans="1:9" x14ac:dyDescent="0.2">
      <c r="A2920" t="str">
        <f>"C1qc"</f>
        <v>C1qc</v>
      </c>
      <c r="B2920" t="s">
        <v>14</v>
      </c>
      <c r="C2920" t="s">
        <v>23</v>
      </c>
      <c r="D2920" t="s">
        <v>11</v>
      </c>
      <c r="E2920" t="s">
        <v>12</v>
      </c>
      <c r="F2920">
        <v>136892867</v>
      </c>
      <c r="G2920">
        <v>136892937</v>
      </c>
      <c r="H2920">
        <v>136892850</v>
      </c>
      <c r="I2920">
        <v>136892854</v>
      </c>
    </row>
    <row r="2921" spans="1:9" x14ac:dyDescent="0.2">
      <c r="A2921" t="str">
        <f>"C1ql1"</f>
        <v>C1ql1</v>
      </c>
      <c r="B2921" t="s">
        <v>14</v>
      </c>
      <c r="C2921" t="s">
        <v>27</v>
      </c>
      <c r="D2921" t="s">
        <v>11</v>
      </c>
      <c r="E2921" t="s">
        <v>12</v>
      </c>
      <c r="F2921">
        <v>102946701</v>
      </c>
      <c r="G2921">
        <v>102946725</v>
      </c>
      <c r="H2921">
        <v>102946741</v>
      </c>
      <c r="I2921">
        <v>102946751</v>
      </c>
    </row>
    <row r="2922" spans="1:9" x14ac:dyDescent="0.2">
      <c r="A2922" t="str">
        <f>"C1ql2"</f>
        <v>C1ql2</v>
      </c>
      <c r="B2922" t="s">
        <v>14</v>
      </c>
      <c r="C2922" t="s">
        <v>19</v>
      </c>
      <c r="D2922" t="s">
        <v>17</v>
      </c>
      <c r="E2922" t="s">
        <v>12</v>
      </c>
      <c r="F2922">
        <v>120340605</v>
      </c>
      <c r="G2922">
        <v>120340645</v>
      </c>
      <c r="H2922">
        <v>120340508</v>
      </c>
      <c r="I2922">
        <v>120340529</v>
      </c>
    </row>
    <row r="2923" spans="1:9" x14ac:dyDescent="0.2">
      <c r="A2923" t="str">
        <f>"C1ql3"</f>
        <v>C1ql3</v>
      </c>
      <c r="B2923" t="s">
        <v>14</v>
      </c>
      <c r="C2923" t="s">
        <v>26</v>
      </c>
      <c r="D2923" t="s">
        <v>11</v>
      </c>
      <c r="E2923" t="s">
        <v>12</v>
      </c>
      <c r="F2923">
        <v>13011672</v>
      </c>
      <c r="G2923">
        <v>13011686</v>
      </c>
      <c r="H2923">
        <v>13011600</v>
      </c>
      <c r="I2923">
        <v>13011629</v>
      </c>
    </row>
    <row r="2924" spans="1:9" x14ac:dyDescent="0.2">
      <c r="A2924" t="str">
        <f>"C1ql4"</f>
        <v>C1ql4</v>
      </c>
      <c r="B2924" t="s">
        <v>2232</v>
      </c>
      <c r="C2924" t="s">
        <v>25</v>
      </c>
      <c r="D2924" t="s">
        <v>11</v>
      </c>
      <c r="E2924" t="s">
        <v>20</v>
      </c>
      <c r="F2924">
        <v>99087816</v>
      </c>
      <c r="G2924">
        <v>99087816</v>
      </c>
      <c r="H2924">
        <v>99087816</v>
      </c>
      <c r="I2924">
        <v>99087816</v>
      </c>
    </row>
    <row r="2925" spans="1:9" x14ac:dyDescent="0.2">
      <c r="A2925" t="str">
        <f>"C1qtnf1"</f>
        <v>C1qtnf1</v>
      </c>
      <c r="B2925" t="s">
        <v>14</v>
      </c>
      <c r="C2925" t="s">
        <v>27</v>
      </c>
      <c r="D2925" t="s">
        <v>17</v>
      </c>
      <c r="E2925" t="s">
        <v>12</v>
      </c>
      <c r="F2925">
        <v>118428115</v>
      </c>
      <c r="G2925">
        <v>118428141</v>
      </c>
      <c r="H2925">
        <v>118428150</v>
      </c>
      <c r="I2925">
        <v>118428191</v>
      </c>
    </row>
    <row r="2926" spans="1:9" x14ac:dyDescent="0.2">
      <c r="A2926" t="str">
        <f>"C1qtnf2"</f>
        <v>C1qtnf2</v>
      </c>
      <c r="B2926" t="s">
        <v>14</v>
      </c>
      <c r="C2926" t="s">
        <v>27</v>
      </c>
      <c r="D2926" t="s">
        <v>17</v>
      </c>
      <c r="E2926" t="s">
        <v>12</v>
      </c>
      <c r="F2926">
        <v>43474281</v>
      </c>
      <c r="G2926">
        <v>43474340</v>
      </c>
      <c r="H2926">
        <v>43474257</v>
      </c>
      <c r="I2926">
        <v>43474267</v>
      </c>
    </row>
    <row r="2927" spans="1:9" x14ac:dyDescent="0.2">
      <c r="A2927" t="str">
        <f>"C1qtnf3"</f>
        <v>C1qtnf3</v>
      </c>
      <c r="B2927" t="s">
        <v>14</v>
      </c>
      <c r="C2927" t="s">
        <v>25</v>
      </c>
      <c r="D2927" t="s">
        <v>17</v>
      </c>
      <c r="E2927" t="s">
        <v>12</v>
      </c>
      <c r="F2927">
        <v>10952348</v>
      </c>
      <c r="G2927">
        <v>10952364</v>
      </c>
      <c r="H2927">
        <v>10952348</v>
      </c>
      <c r="I2927">
        <v>10952364</v>
      </c>
    </row>
    <row r="2928" spans="1:9" x14ac:dyDescent="0.2">
      <c r="A2928" t="str">
        <f>"C1qtnf4"</f>
        <v>C1qtnf4</v>
      </c>
      <c r="B2928" t="s">
        <v>14</v>
      </c>
      <c r="C2928" t="s">
        <v>26</v>
      </c>
      <c r="D2928" t="s">
        <v>17</v>
      </c>
      <c r="E2928" t="s">
        <v>12</v>
      </c>
      <c r="F2928">
        <v>90885788</v>
      </c>
      <c r="G2928">
        <v>90885849</v>
      </c>
      <c r="H2928">
        <v>90885788</v>
      </c>
      <c r="I2928">
        <v>90885849</v>
      </c>
    </row>
    <row r="2929" spans="1:9" x14ac:dyDescent="0.2">
      <c r="A2929" t="str">
        <f>"C1qtnf5"</f>
        <v>C1qtnf5</v>
      </c>
      <c r="B2929" t="s">
        <v>14</v>
      </c>
      <c r="C2929" t="s">
        <v>24</v>
      </c>
      <c r="D2929" t="s">
        <v>17</v>
      </c>
      <c r="E2929" t="s">
        <v>12</v>
      </c>
      <c r="F2929">
        <v>44107286</v>
      </c>
      <c r="G2929">
        <v>44107355</v>
      </c>
      <c r="H2929">
        <v>44107268</v>
      </c>
      <c r="I2929">
        <v>44107279</v>
      </c>
    </row>
    <row r="2930" spans="1:9" x14ac:dyDescent="0.2">
      <c r="A2930" t="str">
        <f>"C1qtnf6"</f>
        <v>C1qtnf6</v>
      </c>
      <c r="B2930" t="s">
        <v>14</v>
      </c>
      <c r="C2930" t="s">
        <v>25</v>
      </c>
      <c r="D2930" t="s">
        <v>11</v>
      </c>
      <c r="E2930" t="s">
        <v>12</v>
      </c>
      <c r="F2930">
        <v>78529617</v>
      </c>
      <c r="G2930">
        <v>78529636</v>
      </c>
      <c r="H2930">
        <v>78529580</v>
      </c>
      <c r="I2930">
        <v>78529605</v>
      </c>
    </row>
    <row r="2931" spans="1:9" x14ac:dyDescent="0.2">
      <c r="A2931" t="str">
        <f>"C1qtnf7"</f>
        <v>C1qtnf7</v>
      </c>
      <c r="B2931" t="s">
        <v>14</v>
      </c>
      <c r="C2931" t="s">
        <v>46</v>
      </c>
      <c r="D2931" t="s">
        <v>17</v>
      </c>
      <c r="E2931" t="s">
        <v>12</v>
      </c>
      <c r="F2931">
        <v>43515751</v>
      </c>
      <c r="G2931">
        <v>43515794</v>
      </c>
      <c r="H2931">
        <v>43515513</v>
      </c>
      <c r="I2931">
        <v>43515534</v>
      </c>
    </row>
    <row r="2932" spans="1:9" x14ac:dyDescent="0.2">
      <c r="A2932" t="str">
        <f>"C1qtnf9"</f>
        <v>C1qtnf9</v>
      </c>
      <c r="B2932" t="s">
        <v>14</v>
      </c>
      <c r="C2932" t="s">
        <v>41</v>
      </c>
      <c r="D2932" t="s">
        <v>17</v>
      </c>
      <c r="E2932" t="s">
        <v>12</v>
      </c>
      <c r="F2932">
        <v>60768120</v>
      </c>
      <c r="G2932">
        <v>60768137</v>
      </c>
      <c r="H2932">
        <v>60768098</v>
      </c>
      <c r="I2932">
        <v>60768118</v>
      </c>
    </row>
    <row r="2933" spans="1:9" x14ac:dyDescent="0.2">
      <c r="A2933" t="str">
        <f>"C1ra"</f>
        <v>C1ra</v>
      </c>
      <c r="B2933" t="s">
        <v>14</v>
      </c>
      <c r="C2933" t="s">
        <v>32</v>
      </c>
      <c r="D2933" t="s">
        <v>17</v>
      </c>
      <c r="E2933" t="s">
        <v>12</v>
      </c>
      <c r="F2933">
        <v>124512644</v>
      </c>
      <c r="G2933">
        <v>124512668</v>
      </c>
      <c r="H2933">
        <v>124512615</v>
      </c>
      <c r="I2933">
        <v>124512640</v>
      </c>
    </row>
    <row r="2934" spans="1:9" x14ac:dyDescent="0.2">
      <c r="A2934" t="str">
        <f>"C1rb"</f>
        <v>C1rb</v>
      </c>
      <c r="B2934" t="s">
        <v>2233</v>
      </c>
      <c r="C2934" t="s">
        <v>32</v>
      </c>
      <c r="D2934" t="s">
        <v>17</v>
      </c>
      <c r="E2934" t="s">
        <v>35</v>
      </c>
      <c r="F2934">
        <v>124570304</v>
      </c>
      <c r="G2934">
        <v>124570315</v>
      </c>
      <c r="H2934">
        <v>124570366</v>
      </c>
      <c r="I2934">
        <v>124570399</v>
      </c>
    </row>
    <row r="2935" spans="1:9" x14ac:dyDescent="0.2">
      <c r="A2935" t="str">
        <f>"C1rl"</f>
        <v>C1rl</v>
      </c>
      <c r="B2935" t="s">
        <v>14</v>
      </c>
      <c r="C2935" t="s">
        <v>32</v>
      </c>
      <c r="D2935" t="s">
        <v>17</v>
      </c>
      <c r="E2935" t="s">
        <v>12</v>
      </c>
      <c r="F2935">
        <v>124493101</v>
      </c>
      <c r="G2935">
        <v>124493170</v>
      </c>
      <c r="H2935">
        <v>124493101</v>
      </c>
      <c r="I2935">
        <v>124493170</v>
      </c>
    </row>
    <row r="2936" spans="1:9" x14ac:dyDescent="0.2">
      <c r="A2936" t="str">
        <f>"C1s"</f>
        <v>C1s</v>
      </c>
      <c r="B2936" t="s">
        <v>14</v>
      </c>
      <c r="C2936" t="s">
        <v>32</v>
      </c>
      <c r="D2936" t="s">
        <v>11</v>
      </c>
      <c r="E2936" t="s">
        <v>12</v>
      </c>
      <c r="F2936">
        <v>124542281</v>
      </c>
      <c r="G2936">
        <v>124542307</v>
      </c>
      <c r="H2936">
        <v>124542281</v>
      </c>
      <c r="I2936">
        <v>124542307</v>
      </c>
    </row>
    <row r="2937" spans="1:9" x14ac:dyDescent="0.2">
      <c r="A2937" t="str">
        <f>"C2"</f>
        <v>C2</v>
      </c>
      <c r="B2937" t="s">
        <v>14</v>
      </c>
      <c r="C2937" t="s">
        <v>28</v>
      </c>
      <c r="D2937" t="s">
        <v>11</v>
      </c>
      <c r="E2937" t="s">
        <v>12</v>
      </c>
      <c r="F2937">
        <v>34882004</v>
      </c>
      <c r="G2937">
        <v>34882080</v>
      </c>
      <c r="H2937">
        <v>34882094</v>
      </c>
      <c r="I2937">
        <v>34882114</v>
      </c>
    </row>
    <row r="2938" spans="1:9" x14ac:dyDescent="0.2">
      <c r="A2938" t="str">
        <f>"C230029F24Rik"</f>
        <v>C230029F24Rik</v>
      </c>
      <c r="B2938" t="s">
        <v>2234</v>
      </c>
      <c r="C2938" t="s">
        <v>19</v>
      </c>
      <c r="D2938" t="s">
        <v>17</v>
      </c>
      <c r="E2938" t="s">
        <v>20</v>
      </c>
      <c r="F2938">
        <v>49244615</v>
      </c>
      <c r="G2938">
        <v>49244615</v>
      </c>
      <c r="H2938">
        <v>49244615</v>
      </c>
      <c r="I2938">
        <v>49244615</v>
      </c>
    </row>
    <row r="2939" spans="1:9" x14ac:dyDescent="0.2">
      <c r="A2939" t="str">
        <f>"C230052I12Rik"</f>
        <v>C230052I12Rik</v>
      </c>
      <c r="B2939" t="s">
        <v>14</v>
      </c>
      <c r="C2939" t="s">
        <v>33</v>
      </c>
      <c r="D2939" t="s">
        <v>11</v>
      </c>
      <c r="E2939" t="s">
        <v>12</v>
      </c>
      <c r="F2939">
        <v>35396776</v>
      </c>
      <c r="G2939">
        <v>35396821</v>
      </c>
      <c r="H2939">
        <v>35396776</v>
      </c>
      <c r="I2939">
        <v>35396821</v>
      </c>
    </row>
    <row r="2940" spans="1:9" x14ac:dyDescent="0.2">
      <c r="A2940" t="str">
        <f>"C230062I16Rik"</f>
        <v>C230062I16Rik</v>
      </c>
      <c r="B2940" t="s">
        <v>14</v>
      </c>
      <c r="C2940" t="s">
        <v>33</v>
      </c>
      <c r="D2940" t="s">
        <v>17</v>
      </c>
      <c r="E2940" t="s">
        <v>67</v>
      </c>
      <c r="F2940">
        <v>29953618</v>
      </c>
      <c r="G2940">
        <v>29953653</v>
      </c>
      <c r="H2940">
        <v>29953875</v>
      </c>
      <c r="I2940">
        <v>29953924</v>
      </c>
    </row>
    <row r="2941" spans="1:9" x14ac:dyDescent="0.2">
      <c r="A2941" t="str">
        <f>"C230081A13Rik"</f>
        <v>C230081A13Rik</v>
      </c>
      <c r="B2941" t="s">
        <v>14</v>
      </c>
      <c r="C2941" t="s">
        <v>24</v>
      </c>
      <c r="D2941" t="s">
        <v>11</v>
      </c>
      <c r="E2941" t="s">
        <v>12</v>
      </c>
      <c r="F2941">
        <v>56418023</v>
      </c>
      <c r="G2941">
        <v>56418052</v>
      </c>
      <c r="H2941">
        <v>56418061</v>
      </c>
      <c r="I2941">
        <v>56418081</v>
      </c>
    </row>
    <row r="2942" spans="1:9" x14ac:dyDescent="0.2">
      <c r="A2942" t="str">
        <f>"C2cd2"</f>
        <v>C2cd2</v>
      </c>
      <c r="B2942" t="s">
        <v>14</v>
      </c>
      <c r="C2942" t="s">
        <v>31</v>
      </c>
      <c r="D2942" t="s">
        <v>11</v>
      </c>
      <c r="E2942" t="s">
        <v>12</v>
      </c>
      <c r="F2942">
        <v>97922582</v>
      </c>
      <c r="G2942">
        <v>97922613</v>
      </c>
      <c r="H2942">
        <v>97922554</v>
      </c>
      <c r="I2942">
        <v>97922580</v>
      </c>
    </row>
    <row r="2943" spans="1:9" x14ac:dyDescent="0.2">
      <c r="A2943" t="str">
        <f>"C2cd2l"</f>
        <v>C2cd2l</v>
      </c>
      <c r="B2943" t="s">
        <v>14</v>
      </c>
      <c r="C2943" t="s">
        <v>24</v>
      </c>
      <c r="D2943" t="s">
        <v>11</v>
      </c>
      <c r="E2943" t="s">
        <v>12</v>
      </c>
      <c r="F2943">
        <v>44320229</v>
      </c>
      <c r="G2943">
        <v>44320290</v>
      </c>
      <c r="H2943">
        <v>44320361</v>
      </c>
      <c r="I2943">
        <v>44320380</v>
      </c>
    </row>
    <row r="2944" spans="1:9" x14ac:dyDescent="0.2">
      <c r="A2944" t="str">
        <f>"C2cd3"</f>
        <v>C2cd3</v>
      </c>
      <c r="B2944" t="s">
        <v>14</v>
      </c>
      <c r="C2944" t="s">
        <v>33</v>
      </c>
      <c r="D2944" t="s">
        <v>17</v>
      </c>
      <c r="E2944" t="s">
        <v>12</v>
      </c>
      <c r="F2944">
        <v>100372224</v>
      </c>
      <c r="G2944">
        <v>100372383</v>
      </c>
      <c r="H2944">
        <v>100372388</v>
      </c>
      <c r="I2944">
        <v>100372424</v>
      </c>
    </row>
    <row r="2945" spans="1:9" x14ac:dyDescent="0.2">
      <c r="A2945" t="str">
        <f>"C2cd4a"</f>
        <v>C2cd4a</v>
      </c>
      <c r="B2945" t="s">
        <v>14</v>
      </c>
      <c r="C2945" t="s">
        <v>24</v>
      </c>
      <c r="D2945" t="s">
        <v>11</v>
      </c>
      <c r="E2945" t="s">
        <v>12</v>
      </c>
      <c r="F2945">
        <v>67832325</v>
      </c>
      <c r="G2945">
        <v>67832331</v>
      </c>
      <c r="H2945">
        <v>67832356</v>
      </c>
      <c r="I2945">
        <v>67832388</v>
      </c>
    </row>
    <row r="2946" spans="1:9" x14ac:dyDescent="0.2">
      <c r="A2946" t="str">
        <f>"C2cd4b"</f>
        <v>C2cd4b</v>
      </c>
      <c r="B2946" t="s">
        <v>14</v>
      </c>
      <c r="C2946" t="s">
        <v>24</v>
      </c>
      <c r="D2946" t="s">
        <v>17</v>
      </c>
      <c r="E2946" t="s">
        <v>12</v>
      </c>
      <c r="F2946">
        <v>67759423</v>
      </c>
      <c r="G2946">
        <v>67759428</v>
      </c>
      <c r="H2946">
        <v>67759423</v>
      </c>
      <c r="I2946">
        <v>67759428</v>
      </c>
    </row>
    <row r="2947" spans="1:9" x14ac:dyDescent="0.2">
      <c r="A2947" t="str">
        <f>"C2cd4c"</f>
        <v>C2cd4c</v>
      </c>
      <c r="B2947" t="s">
        <v>14</v>
      </c>
      <c r="C2947" t="s">
        <v>15</v>
      </c>
      <c r="D2947" t="s">
        <v>11</v>
      </c>
      <c r="E2947" t="s">
        <v>12</v>
      </c>
      <c r="F2947">
        <v>79614012</v>
      </c>
      <c r="G2947">
        <v>79614055</v>
      </c>
      <c r="H2947">
        <v>79614153</v>
      </c>
      <c r="I2947">
        <v>79614193</v>
      </c>
    </row>
    <row r="2948" spans="1:9" x14ac:dyDescent="0.2">
      <c r="A2948" t="str">
        <f>"C2cd4d"</f>
        <v>C2cd4d</v>
      </c>
      <c r="B2948" t="s">
        <v>14</v>
      </c>
      <c r="C2948" t="s">
        <v>22</v>
      </c>
      <c r="D2948" t="s">
        <v>17</v>
      </c>
      <c r="E2948" t="s">
        <v>12</v>
      </c>
      <c r="F2948">
        <v>94362395</v>
      </c>
      <c r="G2948">
        <v>94362438</v>
      </c>
      <c r="H2948">
        <v>94362395</v>
      </c>
      <c r="I2948">
        <v>94362438</v>
      </c>
    </row>
    <row r="2949" spans="1:9" x14ac:dyDescent="0.2">
      <c r="A2949" t="str">
        <f>"C2cd5"</f>
        <v>C2cd5</v>
      </c>
      <c r="B2949" t="s">
        <v>14</v>
      </c>
      <c r="C2949" t="s">
        <v>32</v>
      </c>
      <c r="D2949" t="s">
        <v>11</v>
      </c>
      <c r="E2949" t="s">
        <v>67</v>
      </c>
      <c r="F2949">
        <v>143100028</v>
      </c>
      <c r="G2949">
        <v>143100109</v>
      </c>
      <c r="H2949">
        <v>143099791</v>
      </c>
      <c r="I2949">
        <v>143099830</v>
      </c>
    </row>
    <row r="2950" spans="1:9" x14ac:dyDescent="0.2">
      <c r="A2950" t="str">
        <f>"C3"</f>
        <v>C3</v>
      </c>
      <c r="B2950" t="s">
        <v>14</v>
      </c>
      <c r="C2950" t="s">
        <v>28</v>
      </c>
      <c r="D2950" t="s">
        <v>11</v>
      </c>
      <c r="E2950" t="s">
        <v>12</v>
      </c>
      <c r="F2950">
        <v>57228084</v>
      </c>
      <c r="G2950">
        <v>57228101</v>
      </c>
      <c r="H2950">
        <v>57228084</v>
      </c>
      <c r="I2950">
        <v>57228101</v>
      </c>
    </row>
    <row r="2951" spans="1:9" x14ac:dyDescent="0.2">
      <c r="A2951" t="str">
        <f>"C330006D17Rik"</f>
        <v>C330006D17Rik</v>
      </c>
      <c r="B2951" t="s">
        <v>14</v>
      </c>
      <c r="C2951" t="s">
        <v>24</v>
      </c>
      <c r="D2951" t="s">
        <v>11</v>
      </c>
      <c r="E2951" t="s">
        <v>67</v>
      </c>
      <c r="F2951">
        <v>7836980</v>
      </c>
      <c r="G2951">
        <v>7837096</v>
      </c>
      <c r="H2951">
        <v>7837230</v>
      </c>
      <c r="I2951">
        <v>7837231</v>
      </c>
    </row>
    <row r="2952" spans="1:9" x14ac:dyDescent="0.2">
      <c r="A2952" t="str">
        <f>"C330007P06Rik"</f>
        <v>C330007P06Rik</v>
      </c>
      <c r="B2952" t="s">
        <v>14</v>
      </c>
      <c r="C2952" t="s">
        <v>37</v>
      </c>
      <c r="D2952" t="s">
        <v>11</v>
      </c>
      <c r="E2952" t="s">
        <v>12</v>
      </c>
      <c r="F2952">
        <v>36864203</v>
      </c>
      <c r="G2952">
        <v>36864250</v>
      </c>
      <c r="H2952">
        <v>36864203</v>
      </c>
      <c r="I2952">
        <v>36864250</v>
      </c>
    </row>
    <row r="2953" spans="1:9" x14ac:dyDescent="0.2">
      <c r="A2953" t="str">
        <f>"C330011M18Rik"</f>
        <v>C330011M18Rik</v>
      </c>
      <c r="B2953" t="s">
        <v>14</v>
      </c>
      <c r="C2953" t="s">
        <v>30</v>
      </c>
      <c r="D2953" t="s">
        <v>11</v>
      </c>
      <c r="E2953" t="s">
        <v>67</v>
      </c>
      <c r="F2953">
        <v>84067134</v>
      </c>
      <c r="G2953">
        <v>84067185</v>
      </c>
      <c r="H2953">
        <v>84067134</v>
      </c>
      <c r="I2953">
        <v>84067185</v>
      </c>
    </row>
    <row r="2954" spans="1:9" x14ac:dyDescent="0.2">
      <c r="A2954" t="str">
        <f>"C330013J21Rik"</f>
        <v>C330013J21Rik</v>
      </c>
      <c r="B2954" t="s">
        <v>2235</v>
      </c>
      <c r="C2954" t="s">
        <v>26</v>
      </c>
      <c r="D2954" t="s">
        <v>11</v>
      </c>
      <c r="E2954" t="s">
        <v>20</v>
      </c>
      <c r="F2954">
        <v>177925612</v>
      </c>
      <c r="G2954">
        <v>177925612</v>
      </c>
      <c r="H2954">
        <v>177925612</v>
      </c>
      <c r="I2954">
        <v>177925612</v>
      </c>
    </row>
    <row r="2955" spans="1:9" x14ac:dyDescent="0.2">
      <c r="A2955" t="str">
        <f>"C330018D20Rik"</f>
        <v>C330018D20Rik</v>
      </c>
      <c r="B2955" t="s">
        <v>14</v>
      </c>
      <c r="C2955" t="s">
        <v>43</v>
      </c>
      <c r="D2955" t="s">
        <v>11</v>
      </c>
      <c r="E2955" t="s">
        <v>12</v>
      </c>
      <c r="F2955">
        <v>56975333</v>
      </c>
      <c r="G2955">
        <v>56975376</v>
      </c>
      <c r="H2955">
        <v>56975325</v>
      </c>
      <c r="I2955">
        <v>56975328</v>
      </c>
    </row>
    <row r="2956" spans="1:9" x14ac:dyDescent="0.2">
      <c r="A2956" t="str">
        <f>"C330021F23Rik"</f>
        <v>C330021F23Rik</v>
      </c>
      <c r="B2956" t="s">
        <v>14</v>
      </c>
      <c r="C2956" t="s">
        <v>30</v>
      </c>
      <c r="D2956" t="s">
        <v>17</v>
      </c>
      <c r="E2956" t="s">
        <v>12</v>
      </c>
      <c r="F2956">
        <v>3567958</v>
      </c>
      <c r="G2956">
        <v>3568006</v>
      </c>
      <c r="H2956">
        <v>3567958</v>
      </c>
      <c r="I2956">
        <v>3568006</v>
      </c>
    </row>
    <row r="2957" spans="1:9" x14ac:dyDescent="0.2">
      <c r="A2957" t="str">
        <f>"C330027C09Rik"</f>
        <v>C330027C09Rik</v>
      </c>
      <c r="B2957" t="s">
        <v>14</v>
      </c>
      <c r="C2957" t="s">
        <v>31</v>
      </c>
      <c r="D2957" t="s">
        <v>17</v>
      </c>
      <c r="E2957" t="s">
        <v>12</v>
      </c>
      <c r="F2957">
        <v>48994197</v>
      </c>
      <c r="G2957">
        <v>48994239</v>
      </c>
      <c r="H2957">
        <v>48994253</v>
      </c>
      <c r="I2957">
        <v>48994258</v>
      </c>
    </row>
    <row r="2958" spans="1:9" x14ac:dyDescent="0.2">
      <c r="A2958" t="str">
        <f>"C3ar1"</f>
        <v>C3ar1</v>
      </c>
      <c r="B2958" t="s">
        <v>14</v>
      </c>
      <c r="C2958" t="s">
        <v>32</v>
      </c>
      <c r="D2958" t="s">
        <v>11</v>
      </c>
      <c r="E2958" t="s">
        <v>12</v>
      </c>
      <c r="F2958">
        <v>122856068</v>
      </c>
      <c r="G2958">
        <v>122856089</v>
      </c>
      <c r="H2958">
        <v>122856022</v>
      </c>
      <c r="I2958">
        <v>122856058</v>
      </c>
    </row>
    <row r="2959" spans="1:9" x14ac:dyDescent="0.2">
      <c r="A2959" t="str">
        <f>"C4b"</f>
        <v>C4b</v>
      </c>
      <c r="B2959" t="s">
        <v>14</v>
      </c>
      <c r="C2959" t="s">
        <v>28</v>
      </c>
      <c r="D2959" t="s">
        <v>11</v>
      </c>
      <c r="E2959" t="s">
        <v>12</v>
      </c>
      <c r="F2959">
        <v>34743849</v>
      </c>
      <c r="G2959">
        <v>34743890</v>
      </c>
      <c r="H2959">
        <v>34743849</v>
      </c>
      <c r="I2959">
        <v>34743890</v>
      </c>
    </row>
    <row r="2960" spans="1:9" x14ac:dyDescent="0.2">
      <c r="A2960" t="str">
        <f>"C4bp"</f>
        <v>C4bp</v>
      </c>
      <c r="B2960" t="s">
        <v>14</v>
      </c>
      <c r="C2960" t="s">
        <v>19</v>
      </c>
      <c r="D2960" t="s">
        <v>11</v>
      </c>
      <c r="E2960" t="s">
        <v>12</v>
      </c>
      <c r="F2960">
        <v>130661613</v>
      </c>
      <c r="G2960">
        <v>130661637</v>
      </c>
      <c r="H2960">
        <v>130661491</v>
      </c>
      <c r="I2960">
        <v>130661511</v>
      </c>
    </row>
    <row r="2961" spans="1:9" x14ac:dyDescent="0.2">
      <c r="A2961" t="str">
        <f>"C530008M17Rik"</f>
        <v>C530008M17Rik</v>
      </c>
      <c r="B2961" t="s">
        <v>2236</v>
      </c>
      <c r="C2961" t="s">
        <v>46</v>
      </c>
      <c r="D2961" t="s">
        <v>17</v>
      </c>
      <c r="E2961" t="s">
        <v>20</v>
      </c>
      <c r="F2961">
        <v>76840598</v>
      </c>
      <c r="G2961">
        <v>76840598</v>
      </c>
      <c r="H2961">
        <v>76840598</v>
      </c>
      <c r="I2961">
        <v>76840598</v>
      </c>
    </row>
    <row r="2962" spans="1:9" x14ac:dyDescent="0.2">
      <c r="A2962" t="str">
        <f>"C530008M17Rik"</f>
        <v>C530008M17Rik</v>
      </c>
      <c r="B2962" t="s">
        <v>2237</v>
      </c>
      <c r="C2962" t="s">
        <v>46</v>
      </c>
      <c r="D2962" t="s">
        <v>17</v>
      </c>
      <c r="E2962" t="s">
        <v>20</v>
      </c>
      <c r="F2962">
        <v>76752367</v>
      </c>
      <c r="G2962">
        <v>76752367</v>
      </c>
      <c r="H2962">
        <v>76752367</v>
      </c>
      <c r="I2962">
        <v>76752367</v>
      </c>
    </row>
    <row r="2963" spans="1:9" x14ac:dyDescent="0.2">
      <c r="A2963" t="str">
        <f>"C530025M09Rik"</f>
        <v>C530025M09Rik</v>
      </c>
      <c r="B2963" t="s">
        <v>2238</v>
      </c>
      <c r="C2963" t="s">
        <v>26</v>
      </c>
      <c r="D2963" t="s">
        <v>11</v>
      </c>
      <c r="E2963" t="s">
        <v>20</v>
      </c>
      <c r="F2963">
        <v>149831212</v>
      </c>
      <c r="G2963">
        <v>149831212</v>
      </c>
      <c r="H2963">
        <v>149831212</v>
      </c>
      <c r="I2963">
        <v>149831212</v>
      </c>
    </row>
    <row r="2964" spans="1:9" x14ac:dyDescent="0.2">
      <c r="A2964" t="str">
        <f>"C5ar1"</f>
        <v>C5ar1</v>
      </c>
      <c r="B2964" t="s">
        <v>14</v>
      </c>
      <c r="C2964" t="s">
        <v>33</v>
      </c>
      <c r="D2964" t="s">
        <v>11</v>
      </c>
      <c r="E2964" t="s">
        <v>12</v>
      </c>
      <c r="F2964">
        <v>16259185</v>
      </c>
      <c r="G2964">
        <v>16259201</v>
      </c>
      <c r="H2964">
        <v>16259185</v>
      </c>
      <c r="I2964">
        <v>16259201</v>
      </c>
    </row>
    <row r="2965" spans="1:9" x14ac:dyDescent="0.2">
      <c r="A2965" t="str">
        <f>"C5ar2"</f>
        <v>C5ar2</v>
      </c>
      <c r="B2965" t="s">
        <v>14</v>
      </c>
      <c r="C2965" t="s">
        <v>33</v>
      </c>
      <c r="D2965" t="s">
        <v>11</v>
      </c>
      <c r="E2965" t="s">
        <v>67</v>
      </c>
      <c r="F2965">
        <v>16244152</v>
      </c>
      <c r="G2965">
        <v>16244196</v>
      </c>
      <c r="H2965">
        <v>16244223</v>
      </c>
      <c r="I2965">
        <v>16244224</v>
      </c>
    </row>
    <row r="2966" spans="1:9" x14ac:dyDescent="0.2">
      <c r="A2966" t="str">
        <f>"C6"</f>
        <v>C6</v>
      </c>
      <c r="B2966" t="s">
        <v>14</v>
      </c>
      <c r="C2966" t="s">
        <v>25</v>
      </c>
      <c r="D2966" t="s">
        <v>17</v>
      </c>
      <c r="E2966" t="s">
        <v>12</v>
      </c>
      <c r="F2966">
        <v>4727202</v>
      </c>
      <c r="G2966">
        <v>4727230</v>
      </c>
      <c r="H2966">
        <v>4727175</v>
      </c>
      <c r="I2966">
        <v>4727201</v>
      </c>
    </row>
    <row r="2967" spans="1:9" x14ac:dyDescent="0.2">
      <c r="A2967" t="str">
        <f>"C630004L07Rik"</f>
        <v>C630004L07Rik</v>
      </c>
      <c r="B2967" t="s">
        <v>14</v>
      </c>
      <c r="C2967" t="s">
        <v>23</v>
      </c>
      <c r="D2967" t="s">
        <v>11</v>
      </c>
      <c r="E2967" t="s">
        <v>67</v>
      </c>
      <c r="F2967">
        <v>141239449</v>
      </c>
      <c r="G2967">
        <v>141239465</v>
      </c>
      <c r="H2967">
        <v>141239449</v>
      </c>
      <c r="I2967">
        <v>141239465</v>
      </c>
    </row>
    <row r="2968" spans="1:9" x14ac:dyDescent="0.2">
      <c r="A2968" t="str">
        <f>"C630004M23Rik"</f>
        <v>C630004M23Rik</v>
      </c>
      <c r="B2968" t="s">
        <v>2239</v>
      </c>
      <c r="C2968" t="s">
        <v>26</v>
      </c>
      <c r="D2968" t="s">
        <v>17</v>
      </c>
      <c r="E2968" t="s">
        <v>20</v>
      </c>
      <c r="F2968">
        <v>10047837</v>
      </c>
      <c r="G2968">
        <v>10047837</v>
      </c>
      <c r="H2968">
        <v>10047837</v>
      </c>
      <c r="I2968">
        <v>10047837</v>
      </c>
    </row>
    <row r="2969" spans="1:9" x14ac:dyDescent="0.2">
      <c r="A2969" t="str">
        <f>"C630050I24Rik"</f>
        <v>C630050I24Rik</v>
      </c>
      <c r="B2969" t="s">
        <v>2240</v>
      </c>
      <c r="C2969" t="s">
        <v>30</v>
      </c>
      <c r="D2969" t="s">
        <v>17</v>
      </c>
      <c r="E2969" t="s">
        <v>20</v>
      </c>
      <c r="F2969">
        <v>107119109</v>
      </c>
      <c r="G2969">
        <v>107119109</v>
      </c>
      <c r="H2969">
        <v>107119109</v>
      </c>
      <c r="I2969">
        <v>107119109</v>
      </c>
    </row>
    <row r="2970" spans="1:9" x14ac:dyDescent="0.2">
      <c r="A2970" t="str">
        <f>"C7"</f>
        <v>C7</v>
      </c>
      <c r="B2970" t="s">
        <v>14</v>
      </c>
      <c r="C2970" t="s">
        <v>25</v>
      </c>
      <c r="D2970" t="s">
        <v>11</v>
      </c>
      <c r="E2970" t="s">
        <v>67</v>
      </c>
      <c r="F2970">
        <v>5063741</v>
      </c>
      <c r="G2970">
        <v>5063758</v>
      </c>
      <c r="H2970">
        <v>5063741</v>
      </c>
      <c r="I2970">
        <v>5063758</v>
      </c>
    </row>
    <row r="2971" spans="1:9" x14ac:dyDescent="0.2">
      <c r="A2971" t="str">
        <f>"C730034F03Rik"</f>
        <v>C730034F03Rik</v>
      </c>
      <c r="B2971" t="s">
        <v>14</v>
      </c>
      <c r="C2971" t="s">
        <v>25</v>
      </c>
      <c r="D2971" t="s">
        <v>17</v>
      </c>
      <c r="E2971" t="s">
        <v>67</v>
      </c>
      <c r="F2971">
        <v>89429496</v>
      </c>
      <c r="G2971">
        <v>89429538</v>
      </c>
      <c r="H2971">
        <v>89429560</v>
      </c>
      <c r="I2971">
        <v>89429579</v>
      </c>
    </row>
    <row r="2972" spans="1:9" x14ac:dyDescent="0.2">
      <c r="A2972" t="str">
        <f>"C77080"</f>
        <v>C77080</v>
      </c>
      <c r="B2972" t="s">
        <v>9</v>
      </c>
      <c r="C2972" t="s">
        <v>23</v>
      </c>
      <c r="D2972" t="s">
        <v>11</v>
      </c>
      <c r="E2972" t="s">
        <v>12</v>
      </c>
      <c r="F2972">
        <v>129248431</v>
      </c>
      <c r="G2972">
        <v>129248498</v>
      </c>
      <c r="H2972">
        <v>129248431</v>
      </c>
      <c r="I2972">
        <v>129248498</v>
      </c>
    </row>
    <row r="2973" spans="1:9" x14ac:dyDescent="0.2">
      <c r="A2973" t="str">
        <f>"C77080"</f>
        <v>C77080</v>
      </c>
      <c r="B2973" t="s">
        <v>13</v>
      </c>
      <c r="C2973" t="s">
        <v>23</v>
      </c>
      <c r="D2973" t="s">
        <v>11</v>
      </c>
      <c r="E2973" t="s">
        <v>12</v>
      </c>
      <c r="F2973">
        <v>129239165</v>
      </c>
      <c r="G2973">
        <v>129239194</v>
      </c>
      <c r="H2973">
        <v>129239165</v>
      </c>
      <c r="I2973">
        <v>129239194</v>
      </c>
    </row>
    <row r="2974" spans="1:9" x14ac:dyDescent="0.2">
      <c r="A2974" t="str">
        <f>"C77370"</f>
        <v>C77370</v>
      </c>
      <c r="B2974" t="s">
        <v>14</v>
      </c>
      <c r="C2974" t="s">
        <v>37</v>
      </c>
      <c r="D2974" t="s">
        <v>11</v>
      </c>
      <c r="E2974" t="s">
        <v>12</v>
      </c>
      <c r="F2974">
        <v>104201126</v>
      </c>
      <c r="G2974">
        <v>104201166</v>
      </c>
      <c r="H2974">
        <v>104201099</v>
      </c>
      <c r="I2974">
        <v>104201117</v>
      </c>
    </row>
    <row r="2975" spans="1:9" x14ac:dyDescent="0.2">
      <c r="A2975" t="str">
        <f>"C78339"</f>
        <v>C78339</v>
      </c>
      <c r="B2975" t="s">
        <v>14</v>
      </c>
      <c r="C2975" t="s">
        <v>39</v>
      </c>
      <c r="D2975" t="s">
        <v>17</v>
      </c>
      <c r="E2975" t="s">
        <v>12</v>
      </c>
      <c r="F2975">
        <v>46669445</v>
      </c>
      <c r="G2975">
        <v>46669501</v>
      </c>
      <c r="H2975">
        <v>46669517</v>
      </c>
      <c r="I2975">
        <v>46669545</v>
      </c>
    </row>
    <row r="2976" spans="1:9" x14ac:dyDescent="0.2">
      <c r="A2976" t="str">
        <f>"C86695"</f>
        <v>C86695</v>
      </c>
      <c r="B2976" t="s">
        <v>2241</v>
      </c>
      <c r="C2976" t="s">
        <v>30</v>
      </c>
      <c r="D2976" t="s">
        <v>17</v>
      </c>
      <c r="E2976" t="s">
        <v>20</v>
      </c>
      <c r="F2976">
        <v>21958713</v>
      </c>
      <c r="G2976">
        <v>21958713</v>
      </c>
      <c r="H2976">
        <v>21958713</v>
      </c>
      <c r="I2976">
        <v>21958713</v>
      </c>
    </row>
    <row r="2977" spans="1:9" x14ac:dyDescent="0.2">
      <c r="A2977" t="str">
        <f>"C87414"</f>
        <v>C87414</v>
      </c>
      <c r="B2977" t="s">
        <v>2242</v>
      </c>
      <c r="C2977" t="s">
        <v>46</v>
      </c>
      <c r="D2977" t="s">
        <v>11</v>
      </c>
      <c r="E2977" t="s">
        <v>20</v>
      </c>
      <c r="F2977">
        <v>93671476</v>
      </c>
      <c r="G2977">
        <v>93671476</v>
      </c>
      <c r="H2977">
        <v>93671476</v>
      </c>
      <c r="I2977">
        <v>93671476</v>
      </c>
    </row>
    <row r="2978" spans="1:9" x14ac:dyDescent="0.2">
      <c r="A2978" t="str">
        <f>"C87436"</f>
        <v>C87436</v>
      </c>
      <c r="B2978" t="s">
        <v>14</v>
      </c>
      <c r="C2978" t="s">
        <v>32</v>
      </c>
      <c r="D2978" t="s">
        <v>17</v>
      </c>
      <c r="E2978" t="s">
        <v>12</v>
      </c>
      <c r="F2978">
        <v>86438666</v>
      </c>
      <c r="G2978">
        <v>86438713</v>
      </c>
      <c r="H2978">
        <v>86438360</v>
      </c>
      <c r="I2978">
        <v>86438405</v>
      </c>
    </row>
    <row r="2979" spans="1:9" x14ac:dyDescent="0.2">
      <c r="A2979" t="str">
        <f>"C87499"</f>
        <v>C87499</v>
      </c>
      <c r="B2979" t="s">
        <v>14</v>
      </c>
      <c r="C2979" t="s">
        <v>23</v>
      </c>
      <c r="D2979" t="s">
        <v>11</v>
      </c>
      <c r="E2979" t="s">
        <v>12</v>
      </c>
      <c r="F2979">
        <v>88634184</v>
      </c>
      <c r="G2979">
        <v>88634188</v>
      </c>
      <c r="H2979">
        <v>88634184</v>
      </c>
      <c r="I2979">
        <v>88634188</v>
      </c>
    </row>
    <row r="2980" spans="1:9" x14ac:dyDescent="0.2">
      <c r="A2980" t="str">
        <f>"C87977"</f>
        <v>C87977</v>
      </c>
      <c r="B2980" t="s">
        <v>2243</v>
      </c>
      <c r="C2980" t="s">
        <v>23</v>
      </c>
      <c r="D2980" t="s">
        <v>11</v>
      </c>
      <c r="E2980" t="s">
        <v>20</v>
      </c>
      <c r="F2980">
        <v>144213089</v>
      </c>
      <c r="G2980">
        <v>144213089</v>
      </c>
      <c r="H2980">
        <v>144213089</v>
      </c>
      <c r="I2980">
        <v>144213089</v>
      </c>
    </row>
    <row r="2981" spans="1:9" x14ac:dyDescent="0.2">
      <c r="A2981" t="str">
        <f>"C8a"</f>
        <v>C8a</v>
      </c>
      <c r="B2981" t="s">
        <v>14</v>
      </c>
      <c r="C2981" t="s">
        <v>23</v>
      </c>
      <c r="D2981" t="s">
        <v>11</v>
      </c>
      <c r="E2981" t="s">
        <v>12</v>
      </c>
      <c r="F2981">
        <v>104876388</v>
      </c>
      <c r="G2981">
        <v>104876405</v>
      </c>
      <c r="H2981">
        <v>104876441</v>
      </c>
      <c r="I2981">
        <v>104876463</v>
      </c>
    </row>
    <row r="2982" spans="1:9" x14ac:dyDescent="0.2">
      <c r="A2982" t="str">
        <f>"C8b"</f>
        <v>C8b</v>
      </c>
      <c r="B2982" t="s">
        <v>14</v>
      </c>
      <c r="C2982" t="s">
        <v>23</v>
      </c>
      <c r="D2982" t="s">
        <v>17</v>
      </c>
      <c r="E2982" t="s">
        <v>12</v>
      </c>
      <c r="F2982">
        <v>104766334</v>
      </c>
      <c r="G2982">
        <v>104766389</v>
      </c>
      <c r="H2982">
        <v>104766334</v>
      </c>
      <c r="I2982">
        <v>104766389</v>
      </c>
    </row>
    <row r="2983" spans="1:9" x14ac:dyDescent="0.2">
      <c r="A2983" t="str">
        <f>"C8g"</f>
        <v>C8g</v>
      </c>
      <c r="B2983" t="s">
        <v>14</v>
      </c>
      <c r="C2983" t="s">
        <v>26</v>
      </c>
      <c r="D2983" t="s">
        <v>11</v>
      </c>
      <c r="E2983" t="s">
        <v>12</v>
      </c>
      <c r="F2983">
        <v>25500237</v>
      </c>
      <c r="G2983">
        <v>25500277</v>
      </c>
      <c r="H2983">
        <v>25500279</v>
      </c>
      <c r="I2983">
        <v>25500290</v>
      </c>
    </row>
    <row r="2984" spans="1:9" x14ac:dyDescent="0.2">
      <c r="A2984" t="str">
        <f>"C9"</f>
        <v>C9</v>
      </c>
      <c r="B2984" t="s">
        <v>14</v>
      </c>
      <c r="C2984" t="s">
        <v>25</v>
      </c>
      <c r="D2984" t="s">
        <v>17</v>
      </c>
      <c r="E2984" t="s">
        <v>12</v>
      </c>
      <c r="F2984">
        <v>6445320</v>
      </c>
      <c r="G2984">
        <v>6445353</v>
      </c>
      <c r="H2984">
        <v>6445363</v>
      </c>
      <c r="I2984">
        <v>6445376</v>
      </c>
    </row>
    <row r="2985" spans="1:9" x14ac:dyDescent="0.2">
      <c r="A2985" t="str">
        <f>"C920021L13Rik"</f>
        <v>C920021L13Rik</v>
      </c>
      <c r="B2985" t="s">
        <v>14</v>
      </c>
      <c r="C2985" t="s">
        <v>22</v>
      </c>
      <c r="D2985" t="s">
        <v>17</v>
      </c>
      <c r="E2985" t="s">
        <v>12</v>
      </c>
      <c r="F2985">
        <v>95871519</v>
      </c>
      <c r="G2985">
        <v>95871580</v>
      </c>
      <c r="H2985">
        <v>95871513</v>
      </c>
      <c r="I2985">
        <v>95871516</v>
      </c>
    </row>
    <row r="2986" spans="1:9" x14ac:dyDescent="0.2">
      <c r="A2986" t="str">
        <f>"CALM5"</f>
        <v>CALM5</v>
      </c>
      <c r="B2986" t="s">
        <v>2244</v>
      </c>
      <c r="C2986" t="s">
        <v>39</v>
      </c>
      <c r="D2986" t="s">
        <v>17</v>
      </c>
      <c r="E2986" t="s">
        <v>20</v>
      </c>
      <c r="F2986">
        <v>3854267</v>
      </c>
      <c r="G2986">
        <v>3854267</v>
      </c>
      <c r="H2986">
        <v>3854267</v>
      </c>
      <c r="I2986">
        <v>3854267</v>
      </c>
    </row>
    <row r="2987" spans="1:9" x14ac:dyDescent="0.2">
      <c r="A2987" t="str">
        <f>"CK137956"</f>
        <v>CK137956</v>
      </c>
      <c r="B2987" t="s">
        <v>14</v>
      </c>
      <c r="C2987" t="s">
        <v>23</v>
      </c>
      <c r="D2987" t="s">
        <v>11</v>
      </c>
      <c r="E2987" t="s">
        <v>12</v>
      </c>
      <c r="F2987">
        <v>127971046</v>
      </c>
      <c r="G2987">
        <v>127971071</v>
      </c>
      <c r="H2987">
        <v>127971015</v>
      </c>
      <c r="I2987">
        <v>127971018</v>
      </c>
    </row>
    <row r="2988" spans="1:9" x14ac:dyDescent="0.2">
      <c r="A2988" t="str">
        <f>"CN725425"</f>
        <v>CN725425</v>
      </c>
      <c r="B2988" t="s">
        <v>2245</v>
      </c>
      <c r="C2988" t="s">
        <v>25</v>
      </c>
      <c r="D2988" t="s">
        <v>17</v>
      </c>
      <c r="E2988" t="s">
        <v>20</v>
      </c>
      <c r="F2988">
        <v>91231577</v>
      </c>
      <c r="G2988">
        <v>91231577</v>
      </c>
      <c r="H2988">
        <v>91231577</v>
      </c>
      <c r="I2988">
        <v>91231577</v>
      </c>
    </row>
    <row r="2989" spans="1:9" x14ac:dyDescent="0.2">
      <c r="A2989" t="str">
        <f>"Caap1"</f>
        <v>Caap1</v>
      </c>
      <c r="B2989" t="s">
        <v>14</v>
      </c>
      <c r="C2989" t="s">
        <v>23</v>
      </c>
      <c r="D2989" t="s">
        <v>11</v>
      </c>
      <c r="E2989" t="s">
        <v>67</v>
      </c>
      <c r="F2989">
        <v>94556737</v>
      </c>
      <c r="G2989">
        <v>94556802</v>
      </c>
      <c r="H2989">
        <v>94556737</v>
      </c>
      <c r="I2989">
        <v>94556802</v>
      </c>
    </row>
    <row r="2990" spans="1:9" x14ac:dyDescent="0.2">
      <c r="A2990" t="str">
        <f>"Cab39"</f>
        <v>Cab39</v>
      </c>
      <c r="B2990" t="s">
        <v>14</v>
      </c>
      <c r="C2990" t="s">
        <v>19</v>
      </c>
      <c r="D2990" t="s">
        <v>17</v>
      </c>
      <c r="E2990" t="s">
        <v>12</v>
      </c>
      <c r="F2990">
        <v>85793411</v>
      </c>
      <c r="G2990">
        <v>85793517</v>
      </c>
      <c r="H2990">
        <v>85793651</v>
      </c>
      <c r="I2990">
        <v>85793689</v>
      </c>
    </row>
    <row r="2991" spans="1:9" x14ac:dyDescent="0.2">
      <c r="A2991" t="str">
        <f>"Cab39l"</f>
        <v>Cab39l</v>
      </c>
      <c r="B2991" t="s">
        <v>14</v>
      </c>
      <c r="C2991" t="s">
        <v>41</v>
      </c>
      <c r="D2991" t="s">
        <v>17</v>
      </c>
      <c r="E2991" t="s">
        <v>12</v>
      </c>
      <c r="F2991">
        <v>59440947</v>
      </c>
      <c r="G2991">
        <v>59440996</v>
      </c>
      <c r="H2991">
        <v>59440947</v>
      </c>
      <c r="I2991">
        <v>59440996</v>
      </c>
    </row>
    <row r="2992" spans="1:9" x14ac:dyDescent="0.2">
      <c r="A2992" t="str">
        <f>"Cabin1"</f>
        <v>Cabin1</v>
      </c>
      <c r="B2992" t="s">
        <v>14</v>
      </c>
      <c r="C2992" t="s">
        <v>15</v>
      </c>
      <c r="D2992" t="s">
        <v>11</v>
      </c>
      <c r="E2992" t="s">
        <v>12</v>
      </c>
      <c r="F2992">
        <v>75764265</v>
      </c>
      <c r="G2992">
        <v>75764359</v>
      </c>
      <c r="H2992">
        <v>75764182</v>
      </c>
      <c r="I2992">
        <v>75764238</v>
      </c>
    </row>
    <row r="2993" spans="1:9" x14ac:dyDescent="0.2">
      <c r="A2993" t="str">
        <f>"Cables1"</f>
        <v>Cables1</v>
      </c>
      <c r="B2993" t="s">
        <v>14</v>
      </c>
      <c r="C2993" t="s">
        <v>43</v>
      </c>
      <c r="D2993" t="s">
        <v>17</v>
      </c>
      <c r="E2993" t="s">
        <v>12</v>
      </c>
      <c r="F2993">
        <v>11839416</v>
      </c>
      <c r="G2993">
        <v>11839475</v>
      </c>
      <c r="H2993">
        <v>11839416</v>
      </c>
      <c r="I2993">
        <v>11839475</v>
      </c>
    </row>
    <row r="2994" spans="1:9" x14ac:dyDescent="0.2">
      <c r="A2994" t="str">
        <f>"Cables2"</f>
        <v>Cables2</v>
      </c>
      <c r="B2994" t="s">
        <v>14</v>
      </c>
      <c r="C2994" t="s">
        <v>26</v>
      </c>
      <c r="D2994" t="s">
        <v>11</v>
      </c>
      <c r="E2994" t="s">
        <v>12</v>
      </c>
      <c r="F2994">
        <v>180273443</v>
      </c>
      <c r="G2994">
        <v>180273478</v>
      </c>
      <c r="H2994">
        <v>180273374</v>
      </c>
      <c r="I2994">
        <v>180273414</v>
      </c>
    </row>
    <row r="2995" spans="1:9" x14ac:dyDescent="0.2">
      <c r="A2995" t="str">
        <f>"Cabp1"</f>
        <v>Cabp1</v>
      </c>
      <c r="B2995" t="s">
        <v>14</v>
      </c>
      <c r="C2995" t="s">
        <v>46</v>
      </c>
      <c r="D2995" t="s">
        <v>11</v>
      </c>
      <c r="E2995" t="s">
        <v>12</v>
      </c>
      <c r="F2995">
        <v>115194283</v>
      </c>
      <c r="G2995">
        <v>115194327</v>
      </c>
      <c r="H2995">
        <v>115194258</v>
      </c>
      <c r="I2995">
        <v>115194274</v>
      </c>
    </row>
    <row r="2996" spans="1:9" x14ac:dyDescent="0.2">
      <c r="A2996" t="str">
        <f>"Cabp2"</f>
        <v>Cabp2</v>
      </c>
      <c r="B2996" t="s">
        <v>14</v>
      </c>
      <c r="C2996" t="s">
        <v>10</v>
      </c>
      <c r="D2996" t="s">
        <v>17</v>
      </c>
      <c r="E2996" t="s">
        <v>12</v>
      </c>
      <c r="F2996">
        <v>4082473</v>
      </c>
      <c r="G2996">
        <v>4082517</v>
      </c>
      <c r="H2996">
        <v>4082518</v>
      </c>
      <c r="I2996">
        <v>4082533</v>
      </c>
    </row>
    <row r="2997" spans="1:9" x14ac:dyDescent="0.2">
      <c r="A2997" t="str">
        <f>"Cabp4"</f>
        <v>Cabp4</v>
      </c>
      <c r="B2997" t="s">
        <v>14</v>
      </c>
      <c r="C2997" t="s">
        <v>10</v>
      </c>
      <c r="D2997" t="s">
        <v>11</v>
      </c>
      <c r="E2997" t="s">
        <v>12</v>
      </c>
      <c r="F2997">
        <v>4139562</v>
      </c>
      <c r="G2997">
        <v>4139580</v>
      </c>
      <c r="H2997">
        <v>4139605</v>
      </c>
      <c r="I2997">
        <v>4139613</v>
      </c>
    </row>
    <row r="2998" spans="1:9" x14ac:dyDescent="0.2">
      <c r="A2998" t="str">
        <f>"Cabp5"</f>
        <v>Cabp5</v>
      </c>
      <c r="B2998" t="s">
        <v>14</v>
      </c>
      <c r="C2998" t="s">
        <v>33</v>
      </c>
      <c r="D2998" t="s">
        <v>17</v>
      </c>
      <c r="E2998" t="s">
        <v>12</v>
      </c>
      <c r="F2998">
        <v>13398115</v>
      </c>
      <c r="G2998">
        <v>13398127</v>
      </c>
      <c r="H2998">
        <v>13398150</v>
      </c>
      <c r="I2998">
        <v>13398168</v>
      </c>
    </row>
    <row r="2999" spans="1:9" x14ac:dyDescent="0.2">
      <c r="A2999" t="str">
        <f>"Cabp7"</f>
        <v>Cabp7</v>
      </c>
      <c r="B2999" t="s">
        <v>14</v>
      </c>
      <c r="C2999" t="s">
        <v>27</v>
      </c>
      <c r="D2999" t="s">
        <v>11</v>
      </c>
      <c r="E2999" t="s">
        <v>12</v>
      </c>
      <c r="F2999">
        <v>4747152</v>
      </c>
      <c r="G2999">
        <v>4747188</v>
      </c>
      <c r="H2999">
        <v>4747152</v>
      </c>
      <c r="I2999">
        <v>4747188</v>
      </c>
    </row>
    <row r="3000" spans="1:9" x14ac:dyDescent="0.2">
      <c r="A3000" t="str">
        <f>"Cabs1"</f>
        <v>Cabs1</v>
      </c>
      <c r="B3000" t="s">
        <v>14</v>
      </c>
      <c r="C3000" t="s">
        <v>46</v>
      </c>
      <c r="D3000" t="s">
        <v>17</v>
      </c>
      <c r="E3000" t="s">
        <v>67</v>
      </c>
      <c r="F3000">
        <v>87979432</v>
      </c>
      <c r="G3000">
        <v>87979458</v>
      </c>
      <c r="H3000">
        <v>87979470</v>
      </c>
      <c r="I3000">
        <v>87979477</v>
      </c>
    </row>
    <row r="3001" spans="1:9" x14ac:dyDescent="0.2">
      <c r="A3001" t="str">
        <f>"Cabyr"</f>
        <v>Cabyr</v>
      </c>
      <c r="B3001" t="s">
        <v>14</v>
      </c>
      <c r="C3001" t="s">
        <v>43</v>
      </c>
      <c r="D3001" t="s">
        <v>17</v>
      </c>
      <c r="E3001" t="s">
        <v>12</v>
      </c>
      <c r="F3001">
        <v>12741339</v>
      </c>
      <c r="G3001">
        <v>12741355</v>
      </c>
      <c r="H3001">
        <v>12741339</v>
      </c>
      <c r="I3001">
        <v>12741355</v>
      </c>
    </row>
    <row r="3002" spans="1:9" x14ac:dyDescent="0.2">
      <c r="A3002" t="str">
        <f>"Cacfd1"</f>
        <v>Cacfd1</v>
      </c>
      <c r="B3002" t="s">
        <v>14</v>
      </c>
      <c r="C3002" t="s">
        <v>26</v>
      </c>
      <c r="D3002" t="s">
        <v>17</v>
      </c>
      <c r="E3002" t="s">
        <v>67</v>
      </c>
      <c r="F3002">
        <v>27009936</v>
      </c>
      <c r="G3002">
        <v>27009993</v>
      </c>
      <c r="H3002">
        <v>27009909</v>
      </c>
      <c r="I3002">
        <v>27009920</v>
      </c>
    </row>
    <row r="3003" spans="1:9" x14ac:dyDescent="0.2">
      <c r="A3003" t="str">
        <f>"Cachd1"</f>
        <v>Cachd1</v>
      </c>
      <c r="B3003" t="s">
        <v>14</v>
      </c>
      <c r="C3003" t="s">
        <v>23</v>
      </c>
      <c r="D3003" t="s">
        <v>17</v>
      </c>
      <c r="E3003" t="s">
        <v>12</v>
      </c>
      <c r="F3003">
        <v>100776664</v>
      </c>
      <c r="G3003">
        <v>100776692</v>
      </c>
      <c r="H3003">
        <v>100776641</v>
      </c>
      <c r="I3003">
        <v>100776656</v>
      </c>
    </row>
    <row r="3004" spans="1:9" x14ac:dyDescent="0.2">
      <c r="A3004" t="str">
        <f>"Cacna1a"</f>
        <v>Cacna1a</v>
      </c>
      <c r="B3004" t="s">
        <v>2246</v>
      </c>
      <c r="C3004" t="s">
        <v>30</v>
      </c>
      <c r="D3004" t="s">
        <v>17</v>
      </c>
      <c r="E3004" t="s">
        <v>35</v>
      </c>
      <c r="F3004">
        <v>84415341</v>
      </c>
      <c r="G3004">
        <v>84415344</v>
      </c>
      <c r="H3004">
        <v>84415555</v>
      </c>
      <c r="I3004">
        <v>84415584</v>
      </c>
    </row>
    <row r="3005" spans="1:9" x14ac:dyDescent="0.2">
      <c r="A3005" t="str">
        <f>"Cacna1b"</f>
        <v>Cacna1b</v>
      </c>
      <c r="B3005" t="s">
        <v>14</v>
      </c>
      <c r="C3005" t="s">
        <v>26</v>
      </c>
      <c r="D3005" t="s">
        <v>11</v>
      </c>
      <c r="E3005" t="s">
        <v>12</v>
      </c>
      <c r="F3005">
        <v>24763156</v>
      </c>
      <c r="G3005">
        <v>24763178</v>
      </c>
      <c r="H3005">
        <v>24763136</v>
      </c>
      <c r="I3005">
        <v>24763153</v>
      </c>
    </row>
    <row r="3006" spans="1:9" x14ac:dyDescent="0.2">
      <c r="A3006" t="str">
        <f>"Cacna1c"</f>
        <v>Cacna1c</v>
      </c>
      <c r="B3006" t="s">
        <v>2247</v>
      </c>
      <c r="C3006" t="s">
        <v>32</v>
      </c>
      <c r="D3006" t="s">
        <v>11</v>
      </c>
      <c r="E3006" t="s">
        <v>20</v>
      </c>
      <c r="F3006">
        <v>118757973</v>
      </c>
      <c r="G3006">
        <v>118757973</v>
      </c>
      <c r="H3006">
        <v>118757973</v>
      </c>
      <c r="I3006">
        <v>118757973</v>
      </c>
    </row>
    <row r="3007" spans="1:9" x14ac:dyDescent="0.2">
      <c r="A3007" t="str">
        <f>"Cacna1d"</f>
        <v>Cacna1d</v>
      </c>
      <c r="B3007" t="s">
        <v>14</v>
      </c>
      <c r="C3007" t="s">
        <v>41</v>
      </c>
      <c r="D3007" t="s">
        <v>11</v>
      </c>
      <c r="E3007" t="s">
        <v>12</v>
      </c>
      <c r="F3007">
        <v>30353468</v>
      </c>
      <c r="G3007">
        <v>30353535</v>
      </c>
      <c r="H3007">
        <v>30353714</v>
      </c>
      <c r="I3007">
        <v>30353767</v>
      </c>
    </row>
    <row r="3008" spans="1:9" x14ac:dyDescent="0.2">
      <c r="A3008" t="str">
        <f>"Cacna1e"</f>
        <v>Cacna1e</v>
      </c>
      <c r="B3008" t="s">
        <v>14</v>
      </c>
      <c r="C3008" t="s">
        <v>19</v>
      </c>
      <c r="D3008" t="s">
        <v>11</v>
      </c>
      <c r="E3008" t="s">
        <v>12</v>
      </c>
      <c r="F3008">
        <v>154725976</v>
      </c>
      <c r="G3008">
        <v>154726009</v>
      </c>
      <c r="H3008">
        <v>154725976</v>
      </c>
      <c r="I3008">
        <v>154726009</v>
      </c>
    </row>
    <row r="3009" spans="1:9" x14ac:dyDescent="0.2">
      <c r="A3009" t="str">
        <f>"Cacna1f"</f>
        <v>Cacna1f</v>
      </c>
      <c r="B3009" t="s">
        <v>14</v>
      </c>
      <c r="C3009" t="s">
        <v>37</v>
      </c>
      <c r="D3009" t="s">
        <v>17</v>
      </c>
      <c r="E3009" t="s">
        <v>12</v>
      </c>
      <c r="F3009">
        <v>7607108</v>
      </c>
      <c r="G3009">
        <v>7607127</v>
      </c>
      <c r="H3009">
        <v>7607108</v>
      </c>
      <c r="I3009">
        <v>7607127</v>
      </c>
    </row>
    <row r="3010" spans="1:9" x14ac:dyDescent="0.2">
      <c r="A3010" t="str">
        <f>"Cacna1g"</f>
        <v>Cacna1g</v>
      </c>
      <c r="B3010" t="s">
        <v>14</v>
      </c>
      <c r="C3010" t="s">
        <v>27</v>
      </c>
      <c r="D3010" t="s">
        <v>11</v>
      </c>
      <c r="E3010" t="s">
        <v>12</v>
      </c>
      <c r="F3010">
        <v>94474358</v>
      </c>
      <c r="G3010">
        <v>94474385</v>
      </c>
      <c r="H3010">
        <v>94474052</v>
      </c>
      <c r="I3010">
        <v>94474069</v>
      </c>
    </row>
    <row r="3011" spans="1:9" x14ac:dyDescent="0.2">
      <c r="A3011" t="str">
        <f>"Cacna1h"</f>
        <v>Cacna1h</v>
      </c>
      <c r="B3011" t="s">
        <v>14</v>
      </c>
      <c r="C3011" t="s">
        <v>28</v>
      </c>
      <c r="D3011" t="s">
        <v>11</v>
      </c>
      <c r="E3011" t="s">
        <v>12</v>
      </c>
      <c r="F3011">
        <v>25433775</v>
      </c>
      <c r="G3011">
        <v>25433790</v>
      </c>
      <c r="H3011">
        <v>25433742</v>
      </c>
      <c r="I3011">
        <v>25433767</v>
      </c>
    </row>
    <row r="3012" spans="1:9" x14ac:dyDescent="0.2">
      <c r="A3012" t="str">
        <f>"Cacna1i"</f>
        <v>Cacna1i</v>
      </c>
      <c r="B3012" t="s">
        <v>14</v>
      </c>
      <c r="C3012" t="s">
        <v>25</v>
      </c>
      <c r="D3012" t="s">
        <v>17</v>
      </c>
      <c r="E3012" t="s">
        <v>12</v>
      </c>
      <c r="F3012">
        <v>80287234</v>
      </c>
      <c r="G3012">
        <v>80287252</v>
      </c>
      <c r="H3012">
        <v>80287269</v>
      </c>
      <c r="I3012">
        <v>80287293</v>
      </c>
    </row>
    <row r="3013" spans="1:9" x14ac:dyDescent="0.2">
      <c r="A3013" t="str">
        <f>"Cacna1s"</f>
        <v>Cacna1s</v>
      </c>
      <c r="B3013" t="s">
        <v>14</v>
      </c>
      <c r="C3013" t="s">
        <v>19</v>
      </c>
      <c r="D3013" t="s">
        <v>17</v>
      </c>
      <c r="E3013" t="s">
        <v>12</v>
      </c>
      <c r="F3013">
        <v>136052804</v>
      </c>
      <c r="G3013">
        <v>136052826</v>
      </c>
      <c r="H3013">
        <v>136052771</v>
      </c>
      <c r="I3013">
        <v>136052796</v>
      </c>
    </row>
    <row r="3014" spans="1:9" x14ac:dyDescent="0.2">
      <c r="A3014" t="str">
        <f>"Cacna2d1"</f>
        <v>Cacna2d1</v>
      </c>
      <c r="B3014" t="s">
        <v>14</v>
      </c>
      <c r="C3014" t="s">
        <v>46</v>
      </c>
      <c r="D3014" t="s">
        <v>17</v>
      </c>
      <c r="E3014" t="s">
        <v>12</v>
      </c>
      <c r="F3014">
        <v>15934731</v>
      </c>
      <c r="G3014">
        <v>15934746</v>
      </c>
      <c r="H3014">
        <v>15934556</v>
      </c>
      <c r="I3014">
        <v>15934624</v>
      </c>
    </row>
    <row r="3015" spans="1:9" x14ac:dyDescent="0.2">
      <c r="A3015" t="str">
        <f>"Cacna2d2"</f>
        <v>Cacna2d2</v>
      </c>
      <c r="B3015" t="s">
        <v>14</v>
      </c>
      <c r="C3015" t="s">
        <v>24</v>
      </c>
      <c r="D3015" t="s">
        <v>17</v>
      </c>
      <c r="E3015" t="s">
        <v>12</v>
      </c>
      <c r="F3015">
        <v>107399796</v>
      </c>
      <c r="G3015">
        <v>107399849</v>
      </c>
      <c r="H3015">
        <v>107400043</v>
      </c>
      <c r="I3015">
        <v>107400064</v>
      </c>
    </row>
    <row r="3016" spans="1:9" x14ac:dyDescent="0.2">
      <c r="A3016" t="str">
        <f>"Cacna2d3"</f>
        <v>Cacna2d3</v>
      </c>
      <c r="B3016" t="s">
        <v>14</v>
      </c>
      <c r="C3016" t="s">
        <v>41</v>
      </c>
      <c r="D3016" t="s">
        <v>11</v>
      </c>
      <c r="E3016" t="s">
        <v>12</v>
      </c>
      <c r="F3016">
        <v>29721835</v>
      </c>
      <c r="G3016">
        <v>29721886</v>
      </c>
      <c r="H3016">
        <v>29721890</v>
      </c>
      <c r="I3016">
        <v>29721912</v>
      </c>
    </row>
    <row r="3017" spans="1:9" x14ac:dyDescent="0.2">
      <c r="A3017" t="str">
        <f>"Cacna2d4"</f>
        <v>Cacna2d4</v>
      </c>
      <c r="B3017" t="s">
        <v>14</v>
      </c>
      <c r="C3017" t="s">
        <v>32</v>
      </c>
      <c r="D3017" t="s">
        <v>17</v>
      </c>
      <c r="E3017" t="s">
        <v>12</v>
      </c>
      <c r="F3017">
        <v>119236507</v>
      </c>
      <c r="G3017">
        <v>119236532</v>
      </c>
      <c r="H3017">
        <v>119236579</v>
      </c>
      <c r="I3017">
        <v>119236598</v>
      </c>
    </row>
    <row r="3018" spans="1:9" x14ac:dyDescent="0.2">
      <c r="A3018" t="str">
        <f>"Cacnb1"</f>
        <v>Cacnb1</v>
      </c>
      <c r="B3018" t="s">
        <v>9</v>
      </c>
      <c r="C3018" t="s">
        <v>27</v>
      </c>
      <c r="D3018" t="s">
        <v>11</v>
      </c>
      <c r="E3018" t="s">
        <v>12</v>
      </c>
      <c r="F3018">
        <v>98022594</v>
      </c>
      <c r="G3018">
        <v>98022671</v>
      </c>
      <c r="H3018">
        <v>98022594</v>
      </c>
      <c r="I3018">
        <v>98022671</v>
      </c>
    </row>
    <row r="3019" spans="1:9" x14ac:dyDescent="0.2">
      <c r="A3019" t="str">
        <f>"Cacnb1"</f>
        <v>Cacnb1</v>
      </c>
      <c r="B3019" t="s">
        <v>13</v>
      </c>
      <c r="C3019" t="s">
        <v>27</v>
      </c>
      <c r="D3019" t="s">
        <v>11</v>
      </c>
      <c r="E3019" t="s">
        <v>12</v>
      </c>
      <c r="F3019">
        <v>98018308</v>
      </c>
      <c r="G3019">
        <v>98018363</v>
      </c>
      <c r="H3019">
        <v>98018308</v>
      </c>
      <c r="I3019">
        <v>98018363</v>
      </c>
    </row>
    <row r="3020" spans="1:9" x14ac:dyDescent="0.2">
      <c r="A3020" t="str">
        <f>"Cacnb2"</f>
        <v>Cacnb2</v>
      </c>
      <c r="B3020" t="s">
        <v>2248</v>
      </c>
      <c r="C3020" t="s">
        <v>26</v>
      </c>
      <c r="D3020" t="s">
        <v>17</v>
      </c>
      <c r="E3020" t="s">
        <v>35</v>
      </c>
      <c r="F3020">
        <v>14873698</v>
      </c>
      <c r="G3020">
        <v>14873708</v>
      </c>
      <c r="H3020">
        <v>14873849</v>
      </c>
      <c r="I3020">
        <v>14873871</v>
      </c>
    </row>
    <row r="3021" spans="1:9" x14ac:dyDescent="0.2">
      <c r="A3021" t="str">
        <f>"Cacnb3"</f>
        <v>Cacnb3</v>
      </c>
      <c r="B3021" t="s">
        <v>14</v>
      </c>
      <c r="C3021" t="s">
        <v>25</v>
      </c>
      <c r="D3021" t="s">
        <v>17</v>
      </c>
      <c r="E3021" t="s">
        <v>12</v>
      </c>
      <c r="F3021">
        <v>98634743</v>
      </c>
      <c r="G3021">
        <v>98634778</v>
      </c>
      <c r="H3021">
        <v>98634743</v>
      </c>
      <c r="I3021">
        <v>98634778</v>
      </c>
    </row>
    <row r="3022" spans="1:9" x14ac:dyDescent="0.2">
      <c r="A3022" t="str">
        <f>"Cacnb4"</f>
        <v>Cacnb4</v>
      </c>
      <c r="B3022" t="s">
        <v>14</v>
      </c>
      <c r="C3022" t="s">
        <v>26</v>
      </c>
      <c r="D3022" t="s">
        <v>11</v>
      </c>
      <c r="E3022" t="s">
        <v>12</v>
      </c>
      <c r="F3022">
        <v>52558539</v>
      </c>
      <c r="G3022">
        <v>52558571</v>
      </c>
      <c r="H3022">
        <v>52558539</v>
      </c>
      <c r="I3022">
        <v>52558571</v>
      </c>
    </row>
    <row r="3023" spans="1:9" x14ac:dyDescent="0.2">
      <c r="A3023" t="str">
        <f>"Cacng1"</f>
        <v>Cacng1</v>
      </c>
      <c r="B3023" t="s">
        <v>14</v>
      </c>
      <c r="C3023" t="s">
        <v>27</v>
      </c>
      <c r="D3023" t="s">
        <v>11</v>
      </c>
      <c r="E3023" t="s">
        <v>12</v>
      </c>
      <c r="F3023">
        <v>107716456</v>
      </c>
      <c r="G3023">
        <v>107716514</v>
      </c>
      <c r="H3023">
        <v>107716431</v>
      </c>
      <c r="I3023">
        <v>107716447</v>
      </c>
    </row>
    <row r="3024" spans="1:9" x14ac:dyDescent="0.2">
      <c r="A3024" t="str">
        <f>"Cacng2"</f>
        <v>Cacng2</v>
      </c>
      <c r="B3024" t="s">
        <v>14</v>
      </c>
      <c r="C3024" t="s">
        <v>25</v>
      </c>
      <c r="D3024" t="s">
        <v>11</v>
      </c>
      <c r="E3024" t="s">
        <v>12</v>
      </c>
      <c r="F3024">
        <v>78120188</v>
      </c>
      <c r="G3024">
        <v>78120241</v>
      </c>
      <c r="H3024">
        <v>78120188</v>
      </c>
      <c r="I3024">
        <v>78120241</v>
      </c>
    </row>
    <row r="3025" spans="1:9" x14ac:dyDescent="0.2">
      <c r="A3025" t="str">
        <f>"Cacng3"</f>
        <v>Cacng3</v>
      </c>
      <c r="B3025" t="s">
        <v>14</v>
      </c>
      <c r="C3025" t="s">
        <v>33</v>
      </c>
      <c r="D3025" t="s">
        <v>17</v>
      </c>
      <c r="E3025" t="s">
        <v>12</v>
      </c>
      <c r="F3025">
        <v>122671334</v>
      </c>
      <c r="G3025">
        <v>122671363</v>
      </c>
      <c r="H3025">
        <v>122671334</v>
      </c>
      <c r="I3025">
        <v>122671363</v>
      </c>
    </row>
    <row r="3026" spans="1:9" x14ac:dyDescent="0.2">
      <c r="A3026" t="str">
        <f>"Cacng4"</f>
        <v>Cacng4</v>
      </c>
      <c r="B3026" t="s">
        <v>14</v>
      </c>
      <c r="C3026" t="s">
        <v>27</v>
      </c>
      <c r="D3026" t="s">
        <v>11</v>
      </c>
      <c r="E3026" t="s">
        <v>12</v>
      </c>
      <c r="F3026">
        <v>107794659</v>
      </c>
      <c r="G3026">
        <v>107794729</v>
      </c>
      <c r="H3026">
        <v>107794659</v>
      </c>
      <c r="I3026">
        <v>107794729</v>
      </c>
    </row>
    <row r="3027" spans="1:9" x14ac:dyDescent="0.2">
      <c r="A3027" t="str">
        <f>"Cacng5"</f>
        <v>Cacng5</v>
      </c>
      <c r="B3027" t="s">
        <v>14</v>
      </c>
      <c r="C3027" t="s">
        <v>27</v>
      </c>
      <c r="D3027" t="s">
        <v>11</v>
      </c>
      <c r="E3027" t="s">
        <v>12</v>
      </c>
      <c r="F3027">
        <v>107915006</v>
      </c>
      <c r="G3027">
        <v>107915039</v>
      </c>
      <c r="H3027">
        <v>107915041</v>
      </c>
      <c r="I3027">
        <v>107915069</v>
      </c>
    </row>
    <row r="3028" spans="1:9" x14ac:dyDescent="0.2">
      <c r="A3028" t="str">
        <f>"Cacng6"</f>
        <v>Cacng6</v>
      </c>
      <c r="B3028" t="s">
        <v>2249</v>
      </c>
      <c r="C3028" t="s">
        <v>33</v>
      </c>
      <c r="D3028" t="s">
        <v>17</v>
      </c>
      <c r="E3028" t="s">
        <v>20</v>
      </c>
      <c r="F3028">
        <v>3424194</v>
      </c>
      <c r="G3028">
        <v>3424194</v>
      </c>
      <c r="H3028">
        <v>3424194</v>
      </c>
      <c r="I3028">
        <v>3424194</v>
      </c>
    </row>
    <row r="3029" spans="1:9" x14ac:dyDescent="0.2">
      <c r="A3029" t="str">
        <f>"Cacng7"</f>
        <v>Cacng7</v>
      </c>
      <c r="B3029" t="s">
        <v>14</v>
      </c>
      <c r="C3029" t="s">
        <v>33</v>
      </c>
      <c r="D3029" t="s">
        <v>17</v>
      </c>
      <c r="E3029" t="s">
        <v>12</v>
      </c>
      <c r="F3029">
        <v>3332789</v>
      </c>
      <c r="G3029">
        <v>3332837</v>
      </c>
      <c r="H3029">
        <v>3332918</v>
      </c>
      <c r="I3029">
        <v>3332950</v>
      </c>
    </row>
    <row r="3030" spans="1:9" x14ac:dyDescent="0.2">
      <c r="A3030" t="str">
        <f>"Cacng8"</f>
        <v>Cacng8</v>
      </c>
      <c r="B3030" t="s">
        <v>2250</v>
      </c>
      <c r="C3030" t="s">
        <v>33</v>
      </c>
      <c r="D3030" t="s">
        <v>17</v>
      </c>
      <c r="E3030" t="s">
        <v>20</v>
      </c>
      <c r="F3030">
        <v>3394116</v>
      </c>
      <c r="G3030">
        <v>3394116</v>
      </c>
      <c r="H3030">
        <v>3394116</v>
      </c>
      <c r="I3030">
        <v>3394116</v>
      </c>
    </row>
    <row r="3031" spans="1:9" x14ac:dyDescent="0.2">
      <c r="A3031" t="str">
        <f>"Cacng8"</f>
        <v>Cacng8</v>
      </c>
      <c r="B3031" t="s">
        <v>2251</v>
      </c>
      <c r="C3031" t="s">
        <v>33</v>
      </c>
      <c r="D3031" t="s">
        <v>17</v>
      </c>
      <c r="E3031" t="s">
        <v>20</v>
      </c>
      <c r="F3031">
        <v>3390682</v>
      </c>
      <c r="G3031">
        <v>3390682</v>
      </c>
      <c r="H3031">
        <v>3390682</v>
      </c>
      <c r="I3031">
        <v>3390682</v>
      </c>
    </row>
    <row r="3032" spans="1:9" x14ac:dyDescent="0.2">
      <c r="A3032" t="str">
        <f>"Cactin"</f>
        <v>Cactin</v>
      </c>
      <c r="B3032" t="s">
        <v>14</v>
      </c>
      <c r="C3032" t="s">
        <v>15</v>
      </c>
      <c r="D3032" t="s">
        <v>17</v>
      </c>
      <c r="E3032" t="s">
        <v>67</v>
      </c>
      <c r="F3032">
        <v>81321187</v>
      </c>
      <c r="G3032">
        <v>81321247</v>
      </c>
      <c r="H3032">
        <v>81320893</v>
      </c>
      <c r="I3032">
        <v>81320932</v>
      </c>
    </row>
    <row r="3033" spans="1:9" x14ac:dyDescent="0.2">
      <c r="A3033" t="str">
        <f>"Cacul1"</f>
        <v>Cacul1</v>
      </c>
      <c r="B3033" t="s">
        <v>14</v>
      </c>
      <c r="C3033" t="s">
        <v>10</v>
      </c>
      <c r="D3033" t="s">
        <v>11</v>
      </c>
      <c r="E3033" t="s">
        <v>67</v>
      </c>
      <c r="F3033">
        <v>60580885</v>
      </c>
      <c r="G3033">
        <v>60580992</v>
      </c>
      <c r="H3033">
        <v>60580993</v>
      </c>
      <c r="I3033">
        <v>60581011</v>
      </c>
    </row>
    <row r="3034" spans="1:9" x14ac:dyDescent="0.2">
      <c r="A3034" t="str">
        <f>"Cacybp"</f>
        <v>Cacybp</v>
      </c>
      <c r="B3034" t="s">
        <v>14</v>
      </c>
      <c r="C3034" t="s">
        <v>19</v>
      </c>
      <c r="D3034" t="s">
        <v>11</v>
      </c>
      <c r="E3034" t="s">
        <v>12</v>
      </c>
      <c r="F3034">
        <v>160212716</v>
      </c>
      <c r="G3034">
        <v>160212858</v>
      </c>
      <c r="H3034">
        <v>160212691</v>
      </c>
      <c r="I3034">
        <v>160212714</v>
      </c>
    </row>
    <row r="3035" spans="1:9" x14ac:dyDescent="0.2">
      <c r="A3035" t="str">
        <f>"Cad"</f>
        <v>Cad</v>
      </c>
      <c r="B3035" t="s">
        <v>14</v>
      </c>
      <c r="C3035" t="s">
        <v>46</v>
      </c>
      <c r="D3035" t="s">
        <v>17</v>
      </c>
      <c r="E3035" t="s">
        <v>12</v>
      </c>
      <c r="F3035">
        <v>31054766</v>
      </c>
      <c r="G3035">
        <v>31054809</v>
      </c>
      <c r="H3035">
        <v>31054821</v>
      </c>
      <c r="I3035">
        <v>31054865</v>
      </c>
    </row>
    <row r="3036" spans="1:9" x14ac:dyDescent="0.2">
      <c r="A3036" t="str">
        <f>"Cadm1"</f>
        <v>Cadm1</v>
      </c>
      <c r="B3036" t="s">
        <v>14</v>
      </c>
      <c r="C3036" t="s">
        <v>24</v>
      </c>
      <c r="D3036" t="s">
        <v>17</v>
      </c>
      <c r="E3036" t="s">
        <v>12</v>
      </c>
      <c r="F3036">
        <v>47530343</v>
      </c>
      <c r="G3036">
        <v>47530362</v>
      </c>
      <c r="H3036">
        <v>47530343</v>
      </c>
      <c r="I3036">
        <v>47530362</v>
      </c>
    </row>
    <row r="3037" spans="1:9" x14ac:dyDescent="0.2">
      <c r="A3037" t="str">
        <f>"Cadm2"</f>
        <v>Cadm2</v>
      </c>
      <c r="B3037" t="s">
        <v>14</v>
      </c>
      <c r="C3037" t="s">
        <v>31</v>
      </c>
      <c r="D3037" t="s">
        <v>11</v>
      </c>
      <c r="E3037" t="s">
        <v>12</v>
      </c>
      <c r="F3037">
        <v>67620880</v>
      </c>
      <c r="G3037">
        <v>67620922</v>
      </c>
      <c r="H3037">
        <v>67620805</v>
      </c>
      <c r="I3037">
        <v>67620816</v>
      </c>
    </row>
    <row r="3038" spans="1:9" x14ac:dyDescent="0.2">
      <c r="A3038" t="str">
        <f>"Cadm3"</f>
        <v>Cadm3</v>
      </c>
      <c r="B3038" t="s">
        <v>14</v>
      </c>
      <c r="C3038" t="s">
        <v>19</v>
      </c>
      <c r="D3038" t="s">
        <v>11</v>
      </c>
      <c r="E3038" t="s">
        <v>12</v>
      </c>
      <c r="F3038">
        <v>173367638</v>
      </c>
      <c r="G3038">
        <v>173367656</v>
      </c>
      <c r="H3038">
        <v>173367855</v>
      </c>
      <c r="I3038">
        <v>173367886</v>
      </c>
    </row>
    <row r="3039" spans="1:9" x14ac:dyDescent="0.2">
      <c r="A3039" t="str">
        <f>"Cadm4"</f>
        <v>Cadm4</v>
      </c>
      <c r="B3039" t="s">
        <v>14</v>
      </c>
      <c r="C3039" t="s">
        <v>33</v>
      </c>
      <c r="D3039" t="s">
        <v>17</v>
      </c>
      <c r="E3039" t="s">
        <v>12</v>
      </c>
      <c r="F3039">
        <v>24481991</v>
      </c>
      <c r="G3039">
        <v>24482076</v>
      </c>
      <c r="H3039">
        <v>24481980</v>
      </c>
      <c r="I3039">
        <v>24481987</v>
      </c>
    </row>
    <row r="3040" spans="1:9" x14ac:dyDescent="0.2">
      <c r="A3040" t="str">
        <f>"Cadps"</f>
        <v>Cadps</v>
      </c>
      <c r="B3040" t="s">
        <v>14</v>
      </c>
      <c r="C3040" t="s">
        <v>41</v>
      </c>
      <c r="D3040" t="s">
        <v>11</v>
      </c>
      <c r="E3040" t="s">
        <v>12</v>
      </c>
      <c r="F3040">
        <v>12823031</v>
      </c>
      <c r="G3040">
        <v>12823133</v>
      </c>
      <c r="H3040">
        <v>12823031</v>
      </c>
      <c r="I3040">
        <v>12823133</v>
      </c>
    </row>
    <row r="3041" spans="1:9" x14ac:dyDescent="0.2">
      <c r="A3041" t="str">
        <f>"Cadps2"</f>
        <v>Cadps2</v>
      </c>
      <c r="B3041" t="s">
        <v>14</v>
      </c>
      <c r="C3041" t="s">
        <v>32</v>
      </c>
      <c r="D3041" t="s">
        <v>11</v>
      </c>
      <c r="E3041" t="s">
        <v>12</v>
      </c>
      <c r="F3041">
        <v>23839286</v>
      </c>
      <c r="G3041">
        <v>23839315</v>
      </c>
      <c r="H3041">
        <v>23839243</v>
      </c>
      <c r="I3041">
        <v>23839267</v>
      </c>
    </row>
    <row r="3042" spans="1:9" x14ac:dyDescent="0.2">
      <c r="A3042" t="str">
        <f>"Cage1"</f>
        <v>Cage1</v>
      </c>
      <c r="B3042" t="s">
        <v>14</v>
      </c>
      <c r="C3042" t="s">
        <v>39</v>
      </c>
      <c r="D3042" t="s">
        <v>11</v>
      </c>
      <c r="E3042" t="s">
        <v>12</v>
      </c>
      <c r="F3042">
        <v>38037083</v>
      </c>
      <c r="G3042">
        <v>38037158</v>
      </c>
      <c r="H3042">
        <v>38036925</v>
      </c>
      <c r="I3042">
        <v>38036947</v>
      </c>
    </row>
    <row r="3043" spans="1:9" x14ac:dyDescent="0.2">
      <c r="A3043" t="str">
        <f>"Calb1"</f>
        <v>Calb1</v>
      </c>
      <c r="B3043" t="s">
        <v>14</v>
      </c>
      <c r="C3043" t="s">
        <v>23</v>
      </c>
      <c r="D3043" t="s">
        <v>17</v>
      </c>
      <c r="E3043" t="s">
        <v>12</v>
      </c>
      <c r="F3043">
        <v>15881255</v>
      </c>
      <c r="G3043">
        <v>15881272</v>
      </c>
      <c r="H3043">
        <v>15881255</v>
      </c>
      <c r="I3043">
        <v>15881272</v>
      </c>
    </row>
    <row r="3044" spans="1:9" x14ac:dyDescent="0.2">
      <c r="A3044" t="str">
        <f>"Calb2"</f>
        <v>Calb2</v>
      </c>
      <c r="B3044" t="s">
        <v>14</v>
      </c>
      <c r="C3044" t="s">
        <v>30</v>
      </c>
      <c r="D3044" t="s">
        <v>11</v>
      </c>
      <c r="E3044" t="s">
        <v>12</v>
      </c>
      <c r="F3044">
        <v>110168204</v>
      </c>
      <c r="G3044">
        <v>110168221</v>
      </c>
      <c r="H3044">
        <v>110168204</v>
      </c>
      <c r="I3044">
        <v>110168221</v>
      </c>
    </row>
    <row r="3045" spans="1:9" x14ac:dyDescent="0.2">
      <c r="A3045" t="str">
        <f>"Calca"</f>
        <v>Calca</v>
      </c>
      <c r="B3045" t="s">
        <v>14</v>
      </c>
      <c r="C3045" t="s">
        <v>33</v>
      </c>
      <c r="D3045" t="s">
        <v>11</v>
      </c>
      <c r="E3045" t="s">
        <v>12</v>
      </c>
      <c r="F3045">
        <v>114636299</v>
      </c>
      <c r="G3045">
        <v>114636315</v>
      </c>
      <c r="H3045">
        <v>114636299</v>
      </c>
      <c r="I3045">
        <v>114636315</v>
      </c>
    </row>
    <row r="3046" spans="1:9" x14ac:dyDescent="0.2">
      <c r="A3046" t="str">
        <f>"Calcb"</f>
        <v>Calcb</v>
      </c>
      <c r="B3046" t="s">
        <v>14</v>
      </c>
      <c r="C3046" t="s">
        <v>33</v>
      </c>
      <c r="D3046" t="s">
        <v>17</v>
      </c>
      <c r="E3046" t="s">
        <v>12</v>
      </c>
      <c r="F3046">
        <v>114718643</v>
      </c>
      <c r="G3046">
        <v>114718661</v>
      </c>
      <c r="H3046">
        <v>114718643</v>
      </c>
      <c r="I3046">
        <v>114718661</v>
      </c>
    </row>
    <row r="3047" spans="1:9" x14ac:dyDescent="0.2">
      <c r="A3047" t="str">
        <f>"Calcoco1"</f>
        <v>Calcoco1</v>
      </c>
      <c r="B3047" t="s">
        <v>14</v>
      </c>
      <c r="C3047" t="s">
        <v>25</v>
      </c>
      <c r="D3047" t="s">
        <v>11</v>
      </c>
      <c r="E3047" t="s">
        <v>12</v>
      </c>
      <c r="F3047">
        <v>102722061</v>
      </c>
      <c r="G3047">
        <v>102722114</v>
      </c>
      <c r="H3047">
        <v>102722120</v>
      </c>
      <c r="I3047">
        <v>102722137</v>
      </c>
    </row>
    <row r="3048" spans="1:9" x14ac:dyDescent="0.2">
      <c r="A3048" t="str">
        <f>"Calcoco2"</f>
        <v>Calcoco2</v>
      </c>
      <c r="B3048" t="s">
        <v>2252</v>
      </c>
      <c r="C3048" t="s">
        <v>27</v>
      </c>
      <c r="D3048" t="s">
        <v>11</v>
      </c>
      <c r="E3048" t="s">
        <v>20</v>
      </c>
      <c r="F3048">
        <v>96111962</v>
      </c>
      <c r="G3048">
        <v>96111962</v>
      </c>
      <c r="H3048">
        <v>96111962</v>
      </c>
      <c r="I3048">
        <v>96111962</v>
      </c>
    </row>
    <row r="3049" spans="1:9" x14ac:dyDescent="0.2">
      <c r="A3049" t="str">
        <f>"Calcr"</f>
        <v>Calcr</v>
      </c>
      <c r="B3049" t="s">
        <v>14</v>
      </c>
      <c r="C3049" t="s">
        <v>32</v>
      </c>
      <c r="D3049" t="s">
        <v>11</v>
      </c>
      <c r="E3049" t="s">
        <v>12</v>
      </c>
      <c r="F3049">
        <v>3763618</v>
      </c>
      <c r="G3049">
        <v>3763624</v>
      </c>
      <c r="H3049">
        <v>3763618</v>
      </c>
      <c r="I3049">
        <v>3763624</v>
      </c>
    </row>
    <row r="3050" spans="1:9" x14ac:dyDescent="0.2">
      <c r="A3050" t="str">
        <f>"Calcrl"</f>
        <v>Calcrl</v>
      </c>
      <c r="B3050" t="s">
        <v>14</v>
      </c>
      <c r="C3050" t="s">
        <v>26</v>
      </c>
      <c r="D3050" t="s">
        <v>11</v>
      </c>
      <c r="E3050" t="s">
        <v>12</v>
      </c>
      <c r="F3050">
        <v>84425258</v>
      </c>
      <c r="G3050">
        <v>84425273</v>
      </c>
      <c r="H3050">
        <v>84425439</v>
      </c>
      <c r="I3050">
        <v>84425461</v>
      </c>
    </row>
    <row r="3051" spans="1:9" x14ac:dyDescent="0.2">
      <c r="A3051" t="str">
        <f>"Cald1"</f>
        <v>Cald1</v>
      </c>
      <c r="B3051" t="s">
        <v>9</v>
      </c>
      <c r="C3051" t="s">
        <v>32</v>
      </c>
      <c r="D3051" t="s">
        <v>17</v>
      </c>
      <c r="E3051" t="s">
        <v>12</v>
      </c>
      <c r="F3051">
        <v>34598530</v>
      </c>
      <c r="G3051">
        <v>34598587</v>
      </c>
      <c r="H3051">
        <v>34598530</v>
      </c>
      <c r="I3051">
        <v>34598587</v>
      </c>
    </row>
    <row r="3052" spans="1:9" x14ac:dyDescent="0.2">
      <c r="A3052" t="str">
        <f>"Cald1"</f>
        <v>Cald1</v>
      </c>
      <c r="B3052" t="s">
        <v>13</v>
      </c>
      <c r="C3052" t="s">
        <v>32</v>
      </c>
      <c r="D3052" t="s">
        <v>17</v>
      </c>
      <c r="E3052" t="s">
        <v>12</v>
      </c>
      <c r="F3052">
        <v>34709473</v>
      </c>
      <c r="G3052">
        <v>34709497</v>
      </c>
      <c r="H3052">
        <v>34709473</v>
      </c>
      <c r="I3052">
        <v>34709497</v>
      </c>
    </row>
    <row r="3053" spans="1:9" x14ac:dyDescent="0.2">
      <c r="A3053" t="str">
        <f>"Calhm1"</f>
        <v>Calhm1</v>
      </c>
      <c r="B3053" t="s">
        <v>2253</v>
      </c>
      <c r="C3053" t="s">
        <v>10</v>
      </c>
      <c r="D3053" t="s">
        <v>11</v>
      </c>
      <c r="E3053" t="s">
        <v>20</v>
      </c>
      <c r="F3053">
        <v>47144173</v>
      </c>
      <c r="G3053">
        <v>47144173</v>
      </c>
      <c r="H3053">
        <v>47144173</v>
      </c>
      <c r="I3053">
        <v>47144173</v>
      </c>
    </row>
    <row r="3054" spans="1:9" x14ac:dyDescent="0.2">
      <c r="A3054" t="str">
        <f>"Calhm2"</f>
        <v>Calhm2</v>
      </c>
      <c r="B3054" t="s">
        <v>14</v>
      </c>
      <c r="C3054" t="s">
        <v>10</v>
      </c>
      <c r="D3054" t="s">
        <v>11</v>
      </c>
      <c r="E3054" t="s">
        <v>12</v>
      </c>
      <c r="F3054">
        <v>47138250</v>
      </c>
      <c r="G3054">
        <v>47138276</v>
      </c>
      <c r="H3054">
        <v>47138214</v>
      </c>
      <c r="I3054">
        <v>47138237</v>
      </c>
    </row>
    <row r="3055" spans="1:9" x14ac:dyDescent="0.2">
      <c r="A3055" t="str">
        <f>"Calhm3"</f>
        <v>Calhm3</v>
      </c>
      <c r="B3055" t="s">
        <v>2254</v>
      </c>
      <c r="C3055" t="s">
        <v>10</v>
      </c>
      <c r="D3055" t="s">
        <v>11</v>
      </c>
      <c r="E3055" t="s">
        <v>20</v>
      </c>
      <c r="F3055">
        <v>47157763</v>
      </c>
      <c r="G3055">
        <v>47157763</v>
      </c>
      <c r="H3055">
        <v>47157763</v>
      </c>
      <c r="I3055">
        <v>47157763</v>
      </c>
    </row>
    <row r="3056" spans="1:9" x14ac:dyDescent="0.2">
      <c r="A3056" t="str">
        <f>"Calm1"</f>
        <v>Calm1</v>
      </c>
      <c r="B3056" t="s">
        <v>14</v>
      </c>
      <c r="C3056" t="s">
        <v>16</v>
      </c>
      <c r="D3056" t="s">
        <v>17</v>
      </c>
      <c r="E3056" t="s">
        <v>12</v>
      </c>
      <c r="F3056">
        <v>100199519</v>
      </c>
      <c r="G3056">
        <v>100199538</v>
      </c>
      <c r="H3056">
        <v>100199519</v>
      </c>
      <c r="I3056">
        <v>100199538</v>
      </c>
    </row>
    <row r="3057" spans="1:9" x14ac:dyDescent="0.2">
      <c r="A3057" t="str">
        <f>"Calm2"</f>
        <v>Calm2</v>
      </c>
      <c r="B3057" t="s">
        <v>2255</v>
      </c>
      <c r="C3057" t="s">
        <v>28</v>
      </c>
      <c r="D3057" t="s">
        <v>11</v>
      </c>
      <c r="E3057" t="s">
        <v>35</v>
      </c>
      <c r="F3057">
        <v>87447066</v>
      </c>
      <c r="G3057">
        <v>87447083</v>
      </c>
      <c r="H3057">
        <v>87446854</v>
      </c>
      <c r="I3057">
        <v>87446869</v>
      </c>
    </row>
    <row r="3058" spans="1:9" x14ac:dyDescent="0.2">
      <c r="A3058" t="str">
        <f>"Calm3"</f>
        <v>Calm3</v>
      </c>
      <c r="B3058" t="s">
        <v>2256</v>
      </c>
      <c r="C3058" t="s">
        <v>33</v>
      </c>
      <c r="D3058" t="s">
        <v>11</v>
      </c>
      <c r="E3058" t="s">
        <v>35</v>
      </c>
      <c r="F3058">
        <v>16924132</v>
      </c>
      <c r="G3058">
        <v>16924137</v>
      </c>
      <c r="H3058">
        <v>16923901</v>
      </c>
      <c r="I3058">
        <v>16924026</v>
      </c>
    </row>
    <row r="3059" spans="1:9" x14ac:dyDescent="0.2">
      <c r="A3059" t="str">
        <f>"Calm4"</f>
        <v>Calm4</v>
      </c>
      <c r="B3059" t="s">
        <v>2257</v>
      </c>
      <c r="C3059" t="s">
        <v>39</v>
      </c>
      <c r="D3059" t="s">
        <v>17</v>
      </c>
      <c r="E3059" t="s">
        <v>20</v>
      </c>
      <c r="F3059">
        <v>3837756</v>
      </c>
      <c r="G3059">
        <v>3837756</v>
      </c>
      <c r="H3059">
        <v>3837756</v>
      </c>
      <c r="I3059">
        <v>3837756</v>
      </c>
    </row>
    <row r="3060" spans="1:9" x14ac:dyDescent="0.2">
      <c r="A3060" t="str">
        <f>"Calml3"</f>
        <v>Calml3</v>
      </c>
      <c r="B3060" t="s">
        <v>14</v>
      </c>
      <c r="C3060" t="s">
        <v>39</v>
      </c>
      <c r="D3060" t="s">
        <v>11</v>
      </c>
      <c r="E3060" t="s">
        <v>12</v>
      </c>
      <c r="F3060">
        <v>3804307</v>
      </c>
      <c r="G3060">
        <v>3804337</v>
      </c>
      <c r="H3060">
        <v>3804307</v>
      </c>
      <c r="I3060">
        <v>3804337</v>
      </c>
    </row>
    <row r="3061" spans="1:9" x14ac:dyDescent="0.2">
      <c r="A3061" t="str">
        <f>"Calml4"</f>
        <v>Calml4</v>
      </c>
      <c r="B3061" t="s">
        <v>14</v>
      </c>
      <c r="C3061" t="s">
        <v>24</v>
      </c>
      <c r="D3061" t="s">
        <v>17</v>
      </c>
      <c r="E3061" t="s">
        <v>12</v>
      </c>
      <c r="F3061">
        <v>62858085</v>
      </c>
      <c r="G3061">
        <v>62858138</v>
      </c>
      <c r="H3061">
        <v>62858085</v>
      </c>
      <c r="I3061">
        <v>62858138</v>
      </c>
    </row>
    <row r="3062" spans="1:9" x14ac:dyDescent="0.2">
      <c r="A3062" t="str">
        <f>"Caln1"</f>
        <v>Caln1</v>
      </c>
      <c r="B3062" t="s">
        <v>2258</v>
      </c>
      <c r="C3062" t="s">
        <v>46</v>
      </c>
      <c r="D3062" t="s">
        <v>17</v>
      </c>
      <c r="E3062" t="s">
        <v>35</v>
      </c>
      <c r="F3062">
        <v>130447802</v>
      </c>
      <c r="G3062">
        <v>130447827</v>
      </c>
      <c r="H3062">
        <v>130447802</v>
      </c>
      <c r="I3062">
        <v>130447827</v>
      </c>
    </row>
    <row r="3063" spans="1:9" x14ac:dyDescent="0.2">
      <c r="A3063" t="str">
        <f>"Caln1"</f>
        <v>Caln1</v>
      </c>
      <c r="B3063" t="s">
        <v>2259</v>
      </c>
      <c r="C3063" t="s">
        <v>46</v>
      </c>
      <c r="D3063" t="s">
        <v>17</v>
      </c>
      <c r="E3063" t="s">
        <v>35</v>
      </c>
      <c r="F3063">
        <v>130448617</v>
      </c>
      <c r="G3063">
        <v>130448620</v>
      </c>
      <c r="H3063">
        <v>130448903</v>
      </c>
      <c r="I3063">
        <v>130448918</v>
      </c>
    </row>
    <row r="3064" spans="1:9" x14ac:dyDescent="0.2">
      <c r="A3064" t="str">
        <f>"Calr"</f>
        <v>Calr</v>
      </c>
      <c r="B3064" t="s">
        <v>14</v>
      </c>
      <c r="C3064" t="s">
        <v>30</v>
      </c>
      <c r="D3064" t="s">
        <v>11</v>
      </c>
      <c r="E3064" t="s">
        <v>12</v>
      </c>
      <c r="F3064">
        <v>84846860</v>
      </c>
      <c r="G3064">
        <v>84846872</v>
      </c>
      <c r="H3064">
        <v>84846860</v>
      </c>
      <c r="I3064">
        <v>84846872</v>
      </c>
    </row>
    <row r="3065" spans="1:9" x14ac:dyDescent="0.2">
      <c r="A3065" t="str">
        <f>"Calr3"</f>
        <v>Calr3</v>
      </c>
      <c r="B3065" t="s">
        <v>9</v>
      </c>
      <c r="C3065" t="s">
        <v>30</v>
      </c>
      <c r="D3065" t="s">
        <v>11</v>
      </c>
      <c r="E3065" t="s">
        <v>12</v>
      </c>
      <c r="F3065">
        <v>72443703</v>
      </c>
      <c r="G3065">
        <v>72443760</v>
      </c>
      <c r="H3065">
        <v>72443703</v>
      </c>
      <c r="I3065">
        <v>72443760</v>
      </c>
    </row>
    <row r="3066" spans="1:9" x14ac:dyDescent="0.2">
      <c r="A3066" t="str">
        <f>"Calr3"</f>
        <v>Calr3</v>
      </c>
      <c r="B3066" t="s">
        <v>13</v>
      </c>
      <c r="C3066" t="s">
        <v>30</v>
      </c>
      <c r="D3066" t="s">
        <v>11</v>
      </c>
      <c r="E3066" t="s">
        <v>12</v>
      </c>
      <c r="F3066">
        <v>72435043</v>
      </c>
      <c r="G3066">
        <v>72435057</v>
      </c>
      <c r="H3066">
        <v>72435043</v>
      </c>
      <c r="I3066">
        <v>72435057</v>
      </c>
    </row>
    <row r="3067" spans="1:9" x14ac:dyDescent="0.2">
      <c r="A3067" t="str">
        <f>"Calr4"</f>
        <v>Calr4</v>
      </c>
      <c r="B3067" t="s">
        <v>14</v>
      </c>
      <c r="C3067" t="s">
        <v>23</v>
      </c>
      <c r="D3067" t="s">
        <v>17</v>
      </c>
      <c r="E3067" t="s">
        <v>12</v>
      </c>
      <c r="F3067">
        <v>109235364</v>
      </c>
      <c r="G3067">
        <v>109235414</v>
      </c>
      <c r="H3067">
        <v>109235364</v>
      </c>
      <c r="I3067">
        <v>109235414</v>
      </c>
    </row>
    <row r="3068" spans="1:9" x14ac:dyDescent="0.2">
      <c r="A3068" t="str">
        <f>"Calu"</f>
        <v>Calu</v>
      </c>
      <c r="B3068" t="s">
        <v>14</v>
      </c>
      <c r="C3068" t="s">
        <v>32</v>
      </c>
      <c r="D3068" t="s">
        <v>17</v>
      </c>
      <c r="E3068" t="s">
        <v>12</v>
      </c>
      <c r="F3068">
        <v>29348143</v>
      </c>
      <c r="G3068">
        <v>29348159</v>
      </c>
      <c r="H3068">
        <v>29348175</v>
      </c>
      <c r="I3068">
        <v>29348184</v>
      </c>
    </row>
    <row r="3069" spans="1:9" x14ac:dyDescent="0.2">
      <c r="A3069" t="str">
        <f>"Caly"</f>
        <v>Caly</v>
      </c>
      <c r="B3069" t="s">
        <v>14</v>
      </c>
      <c r="C3069" t="s">
        <v>33</v>
      </c>
      <c r="D3069" t="s">
        <v>11</v>
      </c>
      <c r="E3069" t="s">
        <v>12</v>
      </c>
      <c r="F3069">
        <v>140082489</v>
      </c>
      <c r="G3069">
        <v>140082556</v>
      </c>
      <c r="H3069">
        <v>140082246</v>
      </c>
      <c r="I3069">
        <v>140082284</v>
      </c>
    </row>
    <row r="3070" spans="1:9" x14ac:dyDescent="0.2">
      <c r="A3070" t="str">
        <f>"Camk1"</f>
        <v>Camk1</v>
      </c>
      <c r="B3070" t="s">
        <v>14</v>
      </c>
      <c r="C3070" t="s">
        <v>32</v>
      </c>
      <c r="D3070" t="s">
        <v>11</v>
      </c>
      <c r="E3070" t="s">
        <v>12</v>
      </c>
      <c r="F3070">
        <v>113343898</v>
      </c>
      <c r="G3070">
        <v>113343966</v>
      </c>
      <c r="H3070">
        <v>113343975</v>
      </c>
      <c r="I3070">
        <v>113343989</v>
      </c>
    </row>
    <row r="3071" spans="1:9" x14ac:dyDescent="0.2">
      <c r="A3071" t="str">
        <f>"Camk1d"</f>
        <v>Camk1d</v>
      </c>
      <c r="B3071" t="s">
        <v>14</v>
      </c>
      <c r="C3071" t="s">
        <v>26</v>
      </c>
      <c r="D3071" t="s">
        <v>11</v>
      </c>
      <c r="E3071" t="s">
        <v>12</v>
      </c>
      <c r="F3071">
        <v>5714490</v>
      </c>
      <c r="G3071">
        <v>5714538</v>
      </c>
      <c r="H3071">
        <v>5714463</v>
      </c>
      <c r="I3071">
        <v>5714487</v>
      </c>
    </row>
    <row r="3072" spans="1:9" x14ac:dyDescent="0.2">
      <c r="A3072" t="str">
        <f>"Camk1g"</f>
        <v>Camk1g</v>
      </c>
      <c r="B3072" t="s">
        <v>14</v>
      </c>
      <c r="C3072" t="s">
        <v>19</v>
      </c>
      <c r="D3072" t="s">
        <v>11</v>
      </c>
      <c r="E3072" t="s">
        <v>12</v>
      </c>
      <c r="F3072">
        <v>193370233</v>
      </c>
      <c r="G3072">
        <v>193370255</v>
      </c>
      <c r="H3072">
        <v>193370260</v>
      </c>
      <c r="I3072">
        <v>193370287</v>
      </c>
    </row>
    <row r="3073" spans="1:9" x14ac:dyDescent="0.2">
      <c r="A3073" t="str">
        <f>"Camk2a"</f>
        <v>Camk2a</v>
      </c>
      <c r="B3073" t="s">
        <v>14</v>
      </c>
      <c r="C3073" t="s">
        <v>43</v>
      </c>
      <c r="D3073" t="s">
        <v>17</v>
      </c>
      <c r="E3073" t="s">
        <v>12</v>
      </c>
      <c r="F3073">
        <v>60925612</v>
      </c>
      <c r="G3073">
        <v>60925639</v>
      </c>
      <c r="H3073">
        <v>60925612</v>
      </c>
      <c r="I3073">
        <v>60925639</v>
      </c>
    </row>
    <row r="3074" spans="1:9" x14ac:dyDescent="0.2">
      <c r="A3074" t="str">
        <f>"Camk2b"</f>
        <v>Camk2b</v>
      </c>
      <c r="B3074" t="s">
        <v>14</v>
      </c>
      <c r="C3074" t="s">
        <v>27</v>
      </c>
      <c r="D3074" t="s">
        <v>11</v>
      </c>
      <c r="E3074" t="s">
        <v>12</v>
      </c>
      <c r="F3074">
        <v>6065539</v>
      </c>
      <c r="G3074">
        <v>6065635</v>
      </c>
      <c r="H3074">
        <v>6065637</v>
      </c>
      <c r="I3074">
        <v>6065663</v>
      </c>
    </row>
    <row r="3075" spans="1:9" x14ac:dyDescent="0.2">
      <c r="A3075" t="str">
        <f>"Camk2d"</f>
        <v>Camk2d</v>
      </c>
      <c r="B3075" t="s">
        <v>14</v>
      </c>
      <c r="C3075" t="s">
        <v>22</v>
      </c>
      <c r="D3075" t="s">
        <v>17</v>
      </c>
      <c r="E3075" t="s">
        <v>12</v>
      </c>
      <c r="F3075">
        <v>126596993</v>
      </c>
      <c r="G3075">
        <v>126597038</v>
      </c>
      <c r="H3075">
        <v>126596961</v>
      </c>
      <c r="I3075">
        <v>126596986</v>
      </c>
    </row>
    <row r="3076" spans="1:9" x14ac:dyDescent="0.2">
      <c r="A3076" t="str">
        <f>"Camk2g"</f>
        <v>Camk2g</v>
      </c>
      <c r="B3076" t="s">
        <v>14</v>
      </c>
      <c r="C3076" t="s">
        <v>41</v>
      </c>
      <c r="D3076" t="s">
        <v>11</v>
      </c>
      <c r="E3076" t="s">
        <v>12</v>
      </c>
      <c r="F3076">
        <v>20794009</v>
      </c>
      <c r="G3076">
        <v>20794098</v>
      </c>
      <c r="H3076">
        <v>20793983</v>
      </c>
      <c r="I3076">
        <v>20793994</v>
      </c>
    </row>
    <row r="3077" spans="1:9" x14ac:dyDescent="0.2">
      <c r="A3077" t="str">
        <f>"Camk2n1"</f>
        <v>Camk2n1</v>
      </c>
      <c r="B3077" t="s">
        <v>14</v>
      </c>
      <c r="C3077" t="s">
        <v>23</v>
      </c>
      <c r="D3077" t="s">
        <v>17</v>
      </c>
      <c r="E3077" t="s">
        <v>12</v>
      </c>
      <c r="F3077">
        <v>138454378</v>
      </c>
      <c r="G3077">
        <v>138454413</v>
      </c>
      <c r="H3077">
        <v>138454934</v>
      </c>
      <c r="I3077">
        <v>138454948</v>
      </c>
    </row>
    <row r="3078" spans="1:9" x14ac:dyDescent="0.2">
      <c r="A3078" t="str">
        <f>"Camk2n2"</f>
        <v>Camk2n2</v>
      </c>
      <c r="B3078" t="s">
        <v>14</v>
      </c>
      <c r="C3078" t="s">
        <v>31</v>
      </c>
      <c r="D3078" t="s">
        <v>11</v>
      </c>
      <c r="E3078" t="s">
        <v>12</v>
      </c>
      <c r="F3078">
        <v>20621255</v>
      </c>
      <c r="G3078">
        <v>20621304</v>
      </c>
      <c r="H3078">
        <v>20621354</v>
      </c>
      <c r="I3078">
        <v>20621421</v>
      </c>
    </row>
    <row r="3079" spans="1:9" x14ac:dyDescent="0.2">
      <c r="A3079" t="str">
        <f>"Camk4"</f>
        <v>Camk4</v>
      </c>
      <c r="B3079" t="s">
        <v>14</v>
      </c>
      <c r="C3079" t="s">
        <v>43</v>
      </c>
      <c r="D3079" t="s">
        <v>17</v>
      </c>
      <c r="E3079" t="s">
        <v>12</v>
      </c>
      <c r="F3079">
        <v>32939298</v>
      </c>
      <c r="G3079">
        <v>32939397</v>
      </c>
      <c r="H3079">
        <v>32939141</v>
      </c>
      <c r="I3079">
        <v>32939205</v>
      </c>
    </row>
    <row r="3080" spans="1:9" x14ac:dyDescent="0.2">
      <c r="A3080" t="str">
        <f>"Camkk1"</f>
        <v>Camkk1</v>
      </c>
      <c r="B3080" t="s">
        <v>14</v>
      </c>
      <c r="C3080" t="s">
        <v>27</v>
      </c>
      <c r="D3080" t="s">
        <v>17</v>
      </c>
      <c r="E3080" t="s">
        <v>12</v>
      </c>
      <c r="F3080">
        <v>73018986</v>
      </c>
      <c r="G3080">
        <v>73019047</v>
      </c>
      <c r="H3080">
        <v>73018986</v>
      </c>
      <c r="I3080">
        <v>73019047</v>
      </c>
    </row>
    <row r="3081" spans="1:9" x14ac:dyDescent="0.2">
      <c r="A3081" t="str">
        <f>"Camkk2"</f>
        <v>Camkk2</v>
      </c>
      <c r="B3081" t="s">
        <v>14</v>
      </c>
      <c r="C3081" t="s">
        <v>46</v>
      </c>
      <c r="D3081" t="s">
        <v>11</v>
      </c>
      <c r="E3081" t="s">
        <v>12</v>
      </c>
      <c r="F3081">
        <v>122779278</v>
      </c>
      <c r="G3081">
        <v>122779434</v>
      </c>
      <c r="H3081">
        <v>122779449</v>
      </c>
      <c r="I3081">
        <v>122779463</v>
      </c>
    </row>
    <row r="3082" spans="1:9" x14ac:dyDescent="0.2">
      <c r="A3082" t="str">
        <f>"Camkmt"</f>
        <v>Camkmt</v>
      </c>
      <c r="B3082" t="s">
        <v>14</v>
      </c>
      <c r="C3082" t="s">
        <v>28</v>
      </c>
      <c r="D3082" t="s">
        <v>17</v>
      </c>
      <c r="E3082" t="s">
        <v>67</v>
      </c>
      <c r="F3082">
        <v>85090647</v>
      </c>
      <c r="G3082">
        <v>85090721</v>
      </c>
      <c r="H3082">
        <v>85090620</v>
      </c>
      <c r="I3082">
        <v>85090645</v>
      </c>
    </row>
    <row r="3083" spans="1:9" x14ac:dyDescent="0.2">
      <c r="A3083" t="str">
        <f>"Camkv"</f>
        <v>Camkv</v>
      </c>
      <c r="B3083" t="s">
        <v>14</v>
      </c>
      <c r="C3083" t="s">
        <v>24</v>
      </c>
      <c r="D3083" t="s">
        <v>17</v>
      </c>
      <c r="E3083" t="s">
        <v>12</v>
      </c>
      <c r="F3083">
        <v>107935876</v>
      </c>
      <c r="G3083">
        <v>107935938</v>
      </c>
      <c r="H3083">
        <v>107935876</v>
      </c>
      <c r="I3083">
        <v>107935938</v>
      </c>
    </row>
    <row r="3084" spans="1:9" x14ac:dyDescent="0.2">
      <c r="A3084" t="str">
        <f>"Caml"</f>
        <v>Caml</v>
      </c>
      <c r="B3084" t="s">
        <v>14</v>
      </c>
      <c r="C3084" t="s">
        <v>39</v>
      </c>
      <c r="D3084" t="s">
        <v>17</v>
      </c>
      <c r="E3084" t="s">
        <v>12</v>
      </c>
      <c r="F3084">
        <v>55622999</v>
      </c>
      <c r="G3084">
        <v>55623084</v>
      </c>
      <c r="H3084">
        <v>55622685</v>
      </c>
      <c r="I3084">
        <v>55622723</v>
      </c>
    </row>
    <row r="3085" spans="1:9" x14ac:dyDescent="0.2">
      <c r="A3085" t="str">
        <f>"Camp"</f>
        <v>Camp</v>
      </c>
      <c r="B3085" t="s">
        <v>14</v>
      </c>
      <c r="C3085" t="s">
        <v>24</v>
      </c>
      <c r="D3085" t="s">
        <v>11</v>
      </c>
      <c r="E3085" t="s">
        <v>12</v>
      </c>
      <c r="F3085">
        <v>109849440</v>
      </c>
      <c r="G3085">
        <v>109849454</v>
      </c>
      <c r="H3085">
        <v>109849440</v>
      </c>
      <c r="I3085">
        <v>109849454</v>
      </c>
    </row>
    <row r="3086" spans="1:9" x14ac:dyDescent="0.2">
      <c r="A3086" t="str">
        <f>"Camsap1"</f>
        <v>Camsap1</v>
      </c>
      <c r="B3086" t="s">
        <v>14</v>
      </c>
      <c r="C3086" t="s">
        <v>26</v>
      </c>
      <c r="D3086" t="s">
        <v>11</v>
      </c>
      <c r="E3086" t="s">
        <v>12</v>
      </c>
      <c r="F3086">
        <v>25983177</v>
      </c>
      <c r="G3086">
        <v>25983234</v>
      </c>
      <c r="H3086">
        <v>25983236</v>
      </c>
      <c r="I3086">
        <v>25983290</v>
      </c>
    </row>
    <row r="3087" spans="1:9" x14ac:dyDescent="0.2">
      <c r="A3087" t="str">
        <f>"Camsap2"</f>
        <v>Camsap2</v>
      </c>
      <c r="B3087" t="s">
        <v>14</v>
      </c>
      <c r="C3087" t="s">
        <v>19</v>
      </c>
      <c r="D3087" t="s">
        <v>11</v>
      </c>
      <c r="E3087" t="s">
        <v>12</v>
      </c>
      <c r="F3087">
        <v>136346074</v>
      </c>
      <c r="G3087">
        <v>136346145</v>
      </c>
      <c r="H3087">
        <v>136345781</v>
      </c>
      <c r="I3087">
        <v>136345810</v>
      </c>
    </row>
    <row r="3088" spans="1:9" x14ac:dyDescent="0.2">
      <c r="A3088" t="str">
        <f>"Camsap3"</f>
        <v>Camsap3</v>
      </c>
      <c r="B3088" t="s">
        <v>14</v>
      </c>
      <c r="C3088" t="s">
        <v>30</v>
      </c>
      <c r="D3088" t="s">
        <v>17</v>
      </c>
      <c r="E3088" t="s">
        <v>12</v>
      </c>
      <c r="F3088">
        <v>3587640</v>
      </c>
      <c r="G3088">
        <v>3587687</v>
      </c>
      <c r="H3088">
        <v>3587610</v>
      </c>
      <c r="I3088">
        <v>3587637</v>
      </c>
    </row>
    <row r="3089" spans="1:9" x14ac:dyDescent="0.2">
      <c r="A3089" t="str">
        <f>"Camta1"</f>
        <v>Camta1</v>
      </c>
      <c r="B3089" t="s">
        <v>14</v>
      </c>
      <c r="C3089" t="s">
        <v>23</v>
      </c>
      <c r="D3089" t="s">
        <v>11</v>
      </c>
      <c r="E3089" t="s">
        <v>12</v>
      </c>
      <c r="F3089">
        <v>151861698</v>
      </c>
      <c r="G3089">
        <v>151861761</v>
      </c>
      <c r="H3089">
        <v>151861698</v>
      </c>
      <c r="I3089">
        <v>151861761</v>
      </c>
    </row>
    <row r="3090" spans="1:9" x14ac:dyDescent="0.2">
      <c r="A3090" t="str">
        <f>"Camta2"</f>
        <v>Camta2</v>
      </c>
      <c r="B3090" t="s">
        <v>14</v>
      </c>
      <c r="C3090" t="s">
        <v>27</v>
      </c>
      <c r="D3090" t="s">
        <v>11</v>
      </c>
      <c r="E3090" t="s">
        <v>12</v>
      </c>
      <c r="F3090">
        <v>70687917</v>
      </c>
      <c r="G3090">
        <v>70687981</v>
      </c>
      <c r="H3090">
        <v>70688097</v>
      </c>
      <c r="I3090">
        <v>70688132</v>
      </c>
    </row>
    <row r="3091" spans="1:9" x14ac:dyDescent="0.2">
      <c r="A3091" t="str">
        <f>"Cand1"</f>
        <v>Cand1</v>
      </c>
      <c r="B3091" t="s">
        <v>14</v>
      </c>
      <c r="C3091" t="s">
        <v>15</v>
      </c>
      <c r="D3091" t="s">
        <v>11</v>
      </c>
      <c r="E3091" t="s">
        <v>12</v>
      </c>
      <c r="F3091">
        <v>119240006</v>
      </c>
      <c r="G3091">
        <v>119240092</v>
      </c>
      <c r="H3091">
        <v>119240103</v>
      </c>
      <c r="I3091">
        <v>119240130</v>
      </c>
    </row>
    <row r="3092" spans="1:9" x14ac:dyDescent="0.2">
      <c r="A3092" t="str">
        <f>"Cand2"</f>
        <v>Cand2</v>
      </c>
      <c r="B3092" t="s">
        <v>14</v>
      </c>
      <c r="C3092" t="s">
        <v>32</v>
      </c>
      <c r="D3092" t="s">
        <v>17</v>
      </c>
      <c r="E3092" t="s">
        <v>12</v>
      </c>
      <c r="F3092">
        <v>115774564</v>
      </c>
      <c r="G3092">
        <v>115774609</v>
      </c>
      <c r="H3092">
        <v>115774564</v>
      </c>
      <c r="I3092">
        <v>115774609</v>
      </c>
    </row>
    <row r="3093" spans="1:9" x14ac:dyDescent="0.2">
      <c r="A3093" t="str">
        <f>"Cant1"</f>
        <v>Cant1</v>
      </c>
      <c r="B3093" t="s">
        <v>14</v>
      </c>
      <c r="C3093" t="s">
        <v>27</v>
      </c>
      <c r="D3093" t="s">
        <v>11</v>
      </c>
      <c r="E3093" t="s">
        <v>12</v>
      </c>
      <c r="F3093">
        <v>118418956</v>
      </c>
      <c r="G3093">
        <v>118419015</v>
      </c>
      <c r="H3093">
        <v>118419018</v>
      </c>
      <c r="I3093">
        <v>118419046</v>
      </c>
    </row>
    <row r="3094" spans="1:9" x14ac:dyDescent="0.2">
      <c r="A3094" t="str">
        <f>"Canx"</f>
        <v>Canx</v>
      </c>
      <c r="B3094" t="s">
        <v>14</v>
      </c>
      <c r="C3094" t="s">
        <v>27</v>
      </c>
      <c r="D3094" t="s">
        <v>11</v>
      </c>
      <c r="E3094" t="s">
        <v>12</v>
      </c>
      <c r="F3094">
        <v>50325599</v>
      </c>
      <c r="G3094">
        <v>50325666</v>
      </c>
      <c r="H3094">
        <v>50325579</v>
      </c>
      <c r="I3094">
        <v>50325589</v>
      </c>
    </row>
    <row r="3095" spans="1:9" x14ac:dyDescent="0.2">
      <c r="A3095" t="str">
        <f>"Cap1"</f>
        <v>Cap1</v>
      </c>
      <c r="B3095" t="s">
        <v>14</v>
      </c>
      <c r="C3095" t="s">
        <v>23</v>
      </c>
      <c r="D3095" t="s">
        <v>11</v>
      </c>
      <c r="E3095" t="s">
        <v>12</v>
      </c>
      <c r="F3095">
        <v>122885834</v>
      </c>
      <c r="G3095">
        <v>122885897</v>
      </c>
      <c r="H3095">
        <v>122886044</v>
      </c>
      <c r="I3095">
        <v>122886068</v>
      </c>
    </row>
    <row r="3096" spans="1:9" x14ac:dyDescent="0.2">
      <c r="A3096" t="str">
        <f>"Cap2"</f>
        <v>Cap2</v>
      </c>
      <c r="B3096" t="s">
        <v>14</v>
      </c>
      <c r="C3096" t="s">
        <v>39</v>
      </c>
      <c r="D3096" t="s">
        <v>17</v>
      </c>
      <c r="E3096" t="s">
        <v>12</v>
      </c>
      <c r="F3096">
        <v>46502141</v>
      </c>
      <c r="G3096">
        <v>46502187</v>
      </c>
      <c r="H3096">
        <v>46502049</v>
      </c>
      <c r="I3096">
        <v>46502107</v>
      </c>
    </row>
    <row r="3097" spans="1:9" x14ac:dyDescent="0.2">
      <c r="A3097" t="str">
        <f>"Capg"</f>
        <v>Capg</v>
      </c>
      <c r="B3097" t="s">
        <v>14</v>
      </c>
      <c r="C3097" t="s">
        <v>32</v>
      </c>
      <c r="D3097" t="s">
        <v>17</v>
      </c>
      <c r="E3097" t="s">
        <v>12</v>
      </c>
      <c r="F3097">
        <v>72549430</v>
      </c>
      <c r="G3097">
        <v>72549478</v>
      </c>
      <c r="H3097">
        <v>72549430</v>
      </c>
      <c r="I3097">
        <v>72549478</v>
      </c>
    </row>
    <row r="3098" spans="1:9" x14ac:dyDescent="0.2">
      <c r="A3098" t="str">
        <f>"Capn1"</f>
        <v>Capn1</v>
      </c>
      <c r="B3098" t="s">
        <v>14</v>
      </c>
      <c r="C3098" t="s">
        <v>10</v>
      </c>
      <c r="D3098" t="s">
        <v>11</v>
      </c>
      <c r="E3098" t="s">
        <v>12</v>
      </c>
      <c r="F3098">
        <v>6015152</v>
      </c>
      <c r="G3098">
        <v>6015198</v>
      </c>
      <c r="H3098">
        <v>6015769</v>
      </c>
      <c r="I3098">
        <v>6015830</v>
      </c>
    </row>
    <row r="3099" spans="1:9" x14ac:dyDescent="0.2">
      <c r="A3099" t="str">
        <f>"Capn10"</f>
        <v>Capn10</v>
      </c>
      <c r="B3099" t="s">
        <v>14</v>
      </c>
      <c r="C3099" t="s">
        <v>19</v>
      </c>
      <c r="D3099" t="s">
        <v>17</v>
      </c>
      <c r="E3099" t="s">
        <v>12</v>
      </c>
      <c r="F3099">
        <v>92934719</v>
      </c>
      <c r="G3099">
        <v>92934791</v>
      </c>
      <c r="H3099">
        <v>92934419</v>
      </c>
      <c r="I3099">
        <v>92934461</v>
      </c>
    </row>
    <row r="3100" spans="1:9" x14ac:dyDescent="0.2">
      <c r="A3100" t="str">
        <f>"Capn11"</f>
        <v>Capn11</v>
      </c>
      <c r="B3100" t="s">
        <v>14</v>
      </c>
      <c r="C3100" t="s">
        <v>28</v>
      </c>
      <c r="D3100" t="s">
        <v>11</v>
      </c>
      <c r="E3100" t="s">
        <v>12</v>
      </c>
      <c r="F3100">
        <v>45659312</v>
      </c>
      <c r="G3100">
        <v>45659335</v>
      </c>
      <c r="H3100">
        <v>45659312</v>
      </c>
      <c r="I3100">
        <v>45659335</v>
      </c>
    </row>
    <row r="3101" spans="1:9" x14ac:dyDescent="0.2">
      <c r="A3101" t="str">
        <f>"Capn12"</f>
        <v>Capn12</v>
      </c>
      <c r="B3101" t="s">
        <v>14</v>
      </c>
      <c r="C3101" t="s">
        <v>33</v>
      </c>
      <c r="D3101" t="s">
        <v>17</v>
      </c>
      <c r="E3101" t="s">
        <v>12</v>
      </c>
      <c r="F3101">
        <v>28881710</v>
      </c>
      <c r="G3101">
        <v>28881718</v>
      </c>
      <c r="H3101">
        <v>28881710</v>
      </c>
      <c r="I3101">
        <v>28881718</v>
      </c>
    </row>
    <row r="3102" spans="1:9" x14ac:dyDescent="0.2">
      <c r="A3102" t="str">
        <f>"Capn13"</f>
        <v>Capn13</v>
      </c>
      <c r="B3102" t="s">
        <v>14</v>
      </c>
      <c r="C3102" t="s">
        <v>28</v>
      </c>
      <c r="D3102" t="s">
        <v>11</v>
      </c>
      <c r="E3102" t="s">
        <v>12</v>
      </c>
      <c r="F3102">
        <v>73399289</v>
      </c>
      <c r="G3102">
        <v>73399302</v>
      </c>
      <c r="H3102">
        <v>73399269</v>
      </c>
      <c r="I3102">
        <v>73399281</v>
      </c>
    </row>
    <row r="3103" spans="1:9" x14ac:dyDescent="0.2">
      <c r="A3103" t="str">
        <f>"Capn15"</f>
        <v>Capn15</v>
      </c>
      <c r="B3103" t="s">
        <v>14</v>
      </c>
      <c r="C3103" t="s">
        <v>28</v>
      </c>
      <c r="D3103" t="s">
        <v>11</v>
      </c>
      <c r="E3103" t="s">
        <v>67</v>
      </c>
      <c r="F3103">
        <v>25985641</v>
      </c>
      <c r="G3103">
        <v>25985772</v>
      </c>
      <c r="H3103">
        <v>25985773</v>
      </c>
      <c r="I3103">
        <v>25985795</v>
      </c>
    </row>
    <row r="3104" spans="1:9" x14ac:dyDescent="0.2">
      <c r="A3104" t="str">
        <f>"Capn2"</f>
        <v>Capn2</v>
      </c>
      <c r="B3104" t="s">
        <v>14</v>
      </c>
      <c r="C3104" t="s">
        <v>19</v>
      </c>
      <c r="D3104" t="s">
        <v>11</v>
      </c>
      <c r="E3104" t="s">
        <v>12</v>
      </c>
      <c r="F3104">
        <v>182517447</v>
      </c>
      <c r="G3104">
        <v>182517525</v>
      </c>
      <c r="H3104">
        <v>182517564</v>
      </c>
      <c r="I3104">
        <v>182517615</v>
      </c>
    </row>
    <row r="3105" spans="1:9" x14ac:dyDescent="0.2">
      <c r="A3105" t="str">
        <f>"Capn3"</f>
        <v>Capn3</v>
      </c>
      <c r="B3105" t="s">
        <v>14</v>
      </c>
      <c r="C3105" t="s">
        <v>26</v>
      </c>
      <c r="D3105" t="s">
        <v>17</v>
      </c>
      <c r="E3105" t="s">
        <v>12</v>
      </c>
      <c r="F3105">
        <v>120463566</v>
      </c>
      <c r="G3105">
        <v>120463594</v>
      </c>
      <c r="H3105">
        <v>120463566</v>
      </c>
      <c r="I3105">
        <v>120463594</v>
      </c>
    </row>
    <row r="3106" spans="1:9" x14ac:dyDescent="0.2">
      <c r="A3106" t="str">
        <f>"Capn5"</f>
        <v>Capn5</v>
      </c>
      <c r="B3106" t="s">
        <v>14</v>
      </c>
      <c r="C3106" t="s">
        <v>33</v>
      </c>
      <c r="D3106" t="s">
        <v>11</v>
      </c>
      <c r="E3106" t="s">
        <v>12</v>
      </c>
      <c r="F3106">
        <v>98178139</v>
      </c>
      <c r="G3106">
        <v>98178232</v>
      </c>
      <c r="H3106">
        <v>98178254</v>
      </c>
      <c r="I3106">
        <v>98178267</v>
      </c>
    </row>
    <row r="3107" spans="1:9" x14ac:dyDescent="0.2">
      <c r="A3107" t="str">
        <f>"Capn6"</f>
        <v>Capn6</v>
      </c>
      <c r="B3107" t="s">
        <v>14</v>
      </c>
      <c r="C3107" t="s">
        <v>37</v>
      </c>
      <c r="D3107" t="s">
        <v>11</v>
      </c>
      <c r="E3107" t="s">
        <v>12</v>
      </c>
      <c r="F3107">
        <v>143827306</v>
      </c>
      <c r="G3107">
        <v>143827367</v>
      </c>
      <c r="H3107">
        <v>143827391</v>
      </c>
      <c r="I3107">
        <v>143827402</v>
      </c>
    </row>
    <row r="3108" spans="1:9" x14ac:dyDescent="0.2">
      <c r="A3108" t="str">
        <f>"Capn7"</f>
        <v>Capn7</v>
      </c>
      <c r="B3108" t="s">
        <v>14</v>
      </c>
      <c r="C3108" t="s">
        <v>41</v>
      </c>
      <c r="D3108" t="s">
        <v>17</v>
      </c>
      <c r="E3108" t="s">
        <v>12</v>
      </c>
      <c r="F3108">
        <v>31336658</v>
      </c>
      <c r="G3108">
        <v>31336719</v>
      </c>
      <c r="H3108">
        <v>31336633</v>
      </c>
      <c r="I3108">
        <v>31336656</v>
      </c>
    </row>
    <row r="3109" spans="1:9" x14ac:dyDescent="0.2">
      <c r="A3109" t="str">
        <f>"Capn8"</f>
        <v>Capn8</v>
      </c>
      <c r="B3109" t="s">
        <v>14</v>
      </c>
      <c r="C3109" t="s">
        <v>19</v>
      </c>
      <c r="D3109" t="s">
        <v>17</v>
      </c>
      <c r="E3109" t="s">
        <v>12</v>
      </c>
      <c r="F3109">
        <v>182564994</v>
      </c>
      <c r="G3109">
        <v>182565010</v>
      </c>
      <c r="H3109">
        <v>182565012</v>
      </c>
      <c r="I3109">
        <v>182565021</v>
      </c>
    </row>
    <row r="3110" spans="1:9" x14ac:dyDescent="0.2">
      <c r="A3110" t="str">
        <f>"Capn9"</f>
        <v>Capn9</v>
      </c>
      <c r="B3110" t="s">
        <v>14</v>
      </c>
      <c r="C3110" t="s">
        <v>30</v>
      </c>
      <c r="D3110" t="s">
        <v>17</v>
      </c>
      <c r="E3110" t="s">
        <v>12</v>
      </c>
      <c r="F3110">
        <v>124576105</v>
      </c>
      <c r="G3110">
        <v>124576126</v>
      </c>
      <c r="H3110">
        <v>124576075</v>
      </c>
      <c r="I3110">
        <v>124576090</v>
      </c>
    </row>
    <row r="3111" spans="1:9" x14ac:dyDescent="0.2">
      <c r="A3111" t="str">
        <f>"Capns1"</f>
        <v>Capns1</v>
      </c>
      <c r="B3111" t="s">
        <v>14</v>
      </c>
      <c r="C3111" t="s">
        <v>33</v>
      </c>
      <c r="D3111" t="s">
        <v>11</v>
      </c>
      <c r="E3111" t="s">
        <v>12</v>
      </c>
      <c r="F3111">
        <v>30195046</v>
      </c>
      <c r="G3111">
        <v>30195090</v>
      </c>
      <c r="H3111">
        <v>30195020</v>
      </c>
      <c r="I3111">
        <v>30195031</v>
      </c>
    </row>
    <row r="3112" spans="1:9" x14ac:dyDescent="0.2">
      <c r="A3112" t="str">
        <f>"Capns2"</f>
        <v>Capns2</v>
      </c>
      <c r="B3112" t="s">
        <v>14</v>
      </c>
      <c r="C3112" t="s">
        <v>30</v>
      </c>
      <c r="D3112" t="s">
        <v>17</v>
      </c>
      <c r="E3112" t="s">
        <v>12</v>
      </c>
      <c r="F3112">
        <v>92901387</v>
      </c>
      <c r="G3112">
        <v>92901411</v>
      </c>
      <c r="H3112">
        <v>92901448</v>
      </c>
      <c r="I3112">
        <v>92901466</v>
      </c>
    </row>
    <row r="3113" spans="1:9" x14ac:dyDescent="0.2">
      <c r="A3113" t="str">
        <f>"Caprin1"</f>
        <v>Caprin1</v>
      </c>
      <c r="B3113" t="s">
        <v>14</v>
      </c>
      <c r="C3113" t="s">
        <v>26</v>
      </c>
      <c r="D3113" t="s">
        <v>11</v>
      </c>
      <c r="E3113" t="s">
        <v>12</v>
      </c>
      <c r="F3113">
        <v>103796989</v>
      </c>
      <c r="G3113">
        <v>103797088</v>
      </c>
      <c r="H3113">
        <v>103797592</v>
      </c>
      <c r="I3113">
        <v>103797612</v>
      </c>
    </row>
    <row r="3114" spans="1:9" x14ac:dyDescent="0.2">
      <c r="A3114" t="str">
        <f>"Caprin2"</f>
        <v>Caprin2</v>
      </c>
      <c r="B3114" t="s">
        <v>14</v>
      </c>
      <c r="C3114" t="s">
        <v>32</v>
      </c>
      <c r="D3114" t="s">
        <v>11</v>
      </c>
      <c r="E3114" t="s">
        <v>12</v>
      </c>
      <c r="F3114">
        <v>148896174</v>
      </c>
      <c r="G3114">
        <v>148896188</v>
      </c>
      <c r="H3114">
        <v>148896202</v>
      </c>
      <c r="I3114">
        <v>148896215</v>
      </c>
    </row>
    <row r="3115" spans="1:9" x14ac:dyDescent="0.2">
      <c r="A3115" t="str">
        <f>"Caps2"</f>
        <v>Caps2</v>
      </c>
      <c r="B3115" t="s">
        <v>14</v>
      </c>
      <c r="C3115" t="s">
        <v>15</v>
      </c>
      <c r="D3115" t="s">
        <v>17</v>
      </c>
      <c r="E3115" t="s">
        <v>12</v>
      </c>
      <c r="F3115">
        <v>112163362</v>
      </c>
      <c r="G3115">
        <v>112163371</v>
      </c>
      <c r="H3115">
        <v>112163616</v>
      </c>
      <c r="I3115">
        <v>112163626</v>
      </c>
    </row>
    <row r="3116" spans="1:9" x14ac:dyDescent="0.2">
      <c r="A3116" t="str">
        <f>"Capsl"</f>
        <v>Capsl</v>
      </c>
      <c r="B3116" t="s">
        <v>14</v>
      </c>
      <c r="C3116" t="s">
        <v>25</v>
      </c>
      <c r="D3116" t="s">
        <v>17</v>
      </c>
      <c r="E3116" t="s">
        <v>12</v>
      </c>
      <c r="F3116">
        <v>9436039</v>
      </c>
      <c r="G3116">
        <v>9436083</v>
      </c>
      <c r="H3116">
        <v>9436085</v>
      </c>
      <c r="I3116">
        <v>9436103</v>
      </c>
    </row>
    <row r="3117" spans="1:9" x14ac:dyDescent="0.2">
      <c r="A3117" t="str">
        <f>"Capza1"</f>
        <v>Capza1</v>
      </c>
      <c r="B3117" t="s">
        <v>14</v>
      </c>
      <c r="C3117" t="s">
        <v>22</v>
      </c>
      <c r="D3117" t="s">
        <v>11</v>
      </c>
      <c r="E3117" t="s">
        <v>12</v>
      </c>
      <c r="F3117">
        <v>104864964</v>
      </c>
      <c r="G3117">
        <v>104865045</v>
      </c>
      <c r="H3117">
        <v>104864420</v>
      </c>
      <c r="I3117">
        <v>104864450</v>
      </c>
    </row>
    <row r="3118" spans="1:9" x14ac:dyDescent="0.2">
      <c r="A3118" t="str">
        <f>"Capza2"</f>
        <v>Capza2</v>
      </c>
      <c r="B3118" t="s">
        <v>14</v>
      </c>
      <c r="C3118" t="s">
        <v>32</v>
      </c>
      <c r="D3118" t="s">
        <v>17</v>
      </c>
      <c r="E3118" t="s">
        <v>12</v>
      </c>
      <c r="F3118">
        <v>17637059</v>
      </c>
      <c r="G3118">
        <v>17637120</v>
      </c>
      <c r="H3118">
        <v>17637019</v>
      </c>
      <c r="I3118">
        <v>17637055</v>
      </c>
    </row>
    <row r="3119" spans="1:9" x14ac:dyDescent="0.2">
      <c r="A3119" t="str">
        <f>"Capza3"</f>
        <v>Capza3</v>
      </c>
      <c r="B3119" t="s">
        <v>14</v>
      </c>
      <c r="C3119" t="s">
        <v>32</v>
      </c>
      <c r="D3119" t="s">
        <v>17</v>
      </c>
      <c r="E3119" t="s">
        <v>12</v>
      </c>
      <c r="F3119">
        <v>140041549</v>
      </c>
      <c r="G3119">
        <v>140041562</v>
      </c>
      <c r="H3119">
        <v>140041519</v>
      </c>
      <c r="I3119">
        <v>140041530</v>
      </c>
    </row>
    <row r="3120" spans="1:9" x14ac:dyDescent="0.2">
      <c r="A3120" t="str">
        <f>"Capzb"</f>
        <v>Capzb</v>
      </c>
      <c r="B3120" t="s">
        <v>14</v>
      </c>
      <c r="C3120" t="s">
        <v>23</v>
      </c>
      <c r="D3120" t="s">
        <v>17</v>
      </c>
      <c r="E3120" t="s">
        <v>12</v>
      </c>
      <c r="F3120">
        <v>139192917</v>
      </c>
      <c r="G3120">
        <v>139192941</v>
      </c>
      <c r="H3120">
        <v>139192966</v>
      </c>
      <c r="I3120">
        <v>139192994</v>
      </c>
    </row>
    <row r="3121" spans="1:9" x14ac:dyDescent="0.2">
      <c r="A3121" t="str">
        <f>"Car1"</f>
        <v>Car1</v>
      </c>
      <c r="B3121" t="s">
        <v>14</v>
      </c>
      <c r="C3121" t="s">
        <v>22</v>
      </c>
      <c r="D3121" t="s">
        <v>11</v>
      </c>
      <c r="E3121" t="s">
        <v>12</v>
      </c>
      <c r="F3121">
        <v>14778452</v>
      </c>
      <c r="G3121">
        <v>14778466</v>
      </c>
      <c r="H3121">
        <v>14778452</v>
      </c>
      <c r="I3121">
        <v>14778466</v>
      </c>
    </row>
    <row r="3122" spans="1:9" x14ac:dyDescent="0.2">
      <c r="A3122" t="str">
        <f>"Car10"</f>
        <v>Car10</v>
      </c>
      <c r="B3122" t="s">
        <v>14</v>
      </c>
      <c r="C3122" t="s">
        <v>27</v>
      </c>
      <c r="D3122" t="s">
        <v>17</v>
      </c>
      <c r="E3122" t="s">
        <v>12</v>
      </c>
      <c r="F3122">
        <v>93098357</v>
      </c>
      <c r="G3122">
        <v>93098397</v>
      </c>
      <c r="H3122">
        <v>93099284</v>
      </c>
      <c r="I3122">
        <v>93099331</v>
      </c>
    </row>
    <row r="3123" spans="1:9" x14ac:dyDescent="0.2">
      <c r="A3123" t="str">
        <f>"Car11"</f>
        <v>Car11</v>
      </c>
      <c r="B3123" t="s">
        <v>9</v>
      </c>
      <c r="C3123" t="s">
        <v>33</v>
      </c>
      <c r="D3123" t="s">
        <v>17</v>
      </c>
      <c r="E3123" t="s">
        <v>12</v>
      </c>
      <c r="F3123">
        <v>45700980</v>
      </c>
      <c r="G3123">
        <v>45701016</v>
      </c>
      <c r="H3123">
        <v>45700980</v>
      </c>
      <c r="I3123">
        <v>45701016</v>
      </c>
    </row>
    <row r="3124" spans="1:9" x14ac:dyDescent="0.2">
      <c r="A3124" t="str">
        <f>"Car11"</f>
        <v>Car11</v>
      </c>
      <c r="B3124" t="s">
        <v>13</v>
      </c>
      <c r="C3124" t="s">
        <v>33</v>
      </c>
      <c r="D3124" t="s">
        <v>17</v>
      </c>
      <c r="E3124" t="s">
        <v>12</v>
      </c>
      <c r="F3124">
        <v>45699948</v>
      </c>
      <c r="G3124">
        <v>45700037</v>
      </c>
      <c r="H3124">
        <v>45699948</v>
      </c>
      <c r="I3124">
        <v>45700037</v>
      </c>
    </row>
    <row r="3125" spans="1:9" x14ac:dyDescent="0.2">
      <c r="A3125" t="str">
        <f>"Car12"</f>
        <v>Car12</v>
      </c>
      <c r="B3125" t="s">
        <v>14</v>
      </c>
      <c r="C3125" t="s">
        <v>24</v>
      </c>
      <c r="D3125" t="s">
        <v>17</v>
      </c>
      <c r="E3125" t="s">
        <v>12</v>
      </c>
      <c r="F3125">
        <v>66713719</v>
      </c>
      <c r="G3125">
        <v>66713736</v>
      </c>
      <c r="H3125">
        <v>66713709</v>
      </c>
      <c r="I3125">
        <v>66713716</v>
      </c>
    </row>
    <row r="3126" spans="1:9" x14ac:dyDescent="0.2">
      <c r="A3126" t="str">
        <f>"Car13"</f>
        <v>Car13</v>
      </c>
      <c r="B3126" t="s">
        <v>14</v>
      </c>
      <c r="C3126" t="s">
        <v>22</v>
      </c>
      <c r="D3126" t="s">
        <v>17</v>
      </c>
      <c r="E3126" t="s">
        <v>12</v>
      </c>
      <c r="F3126">
        <v>14641760</v>
      </c>
      <c r="G3126">
        <v>14641797</v>
      </c>
      <c r="H3126">
        <v>14641722</v>
      </c>
      <c r="I3126">
        <v>14641754</v>
      </c>
    </row>
    <row r="3127" spans="1:9" x14ac:dyDescent="0.2">
      <c r="A3127" t="str">
        <f>"Car14"</f>
        <v>Car14</v>
      </c>
      <c r="B3127" t="s">
        <v>14</v>
      </c>
      <c r="C3127" t="s">
        <v>22</v>
      </c>
      <c r="D3127" t="s">
        <v>11</v>
      </c>
      <c r="E3127" t="s">
        <v>12</v>
      </c>
      <c r="F3127">
        <v>95904631</v>
      </c>
      <c r="G3127">
        <v>95904646</v>
      </c>
      <c r="H3127">
        <v>95904698</v>
      </c>
      <c r="I3127">
        <v>95904710</v>
      </c>
    </row>
    <row r="3128" spans="1:9" x14ac:dyDescent="0.2">
      <c r="A3128" t="str">
        <f>"Car15"</f>
        <v>Car15</v>
      </c>
      <c r="B3128" t="s">
        <v>14</v>
      </c>
      <c r="C3128" t="s">
        <v>31</v>
      </c>
      <c r="D3128" t="s">
        <v>11</v>
      </c>
      <c r="E3128" t="s">
        <v>12</v>
      </c>
      <c r="F3128">
        <v>17838173</v>
      </c>
      <c r="G3128">
        <v>17838218</v>
      </c>
      <c r="H3128">
        <v>17838173</v>
      </c>
      <c r="I3128">
        <v>17838218</v>
      </c>
    </row>
    <row r="3129" spans="1:9" x14ac:dyDescent="0.2">
      <c r="A3129" t="str">
        <f>"Car2"</f>
        <v>Car2</v>
      </c>
      <c r="B3129" t="s">
        <v>14</v>
      </c>
      <c r="C3129" t="s">
        <v>22</v>
      </c>
      <c r="D3129" t="s">
        <v>17</v>
      </c>
      <c r="E3129" t="s">
        <v>12</v>
      </c>
      <c r="F3129">
        <v>14886683</v>
      </c>
      <c r="G3129">
        <v>14886700</v>
      </c>
      <c r="H3129">
        <v>14886683</v>
      </c>
      <c r="I3129">
        <v>14886700</v>
      </c>
    </row>
    <row r="3130" spans="1:9" x14ac:dyDescent="0.2">
      <c r="A3130" t="str">
        <f>"Car3"</f>
        <v>Car3</v>
      </c>
      <c r="B3130" t="s">
        <v>14</v>
      </c>
      <c r="C3130" t="s">
        <v>22</v>
      </c>
      <c r="D3130" t="s">
        <v>17</v>
      </c>
      <c r="E3130" t="s">
        <v>12</v>
      </c>
      <c r="F3130">
        <v>14863495</v>
      </c>
      <c r="G3130">
        <v>14863521</v>
      </c>
      <c r="H3130">
        <v>14863451</v>
      </c>
      <c r="I3130">
        <v>14863467</v>
      </c>
    </row>
    <row r="3131" spans="1:9" x14ac:dyDescent="0.2">
      <c r="A3131" t="str">
        <f>"Car4"</f>
        <v>Car4</v>
      </c>
      <c r="B3131" t="s">
        <v>14</v>
      </c>
      <c r="C3131" t="s">
        <v>27</v>
      </c>
      <c r="D3131" t="s">
        <v>17</v>
      </c>
      <c r="E3131" t="s">
        <v>12</v>
      </c>
      <c r="F3131">
        <v>84957817</v>
      </c>
      <c r="G3131">
        <v>84957835</v>
      </c>
      <c r="H3131">
        <v>84957775</v>
      </c>
      <c r="I3131">
        <v>84957799</v>
      </c>
    </row>
    <row r="3132" spans="1:9" x14ac:dyDescent="0.2">
      <c r="A3132" t="str">
        <f>"Car5a"</f>
        <v>Car5a</v>
      </c>
      <c r="B3132" t="s">
        <v>14</v>
      </c>
      <c r="C3132" t="s">
        <v>30</v>
      </c>
      <c r="D3132" t="s">
        <v>11</v>
      </c>
      <c r="E3132" t="s">
        <v>12</v>
      </c>
      <c r="F3132">
        <v>121944849</v>
      </c>
      <c r="G3132">
        <v>121944880</v>
      </c>
      <c r="H3132">
        <v>121944886</v>
      </c>
      <c r="I3132">
        <v>121944908</v>
      </c>
    </row>
    <row r="3133" spans="1:9" x14ac:dyDescent="0.2">
      <c r="A3133" t="str">
        <f>"Car5b"</f>
        <v>Car5b</v>
      </c>
      <c r="B3133" t="s">
        <v>14</v>
      </c>
      <c r="C3133" t="s">
        <v>37</v>
      </c>
      <c r="D3133" t="s">
        <v>11</v>
      </c>
      <c r="E3133" t="s">
        <v>12</v>
      </c>
      <c r="F3133">
        <v>164028000</v>
      </c>
      <c r="G3133">
        <v>164028029</v>
      </c>
      <c r="H3133">
        <v>164027965</v>
      </c>
      <c r="I3133">
        <v>164027994</v>
      </c>
    </row>
    <row r="3134" spans="1:9" x14ac:dyDescent="0.2">
      <c r="A3134" t="str">
        <f>"Car6"</f>
        <v>Car6</v>
      </c>
      <c r="B3134" t="s">
        <v>9</v>
      </c>
      <c r="C3134" t="s">
        <v>23</v>
      </c>
      <c r="D3134" t="s">
        <v>11</v>
      </c>
      <c r="E3134" t="s">
        <v>12</v>
      </c>
      <c r="F3134">
        <v>150201125</v>
      </c>
      <c r="G3134">
        <v>150201141</v>
      </c>
      <c r="H3134">
        <v>150201125</v>
      </c>
      <c r="I3134">
        <v>150201141</v>
      </c>
    </row>
    <row r="3135" spans="1:9" x14ac:dyDescent="0.2">
      <c r="A3135" t="str">
        <f>"Car6"</f>
        <v>Car6</v>
      </c>
      <c r="B3135" t="s">
        <v>13</v>
      </c>
      <c r="C3135" t="s">
        <v>23</v>
      </c>
      <c r="D3135" t="s">
        <v>11</v>
      </c>
      <c r="E3135" t="s">
        <v>12</v>
      </c>
      <c r="F3135">
        <v>150198177</v>
      </c>
      <c r="G3135">
        <v>150198199</v>
      </c>
      <c r="H3135">
        <v>150198177</v>
      </c>
      <c r="I3135">
        <v>150198199</v>
      </c>
    </row>
    <row r="3136" spans="1:9" x14ac:dyDescent="0.2">
      <c r="A3136" t="str">
        <f>"Car7"</f>
        <v>Car7</v>
      </c>
      <c r="B3136" t="s">
        <v>14</v>
      </c>
      <c r="C3136" t="s">
        <v>30</v>
      </c>
      <c r="D3136" t="s">
        <v>17</v>
      </c>
      <c r="E3136" t="s">
        <v>12</v>
      </c>
      <c r="F3136">
        <v>104540800</v>
      </c>
      <c r="G3136">
        <v>104540816</v>
      </c>
      <c r="H3136">
        <v>104540770</v>
      </c>
      <c r="I3136">
        <v>104540784</v>
      </c>
    </row>
    <row r="3137" spans="1:9" x14ac:dyDescent="0.2">
      <c r="A3137" t="str">
        <f>"Car8"</f>
        <v>Car8</v>
      </c>
      <c r="B3137" t="s">
        <v>14</v>
      </c>
      <c r="C3137" t="s">
        <v>23</v>
      </c>
      <c r="D3137" t="s">
        <v>11</v>
      </c>
      <c r="E3137" t="s">
        <v>12</v>
      </c>
      <c r="F3137">
        <v>8239034</v>
      </c>
      <c r="G3137">
        <v>8239047</v>
      </c>
      <c r="H3137">
        <v>8239034</v>
      </c>
      <c r="I3137">
        <v>8239047</v>
      </c>
    </row>
    <row r="3138" spans="1:9" x14ac:dyDescent="0.2">
      <c r="A3138" t="str">
        <f>"Car9"</f>
        <v>Car9</v>
      </c>
      <c r="B3138" t="s">
        <v>9</v>
      </c>
      <c r="C3138" t="s">
        <v>23</v>
      </c>
      <c r="D3138" t="s">
        <v>17</v>
      </c>
      <c r="E3138" t="s">
        <v>12</v>
      </c>
      <c r="F3138">
        <v>43507018</v>
      </c>
      <c r="G3138">
        <v>43507034</v>
      </c>
      <c r="H3138">
        <v>43507018</v>
      </c>
      <c r="I3138">
        <v>43507034</v>
      </c>
    </row>
    <row r="3139" spans="1:9" x14ac:dyDescent="0.2">
      <c r="A3139" t="str">
        <f>"Car9"</f>
        <v>Car9</v>
      </c>
      <c r="B3139" t="s">
        <v>13</v>
      </c>
      <c r="C3139" t="s">
        <v>23</v>
      </c>
      <c r="D3139" t="s">
        <v>17</v>
      </c>
      <c r="E3139" t="s">
        <v>12</v>
      </c>
      <c r="F3139">
        <v>43508850</v>
      </c>
      <c r="G3139">
        <v>43508899</v>
      </c>
      <c r="H3139">
        <v>43508850</v>
      </c>
      <c r="I3139">
        <v>43508899</v>
      </c>
    </row>
    <row r="3140" spans="1:9" x14ac:dyDescent="0.2">
      <c r="A3140" t="str">
        <f>"Card10"</f>
        <v>Card10</v>
      </c>
      <c r="B3140" t="s">
        <v>14</v>
      </c>
      <c r="C3140" t="s">
        <v>25</v>
      </c>
      <c r="D3140" t="s">
        <v>11</v>
      </c>
      <c r="E3140" t="s">
        <v>12</v>
      </c>
      <c r="F3140">
        <v>78802885</v>
      </c>
      <c r="G3140">
        <v>78802920</v>
      </c>
      <c r="H3140">
        <v>78803015</v>
      </c>
      <c r="I3140">
        <v>78803050</v>
      </c>
    </row>
    <row r="3141" spans="1:9" x14ac:dyDescent="0.2">
      <c r="A3141" t="str">
        <f>"Card11"</f>
        <v>Card11</v>
      </c>
      <c r="B3141" t="s">
        <v>14</v>
      </c>
      <c r="C3141" t="s">
        <v>46</v>
      </c>
      <c r="D3141" t="s">
        <v>11</v>
      </c>
      <c r="E3141" t="s">
        <v>12</v>
      </c>
      <c r="F3141">
        <v>141000590</v>
      </c>
      <c r="G3141">
        <v>141000632</v>
      </c>
      <c r="H3141">
        <v>141000634</v>
      </c>
      <c r="I3141">
        <v>141000649</v>
      </c>
    </row>
    <row r="3142" spans="1:9" x14ac:dyDescent="0.2">
      <c r="A3142" t="str">
        <f>"Card14"</f>
        <v>Card14</v>
      </c>
      <c r="B3142" t="s">
        <v>9</v>
      </c>
      <c r="C3142" t="s">
        <v>27</v>
      </c>
      <c r="D3142" t="s">
        <v>17</v>
      </c>
      <c r="E3142" t="s">
        <v>12</v>
      </c>
      <c r="F3142">
        <v>119307764</v>
      </c>
      <c r="G3142">
        <v>119307769</v>
      </c>
      <c r="H3142">
        <v>119307764</v>
      </c>
      <c r="I3142">
        <v>119307769</v>
      </c>
    </row>
    <row r="3143" spans="1:9" x14ac:dyDescent="0.2">
      <c r="A3143" t="str">
        <f>"Card14"</f>
        <v>Card14</v>
      </c>
      <c r="B3143" t="s">
        <v>13</v>
      </c>
      <c r="C3143" t="s">
        <v>27</v>
      </c>
      <c r="D3143" t="s">
        <v>17</v>
      </c>
      <c r="E3143" t="s">
        <v>12</v>
      </c>
      <c r="F3143">
        <v>119314827</v>
      </c>
      <c r="G3143">
        <v>119314859</v>
      </c>
      <c r="H3143">
        <v>119314827</v>
      </c>
      <c r="I3143">
        <v>119314859</v>
      </c>
    </row>
    <row r="3144" spans="1:9" x14ac:dyDescent="0.2">
      <c r="A3144" t="str">
        <f>"Card6"</f>
        <v>Card6</v>
      </c>
      <c r="B3144" t="s">
        <v>14</v>
      </c>
      <c r="C3144" t="s">
        <v>25</v>
      </c>
      <c r="D3144" t="s">
        <v>11</v>
      </c>
      <c r="E3144" t="s">
        <v>12</v>
      </c>
      <c r="F3144">
        <v>5108492</v>
      </c>
      <c r="G3144">
        <v>5108565</v>
      </c>
      <c r="H3144">
        <v>5108469</v>
      </c>
      <c r="I3144">
        <v>5108490</v>
      </c>
    </row>
    <row r="3145" spans="1:9" x14ac:dyDescent="0.2">
      <c r="A3145" t="str">
        <f>"Card9"</f>
        <v>Card9</v>
      </c>
      <c r="B3145" t="s">
        <v>14</v>
      </c>
      <c r="C3145" t="s">
        <v>26</v>
      </c>
      <c r="D3145" t="s">
        <v>11</v>
      </c>
      <c r="E3145" t="s">
        <v>12</v>
      </c>
      <c r="F3145">
        <v>26360873</v>
      </c>
      <c r="G3145">
        <v>26360914</v>
      </c>
      <c r="H3145">
        <v>26360843</v>
      </c>
      <c r="I3145">
        <v>26360872</v>
      </c>
    </row>
    <row r="3146" spans="1:9" x14ac:dyDescent="0.2">
      <c r="A3146" t="str">
        <f>"Carf"</f>
        <v>Carf</v>
      </c>
      <c r="B3146" t="s">
        <v>14</v>
      </c>
      <c r="C3146" t="s">
        <v>19</v>
      </c>
      <c r="D3146" t="s">
        <v>17</v>
      </c>
      <c r="E3146" t="s">
        <v>12</v>
      </c>
      <c r="F3146">
        <v>60098254</v>
      </c>
      <c r="G3146">
        <v>60098290</v>
      </c>
      <c r="H3146">
        <v>60098242</v>
      </c>
      <c r="I3146">
        <v>60098251</v>
      </c>
    </row>
    <row r="3147" spans="1:9" x14ac:dyDescent="0.2">
      <c r="A3147" t="str">
        <f>"Carhsp1"</f>
        <v>Carhsp1</v>
      </c>
      <c r="B3147" t="s">
        <v>14</v>
      </c>
      <c r="C3147" t="s">
        <v>31</v>
      </c>
      <c r="D3147" t="s">
        <v>11</v>
      </c>
      <c r="E3147" t="s">
        <v>12</v>
      </c>
      <c r="F3147">
        <v>8672163</v>
      </c>
      <c r="G3147">
        <v>8672186</v>
      </c>
      <c r="H3147">
        <v>8672145</v>
      </c>
      <c r="I3147">
        <v>8672161</v>
      </c>
    </row>
    <row r="3148" spans="1:9" x14ac:dyDescent="0.2">
      <c r="A3148" t="str">
        <f>"Carkd"</f>
        <v>Carkd</v>
      </c>
      <c r="B3148" t="s">
        <v>14</v>
      </c>
      <c r="C3148" t="s">
        <v>30</v>
      </c>
      <c r="D3148" t="s">
        <v>17</v>
      </c>
      <c r="E3148" t="s">
        <v>12</v>
      </c>
      <c r="F3148">
        <v>11497547</v>
      </c>
      <c r="G3148">
        <v>11497616</v>
      </c>
      <c r="H3148">
        <v>11497619</v>
      </c>
      <c r="I3148">
        <v>11497648</v>
      </c>
    </row>
    <row r="3149" spans="1:9" x14ac:dyDescent="0.2">
      <c r="A3149" t="str">
        <f>"Carm1"</f>
        <v>Carm1</v>
      </c>
      <c r="B3149" t="s">
        <v>14</v>
      </c>
      <c r="C3149" t="s">
        <v>24</v>
      </c>
      <c r="D3149" t="s">
        <v>17</v>
      </c>
      <c r="E3149" t="s">
        <v>12</v>
      </c>
      <c r="F3149">
        <v>21546842</v>
      </c>
      <c r="G3149">
        <v>21546936</v>
      </c>
      <c r="H3149">
        <v>21546759</v>
      </c>
      <c r="I3149">
        <v>21546832</v>
      </c>
    </row>
    <row r="3150" spans="1:9" x14ac:dyDescent="0.2">
      <c r="A3150" t="str">
        <f>"Carns1"</f>
        <v>Carns1</v>
      </c>
      <c r="B3150" t="s">
        <v>9</v>
      </c>
      <c r="C3150" t="s">
        <v>10</v>
      </c>
      <c r="D3150" t="s">
        <v>11</v>
      </c>
      <c r="E3150" t="s">
        <v>12</v>
      </c>
      <c r="F3150">
        <v>4175470</v>
      </c>
      <c r="G3150">
        <v>4175484</v>
      </c>
      <c r="H3150">
        <v>4175470</v>
      </c>
      <c r="I3150">
        <v>4175484</v>
      </c>
    </row>
    <row r="3151" spans="1:9" x14ac:dyDescent="0.2">
      <c r="A3151" t="str">
        <f>"Carns1"</f>
        <v>Carns1</v>
      </c>
      <c r="B3151" t="s">
        <v>13</v>
      </c>
      <c r="C3151" t="s">
        <v>10</v>
      </c>
      <c r="D3151" t="s">
        <v>11</v>
      </c>
      <c r="E3151" t="s">
        <v>12</v>
      </c>
      <c r="F3151">
        <v>4170044</v>
      </c>
      <c r="G3151">
        <v>4170090</v>
      </c>
      <c r="H3151">
        <v>4170044</v>
      </c>
      <c r="I3151">
        <v>4170090</v>
      </c>
    </row>
    <row r="3152" spans="1:9" x14ac:dyDescent="0.2">
      <c r="A3152" t="str">
        <f>"Cars"</f>
        <v>Cars</v>
      </c>
      <c r="B3152" t="s">
        <v>14</v>
      </c>
      <c r="C3152" t="s">
        <v>33</v>
      </c>
      <c r="D3152" t="s">
        <v>11</v>
      </c>
      <c r="E3152" t="s">
        <v>12</v>
      </c>
      <c r="F3152">
        <v>143600049</v>
      </c>
      <c r="G3152">
        <v>143600078</v>
      </c>
      <c r="H3152">
        <v>143600049</v>
      </c>
      <c r="I3152">
        <v>143600078</v>
      </c>
    </row>
    <row r="3153" spans="1:9" x14ac:dyDescent="0.2">
      <c r="A3153" t="str">
        <f>"Cars2"</f>
        <v>Cars2</v>
      </c>
      <c r="B3153" t="s">
        <v>14</v>
      </c>
      <c r="C3153" t="s">
        <v>30</v>
      </c>
      <c r="D3153" t="s">
        <v>11</v>
      </c>
      <c r="E3153" t="s">
        <v>12</v>
      </c>
      <c r="F3153">
        <v>11550689</v>
      </c>
      <c r="G3153">
        <v>11550755</v>
      </c>
      <c r="H3153">
        <v>11550689</v>
      </c>
      <c r="I3153">
        <v>11550755</v>
      </c>
    </row>
    <row r="3154" spans="1:9" x14ac:dyDescent="0.2">
      <c r="A3154" t="str">
        <f>"Cartpt"</f>
        <v>Cartpt</v>
      </c>
      <c r="B3154" t="s">
        <v>14</v>
      </c>
      <c r="C3154" t="s">
        <v>39</v>
      </c>
      <c r="D3154" t="s">
        <v>11</v>
      </c>
      <c r="E3154" t="s">
        <v>12</v>
      </c>
      <c r="F3154">
        <v>99900645</v>
      </c>
      <c r="G3154">
        <v>99900669</v>
      </c>
      <c r="H3154">
        <v>99900786</v>
      </c>
      <c r="I3154">
        <v>99900789</v>
      </c>
    </row>
    <row r="3155" spans="1:9" x14ac:dyDescent="0.2">
      <c r="A3155" t="str">
        <f>"Casc1"</f>
        <v>Casc1</v>
      </c>
      <c r="B3155" t="s">
        <v>14</v>
      </c>
      <c r="C3155" t="s">
        <v>32</v>
      </c>
      <c r="D3155" t="s">
        <v>11</v>
      </c>
      <c r="E3155" t="s">
        <v>12</v>
      </c>
      <c r="F3155">
        <v>145210835</v>
      </c>
      <c r="G3155">
        <v>145210894</v>
      </c>
      <c r="H3155">
        <v>145210835</v>
      </c>
      <c r="I3155">
        <v>145210894</v>
      </c>
    </row>
    <row r="3156" spans="1:9" x14ac:dyDescent="0.2">
      <c r="A3156" t="str">
        <f>"Casc3"</f>
        <v>Casc3</v>
      </c>
      <c r="B3156" t="s">
        <v>14</v>
      </c>
      <c r="C3156" t="s">
        <v>27</v>
      </c>
      <c r="D3156" t="s">
        <v>17</v>
      </c>
      <c r="E3156" t="s">
        <v>12</v>
      </c>
      <c r="F3156">
        <v>98809811</v>
      </c>
      <c r="G3156">
        <v>98809864</v>
      </c>
      <c r="H3156">
        <v>98809787</v>
      </c>
      <c r="I3156">
        <v>98809810</v>
      </c>
    </row>
    <row r="3157" spans="1:9" x14ac:dyDescent="0.2">
      <c r="A3157" t="str">
        <f>"Casc4"</f>
        <v>Casc4</v>
      </c>
      <c r="B3157" t="s">
        <v>14</v>
      </c>
      <c r="C3157" t="s">
        <v>26</v>
      </c>
      <c r="D3157" t="s">
        <v>17</v>
      </c>
      <c r="E3157" t="s">
        <v>12</v>
      </c>
      <c r="F3157">
        <v>121866918</v>
      </c>
      <c r="G3157">
        <v>121866997</v>
      </c>
      <c r="H3157">
        <v>121867083</v>
      </c>
      <c r="I3157">
        <v>121867159</v>
      </c>
    </row>
    <row r="3158" spans="1:9" x14ac:dyDescent="0.2">
      <c r="A3158" t="str">
        <f>"Casc5"</f>
        <v>Casc5</v>
      </c>
      <c r="B3158" t="s">
        <v>14</v>
      </c>
      <c r="C3158" t="s">
        <v>26</v>
      </c>
      <c r="D3158" t="s">
        <v>17</v>
      </c>
      <c r="E3158" t="s">
        <v>12</v>
      </c>
      <c r="F3158">
        <v>119047129</v>
      </c>
      <c r="G3158">
        <v>119047159</v>
      </c>
      <c r="H3158">
        <v>119047162</v>
      </c>
      <c r="I3158">
        <v>119047214</v>
      </c>
    </row>
    <row r="3159" spans="1:9" x14ac:dyDescent="0.2">
      <c r="A3159" t="str">
        <f>"Casd1"</f>
        <v>Casd1</v>
      </c>
      <c r="B3159" t="s">
        <v>14</v>
      </c>
      <c r="C3159" t="s">
        <v>32</v>
      </c>
      <c r="D3159" t="s">
        <v>17</v>
      </c>
      <c r="E3159" t="s">
        <v>12</v>
      </c>
      <c r="F3159">
        <v>4600898</v>
      </c>
      <c r="G3159">
        <v>4600956</v>
      </c>
      <c r="H3159">
        <v>4601124</v>
      </c>
      <c r="I3159">
        <v>4601164</v>
      </c>
    </row>
    <row r="3160" spans="1:9" x14ac:dyDescent="0.2">
      <c r="A3160" t="str">
        <f>"Cask"</f>
        <v>Cask</v>
      </c>
      <c r="B3160" t="s">
        <v>14</v>
      </c>
      <c r="C3160" t="s">
        <v>37</v>
      </c>
      <c r="D3160" t="s">
        <v>11</v>
      </c>
      <c r="E3160" t="s">
        <v>12</v>
      </c>
      <c r="F3160">
        <v>13846508</v>
      </c>
      <c r="G3160">
        <v>13846591</v>
      </c>
      <c r="H3160">
        <v>13846746</v>
      </c>
      <c r="I3160">
        <v>13846769</v>
      </c>
    </row>
    <row r="3161" spans="1:9" x14ac:dyDescent="0.2">
      <c r="A3161" t="str">
        <f>"Caskin1"</f>
        <v>Caskin1</v>
      </c>
      <c r="B3161" t="s">
        <v>14</v>
      </c>
      <c r="C3161" t="s">
        <v>28</v>
      </c>
      <c r="D3161" t="s">
        <v>17</v>
      </c>
      <c r="E3161" t="s">
        <v>12</v>
      </c>
      <c r="F3161">
        <v>24488583</v>
      </c>
      <c r="G3161">
        <v>24488666</v>
      </c>
      <c r="H3161">
        <v>24488404</v>
      </c>
      <c r="I3161">
        <v>24488450</v>
      </c>
    </row>
    <row r="3162" spans="1:9" x14ac:dyDescent="0.2">
      <c r="A3162" t="str">
        <f>"Caskin2"</f>
        <v>Caskin2</v>
      </c>
      <c r="B3162" t="s">
        <v>14</v>
      </c>
      <c r="C3162" t="s">
        <v>27</v>
      </c>
      <c r="D3162" t="s">
        <v>11</v>
      </c>
      <c r="E3162" t="s">
        <v>12</v>
      </c>
      <c r="F3162">
        <v>115813563</v>
      </c>
      <c r="G3162">
        <v>115813593</v>
      </c>
      <c r="H3162">
        <v>115813621</v>
      </c>
      <c r="I3162">
        <v>115813654</v>
      </c>
    </row>
    <row r="3163" spans="1:9" x14ac:dyDescent="0.2">
      <c r="A3163" t="str">
        <f>"Casp1"</f>
        <v>Casp1</v>
      </c>
      <c r="B3163" t="s">
        <v>14</v>
      </c>
      <c r="C3163" t="s">
        <v>24</v>
      </c>
      <c r="D3163" t="s">
        <v>17</v>
      </c>
      <c r="E3163" t="s">
        <v>12</v>
      </c>
      <c r="F3163">
        <v>5298669</v>
      </c>
      <c r="G3163">
        <v>5298694</v>
      </c>
      <c r="H3163">
        <v>5298669</v>
      </c>
      <c r="I3163">
        <v>5298694</v>
      </c>
    </row>
    <row r="3164" spans="1:9" x14ac:dyDescent="0.2">
      <c r="A3164" t="str">
        <f>"Casp12"</f>
        <v>Casp12</v>
      </c>
      <c r="B3164" t="s">
        <v>14</v>
      </c>
      <c r="C3164" t="s">
        <v>24</v>
      </c>
      <c r="D3164" t="s">
        <v>17</v>
      </c>
      <c r="E3164" t="s">
        <v>12</v>
      </c>
      <c r="F3164">
        <v>5345450</v>
      </c>
      <c r="G3164">
        <v>5345505</v>
      </c>
      <c r="H3164">
        <v>5345414</v>
      </c>
      <c r="I3164">
        <v>5345435</v>
      </c>
    </row>
    <row r="3165" spans="1:9" x14ac:dyDescent="0.2">
      <c r="A3165" t="str">
        <f>"Casp14"</f>
        <v>Casp14</v>
      </c>
      <c r="B3165" t="s">
        <v>14</v>
      </c>
      <c r="C3165" t="s">
        <v>15</v>
      </c>
      <c r="D3165" t="s">
        <v>11</v>
      </c>
      <c r="E3165" t="s">
        <v>12</v>
      </c>
      <c r="F3165">
        <v>78718270</v>
      </c>
      <c r="G3165">
        <v>78718304</v>
      </c>
      <c r="H3165">
        <v>78718270</v>
      </c>
      <c r="I3165">
        <v>78718304</v>
      </c>
    </row>
    <row r="3166" spans="1:9" x14ac:dyDescent="0.2">
      <c r="A3166" t="str">
        <f>"Casp2"</f>
        <v>Casp2</v>
      </c>
      <c r="B3166" t="s">
        <v>14</v>
      </c>
      <c r="C3166" t="s">
        <v>32</v>
      </c>
      <c r="D3166" t="s">
        <v>17</v>
      </c>
      <c r="E3166" t="s">
        <v>12</v>
      </c>
      <c r="F3166">
        <v>42265041</v>
      </c>
      <c r="G3166">
        <v>42265124</v>
      </c>
      <c r="H3166">
        <v>42264983</v>
      </c>
      <c r="I3166">
        <v>42265032</v>
      </c>
    </row>
    <row r="3167" spans="1:9" x14ac:dyDescent="0.2">
      <c r="A3167" t="str">
        <f>"Casp3"</f>
        <v>Casp3</v>
      </c>
      <c r="B3167" t="s">
        <v>14</v>
      </c>
      <c r="C3167" t="s">
        <v>30</v>
      </c>
      <c r="D3167" t="s">
        <v>17</v>
      </c>
      <c r="E3167" t="s">
        <v>12</v>
      </c>
      <c r="F3167">
        <v>46617426</v>
      </c>
      <c r="G3167">
        <v>46617446</v>
      </c>
      <c r="H3167">
        <v>46617389</v>
      </c>
      <c r="I3167">
        <v>46617417</v>
      </c>
    </row>
    <row r="3168" spans="1:9" x14ac:dyDescent="0.2">
      <c r="A3168" t="str">
        <f>"Casp4"</f>
        <v>Casp4</v>
      </c>
      <c r="B3168" t="s">
        <v>14</v>
      </c>
      <c r="C3168" t="s">
        <v>24</v>
      </c>
      <c r="D3168" t="s">
        <v>17</v>
      </c>
      <c r="E3168" t="s">
        <v>12</v>
      </c>
      <c r="F3168">
        <v>5308842</v>
      </c>
      <c r="G3168">
        <v>5308873</v>
      </c>
      <c r="H3168">
        <v>5308842</v>
      </c>
      <c r="I3168">
        <v>5308873</v>
      </c>
    </row>
    <row r="3169" spans="1:9" x14ac:dyDescent="0.2">
      <c r="A3169" t="str">
        <f>"Casp6"</f>
        <v>Casp6</v>
      </c>
      <c r="B3169" t="s">
        <v>14</v>
      </c>
      <c r="C3169" t="s">
        <v>22</v>
      </c>
      <c r="D3169" t="s">
        <v>17</v>
      </c>
      <c r="E3169" t="s">
        <v>12</v>
      </c>
      <c r="F3169">
        <v>129901431</v>
      </c>
      <c r="G3169">
        <v>129901466</v>
      </c>
      <c r="H3169">
        <v>129901468</v>
      </c>
      <c r="I3169">
        <v>129901490</v>
      </c>
    </row>
    <row r="3170" spans="1:9" x14ac:dyDescent="0.2">
      <c r="A3170" t="str">
        <f>"Casp7"</f>
        <v>Casp7</v>
      </c>
      <c r="B3170" t="s">
        <v>14</v>
      </c>
      <c r="C3170" t="s">
        <v>10</v>
      </c>
      <c r="D3170" t="s">
        <v>17</v>
      </c>
      <c r="E3170" t="s">
        <v>12</v>
      </c>
      <c r="F3170">
        <v>56397231</v>
      </c>
      <c r="G3170">
        <v>56397265</v>
      </c>
      <c r="H3170">
        <v>56397100</v>
      </c>
      <c r="I3170">
        <v>56397157</v>
      </c>
    </row>
    <row r="3171" spans="1:9" x14ac:dyDescent="0.2">
      <c r="A3171" t="str">
        <f>"Casp8"</f>
        <v>Casp8</v>
      </c>
      <c r="B3171" t="s">
        <v>14</v>
      </c>
      <c r="C3171" t="s">
        <v>19</v>
      </c>
      <c r="D3171" t="s">
        <v>17</v>
      </c>
      <c r="E3171" t="s">
        <v>12</v>
      </c>
      <c r="F3171">
        <v>58795371</v>
      </c>
      <c r="G3171">
        <v>58795447</v>
      </c>
      <c r="H3171">
        <v>58795371</v>
      </c>
      <c r="I3171">
        <v>58795447</v>
      </c>
    </row>
    <row r="3172" spans="1:9" x14ac:dyDescent="0.2">
      <c r="A3172" t="str">
        <f>"Casp8ap2"</f>
        <v>Casp8ap2</v>
      </c>
      <c r="B3172" t="s">
        <v>14</v>
      </c>
      <c r="C3172" t="s">
        <v>23</v>
      </c>
      <c r="D3172" t="s">
        <v>17</v>
      </c>
      <c r="E3172" t="s">
        <v>12</v>
      </c>
      <c r="F3172">
        <v>32615428</v>
      </c>
      <c r="G3172">
        <v>32615468</v>
      </c>
      <c r="H3172">
        <v>32615489</v>
      </c>
      <c r="I3172">
        <v>32615505</v>
      </c>
    </row>
    <row r="3173" spans="1:9" x14ac:dyDescent="0.2">
      <c r="A3173" t="str">
        <f>"Casp9"</f>
        <v>Casp9</v>
      </c>
      <c r="B3173" t="s">
        <v>14</v>
      </c>
      <c r="C3173" t="s">
        <v>23</v>
      </c>
      <c r="D3173" t="s">
        <v>17</v>
      </c>
      <c r="E3173" t="s">
        <v>12</v>
      </c>
      <c r="F3173">
        <v>141793818</v>
      </c>
      <c r="G3173">
        <v>141793848</v>
      </c>
      <c r="H3173">
        <v>141793705</v>
      </c>
      <c r="I3173">
        <v>141793735</v>
      </c>
    </row>
    <row r="3174" spans="1:9" x14ac:dyDescent="0.2">
      <c r="A3174" t="str">
        <f>"Casq1"</f>
        <v>Casq1</v>
      </c>
      <c r="B3174" t="s">
        <v>14</v>
      </c>
      <c r="C3174" t="s">
        <v>19</v>
      </c>
      <c r="D3174" t="s">
        <v>11</v>
      </c>
      <c r="E3174" t="s">
        <v>12</v>
      </c>
      <c r="F3174">
        <v>172219832</v>
      </c>
      <c r="G3174">
        <v>172219876</v>
      </c>
      <c r="H3174">
        <v>172219890</v>
      </c>
      <c r="I3174">
        <v>172219901</v>
      </c>
    </row>
    <row r="3175" spans="1:9" x14ac:dyDescent="0.2">
      <c r="A3175" t="str">
        <f>"Casq2"</f>
        <v>Casq2</v>
      </c>
      <c r="B3175" t="s">
        <v>14</v>
      </c>
      <c r="C3175" t="s">
        <v>22</v>
      </c>
      <c r="D3175" t="s">
        <v>17</v>
      </c>
      <c r="E3175" t="s">
        <v>12</v>
      </c>
      <c r="F3175">
        <v>102086471</v>
      </c>
      <c r="G3175">
        <v>102086524</v>
      </c>
      <c r="H3175">
        <v>102086436</v>
      </c>
      <c r="I3175">
        <v>102086447</v>
      </c>
    </row>
    <row r="3176" spans="1:9" x14ac:dyDescent="0.2">
      <c r="A3176" t="str">
        <f>"Casr"</f>
        <v>Casr</v>
      </c>
      <c r="B3176" t="s">
        <v>14</v>
      </c>
      <c r="C3176" t="s">
        <v>31</v>
      </c>
      <c r="D3176" t="s">
        <v>11</v>
      </c>
      <c r="E3176" t="s">
        <v>12</v>
      </c>
      <c r="F3176">
        <v>36561786</v>
      </c>
      <c r="G3176">
        <v>36561799</v>
      </c>
      <c r="H3176">
        <v>36561939</v>
      </c>
      <c r="I3176">
        <v>36561956</v>
      </c>
    </row>
    <row r="3177" spans="1:9" x14ac:dyDescent="0.2">
      <c r="A3177" t="str">
        <f>"Cass4"</f>
        <v>Cass4</v>
      </c>
      <c r="B3177" t="s">
        <v>14</v>
      </c>
      <c r="C3177" t="s">
        <v>26</v>
      </c>
      <c r="D3177" t="s">
        <v>17</v>
      </c>
      <c r="E3177" t="s">
        <v>12</v>
      </c>
      <c r="F3177">
        <v>172393948</v>
      </c>
      <c r="G3177">
        <v>172393964</v>
      </c>
      <c r="H3177">
        <v>172393802</v>
      </c>
      <c r="I3177">
        <v>172393829</v>
      </c>
    </row>
    <row r="3178" spans="1:9" x14ac:dyDescent="0.2">
      <c r="A3178" t="str">
        <f>"Cast"</f>
        <v>Cast</v>
      </c>
      <c r="B3178" t="s">
        <v>14</v>
      </c>
      <c r="C3178" t="s">
        <v>39</v>
      </c>
      <c r="D3178" t="s">
        <v>11</v>
      </c>
      <c r="E3178" t="s">
        <v>12</v>
      </c>
      <c r="F3178">
        <v>74807913</v>
      </c>
      <c r="G3178">
        <v>74807989</v>
      </c>
      <c r="H3178">
        <v>74808610</v>
      </c>
      <c r="I3178">
        <v>74808680</v>
      </c>
    </row>
    <row r="3179" spans="1:9" x14ac:dyDescent="0.2">
      <c r="A3179" t="str">
        <f>"Casz1"</f>
        <v>Casz1</v>
      </c>
      <c r="B3179" t="s">
        <v>14</v>
      </c>
      <c r="C3179" t="s">
        <v>23</v>
      </c>
      <c r="D3179" t="s">
        <v>17</v>
      </c>
      <c r="E3179" t="s">
        <v>12</v>
      </c>
      <c r="F3179">
        <v>148804450</v>
      </c>
      <c r="G3179">
        <v>148804494</v>
      </c>
      <c r="H3179">
        <v>148804450</v>
      </c>
      <c r="I3179">
        <v>148804494</v>
      </c>
    </row>
    <row r="3180" spans="1:9" x14ac:dyDescent="0.2">
      <c r="A3180" t="str">
        <f>"Cat"</f>
        <v>Cat</v>
      </c>
      <c r="B3180" t="s">
        <v>14</v>
      </c>
      <c r="C3180" t="s">
        <v>26</v>
      </c>
      <c r="D3180" t="s">
        <v>11</v>
      </c>
      <c r="E3180" t="s">
        <v>12</v>
      </c>
      <c r="F3180">
        <v>103485068</v>
      </c>
      <c r="G3180">
        <v>103485137</v>
      </c>
      <c r="H3180">
        <v>103485138</v>
      </c>
      <c r="I3180">
        <v>103485158</v>
      </c>
    </row>
    <row r="3181" spans="1:9" x14ac:dyDescent="0.2">
      <c r="A3181" t="str">
        <f>"Catsper1"</f>
        <v>Catsper1</v>
      </c>
      <c r="B3181" t="s">
        <v>14</v>
      </c>
      <c r="C3181" t="s">
        <v>10</v>
      </c>
      <c r="D3181" t="s">
        <v>17</v>
      </c>
      <c r="E3181" t="s">
        <v>12</v>
      </c>
      <c r="F3181">
        <v>5335619</v>
      </c>
      <c r="G3181">
        <v>5335630</v>
      </c>
      <c r="H3181">
        <v>5335619</v>
      </c>
      <c r="I3181">
        <v>5335630</v>
      </c>
    </row>
    <row r="3182" spans="1:9" x14ac:dyDescent="0.2">
      <c r="A3182" t="str">
        <f>"Catsper2"</f>
        <v>Catsper2</v>
      </c>
      <c r="B3182" t="s">
        <v>14</v>
      </c>
      <c r="C3182" t="s">
        <v>26</v>
      </c>
      <c r="D3182" t="s">
        <v>11</v>
      </c>
      <c r="E3182" t="s">
        <v>12</v>
      </c>
      <c r="F3182">
        <v>121413780</v>
      </c>
      <c r="G3182">
        <v>121413814</v>
      </c>
      <c r="H3182">
        <v>121413606</v>
      </c>
      <c r="I3182">
        <v>121413636</v>
      </c>
    </row>
    <row r="3183" spans="1:9" x14ac:dyDescent="0.2">
      <c r="A3183" t="str">
        <f>"Catsper3"</f>
        <v>Catsper3</v>
      </c>
      <c r="B3183" t="s">
        <v>14</v>
      </c>
      <c r="C3183" t="s">
        <v>39</v>
      </c>
      <c r="D3183" t="s">
        <v>17</v>
      </c>
      <c r="E3183" t="s">
        <v>12</v>
      </c>
      <c r="F3183">
        <v>55784574</v>
      </c>
      <c r="G3183">
        <v>55784599</v>
      </c>
      <c r="H3183">
        <v>55784558</v>
      </c>
      <c r="I3183">
        <v>55784564</v>
      </c>
    </row>
    <row r="3184" spans="1:9" x14ac:dyDescent="0.2">
      <c r="A3184" t="str">
        <f>"Catsper4"</f>
        <v>Catsper4</v>
      </c>
      <c r="B3184" t="s">
        <v>14</v>
      </c>
      <c r="C3184" t="s">
        <v>23</v>
      </c>
      <c r="D3184" t="s">
        <v>11</v>
      </c>
      <c r="E3184" t="s">
        <v>12</v>
      </c>
      <c r="F3184">
        <v>134227359</v>
      </c>
      <c r="G3184">
        <v>134227388</v>
      </c>
      <c r="H3184">
        <v>134227390</v>
      </c>
      <c r="I3184">
        <v>134227406</v>
      </c>
    </row>
    <row r="3185" spans="1:9" x14ac:dyDescent="0.2">
      <c r="A3185" t="str">
        <f>"Catsperb"</f>
        <v>Catsperb</v>
      </c>
      <c r="B3185" t="s">
        <v>14</v>
      </c>
      <c r="C3185" t="s">
        <v>16</v>
      </c>
      <c r="D3185" t="s">
        <v>17</v>
      </c>
      <c r="E3185" t="s">
        <v>12</v>
      </c>
      <c r="F3185">
        <v>101404608</v>
      </c>
      <c r="G3185">
        <v>101404635</v>
      </c>
      <c r="H3185">
        <v>101404608</v>
      </c>
      <c r="I3185">
        <v>101404635</v>
      </c>
    </row>
    <row r="3186" spans="1:9" x14ac:dyDescent="0.2">
      <c r="A3186" t="str">
        <f>"Catsperd"</f>
        <v>Catsperd</v>
      </c>
      <c r="B3186" t="s">
        <v>14</v>
      </c>
      <c r="C3186" t="s">
        <v>28</v>
      </c>
      <c r="D3186" t="s">
        <v>17</v>
      </c>
      <c r="E3186" t="s">
        <v>67</v>
      </c>
      <c r="F3186">
        <v>56628118</v>
      </c>
      <c r="G3186">
        <v>56628148</v>
      </c>
      <c r="H3186">
        <v>56628157</v>
      </c>
      <c r="I3186">
        <v>56628171</v>
      </c>
    </row>
    <row r="3187" spans="1:9" x14ac:dyDescent="0.2">
      <c r="A3187" t="str">
        <f>"Catsperg1"</f>
        <v>Catsperg1</v>
      </c>
      <c r="B3187" t="s">
        <v>14</v>
      </c>
      <c r="C3187" t="s">
        <v>33</v>
      </c>
      <c r="D3187" t="s">
        <v>11</v>
      </c>
      <c r="E3187" t="s">
        <v>12</v>
      </c>
      <c r="F3187">
        <v>29211495</v>
      </c>
      <c r="G3187">
        <v>29211538</v>
      </c>
      <c r="H3187">
        <v>29211495</v>
      </c>
      <c r="I3187">
        <v>29211538</v>
      </c>
    </row>
    <row r="3188" spans="1:9" x14ac:dyDescent="0.2">
      <c r="A3188" t="str">
        <f>"Catsperg2"</f>
        <v>Catsperg2</v>
      </c>
      <c r="B3188" t="s">
        <v>14</v>
      </c>
      <c r="C3188" t="s">
        <v>33</v>
      </c>
      <c r="D3188" t="s">
        <v>11</v>
      </c>
      <c r="E3188" t="s">
        <v>12</v>
      </c>
      <c r="F3188">
        <v>29726966</v>
      </c>
      <c r="G3188">
        <v>29726985</v>
      </c>
      <c r="H3188">
        <v>29726991</v>
      </c>
      <c r="I3188">
        <v>29727007</v>
      </c>
    </row>
    <row r="3189" spans="1:9" x14ac:dyDescent="0.2">
      <c r="A3189" t="str">
        <f>"Cav1"</f>
        <v>Cav1</v>
      </c>
      <c r="B3189" t="s">
        <v>9</v>
      </c>
      <c r="C3189" t="s">
        <v>32</v>
      </c>
      <c r="D3189" t="s">
        <v>17</v>
      </c>
      <c r="E3189" t="s">
        <v>12</v>
      </c>
      <c r="F3189">
        <v>17307659</v>
      </c>
      <c r="G3189">
        <v>17307744</v>
      </c>
      <c r="H3189">
        <v>17307659</v>
      </c>
      <c r="I3189">
        <v>17307744</v>
      </c>
    </row>
    <row r="3190" spans="1:9" x14ac:dyDescent="0.2">
      <c r="A3190" t="str">
        <f>"Cav1"</f>
        <v>Cav1</v>
      </c>
      <c r="B3190" t="s">
        <v>13</v>
      </c>
      <c r="C3190" t="s">
        <v>32</v>
      </c>
      <c r="D3190" t="s">
        <v>17</v>
      </c>
      <c r="E3190" t="s">
        <v>12</v>
      </c>
      <c r="F3190">
        <v>17306415</v>
      </c>
      <c r="G3190">
        <v>17306430</v>
      </c>
      <c r="H3190">
        <v>17306415</v>
      </c>
      <c r="I3190">
        <v>17306430</v>
      </c>
    </row>
    <row r="3191" spans="1:9" x14ac:dyDescent="0.2">
      <c r="A3191" t="str">
        <f>"Cav2"</f>
        <v>Cav2</v>
      </c>
      <c r="B3191" t="s">
        <v>14</v>
      </c>
      <c r="C3191" t="s">
        <v>32</v>
      </c>
      <c r="D3191" t="s">
        <v>17</v>
      </c>
      <c r="E3191" t="s">
        <v>12</v>
      </c>
      <c r="F3191">
        <v>17281304</v>
      </c>
      <c r="G3191">
        <v>17281364</v>
      </c>
      <c r="H3191">
        <v>17281191</v>
      </c>
      <c r="I3191">
        <v>17281204</v>
      </c>
    </row>
    <row r="3192" spans="1:9" x14ac:dyDescent="0.2">
      <c r="A3192" t="str">
        <f>"Cav3"</f>
        <v>Cav3</v>
      </c>
      <c r="B3192" t="s">
        <v>14</v>
      </c>
      <c r="C3192" t="s">
        <v>32</v>
      </c>
      <c r="D3192" t="s">
        <v>17</v>
      </c>
      <c r="E3192" t="s">
        <v>12</v>
      </c>
      <c r="F3192">
        <v>112459715</v>
      </c>
      <c r="G3192">
        <v>112459749</v>
      </c>
      <c r="H3192">
        <v>112459715</v>
      </c>
      <c r="I3192">
        <v>112459749</v>
      </c>
    </row>
    <row r="3193" spans="1:9" x14ac:dyDescent="0.2">
      <c r="A3193" t="str">
        <f>"Cbfa2t2"</f>
        <v>Cbfa2t2</v>
      </c>
      <c r="B3193" t="s">
        <v>14</v>
      </c>
      <c r="C3193" t="s">
        <v>26</v>
      </c>
      <c r="D3193" t="s">
        <v>17</v>
      </c>
      <c r="E3193" t="s">
        <v>12</v>
      </c>
      <c r="F3193">
        <v>154436437</v>
      </c>
      <c r="G3193">
        <v>154436497</v>
      </c>
      <c r="H3193">
        <v>154436424</v>
      </c>
      <c r="I3193">
        <v>154436436</v>
      </c>
    </row>
    <row r="3194" spans="1:9" x14ac:dyDescent="0.2">
      <c r="A3194" t="str">
        <f>"Cbfa2t3"</f>
        <v>Cbfa2t3</v>
      </c>
      <c r="B3194" t="s">
        <v>9</v>
      </c>
      <c r="C3194" t="s">
        <v>30</v>
      </c>
      <c r="D3194" t="s">
        <v>11</v>
      </c>
      <c r="E3194" t="s">
        <v>12</v>
      </c>
      <c r="F3194">
        <v>122678130</v>
      </c>
      <c r="G3194">
        <v>122678182</v>
      </c>
      <c r="H3194">
        <v>122678130</v>
      </c>
      <c r="I3194">
        <v>122678182</v>
      </c>
    </row>
    <row r="3195" spans="1:9" x14ac:dyDescent="0.2">
      <c r="A3195" t="str">
        <f>"Cbfa2t3"</f>
        <v>Cbfa2t3</v>
      </c>
      <c r="B3195" t="s">
        <v>13</v>
      </c>
      <c r="C3195" t="s">
        <v>30</v>
      </c>
      <c r="D3195" t="s">
        <v>11</v>
      </c>
      <c r="E3195" t="s">
        <v>12</v>
      </c>
      <c r="F3195">
        <v>122699066</v>
      </c>
      <c r="G3195">
        <v>122699119</v>
      </c>
      <c r="H3195">
        <v>122699066</v>
      </c>
      <c r="I3195">
        <v>122699119</v>
      </c>
    </row>
    <row r="3196" spans="1:9" x14ac:dyDescent="0.2">
      <c r="A3196" t="str">
        <f>"Cbfb"</f>
        <v>Cbfb</v>
      </c>
      <c r="B3196" t="s">
        <v>14</v>
      </c>
      <c r="C3196" t="s">
        <v>30</v>
      </c>
      <c r="D3196" t="s">
        <v>17</v>
      </c>
      <c r="E3196" t="s">
        <v>12</v>
      </c>
      <c r="F3196">
        <v>105170728</v>
      </c>
      <c r="G3196">
        <v>105170759</v>
      </c>
      <c r="H3196">
        <v>105170761</v>
      </c>
      <c r="I3196">
        <v>105170813</v>
      </c>
    </row>
    <row r="3197" spans="1:9" x14ac:dyDescent="0.2">
      <c r="A3197" t="str">
        <f>"Cbl"</f>
        <v>Cbl</v>
      </c>
      <c r="B3197" t="s">
        <v>14</v>
      </c>
      <c r="C3197" t="s">
        <v>24</v>
      </c>
      <c r="D3197" t="s">
        <v>11</v>
      </c>
      <c r="E3197" t="s">
        <v>12</v>
      </c>
      <c r="F3197">
        <v>44233983</v>
      </c>
      <c r="G3197">
        <v>44234003</v>
      </c>
      <c r="H3197">
        <v>44233927</v>
      </c>
      <c r="I3197">
        <v>44233967</v>
      </c>
    </row>
    <row r="3198" spans="1:9" x14ac:dyDescent="0.2">
      <c r="A3198" t="str">
        <f>"Cblb"</f>
        <v>Cblb</v>
      </c>
      <c r="B3198" t="s">
        <v>14</v>
      </c>
      <c r="C3198" t="s">
        <v>31</v>
      </c>
      <c r="D3198" t="s">
        <v>17</v>
      </c>
      <c r="E3198" t="s">
        <v>12</v>
      </c>
      <c r="F3198">
        <v>52031585</v>
      </c>
      <c r="G3198">
        <v>52031646</v>
      </c>
      <c r="H3198">
        <v>52032071</v>
      </c>
      <c r="I3198">
        <v>52032126</v>
      </c>
    </row>
    <row r="3199" spans="1:9" x14ac:dyDescent="0.2">
      <c r="A3199" t="str">
        <f>"Cblc"</f>
        <v>Cblc</v>
      </c>
      <c r="B3199" t="s">
        <v>14</v>
      </c>
      <c r="C3199" t="s">
        <v>33</v>
      </c>
      <c r="D3199" t="s">
        <v>11</v>
      </c>
      <c r="E3199" t="s">
        <v>12</v>
      </c>
      <c r="F3199">
        <v>19796789</v>
      </c>
      <c r="G3199">
        <v>19796829</v>
      </c>
      <c r="H3199">
        <v>19796789</v>
      </c>
      <c r="I3199">
        <v>19796829</v>
      </c>
    </row>
    <row r="3200" spans="1:9" x14ac:dyDescent="0.2">
      <c r="A3200" t="str">
        <f>"Cbll1"</f>
        <v>Cbll1</v>
      </c>
      <c r="B3200" t="s">
        <v>14</v>
      </c>
      <c r="C3200" t="s">
        <v>16</v>
      </c>
      <c r="D3200" t="s">
        <v>11</v>
      </c>
      <c r="E3200" t="s">
        <v>12</v>
      </c>
      <c r="F3200">
        <v>31499541</v>
      </c>
      <c r="G3200">
        <v>31499563</v>
      </c>
      <c r="H3200">
        <v>31499814</v>
      </c>
      <c r="I3200">
        <v>31499828</v>
      </c>
    </row>
    <row r="3201" spans="1:9" x14ac:dyDescent="0.2">
      <c r="A3201" t="str">
        <f>"Cbln1"</f>
        <v>Cbln1</v>
      </c>
      <c r="B3201" t="s">
        <v>14</v>
      </c>
      <c r="C3201" t="s">
        <v>30</v>
      </c>
      <c r="D3201" t="s">
        <v>11</v>
      </c>
      <c r="E3201" t="s">
        <v>12</v>
      </c>
      <c r="F3201">
        <v>87472543</v>
      </c>
      <c r="G3201">
        <v>87472571</v>
      </c>
      <c r="H3201">
        <v>87472615</v>
      </c>
      <c r="I3201">
        <v>87472633</v>
      </c>
    </row>
    <row r="3202" spans="1:9" x14ac:dyDescent="0.2">
      <c r="A3202" t="str">
        <f>"Cbln2"</f>
        <v>Cbln2</v>
      </c>
      <c r="B3202" t="s">
        <v>14</v>
      </c>
      <c r="C3202" t="s">
        <v>43</v>
      </c>
      <c r="D3202" t="s">
        <v>17</v>
      </c>
      <c r="E3202" t="s">
        <v>12</v>
      </c>
      <c r="F3202">
        <v>86711059</v>
      </c>
      <c r="G3202">
        <v>86711063</v>
      </c>
      <c r="H3202">
        <v>86711708</v>
      </c>
      <c r="I3202">
        <v>86711740</v>
      </c>
    </row>
    <row r="3203" spans="1:9" x14ac:dyDescent="0.2">
      <c r="A3203" t="str">
        <f>"Cbln3"</f>
        <v>Cbln3</v>
      </c>
      <c r="B3203" t="s">
        <v>14</v>
      </c>
      <c r="C3203" t="s">
        <v>41</v>
      </c>
      <c r="D3203" t="s">
        <v>11</v>
      </c>
      <c r="E3203" t="s">
        <v>12</v>
      </c>
      <c r="F3203">
        <v>55884197</v>
      </c>
      <c r="G3203">
        <v>55884216</v>
      </c>
      <c r="H3203">
        <v>55884279</v>
      </c>
      <c r="I3203">
        <v>55884311</v>
      </c>
    </row>
    <row r="3204" spans="1:9" x14ac:dyDescent="0.2">
      <c r="A3204" t="str">
        <f>"Cbln4"</f>
        <v>Cbln4</v>
      </c>
      <c r="B3204" t="s">
        <v>14</v>
      </c>
      <c r="C3204" t="s">
        <v>26</v>
      </c>
      <c r="D3204" t="s">
        <v>11</v>
      </c>
      <c r="E3204" t="s">
        <v>12</v>
      </c>
      <c r="F3204">
        <v>172043046</v>
      </c>
      <c r="G3204">
        <v>172043061</v>
      </c>
      <c r="H3204">
        <v>172043522</v>
      </c>
      <c r="I3204">
        <v>172043567</v>
      </c>
    </row>
    <row r="3205" spans="1:9" x14ac:dyDescent="0.2">
      <c r="A3205" t="str">
        <f>"Cbr1"</f>
        <v>Cbr1</v>
      </c>
      <c r="B3205" t="s">
        <v>14</v>
      </c>
      <c r="C3205" t="s">
        <v>31</v>
      </c>
      <c r="D3205" t="s">
        <v>17</v>
      </c>
      <c r="E3205" t="s">
        <v>12</v>
      </c>
      <c r="F3205">
        <v>93607831</v>
      </c>
      <c r="G3205">
        <v>93607896</v>
      </c>
      <c r="H3205">
        <v>93607904</v>
      </c>
      <c r="I3205">
        <v>93607919</v>
      </c>
    </row>
    <row r="3206" spans="1:9" x14ac:dyDescent="0.2">
      <c r="A3206" t="str">
        <f>"Cbr2"</f>
        <v>Cbr2</v>
      </c>
      <c r="B3206" t="s">
        <v>14</v>
      </c>
      <c r="C3206" t="s">
        <v>27</v>
      </c>
      <c r="D3206" t="s">
        <v>11</v>
      </c>
      <c r="E3206" t="s">
        <v>12</v>
      </c>
      <c r="F3206">
        <v>120731983</v>
      </c>
      <c r="G3206">
        <v>120731998</v>
      </c>
      <c r="H3206">
        <v>120731983</v>
      </c>
      <c r="I3206">
        <v>120731998</v>
      </c>
    </row>
    <row r="3207" spans="1:9" x14ac:dyDescent="0.2">
      <c r="A3207" t="str">
        <f>"Cbr3"</f>
        <v>Cbr3</v>
      </c>
      <c r="B3207" t="s">
        <v>14</v>
      </c>
      <c r="C3207" t="s">
        <v>31</v>
      </c>
      <c r="D3207" t="s">
        <v>17</v>
      </c>
      <c r="E3207" t="s">
        <v>12</v>
      </c>
      <c r="F3207">
        <v>93683184</v>
      </c>
      <c r="G3207">
        <v>93683223</v>
      </c>
      <c r="H3207">
        <v>93683229</v>
      </c>
      <c r="I3207">
        <v>93683249</v>
      </c>
    </row>
    <row r="3208" spans="1:9" x14ac:dyDescent="0.2">
      <c r="A3208" t="str">
        <f>"Cbr4"</f>
        <v>Cbr4</v>
      </c>
      <c r="B3208" t="s">
        <v>14</v>
      </c>
      <c r="C3208" t="s">
        <v>30</v>
      </c>
      <c r="D3208" t="s">
        <v>17</v>
      </c>
      <c r="E3208" t="s">
        <v>12</v>
      </c>
      <c r="F3208">
        <v>61487715</v>
      </c>
      <c r="G3208">
        <v>61487751</v>
      </c>
      <c r="H3208">
        <v>61487776</v>
      </c>
      <c r="I3208">
        <v>61487786</v>
      </c>
    </row>
    <row r="3209" spans="1:9" x14ac:dyDescent="0.2">
      <c r="A3209" t="str">
        <f>"Cbs"</f>
        <v>Cbs</v>
      </c>
      <c r="B3209" t="s">
        <v>14</v>
      </c>
      <c r="C3209" t="s">
        <v>28</v>
      </c>
      <c r="D3209" t="s">
        <v>11</v>
      </c>
      <c r="E3209" t="s">
        <v>12</v>
      </c>
      <c r="F3209">
        <v>31637135</v>
      </c>
      <c r="G3209">
        <v>31637185</v>
      </c>
      <c r="H3209">
        <v>31636505</v>
      </c>
      <c r="I3209">
        <v>31636526</v>
      </c>
    </row>
    <row r="3210" spans="1:9" x14ac:dyDescent="0.2">
      <c r="A3210" t="str">
        <f>"Cbwd1"</f>
        <v>Cbwd1</v>
      </c>
      <c r="B3210" t="s">
        <v>14</v>
      </c>
      <c r="C3210" t="s">
        <v>10</v>
      </c>
      <c r="D3210" t="s">
        <v>11</v>
      </c>
      <c r="E3210" t="s">
        <v>12</v>
      </c>
      <c r="F3210">
        <v>24961545</v>
      </c>
      <c r="G3210">
        <v>24961630</v>
      </c>
      <c r="H3210">
        <v>24961545</v>
      </c>
      <c r="I3210">
        <v>24961630</v>
      </c>
    </row>
    <row r="3211" spans="1:9" x14ac:dyDescent="0.2">
      <c r="A3211" t="str">
        <f>"Cbx1"</f>
        <v>Cbx1</v>
      </c>
      <c r="B3211" t="s">
        <v>14</v>
      </c>
      <c r="C3211" t="s">
        <v>27</v>
      </c>
      <c r="D3211" t="s">
        <v>17</v>
      </c>
      <c r="E3211" t="s">
        <v>12</v>
      </c>
      <c r="F3211">
        <v>96789118</v>
      </c>
      <c r="G3211">
        <v>96789146</v>
      </c>
      <c r="H3211">
        <v>96789149</v>
      </c>
      <c r="I3211">
        <v>96789206</v>
      </c>
    </row>
    <row r="3212" spans="1:9" x14ac:dyDescent="0.2">
      <c r="A3212" t="str">
        <f>"Cbx2"</f>
        <v>Cbx2</v>
      </c>
      <c r="B3212" t="s">
        <v>14</v>
      </c>
      <c r="C3212" t="s">
        <v>27</v>
      </c>
      <c r="D3212" t="s">
        <v>17</v>
      </c>
      <c r="E3212" t="s">
        <v>12</v>
      </c>
      <c r="F3212">
        <v>119023032</v>
      </c>
      <c r="G3212">
        <v>119023104</v>
      </c>
      <c r="H3212">
        <v>119023032</v>
      </c>
      <c r="I3212">
        <v>119023104</v>
      </c>
    </row>
    <row r="3213" spans="1:9" x14ac:dyDescent="0.2">
      <c r="A3213" t="str">
        <f>"Cbx3"</f>
        <v>Cbx3</v>
      </c>
      <c r="B3213" t="s">
        <v>14</v>
      </c>
      <c r="C3213" t="s">
        <v>32</v>
      </c>
      <c r="D3213" t="s">
        <v>17</v>
      </c>
      <c r="E3213" t="s">
        <v>12</v>
      </c>
      <c r="F3213">
        <v>51470633</v>
      </c>
      <c r="G3213">
        <v>51470673</v>
      </c>
      <c r="H3213">
        <v>51470433</v>
      </c>
      <c r="I3213">
        <v>51470478</v>
      </c>
    </row>
    <row r="3214" spans="1:9" x14ac:dyDescent="0.2">
      <c r="A3214" t="str">
        <f>"Cbx4"</f>
        <v>Cbx4</v>
      </c>
      <c r="B3214" t="s">
        <v>14</v>
      </c>
      <c r="C3214" t="s">
        <v>27</v>
      </c>
      <c r="D3214" t="s">
        <v>11</v>
      </c>
      <c r="E3214" t="s">
        <v>12</v>
      </c>
      <c r="F3214">
        <v>119086231</v>
      </c>
      <c r="G3214">
        <v>119086250</v>
      </c>
      <c r="H3214">
        <v>119086266</v>
      </c>
      <c r="I3214">
        <v>119086284</v>
      </c>
    </row>
    <row r="3215" spans="1:9" x14ac:dyDescent="0.2">
      <c r="A3215" t="str">
        <f>"Cbx5"</f>
        <v>Cbx5</v>
      </c>
      <c r="B3215" t="s">
        <v>14</v>
      </c>
      <c r="C3215" t="s">
        <v>25</v>
      </c>
      <c r="D3215" t="s">
        <v>11</v>
      </c>
      <c r="E3215" t="s">
        <v>12</v>
      </c>
      <c r="F3215">
        <v>103239812</v>
      </c>
      <c r="G3215">
        <v>103239888</v>
      </c>
      <c r="H3215">
        <v>103239812</v>
      </c>
      <c r="I3215">
        <v>103239888</v>
      </c>
    </row>
    <row r="3216" spans="1:9" x14ac:dyDescent="0.2">
      <c r="A3216" t="str">
        <f>"Cbx6"</f>
        <v>Cbx6</v>
      </c>
      <c r="B3216" t="s">
        <v>14</v>
      </c>
      <c r="C3216" t="s">
        <v>25</v>
      </c>
      <c r="D3216" t="s">
        <v>11</v>
      </c>
      <c r="E3216" t="s">
        <v>12</v>
      </c>
      <c r="F3216">
        <v>79834224</v>
      </c>
      <c r="G3216">
        <v>79834245</v>
      </c>
      <c r="H3216">
        <v>79834261</v>
      </c>
      <c r="I3216">
        <v>79834285</v>
      </c>
    </row>
    <row r="3217" spans="1:9" x14ac:dyDescent="0.2">
      <c r="A3217" t="str">
        <f>"Cbx7"</f>
        <v>Cbx7</v>
      </c>
      <c r="B3217" t="s">
        <v>14</v>
      </c>
      <c r="C3217" t="s">
        <v>25</v>
      </c>
      <c r="D3217" t="s">
        <v>11</v>
      </c>
      <c r="E3217" t="s">
        <v>12</v>
      </c>
      <c r="F3217">
        <v>79932716</v>
      </c>
      <c r="G3217">
        <v>79932782</v>
      </c>
      <c r="H3217">
        <v>79932584</v>
      </c>
      <c r="I3217">
        <v>79932665</v>
      </c>
    </row>
    <row r="3218" spans="1:9" x14ac:dyDescent="0.2">
      <c r="A3218" t="str">
        <f>"Cbx8"</f>
        <v>Cbx8</v>
      </c>
      <c r="B3218" t="s">
        <v>14</v>
      </c>
      <c r="C3218" t="s">
        <v>27</v>
      </c>
      <c r="D3218" t="s">
        <v>11</v>
      </c>
      <c r="E3218" t="s">
        <v>12</v>
      </c>
      <c r="F3218">
        <v>119040883</v>
      </c>
      <c r="G3218">
        <v>119040903</v>
      </c>
      <c r="H3218">
        <v>119040905</v>
      </c>
      <c r="I3218">
        <v>119040937</v>
      </c>
    </row>
    <row r="3219" spans="1:9" x14ac:dyDescent="0.2">
      <c r="A3219" t="str">
        <f>"Cby1"</f>
        <v>Cby1</v>
      </c>
      <c r="B3219" t="s">
        <v>14</v>
      </c>
      <c r="C3219" t="s">
        <v>25</v>
      </c>
      <c r="D3219" t="s">
        <v>17</v>
      </c>
      <c r="E3219" t="s">
        <v>12</v>
      </c>
      <c r="F3219">
        <v>79659196</v>
      </c>
      <c r="G3219">
        <v>79659267</v>
      </c>
      <c r="H3219">
        <v>79659188</v>
      </c>
      <c r="I3219">
        <v>79659194</v>
      </c>
    </row>
    <row r="3220" spans="1:9" x14ac:dyDescent="0.2">
      <c r="A3220" t="str">
        <f>"Cby3"</f>
        <v>Cby3</v>
      </c>
      <c r="B3220" t="s">
        <v>14</v>
      </c>
      <c r="C3220" t="s">
        <v>27</v>
      </c>
      <c r="D3220" t="s">
        <v>17</v>
      </c>
      <c r="E3220" t="s">
        <v>12</v>
      </c>
      <c r="F3220">
        <v>50357759</v>
      </c>
      <c r="G3220">
        <v>50357773</v>
      </c>
      <c r="H3220">
        <v>50357759</v>
      </c>
      <c r="I3220">
        <v>50357773</v>
      </c>
    </row>
    <row r="3221" spans="1:9" x14ac:dyDescent="0.2">
      <c r="A3221" t="str">
        <f>"Cc2d1a"</f>
        <v>Cc2d1a</v>
      </c>
      <c r="B3221" t="s">
        <v>14</v>
      </c>
      <c r="C3221" t="s">
        <v>30</v>
      </c>
      <c r="D3221" t="s">
        <v>11</v>
      </c>
      <c r="E3221" t="s">
        <v>12</v>
      </c>
      <c r="F3221">
        <v>84147858</v>
      </c>
      <c r="G3221">
        <v>84147942</v>
      </c>
      <c r="H3221">
        <v>84147793</v>
      </c>
      <c r="I3221">
        <v>84147820</v>
      </c>
    </row>
    <row r="3222" spans="1:9" x14ac:dyDescent="0.2">
      <c r="A3222" t="str">
        <f>"Cc2d1b"</f>
        <v>Cc2d1b</v>
      </c>
      <c r="B3222" t="s">
        <v>14</v>
      </c>
      <c r="C3222" t="s">
        <v>23</v>
      </c>
      <c r="D3222" t="s">
        <v>17</v>
      </c>
      <c r="E3222" t="s">
        <v>12</v>
      </c>
      <c r="F3222">
        <v>108619925</v>
      </c>
      <c r="G3222">
        <v>108619994</v>
      </c>
      <c r="H3222">
        <v>108620009</v>
      </c>
      <c r="I3222">
        <v>108620027</v>
      </c>
    </row>
    <row r="3223" spans="1:9" x14ac:dyDescent="0.2">
      <c r="A3223" t="str">
        <f>"Cc2d2a"</f>
        <v>Cc2d2a</v>
      </c>
      <c r="B3223" t="s">
        <v>9</v>
      </c>
      <c r="C3223" t="s">
        <v>46</v>
      </c>
      <c r="D3223" t="s">
        <v>17</v>
      </c>
      <c r="E3223" t="s">
        <v>12</v>
      </c>
      <c r="F3223">
        <v>43662386</v>
      </c>
      <c r="G3223">
        <v>43662406</v>
      </c>
      <c r="H3223">
        <v>43662386</v>
      </c>
      <c r="I3223">
        <v>43662406</v>
      </c>
    </row>
    <row r="3224" spans="1:9" x14ac:dyDescent="0.2">
      <c r="A3224" t="str">
        <f>"Cc2d2a"</f>
        <v>Cc2d2a</v>
      </c>
      <c r="B3224" t="s">
        <v>13</v>
      </c>
      <c r="C3224" t="s">
        <v>46</v>
      </c>
      <c r="D3224" t="s">
        <v>17</v>
      </c>
      <c r="E3224" t="s">
        <v>12</v>
      </c>
      <c r="F3224">
        <v>43672304</v>
      </c>
      <c r="G3224">
        <v>43672326</v>
      </c>
      <c r="H3224">
        <v>43672304</v>
      </c>
      <c r="I3224">
        <v>43672326</v>
      </c>
    </row>
    <row r="3225" spans="1:9" x14ac:dyDescent="0.2">
      <c r="A3225" t="str">
        <f>"Ccar1"</f>
        <v>Ccar1</v>
      </c>
      <c r="B3225" t="s">
        <v>14</v>
      </c>
      <c r="C3225" t="s">
        <v>15</v>
      </c>
      <c r="D3225" t="s">
        <v>11</v>
      </c>
      <c r="E3225" t="s">
        <v>12</v>
      </c>
      <c r="F3225">
        <v>62792243</v>
      </c>
      <c r="G3225">
        <v>62792290</v>
      </c>
      <c r="H3225">
        <v>62792454</v>
      </c>
      <c r="I3225">
        <v>62792501</v>
      </c>
    </row>
    <row r="3226" spans="1:9" x14ac:dyDescent="0.2">
      <c r="A3226" t="str">
        <f>"Ccar2"</f>
        <v>Ccar2</v>
      </c>
      <c r="B3226" t="s">
        <v>14</v>
      </c>
      <c r="C3226" t="s">
        <v>41</v>
      </c>
      <c r="D3226" t="s">
        <v>11</v>
      </c>
      <c r="E3226" t="s">
        <v>67</v>
      </c>
      <c r="F3226">
        <v>70153685</v>
      </c>
      <c r="G3226">
        <v>70153733</v>
      </c>
      <c r="H3226">
        <v>70153817</v>
      </c>
      <c r="I3226">
        <v>70153846</v>
      </c>
    </row>
    <row r="3227" spans="1:9" x14ac:dyDescent="0.2">
      <c r="A3227" t="str">
        <f>"Ccbe1"</f>
        <v>Ccbe1</v>
      </c>
      <c r="B3227" t="s">
        <v>14</v>
      </c>
      <c r="C3227" t="s">
        <v>43</v>
      </c>
      <c r="D3227" t="s">
        <v>11</v>
      </c>
      <c r="E3227" t="s">
        <v>12</v>
      </c>
      <c r="F3227">
        <v>66291770</v>
      </c>
      <c r="G3227">
        <v>66291840</v>
      </c>
      <c r="H3227">
        <v>66291770</v>
      </c>
      <c r="I3227">
        <v>66291840</v>
      </c>
    </row>
    <row r="3228" spans="1:9" x14ac:dyDescent="0.2">
      <c r="A3228" t="str">
        <f>"Ccbl1"</f>
        <v>Ccbl1</v>
      </c>
      <c r="B3228" t="s">
        <v>14</v>
      </c>
      <c r="C3228" t="s">
        <v>26</v>
      </c>
      <c r="D3228" t="s">
        <v>11</v>
      </c>
      <c r="E3228" t="s">
        <v>12</v>
      </c>
      <c r="F3228">
        <v>30205794</v>
      </c>
      <c r="G3228">
        <v>30205835</v>
      </c>
      <c r="H3228">
        <v>30205772</v>
      </c>
      <c r="I3228">
        <v>30205791</v>
      </c>
    </row>
    <row r="3229" spans="1:9" x14ac:dyDescent="0.2">
      <c r="A3229" t="str">
        <f>"Ccbl2"</f>
        <v>Ccbl2</v>
      </c>
      <c r="B3229" t="s">
        <v>14</v>
      </c>
      <c r="C3229" t="s">
        <v>22</v>
      </c>
      <c r="D3229" t="s">
        <v>17</v>
      </c>
      <c r="E3229" t="s">
        <v>12</v>
      </c>
      <c r="F3229">
        <v>142701067</v>
      </c>
      <c r="G3229">
        <v>142701105</v>
      </c>
      <c r="H3229">
        <v>142701044</v>
      </c>
      <c r="I3229">
        <v>142701065</v>
      </c>
    </row>
    <row r="3230" spans="1:9" x14ac:dyDescent="0.2">
      <c r="A3230" t="str">
        <f>"Ccdc101"</f>
        <v>Ccdc101</v>
      </c>
      <c r="B3230" t="s">
        <v>14</v>
      </c>
      <c r="C3230" t="s">
        <v>33</v>
      </c>
      <c r="D3230" t="s">
        <v>17</v>
      </c>
      <c r="E3230" t="s">
        <v>12</v>
      </c>
      <c r="F3230">
        <v>126649297</v>
      </c>
      <c r="G3230">
        <v>126649344</v>
      </c>
      <c r="H3230">
        <v>126649350</v>
      </c>
      <c r="I3230">
        <v>126649367</v>
      </c>
    </row>
    <row r="3231" spans="1:9" x14ac:dyDescent="0.2">
      <c r="A3231" t="str">
        <f>"Ccdc102a"</f>
        <v>Ccdc102a</v>
      </c>
      <c r="B3231" t="s">
        <v>14</v>
      </c>
      <c r="C3231" t="s">
        <v>30</v>
      </c>
      <c r="D3231" t="s">
        <v>11</v>
      </c>
      <c r="E3231" t="s">
        <v>12</v>
      </c>
      <c r="F3231">
        <v>94918012</v>
      </c>
      <c r="G3231">
        <v>94918084</v>
      </c>
      <c r="H3231">
        <v>94918012</v>
      </c>
      <c r="I3231">
        <v>94918084</v>
      </c>
    </row>
    <row r="3232" spans="1:9" x14ac:dyDescent="0.2">
      <c r="A3232" t="str">
        <f>"Ccdc103"</f>
        <v>Ccdc103</v>
      </c>
      <c r="B3232" t="s">
        <v>14</v>
      </c>
      <c r="C3232" t="s">
        <v>27</v>
      </c>
      <c r="D3232" t="s">
        <v>17</v>
      </c>
      <c r="E3232" t="s">
        <v>12</v>
      </c>
      <c r="F3232">
        <v>102881215</v>
      </c>
      <c r="G3232">
        <v>102881246</v>
      </c>
      <c r="H3232">
        <v>102881264</v>
      </c>
      <c r="I3232">
        <v>102881278</v>
      </c>
    </row>
    <row r="3233" spans="1:9" x14ac:dyDescent="0.2">
      <c r="A3233" t="str">
        <f>"Ccdc104"</f>
        <v>Ccdc104</v>
      </c>
      <c r="B3233" t="s">
        <v>14</v>
      </c>
      <c r="C3233" t="s">
        <v>27</v>
      </c>
      <c r="D3233" t="s">
        <v>11</v>
      </c>
      <c r="E3233" t="s">
        <v>12</v>
      </c>
      <c r="F3233">
        <v>29247208</v>
      </c>
      <c r="G3233">
        <v>29247329</v>
      </c>
      <c r="H3233">
        <v>29247463</v>
      </c>
      <c r="I3233">
        <v>29247486</v>
      </c>
    </row>
    <row r="3234" spans="1:9" x14ac:dyDescent="0.2">
      <c r="A3234" t="str">
        <f>"Ccdc105"</f>
        <v>Ccdc105</v>
      </c>
      <c r="B3234" t="s">
        <v>14</v>
      </c>
      <c r="C3234" t="s">
        <v>15</v>
      </c>
      <c r="D3234" t="s">
        <v>11</v>
      </c>
      <c r="E3234" t="s">
        <v>12</v>
      </c>
      <c r="F3234">
        <v>78753046</v>
      </c>
      <c r="G3234">
        <v>78753076</v>
      </c>
      <c r="H3234">
        <v>78753046</v>
      </c>
      <c r="I3234">
        <v>78753076</v>
      </c>
    </row>
    <row r="3235" spans="1:9" x14ac:dyDescent="0.2">
      <c r="A3235" t="str">
        <f>"Ccdc106"</f>
        <v>Ccdc106</v>
      </c>
      <c r="B3235" t="s">
        <v>14</v>
      </c>
      <c r="C3235" t="s">
        <v>33</v>
      </c>
      <c r="D3235" t="s">
        <v>17</v>
      </c>
      <c r="E3235" t="s">
        <v>12</v>
      </c>
      <c r="F3235">
        <v>5056706</v>
      </c>
      <c r="G3235">
        <v>5056741</v>
      </c>
      <c r="H3235">
        <v>5056882</v>
      </c>
      <c r="I3235">
        <v>5056906</v>
      </c>
    </row>
    <row r="3236" spans="1:9" x14ac:dyDescent="0.2">
      <c r="A3236" t="str">
        <f>"Ccdc107"</f>
        <v>Ccdc107</v>
      </c>
      <c r="B3236" t="s">
        <v>14</v>
      </c>
      <c r="C3236" t="s">
        <v>23</v>
      </c>
      <c r="D3236" t="s">
        <v>17</v>
      </c>
      <c r="E3236" t="s">
        <v>12</v>
      </c>
      <c r="F3236">
        <v>43493345</v>
      </c>
      <c r="G3236">
        <v>43493430</v>
      </c>
      <c r="H3236">
        <v>43492823</v>
      </c>
      <c r="I3236">
        <v>43492841</v>
      </c>
    </row>
    <row r="3237" spans="1:9" x14ac:dyDescent="0.2">
      <c r="A3237" t="str">
        <f>"Ccdc108"</f>
        <v>Ccdc108</v>
      </c>
      <c r="B3237" t="s">
        <v>14</v>
      </c>
      <c r="C3237" t="s">
        <v>19</v>
      </c>
      <c r="D3237" t="s">
        <v>11</v>
      </c>
      <c r="E3237" t="s">
        <v>12</v>
      </c>
      <c r="F3237">
        <v>74935549</v>
      </c>
      <c r="G3237">
        <v>74935613</v>
      </c>
      <c r="H3237">
        <v>74935549</v>
      </c>
      <c r="I3237">
        <v>74935613</v>
      </c>
    </row>
    <row r="3238" spans="1:9" x14ac:dyDescent="0.2">
      <c r="A3238" t="str">
        <f>"Ccdc109b"</f>
        <v>Ccdc109b</v>
      </c>
      <c r="B3238" t="s">
        <v>14</v>
      </c>
      <c r="C3238" t="s">
        <v>22</v>
      </c>
      <c r="D3238" t="s">
        <v>11</v>
      </c>
      <c r="E3238" t="s">
        <v>12</v>
      </c>
      <c r="F3238">
        <v>129970057</v>
      </c>
      <c r="G3238">
        <v>129970130</v>
      </c>
      <c r="H3238">
        <v>129970152</v>
      </c>
      <c r="I3238">
        <v>129970167</v>
      </c>
    </row>
    <row r="3239" spans="1:9" x14ac:dyDescent="0.2">
      <c r="A3239" t="str">
        <f>"Ccdc11"</f>
        <v>Ccdc11</v>
      </c>
      <c r="B3239" t="s">
        <v>14</v>
      </c>
      <c r="C3239" t="s">
        <v>43</v>
      </c>
      <c r="D3239" t="s">
        <v>17</v>
      </c>
      <c r="E3239" t="s">
        <v>12</v>
      </c>
      <c r="F3239">
        <v>74283098</v>
      </c>
      <c r="G3239">
        <v>74283131</v>
      </c>
      <c r="H3239">
        <v>74283154</v>
      </c>
      <c r="I3239">
        <v>74283173</v>
      </c>
    </row>
    <row r="3240" spans="1:9" x14ac:dyDescent="0.2">
      <c r="A3240" t="str">
        <f>"Ccdc110"</f>
        <v>Ccdc110</v>
      </c>
      <c r="B3240" t="s">
        <v>14</v>
      </c>
      <c r="C3240" t="s">
        <v>30</v>
      </c>
      <c r="D3240" t="s">
        <v>17</v>
      </c>
      <c r="E3240" t="s">
        <v>12</v>
      </c>
      <c r="F3240">
        <v>45934610</v>
      </c>
      <c r="G3240">
        <v>45934661</v>
      </c>
      <c r="H3240">
        <v>45934674</v>
      </c>
      <c r="I3240">
        <v>45934677</v>
      </c>
    </row>
    <row r="3241" spans="1:9" x14ac:dyDescent="0.2">
      <c r="A3241" t="str">
        <f>"Ccdc111"</f>
        <v>Ccdc111</v>
      </c>
      <c r="B3241" t="s">
        <v>14</v>
      </c>
      <c r="C3241" t="s">
        <v>30</v>
      </c>
      <c r="D3241" t="s">
        <v>11</v>
      </c>
      <c r="E3241" t="s">
        <v>12</v>
      </c>
      <c r="F3241">
        <v>46617167</v>
      </c>
      <c r="G3241">
        <v>46617225</v>
      </c>
      <c r="H3241">
        <v>46617167</v>
      </c>
      <c r="I3241">
        <v>46617225</v>
      </c>
    </row>
    <row r="3242" spans="1:9" x14ac:dyDescent="0.2">
      <c r="A3242" t="str">
        <f>"Ccdc112"</f>
        <v>Ccdc112</v>
      </c>
      <c r="B3242" t="s">
        <v>14</v>
      </c>
      <c r="C3242" t="s">
        <v>43</v>
      </c>
      <c r="D3242" t="s">
        <v>11</v>
      </c>
      <c r="E3242" t="s">
        <v>12</v>
      </c>
      <c r="F3242">
        <v>46311891</v>
      </c>
      <c r="G3242">
        <v>46311926</v>
      </c>
      <c r="H3242">
        <v>46311811</v>
      </c>
      <c r="I3242">
        <v>46311834</v>
      </c>
    </row>
    <row r="3243" spans="1:9" x14ac:dyDescent="0.2">
      <c r="A3243" t="str">
        <f>"Ccdc113"</f>
        <v>Ccdc113</v>
      </c>
      <c r="B3243" t="s">
        <v>14</v>
      </c>
      <c r="C3243" t="s">
        <v>30</v>
      </c>
      <c r="D3243" t="s">
        <v>17</v>
      </c>
      <c r="E3243" t="s">
        <v>12</v>
      </c>
      <c r="F3243">
        <v>95534078</v>
      </c>
      <c r="G3243">
        <v>95534123</v>
      </c>
      <c r="H3243">
        <v>95534133</v>
      </c>
      <c r="I3243">
        <v>95534143</v>
      </c>
    </row>
    <row r="3244" spans="1:9" x14ac:dyDescent="0.2">
      <c r="A3244" t="str">
        <f>"Ccdc114"</f>
        <v>Ccdc114</v>
      </c>
      <c r="B3244" t="s">
        <v>14</v>
      </c>
      <c r="C3244" t="s">
        <v>33</v>
      </c>
      <c r="D3244" t="s">
        <v>17</v>
      </c>
      <c r="E3244" t="s">
        <v>12</v>
      </c>
      <c r="F3244">
        <v>45924202</v>
      </c>
      <c r="G3244">
        <v>45924242</v>
      </c>
      <c r="H3244">
        <v>45923727</v>
      </c>
      <c r="I3244">
        <v>45923776</v>
      </c>
    </row>
    <row r="3245" spans="1:9" x14ac:dyDescent="0.2">
      <c r="A3245" t="str">
        <f>"Ccdc115"</f>
        <v>Ccdc115</v>
      </c>
      <c r="B3245" t="s">
        <v>14</v>
      </c>
      <c r="C3245" t="s">
        <v>19</v>
      </c>
      <c r="D3245" t="s">
        <v>11</v>
      </c>
      <c r="E3245" t="s">
        <v>12</v>
      </c>
      <c r="F3245">
        <v>34439337</v>
      </c>
      <c r="G3245">
        <v>34439379</v>
      </c>
      <c r="H3245">
        <v>34439678</v>
      </c>
      <c r="I3245">
        <v>34439693</v>
      </c>
    </row>
    <row r="3246" spans="1:9" x14ac:dyDescent="0.2">
      <c r="A3246" t="str">
        <f>"Ccdc116"</f>
        <v>Ccdc116</v>
      </c>
      <c r="B3246" t="s">
        <v>14</v>
      </c>
      <c r="C3246" t="s">
        <v>31</v>
      </c>
      <c r="D3246" t="s">
        <v>11</v>
      </c>
      <c r="E3246" t="s">
        <v>12</v>
      </c>
      <c r="F3246">
        <v>17144415</v>
      </c>
      <c r="G3246">
        <v>17144451</v>
      </c>
      <c r="H3246">
        <v>17144415</v>
      </c>
      <c r="I3246">
        <v>17144451</v>
      </c>
    </row>
    <row r="3247" spans="1:9" x14ac:dyDescent="0.2">
      <c r="A3247" t="str">
        <f>"Ccdc117"</f>
        <v>Ccdc117</v>
      </c>
      <c r="B3247" t="s">
        <v>14</v>
      </c>
      <c r="C3247" t="s">
        <v>27</v>
      </c>
      <c r="D3247" t="s">
        <v>11</v>
      </c>
      <c r="E3247" t="s">
        <v>12</v>
      </c>
      <c r="F3247">
        <v>5542177</v>
      </c>
      <c r="G3247">
        <v>5542219</v>
      </c>
      <c r="H3247">
        <v>5542139</v>
      </c>
      <c r="I3247">
        <v>5542170</v>
      </c>
    </row>
    <row r="3248" spans="1:9" x14ac:dyDescent="0.2">
      <c r="A3248" t="str">
        <f>"Ccdc12"</f>
        <v>Ccdc12</v>
      </c>
      <c r="B3248" t="s">
        <v>14</v>
      </c>
      <c r="C3248" t="s">
        <v>24</v>
      </c>
      <c r="D3248" t="s">
        <v>17</v>
      </c>
      <c r="E3248" t="s">
        <v>12</v>
      </c>
      <c r="F3248">
        <v>110656494</v>
      </c>
      <c r="G3248">
        <v>110656544</v>
      </c>
      <c r="H3248">
        <v>110656467</v>
      </c>
      <c r="I3248">
        <v>110656476</v>
      </c>
    </row>
    <row r="3249" spans="1:9" x14ac:dyDescent="0.2">
      <c r="A3249" t="str">
        <f>"Ccdc120"</f>
        <v>Ccdc120</v>
      </c>
      <c r="B3249" t="s">
        <v>9</v>
      </c>
      <c r="C3249" t="s">
        <v>37</v>
      </c>
      <c r="D3249" t="s">
        <v>11</v>
      </c>
      <c r="E3249" t="s">
        <v>12</v>
      </c>
      <c r="F3249">
        <v>7750889</v>
      </c>
      <c r="G3249">
        <v>7750916</v>
      </c>
      <c r="H3249">
        <v>7750889</v>
      </c>
      <c r="I3249">
        <v>7750916</v>
      </c>
    </row>
    <row r="3250" spans="1:9" x14ac:dyDescent="0.2">
      <c r="A3250" t="str">
        <f>"Ccdc120"</f>
        <v>Ccdc120</v>
      </c>
      <c r="B3250" t="s">
        <v>13</v>
      </c>
      <c r="C3250" t="s">
        <v>37</v>
      </c>
      <c r="D3250" t="s">
        <v>11</v>
      </c>
      <c r="E3250" t="s">
        <v>12</v>
      </c>
      <c r="F3250">
        <v>7741288</v>
      </c>
      <c r="G3250">
        <v>7741321</v>
      </c>
      <c r="H3250">
        <v>7741288</v>
      </c>
      <c r="I3250">
        <v>7741321</v>
      </c>
    </row>
    <row r="3251" spans="1:9" x14ac:dyDescent="0.2">
      <c r="A3251" t="str">
        <f>"Ccdc121"</f>
        <v>Ccdc121</v>
      </c>
      <c r="B3251" t="s">
        <v>14</v>
      </c>
      <c r="C3251" t="s">
        <v>19</v>
      </c>
      <c r="D3251" t="s">
        <v>11</v>
      </c>
      <c r="E3251" t="s">
        <v>12</v>
      </c>
      <c r="F3251">
        <v>181511440</v>
      </c>
      <c r="G3251">
        <v>181511461</v>
      </c>
      <c r="H3251">
        <v>181511440</v>
      </c>
      <c r="I3251">
        <v>181511461</v>
      </c>
    </row>
    <row r="3252" spans="1:9" x14ac:dyDescent="0.2">
      <c r="A3252" t="str">
        <f>"Ccdc122"</f>
        <v>Ccdc122</v>
      </c>
      <c r="B3252" t="s">
        <v>14</v>
      </c>
      <c r="C3252" t="s">
        <v>41</v>
      </c>
      <c r="D3252" t="s">
        <v>17</v>
      </c>
      <c r="E3252" t="s">
        <v>12</v>
      </c>
      <c r="F3252">
        <v>77036746</v>
      </c>
      <c r="G3252">
        <v>77036786</v>
      </c>
      <c r="H3252">
        <v>77036381</v>
      </c>
      <c r="I3252">
        <v>77036404</v>
      </c>
    </row>
    <row r="3253" spans="1:9" x14ac:dyDescent="0.2">
      <c r="A3253" t="str">
        <f>"Ccdc124"</f>
        <v>Ccdc124</v>
      </c>
      <c r="B3253" t="s">
        <v>14</v>
      </c>
      <c r="C3253" t="s">
        <v>30</v>
      </c>
      <c r="D3253" t="s">
        <v>11</v>
      </c>
      <c r="E3253" t="s">
        <v>12</v>
      </c>
      <c r="F3253">
        <v>70873477</v>
      </c>
      <c r="G3253">
        <v>70873501</v>
      </c>
      <c r="H3253">
        <v>70873477</v>
      </c>
      <c r="I3253">
        <v>70873501</v>
      </c>
    </row>
    <row r="3254" spans="1:9" x14ac:dyDescent="0.2">
      <c r="A3254" t="str">
        <f>"Ccdc125"</f>
        <v>Ccdc125</v>
      </c>
      <c r="B3254" t="s">
        <v>14</v>
      </c>
      <c r="C3254" t="s">
        <v>39</v>
      </c>
      <c r="D3254" t="s">
        <v>17</v>
      </c>
      <c r="E3254" t="s">
        <v>12</v>
      </c>
      <c r="F3254">
        <v>100669698</v>
      </c>
      <c r="G3254">
        <v>100669754</v>
      </c>
      <c r="H3254">
        <v>100669327</v>
      </c>
      <c r="I3254">
        <v>100669355</v>
      </c>
    </row>
    <row r="3255" spans="1:9" x14ac:dyDescent="0.2">
      <c r="A3255" t="str">
        <f>"Ccdc126"</f>
        <v>Ccdc126</v>
      </c>
      <c r="B3255" t="s">
        <v>14</v>
      </c>
      <c r="C3255" t="s">
        <v>32</v>
      </c>
      <c r="D3255" t="s">
        <v>17</v>
      </c>
      <c r="E3255" t="s">
        <v>12</v>
      </c>
      <c r="F3255">
        <v>49319290</v>
      </c>
      <c r="G3255">
        <v>49319367</v>
      </c>
      <c r="H3255">
        <v>49319418</v>
      </c>
      <c r="I3255">
        <v>49319428</v>
      </c>
    </row>
    <row r="3256" spans="1:9" x14ac:dyDescent="0.2">
      <c r="A3256" t="str">
        <f>"Ccdc127"</f>
        <v>Ccdc127</v>
      </c>
      <c r="B3256" t="s">
        <v>14</v>
      </c>
      <c r="C3256" t="s">
        <v>39</v>
      </c>
      <c r="D3256" t="s">
        <v>17</v>
      </c>
      <c r="E3256" t="s">
        <v>12</v>
      </c>
      <c r="F3256">
        <v>74350313</v>
      </c>
      <c r="G3256">
        <v>74350369</v>
      </c>
      <c r="H3256">
        <v>74350299</v>
      </c>
      <c r="I3256">
        <v>74350308</v>
      </c>
    </row>
    <row r="3257" spans="1:9" x14ac:dyDescent="0.2">
      <c r="A3257" t="str">
        <f>"Ccdc129"</f>
        <v>Ccdc129</v>
      </c>
      <c r="B3257" t="s">
        <v>14</v>
      </c>
      <c r="C3257" t="s">
        <v>32</v>
      </c>
      <c r="D3257" t="s">
        <v>17</v>
      </c>
      <c r="E3257" t="s">
        <v>12</v>
      </c>
      <c r="F3257">
        <v>55836878</v>
      </c>
      <c r="G3257">
        <v>55836900</v>
      </c>
      <c r="H3257">
        <v>55836878</v>
      </c>
      <c r="I3257">
        <v>55836900</v>
      </c>
    </row>
    <row r="3258" spans="1:9" x14ac:dyDescent="0.2">
      <c r="A3258" t="str">
        <f>"Ccdc13"</f>
        <v>Ccdc13</v>
      </c>
      <c r="B3258" t="s">
        <v>14</v>
      </c>
      <c r="C3258" t="s">
        <v>24</v>
      </c>
      <c r="D3258" t="s">
        <v>11</v>
      </c>
      <c r="E3258" t="s">
        <v>12</v>
      </c>
      <c r="F3258">
        <v>121839470</v>
      </c>
      <c r="G3258">
        <v>121839497</v>
      </c>
      <c r="H3258">
        <v>121839424</v>
      </c>
      <c r="I3258">
        <v>121839439</v>
      </c>
    </row>
    <row r="3259" spans="1:9" x14ac:dyDescent="0.2">
      <c r="A3259" t="str">
        <f>"Ccdc130"</f>
        <v>Ccdc130</v>
      </c>
      <c r="B3259" t="s">
        <v>14</v>
      </c>
      <c r="C3259" t="s">
        <v>30</v>
      </c>
      <c r="D3259" t="s">
        <v>11</v>
      </c>
      <c r="E3259" t="s">
        <v>12</v>
      </c>
      <c r="F3259">
        <v>84270358</v>
      </c>
      <c r="G3259">
        <v>84270405</v>
      </c>
      <c r="H3259">
        <v>84270344</v>
      </c>
      <c r="I3259">
        <v>84270355</v>
      </c>
    </row>
    <row r="3260" spans="1:9" x14ac:dyDescent="0.2">
      <c r="A3260" t="str">
        <f>"Ccdc132"</f>
        <v>Ccdc132</v>
      </c>
      <c r="B3260" t="s">
        <v>14</v>
      </c>
      <c r="C3260" t="s">
        <v>32</v>
      </c>
      <c r="D3260" t="s">
        <v>17</v>
      </c>
      <c r="E3260" t="s">
        <v>12</v>
      </c>
      <c r="F3260">
        <v>3498399</v>
      </c>
      <c r="G3260">
        <v>3498439</v>
      </c>
      <c r="H3260">
        <v>3498399</v>
      </c>
      <c r="I3260">
        <v>3498439</v>
      </c>
    </row>
    <row r="3261" spans="1:9" x14ac:dyDescent="0.2">
      <c r="A3261" t="str">
        <f>"Ccdc134"</f>
        <v>Ccdc134</v>
      </c>
      <c r="B3261" t="s">
        <v>14</v>
      </c>
      <c r="C3261" t="s">
        <v>25</v>
      </c>
      <c r="D3261" t="s">
        <v>17</v>
      </c>
      <c r="E3261" t="s">
        <v>12</v>
      </c>
      <c r="F3261">
        <v>82127916</v>
      </c>
      <c r="G3261">
        <v>82128001</v>
      </c>
      <c r="H3261">
        <v>82127916</v>
      </c>
      <c r="I3261">
        <v>82128001</v>
      </c>
    </row>
    <row r="3262" spans="1:9" x14ac:dyDescent="0.2">
      <c r="A3262" t="str">
        <f>"Ccdc135"</f>
        <v>Ccdc135</v>
      </c>
      <c r="B3262" t="s">
        <v>14</v>
      </c>
      <c r="C3262" t="s">
        <v>30</v>
      </c>
      <c r="D3262" t="s">
        <v>17</v>
      </c>
      <c r="E3262" t="s">
        <v>12</v>
      </c>
      <c r="F3262">
        <v>95055094</v>
      </c>
      <c r="G3262">
        <v>95055126</v>
      </c>
      <c r="H3262">
        <v>95055132</v>
      </c>
      <c r="I3262">
        <v>95055139</v>
      </c>
    </row>
    <row r="3263" spans="1:9" x14ac:dyDescent="0.2">
      <c r="A3263" t="str">
        <f>"Ccdc136"</f>
        <v>Ccdc136</v>
      </c>
      <c r="B3263" t="s">
        <v>14</v>
      </c>
      <c r="C3263" t="s">
        <v>32</v>
      </c>
      <c r="D3263" t="s">
        <v>17</v>
      </c>
      <c r="E3263" t="s">
        <v>12</v>
      </c>
      <c r="F3263">
        <v>29396576</v>
      </c>
      <c r="G3263">
        <v>29396658</v>
      </c>
      <c r="H3263">
        <v>29396576</v>
      </c>
      <c r="I3263">
        <v>29396658</v>
      </c>
    </row>
    <row r="3264" spans="1:9" x14ac:dyDescent="0.2">
      <c r="A3264" t="str">
        <f>"Ccdc137"</f>
        <v>Ccdc137</v>
      </c>
      <c r="B3264" t="s">
        <v>14</v>
      </c>
      <c r="C3264" t="s">
        <v>27</v>
      </c>
      <c r="D3264" t="s">
        <v>17</v>
      </c>
      <c r="E3264" t="s">
        <v>12</v>
      </c>
      <c r="F3264">
        <v>120458093</v>
      </c>
      <c r="G3264">
        <v>120458147</v>
      </c>
      <c r="H3264">
        <v>120458093</v>
      </c>
      <c r="I3264">
        <v>120458147</v>
      </c>
    </row>
    <row r="3265" spans="1:9" x14ac:dyDescent="0.2">
      <c r="A3265" t="str">
        <f>"Ccdc138"</f>
        <v>Ccdc138</v>
      </c>
      <c r="B3265" t="s">
        <v>14</v>
      </c>
      <c r="C3265" t="s">
        <v>15</v>
      </c>
      <c r="D3265" t="s">
        <v>17</v>
      </c>
      <c r="E3265" t="s">
        <v>12</v>
      </c>
      <c r="F3265">
        <v>58497918</v>
      </c>
      <c r="G3265">
        <v>58497970</v>
      </c>
      <c r="H3265">
        <v>58498220</v>
      </c>
      <c r="I3265">
        <v>58498244</v>
      </c>
    </row>
    <row r="3266" spans="1:9" x14ac:dyDescent="0.2">
      <c r="A3266" t="str">
        <f>"Ccdc14"</f>
        <v>Ccdc14</v>
      </c>
      <c r="B3266" t="s">
        <v>14</v>
      </c>
      <c r="C3266" t="s">
        <v>31</v>
      </c>
      <c r="D3266" t="s">
        <v>17</v>
      </c>
      <c r="E3266" t="s">
        <v>12</v>
      </c>
      <c r="F3266">
        <v>34690562</v>
      </c>
      <c r="G3266">
        <v>34690579</v>
      </c>
      <c r="H3266">
        <v>34690548</v>
      </c>
      <c r="I3266">
        <v>34690559</v>
      </c>
    </row>
    <row r="3267" spans="1:9" x14ac:dyDescent="0.2">
      <c r="A3267" t="str">
        <f>"Ccdc141"</f>
        <v>Ccdc141</v>
      </c>
      <c r="B3267" t="s">
        <v>14</v>
      </c>
      <c r="C3267" t="s">
        <v>26</v>
      </c>
      <c r="D3267" t="s">
        <v>11</v>
      </c>
      <c r="E3267" t="s">
        <v>12</v>
      </c>
      <c r="F3267">
        <v>77170592</v>
      </c>
      <c r="G3267">
        <v>77170645</v>
      </c>
      <c r="H3267">
        <v>77170534</v>
      </c>
      <c r="I3267">
        <v>77170576</v>
      </c>
    </row>
    <row r="3268" spans="1:9" x14ac:dyDescent="0.2">
      <c r="A3268" t="str">
        <f>"Ccdc142"</f>
        <v>Ccdc142</v>
      </c>
      <c r="B3268" t="s">
        <v>14</v>
      </c>
      <c r="C3268" t="s">
        <v>32</v>
      </c>
      <c r="D3268" t="s">
        <v>17</v>
      </c>
      <c r="E3268" t="s">
        <v>12</v>
      </c>
      <c r="F3268">
        <v>83101565</v>
      </c>
      <c r="G3268">
        <v>83101609</v>
      </c>
      <c r="H3268">
        <v>83101544</v>
      </c>
      <c r="I3268">
        <v>83101549</v>
      </c>
    </row>
    <row r="3269" spans="1:9" x14ac:dyDescent="0.2">
      <c r="A3269" t="str">
        <f>"Ccdc144b"</f>
        <v>Ccdc144b</v>
      </c>
      <c r="B3269" t="s">
        <v>14</v>
      </c>
      <c r="C3269" t="s">
        <v>22</v>
      </c>
      <c r="D3269" t="s">
        <v>11</v>
      </c>
      <c r="E3269" t="s">
        <v>12</v>
      </c>
      <c r="F3269">
        <v>36053512</v>
      </c>
      <c r="G3269">
        <v>36053531</v>
      </c>
      <c r="H3269">
        <v>36053491</v>
      </c>
      <c r="I3269">
        <v>36053501</v>
      </c>
    </row>
    <row r="3270" spans="1:9" x14ac:dyDescent="0.2">
      <c r="A3270" t="str">
        <f>"Ccdc146"</f>
        <v>Ccdc146</v>
      </c>
      <c r="B3270" t="s">
        <v>14</v>
      </c>
      <c r="C3270" t="s">
        <v>46</v>
      </c>
      <c r="D3270" t="s">
        <v>11</v>
      </c>
      <c r="E3270" t="s">
        <v>12</v>
      </c>
      <c r="F3270">
        <v>21424664</v>
      </c>
      <c r="G3270">
        <v>21424686</v>
      </c>
      <c r="H3270">
        <v>21424641</v>
      </c>
      <c r="I3270">
        <v>21424659</v>
      </c>
    </row>
    <row r="3271" spans="1:9" x14ac:dyDescent="0.2">
      <c r="A3271" t="str">
        <f>"Ccdc147"</f>
        <v>Ccdc147</v>
      </c>
      <c r="B3271" t="s">
        <v>14</v>
      </c>
      <c r="C3271" t="s">
        <v>10</v>
      </c>
      <c r="D3271" t="s">
        <v>17</v>
      </c>
      <c r="E3271" t="s">
        <v>12</v>
      </c>
      <c r="F3271">
        <v>47937648</v>
      </c>
      <c r="G3271">
        <v>47937696</v>
      </c>
      <c r="H3271">
        <v>47937621</v>
      </c>
      <c r="I3271">
        <v>47937622</v>
      </c>
    </row>
    <row r="3272" spans="1:9" x14ac:dyDescent="0.2">
      <c r="A3272" t="str">
        <f>"Ccdc148"</f>
        <v>Ccdc148</v>
      </c>
      <c r="B3272" t="s">
        <v>14</v>
      </c>
      <c r="C3272" t="s">
        <v>26</v>
      </c>
      <c r="D3272" t="s">
        <v>11</v>
      </c>
      <c r="E3272" t="s">
        <v>12</v>
      </c>
      <c r="F3272">
        <v>59160624</v>
      </c>
      <c r="G3272">
        <v>59160635</v>
      </c>
      <c r="H3272">
        <v>59160644</v>
      </c>
      <c r="I3272">
        <v>59160663</v>
      </c>
    </row>
    <row r="3273" spans="1:9" x14ac:dyDescent="0.2">
      <c r="A3273" t="str">
        <f>"Ccdc149"</f>
        <v>Ccdc149</v>
      </c>
      <c r="B3273" t="s">
        <v>14</v>
      </c>
      <c r="C3273" t="s">
        <v>46</v>
      </c>
      <c r="D3273" t="s">
        <v>11</v>
      </c>
      <c r="E3273" t="s">
        <v>12</v>
      </c>
      <c r="F3273">
        <v>52471534</v>
      </c>
      <c r="G3273">
        <v>52471589</v>
      </c>
      <c r="H3273">
        <v>52471511</v>
      </c>
      <c r="I3273">
        <v>52471523</v>
      </c>
    </row>
    <row r="3274" spans="1:9" x14ac:dyDescent="0.2">
      <c r="A3274" t="str">
        <f>"Ccdc15"</f>
        <v>Ccdc15</v>
      </c>
      <c r="B3274" t="s">
        <v>14</v>
      </c>
      <c r="C3274" t="s">
        <v>24</v>
      </c>
      <c r="D3274" t="s">
        <v>11</v>
      </c>
      <c r="E3274" t="s">
        <v>12</v>
      </c>
      <c r="F3274">
        <v>37348339</v>
      </c>
      <c r="G3274">
        <v>37348366</v>
      </c>
      <c r="H3274">
        <v>37348369</v>
      </c>
      <c r="I3274">
        <v>37348391</v>
      </c>
    </row>
    <row r="3275" spans="1:9" x14ac:dyDescent="0.2">
      <c r="A3275" t="str">
        <f>"Ccdc150"</f>
        <v>Ccdc150</v>
      </c>
      <c r="B3275" t="s">
        <v>14</v>
      </c>
      <c r="C3275" t="s">
        <v>19</v>
      </c>
      <c r="D3275" t="s">
        <v>17</v>
      </c>
      <c r="E3275" t="s">
        <v>12</v>
      </c>
      <c r="F3275">
        <v>54250673</v>
      </c>
      <c r="G3275">
        <v>54250699</v>
      </c>
      <c r="H3275">
        <v>54250752</v>
      </c>
      <c r="I3275">
        <v>54250779</v>
      </c>
    </row>
    <row r="3276" spans="1:9" x14ac:dyDescent="0.2">
      <c r="A3276" t="str">
        <f>"Ccdc151"</f>
        <v>Ccdc151</v>
      </c>
      <c r="B3276" t="s">
        <v>14</v>
      </c>
      <c r="C3276" t="s">
        <v>24</v>
      </c>
      <c r="D3276" t="s">
        <v>11</v>
      </c>
      <c r="E3276" t="s">
        <v>12</v>
      </c>
      <c r="F3276">
        <v>22002599</v>
      </c>
      <c r="G3276">
        <v>22002640</v>
      </c>
      <c r="H3276">
        <v>22002580</v>
      </c>
      <c r="I3276">
        <v>22002598</v>
      </c>
    </row>
    <row r="3277" spans="1:9" x14ac:dyDescent="0.2">
      <c r="A3277" t="str">
        <f>"Ccdc152"</f>
        <v>Ccdc152</v>
      </c>
      <c r="B3277" t="s">
        <v>14</v>
      </c>
      <c r="C3277" t="s">
        <v>25</v>
      </c>
      <c r="D3277" t="s">
        <v>11</v>
      </c>
      <c r="E3277" t="s">
        <v>12</v>
      </c>
      <c r="F3277">
        <v>3303521</v>
      </c>
      <c r="G3277">
        <v>3303569</v>
      </c>
      <c r="H3277">
        <v>3303521</v>
      </c>
      <c r="I3277">
        <v>3303569</v>
      </c>
    </row>
    <row r="3278" spans="1:9" x14ac:dyDescent="0.2">
      <c r="A3278" t="str">
        <f>"Ccdc153"</f>
        <v>Ccdc153</v>
      </c>
      <c r="B3278" t="s">
        <v>14</v>
      </c>
      <c r="C3278" t="s">
        <v>24</v>
      </c>
      <c r="D3278" t="s">
        <v>17</v>
      </c>
      <c r="E3278" t="s">
        <v>12</v>
      </c>
      <c r="F3278">
        <v>44240668</v>
      </c>
      <c r="G3278">
        <v>44240693</v>
      </c>
      <c r="H3278">
        <v>44240734</v>
      </c>
      <c r="I3278">
        <v>44240742</v>
      </c>
    </row>
    <row r="3279" spans="1:9" x14ac:dyDescent="0.2">
      <c r="A3279" t="str">
        <f>"Ccdc154"</f>
        <v>Ccdc154</v>
      </c>
      <c r="B3279" t="s">
        <v>14</v>
      </c>
      <c r="C3279" t="s">
        <v>28</v>
      </c>
      <c r="D3279" t="s">
        <v>17</v>
      </c>
      <c r="E3279" t="s">
        <v>12</v>
      </c>
      <c r="F3279">
        <v>25162441</v>
      </c>
      <c r="G3279">
        <v>25162456</v>
      </c>
      <c r="H3279">
        <v>25162457</v>
      </c>
      <c r="I3279">
        <v>25162463</v>
      </c>
    </row>
    <row r="3280" spans="1:9" x14ac:dyDescent="0.2">
      <c r="A3280" t="str">
        <f>"Ccdc155"</f>
        <v>Ccdc155</v>
      </c>
      <c r="B3280" t="s">
        <v>14</v>
      </c>
      <c r="C3280" t="s">
        <v>33</v>
      </c>
      <c r="D3280" t="s">
        <v>11</v>
      </c>
      <c r="E3280" t="s">
        <v>12</v>
      </c>
      <c r="F3280">
        <v>45204638</v>
      </c>
      <c r="G3280">
        <v>45204653</v>
      </c>
      <c r="H3280">
        <v>45204638</v>
      </c>
      <c r="I3280">
        <v>45204653</v>
      </c>
    </row>
    <row r="3281" spans="1:9" x14ac:dyDescent="0.2">
      <c r="A3281" t="str">
        <f>"Ccdc157"</f>
        <v>Ccdc157</v>
      </c>
      <c r="B3281" t="s">
        <v>14</v>
      </c>
      <c r="C3281" t="s">
        <v>27</v>
      </c>
      <c r="D3281" t="s">
        <v>11</v>
      </c>
      <c r="E3281" t="s">
        <v>12</v>
      </c>
      <c r="F3281">
        <v>4160232</v>
      </c>
      <c r="G3281">
        <v>4160282</v>
      </c>
      <c r="H3281">
        <v>4160218</v>
      </c>
      <c r="I3281">
        <v>4160231</v>
      </c>
    </row>
    <row r="3282" spans="1:9" x14ac:dyDescent="0.2">
      <c r="A3282" t="str">
        <f>"Ccdc158"</f>
        <v>Ccdc158</v>
      </c>
      <c r="B3282" t="s">
        <v>14</v>
      </c>
      <c r="C3282" t="s">
        <v>46</v>
      </c>
      <c r="D3282" t="s">
        <v>11</v>
      </c>
      <c r="E3282" t="s">
        <v>12</v>
      </c>
      <c r="F3282">
        <v>92675253</v>
      </c>
      <c r="G3282">
        <v>92675287</v>
      </c>
      <c r="H3282">
        <v>92675233</v>
      </c>
      <c r="I3282">
        <v>92675249</v>
      </c>
    </row>
    <row r="3283" spans="1:9" x14ac:dyDescent="0.2">
      <c r="A3283" t="str">
        <f>"Ccdc159"</f>
        <v>Ccdc159</v>
      </c>
      <c r="B3283" t="s">
        <v>14</v>
      </c>
      <c r="C3283" t="s">
        <v>24</v>
      </c>
      <c r="D3283" t="s">
        <v>17</v>
      </c>
      <c r="E3283" t="s">
        <v>12</v>
      </c>
      <c r="F3283">
        <v>21927594</v>
      </c>
      <c r="G3283">
        <v>21927646</v>
      </c>
      <c r="H3283">
        <v>21927594</v>
      </c>
      <c r="I3283">
        <v>21927646</v>
      </c>
    </row>
    <row r="3284" spans="1:9" x14ac:dyDescent="0.2">
      <c r="A3284" t="str">
        <f>"Ccdc160"</f>
        <v>Ccdc160</v>
      </c>
      <c r="B3284" t="s">
        <v>14</v>
      </c>
      <c r="C3284" t="s">
        <v>37</v>
      </c>
      <c r="D3284" t="s">
        <v>17</v>
      </c>
      <c r="E3284" t="s">
        <v>12</v>
      </c>
      <c r="F3284">
        <v>52791204</v>
      </c>
      <c r="G3284">
        <v>52791231</v>
      </c>
      <c r="H3284">
        <v>52791179</v>
      </c>
      <c r="I3284">
        <v>52791201</v>
      </c>
    </row>
    <row r="3285" spans="1:9" x14ac:dyDescent="0.2">
      <c r="A3285" t="str">
        <f>"Ccdc162"</f>
        <v>Ccdc162</v>
      </c>
      <c r="B3285" t="s">
        <v>2260</v>
      </c>
      <c r="C3285" t="s">
        <v>15</v>
      </c>
      <c r="D3285" t="s">
        <v>11</v>
      </c>
      <c r="E3285" t="s">
        <v>20</v>
      </c>
      <c r="F3285">
        <v>41709297</v>
      </c>
      <c r="G3285">
        <v>41709297</v>
      </c>
      <c r="H3285">
        <v>41709297</v>
      </c>
      <c r="I3285">
        <v>41709297</v>
      </c>
    </row>
    <row r="3286" spans="1:9" x14ac:dyDescent="0.2">
      <c r="A3286" t="str">
        <f>"Ccdc163"</f>
        <v>Ccdc163</v>
      </c>
      <c r="B3286" t="s">
        <v>14</v>
      </c>
      <c r="C3286" t="s">
        <v>23</v>
      </c>
      <c r="D3286" t="s">
        <v>17</v>
      </c>
      <c r="E3286" t="s">
        <v>12</v>
      </c>
      <c r="F3286">
        <v>116708587</v>
      </c>
      <c r="G3286">
        <v>116708604</v>
      </c>
      <c r="H3286">
        <v>116708624</v>
      </c>
      <c r="I3286">
        <v>116708635</v>
      </c>
    </row>
    <row r="3287" spans="1:9" x14ac:dyDescent="0.2">
      <c r="A3287" t="str">
        <f>"Ccdc167"</f>
        <v>Ccdc167</v>
      </c>
      <c r="B3287" t="s">
        <v>14</v>
      </c>
      <c r="C3287" t="s">
        <v>28</v>
      </c>
      <c r="D3287" t="s">
        <v>11</v>
      </c>
      <c r="E3287" t="s">
        <v>67</v>
      </c>
      <c r="F3287">
        <v>29716969</v>
      </c>
      <c r="G3287">
        <v>29717028</v>
      </c>
      <c r="H3287">
        <v>29716969</v>
      </c>
      <c r="I3287">
        <v>29717028</v>
      </c>
    </row>
    <row r="3288" spans="1:9" x14ac:dyDescent="0.2">
      <c r="A3288" t="str">
        <f>"Ccdc169"</f>
        <v>Ccdc169</v>
      </c>
      <c r="B3288" t="s">
        <v>14</v>
      </c>
      <c r="C3288" t="s">
        <v>22</v>
      </c>
      <c r="D3288" t="s">
        <v>17</v>
      </c>
      <c r="E3288" t="s">
        <v>67</v>
      </c>
      <c r="F3288">
        <v>55140033</v>
      </c>
      <c r="G3288">
        <v>55140049</v>
      </c>
      <c r="H3288">
        <v>55140033</v>
      </c>
      <c r="I3288">
        <v>55140049</v>
      </c>
    </row>
    <row r="3289" spans="1:9" x14ac:dyDescent="0.2">
      <c r="A3289" t="str">
        <f>"Ccdc17"</f>
        <v>Ccdc17</v>
      </c>
      <c r="B3289" t="s">
        <v>9</v>
      </c>
      <c r="C3289" t="s">
        <v>23</v>
      </c>
      <c r="D3289" t="s">
        <v>17</v>
      </c>
      <c r="E3289" t="s">
        <v>12</v>
      </c>
      <c r="F3289">
        <v>116597730</v>
      </c>
      <c r="G3289">
        <v>116597769</v>
      </c>
      <c r="H3289">
        <v>116597730</v>
      </c>
      <c r="I3289">
        <v>116597769</v>
      </c>
    </row>
    <row r="3290" spans="1:9" x14ac:dyDescent="0.2">
      <c r="A3290" t="str">
        <f>"Ccdc17"</f>
        <v>Ccdc17</v>
      </c>
      <c r="B3290" t="s">
        <v>13</v>
      </c>
      <c r="C3290" t="s">
        <v>23</v>
      </c>
      <c r="D3290" t="s">
        <v>17</v>
      </c>
      <c r="E3290" t="s">
        <v>12</v>
      </c>
      <c r="F3290">
        <v>116596637</v>
      </c>
      <c r="G3290">
        <v>116596665</v>
      </c>
      <c r="H3290">
        <v>116596637</v>
      </c>
      <c r="I3290">
        <v>116596665</v>
      </c>
    </row>
    <row r="3291" spans="1:9" x14ac:dyDescent="0.2">
      <c r="A3291" t="str">
        <f>"Ccdc170"</f>
        <v>Ccdc170</v>
      </c>
      <c r="B3291" t="s">
        <v>2261</v>
      </c>
      <c r="C3291" t="s">
        <v>15</v>
      </c>
      <c r="D3291" t="s">
        <v>17</v>
      </c>
      <c r="E3291" t="s">
        <v>20</v>
      </c>
      <c r="F3291">
        <v>4509871</v>
      </c>
      <c r="G3291">
        <v>4509871</v>
      </c>
      <c r="H3291">
        <v>4509871</v>
      </c>
      <c r="I3291">
        <v>4509871</v>
      </c>
    </row>
    <row r="3292" spans="1:9" x14ac:dyDescent="0.2">
      <c r="A3292" t="str">
        <f>"Ccdc171"</f>
        <v>Ccdc171</v>
      </c>
      <c r="B3292" t="s">
        <v>14</v>
      </c>
      <c r="C3292" t="s">
        <v>23</v>
      </c>
      <c r="D3292" t="s">
        <v>17</v>
      </c>
      <c r="E3292" t="s">
        <v>67</v>
      </c>
      <c r="F3292">
        <v>83525540</v>
      </c>
      <c r="G3292">
        <v>83525616</v>
      </c>
      <c r="H3292">
        <v>83525617</v>
      </c>
      <c r="I3292">
        <v>83525629</v>
      </c>
    </row>
    <row r="3293" spans="1:9" x14ac:dyDescent="0.2">
      <c r="A3293" t="str">
        <f>"Ccdc172"</f>
        <v>Ccdc172</v>
      </c>
      <c r="B3293" t="s">
        <v>14</v>
      </c>
      <c r="C3293" t="s">
        <v>10</v>
      </c>
      <c r="D3293" t="s">
        <v>17</v>
      </c>
      <c r="E3293" t="s">
        <v>67</v>
      </c>
      <c r="F3293">
        <v>58511981</v>
      </c>
      <c r="G3293">
        <v>58512009</v>
      </c>
      <c r="H3293">
        <v>58512012</v>
      </c>
      <c r="I3293">
        <v>58512027</v>
      </c>
    </row>
    <row r="3294" spans="1:9" x14ac:dyDescent="0.2">
      <c r="A3294" t="str">
        <f>"Ccdc173"</f>
        <v>Ccdc173</v>
      </c>
      <c r="B3294" t="s">
        <v>14</v>
      </c>
      <c r="C3294" t="s">
        <v>26</v>
      </c>
      <c r="D3294" t="s">
        <v>11</v>
      </c>
      <c r="E3294" t="s">
        <v>67</v>
      </c>
      <c r="F3294">
        <v>69789520</v>
      </c>
      <c r="G3294">
        <v>69789563</v>
      </c>
      <c r="H3294">
        <v>69789568</v>
      </c>
      <c r="I3294">
        <v>69789583</v>
      </c>
    </row>
    <row r="3295" spans="1:9" x14ac:dyDescent="0.2">
      <c r="A3295" t="str">
        <f>"Ccdc174"</f>
        <v>Ccdc174</v>
      </c>
      <c r="B3295" t="s">
        <v>14</v>
      </c>
      <c r="C3295" t="s">
        <v>32</v>
      </c>
      <c r="D3295" t="s">
        <v>17</v>
      </c>
      <c r="E3295" t="s">
        <v>67</v>
      </c>
      <c r="F3295">
        <v>91878034</v>
      </c>
      <c r="G3295">
        <v>91878089</v>
      </c>
      <c r="H3295">
        <v>91878098</v>
      </c>
      <c r="I3295">
        <v>91878107</v>
      </c>
    </row>
    <row r="3296" spans="1:9" x14ac:dyDescent="0.2">
      <c r="A3296" t="str">
        <f>"Ccdc175"</f>
        <v>Ccdc175</v>
      </c>
      <c r="B3296" t="s">
        <v>14</v>
      </c>
      <c r="C3296" t="s">
        <v>16</v>
      </c>
      <c r="D3296" t="s">
        <v>11</v>
      </c>
      <c r="E3296" t="s">
        <v>67</v>
      </c>
      <c r="F3296">
        <v>72184990</v>
      </c>
      <c r="G3296">
        <v>72185033</v>
      </c>
      <c r="H3296">
        <v>72184990</v>
      </c>
      <c r="I3296">
        <v>72185033</v>
      </c>
    </row>
    <row r="3297" spans="1:9" x14ac:dyDescent="0.2">
      <c r="A3297" t="str">
        <f>"Ccdc176"</f>
        <v>Ccdc176</v>
      </c>
      <c r="B3297" t="s">
        <v>14</v>
      </c>
      <c r="C3297" t="s">
        <v>16</v>
      </c>
      <c r="D3297" t="s">
        <v>17</v>
      </c>
      <c r="E3297" t="s">
        <v>67</v>
      </c>
      <c r="F3297">
        <v>84409039</v>
      </c>
      <c r="G3297">
        <v>84409102</v>
      </c>
      <c r="H3297">
        <v>84409106</v>
      </c>
      <c r="I3297">
        <v>84409128</v>
      </c>
    </row>
    <row r="3298" spans="1:9" x14ac:dyDescent="0.2">
      <c r="A3298" t="str">
        <f>"Ccdc177"</f>
        <v>Ccdc177</v>
      </c>
      <c r="B3298" t="s">
        <v>14</v>
      </c>
      <c r="C3298" t="s">
        <v>16</v>
      </c>
      <c r="D3298" t="s">
        <v>11</v>
      </c>
      <c r="E3298" t="s">
        <v>67</v>
      </c>
      <c r="F3298">
        <v>80760682</v>
      </c>
      <c r="G3298">
        <v>80760730</v>
      </c>
      <c r="H3298">
        <v>80760532</v>
      </c>
      <c r="I3298">
        <v>80760545</v>
      </c>
    </row>
    <row r="3299" spans="1:9" x14ac:dyDescent="0.2">
      <c r="A3299" t="str">
        <f>"Ccdc178"</f>
        <v>Ccdc178</v>
      </c>
      <c r="B3299" t="s">
        <v>14</v>
      </c>
      <c r="C3299" t="s">
        <v>43</v>
      </c>
      <c r="D3299" t="s">
        <v>11</v>
      </c>
      <c r="E3299" t="s">
        <v>67</v>
      </c>
      <c r="F3299">
        <v>22171392</v>
      </c>
      <c r="G3299">
        <v>22171423</v>
      </c>
      <c r="H3299">
        <v>22171392</v>
      </c>
      <c r="I3299">
        <v>22171423</v>
      </c>
    </row>
    <row r="3300" spans="1:9" x14ac:dyDescent="0.2">
      <c r="A3300" t="str">
        <f>"Ccdc18"</f>
        <v>Ccdc18</v>
      </c>
      <c r="B3300" t="s">
        <v>14</v>
      </c>
      <c r="C3300" t="s">
        <v>46</v>
      </c>
      <c r="D3300" t="s">
        <v>17</v>
      </c>
      <c r="E3300" t="s">
        <v>12</v>
      </c>
      <c r="F3300">
        <v>108132803</v>
      </c>
      <c r="G3300">
        <v>108132884</v>
      </c>
      <c r="H3300">
        <v>108132885</v>
      </c>
      <c r="I3300">
        <v>108132896</v>
      </c>
    </row>
    <row r="3301" spans="1:9" x14ac:dyDescent="0.2">
      <c r="A3301" t="str">
        <f>"Ccdc181"</f>
        <v>Ccdc181</v>
      </c>
      <c r="B3301" t="s">
        <v>14</v>
      </c>
      <c r="C3301" t="s">
        <v>19</v>
      </c>
      <c r="D3301" t="s">
        <v>17</v>
      </c>
      <c r="E3301" t="s">
        <v>67</v>
      </c>
      <c r="F3301">
        <v>164275559</v>
      </c>
      <c r="G3301">
        <v>164275660</v>
      </c>
      <c r="H3301">
        <v>164275669</v>
      </c>
      <c r="I3301">
        <v>164275686</v>
      </c>
    </row>
    <row r="3302" spans="1:9" x14ac:dyDescent="0.2">
      <c r="A3302" t="str">
        <f>"Ccdc19"</f>
        <v>Ccdc19</v>
      </c>
      <c r="B3302" t="s">
        <v>14</v>
      </c>
      <c r="C3302" t="s">
        <v>19</v>
      </c>
      <c r="D3302" t="s">
        <v>17</v>
      </c>
      <c r="E3302" t="s">
        <v>12</v>
      </c>
      <c r="F3302">
        <v>172521106</v>
      </c>
      <c r="G3302">
        <v>172521150</v>
      </c>
      <c r="H3302">
        <v>172521106</v>
      </c>
      <c r="I3302">
        <v>172521150</v>
      </c>
    </row>
    <row r="3303" spans="1:9" x14ac:dyDescent="0.2">
      <c r="A3303" t="str">
        <f>"Ccdc22"</f>
        <v>Ccdc22</v>
      </c>
      <c r="B3303" t="s">
        <v>14</v>
      </c>
      <c r="C3303" t="s">
        <v>37</v>
      </c>
      <c r="D3303" t="s">
        <v>11</v>
      </c>
      <c r="E3303" t="s">
        <v>67</v>
      </c>
      <c r="F3303">
        <v>7605374</v>
      </c>
      <c r="G3303">
        <v>7605402</v>
      </c>
      <c r="H3303">
        <v>7605374</v>
      </c>
      <c r="I3303">
        <v>7605402</v>
      </c>
    </row>
    <row r="3304" spans="1:9" x14ac:dyDescent="0.2">
      <c r="A3304" t="str">
        <f>"Ccdc23"</f>
        <v>Ccdc23</v>
      </c>
      <c r="B3304" t="s">
        <v>14</v>
      </c>
      <c r="C3304" t="s">
        <v>23</v>
      </c>
      <c r="D3304" t="s">
        <v>17</v>
      </c>
      <c r="E3304" t="s">
        <v>12</v>
      </c>
      <c r="F3304">
        <v>119195353</v>
      </c>
      <c r="G3304">
        <v>119195395</v>
      </c>
      <c r="H3304">
        <v>119195279</v>
      </c>
      <c r="I3304">
        <v>119195293</v>
      </c>
    </row>
    <row r="3305" spans="1:9" x14ac:dyDescent="0.2">
      <c r="A3305" t="str">
        <f>"Ccdc24"</f>
        <v>Ccdc24</v>
      </c>
      <c r="B3305" t="s">
        <v>14</v>
      </c>
      <c r="C3305" t="s">
        <v>23</v>
      </c>
      <c r="D3305" t="s">
        <v>11</v>
      </c>
      <c r="E3305" t="s">
        <v>12</v>
      </c>
      <c r="F3305">
        <v>117872563</v>
      </c>
      <c r="G3305">
        <v>117872593</v>
      </c>
      <c r="H3305">
        <v>117872744</v>
      </c>
      <c r="I3305">
        <v>117872792</v>
      </c>
    </row>
    <row r="3306" spans="1:9" x14ac:dyDescent="0.2">
      <c r="A3306" t="str">
        <f>"Ccdc25"</f>
        <v>Ccdc25</v>
      </c>
      <c r="B3306" t="s">
        <v>14</v>
      </c>
      <c r="C3306" t="s">
        <v>41</v>
      </c>
      <c r="D3306" t="s">
        <v>17</v>
      </c>
      <c r="E3306" t="s">
        <v>12</v>
      </c>
      <c r="F3306">
        <v>65837342</v>
      </c>
      <c r="G3306">
        <v>65837397</v>
      </c>
      <c r="H3306">
        <v>65837401</v>
      </c>
      <c r="I3306">
        <v>65837412</v>
      </c>
    </row>
    <row r="3307" spans="1:9" x14ac:dyDescent="0.2">
      <c r="A3307" t="str">
        <f>"Ccdc27"</f>
        <v>Ccdc27</v>
      </c>
      <c r="B3307" t="s">
        <v>14</v>
      </c>
      <c r="C3307" t="s">
        <v>23</v>
      </c>
      <c r="D3307" t="s">
        <v>11</v>
      </c>
      <c r="E3307" t="s">
        <v>12</v>
      </c>
      <c r="F3307">
        <v>154042660</v>
      </c>
      <c r="G3307">
        <v>154042714</v>
      </c>
      <c r="H3307">
        <v>154042660</v>
      </c>
      <c r="I3307">
        <v>154042714</v>
      </c>
    </row>
    <row r="3308" spans="1:9" x14ac:dyDescent="0.2">
      <c r="A3308" t="str">
        <f>"Ccdc28a"</f>
        <v>Ccdc28a</v>
      </c>
      <c r="B3308" t="s">
        <v>14</v>
      </c>
      <c r="C3308" t="s">
        <v>15</v>
      </c>
      <c r="D3308" t="s">
        <v>11</v>
      </c>
      <c r="E3308" t="s">
        <v>12</v>
      </c>
      <c r="F3308">
        <v>18234930</v>
      </c>
      <c r="G3308">
        <v>18235008</v>
      </c>
      <c r="H3308">
        <v>18234890</v>
      </c>
      <c r="I3308">
        <v>18234913</v>
      </c>
    </row>
    <row r="3309" spans="1:9" x14ac:dyDescent="0.2">
      <c r="A3309" t="str">
        <f>"Ccdc28b"</f>
        <v>Ccdc28b</v>
      </c>
      <c r="B3309" t="s">
        <v>9</v>
      </c>
      <c r="C3309" t="s">
        <v>23</v>
      </c>
      <c r="D3309" t="s">
        <v>11</v>
      </c>
      <c r="E3309" t="s">
        <v>12</v>
      </c>
      <c r="F3309">
        <v>129623870</v>
      </c>
      <c r="G3309">
        <v>129623925</v>
      </c>
      <c r="H3309">
        <v>129623870</v>
      </c>
      <c r="I3309">
        <v>129623925</v>
      </c>
    </row>
    <row r="3310" spans="1:9" x14ac:dyDescent="0.2">
      <c r="A3310" t="str">
        <f>"Ccdc28b"</f>
        <v>Ccdc28b</v>
      </c>
      <c r="B3310" t="s">
        <v>13</v>
      </c>
      <c r="C3310" t="s">
        <v>23</v>
      </c>
      <c r="D3310" t="s">
        <v>11</v>
      </c>
      <c r="E3310" t="s">
        <v>12</v>
      </c>
      <c r="F3310">
        <v>129621392</v>
      </c>
      <c r="G3310">
        <v>129621427</v>
      </c>
      <c r="H3310">
        <v>129621392</v>
      </c>
      <c r="I3310">
        <v>129621427</v>
      </c>
    </row>
    <row r="3311" spans="1:9" x14ac:dyDescent="0.2">
      <c r="A3311" t="str">
        <f>"Ccdc3"</f>
        <v>Ccdc3</v>
      </c>
      <c r="B3311" t="s">
        <v>14</v>
      </c>
      <c r="C3311" t="s">
        <v>26</v>
      </c>
      <c r="D3311" t="s">
        <v>17</v>
      </c>
      <c r="E3311" t="s">
        <v>12</v>
      </c>
      <c r="F3311">
        <v>5137756</v>
      </c>
      <c r="G3311">
        <v>5137772</v>
      </c>
      <c r="H3311">
        <v>5137854</v>
      </c>
      <c r="I3311">
        <v>5137860</v>
      </c>
    </row>
    <row r="3312" spans="1:9" x14ac:dyDescent="0.2">
      <c r="A3312" t="str">
        <f>"Ccdc30"</f>
        <v>Ccdc30</v>
      </c>
      <c r="B3312" t="s">
        <v>2262</v>
      </c>
      <c r="C3312" t="s">
        <v>23</v>
      </c>
      <c r="D3312" t="s">
        <v>11</v>
      </c>
      <c r="E3312" t="s">
        <v>35</v>
      </c>
      <c r="F3312">
        <v>119415494</v>
      </c>
      <c r="G3312">
        <v>119415522</v>
      </c>
      <c r="H3312">
        <v>119415308</v>
      </c>
      <c r="I3312">
        <v>119415327</v>
      </c>
    </row>
    <row r="3313" spans="1:9" x14ac:dyDescent="0.2">
      <c r="A3313" t="str">
        <f>"Ccdc32"</f>
        <v>Ccdc32</v>
      </c>
      <c r="B3313" t="s">
        <v>14</v>
      </c>
      <c r="C3313" t="s">
        <v>26</v>
      </c>
      <c r="D3313" t="s">
        <v>11</v>
      </c>
      <c r="E3313" t="s">
        <v>12</v>
      </c>
      <c r="F3313">
        <v>119029359</v>
      </c>
      <c r="G3313">
        <v>119029389</v>
      </c>
      <c r="H3313">
        <v>119029352</v>
      </c>
      <c r="I3313">
        <v>119029355</v>
      </c>
    </row>
    <row r="3314" spans="1:9" x14ac:dyDescent="0.2">
      <c r="A3314" t="str">
        <f>"Ccdc33"</f>
        <v>Ccdc33</v>
      </c>
      <c r="B3314" t="s">
        <v>14</v>
      </c>
      <c r="C3314" t="s">
        <v>24</v>
      </c>
      <c r="D3314" t="s">
        <v>11</v>
      </c>
      <c r="E3314" t="s">
        <v>12</v>
      </c>
      <c r="F3314">
        <v>58102272</v>
      </c>
      <c r="G3314">
        <v>58102305</v>
      </c>
      <c r="H3314">
        <v>58102258</v>
      </c>
      <c r="I3314">
        <v>58102269</v>
      </c>
    </row>
    <row r="3315" spans="1:9" x14ac:dyDescent="0.2">
      <c r="A3315" t="str">
        <f>"Ccdc34"</f>
        <v>Ccdc34</v>
      </c>
      <c r="B3315" t="s">
        <v>9</v>
      </c>
      <c r="C3315" t="s">
        <v>26</v>
      </c>
      <c r="D3315" t="s">
        <v>17</v>
      </c>
      <c r="E3315" t="s">
        <v>12</v>
      </c>
      <c r="F3315">
        <v>110017806</v>
      </c>
      <c r="G3315">
        <v>110017873</v>
      </c>
      <c r="H3315">
        <v>110017806</v>
      </c>
      <c r="I3315">
        <v>110017873</v>
      </c>
    </row>
    <row r="3316" spans="1:9" x14ac:dyDescent="0.2">
      <c r="A3316" t="str">
        <f>"Ccdc34"</f>
        <v>Ccdc34</v>
      </c>
      <c r="B3316" t="s">
        <v>13</v>
      </c>
      <c r="C3316" t="s">
        <v>26</v>
      </c>
      <c r="D3316" t="s">
        <v>17</v>
      </c>
      <c r="E3316" t="s">
        <v>12</v>
      </c>
      <c r="F3316">
        <v>110021910</v>
      </c>
      <c r="G3316">
        <v>110021942</v>
      </c>
      <c r="H3316">
        <v>110021910</v>
      </c>
      <c r="I3316">
        <v>110021942</v>
      </c>
    </row>
    <row r="3317" spans="1:9" x14ac:dyDescent="0.2">
      <c r="A3317" t="str">
        <f>"Ccdc36"</f>
        <v>Ccdc36</v>
      </c>
      <c r="B3317" t="s">
        <v>2263</v>
      </c>
      <c r="C3317" t="s">
        <v>24</v>
      </c>
      <c r="D3317" t="s">
        <v>11</v>
      </c>
      <c r="E3317" t="s">
        <v>20</v>
      </c>
      <c r="F3317">
        <v>108428483</v>
      </c>
      <c r="G3317">
        <v>108428483</v>
      </c>
      <c r="H3317">
        <v>108428483</v>
      </c>
      <c r="I3317">
        <v>108428483</v>
      </c>
    </row>
    <row r="3318" spans="1:9" x14ac:dyDescent="0.2">
      <c r="A3318" t="str">
        <f>"Ccdc37"</f>
        <v>Ccdc37</v>
      </c>
      <c r="B3318" t="s">
        <v>14</v>
      </c>
      <c r="C3318" t="s">
        <v>32</v>
      </c>
      <c r="D3318" t="s">
        <v>11</v>
      </c>
      <c r="E3318" t="s">
        <v>12</v>
      </c>
      <c r="F3318">
        <v>90428401</v>
      </c>
      <c r="G3318">
        <v>90428455</v>
      </c>
      <c r="H3318">
        <v>90428465</v>
      </c>
      <c r="I3318">
        <v>90428476</v>
      </c>
    </row>
    <row r="3319" spans="1:9" x14ac:dyDescent="0.2">
      <c r="A3319" t="str">
        <f>"Ccdc38"</f>
        <v>Ccdc38</v>
      </c>
      <c r="B3319" t="s">
        <v>14</v>
      </c>
      <c r="C3319" t="s">
        <v>15</v>
      </c>
      <c r="D3319" t="s">
        <v>17</v>
      </c>
      <c r="E3319" t="s">
        <v>12</v>
      </c>
      <c r="F3319">
        <v>93540626</v>
      </c>
      <c r="G3319">
        <v>93540653</v>
      </c>
      <c r="H3319">
        <v>93540605</v>
      </c>
      <c r="I3319">
        <v>93540614</v>
      </c>
    </row>
    <row r="3320" spans="1:9" x14ac:dyDescent="0.2">
      <c r="A3320" t="str">
        <f>"Ccdc39"</f>
        <v>Ccdc39</v>
      </c>
      <c r="B3320" t="s">
        <v>14</v>
      </c>
      <c r="C3320" t="s">
        <v>22</v>
      </c>
      <c r="D3320" t="s">
        <v>11</v>
      </c>
      <c r="E3320" t="s">
        <v>12</v>
      </c>
      <c r="F3320">
        <v>33844255</v>
      </c>
      <c r="G3320">
        <v>33844313</v>
      </c>
      <c r="H3320">
        <v>33844212</v>
      </c>
      <c r="I3320">
        <v>33844248</v>
      </c>
    </row>
    <row r="3321" spans="1:9" x14ac:dyDescent="0.2">
      <c r="A3321" t="str">
        <f>"Ccdc40"</f>
        <v>Ccdc40</v>
      </c>
      <c r="B3321" t="s">
        <v>14</v>
      </c>
      <c r="C3321" t="s">
        <v>27</v>
      </c>
      <c r="D3321" t="s">
        <v>17</v>
      </c>
      <c r="E3321" t="s">
        <v>12</v>
      </c>
      <c r="F3321">
        <v>119229092</v>
      </c>
      <c r="G3321">
        <v>119229131</v>
      </c>
      <c r="H3321">
        <v>119228560</v>
      </c>
      <c r="I3321">
        <v>119228580</v>
      </c>
    </row>
    <row r="3322" spans="1:9" x14ac:dyDescent="0.2">
      <c r="A3322" t="str">
        <f>"Ccdc41"</f>
        <v>Ccdc41</v>
      </c>
      <c r="B3322" t="s">
        <v>14</v>
      </c>
      <c r="C3322" t="s">
        <v>15</v>
      </c>
      <c r="D3322" t="s">
        <v>17</v>
      </c>
      <c r="E3322" t="s">
        <v>12</v>
      </c>
      <c r="F3322">
        <v>94688739</v>
      </c>
      <c r="G3322">
        <v>94688808</v>
      </c>
      <c r="H3322">
        <v>94688619</v>
      </c>
      <c r="I3322">
        <v>94688641</v>
      </c>
    </row>
    <row r="3323" spans="1:9" x14ac:dyDescent="0.2">
      <c r="A3323" t="str">
        <f>"Ccdc42"</f>
        <v>Ccdc42</v>
      </c>
      <c r="B3323" t="s">
        <v>9</v>
      </c>
      <c r="C3323" t="s">
        <v>27</v>
      </c>
      <c r="D3323" t="s">
        <v>17</v>
      </c>
      <c r="E3323" t="s">
        <v>12</v>
      </c>
      <c r="F3323">
        <v>68586986</v>
      </c>
      <c r="G3323">
        <v>68587030</v>
      </c>
      <c r="H3323">
        <v>68586986</v>
      </c>
      <c r="I3323">
        <v>68587030</v>
      </c>
    </row>
    <row r="3324" spans="1:9" x14ac:dyDescent="0.2">
      <c r="A3324" t="str">
        <f>"Ccdc42"</f>
        <v>Ccdc42</v>
      </c>
      <c r="B3324" t="s">
        <v>13</v>
      </c>
      <c r="C3324" t="s">
        <v>27</v>
      </c>
      <c r="D3324" t="s">
        <v>17</v>
      </c>
      <c r="E3324" t="s">
        <v>12</v>
      </c>
      <c r="F3324">
        <v>68594053</v>
      </c>
      <c r="G3324">
        <v>68594064</v>
      </c>
      <c r="H3324">
        <v>68594053</v>
      </c>
      <c r="I3324">
        <v>68594064</v>
      </c>
    </row>
    <row r="3325" spans="1:9" x14ac:dyDescent="0.2">
      <c r="A3325" t="str">
        <f>"Ccdc42b"</f>
        <v>Ccdc42b</v>
      </c>
      <c r="B3325" t="s">
        <v>14</v>
      </c>
      <c r="C3325" t="s">
        <v>46</v>
      </c>
      <c r="D3325" t="s">
        <v>11</v>
      </c>
      <c r="E3325" t="s">
        <v>12</v>
      </c>
      <c r="F3325">
        <v>120634276</v>
      </c>
      <c r="G3325">
        <v>120634294</v>
      </c>
      <c r="H3325">
        <v>120634303</v>
      </c>
      <c r="I3325">
        <v>120634320</v>
      </c>
    </row>
    <row r="3326" spans="1:9" x14ac:dyDescent="0.2">
      <c r="A3326" t="str">
        <f>"Ccdc43"</f>
        <v>Ccdc43</v>
      </c>
      <c r="B3326" t="s">
        <v>14</v>
      </c>
      <c r="C3326" t="s">
        <v>27</v>
      </c>
      <c r="D3326" t="s">
        <v>11</v>
      </c>
      <c r="E3326" t="s">
        <v>12</v>
      </c>
      <c r="F3326">
        <v>102697710</v>
      </c>
      <c r="G3326">
        <v>102697757</v>
      </c>
      <c r="H3326">
        <v>102697770</v>
      </c>
      <c r="I3326">
        <v>102697773</v>
      </c>
    </row>
    <row r="3327" spans="1:9" x14ac:dyDescent="0.2">
      <c r="A3327" t="str">
        <f>"Ccdc47"</f>
        <v>Ccdc47</v>
      </c>
      <c r="B3327" t="s">
        <v>14</v>
      </c>
      <c r="C3327" t="s">
        <v>27</v>
      </c>
      <c r="D3327" t="s">
        <v>11</v>
      </c>
      <c r="E3327" t="s">
        <v>12</v>
      </c>
      <c r="F3327">
        <v>106216318</v>
      </c>
      <c r="G3327">
        <v>106216363</v>
      </c>
      <c r="H3327">
        <v>106216310</v>
      </c>
      <c r="I3327">
        <v>106216317</v>
      </c>
    </row>
    <row r="3328" spans="1:9" x14ac:dyDescent="0.2">
      <c r="A3328" t="str">
        <f>"Ccdc50"</f>
        <v>Ccdc50</v>
      </c>
      <c r="B3328" t="s">
        <v>14</v>
      </c>
      <c r="C3328" t="s">
        <v>31</v>
      </c>
      <c r="D3328" t="s">
        <v>17</v>
      </c>
      <c r="E3328" t="s">
        <v>12</v>
      </c>
      <c r="F3328">
        <v>27389034</v>
      </c>
      <c r="G3328">
        <v>27389089</v>
      </c>
      <c r="H3328">
        <v>27389004</v>
      </c>
      <c r="I3328">
        <v>27389031</v>
      </c>
    </row>
    <row r="3329" spans="1:9" x14ac:dyDescent="0.2">
      <c r="A3329" t="str">
        <f>"Ccdc51"</f>
        <v>Ccdc51</v>
      </c>
      <c r="B3329" t="s">
        <v>14</v>
      </c>
      <c r="C3329" t="s">
        <v>24</v>
      </c>
      <c r="D3329" t="s">
        <v>17</v>
      </c>
      <c r="E3329" t="s">
        <v>12</v>
      </c>
      <c r="F3329">
        <v>109082485</v>
      </c>
      <c r="G3329">
        <v>109082535</v>
      </c>
      <c r="H3329">
        <v>109082455</v>
      </c>
      <c r="I3329">
        <v>109082473</v>
      </c>
    </row>
    <row r="3330" spans="1:9" x14ac:dyDescent="0.2">
      <c r="A3330" t="str">
        <f>"Ccdc53"</f>
        <v>Ccdc53</v>
      </c>
      <c r="B3330" t="s">
        <v>14</v>
      </c>
      <c r="C3330" t="s">
        <v>15</v>
      </c>
      <c r="D3330" t="s">
        <v>17</v>
      </c>
      <c r="E3330" t="s">
        <v>12</v>
      </c>
      <c r="F3330">
        <v>88201158</v>
      </c>
      <c r="G3330">
        <v>88201218</v>
      </c>
      <c r="H3330">
        <v>88201117</v>
      </c>
      <c r="I3330">
        <v>88201156</v>
      </c>
    </row>
    <row r="3331" spans="1:9" x14ac:dyDescent="0.2">
      <c r="A3331" t="str">
        <f>"Ccdc54"</f>
        <v>Ccdc54</v>
      </c>
      <c r="B3331" t="s">
        <v>14</v>
      </c>
      <c r="C3331" t="s">
        <v>31</v>
      </c>
      <c r="D3331" t="s">
        <v>11</v>
      </c>
      <c r="E3331" t="s">
        <v>12</v>
      </c>
      <c r="F3331">
        <v>50591072</v>
      </c>
      <c r="G3331">
        <v>50591119</v>
      </c>
      <c r="H3331">
        <v>50591121</v>
      </c>
      <c r="I3331">
        <v>50591132</v>
      </c>
    </row>
    <row r="3332" spans="1:9" x14ac:dyDescent="0.2">
      <c r="A3332" t="str">
        <f>"Ccdc55"</f>
        <v>Ccdc55</v>
      </c>
      <c r="B3332" t="s">
        <v>14</v>
      </c>
      <c r="C3332" t="s">
        <v>27</v>
      </c>
      <c r="D3332" t="s">
        <v>11</v>
      </c>
      <c r="E3332" t="s">
        <v>12</v>
      </c>
      <c r="F3332">
        <v>77078404</v>
      </c>
      <c r="G3332">
        <v>77078442</v>
      </c>
      <c r="H3332">
        <v>77078081</v>
      </c>
      <c r="I3332">
        <v>77078089</v>
      </c>
    </row>
    <row r="3333" spans="1:9" x14ac:dyDescent="0.2">
      <c r="A3333" t="str">
        <f>"Ccdc57"</f>
        <v>Ccdc57</v>
      </c>
      <c r="B3333" t="s">
        <v>14</v>
      </c>
      <c r="C3333" t="s">
        <v>27</v>
      </c>
      <c r="D3333" t="s">
        <v>11</v>
      </c>
      <c r="E3333" t="s">
        <v>12</v>
      </c>
      <c r="F3333">
        <v>120932832</v>
      </c>
      <c r="G3333">
        <v>120932876</v>
      </c>
      <c r="H3333">
        <v>120932798</v>
      </c>
      <c r="I3333">
        <v>120932813</v>
      </c>
    </row>
    <row r="3334" spans="1:9" x14ac:dyDescent="0.2">
      <c r="A3334" t="str">
        <f>"Ccdc58"</f>
        <v>Ccdc58</v>
      </c>
      <c r="B3334" t="s">
        <v>14</v>
      </c>
      <c r="C3334" t="s">
        <v>31</v>
      </c>
      <c r="D3334" t="s">
        <v>17</v>
      </c>
      <c r="E3334" t="s">
        <v>12</v>
      </c>
      <c r="F3334">
        <v>36072068</v>
      </c>
      <c r="G3334">
        <v>36072090</v>
      </c>
      <c r="H3334">
        <v>36071624</v>
      </c>
      <c r="I3334">
        <v>36071688</v>
      </c>
    </row>
    <row r="3335" spans="1:9" x14ac:dyDescent="0.2">
      <c r="A3335" t="str">
        <f>"Ccdc59"</f>
        <v>Ccdc59</v>
      </c>
      <c r="B3335" t="s">
        <v>14</v>
      </c>
      <c r="C3335" t="s">
        <v>15</v>
      </c>
      <c r="D3335" t="s">
        <v>17</v>
      </c>
      <c r="E3335" t="s">
        <v>12</v>
      </c>
      <c r="F3335">
        <v>105841454</v>
      </c>
      <c r="G3335">
        <v>105841512</v>
      </c>
      <c r="H3335">
        <v>105841064</v>
      </c>
      <c r="I3335">
        <v>105841132</v>
      </c>
    </row>
    <row r="3336" spans="1:9" x14ac:dyDescent="0.2">
      <c r="A3336" t="str">
        <f>"Ccdc6"</f>
        <v>Ccdc6</v>
      </c>
      <c r="B3336" t="s">
        <v>14</v>
      </c>
      <c r="C3336" t="s">
        <v>15</v>
      </c>
      <c r="D3336" t="s">
        <v>17</v>
      </c>
      <c r="E3336" t="s">
        <v>12</v>
      </c>
      <c r="F3336">
        <v>70097102</v>
      </c>
      <c r="G3336">
        <v>70097211</v>
      </c>
      <c r="H3336">
        <v>70096826</v>
      </c>
      <c r="I3336">
        <v>70096859</v>
      </c>
    </row>
    <row r="3337" spans="1:9" x14ac:dyDescent="0.2">
      <c r="A3337" t="str">
        <f>"Ccdc60"</f>
        <v>Ccdc60</v>
      </c>
      <c r="B3337" t="s">
        <v>14</v>
      </c>
      <c r="C3337" t="s">
        <v>46</v>
      </c>
      <c r="D3337" t="s">
        <v>11</v>
      </c>
      <c r="E3337" t="s">
        <v>12</v>
      </c>
      <c r="F3337">
        <v>116288978</v>
      </c>
      <c r="G3337">
        <v>116288999</v>
      </c>
      <c r="H3337">
        <v>116288944</v>
      </c>
      <c r="I3337">
        <v>116288977</v>
      </c>
    </row>
    <row r="3338" spans="1:9" x14ac:dyDescent="0.2">
      <c r="A3338" t="str">
        <f>"Ccdc61"</f>
        <v>Ccdc61</v>
      </c>
      <c r="B3338" t="s">
        <v>14</v>
      </c>
      <c r="C3338" t="s">
        <v>33</v>
      </c>
      <c r="D3338" t="s">
        <v>11</v>
      </c>
      <c r="E3338" t="s">
        <v>12</v>
      </c>
      <c r="F3338">
        <v>18910391</v>
      </c>
      <c r="G3338">
        <v>18910411</v>
      </c>
      <c r="H3338">
        <v>18910352</v>
      </c>
      <c r="I3338">
        <v>18910376</v>
      </c>
    </row>
    <row r="3339" spans="1:9" x14ac:dyDescent="0.2">
      <c r="A3339" t="str">
        <f>"Ccdc62"</f>
        <v>Ccdc62</v>
      </c>
      <c r="B3339" t="s">
        <v>14</v>
      </c>
      <c r="C3339" t="s">
        <v>46</v>
      </c>
      <c r="D3339" t="s">
        <v>17</v>
      </c>
      <c r="E3339" t="s">
        <v>12</v>
      </c>
      <c r="F3339">
        <v>123930675</v>
      </c>
      <c r="G3339">
        <v>123930718</v>
      </c>
      <c r="H3339">
        <v>123930723</v>
      </c>
      <c r="I3339">
        <v>123930754</v>
      </c>
    </row>
    <row r="3340" spans="1:9" x14ac:dyDescent="0.2">
      <c r="A3340" t="str">
        <f>"Ccdc63"</f>
        <v>Ccdc63</v>
      </c>
      <c r="B3340" t="s">
        <v>14</v>
      </c>
      <c r="C3340" t="s">
        <v>46</v>
      </c>
      <c r="D3340" t="s">
        <v>11</v>
      </c>
      <c r="E3340" t="s">
        <v>12</v>
      </c>
      <c r="F3340">
        <v>122131958</v>
      </c>
      <c r="G3340">
        <v>122131973</v>
      </c>
      <c r="H3340">
        <v>122131976</v>
      </c>
      <c r="I3340">
        <v>122131982</v>
      </c>
    </row>
    <row r="3341" spans="1:9" x14ac:dyDescent="0.2">
      <c r="A3341" t="str">
        <f>"Ccdc64"</f>
        <v>Ccdc64</v>
      </c>
      <c r="B3341" t="s">
        <v>2264</v>
      </c>
      <c r="C3341" t="s">
        <v>46</v>
      </c>
      <c r="D3341" t="s">
        <v>11</v>
      </c>
      <c r="E3341" t="s">
        <v>35</v>
      </c>
      <c r="F3341">
        <v>115731734</v>
      </c>
      <c r="G3341">
        <v>115731737</v>
      </c>
      <c r="H3341">
        <v>115731580</v>
      </c>
      <c r="I3341">
        <v>115731592</v>
      </c>
    </row>
    <row r="3342" spans="1:9" x14ac:dyDescent="0.2">
      <c r="A3342" t="str">
        <f>"Ccdc64b"</f>
        <v>Ccdc64b</v>
      </c>
      <c r="B3342" t="s">
        <v>14</v>
      </c>
      <c r="C3342" t="s">
        <v>28</v>
      </c>
      <c r="D3342" t="s">
        <v>17</v>
      </c>
      <c r="E3342" t="s">
        <v>12</v>
      </c>
      <c r="F3342">
        <v>23660477</v>
      </c>
      <c r="G3342">
        <v>23660525</v>
      </c>
      <c r="H3342">
        <v>23660477</v>
      </c>
      <c r="I3342">
        <v>23660525</v>
      </c>
    </row>
    <row r="3343" spans="1:9" x14ac:dyDescent="0.2">
      <c r="A3343" t="str">
        <f>"Ccdc65"</f>
        <v>Ccdc65</v>
      </c>
      <c r="B3343" t="s">
        <v>14</v>
      </c>
      <c r="C3343" t="s">
        <v>25</v>
      </c>
      <c r="D3343" t="s">
        <v>17</v>
      </c>
      <c r="E3343" t="s">
        <v>12</v>
      </c>
      <c r="F3343">
        <v>98708187</v>
      </c>
      <c r="G3343">
        <v>98708216</v>
      </c>
      <c r="H3343">
        <v>98708225</v>
      </c>
      <c r="I3343">
        <v>98708247</v>
      </c>
    </row>
    <row r="3344" spans="1:9" x14ac:dyDescent="0.2">
      <c r="A3344" t="str">
        <f>"Ccdc66"</f>
        <v>Ccdc66</v>
      </c>
      <c r="B3344" t="s">
        <v>14</v>
      </c>
      <c r="C3344" t="s">
        <v>41</v>
      </c>
      <c r="D3344" t="s">
        <v>11</v>
      </c>
      <c r="E3344" t="s">
        <v>12</v>
      </c>
      <c r="F3344">
        <v>27508463</v>
      </c>
      <c r="G3344">
        <v>27508503</v>
      </c>
      <c r="H3344">
        <v>27508463</v>
      </c>
      <c r="I3344">
        <v>27508503</v>
      </c>
    </row>
    <row r="3345" spans="1:9" x14ac:dyDescent="0.2">
      <c r="A3345" t="str">
        <f>"Ccdc67"</f>
        <v>Ccdc67</v>
      </c>
      <c r="B3345" t="s">
        <v>14</v>
      </c>
      <c r="C3345" t="s">
        <v>24</v>
      </c>
      <c r="D3345" t="s">
        <v>11</v>
      </c>
      <c r="E3345" t="s">
        <v>12</v>
      </c>
      <c r="F3345">
        <v>15628283</v>
      </c>
      <c r="G3345">
        <v>15628311</v>
      </c>
      <c r="H3345">
        <v>15627910</v>
      </c>
      <c r="I3345">
        <v>15627922</v>
      </c>
    </row>
    <row r="3346" spans="1:9" x14ac:dyDescent="0.2">
      <c r="A3346" t="str">
        <f>"Ccdc68"</f>
        <v>Ccdc68</v>
      </c>
      <c r="B3346" t="s">
        <v>14</v>
      </c>
      <c r="C3346" t="s">
        <v>43</v>
      </c>
      <c r="D3346" t="s">
        <v>17</v>
      </c>
      <c r="E3346" t="s">
        <v>12</v>
      </c>
      <c r="F3346">
        <v>69925479</v>
      </c>
      <c r="G3346">
        <v>69925537</v>
      </c>
      <c r="H3346">
        <v>69925542</v>
      </c>
      <c r="I3346">
        <v>69925571</v>
      </c>
    </row>
    <row r="3347" spans="1:9" x14ac:dyDescent="0.2">
      <c r="A3347" t="str">
        <f>"Ccdc69"</f>
        <v>Ccdc69</v>
      </c>
      <c r="B3347" t="s">
        <v>14</v>
      </c>
      <c r="C3347" t="s">
        <v>27</v>
      </c>
      <c r="D3347" t="s">
        <v>11</v>
      </c>
      <c r="E3347" t="s">
        <v>12</v>
      </c>
      <c r="F3347">
        <v>55078075</v>
      </c>
      <c r="G3347">
        <v>55078119</v>
      </c>
      <c r="H3347">
        <v>55078120</v>
      </c>
      <c r="I3347">
        <v>55078145</v>
      </c>
    </row>
    <row r="3348" spans="1:9" x14ac:dyDescent="0.2">
      <c r="A3348" t="str">
        <f>"Ccdc7"</f>
        <v>Ccdc7</v>
      </c>
      <c r="B3348" t="s">
        <v>2265</v>
      </c>
      <c r="C3348" t="s">
        <v>30</v>
      </c>
      <c r="D3348" t="s">
        <v>11</v>
      </c>
      <c r="E3348" t="s">
        <v>20</v>
      </c>
      <c r="F3348">
        <v>129065503</v>
      </c>
      <c r="G3348">
        <v>129065503</v>
      </c>
      <c r="H3348">
        <v>129065503</v>
      </c>
      <c r="I3348">
        <v>129065503</v>
      </c>
    </row>
    <row r="3349" spans="1:9" x14ac:dyDescent="0.2">
      <c r="A3349" t="str">
        <f>"Ccdc70"</f>
        <v>Ccdc70</v>
      </c>
      <c r="B3349" t="s">
        <v>14</v>
      </c>
      <c r="C3349" t="s">
        <v>30</v>
      </c>
      <c r="D3349" t="s">
        <v>17</v>
      </c>
      <c r="E3349" t="s">
        <v>12</v>
      </c>
      <c r="F3349">
        <v>21970590</v>
      </c>
      <c r="G3349">
        <v>21970608</v>
      </c>
      <c r="H3349">
        <v>21970590</v>
      </c>
      <c r="I3349">
        <v>21970608</v>
      </c>
    </row>
    <row r="3350" spans="1:9" x14ac:dyDescent="0.2">
      <c r="A3350" t="str">
        <f>"Ccdc71"</f>
        <v>Ccdc71</v>
      </c>
      <c r="B3350" t="s">
        <v>14</v>
      </c>
      <c r="C3350" t="s">
        <v>24</v>
      </c>
      <c r="D3350" t="s">
        <v>17</v>
      </c>
      <c r="E3350" t="s">
        <v>12</v>
      </c>
      <c r="F3350">
        <v>108460529</v>
      </c>
      <c r="G3350">
        <v>108460571</v>
      </c>
      <c r="H3350">
        <v>108460529</v>
      </c>
      <c r="I3350">
        <v>108460571</v>
      </c>
    </row>
    <row r="3351" spans="1:9" x14ac:dyDescent="0.2">
      <c r="A3351" t="str">
        <f>"Ccdc71l"</f>
        <v>Ccdc71l</v>
      </c>
      <c r="B3351" t="s">
        <v>14</v>
      </c>
      <c r="C3351" t="s">
        <v>16</v>
      </c>
      <c r="D3351" t="s">
        <v>17</v>
      </c>
      <c r="E3351" t="s">
        <v>67</v>
      </c>
      <c r="F3351">
        <v>32378872</v>
      </c>
      <c r="G3351">
        <v>32378895</v>
      </c>
      <c r="H3351">
        <v>32378765</v>
      </c>
      <c r="I3351">
        <v>32378813</v>
      </c>
    </row>
    <row r="3352" spans="1:9" x14ac:dyDescent="0.2">
      <c r="A3352" t="str">
        <f>"Ccdc73"</f>
        <v>Ccdc73</v>
      </c>
      <c r="B3352" t="s">
        <v>2266</v>
      </c>
      <c r="C3352" t="s">
        <v>26</v>
      </c>
      <c r="D3352" t="s">
        <v>17</v>
      </c>
      <c r="E3352" t="s">
        <v>20</v>
      </c>
      <c r="F3352">
        <v>104886323</v>
      </c>
      <c r="G3352">
        <v>104886323</v>
      </c>
      <c r="H3352">
        <v>104886323</v>
      </c>
      <c r="I3352">
        <v>104886323</v>
      </c>
    </row>
    <row r="3353" spans="1:9" x14ac:dyDescent="0.2">
      <c r="A3353" t="str">
        <f>"Ccdc74a"</f>
        <v>Ccdc74a</v>
      </c>
      <c r="B3353" t="s">
        <v>14</v>
      </c>
      <c r="C3353" t="s">
        <v>31</v>
      </c>
      <c r="D3353" t="s">
        <v>17</v>
      </c>
      <c r="E3353" t="s">
        <v>12</v>
      </c>
      <c r="F3353">
        <v>17646464</v>
      </c>
      <c r="G3353">
        <v>17646507</v>
      </c>
      <c r="H3353">
        <v>17646513</v>
      </c>
      <c r="I3353">
        <v>17646530</v>
      </c>
    </row>
    <row r="3354" spans="1:9" x14ac:dyDescent="0.2">
      <c r="A3354" t="str">
        <f>"Ccdc77"</f>
        <v>Ccdc77</v>
      </c>
      <c r="B3354" t="s">
        <v>9</v>
      </c>
      <c r="C3354" t="s">
        <v>32</v>
      </c>
      <c r="D3354" t="s">
        <v>11</v>
      </c>
      <c r="E3354" t="s">
        <v>12</v>
      </c>
      <c r="F3354">
        <v>120357342</v>
      </c>
      <c r="G3354">
        <v>120357400</v>
      </c>
      <c r="H3354">
        <v>120357342</v>
      </c>
      <c r="I3354">
        <v>120357400</v>
      </c>
    </row>
    <row r="3355" spans="1:9" x14ac:dyDescent="0.2">
      <c r="A3355" t="str">
        <f>"Ccdc77"</f>
        <v>Ccdc77</v>
      </c>
      <c r="B3355" t="s">
        <v>13</v>
      </c>
      <c r="C3355" t="s">
        <v>32</v>
      </c>
      <c r="D3355" t="s">
        <v>11</v>
      </c>
      <c r="E3355" t="s">
        <v>12</v>
      </c>
      <c r="F3355">
        <v>120364344</v>
      </c>
      <c r="G3355">
        <v>120364374</v>
      </c>
      <c r="H3355">
        <v>120364344</v>
      </c>
      <c r="I3355">
        <v>120364374</v>
      </c>
    </row>
    <row r="3356" spans="1:9" x14ac:dyDescent="0.2">
      <c r="A3356" t="str">
        <f>"Ccdc78"</f>
        <v>Ccdc78</v>
      </c>
      <c r="B3356" t="s">
        <v>14</v>
      </c>
      <c r="C3356" t="s">
        <v>28</v>
      </c>
      <c r="D3356" t="s">
        <v>17</v>
      </c>
      <c r="E3356" t="s">
        <v>12</v>
      </c>
      <c r="F3356">
        <v>25786585</v>
      </c>
      <c r="G3356">
        <v>25786613</v>
      </c>
      <c r="H3356">
        <v>25786566</v>
      </c>
      <c r="I3356">
        <v>25786584</v>
      </c>
    </row>
    <row r="3357" spans="1:9" x14ac:dyDescent="0.2">
      <c r="A3357" t="str">
        <f>"Ccdc79"</f>
        <v>Ccdc79</v>
      </c>
      <c r="B3357" t="s">
        <v>14</v>
      </c>
      <c r="C3357" t="s">
        <v>30</v>
      </c>
      <c r="D3357" t="s">
        <v>11</v>
      </c>
      <c r="E3357" t="s">
        <v>12</v>
      </c>
      <c r="F3357">
        <v>104509874</v>
      </c>
      <c r="G3357">
        <v>104509894</v>
      </c>
      <c r="H3357">
        <v>104509857</v>
      </c>
      <c r="I3357">
        <v>104509870</v>
      </c>
    </row>
    <row r="3358" spans="1:9" x14ac:dyDescent="0.2">
      <c r="A3358" t="str">
        <f>"Ccdc8"</f>
        <v>Ccdc8</v>
      </c>
      <c r="B3358" t="s">
        <v>14</v>
      </c>
      <c r="C3358" t="s">
        <v>33</v>
      </c>
      <c r="D3358" t="s">
        <v>17</v>
      </c>
      <c r="E3358" t="s">
        <v>12</v>
      </c>
      <c r="F3358">
        <v>16994433</v>
      </c>
      <c r="G3358">
        <v>16994434</v>
      </c>
      <c r="H3358">
        <v>16994433</v>
      </c>
      <c r="I3358">
        <v>16994434</v>
      </c>
    </row>
    <row r="3359" spans="1:9" x14ac:dyDescent="0.2">
      <c r="A3359" t="str">
        <f>"Ccdc80"</f>
        <v>Ccdc80</v>
      </c>
      <c r="B3359" t="s">
        <v>14</v>
      </c>
      <c r="C3359" t="s">
        <v>31</v>
      </c>
      <c r="D3359" t="s">
        <v>17</v>
      </c>
      <c r="E3359" t="s">
        <v>12</v>
      </c>
      <c r="F3359">
        <v>45094006</v>
      </c>
      <c r="G3359">
        <v>45094021</v>
      </c>
      <c r="H3359">
        <v>45093665</v>
      </c>
      <c r="I3359">
        <v>45093681</v>
      </c>
    </row>
    <row r="3360" spans="1:9" x14ac:dyDescent="0.2">
      <c r="A3360" t="str">
        <f>"Ccdc81"</f>
        <v>Ccdc81</v>
      </c>
      <c r="B3360" t="s">
        <v>14</v>
      </c>
      <c r="C3360" t="s">
        <v>33</v>
      </c>
      <c r="D3360" t="s">
        <v>11</v>
      </c>
      <c r="E3360" t="s">
        <v>12</v>
      </c>
      <c r="F3360">
        <v>89903578</v>
      </c>
      <c r="G3360">
        <v>89903633</v>
      </c>
      <c r="H3360">
        <v>89903634</v>
      </c>
      <c r="I3360">
        <v>89903639</v>
      </c>
    </row>
    <row r="3361" spans="1:9" x14ac:dyDescent="0.2">
      <c r="A3361" t="str">
        <f>"Ccdc82"</f>
        <v>Ccdc82</v>
      </c>
      <c r="B3361" t="s">
        <v>2267</v>
      </c>
      <c r="C3361" t="s">
        <v>24</v>
      </c>
      <c r="D3361" t="s">
        <v>17</v>
      </c>
      <c r="E3361" t="s">
        <v>20</v>
      </c>
      <c r="F3361">
        <v>13246981</v>
      </c>
      <c r="G3361">
        <v>13246981</v>
      </c>
      <c r="H3361">
        <v>13246981</v>
      </c>
      <c r="I3361">
        <v>13246981</v>
      </c>
    </row>
    <row r="3362" spans="1:9" x14ac:dyDescent="0.2">
      <c r="A3362" t="str">
        <f>"Ccdc83"</f>
        <v>Ccdc83</v>
      </c>
      <c r="B3362" t="s">
        <v>14</v>
      </c>
      <c r="C3362" t="s">
        <v>33</v>
      </c>
      <c r="D3362" t="s">
        <v>11</v>
      </c>
      <c r="E3362" t="s">
        <v>12</v>
      </c>
      <c r="F3362">
        <v>90265402</v>
      </c>
      <c r="G3362">
        <v>90265444</v>
      </c>
      <c r="H3362">
        <v>90265377</v>
      </c>
      <c r="I3362">
        <v>90265395</v>
      </c>
    </row>
    <row r="3363" spans="1:9" x14ac:dyDescent="0.2">
      <c r="A3363" t="str">
        <f>"Ccdc84"</f>
        <v>Ccdc84</v>
      </c>
      <c r="B3363" t="s">
        <v>14</v>
      </c>
      <c r="C3363" t="s">
        <v>24</v>
      </c>
      <c r="D3363" t="s">
        <v>11</v>
      </c>
      <c r="E3363" t="s">
        <v>12</v>
      </c>
      <c r="F3363">
        <v>44417983</v>
      </c>
      <c r="G3363">
        <v>44418026</v>
      </c>
      <c r="H3363">
        <v>44418030</v>
      </c>
      <c r="I3363">
        <v>44418056</v>
      </c>
    </row>
    <row r="3364" spans="1:9" x14ac:dyDescent="0.2">
      <c r="A3364" t="str">
        <f>"Ccdc85a"</f>
        <v>Ccdc85a</v>
      </c>
      <c r="B3364" t="s">
        <v>14</v>
      </c>
      <c r="C3364" t="s">
        <v>27</v>
      </c>
      <c r="D3364" t="s">
        <v>11</v>
      </c>
      <c r="E3364" t="s">
        <v>12</v>
      </c>
      <c r="F3364">
        <v>28584260</v>
      </c>
      <c r="G3364">
        <v>28584309</v>
      </c>
      <c r="H3364">
        <v>28584074</v>
      </c>
      <c r="I3364">
        <v>28584105</v>
      </c>
    </row>
    <row r="3365" spans="1:9" x14ac:dyDescent="0.2">
      <c r="A3365" t="str">
        <f>"Ccdc85b"</f>
        <v>Ccdc85b</v>
      </c>
      <c r="B3365" t="s">
        <v>14</v>
      </c>
      <c r="C3365" t="s">
        <v>10</v>
      </c>
      <c r="D3365" t="s">
        <v>11</v>
      </c>
      <c r="E3365" t="s">
        <v>12</v>
      </c>
      <c r="F3365">
        <v>5457504</v>
      </c>
      <c r="G3365">
        <v>5457573</v>
      </c>
      <c r="H3365">
        <v>5457488</v>
      </c>
      <c r="I3365">
        <v>5457494</v>
      </c>
    </row>
    <row r="3366" spans="1:9" x14ac:dyDescent="0.2">
      <c r="A3366" t="str">
        <f>"Ccdc85c"</f>
        <v>Ccdc85c</v>
      </c>
      <c r="B3366" t="s">
        <v>14</v>
      </c>
      <c r="C3366" t="s">
        <v>16</v>
      </c>
      <c r="D3366" t="s">
        <v>11</v>
      </c>
      <c r="E3366" t="s">
        <v>12</v>
      </c>
      <c r="F3366">
        <v>108275352</v>
      </c>
      <c r="G3366">
        <v>108275408</v>
      </c>
      <c r="H3366">
        <v>108275338</v>
      </c>
      <c r="I3366">
        <v>108275351</v>
      </c>
    </row>
    <row r="3367" spans="1:9" x14ac:dyDescent="0.2">
      <c r="A3367" t="str">
        <f>"Ccdc86"</f>
        <v>Ccdc86</v>
      </c>
      <c r="B3367" t="s">
        <v>14</v>
      </c>
      <c r="C3367" t="s">
        <v>10</v>
      </c>
      <c r="D3367" t="s">
        <v>11</v>
      </c>
      <c r="E3367" t="s">
        <v>12</v>
      </c>
      <c r="F3367">
        <v>10949238</v>
      </c>
      <c r="G3367">
        <v>10949277</v>
      </c>
      <c r="H3367">
        <v>10949238</v>
      </c>
      <c r="I3367">
        <v>10949277</v>
      </c>
    </row>
    <row r="3368" spans="1:9" x14ac:dyDescent="0.2">
      <c r="A3368" t="str">
        <f>"Ccdc87"</f>
        <v>Ccdc87</v>
      </c>
      <c r="B3368" t="s">
        <v>14</v>
      </c>
      <c r="C3368" t="s">
        <v>10</v>
      </c>
      <c r="D3368" t="s">
        <v>17</v>
      </c>
      <c r="E3368" t="s">
        <v>12</v>
      </c>
      <c r="F3368">
        <v>4839409</v>
      </c>
      <c r="G3368">
        <v>4839482</v>
      </c>
      <c r="H3368">
        <v>4839409</v>
      </c>
      <c r="I3368">
        <v>4839482</v>
      </c>
    </row>
    <row r="3369" spans="1:9" x14ac:dyDescent="0.2">
      <c r="A3369" t="str">
        <f>"Ccdc88a"</f>
        <v>Ccdc88a</v>
      </c>
      <c r="B3369" t="s">
        <v>14</v>
      </c>
      <c r="C3369" t="s">
        <v>27</v>
      </c>
      <c r="D3369" t="s">
        <v>17</v>
      </c>
      <c r="E3369" t="s">
        <v>12</v>
      </c>
      <c r="F3369">
        <v>29373618</v>
      </c>
      <c r="G3369">
        <v>29373723</v>
      </c>
      <c r="H3369">
        <v>29373590</v>
      </c>
      <c r="I3369">
        <v>29373613</v>
      </c>
    </row>
    <row r="3370" spans="1:9" x14ac:dyDescent="0.2">
      <c r="A3370" t="str">
        <f>"Ccdc88b"</f>
        <v>Ccdc88b</v>
      </c>
      <c r="B3370" t="s">
        <v>14</v>
      </c>
      <c r="C3370" t="s">
        <v>10</v>
      </c>
      <c r="D3370" t="s">
        <v>11</v>
      </c>
      <c r="E3370" t="s">
        <v>12</v>
      </c>
      <c r="F3370">
        <v>6858179</v>
      </c>
      <c r="G3370">
        <v>6858218</v>
      </c>
      <c r="H3370">
        <v>6858173</v>
      </c>
      <c r="I3370">
        <v>6858178</v>
      </c>
    </row>
    <row r="3371" spans="1:9" x14ac:dyDescent="0.2">
      <c r="A3371" t="str">
        <f>"Ccdc88c"</f>
        <v>Ccdc88c</v>
      </c>
      <c r="B3371" t="s">
        <v>14</v>
      </c>
      <c r="C3371" t="s">
        <v>16</v>
      </c>
      <c r="D3371" t="s">
        <v>11</v>
      </c>
      <c r="E3371" t="s">
        <v>12</v>
      </c>
      <c r="F3371">
        <v>101028844</v>
      </c>
      <c r="G3371">
        <v>101028913</v>
      </c>
      <c r="H3371">
        <v>101029059</v>
      </c>
      <c r="I3371">
        <v>101029087</v>
      </c>
    </row>
    <row r="3372" spans="1:9" x14ac:dyDescent="0.2">
      <c r="A3372" t="str">
        <f>"Ccdc89"</f>
        <v>Ccdc89</v>
      </c>
      <c r="B3372" t="s">
        <v>14</v>
      </c>
      <c r="C3372" t="s">
        <v>33</v>
      </c>
      <c r="D3372" t="s">
        <v>17</v>
      </c>
      <c r="E3372" t="s">
        <v>12</v>
      </c>
      <c r="F3372">
        <v>90426555</v>
      </c>
      <c r="G3372">
        <v>90426577</v>
      </c>
      <c r="H3372">
        <v>90426555</v>
      </c>
      <c r="I3372">
        <v>90426577</v>
      </c>
    </row>
    <row r="3373" spans="1:9" x14ac:dyDescent="0.2">
      <c r="A3373" t="str">
        <f>"Ccdc9"</f>
        <v>Ccdc9</v>
      </c>
      <c r="B3373" t="s">
        <v>14</v>
      </c>
      <c r="C3373" t="s">
        <v>33</v>
      </c>
      <c r="D3373" t="s">
        <v>11</v>
      </c>
      <c r="E3373" t="s">
        <v>12</v>
      </c>
      <c r="F3373">
        <v>16286744</v>
      </c>
      <c r="G3373">
        <v>16286788</v>
      </c>
      <c r="H3373">
        <v>16286010</v>
      </c>
      <c r="I3373">
        <v>16286034</v>
      </c>
    </row>
    <row r="3374" spans="1:9" x14ac:dyDescent="0.2">
      <c r="A3374" t="str">
        <f>"Ccdc90b"</f>
        <v>Ccdc90b</v>
      </c>
      <c r="B3374" t="s">
        <v>14</v>
      </c>
      <c r="C3374" t="s">
        <v>33</v>
      </c>
      <c r="D3374" t="s">
        <v>17</v>
      </c>
      <c r="E3374" t="s">
        <v>12</v>
      </c>
      <c r="F3374">
        <v>92561484</v>
      </c>
      <c r="G3374">
        <v>92561537</v>
      </c>
      <c r="H3374">
        <v>92561141</v>
      </c>
      <c r="I3374">
        <v>92561210</v>
      </c>
    </row>
    <row r="3375" spans="1:9" x14ac:dyDescent="0.2">
      <c r="A3375" t="str">
        <f>"Ccdc91"</f>
        <v>Ccdc91</v>
      </c>
      <c r="B3375" t="s">
        <v>14</v>
      </c>
      <c r="C3375" t="s">
        <v>32</v>
      </c>
      <c r="D3375" t="s">
        <v>17</v>
      </c>
      <c r="E3375" t="s">
        <v>12</v>
      </c>
      <c r="F3375">
        <v>147475865</v>
      </c>
      <c r="G3375">
        <v>147475922</v>
      </c>
      <c r="H3375">
        <v>147475865</v>
      </c>
      <c r="I3375">
        <v>147475922</v>
      </c>
    </row>
    <row r="3376" spans="1:9" x14ac:dyDescent="0.2">
      <c r="A3376" t="str">
        <f>"Ccdc92"</f>
        <v>Ccdc92</v>
      </c>
      <c r="B3376" t="s">
        <v>14</v>
      </c>
      <c r="C3376" t="s">
        <v>46</v>
      </c>
      <c r="D3376" t="s">
        <v>11</v>
      </c>
      <c r="E3376" t="s">
        <v>12</v>
      </c>
      <c r="F3376">
        <v>124862368</v>
      </c>
      <c r="G3376">
        <v>124862410</v>
      </c>
      <c r="H3376">
        <v>124862160</v>
      </c>
      <c r="I3376">
        <v>124862204</v>
      </c>
    </row>
    <row r="3377" spans="1:9" x14ac:dyDescent="0.2">
      <c r="A3377" t="str">
        <f>"Ccdc93"</f>
        <v>Ccdc93</v>
      </c>
      <c r="B3377" t="s">
        <v>14</v>
      </c>
      <c r="C3377" t="s">
        <v>19</v>
      </c>
      <c r="D3377" t="s">
        <v>17</v>
      </c>
      <c r="E3377" t="s">
        <v>12</v>
      </c>
      <c r="F3377">
        <v>121431051</v>
      </c>
      <c r="G3377">
        <v>121431124</v>
      </c>
      <c r="H3377">
        <v>121431128</v>
      </c>
      <c r="I3377">
        <v>121431152</v>
      </c>
    </row>
    <row r="3378" spans="1:9" x14ac:dyDescent="0.2">
      <c r="A3378" t="str">
        <f>"Ccdc94"</f>
        <v>Ccdc94</v>
      </c>
      <c r="B3378" t="s">
        <v>14</v>
      </c>
      <c r="C3378" t="s">
        <v>28</v>
      </c>
      <c r="D3378" t="s">
        <v>17</v>
      </c>
      <c r="E3378" t="s">
        <v>12</v>
      </c>
      <c r="F3378">
        <v>55959146</v>
      </c>
      <c r="G3378">
        <v>55959182</v>
      </c>
      <c r="H3378">
        <v>55959183</v>
      </c>
      <c r="I3378">
        <v>55959215</v>
      </c>
    </row>
    <row r="3379" spans="1:9" x14ac:dyDescent="0.2">
      <c r="A3379" t="str">
        <f>"Ccdc96"</f>
        <v>Ccdc96</v>
      </c>
      <c r="B3379" t="s">
        <v>14</v>
      </c>
      <c r="C3379" t="s">
        <v>46</v>
      </c>
      <c r="D3379" t="s">
        <v>17</v>
      </c>
      <c r="E3379" t="s">
        <v>12</v>
      </c>
      <c r="F3379">
        <v>36484578</v>
      </c>
      <c r="G3379">
        <v>36484620</v>
      </c>
      <c r="H3379">
        <v>36484623</v>
      </c>
      <c r="I3379">
        <v>36484634</v>
      </c>
    </row>
    <row r="3380" spans="1:9" x14ac:dyDescent="0.2">
      <c r="A3380" t="str">
        <f>"Ccdc97"</f>
        <v>Ccdc97</v>
      </c>
      <c r="B3380" t="s">
        <v>14</v>
      </c>
      <c r="C3380" t="s">
        <v>33</v>
      </c>
      <c r="D3380" t="s">
        <v>11</v>
      </c>
      <c r="E3380" t="s">
        <v>12</v>
      </c>
      <c r="F3380">
        <v>25718976</v>
      </c>
      <c r="G3380">
        <v>25719062</v>
      </c>
      <c r="H3380">
        <v>25718976</v>
      </c>
      <c r="I3380">
        <v>25719062</v>
      </c>
    </row>
    <row r="3381" spans="1:9" x14ac:dyDescent="0.2">
      <c r="A3381" t="str">
        <f>"Ccer1"</f>
        <v>Ccer1</v>
      </c>
      <c r="B3381" t="s">
        <v>14</v>
      </c>
      <c r="C3381" t="s">
        <v>15</v>
      </c>
      <c r="D3381" t="s">
        <v>17</v>
      </c>
      <c r="E3381" t="s">
        <v>67</v>
      </c>
      <c r="F3381">
        <v>97693053</v>
      </c>
      <c r="G3381">
        <v>97693061</v>
      </c>
      <c r="H3381">
        <v>97693020</v>
      </c>
      <c r="I3381">
        <v>97693029</v>
      </c>
    </row>
    <row r="3382" spans="1:9" x14ac:dyDescent="0.2">
      <c r="A3382" t="str">
        <f>"Cchcr1"</f>
        <v>Cchcr1</v>
      </c>
      <c r="B3382" t="s">
        <v>14</v>
      </c>
      <c r="C3382" t="s">
        <v>28</v>
      </c>
      <c r="D3382" t="s">
        <v>17</v>
      </c>
      <c r="E3382" t="s">
        <v>12</v>
      </c>
      <c r="F3382">
        <v>35517152</v>
      </c>
      <c r="G3382">
        <v>35517215</v>
      </c>
      <c r="H3382">
        <v>35517085</v>
      </c>
      <c r="I3382">
        <v>35517108</v>
      </c>
    </row>
    <row r="3383" spans="1:9" x14ac:dyDescent="0.2">
      <c r="A3383" t="str">
        <f>"Ccin"</f>
        <v>Ccin</v>
      </c>
      <c r="B3383" t="s">
        <v>14</v>
      </c>
      <c r="C3383" t="s">
        <v>23</v>
      </c>
      <c r="D3383" t="s">
        <v>17</v>
      </c>
      <c r="E3383" t="s">
        <v>12</v>
      </c>
      <c r="F3383">
        <v>43983496</v>
      </c>
      <c r="G3383">
        <v>43983523</v>
      </c>
      <c r="H3383">
        <v>43983473</v>
      </c>
      <c r="I3383">
        <v>43983491</v>
      </c>
    </row>
    <row r="3384" spans="1:9" x14ac:dyDescent="0.2">
      <c r="A3384" t="str">
        <f>"Cck"</f>
        <v>Cck</v>
      </c>
      <c r="B3384" t="s">
        <v>14</v>
      </c>
      <c r="C3384" t="s">
        <v>24</v>
      </c>
      <c r="D3384" t="s">
        <v>11</v>
      </c>
      <c r="E3384" t="s">
        <v>12</v>
      </c>
      <c r="F3384">
        <v>121495651</v>
      </c>
      <c r="G3384">
        <v>121495672</v>
      </c>
      <c r="H3384">
        <v>121495678</v>
      </c>
      <c r="I3384">
        <v>121495689</v>
      </c>
    </row>
    <row r="3385" spans="1:9" x14ac:dyDescent="0.2">
      <c r="A3385" t="str">
        <f>"Cckar"</f>
        <v>Cckar</v>
      </c>
      <c r="B3385" t="s">
        <v>14</v>
      </c>
      <c r="C3385" t="s">
        <v>46</v>
      </c>
      <c r="D3385" t="s">
        <v>11</v>
      </c>
      <c r="E3385" t="s">
        <v>12</v>
      </c>
      <c r="F3385">
        <v>53707532</v>
      </c>
      <c r="G3385">
        <v>53707590</v>
      </c>
      <c r="H3385">
        <v>53707532</v>
      </c>
      <c r="I3385">
        <v>53707590</v>
      </c>
    </row>
    <row r="3386" spans="1:9" x14ac:dyDescent="0.2">
      <c r="A3386" t="str">
        <f>"Cckbr"</f>
        <v>Cckbr</v>
      </c>
      <c r="B3386" t="s">
        <v>14</v>
      </c>
      <c r="C3386" t="s">
        <v>33</v>
      </c>
      <c r="D3386" t="s">
        <v>17</v>
      </c>
      <c r="E3386" t="s">
        <v>12</v>
      </c>
      <c r="F3386">
        <v>105425934</v>
      </c>
      <c r="G3386">
        <v>105426002</v>
      </c>
      <c r="H3386">
        <v>105425809</v>
      </c>
      <c r="I3386">
        <v>105425822</v>
      </c>
    </row>
    <row r="3387" spans="1:9" x14ac:dyDescent="0.2">
      <c r="A3387" t="str">
        <f>"Ccl1"</f>
        <v>Ccl1</v>
      </c>
      <c r="B3387" t="s">
        <v>14</v>
      </c>
      <c r="C3387" t="s">
        <v>27</v>
      </c>
      <c r="D3387" t="s">
        <v>11</v>
      </c>
      <c r="E3387" t="s">
        <v>12</v>
      </c>
      <c r="F3387">
        <v>82179808</v>
      </c>
      <c r="G3387">
        <v>82179815</v>
      </c>
      <c r="H3387">
        <v>82179808</v>
      </c>
      <c r="I3387">
        <v>82179815</v>
      </c>
    </row>
    <row r="3388" spans="1:9" x14ac:dyDescent="0.2">
      <c r="A3388" t="str">
        <f>"Ccl11"</f>
        <v>Ccl11</v>
      </c>
      <c r="B3388" t="s">
        <v>14</v>
      </c>
      <c r="C3388" t="s">
        <v>27</v>
      </c>
      <c r="D3388" t="s">
        <v>17</v>
      </c>
      <c r="E3388" t="s">
        <v>12</v>
      </c>
      <c r="F3388">
        <v>82057914</v>
      </c>
      <c r="G3388">
        <v>82057929</v>
      </c>
      <c r="H3388">
        <v>82057845</v>
      </c>
      <c r="I3388">
        <v>82057856</v>
      </c>
    </row>
    <row r="3389" spans="1:9" x14ac:dyDescent="0.2">
      <c r="A3389" t="str">
        <f>"Ccl12"</f>
        <v>Ccl12</v>
      </c>
      <c r="B3389" t="s">
        <v>14</v>
      </c>
      <c r="C3389" t="s">
        <v>27</v>
      </c>
      <c r="D3389" t="s">
        <v>17</v>
      </c>
      <c r="E3389" t="s">
        <v>12</v>
      </c>
      <c r="F3389">
        <v>82101836</v>
      </c>
      <c r="G3389">
        <v>82101849</v>
      </c>
      <c r="H3389">
        <v>82101836</v>
      </c>
      <c r="I3389">
        <v>82101849</v>
      </c>
    </row>
    <row r="3390" spans="1:9" x14ac:dyDescent="0.2">
      <c r="A3390" t="str">
        <f>"Ccl17"</f>
        <v>Ccl17</v>
      </c>
      <c r="B3390" t="s">
        <v>14</v>
      </c>
      <c r="C3390" t="s">
        <v>30</v>
      </c>
      <c r="D3390" t="s">
        <v>17</v>
      </c>
      <c r="E3390" t="s">
        <v>12</v>
      </c>
      <c r="F3390">
        <v>94810446</v>
      </c>
      <c r="G3390">
        <v>94810461</v>
      </c>
      <c r="H3390">
        <v>94810446</v>
      </c>
      <c r="I3390">
        <v>94810461</v>
      </c>
    </row>
    <row r="3391" spans="1:9" x14ac:dyDescent="0.2">
      <c r="A3391" t="str">
        <f>"Ccl19"</f>
        <v>Ccl19</v>
      </c>
      <c r="B3391" t="s">
        <v>2268</v>
      </c>
      <c r="C3391" t="s">
        <v>23</v>
      </c>
      <c r="D3391" t="s">
        <v>11</v>
      </c>
      <c r="E3391" t="s">
        <v>20</v>
      </c>
      <c r="F3391">
        <v>42756542</v>
      </c>
      <c r="G3391">
        <v>42756542</v>
      </c>
      <c r="H3391">
        <v>42756542</v>
      </c>
      <c r="I3391">
        <v>42756542</v>
      </c>
    </row>
    <row r="3392" spans="1:9" x14ac:dyDescent="0.2">
      <c r="A3392" t="str">
        <f>"Ccl2"</f>
        <v>Ccl2</v>
      </c>
      <c r="B3392" t="s">
        <v>14</v>
      </c>
      <c r="C3392" t="s">
        <v>27</v>
      </c>
      <c r="D3392" t="s">
        <v>17</v>
      </c>
      <c r="E3392" t="s">
        <v>12</v>
      </c>
      <c r="F3392">
        <v>82035569</v>
      </c>
      <c r="G3392">
        <v>82035585</v>
      </c>
      <c r="H3392">
        <v>82035569</v>
      </c>
      <c r="I3392">
        <v>82035585</v>
      </c>
    </row>
    <row r="3393" spans="1:9" x14ac:dyDescent="0.2">
      <c r="A3393" t="str">
        <f>"Ccl20"</f>
        <v>Ccl20</v>
      </c>
      <c r="B3393" t="s">
        <v>14</v>
      </c>
      <c r="C3393" t="s">
        <v>19</v>
      </c>
      <c r="D3393" t="s">
        <v>17</v>
      </c>
      <c r="E3393" t="s">
        <v>12</v>
      </c>
      <c r="F3393">
        <v>83116760</v>
      </c>
      <c r="G3393">
        <v>83116776</v>
      </c>
      <c r="H3393">
        <v>83116760</v>
      </c>
      <c r="I3393">
        <v>83116776</v>
      </c>
    </row>
    <row r="3394" spans="1:9" x14ac:dyDescent="0.2">
      <c r="A3394" t="str">
        <f>"Ccl21a"</f>
        <v>Ccl21a</v>
      </c>
      <c r="B3394" t="s">
        <v>2269</v>
      </c>
      <c r="C3394" t="s">
        <v>23</v>
      </c>
      <c r="D3394" t="s">
        <v>11</v>
      </c>
      <c r="E3394" t="s">
        <v>20</v>
      </c>
      <c r="F3394">
        <v>42773992</v>
      </c>
      <c r="G3394">
        <v>42773992</v>
      </c>
      <c r="H3394">
        <v>42773992</v>
      </c>
      <c r="I3394">
        <v>42773992</v>
      </c>
    </row>
    <row r="3395" spans="1:9" x14ac:dyDescent="0.2">
      <c r="A3395" t="str">
        <f>"Ccl21b"</f>
        <v>Ccl21b</v>
      </c>
      <c r="B3395" t="s">
        <v>14</v>
      </c>
      <c r="C3395" t="s">
        <v>23</v>
      </c>
      <c r="D3395" t="s">
        <v>17</v>
      </c>
      <c r="E3395" t="s">
        <v>67</v>
      </c>
      <c r="F3395">
        <v>42255690</v>
      </c>
      <c r="G3395">
        <v>42255693</v>
      </c>
      <c r="H3395">
        <v>42255690</v>
      </c>
      <c r="I3395">
        <v>42255693</v>
      </c>
    </row>
    <row r="3396" spans="1:9" x14ac:dyDescent="0.2">
      <c r="A3396" t="str">
        <f>"Ccl22"</f>
        <v>Ccl22</v>
      </c>
      <c r="B3396" t="s">
        <v>14</v>
      </c>
      <c r="C3396" t="s">
        <v>30</v>
      </c>
      <c r="D3396" t="s">
        <v>17</v>
      </c>
      <c r="E3396" t="s">
        <v>12</v>
      </c>
      <c r="F3396">
        <v>94745677</v>
      </c>
      <c r="G3396">
        <v>94745693</v>
      </c>
      <c r="H3396">
        <v>94745677</v>
      </c>
      <c r="I3396">
        <v>94745693</v>
      </c>
    </row>
    <row r="3397" spans="1:9" x14ac:dyDescent="0.2">
      <c r="A3397" t="str">
        <f>"Ccl24"</f>
        <v>Ccl24</v>
      </c>
      <c r="B3397" t="s">
        <v>14</v>
      </c>
      <c r="C3397" t="s">
        <v>46</v>
      </c>
      <c r="D3397" t="s">
        <v>11</v>
      </c>
      <c r="E3397" t="s">
        <v>12</v>
      </c>
      <c r="F3397">
        <v>135573036</v>
      </c>
      <c r="G3397">
        <v>135573051</v>
      </c>
      <c r="H3397">
        <v>135573002</v>
      </c>
      <c r="I3397">
        <v>135573017</v>
      </c>
    </row>
    <row r="3398" spans="1:9" x14ac:dyDescent="0.2">
      <c r="A3398" t="str">
        <f>"Ccl25"</f>
        <v>Ccl25</v>
      </c>
      <c r="B3398" t="s">
        <v>9</v>
      </c>
      <c r="C3398" t="s">
        <v>30</v>
      </c>
      <c r="D3398" t="s">
        <v>17</v>
      </c>
      <c r="E3398" t="s">
        <v>12</v>
      </c>
      <c r="F3398">
        <v>4349596</v>
      </c>
      <c r="G3398">
        <v>4349611</v>
      </c>
      <c r="H3398">
        <v>4349596</v>
      </c>
      <c r="I3398">
        <v>4349611</v>
      </c>
    </row>
    <row r="3399" spans="1:9" x14ac:dyDescent="0.2">
      <c r="A3399" t="str">
        <f>"Ccl25"</f>
        <v>Ccl25</v>
      </c>
      <c r="B3399" t="s">
        <v>13</v>
      </c>
      <c r="C3399" t="s">
        <v>30</v>
      </c>
      <c r="D3399" t="s">
        <v>17</v>
      </c>
      <c r="E3399" t="s">
        <v>12</v>
      </c>
      <c r="F3399">
        <v>4325205</v>
      </c>
      <c r="G3399">
        <v>4325263</v>
      </c>
      <c r="H3399">
        <v>4325205</v>
      </c>
      <c r="I3399">
        <v>4325263</v>
      </c>
    </row>
    <row r="3400" spans="1:9" x14ac:dyDescent="0.2">
      <c r="A3400" t="str">
        <f>"Ccl26"</f>
        <v>Ccl26</v>
      </c>
      <c r="B3400" t="s">
        <v>2270</v>
      </c>
      <c r="C3400" t="s">
        <v>46</v>
      </c>
      <c r="D3400" t="s">
        <v>11</v>
      </c>
      <c r="E3400" t="s">
        <v>20</v>
      </c>
      <c r="F3400">
        <v>135563568</v>
      </c>
      <c r="G3400">
        <v>135563568</v>
      </c>
      <c r="H3400">
        <v>135563568</v>
      </c>
      <c r="I3400">
        <v>135563568</v>
      </c>
    </row>
    <row r="3401" spans="1:9" x14ac:dyDescent="0.2">
      <c r="A3401" t="str">
        <f>"Ccl27a"</f>
        <v>Ccl27a</v>
      </c>
      <c r="B3401" t="s">
        <v>14</v>
      </c>
      <c r="C3401" t="s">
        <v>23</v>
      </c>
      <c r="D3401" t="s">
        <v>11</v>
      </c>
      <c r="E3401" t="s">
        <v>12</v>
      </c>
      <c r="F3401">
        <v>41774164</v>
      </c>
      <c r="G3401">
        <v>41774176</v>
      </c>
      <c r="H3401">
        <v>41774164</v>
      </c>
      <c r="I3401">
        <v>41774176</v>
      </c>
    </row>
    <row r="3402" spans="1:9" x14ac:dyDescent="0.2">
      <c r="A3402" t="str">
        <f>"Ccl27b"</f>
        <v>Ccl27b</v>
      </c>
      <c r="B3402" t="s">
        <v>2271</v>
      </c>
      <c r="C3402" t="s">
        <v>23</v>
      </c>
      <c r="D3402" t="s">
        <v>17</v>
      </c>
      <c r="E3402" t="s">
        <v>20</v>
      </c>
      <c r="F3402">
        <v>42655250</v>
      </c>
      <c r="G3402">
        <v>42655250</v>
      </c>
      <c r="H3402">
        <v>42655250</v>
      </c>
      <c r="I3402">
        <v>42655250</v>
      </c>
    </row>
    <row r="3403" spans="1:9" x14ac:dyDescent="0.2">
      <c r="A3403" t="str">
        <f>"Ccl28"</f>
        <v>Ccl28</v>
      </c>
      <c r="B3403" t="s">
        <v>2272</v>
      </c>
      <c r="C3403" t="s">
        <v>39</v>
      </c>
      <c r="D3403" t="s">
        <v>17</v>
      </c>
      <c r="E3403" t="s">
        <v>20</v>
      </c>
      <c r="F3403">
        <v>119623818</v>
      </c>
      <c r="G3403">
        <v>119623818</v>
      </c>
      <c r="H3403">
        <v>119623818</v>
      </c>
      <c r="I3403">
        <v>119623818</v>
      </c>
    </row>
    <row r="3404" spans="1:9" x14ac:dyDescent="0.2">
      <c r="A3404" t="str">
        <f>"Ccl3"</f>
        <v>Ccl3</v>
      </c>
      <c r="B3404" t="s">
        <v>14</v>
      </c>
      <c r="C3404" t="s">
        <v>27</v>
      </c>
      <c r="D3404" t="s">
        <v>11</v>
      </c>
      <c r="E3404" t="s">
        <v>12</v>
      </c>
      <c r="F3404">
        <v>83649349</v>
      </c>
      <c r="G3404">
        <v>83649365</v>
      </c>
      <c r="H3404">
        <v>83649349</v>
      </c>
      <c r="I3404">
        <v>83649365</v>
      </c>
    </row>
    <row r="3405" spans="1:9" x14ac:dyDescent="0.2">
      <c r="A3405" t="str">
        <f>"Ccl4"</f>
        <v>Ccl4</v>
      </c>
      <c r="B3405" t="s">
        <v>14</v>
      </c>
      <c r="C3405" t="s">
        <v>27</v>
      </c>
      <c r="D3405" t="s">
        <v>17</v>
      </c>
      <c r="E3405" t="s">
        <v>12</v>
      </c>
      <c r="F3405">
        <v>83662579</v>
      </c>
      <c r="G3405">
        <v>83662594</v>
      </c>
      <c r="H3405">
        <v>83662579</v>
      </c>
      <c r="I3405">
        <v>83662594</v>
      </c>
    </row>
    <row r="3406" spans="1:9" x14ac:dyDescent="0.2">
      <c r="A3406" t="str">
        <f>"Ccl5"</f>
        <v>Ccl5</v>
      </c>
      <c r="B3406" t="s">
        <v>14</v>
      </c>
      <c r="C3406" t="s">
        <v>27</v>
      </c>
      <c r="D3406" t="s">
        <v>11</v>
      </c>
      <c r="E3406" t="s">
        <v>12</v>
      </c>
      <c r="F3406">
        <v>83530505</v>
      </c>
      <c r="G3406">
        <v>83530533</v>
      </c>
      <c r="H3406">
        <v>83530480</v>
      </c>
      <c r="I3406">
        <v>83530500</v>
      </c>
    </row>
    <row r="3407" spans="1:9" x14ac:dyDescent="0.2">
      <c r="A3407" t="str">
        <f>"Ccl6"</f>
        <v>Ccl6</v>
      </c>
      <c r="B3407" t="s">
        <v>14</v>
      </c>
      <c r="C3407" t="s">
        <v>27</v>
      </c>
      <c r="D3407" t="s">
        <v>11</v>
      </c>
      <c r="E3407" t="s">
        <v>12</v>
      </c>
      <c r="F3407">
        <v>83592981</v>
      </c>
      <c r="G3407">
        <v>83592999</v>
      </c>
      <c r="H3407">
        <v>83592981</v>
      </c>
      <c r="I3407">
        <v>83592999</v>
      </c>
    </row>
    <row r="3408" spans="1:9" x14ac:dyDescent="0.2">
      <c r="A3408" t="str">
        <f>"Ccl7"</f>
        <v>Ccl7</v>
      </c>
      <c r="B3408" t="s">
        <v>14</v>
      </c>
      <c r="C3408" t="s">
        <v>27</v>
      </c>
      <c r="D3408" t="s">
        <v>17</v>
      </c>
      <c r="E3408" t="s">
        <v>12</v>
      </c>
      <c r="F3408">
        <v>82045705</v>
      </c>
      <c r="G3408">
        <v>82045721</v>
      </c>
      <c r="H3408">
        <v>82045705</v>
      </c>
      <c r="I3408">
        <v>82045721</v>
      </c>
    </row>
    <row r="3409" spans="1:9" x14ac:dyDescent="0.2">
      <c r="A3409" t="str">
        <f>"Ccl8"</f>
        <v>Ccl8</v>
      </c>
      <c r="B3409" t="s">
        <v>14</v>
      </c>
      <c r="C3409" t="s">
        <v>27</v>
      </c>
      <c r="D3409" t="s">
        <v>17</v>
      </c>
      <c r="E3409" t="s">
        <v>12</v>
      </c>
      <c r="F3409">
        <v>82115180</v>
      </c>
      <c r="G3409">
        <v>82115186</v>
      </c>
      <c r="H3409">
        <v>82115180</v>
      </c>
      <c r="I3409">
        <v>82115186</v>
      </c>
    </row>
    <row r="3410" spans="1:9" x14ac:dyDescent="0.2">
      <c r="A3410" t="str">
        <f>"Ccl9"</f>
        <v>Ccl9</v>
      </c>
      <c r="B3410" t="s">
        <v>14</v>
      </c>
      <c r="C3410" t="s">
        <v>27</v>
      </c>
      <c r="D3410" t="s">
        <v>11</v>
      </c>
      <c r="E3410" t="s">
        <v>12</v>
      </c>
      <c r="F3410">
        <v>83578496</v>
      </c>
      <c r="G3410">
        <v>83578508</v>
      </c>
      <c r="H3410">
        <v>83578496</v>
      </c>
      <c r="I3410">
        <v>83578508</v>
      </c>
    </row>
    <row r="3411" spans="1:9" x14ac:dyDescent="0.2">
      <c r="A3411" t="str">
        <f>"Ccm2"</f>
        <v>Ccm2</v>
      </c>
      <c r="B3411" t="s">
        <v>14</v>
      </c>
      <c r="C3411" t="s">
        <v>27</v>
      </c>
      <c r="D3411" t="s">
        <v>17</v>
      </c>
      <c r="E3411" t="s">
        <v>12</v>
      </c>
      <c r="F3411">
        <v>6546899</v>
      </c>
      <c r="G3411">
        <v>6546941</v>
      </c>
      <c r="H3411">
        <v>6546875</v>
      </c>
      <c r="I3411">
        <v>6546898</v>
      </c>
    </row>
    <row r="3412" spans="1:9" x14ac:dyDescent="0.2">
      <c r="A3412" t="str">
        <f>"Ccm2l"</f>
        <v>Ccm2l</v>
      </c>
      <c r="B3412" t="s">
        <v>14</v>
      </c>
      <c r="C3412" t="s">
        <v>26</v>
      </c>
      <c r="D3412" t="s">
        <v>17</v>
      </c>
      <c r="E3412" t="s">
        <v>67</v>
      </c>
      <c r="F3412">
        <v>153065988</v>
      </c>
      <c r="G3412">
        <v>153065999</v>
      </c>
      <c r="H3412">
        <v>153065988</v>
      </c>
      <c r="I3412">
        <v>153065999</v>
      </c>
    </row>
    <row r="3413" spans="1:9" x14ac:dyDescent="0.2">
      <c r="A3413" t="str">
        <f>"Ccna1"</f>
        <v>Ccna1</v>
      </c>
      <c r="B3413" t="s">
        <v>14</v>
      </c>
      <c r="C3413" t="s">
        <v>22</v>
      </c>
      <c r="D3413" t="s">
        <v>11</v>
      </c>
      <c r="E3413" t="s">
        <v>12</v>
      </c>
      <c r="F3413">
        <v>55055088</v>
      </c>
      <c r="G3413">
        <v>55055127</v>
      </c>
      <c r="H3413">
        <v>55054983</v>
      </c>
      <c r="I3413">
        <v>55055021</v>
      </c>
    </row>
    <row r="3414" spans="1:9" x14ac:dyDescent="0.2">
      <c r="A3414" t="str">
        <f>"Ccna2"</f>
        <v>Ccna2</v>
      </c>
      <c r="B3414" t="s">
        <v>14</v>
      </c>
      <c r="C3414" t="s">
        <v>22</v>
      </c>
      <c r="D3414" t="s">
        <v>11</v>
      </c>
      <c r="E3414" t="s">
        <v>12</v>
      </c>
      <c r="F3414">
        <v>36571952</v>
      </c>
      <c r="G3414">
        <v>36572003</v>
      </c>
      <c r="H3414">
        <v>36571918</v>
      </c>
      <c r="I3414">
        <v>36571931</v>
      </c>
    </row>
    <row r="3415" spans="1:9" x14ac:dyDescent="0.2">
      <c r="A3415" t="str">
        <f>"Ccnb1"</f>
        <v>Ccnb1</v>
      </c>
      <c r="B3415" t="s">
        <v>14</v>
      </c>
      <c r="C3415" t="s">
        <v>39</v>
      </c>
      <c r="D3415" t="s">
        <v>11</v>
      </c>
      <c r="E3415" t="s">
        <v>12</v>
      </c>
      <c r="F3415">
        <v>100786538</v>
      </c>
      <c r="G3415">
        <v>100786556</v>
      </c>
      <c r="H3415">
        <v>100786525</v>
      </c>
      <c r="I3415">
        <v>100786537</v>
      </c>
    </row>
    <row r="3416" spans="1:9" x14ac:dyDescent="0.2">
      <c r="A3416" t="str">
        <f>"Ccnb1ip1"</f>
        <v>Ccnb1ip1</v>
      </c>
      <c r="B3416" t="s">
        <v>14</v>
      </c>
      <c r="C3416" t="s">
        <v>41</v>
      </c>
      <c r="D3416" t="s">
        <v>11</v>
      </c>
      <c r="E3416" t="s">
        <v>12</v>
      </c>
      <c r="F3416">
        <v>50795689</v>
      </c>
      <c r="G3416">
        <v>50795705</v>
      </c>
      <c r="H3416">
        <v>50795713</v>
      </c>
      <c r="I3416">
        <v>50795717</v>
      </c>
    </row>
    <row r="3417" spans="1:9" x14ac:dyDescent="0.2">
      <c r="A3417" t="str">
        <f>"Ccnb2"</f>
        <v>Ccnb2</v>
      </c>
      <c r="B3417" t="s">
        <v>14</v>
      </c>
      <c r="C3417" t="s">
        <v>24</v>
      </c>
      <c r="D3417" t="s">
        <v>11</v>
      </c>
      <c r="E3417" t="s">
        <v>12</v>
      </c>
      <c r="F3417">
        <v>70421533</v>
      </c>
      <c r="G3417">
        <v>70421592</v>
      </c>
      <c r="H3417">
        <v>70421491</v>
      </c>
      <c r="I3417">
        <v>70421529</v>
      </c>
    </row>
    <row r="3418" spans="1:9" x14ac:dyDescent="0.2">
      <c r="A3418" t="str">
        <f>"Ccnb3"</f>
        <v>Ccnb3</v>
      </c>
      <c r="B3418" t="s">
        <v>14</v>
      </c>
      <c r="C3418" t="s">
        <v>37</v>
      </c>
      <c r="D3418" t="s">
        <v>11</v>
      </c>
      <c r="E3418" t="s">
        <v>12</v>
      </c>
      <c r="F3418">
        <v>7041650</v>
      </c>
      <c r="G3418">
        <v>7041658</v>
      </c>
      <c r="H3418">
        <v>7041650</v>
      </c>
      <c r="I3418">
        <v>7041658</v>
      </c>
    </row>
    <row r="3419" spans="1:9" x14ac:dyDescent="0.2">
      <c r="A3419" t="str">
        <f>"Ccnc"</f>
        <v>Ccnc</v>
      </c>
      <c r="B3419" t="s">
        <v>14</v>
      </c>
      <c r="C3419" t="s">
        <v>23</v>
      </c>
      <c r="D3419" t="s">
        <v>17</v>
      </c>
      <c r="E3419" t="s">
        <v>12</v>
      </c>
      <c r="F3419">
        <v>21727728</v>
      </c>
      <c r="G3419">
        <v>21727790</v>
      </c>
      <c r="H3419">
        <v>21727695</v>
      </c>
      <c r="I3419">
        <v>21727716</v>
      </c>
    </row>
    <row r="3420" spans="1:9" x14ac:dyDescent="0.2">
      <c r="A3420" t="str">
        <f>"Ccnd1"</f>
        <v>Ccnd1</v>
      </c>
      <c r="B3420" t="s">
        <v>14</v>
      </c>
      <c r="C3420" t="s">
        <v>33</v>
      </c>
      <c r="D3420" t="s">
        <v>11</v>
      </c>
      <c r="E3420" t="s">
        <v>12</v>
      </c>
      <c r="F3420">
        <v>144939823</v>
      </c>
      <c r="G3420">
        <v>144939839</v>
      </c>
      <c r="H3420">
        <v>144939811</v>
      </c>
      <c r="I3420">
        <v>144939822</v>
      </c>
    </row>
    <row r="3421" spans="1:9" x14ac:dyDescent="0.2">
      <c r="A3421" t="str">
        <f>"Ccnd2"</f>
        <v>Ccnd2</v>
      </c>
      <c r="B3421" t="s">
        <v>14</v>
      </c>
      <c r="C3421" t="s">
        <v>32</v>
      </c>
      <c r="D3421" t="s">
        <v>11</v>
      </c>
      <c r="E3421" t="s">
        <v>12</v>
      </c>
      <c r="F3421">
        <v>127150996</v>
      </c>
      <c r="G3421">
        <v>127151014</v>
      </c>
      <c r="H3421">
        <v>127151044</v>
      </c>
      <c r="I3421">
        <v>127151055</v>
      </c>
    </row>
    <row r="3422" spans="1:9" x14ac:dyDescent="0.2">
      <c r="A3422" t="str">
        <f>"Ccnd3"</f>
        <v>Ccnd3</v>
      </c>
      <c r="B3422" t="s">
        <v>2273</v>
      </c>
      <c r="C3422" t="s">
        <v>28</v>
      </c>
      <c r="D3422" t="s">
        <v>17</v>
      </c>
      <c r="E3422" t="s">
        <v>35</v>
      </c>
      <c r="F3422">
        <v>47504949</v>
      </c>
      <c r="G3422">
        <v>47504960</v>
      </c>
      <c r="H3422">
        <v>47505158</v>
      </c>
      <c r="I3422">
        <v>47505164</v>
      </c>
    </row>
    <row r="3423" spans="1:9" x14ac:dyDescent="0.2">
      <c r="A3423" t="str">
        <f>"Ccndbp1"</f>
        <v>Ccndbp1</v>
      </c>
      <c r="B3423" t="s">
        <v>14</v>
      </c>
      <c r="C3423" t="s">
        <v>26</v>
      </c>
      <c r="D3423" t="s">
        <v>17</v>
      </c>
      <c r="E3423" t="s">
        <v>12</v>
      </c>
      <c r="F3423">
        <v>121008416</v>
      </c>
      <c r="G3423">
        <v>121008481</v>
      </c>
      <c r="H3423">
        <v>121008488</v>
      </c>
      <c r="I3423">
        <v>121008506</v>
      </c>
    </row>
    <row r="3424" spans="1:9" x14ac:dyDescent="0.2">
      <c r="A3424" t="str">
        <f>"Ccne1"</f>
        <v>Ccne1</v>
      </c>
      <c r="B3424" t="s">
        <v>14</v>
      </c>
      <c r="C3424" t="s">
        <v>33</v>
      </c>
      <c r="D3424" t="s">
        <v>11</v>
      </c>
      <c r="E3424" t="s">
        <v>12</v>
      </c>
      <c r="F3424">
        <v>38107452</v>
      </c>
      <c r="G3424">
        <v>38107485</v>
      </c>
      <c r="H3424">
        <v>38107490</v>
      </c>
      <c r="I3424">
        <v>38107509</v>
      </c>
    </row>
    <row r="3425" spans="1:9" x14ac:dyDescent="0.2">
      <c r="A3425" t="str">
        <f>"Ccne2"</f>
        <v>Ccne2</v>
      </c>
      <c r="B3425" t="s">
        <v>14</v>
      </c>
      <c r="C3425" t="s">
        <v>23</v>
      </c>
      <c r="D3425" t="s">
        <v>17</v>
      </c>
      <c r="E3425" t="s">
        <v>12</v>
      </c>
      <c r="F3425">
        <v>11191776</v>
      </c>
      <c r="G3425">
        <v>11191789</v>
      </c>
      <c r="H3425">
        <v>11191363</v>
      </c>
      <c r="I3425">
        <v>11191388</v>
      </c>
    </row>
    <row r="3426" spans="1:9" x14ac:dyDescent="0.2">
      <c r="A3426" t="str">
        <f>"Ccnf"</f>
        <v>Ccnf</v>
      </c>
      <c r="B3426" t="s">
        <v>14</v>
      </c>
      <c r="C3426" t="s">
        <v>28</v>
      </c>
      <c r="D3426" t="s">
        <v>11</v>
      </c>
      <c r="E3426" t="s">
        <v>12</v>
      </c>
      <c r="F3426">
        <v>24251322</v>
      </c>
      <c r="G3426">
        <v>24251381</v>
      </c>
      <c r="H3426">
        <v>24251382</v>
      </c>
      <c r="I3426">
        <v>24251397</v>
      </c>
    </row>
    <row r="3427" spans="1:9" x14ac:dyDescent="0.2">
      <c r="A3427" t="str">
        <f>"Ccng1"</f>
        <v>Ccng1</v>
      </c>
      <c r="B3427" t="s">
        <v>9</v>
      </c>
      <c r="C3427" t="s">
        <v>27</v>
      </c>
      <c r="D3427" t="s">
        <v>11</v>
      </c>
      <c r="E3427" t="s">
        <v>12</v>
      </c>
      <c r="F3427">
        <v>40755201</v>
      </c>
      <c r="G3427">
        <v>40755288</v>
      </c>
      <c r="H3427">
        <v>40755201</v>
      </c>
      <c r="I3427">
        <v>40755288</v>
      </c>
    </row>
    <row r="3428" spans="1:9" x14ac:dyDescent="0.2">
      <c r="A3428" t="str">
        <f>"Ccng1"</f>
        <v>Ccng1</v>
      </c>
      <c r="B3428" t="s">
        <v>13</v>
      </c>
      <c r="C3428" t="s">
        <v>27</v>
      </c>
      <c r="D3428" t="s">
        <v>11</v>
      </c>
      <c r="E3428" t="s">
        <v>12</v>
      </c>
      <c r="F3428">
        <v>40753964</v>
      </c>
      <c r="G3428">
        <v>40753977</v>
      </c>
      <c r="H3428">
        <v>40753964</v>
      </c>
      <c r="I3428">
        <v>40753977</v>
      </c>
    </row>
    <row r="3429" spans="1:9" x14ac:dyDescent="0.2">
      <c r="A3429" t="str">
        <f>"Ccng2"</f>
        <v>Ccng2</v>
      </c>
      <c r="B3429" t="s">
        <v>14</v>
      </c>
      <c r="C3429" t="s">
        <v>46</v>
      </c>
      <c r="D3429" t="s">
        <v>17</v>
      </c>
      <c r="E3429" t="s">
        <v>12</v>
      </c>
      <c r="F3429">
        <v>93267562</v>
      </c>
      <c r="G3429">
        <v>93267605</v>
      </c>
      <c r="H3429">
        <v>93268247</v>
      </c>
      <c r="I3429">
        <v>93268289</v>
      </c>
    </row>
    <row r="3430" spans="1:9" x14ac:dyDescent="0.2">
      <c r="A3430" t="str">
        <f>"Ccnh"</f>
        <v>Ccnh</v>
      </c>
      <c r="B3430" t="s">
        <v>14</v>
      </c>
      <c r="C3430" t="s">
        <v>39</v>
      </c>
      <c r="D3430" t="s">
        <v>17</v>
      </c>
      <c r="E3430" t="s">
        <v>12</v>
      </c>
      <c r="F3430">
        <v>85189433</v>
      </c>
      <c r="G3430">
        <v>85189487</v>
      </c>
      <c r="H3430">
        <v>85189403</v>
      </c>
      <c r="I3430">
        <v>85189425</v>
      </c>
    </row>
    <row r="3431" spans="1:9" x14ac:dyDescent="0.2">
      <c r="A3431" t="str">
        <f>"Ccni"</f>
        <v>Ccni</v>
      </c>
      <c r="B3431" t="s">
        <v>14</v>
      </c>
      <c r="C3431" t="s">
        <v>46</v>
      </c>
      <c r="D3431" t="s">
        <v>11</v>
      </c>
      <c r="E3431" t="s">
        <v>12</v>
      </c>
      <c r="F3431">
        <v>93206442</v>
      </c>
      <c r="G3431">
        <v>93206470</v>
      </c>
      <c r="H3431">
        <v>93206298</v>
      </c>
      <c r="I3431">
        <v>93206333</v>
      </c>
    </row>
    <row r="3432" spans="1:9" x14ac:dyDescent="0.2">
      <c r="A3432" t="str">
        <f>"Ccnj"</f>
        <v>Ccnj</v>
      </c>
      <c r="B3432" t="s">
        <v>14</v>
      </c>
      <c r="C3432" t="s">
        <v>10</v>
      </c>
      <c r="D3432" t="s">
        <v>17</v>
      </c>
      <c r="E3432" t="s">
        <v>12</v>
      </c>
      <c r="F3432">
        <v>40831248</v>
      </c>
      <c r="G3432">
        <v>40831292</v>
      </c>
      <c r="H3432">
        <v>40831296</v>
      </c>
      <c r="I3432">
        <v>40831313</v>
      </c>
    </row>
    <row r="3433" spans="1:9" x14ac:dyDescent="0.2">
      <c r="A3433" t="str">
        <f>"Ccnjl"</f>
        <v>Ccnjl</v>
      </c>
      <c r="B3433" t="s">
        <v>14</v>
      </c>
      <c r="C3433" t="s">
        <v>27</v>
      </c>
      <c r="D3433" t="s">
        <v>17</v>
      </c>
      <c r="E3433" t="s">
        <v>12</v>
      </c>
      <c r="F3433">
        <v>43528759</v>
      </c>
      <c r="G3433">
        <v>43528796</v>
      </c>
      <c r="H3433">
        <v>43528805</v>
      </c>
      <c r="I3433">
        <v>43528820</v>
      </c>
    </row>
    <row r="3434" spans="1:9" x14ac:dyDescent="0.2">
      <c r="A3434" t="str">
        <f>"Ccnk"</f>
        <v>Ccnk</v>
      </c>
      <c r="B3434" t="s">
        <v>14</v>
      </c>
      <c r="C3434" t="s">
        <v>16</v>
      </c>
      <c r="D3434" t="s">
        <v>17</v>
      </c>
      <c r="E3434" t="s">
        <v>12</v>
      </c>
      <c r="F3434">
        <v>108179793</v>
      </c>
      <c r="G3434">
        <v>108179831</v>
      </c>
      <c r="H3434">
        <v>108179543</v>
      </c>
      <c r="I3434">
        <v>108179582</v>
      </c>
    </row>
    <row r="3435" spans="1:9" x14ac:dyDescent="0.2">
      <c r="A3435" t="str">
        <f>"Ccnl1"</f>
        <v>Ccnl1</v>
      </c>
      <c r="B3435" t="s">
        <v>14</v>
      </c>
      <c r="C3435" t="s">
        <v>22</v>
      </c>
      <c r="D3435" t="s">
        <v>11</v>
      </c>
      <c r="E3435" t="s">
        <v>12</v>
      </c>
      <c r="F3435">
        <v>65958174</v>
      </c>
      <c r="G3435">
        <v>65958189</v>
      </c>
      <c r="H3435">
        <v>65958236</v>
      </c>
      <c r="I3435">
        <v>65958252</v>
      </c>
    </row>
    <row r="3436" spans="1:9" x14ac:dyDescent="0.2">
      <c r="A3436" t="str">
        <f>"Ccnl2"</f>
        <v>Ccnl2</v>
      </c>
      <c r="B3436" t="s">
        <v>14</v>
      </c>
      <c r="C3436" t="s">
        <v>23</v>
      </c>
      <c r="D3436" t="s">
        <v>17</v>
      </c>
      <c r="E3436" t="s">
        <v>12</v>
      </c>
      <c r="F3436">
        <v>155812494</v>
      </c>
      <c r="G3436">
        <v>155812529</v>
      </c>
      <c r="H3436">
        <v>155812465</v>
      </c>
      <c r="I3436">
        <v>155812476</v>
      </c>
    </row>
    <row r="3437" spans="1:9" x14ac:dyDescent="0.2">
      <c r="A3437" t="str">
        <f>"Ccno"</f>
        <v>Ccno</v>
      </c>
      <c r="B3437" t="s">
        <v>14</v>
      </c>
      <c r="C3437" t="s">
        <v>39</v>
      </c>
      <c r="D3437" t="s">
        <v>17</v>
      </c>
      <c r="E3437" t="s">
        <v>12</v>
      </c>
      <c r="F3437">
        <v>112987822</v>
      </c>
      <c r="G3437">
        <v>112987838</v>
      </c>
      <c r="H3437">
        <v>112987859</v>
      </c>
      <c r="I3437">
        <v>112987870</v>
      </c>
    </row>
    <row r="3438" spans="1:9" x14ac:dyDescent="0.2">
      <c r="A3438" t="str">
        <f>"Ccnt1"</f>
        <v>Ccnt1</v>
      </c>
      <c r="B3438" t="s">
        <v>14</v>
      </c>
      <c r="C3438" t="s">
        <v>25</v>
      </c>
      <c r="D3438" t="s">
        <v>11</v>
      </c>
      <c r="E3438" t="s">
        <v>12</v>
      </c>
      <c r="F3438">
        <v>98567630</v>
      </c>
      <c r="G3438">
        <v>98567748</v>
      </c>
      <c r="H3438">
        <v>98567762</v>
      </c>
      <c r="I3438">
        <v>98567776</v>
      </c>
    </row>
    <row r="3439" spans="1:9" x14ac:dyDescent="0.2">
      <c r="A3439" t="str">
        <f>"Ccnt2"</f>
        <v>Ccnt2</v>
      </c>
      <c r="B3439" t="s">
        <v>14</v>
      </c>
      <c r="C3439" t="s">
        <v>19</v>
      </c>
      <c r="D3439" t="s">
        <v>17</v>
      </c>
      <c r="E3439" t="s">
        <v>12</v>
      </c>
      <c r="F3439">
        <v>127774183</v>
      </c>
      <c r="G3439">
        <v>127774238</v>
      </c>
      <c r="H3439">
        <v>127774241</v>
      </c>
      <c r="I3439">
        <v>127774272</v>
      </c>
    </row>
    <row r="3440" spans="1:9" x14ac:dyDescent="0.2">
      <c r="A3440" t="str">
        <f>"Ccny"</f>
        <v>Ccny</v>
      </c>
      <c r="B3440" t="s">
        <v>14</v>
      </c>
      <c r="C3440" t="s">
        <v>43</v>
      </c>
      <c r="D3440" t="s">
        <v>11</v>
      </c>
      <c r="E3440" t="s">
        <v>12</v>
      </c>
      <c r="F3440">
        <v>9449947</v>
      </c>
      <c r="G3440">
        <v>9450043</v>
      </c>
      <c r="H3440">
        <v>9450097</v>
      </c>
      <c r="I3440">
        <v>9450161</v>
      </c>
    </row>
    <row r="3441" spans="1:9" x14ac:dyDescent="0.2">
      <c r="A3441" t="str">
        <f>"Ccnyl1"</f>
        <v>Ccnyl1</v>
      </c>
      <c r="B3441" t="s">
        <v>14</v>
      </c>
      <c r="C3441" t="s">
        <v>19</v>
      </c>
      <c r="D3441" t="s">
        <v>17</v>
      </c>
      <c r="E3441" t="s">
        <v>12</v>
      </c>
      <c r="F3441">
        <v>64690913</v>
      </c>
      <c r="G3441">
        <v>64690933</v>
      </c>
      <c r="H3441">
        <v>64690791</v>
      </c>
      <c r="I3441">
        <v>64690803</v>
      </c>
    </row>
    <row r="3442" spans="1:9" x14ac:dyDescent="0.2">
      <c r="A3442" t="str">
        <f>"Ccp110"</f>
        <v>Ccp110</v>
      </c>
      <c r="B3442" t="s">
        <v>14</v>
      </c>
      <c r="C3442" t="s">
        <v>33</v>
      </c>
      <c r="D3442" t="s">
        <v>17</v>
      </c>
      <c r="E3442" t="s">
        <v>67</v>
      </c>
      <c r="F3442">
        <v>118712573</v>
      </c>
      <c r="G3442">
        <v>118712616</v>
      </c>
      <c r="H3442">
        <v>118712516</v>
      </c>
      <c r="I3442">
        <v>118712572</v>
      </c>
    </row>
    <row r="3443" spans="1:9" x14ac:dyDescent="0.2">
      <c r="A3443" t="str">
        <f>"Ccpg1"</f>
        <v>Ccpg1</v>
      </c>
      <c r="B3443" t="s">
        <v>14</v>
      </c>
      <c r="C3443" t="s">
        <v>24</v>
      </c>
      <c r="D3443" t="s">
        <v>17</v>
      </c>
      <c r="E3443" t="s">
        <v>12</v>
      </c>
      <c r="F3443">
        <v>72985568</v>
      </c>
      <c r="G3443">
        <v>72985642</v>
      </c>
      <c r="H3443">
        <v>72985527</v>
      </c>
      <c r="I3443">
        <v>72985567</v>
      </c>
    </row>
    <row r="3444" spans="1:9" x14ac:dyDescent="0.2">
      <c r="A3444" t="str">
        <f>"Ccr1"</f>
        <v>Ccr1</v>
      </c>
      <c r="B3444" t="s">
        <v>14</v>
      </c>
      <c r="C3444" t="s">
        <v>24</v>
      </c>
      <c r="D3444" t="s">
        <v>11</v>
      </c>
      <c r="E3444" t="s">
        <v>12</v>
      </c>
      <c r="F3444">
        <v>123968648</v>
      </c>
      <c r="G3444">
        <v>123968680</v>
      </c>
      <c r="H3444">
        <v>123968683</v>
      </c>
      <c r="I3444">
        <v>123968697</v>
      </c>
    </row>
    <row r="3445" spans="1:9" x14ac:dyDescent="0.2">
      <c r="A3445" t="str">
        <f>"Ccr10"</f>
        <v>Ccr10</v>
      </c>
      <c r="B3445" t="s">
        <v>14</v>
      </c>
      <c r="C3445" t="s">
        <v>27</v>
      </c>
      <c r="D3445" t="s">
        <v>11</v>
      </c>
      <c r="E3445" t="s">
        <v>12</v>
      </c>
      <c r="F3445">
        <v>101175440</v>
      </c>
      <c r="G3445">
        <v>101175444</v>
      </c>
      <c r="H3445">
        <v>101175440</v>
      </c>
      <c r="I3445">
        <v>101175444</v>
      </c>
    </row>
    <row r="3446" spans="1:9" x14ac:dyDescent="0.2">
      <c r="A3446" t="str">
        <f>"Ccr1l1"</f>
        <v>Ccr1l1</v>
      </c>
      <c r="B3446" t="s">
        <v>2274</v>
      </c>
      <c r="C3446" t="s">
        <v>24</v>
      </c>
      <c r="D3446" t="s">
        <v>11</v>
      </c>
      <c r="E3446" t="s">
        <v>20</v>
      </c>
      <c r="F3446">
        <v>123978407</v>
      </c>
      <c r="G3446">
        <v>123978407</v>
      </c>
      <c r="H3446">
        <v>123978407</v>
      </c>
      <c r="I3446">
        <v>123978407</v>
      </c>
    </row>
    <row r="3447" spans="1:9" x14ac:dyDescent="0.2">
      <c r="A3447" t="str">
        <f>"Ccr2"</f>
        <v>Ccr2</v>
      </c>
      <c r="B3447" t="s">
        <v>14</v>
      </c>
      <c r="C3447" t="s">
        <v>24</v>
      </c>
      <c r="D3447" t="s">
        <v>17</v>
      </c>
      <c r="E3447" t="s">
        <v>12</v>
      </c>
      <c r="F3447">
        <v>124102110</v>
      </c>
      <c r="G3447">
        <v>124102166</v>
      </c>
      <c r="H3447">
        <v>124101966</v>
      </c>
      <c r="I3447">
        <v>124101987</v>
      </c>
    </row>
    <row r="3448" spans="1:9" x14ac:dyDescent="0.2">
      <c r="A3448" t="str">
        <f>"Ccr3"</f>
        <v>Ccr3</v>
      </c>
      <c r="B3448" t="s">
        <v>14</v>
      </c>
      <c r="C3448" t="s">
        <v>24</v>
      </c>
      <c r="D3448" t="s">
        <v>17</v>
      </c>
      <c r="E3448" t="s">
        <v>12</v>
      </c>
      <c r="F3448">
        <v>124022110</v>
      </c>
      <c r="G3448">
        <v>124022123</v>
      </c>
      <c r="H3448">
        <v>124021965</v>
      </c>
      <c r="I3448">
        <v>124021977</v>
      </c>
    </row>
    <row r="3449" spans="1:9" x14ac:dyDescent="0.2">
      <c r="A3449" t="str">
        <f>"Ccr4"</f>
        <v>Ccr4</v>
      </c>
      <c r="B3449" t="s">
        <v>14</v>
      </c>
      <c r="C3449" t="s">
        <v>24</v>
      </c>
      <c r="D3449" t="s">
        <v>11</v>
      </c>
      <c r="E3449" t="s">
        <v>12</v>
      </c>
      <c r="F3449">
        <v>114496537</v>
      </c>
      <c r="G3449">
        <v>114496551</v>
      </c>
      <c r="H3449">
        <v>114496571</v>
      </c>
      <c r="I3449">
        <v>114496581</v>
      </c>
    </row>
    <row r="3450" spans="1:9" x14ac:dyDescent="0.2">
      <c r="A3450" t="str">
        <f>"Ccr5"</f>
        <v>Ccr5</v>
      </c>
      <c r="B3450" t="s">
        <v>14</v>
      </c>
      <c r="C3450" t="s">
        <v>24</v>
      </c>
      <c r="D3450" t="s">
        <v>17</v>
      </c>
      <c r="E3450" t="s">
        <v>12</v>
      </c>
      <c r="F3450">
        <v>124121534</v>
      </c>
      <c r="G3450">
        <v>124121584</v>
      </c>
      <c r="H3450">
        <v>124121534</v>
      </c>
      <c r="I3450">
        <v>124121584</v>
      </c>
    </row>
    <row r="3451" spans="1:9" x14ac:dyDescent="0.2">
      <c r="A3451" t="str">
        <f>"Ccr6"</f>
        <v>Ccr6</v>
      </c>
      <c r="B3451" t="s">
        <v>9</v>
      </c>
      <c r="C3451" t="s">
        <v>28</v>
      </c>
      <c r="D3451" t="s">
        <v>17</v>
      </c>
      <c r="E3451" t="s">
        <v>12</v>
      </c>
      <c r="F3451">
        <v>8245054</v>
      </c>
      <c r="G3451">
        <v>8245092</v>
      </c>
      <c r="H3451">
        <v>8245054</v>
      </c>
      <c r="I3451">
        <v>8245092</v>
      </c>
    </row>
    <row r="3452" spans="1:9" x14ac:dyDescent="0.2">
      <c r="A3452" t="str">
        <f>"Ccr6"</f>
        <v>Ccr6</v>
      </c>
      <c r="B3452" t="s">
        <v>13</v>
      </c>
      <c r="C3452" t="s">
        <v>28</v>
      </c>
      <c r="D3452" t="s">
        <v>17</v>
      </c>
      <c r="E3452" t="s">
        <v>12</v>
      </c>
      <c r="F3452">
        <v>8236031</v>
      </c>
      <c r="G3452">
        <v>8236046</v>
      </c>
      <c r="H3452">
        <v>8236031</v>
      </c>
      <c r="I3452">
        <v>8236046</v>
      </c>
    </row>
    <row r="3453" spans="1:9" x14ac:dyDescent="0.2">
      <c r="A3453" t="str">
        <f>"Ccr7"</f>
        <v>Ccr7</v>
      </c>
      <c r="B3453" t="s">
        <v>14</v>
      </c>
      <c r="C3453" t="s">
        <v>27</v>
      </c>
      <c r="D3453" t="s">
        <v>11</v>
      </c>
      <c r="E3453" t="s">
        <v>12</v>
      </c>
      <c r="F3453">
        <v>99155067</v>
      </c>
      <c r="G3453">
        <v>99155085</v>
      </c>
      <c r="H3453">
        <v>99155018</v>
      </c>
      <c r="I3453">
        <v>99155037</v>
      </c>
    </row>
    <row r="3454" spans="1:9" x14ac:dyDescent="0.2">
      <c r="A3454" t="str">
        <f>"Ccr8"</f>
        <v>Ccr8</v>
      </c>
      <c r="B3454" t="s">
        <v>14</v>
      </c>
      <c r="C3454" t="s">
        <v>24</v>
      </c>
      <c r="D3454" t="s">
        <v>17</v>
      </c>
      <c r="E3454" t="s">
        <v>12</v>
      </c>
      <c r="F3454">
        <v>120092106</v>
      </c>
      <c r="G3454">
        <v>120092121</v>
      </c>
      <c r="H3454">
        <v>120092106</v>
      </c>
      <c r="I3454">
        <v>120092121</v>
      </c>
    </row>
    <row r="3455" spans="1:9" x14ac:dyDescent="0.2">
      <c r="A3455" t="str">
        <f>"Ccr9"</f>
        <v>Ccr9</v>
      </c>
      <c r="B3455" t="s">
        <v>9</v>
      </c>
      <c r="C3455" t="s">
        <v>24</v>
      </c>
      <c r="D3455" t="s">
        <v>17</v>
      </c>
      <c r="E3455" t="s">
        <v>12</v>
      </c>
      <c r="F3455">
        <v>123767217</v>
      </c>
      <c r="G3455">
        <v>123767241</v>
      </c>
      <c r="H3455">
        <v>123767217</v>
      </c>
      <c r="I3455">
        <v>123767241</v>
      </c>
    </row>
    <row r="3456" spans="1:9" x14ac:dyDescent="0.2">
      <c r="A3456" t="str">
        <f>"Ccr9"</f>
        <v>Ccr9</v>
      </c>
      <c r="B3456" t="s">
        <v>13</v>
      </c>
      <c r="C3456" t="s">
        <v>24</v>
      </c>
      <c r="D3456" t="s">
        <v>17</v>
      </c>
      <c r="E3456" t="s">
        <v>12</v>
      </c>
      <c r="F3456">
        <v>123678355</v>
      </c>
      <c r="G3456">
        <v>123678382</v>
      </c>
      <c r="H3456">
        <v>123678355</v>
      </c>
      <c r="I3456">
        <v>123678382</v>
      </c>
    </row>
    <row r="3457" spans="1:9" x14ac:dyDescent="0.2">
      <c r="A3457" t="str">
        <f>"Ccrl2"</f>
        <v>Ccrl2</v>
      </c>
      <c r="B3457" t="s">
        <v>14</v>
      </c>
      <c r="C3457" t="s">
        <v>24</v>
      </c>
      <c r="D3457" t="s">
        <v>11</v>
      </c>
      <c r="E3457" t="s">
        <v>12</v>
      </c>
      <c r="F3457">
        <v>111057235</v>
      </c>
      <c r="G3457">
        <v>111057252</v>
      </c>
      <c r="H3457">
        <v>111057190</v>
      </c>
      <c r="I3457">
        <v>111057233</v>
      </c>
    </row>
    <row r="3458" spans="1:9" x14ac:dyDescent="0.2">
      <c r="A3458" t="str">
        <f>"Ccrn4l"</f>
        <v>Ccrn4l</v>
      </c>
      <c r="B3458" t="s">
        <v>14</v>
      </c>
      <c r="C3458" t="s">
        <v>22</v>
      </c>
      <c r="D3458" t="s">
        <v>17</v>
      </c>
      <c r="E3458" t="s">
        <v>12</v>
      </c>
      <c r="F3458">
        <v>51224912</v>
      </c>
      <c r="G3458">
        <v>51224941</v>
      </c>
      <c r="H3458">
        <v>51224787</v>
      </c>
      <c r="I3458">
        <v>51224807</v>
      </c>
    </row>
    <row r="3459" spans="1:9" x14ac:dyDescent="0.2">
      <c r="A3459" t="str">
        <f>"Ccs"</f>
        <v>Ccs</v>
      </c>
      <c r="B3459" t="s">
        <v>14</v>
      </c>
      <c r="C3459" t="s">
        <v>10</v>
      </c>
      <c r="D3459" t="s">
        <v>11</v>
      </c>
      <c r="E3459" t="s">
        <v>12</v>
      </c>
      <c r="F3459">
        <v>4839286</v>
      </c>
      <c r="G3459">
        <v>4839338</v>
      </c>
      <c r="H3459">
        <v>4839256</v>
      </c>
      <c r="I3459">
        <v>4839278</v>
      </c>
    </row>
    <row r="3460" spans="1:9" x14ac:dyDescent="0.2">
      <c r="A3460" t="str">
        <f>"Ccsap"</f>
        <v>Ccsap</v>
      </c>
      <c r="B3460" t="s">
        <v>14</v>
      </c>
      <c r="C3460" t="s">
        <v>30</v>
      </c>
      <c r="D3460" t="s">
        <v>11</v>
      </c>
      <c r="E3460" t="s">
        <v>67</v>
      </c>
      <c r="F3460">
        <v>123859423</v>
      </c>
      <c r="G3460">
        <v>123859521</v>
      </c>
      <c r="H3460">
        <v>123859423</v>
      </c>
      <c r="I3460">
        <v>123859521</v>
      </c>
    </row>
    <row r="3461" spans="1:9" x14ac:dyDescent="0.2">
      <c r="A3461" t="str">
        <f>"Ccser1"</f>
        <v>Ccser1</v>
      </c>
      <c r="B3461" t="s">
        <v>14</v>
      </c>
      <c r="C3461" t="s">
        <v>32</v>
      </c>
      <c r="D3461" t="s">
        <v>17</v>
      </c>
      <c r="E3461" t="s">
        <v>67</v>
      </c>
      <c r="F3461">
        <v>61180313</v>
      </c>
      <c r="G3461">
        <v>61180400</v>
      </c>
      <c r="H3461">
        <v>61180443</v>
      </c>
      <c r="I3461">
        <v>61180488</v>
      </c>
    </row>
    <row r="3462" spans="1:9" x14ac:dyDescent="0.2">
      <c r="A3462" t="str">
        <f>"Ccser2"</f>
        <v>Ccser2</v>
      </c>
      <c r="B3462" t="s">
        <v>14</v>
      </c>
      <c r="C3462" t="s">
        <v>41</v>
      </c>
      <c r="D3462" t="s">
        <v>11</v>
      </c>
      <c r="E3462" t="s">
        <v>67</v>
      </c>
      <c r="F3462">
        <v>36968679</v>
      </c>
      <c r="G3462">
        <v>36968738</v>
      </c>
      <c r="H3462">
        <v>36968747</v>
      </c>
      <c r="I3462">
        <v>36968766</v>
      </c>
    </row>
    <row r="3463" spans="1:9" x14ac:dyDescent="0.2">
      <c r="A3463" t="str">
        <f>"Cct2"</f>
        <v>Cct2</v>
      </c>
      <c r="B3463" t="s">
        <v>14</v>
      </c>
      <c r="C3463" t="s">
        <v>15</v>
      </c>
      <c r="D3463" t="s">
        <v>11</v>
      </c>
      <c r="E3463" t="s">
        <v>12</v>
      </c>
      <c r="F3463">
        <v>117063764</v>
      </c>
      <c r="G3463">
        <v>117063802</v>
      </c>
      <c r="H3463">
        <v>117063764</v>
      </c>
      <c r="I3463">
        <v>117063802</v>
      </c>
    </row>
    <row r="3464" spans="1:9" x14ac:dyDescent="0.2">
      <c r="A3464" t="str">
        <f>"Cct3"</f>
        <v>Cct3</v>
      </c>
      <c r="B3464" t="s">
        <v>14</v>
      </c>
      <c r="C3464" t="s">
        <v>22</v>
      </c>
      <c r="D3464" t="s">
        <v>17</v>
      </c>
      <c r="E3464" t="s">
        <v>12</v>
      </c>
      <c r="F3464">
        <v>88297147</v>
      </c>
      <c r="G3464">
        <v>88297193</v>
      </c>
      <c r="H3464">
        <v>88297115</v>
      </c>
      <c r="I3464">
        <v>88297144</v>
      </c>
    </row>
    <row r="3465" spans="1:9" x14ac:dyDescent="0.2">
      <c r="A3465" t="str">
        <f>"Cct4"</f>
        <v>Cct4</v>
      </c>
      <c r="B3465" t="s">
        <v>14</v>
      </c>
      <c r="C3465" t="s">
        <v>27</v>
      </c>
      <c r="D3465" t="s">
        <v>17</v>
      </c>
      <c r="E3465" t="s">
        <v>12</v>
      </c>
      <c r="F3465">
        <v>22990617</v>
      </c>
      <c r="G3465">
        <v>22990654</v>
      </c>
      <c r="H3465">
        <v>22990811</v>
      </c>
      <c r="I3465">
        <v>22990836</v>
      </c>
    </row>
    <row r="3466" spans="1:9" x14ac:dyDescent="0.2">
      <c r="A3466" t="str">
        <f>"Cct5"</f>
        <v>Cct5</v>
      </c>
      <c r="B3466" t="s">
        <v>14</v>
      </c>
      <c r="C3466" t="s">
        <v>25</v>
      </c>
      <c r="D3466" t="s">
        <v>11</v>
      </c>
      <c r="E3466" t="s">
        <v>12</v>
      </c>
      <c r="F3466">
        <v>31601716</v>
      </c>
      <c r="G3466">
        <v>31601783</v>
      </c>
      <c r="H3466">
        <v>31601786</v>
      </c>
      <c r="I3466">
        <v>31601812</v>
      </c>
    </row>
    <row r="3467" spans="1:9" x14ac:dyDescent="0.2">
      <c r="A3467" t="str">
        <f>"Cct6a"</f>
        <v>Cct6a</v>
      </c>
      <c r="B3467" t="s">
        <v>14</v>
      </c>
      <c r="C3467" t="s">
        <v>46</v>
      </c>
      <c r="D3467" t="s">
        <v>17</v>
      </c>
      <c r="E3467" t="s">
        <v>12</v>
      </c>
      <c r="F3467">
        <v>129787390</v>
      </c>
      <c r="G3467">
        <v>129787413</v>
      </c>
      <c r="H3467">
        <v>129787365</v>
      </c>
      <c r="I3467">
        <v>129787388</v>
      </c>
    </row>
    <row r="3468" spans="1:9" x14ac:dyDescent="0.2">
      <c r="A3468" t="str">
        <f>"Cct6b"</f>
        <v>Cct6b</v>
      </c>
      <c r="B3468" t="s">
        <v>14</v>
      </c>
      <c r="C3468" t="s">
        <v>27</v>
      </c>
      <c r="D3468" t="s">
        <v>11</v>
      </c>
      <c r="E3468" t="s">
        <v>12</v>
      </c>
      <c r="F3468">
        <v>82764303</v>
      </c>
      <c r="G3468">
        <v>82764329</v>
      </c>
      <c r="H3468">
        <v>82764241</v>
      </c>
      <c r="I3468">
        <v>82764273</v>
      </c>
    </row>
    <row r="3469" spans="1:9" x14ac:dyDescent="0.2">
      <c r="A3469" t="str">
        <f>"Cct7"</f>
        <v>Cct7</v>
      </c>
      <c r="B3469" t="s">
        <v>14</v>
      </c>
      <c r="C3469" t="s">
        <v>32</v>
      </c>
      <c r="D3469" t="s">
        <v>17</v>
      </c>
      <c r="E3469" t="s">
        <v>12</v>
      </c>
      <c r="F3469">
        <v>85452041</v>
      </c>
      <c r="G3469">
        <v>85452087</v>
      </c>
      <c r="H3469">
        <v>85451983</v>
      </c>
      <c r="I3469">
        <v>85452003</v>
      </c>
    </row>
    <row r="3470" spans="1:9" x14ac:dyDescent="0.2">
      <c r="A3470" t="str">
        <f>"Cct8"</f>
        <v>Cct8</v>
      </c>
      <c r="B3470" t="s">
        <v>14</v>
      </c>
      <c r="C3470" t="s">
        <v>31</v>
      </c>
      <c r="D3470" t="s">
        <v>11</v>
      </c>
      <c r="E3470" t="s">
        <v>12</v>
      </c>
      <c r="F3470">
        <v>87495823</v>
      </c>
      <c r="G3470">
        <v>87495877</v>
      </c>
      <c r="H3470">
        <v>87495807</v>
      </c>
      <c r="I3470">
        <v>87495820</v>
      </c>
    </row>
    <row r="3471" spans="1:9" x14ac:dyDescent="0.2">
      <c r="A3471" t="str">
        <f>"Cct8l1"</f>
        <v>Cct8l1</v>
      </c>
      <c r="B3471" t="s">
        <v>14</v>
      </c>
      <c r="C3471" t="s">
        <v>46</v>
      </c>
      <c r="D3471" t="s">
        <v>17</v>
      </c>
      <c r="E3471" t="s">
        <v>12</v>
      </c>
      <c r="F3471">
        <v>25516061</v>
      </c>
      <c r="G3471">
        <v>25516102</v>
      </c>
      <c r="H3471">
        <v>25516039</v>
      </c>
      <c r="I3471">
        <v>25516048</v>
      </c>
    </row>
    <row r="3472" spans="1:9" x14ac:dyDescent="0.2">
      <c r="A3472" t="str">
        <f>"Ccz1"</f>
        <v>Ccz1</v>
      </c>
      <c r="B3472" t="s">
        <v>14</v>
      </c>
      <c r="C3472" t="s">
        <v>46</v>
      </c>
      <c r="D3472" t="s">
        <v>11</v>
      </c>
      <c r="E3472" t="s">
        <v>12</v>
      </c>
      <c r="F3472">
        <v>144014858</v>
      </c>
      <c r="G3472">
        <v>144014918</v>
      </c>
      <c r="H3472">
        <v>144014858</v>
      </c>
      <c r="I3472">
        <v>144014918</v>
      </c>
    </row>
    <row r="3473" spans="1:9" x14ac:dyDescent="0.2">
      <c r="A3473" t="str">
        <f>"Cd101"</f>
        <v>Cd101</v>
      </c>
      <c r="B3473" t="s">
        <v>14</v>
      </c>
      <c r="C3473" t="s">
        <v>22</v>
      </c>
      <c r="D3473" t="s">
        <v>11</v>
      </c>
      <c r="E3473" t="s">
        <v>12</v>
      </c>
      <c r="F3473">
        <v>101029543</v>
      </c>
      <c r="G3473">
        <v>101029558</v>
      </c>
      <c r="H3473">
        <v>101029524</v>
      </c>
      <c r="I3473">
        <v>101029533</v>
      </c>
    </row>
    <row r="3474" spans="1:9" x14ac:dyDescent="0.2">
      <c r="A3474" t="str">
        <f>"Cd109"</f>
        <v>Cd109</v>
      </c>
      <c r="B3474" t="s">
        <v>14</v>
      </c>
      <c r="C3474" t="s">
        <v>24</v>
      </c>
      <c r="D3474" t="s">
        <v>17</v>
      </c>
      <c r="E3474" t="s">
        <v>12</v>
      </c>
      <c r="F3474">
        <v>78615757</v>
      </c>
      <c r="G3474">
        <v>78615786</v>
      </c>
      <c r="H3474">
        <v>78615837</v>
      </c>
      <c r="I3474">
        <v>78615881</v>
      </c>
    </row>
    <row r="3475" spans="1:9" x14ac:dyDescent="0.2">
      <c r="A3475" t="str">
        <f>"Cd14"</f>
        <v>Cd14</v>
      </c>
      <c r="B3475" t="s">
        <v>14</v>
      </c>
      <c r="C3475" t="s">
        <v>43</v>
      </c>
      <c r="D3475" t="s">
        <v>11</v>
      </c>
      <c r="E3475" t="s">
        <v>12</v>
      </c>
      <c r="F3475">
        <v>36726592</v>
      </c>
      <c r="G3475">
        <v>36726615</v>
      </c>
      <c r="H3475">
        <v>36726668</v>
      </c>
      <c r="I3475">
        <v>36726691</v>
      </c>
    </row>
    <row r="3476" spans="1:9" x14ac:dyDescent="0.2">
      <c r="A3476" t="str">
        <f>"Cd151"</f>
        <v>Cd151</v>
      </c>
      <c r="B3476" t="s">
        <v>9</v>
      </c>
      <c r="C3476" t="s">
        <v>33</v>
      </c>
      <c r="D3476" t="s">
        <v>17</v>
      </c>
      <c r="E3476" t="s">
        <v>12</v>
      </c>
      <c r="F3476">
        <v>141467386</v>
      </c>
      <c r="G3476">
        <v>141467427</v>
      </c>
      <c r="H3476">
        <v>141467386</v>
      </c>
      <c r="I3476">
        <v>141467427</v>
      </c>
    </row>
    <row r="3477" spans="1:9" x14ac:dyDescent="0.2">
      <c r="A3477" t="str">
        <f>"Cd151"</f>
        <v>Cd151</v>
      </c>
      <c r="B3477" t="s">
        <v>13</v>
      </c>
      <c r="C3477" t="s">
        <v>33</v>
      </c>
      <c r="D3477" t="s">
        <v>17</v>
      </c>
      <c r="E3477" t="s">
        <v>12</v>
      </c>
      <c r="F3477">
        <v>141468776</v>
      </c>
      <c r="G3477">
        <v>141468807</v>
      </c>
      <c r="H3477">
        <v>141468776</v>
      </c>
      <c r="I3477">
        <v>141468807</v>
      </c>
    </row>
    <row r="3478" spans="1:9" x14ac:dyDescent="0.2">
      <c r="A3478" t="str">
        <f>"Cd160"</f>
        <v>Cd160</v>
      </c>
      <c r="B3478" t="s">
        <v>14</v>
      </c>
      <c r="C3478" t="s">
        <v>22</v>
      </c>
      <c r="D3478" t="s">
        <v>11</v>
      </c>
      <c r="E3478" t="s">
        <v>12</v>
      </c>
      <c r="F3478">
        <v>96814518</v>
      </c>
      <c r="G3478">
        <v>96814532</v>
      </c>
      <c r="H3478">
        <v>96814518</v>
      </c>
      <c r="I3478">
        <v>96814532</v>
      </c>
    </row>
    <row r="3479" spans="1:9" x14ac:dyDescent="0.2">
      <c r="A3479" t="str">
        <f>"Cd163"</f>
        <v>Cd163</v>
      </c>
      <c r="B3479" t="s">
        <v>14</v>
      </c>
      <c r="C3479" t="s">
        <v>32</v>
      </c>
      <c r="D3479" t="s">
        <v>17</v>
      </c>
      <c r="E3479" t="s">
        <v>12</v>
      </c>
      <c r="F3479">
        <v>124304646</v>
      </c>
      <c r="G3479">
        <v>124304671</v>
      </c>
      <c r="H3479">
        <v>124304646</v>
      </c>
      <c r="I3479">
        <v>124304671</v>
      </c>
    </row>
    <row r="3480" spans="1:9" x14ac:dyDescent="0.2">
      <c r="A3480" t="str">
        <f>"Cd163l1"</f>
        <v>Cd163l1</v>
      </c>
      <c r="B3480" t="s">
        <v>14</v>
      </c>
      <c r="C3480" t="s">
        <v>33</v>
      </c>
      <c r="D3480" t="s">
        <v>17</v>
      </c>
      <c r="E3480" t="s">
        <v>12</v>
      </c>
      <c r="F3480">
        <v>140218258</v>
      </c>
      <c r="G3480">
        <v>140218286</v>
      </c>
      <c r="H3480">
        <v>140218353</v>
      </c>
      <c r="I3480">
        <v>140218369</v>
      </c>
    </row>
    <row r="3481" spans="1:9" x14ac:dyDescent="0.2">
      <c r="A3481" t="str">
        <f>"Cd164"</f>
        <v>Cd164</v>
      </c>
      <c r="B3481" t="s">
        <v>14</v>
      </c>
      <c r="C3481" t="s">
        <v>15</v>
      </c>
      <c r="D3481" t="s">
        <v>17</v>
      </c>
      <c r="E3481" t="s">
        <v>12</v>
      </c>
      <c r="F3481">
        <v>41519493</v>
      </c>
      <c r="G3481">
        <v>41519516</v>
      </c>
      <c r="H3481">
        <v>41519455</v>
      </c>
      <c r="I3481">
        <v>41519480</v>
      </c>
    </row>
    <row r="3482" spans="1:9" x14ac:dyDescent="0.2">
      <c r="A3482" t="str">
        <f>"Cd164l2"</f>
        <v>Cd164l2</v>
      </c>
      <c r="B3482" t="s">
        <v>14</v>
      </c>
      <c r="C3482" t="s">
        <v>23</v>
      </c>
      <c r="D3482" t="s">
        <v>17</v>
      </c>
      <c r="E3482" t="s">
        <v>12</v>
      </c>
      <c r="F3482">
        <v>133220858</v>
      </c>
      <c r="G3482">
        <v>133220906</v>
      </c>
      <c r="H3482">
        <v>133220911</v>
      </c>
      <c r="I3482">
        <v>133220927</v>
      </c>
    </row>
    <row r="3483" spans="1:9" x14ac:dyDescent="0.2">
      <c r="A3483" t="str">
        <f>"Cd177"</f>
        <v>Cd177</v>
      </c>
      <c r="B3483" t="s">
        <v>14</v>
      </c>
      <c r="C3483" t="s">
        <v>33</v>
      </c>
      <c r="D3483" t="s">
        <v>11</v>
      </c>
      <c r="E3483" t="s">
        <v>12</v>
      </c>
      <c r="F3483">
        <v>24760311</v>
      </c>
      <c r="G3483">
        <v>24760327</v>
      </c>
      <c r="H3483">
        <v>24760311</v>
      </c>
      <c r="I3483">
        <v>24760327</v>
      </c>
    </row>
    <row r="3484" spans="1:9" x14ac:dyDescent="0.2">
      <c r="A3484" t="str">
        <f>"Cd180"</f>
        <v>Cd180</v>
      </c>
      <c r="B3484" t="s">
        <v>14</v>
      </c>
      <c r="C3484" t="s">
        <v>39</v>
      </c>
      <c r="D3484" t="s">
        <v>17</v>
      </c>
      <c r="E3484" t="s">
        <v>12</v>
      </c>
      <c r="F3484">
        <v>102693522</v>
      </c>
      <c r="G3484">
        <v>102693586</v>
      </c>
      <c r="H3484">
        <v>102693522</v>
      </c>
      <c r="I3484">
        <v>102693586</v>
      </c>
    </row>
    <row r="3485" spans="1:9" x14ac:dyDescent="0.2">
      <c r="A3485" t="str">
        <f>"Cd19"</f>
        <v>Cd19</v>
      </c>
      <c r="B3485" t="s">
        <v>14</v>
      </c>
      <c r="C3485" t="s">
        <v>33</v>
      </c>
      <c r="D3485" t="s">
        <v>11</v>
      </c>
      <c r="E3485" t="s">
        <v>12</v>
      </c>
      <c r="F3485">
        <v>126414855</v>
      </c>
      <c r="G3485">
        <v>126414895</v>
      </c>
      <c r="H3485">
        <v>126414899</v>
      </c>
      <c r="I3485">
        <v>126414922</v>
      </c>
    </row>
    <row r="3486" spans="1:9" x14ac:dyDescent="0.2">
      <c r="A3486" t="str">
        <f>"Cd1d1"</f>
        <v>Cd1d1</v>
      </c>
      <c r="B3486" t="s">
        <v>14</v>
      </c>
      <c r="C3486" t="s">
        <v>22</v>
      </c>
      <c r="D3486" t="s">
        <v>11</v>
      </c>
      <c r="E3486" t="s">
        <v>12</v>
      </c>
      <c r="F3486">
        <v>86999284</v>
      </c>
      <c r="G3486">
        <v>86999334</v>
      </c>
      <c r="H3486">
        <v>86999346</v>
      </c>
      <c r="I3486">
        <v>86999371</v>
      </c>
    </row>
    <row r="3487" spans="1:9" x14ac:dyDescent="0.2">
      <c r="A3487" t="str">
        <f>"Cd1d2"</f>
        <v>Cd1d2</v>
      </c>
      <c r="B3487" t="s">
        <v>14</v>
      </c>
      <c r="C3487" t="s">
        <v>22</v>
      </c>
      <c r="D3487" t="s">
        <v>17</v>
      </c>
      <c r="E3487" t="s">
        <v>12</v>
      </c>
      <c r="F3487">
        <v>86986562</v>
      </c>
      <c r="G3487">
        <v>86986584</v>
      </c>
      <c r="H3487">
        <v>86986589</v>
      </c>
      <c r="I3487">
        <v>86986609</v>
      </c>
    </row>
    <row r="3488" spans="1:9" x14ac:dyDescent="0.2">
      <c r="A3488" t="str">
        <f>"Cd2"</f>
        <v>Cd2</v>
      </c>
      <c r="B3488" t="s">
        <v>14</v>
      </c>
      <c r="C3488" t="s">
        <v>22</v>
      </c>
      <c r="D3488" t="s">
        <v>11</v>
      </c>
      <c r="E3488" t="s">
        <v>12</v>
      </c>
      <c r="F3488">
        <v>101287897</v>
      </c>
      <c r="G3488">
        <v>101287957</v>
      </c>
      <c r="H3488">
        <v>101287882</v>
      </c>
      <c r="I3488">
        <v>101287893</v>
      </c>
    </row>
    <row r="3489" spans="1:9" x14ac:dyDescent="0.2">
      <c r="A3489" t="str">
        <f>"Cd200"</f>
        <v>Cd200</v>
      </c>
      <c r="B3489" t="s">
        <v>14</v>
      </c>
      <c r="C3489" t="s">
        <v>31</v>
      </c>
      <c r="D3489" t="s">
        <v>11</v>
      </c>
      <c r="E3489" t="s">
        <v>12</v>
      </c>
      <c r="F3489">
        <v>45408955</v>
      </c>
      <c r="G3489">
        <v>45409048</v>
      </c>
      <c r="H3489">
        <v>45408932</v>
      </c>
      <c r="I3489">
        <v>45408950</v>
      </c>
    </row>
    <row r="3490" spans="1:9" x14ac:dyDescent="0.2">
      <c r="A3490" t="str">
        <f>"Cd200r1"</f>
        <v>Cd200r1</v>
      </c>
      <c r="B3490" t="s">
        <v>14</v>
      </c>
      <c r="C3490" t="s">
        <v>31</v>
      </c>
      <c r="D3490" t="s">
        <v>17</v>
      </c>
      <c r="E3490" t="s">
        <v>12</v>
      </c>
      <c r="F3490">
        <v>44765753</v>
      </c>
      <c r="G3490">
        <v>44765828</v>
      </c>
      <c r="H3490">
        <v>44765732</v>
      </c>
      <c r="I3490">
        <v>44765751</v>
      </c>
    </row>
    <row r="3491" spans="1:9" x14ac:dyDescent="0.2">
      <c r="A3491" t="str">
        <f>"Cd200r2"</f>
        <v>Cd200r2</v>
      </c>
      <c r="B3491" t="s">
        <v>14</v>
      </c>
      <c r="C3491" t="s">
        <v>31</v>
      </c>
      <c r="D3491" t="s">
        <v>17</v>
      </c>
      <c r="E3491" t="s">
        <v>12</v>
      </c>
      <c r="F3491">
        <v>44867077</v>
      </c>
      <c r="G3491">
        <v>44867088</v>
      </c>
      <c r="H3491">
        <v>44867077</v>
      </c>
      <c r="I3491">
        <v>44867088</v>
      </c>
    </row>
    <row r="3492" spans="1:9" x14ac:dyDescent="0.2">
      <c r="A3492" t="str">
        <f>"Cd200r3"</f>
        <v>Cd200r3</v>
      </c>
      <c r="B3492" t="s">
        <v>14</v>
      </c>
      <c r="C3492" t="s">
        <v>31</v>
      </c>
      <c r="D3492" t="s">
        <v>17</v>
      </c>
      <c r="E3492" t="s">
        <v>12</v>
      </c>
      <c r="F3492">
        <v>44943684</v>
      </c>
      <c r="G3492">
        <v>44943698</v>
      </c>
      <c r="H3492">
        <v>44943737</v>
      </c>
      <c r="I3492">
        <v>44943752</v>
      </c>
    </row>
    <row r="3493" spans="1:9" x14ac:dyDescent="0.2">
      <c r="A3493" t="str">
        <f>"Cd200r4"</f>
        <v>Cd200r4</v>
      </c>
      <c r="B3493" t="s">
        <v>14</v>
      </c>
      <c r="C3493" t="s">
        <v>31</v>
      </c>
      <c r="D3493" t="s">
        <v>17</v>
      </c>
      <c r="E3493" t="s">
        <v>12</v>
      </c>
      <c r="F3493">
        <v>44811774</v>
      </c>
      <c r="G3493">
        <v>44811795</v>
      </c>
      <c r="H3493">
        <v>44811774</v>
      </c>
      <c r="I3493">
        <v>44811795</v>
      </c>
    </row>
    <row r="3494" spans="1:9" x14ac:dyDescent="0.2">
      <c r="A3494" t="str">
        <f>"Cd207"</f>
        <v>Cd207</v>
      </c>
      <c r="B3494" t="s">
        <v>14</v>
      </c>
      <c r="C3494" t="s">
        <v>32</v>
      </c>
      <c r="D3494" t="s">
        <v>11</v>
      </c>
      <c r="E3494" t="s">
        <v>12</v>
      </c>
      <c r="F3494">
        <v>83677807</v>
      </c>
      <c r="G3494">
        <v>83677812</v>
      </c>
      <c r="H3494">
        <v>83677807</v>
      </c>
      <c r="I3494">
        <v>83677812</v>
      </c>
    </row>
    <row r="3495" spans="1:9" x14ac:dyDescent="0.2">
      <c r="A3495" t="str">
        <f>"Cd209a"</f>
        <v>Cd209a</v>
      </c>
      <c r="B3495" t="s">
        <v>14</v>
      </c>
      <c r="C3495" t="s">
        <v>30</v>
      </c>
      <c r="D3495" t="s">
        <v>11</v>
      </c>
      <c r="E3495" t="s">
        <v>12</v>
      </c>
      <c r="F3495">
        <v>3748922</v>
      </c>
      <c r="G3495">
        <v>3748935</v>
      </c>
      <c r="H3495">
        <v>3748941</v>
      </c>
      <c r="I3495">
        <v>3748953</v>
      </c>
    </row>
    <row r="3496" spans="1:9" x14ac:dyDescent="0.2">
      <c r="A3496" t="str">
        <f>"Cd209b"</f>
        <v>Cd209b</v>
      </c>
      <c r="B3496" t="s">
        <v>14</v>
      </c>
      <c r="C3496" t="s">
        <v>30</v>
      </c>
      <c r="D3496" t="s">
        <v>11</v>
      </c>
      <c r="E3496" t="s">
        <v>12</v>
      </c>
      <c r="F3496">
        <v>3926807</v>
      </c>
      <c r="G3496">
        <v>3926838</v>
      </c>
      <c r="H3496">
        <v>3926807</v>
      </c>
      <c r="I3496">
        <v>3926838</v>
      </c>
    </row>
    <row r="3497" spans="1:9" x14ac:dyDescent="0.2">
      <c r="A3497" t="str">
        <f>"Cd209c"</f>
        <v>Cd209c</v>
      </c>
      <c r="B3497" t="s">
        <v>14</v>
      </c>
      <c r="C3497" t="s">
        <v>30</v>
      </c>
      <c r="D3497" t="s">
        <v>11</v>
      </c>
      <c r="E3497" t="s">
        <v>12</v>
      </c>
      <c r="F3497">
        <v>3954697</v>
      </c>
      <c r="G3497">
        <v>3954709</v>
      </c>
      <c r="H3497">
        <v>3954671</v>
      </c>
      <c r="I3497">
        <v>3954679</v>
      </c>
    </row>
    <row r="3498" spans="1:9" x14ac:dyDescent="0.2">
      <c r="A3498" t="str">
        <f>"Cd209d"</f>
        <v>Cd209d</v>
      </c>
      <c r="B3498" t="s">
        <v>14</v>
      </c>
      <c r="C3498" t="s">
        <v>30</v>
      </c>
      <c r="D3498" t="s">
        <v>11</v>
      </c>
      <c r="E3498" t="s">
        <v>12</v>
      </c>
      <c r="F3498">
        <v>3878549</v>
      </c>
      <c r="G3498">
        <v>3878568</v>
      </c>
      <c r="H3498">
        <v>3878511</v>
      </c>
      <c r="I3498">
        <v>3878531</v>
      </c>
    </row>
    <row r="3499" spans="1:9" x14ac:dyDescent="0.2">
      <c r="A3499" t="str">
        <f>"Cd209e"</f>
        <v>Cd209e</v>
      </c>
      <c r="B3499" t="s">
        <v>14</v>
      </c>
      <c r="C3499" t="s">
        <v>30</v>
      </c>
      <c r="D3499" t="s">
        <v>11</v>
      </c>
      <c r="E3499" t="s">
        <v>12</v>
      </c>
      <c r="F3499">
        <v>3854283</v>
      </c>
      <c r="G3499">
        <v>3854320</v>
      </c>
      <c r="H3499">
        <v>3854283</v>
      </c>
      <c r="I3499">
        <v>3854320</v>
      </c>
    </row>
    <row r="3500" spans="1:9" x14ac:dyDescent="0.2">
      <c r="A3500" t="str">
        <f>"Cd209f"</f>
        <v>Cd209f</v>
      </c>
      <c r="B3500" t="s">
        <v>14</v>
      </c>
      <c r="C3500" t="s">
        <v>30</v>
      </c>
      <c r="D3500" t="s">
        <v>11</v>
      </c>
      <c r="E3500" t="s">
        <v>12</v>
      </c>
      <c r="F3500">
        <v>4105758</v>
      </c>
      <c r="G3500">
        <v>4105765</v>
      </c>
      <c r="H3500">
        <v>4105758</v>
      </c>
      <c r="I3500">
        <v>4105765</v>
      </c>
    </row>
    <row r="3501" spans="1:9" x14ac:dyDescent="0.2">
      <c r="A3501" t="str">
        <f>"Cd209g"</f>
        <v>Cd209g</v>
      </c>
      <c r="B3501" t="s">
        <v>2275</v>
      </c>
      <c r="C3501" t="s">
        <v>30</v>
      </c>
      <c r="D3501" t="s">
        <v>17</v>
      </c>
      <c r="E3501" t="s">
        <v>20</v>
      </c>
      <c r="F3501">
        <v>4134732</v>
      </c>
      <c r="G3501">
        <v>4134732</v>
      </c>
      <c r="H3501">
        <v>4134732</v>
      </c>
      <c r="I3501">
        <v>4134732</v>
      </c>
    </row>
    <row r="3502" spans="1:9" x14ac:dyDescent="0.2">
      <c r="A3502" t="str">
        <f>"Cd22"</f>
        <v>Cd22</v>
      </c>
      <c r="B3502" t="s">
        <v>14</v>
      </c>
      <c r="C3502" t="s">
        <v>33</v>
      </c>
      <c r="D3502" t="s">
        <v>11</v>
      </c>
      <c r="E3502" t="s">
        <v>12</v>
      </c>
      <c r="F3502">
        <v>30880263</v>
      </c>
      <c r="G3502">
        <v>30880290</v>
      </c>
      <c r="H3502">
        <v>30880263</v>
      </c>
      <c r="I3502">
        <v>30880290</v>
      </c>
    </row>
    <row r="3503" spans="1:9" x14ac:dyDescent="0.2">
      <c r="A3503" t="str">
        <f>"Cd226"</f>
        <v>Cd226</v>
      </c>
      <c r="B3503" t="s">
        <v>9</v>
      </c>
      <c r="C3503" t="s">
        <v>43</v>
      </c>
      <c r="D3503" t="s">
        <v>17</v>
      </c>
      <c r="E3503" t="s">
        <v>12</v>
      </c>
      <c r="F3503">
        <v>89197421</v>
      </c>
      <c r="G3503">
        <v>89197445</v>
      </c>
      <c r="H3503">
        <v>89197421</v>
      </c>
      <c r="I3503">
        <v>89197445</v>
      </c>
    </row>
    <row r="3504" spans="1:9" x14ac:dyDescent="0.2">
      <c r="A3504" t="str">
        <f>"Cd226"</f>
        <v>Cd226</v>
      </c>
      <c r="B3504" t="s">
        <v>13</v>
      </c>
      <c r="C3504" t="s">
        <v>43</v>
      </c>
      <c r="D3504" t="s">
        <v>17</v>
      </c>
      <c r="E3504" t="s">
        <v>12</v>
      </c>
      <c r="F3504">
        <v>89176965</v>
      </c>
      <c r="G3504">
        <v>89176989</v>
      </c>
      <c r="H3504">
        <v>89176965</v>
      </c>
      <c r="I3504">
        <v>89176989</v>
      </c>
    </row>
    <row r="3505" spans="1:9" x14ac:dyDescent="0.2">
      <c r="A3505" t="str">
        <f>"Cd244"</f>
        <v>Cd244</v>
      </c>
      <c r="B3505" t="s">
        <v>14</v>
      </c>
      <c r="C3505" t="s">
        <v>19</v>
      </c>
      <c r="D3505" t="s">
        <v>17</v>
      </c>
      <c r="E3505" t="s">
        <v>12</v>
      </c>
      <c r="F3505">
        <v>171559243</v>
      </c>
      <c r="G3505">
        <v>171559274</v>
      </c>
      <c r="H3505">
        <v>171559186</v>
      </c>
      <c r="I3505">
        <v>171559205</v>
      </c>
    </row>
    <row r="3506" spans="1:9" x14ac:dyDescent="0.2">
      <c r="A3506" t="str">
        <f>"Cd247"</f>
        <v>Cd247</v>
      </c>
      <c r="B3506" t="s">
        <v>14</v>
      </c>
      <c r="C3506" t="s">
        <v>19</v>
      </c>
      <c r="D3506" t="s">
        <v>17</v>
      </c>
      <c r="E3506" t="s">
        <v>12</v>
      </c>
      <c r="F3506">
        <v>165788746</v>
      </c>
      <c r="G3506">
        <v>165788769</v>
      </c>
      <c r="H3506">
        <v>165788746</v>
      </c>
      <c r="I3506">
        <v>165788769</v>
      </c>
    </row>
    <row r="3507" spans="1:9" x14ac:dyDescent="0.2">
      <c r="A3507" t="str">
        <f>"Cd248"</f>
        <v>Cd248</v>
      </c>
      <c r="B3507" t="s">
        <v>14</v>
      </c>
      <c r="C3507" t="s">
        <v>10</v>
      </c>
      <c r="D3507" t="s">
        <v>17</v>
      </c>
      <c r="E3507" t="s">
        <v>12</v>
      </c>
      <c r="F3507">
        <v>5068101</v>
      </c>
      <c r="G3507">
        <v>5068115</v>
      </c>
      <c r="H3507">
        <v>5068087</v>
      </c>
      <c r="I3507">
        <v>5068098</v>
      </c>
    </row>
    <row r="3508" spans="1:9" x14ac:dyDescent="0.2">
      <c r="A3508" t="str">
        <f>"Cd24a"</f>
        <v>Cd24a</v>
      </c>
      <c r="B3508" t="s">
        <v>14</v>
      </c>
      <c r="C3508" t="s">
        <v>15</v>
      </c>
      <c r="D3508" t="s">
        <v>17</v>
      </c>
      <c r="E3508" t="s">
        <v>12</v>
      </c>
      <c r="F3508">
        <v>43579161</v>
      </c>
      <c r="G3508">
        <v>43579178</v>
      </c>
      <c r="H3508">
        <v>43578729</v>
      </c>
      <c r="I3508">
        <v>43578733</v>
      </c>
    </row>
    <row r="3509" spans="1:9" x14ac:dyDescent="0.2">
      <c r="A3509" t="str">
        <f>"Cd27"</f>
        <v>Cd27</v>
      </c>
      <c r="B3509" t="s">
        <v>14</v>
      </c>
      <c r="C3509" t="s">
        <v>32</v>
      </c>
      <c r="D3509" t="s">
        <v>11</v>
      </c>
      <c r="E3509" t="s">
        <v>12</v>
      </c>
      <c r="F3509">
        <v>125236996</v>
      </c>
      <c r="G3509">
        <v>125237025</v>
      </c>
      <c r="H3509">
        <v>125236974</v>
      </c>
      <c r="I3509">
        <v>125236993</v>
      </c>
    </row>
    <row r="3510" spans="1:9" x14ac:dyDescent="0.2">
      <c r="A3510" t="str">
        <f>"Cd274"</f>
        <v>Cd274</v>
      </c>
      <c r="B3510" t="s">
        <v>14</v>
      </c>
      <c r="C3510" t="s">
        <v>10</v>
      </c>
      <c r="D3510" t="s">
        <v>17</v>
      </c>
      <c r="E3510" t="s">
        <v>12</v>
      </c>
      <c r="F3510">
        <v>29367447</v>
      </c>
      <c r="G3510">
        <v>29367468</v>
      </c>
      <c r="H3510">
        <v>29367136</v>
      </c>
      <c r="I3510">
        <v>29367172</v>
      </c>
    </row>
    <row r="3511" spans="1:9" x14ac:dyDescent="0.2">
      <c r="A3511" t="str">
        <f>"Cd276"</f>
        <v>Cd276</v>
      </c>
      <c r="B3511" t="s">
        <v>14</v>
      </c>
      <c r="C3511" t="s">
        <v>24</v>
      </c>
      <c r="D3511" t="s">
        <v>11</v>
      </c>
      <c r="E3511" t="s">
        <v>12</v>
      </c>
      <c r="F3511">
        <v>58555081</v>
      </c>
      <c r="G3511">
        <v>58555127</v>
      </c>
      <c r="H3511">
        <v>58555129</v>
      </c>
      <c r="I3511">
        <v>58555143</v>
      </c>
    </row>
    <row r="3512" spans="1:9" x14ac:dyDescent="0.2">
      <c r="A3512" t="str">
        <f>"Cd28"</f>
        <v>Cd28</v>
      </c>
      <c r="B3512" t="s">
        <v>14</v>
      </c>
      <c r="C3512" t="s">
        <v>19</v>
      </c>
      <c r="D3512" t="s">
        <v>17</v>
      </c>
      <c r="E3512" t="s">
        <v>12</v>
      </c>
      <c r="F3512">
        <v>60746367</v>
      </c>
      <c r="G3512">
        <v>60746427</v>
      </c>
      <c r="H3512">
        <v>60746429</v>
      </c>
      <c r="I3512">
        <v>60746477</v>
      </c>
    </row>
    <row r="3513" spans="1:9" x14ac:dyDescent="0.2">
      <c r="A3513" t="str">
        <f>"Cd2ap"</f>
        <v>Cd2ap</v>
      </c>
      <c r="B3513" t="s">
        <v>14</v>
      </c>
      <c r="C3513" t="s">
        <v>28</v>
      </c>
      <c r="D3513" t="s">
        <v>11</v>
      </c>
      <c r="E3513" t="s">
        <v>12</v>
      </c>
      <c r="F3513">
        <v>42876616</v>
      </c>
      <c r="G3513">
        <v>42876676</v>
      </c>
      <c r="H3513">
        <v>42876678</v>
      </c>
      <c r="I3513">
        <v>42876692</v>
      </c>
    </row>
    <row r="3514" spans="1:9" x14ac:dyDescent="0.2">
      <c r="A3514" t="str">
        <f>"Cd2bp2"</f>
        <v>Cd2bp2</v>
      </c>
      <c r="B3514" t="s">
        <v>14</v>
      </c>
      <c r="C3514" t="s">
        <v>33</v>
      </c>
      <c r="D3514" t="s">
        <v>11</v>
      </c>
      <c r="E3514" t="s">
        <v>12</v>
      </c>
      <c r="F3514">
        <v>127195925</v>
      </c>
      <c r="G3514">
        <v>127196006</v>
      </c>
      <c r="H3514">
        <v>127196049</v>
      </c>
      <c r="I3514">
        <v>127196058</v>
      </c>
    </row>
    <row r="3515" spans="1:9" x14ac:dyDescent="0.2">
      <c r="A3515" t="str">
        <f>"Cd300a"</f>
        <v>Cd300a</v>
      </c>
      <c r="B3515" t="s">
        <v>14</v>
      </c>
      <c r="C3515" t="s">
        <v>27</v>
      </c>
      <c r="D3515" t="s">
        <v>17</v>
      </c>
      <c r="E3515" t="s">
        <v>12</v>
      </c>
      <c r="F3515">
        <v>114890272</v>
      </c>
      <c r="G3515">
        <v>114890370</v>
      </c>
      <c r="H3515">
        <v>114890189</v>
      </c>
      <c r="I3515">
        <v>114890221</v>
      </c>
    </row>
    <row r="3516" spans="1:9" x14ac:dyDescent="0.2">
      <c r="A3516" t="str">
        <f>"Cd300c"</f>
        <v>Cd300c</v>
      </c>
      <c r="B3516" t="s">
        <v>14</v>
      </c>
      <c r="C3516" t="s">
        <v>27</v>
      </c>
      <c r="D3516" t="s">
        <v>11</v>
      </c>
      <c r="E3516" t="s">
        <v>12</v>
      </c>
      <c r="F3516">
        <v>114960491</v>
      </c>
      <c r="G3516">
        <v>114960509</v>
      </c>
      <c r="H3516">
        <v>114960463</v>
      </c>
      <c r="I3516">
        <v>114960474</v>
      </c>
    </row>
    <row r="3517" spans="1:9" x14ac:dyDescent="0.2">
      <c r="A3517" t="str">
        <f>"Cd300e"</f>
        <v>Cd300e</v>
      </c>
      <c r="B3517" t="s">
        <v>14</v>
      </c>
      <c r="C3517" t="s">
        <v>27</v>
      </c>
      <c r="D3517" t="s">
        <v>11</v>
      </c>
      <c r="E3517" t="s">
        <v>12</v>
      </c>
      <c r="F3517">
        <v>115062112</v>
      </c>
      <c r="G3517">
        <v>115062142</v>
      </c>
      <c r="H3517">
        <v>115062163</v>
      </c>
      <c r="I3517">
        <v>115062164</v>
      </c>
    </row>
    <row r="3518" spans="1:9" x14ac:dyDescent="0.2">
      <c r="A3518" t="str">
        <f>"Cd300lb"</f>
        <v>Cd300lb</v>
      </c>
      <c r="B3518" t="s">
        <v>14</v>
      </c>
      <c r="C3518" t="s">
        <v>27</v>
      </c>
      <c r="D3518" t="s">
        <v>11</v>
      </c>
      <c r="E3518" t="s">
        <v>12</v>
      </c>
      <c r="F3518">
        <v>114934351</v>
      </c>
      <c r="G3518">
        <v>114934377</v>
      </c>
      <c r="H3518">
        <v>114934292</v>
      </c>
      <c r="I3518">
        <v>114934299</v>
      </c>
    </row>
    <row r="3519" spans="1:9" x14ac:dyDescent="0.2">
      <c r="A3519" t="str">
        <f>"Cd300ld"</f>
        <v>Cd300ld</v>
      </c>
      <c r="B3519" t="s">
        <v>14</v>
      </c>
      <c r="C3519" t="s">
        <v>27</v>
      </c>
      <c r="D3519" t="s">
        <v>11</v>
      </c>
      <c r="E3519" t="s">
        <v>12</v>
      </c>
      <c r="F3519">
        <v>114989854</v>
      </c>
      <c r="G3519">
        <v>114989919</v>
      </c>
      <c r="H3519">
        <v>114989854</v>
      </c>
      <c r="I3519">
        <v>114989919</v>
      </c>
    </row>
    <row r="3520" spans="1:9" x14ac:dyDescent="0.2">
      <c r="A3520" t="str">
        <f>"Cd300lf"</f>
        <v>Cd300lf</v>
      </c>
      <c r="B3520" t="s">
        <v>14</v>
      </c>
      <c r="C3520" t="s">
        <v>27</v>
      </c>
      <c r="D3520" t="s">
        <v>11</v>
      </c>
      <c r="E3520" t="s">
        <v>12</v>
      </c>
      <c r="F3520">
        <v>115133981</v>
      </c>
      <c r="G3520">
        <v>115133996</v>
      </c>
      <c r="H3520">
        <v>115133928</v>
      </c>
      <c r="I3520">
        <v>115133949</v>
      </c>
    </row>
    <row r="3521" spans="1:9" x14ac:dyDescent="0.2">
      <c r="A3521" t="str">
        <f>"Cd300lg"</f>
        <v>Cd300lg</v>
      </c>
      <c r="B3521" t="s">
        <v>14</v>
      </c>
      <c r="C3521" t="s">
        <v>27</v>
      </c>
      <c r="D3521" t="s">
        <v>17</v>
      </c>
      <c r="E3521" t="s">
        <v>12</v>
      </c>
      <c r="F3521">
        <v>102041532</v>
      </c>
      <c r="G3521">
        <v>102041581</v>
      </c>
      <c r="H3521">
        <v>102041520</v>
      </c>
      <c r="I3521">
        <v>102041531</v>
      </c>
    </row>
    <row r="3522" spans="1:9" x14ac:dyDescent="0.2">
      <c r="A3522" t="str">
        <f>"Cd300lh"</f>
        <v>Cd300lh</v>
      </c>
      <c r="B3522" t="s">
        <v>14</v>
      </c>
      <c r="C3522" t="s">
        <v>27</v>
      </c>
      <c r="D3522" t="s">
        <v>11</v>
      </c>
      <c r="E3522" t="s">
        <v>12</v>
      </c>
      <c r="F3522">
        <v>115048328</v>
      </c>
      <c r="G3522">
        <v>115048371</v>
      </c>
      <c r="H3522">
        <v>115048372</v>
      </c>
      <c r="I3522">
        <v>115048399</v>
      </c>
    </row>
    <row r="3523" spans="1:9" x14ac:dyDescent="0.2">
      <c r="A3523" t="str">
        <f>"Cd302"</f>
        <v>Cd302</v>
      </c>
      <c r="B3523" t="s">
        <v>14</v>
      </c>
      <c r="C3523" t="s">
        <v>26</v>
      </c>
      <c r="D3523" t="s">
        <v>11</v>
      </c>
      <c r="E3523" t="s">
        <v>12</v>
      </c>
      <c r="F3523">
        <v>60284098</v>
      </c>
      <c r="G3523">
        <v>60284159</v>
      </c>
      <c r="H3523">
        <v>60284098</v>
      </c>
      <c r="I3523">
        <v>60284159</v>
      </c>
    </row>
    <row r="3524" spans="1:9" x14ac:dyDescent="0.2">
      <c r="A3524" t="str">
        <f>"Cd320"</f>
        <v>Cd320</v>
      </c>
      <c r="B3524" t="s">
        <v>14</v>
      </c>
      <c r="C3524" t="s">
        <v>28</v>
      </c>
      <c r="D3524" t="s">
        <v>17</v>
      </c>
      <c r="E3524" t="s">
        <v>12</v>
      </c>
      <c r="F3524">
        <v>33843085</v>
      </c>
      <c r="G3524">
        <v>33843129</v>
      </c>
      <c r="H3524">
        <v>33843137</v>
      </c>
      <c r="I3524">
        <v>33843156</v>
      </c>
    </row>
    <row r="3525" spans="1:9" x14ac:dyDescent="0.2">
      <c r="A3525" t="str">
        <f>"Cd33"</f>
        <v>Cd33</v>
      </c>
      <c r="B3525" t="s">
        <v>14</v>
      </c>
      <c r="C3525" t="s">
        <v>33</v>
      </c>
      <c r="D3525" t="s">
        <v>11</v>
      </c>
      <c r="E3525" t="s">
        <v>12</v>
      </c>
      <c r="F3525">
        <v>43533081</v>
      </c>
      <c r="G3525">
        <v>43533131</v>
      </c>
      <c r="H3525">
        <v>43533081</v>
      </c>
      <c r="I3525">
        <v>43533131</v>
      </c>
    </row>
    <row r="3526" spans="1:9" x14ac:dyDescent="0.2">
      <c r="A3526" t="str">
        <f>"Cd34"</f>
        <v>Cd34</v>
      </c>
      <c r="B3526" t="s">
        <v>14</v>
      </c>
      <c r="C3526" t="s">
        <v>19</v>
      </c>
      <c r="D3526" t="s">
        <v>17</v>
      </c>
      <c r="E3526" t="s">
        <v>12</v>
      </c>
      <c r="F3526">
        <v>194938870</v>
      </c>
      <c r="G3526">
        <v>194938968</v>
      </c>
      <c r="H3526">
        <v>194938870</v>
      </c>
      <c r="I3526">
        <v>194938968</v>
      </c>
    </row>
    <row r="3527" spans="1:9" x14ac:dyDescent="0.2">
      <c r="A3527" t="str">
        <f>"Cd36"</f>
        <v>Cd36</v>
      </c>
      <c r="B3527" t="s">
        <v>14</v>
      </c>
      <c r="C3527" t="s">
        <v>46</v>
      </c>
      <c r="D3527" t="s">
        <v>11</v>
      </c>
      <c r="E3527" t="s">
        <v>12</v>
      </c>
      <c r="F3527">
        <v>17835649</v>
      </c>
      <c r="G3527">
        <v>17835709</v>
      </c>
      <c r="H3527">
        <v>17835649</v>
      </c>
      <c r="I3527">
        <v>17835709</v>
      </c>
    </row>
    <row r="3528" spans="1:9" x14ac:dyDescent="0.2">
      <c r="A3528" t="str">
        <f>"Cd37"</f>
        <v>Cd37</v>
      </c>
      <c r="B3528" t="s">
        <v>14</v>
      </c>
      <c r="C3528" t="s">
        <v>33</v>
      </c>
      <c r="D3528" t="s">
        <v>11</v>
      </c>
      <c r="E3528" t="s">
        <v>12</v>
      </c>
      <c r="F3528">
        <v>45238794</v>
      </c>
      <c r="G3528">
        <v>45238864</v>
      </c>
      <c r="H3528">
        <v>45239068</v>
      </c>
      <c r="I3528">
        <v>45239103</v>
      </c>
    </row>
    <row r="3529" spans="1:9" x14ac:dyDescent="0.2">
      <c r="A3529" t="str">
        <f>"Cd38"</f>
        <v>Cd38</v>
      </c>
      <c r="B3529" t="s">
        <v>14</v>
      </c>
      <c r="C3529" t="s">
        <v>46</v>
      </c>
      <c r="D3529" t="s">
        <v>17</v>
      </c>
      <c r="E3529" t="s">
        <v>12</v>
      </c>
      <c r="F3529">
        <v>43868802</v>
      </c>
      <c r="G3529">
        <v>43868866</v>
      </c>
      <c r="H3529">
        <v>43868802</v>
      </c>
      <c r="I3529">
        <v>43868866</v>
      </c>
    </row>
    <row r="3530" spans="1:9" x14ac:dyDescent="0.2">
      <c r="A3530" t="str">
        <f>"Cd3d"</f>
        <v>Cd3d</v>
      </c>
      <c r="B3530" t="s">
        <v>14</v>
      </c>
      <c r="C3530" t="s">
        <v>24</v>
      </c>
      <c r="D3530" t="s">
        <v>17</v>
      </c>
      <c r="E3530" t="s">
        <v>12</v>
      </c>
      <c r="F3530">
        <v>44981801</v>
      </c>
      <c r="G3530">
        <v>44981834</v>
      </c>
      <c r="H3530">
        <v>44981847</v>
      </c>
      <c r="I3530">
        <v>44981864</v>
      </c>
    </row>
    <row r="3531" spans="1:9" x14ac:dyDescent="0.2">
      <c r="A3531" t="str">
        <f>"Cd3e"</f>
        <v>Cd3e</v>
      </c>
      <c r="B3531" t="s">
        <v>14</v>
      </c>
      <c r="C3531" t="s">
        <v>24</v>
      </c>
      <c r="D3531" t="s">
        <v>11</v>
      </c>
      <c r="E3531" t="s">
        <v>12</v>
      </c>
      <c r="F3531">
        <v>45009599</v>
      </c>
      <c r="G3531">
        <v>45009645</v>
      </c>
      <c r="H3531">
        <v>45009599</v>
      </c>
      <c r="I3531">
        <v>45009645</v>
      </c>
    </row>
    <row r="3532" spans="1:9" x14ac:dyDescent="0.2">
      <c r="A3532" t="str">
        <f>"Cd3eap"</f>
        <v>Cd3eap</v>
      </c>
      <c r="B3532" t="s">
        <v>14</v>
      </c>
      <c r="C3532" t="s">
        <v>33</v>
      </c>
      <c r="D3532" t="s">
        <v>11</v>
      </c>
      <c r="E3532" t="s">
        <v>12</v>
      </c>
      <c r="F3532">
        <v>19359416</v>
      </c>
      <c r="G3532">
        <v>19359476</v>
      </c>
      <c r="H3532">
        <v>19359477</v>
      </c>
      <c r="I3532">
        <v>19359488</v>
      </c>
    </row>
    <row r="3533" spans="1:9" x14ac:dyDescent="0.2">
      <c r="A3533" t="str">
        <f>"Cd3g"</f>
        <v>Cd3g</v>
      </c>
      <c r="B3533" t="s">
        <v>14</v>
      </c>
      <c r="C3533" t="s">
        <v>24</v>
      </c>
      <c r="D3533" t="s">
        <v>11</v>
      </c>
      <c r="E3533" t="s">
        <v>12</v>
      </c>
      <c r="F3533">
        <v>44980390</v>
      </c>
      <c r="G3533">
        <v>44980437</v>
      </c>
      <c r="H3533">
        <v>44980342</v>
      </c>
      <c r="I3533">
        <v>44980369</v>
      </c>
    </row>
    <row r="3534" spans="1:9" x14ac:dyDescent="0.2">
      <c r="A3534" t="str">
        <f>"Cd4"</f>
        <v>Cd4</v>
      </c>
      <c r="B3534" t="s">
        <v>14</v>
      </c>
      <c r="C3534" t="s">
        <v>32</v>
      </c>
      <c r="D3534" t="s">
        <v>11</v>
      </c>
      <c r="E3534" t="s">
        <v>12</v>
      </c>
      <c r="F3534">
        <v>124888192</v>
      </c>
      <c r="G3534">
        <v>124888217</v>
      </c>
      <c r="H3534">
        <v>124888165</v>
      </c>
      <c r="I3534">
        <v>124888181</v>
      </c>
    </row>
    <row r="3535" spans="1:9" x14ac:dyDescent="0.2">
      <c r="A3535" t="str">
        <f>"Cd40"</f>
        <v>Cd40</v>
      </c>
      <c r="B3535" t="s">
        <v>14</v>
      </c>
      <c r="C3535" t="s">
        <v>26</v>
      </c>
      <c r="D3535" t="s">
        <v>17</v>
      </c>
      <c r="E3535" t="s">
        <v>12</v>
      </c>
      <c r="F3535">
        <v>165055625</v>
      </c>
      <c r="G3535">
        <v>165055661</v>
      </c>
      <c r="H3535">
        <v>165055668</v>
      </c>
      <c r="I3535">
        <v>165055690</v>
      </c>
    </row>
    <row r="3536" spans="1:9" x14ac:dyDescent="0.2">
      <c r="A3536" t="str">
        <f>"Cd40lg"</f>
        <v>Cd40lg</v>
      </c>
      <c r="B3536" t="s">
        <v>14</v>
      </c>
      <c r="C3536" t="s">
        <v>37</v>
      </c>
      <c r="D3536" t="s">
        <v>17</v>
      </c>
      <c r="E3536" t="s">
        <v>12</v>
      </c>
      <c r="F3536">
        <v>57212077</v>
      </c>
      <c r="G3536">
        <v>57212097</v>
      </c>
      <c r="H3536">
        <v>57212110</v>
      </c>
      <c r="I3536">
        <v>57212141</v>
      </c>
    </row>
    <row r="3537" spans="1:9" x14ac:dyDescent="0.2">
      <c r="A3537" t="str">
        <f>"Cd44"</f>
        <v>Cd44</v>
      </c>
      <c r="B3537" t="s">
        <v>14</v>
      </c>
      <c r="C3537" t="s">
        <v>26</v>
      </c>
      <c r="D3537" t="s">
        <v>11</v>
      </c>
      <c r="E3537" t="s">
        <v>12</v>
      </c>
      <c r="F3537">
        <v>102901449</v>
      </c>
      <c r="G3537">
        <v>102901465</v>
      </c>
      <c r="H3537">
        <v>102901449</v>
      </c>
      <c r="I3537">
        <v>102901465</v>
      </c>
    </row>
    <row r="3538" spans="1:9" x14ac:dyDescent="0.2">
      <c r="A3538" t="str">
        <f>"Cd46"</f>
        <v>Cd46</v>
      </c>
      <c r="B3538" t="s">
        <v>14</v>
      </c>
      <c r="C3538" t="s">
        <v>19</v>
      </c>
      <c r="D3538" t="s">
        <v>11</v>
      </c>
      <c r="E3538" t="s">
        <v>12</v>
      </c>
      <c r="F3538">
        <v>195092242</v>
      </c>
      <c r="G3538">
        <v>195092253</v>
      </c>
      <c r="H3538">
        <v>195092294</v>
      </c>
      <c r="I3538">
        <v>195092304</v>
      </c>
    </row>
    <row r="3539" spans="1:9" x14ac:dyDescent="0.2">
      <c r="A3539" t="str">
        <f>"Cd48"</f>
        <v>Cd48</v>
      </c>
      <c r="B3539" t="s">
        <v>14</v>
      </c>
      <c r="C3539" t="s">
        <v>19</v>
      </c>
      <c r="D3539" t="s">
        <v>17</v>
      </c>
      <c r="E3539" t="s">
        <v>12</v>
      </c>
      <c r="F3539">
        <v>171682004</v>
      </c>
      <c r="G3539">
        <v>171682071</v>
      </c>
      <c r="H3539">
        <v>171682077</v>
      </c>
      <c r="I3539">
        <v>171682092</v>
      </c>
    </row>
    <row r="3540" spans="1:9" x14ac:dyDescent="0.2">
      <c r="A3540" t="str">
        <f>"Cd5"</f>
        <v>Cd5</v>
      </c>
      <c r="B3540" t="s">
        <v>14</v>
      </c>
      <c r="C3540" t="s">
        <v>10</v>
      </c>
      <c r="D3540" t="s">
        <v>11</v>
      </c>
      <c r="E3540" t="s">
        <v>12</v>
      </c>
      <c r="F3540">
        <v>10738869</v>
      </c>
      <c r="G3540">
        <v>10738935</v>
      </c>
      <c r="H3540">
        <v>10738939</v>
      </c>
      <c r="I3540">
        <v>10738956</v>
      </c>
    </row>
    <row r="3541" spans="1:9" x14ac:dyDescent="0.2">
      <c r="A3541" t="str">
        <f>"Cd52"</f>
        <v>Cd52</v>
      </c>
      <c r="B3541" t="s">
        <v>14</v>
      </c>
      <c r="C3541" t="s">
        <v>23</v>
      </c>
      <c r="D3541" t="s">
        <v>11</v>
      </c>
      <c r="E3541" t="s">
        <v>12</v>
      </c>
      <c r="F3541">
        <v>134095032</v>
      </c>
      <c r="G3541">
        <v>134095059</v>
      </c>
      <c r="H3541">
        <v>134095078</v>
      </c>
      <c r="I3541">
        <v>134095090</v>
      </c>
    </row>
    <row r="3542" spans="1:9" x14ac:dyDescent="0.2">
      <c r="A3542" t="str">
        <f>"Cd53"</f>
        <v>Cd53</v>
      </c>
      <c r="B3542" t="s">
        <v>14</v>
      </c>
      <c r="C3542" t="s">
        <v>22</v>
      </c>
      <c r="D3542" t="s">
        <v>11</v>
      </c>
      <c r="E3542" t="s">
        <v>12</v>
      </c>
      <c r="F3542">
        <v>106790047</v>
      </c>
      <c r="G3542">
        <v>106790072</v>
      </c>
      <c r="H3542">
        <v>106790003</v>
      </c>
      <c r="I3542">
        <v>106790028</v>
      </c>
    </row>
    <row r="3543" spans="1:9" x14ac:dyDescent="0.2">
      <c r="A3543" t="str">
        <f>"Cd55"</f>
        <v>Cd55</v>
      </c>
      <c r="B3543" t="s">
        <v>14</v>
      </c>
      <c r="C3543" t="s">
        <v>19</v>
      </c>
      <c r="D3543" t="s">
        <v>11</v>
      </c>
      <c r="E3543" t="s">
        <v>12</v>
      </c>
      <c r="F3543">
        <v>130462680</v>
      </c>
      <c r="G3543">
        <v>130462771</v>
      </c>
      <c r="H3543">
        <v>130462470</v>
      </c>
      <c r="I3543">
        <v>130462519</v>
      </c>
    </row>
    <row r="3544" spans="1:9" x14ac:dyDescent="0.2">
      <c r="A3544" t="str">
        <f>"Cd59a"</f>
        <v>Cd59a</v>
      </c>
      <c r="B3544" t="s">
        <v>14</v>
      </c>
      <c r="C3544" t="s">
        <v>26</v>
      </c>
      <c r="D3544" t="s">
        <v>17</v>
      </c>
      <c r="E3544" t="s">
        <v>12</v>
      </c>
      <c r="F3544">
        <v>104095812</v>
      </c>
      <c r="G3544">
        <v>104095879</v>
      </c>
      <c r="H3544">
        <v>104095796</v>
      </c>
      <c r="I3544">
        <v>104095805</v>
      </c>
    </row>
    <row r="3545" spans="1:9" x14ac:dyDescent="0.2">
      <c r="A3545" t="str">
        <f>"Cd59b"</f>
        <v>Cd59b</v>
      </c>
      <c r="B3545" t="s">
        <v>14</v>
      </c>
      <c r="C3545" t="s">
        <v>26</v>
      </c>
      <c r="D3545" t="s">
        <v>17</v>
      </c>
      <c r="E3545" t="s">
        <v>12</v>
      </c>
      <c r="F3545">
        <v>104069819</v>
      </c>
      <c r="G3545">
        <v>104069838</v>
      </c>
      <c r="H3545">
        <v>104069806</v>
      </c>
      <c r="I3545">
        <v>104069816</v>
      </c>
    </row>
    <row r="3546" spans="1:9" x14ac:dyDescent="0.2">
      <c r="A3546" t="str">
        <f>"Cd5l"</f>
        <v>Cd5l</v>
      </c>
      <c r="B3546" t="s">
        <v>14</v>
      </c>
      <c r="C3546" t="s">
        <v>22</v>
      </c>
      <c r="D3546" t="s">
        <v>17</v>
      </c>
      <c r="E3546" t="s">
        <v>12</v>
      </c>
      <c r="F3546">
        <v>87357903</v>
      </c>
      <c r="G3546">
        <v>87357942</v>
      </c>
      <c r="H3546">
        <v>87357874</v>
      </c>
      <c r="I3546">
        <v>87357890</v>
      </c>
    </row>
    <row r="3547" spans="1:9" x14ac:dyDescent="0.2">
      <c r="A3547" t="str">
        <f>"Cd6"</f>
        <v>Cd6</v>
      </c>
      <c r="B3547" t="s">
        <v>14</v>
      </c>
      <c r="C3547" t="s">
        <v>10</v>
      </c>
      <c r="D3547" t="s">
        <v>11</v>
      </c>
      <c r="E3547" t="s">
        <v>12</v>
      </c>
      <c r="F3547">
        <v>10829921</v>
      </c>
      <c r="G3547">
        <v>10830042</v>
      </c>
      <c r="H3547">
        <v>10830045</v>
      </c>
      <c r="I3547">
        <v>10830063</v>
      </c>
    </row>
    <row r="3548" spans="1:9" x14ac:dyDescent="0.2">
      <c r="A3548" t="str">
        <f>"Cd63"</f>
        <v>Cd63</v>
      </c>
      <c r="B3548" t="s">
        <v>14</v>
      </c>
      <c r="C3548" t="s">
        <v>15</v>
      </c>
      <c r="D3548" t="s">
        <v>17</v>
      </c>
      <c r="E3548" t="s">
        <v>12</v>
      </c>
      <c r="F3548">
        <v>128909895</v>
      </c>
      <c r="G3548">
        <v>128909930</v>
      </c>
      <c r="H3548">
        <v>128908996</v>
      </c>
      <c r="I3548">
        <v>128909027</v>
      </c>
    </row>
    <row r="3549" spans="1:9" x14ac:dyDescent="0.2">
      <c r="A3549" t="str">
        <f>"Cd68"</f>
        <v>Cd68</v>
      </c>
      <c r="B3549" t="s">
        <v>14</v>
      </c>
      <c r="C3549" t="s">
        <v>27</v>
      </c>
      <c r="D3549" t="s">
        <v>11</v>
      </c>
      <c r="E3549" t="s">
        <v>12</v>
      </c>
      <c r="F3549">
        <v>69666078</v>
      </c>
      <c r="G3549">
        <v>69666149</v>
      </c>
      <c r="H3549">
        <v>69666078</v>
      </c>
      <c r="I3549">
        <v>69666149</v>
      </c>
    </row>
    <row r="3550" spans="1:9" x14ac:dyDescent="0.2">
      <c r="A3550" t="str">
        <f>"Cd69"</f>
        <v>Cd69</v>
      </c>
      <c r="B3550" t="s">
        <v>14</v>
      </c>
      <c r="C3550" t="s">
        <v>32</v>
      </c>
      <c r="D3550" t="s">
        <v>11</v>
      </c>
      <c r="E3550" t="s">
        <v>12</v>
      </c>
      <c r="F3550">
        <v>129275360</v>
      </c>
      <c r="G3550">
        <v>129275376</v>
      </c>
      <c r="H3550">
        <v>129275360</v>
      </c>
      <c r="I3550">
        <v>129275376</v>
      </c>
    </row>
    <row r="3551" spans="1:9" x14ac:dyDescent="0.2">
      <c r="A3551" t="str">
        <f>"Cd7"</f>
        <v>Cd7</v>
      </c>
      <c r="B3551" t="s">
        <v>14</v>
      </c>
      <c r="C3551" t="s">
        <v>27</v>
      </c>
      <c r="D3551" t="s">
        <v>11</v>
      </c>
      <c r="E3551" t="s">
        <v>12</v>
      </c>
      <c r="F3551">
        <v>121039400</v>
      </c>
      <c r="G3551">
        <v>121039463</v>
      </c>
      <c r="H3551">
        <v>121039400</v>
      </c>
      <c r="I3551">
        <v>121039463</v>
      </c>
    </row>
    <row r="3552" spans="1:9" x14ac:dyDescent="0.2">
      <c r="A3552" t="str">
        <f>"Cd70"</f>
        <v>Cd70</v>
      </c>
      <c r="B3552" t="s">
        <v>14</v>
      </c>
      <c r="C3552" t="s">
        <v>28</v>
      </c>
      <c r="D3552" t="s">
        <v>11</v>
      </c>
      <c r="E3552" t="s">
        <v>12</v>
      </c>
      <c r="F3552">
        <v>57149633</v>
      </c>
      <c r="G3552">
        <v>57149637</v>
      </c>
      <c r="H3552">
        <v>57149796</v>
      </c>
      <c r="I3552">
        <v>57149798</v>
      </c>
    </row>
    <row r="3553" spans="1:9" x14ac:dyDescent="0.2">
      <c r="A3553" t="str">
        <f>"Cd72"</f>
        <v>Cd72</v>
      </c>
      <c r="B3553" t="s">
        <v>14</v>
      </c>
      <c r="C3553" t="s">
        <v>23</v>
      </c>
      <c r="D3553" t="s">
        <v>11</v>
      </c>
      <c r="E3553" t="s">
        <v>12</v>
      </c>
      <c r="F3553">
        <v>43454600</v>
      </c>
      <c r="G3553">
        <v>43454635</v>
      </c>
      <c r="H3553">
        <v>43454564</v>
      </c>
      <c r="I3553">
        <v>43454576</v>
      </c>
    </row>
    <row r="3554" spans="1:9" x14ac:dyDescent="0.2">
      <c r="A3554" t="str">
        <f>"Cd74"</f>
        <v>Cd74</v>
      </c>
      <c r="B3554" t="s">
        <v>14</v>
      </c>
      <c r="C3554" t="s">
        <v>43</v>
      </c>
      <c r="D3554" t="s">
        <v>17</v>
      </c>
      <c r="E3554" t="s">
        <v>12</v>
      </c>
      <c r="F3554">
        <v>60803838</v>
      </c>
      <c r="G3554">
        <v>60803856</v>
      </c>
      <c r="H3554">
        <v>60803857</v>
      </c>
      <c r="I3554">
        <v>60803868</v>
      </c>
    </row>
    <row r="3555" spans="1:9" x14ac:dyDescent="0.2">
      <c r="A3555" t="str">
        <f>"Cd79a"</f>
        <v>Cd79a</v>
      </c>
      <c r="B3555" t="s">
        <v>14</v>
      </c>
      <c r="C3555" t="s">
        <v>33</v>
      </c>
      <c r="D3555" t="s">
        <v>17</v>
      </c>
      <c r="E3555" t="s">
        <v>12</v>
      </c>
      <c r="F3555">
        <v>24897489</v>
      </c>
      <c r="G3555">
        <v>24897516</v>
      </c>
      <c r="H3555">
        <v>24897489</v>
      </c>
      <c r="I3555">
        <v>24897516</v>
      </c>
    </row>
    <row r="3556" spans="1:9" x14ac:dyDescent="0.2">
      <c r="A3556" t="str">
        <f>"Cd79b"</f>
        <v>Cd79b</v>
      </c>
      <c r="B3556" t="s">
        <v>14</v>
      </c>
      <c r="C3556" t="s">
        <v>27</v>
      </c>
      <c r="D3556" t="s">
        <v>11</v>
      </c>
      <c r="E3556" t="s">
        <v>12</v>
      </c>
      <c r="F3556">
        <v>106314494</v>
      </c>
      <c r="G3556">
        <v>106314577</v>
      </c>
      <c r="H3556">
        <v>106314494</v>
      </c>
      <c r="I3556">
        <v>106314577</v>
      </c>
    </row>
    <row r="3557" spans="1:9" x14ac:dyDescent="0.2">
      <c r="A3557" t="str">
        <f>"Cd80"</f>
        <v>Cd80</v>
      </c>
      <c r="B3557" t="s">
        <v>14</v>
      </c>
      <c r="C3557" t="s">
        <v>31</v>
      </c>
      <c r="D3557" t="s">
        <v>17</v>
      </c>
      <c r="E3557" t="s">
        <v>12</v>
      </c>
      <c r="F3557">
        <v>38458887</v>
      </c>
      <c r="G3557">
        <v>38458911</v>
      </c>
      <c r="H3557">
        <v>38458887</v>
      </c>
      <c r="I3557">
        <v>38458911</v>
      </c>
    </row>
    <row r="3558" spans="1:9" x14ac:dyDescent="0.2">
      <c r="A3558" t="str">
        <f>"Cd81"</f>
        <v>Cd81</v>
      </c>
      <c r="B3558" t="s">
        <v>14</v>
      </c>
      <c r="C3558" t="s">
        <v>33</v>
      </c>
      <c r="D3558" t="s">
        <v>17</v>
      </c>
      <c r="E3558" t="s">
        <v>12</v>
      </c>
      <c r="F3558">
        <v>143052776</v>
      </c>
      <c r="G3558">
        <v>143052797</v>
      </c>
      <c r="H3558">
        <v>143052752</v>
      </c>
      <c r="I3558">
        <v>143052763</v>
      </c>
    </row>
    <row r="3559" spans="1:9" x14ac:dyDescent="0.2">
      <c r="A3559" t="str">
        <f>"Cd82"</f>
        <v>Cd82</v>
      </c>
      <c r="B3559" t="s">
        <v>14</v>
      </c>
      <c r="C3559" t="s">
        <v>26</v>
      </c>
      <c r="D3559" t="s">
        <v>11</v>
      </c>
      <c r="E3559" t="s">
        <v>12</v>
      </c>
      <c r="F3559">
        <v>93462389</v>
      </c>
      <c r="G3559">
        <v>93462435</v>
      </c>
      <c r="H3559">
        <v>93462457</v>
      </c>
      <c r="I3559">
        <v>93462494</v>
      </c>
    </row>
    <row r="3560" spans="1:9" x14ac:dyDescent="0.2">
      <c r="A3560" t="str">
        <f>"Cd83"</f>
        <v>Cd83</v>
      </c>
      <c r="B3560" t="s">
        <v>14</v>
      </c>
      <c r="C3560" t="s">
        <v>39</v>
      </c>
      <c r="D3560" t="s">
        <v>17</v>
      </c>
      <c r="E3560" t="s">
        <v>12</v>
      </c>
      <c r="F3560">
        <v>43785168</v>
      </c>
      <c r="G3560">
        <v>43785203</v>
      </c>
      <c r="H3560">
        <v>43785140</v>
      </c>
      <c r="I3560">
        <v>43785160</v>
      </c>
    </row>
    <row r="3561" spans="1:9" x14ac:dyDescent="0.2">
      <c r="A3561" t="str">
        <f>"Cd84"</f>
        <v>Cd84</v>
      </c>
      <c r="B3561" t="s">
        <v>14</v>
      </c>
      <c r="C3561" t="s">
        <v>19</v>
      </c>
      <c r="D3561" t="s">
        <v>17</v>
      </c>
      <c r="E3561" t="s">
        <v>12</v>
      </c>
      <c r="F3561">
        <v>171840607</v>
      </c>
      <c r="G3561">
        <v>171840641</v>
      </c>
      <c r="H3561">
        <v>171840572</v>
      </c>
      <c r="I3561">
        <v>171840598</v>
      </c>
    </row>
    <row r="3562" spans="1:9" x14ac:dyDescent="0.2">
      <c r="A3562" t="str">
        <f>"Cd86"</f>
        <v>Cd86</v>
      </c>
      <c r="B3562" t="s">
        <v>14</v>
      </c>
      <c r="C3562" t="s">
        <v>31</v>
      </c>
      <c r="D3562" t="s">
        <v>11</v>
      </c>
      <c r="E3562" t="s">
        <v>12</v>
      </c>
      <c r="F3562">
        <v>36666067</v>
      </c>
      <c r="G3562">
        <v>36666086</v>
      </c>
      <c r="H3562">
        <v>36666044</v>
      </c>
      <c r="I3562">
        <v>36666055</v>
      </c>
    </row>
    <row r="3563" spans="1:9" x14ac:dyDescent="0.2">
      <c r="A3563" t="str">
        <f>"Cd8a"</f>
        <v>Cd8a</v>
      </c>
      <c r="B3563" t="s">
        <v>14</v>
      </c>
      <c r="C3563" t="s">
        <v>32</v>
      </c>
      <c r="D3563" t="s">
        <v>17</v>
      </c>
      <c r="E3563" t="s">
        <v>12</v>
      </c>
      <c r="F3563">
        <v>71373494</v>
      </c>
      <c r="G3563">
        <v>71373584</v>
      </c>
      <c r="H3563">
        <v>71373400</v>
      </c>
      <c r="I3563">
        <v>71373465</v>
      </c>
    </row>
    <row r="3564" spans="1:9" x14ac:dyDescent="0.2">
      <c r="A3564" t="str">
        <f>"Cd8b1"</f>
        <v>Cd8b1</v>
      </c>
      <c r="B3564" t="s">
        <v>14</v>
      </c>
      <c r="C3564" t="s">
        <v>32</v>
      </c>
      <c r="D3564" t="s">
        <v>17</v>
      </c>
      <c r="E3564" t="s">
        <v>12</v>
      </c>
      <c r="F3564">
        <v>71322775</v>
      </c>
      <c r="G3564">
        <v>71322844</v>
      </c>
      <c r="H3564">
        <v>71322775</v>
      </c>
      <c r="I3564">
        <v>71322844</v>
      </c>
    </row>
    <row r="3565" spans="1:9" x14ac:dyDescent="0.2">
      <c r="A3565" t="str">
        <f>"Cd9"</f>
        <v>Cd9</v>
      </c>
      <c r="B3565" t="s">
        <v>14</v>
      </c>
      <c r="C3565" t="s">
        <v>32</v>
      </c>
      <c r="D3565" t="s">
        <v>11</v>
      </c>
      <c r="E3565" t="s">
        <v>12</v>
      </c>
      <c r="F3565">
        <v>125494706</v>
      </c>
      <c r="G3565">
        <v>125494748</v>
      </c>
      <c r="H3565">
        <v>125494754</v>
      </c>
      <c r="I3565">
        <v>125494765</v>
      </c>
    </row>
    <row r="3566" spans="1:9" x14ac:dyDescent="0.2">
      <c r="A3566" t="str">
        <f>"Cd93"</f>
        <v>Cd93</v>
      </c>
      <c r="B3566" t="s">
        <v>14</v>
      </c>
      <c r="C3566" t="s">
        <v>26</v>
      </c>
      <c r="D3566" t="s">
        <v>11</v>
      </c>
      <c r="E3566" t="s">
        <v>12</v>
      </c>
      <c r="F3566">
        <v>148443543</v>
      </c>
      <c r="G3566">
        <v>148443582</v>
      </c>
      <c r="H3566">
        <v>148443429</v>
      </c>
      <c r="I3566">
        <v>148443444</v>
      </c>
    </row>
    <row r="3567" spans="1:9" x14ac:dyDescent="0.2">
      <c r="A3567" t="str">
        <f>"Cd96"</f>
        <v>Cd96</v>
      </c>
      <c r="B3567" t="s">
        <v>14</v>
      </c>
      <c r="C3567" t="s">
        <v>31</v>
      </c>
      <c r="D3567" t="s">
        <v>11</v>
      </c>
      <c r="E3567" t="s">
        <v>12</v>
      </c>
      <c r="F3567">
        <v>46120138</v>
      </c>
      <c r="G3567">
        <v>46120181</v>
      </c>
      <c r="H3567">
        <v>46120119</v>
      </c>
      <c r="I3567">
        <v>46120137</v>
      </c>
    </row>
    <row r="3568" spans="1:9" x14ac:dyDescent="0.2">
      <c r="A3568" t="str">
        <f>"Cd97"</f>
        <v>Cd97</v>
      </c>
      <c r="B3568" t="s">
        <v>14</v>
      </c>
      <c r="C3568" t="s">
        <v>30</v>
      </c>
      <c r="D3568" t="s">
        <v>11</v>
      </c>
      <c r="E3568" t="s">
        <v>12</v>
      </c>
      <c r="F3568">
        <v>83741173</v>
      </c>
      <c r="G3568">
        <v>83741190</v>
      </c>
      <c r="H3568">
        <v>83741173</v>
      </c>
      <c r="I3568">
        <v>83741190</v>
      </c>
    </row>
    <row r="3569" spans="1:9" x14ac:dyDescent="0.2">
      <c r="A3569" t="str">
        <f>"Cd99l2"</f>
        <v>Cd99l2</v>
      </c>
      <c r="B3569" t="s">
        <v>14</v>
      </c>
      <c r="C3569" t="s">
        <v>37</v>
      </c>
      <c r="D3569" t="s">
        <v>11</v>
      </c>
      <c r="E3569" t="s">
        <v>12</v>
      </c>
      <c r="F3569">
        <v>71492592</v>
      </c>
      <c r="G3569">
        <v>71492658</v>
      </c>
      <c r="H3569">
        <v>71492799</v>
      </c>
      <c r="I3569">
        <v>71492860</v>
      </c>
    </row>
    <row r="3570" spans="1:9" x14ac:dyDescent="0.2">
      <c r="A3570" t="str">
        <f>"Cda"</f>
        <v>Cda</v>
      </c>
      <c r="B3570" t="s">
        <v>14</v>
      </c>
      <c r="C3570" t="s">
        <v>23</v>
      </c>
      <c r="D3570" t="s">
        <v>11</v>
      </c>
      <c r="E3570" t="s">
        <v>12</v>
      </c>
      <c r="F3570">
        <v>138367966</v>
      </c>
      <c r="G3570">
        <v>138368008</v>
      </c>
      <c r="H3570">
        <v>138367952</v>
      </c>
      <c r="I3570">
        <v>138367965</v>
      </c>
    </row>
    <row r="3571" spans="1:9" x14ac:dyDescent="0.2">
      <c r="A3571" t="str">
        <f>"Cdadc1"</f>
        <v>Cdadc1</v>
      </c>
      <c r="B3571" t="s">
        <v>14</v>
      </c>
      <c r="C3571" t="s">
        <v>41</v>
      </c>
      <c r="D3571" t="s">
        <v>11</v>
      </c>
      <c r="E3571" t="s">
        <v>12</v>
      </c>
      <c r="F3571">
        <v>59597915</v>
      </c>
      <c r="G3571">
        <v>59597961</v>
      </c>
      <c r="H3571">
        <v>59597964</v>
      </c>
      <c r="I3571">
        <v>59597973</v>
      </c>
    </row>
    <row r="3572" spans="1:9" x14ac:dyDescent="0.2">
      <c r="A3572" t="str">
        <f>"Cdan1"</f>
        <v>Cdan1</v>
      </c>
      <c r="B3572" t="s">
        <v>14</v>
      </c>
      <c r="C3572" t="s">
        <v>26</v>
      </c>
      <c r="D3572" t="s">
        <v>11</v>
      </c>
      <c r="E3572" t="s">
        <v>12</v>
      </c>
      <c r="F3572">
        <v>120731503</v>
      </c>
      <c r="G3572">
        <v>120731534</v>
      </c>
      <c r="H3572">
        <v>120731503</v>
      </c>
      <c r="I3572">
        <v>120731534</v>
      </c>
    </row>
    <row r="3573" spans="1:9" x14ac:dyDescent="0.2">
      <c r="A3573" t="str">
        <f>"Cdc123"</f>
        <v>Cdc123</v>
      </c>
      <c r="B3573" t="s">
        <v>14</v>
      </c>
      <c r="C3573" t="s">
        <v>26</v>
      </c>
      <c r="D3573" t="s">
        <v>11</v>
      </c>
      <c r="E3573" t="s">
        <v>12</v>
      </c>
      <c r="F3573">
        <v>5844917</v>
      </c>
      <c r="G3573">
        <v>5844985</v>
      </c>
      <c r="H3573">
        <v>5845169</v>
      </c>
      <c r="I3573">
        <v>5845195</v>
      </c>
    </row>
    <row r="3574" spans="1:9" x14ac:dyDescent="0.2">
      <c r="A3574" t="str">
        <f>"Cdc14a"</f>
        <v>Cdc14a</v>
      </c>
      <c r="B3574" t="s">
        <v>14</v>
      </c>
      <c r="C3574" t="s">
        <v>22</v>
      </c>
      <c r="D3574" t="s">
        <v>11</v>
      </c>
      <c r="E3574" t="s">
        <v>12</v>
      </c>
      <c r="F3574">
        <v>116423930</v>
      </c>
      <c r="G3574">
        <v>116423993</v>
      </c>
      <c r="H3574">
        <v>116424007</v>
      </c>
      <c r="I3574">
        <v>116424020</v>
      </c>
    </row>
    <row r="3575" spans="1:9" x14ac:dyDescent="0.2">
      <c r="A3575" t="str">
        <f>"Cdc14b"</f>
        <v>Cdc14b</v>
      </c>
      <c r="B3575" t="s">
        <v>9</v>
      </c>
      <c r="C3575" t="s">
        <v>39</v>
      </c>
      <c r="D3575" t="s">
        <v>11</v>
      </c>
      <c r="E3575" t="s">
        <v>12</v>
      </c>
      <c r="F3575">
        <v>64274962</v>
      </c>
      <c r="G3575">
        <v>64275004</v>
      </c>
      <c r="H3575">
        <v>64274962</v>
      </c>
      <c r="I3575">
        <v>64275004</v>
      </c>
    </row>
    <row r="3576" spans="1:9" x14ac:dyDescent="0.2">
      <c r="A3576" t="str">
        <f>"Cdc14b"</f>
        <v>Cdc14b</v>
      </c>
      <c r="B3576" t="s">
        <v>13</v>
      </c>
      <c r="C3576" t="s">
        <v>39</v>
      </c>
      <c r="D3576" t="s">
        <v>11</v>
      </c>
      <c r="E3576" t="s">
        <v>12</v>
      </c>
      <c r="F3576">
        <v>64248623</v>
      </c>
      <c r="G3576">
        <v>64248648</v>
      </c>
      <c r="H3576">
        <v>64248623</v>
      </c>
      <c r="I3576">
        <v>64248648</v>
      </c>
    </row>
    <row r="3577" spans="1:9" x14ac:dyDescent="0.2">
      <c r="A3577" t="str">
        <f>"Cdc16"</f>
        <v>Cdc16</v>
      </c>
      <c r="B3577" t="s">
        <v>14</v>
      </c>
      <c r="C3577" t="s">
        <v>30</v>
      </c>
      <c r="D3577" t="s">
        <v>17</v>
      </c>
      <c r="E3577" t="s">
        <v>12</v>
      </c>
      <c r="F3577">
        <v>13757663</v>
      </c>
      <c r="G3577">
        <v>13757714</v>
      </c>
      <c r="H3577">
        <v>13757663</v>
      </c>
      <c r="I3577">
        <v>13757714</v>
      </c>
    </row>
    <row r="3578" spans="1:9" x14ac:dyDescent="0.2">
      <c r="A3578" t="str">
        <f>"Cdc20"</f>
        <v>Cdc20</v>
      </c>
      <c r="B3578" t="s">
        <v>14</v>
      </c>
      <c r="C3578" t="s">
        <v>23</v>
      </c>
      <c r="D3578" t="s">
        <v>11</v>
      </c>
      <c r="E3578" t="s">
        <v>12</v>
      </c>
      <c r="F3578">
        <v>118437284</v>
      </c>
      <c r="G3578">
        <v>118437304</v>
      </c>
      <c r="H3578">
        <v>118437331</v>
      </c>
      <c r="I3578">
        <v>118437354</v>
      </c>
    </row>
    <row r="3579" spans="1:9" x14ac:dyDescent="0.2">
      <c r="A3579" t="str">
        <f>"Cdc20b"</f>
        <v>Cdc20b</v>
      </c>
      <c r="B3579" t="s">
        <v>14</v>
      </c>
      <c r="C3579" t="s">
        <v>39</v>
      </c>
      <c r="D3579" t="s">
        <v>17</v>
      </c>
      <c r="E3579" t="s">
        <v>12</v>
      </c>
      <c r="F3579">
        <v>113035227</v>
      </c>
      <c r="G3579">
        <v>113035231</v>
      </c>
      <c r="H3579">
        <v>113035093</v>
      </c>
      <c r="I3579">
        <v>113035134</v>
      </c>
    </row>
    <row r="3580" spans="1:9" x14ac:dyDescent="0.2">
      <c r="A3580" t="str">
        <f>"Cdc23"</f>
        <v>Cdc23</v>
      </c>
      <c r="B3580" t="s">
        <v>14</v>
      </c>
      <c r="C3580" t="s">
        <v>43</v>
      </c>
      <c r="D3580" t="s">
        <v>11</v>
      </c>
      <c r="E3580" t="s">
        <v>12</v>
      </c>
      <c r="F3580">
        <v>34651703</v>
      </c>
      <c r="G3580">
        <v>34651741</v>
      </c>
      <c r="H3580">
        <v>34651695</v>
      </c>
      <c r="I3580">
        <v>34651702</v>
      </c>
    </row>
    <row r="3581" spans="1:9" x14ac:dyDescent="0.2">
      <c r="A3581" t="str">
        <f>"Cdc25a"</f>
        <v>Cdc25a</v>
      </c>
      <c r="B3581" t="s">
        <v>14</v>
      </c>
      <c r="C3581" t="s">
        <v>24</v>
      </c>
      <c r="D3581" t="s">
        <v>17</v>
      </c>
      <c r="E3581" t="s">
        <v>12</v>
      </c>
      <c r="F3581">
        <v>109875541</v>
      </c>
      <c r="G3581">
        <v>109875591</v>
      </c>
      <c r="H3581">
        <v>109875910</v>
      </c>
      <c r="I3581">
        <v>109876000</v>
      </c>
    </row>
    <row r="3582" spans="1:9" x14ac:dyDescent="0.2">
      <c r="A3582" t="str">
        <f>"Cdc25b"</f>
        <v>Cdc25b</v>
      </c>
      <c r="B3582" t="s">
        <v>14</v>
      </c>
      <c r="C3582" t="s">
        <v>26</v>
      </c>
      <c r="D3582" t="s">
        <v>17</v>
      </c>
      <c r="E3582" t="s">
        <v>12</v>
      </c>
      <c r="F3582">
        <v>131186983</v>
      </c>
      <c r="G3582">
        <v>131187001</v>
      </c>
      <c r="H3582">
        <v>131186942</v>
      </c>
      <c r="I3582">
        <v>131186971</v>
      </c>
    </row>
    <row r="3583" spans="1:9" x14ac:dyDescent="0.2">
      <c r="A3583" t="str">
        <f>"Cdc25c"</f>
        <v>Cdc25c</v>
      </c>
      <c r="B3583" t="s">
        <v>14</v>
      </c>
      <c r="C3583" t="s">
        <v>43</v>
      </c>
      <c r="D3583" t="s">
        <v>11</v>
      </c>
      <c r="E3583" t="s">
        <v>12</v>
      </c>
      <c r="F3583">
        <v>34751502</v>
      </c>
      <c r="G3583">
        <v>34751541</v>
      </c>
      <c r="H3583">
        <v>34751345</v>
      </c>
      <c r="I3583">
        <v>34751357</v>
      </c>
    </row>
    <row r="3584" spans="1:9" x14ac:dyDescent="0.2">
      <c r="A3584" t="str">
        <f>"Cdc26"</f>
        <v>Cdc26</v>
      </c>
      <c r="B3584" t="s">
        <v>14</v>
      </c>
      <c r="C3584" t="s">
        <v>23</v>
      </c>
      <c r="D3584" t="s">
        <v>11</v>
      </c>
      <c r="E3584" t="s">
        <v>12</v>
      </c>
      <c r="F3584">
        <v>62408618</v>
      </c>
      <c r="G3584">
        <v>62408643</v>
      </c>
      <c r="H3584">
        <v>62408647</v>
      </c>
      <c r="I3584">
        <v>62408658</v>
      </c>
    </row>
    <row r="3585" spans="1:9" x14ac:dyDescent="0.2">
      <c r="A3585" t="str">
        <f>"Cdc27"</f>
        <v>Cdc27</v>
      </c>
      <c r="B3585" t="s">
        <v>14</v>
      </c>
      <c r="C3585" t="s">
        <v>27</v>
      </c>
      <c r="D3585" t="s">
        <v>11</v>
      </c>
      <c r="E3585" t="s">
        <v>12</v>
      </c>
      <c r="F3585">
        <v>104550460</v>
      </c>
      <c r="G3585">
        <v>104550560</v>
      </c>
      <c r="H3585">
        <v>104550410</v>
      </c>
      <c r="I3585">
        <v>104550419</v>
      </c>
    </row>
    <row r="3586" spans="1:9" x14ac:dyDescent="0.2">
      <c r="A3586" t="str">
        <f>"Cdc34"</f>
        <v>Cdc34</v>
      </c>
      <c r="B3586" t="s">
        <v>14</v>
      </c>
      <c r="C3586" t="s">
        <v>15</v>
      </c>
      <c r="D3586" t="s">
        <v>17</v>
      </c>
      <c r="E3586" t="s">
        <v>12</v>
      </c>
      <c r="F3586">
        <v>79682169</v>
      </c>
      <c r="G3586">
        <v>79682230</v>
      </c>
      <c r="H3586">
        <v>79682147</v>
      </c>
      <c r="I3586">
        <v>79682161</v>
      </c>
    </row>
    <row r="3587" spans="1:9" x14ac:dyDescent="0.2">
      <c r="A3587" t="str">
        <f>"Cdc34-ps"</f>
        <v>Cdc34-ps</v>
      </c>
      <c r="B3587" t="s">
        <v>2276</v>
      </c>
      <c r="C3587" t="s">
        <v>27</v>
      </c>
      <c r="D3587" t="s">
        <v>17</v>
      </c>
      <c r="E3587" t="s">
        <v>20</v>
      </c>
      <c r="F3587">
        <v>94741781</v>
      </c>
      <c r="G3587">
        <v>94741781</v>
      </c>
      <c r="H3587">
        <v>94741781</v>
      </c>
      <c r="I3587">
        <v>94741781</v>
      </c>
    </row>
    <row r="3588" spans="1:9" x14ac:dyDescent="0.2">
      <c r="A3588" t="str">
        <f>"Cdc37"</f>
        <v>Cdc37</v>
      </c>
      <c r="B3588" t="s">
        <v>14</v>
      </c>
      <c r="C3588" t="s">
        <v>24</v>
      </c>
      <c r="D3588" t="s">
        <v>11</v>
      </c>
      <c r="E3588" t="s">
        <v>12</v>
      </c>
      <c r="F3588">
        <v>21149894</v>
      </c>
      <c r="G3588">
        <v>21149978</v>
      </c>
      <c r="H3588">
        <v>21149873</v>
      </c>
      <c r="I3588">
        <v>21149887</v>
      </c>
    </row>
    <row r="3589" spans="1:9" x14ac:dyDescent="0.2">
      <c r="A3589" t="str">
        <f>"Cdc37l1"</f>
        <v>Cdc37l1</v>
      </c>
      <c r="B3589" t="s">
        <v>14</v>
      </c>
      <c r="C3589" t="s">
        <v>10</v>
      </c>
      <c r="D3589" t="s">
        <v>17</v>
      </c>
      <c r="E3589" t="s">
        <v>12</v>
      </c>
      <c r="F3589">
        <v>28990476</v>
      </c>
      <c r="G3589">
        <v>28990497</v>
      </c>
      <c r="H3589">
        <v>28990347</v>
      </c>
      <c r="I3589">
        <v>28990373</v>
      </c>
    </row>
    <row r="3590" spans="1:9" x14ac:dyDescent="0.2">
      <c r="A3590" t="str">
        <f>"Cdc40"</f>
        <v>Cdc40</v>
      </c>
      <c r="B3590" t="s">
        <v>14</v>
      </c>
      <c r="C3590" t="s">
        <v>15</v>
      </c>
      <c r="D3590" t="s">
        <v>11</v>
      </c>
      <c r="E3590" t="s">
        <v>12</v>
      </c>
      <c r="F3590">
        <v>40883073</v>
      </c>
      <c r="G3590">
        <v>40883130</v>
      </c>
      <c r="H3590">
        <v>40883073</v>
      </c>
      <c r="I3590">
        <v>40883130</v>
      </c>
    </row>
    <row r="3591" spans="1:9" x14ac:dyDescent="0.2">
      <c r="A3591" t="str">
        <f>"Cdc42"</f>
        <v>Cdc42</v>
      </c>
      <c r="B3591" t="s">
        <v>14</v>
      </c>
      <c r="C3591" t="s">
        <v>23</v>
      </c>
      <c r="D3591" t="s">
        <v>11</v>
      </c>
      <c r="E3591" t="s">
        <v>12</v>
      </c>
      <c r="F3591">
        <v>137357661</v>
      </c>
      <c r="G3591">
        <v>137357710</v>
      </c>
      <c r="H3591">
        <v>137357711</v>
      </c>
      <c r="I3591">
        <v>137357722</v>
      </c>
    </row>
    <row r="3592" spans="1:9" x14ac:dyDescent="0.2">
      <c r="A3592" t="str">
        <f>"Cdc42bpa"</f>
        <v>Cdc42bpa</v>
      </c>
      <c r="B3592" t="s">
        <v>14</v>
      </c>
      <c r="C3592" t="s">
        <v>19</v>
      </c>
      <c r="D3592" t="s">
        <v>17</v>
      </c>
      <c r="E3592" t="s">
        <v>12</v>
      </c>
      <c r="F3592">
        <v>179959984</v>
      </c>
      <c r="G3592">
        <v>179960080</v>
      </c>
      <c r="H3592">
        <v>179960774</v>
      </c>
      <c r="I3592">
        <v>179960779</v>
      </c>
    </row>
    <row r="3593" spans="1:9" x14ac:dyDescent="0.2">
      <c r="A3593" t="str">
        <f>"Cdc42bpb"</f>
        <v>Cdc42bpb</v>
      </c>
      <c r="B3593" t="s">
        <v>14</v>
      </c>
      <c r="C3593" t="s">
        <v>16</v>
      </c>
      <c r="D3593" t="s">
        <v>11</v>
      </c>
      <c r="E3593" t="s">
        <v>12</v>
      </c>
      <c r="F3593">
        <v>111377604</v>
      </c>
      <c r="G3593">
        <v>111377696</v>
      </c>
      <c r="H3593">
        <v>111377438</v>
      </c>
      <c r="I3593">
        <v>111377502</v>
      </c>
    </row>
    <row r="3594" spans="1:9" x14ac:dyDescent="0.2">
      <c r="A3594" t="str">
        <f>"Cdc42bpg"</f>
        <v>Cdc42bpg</v>
      </c>
      <c r="B3594" t="s">
        <v>14</v>
      </c>
      <c r="C3594" t="s">
        <v>10</v>
      </c>
      <c r="D3594" t="s">
        <v>17</v>
      </c>
      <c r="E3594" t="s">
        <v>12</v>
      </c>
      <c r="F3594">
        <v>6306433</v>
      </c>
      <c r="G3594">
        <v>6306458</v>
      </c>
      <c r="H3594">
        <v>6306538</v>
      </c>
      <c r="I3594">
        <v>6306553</v>
      </c>
    </row>
    <row r="3595" spans="1:9" x14ac:dyDescent="0.2">
      <c r="A3595" t="str">
        <f>"Cdc42ep1"</f>
        <v>Cdc42ep1</v>
      </c>
      <c r="B3595" t="s">
        <v>14</v>
      </c>
      <c r="C3595" t="s">
        <v>25</v>
      </c>
      <c r="D3595" t="s">
        <v>17</v>
      </c>
      <c r="E3595" t="s">
        <v>12</v>
      </c>
      <c r="F3595">
        <v>78842632</v>
      </c>
      <c r="G3595">
        <v>78842652</v>
      </c>
      <c r="H3595">
        <v>78842489</v>
      </c>
      <c r="I3595">
        <v>78842526</v>
      </c>
    </row>
    <row r="3596" spans="1:9" x14ac:dyDescent="0.2">
      <c r="A3596" t="str">
        <f>"Cdc42ep2"</f>
        <v>Cdc42ep2</v>
      </c>
      <c r="B3596" t="s">
        <v>14</v>
      </c>
      <c r="C3596" t="s">
        <v>10</v>
      </c>
      <c r="D3596" t="s">
        <v>11</v>
      </c>
      <c r="E3596" t="s">
        <v>12</v>
      </c>
      <c r="F3596">
        <v>5924797</v>
      </c>
      <c r="G3596">
        <v>5924823</v>
      </c>
      <c r="H3596">
        <v>5924797</v>
      </c>
      <c r="I3596">
        <v>5924823</v>
      </c>
    </row>
    <row r="3597" spans="1:9" x14ac:dyDescent="0.2">
      <c r="A3597" t="str">
        <f>"Cdc42ep3"</f>
        <v>Cdc42ep3</v>
      </c>
      <c r="B3597" t="s">
        <v>14</v>
      </c>
      <c r="C3597" t="s">
        <v>28</v>
      </c>
      <c r="D3597" t="s">
        <v>11</v>
      </c>
      <c r="E3597" t="s">
        <v>12</v>
      </c>
      <c r="F3597">
        <v>79355048</v>
      </c>
      <c r="G3597">
        <v>79355073</v>
      </c>
      <c r="H3597">
        <v>79355082</v>
      </c>
      <c r="I3597">
        <v>79355103</v>
      </c>
    </row>
    <row r="3598" spans="1:9" x14ac:dyDescent="0.2">
      <c r="A3598" t="str">
        <f>"Cdc42ep4"</f>
        <v>Cdc42ep4</v>
      </c>
      <c r="B3598" t="s">
        <v>14</v>
      </c>
      <c r="C3598" t="s">
        <v>27</v>
      </c>
      <c r="D3598" t="s">
        <v>11</v>
      </c>
      <c r="E3598" t="s">
        <v>12</v>
      </c>
      <c r="F3598">
        <v>113751784</v>
      </c>
      <c r="G3598">
        <v>113751806</v>
      </c>
      <c r="H3598">
        <v>113751813</v>
      </c>
      <c r="I3598">
        <v>113751849</v>
      </c>
    </row>
    <row r="3599" spans="1:9" x14ac:dyDescent="0.2">
      <c r="A3599" t="str">
        <f>"Cdc42ep5"</f>
        <v>Cdc42ep5</v>
      </c>
      <c r="B3599" t="s">
        <v>14</v>
      </c>
      <c r="C3599" t="s">
        <v>33</v>
      </c>
      <c r="D3599" t="s">
        <v>11</v>
      </c>
      <c r="E3599" t="s">
        <v>12</v>
      </c>
      <c r="F3599">
        <v>4164684</v>
      </c>
      <c r="G3599">
        <v>4164715</v>
      </c>
      <c r="H3599">
        <v>4164501</v>
      </c>
      <c r="I3599">
        <v>4164576</v>
      </c>
    </row>
    <row r="3600" spans="1:9" x14ac:dyDescent="0.2">
      <c r="A3600" t="str">
        <f>"Cdc42se1"</f>
        <v>Cdc42se1</v>
      </c>
      <c r="B3600" t="s">
        <v>14</v>
      </c>
      <c r="C3600" t="s">
        <v>22</v>
      </c>
      <c r="D3600" t="s">
        <v>17</v>
      </c>
      <c r="E3600" t="s">
        <v>12</v>
      </c>
      <c r="F3600">
        <v>95228755</v>
      </c>
      <c r="G3600">
        <v>95228832</v>
      </c>
      <c r="H3600">
        <v>95228755</v>
      </c>
      <c r="I3600">
        <v>95228832</v>
      </c>
    </row>
    <row r="3601" spans="1:9" x14ac:dyDescent="0.2">
      <c r="A3601" t="str">
        <f>"Cdc42se2"</f>
        <v>Cdc42se2</v>
      </c>
      <c r="B3601" t="s">
        <v>14</v>
      </c>
      <c r="C3601" t="s">
        <v>27</v>
      </c>
      <c r="D3601" t="s">
        <v>11</v>
      </c>
      <c r="E3601" t="s">
        <v>12</v>
      </c>
      <c r="F3601">
        <v>54787597</v>
      </c>
      <c r="G3601">
        <v>54787711</v>
      </c>
      <c r="H3601">
        <v>54787715</v>
      </c>
      <c r="I3601">
        <v>54787721</v>
      </c>
    </row>
    <row r="3602" spans="1:9" x14ac:dyDescent="0.2">
      <c r="A3602" t="str">
        <f>"Cdc45"</f>
        <v>Cdc45</v>
      </c>
      <c r="B3602" t="s">
        <v>14</v>
      </c>
      <c r="C3602" t="s">
        <v>31</v>
      </c>
      <c r="D3602" t="s">
        <v>11</v>
      </c>
      <c r="E3602" t="s">
        <v>12</v>
      </c>
      <c r="F3602">
        <v>18811584</v>
      </c>
      <c r="G3602">
        <v>18811609</v>
      </c>
      <c r="H3602">
        <v>18811615</v>
      </c>
      <c r="I3602">
        <v>18811635</v>
      </c>
    </row>
    <row r="3603" spans="1:9" x14ac:dyDescent="0.2">
      <c r="A3603" t="str">
        <f>"Cdc5l"</f>
        <v>Cdc5l</v>
      </c>
      <c r="B3603" t="s">
        <v>14</v>
      </c>
      <c r="C3603" t="s">
        <v>28</v>
      </c>
      <c r="D3603" t="s">
        <v>11</v>
      </c>
      <c r="E3603" t="s">
        <v>12</v>
      </c>
      <c r="F3603">
        <v>45433711</v>
      </c>
      <c r="G3603">
        <v>45433745</v>
      </c>
      <c r="H3603">
        <v>45433711</v>
      </c>
      <c r="I3603">
        <v>45433745</v>
      </c>
    </row>
    <row r="3604" spans="1:9" x14ac:dyDescent="0.2">
      <c r="A3604" t="str">
        <f>"Cdc6"</f>
        <v>Cdc6</v>
      </c>
      <c r="B3604" t="s">
        <v>14</v>
      </c>
      <c r="C3604" t="s">
        <v>27</v>
      </c>
      <c r="D3604" t="s">
        <v>17</v>
      </c>
      <c r="E3604" t="s">
        <v>12</v>
      </c>
      <c r="F3604">
        <v>98907827</v>
      </c>
      <c r="G3604">
        <v>98907866</v>
      </c>
      <c r="H3604">
        <v>98907810</v>
      </c>
      <c r="I3604">
        <v>98907824</v>
      </c>
    </row>
    <row r="3605" spans="1:9" x14ac:dyDescent="0.2">
      <c r="A3605" t="str">
        <f>"Cdc7"</f>
        <v>Cdc7</v>
      </c>
      <c r="B3605" t="s">
        <v>14</v>
      </c>
      <c r="C3605" t="s">
        <v>46</v>
      </c>
      <c r="D3605" t="s">
        <v>17</v>
      </c>
      <c r="E3605" t="s">
        <v>12</v>
      </c>
      <c r="F3605">
        <v>106964319</v>
      </c>
      <c r="G3605">
        <v>106964383</v>
      </c>
      <c r="H3605">
        <v>106964543</v>
      </c>
      <c r="I3605">
        <v>106964567</v>
      </c>
    </row>
    <row r="3606" spans="1:9" x14ac:dyDescent="0.2">
      <c r="A3606" t="str">
        <f>"Cdc73"</f>
        <v>Cdc73</v>
      </c>
      <c r="B3606" t="s">
        <v>14</v>
      </c>
      <c r="C3606" t="s">
        <v>19</v>
      </c>
      <c r="D3606" t="s">
        <v>11</v>
      </c>
      <c r="E3606" t="s">
        <v>67</v>
      </c>
      <c r="F3606">
        <v>143607017</v>
      </c>
      <c r="G3606">
        <v>143607018</v>
      </c>
      <c r="H3606">
        <v>143607017</v>
      </c>
      <c r="I3606">
        <v>143607018</v>
      </c>
    </row>
    <row r="3607" spans="1:9" x14ac:dyDescent="0.2">
      <c r="A3607" t="str">
        <f>"Cdca2"</f>
        <v>Cdca2</v>
      </c>
      <c r="B3607" t="s">
        <v>14</v>
      </c>
      <c r="C3607" t="s">
        <v>41</v>
      </c>
      <c r="D3607" t="s">
        <v>11</v>
      </c>
      <c r="E3607" t="s">
        <v>12</v>
      </c>
      <c r="F3607">
        <v>67715343</v>
      </c>
      <c r="G3607">
        <v>67715425</v>
      </c>
      <c r="H3607">
        <v>67715585</v>
      </c>
      <c r="I3607">
        <v>67715640</v>
      </c>
    </row>
    <row r="3608" spans="1:9" x14ac:dyDescent="0.2">
      <c r="A3608" t="str">
        <f>"Cdca3"</f>
        <v>Cdca3</v>
      </c>
      <c r="B3608" t="s">
        <v>14</v>
      </c>
      <c r="C3608" t="s">
        <v>32</v>
      </c>
      <c r="D3608" t="s">
        <v>17</v>
      </c>
      <c r="E3608" t="s">
        <v>12</v>
      </c>
      <c r="F3608">
        <v>124830218</v>
      </c>
      <c r="G3608">
        <v>124830251</v>
      </c>
      <c r="H3608">
        <v>124830193</v>
      </c>
      <c r="I3608">
        <v>124830209</v>
      </c>
    </row>
    <row r="3609" spans="1:9" x14ac:dyDescent="0.2">
      <c r="A3609" t="str">
        <f>"Cdca4"</f>
        <v>Cdca4</v>
      </c>
      <c r="B3609" t="s">
        <v>14</v>
      </c>
      <c r="C3609" t="s">
        <v>16</v>
      </c>
      <c r="D3609" t="s">
        <v>11</v>
      </c>
      <c r="E3609" t="s">
        <v>12</v>
      </c>
      <c r="F3609">
        <v>112829351</v>
      </c>
      <c r="G3609">
        <v>112829426</v>
      </c>
      <c r="H3609">
        <v>112829025</v>
      </c>
      <c r="I3609">
        <v>112829106</v>
      </c>
    </row>
    <row r="3610" spans="1:9" x14ac:dyDescent="0.2">
      <c r="A3610" t="str">
        <f>"Cdca5"</f>
        <v>Cdca5</v>
      </c>
      <c r="B3610" t="s">
        <v>14</v>
      </c>
      <c r="C3610" t="s">
        <v>10</v>
      </c>
      <c r="D3610" t="s">
        <v>17</v>
      </c>
      <c r="E3610" t="s">
        <v>12</v>
      </c>
      <c r="F3610">
        <v>6085053</v>
      </c>
      <c r="G3610">
        <v>6085146</v>
      </c>
      <c r="H3610">
        <v>6085039</v>
      </c>
      <c r="I3610">
        <v>6085051</v>
      </c>
    </row>
    <row r="3611" spans="1:9" x14ac:dyDescent="0.2">
      <c r="A3611" t="str">
        <f>"Cdca7"</f>
        <v>Cdca7</v>
      </c>
      <c r="B3611" t="s">
        <v>14</v>
      </c>
      <c r="C3611" t="s">
        <v>26</v>
      </c>
      <c r="D3611" t="s">
        <v>17</v>
      </c>
      <c r="E3611" t="s">
        <v>12</v>
      </c>
      <c r="F3611">
        <v>72476173</v>
      </c>
      <c r="G3611">
        <v>72476212</v>
      </c>
      <c r="H3611">
        <v>72476225</v>
      </c>
      <c r="I3611">
        <v>72476259</v>
      </c>
    </row>
    <row r="3612" spans="1:9" x14ac:dyDescent="0.2">
      <c r="A3612" t="str">
        <f>"Cdca7l"</f>
        <v>Cdca7l</v>
      </c>
      <c r="B3612" t="s">
        <v>14</v>
      </c>
      <c r="C3612" t="s">
        <v>16</v>
      </c>
      <c r="D3612" t="s">
        <v>17</v>
      </c>
      <c r="E3612" t="s">
        <v>12</v>
      </c>
      <c r="F3612">
        <v>117843873</v>
      </c>
      <c r="G3612">
        <v>117843923</v>
      </c>
      <c r="H3612">
        <v>117843846</v>
      </c>
      <c r="I3612">
        <v>117843871</v>
      </c>
    </row>
    <row r="3613" spans="1:9" x14ac:dyDescent="0.2">
      <c r="A3613" t="str">
        <f>"Cdca8"</f>
        <v>Cdca8</v>
      </c>
      <c r="B3613" t="s">
        <v>14</v>
      </c>
      <c r="C3613" t="s">
        <v>23</v>
      </c>
      <c r="D3613" t="s">
        <v>11</v>
      </c>
      <c r="E3613" t="s">
        <v>12</v>
      </c>
      <c r="F3613">
        <v>124936852</v>
      </c>
      <c r="G3613">
        <v>124936924</v>
      </c>
      <c r="H3613">
        <v>124936833</v>
      </c>
      <c r="I3613">
        <v>124936844</v>
      </c>
    </row>
    <row r="3614" spans="1:9" x14ac:dyDescent="0.2">
      <c r="A3614" t="str">
        <f>"Cdcp1"</f>
        <v>Cdcp1</v>
      </c>
      <c r="B3614" t="s">
        <v>14</v>
      </c>
      <c r="C3614" t="s">
        <v>24</v>
      </c>
      <c r="D3614" t="s">
        <v>11</v>
      </c>
      <c r="E3614" t="s">
        <v>12</v>
      </c>
      <c r="F3614">
        <v>123215942</v>
      </c>
      <c r="G3614">
        <v>123216016</v>
      </c>
      <c r="H3614">
        <v>123216023</v>
      </c>
      <c r="I3614">
        <v>123216046</v>
      </c>
    </row>
    <row r="3615" spans="1:9" x14ac:dyDescent="0.2">
      <c r="A3615" t="str">
        <f>"Cdcp2"</f>
        <v>Cdcp2</v>
      </c>
      <c r="B3615" t="s">
        <v>2277</v>
      </c>
      <c r="C3615" t="s">
        <v>23</v>
      </c>
      <c r="D3615" t="s">
        <v>17</v>
      </c>
      <c r="E3615" t="s">
        <v>20</v>
      </c>
      <c r="F3615">
        <v>107096890</v>
      </c>
      <c r="G3615">
        <v>107096890</v>
      </c>
      <c r="H3615">
        <v>107096890</v>
      </c>
      <c r="I3615">
        <v>107096890</v>
      </c>
    </row>
    <row r="3616" spans="1:9" x14ac:dyDescent="0.2">
      <c r="A3616" t="str">
        <f>"Cdh1"</f>
        <v>Cdh1</v>
      </c>
      <c r="B3616" t="s">
        <v>14</v>
      </c>
      <c r="C3616" t="s">
        <v>30</v>
      </c>
      <c r="D3616" t="s">
        <v>17</v>
      </c>
      <c r="E3616" t="s">
        <v>12</v>
      </c>
      <c r="F3616">
        <v>106603360</v>
      </c>
      <c r="G3616">
        <v>106603374</v>
      </c>
      <c r="H3616">
        <v>106604311</v>
      </c>
      <c r="I3616">
        <v>106604323</v>
      </c>
    </row>
    <row r="3617" spans="1:9" x14ac:dyDescent="0.2">
      <c r="A3617" t="str">
        <f>"Cdh10"</f>
        <v>Cdh10</v>
      </c>
      <c r="B3617" t="s">
        <v>14</v>
      </c>
      <c r="C3617" t="s">
        <v>25</v>
      </c>
      <c r="D3617" t="s">
        <v>17</v>
      </c>
      <c r="E3617" t="s">
        <v>12</v>
      </c>
      <c r="F3617">
        <v>18818700</v>
      </c>
      <c r="G3617">
        <v>18818726</v>
      </c>
      <c r="H3617">
        <v>18818895</v>
      </c>
      <c r="I3617">
        <v>18818942</v>
      </c>
    </row>
    <row r="3618" spans="1:9" x14ac:dyDescent="0.2">
      <c r="A3618" t="str">
        <f>"Cdh11"</f>
        <v>Cdh11</v>
      </c>
      <c r="B3618" t="s">
        <v>14</v>
      </c>
      <c r="C3618" t="s">
        <v>30</v>
      </c>
      <c r="D3618" t="s">
        <v>11</v>
      </c>
      <c r="E3618" t="s">
        <v>12</v>
      </c>
      <c r="F3618">
        <v>102785069</v>
      </c>
      <c r="G3618">
        <v>102785089</v>
      </c>
      <c r="H3618">
        <v>102785093</v>
      </c>
      <c r="I3618">
        <v>102785114</v>
      </c>
    </row>
    <row r="3619" spans="1:9" x14ac:dyDescent="0.2">
      <c r="A3619" t="str">
        <f>"Cdh12"</f>
        <v>Cdh12</v>
      </c>
      <c r="B3619" t="s">
        <v>14</v>
      </c>
      <c r="C3619" t="s">
        <v>25</v>
      </c>
      <c r="D3619" t="s">
        <v>17</v>
      </c>
      <c r="E3619" t="s">
        <v>12</v>
      </c>
      <c r="F3619">
        <v>21111323</v>
      </c>
      <c r="G3619">
        <v>21111337</v>
      </c>
      <c r="H3619">
        <v>21111323</v>
      </c>
      <c r="I3619">
        <v>21111337</v>
      </c>
    </row>
    <row r="3620" spans="1:9" x14ac:dyDescent="0.2">
      <c r="A3620" t="str">
        <f>"Cdh13"</f>
        <v>Cdh13</v>
      </c>
      <c r="B3620" t="s">
        <v>14</v>
      </c>
      <c r="C3620" t="s">
        <v>30</v>
      </c>
      <c r="D3620" t="s">
        <v>17</v>
      </c>
      <c r="E3620" t="s">
        <v>12</v>
      </c>
      <c r="F3620">
        <v>118283789</v>
      </c>
      <c r="G3620">
        <v>118283803</v>
      </c>
      <c r="H3620">
        <v>118283719</v>
      </c>
      <c r="I3620">
        <v>118283738</v>
      </c>
    </row>
    <row r="3621" spans="1:9" x14ac:dyDescent="0.2">
      <c r="A3621" t="str">
        <f>"Cdh15"</f>
        <v>Cdh15</v>
      </c>
      <c r="B3621" t="s">
        <v>14</v>
      </c>
      <c r="C3621" t="s">
        <v>30</v>
      </c>
      <c r="D3621" t="s">
        <v>17</v>
      </c>
      <c r="E3621" t="s">
        <v>12</v>
      </c>
      <c r="F3621">
        <v>122848367</v>
      </c>
      <c r="G3621">
        <v>122848400</v>
      </c>
      <c r="H3621">
        <v>122848407</v>
      </c>
      <c r="I3621">
        <v>122848437</v>
      </c>
    </row>
    <row r="3622" spans="1:9" x14ac:dyDescent="0.2">
      <c r="A3622" t="str">
        <f>"Cdh16"</f>
        <v>Cdh16</v>
      </c>
      <c r="B3622" t="s">
        <v>14</v>
      </c>
      <c r="C3622" t="s">
        <v>30</v>
      </c>
      <c r="D3622" t="s">
        <v>11</v>
      </c>
      <c r="E3622" t="s">
        <v>12</v>
      </c>
      <c r="F3622">
        <v>104624266</v>
      </c>
      <c r="G3622">
        <v>104624306</v>
      </c>
      <c r="H3622">
        <v>104624210</v>
      </c>
      <c r="I3622">
        <v>104624239</v>
      </c>
    </row>
    <row r="3623" spans="1:9" x14ac:dyDescent="0.2">
      <c r="A3623" t="str">
        <f>"Cdh17"</f>
        <v>Cdh17</v>
      </c>
      <c r="B3623" t="s">
        <v>14</v>
      </c>
      <c r="C3623" t="s">
        <v>23</v>
      </c>
      <c r="D3623" t="s">
        <v>17</v>
      </c>
      <c r="E3623" t="s">
        <v>12</v>
      </c>
      <c r="F3623">
        <v>11758174</v>
      </c>
      <c r="G3623">
        <v>11758220</v>
      </c>
      <c r="H3623">
        <v>11758224</v>
      </c>
      <c r="I3623">
        <v>11758234</v>
      </c>
    </row>
    <row r="3624" spans="1:9" x14ac:dyDescent="0.2">
      <c r="A3624" t="str">
        <f>"Cdh18"</f>
        <v>Cdh18</v>
      </c>
      <c r="B3624" t="s">
        <v>14</v>
      </c>
      <c r="C3624" t="s">
        <v>25</v>
      </c>
      <c r="D3624" t="s">
        <v>17</v>
      </c>
      <c r="E3624" t="s">
        <v>12</v>
      </c>
      <c r="F3624">
        <v>23036449</v>
      </c>
      <c r="G3624">
        <v>23036492</v>
      </c>
      <c r="H3624">
        <v>23036420</v>
      </c>
      <c r="I3624">
        <v>23036441</v>
      </c>
    </row>
    <row r="3625" spans="1:9" x14ac:dyDescent="0.2">
      <c r="A3625" t="str">
        <f>"Cdh19"</f>
        <v>Cdh19</v>
      </c>
      <c r="B3625" t="s">
        <v>14</v>
      </c>
      <c r="C3625" t="s">
        <v>19</v>
      </c>
      <c r="D3625" t="s">
        <v>11</v>
      </c>
      <c r="E3625" t="s">
        <v>12</v>
      </c>
      <c r="F3625">
        <v>110977366</v>
      </c>
      <c r="G3625">
        <v>110977382</v>
      </c>
      <c r="H3625">
        <v>110977352</v>
      </c>
      <c r="I3625">
        <v>110977365</v>
      </c>
    </row>
    <row r="3626" spans="1:9" x14ac:dyDescent="0.2">
      <c r="A3626" t="str">
        <f>"Cdh2"</f>
        <v>Cdh2</v>
      </c>
      <c r="B3626" t="s">
        <v>14</v>
      </c>
      <c r="C3626" t="s">
        <v>43</v>
      </c>
      <c r="D3626" t="s">
        <v>11</v>
      </c>
      <c r="E3626" t="s">
        <v>12</v>
      </c>
      <c r="F3626">
        <v>16808453</v>
      </c>
      <c r="G3626">
        <v>16808516</v>
      </c>
      <c r="H3626">
        <v>16809233</v>
      </c>
      <c r="I3626">
        <v>16809324</v>
      </c>
    </row>
    <row r="3627" spans="1:9" x14ac:dyDescent="0.2">
      <c r="A3627" t="str">
        <f>"Cdh20"</f>
        <v>Cdh20</v>
      </c>
      <c r="B3627" t="s">
        <v>14</v>
      </c>
      <c r="C3627" t="s">
        <v>19</v>
      </c>
      <c r="D3627" t="s">
        <v>17</v>
      </c>
      <c r="E3627" t="s">
        <v>12</v>
      </c>
      <c r="F3627">
        <v>104768510</v>
      </c>
      <c r="G3627">
        <v>104768526</v>
      </c>
      <c r="H3627">
        <v>104768796</v>
      </c>
      <c r="I3627">
        <v>104768823</v>
      </c>
    </row>
    <row r="3628" spans="1:9" x14ac:dyDescent="0.2">
      <c r="A3628" t="str">
        <f>"Cdh22"</f>
        <v>Cdh22</v>
      </c>
      <c r="B3628" t="s">
        <v>14</v>
      </c>
      <c r="C3628" t="s">
        <v>26</v>
      </c>
      <c r="D3628" t="s">
        <v>11</v>
      </c>
      <c r="E3628" t="s">
        <v>12</v>
      </c>
      <c r="F3628">
        <v>165234689</v>
      </c>
      <c r="G3628">
        <v>165234750</v>
      </c>
      <c r="H3628">
        <v>165234658</v>
      </c>
      <c r="I3628">
        <v>165234681</v>
      </c>
    </row>
    <row r="3629" spans="1:9" x14ac:dyDescent="0.2">
      <c r="A3629" t="str">
        <f>"Cdh23"</f>
        <v>Cdh23</v>
      </c>
      <c r="B3629" t="s">
        <v>14</v>
      </c>
      <c r="C3629" t="s">
        <v>15</v>
      </c>
      <c r="D3629" t="s">
        <v>11</v>
      </c>
      <c r="E3629" t="s">
        <v>12</v>
      </c>
      <c r="F3629">
        <v>60687233</v>
      </c>
      <c r="G3629">
        <v>60687271</v>
      </c>
      <c r="H3629">
        <v>60687212</v>
      </c>
      <c r="I3629">
        <v>60687232</v>
      </c>
    </row>
    <row r="3630" spans="1:9" x14ac:dyDescent="0.2">
      <c r="A3630" t="str">
        <f>"Cdh24"</f>
        <v>Cdh24</v>
      </c>
      <c r="B3630" t="s">
        <v>14</v>
      </c>
      <c r="C3630" t="s">
        <v>41</v>
      </c>
      <c r="D3630" t="s">
        <v>11</v>
      </c>
      <c r="E3630" t="s">
        <v>12</v>
      </c>
      <c r="F3630">
        <v>54641323</v>
      </c>
      <c r="G3630">
        <v>54641343</v>
      </c>
      <c r="H3630">
        <v>54641347</v>
      </c>
      <c r="I3630">
        <v>54641374</v>
      </c>
    </row>
    <row r="3631" spans="1:9" x14ac:dyDescent="0.2">
      <c r="A3631" t="str">
        <f>"Cdh26"</f>
        <v>Cdh26</v>
      </c>
      <c r="B3631" t="s">
        <v>14</v>
      </c>
      <c r="C3631" t="s">
        <v>26</v>
      </c>
      <c r="D3631" t="s">
        <v>17</v>
      </c>
      <c r="E3631" t="s">
        <v>12</v>
      </c>
      <c r="F3631">
        <v>178430530</v>
      </c>
      <c r="G3631">
        <v>178430549</v>
      </c>
      <c r="H3631">
        <v>178430620</v>
      </c>
      <c r="I3631">
        <v>178430628</v>
      </c>
    </row>
    <row r="3632" spans="1:9" x14ac:dyDescent="0.2">
      <c r="A3632" t="str">
        <f>"Cdh3"</f>
        <v>Cdh3</v>
      </c>
      <c r="B3632" t="s">
        <v>14</v>
      </c>
      <c r="C3632" t="s">
        <v>30</v>
      </c>
      <c r="D3632" t="s">
        <v>17</v>
      </c>
      <c r="E3632" t="s">
        <v>12</v>
      </c>
      <c r="F3632">
        <v>106510853</v>
      </c>
      <c r="G3632">
        <v>106510924</v>
      </c>
      <c r="H3632">
        <v>106510853</v>
      </c>
      <c r="I3632">
        <v>106510924</v>
      </c>
    </row>
    <row r="3633" spans="1:9" x14ac:dyDescent="0.2">
      <c r="A3633" t="str">
        <f>"Cdh4"</f>
        <v>Cdh4</v>
      </c>
      <c r="B3633" t="s">
        <v>14</v>
      </c>
      <c r="C3633" t="s">
        <v>26</v>
      </c>
      <c r="D3633" t="s">
        <v>17</v>
      </c>
      <c r="E3633" t="s">
        <v>12</v>
      </c>
      <c r="F3633">
        <v>179442427</v>
      </c>
      <c r="G3633">
        <v>179442442</v>
      </c>
      <c r="H3633">
        <v>179442407</v>
      </c>
      <c r="I3633">
        <v>179442421</v>
      </c>
    </row>
    <row r="3634" spans="1:9" x14ac:dyDescent="0.2">
      <c r="A3634" t="str">
        <f>"Cdh5"</f>
        <v>Cdh5</v>
      </c>
      <c r="B3634" t="s">
        <v>14</v>
      </c>
      <c r="C3634" t="s">
        <v>30</v>
      </c>
      <c r="D3634" t="s">
        <v>17</v>
      </c>
      <c r="E3634" t="s">
        <v>12</v>
      </c>
      <c r="F3634">
        <v>104101654</v>
      </c>
      <c r="G3634">
        <v>104101708</v>
      </c>
      <c r="H3634">
        <v>104101628</v>
      </c>
      <c r="I3634">
        <v>104101650</v>
      </c>
    </row>
    <row r="3635" spans="1:9" x14ac:dyDescent="0.2">
      <c r="A3635" t="str">
        <f>"Cdh6"</f>
        <v>Cdh6</v>
      </c>
      <c r="B3635" t="s">
        <v>14</v>
      </c>
      <c r="C3635" t="s">
        <v>25</v>
      </c>
      <c r="D3635" t="s">
        <v>11</v>
      </c>
      <c r="E3635" t="s">
        <v>12</v>
      </c>
      <c r="F3635">
        <v>13173607</v>
      </c>
      <c r="G3635">
        <v>13173644</v>
      </c>
      <c r="H3635">
        <v>13173660</v>
      </c>
      <c r="I3635">
        <v>13173706</v>
      </c>
    </row>
    <row r="3636" spans="1:9" x14ac:dyDescent="0.2">
      <c r="A3636" t="str">
        <f>"Cdh7"</f>
        <v>Cdh7</v>
      </c>
      <c r="B3636" t="s">
        <v>14</v>
      </c>
      <c r="C3636" t="s">
        <v>19</v>
      </c>
      <c r="D3636" t="s">
        <v>17</v>
      </c>
      <c r="E3636" t="s">
        <v>12</v>
      </c>
      <c r="F3636">
        <v>109983277</v>
      </c>
      <c r="G3636">
        <v>109983303</v>
      </c>
      <c r="H3636">
        <v>109983207</v>
      </c>
      <c r="I3636">
        <v>109983235</v>
      </c>
    </row>
    <row r="3637" spans="1:9" x14ac:dyDescent="0.2">
      <c r="A3637" t="str">
        <f>"Cdh8"</f>
        <v>Cdh8</v>
      </c>
      <c r="B3637" t="s">
        <v>14</v>
      </c>
      <c r="C3637" t="s">
        <v>30</v>
      </c>
      <c r="D3637" t="s">
        <v>11</v>
      </c>
      <c r="E3637" t="s">
        <v>12</v>
      </c>
      <c r="F3637">
        <v>99416397</v>
      </c>
      <c r="G3637">
        <v>99416462</v>
      </c>
      <c r="H3637">
        <v>99416329</v>
      </c>
      <c r="I3637">
        <v>99416348</v>
      </c>
    </row>
    <row r="3638" spans="1:9" x14ac:dyDescent="0.2">
      <c r="A3638" t="str">
        <f>"Cdh9"</f>
        <v>Cdh9</v>
      </c>
      <c r="B3638" t="s">
        <v>2278</v>
      </c>
      <c r="C3638" t="s">
        <v>25</v>
      </c>
      <c r="D3638" t="s">
        <v>17</v>
      </c>
      <c r="E3638" t="s">
        <v>20</v>
      </c>
      <c r="F3638">
        <v>16778100</v>
      </c>
      <c r="G3638">
        <v>16778100</v>
      </c>
      <c r="H3638">
        <v>16778100</v>
      </c>
      <c r="I3638">
        <v>16778100</v>
      </c>
    </row>
    <row r="3639" spans="1:9" x14ac:dyDescent="0.2">
      <c r="A3639" t="str">
        <f>"Cdhr1"</f>
        <v>Cdhr1</v>
      </c>
      <c r="B3639" t="s">
        <v>14</v>
      </c>
      <c r="C3639" t="s">
        <v>41</v>
      </c>
      <c r="D3639" t="s">
        <v>11</v>
      </c>
      <c r="E3639" t="s">
        <v>12</v>
      </c>
      <c r="F3639">
        <v>37098211</v>
      </c>
      <c r="G3639">
        <v>37098280</v>
      </c>
      <c r="H3639">
        <v>37098211</v>
      </c>
      <c r="I3639">
        <v>37098280</v>
      </c>
    </row>
    <row r="3640" spans="1:9" x14ac:dyDescent="0.2">
      <c r="A3640" t="str">
        <f>"Cdhr2"</f>
        <v>Cdhr2</v>
      </c>
      <c r="B3640" t="s">
        <v>14</v>
      </c>
      <c r="C3640" t="s">
        <v>39</v>
      </c>
      <c r="D3640" t="s">
        <v>17</v>
      </c>
      <c r="E3640" t="s">
        <v>12</v>
      </c>
      <c r="F3640">
        <v>54701457</v>
      </c>
      <c r="G3640">
        <v>54701479</v>
      </c>
      <c r="H3640">
        <v>54701435</v>
      </c>
      <c r="I3640">
        <v>54701446</v>
      </c>
    </row>
    <row r="3641" spans="1:9" x14ac:dyDescent="0.2">
      <c r="A3641" t="str">
        <f>"Cdhr3"</f>
        <v>Cdhr3</v>
      </c>
      <c r="B3641" t="s">
        <v>2279</v>
      </c>
      <c r="C3641" t="s">
        <v>16</v>
      </c>
      <c r="D3641" t="s">
        <v>11</v>
      </c>
      <c r="E3641" t="s">
        <v>35</v>
      </c>
      <c r="F3641">
        <v>33092914</v>
      </c>
      <c r="G3641">
        <v>33092916</v>
      </c>
      <c r="H3641">
        <v>33092809</v>
      </c>
      <c r="I3641">
        <v>33092826</v>
      </c>
    </row>
    <row r="3642" spans="1:9" x14ac:dyDescent="0.2">
      <c r="A3642" t="str">
        <f>"Cdhr4"</f>
        <v>Cdhr4</v>
      </c>
      <c r="B3642" t="s">
        <v>14</v>
      </c>
      <c r="C3642" t="s">
        <v>24</v>
      </c>
      <c r="D3642" t="s">
        <v>17</v>
      </c>
      <c r="E3642" t="s">
        <v>12</v>
      </c>
      <c r="F3642">
        <v>107995739</v>
      </c>
      <c r="G3642">
        <v>107995790</v>
      </c>
      <c r="H3642">
        <v>107995728</v>
      </c>
      <c r="I3642">
        <v>107995738</v>
      </c>
    </row>
    <row r="3643" spans="1:9" x14ac:dyDescent="0.2">
      <c r="A3643" t="str">
        <f>"Cdhr5"</f>
        <v>Cdhr5</v>
      </c>
      <c r="B3643" t="s">
        <v>14</v>
      </c>
      <c r="C3643" t="s">
        <v>33</v>
      </c>
      <c r="D3643" t="s">
        <v>11</v>
      </c>
      <c r="E3643" t="s">
        <v>12</v>
      </c>
      <c r="F3643">
        <v>141276729</v>
      </c>
      <c r="G3643">
        <v>141276791</v>
      </c>
      <c r="H3643">
        <v>141276729</v>
      </c>
      <c r="I3643">
        <v>141276791</v>
      </c>
    </row>
    <row r="3644" spans="1:9" x14ac:dyDescent="0.2">
      <c r="A3644" t="str">
        <f>"Cdip1"</f>
        <v>Cdip1</v>
      </c>
      <c r="B3644" t="s">
        <v>14</v>
      </c>
      <c r="C3644" t="s">
        <v>31</v>
      </c>
      <c r="D3644" t="s">
        <v>11</v>
      </c>
      <c r="E3644" t="s">
        <v>67</v>
      </c>
      <c r="F3644">
        <v>4789887</v>
      </c>
      <c r="G3644">
        <v>4789949</v>
      </c>
      <c r="H3644">
        <v>4790220</v>
      </c>
      <c r="I3644">
        <v>4790300</v>
      </c>
    </row>
    <row r="3645" spans="1:9" x14ac:dyDescent="0.2">
      <c r="A3645" t="str">
        <f>"Cdipt"</f>
        <v>Cdipt</v>
      </c>
      <c r="B3645" t="s">
        <v>14</v>
      </c>
      <c r="C3645" t="s">
        <v>33</v>
      </c>
      <c r="D3645" t="s">
        <v>17</v>
      </c>
      <c r="E3645" t="s">
        <v>12</v>
      </c>
      <c r="F3645">
        <v>126976432</v>
      </c>
      <c r="G3645">
        <v>126976466</v>
      </c>
      <c r="H3645">
        <v>126976338</v>
      </c>
      <c r="I3645">
        <v>126976400</v>
      </c>
    </row>
    <row r="3646" spans="1:9" x14ac:dyDescent="0.2">
      <c r="A3646" t="str">
        <f>"Cdk1"</f>
        <v>Cdk1</v>
      </c>
      <c r="B3646" t="s">
        <v>14</v>
      </c>
      <c r="C3646" t="s">
        <v>15</v>
      </c>
      <c r="D3646" t="s">
        <v>11</v>
      </c>
      <c r="E3646" t="s">
        <v>12</v>
      </c>
      <c r="F3646">
        <v>69352886</v>
      </c>
      <c r="G3646">
        <v>69352929</v>
      </c>
      <c r="H3646">
        <v>69352868</v>
      </c>
      <c r="I3646">
        <v>69352881</v>
      </c>
    </row>
    <row r="3647" spans="1:9" x14ac:dyDescent="0.2">
      <c r="A3647" t="str">
        <f>"Cdk10"</f>
        <v>Cdk10</v>
      </c>
      <c r="B3647" t="s">
        <v>14</v>
      </c>
      <c r="C3647" t="s">
        <v>30</v>
      </c>
      <c r="D3647" t="s">
        <v>17</v>
      </c>
      <c r="E3647" t="s">
        <v>12</v>
      </c>
      <c r="F3647">
        <v>123224833</v>
      </c>
      <c r="G3647">
        <v>123224875</v>
      </c>
      <c r="H3647">
        <v>123224833</v>
      </c>
      <c r="I3647">
        <v>123224875</v>
      </c>
    </row>
    <row r="3648" spans="1:9" x14ac:dyDescent="0.2">
      <c r="A3648" t="str">
        <f>"Cdk11b"</f>
        <v>Cdk11b</v>
      </c>
      <c r="B3648" t="s">
        <v>14</v>
      </c>
      <c r="C3648" t="s">
        <v>23</v>
      </c>
      <c r="D3648" t="s">
        <v>17</v>
      </c>
      <c r="E3648" t="s">
        <v>12</v>
      </c>
      <c r="F3648">
        <v>155624853</v>
      </c>
      <c r="G3648">
        <v>155624929</v>
      </c>
      <c r="H3648">
        <v>155624853</v>
      </c>
      <c r="I3648">
        <v>155624929</v>
      </c>
    </row>
    <row r="3649" spans="1:9" x14ac:dyDescent="0.2">
      <c r="A3649" t="str">
        <f>"Cdk12"</f>
        <v>Cdk12</v>
      </c>
      <c r="B3649" t="s">
        <v>14</v>
      </c>
      <c r="C3649" t="s">
        <v>27</v>
      </c>
      <c r="D3649" t="s">
        <v>17</v>
      </c>
      <c r="E3649" t="s">
        <v>12</v>
      </c>
      <c r="F3649">
        <v>98202758</v>
      </c>
      <c r="G3649">
        <v>98202801</v>
      </c>
      <c r="H3649">
        <v>98203218</v>
      </c>
      <c r="I3649">
        <v>98203257</v>
      </c>
    </row>
    <row r="3650" spans="1:9" x14ac:dyDescent="0.2">
      <c r="A3650" t="str">
        <f>"Cdk13"</f>
        <v>Cdk13</v>
      </c>
      <c r="B3650" t="s">
        <v>14</v>
      </c>
      <c r="C3650" t="s">
        <v>39</v>
      </c>
      <c r="D3650" t="s">
        <v>11</v>
      </c>
      <c r="E3650" t="s">
        <v>12</v>
      </c>
      <c r="F3650">
        <v>17805093</v>
      </c>
      <c r="G3650">
        <v>17805189</v>
      </c>
      <c r="H3650">
        <v>17805093</v>
      </c>
      <c r="I3650">
        <v>17805189</v>
      </c>
    </row>
    <row r="3651" spans="1:9" x14ac:dyDescent="0.2">
      <c r="A3651" t="str">
        <f>"Cdk14"</f>
        <v>Cdk14</v>
      </c>
      <c r="B3651" t="s">
        <v>14</v>
      </c>
      <c r="C3651" t="s">
        <v>46</v>
      </c>
      <c r="D3651" t="s">
        <v>11</v>
      </c>
      <c r="E3651" t="s">
        <v>12</v>
      </c>
      <c r="F3651">
        <v>5380185</v>
      </c>
      <c r="G3651">
        <v>5380229</v>
      </c>
      <c r="H3651">
        <v>5380185</v>
      </c>
      <c r="I3651">
        <v>5380229</v>
      </c>
    </row>
    <row r="3652" spans="1:9" x14ac:dyDescent="0.2">
      <c r="A3652" t="str">
        <f>"Cdk15"</f>
        <v>Cdk15</v>
      </c>
      <c r="B3652" t="s">
        <v>2280</v>
      </c>
      <c r="C3652" t="s">
        <v>19</v>
      </c>
      <c r="D3652" t="s">
        <v>17</v>
      </c>
      <c r="E3652" t="s">
        <v>35</v>
      </c>
      <c r="F3652">
        <v>59256963</v>
      </c>
      <c r="G3652">
        <v>59256974</v>
      </c>
      <c r="H3652">
        <v>59256985</v>
      </c>
      <c r="I3652">
        <v>59256988</v>
      </c>
    </row>
    <row r="3653" spans="1:9" x14ac:dyDescent="0.2">
      <c r="A3653" t="str">
        <f>"Cdk16"</f>
        <v>Cdk16</v>
      </c>
      <c r="B3653" t="s">
        <v>14</v>
      </c>
      <c r="C3653" t="s">
        <v>37</v>
      </c>
      <c r="D3653" t="s">
        <v>17</v>
      </c>
      <c r="E3653" t="s">
        <v>12</v>
      </c>
      <c r="F3653">
        <v>20688379</v>
      </c>
      <c r="G3653">
        <v>20688481</v>
      </c>
      <c r="H3653">
        <v>20688482</v>
      </c>
      <c r="I3653">
        <v>20688532</v>
      </c>
    </row>
    <row r="3654" spans="1:9" x14ac:dyDescent="0.2">
      <c r="A3654" t="str">
        <f>"Cdk17"</f>
        <v>Cdk17</v>
      </c>
      <c r="B3654" t="s">
        <v>14</v>
      </c>
      <c r="C3654" t="s">
        <v>15</v>
      </c>
      <c r="D3654" t="s">
        <v>17</v>
      </c>
      <c r="E3654" t="s">
        <v>12</v>
      </c>
      <c r="F3654">
        <v>93160824</v>
      </c>
      <c r="G3654">
        <v>93160894</v>
      </c>
      <c r="H3654">
        <v>93160787</v>
      </c>
      <c r="I3654">
        <v>93160815</v>
      </c>
    </row>
    <row r="3655" spans="1:9" x14ac:dyDescent="0.2">
      <c r="A3655" t="str">
        <f>"Cdk18"</f>
        <v>Cdk18</v>
      </c>
      <c r="B3655" t="s">
        <v>14</v>
      </c>
      <c r="C3655" t="s">
        <v>19</v>
      </c>
      <c r="D3655" t="s">
        <v>11</v>
      </c>
      <c r="E3655" t="s">
        <v>12</v>
      </c>
      <c r="F3655">
        <v>132139666</v>
      </c>
      <c r="G3655">
        <v>132139692</v>
      </c>
      <c r="H3655">
        <v>132139638</v>
      </c>
      <c r="I3655">
        <v>132139645</v>
      </c>
    </row>
    <row r="3656" spans="1:9" x14ac:dyDescent="0.2">
      <c r="A3656" t="str">
        <f>"Cdk19"</f>
        <v>Cdk19</v>
      </c>
      <c r="B3656" t="s">
        <v>14</v>
      </c>
      <c r="C3656" t="s">
        <v>15</v>
      </c>
      <c r="D3656" t="s">
        <v>17</v>
      </c>
      <c r="E3656" t="s">
        <v>12</v>
      </c>
      <c r="F3656">
        <v>40349265</v>
      </c>
      <c r="G3656">
        <v>40349387</v>
      </c>
      <c r="H3656">
        <v>40349474</v>
      </c>
      <c r="I3656">
        <v>40349518</v>
      </c>
    </row>
    <row r="3657" spans="1:9" x14ac:dyDescent="0.2">
      <c r="A3657" t="str">
        <f>"Cdk2"</f>
        <v>Cdk2</v>
      </c>
      <c r="B3657" t="s">
        <v>14</v>
      </c>
      <c r="C3657" t="s">
        <v>15</v>
      </c>
      <c r="D3657" t="s">
        <v>11</v>
      </c>
      <c r="E3657" t="s">
        <v>12</v>
      </c>
      <c r="F3657">
        <v>128704978</v>
      </c>
      <c r="G3657">
        <v>128705049</v>
      </c>
      <c r="H3657">
        <v>128704947</v>
      </c>
      <c r="I3657">
        <v>128704975</v>
      </c>
    </row>
    <row r="3658" spans="1:9" x14ac:dyDescent="0.2">
      <c r="A3658" t="str">
        <f>"Cdk20"</f>
        <v>Cdk20</v>
      </c>
      <c r="B3658" t="s">
        <v>14</v>
      </c>
      <c r="C3658" t="s">
        <v>39</v>
      </c>
      <c r="D3658" t="s">
        <v>17</v>
      </c>
      <c r="E3658" t="s">
        <v>12</v>
      </c>
      <c r="F3658">
        <v>64432347</v>
      </c>
      <c r="G3658">
        <v>64432419</v>
      </c>
      <c r="H3658">
        <v>64432479</v>
      </c>
      <c r="I3658">
        <v>64432557</v>
      </c>
    </row>
    <row r="3659" spans="1:9" x14ac:dyDescent="0.2">
      <c r="A3659" t="str">
        <f>"Cdk2ap1"</f>
        <v>Cdk2ap1</v>
      </c>
      <c r="B3659" t="s">
        <v>9</v>
      </c>
      <c r="C3659" t="s">
        <v>46</v>
      </c>
      <c r="D3659" t="s">
        <v>11</v>
      </c>
      <c r="E3659" t="s">
        <v>12</v>
      </c>
      <c r="F3659">
        <v>124354756</v>
      </c>
      <c r="G3659">
        <v>124354777</v>
      </c>
      <c r="H3659">
        <v>124354756</v>
      </c>
      <c r="I3659">
        <v>124354777</v>
      </c>
    </row>
    <row r="3660" spans="1:9" x14ac:dyDescent="0.2">
      <c r="A3660" t="str">
        <f>"Cdk2ap1"</f>
        <v>Cdk2ap1</v>
      </c>
      <c r="B3660" t="s">
        <v>13</v>
      </c>
      <c r="C3660" t="s">
        <v>46</v>
      </c>
      <c r="D3660" t="s">
        <v>11</v>
      </c>
      <c r="E3660" t="s">
        <v>12</v>
      </c>
      <c r="F3660">
        <v>124352257</v>
      </c>
      <c r="G3660">
        <v>124352302</v>
      </c>
      <c r="H3660">
        <v>124352257</v>
      </c>
      <c r="I3660">
        <v>124352302</v>
      </c>
    </row>
    <row r="3661" spans="1:9" x14ac:dyDescent="0.2">
      <c r="A3661" t="str">
        <f>"Cdk2ap2"</f>
        <v>Cdk2ap2</v>
      </c>
      <c r="B3661" t="s">
        <v>14</v>
      </c>
      <c r="C3661" t="s">
        <v>10</v>
      </c>
      <c r="D3661" t="s">
        <v>17</v>
      </c>
      <c r="E3661" t="s">
        <v>12</v>
      </c>
      <c r="F3661">
        <v>4097337</v>
      </c>
      <c r="G3661">
        <v>4097356</v>
      </c>
      <c r="H3661">
        <v>4097392</v>
      </c>
      <c r="I3661">
        <v>4097415</v>
      </c>
    </row>
    <row r="3662" spans="1:9" x14ac:dyDescent="0.2">
      <c r="A3662" t="str">
        <f>"Cdk4"</f>
        <v>Cdk4</v>
      </c>
      <c r="B3662" t="s">
        <v>14</v>
      </c>
      <c r="C3662" t="s">
        <v>15</v>
      </c>
      <c r="D3662" t="s">
        <v>17</v>
      </c>
      <c r="E3662" t="s">
        <v>12</v>
      </c>
      <c r="F3662">
        <v>127063599</v>
      </c>
      <c r="G3662">
        <v>127063655</v>
      </c>
      <c r="H3662">
        <v>127063548</v>
      </c>
      <c r="I3662">
        <v>127063597</v>
      </c>
    </row>
    <row r="3663" spans="1:9" x14ac:dyDescent="0.2">
      <c r="A3663" t="str">
        <f>"Cdk5"</f>
        <v>Cdk5</v>
      </c>
      <c r="B3663" t="s">
        <v>14</v>
      </c>
      <c r="C3663" t="s">
        <v>46</v>
      </c>
      <c r="D3663" t="s">
        <v>11</v>
      </c>
      <c r="E3663" t="s">
        <v>12</v>
      </c>
      <c r="F3663">
        <v>24423541</v>
      </c>
      <c r="G3663">
        <v>24423589</v>
      </c>
      <c r="H3663">
        <v>24423516</v>
      </c>
      <c r="I3663">
        <v>24423538</v>
      </c>
    </row>
    <row r="3664" spans="1:9" x14ac:dyDescent="0.2">
      <c r="A3664" t="str">
        <f>"Cdk5r1"</f>
        <v>Cdk5r1</v>
      </c>
      <c r="B3664" t="s">
        <v>14</v>
      </c>
      <c r="C3664" t="s">
        <v>27</v>
      </c>
      <c r="D3664" t="s">
        <v>17</v>
      </c>
      <c r="E3664" t="s">
        <v>12</v>
      </c>
      <c r="F3664">
        <v>80477015</v>
      </c>
      <c r="G3664">
        <v>80477085</v>
      </c>
      <c r="H3664">
        <v>80477015</v>
      </c>
      <c r="I3664">
        <v>80477085</v>
      </c>
    </row>
    <row r="3665" spans="1:9" x14ac:dyDescent="0.2">
      <c r="A3665" t="str">
        <f>"Cdk5r2"</f>
        <v>Cdk5r2</v>
      </c>
      <c r="B3665" t="s">
        <v>14</v>
      </c>
      <c r="C3665" t="s">
        <v>19</v>
      </c>
      <c r="D3665" t="s">
        <v>17</v>
      </c>
      <c r="E3665" t="s">
        <v>12</v>
      </c>
      <c r="F3665">
        <v>74854910</v>
      </c>
      <c r="G3665">
        <v>74854945</v>
      </c>
      <c r="H3665">
        <v>74854954</v>
      </c>
      <c r="I3665">
        <v>74854965</v>
      </c>
    </row>
    <row r="3666" spans="1:9" x14ac:dyDescent="0.2">
      <c r="A3666" t="str">
        <f>"Cdk5rap1"</f>
        <v>Cdk5rap1</v>
      </c>
      <c r="B3666" t="s">
        <v>9</v>
      </c>
      <c r="C3666" t="s">
        <v>26</v>
      </c>
      <c r="D3666" t="s">
        <v>11</v>
      </c>
      <c r="E3666" t="s">
        <v>12</v>
      </c>
      <c r="F3666">
        <v>154372702</v>
      </c>
      <c r="G3666">
        <v>154372735</v>
      </c>
      <c r="H3666">
        <v>154372702</v>
      </c>
      <c r="I3666">
        <v>154372735</v>
      </c>
    </row>
    <row r="3667" spans="1:9" x14ac:dyDescent="0.2">
      <c r="A3667" t="str">
        <f>"Cdk5rap1"</f>
        <v>Cdk5rap1</v>
      </c>
      <c r="B3667" t="s">
        <v>13</v>
      </c>
      <c r="C3667" t="s">
        <v>26</v>
      </c>
      <c r="D3667" t="s">
        <v>11</v>
      </c>
      <c r="E3667" t="s">
        <v>12</v>
      </c>
      <c r="F3667">
        <v>154354237</v>
      </c>
      <c r="G3667">
        <v>154354273</v>
      </c>
      <c r="H3667">
        <v>154354237</v>
      </c>
      <c r="I3667">
        <v>154354273</v>
      </c>
    </row>
    <row r="3668" spans="1:9" x14ac:dyDescent="0.2">
      <c r="A3668" t="str">
        <f>"Cdk5rap2"</f>
        <v>Cdk5rap2</v>
      </c>
      <c r="B3668" t="s">
        <v>14</v>
      </c>
      <c r="C3668" t="s">
        <v>23</v>
      </c>
      <c r="D3668" t="s">
        <v>11</v>
      </c>
      <c r="E3668" t="s">
        <v>12</v>
      </c>
      <c r="F3668">
        <v>70410422</v>
      </c>
      <c r="G3668">
        <v>70410463</v>
      </c>
      <c r="H3668">
        <v>70410422</v>
      </c>
      <c r="I3668">
        <v>70410463</v>
      </c>
    </row>
    <row r="3669" spans="1:9" x14ac:dyDescent="0.2">
      <c r="A3669" t="str">
        <f>"Cdk5rap3"</f>
        <v>Cdk5rap3</v>
      </c>
      <c r="B3669" t="s">
        <v>14</v>
      </c>
      <c r="C3669" t="s">
        <v>27</v>
      </c>
      <c r="D3669" t="s">
        <v>11</v>
      </c>
      <c r="E3669" t="s">
        <v>12</v>
      </c>
      <c r="F3669">
        <v>96916448</v>
      </c>
      <c r="G3669">
        <v>96916531</v>
      </c>
      <c r="H3669">
        <v>96916407</v>
      </c>
      <c r="I3669">
        <v>96916426</v>
      </c>
    </row>
    <row r="3670" spans="1:9" x14ac:dyDescent="0.2">
      <c r="A3670" t="str">
        <f>"Cdk6"</f>
        <v>Cdk6</v>
      </c>
      <c r="B3670" t="s">
        <v>14</v>
      </c>
      <c r="C3670" t="s">
        <v>46</v>
      </c>
      <c r="D3670" t="s">
        <v>17</v>
      </c>
      <c r="E3670" t="s">
        <v>12</v>
      </c>
      <c r="F3670">
        <v>3343907</v>
      </c>
      <c r="G3670">
        <v>3343945</v>
      </c>
      <c r="H3670">
        <v>3344194</v>
      </c>
      <c r="I3670">
        <v>3344241</v>
      </c>
    </row>
    <row r="3671" spans="1:9" x14ac:dyDescent="0.2">
      <c r="A3671" t="str">
        <f>"Cdk7"</f>
        <v>Cdk7</v>
      </c>
      <c r="B3671" t="s">
        <v>14</v>
      </c>
      <c r="C3671" t="s">
        <v>39</v>
      </c>
      <c r="D3671" t="s">
        <v>11</v>
      </c>
      <c r="E3671" t="s">
        <v>12</v>
      </c>
      <c r="F3671">
        <v>100730839</v>
      </c>
      <c r="G3671">
        <v>100730962</v>
      </c>
      <c r="H3671">
        <v>100730839</v>
      </c>
      <c r="I3671">
        <v>100730962</v>
      </c>
    </row>
    <row r="3672" spans="1:9" x14ac:dyDescent="0.2">
      <c r="A3672" t="str">
        <f>"Cdk8"</f>
        <v>Cdk8</v>
      </c>
      <c r="B3672" t="s">
        <v>14</v>
      </c>
      <c r="C3672" t="s">
        <v>46</v>
      </c>
      <c r="D3672" t="s">
        <v>17</v>
      </c>
      <c r="E3672" t="s">
        <v>12</v>
      </c>
      <c r="F3672">
        <v>146231211</v>
      </c>
      <c r="G3672">
        <v>146231274</v>
      </c>
      <c r="H3672">
        <v>146231163</v>
      </c>
      <c r="I3672">
        <v>146231186</v>
      </c>
    </row>
    <row r="3673" spans="1:9" x14ac:dyDescent="0.2">
      <c r="A3673" t="str">
        <f>"Cdk9"</f>
        <v>Cdk9</v>
      </c>
      <c r="B3673" t="s">
        <v>14</v>
      </c>
      <c r="C3673" t="s">
        <v>26</v>
      </c>
      <c r="D3673" t="s">
        <v>11</v>
      </c>
      <c r="E3673" t="s">
        <v>12</v>
      </c>
      <c r="F3673">
        <v>32712728</v>
      </c>
      <c r="G3673">
        <v>32712793</v>
      </c>
      <c r="H3673">
        <v>32713065</v>
      </c>
      <c r="I3673">
        <v>32713091</v>
      </c>
    </row>
    <row r="3674" spans="1:9" x14ac:dyDescent="0.2">
      <c r="A3674" t="str">
        <f>"Cdkal1"</f>
        <v>Cdkal1</v>
      </c>
      <c r="B3674" t="s">
        <v>14</v>
      </c>
      <c r="C3674" t="s">
        <v>39</v>
      </c>
      <c r="D3674" t="s">
        <v>11</v>
      </c>
      <c r="E3674" t="s">
        <v>12</v>
      </c>
      <c r="F3674">
        <v>29855630</v>
      </c>
      <c r="G3674">
        <v>29855676</v>
      </c>
      <c r="H3674">
        <v>29855630</v>
      </c>
      <c r="I3674">
        <v>29855676</v>
      </c>
    </row>
    <row r="3675" spans="1:9" x14ac:dyDescent="0.2">
      <c r="A3675" t="str">
        <f>"Cdkl1"</f>
        <v>Cdkl1</v>
      </c>
      <c r="B3675" t="s">
        <v>14</v>
      </c>
      <c r="C3675" t="s">
        <v>16</v>
      </c>
      <c r="D3675" t="s">
        <v>11</v>
      </c>
      <c r="E3675" t="s">
        <v>12</v>
      </c>
      <c r="F3675">
        <v>69790660</v>
      </c>
      <c r="G3675">
        <v>69790735</v>
      </c>
      <c r="H3675">
        <v>69790660</v>
      </c>
      <c r="I3675">
        <v>69790735</v>
      </c>
    </row>
    <row r="3676" spans="1:9" x14ac:dyDescent="0.2">
      <c r="A3676" t="str">
        <f>"Cdkl2"</f>
        <v>Cdkl2</v>
      </c>
      <c r="B3676" t="s">
        <v>14</v>
      </c>
      <c r="C3676" t="s">
        <v>46</v>
      </c>
      <c r="D3676" t="s">
        <v>11</v>
      </c>
      <c r="E3676" t="s">
        <v>12</v>
      </c>
      <c r="F3676">
        <v>92042630</v>
      </c>
      <c r="G3676">
        <v>92042701</v>
      </c>
      <c r="H3676">
        <v>92042999</v>
      </c>
      <c r="I3676">
        <v>92043051</v>
      </c>
    </row>
    <row r="3677" spans="1:9" x14ac:dyDescent="0.2">
      <c r="A3677" t="str">
        <f>"Cdkl3"</f>
        <v>Cdkl3</v>
      </c>
      <c r="B3677" t="s">
        <v>14</v>
      </c>
      <c r="C3677" t="s">
        <v>27</v>
      </c>
      <c r="D3677" t="s">
        <v>17</v>
      </c>
      <c r="E3677" t="s">
        <v>12</v>
      </c>
      <c r="F3677">
        <v>52004220</v>
      </c>
      <c r="G3677">
        <v>52004311</v>
      </c>
      <c r="H3677">
        <v>52004340</v>
      </c>
      <c r="I3677">
        <v>52004366</v>
      </c>
    </row>
    <row r="3678" spans="1:9" x14ac:dyDescent="0.2">
      <c r="A3678" t="str">
        <f>"Cdkl4"</f>
        <v>Cdkl4</v>
      </c>
      <c r="B3678" t="s">
        <v>14</v>
      </c>
      <c r="C3678" t="s">
        <v>28</v>
      </c>
      <c r="D3678" t="s">
        <v>11</v>
      </c>
      <c r="E3678" t="s">
        <v>12</v>
      </c>
      <c r="F3678">
        <v>80563798</v>
      </c>
      <c r="G3678">
        <v>80563811</v>
      </c>
      <c r="H3678">
        <v>80563774</v>
      </c>
      <c r="I3678">
        <v>80563783</v>
      </c>
    </row>
    <row r="3679" spans="1:9" x14ac:dyDescent="0.2">
      <c r="A3679" t="str">
        <f>"Cdkl5"</f>
        <v>Cdkl5</v>
      </c>
      <c r="B3679" t="s">
        <v>14</v>
      </c>
      <c r="C3679" t="s">
        <v>37</v>
      </c>
      <c r="D3679" t="s">
        <v>11</v>
      </c>
      <c r="E3679" t="s">
        <v>12</v>
      </c>
      <c r="F3679">
        <v>160994641</v>
      </c>
      <c r="G3679">
        <v>160994661</v>
      </c>
      <c r="H3679">
        <v>160994665</v>
      </c>
      <c r="I3679">
        <v>160994686</v>
      </c>
    </row>
    <row r="3680" spans="1:9" x14ac:dyDescent="0.2">
      <c r="A3680" t="str">
        <f>"Cdkn1a"</f>
        <v>Cdkn1a</v>
      </c>
      <c r="B3680" t="s">
        <v>14</v>
      </c>
      <c r="C3680" t="s">
        <v>28</v>
      </c>
      <c r="D3680" t="s">
        <v>17</v>
      </c>
      <c r="E3680" t="s">
        <v>12</v>
      </c>
      <c r="F3680">
        <v>29093763</v>
      </c>
      <c r="G3680">
        <v>29093781</v>
      </c>
      <c r="H3680">
        <v>29093763</v>
      </c>
      <c r="I3680">
        <v>29093781</v>
      </c>
    </row>
    <row r="3681" spans="1:9" x14ac:dyDescent="0.2">
      <c r="A3681" t="str">
        <f>"Cdkn1b"</f>
        <v>Cdkn1b</v>
      </c>
      <c r="B3681" t="s">
        <v>14</v>
      </c>
      <c r="C3681" t="s">
        <v>32</v>
      </c>
      <c r="D3681" t="s">
        <v>17</v>
      </c>
      <c r="E3681" t="s">
        <v>12</v>
      </c>
      <c r="F3681">
        <v>134920407</v>
      </c>
      <c r="G3681">
        <v>134920434</v>
      </c>
      <c r="H3681">
        <v>134920407</v>
      </c>
      <c r="I3681">
        <v>134920434</v>
      </c>
    </row>
    <row r="3682" spans="1:9" x14ac:dyDescent="0.2">
      <c r="A3682" t="str">
        <f>"Cdkn1c"</f>
        <v>Cdkn1c</v>
      </c>
      <c r="B3682" t="s">
        <v>14</v>
      </c>
      <c r="C3682" t="s">
        <v>33</v>
      </c>
      <c r="D3682" t="s">
        <v>11</v>
      </c>
      <c r="E3682" t="s">
        <v>12</v>
      </c>
      <c r="F3682">
        <v>143460989</v>
      </c>
      <c r="G3682">
        <v>143461005</v>
      </c>
      <c r="H3682">
        <v>143460989</v>
      </c>
      <c r="I3682">
        <v>143461005</v>
      </c>
    </row>
    <row r="3683" spans="1:9" x14ac:dyDescent="0.2">
      <c r="A3683" t="str">
        <f>"Cdkn2a"</f>
        <v>Cdkn2a</v>
      </c>
      <c r="B3683" t="s">
        <v>9</v>
      </c>
      <c r="C3683" t="s">
        <v>23</v>
      </c>
      <c r="D3683" t="s">
        <v>11</v>
      </c>
      <c r="E3683" t="s">
        <v>12</v>
      </c>
      <c r="F3683">
        <v>89294554</v>
      </c>
      <c r="G3683">
        <v>89294588</v>
      </c>
      <c r="H3683">
        <v>89294554</v>
      </c>
      <c r="I3683">
        <v>89294588</v>
      </c>
    </row>
    <row r="3684" spans="1:9" x14ac:dyDescent="0.2">
      <c r="A3684" t="str">
        <f>"Cdkn2a"</f>
        <v>Cdkn2a</v>
      </c>
      <c r="B3684" t="s">
        <v>13</v>
      </c>
      <c r="C3684" t="s">
        <v>23</v>
      </c>
      <c r="D3684" t="s">
        <v>11</v>
      </c>
      <c r="E3684" t="s">
        <v>12</v>
      </c>
      <c r="F3684">
        <v>89282113</v>
      </c>
      <c r="G3684">
        <v>89282151</v>
      </c>
      <c r="H3684">
        <v>89282113</v>
      </c>
      <c r="I3684">
        <v>89282151</v>
      </c>
    </row>
    <row r="3685" spans="1:9" x14ac:dyDescent="0.2">
      <c r="A3685" t="str">
        <f>"Cdkn2aip"</f>
        <v>Cdkn2aip</v>
      </c>
      <c r="B3685" t="s">
        <v>14</v>
      </c>
      <c r="C3685" t="s">
        <v>30</v>
      </c>
      <c r="D3685" t="s">
        <v>11</v>
      </c>
      <c r="E3685" t="s">
        <v>12</v>
      </c>
      <c r="F3685">
        <v>47713920</v>
      </c>
      <c r="G3685">
        <v>47713938</v>
      </c>
      <c r="H3685">
        <v>47713895</v>
      </c>
      <c r="I3685">
        <v>47713908</v>
      </c>
    </row>
    <row r="3686" spans="1:9" x14ac:dyDescent="0.2">
      <c r="A3686" t="str">
        <f>"Cdkn2aipnl"</f>
        <v>Cdkn2aipnl</v>
      </c>
      <c r="B3686" t="s">
        <v>14</v>
      </c>
      <c r="C3686" t="s">
        <v>27</v>
      </c>
      <c r="D3686" t="s">
        <v>17</v>
      </c>
      <c r="E3686" t="s">
        <v>12</v>
      </c>
      <c r="F3686">
        <v>51967649</v>
      </c>
      <c r="G3686">
        <v>51967709</v>
      </c>
      <c r="H3686">
        <v>51967790</v>
      </c>
      <c r="I3686">
        <v>51967799</v>
      </c>
    </row>
    <row r="3687" spans="1:9" x14ac:dyDescent="0.2">
      <c r="A3687" t="str">
        <f>"Cdkn2b"</f>
        <v>Cdkn2b</v>
      </c>
      <c r="B3687" t="s">
        <v>14</v>
      </c>
      <c r="C3687" t="s">
        <v>23</v>
      </c>
      <c r="D3687" t="s">
        <v>11</v>
      </c>
      <c r="E3687" t="s">
        <v>12</v>
      </c>
      <c r="F3687">
        <v>89310959</v>
      </c>
      <c r="G3687">
        <v>89311015</v>
      </c>
      <c r="H3687">
        <v>89311021</v>
      </c>
      <c r="I3687">
        <v>89311025</v>
      </c>
    </row>
    <row r="3688" spans="1:9" x14ac:dyDescent="0.2">
      <c r="A3688" t="str">
        <f>"Cdkn2c"</f>
        <v>Cdkn2c</v>
      </c>
      <c r="B3688" t="s">
        <v>9</v>
      </c>
      <c r="C3688" t="s">
        <v>23</v>
      </c>
      <c r="D3688" t="s">
        <v>11</v>
      </c>
      <c r="E3688" t="s">
        <v>12</v>
      </c>
      <c r="F3688">
        <v>109666610</v>
      </c>
      <c r="G3688">
        <v>109666653</v>
      </c>
      <c r="H3688">
        <v>109666610</v>
      </c>
      <c r="I3688">
        <v>109666653</v>
      </c>
    </row>
    <row r="3689" spans="1:9" x14ac:dyDescent="0.2">
      <c r="A3689" t="str">
        <f>"Cdkn2c"</f>
        <v>Cdkn2c</v>
      </c>
      <c r="B3689" t="s">
        <v>13</v>
      </c>
      <c r="C3689" t="s">
        <v>23</v>
      </c>
      <c r="D3689" t="s">
        <v>11</v>
      </c>
      <c r="E3689" t="s">
        <v>12</v>
      </c>
      <c r="F3689">
        <v>109665249</v>
      </c>
      <c r="G3689">
        <v>109665278</v>
      </c>
      <c r="H3689">
        <v>109665249</v>
      </c>
      <c r="I3689">
        <v>109665278</v>
      </c>
    </row>
    <row r="3690" spans="1:9" x14ac:dyDescent="0.2">
      <c r="A3690" t="str">
        <f>"Cdkn2d"</f>
        <v>Cdkn2d</v>
      </c>
      <c r="B3690" t="s">
        <v>14</v>
      </c>
      <c r="C3690" t="s">
        <v>24</v>
      </c>
      <c r="D3690" t="s">
        <v>11</v>
      </c>
      <c r="E3690" t="s">
        <v>12</v>
      </c>
      <c r="F3690">
        <v>21291124</v>
      </c>
      <c r="G3690">
        <v>21291162</v>
      </c>
      <c r="H3690">
        <v>21291073</v>
      </c>
      <c r="I3690">
        <v>21291085</v>
      </c>
    </row>
    <row r="3691" spans="1:9" x14ac:dyDescent="0.2">
      <c r="A3691" t="str">
        <f>"Cdkn3"</f>
        <v>Cdkn3</v>
      </c>
      <c r="B3691" t="s">
        <v>14</v>
      </c>
      <c r="C3691" t="s">
        <v>41</v>
      </c>
      <c r="D3691" t="s">
        <v>17</v>
      </c>
      <c r="E3691" t="s">
        <v>12</v>
      </c>
      <c r="F3691">
        <v>46760567</v>
      </c>
      <c r="G3691">
        <v>46760626</v>
      </c>
      <c r="H3691">
        <v>46760526</v>
      </c>
      <c r="I3691">
        <v>46760557</v>
      </c>
    </row>
    <row r="3692" spans="1:9" x14ac:dyDescent="0.2">
      <c r="A3692" t="str">
        <f>"Cdnf"</f>
        <v>Cdnf</v>
      </c>
      <c r="B3692" t="s">
        <v>14</v>
      </c>
      <c r="C3692" t="s">
        <v>26</v>
      </c>
      <c r="D3692" t="s">
        <v>17</v>
      </c>
      <c r="E3692" t="s">
        <v>12</v>
      </c>
      <c r="F3692">
        <v>3513035</v>
      </c>
      <c r="G3692">
        <v>3513074</v>
      </c>
      <c r="H3692">
        <v>3513092</v>
      </c>
      <c r="I3692">
        <v>3513127</v>
      </c>
    </row>
    <row r="3693" spans="1:9" x14ac:dyDescent="0.2">
      <c r="A3693" t="str">
        <f>"Cdo1"</f>
        <v>Cdo1</v>
      </c>
      <c r="B3693" t="s">
        <v>14</v>
      </c>
      <c r="C3693" t="s">
        <v>43</v>
      </c>
      <c r="D3693" t="s">
        <v>11</v>
      </c>
      <c r="E3693" t="s">
        <v>12</v>
      </c>
      <c r="F3693">
        <v>46728347</v>
      </c>
      <c r="G3693">
        <v>46728363</v>
      </c>
      <c r="H3693">
        <v>46728347</v>
      </c>
      <c r="I3693">
        <v>46728363</v>
      </c>
    </row>
    <row r="3694" spans="1:9" x14ac:dyDescent="0.2">
      <c r="A3694" t="str">
        <f>"Cdon"</f>
        <v>Cdon</v>
      </c>
      <c r="B3694" t="s">
        <v>14</v>
      </c>
      <c r="C3694" t="s">
        <v>24</v>
      </c>
      <c r="D3694" t="s">
        <v>17</v>
      </c>
      <c r="E3694" t="s">
        <v>12</v>
      </c>
      <c r="F3694">
        <v>35421541</v>
      </c>
      <c r="G3694">
        <v>35421616</v>
      </c>
      <c r="H3694">
        <v>35421643</v>
      </c>
      <c r="I3694">
        <v>35421681</v>
      </c>
    </row>
    <row r="3695" spans="1:9" x14ac:dyDescent="0.2">
      <c r="A3695" t="str">
        <f>"Cdpf1"</f>
        <v>Cdpf1</v>
      </c>
      <c r="B3695" t="s">
        <v>14</v>
      </c>
      <c r="C3695" t="s">
        <v>25</v>
      </c>
      <c r="D3695" t="s">
        <v>11</v>
      </c>
      <c r="E3695" t="s">
        <v>67</v>
      </c>
      <c r="F3695">
        <v>85811663</v>
      </c>
      <c r="G3695">
        <v>85811705</v>
      </c>
      <c r="H3695">
        <v>85811617</v>
      </c>
      <c r="I3695">
        <v>85811628</v>
      </c>
    </row>
    <row r="3696" spans="1:9" x14ac:dyDescent="0.2">
      <c r="A3696" t="str">
        <f>"Cdr1"</f>
        <v>Cdr1</v>
      </c>
      <c r="B3696" t="s">
        <v>2281</v>
      </c>
      <c r="C3696" t="s">
        <v>37</v>
      </c>
      <c r="D3696" t="s">
        <v>11</v>
      </c>
      <c r="E3696" t="s">
        <v>20</v>
      </c>
      <c r="F3696">
        <v>61185557</v>
      </c>
      <c r="G3696">
        <v>61185557</v>
      </c>
      <c r="H3696">
        <v>61185557</v>
      </c>
      <c r="I3696">
        <v>61185557</v>
      </c>
    </row>
    <row r="3697" spans="1:9" x14ac:dyDescent="0.2">
      <c r="A3697" t="str">
        <f>"Cdr2"</f>
        <v>Cdr2</v>
      </c>
      <c r="B3697" t="s">
        <v>14</v>
      </c>
      <c r="C3697" t="s">
        <v>33</v>
      </c>
      <c r="D3697" t="s">
        <v>11</v>
      </c>
      <c r="E3697" t="s">
        <v>12</v>
      </c>
      <c r="F3697">
        <v>120982260</v>
      </c>
      <c r="G3697">
        <v>120982305</v>
      </c>
      <c r="H3697">
        <v>120982323</v>
      </c>
      <c r="I3697">
        <v>120982332</v>
      </c>
    </row>
    <row r="3698" spans="1:9" x14ac:dyDescent="0.2">
      <c r="A3698" t="str">
        <f>"Cdr2l"</f>
        <v>Cdr2l</v>
      </c>
      <c r="B3698" t="s">
        <v>14</v>
      </c>
      <c r="C3698" t="s">
        <v>27</v>
      </c>
      <c r="D3698" t="s">
        <v>17</v>
      </c>
      <c r="E3698" t="s">
        <v>12</v>
      </c>
      <c r="F3698">
        <v>115381906</v>
      </c>
      <c r="G3698">
        <v>115381933</v>
      </c>
      <c r="H3698">
        <v>115381867</v>
      </c>
      <c r="I3698">
        <v>115381899</v>
      </c>
    </row>
    <row r="3699" spans="1:9" x14ac:dyDescent="0.2">
      <c r="A3699" t="str">
        <f>"Cdrt4"</f>
        <v>Cdrt4</v>
      </c>
      <c r="B3699" t="s">
        <v>14</v>
      </c>
      <c r="C3699" t="s">
        <v>27</v>
      </c>
      <c r="D3699" t="s">
        <v>17</v>
      </c>
      <c r="E3699" t="s">
        <v>12</v>
      </c>
      <c r="F3699">
        <v>62951197</v>
      </c>
      <c r="G3699">
        <v>62951231</v>
      </c>
      <c r="H3699">
        <v>62951178</v>
      </c>
      <c r="I3699">
        <v>62951185</v>
      </c>
    </row>
    <row r="3700" spans="1:9" x14ac:dyDescent="0.2">
      <c r="A3700" t="str">
        <f>"Cds1"</f>
        <v>Cds1</v>
      </c>
      <c r="B3700" t="s">
        <v>14</v>
      </c>
      <c r="C3700" t="s">
        <v>46</v>
      </c>
      <c r="D3700" t="s">
        <v>17</v>
      </c>
      <c r="E3700" t="s">
        <v>12</v>
      </c>
      <c r="F3700">
        <v>101765220</v>
      </c>
      <c r="G3700">
        <v>101765295</v>
      </c>
      <c r="H3700">
        <v>101765192</v>
      </c>
      <c r="I3700">
        <v>101765209</v>
      </c>
    </row>
    <row r="3701" spans="1:9" x14ac:dyDescent="0.2">
      <c r="A3701" t="str">
        <f>"Cds2"</f>
        <v>Cds2</v>
      </c>
      <c r="B3701" t="s">
        <v>14</v>
      </c>
      <c r="C3701" t="s">
        <v>26</v>
      </c>
      <c r="D3701" t="s">
        <v>17</v>
      </c>
      <c r="E3701" t="s">
        <v>12</v>
      </c>
      <c r="F3701">
        <v>132263136</v>
      </c>
      <c r="G3701">
        <v>132263268</v>
      </c>
      <c r="H3701">
        <v>132263273</v>
      </c>
      <c r="I3701">
        <v>132263318</v>
      </c>
    </row>
    <row r="3702" spans="1:9" x14ac:dyDescent="0.2">
      <c r="A3702" t="str">
        <f>"Cdsn"</f>
        <v>Cdsn</v>
      </c>
      <c r="B3702" t="s">
        <v>14</v>
      </c>
      <c r="C3702" t="s">
        <v>28</v>
      </c>
      <c r="D3702" t="s">
        <v>17</v>
      </c>
      <c r="E3702" t="s">
        <v>12</v>
      </c>
      <c r="F3702">
        <v>35552167</v>
      </c>
      <c r="G3702">
        <v>35552182</v>
      </c>
      <c r="H3702">
        <v>35552167</v>
      </c>
      <c r="I3702">
        <v>35552182</v>
      </c>
    </row>
    <row r="3703" spans="1:9" x14ac:dyDescent="0.2">
      <c r="A3703" t="str">
        <f>"Cdt1"</f>
        <v>Cdt1</v>
      </c>
      <c r="B3703" t="s">
        <v>14</v>
      </c>
      <c r="C3703" t="s">
        <v>30</v>
      </c>
      <c r="D3703" t="s">
        <v>17</v>
      </c>
      <c r="E3703" t="s">
        <v>12</v>
      </c>
      <c r="F3703">
        <v>122568021</v>
      </c>
      <c r="G3703">
        <v>122568060</v>
      </c>
      <c r="H3703">
        <v>122568001</v>
      </c>
      <c r="I3703">
        <v>122568020</v>
      </c>
    </row>
    <row r="3704" spans="1:9" x14ac:dyDescent="0.2">
      <c r="A3704" t="str">
        <f>"Cdv3"</f>
        <v>Cdv3</v>
      </c>
      <c r="B3704" t="s">
        <v>14</v>
      </c>
      <c r="C3704" t="s">
        <v>24</v>
      </c>
      <c r="D3704" t="s">
        <v>11</v>
      </c>
      <c r="E3704" t="s">
        <v>12</v>
      </c>
      <c r="F3704">
        <v>103365623</v>
      </c>
      <c r="G3704">
        <v>103365694</v>
      </c>
      <c r="H3704">
        <v>103365599</v>
      </c>
      <c r="I3704">
        <v>103365613</v>
      </c>
    </row>
    <row r="3705" spans="1:9" x14ac:dyDescent="0.2">
      <c r="A3705" t="str">
        <f>"Cdx1"</f>
        <v>Cdx1</v>
      </c>
      <c r="B3705" t="s">
        <v>14</v>
      </c>
      <c r="C3705" t="s">
        <v>43</v>
      </c>
      <c r="D3705" t="s">
        <v>11</v>
      </c>
      <c r="E3705" t="s">
        <v>12</v>
      </c>
      <c r="F3705">
        <v>61036211</v>
      </c>
      <c r="G3705">
        <v>61036226</v>
      </c>
      <c r="H3705">
        <v>61036189</v>
      </c>
      <c r="I3705">
        <v>61036210</v>
      </c>
    </row>
    <row r="3706" spans="1:9" x14ac:dyDescent="0.2">
      <c r="A3706" t="str">
        <f>"Cdx2"</f>
        <v>Cdx2</v>
      </c>
      <c r="B3706" t="s">
        <v>14</v>
      </c>
      <c r="C3706" t="s">
        <v>46</v>
      </c>
      <c r="D3706" t="s">
        <v>11</v>
      </c>
      <c r="E3706" t="s">
        <v>12</v>
      </c>
      <c r="F3706">
        <v>147307063</v>
      </c>
      <c r="G3706">
        <v>147307139</v>
      </c>
      <c r="H3706">
        <v>147307264</v>
      </c>
      <c r="I3706">
        <v>147307281</v>
      </c>
    </row>
    <row r="3707" spans="1:9" x14ac:dyDescent="0.2">
      <c r="A3707" t="str">
        <f>"Cdx4"</f>
        <v>Cdx4</v>
      </c>
      <c r="B3707" t="s">
        <v>2282</v>
      </c>
      <c r="C3707" t="s">
        <v>37</v>
      </c>
      <c r="D3707" t="s">
        <v>17</v>
      </c>
      <c r="E3707" t="s">
        <v>20</v>
      </c>
      <c r="F3707">
        <v>103321397</v>
      </c>
      <c r="G3707">
        <v>103321397</v>
      </c>
      <c r="H3707">
        <v>103321397</v>
      </c>
      <c r="I3707">
        <v>103321397</v>
      </c>
    </row>
    <row r="3708" spans="1:9" x14ac:dyDescent="0.2">
      <c r="A3708" t="str">
        <f>"Cdyl"</f>
        <v>Cdyl</v>
      </c>
      <c r="B3708" t="s">
        <v>14</v>
      </c>
      <c r="C3708" t="s">
        <v>39</v>
      </c>
      <c r="D3708" t="s">
        <v>17</v>
      </c>
      <c r="E3708" t="s">
        <v>12</v>
      </c>
      <c r="F3708">
        <v>35741408</v>
      </c>
      <c r="G3708">
        <v>35741516</v>
      </c>
      <c r="H3708">
        <v>35741408</v>
      </c>
      <c r="I3708">
        <v>35741516</v>
      </c>
    </row>
    <row r="3709" spans="1:9" x14ac:dyDescent="0.2">
      <c r="A3709" t="str">
        <f>"Cdyl2"</f>
        <v>Cdyl2</v>
      </c>
      <c r="B3709" t="s">
        <v>14</v>
      </c>
      <c r="C3709" t="s">
        <v>30</v>
      </c>
      <c r="D3709" t="s">
        <v>11</v>
      </c>
      <c r="E3709" t="s">
        <v>12</v>
      </c>
      <c r="F3709">
        <v>116732827</v>
      </c>
      <c r="G3709">
        <v>116732899</v>
      </c>
      <c r="H3709">
        <v>116733255</v>
      </c>
      <c r="I3709">
        <v>116733314</v>
      </c>
    </row>
    <row r="3710" spans="1:9" x14ac:dyDescent="0.2">
      <c r="A3710" t="str">
        <f>"Ceacam1"</f>
        <v>Ceacam1</v>
      </c>
      <c r="B3710" t="s">
        <v>14</v>
      </c>
      <c r="C3710" t="s">
        <v>33</v>
      </c>
      <c r="D3710" t="s">
        <v>11</v>
      </c>
      <c r="E3710" t="s">
        <v>12</v>
      </c>
      <c r="F3710">
        <v>25477582</v>
      </c>
      <c r="G3710">
        <v>25477594</v>
      </c>
      <c r="H3710">
        <v>25477607</v>
      </c>
      <c r="I3710">
        <v>25477634</v>
      </c>
    </row>
    <row r="3711" spans="1:9" x14ac:dyDescent="0.2">
      <c r="A3711" t="str">
        <f>"Ceacam10"</f>
        <v>Ceacam10</v>
      </c>
      <c r="B3711" t="s">
        <v>14</v>
      </c>
      <c r="C3711" t="s">
        <v>33</v>
      </c>
      <c r="D3711" t="s">
        <v>17</v>
      </c>
      <c r="E3711" t="s">
        <v>12</v>
      </c>
      <c r="F3711">
        <v>24777172</v>
      </c>
      <c r="G3711">
        <v>24777247</v>
      </c>
      <c r="H3711">
        <v>24777172</v>
      </c>
      <c r="I3711">
        <v>24777247</v>
      </c>
    </row>
    <row r="3712" spans="1:9" x14ac:dyDescent="0.2">
      <c r="A3712" t="str">
        <f>"Ceacam11"</f>
        <v>Ceacam11</v>
      </c>
      <c r="B3712" t="s">
        <v>14</v>
      </c>
      <c r="C3712" t="s">
        <v>33</v>
      </c>
      <c r="D3712" t="s">
        <v>17</v>
      </c>
      <c r="E3712" t="s">
        <v>12</v>
      </c>
      <c r="F3712">
        <v>17972159</v>
      </c>
      <c r="G3712">
        <v>17972173</v>
      </c>
      <c r="H3712">
        <v>17972159</v>
      </c>
      <c r="I3712">
        <v>17972173</v>
      </c>
    </row>
    <row r="3713" spans="1:9" x14ac:dyDescent="0.2">
      <c r="A3713" t="str">
        <f>"Ceacam12"</f>
        <v>Ceacam12</v>
      </c>
      <c r="B3713" t="s">
        <v>14</v>
      </c>
      <c r="C3713" t="s">
        <v>33</v>
      </c>
      <c r="D3713" t="s">
        <v>17</v>
      </c>
      <c r="E3713" t="s">
        <v>12</v>
      </c>
      <c r="F3713">
        <v>18065972</v>
      </c>
      <c r="G3713">
        <v>18065987</v>
      </c>
      <c r="H3713">
        <v>18065972</v>
      </c>
      <c r="I3713">
        <v>18065987</v>
      </c>
    </row>
    <row r="3714" spans="1:9" x14ac:dyDescent="0.2">
      <c r="A3714" t="str">
        <f>"Ceacam13"</f>
        <v>Ceacam13</v>
      </c>
      <c r="B3714" t="s">
        <v>14</v>
      </c>
      <c r="C3714" t="s">
        <v>33</v>
      </c>
      <c r="D3714" t="s">
        <v>17</v>
      </c>
      <c r="E3714" t="s">
        <v>12</v>
      </c>
      <c r="F3714">
        <v>18009881</v>
      </c>
      <c r="G3714">
        <v>18009895</v>
      </c>
      <c r="H3714">
        <v>18009881</v>
      </c>
      <c r="I3714">
        <v>18009895</v>
      </c>
    </row>
    <row r="3715" spans="1:9" x14ac:dyDescent="0.2">
      <c r="A3715" t="str">
        <f>"Ceacam14"</f>
        <v>Ceacam14</v>
      </c>
      <c r="B3715" t="s">
        <v>14</v>
      </c>
      <c r="C3715" t="s">
        <v>33</v>
      </c>
      <c r="D3715" t="s">
        <v>17</v>
      </c>
      <c r="E3715" t="s">
        <v>12</v>
      </c>
      <c r="F3715">
        <v>17812676</v>
      </c>
      <c r="G3715">
        <v>17812688</v>
      </c>
      <c r="H3715">
        <v>17812703</v>
      </c>
      <c r="I3715">
        <v>17812706</v>
      </c>
    </row>
    <row r="3716" spans="1:9" x14ac:dyDescent="0.2">
      <c r="A3716" t="str">
        <f>"Ceacam15"</f>
        <v>Ceacam15</v>
      </c>
      <c r="B3716" t="s">
        <v>14</v>
      </c>
      <c r="C3716" t="s">
        <v>33</v>
      </c>
      <c r="D3716" t="s">
        <v>11</v>
      </c>
      <c r="E3716" t="s">
        <v>12</v>
      </c>
      <c r="F3716">
        <v>16675617</v>
      </c>
      <c r="G3716">
        <v>16675623</v>
      </c>
      <c r="H3716">
        <v>16675617</v>
      </c>
      <c r="I3716">
        <v>16675623</v>
      </c>
    </row>
    <row r="3717" spans="1:9" x14ac:dyDescent="0.2">
      <c r="A3717" t="str">
        <f>"Ceacam16"</f>
        <v>Ceacam16</v>
      </c>
      <c r="B3717" t="s">
        <v>2283</v>
      </c>
      <c r="C3717" t="s">
        <v>33</v>
      </c>
      <c r="D3717" t="s">
        <v>11</v>
      </c>
      <c r="E3717" t="s">
        <v>20</v>
      </c>
      <c r="F3717">
        <v>19861298</v>
      </c>
      <c r="G3717">
        <v>19861298</v>
      </c>
      <c r="H3717">
        <v>19861298</v>
      </c>
      <c r="I3717">
        <v>19861298</v>
      </c>
    </row>
    <row r="3718" spans="1:9" x14ac:dyDescent="0.2">
      <c r="A3718" t="str">
        <f>"Ceacam18"</f>
        <v>Ceacam18</v>
      </c>
      <c r="B3718" t="s">
        <v>14</v>
      </c>
      <c r="C3718" t="s">
        <v>33</v>
      </c>
      <c r="D3718" t="s">
        <v>17</v>
      </c>
      <c r="E3718" t="s">
        <v>12</v>
      </c>
      <c r="F3718">
        <v>43634718</v>
      </c>
      <c r="G3718">
        <v>43634741</v>
      </c>
      <c r="H3718">
        <v>43634718</v>
      </c>
      <c r="I3718">
        <v>43634741</v>
      </c>
    </row>
    <row r="3719" spans="1:9" x14ac:dyDescent="0.2">
      <c r="A3719" t="str">
        <f>"Ceacam19"</f>
        <v>Ceacam19</v>
      </c>
      <c r="B3719" t="s">
        <v>14</v>
      </c>
      <c r="C3719" t="s">
        <v>33</v>
      </c>
      <c r="D3719" t="s">
        <v>11</v>
      </c>
      <c r="E3719" t="s">
        <v>12</v>
      </c>
      <c r="F3719">
        <v>19887908</v>
      </c>
      <c r="G3719">
        <v>19887945</v>
      </c>
      <c r="H3719">
        <v>19887946</v>
      </c>
      <c r="I3719">
        <v>19887962</v>
      </c>
    </row>
    <row r="3720" spans="1:9" x14ac:dyDescent="0.2">
      <c r="A3720" t="str">
        <f>"Ceacam2"</f>
        <v>Ceacam2</v>
      </c>
      <c r="B3720" t="s">
        <v>14</v>
      </c>
      <c r="C3720" t="s">
        <v>33</v>
      </c>
      <c r="D3720" t="s">
        <v>11</v>
      </c>
      <c r="E3720" t="s">
        <v>12</v>
      </c>
      <c r="F3720">
        <v>25539845</v>
      </c>
      <c r="G3720">
        <v>25539858</v>
      </c>
      <c r="H3720">
        <v>25539915</v>
      </c>
      <c r="I3720">
        <v>25539933</v>
      </c>
    </row>
    <row r="3721" spans="1:9" x14ac:dyDescent="0.2">
      <c r="A3721" t="str">
        <f>"Ceacam20"</f>
        <v>Ceacam20</v>
      </c>
      <c r="B3721" t="s">
        <v>14</v>
      </c>
      <c r="C3721" t="s">
        <v>33</v>
      </c>
      <c r="D3721" t="s">
        <v>17</v>
      </c>
      <c r="E3721" t="s">
        <v>12</v>
      </c>
      <c r="F3721">
        <v>19965365</v>
      </c>
      <c r="G3721">
        <v>19965420</v>
      </c>
      <c r="H3721">
        <v>19965475</v>
      </c>
      <c r="I3721">
        <v>19965486</v>
      </c>
    </row>
    <row r="3722" spans="1:9" x14ac:dyDescent="0.2">
      <c r="A3722" t="str">
        <f>"Ceacam3"</f>
        <v>Ceacam3</v>
      </c>
      <c r="B3722" t="s">
        <v>14</v>
      </c>
      <c r="C3722" t="s">
        <v>33</v>
      </c>
      <c r="D3722" t="s">
        <v>17</v>
      </c>
      <c r="E3722" t="s">
        <v>12</v>
      </c>
      <c r="F3722">
        <v>17150210</v>
      </c>
      <c r="G3722">
        <v>17150236</v>
      </c>
      <c r="H3722">
        <v>17150317</v>
      </c>
      <c r="I3722">
        <v>17150326</v>
      </c>
    </row>
    <row r="3723" spans="1:9" x14ac:dyDescent="0.2">
      <c r="A3723" t="str">
        <f>"Ceacam5"</f>
        <v>Ceacam5</v>
      </c>
      <c r="B3723" t="s">
        <v>14</v>
      </c>
      <c r="C3723" t="s">
        <v>33</v>
      </c>
      <c r="D3723" t="s">
        <v>17</v>
      </c>
      <c r="E3723" t="s">
        <v>12</v>
      </c>
      <c r="F3723">
        <v>17713233</v>
      </c>
      <c r="G3723">
        <v>17713262</v>
      </c>
      <c r="H3723">
        <v>17713195</v>
      </c>
      <c r="I3723">
        <v>17713201</v>
      </c>
    </row>
    <row r="3724" spans="1:9" x14ac:dyDescent="0.2">
      <c r="A3724" t="str">
        <f>"Ceacam9"</f>
        <v>Ceacam9</v>
      </c>
      <c r="B3724" t="s">
        <v>14</v>
      </c>
      <c r="C3724" t="s">
        <v>33</v>
      </c>
      <c r="D3724" t="s">
        <v>17</v>
      </c>
      <c r="E3724" t="s">
        <v>12</v>
      </c>
      <c r="F3724">
        <v>16721954</v>
      </c>
      <c r="G3724">
        <v>16721959</v>
      </c>
      <c r="H3724">
        <v>16721954</v>
      </c>
      <c r="I3724">
        <v>16721959</v>
      </c>
    </row>
    <row r="3725" spans="1:9" x14ac:dyDescent="0.2">
      <c r="A3725" t="str">
        <f>"Cebpa"</f>
        <v>Cebpa</v>
      </c>
      <c r="B3725" t="s">
        <v>14</v>
      </c>
      <c r="C3725" t="s">
        <v>33</v>
      </c>
      <c r="D3725" t="s">
        <v>17</v>
      </c>
      <c r="E3725" t="s">
        <v>12</v>
      </c>
      <c r="F3725">
        <v>35119285</v>
      </c>
      <c r="G3725">
        <v>35119301</v>
      </c>
      <c r="H3725">
        <v>35119133</v>
      </c>
      <c r="I3725">
        <v>35119166</v>
      </c>
    </row>
    <row r="3726" spans="1:9" x14ac:dyDescent="0.2">
      <c r="A3726" t="str">
        <f>"Cebpb"</f>
        <v>Cebpb</v>
      </c>
      <c r="B3726" t="s">
        <v>14</v>
      </c>
      <c r="C3726" t="s">
        <v>26</v>
      </c>
      <c r="D3726" t="s">
        <v>17</v>
      </c>
      <c r="E3726" t="s">
        <v>12</v>
      </c>
      <c r="F3726">
        <v>167688956</v>
      </c>
      <c r="G3726">
        <v>167688973</v>
      </c>
      <c r="H3726">
        <v>167688731</v>
      </c>
      <c r="I3726">
        <v>167688758</v>
      </c>
    </row>
    <row r="3727" spans="1:9" x14ac:dyDescent="0.2">
      <c r="A3727" t="str">
        <f>"Cebpe"</f>
        <v>Cebpe</v>
      </c>
      <c r="B3727" t="s">
        <v>14</v>
      </c>
      <c r="C3727" t="s">
        <v>41</v>
      </c>
      <c r="D3727" t="s">
        <v>11</v>
      </c>
      <c r="E3727" t="s">
        <v>12</v>
      </c>
      <c r="F3727">
        <v>54712139</v>
      </c>
      <c r="G3727">
        <v>54712153</v>
      </c>
      <c r="H3727">
        <v>54712120</v>
      </c>
      <c r="I3727">
        <v>54712134</v>
      </c>
    </row>
    <row r="3728" spans="1:9" x14ac:dyDescent="0.2">
      <c r="A3728" t="str">
        <f>"Cebpg"</f>
        <v>Cebpg</v>
      </c>
      <c r="B3728" t="s">
        <v>14</v>
      </c>
      <c r="C3728" t="s">
        <v>33</v>
      </c>
      <c r="D3728" t="s">
        <v>11</v>
      </c>
      <c r="E3728" t="s">
        <v>12</v>
      </c>
      <c r="F3728">
        <v>35056467</v>
      </c>
      <c r="G3728">
        <v>35056556</v>
      </c>
      <c r="H3728">
        <v>35056562</v>
      </c>
      <c r="I3728">
        <v>35056586</v>
      </c>
    </row>
    <row r="3729" spans="1:9" x14ac:dyDescent="0.2">
      <c r="A3729" t="str">
        <f>"Cebpz"</f>
        <v>Cebpz</v>
      </c>
      <c r="B3729" t="s">
        <v>14</v>
      </c>
      <c r="C3729" t="s">
        <v>28</v>
      </c>
      <c r="D3729" t="s">
        <v>11</v>
      </c>
      <c r="E3729" t="s">
        <v>12</v>
      </c>
      <c r="F3729">
        <v>78937031</v>
      </c>
      <c r="G3729">
        <v>78937074</v>
      </c>
      <c r="H3729">
        <v>78937031</v>
      </c>
      <c r="I3729">
        <v>78937074</v>
      </c>
    </row>
    <row r="3730" spans="1:9" x14ac:dyDescent="0.2">
      <c r="A3730" t="str">
        <f>"Cecr2"</f>
        <v>Cecr2</v>
      </c>
      <c r="B3730" t="s">
        <v>14</v>
      </c>
      <c r="C3730" t="s">
        <v>32</v>
      </c>
      <c r="D3730" t="s">
        <v>17</v>
      </c>
      <c r="E3730" t="s">
        <v>12</v>
      </c>
      <c r="F3730">
        <v>120666300</v>
      </c>
      <c r="G3730">
        <v>120666354</v>
      </c>
      <c r="H3730">
        <v>120666388</v>
      </c>
      <c r="I3730">
        <v>120666424</v>
      </c>
    </row>
    <row r="3731" spans="1:9" x14ac:dyDescent="0.2">
      <c r="A3731" t="str">
        <f>"Cecr5"</f>
        <v>Cecr5</v>
      </c>
      <c r="B3731" t="s">
        <v>14</v>
      </c>
      <c r="C3731" t="s">
        <v>32</v>
      </c>
      <c r="D3731" t="s">
        <v>11</v>
      </c>
      <c r="E3731" t="s">
        <v>12</v>
      </c>
      <c r="F3731">
        <v>120531289</v>
      </c>
      <c r="G3731">
        <v>120531328</v>
      </c>
      <c r="H3731">
        <v>120531289</v>
      </c>
      <c r="I3731">
        <v>120531328</v>
      </c>
    </row>
    <row r="3732" spans="1:9" x14ac:dyDescent="0.2">
      <c r="A3732" t="str">
        <f>"Cecr6"</f>
        <v>Cecr6</v>
      </c>
      <c r="B3732" t="s">
        <v>14</v>
      </c>
      <c r="C3732" t="s">
        <v>32</v>
      </c>
      <c r="D3732" t="s">
        <v>11</v>
      </c>
      <c r="E3732" t="s">
        <v>12</v>
      </c>
      <c r="F3732">
        <v>120493861</v>
      </c>
      <c r="G3732">
        <v>120493882</v>
      </c>
      <c r="H3732">
        <v>120493819</v>
      </c>
      <c r="I3732">
        <v>120493832</v>
      </c>
    </row>
    <row r="3733" spans="1:9" x14ac:dyDescent="0.2">
      <c r="A3733" t="str">
        <f>"Cel"</f>
        <v>Cel</v>
      </c>
      <c r="B3733" t="s">
        <v>14</v>
      </c>
      <c r="C3733" t="s">
        <v>26</v>
      </c>
      <c r="D3733" t="s">
        <v>11</v>
      </c>
      <c r="E3733" t="s">
        <v>12</v>
      </c>
      <c r="F3733">
        <v>28563373</v>
      </c>
      <c r="G3733">
        <v>28563392</v>
      </c>
      <c r="H3733">
        <v>28563373</v>
      </c>
      <c r="I3733">
        <v>28563392</v>
      </c>
    </row>
    <row r="3734" spans="1:9" x14ac:dyDescent="0.2">
      <c r="A3734" t="str">
        <f>"Cela1"</f>
        <v>Cela1</v>
      </c>
      <c r="B3734" t="s">
        <v>14</v>
      </c>
      <c r="C3734" t="s">
        <v>25</v>
      </c>
      <c r="D3734" t="s">
        <v>11</v>
      </c>
      <c r="E3734" t="s">
        <v>12</v>
      </c>
      <c r="F3734">
        <v>100687908</v>
      </c>
      <c r="G3734">
        <v>100687924</v>
      </c>
      <c r="H3734">
        <v>100687908</v>
      </c>
      <c r="I3734">
        <v>100687924</v>
      </c>
    </row>
    <row r="3735" spans="1:9" x14ac:dyDescent="0.2">
      <c r="A3735" t="str">
        <f>"Cela2a"</f>
        <v>Cela2a</v>
      </c>
      <c r="B3735" t="s">
        <v>14</v>
      </c>
      <c r="C3735" t="s">
        <v>23</v>
      </c>
      <c r="D3735" t="s">
        <v>11</v>
      </c>
      <c r="E3735" t="s">
        <v>12</v>
      </c>
      <c r="F3735">
        <v>141825997</v>
      </c>
      <c r="G3735">
        <v>141826012</v>
      </c>
      <c r="H3735">
        <v>141825997</v>
      </c>
      <c r="I3735">
        <v>141826012</v>
      </c>
    </row>
    <row r="3736" spans="1:9" x14ac:dyDescent="0.2">
      <c r="A3736" t="str">
        <f>"Cela3b"</f>
        <v>Cela3b</v>
      </c>
      <c r="B3736" t="s">
        <v>14</v>
      </c>
      <c r="C3736" t="s">
        <v>23</v>
      </c>
      <c r="D3736" t="s">
        <v>11</v>
      </c>
      <c r="E3736" t="s">
        <v>12</v>
      </c>
      <c r="F3736">
        <v>137430517</v>
      </c>
      <c r="G3736">
        <v>137430525</v>
      </c>
      <c r="H3736">
        <v>137430517</v>
      </c>
      <c r="I3736">
        <v>137430525</v>
      </c>
    </row>
    <row r="3737" spans="1:9" x14ac:dyDescent="0.2">
      <c r="A3737" t="str">
        <f>"Celf1"</f>
        <v>Celf1</v>
      </c>
      <c r="B3737" t="s">
        <v>9</v>
      </c>
      <c r="C3737" t="s">
        <v>26</v>
      </c>
      <c r="D3737" t="s">
        <v>17</v>
      </c>
      <c r="E3737" t="s">
        <v>12</v>
      </c>
      <c r="F3737">
        <v>90940466</v>
      </c>
      <c r="G3737">
        <v>90940523</v>
      </c>
      <c r="H3737">
        <v>90940466</v>
      </c>
      <c r="I3737">
        <v>90940523</v>
      </c>
    </row>
    <row r="3738" spans="1:9" x14ac:dyDescent="0.2">
      <c r="A3738" t="str">
        <f>"Celf1"</f>
        <v>Celf1</v>
      </c>
      <c r="B3738" t="s">
        <v>13</v>
      </c>
      <c r="C3738" t="s">
        <v>26</v>
      </c>
      <c r="D3738" t="s">
        <v>17</v>
      </c>
      <c r="E3738" t="s">
        <v>12</v>
      </c>
      <c r="F3738">
        <v>90965086</v>
      </c>
      <c r="G3738">
        <v>90965108</v>
      </c>
      <c r="H3738">
        <v>90965086</v>
      </c>
      <c r="I3738">
        <v>90965108</v>
      </c>
    </row>
    <row r="3739" spans="1:9" x14ac:dyDescent="0.2">
      <c r="A3739" t="str">
        <f>"Celf2"</f>
        <v>Celf2</v>
      </c>
      <c r="B3739" t="s">
        <v>14</v>
      </c>
      <c r="C3739" t="s">
        <v>26</v>
      </c>
      <c r="D3739" t="s">
        <v>11</v>
      </c>
      <c r="E3739" t="s">
        <v>12</v>
      </c>
      <c r="F3739">
        <v>6721606</v>
      </c>
      <c r="G3739">
        <v>6721629</v>
      </c>
      <c r="H3739">
        <v>6721606</v>
      </c>
      <c r="I3739">
        <v>6721629</v>
      </c>
    </row>
    <row r="3740" spans="1:9" x14ac:dyDescent="0.2">
      <c r="A3740" t="str">
        <f>"Celf3"</f>
        <v>Celf3</v>
      </c>
      <c r="B3740" t="s">
        <v>14</v>
      </c>
      <c r="C3740" t="s">
        <v>22</v>
      </c>
      <c r="D3740" t="s">
        <v>17</v>
      </c>
      <c r="E3740" t="s">
        <v>12</v>
      </c>
      <c r="F3740">
        <v>94478322</v>
      </c>
      <c r="G3740">
        <v>94478343</v>
      </c>
      <c r="H3740">
        <v>94478354</v>
      </c>
      <c r="I3740">
        <v>94478366</v>
      </c>
    </row>
    <row r="3741" spans="1:9" x14ac:dyDescent="0.2">
      <c r="A3741" t="str">
        <f>"Celf4"</f>
        <v>Celf4</v>
      </c>
      <c r="B3741" t="s">
        <v>14</v>
      </c>
      <c r="C3741" t="s">
        <v>43</v>
      </c>
      <c r="D3741" t="s">
        <v>11</v>
      </c>
      <c r="E3741" t="s">
        <v>12</v>
      </c>
      <c r="F3741">
        <v>25753852</v>
      </c>
      <c r="G3741">
        <v>25753927</v>
      </c>
      <c r="H3741">
        <v>25753852</v>
      </c>
      <c r="I3741">
        <v>25753927</v>
      </c>
    </row>
    <row r="3742" spans="1:9" x14ac:dyDescent="0.2">
      <c r="A3742" t="str">
        <f>"Celf5"</f>
        <v>Celf5</v>
      </c>
      <c r="B3742" t="s">
        <v>14</v>
      </c>
      <c r="C3742" t="s">
        <v>15</v>
      </c>
      <c r="D3742" t="s">
        <v>11</v>
      </c>
      <c r="E3742" t="s">
        <v>12</v>
      </c>
      <c r="F3742">
        <v>81482655</v>
      </c>
      <c r="G3742">
        <v>81482725</v>
      </c>
      <c r="H3742">
        <v>81482637</v>
      </c>
      <c r="I3742">
        <v>81482644</v>
      </c>
    </row>
    <row r="3743" spans="1:9" x14ac:dyDescent="0.2">
      <c r="A3743" t="str">
        <f>"Celf6"</f>
        <v>Celf6</v>
      </c>
      <c r="B3743" t="s">
        <v>9</v>
      </c>
      <c r="C3743" t="s">
        <v>24</v>
      </c>
      <c r="D3743" t="s">
        <v>17</v>
      </c>
      <c r="E3743" t="s">
        <v>12</v>
      </c>
      <c r="F3743">
        <v>59578294</v>
      </c>
      <c r="G3743">
        <v>59578323</v>
      </c>
      <c r="H3743">
        <v>59578294</v>
      </c>
      <c r="I3743">
        <v>59578323</v>
      </c>
    </row>
    <row r="3744" spans="1:9" x14ac:dyDescent="0.2">
      <c r="A3744" t="str">
        <f>"Celf6"</f>
        <v>Celf6</v>
      </c>
      <c r="B3744" t="s">
        <v>13</v>
      </c>
      <c r="C3744" t="s">
        <v>24</v>
      </c>
      <c r="D3744" t="s">
        <v>17</v>
      </c>
      <c r="E3744" t="s">
        <v>12</v>
      </c>
      <c r="F3744">
        <v>59589330</v>
      </c>
      <c r="G3744">
        <v>59589353</v>
      </c>
      <c r="H3744">
        <v>59589330</v>
      </c>
      <c r="I3744">
        <v>59589353</v>
      </c>
    </row>
    <row r="3745" spans="1:9" x14ac:dyDescent="0.2">
      <c r="A3745" t="str">
        <f>"Celsr1"</f>
        <v>Celsr1</v>
      </c>
      <c r="B3745" t="s">
        <v>14</v>
      </c>
      <c r="C3745" t="s">
        <v>25</v>
      </c>
      <c r="D3745" t="s">
        <v>11</v>
      </c>
      <c r="E3745" t="s">
        <v>12</v>
      </c>
      <c r="F3745">
        <v>86034043</v>
      </c>
      <c r="G3745">
        <v>86034106</v>
      </c>
      <c r="H3745">
        <v>86034043</v>
      </c>
      <c r="I3745">
        <v>86034106</v>
      </c>
    </row>
    <row r="3746" spans="1:9" x14ac:dyDescent="0.2">
      <c r="A3746" t="str">
        <f>"Celsr2"</f>
        <v>Celsr2</v>
      </c>
      <c r="B3746" t="s">
        <v>14</v>
      </c>
      <c r="C3746" t="s">
        <v>22</v>
      </c>
      <c r="D3746" t="s">
        <v>11</v>
      </c>
      <c r="E3746" t="s">
        <v>12</v>
      </c>
      <c r="F3746">
        <v>108416011</v>
      </c>
      <c r="G3746">
        <v>108416050</v>
      </c>
      <c r="H3746">
        <v>108415183</v>
      </c>
      <c r="I3746">
        <v>108415221</v>
      </c>
    </row>
    <row r="3747" spans="1:9" x14ac:dyDescent="0.2">
      <c r="A3747" t="str">
        <f>"Celsr3"</f>
        <v>Celsr3</v>
      </c>
      <c r="B3747" t="s">
        <v>14</v>
      </c>
      <c r="C3747" t="s">
        <v>24</v>
      </c>
      <c r="D3747" t="s">
        <v>17</v>
      </c>
      <c r="E3747" t="s">
        <v>12</v>
      </c>
      <c r="F3747">
        <v>108826026</v>
      </c>
      <c r="G3747">
        <v>108826074</v>
      </c>
      <c r="H3747">
        <v>108826302</v>
      </c>
      <c r="I3747">
        <v>108826303</v>
      </c>
    </row>
    <row r="3748" spans="1:9" x14ac:dyDescent="0.2">
      <c r="A3748" t="str">
        <f>"Cend1"</f>
        <v>Cend1</v>
      </c>
      <c r="B3748" t="s">
        <v>14</v>
      </c>
      <c r="C3748" t="s">
        <v>33</v>
      </c>
      <c r="D3748" t="s">
        <v>11</v>
      </c>
      <c r="E3748" t="s">
        <v>12</v>
      </c>
      <c r="F3748">
        <v>141429354</v>
      </c>
      <c r="G3748">
        <v>141429429</v>
      </c>
      <c r="H3748">
        <v>141429433</v>
      </c>
      <c r="I3748">
        <v>141429455</v>
      </c>
    </row>
    <row r="3749" spans="1:9" x14ac:dyDescent="0.2">
      <c r="A3749" t="str">
        <f>"Cenpa"</f>
        <v>Cenpa</v>
      </c>
      <c r="B3749" t="s">
        <v>14</v>
      </c>
      <c r="C3749" t="s">
        <v>46</v>
      </c>
      <c r="D3749" t="s">
        <v>17</v>
      </c>
      <c r="E3749" t="s">
        <v>12</v>
      </c>
      <c r="F3749">
        <v>30666890</v>
      </c>
      <c r="G3749">
        <v>30666963</v>
      </c>
      <c r="H3749">
        <v>30667109</v>
      </c>
      <c r="I3749">
        <v>30667116</v>
      </c>
    </row>
    <row r="3750" spans="1:9" x14ac:dyDescent="0.2">
      <c r="A3750" t="str">
        <f>"Cenpb"</f>
        <v>Cenpb</v>
      </c>
      <c r="B3750" t="s">
        <v>14</v>
      </c>
      <c r="C3750" t="s">
        <v>26</v>
      </c>
      <c r="D3750" t="s">
        <v>11</v>
      </c>
      <c r="E3750" t="s">
        <v>12</v>
      </c>
      <c r="F3750">
        <v>131179985</v>
      </c>
      <c r="G3750">
        <v>131180092</v>
      </c>
      <c r="H3750">
        <v>131180287</v>
      </c>
      <c r="I3750">
        <v>131180331</v>
      </c>
    </row>
    <row r="3751" spans="1:9" x14ac:dyDescent="0.2">
      <c r="A3751" t="str">
        <f>"Cenpc1"</f>
        <v>Cenpc1</v>
      </c>
      <c r="B3751" t="s">
        <v>14</v>
      </c>
      <c r="C3751" t="s">
        <v>46</v>
      </c>
      <c r="D3751" t="s">
        <v>11</v>
      </c>
      <c r="E3751" t="s">
        <v>12</v>
      </c>
      <c r="F3751">
        <v>86065531</v>
      </c>
      <c r="G3751">
        <v>86065574</v>
      </c>
      <c r="H3751">
        <v>86065504</v>
      </c>
      <c r="I3751">
        <v>86065525</v>
      </c>
    </row>
    <row r="3752" spans="1:9" x14ac:dyDescent="0.2">
      <c r="A3752" t="str">
        <f>"Cenpe"</f>
        <v>Cenpe</v>
      </c>
      <c r="B3752" t="s">
        <v>14</v>
      </c>
      <c r="C3752" t="s">
        <v>22</v>
      </c>
      <c r="D3752" t="s">
        <v>17</v>
      </c>
      <c r="E3752" t="s">
        <v>12</v>
      </c>
      <c r="F3752">
        <v>135212596</v>
      </c>
      <c r="G3752">
        <v>135212652</v>
      </c>
      <c r="H3752">
        <v>135212557</v>
      </c>
      <c r="I3752">
        <v>135212585</v>
      </c>
    </row>
    <row r="3753" spans="1:9" x14ac:dyDescent="0.2">
      <c r="A3753" t="str">
        <f>"Cenpf"</f>
        <v>Cenpf</v>
      </c>
      <c r="B3753" t="s">
        <v>14</v>
      </c>
      <c r="C3753" t="s">
        <v>19</v>
      </c>
      <c r="D3753" t="s">
        <v>11</v>
      </c>
      <c r="E3753" t="s">
        <v>12</v>
      </c>
      <c r="F3753">
        <v>189688074</v>
      </c>
      <c r="G3753">
        <v>189688098</v>
      </c>
      <c r="H3753">
        <v>189688044</v>
      </c>
      <c r="I3753">
        <v>189688059</v>
      </c>
    </row>
    <row r="3754" spans="1:9" x14ac:dyDescent="0.2">
      <c r="A3754" t="str">
        <f>"Cenph"</f>
        <v>Cenph</v>
      </c>
      <c r="B3754" t="s">
        <v>14</v>
      </c>
      <c r="C3754" t="s">
        <v>39</v>
      </c>
      <c r="D3754" t="s">
        <v>11</v>
      </c>
      <c r="E3754" t="s">
        <v>12</v>
      </c>
      <c r="F3754">
        <v>100775844</v>
      </c>
      <c r="G3754">
        <v>100775893</v>
      </c>
      <c r="H3754">
        <v>100775803</v>
      </c>
      <c r="I3754">
        <v>100775843</v>
      </c>
    </row>
    <row r="3755" spans="1:9" x14ac:dyDescent="0.2">
      <c r="A3755" t="str">
        <f>"Cenpi"</f>
        <v>Cenpi</v>
      </c>
      <c r="B3755" t="s">
        <v>14</v>
      </c>
      <c r="C3755" t="s">
        <v>37</v>
      </c>
      <c r="D3755" t="s">
        <v>17</v>
      </c>
      <c r="E3755" t="s">
        <v>12</v>
      </c>
      <c r="F3755">
        <v>134308139</v>
      </c>
      <c r="G3755">
        <v>134308209</v>
      </c>
      <c r="H3755">
        <v>134308068</v>
      </c>
      <c r="I3755">
        <v>134308104</v>
      </c>
    </row>
    <row r="3756" spans="1:9" x14ac:dyDescent="0.2">
      <c r="A3756" t="str">
        <f>"Cenpj"</f>
        <v>Cenpj</v>
      </c>
      <c r="B3756" t="s">
        <v>14</v>
      </c>
      <c r="C3756" t="s">
        <v>41</v>
      </c>
      <c r="D3756" t="s">
        <v>11</v>
      </c>
      <c r="E3756" t="s">
        <v>12</v>
      </c>
      <c r="F3756">
        <v>56571830</v>
      </c>
      <c r="G3756">
        <v>56571860</v>
      </c>
      <c r="H3756">
        <v>56571808</v>
      </c>
      <c r="I3756">
        <v>56571820</v>
      </c>
    </row>
    <row r="3757" spans="1:9" x14ac:dyDescent="0.2">
      <c r="A3757" t="str">
        <f>"Cenpk"</f>
        <v>Cenpk</v>
      </c>
      <c r="B3757" t="s">
        <v>14</v>
      </c>
      <c r="C3757" t="s">
        <v>39</v>
      </c>
      <c r="D3757" t="s">
        <v>17</v>
      </c>
      <c r="E3757" t="s">
        <v>12</v>
      </c>
      <c r="F3757">
        <v>104228929</v>
      </c>
      <c r="G3757">
        <v>104228982</v>
      </c>
      <c r="H3757">
        <v>104228994</v>
      </c>
      <c r="I3757">
        <v>104229005</v>
      </c>
    </row>
    <row r="3758" spans="1:9" x14ac:dyDescent="0.2">
      <c r="A3758" t="str">
        <f>"Cenpl"</f>
        <v>Cenpl</v>
      </c>
      <c r="B3758" t="s">
        <v>14</v>
      </c>
      <c r="C3758" t="s">
        <v>19</v>
      </c>
      <c r="D3758" t="s">
        <v>17</v>
      </c>
      <c r="E3758" t="s">
        <v>12</v>
      </c>
      <c r="F3758">
        <v>161070924</v>
      </c>
      <c r="G3758">
        <v>161071006</v>
      </c>
      <c r="H3758">
        <v>161070829</v>
      </c>
      <c r="I3758">
        <v>161070837</v>
      </c>
    </row>
    <row r="3759" spans="1:9" x14ac:dyDescent="0.2">
      <c r="A3759" t="str">
        <f>"Cenpm"</f>
        <v>Cenpm</v>
      </c>
      <c r="B3759" t="s">
        <v>14</v>
      </c>
      <c r="C3759" t="s">
        <v>25</v>
      </c>
      <c r="D3759" t="s">
        <v>11</v>
      </c>
      <c r="E3759" t="s">
        <v>12</v>
      </c>
      <c r="F3759">
        <v>82244716</v>
      </c>
      <c r="G3759">
        <v>82244755</v>
      </c>
      <c r="H3759">
        <v>82244688</v>
      </c>
      <c r="I3759">
        <v>82244715</v>
      </c>
    </row>
    <row r="3760" spans="1:9" x14ac:dyDescent="0.2">
      <c r="A3760" t="str">
        <f>"Cenpn"</f>
        <v>Cenpn</v>
      </c>
      <c r="B3760" t="s">
        <v>14</v>
      </c>
      <c r="C3760" t="s">
        <v>30</v>
      </c>
      <c r="D3760" t="s">
        <v>17</v>
      </c>
      <c r="E3760" t="s">
        <v>12</v>
      </c>
      <c r="F3760">
        <v>116921715</v>
      </c>
      <c r="G3760">
        <v>116921733</v>
      </c>
      <c r="H3760">
        <v>116921735</v>
      </c>
      <c r="I3760">
        <v>116921752</v>
      </c>
    </row>
    <row r="3761" spans="1:9" x14ac:dyDescent="0.2">
      <c r="A3761" t="str">
        <f>"Cenpo"</f>
        <v>Cenpo</v>
      </c>
      <c r="B3761" t="s">
        <v>14</v>
      </c>
      <c r="C3761" t="s">
        <v>16</v>
      </c>
      <c r="D3761" t="s">
        <v>11</v>
      </c>
      <c r="E3761" t="s">
        <v>12</v>
      </c>
      <c r="F3761">
        <v>4233927</v>
      </c>
      <c r="G3761">
        <v>4233951</v>
      </c>
      <c r="H3761">
        <v>4233958</v>
      </c>
      <c r="I3761">
        <v>4233981</v>
      </c>
    </row>
    <row r="3762" spans="1:9" x14ac:dyDescent="0.2">
      <c r="A3762" t="str">
        <f>"Cenpp"</f>
        <v>Cenpp</v>
      </c>
      <c r="B3762" t="s">
        <v>14</v>
      </c>
      <c r="C3762" t="s">
        <v>39</v>
      </c>
      <c r="D3762" t="s">
        <v>11</v>
      </c>
      <c r="E3762" t="s">
        <v>12</v>
      </c>
      <c r="F3762">
        <v>49652756</v>
      </c>
      <c r="G3762">
        <v>49652781</v>
      </c>
      <c r="H3762">
        <v>49652714</v>
      </c>
      <c r="I3762">
        <v>49652754</v>
      </c>
    </row>
    <row r="3763" spans="1:9" x14ac:dyDescent="0.2">
      <c r="A3763" t="str">
        <f>"Cenpq"</f>
        <v>Cenpq</v>
      </c>
      <c r="B3763" t="s">
        <v>14</v>
      </c>
      <c r="C3763" t="s">
        <v>28</v>
      </c>
      <c r="D3763" t="s">
        <v>11</v>
      </c>
      <c r="E3763" t="s">
        <v>12</v>
      </c>
      <c r="F3763">
        <v>40934497</v>
      </c>
      <c r="G3763">
        <v>40934609</v>
      </c>
      <c r="H3763">
        <v>40934449</v>
      </c>
      <c r="I3763">
        <v>40934493</v>
      </c>
    </row>
    <row r="3764" spans="1:9" x14ac:dyDescent="0.2">
      <c r="A3764" t="str">
        <f>"Cenpt"</f>
        <v>Cenpt</v>
      </c>
      <c r="B3764" t="s">
        <v>14</v>
      </c>
      <c r="C3764" t="s">
        <v>30</v>
      </c>
      <c r="D3764" t="s">
        <v>11</v>
      </c>
      <c r="E3764" t="s">
        <v>12</v>
      </c>
      <c r="F3764">
        <v>105851981</v>
      </c>
      <c r="G3764">
        <v>105852036</v>
      </c>
      <c r="H3764">
        <v>105851965</v>
      </c>
      <c r="I3764">
        <v>105851976</v>
      </c>
    </row>
    <row r="3765" spans="1:9" x14ac:dyDescent="0.2">
      <c r="A3765" t="str">
        <f>"Cenpv"</f>
        <v>Cenpv</v>
      </c>
      <c r="B3765" t="s">
        <v>14</v>
      </c>
      <c r="C3765" t="s">
        <v>27</v>
      </c>
      <c r="D3765" t="s">
        <v>11</v>
      </c>
      <c r="E3765" t="s">
        <v>12</v>
      </c>
      <c r="F3765">
        <v>62539199</v>
      </c>
      <c r="G3765">
        <v>62539253</v>
      </c>
      <c r="H3765">
        <v>62539041</v>
      </c>
      <c r="I3765">
        <v>62539072</v>
      </c>
    </row>
    <row r="3766" spans="1:9" x14ac:dyDescent="0.2">
      <c r="A3766" t="str">
        <f>"Cenpw"</f>
        <v>Cenpw</v>
      </c>
      <c r="B3766" t="s">
        <v>14</v>
      </c>
      <c r="C3766" t="s">
        <v>15</v>
      </c>
      <c r="D3766" t="s">
        <v>11</v>
      </c>
      <c r="E3766" t="s">
        <v>12</v>
      </c>
      <c r="F3766">
        <v>30200492</v>
      </c>
      <c r="G3766">
        <v>30200542</v>
      </c>
      <c r="H3766">
        <v>30200547</v>
      </c>
      <c r="I3766">
        <v>30200573</v>
      </c>
    </row>
    <row r="3767" spans="1:9" x14ac:dyDescent="0.2">
      <c r="A3767" t="str">
        <f>"Cep104"</f>
        <v>Cep104</v>
      </c>
      <c r="B3767" t="s">
        <v>14</v>
      </c>
      <c r="C3767" t="s">
        <v>23</v>
      </c>
      <c r="D3767" t="s">
        <v>17</v>
      </c>
      <c r="E3767" t="s">
        <v>67</v>
      </c>
      <c r="F3767">
        <v>153975163</v>
      </c>
      <c r="G3767">
        <v>153975247</v>
      </c>
      <c r="H3767">
        <v>153975115</v>
      </c>
      <c r="I3767">
        <v>153975136</v>
      </c>
    </row>
    <row r="3768" spans="1:9" x14ac:dyDescent="0.2">
      <c r="A3768" t="str">
        <f>"Cep110"</f>
        <v>Cep110</v>
      </c>
      <c r="B3768" t="s">
        <v>9</v>
      </c>
      <c r="C3768" t="s">
        <v>26</v>
      </c>
      <c r="D3768" t="s">
        <v>17</v>
      </c>
      <c r="E3768" t="s">
        <v>12</v>
      </c>
      <c r="F3768">
        <v>35109482</v>
      </c>
      <c r="G3768">
        <v>35109538</v>
      </c>
      <c r="H3768">
        <v>35109482</v>
      </c>
      <c r="I3768">
        <v>35109538</v>
      </c>
    </row>
    <row r="3769" spans="1:9" x14ac:dyDescent="0.2">
      <c r="A3769" t="str">
        <f>"Cep110"</f>
        <v>Cep110</v>
      </c>
      <c r="B3769" t="s">
        <v>13</v>
      </c>
      <c r="C3769" t="s">
        <v>26</v>
      </c>
      <c r="D3769" t="s">
        <v>17</v>
      </c>
      <c r="E3769" t="s">
        <v>12</v>
      </c>
      <c r="F3769">
        <v>35132194</v>
      </c>
      <c r="G3769">
        <v>35132247</v>
      </c>
      <c r="H3769">
        <v>35132194</v>
      </c>
      <c r="I3769">
        <v>35132247</v>
      </c>
    </row>
    <row r="3770" spans="1:9" x14ac:dyDescent="0.2">
      <c r="A3770" t="str">
        <f>"Cep112"</f>
        <v>Cep112</v>
      </c>
      <c r="B3770" t="s">
        <v>14</v>
      </c>
      <c r="C3770" t="s">
        <v>27</v>
      </c>
      <c r="D3770" t="s">
        <v>17</v>
      </c>
      <c r="E3770" t="s">
        <v>67</v>
      </c>
      <c r="F3770">
        <v>108425242</v>
      </c>
      <c r="G3770">
        <v>108425304</v>
      </c>
      <c r="H3770">
        <v>108425242</v>
      </c>
      <c r="I3770">
        <v>108425304</v>
      </c>
    </row>
    <row r="3771" spans="1:9" x14ac:dyDescent="0.2">
      <c r="A3771" t="str">
        <f>"Cep120"</f>
        <v>Cep120</v>
      </c>
      <c r="B3771" t="s">
        <v>14</v>
      </c>
      <c r="C3771" t="s">
        <v>43</v>
      </c>
      <c r="D3771" t="s">
        <v>11</v>
      </c>
      <c r="E3771" t="s">
        <v>12</v>
      </c>
      <c r="F3771">
        <v>53744509</v>
      </c>
      <c r="G3771">
        <v>53744629</v>
      </c>
      <c r="H3771">
        <v>53744670</v>
      </c>
      <c r="I3771">
        <v>53744692</v>
      </c>
    </row>
    <row r="3772" spans="1:9" x14ac:dyDescent="0.2">
      <c r="A3772" t="str">
        <f>"Cep128"</f>
        <v>Cep128</v>
      </c>
      <c r="B3772" t="s">
        <v>14</v>
      </c>
      <c r="C3772" t="s">
        <v>16</v>
      </c>
      <c r="D3772" t="s">
        <v>11</v>
      </c>
      <c r="E3772" t="s">
        <v>67</v>
      </c>
      <c r="F3772">
        <v>91384370</v>
      </c>
      <c r="G3772">
        <v>91384397</v>
      </c>
      <c r="H3772">
        <v>91384403</v>
      </c>
      <c r="I3772">
        <v>91384430</v>
      </c>
    </row>
    <row r="3773" spans="1:9" x14ac:dyDescent="0.2">
      <c r="A3773" t="str">
        <f>"Cep135"</f>
        <v>Cep135</v>
      </c>
      <c r="B3773" t="s">
        <v>14</v>
      </c>
      <c r="C3773" t="s">
        <v>46</v>
      </c>
      <c r="D3773" t="s">
        <v>17</v>
      </c>
      <c r="E3773" t="s">
        <v>12</v>
      </c>
      <c r="F3773">
        <v>76588663</v>
      </c>
      <c r="G3773">
        <v>76588742</v>
      </c>
      <c r="H3773">
        <v>76588815</v>
      </c>
      <c r="I3773">
        <v>76588837</v>
      </c>
    </row>
    <row r="3774" spans="1:9" x14ac:dyDescent="0.2">
      <c r="A3774" t="str">
        <f>"Cep152"</f>
        <v>Cep152</v>
      </c>
      <c r="B3774" t="s">
        <v>14</v>
      </c>
      <c r="C3774" t="s">
        <v>26</v>
      </c>
      <c r="D3774" t="s">
        <v>11</v>
      </c>
      <c r="E3774" t="s">
        <v>12</v>
      </c>
      <c r="F3774">
        <v>125625065</v>
      </c>
      <c r="G3774">
        <v>125625123</v>
      </c>
      <c r="H3774">
        <v>125625065</v>
      </c>
      <c r="I3774">
        <v>125625123</v>
      </c>
    </row>
    <row r="3775" spans="1:9" x14ac:dyDescent="0.2">
      <c r="A3775" t="str">
        <f>"Cep164"</f>
        <v>Cep164</v>
      </c>
      <c r="B3775" t="s">
        <v>14</v>
      </c>
      <c r="C3775" t="s">
        <v>24</v>
      </c>
      <c r="D3775" t="s">
        <v>11</v>
      </c>
      <c r="E3775" t="s">
        <v>12</v>
      </c>
      <c r="F3775">
        <v>45828618</v>
      </c>
      <c r="G3775">
        <v>45828680</v>
      </c>
      <c r="H3775">
        <v>45828590</v>
      </c>
      <c r="I3775">
        <v>45828604</v>
      </c>
    </row>
    <row r="3776" spans="1:9" x14ac:dyDescent="0.2">
      <c r="A3776" t="str">
        <f>"Cep170"</f>
        <v>Cep170</v>
      </c>
      <c r="B3776" t="s">
        <v>14</v>
      </c>
      <c r="C3776" t="s">
        <v>19</v>
      </c>
      <c r="D3776" t="s">
        <v>11</v>
      </c>
      <c r="E3776" t="s">
        <v>12</v>
      </c>
      <c r="F3776">
        <v>176814070</v>
      </c>
      <c r="G3776">
        <v>176814133</v>
      </c>
      <c r="H3776">
        <v>176814041</v>
      </c>
      <c r="I3776">
        <v>176814064</v>
      </c>
    </row>
    <row r="3777" spans="1:9" x14ac:dyDescent="0.2">
      <c r="A3777" t="str">
        <f>"Cep170b"</f>
        <v>Cep170b</v>
      </c>
      <c r="B3777" t="s">
        <v>14</v>
      </c>
      <c r="C3777" t="s">
        <v>16</v>
      </c>
      <c r="D3777" t="s">
        <v>17</v>
      </c>
      <c r="E3777" t="s">
        <v>67</v>
      </c>
      <c r="F3777">
        <v>112722163</v>
      </c>
      <c r="G3777">
        <v>112722239</v>
      </c>
      <c r="H3777">
        <v>112722163</v>
      </c>
      <c r="I3777">
        <v>112722239</v>
      </c>
    </row>
    <row r="3778" spans="1:9" x14ac:dyDescent="0.2">
      <c r="A3778" t="str">
        <f>"Cep19"</f>
        <v>Cep19</v>
      </c>
      <c r="B3778" t="s">
        <v>14</v>
      </c>
      <c r="C3778" t="s">
        <v>31</v>
      </c>
      <c r="D3778" t="s">
        <v>17</v>
      </c>
      <c r="E3778" t="s">
        <v>67</v>
      </c>
      <c r="F3778">
        <v>32099781</v>
      </c>
      <c r="G3778">
        <v>32099857</v>
      </c>
      <c r="H3778">
        <v>32099904</v>
      </c>
      <c r="I3778">
        <v>32099973</v>
      </c>
    </row>
    <row r="3779" spans="1:9" x14ac:dyDescent="0.2">
      <c r="A3779" t="str">
        <f>"Cep192"</f>
        <v>Cep192</v>
      </c>
      <c r="B3779" t="s">
        <v>14</v>
      </c>
      <c r="C3779" t="s">
        <v>43</v>
      </c>
      <c r="D3779" t="s">
        <v>17</v>
      </c>
      <c r="E3779" t="s">
        <v>12</v>
      </c>
      <c r="F3779">
        <v>67800101</v>
      </c>
      <c r="G3779">
        <v>67800147</v>
      </c>
      <c r="H3779">
        <v>67800101</v>
      </c>
      <c r="I3779">
        <v>67800147</v>
      </c>
    </row>
    <row r="3780" spans="1:9" x14ac:dyDescent="0.2">
      <c r="A3780" t="str">
        <f>"Cep250"</f>
        <v>Cep250</v>
      </c>
      <c r="B3780" t="s">
        <v>9</v>
      </c>
      <c r="C3780" t="s">
        <v>26</v>
      </c>
      <c r="D3780" t="s">
        <v>17</v>
      </c>
      <c r="E3780" t="s">
        <v>12</v>
      </c>
      <c r="F3780">
        <v>155956537</v>
      </c>
      <c r="G3780">
        <v>155956607</v>
      </c>
      <c r="H3780">
        <v>155956537</v>
      </c>
      <c r="I3780">
        <v>155956607</v>
      </c>
    </row>
    <row r="3781" spans="1:9" x14ac:dyDescent="0.2">
      <c r="A3781" t="str">
        <f>"Cep250"</f>
        <v>Cep250</v>
      </c>
      <c r="B3781" t="s">
        <v>13</v>
      </c>
      <c r="C3781" t="s">
        <v>26</v>
      </c>
      <c r="D3781" t="s">
        <v>17</v>
      </c>
      <c r="E3781" t="s">
        <v>12</v>
      </c>
      <c r="F3781">
        <v>155979534</v>
      </c>
      <c r="G3781">
        <v>155979583</v>
      </c>
      <c r="H3781">
        <v>155979534</v>
      </c>
      <c r="I3781">
        <v>155979583</v>
      </c>
    </row>
    <row r="3782" spans="1:9" x14ac:dyDescent="0.2">
      <c r="A3782" t="str">
        <f>"Cep290"</f>
        <v>Cep290</v>
      </c>
      <c r="B3782" t="s">
        <v>2284</v>
      </c>
      <c r="C3782" t="s">
        <v>15</v>
      </c>
      <c r="D3782" t="s">
        <v>17</v>
      </c>
      <c r="E3782" t="s">
        <v>20</v>
      </c>
      <c r="F3782">
        <v>100488288</v>
      </c>
      <c r="G3782">
        <v>100488288</v>
      </c>
      <c r="H3782">
        <v>100488288</v>
      </c>
      <c r="I3782">
        <v>100488288</v>
      </c>
    </row>
    <row r="3783" spans="1:9" x14ac:dyDescent="0.2">
      <c r="A3783" t="str">
        <f>"Cep350"</f>
        <v>Cep350</v>
      </c>
      <c r="B3783" t="s">
        <v>14</v>
      </c>
      <c r="C3783" t="s">
        <v>19</v>
      </c>
      <c r="D3783" t="s">
        <v>11</v>
      </c>
      <c r="E3783" t="s">
        <v>12</v>
      </c>
      <c r="F3783">
        <v>155973173</v>
      </c>
      <c r="G3783">
        <v>155973204</v>
      </c>
      <c r="H3783">
        <v>155973205</v>
      </c>
      <c r="I3783">
        <v>155973259</v>
      </c>
    </row>
    <row r="3784" spans="1:9" x14ac:dyDescent="0.2">
      <c r="A3784" t="str">
        <f>"Cep41"</f>
        <v>Cep41</v>
      </c>
      <c r="B3784" t="s">
        <v>14</v>
      </c>
      <c r="C3784" t="s">
        <v>32</v>
      </c>
      <c r="D3784" t="s">
        <v>11</v>
      </c>
      <c r="E3784" t="s">
        <v>67</v>
      </c>
      <c r="F3784">
        <v>30693677</v>
      </c>
      <c r="G3784">
        <v>30693737</v>
      </c>
      <c r="H3784">
        <v>30693677</v>
      </c>
      <c r="I3784">
        <v>30693737</v>
      </c>
    </row>
    <row r="3785" spans="1:9" x14ac:dyDescent="0.2">
      <c r="A3785" t="str">
        <f>"Cep44"</f>
        <v>Cep44</v>
      </c>
      <c r="B3785" t="s">
        <v>14</v>
      </c>
      <c r="C3785" t="s">
        <v>30</v>
      </c>
      <c r="D3785" t="s">
        <v>11</v>
      </c>
      <c r="E3785" t="s">
        <v>67</v>
      </c>
      <c r="F3785">
        <v>56550791</v>
      </c>
      <c r="G3785">
        <v>56550881</v>
      </c>
      <c r="H3785">
        <v>56550791</v>
      </c>
      <c r="I3785">
        <v>56550881</v>
      </c>
    </row>
    <row r="3786" spans="1:9" x14ac:dyDescent="0.2">
      <c r="A3786" t="str">
        <f>"Cep55"</f>
        <v>Cep55</v>
      </c>
      <c r="B3786" t="s">
        <v>14</v>
      </c>
      <c r="C3786" t="s">
        <v>10</v>
      </c>
      <c r="D3786" t="s">
        <v>17</v>
      </c>
      <c r="E3786" t="s">
        <v>12</v>
      </c>
      <c r="F3786">
        <v>38055002</v>
      </c>
      <c r="G3786">
        <v>38055047</v>
      </c>
      <c r="H3786">
        <v>38055058</v>
      </c>
      <c r="I3786">
        <v>38055075</v>
      </c>
    </row>
    <row r="3787" spans="1:9" x14ac:dyDescent="0.2">
      <c r="A3787" t="str">
        <f>"Cep57"</f>
        <v>Cep57</v>
      </c>
      <c r="B3787" t="s">
        <v>14</v>
      </c>
      <c r="C3787" t="s">
        <v>24</v>
      </c>
      <c r="D3787" t="s">
        <v>11</v>
      </c>
      <c r="E3787" t="s">
        <v>12</v>
      </c>
      <c r="F3787">
        <v>13827029</v>
      </c>
      <c r="G3787">
        <v>13827129</v>
      </c>
      <c r="H3787">
        <v>13826911</v>
      </c>
      <c r="I3787">
        <v>13826945</v>
      </c>
    </row>
    <row r="3788" spans="1:9" x14ac:dyDescent="0.2">
      <c r="A3788" t="str">
        <f>"Cep57l1"</f>
        <v>Cep57l1</v>
      </c>
      <c r="B3788" t="s">
        <v>14</v>
      </c>
      <c r="C3788" t="s">
        <v>15</v>
      </c>
      <c r="D3788" t="s">
        <v>11</v>
      </c>
      <c r="E3788" t="s">
        <v>12</v>
      </c>
      <c r="F3788">
        <v>41809620</v>
      </c>
      <c r="G3788">
        <v>41809654</v>
      </c>
      <c r="H3788">
        <v>41809880</v>
      </c>
      <c r="I3788">
        <v>41809915</v>
      </c>
    </row>
    <row r="3789" spans="1:9" x14ac:dyDescent="0.2">
      <c r="A3789" t="str">
        <f>"Cep63"</f>
        <v>Cep63</v>
      </c>
      <c r="B3789" t="s">
        <v>14</v>
      </c>
      <c r="C3789" t="s">
        <v>24</v>
      </c>
      <c r="D3789" t="s">
        <v>11</v>
      </c>
      <c r="E3789" t="s">
        <v>12</v>
      </c>
      <c r="F3789">
        <v>102626200</v>
      </c>
      <c r="G3789">
        <v>102626239</v>
      </c>
      <c r="H3789">
        <v>102626095</v>
      </c>
      <c r="I3789">
        <v>102626147</v>
      </c>
    </row>
    <row r="3790" spans="1:9" x14ac:dyDescent="0.2">
      <c r="A3790" t="str">
        <f>"Cep68"</f>
        <v>Cep68</v>
      </c>
      <c r="B3790" t="s">
        <v>14</v>
      </c>
      <c r="C3790" t="s">
        <v>27</v>
      </c>
      <c r="D3790" t="s">
        <v>11</v>
      </c>
      <c r="E3790" t="s">
        <v>12</v>
      </c>
      <c r="F3790">
        <v>20249360</v>
      </c>
      <c r="G3790">
        <v>20249433</v>
      </c>
      <c r="H3790">
        <v>20249344</v>
      </c>
      <c r="I3790">
        <v>20249349</v>
      </c>
    </row>
    <row r="3791" spans="1:9" x14ac:dyDescent="0.2">
      <c r="A3791" t="str">
        <f>"Cep70"</f>
        <v>Cep70</v>
      </c>
      <c r="B3791" t="s">
        <v>14</v>
      </c>
      <c r="C3791" t="s">
        <v>24</v>
      </c>
      <c r="D3791" t="s">
        <v>17</v>
      </c>
      <c r="E3791" t="s">
        <v>12</v>
      </c>
      <c r="F3791">
        <v>99243421</v>
      </c>
      <c r="G3791">
        <v>99243474</v>
      </c>
      <c r="H3791">
        <v>99243408</v>
      </c>
      <c r="I3791">
        <v>99243417</v>
      </c>
    </row>
    <row r="3792" spans="1:9" x14ac:dyDescent="0.2">
      <c r="A3792" t="str">
        <f>"Cep72"</f>
        <v>Cep72</v>
      </c>
      <c r="B3792" t="s">
        <v>14</v>
      </c>
      <c r="C3792" t="s">
        <v>39</v>
      </c>
      <c r="D3792" t="s">
        <v>11</v>
      </c>
      <c r="E3792" t="s">
        <v>12</v>
      </c>
      <c r="F3792">
        <v>74062262</v>
      </c>
      <c r="G3792">
        <v>74062315</v>
      </c>
      <c r="H3792">
        <v>74062318</v>
      </c>
      <c r="I3792">
        <v>74062321</v>
      </c>
    </row>
    <row r="3793" spans="1:9" x14ac:dyDescent="0.2">
      <c r="A3793" t="str">
        <f>"Cep76"</f>
        <v>Cep76</v>
      </c>
      <c r="B3793" t="s">
        <v>14</v>
      </c>
      <c r="C3793" t="s">
        <v>43</v>
      </c>
      <c r="D3793" t="s">
        <v>11</v>
      </c>
      <c r="E3793" t="s">
        <v>12</v>
      </c>
      <c r="F3793">
        <v>67641359</v>
      </c>
      <c r="G3793">
        <v>67641378</v>
      </c>
      <c r="H3793">
        <v>67641257</v>
      </c>
      <c r="I3793">
        <v>67641284</v>
      </c>
    </row>
    <row r="3794" spans="1:9" x14ac:dyDescent="0.2">
      <c r="A3794" t="str">
        <f>"Cep78"</f>
        <v>Cep78</v>
      </c>
      <c r="B3794" t="s">
        <v>14</v>
      </c>
      <c r="C3794" t="s">
        <v>10</v>
      </c>
      <c r="D3794" t="s">
        <v>11</v>
      </c>
      <c r="E3794" t="s">
        <v>12</v>
      </c>
      <c r="F3794">
        <v>15984970</v>
      </c>
      <c r="G3794">
        <v>15985018</v>
      </c>
      <c r="H3794">
        <v>15984945</v>
      </c>
      <c r="I3794">
        <v>15984962</v>
      </c>
    </row>
    <row r="3795" spans="1:9" x14ac:dyDescent="0.2">
      <c r="A3795" t="str">
        <f>"Cep85"</f>
        <v>Cep85</v>
      </c>
      <c r="B3795" t="s">
        <v>14</v>
      </c>
      <c r="C3795" t="s">
        <v>23</v>
      </c>
      <c r="D3795" t="s">
        <v>11</v>
      </c>
      <c r="E3795" t="s">
        <v>67</v>
      </c>
      <c r="F3795">
        <v>134187019</v>
      </c>
      <c r="G3795">
        <v>134187090</v>
      </c>
      <c r="H3795">
        <v>134187019</v>
      </c>
      <c r="I3795">
        <v>134187090</v>
      </c>
    </row>
    <row r="3796" spans="1:9" x14ac:dyDescent="0.2">
      <c r="A3796" t="str">
        <f>"Cep85l"</f>
        <v>Cep85l</v>
      </c>
      <c r="B3796" t="s">
        <v>14</v>
      </c>
      <c r="C3796" t="s">
        <v>15</v>
      </c>
      <c r="D3796" t="s">
        <v>11</v>
      </c>
      <c r="E3796" t="s">
        <v>67</v>
      </c>
      <c r="F3796">
        <v>53379816</v>
      </c>
      <c r="G3796">
        <v>53379858</v>
      </c>
      <c r="H3796">
        <v>53379864</v>
      </c>
      <c r="I3796">
        <v>53379899</v>
      </c>
    </row>
    <row r="3797" spans="1:9" x14ac:dyDescent="0.2">
      <c r="A3797" t="str">
        <f>"Cep89"</f>
        <v>Cep89</v>
      </c>
      <c r="B3797" t="s">
        <v>14</v>
      </c>
      <c r="C3797" t="s">
        <v>33</v>
      </c>
      <c r="D3797" t="s">
        <v>17</v>
      </c>
      <c r="E3797" t="s">
        <v>67</v>
      </c>
      <c r="F3797">
        <v>35397046</v>
      </c>
      <c r="G3797">
        <v>35397125</v>
      </c>
      <c r="H3797">
        <v>35397046</v>
      </c>
      <c r="I3797">
        <v>35397125</v>
      </c>
    </row>
    <row r="3798" spans="1:9" x14ac:dyDescent="0.2">
      <c r="A3798" t="str">
        <f>"Cep95"</f>
        <v>Cep95</v>
      </c>
      <c r="B3798" t="s">
        <v>14</v>
      </c>
      <c r="C3798" t="s">
        <v>27</v>
      </c>
      <c r="D3798" t="s">
        <v>17</v>
      </c>
      <c r="E3798" t="s">
        <v>67</v>
      </c>
      <c r="F3798">
        <v>106789235</v>
      </c>
      <c r="G3798">
        <v>106789335</v>
      </c>
      <c r="H3798">
        <v>106789235</v>
      </c>
      <c r="I3798">
        <v>106789335</v>
      </c>
    </row>
    <row r="3799" spans="1:9" x14ac:dyDescent="0.2">
      <c r="A3799" t="str">
        <f>"Cep97"</f>
        <v>Cep97</v>
      </c>
      <c r="B3799" t="s">
        <v>14</v>
      </c>
      <c r="C3799" t="s">
        <v>31</v>
      </c>
      <c r="D3799" t="s">
        <v>11</v>
      </c>
      <c r="E3799" t="s">
        <v>12</v>
      </c>
      <c r="F3799">
        <v>55934808</v>
      </c>
      <c r="G3799">
        <v>55934840</v>
      </c>
      <c r="H3799">
        <v>55934845</v>
      </c>
      <c r="I3799">
        <v>55934868</v>
      </c>
    </row>
    <row r="3800" spans="1:9" x14ac:dyDescent="0.2">
      <c r="A3800" t="str">
        <f>"Cept1"</f>
        <v>Cept1</v>
      </c>
      <c r="B3800" t="s">
        <v>14</v>
      </c>
      <c r="C3800" t="s">
        <v>22</v>
      </c>
      <c r="D3800" t="s">
        <v>11</v>
      </c>
      <c r="E3800" t="s">
        <v>12</v>
      </c>
      <c r="F3800">
        <v>106547726</v>
      </c>
      <c r="G3800">
        <v>106547781</v>
      </c>
      <c r="H3800">
        <v>106547702</v>
      </c>
      <c r="I3800">
        <v>106547723</v>
      </c>
    </row>
    <row r="3801" spans="1:9" x14ac:dyDescent="0.2">
      <c r="A3801" t="str">
        <f>"Cer1"</f>
        <v>Cer1</v>
      </c>
      <c r="B3801" t="s">
        <v>14</v>
      </c>
      <c r="C3801" t="s">
        <v>23</v>
      </c>
      <c r="D3801" t="s">
        <v>11</v>
      </c>
      <c r="E3801" t="s">
        <v>12</v>
      </c>
      <c r="F3801">
        <v>82885149</v>
      </c>
      <c r="G3801">
        <v>82885183</v>
      </c>
      <c r="H3801">
        <v>82885149</v>
      </c>
      <c r="I3801">
        <v>82885183</v>
      </c>
    </row>
    <row r="3802" spans="1:9" x14ac:dyDescent="0.2">
      <c r="A3802" t="str">
        <f>"Cercam"</f>
        <v>Cercam</v>
      </c>
      <c r="B3802" t="s">
        <v>14</v>
      </c>
      <c r="C3802" t="s">
        <v>26</v>
      </c>
      <c r="D3802" t="s">
        <v>17</v>
      </c>
      <c r="E3802" t="s">
        <v>12</v>
      </c>
      <c r="F3802">
        <v>29869484</v>
      </c>
      <c r="G3802">
        <v>29869535</v>
      </c>
      <c r="H3802">
        <v>29869148</v>
      </c>
      <c r="I3802">
        <v>29869175</v>
      </c>
    </row>
    <row r="3803" spans="1:9" x14ac:dyDescent="0.2">
      <c r="A3803" t="str">
        <f>"Cerk"</f>
        <v>Cerk</v>
      </c>
      <c r="B3803" t="s">
        <v>14</v>
      </c>
      <c r="C3803" t="s">
        <v>25</v>
      </c>
      <c r="D3803" t="s">
        <v>11</v>
      </c>
      <c r="E3803" t="s">
        <v>12</v>
      </c>
      <c r="F3803">
        <v>86185679</v>
      </c>
      <c r="G3803">
        <v>86185766</v>
      </c>
      <c r="H3803">
        <v>86185862</v>
      </c>
      <c r="I3803">
        <v>86185937</v>
      </c>
    </row>
    <row r="3804" spans="1:9" x14ac:dyDescent="0.2">
      <c r="A3804" t="str">
        <f>"Cerkl"</f>
        <v>Cerkl</v>
      </c>
      <c r="B3804" t="s">
        <v>2285</v>
      </c>
      <c r="C3804" t="s">
        <v>26</v>
      </c>
      <c r="D3804" t="s">
        <v>11</v>
      </c>
      <c r="E3804" t="s">
        <v>35</v>
      </c>
      <c r="F3804">
        <v>79429006</v>
      </c>
      <c r="G3804">
        <v>79429019</v>
      </c>
      <c r="H3804">
        <v>79428796</v>
      </c>
      <c r="I3804">
        <v>79428806</v>
      </c>
    </row>
    <row r="3805" spans="1:9" x14ac:dyDescent="0.2">
      <c r="A3805" t="str">
        <f>"Cers1"</f>
        <v>Cers1</v>
      </c>
      <c r="B3805" t="s">
        <v>14</v>
      </c>
      <c r="C3805" t="s">
        <v>30</v>
      </c>
      <c r="D3805" t="s">
        <v>17</v>
      </c>
      <c r="E3805" t="s">
        <v>67</v>
      </c>
      <c r="F3805">
        <v>70315759</v>
      </c>
      <c r="G3805">
        <v>70315835</v>
      </c>
      <c r="H3805">
        <v>70315836</v>
      </c>
      <c r="I3805">
        <v>70315846</v>
      </c>
    </row>
    <row r="3806" spans="1:9" x14ac:dyDescent="0.2">
      <c r="A3806" t="str">
        <f>"Cers2"</f>
        <v>Cers2</v>
      </c>
      <c r="B3806" t="s">
        <v>14</v>
      </c>
      <c r="C3806" t="s">
        <v>22</v>
      </c>
      <c r="D3806" t="s">
        <v>17</v>
      </c>
      <c r="E3806" t="s">
        <v>67</v>
      </c>
      <c r="F3806">
        <v>95315240</v>
      </c>
      <c r="G3806">
        <v>95315273</v>
      </c>
      <c r="H3806">
        <v>95315240</v>
      </c>
      <c r="I3806">
        <v>95315273</v>
      </c>
    </row>
    <row r="3807" spans="1:9" x14ac:dyDescent="0.2">
      <c r="A3807" t="str">
        <f>"Cers3"</f>
        <v>Cers3</v>
      </c>
      <c r="B3807" t="s">
        <v>14</v>
      </c>
      <c r="C3807" t="s">
        <v>33</v>
      </c>
      <c r="D3807" t="s">
        <v>17</v>
      </c>
      <c r="E3807" t="s">
        <v>67</v>
      </c>
      <c r="F3807">
        <v>66743636</v>
      </c>
      <c r="G3807">
        <v>66743646</v>
      </c>
      <c r="H3807">
        <v>66743636</v>
      </c>
      <c r="I3807">
        <v>66743646</v>
      </c>
    </row>
    <row r="3808" spans="1:9" x14ac:dyDescent="0.2">
      <c r="A3808" t="str">
        <f>"Cers4"</f>
        <v>Cers4</v>
      </c>
      <c r="B3808" t="s">
        <v>14</v>
      </c>
      <c r="C3808" t="s">
        <v>30</v>
      </c>
      <c r="D3808" t="s">
        <v>17</v>
      </c>
      <c r="E3808" t="s">
        <v>67</v>
      </c>
      <c r="F3808">
        <v>4493443</v>
      </c>
      <c r="G3808">
        <v>4493472</v>
      </c>
      <c r="H3808">
        <v>4493475</v>
      </c>
      <c r="I3808">
        <v>4493491</v>
      </c>
    </row>
    <row r="3809" spans="1:9" x14ac:dyDescent="0.2">
      <c r="A3809" t="str">
        <f>"Cers5"</f>
        <v>Cers5</v>
      </c>
      <c r="B3809" t="s">
        <v>14</v>
      </c>
      <c r="C3809" t="s">
        <v>25</v>
      </c>
      <c r="D3809" t="s">
        <v>11</v>
      </c>
      <c r="E3809" t="s">
        <v>67</v>
      </c>
      <c r="F3809">
        <v>99772395</v>
      </c>
      <c r="G3809">
        <v>99772458</v>
      </c>
      <c r="H3809">
        <v>99772596</v>
      </c>
      <c r="I3809">
        <v>99772608</v>
      </c>
    </row>
    <row r="3810" spans="1:9" x14ac:dyDescent="0.2">
      <c r="A3810" t="str">
        <f>"Cers6"</f>
        <v>Cers6</v>
      </c>
      <c r="B3810" t="s">
        <v>14</v>
      </c>
      <c r="C3810" t="s">
        <v>26</v>
      </c>
      <c r="D3810" t="s">
        <v>17</v>
      </c>
      <c r="E3810" t="s">
        <v>67</v>
      </c>
      <c r="F3810">
        <v>68861433</v>
      </c>
      <c r="G3810">
        <v>68861510</v>
      </c>
      <c r="H3810">
        <v>68861564</v>
      </c>
      <c r="I3810">
        <v>68861575</v>
      </c>
    </row>
    <row r="3811" spans="1:9" x14ac:dyDescent="0.2">
      <c r="A3811" t="str">
        <f>"Ces1a"</f>
        <v>Ces1a</v>
      </c>
      <c r="B3811" t="s">
        <v>14</v>
      </c>
      <c r="C3811" t="s">
        <v>30</v>
      </c>
      <c r="D3811" t="s">
        <v>11</v>
      </c>
      <c r="E3811" t="s">
        <v>12</v>
      </c>
      <c r="F3811">
        <v>93048303</v>
      </c>
      <c r="G3811">
        <v>93048304</v>
      </c>
      <c r="H3811">
        <v>93048303</v>
      </c>
      <c r="I3811">
        <v>93048304</v>
      </c>
    </row>
    <row r="3812" spans="1:9" x14ac:dyDescent="0.2">
      <c r="A3812" t="str">
        <f>"Ces1b"</f>
        <v>Ces1b</v>
      </c>
      <c r="B3812" t="s">
        <v>14</v>
      </c>
      <c r="C3812" t="s">
        <v>30</v>
      </c>
      <c r="D3812" t="s">
        <v>11</v>
      </c>
      <c r="E3812" t="s">
        <v>12</v>
      </c>
      <c r="F3812">
        <v>93079936</v>
      </c>
      <c r="G3812">
        <v>93079946</v>
      </c>
      <c r="H3812">
        <v>93079965</v>
      </c>
      <c r="I3812">
        <v>93079974</v>
      </c>
    </row>
    <row r="3813" spans="1:9" x14ac:dyDescent="0.2">
      <c r="A3813" t="str">
        <f>"Ces1c"</f>
        <v>Ces1c</v>
      </c>
      <c r="B3813" t="s">
        <v>14</v>
      </c>
      <c r="C3813" t="s">
        <v>30</v>
      </c>
      <c r="D3813" t="s">
        <v>11</v>
      </c>
      <c r="E3813" t="s">
        <v>12</v>
      </c>
      <c r="F3813">
        <v>93131274</v>
      </c>
      <c r="G3813">
        <v>93131291</v>
      </c>
      <c r="H3813">
        <v>93131274</v>
      </c>
      <c r="I3813">
        <v>93131291</v>
      </c>
    </row>
    <row r="3814" spans="1:9" x14ac:dyDescent="0.2">
      <c r="A3814" t="str">
        <f>"Ces1d"</f>
        <v>Ces1d</v>
      </c>
      <c r="B3814" t="s">
        <v>14</v>
      </c>
      <c r="C3814" t="s">
        <v>30</v>
      </c>
      <c r="D3814" t="s">
        <v>11</v>
      </c>
      <c r="E3814" t="s">
        <v>12</v>
      </c>
      <c r="F3814">
        <v>93197732</v>
      </c>
      <c r="G3814">
        <v>93197759</v>
      </c>
      <c r="H3814">
        <v>93197771</v>
      </c>
      <c r="I3814">
        <v>93197788</v>
      </c>
    </row>
    <row r="3815" spans="1:9" x14ac:dyDescent="0.2">
      <c r="A3815" t="str">
        <f>"Ces1e"</f>
        <v>Ces1e</v>
      </c>
      <c r="B3815" t="s">
        <v>14</v>
      </c>
      <c r="C3815" t="s">
        <v>30</v>
      </c>
      <c r="D3815" t="s">
        <v>11</v>
      </c>
      <c r="E3815" t="s">
        <v>12</v>
      </c>
      <c r="F3815">
        <v>93229517</v>
      </c>
      <c r="G3815">
        <v>93229611</v>
      </c>
      <c r="H3815">
        <v>93229517</v>
      </c>
      <c r="I3815">
        <v>93229611</v>
      </c>
    </row>
    <row r="3816" spans="1:9" x14ac:dyDescent="0.2">
      <c r="A3816" t="str">
        <f>"Ces1f"</f>
        <v>Ces1f</v>
      </c>
      <c r="B3816" t="s">
        <v>14</v>
      </c>
      <c r="C3816" t="s">
        <v>30</v>
      </c>
      <c r="D3816" t="s">
        <v>11</v>
      </c>
      <c r="E3816" t="s">
        <v>12</v>
      </c>
      <c r="F3816">
        <v>93279717</v>
      </c>
      <c r="G3816">
        <v>93279747</v>
      </c>
      <c r="H3816">
        <v>93279717</v>
      </c>
      <c r="I3816">
        <v>93279747</v>
      </c>
    </row>
    <row r="3817" spans="1:9" x14ac:dyDescent="0.2">
      <c r="A3817" t="str">
        <f>"Ces1g"</f>
        <v>Ces1g</v>
      </c>
      <c r="B3817" t="s">
        <v>14</v>
      </c>
      <c r="C3817" t="s">
        <v>30</v>
      </c>
      <c r="D3817" t="s">
        <v>11</v>
      </c>
      <c r="E3817" t="s">
        <v>12</v>
      </c>
      <c r="F3817">
        <v>93337195</v>
      </c>
      <c r="G3817">
        <v>93337216</v>
      </c>
      <c r="H3817">
        <v>93337195</v>
      </c>
      <c r="I3817">
        <v>93337216</v>
      </c>
    </row>
    <row r="3818" spans="1:9" x14ac:dyDescent="0.2">
      <c r="A3818" t="str">
        <f>"Ces1h"</f>
        <v>Ces1h</v>
      </c>
      <c r="B3818" t="s">
        <v>14</v>
      </c>
      <c r="C3818" t="s">
        <v>30</v>
      </c>
      <c r="D3818" t="s">
        <v>11</v>
      </c>
      <c r="E3818" t="s">
        <v>12</v>
      </c>
      <c r="F3818">
        <v>93379746</v>
      </c>
      <c r="G3818">
        <v>93379756</v>
      </c>
      <c r="H3818">
        <v>93379763</v>
      </c>
      <c r="I3818">
        <v>93379770</v>
      </c>
    </row>
    <row r="3819" spans="1:9" x14ac:dyDescent="0.2">
      <c r="A3819" t="str">
        <f>"Ces2a"</f>
        <v>Ces2a</v>
      </c>
      <c r="B3819" t="s">
        <v>14</v>
      </c>
      <c r="C3819" t="s">
        <v>30</v>
      </c>
      <c r="D3819" t="s">
        <v>17</v>
      </c>
      <c r="E3819" t="s">
        <v>12</v>
      </c>
      <c r="F3819">
        <v>104733997</v>
      </c>
      <c r="G3819">
        <v>104734024</v>
      </c>
      <c r="H3819">
        <v>104733997</v>
      </c>
      <c r="I3819">
        <v>104734024</v>
      </c>
    </row>
    <row r="3820" spans="1:9" x14ac:dyDescent="0.2">
      <c r="A3820" t="str">
        <f>"Ces2b"</f>
        <v>Ces2b</v>
      </c>
      <c r="B3820" t="s">
        <v>14</v>
      </c>
      <c r="C3820" t="s">
        <v>30</v>
      </c>
      <c r="D3820" t="s">
        <v>17</v>
      </c>
      <c r="E3820" t="s">
        <v>12</v>
      </c>
      <c r="F3820">
        <v>104831634</v>
      </c>
      <c r="G3820">
        <v>104831666</v>
      </c>
      <c r="H3820">
        <v>104831601</v>
      </c>
      <c r="I3820">
        <v>104831609</v>
      </c>
    </row>
    <row r="3821" spans="1:9" x14ac:dyDescent="0.2">
      <c r="A3821" t="str">
        <f>"Ces2c"</f>
        <v>Ces2c</v>
      </c>
      <c r="B3821" t="s">
        <v>14</v>
      </c>
      <c r="C3821" t="s">
        <v>30</v>
      </c>
      <c r="D3821" t="s">
        <v>17</v>
      </c>
      <c r="E3821" t="s">
        <v>12</v>
      </c>
      <c r="F3821">
        <v>104847061</v>
      </c>
      <c r="G3821">
        <v>104847079</v>
      </c>
      <c r="H3821">
        <v>104847061</v>
      </c>
      <c r="I3821">
        <v>104847079</v>
      </c>
    </row>
    <row r="3822" spans="1:9" x14ac:dyDescent="0.2">
      <c r="A3822" t="str">
        <f>"Ces2d-ps"</f>
        <v>Ces2d-ps</v>
      </c>
      <c r="B3822" t="s">
        <v>2286</v>
      </c>
      <c r="C3822" t="s">
        <v>30</v>
      </c>
      <c r="D3822" t="s">
        <v>17</v>
      </c>
      <c r="E3822" t="s">
        <v>20</v>
      </c>
      <c r="F3822">
        <v>104867487</v>
      </c>
      <c r="G3822">
        <v>104867487</v>
      </c>
      <c r="H3822">
        <v>104867487</v>
      </c>
      <c r="I3822">
        <v>104867487</v>
      </c>
    </row>
    <row r="3823" spans="1:9" x14ac:dyDescent="0.2">
      <c r="A3823" t="str">
        <f>"Ces2e"</f>
        <v>Ces2e</v>
      </c>
      <c r="B3823" t="s">
        <v>14</v>
      </c>
      <c r="C3823" t="s">
        <v>30</v>
      </c>
      <c r="D3823" t="s">
        <v>17</v>
      </c>
      <c r="E3823" t="s">
        <v>12</v>
      </c>
      <c r="F3823">
        <v>104926237</v>
      </c>
      <c r="G3823">
        <v>104926291</v>
      </c>
      <c r="H3823">
        <v>104926304</v>
      </c>
      <c r="I3823">
        <v>104926315</v>
      </c>
    </row>
    <row r="3824" spans="1:9" x14ac:dyDescent="0.2">
      <c r="A3824" t="str">
        <f>"Ces2f"</f>
        <v>Ces2f</v>
      </c>
      <c r="B3824" t="s">
        <v>14</v>
      </c>
      <c r="C3824" t="s">
        <v>30</v>
      </c>
      <c r="D3824" t="s">
        <v>17</v>
      </c>
      <c r="E3824" t="s">
        <v>12</v>
      </c>
      <c r="F3824">
        <v>104947348</v>
      </c>
      <c r="G3824">
        <v>104947363</v>
      </c>
      <c r="H3824">
        <v>104947334</v>
      </c>
      <c r="I3824">
        <v>104947341</v>
      </c>
    </row>
    <row r="3825" spans="1:9" x14ac:dyDescent="0.2">
      <c r="A3825" t="str">
        <f>"Ces2g"</f>
        <v>Ces2g</v>
      </c>
      <c r="B3825" t="s">
        <v>14</v>
      </c>
      <c r="C3825" t="s">
        <v>30</v>
      </c>
      <c r="D3825" t="s">
        <v>17</v>
      </c>
      <c r="E3825" t="s">
        <v>12</v>
      </c>
      <c r="F3825">
        <v>104961713</v>
      </c>
      <c r="G3825">
        <v>104961786</v>
      </c>
      <c r="H3825">
        <v>104961687</v>
      </c>
      <c r="I3825">
        <v>104961692</v>
      </c>
    </row>
    <row r="3826" spans="1:9" x14ac:dyDescent="0.2">
      <c r="A3826" t="str">
        <f>"Ces2h"</f>
        <v>Ces2h</v>
      </c>
      <c r="B3826" t="s">
        <v>2287</v>
      </c>
      <c r="C3826" t="s">
        <v>30</v>
      </c>
      <c r="D3826" t="s">
        <v>17</v>
      </c>
      <c r="E3826" t="s">
        <v>20</v>
      </c>
      <c r="F3826">
        <v>105000852</v>
      </c>
      <c r="G3826">
        <v>105000852</v>
      </c>
      <c r="H3826">
        <v>105000852</v>
      </c>
      <c r="I3826">
        <v>105000852</v>
      </c>
    </row>
    <row r="3827" spans="1:9" x14ac:dyDescent="0.2">
      <c r="A3827" t="str">
        <f>"Ces3a"</f>
        <v>Ces3a</v>
      </c>
      <c r="B3827" t="s">
        <v>14</v>
      </c>
      <c r="C3827" t="s">
        <v>30</v>
      </c>
      <c r="D3827" t="s">
        <v>17</v>
      </c>
      <c r="E3827" t="s">
        <v>12</v>
      </c>
      <c r="F3827">
        <v>105048592</v>
      </c>
      <c r="G3827">
        <v>105048608</v>
      </c>
      <c r="H3827">
        <v>105048592</v>
      </c>
      <c r="I3827">
        <v>105048608</v>
      </c>
    </row>
    <row r="3828" spans="1:9" x14ac:dyDescent="0.2">
      <c r="A3828" t="str">
        <f>"Ces3b"</f>
        <v>Ces3b</v>
      </c>
      <c r="B3828" t="s">
        <v>14</v>
      </c>
      <c r="C3828" t="s">
        <v>30</v>
      </c>
      <c r="D3828" t="s">
        <v>17</v>
      </c>
      <c r="E3828" t="s">
        <v>12</v>
      </c>
      <c r="F3828">
        <v>105083753</v>
      </c>
      <c r="G3828">
        <v>105083757</v>
      </c>
      <c r="H3828">
        <v>105083753</v>
      </c>
      <c r="I3828">
        <v>105083757</v>
      </c>
    </row>
    <row r="3829" spans="1:9" x14ac:dyDescent="0.2">
      <c r="A3829" t="str">
        <f>"Ces4a"</f>
        <v>Ces4a</v>
      </c>
      <c r="B3829" t="s">
        <v>14</v>
      </c>
      <c r="C3829" t="s">
        <v>30</v>
      </c>
      <c r="D3829" t="s">
        <v>17</v>
      </c>
      <c r="E3829" t="s">
        <v>12</v>
      </c>
      <c r="F3829">
        <v>105131891</v>
      </c>
      <c r="G3829">
        <v>105131903</v>
      </c>
      <c r="H3829">
        <v>105131823</v>
      </c>
      <c r="I3829">
        <v>105131830</v>
      </c>
    </row>
    <row r="3830" spans="1:9" x14ac:dyDescent="0.2">
      <c r="A3830" t="str">
        <f>"Ces5a"</f>
        <v>Ces5a</v>
      </c>
      <c r="B3830" t="s">
        <v>14</v>
      </c>
      <c r="C3830" t="s">
        <v>30</v>
      </c>
      <c r="D3830" t="s">
        <v>11</v>
      </c>
      <c r="E3830" t="s">
        <v>12</v>
      </c>
      <c r="F3830">
        <v>93535804</v>
      </c>
      <c r="G3830">
        <v>93535859</v>
      </c>
      <c r="H3830">
        <v>93535804</v>
      </c>
      <c r="I3830">
        <v>93535859</v>
      </c>
    </row>
    <row r="3831" spans="1:9" x14ac:dyDescent="0.2">
      <c r="A3831" t="str">
        <f>"Cetn1"</f>
        <v>Cetn1</v>
      </c>
      <c r="B3831" t="s">
        <v>14</v>
      </c>
      <c r="C3831" t="s">
        <v>43</v>
      </c>
      <c r="D3831" t="s">
        <v>11</v>
      </c>
      <c r="E3831" t="s">
        <v>12</v>
      </c>
      <c r="F3831">
        <v>9619460</v>
      </c>
      <c r="G3831">
        <v>9619482</v>
      </c>
      <c r="H3831">
        <v>9619436</v>
      </c>
      <c r="I3831">
        <v>9619452</v>
      </c>
    </row>
    <row r="3832" spans="1:9" x14ac:dyDescent="0.2">
      <c r="A3832" t="str">
        <f>"Cetn2"</f>
        <v>Cetn2</v>
      </c>
      <c r="B3832" t="s">
        <v>14</v>
      </c>
      <c r="C3832" t="s">
        <v>37</v>
      </c>
      <c r="D3832" t="s">
        <v>11</v>
      </c>
      <c r="E3832" t="s">
        <v>12</v>
      </c>
      <c r="F3832">
        <v>72918328</v>
      </c>
      <c r="G3832">
        <v>72918396</v>
      </c>
      <c r="H3832">
        <v>72918425</v>
      </c>
      <c r="I3832">
        <v>72918436</v>
      </c>
    </row>
    <row r="3833" spans="1:9" x14ac:dyDescent="0.2">
      <c r="A3833" t="str">
        <f>"Cetn3"</f>
        <v>Cetn3</v>
      </c>
      <c r="B3833" t="s">
        <v>14</v>
      </c>
      <c r="C3833" t="s">
        <v>39</v>
      </c>
      <c r="D3833" t="s">
        <v>17</v>
      </c>
      <c r="E3833" t="s">
        <v>12</v>
      </c>
      <c r="F3833">
        <v>81783220</v>
      </c>
      <c r="G3833">
        <v>81783307</v>
      </c>
      <c r="H3833">
        <v>81783308</v>
      </c>
      <c r="I3833">
        <v>81783325</v>
      </c>
    </row>
    <row r="3834" spans="1:9" x14ac:dyDescent="0.2">
      <c r="A3834" t="str">
        <f>"Cetn4"</f>
        <v>Cetn4</v>
      </c>
      <c r="B3834" t="s">
        <v>14</v>
      </c>
      <c r="C3834" t="s">
        <v>22</v>
      </c>
      <c r="D3834" t="s">
        <v>11</v>
      </c>
      <c r="E3834" t="s">
        <v>12</v>
      </c>
      <c r="F3834">
        <v>37312418</v>
      </c>
      <c r="G3834">
        <v>37312465</v>
      </c>
      <c r="H3834">
        <v>37312418</v>
      </c>
      <c r="I3834">
        <v>37312465</v>
      </c>
    </row>
    <row r="3835" spans="1:9" x14ac:dyDescent="0.2">
      <c r="A3835" t="str">
        <f>"Cfb"</f>
        <v>Cfb</v>
      </c>
      <c r="B3835" t="s">
        <v>14</v>
      </c>
      <c r="C3835" t="s">
        <v>28</v>
      </c>
      <c r="D3835" t="s">
        <v>11</v>
      </c>
      <c r="E3835" t="s">
        <v>12</v>
      </c>
      <c r="F3835">
        <v>34862122</v>
      </c>
      <c r="G3835">
        <v>34862238</v>
      </c>
      <c r="H3835">
        <v>34862473</v>
      </c>
      <c r="I3835">
        <v>34862535</v>
      </c>
    </row>
    <row r="3836" spans="1:9" x14ac:dyDescent="0.2">
      <c r="A3836" t="str">
        <f>"Cfc1"</f>
        <v>Cfc1</v>
      </c>
      <c r="B3836" t="s">
        <v>2288</v>
      </c>
      <c r="C3836" t="s">
        <v>19</v>
      </c>
      <c r="D3836" t="s">
        <v>17</v>
      </c>
      <c r="E3836" t="s">
        <v>20</v>
      </c>
      <c r="F3836">
        <v>34535647</v>
      </c>
      <c r="G3836">
        <v>34535647</v>
      </c>
      <c r="H3836">
        <v>34535647</v>
      </c>
      <c r="I3836">
        <v>34535647</v>
      </c>
    </row>
    <row r="3837" spans="1:9" x14ac:dyDescent="0.2">
      <c r="A3837" t="str">
        <f>"Cfd"</f>
        <v>Cfd</v>
      </c>
      <c r="B3837" t="s">
        <v>14</v>
      </c>
      <c r="C3837" t="s">
        <v>15</v>
      </c>
      <c r="D3837" t="s">
        <v>17</v>
      </c>
      <c r="E3837" t="s">
        <v>12</v>
      </c>
      <c r="F3837">
        <v>79890903</v>
      </c>
      <c r="G3837">
        <v>79890918</v>
      </c>
      <c r="H3837">
        <v>79890903</v>
      </c>
      <c r="I3837">
        <v>79890918</v>
      </c>
    </row>
    <row r="3838" spans="1:9" x14ac:dyDescent="0.2">
      <c r="A3838" t="str">
        <f>"Cfdp1"</f>
        <v>Cfdp1</v>
      </c>
      <c r="B3838" t="s">
        <v>14</v>
      </c>
      <c r="C3838" t="s">
        <v>30</v>
      </c>
      <c r="D3838" t="s">
        <v>11</v>
      </c>
      <c r="E3838" t="s">
        <v>12</v>
      </c>
      <c r="F3838">
        <v>111854278</v>
      </c>
      <c r="G3838">
        <v>111854356</v>
      </c>
      <c r="H3838">
        <v>111854278</v>
      </c>
      <c r="I3838">
        <v>111854356</v>
      </c>
    </row>
    <row r="3839" spans="1:9" x14ac:dyDescent="0.2">
      <c r="A3839" t="str">
        <f>"Cfh"</f>
        <v>Cfh</v>
      </c>
      <c r="B3839" t="s">
        <v>14</v>
      </c>
      <c r="C3839" t="s">
        <v>19</v>
      </c>
      <c r="D3839" t="s">
        <v>11</v>
      </c>
      <c r="E3839" t="s">
        <v>12</v>
      </c>
      <c r="F3839">
        <v>140183283</v>
      </c>
      <c r="G3839">
        <v>140183332</v>
      </c>
      <c r="H3839">
        <v>140183260</v>
      </c>
      <c r="I3839">
        <v>140183271</v>
      </c>
    </row>
    <row r="3840" spans="1:9" x14ac:dyDescent="0.2">
      <c r="A3840" t="str">
        <f>"Cfhr1"</f>
        <v>Cfhr1</v>
      </c>
      <c r="B3840" t="s">
        <v>14</v>
      </c>
      <c r="C3840" t="s">
        <v>19</v>
      </c>
      <c r="D3840" t="s">
        <v>11</v>
      </c>
      <c r="E3840" t="s">
        <v>12</v>
      </c>
      <c r="F3840">
        <v>139560213</v>
      </c>
      <c r="G3840">
        <v>139560229</v>
      </c>
      <c r="H3840">
        <v>139560213</v>
      </c>
      <c r="I3840">
        <v>139560229</v>
      </c>
    </row>
    <row r="3841" spans="1:9" x14ac:dyDescent="0.2">
      <c r="A3841" t="str">
        <f>"Cfhr2"</f>
        <v>Cfhr2</v>
      </c>
      <c r="B3841" t="s">
        <v>14</v>
      </c>
      <c r="C3841" t="s">
        <v>19</v>
      </c>
      <c r="D3841" t="s">
        <v>11</v>
      </c>
      <c r="E3841" t="s">
        <v>12</v>
      </c>
      <c r="F3841">
        <v>139858684</v>
      </c>
      <c r="G3841">
        <v>139858729</v>
      </c>
      <c r="H3841">
        <v>139858684</v>
      </c>
      <c r="I3841">
        <v>139858729</v>
      </c>
    </row>
    <row r="3842" spans="1:9" x14ac:dyDescent="0.2">
      <c r="A3842" t="str">
        <f>"Cfhr3"</f>
        <v>Cfhr3</v>
      </c>
      <c r="B3842" t="s">
        <v>2289</v>
      </c>
      <c r="C3842" t="s">
        <v>19</v>
      </c>
      <c r="D3842" t="s">
        <v>11</v>
      </c>
      <c r="E3842" t="s">
        <v>20</v>
      </c>
      <c r="F3842">
        <v>139608281</v>
      </c>
      <c r="G3842">
        <v>139608281</v>
      </c>
      <c r="H3842">
        <v>139608281</v>
      </c>
      <c r="I3842">
        <v>139608281</v>
      </c>
    </row>
    <row r="3843" spans="1:9" x14ac:dyDescent="0.2">
      <c r="A3843" t="str">
        <f>"Cfi"</f>
        <v>Cfi</v>
      </c>
      <c r="B3843" t="s">
        <v>14</v>
      </c>
      <c r="C3843" t="s">
        <v>22</v>
      </c>
      <c r="D3843" t="s">
        <v>17</v>
      </c>
      <c r="E3843" t="s">
        <v>12</v>
      </c>
      <c r="F3843">
        <v>129836774</v>
      </c>
      <c r="G3843">
        <v>129836804</v>
      </c>
      <c r="H3843">
        <v>129836729</v>
      </c>
      <c r="I3843">
        <v>129836747</v>
      </c>
    </row>
    <row r="3844" spans="1:9" x14ac:dyDescent="0.2">
      <c r="A3844" t="str">
        <f>"Cfl1"</f>
        <v>Cfl1</v>
      </c>
      <c r="B3844" t="s">
        <v>14</v>
      </c>
      <c r="C3844" t="s">
        <v>10</v>
      </c>
      <c r="D3844" t="s">
        <v>17</v>
      </c>
      <c r="E3844" t="s">
        <v>12</v>
      </c>
      <c r="F3844">
        <v>5490512</v>
      </c>
      <c r="G3844">
        <v>5490525</v>
      </c>
      <c r="H3844">
        <v>5490475</v>
      </c>
      <c r="I3844">
        <v>5490487</v>
      </c>
    </row>
    <row r="3845" spans="1:9" x14ac:dyDescent="0.2">
      <c r="A3845" t="str">
        <f>"Cfl2"</f>
        <v>Cfl2</v>
      </c>
      <c r="B3845" t="s">
        <v>14</v>
      </c>
      <c r="C3845" t="s">
        <v>16</v>
      </c>
      <c r="D3845" t="s">
        <v>11</v>
      </c>
      <c r="E3845" t="s">
        <v>12</v>
      </c>
      <c r="F3845">
        <v>54862783</v>
      </c>
      <c r="G3845">
        <v>54862921</v>
      </c>
      <c r="H3845">
        <v>54862783</v>
      </c>
      <c r="I3845">
        <v>54862921</v>
      </c>
    </row>
    <row r="3846" spans="1:9" x14ac:dyDescent="0.2">
      <c r="A3846" t="str">
        <f>"Cflar"</f>
        <v>Cflar</v>
      </c>
      <c r="B3846" t="s">
        <v>9</v>
      </c>
      <c r="C3846" t="s">
        <v>19</v>
      </c>
      <c r="D3846" t="s">
        <v>17</v>
      </c>
      <c r="E3846" t="s">
        <v>12</v>
      </c>
      <c r="F3846">
        <v>58713241</v>
      </c>
      <c r="G3846">
        <v>58713314</v>
      </c>
      <c r="H3846">
        <v>58713241</v>
      </c>
      <c r="I3846">
        <v>58713314</v>
      </c>
    </row>
    <row r="3847" spans="1:9" x14ac:dyDescent="0.2">
      <c r="A3847" t="str">
        <f>"Cflar"</f>
        <v>Cflar</v>
      </c>
      <c r="B3847" t="s">
        <v>13</v>
      </c>
      <c r="C3847" t="s">
        <v>19</v>
      </c>
      <c r="D3847" t="s">
        <v>17</v>
      </c>
      <c r="E3847" t="s">
        <v>12</v>
      </c>
      <c r="F3847">
        <v>58711488</v>
      </c>
      <c r="G3847">
        <v>58711523</v>
      </c>
      <c r="H3847">
        <v>58711488</v>
      </c>
      <c r="I3847">
        <v>58711523</v>
      </c>
    </row>
    <row r="3848" spans="1:9" x14ac:dyDescent="0.2">
      <c r="A3848" t="str">
        <f>"Cfp"</f>
        <v>Cfp</v>
      </c>
      <c r="B3848" t="s">
        <v>14</v>
      </c>
      <c r="C3848" t="s">
        <v>37</v>
      </c>
      <c r="D3848" t="s">
        <v>11</v>
      </c>
      <c r="E3848" t="s">
        <v>12</v>
      </c>
      <c r="F3848">
        <v>20931495</v>
      </c>
      <c r="G3848">
        <v>20931517</v>
      </c>
      <c r="H3848">
        <v>20931463</v>
      </c>
      <c r="I3848">
        <v>20931481</v>
      </c>
    </row>
    <row r="3849" spans="1:9" x14ac:dyDescent="0.2">
      <c r="A3849" t="str">
        <f>"Cftr"</f>
        <v>Cftr</v>
      </c>
      <c r="B3849" t="s">
        <v>14</v>
      </c>
      <c r="C3849" t="s">
        <v>32</v>
      </c>
      <c r="D3849" t="s">
        <v>17</v>
      </c>
      <c r="E3849" t="s">
        <v>12</v>
      </c>
      <c r="F3849">
        <v>18170560</v>
      </c>
      <c r="G3849">
        <v>18170620</v>
      </c>
      <c r="H3849">
        <v>18170742</v>
      </c>
      <c r="I3849">
        <v>18170756</v>
      </c>
    </row>
    <row r="3850" spans="1:9" x14ac:dyDescent="0.2">
      <c r="A3850" t="str">
        <f>"Cga"</f>
        <v>Cga</v>
      </c>
      <c r="B3850" t="s">
        <v>14</v>
      </c>
      <c r="C3850" t="s">
        <v>23</v>
      </c>
      <c r="D3850" t="s">
        <v>17</v>
      </c>
      <c r="E3850" t="s">
        <v>12</v>
      </c>
      <c r="F3850">
        <v>34893772</v>
      </c>
      <c r="G3850">
        <v>34893787</v>
      </c>
      <c r="H3850">
        <v>34893794</v>
      </c>
      <c r="I3850">
        <v>34893816</v>
      </c>
    </row>
    <row r="3851" spans="1:9" x14ac:dyDescent="0.2">
      <c r="A3851" t="str">
        <f>"Cggbp1"</f>
        <v>Cggbp1</v>
      </c>
      <c r="B3851" t="s">
        <v>14</v>
      </c>
      <c r="C3851" t="s">
        <v>31</v>
      </c>
      <c r="D3851" t="s">
        <v>17</v>
      </c>
      <c r="E3851" t="s">
        <v>12</v>
      </c>
      <c r="F3851">
        <v>64851998</v>
      </c>
      <c r="G3851">
        <v>64852074</v>
      </c>
      <c r="H3851">
        <v>64852308</v>
      </c>
      <c r="I3851">
        <v>64852350</v>
      </c>
    </row>
    <row r="3852" spans="1:9" x14ac:dyDescent="0.2">
      <c r="A3852" t="str">
        <f>"Cgn"</f>
        <v>Cgn</v>
      </c>
      <c r="B3852" t="s">
        <v>14</v>
      </c>
      <c r="C3852" t="s">
        <v>22</v>
      </c>
      <c r="D3852" t="s">
        <v>11</v>
      </c>
      <c r="E3852" t="s">
        <v>12</v>
      </c>
      <c r="F3852">
        <v>94786469</v>
      </c>
      <c r="G3852">
        <v>94786490</v>
      </c>
      <c r="H3852">
        <v>94786430</v>
      </c>
      <c r="I3852">
        <v>94786466</v>
      </c>
    </row>
    <row r="3853" spans="1:9" x14ac:dyDescent="0.2">
      <c r="A3853" t="str">
        <f>"Cgnl1"</f>
        <v>Cgnl1</v>
      </c>
      <c r="B3853" t="s">
        <v>14</v>
      </c>
      <c r="C3853" t="s">
        <v>24</v>
      </c>
      <c r="D3853" t="s">
        <v>11</v>
      </c>
      <c r="E3853" t="s">
        <v>12</v>
      </c>
      <c r="F3853">
        <v>71771535</v>
      </c>
      <c r="G3853">
        <v>71771601</v>
      </c>
      <c r="H3853">
        <v>71771535</v>
      </c>
      <c r="I3853">
        <v>71771601</v>
      </c>
    </row>
    <row r="3854" spans="1:9" x14ac:dyDescent="0.2">
      <c r="A3854" t="str">
        <f>"Cgref1"</f>
        <v>Cgref1</v>
      </c>
      <c r="B3854" t="s">
        <v>14</v>
      </c>
      <c r="C3854" t="s">
        <v>46</v>
      </c>
      <c r="D3854" t="s">
        <v>11</v>
      </c>
      <c r="E3854" t="s">
        <v>12</v>
      </c>
      <c r="F3854">
        <v>30945393</v>
      </c>
      <c r="G3854">
        <v>30945455</v>
      </c>
      <c r="H3854">
        <v>30945393</v>
      </c>
      <c r="I3854">
        <v>30945455</v>
      </c>
    </row>
    <row r="3855" spans="1:9" x14ac:dyDescent="0.2">
      <c r="A3855" t="str">
        <f>"Cgrrf1"</f>
        <v>Cgrrf1</v>
      </c>
      <c r="B3855" t="s">
        <v>14</v>
      </c>
      <c r="C3855" t="s">
        <v>41</v>
      </c>
      <c r="D3855" t="s">
        <v>17</v>
      </c>
      <c r="E3855" t="s">
        <v>12</v>
      </c>
      <c r="F3855">
        <v>46832210</v>
      </c>
      <c r="G3855">
        <v>46832274</v>
      </c>
      <c r="H3855">
        <v>46832127</v>
      </c>
      <c r="I3855">
        <v>46832151</v>
      </c>
    </row>
    <row r="3856" spans="1:9" x14ac:dyDescent="0.2">
      <c r="A3856" t="str">
        <f>"Ch25h"</f>
        <v>Ch25h</v>
      </c>
      <c r="B3856" t="s">
        <v>14</v>
      </c>
      <c r="C3856" t="s">
        <v>10</v>
      </c>
      <c r="D3856" t="s">
        <v>11</v>
      </c>
      <c r="E3856" t="s">
        <v>12</v>
      </c>
      <c r="F3856">
        <v>34475143</v>
      </c>
      <c r="G3856">
        <v>34475151</v>
      </c>
      <c r="H3856">
        <v>34475143</v>
      </c>
      <c r="I3856">
        <v>34475151</v>
      </c>
    </row>
    <row r="3857" spans="1:9" x14ac:dyDescent="0.2">
      <c r="A3857" t="str">
        <f>"Chac1"</f>
        <v>Chac1</v>
      </c>
      <c r="B3857" t="s">
        <v>14</v>
      </c>
      <c r="C3857" t="s">
        <v>26</v>
      </c>
      <c r="D3857" t="s">
        <v>17</v>
      </c>
      <c r="E3857" t="s">
        <v>12</v>
      </c>
      <c r="F3857">
        <v>119351282</v>
      </c>
      <c r="G3857">
        <v>119351299</v>
      </c>
      <c r="H3857">
        <v>119351222</v>
      </c>
      <c r="I3857">
        <v>119351233</v>
      </c>
    </row>
    <row r="3858" spans="1:9" x14ac:dyDescent="0.2">
      <c r="A3858" t="str">
        <f>"Chac2"</f>
        <v>Chac2</v>
      </c>
      <c r="B3858" t="s">
        <v>14</v>
      </c>
      <c r="C3858" t="s">
        <v>27</v>
      </c>
      <c r="D3858" t="s">
        <v>11</v>
      </c>
      <c r="E3858" t="s">
        <v>12</v>
      </c>
      <c r="F3858">
        <v>30986326</v>
      </c>
      <c r="G3858">
        <v>30986372</v>
      </c>
      <c r="H3858">
        <v>30986297</v>
      </c>
      <c r="I3858">
        <v>30986325</v>
      </c>
    </row>
    <row r="3859" spans="1:9" x14ac:dyDescent="0.2">
      <c r="A3859" t="str">
        <f>"Chad"</f>
        <v>Chad</v>
      </c>
      <c r="B3859" t="s">
        <v>14</v>
      </c>
      <c r="C3859" t="s">
        <v>27</v>
      </c>
      <c r="D3859" t="s">
        <v>17</v>
      </c>
      <c r="E3859" t="s">
        <v>12</v>
      </c>
      <c r="F3859">
        <v>94565039</v>
      </c>
      <c r="G3859">
        <v>94565056</v>
      </c>
      <c r="H3859">
        <v>94565039</v>
      </c>
      <c r="I3859">
        <v>94565056</v>
      </c>
    </row>
    <row r="3860" spans="1:9" x14ac:dyDescent="0.2">
      <c r="A3860" t="str">
        <f>"Chadl"</f>
        <v>Chadl</v>
      </c>
      <c r="B3860" t="s">
        <v>9</v>
      </c>
      <c r="C3860" t="s">
        <v>25</v>
      </c>
      <c r="D3860" t="s">
        <v>11</v>
      </c>
      <c r="E3860" t="s">
        <v>12</v>
      </c>
      <c r="F3860">
        <v>81697256</v>
      </c>
      <c r="G3860">
        <v>81697298</v>
      </c>
      <c r="H3860">
        <v>81697256</v>
      </c>
      <c r="I3860">
        <v>81697298</v>
      </c>
    </row>
    <row r="3861" spans="1:9" x14ac:dyDescent="0.2">
      <c r="A3861" t="str">
        <f>"Chadl"</f>
        <v>Chadl</v>
      </c>
      <c r="B3861" t="s">
        <v>13</v>
      </c>
      <c r="C3861" t="s">
        <v>25</v>
      </c>
      <c r="D3861" t="s">
        <v>11</v>
      </c>
      <c r="E3861" t="s">
        <v>12</v>
      </c>
      <c r="F3861">
        <v>81694195</v>
      </c>
      <c r="G3861">
        <v>81694241</v>
      </c>
      <c r="H3861">
        <v>81694195</v>
      </c>
      <c r="I3861">
        <v>81694241</v>
      </c>
    </row>
    <row r="3862" spans="1:9" x14ac:dyDescent="0.2">
      <c r="A3862" t="str">
        <f>"Chaf1a"</f>
        <v>Chaf1a</v>
      </c>
      <c r="B3862" t="s">
        <v>14</v>
      </c>
      <c r="C3862" t="s">
        <v>28</v>
      </c>
      <c r="D3862" t="s">
        <v>17</v>
      </c>
      <c r="E3862" t="s">
        <v>12</v>
      </c>
      <c r="F3862">
        <v>56040350</v>
      </c>
      <c r="G3862">
        <v>56040420</v>
      </c>
      <c r="H3862">
        <v>56040424</v>
      </c>
      <c r="I3862">
        <v>56040445</v>
      </c>
    </row>
    <row r="3863" spans="1:9" x14ac:dyDescent="0.2">
      <c r="A3863" t="str">
        <f>"Chaf1b"</f>
        <v>Chaf1b</v>
      </c>
      <c r="B3863" t="s">
        <v>14</v>
      </c>
      <c r="C3863" t="s">
        <v>31</v>
      </c>
      <c r="D3863" t="s">
        <v>17</v>
      </c>
      <c r="E3863" t="s">
        <v>12</v>
      </c>
      <c r="F3863">
        <v>93883895</v>
      </c>
      <c r="G3863">
        <v>93883954</v>
      </c>
      <c r="H3863">
        <v>93883961</v>
      </c>
      <c r="I3863">
        <v>93883966</v>
      </c>
    </row>
    <row r="3864" spans="1:9" x14ac:dyDescent="0.2">
      <c r="A3864" t="str">
        <f>"Champ1"</f>
        <v>Champ1</v>
      </c>
      <c r="B3864" t="s">
        <v>14</v>
      </c>
      <c r="C3864" t="s">
        <v>30</v>
      </c>
      <c r="D3864" t="s">
        <v>17</v>
      </c>
      <c r="E3864" t="s">
        <v>67</v>
      </c>
      <c r="F3864">
        <v>13869673</v>
      </c>
      <c r="G3864">
        <v>13869740</v>
      </c>
      <c r="H3864">
        <v>13869785</v>
      </c>
      <c r="I3864">
        <v>13869792</v>
      </c>
    </row>
    <row r="3865" spans="1:9" x14ac:dyDescent="0.2">
      <c r="A3865" t="str">
        <f>"Chat"</f>
        <v>Chat</v>
      </c>
      <c r="B3865" t="s">
        <v>9</v>
      </c>
      <c r="C3865" t="s">
        <v>41</v>
      </c>
      <c r="D3865" t="s">
        <v>11</v>
      </c>
      <c r="E3865" t="s">
        <v>12</v>
      </c>
      <c r="F3865">
        <v>32460901</v>
      </c>
      <c r="G3865">
        <v>32460916</v>
      </c>
      <c r="H3865">
        <v>32460901</v>
      </c>
      <c r="I3865">
        <v>32460916</v>
      </c>
    </row>
    <row r="3866" spans="1:9" x14ac:dyDescent="0.2">
      <c r="A3866" t="str">
        <f>"Chat"</f>
        <v>Chat</v>
      </c>
      <c r="B3866" t="s">
        <v>13</v>
      </c>
      <c r="C3866" t="s">
        <v>41</v>
      </c>
      <c r="D3866" t="s">
        <v>11</v>
      </c>
      <c r="E3866" t="s">
        <v>12</v>
      </c>
      <c r="F3866">
        <v>32465847</v>
      </c>
      <c r="G3866">
        <v>32465874</v>
      </c>
      <c r="H3866">
        <v>32465847</v>
      </c>
      <c r="I3866">
        <v>32465874</v>
      </c>
    </row>
    <row r="3867" spans="1:9" x14ac:dyDescent="0.2">
      <c r="A3867" t="str">
        <f>"Chchd1"</f>
        <v>Chchd1</v>
      </c>
      <c r="B3867" t="s">
        <v>14</v>
      </c>
      <c r="C3867" t="s">
        <v>41</v>
      </c>
      <c r="D3867" t="s">
        <v>17</v>
      </c>
      <c r="E3867" t="s">
        <v>12</v>
      </c>
      <c r="F3867">
        <v>20703042</v>
      </c>
      <c r="G3867">
        <v>20703077</v>
      </c>
      <c r="H3867">
        <v>20703042</v>
      </c>
      <c r="I3867">
        <v>20703077</v>
      </c>
    </row>
    <row r="3868" spans="1:9" x14ac:dyDescent="0.2">
      <c r="A3868" t="str">
        <f>"Chchd10"</f>
        <v>Chchd10</v>
      </c>
      <c r="B3868" t="s">
        <v>14</v>
      </c>
      <c r="C3868" t="s">
        <v>15</v>
      </c>
      <c r="D3868" t="s">
        <v>17</v>
      </c>
      <c r="E3868" t="s">
        <v>12</v>
      </c>
      <c r="F3868">
        <v>75935878</v>
      </c>
      <c r="G3868">
        <v>75935908</v>
      </c>
      <c r="H3868">
        <v>75935878</v>
      </c>
      <c r="I3868">
        <v>75935908</v>
      </c>
    </row>
    <row r="3869" spans="1:9" x14ac:dyDescent="0.2">
      <c r="A3869" t="str">
        <f>"Chchd2"</f>
        <v>Chchd2</v>
      </c>
      <c r="B3869" t="s">
        <v>14</v>
      </c>
      <c r="C3869" t="s">
        <v>46</v>
      </c>
      <c r="D3869" t="s">
        <v>11</v>
      </c>
      <c r="E3869" t="s">
        <v>12</v>
      </c>
      <c r="F3869">
        <v>129887442</v>
      </c>
      <c r="G3869">
        <v>129887480</v>
      </c>
      <c r="H3869">
        <v>129887288</v>
      </c>
      <c r="I3869">
        <v>129887305</v>
      </c>
    </row>
    <row r="3870" spans="1:9" x14ac:dyDescent="0.2">
      <c r="A3870" t="str">
        <f>"Chchd3"</f>
        <v>Chchd3</v>
      </c>
      <c r="B3870" t="s">
        <v>14</v>
      </c>
      <c r="C3870" t="s">
        <v>32</v>
      </c>
      <c r="D3870" t="s">
        <v>11</v>
      </c>
      <c r="E3870" t="s">
        <v>12</v>
      </c>
      <c r="F3870">
        <v>33060172</v>
      </c>
      <c r="G3870">
        <v>33060252</v>
      </c>
      <c r="H3870">
        <v>33060256</v>
      </c>
      <c r="I3870">
        <v>33060267</v>
      </c>
    </row>
    <row r="3871" spans="1:9" x14ac:dyDescent="0.2">
      <c r="A3871" t="str">
        <f>"Chchd4"</f>
        <v>Chchd4</v>
      </c>
      <c r="B3871" t="s">
        <v>14</v>
      </c>
      <c r="C3871" t="s">
        <v>32</v>
      </c>
      <c r="D3871" t="s">
        <v>11</v>
      </c>
      <c r="E3871" t="s">
        <v>12</v>
      </c>
      <c r="F3871">
        <v>91473361</v>
      </c>
      <c r="G3871">
        <v>91473470</v>
      </c>
      <c r="H3871">
        <v>91473504</v>
      </c>
      <c r="I3871">
        <v>91473552</v>
      </c>
    </row>
    <row r="3872" spans="1:9" x14ac:dyDescent="0.2">
      <c r="A3872" t="str">
        <f>"Chchd5"</f>
        <v>Chchd5</v>
      </c>
      <c r="B3872" t="s">
        <v>14</v>
      </c>
      <c r="C3872" t="s">
        <v>26</v>
      </c>
      <c r="D3872" t="s">
        <v>17</v>
      </c>
      <c r="E3872" t="s">
        <v>12</v>
      </c>
      <c r="F3872">
        <v>129129797</v>
      </c>
      <c r="G3872">
        <v>129129831</v>
      </c>
      <c r="H3872">
        <v>129129782</v>
      </c>
      <c r="I3872">
        <v>129129791</v>
      </c>
    </row>
    <row r="3873" spans="1:9" x14ac:dyDescent="0.2">
      <c r="A3873" t="str">
        <f>"Chchd6"</f>
        <v>Chchd6</v>
      </c>
      <c r="B3873" t="s">
        <v>14</v>
      </c>
      <c r="C3873" t="s">
        <v>32</v>
      </c>
      <c r="D3873" t="s">
        <v>11</v>
      </c>
      <c r="E3873" t="s">
        <v>12</v>
      </c>
      <c r="F3873">
        <v>89595547</v>
      </c>
      <c r="G3873">
        <v>89595645</v>
      </c>
      <c r="H3873">
        <v>89595647</v>
      </c>
      <c r="I3873">
        <v>89595658</v>
      </c>
    </row>
    <row r="3874" spans="1:9" x14ac:dyDescent="0.2">
      <c r="A3874" t="str">
        <f>"Chchd7"</f>
        <v>Chchd7</v>
      </c>
      <c r="B3874" t="s">
        <v>14</v>
      </c>
      <c r="C3874" t="s">
        <v>23</v>
      </c>
      <c r="D3874" t="s">
        <v>17</v>
      </c>
      <c r="E3874" t="s">
        <v>12</v>
      </c>
      <c r="F3874">
        <v>3938904</v>
      </c>
      <c r="G3874">
        <v>3938932</v>
      </c>
      <c r="H3874">
        <v>3938904</v>
      </c>
      <c r="I3874">
        <v>3938932</v>
      </c>
    </row>
    <row r="3875" spans="1:9" x14ac:dyDescent="0.2">
      <c r="A3875" t="str">
        <f>"Chd1"</f>
        <v>Chd1</v>
      </c>
      <c r="B3875" t="s">
        <v>14</v>
      </c>
      <c r="C3875" t="s">
        <v>28</v>
      </c>
      <c r="D3875" t="s">
        <v>17</v>
      </c>
      <c r="E3875" t="s">
        <v>12</v>
      </c>
      <c r="F3875">
        <v>15704963</v>
      </c>
      <c r="G3875">
        <v>15704994</v>
      </c>
      <c r="H3875">
        <v>15705002</v>
      </c>
      <c r="I3875">
        <v>15705033</v>
      </c>
    </row>
    <row r="3876" spans="1:9" x14ac:dyDescent="0.2">
      <c r="A3876" t="str">
        <f>"Chd1l"</f>
        <v>Chd1l</v>
      </c>
      <c r="B3876" t="s">
        <v>14</v>
      </c>
      <c r="C3876" t="s">
        <v>22</v>
      </c>
      <c r="D3876" t="s">
        <v>11</v>
      </c>
      <c r="E3876" t="s">
        <v>12</v>
      </c>
      <c r="F3876">
        <v>97610156</v>
      </c>
      <c r="G3876">
        <v>97610222</v>
      </c>
      <c r="H3876">
        <v>97610156</v>
      </c>
      <c r="I3876">
        <v>97610222</v>
      </c>
    </row>
    <row r="3877" spans="1:9" x14ac:dyDescent="0.2">
      <c r="A3877" t="str">
        <f>"Chd2"</f>
        <v>Chd2</v>
      </c>
      <c r="B3877" t="s">
        <v>14</v>
      </c>
      <c r="C3877" t="s">
        <v>33</v>
      </c>
      <c r="D3877" t="s">
        <v>11</v>
      </c>
      <c r="E3877" t="s">
        <v>12</v>
      </c>
      <c r="F3877">
        <v>73541738</v>
      </c>
      <c r="G3877">
        <v>73541758</v>
      </c>
      <c r="H3877">
        <v>73541719</v>
      </c>
      <c r="I3877">
        <v>73541737</v>
      </c>
    </row>
    <row r="3878" spans="1:9" x14ac:dyDescent="0.2">
      <c r="A3878" t="str">
        <f>"Chd3"</f>
        <v>Chd3</v>
      </c>
      <c r="B3878" t="s">
        <v>14</v>
      </c>
      <c r="C3878" t="s">
        <v>27</v>
      </c>
      <c r="D3878" t="s">
        <v>11</v>
      </c>
      <c r="E3878" t="s">
        <v>12</v>
      </c>
      <c r="F3878">
        <v>69369377</v>
      </c>
      <c r="G3878">
        <v>69369415</v>
      </c>
      <c r="H3878">
        <v>69369377</v>
      </c>
      <c r="I3878">
        <v>69369415</v>
      </c>
    </row>
    <row r="3879" spans="1:9" x14ac:dyDescent="0.2">
      <c r="A3879" t="str">
        <f>"Chd4"</f>
        <v>Chd4</v>
      </c>
      <c r="B3879" t="s">
        <v>14</v>
      </c>
      <c r="C3879" t="s">
        <v>32</v>
      </c>
      <c r="D3879" t="s">
        <v>17</v>
      </c>
      <c r="E3879" t="s">
        <v>12</v>
      </c>
      <c r="F3879">
        <v>125096169</v>
      </c>
      <c r="G3879">
        <v>125096189</v>
      </c>
      <c r="H3879">
        <v>125096145</v>
      </c>
      <c r="I3879">
        <v>125096158</v>
      </c>
    </row>
    <row r="3880" spans="1:9" x14ac:dyDescent="0.2">
      <c r="A3880" t="str">
        <f>"Chd5"</f>
        <v>Chd5</v>
      </c>
      <c r="B3880" t="s">
        <v>14</v>
      </c>
      <c r="C3880" t="s">
        <v>23</v>
      </c>
      <c r="D3880" t="s">
        <v>17</v>
      </c>
      <c r="E3880" t="s">
        <v>12</v>
      </c>
      <c r="F3880">
        <v>152338619</v>
      </c>
      <c r="G3880">
        <v>152338709</v>
      </c>
      <c r="H3880">
        <v>152338914</v>
      </c>
      <c r="I3880">
        <v>152338967</v>
      </c>
    </row>
    <row r="3881" spans="1:9" x14ac:dyDescent="0.2">
      <c r="A3881" t="str">
        <f>"Chd6"</f>
        <v>Chd6</v>
      </c>
      <c r="B3881" t="s">
        <v>14</v>
      </c>
      <c r="C3881" t="s">
        <v>26</v>
      </c>
      <c r="D3881" t="s">
        <v>11</v>
      </c>
      <c r="E3881" t="s">
        <v>12</v>
      </c>
      <c r="F3881">
        <v>161109036</v>
      </c>
      <c r="G3881">
        <v>161109091</v>
      </c>
      <c r="H3881">
        <v>161109017</v>
      </c>
      <c r="I3881">
        <v>161109027</v>
      </c>
    </row>
    <row r="3882" spans="1:9" x14ac:dyDescent="0.2">
      <c r="A3882" t="str">
        <f>"Chd7"</f>
        <v>Chd7</v>
      </c>
      <c r="B3882" t="s">
        <v>14</v>
      </c>
      <c r="C3882" t="s">
        <v>23</v>
      </c>
      <c r="D3882" t="s">
        <v>17</v>
      </c>
      <c r="E3882" t="s">
        <v>12</v>
      </c>
      <c r="F3882">
        <v>8690399</v>
      </c>
      <c r="G3882">
        <v>8690453</v>
      </c>
      <c r="H3882">
        <v>8690537</v>
      </c>
      <c r="I3882">
        <v>8690583</v>
      </c>
    </row>
    <row r="3883" spans="1:9" x14ac:dyDescent="0.2">
      <c r="A3883" t="str">
        <f>"Chd8"</f>
        <v>Chd8</v>
      </c>
      <c r="B3883" t="s">
        <v>14</v>
      </c>
      <c r="C3883" t="s">
        <v>41</v>
      </c>
      <c r="D3883" t="s">
        <v>11</v>
      </c>
      <c r="E3883" t="s">
        <v>12</v>
      </c>
      <c r="F3883">
        <v>52237762</v>
      </c>
      <c r="G3883">
        <v>52237800</v>
      </c>
      <c r="H3883">
        <v>52237762</v>
      </c>
      <c r="I3883">
        <v>52237800</v>
      </c>
    </row>
    <row r="3884" spans="1:9" x14ac:dyDescent="0.2">
      <c r="A3884" t="str">
        <f>"Chd9"</f>
        <v>Chd9</v>
      </c>
      <c r="B3884" t="s">
        <v>2290</v>
      </c>
      <c r="C3884" t="s">
        <v>30</v>
      </c>
      <c r="D3884" t="s">
        <v>17</v>
      </c>
      <c r="E3884" t="s">
        <v>35</v>
      </c>
      <c r="F3884">
        <v>90828628</v>
      </c>
      <c r="G3884">
        <v>90828659</v>
      </c>
      <c r="H3884">
        <v>90828848</v>
      </c>
      <c r="I3884">
        <v>90828895</v>
      </c>
    </row>
    <row r="3885" spans="1:9" x14ac:dyDescent="0.2">
      <c r="A3885" t="str">
        <f>"Chdc2"</f>
        <v>Chdc2</v>
      </c>
      <c r="B3885" t="s">
        <v>2291</v>
      </c>
      <c r="C3885" t="s">
        <v>37</v>
      </c>
      <c r="D3885" t="s">
        <v>11</v>
      </c>
      <c r="E3885" t="s">
        <v>20</v>
      </c>
      <c r="F3885">
        <v>79434417</v>
      </c>
      <c r="G3885">
        <v>79434417</v>
      </c>
      <c r="H3885">
        <v>79434417</v>
      </c>
      <c r="I3885">
        <v>79434417</v>
      </c>
    </row>
    <row r="3886" spans="1:9" x14ac:dyDescent="0.2">
      <c r="A3886" t="str">
        <f>"Chdh"</f>
        <v>Chdh</v>
      </c>
      <c r="B3886" t="s">
        <v>14</v>
      </c>
      <c r="C3886" t="s">
        <v>41</v>
      </c>
      <c r="D3886" t="s">
        <v>17</v>
      </c>
      <c r="E3886" t="s">
        <v>12</v>
      </c>
      <c r="F3886">
        <v>30009095</v>
      </c>
      <c r="G3886">
        <v>30009110</v>
      </c>
      <c r="H3886">
        <v>30009115</v>
      </c>
      <c r="I3886">
        <v>30009146</v>
      </c>
    </row>
    <row r="3887" spans="1:9" x14ac:dyDescent="0.2">
      <c r="A3887" t="str">
        <f>"Chek1"</f>
        <v>Chek1</v>
      </c>
      <c r="B3887" t="s">
        <v>14</v>
      </c>
      <c r="C3887" t="s">
        <v>24</v>
      </c>
      <c r="D3887" t="s">
        <v>11</v>
      </c>
      <c r="E3887" t="s">
        <v>12</v>
      </c>
      <c r="F3887">
        <v>36726588</v>
      </c>
      <c r="G3887">
        <v>36726607</v>
      </c>
      <c r="H3887">
        <v>36726628</v>
      </c>
      <c r="I3887">
        <v>36726636</v>
      </c>
    </row>
    <row r="3888" spans="1:9" x14ac:dyDescent="0.2">
      <c r="A3888" t="str">
        <f>"Chek2"</f>
        <v>Chek2</v>
      </c>
      <c r="B3888" t="s">
        <v>14</v>
      </c>
      <c r="C3888" t="s">
        <v>46</v>
      </c>
      <c r="D3888" t="s">
        <v>17</v>
      </c>
      <c r="E3888" t="s">
        <v>12</v>
      </c>
      <c r="F3888">
        <v>110839973</v>
      </c>
      <c r="G3888">
        <v>110840022</v>
      </c>
      <c r="H3888">
        <v>110839973</v>
      </c>
      <c r="I3888">
        <v>110840022</v>
      </c>
    </row>
    <row r="3889" spans="1:9" x14ac:dyDescent="0.2">
      <c r="A3889" t="str">
        <f>"Cherp"</f>
        <v>Cherp</v>
      </c>
      <c r="B3889" t="s">
        <v>14</v>
      </c>
      <c r="C3889" t="s">
        <v>30</v>
      </c>
      <c r="D3889" t="s">
        <v>11</v>
      </c>
      <c r="E3889" t="s">
        <v>12</v>
      </c>
      <c r="F3889">
        <v>72475114</v>
      </c>
      <c r="G3889">
        <v>72475168</v>
      </c>
      <c r="H3889">
        <v>72475093</v>
      </c>
      <c r="I3889">
        <v>72475102</v>
      </c>
    </row>
    <row r="3890" spans="1:9" x14ac:dyDescent="0.2">
      <c r="A3890" t="str">
        <f>"Chfr"</f>
        <v>Chfr</v>
      </c>
      <c r="B3890" t="s">
        <v>14</v>
      </c>
      <c r="C3890" t="s">
        <v>46</v>
      </c>
      <c r="D3890" t="s">
        <v>17</v>
      </c>
      <c r="E3890" t="s">
        <v>12</v>
      </c>
      <c r="F3890">
        <v>110135823</v>
      </c>
      <c r="G3890">
        <v>110135887</v>
      </c>
      <c r="H3890">
        <v>110135823</v>
      </c>
      <c r="I3890">
        <v>110135887</v>
      </c>
    </row>
    <row r="3891" spans="1:9" x14ac:dyDescent="0.2">
      <c r="A3891" t="str">
        <f>"Chga"</f>
        <v>Chga</v>
      </c>
      <c r="B3891" t="s">
        <v>14</v>
      </c>
      <c r="C3891" t="s">
        <v>16</v>
      </c>
      <c r="D3891" t="s">
        <v>17</v>
      </c>
      <c r="E3891" t="s">
        <v>12</v>
      </c>
      <c r="F3891">
        <v>102554966</v>
      </c>
      <c r="G3891">
        <v>102554984</v>
      </c>
      <c r="H3891">
        <v>102554966</v>
      </c>
      <c r="I3891">
        <v>102554984</v>
      </c>
    </row>
    <row r="3892" spans="1:9" x14ac:dyDescent="0.2">
      <c r="A3892" t="str">
        <f>"Chgb"</f>
        <v>Chgb</v>
      </c>
      <c r="B3892" t="s">
        <v>14</v>
      </c>
      <c r="C3892" t="s">
        <v>26</v>
      </c>
      <c r="D3892" t="s">
        <v>17</v>
      </c>
      <c r="E3892" t="s">
        <v>12</v>
      </c>
      <c r="F3892">
        <v>132781662</v>
      </c>
      <c r="G3892">
        <v>132781678</v>
      </c>
      <c r="H3892">
        <v>132781662</v>
      </c>
      <c r="I3892">
        <v>132781678</v>
      </c>
    </row>
    <row r="3893" spans="1:9" x14ac:dyDescent="0.2">
      <c r="A3893" t="str">
        <f>"Chi3l1"</f>
        <v>Chi3l1</v>
      </c>
      <c r="B3893" t="s">
        <v>9</v>
      </c>
      <c r="C3893" t="s">
        <v>19</v>
      </c>
      <c r="D3893" t="s">
        <v>17</v>
      </c>
      <c r="E3893" t="s">
        <v>12</v>
      </c>
      <c r="F3893">
        <v>134182456</v>
      </c>
      <c r="G3893">
        <v>134182477</v>
      </c>
      <c r="H3893">
        <v>134182456</v>
      </c>
      <c r="I3893">
        <v>134182477</v>
      </c>
    </row>
    <row r="3894" spans="1:9" x14ac:dyDescent="0.2">
      <c r="A3894" t="str">
        <f>"Chi3l1"</f>
        <v>Chi3l1</v>
      </c>
      <c r="B3894" t="s">
        <v>13</v>
      </c>
      <c r="C3894" t="s">
        <v>19</v>
      </c>
      <c r="D3894" t="s">
        <v>17</v>
      </c>
      <c r="E3894" t="s">
        <v>12</v>
      </c>
      <c r="F3894">
        <v>134189125</v>
      </c>
      <c r="G3894">
        <v>134189146</v>
      </c>
      <c r="H3894">
        <v>134189125</v>
      </c>
      <c r="I3894">
        <v>134189146</v>
      </c>
    </row>
    <row r="3895" spans="1:9" x14ac:dyDescent="0.2">
      <c r="A3895" t="str">
        <f>"Chi3l3"</f>
        <v>Chi3l3</v>
      </c>
      <c r="B3895" t="s">
        <v>9</v>
      </c>
      <c r="C3895" t="s">
        <v>22</v>
      </c>
      <c r="D3895" t="s">
        <v>11</v>
      </c>
      <c r="E3895" t="s">
        <v>12</v>
      </c>
      <c r="F3895">
        <v>106167567</v>
      </c>
      <c r="G3895">
        <v>106167592</v>
      </c>
      <c r="H3895">
        <v>106167567</v>
      </c>
      <c r="I3895">
        <v>106167592</v>
      </c>
    </row>
    <row r="3896" spans="1:9" x14ac:dyDescent="0.2">
      <c r="A3896" t="str">
        <f>"Chi3l3"</f>
        <v>Chi3l3</v>
      </c>
      <c r="B3896" t="s">
        <v>13</v>
      </c>
      <c r="C3896" t="s">
        <v>22</v>
      </c>
      <c r="D3896" t="s">
        <v>11</v>
      </c>
      <c r="E3896" t="s">
        <v>12</v>
      </c>
      <c r="F3896">
        <v>106149770</v>
      </c>
      <c r="G3896">
        <v>106149798</v>
      </c>
      <c r="H3896">
        <v>106149770</v>
      </c>
      <c r="I3896">
        <v>106149798</v>
      </c>
    </row>
    <row r="3897" spans="1:9" x14ac:dyDescent="0.2">
      <c r="A3897" t="str">
        <f>"Chi3l4"</f>
        <v>Chi3l4</v>
      </c>
      <c r="B3897" t="s">
        <v>14</v>
      </c>
      <c r="C3897" t="s">
        <v>22</v>
      </c>
      <c r="D3897" t="s">
        <v>11</v>
      </c>
      <c r="E3897" t="s">
        <v>12</v>
      </c>
      <c r="F3897">
        <v>106219477</v>
      </c>
      <c r="G3897">
        <v>106219483</v>
      </c>
      <c r="H3897">
        <v>106219477</v>
      </c>
      <c r="I3897">
        <v>106219483</v>
      </c>
    </row>
    <row r="3898" spans="1:9" x14ac:dyDescent="0.2">
      <c r="A3898" t="str">
        <f>"Chi3l7"</f>
        <v>Chi3l7</v>
      </c>
      <c r="B3898" t="s">
        <v>14</v>
      </c>
      <c r="C3898" t="s">
        <v>22</v>
      </c>
      <c r="D3898" t="s">
        <v>11</v>
      </c>
      <c r="E3898" t="s">
        <v>12</v>
      </c>
      <c r="F3898">
        <v>106032905</v>
      </c>
      <c r="G3898">
        <v>106032953</v>
      </c>
      <c r="H3898">
        <v>106032893</v>
      </c>
      <c r="I3898">
        <v>106032904</v>
      </c>
    </row>
    <row r="3899" spans="1:9" x14ac:dyDescent="0.2">
      <c r="A3899" t="str">
        <f>"Chia"</f>
        <v>Chia</v>
      </c>
      <c r="B3899" t="s">
        <v>14</v>
      </c>
      <c r="C3899" t="s">
        <v>22</v>
      </c>
      <c r="D3899" t="s">
        <v>17</v>
      </c>
      <c r="E3899" t="s">
        <v>12</v>
      </c>
      <c r="F3899">
        <v>106113361</v>
      </c>
      <c r="G3899">
        <v>106113378</v>
      </c>
      <c r="H3899">
        <v>106113361</v>
      </c>
      <c r="I3899">
        <v>106113378</v>
      </c>
    </row>
    <row r="3900" spans="1:9" x14ac:dyDescent="0.2">
      <c r="A3900" t="str">
        <f>"Chic1"</f>
        <v>Chic1</v>
      </c>
      <c r="B3900" t="s">
        <v>14</v>
      </c>
      <c r="C3900" t="s">
        <v>37</v>
      </c>
      <c r="D3900" t="s">
        <v>17</v>
      </c>
      <c r="E3900" t="s">
        <v>12</v>
      </c>
      <c r="F3900">
        <v>103356574</v>
      </c>
      <c r="G3900">
        <v>103356602</v>
      </c>
      <c r="H3900">
        <v>103356491</v>
      </c>
      <c r="I3900">
        <v>103356513</v>
      </c>
    </row>
    <row r="3901" spans="1:9" x14ac:dyDescent="0.2">
      <c r="A3901" t="str">
        <f>"Chic2"</f>
        <v>Chic2</v>
      </c>
      <c r="B3901" t="s">
        <v>14</v>
      </c>
      <c r="C3901" t="s">
        <v>46</v>
      </c>
      <c r="D3901" t="s">
        <v>11</v>
      </c>
      <c r="E3901" t="s">
        <v>12</v>
      </c>
      <c r="F3901">
        <v>75044562</v>
      </c>
      <c r="G3901">
        <v>75044662</v>
      </c>
      <c r="H3901">
        <v>75044463</v>
      </c>
      <c r="I3901">
        <v>75044500</v>
      </c>
    </row>
    <row r="3902" spans="1:9" x14ac:dyDescent="0.2">
      <c r="A3902" t="str">
        <f>"Chid1"</f>
        <v>Chid1</v>
      </c>
      <c r="B3902" t="s">
        <v>14</v>
      </c>
      <c r="C3902" t="s">
        <v>33</v>
      </c>
      <c r="D3902" t="s">
        <v>11</v>
      </c>
      <c r="E3902" t="s">
        <v>12</v>
      </c>
      <c r="F3902">
        <v>141539784</v>
      </c>
      <c r="G3902">
        <v>141539845</v>
      </c>
      <c r="H3902">
        <v>141539905</v>
      </c>
      <c r="I3902">
        <v>141539912</v>
      </c>
    </row>
    <row r="3903" spans="1:9" x14ac:dyDescent="0.2">
      <c r="A3903" t="str">
        <f>"Chit1"</f>
        <v>Chit1</v>
      </c>
      <c r="B3903" t="s">
        <v>14</v>
      </c>
      <c r="C3903" t="s">
        <v>19</v>
      </c>
      <c r="D3903" t="s">
        <v>17</v>
      </c>
      <c r="E3903" t="s">
        <v>12</v>
      </c>
      <c r="F3903">
        <v>134111233</v>
      </c>
      <c r="G3903">
        <v>134111248</v>
      </c>
      <c r="H3903">
        <v>134111233</v>
      </c>
      <c r="I3903">
        <v>134111248</v>
      </c>
    </row>
    <row r="3904" spans="1:9" x14ac:dyDescent="0.2">
      <c r="A3904" t="str">
        <f>"Chka"</f>
        <v>Chka</v>
      </c>
      <c r="B3904" t="s">
        <v>14</v>
      </c>
      <c r="C3904" t="s">
        <v>10</v>
      </c>
      <c r="D3904" t="s">
        <v>17</v>
      </c>
      <c r="E3904" t="s">
        <v>12</v>
      </c>
      <c r="F3904">
        <v>3851823</v>
      </c>
      <c r="G3904">
        <v>3851840</v>
      </c>
      <c r="H3904">
        <v>3851800</v>
      </c>
      <c r="I3904">
        <v>3851811</v>
      </c>
    </row>
    <row r="3905" spans="1:9" x14ac:dyDescent="0.2">
      <c r="A3905" t="str">
        <f>"Chkb"</f>
        <v>Chkb</v>
      </c>
      <c r="B3905" t="s">
        <v>14</v>
      </c>
      <c r="C3905" t="s">
        <v>25</v>
      </c>
      <c r="D3905" t="s">
        <v>11</v>
      </c>
      <c r="E3905" t="s">
        <v>12</v>
      </c>
      <c r="F3905">
        <v>89429851</v>
      </c>
      <c r="G3905">
        <v>89429935</v>
      </c>
      <c r="H3905">
        <v>89429397</v>
      </c>
      <c r="I3905">
        <v>89429441</v>
      </c>
    </row>
    <row r="3906" spans="1:9" x14ac:dyDescent="0.2">
      <c r="A3906" t="str">
        <f>"Chl1"</f>
        <v>Chl1</v>
      </c>
      <c r="B3906" t="s">
        <v>14</v>
      </c>
      <c r="C3906" t="s">
        <v>32</v>
      </c>
      <c r="D3906" t="s">
        <v>17</v>
      </c>
      <c r="E3906" t="s">
        <v>12</v>
      </c>
      <c r="F3906">
        <v>103511356</v>
      </c>
      <c r="G3906">
        <v>103511373</v>
      </c>
      <c r="H3906">
        <v>103511356</v>
      </c>
      <c r="I3906">
        <v>103511373</v>
      </c>
    </row>
    <row r="3907" spans="1:9" x14ac:dyDescent="0.2">
      <c r="A3907" t="str">
        <f>"Chm"</f>
        <v>Chm</v>
      </c>
      <c r="B3907" t="s">
        <v>14</v>
      </c>
      <c r="C3907" t="s">
        <v>37</v>
      </c>
      <c r="D3907" t="s">
        <v>11</v>
      </c>
      <c r="E3907" t="s">
        <v>12</v>
      </c>
      <c r="F3907">
        <v>113185485</v>
      </c>
      <c r="G3907">
        <v>113185522</v>
      </c>
      <c r="H3907">
        <v>113185485</v>
      </c>
      <c r="I3907">
        <v>113185522</v>
      </c>
    </row>
    <row r="3908" spans="1:9" x14ac:dyDescent="0.2">
      <c r="A3908" t="str">
        <f>"Chml"</f>
        <v>Chml</v>
      </c>
      <c r="B3908" t="s">
        <v>2292</v>
      </c>
      <c r="C3908" t="s">
        <v>19</v>
      </c>
      <c r="D3908" t="s">
        <v>11</v>
      </c>
      <c r="E3908" t="s">
        <v>20</v>
      </c>
      <c r="F3908">
        <v>175688352</v>
      </c>
      <c r="G3908">
        <v>175688352</v>
      </c>
      <c r="H3908">
        <v>175688352</v>
      </c>
      <c r="I3908">
        <v>175688352</v>
      </c>
    </row>
    <row r="3909" spans="1:9" x14ac:dyDescent="0.2">
      <c r="A3909" t="str">
        <f>"Chmp1a"</f>
        <v>Chmp1a</v>
      </c>
      <c r="B3909" t="s">
        <v>14</v>
      </c>
      <c r="C3909" t="s">
        <v>30</v>
      </c>
      <c r="D3909" t="s">
        <v>11</v>
      </c>
      <c r="E3909" t="s">
        <v>12</v>
      </c>
      <c r="F3909">
        <v>123212742</v>
      </c>
      <c r="G3909">
        <v>123212779</v>
      </c>
      <c r="H3909">
        <v>123212780</v>
      </c>
      <c r="I3909">
        <v>123212789</v>
      </c>
    </row>
    <row r="3910" spans="1:9" x14ac:dyDescent="0.2">
      <c r="A3910" t="str">
        <f>"Chmp2a"</f>
        <v>Chmp2a</v>
      </c>
      <c r="B3910" t="s">
        <v>14</v>
      </c>
      <c r="C3910" t="s">
        <v>33</v>
      </c>
      <c r="D3910" t="s">
        <v>11</v>
      </c>
      <c r="E3910" t="s">
        <v>12</v>
      </c>
      <c r="F3910">
        <v>13034722</v>
      </c>
      <c r="G3910">
        <v>13034782</v>
      </c>
      <c r="H3910">
        <v>13034604</v>
      </c>
      <c r="I3910">
        <v>13034673</v>
      </c>
    </row>
    <row r="3911" spans="1:9" x14ac:dyDescent="0.2">
      <c r="A3911" t="str">
        <f>"Chmp2b"</f>
        <v>Chmp2b</v>
      </c>
      <c r="B3911" t="s">
        <v>14</v>
      </c>
      <c r="C3911" t="s">
        <v>31</v>
      </c>
      <c r="D3911" t="s">
        <v>11</v>
      </c>
      <c r="E3911" t="s">
        <v>12</v>
      </c>
      <c r="F3911">
        <v>65562686</v>
      </c>
      <c r="G3911">
        <v>65562769</v>
      </c>
      <c r="H3911">
        <v>65562638</v>
      </c>
      <c r="I3911">
        <v>65562647</v>
      </c>
    </row>
    <row r="3912" spans="1:9" x14ac:dyDescent="0.2">
      <c r="A3912" t="str">
        <f>"Chmp3"</f>
        <v>Chmp3</v>
      </c>
      <c r="B3912" t="s">
        <v>14</v>
      </c>
      <c r="C3912" t="s">
        <v>32</v>
      </c>
      <c r="D3912" t="s">
        <v>17</v>
      </c>
      <c r="E3912" t="s">
        <v>12</v>
      </c>
      <c r="F3912">
        <v>71543843</v>
      </c>
      <c r="G3912">
        <v>71543868</v>
      </c>
      <c r="H3912">
        <v>71543900</v>
      </c>
      <c r="I3912">
        <v>71543957</v>
      </c>
    </row>
    <row r="3913" spans="1:9" x14ac:dyDescent="0.2">
      <c r="A3913" t="str">
        <f>"Chmp4b"</f>
        <v>Chmp4b</v>
      </c>
      <c r="B3913" t="s">
        <v>14</v>
      </c>
      <c r="C3913" t="s">
        <v>26</v>
      </c>
      <c r="D3913" t="s">
        <v>17</v>
      </c>
      <c r="E3913" t="s">
        <v>12</v>
      </c>
      <c r="F3913">
        <v>154656959</v>
      </c>
      <c r="G3913">
        <v>154657108</v>
      </c>
      <c r="H3913">
        <v>154657137</v>
      </c>
      <c r="I3913">
        <v>154657161</v>
      </c>
    </row>
    <row r="3914" spans="1:9" x14ac:dyDescent="0.2">
      <c r="A3914" t="str">
        <f>"Chmp4c"</f>
        <v>Chmp4c</v>
      </c>
      <c r="B3914" t="s">
        <v>14</v>
      </c>
      <c r="C3914" t="s">
        <v>22</v>
      </c>
      <c r="D3914" t="s">
        <v>17</v>
      </c>
      <c r="E3914" t="s">
        <v>12</v>
      </c>
      <c r="F3914">
        <v>10366927</v>
      </c>
      <c r="G3914">
        <v>10366963</v>
      </c>
      <c r="H3914">
        <v>10366967</v>
      </c>
      <c r="I3914">
        <v>10366987</v>
      </c>
    </row>
    <row r="3915" spans="1:9" x14ac:dyDescent="0.2">
      <c r="A3915" t="str">
        <f>"Chmp5"</f>
        <v>Chmp5</v>
      </c>
      <c r="B3915" t="s">
        <v>14</v>
      </c>
      <c r="C3915" t="s">
        <v>23</v>
      </c>
      <c r="D3915" t="s">
        <v>17</v>
      </c>
      <c r="E3915" t="s">
        <v>12</v>
      </c>
      <c r="F3915">
        <v>40948535</v>
      </c>
      <c r="G3915">
        <v>40948589</v>
      </c>
      <c r="H3915">
        <v>40948521</v>
      </c>
      <c r="I3915">
        <v>40948530</v>
      </c>
    </row>
    <row r="3916" spans="1:9" x14ac:dyDescent="0.2">
      <c r="A3916" t="str">
        <f>"Chmp6"</f>
        <v>Chmp6</v>
      </c>
      <c r="B3916" t="s">
        <v>9</v>
      </c>
      <c r="C3916" t="s">
        <v>27</v>
      </c>
      <c r="D3916" t="s">
        <v>17</v>
      </c>
      <c r="E3916" t="s">
        <v>12</v>
      </c>
      <c r="F3916">
        <v>119913802</v>
      </c>
      <c r="G3916">
        <v>119913854</v>
      </c>
      <c r="H3916">
        <v>119913802</v>
      </c>
      <c r="I3916">
        <v>119913854</v>
      </c>
    </row>
    <row r="3917" spans="1:9" x14ac:dyDescent="0.2">
      <c r="A3917" t="str">
        <f>"Chmp6"</f>
        <v>Chmp6</v>
      </c>
      <c r="B3917" t="s">
        <v>13</v>
      </c>
      <c r="C3917" t="s">
        <v>27</v>
      </c>
      <c r="D3917" t="s">
        <v>17</v>
      </c>
      <c r="E3917" t="s">
        <v>12</v>
      </c>
      <c r="F3917">
        <v>119916303</v>
      </c>
      <c r="G3917">
        <v>119916337</v>
      </c>
      <c r="H3917">
        <v>119916303</v>
      </c>
      <c r="I3917">
        <v>119916337</v>
      </c>
    </row>
    <row r="3918" spans="1:9" x14ac:dyDescent="0.2">
      <c r="A3918" t="str">
        <f>"Chmp7"</f>
        <v>Chmp7</v>
      </c>
      <c r="B3918" t="s">
        <v>14</v>
      </c>
      <c r="C3918" t="s">
        <v>41</v>
      </c>
      <c r="D3918" t="s">
        <v>11</v>
      </c>
      <c r="E3918" t="s">
        <v>12</v>
      </c>
      <c r="F3918">
        <v>69732510</v>
      </c>
      <c r="G3918">
        <v>69732581</v>
      </c>
      <c r="H3918">
        <v>69732510</v>
      </c>
      <c r="I3918">
        <v>69732581</v>
      </c>
    </row>
    <row r="3919" spans="1:9" x14ac:dyDescent="0.2">
      <c r="A3919" t="str">
        <f>"Chn1"</f>
        <v>Chn1</v>
      </c>
      <c r="B3919" t="s">
        <v>2293</v>
      </c>
      <c r="C3919" t="s">
        <v>26</v>
      </c>
      <c r="D3919" t="s">
        <v>11</v>
      </c>
      <c r="E3919" t="s">
        <v>35</v>
      </c>
      <c r="F3919">
        <v>73775341</v>
      </c>
      <c r="G3919">
        <v>73775378</v>
      </c>
      <c r="H3919">
        <v>73775243</v>
      </c>
      <c r="I3919">
        <v>73775248</v>
      </c>
    </row>
    <row r="3920" spans="1:9" x14ac:dyDescent="0.2">
      <c r="A3920" t="str">
        <f>"Chn2"</f>
        <v>Chn2</v>
      </c>
      <c r="B3920" t="s">
        <v>14</v>
      </c>
      <c r="C3920" t="s">
        <v>32</v>
      </c>
      <c r="D3920" t="s">
        <v>17</v>
      </c>
      <c r="E3920" t="s">
        <v>12</v>
      </c>
      <c r="F3920">
        <v>54039935</v>
      </c>
      <c r="G3920">
        <v>54040016</v>
      </c>
      <c r="H3920">
        <v>54039646</v>
      </c>
      <c r="I3920">
        <v>54039695</v>
      </c>
    </row>
    <row r="3921" spans="1:9" x14ac:dyDescent="0.2">
      <c r="A3921" t="str">
        <f>"Chodl"</f>
        <v>Chodl</v>
      </c>
      <c r="B3921" t="s">
        <v>14</v>
      </c>
      <c r="C3921" t="s">
        <v>31</v>
      </c>
      <c r="D3921" t="s">
        <v>17</v>
      </c>
      <c r="E3921" t="s">
        <v>12</v>
      </c>
      <c r="F3921">
        <v>78930940</v>
      </c>
      <c r="G3921">
        <v>78930958</v>
      </c>
      <c r="H3921">
        <v>78930940</v>
      </c>
      <c r="I3921">
        <v>78930958</v>
      </c>
    </row>
    <row r="3922" spans="1:9" x14ac:dyDescent="0.2">
      <c r="A3922" t="str">
        <f>"Chordc1"</f>
        <v>Chordc1</v>
      </c>
      <c r="B3922" t="s">
        <v>14</v>
      </c>
      <c r="C3922" t="s">
        <v>24</v>
      </c>
      <c r="D3922" t="s">
        <v>17</v>
      </c>
      <c r="E3922" t="s">
        <v>12</v>
      </c>
      <c r="F3922">
        <v>18292271</v>
      </c>
      <c r="G3922">
        <v>18292334</v>
      </c>
      <c r="H3922">
        <v>18292235</v>
      </c>
      <c r="I3922">
        <v>18292246</v>
      </c>
    </row>
    <row r="3923" spans="1:9" x14ac:dyDescent="0.2">
      <c r="A3923" t="str">
        <f>"Chp1"</f>
        <v>Chp1</v>
      </c>
      <c r="B3923" t="s">
        <v>14</v>
      </c>
      <c r="C3923" t="s">
        <v>26</v>
      </c>
      <c r="D3923" t="s">
        <v>17</v>
      </c>
      <c r="E3923" t="s">
        <v>67</v>
      </c>
      <c r="F3923">
        <v>119547765</v>
      </c>
      <c r="G3923">
        <v>119547802</v>
      </c>
      <c r="H3923">
        <v>119547701</v>
      </c>
      <c r="I3923">
        <v>119547762</v>
      </c>
    </row>
    <row r="3924" spans="1:9" x14ac:dyDescent="0.2">
      <c r="A3924" t="str">
        <f>"Chp2"</f>
        <v>Chp2</v>
      </c>
      <c r="B3924" t="s">
        <v>14</v>
      </c>
      <c r="C3924" t="s">
        <v>33</v>
      </c>
      <c r="D3924" t="s">
        <v>17</v>
      </c>
      <c r="E3924" t="s">
        <v>67</v>
      </c>
      <c r="F3924">
        <v>122219650</v>
      </c>
      <c r="G3924">
        <v>122219673</v>
      </c>
      <c r="H3924">
        <v>122219650</v>
      </c>
      <c r="I3924">
        <v>122219673</v>
      </c>
    </row>
    <row r="3925" spans="1:9" x14ac:dyDescent="0.2">
      <c r="A3925" t="str">
        <f>"Chpf"</f>
        <v>Chpf</v>
      </c>
      <c r="B3925" t="s">
        <v>14</v>
      </c>
      <c r="C3925" t="s">
        <v>19</v>
      </c>
      <c r="D3925" t="s">
        <v>11</v>
      </c>
      <c r="E3925" t="s">
        <v>12</v>
      </c>
      <c r="F3925">
        <v>75479284</v>
      </c>
      <c r="G3925">
        <v>75479358</v>
      </c>
      <c r="H3925">
        <v>75479103</v>
      </c>
      <c r="I3925">
        <v>75479124</v>
      </c>
    </row>
    <row r="3926" spans="1:9" x14ac:dyDescent="0.2">
      <c r="A3926" t="str">
        <f>"Chpf2"</f>
        <v>Chpf2</v>
      </c>
      <c r="B3926" t="s">
        <v>14</v>
      </c>
      <c r="C3926" t="s">
        <v>46</v>
      </c>
      <c r="D3926" t="s">
        <v>17</v>
      </c>
      <c r="E3926" t="s">
        <v>12</v>
      </c>
      <c r="F3926">
        <v>24586721</v>
      </c>
      <c r="G3926">
        <v>24586794</v>
      </c>
      <c r="H3926">
        <v>24586799</v>
      </c>
      <c r="I3926">
        <v>24586808</v>
      </c>
    </row>
    <row r="3927" spans="1:9" x14ac:dyDescent="0.2">
      <c r="A3927" t="str">
        <f>"Chpt1"</f>
        <v>Chpt1</v>
      </c>
      <c r="B3927" t="s">
        <v>14</v>
      </c>
      <c r="C3927" t="s">
        <v>15</v>
      </c>
      <c r="D3927" t="s">
        <v>11</v>
      </c>
      <c r="E3927" t="s">
        <v>12</v>
      </c>
      <c r="F3927">
        <v>88503928</v>
      </c>
      <c r="G3927">
        <v>88503950</v>
      </c>
      <c r="H3927">
        <v>88503952</v>
      </c>
      <c r="I3927">
        <v>88503973</v>
      </c>
    </row>
    <row r="3928" spans="1:9" x14ac:dyDescent="0.2">
      <c r="A3928" t="str">
        <f>"Chrac1"</f>
        <v>Chrac1</v>
      </c>
      <c r="B3928" t="s">
        <v>14</v>
      </c>
      <c r="C3928" t="s">
        <v>25</v>
      </c>
      <c r="D3928" t="s">
        <v>17</v>
      </c>
      <c r="E3928" t="s">
        <v>12</v>
      </c>
      <c r="F3928">
        <v>73090392</v>
      </c>
      <c r="G3928">
        <v>73090441</v>
      </c>
      <c r="H3928">
        <v>73090392</v>
      </c>
      <c r="I3928">
        <v>73090441</v>
      </c>
    </row>
    <row r="3929" spans="1:9" x14ac:dyDescent="0.2">
      <c r="A3929" t="str">
        <f>"Chrd"</f>
        <v>Chrd</v>
      </c>
      <c r="B3929" t="s">
        <v>14</v>
      </c>
      <c r="C3929" t="s">
        <v>31</v>
      </c>
      <c r="D3929" t="s">
        <v>17</v>
      </c>
      <c r="E3929" t="s">
        <v>12</v>
      </c>
      <c r="F3929">
        <v>20733104</v>
      </c>
      <c r="G3929">
        <v>20733158</v>
      </c>
      <c r="H3929">
        <v>20733104</v>
      </c>
      <c r="I3929">
        <v>20733158</v>
      </c>
    </row>
    <row r="3930" spans="1:9" x14ac:dyDescent="0.2">
      <c r="A3930" t="str">
        <f>"Chrdl1"</f>
        <v>Chrdl1</v>
      </c>
      <c r="B3930" t="s">
        <v>14</v>
      </c>
      <c r="C3930" t="s">
        <v>37</v>
      </c>
      <c r="D3930" t="s">
        <v>11</v>
      </c>
      <c r="E3930" t="s">
        <v>12</v>
      </c>
      <c r="F3930">
        <v>143393893</v>
      </c>
      <c r="G3930">
        <v>143393922</v>
      </c>
      <c r="H3930">
        <v>143393878</v>
      </c>
      <c r="I3930">
        <v>143393891</v>
      </c>
    </row>
    <row r="3931" spans="1:9" x14ac:dyDescent="0.2">
      <c r="A3931" t="str">
        <f>"Chrdl2"</f>
        <v>Chrdl2</v>
      </c>
      <c r="B3931" t="s">
        <v>14</v>
      </c>
      <c r="C3931" t="s">
        <v>33</v>
      </c>
      <c r="D3931" t="s">
        <v>17</v>
      </c>
      <c r="E3931" t="s">
        <v>12</v>
      </c>
      <c r="F3931">
        <v>100006066</v>
      </c>
      <c r="G3931">
        <v>100006085</v>
      </c>
      <c r="H3931">
        <v>100006066</v>
      </c>
      <c r="I3931">
        <v>100006085</v>
      </c>
    </row>
    <row r="3932" spans="1:9" x14ac:dyDescent="0.2">
      <c r="A3932" t="str">
        <f>"Chrm1"</f>
        <v>Chrm1</v>
      </c>
      <c r="B3932" t="s">
        <v>14</v>
      </c>
      <c r="C3932" t="s">
        <v>10</v>
      </c>
      <c r="D3932" t="s">
        <v>17</v>
      </c>
      <c r="E3932" t="s">
        <v>12</v>
      </c>
      <c r="F3932">
        <v>8664046</v>
      </c>
      <c r="G3932">
        <v>8664120</v>
      </c>
      <c r="H3932">
        <v>8664046</v>
      </c>
      <c r="I3932">
        <v>8664120</v>
      </c>
    </row>
    <row r="3933" spans="1:9" x14ac:dyDescent="0.2">
      <c r="A3933" t="str">
        <f>"Chrm2"</f>
        <v>Chrm2</v>
      </c>
      <c r="B3933" t="s">
        <v>14</v>
      </c>
      <c r="C3933" t="s">
        <v>32</v>
      </c>
      <c r="D3933" t="s">
        <v>17</v>
      </c>
      <c r="E3933" t="s">
        <v>12</v>
      </c>
      <c r="F3933">
        <v>36387967</v>
      </c>
      <c r="G3933">
        <v>36388027</v>
      </c>
      <c r="H3933">
        <v>36388186</v>
      </c>
      <c r="I3933">
        <v>36388207</v>
      </c>
    </row>
    <row r="3934" spans="1:9" x14ac:dyDescent="0.2">
      <c r="A3934" t="str">
        <f>"Chrm3"</f>
        <v>Chrm3</v>
      </c>
      <c r="B3934" t="s">
        <v>2294</v>
      </c>
      <c r="C3934" t="s">
        <v>39</v>
      </c>
      <c r="D3934" t="s">
        <v>11</v>
      </c>
      <c r="E3934" t="s">
        <v>20</v>
      </c>
      <c r="F3934">
        <v>9878997</v>
      </c>
      <c r="G3934">
        <v>9878997</v>
      </c>
      <c r="H3934">
        <v>9878997</v>
      </c>
      <c r="I3934">
        <v>9878997</v>
      </c>
    </row>
    <row r="3935" spans="1:9" x14ac:dyDescent="0.2">
      <c r="A3935" t="str">
        <f>"Chrm4"</f>
        <v>Chrm4</v>
      </c>
      <c r="B3935" t="s">
        <v>14</v>
      </c>
      <c r="C3935" t="s">
        <v>26</v>
      </c>
      <c r="D3935" t="s">
        <v>17</v>
      </c>
      <c r="E3935" t="s">
        <v>12</v>
      </c>
      <c r="F3935">
        <v>91922178</v>
      </c>
      <c r="G3935">
        <v>91922194</v>
      </c>
      <c r="H3935">
        <v>91922291</v>
      </c>
      <c r="I3935">
        <v>91922303</v>
      </c>
    </row>
    <row r="3936" spans="1:9" x14ac:dyDescent="0.2">
      <c r="A3936" t="str">
        <f>"Chrm5"</f>
        <v>Chrm5</v>
      </c>
      <c r="B3936" t="s">
        <v>2295</v>
      </c>
      <c r="C3936" t="s">
        <v>26</v>
      </c>
      <c r="D3936" t="s">
        <v>11</v>
      </c>
      <c r="E3936" t="s">
        <v>20</v>
      </c>
      <c r="F3936">
        <v>112480816</v>
      </c>
      <c r="G3936">
        <v>112480816</v>
      </c>
      <c r="H3936">
        <v>112480816</v>
      </c>
      <c r="I3936">
        <v>112480816</v>
      </c>
    </row>
    <row r="3937" spans="1:9" x14ac:dyDescent="0.2">
      <c r="A3937" t="str">
        <f>"Chrna1"</f>
        <v>Chrna1</v>
      </c>
      <c r="B3937" t="s">
        <v>14</v>
      </c>
      <c r="C3937" t="s">
        <v>26</v>
      </c>
      <c r="D3937" t="s">
        <v>11</v>
      </c>
      <c r="E3937" t="s">
        <v>12</v>
      </c>
      <c r="F3937">
        <v>73580288</v>
      </c>
      <c r="G3937">
        <v>73580353</v>
      </c>
      <c r="H3937">
        <v>73580288</v>
      </c>
      <c r="I3937">
        <v>73580353</v>
      </c>
    </row>
    <row r="3938" spans="1:9" x14ac:dyDescent="0.2">
      <c r="A3938" t="str">
        <f>"Chrna10"</f>
        <v>Chrna10</v>
      </c>
      <c r="B3938" t="s">
        <v>14</v>
      </c>
      <c r="C3938" t="s">
        <v>33</v>
      </c>
      <c r="D3938" t="s">
        <v>11</v>
      </c>
      <c r="E3938" t="s">
        <v>12</v>
      </c>
      <c r="F3938">
        <v>102116721</v>
      </c>
      <c r="G3938">
        <v>102116733</v>
      </c>
      <c r="H3938">
        <v>102116743</v>
      </c>
      <c r="I3938">
        <v>102116755</v>
      </c>
    </row>
    <row r="3939" spans="1:9" x14ac:dyDescent="0.2">
      <c r="A3939" t="str">
        <f>"Chrna2"</f>
        <v>Chrna2</v>
      </c>
      <c r="B3939" t="s">
        <v>14</v>
      </c>
      <c r="C3939" t="s">
        <v>41</v>
      </c>
      <c r="D3939" t="s">
        <v>17</v>
      </c>
      <c r="E3939" t="s">
        <v>12</v>
      </c>
      <c r="F3939">
        <v>66140919</v>
      </c>
      <c r="G3939">
        <v>66140962</v>
      </c>
      <c r="H3939">
        <v>66140919</v>
      </c>
      <c r="I3939">
        <v>66140962</v>
      </c>
    </row>
    <row r="3940" spans="1:9" x14ac:dyDescent="0.2">
      <c r="A3940" t="str">
        <f>"Chrna3"</f>
        <v>Chrna3</v>
      </c>
      <c r="B3940" t="s">
        <v>14</v>
      </c>
      <c r="C3940" t="s">
        <v>24</v>
      </c>
      <c r="D3940" t="s">
        <v>11</v>
      </c>
      <c r="E3940" t="s">
        <v>12</v>
      </c>
      <c r="F3940">
        <v>55026541</v>
      </c>
      <c r="G3940">
        <v>55026599</v>
      </c>
      <c r="H3940">
        <v>55026524</v>
      </c>
      <c r="I3940">
        <v>55026539</v>
      </c>
    </row>
    <row r="3941" spans="1:9" x14ac:dyDescent="0.2">
      <c r="A3941" t="str">
        <f>"Chrna4"</f>
        <v>Chrna4</v>
      </c>
      <c r="B3941" t="s">
        <v>14</v>
      </c>
      <c r="C3941" t="s">
        <v>26</v>
      </c>
      <c r="D3941" t="s">
        <v>11</v>
      </c>
      <c r="E3941" t="s">
        <v>12</v>
      </c>
      <c r="F3941">
        <v>181039232</v>
      </c>
      <c r="G3941">
        <v>181039282</v>
      </c>
      <c r="H3941">
        <v>181039286</v>
      </c>
      <c r="I3941">
        <v>181039320</v>
      </c>
    </row>
    <row r="3942" spans="1:9" x14ac:dyDescent="0.2">
      <c r="A3942" t="str">
        <f>"Chrna5"</f>
        <v>Chrna5</v>
      </c>
      <c r="B3942" t="s">
        <v>14</v>
      </c>
      <c r="C3942" t="s">
        <v>24</v>
      </c>
      <c r="D3942" t="s">
        <v>17</v>
      </c>
      <c r="E3942" t="s">
        <v>12</v>
      </c>
      <c r="F3942">
        <v>54981440</v>
      </c>
      <c r="G3942">
        <v>54981471</v>
      </c>
      <c r="H3942">
        <v>54981482</v>
      </c>
      <c r="I3942">
        <v>54981496</v>
      </c>
    </row>
    <row r="3943" spans="1:9" x14ac:dyDescent="0.2">
      <c r="A3943" t="str">
        <f>"Chrna6"</f>
        <v>Chrna6</v>
      </c>
      <c r="B3943" t="s">
        <v>14</v>
      </c>
      <c r="C3943" t="s">
        <v>30</v>
      </c>
      <c r="D3943" t="s">
        <v>11</v>
      </c>
      <c r="E3943" t="s">
        <v>12</v>
      </c>
      <c r="F3943">
        <v>27413879</v>
      </c>
      <c r="G3943">
        <v>27413892</v>
      </c>
      <c r="H3943">
        <v>27413937</v>
      </c>
      <c r="I3943">
        <v>27413946</v>
      </c>
    </row>
    <row r="3944" spans="1:9" x14ac:dyDescent="0.2">
      <c r="A3944" t="str">
        <f>"Chrna7"</f>
        <v>Chrna7</v>
      </c>
      <c r="B3944" t="s">
        <v>14</v>
      </c>
      <c r="C3944" t="s">
        <v>33</v>
      </c>
      <c r="D3944" t="s">
        <v>11</v>
      </c>
      <c r="E3944" t="s">
        <v>12</v>
      </c>
      <c r="F3944">
        <v>63212514</v>
      </c>
      <c r="G3944">
        <v>63212531</v>
      </c>
      <c r="H3944">
        <v>63212542</v>
      </c>
      <c r="I3944">
        <v>63212570</v>
      </c>
    </row>
    <row r="3945" spans="1:9" x14ac:dyDescent="0.2">
      <c r="A3945" t="str">
        <f>"Chrna9"</f>
        <v>Chrna9</v>
      </c>
      <c r="B3945" t="s">
        <v>2296</v>
      </c>
      <c r="C3945" t="s">
        <v>46</v>
      </c>
      <c r="D3945" t="s">
        <v>17</v>
      </c>
      <c r="E3945" t="s">
        <v>20</v>
      </c>
      <c r="F3945">
        <v>65967123</v>
      </c>
      <c r="G3945">
        <v>65967123</v>
      </c>
      <c r="H3945">
        <v>65967123</v>
      </c>
      <c r="I3945">
        <v>65967123</v>
      </c>
    </row>
    <row r="3946" spans="1:9" x14ac:dyDescent="0.2">
      <c r="A3946" t="str">
        <f>"Chrnb1"</f>
        <v>Chrnb1</v>
      </c>
      <c r="B3946" t="s">
        <v>14</v>
      </c>
      <c r="C3946" t="s">
        <v>27</v>
      </c>
      <c r="D3946" t="s">
        <v>11</v>
      </c>
      <c r="E3946" t="s">
        <v>12</v>
      </c>
      <c r="F3946">
        <v>69795895</v>
      </c>
      <c r="G3946">
        <v>69795922</v>
      </c>
      <c r="H3946">
        <v>69795930</v>
      </c>
      <c r="I3946">
        <v>69795947</v>
      </c>
    </row>
    <row r="3947" spans="1:9" x14ac:dyDescent="0.2">
      <c r="A3947" t="str">
        <f>"Chrnb2"</f>
        <v>Chrnb2</v>
      </c>
      <c r="B3947" t="s">
        <v>14</v>
      </c>
      <c r="C3947" t="s">
        <v>22</v>
      </c>
      <c r="D3947" t="s">
        <v>11</v>
      </c>
      <c r="E3947" t="s">
        <v>12</v>
      </c>
      <c r="F3947">
        <v>89764581</v>
      </c>
      <c r="G3947">
        <v>89764646</v>
      </c>
      <c r="H3947">
        <v>89764581</v>
      </c>
      <c r="I3947">
        <v>89764646</v>
      </c>
    </row>
    <row r="3948" spans="1:9" x14ac:dyDescent="0.2">
      <c r="A3948" t="str">
        <f>"Chrnb3"</f>
        <v>Chrnb3</v>
      </c>
      <c r="B3948" t="s">
        <v>14</v>
      </c>
      <c r="C3948" t="s">
        <v>30</v>
      </c>
      <c r="D3948" t="s">
        <v>17</v>
      </c>
      <c r="E3948" t="s">
        <v>12</v>
      </c>
      <c r="F3948">
        <v>27368793</v>
      </c>
      <c r="G3948">
        <v>27368807</v>
      </c>
      <c r="H3948">
        <v>27368811</v>
      </c>
      <c r="I3948">
        <v>27368816</v>
      </c>
    </row>
    <row r="3949" spans="1:9" x14ac:dyDescent="0.2">
      <c r="A3949" t="str">
        <f>"Chrnb4"</f>
        <v>Chrnb4</v>
      </c>
      <c r="B3949" t="s">
        <v>14</v>
      </c>
      <c r="C3949" t="s">
        <v>24</v>
      </c>
      <c r="D3949" t="s">
        <v>11</v>
      </c>
      <c r="E3949" t="s">
        <v>12</v>
      </c>
      <c r="F3949">
        <v>55048748</v>
      </c>
      <c r="G3949">
        <v>55048792</v>
      </c>
      <c r="H3949">
        <v>55048561</v>
      </c>
      <c r="I3949">
        <v>55048593</v>
      </c>
    </row>
    <row r="3950" spans="1:9" x14ac:dyDescent="0.2">
      <c r="A3950" t="str">
        <f>"Chrnd"</f>
        <v>Chrnd</v>
      </c>
      <c r="B3950" t="s">
        <v>14</v>
      </c>
      <c r="C3950" t="s">
        <v>19</v>
      </c>
      <c r="D3950" t="s">
        <v>17</v>
      </c>
      <c r="E3950" t="s">
        <v>12</v>
      </c>
      <c r="F3950">
        <v>87190624</v>
      </c>
      <c r="G3950">
        <v>87190640</v>
      </c>
      <c r="H3950">
        <v>87190670</v>
      </c>
      <c r="I3950">
        <v>87190683</v>
      </c>
    </row>
    <row r="3951" spans="1:9" x14ac:dyDescent="0.2">
      <c r="A3951" t="str">
        <f>"Chrne"</f>
        <v>Chrne</v>
      </c>
      <c r="B3951" t="s">
        <v>14</v>
      </c>
      <c r="C3951" t="s">
        <v>27</v>
      </c>
      <c r="D3951" t="s">
        <v>11</v>
      </c>
      <c r="E3951" t="s">
        <v>12</v>
      </c>
      <c r="F3951">
        <v>70615672</v>
      </c>
      <c r="G3951">
        <v>70615690</v>
      </c>
      <c r="H3951">
        <v>70615692</v>
      </c>
      <c r="I3951">
        <v>70615718</v>
      </c>
    </row>
    <row r="3952" spans="1:9" x14ac:dyDescent="0.2">
      <c r="A3952" t="str">
        <f>"Chrng"</f>
        <v>Chrng</v>
      </c>
      <c r="B3952" t="s">
        <v>14</v>
      </c>
      <c r="C3952" t="s">
        <v>19</v>
      </c>
      <c r="D3952" t="s">
        <v>17</v>
      </c>
      <c r="E3952" t="s">
        <v>12</v>
      </c>
      <c r="F3952">
        <v>87205799</v>
      </c>
      <c r="G3952">
        <v>87205817</v>
      </c>
      <c r="H3952">
        <v>87205784</v>
      </c>
      <c r="I3952">
        <v>87205793</v>
      </c>
    </row>
    <row r="3953" spans="1:9" x14ac:dyDescent="0.2">
      <c r="A3953" t="str">
        <f>"Chst1"</f>
        <v>Chst1</v>
      </c>
      <c r="B3953" t="s">
        <v>14</v>
      </c>
      <c r="C3953" t="s">
        <v>26</v>
      </c>
      <c r="D3953" t="s">
        <v>17</v>
      </c>
      <c r="E3953" t="s">
        <v>12</v>
      </c>
      <c r="F3953">
        <v>92599671</v>
      </c>
      <c r="G3953">
        <v>92599724</v>
      </c>
      <c r="H3953">
        <v>92600070</v>
      </c>
      <c r="I3953">
        <v>92600096</v>
      </c>
    </row>
    <row r="3954" spans="1:9" x14ac:dyDescent="0.2">
      <c r="A3954" t="str">
        <f>"Chst10"</f>
        <v>Chst10</v>
      </c>
      <c r="B3954" t="s">
        <v>14</v>
      </c>
      <c r="C3954" t="s">
        <v>19</v>
      </c>
      <c r="D3954" t="s">
        <v>11</v>
      </c>
      <c r="E3954" t="s">
        <v>12</v>
      </c>
      <c r="F3954">
        <v>38898084</v>
      </c>
      <c r="G3954">
        <v>38898177</v>
      </c>
      <c r="H3954">
        <v>38898084</v>
      </c>
      <c r="I3954">
        <v>38898177</v>
      </c>
    </row>
    <row r="3955" spans="1:9" x14ac:dyDescent="0.2">
      <c r="A3955" t="str">
        <f>"Chst11"</f>
        <v>Chst11</v>
      </c>
      <c r="B3955" t="s">
        <v>14</v>
      </c>
      <c r="C3955" t="s">
        <v>15</v>
      </c>
      <c r="D3955" t="s">
        <v>17</v>
      </c>
      <c r="E3955" t="s">
        <v>12</v>
      </c>
      <c r="F3955">
        <v>82985384</v>
      </c>
      <c r="G3955">
        <v>82985436</v>
      </c>
      <c r="H3955">
        <v>82985345</v>
      </c>
      <c r="I3955">
        <v>82985381</v>
      </c>
    </row>
    <row r="3956" spans="1:9" x14ac:dyDescent="0.2">
      <c r="A3956" t="str">
        <f>"Chst12"</f>
        <v>Chst12</v>
      </c>
      <c r="B3956" t="s">
        <v>14</v>
      </c>
      <c r="C3956" t="s">
        <v>46</v>
      </c>
      <c r="D3956" t="s">
        <v>17</v>
      </c>
      <c r="E3956" t="s">
        <v>12</v>
      </c>
      <c r="F3956">
        <v>140505620</v>
      </c>
      <c r="G3956">
        <v>140505666</v>
      </c>
      <c r="H3956">
        <v>140505607</v>
      </c>
      <c r="I3956">
        <v>140505612</v>
      </c>
    </row>
    <row r="3957" spans="1:9" x14ac:dyDescent="0.2">
      <c r="A3957" t="str">
        <f>"Chst13"</f>
        <v>Chst13</v>
      </c>
      <c r="B3957" t="s">
        <v>14</v>
      </c>
      <c r="C3957" t="s">
        <v>32</v>
      </c>
      <c r="D3957" t="s">
        <v>11</v>
      </c>
      <c r="E3957" t="s">
        <v>12</v>
      </c>
      <c r="F3957">
        <v>90325176</v>
      </c>
      <c r="G3957">
        <v>90325202</v>
      </c>
      <c r="H3957">
        <v>90325214</v>
      </c>
      <c r="I3957">
        <v>90325227</v>
      </c>
    </row>
    <row r="3958" spans="1:9" x14ac:dyDescent="0.2">
      <c r="A3958" t="str">
        <f>"Chst14"</f>
        <v>Chst14</v>
      </c>
      <c r="B3958" t="s">
        <v>14</v>
      </c>
      <c r="C3958" t="s">
        <v>26</v>
      </c>
      <c r="D3958" t="s">
        <v>17</v>
      </c>
      <c r="E3958" t="s">
        <v>12</v>
      </c>
      <c r="F3958">
        <v>118926496</v>
      </c>
      <c r="G3958">
        <v>118926554</v>
      </c>
      <c r="H3958">
        <v>118926555</v>
      </c>
      <c r="I3958">
        <v>118926575</v>
      </c>
    </row>
    <row r="3959" spans="1:9" x14ac:dyDescent="0.2">
      <c r="A3959" t="str">
        <f>"Chst15"</f>
        <v>Chst15</v>
      </c>
      <c r="B3959" t="s">
        <v>14</v>
      </c>
      <c r="C3959" t="s">
        <v>33</v>
      </c>
      <c r="D3959" t="s">
        <v>11</v>
      </c>
      <c r="E3959" t="s">
        <v>12</v>
      </c>
      <c r="F3959">
        <v>132317164</v>
      </c>
      <c r="G3959">
        <v>132317192</v>
      </c>
      <c r="H3959">
        <v>132317258</v>
      </c>
      <c r="I3959">
        <v>132317279</v>
      </c>
    </row>
    <row r="3960" spans="1:9" x14ac:dyDescent="0.2">
      <c r="A3960" t="str">
        <f>"Chst2"</f>
        <v>Chst2</v>
      </c>
      <c r="B3960" t="s">
        <v>14</v>
      </c>
      <c r="C3960" t="s">
        <v>24</v>
      </c>
      <c r="D3960" t="s">
        <v>11</v>
      </c>
      <c r="E3960" t="s">
        <v>12</v>
      </c>
      <c r="F3960">
        <v>95407240</v>
      </c>
      <c r="G3960">
        <v>95407276</v>
      </c>
      <c r="H3960">
        <v>95407303</v>
      </c>
      <c r="I3960">
        <v>95407333</v>
      </c>
    </row>
    <row r="3961" spans="1:9" x14ac:dyDescent="0.2">
      <c r="A3961" t="str">
        <f>"Chst3"</f>
        <v>Chst3</v>
      </c>
      <c r="B3961" t="s">
        <v>14</v>
      </c>
      <c r="C3961" t="s">
        <v>15</v>
      </c>
      <c r="D3961" t="s">
        <v>11</v>
      </c>
      <c r="E3961" t="s">
        <v>12</v>
      </c>
      <c r="F3961">
        <v>60219264</v>
      </c>
      <c r="G3961">
        <v>60219295</v>
      </c>
      <c r="H3961">
        <v>60219298</v>
      </c>
      <c r="I3961">
        <v>60219345</v>
      </c>
    </row>
    <row r="3962" spans="1:9" x14ac:dyDescent="0.2">
      <c r="A3962" t="str">
        <f>"Chst4"</f>
        <v>Chst4</v>
      </c>
      <c r="B3962" t="s">
        <v>14</v>
      </c>
      <c r="C3962" t="s">
        <v>30</v>
      </c>
      <c r="D3962" t="s">
        <v>11</v>
      </c>
      <c r="E3962" t="s">
        <v>12</v>
      </c>
      <c r="F3962">
        <v>110039330</v>
      </c>
      <c r="G3962">
        <v>110039350</v>
      </c>
      <c r="H3962">
        <v>110039371</v>
      </c>
      <c r="I3962">
        <v>110039396</v>
      </c>
    </row>
    <row r="3963" spans="1:9" x14ac:dyDescent="0.2">
      <c r="A3963" t="str">
        <f>"Chst5"</f>
        <v>Chst5</v>
      </c>
      <c r="B3963" t="s">
        <v>14</v>
      </c>
      <c r="C3963" t="s">
        <v>30</v>
      </c>
      <c r="D3963" t="s">
        <v>11</v>
      </c>
      <c r="E3963" t="s">
        <v>12</v>
      </c>
      <c r="F3963">
        <v>111910171</v>
      </c>
      <c r="G3963">
        <v>111910190</v>
      </c>
      <c r="H3963">
        <v>111910194</v>
      </c>
      <c r="I3963">
        <v>111910201</v>
      </c>
    </row>
    <row r="3964" spans="1:9" x14ac:dyDescent="0.2">
      <c r="A3964" t="str">
        <f>"Chst7"</f>
        <v>Chst7</v>
      </c>
      <c r="B3964" t="s">
        <v>14</v>
      </c>
      <c r="C3964" t="s">
        <v>37</v>
      </c>
      <c r="D3964" t="s">
        <v>17</v>
      </c>
      <c r="E3964" t="s">
        <v>12</v>
      </c>
      <c r="F3964">
        <v>20059535</v>
      </c>
      <c r="G3964">
        <v>20059574</v>
      </c>
      <c r="H3964">
        <v>20059581</v>
      </c>
      <c r="I3964">
        <v>20059591</v>
      </c>
    </row>
    <row r="3965" spans="1:9" x14ac:dyDescent="0.2">
      <c r="A3965" t="str">
        <f>"Chst8"</f>
        <v>Chst8</v>
      </c>
      <c r="B3965" t="s">
        <v>14</v>
      </c>
      <c r="C3965" t="s">
        <v>33</v>
      </c>
      <c r="D3965" t="s">
        <v>11</v>
      </c>
      <c r="E3965" t="s">
        <v>12</v>
      </c>
      <c r="F3965">
        <v>34812677</v>
      </c>
      <c r="G3965">
        <v>34812693</v>
      </c>
      <c r="H3965">
        <v>34812503</v>
      </c>
      <c r="I3965">
        <v>34812526</v>
      </c>
    </row>
    <row r="3966" spans="1:9" x14ac:dyDescent="0.2">
      <c r="A3966" t="str">
        <f>"Chst9"</f>
        <v>Chst9</v>
      </c>
      <c r="B3966" t="s">
        <v>2297</v>
      </c>
      <c r="C3966" t="s">
        <v>43</v>
      </c>
      <c r="D3966" t="s">
        <v>11</v>
      </c>
      <c r="E3966" t="s">
        <v>20</v>
      </c>
      <c r="F3966">
        <v>15718045</v>
      </c>
      <c r="G3966">
        <v>15718045</v>
      </c>
      <c r="H3966">
        <v>15718045</v>
      </c>
      <c r="I3966">
        <v>15718045</v>
      </c>
    </row>
    <row r="3967" spans="1:9" x14ac:dyDescent="0.2">
      <c r="A3967" t="str">
        <f>"Chsy1"</f>
        <v>Chsy1</v>
      </c>
      <c r="B3967" t="s">
        <v>14</v>
      </c>
      <c r="C3967" t="s">
        <v>33</v>
      </c>
      <c r="D3967" t="s">
        <v>17</v>
      </c>
      <c r="E3967" t="s">
        <v>12</v>
      </c>
      <c r="F3967">
        <v>66109474</v>
      </c>
      <c r="G3967">
        <v>66109505</v>
      </c>
      <c r="H3967">
        <v>66109450</v>
      </c>
      <c r="I3967">
        <v>66109473</v>
      </c>
    </row>
    <row r="3968" spans="1:9" x14ac:dyDescent="0.2">
      <c r="A3968" t="str">
        <f>"Chsy3"</f>
        <v>Chsy3</v>
      </c>
      <c r="B3968" t="s">
        <v>14</v>
      </c>
      <c r="C3968" t="s">
        <v>43</v>
      </c>
      <c r="D3968" t="s">
        <v>17</v>
      </c>
      <c r="E3968" t="s">
        <v>12</v>
      </c>
      <c r="F3968">
        <v>59175333</v>
      </c>
      <c r="G3968">
        <v>59175406</v>
      </c>
      <c r="H3968">
        <v>59175408</v>
      </c>
      <c r="I3968">
        <v>59175463</v>
      </c>
    </row>
    <row r="3969" spans="1:9" x14ac:dyDescent="0.2">
      <c r="A3969" t="str">
        <f>"Chtf18"</f>
        <v>Chtf18</v>
      </c>
      <c r="B3969" t="s">
        <v>14</v>
      </c>
      <c r="C3969" t="s">
        <v>28</v>
      </c>
      <c r="D3969" t="s">
        <v>11</v>
      </c>
      <c r="E3969" t="s">
        <v>12</v>
      </c>
      <c r="F3969">
        <v>25727364</v>
      </c>
      <c r="G3969">
        <v>25727426</v>
      </c>
      <c r="H3969">
        <v>25727344</v>
      </c>
      <c r="I3969">
        <v>25727363</v>
      </c>
    </row>
    <row r="3970" spans="1:9" x14ac:dyDescent="0.2">
      <c r="A3970" t="str">
        <f>"Chtf8"</f>
        <v>Chtf8</v>
      </c>
      <c r="B3970" t="s">
        <v>14</v>
      </c>
      <c r="C3970" t="s">
        <v>30</v>
      </c>
      <c r="D3970" t="s">
        <v>11</v>
      </c>
      <c r="E3970" t="s">
        <v>12</v>
      </c>
      <c r="F3970">
        <v>106893581</v>
      </c>
      <c r="G3970">
        <v>106893609</v>
      </c>
      <c r="H3970">
        <v>106893281</v>
      </c>
      <c r="I3970">
        <v>106893301</v>
      </c>
    </row>
    <row r="3971" spans="1:9" x14ac:dyDescent="0.2">
      <c r="A3971" t="str">
        <f>"Chtop"</f>
        <v>Chtop</v>
      </c>
      <c r="B3971" t="s">
        <v>14</v>
      </c>
      <c r="C3971" t="s">
        <v>22</v>
      </c>
      <c r="D3971" t="s">
        <v>11</v>
      </c>
      <c r="E3971" t="s">
        <v>67</v>
      </c>
      <c r="F3971">
        <v>90509456</v>
      </c>
      <c r="G3971">
        <v>90509506</v>
      </c>
      <c r="H3971">
        <v>90509456</v>
      </c>
      <c r="I3971">
        <v>90509506</v>
      </c>
    </row>
    <row r="3972" spans="1:9" x14ac:dyDescent="0.2">
      <c r="A3972" t="str">
        <f>"Chuk"</f>
        <v>Chuk</v>
      </c>
      <c r="B3972" t="s">
        <v>14</v>
      </c>
      <c r="C3972" t="s">
        <v>10</v>
      </c>
      <c r="D3972" t="s">
        <v>11</v>
      </c>
      <c r="E3972" t="s">
        <v>12</v>
      </c>
      <c r="F3972">
        <v>44107447</v>
      </c>
      <c r="G3972">
        <v>44107492</v>
      </c>
      <c r="H3972">
        <v>44107426</v>
      </c>
      <c r="I3972">
        <v>44107441</v>
      </c>
    </row>
    <row r="3973" spans="1:9" x14ac:dyDescent="0.2">
      <c r="A3973" t="str">
        <f>"Churc1"</f>
        <v>Churc1</v>
      </c>
      <c r="B3973" t="s">
        <v>14</v>
      </c>
      <c r="C3973" t="s">
        <v>16</v>
      </c>
      <c r="D3973" t="s">
        <v>17</v>
      </c>
      <c r="E3973" t="s">
        <v>12</v>
      </c>
      <c r="F3973">
        <v>76765527</v>
      </c>
      <c r="G3973">
        <v>76765584</v>
      </c>
      <c r="H3973">
        <v>76765527</v>
      </c>
      <c r="I3973">
        <v>76765584</v>
      </c>
    </row>
    <row r="3974" spans="1:9" x14ac:dyDescent="0.2">
      <c r="A3974" t="str">
        <f>"Ciao1"</f>
        <v>Ciao1</v>
      </c>
      <c r="B3974" t="s">
        <v>14</v>
      </c>
      <c r="C3974" t="s">
        <v>26</v>
      </c>
      <c r="D3974" t="s">
        <v>11</v>
      </c>
      <c r="E3974" t="s">
        <v>12</v>
      </c>
      <c r="F3974">
        <v>127247704</v>
      </c>
      <c r="G3974">
        <v>127247765</v>
      </c>
      <c r="H3974">
        <v>127247685</v>
      </c>
      <c r="I3974">
        <v>127247702</v>
      </c>
    </row>
    <row r="3975" spans="1:9" x14ac:dyDescent="0.2">
      <c r="A3975" t="str">
        <f>"Ciapin1"</f>
        <v>Ciapin1</v>
      </c>
      <c r="B3975" t="s">
        <v>14</v>
      </c>
      <c r="C3975" t="s">
        <v>30</v>
      </c>
      <c r="D3975" t="s">
        <v>11</v>
      </c>
      <c r="E3975" t="s">
        <v>12</v>
      </c>
      <c r="F3975">
        <v>94838255</v>
      </c>
      <c r="G3975">
        <v>94838336</v>
      </c>
      <c r="H3975">
        <v>94838207</v>
      </c>
      <c r="I3975">
        <v>94838246</v>
      </c>
    </row>
    <row r="3976" spans="1:9" x14ac:dyDescent="0.2">
      <c r="A3976" t="str">
        <f>"Cib1"</f>
        <v>Cib1</v>
      </c>
      <c r="B3976" t="s">
        <v>14</v>
      </c>
      <c r="C3976" t="s">
        <v>33</v>
      </c>
      <c r="D3976" t="s">
        <v>11</v>
      </c>
      <c r="E3976" t="s">
        <v>12</v>
      </c>
      <c r="F3976">
        <v>80232556</v>
      </c>
      <c r="G3976">
        <v>80232633</v>
      </c>
      <c r="H3976">
        <v>80232752</v>
      </c>
      <c r="I3976">
        <v>80232842</v>
      </c>
    </row>
    <row r="3977" spans="1:9" x14ac:dyDescent="0.2">
      <c r="A3977" t="str">
        <f>"Cib2"</f>
        <v>Cib2</v>
      </c>
      <c r="B3977" t="s">
        <v>14</v>
      </c>
      <c r="C3977" t="s">
        <v>24</v>
      </c>
      <c r="D3977" t="s">
        <v>11</v>
      </c>
      <c r="E3977" t="s">
        <v>12</v>
      </c>
      <c r="F3977">
        <v>54560138</v>
      </c>
      <c r="G3977">
        <v>54560225</v>
      </c>
      <c r="H3977">
        <v>54560087</v>
      </c>
      <c r="I3977">
        <v>54560098</v>
      </c>
    </row>
    <row r="3978" spans="1:9" x14ac:dyDescent="0.2">
      <c r="A3978" t="str">
        <f>"Cib3"</f>
        <v>Cib3</v>
      </c>
      <c r="B3978" t="s">
        <v>14</v>
      </c>
      <c r="C3978" t="s">
        <v>30</v>
      </c>
      <c r="D3978" t="s">
        <v>11</v>
      </c>
      <c r="E3978" t="s">
        <v>12</v>
      </c>
      <c r="F3978">
        <v>72212823</v>
      </c>
      <c r="G3978">
        <v>72212831</v>
      </c>
      <c r="H3978">
        <v>72212823</v>
      </c>
      <c r="I3978">
        <v>72212831</v>
      </c>
    </row>
    <row r="3979" spans="1:9" x14ac:dyDescent="0.2">
      <c r="A3979" t="str">
        <f>"Cib4"</f>
        <v>Cib4</v>
      </c>
      <c r="B3979" t="s">
        <v>14</v>
      </c>
      <c r="C3979" t="s">
        <v>46</v>
      </c>
      <c r="D3979" t="s">
        <v>11</v>
      </c>
      <c r="E3979" t="s">
        <v>12</v>
      </c>
      <c r="F3979">
        <v>30545836</v>
      </c>
      <c r="G3979">
        <v>30545852</v>
      </c>
      <c r="H3979">
        <v>30545810</v>
      </c>
      <c r="I3979">
        <v>30545822</v>
      </c>
    </row>
    <row r="3980" spans="1:9" x14ac:dyDescent="0.2">
      <c r="A3980" t="str">
        <f>"Cic"</f>
        <v>Cic</v>
      </c>
      <c r="B3980" t="s">
        <v>9</v>
      </c>
      <c r="C3980" t="s">
        <v>33</v>
      </c>
      <c r="D3980" t="s">
        <v>17</v>
      </c>
      <c r="E3980" t="s">
        <v>12</v>
      </c>
      <c r="F3980">
        <v>25267669</v>
      </c>
      <c r="G3980">
        <v>25267723</v>
      </c>
      <c r="H3980">
        <v>25267669</v>
      </c>
      <c r="I3980">
        <v>25267723</v>
      </c>
    </row>
    <row r="3981" spans="1:9" x14ac:dyDescent="0.2">
      <c r="A3981" t="str">
        <f>"Cic"</f>
        <v>Cic</v>
      </c>
      <c r="B3981" t="s">
        <v>13</v>
      </c>
      <c r="C3981" t="s">
        <v>33</v>
      </c>
      <c r="D3981" t="s">
        <v>17</v>
      </c>
      <c r="E3981" t="s">
        <v>12</v>
      </c>
      <c r="F3981">
        <v>25282600</v>
      </c>
      <c r="G3981">
        <v>25282683</v>
      </c>
      <c r="H3981">
        <v>25282600</v>
      </c>
      <c r="I3981">
        <v>25282683</v>
      </c>
    </row>
    <row r="3982" spans="1:9" x14ac:dyDescent="0.2">
      <c r="A3982" t="str">
        <f>"Cidea"</f>
        <v>Cidea</v>
      </c>
      <c r="B3982" t="s">
        <v>14</v>
      </c>
      <c r="C3982" t="s">
        <v>43</v>
      </c>
      <c r="D3982" t="s">
        <v>17</v>
      </c>
      <c r="E3982" t="s">
        <v>12</v>
      </c>
      <c r="F3982">
        <v>67343783</v>
      </c>
      <c r="G3982">
        <v>67343802</v>
      </c>
      <c r="H3982">
        <v>67343753</v>
      </c>
      <c r="I3982">
        <v>67343764</v>
      </c>
    </row>
    <row r="3983" spans="1:9" x14ac:dyDescent="0.2">
      <c r="A3983" t="str">
        <f>"Cideb"</f>
        <v>Cideb</v>
      </c>
      <c r="B3983" t="s">
        <v>14</v>
      </c>
      <c r="C3983" t="s">
        <v>41</v>
      </c>
      <c r="D3983" t="s">
        <v>11</v>
      </c>
      <c r="E3983" t="s">
        <v>12</v>
      </c>
      <c r="F3983">
        <v>55758343</v>
      </c>
      <c r="G3983">
        <v>55758436</v>
      </c>
      <c r="H3983">
        <v>55758331</v>
      </c>
      <c r="I3983">
        <v>55758342</v>
      </c>
    </row>
    <row r="3984" spans="1:9" x14ac:dyDescent="0.2">
      <c r="A3984" t="str">
        <f>"Cidec"</f>
        <v>Cidec</v>
      </c>
      <c r="B3984" t="s">
        <v>14</v>
      </c>
      <c r="C3984" t="s">
        <v>32</v>
      </c>
      <c r="D3984" t="s">
        <v>11</v>
      </c>
      <c r="E3984" t="s">
        <v>12</v>
      </c>
      <c r="F3984">
        <v>113434757</v>
      </c>
      <c r="G3984">
        <v>113434770</v>
      </c>
      <c r="H3984">
        <v>113434757</v>
      </c>
      <c r="I3984">
        <v>113434770</v>
      </c>
    </row>
    <row r="3985" spans="1:9" x14ac:dyDescent="0.2">
      <c r="A3985" t="str">
        <f>"Ciita"</f>
        <v>Ciita</v>
      </c>
      <c r="B3985" t="s">
        <v>9</v>
      </c>
      <c r="C3985" t="s">
        <v>31</v>
      </c>
      <c r="D3985" t="s">
        <v>17</v>
      </c>
      <c r="E3985" t="s">
        <v>12</v>
      </c>
      <c r="F3985">
        <v>10488213</v>
      </c>
      <c r="G3985">
        <v>10488253</v>
      </c>
      <c r="H3985">
        <v>10488213</v>
      </c>
      <c r="I3985">
        <v>10488253</v>
      </c>
    </row>
    <row r="3986" spans="1:9" x14ac:dyDescent="0.2">
      <c r="A3986" t="str">
        <f>"Ciita"</f>
        <v>Ciita</v>
      </c>
      <c r="B3986" t="s">
        <v>13</v>
      </c>
      <c r="C3986" t="s">
        <v>31</v>
      </c>
      <c r="D3986" t="s">
        <v>17</v>
      </c>
      <c r="E3986" t="s">
        <v>12</v>
      </c>
      <c r="F3986">
        <v>10489759</v>
      </c>
      <c r="G3986">
        <v>10489804</v>
      </c>
      <c r="H3986">
        <v>10489759</v>
      </c>
      <c r="I3986">
        <v>10489804</v>
      </c>
    </row>
    <row r="3987" spans="1:9" x14ac:dyDescent="0.2">
      <c r="A3987" t="str">
        <f>"Cilp"</f>
        <v>Cilp</v>
      </c>
      <c r="B3987" t="s">
        <v>14</v>
      </c>
      <c r="C3987" t="s">
        <v>24</v>
      </c>
      <c r="D3987" t="s">
        <v>17</v>
      </c>
      <c r="E3987" t="s">
        <v>12</v>
      </c>
      <c r="F3987">
        <v>65265173</v>
      </c>
      <c r="G3987">
        <v>65265187</v>
      </c>
      <c r="H3987">
        <v>65265173</v>
      </c>
      <c r="I3987">
        <v>65265187</v>
      </c>
    </row>
    <row r="3988" spans="1:9" x14ac:dyDescent="0.2">
      <c r="A3988" t="str">
        <f>"Cilp2"</f>
        <v>Cilp2</v>
      </c>
      <c r="B3988" t="s">
        <v>14</v>
      </c>
      <c r="C3988" t="s">
        <v>30</v>
      </c>
      <c r="D3988" t="s">
        <v>11</v>
      </c>
      <c r="E3988" t="s">
        <v>12</v>
      </c>
      <c r="F3988">
        <v>69887381</v>
      </c>
      <c r="G3988">
        <v>69887401</v>
      </c>
      <c r="H3988">
        <v>69887381</v>
      </c>
      <c r="I3988">
        <v>69887401</v>
      </c>
    </row>
    <row r="3989" spans="1:9" x14ac:dyDescent="0.2">
      <c r="A3989" t="str">
        <f>"Cinp"</f>
        <v>Cinp</v>
      </c>
      <c r="B3989" t="s">
        <v>14</v>
      </c>
      <c r="C3989" t="s">
        <v>16</v>
      </c>
      <c r="D3989" t="s">
        <v>11</v>
      </c>
      <c r="E3989" t="s">
        <v>12</v>
      </c>
      <c r="F3989">
        <v>110889119</v>
      </c>
      <c r="G3989">
        <v>110889144</v>
      </c>
      <c r="H3989">
        <v>110889087</v>
      </c>
      <c r="I3989">
        <v>110889118</v>
      </c>
    </row>
    <row r="3990" spans="1:9" x14ac:dyDescent="0.2">
      <c r="A3990" t="str">
        <f>"Cir1"</f>
        <v>Cir1</v>
      </c>
      <c r="B3990" t="s">
        <v>14</v>
      </c>
      <c r="C3990" t="s">
        <v>26</v>
      </c>
      <c r="D3990" t="s">
        <v>11</v>
      </c>
      <c r="E3990" t="s">
        <v>12</v>
      </c>
      <c r="F3990">
        <v>73312559</v>
      </c>
      <c r="G3990">
        <v>73312585</v>
      </c>
      <c r="H3990">
        <v>73312703</v>
      </c>
      <c r="I3990">
        <v>73312724</v>
      </c>
    </row>
    <row r="3991" spans="1:9" x14ac:dyDescent="0.2">
      <c r="A3991" t="str">
        <f>"Cirbp"</f>
        <v>Cirbp</v>
      </c>
      <c r="B3991" t="s">
        <v>9</v>
      </c>
      <c r="C3991" t="s">
        <v>15</v>
      </c>
      <c r="D3991" t="s">
        <v>17</v>
      </c>
      <c r="E3991" t="s">
        <v>12</v>
      </c>
      <c r="F3991">
        <v>80167837</v>
      </c>
      <c r="G3991">
        <v>80167840</v>
      </c>
      <c r="H3991">
        <v>80167837</v>
      </c>
      <c r="I3991">
        <v>80167840</v>
      </c>
    </row>
    <row r="3992" spans="1:9" x14ac:dyDescent="0.2">
      <c r="A3992" t="str">
        <f>"Cirbp"</f>
        <v>Cirbp</v>
      </c>
      <c r="B3992" t="s">
        <v>13</v>
      </c>
      <c r="C3992" t="s">
        <v>15</v>
      </c>
      <c r="D3992" t="s">
        <v>17</v>
      </c>
      <c r="E3992" t="s">
        <v>12</v>
      </c>
      <c r="F3992">
        <v>80165965</v>
      </c>
      <c r="G3992">
        <v>80165973</v>
      </c>
      <c r="H3992">
        <v>80165965</v>
      </c>
      <c r="I3992">
        <v>80165973</v>
      </c>
    </row>
    <row r="3993" spans="1:9" x14ac:dyDescent="0.2">
      <c r="A3993" t="str">
        <f>"Cirh1a"</f>
        <v>Cirh1a</v>
      </c>
      <c r="B3993" t="s">
        <v>14</v>
      </c>
      <c r="C3993" t="s">
        <v>30</v>
      </c>
      <c r="D3993" t="s">
        <v>17</v>
      </c>
      <c r="E3993" t="s">
        <v>12</v>
      </c>
      <c r="F3993">
        <v>106893616</v>
      </c>
      <c r="G3993">
        <v>106893696</v>
      </c>
      <c r="H3993">
        <v>106893616</v>
      </c>
      <c r="I3993">
        <v>106893696</v>
      </c>
    </row>
    <row r="3994" spans="1:9" x14ac:dyDescent="0.2">
      <c r="A3994" t="str">
        <f>"Cisd1"</f>
        <v>Cisd1</v>
      </c>
      <c r="B3994" t="s">
        <v>14</v>
      </c>
      <c r="C3994" t="s">
        <v>15</v>
      </c>
      <c r="D3994" t="s">
        <v>11</v>
      </c>
      <c r="E3994" t="s">
        <v>12</v>
      </c>
      <c r="F3994">
        <v>71344795</v>
      </c>
      <c r="G3994">
        <v>71344881</v>
      </c>
      <c r="H3994">
        <v>71344882</v>
      </c>
      <c r="I3994">
        <v>71344893</v>
      </c>
    </row>
    <row r="3995" spans="1:9" x14ac:dyDescent="0.2">
      <c r="A3995" t="str">
        <f>"Cisd2"</f>
        <v>Cisd2</v>
      </c>
      <c r="B3995" t="s">
        <v>14</v>
      </c>
      <c r="C3995" t="s">
        <v>22</v>
      </c>
      <c r="D3995" t="s">
        <v>11</v>
      </c>
      <c r="E3995" t="s">
        <v>12</v>
      </c>
      <c r="F3995">
        <v>135423381</v>
      </c>
      <c r="G3995">
        <v>135423453</v>
      </c>
      <c r="H3995">
        <v>135424096</v>
      </c>
      <c r="I3995">
        <v>135424098</v>
      </c>
    </row>
    <row r="3996" spans="1:9" x14ac:dyDescent="0.2">
      <c r="A3996" t="str">
        <f>"Cisd3"</f>
        <v>Cisd3</v>
      </c>
      <c r="B3996" t="s">
        <v>14</v>
      </c>
      <c r="C3996" t="s">
        <v>27</v>
      </c>
      <c r="D3996" t="s">
        <v>17</v>
      </c>
      <c r="E3996" t="s">
        <v>12</v>
      </c>
      <c r="F3996">
        <v>97685903</v>
      </c>
      <c r="G3996">
        <v>97685966</v>
      </c>
      <c r="H3996">
        <v>97685794</v>
      </c>
      <c r="I3996">
        <v>97685845</v>
      </c>
    </row>
    <row r="3997" spans="1:9" x14ac:dyDescent="0.2">
      <c r="A3997" t="str">
        <f>"Cish"</f>
        <v>Cish</v>
      </c>
      <c r="B3997" t="s">
        <v>14</v>
      </c>
      <c r="C3997" t="s">
        <v>24</v>
      </c>
      <c r="D3997" t="s">
        <v>17</v>
      </c>
      <c r="E3997" t="s">
        <v>12</v>
      </c>
      <c r="F3997">
        <v>107296843</v>
      </c>
      <c r="G3997">
        <v>107296900</v>
      </c>
      <c r="H3997">
        <v>107296682</v>
      </c>
      <c r="I3997">
        <v>107296737</v>
      </c>
    </row>
    <row r="3998" spans="1:9" x14ac:dyDescent="0.2">
      <c r="A3998" t="str">
        <f>"Cit"</f>
        <v>Cit</v>
      </c>
      <c r="B3998" t="s">
        <v>14</v>
      </c>
      <c r="C3998" t="s">
        <v>46</v>
      </c>
      <c r="D3998" t="s">
        <v>17</v>
      </c>
      <c r="E3998" t="s">
        <v>12</v>
      </c>
      <c r="F3998">
        <v>115845229</v>
      </c>
      <c r="G3998">
        <v>115845301</v>
      </c>
      <c r="H3998">
        <v>115845229</v>
      </c>
      <c r="I3998">
        <v>115845301</v>
      </c>
    </row>
    <row r="3999" spans="1:9" x14ac:dyDescent="0.2">
      <c r="A3999" t="str">
        <f>"Cited1"</f>
        <v>Cited1</v>
      </c>
      <c r="B3999" t="s">
        <v>14</v>
      </c>
      <c r="C3999" t="s">
        <v>37</v>
      </c>
      <c r="D3999" t="s">
        <v>11</v>
      </c>
      <c r="E3999" t="s">
        <v>12</v>
      </c>
      <c r="F3999">
        <v>102252154</v>
      </c>
      <c r="G3999">
        <v>102252172</v>
      </c>
      <c r="H3999">
        <v>102252064</v>
      </c>
      <c r="I3999">
        <v>102252087</v>
      </c>
    </row>
    <row r="4000" spans="1:9" x14ac:dyDescent="0.2">
      <c r="A4000" t="str">
        <f>"Cited2"</f>
        <v>Cited2</v>
      </c>
      <c r="B4000" t="s">
        <v>14</v>
      </c>
      <c r="C4000" t="s">
        <v>15</v>
      </c>
      <c r="D4000" t="s">
        <v>17</v>
      </c>
      <c r="E4000" t="s">
        <v>12</v>
      </c>
      <c r="F4000">
        <v>17723220</v>
      </c>
      <c r="G4000">
        <v>17723229</v>
      </c>
      <c r="H4000">
        <v>17722886</v>
      </c>
      <c r="I4000">
        <v>17722936</v>
      </c>
    </row>
    <row r="4001" spans="1:9" x14ac:dyDescent="0.2">
      <c r="A4001" t="str">
        <f>"Cited4"</f>
        <v>Cited4</v>
      </c>
      <c r="B4001" t="s">
        <v>14</v>
      </c>
      <c r="C4001" t="s">
        <v>23</v>
      </c>
      <c r="D4001" t="s">
        <v>17</v>
      </c>
      <c r="E4001" t="s">
        <v>12</v>
      </c>
      <c r="F4001">
        <v>120666562</v>
      </c>
      <c r="G4001">
        <v>120666579</v>
      </c>
      <c r="H4001">
        <v>120666614</v>
      </c>
      <c r="I4001">
        <v>120666623</v>
      </c>
    </row>
    <row r="4002" spans="1:9" x14ac:dyDescent="0.2">
      <c r="A4002" t="str">
        <f>"Ciz1"</f>
        <v>Ciz1</v>
      </c>
      <c r="B4002" t="s">
        <v>14</v>
      </c>
      <c r="C4002" t="s">
        <v>26</v>
      </c>
      <c r="D4002" t="s">
        <v>17</v>
      </c>
      <c r="E4002" t="s">
        <v>12</v>
      </c>
      <c r="F4002">
        <v>32363004</v>
      </c>
      <c r="G4002">
        <v>32363142</v>
      </c>
      <c r="H4002">
        <v>32363192</v>
      </c>
      <c r="I4002">
        <v>32363262</v>
      </c>
    </row>
    <row r="4003" spans="1:9" x14ac:dyDescent="0.2">
      <c r="A4003" t="str">
        <f>"Ckap2"</f>
        <v>Ckap2</v>
      </c>
      <c r="B4003" t="s">
        <v>14</v>
      </c>
      <c r="C4003" t="s">
        <v>30</v>
      </c>
      <c r="D4003" t="s">
        <v>11</v>
      </c>
      <c r="E4003" t="s">
        <v>12</v>
      </c>
      <c r="F4003">
        <v>22185758</v>
      </c>
      <c r="G4003">
        <v>22185817</v>
      </c>
      <c r="H4003">
        <v>22185821</v>
      </c>
      <c r="I4003">
        <v>22185840</v>
      </c>
    </row>
    <row r="4004" spans="1:9" x14ac:dyDescent="0.2">
      <c r="A4004" t="str">
        <f>"Ckap2l"</f>
        <v>Ckap2l</v>
      </c>
      <c r="B4004" t="s">
        <v>14</v>
      </c>
      <c r="C4004" t="s">
        <v>26</v>
      </c>
      <c r="D4004" t="s">
        <v>11</v>
      </c>
      <c r="E4004" t="s">
        <v>12</v>
      </c>
      <c r="F4004">
        <v>129297148</v>
      </c>
      <c r="G4004">
        <v>129297201</v>
      </c>
      <c r="H4004">
        <v>129297205</v>
      </c>
      <c r="I4004">
        <v>129297216</v>
      </c>
    </row>
    <row r="4005" spans="1:9" x14ac:dyDescent="0.2">
      <c r="A4005" t="str">
        <f>"Ckap4"</f>
        <v>Ckap4</v>
      </c>
      <c r="B4005" t="s">
        <v>14</v>
      </c>
      <c r="C4005" t="s">
        <v>15</v>
      </c>
      <c r="D4005" t="s">
        <v>11</v>
      </c>
      <c r="E4005" t="s">
        <v>12</v>
      </c>
      <c r="F4005">
        <v>84533968</v>
      </c>
      <c r="G4005">
        <v>84534029</v>
      </c>
      <c r="H4005">
        <v>84533939</v>
      </c>
      <c r="I4005">
        <v>84533950</v>
      </c>
    </row>
    <row r="4006" spans="1:9" x14ac:dyDescent="0.2">
      <c r="A4006" t="str">
        <f>"Ckap5"</f>
        <v>Ckap5</v>
      </c>
      <c r="B4006" t="s">
        <v>14</v>
      </c>
      <c r="C4006" t="s">
        <v>26</v>
      </c>
      <c r="D4006" t="s">
        <v>17</v>
      </c>
      <c r="E4006" t="s">
        <v>12</v>
      </c>
      <c r="F4006">
        <v>91526770</v>
      </c>
      <c r="G4006">
        <v>91526828</v>
      </c>
      <c r="H4006">
        <v>91526943</v>
      </c>
      <c r="I4006">
        <v>91526987</v>
      </c>
    </row>
    <row r="4007" spans="1:9" x14ac:dyDescent="0.2">
      <c r="A4007" t="str">
        <f>"Ckb"</f>
        <v>Ckb</v>
      </c>
      <c r="B4007" t="s">
        <v>14</v>
      </c>
      <c r="C4007" t="s">
        <v>16</v>
      </c>
      <c r="D4007" t="s">
        <v>11</v>
      </c>
      <c r="E4007" t="s">
        <v>12</v>
      </c>
      <c r="F4007">
        <v>111672290</v>
      </c>
      <c r="G4007">
        <v>111672306</v>
      </c>
      <c r="H4007">
        <v>111672773</v>
      </c>
      <c r="I4007">
        <v>111672781</v>
      </c>
    </row>
    <row r="4008" spans="1:9" x14ac:dyDescent="0.2">
      <c r="A4008" t="str">
        <f>"Cklf"</f>
        <v>Cklf</v>
      </c>
      <c r="B4008" t="s">
        <v>14</v>
      </c>
      <c r="C4008" t="s">
        <v>30</v>
      </c>
      <c r="D4008" t="s">
        <v>17</v>
      </c>
      <c r="E4008" t="s">
        <v>12</v>
      </c>
      <c r="F4008">
        <v>104250925</v>
      </c>
      <c r="G4008">
        <v>104250940</v>
      </c>
      <c r="H4008">
        <v>104250869</v>
      </c>
      <c r="I4008">
        <v>104250912</v>
      </c>
    </row>
    <row r="4009" spans="1:9" x14ac:dyDescent="0.2">
      <c r="A4009" t="str">
        <f>"Ckm"</f>
        <v>Ckm</v>
      </c>
      <c r="B4009" t="s">
        <v>14</v>
      </c>
      <c r="C4009" t="s">
        <v>33</v>
      </c>
      <c r="D4009" t="s">
        <v>17</v>
      </c>
      <c r="E4009" t="s">
        <v>12</v>
      </c>
      <c r="F4009">
        <v>19411086</v>
      </c>
      <c r="G4009">
        <v>19411101</v>
      </c>
      <c r="H4009">
        <v>19411086</v>
      </c>
      <c r="I4009">
        <v>19411101</v>
      </c>
    </row>
    <row r="4010" spans="1:9" x14ac:dyDescent="0.2">
      <c r="A4010" t="str">
        <f>"Ckmt1"</f>
        <v>Ckmt1</v>
      </c>
      <c r="B4010" t="s">
        <v>14</v>
      </c>
      <c r="C4010" t="s">
        <v>26</v>
      </c>
      <c r="D4010" t="s">
        <v>17</v>
      </c>
      <c r="E4010" t="s">
        <v>12</v>
      </c>
      <c r="F4010">
        <v>121358591</v>
      </c>
      <c r="G4010">
        <v>121358713</v>
      </c>
      <c r="H4010">
        <v>121358591</v>
      </c>
      <c r="I4010">
        <v>121358713</v>
      </c>
    </row>
    <row r="4011" spans="1:9" x14ac:dyDescent="0.2">
      <c r="A4011" t="str">
        <f>"Ckmt2"</f>
        <v>Ckmt2</v>
      </c>
      <c r="B4011" t="s">
        <v>14</v>
      </c>
      <c r="C4011" t="s">
        <v>39</v>
      </c>
      <c r="D4011" t="s">
        <v>11</v>
      </c>
      <c r="E4011" t="s">
        <v>12</v>
      </c>
      <c r="F4011">
        <v>91876876</v>
      </c>
      <c r="G4011">
        <v>91876890</v>
      </c>
      <c r="H4011">
        <v>91876876</v>
      </c>
      <c r="I4011">
        <v>91876890</v>
      </c>
    </row>
    <row r="4012" spans="1:9" x14ac:dyDescent="0.2">
      <c r="A4012" t="str">
        <f>"Cks1b"</f>
        <v>Cks1b</v>
      </c>
      <c r="B4012" t="s">
        <v>14</v>
      </c>
      <c r="C4012" t="s">
        <v>22</v>
      </c>
      <c r="D4012" t="s">
        <v>11</v>
      </c>
      <c r="E4012" t="s">
        <v>12</v>
      </c>
      <c r="F4012">
        <v>89418255</v>
      </c>
      <c r="G4012">
        <v>89418286</v>
      </c>
      <c r="H4012">
        <v>89418287</v>
      </c>
      <c r="I4012">
        <v>89418316</v>
      </c>
    </row>
    <row r="4013" spans="1:9" x14ac:dyDescent="0.2">
      <c r="A4013" t="str">
        <f>"Cks2"</f>
        <v>Cks2</v>
      </c>
      <c r="B4013" t="s">
        <v>14</v>
      </c>
      <c r="C4013" t="s">
        <v>39</v>
      </c>
      <c r="D4013" t="s">
        <v>17</v>
      </c>
      <c r="E4013" t="s">
        <v>12</v>
      </c>
      <c r="F4013">
        <v>51645310</v>
      </c>
      <c r="G4013">
        <v>51645332</v>
      </c>
      <c r="H4013">
        <v>51645284</v>
      </c>
      <c r="I4013">
        <v>51645299</v>
      </c>
    </row>
    <row r="4014" spans="1:9" x14ac:dyDescent="0.2">
      <c r="A4014" t="str">
        <f>"Clasp1"</f>
        <v>Clasp1</v>
      </c>
      <c r="B4014" t="s">
        <v>14</v>
      </c>
      <c r="C4014" t="s">
        <v>19</v>
      </c>
      <c r="D4014" t="s">
        <v>17</v>
      </c>
      <c r="E4014" t="s">
        <v>12</v>
      </c>
      <c r="F4014">
        <v>118389423</v>
      </c>
      <c r="G4014">
        <v>118389465</v>
      </c>
      <c r="H4014">
        <v>118389423</v>
      </c>
      <c r="I4014">
        <v>118389465</v>
      </c>
    </row>
    <row r="4015" spans="1:9" x14ac:dyDescent="0.2">
      <c r="A4015" t="str">
        <f>"Clasp2"</f>
        <v>Clasp2</v>
      </c>
      <c r="B4015" t="s">
        <v>14</v>
      </c>
      <c r="C4015" t="s">
        <v>24</v>
      </c>
      <c r="D4015" t="s">
        <v>17</v>
      </c>
      <c r="E4015" t="s">
        <v>12</v>
      </c>
      <c r="F4015">
        <v>113793316</v>
      </c>
      <c r="G4015">
        <v>113793340</v>
      </c>
      <c r="H4015">
        <v>113793316</v>
      </c>
      <c r="I4015">
        <v>113793340</v>
      </c>
    </row>
    <row r="4016" spans="1:9" x14ac:dyDescent="0.2">
      <c r="A4016" t="str">
        <f>"Clasrp"</f>
        <v>Clasrp</v>
      </c>
      <c r="B4016" t="s">
        <v>14</v>
      </c>
      <c r="C4016" t="s">
        <v>33</v>
      </c>
      <c r="D4016" t="s">
        <v>11</v>
      </c>
      <c r="E4016" t="s">
        <v>12</v>
      </c>
      <c r="F4016">
        <v>19604444</v>
      </c>
      <c r="G4016">
        <v>19604492</v>
      </c>
      <c r="H4016">
        <v>19604427</v>
      </c>
      <c r="I4016">
        <v>19604438</v>
      </c>
    </row>
    <row r="4017" spans="1:9" x14ac:dyDescent="0.2">
      <c r="A4017" t="str">
        <f>"Clca1"</f>
        <v>Clca1</v>
      </c>
      <c r="B4017" t="s">
        <v>14</v>
      </c>
      <c r="C4017" t="s">
        <v>22</v>
      </c>
      <c r="D4017" t="s">
        <v>11</v>
      </c>
      <c r="E4017" t="s">
        <v>12</v>
      </c>
      <c r="F4017">
        <v>144760729</v>
      </c>
      <c r="G4017">
        <v>144760746</v>
      </c>
      <c r="H4017">
        <v>144760794</v>
      </c>
      <c r="I4017">
        <v>144760809</v>
      </c>
    </row>
    <row r="4018" spans="1:9" x14ac:dyDescent="0.2">
      <c r="A4018" t="str">
        <f>"Clca2"</f>
        <v>Clca2</v>
      </c>
      <c r="B4018" t="s">
        <v>2298</v>
      </c>
      <c r="C4018" t="s">
        <v>22</v>
      </c>
      <c r="D4018" t="s">
        <v>11</v>
      </c>
      <c r="E4018" t="s">
        <v>20</v>
      </c>
      <c r="F4018">
        <v>144819493</v>
      </c>
      <c r="G4018">
        <v>144819493</v>
      </c>
      <c r="H4018">
        <v>144819493</v>
      </c>
      <c r="I4018">
        <v>144819493</v>
      </c>
    </row>
    <row r="4019" spans="1:9" x14ac:dyDescent="0.2">
      <c r="A4019" t="str">
        <f>"Clca3"</f>
        <v>Clca3</v>
      </c>
      <c r="B4019" t="s">
        <v>14</v>
      </c>
      <c r="C4019" t="s">
        <v>22</v>
      </c>
      <c r="D4019" t="s">
        <v>11</v>
      </c>
      <c r="E4019" t="s">
        <v>12</v>
      </c>
      <c r="F4019">
        <v>145032765</v>
      </c>
      <c r="G4019">
        <v>145032781</v>
      </c>
      <c r="H4019">
        <v>145032765</v>
      </c>
      <c r="I4019">
        <v>145032781</v>
      </c>
    </row>
    <row r="4020" spans="1:9" x14ac:dyDescent="0.2">
      <c r="A4020" t="str">
        <f>"Clca4"</f>
        <v>Clca4</v>
      </c>
      <c r="B4020" t="s">
        <v>14</v>
      </c>
      <c r="C4020" t="s">
        <v>22</v>
      </c>
      <c r="D4020" t="s">
        <v>11</v>
      </c>
      <c r="E4020" t="s">
        <v>12</v>
      </c>
      <c r="F4020">
        <v>144849301</v>
      </c>
      <c r="G4020">
        <v>144849302</v>
      </c>
      <c r="H4020">
        <v>144849301</v>
      </c>
      <c r="I4020">
        <v>144849302</v>
      </c>
    </row>
    <row r="4021" spans="1:9" x14ac:dyDescent="0.2">
      <c r="A4021" t="str">
        <f>"Clca5"</f>
        <v>Clca5</v>
      </c>
      <c r="B4021" t="s">
        <v>14</v>
      </c>
      <c r="C4021" t="s">
        <v>22</v>
      </c>
      <c r="D4021" t="s">
        <v>11</v>
      </c>
      <c r="E4021" t="s">
        <v>12</v>
      </c>
      <c r="F4021">
        <v>145099024</v>
      </c>
      <c r="G4021">
        <v>145099075</v>
      </c>
      <c r="H4021">
        <v>145099024</v>
      </c>
      <c r="I4021">
        <v>145099075</v>
      </c>
    </row>
    <row r="4022" spans="1:9" x14ac:dyDescent="0.2">
      <c r="A4022" t="str">
        <f>"Clca6"</f>
        <v>Clca6</v>
      </c>
      <c r="B4022" t="s">
        <v>14</v>
      </c>
      <c r="C4022" t="s">
        <v>22</v>
      </c>
      <c r="D4022" t="s">
        <v>11</v>
      </c>
      <c r="E4022" t="s">
        <v>12</v>
      </c>
      <c r="F4022">
        <v>144975040</v>
      </c>
      <c r="G4022">
        <v>144975046</v>
      </c>
      <c r="H4022">
        <v>144975040</v>
      </c>
      <c r="I4022">
        <v>144975046</v>
      </c>
    </row>
    <row r="4023" spans="1:9" x14ac:dyDescent="0.2">
      <c r="A4023" t="str">
        <f>"Clcc1"</f>
        <v>Clcc1</v>
      </c>
      <c r="B4023" t="s">
        <v>14</v>
      </c>
      <c r="C4023" t="s">
        <v>22</v>
      </c>
      <c r="D4023" t="s">
        <v>17</v>
      </c>
      <c r="E4023" t="s">
        <v>12</v>
      </c>
      <c r="F4023">
        <v>108653931</v>
      </c>
      <c r="G4023">
        <v>108653964</v>
      </c>
      <c r="H4023">
        <v>108653907</v>
      </c>
      <c r="I4023">
        <v>108653928</v>
      </c>
    </row>
    <row r="4024" spans="1:9" x14ac:dyDescent="0.2">
      <c r="A4024" t="str">
        <f>"Clcf1"</f>
        <v>Clcf1</v>
      </c>
      <c r="B4024" t="s">
        <v>14</v>
      </c>
      <c r="C4024" t="s">
        <v>10</v>
      </c>
      <c r="D4024" t="s">
        <v>17</v>
      </c>
      <c r="E4024" t="s">
        <v>12</v>
      </c>
      <c r="F4024">
        <v>4214416</v>
      </c>
      <c r="G4024">
        <v>4214432</v>
      </c>
      <c r="H4024">
        <v>4214383</v>
      </c>
      <c r="I4024">
        <v>4214397</v>
      </c>
    </row>
    <row r="4025" spans="1:9" x14ac:dyDescent="0.2">
      <c r="A4025" t="str">
        <f>"Clcn1"</f>
        <v>Clcn1</v>
      </c>
      <c r="B4025" t="s">
        <v>14</v>
      </c>
      <c r="C4025" t="s">
        <v>32</v>
      </c>
      <c r="D4025" t="s">
        <v>17</v>
      </c>
      <c r="E4025" t="s">
        <v>12</v>
      </c>
      <c r="F4025">
        <v>42286660</v>
      </c>
      <c r="G4025">
        <v>42286671</v>
      </c>
      <c r="H4025">
        <v>42286676</v>
      </c>
      <c r="I4025">
        <v>42286687</v>
      </c>
    </row>
    <row r="4026" spans="1:9" x14ac:dyDescent="0.2">
      <c r="A4026" t="str">
        <f>"Clcn2"</f>
        <v>Clcn2</v>
      </c>
      <c r="B4026" t="s">
        <v>9</v>
      </c>
      <c r="C4026" t="s">
        <v>31</v>
      </c>
      <c r="D4026" t="s">
        <v>11</v>
      </c>
      <c r="E4026" t="s">
        <v>12</v>
      </c>
      <c r="F4026">
        <v>20716101</v>
      </c>
      <c r="G4026">
        <v>20716122</v>
      </c>
      <c r="H4026">
        <v>20716101</v>
      </c>
      <c r="I4026">
        <v>20716122</v>
      </c>
    </row>
    <row r="4027" spans="1:9" x14ac:dyDescent="0.2">
      <c r="A4027" t="str">
        <f>"Clcn2"</f>
        <v>Clcn2</v>
      </c>
      <c r="B4027" t="s">
        <v>13</v>
      </c>
      <c r="C4027" t="s">
        <v>31</v>
      </c>
      <c r="D4027" t="s">
        <v>11</v>
      </c>
      <c r="E4027" t="s">
        <v>12</v>
      </c>
      <c r="F4027">
        <v>20717722</v>
      </c>
      <c r="G4027">
        <v>20717751</v>
      </c>
      <c r="H4027">
        <v>20717722</v>
      </c>
      <c r="I4027">
        <v>20717751</v>
      </c>
    </row>
    <row r="4028" spans="1:9" x14ac:dyDescent="0.2">
      <c r="A4028" t="str">
        <f>"Clcn3"</f>
        <v>Clcn3</v>
      </c>
      <c r="B4028" t="s">
        <v>9</v>
      </c>
      <c r="C4028" t="s">
        <v>30</v>
      </c>
      <c r="D4028" t="s">
        <v>11</v>
      </c>
      <c r="E4028" t="s">
        <v>12</v>
      </c>
      <c r="F4028">
        <v>60983215</v>
      </c>
      <c r="G4028">
        <v>60983319</v>
      </c>
      <c r="H4028">
        <v>60983215</v>
      </c>
      <c r="I4028">
        <v>60983319</v>
      </c>
    </row>
    <row r="4029" spans="1:9" x14ac:dyDescent="0.2">
      <c r="A4029" t="str">
        <f>"Clcn3"</f>
        <v>Clcn3</v>
      </c>
      <c r="B4029" t="s">
        <v>13</v>
      </c>
      <c r="C4029" t="s">
        <v>30</v>
      </c>
      <c r="D4029" t="s">
        <v>11</v>
      </c>
      <c r="E4029" t="s">
        <v>12</v>
      </c>
      <c r="F4029">
        <v>60954726</v>
      </c>
      <c r="G4029">
        <v>60954790</v>
      </c>
      <c r="H4029">
        <v>60954726</v>
      </c>
      <c r="I4029">
        <v>60954790</v>
      </c>
    </row>
    <row r="4030" spans="1:9" x14ac:dyDescent="0.2">
      <c r="A4030" t="str">
        <f>"Clcn4-2"</f>
        <v>Clcn4-2</v>
      </c>
      <c r="B4030" t="s">
        <v>14</v>
      </c>
      <c r="C4030" t="s">
        <v>33</v>
      </c>
      <c r="D4030" t="s">
        <v>11</v>
      </c>
      <c r="E4030" t="s">
        <v>12</v>
      </c>
      <c r="F4030">
        <v>7298761</v>
      </c>
      <c r="G4030">
        <v>7298790</v>
      </c>
      <c r="H4030">
        <v>7299492</v>
      </c>
      <c r="I4030">
        <v>7299540</v>
      </c>
    </row>
    <row r="4031" spans="1:9" x14ac:dyDescent="0.2">
      <c r="A4031" t="str">
        <f>"Clcn5"</f>
        <v>Clcn5</v>
      </c>
      <c r="B4031" t="s">
        <v>2299</v>
      </c>
      <c r="C4031" t="s">
        <v>37</v>
      </c>
      <c r="D4031" t="s">
        <v>11</v>
      </c>
      <c r="E4031" t="s">
        <v>35</v>
      </c>
      <c r="F4031">
        <v>7188713</v>
      </c>
      <c r="G4031">
        <v>7188743</v>
      </c>
      <c r="H4031">
        <v>7188636</v>
      </c>
      <c r="I4031">
        <v>7188650</v>
      </c>
    </row>
    <row r="4032" spans="1:9" x14ac:dyDescent="0.2">
      <c r="A4032" t="str">
        <f>"Clcn6"</f>
        <v>Clcn6</v>
      </c>
      <c r="B4032" t="s">
        <v>14</v>
      </c>
      <c r="C4032" t="s">
        <v>23</v>
      </c>
      <c r="D4032" t="s">
        <v>11</v>
      </c>
      <c r="E4032" t="s">
        <v>12</v>
      </c>
      <c r="F4032">
        <v>148038769</v>
      </c>
      <c r="G4032">
        <v>148038816</v>
      </c>
      <c r="H4032">
        <v>148038828</v>
      </c>
      <c r="I4032">
        <v>148038847</v>
      </c>
    </row>
    <row r="4033" spans="1:9" x14ac:dyDescent="0.2">
      <c r="A4033" t="str">
        <f>"Clcn7"</f>
        <v>Clcn7</v>
      </c>
      <c r="B4033" t="s">
        <v>14</v>
      </c>
      <c r="C4033" t="s">
        <v>28</v>
      </c>
      <c r="D4033" t="s">
        <v>17</v>
      </c>
      <c r="E4033" t="s">
        <v>12</v>
      </c>
      <c r="F4033">
        <v>25133385</v>
      </c>
      <c r="G4033">
        <v>25133434</v>
      </c>
      <c r="H4033">
        <v>25133441</v>
      </c>
      <c r="I4033">
        <v>25133460</v>
      </c>
    </row>
    <row r="4034" spans="1:9" x14ac:dyDescent="0.2">
      <c r="A4034" t="str">
        <f>"Clcnka"</f>
        <v>Clcnka</v>
      </c>
      <c r="B4034" t="s">
        <v>14</v>
      </c>
      <c r="C4034" t="s">
        <v>23</v>
      </c>
      <c r="D4034" t="s">
        <v>11</v>
      </c>
      <c r="E4034" t="s">
        <v>12</v>
      </c>
      <c r="F4034">
        <v>141398682</v>
      </c>
      <c r="G4034">
        <v>141398726</v>
      </c>
      <c r="H4034">
        <v>141398734</v>
      </c>
      <c r="I4034">
        <v>141398746</v>
      </c>
    </row>
    <row r="4035" spans="1:9" x14ac:dyDescent="0.2">
      <c r="A4035" t="str">
        <f>"Clcnkb"</f>
        <v>Clcnkb</v>
      </c>
      <c r="B4035" t="s">
        <v>14</v>
      </c>
      <c r="C4035" t="s">
        <v>23</v>
      </c>
      <c r="D4035" t="s">
        <v>11</v>
      </c>
      <c r="E4035" t="s">
        <v>12</v>
      </c>
      <c r="F4035">
        <v>141415970</v>
      </c>
      <c r="G4035">
        <v>141415997</v>
      </c>
      <c r="H4035">
        <v>141416002</v>
      </c>
      <c r="I4035">
        <v>141416016</v>
      </c>
    </row>
    <row r="4036" spans="1:9" x14ac:dyDescent="0.2">
      <c r="A4036" t="str">
        <f>"Cldn1"</f>
        <v>Cldn1</v>
      </c>
      <c r="B4036" t="s">
        <v>14</v>
      </c>
      <c r="C4036" t="s">
        <v>31</v>
      </c>
      <c r="D4036" t="s">
        <v>11</v>
      </c>
      <c r="E4036" t="s">
        <v>12</v>
      </c>
      <c r="F4036">
        <v>26371828</v>
      </c>
      <c r="G4036">
        <v>26371846</v>
      </c>
      <c r="H4036">
        <v>26371804</v>
      </c>
      <c r="I4036">
        <v>26371821</v>
      </c>
    </row>
    <row r="4037" spans="1:9" x14ac:dyDescent="0.2">
      <c r="A4037" t="str">
        <f>"Cldn10"</f>
        <v>Cldn10</v>
      </c>
      <c r="B4037" t="s">
        <v>14</v>
      </c>
      <c r="C4037" t="s">
        <v>41</v>
      </c>
      <c r="D4037" t="s">
        <v>17</v>
      </c>
      <c r="E4037" t="s">
        <v>12</v>
      </c>
      <c r="F4037">
        <v>118854955</v>
      </c>
      <c r="G4037">
        <v>118854976</v>
      </c>
      <c r="H4037">
        <v>118854955</v>
      </c>
      <c r="I4037">
        <v>118854976</v>
      </c>
    </row>
    <row r="4038" spans="1:9" x14ac:dyDescent="0.2">
      <c r="A4038" t="str">
        <f>"Cldn11"</f>
        <v>Cldn11</v>
      </c>
      <c r="B4038" t="s">
        <v>14</v>
      </c>
      <c r="C4038" t="s">
        <v>22</v>
      </c>
      <c r="D4038" t="s">
        <v>17</v>
      </c>
      <c r="E4038" t="s">
        <v>12</v>
      </c>
      <c r="F4038">
        <v>31149934</v>
      </c>
      <c r="G4038">
        <v>31149958</v>
      </c>
      <c r="H4038">
        <v>31149964</v>
      </c>
      <c r="I4038">
        <v>31149979</v>
      </c>
    </row>
    <row r="4039" spans="1:9" x14ac:dyDescent="0.2">
      <c r="A4039" t="str">
        <f>"Cldn12"</f>
        <v>Cldn12</v>
      </c>
      <c r="B4039" t="s">
        <v>14</v>
      </c>
      <c r="C4039" t="s">
        <v>46</v>
      </c>
      <c r="D4039" t="s">
        <v>11</v>
      </c>
      <c r="E4039" t="s">
        <v>12</v>
      </c>
      <c r="F4039">
        <v>5514836</v>
      </c>
      <c r="G4039">
        <v>5514858</v>
      </c>
      <c r="H4039">
        <v>5514877</v>
      </c>
      <c r="I4039">
        <v>5514891</v>
      </c>
    </row>
    <row r="4040" spans="1:9" x14ac:dyDescent="0.2">
      <c r="A4040" t="str">
        <f>"Cldn13"</f>
        <v>Cldn13</v>
      </c>
      <c r="B4040" t="s">
        <v>14</v>
      </c>
      <c r="C4040" t="s">
        <v>46</v>
      </c>
      <c r="D4040" t="s">
        <v>11</v>
      </c>
      <c r="E4040" t="s">
        <v>12</v>
      </c>
      <c r="F4040">
        <v>134915512</v>
      </c>
      <c r="G4040">
        <v>134915542</v>
      </c>
      <c r="H4040">
        <v>134915494</v>
      </c>
      <c r="I4040">
        <v>134915505</v>
      </c>
    </row>
    <row r="4041" spans="1:9" x14ac:dyDescent="0.2">
      <c r="A4041" t="str">
        <f>"Cldn14"</f>
        <v>Cldn14</v>
      </c>
      <c r="B4041" t="s">
        <v>14</v>
      </c>
      <c r="C4041" t="s">
        <v>31</v>
      </c>
      <c r="D4041" t="s">
        <v>11</v>
      </c>
      <c r="E4041" t="s">
        <v>12</v>
      </c>
      <c r="F4041">
        <v>93929512</v>
      </c>
      <c r="G4041">
        <v>93929528</v>
      </c>
      <c r="H4041">
        <v>93929483</v>
      </c>
      <c r="I4041">
        <v>93929505</v>
      </c>
    </row>
    <row r="4042" spans="1:9" x14ac:dyDescent="0.2">
      <c r="A4042" t="str">
        <f>"Cldn15"</f>
        <v>Cldn15</v>
      </c>
      <c r="B4042" t="s">
        <v>14</v>
      </c>
      <c r="C4042" t="s">
        <v>46</v>
      </c>
      <c r="D4042" t="s">
        <v>17</v>
      </c>
      <c r="E4042" t="s">
        <v>12</v>
      </c>
      <c r="F4042">
        <v>136967859</v>
      </c>
      <c r="G4042">
        <v>136967875</v>
      </c>
      <c r="H4042">
        <v>136967827</v>
      </c>
      <c r="I4042">
        <v>136967840</v>
      </c>
    </row>
    <row r="4043" spans="1:9" x14ac:dyDescent="0.2">
      <c r="A4043" t="str">
        <f>"Cldn16"</f>
        <v>Cldn16</v>
      </c>
      <c r="B4043" t="s">
        <v>14</v>
      </c>
      <c r="C4043" t="s">
        <v>31</v>
      </c>
      <c r="D4043" t="s">
        <v>17</v>
      </c>
      <c r="E4043" t="s">
        <v>12</v>
      </c>
      <c r="F4043">
        <v>26463465</v>
      </c>
      <c r="G4043">
        <v>26463478</v>
      </c>
      <c r="H4043">
        <v>26463073</v>
      </c>
      <c r="I4043">
        <v>26463087</v>
      </c>
    </row>
    <row r="4044" spans="1:9" x14ac:dyDescent="0.2">
      <c r="A4044" t="str">
        <f>"Cldn17"</f>
        <v>Cldn17</v>
      </c>
      <c r="B4044" t="s">
        <v>14</v>
      </c>
      <c r="C4044" t="s">
        <v>31</v>
      </c>
      <c r="D4044" t="s">
        <v>11</v>
      </c>
      <c r="E4044" t="s">
        <v>12</v>
      </c>
      <c r="F4044">
        <v>88506971</v>
      </c>
      <c r="G4044">
        <v>88506994</v>
      </c>
      <c r="H4044">
        <v>88506956</v>
      </c>
      <c r="I4044">
        <v>88506965</v>
      </c>
    </row>
    <row r="4045" spans="1:9" x14ac:dyDescent="0.2">
      <c r="A4045" t="str">
        <f>"Cldn18"</f>
        <v>Cldn18</v>
      </c>
      <c r="B4045" t="s">
        <v>9</v>
      </c>
      <c r="C4045" t="s">
        <v>24</v>
      </c>
      <c r="D4045" t="s">
        <v>11</v>
      </c>
      <c r="E4045" t="s">
        <v>12</v>
      </c>
      <c r="F4045">
        <v>99717259</v>
      </c>
      <c r="G4045">
        <v>99717274</v>
      </c>
      <c r="H4045">
        <v>99717259</v>
      </c>
      <c r="I4045">
        <v>99717274</v>
      </c>
    </row>
    <row r="4046" spans="1:9" x14ac:dyDescent="0.2">
      <c r="A4046" t="str">
        <f>"Cldn18"</f>
        <v>Cldn18</v>
      </c>
      <c r="B4046" t="s">
        <v>13</v>
      </c>
      <c r="C4046" t="s">
        <v>24</v>
      </c>
      <c r="D4046" t="s">
        <v>11</v>
      </c>
      <c r="E4046" t="s">
        <v>12</v>
      </c>
      <c r="F4046">
        <v>99709952</v>
      </c>
      <c r="G4046">
        <v>99709988</v>
      </c>
      <c r="H4046">
        <v>99709952</v>
      </c>
      <c r="I4046">
        <v>99709988</v>
      </c>
    </row>
    <row r="4047" spans="1:9" x14ac:dyDescent="0.2">
      <c r="A4047" t="str">
        <f>"Cldn19"</f>
        <v>Cldn19</v>
      </c>
      <c r="B4047" t="s">
        <v>14</v>
      </c>
      <c r="C4047" t="s">
        <v>23</v>
      </c>
      <c r="D4047" t="s">
        <v>17</v>
      </c>
      <c r="E4047" t="s">
        <v>12</v>
      </c>
      <c r="F4047">
        <v>119255393</v>
      </c>
      <c r="G4047">
        <v>119255426</v>
      </c>
      <c r="H4047">
        <v>119255427</v>
      </c>
      <c r="I4047">
        <v>119255456</v>
      </c>
    </row>
    <row r="4048" spans="1:9" x14ac:dyDescent="0.2">
      <c r="A4048" t="str">
        <f>"Cldn2"</f>
        <v>Cldn2</v>
      </c>
      <c r="B4048" t="s">
        <v>14</v>
      </c>
      <c r="C4048" t="s">
        <v>37</v>
      </c>
      <c r="D4048" t="s">
        <v>17</v>
      </c>
      <c r="E4048" t="s">
        <v>12</v>
      </c>
      <c r="F4048">
        <v>139800795</v>
      </c>
      <c r="G4048">
        <v>139800811</v>
      </c>
      <c r="H4048">
        <v>139800699</v>
      </c>
      <c r="I4048">
        <v>139800724</v>
      </c>
    </row>
    <row r="4049" spans="1:9" x14ac:dyDescent="0.2">
      <c r="A4049" t="str">
        <f>"Cldn20"</f>
        <v>Cldn20</v>
      </c>
      <c r="B4049" t="s">
        <v>2300</v>
      </c>
      <c r="C4049" t="s">
        <v>28</v>
      </c>
      <c r="D4049" t="s">
        <v>17</v>
      </c>
      <c r="E4049" t="s">
        <v>20</v>
      </c>
      <c r="F4049">
        <v>3532553</v>
      </c>
      <c r="G4049">
        <v>3532553</v>
      </c>
      <c r="H4049">
        <v>3532553</v>
      </c>
      <c r="I4049">
        <v>3532553</v>
      </c>
    </row>
    <row r="4050" spans="1:9" x14ac:dyDescent="0.2">
      <c r="A4050" t="str">
        <f>"Cldn22"</f>
        <v>Cldn22</v>
      </c>
      <c r="B4050" t="s">
        <v>14</v>
      </c>
      <c r="C4050" t="s">
        <v>30</v>
      </c>
      <c r="D4050" t="s">
        <v>17</v>
      </c>
      <c r="E4050" t="s">
        <v>12</v>
      </c>
      <c r="F4050">
        <v>47824459</v>
      </c>
      <c r="G4050">
        <v>47824471</v>
      </c>
      <c r="H4050">
        <v>47824459</v>
      </c>
      <c r="I4050">
        <v>47824471</v>
      </c>
    </row>
    <row r="4051" spans="1:9" x14ac:dyDescent="0.2">
      <c r="A4051" t="str">
        <f>"Cldn23"</f>
        <v>Cldn23</v>
      </c>
      <c r="B4051" t="s">
        <v>14</v>
      </c>
      <c r="C4051" t="s">
        <v>30</v>
      </c>
      <c r="D4051" t="s">
        <v>11</v>
      </c>
      <c r="E4051" t="s">
        <v>12</v>
      </c>
      <c r="F4051">
        <v>35826435</v>
      </c>
      <c r="G4051">
        <v>35826485</v>
      </c>
      <c r="H4051">
        <v>35826421</v>
      </c>
      <c r="I4051">
        <v>35826430</v>
      </c>
    </row>
    <row r="4052" spans="1:9" x14ac:dyDescent="0.2">
      <c r="A4052" t="str">
        <f>"Cldn24"</f>
        <v>Cldn24</v>
      </c>
      <c r="B4052" t="s">
        <v>2301</v>
      </c>
      <c r="C4052" t="s">
        <v>30</v>
      </c>
      <c r="D4052" t="s">
        <v>17</v>
      </c>
      <c r="E4052" t="s">
        <v>20</v>
      </c>
      <c r="F4052">
        <v>47822142</v>
      </c>
      <c r="G4052">
        <v>47822142</v>
      </c>
      <c r="H4052">
        <v>47822142</v>
      </c>
      <c r="I4052">
        <v>47822142</v>
      </c>
    </row>
    <row r="4053" spans="1:9" x14ac:dyDescent="0.2">
      <c r="A4053" t="str">
        <f>"Cldn25"</f>
        <v>Cldn25</v>
      </c>
      <c r="B4053" t="s">
        <v>14</v>
      </c>
      <c r="C4053" t="s">
        <v>31</v>
      </c>
      <c r="D4053" t="s">
        <v>17</v>
      </c>
      <c r="E4053" t="s">
        <v>67</v>
      </c>
      <c r="F4053">
        <v>58727997</v>
      </c>
      <c r="G4053">
        <v>58728059</v>
      </c>
      <c r="H4053">
        <v>58727997</v>
      </c>
      <c r="I4053">
        <v>58728059</v>
      </c>
    </row>
    <row r="4054" spans="1:9" x14ac:dyDescent="0.2">
      <c r="A4054" t="str">
        <f>"Cldn26"</f>
        <v>Cldn26</v>
      </c>
      <c r="B4054" t="s">
        <v>14</v>
      </c>
      <c r="C4054" t="s">
        <v>31</v>
      </c>
      <c r="D4054" t="s">
        <v>11</v>
      </c>
      <c r="E4054" t="s">
        <v>12</v>
      </c>
      <c r="F4054">
        <v>8425104</v>
      </c>
      <c r="G4054">
        <v>8425144</v>
      </c>
      <c r="H4054">
        <v>8425150</v>
      </c>
      <c r="I4054">
        <v>8425161</v>
      </c>
    </row>
    <row r="4055" spans="1:9" x14ac:dyDescent="0.2">
      <c r="A4055" t="str">
        <f>"Cldn3"</f>
        <v>Cldn3</v>
      </c>
      <c r="B4055" t="s">
        <v>14</v>
      </c>
      <c r="C4055" t="s">
        <v>46</v>
      </c>
      <c r="D4055" t="s">
        <v>17</v>
      </c>
      <c r="E4055" t="s">
        <v>12</v>
      </c>
      <c r="F4055">
        <v>134986191</v>
      </c>
      <c r="G4055">
        <v>134986270</v>
      </c>
      <c r="H4055">
        <v>134986302</v>
      </c>
      <c r="I4055">
        <v>134986323</v>
      </c>
    </row>
    <row r="4056" spans="1:9" x14ac:dyDescent="0.2">
      <c r="A4056" t="str">
        <f>"Cldn4"</f>
        <v>Cldn4</v>
      </c>
      <c r="B4056" t="s">
        <v>14</v>
      </c>
      <c r="C4056" t="s">
        <v>46</v>
      </c>
      <c r="D4056" t="s">
        <v>11</v>
      </c>
      <c r="E4056" t="s">
        <v>12</v>
      </c>
      <c r="F4056">
        <v>134946917</v>
      </c>
      <c r="G4056">
        <v>134946945</v>
      </c>
      <c r="H4056">
        <v>134946896</v>
      </c>
      <c r="I4056">
        <v>134946906</v>
      </c>
    </row>
    <row r="4057" spans="1:9" x14ac:dyDescent="0.2">
      <c r="A4057" t="str">
        <f>"Cldn5"</f>
        <v>Cldn5</v>
      </c>
      <c r="B4057" t="s">
        <v>14</v>
      </c>
      <c r="C4057" t="s">
        <v>31</v>
      </c>
      <c r="D4057" t="s">
        <v>17</v>
      </c>
      <c r="E4057" t="s">
        <v>12</v>
      </c>
      <c r="F4057">
        <v>18776839</v>
      </c>
      <c r="G4057">
        <v>18776856</v>
      </c>
      <c r="H4057">
        <v>18776839</v>
      </c>
      <c r="I4057">
        <v>18776856</v>
      </c>
    </row>
    <row r="4058" spans="1:9" x14ac:dyDescent="0.2">
      <c r="A4058" t="str">
        <f>"Cldn6"</f>
        <v>Cldn6</v>
      </c>
      <c r="B4058" t="s">
        <v>14</v>
      </c>
      <c r="C4058" t="s">
        <v>28</v>
      </c>
      <c r="D4058" t="s">
        <v>17</v>
      </c>
      <c r="E4058" t="s">
        <v>12</v>
      </c>
      <c r="F4058">
        <v>23679363</v>
      </c>
      <c r="G4058">
        <v>23679377</v>
      </c>
      <c r="H4058">
        <v>23679238</v>
      </c>
      <c r="I4058">
        <v>23679260</v>
      </c>
    </row>
    <row r="4059" spans="1:9" x14ac:dyDescent="0.2">
      <c r="A4059" t="str">
        <f>"Cldn7"</f>
        <v>Cldn7</v>
      </c>
      <c r="B4059" t="s">
        <v>9</v>
      </c>
      <c r="C4059" t="s">
        <v>27</v>
      </c>
      <c r="D4059" t="s">
        <v>17</v>
      </c>
      <c r="E4059" t="s">
        <v>12</v>
      </c>
      <c r="F4059">
        <v>69965493</v>
      </c>
      <c r="G4059">
        <v>69965510</v>
      </c>
      <c r="H4059">
        <v>69965493</v>
      </c>
      <c r="I4059">
        <v>69965510</v>
      </c>
    </row>
    <row r="4060" spans="1:9" x14ac:dyDescent="0.2">
      <c r="A4060" t="str">
        <f>"Cldn7"</f>
        <v>Cldn7</v>
      </c>
      <c r="B4060" t="s">
        <v>13</v>
      </c>
      <c r="C4060" t="s">
        <v>27</v>
      </c>
      <c r="D4060" t="s">
        <v>17</v>
      </c>
      <c r="E4060" t="s">
        <v>12</v>
      </c>
      <c r="F4060">
        <v>69966896</v>
      </c>
      <c r="G4060">
        <v>69966911</v>
      </c>
      <c r="H4060">
        <v>69966896</v>
      </c>
      <c r="I4060">
        <v>69966911</v>
      </c>
    </row>
    <row r="4061" spans="1:9" x14ac:dyDescent="0.2">
      <c r="A4061" t="str">
        <f>"Cldn8"</f>
        <v>Cldn8</v>
      </c>
      <c r="B4061" t="s">
        <v>14</v>
      </c>
      <c r="C4061" t="s">
        <v>31</v>
      </c>
      <c r="D4061" t="s">
        <v>11</v>
      </c>
      <c r="E4061" t="s">
        <v>12</v>
      </c>
      <c r="F4061">
        <v>88563166</v>
      </c>
      <c r="G4061">
        <v>88563200</v>
      </c>
      <c r="H4061">
        <v>88563149</v>
      </c>
      <c r="I4061">
        <v>88563164</v>
      </c>
    </row>
    <row r="4062" spans="1:9" x14ac:dyDescent="0.2">
      <c r="A4062" t="str">
        <f>"Cldn9"</f>
        <v>Cldn9</v>
      </c>
      <c r="B4062" t="s">
        <v>14</v>
      </c>
      <c r="C4062" t="s">
        <v>28</v>
      </c>
      <c r="D4062" t="s">
        <v>11</v>
      </c>
      <c r="E4062" t="s">
        <v>12</v>
      </c>
      <c r="F4062">
        <v>23684019</v>
      </c>
      <c r="G4062">
        <v>23684032</v>
      </c>
      <c r="H4062">
        <v>23684019</v>
      </c>
      <c r="I4062">
        <v>23684032</v>
      </c>
    </row>
    <row r="4063" spans="1:9" x14ac:dyDescent="0.2">
      <c r="A4063" t="str">
        <f>"Cldnd2"</f>
        <v>Cldnd2</v>
      </c>
      <c r="B4063" t="s">
        <v>14</v>
      </c>
      <c r="C4063" t="s">
        <v>33</v>
      </c>
      <c r="D4063" t="s">
        <v>17</v>
      </c>
      <c r="E4063" t="s">
        <v>12</v>
      </c>
      <c r="F4063">
        <v>43440821</v>
      </c>
      <c r="G4063">
        <v>43440840</v>
      </c>
      <c r="H4063">
        <v>43440845</v>
      </c>
      <c r="I4063">
        <v>43440855</v>
      </c>
    </row>
    <row r="4064" spans="1:9" x14ac:dyDescent="0.2">
      <c r="A4064" t="str">
        <f>"Clec10a"</f>
        <v>Clec10a</v>
      </c>
      <c r="B4064" t="s">
        <v>14</v>
      </c>
      <c r="C4064" t="s">
        <v>27</v>
      </c>
      <c r="D4064" t="s">
        <v>17</v>
      </c>
      <c r="E4064" t="s">
        <v>12</v>
      </c>
      <c r="F4064">
        <v>70166648</v>
      </c>
      <c r="G4064">
        <v>70166663</v>
      </c>
      <c r="H4064">
        <v>70166669</v>
      </c>
      <c r="I4064">
        <v>70166690</v>
      </c>
    </row>
    <row r="4065" spans="1:9" x14ac:dyDescent="0.2">
      <c r="A4065" t="str">
        <f>"Clec11a"</f>
        <v>Clec11a</v>
      </c>
      <c r="B4065" t="s">
        <v>14</v>
      </c>
      <c r="C4065" t="s">
        <v>33</v>
      </c>
      <c r="D4065" t="s">
        <v>11</v>
      </c>
      <c r="E4065" t="s">
        <v>12</v>
      </c>
      <c r="F4065">
        <v>44306903</v>
      </c>
      <c r="G4065">
        <v>44306953</v>
      </c>
      <c r="H4065">
        <v>44306903</v>
      </c>
      <c r="I4065">
        <v>44306953</v>
      </c>
    </row>
    <row r="4066" spans="1:9" x14ac:dyDescent="0.2">
      <c r="A4066" t="str">
        <f>"Clec12a"</f>
        <v>Clec12a</v>
      </c>
      <c r="B4066" t="s">
        <v>14</v>
      </c>
      <c r="C4066" t="s">
        <v>32</v>
      </c>
      <c r="D4066" t="s">
        <v>17</v>
      </c>
      <c r="E4066" t="s">
        <v>12</v>
      </c>
      <c r="F4066">
        <v>129350282</v>
      </c>
      <c r="G4066">
        <v>129350297</v>
      </c>
      <c r="H4066">
        <v>129350309</v>
      </c>
      <c r="I4066">
        <v>129350331</v>
      </c>
    </row>
    <row r="4067" spans="1:9" x14ac:dyDescent="0.2">
      <c r="A4067" t="str">
        <f>"Clec12b"</f>
        <v>Clec12b</v>
      </c>
      <c r="B4067" t="s">
        <v>14</v>
      </c>
      <c r="C4067" t="s">
        <v>32</v>
      </c>
      <c r="D4067" t="s">
        <v>11</v>
      </c>
      <c r="E4067" t="s">
        <v>12</v>
      </c>
      <c r="F4067">
        <v>129385497</v>
      </c>
      <c r="G4067">
        <v>129385510</v>
      </c>
      <c r="H4067">
        <v>129385475</v>
      </c>
      <c r="I4067">
        <v>129385486</v>
      </c>
    </row>
    <row r="4068" spans="1:9" x14ac:dyDescent="0.2">
      <c r="A4068" t="str">
        <f>"Clec14a"</f>
        <v>Clec14a</v>
      </c>
      <c r="B4068" t="s">
        <v>14</v>
      </c>
      <c r="C4068" t="s">
        <v>16</v>
      </c>
      <c r="D4068" t="s">
        <v>11</v>
      </c>
      <c r="E4068" t="s">
        <v>12</v>
      </c>
      <c r="F4068">
        <v>58268840</v>
      </c>
      <c r="G4068">
        <v>58268906</v>
      </c>
      <c r="H4068">
        <v>58268930</v>
      </c>
      <c r="I4068">
        <v>58268943</v>
      </c>
    </row>
    <row r="4069" spans="1:9" x14ac:dyDescent="0.2">
      <c r="A4069" t="str">
        <f>"Clec16a"</f>
        <v>Clec16a</v>
      </c>
      <c r="B4069" t="s">
        <v>14</v>
      </c>
      <c r="C4069" t="s">
        <v>31</v>
      </c>
      <c r="D4069" t="s">
        <v>17</v>
      </c>
      <c r="E4069" t="s">
        <v>12</v>
      </c>
      <c r="F4069">
        <v>10545390</v>
      </c>
      <c r="G4069">
        <v>10545427</v>
      </c>
      <c r="H4069">
        <v>10545358</v>
      </c>
      <c r="I4069">
        <v>10545388</v>
      </c>
    </row>
    <row r="4070" spans="1:9" x14ac:dyDescent="0.2">
      <c r="A4070" t="str">
        <f>"Clec18a"</f>
        <v>Clec18a</v>
      </c>
      <c r="B4070" t="s">
        <v>14</v>
      </c>
      <c r="C4070" t="s">
        <v>30</v>
      </c>
      <c r="D4070" t="s">
        <v>11</v>
      </c>
      <c r="E4070" t="s">
        <v>12</v>
      </c>
      <c r="F4070">
        <v>111081695</v>
      </c>
      <c r="G4070">
        <v>111081730</v>
      </c>
      <c r="H4070">
        <v>111081695</v>
      </c>
      <c r="I4070">
        <v>111081730</v>
      </c>
    </row>
    <row r="4071" spans="1:9" x14ac:dyDescent="0.2">
      <c r="A4071" t="str">
        <f>"Clec1a"</f>
        <v>Clec1a</v>
      </c>
      <c r="B4071" t="s">
        <v>14</v>
      </c>
      <c r="C4071" t="s">
        <v>32</v>
      </c>
      <c r="D4071" t="s">
        <v>11</v>
      </c>
      <c r="E4071" t="s">
        <v>12</v>
      </c>
      <c r="F4071">
        <v>129451783</v>
      </c>
      <c r="G4071">
        <v>129451864</v>
      </c>
      <c r="H4071">
        <v>129451739</v>
      </c>
      <c r="I4071">
        <v>129451752</v>
      </c>
    </row>
    <row r="4072" spans="1:9" x14ac:dyDescent="0.2">
      <c r="A4072" t="str">
        <f>"Clec1b"</f>
        <v>Clec1b</v>
      </c>
      <c r="B4072" t="s">
        <v>14</v>
      </c>
      <c r="C4072" t="s">
        <v>32</v>
      </c>
      <c r="D4072" t="s">
        <v>17</v>
      </c>
      <c r="E4072" t="s">
        <v>12</v>
      </c>
      <c r="F4072">
        <v>129397478</v>
      </c>
      <c r="G4072">
        <v>129397498</v>
      </c>
      <c r="H4072">
        <v>129397308</v>
      </c>
      <c r="I4072">
        <v>129397332</v>
      </c>
    </row>
    <row r="4073" spans="1:9" x14ac:dyDescent="0.2">
      <c r="A4073" t="str">
        <f>"Clec2d"</f>
        <v>Clec2d</v>
      </c>
      <c r="B4073" t="s">
        <v>14</v>
      </c>
      <c r="C4073" t="s">
        <v>32</v>
      </c>
      <c r="D4073" t="s">
        <v>17</v>
      </c>
      <c r="E4073" t="s">
        <v>12</v>
      </c>
      <c r="F4073">
        <v>129180613</v>
      </c>
      <c r="G4073">
        <v>129180630</v>
      </c>
      <c r="H4073">
        <v>129180639</v>
      </c>
      <c r="I4073">
        <v>129180656</v>
      </c>
    </row>
    <row r="4074" spans="1:9" x14ac:dyDescent="0.2">
      <c r="A4074" t="str">
        <f>"Clec2e"</f>
        <v>Clec2e</v>
      </c>
      <c r="B4074" t="s">
        <v>14</v>
      </c>
      <c r="C4074" t="s">
        <v>32</v>
      </c>
      <c r="D4074" t="s">
        <v>11</v>
      </c>
      <c r="E4074" t="s">
        <v>12</v>
      </c>
      <c r="F4074">
        <v>129100904</v>
      </c>
      <c r="G4074">
        <v>129100925</v>
      </c>
      <c r="H4074">
        <v>129100938</v>
      </c>
      <c r="I4074">
        <v>129100947</v>
      </c>
    </row>
    <row r="4075" spans="1:9" x14ac:dyDescent="0.2">
      <c r="A4075" t="str">
        <f>"Clec2g"</f>
        <v>Clec2g</v>
      </c>
      <c r="B4075" t="s">
        <v>14</v>
      </c>
      <c r="C4075" t="s">
        <v>32</v>
      </c>
      <c r="D4075" t="s">
        <v>17</v>
      </c>
      <c r="E4075" t="s">
        <v>12</v>
      </c>
      <c r="F4075">
        <v>128934373</v>
      </c>
      <c r="G4075">
        <v>128934387</v>
      </c>
      <c r="H4075">
        <v>128934373</v>
      </c>
      <c r="I4075">
        <v>128934387</v>
      </c>
    </row>
    <row r="4076" spans="1:9" x14ac:dyDescent="0.2">
      <c r="A4076" t="str">
        <f>"Clec2h"</f>
        <v>Clec2h</v>
      </c>
      <c r="B4076" t="s">
        <v>14</v>
      </c>
      <c r="C4076" t="s">
        <v>32</v>
      </c>
      <c r="D4076" t="s">
        <v>17</v>
      </c>
      <c r="E4076" t="s">
        <v>12</v>
      </c>
      <c r="F4076">
        <v>128662379</v>
      </c>
      <c r="G4076">
        <v>128662396</v>
      </c>
      <c r="H4076">
        <v>128662379</v>
      </c>
      <c r="I4076">
        <v>128662396</v>
      </c>
    </row>
    <row r="4077" spans="1:9" x14ac:dyDescent="0.2">
      <c r="A4077" t="str">
        <f>"Clec2i"</f>
        <v>Clec2i</v>
      </c>
      <c r="B4077" t="s">
        <v>14</v>
      </c>
      <c r="C4077" t="s">
        <v>32</v>
      </c>
      <c r="D4077" t="s">
        <v>17</v>
      </c>
      <c r="E4077" t="s">
        <v>12</v>
      </c>
      <c r="F4077">
        <v>128887586</v>
      </c>
      <c r="G4077">
        <v>128887592</v>
      </c>
      <c r="H4077">
        <v>128887634</v>
      </c>
      <c r="I4077">
        <v>128887642</v>
      </c>
    </row>
    <row r="4078" spans="1:9" x14ac:dyDescent="0.2">
      <c r="A4078" t="str">
        <f>"Clec2j"</f>
        <v>Clec2j</v>
      </c>
      <c r="B4078" t="s">
        <v>2302</v>
      </c>
      <c r="C4078" t="s">
        <v>32</v>
      </c>
      <c r="D4078" t="s">
        <v>11</v>
      </c>
      <c r="E4078" t="s">
        <v>20</v>
      </c>
      <c r="F4078">
        <v>128657031</v>
      </c>
      <c r="G4078">
        <v>128657031</v>
      </c>
      <c r="H4078">
        <v>128657031</v>
      </c>
      <c r="I4078">
        <v>128657031</v>
      </c>
    </row>
    <row r="4079" spans="1:9" x14ac:dyDescent="0.2">
      <c r="A4079" t="str">
        <f>"Clec2l"</f>
        <v>Clec2l</v>
      </c>
      <c r="B4079" t="s">
        <v>14</v>
      </c>
      <c r="C4079" t="s">
        <v>32</v>
      </c>
      <c r="D4079" t="s">
        <v>17</v>
      </c>
      <c r="E4079" t="s">
        <v>12</v>
      </c>
      <c r="F4079">
        <v>38663061</v>
      </c>
      <c r="G4079">
        <v>38663119</v>
      </c>
      <c r="H4079">
        <v>38663019</v>
      </c>
      <c r="I4079">
        <v>38663060</v>
      </c>
    </row>
    <row r="4080" spans="1:9" x14ac:dyDescent="0.2">
      <c r="A4080" t="str">
        <f>"Clec3a"</f>
        <v>Clec3a</v>
      </c>
      <c r="B4080" t="s">
        <v>14</v>
      </c>
      <c r="C4080" t="s">
        <v>30</v>
      </c>
      <c r="D4080" t="s">
        <v>17</v>
      </c>
      <c r="E4080" t="s">
        <v>12</v>
      </c>
      <c r="F4080">
        <v>114417995</v>
      </c>
      <c r="G4080">
        <v>114418011</v>
      </c>
      <c r="H4080">
        <v>114417995</v>
      </c>
      <c r="I4080">
        <v>114418011</v>
      </c>
    </row>
    <row r="4081" spans="1:9" x14ac:dyDescent="0.2">
      <c r="A4081" t="str">
        <f>"Clec3b"</f>
        <v>Clec3b</v>
      </c>
      <c r="B4081" t="s">
        <v>14</v>
      </c>
      <c r="C4081" t="s">
        <v>24</v>
      </c>
      <c r="D4081" t="s">
        <v>17</v>
      </c>
      <c r="E4081" t="s">
        <v>12</v>
      </c>
      <c r="F4081">
        <v>123150941</v>
      </c>
      <c r="G4081">
        <v>123151021</v>
      </c>
      <c r="H4081">
        <v>123150817</v>
      </c>
      <c r="I4081">
        <v>123150851</v>
      </c>
    </row>
    <row r="4082" spans="1:9" x14ac:dyDescent="0.2">
      <c r="A4082" t="str">
        <f>"Clec4a1"</f>
        <v>Clec4a1</v>
      </c>
      <c r="B4082" t="s">
        <v>14</v>
      </c>
      <c r="C4082" t="s">
        <v>32</v>
      </c>
      <c r="D4082" t="s">
        <v>17</v>
      </c>
      <c r="E4082" t="s">
        <v>12</v>
      </c>
      <c r="F4082">
        <v>122921805</v>
      </c>
      <c r="G4082">
        <v>122921865</v>
      </c>
      <c r="H4082">
        <v>122921789</v>
      </c>
      <c r="I4082">
        <v>122921799</v>
      </c>
    </row>
    <row r="4083" spans="1:9" x14ac:dyDescent="0.2">
      <c r="A4083" t="str">
        <f>"Clec4a2"</f>
        <v>Clec4a2</v>
      </c>
      <c r="B4083" t="s">
        <v>14</v>
      </c>
      <c r="C4083" t="s">
        <v>32</v>
      </c>
      <c r="D4083" t="s">
        <v>17</v>
      </c>
      <c r="E4083" t="s">
        <v>12</v>
      </c>
      <c r="F4083">
        <v>123123385</v>
      </c>
      <c r="G4083">
        <v>123123416</v>
      </c>
      <c r="H4083">
        <v>123123313</v>
      </c>
      <c r="I4083">
        <v>123123342</v>
      </c>
    </row>
    <row r="4084" spans="1:9" x14ac:dyDescent="0.2">
      <c r="A4084" t="str">
        <f>"Clec4a3"</f>
        <v>Clec4a3</v>
      </c>
      <c r="B4084" t="s">
        <v>14</v>
      </c>
      <c r="C4084" t="s">
        <v>32</v>
      </c>
      <c r="D4084" t="s">
        <v>17</v>
      </c>
      <c r="E4084" t="s">
        <v>12</v>
      </c>
      <c r="F4084">
        <v>122952701</v>
      </c>
      <c r="G4084">
        <v>122952763</v>
      </c>
      <c r="H4084">
        <v>122952684</v>
      </c>
      <c r="I4084">
        <v>122952697</v>
      </c>
    </row>
    <row r="4085" spans="1:9" x14ac:dyDescent="0.2">
      <c r="A4085" t="str">
        <f>"Clec4a4"</f>
        <v>Clec4a4</v>
      </c>
      <c r="B4085" t="s">
        <v>14</v>
      </c>
      <c r="C4085" t="s">
        <v>32</v>
      </c>
      <c r="D4085" t="s">
        <v>17</v>
      </c>
      <c r="E4085" t="s">
        <v>12</v>
      </c>
      <c r="F4085">
        <v>122990287</v>
      </c>
      <c r="G4085">
        <v>122990318</v>
      </c>
      <c r="H4085">
        <v>122990287</v>
      </c>
      <c r="I4085">
        <v>122990318</v>
      </c>
    </row>
    <row r="4086" spans="1:9" x14ac:dyDescent="0.2">
      <c r="A4086" t="str">
        <f>"Clec4b1"</f>
        <v>Clec4b1</v>
      </c>
      <c r="B4086" t="s">
        <v>14</v>
      </c>
      <c r="C4086" t="s">
        <v>32</v>
      </c>
      <c r="D4086" t="s">
        <v>17</v>
      </c>
      <c r="E4086" t="s">
        <v>12</v>
      </c>
      <c r="F4086">
        <v>123050000</v>
      </c>
      <c r="G4086">
        <v>123050011</v>
      </c>
      <c r="H4086">
        <v>123050043</v>
      </c>
      <c r="I4086">
        <v>123050059</v>
      </c>
    </row>
    <row r="4087" spans="1:9" x14ac:dyDescent="0.2">
      <c r="A4087" t="str">
        <f>"Clec4b2"</f>
        <v>Clec4b2</v>
      </c>
      <c r="B4087" t="s">
        <v>14</v>
      </c>
      <c r="C4087" t="s">
        <v>32</v>
      </c>
      <c r="D4087" t="s">
        <v>17</v>
      </c>
      <c r="E4087" t="s">
        <v>12</v>
      </c>
      <c r="F4087">
        <v>123172889</v>
      </c>
      <c r="G4087">
        <v>123172896</v>
      </c>
      <c r="H4087">
        <v>123172889</v>
      </c>
      <c r="I4087">
        <v>123172896</v>
      </c>
    </row>
    <row r="4088" spans="1:9" x14ac:dyDescent="0.2">
      <c r="A4088" t="str">
        <f>"Clec4d"</f>
        <v>Clec4d</v>
      </c>
      <c r="B4088" t="s">
        <v>14</v>
      </c>
      <c r="C4088" t="s">
        <v>32</v>
      </c>
      <c r="D4088" t="s">
        <v>17</v>
      </c>
      <c r="E4088" t="s">
        <v>12</v>
      </c>
      <c r="F4088">
        <v>123262161</v>
      </c>
      <c r="G4088">
        <v>123262185</v>
      </c>
      <c r="H4088">
        <v>123262161</v>
      </c>
      <c r="I4088">
        <v>123262185</v>
      </c>
    </row>
    <row r="4089" spans="1:9" x14ac:dyDescent="0.2">
      <c r="A4089" t="str">
        <f>"Clec4e"</f>
        <v>Clec4e</v>
      </c>
      <c r="B4089" t="s">
        <v>14</v>
      </c>
      <c r="C4089" t="s">
        <v>32</v>
      </c>
      <c r="D4089" t="s">
        <v>11</v>
      </c>
      <c r="E4089" t="s">
        <v>12</v>
      </c>
      <c r="F4089">
        <v>123289862</v>
      </c>
      <c r="G4089">
        <v>123289876</v>
      </c>
      <c r="H4089">
        <v>123289862</v>
      </c>
      <c r="I4089">
        <v>123289876</v>
      </c>
    </row>
    <row r="4090" spans="1:9" x14ac:dyDescent="0.2">
      <c r="A4090" t="str">
        <f>"Clec4f"</f>
        <v>Clec4f</v>
      </c>
      <c r="B4090" t="s">
        <v>14</v>
      </c>
      <c r="C4090" t="s">
        <v>32</v>
      </c>
      <c r="D4090" t="s">
        <v>11</v>
      </c>
      <c r="E4090" t="s">
        <v>12</v>
      </c>
      <c r="F4090">
        <v>83656082</v>
      </c>
      <c r="G4090">
        <v>83656125</v>
      </c>
      <c r="H4090">
        <v>83656082</v>
      </c>
      <c r="I4090">
        <v>83656125</v>
      </c>
    </row>
    <row r="4091" spans="1:9" x14ac:dyDescent="0.2">
      <c r="A4091" t="str">
        <f>"Clec4g"</f>
        <v>Clec4g</v>
      </c>
      <c r="B4091" t="s">
        <v>9</v>
      </c>
      <c r="C4091" t="s">
        <v>30</v>
      </c>
      <c r="D4091" t="s">
        <v>11</v>
      </c>
      <c r="E4091" t="s">
        <v>12</v>
      </c>
      <c r="F4091">
        <v>3720640</v>
      </c>
      <c r="G4091">
        <v>3720682</v>
      </c>
      <c r="H4091">
        <v>3720640</v>
      </c>
      <c r="I4091">
        <v>3720682</v>
      </c>
    </row>
    <row r="4092" spans="1:9" x14ac:dyDescent="0.2">
      <c r="A4092" t="str">
        <f>"Clec4g"</f>
        <v>Clec4g</v>
      </c>
      <c r="B4092" t="s">
        <v>13</v>
      </c>
      <c r="C4092" t="s">
        <v>30</v>
      </c>
      <c r="D4092" t="s">
        <v>11</v>
      </c>
      <c r="E4092" t="s">
        <v>12</v>
      </c>
      <c r="F4092">
        <v>3717562</v>
      </c>
      <c r="G4092">
        <v>3717582</v>
      </c>
      <c r="H4092">
        <v>3717562</v>
      </c>
      <c r="I4092">
        <v>3717582</v>
      </c>
    </row>
    <row r="4093" spans="1:9" x14ac:dyDescent="0.2">
      <c r="A4093" t="str">
        <f>"Clec4n"</f>
        <v>Clec4n</v>
      </c>
      <c r="B4093" t="s">
        <v>14</v>
      </c>
      <c r="C4093" t="s">
        <v>32</v>
      </c>
      <c r="D4093" t="s">
        <v>17</v>
      </c>
      <c r="E4093" t="s">
        <v>12</v>
      </c>
      <c r="F4093">
        <v>123229847</v>
      </c>
      <c r="G4093">
        <v>123229863</v>
      </c>
      <c r="H4093">
        <v>123229847</v>
      </c>
      <c r="I4093">
        <v>123229863</v>
      </c>
    </row>
    <row r="4094" spans="1:9" x14ac:dyDescent="0.2">
      <c r="A4094" t="str">
        <f>"Clec5a"</f>
        <v>Clec5a</v>
      </c>
      <c r="B4094" t="s">
        <v>14</v>
      </c>
      <c r="C4094" t="s">
        <v>32</v>
      </c>
      <c r="D4094" t="s">
        <v>11</v>
      </c>
      <c r="E4094" t="s">
        <v>12</v>
      </c>
      <c r="F4094">
        <v>40585783</v>
      </c>
      <c r="G4094">
        <v>40585811</v>
      </c>
      <c r="H4094">
        <v>40585831</v>
      </c>
      <c r="I4094">
        <v>40585847</v>
      </c>
    </row>
    <row r="4095" spans="1:9" x14ac:dyDescent="0.2">
      <c r="A4095" t="str">
        <f>"Clec9a"</f>
        <v>Clec9a</v>
      </c>
      <c r="B4095" t="s">
        <v>14</v>
      </c>
      <c r="C4095" t="s">
        <v>32</v>
      </c>
      <c r="D4095" t="s">
        <v>17</v>
      </c>
      <c r="E4095" t="s">
        <v>12</v>
      </c>
      <c r="F4095">
        <v>129408854</v>
      </c>
      <c r="G4095">
        <v>129408876</v>
      </c>
      <c r="H4095">
        <v>129408916</v>
      </c>
      <c r="I4095">
        <v>129408927</v>
      </c>
    </row>
    <row r="4096" spans="1:9" x14ac:dyDescent="0.2">
      <c r="A4096" t="str">
        <f>"Clgn"</f>
        <v>Clgn</v>
      </c>
      <c r="B4096" t="s">
        <v>14</v>
      </c>
      <c r="C4096" t="s">
        <v>30</v>
      </c>
      <c r="D4096" t="s">
        <v>17</v>
      </c>
      <c r="E4096" t="s">
        <v>12</v>
      </c>
      <c r="F4096">
        <v>83389846</v>
      </c>
      <c r="G4096">
        <v>83389872</v>
      </c>
      <c r="H4096">
        <v>83389834</v>
      </c>
      <c r="I4096">
        <v>83389845</v>
      </c>
    </row>
    <row r="4097" spans="1:9" x14ac:dyDescent="0.2">
      <c r="A4097" t="str">
        <f>"Clhc1"</f>
        <v>Clhc1</v>
      </c>
      <c r="B4097" t="s">
        <v>14</v>
      </c>
      <c r="C4097" t="s">
        <v>27</v>
      </c>
      <c r="D4097" t="s">
        <v>17</v>
      </c>
      <c r="E4097" t="s">
        <v>67</v>
      </c>
      <c r="F4097">
        <v>29547965</v>
      </c>
      <c r="G4097">
        <v>29547975</v>
      </c>
      <c r="H4097">
        <v>29547934</v>
      </c>
      <c r="I4097">
        <v>29547943</v>
      </c>
    </row>
    <row r="4098" spans="1:9" x14ac:dyDescent="0.2">
      <c r="A4098" t="str">
        <f>"Clic1"</f>
        <v>Clic1</v>
      </c>
      <c r="B4098" t="s">
        <v>14</v>
      </c>
      <c r="C4098" t="s">
        <v>28</v>
      </c>
      <c r="D4098" t="s">
        <v>17</v>
      </c>
      <c r="E4098" t="s">
        <v>12</v>
      </c>
      <c r="F4098">
        <v>35050397</v>
      </c>
      <c r="G4098">
        <v>35050450</v>
      </c>
      <c r="H4098">
        <v>35050245</v>
      </c>
      <c r="I4098">
        <v>35050272</v>
      </c>
    </row>
    <row r="4099" spans="1:9" x14ac:dyDescent="0.2">
      <c r="A4099" t="str">
        <f>"Clic3"</f>
        <v>Clic3</v>
      </c>
      <c r="B4099" t="s">
        <v>14</v>
      </c>
      <c r="C4099" t="s">
        <v>26</v>
      </c>
      <c r="D4099" t="s">
        <v>17</v>
      </c>
      <c r="E4099" t="s">
        <v>12</v>
      </c>
      <c r="F4099">
        <v>25456830</v>
      </c>
      <c r="G4099">
        <v>25456850</v>
      </c>
      <c r="H4099">
        <v>25457632</v>
      </c>
      <c r="I4099">
        <v>25457670</v>
      </c>
    </row>
    <row r="4100" spans="1:9" x14ac:dyDescent="0.2">
      <c r="A4100" t="str">
        <f>"Clic4"</f>
        <v>Clic4</v>
      </c>
      <c r="B4100" t="s">
        <v>14</v>
      </c>
      <c r="C4100" t="s">
        <v>23</v>
      </c>
      <c r="D4100" t="s">
        <v>11</v>
      </c>
      <c r="E4100" t="s">
        <v>12</v>
      </c>
      <c r="F4100">
        <v>135272754</v>
      </c>
      <c r="G4100">
        <v>135272773</v>
      </c>
      <c r="H4100">
        <v>135272798</v>
      </c>
      <c r="I4100">
        <v>135272819</v>
      </c>
    </row>
    <row r="4101" spans="1:9" x14ac:dyDescent="0.2">
      <c r="A4101" t="str">
        <f>"Clic5"</f>
        <v>Clic5</v>
      </c>
      <c r="B4101" t="s">
        <v>14</v>
      </c>
      <c r="C4101" t="s">
        <v>28</v>
      </c>
      <c r="D4101" t="s">
        <v>17</v>
      </c>
      <c r="E4101" t="s">
        <v>12</v>
      </c>
      <c r="F4101">
        <v>44188564</v>
      </c>
      <c r="G4101">
        <v>44188594</v>
      </c>
      <c r="H4101">
        <v>44188603</v>
      </c>
      <c r="I4101">
        <v>44188618</v>
      </c>
    </row>
    <row r="4102" spans="1:9" x14ac:dyDescent="0.2">
      <c r="A4102" t="str">
        <f>"Clic6"</f>
        <v>Clic6</v>
      </c>
      <c r="B4102" t="s">
        <v>14</v>
      </c>
      <c r="C4102" t="s">
        <v>31</v>
      </c>
      <c r="D4102" t="s">
        <v>17</v>
      </c>
      <c r="E4102" t="s">
        <v>12</v>
      </c>
      <c r="F4102">
        <v>92498122</v>
      </c>
      <c r="G4102">
        <v>92498175</v>
      </c>
      <c r="H4102">
        <v>92498210</v>
      </c>
      <c r="I4102">
        <v>92498219</v>
      </c>
    </row>
    <row r="4103" spans="1:9" x14ac:dyDescent="0.2">
      <c r="A4103" t="str">
        <f>"Clint1"</f>
        <v>Clint1</v>
      </c>
      <c r="B4103" t="s">
        <v>14</v>
      </c>
      <c r="C4103" t="s">
        <v>27</v>
      </c>
      <c r="D4103" t="s">
        <v>17</v>
      </c>
      <c r="E4103" t="s">
        <v>12</v>
      </c>
      <c r="F4103">
        <v>45851955</v>
      </c>
      <c r="G4103">
        <v>45851996</v>
      </c>
      <c r="H4103">
        <v>45851997</v>
      </c>
      <c r="I4103">
        <v>45852019</v>
      </c>
    </row>
    <row r="4104" spans="1:9" x14ac:dyDescent="0.2">
      <c r="A4104" t="str">
        <f>"Clip1"</f>
        <v>Clip1</v>
      </c>
      <c r="B4104" t="s">
        <v>14</v>
      </c>
      <c r="C4104" t="s">
        <v>46</v>
      </c>
      <c r="D4104" t="s">
        <v>11</v>
      </c>
      <c r="E4104" t="s">
        <v>12</v>
      </c>
      <c r="F4104">
        <v>123684289</v>
      </c>
      <c r="G4104">
        <v>123684379</v>
      </c>
      <c r="H4104">
        <v>123684289</v>
      </c>
      <c r="I4104">
        <v>123684379</v>
      </c>
    </row>
    <row r="4105" spans="1:9" x14ac:dyDescent="0.2">
      <c r="A4105" t="str">
        <f>"Clip2"</f>
        <v>Clip2</v>
      </c>
      <c r="B4105" t="s">
        <v>14</v>
      </c>
      <c r="C4105" t="s">
        <v>46</v>
      </c>
      <c r="D4105" t="s">
        <v>11</v>
      </c>
      <c r="E4105" t="s">
        <v>12</v>
      </c>
      <c r="F4105">
        <v>134552139</v>
      </c>
      <c r="G4105">
        <v>134552233</v>
      </c>
      <c r="H4105">
        <v>134552414</v>
      </c>
      <c r="I4105">
        <v>134552444</v>
      </c>
    </row>
    <row r="4106" spans="1:9" x14ac:dyDescent="0.2">
      <c r="A4106" t="str">
        <f>"Clip3"</f>
        <v>Clip3</v>
      </c>
      <c r="B4106" t="s">
        <v>14</v>
      </c>
      <c r="C4106" t="s">
        <v>33</v>
      </c>
      <c r="D4106" t="s">
        <v>17</v>
      </c>
      <c r="E4106" t="s">
        <v>12</v>
      </c>
      <c r="F4106">
        <v>30291659</v>
      </c>
      <c r="G4106">
        <v>30291768</v>
      </c>
      <c r="H4106">
        <v>30291916</v>
      </c>
      <c r="I4106">
        <v>30291939</v>
      </c>
    </row>
    <row r="4107" spans="1:9" x14ac:dyDescent="0.2">
      <c r="A4107" t="str">
        <f>"Clip4"</f>
        <v>Clip4</v>
      </c>
      <c r="B4107" t="s">
        <v>9</v>
      </c>
      <c r="C4107" t="s">
        <v>28</v>
      </c>
      <c r="D4107" t="s">
        <v>17</v>
      </c>
      <c r="E4107" t="s">
        <v>12</v>
      </c>
      <c r="F4107">
        <v>71769684</v>
      </c>
      <c r="G4107">
        <v>71769725</v>
      </c>
      <c r="H4107">
        <v>71769684</v>
      </c>
      <c r="I4107">
        <v>71769725</v>
      </c>
    </row>
    <row r="4108" spans="1:9" x14ac:dyDescent="0.2">
      <c r="A4108" t="str">
        <f>"Clip4"</f>
        <v>Clip4</v>
      </c>
      <c r="B4108" t="s">
        <v>13</v>
      </c>
      <c r="C4108" t="s">
        <v>28</v>
      </c>
      <c r="D4108" t="s">
        <v>17</v>
      </c>
      <c r="E4108" t="s">
        <v>12</v>
      </c>
      <c r="F4108">
        <v>71781287</v>
      </c>
      <c r="G4108">
        <v>71781306</v>
      </c>
      <c r="H4108">
        <v>71781287</v>
      </c>
      <c r="I4108">
        <v>71781306</v>
      </c>
    </row>
    <row r="4109" spans="1:9" x14ac:dyDescent="0.2">
      <c r="A4109" t="str">
        <f>"Clk1"</f>
        <v>Clk1</v>
      </c>
      <c r="B4109" t="s">
        <v>14</v>
      </c>
      <c r="C4109" t="s">
        <v>19</v>
      </c>
      <c r="D4109" t="s">
        <v>11</v>
      </c>
      <c r="E4109" t="s">
        <v>12</v>
      </c>
      <c r="F4109">
        <v>58424007</v>
      </c>
      <c r="G4109">
        <v>58424028</v>
      </c>
      <c r="H4109">
        <v>58424042</v>
      </c>
      <c r="I4109">
        <v>58424064</v>
      </c>
    </row>
    <row r="4110" spans="1:9" x14ac:dyDescent="0.2">
      <c r="A4110" t="str">
        <f>"Clk2"</f>
        <v>Clk2</v>
      </c>
      <c r="B4110" t="s">
        <v>14</v>
      </c>
      <c r="C4110" t="s">
        <v>22</v>
      </c>
      <c r="D4110" t="s">
        <v>17</v>
      </c>
      <c r="E4110" t="s">
        <v>12</v>
      </c>
      <c r="F4110">
        <v>89164790</v>
      </c>
      <c r="G4110">
        <v>89164863</v>
      </c>
      <c r="H4110">
        <v>89164938</v>
      </c>
      <c r="I4110">
        <v>89164956</v>
      </c>
    </row>
    <row r="4111" spans="1:9" x14ac:dyDescent="0.2">
      <c r="A4111" t="str">
        <f>"Clk3"</f>
        <v>Clk3</v>
      </c>
      <c r="B4111" t="s">
        <v>14</v>
      </c>
      <c r="C4111" t="s">
        <v>24</v>
      </c>
      <c r="D4111" t="s">
        <v>11</v>
      </c>
      <c r="E4111" t="s">
        <v>12</v>
      </c>
      <c r="F4111">
        <v>57765879</v>
      </c>
      <c r="G4111">
        <v>57765908</v>
      </c>
      <c r="H4111">
        <v>57765879</v>
      </c>
      <c r="I4111">
        <v>57765908</v>
      </c>
    </row>
    <row r="4112" spans="1:9" x14ac:dyDescent="0.2">
      <c r="A4112" t="str">
        <f>"Clk4"</f>
        <v>Clk4</v>
      </c>
      <c r="B4112" t="s">
        <v>14</v>
      </c>
      <c r="C4112" t="s">
        <v>27</v>
      </c>
      <c r="D4112" t="s">
        <v>17</v>
      </c>
      <c r="E4112" t="s">
        <v>12</v>
      </c>
      <c r="F4112">
        <v>51263121</v>
      </c>
      <c r="G4112">
        <v>51263197</v>
      </c>
      <c r="H4112">
        <v>51263121</v>
      </c>
      <c r="I4112">
        <v>51263197</v>
      </c>
    </row>
    <row r="4113" spans="1:9" x14ac:dyDescent="0.2">
      <c r="A4113" t="str">
        <f>"Clmn"</f>
        <v>Clmn</v>
      </c>
      <c r="B4113" t="s">
        <v>14</v>
      </c>
      <c r="C4113" t="s">
        <v>16</v>
      </c>
      <c r="D4113" t="s">
        <v>11</v>
      </c>
      <c r="E4113" t="s">
        <v>12</v>
      </c>
      <c r="F4113">
        <v>104865082</v>
      </c>
      <c r="G4113">
        <v>104865138</v>
      </c>
      <c r="H4113">
        <v>104864957</v>
      </c>
      <c r="I4113">
        <v>104864991</v>
      </c>
    </row>
    <row r="4114" spans="1:9" x14ac:dyDescent="0.2">
      <c r="A4114" t="str">
        <f>"Clmp"</f>
        <v>Clmp</v>
      </c>
      <c r="B4114" t="s">
        <v>14</v>
      </c>
      <c r="C4114" t="s">
        <v>24</v>
      </c>
      <c r="D4114" t="s">
        <v>17</v>
      </c>
      <c r="E4114" t="s">
        <v>67</v>
      </c>
      <c r="F4114">
        <v>40686002</v>
      </c>
      <c r="G4114">
        <v>40686059</v>
      </c>
      <c r="H4114">
        <v>40685954</v>
      </c>
      <c r="I4114">
        <v>40685976</v>
      </c>
    </row>
    <row r="4115" spans="1:9" x14ac:dyDescent="0.2">
      <c r="A4115" t="str">
        <f>"Cln3"</f>
        <v>Cln3</v>
      </c>
      <c r="B4115" t="s">
        <v>14</v>
      </c>
      <c r="C4115" t="s">
        <v>33</v>
      </c>
      <c r="D4115" t="s">
        <v>11</v>
      </c>
      <c r="E4115" t="s">
        <v>12</v>
      </c>
      <c r="F4115">
        <v>126583327</v>
      </c>
      <c r="G4115">
        <v>126583371</v>
      </c>
      <c r="H4115">
        <v>126583177</v>
      </c>
      <c r="I4115">
        <v>126583255</v>
      </c>
    </row>
    <row r="4116" spans="1:9" x14ac:dyDescent="0.2">
      <c r="A4116" t="str">
        <f>"Cln5"</f>
        <v>Cln5</v>
      </c>
      <c r="B4116" t="s">
        <v>14</v>
      </c>
      <c r="C4116" t="s">
        <v>41</v>
      </c>
      <c r="D4116" t="s">
        <v>17</v>
      </c>
      <c r="E4116" t="s">
        <v>12</v>
      </c>
      <c r="F4116">
        <v>103070259</v>
      </c>
      <c r="G4116">
        <v>103070348</v>
      </c>
      <c r="H4116">
        <v>103070235</v>
      </c>
      <c r="I4116">
        <v>103070256</v>
      </c>
    </row>
    <row r="4117" spans="1:9" x14ac:dyDescent="0.2">
      <c r="A4117" t="str">
        <f>"Cln6"</f>
        <v>Cln6</v>
      </c>
      <c r="B4117" t="s">
        <v>14</v>
      </c>
      <c r="C4117" t="s">
        <v>24</v>
      </c>
      <c r="D4117" t="s">
        <v>17</v>
      </c>
      <c r="E4117" t="s">
        <v>12</v>
      </c>
      <c r="F4117">
        <v>62838767</v>
      </c>
      <c r="G4117">
        <v>62838816</v>
      </c>
      <c r="H4117">
        <v>62838831</v>
      </c>
      <c r="I4117">
        <v>62838886</v>
      </c>
    </row>
    <row r="4118" spans="1:9" x14ac:dyDescent="0.2">
      <c r="A4118" t="str">
        <f>"Cln8"</f>
        <v>Cln8</v>
      </c>
      <c r="B4118" t="s">
        <v>14</v>
      </c>
      <c r="C4118" t="s">
        <v>30</v>
      </c>
      <c r="D4118" t="s">
        <v>17</v>
      </c>
      <c r="E4118" t="s">
        <v>12</v>
      </c>
      <c r="F4118">
        <v>14888836</v>
      </c>
      <c r="G4118">
        <v>14888874</v>
      </c>
      <c r="H4118">
        <v>14888996</v>
      </c>
      <c r="I4118">
        <v>14889013</v>
      </c>
    </row>
    <row r="4119" spans="1:9" x14ac:dyDescent="0.2">
      <c r="A4119" t="str">
        <f>"Clnk"</f>
        <v>Clnk</v>
      </c>
      <c r="B4119" t="s">
        <v>14</v>
      </c>
      <c r="C4119" t="s">
        <v>46</v>
      </c>
      <c r="D4119" t="s">
        <v>11</v>
      </c>
      <c r="E4119" t="s">
        <v>12</v>
      </c>
      <c r="F4119">
        <v>38876708</v>
      </c>
      <c r="G4119">
        <v>38876757</v>
      </c>
      <c r="H4119">
        <v>38876708</v>
      </c>
      <c r="I4119">
        <v>38876757</v>
      </c>
    </row>
    <row r="4120" spans="1:9" x14ac:dyDescent="0.2">
      <c r="A4120" t="str">
        <f>"Clns1a"</f>
        <v>Clns1a</v>
      </c>
      <c r="B4120" t="s">
        <v>14</v>
      </c>
      <c r="C4120" t="s">
        <v>33</v>
      </c>
      <c r="D4120" t="s">
        <v>17</v>
      </c>
      <c r="E4120" t="s">
        <v>12</v>
      </c>
      <c r="F4120">
        <v>97696645</v>
      </c>
      <c r="G4120">
        <v>97696725</v>
      </c>
      <c r="H4120">
        <v>97696575</v>
      </c>
      <c r="I4120">
        <v>97696595</v>
      </c>
    </row>
    <row r="4121" spans="1:9" x14ac:dyDescent="0.2">
      <c r="A4121" t="str">
        <f>"Clock"</f>
        <v>Clock</v>
      </c>
      <c r="B4121" t="s">
        <v>14</v>
      </c>
      <c r="C4121" t="s">
        <v>46</v>
      </c>
      <c r="D4121" t="s">
        <v>11</v>
      </c>
      <c r="E4121" t="s">
        <v>12</v>
      </c>
      <c r="F4121">
        <v>76304731</v>
      </c>
      <c r="G4121">
        <v>76304790</v>
      </c>
      <c r="H4121">
        <v>76304474</v>
      </c>
      <c r="I4121">
        <v>76304507</v>
      </c>
    </row>
    <row r="4122" spans="1:9" x14ac:dyDescent="0.2">
      <c r="A4122" t="str">
        <f>"Clp1"</f>
        <v>Clp1</v>
      </c>
      <c r="B4122" t="s">
        <v>14</v>
      </c>
      <c r="C4122" t="s">
        <v>26</v>
      </c>
      <c r="D4122" t="s">
        <v>11</v>
      </c>
      <c r="E4122" t="s">
        <v>12</v>
      </c>
      <c r="F4122">
        <v>84727236</v>
      </c>
      <c r="G4122">
        <v>84727299</v>
      </c>
      <c r="H4122">
        <v>84727355</v>
      </c>
      <c r="I4122">
        <v>84727372</v>
      </c>
    </row>
    <row r="4123" spans="1:9" x14ac:dyDescent="0.2">
      <c r="A4123" t="str">
        <f>"Clpb"</f>
        <v>Clpb</v>
      </c>
      <c r="B4123" t="s">
        <v>14</v>
      </c>
      <c r="C4123" t="s">
        <v>33</v>
      </c>
      <c r="D4123" t="s">
        <v>17</v>
      </c>
      <c r="E4123" t="s">
        <v>12</v>
      </c>
      <c r="F4123">
        <v>101663741</v>
      </c>
      <c r="G4123">
        <v>101663790</v>
      </c>
      <c r="H4123">
        <v>101663635</v>
      </c>
      <c r="I4123">
        <v>101663679</v>
      </c>
    </row>
    <row r="4124" spans="1:9" x14ac:dyDescent="0.2">
      <c r="A4124" t="str">
        <f>"Clpp"</f>
        <v>Clpp</v>
      </c>
      <c r="B4124" t="s">
        <v>14</v>
      </c>
      <c r="C4124" t="s">
        <v>28</v>
      </c>
      <c r="D4124" t="s">
        <v>17</v>
      </c>
      <c r="E4124" t="s">
        <v>12</v>
      </c>
      <c r="F4124">
        <v>56990284</v>
      </c>
      <c r="G4124">
        <v>56990330</v>
      </c>
      <c r="H4124">
        <v>56990284</v>
      </c>
      <c r="I4124">
        <v>56990330</v>
      </c>
    </row>
    <row r="4125" spans="1:9" x14ac:dyDescent="0.2">
      <c r="A4125" t="str">
        <f>"Clps"</f>
        <v>Clps</v>
      </c>
      <c r="B4125" t="s">
        <v>14</v>
      </c>
      <c r="C4125" t="s">
        <v>28</v>
      </c>
      <c r="D4125" t="s">
        <v>11</v>
      </c>
      <c r="E4125" t="s">
        <v>12</v>
      </c>
      <c r="F4125">
        <v>28560704</v>
      </c>
      <c r="G4125">
        <v>28560718</v>
      </c>
      <c r="H4125">
        <v>28560704</v>
      </c>
      <c r="I4125">
        <v>28560718</v>
      </c>
    </row>
    <row r="4126" spans="1:9" x14ac:dyDescent="0.2">
      <c r="A4126" t="str">
        <f>"Clpsl2"</f>
        <v>Clpsl2</v>
      </c>
      <c r="B4126" t="s">
        <v>14</v>
      </c>
      <c r="C4126" t="s">
        <v>28</v>
      </c>
      <c r="D4126" t="s">
        <v>17</v>
      </c>
      <c r="E4126" t="s">
        <v>67</v>
      </c>
      <c r="F4126">
        <v>28549486</v>
      </c>
      <c r="G4126">
        <v>28549502</v>
      </c>
      <c r="H4126">
        <v>28549486</v>
      </c>
      <c r="I4126">
        <v>28549502</v>
      </c>
    </row>
    <row r="4127" spans="1:9" x14ac:dyDescent="0.2">
      <c r="A4127" t="str">
        <f>"Clptm1"</f>
        <v>Clptm1</v>
      </c>
      <c r="B4127" t="s">
        <v>14</v>
      </c>
      <c r="C4127" t="s">
        <v>33</v>
      </c>
      <c r="D4127" t="s">
        <v>11</v>
      </c>
      <c r="E4127" t="s">
        <v>12</v>
      </c>
      <c r="F4127">
        <v>19665005</v>
      </c>
      <c r="G4127">
        <v>19665028</v>
      </c>
      <c r="H4127">
        <v>19665005</v>
      </c>
      <c r="I4127">
        <v>19665028</v>
      </c>
    </row>
    <row r="4128" spans="1:9" x14ac:dyDescent="0.2">
      <c r="A4128" t="str">
        <f>"Clptm1l"</f>
        <v>Clptm1l</v>
      </c>
      <c r="B4128" t="s">
        <v>14</v>
      </c>
      <c r="C4128" t="s">
        <v>39</v>
      </c>
      <c r="D4128" t="s">
        <v>17</v>
      </c>
      <c r="E4128" t="s">
        <v>12</v>
      </c>
      <c r="F4128">
        <v>73604007</v>
      </c>
      <c r="G4128">
        <v>73604120</v>
      </c>
      <c r="H4128">
        <v>73603955</v>
      </c>
      <c r="I4128">
        <v>73603966</v>
      </c>
    </row>
    <row r="4129" spans="1:9" x14ac:dyDescent="0.2">
      <c r="A4129" t="str">
        <f>"Clpx"</f>
        <v>Clpx</v>
      </c>
      <c r="B4129" t="s">
        <v>14</v>
      </c>
      <c r="C4129" t="s">
        <v>24</v>
      </c>
      <c r="D4129" t="s">
        <v>17</v>
      </c>
      <c r="E4129" t="s">
        <v>12</v>
      </c>
      <c r="F4129">
        <v>65294275</v>
      </c>
      <c r="G4129">
        <v>65294341</v>
      </c>
      <c r="H4129">
        <v>65294395</v>
      </c>
      <c r="I4129">
        <v>65294417</v>
      </c>
    </row>
    <row r="4130" spans="1:9" x14ac:dyDescent="0.2">
      <c r="A4130" t="str">
        <f>"Clrn1"</f>
        <v>Clrn1</v>
      </c>
      <c r="B4130" t="s">
        <v>14</v>
      </c>
      <c r="C4130" t="s">
        <v>22</v>
      </c>
      <c r="D4130" t="s">
        <v>11</v>
      </c>
      <c r="E4130" t="s">
        <v>12</v>
      </c>
      <c r="F4130">
        <v>58885320</v>
      </c>
      <c r="G4130">
        <v>58885354</v>
      </c>
      <c r="H4130">
        <v>58885320</v>
      </c>
      <c r="I4130">
        <v>58885354</v>
      </c>
    </row>
    <row r="4131" spans="1:9" x14ac:dyDescent="0.2">
      <c r="A4131" t="str">
        <f>"Clrn2"</f>
        <v>Clrn2</v>
      </c>
      <c r="B4131" t="s">
        <v>14</v>
      </c>
      <c r="C4131" t="s">
        <v>46</v>
      </c>
      <c r="D4131" t="s">
        <v>17</v>
      </c>
      <c r="E4131" t="s">
        <v>12</v>
      </c>
      <c r="F4131">
        <v>45453678</v>
      </c>
      <c r="G4131">
        <v>45453682</v>
      </c>
      <c r="H4131">
        <v>45453648</v>
      </c>
      <c r="I4131">
        <v>45453652</v>
      </c>
    </row>
    <row r="4132" spans="1:9" x14ac:dyDescent="0.2">
      <c r="A4132" t="str">
        <f>"Clrn3"</f>
        <v>Clrn3</v>
      </c>
      <c r="B4132" t="s">
        <v>14</v>
      </c>
      <c r="C4132" t="s">
        <v>33</v>
      </c>
      <c r="D4132" t="s">
        <v>11</v>
      </c>
      <c r="E4132" t="s">
        <v>12</v>
      </c>
      <c r="F4132">
        <v>135528645</v>
      </c>
      <c r="G4132">
        <v>135528661</v>
      </c>
      <c r="H4132">
        <v>135528600</v>
      </c>
      <c r="I4132">
        <v>135528632</v>
      </c>
    </row>
    <row r="4133" spans="1:9" x14ac:dyDescent="0.2">
      <c r="A4133" t="str">
        <f>"Clspn"</f>
        <v>Clspn</v>
      </c>
      <c r="B4133" t="s">
        <v>14</v>
      </c>
      <c r="C4133" t="s">
        <v>23</v>
      </c>
      <c r="D4133" t="s">
        <v>17</v>
      </c>
      <c r="E4133" t="s">
        <v>12</v>
      </c>
      <c r="F4133">
        <v>126556994</v>
      </c>
      <c r="G4133">
        <v>126557020</v>
      </c>
      <c r="H4133">
        <v>126556971</v>
      </c>
      <c r="I4133">
        <v>126556992</v>
      </c>
    </row>
    <row r="4134" spans="1:9" x14ac:dyDescent="0.2">
      <c r="A4134" t="str">
        <f>"Clstn1"</f>
        <v>Clstn1</v>
      </c>
      <c r="B4134" t="s">
        <v>14</v>
      </c>
      <c r="C4134" t="s">
        <v>23</v>
      </c>
      <c r="D4134" t="s">
        <v>17</v>
      </c>
      <c r="E4134" t="s">
        <v>12</v>
      </c>
      <c r="F4134">
        <v>149586432</v>
      </c>
      <c r="G4134">
        <v>149586511</v>
      </c>
      <c r="H4134">
        <v>149586514</v>
      </c>
      <c r="I4134">
        <v>149586548</v>
      </c>
    </row>
    <row r="4135" spans="1:9" x14ac:dyDescent="0.2">
      <c r="A4135" t="str">
        <f>"Clstn2"</f>
        <v>Clstn2</v>
      </c>
      <c r="B4135" t="s">
        <v>14</v>
      </c>
      <c r="C4135" t="s">
        <v>24</v>
      </c>
      <c r="D4135" t="s">
        <v>11</v>
      </c>
      <c r="E4135" t="s">
        <v>12</v>
      </c>
      <c r="F4135">
        <v>98033190</v>
      </c>
      <c r="G4135">
        <v>98033207</v>
      </c>
      <c r="H4135">
        <v>98033215</v>
      </c>
      <c r="I4135">
        <v>98033225</v>
      </c>
    </row>
    <row r="4136" spans="1:9" x14ac:dyDescent="0.2">
      <c r="A4136" t="str">
        <f>"Clstn3"</f>
        <v>Clstn3</v>
      </c>
      <c r="B4136" t="s">
        <v>14</v>
      </c>
      <c r="C4136" t="s">
        <v>32</v>
      </c>
      <c r="D4136" t="s">
        <v>11</v>
      </c>
      <c r="E4136" t="s">
        <v>12</v>
      </c>
      <c r="F4136">
        <v>124464696</v>
      </c>
      <c r="G4136">
        <v>124464759</v>
      </c>
      <c r="H4136">
        <v>124464696</v>
      </c>
      <c r="I4136">
        <v>124464759</v>
      </c>
    </row>
    <row r="4137" spans="1:9" x14ac:dyDescent="0.2">
      <c r="A4137" t="str">
        <f>"Clta"</f>
        <v>Clta</v>
      </c>
      <c r="B4137" t="s">
        <v>14</v>
      </c>
      <c r="C4137" t="s">
        <v>23</v>
      </c>
      <c r="D4137" t="s">
        <v>17</v>
      </c>
      <c r="E4137" t="s">
        <v>12</v>
      </c>
      <c r="F4137">
        <v>44012661</v>
      </c>
      <c r="G4137">
        <v>44012694</v>
      </c>
      <c r="H4137">
        <v>44012657</v>
      </c>
      <c r="I4137">
        <v>44012660</v>
      </c>
    </row>
    <row r="4138" spans="1:9" x14ac:dyDescent="0.2">
      <c r="A4138" t="str">
        <f>"Cltb"</f>
        <v>Cltb</v>
      </c>
      <c r="B4138" t="s">
        <v>14</v>
      </c>
      <c r="C4138" t="s">
        <v>39</v>
      </c>
      <c r="D4138" t="s">
        <v>11</v>
      </c>
      <c r="E4138" t="s">
        <v>12</v>
      </c>
      <c r="F4138">
        <v>54611332</v>
      </c>
      <c r="G4138">
        <v>54611387</v>
      </c>
      <c r="H4138">
        <v>54611274</v>
      </c>
      <c r="I4138">
        <v>54611297</v>
      </c>
    </row>
    <row r="4139" spans="1:9" x14ac:dyDescent="0.2">
      <c r="A4139" t="str">
        <f>"Cltc"</f>
        <v>Cltc</v>
      </c>
      <c r="B4139" t="s">
        <v>14</v>
      </c>
      <c r="C4139" t="s">
        <v>27</v>
      </c>
      <c r="D4139" t="s">
        <v>11</v>
      </c>
      <c r="E4139" t="s">
        <v>12</v>
      </c>
      <c r="F4139">
        <v>86757483</v>
      </c>
      <c r="G4139">
        <v>86757572</v>
      </c>
      <c r="H4139">
        <v>86757452</v>
      </c>
      <c r="I4139">
        <v>86757463</v>
      </c>
    </row>
    <row r="4140" spans="1:9" x14ac:dyDescent="0.2">
      <c r="A4140" t="str">
        <f>"Clu"</f>
        <v>Clu</v>
      </c>
      <c r="B4140" t="s">
        <v>9</v>
      </c>
      <c r="C4140" t="s">
        <v>41</v>
      </c>
      <c r="D4140" t="s">
        <v>17</v>
      </c>
      <c r="E4140" t="s">
        <v>12</v>
      </c>
      <c r="F4140">
        <v>65968633</v>
      </c>
      <c r="G4140">
        <v>65968651</v>
      </c>
      <c r="H4140">
        <v>65968633</v>
      </c>
      <c r="I4140">
        <v>65968651</v>
      </c>
    </row>
    <row r="4141" spans="1:9" x14ac:dyDescent="0.2">
      <c r="A4141" t="str">
        <f>"Clu"</f>
        <v>Clu</v>
      </c>
      <c r="B4141" t="s">
        <v>13</v>
      </c>
      <c r="C4141" t="s">
        <v>41</v>
      </c>
      <c r="D4141" t="s">
        <v>17</v>
      </c>
      <c r="E4141" t="s">
        <v>12</v>
      </c>
      <c r="F4141">
        <v>65969741</v>
      </c>
      <c r="G4141">
        <v>65969792</v>
      </c>
      <c r="H4141">
        <v>65969741</v>
      </c>
      <c r="I4141">
        <v>65969792</v>
      </c>
    </row>
    <row r="4142" spans="1:9" x14ac:dyDescent="0.2">
      <c r="A4142" t="str">
        <f>"Cluap1"</f>
        <v>Cluap1</v>
      </c>
      <c r="B4142" t="s">
        <v>14</v>
      </c>
      <c r="C4142" t="s">
        <v>31</v>
      </c>
      <c r="D4142" t="s">
        <v>17</v>
      </c>
      <c r="E4142" t="s">
        <v>12</v>
      </c>
      <c r="F4142">
        <v>3908949</v>
      </c>
      <c r="G4142">
        <v>3909031</v>
      </c>
      <c r="H4142">
        <v>3909032</v>
      </c>
      <c r="I4142">
        <v>3909089</v>
      </c>
    </row>
    <row r="4143" spans="1:9" x14ac:dyDescent="0.2">
      <c r="A4143" t="str">
        <f>"Cluh"</f>
        <v>Cluh</v>
      </c>
      <c r="B4143" t="s">
        <v>14</v>
      </c>
      <c r="C4143" t="s">
        <v>27</v>
      </c>
      <c r="D4143" t="s">
        <v>17</v>
      </c>
      <c r="E4143" t="s">
        <v>67</v>
      </c>
      <c r="F4143">
        <v>74649462</v>
      </c>
      <c r="G4143">
        <v>74649520</v>
      </c>
      <c r="H4143">
        <v>74649526</v>
      </c>
      <c r="I4143">
        <v>74649550</v>
      </c>
    </row>
    <row r="4144" spans="1:9" x14ac:dyDescent="0.2">
      <c r="A4144" t="str">
        <f>"Clvs1"</f>
        <v>Clvs1</v>
      </c>
      <c r="B4144" t="s">
        <v>14</v>
      </c>
      <c r="C4144" t="s">
        <v>23</v>
      </c>
      <c r="D4144" t="s">
        <v>17</v>
      </c>
      <c r="E4144" t="s">
        <v>12</v>
      </c>
      <c r="F4144">
        <v>9269285</v>
      </c>
      <c r="G4144">
        <v>9269335</v>
      </c>
      <c r="H4144">
        <v>9269338</v>
      </c>
      <c r="I4144">
        <v>9269362</v>
      </c>
    </row>
    <row r="4145" spans="1:9" x14ac:dyDescent="0.2">
      <c r="A4145" t="str">
        <f>"Clvs2"</f>
        <v>Clvs2</v>
      </c>
      <c r="B4145" t="s">
        <v>14</v>
      </c>
      <c r="C4145" t="s">
        <v>15</v>
      </c>
      <c r="D4145" t="s">
        <v>11</v>
      </c>
      <c r="E4145" t="s">
        <v>12</v>
      </c>
      <c r="F4145">
        <v>33624150</v>
      </c>
      <c r="G4145">
        <v>33624175</v>
      </c>
      <c r="H4145">
        <v>33624191</v>
      </c>
      <c r="I4145">
        <v>33624212</v>
      </c>
    </row>
    <row r="4146" spans="1:9" x14ac:dyDescent="0.2">
      <c r="A4146" t="str">
        <f>"Clybl"</f>
        <v>Clybl</v>
      </c>
      <c r="B4146" t="s">
        <v>14</v>
      </c>
      <c r="C4146" t="s">
        <v>41</v>
      </c>
      <c r="D4146" t="s">
        <v>17</v>
      </c>
      <c r="E4146" t="s">
        <v>12</v>
      </c>
      <c r="F4146">
        <v>122181705</v>
      </c>
      <c r="G4146">
        <v>122181725</v>
      </c>
      <c r="H4146">
        <v>122181553</v>
      </c>
      <c r="I4146">
        <v>122181563</v>
      </c>
    </row>
    <row r="4147" spans="1:9" x14ac:dyDescent="0.2">
      <c r="A4147" t="str">
        <f>"Cma1"</f>
        <v>Cma1</v>
      </c>
      <c r="B4147" t="s">
        <v>2303</v>
      </c>
      <c r="C4147" t="s">
        <v>41</v>
      </c>
      <c r="D4147" t="s">
        <v>11</v>
      </c>
      <c r="E4147" t="s">
        <v>20</v>
      </c>
      <c r="F4147">
        <v>55944660</v>
      </c>
      <c r="G4147">
        <v>55944660</v>
      </c>
      <c r="H4147">
        <v>55944660</v>
      </c>
      <c r="I4147">
        <v>55944660</v>
      </c>
    </row>
    <row r="4148" spans="1:9" x14ac:dyDescent="0.2">
      <c r="A4148" t="str">
        <f>"Cma2"</f>
        <v>Cma2</v>
      </c>
      <c r="B4148" t="s">
        <v>14</v>
      </c>
      <c r="C4148" t="s">
        <v>41</v>
      </c>
      <c r="D4148" t="s">
        <v>17</v>
      </c>
      <c r="E4148" t="s">
        <v>12</v>
      </c>
      <c r="F4148">
        <v>55950809</v>
      </c>
      <c r="G4148">
        <v>55950827</v>
      </c>
      <c r="H4148">
        <v>55950809</v>
      </c>
      <c r="I4148">
        <v>55950827</v>
      </c>
    </row>
    <row r="4149" spans="1:9" x14ac:dyDescent="0.2">
      <c r="A4149" t="str">
        <f>"Cmah"</f>
        <v>Cmah</v>
      </c>
      <c r="B4149" t="s">
        <v>14</v>
      </c>
      <c r="C4149" t="s">
        <v>39</v>
      </c>
      <c r="D4149" t="s">
        <v>17</v>
      </c>
      <c r="E4149" t="s">
        <v>12</v>
      </c>
      <c r="F4149">
        <v>24416878</v>
      </c>
      <c r="G4149">
        <v>24416951</v>
      </c>
      <c r="H4149">
        <v>24416878</v>
      </c>
      <c r="I4149">
        <v>24416951</v>
      </c>
    </row>
    <row r="4150" spans="1:9" x14ac:dyDescent="0.2">
      <c r="A4150" t="str">
        <f>"Cmas"</f>
        <v>Cmas</v>
      </c>
      <c r="B4150" t="s">
        <v>14</v>
      </c>
      <c r="C4150" t="s">
        <v>32</v>
      </c>
      <c r="D4150" t="s">
        <v>17</v>
      </c>
      <c r="E4150" t="s">
        <v>12</v>
      </c>
      <c r="F4150">
        <v>142756710</v>
      </c>
      <c r="G4150">
        <v>142756756</v>
      </c>
      <c r="H4150">
        <v>142756758</v>
      </c>
      <c r="I4150">
        <v>142756775</v>
      </c>
    </row>
    <row r="4151" spans="1:9" x14ac:dyDescent="0.2">
      <c r="A4151" t="str">
        <f>"Cmbl"</f>
        <v>Cmbl</v>
      </c>
      <c r="B4151" t="s">
        <v>14</v>
      </c>
      <c r="C4151" t="s">
        <v>25</v>
      </c>
      <c r="D4151" t="s">
        <v>17</v>
      </c>
      <c r="E4151" t="s">
        <v>12</v>
      </c>
      <c r="F4151">
        <v>31568851</v>
      </c>
      <c r="G4151">
        <v>31568925</v>
      </c>
      <c r="H4151">
        <v>31568817</v>
      </c>
      <c r="I4151">
        <v>31568848</v>
      </c>
    </row>
    <row r="4152" spans="1:9" x14ac:dyDescent="0.2">
      <c r="A4152" t="str">
        <f>"Cmc1"</f>
        <v>Cmc1</v>
      </c>
      <c r="B4152" t="s">
        <v>14</v>
      </c>
      <c r="C4152" t="s">
        <v>24</v>
      </c>
      <c r="D4152" t="s">
        <v>11</v>
      </c>
      <c r="E4152" t="s">
        <v>12</v>
      </c>
      <c r="F4152">
        <v>118150041</v>
      </c>
      <c r="G4152">
        <v>118150077</v>
      </c>
      <c r="H4152">
        <v>118150079</v>
      </c>
      <c r="I4152">
        <v>118150106</v>
      </c>
    </row>
    <row r="4153" spans="1:9" x14ac:dyDescent="0.2">
      <c r="A4153" t="str">
        <f>"Cmc2"</f>
        <v>Cmc2</v>
      </c>
      <c r="B4153" t="s">
        <v>14</v>
      </c>
      <c r="C4153" t="s">
        <v>30</v>
      </c>
      <c r="D4153" t="s">
        <v>11</v>
      </c>
      <c r="E4153" t="s">
        <v>67</v>
      </c>
      <c r="F4153">
        <v>116921408</v>
      </c>
      <c r="G4153">
        <v>116921451</v>
      </c>
      <c r="H4153">
        <v>116921378</v>
      </c>
      <c r="I4153">
        <v>116921392</v>
      </c>
    </row>
    <row r="4154" spans="1:9" x14ac:dyDescent="0.2">
      <c r="A4154" t="str">
        <f>"Cmip"</f>
        <v>Cmip</v>
      </c>
      <c r="B4154" t="s">
        <v>14</v>
      </c>
      <c r="C4154" t="s">
        <v>30</v>
      </c>
      <c r="D4154" t="s">
        <v>17</v>
      </c>
      <c r="E4154" t="s">
        <v>67</v>
      </c>
      <c r="F4154">
        <v>117256659</v>
      </c>
      <c r="G4154">
        <v>117256724</v>
      </c>
      <c r="H4154">
        <v>117256848</v>
      </c>
      <c r="I4154">
        <v>117256877</v>
      </c>
    </row>
    <row r="4155" spans="1:9" x14ac:dyDescent="0.2">
      <c r="A4155" t="str">
        <f>"Cmklr1"</f>
        <v>Cmklr1</v>
      </c>
      <c r="B4155" t="s">
        <v>14</v>
      </c>
      <c r="C4155" t="s">
        <v>46</v>
      </c>
      <c r="D4155" t="s">
        <v>11</v>
      </c>
      <c r="E4155" t="s">
        <v>12</v>
      </c>
      <c r="F4155">
        <v>113650390</v>
      </c>
      <c r="G4155">
        <v>113650448</v>
      </c>
      <c r="H4155">
        <v>113650390</v>
      </c>
      <c r="I4155">
        <v>113650448</v>
      </c>
    </row>
    <row r="4156" spans="1:9" x14ac:dyDescent="0.2">
      <c r="A4156" t="str">
        <f>"Cml1"</f>
        <v>Cml1</v>
      </c>
      <c r="B4156" t="s">
        <v>14</v>
      </c>
      <c r="C4156" t="s">
        <v>32</v>
      </c>
      <c r="D4156" t="s">
        <v>11</v>
      </c>
      <c r="E4156" t="s">
        <v>12</v>
      </c>
      <c r="F4156">
        <v>85915618</v>
      </c>
      <c r="G4156">
        <v>85915640</v>
      </c>
      <c r="H4156">
        <v>85915653</v>
      </c>
      <c r="I4156">
        <v>85915692</v>
      </c>
    </row>
    <row r="4157" spans="1:9" x14ac:dyDescent="0.2">
      <c r="A4157" t="str">
        <f>"Cml2"</f>
        <v>Cml2</v>
      </c>
      <c r="B4157" t="s">
        <v>14</v>
      </c>
      <c r="C4157" t="s">
        <v>32</v>
      </c>
      <c r="D4157" t="s">
        <v>11</v>
      </c>
      <c r="E4157" t="s">
        <v>12</v>
      </c>
      <c r="F4157">
        <v>85869107</v>
      </c>
      <c r="G4157">
        <v>85869123</v>
      </c>
      <c r="H4157">
        <v>85869128</v>
      </c>
      <c r="I4157">
        <v>85869143</v>
      </c>
    </row>
    <row r="4158" spans="1:9" x14ac:dyDescent="0.2">
      <c r="A4158" t="str">
        <f>"Cml3"</f>
        <v>Cml3</v>
      </c>
      <c r="B4158" t="s">
        <v>2304</v>
      </c>
      <c r="C4158" t="s">
        <v>32</v>
      </c>
      <c r="D4158" t="s">
        <v>11</v>
      </c>
      <c r="E4158" t="s">
        <v>20</v>
      </c>
      <c r="F4158">
        <v>85765743</v>
      </c>
      <c r="G4158">
        <v>85765743</v>
      </c>
      <c r="H4158">
        <v>85765743</v>
      </c>
      <c r="I4158">
        <v>85765743</v>
      </c>
    </row>
    <row r="4159" spans="1:9" x14ac:dyDescent="0.2">
      <c r="A4159" t="str">
        <f>"Cml3"</f>
        <v>Cml3</v>
      </c>
      <c r="B4159" t="s">
        <v>2305</v>
      </c>
      <c r="C4159" t="s">
        <v>32</v>
      </c>
      <c r="D4159" t="s">
        <v>11</v>
      </c>
      <c r="E4159" t="s">
        <v>20</v>
      </c>
      <c r="F4159">
        <v>85762479</v>
      </c>
      <c r="G4159">
        <v>85762479</v>
      </c>
      <c r="H4159">
        <v>85762479</v>
      </c>
      <c r="I4159">
        <v>85762479</v>
      </c>
    </row>
    <row r="4160" spans="1:9" x14ac:dyDescent="0.2">
      <c r="A4160" t="str">
        <f>"Cml5"</f>
        <v>Cml5</v>
      </c>
      <c r="B4160" t="s">
        <v>14</v>
      </c>
      <c r="C4160" t="s">
        <v>32</v>
      </c>
      <c r="D4160" t="s">
        <v>11</v>
      </c>
      <c r="E4160" t="s">
        <v>12</v>
      </c>
      <c r="F4160">
        <v>85820965</v>
      </c>
      <c r="G4160">
        <v>85820977</v>
      </c>
      <c r="H4160">
        <v>85820981</v>
      </c>
      <c r="I4160">
        <v>85820990</v>
      </c>
    </row>
    <row r="4161" spans="1:9" x14ac:dyDescent="0.2">
      <c r="A4161" t="str">
        <f>"Cmpk1"</f>
        <v>Cmpk1</v>
      </c>
      <c r="B4161" t="s">
        <v>14</v>
      </c>
      <c r="C4161" t="s">
        <v>23</v>
      </c>
      <c r="D4161" t="s">
        <v>11</v>
      </c>
      <c r="E4161" t="s">
        <v>12</v>
      </c>
      <c r="F4161">
        <v>114987125</v>
      </c>
      <c r="G4161">
        <v>114987203</v>
      </c>
      <c r="H4161">
        <v>114987220</v>
      </c>
      <c r="I4161">
        <v>114987256</v>
      </c>
    </row>
    <row r="4162" spans="1:9" x14ac:dyDescent="0.2">
      <c r="A4162" t="str">
        <f>"Cmpk2"</f>
        <v>Cmpk2</v>
      </c>
      <c r="B4162" t="s">
        <v>14</v>
      </c>
      <c r="C4162" t="s">
        <v>16</v>
      </c>
      <c r="D4162" t="s">
        <v>17</v>
      </c>
      <c r="E4162" t="s">
        <v>12</v>
      </c>
      <c r="F4162">
        <v>26469205</v>
      </c>
      <c r="G4162">
        <v>26469243</v>
      </c>
      <c r="H4162">
        <v>26469344</v>
      </c>
      <c r="I4162">
        <v>26469352</v>
      </c>
    </row>
    <row r="4163" spans="1:9" x14ac:dyDescent="0.2">
      <c r="A4163" t="str">
        <f>"Cmss1"</f>
        <v>Cmss1</v>
      </c>
      <c r="B4163" t="s">
        <v>14</v>
      </c>
      <c r="C4163" t="s">
        <v>31</v>
      </c>
      <c r="D4163" t="s">
        <v>11</v>
      </c>
      <c r="E4163" t="s">
        <v>67</v>
      </c>
      <c r="F4163">
        <v>57606816</v>
      </c>
      <c r="G4163">
        <v>57606879</v>
      </c>
      <c r="H4163">
        <v>57606796</v>
      </c>
      <c r="I4163">
        <v>57606811</v>
      </c>
    </row>
    <row r="4164" spans="1:9" x14ac:dyDescent="0.2">
      <c r="A4164" t="str">
        <f>"Cmtm1"</f>
        <v>Cmtm1</v>
      </c>
      <c r="B4164" t="s">
        <v>14</v>
      </c>
      <c r="C4164" t="s">
        <v>30</v>
      </c>
      <c r="D4164" t="s">
        <v>11</v>
      </c>
      <c r="E4164" t="s">
        <v>12</v>
      </c>
      <c r="F4164">
        <v>104310052</v>
      </c>
      <c r="G4164">
        <v>104310102</v>
      </c>
      <c r="H4164">
        <v>104310109</v>
      </c>
      <c r="I4164">
        <v>104310110</v>
      </c>
    </row>
    <row r="4165" spans="1:9" x14ac:dyDescent="0.2">
      <c r="A4165" t="str">
        <f>"Cmtm2a"</f>
        <v>Cmtm2a</v>
      </c>
      <c r="B4165" t="s">
        <v>9</v>
      </c>
      <c r="C4165" t="s">
        <v>30</v>
      </c>
      <c r="D4165" t="s">
        <v>11</v>
      </c>
      <c r="E4165" t="s">
        <v>12</v>
      </c>
      <c r="F4165">
        <v>104310052</v>
      </c>
      <c r="G4165">
        <v>104310102</v>
      </c>
      <c r="H4165">
        <v>104310052</v>
      </c>
      <c r="I4165">
        <v>104310102</v>
      </c>
    </row>
    <row r="4166" spans="1:9" x14ac:dyDescent="0.2">
      <c r="A4166" t="str">
        <f>"Cmtm2a"</f>
        <v>Cmtm2a</v>
      </c>
      <c r="B4166" t="s">
        <v>13</v>
      </c>
      <c r="C4166" t="s">
        <v>30</v>
      </c>
      <c r="D4166" t="s">
        <v>11</v>
      </c>
      <c r="E4166" t="s">
        <v>12</v>
      </c>
      <c r="F4166">
        <v>104293193</v>
      </c>
      <c r="G4166">
        <v>104293204</v>
      </c>
      <c r="H4166">
        <v>104293193</v>
      </c>
      <c r="I4166">
        <v>104293204</v>
      </c>
    </row>
    <row r="4167" spans="1:9" x14ac:dyDescent="0.2">
      <c r="A4167" t="str">
        <f>"Cmtm2b"</f>
        <v>Cmtm2b</v>
      </c>
      <c r="B4167" t="s">
        <v>14</v>
      </c>
      <c r="C4167" t="s">
        <v>30</v>
      </c>
      <c r="D4167" t="s">
        <v>17</v>
      </c>
      <c r="E4167" t="s">
        <v>12</v>
      </c>
      <c r="F4167">
        <v>104322324</v>
      </c>
      <c r="G4167">
        <v>104322367</v>
      </c>
      <c r="H4167">
        <v>104322324</v>
      </c>
      <c r="I4167">
        <v>104322367</v>
      </c>
    </row>
    <row r="4168" spans="1:9" x14ac:dyDescent="0.2">
      <c r="A4168" t="str">
        <f>"Cmtm3"</f>
        <v>Cmtm3</v>
      </c>
      <c r="B4168" t="s">
        <v>14</v>
      </c>
      <c r="C4168" t="s">
        <v>30</v>
      </c>
      <c r="D4168" t="s">
        <v>17</v>
      </c>
      <c r="E4168" t="s">
        <v>12</v>
      </c>
      <c r="F4168">
        <v>104340664</v>
      </c>
      <c r="G4168">
        <v>104340704</v>
      </c>
      <c r="H4168">
        <v>104340709</v>
      </c>
      <c r="I4168">
        <v>104340723</v>
      </c>
    </row>
    <row r="4169" spans="1:9" x14ac:dyDescent="0.2">
      <c r="A4169" t="str">
        <f>"Cmtm4"</f>
        <v>Cmtm4</v>
      </c>
      <c r="B4169" t="s">
        <v>14</v>
      </c>
      <c r="C4169" t="s">
        <v>30</v>
      </c>
      <c r="D4169" t="s">
        <v>11</v>
      </c>
      <c r="E4169" t="s">
        <v>12</v>
      </c>
      <c r="F4169">
        <v>104395765</v>
      </c>
      <c r="G4169">
        <v>104395858</v>
      </c>
      <c r="H4169">
        <v>104395873</v>
      </c>
      <c r="I4169">
        <v>104395886</v>
      </c>
    </row>
    <row r="4170" spans="1:9" x14ac:dyDescent="0.2">
      <c r="A4170" t="str">
        <f>"Cmtm5"</f>
        <v>Cmtm5</v>
      </c>
      <c r="B4170" t="s">
        <v>14</v>
      </c>
      <c r="C4170" t="s">
        <v>41</v>
      </c>
      <c r="D4170" t="s">
        <v>17</v>
      </c>
      <c r="E4170" t="s">
        <v>12</v>
      </c>
      <c r="F4170">
        <v>54936480</v>
      </c>
      <c r="G4170">
        <v>54936534</v>
      </c>
      <c r="H4170">
        <v>54936480</v>
      </c>
      <c r="I4170">
        <v>54936534</v>
      </c>
    </row>
    <row r="4171" spans="1:9" x14ac:dyDescent="0.2">
      <c r="A4171" t="str">
        <f>"Cmtm6"</f>
        <v>Cmtm6</v>
      </c>
      <c r="B4171" t="s">
        <v>14</v>
      </c>
      <c r="C4171" t="s">
        <v>24</v>
      </c>
      <c r="D4171" t="s">
        <v>17</v>
      </c>
      <c r="E4171" t="s">
        <v>12</v>
      </c>
      <c r="F4171">
        <v>114731177</v>
      </c>
      <c r="G4171">
        <v>114731234</v>
      </c>
      <c r="H4171">
        <v>114731177</v>
      </c>
      <c r="I4171">
        <v>114731234</v>
      </c>
    </row>
    <row r="4172" spans="1:9" x14ac:dyDescent="0.2">
      <c r="A4172" t="str">
        <f>"Cmtm7"</f>
        <v>Cmtm7</v>
      </c>
      <c r="B4172" t="s">
        <v>14</v>
      </c>
      <c r="C4172" t="s">
        <v>24</v>
      </c>
      <c r="D4172" t="s">
        <v>11</v>
      </c>
      <c r="E4172" t="s">
        <v>12</v>
      </c>
      <c r="F4172">
        <v>114781811</v>
      </c>
      <c r="G4172">
        <v>114781887</v>
      </c>
      <c r="H4172">
        <v>114781986</v>
      </c>
      <c r="I4172">
        <v>114781998</v>
      </c>
    </row>
    <row r="4173" spans="1:9" x14ac:dyDescent="0.2">
      <c r="A4173" t="str">
        <f>"Cmtm8"</f>
        <v>Cmtm8</v>
      </c>
      <c r="B4173" t="s">
        <v>14</v>
      </c>
      <c r="C4173" t="s">
        <v>24</v>
      </c>
      <c r="D4173" t="s">
        <v>11</v>
      </c>
      <c r="E4173" t="s">
        <v>12</v>
      </c>
      <c r="F4173">
        <v>114844090</v>
      </c>
      <c r="G4173">
        <v>114844171</v>
      </c>
      <c r="H4173">
        <v>114844303</v>
      </c>
      <c r="I4173">
        <v>114844321</v>
      </c>
    </row>
    <row r="4174" spans="1:9" x14ac:dyDescent="0.2">
      <c r="A4174" t="str">
        <f>"Cmtr1"</f>
        <v>Cmtr1</v>
      </c>
      <c r="B4174" t="s">
        <v>2306</v>
      </c>
      <c r="C4174" t="s">
        <v>28</v>
      </c>
      <c r="D4174" t="s">
        <v>17</v>
      </c>
      <c r="E4174" t="s">
        <v>35</v>
      </c>
      <c r="F4174">
        <v>29660591</v>
      </c>
      <c r="G4174">
        <v>29660611</v>
      </c>
      <c r="H4174">
        <v>29660710</v>
      </c>
      <c r="I4174">
        <v>29660721</v>
      </c>
    </row>
    <row r="4175" spans="1:9" x14ac:dyDescent="0.2">
      <c r="A4175" t="str">
        <f>"Cmtr2"</f>
        <v>Cmtr2</v>
      </c>
      <c r="B4175" t="s">
        <v>14</v>
      </c>
      <c r="C4175" t="s">
        <v>30</v>
      </c>
      <c r="D4175" t="s">
        <v>17</v>
      </c>
      <c r="E4175" t="s">
        <v>67</v>
      </c>
      <c r="F4175">
        <v>110217948</v>
      </c>
      <c r="G4175">
        <v>110218004</v>
      </c>
      <c r="H4175">
        <v>110217948</v>
      </c>
      <c r="I4175">
        <v>110218004</v>
      </c>
    </row>
    <row r="4176" spans="1:9" x14ac:dyDescent="0.2">
      <c r="A4176" t="str">
        <f>"Cmya5"</f>
        <v>Cmya5</v>
      </c>
      <c r="B4176" t="s">
        <v>14</v>
      </c>
      <c r="C4176" t="s">
        <v>39</v>
      </c>
      <c r="D4176" t="s">
        <v>11</v>
      </c>
      <c r="E4176" t="s">
        <v>12</v>
      </c>
      <c r="F4176">
        <v>93144557</v>
      </c>
      <c r="G4176">
        <v>93144577</v>
      </c>
      <c r="H4176">
        <v>93144557</v>
      </c>
      <c r="I4176">
        <v>93144577</v>
      </c>
    </row>
    <row r="4177" spans="1:9" x14ac:dyDescent="0.2">
      <c r="A4177" t="str">
        <f>"Cnbd1"</f>
        <v>Cnbd1</v>
      </c>
      <c r="B4177" t="s">
        <v>14</v>
      </c>
      <c r="C4177" t="s">
        <v>23</v>
      </c>
      <c r="D4177" t="s">
        <v>11</v>
      </c>
      <c r="E4177" t="s">
        <v>67</v>
      </c>
      <c r="F4177">
        <v>19122511</v>
      </c>
      <c r="G4177">
        <v>19122524</v>
      </c>
      <c r="H4177">
        <v>19122536</v>
      </c>
      <c r="I4177">
        <v>19122555</v>
      </c>
    </row>
    <row r="4178" spans="1:9" x14ac:dyDescent="0.2">
      <c r="A4178" t="str">
        <f>"Cnbd2"</f>
        <v>Cnbd2</v>
      </c>
      <c r="B4178" t="s">
        <v>14</v>
      </c>
      <c r="C4178" t="s">
        <v>26</v>
      </c>
      <c r="D4178" t="s">
        <v>17</v>
      </c>
      <c r="E4178" t="s">
        <v>67</v>
      </c>
      <c r="F4178">
        <v>156312589</v>
      </c>
      <c r="G4178">
        <v>156312625</v>
      </c>
      <c r="H4178">
        <v>156312428</v>
      </c>
      <c r="I4178">
        <v>156312481</v>
      </c>
    </row>
    <row r="4179" spans="1:9" x14ac:dyDescent="0.2">
      <c r="A4179" t="str">
        <f>"Cnbp"</f>
        <v>Cnbp</v>
      </c>
      <c r="B4179" t="s">
        <v>14</v>
      </c>
      <c r="C4179" t="s">
        <v>32</v>
      </c>
      <c r="D4179" t="s">
        <v>11</v>
      </c>
      <c r="E4179" t="s">
        <v>12</v>
      </c>
      <c r="F4179">
        <v>87851011</v>
      </c>
      <c r="G4179">
        <v>87851054</v>
      </c>
      <c r="H4179">
        <v>87850972</v>
      </c>
      <c r="I4179">
        <v>87850983</v>
      </c>
    </row>
    <row r="4180" spans="1:9" x14ac:dyDescent="0.2">
      <c r="A4180" t="str">
        <f>"Cndp1"</f>
        <v>Cndp1</v>
      </c>
      <c r="B4180" t="s">
        <v>14</v>
      </c>
      <c r="C4180" t="s">
        <v>43</v>
      </c>
      <c r="D4180" t="s">
        <v>11</v>
      </c>
      <c r="E4180" t="s">
        <v>12</v>
      </c>
      <c r="F4180">
        <v>84649924</v>
      </c>
      <c r="G4180">
        <v>84649953</v>
      </c>
      <c r="H4180">
        <v>84650077</v>
      </c>
      <c r="I4180">
        <v>84650117</v>
      </c>
    </row>
    <row r="4181" spans="1:9" x14ac:dyDescent="0.2">
      <c r="A4181" t="str">
        <f>"Cndp2"</f>
        <v>Cndp2</v>
      </c>
      <c r="B4181" t="s">
        <v>9</v>
      </c>
      <c r="C4181" t="s">
        <v>43</v>
      </c>
      <c r="D4181" t="s">
        <v>11</v>
      </c>
      <c r="E4181" t="s">
        <v>12</v>
      </c>
      <c r="F4181">
        <v>84681966</v>
      </c>
      <c r="G4181">
        <v>84682032</v>
      </c>
      <c r="H4181">
        <v>84681966</v>
      </c>
      <c r="I4181">
        <v>84682032</v>
      </c>
    </row>
    <row r="4182" spans="1:9" x14ac:dyDescent="0.2">
      <c r="A4182" t="str">
        <f>"Cndp2"</f>
        <v>Cndp2</v>
      </c>
      <c r="B4182" t="s">
        <v>13</v>
      </c>
      <c r="C4182" t="s">
        <v>43</v>
      </c>
      <c r="D4182" t="s">
        <v>11</v>
      </c>
      <c r="E4182" t="s">
        <v>12</v>
      </c>
      <c r="F4182">
        <v>84685615</v>
      </c>
      <c r="G4182">
        <v>84685671</v>
      </c>
      <c r="H4182">
        <v>84685615</v>
      </c>
      <c r="I4182">
        <v>84685671</v>
      </c>
    </row>
    <row r="4183" spans="1:9" x14ac:dyDescent="0.2">
      <c r="A4183" t="str">
        <f>"Cnep1r1"</f>
        <v>Cnep1r1</v>
      </c>
      <c r="B4183" t="s">
        <v>14</v>
      </c>
      <c r="C4183" t="s">
        <v>30</v>
      </c>
      <c r="D4183" t="s">
        <v>17</v>
      </c>
      <c r="E4183" t="s">
        <v>67</v>
      </c>
      <c r="F4183">
        <v>88118747</v>
      </c>
      <c r="G4183">
        <v>88118777</v>
      </c>
      <c r="H4183">
        <v>88118779</v>
      </c>
      <c r="I4183">
        <v>88118816</v>
      </c>
    </row>
    <row r="4184" spans="1:9" x14ac:dyDescent="0.2">
      <c r="A4184" t="str">
        <f>"Cnfn"</f>
        <v>Cnfn</v>
      </c>
      <c r="B4184" t="s">
        <v>14</v>
      </c>
      <c r="C4184" t="s">
        <v>33</v>
      </c>
      <c r="D4184" t="s">
        <v>11</v>
      </c>
      <c r="E4184" t="s">
        <v>12</v>
      </c>
      <c r="F4184">
        <v>25369712</v>
      </c>
      <c r="G4184">
        <v>25369730</v>
      </c>
      <c r="H4184">
        <v>25369712</v>
      </c>
      <c r="I4184">
        <v>25369730</v>
      </c>
    </row>
    <row r="4185" spans="1:9" x14ac:dyDescent="0.2">
      <c r="A4185" t="str">
        <f>"Cnga1"</f>
        <v>Cnga1</v>
      </c>
      <c r="B4185" t="s">
        <v>14</v>
      </c>
      <c r="C4185" t="s">
        <v>46</v>
      </c>
      <c r="D4185" t="s">
        <v>11</v>
      </c>
      <c r="E4185" t="s">
        <v>12</v>
      </c>
      <c r="F4185">
        <v>72642725</v>
      </c>
      <c r="G4185">
        <v>72642749</v>
      </c>
      <c r="H4185">
        <v>72642758</v>
      </c>
      <c r="I4185">
        <v>72642766</v>
      </c>
    </row>
    <row r="4186" spans="1:9" x14ac:dyDescent="0.2">
      <c r="A4186" t="str">
        <f>"Cnga2"</f>
        <v>Cnga2</v>
      </c>
      <c r="B4186" t="s">
        <v>14</v>
      </c>
      <c r="C4186" t="s">
        <v>37</v>
      </c>
      <c r="D4186" t="s">
        <v>17</v>
      </c>
      <c r="E4186" t="s">
        <v>12</v>
      </c>
      <c r="F4186">
        <v>71991823</v>
      </c>
      <c r="G4186">
        <v>71991855</v>
      </c>
      <c r="H4186">
        <v>71991823</v>
      </c>
      <c r="I4186">
        <v>71991855</v>
      </c>
    </row>
    <row r="4187" spans="1:9" x14ac:dyDescent="0.2">
      <c r="A4187" t="str">
        <f>"Cnga3"</f>
        <v>Cnga3</v>
      </c>
      <c r="B4187" t="s">
        <v>14</v>
      </c>
      <c r="C4187" t="s">
        <v>19</v>
      </c>
      <c r="D4187" t="s">
        <v>17</v>
      </c>
      <c r="E4187" t="s">
        <v>12</v>
      </c>
      <c r="F4187">
        <v>37218274</v>
      </c>
      <c r="G4187">
        <v>37218306</v>
      </c>
      <c r="H4187">
        <v>37219191</v>
      </c>
      <c r="I4187">
        <v>37219201</v>
      </c>
    </row>
    <row r="4188" spans="1:9" x14ac:dyDescent="0.2">
      <c r="A4188" t="str">
        <f>"Cnga4"</f>
        <v>Cnga4</v>
      </c>
      <c r="B4188" t="s">
        <v>14</v>
      </c>
      <c r="C4188" t="s">
        <v>33</v>
      </c>
      <c r="D4188" t="s">
        <v>17</v>
      </c>
      <c r="E4188" t="s">
        <v>12</v>
      </c>
      <c r="F4188">
        <v>105404569</v>
      </c>
      <c r="G4188">
        <v>105404575</v>
      </c>
      <c r="H4188">
        <v>105404569</v>
      </c>
      <c r="I4188">
        <v>105404575</v>
      </c>
    </row>
    <row r="4189" spans="1:9" x14ac:dyDescent="0.2">
      <c r="A4189" t="str">
        <f>"Cngb1"</f>
        <v>Cngb1</v>
      </c>
      <c r="B4189" t="s">
        <v>2307</v>
      </c>
      <c r="C4189" t="s">
        <v>30</v>
      </c>
      <c r="D4189" t="s">
        <v>11</v>
      </c>
      <c r="E4189" t="s">
        <v>20</v>
      </c>
      <c r="F4189">
        <v>95306584</v>
      </c>
      <c r="G4189">
        <v>95306584</v>
      </c>
      <c r="H4189">
        <v>95306584</v>
      </c>
      <c r="I4189">
        <v>95306584</v>
      </c>
    </row>
    <row r="4190" spans="1:9" x14ac:dyDescent="0.2">
      <c r="A4190" t="str">
        <f>"Cngb1"</f>
        <v>Cngb1</v>
      </c>
      <c r="B4190" t="s">
        <v>2308</v>
      </c>
      <c r="C4190" t="s">
        <v>30</v>
      </c>
      <c r="D4190" t="s">
        <v>11</v>
      </c>
      <c r="E4190" t="s">
        <v>20</v>
      </c>
      <c r="F4190">
        <v>95281599</v>
      </c>
      <c r="G4190">
        <v>95281599</v>
      </c>
      <c r="H4190">
        <v>95281599</v>
      </c>
      <c r="I4190">
        <v>95281599</v>
      </c>
    </row>
    <row r="4191" spans="1:9" x14ac:dyDescent="0.2">
      <c r="A4191" t="str">
        <f>"Cngb3"</f>
        <v>Cngb3</v>
      </c>
      <c r="B4191" t="s">
        <v>14</v>
      </c>
      <c r="C4191" t="s">
        <v>23</v>
      </c>
      <c r="D4191" t="s">
        <v>17</v>
      </c>
      <c r="E4191" t="s">
        <v>12</v>
      </c>
      <c r="F4191">
        <v>19280862</v>
      </c>
      <c r="G4191">
        <v>19280907</v>
      </c>
      <c r="H4191">
        <v>19280920</v>
      </c>
      <c r="I4191">
        <v>19280931</v>
      </c>
    </row>
    <row r="4192" spans="1:9" x14ac:dyDescent="0.2">
      <c r="A4192" t="str">
        <f>"Cnih1"</f>
        <v>Cnih1</v>
      </c>
      <c r="B4192" t="s">
        <v>14</v>
      </c>
      <c r="C4192" t="s">
        <v>41</v>
      </c>
      <c r="D4192" t="s">
        <v>11</v>
      </c>
      <c r="E4192" t="s">
        <v>67</v>
      </c>
      <c r="F4192">
        <v>46788267</v>
      </c>
      <c r="G4192">
        <v>46788329</v>
      </c>
      <c r="H4192">
        <v>46788651</v>
      </c>
      <c r="I4192">
        <v>46788659</v>
      </c>
    </row>
    <row r="4193" spans="1:9" x14ac:dyDescent="0.2">
      <c r="A4193" t="str">
        <f>"Cnih2"</f>
        <v>Cnih2</v>
      </c>
      <c r="B4193" t="s">
        <v>14</v>
      </c>
      <c r="C4193" t="s">
        <v>10</v>
      </c>
      <c r="D4193" t="s">
        <v>11</v>
      </c>
      <c r="E4193" t="s">
        <v>12</v>
      </c>
      <c r="F4193">
        <v>5098460</v>
      </c>
      <c r="G4193">
        <v>5098559</v>
      </c>
      <c r="H4193">
        <v>5098251</v>
      </c>
      <c r="I4193">
        <v>5098275</v>
      </c>
    </row>
    <row r="4194" spans="1:9" x14ac:dyDescent="0.2">
      <c r="A4194" t="str">
        <f>"Cnih3"</f>
        <v>Cnih3</v>
      </c>
      <c r="B4194" t="s">
        <v>14</v>
      </c>
      <c r="C4194" t="s">
        <v>19</v>
      </c>
      <c r="D4194" t="s">
        <v>17</v>
      </c>
      <c r="E4194" t="s">
        <v>12</v>
      </c>
      <c r="F4194">
        <v>181352649</v>
      </c>
      <c r="G4194">
        <v>181352664</v>
      </c>
      <c r="H4194">
        <v>181352618</v>
      </c>
      <c r="I4194">
        <v>181352641</v>
      </c>
    </row>
    <row r="4195" spans="1:9" x14ac:dyDescent="0.2">
      <c r="A4195" t="str">
        <f>"Cnih4"</f>
        <v>Cnih4</v>
      </c>
      <c r="B4195" t="s">
        <v>14</v>
      </c>
      <c r="C4195" t="s">
        <v>19</v>
      </c>
      <c r="D4195" t="s">
        <v>17</v>
      </c>
      <c r="E4195" t="s">
        <v>12</v>
      </c>
      <c r="F4195">
        <v>181150926</v>
      </c>
      <c r="G4195">
        <v>181150984</v>
      </c>
      <c r="H4195">
        <v>181150926</v>
      </c>
      <c r="I4195">
        <v>181150984</v>
      </c>
    </row>
    <row r="4196" spans="1:9" x14ac:dyDescent="0.2">
      <c r="A4196" t="str">
        <f>"Cnksr1"</f>
        <v>Cnksr1</v>
      </c>
      <c r="B4196" t="s">
        <v>14</v>
      </c>
      <c r="C4196" t="s">
        <v>23</v>
      </c>
      <c r="D4196" t="s">
        <v>11</v>
      </c>
      <c r="E4196" t="s">
        <v>12</v>
      </c>
      <c r="F4196">
        <v>134238326</v>
      </c>
      <c r="G4196">
        <v>134238369</v>
      </c>
      <c r="H4196">
        <v>134238372</v>
      </c>
      <c r="I4196">
        <v>134238398</v>
      </c>
    </row>
    <row r="4197" spans="1:9" x14ac:dyDescent="0.2">
      <c r="A4197" t="str">
        <f>"Cnksr2"</f>
        <v>Cnksr2</v>
      </c>
      <c r="B4197" t="s">
        <v>14</v>
      </c>
      <c r="C4197" t="s">
        <v>37</v>
      </c>
      <c r="D4197" t="s">
        <v>11</v>
      </c>
      <c r="E4197" t="s">
        <v>12</v>
      </c>
      <c r="F4197">
        <v>158043206</v>
      </c>
      <c r="G4197">
        <v>158043260</v>
      </c>
      <c r="H4197">
        <v>158043266</v>
      </c>
      <c r="I4197">
        <v>158043286</v>
      </c>
    </row>
    <row r="4198" spans="1:9" x14ac:dyDescent="0.2">
      <c r="A4198" t="str">
        <f>"Cnksr3"</f>
        <v>Cnksr3</v>
      </c>
      <c r="B4198" t="s">
        <v>14</v>
      </c>
      <c r="C4198" t="s">
        <v>15</v>
      </c>
      <c r="D4198" t="s">
        <v>11</v>
      </c>
      <c r="E4198" t="s">
        <v>12</v>
      </c>
      <c r="F4198">
        <v>7212197</v>
      </c>
      <c r="G4198">
        <v>7212220</v>
      </c>
      <c r="H4198">
        <v>7212222</v>
      </c>
      <c r="I4198">
        <v>7212247</v>
      </c>
    </row>
    <row r="4199" spans="1:9" x14ac:dyDescent="0.2">
      <c r="A4199" t="str">
        <f>"Cnn1"</f>
        <v>Cnn1</v>
      </c>
      <c r="B4199" t="s">
        <v>14</v>
      </c>
      <c r="C4199" t="s">
        <v>24</v>
      </c>
      <c r="D4199" t="s">
        <v>17</v>
      </c>
      <c r="E4199" t="s">
        <v>12</v>
      </c>
      <c r="F4199">
        <v>22099271</v>
      </c>
      <c r="G4199">
        <v>22099287</v>
      </c>
      <c r="H4199">
        <v>22099271</v>
      </c>
      <c r="I4199">
        <v>22099287</v>
      </c>
    </row>
    <row r="4200" spans="1:9" x14ac:dyDescent="0.2">
      <c r="A4200" t="str">
        <f>"Cnn2"</f>
        <v>Cnn2</v>
      </c>
      <c r="B4200" t="s">
        <v>14</v>
      </c>
      <c r="C4200" t="s">
        <v>15</v>
      </c>
      <c r="D4200" t="s">
        <v>17</v>
      </c>
      <c r="E4200" t="s">
        <v>12</v>
      </c>
      <c r="F4200">
        <v>79988589</v>
      </c>
      <c r="G4200">
        <v>79988683</v>
      </c>
      <c r="H4200">
        <v>79988589</v>
      </c>
      <c r="I4200">
        <v>79988683</v>
      </c>
    </row>
    <row r="4201" spans="1:9" x14ac:dyDescent="0.2">
      <c r="A4201" t="str">
        <f>"Cnn3"</f>
        <v>Cnn3</v>
      </c>
      <c r="B4201" t="s">
        <v>14</v>
      </c>
      <c r="C4201" t="s">
        <v>22</v>
      </c>
      <c r="D4201" t="s">
        <v>17</v>
      </c>
      <c r="E4201" t="s">
        <v>12</v>
      </c>
      <c r="F4201">
        <v>121426495</v>
      </c>
      <c r="G4201">
        <v>121426541</v>
      </c>
      <c r="H4201">
        <v>121426568</v>
      </c>
      <c r="I4201">
        <v>121426575</v>
      </c>
    </row>
    <row r="4202" spans="1:9" x14ac:dyDescent="0.2">
      <c r="A4202" t="str">
        <f>"Cnnm1"</f>
        <v>Cnnm1</v>
      </c>
      <c r="B4202" t="s">
        <v>14</v>
      </c>
      <c r="C4202" t="s">
        <v>10</v>
      </c>
      <c r="D4202" t="s">
        <v>17</v>
      </c>
      <c r="E4202" t="s">
        <v>12</v>
      </c>
      <c r="F4202">
        <v>43440404</v>
      </c>
      <c r="G4202">
        <v>43440447</v>
      </c>
      <c r="H4202">
        <v>43440384</v>
      </c>
      <c r="I4202">
        <v>43440399</v>
      </c>
    </row>
    <row r="4203" spans="1:9" x14ac:dyDescent="0.2">
      <c r="A4203" t="str">
        <f>"Cnnm2"</f>
        <v>Cnnm2</v>
      </c>
      <c r="B4203" t="s">
        <v>14</v>
      </c>
      <c r="C4203" t="s">
        <v>10</v>
      </c>
      <c r="D4203" t="s">
        <v>17</v>
      </c>
      <c r="E4203" t="s">
        <v>12</v>
      </c>
      <c r="F4203">
        <v>46761578</v>
      </c>
      <c r="G4203">
        <v>46761618</v>
      </c>
      <c r="H4203">
        <v>46761639</v>
      </c>
      <c r="I4203">
        <v>46761656</v>
      </c>
    </row>
    <row r="4204" spans="1:9" x14ac:dyDescent="0.2">
      <c r="A4204" t="str">
        <f>"Cnnm3"</f>
        <v>Cnnm3</v>
      </c>
      <c r="B4204" t="s">
        <v>9</v>
      </c>
      <c r="C4204" t="s">
        <v>19</v>
      </c>
      <c r="D4204" t="s">
        <v>17</v>
      </c>
      <c r="E4204" t="s">
        <v>12</v>
      </c>
      <c r="F4204">
        <v>36511868</v>
      </c>
      <c r="G4204">
        <v>36511903</v>
      </c>
      <c r="H4204">
        <v>36511868</v>
      </c>
      <c r="I4204">
        <v>36511903</v>
      </c>
    </row>
    <row r="4205" spans="1:9" x14ac:dyDescent="0.2">
      <c r="A4205" t="str">
        <f>"Cnnm3"</f>
        <v>Cnnm3</v>
      </c>
      <c r="B4205" t="s">
        <v>13</v>
      </c>
      <c r="C4205" t="s">
        <v>19</v>
      </c>
      <c r="D4205" t="s">
        <v>17</v>
      </c>
      <c r="E4205" t="s">
        <v>12</v>
      </c>
      <c r="F4205">
        <v>36513065</v>
      </c>
      <c r="G4205">
        <v>36513079</v>
      </c>
      <c r="H4205">
        <v>36513065</v>
      </c>
      <c r="I4205">
        <v>36513079</v>
      </c>
    </row>
    <row r="4206" spans="1:9" x14ac:dyDescent="0.2">
      <c r="A4206" t="str">
        <f>"Cnnm4"</f>
        <v>Cnnm4</v>
      </c>
      <c r="B4206" t="s">
        <v>14</v>
      </c>
      <c r="C4206" t="s">
        <v>19</v>
      </c>
      <c r="D4206" t="s">
        <v>17</v>
      </c>
      <c r="E4206" t="s">
        <v>12</v>
      </c>
      <c r="F4206">
        <v>36471590</v>
      </c>
      <c r="G4206">
        <v>36471606</v>
      </c>
      <c r="H4206">
        <v>36471590</v>
      </c>
      <c r="I4206">
        <v>36471606</v>
      </c>
    </row>
    <row r="4207" spans="1:9" x14ac:dyDescent="0.2">
      <c r="A4207" t="str">
        <f>"Cnot1"</f>
        <v>Cnot1</v>
      </c>
      <c r="B4207" t="s">
        <v>14</v>
      </c>
      <c r="C4207" t="s">
        <v>30</v>
      </c>
      <c r="D4207" t="s">
        <v>11</v>
      </c>
      <c r="E4207" t="s">
        <v>12</v>
      </c>
      <c r="F4207">
        <v>95807416</v>
      </c>
      <c r="G4207">
        <v>95807453</v>
      </c>
      <c r="H4207">
        <v>95807458</v>
      </c>
      <c r="I4207">
        <v>95807471</v>
      </c>
    </row>
    <row r="4208" spans="1:9" x14ac:dyDescent="0.2">
      <c r="A4208" t="str">
        <f>"Cnot10"</f>
        <v>Cnot10</v>
      </c>
      <c r="B4208" t="s">
        <v>14</v>
      </c>
      <c r="C4208" t="s">
        <v>24</v>
      </c>
      <c r="D4208" t="s">
        <v>11</v>
      </c>
      <c r="E4208" t="s">
        <v>12</v>
      </c>
      <c r="F4208">
        <v>114640052</v>
      </c>
      <c r="G4208">
        <v>114640113</v>
      </c>
      <c r="H4208">
        <v>114640175</v>
      </c>
      <c r="I4208">
        <v>114640218</v>
      </c>
    </row>
    <row r="4209" spans="1:9" x14ac:dyDescent="0.2">
      <c r="A4209" t="str">
        <f>"Cnot11"</f>
        <v>Cnot11</v>
      </c>
      <c r="B4209" t="s">
        <v>14</v>
      </c>
      <c r="C4209" t="s">
        <v>19</v>
      </c>
      <c r="D4209" t="s">
        <v>17</v>
      </c>
      <c r="E4209" t="s">
        <v>67</v>
      </c>
      <c r="F4209">
        <v>39535747</v>
      </c>
      <c r="G4209">
        <v>39535839</v>
      </c>
      <c r="H4209">
        <v>39535674</v>
      </c>
      <c r="I4209">
        <v>39535698</v>
      </c>
    </row>
    <row r="4210" spans="1:9" x14ac:dyDescent="0.2">
      <c r="A4210" t="str">
        <f>"Cnot2"</f>
        <v>Cnot2</v>
      </c>
      <c r="B4210" t="s">
        <v>14</v>
      </c>
      <c r="C4210" t="s">
        <v>15</v>
      </c>
      <c r="D4210" t="s">
        <v>11</v>
      </c>
      <c r="E4210" t="s">
        <v>12</v>
      </c>
      <c r="F4210">
        <v>116581478</v>
      </c>
      <c r="G4210">
        <v>116581507</v>
      </c>
      <c r="H4210">
        <v>116581824</v>
      </c>
      <c r="I4210">
        <v>116581875</v>
      </c>
    </row>
    <row r="4211" spans="1:9" x14ac:dyDescent="0.2">
      <c r="A4211" t="str">
        <f>"Cnot3"</f>
        <v>Cnot3</v>
      </c>
      <c r="B4211" t="s">
        <v>14</v>
      </c>
      <c r="C4211" t="s">
        <v>33</v>
      </c>
      <c r="D4211" t="s">
        <v>17</v>
      </c>
      <c r="E4211" t="s">
        <v>12</v>
      </c>
      <c r="F4211">
        <v>3645267</v>
      </c>
      <c r="G4211">
        <v>3645321</v>
      </c>
      <c r="H4211">
        <v>3645509</v>
      </c>
      <c r="I4211">
        <v>3645567</v>
      </c>
    </row>
    <row r="4212" spans="1:9" x14ac:dyDescent="0.2">
      <c r="A4212" t="str">
        <f>"Cnot4"</f>
        <v>Cnot4</v>
      </c>
      <c r="B4212" t="s">
        <v>14</v>
      </c>
      <c r="C4212" t="s">
        <v>32</v>
      </c>
      <c r="D4212" t="s">
        <v>11</v>
      </c>
      <c r="E4212" t="s">
        <v>12</v>
      </c>
      <c r="F4212">
        <v>35133688</v>
      </c>
      <c r="G4212">
        <v>35133730</v>
      </c>
      <c r="H4212">
        <v>35133731</v>
      </c>
      <c r="I4212">
        <v>35133742</v>
      </c>
    </row>
    <row r="4213" spans="1:9" x14ac:dyDescent="0.2">
      <c r="A4213" t="str">
        <f>"Cnot6"</f>
        <v>Cnot6</v>
      </c>
      <c r="B4213" t="s">
        <v>14</v>
      </c>
      <c r="C4213" t="s">
        <v>27</v>
      </c>
      <c r="D4213" t="s">
        <v>11</v>
      </c>
      <c r="E4213" t="s">
        <v>12</v>
      </c>
      <c r="F4213">
        <v>49712674</v>
      </c>
      <c r="G4213">
        <v>49712726</v>
      </c>
      <c r="H4213">
        <v>49712637</v>
      </c>
      <c r="I4213">
        <v>49712668</v>
      </c>
    </row>
    <row r="4214" spans="1:9" x14ac:dyDescent="0.2">
      <c r="A4214" t="str">
        <f>"Cnot6l"</f>
        <v>Cnot6l</v>
      </c>
      <c r="B4214" t="s">
        <v>9</v>
      </c>
      <c r="C4214" t="s">
        <v>46</v>
      </c>
      <c r="D4214" t="s">
        <v>11</v>
      </c>
      <c r="E4214" t="s">
        <v>12</v>
      </c>
      <c r="F4214">
        <v>96162482</v>
      </c>
      <c r="G4214">
        <v>96162576</v>
      </c>
      <c r="H4214">
        <v>96162482</v>
      </c>
      <c r="I4214">
        <v>96162576</v>
      </c>
    </row>
    <row r="4215" spans="1:9" x14ac:dyDescent="0.2">
      <c r="A4215" t="str">
        <f>"Cnot6l"</f>
        <v>Cnot6l</v>
      </c>
      <c r="B4215" t="s">
        <v>13</v>
      </c>
      <c r="C4215" t="s">
        <v>46</v>
      </c>
      <c r="D4215" t="s">
        <v>11</v>
      </c>
      <c r="E4215" t="s">
        <v>12</v>
      </c>
      <c r="F4215">
        <v>96164147</v>
      </c>
      <c r="G4215">
        <v>96164201</v>
      </c>
      <c r="H4215">
        <v>96164147</v>
      </c>
      <c r="I4215">
        <v>96164201</v>
      </c>
    </row>
    <row r="4216" spans="1:9" x14ac:dyDescent="0.2">
      <c r="A4216" t="str">
        <f>"Cnot7"</f>
        <v>Cnot7</v>
      </c>
      <c r="B4216" t="s">
        <v>14</v>
      </c>
      <c r="C4216" t="s">
        <v>30</v>
      </c>
      <c r="D4216" t="s">
        <v>11</v>
      </c>
      <c r="E4216" t="s">
        <v>12</v>
      </c>
      <c r="F4216">
        <v>40511663</v>
      </c>
      <c r="G4216">
        <v>40511756</v>
      </c>
      <c r="H4216">
        <v>40511298</v>
      </c>
      <c r="I4216">
        <v>40511346</v>
      </c>
    </row>
    <row r="4217" spans="1:9" x14ac:dyDescent="0.2">
      <c r="A4217" t="str">
        <f>"Cnot8"</f>
        <v>Cnot8</v>
      </c>
      <c r="B4217" t="s">
        <v>14</v>
      </c>
      <c r="C4217" t="s">
        <v>27</v>
      </c>
      <c r="D4217" t="s">
        <v>17</v>
      </c>
      <c r="E4217" t="s">
        <v>12</v>
      </c>
      <c r="F4217">
        <v>58104138</v>
      </c>
      <c r="G4217">
        <v>58104191</v>
      </c>
      <c r="H4217">
        <v>58104082</v>
      </c>
      <c r="I4217">
        <v>58104137</v>
      </c>
    </row>
    <row r="4218" spans="1:9" x14ac:dyDescent="0.2">
      <c r="A4218" t="str">
        <f>"Cnp"</f>
        <v>Cnp</v>
      </c>
      <c r="B4218" t="s">
        <v>14</v>
      </c>
      <c r="C4218" t="s">
        <v>27</v>
      </c>
      <c r="D4218" t="s">
        <v>17</v>
      </c>
      <c r="E4218" t="s">
        <v>12</v>
      </c>
      <c r="F4218">
        <v>100574965</v>
      </c>
      <c r="G4218">
        <v>100574982</v>
      </c>
      <c r="H4218">
        <v>100575797</v>
      </c>
      <c r="I4218">
        <v>100575815</v>
      </c>
    </row>
    <row r="4219" spans="1:9" x14ac:dyDescent="0.2">
      <c r="A4219" t="str">
        <f>"Cnppd1"</f>
        <v>Cnppd1</v>
      </c>
      <c r="B4219" t="s">
        <v>9</v>
      </c>
      <c r="C4219" t="s">
        <v>19</v>
      </c>
      <c r="D4219" t="s">
        <v>11</v>
      </c>
      <c r="E4219" t="s">
        <v>67</v>
      </c>
      <c r="F4219">
        <v>75142634</v>
      </c>
      <c r="G4219">
        <v>75142725</v>
      </c>
      <c r="H4219">
        <v>75142634</v>
      </c>
      <c r="I4219">
        <v>75142725</v>
      </c>
    </row>
    <row r="4220" spans="1:9" x14ac:dyDescent="0.2">
      <c r="A4220" t="str">
        <f>"Cnppd1"</f>
        <v>Cnppd1</v>
      </c>
      <c r="B4220" t="s">
        <v>13</v>
      </c>
      <c r="C4220" t="s">
        <v>19</v>
      </c>
      <c r="D4220" t="s">
        <v>11</v>
      </c>
      <c r="E4220" t="s">
        <v>67</v>
      </c>
      <c r="F4220">
        <v>75141572</v>
      </c>
      <c r="G4220">
        <v>75141606</v>
      </c>
      <c r="H4220">
        <v>75141572</v>
      </c>
      <c r="I4220">
        <v>75141606</v>
      </c>
    </row>
    <row r="4221" spans="1:9" x14ac:dyDescent="0.2">
      <c r="A4221" t="str">
        <f>"Cnpy1"</f>
        <v>Cnpy1</v>
      </c>
      <c r="B4221" t="s">
        <v>14</v>
      </c>
      <c r="C4221" t="s">
        <v>46</v>
      </c>
      <c r="D4221" t="s">
        <v>11</v>
      </c>
      <c r="E4221" t="s">
        <v>12</v>
      </c>
      <c r="F4221">
        <v>28209916</v>
      </c>
      <c r="G4221">
        <v>28209935</v>
      </c>
      <c r="H4221">
        <v>28210067</v>
      </c>
      <c r="I4221">
        <v>28210082</v>
      </c>
    </row>
    <row r="4222" spans="1:9" x14ac:dyDescent="0.2">
      <c r="A4222" t="str">
        <f>"Cnpy2"</f>
        <v>Cnpy2</v>
      </c>
      <c r="B4222" t="s">
        <v>14</v>
      </c>
      <c r="C4222" t="s">
        <v>15</v>
      </c>
      <c r="D4222" t="s">
        <v>17</v>
      </c>
      <c r="E4222" t="s">
        <v>12</v>
      </c>
      <c r="F4222">
        <v>128322657</v>
      </c>
      <c r="G4222">
        <v>128322729</v>
      </c>
      <c r="H4222">
        <v>128322544</v>
      </c>
      <c r="I4222">
        <v>128322574</v>
      </c>
    </row>
    <row r="4223" spans="1:9" x14ac:dyDescent="0.2">
      <c r="A4223" t="str">
        <f>"Cnpy3"</f>
        <v>Cnpy3</v>
      </c>
      <c r="B4223" t="s">
        <v>14</v>
      </c>
      <c r="C4223" t="s">
        <v>28</v>
      </c>
      <c r="D4223" t="s">
        <v>11</v>
      </c>
      <c r="E4223" t="s">
        <v>12</v>
      </c>
      <c r="F4223">
        <v>46752170</v>
      </c>
      <c r="G4223">
        <v>46752231</v>
      </c>
      <c r="H4223">
        <v>46752113</v>
      </c>
      <c r="I4223">
        <v>46752153</v>
      </c>
    </row>
    <row r="4224" spans="1:9" x14ac:dyDescent="0.2">
      <c r="A4224" t="str">
        <f>"Cnpy4"</f>
        <v>Cnpy4</v>
      </c>
      <c r="B4224" t="s">
        <v>14</v>
      </c>
      <c r="C4224" t="s">
        <v>46</v>
      </c>
      <c r="D4224" t="s">
        <v>17</v>
      </c>
      <c r="E4224" t="s">
        <v>12</v>
      </c>
      <c r="F4224">
        <v>138187523</v>
      </c>
      <c r="G4224">
        <v>138187566</v>
      </c>
      <c r="H4224">
        <v>138187499</v>
      </c>
      <c r="I4224">
        <v>138187521</v>
      </c>
    </row>
    <row r="4225" spans="1:9" x14ac:dyDescent="0.2">
      <c r="A4225" t="str">
        <f>"Cnr1"</f>
        <v>Cnr1</v>
      </c>
      <c r="B4225" t="s">
        <v>14</v>
      </c>
      <c r="C4225" t="s">
        <v>23</v>
      </c>
      <c r="D4225" t="s">
        <v>17</v>
      </c>
      <c r="E4225" t="s">
        <v>12</v>
      </c>
      <c r="F4225">
        <v>33924636</v>
      </c>
      <c r="G4225">
        <v>33924651</v>
      </c>
      <c r="H4225">
        <v>33924636</v>
      </c>
      <c r="I4225">
        <v>33924651</v>
      </c>
    </row>
    <row r="4226" spans="1:9" x14ac:dyDescent="0.2">
      <c r="A4226" t="str">
        <f>"Cnr2"</f>
        <v>Cnr2</v>
      </c>
      <c r="B4226" t="s">
        <v>9</v>
      </c>
      <c r="C4226" t="s">
        <v>23</v>
      </c>
      <c r="D4226" t="s">
        <v>17</v>
      </c>
      <c r="E4226" t="s">
        <v>12</v>
      </c>
      <c r="F4226">
        <v>135895414</v>
      </c>
      <c r="G4226">
        <v>135895476</v>
      </c>
      <c r="H4226">
        <v>135895414</v>
      </c>
      <c r="I4226">
        <v>135895476</v>
      </c>
    </row>
    <row r="4227" spans="1:9" x14ac:dyDescent="0.2">
      <c r="A4227" t="str">
        <f>"Cnr2"</f>
        <v>Cnr2</v>
      </c>
      <c r="B4227" t="s">
        <v>13</v>
      </c>
      <c r="C4227" t="s">
        <v>23</v>
      </c>
      <c r="D4227" t="s">
        <v>17</v>
      </c>
      <c r="E4227" t="s">
        <v>12</v>
      </c>
      <c r="F4227">
        <v>135911851</v>
      </c>
      <c r="G4227">
        <v>135911883</v>
      </c>
      <c r="H4227">
        <v>135911851</v>
      </c>
      <c r="I4227">
        <v>135911883</v>
      </c>
    </row>
    <row r="4228" spans="1:9" x14ac:dyDescent="0.2">
      <c r="A4228" t="str">
        <f>"Cnrip1"</f>
        <v>Cnrip1</v>
      </c>
      <c r="B4228" t="s">
        <v>14</v>
      </c>
      <c r="C4228" t="s">
        <v>27</v>
      </c>
      <c r="D4228" t="s">
        <v>17</v>
      </c>
      <c r="E4228" t="s">
        <v>12</v>
      </c>
      <c r="F4228">
        <v>17051823</v>
      </c>
      <c r="G4228">
        <v>17051899</v>
      </c>
      <c r="H4228">
        <v>17051926</v>
      </c>
      <c r="I4228">
        <v>17051974</v>
      </c>
    </row>
    <row r="4229" spans="1:9" x14ac:dyDescent="0.2">
      <c r="A4229" t="str">
        <f>"Cnst"</f>
        <v>Cnst</v>
      </c>
      <c r="B4229" t="s">
        <v>14</v>
      </c>
      <c r="C4229" t="s">
        <v>19</v>
      </c>
      <c r="D4229" t="s">
        <v>17</v>
      </c>
      <c r="E4229" t="s">
        <v>12</v>
      </c>
      <c r="F4229">
        <v>179546434</v>
      </c>
      <c r="G4229">
        <v>179546520</v>
      </c>
      <c r="H4229">
        <v>179546408</v>
      </c>
      <c r="I4229">
        <v>179546433</v>
      </c>
    </row>
    <row r="4230" spans="1:9" x14ac:dyDescent="0.2">
      <c r="A4230" t="str">
        <f>"Cntd1"</f>
        <v>Cntd1</v>
      </c>
      <c r="B4230" t="s">
        <v>14</v>
      </c>
      <c r="C4230" t="s">
        <v>27</v>
      </c>
      <c r="D4230" t="s">
        <v>17</v>
      </c>
      <c r="E4230" t="s">
        <v>12</v>
      </c>
      <c r="F4230">
        <v>101279112</v>
      </c>
      <c r="G4230">
        <v>101279147</v>
      </c>
      <c r="H4230">
        <v>101279157</v>
      </c>
      <c r="I4230">
        <v>101279188</v>
      </c>
    </row>
    <row r="4231" spans="1:9" x14ac:dyDescent="0.2">
      <c r="A4231" t="str">
        <f>"Cntf"</f>
        <v>Cntf</v>
      </c>
      <c r="B4231" t="s">
        <v>14</v>
      </c>
      <c r="C4231" t="s">
        <v>10</v>
      </c>
      <c r="D4231" t="s">
        <v>11</v>
      </c>
      <c r="E4231" t="s">
        <v>12</v>
      </c>
      <c r="F4231">
        <v>12765447</v>
      </c>
      <c r="G4231">
        <v>12765485</v>
      </c>
      <c r="H4231">
        <v>12765447</v>
      </c>
      <c r="I4231">
        <v>12765485</v>
      </c>
    </row>
    <row r="4232" spans="1:9" x14ac:dyDescent="0.2">
      <c r="A4232" t="str">
        <f>"Cntfr"</f>
        <v>Cntfr</v>
      </c>
      <c r="B4232" t="s">
        <v>2309</v>
      </c>
      <c r="C4232" t="s">
        <v>23</v>
      </c>
      <c r="D4232" t="s">
        <v>11</v>
      </c>
      <c r="E4232" t="s">
        <v>20</v>
      </c>
      <c r="F4232">
        <v>41695441</v>
      </c>
      <c r="G4232">
        <v>41695441</v>
      </c>
      <c r="H4232">
        <v>41695441</v>
      </c>
      <c r="I4232">
        <v>41695441</v>
      </c>
    </row>
    <row r="4233" spans="1:9" x14ac:dyDescent="0.2">
      <c r="A4233" t="str">
        <f>"Cntfr"</f>
        <v>Cntfr</v>
      </c>
      <c r="B4233" t="s">
        <v>2310</v>
      </c>
      <c r="C4233" t="s">
        <v>23</v>
      </c>
      <c r="D4233" t="s">
        <v>11</v>
      </c>
      <c r="E4233" t="s">
        <v>20</v>
      </c>
      <c r="F4233">
        <v>41697039</v>
      </c>
      <c r="G4233">
        <v>41697039</v>
      </c>
      <c r="H4233">
        <v>41697039</v>
      </c>
      <c r="I4233">
        <v>41697039</v>
      </c>
    </row>
    <row r="4234" spans="1:9" x14ac:dyDescent="0.2">
      <c r="A4234" t="str">
        <f>"Cntln"</f>
        <v>Cntln</v>
      </c>
      <c r="B4234" t="s">
        <v>14</v>
      </c>
      <c r="C4234" t="s">
        <v>23</v>
      </c>
      <c r="D4234" t="s">
        <v>17</v>
      </c>
      <c r="E4234" t="s">
        <v>12</v>
      </c>
      <c r="F4234">
        <v>84884418</v>
      </c>
      <c r="G4234">
        <v>84884457</v>
      </c>
      <c r="H4234">
        <v>84884366</v>
      </c>
      <c r="I4234">
        <v>84884407</v>
      </c>
    </row>
    <row r="4235" spans="1:9" x14ac:dyDescent="0.2">
      <c r="A4235" t="str">
        <f>"Cntn1"</f>
        <v>Cntn1</v>
      </c>
      <c r="B4235" t="s">
        <v>14</v>
      </c>
      <c r="C4235" t="s">
        <v>25</v>
      </c>
      <c r="D4235" t="s">
        <v>17</v>
      </c>
      <c r="E4235" t="s">
        <v>12</v>
      </c>
      <c r="F4235">
        <v>92051176</v>
      </c>
      <c r="G4235">
        <v>92051225</v>
      </c>
      <c r="H4235">
        <v>92051153</v>
      </c>
      <c r="I4235">
        <v>92051170</v>
      </c>
    </row>
    <row r="4236" spans="1:9" x14ac:dyDescent="0.2">
      <c r="A4236" t="str">
        <f>"Cntn2"</f>
        <v>Cntn2</v>
      </c>
      <c r="B4236" t="s">
        <v>14</v>
      </c>
      <c r="C4236" t="s">
        <v>19</v>
      </c>
      <c r="D4236" t="s">
        <v>11</v>
      </c>
      <c r="E4236" t="s">
        <v>12</v>
      </c>
      <c r="F4236">
        <v>132542857</v>
      </c>
      <c r="G4236">
        <v>132542878</v>
      </c>
      <c r="H4236">
        <v>132542882</v>
      </c>
      <c r="I4236">
        <v>132542906</v>
      </c>
    </row>
    <row r="4237" spans="1:9" x14ac:dyDescent="0.2">
      <c r="A4237" t="str">
        <f>"Cntn3"</f>
        <v>Cntn3</v>
      </c>
      <c r="B4237" t="s">
        <v>2311</v>
      </c>
      <c r="C4237" t="s">
        <v>32</v>
      </c>
      <c r="D4237" t="s">
        <v>11</v>
      </c>
      <c r="E4237" t="s">
        <v>20</v>
      </c>
      <c r="F4237">
        <v>102464666</v>
      </c>
      <c r="G4237">
        <v>102464666</v>
      </c>
      <c r="H4237">
        <v>102464666</v>
      </c>
      <c r="I4237">
        <v>102464666</v>
      </c>
    </row>
    <row r="4238" spans="1:9" x14ac:dyDescent="0.2">
      <c r="A4238" t="str">
        <f>"Cntn4"</f>
        <v>Cntn4</v>
      </c>
      <c r="B4238" t="s">
        <v>14</v>
      </c>
      <c r="C4238" t="s">
        <v>32</v>
      </c>
      <c r="D4238" t="s">
        <v>17</v>
      </c>
      <c r="E4238" t="s">
        <v>12</v>
      </c>
      <c r="F4238">
        <v>105677643</v>
      </c>
      <c r="G4238">
        <v>105677738</v>
      </c>
      <c r="H4238">
        <v>105677768</v>
      </c>
      <c r="I4238">
        <v>105677794</v>
      </c>
    </row>
    <row r="4239" spans="1:9" x14ac:dyDescent="0.2">
      <c r="A4239" t="str">
        <f>"Cntn5"</f>
        <v>Cntn5</v>
      </c>
      <c r="B4239" t="s">
        <v>14</v>
      </c>
      <c r="C4239" t="s">
        <v>24</v>
      </c>
      <c r="D4239" t="s">
        <v>11</v>
      </c>
      <c r="E4239" t="s">
        <v>12</v>
      </c>
      <c r="F4239">
        <v>10904766</v>
      </c>
      <c r="G4239">
        <v>10904835</v>
      </c>
      <c r="H4239">
        <v>10904744</v>
      </c>
      <c r="I4239">
        <v>10904765</v>
      </c>
    </row>
    <row r="4240" spans="1:9" x14ac:dyDescent="0.2">
      <c r="A4240" t="str">
        <f>"Cntn6"</f>
        <v>Cntn6</v>
      </c>
      <c r="B4240" t="s">
        <v>14</v>
      </c>
      <c r="C4240" t="s">
        <v>32</v>
      </c>
      <c r="D4240" t="s">
        <v>17</v>
      </c>
      <c r="E4240" t="s">
        <v>12</v>
      </c>
      <c r="F4240">
        <v>104493161</v>
      </c>
      <c r="G4240">
        <v>104493216</v>
      </c>
      <c r="H4240">
        <v>104493049</v>
      </c>
      <c r="I4240">
        <v>104493111</v>
      </c>
    </row>
    <row r="4241" spans="1:9" x14ac:dyDescent="0.2">
      <c r="A4241" t="str">
        <f>"Cntnap1"</f>
        <v>Cntnap1</v>
      </c>
      <c r="B4241" t="s">
        <v>14</v>
      </c>
      <c r="C4241" t="s">
        <v>27</v>
      </c>
      <c r="D4241" t="s">
        <v>17</v>
      </c>
      <c r="E4241" t="s">
        <v>12</v>
      </c>
      <c r="F4241">
        <v>101176194</v>
      </c>
      <c r="G4241">
        <v>101176247</v>
      </c>
      <c r="H4241">
        <v>101175965</v>
      </c>
      <c r="I4241">
        <v>101175988</v>
      </c>
    </row>
    <row r="4242" spans="1:9" x14ac:dyDescent="0.2">
      <c r="A4242" t="str">
        <f>"Cntnap2"</f>
        <v>Cntnap2</v>
      </c>
      <c r="B4242" t="s">
        <v>2312</v>
      </c>
      <c r="C4242" t="s">
        <v>32</v>
      </c>
      <c r="D4242" t="s">
        <v>17</v>
      </c>
      <c r="E4242" t="s">
        <v>35</v>
      </c>
      <c r="F4242">
        <v>45059920</v>
      </c>
      <c r="G4242">
        <v>45059963</v>
      </c>
      <c r="H4242">
        <v>45060172</v>
      </c>
      <c r="I4242">
        <v>45060177</v>
      </c>
    </row>
    <row r="4243" spans="1:9" x14ac:dyDescent="0.2">
      <c r="A4243" t="str">
        <f>"Cntnap3"</f>
        <v>Cntnap3</v>
      </c>
      <c r="B4243" t="s">
        <v>14</v>
      </c>
      <c r="C4243" t="s">
        <v>39</v>
      </c>
      <c r="D4243" t="s">
        <v>11</v>
      </c>
      <c r="E4243" t="s">
        <v>12</v>
      </c>
      <c r="F4243">
        <v>64903949</v>
      </c>
      <c r="G4243">
        <v>64903995</v>
      </c>
      <c r="H4243">
        <v>64903949</v>
      </c>
      <c r="I4243">
        <v>64903995</v>
      </c>
    </row>
    <row r="4244" spans="1:9" x14ac:dyDescent="0.2">
      <c r="A4244" t="str">
        <f>"Cntnap4"</f>
        <v>Cntnap4</v>
      </c>
      <c r="B4244" t="s">
        <v>14</v>
      </c>
      <c r="C4244" t="s">
        <v>30</v>
      </c>
      <c r="D4244" t="s">
        <v>17</v>
      </c>
      <c r="E4244" t="s">
        <v>12</v>
      </c>
      <c r="F4244">
        <v>112570043</v>
      </c>
      <c r="G4244">
        <v>112570060</v>
      </c>
      <c r="H4244">
        <v>112570021</v>
      </c>
      <c r="I4244">
        <v>112570039</v>
      </c>
    </row>
    <row r="4245" spans="1:9" x14ac:dyDescent="0.2">
      <c r="A4245" t="str">
        <f>"Cntnap5a"</f>
        <v>Cntnap5a</v>
      </c>
      <c r="B4245" t="s">
        <v>14</v>
      </c>
      <c r="C4245" t="s">
        <v>19</v>
      </c>
      <c r="D4245" t="s">
        <v>17</v>
      </c>
      <c r="E4245" t="s">
        <v>12</v>
      </c>
      <c r="F4245">
        <v>115684727</v>
      </c>
      <c r="G4245">
        <v>115684744</v>
      </c>
      <c r="H4245">
        <v>115684727</v>
      </c>
      <c r="I4245">
        <v>115684744</v>
      </c>
    </row>
    <row r="4246" spans="1:9" x14ac:dyDescent="0.2">
      <c r="A4246" t="str">
        <f>"Cntnap5b"</f>
        <v>Cntnap5b</v>
      </c>
      <c r="B4246" t="s">
        <v>14</v>
      </c>
      <c r="C4246" t="s">
        <v>19</v>
      </c>
      <c r="D4246" t="s">
        <v>17</v>
      </c>
      <c r="E4246" t="s">
        <v>12</v>
      </c>
      <c r="F4246">
        <v>99772394</v>
      </c>
      <c r="G4246">
        <v>99772408</v>
      </c>
      <c r="H4246">
        <v>99772394</v>
      </c>
      <c r="I4246">
        <v>99772408</v>
      </c>
    </row>
    <row r="4247" spans="1:9" x14ac:dyDescent="0.2">
      <c r="A4247" t="str">
        <f>"Cntnap5c"</f>
        <v>Cntnap5c</v>
      </c>
      <c r="B4247" t="s">
        <v>14</v>
      </c>
      <c r="C4247" t="s">
        <v>28</v>
      </c>
      <c r="D4247" t="s">
        <v>17</v>
      </c>
      <c r="E4247" t="s">
        <v>12</v>
      </c>
      <c r="F4247">
        <v>57769164</v>
      </c>
      <c r="G4247">
        <v>57769217</v>
      </c>
      <c r="H4247">
        <v>57769164</v>
      </c>
      <c r="I4247">
        <v>57769217</v>
      </c>
    </row>
    <row r="4248" spans="1:9" x14ac:dyDescent="0.2">
      <c r="A4248" t="str">
        <f>"Cntrob"</f>
        <v>Cntrob</v>
      </c>
      <c r="B4248" t="s">
        <v>14</v>
      </c>
      <c r="C4248" t="s">
        <v>27</v>
      </c>
      <c r="D4248" t="s">
        <v>11</v>
      </c>
      <c r="E4248" t="s">
        <v>12</v>
      </c>
      <c r="F4248">
        <v>69323768</v>
      </c>
      <c r="G4248">
        <v>69323832</v>
      </c>
      <c r="H4248">
        <v>69323736</v>
      </c>
      <c r="I4248">
        <v>69323765</v>
      </c>
    </row>
    <row r="4249" spans="1:9" x14ac:dyDescent="0.2">
      <c r="A4249" t="str">
        <f>"Coa3"</f>
        <v>Coa3</v>
      </c>
      <c r="B4249" t="s">
        <v>14</v>
      </c>
      <c r="C4249" t="s">
        <v>27</v>
      </c>
      <c r="D4249" t="s">
        <v>11</v>
      </c>
      <c r="E4249" t="s">
        <v>67</v>
      </c>
      <c r="F4249">
        <v>101278927</v>
      </c>
      <c r="G4249">
        <v>101278969</v>
      </c>
      <c r="H4249">
        <v>101279046</v>
      </c>
      <c r="I4249">
        <v>101279051</v>
      </c>
    </row>
    <row r="4250" spans="1:9" x14ac:dyDescent="0.2">
      <c r="A4250" t="str">
        <f>"Coa4"</f>
        <v>Coa4</v>
      </c>
      <c r="B4250" t="s">
        <v>14</v>
      </c>
      <c r="C4250" t="s">
        <v>33</v>
      </c>
      <c r="D4250" t="s">
        <v>17</v>
      </c>
      <c r="E4250" t="s">
        <v>67</v>
      </c>
      <c r="F4250">
        <v>100537052</v>
      </c>
      <c r="G4250">
        <v>100537139</v>
      </c>
      <c r="H4250">
        <v>100537052</v>
      </c>
      <c r="I4250">
        <v>100537139</v>
      </c>
    </row>
    <row r="4251" spans="1:9" x14ac:dyDescent="0.2">
      <c r="A4251" t="str">
        <f>"Coa5"</f>
        <v>Coa5</v>
      </c>
      <c r="B4251" t="s">
        <v>14</v>
      </c>
      <c r="C4251" t="s">
        <v>19</v>
      </c>
      <c r="D4251" t="s">
        <v>11</v>
      </c>
      <c r="E4251" t="s">
        <v>67</v>
      </c>
      <c r="F4251">
        <v>37430016</v>
      </c>
      <c r="G4251">
        <v>37430057</v>
      </c>
      <c r="H4251">
        <v>37429989</v>
      </c>
      <c r="I4251">
        <v>37430000</v>
      </c>
    </row>
    <row r="4252" spans="1:9" x14ac:dyDescent="0.2">
      <c r="A4252" t="str">
        <f>"Coa6"</f>
        <v>Coa6</v>
      </c>
      <c r="B4252" t="s">
        <v>14</v>
      </c>
      <c r="C4252" t="s">
        <v>30</v>
      </c>
      <c r="D4252" t="s">
        <v>17</v>
      </c>
      <c r="E4252" t="s">
        <v>67</v>
      </c>
      <c r="F4252">
        <v>126422520</v>
      </c>
      <c r="G4252">
        <v>126422559</v>
      </c>
      <c r="H4252">
        <v>126422478</v>
      </c>
      <c r="I4252">
        <v>126422514</v>
      </c>
    </row>
    <row r="4253" spans="1:9" x14ac:dyDescent="0.2">
      <c r="A4253" t="str">
        <f>"Coasy"</f>
        <v>Coasy</v>
      </c>
      <c r="B4253" t="s">
        <v>14</v>
      </c>
      <c r="C4253" t="s">
        <v>27</v>
      </c>
      <c r="D4253" t="s">
        <v>17</v>
      </c>
      <c r="E4253" t="s">
        <v>12</v>
      </c>
      <c r="F4253">
        <v>101082608</v>
      </c>
      <c r="G4253">
        <v>101082642</v>
      </c>
      <c r="H4253">
        <v>101082643</v>
      </c>
      <c r="I4253">
        <v>101082678</v>
      </c>
    </row>
    <row r="4254" spans="1:9" x14ac:dyDescent="0.2">
      <c r="A4254" t="str">
        <f>"Cobl"</f>
        <v>Cobl</v>
      </c>
      <c r="B4254" t="s">
        <v>14</v>
      </c>
      <c r="C4254" t="s">
        <v>27</v>
      </c>
      <c r="D4254" t="s">
        <v>11</v>
      </c>
      <c r="E4254" t="s">
        <v>12</v>
      </c>
      <c r="F4254">
        <v>12464881</v>
      </c>
      <c r="G4254">
        <v>12464997</v>
      </c>
      <c r="H4254">
        <v>12464881</v>
      </c>
      <c r="I4254">
        <v>12464997</v>
      </c>
    </row>
    <row r="4255" spans="1:9" x14ac:dyDescent="0.2">
      <c r="A4255" t="str">
        <f>"Cobll1"</f>
        <v>Cobll1</v>
      </c>
      <c r="B4255" t="s">
        <v>14</v>
      </c>
      <c r="C4255" t="s">
        <v>26</v>
      </c>
      <c r="D4255" t="s">
        <v>11</v>
      </c>
      <c r="E4255" t="s">
        <v>12</v>
      </c>
      <c r="F4255">
        <v>65238441</v>
      </c>
      <c r="G4255">
        <v>65238497</v>
      </c>
      <c r="H4255">
        <v>65239039</v>
      </c>
      <c r="I4255">
        <v>65239058</v>
      </c>
    </row>
    <row r="4256" spans="1:9" x14ac:dyDescent="0.2">
      <c r="A4256" t="str">
        <f>"Coch"</f>
        <v>Coch</v>
      </c>
      <c r="B4256" t="s">
        <v>14</v>
      </c>
      <c r="C4256" t="s">
        <v>16</v>
      </c>
      <c r="D4256" t="s">
        <v>17</v>
      </c>
      <c r="E4256" t="s">
        <v>12</v>
      </c>
      <c r="F4256">
        <v>51593365</v>
      </c>
      <c r="G4256">
        <v>51593381</v>
      </c>
      <c r="H4256">
        <v>51593315</v>
      </c>
      <c r="I4256">
        <v>51593357</v>
      </c>
    </row>
    <row r="4257" spans="1:9" x14ac:dyDescent="0.2">
      <c r="A4257" t="str">
        <f>"Cog1"</f>
        <v>Cog1</v>
      </c>
      <c r="B4257" t="s">
        <v>14</v>
      </c>
      <c r="C4257" t="s">
        <v>27</v>
      </c>
      <c r="D4257" t="s">
        <v>17</v>
      </c>
      <c r="E4257" t="s">
        <v>12</v>
      </c>
      <c r="F4257">
        <v>113649519</v>
      </c>
      <c r="G4257">
        <v>113649560</v>
      </c>
      <c r="H4257">
        <v>113649519</v>
      </c>
      <c r="I4257">
        <v>113649560</v>
      </c>
    </row>
    <row r="4258" spans="1:9" x14ac:dyDescent="0.2">
      <c r="A4258" t="str">
        <f>"Cog2"</f>
        <v>Cog2</v>
      </c>
      <c r="B4258" t="s">
        <v>14</v>
      </c>
      <c r="C4258" t="s">
        <v>30</v>
      </c>
      <c r="D4258" t="s">
        <v>17</v>
      </c>
      <c r="E4258" t="s">
        <v>12</v>
      </c>
      <c r="F4258">
        <v>124520776</v>
      </c>
      <c r="G4258">
        <v>124520865</v>
      </c>
      <c r="H4258">
        <v>124520766</v>
      </c>
      <c r="I4258">
        <v>124520769</v>
      </c>
    </row>
    <row r="4259" spans="1:9" x14ac:dyDescent="0.2">
      <c r="A4259" t="str">
        <f>"Cog3"</f>
        <v>Cog3</v>
      </c>
      <c r="B4259" t="s">
        <v>14</v>
      </c>
      <c r="C4259" t="s">
        <v>41</v>
      </c>
      <c r="D4259" t="s">
        <v>11</v>
      </c>
      <c r="E4259" t="s">
        <v>12</v>
      </c>
      <c r="F4259">
        <v>75754475</v>
      </c>
      <c r="G4259">
        <v>75754563</v>
      </c>
      <c r="H4259">
        <v>75754445</v>
      </c>
      <c r="I4259">
        <v>75754462</v>
      </c>
    </row>
    <row r="4260" spans="1:9" x14ac:dyDescent="0.2">
      <c r="A4260" t="str">
        <f>"Cog4"</f>
        <v>Cog4</v>
      </c>
      <c r="B4260" t="s">
        <v>14</v>
      </c>
      <c r="C4260" t="s">
        <v>30</v>
      </c>
      <c r="D4260" t="s">
        <v>17</v>
      </c>
      <c r="E4260" t="s">
        <v>12</v>
      </c>
      <c r="F4260">
        <v>110847015</v>
      </c>
      <c r="G4260">
        <v>110847049</v>
      </c>
      <c r="H4260">
        <v>110847143</v>
      </c>
      <c r="I4260">
        <v>110847150</v>
      </c>
    </row>
    <row r="4261" spans="1:9" x14ac:dyDescent="0.2">
      <c r="A4261" t="str">
        <f>"Cog5"</f>
        <v>Cog5</v>
      </c>
      <c r="B4261" t="s">
        <v>14</v>
      </c>
      <c r="C4261" t="s">
        <v>16</v>
      </c>
      <c r="D4261" t="s">
        <v>17</v>
      </c>
      <c r="E4261" t="s">
        <v>12</v>
      </c>
      <c r="F4261">
        <v>31654848</v>
      </c>
      <c r="G4261">
        <v>31654891</v>
      </c>
      <c r="H4261">
        <v>31654848</v>
      </c>
      <c r="I4261">
        <v>31654891</v>
      </c>
    </row>
    <row r="4262" spans="1:9" x14ac:dyDescent="0.2">
      <c r="A4262" t="str">
        <f>"Cog6"</f>
        <v>Cog6</v>
      </c>
      <c r="B4262" t="s">
        <v>14</v>
      </c>
      <c r="C4262" t="s">
        <v>22</v>
      </c>
      <c r="D4262" t="s">
        <v>11</v>
      </c>
      <c r="E4262" t="s">
        <v>12</v>
      </c>
      <c r="F4262">
        <v>53017195</v>
      </c>
      <c r="G4262">
        <v>53017247</v>
      </c>
      <c r="H4262">
        <v>53017195</v>
      </c>
      <c r="I4262">
        <v>53017247</v>
      </c>
    </row>
    <row r="4263" spans="1:9" x14ac:dyDescent="0.2">
      <c r="A4263" t="str">
        <f>"Cog7"</f>
        <v>Cog7</v>
      </c>
      <c r="B4263" t="s">
        <v>14</v>
      </c>
      <c r="C4263" t="s">
        <v>33</v>
      </c>
      <c r="D4263" t="s">
        <v>11</v>
      </c>
      <c r="E4263" t="s">
        <v>12</v>
      </c>
      <c r="F4263">
        <v>121981669</v>
      </c>
      <c r="G4263">
        <v>121981706</v>
      </c>
      <c r="H4263">
        <v>121981708</v>
      </c>
      <c r="I4263">
        <v>121981718</v>
      </c>
    </row>
    <row r="4264" spans="1:9" x14ac:dyDescent="0.2">
      <c r="A4264" t="str">
        <f>"Cog8"</f>
        <v>Cog8</v>
      </c>
      <c r="B4264" t="s">
        <v>14</v>
      </c>
      <c r="C4264" t="s">
        <v>30</v>
      </c>
      <c r="D4264" t="s">
        <v>11</v>
      </c>
      <c r="E4264" t="s">
        <v>12</v>
      </c>
      <c r="F4264">
        <v>107056650</v>
      </c>
      <c r="G4264">
        <v>107056691</v>
      </c>
      <c r="H4264">
        <v>107056697</v>
      </c>
      <c r="I4264">
        <v>107056707</v>
      </c>
    </row>
    <row r="4265" spans="1:9" x14ac:dyDescent="0.2">
      <c r="A4265" t="str">
        <f>"Coil"</f>
        <v>Coil</v>
      </c>
      <c r="B4265" t="s">
        <v>14</v>
      </c>
      <c r="C4265" t="s">
        <v>27</v>
      </c>
      <c r="D4265" t="s">
        <v>17</v>
      </c>
      <c r="E4265" t="s">
        <v>12</v>
      </c>
      <c r="F4265">
        <v>88973928</v>
      </c>
      <c r="G4265">
        <v>88973961</v>
      </c>
      <c r="H4265">
        <v>88973928</v>
      </c>
      <c r="I4265">
        <v>88973961</v>
      </c>
    </row>
    <row r="4266" spans="1:9" x14ac:dyDescent="0.2">
      <c r="A4266" t="str">
        <f>"Col10a1"</f>
        <v>Col10a1</v>
      </c>
      <c r="B4266" t="s">
        <v>14</v>
      </c>
      <c r="C4266" t="s">
        <v>15</v>
      </c>
      <c r="D4266" t="s">
        <v>17</v>
      </c>
      <c r="E4266" t="s">
        <v>12</v>
      </c>
      <c r="F4266">
        <v>34389974</v>
      </c>
      <c r="G4266">
        <v>34389990</v>
      </c>
      <c r="H4266">
        <v>34389974</v>
      </c>
      <c r="I4266">
        <v>34389990</v>
      </c>
    </row>
    <row r="4267" spans="1:9" x14ac:dyDescent="0.2">
      <c r="A4267" t="str">
        <f>"Col11a1"</f>
        <v>Col11a1</v>
      </c>
      <c r="B4267" t="s">
        <v>14</v>
      </c>
      <c r="C4267" t="s">
        <v>22</v>
      </c>
      <c r="D4267" t="s">
        <v>17</v>
      </c>
      <c r="E4267" t="s">
        <v>12</v>
      </c>
      <c r="F4267">
        <v>114030584</v>
      </c>
      <c r="G4267">
        <v>114030638</v>
      </c>
      <c r="H4267">
        <v>114030532</v>
      </c>
      <c r="I4267">
        <v>114030571</v>
      </c>
    </row>
    <row r="4268" spans="1:9" x14ac:dyDescent="0.2">
      <c r="A4268" t="str">
        <f>"Col11a2"</f>
        <v>Col11a2</v>
      </c>
      <c r="B4268" t="s">
        <v>14</v>
      </c>
      <c r="C4268" t="s">
        <v>28</v>
      </c>
      <c r="D4268" t="s">
        <v>17</v>
      </c>
      <c r="E4268" t="s">
        <v>12</v>
      </c>
      <c r="F4268">
        <v>34039462</v>
      </c>
      <c r="G4268">
        <v>34039481</v>
      </c>
      <c r="H4268">
        <v>34039462</v>
      </c>
      <c r="I4268">
        <v>34039481</v>
      </c>
    </row>
    <row r="4269" spans="1:9" x14ac:dyDescent="0.2">
      <c r="A4269" t="str">
        <f>"Col12a1"</f>
        <v>Col12a1</v>
      </c>
      <c r="B4269" t="s">
        <v>14</v>
      </c>
      <c r="C4269" t="s">
        <v>24</v>
      </c>
      <c r="D4269" t="s">
        <v>11</v>
      </c>
      <c r="E4269" t="s">
        <v>12</v>
      </c>
      <c r="F4269">
        <v>79718631</v>
      </c>
      <c r="G4269">
        <v>79718648</v>
      </c>
      <c r="H4269">
        <v>79718765</v>
      </c>
      <c r="I4269">
        <v>79718777</v>
      </c>
    </row>
    <row r="4270" spans="1:9" x14ac:dyDescent="0.2">
      <c r="A4270" t="str">
        <f>"Col13a1"</f>
        <v>Col13a1</v>
      </c>
      <c r="B4270" t="s">
        <v>14</v>
      </c>
      <c r="C4270" t="s">
        <v>15</v>
      </c>
      <c r="D4270" t="s">
        <v>11</v>
      </c>
      <c r="E4270" t="s">
        <v>12</v>
      </c>
      <c r="F4270">
        <v>61979113</v>
      </c>
      <c r="G4270">
        <v>61979136</v>
      </c>
      <c r="H4270">
        <v>61979076</v>
      </c>
      <c r="I4270">
        <v>61979108</v>
      </c>
    </row>
    <row r="4271" spans="1:9" x14ac:dyDescent="0.2">
      <c r="A4271" t="str">
        <f>"Col14a1"</f>
        <v>Col14a1</v>
      </c>
      <c r="B4271" t="s">
        <v>14</v>
      </c>
      <c r="C4271" t="s">
        <v>25</v>
      </c>
      <c r="D4271" t="s">
        <v>17</v>
      </c>
      <c r="E4271" t="s">
        <v>12</v>
      </c>
      <c r="F4271">
        <v>55307743</v>
      </c>
      <c r="G4271">
        <v>55307762</v>
      </c>
      <c r="H4271">
        <v>55307798</v>
      </c>
      <c r="I4271">
        <v>55307805</v>
      </c>
    </row>
    <row r="4272" spans="1:9" x14ac:dyDescent="0.2">
      <c r="A4272" t="str">
        <f>"Col15a1"</f>
        <v>Col15a1</v>
      </c>
      <c r="B4272" t="s">
        <v>14</v>
      </c>
      <c r="C4272" t="s">
        <v>23</v>
      </c>
      <c r="D4272" t="s">
        <v>17</v>
      </c>
      <c r="E4272" t="s">
        <v>12</v>
      </c>
      <c r="F4272">
        <v>47208237</v>
      </c>
      <c r="G4272">
        <v>47208252</v>
      </c>
      <c r="H4272">
        <v>47208005</v>
      </c>
      <c r="I4272">
        <v>47208088</v>
      </c>
    </row>
    <row r="4273" spans="1:9" x14ac:dyDescent="0.2">
      <c r="A4273" t="str">
        <f>"Col16a1"</f>
        <v>Col16a1</v>
      </c>
      <c r="B4273" t="s">
        <v>14</v>
      </c>
      <c r="C4273" t="s">
        <v>23</v>
      </c>
      <c r="D4273" t="s">
        <v>17</v>
      </c>
      <c r="E4273" t="s">
        <v>12</v>
      </c>
      <c r="F4273">
        <v>130047856</v>
      </c>
      <c r="G4273">
        <v>130047901</v>
      </c>
      <c r="H4273">
        <v>130047914</v>
      </c>
      <c r="I4273">
        <v>130047929</v>
      </c>
    </row>
    <row r="4274" spans="1:9" x14ac:dyDescent="0.2">
      <c r="A4274" t="str">
        <f>"Col17a1"</f>
        <v>Col17a1</v>
      </c>
      <c r="B4274" t="s">
        <v>14</v>
      </c>
      <c r="C4274" t="s">
        <v>10</v>
      </c>
      <c r="D4274" t="s">
        <v>11</v>
      </c>
      <c r="E4274" t="s">
        <v>12</v>
      </c>
      <c r="F4274">
        <v>47692007</v>
      </c>
      <c r="G4274">
        <v>47692027</v>
      </c>
      <c r="H4274">
        <v>47691946</v>
      </c>
      <c r="I4274">
        <v>47691979</v>
      </c>
    </row>
    <row r="4275" spans="1:9" x14ac:dyDescent="0.2">
      <c r="A4275" t="str">
        <f>"Col18a1"</f>
        <v>Col18a1</v>
      </c>
      <c r="B4275" t="s">
        <v>2313</v>
      </c>
      <c r="C4275" t="s">
        <v>15</v>
      </c>
      <c r="D4275" t="s">
        <v>11</v>
      </c>
      <c r="E4275" t="s">
        <v>35</v>
      </c>
      <c r="F4275">
        <v>77113832</v>
      </c>
      <c r="G4275">
        <v>77113836</v>
      </c>
      <c r="H4275">
        <v>77113832</v>
      </c>
      <c r="I4275">
        <v>77113836</v>
      </c>
    </row>
    <row r="4276" spans="1:9" x14ac:dyDescent="0.2">
      <c r="A4276" t="str">
        <f>"Col19a1"</f>
        <v>Col19a1</v>
      </c>
      <c r="B4276" t="s">
        <v>14</v>
      </c>
      <c r="C4276" t="s">
        <v>19</v>
      </c>
      <c r="D4276" t="s">
        <v>11</v>
      </c>
      <c r="E4276" t="s">
        <v>12</v>
      </c>
      <c r="F4276">
        <v>24587413</v>
      </c>
      <c r="G4276">
        <v>24587425</v>
      </c>
      <c r="H4276">
        <v>24587433</v>
      </c>
      <c r="I4276">
        <v>24587448</v>
      </c>
    </row>
    <row r="4277" spans="1:9" x14ac:dyDescent="0.2">
      <c r="A4277" t="str">
        <f>"Col1a1"</f>
        <v>Col1a1</v>
      </c>
      <c r="B4277" t="s">
        <v>9</v>
      </c>
      <c r="C4277" t="s">
        <v>27</v>
      </c>
      <c r="D4277" t="s">
        <v>17</v>
      </c>
      <c r="E4277" t="s">
        <v>12</v>
      </c>
      <c r="F4277">
        <v>94936246</v>
      </c>
      <c r="G4277">
        <v>94936260</v>
      </c>
      <c r="H4277">
        <v>94936246</v>
      </c>
      <c r="I4277">
        <v>94936260</v>
      </c>
    </row>
    <row r="4278" spans="1:9" x14ac:dyDescent="0.2">
      <c r="A4278" t="str">
        <f>"Col1a1"</f>
        <v>Col1a1</v>
      </c>
      <c r="B4278" t="s">
        <v>13</v>
      </c>
      <c r="C4278" t="s">
        <v>27</v>
      </c>
      <c r="D4278" t="s">
        <v>17</v>
      </c>
      <c r="E4278" t="s">
        <v>12</v>
      </c>
      <c r="F4278">
        <v>94937582</v>
      </c>
      <c r="G4278">
        <v>94937603</v>
      </c>
      <c r="H4278">
        <v>94937582</v>
      </c>
      <c r="I4278">
        <v>94937603</v>
      </c>
    </row>
    <row r="4279" spans="1:9" x14ac:dyDescent="0.2">
      <c r="A4279" t="str">
        <f>"Col1a2"</f>
        <v>Col1a2</v>
      </c>
      <c r="B4279" t="s">
        <v>14</v>
      </c>
      <c r="C4279" t="s">
        <v>32</v>
      </c>
      <c r="D4279" t="s">
        <v>17</v>
      </c>
      <c r="E4279" t="s">
        <v>12</v>
      </c>
      <c r="F4279">
        <v>4505695</v>
      </c>
      <c r="G4279">
        <v>4505709</v>
      </c>
      <c r="H4279">
        <v>4505695</v>
      </c>
      <c r="I4279">
        <v>4505709</v>
      </c>
    </row>
    <row r="4280" spans="1:9" x14ac:dyDescent="0.2">
      <c r="A4280" t="str">
        <f>"Col20a1"</f>
        <v>Col20a1</v>
      </c>
      <c r="B4280" t="s">
        <v>14</v>
      </c>
      <c r="C4280" t="s">
        <v>26</v>
      </c>
      <c r="D4280" t="s">
        <v>17</v>
      </c>
      <c r="E4280" t="s">
        <v>12</v>
      </c>
      <c r="F4280">
        <v>180984202</v>
      </c>
      <c r="G4280">
        <v>180984212</v>
      </c>
      <c r="H4280">
        <v>180984202</v>
      </c>
      <c r="I4280">
        <v>180984212</v>
      </c>
    </row>
    <row r="4281" spans="1:9" x14ac:dyDescent="0.2">
      <c r="A4281" t="str">
        <f>"Col22a1"</f>
        <v>Col22a1</v>
      </c>
      <c r="B4281" t="s">
        <v>14</v>
      </c>
      <c r="C4281" t="s">
        <v>25</v>
      </c>
      <c r="D4281" t="s">
        <v>11</v>
      </c>
      <c r="E4281" t="s">
        <v>12</v>
      </c>
      <c r="F4281">
        <v>72034202</v>
      </c>
      <c r="G4281">
        <v>72034224</v>
      </c>
      <c r="H4281">
        <v>72034202</v>
      </c>
      <c r="I4281">
        <v>72034224</v>
      </c>
    </row>
    <row r="4282" spans="1:9" x14ac:dyDescent="0.2">
      <c r="A4282" t="str">
        <f>"Col23a1"</f>
        <v>Col23a1</v>
      </c>
      <c r="B4282" t="s">
        <v>14</v>
      </c>
      <c r="C4282" t="s">
        <v>27</v>
      </c>
      <c r="D4282" t="s">
        <v>17</v>
      </c>
      <c r="E4282" t="s">
        <v>12</v>
      </c>
      <c r="F4282">
        <v>51289968</v>
      </c>
      <c r="G4282">
        <v>51290011</v>
      </c>
      <c r="H4282">
        <v>51289968</v>
      </c>
      <c r="I4282">
        <v>51290011</v>
      </c>
    </row>
    <row r="4283" spans="1:9" x14ac:dyDescent="0.2">
      <c r="A4283" t="str">
        <f>"Col24a1"</f>
        <v>Col24a1</v>
      </c>
      <c r="B4283" t="s">
        <v>14</v>
      </c>
      <c r="C4283" t="s">
        <v>22</v>
      </c>
      <c r="D4283" t="s">
        <v>17</v>
      </c>
      <c r="E4283" t="s">
        <v>12</v>
      </c>
      <c r="F4283">
        <v>145292716</v>
      </c>
      <c r="G4283">
        <v>145292776</v>
      </c>
      <c r="H4283">
        <v>145292509</v>
      </c>
      <c r="I4283">
        <v>145292536</v>
      </c>
    </row>
    <row r="4284" spans="1:9" x14ac:dyDescent="0.2">
      <c r="A4284" t="str">
        <f>"Col25a1"</f>
        <v>Col25a1</v>
      </c>
      <c r="B4284" t="s">
        <v>14</v>
      </c>
      <c r="C4284" t="s">
        <v>22</v>
      </c>
      <c r="D4284" t="s">
        <v>17</v>
      </c>
      <c r="E4284" t="s">
        <v>12</v>
      </c>
      <c r="F4284">
        <v>130180882</v>
      </c>
      <c r="G4284">
        <v>130180899</v>
      </c>
      <c r="H4284">
        <v>130180835</v>
      </c>
      <c r="I4284">
        <v>130180854</v>
      </c>
    </row>
    <row r="4285" spans="1:9" x14ac:dyDescent="0.2">
      <c r="A4285" t="str">
        <f>"Col26a1"</f>
        <v>Col26a1</v>
      </c>
      <c r="B4285" t="s">
        <v>14</v>
      </c>
      <c r="C4285" t="s">
        <v>46</v>
      </c>
      <c r="D4285" t="s">
        <v>11</v>
      </c>
      <c r="E4285" t="s">
        <v>67</v>
      </c>
      <c r="F4285">
        <v>136883115</v>
      </c>
      <c r="G4285">
        <v>136883168</v>
      </c>
      <c r="H4285">
        <v>136883220</v>
      </c>
      <c r="I4285">
        <v>136883232</v>
      </c>
    </row>
    <row r="4286" spans="1:9" x14ac:dyDescent="0.2">
      <c r="A4286" t="str">
        <f>"Col27a1"</f>
        <v>Col27a1</v>
      </c>
      <c r="B4286" t="s">
        <v>9</v>
      </c>
      <c r="C4286" t="s">
        <v>23</v>
      </c>
      <c r="D4286" t="s">
        <v>17</v>
      </c>
      <c r="E4286" t="s">
        <v>12</v>
      </c>
      <c r="F4286">
        <v>63215402</v>
      </c>
      <c r="G4286">
        <v>63215424</v>
      </c>
      <c r="H4286">
        <v>63215402</v>
      </c>
      <c r="I4286">
        <v>63215424</v>
      </c>
    </row>
    <row r="4287" spans="1:9" x14ac:dyDescent="0.2">
      <c r="A4287" t="str">
        <f>"Col27a1"</f>
        <v>Col27a1</v>
      </c>
      <c r="B4287" t="s">
        <v>13</v>
      </c>
      <c r="C4287" t="s">
        <v>23</v>
      </c>
      <c r="D4287" t="s">
        <v>17</v>
      </c>
      <c r="E4287" t="s">
        <v>12</v>
      </c>
      <c r="F4287">
        <v>63214134</v>
      </c>
      <c r="G4287">
        <v>63214150</v>
      </c>
      <c r="H4287">
        <v>63214134</v>
      </c>
      <c r="I4287">
        <v>63214150</v>
      </c>
    </row>
    <row r="4288" spans="1:9" x14ac:dyDescent="0.2">
      <c r="A4288" t="str">
        <f>"Col28a1"</f>
        <v>Col28a1</v>
      </c>
      <c r="B4288" t="s">
        <v>14</v>
      </c>
      <c r="C4288" t="s">
        <v>32</v>
      </c>
      <c r="D4288" t="s">
        <v>11</v>
      </c>
      <c r="E4288" t="s">
        <v>12</v>
      </c>
      <c r="F4288">
        <v>8192681</v>
      </c>
      <c r="G4288">
        <v>8192692</v>
      </c>
      <c r="H4288">
        <v>8192681</v>
      </c>
      <c r="I4288">
        <v>8192692</v>
      </c>
    </row>
    <row r="4289" spans="1:9" x14ac:dyDescent="0.2">
      <c r="A4289" t="str">
        <f>"Col2a1"</f>
        <v>Col2a1</v>
      </c>
      <c r="B4289" t="s">
        <v>14</v>
      </c>
      <c r="C4289" t="s">
        <v>25</v>
      </c>
      <c r="D4289" t="s">
        <v>11</v>
      </c>
      <c r="E4289" t="s">
        <v>12</v>
      </c>
      <c r="F4289">
        <v>98004634</v>
      </c>
      <c r="G4289">
        <v>98004652</v>
      </c>
      <c r="H4289">
        <v>98004666</v>
      </c>
      <c r="I4289">
        <v>98004682</v>
      </c>
    </row>
    <row r="4290" spans="1:9" x14ac:dyDescent="0.2">
      <c r="A4290" t="str">
        <f>"Col3a1"</f>
        <v>Col3a1</v>
      </c>
      <c r="B4290" t="s">
        <v>14</v>
      </c>
      <c r="C4290" t="s">
        <v>19</v>
      </c>
      <c r="D4290" t="s">
        <v>17</v>
      </c>
      <c r="E4290" t="s">
        <v>12</v>
      </c>
      <c r="F4290">
        <v>45311624</v>
      </c>
      <c r="G4290">
        <v>45311638</v>
      </c>
      <c r="H4290">
        <v>45311624</v>
      </c>
      <c r="I4290">
        <v>45311638</v>
      </c>
    </row>
    <row r="4291" spans="1:9" x14ac:dyDescent="0.2">
      <c r="A4291" t="str">
        <f>"Col4a1"</f>
        <v>Col4a1</v>
      </c>
      <c r="B4291" t="s">
        <v>14</v>
      </c>
      <c r="C4291" t="s">
        <v>30</v>
      </c>
      <c r="D4291" t="s">
        <v>11</v>
      </c>
      <c r="E4291" t="s">
        <v>12</v>
      </c>
      <c r="F4291">
        <v>11312731</v>
      </c>
      <c r="G4291">
        <v>11312758</v>
      </c>
      <c r="H4291">
        <v>11312731</v>
      </c>
      <c r="I4291">
        <v>11312758</v>
      </c>
    </row>
    <row r="4292" spans="1:9" x14ac:dyDescent="0.2">
      <c r="A4292" t="str">
        <f>"Col4a2"</f>
        <v>Col4a2</v>
      </c>
      <c r="B4292" t="s">
        <v>14</v>
      </c>
      <c r="C4292" t="s">
        <v>30</v>
      </c>
      <c r="D4292" t="s">
        <v>17</v>
      </c>
      <c r="E4292" t="s">
        <v>12</v>
      </c>
      <c r="F4292">
        <v>11312869</v>
      </c>
      <c r="G4292">
        <v>11312887</v>
      </c>
      <c r="H4292">
        <v>11312869</v>
      </c>
      <c r="I4292">
        <v>11312887</v>
      </c>
    </row>
    <row r="4293" spans="1:9" x14ac:dyDescent="0.2">
      <c r="A4293" t="str">
        <f>"Col4a3"</f>
        <v>Col4a3</v>
      </c>
      <c r="B4293" t="s">
        <v>14</v>
      </c>
      <c r="C4293" t="s">
        <v>19</v>
      </c>
      <c r="D4293" t="s">
        <v>17</v>
      </c>
      <c r="E4293" t="s">
        <v>12</v>
      </c>
      <c r="F4293">
        <v>82587173</v>
      </c>
      <c r="G4293">
        <v>82587192</v>
      </c>
      <c r="H4293">
        <v>82586942</v>
      </c>
      <c r="I4293">
        <v>82586988</v>
      </c>
    </row>
    <row r="4294" spans="1:9" x14ac:dyDescent="0.2">
      <c r="A4294" t="str">
        <f>"Col4a3bp"</f>
        <v>Col4a3bp</v>
      </c>
      <c r="B4294" t="s">
        <v>14</v>
      </c>
      <c r="C4294" t="s">
        <v>39</v>
      </c>
      <c r="D4294" t="s">
        <v>17</v>
      </c>
      <c r="E4294" t="s">
        <v>12</v>
      </c>
      <c r="F4294">
        <v>96542727</v>
      </c>
      <c r="G4294">
        <v>96542775</v>
      </c>
      <c r="H4294">
        <v>96542602</v>
      </c>
      <c r="I4294">
        <v>96542626</v>
      </c>
    </row>
    <row r="4295" spans="1:9" x14ac:dyDescent="0.2">
      <c r="A4295" t="str">
        <f>"Col4a4"</f>
        <v>Col4a4</v>
      </c>
      <c r="B4295" t="s">
        <v>14</v>
      </c>
      <c r="C4295" t="s">
        <v>19</v>
      </c>
      <c r="D4295" t="s">
        <v>11</v>
      </c>
      <c r="E4295" t="s">
        <v>12</v>
      </c>
      <c r="F4295">
        <v>82586781</v>
      </c>
      <c r="G4295">
        <v>82586842</v>
      </c>
      <c r="H4295">
        <v>82586760</v>
      </c>
      <c r="I4295">
        <v>82586779</v>
      </c>
    </row>
    <row r="4296" spans="1:9" x14ac:dyDescent="0.2">
      <c r="A4296" t="str">
        <f>"Col4a5"</f>
        <v>Col4a5</v>
      </c>
      <c r="B4296" t="s">
        <v>14</v>
      </c>
      <c r="C4296" t="s">
        <v>37</v>
      </c>
      <c r="D4296" t="s">
        <v>17</v>
      </c>
      <c r="E4296" t="s">
        <v>12</v>
      </c>
      <c r="F4296">
        <v>141475385</v>
      </c>
      <c r="G4296">
        <v>141475468</v>
      </c>
      <c r="H4296">
        <v>141475528</v>
      </c>
      <c r="I4296">
        <v>141475559</v>
      </c>
    </row>
    <row r="4297" spans="1:9" x14ac:dyDescent="0.2">
      <c r="A4297" t="str">
        <f>"Col4a6"</f>
        <v>Col4a6</v>
      </c>
      <c r="B4297" t="s">
        <v>14</v>
      </c>
      <c r="C4297" t="s">
        <v>37</v>
      </c>
      <c r="D4297" t="s">
        <v>11</v>
      </c>
      <c r="E4297" t="s">
        <v>12</v>
      </c>
      <c r="F4297">
        <v>141474034</v>
      </c>
      <c r="G4297">
        <v>141474091</v>
      </c>
      <c r="H4297">
        <v>141474034</v>
      </c>
      <c r="I4297">
        <v>141474091</v>
      </c>
    </row>
    <row r="4298" spans="1:9" x14ac:dyDescent="0.2">
      <c r="A4298" t="str">
        <f>"Col5a1"</f>
        <v>Col5a1</v>
      </c>
      <c r="B4298" t="s">
        <v>14</v>
      </c>
      <c r="C4298" t="s">
        <v>26</v>
      </c>
      <c r="D4298" t="s">
        <v>17</v>
      </c>
      <c r="E4298" t="s">
        <v>12</v>
      </c>
      <c r="F4298">
        <v>27886444</v>
      </c>
      <c r="G4298">
        <v>27886461</v>
      </c>
      <c r="H4298">
        <v>27886479</v>
      </c>
      <c r="I4298">
        <v>27886493</v>
      </c>
    </row>
    <row r="4299" spans="1:9" x14ac:dyDescent="0.2">
      <c r="A4299" t="str">
        <f>"Col5a2"</f>
        <v>Col5a2</v>
      </c>
      <c r="B4299" t="s">
        <v>14</v>
      </c>
      <c r="C4299" t="s">
        <v>19</v>
      </c>
      <c r="D4299" t="s">
        <v>11</v>
      </c>
      <c r="E4299" t="s">
        <v>12</v>
      </c>
      <c r="F4299">
        <v>45503056</v>
      </c>
      <c r="G4299">
        <v>45503071</v>
      </c>
      <c r="H4299">
        <v>45503056</v>
      </c>
      <c r="I4299">
        <v>45503071</v>
      </c>
    </row>
    <row r="4300" spans="1:9" x14ac:dyDescent="0.2">
      <c r="A4300" t="str">
        <f>"Col5a3"</f>
        <v>Col5a3</v>
      </c>
      <c r="B4300" t="s">
        <v>14</v>
      </c>
      <c r="C4300" t="s">
        <v>24</v>
      </c>
      <c r="D4300" t="s">
        <v>11</v>
      </c>
      <c r="E4300" t="s">
        <v>12</v>
      </c>
      <c r="F4300">
        <v>20815048</v>
      </c>
      <c r="G4300">
        <v>20815069</v>
      </c>
      <c r="H4300">
        <v>20815014</v>
      </c>
      <c r="I4300">
        <v>20815029</v>
      </c>
    </row>
    <row r="4301" spans="1:9" x14ac:dyDescent="0.2">
      <c r="A4301" t="str">
        <f>"Col6a1"</f>
        <v>Col6a1</v>
      </c>
      <c r="B4301" t="s">
        <v>14</v>
      </c>
      <c r="C4301" t="s">
        <v>15</v>
      </c>
      <c r="D4301" t="s">
        <v>11</v>
      </c>
      <c r="E4301" t="s">
        <v>12</v>
      </c>
      <c r="F4301">
        <v>76725978</v>
      </c>
      <c r="G4301">
        <v>76726050</v>
      </c>
      <c r="H4301">
        <v>76725978</v>
      </c>
      <c r="I4301">
        <v>76726050</v>
      </c>
    </row>
    <row r="4302" spans="1:9" x14ac:dyDescent="0.2">
      <c r="A4302" t="str">
        <f>"Col6a2"</f>
        <v>Col6a2</v>
      </c>
      <c r="B4302" t="s">
        <v>14</v>
      </c>
      <c r="C4302" t="s">
        <v>15</v>
      </c>
      <c r="D4302" t="s">
        <v>11</v>
      </c>
      <c r="E4302" t="s">
        <v>12</v>
      </c>
      <c r="F4302">
        <v>76623318</v>
      </c>
      <c r="G4302">
        <v>76623332</v>
      </c>
      <c r="H4302">
        <v>76623608</v>
      </c>
      <c r="I4302">
        <v>76623634</v>
      </c>
    </row>
    <row r="4303" spans="1:9" x14ac:dyDescent="0.2">
      <c r="A4303" t="str">
        <f>"Col6a3"</f>
        <v>Col6a3</v>
      </c>
      <c r="B4303" t="s">
        <v>14</v>
      </c>
      <c r="C4303" t="s">
        <v>19</v>
      </c>
      <c r="D4303" t="s">
        <v>11</v>
      </c>
      <c r="E4303" t="s">
        <v>12</v>
      </c>
      <c r="F4303">
        <v>90843916</v>
      </c>
      <c r="G4303">
        <v>90843983</v>
      </c>
      <c r="H4303">
        <v>90843992</v>
      </c>
      <c r="I4303">
        <v>90844004</v>
      </c>
    </row>
    <row r="4304" spans="1:9" x14ac:dyDescent="0.2">
      <c r="A4304" t="str">
        <f>"Col6a4"</f>
        <v>Col6a4</v>
      </c>
      <c r="B4304" t="s">
        <v>14</v>
      </c>
      <c r="C4304" t="s">
        <v>24</v>
      </c>
      <c r="D4304" t="s">
        <v>11</v>
      </c>
      <c r="E4304" t="s">
        <v>12</v>
      </c>
      <c r="F4304">
        <v>106096776</v>
      </c>
      <c r="G4304">
        <v>106096791</v>
      </c>
      <c r="H4304">
        <v>106096811</v>
      </c>
      <c r="I4304">
        <v>106096823</v>
      </c>
    </row>
    <row r="4305" spans="1:9" x14ac:dyDescent="0.2">
      <c r="A4305" t="str">
        <f>"Col6a5"</f>
        <v>Col6a5</v>
      </c>
      <c r="B4305" t="s">
        <v>14</v>
      </c>
      <c r="C4305" t="s">
        <v>24</v>
      </c>
      <c r="D4305" t="s">
        <v>11</v>
      </c>
      <c r="E4305" t="s">
        <v>12</v>
      </c>
      <c r="F4305">
        <v>105960642</v>
      </c>
      <c r="G4305">
        <v>105960659</v>
      </c>
      <c r="H4305">
        <v>105960677</v>
      </c>
      <c r="I4305">
        <v>105960688</v>
      </c>
    </row>
    <row r="4306" spans="1:9" x14ac:dyDescent="0.2">
      <c r="A4306" t="str">
        <f>"Col6a6"</f>
        <v>Col6a6</v>
      </c>
      <c r="B4306" t="s">
        <v>14</v>
      </c>
      <c r="C4306" t="s">
        <v>24</v>
      </c>
      <c r="D4306" t="s">
        <v>11</v>
      </c>
      <c r="E4306" t="s">
        <v>12</v>
      </c>
      <c r="F4306">
        <v>105828121</v>
      </c>
      <c r="G4306">
        <v>105828173</v>
      </c>
      <c r="H4306">
        <v>105827996</v>
      </c>
      <c r="I4306">
        <v>105828049</v>
      </c>
    </row>
    <row r="4307" spans="1:9" x14ac:dyDescent="0.2">
      <c r="A4307" t="str">
        <f>"Col7a1"</f>
        <v>Col7a1</v>
      </c>
      <c r="B4307" t="s">
        <v>14</v>
      </c>
      <c r="C4307" t="s">
        <v>24</v>
      </c>
      <c r="D4307" t="s">
        <v>17</v>
      </c>
      <c r="E4307" t="s">
        <v>12</v>
      </c>
      <c r="F4307">
        <v>108953578</v>
      </c>
      <c r="G4307">
        <v>108953593</v>
      </c>
      <c r="H4307">
        <v>108953597</v>
      </c>
      <c r="I4307">
        <v>108953609</v>
      </c>
    </row>
    <row r="4308" spans="1:9" x14ac:dyDescent="0.2">
      <c r="A4308" t="str">
        <f>"Col8a1"</f>
        <v>Col8a1</v>
      </c>
      <c r="B4308" t="s">
        <v>14</v>
      </c>
      <c r="C4308" t="s">
        <v>31</v>
      </c>
      <c r="D4308" t="s">
        <v>11</v>
      </c>
      <c r="E4308" t="s">
        <v>12</v>
      </c>
      <c r="F4308">
        <v>57754707</v>
      </c>
      <c r="G4308">
        <v>57754724</v>
      </c>
      <c r="H4308">
        <v>57754707</v>
      </c>
      <c r="I4308">
        <v>57754724</v>
      </c>
    </row>
    <row r="4309" spans="1:9" x14ac:dyDescent="0.2">
      <c r="A4309" t="str">
        <f>"Col8a2"</f>
        <v>Col8a2</v>
      </c>
      <c r="B4309" t="s">
        <v>14</v>
      </c>
      <c r="C4309" t="s">
        <v>23</v>
      </c>
      <c r="D4309" t="s">
        <v>17</v>
      </c>
      <c r="E4309" t="s">
        <v>12</v>
      </c>
      <c r="F4309">
        <v>126286812</v>
      </c>
      <c r="G4309">
        <v>126286827</v>
      </c>
      <c r="H4309">
        <v>126286792</v>
      </c>
      <c r="I4309">
        <v>126286803</v>
      </c>
    </row>
    <row r="4310" spans="1:9" x14ac:dyDescent="0.2">
      <c r="A4310" t="str">
        <f>"Col9a1"</f>
        <v>Col9a1</v>
      </c>
      <c r="B4310" t="s">
        <v>14</v>
      </c>
      <c r="C4310" t="s">
        <v>19</v>
      </c>
      <c r="D4310" t="s">
        <v>17</v>
      </c>
      <c r="E4310" t="s">
        <v>12</v>
      </c>
      <c r="F4310">
        <v>24195230</v>
      </c>
      <c r="G4310">
        <v>24195271</v>
      </c>
      <c r="H4310">
        <v>24195230</v>
      </c>
      <c r="I4310">
        <v>24195271</v>
      </c>
    </row>
    <row r="4311" spans="1:9" x14ac:dyDescent="0.2">
      <c r="A4311" t="str">
        <f>"Col9a2"</f>
        <v>Col9a2</v>
      </c>
      <c r="B4311" t="s">
        <v>9</v>
      </c>
      <c r="C4311" t="s">
        <v>23</v>
      </c>
      <c r="D4311" t="s">
        <v>17</v>
      </c>
      <c r="E4311" t="s">
        <v>12</v>
      </c>
      <c r="F4311">
        <v>121039556</v>
      </c>
      <c r="G4311">
        <v>121039680</v>
      </c>
      <c r="H4311">
        <v>121039556</v>
      </c>
      <c r="I4311">
        <v>121039680</v>
      </c>
    </row>
    <row r="4312" spans="1:9" x14ac:dyDescent="0.2">
      <c r="A4312" t="str">
        <f>"Col9a2"</f>
        <v>Col9a2</v>
      </c>
      <c r="B4312" t="s">
        <v>13</v>
      </c>
      <c r="C4312" t="s">
        <v>23</v>
      </c>
      <c r="D4312" t="s">
        <v>17</v>
      </c>
      <c r="E4312" t="s">
        <v>12</v>
      </c>
      <c r="F4312">
        <v>121053030</v>
      </c>
      <c r="G4312">
        <v>121053043</v>
      </c>
      <c r="H4312">
        <v>121053030</v>
      </c>
      <c r="I4312">
        <v>121053043</v>
      </c>
    </row>
    <row r="4313" spans="1:9" x14ac:dyDescent="0.2">
      <c r="A4313" t="str">
        <f>"Col9a3"</f>
        <v>Col9a3</v>
      </c>
      <c r="B4313" t="s">
        <v>14</v>
      </c>
      <c r="C4313" t="s">
        <v>26</v>
      </c>
      <c r="D4313" t="s">
        <v>17</v>
      </c>
      <c r="E4313" t="s">
        <v>12</v>
      </c>
      <c r="F4313">
        <v>180598227</v>
      </c>
      <c r="G4313">
        <v>180598251</v>
      </c>
      <c r="H4313">
        <v>180598219</v>
      </c>
      <c r="I4313">
        <v>180598226</v>
      </c>
    </row>
    <row r="4314" spans="1:9" x14ac:dyDescent="0.2">
      <c r="A4314" t="str">
        <f>"Colec10"</f>
        <v>Colec10</v>
      </c>
      <c r="B4314" t="s">
        <v>14</v>
      </c>
      <c r="C4314" t="s">
        <v>25</v>
      </c>
      <c r="D4314" t="s">
        <v>17</v>
      </c>
      <c r="E4314" t="s">
        <v>12</v>
      </c>
      <c r="F4314">
        <v>54410755</v>
      </c>
      <c r="G4314">
        <v>54410797</v>
      </c>
      <c r="H4314">
        <v>54410647</v>
      </c>
      <c r="I4314">
        <v>54410664</v>
      </c>
    </row>
    <row r="4315" spans="1:9" x14ac:dyDescent="0.2">
      <c r="A4315" t="str">
        <f>"Colec11"</f>
        <v>Colec11</v>
      </c>
      <c r="B4315" t="s">
        <v>14</v>
      </c>
      <c r="C4315" t="s">
        <v>16</v>
      </c>
      <c r="D4315" t="s">
        <v>11</v>
      </c>
      <c r="E4315" t="s">
        <v>12</v>
      </c>
      <c r="F4315">
        <v>28623282</v>
      </c>
      <c r="G4315">
        <v>28623296</v>
      </c>
      <c r="H4315">
        <v>28623313</v>
      </c>
      <c r="I4315">
        <v>28623329</v>
      </c>
    </row>
    <row r="4316" spans="1:9" x14ac:dyDescent="0.2">
      <c r="A4316" t="str">
        <f>"Colec12"</f>
        <v>Colec12</v>
      </c>
      <c r="B4316" t="s">
        <v>14</v>
      </c>
      <c r="C4316" t="s">
        <v>43</v>
      </c>
      <c r="D4316" t="s">
        <v>17</v>
      </c>
      <c r="E4316" t="s">
        <v>12</v>
      </c>
      <c r="F4316">
        <v>9707639</v>
      </c>
      <c r="G4316">
        <v>9707661</v>
      </c>
      <c r="H4316">
        <v>9707612</v>
      </c>
      <c r="I4316">
        <v>9707638</v>
      </c>
    </row>
    <row r="4317" spans="1:9" x14ac:dyDescent="0.2">
      <c r="A4317" t="str">
        <f>"Colgalt1"</f>
        <v>Colgalt1</v>
      </c>
      <c r="B4317" t="s">
        <v>14</v>
      </c>
      <c r="C4317" t="s">
        <v>30</v>
      </c>
      <c r="D4317" t="s">
        <v>17</v>
      </c>
      <c r="E4317" t="s">
        <v>67</v>
      </c>
      <c r="F4317">
        <v>71611160</v>
      </c>
      <c r="G4317">
        <v>71611200</v>
      </c>
      <c r="H4317">
        <v>71611160</v>
      </c>
      <c r="I4317">
        <v>71611200</v>
      </c>
    </row>
    <row r="4318" spans="1:9" x14ac:dyDescent="0.2">
      <c r="A4318" t="str">
        <f>"Colgalt2"</f>
        <v>Colgalt2</v>
      </c>
      <c r="B4318" t="s">
        <v>14</v>
      </c>
      <c r="C4318" t="s">
        <v>19</v>
      </c>
      <c r="D4318" t="s">
        <v>17</v>
      </c>
      <c r="E4318" t="s">
        <v>67</v>
      </c>
      <c r="F4318">
        <v>152399824</v>
      </c>
      <c r="G4318">
        <v>152399881</v>
      </c>
      <c r="H4318">
        <v>152399895</v>
      </c>
      <c r="I4318">
        <v>152399908</v>
      </c>
    </row>
    <row r="4319" spans="1:9" x14ac:dyDescent="0.2">
      <c r="A4319" t="str">
        <f>"Colq"</f>
        <v>Colq</v>
      </c>
      <c r="B4319" t="s">
        <v>14</v>
      </c>
      <c r="C4319" t="s">
        <v>41</v>
      </c>
      <c r="D4319" t="s">
        <v>11</v>
      </c>
      <c r="E4319" t="s">
        <v>12</v>
      </c>
      <c r="F4319">
        <v>31577318</v>
      </c>
      <c r="G4319">
        <v>31577334</v>
      </c>
      <c r="H4319">
        <v>31577283</v>
      </c>
      <c r="I4319">
        <v>31577294</v>
      </c>
    </row>
    <row r="4320" spans="1:9" x14ac:dyDescent="0.2">
      <c r="A4320" t="str">
        <f>"Commd1"</f>
        <v>Commd1</v>
      </c>
      <c r="B4320" t="s">
        <v>14</v>
      </c>
      <c r="C4320" t="s">
        <v>27</v>
      </c>
      <c r="D4320" t="s">
        <v>11</v>
      </c>
      <c r="E4320" t="s">
        <v>12</v>
      </c>
      <c r="F4320">
        <v>22982252</v>
      </c>
      <c r="G4320">
        <v>22982291</v>
      </c>
      <c r="H4320">
        <v>22982109</v>
      </c>
      <c r="I4320">
        <v>22982123</v>
      </c>
    </row>
    <row r="4321" spans="1:9" x14ac:dyDescent="0.2">
      <c r="A4321" t="str">
        <f>"Commd10"</f>
        <v>Commd10</v>
      </c>
      <c r="B4321" t="s">
        <v>14</v>
      </c>
      <c r="C4321" t="s">
        <v>43</v>
      </c>
      <c r="D4321" t="s">
        <v>17</v>
      </c>
      <c r="E4321" t="s">
        <v>12</v>
      </c>
      <c r="F4321">
        <v>46958842</v>
      </c>
      <c r="G4321">
        <v>46958889</v>
      </c>
      <c r="H4321">
        <v>46958842</v>
      </c>
      <c r="I4321">
        <v>46958889</v>
      </c>
    </row>
    <row r="4322" spans="1:9" x14ac:dyDescent="0.2">
      <c r="A4322" t="str">
        <f>"Commd2"</f>
        <v>Commd2</v>
      </c>
      <c r="B4322" t="s">
        <v>14</v>
      </c>
      <c r="C4322" t="s">
        <v>22</v>
      </c>
      <c r="D4322" t="s">
        <v>11</v>
      </c>
      <c r="E4322" t="s">
        <v>12</v>
      </c>
      <c r="F4322">
        <v>57651667</v>
      </c>
      <c r="G4322">
        <v>57651727</v>
      </c>
      <c r="H4322">
        <v>57651667</v>
      </c>
      <c r="I4322">
        <v>57651727</v>
      </c>
    </row>
    <row r="4323" spans="1:9" x14ac:dyDescent="0.2">
      <c r="A4323" t="str">
        <f>"Commd3"</f>
        <v>Commd3</v>
      </c>
      <c r="B4323" t="s">
        <v>14</v>
      </c>
      <c r="C4323" t="s">
        <v>26</v>
      </c>
      <c r="D4323" t="s">
        <v>17</v>
      </c>
      <c r="E4323" t="s">
        <v>12</v>
      </c>
      <c r="F4323">
        <v>18672417</v>
      </c>
      <c r="G4323">
        <v>18672482</v>
      </c>
      <c r="H4323">
        <v>18672493</v>
      </c>
      <c r="I4323">
        <v>18672504</v>
      </c>
    </row>
    <row r="4324" spans="1:9" x14ac:dyDescent="0.2">
      <c r="A4324" t="str">
        <f>"Commd4"</f>
        <v>Commd4</v>
      </c>
      <c r="B4324" t="s">
        <v>14</v>
      </c>
      <c r="C4324" t="s">
        <v>24</v>
      </c>
      <c r="D4324" t="s">
        <v>11</v>
      </c>
      <c r="E4324" t="s">
        <v>12</v>
      </c>
      <c r="F4324">
        <v>57158288</v>
      </c>
      <c r="G4324">
        <v>57158338</v>
      </c>
      <c r="H4324">
        <v>57158271</v>
      </c>
      <c r="I4324">
        <v>57158285</v>
      </c>
    </row>
    <row r="4325" spans="1:9" x14ac:dyDescent="0.2">
      <c r="A4325" t="str">
        <f>"Commd5"</f>
        <v>Commd5</v>
      </c>
      <c r="B4325" t="s">
        <v>14</v>
      </c>
      <c r="C4325" t="s">
        <v>25</v>
      </c>
      <c r="D4325" t="s">
        <v>17</v>
      </c>
      <c r="E4325" t="s">
        <v>12</v>
      </c>
      <c r="F4325">
        <v>76899908</v>
      </c>
      <c r="G4325">
        <v>76899960</v>
      </c>
      <c r="H4325">
        <v>76899962</v>
      </c>
      <c r="I4325">
        <v>76899973</v>
      </c>
    </row>
    <row r="4326" spans="1:9" x14ac:dyDescent="0.2">
      <c r="A4326" t="str">
        <f>"Commd6"</f>
        <v>Commd6</v>
      </c>
      <c r="B4326" t="s">
        <v>14</v>
      </c>
      <c r="C4326" t="s">
        <v>41</v>
      </c>
      <c r="D4326" t="s">
        <v>11</v>
      </c>
      <c r="E4326" t="s">
        <v>12</v>
      </c>
      <c r="F4326">
        <v>101640434</v>
      </c>
      <c r="G4326">
        <v>101640477</v>
      </c>
      <c r="H4326">
        <v>101640670</v>
      </c>
      <c r="I4326">
        <v>101640700</v>
      </c>
    </row>
    <row r="4327" spans="1:9" x14ac:dyDescent="0.2">
      <c r="A4327" t="str">
        <f>"Commd7"</f>
        <v>Commd7</v>
      </c>
      <c r="B4327" t="s">
        <v>14</v>
      </c>
      <c r="C4327" t="s">
        <v>26</v>
      </c>
      <c r="D4327" t="s">
        <v>11</v>
      </c>
      <c r="E4327" t="s">
        <v>12</v>
      </c>
      <c r="F4327">
        <v>153632679</v>
      </c>
      <c r="G4327">
        <v>153632757</v>
      </c>
      <c r="H4327">
        <v>153632775</v>
      </c>
      <c r="I4327">
        <v>153632793</v>
      </c>
    </row>
    <row r="4328" spans="1:9" x14ac:dyDescent="0.2">
      <c r="A4328" t="str">
        <f>"Commd8"</f>
        <v>Commd8</v>
      </c>
      <c r="B4328" t="s">
        <v>14</v>
      </c>
      <c r="C4328" t="s">
        <v>46</v>
      </c>
      <c r="D4328" t="s">
        <v>11</v>
      </c>
      <c r="E4328" t="s">
        <v>12</v>
      </c>
      <c r="F4328">
        <v>72168142</v>
      </c>
      <c r="G4328">
        <v>72168199</v>
      </c>
      <c r="H4328">
        <v>72168118</v>
      </c>
      <c r="I4328">
        <v>72168138</v>
      </c>
    </row>
    <row r="4329" spans="1:9" x14ac:dyDescent="0.2">
      <c r="A4329" t="str">
        <f>"Commd9"</f>
        <v>Commd9</v>
      </c>
      <c r="B4329" t="s">
        <v>14</v>
      </c>
      <c r="C4329" t="s">
        <v>26</v>
      </c>
      <c r="D4329" t="s">
        <v>17</v>
      </c>
      <c r="E4329" t="s">
        <v>12</v>
      </c>
      <c r="F4329">
        <v>101886249</v>
      </c>
      <c r="G4329">
        <v>101886269</v>
      </c>
      <c r="H4329">
        <v>101886233</v>
      </c>
      <c r="I4329">
        <v>101886242</v>
      </c>
    </row>
    <row r="4330" spans="1:9" x14ac:dyDescent="0.2">
      <c r="A4330" t="str">
        <f>"Comp"</f>
        <v>Comp</v>
      </c>
      <c r="B4330" t="s">
        <v>14</v>
      </c>
      <c r="C4330" t="s">
        <v>30</v>
      </c>
      <c r="D4330" t="s">
        <v>17</v>
      </c>
      <c r="E4330" t="s">
        <v>12</v>
      </c>
      <c r="F4330">
        <v>70373541</v>
      </c>
      <c r="G4330">
        <v>70373558</v>
      </c>
      <c r="H4330">
        <v>70373541</v>
      </c>
      <c r="I4330">
        <v>70373558</v>
      </c>
    </row>
    <row r="4331" spans="1:9" x14ac:dyDescent="0.2">
      <c r="A4331" t="str">
        <f>"Comt"</f>
        <v>Comt</v>
      </c>
      <c r="B4331" t="s">
        <v>14</v>
      </c>
      <c r="C4331" t="s">
        <v>31</v>
      </c>
      <c r="D4331" t="s">
        <v>11</v>
      </c>
      <c r="E4331" t="s">
        <v>12</v>
      </c>
      <c r="F4331">
        <v>18426372</v>
      </c>
      <c r="G4331">
        <v>18426389</v>
      </c>
      <c r="H4331">
        <v>18426513</v>
      </c>
      <c r="I4331">
        <v>18426542</v>
      </c>
    </row>
    <row r="4332" spans="1:9" x14ac:dyDescent="0.2">
      <c r="A4332" t="str">
        <f>"Comtd1"</f>
        <v>Comtd1</v>
      </c>
      <c r="B4332" t="s">
        <v>14</v>
      </c>
      <c r="C4332" t="s">
        <v>41</v>
      </c>
      <c r="D4332" t="s">
        <v>11</v>
      </c>
      <c r="E4332" t="s">
        <v>12</v>
      </c>
      <c r="F4332">
        <v>21848878</v>
      </c>
      <c r="G4332">
        <v>21848921</v>
      </c>
      <c r="H4332">
        <v>21848924</v>
      </c>
      <c r="I4332">
        <v>21848938</v>
      </c>
    </row>
    <row r="4333" spans="1:9" x14ac:dyDescent="0.2">
      <c r="A4333" t="str">
        <f>"Copa"</f>
        <v>Copa</v>
      </c>
      <c r="B4333" t="s">
        <v>14</v>
      </c>
      <c r="C4333" t="s">
        <v>19</v>
      </c>
      <c r="D4333" t="s">
        <v>17</v>
      </c>
      <c r="E4333" t="s">
        <v>12</v>
      </c>
      <c r="F4333">
        <v>172082796</v>
      </c>
      <c r="G4333">
        <v>172082855</v>
      </c>
      <c r="H4333">
        <v>172082780</v>
      </c>
      <c r="I4333">
        <v>172082793</v>
      </c>
    </row>
    <row r="4334" spans="1:9" x14ac:dyDescent="0.2">
      <c r="A4334" t="str">
        <f>"Copb1"</f>
        <v>Copb1</v>
      </c>
      <c r="B4334" t="s">
        <v>14</v>
      </c>
      <c r="C4334" t="s">
        <v>33</v>
      </c>
      <c r="D4334" t="s">
        <v>11</v>
      </c>
      <c r="E4334" t="s">
        <v>12</v>
      </c>
      <c r="F4334">
        <v>114254659</v>
      </c>
      <c r="G4334">
        <v>114254733</v>
      </c>
      <c r="H4334">
        <v>114254648</v>
      </c>
      <c r="I4334">
        <v>114254657</v>
      </c>
    </row>
    <row r="4335" spans="1:9" x14ac:dyDescent="0.2">
      <c r="A4335" t="str">
        <f>"Copb2"</f>
        <v>Copb2</v>
      </c>
      <c r="B4335" t="s">
        <v>14</v>
      </c>
      <c r="C4335" t="s">
        <v>24</v>
      </c>
      <c r="D4335" t="s">
        <v>17</v>
      </c>
      <c r="E4335" t="s">
        <v>12</v>
      </c>
      <c r="F4335">
        <v>98563704</v>
      </c>
      <c r="G4335">
        <v>98563737</v>
      </c>
      <c r="H4335">
        <v>98563742</v>
      </c>
      <c r="I4335">
        <v>98563775</v>
      </c>
    </row>
    <row r="4336" spans="1:9" x14ac:dyDescent="0.2">
      <c r="A4336" t="str">
        <f>"Cope"</f>
        <v>Cope</v>
      </c>
      <c r="B4336" t="s">
        <v>14</v>
      </c>
      <c r="C4336" t="s">
        <v>30</v>
      </c>
      <c r="D4336" t="s">
        <v>17</v>
      </c>
      <c r="E4336" t="s">
        <v>12</v>
      </c>
      <c r="F4336">
        <v>70302761</v>
      </c>
      <c r="G4336">
        <v>70302804</v>
      </c>
      <c r="H4336">
        <v>70302543</v>
      </c>
      <c r="I4336">
        <v>70302630</v>
      </c>
    </row>
    <row r="4337" spans="1:9" x14ac:dyDescent="0.2">
      <c r="A4337" t="str">
        <f>"Copg1"</f>
        <v>Copg1</v>
      </c>
      <c r="B4337" t="s">
        <v>14</v>
      </c>
      <c r="C4337" t="s">
        <v>32</v>
      </c>
      <c r="D4337" t="s">
        <v>17</v>
      </c>
      <c r="E4337" t="s">
        <v>67</v>
      </c>
      <c r="F4337">
        <v>87887888</v>
      </c>
      <c r="G4337">
        <v>87888016</v>
      </c>
      <c r="H4337">
        <v>87887888</v>
      </c>
      <c r="I4337">
        <v>87888016</v>
      </c>
    </row>
    <row r="4338" spans="1:9" x14ac:dyDescent="0.2">
      <c r="A4338" t="str">
        <f>"Copg2"</f>
        <v>Copg2</v>
      </c>
      <c r="B4338" t="s">
        <v>14</v>
      </c>
      <c r="C4338" t="s">
        <v>32</v>
      </c>
      <c r="D4338" t="s">
        <v>11</v>
      </c>
      <c r="E4338" t="s">
        <v>12</v>
      </c>
      <c r="F4338">
        <v>30896735</v>
      </c>
      <c r="G4338">
        <v>30896785</v>
      </c>
      <c r="H4338">
        <v>30896792</v>
      </c>
      <c r="I4338">
        <v>30896799</v>
      </c>
    </row>
    <row r="4339" spans="1:9" x14ac:dyDescent="0.2">
      <c r="A4339" t="str">
        <f>"Coprs"</f>
        <v>Coprs</v>
      </c>
      <c r="B4339" t="s">
        <v>14</v>
      </c>
      <c r="C4339" t="s">
        <v>30</v>
      </c>
      <c r="D4339" t="s">
        <v>11</v>
      </c>
      <c r="E4339" t="s">
        <v>67</v>
      </c>
      <c r="F4339">
        <v>13890233</v>
      </c>
      <c r="G4339">
        <v>13890300</v>
      </c>
      <c r="H4339">
        <v>13890304</v>
      </c>
      <c r="I4339">
        <v>13890311</v>
      </c>
    </row>
    <row r="4340" spans="1:9" x14ac:dyDescent="0.2">
      <c r="A4340" t="str">
        <f>"Cops2"</f>
        <v>Cops2</v>
      </c>
      <c r="B4340" t="s">
        <v>14</v>
      </c>
      <c r="C4340" t="s">
        <v>26</v>
      </c>
      <c r="D4340" t="s">
        <v>11</v>
      </c>
      <c r="E4340" t="s">
        <v>12</v>
      </c>
      <c r="F4340">
        <v>125858985</v>
      </c>
      <c r="G4340">
        <v>125859027</v>
      </c>
      <c r="H4340">
        <v>125859198</v>
      </c>
      <c r="I4340">
        <v>125859221</v>
      </c>
    </row>
    <row r="4341" spans="1:9" x14ac:dyDescent="0.2">
      <c r="A4341" t="str">
        <f>"Cops3"</f>
        <v>Cops3</v>
      </c>
      <c r="B4341" t="s">
        <v>14</v>
      </c>
      <c r="C4341" t="s">
        <v>27</v>
      </c>
      <c r="D4341" t="s">
        <v>11</v>
      </c>
      <c r="E4341" t="s">
        <v>12</v>
      </c>
      <c r="F4341">
        <v>59839776</v>
      </c>
      <c r="G4341">
        <v>59839794</v>
      </c>
      <c r="H4341">
        <v>59839803</v>
      </c>
      <c r="I4341">
        <v>59839818</v>
      </c>
    </row>
    <row r="4342" spans="1:9" x14ac:dyDescent="0.2">
      <c r="A4342" t="str">
        <f>"Cops4"</f>
        <v>Cops4</v>
      </c>
      <c r="B4342" t="s">
        <v>14</v>
      </c>
      <c r="C4342" t="s">
        <v>46</v>
      </c>
      <c r="D4342" t="s">
        <v>17</v>
      </c>
      <c r="E4342" t="s">
        <v>12</v>
      </c>
      <c r="F4342">
        <v>100518412</v>
      </c>
      <c r="G4342">
        <v>100518474</v>
      </c>
      <c r="H4342">
        <v>100518664</v>
      </c>
      <c r="I4342">
        <v>100518702</v>
      </c>
    </row>
    <row r="4343" spans="1:9" x14ac:dyDescent="0.2">
      <c r="A4343" t="str">
        <f>"Cops5"</f>
        <v>Cops5</v>
      </c>
      <c r="B4343" t="s">
        <v>14</v>
      </c>
      <c r="C4343" t="s">
        <v>19</v>
      </c>
      <c r="D4343" t="s">
        <v>11</v>
      </c>
      <c r="E4343" t="s">
        <v>12</v>
      </c>
      <c r="F4343">
        <v>10037932</v>
      </c>
      <c r="G4343">
        <v>10037968</v>
      </c>
      <c r="H4343">
        <v>10038106</v>
      </c>
      <c r="I4343">
        <v>10038169</v>
      </c>
    </row>
    <row r="4344" spans="1:9" x14ac:dyDescent="0.2">
      <c r="A4344" t="str">
        <f>"Cops6"</f>
        <v>Cops6</v>
      </c>
      <c r="B4344" t="s">
        <v>14</v>
      </c>
      <c r="C4344" t="s">
        <v>46</v>
      </c>
      <c r="D4344" t="s">
        <v>17</v>
      </c>
      <c r="E4344" t="s">
        <v>12</v>
      </c>
      <c r="F4344">
        <v>138161083</v>
      </c>
      <c r="G4344">
        <v>138161116</v>
      </c>
      <c r="H4344">
        <v>138161131</v>
      </c>
      <c r="I4344">
        <v>138161144</v>
      </c>
    </row>
    <row r="4345" spans="1:9" x14ac:dyDescent="0.2">
      <c r="A4345" t="str">
        <f>"Cops7a"</f>
        <v>Cops7a</v>
      </c>
      <c r="B4345" t="s">
        <v>14</v>
      </c>
      <c r="C4345" t="s">
        <v>32</v>
      </c>
      <c r="D4345" t="s">
        <v>11</v>
      </c>
      <c r="E4345" t="s">
        <v>12</v>
      </c>
      <c r="F4345">
        <v>124965403</v>
      </c>
      <c r="G4345">
        <v>124965458</v>
      </c>
      <c r="H4345">
        <v>124965485</v>
      </c>
      <c r="I4345">
        <v>124965543</v>
      </c>
    </row>
    <row r="4346" spans="1:9" x14ac:dyDescent="0.2">
      <c r="A4346" t="str">
        <f>"Cops7b"</f>
        <v>Cops7b</v>
      </c>
      <c r="B4346" t="s">
        <v>9</v>
      </c>
      <c r="C4346" t="s">
        <v>19</v>
      </c>
      <c r="D4346" t="s">
        <v>17</v>
      </c>
      <c r="E4346" t="s">
        <v>12</v>
      </c>
      <c r="F4346">
        <v>86587125</v>
      </c>
      <c r="G4346">
        <v>86587156</v>
      </c>
      <c r="H4346">
        <v>86587125</v>
      </c>
      <c r="I4346">
        <v>86587156</v>
      </c>
    </row>
    <row r="4347" spans="1:9" x14ac:dyDescent="0.2">
      <c r="A4347" t="str">
        <f>"Cops7b"</f>
        <v>Cops7b</v>
      </c>
      <c r="B4347" t="s">
        <v>13</v>
      </c>
      <c r="C4347" t="s">
        <v>19</v>
      </c>
      <c r="D4347" t="s">
        <v>17</v>
      </c>
      <c r="E4347" t="s">
        <v>12</v>
      </c>
      <c r="F4347">
        <v>86582909</v>
      </c>
      <c r="G4347">
        <v>86582929</v>
      </c>
      <c r="H4347">
        <v>86582909</v>
      </c>
      <c r="I4347">
        <v>86582929</v>
      </c>
    </row>
    <row r="4348" spans="1:9" x14ac:dyDescent="0.2">
      <c r="A4348" t="str">
        <f>"Cops8"</f>
        <v>Cops8</v>
      </c>
      <c r="B4348" t="s">
        <v>14</v>
      </c>
      <c r="C4348" t="s">
        <v>19</v>
      </c>
      <c r="D4348" t="s">
        <v>17</v>
      </c>
      <c r="E4348" t="s">
        <v>12</v>
      </c>
      <c r="F4348">
        <v>90603460</v>
      </c>
      <c r="G4348">
        <v>90603511</v>
      </c>
      <c r="H4348">
        <v>90603397</v>
      </c>
      <c r="I4348">
        <v>90603398</v>
      </c>
    </row>
    <row r="4349" spans="1:9" x14ac:dyDescent="0.2">
      <c r="A4349" t="str">
        <f>"Copz1"</f>
        <v>Copz1</v>
      </c>
      <c r="B4349" t="s">
        <v>14</v>
      </c>
      <c r="C4349" t="s">
        <v>25</v>
      </c>
      <c r="D4349" t="s">
        <v>17</v>
      </c>
      <c r="E4349" t="s">
        <v>12</v>
      </c>
      <c r="F4349">
        <v>103272893</v>
      </c>
      <c r="G4349">
        <v>103272907</v>
      </c>
      <c r="H4349">
        <v>103272888</v>
      </c>
      <c r="I4349">
        <v>103272892</v>
      </c>
    </row>
    <row r="4350" spans="1:9" x14ac:dyDescent="0.2">
      <c r="A4350" t="str">
        <f>"Copz2"</f>
        <v>Copz2</v>
      </c>
      <c r="B4350" t="s">
        <v>14</v>
      </c>
      <c r="C4350" t="s">
        <v>27</v>
      </c>
      <c r="D4350" t="s">
        <v>17</v>
      </c>
      <c r="E4350" t="s">
        <v>12</v>
      </c>
      <c r="F4350">
        <v>96849863</v>
      </c>
      <c r="G4350">
        <v>96849897</v>
      </c>
      <c r="H4350">
        <v>96849863</v>
      </c>
      <c r="I4350">
        <v>96849897</v>
      </c>
    </row>
    <row r="4351" spans="1:9" x14ac:dyDescent="0.2">
      <c r="A4351" t="str">
        <f>"Coq10a"</f>
        <v>Coq10a</v>
      </c>
      <c r="B4351" t="s">
        <v>2314</v>
      </c>
      <c r="C4351" t="s">
        <v>15</v>
      </c>
      <c r="D4351" t="s">
        <v>11</v>
      </c>
      <c r="E4351" t="s">
        <v>20</v>
      </c>
      <c r="F4351">
        <v>128370031</v>
      </c>
      <c r="G4351">
        <v>128370031</v>
      </c>
      <c r="H4351">
        <v>128370031</v>
      </c>
      <c r="I4351">
        <v>128370031</v>
      </c>
    </row>
    <row r="4352" spans="1:9" x14ac:dyDescent="0.2">
      <c r="A4352" t="str">
        <f>"Coq10b"</f>
        <v>Coq10b</v>
      </c>
      <c r="B4352" t="s">
        <v>14</v>
      </c>
      <c r="C4352" t="s">
        <v>19</v>
      </c>
      <c r="D4352" t="s">
        <v>17</v>
      </c>
      <c r="E4352" t="s">
        <v>12</v>
      </c>
      <c r="F4352">
        <v>55052831</v>
      </c>
      <c r="G4352">
        <v>55052882</v>
      </c>
      <c r="H4352">
        <v>55052831</v>
      </c>
      <c r="I4352">
        <v>55052882</v>
      </c>
    </row>
    <row r="4353" spans="1:9" x14ac:dyDescent="0.2">
      <c r="A4353" t="str">
        <f>"Coq2"</f>
        <v>Coq2</v>
      </c>
      <c r="B4353" t="s">
        <v>14</v>
      </c>
      <c r="C4353" t="s">
        <v>46</v>
      </c>
      <c r="D4353" t="s">
        <v>11</v>
      </c>
      <c r="E4353" t="s">
        <v>12</v>
      </c>
      <c r="F4353">
        <v>100674230</v>
      </c>
      <c r="G4353">
        <v>100674281</v>
      </c>
      <c r="H4353">
        <v>100674209</v>
      </c>
      <c r="I4353">
        <v>100674218</v>
      </c>
    </row>
    <row r="4354" spans="1:9" x14ac:dyDescent="0.2">
      <c r="A4354" t="str">
        <f>"Coq3"</f>
        <v>Coq3</v>
      </c>
      <c r="B4354" t="s">
        <v>14</v>
      </c>
      <c r="C4354" t="s">
        <v>23</v>
      </c>
      <c r="D4354" t="s">
        <v>17</v>
      </c>
      <c r="E4354" t="s">
        <v>12</v>
      </c>
      <c r="F4354">
        <v>21879662</v>
      </c>
      <c r="G4354">
        <v>21879702</v>
      </c>
      <c r="H4354">
        <v>21879662</v>
      </c>
      <c r="I4354">
        <v>21879702</v>
      </c>
    </row>
    <row r="4355" spans="1:9" x14ac:dyDescent="0.2">
      <c r="A4355" t="str">
        <f>"Coq4"</f>
        <v>Coq4</v>
      </c>
      <c r="B4355" t="s">
        <v>14</v>
      </c>
      <c r="C4355" t="s">
        <v>26</v>
      </c>
      <c r="D4355" t="s">
        <v>17</v>
      </c>
      <c r="E4355" t="s">
        <v>12</v>
      </c>
      <c r="F4355">
        <v>29788237</v>
      </c>
      <c r="G4355">
        <v>29788302</v>
      </c>
      <c r="H4355">
        <v>29788321</v>
      </c>
      <c r="I4355">
        <v>29788335</v>
      </c>
    </row>
    <row r="4356" spans="1:9" x14ac:dyDescent="0.2">
      <c r="A4356" t="str">
        <f>"Coq5"</f>
        <v>Coq5</v>
      </c>
      <c r="B4356" t="s">
        <v>14</v>
      </c>
      <c r="C4356" t="s">
        <v>46</v>
      </c>
      <c r="D4356" t="s">
        <v>17</v>
      </c>
      <c r="E4356" t="s">
        <v>12</v>
      </c>
      <c r="F4356">
        <v>115279673</v>
      </c>
      <c r="G4356">
        <v>115279716</v>
      </c>
      <c r="H4356">
        <v>115279673</v>
      </c>
      <c r="I4356">
        <v>115279716</v>
      </c>
    </row>
    <row r="4357" spans="1:9" x14ac:dyDescent="0.2">
      <c r="A4357" t="str">
        <f>"Coq6"</f>
        <v>Coq6</v>
      </c>
      <c r="B4357" t="s">
        <v>14</v>
      </c>
      <c r="C4357" t="s">
        <v>16</v>
      </c>
      <c r="D4357" t="s">
        <v>17</v>
      </c>
      <c r="E4357" t="s">
        <v>12</v>
      </c>
      <c r="F4357">
        <v>84362029</v>
      </c>
      <c r="G4357">
        <v>84362056</v>
      </c>
      <c r="H4357">
        <v>84362001</v>
      </c>
      <c r="I4357">
        <v>84362018</v>
      </c>
    </row>
    <row r="4358" spans="1:9" x14ac:dyDescent="0.2">
      <c r="A4358" t="str">
        <f>"Coq7"</f>
        <v>Coq7</v>
      </c>
      <c r="B4358" t="s">
        <v>14</v>
      </c>
      <c r="C4358" t="s">
        <v>33</v>
      </c>
      <c r="D4358" t="s">
        <v>11</v>
      </c>
      <c r="E4358" t="s">
        <v>12</v>
      </c>
      <c r="F4358">
        <v>118533298</v>
      </c>
      <c r="G4358">
        <v>118533333</v>
      </c>
      <c r="H4358">
        <v>118533298</v>
      </c>
      <c r="I4358">
        <v>118533333</v>
      </c>
    </row>
    <row r="4359" spans="1:9" x14ac:dyDescent="0.2">
      <c r="A4359" t="str">
        <f>"Coq9"</f>
        <v>Coq9</v>
      </c>
      <c r="B4359" t="s">
        <v>14</v>
      </c>
      <c r="C4359" t="s">
        <v>30</v>
      </c>
      <c r="D4359" t="s">
        <v>17</v>
      </c>
      <c r="E4359" t="s">
        <v>12</v>
      </c>
      <c r="F4359">
        <v>94838388</v>
      </c>
      <c r="G4359">
        <v>94838425</v>
      </c>
      <c r="H4359">
        <v>94838388</v>
      </c>
      <c r="I4359">
        <v>94838425</v>
      </c>
    </row>
    <row r="4360" spans="1:9" x14ac:dyDescent="0.2">
      <c r="A4360" t="str">
        <f>"Corin"</f>
        <v>Corin</v>
      </c>
      <c r="B4360" t="s">
        <v>14</v>
      </c>
      <c r="C4360" t="s">
        <v>46</v>
      </c>
      <c r="D4360" t="s">
        <v>11</v>
      </c>
      <c r="E4360" t="s">
        <v>12</v>
      </c>
      <c r="F4360">
        <v>72504202</v>
      </c>
      <c r="G4360">
        <v>72504247</v>
      </c>
      <c r="H4360">
        <v>72504529</v>
      </c>
      <c r="I4360">
        <v>72504551</v>
      </c>
    </row>
    <row r="4361" spans="1:9" x14ac:dyDescent="0.2">
      <c r="A4361" t="str">
        <f>"Coro1a"</f>
        <v>Coro1a</v>
      </c>
      <c r="B4361" t="s">
        <v>14</v>
      </c>
      <c r="C4361" t="s">
        <v>33</v>
      </c>
      <c r="D4361" t="s">
        <v>11</v>
      </c>
      <c r="E4361" t="s">
        <v>12</v>
      </c>
      <c r="F4361">
        <v>126704736</v>
      </c>
      <c r="G4361">
        <v>126704762</v>
      </c>
      <c r="H4361">
        <v>126704127</v>
      </c>
      <c r="I4361">
        <v>126704172</v>
      </c>
    </row>
    <row r="4362" spans="1:9" x14ac:dyDescent="0.2">
      <c r="A4362" t="str">
        <f>"Coro1b"</f>
        <v>Coro1b</v>
      </c>
      <c r="B4362" t="s">
        <v>14</v>
      </c>
      <c r="C4362" t="s">
        <v>10</v>
      </c>
      <c r="D4362" t="s">
        <v>17</v>
      </c>
      <c r="E4362" t="s">
        <v>12</v>
      </c>
      <c r="F4362">
        <v>4148616</v>
      </c>
      <c r="G4362">
        <v>4148666</v>
      </c>
      <c r="H4362">
        <v>4148684</v>
      </c>
      <c r="I4362">
        <v>4148697</v>
      </c>
    </row>
    <row r="4363" spans="1:9" x14ac:dyDescent="0.2">
      <c r="A4363" t="str">
        <f>"Coro1c"</f>
        <v>Coro1c</v>
      </c>
      <c r="B4363" t="s">
        <v>14</v>
      </c>
      <c r="C4363" t="s">
        <v>46</v>
      </c>
      <c r="D4363" t="s">
        <v>11</v>
      </c>
      <c r="E4363" t="s">
        <v>12</v>
      </c>
      <c r="F4363">
        <v>113908685</v>
      </c>
      <c r="G4363">
        <v>113908720</v>
      </c>
      <c r="H4363">
        <v>113908665</v>
      </c>
      <c r="I4363">
        <v>113908674</v>
      </c>
    </row>
    <row r="4364" spans="1:9" x14ac:dyDescent="0.2">
      <c r="A4364" t="str">
        <f>"Coro2a"</f>
        <v>Coro2a</v>
      </c>
      <c r="B4364" t="s">
        <v>14</v>
      </c>
      <c r="C4364" t="s">
        <v>23</v>
      </c>
      <c r="D4364" t="s">
        <v>11</v>
      </c>
      <c r="E4364" t="s">
        <v>12</v>
      </c>
      <c r="F4364">
        <v>46601871</v>
      </c>
      <c r="G4364">
        <v>46601911</v>
      </c>
      <c r="H4364">
        <v>46602193</v>
      </c>
      <c r="I4364">
        <v>46602224</v>
      </c>
    </row>
    <row r="4365" spans="1:9" x14ac:dyDescent="0.2">
      <c r="A4365" t="str">
        <f>"Coro2b"</f>
        <v>Coro2b</v>
      </c>
      <c r="B4365" t="s">
        <v>14</v>
      </c>
      <c r="C4365" t="s">
        <v>24</v>
      </c>
      <c r="D4365" t="s">
        <v>11</v>
      </c>
      <c r="E4365" t="s">
        <v>12</v>
      </c>
      <c r="F4365">
        <v>62536770</v>
      </c>
      <c r="G4365">
        <v>62536832</v>
      </c>
      <c r="H4365">
        <v>62536770</v>
      </c>
      <c r="I4365">
        <v>62536832</v>
      </c>
    </row>
    <row r="4366" spans="1:9" x14ac:dyDescent="0.2">
      <c r="A4366" t="str">
        <f>"Coro6"</f>
        <v>Coro6</v>
      </c>
      <c r="B4366" t="s">
        <v>14</v>
      </c>
      <c r="C4366" t="s">
        <v>27</v>
      </c>
      <c r="D4366" t="s">
        <v>17</v>
      </c>
      <c r="E4366" t="s">
        <v>12</v>
      </c>
      <c r="F4366">
        <v>77462605</v>
      </c>
      <c r="G4366">
        <v>77462652</v>
      </c>
      <c r="H4366">
        <v>77462567</v>
      </c>
      <c r="I4366">
        <v>77462596</v>
      </c>
    </row>
    <row r="4367" spans="1:9" x14ac:dyDescent="0.2">
      <c r="A4367" t="str">
        <f>"Coro7"</f>
        <v>Coro7</v>
      </c>
      <c r="B4367" t="s">
        <v>14</v>
      </c>
      <c r="C4367" t="s">
        <v>31</v>
      </c>
      <c r="D4367" t="s">
        <v>11</v>
      </c>
      <c r="E4367" t="s">
        <v>12</v>
      </c>
      <c r="F4367">
        <v>4679703</v>
      </c>
      <c r="G4367">
        <v>4679747</v>
      </c>
      <c r="H4367">
        <v>4679660</v>
      </c>
      <c r="I4367">
        <v>4679699</v>
      </c>
    </row>
    <row r="4368" spans="1:9" x14ac:dyDescent="0.2">
      <c r="A4368" t="str">
        <f>"Cort"</f>
        <v>Cort</v>
      </c>
      <c r="B4368" t="s">
        <v>14</v>
      </c>
      <c r="C4368" t="s">
        <v>23</v>
      </c>
      <c r="D4368" t="s">
        <v>11</v>
      </c>
      <c r="E4368" t="s">
        <v>12</v>
      </c>
      <c r="F4368">
        <v>149126665</v>
      </c>
      <c r="G4368">
        <v>149126681</v>
      </c>
      <c r="H4368">
        <v>149126688</v>
      </c>
      <c r="I4368">
        <v>149126698</v>
      </c>
    </row>
    <row r="4369" spans="1:9" x14ac:dyDescent="0.2">
      <c r="A4369" t="str">
        <f>"Cotl1"</f>
        <v>Cotl1</v>
      </c>
      <c r="B4369" t="s">
        <v>14</v>
      </c>
      <c r="C4369" t="s">
        <v>30</v>
      </c>
      <c r="D4369" t="s">
        <v>11</v>
      </c>
      <c r="E4369" t="s">
        <v>12</v>
      </c>
      <c r="F4369">
        <v>119840531</v>
      </c>
      <c r="G4369">
        <v>119840549</v>
      </c>
      <c r="H4369">
        <v>119840531</v>
      </c>
      <c r="I4369">
        <v>119840549</v>
      </c>
    </row>
    <row r="4370" spans="1:9" x14ac:dyDescent="0.2">
      <c r="A4370" t="str">
        <f>"Cox10"</f>
        <v>Cox10</v>
      </c>
      <c r="B4370" t="s">
        <v>14</v>
      </c>
      <c r="C4370" t="s">
        <v>27</v>
      </c>
      <c r="D4370" t="s">
        <v>11</v>
      </c>
      <c r="E4370" t="s">
        <v>12</v>
      </c>
      <c r="F4370">
        <v>64079444</v>
      </c>
      <c r="G4370">
        <v>64079480</v>
      </c>
      <c r="H4370">
        <v>64079444</v>
      </c>
      <c r="I4370">
        <v>64079480</v>
      </c>
    </row>
    <row r="4371" spans="1:9" x14ac:dyDescent="0.2">
      <c r="A4371" t="str">
        <f>"Cox11"</f>
        <v>Cox11</v>
      </c>
      <c r="B4371" t="s">
        <v>14</v>
      </c>
      <c r="C4371" t="s">
        <v>27</v>
      </c>
      <c r="D4371" t="s">
        <v>17</v>
      </c>
      <c r="E4371" t="s">
        <v>12</v>
      </c>
      <c r="F4371">
        <v>90638127</v>
      </c>
      <c r="G4371">
        <v>90638207</v>
      </c>
      <c r="H4371">
        <v>90638120</v>
      </c>
      <c r="I4371">
        <v>90638125</v>
      </c>
    </row>
    <row r="4372" spans="1:9" x14ac:dyDescent="0.2">
      <c r="A4372" t="str">
        <f>"Cox14"</f>
        <v>Cox14</v>
      </c>
      <c r="B4372" t="s">
        <v>14</v>
      </c>
      <c r="C4372" t="s">
        <v>25</v>
      </c>
      <c r="D4372" t="s">
        <v>17</v>
      </c>
      <c r="E4372" t="s">
        <v>67</v>
      </c>
      <c r="F4372">
        <v>99725616</v>
      </c>
      <c r="G4372">
        <v>99725685</v>
      </c>
      <c r="H4372">
        <v>99725769</v>
      </c>
      <c r="I4372">
        <v>99725815</v>
      </c>
    </row>
    <row r="4373" spans="1:9" x14ac:dyDescent="0.2">
      <c r="A4373" t="str">
        <f>"Cox15"</f>
        <v>Cox15</v>
      </c>
      <c r="B4373" t="s">
        <v>14</v>
      </c>
      <c r="C4373" t="s">
        <v>10</v>
      </c>
      <c r="D4373" t="s">
        <v>11</v>
      </c>
      <c r="E4373" t="s">
        <v>12</v>
      </c>
      <c r="F4373">
        <v>43752924</v>
      </c>
      <c r="G4373">
        <v>43753001</v>
      </c>
      <c r="H4373">
        <v>43752924</v>
      </c>
      <c r="I4373">
        <v>43753001</v>
      </c>
    </row>
    <row r="4374" spans="1:9" x14ac:dyDescent="0.2">
      <c r="A4374" t="str">
        <f>"Cox16"</f>
        <v>Cox16</v>
      </c>
      <c r="B4374" t="s">
        <v>14</v>
      </c>
      <c r="C4374" t="s">
        <v>16</v>
      </c>
      <c r="D4374" t="s">
        <v>11</v>
      </c>
      <c r="E4374" t="s">
        <v>12</v>
      </c>
      <c r="F4374">
        <v>81485075</v>
      </c>
      <c r="G4374">
        <v>81485140</v>
      </c>
      <c r="H4374">
        <v>81485075</v>
      </c>
      <c r="I4374">
        <v>81485140</v>
      </c>
    </row>
    <row r="4375" spans="1:9" x14ac:dyDescent="0.2">
      <c r="A4375" t="str">
        <f>"Cox17"</f>
        <v>Cox17</v>
      </c>
      <c r="B4375" t="s">
        <v>14</v>
      </c>
      <c r="C4375" t="s">
        <v>31</v>
      </c>
      <c r="D4375" t="s">
        <v>17</v>
      </c>
      <c r="E4375" t="s">
        <v>12</v>
      </c>
      <c r="F4375">
        <v>38346986</v>
      </c>
      <c r="G4375">
        <v>38347050</v>
      </c>
      <c r="H4375">
        <v>38347073</v>
      </c>
      <c r="I4375">
        <v>38347084</v>
      </c>
    </row>
    <row r="4376" spans="1:9" x14ac:dyDescent="0.2">
      <c r="A4376" t="str">
        <f>"Cox18"</f>
        <v>Cox18</v>
      </c>
      <c r="B4376" t="s">
        <v>14</v>
      </c>
      <c r="C4376" t="s">
        <v>46</v>
      </c>
      <c r="D4376" t="s">
        <v>11</v>
      </c>
      <c r="E4376" t="s">
        <v>12</v>
      </c>
      <c r="F4376">
        <v>90223923</v>
      </c>
      <c r="G4376">
        <v>90224020</v>
      </c>
      <c r="H4376">
        <v>90223923</v>
      </c>
      <c r="I4376">
        <v>90224020</v>
      </c>
    </row>
    <row r="4377" spans="1:9" x14ac:dyDescent="0.2">
      <c r="A4377" t="str">
        <f>"Cox19"</f>
        <v>Cox19</v>
      </c>
      <c r="B4377" t="s">
        <v>14</v>
      </c>
      <c r="C4377" t="s">
        <v>46</v>
      </c>
      <c r="D4377" t="s">
        <v>11</v>
      </c>
      <c r="E4377" t="s">
        <v>12</v>
      </c>
      <c r="F4377">
        <v>139345149</v>
      </c>
      <c r="G4377">
        <v>139345216</v>
      </c>
      <c r="H4377">
        <v>139345112</v>
      </c>
      <c r="I4377">
        <v>139345148</v>
      </c>
    </row>
    <row r="4378" spans="1:9" x14ac:dyDescent="0.2">
      <c r="A4378" t="str">
        <f>"Cox20"</f>
        <v>Cox20</v>
      </c>
      <c r="B4378" t="s">
        <v>14</v>
      </c>
      <c r="C4378" t="s">
        <v>19</v>
      </c>
      <c r="D4378" t="s">
        <v>17</v>
      </c>
      <c r="E4378" t="s">
        <v>67</v>
      </c>
      <c r="F4378">
        <v>178319142</v>
      </c>
      <c r="G4378">
        <v>178319171</v>
      </c>
      <c r="H4378">
        <v>178319142</v>
      </c>
      <c r="I4378">
        <v>178319171</v>
      </c>
    </row>
    <row r="4379" spans="1:9" x14ac:dyDescent="0.2">
      <c r="A4379" t="str">
        <f>"Cox4i1"</f>
        <v>Cox4i1</v>
      </c>
      <c r="B4379" t="s">
        <v>14</v>
      </c>
      <c r="C4379" t="s">
        <v>30</v>
      </c>
      <c r="D4379" t="s">
        <v>17</v>
      </c>
      <c r="E4379" t="s">
        <v>12</v>
      </c>
      <c r="F4379">
        <v>120668281</v>
      </c>
      <c r="G4379">
        <v>120668299</v>
      </c>
      <c r="H4379">
        <v>120668312</v>
      </c>
      <c r="I4379">
        <v>120668318</v>
      </c>
    </row>
    <row r="4380" spans="1:9" x14ac:dyDescent="0.2">
      <c r="A4380" t="str">
        <f>"Cox4i2"</f>
        <v>Cox4i2</v>
      </c>
      <c r="B4380" t="s">
        <v>14</v>
      </c>
      <c r="C4380" t="s">
        <v>26</v>
      </c>
      <c r="D4380" t="s">
        <v>17</v>
      </c>
      <c r="E4380" t="s">
        <v>12</v>
      </c>
      <c r="F4380">
        <v>152754156</v>
      </c>
      <c r="G4380">
        <v>152754186</v>
      </c>
      <c r="H4380">
        <v>152754142</v>
      </c>
      <c r="I4380">
        <v>152754153</v>
      </c>
    </row>
    <row r="4381" spans="1:9" x14ac:dyDescent="0.2">
      <c r="A4381" t="str">
        <f>"Cox5a"</f>
        <v>Cox5a</v>
      </c>
      <c r="B4381" t="s">
        <v>14</v>
      </c>
      <c r="C4381" t="s">
        <v>24</v>
      </c>
      <c r="D4381" t="s">
        <v>17</v>
      </c>
      <c r="E4381" t="s">
        <v>12</v>
      </c>
      <c r="F4381">
        <v>57521234</v>
      </c>
      <c r="G4381">
        <v>57521314</v>
      </c>
      <c r="H4381">
        <v>57521234</v>
      </c>
      <c r="I4381">
        <v>57521314</v>
      </c>
    </row>
    <row r="4382" spans="1:9" x14ac:dyDescent="0.2">
      <c r="A4382" t="str">
        <f>"Cox5b"</f>
        <v>Cox5b</v>
      </c>
      <c r="B4382" t="s">
        <v>14</v>
      </c>
      <c r="C4382" t="s">
        <v>19</v>
      </c>
      <c r="D4382" t="s">
        <v>17</v>
      </c>
      <c r="E4382" t="s">
        <v>12</v>
      </c>
      <c r="F4382">
        <v>36691530</v>
      </c>
      <c r="G4382">
        <v>36691554</v>
      </c>
      <c r="H4382">
        <v>36691530</v>
      </c>
      <c r="I4382">
        <v>36691554</v>
      </c>
    </row>
    <row r="4383" spans="1:9" x14ac:dyDescent="0.2">
      <c r="A4383" t="str">
        <f>"Cox6a1"</f>
        <v>Cox6a1</v>
      </c>
      <c r="B4383" t="s">
        <v>14</v>
      </c>
      <c r="C4383" t="s">
        <v>46</v>
      </c>
      <c r="D4383" t="s">
        <v>11</v>
      </c>
      <c r="E4383" t="s">
        <v>12</v>
      </c>
      <c r="F4383">
        <v>115348953</v>
      </c>
      <c r="G4383">
        <v>115348959</v>
      </c>
      <c r="H4383">
        <v>115348596</v>
      </c>
      <c r="I4383">
        <v>115348628</v>
      </c>
    </row>
    <row r="4384" spans="1:9" x14ac:dyDescent="0.2">
      <c r="A4384" t="str">
        <f>"Cox6a2"</f>
        <v>Cox6a2</v>
      </c>
      <c r="B4384" t="s">
        <v>14</v>
      </c>
      <c r="C4384" t="s">
        <v>33</v>
      </c>
      <c r="D4384" t="s">
        <v>11</v>
      </c>
      <c r="E4384" t="s">
        <v>12</v>
      </c>
      <c r="F4384">
        <v>128206293</v>
      </c>
      <c r="G4384">
        <v>128206337</v>
      </c>
      <c r="H4384">
        <v>128206346</v>
      </c>
      <c r="I4384">
        <v>128206359</v>
      </c>
    </row>
    <row r="4385" spans="1:9" x14ac:dyDescent="0.2">
      <c r="A4385" t="str">
        <f>"Cox6b1"</f>
        <v>Cox6b1</v>
      </c>
      <c r="B4385" t="s">
        <v>14</v>
      </c>
      <c r="C4385" t="s">
        <v>33</v>
      </c>
      <c r="D4385" t="s">
        <v>11</v>
      </c>
      <c r="E4385" t="s">
        <v>12</v>
      </c>
      <c r="F4385">
        <v>30626079</v>
      </c>
      <c r="G4385">
        <v>30626122</v>
      </c>
      <c r="H4385">
        <v>30626127</v>
      </c>
      <c r="I4385">
        <v>30626139</v>
      </c>
    </row>
    <row r="4386" spans="1:9" x14ac:dyDescent="0.2">
      <c r="A4386" t="str">
        <f>"Cox6b2"</f>
        <v>Cox6b2</v>
      </c>
      <c r="B4386" t="s">
        <v>14</v>
      </c>
      <c r="C4386" t="s">
        <v>33</v>
      </c>
      <c r="D4386" t="s">
        <v>11</v>
      </c>
      <c r="E4386" t="s">
        <v>12</v>
      </c>
      <c r="F4386">
        <v>4753013</v>
      </c>
      <c r="G4386">
        <v>4753031</v>
      </c>
      <c r="H4386">
        <v>4753118</v>
      </c>
      <c r="I4386">
        <v>4753136</v>
      </c>
    </row>
    <row r="4387" spans="1:9" x14ac:dyDescent="0.2">
      <c r="A4387" t="str">
        <f>"Cox6c"</f>
        <v>Cox6c</v>
      </c>
      <c r="B4387" t="s">
        <v>14</v>
      </c>
      <c r="C4387" t="s">
        <v>25</v>
      </c>
      <c r="D4387" t="s">
        <v>11</v>
      </c>
      <c r="E4387" t="s">
        <v>12</v>
      </c>
      <c r="F4387">
        <v>35938156</v>
      </c>
      <c r="G4387">
        <v>35938178</v>
      </c>
      <c r="H4387">
        <v>35938186</v>
      </c>
      <c r="I4387">
        <v>35938203</v>
      </c>
    </row>
    <row r="4388" spans="1:9" x14ac:dyDescent="0.2">
      <c r="A4388" t="str">
        <f>"Cox7a1"</f>
        <v>Cox7a1</v>
      </c>
      <c r="B4388" t="s">
        <v>14</v>
      </c>
      <c r="C4388" t="s">
        <v>33</v>
      </c>
      <c r="D4388" t="s">
        <v>17</v>
      </c>
      <c r="E4388" t="s">
        <v>12</v>
      </c>
      <c r="F4388">
        <v>30184186</v>
      </c>
      <c r="G4388">
        <v>30184211</v>
      </c>
      <c r="H4388">
        <v>30184160</v>
      </c>
      <c r="I4388">
        <v>30184181</v>
      </c>
    </row>
    <row r="4389" spans="1:9" x14ac:dyDescent="0.2">
      <c r="A4389" t="str">
        <f>"Cox7a2"</f>
        <v>Cox7a2</v>
      </c>
      <c r="B4389" t="s">
        <v>14</v>
      </c>
      <c r="C4389" t="s">
        <v>24</v>
      </c>
      <c r="D4389" t="s">
        <v>11</v>
      </c>
      <c r="E4389" t="s">
        <v>12</v>
      </c>
      <c r="F4389">
        <v>79759677</v>
      </c>
      <c r="G4389">
        <v>79759745</v>
      </c>
      <c r="H4389">
        <v>79759755</v>
      </c>
      <c r="I4389">
        <v>79759772</v>
      </c>
    </row>
    <row r="4390" spans="1:9" x14ac:dyDescent="0.2">
      <c r="A4390" t="str">
        <f>"Cox7a2l"</f>
        <v>Cox7a2l</v>
      </c>
      <c r="B4390" t="s">
        <v>14</v>
      </c>
      <c r="C4390" t="s">
        <v>28</v>
      </c>
      <c r="D4390" t="s">
        <v>11</v>
      </c>
      <c r="E4390" t="s">
        <v>12</v>
      </c>
      <c r="F4390">
        <v>83514311</v>
      </c>
      <c r="G4390">
        <v>83514335</v>
      </c>
      <c r="H4390">
        <v>83514290</v>
      </c>
      <c r="I4390">
        <v>83514305</v>
      </c>
    </row>
    <row r="4391" spans="1:9" x14ac:dyDescent="0.2">
      <c r="A4391" t="str">
        <f>"Cox7b"</f>
        <v>Cox7b</v>
      </c>
      <c r="B4391" t="s">
        <v>14</v>
      </c>
      <c r="C4391" t="s">
        <v>37</v>
      </c>
      <c r="D4391" t="s">
        <v>17</v>
      </c>
      <c r="E4391" t="s">
        <v>12</v>
      </c>
      <c r="F4391">
        <v>106015699</v>
      </c>
      <c r="G4391">
        <v>106015759</v>
      </c>
      <c r="H4391">
        <v>106015699</v>
      </c>
      <c r="I4391">
        <v>106015759</v>
      </c>
    </row>
    <row r="4392" spans="1:9" x14ac:dyDescent="0.2">
      <c r="A4392" t="str">
        <f>"Cox7b2"</f>
        <v>Cox7b2</v>
      </c>
      <c r="B4392" t="s">
        <v>14</v>
      </c>
      <c r="C4392" t="s">
        <v>46</v>
      </c>
      <c r="D4392" t="s">
        <v>11</v>
      </c>
      <c r="E4392" t="s">
        <v>12</v>
      </c>
      <c r="F4392">
        <v>71548190</v>
      </c>
      <c r="G4392">
        <v>71548260</v>
      </c>
      <c r="H4392">
        <v>71548190</v>
      </c>
      <c r="I4392">
        <v>71548260</v>
      </c>
    </row>
    <row r="4393" spans="1:9" x14ac:dyDescent="0.2">
      <c r="A4393" t="str">
        <f>"Cox7c"</f>
        <v>Cox7c</v>
      </c>
      <c r="B4393" t="s">
        <v>14</v>
      </c>
      <c r="C4393" t="s">
        <v>39</v>
      </c>
      <c r="D4393" t="s">
        <v>11</v>
      </c>
      <c r="E4393" t="s">
        <v>12</v>
      </c>
      <c r="F4393">
        <v>86046772</v>
      </c>
      <c r="G4393">
        <v>86046800</v>
      </c>
      <c r="H4393">
        <v>86046901</v>
      </c>
      <c r="I4393">
        <v>86046904</v>
      </c>
    </row>
    <row r="4394" spans="1:9" x14ac:dyDescent="0.2">
      <c r="A4394" t="str">
        <f>"Cox8a"</f>
        <v>Cox8a</v>
      </c>
      <c r="B4394" t="s">
        <v>14</v>
      </c>
      <c r="C4394" t="s">
        <v>10</v>
      </c>
      <c r="D4394" t="s">
        <v>11</v>
      </c>
      <c r="E4394" t="s">
        <v>12</v>
      </c>
      <c r="F4394">
        <v>7217549</v>
      </c>
      <c r="G4394">
        <v>7217580</v>
      </c>
      <c r="H4394">
        <v>7217529</v>
      </c>
      <c r="I4394">
        <v>7217543</v>
      </c>
    </row>
    <row r="4395" spans="1:9" x14ac:dyDescent="0.2">
      <c r="A4395" t="str">
        <f>"Cox8b"</f>
        <v>Cox8b</v>
      </c>
      <c r="B4395" t="s">
        <v>14</v>
      </c>
      <c r="C4395" t="s">
        <v>33</v>
      </c>
      <c r="D4395" t="s">
        <v>11</v>
      </c>
      <c r="E4395" t="s">
        <v>12</v>
      </c>
      <c r="F4395">
        <v>140900401</v>
      </c>
      <c r="G4395">
        <v>140900419</v>
      </c>
      <c r="H4395">
        <v>140900385</v>
      </c>
      <c r="I4395">
        <v>140900396</v>
      </c>
    </row>
    <row r="4396" spans="1:9" x14ac:dyDescent="0.2">
      <c r="A4396" t="str">
        <f>"Cox8c"</f>
        <v>Cox8c</v>
      </c>
      <c r="B4396" t="s">
        <v>14</v>
      </c>
      <c r="C4396" t="s">
        <v>16</v>
      </c>
      <c r="D4396" t="s">
        <v>17</v>
      </c>
      <c r="E4396" t="s">
        <v>12</v>
      </c>
      <c r="F4396">
        <v>102899271</v>
      </c>
      <c r="G4396">
        <v>102899321</v>
      </c>
      <c r="H4396">
        <v>102899255</v>
      </c>
      <c r="I4396">
        <v>102899263</v>
      </c>
    </row>
    <row r="4397" spans="1:9" x14ac:dyDescent="0.2">
      <c r="A4397" t="str">
        <f>"Cp"</f>
        <v>Cp</v>
      </c>
      <c r="B4397" t="s">
        <v>14</v>
      </c>
      <c r="C4397" t="s">
        <v>22</v>
      </c>
      <c r="D4397" t="s">
        <v>17</v>
      </c>
      <c r="E4397" t="s">
        <v>12</v>
      </c>
      <c r="F4397">
        <v>19957240</v>
      </c>
      <c r="G4397">
        <v>19957263</v>
      </c>
      <c r="H4397">
        <v>19957037</v>
      </c>
      <c r="I4397">
        <v>19957073</v>
      </c>
    </row>
    <row r="4398" spans="1:9" x14ac:dyDescent="0.2">
      <c r="A4398" t="str">
        <f>"Cpa1"</f>
        <v>Cpa1</v>
      </c>
      <c r="B4398" t="s">
        <v>14</v>
      </c>
      <c r="C4398" t="s">
        <v>32</v>
      </c>
      <c r="D4398" t="s">
        <v>17</v>
      </c>
      <c r="E4398" t="s">
        <v>12</v>
      </c>
      <c r="F4398">
        <v>30639434</v>
      </c>
      <c r="G4398">
        <v>30639452</v>
      </c>
      <c r="H4398">
        <v>30639434</v>
      </c>
      <c r="I4398">
        <v>30639452</v>
      </c>
    </row>
    <row r="4399" spans="1:9" x14ac:dyDescent="0.2">
      <c r="A4399" t="str">
        <f>"Cpa2"</f>
        <v>Cpa2</v>
      </c>
      <c r="B4399" t="s">
        <v>14</v>
      </c>
      <c r="C4399" t="s">
        <v>32</v>
      </c>
      <c r="D4399" t="s">
        <v>17</v>
      </c>
      <c r="E4399" t="s">
        <v>12</v>
      </c>
      <c r="F4399">
        <v>30541635</v>
      </c>
      <c r="G4399">
        <v>30541650</v>
      </c>
      <c r="H4399">
        <v>30541635</v>
      </c>
      <c r="I4399">
        <v>30541650</v>
      </c>
    </row>
    <row r="4400" spans="1:9" x14ac:dyDescent="0.2">
      <c r="A4400" t="str">
        <f>"Cpa3"</f>
        <v>Cpa3</v>
      </c>
      <c r="B4400" t="s">
        <v>14</v>
      </c>
      <c r="C4400" t="s">
        <v>22</v>
      </c>
      <c r="D4400" t="s">
        <v>11</v>
      </c>
      <c r="E4400" t="s">
        <v>12</v>
      </c>
      <c r="F4400">
        <v>20242173</v>
      </c>
      <c r="G4400">
        <v>20242187</v>
      </c>
      <c r="H4400">
        <v>20242173</v>
      </c>
      <c r="I4400">
        <v>20242187</v>
      </c>
    </row>
    <row r="4401" spans="1:9" x14ac:dyDescent="0.2">
      <c r="A4401" t="str">
        <f>"Cpa4"</f>
        <v>Cpa4</v>
      </c>
      <c r="B4401" t="s">
        <v>14</v>
      </c>
      <c r="C4401" t="s">
        <v>32</v>
      </c>
      <c r="D4401" t="s">
        <v>17</v>
      </c>
      <c r="E4401" t="s">
        <v>12</v>
      </c>
      <c r="F4401">
        <v>30568367</v>
      </c>
      <c r="G4401">
        <v>30568382</v>
      </c>
      <c r="H4401">
        <v>30568367</v>
      </c>
      <c r="I4401">
        <v>30568382</v>
      </c>
    </row>
    <row r="4402" spans="1:9" x14ac:dyDescent="0.2">
      <c r="A4402" t="str">
        <f>"Cpa5"</f>
        <v>Cpa5</v>
      </c>
      <c r="B4402" t="s">
        <v>14</v>
      </c>
      <c r="C4402" t="s">
        <v>32</v>
      </c>
      <c r="D4402" t="s">
        <v>17</v>
      </c>
      <c r="E4402" t="s">
        <v>12</v>
      </c>
      <c r="F4402">
        <v>30610984</v>
      </c>
      <c r="G4402">
        <v>30611026</v>
      </c>
      <c r="H4402">
        <v>30611029</v>
      </c>
      <c r="I4402">
        <v>30611040</v>
      </c>
    </row>
    <row r="4403" spans="1:9" x14ac:dyDescent="0.2">
      <c r="A4403" t="str">
        <f>"Cpa6"</f>
        <v>Cpa6</v>
      </c>
      <c r="B4403" t="s">
        <v>14</v>
      </c>
      <c r="C4403" t="s">
        <v>19</v>
      </c>
      <c r="D4403" t="s">
        <v>11</v>
      </c>
      <c r="E4403" t="s">
        <v>12</v>
      </c>
      <c r="F4403">
        <v>10719898</v>
      </c>
      <c r="G4403">
        <v>10719939</v>
      </c>
      <c r="H4403">
        <v>10719869</v>
      </c>
      <c r="I4403">
        <v>10719874</v>
      </c>
    </row>
    <row r="4404" spans="1:9" x14ac:dyDescent="0.2">
      <c r="A4404" t="str">
        <f>"Cpb1"</f>
        <v>Cpb1</v>
      </c>
      <c r="B4404" t="s">
        <v>9</v>
      </c>
      <c r="C4404" t="s">
        <v>22</v>
      </c>
      <c r="D4404" t="s">
        <v>11</v>
      </c>
      <c r="E4404" t="s">
        <v>12</v>
      </c>
      <c r="F4404">
        <v>20275659</v>
      </c>
      <c r="G4404">
        <v>20275675</v>
      </c>
      <c r="H4404">
        <v>20275659</v>
      </c>
      <c r="I4404">
        <v>20275675</v>
      </c>
    </row>
    <row r="4405" spans="1:9" x14ac:dyDescent="0.2">
      <c r="A4405" t="str">
        <f>"Cpb1"</f>
        <v>Cpb1</v>
      </c>
      <c r="B4405" t="s">
        <v>13</v>
      </c>
      <c r="C4405" t="s">
        <v>22</v>
      </c>
      <c r="D4405" t="s">
        <v>11</v>
      </c>
      <c r="E4405" t="s">
        <v>12</v>
      </c>
      <c r="F4405">
        <v>20266450</v>
      </c>
      <c r="G4405">
        <v>20266489</v>
      </c>
      <c r="H4405">
        <v>20266450</v>
      </c>
      <c r="I4405">
        <v>20266489</v>
      </c>
    </row>
    <row r="4406" spans="1:9" x14ac:dyDescent="0.2">
      <c r="A4406" t="str">
        <f>"Cpb2"</f>
        <v>Cpb2</v>
      </c>
      <c r="B4406" t="s">
        <v>14</v>
      </c>
      <c r="C4406" t="s">
        <v>41</v>
      </c>
      <c r="D4406" t="s">
        <v>17</v>
      </c>
      <c r="E4406" t="s">
        <v>12</v>
      </c>
      <c r="F4406">
        <v>75242308</v>
      </c>
      <c r="G4406">
        <v>75242354</v>
      </c>
      <c r="H4406">
        <v>75242308</v>
      </c>
      <c r="I4406">
        <v>75242354</v>
      </c>
    </row>
    <row r="4407" spans="1:9" x14ac:dyDescent="0.2">
      <c r="A4407" t="str">
        <f>"Cpd"</f>
        <v>Cpd</v>
      </c>
      <c r="B4407" t="s">
        <v>14</v>
      </c>
      <c r="C4407" t="s">
        <v>27</v>
      </c>
      <c r="D4407" t="s">
        <v>11</v>
      </c>
      <c r="E4407" t="s">
        <v>12</v>
      </c>
      <c r="F4407">
        <v>76846968</v>
      </c>
      <c r="G4407">
        <v>76847045</v>
      </c>
      <c r="H4407">
        <v>76846968</v>
      </c>
      <c r="I4407">
        <v>76847045</v>
      </c>
    </row>
    <row r="4408" spans="1:9" x14ac:dyDescent="0.2">
      <c r="A4408" t="str">
        <f>"Cpe"</f>
        <v>Cpe</v>
      </c>
      <c r="B4408" t="s">
        <v>14</v>
      </c>
      <c r="C4408" t="s">
        <v>30</v>
      </c>
      <c r="D4408" t="s">
        <v>11</v>
      </c>
      <c r="E4408" t="s">
        <v>12</v>
      </c>
      <c r="F4408">
        <v>64693045</v>
      </c>
      <c r="G4408">
        <v>64693074</v>
      </c>
      <c r="H4408">
        <v>64692948</v>
      </c>
      <c r="I4408">
        <v>64692979</v>
      </c>
    </row>
    <row r="4409" spans="1:9" x14ac:dyDescent="0.2">
      <c r="A4409" t="str">
        <f>"Cpeb1"</f>
        <v>Cpeb1</v>
      </c>
      <c r="B4409" t="s">
        <v>14</v>
      </c>
      <c r="C4409" t="s">
        <v>33</v>
      </c>
      <c r="D4409" t="s">
        <v>11</v>
      </c>
      <c r="E4409" t="s">
        <v>12</v>
      </c>
      <c r="F4409">
        <v>81455441</v>
      </c>
      <c r="G4409">
        <v>81455478</v>
      </c>
      <c r="H4409">
        <v>81455441</v>
      </c>
      <c r="I4409">
        <v>81455478</v>
      </c>
    </row>
    <row r="4410" spans="1:9" x14ac:dyDescent="0.2">
      <c r="A4410" t="str">
        <f>"Cpeb2"</f>
        <v>Cpeb2</v>
      </c>
      <c r="B4410" t="s">
        <v>14</v>
      </c>
      <c r="C4410" t="s">
        <v>46</v>
      </c>
      <c r="D4410" t="s">
        <v>17</v>
      </c>
      <c r="E4410" t="s">
        <v>12</v>
      </c>
      <c r="F4410">
        <v>43233928</v>
      </c>
      <c r="G4410">
        <v>43233951</v>
      </c>
      <c r="H4410">
        <v>43233928</v>
      </c>
      <c r="I4410">
        <v>43233951</v>
      </c>
    </row>
    <row r="4411" spans="1:9" x14ac:dyDescent="0.2">
      <c r="A4411" t="str">
        <f>"Cpeb3"</f>
        <v>Cpeb3</v>
      </c>
      <c r="B4411" t="s">
        <v>9</v>
      </c>
      <c r="C4411" t="s">
        <v>10</v>
      </c>
      <c r="D4411" t="s">
        <v>11</v>
      </c>
      <c r="E4411" t="s">
        <v>12</v>
      </c>
      <c r="F4411">
        <v>37207436</v>
      </c>
      <c r="G4411">
        <v>37207498</v>
      </c>
      <c r="H4411">
        <v>37207436</v>
      </c>
      <c r="I4411">
        <v>37207498</v>
      </c>
    </row>
    <row r="4412" spans="1:9" x14ac:dyDescent="0.2">
      <c r="A4412" t="str">
        <f>"Cpeb3"</f>
        <v>Cpeb3</v>
      </c>
      <c r="B4412" t="s">
        <v>13</v>
      </c>
      <c r="C4412" t="s">
        <v>10</v>
      </c>
      <c r="D4412" t="s">
        <v>11</v>
      </c>
      <c r="E4412" t="s">
        <v>12</v>
      </c>
      <c r="F4412">
        <v>37178011</v>
      </c>
      <c r="G4412">
        <v>37178048</v>
      </c>
      <c r="H4412">
        <v>37178011</v>
      </c>
      <c r="I4412">
        <v>37178048</v>
      </c>
    </row>
    <row r="4413" spans="1:9" x14ac:dyDescent="0.2">
      <c r="A4413" t="str">
        <f>"Cpeb4"</f>
        <v>Cpeb4</v>
      </c>
      <c r="B4413" t="s">
        <v>14</v>
      </c>
      <c r="C4413" t="s">
        <v>27</v>
      </c>
      <c r="D4413" t="s">
        <v>17</v>
      </c>
      <c r="E4413" t="s">
        <v>12</v>
      </c>
      <c r="F4413">
        <v>31870901</v>
      </c>
      <c r="G4413">
        <v>31870923</v>
      </c>
      <c r="H4413">
        <v>31870868</v>
      </c>
      <c r="I4413">
        <v>31870900</v>
      </c>
    </row>
    <row r="4414" spans="1:9" x14ac:dyDescent="0.2">
      <c r="A4414" t="str">
        <f>"Cped1"</f>
        <v>Cped1</v>
      </c>
      <c r="B4414" t="s">
        <v>14</v>
      </c>
      <c r="C4414" t="s">
        <v>32</v>
      </c>
      <c r="D4414" t="s">
        <v>17</v>
      </c>
      <c r="E4414" t="s">
        <v>67</v>
      </c>
      <c r="F4414">
        <v>21985903</v>
      </c>
      <c r="G4414">
        <v>21985972</v>
      </c>
      <c r="H4414">
        <v>21985903</v>
      </c>
      <c r="I4414">
        <v>21985972</v>
      </c>
    </row>
    <row r="4415" spans="1:9" x14ac:dyDescent="0.2">
      <c r="A4415" t="str">
        <f>"Cphx1"</f>
        <v>Cphx1</v>
      </c>
      <c r="B4415" t="s">
        <v>2315</v>
      </c>
      <c r="C4415" t="s">
        <v>41</v>
      </c>
      <c r="D4415" t="s">
        <v>17</v>
      </c>
      <c r="E4415" t="s">
        <v>20</v>
      </c>
      <c r="F4415">
        <v>25942491</v>
      </c>
      <c r="G4415">
        <v>25942491</v>
      </c>
      <c r="H4415">
        <v>25942491</v>
      </c>
      <c r="I4415">
        <v>25942491</v>
      </c>
    </row>
    <row r="4416" spans="1:9" x14ac:dyDescent="0.2">
      <c r="A4416" t="str">
        <f>"Cphx2"</f>
        <v>Cphx2</v>
      </c>
      <c r="B4416" t="s">
        <v>2316</v>
      </c>
      <c r="C4416" t="s">
        <v>41</v>
      </c>
      <c r="D4416" t="s">
        <v>17</v>
      </c>
      <c r="E4416" t="s">
        <v>20</v>
      </c>
      <c r="F4416">
        <v>26082244</v>
      </c>
      <c r="G4416">
        <v>26082244</v>
      </c>
      <c r="H4416">
        <v>26082244</v>
      </c>
      <c r="I4416">
        <v>26082244</v>
      </c>
    </row>
    <row r="4417" spans="1:9" x14ac:dyDescent="0.2">
      <c r="A4417" t="str">
        <f>"Cphx3"</f>
        <v>Cphx3</v>
      </c>
      <c r="B4417" t="s">
        <v>2317</v>
      </c>
      <c r="C4417" t="s">
        <v>41</v>
      </c>
      <c r="D4417" t="s">
        <v>17</v>
      </c>
      <c r="E4417" t="s">
        <v>20</v>
      </c>
      <c r="F4417">
        <v>26082296</v>
      </c>
      <c r="G4417">
        <v>26082296</v>
      </c>
      <c r="H4417">
        <v>26082296</v>
      </c>
      <c r="I4417">
        <v>26082296</v>
      </c>
    </row>
    <row r="4418" spans="1:9" x14ac:dyDescent="0.2">
      <c r="A4418" t="str">
        <f>"Cphx3"</f>
        <v>Cphx3</v>
      </c>
      <c r="B4418" t="s">
        <v>2318</v>
      </c>
      <c r="C4418" t="s">
        <v>41</v>
      </c>
      <c r="D4418" t="s">
        <v>17</v>
      </c>
      <c r="E4418" t="s">
        <v>20</v>
      </c>
      <c r="F4418">
        <v>26221855</v>
      </c>
      <c r="G4418">
        <v>26221855</v>
      </c>
      <c r="H4418">
        <v>26221855</v>
      </c>
      <c r="I4418">
        <v>26221855</v>
      </c>
    </row>
    <row r="4419" spans="1:9" x14ac:dyDescent="0.2">
      <c r="A4419" t="str">
        <f>"Cplx1"</f>
        <v>Cplx1</v>
      </c>
      <c r="B4419" t="s">
        <v>14</v>
      </c>
      <c r="C4419" t="s">
        <v>46</v>
      </c>
      <c r="D4419" t="s">
        <v>11</v>
      </c>
      <c r="E4419" t="s">
        <v>12</v>
      </c>
      <c r="F4419">
        <v>108549934</v>
      </c>
      <c r="G4419">
        <v>108550002</v>
      </c>
      <c r="H4419">
        <v>108550175</v>
      </c>
      <c r="I4419">
        <v>108550208</v>
      </c>
    </row>
    <row r="4420" spans="1:9" x14ac:dyDescent="0.2">
      <c r="A4420" t="str">
        <f>"Cplx2"</f>
        <v>Cplx2</v>
      </c>
      <c r="B4420" t="s">
        <v>14</v>
      </c>
      <c r="C4420" t="s">
        <v>39</v>
      </c>
      <c r="D4420" t="s">
        <v>17</v>
      </c>
      <c r="E4420" t="s">
        <v>12</v>
      </c>
      <c r="F4420">
        <v>54371467</v>
      </c>
      <c r="G4420">
        <v>54371498</v>
      </c>
      <c r="H4420">
        <v>54371441</v>
      </c>
      <c r="I4420">
        <v>54371466</v>
      </c>
    </row>
    <row r="4421" spans="1:9" x14ac:dyDescent="0.2">
      <c r="A4421" t="str">
        <f>"Cplx3"</f>
        <v>Cplx3</v>
      </c>
      <c r="B4421" t="s">
        <v>14</v>
      </c>
      <c r="C4421" t="s">
        <v>24</v>
      </c>
      <c r="D4421" t="s">
        <v>11</v>
      </c>
      <c r="E4421" t="s">
        <v>12</v>
      </c>
      <c r="F4421">
        <v>57606234</v>
      </c>
      <c r="G4421">
        <v>57606260</v>
      </c>
      <c r="H4421">
        <v>57606194</v>
      </c>
      <c r="I4421">
        <v>57606205</v>
      </c>
    </row>
    <row r="4422" spans="1:9" x14ac:dyDescent="0.2">
      <c r="A4422" t="str">
        <f>"Cplx4"</f>
        <v>Cplx4</v>
      </c>
      <c r="B4422" t="s">
        <v>14</v>
      </c>
      <c r="C4422" t="s">
        <v>43</v>
      </c>
      <c r="D4422" t="s">
        <v>11</v>
      </c>
      <c r="E4422" t="s">
        <v>12</v>
      </c>
      <c r="F4422">
        <v>65970184</v>
      </c>
      <c r="G4422">
        <v>65970201</v>
      </c>
      <c r="H4422">
        <v>65970203</v>
      </c>
      <c r="I4422">
        <v>65970222</v>
      </c>
    </row>
    <row r="4423" spans="1:9" x14ac:dyDescent="0.2">
      <c r="A4423" t="str">
        <f>"Cpm"</f>
        <v>Cpm</v>
      </c>
      <c r="B4423" t="s">
        <v>14</v>
      </c>
      <c r="C4423" t="s">
        <v>15</v>
      </c>
      <c r="D4423" t="s">
        <v>17</v>
      </c>
      <c r="E4423" t="s">
        <v>12</v>
      </c>
      <c r="F4423">
        <v>117629493</v>
      </c>
      <c r="G4423">
        <v>117629506</v>
      </c>
      <c r="H4423">
        <v>117629493</v>
      </c>
      <c r="I4423">
        <v>117629506</v>
      </c>
    </row>
    <row r="4424" spans="1:9" x14ac:dyDescent="0.2">
      <c r="A4424" t="str">
        <f>"Cpn1"</f>
        <v>Cpn1</v>
      </c>
      <c r="B4424" t="s">
        <v>14</v>
      </c>
      <c r="C4424" t="s">
        <v>10</v>
      </c>
      <c r="D4424" t="s">
        <v>11</v>
      </c>
      <c r="E4424" t="s">
        <v>12</v>
      </c>
      <c r="F4424">
        <v>43986495</v>
      </c>
      <c r="G4424">
        <v>43986527</v>
      </c>
      <c r="H4424">
        <v>43986401</v>
      </c>
      <c r="I4424">
        <v>43986412</v>
      </c>
    </row>
    <row r="4425" spans="1:9" x14ac:dyDescent="0.2">
      <c r="A4425" t="str">
        <f>"Cpn2"</f>
        <v>Cpn2</v>
      </c>
      <c r="B4425" t="s">
        <v>14</v>
      </c>
      <c r="C4425" t="s">
        <v>31</v>
      </c>
      <c r="D4425" t="s">
        <v>11</v>
      </c>
      <c r="E4425" t="s">
        <v>12</v>
      </c>
      <c r="F4425">
        <v>30267524</v>
      </c>
      <c r="G4425">
        <v>30267572</v>
      </c>
      <c r="H4425">
        <v>30267503</v>
      </c>
      <c r="I4425">
        <v>30267522</v>
      </c>
    </row>
    <row r="4426" spans="1:9" x14ac:dyDescent="0.2">
      <c r="A4426" t="str">
        <f>"Cpne1"</f>
        <v>Cpne1</v>
      </c>
      <c r="B4426" t="s">
        <v>14</v>
      </c>
      <c r="C4426" t="s">
        <v>26</v>
      </c>
      <c r="D4426" t="s">
        <v>11</v>
      </c>
      <c r="E4426" t="s">
        <v>12</v>
      </c>
      <c r="F4426">
        <v>156111913</v>
      </c>
      <c r="G4426">
        <v>156111940</v>
      </c>
      <c r="H4426">
        <v>156111954</v>
      </c>
      <c r="I4426">
        <v>156111965</v>
      </c>
    </row>
    <row r="4427" spans="1:9" x14ac:dyDescent="0.2">
      <c r="A4427" t="str">
        <f>"Cpne2"</f>
        <v>Cpne2</v>
      </c>
      <c r="B4427" t="s">
        <v>14</v>
      </c>
      <c r="C4427" t="s">
        <v>30</v>
      </c>
      <c r="D4427" t="s">
        <v>17</v>
      </c>
      <c r="E4427" t="s">
        <v>12</v>
      </c>
      <c r="F4427">
        <v>94533009</v>
      </c>
      <c r="G4427">
        <v>94533074</v>
      </c>
      <c r="H4427">
        <v>94533103</v>
      </c>
      <c r="I4427">
        <v>94533114</v>
      </c>
    </row>
    <row r="4428" spans="1:9" x14ac:dyDescent="0.2">
      <c r="A4428" t="str">
        <f>"Cpne3"</f>
        <v>Cpne3</v>
      </c>
      <c r="B4428" t="s">
        <v>14</v>
      </c>
      <c r="C4428" t="s">
        <v>23</v>
      </c>
      <c r="D4428" t="s">
        <v>11</v>
      </c>
      <c r="E4428" t="s">
        <v>12</v>
      </c>
      <c r="F4428">
        <v>19570073</v>
      </c>
      <c r="G4428">
        <v>19570117</v>
      </c>
      <c r="H4428">
        <v>19570046</v>
      </c>
      <c r="I4428">
        <v>19570068</v>
      </c>
    </row>
    <row r="4429" spans="1:9" x14ac:dyDescent="0.2">
      <c r="A4429" t="str">
        <f>"Cpne4"</f>
        <v>Cpne4</v>
      </c>
      <c r="B4429" t="s">
        <v>14</v>
      </c>
      <c r="C4429" t="s">
        <v>24</v>
      </c>
      <c r="D4429" t="s">
        <v>17</v>
      </c>
      <c r="E4429" t="s">
        <v>12</v>
      </c>
      <c r="F4429">
        <v>104569754</v>
      </c>
      <c r="G4429">
        <v>104569793</v>
      </c>
      <c r="H4429">
        <v>104569633</v>
      </c>
      <c r="I4429">
        <v>104569665</v>
      </c>
    </row>
    <row r="4430" spans="1:9" x14ac:dyDescent="0.2">
      <c r="A4430" t="str">
        <f>"Cpne5"</f>
        <v>Cpne5</v>
      </c>
      <c r="B4430" t="s">
        <v>14</v>
      </c>
      <c r="C4430" t="s">
        <v>28</v>
      </c>
      <c r="D4430" t="s">
        <v>11</v>
      </c>
      <c r="E4430" t="s">
        <v>12</v>
      </c>
      <c r="F4430">
        <v>29238089</v>
      </c>
      <c r="G4430">
        <v>29238166</v>
      </c>
      <c r="H4430">
        <v>29237776</v>
      </c>
      <c r="I4430">
        <v>29237827</v>
      </c>
    </row>
    <row r="4431" spans="1:9" x14ac:dyDescent="0.2">
      <c r="A4431" t="str">
        <f>"Cpne6"</f>
        <v>Cpne6</v>
      </c>
      <c r="B4431" t="s">
        <v>14</v>
      </c>
      <c r="C4431" t="s">
        <v>41</v>
      </c>
      <c r="D4431" t="s">
        <v>17</v>
      </c>
      <c r="E4431" t="s">
        <v>12</v>
      </c>
      <c r="F4431">
        <v>55510593</v>
      </c>
      <c r="G4431">
        <v>55510631</v>
      </c>
      <c r="H4431">
        <v>55510593</v>
      </c>
      <c r="I4431">
        <v>55510631</v>
      </c>
    </row>
    <row r="4432" spans="1:9" x14ac:dyDescent="0.2">
      <c r="A4432" t="str">
        <f>"Cpne7"</f>
        <v>Cpne7</v>
      </c>
      <c r="B4432" t="s">
        <v>14</v>
      </c>
      <c r="C4432" t="s">
        <v>30</v>
      </c>
      <c r="D4432" t="s">
        <v>17</v>
      </c>
      <c r="E4432" t="s">
        <v>12</v>
      </c>
      <c r="F4432">
        <v>123117447</v>
      </c>
      <c r="G4432">
        <v>123117476</v>
      </c>
      <c r="H4432">
        <v>123117354</v>
      </c>
      <c r="I4432">
        <v>123117379</v>
      </c>
    </row>
    <row r="4433" spans="1:9" x14ac:dyDescent="0.2">
      <c r="A4433" t="str">
        <f>"Cpne8"</f>
        <v>Cpne8</v>
      </c>
      <c r="B4433" t="s">
        <v>14</v>
      </c>
      <c r="C4433" t="s">
        <v>25</v>
      </c>
      <c r="D4433" t="s">
        <v>11</v>
      </c>
      <c r="E4433" t="s">
        <v>12</v>
      </c>
      <c r="F4433">
        <v>90679307</v>
      </c>
      <c r="G4433">
        <v>90679388</v>
      </c>
      <c r="H4433">
        <v>90679680</v>
      </c>
      <c r="I4433">
        <v>90679716</v>
      </c>
    </row>
    <row r="4434" spans="1:9" x14ac:dyDescent="0.2">
      <c r="A4434" t="str">
        <f>"Cpne9"</f>
        <v>Cpne9</v>
      </c>
      <c r="B4434" t="s">
        <v>14</v>
      </c>
      <c r="C4434" t="s">
        <v>32</v>
      </c>
      <c r="D4434" t="s">
        <v>17</v>
      </c>
      <c r="E4434" t="s">
        <v>12</v>
      </c>
      <c r="F4434">
        <v>113282326</v>
      </c>
      <c r="G4434">
        <v>113282344</v>
      </c>
      <c r="H4434">
        <v>113282354</v>
      </c>
      <c r="I4434">
        <v>113282369</v>
      </c>
    </row>
    <row r="4435" spans="1:9" x14ac:dyDescent="0.2">
      <c r="A4435" t="str">
        <f>"Cpox"</f>
        <v>Cpox</v>
      </c>
      <c r="B4435" t="s">
        <v>14</v>
      </c>
      <c r="C4435" t="s">
        <v>31</v>
      </c>
      <c r="D4435" t="s">
        <v>17</v>
      </c>
      <c r="E4435" t="s">
        <v>12</v>
      </c>
      <c r="F4435">
        <v>58670262</v>
      </c>
      <c r="G4435">
        <v>58670362</v>
      </c>
      <c r="H4435">
        <v>58670235</v>
      </c>
      <c r="I4435">
        <v>58670246</v>
      </c>
    </row>
    <row r="4436" spans="1:9" x14ac:dyDescent="0.2">
      <c r="A4436" t="str">
        <f>"Cpped1"</f>
        <v>Cpped1</v>
      </c>
      <c r="B4436" t="s">
        <v>14</v>
      </c>
      <c r="C4436" t="s">
        <v>31</v>
      </c>
      <c r="D4436" t="s">
        <v>11</v>
      </c>
      <c r="E4436" t="s">
        <v>12</v>
      </c>
      <c r="F4436">
        <v>11909337</v>
      </c>
      <c r="G4436">
        <v>11909353</v>
      </c>
      <c r="H4436">
        <v>11909405</v>
      </c>
      <c r="I4436">
        <v>11909429</v>
      </c>
    </row>
    <row r="4437" spans="1:9" x14ac:dyDescent="0.2">
      <c r="A4437" t="str">
        <f>"Cpq"</f>
        <v>Cpq</v>
      </c>
      <c r="B4437" t="s">
        <v>14</v>
      </c>
      <c r="C4437" t="s">
        <v>25</v>
      </c>
      <c r="D4437" t="s">
        <v>17</v>
      </c>
      <c r="E4437" t="s">
        <v>67</v>
      </c>
      <c r="F4437">
        <v>33083213</v>
      </c>
      <c r="G4437">
        <v>33083295</v>
      </c>
      <c r="H4437">
        <v>33083110</v>
      </c>
      <c r="I4437">
        <v>33083147</v>
      </c>
    </row>
    <row r="4438" spans="1:9" x14ac:dyDescent="0.2">
      <c r="A4438" t="str">
        <f>"Cps1"</f>
        <v>Cps1</v>
      </c>
      <c r="B4438" t="s">
        <v>14</v>
      </c>
      <c r="C4438" t="s">
        <v>19</v>
      </c>
      <c r="D4438" t="s">
        <v>17</v>
      </c>
      <c r="E4438" t="s">
        <v>12</v>
      </c>
      <c r="F4438">
        <v>67123015</v>
      </c>
      <c r="G4438">
        <v>67123069</v>
      </c>
      <c r="H4438">
        <v>67123015</v>
      </c>
      <c r="I4438">
        <v>67123069</v>
      </c>
    </row>
    <row r="4439" spans="1:9" x14ac:dyDescent="0.2">
      <c r="A4439" t="str">
        <f>"Cpsf1"</f>
        <v>Cpsf1</v>
      </c>
      <c r="B4439" t="s">
        <v>14</v>
      </c>
      <c r="C4439" t="s">
        <v>25</v>
      </c>
      <c r="D4439" t="s">
        <v>11</v>
      </c>
      <c r="E4439" t="s">
        <v>12</v>
      </c>
      <c r="F4439">
        <v>76607484</v>
      </c>
      <c r="G4439">
        <v>76607542</v>
      </c>
      <c r="H4439">
        <v>76607568</v>
      </c>
      <c r="I4439">
        <v>76607593</v>
      </c>
    </row>
    <row r="4440" spans="1:9" x14ac:dyDescent="0.2">
      <c r="A4440" t="str">
        <f>"Cpsf2"</f>
        <v>Cpsf2</v>
      </c>
      <c r="B4440" t="s">
        <v>14</v>
      </c>
      <c r="C4440" t="s">
        <v>16</v>
      </c>
      <c r="D4440" t="s">
        <v>17</v>
      </c>
      <c r="E4440" t="s">
        <v>12</v>
      </c>
      <c r="F4440">
        <v>101975965</v>
      </c>
      <c r="G4440">
        <v>101976004</v>
      </c>
      <c r="H4440">
        <v>101976006</v>
      </c>
      <c r="I4440">
        <v>101976017</v>
      </c>
    </row>
    <row r="4441" spans="1:9" x14ac:dyDescent="0.2">
      <c r="A4441" t="str">
        <f>"Cpsf3"</f>
        <v>Cpsf3</v>
      </c>
      <c r="B4441" t="s">
        <v>14</v>
      </c>
      <c r="C4441" t="s">
        <v>16</v>
      </c>
      <c r="D4441" t="s">
        <v>17</v>
      </c>
      <c r="E4441" t="s">
        <v>12</v>
      </c>
      <c r="F4441">
        <v>21286336</v>
      </c>
      <c r="G4441">
        <v>21286451</v>
      </c>
      <c r="H4441">
        <v>21286318</v>
      </c>
      <c r="I4441">
        <v>21286329</v>
      </c>
    </row>
    <row r="4442" spans="1:9" x14ac:dyDescent="0.2">
      <c r="A4442" t="str">
        <f>"Cpsf3l"</f>
        <v>Cpsf3l</v>
      </c>
      <c r="B4442" t="s">
        <v>14</v>
      </c>
      <c r="C4442" t="s">
        <v>23</v>
      </c>
      <c r="D4442" t="s">
        <v>17</v>
      </c>
      <c r="E4442" t="s">
        <v>12</v>
      </c>
      <c r="F4442">
        <v>155869540</v>
      </c>
      <c r="G4442">
        <v>155869623</v>
      </c>
      <c r="H4442">
        <v>155869083</v>
      </c>
      <c r="I4442">
        <v>155869086</v>
      </c>
    </row>
    <row r="4443" spans="1:9" x14ac:dyDescent="0.2">
      <c r="A4443" t="str">
        <f>"Cpsf4"</f>
        <v>Cpsf4</v>
      </c>
      <c r="B4443" t="s">
        <v>14</v>
      </c>
      <c r="C4443" t="s">
        <v>46</v>
      </c>
      <c r="D4443" t="s">
        <v>17</v>
      </c>
      <c r="E4443" t="s">
        <v>12</v>
      </c>
      <c r="F4443">
        <v>145167207</v>
      </c>
      <c r="G4443">
        <v>145167259</v>
      </c>
      <c r="H4443">
        <v>145167296</v>
      </c>
      <c r="I4443">
        <v>145167303</v>
      </c>
    </row>
    <row r="4444" spans="1:9" x14ac:dyDescent="0.2">
      <c r="A4444" t="str">
        <f>"Cpsf4l"</f>
        <v>Cpsf4l</v>
      </c>
      <c r="B4444" t="s">
        <v>14</v>
      </c>
      <c r="C4444" t="s">
        <v>27</v>
      </c>
      <c r="D4444" t="s">
        <v>11</v>
      </c>
      <c r="E4444" t="s">
        <v>12</v>
      </c>
      <c r="F4444">
        <v>113709653</v>
      </c>
      <c r="G4444">
        <v>113709690</v>
      </c>
      <c r="H4444">
        <v>113708952</v>
      </c>
      <c r="I4444">
        <v>113708972</v>
      </c>
    </row>
    <row r="4445" spans="1:9" x14ac:dyDescent="0.2">
      <c r="A4445" t="str">
        <f>"Cpsf6"</f>
        <v>Cpsf6</v>
      </c>
      <c r="B4445" t="s">
        <v>14</v>
      </c>
      <c r="C4445" t="s">
        <v>15</v>
      </c>
      <c r="D4445" t="s">
        <v>11</v>
      </c>
      <c r="E4445" t="s">
        <v>12</v>
      </c>
      <c r="F4445">
        <v>117376955</v>
      </c>
      <c r="G4445">
        <v>117376978</v>
      </c>
      <c r="H4445">
        <v>117376922</v>
      </c>
      <c r="I4445">
        <v>117376954</v>
      </c>
    </row>
    <row r="4446" spans="1:9" x14ac:dyDescent="0.2">
      <c r="A4446" t="str">
        <f>"Cpsf7"</f>
        <v>Cpsf7</v>
      </c>
      <c r="B4446" t="s">
        <v>14</v>
      </c>
      <c r="C4446" t="s">
        <v>10</v>
      </c>
      <c r="D4446" t="s">
        <v>17</v>
      </c>
      <c r="E4446" t="s">
        <v>12</v>
      </c>
      <c r="F4446">
        <v>10525250</v>
      </c>
      <c r="G4446">
        <v>10525305</v>
      </c>
      <c r="H4446">
        <v>10525315</v>
      </c>
      <c r="I4446">
        <v>10525326</v>
      </c>
    </row>
    <row r="4447" spans="1:9" x14ac:dyDescent="0.2">
      <c r="A4447" t="str">
        <f>"Cpt1a"</f>
        <v>Cpt1a</v>
      </c>
      <c r="B4447" t="s">
        <v>14</v>
      </c>
      <c r="C4447" t="s">
        <v>10</v>
      </c>
      <c r="D4447" t="s">
        <v>17</v>
      </c>
      <c r="E4447" t="s">
        <v>12</v>
      </c>
      <c r="F4447">
        <v>3323340</v>
      </c>
      <c r="G4447">
        <v>3323353</v>
      </c>
      <c r="H4447">
        <v>3323327</v>
      </c>
      <c r="I4447">
        <v>3323339</v>
      </c>
    </row>
    <row r="4448" spans="1:9" x14ac:dyDescent="0.2">
      <c r="A4448" t="str">
        <f>"Cpt1b"</f>
        <v>Cpt1b</v>
      </c>
      <c r="B4448" t="s">
        <v>14</v>
      </c>
      <c r="C4448" t="s">
        <v>25</v>
      </c>
      <c r="D4448" t="s">
        <v>11</v>
      </c>
      <c r="E4448" t="s">
        <v>12</v>
      </c>
      <c r="F4448">
        <v>89425818</v>
      </c>
      <c r="G4448">
        <v>89425851</v>
      </c>
      <c r="H4448">
        <v>89425856</v>
      </c>
      <c r="I4448">
        <v>89425872</v>
      </c>
    </row>
    <row r="4449" spans="1:9" x14ac:dyDescent="0.2">
      <c r="A4449" t="str">
        <f>"Cpt1c"</f>
        <v>Cpt1c</v>
      </c>
      <c r="B4449" t="s">
        <v>14</v>
      </c>
      <c r="C4449" t="s">
        <v>33</v>
      </c>
      <c r="D4449" t="s">
        <v>11</v>
      </c>
      <c r="E4449" t="s">
        <v>12</v>
      </c>
      <c r="F4449">
        <v>44974781</v>
      </c>
      <c r="G4449">
        <v>44974824</v>
      </c>
      <c r="H4449">
        <v>44974742</v>
      </c>
      <c r="I4449">
        <v>44974779</v>
      </c>
    </row>
    <row r="4450" spans="1:9" x14ac:dyDescent="0.2">
      <c r="A4450" t="str">
        <f>"Cpt2"</f>
        <v>Cpt2</v>
      </c>
      <c r="B4450" t="s">
        <v>14</v>
      </c>
      <c r="C4450" t="s">
        <v>23</v>
      </c>
      <c r="D4450" t="s">
        <v>11</v>
      </c>
      <c r="E4450" t="s">
        <v>12</v>
      </c>
      <c r="F4450">
        <v>107923519</v>
      </c>
      <c r="G4450">
        <v>107923615</v>
      </c>
      <c r="H4450">
        <v>107923479</v>
      </c>
      <c r="I4450">
        <v>107923495</v>
      </c>
    </row>
    <row r="4451" spans="1:9" x14ac:dyDescent="0.2">
      <c r="A4451" t="str">
        <f>"Cpvl"</f>
        <v>Cpvl</v>
      </c>
      <c r="B4451" t="s">
        <v>14</v>
      </c>
      <c r="C4451" t="s">
        <v>32</v>
      </c>
      <c r="D4451" t="s">
        <v>11</v>
      </c>
      <c r="E4451" t="s">
        <v>12</v>
      </c>
      <c r="F4451">
        <v>53978633</v>
      </c>
      <c r="G4451">
        <v>53978640</v>
      </c>
      <c r="H4451">
        <v>53978633</v>
      </c>
      <c r="I4451">
        <v>53978640</v>
      </c>
    </row>
    <row r="4452" spans="1:9" x14ac:dyDescent="0.2">
      <c r="A4452" t="str">
        <f>"Cpxcr1"</f>
        <v>Cpxcr1</v>
      </c>
      <c r="B4452" t="s">
        <v>14</v>
      </c>
      <c r="C4452" t="s">
        <v>37</v>
      </c>
      <c r="D4452" t="s">
        <v>17</v>
      </c>
      <c r="E4452" t="s">
        <v>12</v>
      </c>
      <c r="F4452">
        <v>116448958</v>
      </c>
      <c r="G4452">
        <v>116448969</v>
      </c>
      <c r="H4452">
        <v>116448939</v>
      </c>
      <c r="I4452">
        <v>116448948</v>
      </c>
    </row>
    <row r="4453" spans="1:9" x14ac:dyDescent="0.2">
      <c r="A4453" t="str">
        <f>"Cpxm1"</f>
        <v>Cpxm1</v>
      </c>
      <c r="B4453" t="s">
        <v>14</v>
      </c>
      <c r="C4453" t="s">
        <v>26</v>
      </c>
      <c r="D4453" t="s">
        <v>11</v>
      </c>
      <c r="E4453" t="s">
        <v>12</v>
      </c>
      <c r="F4453">
        <v>130397525</v>
      </c>
      <c r="G4453">
        <v>130397587</v>
      </c>
      <c r="H4453">
        <v>130397513</v>
      </c>
      <c r="I4453">
        <v>130397518</v>
      </c>
    </row>
    <row r="4454" spans="1:9" x14ac:dyDescent="0.2">
      <c r="A4454" t="str">
        <f>"Cpxm2"</f>
        <v>Cpxm2</v>
      </c>
      <c r="B4454" t="s">
        <v>14</v>
      </c>
      <c r="C4454" t="s">
        <v>33</v>
      </c>
      <c r="D4454" t="s">
        <v>11</v>
      </c>
      <c r="E4454" t="s">
        <v>12</v>
      </c>
      <c r="F4454">
        <v>132154665</v>
      </c>
      <c r="G4454">
        <v>132154712</v>
      </c>
      <c r="H4454">
        <v>132154717</v>
      </c>
      <c r="I4454">
        <v>132154745</v>
      </c>
    </row>
    <row r="4455" spans="1:9" x14ac:dyDescent="0.2">
      <c r="A4455" t="str">
        <f>"Cpz"</f>
        <v>Cpz</v>
      </c>
      <c r="B4455" t="s">
        <v>14</v>
      </c>
      <c r="C4455" t="s">
        <v>46</v>
      </c>
      <c r="D4455" t="s">
        <v>11</v>
      </c>
      <c r="E4455" t="s">
        <v>12</v>
      </c>
      <c r="F4455">
        <v>35525567</v>
      </c>
      <c r="G4455">
        <v>35525617</v>
      </c>
      <c r="H4455">
        <v>35525542</v>
      </c>
      <c r="I4455">
        <v>35525566</v>
      </c>
    </row>
    <row r="4456" spans="1:9" x14ac:dyDescent="0.2">
      <c r="A4456" t="str">
        <f>"Cr1l"</f>
        <v>Cr1l</v>
      </c>
      <c r="B4456" t="s">
        <v>14</v>
      </c>
      <c r="C4456" t="s">
        <v>19</v>
      </c>
      <c r="D4456" t="s">
        <v>11</v>
      </c>
      <c r="E4456" t="s">
        <v>12</v>
      </c>
      <c r="F4456">
        <v>195131536</v>
      </c>
      <c r="G4456">
        <v>195131588</v>
      </c>
      <c r="H4456">
        <v>195131536</v>
      </c>
      <c r="I4456">
        <v>195131588</v>
      </c>
    </row>
    <row r="4457" spans="1:9" x14ac:dyDescent="0.2">
      <c r="A4457" t="str">
        <f>"Cr2"</f>
        <v>Cr2</v>
      </c>
      <c r="B4457" t="s">
        <v>14</v>
      </c>
      <c r="C4457" t="s">
        <v>19</v>
      </c>
      <c r="D4457" t="s">
        <v>11</v>
      </c>
      <c r="E4457" t="s">
        <v>12</v>
      </c>
      <c r="F4457">
        <v>195176707</v>
      </c>
      <c r="G4457">
        <v>195176725</v>
      </c>
      <c r="H4457">
        <v>195176707</v>
      </c>
      <c r="I4457">
        <v>195176725</v>
      </c>
    </row>
    <row r="4458" spans="1:9" x14ac:dyDescent="0.2">
      <c r="A4458" t="str">
        <f>"Crabp1"</f>
        <v>Crabp1</v>
      </c>
      <c r="B4458" t="s">
        <v>14</v>
      </c>
      <c r="C4458" t="s">
        <v>24</v>
      </c>
      <c r="D4458" t="s">
        <v>17</v>
      </c>
      <c r="E4458" t="s">
        <v>12</v>
      </c>
      <c r="F4458">
        <v>54764794</v>
      </c>
      <c r="G4458">
        <v>54764813</v>
      </c>
      <c r="H4458">
        <v>54764794</v>
      </c>
      <c r="I4458">
        <v>54764813</v>
      </c>
    </row>
    <row r="4459" spans="1:9" x14ac:dyDescent="0.2">
      <c r="A4459" t="str">
        <f>"Crabp2"</f>
        <v>Crabp2</v>
      </c>
      <c r="B4459" t="s">
        <v>14</v>
      </c>
      <c r="C4459" t="s">
        <v>22</v>
      </c>
      <c r="D4459" t="s">
        <v>17</v>
      </c>
      <c r="E4459" t="s">
        <v>12</v>
      </c>
      <c r="F4459">
        <v>87948687</v>
      </c>
      <c r="G4459">
        <v>87948704</v>
      </c>
      <c r="H4459">
        <v>87948687</v>
      </c>
      <c r="I4459">
        <v>87948704</v>
      </c>
    </row>
    <row r="4460" spans="1:9" x14ac:dyDescent="0.2">
      <c r="A4460" t="str">
        <f>"Cradd"</f>
        <v>Cradd</v>
      </c>
      <c r="B4460" t="s">
        <v>14</v>
      </c>
      <c r="C4460" t="s">
        <v>15</v>
      </c>
      <c r="D4460" t="s">
        <v>11</v>
      </c>
      <c r="E4460" t="s">
        <v>12</v>
      </c>
      <c r="F4460">
        <v>95324072</v>
      </c>
      <c r="G4460">
        <v>95324114</v>
      </c>
      <c r="H4460">
        <v>95323550</v>
      </c>
      <c r="I4460">
        <v>95323610</v>
      </c>
    </row>
    <row r="4461" spans="1:9" x14ac:dyDescent="0.2">
      <c r="A4461" t="str">
        <f>"Cramp1l"</f>
        <v>Cramp1l</v>
      </c>
      <c r="B4461" t="s">
        <v>14</v>
      </c>
      <c r="C4461" t="s">
        <v>28</v>
      </c>
      <c r="D4461" t="s">
        <v>11</v>
      </c>
      <c r="E4461" t="s">
        <v>12</v>
      </c>
      <c r="F4461">
        <v>25015766</v>
      </c>
      <c r="G4461">
        <v>25015791</v>
      </c>
      <c r="H4461">
        <v>25015798</v>
      </c>
      <c r="I4461">
        <v>25015821</v>
      </c>
    </row>
    <row r="4462" spans="1:9" x14ac:dyDescent="0.2">
      <c r="A4462" t="str">
        <f>"Crat"</f>
        <v>Crat</v>
      </c>
      <c r="B4462" t="s">
        <v>14</v>
      </c>
      <c r="C4462" t="s">
        <v>26</v>
      </c>
      <c r="D4462" t="s">
        <v>11</v>
      </c>
      <c r="E4462" t="s">
        <v>12</v>
      </c>
      <c r="F4462">
        <v>30415509</v>
      </c>
      <c r="G4462">
        <v>30415560</v>
      </c>
      <c r="H4462">
        <v>30415460</v>
      </c>
      <c r="I4462">
        <v>30415505</v>
      </c>
    </row>
    <row r="4463" spans="1:9" x14ac:dyDescent="0.2">
      <c r="A4463" t="str">
        <f>"Crb1"</f>
        <v>Crb1</v>
      </c>
      <c r="B4463" t="s">
        <v>14</v>
      </c>
      <c r="C4463" t="s">
        <v>19</v>
      </c>
      <c r="D4463" t="s">
        <v>11</v>
      </c>
      <c r="E4463" t="s">
        <v>12</v>
      </c>
      <c r="F4463">
        <v>139377047</v>
      </c>
      <c r="G4463">
        <v>139377078</v>
      </c>
      <c r="H4463">
        <v>139377047</v>
      </c>
      <c r="I4463">
        <v>139377078</v>
      </c>
    </row>
    <row r="4464" spans="1:9" x14ac:dyDescent="0.2">
      <c r="A4464" t="str">
        <f>"Crb2"</f>
        <v>Crb2</v>
      </c>
      <c r="B4464" t="s">
        <v>14</v>
      </c>
      <c r="C4464" t="s">
        <v>26</v>
      </c>
      <c r="D4464" t="s">
        <v>17</v>
      </c>
      <c r="E4464" t="s">
        <v>12</v>
      </c>
      <c r="F4464">
        <v>37776229</v>
      </c>
      <c r="G4464">
        <v>37776258</v>
      </c>
      <c r="H4464">
        <v>37776281</v>
      </c>
      <c r="I4464">
        <v>37776297</v>
      </c>
    </row>
    <row r="4465" spans="1:9" x14ac:dyDescent="0.2">
      <c r="A4465" t="str">
        <f>"Crb3"</f>
        <v>Crb3</v>
      </c>
      <c r="B4465" t="s">
        <v>14</v>
      </c>
      <c r="C4465" t="s">
        <v>28</v>
      </c>
      <c r="D4465" t="s">
        <v>17</v>
      </c>
      <c r="E4465" t="s">
        <v>12</v>
      </c>
      <c r="F4465">
        <v>57062260</v>
      </c>
      <c r="G4465">
        <v>57062315</v>
      </c>
      <c r="H4465">
        <v>57062486</v>
      </c>
      <c r="I4465">
        <v>57062523</v>
      </c>
    </row>
    <row r="4466" spans="1:9" x14ac:dyDescent="0.2">
      <c r="A4466" t="str">
        <f>"Crbn"</f>
        <v>Crbn</v>
      </c>
      <c r="B4466" t="s">
        <v>14</v>
      </c>
      <c r="C4466" t="s">
        <v>32</v>
      </c>
      <c r="D4466" t="s">
        <v>11</v>
      </c>
      <c r="E4466" t="s">
        <v>12</v>
      </c>
      <c r="F4466">
        <v>106800051</v>
      </c>
      <c r="G4466">
        <v>106800095</v>
      </c>
      <c r="H4466">
        <v>106800051</v>
      </c>
      <c r="I4466">
        <v>106800095</v>
      </c>
    </row>
    <row r="4467" spans="1:9" x14ac:dyDescent="0.2">
      <c r="A4467" t="str">
        <f>"Crcp"</f>
        <v>Crcp</v>
      </c>
      <c r="B4467" t="s">
        <v>14</v>
      </c>
      <c r="C4467" t="s">
        <v>46</v>
      </c>
      <c r="D4467" t="s">
        <v>17</v>
      </c>
      <c r="E4467" t="s">
        <v>12</v>
      </c>
      <c r="F4467">
        <v>130029277</v>
      </c>
      <c r="G4467">
        <v>130029340</v>
      </c>
      <c r="H4467">
        <v>130029345</v>
      </c>
      <c r="I4467">
        <v>130029378</v>
      </c>
    </row>
    <row r="4468" spans="1:9" x14ac:dyDescent="0.2">
      <c r="A4468" t="str">
        <f>"Crct1"</f>
        <v>Crct1</v>
      </c>
      <c r="B4468" t="s">
        <v>14</v>
      </c>
      <c r="C4468" t="s">
        <v>22</v>
      </c>
      <c r="D4468" t="s">
        <v>11</v>
      </c>
      <c r="E4468" t="s">
        <v>12</v>
      </c>
      <c r="F4468">
        <v>93015679</v>
      </c>
      <c r="G4468">
        <v>93015694</v>
      </c>
      <c r="H4468">
        <v>93015679</v>
      </c>
      <c r="I4468">
        <v>93015694</v>
      </c>
    </row>
    <row r="4469" spans="1:9" x14ac:dyDescent="0.2">
      <c r="A4469" t="str">
        <f>"Creb1"</f>
        <v>Creb1</v>
      </c>
      <c r="B4469" t="s">
        <v>14</v>
      </c>
      <c r="C4469" t="s">
        <v>19</v>
      </c>
      <c r="D4469" t="s">
        <v>17</v>
      </c>
      <c r="E4469" t="s">
        <v>12</v>
      </c>
      <c r="F4469">
        <v>64532820</v>
      </c>
      <c r="G4469">
        <v>64532859</v>
      </c>
      <c r="H4469">
        <v>64532790</v>
      </c>
      <c r="I4469">
        <v>64532815</v>
      </c>
    </row>
    <row r="4470" spans="1:9" x14ac:dyDescent="0.2">
      <c r="A4470" t="str">
        <f>"Creb3"</f>
        <v>Creb3</v>
      </c>
      <c r="B4470" t="s">
        <v>14</v>
      </c>
      <c r="C4470" t="s">
        <v>23</v>
      </c>
      <c r="D4470" t="s">
        <v>17</v>
      </c>
      <c r="E4470" t="s">
        <v>12</v>
      </c>
      <c r="F4470">
        <v>43562613</v>
      </c>
      <c r="G4470">
        <v>43562670</v>
      </c>
      <c r="H4470">
        <v>43562672</v>
      </c>
      <c r="I4470">
        <v>43562693</v>
      </c>
    </row>
    <row r="4471" spans="1:9" x14ac:dyDescent="0.2">
      <c r="A4471" t="str">
        <f>"Creb3l1"</f>
        <v>Creb3l1</v>
      </c>
      <c r="B4471" t="s">
        <v>14</v>
      </c>
      <c r="C4471" t="s">
        <v>26</v>
      </c>
      <c r="D4471" t="s">
        <v>11</v>
      </c>
      <c r="E4471" t="s">
        <v>12</v>
      </c>
      <c r="F4471">
        <v>92024504</v>
      </c>
      <c r="G4471">
        <v>92024529</v>
      </c>
      <c r="H4471">
        <v>92024143</v>
      </c>
      <c r="I4471">
        <v>92024222</v>
      </c>
    </row>
    <row r="4472" spans="1:9" x14ac:dyDescent="0.2">
      <c r="A4472" t="str">
        <f>"Creb3l2"</f>
        <v>Creb3l2</v>
      </c>
      <c r="B4472" t="s">
        <v>14</v>
      </c>
      <c r="C4472" t="s">
        <v>32</v>
      </c>
      <c r="D4472" t="s">
        <v>11</v>
      </c>
      <c r="E4472" t="s">
        <v>12</v>
      </c>
      <c r="F4472">
        <v>37442095</v>
      </c>
      <c r="G4472">
        <v>37442154</v>
      </c>
      <c r="H4472">
        <v>37442159</v>
      </c>
      <c r="I4472">
        <v>37442172</v>
      </c>
    </row>
    <row r="4473" spans="1:9" x14ac:dyDescent="0.2">
      <c r="A4473" t="str">
        <f>"Creb3l3"</f>
        <v>Creb3l3</v>
      </c>
      <c r="B4473" t="s">
        <v>14</v>
      </c>
      <c r="C4473" t="s">
        <v>15</v>
      </c>
      <c r="D4473" t="s">
        <v>11</v>
      </c>
      <c r="E4473" t="s">
        <v>12</v>
      </c>
      <c r="F4473">
        <v>81092575</v>
      </c>
      <c r="G4473">
        <v>81092633</v>
      </c>
      <c r="H4473">
        <v>81092653</v>
      </c>
      <c r="I4473">
        <v>81092664</v>
      </c>
    </row>
    <row r="4474" spans="1:9" x14ac:dyDescent="0.2">
      <c r="A4474" t="str">
        <f>"Creb3l4"</f>
        <v>Creb3l4</v>
      </c>
      <c r="B4474" t="s">
        <v>14</v>
      </c>
      <c r="C4474" t="s">
        <v>22</v>
      </c>
      <c r="D4474" t="s">
        <v>11</v>
      </c>
      <c r="E4474" t="s">
        <v>12</v>
      </c>
      <c r="F4474">
        <v>90242492</v>
      </c>
      <c r="G4474">
        <v>90242554</v>
      </c>
      <c r="H4474">
        <v>90243073</v>
      </c>
      <c r="I4474">
        <v>90243109</v>
      </c>
    </row>
    <row r="4475" spans="1:9" x14ac:dyDescent="0.2">
      <c r="A4475" t="str">
        <f>"Creb5"</f>
        <v>Creb5</v>
      </c>
      <c r="B4475" t="s">
        <v>14</v>
      </c>
      <c r="C4475" t="s">
        <v>32</v>
      </c>
      <c r="D4475" t="s">
        <v>17</v>
      </c>
      <c r="E4475" t="s">
        <v>12</v>
      </c>
      <c r="F4475">
        <v>53573364</v>
      </c>
      <c r="G4475">
        <v>53573394</v>
      </c>
      <c r="H4475">
        <v>53573338</v>
      </c>
      <c r="I4475">
        <v>53573349</v>
      </c>
    </row>
    <row r="4476" spans="1:9" x14ac:dyDescent="0.2">
      <c r="A4476" t="str">
        <f>"Crebbp"</f>
        <v>Crebbp</v>
      </c>
      <c r="B4476" t="s">
        <v>14</v>
      </c>
      <c r="C4476" t="s">
        <v>31</v>
      </c>
      <c r="D4476" t="s">
        <v>11</v>
      </c>
      <c r="E4476" t="s">
        <v>12</v>
      </c>
      <c r="F4476">
        <v>4213715</v>
      </c>
      <c r="G4476">
        <v>4213738</v>
      </c>
      <c r="H4476">
        <v>4213367</v>
      </c>
      <c r="I4476">
        <v>4213379</v>
      </c>
    </row>
    <row r="4477" spans="1:9" x14ac:dyDescent="0.2">
      <c r="A4477" t="str">
        <f>"Crebl2"</f>
        <v>Crebl2</v>
      </c>
      <c r="B4477" t="s">
        <v>14</v>
      </c>
      <c r="C4477" t="s">
        <v>32</v>
      </c>
      <c r="D4477" t="s">
        <v>17</v>
      </c>
      <c r="E4477" t="s">
        <v>12</v>
      </c>
      <c r="F4477">
        <v>134830216</v>
      </c>
      <c r="G4477">
        <v>134830270</v>
      </c>
      <c r="H4477">
        <v>134830145</v>
      </c>
      <c r="I4477">
        <v>134830179</v>
      </c>
    </row>
    <row r="4478" spans="1:9" x14ac:dyDescent="0.2">
      <c r="A4478" t="str">
        <f>"Crebrf"</f>
        <v>Crebrf</v>
      </c>
      <c r="B4478" t="s">
        <v>14</v>
      </c>
      <c r="C4478" t="s">
        <v>28</v>
      </c>
      <c r="D4478" t="s">
        <v>17</v>
      </c>
      <c r="E4478" t="s">
        <v>67</v>
      </c>
      <c r="F4478">
        <v>26715644</v>
      </c>
      <c r="G4478">
        <v>26715702</v>
      </c>
      <c r="H4478">
        <v>26715644</v>
      </c>
      <c r="I4478">
        <v>26715702</v>
      </c>
    </row>
    <row r="4479" spans="1:9" x14ac:dyDescent="0.2">
      <c r="A4479" t="str">
        <f>"Crebzf"</f>
        <v>Crebzf</v>
      </c>
      <c r="B4479" t="s">
        <v>14</v>
      </c>
      <c r="C4479" t="s">
        <v>33</v>
      </c>
      <c r="D4479" t="s">
        <v>17</v>
      </c>
      <c r="E4479" t="s">
        <v>12</v>
      </c>
      <c r="F4479">
        <v>90442774</v>
      </c>
      <c r="G4479">
        <v>90442865</v>
      </c>
      <c r="H4479">
        <v>90442902</v>
      </c>
      <c r="I4479">
        <v>90442921</v>
      </c>
    </row>
    <row r="4480" spans="1:9" x14ac:dyDescent="0.2">
      <c r="A4480" t="str">
        <f>"Creg1"</f>
        <v>Creg1</v>
      </c>
      <c r="B4480" t="s">
        <v>14</v>
      </c>
      <c r="C4480" t="s">
        <v>19</v>
      </c>
      <c r="D4480" t="s">
        <v>17</v>
      </c>
      <c r="E4480" t="s">
        <v>12</v>
      </c>
      <c r="F4480">
        <v>165763752</v>
      </c>
      <c r="G4480">
        <v>165763784</v>
      </c>
      <c r="H4480">
        <v>165763752</v>
      </c>
      <c r="I4480">
        <v>165763784</v>
      </c>
    </row>
    <row r="4481" spans="1:9" x14ac:dyDescent="0.2">
      <c r="A4481" t="str">
        <f>"Creg2"</f>
        <v>Creg2</v>
      </c>
      <c r="B4481" t="s">
        <v>14</v>
      </c>
      <c r="C4481" t="s">
        <v>19</v>
      </c>
      <c r="D4481" t="s">
        <v>11</v>
      </c>
      <c r="E4481" t="s">
        <v>12</v>
      </c>
      <c r="F4481">
        <v>39650940</v>
      </c>
      <c r="G4481">
        <v>39650991</v>
      </c>
      <c r="H4481">
        <v>39651165</v>
      </c>
      <c r="I4481">
        <v>39651196</v>
      </c>
    </row>
    <row r="4482" spans="1:9" x14ac:dyDescent="0.2">
      <c r="A4482" t="str">
        <f>"Creld1"</f>
        <v>Creld1</v>
      </c>
      <c r="B4482" t="s">
        <v>14</v>
      </c>
      <c r="C4482" t="s">
        <v>32</v>
      </c>
      <c r="D4482" t="s">
        <v>17</v>
      </c>
      <c r="E4482" t="s">
        <v>12</v>
      </c>
      <c r="F4482">
        <v>113483528</v>
      </c>
      <c r="G4482">
        <v>113483571</v>
      </c>
      <c r="H4482">
        <v>113483449</v>
      </c>
      <c r="I4482">
        <v>113483473</v>
      </c>
    </row>
    <row r="4483" spans="1:9" x14ac:dyDescent="0.2">
      <c r="A4483" t="str">
        <f>"Creld2"</f>
        <v>Creld2</v>
      </c>
      <c r="B4483" t="s">
        <v>14</v>
      </c>
      <c r="C4483" t="s">
        <v>25</v>
      </c>
      <c r="D4483" t="s">
        <v>17</v>
      </c>
      <c r="E4483" t="s">
        <v>12</v>
      </c>
      <c r="F4483">
        <v>88819584</v>
      </c>
      <c r="G4483">
        <v>88819684</v>
      </c>
      <c r="H4483">
        <v>88819694</v>
      </c>
      <c r="I4483">
        <v>88819717</v>
      </c>
    </row>
    <row r="4484" spans="1:9" x14ac:dyDescent="0.2">
      <c r="A4484" t="str">
        <f>"Crem"</f>
        <v>Crem</v>
      </c>
      <c r="B4484" t="s">
        <v>2319</v>
      </c>
      <c r="C4484" t="s">
        <v>43</v>
      </c>
      <c r="D4484" t="s">
        <v>11</v>
      </c>
      <c r="E4484" t="s">
        <v>35</v>
      </c>
      <c r="F4484">
        <v>3337809</v>
      </c>
      <c r="G4484">
        <v>3337819</v>
      </c>
      <c r="H4484">
        <v>3337467</v>
      </c>
      <c r="I4484">
        <v>3337500</v>
      </c>
    </row>
    <row r="4485" spans="1:9" x14ac:dyDescent="0.2">
      <c r="A4485" t="str">
        <f>"Crem"</f>
        <v>Crem</v>
      </c>
      <c r="B4485" t="s">
        <v>2320</v>
      </c>
      <c r="C4485" t="s">
        <v>43</v>
      </c>
      <c r="D4485" t="s">
        <v>11</v>
      </c>
      <c r="E4485" t="s">
        <v>20</v>
      </c>
      <c r="F4485">
        <v>3327590</v>
      </c>
      <c r="G4485">
        <v>3327590</v>
      </c>
      <c r="H4485">
        <v>3327590</v>
      </c>
      <c r="I4485">
        <v>3327590</v>
      </c>
    </row>
    <row r="4486" spans="1:9" x14ac:dyDescent="0.2">
      <c r="A4486" t="str">
        <f>"Crh"</f>
        <v>Crh</v>
      </c>
      <c r="B4486" t="s">
        <v>14</v>
      </c>
      <c r="C4486" t="s">
        <v>22</v>
      </c>
      <c r="D4486" t="s">
        <v>11</v>
      </c>
      <c r="E4486" t="s">
        <v>12</v>
      </c>
      <c r="F4486">
        <v>19695325</v>
      </c>
      <c r="G4486">
        <v>19695336</v>
      </c>
      <c r="H4486">
        <v>19695489</v>
      </c>
      <c r="I4486">
        <v>19695497</v>
      </c>
    </row>
    <row r="4487" spans="1:9" x14ac:dyDescent="0.2">
      <c r="A4487" t="str">
        <f>"Crhbp"</f>
        <v>Crhbp</v>
      </c>
      <c r="B4487" t="s">
        <v>14</v>
      </c>
      <c r="C4487" t="s">
        <v>39</v>
      </c>
      <c r="D4487" t="s">
        <v>11</v>
      </c>
      <c r="E4487" t="s">
        <v>12</v>
      </c>
      <c r="F4487">
        <v>95444763</v>
      </c>
      <c r="G4487">
        <v>95444777</v>
      </c>
      <c r="H4487">
        <v>95444700</v>
      </c>
      <c r="I4487">
        <v>95444711</v>
      </c>
    </row>
    <row r="4488" spans="1:9" x14ac:dyDescent="0.2">
      <c r="A4488" t="str">
        <f>"Crhr1"</f>
        <v>Crhr1</v>
      </c>
      <c r="B4488" t="s">
        <v>14</v>
      </c>
      <c r="C4488" t="s">
        <v>27</v>
      </c>
      <c r="D4488" t="s">
        <v>17</v>
      </c>
      <c r="E4488" t="s">
        <v>12</v>
      </c>
      <c r="F4488">
        <v>104132810</v>
      </c>
      <c r="G4488">
        <v>104132828</v>
      </c>
      <c r="H4488">
        <v>104132864</v>
      </c>
      <c r="I4488">
        <v>104132876</v>
      </c>
    </row>
    <row r="4489" spans="1:9" x14ac:dyDescent="0.2">
      <c r="A4489" t="str">
        <f>"Crhr2"</f>
        <v>Crhr2</v>
      </c>
      <c r="B4489" t="s">
        <v>14</v>
      </c>
      <c r="C4489" t="s">
        <v>32</v>
      </c>
      <c r="D4489" t="s">
        <v>11</v>
      </c>
      <c r="E4489" t="s">
        <v>12</v>
      </c>
      <c r="F4489">
        <v>55132975</v>
      </c>
      <c r="G4489">
        <v>55132997</v>
      </c>
      <c r="H4489">
        <v>55132958</v>
      </c>
      <c r="I4489">
        <v>55132973</v>
      </c>
    </row>
    <row r="4490" spans="1:9" x14ac:dyDescent="0.2">
      <c r="A4490" t="str">
        <f>"Crim1"</f>
        <v>Crim1</v>
      </c>
      <c r="B4490" t="s">
        <v>14</v>
      </c>
      <c r="C4490" t="s">
        <v>28</v>
      </c>
      <c r="D4490" t="s">
        <v>17</v>
      </c>
      <c r="E4490" t="s">
        <v>12</v>
      </c>
      <c r="F4490">
        <v>78200240</v>
      </c>
      <c r="G4490">
        <v>78200258</v>
      </c>
      <c r="H4490">
        <v>78200190</v>
      </c>
      <c r="I4490">
        <v>78200228</v>
      </c>
    </row>
    <row r="4491" spans="1:9" x14ac:dyDescent="0.2">
      <c r="A4491" t="str">
        <f>"Crip1"</f>
        <v>Crip1</v>
      </c>
      <c r="B4491" t="s">
        <v>14</v>
      </c>
      <c r="C4491" t="s">
        <v>16</v>
      </c>
      <c r="D4491" t="s">
        <v>17</v>
      </c>
      <c r="E4491" t="s">
        <v>12</v>
      </c>
      <c r="F4491">
        <v>113152043</v>
      </c>
      <c r="G4491">
        <v>113152057</v>
      </c>
      <c r="H4491">
        <v>113152043</v>
      </c>
      <c r="I4491">
        <v>113152057</v>
      </c>
    </row>
    <row r="4492" spans="1:9" x14ac:dyDescent="0.2">
      <c r="A4492" t="str">
        <f>"Crip2"</f>
        <v>Crip2</v>
      </c>
      <c r="B4492" t="s">
        <v>14</v>
      </c>
      <c r="C4492" t="s">
        <v>16</v>
      </c>
      <c r="D4492" t="s">
        <v>17</v>
      </c>
      <c r="E4492" t="s">
        <v>12</v>
      </c>
      <c r="F4492">
        <v>113140500</v>
      </c>
      <c r="G4492">
        <v>113140565</v>
      </c>
      <c r="H4492">
        <v>113140198</v>
      </c>
      <c r="I4492">
        <v>113140257</v>
      </c>
    </row>
    <row r="4493" spans="1:9" x14ac:dyDescent="0.2">
      <c r="A4493" t="str">
        <f>"Crip3"</f>
        <v>Crip3</v>
      </c>
      <c r="B4493" t="s">
        <v>14</v>
      </c>
      <c r="C4493" t="s">
        <v>28</v>
      </c>
      <c r="D4493" t="s">
        <v>17</v>
      </c>
      <c r="E4493" t="s">
        <v>12</v>
      </c>
      <c r="F4493">
        <v>46428930</v>
      </c>
      <c r="G4493">
        <v>46428949</v>
      </c>
      <c r="H4493">
        <v>46428917</v>
      </c>
      <c r="I4493">
        <v>46428929</v>
      </c>
    </row>
    <row r="4494" spans="1:9" x14ac:dyDescent="0.2">
      <c r="A4494" t="str">
        <f>"Cript"</f>
        <v>Cript</v>
      </c>
      <c r="B4494" t="s">
        <v>14</v>
      </c>
      <c r="C4494" t="s">
        <v>28</v>
      </c>
      <c r="D4494" t="s">
        <v>17</v>
      </c>
      <c r="E4494" t="s">
        <v>12</v>
      </c>
      <c r="F4494">
        <v>87025556</v>
      </c>
      <c r="G4494">
        <v>87025635</v>
      </c>
      <c r="H4494">
        <v>87025556</v>
      </c>
      <c r="I4494">
        <v>87025635</v>
      </c>
    </row>
    <row r="4495" spans="1:9" x14ac:dyDescent="0.2">
      <c r="A4495" t="str">
        <f>"Crisp1"</f>
        <v>Crisp1</v>
      </c>
      <c r="B4495" t="s">
        <v>14</v>
      </c>
      <c r="C4495" t="s">
        <v>28</v>
      </c>
      <c r="D4495" t="s">
        <v>11</v>
      </c>
      <c r="E4495" t="s">
        <v>12</v>
      </c>
      <c r="F4495">
        <v>40319205</v>
      </c>
      <c r="G4495">
        <v>40319208</v>
      </c>
      <c r="H4495">
        <v>40319205</v>
      </c>
      <c r="I4495">
        <v>40319208</v>
      </c>
    </row>
    <row r="4496" spans="1:9" x14ac:dyDescent="0.2">
      <c r="A4496" t="str">
        <f>"Crisp2"</f>
        <v>Crisp2</v>
      </c>
      <c r="B4496" t="s">
        <v>14</v>
      </c>
      <c r="C4496" t="s">
        <v>28</v>
      </c>
      <c r="D4496" t="s">
        <v>11</v>
      </c>
      <c r="E4496" t="s">
        <v>12</v>
      </c>
      <c r="F4496">
        <v>40794063</v>
      </c>
      <c r="G4496">
        <v>40794091</v>
      </c>
      <c r="H4496">
        <v>40794063</v>
      </c>
      <c r="I4496">
        <v>40794091</v>
      </c>
    </row>
    <row r="4497" spans="1:9" x14ac:dyDescent="0.2">
      <c r="A4497" t="str">
        <f>"Crisp3"</f>
        <v>Crisp3</v>
      </c>
      <c r="B4497" t="s">
        <v>14</v>
      </c>
      <c r="C4497" t="s">
        <v>28</v>
      </c>
      <c r="D4497" t="s">
        <v>11</v>
      </c>
      <c r="E4497" t="s">
        <v>12</v>
      </c>
      <c r="F4497">
        <v>40242285</v>
      </c>
      <c r="G4497">
        <v>40242289</v>
      </c>
      <c r="H4497">
        <v>40242285</v>
      </c>
      <c r="I4497">
        <v>40242289</v>
      </c>
    </row>
    <row r="4498" spans="1:9" x14ac:dyDescent="0.2">
      <c r="A4498" t="str">
        <f>"Crisp4"</f>
        <v>Crisp4</v>
      </c>
      <c r="B4498" t="s">
        <v>14</v>
      </c>
      <c r="C4498" t="s">
        <v>19</v>
      </c>
      <c r="D4498" t="s">
        <v>11</v>
      </c>
      <c r="E4498" t="s">
        <v>12</v>
      </c>
      <c r="F4498">
        <v>18145895</v>
      </c>
      <c r="G4498">
        <v>18145922</v>
      </c>
      <c r="H4498">
        <v>18145895</v>
      </c>
      <c r="I4498">
        <v>18145922</v>
      </c>
    </row>
    <row r="4499" spans="1:9" x14ac:dyDescent="0.2">
      <c r="A4499" t="str">
        <f>"Crispld1"</f>
        <v>Crispld1</v>
      </c>
      <c r="B4499" t="s">
        <v>14</v>
      </c>
      <c r="C4499" t="s">
        <v>19</v>
      </c>
      <c r="D4499" t="s">
        <v>17</v>
      </c>
      <c r="E4499" t="s">
        <v>12</v>
      </c>
      <c r="F4499">
        <v>17727409</v>
      </c>
      <c r="G4499">
        <v>17727424</v>
      </c>
      <c r="H4499">
        <v>17727034</v>
      </c>
      <c r="I4499">
        <v>17727061</v>
      </c>
    </row>
    <row r="4500" spans="1:9" x14ac:dyDescent="0.2">
      <c r="A4500" t="str">
        <f>"Crispld2"</f>
        <v>Crispld2</v>
      </c>
      <c r="B4500" t="s">
        <v>9</v>
      </c>
      <c r="C4500" t="s">
        <v>30</v>
      </c>
      <c r="D4500" t="s">
        <v>17</v>
      </c>
      <c r="E4500" t="s">
        <v>12</v>
      </c>
      <c r="F4500">
        <v>119992500</v>
      </c>
      <c r="G4500">
        <v>119992526</v>
      </c>
      <c r="H4500">
        <v>119992500</v>
      </c>
      <c r="I4500">
        <v>119992526</v>
      </c>
    </row>
    <row r="4501" spans="1:9" x14ac:dyDescent="0.2">
      <c r="A4501" t="str">
        <f>"Crispld2"</f>
        <v>Crispld2</v>
      </c>
      <c r="B4501" t="s">
        <v>13</v>
      </c>
      <c r="C4501" t="s">
        <v>30</v>
      </c>
      <c r="D4501" t="s">
        <v>17</v>
      </c>
      <c r="E4501" t="s">
        <v>12</v>
      </c>
      <c r="F4501">
        <v>120002720</v>
      </c>
      <c r="G4501">
        <v>120002741</v>
      </c>
      <c r="H4501">
        <v>120002720</v>
      </c>
      <c r="I4501">
        <v>120002741</v>
      </c>
    </row>
    <row r="4502" spans="1:9" x14ac:dyDescent="0.2">
      <c r="A4502" t="str">
        <f>"Crk"</f>
        <v>Crk</v>
      </c>
      <c r="B4502" t="s">
        <v>14</v>
      </c>
      <c r="C4502" t="s">
        <v>27</v>
      </c>
      <c r="D4502" t="s">
        <v>17</v>
      </c>
      <c r="E4502" t="s">
        <v>12</v>
      </c>
      <c r="F4502">
        <v>75679269</v>
      </c>
      <c r="G4502">
        <v>75679327</v>
      </c>
      <c r="H4502">
        <v>75679177</v>
      </c>
      <c r="I4502">
        <v>75679212</v>
      </c>
    </row>
    <row r="4503" spans="1:9" x14ac:dyDescent="0.2">
      <c r="A4503" t="str">
        <f>"Crkl"</f>
        <v>Crkl</v>
      </c>
      <c r="B4503" t="s">
        <v>14</v>
      </c>
      <c r="C4503" t="s">
        <v>31</v>
      </c>
      <c r="D4503" t="s">
        <v>17</v>
      </c>
      <c r="E4503" t="s">
        <v>12</v>
      </c>
      <c r="F4503">
        <v>17451981</v>
      </c>
      <c r="G4503">
        <v>17452034</v>
      </c>
      <c r="H4503">
        <v>17451956</v>
      </c>
      <c r="I4503">
        <v>17451972</v>
      </c>
    </row>
    <row r="4504" spans="1:9" x14ac:dyDescent="0.2">
      <c r="A4504" t="str">
        <f>"Crlf1"</f>
        <v>Crlf1</v>
      </c>
      <c r="B4504" t="s">
        <v>14</v>
      </c>
      <c r="C4504" t="s">
        <v>30</v>
      </c>
      <c r="D4504" t="s">
        <v>17</v>
      </c>
      <c r="E4504" t="s">
        <v>12</v>
      </c>
      <c r="F4504">
        <v>70493140</v>
      </c>
      <c r="G4504">
        <v>70493154</v>
      </c>
      <c r="H4504">
        <v>70493156</v>
      </c>
      <c r="I4504">
        <v>70493167</v>
      </c>
    </row>
    <row r="4505" spans="1:9" x14ac:dyDescent="0.2">
      <c r="A4505" t="str">
        <f>"Crlf2"</f>
        <v>Crlf2</v>
      </c>
      <c r="B4505" t="s">
        <v>14</v>
      </c>
      <c r="C4505" t="s">
        <v>46</v>
      </c>
      <c r="D4505" t="s">
        <v>11</v>
      </c>
      <c r="E4505" t="s">
        <v>12</v>
      </c>
      <c r="F4505">
        <v>109558957</v>
      </c>
      <c r="G4505">
        <v>109559014</v>
      </c>
      <c r="H4505">
        <v>109558945</v>
      </c>
      <c r="I4505">
        <v>109558956</v>
      </c>
    </row>
    <row r="4506" spans="1:9" x14ac:dyDescent="0.2">
      <c r="A4506" t="str">
        <f>"Crlf3"</f>
        <v>Crlf3</v>
      </c>
      <c r="B4506" t="s">
        <v>14</v>
      </c>
      <c r="C4506" t="s">
        <v>27</v>
      </c>
      <c r="D4506" t="s">
        <v>11</v>
      </c>
      <c r="E4506" t="s">
        <v>12</v>
      </c>
      <c r="F4506">
        <v>80080928</v>
      </c>
      <c r="G4506">
        <v>80081001</v>
      </c>
      <c r="H4506">
        <v>80080908</v>
      </c>
      <c r="I4506">
        <v>80080919</v>
      </c>
    </row>
    <row r="4507" spans="1:9" x14ac:dyDescent="0.2">
      <c r="A4507" t="str">
        <f>"Crls1"</f>
        <v>Crls1</v>
      </c>
      <c r="B4507" t="s">
        <v>14</v>
      </c>
      <c r="C4507" t="s">
        <v>26</v>
      </c>
      <c r="D4507" t="s">
        <v>17</v>
      </c>
      <c r="E4507" t="s">
        <v>12</v>
      </c>
      <c r="F4507">
        <v>132846638</v>
      </c>
      <c r="G4507">
        <v>132846708</v>
      </c>
      <c r="H4507">
        <v>132846638</v>
      </c>
      <c r="I4507">
        <v>132846708</v>
      </c>
    </row>
    <row r="4508" spans="1:9" x14ac:dyDescent="0.2">
      <c r="A4508" t="str">
        <f>"Crmp1"</f>
        <v>Crmp1</v>
      </c>
      <c r="B4508" t="s">
        <v>9</v>
      </c>
      <c r="C4508" t="s">
        <v>46</v>
      </c>
      <c r="D4508" t="s">
        <v>17</v>
      </c>
      <c r="E4508" t="s">
        <v>12</v>
      </c>
      <c r="F4508">
        <v>37245823</v>
      </c>
      <c r="G4508">
        <v>37245883</v>
      </c>
      <c r="H4508">
        <v>37245823</v>
      </c>
      <c r="I4508">
        <v>37245883</v>
      </c>
    </row>
    <row r="4509" spans="1:9" x14ac:dyDescent="0.2">
      <c r="A4509" t="str">
        <f>"Crmp1"</f>
        <v>Crmp1</v>
      </c>
      <c r="B4509" t="s">
        <v>13</v>
      </c>
      <c r="C4509" t="s">
        <v>46</v>
      </c>
      <c r="D4509" t="s">
        <v>17</v>
      </c>
      <c r="E4509" t="s">
        <v>12</v>
      </c>
      <c r="F4509">
        <v>37242025</v>
      </c>
      <c r="G4509">
        <v>37242081</v>
      </c>
      <c r="H4509">
        <v>37242025</v>
      </c>
      <c r="I4509">
        <v>37242081</v>
      </c>
    </row>
    <row r="4510" spans="1:9" x14ac:dyDescent="0.2">
      <c r="A4510" t="str">
        <f>"Crnkl1"</f>
        <v>Crnkl1</v>
      </c>
      <c r="B4510" t="s">
        <v>14</v>
      </c>
      <c r="C4510" t="s">
        <v>26</v>
      </c>
      <c r="D4510" t="s">
        <v>11</v>
      </c>
      <c r="E4510" t="s">
        <v>12</v>
      </c>
      <c r="F4510">
        <v>145934682</v>
      </c>
      <c r="G4510">
        <v>145934738</v>
      </c>
      <c r="H4510">
        <v>145935014</v>
      </c>
      <c r="I4510">
        <v>145935041</v>
      </c>
    </row>
    <row r="4511" spans="1:9" x14ac:dyDescent="0.2">
      <c r="A4511" t="str">
        <f>"Crnn"</f>
        <v>Crnn</v>
      </c>
      <c r="B4511" t="s">
        <v>14</v>
      </c>
      <c r="C4511" t="s">
        <v>22</v>
      </c>
      <c r="D4511" t="s">
        <v>17</v>
      </c>
      <c r="E4511" t="s">
        <v>12</v>
      </c>
      <c r="F4511">
        <v>93144782</v>
      </c>
      <c r="G4511">
        <v>93144798</v>
      </c>
      <c r="H4511">
        <v>93144782</v>
      </c>
      <c r="I4511">
        <v>93144798</v>
      </c>
    </row>
    <row r="4512" spans="1:9" x14ac:dyDescent="0.2">
      <c r="A4512" t="str">
        <f>"Crocc"</f>
        <v>Crocc</v>
      </c>
      <c r="B4512" t="s">
        <v>9</v>
      </c>
      <c r="C4512" t="s">
        <v>23</v>
      </c>
      <c r="D4512" t="s">
        <v>11</v>
      </c>
      <c r="E4512" t="s">
        <v>12</v>
      </c>
      <c r="F4512">
        <v>141060536</v>
      </c>
      <c r="G4512">
        <v>141060567</v>
      </c>
      <c r="H4512">
        <v>141060536</v>
      </c>
      <c r="I4512">
        <v>141060567</v>
      </c>
    </row>
    <row r="4513" spans="1:9" x14ac:dyDescent="0.2">
      <c r="A4513" t="str">
        <f>"Crocc"</f>
        <v>Crocc</v>
      </c>
      <c r="B4513" t="s">
        <v>13</v>
      </c>
      <c r="C4513" t="s">
        <v>23</v>
      </c>
      <c r="D4513" t="s">
        <v>11</v>
      </c>
      <c r="E4513" t="s">
        <v>12</v>
      </c>
      <c r="F4513">
        <v>141053660</v>
      </c>
      <c r="G4513">
        <v>141053697</v>
      </c>
      <c r="H4513">
        <v>141053660</v>
      </c>
      <c r="I4513">
        <v>141053697</v>
      </c>
    </row>
    <row r="4514" spans="1:9" x14ac:dyDescent="0.2">
      <c r="A4514" t="str">
        <f>"Crot"</f>
        <v>Crot</v>
      </c>
      <c r="B4514" t="s">
        <v>14</v>
      </c>
      <c r="C4514" t="s">
        <v>46</v>
      </c>
      <c r="D4514" t="s">
        <v>11</v>
      </c>
      <c r="E4514" t="s">
        <v>12</v>
      </c>
      <c r="F4514">
        <v>8997138</v>
      </c>
      <c r="G4514">
        <v>8997161</v>
      </c>
      <c r="H4514">
        <v>8997138</v>
      </c>
      <c r="I4514">
        <v>8997161</v>
      </c>
    </row>
    <row r="4515" spans="1:9" x14ac:dyDescent="0.2">
      <c r="A4515" t="str">
        <f>"Crp"</f>
        <v>Crp</v>
      </c>
      <c r="B4515" t="s">
        <v>14</v>
      </c>
      <c r="C4515" t="s">
        <v>19</v>
      </c>
      <c r="D4515" t="s">
        <v>17</v>
      </c>
      <c r="E4515" t="s">
        <v>12</v>
      </c>
      <c r="F4515">
        <v>172698046</v>
      </c>
      <c r="G4515">
        <v>172698063</v>
      </c>
      <c r="H4515">
        <v>172698046</v>
      </c>
      <c r="I4515">
        <v>172698063</v>
      </c>
    </row>
    <row r="4516" spans="1:9" x14ac:dyDescent="0.2">
      <c r="A4516" t="str">
        <f>"Crtac1"</f>
        <v>Crtac1</v>
      </c>
      <c r="B4516" t="s">
        <v>14</v>
      </c>
      <c r="C4516" t="s">
        <v>10</v>
      </c>
      <c r="D4516" t="s">
        <v>11</v>
      </c>
      <c r="E4516" t="s">
        <v>12</v>
      </c>
      <c r="F4516">
        <v>42431778</v>
      </c>
      <c r="G4516">
        <v>42431792</v>
      </c>
      <c r="H4516">
        <v>42431747</v>
      </c>
      <c r="I4516">
        <v>42431760</v>
      </c>
    </row>
    <row r="4517" spans="1:9" x14ac:dyDescent="0.2">
      <c r="A4517" t="str">
        <f>"Crtam"</f>
        <v>Crtam</v>
      </c>
      <c r="B4517" t="s">
        <v>9</v>
      </c>
      <c r="C4517" t="s">
        <v>24</v>
      </c>
      <c r="D4517" t="s">
        <v>11</v>
      </c>
      <c r="E4517" t="s">
        <v>12</v>
      </c>
      <c r="F4517">
        <v>41004599</v>
      </c>
      <c r="G4517">
        <v>41004632</v>
      </c>
      <c r="H4517">
        <v>41004599</v>
      </c>
      <c r="I4517">
        <v>41004632</v>
      </c>
    </row>
    <row r="4518" spans="1:9" x14ac:dyDescent="0.2">
      <c r="A4518" t="str">
        <f>"Crtam"</f>
        <v>Crtam</v>
      </c>
      <c r="B4518" t="s">
        <v>13</v>
      </c>
      <c r="C4518" t="s">
        <v>24</v>
      </c>
      <c r="D4518" t="s">
        <v>11</v>
      </c>
      <c r="E4518" t="s">
        <v>12</v>
      </c>
      <c r="F4518">
        <v>40984488</v>
      </c>
      <c r="G4518">
        <v>40984500</v>
      </c>
      <c r="H4518">
        <v>40984488</v>
      </c>
      <c r="I4518">
        <v>40984500</v>
      </c>
    </row>
    <row r="4519" spans="1:9" x14ac:dyDescent="0.2">
      <c r="A4519" t="str">
        <f>"Crtap"</f>
        <v>Crtap</v>
      </c>
      <c r="B4519" t="s">
        <v>14</v>
      </c>
      <c r="C4519" t="s">
        <v>24</v>
      </c>
      <c r="D4519" t="s">
        <v>11</v>
      </c>
      <c r="E4519" t="s">
        <v>12</v>
      </c>
      <c r="F4519">
        <v>114390633</v>
      </c>
      <c r="G4519">
        <v>114390687</v>
      </c>
      <c r="H4519">
        <v>114390633</v>
      </c>
      <c r="I4519">
        <v>114390687</v>
      </c>
    </row>
    <row r="4520" spans="1:9" x14ac:dyDescent="0.2">
      <c r="A4520" t="str">
        <f>"Crtc1"</f>
        <v>Crtc1</v>
      </c>
      <c r="B4520" t="s">
        <v>14</v>
      </c>
      <c r="C4520" t="s">
        <v>30</v>
      </c>
      <c r="D4520" t="s">
        <v>11</v>
      </c>
      <c r="E4520" t="s">
        <v>12</v>
      </c>
      <c r="F4520">
        <v>70439557</v>
      </c>
      <c r="G4520">
        <v>70439612</v>
      </c>
      <c r="H4520">
        <v>70439623</v>
      </c>
      <c r="I4520">
        <v>70439671</v>
      </c>
    </row>
    <row r="4521" spans="1:9" x14ac:dyDescent="0.2">
      <c r="A4521" t="str">
        <f>"Crtc2"</f>
        <v>Crtc2</v>
      </c>
      <c r="B4521" t="s">
        <v>14</v>
      </c>
      <c r="C4521" t="s">
        <v>22</v>
      </c>
      <c r="D4521" t="s">
        <v>17</v>
      </c>
      <c r="E4521" t="s">
        <v>12</v>
      </c>
      <c r="F4521">
        <v>90254259</v>
      </c>
      <c r="G4521">
        <v>90254332</v>
      </c>
      <c r="H4521">
        <v>90254241</v>
      </c>
      <c r="I4521">
        <v>90254252</v>
      </c>
    </row>
    <row r="4522" spans="1:9" x14ac:dyDescent="0.2">
      <c r="A4522" t="str">
        <f>"Crtc3"</f>
        <v>Crtc3</v>
      </c>
      <c r="B4522" t="s">
        <v>14</v>
      </c>
      <c r="C4522" t="s">
        <v>33</v>
      </c>
      <c r="D4522" t="s">
        <v>11</v>
      </c>
      <c r="E4522" t="s">
        <v>12</v>
      </c>
      <c r="F4522">
        <v>80688852</v>
      </c>
      <c r="G4522">
        <v>80688923</v>
      </c>
      <c r="H4522">
        <v>80688831</v>
      </c>
      <c r="I4522">
        <v>80688848</v>
      </c>
    </row>
    <row r="4523" spans="1:9" x14ac:dyDescent="0.2">
      <c r="A4523" t="str">
        <f>"Crx"</f>
        <v>Crx</v>
      </c>
      <c r="B4523" t="s">
        <v>14</v>
      </c>
      <c r="C4523" t="s">
        <v>33</v>
      </c>
      <c r="D4523" t="s">
        <v>11</v>
      </c>
      <c r="E4523" t="s">
        <v>12</v>
      </c>
      <c r="F4523">
        <v>15879880</v>
      </c>
      <c r="G4523">
        <v>15879900</v>
      </c>
      <c r="H4523">
        <v>15879880</v>
      </c>
      <c r="I4523">
        <v>15879900</v>
      </c>
    </row>
    <row r="4524" spans="1:9" x14ac:dyDescent="0.2">
      <c r="A4524" t="str">
        <f>"Crxos1"</f>
        <v>Crxos1</v>
      </c>
      <c r="B4524" t="s">
        <v>14</v>
      </c>
      <c r="C4524" t="s">
        <v>33</v>
      </c>
      <c r="D4524" t="s">
        <v>17</v>
      </c>
      <c r="E4524" t="s">
        <v>12</v>
      </c>
      <c r="F4524">
        <v>15882688</v>
      </c>
      <c r="G4524">
        <v>15882727</v>
      </c>
      <c r="H4524">
        <v>15882688</v>
      </c>
      <c r="I4524">
        <v>15882727</v>
      </c>
    </row>
    <row r="4525" spans="1:9" x14ac:dyDescent="0.2">
      <c r="A4525" t="str">
        <f>"Cry1"</f>
        <v>Cry1</v>
      </c>
      <c r="B4525" t="s">
        <v>14</v>
      </c>
      <c r="C4525" t="s">
        <v>15</v>
      </c>
      <c r="D4525" t="s">
        <v>11</v>
      </c>
      <c r="E4525" t="s">
        <v>12</v>
      </c>
      <c r="F4525">
        <v>85185003</v>
      </c>
      <c r="G4525">
        <v>85185069</v>
      </c>
      <c r="H4525">
        <v>85184984</v>
      </c>
      <c r="I4525">
        <v>85184998</v>
      </c>
    </row>
    <row r="4526" spans="1:9" x14ac:dyDescent="0.2">
      <c r="A4526" t="str">
        <f>"Cry2"</f>
        <v>Cry2</v>
      </c>
      <c r="B4526" t="s">
        <v>14</v>
      </c>
      <c r="C4526" t="s">
        <v>26</v>
      </c>
      <c r="D4526" t="s">
        <v>11</v>
      </c>
      <c r="E4526" t="s">
        <v>12</v>
      </c>
      <c r="F4526">
        <v>92434027</v>
      </c>
      <c r="G4526">
        <v>92434053</v>
      </c>
      <c r="H4526">
        <v>92434451</v>
      </c>
      <c r="I4526">
        <v>92434454</v>
      </c>
    </row>
    <row r="4527" spans="1:9" x14ac:dyDescent="0.2">
      <c r="A4527" t="str">
        <f>"Cryaa"</f>
        <v>Cryaa</v>
      </c>
      <c r="B4527" t="s">
        <v>14</v>
      </c>
      <c r="C4527" t="s">
        <v>28</v>
      </c>
      <c r="D4527" t="s">
        <v>17</v>
      </c>
      <c r="E4527" t="s">
        <v>12</v>
      </c>
      <c r="F4527">
        <v>31677924</v>
      </c>
      <c r="G4527">
        <v>31677939</v>
      </c>
      <c r="H4527">
        <v>31677924</v>
      </c>
      <c r="I4527">
        <v>31677939</v>
      </c>
    </row>
    <row r="4528" spans="1:9" x14ac:dyDescent="0.2">
      <c r="A4528" t="str">
        <f>"Cryab"</f>
        <v>Cryab</v>
      </c>
      <c r="B4528" t="s">
        <v>14</v>
      </c>
      <c r="C4528" t="s">
        <v>24</v>
      </c>
      <c r="D4528" t="s">
        <v>17</v>
      </c>
      <c r="E4528" t="s">
        <v>12</v>
      </c>
      <c r="F4528">
        <v>50753208</v>
      </c>
      <c r="G4528">
        <v>50753250</v>
      </c>
      <c r="H4528">
        <v>50753208</v>
      </c>
      <c r="I4528">
        <v>50753250</v>
      </c>
    </row>
    <row r="4529" spans="1:9" x14ac:dyDescent="0.2">
      <c r="A4529" t="str">
        <f>"Cryba1"</f>
        <v>Cryba1</v>
      </c>
      <c r="B4529" t="s">
        <v>14</v>
      </c>
      <c r="C4529" t="s">
        <v>27</v>
      </c>
      <c r="D4529" t="s">
        <v>11</v>
      </c>
      <c r="E4529" t="s">
        <v>12</v>
      </c>
      <c r="F4529">
        <v>77725281</v>
      </c>
      <c r="G4529">
        <v>77725294</v>
      </c>
      <c r="H4529">
        <v>77725281</v>
      </c>
      <c r="I4529">
        <v>77725294</v>
      </c>
    </row>
    <row r="4530" spans="1:9" x14ac:dyDescent="0.2">
      <c r="A4530" t="str">
        <f>"Cryba2"</f>
        <v>Cryba2</v>
      </c>
      <c r="B4530" t="s">
        <v>14</v>
      </c>
      <c r="C4530" t="s">
        <v>19</v>
      </c>
      <c r="D4530" t="s">
        <v>11</v>
      </c>
      <c r="E4530" t="s">
        <v>12</v>
      </c>
      <c r="F4530">
        <v>74893109</v>
      </c>
      <c r="G4530">
        <v>74893123</v>
      </c>
      <c r="H4530">
        <v>74893109</v>
      </c>
      <c r="I4530">
        <v>74893123</v>
      </c>
    </row>
    <row r="4531" spans="1:9" x14ac:dyDescent="0.2">
      <c r="A4531" t="str">
        <f>"Cryba4"</f>
        <v>Cryba4</v>
      </c>
      <c r="B4531" t="s">
        <v>9</v>
      </c>
      <c r="C4531" t="s">
        <v>46</v>
      </c>
      <c r="D4531" t="s">
        <v>11</v>
      </c>
      <c r="E4531" t="s">
        <v>12</v>
      </c>
      <c r="F4531">
        <v>112252513</v>
      </c>
      <c r="G4531">
        <v>112252525</v>
      </c>
      <c r="H4531">
        <v>112252513</v>
      </c>
      <c r="I4531">
        <v>112252525</v>
      </c>
    </row>
    <row r="4532" spans="1:9" x14ac:dyDescent="0.2">
      <c r="A4532" t="str">
        <f>"Cryba4"</f>
        <v>Cryba4</v>
      </c>
      <c r="B4532" t="s">
        <v>13</v>
      </c>
      <c r="C4532" t="s">
        <v>46</v>
      </c>
      <c r="D4532" t="s">
        <v>11</v>
      </c>
      <c r="E4532" t="s">
        <v>12</v>
      </c>
      <c r="F4532">
        <v>112251137</v>
      </c>
      <c r="G4532">
        <v>112251177</v>
      </c>
      <c r="H4532">
        <v>112251137</v>
      </c>
      <c r="I4532">
        <v>112251177</v>
      </c>
    </row>
    <row r="4533" spans="1:9" x14ac:dyDescent="0.2">
      <c r="A4533" t="str">
        <f>"Crybb1"</f>
        <v>Crybb1</v>
      </c>
      <c r="B4533" t="s">
        <v>14</v>
      </c>
      <c r="C4533" t="s">
        <v>46</v>
      </c>
      <c r="D4533" t="s">
        <v>17</v>
      </c>
      <c r="E4533" t="s">
        <v>12</v>
      </c>
      <c r="F4533">
        <v>112255813</v>
      </c>
      <c r="G4533">
        <v>112255827</v>
      </c>
      <c r="H4533">
        <v>112255736</v>
      </c>
      <c r="I4533">
        <v>112255769</v>
      </c>
    </row>
    <row r="4534" spans="1:9" x14ac:dyDescent="0.2">
      <c r="A4534" t="str">
        <f>"Crybb2"</f>
        <v>Crybb2</v>
      </c>
      <c r="B4534" t="s">
        <v>14</v>
      </c>
      <c r="C4534" t="s">
        <v>46</v>
      </c>
      <c r="D4534" t="s">
        <v>11</v>
      </c>
      <c r="E4534" t="s">
        <v>12</v>
      </c>
      <c r="F4534">
        <v>113069658</v>
      </c>
      <c r="G4534">
        <v>113069661</v>
      </c>
      <c r="H4534">
        <v>113069658</v>
      </c>
      <c r="I4534">
        <v>113069661</v>
      </c>
    </row>
    <row r="4535" spans="1:9" x14ac:dyDescent="0.2">
      <c r="A4535" t="str">
        <f>"Crybb3"</f>
        <v>Crybb3</v>
      </c>
      <c r="B4535" t="s">
        <v>9</v>
      </c>
      <c r="C4535" t="s">
        <v>46</v>
      </c>
      <c r="D4535" t="s">
        <v>11</v>
      </c>
      <c r="E4535" t="s">
        <v>12</v>
      </c>
      <c r="F4535">
        <v>113081580</v>
      </c>
      <c r="G4535">
        <v>113081584</v>
      </c>
      <c r="H4535">
        <v>113081580</v>
      </c>
      <c r="I4535">
        <v>113081584</v>
      </c>
    </row>
    <row r="4536" spans="1:9" x14ac:dyDescent="0.2">
      <c r="A4536" t="str">
        <f>"Crybb3"</f>
        <v>Crybb3</v>
      </c>
      <c r="B4536" t="s">
        <v>13</v>
      </c>
      <c r="C4536" t="s">
        <v>46</v>
      </c>
      <c r="D4536" t="s">
        <v>11</v>
      </c>
      <c r="E4536" t="s">
        <v>12</v>
      </c>
      <c r="F4536">
        <v>113080566</v>
      </c>
      <c r="G4536">
        <v>113080578</v>
      </c>
      <c r="H4536">
        <v>113080566</v>
      </c>
      <c r="I4536">
        <v>113080578</v>
      </c>
    </row>
    <row r="4537" spans="1:9" x14ac:dyDescent="0.2">
      <c r="A4537" t="str">
        <f>"Crybg3"</f>
        <v>Crybg3</v>
      </c>
      <c r="B4537" t="s">
        <v>14</v>
      </c>
      <c r="C4537" t="s">
        <v>31</v>
      </c>
      <c r="D4537" t="s">
        <v>11</v>
      </c>
      <c r="E4537" t="s">
        <v>12</v>
      </c>
      <c r="F4537">
        <v>59553943</v>
      </c>
      <c r="G4537">
        <v>59553971</v>
      </c>
      <c r="H4537">
        <v>59553943</v>
      </c>
      <c r="I4537">
        <v>59553971</v>
      </c>
    </row>
    <row r="4538" spans="1:9" x14ac:dyDescent="0.2">
      <c r="A4538" t="str">
        <f>"Cryga"</f>
        <v>Cryga</v>
      </c>
      <c r="B4538" t="s">
        <v>14</v>
      </c>
      <c r="C4538" t="s">
        <v>19</v>
      </c>
      <c r="D4538" t="s">
        <v>11</v>
      </c>
      <c r="E4538" t="s">
        <v>12</v>
      </c>
      <c r="F4538">
        <v>65103363</v>
      </c>
      <c r="G4538">
        <v>65103378</v>
      </c>
      <c r="H4538">
        <v>65103363</v>
      </c>
      <c r="I4538">
        <v>65103378</v>
      </c>
    </row>
    <row r="4539" spans="1:9" x14ac:dyDescent="0.2">
      <c r="A4539" t="str">
        <f>"Crygb"</f>
        <v>Crygb</v>
      </c>
      <c r="B4539" t="s">
        <v>14</v>
      </c>
      <c r="C4539" t="s">
        <v>19</v>
      </c>
      <c r="D4539" t="s">
        <v>11</v>
      </c>
      <c r="E4539" t="s">
        <v>12</v>
      </c>
      <c r="F4539">
        <v>65082284</v>
      </c>
      <c r="G4539">
        <v>65082299</v>
      </c>
      <c r="H4539">
        <v>65082284</v>
      </c>
      <c r="I4539">
        <v>65082299</v>
      </c>
    </row>
    <row r="4540" spans="1:9" x14ac:dyDescent="0.2">
      <c r="A4540" t="str">
        <f>"Crygc"</f>
        <v>Crygc</v>
      </c>
      <c r="B4540" t="s">
        <v>14</v>
      </c>
      <c r="C4540" t="s">
        <v>19</v>
      </c>
      <c r="D4540" t="s">
        <v>11</v>
      </c>
      <c r="E4540" t="s">
        <v>12</v>
      </c>
      <c r="F4540">
        <v>65073527</v>
      </c>
      <c r="G4540">
        <v>65073537</v>
      </c>
      <c r="H4540">
        <v>65073543</v>
      </c>
      <c r="I4540">
        <v>65073550</v>
      </c>
    </row>
    <row r="4541" spans="1:9" x14ac:dyDescent="0.2">
      <c r="A4541" t="str">
        <f>"Crygd"</f>
        <v>Crygd</v>
      </c>
      <c r="B4541" t="s">
        <v>14</v>
      </c>
      <c r="C4541" t="s">
        <v>19</v>
      </c>
      <c r="D4541" t="s">
        <v>11</v>
      </c>
      <c r="E4541" t="s">
        <v>12</v>
      </c>
      <c r="F4541">
        <v>65063437</v>
      </c>
      <c r="G4541">
        <v>65063440</v>
      </c>
      <c r="H4541">
        <v>65063437</v>
      </c>
      <c r="I4541">
        <v>65063440</v>
      </c>
    </row>
    <row r="4542" spans="1:9" x14ac:dyDescent="0.2">
      <c r="A4542" t="str">
        <f>"Cryge"</f>
        <v>Cryge</v>
      </c>
      <c r="B4542" t="s">
        <v>14</v>
      </c>
      <c r="C4542" t="s">
        <v>19</v>
      </c>
      <c r="D4542" t="s">
        <v>11</v>
      </c>
      <c r="E4542" t="s">
        <v>12</v>
      </c>
      <c r="F4542">
        <v>65051148</v>
      </c>
      <c r="G4542">
        <v>65051150</v>
      </c>
      <c r="H4542">
        <v>65051148</v>
      </c>
      <c r="I4542">
        <v>65051150</v>
      </c>
    </row>
    <row r="4543" spans="1:9" x14ac:dyDescent="0.2">
      <c r="A4543" t="str">
        <f>"Crygf"</f>
        <v>Crygf</v>
      </c>
      <c r="B4543" t="s">
        <v>14</v>
      </c>
      <c r="C4543" t="s">
        <v>19</v>
      </c>
      <c r="D4543" t="s">
        <v>17</v>
      </c>
      <c r="E4543" t="s">
        <v>12</v>
      </c>
      <c r="F4543">
        <v>65926519</v>
      </c>
      <c r="G4543">
        <v>65926523</v>
      </c>
      <c r="H4543">
        <v>65926519</v>
      </c>
      <c r="I4543">
        <v>65926523</v>
      </c>
    </row>
    <row r="4544" spans="1:9" x14ac:dyDescent="0.2">
      <c r="A4544" t="str">
        <f>"Crygn"</f>
        <v>Crygn</v>
      </c>
      <c r="B4544" t="s">
        <v>9</v>
      </c>
      <c r="C4544" t="s">
        <v>46</v>
      </c>
      <c r="D4544" t="s">
        <v>11</v>
      </c>
      <c r="E4544" t="s">
        <v>12</v>
      </c>
      <c r="F4544">
        <v>24757843</v>
      </c>
      <c r="G4544">
        <v>24757856</v>
      </c>
      <c r="H4544">
        <v>24757843</v>
      </c>
      <c r="I4544">
        <v>24757856</v>
      </c>
    </row>
    <row r="4545" spans="1:9" x14ac:dyDescent="0.2">
      <c r="A4545" t="str">
        <f>"Crygn"</f>
        <v>Crygn</v>
      </c>
      <c r="B4545" t="s">
        <v>13</v>
      </c>
      <c r="C4545" t="s">
        <v>46</v>
      </c>
      <c r="D4545" t="s">
        <v>11</v>
      </c>
      <c r="E4545" t="s">
        <v>12</v>
      </c>
      <c r="F4545">
        <v>24751803</v>
      </c>
      <c r="G4545">
        <v>24751827</v>
      </c>
      <c r="H4545">
        <v>24751803</v>
      </c>
      <c r="I4545">
        <v>24751827</v>
      </c>
    </row>
    <row r="4546" spans="1:9" x14ac:dyDescent="0.2">
      <c r="A4546" t="str">
        <f>"Crygs"</f>
        <v>Crygs</v>
      </c>
      <c r="B4546" t="s">
        <v>14</v>
      </c>
      <c r="C4546" t="s">
        <v>31</v>
      </c>
      <c r="D4546" t="s">
        <v>11</v>
      </c>
      <c r="E4546" t="s">
        <v>12</v>
      </c>
      <c r="F4546">
        <v>22811399</v>
      </c>
      <c r="G4546">
        <v>22811413</v>
      </c>
      <c r="H4546">
        <v>22811399</v>
      </c>
      <c r="I4546">
        <v>22811413</v>
      </c>
    </row>
    <row r="4547" spans="1:9" x14ac:dyDescent="0.2">
      <c r="A4547" t="str">
        <f>"Cryl1"</f>
        <v>Cryl1</v>
      </c>
      <c r="B4547" t="s">
        <v>14</v>
      </c>
      <c r="C4547" t="s">
        <v>41</v>
      </c>
      <c r="D4547" t="s">
        <v>11</v>
      </c>
      <c r="E4547" t="s">
        <v>12</v>
      </c>
      <c r="F4547">
        <v>57398486</v>
      </c>
      <c r="G4547">
        <v>57398509</v>
      </c>
      <c r="H4547">
        <v>57398513</v>
      </c>
      <c r="I4547">
        <v>57398530</v>
      </c>
    </row>
    <row r="4548" spans="1:9" x14ac:dyDescent="0.2">
      <c r="A4548" t="str">
        <f>"Crym"</f>
        <v>Crym</v>
      </c>
      <c r="B4548" t="s">
        <v>14</v>
      </c>
      <c r="C4548" t="s">
        <v>33</v>
      </c>
      <c r="D4548" t="s">
        <v>11</v>
      </c>
      <c r="E4548" t="s">
        <v>12</v>
      </c>
      <c r="F4548">
        <v>120201971</v>
      </c>
      <c r="G4548">
        <v>120202004</v>
      </c>
      <c r="H4548">
        <v>120201950</v>
      </c>
      <c r="I4548">
        <v>120201967</v>
      </c>
    </row>
    <row r="4549" spans="1:9" x14ac:dyDescent="0.2">
      <c r="A4549" t="str">
        <f>"Cryz"</f>
        <v>Cryz</v>
      </c>
      <c r="B4549" t="s">
        <v>14</v>
      </c>
      <c r="C4549" t="s">
        <v>22</v>
      </c>
      <c r="D4549" t="s">
        <v>17</v>
      </c>
      <c r="E4549" t="s">
        <v>12</v>
      </c>
      <c r="F4549">
        <v>154597219</v>
      </c>
      <c r="G4549">
        <v>154597244</v>
      </c>
      <c r="H4549">
        <v>154597159</v>
      </c>
      <c r="I4549">
        <v>154597172</v>
      </c>
    </row>
    <row r="4550" spans="1:9" x14ac:dyDescent="0.2">
      <c r="A4550" t="str">
        <f>"Cryzl1"</f>
        <v>Cryzl1</v>
      </c>
      <c r="B4550" t="s">
        <v>14</v>
      </c>
      <c r="C4550" t="s">
        <v>31</v>
      </c>
      <c r="D4550" t="s">
        <v>11</v>
      </c>
      <c r="E4550" t="s">
        <v>12</v>
      </c>
      <c r="F4550">
        <v>91728599</v>
      </c>
      <c r="G4550">
        <v>91728637</v>
      </c>
      <c r="H4550">
        <v>91729060</v>
      </c>
      <c r="I4550">
        <v>91729092</v>
      </c>
    </row>
    <row r="4551" spans="1:9" x14ac:dyDescent="0.2">
      <c r="A4551" t="str">
        <f>"Cs"</f>
        <v>Cs</v>
      </c>
      <c r="B4551" t="s">
        <v>14</v>
      </c>
      <c r="C4551" t="s">
        <v>15</v>
      </c>
      <c r="D4551" t="s">
        <v>17</v>
      </c>
      <c r="E4551" t="s">
        <v>12</v>
      </c>
      <c r="F4551">
        <v>128337761</v>
      </c>
      <c r="G4551">
        <v>128337818</v>
      </c>
      <c r="H4551">
        <v>128337739</v>
      </c>
      <c r="I4551">
        <v>128337759</v>
      </c>
    </row>
    <row r="4552" spans="1:9" x14ac:dyDescent="0.2">
      <c r="A4552" t="str">
        <f>"Csad"</f>
        <v>Csad</v>
      </c>
      <c r="B4552" t="s">
        <v>9</v>
      </c>
      <c r="C4552" t="s">
        <v>25</v>
      </c>
      <c r="D4552" t="s">
        <v>11</v>
      </c>
      <c r="E4552" t="s">
        <v>12</v>
      </c>
      <c r="F4552">
        <v>102203400</v>
      </c>
      <c r="G4552">
        <v>102203443</v>
      </c>
      <c r="H4552">
        <v>102203400</v>
      </c>
      <c r="I4552">
        <v>102203443</v>
      </c>
    </row>
    <row r="4553" spans="1:9" x14ac:dyDescent="0.2">
      <c r="A4553" t="str">
        <f>"Csad"</f>
        <v>Csad</v>
      </c>
      <c r="B4553" t="s">
        <v>13</v>
      </c>
      <c r="C4553" t="s">
        <v>25</v>
      </c>
      <c r="D4553" t="s">
        <v>11</v>
      </c>
      <c r="E4553" t="s">
        <v>12</v>
      </c>
      <c r="F4553">
        <v>102189032</v>
      </c>
      <c r="G4553">
        <v>102189050</v>
      </c>
      <c r="H4553">
        <v>102189032</v>
      </c>
      <c r="I4553">
        <v>102189050</v>
      </c>
    </row>
    <row r="4554" spans="1:9" x14ac:dyDescent="0.2">
      <c r="A4554" t="str">
        <f>"Csdc2"</f>
        <v>Csdc2</v>
      </c>
      <c r="B4554" t="s">
        <v>14</v>
      </c>
      <c r="C4554" t="s">
        <v>25</v>
      </c>
      <c r="D4554" t="s">
        <v>17</v>
      </c>
      <c r="E4554" t="s">
        <v>12</v>
      </c>
      <c r="F4554">
        <v>81936753</v>
      </c>
      <c r="G4554">
        <v>81936839</v>
      </c>
      <c r="H4554">
        <v>81936846</v>
      </c>
      <c r="I4554">
        <v>81936874</v>
      </c>
    </row>
    <row r="4555" spans="1:9" x14ac:dyDescent="0.2">
      <c r="A4555" t="str">
        <f>"Csde1"</f>
        <v>Csde1</v>
      </c>
      <c r="B4555" t="s">
        <v>14</v>
      </c>
      <c r="C4555" t="s">
        <v>22</v>
      </c>
      <c r="D4555" t="s">
        <v>17</v>
      </c>
      <c r="E4555" t="s">
        <v>12</v>
      </c>
      <c r="F4555">
        <v>103020594</v>
      </c>
      <c r="G4555">
        <v>103020635</v>
      </c>
      <c r="H4555">
        <v>103020594</v>
      </c>
      <c r="I4555">
        <v>103020635</v>
      </c>
    </row>
    <row r="4556" spans="1:9" x14ac:dyDescent="0.2">
      <c r="A4556" t="str">
        <f>"Cse1l"</f>
        <v>Cse1l</v>
      </c>
      <c r="B4556" t="s">
        <v>14</v>
      </c>
      <c r="C4556" t="s">
        <v>26</v>
      </c>
      <c r="D4556" t="s">
        <v>17</v>
      </c>
      <c r="E4556" t="s">
        <v>12</v>
      </c>
      <c r="F4556">
        <v>166906026</v>
      </c>
      <c r="G4556">
        <v>166906099</v>
      </c>
      <c r="H4556">
        <v>166906026</v>
      </c>
      <c r="I4556">
        <v>166906099</v>
      </c>
    </row>
    <row r="4557" spans="1:9" x14ac:dyDescent="0.2">
      <c r="A4557" t="str">
        <f>"Csf1"</f>
        <v>Csf1</v>
      </c>
      <c r="B4557" t="s">
        <v>14</v>
      </c>
      <c r="C4557" t="s">
        <v>22</v>
      </c>
      <c r="D4557" t="s">
        <v>11</v>
      </c>
      <c r="E4557" t="s">
        <v>12</v>
      </c>
      <c r="F4557">
        <v>107760234</v>
      </c>
      <c r="G4557">
        <v>107760249</v>
      </c>
      <c r="H4557">
        <v>107760449</v>
      </c>
      <c r="I4557">
        <v>107760500</v>
      </c>
    </row>
    <row r="4558" spans="1:9" x14ac:dyDescent="0.2">
      <c r="A4558" t="str">
        <f>"Csf1r"</f>
        <v>Csf1r</v>
      </c>
      <c r="B4558" t="s">
        <v>14</v>
      </c>
      <c r="C4558" t="s">
        <v>43</v>
      </c>
      <c r="D4558" t="s">
        <v>17</v>
      </c>
      <c r="E4558" t="s">
        <v>12</v>
      </c>
      <c r="F4558">
        <v>61105844</v>
      </c>
      <c r="G4558">
        <v>61105890</v>
      </c>
      <c r="H4558">
        <v>61105561</v>
      </c>
      <c r="I4558">
        <v>61105579</v>
      </c>
    </row>
    <row r="4559" spans="1:9" x14ac:dyDescent="0.2">
      <c r="A4559" t="str">
        <f>"Csf2"</f>
        <v>Csf2</v>
      </c>
      <c r="B4559" t="s">
        <v>14</v>
      </c>
      <c r="C4559" t="s">
        <v>27</v>
      </c>
      <c r="D4559" t="s">
        <v>11</v>
      </c>
      <c r="E4559" t="s">
        <v>12</v>
      </c>
      <c r="F4559">
        <v>54249640</v>
      </c>
      <c r="G4559">
        <v>54249644</v>
      </c>
      <c r="H4559">
        <v>54249640</v>
      </c>
      <c r="I4559">
        <v>54249644</v>
      </c>
    </row>
    <row r="4560" spans="1:9" x14ac:dyDescent="0.2">
      <c r="A4560" t="str">
        <f>"Csf2ra"</f>
        <v>Csf2ra</v>
      </c>
      <c r="B4560" t="s">
        <v>14</v>
      </c>
      <c r="C4560" t="s">
        <v>10</v>
      </c>
      <c r="D4560" t="s">
        <v>11</v>
      </c>
      <c r="E4560" t="s">
        <v>12</v>
      </c>
      <c r="F4560">
        <v>61228396</v>
      </c>
      <c r="G4560">
        <v>61228454</v>
      </c>
      <c r="H4560">
        <v>61228386</v>
      </c>
      <c r="I4560">
        <v>61228395</v>
      </c>
    </row>
    <row r="4561" spans="1:9" x14ac:dyDescent="0.2">
      <c r="A4561" t="str">
        <f>"Csf2rb"</f>
        <v>Csf2rb</v>
      </c>
      <c r="B4561" t="s">
        <v>14</v>
      </c>
      <c r="C4561" t="s">
        <v>25</v>
      </c>
      <c r="D4561" t="s">
        <v>17</v>
      </c>
      <c r="E4561" t="s">
        <v>12</v>
      </c>
      <c r="F4561">
        <v>78326005</v>
      </c>
      <c r="G4561">
        <v>78326025</v>
      </c>
      <c r="H4561">
        <v>78326044</v>
      </c>
      <c r="I4561">
        <v>78326059</v>
      </c>
    </row>
    <row r="4562" spans="1:9" x14ac:dyDescent="0.2">
      <c r="A4562" t="str">
        <f>"Csf2rb2"</f>
        <v>Csf2rb2</v>
      </c>
      <c r="B4562" t="s">
        <v>14</v>
      </c>
      <c r="C4562" t="s">
        <v>25</v>
      </c>
      <c r="D4562" t="s">
        <v>11</v>
      </c>
      <c r="E4562" t="s">
        <v>12</v>
      </c>
      <c r="F4562">
        <v>78305653</v>
      </c>
      <c r="G4562">
        <v>78305665</v>
      </c>
      <c r="H4562">
        <v>78305653</v>
      </c>
      <c r="I4562">
        <v>78305665</v>
      </c>
    </row>
    <row r="4563" spans="1:9" x14ac:dyDescent="0.2">
      <c r="A4563" t="str">
        <f>"Csf3"</f>
        <v>Csf3</v>
      </c>
      <c r="B4563" t="s">
        <v>14</v>
      </c>
      <c r="C4563" t="s">
        <v>27</v>
      </c>
      <c r="D4563" t="s">
        <v>17</v>
      </c>
      <c r="E4563" t="s">
        <v>12</v>
      </c>
      <c r="F4563">
        <v>98701342</v>
      </c>
      <c r="G4563">
        <v>98701346</v>
      </c>
      <c r="H4563">
        <v>98701342</v>
      </c>
      <c r="I4563">
        <v>98701346</v>
      </c>
    </row>
    <row r="4564" spans="1:9" x14ac:dyDescent="0.2">
      <c r="A4564" t="str">
        <f>"Csf3r"</f>
        <v>Csf3r</v>
      </c>
      <c r="B4564" t="s">
        <v>14</v>
      </c>
      <c r="C4564" t="s">
        <v>23</v>
      </c>
      <c r="D4564" t="s">
        <v>17</v>
      </c>
      <c r="E4564" t="s">
        <v>12</v>
      </c>
      <c r="F4564">
        <v>126024701</v>
      </c>
      <c r="G4564">
        <v>126024737</v>
      </c>
      <c r="H4564">
        <v>126024701</v>
      </c>
      <c r="I4564">
        <v>126024737</v>
      </c>
    </row>
    <row r="4565" spans="1:9" x14ac:dyDescent="0.2">
      <c r="A4565" t="str">
        <f>"Csgalnact1"</f>
        <v>Csgalnact1</v>
      </c>
      <c r="B4565" t="s">
        <v>14</v>
      </c>
      <c r="C4565" t="s">
        <v>30</v>
      </c>
      <c r="D4565" t="s">
        <v>11</v>
      </c>
      <c r="E4565" t="s">
        <v>12</v>
      </c>
      <c r="F4565">
        <v>68735058</v>
      </c>
      <c r="G4565">
        <v>68735147</v>
      </c>
      <c r="H4565">
        <v>68735151</v>
      </c>
      <c r="I4565">
        <v>68735162</v>
      </c>
    </row>
    <row r="4566" spans="1:9" x14ac:dyDescent="0.2">
      <c r="A4566" t="str">
        <f>"Csgalnact2"</f>
        <v>Csgalnact2</v>
      </c>
      <c r="B4566" t="s">
        <v>14</v>
      </c>
      <c r="C4566" t="s">
        <v>32</v>
      </c>
      <c r="D4566" t="s">
        <v>11</v>
      </c>
      <c r="E4566" t="s">
        <v>12</v>
      </c>
      <c r="F4566">
        <v>118139094</v>
      </c>
      <c r="G4566">
        <v>118139158</v>
      </c>
      <c r="H4566">
        <v>118139045</v>
      </c>
      <c r="I4566">
        <v>118139070</v>
      </c>
    </row>
    <row r="4567" spans="1:9" x14ac:dyDescent="0.2">
      <c r="A4567" t="str">
        <f>"Csk"</f>
        <v>Csk</v>
      </c>
      <c r="B4567" t="s">
        <v>14</v>
      </c>
      <c r="C4567" t="s">
        <v>24</v>
      </c>
      <c r="D4567" t="s">
        <v>11</v>
      </c>
      <c r="E4567" t="s">
        <v>12</v>
      </c>
      <c r="F4567">
        <v>57645561</v>
      </c>
      <c r="G4567">
        <v>57645672</v>
      </c>
      <c r="H4567">
        <v>57645188</v>
      </c>
      <c r="I4567">
        <v>57645207</v>
      </c>
    </row>
    <row r="4568" spans="1:9" x14ac:dyDescent="0.2">
      <c r="A4568" t="str">
        <f>"Csl"</f>
        <v>Csl</v>
      </c>
      <c r="B4568" t="s">
        <v>14</v>
      </c>
      <c r="C4568" t="s">
        <v>15</v>
      </c>
      <c r="D4568" t="s">
        <v>11</v>
      </c>
      <c r="E4568" t="s">
        <v>12</v>
      </c>
      <c r="F4568">
        <v>99759475</v>
      </c>
      <c r="G4568">
        <v>99759492</v>
      </c>
      <c r="H4568">
        <v>99759475</v>
      </c>
      <c r="I4568">
        <v>99759492</v>
      </c>
    </row>
    <row r="4569" spans="1:9" x14ac:dyDescent="0.2">
      <c r="A4569" t="str">
        <f>"Csmd1"</f>
        <v>Csmd1</v>
      </c>
      <c r="B4569" t="s">
        <v>14</v>
      </c>
      <c r="C4569" t="s">
        <v>30</v>
      </c>
      <c r="D4569" t="s">
        <v>11</v>
      </c>
      <c r="E4569" t="s">
        <v>12</v>
      </c>
      <c r="F4569">
        <v>17535251</v>
      </c>
      <c r="G4569">
        <v>17535390</v>
      </c>
      <c r="H4569">
        <v>17535608</v>
      </c>
      <c r="I4569">
        <v>17535632</v>
      </c>
    </row>
    <row r="4570" spans="1:9" x14ac:dyDescent="0.2">
      <c r="A4570" t="str">
        <f>"Csmd2"</f>
        <v>Csmd2</v>
      </c>
      <c r="B4570" t="s">
        <v>2321</v>
      </c>
      <c r="C4570" t="s">
        <v>23</v>
      </c>
      <c r="D4570" t="s">
        <v>17</v>
      </c>
      <c r="E4570" t="s">
        <v>20</v>
      </c>
      <c r="F4570">
        <v>128058961</v>
      </c>
      <c r="G4570">
        <v>128058961</v>
      </c>
      <c r="H4570">
        <v>128058961</v>
      </c>
      <c r="I4570">
        <v>128058961</v>
      </c>
    </row>
    <row r="4571" spans="1:9" x14ac:dyDescent="0.2">
      <c r="A4571" t="str">
        <f>"Csmd3"</f>
        <v>Csmd3</v>
      </c>
      <c r="B4571" t="s">
        <v>14</v>
      </c>
      <c r="C4571" t="s">
        <v>25</v>
      </c>
      <c r="D4571" t="s">
        <v>11</v>
      </c>
      <c r="E4571" t="s">
        <v>12</v>
      </c>
      <c r="F4571">
        <v>48791983</v>
      </c>
      <c r="G4571">
        <v>48791998</v>
      </c>
      <c r="H4571">
        <v>48791983</v>
      </c>
      <c r="I4571">
        <v>48791998</v>
      </c>
    </row>
    <row r="4572" spans="1:9" x14ac:dyDescent="0.2">
      <c r="A4572" t="str">
        <f>"Csn1s1"</f>
        <v>Csn1s1</v>
      </c>
      <c r="B4572" t="s">
        <v>14</v>
      </c>
      <c r="C4572" t="s">
        <v>46</v>
      </c>
      <c r="D4572" t="s">
        <v>17</v>
      </c>
      <c r="E4572" t="s">
        <v>12</v>
      </c>
      <c r="F4572">
        <v>87666200</v>
      </c>
      <c r="G4572">
        <v>87666218</v>
      </c>
      <c r="H4572">
        <v>87666200</v>
      </c>
      <c r="I4572">
        <v>87666218</v>
      </c>
    </row>
    <row r="4573" spans="1:9" x14ac:dyDescent="0.2">
      <c r="A4573" t="str">
        <f>"Csn1s2a"</f>
        <v>Csn1s2a</v>
      </c>
      <c r="B4573" t="s">
        <v>14</v>
      </c>
      <c r="C4573" t="s">
        <v>46</v>
      </c>
      <c r="D4573" t="s">
        <v>17</v>
      </c>
      <c r="E4573" t="s">
        <v>12</v>
      </c>
      <c r="F4573">
        <v>87774552</v>
      </c>
      <c r="G4573">
        <v>87774573</v>
      </c>
      <c r="H4573">
        <v>87774552</v>
      </c>
      <c r="I4573">
        <v>87774573</v>
      </c>
    </row>
    <row r="4574" spans="1:9" x14ac:dyDescent="0.2">
      <c r="A4574" t="str">
        <f>"Csn1s2b"</f>
        <v>Csn1s2b</v>
      </c>
      <c r="B4574" t="s">
        <v>14</v>
      </c>
      <c r="C4574" t="s">
        <v>46</v>
      </c>
      <c r="D4574" t="s">
        <v>17</v>
      </c>
      <c r="E4574" t="s">
        <v>12</v>
      </c>
      <c r="F4574">
        <v>87808117</v>
      </c>
      <c r="G4574">
        <v>87808128</v>
      </c>
      <c r="H4574">
        <v>87808117</v>
      </c>
      <c r="I4574">
        <v>87808128</v>
      </c>
    </row>
    <row r="4575" spans="1:9" x14ac:dyDescent="0.2">
      <c r="A4575" t="str">
        <f>"Csn2"</f>
        <v>Csn2</v>
      </c>
      <c r="B4575" t="s">
        <v>14</v>
      </c>
      <c r="C4575" t="s">
        <v>46</v>
      </c>
      <c r="D4575" t="s">
        <v>11</v>
      </c>
      <c r="E4575" t="s">
        <v>12</v>
      </c>
      <c r="F4575">
        <v>87699414</v>
      </c>
      <c r="G4575">
        <v>87699427</v>
      </c>
      <c r="H4575">
        <v>87699414</v>
      </c>
      <c r="I4575">
        <v>87699427</v>
      </c>
    </row>
    <row r="4576" spans="1:9" x14ac:dyDescent="0.2">
      <c r="A4576" t="str">
        <f>"Csn3"</f>
        <v>Csn3</v>
      </c>
      <c r="B4576" t="s">
        <v>14</v>
      </c>
      <c r="C4576" t="s">
        <v>46</v>
      </c>
      <c r="D4576" t="s">
        <v>17</v>
      </c>
      <c r="E4576" t="s">
        <v>12</v>
      </c>
      <c r="F4576">
        <v>87925594</v>
      </c>
      <c r="G4576">
        <v>87925621</v>
      </c>
      <c r="H4576">
        <v>87925624</v>
      </c>
      <c r="I4576">
        <v>87925639</v>
      </c>
    </row>
    <row r="4577" spans="1:9" x14ac:dyDescent="0.2">
      <c r="A4577" t="str">
        <f>"Csnk1a1"</f>
        <v>Csnk1a1</v>
      </c>
      <c r="B4577" t="s">
        <v>14</v>
      </c>
      <c r="C4577" t="s">
        <v>43</v>
      </c>
      <c r="D4577" t="s">
        <v>17</v>
      </c>
      <c r="E4577" t="s">
        <v>12</v>
      </c>
      <c r="F4577">
        <v>61555308</v>
      </c>
      <c r="G4577">
        <v>61555345</v>
      </c>
      <c r="H4577">
        <v>61555258</v>
      </c>
      <c r="I4577">
        <v>61555290</v>
      </c>
    </row>
    <row r="4578" spans="1:9" x14ac:dyDescent="0.2">
      <c r="A4578" t="str">
        <f>"Csnk1d"</f>
        <v>Csnk1d</v>
      </c>
      <c r="B4578" t="s">
        <v>14</v>
      </c>
      <c r="C4578" t="s">
        <v>27</v>
      </c>
      <c r="D4578" t="s">
        <v>11</v>
      </c>
      <c r="E4578" t="s">
        <v>12</v>
      </c>
      <c r="F4578">
        <v>120991039</v>
      </c>
      <c r="G4578">
        <v>120991074</v>
      </c>
      <c r="H4578">
        <v>120991305</v>
      </c>
      <c r="I4578">
        <v>120991339</v>
      </c>
    </row>
    <row r="4579" spans="1:9" x14ac:dyDescent="0.2">
      <c r="A4579" t="str">
        <f>"Csnk1e"</f>
        <v>Csnk1e</v>
      </c>
      <c r="B4579" t="s">
        <v>14</v>
      </c>
      <c r="C4579" t="s">
        <v>25</v>
      </c>
      <c r="D4579" t="s">
        <v>11</v>
      </c>
      <c r="E4579" t="s">
        <v>12</v>
      </c>
      <c r="F4579">
        <v>79442072</v>
      </c>
      <c r="G4579">
        <v>79442106</v>
      </c>
      <c r="H4579">
        <v>79442009</v>
      </c>
      <c r="I4579">
        <v>79442065</v>
      </c>
    </row>
    <row r="4580" spans="1:9" x14ac:dyDescent="0.2">
      <c r="A4580" t="str">
        <f>"Csnk1g1"</f>
        <v>Csnk1g1</v>
      </c>
      <c r="B4580" t="s">
        <v>14</v>
      </c>
      <c r="C4580" t="s">
        <v>24</v>
      </c>
      <c r="D4580" t="s">
        <v>17</v>
      </c>
      <c r="E4580" t="s">
        <v>12</v>
      </c>
      <c r="F4580">
        <v>65909023</v>
      </c>
      <c r="G4580">
        <v>65909083</v>
      </c>
      <c r="H4580">
        <v>65908967</v>
      </c>
      <c r="I4580">
        <v>65909019</v>
      </c>
    </row>
    <row r="4581" spans="1:9" x14ac:dyDescent="0.2">
      <c r="A4581" t="str">
        <f>"Csnk1g2"</f>
        <v>Csnk1g2</v>
      </c>
      <c r="B4581" t="s">
        <v>9</v>
      </c>
      <c r="C4581" t="s">
        <v>15</v>
      </c>
      <c r="D4581" t="s">
        <v>17</v>
      </c>
      <c r="E4581" t="s">
        <v>12</v>
      </c>
      <c r="F4581">
        <v>80622677</v>
      </c>
      <c r="G4581">
        <v>80622758</v>
      </c>
      <c r="H4581">
        <v>80622677</v>
      </c>
      <c r="I4581">
        <v>80622758</v>
      </c>
    </row>
    <row r="4582" spans="1:9" x14ac:dyDescent="0.2">
      <c r="A4582" t="str">
        <f>"Csnk1g2"</f>
        <v>Csnk1g2</v>
      </c>
      <c r="B4582" t="s">
        <v>13</v>
      </c>
      <c r="C4582" t="s">
        <v>15</v>
      </c>
      <c r="D4582" t="s">
        <v>17</v>
      </c>
      <c r="E4582" t="s">
        <v>12</v>
      </c>
      <c r="F4582">
        <v>80629671</v>
      </c>
      <c r="G4582">
        <v>80629687</v>
      </c>
      <c r="H4582">
        <v>80629671</v>
      </c>
      <c r="I4582">
        <v>80629687</v>
      </c>
    </row>
    <row r="4583" spans="1:9" x14ac:dyDescent="0.2">
      <c r="A4583" t="str">
        <f>"Csnk1g3"</f>
        <v>Csnk1g3</v>
      </c>
      <c r="B4583" t="s">
        <v>14</v>
      </c>
      <c r="C4583" t="s">
        <v>43</v>
      </c>
      <c r="D4583" t="s">
        <v>17</v>
      </c>
      <c r="E4583" t="s">
        <v>12</v>
      </c>
      <c r="F4583">
        <v>53862087</v>
      </c>
      <c r="G4583">
        <v>53862143</v>
      </c>
      <c r="H4583">
        <v>53862229</v>
      </c>
      <c r="I4583">
        <v>53862319</v>
      </c>
    </row>
    <row r="4584" spans="1:9" x14ac:dyDescent="0.2">
      <c r="A4584" t="str">
        <f>"Csnk2a1"</f>
        <v>Csnk2a1</v>
      </c>
      <c r="B4584" t="s">
        <v>14</v>
      </c>
      <c r="C4584" t="s">
        <v>26</v>
      </c>
      <c r="D4584" t="s">
        <v>17</v>
      </c>
      <c r="E4584" t="s">
        <v>12</v>
      </c>
      <c r="F4584">
        <v>152226542</v>
      </c>
      <c r="G4584">
        <v>152226568</v>
      </c>
      <c r="H4584">
        <v>152226809</v>
      </c>
      <c r="I4584">
        <v>152226839</v>
      </c>
    </row>
    <row r="4585" spans="1:9" x14ac:dyDescent="0.2">
      <c r="A4585" t="str">
        <f>"Csnk2a2"</f>
        <v>Csnk2a2</v>
      </c>
      <c r="B4585" t="s">
        <v>14</v>
      </c>
      <c r="C4585" t="s">
        <v>30</v>
      </c>
      <c r="D4585" t="s">
        <v>11</v>
      </c>
      <c r="E4585" t="s">
        <v>12</v>
      </c>
      <c r="F4585">
        <v>95488774</v>
      </c>
      <c r="G4585">
        <v>95488852</v>
      </c>
      <c r="H4585">
        <v>95488995</v>
      </c>
      <c r="I4585">
        <v>95488999</v>
      </c>
    </row>
    <row r="4586" spans="1:9" x14ac:dyDescent="0.2">
      <c r="A4586" t="str">
        <f>"Csnk2b"</f>
        <v>Csnk2b</v>
      </c>
      <c r="B4586" t="s">
        <v>14</v>
      </c>
      <c r="C4586" t="s">
        <v>28</v>
      </c>
      <c r="D4586" t="s">
        <v>11</v>
      </c>
      <c r="E4586" t="s">
        <v>12</v>
      </c>
      <c r="F4586">
        <v>35121213</v>
      </c>
      <c r="G4586">
        <v>35121275</v>
      </c>
      <c r="H4586">
        <v>35121990</v>
      </c>
      <c r="I4586">
        <v>35122039</v>
      </c>
    </row>
    <row r="4587" spans="1:9" x14ac:dyDescent="0.2">
      <c r="A4587" t="str">
        <f>"Csnka2ip"</f>
        <v>Csnka2ip</v>
      </c>
      <c r="B4587" t="s">
        <v>14</v>
      </c>
      <c r="C4587" t="s">
        <v>31</v>
      </c>
      <c r="D4587" t="s">
        <v>11</v>
      </c>
      <c r="E4587" t="s">
        <v>12</v>
      </c>
      <c r="F4587">
        <v>64479234</v>
      </c>
      <c r="G4587">
        <v>64479240</v>
      </c>
      <c r="H4587">
        <v>64479234</v>
      </c>
      <c r="I4587">
        <v>64479240</v>
      </c>
    </row>
    <row r="4588" spans="1:9" x14ac:dyDescent="0.2">
      <c r="A4588" t="str">
        <f>"Cspg4"</f>
        <v>Cspg4</v>
      </c>
      <c r="B4588" t="s">
        <v>14</v>
      </c>
      <c r="C4588" t="s">
        <v>24</v>
      </c>
      <c r="D4588" t="s">
        <v>17</v>
      </c>
      <c r="E4588" t="s">
        <v>12</v>
      </c>
      <c r="F4588">
        <v>56865051</v>
      </c>
      <c r="G4588">
        <v>56865072</v>
      </c>
      <c r="H4588">
        <v>56865018</v>
      </c>
      <c r="I4588">
        <v>56865047</v>
      </c>
    </row>
    <row r="4589" spans="1:9" x14ac:dyDescent="0.2">
      <c r="A4589" t="str">
        <f>"Cspg5"</f>
        <v>Cspg5</v>
      </c>
      <c r="B4589" t="s">
        <v>14</v>
      </c>
      <c r="C4589" t="s">
        <v>24</v>
      </c>
      <c r="D4589" t="s">
        <v>17</v>
      </c>
      <c r="E4589" t="s">
        <v>12</v>
      </c>
      <c r="F4589">
        <v>110246215</v>
      </c>
      <c r="G4589">
        <v>110246236</v>
      </c>
      <c r="H4589">
        <v>110246060</v>
      </c>
      <c r="I4589">
        <v>110246085</v>
      </c>
    </row>
    <row r="4590" spans="1:9" x14ac:dyDescent="0.2">
      <c r="A4590" t="str">
        <f>"Cspp1"</f>
        <v>Cspp1</v>
      </c>
      <c r="B4590" t="s">
        <v>14</v>
      </c>
      <c r="C4590" t="s">
        <v>19</v>
      </c>
      <c r="D4590" t="s">
        <v>17</v>
      </c>
      <c r="E4590" t="s">
        <v>12</v>
      </c>
      <c r="F4590">
        <v>10039762</v>
      </c>
      <c r="G4590">
        <v>10039792</v>
      </c>
      <c r="H4590">
        <v>10039824</v>
      </c>
      <c r="I4590">
        <v>10039845</v>
      </c>
    </row>
    <row r="4591" spans="1:9" x14ac:dyDescent="0.2">
      <c r="A4591" t="str">
        <f>"Csrnp1"</f>
        <v>Csrnp1</v>
      </c>
      <c r="B4591" t="s">
        <v>14</v>
      </c>
      <c r="C4591" t="s">
        <v>24</v>
      </c>
      <c r="D4591" t="s">
        <v>11</v>
      </c>
      <c r="E4591" t="s">
        <v>12</v>
      </c>
      <c r="F4591">
        <v>119984664</v>
      </c>
      <c r="G4591">
        <v>119984684</v>
      </c>
      <c r="H4591">
        <v>119984704</v>
      </c>
      <c r="I4591">
        <v>119984714</v>
      </c>
    </row>
    <row r="4592" spans="1:9" x14ac:dyDescent="0.2">
      <c r="A4592" t="str">
        <f>"Csrnp2"</f>
        <v>Csrnp2</v>
      </c>
      <c r="B4592" t="s">
        <v>14</v>
      </c>
      <c r="C4592" t="s">
        <v>25</v>
      </c>
      <c r="D4592" t="s">
        <v>11</v>
      </c>
      <c r="E4592" t="s">
        <v>12</v>
      </c>
      <c r="F4592">
        <v>100495251</v>
      </c>
      <c r="G4592">
        <v>100495267</v>
      </c>
      <c r="H4592">
        <v>100495056</v>
      </c>
      <c r="I4592">
        <v>100495057</v>
      </c>
    </row>
    <row r="4593" spans="1:9" x14ac:dyDescent="0.2">
      <c r="A4593" t="str">
        <f>"Csrnp3"</f>
        <v>Csrnp3</v>
      </c>
      <c r="B4593" t="s">
        <v>2322</v>
      </c>
      <c r="C4593" t="s">
        <v>26</v>
      </c>
      <c r="D4593" t="s">
        <v>17</v>
      </c>
      <c r="E4593" t="s">
        <v>20</v>
      </c>
      <c r="F4593">
        <v>65948948</v>
      </c>
      <c r="G4593">
        <v>65948948</v>
      </c>
      <c r="H4593">
        <v>65948948</v>
      </c>
      <c r="I4593">
        <v>65948948</v>
      </c>
    </row>
    <row r="4594" spans="1:9" x14ac:dyDescent="0.2">
      <c r="A4594" t="str">
        <f>"Csrnp3"</f>
        <v>Csrnp3</v>
      </c>
      <c r="B4594" t="s">
        <v>2323</v>
      </c>
      <c r="C4594" t="s">
        <v>26</v>
      </c>
      <c r="D4594" t="s">
        <v>17</v>
      </c>
      <c r="E4594" t="s">
        <v>35</v>
      </c>
      <c r="F4594">
        <v>65931758</v>
      </c>
      <c r="G4594">
        <v>65931759</v>
      </c>
      <c r="H4594">
        <v>65931758</v>
      </c>
      <c r="I4594">
        <v>65931759</v>
      </c>
    </row>
    <row r="4595" spans="1:9" x14ac:dyDescent="0.2">
      <c r="A4595" t="str">
        <f>"Csrnp3"</f>
        <v>Csrnp3</v>
      </c>
      <c r="B4595" t="s">
        <v>2324</v>
      </c>
      <c r="C4595" t="s">
        <v>26</v>
      </c>
      <c r="D4595" t="s">
        <v>17</v>
      </c>
      <c r="E4595" t="s">
        <v>35</v>
      </c>
      <c r="F4595">
        <v>65930082</v>
      </c>
      <c r="G4595">
        <v>65930089</v>
      </c>
      <c r="H4595">
        <v>65930244</v>
      </c>
      <c r="I4595">
        <v>65930284</v>
      </c>
    </row>
    <row r="4596" spans="1:9" x14ac:dyDescent="0.2">
      <c r="A4596" t="str">
        <f>"Csrp1"</f>
        <v>Csrp1</v>
      </c>
      <c r="B4596" t="s">
        <v>14</v>
      </c>
      <c r="C4596" t="s">
        <v>19</v>
      </c>
      <c r="D4596" t="s">
        <v>17</v>
      </c>
      <c r="E4596" t="s">
        <v>12</v>
      </c>
      <c r="F4596">
        <v>135729213</v>
      </c>
      <c r="G4596">
        <v>135729234</v>
      </c>
      <c r="H4596">
        <v>135729213</v>
      </c>
      <c r="I4596">
        <v>135729234</v>
      </c>
    </row>
    <row r="4597" spans="1:9" x14ac:dyDescent="0.2">
      <c r="A4597" t="str">
        <f>"Csrp2"</f>
        <v>Csrp2</v>
      </c>
      <c r="B4597" t="s">
        <v>14</v>
      </c>
      <c r="C4597" t="s">
        <v>15</v>
      </c>
      <c r="D4597" t="s">
        <v>17</v>
      </c>
      <c r="E4597" t="s">
        <v>12</v>
      </c>
      <c r="F4597">
        <v>110920170</v>
      </c>
      <c r="G4597">
        <v>110920188</v>
      </c>
      <c r="H4597">
        <v>110920006</v>
      </c>
      <c r="I4597">
        <v>110920047</v>
      </c>
    </row>
    <row r="4598" spans="1:9" x14ac:dyDescent="0.2">
      <c r="A4598" t="str">
        <f>"Csrp2bp"</f>
        <v>Csrp2bp</v>
      </c>
      <c r="B4598" t="s">
        <v>14</v>
      </c>
      <c r="C4598" t="s">
        <v>26</v>
      </c>
      <c r="D4598" t="s">
        <v>17</v>
      </c>
      <c r="E4598" t="s">
        <v>12</v>
      </c>
      <c r="F4598">
        <v>144368961</v>
      </c>
      <c r="G4598">
        <v>144368994</v>
      </c>
      <c r="H4598">
        <v>144368908</v>
      </c>
      <c r="I4598">
        <v>144368953</v>
      </c>
    </row>
    <row r="4599" spans="1:9" x14ac:dyDescent="0.2">
      <c r="A4599" t="str">
        <f>"Csrp3"</f>
        <v>Csrp3</v>
      </c>
      <c r="B4599" t="s">
        <v>9</v>
      </c>
      <c r="C4599" t="s">
        <v>33</v>
      </c>
      <c r="D4599" t="s">
        <v>11</v>
      </c>
      <c r="E4599" t="s">
        <v>12</v>
      </c>
      <c r="F4599">
        <v>48848023</v>
      </c>
      <c r="G4599">
        <v>48848041</v>
      </c>
      <c r="H4599">
        <v>48848023</v>
      </c>
      <c r="I4599">
        <v>48848041</v>
      </c>
    </row>
    <row r="4600" spans="1:9" x14ac:dyDescent="0.2">
      <c r="A4600" t="str">
        <f>"Csrp3"</f>
        <v>Csrp3</v>
      </c>
      <c r="B4600" t="s">
        <v>13</v>
      </c>
      <c r="C4600" t="s">
        <v>33</v>
      </c>
      <c r="D4600" t="s">
        <v>11</v>
      </c>
      <c r="E4600" t="s">
        <v>12</v>
      </c>
      <c r="F4600">
        <v>48843641</v>
      </c>
      <c r="G4600">
        <v>48843662</v>
      </c>
      <c r="H4600">
        <v>48843641</v>
      </c>
      <c r="I4600">
        <v>48843662</v>
      </c>
    </row>
    <row r="4601" spans="1:9" x14ac:dyDescent="0.2">
      <c r="A4601" t="str">
        <f>"Cst10"</f>
        <v>Cst10</v>
      </c>
      <c r="B4601" t="s">
        <v>14</v>
      </c>
      <c r="C4601" t="s">
        <v>26</v>
      </c>
      <c r="D4601" t="s">
        <v>17</v>
      </c>
      <c r="E4601" t="s">
        <v>12</v>
      </c>
      <c r="F4601">
        <v>149405315</v>
      </c>
      <c r="G4601">
        <v>149405332</v>
      </c>
      <c r="H4601">
        <v>149405315</v>
      </c>
      <c r="I4601">
        <v>149405332</v>
      </c>
    </row>
    <row r="4602" spans="1:9" x14ac:dyDescent="0.2">
      <c r="A4602" t="str">
        <f>"Cst11"</f>
        <v>Cst11</v>
      </c>
      <c r="B4602" t="s">
        <v>14</v>
      </c>
      <c r="C4602" t="s">
        <v>26</v>
      </c>
      <c r="D4602" t="s">
        <v>11</v>
      </c>
      <c r="E4602" t="s">
        <v>12</v>
      </c>
      <c r="F4602">
        <v>148771401</v>
      </c>
      <c r="G4602">
        <v>148771435</v>
      </c>
      <c r="H4602">
        <v>148771451</v>
      </c>
      <c r="I4602">
        <v>148771468</v>
      </c>
    </row>
    <row r="4603" spans="1:9" x14ac:dyDescent="0.2">
      <c r="A4603" t="str">
        <f>"Cst12"</f>
        <v>Cst12</v>
      </c>
      <c r="B4603" t="s">
        <v>14</v>
      </c>
      <c r="C4603" t="s">
        <v>26</v>
      </c>
      <c r="D4603" t="s">
        <v>17</v>
      </c>
      <c r="E4603" t="s">
        <v>12</v>
      </c>
      <c r="F4603">
        <v>148789349</v>
      </c>
      <c r="G4603">
        <v>148789406</v>
      </c>
      <c r="H4603">
        <v>148789349</v>
      </c>
      <c r="I4603">
        <v>148789406</v>
      </c>
    </row>
    <row r="4604" spans="1:9" x14ac:dyDescent="0.2">
      <c r="A4604" t="str">
        <f>"Cst13"</f>
        <v>Cst13</v>
      </c>
      <c r="B4604" t="s">
        <v>14</v>
      </c>
      <c r="C4604" t="s">
        <v>26</v>
      </c>
      <c r="D4604" t="s">
        <v>17</v>
      </c>
      <c r="E4604" t="s">
        <v>12</v>
      </c>
      <c r="F4604">
        <v>148820098</v>
      </c>
      <c r="G4604">
        <v>148820111</v>
      </c>
      <c r="H4604">
        <v>148820116</v>
      </c>
      <c r="I4604">
        <v>148820124</v>
      </c>
    </row>
    <row r="4605" spans="1:9" x14ac:dyDescent="0.2">
      <c r="A4605" t="str">
        <f>"Cst3"</f>
        <v>Cst3</v>
      </c>
      <c r="B4605" t="s">
        <v>14</v>
      </c>
      <c r="C4605" t="s">
        <v>26</v>
      </c>
      <c r="D4605" t="s">
        <v>11</v>
      </c>
      <c r="E4605" t="s">
        <v>12</v>
      </c>
      <c r="F4605">
        <v>148875421</v>
      </c>
      <c r="G4605">
        <v>148875444</v>
      </c>
      <c r="H4605">
        <v>148875452</v>
      </c>
      <c r="I4605">
        <v>148875488</v>
      </c>
    </row>
    <row r="4606" spans="1:9" x14ac:dyDescent="0.2">
      <c r="A4606" t="str">
        <f>"Cst6"</f>
        <v>Cst6</v>
      </c>
      <c r="B4606" t="s">
        <v>14</v>
      </c>
      <c r="C4606" t="s">
        <v>10</v>
      </c>
      <c r="D4606" t="s">
        <v>11</v>
      </c>
      <c r="E4606" t="s">
        <v>12</v>
      </c>
      <c r="F4606">
        <v>5349340</v>
      </c>
      <c r="G4606">
        <v>5349358</v>
      </c>
      <c r="H4606">
        <v>5349340</v>
      </c>
      <c r="I4606">
        <v>5349358</v>
      </c>
    </row>
    <row r="4607" spans="1:9" x14ac:dyDescent="0.2">
      <c r="A4607" t="str">
        <f>"Cst7"</f>
        <v>Cst7</v>
      </c>
      <c r="B4607" t="s">
        <v>14</v>
      </c>
      <c r="C4607" t="s">
        <v>26</v>
      </c>
      <c r="D4607" t="s">
        <v>17</v>
      </c>
      <c r="E4607" t="s">
        <v>12</v>
      </c>
      <c r="F4607">
        <v>150570427</v>
      </c>
      <c r="G4607">
        <v>150570483</v>
      </c>
      <c r="H4607">
        <v>150570409</v>
      </c>
      <c r="I4607">
        <v>150570420</v>
      </c>
    </row>
    <row r="4608" spans="1:9" x14ac:dyDescent="0.2">
      <c r="A4608" t="str">
        <f>"Cst8"</f>
        <v>Cst8</v>
      </c>
      <c r="B4608" t="s">
        <v>14</v>
      </c>
      <c r="C4608" t="s">
        <v>26</v>
      </c>
      <c r="D4608" t="s">
        <v>17</v>
      </c>
      <c r="E4608" t="s">
        <v>12</v>
      </c>
      <c r="F4608">
        <v>148798849</v>
      </c>
      <c r="G4608">
        <v>148798870</v>
      </c>
      <c r="H4608">
        <v>148798812</v>
      </c>
      <c r="I4608">
        <v>148798844</v>
      </c>
    </row>
    <row r="4609" spans="1:9" x14ac:dyDescent="0.2">
      <c r="A4609" t="str">
        <f>"Cst9"</f>
        <v>Cst9</v>
      </c>
      <c r="B4609" t="s">
        <v>14</v>
      </c>
      <c r="C4609" t="s">
        <v>26</v>
      </c>
      <c r="D4609" t="s">
        <v>17</v>
      </c>
      <c r="E4609" t="s">
        <v>12</v>
      </c>
      <c r="F4609">
        <v>148835140</v>
      </c>
      <c r="G4609">
        <v>148835193</v>
      </c>
      <c r="H4609">
        <v>148835197</v>
      </c>
      <c r="I4609">
        <v>148835227</v>
      </c>
    </row>
    <row r="4610" spans="1:9" x14ac:dyDescent="0.2">
      <c r="A4610" t="str">
        <f>"Csta"</f>
        <v>Csta</v>
      </c>
      <c r="B4610" t="s">
        <v>14</v>
      </c>
      <c r="C4610" t="s">
        <v>31</v>
      </c>
      <c r="D4610" t="s">
        <v>11</v>
      </c>
      <c r="E4610" t="s">
        <v>12</v>
      </c>
      <c r="F4610">
        <v>36131089</v>
      </c>
      <c r="G4610">
        <v>36131102</v>
      </c>
      <c r="H4610">
        <v>36131156</v>
      </c>
      <c r="I4610">
        <v>36131191</v>
      </c>
    </row>
    <row r="4611" spans="1:9" x14ac:dyDescent="0.2">
      <c r="A4611" t="str">
        <f>"Cstad"</f>
        <v>Cstad</v>
      </c>
      <c r="B4611" t="s">
        <v>14</v>
      </c>
      <c r="C4611" t="s">
        <v>26</v>
      </c>
      <c r="D4611" t="s">
        <v>17</v>
      </c>
      <c r="E4611" t="s">
        <v>12</v>
      </c>
      <c r="F4611">
        <v>30595037</v>
      </c>
      <c r="G4611">
        <v>30595048</v>
      </c>
      <c r="H4611">
        <v>30594993</v>
      </c>
      <c r="I4611">
        <v>30595008</v>
      </c>
    </row>
    <row r="4612" spans="1:9" x14ac:dyDescent="0.2">
      <c r="A4612" t="str">
        <f>"Cstb"</f>
        <v>Cstb</v>
      </c>
      <c r="B4612" t="s">
        <v>14</v>
      </c>
      <c r="C4612" t="s">
        <v>15</v>
      </c>
      <c r="D4612" t="s">
        <v>17</v>
      </c>
      <c r="E4612" t="s">
        <v>12</v>
      </c>
      <c r="F4612">
        <v>78425731</v>
      </c>
      <c r="G4612">
        <v>78425747</v>
      </c>
      <c r="H4612">
        <v>78425690</v>
      </c>
      <c r="I4612">
        <v>78425729</v>
      </c>
    </row>
    <row r="4613" spans="1:9" x14ac:dyDescent="0.2">
      <c r="A4613" t="str">
        <f>"Cstf1"</f>
        <v>Cstf1</v>
      </c>
      <c r="B4613" t="s">
        <v>14</v>
      </c>
      <c r="C4613" t="s">
        <v>26</v>
      </c>
      <c r="D4613" t="s">
        <v>17</v>
      </c>
      <c r="E4613" t="s">
        <v>12</v>
      </c>
      <c r="F4613">
        <v>172370939</v>
      </c>
      <c r="G4613">
        <v>172370985</v>
      </c>
      <c r="H4613">
        <v>172370658</v>
      </c>
      <c r="I4613">
        <v>172370744</v>
      </c>
    </row>
    <row r="4614" spans="1:9" x14ac:dyDescent="0.2">
      <c r="A4614" t="str">
        <f>"Cstf2"</f>
        <v>Cstf2</v>
      </c>
      <c r="B4614" t="s">
        <v>14</v>
      </c>
      <c r="C4614" t="s">
        <v>37</v>
      </c>
      <c r="D4614" t="s">
        <v>17</v>
      </c>
      <c r="E4614" t="s">
        <v>12</v>
      </c>
      <c r="F4614">
        <v>134059315</v>
      </c>
      <c r="G4614">
        <v>134059366</v>
      </c>
      <c r="H4614">
        <v>134059137</v>
      </c>
      <c r="I4614">
        <v>134059213</v>
      </c>
    </row>
    <row r="4615" spans="1:9" x14ac:dyDescent="0.2">
      <c r="A4615" t="str">
        <f>"Cstf2t"</f>
        <v>Cstf2t</v>
      </c>
      <c r="B4615" t="s">
        <v>14</v>
      </c>
      <c r="C4615" t="s">
        <v>10</v>
      </c>
      <c r="D4615" t="s">
        <v>17</v>
      </c>
      <c r="E4615" t="s">
        <v>12</v>
      </c>
      <c r="F4615">
        <v>31082982</v>
      </c>
      <c r="G4615">
        <v>31083046</v>
      </c>
      <c r="H4615">
        <v>31082882</v>
      </c>
      <c r="I4615">
        <v>31082902</v>
      </c>
    </row>
    <row r="4616" spans="1:9" x14ac:dyDescent="0.2">
      <c r="A4616" t="str">
        <f>"Cstf3"</f>
        <v>Cstf3</v>
      </c>
      <c r="B4616" t="s">
        <v>14</v>
      </c>
      <c r="C4616" t="s">
        <v>26</v>
      </c>
      <c r="D4616" t="s">
        <v>17</v>
      </c>
      <c r="E4616" t="s">
        <v>12</v>
      </c>
      <c r="F4616">
        <v>104590453</v>
      </c>
      <c r="G4616">
        <v>104590533</v>
      </c>
      <c r="H4616">
        <v>104590534</v>
      </c>
      <c r="I4616">
        <v>104590548</v>
      </c>
    </row>
    <row r="4617" spans="1:9" x14ac:dyDescent="0.2">
      <c r="A4617" t="str">
        <f>"Cstl1"</f>
        <v>Cstl1</v>
      </c>
      <c r="B4617" t="s">
        <v>14</v>
      </c>
      <c r="C4617" t="s">
        <v>26</v>
      </c>
      <c r="D4617" t="s">
        <v>17</v>
      </c>
      <c r="E4617" t="s">
        <v>12</v>
      </c>
      <c r="F4617">
        <v>148750352</v>
      </c>
      <c r="G4617">
        <v>148750376</v>
      </c>
      <c r="H4617">
        <v>148750352</v>
      </c>
      <c r="I4617">
        <v>148750376</v>
      </c>
    </row>
    <row r="4618" spans="1:9" x14ac:dyDescent="0.2">
      <c r="A4618" t="str">
        <f>"Ctag2"</f>
        <v>Ctag2</v>
      </c>
      <c r="B4618" t="s">
        <v>14</v>
      </c>
      <c r="C4618" t="s">
        <v>37</v>
      </c>
      <c r="D4618" t="s">
        <v>17</v>
      </c>
      <c r="E4618" t="s">
        <v>12</v>
      </c>
      <c r="F4618">
        <v>65047671</v>
      </c>
      <c r="G4618">
        <v>65047683</v>
      </c>
      <c r="H4618">
        <v>65047638</v>
      </c>
      <c r="I4618">
        <v>65047649</v>
      </c>
    </row>
    <row r="4619" spans="1:9" x14ac:dyDescent="0.2">
      <c r="A4619" t="str">
        <f>"Ctage5"</f>
        <v>Ctage5</v>
      </c>
      <c r="B4619" t="s">
        <v>14</v>
      </c>
      <c r="C4619" t="s">
        <v>16</v>
      </c>
      <c r="D4619" t="s">
        <v>17</v>
      </c>
      <c r="E4619" t="s">
        <v>12</v>
      </c>
      <c r="F4619">
        <v>59131473</v>
      </c>
      <c r="G4619">
        <v>59131495</v>
      </c>
      <c r="H4619">
        <v>59131425</v>
      </c>
      <c r="I4619">
        <v>59131469</v>
      </c>
    </row>
    <row r="4620" spans="1:9" x14ac:dyDescent="0.2">
      <c r="A4620" t="str">
        <f>"Ctbp1"</f>
        <v>Ctbp1</v>
      </c>
      <c r="B4620" t="s">
        <v>14</v>
      </c>
      <c r="C4620" t="s">
        <v>46</v>
      </c>
      <c r="D4620" t="s">
        <v>11</v>
      </c>
      <c r="E4620" t="s">
        <v>12</v>
      </c>
      <c r="F4620">
        <v>33274966</v>
      </c>
      <c r="G4620">
        <v>33275010</v>
      </c>
      <c r="H4620">
        <v>33274954</v>
      </c>
      <c r="I4620">
        <v>33274965</v>
      </c>
    </row>
    <row r="4621" spans="1:9" x14ac:dyDescent="0.2">
      <c r="A4621" t="str">
        <f>"Ctbp2"</f>
        <v>Ctbp2</v>
      </c>
      <c r="B4621" t="s">
        <v>14</v>
      </c>
      <c r="C4621" t="s">
        <v>33</v>
      </c>
      <c r="D4621" t="s">
        <v>11</v>
      </c>
      <c r="E4621" t="s">
        <v>12</v>
      </c>
      <c r="F4621">
        <v>133123353</v>
      </c>
      <c r="G4621">
        <v>133123377</v>
      </c>
      <c r="H4621">
        <v>133123853</v>
      </c>
      <c r="I4621">
        <v>133123876</v>
      </c>
    </row>
    <row r="4622" spans="1:9" x14ac:dyDescent="0.2">
      <c r="A4622" t="str">
        <f>"Ctbs"</f>
        <v>Ctbs</v>
      </c>
      <c r="B4622" t="s">
        <v>14</v>
      </c>
      <c r="C4622" t="s">
        <v>22</v>
      </c>
      <c r="D4622" t="s">
        <v>17</v>
      </c>
      <c r="E4622" t="s">
        <v>12</v>
      </c>
      <c r="F4622">
        <v>146450467</v>
      </c>
      <c r="G4622">
        <v>146450503</v>
      </c>
      <c r="H4622">
        <v>146450467</v>
      </c>
      <c r="I4622">
        <v>146450503</v>
      </c>
    </row>
    <row r="4623" spans="1:9" x14ac:dyDescent="0.2">
      <c r="A4623" t="str">
        <f>"Ctc1"</f>
        <v>Ctc1</v>
      </c>
      <c r="B4623" t="s">
        <v>14</v>
      </c>
      <c r="C4623" t="s">
        <v>27</v>
      </c>
      <c r="D4623" t="s">
        <v>17</v>
      </c>
      <c r="E4623" t="s">
        <v>67</v>
      </c>
      <c r="F4623">
        <v>69016073</v>
      </c>
      <c r="G4623">
        <v>69016135</v>
      </c>
      <c r="H4623">
        <v>69015898</v>
      </c>
      <c r="I4623">
        <v>69015945</v>
      </c>
    </row>
    <row r="4624" spans="1:9" x14ac:dyDescent="0.2">
      <c r="A4624" t="str">
        <f>"Ctcf"</f>
        <v>Ctcf</v>
      </c>
      <c r="B4624" t="s">
        <v>14</v>
      </c>
      <c r="C4624" t="s">
        <v>30</v>
      </c>
      <c r="D4624" t="s">
        <v>17</v>
      </c>
      <c r="E4624" t="s">
        <v>12</v>
      </c>
      <c r="F4624">
        <v>105636509</v>
      </c>
      <c r="G4624">
        <v>105636589</v>
      </c>
      <c r="H4624">
        <v>105636590</v>
      </c>
      <c r="I4624">
        <v>105636612</v>
      </c>
    </row>
    <row r="4625" spans="1:9" x14ac:dyDescent="0.2">
      <c r="A4625" t="str">
        <f>"Ctcfl"</f>
        <v>Ctcfl</v>
      </c>
      <c r="B4625" t="s">
        <v>14</v>
      </c>
      <c r="C4625" t="s">
        <v>26</v>
      </c>
      <c r="D4625" t="s">
        <v>11</v>
      </c>
      <c r="E4625" t="s">
        <v>12</v>
      </c>
      <c r="F4625">
        <v>173119402</v>
      </c>
      <c r="G4625">
        <v>173119415</v>
      </c>
      <c r="H4625">
        <v>173119402</v>
      </c>
      <c r="I4625">
        <v>173119415</v>
      </c>
    </row>
    <row r="4626" spans="1:9" x14ac:dyDescent="0.2">
      <c r="A4626" t="str">
        <f>"Ctdnep1"</f>
        <v>Ctdnep1</v>
      </c>
      <c r="B4626" t="s">
        <v>14</v>
      </c>
      <c r="C4626" t="s">
        <v>27</v>
      </c>
      <c r="D4626" t="s">
        <v>17</v>
      </c>
      <c r="E4626" t="s">
        <v>12</v>
      </c>
      <c r="F4626">
        <v>69980780</v>
      </c>
      <c r="G4626">
        <v>69980828</v>
      </c>
      <c r="H4626">
        <v>69981127</v>
      </c>
      <c r="I4626">
        <v>69981214</v>
      </c>
    </row>
    <row r="4627" spans="1:9" x14ac:dyDescent="0.2">
      <c r="A4627" t="str">
        <f>"Ctdp1"</f>
        <v>Ctdp1</v>
      </c>
      <c r="B4627" t="s">
        <v>14</v>
      </c>
      <c r="C4627" t="s">
        <v>43</v>
      </c>
      <c r="D4627" t="s">
        <v>11</v>
      </c>
      <c r="E4627" t="s">
        <v>12</v>
      </c>
      <c r="F4627">
        <v>80469664</v>
      </c>
      <c r="G4627">
        <v>80469719</v>
      </c>
      <c r="H4627">
        <v>80469640</v>
      </c>
      <c r="I4627">
        <v>80469649</v>
      </c>
    </row>
    <row r="4628" spans="1:9" x14ac:dyDescent="0.2">
      <c r="A4628" t="str">
        <f>"Ctdsp1"</f>
        <v>Ctdsp1</v>
      </c>
      <c r="B4628" t="s">
        <v>14</v>
      </c>
      <c r="C4628" t="s">
        <v>19</v>
      </c>
      <c r="D4628" t="s">
        <v>17</v>
      </c>
      <c r="E4628" t="s">
        <v>12</v>
      </c>
      <c r="F4628">
        <v>74391632</v>
      </c>
      <c r="G4628">
        <v>74391684</v>
      </c>
      <c r="H4628">
        <v>74391687</v>
      </c>
      <c r="I4628">
        <v>74391716</v>
      </c>
    </row>
    <row r="4629" spans="1:9" x14ac:dyDescent="0.2">
      <c r="A4629" t="str">
        <f>"Ctdsp2"</f>
        <v>Ctdsp2</v>
      </c>
      <c r="B4629" t="s">
        <v>14</v>
      </c>
      <c r="C4629" t="s">
        <v>15</v>
      </c>
      <c r="D4629" t="s">
        <v>17</v>
      </c>
      <c r="E4629" t="s">
        <v>12</v>
      </c>
      <c r="F4629">
        <v>126978928</v>
      </c>
      <c r="G4629">
        <v>126978973</v>
      </c>
      <c r="H4629">
        <v>126978690</v>
      </c>
      <c r="I4629">
        <v>126978749</v>
      </c>
    </row>
    <row r="4630" spans="1:9" x14ac:dyDescent="0.2">
      <c r="A4630" t="str">
        <f>"Ctdspl"</f>
        <v>Ctdspl</v>
      </c>
      <c r="B4630" t="s">
        <v>14</v>
      </c>
      <c r="C4630" t="s">
        <v>24</v>
      </c>
      <c r="D4630" t="s">
        <v>17</v>
      </c>
      <c r="E4630" t="s">
        <v>12</v>
      </c>
      <c r="F4630">
        <v>118926498</v>
      </c>
      <c r="G4630">
        <v>118926568</v>
      </c>
      <c r="H4630">
        <v>118926638</v>
      </c>
      <c r="I4630">
        <v>118926654</v>
      </c>
    </row>
    <row r="4631" spans="1:9" x14ac:dyDescent="0.2">
      <c r="A4631" t="str">
        <f>"Ctdspl2"</f>
        <v>Ctdspl2</v>
      </c>
      <c r="B4631" t="s">
        <v>14</v>
      </c>
      <c r="C4631" t="s">
        <v>26</v>
      </c>
      <c r="D4631" t="s">
        <v>17</v>
      </c>
      <c r="E4631" t="s">
        <v>12</v>
      </c>
      <c r="F4631">
        <v>121956437</v>
      </c>
      <c r="G4631">
        <v>121956480</v>
      </c>
      <c r="H4631">
        <v>121956135</v>
      </c>
      <c r="I4631">
        <v>121956165</v>
      </c>
    </row>
    <row r="4632" spans="1:9" x14ac:dyDescent="0.2">
      <c r="A4632" t="str">
        <f>"Ctf1"</f>
        <v>Ctf1</v>
      </c>
      <c r="B4632" t="s">
        <v>14</v>
      </c>
      <c r="C4632" t="s">
        <v>33</v>
      </c>
      <c r="D4632" t="s">
        <v>17</v>
      </c>
      <c r="E4632" t="s">
        <v>12</v>
      </c>
      <c r="F4632">
        <v>127712709</v>
      </c>
      <c r="G4632">
        <v>127712745</v>
      </c>
      <c r="H4632">
        <v>127712699</v>
      </c>
      <c r="I4632">
        <v>127712706</v>
      </c>
    </row>
    <row r="4633" spans="1:9" x14ac:dyDescent="0.2">
      <c r="A4633" t="str">
        <f>"Ctf2"</f>
        <v>Ctf2</v>
      </c>
      <c r="B4633" t="s">
        <v>2325</v>
      </c>
      <c r="C4633" t="s">
        <v>33</v>
      </c>
      <c r="D4633" t="s">
        <v>11</v>
      </c>
      <c r="E4633" t="s">
        <v>20</v>
      </c>
      <c r="F4633">
        <v>127725615</v>
      </c>
      <c r="G4633">
        <v>127725615</v>
      </c>
      <c r="H4633">
        <v>127725615</v>
      </c>
      <c r="I4633">
        <v>127725615</v>
      </c>
    </row>
    <row r="4634" spans="1:9" x14ac:dyDescent="0.2">
      <c r="A4634" t="str">
        <f>"Ctgf"</f>
        <v>Ctgf</v>
      </c>
      <c r="B4634" t="s">
        <v>14</v>
      </c>
      <c r="C4634" t="s">
        <v>15</v>
      </c>
      <c r="D4634" t="s">
        <v>17</v>
      </c>
      <c r="E4634" t="s">
        <v>12</v>
      </c>
      <c r="F4634">
        <v>24595489</v>
      </c>
      <c r="G4634">
        <v>24595520</v>
      </c>
      <c r="H4634">
        <v>24595529</v>
      </c>
      <c r="I4634">
        <v>24595545</v>
      </c>
    </row>
    <row r="4635" spans="1:9" x14ac:dyDescent="0.2">
      <c r="A4635" t="str">
        <f>"Cth"</f>
        <v>Cth</v>
      </c>
      <c r="B4635" t="s">
        <v>14</v>
      </c>
      <c r="C4635" t="s">
        <v>22</v>
      </c>
      <c r="D4635" t="s">
        <v>11</v>
      </c>
      <c r="E4635" t="s">
        <v>12</v>
      </c>
      <c r="F4635">
        <v>157925056</v>
      </c>
      <c r="G4635">
        <v>157925070</v>
      </c>
      <c r="H4635">
        <v>157925056</v>
      </c>
      <c r="I4635">
        <v>157925070</v>
      </c>
    </row>
    <row r="4636" spans="1:9" x14ac:dyDescent="0.2">
      <c r="A4636" t="str">
        <f>"Cthrc1"</f>
        <v>Cthrc1</v>
      </c>
      <c r="B4636" t="s">
        <v>14</v>
      </c>
      <c r="C4636" t="s">
        <v>25</v>
      </c>
      <c r="D4636" t="s">
        <v>17</v>
      </c>
      <c r="E4636" t="s">
        <v>12</v>
      </c>
      <c r="F4636">
        <v>39076885</v>
      </c>
      <c r="G4636">
        <v>39076938</v>
      </c>
      <c r="H4636">
        <v>39076964</v>
      </c>
      <c r="I4636">
        <v>39076973</v>
      </c>
    </row>
    <row r="4637" spans="1:9" x14ac:dyDescent="0.2">
      <c r="A4637" t="str">
        <f>"Ctif"</f>
        <v>Ctif</v>
      </c>
      <c r="B4637" t="s">
        <v>14</v>
      </c>
      <c r="C4637" t="s">
        <v>43</v>
      </c>
      <c r="D4637" t="s">
        <v>11</v>
      </c>
      <c r="E4637" t="s">
        <v>12</v>
      </c>
      <c r="F4637">
        <v>75697639</v>
      </c>
      <c r="G4637">
        <v>75697697</v>
      </c>
      <c r="H4637">
        <v>75697530</v>
      </c>
      <c r="I4637">
        <v>75697583</v>
      </c>
    </row>
    <row r="4638" spans="1:9" x14ac:dyDescent="0.2">
      <c r="A4638" t="str">
        <f>"Ctla2a"</f>
        <v>Ctla2a</v>
      </c>
      <c r="B4638" t="s">
        <v>14</v>
      </c>
      <c r="C4638" t="s">
        <v>39</v>
      </c>
      <c r="D4638" t="s">
        <v>11</v>
      </c>
      <c r="E4638" t="s">
        <v>12</v>
      </c>
      <c r="F4638">
        <v>60936550</v>
      </c>
      <c r="G4638">
        <v>60936569</v>
      </c>
      <c r="H4638">
        <v>60936443</v>
      </c>
      <c r="I4638">
        <v>60936471</v>
      </c>
    </row>
    <row r="4639" spans="1:9" x14ac:dyDescent="0.2">
      <c r="A4639" t="str">
        <f>"Ctla2b"</f>
        <v>Ctla2b</v>
      </c>
      <c r="B4639" t="s">
        <v>14</v>
      </c>
      <c r="C4639" t="s">
        <v>39</v>
      </c>
      <c r="D4639" t="s">
        <v>11</v>
      </c>
      <c r="E4639" t="s">
        <v>12</v>
      </c>
      <c r="F4639">
        <v>60897397</v>
      </c>
      <c r="G4639">
        <v>60897414</v>
      </c>
      <c r="H4639">
        <v>60897439</v>
      </c>
      <c r="I4639">
        <v>60897455</v>
      </c>
    </row>
    <row r="4640" spans="1:9" x14ac:dyDescent="0.2">
      <c r="A4640" t="str">
        <f>"Ctla4"</f>
        <v>Ctla4</v>
      </c>
      <c r="B4640" t="s">
        <v>14</v>
      </c>
      <c r="C4640" t="s">
        <v>19</v>
      </c>
      <c r="D4640" t="s">
        <v>17</v>
      </c>
      <c r="E4640" t="s">
        <v>12</v>
      </c>
      <c r="F4640">
        <v>60909085</v>
      </c>
      <c r="G4640">
        <v>60909102</v>
      </c>
      <c r="H4640">
        <v>60909085</v>
      </c>
      <c r="I4640">
        <v>60909102</v>
      </c>
    </row>
    <row r="4641" spans="1:9" x14ac:dyDescent="0.2">
      <c r="A4641" t="str">
        <f>"Ctnna1"</f>
        <v>Ctnna1</v>
      </c>
      <c r="B4641" t="s">
        <v>14</v>
      </c>
      <c r="C4641" t="s">
        <v>43</v>
      </c>
      <c r="D4641" t="s">
        <v>17</v>
      </c>
      <c r="E4641" t="s">
        <v>12</v>
      </c>
      <c r="F4641">
        <v>35118907</v>
      </c>
      <c r="G4641">
        <v>35118926</v>
      </c>
      <c r="H4641">
        <v>35118880</v>
      </c>
      <c r="I4641">
        <v>35118903</v>
      </c>
    </row>
    <row r="4642" spans="1:9" x14ac:dyDescent="0.2">
      <c r="A4642" t="str">
        <f>"Ctnna2"</f>
        <v>Ctnna2</v>
      </c>
      <c r="B4642" t="s">
        <v>14</v>
      </c>
      <c r="C4642" t="s">
        <v>32</v>
      </c>
      <c r="D4642" t="s">
        <v>11</v>
      </c>
      <c r="E4642" t="s">
        <v>12</v>
      </c>
      <c r="F4642">
        <v>77979515</v>
      </c>
      <c r="G4642">
        <v>77979622</v>
      </c>
      <c r="H4642">
        <v>77979652</v>
      </c>
      <c r="I4642">
        <v>77979708</v>
      </c>
    </row>
    <row r="4643" spans="1:9" x14ac:dyDescent="0.2">
      <c r="A4643" t="str">
        <f>"Ctnna3"</f>
        <v>Ctnna3</v>
      </c>
      <c r="B4643" t="s">
        <v>14</v>
      </c>
      <c r="C4643" t="s">
        <v>15</v>
      </c>
      <c r="D4643" t="s">
        <v>17</v>
      </c>
      <c r="E4643" t="s">
        <v>12</v>
      </c>
      <c r="F4643">
        <v>63457505</v>
      </c>
      <c r="G4643">
        <v>63457539</v>
      </c>
      <c r="H4643">
        <v>63457549</v>
      </c>
      <c r="I4643">
        <v>63457555</v>
      </c>
    </row>
    <row r="4644" spans="1:9" x14ac:dyDescent="0.2">
      <c r="A4644" t="str">
        <f>"Ctnnal1"</f>
        <v>Ctnnal1</v>
      </c>
      <c r="B4644" t="s">
        <v>14</v>
      </c>
      <c r="C4644" t="s">
        <v>23</v>
      </c>
      <c r="D4644" t="s">
        <v>11</v>
      </c>
      <c r="E4644" t="s">
        <v>12</v>
      </c>
      <c r="F4644">
        <v>56865135</v>
      </c>
      <c r="G4644">
        <v>56865208</v>
      </c>
      <c r="H4644">
        <v>56865316</v>
      </c>
      <c r="I4644">
        <v>56865349</v>
      </c>
    </row>
    <row r="4645" spans="1:9" x14ac:dyDescent="0.2">
      <c r="A4645" t="str">
        <f>"Ctnnb1"</f>
        <v>Ctnnb1</v>
      </c>
      <c r="B4645" t="s">
        <v>14</v>
      </c>
      <c r="C4645" t="s">
        <v>24</v>
      </c>
      <c r="D4645" t="s">
        <v>17</v>
      </c>
      <c r="E4645" t="s">
        <v>12</v>
      </c>
      <c r="F4645">
        <v>120933483</v>
      </c>
      <c r="G4645">
        <v>120933491</v>
      </c>
      <c r="H4645">
        <v>120933483</v>
      </c>
      <c r="I4645">
        <v>120933491</v>
      </c>
    </row>
    <row r="4646" spans="1:9" x14ac:dyDescent="0.2">
      <c r="A4646" t="str">
        <f>"Ctnnbip1"</f>
        <v>Ctnnbip1</v>
      </c>
      <c r="B4646" t="s">
        <v>14</v>
      </c>
      <c r="C4646" t="s">
        <v>23</v>
      </c>
      <c r="D4646" t="s">
        <v>17</v>
      </c>
      <c r="E4646" t="s">
        <v>12</v>
      </c>
      <c r="F4646">
        <v>149518216</v>
      </c>
      <c r="G4646">
        <v>149518277</v>
      </c>
      <c r="H4646">
        <v>149518288</v>
      </c>
      <c r="I4646">
        <v>149518308</v>
      </c>
    </row>
    <row r="4647" spans="1:9" x14ac:dyDescent="0.2">
      <c r="A4647" t="str">
        <f>"Ctnnbl1"</f>
        <v>Ctnnbl1</v>
      </c>
      <c r="B4647" t="s">
        <v>14</v>
      </c>
      <c r="C4647" t="s">
        <v>26</v>
      </c>
      <c r="D4647" t="s">
        <v>17</v>
      </c>
      <c r="E4647" t="s">
        <v>12</v>
      </c>
      <c r="F4647">
        <v>157737425</v>
      </c>
      <c r="G4647">
        <v>157737490</v>
      </c>
      <c r="H4647">
        <v>157737425</v>
      </c>
      <c r="I4647">
        <v>157737490</v>
      </c>
    </row>
    <row r="4648" spans="1:9" x14ac:dyDescent="0.2">
      <c r="A4648" t="str">
        <f>"Ctnnd1"</f>
        <v>Ctnnd1</v>
      </c>
      <c r="B4648" t="s">
        <v>14</v>
      </c>
      <c r="C4648" t="s">
        <v>26</v>
      </c>
      <c r="D4648" t="s">
        <v>11</v>
      </c>
      <c r="E4648" t="s">
        <v>12</v>
      </c>
      <c r="F4648">
        <v>84650714</v>
      </c>
      <c r="G4648">
        <v>84650749</v>
      </c>
      <c r="H4648">
        <v>84650698</v>
      </c>
      <c r="I4648">
        <v>84650709</v>
      </c>
    </row>
    <row r="4649" spans="1:9" x14ac:dyDescent="0.2">
      <c r="A4649" t="str">
        <f>"Ctnnd2"</f>
        <v>Ctnnd2</v>
      </c>
      <c r="B4649" t="s">
        <v>14</v>
      </c>
      <c r="C4649" t="s">
        <v>25</v>
      </c>
      <c r="D4649" t="s">
        <v>17</v>
      </c>
      <c r="E4649" t="s">
        <v>12</v>
      </c>
      <c r="F4649">
        <v>30172678</v>
      </c>
      <c r="G4649">
        <v>30172731</v>
      </c>
      <c r="H4649">
        <v>30172519</v>
      </c>
      <c r="I4649">
        <v>30172567</v>
      </c>
    </row>
    <row r="4650" spans="1:9" x14ac:dyDescent="0.2">
      <c r="A4650" t="str">
        <f>"Ctns"</f>
        <v>Ctns</v>
      </c>
      <c r="B4650" t="s">
        <v>14</v>
      </c>
      <c r="C4650" t="s">
        <v>27</v>
      </c>
      <c r="D4650" t="s">
        <v>11</v>
      </c>
      <c r="E4650" t="s">
        <v>12</v>
      </c>
      <c r="F4650">
        <v>73199013</v>
      </c>
      <c r="G4650">
        <v>73199056</v>
      </c>
      <c r="H4650">
        <v>73198986</v>
      </c>
      <c r="I4650">
        <v>73199008</v>
      </c>
    </row>
    <row r="4651" spans="1:9" x14ac:dyDescent="0.2">
      <c r="A4651" t="str">
        <f>"Ctps"</f>
        <v>Ctps</v>
      </c>
      <c r="B4651" t="s">
        <v>14</v>
      </c>
      <c r="C4651" t="s">
        <v>23</v>
      </c>
      <c r="D4651" t="s">
        <v>11</v>
      </c>
      <c r="E4651" t="s">
        <v>12</v>
      </c>
      <c r="F4651">
        <v>120570252</v>
      </c>
      <c r="G4651">
        <v>120570299</v>
      </c>
      <c r="H4651">
        <v>120570216</v>
      </c>
      <c r="I4651">
        <v>120570234</v>
      </c>
    </row>
    <row r="4652" spans="1:9" x14ac:dyDescent="0.2">
      <c r="A4652" t="str">
        <f>"Ctps2"</f>
        <v>Ctps2</v>
      </c>
      <c r="B4652" t="s">
        <v>14</v>
      </c>
      <c r="C4652" t="s">
        <v>37</v>
      </c>
      <c r="D4652" t="s">
        <v>17</v>
      </c>
      <c r="E4652" t="s">
        <v>12</v>
      </c>
      <c r="F4652">
        <v>162901567</v>
      </c>
      <c r="G4652">
        <v>162901677</v>
      </c>
      <c r="H4652">
        <v>162901694</v>
      </c>
      <c r="I4652">
        <v>162901733</v>
      </c>
    </row>
    <row r="4653" spans="1:9" x14ac:dyDescent="0.2">
      <c r="A4653" t="str">
        <f>"Ctr9"</f>
        <v>Ctr9</v>
      </c>
      <c r="B4653" t="s">
        <v>14</v>
      </c>
      <c r="C4653" t="s">
        <v>33</v>
      </c>
      <c r="D4653" t="s">
        <v>17</v>
      </c>
      <c r="E4653" t="s">
        <v>12</v>
      </c>
      <c r="F4653">
        <v>111028979</v>
      </c>
      <c r="G4653">
        <v>111029005</v>
      </c>
      <c r="H4653">
        <v>111028961</v>
      </c>
      <c r="I4653">
        <v>111028972</v>
      </c>
    </row>
    <row r="4654" spans="1:9" x14ac:dyDescent="0.2">
      <c r="A4654" t="str">
        <f>"Ctrb1"</f>
        <v>Ctrb1</v>
      </c>
      <c r="B4654" t="s">
        <v>14</v>
      </c>
      <c r="C4654" t="s">
        <v>30</v>
      </c>
      <c r="D4654" t="s">
        <v>11</v>
      </c>
      <c r="E4654" t="s">
        <v>12</v>
      </c>
      <c r="F4654">
        <v>111691002</v>
      </c>
      <c r="G4654">
        <v>111691019</v>
      </c>
      <c r="H4654">
        <v>111691128</v>
      </c>
      <c r="I4654">
        <v>111691141</v>
      </c>
    </row>
    <row r="4655" spans="1:9" x14ac:dyDescent="0.2">
      <c r="A4655" t="str">
        <f>"Ctrc"</f>
        <v>Ctrc</v>
      </c>
      <c r="B4655" t="s">
        <v>14</v>
      </c>
      <c r="C4655" t="s">
        <v>23</v>
      </c>
      <c r="D4655" t="s">
        <v>11</v>
      </c>
      <c r="E4655" t="s">
        <v>12</v>
      </c>
      <c r="F4655">
        <v>141846277</v>
      </c>
      <c r="G4655">
        <v>141846293</v>
      </c>
      <c r="H4655">
        <v>141846277</v>
      </c>
      <c r="I4655">
        <v>141846293</v>
      </c>
    </row>
    <row r="4656" spans="1:9" x14ac:dyDescent="0.2">
      <c r="A4656" t="str">
        <f>"Ctrl"</f>
        <v>Ctrl</v>
      </c>
      <c r="B4656" t="s">
        <v>14</v>
      </c>
      <c r="C4656" t="s">
        <v>30</v>
      </c>
      <c r="D4656" t="s">
        <v>11</v>
      </c>
      <c r="E4656" t="s">
        <v>12</v>
      </c>
      <c r="F4656">
        <v>105933832</v>
      </c>
      <c r="G4656">
        <v>105933862</v>
      </c>
      <c r="H4656">
        <v>105933928</v>
      </c>
      <c r="I4656">
        <v>105933937</v>
      </c>
    </row>
    <row r="4657" spans="1:9" x14ac:dyDescent="0.2">
      <c r="A4657" t="str">
        <f>"Cts3"</f>
        <v>Cts3</v>
      </c>
      <c r="B4657" t="s">
        <v>14</v>
      </c>
      <c r="C4657" t="s">
        <v>39</v>
      </c>
      <c r="D4657" t="s">
        <v>11</v>
      </c>
      <c r="E4657" t="s">
        <v>12</v>
      </c>
      <c r="F4657">
        <v>61570111</v>
      </c>
      <c r="G4657">
        <v>61570135</v>
      </c>
      <c r="H4657">
        <v>61570099</v>
      </c>
      <c r="I4657">
        <v>61570105</v>
      </c>
    </row>
    <row r="4658" spans="1:9" x14ac:dyDescent="0.2">
      <c r="A4658" t="str">
        <f>"Cts6"</f>
        <v>Cts6</v>
      </c>
      <c r="B4658" t="s">
        <v>14</v>
      </c>
      <c r="C4658" t="s">
        <v>39</v>
      </c>
      <c r="D4658" t="s">
        <v>11</v>
      </c>
      <c r="E4658" t="s">
        <v>12</v>
      </c>
      <c r="F4658">
        <v>61203406</v>
      </c>
      <c r="G4658">
        <v>61203418</v>
      </c>
      <c r="H4658">
        <v>61203406</v>
      </c>
      <c r="I4658">
        <v>61203418</v>
      </c>
    </row>
    <row r="4659" spans="1:9" x14ac:dyDescent="0.2">
      <c r="A4659" t="str">
        <f>"Cts7"</f>
        <v>Cts7</v>
      </c>
      <c r="B4659" t="s">
        <v>14</v>
      </c>
      <c r="C4659" t="s">
        <v>39</v>
      </c>
      <c r="D4659" t="s">
        <v>11</v>
      </c>
      <c r="E4659" t="s">
        <v>12</v>
      </c>
      <c r="F4659">
        <v>61358193</v>
      </c>
      <c r="G4659">
        <v>61358198</v>
      </c>
      <c r="H4659">
        <v>61358193</v>
      </c>
      <c r="I4659">
        <v>61358198</v>
      </c>
    </row>
    <row r="4660" spans="1:9" x14ac:dyDescent="0.2">
      <c r="A4660" t="str">
        <f>"Cts8"</f>
        <v>Cts8</v>
      </c>
      <c r="B4660" t="s">
        <v>14</v>
      </c>
      <c r="C4660" t="s">
        <v>39</v>
      </c>
      <c r="D4660" t="s">
        <v>11</v>
      </c>
      <c r="E4660" t="s">
        <v>12</v>
      </c>
      <c r="F4660">
        <v>61255345</v>
      </c>
      <c r="G4660">
        <v>61255350</v>
      </c>
      <c r="H4660">
        <v>61255345</v>
      </c>
      <c r="I4660">
        <v>61255350</v>
      </c>
    </row>
    <row r="4661" spans="1:9" x14ac:dyDescent="0.2">
      <c r="A4661" t="str">
        <f>"Ctsa"</f>
        <v>Ctsa</v>
      </c>
      <c r="B4661" t="s">
        <v>14</v>
      </c>
      <c r="C4661" t="s">
        <v>26</v>
      </c>
      <c r="D4661" t="s">
        <v>17</v>
      </c>
      <c r="E4661" t="s">
        <v>12</v>
      </c>
      <c r="F4661">
        <v>164833781</v>
      </c>
      <c r="G4661">
        <v>164833812</v>
      </c>
      <c r="H4661">
        <v>164832881</v>
      </c>
      <c r="I4661">
        <v>164832935</v>
      </c>
    </row>
    <row r="4662" spans="1:9" x14ac:dyDescent="0.2">
      <c r="A4662" t="str">
        <f>"Ctsb"</f>
        <v>Ctsb</v>
      </c>
      <c r="B4662" t="s">
        <v>14</v>
      </c>
      <c r="C4662" t="s">
        <v>41</v>
      </c>
      <c r="D4662" t="s">
        <v>17</v>
      </c>
      <c r="E4662" t="s">
        <v>12</v>
      </c>
      <c r="F4662">
        <v>63122506</v>
      </c>
      <c r="G4662">
        <v>63122525</v>
      </c>
      <c r="H4662">
        <v>63122480</v>
      </c>
      <c r="I4662">
        <v>63122495</v>
      </c>
    </row>
    <row r="4663" spans="1:9" x14ac:dyDescent="0.2">
      <c r="A4663" t="str">
        <f>"Ctsc"</f>
        <v>Ctsc</v>
      </c>
      <c r="B4663" t="s">
        <v>14</v>
      </c>
      <c r="C4663" t="s">
        <v>33</v>
      </c>
      <c r="D4663" t="s">
        <v>17</v>
      </c>
      <c r="E4663" t="s">
        <v>12</v>
      </c>
      <c r="F4663">
        <v>88278126</v>
      </c>
      <c r="G4663">
        <v>88278141</v>
      </c>
      <c r="H4663">
        <v>88278126</v>
      </c>
      <c r="I4663">
        <v>88278141</v>
      </c>
    </row>
    <row r="4664" spans="1:9" x14ac:dyDescent="0.2">
      <c r="A4664" t="str">
        <f>"Ctsd"</f>
        <v>Ctsd</v>
      </c>
      <c r="B4664" t="s">
        <v>14</v>
      </c>
      <c r="C4664" t="s">
        <v>33</v>
      </c>
      <c r="D4664" t="s">
        <v>11</v>
      </c>
      <c r="E4664" t="s">
        <v>12</v>
      </c>
      <c r="F4664">
        <v>142387820</v>
      </c>
      <c r="G4664">
        <v>142387845</v>
      </c>
      <c r="H4664">
        <v>142387853</v>
      </c>
      <c r="I4664">
        <v>142387885</v>
      </c>
    </row>
    <row r="4665" spans="1:9" x14ac:dyDescent="0.2">
      <c r="A4665" t="str">
        <f>"Ctse"</f>
        <v>Ctse</v>
      </c>
      <c r="B4665" t="s">
        <v>9</v>
      </c>
      <c r="C4665" t="s">
        <v>19</v>
      </c>
      <c r="D4665" t="s">
        <v>17</v>
      </c>
      <c r="E4665" t="s">
        <v>12</v>
      </c>
      <c r="F4665">
        <v>131661903</v>
      </c>
      <c r="G4665">
        <v>131661939</v>
      </c>
      <c r="H4665">
        <v>131661903</v>
      </c>
      <c r="I4665">
        <v>131661939</v>
      </c>
    </row>
    <row r="4666" spans="1:9" x14ac:dyDescent="0.2">
      <c r="A4666" t="str">
        <f>"Ctse"</f>
        <v>Ctse</v>
      </c>
      <c r="B4666" t="s">
        <v>13</v>
      </c>
      <c r="C4666" t="s">
        <v>19</v>
      </c>
      <c r="D4666" t="s">
        <v>17</v>
      </c>
      <c r="E4666" t="s">
        <v>12</v>
      </c>
      <c r="F4666">
        <v>131638440</v>
      </c>
      <c r="G4666">
        <v>131638484</v>
      </c>
      <c r="H4666">
        <v>131638440</v>
      </c>
      <c r="I4666">
        <v>131638484</v>
      </c>
    </row>
    <row r="4667" spans="1:9" x14ac:dyDescent="0.2">
      <c r="A4667" t="str">
        <f>"Ctsf"</f>
        <v>Ctsf</v>
      </c>
      <c r="B4667" t="s">
        <v>14</v>
      </c>
      <c r="C4667" t="s">
        <v>10</v>
      </c>
      <c r="D4667" t="s">
        <v>17</v>
      </c>
      <c r="E4667" t="s">
        <v>12</v>
      </c>
      <c r="F4667">
        <v>4855147</v>
      </c>
      <c r="G4667">
        <v>4855269</v>
      </c>
      <c r="H4667">
        <v>4855125</v>
      </c>
      <c r="I4667">
        <v>4855134</v>
      </c>
    </row>
    <row r="4668" spans="1:9" x14ac:dyDescent="0.2">
      <c r="A4668" t="str">
        <f>"Ctsg"</f>
        <v>Ctsg</v>
      </c>
      <c r="B4668" t="s">
        <v>14</v>
      </c>
      <c r="C4668" t="s">
        <v>41</v>
      </c>
      <c r="D4668" t="s">
        <v>11</v>
      </c>
      <c r="E4668" t="s">
        <v>12</v>
      </c>
      <c r="F4668">
        <v>56102458</v>
      </c>
      <c r="G4668">
        <v>56102472</v>
      </c>
      <c r="H4668">
        <v>56102458</v>
      </c>
      <c r="I4668">
        <v>56102472</v>
      </c>
    </row>
    <row r="4669" spans="1:9" x14ac:dyDescent="0.2">
      <c r="A4669" t="str">
        <f>"Ctsh"</f>
        <v>Ctsh</v>
      </c>
      <c r="B4669" t="s">
        <v>14</v>
      </c>
      <c r="C4669" t="s">
        <v>24</v>
      </c>
      <c r="D4669" t="s">
        <v>17</v>
      </c>
      <c r="E4669" t="s">
        <v>12</v>
      </c>
      <c r="F4669">
        <v>90054529</v>
      </c>
      <c r="G4669">
        <v>90054545</v>
      </c>
      <c r="H4669">
        <v>90054507</v>
      </c>
      <c r="I4669">
        <v>90054525</v>
      </c>
    </row>
    <row r="4670" spans="1:9" x14ac:dyDescent="0.2">
      <c r="A4670" t="str">
        <f>"Ctsj"</f>
        <v>Ctsj</v>
      </c>
      <c r="B4670" t="s">
        <v>14</v>
      </c>
      <c r="C4670" t="s">
        <v>39</v>
      </c>
      <c r="D4670" t="s">
        <v>11</v>
      </c>
      <c r="E4670" t="s">
        <v>12</v>
      </c>
      <c r="F4670">
        <v>61005918</v>
      </c>
      <c r="G4670">
        <v>61005930</v>
      </c>
      <c r="H4670">
        <v>61005918</v>
      </c>
      <c r="I4670">
        <v>61005930</v>
      </c>
    </row>
    <row r="4671" spans="1:9" x14ac:dyDescent="0.2">
      <c r="A4671" t="str">
        <f>"Ctsk"</f>
        <v>Ctsk</v>
      </c>
      <c r="B4671" t="s">
        <v>14</v>
      </c>
      <c r="C4671" t="s">
        <v>22</v>
      </c>
      <c r="D4671" t="s">
        <v>17</v>
      </c>
      <c r="E4671" t="s">
        <v>12</v>
      </c>
      <c r="F4671">
        <v>95499273</v>
      </c>
      <c r="G4671">
        <v>95499289</v>
      </c>
      <c r="H4671">
        <v>95499256</v>
      </c>
      <c r="I4671">
        <v>95499265</v>
      </c>
    </row>
    <row r="4672" spans="1:9" x14ac:dyDescent="0.2">
      <c r="A4672" t="str">
        <f>"Ctsl"</f>
        <v>Ctsl</v>
      </c>
      <c r="B4672" t="s">
        <v>14</v>
      </c>
      <c r="C4672" t="s">
        <v>39</v>
      </c>
      <c r="D4672" t="s">
        <v>11</v>
      </c>
      <c r="E4672" t="s">
        <v>12</v>
      </c>
      <c r="F4672">
        <v>64370298</v>
      </c>
      <c r="G4672">
        <v>64370315</v>
      </c>
      <c r="H4672">
        <v>64370345</v>
      </c>
      <c r="I4672">
        <v>64370362</v>
      </c>
    </row>
    <row r="4673" spans="1:9" x14ac:dyDescent="0.2">
      <c r="A4673" t="str">
        <f>"Ctsll3"</f>
        <v>Ctsll3</v>
      </c>
      <c r="B4673" t="s">
        <v>2326</v>
      </c>
      <c r="C4673" t="s">
        <v>39</v>
      </c>
      <c r="D4673" t="s">
        <v>11</v>
      </c>
      <c r="E4673" t="s">
        <v>20</v>
      </c>
      <c r="F4673">
        <v>60802843</v>
      </c>
      <c r="G4673">
        <v>60802843</v>
      </c>
      <c r="H4673">
        <v>60802843</v>
      </c>
      <c r="I4673">
        <v>60802843</v>
      </c>
    </row>
    <row r="4674" spans="1:9" x14ac:dyDescent="0.2">
      <c r="A4674" t="str">
        <f>"Ctsm"</f>
        <v>Ctsm</v>
      </c>
      <c r="B4674" t="s">
        <v>14</v>
      </c>
      <c r="C4674" t="s">
        <v>39</v>
      </c>
      <c r="D4674" t="s">
        <v>11</v>
      </c>
      <c r="E4674" t="s">
        <v>12</v>
      </c>
      <c r="F4674">
        <v>61541828</v>
      </c>
      <c r="G4674">
        <v>61541842</v>
      </c>
      <c r="H4674">
        <v>61541892</v>
      </c>
      <c r="I4674">
        <v>61541900</v>
      </c>
    </row>
    <row r="4675" spans="1:9" x14ac:dyDescent="0.2">
      <c r="A4675" t="str">
        <f>"Ctso"</f>
        <v>Ctso</v>
      </c>
      <c r="B4675" t="s">
        <v>14</v>
      </c>
      <c r="C4675" t="s">
        <v>22</v>
      </c>
      <c r="D4675" t="s">
        <v>17</v>
      </c>
      <c r="E4675" t="s">
        <v>12</v>
      </c>
      <c r="F4675">
        <v>81932635</v>
      </c>
      <c r="G4675">
        <v>81932664</v>
      </c>
      <c r="H4675">
        <v>81932608</v>
      </c>
      <c r="I4675">
        <v>81932634</v>
      </c>
    </row>
    <row r="4676" spans="1:9" x14ac:dyDescent="0.2">
      <c r="A4676" t="str">
        <f>"Ctsq"</f>
        <v>Ctsq</v>
      </c>
      <c r="B4676" t="s">
        <v>14</v>
      </c>
      <c r="C4676" t="s">
        <v>39</v>
      </c>
      <c r="D4676" t="s">
        <v>11</v>
      </c>
      <c r="E4676" t="s">
        <v>12</v>
      </c>
      <c r="F4676">
        <v>61040614</v>
      </c>
      <c r="G4676">
        <v>61040637</v>
      </c>
      <c r="H4676">
        <v>61040614</v>
      </c>
      <c r="I4676">
        <v>61040637</v>
      </c>
    </row>
    <row r="4677" spans="1:9" x14ac:dyDescent="0.2">
      <c r="A4677" t="str">
        <f>"Ctsr"</f>
        <v>Ctsr</v>
      </c>
      <c r="B4677" t="s">
        <v>14</v>
      </c>
      <c r="C4677" t="s">
        <v>39</v>
      </c>
      <c r="D4677" t="s">
        <v>11</v>
      </c>
      <c r="E4677" t="s">
        <v>12</v>
      </c>
      <c r="F4677">
        <v>61164197</v>
      </c>
      <c r="G4677">
        <v>61164210</v>
      </c>
      <c r="H4677">
        <v>61164211</v>
      </c>
      <c r="I4677">
        <v>61164215</v>
      </c>
    </row>
    <row r="4678" spans="1:9" x14ac:dyDescent="0.2">
      <c r="A4678" t="str">
        <f>"Ctss"</f>
        <v>Ctss</v>
      </c>
      <c r="B4678" t="s">
        <v>14</v>
      </c>
      <c r="C4678" t="s">
        <v>22</v>
      </c>
      <c r="D4678" t="s">
        <v>17</v>
      </c>
      <c r="E4678" t="s">
        <v>12</v>
      </c>
      <c r="F4678">
        <v>95526819</v>
      </c>
      <c r="G4678">
        <v>95526871</v>
      </c>
      <c r="H4678">
        <v>95526777</v>
      </c>
      <c r="I4678">
        <v>95526797</v>
      </c>
    </row>
    <row r="4679" spans="1:9" x14ac:dyDescent="0.2">
      <c r="A4679" t="str">
        <f>"Ctsw"</f>
        <v>Ctsw</v>
      </c>
      <c r="B4679" t="s">
        <v>14</v>
      </c>
      <c r="C4679" t="s">
        <v>10</v>
      </c>
      <c r="D4679" t="s">
        <v>11</v>
      </c>
      <c r="E4679" t="s">
        <v>12</v>
      </c>
      <c r="F4679">
        <v>5468487</v>
      </c>
      <c r="G4679">
        <v>5468506</v>
      </c>
      <c r="H4679">
        <v>5468487</v>
      </c>
      <c r="I4679">
        <v>5468506</v>
      </c>
    </row>
    <row r="4680" spans="1:9" x14ac:dyDescent="0.2">
      <c r="A4680" t="str">
        <f>"Ctsz"</f>
        <v>Ctsz</v>
      </c>
      <c r="B4680" t="s">
        <v>14</v>
      </c>
      <c r="C4680" t="s">
        <v>26</v>
      </c>
      <c r="D4680" t="s">
        <v>11</v>
      </c>
      <c r="E4680" t="s">
        <v>12</v>
      </c>
      <c r="F4680">
        <v>174438897</v>
      </c>
      <c r="G4680">
        <v>174438938</v>
      </c>
      <c r="H4680">
        <v>174438961</v>
      </c>
      <c r="I4680">
        <v>174438995</v>
      </c>
    </row>
    <row r="4681" spans="1:9" x14ac:dyDescent="0.2">
      <c r="A4681" t="str">
        <f>"Cttn"</f>
        <v>Cttn</v>
      </c>
      <c r="B4681" t="s">
        <v>9</v>
      </c>
      <c r="C4681" t="s">
        <v>33</v>
      </c>
      <c r="D4681" t="s">
        <v>11</v>
      </c>
      <c r="E4681" t="s">
        <v>12</v>
      </c>
      <c r="F4681">
        <v>144470714</v>
      </c>
      <c r="G4681">
        <v>144470770</v>
      </c>
      <c r="H4681">
        <v>144470714</v>
      </c>
      <c r="I4681">
        <v>144470770</v>
      </c>
    </row>
    <row r="4682" spans="1:9" x14ac:dyDescent="0.2">
      <c r="A4682" t="str">
        <f>"Cttn"</f>
        <v>Cttn</v>
      </c>
      <c r="B4682" t="s">
        <v>13</v>
      </c>
      <c r="C4682" t="s">
        <v>33</v>
      </c>
      <c r="D4682" t="s">
        <v>11</v>
      </c>
      <c r="E4682" t="s">
        <v>12</v>
      </c>
      <c r="F4682">
        <v>144449767</v>
      </c>
      <c r="G4682">
        <v>144449785</v>
      </c>
      <c r="H4682">
        <v>144449767</v>
      </c>
      <c r="I4682">
        <v>144449785</v>
      </c>
    </row>
    <row r="4683" spans="1:9" x14ac:dyDescent="0.2">
      <c r="A4683" t="str">
        <f>"Cttnbp2"</f>
        <v>Cttnbp2</v>
      </c>
      <c r="B4683" t="s">
        <v>14</v>
      </c>
      <c r="C4683" t="s">
        <v>32</v>
      </c>
      <c r="D4683" t="s">
        <v>11</v>
      </c>
      <c r="E4683" t="s">
        <v>12</v>
      </c>
      <c r="F4683">
        <v>18514802</v>
      </c>
      <c r="G4683">
        <v>18514860</v>
      </c>
      <c r="H4683">
        <v>18514741</v>
      </c>
      <c r="I4683">
        <v>18514770</v>
      </c>
    </row>
    <row r="4684" spans="1:9" x14ac:dyDescent="0.2">
      <c r="A4684" t="str">
        <f>"Cttnbp2nl"</f>
        <v>Cttnbp2nl</v>
      </c>
      <c r="B4684" t="s">
        <v>14</v>
      </c>
      <c r="C4684" t="s">
        <v>22</v>
      </c>
      <c r="D4684" t="s">
        <v>11</v>
      </c>
      <c r="E4684" t="s">
        <v>12</v>
      </c>
      <c r="F4684">
        <v>105052916</v>
      </c>
      <c r="G4684">
        <v>105052938</v>
      </c>
      <c r="H4684">
        <v>105052948</v>
      </c>
      <c r="I4684">
        <v>105052987</v>
      </c>
    </row>
    <row r="4685" spans="1:9" x14ac:dyDescent="0.2">
      <c r="A4685" t="str">
        <f>"Ctu1"</f>
        <v>Ctu1</v>
      </c>
      <c r="B4685" t="s">
        <v>14</v>
      </c>
      <c r="C4685" t="s">
        <v>33</v>
      </c>
      <c r="D4685" t="s">
        <v>17</v>
      </c>
      <c r="E4685" t="s">
        <v>12</v>
      </c>
      <c r="F4685">
        <v>43672003</v>
      </c>
      <c r="G4685">
        <v>43672040</v>
      </c>
      <c r="H4685">
        <v>43672041</v>
      </c>
      <c r="I4685">
        <v>43672057</v>
      </c>
    </row>
    <row r="4686" spans="1:9" x14ac:dyDescent="0.2">
      <c r="A4686" t="str">
        <f>"Ctu2"</f>
        <v>Ctu2</v>
      </c>
      <c r="B4686" t="s">
        <v>14</v>
      </c>
      <c r="C4686" t="s">
        <v>30</v>
      </c>
      <c r="D4686" t="s">
        <v>17</v>
      </c>
      <c r="E4686" t="s">
        <v>12</v>
      </c>
      <c r="F4686">
        <v>122476152</v>
      </c>
      <c r="G4686">
        <v>122476194</v>
      </c>
      <c r="H4686">
        <v>122476196</v>
      </c>
      <c r="I4686">
        <v>122476223</v>
      </c>
    </row>
    <row r="4687" spans="1:9" x14ac:dyDescent="0.2">
      <c r="A4687" t="str">
        <f>"Ctxn1"</f>
        <v>Ctxn1</v>
      </c>
      <c r="B4687" t="s">
        <v>14</v>
      </c>
      <c r="C4687" t="s">
        <v>30</v>
      </c>
      <c r="D4687" t="s">
        <v>11</v>
      </c>
      <c r="E4687" t="s">
        <v>12</v>
      </c>
      <c r="F4687">
        <v>4259207</v>
      </c>
      <c r="G4687">
        <v>4259248</v>
      </c>
      <c r="H4687">
        <v>4259137</v>
      </c>
      <c r="I4687">
        <v>4259172</v>
      </c>
    </row>
    <row r="4688" spans="1:9" x14ac:dyDescent="0.2">
      <c r="A4688" t="str">
        <f>"Ctxn2"</f>
        <v>Ctxn2</v>
      </c>
      <c r="B4688" t="s">
        <v>14</v>
      </c>
      <c r="C4688" t="s">
        <v>26</v>
      </c>
      <c r="D4688" t="s">
        <v>17</v>
      </c>
      <c r="E4688" t="s">
        <v>12</v>
      </c>
      <c r="F4688">
        <v>125136598</v>
      </c>
      <c r="G4688">
        <v>125136623</v>
      </c>
      <c r="H4688">
        <v>125136748</v>
      </c>
      <c r="I4688">
        <v>125136769</v>
      </c>
    </row>
    <row r="4689" spans="1:9" x14ac:dyDescent="0.2">
      <c r="A4689" t="str">
        <f>"Ctxn3"</f>
        <v>Ctxn3</v>
      </c>
      <c r="B4689" t="s">
        <v>14</v>
      </c>
      <c r="C4689" t="s">
        <v>43</v>
      </c>
      <c r="D4689" t="s">
        <v>17</v>
      </c>
      <c r="E4689" t="s">
        <v>12</v>
      </c>
      <c r="F4689">
        <v>57468478</v>
      </c>
      <c r="G4689">
        <v>57468541</v>
      </c>
      <c r="H4689">
        <v>57468478</v>
      </c>
      <c r="I4689">
        <v>57468541</v>
      </c>
    </row>
    <row r="4690" spans="1:9" x14ac:dyDescent="0.2">
      <c r="A4690" t="str">
        <f>"Cubn"</f>
        <v>Cubn</v>
      </c>
      <c r="B4690" t="s">
        <v>14</v>
      </c>
      <c r="C4690" t="s">
        <v>26</v>
      </c>
      <c r="D4690" t="s">
        <v>11</v>
      </c>
      <c r="E4690" t="s">
        <v>12</v>
      </c>
      <c r="F4690">
        <v>13491847</v>
      </c>
      <c r="G4690">
        <v>13491890</v>
      </c>
      <c r="H4690">
        <v>13491977</v>
      </c>
      <c r="I4690">
        <v>13492025</v>
      </c>
    </row>
    <row r="4691" spans="1:9" x14ac:dyDescent="0.2">
      <c r="A4691" t="str">
        <f>"Cuedc1"</f>
        <v>Cuedc1</v>
      </c>
      <c r="B4691" t="s">
        <v>14</v>
      </c>
      <c r="C4691" t="s">
        <v>27</v>
      </c>
      <c r="D4691" t="s">
        <v>17</v>
      </c>
      <c r="E4691" t="s">
        <v>12</v>
      </c>
      <c r="F4691">
        <v>88099203</v>
      </c>
      <c r="G4691">
        <v>88099254</v>
      </c>
      <c r="H4691">
        <v>88099284</v>
      </c>
      <c r="I4691">
        <v>88099311</v>
      </c>
    </row>
    <row r="4692" spans="1:9" x14ac:dyDescent="0.2">
      <c r="A4692" t="str">
        <f>"Cuedc2"</f>
        <v>Cuedc2</v>
      </c>
      <c r="B4692" t="s">
        <v>14</v>
      </c>
      <c r="C4692" t="s">
        <v>10</v>
      </c>
      <c r="D4692" t="s">
        <v>11</v>
      </c>
      <c r="E4692" t="s">
        <v>12</v>
      </c>
      <c r="F4692">
        <v>46338589</v>
      </c>
      <c r="G4692">
        <v>46338630</v>
      </c>
      <c r="H4692">
        <v>46338632</v>
      </c>
      <c r="I4692">
        <v>46338670</v>
      </c>
    </row>
    <row r="4693" spans="1:9" x14ac:dyDescent="0.2">
      <c r="A4693" t="str">
        <f>"Cul1"</f>
        <v>Cul1</v>
      </c>
      <c r="B4693" t="s">
        <v>14</v>
      </c>
      <c r="C4693" t="s">
        <v>32</v>
      </c>
      <c r="D4693" t="s">
        <v>17</v>
      </c>
      <c r="E4693" t="s">
        <v>12</v>
      </c>
      <c r="F4693">
        <v>47454340</v>
      </c>
      <c r="G4693">
        <v>47454423</v>
      </c>
      <c r="H4693">
        <v>47453913</v>
      </c>
      <c r="I4693">
        <v>47453929</v>
      </c>
    </row>
    <row r="4694" spans="1:9" x14ac:dyDescent="0.2">
      <c r="A4694" t="str">
        <f>"Cul2"</f>
        <v>Cul2</v>
      </c>
      <c r="B4694" t="s">
        <v>14</v>
      </c>
      <c r="C4694" t="s">
        <v>43</v>
      </c>
      <c r="D4694" t="s">
        <v>17</v>
      </c>
      <c r="E4694" t="s">
        <v>12</v>
      </c>
      <c r="F4694">
        <v>3383223</v>
      </c>
      <c r="G4694">
        <v>3383263</v>
      </c>
      <c r="H4694">
        <v>3382979</v>
      </c>
      <c r="I4694">
        <v>3383065</v>
      </c>
    </row>
    <row r="4695" spans="1:9" x14ac:dyDescent="0.2">
      <c r="A4695" t="str">
        <f>"Cul3"</f>
        <v>Cul3</v>
      </c>
      <c r="B4695" t="s">
        <v>14</v>
      </c>
      <c r="C4695" t="s">
        <v>19</v>
      </c>
      <c r="D4695" t="s">
        <v>11</v>
      </c>
      <c r="E4695" t="s">
        <v>12</v>
      </c>
      <c r="F4695">
        <v>80340680</v>
      </c>
      <c r="G4695">
        <v>80340820</v>
      </c>
      <c r="H4695">
        <v>80340617</v>
      </c>
      <c r="I4695">
        <v>80340648</v>
      </c>
    </row>
    <row r="4696" spans="1:9" x14ac:dyDescent="0.2">
      <c r="A4696" t="str">
        <f>"Cul4a"</f>
        <v>Cul4a</v>
      </c>
      <c r="B4696" t="s">
        <v>14</v>
      </c>
      <c r="C4696" t="s">
        <v>30</v>
      </c>
      <c r="D4696" t="s">
        <v>17</v>
      </c>
      <c r="E4696" t="s">
        <v>12</v>
      </c>
      <c r="F4696">
        <v>13105715</v>
      </c>
      <c r="G4696">
        <v>13105764</v>
      </c>
      <c r="H4696">
        <v>13105777</v>
      </c>
      <c r="I4696">
        <v>13105788</v>
      </c>
    </row>
    <row r="4697" spans="1:9" x14ac:dyDescent="0.2">
      <c r="A4697" t="str">
        <f>"Cul4b"</f>
        <v>Cul4b</v>
      </c>
      <c r="B4697" t="s">
        <v>14</v>
      </c>
      <c r="C4697" t="s">
        <v>37</v>
      </c>
      <c r="D4697" t="s">
        <v>11</v>
      </c>
      <c r="E4697" t="s">
        <v>12</v>
      </c>
      <c r="F4697">
        <v>38564991</v>
      </c>
      <c r="G4697">
        <v>38565024</v>
      </c>
      <c r="H4697">
        <v>38564635</v>
      </c>
      <c r="I4697">
        <v>38564671</v>
      </c>
    </row>
    <row r="4698" spans="1:9" x14ac:dyDescent="0.2">
      <c r="A4698" t="str">
        <f>"Cul5"</f>
        <v>Cul5</v>
      </c>
      <c r="B4698" t="s">
        <v>14</v>
      </c>
      <c r="C4698" t="s">
        <v>24</v>
      </c>
      <c r="D4698" t="s">
        <v>11</v>
      </c>
      <c r="E4698" t="s">
        <v>12</v>
      </c>
      <c r="F4698">
        <v>53667429</v>
      </c>
      <c r="G4698">
        <v>53667521</v>
      </c>
      <c r="H4698">
        <v>53667060</v>
      </c>
      <c r="I4698">
        <v>53667103</v>
      </c>
    </row>
    <row r="4699" spans="1:9" x14ac:dyDescent="0.2">
      <c r="A4699" t="str">
        <f>"Cul7"</f>
        <v>Cul7</v>
      </c>
      <c r="B4699" t="s">
        <v>14</v>
      </c>
      <c r="C4699" t="s">
        <v>28</v>
      </c>
      <c r="D4699" t="s">
        <v>17</v>
      </c>
      <c r="E4699" t="s">
        <v>12</v>
      </c>
      <c r="F4699">
        <v>46650608</v>
      </c>
      <c r="G4699">
        <v>46650634</v>
      </c>
      <c r="H4699">
        <v>46650642</v>
      </c>
      <c r="I4699">
        <v>46650661</v>
      </c>
    </row>
    <row r="4700" spans="1:9" x14ac:dyDescent="0.2">
      <c r="A4700" t="str">
        <f>"Cul9"</f>
        <v>Cul9</v>
      </c>
      <c r="B4700" t="s">
        <v>9</v>
      </c>
      <c r="C4700" t="s">
        <v>28</v>
      </c>
      <c r="D4700" t="s">
        <v>11</v>
      </c>
      <c r="E4700" t="s">
        <v>12</v>
      </c>
      <c r="F4700">
        <v>46546275</v>
      </c>
      <c r="G4700">
        <v>46546333</v>
      </c>
      <c r="H4700">
        <v>46546275</v>
      </c>
      <c r="I4700">
        <v>46546333</v>
      </c>
    </row>
    <row r="4701" spans="1:9" x14ac:dyDescent="0.2">
      <c r="A4701" t="str">
        <f>"Cul9"</f>
        <v>Cul9</v>
      </c>
      <c r="B4701" t="s">
        <v>13</v>
      </c>
      <c r="C4701" t="s">
        <v>28</v>
      </c>
      <c r="D4701" t="s">
        <v>11</v>
      </c>
      <c r="E4701" t="s">
        <v>12</v>
      </c>
      <c r="F4701">
        <v>46520678</v>
      </c>
      <c r="G4701">
        <v>46520716</v>
      </c>
      <c r="H4701">
        <v>46520678</v>
      </c>
      <c r="I4701">
        <v>46520716</v>
      </c>
    </row>
    <row r="4702" spans="1:9" x14ac:dyDescent="0.2">
      <c r="A4702" t="str">
        <f>"Cuta"</f>
        <v>Cuta</v>
      </c>
      <c r="B4702" t="s">
        <v>14</v>
      </c>
      <c r="C4702" t="s">
        <v>28</v>
      </c>
      <c r="D4702" t="s">
        <v>11</v>
      </c>
      <c r="E4702" t="s">
        <v>12</v>
      </c>
      <c r="F4702">
        <v>26939464</v>
      </c>
      <c r="G4702">
        <v>26939525</v>
      </c>
      <c r="H4702">
        <v>26939439</v>
      </c>
      <c r="I4702">
        <v>26939463</v>
      </c>
    </row>
    <row r="4703" spans="1:9" x14ac:dyDescent="0.2">
      <c r="A4703" t="str">
        <f>"Cutal"</f>
        <v>Cutal</v>
      </c>
      <c r="B4703" t="s">
        <v>14</v>
      </c>
      <c r="C4703" t="s">
        <v>26</v>
      </c>
      <c r="D4703" t="s">
        <v>17</v>
      </c>
      <c r="E4703" t="s">
        <v>67</v>
      </c>
      <c r="F4703">
        <v>34874412</v>
      </c>
      <c r="G4703">
        <v>34874481</v>
      </c>
      <c r="H4703">
        <v>34874486</v>
      </c>
      <c r="I4703">
        <v>34874515</v>
      </c>
    </row>
    <row r="4704" spans="1:9" x14ac:dyDescent="0.2">
      <c r="A4704" t="str">
        <f>"Cutc"</f>
        <v>Cutc</v>
      </c>
      <c r="B4704" t="s">
        <v>14</v>
      </c>
      <c r="C4704" t="s">
        <v>10</v>
      </c>
      <c r="D4704" t="s">
        <v>17</v>
      </c>
      <c r="E4704" t="s">
        <v>12</v>
      </c>
      <c r="F4704">
        <v>43753074</v>
      </c>
      <c r="G4704">
        <v>43753110</v>
      </c>
      <c r="H4704">
        <v>43753004</v>
      </c>
      <c r="I4704">
        <v>43753063</v>
      </c>
    </row>
    <row r="4705" spans="1:9" x14ac:dyDescent="0.2">
      <c r="A4705" t="str">
        <f>"Cux1"</f>
        <v>Cux1</v>
      </c>
      <c r="B4705" t="s">
        <v>14</v>
      </c>
      <c r="C4705" t="s">
        <v>46</v>
      </c>
      <c r="D4705" t="s">
        <v>11</v>
      </c>
      <c r="E4705" t="s">
        <v>12</v>
      </c>
      <c r="F4705">
        <v>136567242</v>
      </c>
      <c r="G4705">
        <v>136567287</v>
      </c>
      <c r="H4705">
        <v>136567307</v>
      </c>
      <c r="I4705">
        <v>136567320</v>
      </c>
    </row>
    <row r="4706" spans="1:9" x14ac:dyDescent="0.2">
      <c r="A4706" t="str">
        <f>"Cuzd1"</f>
        <v>Cuzd1</v>
      </c>
      <c r="B4706" t="s">
        <v>14</v>
      </c>
      <c r="C4706" t="s">
        <v>33</v>
      </c>
      <c r="D4706" t="s">
        <v>11</v>
      </c>
      <c r="E4706" t="s">
        <v>12</v>
      </c>
      <c r="F4706">
        <v>131322052</v>
      </c>
      <c r="G4706">
        <v>131322069</v>
      </c>
      <c r="H4706">
        <v>131322052</v>
      </c>
      <c r="I4706">
        <v>131322069</v>
      </c>
    </row>
    <row r="4707" spans="1:9" x14ac:dyDescent="0.2">
      <c r="A4707" t="str">
        <f>"Cwc15"</f>
        <v>Cwc15</v>
      </c>
      <c r="B4707" t="s">
        <v>14</v>
      </c>
      <c r="C4707" t="s">
        <v>24</v>
      </c>
      <c r="D4707" t="s">
        <v>17</v>
      </c>
      <c r="E4707" t="s">
        <v>12</v>
      </c>
      <c r="F4707">
        <v>14500660</v>
      </c>
      <c r="G4707">
        <v>14500737</v>
      </c>
      <c r="H4707">
        <v>14500625</v>
      </c>
      <c r="I4707">
        <v>14500651</v>
      </c>
    </row>
    <row r="4708" spans="1:9" x14ac:dyDescent="0.2">
      <c r="A4708" t="str">
        <f>"Cwc22"</f>
        <v>Cwc22</v>
      </c>
      <c r="B4708" t="s">
        <v>14</v>
      </c>
      <c r="C4708" t="s">
        <v>26</v>
      </c>
      <c r="D4708" t="s">
        <v>11</v>
      </c>
      <c r="E4708" t="s">
        <v>12</v>
      </c>
      <c r="F4708">
        <v>77946183</v>
      </c>
      <c r="G4708">
        <v>77946199</v>
      </c>
      <c r="H4708">
        <v>77946331</v>
      </c>
      <c r="I4708">
        <v>77946373</v>
      </c>
    </row>
    <row r="4709" spans="1:9" x14ac:dyDescent="0.2">
      <c r="A4709" t="str">
        <f>"Cwc25"</f>
        <v>Cwc25</v>
      </c>
      <c r="B4709" t="s">
        <v>14</v>
      </c>
      <c r="C4709" t="s">
        <v>27</v>
      </c>
      <c r="D4709" t="s">
        <v>11</v>
      </c>
      <c r="E4709" t="s">
        <v>12</v>
      </c>
      <c r="F4709">
        <v>97766508</v>
      </c>
      <c r="G4709">
        <v>97766574</v>
      </c>
      <c r="H4709">
        <v>97766583</v>
      </c>
      <c r="I4709">
        <v>97766593</v>
      </c>
    </row>
    <row r="4710" spans="1:9" x14ac:dyDescent="0.2">
      <c r="A4710" t="str">
        <f>"Cwc27"</f>
        <v>Cwc27</v>
      </c>
      <c r="B4710" t="s">
        <v>14</v>
      </c>
      <c r="C4710" t="s">
        <v>39</v>
      </c>
      <c r="D4710" t="s">
        <v>11</v>
      </c>
      <c r="E4710" t="s">
        <v>12</v>
      </c>
      <c r="F4710">
        <v>104816908</v>
      </c>
      <c r="G4710">
        <v>104816951</v>
      </c>
      <c r="H4710">
        <v>104816868</v>
      </c>
      <c r="I4710">
        <v>104816886</v>
      </c>
    </row>
    <row r="4711" spans="1:9" x14ac:dyDescent="0.2">
      <c r="A4711" t="str">
        <f>"Cwf19l1"</f>
        <v>Cwf19l1</v>
      </c>
      <c r="B4711" t="s">
        <v>14</v>
      </c>
      <c r="C4711" t="s">
        <v>10</v>
      </c>
      <c r="D4711" t="s">
        <v>11</v>
      </c>
      <c r="E4711" t="s">
        <v>12</v>
      </c>
      <c r="F4711">
        <v>44135816</v>
      </c>
      <c r="G4711">
        <v>44135881</v>
      </c>
      <c r="H4711">
        <v>44135816</v>
      </c>
      <c r="I4711">
        <v>44135881</v>
      </c>
    </row>
    <row r="4712" spans="1:9" x14ac:dyDescent="0.2">
      <c r="A4712" t="str">
        <f>"Cwf19l2"</f>
        <v>Cwf19l2</v>
      </c>
      <c r="B4712" t="s">
        <v>14</v>
      </c>
      <c r="C4712" t="s">
        <v>24</v>
      </c>
      <c r="D4712" t="s">
        <v>17</v>
      </c>
      <c r="E4712" t="s">
        <v>12</v>
      </c>
      <c r="F4712">
        <v>3404058</v>
      </c>
      <c r="G4712">
        <v>3404098</v>
      </c>
      <c r="H4712">
        <v>3404058</v>
      </c>
      <c r="I4712">
        <v>3404098</v>
      </c>
    </row>
    <row r="4713" spans="1:9" x14ac:dyDescent="0.2">
      <c r="A4713" t="str">
        <f>"Cwh43"</f>
        <v>Cwh43</v>
      </c>
      <c r="B4713" t="s">
        <v>14</v>
      </c>
      <c r="C4713" t="s">
        <v>46</v>
      </c>
      <c r="D4713" t="s">
        <v>17</v>
      </c>
      <c r="E4713" t="s">
        <v>12</v>
      </c>
      <c r="F4713">
        <v>73406218</v>
      </c>
      <c r="G4713">
        <v>73406268</v>
      </c>
      <c r="H4713">
        <v>73406088</v>
      </c>
      <c r="I4713">
        <v>73406097</v>
      </c>
    </row>
    <row r="4714" spans="1:9" x14ac:dyDescent="0.2">
      <c r="A4714" t="str">
        <f>"Cx3cl1"</f>
        <v>Cx3cl1</v>
      </c>
      <c r="B4714" t="s">
        <v>14</v>
      </c>
      <c r="C4714" t="s">
        <v>30</v>
      </c>
      <c r="D4714" t="s">
        <v>17</v>
      </c>
      <c r="E4714" t="s">
        <v>12</v>
      </c>
      <c r="F4714">
        <v>94772194</v>
      </c>
      <c r="G4714">
        <v>94772210</v>
      </c>
      <c r="H4714">
        <v>94771878</v>
      </c>
      <c r="I4714">
        <v>94771896</v>
      </c>
    </row>
    <row r="4715" spans="1:9" x14ac:dyDescent="0.2">
      <c r="A4715" t="str">
        <f>"Cx3cr1"</f>
        <v>Cx3cr1</v>
      </c>
      <c r="B4715" t="s">
        <v>14</v>
      </c>
      <c r="C4715" t="s">
        <v>24</v>
      </c>
      <c r="D4715" t="s">
        <v>11</v>
      </c>
      <c r="E4715" t="s">
        <v>12</v>
      </c>
      <c r="F4715">
        <v>120068263</v>
      </c>
      <c r="G4715">
        <v>120068291</v>
      </c>
      <c r="H4715">
        <v>120068294</v>
      </c>
      <c r="I4715">
        <v>120068299</v>
      </c>
    </row>
    <row r="4716" spans="1:9" x14ac:dyDescent="0.2">
      <c r="A4716" t="str">
        <f>"Cxadr"</f>
        <v>Cxadr</v>
      </c>
      <c r="B4716" t="s">
        <v>14</v>
      </c>
      <c r="C4716" t="s">
        <v>31</v>
      </c>
      <c r="D4716" t="s">
        <v>17</v>
      </c>
      <c r="E4716" t="s">
        <v>12</v>
      </c>
      <c r="F4716">
        <v>78301673</v>
      </c>
      <c r="G4716">
        <v>78301760</v>
      </c>
      <c r="H4716">
        <v>78301458</v>
      </c>
      <c r="I4716">
        <v>78301481</v>
      </c>
    </row>
    <row r="4717" spans="1:9" x14ac:dyDescent="0.2">
      <c r="A4717" t="str">
        <f>"Cxcl1"</f>
        <v>Cxcl1</v>
      </c>
      <c r="B4717" t="s">
        <v>14</v>
      </c>
      <c r="C4717" t="s">
        <v>46</v>
      </c>
      <c r="D4717" t="s">
        <v>17</v>
      </c>
      <c r="E4717" t="s">
        <v>12</v>
      </c>
      <c r="F4717">
        <v>90891234</v>
      </c>
      <c r="G4717">
        <v>90891250</v>
      </c>
      <c r="H4717">
        <v>90891234</v>
      </c>
      <c r="I4717">
        <v>90891250</v>
      </c>
    </row>
    <row r="4718" spans="1:9" x14ac:dyDescent="0.2">
      <c r="A4718" t="str">
        <f>"Cxcl10"</f>
        <v>Cxcl10</v>
      </c>
      <c r="B4718" t="s">
        <v>14</v>
      </c>
      <c r="C4718" t="s">
        <v>46</v>
      </c>
      <c r="D4718" t="s">
        <v>11</v>
      </c>
      <c r="E4718" t="s">
        <v>12</v>
      </c>
      <c r="F4718">
        <v>92348871</v>
      </c>
      <c r="G4718">
        <v>92348886</v>
      </c>
      <c r="H4718">
        <v>92348871</v>
      </c>
      <c r="I4718">
        <v>92348886</v>
      </c>
    </row>
    <row r="4719" spans="1:9" x14ac:dyDescent="0.2">
      <c r="A4719" t="str">
        <f>"Cxcl12"</f>
        <v>Cxcl12</v>
      </c>
      <c r="B4719" t="s">
        <v>14</v>
      </c>
      <c r="C4719" t="s">
        <v>32</v>
      </c>
      <c r="D4719" t="s">
        <v>17</v>
      </c>
      <c r="E4719" t="s">
        <v>12</v>
      </c>
      <c r="F4719">
        <v>117168566</v>
      </c>
      <c r="G4719">
        <v>117168584</v>
      </c>
      <c r="H4719">
        <v>117168103</v>
      </c>
      <c r="I4719">
        <v>117168133</v>
      </c>
    </row>
    <row r="4720" spans="1:9" x14ac:dyDescent="0.2">
      <c r="A4720" t="str">
        <f>"Cxcl13"</f>
        <v>Cxcl13</v>
      </c>
      <c r="B4720" t="s">
        <v>14</v>
      </c>
      <c r="C4720" t="s">
        <v>46</v>
      </c>
      <c r="D4720" t="s">
        <v>17</v>
      </c>
      <c r="E4720" t="s">
        <v>12</v>
      </c>
      <c r="F4720">
        <v>95956916</v>
      </c>
      <c r="G4720">
        <v>95956933</v>
      </c>
      <c r="H4720">
        <v>95956916</v>
      </c>
      <c r="I4720">
        <v>95956933</v>
      </c>
    </row>
    <row r="4721" spans="1:9" x14ac:dyDescent="0.2">
      <c r="A4721" t="str">
        <f>"Cxcl14"</f>
        <v>Cxcl14</v>
      </c>
      <c r="B4721" t="s">
        <v>14</v>
      </c>
      <c r="C4721" t="s">
        <v>39</v>
      </c>
      <c r="D4721" t="s">
        <v>11</v>
      </c>
      <c r="E4721" t="s">
        <v>12</v>
      </c>
      <c r="F4721">
        <v>56296373</v>
      </c>
      <c r="G4721">
        <v>56296399</v>
      </c>
      <c r="H4721">
        <v>56296327</v>
      </c>
      <c r="I4721">
        <v>56296347</v>
      </c>
    </row>
    <row r="4722" spans="1:9" x14ac:dyDescent="0.2">
      <c r="A4722" t="str">
        <f>"Cxcl15"</f>
        <v>Cxcl15</v>
      </c>
      <c r="B4722" t="s">
        <v>14</v>
      </c>
      <c r="C4722" t="s">
        <v>46</v>
      </c>
      <c r="D4722" t="s">
        <v>17</v>
      </c>
      <c r="E4722" t="s">
        <v>12</v>
      </c>
      <c r="F4722">
        <v>90794530</v>
      </c>
      <c r="G4722">
        <v>90794546</v>
      </c>
      <c r="H4722">
        <v>90794530</v>
      </c>
      <c r="I4722">
        <v>90794546</v>
      </c>
    </row>
    <row r="4723" spans="1:9" x14ac:dyDescent="0.2">
      <c r="A4723" t="str">
        <f>"Cxcl16"</f>
        <v>Cxcl16</v>
      </c>
      <c r="B4723" t="s">
        <v>14</v>
      </c>
      <c r="C4723" t="s">
        <v>27</v>
      </c>
      <c r="D4723" t="s">
        <v>11</v>
      </c>
      <c r="E4723" t="s">
        <v>12</v>
      </c>
      <c r="F4723">
        <v>70459656</v>
      </c>
      <c r="G4723">
        <v>70459705</v>
      </c>
      <c r="H4723">
        <v>70459879</v>
      </c>
      <c r="I4723">
        <v>70459919</v>
      </c>
    </row>
    <row r="4724" spans="1:9" x14ac:dyDescent="0.2">
      <c r="A4724" t="str">
        <f>"Cxcl17"</f>
        <v>Cxcl17</v>
      </c>
      <c r="B4724" t="s">
        <v>14</v>
      </c>
      <c r="C4724" t="s">
        <v>33</v>
      </c>
      <c r="D4724" t="s">
        <v>11</v>
      </c>
      <c r="E4724" t="s">
        <v>12</v>
      </c>
      <c r="F4724">
        <v>25412857</v>
      </c>
      <c r="G4724">
        <v>25412885</v>
      </c>
      <c r="H4724">
        <v>25412845</v>
      </c>
      <c r="I4724">
        <v>25412856</v>
      </c>
    </row>
    <row r="4725" spans="1:9" x14ac:dyDescent="0.2">
      <c r="A4725" t="str">
        <f>"Cxcl2"</f>
        <v>Cxcl2</v>
      </c>
      <c r="B4725" t="s">
        <v>14</v>
      </c>
      <c r="C4725" t="s">
        <v>46</v>
      </c>
      <c r="D4725" t="s">
        <v>17</v>
      </c>
      <c r="E4725" t="s">
        <v>12</v>
      </c>
      <c r="F4725">
        <v>90903864</v>
      </c>
      <c r="G4725">
        <v>90903880</v>
      </c>
      <c r="H4725">
        <v>90903864</v>
      </c>
      <c r="I4725">
        <v>90903880</v>
      </c>
    </row>
    <row r="4726" spans="1:9" x14ac:dyDescent="0.2">
      <c r="A4726" t="str">
        <f>"Cxcl3"</f>
        <v>Cxcl3</v>
      </c>
      <c r="B4726" t="s">
        <v>14</v>
      </c>
      <c r="C4726" t="s">
        <v>46</v>
      </c>
      <c r="D4726" t="s">
        <v>17</v>
      </c>
      <c r="E4726" t="s">
        <v>12</v>
      </c>
      <c r="F4726">
        <v>90786100</v>
      </c>
      <c r="G4726">
        <v>90786105</v>
      </c>
      <c r="H4726">
        <v>90786100</v>
      </c>
      <c r="I4726">
        <v>90786105</v>
      </c>
    </row>
    <row r="4727" spans="1:9" x14ac:dyDescent="0.2">
      <c r="A4727" t="str">
        <f>"Cxcl5"</f>
        <v>Cxcl5</v>
      </c>
      <c r="B4727" t="s">
        <v>14</v>
      </c>
      <c r="C4727" t="s">
        <v>46</v>
      </c>
      <c r="D4727" t="s">
        <v>17</v>
      </c>
      <c r="E4727" t="s">
        <v>12</v>
      </c>
      <c r="F4727">
        <v>90759349</v>
      </c>
      <c r="G4727">
        <v>90759367</v>
      </c>
      <c r="H4727">
        <v>90759349</v>
      </c>
      <c r="I4727">
        <v>90759367</v>
      </c>
    </row>
    <row r="4728" spans="1:9" x14ac:dyDescent="0.2">
      <c r="A4728" t="str">
        <f>"Cxcl9"</f>
        <v>Cxcl9</v>
      </c>
      <c r="B4728" t="s">
        <v>14</v>
      </c>
      <c r="C4728" t="s">
        <v>46</v>
      </c>
      <c r="D4728" t="s">
        <v>11</v>
      </c>
      <c r="E4728" t="s">
        <v>12</v>
      </c>
      <c r="F4728">
        <v>92328068</v>
      </c>
      <c r="G4728">
        <v>92328086</v>
      </c>
      <c r="H4728">
        <v>92328042</v>
      </c>
      <c r="I4728">
        <v>92328065</v>
      </c>
    </row>
    <row r="4729" spans="1:9" x14ac:dyDescent="0.2">
      <c r="A4729" t="str">
        <f>"Cxcr1"</f>
        <v>Cxcr1</v>
      </c>
      <c r="B4729" t="s">
        <v>14</v>
      </c>
      <c r="C4729" t="s">
        <v>19</v>
      </c>
      <c r="D4729" t="s">
        <v>11</v>
      </c>
      <c r="E4729" t="s">
        <v>12</v>
      </c>
      <c r="F4729">
        <v>74194653</v>
      </c>
      <c r="G4729">
        <v>74194658</v>
      </c>
      <c r="H4729">
        <v>74194653</v>
      </c>
      <c r="I4729">
        <v>74194658</v>
      </c>
    </row>
    <row r="4730" spans="1:9" x14ac:dyDescent="0.2">
      <c r="A4730" t="str">
        <f>"Cxcr2"</f>
        <v>Cxcr2</v>
      </c>
      <c r="B4730" t="s">
        <v>14</v>
      </c>
      <c r="C4730" t="s">
        <v>19</v>
      </c>
      <c r="D4730" t="s">
        <v>17</v>
      </c>
      <c r="E4730" t="s">
        <v>12</v>
      </c>
      <c r="F4730">
        <v>74153981</v>
      </c>
      <c r="G4730">
        <v>74154003</v>
      </c>
      <c r="H4730">
        <v>74154011</v>
      </c>
      <c r="I4730">
        <v>74154035</v>
      </c>
    </row>
    <row r="4731" spans="1:9" x14ac:dyDescent="0.2">
      <c r="A4731" t="str">
        <f>"Cxcr3"</f>
        <v>Cxcr3</v>
      </c>
      <c r="B4731" t="s">
        <v>14</v>
      </c>
      <c r="C4731" t="s">
        <v>37</v>
      </c>
      <c r="D4731" t="s">
        <v>11</v>
      </c>
      <c r="E4731" t="s">
        <v>12</v>
      </c>
      <c r="F4731">
        <v>101734125</v>
      </c>
      <c r="G4731">
        <v>101734142</v>
      </c>
      <c r="H4731">
        <v>101734079</v>
      </c>
      <c r="I4731">
        <v>101734100</v>
      </c>
    </row>
    <row r="4732" spans="1:9" x14ac:dyDescent="0.2">
      <c r="A4732" t="str">
        <f>"Cxcr4"</f>
        <v>Cxcr4</v>
      </c>
      <c r="B4732" t="s">
        <v>14</v>
      </c>
      <c r="C4732" t="s">
        <v>19</v>
      </c>
      <c r="D4732" t="s">
        <v>11</v>
      </c>
      <c r="E4732" t="s">
        <v>12</v>
      </c>
      <c r="F4732">
        <v>128592284</v>
      </c>
      <c r="G4732">
        <v>128592307</v>
      </c>
      <c r="H4732">
        <v>128592284</v>
      </c>
      <c r="I4732">
        <v>128592307</v>
      </c>
    </row>
    <row r="4733" spans="1:9" x14ac:dyDescent="0.2">
      <c r="A4733" t="str">
        <f>"Cxcr5"</f>
        <v>Cxcr5</v>
      </c>
      <c r="B4733" t="s">
        <v>14</v>
      </c>
      <c r="C4733" t="s">
        <v>24</v>
      </c>
      <c r="D4733" t="s">
        <v>11</v>
      </c>
      <c r="E4733" t="s">
        <v>12</v>
      </c>
      <c r="F4733">
        <v>44526397</v>
      </c>
      <c r="G4733">
        <v>44526423</v>
      </c>
      <c r="H4733">
        <v>44526424</v>
      </c>
      <c r="I4733">
        <v>44526440</v>
      </c>
    </row>
    <row r="4734" spans="1:9" x14ac:dyDescent="0.2">
      <c r="A4734" t="str">
        <f>"Cxcr6"</f>
        <v>Cxcr6</v>
      </c>
      <c r="B4734" t="s">
        <v>14</v>
      </c>
      <c r="C4734" t="s">
        <v>24</v>
      </c>
      <c r="D4734" t="s">
        <v>17</v>
      </c>
      <c r="E4734" t="s">
        <v>12</v>
      </c>
      <c r="F4734">
        <v>123806468</v>
      </c>
      <c r="G4734">
        <v>123806485</v>
      </c>
      <c r="H4734">
        <v>123806494</v>
      </c>
      <c r="I4734">
        <v>123806503</v>
      </c>
    </row>
    <row r="4735" spans="1:9" x14ac:dyDescent="0.2">
      <c r="A4735" t="str">
        <f>"Cxx1a"</f>
        <v>Cxx1a</v>
      </c>
      <c r="B4735" t="s">
        <v>9</v>
      </c>
      <c r="C4735" t="s">
        <v>37</v>
      </c>
      <c r="D4735" t="s">
        <v>11</v>
      </c>
      <c r="E4735" t="s">
        <v>12</v>
      </c>
      <c r="F4735">
        <v>53643717</v>
      </c>
      <c r="G4735">
        <v>53643769</v>
      </c>
      <c r="H4735">
        <v>53643717</v>
      </c>
      <c r="I4735">
        <v>53643769</v>
      </c>
    </row>
    <row r="4736" spans="1:9" x14ac:dyDescent="0.2">
      <c r="A4736" t="str">
        <f>"Cxx1a"</f>
        <v>Cxx1a</v>
      </c>
      <c r="B4736" t="s">
        <v>13</v>
      </c>
      <c r="C4736" t="s">
        <v>37</v>
      </c>
      <c r="D4736" t="s">
        <v>11</v>
      </c>
      <c r="E4736" t="s">
        <v>12</v>
      </c>
      <c r="F4736">
        <v>53670397</v>
      </c>
      <c r="G4736">
        <v>53670456</v>
      </c>
      <c r="H4736">
        <v>53670397</v>
      </c>
      <c r="I4736">
        <v>53670456</v>
      </c>
    </row>
    <row r="4737" spans="1:9" x14ac:dyDescent="0.2">
      <c r="A4737" t="str">
        <f>"Cxx1b"</f>
        <v>Cxx1b</v>
      </c>
      <c r="B4737" t="s">
        <v>9</v>
      </c>
      <c r="C4737" t="s">
        <v>37</v>
      </c>
      <c r="D4737" t="s">
        <v>11</v>
      </c>
      <c r="E4737" t="s">
        <v>12</v>
      </c>
      <c r="F4737">
        <v>53643717</v>
      </c>
      <c r="G4737">
        <v>53643769</v>
      </c>
      <c r="H4737">
        <v>53643717</v>
      </c>
      <c r="I4737">
        <v>53643769</v>
      </c>
    </row>
    <row r="4738" spans="1:9" x14ac:dyDescent="0.2">
      <c r="A4738" t="str">
        <f>"Cxx1b"</f>
        <v>Cxx1b</v>
      </c>
      <c r="B4738" t="s">
        <v>13</v>
      </c>
      <c r="C4738" t="s">
        <v>37</v>
      </c>
      <c r="D4738" t="s">
        <v>11</v>
      </c>
      <c r="E4738" t="s">
        <v>12</v>
      </c>
      <c r="F4738">
        <v>53670397</v>
      </c>
      <c r="G4738">
        <v>53670456</v>
      </c>
      <c r="H4738">
        <v>53670397</v>
      </c>
      <c r="I4738">
        <v>53670456</v>
      </c>
    </row>
    <row r="4739" spans="1:9" x14ac:dyDescent="0.2">
      <c r="A4739" t="str">
        <f>"Cxx1c"</f>
        <v>Cxx1c</v>
      </c>
      <c r="B4739" t="s">
        <v>14</v>
      </c>
      <c r="C4739" t="s">
        <v>37</v>
      </c>
      <c r="D4739" t="s">
        <v>17</v>
      </c>
      <c r="E4739" t="s">
        <v>12</v>
      </c>
      <c r="F4739">
        <v>53607892</v>
      </c>
      <c r="G4739">
        <v>53607916</v>
      </c>
      <c r="H4739">
        <v>53607987</v>
      </c>
      <c r="I4739">
        <v>53608015</v>
      </c>
    </row>
    <row r="4740" spans="1:9" x14ac:dyDescent="0.2">
      <c r="A4740" t="str">
        <f>"Cxxc1"</f>
        <v>Cxxc1</v>
      </c>
      <c r="B4740" t="s">
        <v>14</v>
      </c>
      <c r="C4740" t="s">
        <v>43</v>
      </c>
      <c r="D4740" t="s">
        <v>17</v>
      </c>
      <c r="E4740" t="s">
        <v>12</v>
      </c>
      <c r="F4740">
        <v>74216197</v>
      </c>
      <c r="G4740">
        <v>74216237</v>
      </c>
      <c r="H4740">
        <v>74216118</v>
      </c>
      <c r="I4740">
        <v>74216145</v>
      </c>
    </row>
    <row r="4741" spans="1:9" x14ac:dyDescent="0.2">
      <c r="A4741" t="str">
        <f>"Cxxc4"</f>
        <v>Cxxc4</v>
      </c>
      <c r="B4741" t="s">
        <v>14</v>
      </c>
      <c r="C4741" t="s">
        <v>22</v>
      </c>
      <c r="D4741" t="s">
        <v>17</v>
      </c>
      <c r="E4741" t="s">
        <v>12</v>
      </c>
      <c r="F4741">
        <v>134236483</v>
      </c>
      <c r="G4741">
        <v>134236500</v>
      </c>
      <c r="H4741">
        <v>134236331</v>
      </c>
      <c r="I4741">
        <v>134236373</v>
      </c>
    </row>
    <row r="4742" spans="1:9" x14ac:dyDescent="0.2">
      <c r="A4742" t="str">
        <f>"Cxxc5"</f>
        <v>Cxxc5</v>
      </c>
      <c r="B4742" t="s">
        <v>14</v>
      </c>
      <c r="C4742" t="s">
        <v>43</v>
      </c>
      <c r="D4742" t="s">
        <v>17</v>
      </c>
      <c r="E4742" t="s">
        <v>12</v>
      </c>
      <c r="F4742">
        <v>35829779</v>
      </c>
      <c r="G4742">
        <v>35829795</v>
      </c>
      <c r="H4742">
        <v>35829798</v>
      </c>
      <c r="I4742">
        <v>35829821</v>
      </c>
    </row>
    <row r="4743" spans="1:9" x14ac:dyDescent="0.2">
      <c r="A4743" t="str">
        <f>"Cyb5"</f>
        <v>Cyb5</v>
      </c>
      <c r="B4743" t="s">
        <v>14</v>
      </c>
      <c r="C4743" t="s">
        <v>43</v>
      </c>
      <c r="D4743" t="s">
        <v>17</v>
      </c>
      <c r="E4743" t="s">
        <v>12</v>
      </c>
      <c r="F4743">
        <v>84851407</v>
      </c>
      <c r="G4743">
        <v>84851429</v>
      </c>
      <c r="H4743">
        <v>84851892</v>
      </c>
      <c r="I4743">
        <v>84851926</v>
      </c>
    </row>
    <row r="4744" spans="1:9" x14ac:dyDescent="0.2">
      <c r="A4744" t="str">
        <f>"Cyb561"</f>
        <v>Cyb561</v>
      </c>
      <c r="B4744" t="s">
        <v>14</v>
      </c>
      <c r="C4744" t="s">
        <v>27</v>
      </c>
      <c r="D4744" t="s">
        <v>11</v>
      </c>
      <c r="E4744" t="s">
        <v>12</v>
      </c>
      <c r="F4744">
        <v>105944128</v>
      </c>
      <c r="G4744">
        <v>105944223</v>
      </c>
      <c r="H4744">
        <v>105944421</v>
      </c>
      <c r="I4744">
        <v>105944477</v>
      </c>
    </row>
    <row r="4745" spans="1:9" x14ac:dyDescent="0.2">
      <c r="A4745" t="str">
        <f>"Cyb561a3"</f>
        <v>Cyb561a3</v>
      </c>
      <c r="B4745" t="s">
        <v>14</v>
      </c>
      <c r="C4745" t="s">
        <v>10</v>
      </c>
      <c r="D4745" t="s">
        <v>17</v>
      </c>
      <c r="E4745" t="s">
        <v>67</v>
      </c>
      <c r="F4745">
        <v>10577439</v>
      </c>
      <c r="G4745">
        <v>10577461</v>
      </c>
      <c r="H4745">
        <v>10577481</v>
      </c>
      <c r="I4745">
        <v>10577492</v>
      </c>
    </row>
    <row r="4746" spans="1:9" x14ac:dyDescent="0.2">
      <c r="A4746" t="str">
        <f>"Cyb561d1"</f>
        <v>Cyb561d1</v>
      </c>
      <c r="B4746" t="s">
        <v>14</v>
      </c>
      <c r="C4746" t="s">
        <v>22</v>
      </c>
      <c r="D4746" t="s">
        <v>11</v>
      </c>
      <c r="E4746" t="s">
        <v>12</v>
      </c>
      <c r="F4746">
        <v>108200807</v>
      </c>
      <c r="G4746">
        <v>108200858</v>
      </c>
      <c r="H4746">
        <v>108200415</v>
      </c>
      <c r="I4746">
        <v>108200445</v>
      </c>
    </row>
    <row r="4747" spans="1:9" x14ac:dyDescent="0.2">
      <c r="A4747" t="str">
        <f>"Cyb561d2"</f>
        <v>Cyb561d2</v>
      </c>
      <c r="B4747" t="s">
        <v>14</v>
      </c>
      <c r="C4747" t="s">
        <v>24</v>
      </c>
      <c r="D4747" t="s">
        <v>11</v>
      </c>
      <c r="E4747" t="s">
        <v>12</v>
      </c>
      <c r="F4747">
        <v>107542110</v>
      </c>
      <c r="G4747">
        <v>107542155</v>
      </c>
      <c r="H4747">
        <v>107541833</v>
      </c>
      <c r="I4747">
        <v>107541868</v>
      </c>
    </row>
    <row r="4748" spans="1:9" x14ac:dyDescent="0.2">
      <c r="A4748" t="str">
        <f>"Cyb5b"</f>
        <v>Cyb5b</v>
      </c>
      <c r="B4748" t="s">
        <v>14</v>
      </c>
      <c r="C4748" t="s">
        <v>30</v>
      </c>
      <c r="D4748" t="s">
        <v>17</v>
      </c>
      <c r="E4748" t="s">
        <v>12</v>
      </c>
      <c r="F4748">
        <v>107150621</v>
      </c>
      <c r="G4748">
        <v>107150690</v>
      </c>
      <c r="H4748">
        <v>107150621</v>
      </c>
      <c r="I4748">
        <v>107150690</v>
      </c>
    </row>
    <row r="4749" spans="1:9" x14ac:dyDescent="0.2">
      <c r="A4749" t="str">
        <f>"Cyb5d1"</f>
        <v>Cyb5d1</v>
      </c>
      <c r="B4749" t="s">
        <v>14</v>
      </c>
      <c r="C4749" t="s">
        <v>27</v>
      </c>
      <c r="D4749" t="s">
        <v>11</v>
      </c>
      <c r="E4749" t="s">
        <v>12</v>
      </c>
      <c r="F4749">
        <v>69395432</v>
      </c>
      <c r="G4749">
        <v>69395478</v>
      </c>
      <c r="H4749">
        <v>69395663</v>
      </c>
      <c r="I4749">
        <v>69395712</v>
      </c>
    </row>
    <row r="4750" spans="1:9" x14ac:dyDescent="0.2">
      <c r="A4750" t="str">
        <f>"Cyb5d2"</f>
        <v>Cyb5d2</v>
      </c>
      <c r="B4750" t="s">
        <v>14</v>
      </c>
      <c r="C4750" t="s">
        <v>27</v>
      </c>
      <c r="D4750" t="s">
        <v>11</v>
      </c>
      <c r="E4750" t="s">
        <v>12</v>
      </c>
      <c r="F4750">
        <v>72795801</v>
      </c>
      <c r="G4750">
        <v>72795847</v>
      </c>
      <c r="H4750">
        <v>72796028</v>
      </c>
      <c r="I4750">
        <v>72796074</v>
      </c>
    </row>
    <row r="4751" spans="1:9" x14ac:dyDescent="0.2">
      <c r="A4751" t="str">
        <f>"Cyb5r1"</f>
        <v>Cyb5r1</v>
      </c>
      <c r="B4751" t="s">
        <v>14</v>
      </c>
      <c r="C4751" t="s">
        <v>19</v>
      </c>
      <c r="D4751" t="s">
        <v>17</v>
      </c>
      <c r="E4751" t="s">
        <v>12</v>
      </c>
      <c r="F4751">
        <v>134405984</v>
      </c>
      <c r="G4751">
        <v>134406005</v>
      </c>
      <c r="H4751">
        <v>134406017</v>
      </c>
      <c r="I4751">
        <v>134406029</v>
      </c>
    </row>
    <row r="4752" spans="1:9" x14ac:dyDescent="0.2">
      <c r="A4752" t="str">
        <f>"Cyb5r2"</f>
        <v>Cyb5r2</v>
      </c>
      <c r="B4752" t="s">
        <v>14</v>
      </c>
      <c r="C4752" t="s">
        <v>33</v>
      </c>
      <c r="D4752" t="s">
        <v>11</v>
      </c>
      <c r="E4752" t="s">
        <v>12</v>
      </c>
      <c r="F4752">
        <v>107757993</v>
      </c>
      <c r="G4752">
        <v>107758010</v>
      </c>
      <c r="H4752">
        <v>107758013</v>
      </c>
      <c r="I4752">
        <v>107758024</v>
      </c>
    </row>
    <row r="4753" spans="1:9" x14ac:dyDescent="0.2">
      <c r="A4753" t="str">
        <f>"Cyb5r3"</f>
        <v>Cyb5r3</v>
      </c>
      <c r="B4753" t="s">
        <v>14</v>
      </c>
      <c r="C4753" t="s">
        <v>25</v>
      </c>
      <c r="D4753" t="s">
        <v>11</v>
      </c>
      <c r="E4753" t="s">
        <v>12</v>
      </c>
      <c r="F4753">
        <v>83172166</v>
      </c>
      <c r="G4753">
        <v>83172207</v>
      </c>
      <c r="H4753">
        <v>83172212</v>
      </c>
      <c r="I4753">
        <v>83172235</v>
      </c>
    </row>
    <row r="4754" spans="1:9" x14ac:dyDescent="0.2">
      <c r="A4754" t="str">
        <f>"Cyb5r4"</f>
        <v>Cyb5r4</v>
      </c>
      <c r="B4754" t="s">
        <v>14</v>
      </c>
      <c r="C4754" t="s">
        <v>24</v>
      </c>
      <c r="D4754" t="s">
        <v>17</v>
      </c>
      <c r="E4754" t="s">
        <v>12</v>
      </c>
      <c r="F4754">
        <v>87022018</v>
      </c>
      <c r="G4754">
        <v>87022080</v>
      </c>
      <c r="H4754">
        <v>87022018</v>
      </c>
      <c r="I4754">
        <v>87022080</v>
      </c>
    </row>
    <row r="4755" spans="1:9" x14ac:dyDescent="0.2">
      <c r="A4755" t="str">
        <f>"Cyb5rl"</f>
        <v>Cyb5rl</v>
      </c>
      <c r="B4755" t="s">
        <v>14</v>
      </c>
      <c r="C4755" t="s">
        <v>23</v>
      </c>
      <c r="D4755" t="s">
        <v>17</v>
      </c>
      <c r="E4755" t="s">
        <v>12</v>
      </c>
      <c r="F4755">
        <v>107066985</v>
      </c>
      <c r="G4755">
        <v>107067007</v>
      </c>
      <c r="H4755">
        <v>107067012</v>
      </c>
      <c r="I4755">
        <v>107067027</v>
      </c>
    </row>
    <row r="4756" spans="1:9" x14ac:dyDescent="0.2">
      <c r="A4756" t="str">
        <f>"Cyba"</f>
        <v>Cyba</v>
      </c>
      <c r="B4756" t="s">
        <v>14</v>
      </c>
      <c r="C4756" t="s">
        <v>30</v>
      </c>
      <c r="D4756" t="s">
        <v>11</v>
      </c>
      <c r="E4756" t="s">
        <v>12</v>
      </c>
      <c r="F4756">
        <v>122432894</v>
      </c>
      <c r="G4756">
        <v>122432923</v>
      </c>
      <c r="H4756">
        <v>122432924</v>
      </c>
      <c r="I4756">
        <v>122432946</v>
      </c>
    </row>
    <row r="4757" spans="1:9" x14ac:dyDescent="0.2">
      <c r="A4757" t="str">
        <f>"Cybb"</f>
        <v>Cybb</v>
      </c>
      <c r="B4757" t="s">
        <v>14</v>
      </c>
      <c r="C4757" t="s">
        <v>37</v>
      </c>
      <c r="D4757" t="s">
        <v>11</v>
      </c>
      <c r="E4757" t="s">
        <v>12</v>
      </c>
      <c r="F4757">
        <v>9469288</v>
      </c>
      <c r="G4757">
        <v>9469331</v>
      </c>
      <c r="H4757">
        <v>9469250</v>
      </c>
      <c r="I4757">
        <v>9469281</v>
      </c>
    </row>
    <row r="4758" spans="1:9" x14ac:dyDescent="0.2">
      <c r="A4758" t="str">
        <f>"Cybrd1"</f>
        <v>Cybrd1</v>
      </c>
      <c r="B4758" t="s">
        <v>14</v>
      </c>
      <c r="C4758" t="s">
        <v>26</v>
      </c>
      <c r="D4758" t="s">
        <v>17</v>
      </c>
      <c r="E4758" t="s">
        <v>12</v>
      </c>
      <c r="F4758">
        <v>71118039</v>
      </c>
      <c r="G4758">
        <v>71118061</v>
      </c>
      <c r="H4758">
        <v>71118075</v>
      </c>
      <c r="I4758">
        <v>71118096</v>
      </c>
    </row>
    <row r="4759" spans="1:9" x14ac:dyDescent="0.2">
      <c r="A4759" t="str">
        <f>"Cyc1"</f>
        <v>Cyc1</v>
      </c>
      <c r="B4759" t="s">
        <v>14</v>
      </c>
      <c r="C4759" t="s">
        <v>25</v>
      </c>
      <c r="D4759" t="s">
        <v>17</v>
      </c>
      <c r="E4759" t="s">
        <v>12</v>
      </c>
      <c r="F4759">
        <v>76343504</v>
      </c>
      <c r="G4759">
        <v>76343558</v>
      </c>
      <c r="H4759">
        <v>76343572</v>
      </c>
      <c r="I4759">
        <v>76343583</v>
      </c>
    </row>
    <row r="4760" spans="1:9" x14ac:dyDescent="0.2">
      <c r="A4760" t="str">
        <f>"Cycs"</f>
        <v>Cycs</v>
      </c>
      <c r="B4760" t="s">
        <v>14</v>
      </c>
      <c r="C4760" t="s">
        <v>32</v>
      </c>
      <c r="D4760" t="s">
        <v>11</v>
      </c>
      <c r="E4760" t="s">
        <v>12</v>
      </c>
      <c r="F4760">
        <v>50566563</v>
      </c>
      <c r="G4760">
        <v>50566577</v>
      </c>
      <c r="H4760">
        <v>50566563</v>
      </c>
      <c r="I4760">
        <v>50566577</v>
      </c>
    </row>
    <row r="4761" spans="1:9" x14ac:dyDescent="0.2">
      <c r="A4761" t="str">
        <f>"Cyct"</f>
        <v>Cyct</v>
      </c>
      <c r="B4761" t="s">
        <v>14</v>
      </c>
      <c r="C4761" t="s">
        <v>26</v>
      </c>
      <c r="D4761" t="s">
        <v>11</v>
      </c>
      <c r="E4761" t="s">
        <v>12</v>
      </c>
      <c r="F4761">
        <v>76360400</v>
      </c>
      <c r="G4761">
        <v>76360414</v>
      </c>
      <c r="H4761">
        <v>76360425</v>
      </c>
      <c r="I4761">
        <v>76360439</v>
      </c>
    </row>
    <row r="4762" spans="1:9" x14ac:dyDescent="0.2">
      <c r="A4762" t="str">
        <f>"Cyfip1"</f>
        <v>Cyfip1</v>
      </c>
      <c r="B4762" t="s">
        <v>14</v>
      </c>
      <c r="C4762" t="s">
        <v>33</v>
      </c>
      <c r="D4762" t="s">
        <v>17</v>
      </c>
      <c r="E4762" t="s">
        <v>12</v>
      </c>
      <c r="F4762">
        <v>55842206</v>
      </c>
      <c r="G4762">
        <v>55842296</v>
      </c>
      <c r="H4762">
        <v>55842013</v>
      </c>
      <c r="I4762">
        <v>55842055</v>
      </c>
    </row>
    <row r="4763" spans="1:9" x14ac:dyDescent="0.2">
      <c r="A4763" t="str">
        <f>"Cyfip2"</f>
        <v>Cyfip2</v>
      </c>
      <c r="B4763" t="s">
        <v>14</v>
      </c>
      <c r="C4763" t="s">
        <v>27</v>
      </c>
      <c r="D4763" t="s">
        <v>11</v>
      </c>
      <c r="E4763" t="s">
        <v>12</v>
      </c>
      <c r="F4763">
        <v>46312283</v>
      </c>
      <c r="G4763">
        <v>46312338</v>
      </c>
      <c r="H4763">
        <v>46312069</v>
      </c>
      <c r="I4763">
        <v>46312119</v>
      </c>
    </row>
    <row r="4764" spans="1:9" x14ac:dyDescent="0.2">
      <c r="A4764" t="str">
        <f>"Cygb"</f>
        <v>Cygb</v>
      </c>
      <c r="B4764" t="s">
        <v>14</v>
      </c>
      <c r="C4764" t="s">
        <v>27</v>
      </c>
      <c r="D4764" t="s">
        <v>11</v>
      </c>
      <c r="E4764" t="s">
        <v>12</v>
      </c>
      <c r="F4764">
        <v>116654038</v>
      </c>
      <c r="G4764">
        <v>116654068</v>
      </c>
      <c r="H4764">
        <v>116654038</v>
      </c>
      <c r="I4764">
        <v>116654068</v>
      </c>
    </row>
    <row r="4765" spans="1:9" x14ac:dyDescent="0.2">
      <c r="A4765" t="str">
        <f>"Cyhr1"</f>
        <v>Cyhr1</v>
      </c>
      <c r="B4765" t="s">
        <v>14</v>
      </c>
      <c r="C4765" t="s">
        <v>25</v>
      </c>
      <c r="D4765" t="s">
        <v>11</v>
      </c>
      <c r="E4765" t="s">
        <v>12</v>
      </c>
      <c r="F4765">
        <v>76656905</v>
      </c>
      <c r="G4765">
        <v>76656934</v>
      </c>
      <c r="H4765">
        <v>76656905</v>
      </c>
      <c r="I4765">
        <v>76656934</v>
      </c>
    </row>
    <row r="4766" spans="1:9" x14ac:dyDescent="0.2">
      <c r="A4766" t="str">
        <f>"Cylc1"</f>
        <v>Cylc1</v>
      </c>
      <c r="B4766" t="s">
        <v>14</v>
      </c>
      <c r="C4766" t="s">
        <v>37</v>
      </c>
      <c r="D4766" t="s">
        <v>17</v>
      </c>
      <c r="E4766" t="s">
        <v>12</v>
      </c>
      <c r="F4766">
        <v>111110411</v>
      </c>
      <c r="G4766">
        <v>111110424</v>
      </c>
      <c r="H4766">
        <v>111110411</v>
      </c>
      <c r="I4766">
        <v>111110424</v>
      </c>
    </row>
    <row r="4767" spans="1:9" x14ac:dyDescent="0.2">
      <c r="A4767" t="str">
        <f>"Cylc2"</f>
        <v>Cylc2</v>
      </c>
      <c r="B4767" t="s">
        <v>14</v>
      </c>
      <c r="C4767" t="s">
        <v>23</v>
      </c>
      <c r="D4767" t="s">
        <v>17</v>
      </c>
      <c r="E4767" t="s">
        <v>12</v>
      </c>
      <c r="F4767">
        <v>51216648</v>
      </c>
      <c r="G4767">
        <v>51216683</v>
      </c>
      <c r="H4767">
        <v>51216648</v>
      </c>
      <c r="I4767">
        <v>51216683</v>
      </c>
    </row>
    <row r="4768" spans="1:9" x14ac:dyDescent="0.2">
      <c r="A4768" t="str">
        <f>"Cyld"</f>
        <v>Cyld</v>
      </c>
      <c r="B4768" t="s">
        <v>14</v>
      </c>
      <c r="C4768" t="s">
        <v>30</v>
      </c>
      <c r="D4768" t="s">
        <v>17</v>
      </c>
      <c r="E4768" t="s">
        <v>12</v>
      </c>
      <c r="F4768">
        <v>88697038</v>
      </c>
      <c r="G4768">
        <v>88697077</v>
      </c>
      <c r="H4768">
        <v>88697084</v>
      </c>
      <c r="I4768">
        <v>88697108</v>
      </c>
    </row>
    <row r="4769" spans="1:9" x14ac:dyDescent="0.2">
      <c r="A4769" t="str">
        <f>"Cym"</f>
        <v>Cym</v>
      </c>
      <c r="B4769" t="s">
        <v>14</v>
      </c>
      <c r="C4769" t="s">
        <v>22</v>
      </c>
      <c r="D4769" t="s">
        <v>11</v>
      </c>
      <c r="E4769" t="s">
        <v>12</v>
      </c>
      <c r="F4769">
        <v>107221722</v>
      </c>
      <c r="G4769">
        <v>107221738</v>
      </c>
      <c r="H4769">
        <v>107221722</v>
      </c>
      <c r="I4769">
        <v>107221738</v>
      </c>
    </row>
    <row r="4770" spans="1:9" x14ac:dyDescent="0.2">
      <c r="A4770" t="str">
        <f>"Cyp11a1"</f>
        <v>Cyp11a1</v>
      </c>
      <c r="B4770" t="s">
        <v>14</v>
      </c>
      <c r="C4770" t="s">
        <v>24</v>
      </c>
      <c r="D4770" t="s">
        <v>17</v>
      </c>
      <c r="E4770" t="s">
        <v>12</v>
      </c>
      <c r="F4770">
        <v>58014990</v>
      </c>
      <c r="G4770">
        <v>58015005</v>
      </c>
      <c r="H4770">
        <v>58014990</v>
      </c>
      <c r="I4770">
        <v>58015005</v>
      </c>
    </row>
    <row r="4771" spans="1:9" x14ac:dyDescent="0.2">
      <c r="A4771" t="str">
        <f>"Cyp11b1"</f>
        <v>Cyp11b1</v>
      </c>
      <c r="B4771" t="s">
        <v>14</v>
      </c>
      <c r="C4771" t="s">
        <v>25</v>
      </c>
      <c r="D4771" t="s">
        <v>11</v>
      </c>
      <c r="E4771" t="s">
        <v>12</v>
      </c>
      <c r="F4771">
        <v>74841610</v>
      </c>
      <c r="G4771">
        <v>74841633</v>
      </c>
      <c r="H4771">
        <v>74841610</v>
      </c>
      <c r="I4771">
        <v>74841633</v>
      </c>
    </row>
    <row r="4772" spans="1:9" x14ac:dyDescent="0.2">
      <c r="A4772" t="str">
        <f>"Cyp11b2"</f>
        <v>Cyp11b2</v>
      </c>
      <c r="B4772" t="s">
        <v>14</v>
      </c>
      <c r="C4772" t="s">
        <v>25</v>
      </c>
      <c r="D4772" t="s">
        <v>11</v>
      </c>
      <c r="E4772" t="s">
        <v>12</v>
      </c>
      <c r="F4772">
        <v>74856227</v>
      </c>
      <c r="G4772">
        <v>74856236</v>
      </c>
      <c r="H4772">
        <v>74856239</v>
      </c>
      <c r="I4772">
        <v>74856244</v>
      </c>
    </row>
    <row r="4773" spans="1:9" x14ac:dyDescent="0.2">
      <c r="A4773" t="str">
        <f>"Cyp17a1"</f>
        <v>Cyp17a1</v>
      </c>
      <c r="B4773" t="s">
        <v>14</v>
      </c>
      <c r="C4773" t="s">
        <v>10</v>
      </c>
      <c r="D4773" t="s">
        <v>11</v>
      </c>
      <c r="E4773" t="s">
        <v>12</v>
      </c>
      <c r="F4773">
        <v>46672883</v>
      </c>
      <c r="G4773">
        <v>46672900</v>
      </c>
      <c r="H4773">
        <v>46672883</v>
      </c>
      <c r="I4773">
        <v>46672900</v>
      </c>
    </row>
    <row r="4774" spans="1:9" x14ac:dyDescent="0.2">
      <c r="A4774" t="str">
        <f>"Cyp19a1"</f>
        <v>Cyp19a1</v>
      </c>
      <c r="B4774" t="s">
        <v>14</v>
      </c>
      <c r="C4774" t="s">
        <v>24</v>
      </c>
      <c r="D4774" t="s">
        <v>11</v>
      </c>
      <c r="E4774" t="s">
        <v>12</v>
      </c>
      <c r="F4774">
        <v>54193519</v>
      </c>
      <c r="G4774">
        <v>54193523</v>
      </c>
      <c r="H4774">
        <v>54193519</v>
      </c>
      <c r="I4774">
        <v>54193523</v>
      </c>
    </row>
    <row r="4775" spans="1:9" x14ac:dyDescent="0.2">
      <c r="A4775" t="str">
        <f>"Cyp1a1"</f>
        <v>Cyp1a1</v>
      </c>
      <c r="B4775" t="s">
        <v>14</v>
      </c>
      <c r="C4775" t="s">
        <v>24</v>
      </c>
      <c r="D4775" t="s">
        <v>17</v>
      </c>
      <c r="E4775" t="s">
        <v>12</v>
      </c>
      <c r="F4775">
        <v>57697612</v>
      </c>
      <c r="G4775">
        <v>57697616</v>
      </c>
      <c r="H4775">
        <v>57697573</v>
      </c>
      <c r="I4775">
        <v>57697576</v>
      </c>
    </row>
    <row r="4776" spans="1:9" x14ac:dyDescent="0.2">
      <c r="A4776" t="str">
        <f>"Cyp1a2"</f>
        <v>Cyp1a2</v>
      </c>
      <c r="B4776" t="s">
        <v>14</v>
      </c>
      <c r="C4776" t="s">
        <v>24</v>
      </c>
      <c r="D4776" t="s">
        <v>11</v>
      </c>
      <c r="E4776" t="s">
        <v>12</v>
      </c>
      <c r="F4776">
        <v>57683644</v>
      </c>
      <c r="G4776">
        <v>57683663</v>
      </c>
      <c r="H4776">
        <v>57683644</v>
      </c>
      <c r="I4776">
        <v>57683663</v>
      </c>
    </row>
    <row r="4777" spans="1:9" x14ac:dyDescent="0.2">
      <c r="A4777" t="str">
        <f>"Cyp1b1"</f>
        <v>Cyp1b1</v>
      </c>
      <c r="B4777" t="s">
        <v>14</v>
      </c>
      <c r="C4777" t="s">
        <v>28</v>
      </c>
      <c r="D4777" t="s">
        <v>11</v>
      </c>
      <c r="E4777" t="s">
        <v>12</v>
      </c>
      <c r="F4777">
        <v>79715051</v>
      </c>
      <c r="G4777">
        <v>79715103</v>
      </c>
      <c r="H4777">
        <v>79715034</v>
      </c>
      <c r="I4777">
        <v>79715047</v>
      </c>
    </row>
    <row r="4778" spans="1:9" x14ac:dyDescent="0.2">
      <c r="A4778" t="str">
        <f>"Cyp20a1"</f>
        <v>Cyp20a1</v>
      </c>
      <c r="B4778" t="s">
        <v>14</v>
      </c>
      <c r="C4778" t="s">
        <v>19</v>
      </c>
      <c r="D4778" t="s">
        <v>17</v>
      </c>
      <c r="E4778" t="s">
        <v>12</v>
      </c>
      <c r="F4778">
        <v>60343297</v>
      </c>
      <c r="G4778">
        <v>60343362</v>
      </c>
      <c r="H4778">
        <v>60343366</v>
      </c>
      <c r="I4778">
        <v>60343385</v>
      </c>
    </row>
    <row r="4779" spans="1:9" x14ac:dyDescent="0.2">
      <c r="A4779" t="str">
        <f>"Cyp21a1"</f>
        <v>Cyp21a1</v>
      </c>
      <c r="B4779" t="s">
        <v>14</v>
      </c>
      <c r="C4779" t="s">
        <v>28</v>
      </c>
      <c r="D4779" t="s">
        <v>11</v>
      </c>
      <c r="E4779" t="s">
        <v>12</v>
      </c>
      <c r="F4779">
        <v>34804546</v>
      </c>
      <c r="G4779">
        <v>34804568</v>
      </c>
      <c r="H4779">
        <v>34804514</v>
      </c>
      <c r="I4779">
        <v>34804537</v>
      </c>
    </row>
    <row r="4780" spans="1:9" x14ac:dyDescent="0.2">
      <c r="A4780" t="str">
        <f>"Cyp24a1"</f>
        <v>Cyp24a1</v>
      </c>
      <c r="B4780" t="s">
        <v>14</v>
      </c>
      <c r="C4780" t="s">
        <v>26</v>
      </c>
      <c r="D4780" t="s">
        <v>11</v>
      </c>
      <c r="E4780" t="s">
        <v>12</v>
      </c>
      <c r="F4780">
        <v>170497141</v>
      </c>
      <c r="G4780">
        <v>170497147</v>
      </c>
      <c r="H4780">
        <v>170497013</v>
      </c>
      <c r="I4780">
        <v>170497036</v>
      </c>
    </row>
    <row r="4781" spans="1:9" x14ac:dyDescent="0.2">
      <c r="A4781" t="str">
        <f>"Cyp26a1"</f>
        <v>Cyp26a1</v>
      </c>
      <c r="B4781" t="s">
        <v>14</v>
      </c>
      <c r="C4781" t="s">
        <v>10</v>
      </c>
      <c r="D4781" t="s">
        <v>17</v>
      </c>
      <c r="E4781" t="s">
        <v>12</v>
      </c>
      <c r="F4781">
        <v>37697863</v>
      </c>
      <c r="G4781">
        <v>37697870</v>
      </c>
      <c r="H4781">
        <v>37697792</v>
      </c>
      <c r="I4781">
        <v>37697805</v>
      </c>
    </row>
    <row r="4782" spans="1:9" x14ac:dyDescent="0.2">
      <c r="A4782" t="str">
        <f>"Cyp26b1"</f>
        <v>Cyp26b1</v>
      </c>
      <c r="B4782" t="s">
        <v>14</v>
      </c>
      <c r="C4782" t="s">
        <v>32</v>
      </c>
      <c r="D4782" t="s">
        <v>11</v>
      </c>
      <c r="E4782" t="s">
        <v>12</v>
      </c>
      <c r="F4782">
        <v>84588963</v>
      </c>
      <c r="G4782">
        <v>84588983</v>
      </c>
      <c r="H4782">
        <v>84588631</v>
      </c>
      <c r="I4782">
        <v>84588645</v>
      </c>
    </row>
    <row r="4783" spans="1:9" x14ac:dyDescent="0.2">
      <c r="A4783" t="str">
        <f>"Cyp26c1"</f>
        <v>Cyp26c1</v>
      </c>
      <c r="B4783" t="s">
        <v>14</v>
      </c>
      <c r="C4783" t="s">
        <v>10</v>
      </c>
      <c r="D4783" t="s">
        <v>17</v>
      </c>
      <c r="E4783" t="s">
        <v>12</v>
      </c>
      <c r="F4783">
        <v>37685246</v>
      </c>
      <c r="G4783">
        <v>37685248</v>
      </c>
      <c r="H4783">
        <v>37685246</v>
      </c>
      <c r="I4783">
        <v>37685248</v>
      </c>
    </row>
    <row r="4784" spans="1:9" x14ac:dyDescent="0.2">
      <c r="A4784" t="str">
        <f>"Cyp27a1"</f>
        <v>Cyp27a1</v>
      </c>
      <c r="B4784" t="s">
        <v>14</v>
      </c>
      <c r="C4784" t="s">
        <v>19</v>
      </c>
      <c r="D4784" t="s">
        <v>17</v>
      </c>
      <c r="E4784" t="s">
        <v>12</v>
      </c>
      <c r="F4784">
        <v>74713551</v>
      </c>
      <c r="G4784">
        <v>74713568</v>
      </c>
      <c r="H4784">
        <v>74713551</v>
      </c>
      <c r="I4784">
        <v>74713568</v>
      </c>
    </row>
    <row r="4785" spans="1:9" x14ac:dyDescent="0.2">
      <c r="A4785" t="str">
        <f>"Cyp27b1"</f>
        <v>Cyp27b1</v>
      </c>
      <c r="B4785" t="s">
        <v>14</v>
      </c>
      <c r="C4785" t="s">
        <v>15</v>
      </c>
      <c r="D4785" t="s">
        <v>17</v>
      </c>
      <c r="E4785" t="s">
        <v>12</v>
      </c>
      <c r="F4785">
        <v>127048235</v>
      </c>
      <c r="G4785">
        <v>127048246</v>
      </c>
      <c r="H4785">
        <v>127048235</v>
      </c>
      <c r="I4785">
        <v>127048246</v>
      </c>
    </row>
    <row r="4786" spans="1:9" x14ac:dyDescent="0.2">
      <c r="A4786" t="str">
        <f>"Cyp2a12"</f>
        <v>Cyp2a12</v>
      </c>
      <c r="B4786" t="s">
        <v>14</v>
      </c>
      <c r="C4786" t="s">
        <v>33</v>
      </c>
      <c r="D4786" t="s">
        <v>17</v>
      </c>
      <c r="E4786" t="s">
        <v>12</v>
      </c>
      <c r="F4786">
        <v>27029074</v>
      </c>
      <c r="G4786">
        <v>27029087</v>
      </c>
      <c r="H4786">
        <v>27029074</v>
      </c>
      <c r="I4786">
        <v>27029087</v>
      </c>
    </row>
    <row r="4787" spans="1:9" x14ac:dyDescent="0.2">
      <c r="A4787" t="str">
        <f>"Cyp2a22"</f>
        <v>Cyp2a22</v>
      </c>
      <c r="B4787" t="s">
        <v>14</v>
      </c>
      <c r="C4787" t="s">
        <v>33</v>
      </c>
      <c r="D4787" t="s">
        <v>11</v>
      </c>
      <c r="E4787" t="s">
        <v>12</v>
      </c>
      <c r="F4787">
        <v>26939377</v>
      </c>
      <c r="G4787">
        <v>26939390</v>
      </c>
      <c r="H4787">
        <v>26939377</v>
      </c>
      <c r="I4787">
        <v>26939390</v>
      </c>
    </row>
    <row r="4788" spans="1:9" x14ac:dyDescent="0.2">
      <c r="A4788" t="str">
        <f>"Cyp2a4"</f>
        <v>Cyp2a4</v>
      </c>
      <c r="B4788" t="s">
        <v>14</v>
      </c>
      <c r="C4788" t="s">
        <v>33</v>
      </c>
      <c r="D4788" t="s">
        <v>17</v>
      </c>
      <c r="E4788" t="s">
        <v>12</v>
      </c>
      <c r="F4788">
        <v>26307191</v>
      </c>
      <c r="G4788">
        <v>26307197</v>
      </c>
      <c r="H4788">
        <v>26307191</v>
      </c>
      <c r="I4788">
        <v>26307197</v>
      </c>
    </row>
    <row r="4789" spans="1:9" x14ac:dyDescent="0.2">
      <c r="A4789" t="str">
        <f>"Cyp2a5"</f>
        <v>Cyp2a5</v>
      </c>
      <c r="B4789" t="s">
        <v>14</v>
      </c>
      <c r="C4789" t="s">
        <v>33</v>
      </c>
      <c r="D4789" t="s">
        <v>17</v>
      </c>
      <c r="E4789" t="s">
        <v>12</v>
      </c>
      <c r="F4789">
        <v>26835337</v>
      </c>
      <c r="G4789">
        <v>26835343</v>
      </c>
      <c r="H4789">
        <v>26835337</v>
      </c>
      <c r="I4789">
        <v>26835343</v>
      </c>
    </row>
    <row r="4790" spans="1:9" x14ac:dyDescent="0.2">
      <c r="A4790" t="str">
        <f>"Cyp2ab1"</f>
        <v>Cyp2ab1</v>
      </c>
      <c r="B4790" t="s">
        <v>14</v>
      </c>
      <c r="C4790" t="s">
        <v>31</v>
      </c>
      <c r="D4790" t="s">
        <v>11</v>
      </c>
      <c r="E4790" t="s">
        <v>12</v>
      </c>
      <c r="F4790">
        <v>20325355</v>
      </c>
      <c r="G4790">
        <v>20325378</v>
      </c>
      <c r="H4790">
        <v>20325355</v>
      </c>
      <c r="I4790">
        <v>20325378</v>
      </c>
    </row>
    <row r="4791" spans="1:9" x14ac:dyDescent="0.2">
      <c r="A4791" t="str">
        <f>"Cyp2b10"</f>
        <v>Cyp2b10</v>
      </c>
      <c r="B4791" t="s">
        <v>14</v>
      </c>
      <c r="C4791" t="s">
        <v>33</v>
      </c>
      <c r="D4791" t="s">
        <v>17</v>
      </c>
      <c r="E4791" t="s">
        <v>12</v>
      </c>
      <c r="F4791">
        <v>25897651</v>
      </c>
      <c r="G4791">
        <v>25897672</v>
      </c>
      <c r="H4791">
        <v>25897651</v>
      </c>
      <c r="I4791">
        <v>25897672</v>
      </c>
    </row>
    <row r="4792" spans="1:9" x14ac:dyDescent="0.2">
      <c r="A4792" t="str">
        <f>"Cyp2b13"</f>
        <v>Cyp2b13</v>
      </c>
      <c r="B4792" t="s">
        <v>2327</v>
      </c>
      <c r="C4792" t="s">
        <v>33</v>
      </c>
      <c r="D4792" t="s">
        <v>17</v>
      </c>
      <c r="E4792" t="s">
        <v>20</v>
      </c>
      <c r="F4792">
        <v>26061494</v>
      </c>
      <c r="G4792">
        <v>26061494</v>
      </c>
      <c r="H4792">
        <v>26061494</v>
      </c>
      <c r="I4792">
        <v>26061494</v>
      </c>
    </row>
    <row r="4793" spans="1:9" x14ac:dyDescent="0.2">
      <c r="A4793" t="str">
        <f>"Cyp2b19"</f>
        <v>Cyp2b19</v>
      </c>
      <c r="B4793" t="s">
        <v>14</v>
      </c>
      <c r="C4793" t="s">
        <v>33</v>
      </c>
      <c r="D4793" t="s">
        <v>17</v>
      </c>
      <c r="E4793" t="s">
        <v>12</v>
      </c>
      <c r="F4793">
        <v>26757153</v>
      </c>
      <c r="G4793">
        <v>26757171</v>
      </c>
      <c r="H4793">
        <v>26757153</v>
      </c>
      <c r="I4793">
        <v>26757171</v>
      </c>
    </row>
    <row r="4794" spans="1:9" x14ac:dyDescent="0.2">
      <c r="A4794" t="str">
        <f>"Cyp2b23"</f>
        <v>Cyp2b23</v>
      </c>
      <c r="B4794" t="s">
        <v>14</v>
      </c>
      <c r="C4794" t="s">
        <v>33</v>
      </c>
      <c r="D4794" t="s">
        <v>11</v>
      </c>
      <c r="E4794" t="s">
        <v>12</v>
      </c>
      <c r="F4794">
        <v>26686453</v>
      </c>
      <c r="G4794">
        <v>26686455</v>
      </c>
      <c r="H4794">
        <v>26686453</v>
      </c>
      <c r="I4794">
        <v>26686455</v>
      </c>
    </row>
    <row r="4795" spans="1:9" x14ac:dyDescent="0.2">
      <c r="A4795" t="str">
        <f>"Cyp2b9"</f>
        <v>Cyp2b9</v>
      </c>
      <c r="B4795" t="s">
        <v>14</v>
      </c>
      <c r="C4795" t="s">
        <v>33</v>
      </c>
      <c r="D4795" t="s">
        <v>17</v>
      </c>
      <c r="E4795" t="s">
        <v>12</v>
      </c>
      <c r="F4795">
        <v>26173226</v>
      </c>
      <c r="G4795">
        <v>26173244</v>
      </c>
      <c r="H4795">
        <v>26173226</v>
      </c>
      <c r="I4795">
        <v>26173244</v>
      </c>
    </row>
    <row r="4796" spans="1:9" x14ac:dyDescent="0.2">
      <c r="A4796" t="str">
        <f>"Cyp2c29"</f>
        <v>Cyp2c29</v>
      </c>
      <c r="B4796" t="s">
        <v>14</v>
      </c>
      <c r="C4796" t="s">
        <v>10</v>
      </c>
      <c r="D4796" t="s">
        <v>17</v>
      </c>
      <c r="E4796" t="s">
        <v>12</v>
      </c>
      <c r="F4796">
        <v>39287088</v>
      </c>
      <c r="G4796">
        <v>39287104</v>
      </c>
      <c r="H4796">
        <v>39287088</v>
      </c>
      <c r="I4796">
        <v>39287104</v>
      </c>
    </row>
    <row r="4797" spans="1:9" x14ac:dyDescent="0.2">
      <c r="A4797" t="str">
        <f>"Cyp2c37"</f>
        <v>Cyp2c37</v>
      </c>
      <c r="B4797" t="s">
        <v>14</v>
      </c>
      <c r="C4797" t="s">
        <v>10</v>
      </c>
      <c r="D4797" t="s">
        <v>17</v>
      </c>
      <c r="E4797" t="s">
        <v>12</v>
      </c>
      <c r="F4797">
        <v>39992370</v>
      </c>
      <c r="G4797">
        <v>39992390</v>
      </c>
      <c r="H4797">
        <v>39992370</v>
      </c>
      <c r="I4797">
        <v>39992390</v>
      </c>
    </row>
    <row r="4798" spans="1:9" x14ac:dyDescent="0.2">
      <c r="A4798" t="str">
        <f>"Cyp2c38"</f>
        <v>Cyp2c38</v>
      </c>
      <c r="B4798" t="s">
        <v>14</v>
      </c>
      <c r="C4798" t="s">
        <v>10</v>
      </c>
      <c r="D4798" t="s">
        <v>11</v>
      </c>
      <c r="E4798" t="s">
        <v>12</v>
      </c>
      <c r="F4798">
        <v>39463067</v>
      </c>
      <c r="G4798">
        <v>39463081</v>
      </c>
      <c r="H4798">
        <v>39463089</v>
      </c>
      <c r="I4798">
        <v>39463108</v>
      </c>
    </row>
    <row r="4799" spans="1:9" x14ac:dyDescent="0.2">
      <c r="A4799" t="str">
        <f>"Cyp2c39"</f>
        <v>Cyp2c39</v>
      </c>
      <c r="B4799" t="s">
        <v>14</v>
      </c>
      <c r="C4799" t="s">
        <v>10</v>
      </c>
      <c r="D4799" t="s">
        <v>17</v>
      </c>
      <c r="E4799" t="s">
        <v>12</v>
      </c>
      <c r="F4799">
        <v>39510844</v>
      </c>
      <c r="G4799">
        <v>39510855</v>
      </c>
      <c r="H4799">
        <v>39510844</v>
      </c>
      <c r="I4799">
        <v>39510855</v>
      </c>
    </row>
    <row r="4800" spans="1:9" x14ac:dyDescent="0.2">
      <c r="A4800" t="str">
        <f>"Cyp2c40"</f>
        <v>Cyp2c40</v>
      </c>
      <c r="B4800" t="s">
        <v>14</v>
      </c>
      <c r="C4800" t="s">
        <v>10</v>
      </c>
      <c r="D4800" t="s">
        <v>11</v>
      </c>
      <c r="E4800" t="s">
        <v>12</v>
      </c>
      <c r="F4800">
        <v>39812774</v>
      </c>
      <c r="G4800">
        <v>39812784</v>
      </c>
      <c r="H4800">
        <v>39812774</v>
      </c>
      <c r="I4800">
        <v>39812784</v>
      </c>
    </row>
    <row r="4801" spans="1:9" x14ac:dyDescent="0.2">
      <c r="A4801" t="str">
        <f>"Cyp2c44"</f>
        <v>Cyp2c44</v>
      </c>
      <c r="B4801" t="s">
        <v>14</v>
      </c>
      <c r="C4801" t="s">
        <v>10</v>
      </c>
      <c r="D4801" t="s">
        <v>11</v>
      </c>
      <c r="E4801" t="s">
        <v>12</v>
      </c>
      <c r="F4801">
        <v>44029201</v>
      </c>
      <c r="G4801">
        <v>44029214</v>
      </c>
      <c r="H4801">
        <v>44029201</v>
      </c>
      <c r="I4801">
        <v>44029214</v>
      </c>
    </row>
    <row r="4802" spans="1:9" x14ac:dyDescent="0.2">
      <c r="A4802" t="str">
        <f>"Cyp2c50"</f>
        <v>Cyp2c50</v>
      </c>
      <c r="B4802" t="s">
        <v>14</v>
      </c>
      <c r="C4802" t="s">
        <v>10</v>
      </c>
      <c r="D4802" t="s">
        <v>17</v>
      </c>
      <c r="E4802" t="s">
        <v>12</v>
      </c>
      <c r="F4802">
        <v>40089699</v>
      </c>
      <c r="G4802">
        <v>40089723</v>
      </c>
      <c r="H4802">
        <v>40089640</v>
      </c>
      <c r="I4802">
        <v>40089656</v>
      </c>
    </row>
    <row r="4803" spans="1:9" x14ac:dyDescent="0.2">
      <c r="A4803" t="str">
        <f>"Cyp2c54"</f>
        <v>Cyp2c54</v>
      </c>
      <c r="B4803" t="s">
        <v>14</v>
      </c>
      <c r="C4803" t="s">
        <v>10</v>
      </c>
      <c r="D4803" t="s">
        <v>11</v>
      </c>
      <c r="E4803" t="s">
        <v>12</v>
      </c>
      <c r="F4803">
        <v>40073860</v>
      </c>
      <c r="G4803">
        <v>40073878</v>
      </c>
      <c r="H4803">
        <v>40073860</v>
      </c>
      <c r="I4803">
        <v>40073878</v>
      </c>
    </row>
    <row r="4804" spans="1:9" x14ac:dyDescent="0.2">
      <c r="A4804" t="str">
        <f>"Cyp2c55"</f>
        <v>Cyp2c55</v>
      </c>
      <c r="B4804" t="s">
        <v>14</v>
      </c>
      <c r="C4804" t="s">
        <v>10</v>
      </c>
      <c r="D4804" t="s">
        <v>17</v>
      </c>
      <c r="E4804" t="s">
        <v>12</v>
      </c>
      <c r="F4804">
        <v>39006948</v>
      </c>
      <c r="G4804">
        <v>39006972</v>
      </c>
      <c r="H4804">
        <v>39006948</v>
      </c>
      <c r="I4804">
        <v>39006972</v>
      </c>
    </row>
    <row r="4805" spans="1:9" x14ac:dyDescent="0.2">
      <c r="A4805" t="str">
        <f>"Cyp2c65"</f>
        <v>Cyp2c65</v>
      </c>
      <c r="B4805" t="s">
        <v>14</v>
      </c>
      <c r="C4805" t="s">
        <v>10</v>
      </c>
      <c r="D4805" t="s">
        <v>17</v>
      </c>
      <c r="E4805" t="s">
        <v>12</v>
      </c>
      <c r="F4805">
        <v>39060998</v>
      </c>
      <c r="G4805">
        <v>39061015</v>
      </c>
      <c r="H4805">
        <v>39060998</v>
      </c>
      <c r="I4805">
        <v>39061015</v>
      </c>
    </row>
    <row r="4806" spans="1:9" x14ac:dyDescent="0.2">
      <c r="A4806" t="str">
        <f>"Cyp2c66"</f>
        <v>Cyp2c66</v>
      </c>
      <c r="B4806" t="s">
        <v>14</v>
      </c>
      <c r="C4806" t="s">
        <v>10</v>
      </c>
      <c r="D4806" t="s">
        <v>17</v>
      </c>
      <c r="E4806" t="s">
        <v>12</v>
      </c>
      <c r="F4806">
        <v>39113902</v>
      </c>
      <c r="G4806">
        <v>39113916</v>
      </c>
      <c r="H4806">
        <v>39113902</v>
      </c>
      <c r="I4806">
        <v>39113916</v>
      </c>
    </row>
    <row r="4807" spans="1:9" x14ac:dyDescent="0.2">
      <c r="A4807" t="str">
        <f>"Cyp2c67"</f>
        <v>Cyp2c67</v>
      </c>
      <c r="B4807" t="s">
        <v>14</v>
      </c>
      <c r="C4807" t="s">
        <v>10</v>
      </c>
      <c r="D4807" t="s">
        <v>11</v>
      </c>
      <c r="E4807" t="s">
        <v>12</v>
      </c>
      <c r="F4807">
        <v>39649046</v>
      </c>
      <c r="G4807">
        <v>39649061</v>
      </c>
      <c r="H4807">
        <v>39649070</v>
      </c>
      <c r="I4807">
        <v>39649085</v>
      </c>
    </row>
    <row r="4808" spans="1:9" x14ac:dyDescent="0.2">
      <c r="A4808" t="str">
        <f>"Cyp2c68"</f>
        <v>Cyp2c68</v>
      </c>
      <c r="B4808" t="s">
        <v>14</v>
      </c>
      <c r="C4808" t="s">
        <v>10</v>
      </c>
      <c r="D4808" t="s">
        <v>11</v>
      </c>
      <c r="E4808" t="s">
        <v>12</v>
      </c>
      <c r="F4808">
        <v>39741093</v>
      </c>
      <c r="G4808">
        <v>39741114</v>
      </c>
      <c r="H4808">
        <v>39741093</v>
      </c>
      <c r="I4808">
        <v>39741114</v>
      </c>
    </row>
    <row r="4809" spans="1:9" x14ac:dyDescent="0.2">
      <c r="A4809" t="str">
        <f>"Cyp2c69"</f>
        <v>Cyp2c69</v>
      </c>
      <c r="B4809" t="s">
        <v>14</v>
      </c>
      <c r="C4809" t="s">
        <v>10</v>
      </c>
      <c r="D4809" t="s">
        <v>11</v>
      </c>
      <c r="E4809" t="s">
        <v>12</v>
      </c>
      <c r="F4809">
        <v>39886730</v>
      </c>
      <c r="G4809">
        <v>39886760</v>
      </c>
      <c r="H4809">
        <v>39886730</v>
      </c>
      <c r="I4809">
        <v>39886760</v>
      </c>
    </row>
    <row r="4810" spans="1:9" x14ac:dyDescent="0.2">
      <c r="A4810" t="str">
        <f>"Cyp2c70"</f>
        <v>Cyp2c70</v>
      </c>
      <c r="B4810" t="s">
        <v>14</v>
      </c>
      <c r="C4810" t="s">
        <v>10</v>
      </c>
      <c r="D4810" t="s">
        <v>11</v>
      </c>
      <c r="E4810" t="s">
        <v>12</v>
      </c>
      <c r="F4810">
        <v>40187277</v>
      </c>
      <c r="G4810">
        <v>40187294</v>
      </c>
      <c r="H4810">
        <v>40187277</v>
      </c>
      <c r="I4810">
        <v>40187294</v>
      </c>
    </row>
    <row r="4811" spans="1:9" x14ac:dyDescent="0.2">
      <c r="A4811" t="str">
        <f>"Cyp2d10"</f>
        <v>Cyp2d10</v>
      </c>
      <c r="B4811" t="s">
        <v>14</v>
      </c>
      <c r="C4811" t="s">
        <v>25</v>
      </c>
      <c r="D4811" t="s">
        <v>11</v>
      </c>
      <c r="E4811" t="s">
        <v>12</v>
      </c>
      <c r="F4811">
        <v>82407187</v>
      </c>
      <c r="G4811">
        <v>82407203</v>
      </c>
      <c r="H4811">
        <v>82407187</v>
      </c>
      <c r="I4811">
        <v>82407203</v>
      </c>
    </row>
    <row r="4812" spans="1:9" x14ac:dyDescent="0.2">
      <c r="A4812" t="str">
        <f>"Cyp2d11"</f>
        <v>Cyp2d11</v>
      </c>
      <c r="B4812" t="s">
        <v>2328</v>
      </c>
      <c r="C4812" t="s">
        <v>25</v>
      </c>
      <c r="D4812" t="s">
        <v>11</v>
      </c>
      <c r="E4812" t="s">
        <v>20</v>
      </c>
      <c r="F4812">
        <v>82394021</v>
      </c>
      <c r="G4812">
        <v>82394021</v>
      </c>
      <c r="H4812">
        <v>82394021</v>
      </c>
      <c r="I4812">
        <v>82394021</v>
      </c>
    </row>
    <row r="4813" spans="1:9" x14ac:dyDescent="0.2">
      <c r="A4813" t="str">
        <f>"Cyp2d12"</f>
        <v>Cyp2d12</v>
      </c>
      <c r="B4813" t="s">
        <v>14</v>
      </c>
      <c r="C4813" t="s">
        <v>25</v>
      </c>
      <c r="D4813" t="s">
        <v>17</v>
      </c>
      <c r="E4813" t="s">
        <v>12</v>
      </c>
      <c r="F4813">
        <v>82555087</v>
      </c>
      <c r="G4813">
        <v>82555091</v>
      </c>
      <c r="H4813">
        <v>82555087</v>
      </c>
      <c r="I4813">
        <v>82555091</v>
      </c>
    </row>
    <row r="4814" spans="1:9" x14ac:dyDescent="0.2">
      <c r="A4814" t="str">
        <f>"Cyp2d22"</f>
        <v>Cyp2d22</v>
      </c>
      <c r="B4814" t="s">
        <v>14</v>
      </c>
      <c r="C4814" t="s">
        <v>25</v>
      </c>
      <c r="D4814" t="s">
        <v>11</v>
      </c>
      <c r="E4814" t="s">
        <v>12</v>
      </c>
      <c r="F4814">
        <v>82380179</v>
      </c>
      <c r="G4814">
        <v>82380263</v>
      </c>
      <c r="H4814">
        <v>82380140</v>
      </c>
      <c r="I4814">
        <v>82380150</v>
      </c>
    </row>
    <row r="4815" spans="1:9" x14ac:dyDescent="0.2">
      <c r="A4815" t="str">
        <f>"Cyp2d26"</f>
        <v>Cyp2d26</v>
      </c>
      <c r="B4815" t="s">
        <v>14</v>
      </c>
      <c r="C4815" t="s">
        <v>25</v>
      </c>
      <c r="D4815" t="s">
        <v>11</v>
      </c>
      <c r="E4815" t="s">
        <v>12</v>
      </c>
      <c r="F4815">
        <v>82794236</v>
      </c>
      <c r="G4815">
        <v>82794260</v>
      </c>
      <c r="H4815">
        <v>82794201</v>
      </c>
      <c r="I4815">
        <v>82794223</v>
      </c>
    </row>
    <row r="4816" spans="1:9" x14ac:dyDescent="0.2">
      <c r="A4816" t="str">
        <f>"Cyp2d34"</f>
        <v>Cyp2d34</v>
      </c>
      <c r="B4816" t="s">
        <v>14</v>
      </c>
      <c r="C4816" t="s">
        <v>25</v>
      </c>
      <c r="D4816" t="s">
        <v>11</v>
      </c>
      <c r="E4816" t="s">
        <v>12</v>
      </c>
      <c r="F4816">
        <v>82620931</v>
      </c>
      <c r="G4816">
        <v>82620947</v>
      </c>
      <c r="H4816">
        <v>82620931</v>
      </c>
      <c r="I4816">
        <v>82620947</v>
      </c>
    </row>
    <row r="4817" spans="1:9" x14ac:dyDescent="0.2">
      <c r="A4817" t="str">
        <f>"Cyp2d37-ps"</f>
        <v>Cyp2d37-ps</v>
      </c>
      <c r="B4817" t="s">
        <v>2329</v>
      </c>
      <c r="C4817" t="s">
        <v>25</v>
      </c>
      <c r="D4817" t="s">
        <v>11</v>
      </c>
      <c r="E4817" t="s">
        <v>20</v>
      </c>
      <c r="F4817">
        <v>82690498</v>
      </c>
      <c r="G4817">
        <v>82690498</v>
      </c>
      <c r="H4817">
        <v>82690498</v>
      </c>
      <c r="I4817">
        <v>82690498</v>
      </c>
    </row>
    <row r="4818" spans="1:9" x14ac:dyDescent="0.2">
      <c r="A4818" t="str">
        <f>"Cyp2d40"</f>
        <v>Cyp2d40</v>
      </c>
      <c r="B4818" t="s">
        <v>14</v>
      </c>
      <c r="C4818" t="s">
        <v>25</v>
      </c>
      <c r="D4818" t="s">
        <v>11</v>
      </c>
      <c r="E4818" t="s">
        <v>12</v>
      </c>
      <c r="F4818">
        <v>82764176</v>
      </c>
      <c r="G4818">
        <v>82764192</v>
      </c>
      <c r="H4818">
        <v>82764176</v>
      </c>
      <c r="I4818">
        <v>82764192</v>
      </c>
    </row>
    <row r="4819" spans="1:9" x14ac:dyDescent="0.2">
      <c r="A4819" t="str">
        <f>"Cyp2d9"</f>
        <v>Cyp2d9</v>
      </c>
      <c r="B4819" t="s">
        <v>14</v>
      </c>
      <c r="C4819" t="s">
        <v>25</v>
      </c>
      <c r="D4819" t="s">
        <v>17</v>
      </c>
      <c r="E4819" t="s">
        <v>12</v>
      </c>
      <c r="F4819">
        <v>82452372</v>
      </c>
      <c r="G4819">
        <v>82452385</v>
      </c>
      <c r="H4819">
        <v>82452372</v>
      </c>
      <c r="I4819">
        <v>82452385</v>
      </c>
    </row>
    <row r="4820" spans="1:9" x14ac:dyDescent="0.2">
      <c r="A4820" t="str">
        <f>"Cyp2e1"</f>
        <v>Cyp2e1</v>
      </c>
      <c r="B4820" t="s">
        <v>14</v>
      </c>
      <c r="C4820" t="s">
        <v>33</v>
      </c>
      <c r="D4820" t="s">
        <v>17</v>
      </c>
      <c r="E4820" t="s">
        <v>12</v>
      </c>
      <c r="F4820">
        <v>140763810</v>
      </c>
      <c r="G4820">
        <v>140763828</v>
      </c>
      <c r="H4820">
        <v>140763810</v>
      </c>
      <c r="I4820">
        <v>140763828</v>
      </c>
    </row>
    <row r="4821" spans="1:9" x14ac:dyDescent="0.2">
      <c r="A4821" t="str">
        <f>"Cyp2f2"</f>
        <v>Cyp2f2</v>
      </c>
      <c r="B4821" t="s">
        <v>14</v>
      </c>
      <c r="C4821" t="s">
        <v>33</v>
      </c>
      <c r="D4821" t="s">
        <v>17</v>
      </c>
      <c r="E4821" t="s">
        <v>12</v>
      </c>
      <c r="F4821">
        <v>27119948</v>
      </c>
      <c r="G4821">
        <v>27119966</v>
      </c>
      <c r="H4821">
        <v>27119948</v>
      </c>
      <c r="I4821">
        <v>27119966</v>
      </c>
    </row>
    <row r="4822" spans="1:9" x14ac:dyDescent="0.2">
      <c r="A4822" t="str">
        <f>"Cyp2g1"</f>
        <v>Cyp2g1</v>
      </c>
      <c r="B4822" t="s">
        <v>14</v>
      </c>
      <c r="C4822" t="s">
        <v>33</v>
      </c>
      <c r="D4822" t="s">
        <v>17</v>
      </c>
      <c r="E4822" t="s">
        <v>12</v>
      </c>
      <c r="F4822">
        <v>26808880</v>
      </c>
      <c r="G4822">
        <v>26808909</v>
      </c>
      <c r="H4822">
        <v>26808880</v>
      </c>
      <c r="I4822">
        <v>26808909</v>
      </c>
    </row>
    <row r="4823" spans="1:9" x14ac:dyDescent="0.2">
      <c r="A4823" t="str">
        <f>"Cyp2j11"</f>
        <v>Cyp2j11</v>
      </c>
      <c r="B4823" t="s">
        <v>14</v>
      </c>
      <c r="C4823" t="s">
        <v>23</v>
      </c>
      <c r="D4823" t="s">
        <v>11</v>
      </c>
      <c r="E4823" t="s">
        <v>12</v>
      </c>
      <c r="F4823">
        <v>96348650</v>
      </c>
      <c r="G4823">
        <v>96348677</v>
      </c>
      <c r="H4823">
        <v>96348599</v>
      </c>
      <c r="I4823">
        <v>96348618</v>
      </c>
    </row>
    <row r="4824" spans="1:9" x14ac:dyDescent="0.2">
      <c r="A4824" t="str">
        <f>"Cyp2j12"</f>
        <v>Cyp2j12</v>
      </c>
      <c r="B4824" t="s">
        <v>14</v>
      </c>
      <c r="C4824" t="s">
        <v>23</v>
      </c>
      <c r="D4824" t="s">
        <v>11</v>
      </c>
      <c r="E4824" t="s">
        <v>12</v>
      </c>
      <c r="F4824">
        <v>96141149</v>
      </c>
      <c r="G4824">
        <v>96141158</v>
      </c>
      <c r="H4824">
        <v>96141149</v>
      </c>
      <c r="I4824">
        <v>96141158</v>
      </c>
    </row>
    <row r="4825" spans="1:9" x14ac:dyDescent="0.2">
      <c r="A4825" t="str">
        <f>"Cyp2j13"</f>
        <v>Cyp2j13</v>
      </c>
      <c r="B4825" t="s">
        <v>14</v>
      </c>
      <c r="C4825" t="s">
        <v>23</v>
      </c>
      <c r="D4825" t="s">
        <v>11</v>
      </c>
      <c r="E4825" t="s">
        <v>12</v>
      </c>
      <c r="F4825">
        <v>96077509</v>
      </c>
      <c r="G4825">
        <v>96077547</v>
      </c>
      <c r="H4825">
        <v>96077569</v>
      </c>
      <c r="I4825">
        <v>96077574</v>
      </c>
    </row>
    <row r="4826" spans="1:9" x14ac:dyDescent="0.2">
      <c r="A4826" t="str">
        <f>"Cyp2j5"</f>
        <v>Cyp2j5</v>
      </c>
      <c r="B4826" t="s">
        <v>14</v>
      </c>
      <c r="C4826" t="s">
        <v>23</v>
      </c>
      <c r="D4826" t="s">
        <v>11</v>
      </c>
      <c r="E4826" t="s">
        <v>12</v>
      </c>
      <c r="F4826">
        <v>96664112</v>
      </c>
      <c r="G4826">
        <v>96664162</v>
      </c>
      <c r="H4826">
        <v>96664078</v>
      </c>
      <c r="I4826">
        <v>96664098</v>
      </c>
    </row>
    <row r="4827" spans="1:9" x14ac:dyDescent="0.2">
      <c r="A4827" t="str">
        <f>"Cyp2j6"</f>
        <v>Cyp2j6</v>
      </c>
      <c r="B4827" t="s">
        <v>14</v>
      </c>
      <c r="C4827" t="s">
        <v>23</v>
      </c>
      <c r="D4827" t="s">
        <v>11</v>
      </c>
      <c r="E4827" t="s">
        <v>12</v>
      </c>
      <c r="F4827">
        <v>96553470</v>
      </c>
      <c r="G4827">
        <v>96553549</v>
      </c>
      <c r="H4827">
        <v>96553617</v>
      </c>
      <c r="I4827">
        <v>96553664</v>
      </c>
    </row>
    <row r="4828" spans="1:9" x14ac:dyDescent="0.2">
      <c r="A4828" t="str">
        <f>"Cyp2j7-ps"</f>
        <v>Cyp2j7-ps</v>
      </c>
      <c r="B4828" t="s">
        <v>2330</v>
      </c>
      <c r="C4828" t="s">
        <v>23</v>
      </c>
      <c r="D4828" t="s">
        <v>11</v>
      </c>
      <c r="E4828" t="s">
        <v>20</v>
      </c>
      <c r="F4828">
        <v>96236658</v>
      </c>
      <c r="G4828">
        <v>96236658</v>
      </c>
      <c r="H4828">
        <v>96236658</v>
      </c>
      <c r="I4828">
        <v>96236658</v>
      </c>
    </row>
    <row r="4829" spans="1:9" x14ac:dyDescent="0.2">
      <c r="A4829" t="str">
        <f>"Cyp2j8"</f>
        <v>Cyp2j8</v>
      </c>
      <c r="B4829" t="s">
        <v>14</v>
      </c>
      <c r="C4829" t="s">
        <v>23</v>
      </c>
      <c r="D4829" t="s">
        <v>11</v>
      </c>
      <c r="E4829" t="s">
        <v>12</v>
      </c>
      <c r="F4829">
        <v>96507477</v>
      </c>
      <c r="G4829">
        <v>96507486</v>
      </c>
      <c r="H4829">
        <v>96507445</v>
      </c>
      <c r="I4829">
        <v>96507452</v>
      </c>
    </row>
    <row r="4830" spans="1:9" x14ac:dyDescent="0.2">
      <c r="A4830" t="str">
        <f>"Cyp2j9"</f>
        <v>Cyp2j9</v>
      </c>
      <c r="B4830" t="s">
        <v>14</v>
      </c>
      <c r="C4830" t="s">
        <v>23</v>
      </c>
      <c r="D4830" t="s">
        <v>11</v>
      </c>
      <c r="E4830" t="s">
        <v>12</v>
      </c>
      <c r="F4830">
        <v>96591405</v>
      </c>
      <c r="G4830">
        <v>96591454</v>
      </c>
      <c r="H4830">
        <v>96591368</v>
      </c>
      <c r="I4830">
        <v>96591395</v>
      </c>
    </row>
    <row r="4831" spans="1:9" x14ac:dyDescent="0.2">
      <c r="A4831" t="str">
        <f>"Cyp2r1"</f>
        <v>Cyp2r1</v>
      </c>
      <c r="B4831" t="s">
        <v>14</v>
      </c>
      <c r="C4831" t="s">
        <v>33</v>
      </c>
      <c r="D4831" t="s">
        <v>11</v>
      </c>
      <c r="E4831" t="s">
        <v>12</v>
      </c>
      <c r="F4831">
        <v>114562945</v>
      </c>
      <c r="G4831">
        <v>114562989</v>
      </c>
      <c r="H4831">
        <v>114563001</v>
      </c>
      <c r="I4831">
        <v>114563012</v>
      </c>
    </row>
    <row r="4832" spans="1:9" x14ac:dyDescent="0.2">
      <c r="A4832" t="str">
        <f>"Cyp2s1"</f>
        <v>Cyp2s1</v>
      </c>
      <c r="B4832" t="s">
        <v>14</v>
      </c>
      <c r="C4832" t="s">
        <v>33</v>
      </c>
      <c r="D4832" t="s">
        <v>11</v>
      </c>
      <c r="E4832" t="s">
        <v>12</v>
      </c>
      <c r="F4832">
        <v>25816500</v>
      </c>
      <c r="G4832">
        <v>25816535</v>
      </c>
      <c r="H4832">
        <v>25816548</v>
      </c>
      <c r="I4832">
        <v>25816563</v>
      </c>
    </row>
    <row r="4833" spans="1:9" x14ac:dyDescent="0.2">
      <c r="A4833" t="str">
        <f>"Cyp2t4"</f>
        <v>Cyp2t4</v>
      </c>
      <c r="B4833" t="s">
        <v>14</v>
      </c>
      <c r="C4833" t="s">
        <v>33</v>
      </c>
      <c r="D4833" t="s">
        <v>17</v>
      </c>
      <c r="E4833" t="s">
        <v>12</v>
      </c>
      <c r="F4833">
        <v>27155096</v>
      </c>
      <c r="G4833">
        <v>27155114</v>
      </c>
      <c r="H4833">
        <v>27155096</v>
      </c>
      <c r="I4833">
        <v>27155114</v>
      </c>
    </row>
    <row r="4834" spans="1:9" x14ac:dyDescent="0.2">
      <c r="A4834" t="str">
        <f>"Cyp2u1"</f>
        <v>Cyp2u1</v>
      </c>
      <c r="B4834" t="s">
        <v>14</v>
      </c>
      <c r="C4834" t="s">
        <v>22</v>
      </c>
      <c r="D4834" t="s">
        <v>11</v>
      </c>
      <c r="E4834" t="s">
        <v>12</v>
      </c>
      <c r="F4834">
        <v>131303144</v>
      </c>
      <c r="G4834">
        <v>131303223</v>
      </c>
      <c r="H4834">
        <v>131303144</v>
      </c>
      <c r="I4834">
        <v>131303223</v>
      </c>
    </row>
    <row r="4835" spans="1:9" x14ac:dyDescent="0.2">
      <c r="A4835" t="str">
        <f>"Cyp2w1"</f>
        <v>Cyp2w1</v>
      </c>
      <c r="B4835" t="s">
        <v>14</v>
      </c>
      <c r="C4835" t="s">
        <v>46</v>
      </c>
      <c r="D4835" t="s">
        <v>17</v>
      </c>
      <c r="E4835" t="s">
        <v>12</v>
      </c>
      <c r="F4835">
        <v>139352607</v>
      </c>
      <c r="G4835">
        <v>139352623</v>
      </c>
      <c r="H4835">
        <v>139352607</v>
      </c>
      <c r="I4835">
        <v>139352623</v>
      </c>
    </row>
    <row r="4836" spans="1:9" x14ac:dyDescent="0.2">
      <c r="A4836" t="str">
        <f>"Cyp39a1"</f>
        <v>Cyp39a1</v>
      </c>
      <c r="B4836" t="s">
        <v>14</v>
      </c>
      <c r="C4836" t="s">
        <v>28</v>
      </c>
      <c r="D4836" t="s">
        <v>17</v>
      </c>
      <c r="E4836" t="s">
        <v>12</v>
      </c>
      <c r="F4836">
        <v>43667513</v>
      </c>
      <c r="G4836">
        <v>43667537</v>
      </c>
      <c r="H4836">
        <v>43667488</v>
      </c>
      <c r="I4836">
        <v>43667512</v>
      </c>
    </row>
    <row r="4837" spans="1:9" x14ac:dyDescent="0.2">
      <c r="A4837" t="str">
        <f>"Cyp3a11"</f>
        <v>Cyp3a11</v>
      </c>
      <c r="B4837" t="s">
        <v>14</v>
      </c>
      <c r="C4837" t="s">
        <v>46</v>
      </c>
      <c r="D4837" t="s">
        <v>11</v>
      </c>
      <c r="E4837" t="s">
        <v>12</v>
      </c>
      <c r="F4837">
        <v>145879857</v>
      </c>
      <c r="G4837">
        <v>145879872</v>
      </c>
      <c r="H4837">
        <v>145879857</v>
      </c>
      <c r="I4837">
        <v>145879872</v>
      </c>
    </row>
    <row r="4838" spans="1:9" x14ac:dyDescent="0.2">
      <c r="A4838" t="str">
        <f>"Cyp3a13"</f>
        <v>Cyp3a13</v>
      </c>
      <c r="B4838" t="s">
        <v>14</v>
      </c>
      <c r="C4838" t="s">
        <v>46</v>
      </c>
      <c r="D4838" t="s">
        <v>11</v>
      </c>
      <c r="E4838" t="s">
        <v>12</v>
      </c>
      <c r="F4838">
        <v>137921612</v>
      </c>
      <c r="G4838">
        <v>137921628</v>
      </c>
      <c r="H4838">
        <v>137921612</v>
      </c>
      <c r="I4838">
        <v>137921628</v>
      </c>
    </row>
    <row r="4839" spans="1:9" x14ac:dyDescent="0.2">
      <c r="A4839" t="str">
        <f>"Cyp3a16"</f>
        <v>Cyp3a16</v>
      </c>
      <c r="B4839" t="s">
        <v>2331</v>
      </c>
      <c r="C4839" t="s">
        <v>46</v>
      </c>
      <c r="D4839" t="s">
        <v>11</v>
      </c>
      <c r="E4839" t="s">
        <v>20</v>
      </c>
      <c r="F4839">
        <v>145469722</v>
      </c>
      <c r="G4839">
        <v>145469722</v>
      </c>
      <c r="H4839">
        <v>145469722</v>
      </c>
      <c r="I4839">
        <v>145469722</v>
      </c>
    </row>
    <row r="4840" spans="1:9" x14ac:dyDescent="0.2">
      <c r="A4840" t="str">
        <f>"Cyp3a25"</f>
        <v>Cyp3a25</v>
      </c>
      <c r="B4840" t="s">
        <v>14</v>
      </c>
      <c r="C4840" t="s">
        <v>46</v>
      </c>
      <c r="D4840" t="s">
        <v>11</v>
      </c>
      <c r="E4840" t="s">
        <v>12</v>
      </c>
      <c r="F4840">
        <v>146009701</v>
      </c>
      <c r="G4840">
        <v>146009714</v>
      </c>
      <c r="H4840">
        <v>146009621</v>
      </c>
      <c r="I4840">
        <v>146009643</v>
      </c>
    </row>
    <row r="4841" spans="1:9" x14ac:dyDescent="0.2">
      <c r="A4841" t="str">
        <f>"Cyp3a41a"</f>
        <v>Cyp3a41a</v>
      </c>
      <c r="B4841" t="s">
        <v>2332</v>
      </c>
      <c r="C4841" t="s">
        <v>46</v>
      </c>
      <c r="D4841" t="s">
        <v>11</v>
      </c>
      <c r="E4841" t="s">
        <v>20</v>
      </c>
      <c r="F4841">
        <v>145720135</v>
      </c>
      <c r="G4841">
        <v>145720135</v>
      </c>
      <c r="H4841">
        <v>145720135</v>
      </c>
      <c r="I4841">
        <v>145720135</v>
      </c>
    </row>
    <row r="4842" spans="1:9" x14ac:dyDescent="0.2">
      <c r="A4842" t="str">
        <f>"Cyp3a41b"</f>
        <v>Cyp3a41b</v>
      </c>
      <c r="B4842" t="s">
        <v>14</v>
      </c>
      <c r="C4842" t="s">
        <v>46</v>
      </c>
      <c r="D4842" t="s">
        <v>11</v>
      </c>
      <c r="E4842" t="s">
        <v>12</v>
      </c>
      <c r="F4842">
        <v>145584723</v>
      </c>
      <c r="G4842">
        <v>145584727</v>
      </c>
      <c r="H4842">
        <v>145584723</v>
      </c>
      <c r="I4842">
        <v>145584727</v>
      </c>
    </row>
    <row r="4843" spans="1:9" x14ac:dyDescent="0.2">
      <c r="A4843" t="str">
        <f>"Cyp3a44"</f>
        <v>Cyp3a44</v>
      </c>
      <c r="B4843" t="s">
        <v>14</v>
      </c>
      <c r="C4843" t="s">
        <v>46</v>
      </c>
      <c r="D4843" t="s">
        <v>11</v>
      </c>
      <c r="E4843" t="s">
        <v>12</v>
      </c>
      <c r="F4843">
        <v>145805862</v>
      </c>
      <c r="G4843">
        <v>145805876</v>
      </c>
      <c r="H4843">
        <v>145805862</v>
      </c>
      <c r="I4843">
        <v>145805876</v>
      </c>
    </row>
    <row r="4844" spans="1:9" x14ac:dyDescent="0.2">
      <c r="A4844" t="str">
        <f>"Cyp3a57"</f>
        <v>Cyp3a57</v>
      </c>
      <c r="B4844" t="s">
        <v>14</v>
      </c>
      <c r="C4844" t="s">
        <v>46</v>
      </c>
      <c r="D4844" t="s">
        <v>17</v>
      </c>
      <c r="E4844" t="s">
        <v>12</v>
      </c>
      <c r="F4844">
        <v>145345254</v>
      </c>
      <c r="G4844">
        <v>145345270</v>
      </c>
      <c r="H4844">
        <v>145345254</v>
      </c>
      <c r="I4844">
        <v>145345270</v>
      </c>
    </row>
    <row r="4845" spans="1:9" x14ac:dyDescent="0.2">
      <c r="A4845" t="str">
        <f>"Cyp3a59"</f>
        <v>Cyp3a59</v>
      </c>
      <c r="B4845" t="s">
        <v>14</v>
      </c>
      <c r="C4845" t="s">
        <v>46</v>
      </c>
      <c r="D4845" t="s">
        <v>17</v>
      </c>
      <c r="E4845" t="s">
        <v>12</v>
      </c>
      <c r="F4845">
        <v>146079254</v>
      </c>
      <c r="G4845">
        <v>146079258</v>
      </c>
      <c r="H4845">
        <v>146079254</v>
      </c>
      <c r="I4845">
        <v>146079258</v>
      </c>
    </row>
    <row r="4846" spans="1:9" x14ac:dyDescent="0.2">
      <c r="A4846" t="str">
        <f>"Cyp46a1"</f>
        <v>Cyp46a1</v>
      </c>
      <c r="B4846" t="s">
        <v>14</v>
      </c>
      <c r="C4846" t="s">
        <v>16</v>
      </c>
      <c r="D4846" t="s">
        <v>17</v>
      </c>
      <c r="E4846" t="s">
        <v>12</v>
      </c>
      <c r="F4846">
        <v>108334341</v>
      </c>
      <c r="G4846">
        <v>108334406</v>
      </c>
      <c r="H4846">
        <v>108334413</v>
      </c>
      <c r="I4846">
        <v>108334428</v>
      </c>
    </row>
    <row r="4847" spans="1:9" x14ac:dyDescent="0.2">
      <c r="A4847" t="str">
        <f>"Cyp4a10"</f>
        <v>Cyp4a10</v>
      </c>
      <c r="B4847" t="s">
        <v>14</v>
      </c>
      <c r="C4847" t="s">
        <v>23</v>
      </c>
      <c r="D4847" t="s">
        <v>17</v>
      </c>
      <c r="E4847" t="s">
        <v>12</v>
      </c>
      <c r="F4847">
        <v>115518300</v>
      </c>
      <c r="G4847">
        <v>115518334</v>
      </c>
      <c r="H4847">
        <v>115518300</v>
      </c>
      <c r="I4847">
        <v>115518334</v>
      </c>
    </row>
    <row r="4848" spans="1:9" x14ac:dyDescent="0.2">
      <c r="A4848" t="str">
        <f>"Cyp4a12a"</f>
        <v>Cyp4a12a</v>
      </c>
      <c r="B4848" t="s">
        <v>14</v>
      </c>
      <c r="C4848" t="s">
        <v>23</v>
      </c>
      <c r="D4848" t="s">
        <v>17</v>
      </c>
      <c r="E4848" t="s">
        <v>12</v>
      </c>
      <c r="F4848">
        <v>115298944</v>
      </c>
      <c r="G4848">
        <v>115298945</v>
      </c>
      <c r="H4848">
        <v>115298944</v>
      </c>
      <c r="I4848">
        <v>115298945</v>
      </c>
    </row>
    <row r="4849" spans="1:9" x14ac:dyDescent="0.2">
      <c r="A4849" t="str">
        <f>"Cyp4a12b"</f>
        <v>Cyp4a12b</v>
      </c>
      <c r="B4849" t="s">
        <v>2333</v>
      </c>
      <c r="C4849" t="s">
        <v>23</v>
      </c>
      <c r="D4849" t="s">
        <v>17</v>
      </c>
      <c r="E4849" t="s">
        <v>20</v>
      </c>
      <c r="F4849">
        <v>115411623</v>
      </c>
      <c r="G4849">
        <v>115411623</v>
      </c>
      <c r="H4849">
        <v>115411623</v>
      </c>
      <c r="I4849">
        <v>115411623</v>
      </c>
    </row>
    <row r="4850" spans="1:9" x14ac:dyDescent="0.2">
      <c r="A4850" t="str">
        <f>"Cyp4a14"</f>
        <v>Cyp4a14</v>
      </c>
      <c r="B4850" t="s">
        <v>14</v>
      </c>
      <c r="C4850" t="s">
        <v>23</v>
      </c>
      <c r="D4850" t="s">
        <v>11</v>
      </c>
      <c r="E4850" t="s">
        <v>12</v>
      </c>
      <c r="F4850">
        <v>115496129</v>
      </c>
      <c r="G4850">
        <v>115496147</v>
      </c>
      <c r="H4850">
        <v>115496129</v>
      </c>
      <c r="I4850">
        <v>115496147</v>
      </c>
    </row>
    <row r="4851" spans="1:9" x14ac:dyDescent="0.2">
      <c r="A4851" t="str">
        <f>"Cyp4a31"</f>
        <v>Cyp4a31</v>
      </c>
      <c r="B4851" t="s">
        <v>14</v>
      </c>
      <c r="C4851" t="s">
        <v>23</v>
      </c>
      <c r="D4851" t="s">
        <v>17</v>
      </c>
      <c r="E4851" t="s">
        <v>12</v>
      </c>
      <c r="F4851">
        <v>115563679</v>
      </c>
      <c r="G4851">
        <v>115563699</v>
      </c>
      <c r="H4851">
        <v>115563679</v>
      </c>
      <c r="I4851">
        <v>115563699</v>
      </c>
    </row>
    <row r="4852" spans="1:9" x14ac:dyDescent="0.2">
      <c r="A4852" t="str">
        <f>"Cyp4a32"</f>
        <v>Cyp4a32</v>
      </c>
      <c r="B4852" t="s">
        <v>2334</v>
      </c>
      <c r="C4852" t="s">
        <v>23</v>
      </c>
      <c r="D4852" t="s">
        <v>17</v>
      </c>
      <c r="E4852" t="s">
        <v>20</v>
      </c>
      <c r="F4852">
        <v>115600974</v>
      </c>
      <c r="G4852">
        <v>115600974</v>
      </c>
      <c r="H4852">
        <v>115600974</v>
      </c>
      <c r="I4852">
        <v>115600974</v>
      </c>
    </row>
    <row r="4853" spans="1:9" x14ac:dyDescent="0.2">
      <c r="A4853" t="str">
        <f>"Cyp4b1"</f>
        <v>Cyp4b1</v>
      </c>
      <c r="B4853" t="s">
        <v>14</v>
      </c>
      <c r="C4853" t="s">
        <v>23</v>
      </c>
      <c r="D4853" t="s">
        <v>11</v>
      </c>
      <c r="E4853" t="s">
        <v>12</v>
      </c>
      <c r="F4853">
        <v>115647710</v>
      </c>
      <c r="G4853">
        <v>115647728</v>
      </c>
      <c r="H4853">
        <v>115647710</v>
      </c>
      <c r="I4853">
        <v>115647728</v>
      </c>
    </row>
    <row r="4854" spans="1:9" x14ac:dyDescent="0.2">
      <c r="A4854" t="str">
        <f>"Cyp4f13"</f>
        <v>Cyp4f13</v>
      </c>
      <c r="B4854" t="s">
        <v>14</v>
      </c>
      <c r="C4854" t="s">
        <v>28</v>
      </c>
      <c r="D4854" t="s">
        <v>11</v>
      </c>
      <c r="E4854" t="s">
        <v>12</v>
      </c>
      <c r="F4854">
        <v>32947372</v>
      </c>
      <c r="G4854">
        <v>32947387</v>
      </c>
      <c r="H4854">
        <v>32947350</v>
      </c>
      <c r="I4854">
        <v>32947368</v>
      </c>
    </row>
    <row r="4855" spans="1:9" x14ac:dyDescent="0.2">
      <c r="A4855" t="str">
        <f>"Cyp4f14"</f>
        <v>Cyp4f14</v>
      </c>
      <c r="B4855" t="s">
        <v>14</v>
      </c>
      <c r="C4855" t="s">
        <v>28</v>
      </c>
      <c r="D4855" t="s">
        <v>11</v>
      </c>
      <c r="E4855" t="s">
        <v>12</v>
      </c>
      <c r="F4855">
        <v>32917320</v>
      </c>
      <c r="G4855">
        <v>32917342</v>
      </c>
      <c r="H4855">
        <v>32917048</v>
      </c>
      <c r="I4855">
        <v>32917118</v>
      </c>
    </row>
    <row r="4856" spans="1:9" x14ac:dyDescent="0.2">
      <c r="A4856" t="str">
        <f>"Cyp4f15"</f>
        <v>Cyp4f15</v>
      </c>
      <c r="B4856" t="s">
        <v>14</v>
      </c>
      <c r="C4856" t="s">
        <v>28</v>
      </c>
      <c r="D4856" t="s">
        <v>17</v>
      </c>
      <c r="E4856" t="s">
        <v>12</v>
      </c>
      <c r="F4856">
        <v>32685655</v>
      </c>
      <c r="G4856">
        <v>32685677</v>
      </c>
      <c r="H4856">
        <v>32685585</v>
      </c>
      <c r="I4856">
        <v>32685596</v>
      </c>
    </row>
    <row r="4857" spans="1:9" x14ac:dyDescent="0.2">
      <c r="A4857" t="str">
        <f>"Cyp4f16"</f>
        <v>Cyp4f16</v>
      </c>
      <c r="B4857" t="s">
        <v>14</v>
      </c>
      <c r="C4857" t="s">
        <v>28</v>
      </c>
      <c r="D4857" t="s">
        <v>17</v>
      </c>
      <c r="E4857" t="s">
        <v>12</v>
      </c>
      <c r="F4857">
        <v>32536576</v>
      </c>
      <c r="G4857">
        <v>32536615</v>
      </c>
      <c r="H4857">
        <v>32536555</v>
      </c>
      <c r="I4857">
        <v>32536573</v>
      </c>
    </row>
    <row r="4858" spans="1:9" x14ac:dyDescent="0.2">
      <c r="A4858" t="str">
        <f>"Cyp4f17"</f>
        <v>Cyp4f17</v>
      </c>
      <c r="B4858" t="s">
        <v>14</v>
      </c>
      <c r="C4858" t="s">
        <v>28</v>
      </c>
      <c r="D4858" t="s">
        <v>17</v>
      </c>
      <c r="E4858" t="s">
        <v>12</v>
      </c>
      <c r="F4858">
        <v>32506474</v>
      </c>
      <c r="G4858">
        <v>32506501</v>
      </c>
      <c r="H4858">
        <v>32506446</v>
      </c>
      <c r="I4858">
        <v>32506473</v>
      </c>
    </row>
    <row r="4859" spans="1:9" x14ac:dyDescent="0.2">
      <c r="A4859" t="str">
        <f>"Cyp4f18"</f>
        <v>Cyp4f18</v>
      </c>
      <c r="B4859" t="s">
        <v>14</v>
      </c>
      <c r="C4859" t="s">
        <v>30</v>
      </c>
      <c r="D4859" t="s">
        <v>11</v>
      </c>
      <c r="E4859" t="s">
        <v>12</v>
      </c>
      <c r="F4859">
        <v>72009619</v>
      </c>
      <c r="G4859">
        <v>72009634</v>
      </c>
      <c r="H4859">
        <v>72009619</v>
      </c>
      <c r="I4859">
        <v>72009634</v>
      </c>
    </row>
    <row r="4860" spans="1:9" x14ac:dyDescent="0.2">
      <c r="A4860" t="str">
        <f>"Cyp4f39"</f>
        <v>Cyp4f39</v>
      </c>
      <c r="B4860" t="s">
        <v>14</v>
      </c>
      <c r="C4860" t="s">
        <v>28</v>
      </c>
      <c r="D4860" t="s">
        <v>17</v>
      </c>
      <c r="E4860" t="s">
        <v>12</v>
      </c>
      <c r="F4860">
        <v>32452745</v>
      </c>
      <c r="G4860">
        <v>32452757</v>
      </c>
      <c r="H4860">
        <v>32452719</v>
      </c>
      <c r="I4860">
        <v>32452731</v>
      </c>
    </row>
    <row r="4861" spans="1:9" x14ac:dyDescent="0.2">
      <c r="A4861" t="str">
        <f>"Cyp4f40"</f>
        <v>Cyp4f40</v>
      </c>
      <c r="B4861" t="s">
        <v>14</v>
      </c>
      <c r="C4861" t="s">
        <v>28</v>
      </c>
      <c r="D4861" t="s">
        <v>17</v>
      </c>
      <c r="E4861" t="s">
        <v>12</v>
      </c>
      <c r="F4861">
        <v>32658878</v>
      </c>
      <c r="G4861">
        <v>32658913</v>
      </c>
      <c r="H4861">
        <v>32658878</v>
      </c>
      <c r="I4861">
        <v>32658913</v>
      </c>
    </row>
    <row r="4862" spans="1:9" x14ac:dyDescent="0.2">
      <c r="A4862" t="str">
        <f>"Cyp4v3"</f>
        <v>Cyp4v3</v>
      </c>
      <c r="B4862" t="s">
        <v>14</v>
      </c>
      <c r="C4862" t="s">
        <v>30</v>
      </c>
      <c r="D4862" t="s">
        <v>11</v>
      </c>
      <c r="E4862" t="s">
        <v>12</v>
      </c>
      <c r="F4862">
        <v>45333124</v>
      </c>
      <c r="G4862">
        <v>45333176</v>
      </c>
      <c r="H4862">
        <v>45333189</v>
      </c>
      <c r="I4862">
        <v>45333208</v>
      </c>
    </row>
    <row r="4863" spans="1:9" x14ac:dyDescent="0.2">
      <c r="A4863" t="str">
        <f>"Cyp4x1"</f>
        <v>Cyp4x1</v>
      </c>
      <c r="B4863" t="s">
        <v>14</v>
      </c>
      <c r="C4863" t="s">
        <v>23</v>
      </c>
      <c r="D4863" t="s">
        <v>11</v>
      </c>
      <c r="E4863" t="s">
        <v>12</v>
      </c>
      <c r="F4863">
        <v>115134063</v>
      </c>
      <c r="G4863">
        <v>115134084</v>
      </c>
      <c r="H4863">
        <v>115134011</v>
      </c>
      <c r="I4863">
        <v>115134036</v>
      </c>
    </row>
    <row r="4864" spans="1:9" x14ac:dyDescent="0.2">
      <c r="A4864" t="str">
        <f>"Cyp51"</f>
        <v>Cyp51</v>
      </c>
      <c r="B4864" t="s">
        <v>14</v>
      </c>
      <c r="C4864" t="s">
        <v>46</v>
      </c>
      <c r="D4864" t="s">
        <v>11</v>
      </c>
      <c r="E4864" t="s">
        <v>12</v>
      </c>
      <c r="F4864">
        <v>4104391</v>
      </c>
      <c r="G4864">
        <v>4104443</v>
      </c>
      <c r="H4864">
        <v>4104654</v>
      </c>
      <c r="I4864">
        <v>4104792</v>
      </c>
    </row>
    <row r="4865" spans="1:9" x14ac:dyDescent="0.2">
      <c r="A4865" t="str">
        <f>"Cyp7a1"</f>
        <v>Cyp7a1</v>
      </c>
      <c r="B4865" t="s">
        <v>14</v>
      </c>
      <c r="C4865" t="s">
        <v>23</v>
      </c>
      <c r="D4865" t="s">
        <v>11</v>
      </c>
      <c r="E4865" t="s">
        <v>12</v>
      </c>
      <c r="F4865">
        <v>6275629</v>
      </c>
      <c r="G4865">
        <v>6275634</v>
      </c>
      <c r="H4865">
        <v>6275629</v>
      </c>
      <c r="I4865">
        <v>6275634</v>
      </c>
    </row>
    <row r="4866" spans="1:9" x14ac:dyDescent="0.2">
      <c r="A4866" t="str">
        <f>"Cyp7b1"</f>
        <v>Cyp7b1</v>
      </c>
      <c r="B4866" t="s">
        <v>14</v>
      </c>
      <c r="C4866" t="s">
        <v>22</v>
      </c>
      <c r="D4866" t="s">
        <v>11</v>
      </c>
      <c r="E4866" t="s">
        <v>12</v>
      </c>
      <c r="F4866">
        <v>18243289</v>
      </c>
      <c r="G4866">
        <v>18243349</v>
      </c>
      <c r="H4866">
        <v>18243413</v>
      </c>
      <c r="I4866">
        <v>18243449</v>
      </c>
    </row>
    <row r="4867" spans="1:9" x14ac:dyDescent="0.2">
      <c r="A4867" t="str">
        <f>"Cyp8b1"</f>
        <v>Cyp8b1</v>
      </c>
      <c r="B4867" t="s">
        <v>14</v>
      </c>
      <c r="C4867" t="s">
        <v>24</v>
      </c>
      <c r="D4867" t="s">
        <v>11</v>
      </c>
      <c r="E4867" t="s">
        <v>12</v>
      </c>
      <c r="F4867">
        <v>121916288</v>
      </c>
      <c r="G4867">
        <v>121916315</v>
      </c>
      <c r="H4867">
        <v>121916288</v>
      </c>
      <c r="I4867">
        <v>121916315</v>
      </c>
    </row>
    <row r="4868" spans="1:9" x14ac:dyDescent="0.2">
      <c r="A4868" t="str">
        <f>"Cypt1"</f>
        <v>Cypt1</v>
      </c>
      <c r="B4868" t="s">
        <v>14</v>
      </c>
      <c r="C4868" t="s">
        <v>37</v>
      </c>
      <c r="D4868" t="s">
        <v>17</v>
      </c>
      <c r="E4868" t="s">
        <v>12</v>
      </c>
      <c r="F4868">
        <v>16522871</v>
      </c>
      <c r="G4868">
        <v>16522874</v>
      </c>
      <c r="H4868">
        <v>16522871</v>
      </c>
      <c r="I4868">
        <v>16522874</v>
      </c>
    </row>
    <row r="4869" spans="1:9" x14ac:dyDescent="0.2">
      <c r="A4869" t="str">
        <f>"Cypt12"</f>
        <v>Cypt12</v>
      </c>
      <c r="B4869" t="s">
        <v>14</v>
      </c>
      <c r="C4869" t="s">
        <v>22</v>
      </c>
      <c r="D4869" t="s">
        <v>17</v>
      </c>
      <c r="E4869" t="s">
        <v>12</v>
      </c>
      <c r="F4869">
        <v>17948436</v>
      </c>
      <c r="G4869">
        <v>17948450</v>
      </c>
      <c r="H4869">
        <v>17948436</v>
      </c>
      <c r="I4869">
        <v>17948450</v>
      </c>
    </row>
    <row r="4870" spans="1:9" x14ac:dyDescent="0.2">
      <c r="A4870" t="str">
        <f>"Cypt14"</f>
        <v>Cypt14</v>
      </c>
      <c r="B4870" t="s">
        <v>2335</v>
      </c>
      <c r="C4870" t="s">
        <v>37</v>
      </c>
      <c r="D4870" t="s">
        <v>11</v>
      </c>
      <c r="E4870" t="s">
        <v>20</v>
      </c>
      <c r="F4870">
        <v>39863603</v>
      </c>
      <c r="G4870">
        <v>39863603</v>
      </c>
      <c r="H4870">
        <v>39863603</v>
      </c>
      <c r="I4870">
        <v>39863603</v>
      </c>
    </row>
    <row r="4871" spans="1:9" x14ac:dyDescent="0.2">
      <c r="A4871" t="str">
        <f>"Cypt15"</f>
        <v>Cypt15</v>
      </c>
      <c r="B4871" t="s">
        <v>14</v>
      </c>
      <c r="C4871" t="s">
        <v>37</v>
      </c>
      <c r="D4871" t="s">
        <v>17</v>
      </c>
      <c r="E4871" t="s">
        <v>12</v>
      </c>
      <c r="F4871">
        <v>39346264</v>
      </c>
      <c r="G4871">
        <v>39346266</v>
      </c>
      <c r="H4871">
        <v>39346264</v>
      </c>
      <c r="I4871">
        <v>39346266</v>
      </c>
    </row>
    <row r="4872" spans="1:9" x14ac:dyDescent="0.2">
      <c r="A4872" t="str">
        <f>"Cypt2"</f>
        <v>Cypt2</v>
      </c>
      <c r="B4872" t="s">
        <v>14</v>
      </c>
      <c r="C4872" t="s">
        <v>37</v>
      </c>
      <c r="D4872" t="s">
        <v>17</v>
      </c>
      <c r="E4872" t="s">
        <v>67</v>
      </c>
      <c r="F4872">
        <v>105499768</v>
      </c>
      <c r="G4872">
        <v>105499773</v>
      </c>
      <c r="H4872">
        <v>105499768</v>
      </c>
      <c r="I4872">
        <v>105499773</v>
      </c>
    </row>
    <row r="4873" spans="1:9" x14ac:dyDescent="0.2">
      <c r="A4873" t="str">
        <f>"Cypt3"</f>
        <v>Cypt3</v>
      </c>
      <c r="B4873" t="s">
        <v>14</v>
      </c>
      <c r="C4873" t="s">
        <v>37</v>
      </c>
      <c r="D4873" t="s">
        <v>17</v>
      </c>
      <c r="E4873" t="s">
        <v>12</v>
      </c>
      <c r="F4873">
        <v>153558591</v>
      </c>
      <c r="G4873">
        <v>153558594</v>
      </c>
      <c r="H4873">
        <v>153558591</v>
      </c>
      <c r="I4873">
        <v>153558594</v>
      </c>
    </row>
    <row r="4874" spans="1:9" x14ac:dyDescent="0.2">
      <c r="A4874" t="str">
        <f>"Cypt4"</f>
        <v>Cypt4</v>
      </c>
      <c r="B4874" t="s">
        <v>14</v>
      </c>
      <c r="C4874" t="s">
        <v>24</v>
      </c>
      <c r="D4874" t="s">
        <v>17</v>
      </c>
      <c r="E4874" t="s">
        <v>67</v>
      </c>
      <c r="F4874">
        <v>24625191</v>
      </c>
      <c r="G4874">
        <v>24625201</v>
      </c>
      <c r="H4874">
        <v>24625191</v>
      </c>
      <c r="I4874">
        <v>24625201</v>
      </c>
    </row>
    <row r="4875" spans="1:9" x14ac:dyDescent="0.2">
      <c r="A4875" t="str">
        <f>"Cyr61"</f>
        <v>Cyr61</v>
      </c>
      <c r="B4875" t="s">
        <v>14</v>
      </c>
      <c r="C4875" t="s">
        <v>22</v>
      </c>
      <c r="D4875" t="s">
        <v>11</v>
      </c>
      <c r="E4875" t="s">
        <v>12</v>
      </c>
      <c r="F4875">
        <v>145649970</v>
      </c>
      <c r="G4875">
        <v>145649992</v>
      </c>
      <c r="H4875">
        <v>145649970</v>
      </c>
      <c r="I4875">
        <v>145649992</v>
      </c>
    </row>
    <row r="4876" spans="1:9" x14ac:dyDescent="0.2">
      <c r="A4876" t="str">
        <f>"Cys1"</f>
        <v>Cys1</v>
      </c>
      <c r="B4876" t="s">
        <v>14</v>
      </c>
      <c r="C4876" t="s">
        <v>16</v>
      </c>
      <c r="D4876" t="s">
        <v>11</v>
      </c>
      <c r="E4876" t="s">
        <v>12</v>
      </c>
      <c r="F4876">
        <v>24681776</v>
      </c>
      <c r="G4876">
        <v>24681812</v>
      </c>
      <c r="H4876">
        <v>24681826</v>
      </c>
      <c r="I4876">
        <v>24681844</v>
      </c>
    </row>
    <row r="4877" spans="1:9" x14ac:dyDescent="0.2">
      <c r="A4877" t="str">
        <f>"Cysltr1"</f>
        <v>Cysltr1</v>
      </c>
      <c r="B4877" t="s">
        <v>14</v>
      </c>
      <c r="C4877" t="s">
        <v>37</v>
      </c>
      <c r="D4877" t="s">
        <v>11</v>
      </c>
      <c r="E4877" t="s">
        <v>12</v>
      </c>
      <c r="F4877">
        <v>106603677</v>
      </c>
      <c r="G4877">
        <v>106603702</v>
      </c>
      <c r="H4877">
        <v>106603456</v>
      </c>
      <c r="I4877">
        <v>106603485</v>
      </c>
    </row>
    <row r="4878" spans="1:9" x14ac:dyDescent="0.2">
      <c r="A4878" t="str">
        <f>"Cysltr2"</f>
        <v>Cysltr2</v>
      </c>
      <c r="B4878" t="s">
        <v>14</v>
      </c>
      <c r="C4878" t="s">
        <v>41</v>
      </c>
      <c r="D4878" t="s">
        <v>11</v>
      </c>
      <c r="E4878" t="s">
        <v>12</v>
      </c>
      <c r="F4878">
        <v>73049107</v>
      </c>
      <c r="G4878">
        <v>73049120</v>
      </c>
      <c r="H4878">
        <v>73049065</v>
      </c>
      <c r="I4878">
        <v>73049077</v>
      </c>
    </row>
    <row r="4879" spans="1:9" x14ac:dyDescent="0.2">
      <c r="A4879" t="str">
        <f>"Cystm1"</f>
        <v>Cystm1</v>
      </c>
      <c r="B4879" t="s">
        <v>14</v>
      </c>
      <c r="C4879" t="s">
        <v>43</v>
      </c>
      <c r="D4879" t="s">
        <v>17</v>
      </c>
      <c r="E4879" t="s">
        <v>67</v>
      </c>
      <c r="F4879">
        <v>36348653</v>
      </c>
      <c r="G4879">
        <v>36348728</v>
      </c>
      <c r="H4879">
        <v>36348739</v>
      </c>
      <c r="I4879">
        <v>36348779</v>
      </c>
    </row>
    <row r="4880" spans="1:9" x14ac:dyDescent="0.2">
      <c r="A4880" t="str">
        <f>"Cyth1"</f>
        <v>Cyth1</v>
      </c>
      <c r="B4880" t="s">
        <v>14</v>
      </c>
      <c r="C4880" t="s">
        <v>27</v>
      </c>
      <c r="D4880" t="s">
        <v>11</v>
      </c>
      <c r="E4880" t="s">
        <v>12</v>
      </c>
      <c r="F4880">
        <v>118248507</v>
      </c>
      <c r="G4880">
        <v>118248571</v>
      </c>
      <c r="H4880">
        <v>118248507</v>
      </c>
      <c r="I4880">
        <v>118248571</v>
      </c>
    </row>
    <row r="4881" spans="1:9" x14ac:dyDescent="0.2">
      <c r="A4881" t="str">
        <f>"Cyth2"</f>
        <v>Cyth2</v>
      </c>
      <c r="B4881" t="s">
        <v>14</v>
      </c>
      <c r="C4881" t="s">
        <v>33</v>
      </c>
      <c r="D4881" t="s">
        <v>11</v>
      </c>
      <c r="E4881" t="s">
        <v>12</v>
      </c>
      <c r="F4881">
        <v>45814248</v>
      </c>
      <c r="G4881">
        <v>45814276</v>
      </c>
      <c r="H4881">
        <v>45814277</v>
      </c>
      <c r="I4881">
        <v>45814300</v>
      </c>
    </row>
    <row r="4882" spans="1:9" x14ac:dyDescent="0.2">
      <c r="A4882" t="str">
        <f>"Cyth3"</f>
        <v>Cyth3</v>
      </c>
      <c r="B4882" t="s">
        <v>14</v>
      </c>
      <c r="C4882" t="s">
        <v>46</v>
      </c>
      <c r="D4882" t="s">
        <v>17</v>
      </c>
      <c r="E4882" t="s">
        <v>12</v>
      </c>
      <c r="F4882">
        <v>143622466</v>
      </c>
      <c r="G4882">
        <v>143622548</v>
      </c>
      <c r="H4882">
        <v>143622440</v>
      </c>
      <c r="I4882">
        <v>143622459</v>
      </c>
    </row>
    <row r="4883" spans="1:9" x14ac:dyDescent="0.2">
      <c r="A4883" t="str">
        <f>"Cyth4"</f>
        <v>Cyth4</v>
      </c>
      <c r="B4883" t="s">
        <v>14</v>
      </c>
      <c r="C4883" t="s">
        <v>25</v>
      </c>
      <c r="D4883" t="s">
        <v>17</v>
      </c>
      <c r="E4883" t="s">
        <v>12</v>
      </c>
      <c r="F4883">
        <v>78597133</v>
      </c>
      <c r="G4883">
        <v>78597152</v>
      </c>
      <c r="H4883">
        <v>78597112</v>
      </c>
      <c r="I4883">
        <v>78597121</v>
      </c>
    </row>
    <row r="4884" spans="1:9" x14ac:dyDescent="0.2">
      <c r="A4884" t="str">
        <f>"Cytip"</f>
        <v>Cytip</v>
      </c>
      <c r="B4884" t="s">
        <v>14</v>
      </c>
      <c r="C4884" t="s">
        <v>26</v>
      </c>
      <c r="D4884" t="s">
        <v>11</v>
      </c>
      <c r="E4884" t="s">
        <v>12</v>
      </c>
      <c r="F4884">
        <v>58160114</v>
      </c>
      <c r="G4884">
        <v>58160128</v>
      </c>
      <c r="H4884">
        <v>58160114</v>
      </c>
      <c r="I4884">
        <v>58160128</v>
      </c>
    </row>
    <row r="4885" spans="1:9" x14ac:dyDescent="0.2">
      <c r="A4885" t="str">
        <f>"Cytl1"</f>
        <v>Cytl1</v>
      </c>
      <c r="B4885" t="s">
        <v>14</v>
      </c>
      <c r="C4885" t="s">
        <v>46</v>
      </c>
      <c r="D4885" t="s">
        <v>17</v>
      </c>
      <c r="E4885" t="s">
        <v>12</v>
      </c>
      <c r="F4885">
        <v>37735526</v>
      </c>
      <c r="G4885">
        <v>37735545</v>
      </c>
      <c r="H4885">
        <v>37735526</v>
      </c>
      <c r="I4885">
        <v>37735545</v>
      </c>
    </row>
    <row r="4886" spans="1:9" x14ac:dyDescent="0.2">
      <c r="A4886" t="str">
        <f>"Cyyr1"</f>
        <v>Cyyr1</v>
      </c>
      <c r="B4886" t="s">
        <v>14</v>
      </c>
      <c r="C4886" t="s">
        <v>31</v>
      </c>
      <c r="D4886" t="s">
        <v>11</v>
      </c>
      <c r="E4886" t="s">
        <v>12</v>
      </c>
      <c r="F4886">
        <v>85550386</v>
      </c>
      <c r="G4886">
        <v>85550402</v>
      </c>
      <c r="H4886">
        <v>85550424</v>
      </c>
      <c r="I4886">
        <v>85550432</v>
      </c>
    </row>
    <row r="4887" spans="1:9" x14ac:dyDescent="0.2">
      <c r="A4887" t="str">
        <f>"D030025P21Rik"</f>
        <v>D030025P21Rik</v>
      </c>
      <c r="B4887" t="s">
        <v>14</v>
      </c>
      <c r="C4887" t="s">
        <v>16</v>
      </c>
      <c r="D4887" t="s">
        <v>17</v>
      </c>
      <c r="E4887" t="s">
        <v>12</v>
      </c>
      <c r="F4887">
        <v>84875970</v>
      </c>
      <c r="G4887">
        <v>84875977</v>
      </c>
      <c r="H4887">
        <v>84875970</v>
      </c>
      <c r="I4887">
        <v>84875977</v>
      </c>
    </row>
    <row r="4888" spans="1:9" x14ac:dyDescent="0.2">
      <c r="A4888" t="str">
        <f>"D030056L22Rik"</f>
        <v>D030056L22Rik</v>
      </c>
      <c r="B4888" t="s">
        <v>14</v>
      </c>
      <c r="C4888" t="s">
        <v>10</v>
      </c>
      <c r="D4888" t="s">
        <v>17</v>
      </c>
      <c r="E4888" t="s">
        <v>12</v>
      </c>
      <c r="F4888">
        <v>18713225</v>
      </c>
      <c r="G4888">
        <v>18713243</v>
      </c>
      <c r="H4888">
        <v>18713192</v>
      </c>
      <c r="I4888">
        <v>18713212</v>
      </c>
    </row>
    <row r="4889" spans="1:9" x14ac:dyDescent="0.2">
      <c r="A4889" t="str">
        <f>"D030062O11Rik"</f>
        <v>D030062O11Rik</v>
      </c>
      <c r="B4889" t="s">
        <v>2336</v>
      </c>
      <c r="C4889" t="s">
        <v>24</v>
      </c>
      <c r="D4889" t="s">
        <v>17</v>
      </c>
      <c r="E4889" t="s">
        <v>20</v>
      </c>
      <c r="F4889">
        <v>87729284</v>
      </c>
      <c r="G4889">
        <v>87729284</v>
      </c>
      <c r="H4889">
        <v>87729284</v>
      </c>
      <c r="I4889">
        <v>87729284</v>
      </c>
    </row>
    <row r="4890" spans="1:9" x14ac:dyDescent="0.2">
      <c r="A4890" t="str">
        <f>"D10Bwg1379e"</f>
        <v>D10Bwg1379e</v>
      </c>
      <c r="B4890" t="s">
        <v>14</v>
      </c>
      <c r="C4890" t="s">
        <v>15</v>
      </c>
      <c r="D4890" t="s">
        <v>11</v>
      </c>
      <c r="E4890" t="s">
        <v>12</v>
      </c>
      <c r="F4890">
        <v>18743691</v>
      </c>
      <c r="G4890">
        <v>18743760</v>
      </c>
      <c r="H4890">
        <v>18743691</v>
      </c>
      <c r="I4890">
        <v>18743760</v>
      </c>
    </row>
    <row r="4891" spans="1:9" x14ac:dyDescent="0.2">
      <c r="A4891" t="str">
        <f>"D10Jhu81e"</f>
        <v>D10Jhu81e</v>
      </c>
      <c r="B4891" t="s">
        <v>14</v>
      </c>
      <c r="C4891" t="s">
        <v>15</v>
      </c>
      <c r="D4891" t="s">
        <v>11</v>
      </c>
      <c r="E4891" t="s">
        <v>12</v>
      </c>
      <c r="F4891">
        <v>78169726</v>
      </c>
      <c r="G4891">
        <v>78169792</v>
      </c>
      <c r="H4891">
        <v>78169726</v>
      </c>
      <c r="I4891">
        <v>78169792</v>
      </c>
    </row>
    <row r="4892" spans="1:9" x14ac:dyDescent="0.2">
      <c r="A4892" t="str">
        <f>"D10Wsu102e"</f>
        <v>D10Wsu102e</v>
      </c>
      <c r="B4892" t="s">
        <v>14</v>
      </c>
      <c r="C4892" t="s">
        <v>15</v>
      </c>
      <c r="D4892" t="s">
        <v>17</v>
      </c>
      <c r="E4892" t="s">
        <v>12</v>
      </c>
      <c r="F4892">
        <v>83360206</v>
      </c>
      <c r="G4892">
        <v>83360264</v>
      </c>
      <c r="H4892">
        <v>83360111</v>
      </c>
      <c r="I4892">
        <v>83360121</v>
      </c>
    </row>
    <row r="4893" spans="1:9" x14ac:dyDescent="0.2">
      <c r="A4893" t="str">
        <f>"D11Wsu47e"</f>
        <v>D11Wsu47e</v>
      </c>
      <c r="B4893" t="s">
        <v>14</v>
      </c>
      <c r="C4893" t="s">
        <v>27</v>
      </c>
      <c r="D4893" t="s">
        <v>17</v>
      </c>
      <c r="E4893" t="s">
        <v>12</v>
      </c>
      <c r="F4893">
        <v>113684425</v>
      </c>
      <c r="G4893">
        <v>113684480</v>
      </c>
      <c r="H4893">
        <v>113684399</v>
      </c>
      <c r="I4893">
        <v>113684422</v>
      </c>
    </row>
    <row r="4894" spans="1:9" x14ac:dyDescent="0.2">
      <c r="A4894" t="str">
        <f>"D130040H23Rik"</f>
        <v>D130040H23Rik</v>
      </c>
      <c r="B4894" t="s">
        <v>14</v>
      </c>
      <c r="C4894" t="s">
        <v>30</v>
      </c>
      <c r="D4894" t="s">
        <v>17</v>
      </c>
      <c r="E4894" t="s">
        <v>12</v>
      </c>
      <c r="F4894">
        <v>69271090</v>
      </c>
      <c r="G4894">
        <v>69271143</v>
      </c>
      <c r="H4894">
        <v>69271074</v>
      </c>
      <c r="I4894">
        <v>69271084</v>
      </c>
    </row>
    <row r="4895" spans="1:9" x14ac:dyDescent="0.2">
      <c r="A4895" t="str">
        <f>"D130043K22Rik"</f>
        <v>D130043K22Rik</v>
      </c>
      <c r="B4895" t="s">
        <v>14</v>
      </c>
      <c r="C4895" t="s">
        <v>39</v>
      </c>
      <c r="D4895" t="s">
        <v>17</v>
      </c>
      <c r="E4895" t="s">
        <v>12</v>
      </c>
      <c r="F4895">
        <v>24845122</v>
      </c>
      <c r="G4895">
        <v>24845186</v>
      </c>
      <c r="H4895">
        <v>24845106</v>
      </c>
      <c r="I4895">
        <v>24845120</v>
      </c>
    </row>
    <row r="4896" spans="1:9" x14ac:dyDescent="0.2">
      <c r="A4896" t="str">
        <f>"D130052B06Rik"</f>
        <v>D130052B06Rik</v>
      </c>
      <c r="B4896" t="s">
        <v>2337</v>
      </c>
      <c r="C4896" t="s">
        <v>27</v>
      </c>
      <c r="D4896" t="s">
        <v>17</v>
      </c>
      <c r="E4896" t="s">
        <v>20</v>
      </c>
      <c r="F4896">
        <v>33599301</v>
      </c>
      <c r="G4896">
        <v>33599301</v>
      </c>
      <c r="H4896">
        <v>33599301</v>
      </c>
      <c r="I4896">
        <v>33599301</v>
      </c>
    </row>
    <row r="4897" spans="1:9" x14ac:dyDescent="0.2">
      <c r="A4897" t="str">
        <f>"D130058E05Rik"</f>
        <v>D130058E05Rik</v>
      </c>
      <c r="B4897" t="s">
        <v>14</v>
      </c>
      <c r="C4897" t="s">
        <v>19</v>
      </c>
      <c r="D4897" t="s">
        <v>17</v>
      </c>
      <c r="E4897" t="s">
        <v>67</v>
      </c>
      <c r="F4897">
        <v>89930220</v>
      </c>
      <c r="G4897">
        <v>89930242</v>
      </c>
      <c r="H4897">
        <v>89930185</v>
      </c>
      <c r="I4897">
        <v>89930187</v>
      </c>
    </row>
    <row r="4898" spans="1:9" x14ac:dyDescent="0.2">
      <c r="A4898" t="str">
        <f>"D130062J21Rik"</f>
        <v>D130062J21Rik</v>
      </c>
      <c r="B4898" t="s">
        <v>14</v>
      </c>
      <c r="C4898" t="s">
        <v>23</v>
      </c>
      <c r="D4898" t="s">
        <v>17</v>
      </c>
      <c r="E4898" t="s">
        <v>12</v>
      </c>
      <c r="F4898">
        <v>32243242</v>
      </c>
      <c r="G4898">
        <v>32243245</v>
      </c>
      <c r="H4898">
        <v>32243242</v>
      </c>
      <c r="I4898">
        <v>32243245</v>
      </c>
    </row>
    <row r="4899" spans="1:9" x14ac:dyDescent="0.2">
      <c r="A4899" t="str">
        <f>"D13Ertd608e"</f>
        <v>D13Ertd608e</v>
      </c>
      <c r="B4899" t="s">
        <v>2338</v>
      </c>
      <c r="C4899" t="s">
        <v>39</v>
      </c>
      <c r="D4899" t="s">
        <v>17</v>
      </c>
      <c r="E4899" t="s">
        <v>20</v>
      </c>
      <c r="F4899">
        <v>119836005</v>
      </c>
      <c r="G4899">
        <v>119836005</v>
      </c>
      <c r="H4899">
        <v>119836005</v>
      </c>
      <c r="I4899">
        <v>119836005</v>
      </c>
    </row>
    <row r="4900" spans="1:9" x14ac:dyDescent="0.2">
      <c r="A4900" t="str">
        <f>"D14Abb1e"</f>
        <v>D14Abb1e</v>
      </c>
      <c r="B4900" t="s">
        <v>14</v>
      </c>
      <c r="C4900" t="s">
        <v>41</v>
      </c>
      <c r="D4900" t="s">
        <v>17</v>
      </c>
      <c r="E4900" t="s">
        <v>12</v>
      </c>
      <c r="F4900">
        <v>27428790</v>
      </c>
      <c r="G4900">
        <v>27428874</v>
      </c>
      <c r="H4900">
        <v>27429028</v>
      </c>
      <c r="I4900">
        <v>27429069</v>
      </c>
    </row>
    <row r="4901" spans="1:9" x14ac:dyDescent="0.2">
      <c r="A4901" t="str">
        <f>"D15Ertd621e"</f>
        <v>D15Ertd621e</v>
      </c>
      <c r="B4901" t="s">
        <v>14</v>
      </c>
      <c r="C4901" t="s">
        <v>25</v>
      </c>
      <c r="D4901" t="s">
        <v>17</v>
      </c>
      <c r="E4901" t="s">
        <v>12</v>
      </c>
      <c r="F4901">
        <v>58415456</v>
      </c>
      <c r="G4901">
        <v>58415512</v>
      </c>
      <c r="H4901">
        <v>58415521</v>
      </c>
      <c r="I4901">
        <v>58415534</v>
      </c>
    </row>
    <row r="4902" spans="1:9" x14ac:dyDescent="0.2">
      <c r="A4902" t="str">
        <f>"D16Ertd472e"</f>
        <v>D16Ertd472e</v>
      </c>
      <c r="B4902" t="s">
        <v>14</v>
      </c>
      <c r="C4902" t="s">
        <v>31</v>
      </c>
      <c r="D4902" t="s">
        <v>11</v>
      </c>
      <c r="E4902" t="s">
        <v>12</v>
      </c>
      <c r="F4902">
        <v>78576649</v>
      </c>
      <c r="G4902">
        <v>78576666</v>
      </c>
      <c r="H4902">
        <v>78576622</v>
      </c>
      <c r="I4902">
        <v>78576645</v>
      </c>
    </row>
    <row r="4903" spans="1:9" x14ac:dyDescent="0.2">
      <c r="A4903" t="str">
        <f>"D17H6S53E"</f>
        <v>D17H6S53E</v>
      </c>
      <c r="B4903" t="s">
        <v>14</v>
      </c>
      <c r="C4903" t="s">
        <v>28</v>
      </c>
      <c r="D4903" t="s">
        <v>17</v>
      </c>
      <c r="E4903" t="s">
        <v>12</v>
      </c>
      <c r="F4903">
        <v>35126316</v>
      </c>
      <c r="G4903">
        <v>35126423</v>
      </c>
      <c r="H4903">
        <v>35126427</v>
      </c>
      <c r="I4903">
        <v>35126442</v>
      </c>
    </row>
    <row r="4904" spans="1:9" x14ac:dyDescent="0.2">
      <c r="A4904" t="str">
        <f>"D17H6S56E-5"</f>
        <v>D17H6S56E-5</v>
      </c>
      <c r="B4904" t="s">
        <v>14</v>
      </c>
      <c r="C4904" t="s">
        <v>28</v>
      </c>
      <c r="D4904" t="s">
        <v>11</v>
      </c>
      <c r="E4904" t="s">
        <v>67</v>
      </c>
      <c r="F4904">
        <v>35000777</v>
      </c>
      <c r="G4904">
        <v>35000801</v>
      </c>
      <c r="H4904">
        <v>35001000</v>
      </c>
      <c r="I4904">
        <v>35001021</v>
      </c>
    </row>
    <row r="4905" spans="1:9" x14ac:dyDescent="0.2">
      <c r="A4905" t="str">
        <f>"D17Wsu104e"</f>
        <v>D17Wsu104e</v>
      </c>
      <c r="B4905" t="s">
        <v>14</v>
      </c>
      <c r="C4905" t="s">
        <v>28</v>
      </c>
      <c r="D4905" t="s">
        <v>11</v>
      </c>
      <c r="E4905" t="s">
        <v>12</v>
      </c>
      <c r="F4905">
        <v>56183887</v>
      </c>
      <c r="G4905">
        <v>56183938</v>
      </c>
      <c r="H4905">
        <v>56183887</v>
      </c>
      <c r="I4905">
        <v>56183938</v>
      </c>
    </row>
    <row r="4906" spans="1:9" x14ac:dyDescent="0.2">
      <c r="A4906" t="str">
        <f>"D17Wsu92e"</f>
        <v>D17Wsu92e</v>
      </c>
      <c r="B4906" t="s">
        <v>14</v>
      </c>
      <c r="C4906" t="s">
        <v>28</v>
      </c>
      <c r="D4906" t="s">
        <v>11</v>
      </c>
      <c r="E4906" t="s">
        <v>12</v>
      </c>
      <c r="F4906">
        <v>27820534</v>
      </c>
      <c r="G4906">
        <v>27820572</v>
      </c>
      <c r="H4906">
        <v>27820613</v>
      </c>
      <c r="I4906">
        <v>27820683</v>
      </c>
    </row>
    <row r="4907" spans="1:9" x14ac:dyDescent="0.2">
      <c r="A4907" t="str">
        <f>"D19Bwg1357e"</f>
        <v>D19Bwg1357e</v>
      </c>
      <c r="B4907" t="s">
        <v>14</v>
      </c>
      <c r="C4907" t="s">
        <v>10</v>
      </c>
      <c r="D4907" t="s">
        <v>11</v>
      </c>
      <c r="E4907" t="s">
        <v>12</v>
      </c>
      <c r="F4907">
        <v>27429807</v>
      </c>
      <c r="G4907">
        <v>27429870</v>
      </c>
      <c r="H4907">
        <v>27429786</v>
      </c>
      <c r="I4907">
        <v>27429797</v>
      </c>
    </row>
    <row r="4908" spans="1:9" x14ac:dyDescent="0.2">
      <c r="A4908" t="str">
        <f>"D19Ertd737e"</f>
        <v>D19Ertd737e</v>
      </c>
      <c r="B4908" t="s">
        <v>14</v>
      </c>
      <c r="C4908" t="s">
        <v>10</v>
      </c>
      <c r="D4908" t="s">
        <v>11</v>
      </c>
      <c r="E4908" t="s">
        <v>12</v>
      </c>
      <c r="F4908">
        <v>60226666</v>
      </c>
      <c r="G4908">
        <v>60226706</v>
      </c>
      <c r="H4908">
        <v>60226638</v>
      </c>
      <c r="I4908">
        <v>60226649</v>
      </c>
    </row>
    <row r="4909" spans="1:9" x14ac:dyDescent="0.2">
      <c r="A4909" t="str">
        <f>"D1Ertd622e"</f>
        <v>D1Ertd622e</v>
      </c>
      <c r="B4909" t="s">
        <v>14</v>
      </c>
      <c r="C4909" t="s">
        <v>19</v>
      </c>
      <c r="D4909" t="s">
        <v>11</v>
      </c>
      <c r="E4909" t="s">
        <v>12</v>
      </c>
      <c r="F4909">
        <v>97661950</v>
      </c>
      <c r="G4909">
        <v>97662013</v>
      </c>
      <c r="H4909">
        <v>97661668</v>
      </c>
      <c r="I4909">
        <v>97661699</v>
      </c>
    </row>
    <row r="4910" spans="1:9" x14ac:dyDescent="0.2">
      <c r="A4910" t="str">
        <f>"D1Pas1"</f>
        <v>D1Pas1</v>
      </c>
      <c r="B4910" t="s">
        <v>14</v>
      </c>
      <c r="C4910" t="s">
        <v>19</v>
      </c>
      <c r="D4910" t="s">
        <v>17</v>
      </c>
      <c r="E4910" t="s">
        <v>12</v>
      </c>
      <c r="F4910">
        <v>186967087</v>
      </c>
      <c r="G4910">
        <v>186967108</v>
      </c>
      <c r="H4910">
        <v>186967667</v>
      </c>
      <c r="I4910">
        <v>186967690</v>
      </c>
    </row>
    <row r="4911" spans="1:9" x14ac:dyDescent="0.2">
      <c r="A4911" t="str">
        <f>"D230025D16Rik"</f>
        <v>D230025D16Rik</v>
      </c>
      <c r="B4911" t="s">
        <v>14</v>
      </c>
      <c r="C4911" t="s">
        <v>30</v>
      </c>
      <c r="D4911" t="s">
        <v>17</v>
      </c>
      <c r="E4911" t="s">
        <v>12</v>
      </c>
      <c r="F4911">
        <v>105225170</v>
      </c>
      <c r="G4911">
        <v>105225193</v>
      </c>
      <c r="H4911">
        <v>105225197</v>
      </c>
      <c r="I4911">
        <v>105225222</v>
      </c>
    </row>
    <row r="4912" spans="1:9" x14ac:dyDescent="0.2">
      <c r="A4912" t="str">
        <f>"D2Wsu81e"</f>
        <v>D2Wsu81e</v>
      </c>
      <c r="B4912" t="s">
        <v>14</v>
      </c>
      <c r="C4912" t="s">
        <v>26</v>
      </c>
      <c r="D4912" t="s">
        <v>11</v>
      </c>
      <c r="E4912" t="s">
        <v>12</v>
      </c>
      <c r="F4912">
        <v>30178422</v>
      </c>
      <c r="G4912">
        <v>30178473</v>
      </c>
      <c r="H4912">
        <v>30178343</v>
      </c>
      <c r="I4912">
        <v>30178366</v>
      </c>
    </row>
    <row r="4913" spans="1:9" x14ac:dyDescent="0.2">
      <c r="A4913" t="str">
        <f>"D2hgdh"</f>
        <v>D2hgdh</v>
      </c>
      <c r="B4913" t="s">
        <v>14</v>
      </c>
      <c r="C4913" t="s">
        <v>19</v>
      </c>
      <c r="D4913" t="s">
        <v>17</v>
      </c>
      <c r="E4913" t="s">
        <v>12</v>
      </c>
      <c r="F4913">
        <v>93825230</v>
      </c>
      <c r="G4913">
        <v>93825251</v>
      </c>
      <c r="H4913">
        <v>93825270</v>
      </c>
      <c r="I4913">
        <v>93825305</v>
      </c>
    </row>
    <row r="4914" spans="1:9" x14ac:dyDescent="0.2">
      <c r="A4914" t="str">
        <f>"D330020A13Rik"</f>
        <v>D330020A13Rik</v>
      </c>
      <c r="B4914" t="s">
        <v>2339</v>
      </c>
      <c r="C4914" t="s">
        <v>32</v>
      </c>
      <c r="D4914" t="s">
        <v>17</v>
      </c>
      <c r="E4914" t="s">
        <v>20</v>
      </c>
      <c r="F4914">
        <v>120294363</v>
      </c>
      <c r="G4914">
        <v>120294363</v>
      </c>
      <c r="H4914">
        <v>120294363</v>
      </c>
      <c r="I4914">
        <v>120294363</v>
      </c>
    </row>
    <row r="4915" spans="1:9" x14ac:dyDescent="0.2">
      <c r="A4915" t="str">
        <f>"D330045A20Rik"</f>
        <v>D330045A20Rik</v>
      </c>
      <c r="B4915" t="s">
        <v>14</v>
      </c>
      <c r="C4915" t="s">
        <v>37</v>
      </c>
      <c r="D4915" t="s">
        <v>17</v>
      </c>
      <c r="E4915" t="s">
        <v>12</v>
      </c>
      <c r="F4915">
        <v>139480464</v>
      </c>
      <c r="G4915">
        <v>139480468</v>
      </c>
      <c r="H4915">
        <v>139480464</v>
      </c>
      <c r="I4915">
        <v>139480468</v>
      </c>
    </row>
    <row r="4916" spans="1:9" x14ac:dyDescent="0.2">
      <c r="A4916" t="str">
        <f>"D3Bwg0562e"</f>
        <v>D3Bwg0562e</v>
      </c>
      <c r="B4916" t="s">
        <v>14</v>
      </c>
      <c r="C4916" t="s">
        <v>22</v>
      </c>
      <c r="D4916" t="s">
        <v>11</v>
      </c>
      <c r="E4916" t="s">
        <v>12</v>
      </c>
      <c r="F4916">
        <v>117360370</v>
      </c>
      <c r="G4916">
        <v>117360441</v>
      </c>
      <c r="H4916">
        <v>117360370</v>
      </c>
      <c r="I4916">
        <v>117360441</v>
      </c>
    </row>
    <row r="4917" spans="1:9" x14ac:dyDescent="0.2">
      <c r="A4917" t="str">
        <f>"D3Ertd254e"</f>
        <v>D3Ertd254e</v>
      </c>
      <c r="B4917" t="s">
        <v>14</v>
      </c>
      <c r="C4917" t="s">
        <v>22</v>
      </c>
      <c r="D4917" t="s">
        <v>17</v>
      </c>
      <c r="E4917" t="s">
        <v>12</v>
      </c>
      <c r="F4917">
        <v>36151063</v>
      </c>
      <c r="G4917">
        <v>36151112</v>
      </c>
      <c r="H4917">
        <v>36151126</v>
      </c>
      <c r="I4917">
        <v>36151143</v>
      </c>
    </row>
    <row r="4918" spans="1:9" x14ac:dyDescent="0.2">
      <c r="A4918" t="str">
        <f>"D3Ertd751e"</f>
        <v>D3Ertd751e</v>
      </c>
      <c r="B4918" t="s">
        <v>14</v>
      </c>
      <c r="C4918" t="s">
        <v>22</v>
      </c>
      <c r="D4918" t="s">
        <v>17</v>
      </c>
      <c r="E4918" t="s">
        <v>12</v>
      </c>
      <c r="F4918">
        <v>41742637</v>
      </c>
      <c r="G4918">
        <v>41742669</v>
      </c>
      <c r="H4918">
        <v>41742613</v>
      </c>
      <c r="I4918">
        <v>41742626</v>
      </c>
    </row>
    <row r="4919" spans="1:9" x14ac:dyDescent="0.2">
      <c r="A4919" t="str">
        <f>"D430019H16Rik"</f>
        <v>D430019H16Rik</v>
      </c>
      <c r="B4919" t="s">
        <v>14</v>
      </c>
      <c r="C4919" t="s">
        <v>16</v>
      </c>
      <c r="D4919" t="s">
        <v>17</v>
      </c>
      <c r="E4919" t="s">
        <v>12</v>
      </c>
      <c r="F4919">
        <v>105453831</v>
      </c>
      <c r="G4919">
        <v>105453919</v>
      </c>
      <c r="H4919">
        <v>105454009</v>
      </c>
      <c r="I4919">
        <v>105454027</v>
      </c>
    </row>
    <row r="4920" spans="1:9" x14ac:dyDescent="0.2">
      <c r="A4920" t="str">
        <f>"D430041D05Rik"</f>
        <v>D430041D05Rik</v>
      </c>
      <c r="B4920" t="s">
        <v>14</v>
      </c>
      <c r="C4920" t="s">
        <v>26</v>
      </c>
      <c r="D4920" t="s">
        <v>11</v>
      </c>
      <c r="E4920" t="s">
        <v>12</v>
      </c>
      <c r="F4920">
        <v>104410603</v>
      </c>
      <c r="G4920">
        <v>104410625</v>
      </c>
      <c r="H4920">
        <v>104410646</v>
      </c>
      <c r="I4920">
        <v>104410658</v>
      </c>
    </row>
    <row r="4921" spans="1:9" x14ac:dyDescent="0.2">
      <c r="A4921" t="str">
        <f>"D430042O09Rik"</f>
        <v>D430042O09Rik</v>
      </c>
      <c r="B4921" t="s">
        <v>14</v>
      </c>
      <c r="C4921" t="s">
        <v>33</v>
      </c>
      <c r="D4921" t="s">
        <v>17</v>
      </c>
      <c r="E4921" t="s">
        <v>12</v>
      </c>
      <c r="F4921">
        <v>125707893</v>
      </c>
      <c r="G4921">
        <v>125707929</v>
      </c>
      <c r="H4921">
        <v>125707945</v>
      </c>
      <c r="I4921">
        <v>125707958</v>
      </c>
    </row>
    <row r="4922" spans="1:9" x14ac:dyDescent="0.2">
      <c r="A4922" t="str">
        <f>"D4Wsu53e"</f>
        <v>D4Wsu53e</v>
      </c>
      <c r="B4922" t="s">
        <v>14</v>
      </c>
      <c r="C4922" t="s">
        <v>23</v>
      </c>
      <c r="D4922" t="s">
        <v>17</v>
      </c>
      <c r="E4922" t="s">
        <v>12</v>
      </c>
      <c r="F4922">
        <v>134923616</v>
      </c>
      <c r="G4922">
        <v>134923628</v>
      </c>
      <c r="H4922">
        <v>134923589</v>
      </c>
      <c r="I4922">
        <v>134923593</v>
      </c>
    </row>
    <row r="4923" spans="1:9" x14ac:dyDescent="0.2">
      <c r="A4923" t="str">
        <f>"D5Ertd577e"</f>
        <v>D5Ertd577e</v>
      </c>
      <c r="B4923" t="s">
        <v>2340</v>
      </c>
      <c r="C4923" t="s">
        <v>46</v>
      </c>
      <c r="D4923" t="s">
        <v>17</v>
      </c>
      <c r="E4923" t="s">
        <v>20</v>
      </c>
      <c r="F4923">
        <v>95456805</v>
      </c>
      <c r="G4923">
        <v>95456805</v>
      </c>
      <c r="H4923">
        <v>95456805</v>
      </c>
      <c r="I4923">
        <v>95456805</v>
      </c>
    </row>
    <row r="4924" spans="1:9" x14ac:dyDescent="0.2">
      <c r="A4924" t="str">
        <f>"D5Ertd579e"</f>
        <v>D5Ertd579e</v>
      </c>
      <c r="B4924" t="s">
        <v>14</v>
      </c>
      <c r="C4924" t="s">
        <v>46</v>
      </c>
      <c r="D4924" t="s">
        <v>11</v>
      </c>
      <c r="E4924" t="s">
        <v>12</v>
      </c>
      <c r="F4924">
        <v>36695992</v>
      </c>
      <c r="G4924">
        <v>36696041</v>
      </c>
      <c r="H4924">
        <v>36696056</v>
      </c>
      <c r="I4924">
        <v>36696068</v>
      </c>
    </row>
    <row r="4925" spans="1:9" x14ac:dyDescent="0.2">
      <c r="A4925" t="str">
        <f>"D630002J18Rik"</f>
        <v>D630002J18Rik</v>
      </c>
      <c r="B4925" t="s">
        <v>2341</v>
      </c>
      <c r="C4925" t="s">
        <v>22</v>
      </c>
      <c r="D4925" t="s">
        <v>17</v>
      </c>
      <c r="E4925" t="s">
        <v>20</v>
      </c>
      <c r="F4925">
        <v>152165373</v>
      </c>
      <c r="G4925">
        <v>152165373</v>
      </c>
      <c r="H4925">
        <v>152165373</v>
      </c>
      <c r="I4925">
        <v>152165373</v>
      </c>
    </row>
    <row r="4926" spans="1:9" x14ac:dyDescent="0.2">
      <c r="A4926" t="str">
        <f>"D630003M21Rik"</f>
        <v>D630003M21Rik</v>
      </c>
      <c r="B4926" t="s">
        <v>14</v>
      </c>
      <c r="C4926" t="s">
        <v>26</v>
      </c>
      <c r="D4926" t="s">
        <v>11</v>
      </c>
      <c r="E4926" t="s">
        <v>12</v>
      </c>
      <c r="F4926">
        <v>158229215</v>
      </c>
      <c r="G4926">
        <v>158229240</v>
      </c>
      <c r="H4926">
        <v>158229243</v>
      </c>
      <c r="I4926">
        <v>158229263</v>
      </c>
    </row>
    <row r="4927" spans="1:9" x14ac:dyDescent="0.2">
      <c r="A4927" t="str">
        <f>"D630004N19Rik"</f>
        <v>D630004N19Rik</v>
      </c>
      <c r="B4927" t="s">
        <v>2342</v>
      </c>
      <c r="C4927" t="s">
        <v>33</v>
      </c>
      <c r="D4927" t="s">
        <v>11</v>
      </c>
      <c r="E4927" t="s">
        <v>20</v>
      </c>
      <c r="F4927">
        <v>100547619</v>
      </c>
      <c r="G4927">
        <v>100547619</v>
      </c>
      <c r="H4927">
        <v>100547619</v>
      </c>
      <c r="I4927">
        <v>100547619</v>
      </c>
    </row>
    <row r="4928" spans="1:9" x14ac:dyDescent="0.2">
      <c r="A4928" t="str">
        <f>"D630011A20Rik"</f>
        <v>D630011A20Rik</v>
      </c>
      <c r="B4928" t="s">
        <v>14</v>
      </c>
      <c r="C4928" t="s">
        <v>30</v>
      </c>
      <c r="D4928" t="s">
        <v>11</v>
      </c>
      <c r="E4928" t="s">
        <v>67</v>
      </c>
      <c r="F4928">
        <v>12573311</v>
      </c>
      <c r="G4928">
        <v>12573336</v>
      </c>
      <c r="H4928">
        <v>12573311</v>
      </c>
      <c r="I4928">
        <v>12573336</v>
      </c>
    </row>
    <row r="4929" spans="1:9" x14ac:dyDescent="0.2">
      <c r="A4929" t="str">
        <f>"D630023F18Rik"</f>
        <v>D630023F18Rik</v>
      </c>
      <c r="B4929" t="s">
        <v>14</v>
      </c>
      <c r="C4929" t="s">
        <v>19</v>
      </c>
      <c r="D4929" t="s">
        <v>11</v>
      </c>
      <c r="E4929" t="s">
        <v>12</v>
      </c>
      <c r="F4929">
        <v>65123108</v>
      </c>
      <c r="G4929">
        <v>65123193</v>
      </c>
      <c r="H4929">
        <v>65123108</v>
      </c>
      <c r="I4929">
        <v>65123193</v>
      </c>
    </row>
    <row r="4930" spans="1:9" x14ac:dyDescent="0.2">
      <c r="A4930" t="str">
        <f>"D630033O11Rik"</f>
        <v>D630033O11Rik</v>
      </c>
      <c r="B4930" t="s">
        <v>2343</v>
      </c>
      <c r="C4930" t="s">
        <v>24</v>
      </c>
      <c r="D4930" t="s">
        <v>17</v>
      </c>
      <c r="E4930" t="s">
        <v>20</v>
      </c>
      <c r="F4930">
        <v>43259878</v>
      </c>
      <c r="G4930">
        <v>43259878</v>
      </c>
      <c r="H4930">
        <v>43259878</v>
      </c>
      <c r="I4930">
        <v>43259878</v>
      </c>
    </row>
    <row r="4931" spans="1:9" x14ac:dyDescent="0.2">
      <c r="A4931" t="str">
        <f>"D630036H23Rik"</f>
        <v>D630036H23Rik</v>
      </c>
      <c r="B4931" t="s">
        <v>14</v>
      </c>
      <c r="C4931" t="s">
        <v>16</v>
      </c>
      <c r="D4931" t="s">
        <v>11</v>
      </c>
      <c r="E4931" t="s">
        <v>67</v>
      </c>
      <c r="F4931">
        <v>36382191</v>
      </c>
      <c r="G4931">
        <v>36382223</v>
      </c>
      <c r="H4931">
        <v>36382191</v>
      </c>
      <c r="I4931">
        <v>36382223</v>
      </c>
    </row>
    <row r="4932" spans="1:9" x14ac:dyDescent="0.2">
      <c r="A4932" t="str">
        <f>"D630039A03Rik"</f>
        <v>D630039A03Rik</v>
      </c>
      <c r="B4932" t="s">
        <v>14</v>
      </c>
      <c r="C4932" t="s">
        <v>23</v>
      </c>
      <c r="D4932" t="s">
        <v>11</v>
      </c>
      <c r="E4932" t="s">
        <v>12</v>
      </c>
      <c r="F4932">
        <v>57916283</v>
      </c>
      <c r="G4932">
        <v>57916306</v>
      </c>
      <c r="H4932">
        <v>57916224</v>
      </c>
      <c r="I4932">
        <v>57916242</v>
      </c>
    </row>
    <row r="4933" spans="1:9" x14ac:dyDescent="0.2">
      <c r="A4933" t="str">
        <f>"D630044L22Rik"</f>
        <v>D630044L22Rik</v>
      </c>
      <c r="B4933" t="s">
        <v>14</v>
      </c>
      <c r="C4933" t="s">
        <v>28</v>
      </c>
      <c r="D4933" t="s">
        <v>17</v>
      </c>
      <c r="E4933" t="s">
        <v>67</v>
      </c>
      <c r="F4933">
        <v>25951466</v>
      </c>
      <c r="G4933">
        <v>25951511</v>
      </c>
      <c r="H4933">
        <v>25951466</v>
      </c>
      <c r="I4933">
        <v>25951511</v>
      </c>
    </row>
    <row r="4934" spans="1:9" x14ac:dyDescent="0.2">
      <c r="A4934" t="str">
        <f>"D630045J12Rik"</f>
        <v>D630045J12Rik</v>
      </c>
      <c r="B4934" t="s">
        <v>14</v>
      </c>
      <c r="C4934" t="s">
        <v>32</v>
      </c>
      <c r="D4934" t="s">
        <v>11</v>
      </c>
      <c r="E4934" t="s">
        <v>12</v>
      </c>
      <c r="F4934">
        <v>38254109</v>
      </c>
      <c r="G4934">
        <v>38254155</v>
      </c>
      <c r="H4934">
        <v>38254087</v>
      </c>
      <c r="I4934">
        <v>38254108</v>
      </c>
    </row>
    <row r="4935" spans="1:9" x14ac:dyDescent="0.2">
      <c r="A4935" t="str">
        <f>"D6Ertd527e"</f>
        <v>D6Ertd527e</v>
      </c>
      <c r="B4935" t="s">
        <v>14</v>
      </c>
      <c r="C4935" t="s">
        <v>32</v>
      </c>
      <c r="D4935" t="s">
        <v>17</v>
      </c>
      <c r="E4935" t="s">
        <v>12</v>
      </c>
      <c r="F4935">
        <v>87104744</v>
      </c>
      <c r="G4935">
        <v>87104752</v>
      </c>
      <c r="H4935">
        <v>87104744</v>
      </c>
      <c r="I4935">
        <v>87104752</v>
      </c>
    </row>
    <row r="4936" spans="1:9" x14ac:dyDescent="0.2">
      <c r="A4936" t="str">
        <f>"D6Wsu163e"</f>
        <v>D6Wsu163e</v>
      </c>
      <c r="B4936" t="s">
        <v>14</v>
      </c>
      <c r="C4936" t="s">
        <v>32</v>
      </c>
      <c r="D4936" t="s">
        <v>17</v>
      </c>
      <c r="E4936" t="s">
        <v>12</v>
      </c>
      <c r="F4936">
        <v>126939957</v>
      </c>
      <c r="G4936">
        <v>126939988</v>
      </c>
      <c r="H4936">
        <v>126939993</v>
      </c>
      <c r="I4936">
        <v>126940004</v>
      </c>
    </row>
    <row r="4937" spans="1:9" x14ac:dyDescent="0.2">
      <c r="A4937" t="str">
        <f>"D730045B01Rik"</f>
        <v>D730045B01Rik</v>
      </c>
      <c r="B4937" t="s">
        <v>2344</v>
      </c>
      <c r="C4937" t="s">
        <v>46</v>
      </c>
      <c r="D4937" t="s">
        <v>11</v>
      </c>
      <c r="E4937" t="s">
        <v>20</v>
      </c>
      <c r="F4937">
        <v>151369171</v>
      </c>
      <c r="G4937">
        <v>151369171</v>
      </c>
      <c r="H4937">
        <v>151369171</v>
      </c>
      <c r="I4937">
        <v>151369171</v>
      </c>
    </row>
    <row r="4938" spans="1:9" x14ac:dyDescent="0.2">
      <c r="A4938" t="str">
        <f>"D730048I06RIK"</f>
        <v>D730048I06RIK</v>
      </c>
      <c r="B4938" t="s">
        <v>14</v>
      </c>
      <c r="C4938" t="s">
        <v>24</v>
      </c>
      <c r="D4938" t="s">
        <v>11</v>
      </c>
      <c r="E4938" t="s">
        <v>67</v>
      </c>
      <c r="F4938">
        <v>35790075</v>
      </c>
      <c r="G4938">
        <v>35790090</v>
      </c>
      <c r="H4938">
        <v>35790101</v>
      </c>
      <c r="I4938">
        <v>35790106</v>
      </c>
    </row>
    <row r="4939" spans="1:9" x14ac:dyDescent="0.2">
      <c r="A4939" t="str">
        <f>"D730048I06Rik"</f>
        <v>D730048I06Rik</v>
      </c>
      <c r="B4939" t="s">
        <v>14</v>
      </c>
      <c r="C4939" t="s">
        <v>24</v>
      </c>
      <c r="D4939" t="s">
        <v>11</v>
      </c>
      <c r="E4939" t="s">
        <v>12</v>
      </c>
      <c r="F4939">
        <v>35790075</v>
      </c>
      <c r="G4939">
        <v>35790090</v>
      </c>
      <c r="H4939">
        <v>35790101</v>
      </c>
      <c r="I4939">
        <v>35790106</v>
      </c>
    </row>
    <row r="4940" spans="1:9" x14ac:dyDescent="0.2">
      <c r="A4940" t="str">
        <f>"D7Ertd443e"</f>
        <v>D7Ertd443e</v>
      </c>
      <c r="B4940" t="s">
        <v>9</v>
      </c>
      <c r="C4940" t="s">
        <v>33</v>
      </c>
      <c r="D4940" t="s">
        <v>11</v>
      </c>
      <c r="E4940" t="s">
        <v>12</v>
      </c>
      <c r="F4940">
        <v>134364859</v>
      </c>
      <c r="G4940">
        <v>134364881</v>
      </c>
      <c r="H4940">
        <v>134364859</v>
      </c>
      <c r="I4940">
        <v>134364881</v>
      </c>
    </row>
    <row r="4941" spans="1:9" x14ac:dyDescent="0.2">
      <c r="A4941" t="str">
        <f>"D7Ertd443e"</f>
        <v>D7Ertd443e</v>
      </c>
      <c r="B4941" t="s">
        <v>13</v>
      </c>
      <c r="C4941" t="s">
        <v>33</v>
      </c>
      <c r="D4941" t="s">
        <v>11</v>
      </c>
      <c r="E4941" t="s">
        <v>12</v>
      </c>
      <c r="F4941">
        <v>134341975</v>
      </c>
      <c r="G4941">
        <v>134341996</v>
      </c>
      <c r="H4941">
        <v>134341975</v>
      </c>
      <c r="I4941">
        <v>134341996</v>
      </c>
    </row>
    <row r="4942" spans="1:9" x14ac:dyDescent="0.2">
      <c r="A4942" t="str">
        <f>"D830013O20Rik"</f>
        <v>D830013O20Rik</v>
      </c>
      <c r="B4942" t="s">
        <v>2345</v>
      </c>
      <c r="C4942" t="s">
        <v>16</v>
      </c>
      <c r="D4942" t="s">
        <v>11</v>
      </c>
      <c r="E4942" t="s">
        <v>20</v>
      </c>
      <c r="F4942">
        <v>73371444</v>
      </c>
      <c r="G4942">
        <v>73371444</v>
      </c>
      <c r="H4942">
        <v>73371444</v>
      </c>
      <c r="I4942">
        <v>73371444</v>
      </c>
    </row>
    <row r="4943" spans="1:9" x14ac:dyDescent="0.2">
      <c r="A4943" t="str">
        <f>"D830014E11Rik"</f>
        <v>D830014E11Rik</v>
      </c>
      <c r="B4943" t="s">
        <v>2346</v>
      </c>
      <c r="C4943" t="s">
        <v>46</v>
      </c>
      <c r="D4943" t="s">
        <v>17</v>
      </c>
      <c r="E4943" t="s">
        <v>20</v>
      </c>
      <c r="F4943">
        <v>105824510</v>
      </c>
      <c r="G4943">
        <v>105824510</v>
      </c>
      <c r="H4943">
        <v>105824510</v>
      </c>
      <c r="I4943">
        <v>105824510</v>
      </c>
    </row>
    <row r="4944" spans="1:9" x14ac:dyDescent="0.2">
      <c r="A4944" t="str">
        <f>"D830015G02Rik"</f>
        <v>D830015G02Rik</v>
      </c>
      <c r="B4944" t="s">
        <v>14</v>
      </c>
      <c r="C4944" t="s">
        <v>41</v>
      </c>
      <c r="D4944" t="s">
        <v>17</v>
      </c>
      <c r="E4944" t="s">
        <v>12</v>
      </c>
      <c r="F4944">
        <v>54968751</v>
      </c>
      <c r="G4944">
        <v>54968775</v>
      </c>
      <c r="H4944">
        <v>54968781</v>
      </c>
      <c r="I4944">
        <v>54968800</v>
      </c>
    </row>
    <row r="4945" spans="1:9" x14ac:dyDescent="0.2">
      <c r="A4945" t="str">
        <f>"D830030K20Rik"</f>
        <v>D830030K20Rik</v>
      </c>
      <c r="B4945" t="s">
        <v>14</v>
      </c>
      <c r="C4945" t="s">
        <v>41</v>
      </c>
      <c r="D4945" t="s">
        <v>17</v>
      </c>
      <c r="E4945" t="s">
        <v>12</v>
      </c>
      <c r="F4945">
        <v>3208462</v>
      </c>
      <c r="G4945">
        <v>3208473</v>
      </c>
      <c r="H4945">
        <v>3208462</v>
      </c>
      <c r="I4945">
        <v>3208473</v>
      </c>
    </row>
    <row r="4946" spans="1:9" x14ac:dyDescent="0.2">
      <c r="A4946" t="str">
        <f>"D830039M14Rik"</f>
        <v>D830039M14Rik</v>
      </c>
      <c r="B4946" t="s">
        <v>14</v>
      </c>
      <c r="C4946" t="s">
        <v>15</v>
      </c>
      <c r="D4946" t="s">
        <v>11</v>
      </c>
      <c r="E4946" t="s">
        <v>67</v>
      </c>
      <c r="F4946">
        <v>61476675</v>
      </c>
      <c r="G4946">
        <v>61476690</v>
      </c>
      <c r="H4946">
        <v>61476590</v>
      </c>
      <c r="I4946">
        <v>61476601</v>
      </c>
    </row>
    <row r="4947" spans="1:9" x14ac:dyDescent="0.2">
      <c r="A4947" t="str">
        <f>"D830046C22Rik"</f>
        <v>D830046C22Rik</v>
      </c>
      <c r="B4947" t="s">
        <v>14</v>
      </c>
      <c r="C4947" t="s">
        <v>46</v>
      </c>
      <c r="D4947" t="s">
        <v>17</v>
      </c>
      <c r="E4947" t="s">
        <v>12</v>
      </c>
      <c r="F4947">
        <v>139377716</v>
      </c>
      <c r="G4947">
        <v>139377745</v>
      </c>
      <c r="H4947">
        <v>139377688</v>
      </c>
      <c r="I4947">
        <v>139377710</v>
      </c>
    </row>
    <row r="4948" spans="1:9" x14ac:dyDescent="0.2">
      <c r="A4948" t="str">
        <f>"D830050J10Rik"</f>
        <v>D830050J10Rik</v>
      </c>
      <c r="B4948" t="s">
        <v>14</v>
      </c>
      <c r="C4948" t="s">
        <v>32</v>
      </c>
      <c r="D4948" t="s">
        <v>17</v>
      </c>
      <c r="E4948" t="s">
        <v>67</v>
      </c>
      <c r="F4948">
        <v>115676116</v>
      </c>
      <c r="G4948">
        <v>115676151</v>
      </c>
      <c r="H4948">
        <v>115676116</v>
      </c>
      <c r="I4948">
        <v>115676151</v>
      </c>
    </row>
    <row r="4949" spans="1:9" x14ac:dyDescent="0.2">
      <c r="A4949" t="str">
        <f>"D8Ertd738e"</f>
        <v>D8Ertd738e</v>
      </c>
      <c r="B4949" t="s">
        <v>14</v>
      </c>
      <c r="C4949" t="s">
        <v>30</v>
      </c>
      <c r="D4949" t="s">
        <v>11</v>
      </c>
      <c r="E4949" t="s">
        <v>12</v>
      </c>
      <c r="F4949">
        <v>84249701</v>
      </c>
      <c r="G4949">
        <v>84249733</v>
      </c>
      <c r="H4949">
        <v>84249666</v>
      </c>
      <c r="I4949">
        <v>84249681</v>
      </c>
    </row>
    <row r="4950" spans="1:9" x14ac:dyDescent="0.2">
      <c r="A4950" t="str">
        <f>"D8Ertd82e"</f>
        <v>D8Ertd82e</v>
      </c>
      <c r="B4950" t="s">
        <v>14</v>
      </c>
      <c r="C4950" t="s">
        <v>30</v>
      </c>
      <c r="D4950" t="s">
        <v>17</v>
      </c>
      <c r="E4950" t="s">
        <v>12</v>
      </c>
      <c r="F4950">
        <v>36094853</v>
      </c>
      <c r="G4950">
        <v>36094868</v>
      </c>
      <c r="H4950">
        <v>36094682</v>
      </c>
      <c r="I4950">
        <v>36094705</v>
      </c>
    </row>
    <row r="4951" spans="1:9" x14ac:dyDescent="0.2">
      <c r="A4951" t="str">
        <f>"D930007J09Rik"</f>
        <v>D930007J09Rik</v>
      </c>
      <c r="B4951" t="s">
        <v>14</v>
      </c>
      <c r="C4951" t="s">
        <v>39</v>
      </c>
      <c r="D4951" t="s">
        <v>11</v>
      </c>
      <c r="E4951" t="s">
        <v>67</v>
      </c>
      <c r="F4951">
        <v>32803079</v>
      </c>
      <c r="G4951">
        <v>32803093</v>
      </c>
      <c r="H4951">
        <v>32803079</v>
      </c>
      <c r="I4951">
        <v>32803093</v>
      </c>
    </row>
    <row r="4952" spans="1:9" x14ac:dyDescent="0.2">
      <c r="A4952" t="str">
        <f>"D930015E06Rik"</f>
        <v>D930015E06Rik</v>
      </c>
      <c r="B4952" t="s">
        <v>14</v>
      </c>
      <c r="C4952" t="s">
        <v>22</v>
      </c>
      <c r="D4952" t="s">
        <v>11</v>
      </c>
      <c r="E4952" t="s">
        <v>12</v>
      </c>
      <c r="F4952">
        <v>84040100</v>
      </c>
      <c r="G4952">
        <v>84040147</v>
      </c>
      <c r="H4952">
        <v>84040151</v>
      </c>
      <c r="I4952">
        <v>84040171</v>
      </c>
    </row>
    <row r="4953" spans="1:9" x14ac:dyDescent="0.2">
      <c r="A4953" t="str">
        <f>"D930020B18Rik"</f>
        <v>D930020B18Rik</v>
      </c>
      <c r="B4953" t="s">
        <v>14</v>
      </c>
      <c r="C4953" t="s">
        <v>15</v>
      </c>
      <c r="D4953" t="s">
        <v>17</v>
      </c>
      <c r="E4953" t="s">
        <v>12</v>
      </c>
      <c r="F4953">
        <v>121641648</v>
      </c>
      <c r="G4953">
        <v>121641660</v>
      </c>
      <c r="H4953">
        <v>121641673</v>
      </c>
      <c r="I4953">
        <v>121641688</v>
      </c>
    </row>
    <row r="4954" spans="1:9" x14ac:dyDescent="0.2">
      <c r="A4954" t="str">
        <f>"D930028M14Rik"</f>
        <v>D930028M14Rik</v>
      </c>
      <c r="B4954" t="s">
        <v>14</v>
      </c>
      <c r="C4954" t="s">
        <v>33</v>
      </c>
      <c r="D4954" t="s">
        <v>17</v>
      </c>
      <c r="E4954" t="s">
        <v>67</v>
      </c>
      <c r="F4954">
        <v>25152456</v>
      </c>
      <c r="G4954">
        <v>25152462</v>
      </c>
      <c r="H4954">
        <v>25152456</v>
      </c>
      <c r="I4954">
        <v>25152462</v>
      </c>
    </row>
    <row r="4955" spans="1:9" x14ac:dyDescent="0.2">
      <c r="A4955" t="str">
        <f>"D930048N14Rik"</f>
        <v>D930048N14Rik</v>
      </c>
      <c r="B4955" t="s">
        <v>14</v>
      </c>
      <c r="C4955" t="s">
        <v>27</v>
      </c>
      <c r="D4955" t="s">
        <v>17</v>
      </c>
      <c r="E4955" t="s">
        <v>12</v>
      </c>
      <c r="F4955">
        <v>51650936</v>
      </c>
      <c r="G4955">
        <v>51650987</v>
      </c>
      <c r="H4955">
        <v>51650913</v>
      </c>
      <c r="I4955">
        <v>51650933</v>
      </c>
    </row>
    <row r="4956" spans="1:9" x14ac:dyDescent="0.2">
      <c r="A4956" t="str">
        <f>"DXBay18"</f>
        <v>DXBay18</v>
      </c>
      <c r="B4956" t="s">
        <v>2347</v>
      </c>
      <c r="C4956" t="s">
        <v>37</v>
      </c>
      <c r="D4956" t="s">
        <v>11</v>
      </c>
      <c r="E4956" t="s">
        <v>20</v>
      </c>
      <c r="F4956">
        <v>73149449</v>
      </c>
      <c r="G4956">
        <v>73149449</v>
      </c>
      <c r="H4956">
        <v>73149449</v>
      </c>
      <c r="I4956">
        <v>73149449</v>
      </c>
    </row>
    <row r="4957" spans="1:9" x14ac:dyDescent="0.2">
      <c r="A4957" t="str">
        <f>"Daam1"</f>
        <v>Daam1</v>
      </c>
      <c r="B4957" t="s">
        <v>14</v>
      </c>
      <c r="C4957" t="s">
        <v>16</v>
      </c>
      <c r="D4957" t="s">
        <v>17</v>
      </c>
      <c r="E4957" t="s">
        <v>12</v>
      </c>
      <c r="F4957">
        <v>71831064</v>
      </c>
      <c r="G4957">
        <v>71831178</v>
      </c>
      <c r="H4957">
        <v>71831064</v>
      </c>
      <c r="I4957">
        <v>71831178</v>
      </c>
    </row>
    <row r="4958" spans="1:9" x14ac:dyDescent="0.2">
      <c r="A4958" t="str">
        <f>"Daam2"</f>
        <v>Daam2</v>
      </c>
      <c r="B4958" t="s">
        <v>14</v>
      </c>
      <c r="C4958" t="s">
        <v>28</v>
      </c>
      <c r="D4958" t="s">
        <v>11</v>
      </c>
      <c r="E4958" t="s">
        <v>12</v>
      </c>
      <c r="F4958">
        <v>49564262</v>
      </c>
      <c r="G4958">
        <v>49564322</v>
      </c>
      <c r="H4958">
        <v>49564339</v>
      </c>
      <c r="I4958">
        <v>49564350</v>
      </c>
    </row>
    <row r="4959" spans="1:9" x14ac:dyDescent="0.2">
      <c r="A4959" t="str">
        <f>"Dab1"</f>
        <v>Dab1</v>
      </c>
      <c r="B4959" t="s">
        <v>14</v>
      </c>
      <c r="C4959" t="s">
        <v>23</v>
      </c>
      <c r="D4959" t="s">
        <v>17</v>
      </c>
      <c r="E4959" t="s">
        <v>12</v>
      </c>
      <c r="F4959">
        <v>104367549</v>
      </c>
      <c r="G4959">
        <v>104367592</v>
      </c>
      <c r="H4959">
        <v>104367593</v>
      </c>
      <c r="I4959">
        <v>104367624</v>
      </c>
    </row>
    <row r="4960" spans="1:9" x14ac:dyDescent="0.2">
      <c r="A4960" t="str">
        <f>"Dab2"</f>
        <v>Dab2</v>
      </c>
      <c r="B4960" t="s">
        <v>2348</v>
      </c>
      <c r="C4960" t="s">
        <v>25</v>
      </c>
      <c r="D4960" t="s">
        <v>17</v>
      </c>
      <c r="E4960" t="s">
        <v>20</v>
      </c>
      <c r="F4960">
        <v>6329555</v>
      </c>
      <c r="G4960">
        <v>6329555</v>
      </c>
      <c r="H4960">
        <v>6329555</v>
      </c>
      <c r="I4960">
        <v>6329555</v>
      </c>
    </row>
    <row r="4961" spans="1:9" x14ac:dyDescent="0.2">
      <c r="A4961" t="str">
        <f>"Dab2ip"</f>
        <v>Dab2ip</v>
      </c>
      <c r="B4961" t="s">
        <v>2349</v>
      </c>
      <c r="C4961" t="s">
        <v>26</v>
      </c>
      <c r="D4961" t="s">
        <v>17</v>
      </c>
      <c r="E4961" t="s">
        <v>35</v>
      </c>
      <c r="F4961">
        <v>35696698</v>
      </c>
      <c r="G4961">
        <v>35696721</v>
      </c>
      <c r="H4961">
        <v>35696727</v>
      </c>
      <c r="I4961">
        <v>35696742</v>
      </c>
    </row>
    <row r="4962" spans="1:9" x14ac:dyDescent="0.2">
      <c r="A4962" t="str">
        <f>"Dach1"</f>
        <v>Dach1</v>
      </c>
      <c r="B4962" t="s">
        <v>14</v>
      </c>
      <c r="C4962" t="s">
        <v>41</v>
      </c>
      <c r="D4962" t="s">
        <v>11</v>
      </c>
      <c r="E4962" t="s">
        <v>12</v>
      </c>
      <c r="F4962">
        <v>98169752</v>
      </c>
      <c r="G4962">
        <v>98169806</v>
      </c>
      <c r="H4962">
        <v>98169542</v>
      </c>
      <c r="I4962">
        <v>98169595</v>
      </c>
    </row>
    <row r="4963" spans="1:9" x14ac:dyDescent="0.2">
      <c r="A4963" t="str">
        <f>"Dach2"</f>
        <v>Dach2</v>
      </c>
      <c r="B4963" t="s">
        <v>14</v>
      </c>
      <c r="C4963" t="s">
        <v>37</v>
      </c>
      <c r="D4963" t="s">
        <v>17</v>
      </c>
      <c r="E4963" t="s">
        <v>12</v>
      </c>
      <c r="F4963">
        <v>113298231</v>
      </c>
      <c r="G4963">
        <v>113298251</v>
      </c>
      <c r="H4963">
        <v>113298231</v>
      </c>
      <c r="I4963">
        <v>113298251</v>
      </c>
    </row>
    <row r="4964" spans="1:9" x14ac:dyDescent="0.2">
      <c r="A4964" t="str">
        <f>"Dact1"</f>
        <v>Dact1</v>
      </c>
      <c r="B4964" t="s">
        <v>14</v>
      </c>
      <c r="C4964" t="s">
        <v>16</v>
      </c>
      <c r="D4964" t="s">
        <v>17</v>
      </c>
      <c r="E4964" t="s">
        <v>12</v>
      </c>
      <c r="F4964">
        <v>71309876</v>
      </c>
      <c r="G4964">
        <v>71309910</v>
      </c>
      <c r="H4964">
        <v>71309858</v>
      </c>
      <c r="I4964">
        <v>71309874</v>
      </c>
    </row>
    <row r="4965" spans="1:9" x14ac:dyDescent="0.2">
      <c r="A4965" t="str">
        <f>"Dact2"</f>
        <v>Dact2</v>
      </c>
      <c r="B4965" t="s">
        <v>14</v>
      </c>
      <c r="C4965" t="s">
        <v>28</v>
      </c>
      <c r="D4965" t="s">
        <v>11</v>
      </c>
      <c r="E4965" t="s">
        <v>12</v>
      </c>
      <c r="F4965">
        <v>14203695</v>
      </c>
      <c r="G4965">
        <v>14203779</v>
      </c>
      <c r="H4965">
        <v>14204234</v>
      </c>
      <c r="I4965">
        <v>14204251</v>
      </c>
    </row>
    <row r="4966" spans="1:9" x14ac:dyDescent="0.2">
      <c r="A4966" t="str">
        <f>"Dact3"</f>
        <v>Dact3</v>
      </c>
      <c r="B4966" t="s">
        <v>14</v>
      </c>
      <c r="C4966" t="s">
        <v>33</v>
      </c>
      <c r="D4966" t="s">
        <v>17</v>
      </c>
      <c r="E4966" t="s">
        <v>12</v>
      </c>
      <c r="F4966">
        <v>16875302</v>
      </c>
      <c r="G4966">
        <v>16875392</v>
      </c>
      <c r="H4966">
        <v>16875406</v>
      </c>
      <c r="I4966">
        <v>16875447</v>
      </c>
    </row>
    <row r="4967" spans="1:9" x14ac:dyDescent="0.2">
      <c r="A4967" t="str">
        <f>"Dad1"</f>
        <v>Dad1</v>
      </c>
      <c r="B4967" t="s">
        <v>14</v>
      </c>
      <c r="C4967" t="s">
        <v>41</v>
      </c>
      <c r="D4967" t="s">
        <v>11</v>
      </c>
      <c r="E4967" t="s">
        <v>12</v>
      </c>
      <c r="F4967">
        <v>54253843</v>
      </c>
      <c r="G4967">
        <v>54253904</v>
      </c>
      <c r="H4967">
        <v>54253907</v>
      </c>
      <c r="I4967">
        <v>54253920</v>
      </c>
    </row>
    <row r="4968" spans="1:9" x14ac:dyDescent="0.2">
      <c r="A4968" t="str">
        <f>"Daf2"</f>
        <v>Daf2</v>
      </c>
      <c r="B4968" t="s">
        <v>14</v>
      </c>
      <c r="C4968" t="s">
        <v>19</v>
      </c>
      <c r="D4968" t="s">
        <v>11</v>
      </c>
      <c r="E4968" t="s">
        <v>12</v>
      </c>
      <c r="F4968">
        <v>130423022</v>
      </c>
      <c r="G4968">
        <v>130423065</v>
      </c>
      <c r="H4968">
        <v>130422770</v>
      </c>
      <c r="I4968">
        <v>130422792</v>
      </c>
    </row>
    <row r="4969" spans="1:9" x14ac:dyDescent="0.2">
      <c r="A4969" t="str">
        <f>"Dag1"</f>
        <v>Dag1</v>
      </c>
      <c r="B4969" t="s">
        <v>14</v>
      </c>
      <c r="C4969" t="s">
        <v>24</v>
      </c>
      <c r="D4969" t="s">
        <v>11</v>
      </c>
      <c r="E4969" t="s">
        <v>12</v>
      </c>
      <c r="F4969">
        <v>108263706</v>
      </c>
      <c r="G4969">
        <v>108263819</v>
      </c>
      <c r="H4969">
        <v>108263887</v>
      </c>
      <c r="I4969">
        <v>108263965</v>
      </c>
    </row>
    <row r="4970" spans="1:9" x14ac:dyDescent="0.2">
      <c r="A4970" t="str">
        <f>"Dagla"</f>
        <v>Dagla</v>
      </c>
      <c r="B4970" t="s">
        <v>14</v>
      </c>
      <c r="C4970" t="s">
        <v>10</v>
      </c>
      <c r="D4970" t="s">
        <v>11</v>
      </c>
      <c r="E4970" t="s">
        <v>12</v>
      </c>
      <c r="F4970">
        <v>10304867</v>
      </c>
      <c r="G4970">
        <v>10304954</v>
      </c>
      <c r="H4970">
        <v>10304854</v>
      </c>
      <c r="I4970">
        <v>10304865</v>
      </c>
    </row>
    <row r="4971" spans="1:9" x14ac:dyDescent="0.2">
      <c r="A4971" t="str">
        <f>"Daglb"</f>
        <v>Daglb</v>
      </c>
      <c r="B4971" t="s">
        <v>14</v>
      </c>
      <c r="C4971" t="s">
        <v>46</v>
      </c>
      <c r="D4971" t="s">
        <v>17</v>
      </c>
      <c r="E4971" t="s">
        <v>12</v>
      </c>
      <c r="F4971">
        <v>143464574</v>
      </c>
      <c r="G4971">
        <v>143464652</v>
      </c>
      <c r="H4971">
        <v>143464657</v>
      </c>
      <c r="I4971">
        <v>143464672</v>
      </c>
    </row>
    <row r="4972" spans="1:9" x14ac:dyDescent="0.2">
      <c r="A4972" t="str">
        <f>"Dak"</f>
        <v>Dak</v>
      </c>
      <c r="B4972" t="s">
        <v>9</v>
      </c>
      <c r="C4972" t="s">
        <v>10</v>
      </c>
      <c r="D4972" t="s">
        <v>11</v>
      </c>
      <c r="E4972" t="s">
        <v>12</v>
      </c>
      <c r="F4972">
        <v>10604316</v>
      </c>
      <c r="G4972">
        <v>10604337</v>
      </c>
      <c r="H4972">
        <v>10604316</v>
      </c>
      <c r="I4972">
        <v>10604337</v>
      </c>
    </row>
    <row r="4973" spans="1:9" x14ac:dyDescent="0.2">
      <c r="A4973" t="str">
        <f>"Dak"</f>
        <v>Dak</v>
      </c>
      <c r="B4973" t="s">
        <v>13</v>
      </c>
      <c r="C4973" t="s">
        <v>10</v>
      </c>
      <c r="D4973" t="s">
        <v>11</v>
      </c>
      <c r="E4973" t="s">
        <v>12</v>
      </c>
      <c r="F4973">
        <v>10605410</v>
      </c>
      <c r="G4973">
        <v>10605466</v>
      </c>
      <c r="H4973">
        <v>10605410</v>
      </c>
      <c r="I4973">
        <v>10605466</v>
      </c>
    </row>
    <row r="4974" spans="1:9" x14ac:dyDescent="0.2">
      <c r="A4974" t="str">
        <f>"Dalrd3"</f>
        <v>Dalrd3</v>
      </c>
      <c r="B4974" t="s">
        <v>14</v>
      </c>
      <c r="C4974" t="s">
        <v>24</v>
      </c>
      <c r="D4974" t="s">
        <v>17</v>
      </c>
      <c r="E4974" t="s">
        <v>12</v>
      </c>
      <c r="F4974">
        <v>108569885</v>
      </c>
      <c r="G4974">
        <v>108569943</v>
      </c>
      <c r="H4974">
        <v>108569885</v>
      </c>
      <c r="I4974">
        <v>108569943</v>
      </c>
    </row>
    <row r="4975" spans="1:9" x14ac:dyDescent="0.2">
      <c r="A4975" t="str">
        <f>"Dand5"</f>
        <v>Dand5</v>
      </c>
      <c r="B4975" t="s">
        <v>14</v>
      </c>
      <c r="C4975" t="s">
        <v>30</v>
      </c>
      <c r="D4975" t="s">
        <v>11</v>
      </c>
      <c r="E4975" t="s">
        <v>12</v>
      </c>
      <c r="F4975">
        <v>84832225</v>
      </c>
      <c r="G4975">
        <v>84832272</v>
      </c>
      <c r="H4975">
        <v>84832182</v>
      </c>
      <c r="I4975">
        <v>84832197</v>
      </c>
    </row>
    <row r="4976" spans="1:9" x14ac:dyDescent="0.2">
      <c r="A4976" t="str">
        <f>"Dao"</f>
        <v>Dao</v>
      </c>
      <c r="B4976" t="s">
        <v>14</v>
      </c>
      <c r="C4976" t="s">
        <v>46</v>
      </c>
      <c r="D4976" t="s">
        <v>17</v>
      </c>
      <c r="E4976" t="s">
        <v>12</v>
      </c>
      <c r="F4976">
        <v>114003833</v>
      </c>
      <c r="G4976">
        <v>114003886</v>
      </c>
      <c r="H4976">
        <v>114003813</v>
      </c>
      <c r="I4976">
        <v>114003831</v>
      </c>
    </row>
    <row r="4977" spans="1:9" x14ac:dyDescent="0.2">
      <c r="A4977" t="str">
        <f>"Dap"</f>
        <v>Dap</v>
      </c>
      <c r="B4977" t="s">
        <v>14</v>
      </c>
      <c r="C4977" t="s">
        <v>25</v>
      </c>
      <c r="D4977" t="s">
        <v>17</v>
      </c>
      <c r="E4977" t="s">
        <v>12</v>
      </c>
      <c r="F4977">
        <v>31224406</v>
      </c>
      <c r="G4977">
        <v>31224530</v>
      </c>
      <c r="H4977">
        <v>31224371</v>
      </c>
      <c r="I4977">
        <v>31224400</v>
      </c>
    </row>
    <row r="4978" spans="1:9" x14ac:dyDescent="0.2">
      <c r="A4978" t="str">
        <f>"Dap3"</f>
        <v>Dap3</v>
      </c>
      <c r="B4978" t="s">
        <v>14</v>
      </c>
      <c r="C4978" t="s">
        <v>22</v>
      </c>
      <c r="D4978" t="s">
        <v>11</v>
      </c>
      <c r="E4978" t="s">
        <v>12</v>
      </c>
      <c r="F4978">
        <v>88949937</v>
      </c>
      <c r="G4978">
        <v>88949989</v>
      </c>
      <c r="H4978">
        <v>88950476</v>
      </c>
      <c r="I4978">
        <v>88950584</v>
      </c>
    </row>
    <row r="4979" spans="1:9" x14ac:dyDescent="0.2">
      <c r="A4979" t="str">
        <f>"Dapk1"</f>
        <v>Dapk1</v>
      </c>
      <c r="B4979" t="s">
        <v>14</v>
      </c>
      <c r="C4979" t="s">
        <v>39</v>
      </c>
      <c r="D4979" t="s">
        <v>17</v>
      </c>
      <c r="E4979" t="s">
        <v>12</v>
      </c>
      <c r="F4979">
        <v>60601921</v>
      </c>
      <c r="G4979">
        <v>60602039</v>
      </c>
      <c r="H4979">
        <v>60602182</v>
      </c>
      <c r="I4979">
        <v>60602231</v>
      </c>
    </row>
    <row r="4980" spans="1:9" x14ac:dyDescent="0.2">
      <c r="A4980" t="str">
        <f>"Dapk2"</f>
        <v>Dapk2</v>
      </c>
      <c r="B4980" t="s">
        <v>14</v>
      </c>
      <c r="C4980" t="s">
        <v>24</v>
      </c>
      <c r="D4980" t="s">
        <v>17</v>
      </c>
      <c r="E4980" t="s">
        <v>12</v>
      </c>
      <c r="F4980">
        <v>66158206</v>
      </c>
      <c r="G4980">
        <v>66158271</v>
      </c>
      <c r="H4980">
        <v>66158206</v>
      </c>
      <c r="I4980">
        <v>66158271</v>
      </c>
    </row>
    <row r="4981" spans="1:9" x14ac:dyDescent="0.2">
      <c r="A4981" t="str">
        <f>"Dapk3"</f>
        <v>Dapk3</v>
      </c>
      <c r="B4981" t="s">
        <v>14</v>
      </c>
      <c r="C4981" t="s">
        <v>15</v>
      </c>
      <c r="D4981" t="s">
        <v>17</v>
      </c>
      <c r="E4981" t="s">
        <v>12</v>
      </c>
      <c r="F4981">
        <v>81183000</v>
      </c>
      <c r="G4981">
        <v>81183048</v>
      </c>
      <c r="H4981">
        <v>81183284</v>
      </c>
      <c r="I4981">
        <v>81183329</v>
      </c>
    </row>
    <row r="4982" spans="1:9" x14ac:dyDescent="0.2">
      <c r="A4982" t="str">
        <f>"Dapl1"</f>
        <v>Dapl1</v>
      </c>
      <c r="B4982" t="s">
        <v>14</v>
      </c>
      <c r="C4982" t="s">
        <v>26</v>
      </c>
      <c r="D4982" t="s">
        <v>17</v>
      </c>
      <c r="E4982" t="s">
        <v>12</v>
      </c>
      <c r="F4982">
        <v>59484645</v>
      </c>
      <c r="G4982">
        <v>59484663</v>
      </c>
      <c r="H4982">
        <v>59484645</v>
      </c>
      <c r="I4982">
        <v>59484663</v>
      </c>
    </row>
    <row r="4983" spans="1:9" x14ac:dyDescent="0.2">
      <c r="A4983" t="str">
        <f>"Dapp1"</f>
        <v>Dapp1</v>
      </c>
      <c r="B4983" t="s">
        <v>14</v>
      </c>
      <c r="C4983" t="s">
        <v>22</v>
      </c>
      <c r="D4983" t="s">
        <v>11</v>
      </c>
      <c r="E4983" t="s">
        <v>12</v>
      </c>
      <c r="F4983">
        <v>137981523</v>
      </c>
      <c r="G4983">
        <v>137981542</v>
      </c>
      <c r="H4983">
        <v>137981505</v>
      </c>
      <c r="I4983">
        <v>137981522</v>
      </c>
    </row>
    <row r="4984" spans="1:9" x14ac:dyDescent="0.2">
      <c r="A4984" t="str">
        <f>"Darc"</f>
        <v>Darc</v>
      </c>
      <c r="B4984" t="s">
        <v>14</v>
      </c>
      <c r="C4984" t="s">
        <v>19</v>
      </c>
      <c r="D4984" t="s">
        <v>11</v>
      </c>
      <c r="E4984" t="s">
        <v>12</v>
      </c>
      <c r="F4984">
        <v>173333504</v>
      </c>
      <c r="G4984">
        <v>173333520</v>
      </c>
      <c r="H4984">
        <v>173333474</v>
      </c>
      <c r="I4984">
        <v>173333488</v>
      </c>
    </row>
    <row r="4985" spans="1:9" x14ac:dyDescent="0.2">
      <c r="A4985" t="str">
        <f>"Dars"</f>
        <v>Dars</v>
      </c>
      <c r="B4985" t="s">
        <v>14</v>
      </c>
      <c r="C4985" t="s">
        <v>19</v>
      </c>
      <c r="D4985" t="s">
        <v>11</v>
      </c>
      <c r="E4985" t="s">
        <v>12</v>
      </c>
      <c r="F4985">
        <v>128417352</v>
      </c>
      <c r="G4985">
        <v>128417384</v>
      </c>
      <c r="H4985">
        <v>128417316</v>
      </c>
      <c r="I4985">
        <v>128417350</v>
      </c>
    </row>
    <row r="4986" spans="1:9" x14ac:dyDescent="0.2">
      <c r="A4986" t="str">
        <f>"Dars2"</f>
        <v>Dars2</v>
      </c>
      <c r="B4986" t="s">
        <v>14</v>
      </c>
      <c r="C4986" t="s">
        <v>19</v>
      </c>
      <c r="D4986" t="s">
        <v>11</v>
      </c>
      <c r="E4986" t="s">
        <v>12</v>
      </c>
      <c r="F4986">
        <v>161070613</v>
      </c>
      <c r="G4986">
        <v>161070674</v>
      </c>
      <c r="H4986">
        <v>161070595</v>
      </c>
      <c r="I4986">
        <v>161070604</v>
      </c>
    </row>
    <row r="4987" spans="1:9" x14ac:dyDescent="0.2">
      <c r="A4987" t="str">
        <f>"Daw1"</f>
        <v>Daw1</v>
      </c>
      <c r="B4987" t="s">
        <v>14</v>
      </c>
      <c r="C4987" t="s">
        <v>19</v>
      </c>
      <c r="D4987" t="s">
        <v>17</v>
      </c>
      <c r="E4987" t="s">
        <v>67</v>
      </c>
      <c r="F4987">
        <v>83159733</v>
      </c>
      <c r="G4987">
        <v>83159773</v>
      </c>
      <c r="H4987">
        <v>83159733</v>
      </c>
      <c r="I4987">
        <v>83159773</v>
      </c>
    </row>
    <row r="4988" spans="1:9" x14ac:dyDescent="0.2">
      <c r="A4988" t="str">
        <f>"Daxx"</f>
        <v>Daxx</v>
      </c>
      <c r="B4988" t="s">
        <v>14</v>
      </c>
      <c r="C4988" t="s">
        <v>28</v>
      </c>
      <c r="D4988" t="s">
        <v>17</v>
      </c>
      <c r="E4988" t="s">
        <v>12</v>
      </c>
      <c r="F4988">
        <v>33909481</v>
      </c>
      <c r="G4988">
        <v>33909576</v>
      </c>
      <c r="H4988">
        <v>33909409</v>
      </c>
      <c r="I4988">
        <v>33909429</v>
      </c>
    </row>
    <row r="4989" spans="1:9" x14ac:dyDescent="0.2">
      <c r="A4989" t="str">
        <f>"Dazap1"</f>
        <v>Dazap1</v>
      </c>
      <c r="B4989" t="s">
        <v>14</v>
      </c>
      <c r="C4989" t="s">
        <v>15</v>
      </c>
      <c r="D4989" t="s">
        <v>17</v>
      </c>
      <c r="E4989" t="s">
        <v>12</v>
      </c>
      <c r="F4989">
        <v>80264942</v>
      </c>
      <c r="G4989">
        <v>80265033</v>
      </c>
      <c r="H4989">
        <v>80265035</v>
      </c>
      <c r="I4989">
        <v>80265086</v>
      </c>
    </row>
    <row r="4990" spans="1:9" x14ac:dyDescent="0.2">
      <c r="A4990" t="str">
        <f>"Dazap2"</f>
        <v>Dazap2</v>
      </c>
      <c r="B4990" t="s">
        <v>14</v>
      </c>
      <c r="C4990" t="s">
        <v>25</v>
      </c>
      <c r="D4990" t="s">
        <v>17</v>
      </c>
      <c r="E4990" t="s">
        <v>12</v>
      </c>
      <c r="F4990">
        <v>100615620</v>
      </c>
      <c r="G4990">
        <v>100615677</v>
      </c>
      <c r="H4990">
        <v>100615260</v>
      </c>
      <c r="I4990">
        <v>100615290</v>
      </c>
    </row>
    <row r="4991" spans="1:9" x14ac:dyDescent="0.2">
      <c r="A4991" t="str">
        <f>"Dazl"</f>
        <v>Dazl</v>
      </c>
      <c r="B4991" t="s">
        <v>14</v>
      </c>
      <c r="C4991" t="s">
        <v>28</v>
      </c>
      <c r="D4991" t="s">
        <v>11</v>
      </c>
      <c r="E4991" t="s">
        <v>12</v>
      </c>
      <c r="F4991">
        <v>50293592</v>
      </c>
      <c r="G4991">
        <v>50293606</v>
      </c>
      <c r="H4991">
        <v>50292922</v>
      </c>
      <c r="I4991">
        <v>50292943</v>
      </c>
    </row>
    <row r="4992" spans="1:9" x14ac:dyDescent="0.2">
      <c r="A4992" t="str">
        <f>"Dbf4"</f>
        <v>Dbf4</v>
      </c>
      <c r="B4992" t="s">
        <v>14</v>
      </c>
      <c r="C4992" t="s">
        <v>46</v>
      </c>
      <c r="D4992" t="s">
        <v>11</v>
      </c>
      <c r="E4992" t="s">
        <v>12</v>
      </c>
      <c r="F4992">
        <v>8422642</v>
      </c>
      <c r="G4992">
        <v>8422693</v>
      </c>
      <c r="H4992">
        <v>8422695</v>
      </c>
      <c r="I4992">
        <v>8422727</v>
      </c>
    </row>
    <row r="4993" spans="1:9" x14ac:dyDescent="0.2">
      <c r="A4993" t="str">
        <f>"Dbh"</f>
        <v>Dbh</v>
      </c>
      <c r="B4993" t="s">
        <v>14</v>
      </c>
      <c r="C4993" t="s">
        <v>26</v>
      </c>
      <c r="D4993" t="s">
        <v>17</v>
      </c>
      <c r="E4993" t="s">
        <v>12</v>
      </c>
      <c r="F4993">
        <v>27165499</v>
      </c>
      <c r="G4993">
        <v>27165515</v>
      </c>
      <c r="H4993">
        <v>27165499</v>
      </c>
      <c r="I4993">
        <v>27165515</v>
      </c>
    </row>
    <row r="4994" spans="1:9" x14ac:dyDescent="0.2">
      <c r="A4994" t="str">
        <f>"Dbi"</f>
        <v>Dbi</v>
      </c>
      <c r="B4994" t="s">
        <v>14</v>
      </c>
      <c r="C4994" t="s">
        <v>19</v>
      </c>
      <c r="D4994" t="s">
        <v>11</v>
      </c>
      <c r="E4994" t="s">
        <v>12</v>
      </c>
      <c r="F4994">
        <v>120121006</v>
      </c>
      <c r="G4994">
        <v>120121023</v>
      </c>
      <c r="H4994">
        <v>120121030</v>
      </c>
      <c r="I4994">
        <v>120121041</v>
      </c>
    </row>
    <row r="4995" spans="1:9" x14ac:dyDescent="0.2">
      <c r="A4995" t="str">
        <f>"Dbil5"</f>
        <v>Dbil5</v>
      </c>
      <c r="B4995" t="s">
        <v>14</v>
      </c>
      <c r="C4995" t="s">
        <v>27</v>
      </c>
      <c r="D4995" t="s">
        <v>17</v>
      </c>
      <c r="E4995" t="s">
        <v>12</v>
      </c>
      <c r="F4995">
        <v>76217617</v>
      </c>
      <c r="G4995">
        <v>76217636</v>
      </c>
      <c r="H4995">
        <v>76217647</v>
      </c>
      <c r="I4995">
        <v>76217670</v>
      </c>
    </row>
    <row r="4996" spans="1:9" x14ac:dyDescent="0.2">
      <c r="A4996" t="str">
        <f>"Dbn1"</f>
        <v>Dbn1</v>
      </c>
      <c r="B4996" t="s">
        <v>14</v>
      </c>
      <c r="C4996" t="s">
        <v>39</v>
      </c>
      <c r="D4996" t="s">
        <v>11</v>
      </c>
      <c r="E4996" t="s">
        <v>12</v>
      </c>
      <c r="F4996">
        <v>55488038</v>
      </c>
      <c r="G4996">
        <v>55488089</v>
      </c>
      <c r="H4996">
        <v>55488038</v>
      </c>
      <c r="I4996">
        <v>55488089</v>
      </c>
    </row>
    <row r="4997" spans="1:9" x14ac:dyDescent="0.2">
      <c r="A4997" t="str">
        <f>"Dbndd1"</f>
        <v>Dbndd1</v>
      </c>
      <c r="B4997" t="s">
        <v>14</v>
      </c>
      <c r="C4997" t="s">
        <v>30</v>
      </c>
      <c r="D4997" t="s">
        <v>11</v>
      </c>
      <c r="E4997" t="s">
        <v>12</v>
      </c>
      <c r="F4997">
        <v>123515333</v>
      </c>
      <c r="G4997">
        <v>123515437</v>
      </c>
      <c r="H4997">
        <v>123515466</v>
      </c>
      <c r="I4997">
        <v>123515498</v>
      </c>
    </row>
    <row r="4998" spans="1:9" x14ac:dyDescent="0.2">
      <c r="A4998" t="str">
        <f>"Dbndd2"</f>
        <v>Dbndd2</v>
      </c>
      <c r="B4998" t="s">
        <v>14</v>
      </c>
      <c r="C4998" t="s">
        <v>26</v>
      </c>
      <c r="D4998" t="s">
        <v>17</v>
      </c>
      <c r="E4998" t="s">
        <v>12</v>
      </c>
      <c r="F4998">
        <v>164486519</v>
      </c>
      <c r="G4998">
        <v>164486655</v>
      </c>
      <c r="H4998">
        <v>164486519</v>
      </c>
      <c r="I4998">
        <v>164486655</v>
      </c>
    </row>
    <row r="4999" spans="1:9" x14ac:dyDescent="0.2">
      <c r="A4999" t="str">
        <f>"Dbnl"</f>
        <v>Dbnl</v>
      </c>
      <c r="B4999" t="s">
        <v>14</v>
      </c>
      <c r="C4999" t="s">
        <v>27</v>
      </c>
      <c r="D4999" t="s">
        <v>17</v>
      </c>
      <c r="E4999" t="s">
        <v>12</v>
      </c>
      <c r="F4999">
        <v>5788480</v>
      </c>
      <c r="G4999">
        <v>5788560</v>
      </c>
      <c r="H4999">
        <v>5788480</v>
      </c>
      <c r="I4999">
        <v>5788560</v>
      </c>
    </row>
    <row r="5000" spans="1:9" x14ac:dyDescent="0.2">
      <c r="A5000" t="str">
        <f>"Dbp"</f>
        <v>Dbp</v>
      </c>
      <c r="B5000" t="s">
        <v>14</v>
      </c>
      <c r="C5000" t="s">
        <v>33</v>
      </c>
      <c r="D5000" t="s">
        <v>17</v>
      </c>
      <c r="E5000" t="s">
        <v>12</v>
      </c>
      <c r="F5000">
        <v>45705185</v>
      </c>
      <c r="G5000">
        <v>45705292</v>
      </c>
      <c r="H5000">
        <v>45705330</v>
      </c>
      <c r="I5000">
        <v>45705349</v>
      </c>
    </row>
    <row r="5001" spans="1:9" x14ac:dyDescent="0.2">
      <c r="A5001" t="str">
        <f>"Dbpht2"</f>
        <v>Dbpht2</v>
      </c>
      <c r="B5001" t="s">
        <v>2350</v>
      </c>
      <c r="C5001" t="s">
        <v>16</v>
      </c>
      <c r="D5001" t="s">
        <v>17</v>
      </c>
      <c r="E5001" t="s">
        <v>20</v>
      </c>
      <c r="F5001">
        <v>74297473</v>
      </c>
      <c r="G5001">
        <v>74297473</v>
      </c>
      <c r="H5001">
        <v>74297473</v>
      </c>
      <c r="I5001">
        <v>74297473</v>
      </c>
    </row>
    <row r="5002" spans="1:9" x14ac:dyDescent="0.2">
      <c r="A5002" t="str">
        <f>"Dbr1"</f>
        <v>Dbr1</v>
      </c>
      <c r="B5002" t="s">
        <v>14</v>
      </c>
      <c r="C5002" t="s">
        <v>24</v>
      </c>
      <c r="D5002" t="s">
        <v>17</v>
      </c>
      <c r="E5002" t="s">
        <v>12</v>
      </c>
      <c r="F5002">
        <v>99575776</v>
      </c>
      <c r="G5002">
        <v>99575829</v>
      </c>
      <c r="H5002">
        <v>99575841</v>
      </c>
      <c r="I5002">
        <v>99575860</v>
      </c>
    </row>
    <row r="5003" spans="1:9" x14ac:dyDescent="0.2">
      <c r="A5003" t="str">
        <f>"Dbt"</f>
        <v>Dbt</v>
      </c>
      <c r="B5003" t="s">
        <v>14</v>
      </c>
      <c r="C5003" t="s">
        <v>22</v>
      </c>
      <c r="D5003" t="s">
        <v>17</v>
      </c>
      <c r="E5003" t="s">
        <v>12</v>
      </c>
      <c r="F5003">
        <v>116513094</v>
      </c>
      <c r="G5003">
        <v>116513144</v>
      </c>
      <c r="H5003">
        <v>116513094</v>
      </c>
      <c r="I5003">
        <v>116513144</v>
      </c>
    </row>
    <row r="5004" spans="1:9" x14ac:dyDescent="0.2">
      <c r="A5004" t="str">
        <f>"Dbx1"</f>
        <v>Dbx1</v>
      </c>
      <c r="B5004" t="s">
        <v>14</v>
      </c>
      <c r="C5004" t="s">
        <v>33</v>
      </c>
      <c r="D5004" t="s">
        <v>11</v>
      </c>
      <c r="E5004" t="s">
        <v>12</v>
      </c>
      <c r="F5004">
        <v>49636847</v>
      </c>
      <c r="G5004">
        <v>49636851</v>
      </c>
      <c r="H5004">
        <v>49636910</v>
      </c>
      <c r="I5004">
        <v>49636923</v>
      </c>
    </row>
    <row r="5005" spans="1:9" x14ac:dyDescent="0.2">
      <c r="A5005" t="str">
        <f>"Dbx2"</f>
        <v>Dbx2</v>
      </c>
      <c r="B5005" t="s">
        <v>14</v>
      </c>
      <c r="C5005" t="s">
        <v>25</v>
      </c>
      <c r="D5005" t="s">
        <v>11</v>
      </c>
      <c r="E5005" t="s">
        <v>12</v>
      </c>
      <c r="F5005">
        <v>95654809</v>
      </c>
      <c r="G5005">
        <v>95654826</v>
      </c>
      <c r="H5005">
        <v>95654779</v>
      </c>
      <c r="I5005">
        <v>95654794</v>
      </c>
    </row>
    <row r="5006" spans="1:9" x14ac:dyDescent="0.2">
      <c r="A5006" t="str">
        <f>"Dcaf10"</f>
        <v>Dcaf10</v>
      </c>
      <c r="B5006" t="s">
        <v>14</v>
      </c>
      <c r="C5006" t="s">
        <v>23</v>
      </c>
      <c r="D5006" t="s">
        <v>17</v>
      </c>
      <c r="E5006" t="s">
        <v>12</v>
      </c>
      <c r="F5006">
        <v>45342063</v>
      </c>
      <c r="G5006">
        <v>45342134</v>
      </c>
      <c r="H5006">
        <v>45342192</v>
      </c>
      <c r="I5006">
        <v>45342242</v>
      </c>
    </row>
    <row r="5007" spans="1:9" x14ac:dyDescent="0.2">
      <c r="A5007" t="str">
        <f>"Dcaf11"</f>
        <v>Dcaf11</v>
      </c>
      <c r="B5007" t="s">
        <v>14</v>
      </c>
      <c r="C5007" t="s">
        <v>41</v>
      </c>
      <c r="D5007" t="s">
        <v>17</v>
      </c>
      <c r="E5007" t="s">
        <v>12</v>
      </c>
      <c r="F5007">
        <v>55560480</v>
      </c>
      <c r="G5007">
        <v>55560528</v>
      </c>
      <c r="H5007">
        <v>55560010</v>
      </c>
      <c r="I5007">
        <v>55560037</v>
      </c>
    </row>
    <row r="5008" spans="1:9" x14ac:dyDescent="0.2">
      <c r="A5008" t="str">
        <f>"Dcaf12"</f>
        <v>Dcaf12</v>
      </c>
      <c r="B5008" t="s">
        <v>14</v>
      </c>
      <c r="C5008" t="s">
        <v>23</v>
      </c>
      <c r="D5008" t="s">
        <v>11</v>
      </c>
      <c r="E5008" t="s">
        <v>12</v>
      </c>
      <c r="F5008">
        <v>41314814</v>
      </c>
      <c r="G5008">
        <v>41314859</v>
      </c>
      <c r="H5008">
        <v>41314877</v>
      </c>
      <c r="I5008">
        <v>41314889</v>
      </c>
    </row>
    <row r="5009" spans="1:9" x14ac:dyDescent="0.2">
      <c r="A5009" t="str">
        <f>"Dcaf12l1"</f>
        <v>Dcaf12l1</v>
      </c>
      <c r="B5009" t="s">
        <v>14</v>
      </c>
      <c r="C5009" t="s">
        <v>37</v>
      </c>
      <c r="D5009" t="s">
        <v>11</v>
      </c>
      <c r="E5009" t="s">
        <v>12</v>
      </c>
      <c r="F5009">
        <v>44789983</v>
      </c>
      <c r="G5009">
        <v>44790067</v>
      </c>
      <c r="H5009">
        <v>44790146</v>
      </c>
      <c r="I5009">
        <v>44790169</v>
      </c>
    </row>
    <row r="5010" spans="1:9" x14ac:dyDescent="0.2">
      <c r="A5010" t="str">
        <f>"Dcaf12l2"</f>
        <v>Dcaf12l2</v>
      </c>
      <c r="B5010" t="s">
        <v>14</v>
      </c>
      <c r="C5010" t="s">
        <v>37</v>
      </c>
      <c r="D5010" t="s">
        <v>11</v>
      </c>
      <c r="E5010" t="s">
        <v>12</v>
      </c>
      <c r="F5010">
        <v>44368329</v>
      </c>
      <c r="G5010">
        <v>44368352</v>
      </c>
      <c r="H5010">
        <v>44368360</v>
      </c>
      <c r="I5010">
        <v>44368370</v>
      </c>
    </row>
    <row r="5011" spans="1:9" x14ac:dyDescent="0.2">
      <c r="A5011" t="str">
        <f>"Dcaf13"</f>
        <v>Dcaf13</v>
      </c>
      <c r="B5011" t="s">
        <v>14</v>
      </c>
      <c r="C5011" t="s">
        <v>25</v>
      </c>
      <c r="D5011" t="s">
        <v>17</v>
      </c>
      <c r="E5011" t="s">
        <v>12</v>
      </c>
      <c r="F5011">
        <v>39112868</v>
      </c>
      <c r="G5011">
        <v>39112915</v>
      </c>
      <c r="H5011">
        <v>39112923</v>
      </c>
      <c r="I5011">
        <v>39112935</v>
      </c>
    </row>
    <row r="5012" spans="1:9" x14ac:dyDescent="0.2">
      <c r="A5012" t="str">
        <f>"Dcaf15"</f>
        <v>Dcaf15</v>
      </c>
      <c r="B5012" t="s">
        <v>14</v>
      </c>
      <c r="C5012" t="s">
        <v>30</v>
      </c>
      <c r="D5012" t="s">
        <v>11</v>
      </c>
      <c r="E5012" t="s">
        <v>12</v>
      </c>
      <c r="F5012">
        <v>84104744</v>
      </c>
      <c r="G5012">
        <v>84104759</v>
      </c>
      <c r="H5012">
        <v>84104778</v>
      </c>
      <c r="I5012">
        <v>84104793</v>
      </c>
    </row>
    <row r="5013" spans="1:9" x14ac:dyDescent="0.2">
      <c r="A5013" t="str">
        <f>"Dcaf17"</f>
        <v>Dcaf17</v>
      </c>
      <c r="B5013" t="s">
        <v>14</v>
      </c>
      <c r="C5013" t="s">
        <v>26</v>
      </c>
      <c r="D5013" t="s">
        <v>17</v>
      </c>
      <c r="E5013" t="s">
        <v>12</v>
      </c>
      <c r="F5013">
        <v>71055731</v>
      </c>
      <c r="G5013">
        <v>71055816</v>
      </c>
      <c r="H5013">
        <v>71055820</v>
      </c>
      <c r="I5013">
        <v>71055840</v>
      </c>
    </row>
    <row r="5014" spans="1:9" x14ac:dyDescent="0.2">
      <c r="A5014" t="str">
        <f>"Dcaf4"</f>
        <v>Dcaf4</v>
      </c>
      <c r="B5014" t="s">
        <v>9</v>
      </c>
      <c r="C5014" t="s">
        <v>16</v>
      </c>
      <c r="D5014" t="s">
        <v>17</v>
      </c>
      <c r="E5014" t="s">
        <v>12</v>
      </c>
      <c r="F5014">
        <v>83520528</v>
      </c>
      <c r="G5014">
        <v>83520598</v>
      </c>
      <c r="H5014">
        <v>83520528</v>
      </c>
      <c r="I5014">
        <v>83520598</v>
      </c>
    </row>
    <row r="5015" spans="1:9" x14ac:dyDescent="0.2">
      <c r="A5015" t="str">
        <f>"Dcaf4"</f>
        <v>Dcaf4</v>
      </c>
      <c r="B5015" t="s">
        <v>13</v>
      </c>
      <c r="C5015" t="s">
        <v>16</v>
      </c>
      <c r="D5015" t="s">
        <v>17</v>
      </c>
      <c r="E5015" t="s">
        <v>12</v>
      </c>
      <c r="F5015">
        <v>83526043</v>
      </c>
      <c r="G5015">
        <v>83526069</v>
      </c>
      <c r="H5015">
        <v>83526043</v>
      </c>
      <c r="I5015">
        <v>83526069</v>
      </c>
    </row>
    <row r="5016" spans="1:9" x14ac:dyDescent="0.2">
      <c r="A5016" t="str">
        <f>"Dcaf5"</f>
        <v>Dcaf5</v>
      </c>
      <c r="B5016" t="s">
        <v>14</v>
      </c>
      <c r="C5016" t="s">
        <v>16</v>
      </c>
      <c r="D5016" t="s">
        <v>11</v>
      </c>
      <c r="E5016" t="s">
        <v>12</v>
      </c>
      <c r="F5016">
        <v>80436541</v>
      </c>
      <c r="G5016">
        <v>80436566</v>
      </c>
      <c r="H5016">
        <v>80436571</v>
      </c>
      <c r="I5016">
        <v>80436603</v>
      </c>
    </row>
    <row r="5017" spans="1:9" x14ac:dyDescent="0.2">
      <c r="A5017" t="str">
        <f>"Dcaf6"</f>
        <v>Dcaf6</v>
      </c>
      <c r="B5017" t="s">
        <v>14</v>
      </c>
      <c r="C5017" t="s">
        <v>19</v>
      </c>
      <c r="D5017" t="s">
        <v>11</v>
      </c>
      <c r="E5017" t="s">
        <v>12</v>
      </c>
      <c r="F5017">
        <v>165460430</v>
      </c>
      <c r="G5017">
        <v>165460487</v>
      </c>
      <c r="H5017">
        <v>165460516</v>
      </c>
      <c r="I5017">
        <v>165460549</v>
      </c>
    </row>
    <row r="5018" spans="1:9" x14ac:dyDescent="0.2">
      <c r="A5018" t="str">
        <f>"Dcaf7"</f>
        <v>Dcaf7</v>
      </c>
      <c r="B5018" t="s">
        <v>14</v>
      </c>
      <c r="C5018" t="s">
        <v>27</v>
      </c>
      <c r="D5018" t="s">
        <v>17</v>
      </c>
      <c r="E5018" t="s">
        <v>12</v>
      </c>
      <c r="F5018">
        <v>106036867</v>
      </c>
      <c r="G5018">
        <v>106036924</v>
      </c>
      <c r="H5018">
        <v>106036928</v>
      </c>
      <c r="I5018">
        <v>106036945</v>
      </c>
    </row>
    <row r="5019" spans="1:9" x14ac:dyDescent="0.2">
      <c r="A5019" t="str">
        <f>"Dcaf8"</f>
        <v>Dcaf8</v>
      </c>
      <c r="B5019" t="s">
        <v>14</v>
      </c>
      <c r="C5019" t="s">
        <v>19</v>
      </c>
      <c r="D5019" t="s">
        <v>17</v>
      </c>
      <c r="E5019" t="s">
        <v>12</v>
      </c>
      <c r="F5019">
        <v>172148110</v>
      </c>
      <c r="G5019">
        <v>172148176</v>
      </c>
      <c r="H5019">
        <v>172148058</v>
      </c>
      <c r="I5019">
        <v>172148094</v>
      </c>
    </row>
    <row r="5020" spans="1:9" x14ac:dyDescent="0.2">
      <c r="A5020" t="str">
        <f>"Dcakd"</f>
        <v>Dcakd</v>
      </c>
      <c r="B5020" t="s">
        <v>9</v>
      </c>
      <c r="C5020" t="s">
        <v>27</v>
      </c>
      <c r="D5020" t="s">
        <v>11</v>
      </c>
      <c r="E5020" t="s">
        <v>12</v>
      </c>
      <c r="F5020">
        <v>103017073</v>
      </c>
      <c r="G5020">
        <v>103017152</v>
      </c>
      <c r="H5020">
        <v>103017073</v>
      </c>
      <c r="I5020">
        <v>103017152</v>
      </c>
    </row>
    <row r="5021" spans="1:9" x14ac:dyDescent="0.2">
      <c r="A5021" t="str">
        <f>"Dcakd"</f>
        <v>Dcakd</v>
      </c>
      <c r="B5021" t="s">
        <v>13</v>
      </c>
      <c r="C5021" t="s">
        <v>27</v>
      </c>
      <c r="D5021" t="s">
        <v>11</v>
      </c>
      <c r="E5021" t="s">
        <v>12</v>
      </c>
      <c r="F5021">
        <v>103028204</v>
      </c>
      <c r="G5021">
        <v>103028291</v>
      </c>
      <c r="H5021">
        <v>103028204</v>
      </c>
      <c r="I5021">
        <v>103028291</v>
      </c>
    </row>
    <row r="5022" spans="1:9" x14ac:dyDescent="0.2">
      <c r="A5022" t="str">
        <f>"Dcbld1"</f>
        <v>Dcbld1</v>
      </c>
      <c r="B5022" t="s">
        <v>14</v>
      </c>
      <c r="C5022" t="s">
        <v>15</v>
      </c>
      <c r="D5022" t="s">
        <v>17</v>
      </c>
      <c r="E5022" t="s">
        <v>12</v>
      </c>
      <c r="F5022">
        <v>52233612</v>
      </c>
      <c r="G5022">
        <v>52233672</v>
      </c>
      <c r="H5022">
        <v>52233693</v>
      </c>
      <c r="I5022">
        <v>52233700</v>
      </c>
    </row>
    <row r="5023" spans="1:9" x14ac:dyDescent="0.2">
      <c r="A5023" t="str">
        <f>"Dcbld2"</f>
        <v>Dcbld2</v>
      </c>
      <c r="B5023" t="s">
        <v>14</v>
      </c>
      <c r="C5023" t="s">
        <v>31</v>
      </c>
      <c r="D5023" t="s">
        <v>17</v>
      </c>
      <c r="E5023" t="s">
        <v>12</v>
      </c>
      <c r="F5023">
        <v>58408481</v>
      </c>
      <c r="G5023">
        <v>58408523</v>
      </c>
      <c r="H5023">
        <v>58408481</v>
      </c>
      <c r="I5023">
        <v>58408523</v>
      </c>
    </row>
    <row r="5024" spans="1:9" x14ac:dyDescent="0.2">
      <c r="A5024" t="str">
        <f>"Dcc"</f>
        <v>Dcc</v>
      </c>
      <c r="B5024" t="s">
        <v>14</v>
      </c>
      <c r="C5024" t="s">
        <v>43</v>
      </c>
      <c r="D5024" t="s">
        <v>11</v>
      </c>
      <c r="E5024" t="s">
        <v>12</v>
      </c>
      <c r="F5024">
        <v>72351029</v>
      </c>
      <c r="G5024">
        <v>72351073</v>
      </c>
      <c r="H5024">
        <v>72351029</v>
      </c>
      <c r="I5024">
        <v>72351073</v>
      </c>
    </row>
    <row r="5025" spans="1:9" x14ac:dyDescent="0.2">
      <c r="A5025" t="str">
        <f>"Dcdc2a"</f>
        <v>Dcdc2a</v>
      </c>
      <c r="B5025" t="s">
        <v>14</v>
      </c>
      <c r="C5025" t="s">
        <v>39</v>
      </c>
      <c r="D5025" t="s">
        <v>17</v>
      </c>
      <c r="E5025" t="s">
        <v>12</v>
      </c>
      <c r="F5025">
        <v>25056155</v>
      </c>
      <c r="G5025">
        <v>25056205</v>
      </c>
      <c r="H5025">
        <v>25056155</v>
      </c>
      <c r="I5025">
        <v>25056205</v>
      </c>
    </row>
    <row r="5026" spans="1:9" x14ac:dyDescent="0.2">
      <c r="A5026" t="str">
        <f>"Dcdc2b"</f>
        <v>Dcdc2b</v>
      </c>
      <c r="B5026" t="s">
        <v>14</v>
      </c>
      <c r="C5026" t="s">
        <v>23</v>
      </c>
      <c r="D5026" t="s">
        <v>11</v>
      </c>
      <c r="E5026" t="s">
        <v>12</v>
      </c>
      <c r="F5026">
        <v>129614261</v>
      </c>
      <c r="G5026">
        <v>129614280</v>
      </c>
      <c r="H5026">
        <v>129614261</v>
      </c>
      <c r="I5026">
        <v>129614280</v>
      </c>
    </row>
    <row r="5027" spans="1:9" x14ac:dyDescent="0.2">
      <c r="A5027" t="str">
        <f>"Dcdc2c"</f>
        <v>Dcdc2c</v>
      </c>
      <c r="B5027" t="s">
        <v>2351</v>
      </c>
      <c r="C5027" t="s">
        <v>16</v>
      </c>
      <c r="D5027" t="s">
        <v>11</v>
      </c>
      <c r="E5027" t="s">
        <v>20</v>
      </c>
      <c r="F5027">
        <v>28552302</v>
      </c>
      <c r="G5027">
        <v>28552302</v>
      </c>
      <c r="H5027">
        <v>28552302</v>
      </c>
      <c r="I5027">
        <v>28552302</v>
      </c>
    </row>
    <row r="5028" spans="1:9" x14ac:dyDescent="0.2">
      <c r="A5028" t="str">
        <f>"Dchs1"</f>
        <v>Dchs1</v>
      </c>
      <c r="B5028" t="s">
        <v>14</v>
      </c>
      <c r="C5028" t="s">
        <v>33</v>
      </c>
      <c r="D5028" t="s">
        <v>11</v>
      </c>
      <c r="E5028" t="s">
        <v>12</v>
      </c>
      <c r="F5028">
        <v>105787567</v>
      </c>
      <c r="G5028">
        <v>105787639</v>
      </c>
      <c r="H5028">
        <v>105787506</v>
      </c>
      <c r="I5028">
        <v>105787523</v>
      </c>
    </row>
    <row r="5029" spans="1:9" x14ac:dyDescent="0.2">
      <c r="A5029" t="str">
        <f>"Dck"</f>
        <v>Dck</v>
      </c>
      <c r="B5029" t="s">
        <v>14</v>
      </c>
      <c r="C5029" t="s">
        <v>46</v>
      </c>
      <c r="D5029" t="s">
        <v>17</v>
      </c>
      <c r="E5029" t="s">
        <v>12</v>
      </c>
      <c r="F5029">
        <v>88765169</v>
      </c>
      <c r="G5029">
        <v>88765191</v>
      </c>
      <c r="H5029">
        <v>88765169</v>
      </c>
      <c r="I5029">
        <v>88765191</v>
      </c>
    </row>
    <row r="5030" spans="1:9" x14ac:dyDescent="0.2">
      <c r="A5030" t="str">
        <f>"Dclk1"</f>
        <v>Dclk1</v>
      </c>
      <c r="B5030" t="s">
        <v>14</v>
      </c>
      <c r="C5030" t="s">
        <v>22</v>
      </c>
      <c r="D5030" t="s">
        <v>17</v>
      </c>
      <c r="E5030" t="s">
        <v>12</v>
      </c>
      <c r="F5030">
        <v>55242586</v>
      </c>
      <c r="G5030">
        <v>55242645</v>
      </c>
      <c r="H5030">
        <v>55242586</v>
      </c>
      <c r="I5030">
        <v>55242645</v>
      </c>
    </row>
    <row r="5031" spans="1:9" x14ac:dyDescent="0.2">
      <c r="A5031" t="str">
        <f>"Dclk2"</f>
        <v>Dclk2</v>
      </c>
      <c r="B5031" t="s">
        <v>14</v>
      </c>
      <c r="C5031" t="s">
        <v>22</v>
      </c>
      <c r="D5031" t="s">
        <v>11</v>
      </c>
      <c r="E5031" t="s">
        <v>12</v>
      </c>
      <c r="F5031">
        <v>86920830</v>
      </c>
      <c r="G5031">
        <v>86920977</v>
      </c>
      <c r="H5031">
        <v>86920363</v>
      </c>
      <c r="I5031">
        <v>86920390</v>
      </c>
    </row>
    <row r="5032" spans="1:9" x14ac:dyDescent="0.2">
      <c r="A5032" t="str">
        <f>"Dclk3"</f>
        <v>Dclk3</v>
      </c>
      <c r="B5032" t="s">
        <v>14</v>
      </c>
      <c r="C5032" t="s">
        <v>24</v>
      </c>
      <c r="D5032" t="s">
        <v>17</v>
      </c>
      <c r="E5032" t="s">
        <v>12</v>
      </c>
      <c r="F5032">
        <v>111439098</v>
      </c>
      <c r="G5032">
        <v>111439133</v>
      </c>
      <c r="H5032">
        <v>111439063</v>
      </c>
      <c r="I5032">
        <v>111439097</v>
      </c>
    </row>
    <row r="5033" spans="1:9" x14ac:dyDescent="0.2">
      <c r="A5033" t="str">
        <f>"Dclre1a"</f>
        <v>Dclre1a</v>
      </c>
      <c r="B5033" t="s">
        <v>14</v>
      </c>
      <c r="C5033" t="s">
        <v>10</v>
      </c>
      <c r="D5033" t="s">
        <v>11</v>
      </c>
      <c r="E5033" t="s">
        <v>12</v>
      </c>
      <c r="F5033">
        <v>56548013</v>
      </c>
      <c r="G5033">
        <v>56548046</v>
      </c>
      <c r="H5033">
        <v>56548122</v>
      </c>
      <c r="I5033">
        <v>56548127</v>
      </c>
    </row>
    <row r="5034" spans="1:9" x14ac:dyDescent="0.2">
      <c r="A5034" t="str">
        <f>"Dclre1b"</f>
        <v>Dclre1b</v>
      </c>
      <c r="B5034" t="s">
        <v>14</v>
      </c>
      <c r="C5034" t="s">
        <v>22</v>
      </c>
      <c r="D5034" t="s">
        <v>11</v>
      </c>
      <c r="E5034" t="s">
        <v>12</v>
      </c>
      <c r="F5034">
        <v>103809278</v>
      </c>
      <c r="G5034">
        <v>103809409</v>
      </c>
      <c r="H5034">
        <v>103809278</v>
      </c>
      <c r="I5034">
        <v>103809409</v>
      </c>
    </row>
    <row r="5035" spans="1:9" x14ac:dyDescent="0.2">
      <c r="A5035" t="str">
        <f>"Dclre1c"</f>
        <v>Dclre1c</v>
      </c>
      <c r="B5035" t="s">
        <v>14</v>
      </c>
      <c r="C5035" t="s">
        <v>26</v>
      </c>
      <c r="D5035" t="s">
        <v>17</v>
      </c>
      <c r="E5035" t="s">
        <v>12</v>
      </c>
      <c r="F5035">
        <v>3424123</v>
      </c>
      <c r="G5035">
        <v>3424207</v>
      </c>
      <c r="H5035">
        <v>3424223</v>
      </c>
      <c r="I5035">
        <v>3424227</v>
      </c>
    </row>
    <row r="5036" spans="1:9" x14ac:dyDescent="0.2">
      <c r="A5036" t="str">
        <f>"Dcn"</f>
        <v>Dcn</v>
      </c>
      <c r="B5036" t="s">
        <v>14</v>
      </c>
      <c r="C5036" t="s">
        <v>15</v>
      </c>
      <c r="D5036" t="s">
        <v>17</v>
      </c>
      <c r="E5036" t="s">
        <v>12</v>
      </c>
      <c r="F5036">
        <v>97479603</v>
      </c>
      <c r="G5036">
        <v>97479617</v>
      </c>
      <c r="H5036">
        <v>97479625</v>
      </c>
      <c r="I5036">
        <v>97479650</v>
      </c>
    </row>
    <row r="5037" spans="1:9" x14ac:dyDescent="0.2">
      <c r="A5037" t="str">
        <f>"Dcp1a"</f>
        <v>Dcp1a</v>
      </c>
      <c r="B5037" t="s">
        <v>14</v>
      </c>
      <c r="C5037" t="s">
        <v>41</v>
      </c>
      <c r="D5037" t="s">
        <v>17</v>
      </c>
      <c r="E5037" t="s">
        <v>12</v>
      </c>
      <c r="F5037">
        <v>30479620</v>
      </c>
      <c r="G5037">
        <v>30479685</v>
      </c>
      <c r="H5037">
        <v>30479576</v>
      </c>
      <c r="I5037">
        <v>30479579</v>
      </c>
    </row>
    <row r="5038" spans="1:9" x14ac:dyDescent="0.2">
      <c r="A5038" t="str">
        <f>"Dcp1b"</f>
        <v>Dcp1b</v>
      </c>
      <c r="B5038" t="s">
        <v>14</v>
      </c>
      <c r="C5038" t="s">
        <v>32</v>
      </c>
      <c r="D5038" t="s">
        <v>17</v>
      </c>
      <c r="E5038" t="s">
        <v>12</v>
      </c>
      <c r="F5038">
        <v>119175247</v>
      </c>
      <c r="G5038">
        <v>119175292</v>
      </c>
      <c r="H5038">
        <v>119175247</v>
      </c>
      <c r="I5038">
        <v>119175292</v>
      </c>
    </row>
    <row r="5039" spans="1:9" x14ac:dyDescent="0.2">
      <c r="A5039" t="str">
        <f>"Dcp2"</f>
        <v>Dcp2</v>
      </c>
      <c r="B5039" t="s">
        <v>14</v>
      </c>
      <c r="C5039" t="s">
        <v>43</v>
      </c>
      <c r="D5039" t="s">
        <v>17</v>
      </c>
      <c r="E5039" t="s">
        <v>12</v>
      </c>
      <c r="F5039">
        <v>44380479</v>
      </c>
      <c r="G5039">
        <v>44380554</v>
      </c>
      <c r="H5039">
        <v>44380559</v>
      </c>
      <c r="I5039">
        <v>44380577</v>
      </c>
    </row>
    <row r="5040" spans="1:9" x14ac:dyDescent="0.2">
      <c r="A5040" t="str">
        <f>"Dcpp1"</f>
        <v>Dcpp1</v>
      </c>
      <c r="B5040" t="s">
        <v>14</v>
      </c>
      <c r="C5040" t="s">
        <v>28</v>
      </c>
      <c r="D5040" t="s">
        <v>17</v>
      </c>
      <c r="E5040" t="s">
        <v>12</v>
      </c>
      <c r="F5040">
        <v>23880876</v>
      </c>
      <c r="G5040">
        <v>23880881</v>
      </c>
      <c r="H5040">
        <v>23880876</v>
      </c>
      <c r="I5040">
        <v>23880881</v>
      </c>
    </row>
    <row r="5041" spans="1:9" x14ac:dyDescent="0.2">
      <c r="A5041" t="str">
        <f>"Dcpp2"</f>
        <v>Dcpp2</v>
      </c>
      <c r="B5041" t="s">
        <v>14</v>
      </c>
      <c r="C5041" t="s">
        <v>28</v>
      </c>
      <c r="D5041" t="s">
        <v>17</v>
      </c>
      <c r="E5041" t="s">
        <v>12</v>
      </c>
      <c r="F5041">
        <v>23898717</v>
      </c>
      <c r="G5041">
        <v>23898722</v>
      </c>
      <c r="H5041">
        <v>23898717</v>
      </c>
      <c r="I5041">
        <v>23898722</v>
      </c>
    </row>
    <row r="5042" spans="1:9" x14ac:dyDescent="0.2">
      <c r="A5042" t="str">
        <f>"Dcpp3"</f>
        <v>Dcpp3</v>
      </c>
      <c r="B5042" t="s">
        <v>14</v>
      </c>
      <c r="C5042" t="s">
        <v>28</v>
      </c>
      <c r="D5042" t="s">
        <v>17</v>
      </c>
      <c r="E5042" t="s">
        <v>12</v>
      </c>
      <c r="F5042">
        <v>23917455</v>
      </c>
      <c r="G5042">
        <v>23917460</v>
      </c>
      <c r="H5042">
        <v>23917455</v>
      </c>
      <c r="I5042">
        <v>23917460</v>
      </c>
    </row>
    <row r="5043" spans="1:9" x14ac:dyDescent="0.2">
      <c r="A5043" t="str">
        <f>"Dcps"</f>
        <v>Dcps</v>
      </c>
      <c r="B5043" t="s">
        <v>14</v>
      </c>
      <c r="C5043" t="s">
        <v>24</v>
      </c>
      <c r="D5043" t="s">
        <v>11</v>
      </c>
      <c r="E5043" t="s">
        <v>12</v>
      </c>
      <c r="F5043">
        <v>35175971</v>
      </c>
      <c r="G5043">
        <v>35176021</v>
      </c>
      <c r="H5043">
        <v>35176039</v>
      </c>
      <c r="I5043">
        <v>35176051</v>
      </c>
    </row>
    <row r="5044" spans="1:9" x14ac:dyDescent="0.2">
      <c r="A5044" t="str">
        <f>"Dcst1"</f>
        <v>Dcst1</v>
      </c>
      <c r="B5044" t="s">
        <v>9</v>
      </c>
      <c r="C5044" t="s">
        <v>22</v>
      </c>
      <c r="D5044" t="s">
        <v>11</v>
      </c>
      <c r="E5044" t="s">
        <v>12</v>
      </c>
      <c r="F5044">
        <v>89355559</v>
      </c>
      <c r="G5044">
        <v>89355584</v>
      </c>
      <c r="H5044">
        <v>89355559</v>
      </c>
      <c r="I5044">
        <v>89355584</v>
      </c>
    </row>
    <row r="5045" spans="1:9" x14ac:dyDescent="0.2">
      <c r="A5045" t="str">
        <f>"Dcst1"</f>
        <v>Dcst1</v>
      </c>
      <c r="B5045" t="s">
        <v>13</v>
      </c>
      <c r="C5045" t="s">
        <v>22</v>
      </c>
      <c r="D5045" t="s">
        <v>11</v>
      </c>
      <c r="E5045" t="s">
        <v>12</v>
      </c>
      <c r="F5045">
        <v>89365233</v>
      </c>
      <c r="G5045">
        <v>89365244</v>
      </c>
      <c r="H5045">
        <v>89365233</v>
      </c>
      <c r="I5045">
        <v>89365244</v>
      </c>
    </row>
    <row r="5046" spans="1:9" x14ac:dyDescent="0.2">
      <c r="A5046" t="str">
        <f>"Dcstamp"</f>
        <v>Dcstamp</v>
      </c>
      <c r="B5046" t="s">
        <v>14</v>
      </c>
      <c r="C5046" t="s">
        <v>25</v>
      </c>
      <c r="D5046" t="s">
        <v>17</v>
      </c>
      <c r="E5046" t="s">
        <v>67</v>
      </c>
      <c r="F5046">
        <v>39745926</v>
      </c>
      <c r="G5046">
        <v>39745937</v>
      </c>
      <c r="H5046">
        <v>39745926</v>
      </c>
      <c r="I5046">
        <v>39745937</v>
      </c>
    </row>
    <row r="5047" spans="1:9" x14ac:dyDescent="0.2">
      <c r="A5047" t="str">
        <f>"Dct"</f>
        <v>Dct</v>
      </c>
      <c r="B5047" t="s">
        <v>14</v>
      </c>
      <c r="C5047" t="s">
        <v>41</v>
      </c>
      <c r="D5047" t="s">
        <v>11</v>
      </c>
      <c r="E5047" t="s">
        <v>12</v>
      </c>
      <c r="F5047">
        <v>118052235</v>
      </c>
      <c r="G5047">
        <v>118052253</v>
      </c>
      <c r="H5047">
        <v>118052145</v>
      </c>
      <c r="I5047">
        <v>118052154</v>
      </c>
    </row>
    <row r="5048" spans="1:9" x14ac:dyDescent="0.2">
      <c r="A5048" t="str">
        <f>"Dctd"</f>
        <v>Dctd</v>
      </c>
      <c r="B5048" t="s">
        <v>14</v>
      </c>
      <c r="C5048" t="s">
        <v>30</v>
      </c>
      <c r="D5048" t="s">
        <v>17</v>
      </c>
      <c r="E5048" t="s">
        <v>12</v>
      </c>
      <c r="F5048">
        <v>48110156</v>
      </c>
      <c r="G5048">
        <v>48110194</v>
      </c>
      <c r="H5048">
        <v>48109949</v>
      </c>
      <c r="I5048">
        <v>48110002</v>
      </c>
    </row>
    <row r="5049" spans="1:9" x14ac:dyDescent="0.2">
      <c r="A5049" t="str">
        <f>"Dctn1"</f>
        <v>Dctn1</v>
      </c>
      <c r="B5049" t="s">
        <v>14</v>
      </c>
      <c r="C5049" t="s">
        <v>32</v>
      </c>
      <c r="D5049" t="s">
        <v>17</v>
      </c>
      <c r="E5049" t="s">
        <v>12</v>
      </c>
      <c r="F5049">
        <v>83165920</v>
      </c>
      <c r="G5049">
        <v>83165977</v>
      </c>
      <c r="H5049">
        <v>83165920</v>
      </c>
      <c r="I5049">
        <v>83165977</v>
      </c>
    </row>
    <row r="5050" spans="1:9" x14ac:dyDescent="0.2">
      <c r="A5050" t="str">
        <f>"Dctn2"</f>
        <v>Dctn2</v>
      </c>
      <c r="B5050" t="s">
        <v>14</v>
      </c>
      <c r="C5050" t="s">
        <v>15</v>
      </c>
      <c r="D5050" t="s">
        <v>17</v>
      </c>
      <c r="E5050" t="s">
        <v>12</v>
      </c>
      <c r="F5050">
        <v>127266324</v>
      </c>
      <c r="G5050">
        <v>127266442</v>
      </c>
      <c r="H5050">
        <v>127266256</v>
      </c>
      <c r="I5050">
        <v>127266292</v>
      </c>
    </row>
    <row r="5051" spans="1:9" x14ac:dyDescent="0.2">
      <c r="A5051" t="str">
        <f>"Dctn3"</f>
        <v>Dctn3</v>
      </c>
      <c r="B5051" t="s">
        <v>14</v>
      </c>
      <c r="C5051" t="s">
        <v>23</v>
      </c>
      <c r="D5051" t="s">
        <v>11</v>
      </c>
      <c r="E5051" t="s">
        <v>12</v>
      </c>
      <c r="F5051">
        <v>41723129</v>
      </c>
      <c r="G5051">
        <v>41723179</v>
      </c>
      <c r="H5051">
        <v>41723129</v>
      </c>
      <c r="I5051">
        <v>41723179</v>
      </c>
    </row>
    <row r="5052" spans="1:9" x14ac:dyDescent="0.2">
      <c r="A5052" t="str">
        <f>"Dctn4"</f>
        <v>Dctn4</v>
      </c>
      <c r="B5052" t="s">
        <v>14</v>
      </c>
      <c r="C5052" t="s">
        <v>43</v>
      </c>
      <c r="D5052" t="s">
        <v>17</v>
      </c>
      <c r="E5052" t="s">
        <v>12</v>
      </c>
      <c r="F5052">
        <v>60526194</v>
      </c>
      <c r="G5052">
        <v>60526234</v>
      </c>
      <c r="H5052">
        <v>60526194</v>
      </c>
      <c r="I5052">
        <v>60526234</v>
      </c>
    </row>
    <row r="5053" spans="1:9" x14ac:dyDescent="0.2">
      <c r="A5053" t="str">
        <f>"Dctn5"</f>
        <v>Dctn5</v>
      </c>
      <c r="B5053" t="s">
        <v>14</v>
      </c>
      <c r="C5053" t="s">
        <v>33</v>
      </c>
      <c r="D5053" t="s">
        <v>17</v>
      </c>
      <c r="E5053" t="s">
        <v>12</v>
      </c>
      <c r="F5053">
        <v>122133052</v>
      </c>
      <c r="G5053">
        <v>122133090</v>
      </c>
      <c r="H5053">
        <v>122133036</v>
      </c>
      <c r="I5053">
        <v>122133050</v>
      </c>
    </row>
    <row r="5054" spans="1:9" x14ac:dyDescent="0.2">
      <c r="A5054" t="str">
        <f>"Dctn6"</f>
        <v>Dctn6</v>
      </c>
      <c r="B5054" t="s">
        <v>14</v>
      </c>
      <c r="C5054" t="s">
        <v>30</v>
      </c>
      <c r="D5054" t="s">
        <v>11</v>
      </c>
      <c r="E5054" t="s">
        <v>12</v>
      </c>
      <c r="F5054">
        <v>34108443</v>
      </c>
      <c r="G5054">
        <v>34108488</v>
      </c>
      <c r="H5054">
        <v>34108443</v>
      </c>
      <c r="I5054">
        <v>34108488</v>
      </c>
    </row>
    <row r="5055" spans="1:9" x14ac:dyDescent="0.2">
      <c r="A5055" t="str">
        <f>"Dctpp1"</f>
        <v>Dctpp1</v>
      </c>
      <c r="B5055" t="s">
        <v>14</v>
      </c>
      <c r="C5055" t="s">
        <v>33</v>
      </c>
      <c r="D5055" t="s">
        <v>11</v>
      </c>
      <c r="E5055" t="s">
        <v>12</v>
      </c>
      <c r="F5055">
        <v>127260620</v>
      </c>
      <c r="G5055">
        <v>127260676</v>
      </c>
      <c r="H5055">
        <v>127260677</v>
      </c>
      <c r="I5055">
        <v>127260706</v>
      </c>
    </row>
    <row r="5056" spans="1:9" x14ac:dyDescent="0.2">
      <c r="A5056" t="str">
        <f>"Dcun1d1"</f>
        <v>Dcun1d1</v>
      </c>
      <c r="B5056" t="s">
        <v>14</v>
      </c>
      <c r="C5056" t="s">
        <v>22</v>
      </c>
      <c r="D5056" t="s">
        <v>11</v>
      </c>
      <c r="E5056" t="s">
        <v>12</v>
      </c>
      <c r="F5056">
        <v>35932836</v>
      </c>
      <c r="G5056">
        <v>35932854</v>
      </c>
      <c r="H5056">
        <v>35932858</v>
      </c>
      <c r="I5056">
        <v>35932904</v>
      </c>
    </row>
    <row r="5057" spans="1:9" x14ac:dyDescent="0.2">
      <c r="A5057" t="str">
        <f>"Dcun1d2"</f>
        <v>Dcun1d2</v>
      </c>
      <c r="B5057" t="s">
        <v>14</v>
      </c>
      <c r="C5057" t="s">
        <v>30</v>
      </c>
      <c r="D5057" t="s">
        <v>11</v>
      </c>
      <c r="E5057" t="s">
        <v>12</v>
      </c>
      <c r="F5057">
        <v>13287814</v>
      </c>
      <c r="G5057">
        <v>13287856</v>
      </c>
      <c r="H5057">
        <v>13288098</v>
      </c>
      <c r="I5057">
        <v>13288142</v>
      </c>
    </row>
    <row r="5058" spans="1:9" x14ac:dyDescent="0.2">
      <c r="A5058" t="str">
        <f>"Dcun1d3"</f>
        <v>Dcun1d3</v>
      </c>
      <c r="B5058" t="s">
        <v>14</v>
      </c>
      <c r="C5058" t="s">
        <v>33</v>
      </c>
      <c r="D5058" t="s">
        <v>11</v>
      </c>
      <c r="E5058" t="s">
        <v>12</v>
      </c>
      <c r="F5058">
        <v>119895697</v>
      </c>
      <c r="G5058">
        <v>119895752</v>
      </c>
      <c r="H5058">
        <v>119895585</v>
      </c>
      <c r="I5058">
        <v>119895607</v>
      </c>
    </row>
    <row r="5059" spans="1:9" x14ac:dyDescent="0.2">
      <c r="A5059" t="str">
        <f>"Dcun1d4"</f>
        <v>Dcun1d4</v>
      </c>
      <c r="B5059" t="s">
        <v>9</v>
      </c>
      <c r="C5059" t="s">
        <v>46</v>
      </c>
      <c r="D5059" t="s">
        <v>17</v>
      </c>
      <c r="E5059" t="s">
        <v>12</v>
      </c>
      <c r="F5059">
        <v>73491045</v>
      </c>
      <c r="G5059">
        <v>73491110</v>
      </c>
      <c r="H5059">
        <v>73491045</v>
      </c>
      <c r="I5059">
        <v>73491110</v>
      </c>
    </row>
    <row r="5060" spans="1:9" x14ac:dyDescent="0.2">
      <c r="A5060" t="str">
        <f>"Dcun1d4"</f>
        <v>Dcun1d4</v>
      </c>
      <c r="B5060" t="s">
        <v>13</v>
      </c>
      <c r="C5060" t="s">
        <v>46</v>
      </c>
      <c r="D5060" t="s">
        <v>17</v>
      </c>
      <c r="E5060" t="s">
        <v>12</v>
      </c>
      <c r="F5060">
        <v>73481020</v>
      </c>
      <c r="G5060">
        <v>73481035</v>
      </c>
      <c r="H5060">
        <v>73481020</v>
      </c>
      <c r="I5060">
        <v>73481035</v>
      </c>
    </row>
    <row r="5061" spans="1:9" x14ac:dyDescent="0.2">
      <c r="A5061" t="str">
        <f>"Dcun1d5"</f>
        <v>Dcun1d5</v>
      </c>
      <c r="B5061" t="s">
        <v>14</v>
      </c>
      <c r="C5061" t="s">
        <v>24</v>
      </c>
      <c r="D5061" t="s">
        <v>17</v>
      </c>
      <c r="E5061" t="s">
        <v>12</v>
      </c>
      <c r="F5061">
        <v>7184514</v>
      </c>
      <c r="G5061">
        <v>7184567</v>
      </c>
      <c r="H5061">
        <v>7184514</v>
      </c>
      <c r="I5061">
        <v>7184567</v>
      </c>
    </row>
    <row r="5062" spans="1:9" x14ac:dyDescent="0.2">
      <c r="A5062" t="str">
        <f>"Dcx"</f>
        <v>Dcx</v>
      </c>
      <c r="B5062" t="s">
        <v>14</v>
      </c>
      <c r="C5062" t="s">
        <v>37</v>
      </c>
      <c r="D5062" t="s">
        <v>11</v>
      </c>
      <c r="E5062" t="s">
        <v>12</v>
      </c>
      <c r="F5062">
        <v>143933089</v>
      </c>
      <c r="G5062">
        <v>143933142</v>
      </c>
      <c r="H5062">
        <v>143933023</v>
      </c>
      <c r="I5062">
        <v>143933055</v>
      </c>
    </row>
    <row r="5063" spans="1:9" x14ac:dyDescent="0.2">
      <c r="A5063" t="str">
        <f>"Dcxr"</f>
        <v>Dcxr</v>
      </c>
      <c r="B5063" t="s">
        <v>14</v>
      </c>
      <c r="C5063" t="s">
        <v>27</v>
      </c>
      <c r="D5063" t="s">
        <v>11</v>
      </c>
      <c r="E5063" t="s">
        <v>12</v>
      </c>
      <c r="F5063">
        <v>120727226</v>
      </c>
      <c r="G5063">
        <v>120727292</v>
      </c>
      <c r="H5063">
        <v>120727293</v>
      </c>
      <c r="I5063">
        <v>120727306</v>
      </c>
    </row>
    <row r="5064" spans="1:9" x14ac:dyDescent="0.2">
      <c r="A5064" t="str">
        <f>"Dda1"</f>
        <v>Dda1</v>
      </c>
      <c r="B5064" t="s">
        <v>14</v>
      </c>
      <c r="C5064" t="s">
        <v>30</v>
      </c>
      <c r="D5064" t="s">
        <v>17</v>
      </c>
      <c r="E5064" t="s">
        <v>12</v>
      </c>
      <c r="F5064">
        <v>71469186</v>
      </c>
      <c r="G5064">
        <v>71469222</v>
      </c>
      <c r="H5064">
        <v>71469226</v>
      </c>
      <c r="I5064">
        <v>71469258</v>
      </c>
    </row>
    <row r="5065" spans="1:9" x14ac:dyDescent="0.2">
      <c r="A5065" t="str">
        <f>"Ddah1"</f>
        <v>Ddah1</v>
      </c>
      <c r="B5065" t="s">
        <v>14</v>
      </c>
      <c r="C5065" t="s">
        <v>22</v>
      </c>
      <c r="D5065" t="s">
        <v>17</v>
      </c>
      <c r="E5065" t="s">
        <v>12</v>
      </c>
      <c r="F5065">
        <v>145758718</v>
      </c>
      <c r="G5065">
        <v>145758738</v>
      </c>
      <c r="H5065">
        <v>145758750</v>
      </c>
      <c r="I5065">
        <v>145758764</v>
      </c>
    </row>
    <row r="5066" spans="1:9" x14ac:dyDescent="0.2">
      <c r="A5066" t="str">
        <f>"Ddah2"</f>
        <v>Ddah2</v>
      </c>
      <c r="B5066" t="s">
        <v>14</v>
      </c>
      <c r="C5066" t="s">
        <v>28</v>
      </c>
      <c r="D5066" t="s">
        <v>17</v>
      </c>
      <c r="E5066" t="s">
        <v>12</v>
      </c>
      <c r="F5066">
        <v>35059041</v>
      </c>
      <c r="G5066">
        <v>35059130</v>
      </c>
      <c r="H5066">
        <v>35059173</v>
      </c>
      <c r="I5066">
        <v>35059188</v>
      </c>
    </row>
    <row r="5067" spans="1:9" x14ac:dyDescent="0.2">
      <c r="A5067" t="str">
        <f>"Ddb1"</f>
        <v>Ddb1</v>
      </c>
      <c r="B5067" t="s">
        <v>14</v>
      </c>
      <c r="C5067" t="s">
        <v>10</v>
      </c>
      <c r="D5067" t="s">
        <v>17</v>
      </c>
      <c r="E5067" t="s">
        <v>12</v>
      </c>
      <c r="F5067">
        <v>10605556</v>
      </c>
      <c r="G5067">
        <v>10605614</v>
      </c>
      <c r="H5067">
        <v>10605627</v>
      </c>
      <c r="I5067">
        <v>10605644</v>
      </c>
    </row>
    <row r="5068" spans="1:9" x14ac:dyDescent="0.2">
      <c r="A5068" t="str">
        <f>"Ddb2"</f>
        <v>Ddb2</v>
      </c>
      <c r="B5068" t="s">
        <v>14</v>
      </c>
      <c r="C5068" t="s">
        <v>26</v>
      </c>
      <c r="D5068" t="s">
        <v>11</v>
      </c>
      <c r="E5068" t="s">
        <v>12</v>
      </c>
      <c r="F5068">
        <v>91236925</v>
      </c>
      <c r="G5068">
        <v>91236965</v>
      </c>
      <c r="H5068">
        <v>91236877</v>
      </c>
      <c r="I5068">
        <v>91236921</v>
      </c>
    </row>
    <row r="5069" spans="1:9" x14ac:dyDescent="0.2">
      <c r="A5069" t="str">
        <f>"Ddc"</f>
        <v>Ddc</v>
      </c>
      <c r="B5069" t="s">
        <v>9</v>
      </c>
      <c r="C5069" t="s">
        <v>27</v>
      </c>
      <c r="D5069" t="s">
        <v>11</v>
      </c>
      <c r="E5069" t="s">
        <v>12</v>
      </c>
      <c r="F5069">
        <v>11898092</v>
      </c>
      <c r="G5069">
        <v>11898150</v>
      </c>
      <c r="H5069">
        <v>11898092</v>
      </c>
      <c r="I5069">
        <v>11898150</v>
      </c>
    </row>
    <row r="5070" spans="1:9" x14ac:dyDescent="0.2">
      <c r="A5070" t="str">
        <f>"Ddc"</f>
        <v>Ddc</v>
      </c>
      <c r="B5070" t="s">
        <v>13</v>
      </c>
      <c r="C5070" t="s">
        <v>27</v>
      </c>
      <c r="D5070" t="s">
        <v>11</v>
      </c>
      <c r="E5070" t="s">
        <v>12</v>
      </c>
      <c r="F5070">
        <v>11890394</v>
      </c>
      <c r="G5070">
        <v>11890407</v>
      </c>
      <c r="H5070">
        <v>11890394</v>
      </c>
      <c r="I5070">
        <v>11890407</v>
      </c>
    </row>
    <row r="5071" spans="1:9" x14ac:dyDescent="0.2">
      <c r="A5071" t="str">
        <f>"Ddhd1"</f>
        <v>Ddhd1</v>
      </c>
      <c r="B5071" t="s">
        <v>14</v>
      </c>
      <c r="C5071" t="s">
        <v>41</v>
      </c>
      <c r="D5071" t="s">
        <v>11</v>
      </c>
      <c r="E5071" t="s">
        <v>12</v>
      </c>
      <c r="F5071">
        <v>45658094</v>
      </c>
      <c r="G5071">
        <v>45658128</v>
      </c>
      <c r="H5071">
        <v>45658145</v>
      </c>
      <c r="I5071">
        <v>45658183</v>
      </c>
    </row>
    <row r="5072" spans="1:9" x14ac:dyDescent="0.2">
      <c r="A5072" t="str">
        <f>"Ddhd2"</f>
        <v>Ddhd2</v>
      </c>
      <c r="B5072" t="s">
        <v>14</v>
      </c>
      <c r="C5072" t="s">
        <v>30</v>
      </c>
      <c r="D5072" t="s">
        <v>11</v>
      </c>
      <c r="E5072" t="s">
        <v>12</v>
      </c>
      <c r="F5072">
        <v>25754352</v>
      </c>
      <c r="G5072">
        <v>25754424</v>
      </c>
      <c r="H5072">
        <v>25754214</v>
      </c>
      <c r="I5072">
        <v>25754250</v>
      </c>
    </row>
    <row r="5073" spans="1:9" x14ac:dyDescent="0.2">
      <c r="A5073" t="str">
        <f>"Ddi1"</f>
        <v>Ddi1</v>
      </c>
      <c r="B5073" t="s">
        <v>14</v>
      </c>
      <c r="C5073" t="s">
        <v>24</v>
      </c>
      <c r="D5073" t="s">
        <v>11</v>
      </c>
      <c r="E5073" t="s">
        <v>12</v>
      </c>
      <c r="F5073">
        <v>6266562</v>
      </c>
      <c r="G5073">
        <v>6266590</v>
      </c>
      <c r="H5073">
        <v>6266544</v>
      </c>
      <c r="I5073">
        <v>6266553</v>
      </c>
    </row>
    <row r="5074" spans="1:9" x14ac:dyDescent="0.2">
      <c r="A5074" t="str">
        <f>"Ddi2"</f>
        <v>Ddi2</v>
      </c>
      <c r="B5074" t="s">
        <v>14</v>
      </c>
      <c r="C5074" t="s">
        <v>23</v>
      </c>
      <c r="D5074" t="s">
        <v>11</v>
      </c>
      <c r="E5074" t="s">
        <v>12</v>
      </c>
      <c r="F5074">
        <v>141723401</v>
      </c>
      <c r="G5074">
        <v>141723436</v>
      </c>
      <c r="H5074">
        <v>141723297</v>
      </c>
      <c r="I5074">
        <v>141723308</v>
      </c>
    </row>
    <row r="5075" spans="1:9" x14ac:dyDescent="0.2">
      <c r="A5075" t="str">
        <f>"Ddit3"</f>
        <v>Ddit3</v>
      </c>
      <c r="B5075" t="s">
        <v>14</v>
      </c>
      <c r="C5075" t="s">
        <v>15</v>
      </c>
      <c r="D5075" t="s">
        <v>17</v>
      </c>
      <c r="E5075" t="s">
        <v>12</v>
      </c>
      <c r="F5075">
        <v>127290786</v>
      </c>
      <c r="G5075">
        <v>127290803</v>
      </c>
      <c r="H5075">
        <v>127290512</v>
      </c>
      <c r="I5075">
        <v>127290525</v>
      </c>
    </row>
    <row r="5076" spans="1:9" x14ac:dyDescent="0.2">
      <c r="A5076" t="str">
        <f>"Ddit4"</f>
        <v>Ddit4</v>
      </c>
      <c r="B5076" t="s">
        <v>14</v>
      </c>
      <c r="C5076" t="s">
        <v>15</v>
      </c>
      <c r="D5076" t="s">
        <v>11</v>
      </c>
      <c r="E5076" t="s">
        <v>12</v>
      </c>
      <c r="F5076">
        <v>59951824</v>
      </c>
      <c r="G5076">
        <v>59951840</v>
      </c>
      <c r="H5076">
        <v>59951753</v>
      </c>
      <c r="I5076">
        <v>59951775</v>
      </c>
    </row>
    <row r="5077" spans="1:9" x14ac:dyDescent="0.2">
      <c r="A5077" t="str">
        <f>"Ddit4l"</f>
        <v>Ddit4l</v>
      </c>
      <c r="B5077" t="s">
        <v>14</v>
      </c>
      <c r="C5077" t="s">
        <v>22</v>
      </c>
      <c r="D5077" t="s">
        <v>17</v>
      </c>
      <c r="E5077" t="s">
        <v>12</v>
      </c>
      <c r="F5077">
        <v>137623728</v>
      </c>
      <c r="G5077">
        <v>137623756</v>
      </c>
      <c r="H5077">
        <v>137623769</v>
      </c>
      <c r="I5077">
        <v>137623789</v>
      </c>
    </row>
    <row r="5078" spans="1:9" x14ac:dyDescent="0.2">
      <c r="A5078" t="str">
        <f>"Ddn"</f>
        <v>Ddn</v>
      </c>
      <c r="B5078" t="s">
        <v>14</v>
      </c>
      <c r="C5078" t="s">
        <v>25</v>
      </c>
      <c r="D5078" t="s">
        <v>11</v>
      </c>
      <c r="E5078" t="s">
        <v>12</v>
      </c>
      <c r="F5078">
        <v>98807890</v>
      </c>
      <c r="G5078">
        <v>98807908</v>
      </c>
      <c r="H5078">
        <v>98807910</v>
      </c>
      <c r="I5078">
        <v>98807932</v>
      </c>
    </row>
    <row r="5079" spans="1:9" x14ac:dyDescent="0.2">
      <c r="A5079" t="str">
        <f>"Ddo"</f>
        <v>Ddo</v>
      </c>
      <c r="B5079" t="s">
        <v>14</v>
      </c>
      <c r="C5079" t="s">
        <v>15</v>
      </c>
      <c r="D5079" t="s">
        <v>17</v>
      </c>
      <c r="E5079" t="s">
        <v>12</v>
      </c>
      <c r="F5079">
        <v>40629987</v>
      </c>
      <c r="G5079">
        <v>40630053</v>
      </c>
      <c r="H5079">
        <v>40630057</v>
      </c>
      <c r="I5079">
        <v>40630063</v>
      </c>
    </row>
    <row r="5080" spans="1:9" x14ac:dyDescent="0.2">
      <c r="A5080" t="str">
        <f>"Ddost"</f>
        <v>Ddost</v>
      </c>
      <c r="B5080" t="s">
        <v>14</v>
      </c>
      <c r="C5080" t="s">
        <v>23</v>
      </c>
      <c r="D5080" t="s">
        <v>17</v>
      </c>
      <c r="E5080" t="s">
        <v>12</v>
      </c>
      <c r="F5080">
        <v>138304835</v>
      </c>
      <c r="G5080">
        <v>138304892</v>
      </c>
      <c r="H5080">
        <v>138304782</v>
      </c>
      <c r="I5080">
        <v>138304833</v>
      </c>
    </row>
    <row r="5081" spans="1:9" x14ac:dyDescent="0.2">
      <c r="A5081" t="str">
        <f>"Ddr1"</f>
        <v>Ddr1</v>
      </c>
      <c r="B5081" t="s">
        <v>9</v>
      </c>
      <c r="C5081" t="s">
        <v>28</v>
      </c>
      <c r="D5081" t="s">
        <v>11</v>
      </c>
      <c r="E5081" t="s">
        <v>12</v>
      </c>
      <c r="F5081">
        <v>35700520</v>
      </c>
      <c r="G5081">
        <v>35700606</v>
      </c>
      <c r="H5081">
        <v>35700520</v>
      </c>
      <c r="I5081">
        <v>35700606</v>
      </c>
    </row>
    <row r="5082" spans="1:9" x14ac:dyDescent="0.2">
      <c r="A5082" t="str">
        <f>"Ddr1"</f>
        <v>Ddr1</v>
      </c>
      <c r="B5082" t="s">
        <v>13</v>
      </c>
      <c r="C5082" t="s">
        <v>28</v>
      </c>
      <c r="D5082" t="s">
        <v>11</v>
      </c>
      <c r="E5082" t="s">
        <v>12</v>
      </c>
      <c r="F5082">
        <v>35704000</v>
      </c>
      <c r="G5082">
        <v>35704091</v>
      </c>
      <c r="H5082">
        <v>35704000</v>
      </c>
      <c r="I5082">
        <v>35704091</v>
      </c>
    </row>
    <row r="5083" spans="1:9" x14ac:dyDescent="0.2">
      <c r="A5083" t="str">
        <f>"Ddr2"</f>
        <v>Ddr2</v>
      </c>
      <c r="B5083" t="s">
        <v>14</v>
      </c>
      <c r="C5083" t="s">
        <v>19</v>
      </c>
      <c r="D5083" t="s">
        <v>11</v>
      </c>
      <c r="E5083" t="s">
        <v>12</v>
      </c>
      <c r="F5083">
        <v>170110744</v>
      </c>
      <c r="G5083">
        <v>170110823</v>
      </c>
      <c r="H5083">
        <v>170110491</v>
      </c>
      <c r="I5083">
        <v>170110532</v>
      </c>
    </row>
    <row r="5084" spans="1:9" x14ac:dyDescent="0.2">
      <c r="A5084" t="str">
        <f>"Ddrgk1"</f>
        <v>Ddrgk1</v>
      </c>
      <c r="B5084" t="s">
        <v>14</v>
      </c>
      <c r="C5084" t="s">
        <v>26</v>
      </c>
      <c r="D5084" t="s">
        <v>11</v>
      </c>
      <c r="E5084" t="s">
        <v>12</v>
      </c>
      <c r="F5084">
        <v>130664565</v>
      </c>
      <c r="G5084">
        <v>130664636</v>
      </c>
      <c r="H5084">
        <v>130664155</v>
      </c>
      <c r="I5084">
        <v>130664174</v>
      </c>
    </row>
    <row r="5085" spans="1:9" x14ac:dyDescent="0.2">
      <c r="A5085" t="str">
        <f>"Ddt"</f>
        <v>Ddt</v>
      </c>
      <c r="B5085" t="s">
        <v>14</v>
      </c>
      <c r="C5085" t="s">
        <v>15</v>
      </c>
      <c r="D5085" t="s">
        <v>11</v>
      </c>
      <c r="E5085" t="s">
        <v>12</v>
      </c>
      <c r="F5085">
        <v>75773350</v>
      </c>
      <c r="G5085">
        <v>75773434</v>
      </c>
      <c r="H5085">
        <v>75773103</v>
      </c>
      <c r="I5085">
        <v>75773104</v>
      </c>
    </row>
    <row r="5086" spans="1:9" x14ac:dyDescent="0.2">
      <c r="A5086" t="str">
        <f>"Ddx1"</f>
        <v>Ddx1</v>
      </c>
      <c r="B5086" t="s">
        <v>14</v>
      </c>
      <c r="C5086" t="s">
        <v>16</v>
      </c>
      <c r="D5086" t="s">
        <v>11</v>
      </c>
      <c r="E5086" t="s">
        <v>12</v>
      </c>
      <c r="F5086">
        <v>13249138</v>
      </c>
      <c r="G5086">
        <v>13249191</v>
      </c>
      <c r="H5086">
        <v>13249198</v>
      </c>
      <c r="I5086">
        <v>13249224</v>
      </c>
    </row>
    <row r="5087" spans="1:9" x14ac:dyDescent="0.2">
      <c r="A5087" t="str">
        <f>"Ddx10"</f>
        <v>Ddx10</v>
      </c>
      <c r="B5087" t="s">
        <v>14</v>
      </c>
      <c r="C5087" t="s">
        <v>24</v>
      </c>
      <c r="D5087" t="s">
        <v>11</v>
      </c>
      <c r="E5087" t="s">
        <v>12</v>
      </c>
      <c r="F5087">
        <v>53248063</v>
      </c>
      <c r="G5087">
        <v>53248105</v>
      </c>
      <c r="H5087">
        <v>53248106</v>
      </c>
      <c r="I5087">
        <v>53248117</v>
      </c>
    </row>
    <row r="5088" spans="1:9" x14ac:dyDescent="0.2">
      <c r="A5088" t="str">
        <f>"Ddx11"</f>
        <v>Ddx11</v>
      </c>
      <c r="B5088" t="s">
        <v>14</v>
      </c>
      <c r="C5088" t="s">
        <v>28</v>
      </c>
      <c r="D5088" t="s">
        <v>17</v>
      </c>
      <c r="E5088" t="s">
        <v>12</v>
      </c>
      <c r="F5088">
        <v>66123540</v>
      </c>
      <c r="G5088">
        <v>66123582</v>
      </c>
      <c r="H5088">
        <v>66123598</v>
      </c>
      <c r="I5088">
        <v>66123617</v>
      </c>
    </row>
    <row r="5089" spans="1:9" x14ac:dyDescent="0.2">
      <c r="A5089" t="str">
        <f>"Ddx17"</f>
        <v>Ddx17</v>
      </c>
      <c r="B5089" t="s">
        <v>14</v>
      </c>
      <c r="C5089" t="s">
        <v>25</v>
      </c>
      <c r="D5089" t="s">
        <v>11</v>
      </c>
      <c r="E5089" t="s">
        <v>12</v>
      </c>
      <c r="F5089">
        <v>79546541</v>
      </c>
      <c r="G5089">
        <v>79546566</v>
      </c>
      <c r="H5089">
        <v>79546579</v>
      </c>
      <c r="I5089">
        <v>79546588</v>
      </c>
    </row>
    <row r="5090" spans="1:9" x14ac:dyDescent="0.2">
      <c r="A5090" t="str">
        <f>"Ddx18"</f>
        <v>Ddx18</v>
      </c>
      <c r="B5090" t="s">
        <v>14</v>
      </c>
      <c r="C5090" t="s">
        <v>19</v>
      </c>
      <c r="D5090" t="s">
        <v>11</v>
      </c>
      <c r="E5090" t="s">
        <v>12</v>
      </c>
      <c r="F5090">
        <v>121567906</v>
      </c>
      <c r="G5090">
        <v>121567952</v>
      </c>
      <c r="H5090">
        <v>121567895</v>
      </c>
      <c r="I5090">
        <v>121567905</v>
      </c>
    </row>
    <row r="5091" spans="1:9" x14ac:dyDescent="0.2">
      <c r="A5091" t="str">
        <f>"Ddx19a"</f>
        <v>Ddx19a</v>
      </c>
      <c r="B5091" t="s">
        <v>14</v>
      </c>
      <c r="C5091" t="s">
        <v>30</v>
      </c>
      <c r="D5091" t="s">
        <v>11</v>
      </c>
      <c r="E5091" t="s">
        <v>12</v>
      </c>
      <c r="F5091">
        <v>110997764</v>
      </c>
      <c r="G5091">
        <v>110997839</v>
      </c>
      <c r="H5091">
        <v>110997764</v>
      </c>
      <c r="I5091">
        <v>110997839</v>
      </c>
    </row>
    <row r="5092" spans="1:9" x14ac:dyDescent="0.2">
      <c r="A5092" t="str">
        <f>"Ddx19b"</f>
        <v>Ddx19b</v>
      </c>
      <c r="B5092" t="s">
        <v>14</v>
      </c>
      <c r="C5092" t="s">
        <v>30</v>
      </c>
      <c r="D5092" t="s">
        <v>11</v>
      </c>
      <c r="E5092" t="s">
        <v>12</v>
      </c>
      <c r="F5092">
        <v>111027752</v>
      </c>
      <c r="G5092">
        <v>111027791</v>
      </c>
      <c r="H5092">
        <v>111027724</v>
      </c>
      <c r="I5092">
        <v>111027745</v>
      </c>
    </row>
    <row r="5093" spans="1:9" x14ac:dyDescent="0.2">
      <c r="A5093" t="str">
        <f>"Ddx20"</f>
        <v>Ddx20</v>
      </c>
      <c r="B5093" t="s">
        <v>14</v>
      </c>
      <c r="C5093" t="s">
        <v>22</v>
      </c>
      <c r="D5093" t="s">
        <v>11</v>
      </c>
      <c r="E5093" t="s">
        <v>12</v>
      </c>
      <c r="F5093">
        <v>105687421</v>
      </c>
      <c r="G5093">
        <v>105687457</v>
      </c>
      <c r="H5093">
        <v>105687376</v>
      </c>
      <c r="I5093">
        <v>105687409</v>
      </c>
    </row>
    <row r="5094" spans="1:9" x14ac:dyDescent="0.2">
      <c r="A5094" t="str">
        <f>"Ddx21"</f>
        <v>Ddx21</v>
      </c>
      <c r="B5094" t="s">
        <v>14</v>
      </c>
      <c r="C5094" t="s">
        <v>15</v>
      </c>
      <c r="D5094" t="s">
        <v>11</v>
      </c>
      <c r="E5094" t="s">
        <v>12</v>
      </c>
      <c r="F5094">
        <v>62602261</v>
      </c>
      <c r="G5094">
        <v>62602291</v>
      </c>
      <c r="H5094">
        <v>62602261</v>
      </c>
      <c r="I5094">
        <v>62602291</v>
      </c>
    </row>
    <row r="5095" spans="1:9" x14ac:dyDescent="0.2">
      <c r="A5095" t="str">
        <f>"Ddx23"</f>
        <v>Ddx23</v>
      </c>
      <c r="B5095" t="s">
        <v>14</v>
      </c>
      <c r="C5095" t="s">
        <v>25</v>
      </c>
      <c r="D5095" t="s">
        <v>11</v>
      </c>
      <c r="E5095" t="s">
        <v>12</v>
      </c>
      <c r="F5095">
        <v>98662871</v>
      </c>
      <c r="G5095">
        <v>98662911</v>
      </c>
      <c r="H5095">
        <v>98662871</v>
      </c>
      <c r="I5095">
        <v>98662911</v>
      </c>
    </row>
    <row r="5096" spans="1:9" x14ac:dyDescent="0.2">
      <c r="A5096" t="str">
        <f>"Ddx24"</f>
        <v>Ddx24</v>
      </c>
      <c r="B5096" t="s">
        <v>14</v>
      </c>
      <c r="C5096" t="s">
        <v>16</v>
      </c>
      <c r="D5096" t="s">
        <v>11</v>
      </c>
      <c r="E5096" t="s">
        <v>12</v>
      </c>
      <c r="F5096">
        <v>103425803</v>
      </c>
      <c r="G5096">
        <v>103425855</v>
      </c>
      <c r="H5096">
        <v>103425803</v>
      </c>
      <c r="I5096">
        <v>103425855</v>
      </c>
    </row>
    <row r="5097" spans="1:9" x14ac:dyDescent="0.2">
      <c r="A5097" t="str">
        <f>"Ddx25"</f>
        <v>Ddx25</v>
      </c>
      <c r="B5097" t="s">
        <v>14</v>
      </c>
      <c r="C5097" t="s">
        <v>24</v>
      </c>
      <c r="D5097" t="s">
        <v>11</v>
      </c>
      <c r="E5097" t="s">
        <v>12</v>
      </c>
      <c r="F5097">
        <v>35558397</v>
      </c>
      <c r="G5097">
        <v>35558451</v>
      </c>
      <c r="H5097">
        <v>35558522</v>
      </c>
      <c r="I5097">
        <v>35558548</v>
      </c>
    </row>
    <row r="5098" spans="1:9" x14ac:dyDescent="0.2">
      <c r="A5098" t="str">
        <f>"Ddx26b"</f>
        <v>Ddx26b</v>
      </c>
      <c r="B5098" t="s">
        <v>14</v>
      </c>
      <c r="C5098" t="s">
        <v>37</v>
      </c>
      <c r="D5098" t="s">
        <v>17</v>
      </c>
      <c r="E5098" t="s">
        <v>12</v>
      </c>
      <c r="F5098">
        <v>56454871</v>
      </c>
      <c r="G5098">
        <v>56454887</v>
      </c>
      <c r="H5098">
        <v>56454851</v>
      </c>
      <c r="I5098">
        <v>56454869</v>
      </c>
    </row>
    <row r="5099" spans="1:9" x14ac:dyDescent="0.2">
      <c r="A5099" t="str">
        <f>"Ddx27"</f>
        <v>Ddx27</v>
      </c>
      <c r="B5099" t="s">
        <v>14</v>
      </c>
      <c r="C5099" t="s">
        <v>26</v>
      </c>
      <c r="D5099" t="s">
        <v>17</v>
      </c>
      <c r="E5099" t="s">
        <v>12</v>
      </c>
      <c r="F5099">
        <v>167015283</v>
      </c>
      <c r="G5099">
        <v>167015336</v>
      </c>
      <c r="H5099">
        <v>167015283</v>
      </c>
      <c r="I5099">
        <v>167015336</v>
      </c>
    </row>
    <row r="5100" spans="1:9" x14ac:dyDescent="0.2">
      <c r="A5100" t="str">
        <f>"Ddx28"</f>
        <v>Ddx28</v>
      </c>
      <c r="B5100" t="s">
        <v>14</v>
      </c>
      <c r="C5100" t="s">
        <v>30</v>
      </c>
      <c r="D5100" t="s">
        <v>11</v>
      </c>
      <c r="E5100" t="s">
        <v>12</v>
      </c>
      <c r="F5100">
        <v>106011422</v>
      </c>
      <c r="G5100">
        <v>106011470</v>
      </c>
      <c r="H5100">
        <v>106011422</v>
      </c>
      <c r="I5100">
        <v>106011470</v>
      </c>
    </row>
    <row r="5101" spans="1:9" x14ac:dyDescent="0.2">
      <c r="A5101" t="str">
        <f>"Ddx31"</f>
        <v>Ddx31</v>
      </c>
      <c r="B5101" t="s">
        <v>14</v>
      </c>
      <c r="C5101" t="s">
        <v>26</v>
      </c>
      <c r="D5101" t="s">
        <v>17</v>
      </c>
      <c r="E5101" t="s">
        <v>12</v>
      </c>
      <c r="F5101">
        <v>28840682</v>
      </c>
      <c r="G5101">
        <v>28840752</v>
      </c>
      <c r="H5101">
        <v>28840406</v>
      </c>
      <c r="I5101">
        <v>28840462</v>
      </c>
    </row>
    <row r="5102" spans="1:9" x14ac:dyDescent="0.2">
      <c r="A5102" t="str">
        <f>"Ddx39"</f>
        <v>Ddx39</v>
      </c>
      <c r="B5102" t="s">
        <v>14</v>
      </c>
      <c r="C5102" t="s">
        <v>30</v>
      </c>
      <c r="D5102" t="s">
        <v>17</v>
      </c>
      <c r="E5102" t="s">
        <v>12</v>
      </c>
      <c r="F5102">
        <v>83715239</v>
      </c>
      <c r="G5102">
        <v>83715288</v>
      </c>
      <c r="H5102">
        <v>83715227</v>
      </c>
      <c r="I5102">
        <v>83715238</v>
      </c>
    </row>
    <row r="5103" spans="1:9" x14ac:dyDescent="0.2">
      <c r="A5103" t="str">
        <f>"Ddx39b"</f>
        <v>Ddx39b</v>
      </c>
      <c r="B5103" t="s">
        <v>14</v>
      </c>
      <c r="C5103" t="s">
        <v>28</v>
      </c>
      <c r="D5103" t="s">
        <v>17</v>
      </c>
      <c r="E5103" t="s">
        <v>12</v>
      </c>
      <c r="F5103">
        <v>35241785</v>
      </c>
      <c r="G5103">
        <v>35241837</v>
      </c>
      <c r="H5103">
        <v>35241838</v>
      </c>
      <c r="I5103">
        <v>35241854</v>
      </c>
    </row>
    <row r="5104" spans="1:9" x14ac:dyDescent="0.2">
      <c r="A5104" t="str">
        <f>"Ddx3x"</f>
        <v>Ddx3x</v>
      </c>
      <c r="B5104" t="s">
        <v>14</v>
      </c>
      <c r="C5104" t="s">
        <v>37</v>
      </c>
      <c r="D5104" t="s">
        <v>17</v>
      </c>
      <c r="E5104" t="s">
        <v>12</v>
      </c>
      <c r="F5104">
        <v>13281013</v>
      </c>
      <c r="G5104">
        <v>13281031</v>
      </c>
      <c r="H5104">
        <v>13280558</v>
      </c>
      <c r="I5104">
        <v>13280590</v>
      </c>
    </row>
    <row r="5105" spans="1:9" x14ac:dyDescent="0.2">
      <c r="A5105" t="str">
        <f>"Ddx3y"</f>
        <v>Ddx3y</v>
      </c>
      <c r="B5105" t="s">
        <v>14</v>
      </c>
      <c r="C5105" t="s">
        <v>63</v>
      </c>
      <c r="D5105" t="s">
        <v>11</v>
      </c>
      <c r="E5105" t="s">
        <v>12</v>
      </c>
      <c r="F5105">
        <v>1286563</v>
      </c>
      <c r="G5105">
        <v>1286615</v>
      </c>
      <c r="H5105">
        <v>1286517</v>
      </c>
      <c r="I5105">
        <v>1286548</v>
      </c>
    </row>
    <row r="5106" spans="1:9" x14ac:dyDescent="0.2">
      <c r="A5106" t="str">
        <f>"Ddx4"</f>
        <v>Ddx4</v>
      </c>
      <c r="B5106" t="s">
        <v>14</v>
      </c>
      <c r="C5106" t="s">
        <v>39</v>
      </c>
      <c r="D5106" t="s">
        <v>11</v>
      </c>
      <c r="E5106" t="s">
        <v>12</v>
      </c>
      <c r="F5106">
        <v>112652295</v>
      </c>
      <c r="G5106">
        <v>112652355</v>
      </c>
      <c r="H5106">
        <v>112652357</v>
      </c>
      <c r="I5106">
        <v>112652370</v>
      </c>
    </row>
    <row r="5107" spans="1:9" x14ac:dyDescent="0.2">
      <c r="A5107" t="str">
        <f>"Ddx41"</f>
        <v>Ddx41</v>
      </c>
      <c r="B5107" t="s">
        <v>14</v>
      </c>
      <c r="C5107" t="s">
        <v>39</v>
      </c>
      <c r="D5107" t="s">
        <v>11</v>
      </c>
      <c r="E5107" t="s">
        <v>12</v>
      </c>
      <c r="F5107">
        <v>55536504</v>
      </c>
      <c r="G5107">
        <v>55536547</v>
      </c>
      <c r="H5107">
        <v>55536647</v>
      </c>
      <c r="I5107">
        <v>55536662</v>
      </c>
    </row>
    <row r="5108" spans="1:9" x14ac:dyDescent="0.2">
      <c r="A5108" t="str">
        <f>"Ddx42"</f>
        <v>Ddx42</v>
      </c>
      <c r="B5108" t="s">
        <v>14</v>
      </c>
      <c r="C5108" t="s">
        <v>27</v>
      </c>
      <c r="D5108" t="s">
        <v>17</v>
      </c>
      <c r="E5108" t="s">
        <v>12</v>
      </c>
      <c r="F5108">
        <v>106216928</v>
      </c>
      <c r="G5108">
        <v>106216968</v>
      </c>
      <c r="H5108">
        <v>106216996</v>
      </c>
      <c r="I5108">
        <v>106217008</v>
      </c>
    </row>
    <row r="5109" spans="1:9" x14ac:dyDescent="0.2">
      <c r="A5109" t="str">
        <f>"Ddx43"</f>
        <v>Ddx43</v>
      </c>
      <c r="B5109" t="s">
        <v>14</v>
      </c>
      <c r="C5109" t="s">
        <v>24</v>
      </c>
      <c r="D5109" t="s">
        <v>17</v>
      </c>
      <c r="E5109" t="s">
        <v>12</v>
      </c>
      <c r="F5109">
        <v>78395798</v>
      </c>
      <c r="G5109">
        <v>78395845</v>
      </c>
      <c r="H5109">
        <v>78395868</v>
      </c>
      <c r="I5109">
        <v>78395880</v>
      </c>
    </row>
    <row r="5110" spans="1:9" x14ac:dyDescent="0.2">
      <c r="A5110" t="str">
        <f>"Ddx46"</f>
        <v>Ddx46</v>
      </c>
      <c r="B5110" t="s">
        <v>14</v>
      </c>
      <c r="C5110" t="s">
        <v>39</v>
      </c>
      <c r="D5110" t="s">
        <v>17</v>
      </c>
      <c r="E5110" t="s">
        <v>12</v>
      </c>
      <c r="F5110">
        <v>55635002</v>
      </c>
      <c r="G5110">
        <v>55635036</v>
      </c>
      <c r="H5110">
        <v>55635151</v>
      </c>
      <c r="I5110">
        <v>55635156</v>
      </c>
    </row>
    <row r="5111" spans="1:9" x14ac:dyDescent="0.2">
      <c r="A5111" t="str">
        <f>"Ddx47"</f>
        <v>Ddx47</v>
      </c>
      <c r="B5111" t="s">
        <v>14</v>
      </c>
      <c r="C5111" t="s">
        <v>32</v>
      </c>
      <c r="D5111" t="s">
        <v>17</v>
      </c>
      <c r="E5111" t="s">
        <v>12</v>
      </c>
      <c r="F5111">
        <v>135011609</v>
      </c>
      <c r="G5111">
        <v>135011640</v>
      </c>
      <c r="H5111">
        <v>135011609</v>
      </c>
      <c r="I5111">
        <v>135011640</v>
      </c>
    </row>
    <row r="5112" spans="1:9" x14ac:dyDescent="0.2">
      <c r="A5112" t="str">
        <f>"Ddx49"</f>
        <v>Ddx49</v>
      </c>
      <c r="B5112" t="s">
        <v>14</v>
      </c>
      <c r="C5112" t="s">
        <v>30</v>
      </c>
      <c r="D5112" t="s">
        <v>11</v>
      </c>
      <c r="E5112" t="s">
        <v>12</v>
      </c>
      <c r="F5112">
        <v>70302446</v>
      </c>
      <c r="G5112">
        <v>70302478</v>
      </c>
      <c r="H5112">
        <v>70302446</v>
      </c>
      <c r="I5112">
        <v>70302478</v>
      </c>
    </row>
    <row r="5113" spans="1:9" x14ac:dyDescent="0.2">
      <c r="A5113" t="str">
        <f>"Ddx5"</f>
        <v>Ddx5</v>
      </c>
      <c r="B5113" t="s">
        <v>14</v>
      </c>
      <c r="C5113" t="s">
        <v>27</v>
      </c>
      <c r="D5113" t="s">
        <v>11</v>
      </c>
      <c r="E5113" t="s">
        <v>12</v>
      </c>
      <c r="F5113">
        <v>106788486</v>
      </c>
      <c r="G5113">
        <v>106788500</v>
      </c>
      <c r="H5113">
        <v>106789157</v>
      </c>
      <c r="I5113">
        <v>106789192</v>
      </c>
    </row>
    <row r="5114" spans="1:9" x14ac:dyDescent="0.2">
      <c r="A5114" t="str">
        <f>"Ddx50"</f>
        <v>Ddx50</v>
      </c>
      <c r="B5114" t="s">
        <v>14</v>
      </c>
      <c r="C5114" t="s">
        <v>15</v>
      </c>
      <c r="D5114" t="s">
        <v>11</v>
      </c>
      <c r="E5114" t="s">
        <v>12</v>
      </c>
      <c r="F5114">
        <v>62651194</v>
      </c>
      <c r="G5114">
        <v>62651234</v>
      </c>
      <c r="H5114">
        <v>62651170</v>
      </c>
      <c r="I5114">
        <v>62651192</v>
      </c>
    </row>
    <row r="5115" spans="1:9" x14ac:dyDescent="0.2">
      <c r="A5115" t="str">
        <f>"Ddx51"</f>
        <v>Ddx51</v>
      </c>
      <c r="B5115" t="s">
        <v>14</v>
      </c>
      <c r="C5115" t="s">
        <v>46</v>
      </c>
      <c r="D5115" t="s">
        <v>17</v>
      </c>
      <c r="E5115" t="s">
        <v>12</v>
      </c>
      <c r="F5115">
        <v>110653444</v>
      </c>
      <c r="G5115">
        <v>110653482</v>
      </c>
      <c r="H5115">
        <v>110653487</v>
      </c>
      <c r="I5115">
        <v>110653488</v>
      </c>
    </row>
    <row r="5116" spans="1:9" x14ac:dyDescent="0.2">
      <c r="A5116" t="str">
        <f>"Ddx52"</f>
        <v>Ddx52</v>
      </c>
      <c r="B5116" t="s">
        <v>14</v>
      </c>
      <c r="C5116" t="s">
        <v>27</v>
      </c>
      <c r="D5116" t="s">
        <v>17</v>
      </c>
      <c r="E5116" t="s">
        <v>12</v>
      </c>
      <c r="F5116">
        <v>83942152</v>
      </c>
      <c r="G5116">
        <v>83942179</v>
      </c>
      <c r="H5116">
        <v>83942111</v>
      </c>
      <c r="I5116">
        <v>83942132</v>
      </c>
    </row>
    <row r="5117" spans="1:9" x14ac:dyDescent="0.2">
      <c r="A5117" t="str">
        <f>"Ddx54"</f>
        <v>Ddx54</v>
      </c>
      <c r="B5117" t="s">
        <v>14</v>
      </c>
      <c r="C5117" t="s">
        <v>46</v>
      </c>
      <c r="D5117" t="s">
        <v>17</v>
      </c>
      <c r="E5117" t="s">
        <v>12</v>
      </c>
      <c r="F5117">
        <v>120613092</v>
      </c>
      <c r="G5117">
        <v>120613131</v>
      </c>
      <c r="H5117">
        <v>120613092</v>
      </c>
      <c r="I5117">
        <v>120613131</v>
      </c>
    </row>
    <row r="5118" spans="1:9" x14ac:dyDescent="0.2">
      <c r="A5118" t="str">
        <f>"Ddx55"</f>
        <v>Ddx55</v>
      </c>
      <c r="B5118" t="s">
        <v>14</v>
      </c>
      <c r="C5118" t="s">
        <v>46</v>
      </c>
      <c r="D5118" t="s">
        <v>17</v>
      </c>
      <c r="E5118" t="s">
        <v>12</v>
      </c>
      <c r="F5118">
        <v>124552845</v>
      </c>
      <c r="G5118">
        <v>124552903</v>
      </c>
      <c r="H5118">
        <v>124552905</v>
      </c>
      <c r="I5118">
        <v>124552918</v>
      </c>
    </row>
    <row r="5119" spans="1:9" x14ac:dyDescent="0.2">
      <c r="A5119" t="str">
        <f>"Ddx56"</f>
        <v>Ddx56</v>
      </c>
      <c r="B5119" t="s">
        <v>14</v>
      </c>
      <c r="C5119" t="s">
        <v>27</v>
      </c>
      <c r="D5119" t="s">
        <v>11</v>
      </c>
      <c r="E5119" t="s">
        <v>12</v>
      </c>
      <c r="F5119">
        <v>6267718</v>
      </c>
      <c r="G5119">
        <v>6267755</v>
      </c>
      <c r="H5119">
        <v>6267507</v>
      </c>
      <c r="I5119">
        <v>6267510</v>
      </c>
    </row>
    <row r="5120" spans="1:9" x14ac:dyDescent="0.2">
      <c r="A5120" t="str">
        <f>"Ddx58"</f>
        <v>Ddx58</v>
      </c>
      <c r="B5120" t="s">
        <v>14</v>
      </c>
      <c r="C5120" t="s">
        <v>23</v>
      </c>
      <c r="D5120" t="s">
        <v>11</v>
      </c>
      <c r="E5120" t="s">
        <v>12</v>
      </c>
      <c r="F5120">
        <v>40239779</v>
      </c>
      <c r="G5120">
        <v>40239831</v>
      </c>
      <c r="H5120">
        <v>40239746</v>
      </c>
      <c r="I5120">
        <v>40239766</v>
      </c>
    </row>
    <row r="5121" spans="1:9" x14ac:dyDescent="0.2">
      <c r="A5121" t="str">
        <f>"Ddx59"</f>
        <v>Ddx59</v>
      </c>
      <c r="B5121" t="s">
        <v>14</v>
      </c>
      <c r="C5121" t="s">
        <v>19</v>
      </c>
      <c r="D5121" t="s">
        <v>17</v>
      </c>
      <c r="E5121" t="s">
        <v>12</v>
      </c>
      <c r="F5121">
        <v>136415289</v>
      </c>
      <c r="G5121">
        <v>136415337</v>
      </c>
      <c r="H5121">
        <v>136415267</v>
      </c>
      <c r="I5121">
        <v>136415278</v>
      </c>
    </row>
    <row r="5122" spans="1:9" x14ac:dyDescent="0.2">
      <c r="A5122" t="str">
        <f>"Ddx6"</f>
        <v>Ddx6</v>
      </c>
      <c r="B5122" t="s">
        <v>14</v>
      </c>
      <c r="C5122" t="s">
        <v>24</v>
      </c>
      <c r="D5122" t="s">
        <v>17</v>
      </c>
      <c r="E5122" t="s">
        <v>12</v>
      </c>
      <c r="F5122">
        <v>44604664</v>
      </c>
      <c r="G5122">
        <v>44604700</v>
      </c>
      <c r="H5122">
        <v>44604844</v>
      </c>
      <c r="I5122">
        <v>44604921</v>
      </c>
    </row>
    <row r="5123" spans="1:9" x14ac:dyDescent="0.2">
      <c r="A5123" t="str">
        <f>"Ddx60"</f>
        <v>Ddx60</v>
      </c>
      <c r="B5123" t="s">
        <v>14</v>
      </c>
      <c r="C5123" t="s">
        <v>30</v>
      </c>
      <c r="D5123" t="s">
        <v>17</v>
      </c>
      <c r="E5123" t="s">
        <v>12</v>
      </c>
      <c r="F5123">
        <v>61928113</v>
      </c>
      <c r="G5123">
        <v>61928127</v>
      </c>
      <c r="H5123">
        <v>61928081</v>
      </c>
      <c r="I5123">
        <v>61928094</v>
      </c>
    </row>
    <row r="5124" spans="1:9" x14ac:dyDescent="0.2">
      <c r="A5124" t="str">
        <f>"Deaf1"</f>
        <v>Deaf1</v>
      </c>
      <c r="B5124" t="s">
        <v>14</v>
      </c>
      <c r="C5124" t="s">
        <v>33</v>
      </c>
      <c r="D5124" t="s">
        <v>11</v>
      </c>
      <c r="E5124" t="s">
        <v>12</v>
      </c>
      <c r="F5124">
        <v>141327557</v>
      </c>
      <c r="G5124">
        <v>141327607</v>
      </c>
      <c r="H5124">
        <v>141327510</v>
      </c>
      <c r="I5124">
        <v>141327556</v>
      </c>
    </row>
    <row r="5125" spans="1:9" x14ac:dyDescent="0.2">
      <c r="A5125" t="str">
        <f>"Deb1"</f>
        <v>Deb1</v>
      </c>
      <c r="B5125" t="s">
        <v>14</v>
      </c>
      <c r="C5125" t="s">
        <v>24</v>
      </c>
      <c r="D5125" t="s">
        <v>17</v>
      </c>
      <c r="E5125" t="s">
        <v>12</v>
      </c>
      <c r="F5125">
        <v>121710389</v>
      </c>
      <c r="G5125">
        <v>121710422</v>
      </c>
      <c r="H5125">
        <v>121710346</v>
      </c>
      <c r="I5125">
        <v>121710361</v>
      </c>
    </row>
    <row r="5126" spans="1:9" x14ac:dyDescent="0.2">
      <c r="A5126" t="str">
        <f>"Decr1"</f>
        <v>Decr1</v>
      </c>
      <c r="B5126" t="s">
        <v>14</v>
      </c>
      <c r="C5126" t="s">
        <v>23</v>
      </c>
      <c r="D5126" t="s">
        <v>11</v>
      </c>
      <c r="E5126" t="s">
        <v>12</v>
      </c>
      <c r="F5126">
        <v>15945359</v>
      </c>
      <c r="G5126">
        <v>15945388</v>
      </c>
      <c r="H5126">
        <v>15945359</v>
      </c>
      <c r="I5126">
        <v>15945388</v>
      </c>
    </row>
    <row r="5127" spans="1:9" x14ac:dyDescent="0.2">
      <c r="A5127" t="str">
        <f>"Decr2"</f>
        <v>Decr2</v>
      </c>
      <c r="B5127" t="s">
        <v>14</v>
      </c>
      <c r="C5127" t="s">
        <v>28</v>
      </c>
      <c r="D5127" t="s">
        <v>11</v>
      </c>
      <c r="E5127" t="s">
        <v>12</v>
      </c>
      <c r="F5127">
        <v>26090112</v>
      </c>
      <c r="G5127">
        <v>26090156</v>
      </c>
      <c r="H5127">
        <v>26090251</v>
      </c>
      <c r="I5127">
        <v>26090315</v>
      </c>
    </row>
    <row r="5128" spans="1:9" x14ac:dyDescent="0.2">
      <c r="A5128" t="str">
        <f>"Dedd"</f>
        <v>Dedd</v>
      </c>
      <c r="B5128" t="s">
        <v>14</v>
      </c>
      <c r="C5128" t="s">
        <v>19</v>
      </c>
      <c r="D5128" t="s">
        <v>17</v>
      </c>
      <c r="E5128" t="s">
        <v>12</v>
      </c>
      <c r="F5128">
        <v>171329448</v>
      </c>
      <c r="G5128">
        <v>171329501</v>
      </c>
      <c r="H5128">
        <v>171329376</v>
      </c>
      <c r="I5128">
        <v>171329404</v>
      </c>
    </row>
    <row r="5129" spans="1:9" x14ac:dyDescent="0.2">
      <c r="A5129" t="str">
        <f>"Dedd2"</f>
        <v>Dedd2</v>
      </c>
      <c r="B5129" t="s">
        <v>14</v>
      </c>
      <c r="C5129" t="s">
        <v>33</v>
      </c>
      <c r="D5129" t="s">
        <v>11</v>
      </c>
      <c r="E5129" t="s">
        <v>12</v>
      </c>
      <c r="F5129">
        <v>25219823</v>
      </c>
      <c r="G5129">
        <v>25219880</v>
      </c>
      <c r="H5129">
        <v>25219892</v>
      </c>
      <c r="I5129">
        <v>25219897</v>
      </c>
    </row>
    <row r="5130" spans="1:9" x14ac:dyDescent="0.2">
      <c r="A5130" t="str">
        <f>"Def6"</f>
        <v>Def6</v>
      </c>
      <c r="B5130" t="s">
        <v>14</v>
      </c>
      <c r="C5130" t="s">
        <v>28</v>
      </c>
      <c r="D5130" t="s">
        <v>17</v>
      </c>
      <c r="E5130" t="s">
        <v>12</v>
      </c>
      <c r="F5130">
        <v>28207820</v>
      </c>
      <c r="G5130">
        <v>28207893</v>
      </c>
      <c r="H5130">
        <v>28207795</v>
      </c>
      <c r="I5130">
        <v>28207814</v>
      </c>
    </row>
    <row r="5131" spans="1:9" x14ac:dyDescent="0.2">
      <c r="A5131" t="str">
        <f>"Def8"</f>
        <v>Def8</v>
      </c>
      <c r="B5131" t="s">
        <v>14</v>
      </c>
      <c r="C5131" t="s">
        <v>30</v>
      </c>
      <c r="D5131" t="s">
        <v>17</v>
      </c>
      <c r="E5131" t="s">
        <v>12</v>
      </c>
      <c r="F5131">
        <v>123442969</v>
      </c>
      <c r="G5131">
        <v>123443026</v>
      </c>
      <c r="H5131">
        <v>123443288</v>
      </c>
      <c r="I5131">
        <v>123443339</v>
      </c>
    </row>
    <row r="5132" spans="1:9" x14ac:dyDescent="0.2">
      <c r="A5132" t="str">
        <f>"Defa-rs1"</f>
        <v>Defa-rs1</v>
      </c>
      <c r="B5132" t="s">
        <v>14</v>
      </c>
      <c r="C5132" t="s">
        <v>30</v>
      </c>
      <c r="D5132" t="s">
        <v>11</v>
      </c>
      <c r="E5132" t="s">
        <v>12</v>
      </c>
      <c r="F5132">
        <v>21327015</v>
      </c>
      <c r="G5132">
        <v>21327020</v>
      </c>
      <c r="H5132">
        <v>21327015</v>
      </c>
      <c r="I5132">
        <v>21327020</v>
      </c>
    </row>
    <row r="5133" spans="1:9" x14ac:dyDescent="0.2">
      <c r="A5133" t="str">
        <f>"Defa-rs7"</f>
        <v>Defa-rs7</v>
      </c>
      <c r="B5133" t="s">
        <v>2352</v>
      </c>
      <c r="C5133" t="s">
        <v>30</v>
      </c>
      <c r="D5133" t="s">
        <v>17</v>
      </c>
      <c r="E5133" t="s">
        <v>20</v>
      </c>
      <c r="F5133">
        <v>21191613</v>
      </c>
      <c r="G5133">
        <v>21191613</v>
      </c>
      <c r="H5133">
        <v>21191613</v>
      </c>
      <c r="I5133">
        <v>21191613</v>
      </c>
    </row>
    <row r="5134" spans="1:9" x14ac:dyDescent="0.2">
      <c r="A5134" t="str">
        <f>"Defa17"</f>
        <v>Defa17</v>
      </c>
      <c r="B5134" t="s">
        <v>2353</v>
      </c>
      <c r="C5134" t="s">
        <v>30</v>
      </c>
      <c r="D5134" t="s">
        <v>17</v>
      </c>
      <c r="E5134" t="s">
        <v>20</v>
      </c>
      <c r="F5134">
        <v>21655779</v>
      </c>
      <c r="G5134">
        <v>21655779</v>
      </c>
      <c r="H5134">
        <v>21655779</v>
      </c>
      <c r="I5134">
        <v>21655779</v>
      </c>
    </row>
    <row r="5135" spans="1:9" x14ac:dyDescent="0.2">
      <c r="A5135" t="str">
        <f>"Defa2"</f>
        <v>Defa2</v>
      </c>
      <c r="B5135" t="s">
        <v>2354</v>
      </c>
      <c r="C5135" t="s">
        <v>30</v>
      </c>
      <c r="D5135" t="s">
        <v>17</v>
      </c>
      <c r="E5135" t="s">
        <v>20</v>
      </c>
      <c r="F5135">
        <v>21378559</v>
      </c>
      <c r="G5135">
        <v>21378559</v>
      </c>
      <c r="H5135">
        <v>21378559</v>
      </c>
      <c r="I5135">
        <v>21378559</v>
      </c>
    </row>
    <row r="5136" spans="1:9" x14ac:dyDescent="0.2">
      <c r="A5136" t="str">
        <f>"Defa20"</f>
        <v>Defa20</v>
      </c>
      <c r="B5136" t="s">
        <v>14</v>
      </c>
      <c r="C5136" t="s">
        <v>30</v>
      </c>
      <c r="D5136" t="s">
        <v>17</v>
      </c>
      <c r="E5136" t="s">
        <v>12</v>
      </c>
      <c r="F5136">
        <v>21529031</v>
      </c>
      <c r="G5136">
        <v>21529032</v>
      </c>
      <c r="H5136">
        <v>21529031</v>
      </c>
      <c r="I5136">
        <v>21529032</v>
      </c>
    </row>
    <row r="5137" spans="1:9" x14ac:dyDescent="0.2">
      <c r="A5137" t="str">
        <f>"Defa21"</f>
        <v>Defa21</v>
      </c>
      <c r="B5137" t="s">
        <v>2355</v>
      </c>
      <c r="C5137" t="s">
        <v>30</v>
      </c>
      <c r="D5137" t="s">
        <v>17</v>
      </c>
      <c r="E5137" t="s">
        <v>20</v>
      </c>
      <c r="F5137">
        <v>21025544</v>
      </c>
      <c r="G5137">
        <v>21025544</v>
      </c>
      <c r="H5137">
        <v>21025544</v>
      </c>
      <c r="I5137">
        <v>21025544</v>
      </c>
    </row>
    <row r="5138" spans="1:9" x14ac:dyDescent="0.2">
      <c r="A5138" t="str">
        <f>"Defa22"</f>
        <v>Defa22</v>
      </c>
      <c r="B5138" t="s">
        <v>2356</v>
      </c>
      <c r="C5138" t="s">
        <v>30</v>
      </c>
      <c r="D5138" t="s">
        <v>17</v>
      </c>
      <c r="E5138" t="s">
        <v>20</v>
      </c>
      <c r="F5138">
        <v>21162276</v>
      </c>
      <c r="G5138">
        <v>21162276</v>
      </c>
      <c r="H5138">
        <v>21162276</v>
      </c>
      <c r="I5138">
        <v>21162276</v>
      </c>
    </row>
    <row r="5139" spans="1:9" x14ac:dyDescent="0.2">
      <c r="A5139" t="str">
        <f>"Defa23"</f>
        <v>Defa23</v>
      </c>
      <c r="B5139" t="s">
        <v>2357</v>
      </c>
      <c r="C5139" t="s">
        <v>30</v>
      </c>
      <c r="D5139" t="s">
        <v>17</v>
      </c>
      <c r="E5139" t="s">
        <v>20</v>
      </c>
      <c r="F5139">
        <v>21055046</v>
      </c>
      <c r="G5139">
        <v>21055046</v>
      </c>
      <c r="H5139">
        <v>21055046</v>
      </c>
      <c r="I5139">
        <v>21055046</v>
      </c>
    </row>
    <row r="5140" spans="1:9" x14ac:dyDescent="0.2">
      <c r="A5140" t="str">
        <f>"Defa24"</f>
        <v>Defa24</v>
      </c>
      <c r="B5140" t="s">
        <v>14</v>
      </c>
      <c r="C5140" t="s">
        <v>30</v>
      </c>
      <c r="D5140" t="s">
        <v>17</v>
      </c>
      <c r="E5140" t="s">
        <v>12</v>
      </c>
      <c r="F5140">
        <v>21734490</v>
      </c>
      <c r="G5140">
        <v>21734496</v>
      </c>
      <c r="H5140">
        <v>21734490</v>
      </c>
      <c r="I5140">
        <v>21734496</v>
      </c>
    </row>
    <row r="5141" spans="1:9" x14ac:dyDescent="0.2">
      <c r="A5141" t="str">
        <f>"Defa25"</f>
        <v>Defa25</v>
      </c>
      <c r="B5141" t="s">
        <v>14</v>
      </c>
      <c r="C5141" t="s">
        <v>30</v>
      </c>
      <c r="D5141" t="s">
        <v>17</v>
      </c>
      <c r="E5141" t="s">
        <v>12</v>
      </c>
      <c r="F5141">
        <v>21084395</v>
      </c>
      <c r="G5141">
        <v>21084400</v>
      </c>
      <c r="H5141">
        <v>21084395</v>
      </c>
      <c r="I5141">
        <v>21084400</v>
      </c>
    </row>
    <row r="5142" spans="1:9" x14ac:dyDescent="0.2">
      <c r="A5142" t="str">
        <f>"Defa26"</f>
        <v>Defa26</v>
      </c>
      <c r="B5142" t="s">
        <v>14</v>
      </c>
      <c r="C5142" t="s">
        <v>30</v>
      </c>
      <c r="D5142" t="s">
        <v>17</v>
      </c>
      <c r="E5142" t="s">
        <v>12</v>
      </c>
      <c r="F5142">
        <v>21618103</v>
      </c>
      <c r="G5142">
        <v>21618116</v>
      </c>
      <c r="H5142">
        <v>21618103</v>
      </c>
      <c r="I5142">
        <v>21618116</v>
      </c>
    </row>
    <row r="5143" spans="1:9" x14ac:dyDescent="0.2">
      <c r="A5143" t="str">
        <f>"Defa3"</f>
        <v>Defa3</v>
      </c>
      <c r="B5143" t="s">
        <v>2358</v>
      </c>
      <c r="C5143" t="s">
        <v>30</v>
      </c>
      <c r="D5143" t="s">
        <v>17</v>
      </c>
      <c r="E5143" t="s">
        <v>20</v>
      </c>
      <c r="F5143">
        <v>21287408</v>
      </c>
      <c r="G5143">
        <v>21287408</v>
      </c>
      <c r="H5143">
        <v>21287408</v>
      </c>
      <c r="I5143">
        <v>21287408</v>
      </c>
    </row>
    <row r="5144" spans="1:9" x14ac:dyDescent="0.2">
      <c r="A5144" t="str">
        <f>"Defa5"</f>
        <v>Defa5</v>
      </c>
      <c r="B5144" t="s">
        <v>2359</v>
      </c>
      <c r="C5144" t="s">
        <v>30</v>
      </c>
      <c r="D5144" t="s">
        <v>17</v>
      </c>
      <c r="E5144" t="s">
        <v>20</v>
      </c>
      <c r="F5144">
        <v>21297438</v>
      </c>
      <c r="G5144">
        <v>21297438</v>
      </c>
      <c r="H5144">
        <v>21297438</v>
      </c>
      <c r="I5144">
        <v>21297438</v>
      </c>
    </row>
    <row r="5145" spans="1:9" x14ac:dyDescent="0.2">
      <c r="A5145" t="str">
        <f>"Defb1"</f>
        <v>Defb1</v>
      </c>
      <c r="B5145" t="s">
        <v>14</v>
      </c>
      <c r="C5145" t="s">
        <v>30</v>
      </c>
      <c r="D5145" t="s">
        <v>17</v>
      </c>
      <c r="E5145" t="s">
        <v>12</v>
      </c>
      <c r="F5145">
        <v>21776567</v>
      </c>
      <c r="G5145">
        <v>21776595</v>
      </c>
      <c r="H5145">
        <v>21776567</v>
      </c>
      <c r="I5145">
        <v>21776595</v>
      </c>
    </row>
    <row r="5146" spans="1:9" x14ac:dyDescent="0.2">
      <c r="A5146" t="str">
        <f>"Defb10"</f>
        <v>Defb10</v>
      </c>
      <c r="B5146" t="s">
        <v>2360</v>
      </c>
      <c r="C5146" t="s">
        <v>30</v>
      </c>
      <c r="D5146" t="s">
        <v>17</v>
      </c>
      <c r="E5146" t="s">
        <v>20</v>
      </c>
      <c r="F5146">
        <v>21858900</v>
      </c>
      <c r="G5146">
        <v>21858900</v>
      </c>
      <c r="H5146">
        <v>21858900</v>
      </c>
      <c r="I5146">
        <v>21858900</v>
      </c>
    </row>
    <row r="5147" spans="1:9" x14ac:dyDescent="0.2">
      <c r="A5147" t="str">
        <f>"Defb11"</f>
        <v>Defb11</v>
      </c>
      <c r="B5147" t="s">
        <v>14</v>
      </c>
      <c r="C5147" t="s">
        <v>30</v>
      </c>
      <c r="D5147" t="s">
        <v>11</v>
      </c>
      <c r="E5147" t="s">
        <v>12</v>
      </c>
      <c r="F5147">
        <v>21906426</v>
      </c>
      <c r="G5147">
        <v>21906437</v>
      </c>
      <c r="H5147">
        <v>21906419</v>
      </c>
      <c r="I5147">
        <v>21906423</v>
      </c>
    </row>
    <row r="5148" spans="1:9" x14ac:dyDescent="0.2">
      <c r="A5148" t="str">
        <f>"Defb12"</f>
        <v>Defb12</v>
      </c>
      <c r="B5148" t="s">
        <v>14</v>
      </c>
      <c r="C5148" t="s">
        <v>30</v>
      </c>
      <c r="D5148" t="s">
        <v>11</v>
      </c>
      <c r="E5148" t="s">
        <v>12</v>
      </c>
      <c r="F5148">
        <v>19114830</v>
      </c>
      <c r="G5148">
        <v>19114838</v>
      </c>
      <c r="H5148">
        <v>19114830</v>
      </c>
      <c r="I5148">
        <v>19114838</v>
      </c>
    </row>
    <row r="5149" spans="1:9" x14ac:dyDescent="0.2">
      <c r="A5149" t="str">
        <f>"Defb13"</f>
        <v>Defb13</v>
      </c>
      <c r="B5149" t="s">
        <v>14</v>
      </c>
      <c r="C5149" t="s">
        <v>30</v>
      </c>
      <c r="D5149" t="s">
        <v>17</v>
      </c>
      <c r="E5149" t="s">
        <v>12</v>
      </c>
      <c r="F5149">
        <v>21946750</v>
      </c>
      <c r="G5149">
        <v>21946762</v>
      </c>
      <c r="H5149">
        <v>21946750</v>
      </c>
      <c r="I5149">
        <v>21946762</v>
      </c>
    </row>
    <row r="5150" spans="1:9" x14ac:dyDescent="0.2">
      <c r="A5150" t="str">
        <f>"Defb14"</f>
        <v>Defb14</v>
      </c>
      <c r="B5150" t="s">
        <v>14</v>
      </c>
      <c r="C5150" t="s">
        <v>30</v>
      </c>
      <c r="D5150" t="s">
        <v>17</v>
      </c>
      <c r="E5150" t="s">
        <v>12</v>
      </c>
      <c r="F5150">
        <v>19194319</v>
      </c>
      <c r="G5150">
        <v>19194333</v>
      </c>
      <c r="H5150">
        <v>19194319</v>
      </c>
      <c r="I5150">
        <v>19194333</v>
      </c>
    </row>
    <row r="5151" spans="1:9" x14ac:dyDescent="0.2">
      <c r="A5151" t="str">
        <f>"Defb15"</f>
        <v>Defb15</v>
      </c>
      <c r="B5151" t="s">
        <v>14</v>
      </c>
      <c r="C5151" t="s">
        <v>30</v>
      </c>
      <c r="D5151" t="s">
        <v>11</v>
      </c>
      <c r="E5151" t="s">
        <v>12</v>
      </c>
      <c r="F5151">
        <v>21932708</v>
      </c>
      <c r="G5151">
        <v>21932716</v>
      </c>
      <c r="H5151">
        <v>21932708</v>
      </c>
      <c r="I5151">
        <v>21932716</v>
      </c>
    </row>
    <row r="5152" spans="1:9" x14ac:dyDescent="0.2">
      <c r="A5152" t="str">
        <f>"Defb18"</f>
        <v>Defb18</v>
      </c>
      <c r="B5152" t="s">
        <v>14</v>
      </c>
      <c r="C5152" t="s">
        <v>19</v>
      </c>
      <c r="D5152" t="s">
        <v>11</v>
      </c>
      <c r="E5152" t="s">
        <v>12</v>
      </c>
      <c r="F5152">
        <v>18237473</v>
      </c>
      <c r="G5152">
        <v>18237478</v>
      </c>
      <c r="H5152">
        <v>18237473</v>
      </c>
      <c r="I5152">
        <v>18237478</v>
      </c>
    </row>
    <row r="5153" spans="1:9" x14ac:dyDescent="0.2">
      <c r="A5153" t="str">
        <f>"Defb19"</f>
        <v>Defb19</v>
      </c>
      <c r="B5153" t="s">
        <v>14</v>
      </c>
      <c r="C5153" t="s">
        <v>26</v>
      </c>
      <c r="D5153" t="s">
        <v>11</v>
      </c>
      <c r="E5153" t="s">
        <v>12</v>
      </c>
      <c r="F5153">
        <v>152580300</v>
      </c>
      <c r="G5153">
        <v>152580315</v>
      </c>
      <c r="H5153">
        <v>152580271</v>
      </c>
      <c r="I5153">
        <v>152580288</v>
      </c>
    </row>
    <row r="5154" spans="1:9" x14ac:dyDescent="0.2">
      <c r="A5154" t="str">
        <f>"Defb2"</f>
        <v>Defb2</v>
      </c>
      <c r="B5154" t="s">
        <v>14</v>
      </c>
      <c r="C5154" t="s">
        <v>30</v>
      </c>
      <c r="D5154" t="s">
        <v>17</v>
      </c>
      <c r="E5154" t="s">
        <v>12</v>
      </c>
      <c r="F5154">
        <v>21839843</v>
      </c>
      <c r="G5154">
        <v>21839857</v>
      </c>
      <c r="H5154">
        <v>21839863</v>
      </c>
      <c r="I5154">
        <v>21839871</v>
      </c>
    </row>
    <row r="5155" spans="1:9" x14ac:dyDescent="0.2">
      <c r="A5155" t="str">
        <f>"Defb20"</f>
        <v>Defb20</v>
      </c>
      <c r="B5155" t="s">
        <v>14</v>
      </c>
      <c r="C5155" t="s">
        <v>26</v>
      </c>
      <c r="D5155" t="s">
        <v>17</v>
      </c>
      <c r="E5155" t="s">
        <v>12</v>
      </c>
      <c r="F5155">
        <v>152477050</v>
      </c>
      <c r="G5155">
        <v>152477073</v>
      </c>
      <c r="H5155">
        <v>152477039</v>
      </c>
      <c r="I5155">
        <v>152477045</v>
      </c>
    </row>
    <row r="5156" spans="1:9" x14ac:dyDescent="0.2">
      <c r="A5156" t="str">
        <f>"Defb21"</f>
        <v>Defb21</v>
      </c>
      <c r="B5156" t="s">
        <v>14</v>
      </c>
      <c r="C5156" t="s">
        <v>26</v>
      </c>
      <c r="D5156" t="s">
        <v>17</v>
      </c>
      <c r="E5156" t="s">
        <v>12</v>
      </c>
      <c r="F5156">
        <v>152572736</v>
      </c>
      <c r="G5156">
        <v>152572757</v>
      </c>
      <c r="H5156">
        <v>152572736</v>
      </c>
      <c r="I5156">
        <v>152572757</v>
      </c>
    </row>
    <row r="5157" spans="1:9" x14ac:dyDescent="0.2">
      <c r="A5157" t="str">
        <f>"Defb22"</f>
        <v>Defb22</v>
      </c>
      <c r="B5157" t="s">
        <v>14</v>
      </c>
      <c r="C5157" t="s">
        <v>26</v>
      </c>
      <c r="D5157" t="s">
        <v>11</v>
      </c>
      <c r="E5157" t="s">
        <v>12</v>
      </c>
      <c r="F5157">
        <v>152490127</v>
      </c>
      <c r="G5157">
        <v>152490146</v>
      </c>
      <c r="H5157">
        <v>152490149</v>
      </c>
      <c r="I5157">
        <v>152490180</v>
      </c>
    </row>
    <row r="5158" spans="1:9" x14ac:dyDescent="0.2">
      <c r="A5158" t="str">
        <f>"Defb23"</f>
        <v>Defb23</v>
      </c>
      <c r="B5158" t="s">
        <v>14</v>
      </c>
      <c r="C5158" t="s">
        <v>26</v>
      </c>
      <c r="D5158" t="s">
        <v>11</v>
      </c>
      <c r="E5158" t="s">
        <v>12</v>
      </c>
      <c r="F5158">
        <v>152464612</v>
      </c>
      <c r="G5158">
        <v>152464640</v>
      </c>
      <c r="H5158">
        <v>152464604</v>
      </c>
      <c r="I5158">
        <v>152464608</v>
      </c>
    </row>
    <row r="5159" spans="1:9" x14ac:dyDescent="0.2">
      <c r="A5159" t="str">
        <f>"Defb25"</f>
        <v>Defb25</v>
      </c>
      <c r="B5159" t="s">
        <v>14</v>
      </c>
      <c r="C5159" t="s">
        <v>26</v>
      </c>
      <c r="D5159" t="s">
        <v>11</v>
      </c>
      <c r="E5159" t="s">
        <v>12</v>
      </c>
      <c r="F5159">
        <v>152623076</v>
      </c>
      <c r="G5159">
        <v>152623088</v>
      </c>
      <c r="H5159">
        <v>152623076</v>
      </c>
      <c r="I5159">
        <v>152623088</v>
      </c>
    </row>
    <row r="5160" spans="1:9" x14ac:dyDescent="0.2">
      <c r="A5160" t="str">
        <f>"Defb26"</f>
        <v>Defb26</v>
      </c>
      <c r="B5160" t="s">
        <v>14</v>
      </c>
      <c r="C5160" t="s">
        <v>26</v>
      </c>
      <c r="D5160" t="s">
        <v>11</v>
      </c>
      <c r="E5160" t="s">
        <v>12</v>
      </c>
      <c r="F5160">
        <v>152511731</v>
      </c>
      <c r="G5160">
        <v>152511748</v>
      </c>
      <c r="H5160">
        <v>152511706</v>
      </c>
      <c r="I5160">
        <v>152511718</v>
      </c>
    </row>
    <row r="5161" spans="1:9" x14ac:dyDescent="0.2">
      <c r="A5161" t="str">
        <f>"Defb28"</f>
        <v>Defb28</v>
      </c>
      <c r="B5161" t="s">
        <v>14</v>
      </c>
      <c r="C5161" t="s">
        <v>26</v>
      </c>
      <c r="D5161" t="s">
        <v>17</v>
      </c>
      <c r="E5161" t="s">
        <v>12</v>
      </c>
      <c r="F5161">
        <v>152518247</v>
      </c>
      <c r="G5161">
        <v>152518269</v>
      </c>
      <c r="H5161">
        <v>152518247</v>
      </c>
      <c r="I5161">
        <v>152518269</v>
      </c>
    </row>
    <row r="5162" spans="1:9" x14ac:dyDescent="0.2">
      <c r="A5162" t="str">
        <f>"Defb29"</f>
        <v>Defb29</v>
      </c>
      <c r="B5162" t="s">
        <v>14</v>
      </c>
      <c r="C5162" t="s">
        <v>26</v>
      </c>
      <c r="D5162" t="s">
        <v>11</v>
      </c>
      <c r="E5162" t="s">
        <v>12</v>
      </c>
      <c r="F5162">
        <v>152540035</v>
      </c>
      <c r="G5162">
        <v>152540073</v>
      </c>
      <c r="H5162">
        <v>152540016</v>
      </c>
      <c r="I5162">
        <v>152540031</v>
      </c>
    </row>
    <row r="5163" spans="1:9" x14ac:dyDescent="0.2">
      <c r="A5163" t="str">
        <f>"Defb3"</f>
        <v>Defb3</v>
      </c>
      <c r="B5163" t="s">
        <v>2361</v>
      </c>
      <c r="C5163" t="s">
        <v>30</v>
      </c>
      <c r="D5163" t="s">
        <v>17</v>
      </c>
      <c r="E5163" t="s">
        <v>20</v>
      </c>
      <c r="F5163">
        <v>19293359</v>
      </c>
      <c r="G5163">
        <v>19293359</v>
      </c>
      <c r="H5163">
        <v>19293359</v>
      </c>
      <c r="I5163">
        <v>19293359</v>
      </c>
    </row>
    <row r="5164" spans="1:9" x14ac:dyDescent="0.2">
      <c r="A5164" t="str">
        <f>"Defb30"</f>
        <v>Defb30</v>
      </c>
      <c r="B5164" t="s">
        <v>9</v>
      </c>
      <c r="C5164" t="s">
        <v>41</v>
      </c>
      <c r="D5164" t="s">
        <v>11</v>
      </c>
      <c r="E5164" t="s">
        <v>12</v>
      </c>
      <c r="F5164">
        <v>63037841</v>
      </c>
      <c r="G5164">
        <v>63037871</v>
      </c>
      <c r="H5164">
        <v>63037841</v>
      </c>
      <c r="I5164">
        <v>63037871</v>
      </c>
    </row>
    <row r="5165" spans="1:9" x14ac:dyDescent="0.2">
      <c r="A5165" t="str">
        <f>"Defb30"</f>
        <v>Defb30</v>
      </c>
      <c r="B5165" t="s">
        <v>13</v>
      </c>
      <c r="C5165" t="s">
        <v>41</v>
      </c>
      <c r="D5165" t="s">
        <v>11</v>
      </c>
      <c r="E5165" t="s">
        <v>12</v>
      </c>
      <c r="F5165">
        <v>63049938</v>
      </c>
      <c r="G5165">
        <v>63049954</v>
      </c>
      <c r="H5165">
        <v>63049938</v>
      </c>
      <c r="I5165">
        <v>63049954</v>
      </c>
    </row>
    <row r="5166" spans="1:9" x14ac:dyDescent="0.2">
      <c r="A5166" t="str">
        <f>"Defb33"</f>
        <v>Defb33</v>
      </c>
      <c r="B5166" t="s">
        <v>2362</v>
      </c>
      <c r="C5166" t="s">
        <v>30</v>
      </c>
      <c r="D5166" t="s">
        <v>17</v>
      </c>
      <c r="E5166" t="s">
        <v>20</v>
      </c>
      <c r="F5166">
        <v>20892668</v>
      </c>
      <c r="G5166">
        <v>20892668</v>
      </c>
      <c r="H5166">
        <v>20892668</v>
      </c>
      <c r="I5166">
        <v>20892668</v>
      </c>
    </row>
    <row r="5167" spans="1:9" x14ac:dyDescent="0.2">
      <c r="A5167" t="str">
        <f>"Defb34"</f>
        <v>Defb34</v>
      </c>
      <c r="B5167" t="s">
        <v>2363</v>
      </c>
      <c r="C5167" t="s">
        <v>30</v>
      </c>
      <c r="D5167" t="s">
        <v>17</v>
      </c>
      <c r="E5167" t="s">
        <v>20</v>
      </c>
      <c r="F5167">
        <v>19123751</v>
      </c>
      <c r="G5167">
        <v>19123751</v>
      </c>
      <c r="H5167">
        <v>19123751</v>
      </c>
      <c r="I5167">
        <v>19123751</v>
      </c>
    </row>
    <row r="5168" spans="1:9" x14ac:dyDescent="0.2">
      <c r="A5168" t="str">
        <f>"Defb35"</f>
        <v>Defb35</v>
      </c>
      <c r="B5168" t="s">
        <v>2364</v>
      </c>
      <c r="C5168" t="s">
        <v>30</v>
      </c>
      <c r="D5168" t="s">
        <v>17</v>
      </c>
      <c r="E5168" t="s">
        <v>20</v>
      </c>
      <c r="F5168">
        <v>21938351</v>
      </c>
      <c r="G5168">
        <v>21938351</v>
      </c>
      <c r="H5168">
        <v>21938351</v>
      </c>
      <c r="I5168">
        <v>21938351</v>
      </c>
    </row>
    <row r="5169" spans="1:9" x14ac:dyDescent="0.2">
      <c r="A5169" t="str">
        <f>"Defb36"</f>
        <v>Defb36</v>
      </c>
      <c r="B5169" t="s">
        <v>14</v>
      </c>
      <c r="C5169" t="s">
        <v>26</v>
      </c>
      <c r="D5169" t="s">
        <v>17</v>
      </c>
      <c r="E5169" t="s">
        <v>12</v>
      </c>
      <c r="F5169">
        <v>152604358</v>
      </c>
      <c r="G5169">
        <v>152604399</v>
      </c>
      <c r="H5169">
        <v>152604418</v>
      </c>
      <c r="I5169">
        <v>152604439</v>
      </c>
    </row>
    <row r="5170" spans="1:9" x14ac:dyDescent="0.2">
      <c r="A5170" t="str">
        <f>"Defb37"</f>
        <v>Defb37</v>
      </c>
      <c r="B5170" t="s">
        <v>14</v>
      </c>
      <c r="C5170" t="s">
        <v>30</v>
      </c>
      <c r="D5170" t="s">
        <v>11</v>
      </c>
      <c r="E5170" t="s">
        <v>12</v>
      </c>
      <c r="F5170">
        <v>18991046</v>
      </c>
      <c r="G5170">
        <v>18991061</v>
      </c>
      <c r="H5170">
        <v>18991028</v>
      </c>
      <c r="I5170">
        <v>18991041</v>
      </c>
    </row>
    <row r="5171" spans="1:9" x14ac:dyDescent="0.2">
      <c r="A5171" t="str">
        <f>"Defb38"</f>
        <v>Defb38</v>
      </c>
      <c r="B5171" t="s">
        <v>14</v>
      </c>
      <c r="C5171" t="s">
        <v>30</v>
      </c>
      <c r="D5171" t="s">
        <v>11</v>
      </c>
      <c r="E5171" t="s">
        <v>12</v>
      </c>
      <c r="F5171">
        <v>19026558</v>
      </c>
      <c r="G5171">
        <v>19026573</v>
      </c>
      <c r="H5171">
        <v>19026543</v>
      </c>
      <c r="I5171">
        <v>19026557</v>
      </c>
    </row>
    <row r="5172" spans="1:9" x14ac:dyDescent="0.2">
      <c r="A5172" t="str">
        <f>"Defb39"</f>
        <v>Defb39</v>
      </c>
      <c r="B5172" t="s">
        <v>14</v>
      </c>
      <c r="C5172" t="s">
        <v>30</v>
      </c>
      <c r="D5172" t="s">
        <v>11</v>
      </c>
      <c r="E5172" t="s">
        <v>12</v>
      </c>
      <c r="F5172">
        <v>19064912</v>
      </c>
      <c r="G5172">
        <v>19064932</v>
      </c>
      <c r="H5172">
        <v>19064885</v>
      </c>
      <c r="I5172">
        <v>19064907</v>
      </c>
    </row>
    <row r="5173" spans="1:9" x14ac:dyDescent="0.2">
      <c r="A5173" t="str">
        <f>"Defb4"</f>
        <v>Defb4</v>
      </c>
      <c r="B5173" t="s">
        <v>14</v>
      </c>
      <c r="C5173" t="s">
        <v>30</v>
      </c>
      <c r="D5173" t="s">
        <v>17</v>
      </c>
      <c r="E5173" t="s">
        <v>12</v>
      </c>
      <c r="F5173">
        <v>19198702</v>
      </c>
      <c r="G5173">
        <v>19198706</v>
      </c>
      <c r="H5173">
        <v>19198702</v>
      </c>
      <c r="I5173">
        <v>19198706</v>
      </c>
    </row>
    <row r="5174" spans="1:9" x14ac:dyDescent="0.2">
      <c r="A5174" t="str">
        <f>"Defb40"</f>
        <v>Defb40</v>
      </c>
      <c r="B5174" t="s">
        <v>14</v>
      </c>
      <c r="C5174" t="s">
        <v>30</v>
      </c>
      <c r="D5174" t="s">
        <v>11</v>
      </c>
      <c r="E5174" t="s">
        <v>12</v>
      </c>
      <c r="F5174">
        <v>18978211</v>
      </c>
      <c r="G5174">
        <v>18978227</v>
      </c>
      <c r="H5174">
        <v>18978191</v>
      </c>
      <c r="I5174">
        <v>18978201</v>
      </c>
    </row>
    <row r="5175" spans="1:9" x14ac:dyDescent="0.2">
      <c r="A5175" t="str">
        <f>"Defb41"</f>
        <v>Defb41</v>
      </c>
      <c r="B5175" t="s">
        <v>14</v>
      </c>
      <c r="C5175" t="s">
        <v>19</v>
      </c>
      <c r="D5175" t="s">
        <v>11</v>
      </c>
      <c r="E5175" t="s">
        <v>12</v>
      </c>
      <c r="F5175">
        <v>18265130</v>
      </c>
      <c r="G5175">
        <v>18265141</v>
      </c>
      <c r="H5175">
        <v>18265130</v>
      </c>
      <c r="I5175">
        <v>18265141</v>
      </c>
    </row>
    <row r="5176" spans="1:9" x14ac:dyDescent="0.2">
      <c r="A5176" t="str">
        <f>"Defb42"</f>
        <v>Defb42</v>
      </c>
      <c r="B5176" t="s">
        <v>14</v>
      </c>
      <c r="C5176" t="s">
        <v>41</v>
      </c>
      <c r="D5176" t="s">
        <v>17</v>
      </c>
      <c r="E5176" t="s">
        <v>12</v>
      </c>
      <c r="F5176">
        <v>63046988</v>
      </c>
      <c r="G5176">
        <v>63047013</v>
      </c>
      <c r="H5176">
        <v>63046965</v>
      </c>
      <c r="I5176">
        <v>63046984</v>
      </c>
    </row>
    <row r="5177" spans="1:9" x14ac:dyDescent="0.2">
      <c r="A5177" t="str">
        <f>"Defb43"</f>
        <v>Defb43</v>
      </c>
      <c r="B5177" t="s">
        <v>14</v>
      </c>
      <c r="C5177" t="s">
        <v>41</v>
      </c>
      <c r="D5177" t="s">
        <v>17</v>
      </c>
      <c r="E5177" t="s">
        <v>12</v>
      </c>
      <c r="F5177">
        <v>63011750</v>
      </c>
      <c r="G5177">
        <v>63011763</v>
      </c>
      <c r="H5177">
        <v>63011729</v>
      </c>
      <c r="I5177">
        <v>63011740</v>
      </c>
    </row>
    <row r="5178" spans="1:9" x14ac:dyDescent="0.2">
      <c r="A5178" t="str">
        <f>"Defb45"</f>
        <v>Defb45</v>
      </c>
      <c r="B5178" t="s">
        <v>14</v>
      </c>
      <c r="C5178" t="s">
        <v>26</v>
      </c>
      <c r="D5178" t="s">
        <v>11</v>
      </c>
      <c r="E5178" t="s">
        <v>12</v>
      </c>
      <c r="F5178">
        <v>152596436</v>
      </c>
      <c r="G5178">
        <v>152596454</v>
      </c>
      <c r="H5178">
        <v>152596436</v>
      </c>
      <c r="I5178">
        <v>152596454</v>
      </c>
    </row>
    <row r="5179" spans="1:9" x14ac:dyDescent="0.2">
      <c r="A5179" t="str">
        <f>"Defb46"</f>
        <v>Defb46</v>
      </c>
      <c r="B5179" t="s">
        <v>2365</v>
      </c>
      <c r="C5179" t="s">
        <v>30</v>
      </c>
      <c r="D5179" t="s">
        <v>17</v>
      </c>
      <c r="E5179" t="s">
        <v>20</v>
      </c>
      <c r="F5179">
        <v>19239915</v>
      </c>
      <c r="G5179">
        <v>19239915</v>
      </c>
      <c r="H5179">
        <v>19239915</v>
      </c>
      <c r="I5179">
        <v>19239915</v>
      </c>
    </row>
    <row r="5180" spans="1:9" x14ac:dyDescent="0.2">
      <c r="A5180" t="str">
        <f>"Defb47"</f>
        <v>Defb47</v>
      </c>
      <c r="B5180" t="s">
        <v>14</v>
      </c>
      <c r="C5180" t="s">
        <v>41</v>
      </c>
      <c r="D5180" t="s">
        <v>17</v>
      </c>
      <c r="E5180" t="s">
        <v>12</v>
      </c>
      <c r="F5180">
        <v>62998063</v>
      </c>
      <c r="G5180">
        <v>62998081</v>
      </c>
      <c r="H5180">
        <v>62998063</v>
      </c>
      <c r="I5180">
        <v>62998081</v>
      </c>
    </row>
    <row r="5181" spans="1:9" x14ac:dyDescent="0.2">
      <c r="A5181" t="str">
        <f>"Defb48"</f>
        <v>Defb48</v>
      </c>
      <c r="B5181" t="s">
        <v>14</v>
      </c>
      <c r="C5181" t="s">
        <v>41</v>
      </c>
      <c r="D5181" t="s">
        <v>11</v>
      </c>
      <c r="E5181" t="s">
        <v>12</v>
      </c>
      <c r="F5181">
        <v>62984502</v>
      </c>
      <c r="G5181">
        <v>62984512</v>
      </c>
      <c r="H5181">
        <v>62984502</v>
      </c>
      <c r="I5181">
        <v>62984512</v>
      </c>
    </row>
    <row r="5182" spans="1:9" x14ac:dyDescent="0.2">
      <c r="A5182" t="str">
        <f>"Defb5"</f>
        <v>Defb5</v>
      </c>
      <c r="B5182" t="s">
        <v>14</v>
      </c>
      <c r="C5182" t="s">
        <v>30</v>
      </c>
      <c r="D5182" t="s">
        <v>17</v>
      </c>
      <c r="E5182" t="s">
        <v>12</v>
      </c>
      <c r="F5182">
        <v>19247564</v>
      </c>
      <c r="G5182">
        <v>19247565</v>
      </c>
      <c r="H5182">
        <v>19247564</v>
      </c>
      <c r="I5182">
        <v>19247565</v>
      </c>
    </row>
    <row r="5183" spans="1:9" x14ac:dyDescent="0.2">
      <c r="A5183" t="str">
        <f>"Defb50"</f>
        <v>Defb50</v>
      </c>
      <c r="B5183" t="s">
        <v>14</v>
      </c>
      <c r="C5183" t="s">
        <v>30</v>
      </c>
      <c r="D5183" t="s">
        <v>17</v>
      </c>
      <c r="E5183" t="s">
        <v>12</v>
      </c>
      <c r="F5183">
        <v>21823533</v>
      </c>
      <c r="G5183">
        <v>21823548</v>
      </c>
      <c r="H5183">
        <v>21823533</v>
      </c>
      <c r="I5183">
        <v>21823548</v>
      </c>
    </row>
    <row r="5184" spans="1:9" x14ac:dyDescent="0.2">
      <c r="A5184" t="str">
        <f>"Defb6"</f>
        <v>Defb6</v>
      </c>
      <c r="B5184" t="s">
        <v>14</v>
      </c>
      <c r="C5184" t="s">
        <v>30</v>
      </c>
      <c r="D5184" t="s">
        <v>17</v>
      </c>
      <c r="E5184" t="s">
        <v>12</v>
      </c>
      <c r="F5184">
        <v>19225474</v>
      </c>
      <c r="G5184">
        <v>19225482</v>
      </c>
      <c r="H5184">
        <v>19225474</v>
      </c>
      <c r="I5184">
        <v>19225482</v>
      </c>
    </row>
    <row r="5185" spans="1:9" x14ac:dyDescent="0.2">
      <c r="A5185" t="str">
        <f>"Defb7"</f>
        <v>Defb7</v>
      </c>
      <c r="B5185" t="s">
        <v>2366</v>
      </c>
      <c r="C5185" t="s">
        <v>30</v>
      </c>
      <c r="D5185" t="s">
        <v>17</v>
      </c>
      <c r="E5185" t="s">
        <v>20</v>
      </c>
      <c r="F5185">
        <v>19495096</v>
      </c>
      <c r="G5185">
        <v>19495096</v>
      </c>
      <c r="H5185">
        <v>19495096</v>
      </c>
      <c r="I5185">
        <v>19495096</v>
      </c>
    </row>
    <row r="5186" spans="1:9" x14ac:dyDescent="0.2">
      <c r="A5186" t="str">
        <f>"Defb8"</f>
        <v>Defb8</v>
      </c>
      <c r="B5186" t="s">
        <v>2367</v>
      </c>
      <c r="C5186" t="s">
        <v>30</v>
      </c>
      <c r="D5186" t="s">
        <v>11</v>
      </c>
      <c r="E5186" t="s">
        <v>20</v>
      </c>
      <c r="F5186">
        <v>19447605</v>
      </c>
      <c r="G5186">
        <v>19447605</v>
      </c>
      <c r="H5186">
        <v>19447605</v>
      </c>
      <c r="I5186">
        <v>19447605</v>
      </c>
    </row>
    <row r="5187" spans="1:9" x14ac:dyDescent="0.2">
      <c r="A5187" t="str">
        <f>"Defb9"</f>
        <v>Defb9</v>
      </c>
      <c r="B5187" t="s">
        <v>14</v>
      </c>
      <c r="C5187" t="s">
        <v>30</v>
      </c>
      <c r="D5187" t="s">
        <v>11</v>
      </c>
      <c r="E5187" t="s">
        <v>12</v>
      </c>
      <c r="F5187">
        <v>21885426</v>
      </c>
      <c r="G5187">
        <v>21885443</v>
      </c>
      <c r="H5187">
        <v>21885426</v>
      </c>
      <c r="I5187">
        <v>21885443</v>
      </c>
    </row>
    <row r="5188" spans="1:9" x14ac:dyDescent="0.2">
      <c r="A5188" t="str">
        <f>"Degs1"</f>
        <v>Degs1</v>
      </c>
      <c r="B5188" t="s">
        <v>14</v>
      </c>
      <c r="C5188" t="s">
        <v>19</v>
      </c>
      <c r="D5188" t="s">
        <v>11</v>
      </c>
      <c r="E5188" t="s">
        <v>12</v>
      </c>
      <c r="F5188">
        <v>182282738</v>
      </c>
      <c r="G5188">
        <v>182282807</v>
      </c>
      <c r="H5188">
        <v>182282218</v>
      </c>
      <c r="I5188">
        <v>182282239</v>
      </c>
    </row>
    <row r="5189" spans="1:9" x14ac:dyDescent="0.2">
      <c r="A5189" t="str">
        <f>"Degs2"</f>
        <v>Degs2</v>
      </c>
      <c r="B5189" t="s">
        <v>14</v>
      </c>
      <c r="C5189" t="s">
        <v>16</v>
      </c>
      <c r="D5189" t="s">
        <v>11</v>
      </c>
      <c r="E5189" t="s">
        <v>12</v>
      </c>
      <c r="F5189">
        <v>108702265</v>
      </c>
      <c r="G5189">
        <v>108702320</v>
      </c>
      <c r="H5189">
        <v>108702322</v>
      </c>
      <c r="I5189">
        <v>108702331</v>
      </c>
    </row>
    <row r="5190" spans="1:9" x14ac:dyDescent="0.2">
      <c r="A5190" t="str">
        <f>"Dek"</f>
        <v>Dek</v>
      </c>
      <c r="B5190" t="s">
        <v>14</v>
      </c>
      <c r="C5190" t="s">
        <v>39</v>
      </c>
      <c r="D5190" t="s">
        <v>11</v>
      </c>
      <c r="E5190" t="s">
        <v>12</v>
      </c>
      <c r="F5190">
        <v>47106176</v>
      </c>
      <c r="G5190">
        <v>47106206</v>
      </c>
      <c r="H5190">
        <v>47106144</v>
      </c>
      <c r="I5190">
        <v>47106171</v>
      </c>
    </row>
    <row r="5191" spans="1:9" x14ac:dyDescent="0.2">
      <c r="A5191" t="str">
        <f>"Dennd1a"</f>
        <v>Dennd1a</v>
      </c>
      <c r="B5191" t="s">
        <v>14</v>
      </c>
      <c r="C5191" t="s">
        <v>26</v>
      </c>
      <c r="D5191" t="s">
        <v>11</v>
      </c>
      <c r="E5191" t="s">
        <v>12</v>
      </c>
      <c r="F5191">
        <v>38287347</v>
      </c>
      <c r="G5191">
        <v>38287394</v>
      </c>
      <c r="H5191">
        <v>38287174</v>
      </c>
      <c r="I5191">
        <v>38287195</v>
      </c>
    </row>
    <row r="5192" spans="1:9" x14ac:dyDescent="0.2">
      <c r="A5192" t="str">
        <f>"Dennd1b"</f>
        <v>Dennd1b</v>
      </c>
      <c r="B5192" t="s">
        <v>14</v>
      </c>
      <c r="C5192" t="s">
        <v>19</v>
      </c>
      <c r="D5192" t="s">
        <v>17</v>
      </c>
      <c r="E5192" t="s">
        <v>12</v>
      </c>
      <c r="F5192">
        <v>138963717</v>
      </c>
      <c r="G5192">
        <v>138963808</v>
      </c>
      <c r="H5192">
        <v>138963629</v>
      </c>
      <c r="I5192">
        <v>138963684</v>
      </c>
    </row>
    <row r="5193" spans="1:9" x14ac:dyDescent="0.2">
      <c r="A5193" t="str">
        <f>"Dennd1c"</f>
        <v>Dennd1c</v>
      </c>
      <c r="B5193" t="s">
        <v>14</v>
      </c>
      <c r="C5193" t="s">
        <v>28</v>
      </c>
      <c r="D5193" t="s">
        <v>11</v>
      </c>
      <c r="E5193" t="s">
        <v>12</v>
      </c>
      <c r="F5193">
        <v>57078490</v>
      </c>
      <c r="G5193">
        <v>57078519</v>
      </c>
      <c r="H5193">
        <v>57078459</v>
      </c>
      <c r="I5193">
        <v>57078484</v>
      </c>
    </row>
    <row r="5194" spans="1:9" x14ac:dyDescent="0.2">
      <c r="A5194" t="str">
        <f>"Dennd2a"</f>
        <v>Dennd2a</v>
      </c>
      <c r="B5194" t="s">
        <v>14</v>
      </c>
      <c r="C5194" t="s">
        <v>32</v>
      </c>
      <c r="D5194" t="s">
        <v>11</v>
      </c>
      <c r="E5194" t="s">
        <v>12</v>
      </c>
      <c r="F5194">
        <v>39557775</v>
      </c>
      <c r="G5194">
        <v>39557793</v>
      </c>
      <c r="H5194">
        <v>39557706</v>
      </c>
      <c r="I5194">
        <v>39557742</v>
      </c>
    </row>
    <row r="5195" spans="1:9" x14ac:dyDescent="0.2">
      <c r="A5195" t="str">
        <f>"Dennd2c"</f>
        <v>Dennd2c</v>
      </c>
      <c r="B5195" t="s">
        <v>14</v>
      </c>
      <c r="C5195" t="s">
        <v>22</v>
      </c>
      <c r="D5195" t="s">
        <v>17</v>
      </c>
      <c r="E5195" t="s">
        <v>12</v>
      </c>
      <c r="F5195">
        <v>103102648</v>
      </c>
      <c r="G5195">
        <v>103102711</v>
      </c>
      <c r="H5195">
        <v>103102067</v>
      </c>
      <c r="I5195">
        <v>103102109</v>
      </c>
    </row>
    <row r="5196" spans="1:9" x14ac:dyDescent="0.2">
      <c r="A5196" t="str">
        <f>"Dennd2d"</f>
        <v>Dennd2d</v>
      </c>
      <c r="B5196" t="s">
        <v>14</v>
      </c>
      <c r="C5196" t="s">
        <v>22</v>
      </c>
      <c r="D5196" t="s">
        <v>17</v>
      </c>
      <c r="E5196" t="s">
        <v>12</v>
      </c>
      <c r="F5196">
        <v>106486009</v>
      </c>
      <c r="G5196">
        <v>106486057</v>
      </c>
      <c r="H5196">
        <v>106486059</v>
      </c>
      <c r="I5196">
        <v>106486092</v>
      </c>
    </row>
    <row r="5197" spans="1:9" x14ac:dyDescent="0.2">
      <c r="A5197" t="str">
        <f>"Dennd3"</f>
        <v>Dennd3</v>
      </c>
      <c r="B5197" t="s">
        <v>14</v>
      </c>
      <c r="C5197" t="s">
        <v>25</v>
      </c>
      <c r="D5197" t="s">
        <v>17</v>
      </c>
      <c r="E5197" t="s">
        <v>12</v>
      </c>
      <c r="F5197">
        <v>73512559</v>
      </c>
      <c r="G5197">
        <v>73512607</v>
      </c>
      <c r="H5197">
        <v>73512644</v>
      </c>
      <c r="I5197">
        <v>73512690</v>
      </c>
    </row>
    <row r="5198" spans="1:9" x14ac:dyDescent="0.2">
      <c r="A5198" t="str">
        <f>"Dennd4a"</f>
        <v>Dennd4a</v>
      </c>
      <c r="B5198" t="s">
        <v>14</v>
      </c>
      <c r="C5198" t="s">
        <v>24</v>
      </c>
      <c r="D5198" t="s">
        <v>17</v>
      </c>
      <c r="E5198" t="s">
        <v>12</v>
      </c>
      <c r="F5198">
        <v>64811451</v>
      </c>
      <c r="G5198">
        <v>64811476</v>
      </c>
      <c r="H5198">
        <v>64811484</v>
      </c>
      <c r="I5198">
        <v>64811503</v>
      </c>
    </row>
    <row r="5199" spans="1:9" x14ac:dyDescent="0.2">
      <c r="A5199" t="str">
        <f>"Dennd4b"</f>
        <v>Dennd4b</v>
      </c>
      <c r="B5199" t="s">
        <v>9</v>
      </c>
      <c r="C5199" t="s">
        <v>22</v>
      </c>
      <c r="D5199" t="s">
        <v>17</v>
      </c>
      <c r="E5199" t="s">
        <v>12</v>
      </c>
      <c r="F5199">
        <v>90266507</v>
      </c>
      <c r="G5199">
        <v>90266566</v>
      </c>
      <c r="H5199">
        <v>90266507</v>
      </c>
      <c r="I5199">
        <v>90266566</v>
      </c>
    </row>
    <row r="5200" spans="1:9" x14ac:dyDescent="0.2">
      <c r="A5200" t="str">
        <f>"Dennd4b"</f>
        <v>Dennd4b</v>
      </c>
      <c r="B5200" t="s">
        <v>13</v>
      </c>
      <c r="C5200" t="s">
        <v>22</v>
      </c>
      <c r="D5200" t="s">
        <v>17</v>
      </c>
      <c r="E5200" t="s">
        <v>12</v>
      </c>
      <c r="F5200">
        <v>90265220</v>
      </c>
      <c r="G5200">
        <v>90265254</v>
      </c>
      <c r="H5200">
        <v>90265220</v>
      </c>
      <c r="I5200">
        <v>90265254</v>
      </c>
    </row>
    <row r="5201" spans="1:9" x14ac:dyDescent="0.2">
      <c r="A5201" t="str">
        <f>"Dennd4c"</f>
        <v>Dennd4c</v>
      </c>
      <c r="B5201" t="s">
        <v>14</v>
      </c>
      <c r="C5201" t="s">
        <v>23</v>
      </c>
      <c r="D5201" t="s">
        <v>17</v>
      </c>
      <c r="E5201" t="s">
        <v>12</v>
      </c>
      <c r="F5201">
        <v>86748526</v>
      </c>
      <c r="G5201">
        <v>86748558</v>
      </c>
      <c r="H5201">
        <v>86748790</v>
      </c>
      <c r="I5201">
        <v>86748837</v>
      </c>
    </row>
    <row r="5202" spans="1:9" x14ac:dyDescent="0.2">
      <c r="A5202" t="str">
        <f>"Dennd5a"</f>
        <v>Dennd5a</v>
      </c>
      <c r="B5202" t="s">
        <v>14</v>
      </c>
      <c r="C5202" t="s">
        <v>33</v>
      </c>
      <c r="D5202" t="s">
        <v>11</v>
      </c>
      <c r="E5202" t="s">
        <v>12</v>
      </c>
      <c r="F5202">
        <v>109960385</v>
      </c>
      <c r="G5202">
        <v>109960433</v>
      </c>
      <c r="H5202">
        <v>109960461</v>
      </c>
      <c r="I5202">
        <v>109960477</v>
      </c>
    </row>
    <row r="5203" spans="1:9" x14ac:dyDescent="0.2">
      <c r="A5203" t="str">
        <f>"Dennd5b"</f>
        <v>Dennd5b</v>
      </c>
      <c r="B5203" t="s">
        <v>14</v>
      </c>
      <c r="C5203" t="s">
        <v>32</v>
      </c>
      <c r="D5203" t="s">
        <v>11</v>
      </c>
      <c r="E5203" t="s">
        <v>12</v>
      </c>
      <c r="F5203">
        <v>149101506</v>
      </c>
      <c r="G5203">
        <v>149101589</v>
      </c>
      <c r="H5203">
        <v>149101674</v>
      </c>
      <c r="I5203">
        <v>149101686</v>
      </c>
    </row>
    <row r="5204" spans="1:9" x14ac:dyDescent="0.2">
      <c r="A5204" t="str">
        <f>"Dennd6a"</f>
        <v>Dennd6a</v>
      </c>
      <c r="B5204" t="s">
        <v>14</v>
      </c>
      <c r="C5204" t="s">
        <v>41</v>
      </c>
      <c r="D5204" t="s">
        <v>17</v>
      </c>
      <c r="E5204" t="s">
        <v>67</v>
      </c>
      <c r="F5204">
        <v>26579535</v>
      </c>
      <c r="G5204">
        <v>26579612</v>
      </c>
      <c r="H5204">
        <v>26579514</v>
      </c>
      <c r="I5204">
        <v>26579528</v>
      </c>
    </row>
    <row r="5205" spans="1:9" x14ac:dyDescent="0.2">
      <c r="A5205" t="str">
        <f>"Dennd6b"</f>
        <v>Dennd6b</v>
      </c>
      <c r="B5205" t="s">
        <v>14</v>
      </c>
      <c r="C5205" t="s">
        <v>25</v>
      </c>
      <c r="D5205" t="s">
        <v>11</v>
      </c>
      <c r="E5205" t="s">
        <v>67</v>
      </c>
      <c r="F5205">
        <v>89196457</v>
      </c>
      <c r="G5205">
        <v>89196478</v>
      </c>
      <c r="H5205">
        <v>89196414</v>
      </c>
      <c r="I5205">
        <v>89196430</v>
      </c>
    </row>
    <row r="5206" spans="1:9" x14ac:dyDescent="0.2">
      <c r="A5206" t="str">
        <f>"Denr"</f>
        <v>Denr</v>
      </c>
      <c r="B5206" t="s">
        <v>14</v>
      </c>
      <c r="C5206" t="s">
        <v>46</v>
      </c>
      <c r="D5206" t="s">
        <v>17</v>
      </c>
      <c r="E5206" t="s">
        <v>12</v>
      </c>
      <c r="F5206">
        <v>123907239</v>
      </c>
      <c r="G5206">
        <v>123907292</v>
      </c>
      <c r="H5206">
        <v>123907294</v>
      </c>
      <c r="I5206">
        <v>123907315</v>
      </c>
    </row>
    <row r="5207" spans="1:9" x14ac:dyDescent="0.2">
      <c r="A5207" t="str">
        <f>"Depdc1a"</f>
        <v>Depdc1a</v>
      </c>
      <c r="B5207" t="s">
        <v>14</v>
      </c>
      <c r="C5207" t="s">
        <v>22</v>
      </c>
      <c r="D5207" t="s">
        <v>17</v>
      </c>
      <c r="E5207" t="s">
        <v>12</v>
      </c>
      <c r="F5207">
        <v>159495408</v>
      </c>
      <c r="G5207">
        <v>159495438</v>
      </c>
      <c r="H5207">
        <v>159495441</v>
      </c>
      <c r="I5207">
        <v>159495453</v>
      </c>
    </row>
    <row r="5208" spans="1:9" x14ac:dyDescent="0.2">
      <c r="A5208" t="str">
        <f>"Depdc1b"</f>
        <v>Depdc1b</v>
      </c>
      <c r="B5208" t="s">
        <v>14</v>
      </c>
      <c r="C5208" t="s">
        <v>39</v>
      </c>
      <c r="D5208" t="s">
        <v>17</v>
      </c>
      <c r="E5208" t="s">
        <v>12</v>
      </c>
      <c r="F5208">
        <v>108316366</v>
      </c>
      <c r="G5208">
        <v>108316387</v>
      </c>
      <c r="H5208">
        <v>108316340</v>
      </c>
      <c r="I5208">
        <v>108316358</v>
      </c>
    </row>
    <row r="5209" spans="1:9" x14ac:dyDescent="0.2">
      <c r="A5209" t="str">
        <f>"Depdc5"</f>
        <v>Depdc5</v>
      </c>
      <c r="B5209" t="s">
        <v>14</v>
      </c>
      <c r="C5209" t="s">
        <v>46</v>
      </c>
      <c r="D5209" t="s">
        <v>17</v>
      </c>
      <c r="E5209" t="s">
        <v>12</v>
      </c>
      <c r="F5209">
        <v>32863700</v>
      </c>
      <c r="G5209">
        <v>32863776</v>
      </c>
      <c r="H5209">
        <v>32863358</v>
      </c>
      <c r="I5209">
        <v>32863375</v>
      </c>
    </row>
    <row r="5210" spans="1:9" x14ac:dyDescent="0.2">
      <c r="A5210" t="str">
        <f>"Depdc7"</f>
        <v>Depdc7</v>
      </c>
      <c r="B5210" t="s">
        <v>14</v>
      </c>
      <c r="C5210" t="s">
        <v>26</v>
      </c>
      <c r="D5210" t="s">
        <v>11</v>
      </c>
      <c r="E5210" t="s">
        <v>12</v>
      </c>
      <c r="F5210">
        <v>104742802</v>
      </c>
      <c r="G5210">
        <v>104742820</v>
      </c>
      <c r="H5210">
        <v>104742840</v>
      </c>
      <c r="I5210">
        <v>104742845</v>
      </c>
    </row>
    <row r="5211" spans="1:9" x14ac:dyDescent="0.2">
      <c r="A5211" t="str">
        <f>"Deptor"</f>
        <v>Deptor</v>
      </c>
      <c r="B5211" t="s">
        <v>14</v>
      </c>
      <c r="C5211" t="s">
        <v>25</v>
      </c>
      <c r="D5211" t="s">
        <v>17</v>
      </c>
      <c r="E5211" t="s">
        <v>12</v>
      </c>
      <c r="F5211">
        <v>55112452</v>
      </c>
      <c r="G5211">
        <v>55112484</v>
      </c>
      <c r="H5211">
        <v>55112420</v>
      </c>
      <c r="I5211">
        <v>55112451</v>
      </c>
    </row>
    <row r="5212" spans="1:9" x14ac:dyDescent="0.2">
      <c r="A5212" t="str">
        <f>"Dera"</f>
        <v>Dera</v>
      </c>
      <c r="B5212" t="s">
        <v>14</v>
      </c>
      <c r="C5212" t="s">
        <v>32</v>
      </c>
      <c r="D5212" t="s">
        <v>17</v>
      </c>
      <c r="E5212" t="s">
        <v>12</v>
      </c>
      <c r="F5212">
        <v>137754529</v>
      </c>
      <c r="G5212">
        <v>137754599</v>
      </c>
      <c r="H5212">
        <v>137754602</v>
      </c>
      <c r="I5212">
        <v>137754608</v>
      </c>
    </row>
    <row r="5213" spans="1:9" x14ac:dyDescent="0.2">
      <c r="A5213" t="str">
        <f>"Derl1"</f>
        <v>Derl1</v>
      </c>
      <c r="B5213" t="s">
        <v>14</v>
      </c>
      <c r="C5213" t="s">
        <v>25</v>
      </c>
      <c r="D5213" t="s">
        <v>11</v>
      </c>
      <c r="E5213" t="s">
        <v>12</v>
      </c>
      <c r="F5213">
        <v>57892358</v>
      </c>
      <c r="G5213">
        <v>57892483</v>
      </c>
      <c r="H5213">
        <v>57892312</v>
      </c>
      <c r="I5213">
        <v>57892323</v>
      </c>
    </row>
    <row r="5214" spans="1:9" x14ac:dyDescent="0.2">
      <c r="A5214" t="str">
        <f>"Derl2"</f>
        <v>Derl2</v>
      </c>
      <c r="B5214" t="s">
        <v>14</v>
      </c>
      <c r="C5214" t="s">
        <v>27</v>
      </c>
      <c r="D5214" t="s">
        <v>11</v>
      </c>
      <c r="E5214" t="s">
        <v>12</v>
      </c>
      <c r="F5214">
        <v>71019233</v>
      </c>
      <c r="G5214">
        <v>71019267</v>
      </c>
      <c r="H5214">
        <v>71019796</v>
      </c>
      <c r="I5214">
        <v>71019824</v>
      </c>
    </row>
    <row r="5215" spans="1:9" x14ac:dyDescent="0.2">
      <c r="A5215" t="str">
        <f>"Derl3"</f>
        <v>Derl3</v>
      </c>
      <c r="B5215" t="s">
        <v>14</v>
      </c>
      <c r="C5215" t="s">
        <v>15</v>
      </c>
      <c r="D5215" t="s">
        <v>17</v>
      </c>
      <c r="E5215" t="s">
        <v>12</v>
      </c>
      <c r="F5215">
        <v>75893403</v>
      </c>
      <c r="G5215">
        <v>75893429</v>
      </c>
      <c r="H5215">
        <v>75893403</v>
      </c>
      <c r="I5215">
        <v>75893429</v>
      </c>
    </row>
    <row r="5216" spans="1:9" x14ac:dyDescent="0.2">
      <c r="A5216" t="str">
        <f>"Des"</f>
        <v>Des</v>
      </c>
      <c r="B5216" t="s">
        <v>14</v>
      </c>
      <c r="C5216" t="s">
        <v>19</v>
      </c>
      <c r="D5216" t="s">
        <v>17</v>
      </c>
      <c r="E5216" t="s">
        <v>12</v>
      </c>
      <c r="F5216">
        <v>75360321</v>
      </c>
      <c r="G5216">
        <v>75360338</v>
      </c>
      <c r="H5216">
        <v>75360342</v>
      </c>
      <c r="I5216">
        <v>75360353</v>
      </c>
    </row>
    <row r="5217" spans="1:9" x14ac:dyDescent="0.2">
      <c r="A5217" t="str">
        <f>"Desi1"</f>
        <v>Desi1</v>
      </c>
      <c r="B5217" t="s">
        <v>14</v>
      </c>
      <c r="C5217" t="s">
        <v>25</v>
      </c>
      <c r="D5217" t="s">
        <v>11</v>
      </c>
      <c r="E5217" t="s">
        <v>67</v>
      </c>
      <c r="F5217">
        <v>82016134</v>
      </c>
      <c r="G5217">
        <v>82016170</v>
      </c>
      <c r="H5217">
        <v>82016203</v>
      </c>
      <c r="I5217">
        <v>82016217</v>
      </c>
    </row>
    <row r="5218" spans="1:9" x14ac:dyDescent="0.2">
      <c r="A5218" t="str">
        <f>"Desi2"</f>
        <v>Desi2</v>
      </c>
      <c r="B5218" t="s">
        <v>14</v>
      </c>
      <c r="C5218" t="s">
        <v>19</v>
      </c>
      <c r="D5218" t="s">
        <v>17</v>
      </c>
      <c r="E5218" t="s">
        <v>67</v>
      </c>
      <c r="F5218">
        <v>178187679</v>
      </c>
      <c r="G5218">
        <v>178187713</v>
      </c>
      <c r="H5218">
        <v>178187534</v>
      </c>
      <c r="I5218">
        <v>178187551</v>
      </c>
    </row>
    <row r="5219" spans="1:9" x14ac:dyDescent="0.2">
      <c r="A5219" t="str">
        <f>"Det1"</f>
        <v>Det1</v>
      </c>
      <c r="B5219" t="s">
        <v>14</v>
      </c>
      <c r="C5219" t="s">
        <v>33</v>
      </c>
      <c r="D5219" t="s">
        <v>11</v>
      </c>
      <c r="E5219" t="s">
        <v>12</v>
      </c>
      <c r="F5219">
        <v>78847206</v>
      </c>
      <c r="G5219">
        <v>78847255</v>
      </c>
      <c r="H5219">
        <v>78847158</v>
      </c>
      <c r="I5219">
        <v>78847174</v>
      </c>
    </row>
    <row r="5220" spans="1:9" x14ac:dyDescent="0.2">
      <c r="A5220" t="str">
        <f>"Dexi"</f>
        <v>Dexi</v>
      </c>
      <c r="B5220" t="s">
        <v>14</v>
      </c>
      <c r="C5220" t="s">
        <v>31</v>
      </c>
      <c r="D5220" t="s">
        <v>11</v>
      </c>
      <c r="E5220" t="s">
        <v>12</v>
      </c>
      <c r="F5220">
        <v>10543028</v>
      </c>
      <c r="G5220">
        <v>10543096</v>
      </c>
      <c r="H5220">
        <v>10543120</v>
      </c>
      <c r="I5220">
        <v>10543131</v>
      </c>
    </row>
    <row r="5221" spans="1:9" x14ac:dyDescent="0.2">
      <c r="A5221" t="str">
        <f>"Dffa"</f>
        <v>Dffa</v>
      </c>
      <c r="B5221" t="s">
        <v>14</v>
      </c>
      <c r="C5221" t="s">
        <v>23</v>
      </c>
      <c r="D5221" t="s">
        <v>17</v>
      </c>
      <c r="E5221" t="s">
        <v>12</v>
      </c>
      <c r="F5221">
        <v>149104130</v>
      </c>
      <c r="G5221">
        <v>149104189</v>
      </c>
      <c r="H5221">
        <v>149104201</v>
      </c>
      <c r="I5221">
        <v>149104231</v>
      </c>
    </row>
    <row r="5222" spans="1:9" x14ac:dyDescent="0.2">
      <c r="A5222" t="str">
        <f>"Dffb"</f>
        <v>Dffb</v>
      </c>
      <c r="B5222" t="s">
        <v>14</v>
      </c>
      <c r="C5222" t="s">
        <v>23</v>
      </c>
      <c r="D5222" t="s">
        <v>11</v>
      </c>
      <c r="E5222" t="s">
        <v>12</v>
      </c>
      <c r="F5222">
        <v>153975038</v>
      </c>
      <c r="G5222">
        <v>153975067</v>
      </c>
      <c r="H5222">
        <v>153975010</v>
      </c>
      <c r="I5222">
        <v>153975029</v>
      </c>
    </row>
    <row r="5223" spans="1:9" x14ac:dyDescent="0.2">
      <c r="A5223" t="str">
        <f>"Dfna5"</f>
        <v>Dfna5</v>
      </c>
      <c r="B5223" t="s">
        <v>14</v>
      </c>
      <c r="C5223" t="s">
        <v>32</v>
      </c>
      <c r="D5223" t="s">
        <v>11</v>
      </c>
      <c r="E5223" t="s">
        <v>12</v>
      </c>
      <c r="F5223">
        <v>50261743</v>
      </c>
      <c r="G5223">
        <v>50261788</v>
      </c>
      <c r="H5223">
        <v>50261791</v>
      </c>
      <c r="I5223">
        <v>50261813</v>
      </c>
    </row>
    <row r="5224" spans="1:9" x14ac:dyDescent="0.2">
      <c r="A5224" t="str">
        <f>"Dfnb59"</f>
        <v>Dfnb59</v>
      </c>
      <c r="B5224" t="s">
        <v>9</v>
      </c>
      <c r="C5224" t="s">
        <v>26</v>
      </c>
      <c r="D5224" t="s">
        <v>17</v>
      </c>
      <c r="E5224" t="s">
        <v>12</v>
      </c>
      <c r="F5224">
        <v>76648444</v>
      </c>
      <c r="G5224">
        <v>76648491</v>
      </c>
      <c r="H5224">
        <v>76648444</v>
      </c>
      <c r="I5224">
        <v>76648491</v>
      </c>
    </row>
    <row r="5225" spans="1:9" x14ac:dyDescent="0.2">
      <c r="A5225" t="str">
        <f>"Dfnb59"</f>
        <v>Dfnb59</v>
      </c>
      <c r="B5225" t="s">
        <v>13</v>
      </c>
      <c r="C5225" t="s">
        <v>26</v>
      </c>
      <c r="D5225" t="s">
        <v>17</v>
      </c>
      <c r="E5225" t="s">
        <v>12</v>
      </c>
      <c r="F5225">
        <v>76650264</v>
      </c>
      <c r="G5225">
        <v>76650278</v>
      </c>
      <c r="H5225">
        <v>76650264</v>
      </c>
      <c r="I5225">
        <v>76650278</v>
      </c>
    </row>
    <row r="5226" spans="1:9" x14ac:dyDescent="0.2">
      <c r="A5226" t="str">
        <f>"Dgat1"</f>
        <v>Dgat1</v>
      </c>
      <c r="B5226" t="s">
        <v>14</v>
      </c>
      <c r="C5226" t="s">
        <v>25</v>
      </c>
      <c r="D5226" t="s">
        <v>11</v>
      </c>
      <c r="E5226" t="s">
        <v>12</v>
      </c>
      <c r="F5226">
        <v>76511960</v>
      </c>
      <c r="G5226">
        <v>76511974</v>
      </c>
      <c r="H5226">
        <v>76511824</v>
      </c>
      <c r="I5226">
        <v>76511851</v>
      </c>
    </row>
    <row r="5227" spans="1:9" x14ac:dyDescent="0.2">
      <c r="A5227" t="str">
        <f>"Dgat2"</f>
        <v>Dgat2</v>
      </c>
      <c r="B5227" t="s">
        <v>14</v>
      </c>
      <c r="C5227" t="s">
        <v>33</v>
      </c>
      <c r="D5227" t="s">
        <v>11</v>
      </c>
      <c r="E5227" t="s">
        <v>12</v>
      </c>
      <c r="F5227">
        <v>99182681</v>
      </c>
      <c r="G5227">
        <v>99182728</v>
      </c>
      <c r="H5227">
        <v>99182735</v>
      </c>
      <c r="I5227">
        <v>99182746</v>
      </c>
    </row>
    <row r="5228" spans="1:9" x14ac:dyDescent="0.2">
      <c r="A5228" t="str">
        <f>"Dgat2l6"</f>
        <v>Dgat2l6</v>
      </c>
      <c r="B5228" t="s">
        <v>14</v>
      </c>
      <c r="C5228" t="s">
        <v>37</v>
      </c>
      <c r="D5228" t="s">
        <v>17</v>
      </c>
      <c r="E5228" t="s">
        <v>12</v>
      </c>
      <c r="F5228">
        <v>100524831</v>
      </c>
      <c r="G5228">
        <v>100524844</v>
      </c>
      <c r="H5228">
        <v>100524870</v>
      </c>
      <c r="I5228">
        <v>100524881</v>
      </c>
    </row>
    <row r="5229" spans="1:9" x14ac:dyDescent="0.2">
      <c r="A5229" t="str">
        <f>"Dgcr14"</f>
        <v>Dgcr14</v>
      </c>
      <c r="B5229" t="s">
        <v>14</v>
      </c>
      <c r="C5229" t="s">
        <v>31</v>
      </c>
      <c r="D5229" t="s">
        <v>11</v>
      </c>
      <c r="E5229" t="s">
        <v>12</v>
      </c>
      <c r="F5229">
        <v>17911303</v>
      </c>
      <c r="G5229">
        <v>17911354</v>
      </c>
      <c r="H5229">
        <v>17911303</v>
      </c>
      <c r="I5229">
        <v>17911354</v>
      </c>
    </row>
    <row r="5230" spans="1:9" x14ac:dyDescent="0.2">
      <c r="A5230" t="str">
        <f>"Dgcr2"</f>
        <v>Dgcr2</v>
      </c>
      <c r="B5230" t="s">
        <v>14</v>
      </c>
      <c r="C5230" t="s">
        <v>31</v>
      </c>
      <c r="D5230" t="s">
        <v>11</v>
      </c>
      <c r="E5230" t="s">
        <v>12</v>
      </c>
      <c r="F5230">
        <v>17891638</v>
      </c>
      <c r="G5230">
        <v>17891700</v>
      </c>
      <c r="H5230">
        <v>17891638</v>
      </c>
      <c r="I5230">
        <v>17891700</v>
      </c>
    </row>
    <row r="5231" spans="1:9" x14ac:dyDescent="0.2">
      <c r="A5231" t="str">
        <f>"Dgcr6"</f>
        <v>Dgcr6</v>
      </c>
      <c r="B5231" t="s">
        <v>14</v>
      </c>
      <c r="C5231" t="s">
        <v>31</v>
      </c>
      <c r="D5231" t="s">
        <v>17</v>
      </c>
      <c r="E5231" t="s">
        <v>12</v>
      </c>
      <c r="F5231">
        <v>18066416</v>
      </c>
      <c r="G5231">
        <v>18066459</v>
      </c>
      <c r="H5231">
        <v>18066461</v>
      </c>
      <c r="I5231">
        <v>18066494</v>
      </c>
    </row>
    <row r="5232" spans="1:9" x14ac:dyDescent="0.2">
      <c r="A5232" t="str">
        <f>"Dgcr8"</f>
        <v>Dgcr8</v>
      </c>
      <c r="B5232" t="s">
        <v>14</v>
      </c>
      <c r="C5232" t="s">
        <v>31</v>
      </c>
      <c r="D5232" t="s">
        <v>11</v>
      </c>
      <c r="E5232" t="s">
        <v>12</v>
      </c>
      <c r="F5232">
        <v>18289199</v>
      </c>
      <c r="G5232">
        <v>18289260</v>
      </c>
      <c r="H5232">
        <v>18289186</v>
      </c>
      <c r="I5232">
        <v>18289196</v>
      </c>
    </row>
    <row r="5233" spans="1:9" x14ac:dyDescent="0.2">
      <c r="A5233" t="str">
        <f>"Dgka"</f>
        <v>Dgka</v>
      </c>
      <c r="B5233" t="s">
        <v>14</v>
      </c>
      <c r="C5233" t="s">
        <v>15</v>
      </c>
      <c r="D5233" t="s">
        <v>11</v>
      </c>
      <c r="E5233" t="s">
        <v>12</v>
      </c>
      <c r="F5233">
        <v>128744014</v>
      </c>
      <c r="G5233">
        <v>128744085</v>
      </c>
      <c r="H5233">
        <v>128743869</v>
      </c>
      <c r="I5233">
        <v>128743910</v>
      </c>
    </row>
    <row r="5234" spans="1:9" x14ac:dyDescent="0.2">
      <c r="A5234" t="str">
        <f>"Dgkb"</f>
        <v>Dgkb</v>
      </c>
      <c r="B5234" t="s">
        <v>14</v>
      </c>
      <c r="C5234" t="s">
        <v>16</v>
      </c>
      <c r="D5234" t="s">
        <v>17</v>
      </c>
      <c r="E5234" t="s">
        <v>12</v>
      </c>
      <c r="F5234">
        <v>37880571</v>
      </c>
      <c r="G5234">
        <v>37880648</v>
      </c>
      <c r="H5234">
        <v>37880806</v>
      </c>
      <c r="I5234">
        <v>37880878</v>
      </c>
    </row>
    <row r="5235" spans="1:9" x14ac:dyDescent="0.2">
      <c r="A5235" t="str">
        <f>"Dgkd"</f>
        <v>Dgkd</v>
      </c>
      <c r="B5235" t="s">
        <v>14</v>
      </c>
      <c r="C5235" t="s">
        <v>19</v>
      </c>
      <c r="D5235" t="s">
        <v>17</v>
      </c>
      <c r="E5235" t="s">
        <v>12</v>
      </c>
      <c r="F5235">
        <v>87853264</v>
      </c>
      <c r="G5235">
        <v>87853306</v>
      </c>
      <c r="H5235">
        <v>87853264</v>
      </c>
      <c r="I5235">
        <v>87853306</v>
      </c>
    </row>
    <row r="5236" spans="1:9" x14ac:dyDescent="0.2">
      <c r="A5236" t="str">
        <f>"Dgke"</f>
        <v>Dgke</v>
      </c>
      <c r="B5236" t="s">
        <v>14</v>
      </c>
      <c r="C5236" t="s">
        <v>27</v>
      </c>
      <c r="D5236" t="s">
        <v>11</v>
      </c>
      <c r="E5236" t="s">
        <v>12</v>
      </c>
      <c r="F5236">
        <v>89060697</v>
      </c>
      <c r="G5236">
        <v>89060799</v>
      </c>
      <c r="H5236">
        <v>89060697</v>
      </c>
      <c r="I5236">
        <v>89060799</v>
      </c>
    </row>
    <row r="5237" spans="1:9" x14ac:dyDescent="0.2">
      <c r="A5237" t="str">
        <f>"Dgkg"</f>
        <v>Dgkg</v>
      </c>
      <c r="B5237" t="s">
        <v>14</v>
      </c>
      <c r="C5237" t="s">
        <v>31</v>
      </c>
      <c r="D5237" t="s">
        <v>11</v>
      </c>
      <c r="E5237" t="s">
        <v>12</v>
      </c>
      <c r="F5237">
        <v>22657182</v>
      </c>
      <c r="G5237">
        <v>22657242</v>
      </c>
      <c r="H5237">
        <v>22657009</v>
      </c>
      <c r="I5237">
        <v>22657045</v>
      </c>
    </row>
    <row r="5238" spans="1:9" x14ac:dyDescent="0.2">
      <c r="A5238" t="str">
        <f>"Dgkh"</f>
        <v>Dgkh</v>
      </c>
      <c r="B5238" t="s">
        <v>2368</v>
      </c>
      <c r="C5238" t="s">
        <v>41</v>
      </c>
      <c r="D5238" t="s">
        <v>11</v>
      </c>
      <c r="E5238" t="s">
        <v>35</v>
      </c>
      <c r="F5238">
        <v>78725261</v>
      </c>
      <c r="G5238">
        <v>78725309</v>
      </c>
      <c r="H5238">
        <v>78725190</v>
      </c>
      <c r="I5238">
        <v>78725213</v>
      </c>
    </row>
    <row r="5239" spans="1:9" x14ac:dyDescent="0.2">
      <c r="A5239" t="str">
        <f>"Dgki"</f>
        <v>Dgki</v>
      </c>
      <c r="B5239" t="s">
        <v>14</v>
      </c>
      <c r="C5239" t="s">
        <v>32</v>
      </c>
      <c r="D5239" t="s">
        <v>11</v>
      </c>
      <c r="E5239" t="s">
        <v>12</v>
      </c>
      <c r="F5239">
        <v>37299950</v>
      </c>
      <c r="G5239">
        <v>37299981</v>
      </c>
      <c r="H5239">
        <v>37299913</v>
      </c>
      <c r="I5239">
        <v>37299932</v>
      </c>
    </row>
    <row r="5240" spans="1:9" x14ac:dyDescent="0.2">
      <c r="A5240" t="str">
        <f>"Dgkk"</f>
        <v>Dgkk</v>
      </c>
      <c r="B5240" t="s">
        <v>14</v>
      </c>
      <c r="C5240" t="s">
        <v>37</v>
      </c>
      <c r="D5240" t="s">
        <v>17</v>
      </c>
      <c r="E5240" t="s">
        <v>12</v>
      </c>
      <c r="F5240">
        <v>6779003</v>
      </c>
      <c r="G5240">
        <v>6779005</v>
      </c>
      <c r="H5240">
        <v>6779003</v>
      </c>
      <c r="I5240">
        <v>6779005</v>
      </c>
    </row>
    <row r="5241" spans="1:9" x14ac:dyDescent="0.2">
      <c r="A5241" t="str">
        <f>"Dgkq"</f>
        <v>Dgkq</v>
      </c>
      <c r="B5241" t="s">
        <v>14</v>
      </c>
      <c r="C5241" t="s">
        <v>46</v>
      </c>
      <c r="D5241" t="s">
        <v>11</v>
      </c>
      <c r="E5241" t="s">
        <v>12</v>
      </c>
      <c r="F5241">
        <v>108660783</v>
      </c>
      <c r="G5241">
        <v>108660822</v>
      </c>
      <c r="H5241">
        <v>108660744</v>
      </c>
      <c r="I5241">
        <v>108660778</v>
      </c>
    </row>
    <row r="5242" spans="1:9" x14ac:dyDescent="0.2">
      <c r="A5242" t="str">
        <f>"Dgkz"</f>
        <v>Dgkz</v>
      </c>
      <c r="B5242" t="s">
        <v>9</v>
      </c>
      <c r="C5242" t="s">
        <v>26</v>
      </c>
      <c r="D5242" t="s">
        <v>11</v>
      </c>
      <c r="E5242" t="s">
        <v>12</v>
      </c>
      <c r="F5242">
        <v>91963507</v>
      </c>
      <c r="G5242">
        <v>91963694</v>
      </c>
      <c r="H5242">
        <v>91963507</v>
      </c>
      <c r="I5242">
        <v>91963694</v>
      </c>
    </row>
    <row r="5243" spans="1:9" x14ac:dyDescent="0.2">
      <c r="A5243" t="str">
        <f>"Dgkz"</f>
        <v>Dgkz</v>
      </c>
      <c r="B5243" t="s">
        <v>13</v>
      </c>
      <c r="C5243" t="s">
        <v>26</v>
      </c>
      <c r="D5243" t="s">
        <v>11</v>
      </c>
      <c r="E5243" t="s">
        <v>12</v>
      </c>
      <c r="F5243">
        <v>91950288</v>
      </c>
      <c r="G5243">
        <v>91950359</v>
      </c>
      <c r="H5243">
        <v>91950288</v>
      </c>
      <c r="I5243">
        <v>91950359</v>
      </c>
    </row>
    <row r="5244" spans="1:9" x14ac:dyDescent="0.2">
      <c r="A5244" t="str">
        <f>"Dguok"</f>
        <v>Dguok</v>
      </c>
      <c r="B5244" t="s">
        <v>14</v>
      </c>
      <c r="C5244" t="s">
        <v>32</v>
      </c>
      <c r="D5244" t="s">
        <v>11</v>
      </c>
      <c r="E5244" t="s">
        <v>12</v>
      </c>
      <c r="F5244">
        <v>83506895</v>
      </c>
      <c r="G5244">
        <v>83506927</v>
      </c>
      <c r="H5244">
        <v>83506838</v>
      </c>
      <c r="I5244">
        <v>83506850</v>
      </c>
    </row>
    <row r="5245" spans="1:9" x14ac:dyDescent="0.2">
      <c r="A5245" t="str">
        <f>"Dhcr24"</f>
        <v>Dhcr24</v>
      </c>
      <c r="B5245" t="s">
        <v>14</v>
      </c>
      <c r="C5245" t="s">
        <v>23</v>
      </c>
      <c r="D5245" t="s">
        <v>17</v>
      </c>
      <c r="E5245" t="s">
        <v>12</v>
      </c>
      <c r="F5245">
        <v>106561074</v>
      </c>
      <c r="G5245">
        <v>106561099</v>
      </c>
      <c r="H5245">
        <v>106561045</v>
      </c>
      <c r="I5245">
        <v>106561065</v>
      </c>
    </row>
    <row r="5246" spans="1:9" x14ac:dyDescent="0.2">
      <c r="A5246" t="str">
        <f>"Dhcr7"</f>
        <v>Dhcr7</v>
      </c>
      <c r="B5246" t="s">
        <v>9</v>
      </c>
      <c r="C5246" t="s">
        <v>33</v>
      </c>
      <c r="D5246" t="s">
        <v>17</v>
      </c>
      <c r="E5246" t="s">
        <v>12</v>
      </c>
      <c r="F5246">
        <v>143830204</v>
      </c>
      <c r="G5246">
        <v>143830249</v>
      </c>
      <c r="H5246">
        <v>143830204</v>
      </c>
      <c r="I5246">
        <v>143830249</v>
      </c>
    </row>
    <row r="5247" spans="1:9" x14ac:dyDescent="0.2">
      <c r="A5247" t="str">
        <f>"Dhcr7"</f>
        <v>Dhcr7</v>
      </c>
      <c r="B5247" t="s">
        <v>13</v>
      </c>
      <c r="C5247" t="s">
        <v>33</v>
      </c>
      <c r="D5247" t="s">
        <v>17</v>
      </c>
      <c r="E5247" t="s">
        <v>12</v>
      </c>
      <c r="F5247">
        <v>143823057</v>
      </c>
      <c r="G5247">
        <v>143823113</v>
      </c>
      <c r="H5247">
        <v>143823057</v>
      </c>
      <c r="I5247">
        <v>143823113</v>
      </c>
    </row>
    <row r="5248" spans="1:9" x14ac:dyDescent="0.2">
      <c r="A5248" t="str">
        <f>"Dhdds"</f>
        <v>Dhdds</v>
      </c>
      <c r="B5248" t="s">
        <v>14</v>
      </c>
      <c r="C5248" t="s">
        <v>23</v>
      </c>
      <c r="D5248" t="s">
        <v>11</v>
      </c>
      <c r="E5248" t="s">
        <v>12</v>
      </c>
      <c r="F5248">
        <v>134000857</v>
      </c>
      <c r="G5248">
        <v>134000904</v>
      </c>
      <c r="H5248">
        <v>134000830</v>
      </c>
      <c r="I5248">
        <v>134000850</v>
      </c>
    </row>
    <row r="5249" spans="1:9" x14ac:dyDescent="0.2">
      <c r="A5249" t="str">
        <f>"Dhdh"</f>
        <v>Dhdh</v>
      </c>
      <c r="B5249" t="s">
        <v>14</v>
      </c>
      <c r="C5249" t="s">
        <v>33</v>
      </c>
      <c r="D5249" t="s">
        <v>11</v>
      </c>
      <c r="E5249" t="s">
        <v>12</v>
      </c>
      <c r="F5249">
        <v>45488774</v>
      </c>
      <c r="G5249">
        <v>45488802</v>
      </c>
      <c r="H5249">
        <v>45488835</v>
      </c>
      <c r="I5249">
        <v>45488860</v>
      </c>
    </row>
    <row r="5250" spans="1:9" x14ac:dyDescent="0.2">
      <c r="A5250" t="str">
        <f>"Dhfr"</f>
        <v>Dhfr</v>
      </c>
      <c r="B5250" t="s">
        <v>14</v>
      </c>
      <c r="C5250" t="s">
        <v>39</v>
      </c>
      <c r="D5250" t="s">
        <v>17</v>
      </c>
      <c r="E5250" t="s">
        <v>12</v>
      </c>
      <c r="F5250">
        <v>92355186</v>
      </c>
      <c r="G5250">
        <v>92355210</v>
      </c>
      <c r="H5250">
        <v>92355186</v>
      </c>
      <c r="I5250">
        <v>92355210</v>
      </c>
    </row>
    <row r="5251" spans="1:9" x14ac:dyDescent="0.2">
      <c r="A5251" t="str">
        <f>"Dhh"</f>
        <v>Dhh</v>
      </c>
      <c r="B5251" t="s">
        <v>14</v>
      </c>
      <c r="C5251" t="s">
        <v>25</v>
      </c>
      <c r="D5251" t="s">
        <v>11</v>
      </c>
      <c r="E5251" t="s">
        <v>12</v>
      </c>
      <c r="F5251">
        <v>98898483</v>
      </c>
      <c r="G5251">
        <v>98898558</v>
      </c>
      <c r="H5251">
        <v>98898458</v>
      </c>
      <c r="I5251">
        <v>98898467</v>
      </c>
    </row>
    <row r="5252" spans="1:9" x14ac:dyDescent="0.2">
      <c r="A5252" t="str">
        <f>"Dhodh"</f>
        <v>Dhodh</v>
      </c>
      <c r="B5252" t="s">
        <v>14</v>
      </c>
      <c r="C5252" t="s">
        <v>30</v>
      </c>
      <c r="D5252" t="s">
        <v>11</v>
      </c>
      <c r="E5252" t="s">
        <v>12</v>
      </c>
      <c r="F5252">
        <v>109608375</v>
      </c>
      <c r="G5252">
        <v>109608409</v>
      </c>
      <c r="H5252">
        <v>109608613</v>
      </c>
      <c r="I5252">
        <v>109608647</v>
      </c>
    </row>
    <row r="5253" spans="1:9" x14ac:dyDescent="0.2">
      <c r="A5253" t="str">
        <f>"Dhps"</f>
        <v>Dhps</v>
      </c>
      <c r="B5253" t="s">
        <v>14</v>
      </c>
      <c r="C5253" t="s">
        <v>30</v>
      </c>
      <c r="D5253" t="s">
        <v>17</v>
      </c>
      <c r="E5253" t="s">
        <v>12</v>
      </c>
      <c r="F5253">
        <v>85071737</v>
      </c>
      <c r="G5253">
        <v>85071769</v>
      </c>
      <c r="H5253">
        <v>85071720</v>
      </c>
      <c r="I5253">
        <v>85071734</v>
      </c>
    </row>
    <row r="5254" spans="1:9" x14ac:dyDescent="0.2">
      <c r="A5254" t="str">
        <f>"Dhrs1"</f>
        <v>Dhrs1</v>
      </c>
      <c r="B5254" t="s">
        <v>14</v>
      </c>
      <c r="C5254" t="s">
        <v>41</v>
      </c>
      <c r="D5254" t="s">
        <v>11</v>
      </c>
      <c r="E5254" t="s">
        <v>12</v>
      </c>
      <c r="F5254">
        <v>55745524</v>
      </c>
      <c r="G5254">
        <v>55745642</v>
      </c>
      <c r="H5254">
        <v>55745453</v>
      </c>
      <c r="I5254">
        <v>55745483</v>
      </c>
    </row>
    <row r="5255" spans="1:9" x14ac:dyDescent="0.2">
      <c r="A5255" t="str">
        <f>"Dhrs11"</f>
        <v>Dhrs11</v>
      </c>
      <c r="B5255" t="s">
        <v>14</v>
      </c>
      <c r="C5255" t="s">
        <v>27</v>
      </c>
      <c r="D5255" t="s">
        <v>11</v>
      </c>
      <c r="E5255" t="s">
        <v>12</v>
      </c>
      <c r="F5255">
        <v>84828981</v>
      </c>
      <c r="G5255">
        <v>84829023</v>
      </c>
      <c r="H5255">
        <v>84828953</v>
      </c>
      <c r="I5255">
        <v>84828966</v>
      </c>
    </row>
    <row r="5256" spans="1:9" x14ac:dyDescent="0.2">
      <c r="A5256" t="str">
        <f>"Dhrs13"</f>
        <v>Dhrs13</v>
      </c>
      <c r="B5256" t="s">
        <v>14</v>
      </c>
      <c r="C5256" t="s">
        <v>27</v>
      </c>
      <c r="D5256" t="s">
        <v>17</v>
      </c>
      <c r="E5256" t="s">
        <v>12</v>
      </c>
      <c r="F5256">
        <v>78032274</v>
      </c>
      <c r="G5256">
        <v>78032310</v>
      </c>
      <c r="H5256">
        <v>78032312</v>
      </c>
      <c r="I5256">
        <v>78032343</v>
      </c>
    </row>
    <row r="5257" spans="1:9" x14ac:dyDescent="0.2">
      <c r="A5257" t="str">
        <f>"Dhrs2"</f>
        <v>Dhrs2</v>
      </c>
      <c r="B5257" t="s">
        <v>14</v>
      </c>
      <c r="C5257" t="s">
        <v>41</v>
      </c>
      <c r="D5257" t="s">
        <v>17</v>
      </c>
      <c r="E5257" t="s">
        <v>12</v>
      </c>
      <c r="F5257">
        <v>55222005</v>
      </c>
      <c r="G5257">
        <v>55222009</v>
      </c>
      <c r="H5257">
        <v>55222005</v>
      </c>
      <c r="I5257">
        <v>55222009</v>
      </c>
    </row>
    <row r="5258" spans="1:9" x14ac:dyDescent="0.2">
      <c r="A5258" t="str">
        <f>"Dhrs3"</f>
        <v>Dhrs3</v>
      </c>
      <c r="B5258" t="s">
        <v>14</v>
      </c>
      <c r="C5258" t="s">
        <v>23</v>
      </c>
      <c r="D5258" t="s">
        <v>17</v>
      </c>
      <c r="E5258" t="s">
        <v>12</v>
      </c>
      <c r="F5258">
        <v>144893089</v>
      </c>
      <c r="G5258">
        <v>144893103</v>
      </c>
      <c r="H5258">
        <v>144892783</v>
      </c>
      <c r="I5258">
        <v>144892803</v>
      </c>
    </row>
    <row r="5259" spans="1:9" x14ac:dyDescent="0.2">
      <c r="A5259" t="str">
        <f>"Dhrs4"</f>
        <v>Dhrs4</v>
      </c>
      <c r="B5259" t="s">
        <v>14</v>
      </c>
      <c r="C5259" t="s">
        <v>41</v>
      </c>
      <c r="D5259" t="s">
        <v>17</v>
      </c>
      <c r="E5259" t="s">
        <v>12</v>
      </c>
      <c r="F5259">
        <v>55478867</v>
      </c>
      <c r="G5259">
        <v>55478914</v>
      </c>
      <c r="H5259">
        <v>55478770</v>
      </c>
      <c r="I5259">
        <v>55478795</v>
      </c>
    </row>
    <row r="5260" spans="1:9" x14ac:dyDescent="0.2">
      <c r="A5260" t="str">
        <f>"Dhrs7"</f>
        <v>Dhrs7</v>
      </c>
      <c r="B5260" t="s">
        <v>14</v>
      </c>
      <c r="C5260" t="s">
        <v>16</v>
      </c>
      <c r="D5260" t="s">
        <v>11</v>
      </c>
      <c r="E5260" t="s">
        <v>12</v>
      </c>
      <c r="F5260">
        <v>72664759</v>
      </c>
      <c r="G5260">
        <v>72664813</v>
      </c>
      <c r="H5260">
        <v>72664759</v>
      </c>
      <c r="I5260">
        <v>72664813</v>
      </c>
    </row>
    <row r="5261" spans="1:9" x14ac:dyDescent="0.2">
      <c r="A5261" t="str">
        <f>"Dhrs7b"</f>
        <v>Dhrs7b</v>
      </c>
      <c r="B5261" t="s">
        <v>14</v>
      </c>
      <c r="C5261" t="s">
        <v>27</v>
      </c>
      <c r="D5261" t="s">
        <v>17</v>
      </c>
      <c r="E5261" t="s">
        <v>12</v>
      </c>
      <c r="F5261">
        <v>60830658</v>
      </c>
      <c r="G5261">
        <v>60830686</v>
      </c>
      <c r="H5261">
        <v>60830690</v>
      </c>
      <c r="I5261">
        <v>60830730</v>
      </c>
    </row>
    <row r="5262" spans="1:9" x14ac:dyDescent="0.2">
      <c r="A5262" t="str">
        <f>"Dhrs7c"</f>
        <v>Dhrs7c</v>
      </c>
      <c r="B5262" t="s">
        <v>14</v>
      </c>
      <c r="C5262" t="s">
        <v>27</v>
      </c>
      <c r="D5262" t="s">
        <v>17</v>
      </c>
      <c r="E5262" t="s">
        <v>12</v>
      </c>
      <c r="F5262">
        <v>67798269</v>
      </c>
      <c r="G5262">
        <v>67798286</v>
      </c>
      <c r="H5262">
        <v>67798290</v>
      </c>
      <c r="I5262">
        <v>67798298</v>
      </c>
    </row>
    <row r="5263" spans="1:9" x14ac:dyDescent="0.2">
      <c r="A5263" t="str">
        <f>"Dhrs9"</f>
        <v>Dhrs9</v>
      </c>
      <c r="B5263" t="s">
        <v>14</v>
      </c>
      <c r="C5263" t="s">
        <v>26</v>
      </c>
      <c r="D5263" t="s">
        <v>17</v>
      </c>
      <c r="E5263" t="s">
        <v>12</v>
      </c>
      <c r="F5263">
        <v>69380481</v>
      </c>
      <c r="G5263">
        <v>69380503</v>
      </c>
      <c r="H5263">
        <v>69380431</v>
      </c>
      <c r="I5263">
        <v>69380458</v>
      </c>
    </row>
    <row r="5264" spans="1:9" x14ac:dyDescent="0.2">
      <c r="A5264" t="str">
        <f>"Dhtkd1"</f>
        <v>Dhtkd1</v>
      </c>
      <c r="B5264" t="s">
        <v>14</v>
      </c>
      <c r="C5264" t="s">
        <v>26</v>
      </c>
      <c r="D5264" t="s">
        <v>11</v>
      </c>
      <c r="E5264" t="s">
        <v>12</v>
      </c>
      <c r="F5264">
        <v>5942740</v>
      </c>
      <c r="G5264">
        <v>5942804</v>
      </c>
      <c r="H5264">
        <v>5942740</v>
      </c>
      <c r="I5264">
        <v>5942804</v>
      </c>
    </row>
    <row r="5265" spans="1:9" x14ac:dyDescent="0.2">
      <c r="A5265" t="str">
        <f>"Dhx15"</f>
        <v>Dhx15</v>
      </c>
      <c r="B5265" t="s">
        <v>14</v>
      </c>
      <c r="C5265" t="s">
        <v>46</v>
      </c>
      <c r="D5265" t="s">
        <v>11</v>
      </c>
      <c r="E5265" t="s">
        <v>12</v>
      </c>
      <c r="F5265">
        <v>52190484</v>
      </c>
      <c r="G5265">
        <v>52190524</v>
      </c>
      <c r="H5265">
        <v>52190484</v>
      </c>
      <c r="I5265">
        <v>52190524</v>
      </c>
    </row>
    <row r="5266" spans="1:9" x14ac:dyDescent="0.2">
      <c r="A5266" t="str">
        <f>"Dhx16"</f>
        <v>Dhx16</v>
      </c>
      <c r="B5266" t="s">
        <v>14</v>
      </c>
      <c r="C5266" t="s">
        <v>28</v>
      </c>
      <c r="D5266" t="s">
        <v>17</v>
      </c>
      <c r="E5266" t="s">
        <v>12</v>
      </c>
      <c r="F5266">
        <v>35879770</v>
      </c>
      <c r="G5266">
        <v>35879824</v>
      </c>
      <c r="H5266">
        <v>35879825</v>
      </c>
      <c r="I5266">
        <v>35879845</v>
      </c>
    </row>
    <row r="5267" spans="1:9" x14ac:dyDescent="0.2">
      <c r="A5267" t="str">
        <f>"Dhx29"</f>
        <v>Dhx29</v>
      </c>
      <c r="B5267" t="s">
        <v>14</v>
      </c>
      <c r="C5267" t="s">
        <v>39</v>
      </c>
      <c r="D5267" t="s">
        <v>17</v>
      </c>
      <c r="E5267" t="s">
        <v>12</v>
      </c>
      <c r="F5267">
        <v>112927642</v>
      </c>
      <c r="G5267">
        <v>112927735</v>
      </c>
      <c r="H5267">
        <v>112927622</v>
      </c>
      <c r="I5267">
        <v>112927635</v>
      </c>
    </row>
    <row r="5268" spans="1:9" x14ac:dyDescent="0.2">
      <c r="A5268" t="str">
        <f>"Dhx30"</f>
        <v>Dhx30</v>
      </c>
      <c r="B5268" t="s">
        <v>14</v>
      </c>
      <c r="C5268" t="s">
        <v>24</v>
      </c>
      <c r="D5268" t="s">
        <v>11</v>
      </c>
      <c r="E5268" t="s">
        <v>12</v>
      </c>
      <c r="F5268">
        <v>110117379</v>
      </c>
      <c r="G5268">
        <v>110117445</v>
      </c>
      <c r="H5268">
        <v>110117379</v>
      </c>
      <c r="I5268">
        <v>110117445</v>
      </c>
    </row>
    <row r="5269" spans="1:9" x14ac:dyDescent="0.2">
      <c r="A5269" t="str">
        <f>"Dhx32"</f>
        <v>Dhx32</v>
      </c>
      <c r="B5269" t="s">
        <v>14</v>
      </c>
      <c r="C5269" t="s">
        <v>33</v>
      </c>
      <c r="D5269" t="s">
        <v>11</v>
      </c>
      <c r="E5269" t="s">
        <v>12</v>
      </c>
      <c r="F5269">
        <v>133776772</v>
      </c>
      <c r="G5269">
        <v>133776811</v>
      </c>
      <c r="H5269">
        <v>133776740</v>
      </c>
      <c r="I5269">
        <v>133776771</v>
      </c>
    </row>
    <row r="5270" spans="1:9" x14ac:dyDescent="0.2">
      <c r="A5270" t="str">
        <f>"Dhx33"</f>
        <v>Dhx33</v>
      </c>
      <c r="B5270" t="s">
        <v>14</v>
      </c>
      <c r="C5270" t="s">
        <v>27</v>
      </c>
      <c r="D5270" t="s">
        <v>11</v>
      </c>
      <c r="E5270" t="s">
        <v>12</v>
      </c>
      <c r="F5270">
        <v>71004387</v>
      </c>
      <c r="G5270">
        <v>71004501</v>
      </c>
      <c r="H5270">
        <v>71004297</v>
      </c>
      <c r="I5270">
        <v>71004319</v>
      </c>
    </row>
    <row r="5271" spans="1:9" x14ac:dyDescent="0.2">
      <c r="A5271" t="str">
        <f>"Dhx34"</f>
        <v>Dhx34</v>
      </c>
      <c r="B5271" t="s">
        <v>9</v>
      </c>
      <c r="C5271" t="s">
        <v>33</v>
      </c>
      <c r="D5271" t="s">
        <v>11</v>
      </c>
      <c r="E5271" t="s">
        <v>12</v>
      </c>
      <c r="F5271">
        <v>16222013</v>
      </c>
      <c r="G5271">
        <v>16222050</v>
      </c>
      <c r="H5271">
        <v>16222013</v>
      </c>
      <c r="I5271">
        <v>16222050</v>
      </c>
    </row>
    <row r="5272" spans="1:9" x14ac:dyDescent="0.2">
      <c r="A5272" t="str">
        <f>"Dhx34"</f>
        <v>Dhx34</v>
      </c>
      <c r="B5272" t="s">
        <v>13</v>
      </c>
      <c r="C5272" t="s">
        <v>33</v>
      </c>
      <c r="D5272" t="s">
        <v>11</v>
      </c>
      <c r="E5272" t="s">
        <v>12</v>
      </c>
      <c r="F5272">
        <v>16204154</v>
      </c>
      <c r="G5272">
        <v>16204213</v>
      </c>
      <c r="H5272">
        <v>16204154</v>
      </c>
      <c r="I5272">
        <v>16204213</v>
      </c>
    </row>
    <row r="5273" spans="1:9" x14ac:dyDescent="0.2">
      <c r="A5273" t="str">
        <f>"Dhx35"</f>
        <v>Dhx35</v>
      </c>
      <c r="B5273" t="s">
        <v>14</v>
      </c>
      <c r="C5273" t="s">
        <v>26</v>
      </c>
      <c r="D5273" t="s">
        <v>17</v>
      </c>
      <c r="E5273" t="s">
        <v>12</v>
      </c>
      <c r="F5273">
        <v>158794853</v>
      </c>
      <c r="G5273">
        <v>158794892</v>
      </c>
      <c r="H5273">
        <v>158794801</v>
      </c>
      <c r="I5273">
        <v>158794808</v>
      </c>
    </row>
    <row r="5274" spans="1:9" x14ac:dyDescent="0.2">
      <c r="A5274" t="str">
        <f>"Dhx36"</f>
        <v>Dhx36</v>
      </c>
      <c r="B5274" t="s">
        <v>14</v>
      </c>
      <c r="C5274" t="s">
        <v>22</v>
      </c>
      <c r="D5274" t="s">
        <v>11</v>
      </c>
      <c r="E5274" t="s">
        <v>12</v>
      </c>
      <c r="F5274">
        <v>62506970</v>
      </c>
      <c r="G5274">
        <v>62507027</v>
      </c>
      <c r="H5274">
        <v>62506949</v>
      </c>
      <c r="I5274">
        <v>62506967</v>
      </c>
    </row>
    <row r="5275" spans="1:9" x14ac:dyDescent="0.2">
      <c r="A5275" t="str">
        <f>"Dhx37"</f>
        <v>Dhx37</v>
      </c>
      <c r="B5275" t="s">
        <v>14</v>
      </c>
      <c r="C5275" t="s">
        <v>46</v>
      </c>
      <c r="D5275" t="s">
        <v>11</v>
      </c>
      <c r="E5275" t="s">
        <v>12</v>
      </c>
      <c r="F5275">
        <v>125434053</v>
      </c>
      <c r="G5275">
        <v>125434131</v>
      </c>
      <c r="H5275">
        <v>125434053</v>
      </c>
      <c r="I5275">
        <v>125434131</v>
      </c>
    </row>
    <row r="5276" spans="1:9" x14ac:dyDescent="0.2">
      <c r="A5276" t="str">
        <f>"Dhx38"</f>
        <v>Dhx38</v>
      </c>
      <c r="B5276" t="s">
        <v>14</v>
      </c>
      <c r="C5276" t="s">
        <v>30</v>
      </c>
      <c r="D5276" t="s">
        <v>11</v>
      </c>
      <c r="E5276" t="s">
        <v>12</v>
      </c>
      <c r="F5276">
        <v>109565601</v>
      </c>
      <c r="G5276">
        <v>109565639</v>
      </c>
      <c r="H5276">
        <v>109565735</v>
      </c>
      <c r="I5276">
        <v>109565748</v>
      </c>
    </row>
    <row r="5277" spans="1:9" x14ac:dyDescent="0.2">
      <c r="A5277" t="str">
        <f>"Dhx40"</f>
        <v>Dhx40</v>
      </c>
      <c r="B5277" t="s">
        <v>14</v>
      </c>
      <c r="C5277" t="s">
        <v>27</v>
      </c>
      <c r="D5277" t="s">
        <v>11</v>
      </c>
      <c r="E5277" t="s">
        <v>12</v>
      </c>
      <c r="F5277">
        <v>86807565</v>
      </c>
      <c r="G5277">
        <v>86807622</v>
      </c>
      <c r="H5277">
        <v>86807624</v>
      </c>
      <c r="I5277">
        <v>86807645</v>
      </c>
    </row>
    <row r="5278" spans="1:9" x14ac:dyDescent="0.2">
      <c r="A5278" t="str">
        <f>"Dhx57"</f>
        <v>Dhx57</v>
      </c>
      <c r="B5278" t="s">
        <v>14</v>
      </c>
      <c r="C5278" t="s">
        <v>28</v>
      </c>
      <c r="D5278" t="s">
        <v>11</v>
      </c>
      <c r="E5278" t="s">
        <v>12</v>
      </c>
      <c r="F5278">
        <v>80290066</v>
      </c>
      <c r="G5278">
        <v>80290183</v>
      </c>
      <c r="H5278">
        <v>80289804</v>
      </c>
      <c r="I5278">
        <v>80289820</v>
      </c>
    </row>
    <row r="5279" spans="1:9" x14ac:dyDescent="0.2">
      <c r="A5279" t="str">
        <f>"Dhx58"</f>
        <v>Dhx58</v>
      </c>
      <c r="B5279" t="s">
        <v>14</v>
      </c>
      <c r="C5279" t="s">
        <v>27</v>
      </c>
      <c r="D5279" t="s">
        <v>11</v>
      </c>
      <c r="E5279" t="s">
        <v>12</v>
      </c>
      <c r="F5279">
        <v>100704217</v>
      </c>
      <c r="G5279">
        <v>100704276</v>
      </c>
      <c r="H5279">
        <v>100704217</v>
      </c>
      <c r="I5279">
        <v>100704276</v>
      </c>
    </row>
    <row r="5280" spans="1:9" x14ac:dyDescent="0.2">
      <c r="A5280" t="str">
        <f>"Dhx8"</f>
        <v>Dhx8</v>
      </c>
      <c r="B5280" t="s">
        <v>14</v>
      </c>
      <c r="C5280" t="s">
        <v>27</v>
      </c>
      <c r="D5280" t="s">
        <v>17</v>
      </c>
      <c r="E5280" t="s">
        <v>12</v>
      </c>
      <c r="F5280">
        <v>101733011</v>
      </c>
      <c r="G5280">
        <v>101733040</v>
      </c>
      <c r="H5280">
        <v>101732977</v>
      </c>
      <c r="I5280">
        <v>101733008</v>
      </c>
    </row>
    <row r="5281" spans="1:9" x14ac:dyDescent="0.2">
      <c r="A5281" t="str">
        <f>"Dhx9"</f>
        <v>Dhx9</v>
      </c>
      <c r="B5281" t="s">
        <v>14</v>
      </c>
      <c r="C5281" t="s">
        <v>19</v>
      </c>
      <c r="D5281" t="s">
        <v>11</v>
      </c>
      <c r="E5281" t="s">
        <v>12</v>
      </c>
      <c r="F5281">
        <v>153487639</v>
      </c>
      <c r="G5281">
        <v>153487662</v>
      </c>
      <c r="H5281">
        <v>153487639</v>
      </c>
      <c r="I5281">
        <v>153487662</v>
      </c>
    </row>
    <row r="5282" spans="1:9" x14ac:dyDescent="0.2">
      <c r="A5282" t="str">
        <f>"Diablo"</f>
        <v>Diablo</v>
      </c>
      <c r="B5282" t="s">
        <v>14</v>
      </c>
      <c r="C5282" t="s">
        <v>46</v>
      </c>
      <c r="D5282" t="s">
        <v>11</v>
      </c>
      <c r="E5282" t="s">
        <v>12</v>
      </c>
      <c r="F5282">
        <v>123524124</v>
      </c>
      <c r="G5282">
        <v>123524167</v>
      </c>
      <c r="H5282">
        <v>123523559</v>
      </c>
      <c r="I5282">
        <v>123523566</v>
      </c>
    </row>
    <row r="5283" spans="1:9" x14ac:dyDescent="0.2">
      <c r="A5283" t="str">
        <f>"Diap1"</f>
        <v>Diap1</v>
      </c>
      <c r="B5283" t="s">
        <v>14</v>
      </c>
      <c r="C5283" t="s">
        <v>43</v>
      </c>
      <c r="D5283" t="s">
        <v>11</v>
      </c>
      <c r="E5283" t="s">
        <v>12</v>
      </c>
      <c r="F5283">
        <v>37935403</v>
      </c>
      <c r="G5283">
        <v>37935428</v>
      </c>
      <c r="H5283">
        <v>37935429</v>
      </c>
      <c r="I5283">
        <v>37935450</v>
      </c>
    </row>
    <row r="5284" spans="1:9" x14ac:dyDescent="0.2">
      <c r="A5284" t="str">
        <f>"Diap2"</f>
        <v>Diap2</v>
      </c>
      <c r="B5284" t="s">
        <v>14</v>
      </c>
      <c r="C5284" t="s">
        <v>37</v>
      </c>
      <c r="D5284" t="s">
        <v>17</v>
      </c>
      <c r="E5284" t="s">
        <v>12</v>
      </c>
      <c r="F5284">
        <v>129749740</v>
      </c>
      <c r="G5284">
        <v>129749822</v>
      </c>
      <c r="H5284">
        <v>129749830</v>
      </c>
      <c r="I5284">
        <v>129749842</v>
      </c>
    </row>
    <row r="5285" spans="1:9" x14ac:dyDescent="0.2">
      <c r="A5285" t="str">
        <f>"Diap3"</f>
        <v>Diap3</v>
      </c>
      <c r="B5285" t="s">
        <v>14</v>
      </c>
      <c r="C5285" t="s">
        <v>41</v>
      </c>
      <c r="D5285" t="s">
        <v>11</v>
      </c>
      <c r="E5285" t="s">
        <v>12</v>
      </c>
      <c r="F5285">
        <v>87141158</v>
      </c>
      <c r="G5285">
        <v>87141203</v>
      </c>
      <c r="H5285">
        <v>87141206</v>
      </c>
      <c r="I5285">
        <v>87141239</v>
      </c>
    </row>
    <row r="5286" spans="1:9" x14ac:dyDescent="0.2">
      <c r="A5286" t="str">
        <f>"Dicer1"</f>
        <v>Dicer1</v>
      </c>
      <c r="B5286" t="s">
        <v>14</v>
      </c>
      <c r="C5286" t="s">
        <v>16</v>
      </c>
      <c r="D5286" t="s">
        <v>11</v>
      </c>
      <c r="E5286" t="s">
        <v>12</v>
      </c>
      <c r="F5286">
        <v>104752025</v>
      </c>
      <c r="G5286">
        <v>104752115</v>
      </c>
      <c r="H5286">
        <v>104751900</v>
      </c>
      <c r="I5286">
        <v>104751937</v>
      </c>
    </row>
    <row r="5287" spans="1:9" x14ac:dyDescent="0.2">
      <c r="A5287" t="str">
        <f>"Dido1"</f>
        <v>Dido1</v>
      </c>
      <c r="B5287" t="s">
        <v>14</v>
      </c>
      <c r="C5287" t="s">
        <v>26</v>
      </c>
      <c r="D5287" t="s">
        <v>11</v>
      </c>
      <c r="E5287" t="s">
        <v>12</v>
      </c>
      <c r="F5287">
        <v>180701997</v>
      </c>
      <c r="G5287">
        <v>180702046</v>
      </c>
      <c r="H5287">
        <v>180702047</v>
      </c>
      <c r="I5287">
        <v>180702115</v>
      </c>
    </row>
    <row r="5288" spans="1:9" x14ac:dyDescent="0.2">
      <c r="A5288" t="str">
        <f>"Diexf"</f>
        <v>Diexf</v>
      </c>
      <c r="B5288" t="s">
        <v>14</v>
      </c>
      <c r="C5288" t="s">
        <v>19</v>
      </c>
      <c r="D5288" t="s">
        <v>11</v>
      </c>
      <c r="E5288" t="s">
        <v>12</v>
      </c>
      <c r="F5288">
        <v>193130201</v>
      </c>
      <c r="G5288">
        <v>193130257</v>
      </c>
      <c r="H5288">
        <v>193130258</v>
      </c>
      <c r="I5288">
        <v>193130271</v>
      </c>
    </row>
    <row r="5289" spans="1:9" x14ac:dyDescent="0.2">
      <c r="A5289" t="str">
        <f>"Dimt1"</f>
        <v>Dimt1</v>
      </c>
      <c r="B5289" t="s">
        <v>14</v>
      </c>
      <c r="C5289" t="s">
        <v>39</v>
      </c>
      <c r="D5289" t="s">
        <v>17</v>
      </c>
      <c r="E5289" t="s">
        <v>12</v>
      </c>
      <c r="F5289">
        <v>106947104</v>
      </c>
      <c r="G5289">
        <v>106947164</v>
      </c>
      <c r="H5289">
        <v>106946630</v>
      </c>
      <c r="I5289">
        <v>106946649</v>
      </c>
    </row>
    <row r="5290" spans="1:9" x14ac:dyDescent="0.2">
      <c r="A5290" t="str">
        <f>"Dio1"</f>
        <v>Dio1</v>
      </c>
      <c r="B5290" t="s">
        <v>14</v>
      </c>
      <c r="C5290" t="s">
        <v>23</v>
      </c>
      <c r="D5290" t="s">
        <v>11</v>
      </c>
      <c r="E5290" t="s">
        <v>12</v>
      </c>
      <c r="F5290">
        <v>107307128</v>
      </c>
      <c r="G5290">
        <v>107307161</v>
      </c>
      <c r="H5290">
        <v>107307128</v>
      </c>
      <c r="I5290">
        <v>107307161</v>
      </c>
    </row>
    <row r="5291" spans="1:9" x14ac:dyDescent="0.2">
      <c r="A5291" t="str">
        <f>"Dio2"</f>
        <v>Dio2</v>
      </c>
      <c r="B5291" t="s">
        <v>14</v>
      </c>
      <c r="C5291" t="s">
        <v>16</v>
      </c>
      <c r="D5291" t="s">
        <v>11</v>
      </c>
      <c r="E5291" t="s">
        <v>12</v>
      </c>
      <c r="F5291">
        <v>90738892</v>
      </c>
      <c r="G5291">
        <v>90738912</v>
      </c>
      <c r="H5291">
        <v>90738892</v>
      </c>
      <c r="I5291">
        <v>90738912</v>
      </c>
    </row>
    <row r="5292" spans="1:9" x14ac:dyDescent="0.2">
      <c r="A5292" t="str">
        <f>"Dio3"</f>
        <v>Dio3</v>
      </c>
      <c r="B5292" t="s">
        <v>14</v>
      </c>
      <c r="C5292" t="s">
        <v>16</v>
      </c>
      <c r="D5292" t="s">
        <v>17</v>
      </c>
      <c r="E5292" t="s">
        <v>12</v>
      </c>
      <c r="F5292">
        <v>110279228</v>
      </c>
      <c r="G5292">
        <v>110279231</v>
      </c>
      <c r="H5292">
        <v>110279228</v>
      </c>
      <c r="I5292">
        <v>110279231</v>
      </c>
    </row>
    <row r="5293" spans="1:9" x14ac:dyDescent="0.2">
      <c r="A5293" t="str">
        <f>"Dip2a"</f>
        <v>Dip2a</v>
      </c>
      <c r="B5293" t="s">
        <v>14</v>
      </c>
      <c r="C5293" t="s">
        <v>15</v>
      </c>
      <c r="D5293" t="s">
        <v>11</v>
      </c>
      <c r="E5293" t="s">
        <v>12</v>
      </c>
      <c r="F5293">
        <v>76345254</v>
      </c>
      <c r="G5293">
        <v>76345371</v>
      </c>
      <c r="H5293">
        <v>76345203</v>
      </c>
      <c r="I5293">
        <v>76345220</v>
      </c>
    </row>
    <row r="5294" spans="1:9" x14ac:dyDescent="0.2">
      <c r="A5294" t="str">
        <f>"Dip2b"</f>
        <v>Dip2b</v>
      </c>
      <c r="B5294" t="s">
        <v>2369</v>
      </c>
      <c r="C5294" t="s">
        <v>25</v>
      </c>
      <c r="D5294" t="s">
        <v>17</v>
      </c>
      <c r="E5294" t="s">
        <v>20</v>
      </c>
      <c r="F5294">
        <v>100154395</v>
      </c>
      <c r="G5294">
        <v>100154395</v>
      </c>
      <c r="H5294">
        <v>100154395</v>
      </c>
      <c r="I5294">
        <v>100154395</v>
      </c>
    </row>
    <row r="5295" spans="1:9" x14ac:dyDescent="0.2">
      <c r="A5295" t="str">
        <f>"Dip2c"</f>
        <v>Dip2c</v>
      </c>
      <c r="B5295" t="s">
        <v>14</v>
      </c>
      <c r="C5295" t="s">
        <v>39</v>
      </c>
      <c r="D5295" t="s">
        <v>17</v>
      </c>
      <c r="E5295" t="s">
        <v>12</v>
      </c>
      <c r="F5295">
        <v>9276477</v>
      </c>
      <c r="G5295">
        <v>9276620</v>
      </c>
      <c r="H5295">
        <v>9276477</v>
      </c>
      <c r="I5295">
        <v>9276620</v>
      </c>
    </row>
    <row r="5296" spans="1:9" x14ac:dyDescent="0.2">
      <c r="A5296" t="str">
        <f>"Diras1"</f>
        <v>Diras1</v>
      </c>
      <c r="B5296" t="s">
        <v>14</v>
      </c>
      <c r="C5296" t="s">
        <v>15</v>
      </c>
      <c r="D5296" t="s">
        <v>11</v>
      </c>
      <c r="E5296" t="s">
        <v>12</v>
      </c>
      <c r="F5296">
        <v>81025363</v>
      </c>
      <c r="G5296">
        <v>81025402</v>
      </c>
      <c r="H5296">
        <v>81025521</v>
      </c>
      <c r="I5296">
        <v>81025559</v>
      </c>
    </row>
    <row r="5297" spans="1:9" x14ac:dyDescent="0.2">
      <c r="A5297" t="str">
        <f>"Diras2"</f>
        <v>Diras2</v>
      </c>
      <c r="B5297" t="s">
        <v>14</v>
      </c>
      <c r="C5297" t="s">
        <v>39</v>
      </c>
      <c r="D5297" t="s">
        <v>11</v>
      </c>
      <c r="E5297" t="s">
        <v>12</v>
      </c>
      <c r="F5297">
        <v>52530689</v>
      </c>
      <c r="G5297">
        <v>52530807</v>
      </c>
      <c r="H5297">
        <v>52530457</v>
      </c>
      <c r="I5297">
        <v>52530522</v>
      </c>
    </row>
    <row r="5298" spans="1:9" x14ac:dyDescent="0.2">
      <c r="A5298" t="str">
        <f>"Dirc2"</f>
        <v>Dirc2</v>
      </c>
      <c r="B5298" t="s">
        <v>14</v>
      </c>
      <c r="C5298" t="s">
        <v>31</v>
      </c>
      <c r="D5298" t="s">
        <v>11</v>
      </c>
      <c r="E5298" t="s">
        <v>12</v>
      </c>
      <c r="F5298">
        <v>35769361</v>
      </c>
      <c r="G5298">
        <v>35769384</v>
      </c>
      <c r="H5298">
        <v>35769496</v>
      </c>
      <c r="I5298">
        <v>35769534</v>
      </c>
    </row>
    <row r="5299" spans="1:9" x14ac:dyDescent="0.2">
      <c r="A5299" t="str">
        <f>"Dis3"</f>
        <v>Dis3</v>
      </c>
      <c r="B5299" t="s">
        <v>14</v>
      </c>
      <c r="C5299" t="s">
        <v>41</v>
      </c>
      <c r="D5299" t="s">
        <v>11</v>
      </c>
      <c r="E5299" t="s">
        <v>12</v>
      </c>
      <c r="F5299">
        <v>99099701</v>
      </c>
      <c r="G5299">
        <v>99099785</v>
      </c>
      <c r="H5299">
        <v>99099588</v>
      </c>
      <c r="I5299">
        <v>99099595</v>
      </c>
    </row>
    <row r="5300" spans="1:9" x14ac:dyDescent="0.2">
      <c r="A5300" t="str">
        <f>"Dis3l"</f>
        <v>Dis3l</v>
      </c>
      <c r="B5300" t="s">
        <v>14</v>
      </c>
      <c r="C5300" t="s">
        <v>24</v>
      </c>
      <c r="D5300" t="s">
        <v>11</v>
      </c>
      <c r="E5300" t="s">
        <v>12</v>
      </c>
      <c r="F5300">
        <v>64341145</v>
      </c>
      <c r="G5300">
        <v>64341228</v>
      </c>
      <c r="H5300">
        <v>64341292</v>
      </c>
      <c r="I5300">
        <v>64341311</v>
      </c>
    </row>
    <row r="5301" spans="1:9" x14ac:dyDescent="0.2">
      <c r="A5301" t="str">
        <f>"Dis3l2"</f>
        <v>Dis3l2</v>
      </c>
      <c r="B5301" t="s">
        <v>14</v>
      </c>
      <c r="C5301" t="s">
        <v>19</v>
      </c>
      <c r="D5301" t="s">
        <v>17</v>
      </c>
      <c r="E5301" t="s">
        <v>12</v>
      </c>
      <c r="F5301">
        <v>86703788</v>
      </c>
      <c r="G5301">
        <v>86703843</v>
      </c>
      <c r="H5301">
        <v>86703788</v>
      </c>
      <c r="I5301">
        <v>86703843</v>
      </c>
    </row>
    <row r="5302" spans="1:9" x14ac:dyDescent="0.2">
      <c r="A5302" t="str">
        <f>"Disc1"</f>
        <v>Disc1</v>
      </c>
      <c r="B5302" t="s">
        <v>14</v>
      </c>
      <c r="C5302" t="s">
        <v>30</v>
      </c>
      <c r="D5302" t="s">
        <v>17</v>
      </c>
      <c r="E5302" t="s">
        <v>12</v>
      </c>
      <c r="F5302">
        <v>125054080</v>
      </c>
      <c r="G5302">
        <v>125054124</v>
      </c>
      <c r="H5302">
        <v>125054137</v>
      </c>
      <c r="I5302">
        <v>125054173</v>
      </c>
    </row>
    <row r="5303" spans="1:9" x14ac:dyDescent="0.2">
      <c r="A5303" t="str">
        <f>"Disp1"</f>
        <v>Disp1</v>
      </c>
      <c r="B5303" t="s">
        <v>2370</v>
      </c>
      <c r="C5303" t="s">
        <v>19</v>
      </c>
      <c r="D5303" t="s">
        <v>11</v>
      </c>
      <c r="E5303" t="s">
        <v>20</v>
      </c>
      <c r="F5303">
        <v>183221528</v>
      </c>
      <c r="G5303">
        <v>183221528</v>
      </c>
      <c r="H5303">
        <v>183221528</v>
      </c>
      <c r="I5303">
        <v>183221528</v>
      </c>
    </row>
    <row r="5304" spans="1:9" x14ac:dyDescent="0.2">
      <c r="A5304" t="str">
        <f>"Disp1"</f>
        <v>Disp1</v>
      </c>
      <c r="B5304" t="s">
        <v>2371</v>
      </c>
      <c r="C5304" t="s">
        <v>19</v>
      </c>
      <c r="D5304" t="s">
        <v>11</v>
      </c>
      <c r="E5304" t="s">
        <v>20</v>
      </c>
      <c r="F5304">
        <v>183147460</v>
      </c>
      <c r="G5304">
        <v>183147460</v>
      </c>
      <c r="H5304">
        <v>183147460</v>
      </c>
      <c r="I5304">
        <v>183147460</v>
      </c>
    </row>
    <row r="5305" spans="1:9" x14ac:dyDescent="0.2">
      <c r="A5305" t="str">
        <f>"Disp2"</f>
        <v>Disp2</v>
      </c>
      <c r="B5305" t="s">
        <v>14</v>
      </c>
      <c r="C5305" t="s">
        <v>26</v>
      </c>
      <c r="D5305" t="s">
        <v>17</v>
      </c>
      <c r="E5305" t="s">
        <v>12</v>
      </c>
      <c r="F5305">
        <v>118779703</v>
      </c>
      <c r="G5305">
        <v>118779777</v>
      </c>
      <c r="H5305">
        <v>118779690</v>
      </c>
      <c r="I5305">
        <v>118779701</v>
      </c>
    </row>
    <row r="5306" spans="1:9" x14ac:dyDescent="0.2">
      <c r="A5306" t="str">
        <f>"Dixdc1"</f>
        <v>Dixdc1</v>
      </c>
      <c r="B5306" t="s">
        <v>14</v>
      </c>
      <c r="C5306" t="s">
        <v>24</v>
      </c>
      <c r="D5306" t="s">
        <v>11</v>
      </c>
      <c r="E5306" t="s">
        <v>12</v>
      </c>
      <c r="F5306">
        <v>50727921</v>
      </c>
      <c r="G5306">
        <v>50728008</v>
      </c>
      <c r="H5306">
        <v>50727921</v>
      </c>
      <c r="I5306">
        <v>50728008</v>
      </c>
    </row>
    <row r="5307" spans="1:9" x14ac:dyDescent="0.2">
      <c r="A5307" t="str">
        <f>"Dkc1"</f>
        <v>Dkc1</v>
      </c>
      <c r="B5307" t="s">
        <v>14</v>
      </c>
      <c r="C5307" t="s">
        <v>37</v>
      </c>
      <c r="D5307" t="s">
        <v>17</v>
      </c>
      <c r="E5307" t="s">
        <v>12</v>
      </c>
      <c r="F5307">
        <v>75096039</v>
      </c>
      <c r="G5307">
        <v>75096109</v>
      </c>
      <c r="H5307">
        <v>75095885</v>
      </c>
      <c r="I5307">
        <v>75095922</v>
      </c>
    </row>
    <row r="5308" spans="1:9" x14ac:dyDescent="0.2">
      <c r="A5308" t="str">
        <f>"Dkk1"</f>
        <v>Dkk1</v>
      </c>
      <c r="B5308" t="s">
        <v>14</v>
      </c>
      <c r="C5308" t="s">
        <v>10</v>
      </c>
      <c r="D5308" t="s">
        <v>11</v>
      </c>
      <c r="E5308" t="s">
        <v>12</v>
      </c>
      <c r="F5308">
        <v>30549516</v>
      </c>
      <c r="G5308">
        <v>30549520</v>
      </c>
      <c r="H5308">
        <v>30549552</v>
      </c>
      <c r="I5308">
        <v>30549590</v>
      </c>
    </row>
    <row r="5309" spans="1:9" x14ac:dyDescent="0.2">
      <c r="A5309" t="str">
        <f>"Dkk2"</f>
        <v>Dkk2</v>
      </c>
      <c r="B5309" t="s">
        <v>14</v>
      </c>
      <c r="C5309" t="s">
        <v>22</v>
      </c>
      <c r="D5309" t="s">
        <v>17</v>
      </c>
      <c r="E5309" t="s">
        <v>12</v>
      </c>
      <c r="F5309">
        <v>132085281</v>
      </c>
      <c r="G5309">
        <v>132085299</v>
      </c>
      <c r="H5309">
        <v>132085281</v>
      </c>
      <c r="I5309">
        <v>132085299</v>
      </c>
    </row>
    <row r="5310" spans="1:9" x14ac:dyDescent="0.2">
      <c r="A5310" t="str">
        <f>"Dkk3"</f>
        <v>Dkk3</v>
      </c>
      <c r="B5310" t="s">
        <v>14</v>
      </c>
      <c r="C5310" t="s">
        <v>33</v>
      </c>
      <c r="D5310" t="s">
        <v>11</v>
      </c>
      <c r="E5310" t="s">
        <v>12</v>
      </c>
      <c r="F5310">
        <v>112158403</v>
      </c>
      <c r="G5310">
        <v>112158458</v>
      </c>
      <c r="H5310">
        <v>112159034</v>
      </c>
      <c r="I5310">
        <v>112159095</v>
      </c>
    </row>
    <row r="5311" spans="1:9" x14ac:dyDescent="0.2">
      <c r="A5311" t="str">
        <f>"Dkk4"</f>
        <v>Dkk4</v>
      </c>
      <c r="B5311" t="s">
        <v>14</v>
      </c>
      <c r="C5311" t="s">
        <v>30</v>
      </c>
      <c r="D5311" t="s">
        <v>17</v>
      </c>
      <c r="E5311" t="s">
        <v>12</v>
      </c>
      <c r="F5311">
        <v>22624019</v>
      </c>
      <c r="G5311">
        <v>22624023</v>
      </c>
      <c r="H5311">
        <v>22624019</v>
      </c>
      <c r="I5311">
        <v>22624023</v>
      </c>
    </row>
    <row r="5312" spans="1:9" x14ac:dyDescent="0.2">
      <c r="A5312" t="str">
        <f>"Dkkl1"</f>
        <v>Dkkl1</v>
      </c>
      <c r="B5312" t="s">
        <v>14</v>
      </c>
      <c r="C5312" t="s">
        <v>33</v>
      </c>
      <c r="D5312" t="s">
        <v>11</v>
      </c>
      <c r="E5312" t="s">
        <v>12</v>
      </c>
      <c r="F5312">
        <v>45211812</v>
      </c>
      <c r="G5312">
        <v>45211874</v>
      </c>
      <c r="H5312">
        <v>45211796</v>
      </c>
      <c r="I5312">
        <v>45211808</v>
      </c>
    </row>
    <row r="5313" spans="1:9" x14ac:dyDescent="0.2">
      <c r="A5313" t="str">
        <f>"Dlat"</f>
        <v>Dlat</v>
      </c>
      <c r="B5313" t="s">
        <v>14</v>
      </c>
      <c r="C5313" t="s">
        <v>24</v>
      </c>
      <c r="D5313" t="s">
        <v>11</v>
      </c>
      <c r="E5313" t="s">
        <v>12</v>
      </c>
      <c r="F5313">
        <v>50659493</v>
      </c>
      <c r="G5313">
        <v>50659564</v>
      </c>
      <c r="H5313">
        <v>50659493</v>
      </c>
      <c r="I5313">
        <v>50659564</v>
      </c>
    </row>
    <row r="5314" spans="1:9" x14ac:dyDescent="0.2">
      <c r="A5314" t="str">
        <f>"Dlc1"</f>
        <v>Dlc1</v>
      </c>
      <c r="B5314" t="s">
        <v>14</v>
      </c>
      <c r="C5314" t="s">
        <v>30</v>
      </c>
      <c r="D5314" t="s">
        <v>11</v>
      </c>
      <c r="E5314" t="s">
        <v>12</v>
      </c>
      <c r="F5314">
        <v>36613890</v>
      </c>
      <c r="G5314">
        <v>36613921</v>
      </c>
      <c r="H5314">
        <v>36613890</v>
      </c>
      <c r="I5314">
        <v>36613921</v>
      </c>
    </row>
    <row r="5315" spans="1:9" x14ac:dyDescent="0.2">
      <c r="A5315" t="str">
        <f>"Dld"</f>
        <v>Dld</v>
      </c>
      <c r="B5315" t="s">
        <v>14</v>
      </c>
      <c r="C5315" t="s">
        <v>16</v>
      </c>
      <c r="D5315" t="s">
        <v>11</v>
      </c>
      <c r="E5315" t="s">
        <v>12</v>
      </c>
      <c r="F5315">
        <v>31351368</v>
      </c>
      <c r="G5315">
        <v>31351421</v>
      </c>
      <c r="H5315">
        <v>31351368</v>
      </c>
      <c r="I5315">
        <v>31351421</v>
      </c>
    </row>
    <row r="5316" spans="1:9" x14ac:dyDescent="0.2">
      <c r="A5316" t="str">
        <f>"Dlec1"</f>
        <v>Dlec1</v>
      </c>
      <c r="B5316" t="s">
        <v>14</v>
      </c>
      <c r="C5316" t="s">
        <v>24</v>
      </c>
      <c r="D5316" t="s">
        <v>17</v>
      </c>
      <c r="E5316" t="s">
        <v>12</v>
      </c>
      <c r="F5316">
        <v>119102463</v>
      </c>
      <c r="G5316">
        <v>119102530</v>
      </c>
      <c r="H5316">
        <v>119102463</v>
      </c>
      <c r="I5316">
        <v>119102530</v>
      </c>
    </row>
    <row r="5317" spans="1:9" x14ac:dyDescent="0.2">
      <c r="A5317" t="str">
        <f>"Dleu7"</f>
        <v>Dleu7</v>
      </c>
      <c r="B5317" t="s">
        <v>14</v>
      </c>
      <c r="C5317" t="s">
        <v>41</v>
      </c>
      <c r="D5317" t="s">
        <v>11</v>
      </c>
      <c r="E5317" t="s">
        <v>12</v>
      </c>
      <c r="F5317">
        <v>62292959</v>
      </c>
      <c r="G5317">
        <v>62293019</v>
      </c>
      <c r="H5317">
        <v>62292959</v>
      </c>
      <c r="I5317">
        <v>62293019</v>
      </c>
    </row>
    <row r="5318" spans="1:9" x14ac:dyDescent="0.2">
      <c r="A5318" t="str">
        <f>"Dlg1"</f>
        <v>Dlg1</v>
      </c>
      <c r="B5318" t="s">
        <v>14</v>
      </c>
      <c r="C5318" t="s">
        <v>31</v>
      </c>
      <c r="D5318" t="s">
        <v>17</v>
      </c>
      <c r="E5318" t="s">
        <v>12</v>
      </c>
      <c r="F5318">
        <v>31663841</v>
      </c>
      <c r="G5318">
        <v>31663912</v>
      </c>
      <c r="H5318">
        <v>31664130</v>
      </c>
      <c r="I5318">
        <v>31664178</v>
      </c>
    </row>
    <row r="5319" spans="1:9" x14ac:dyDescent="0.2">
      <c r="A5319" t="str">
        <f>"Dlg2"</f>
        <v>Dlg2</v>
      </c>
      <c r="B5319" t="s">
        <v>2372</v>
      </c>
      <c r="C5319" t="s">
        <v>33</v>
      </c>
      <c r="D5319" t="s">
        <v>17</v>
      </c>
      <c r="E5319" t="s">
        <v>35</v>
      </c>
      <c r="F5319">
        <v>91090697</v>
      </c>
      <c r="G5319">
        <v>91090727</v>
      </c>
      <c r="H5319">
        <v>91090912</v>
      </c>
      <c r="I5319">
        <v>91090927</v>
      </c>
    </row>
    <row r="5320" spans="1:9" x14ac:dyDescent="0.2">
      <c r="A5320" t="str">
        <f>"Dlg3"</f>
        <v>Dlg3</v>
      </c>
      <c r="B5320" t="s">
        <v>9</v>
      </c>
      <c r="C5320" t="s">
        <v>37</v>
      </c>
      <c r="D5320" t="s">
        <v>17</v>
      </c>
      <c r="E5320" t="s">
        <v>12</v>
      </c>
      <c r="F5320">
        <v>100777273</v>
      </c>
      <c r="G5320">
        <v>100777296</v>
      </c>
      <c r="H5320">
        <v>100777273</v>
      </c>
      <c r="I5320">
        <v>100777296</v>
      </c>
    </row>
    <row r="5321" spans="1:9" x14ac:dyDescent="0.2">
      <c r="A5321" t="str">
        <f>"Dlg3"</f>
        <v>Dlg3</v>
      </c>
      <c r="B5321" t="s">
        <v>13</v>
      </c>
      <c r="C5321" t="s">
        <v>37</v>
      </c>
      <c r="D5321" t="s">
        <v>17</v>
      </c>
      <c r="E5321" t="s">
        <v>12</v>
      </c>
      <c r="F5321">
        <v>100767719</v>
      </c>
      <c r="G5321">
        <v>100767742</v>
      </c>
      <c r="H5321">
        <v>100767719</v>
      </c>
      <c r="I5321">
        <v>100767742</v>
      </c>
    </row>
    <row r="5322" spans="1:9" x14ac:dyDescent="0.2">
      <c r="A5322" t="str">
        <f>"Dlg4"</f>
        <v>Dlg4</v>
      </c>
      <c r="B5322" t="s">
        <v>9</v>
      </c>
      <c r="C5322" t="s">
        <v>27</v>
      </c>
      <c r="D5322" t="s">
        <v>17</v>
      </c>
      <c r="E5322" t="s">
        <v>12</v>
      </c>
      <c r="F5322">
        <v>70018421</v>
      </c>
      <c r="G5322">
        <v>70018484</v>
      </c>
      <c r="H5322">
        <v>70018421</v>
      </c>
      <c r="I5322">
        <v>70018484</v>
      </c>
    </row>
    <row r="5323" spans="1:9" x14ac:dyDescent="0.2">
      <c r="A5323" t="str">
        <f>"Dlg4"</f>
        <v>Dlg4</v>
      </c>
      <c r="B5323" t="s">
        <v>13</v>
      </c>
      <c r="C5323" t="s">
        <v>27</v>
      </c>
      <c r="D5323" t="s">
        <v>17</v>
      </c>
      <c r="E5323" t="s">
        <v>12</v>
      </c>
      <c r="F5323">
        <v>70023922</v>
      </c>
      <c r="G5323">
        <v>70023958</v>
      </c>
      <c r="H5323">
        <v>70023922</v>
      </c>
      <c r="I5323">
        <v>70023958</v>
      </c>
    </row>
    <row r="5324" spans="1:9" x14ac:dyDescent="0.2">
      <c r="A5324" t="str">
        <f>"Dlg5"</f>
        <v>Dlg5</v>
      </c>
      <c r="B5324" t="s">
        <v>14</v>
      </c>
      <c r="C5324" t="s">
        <v>41</v>
      </c>
      <c r="D5324" t="s">
        <v>11</v>
      </c>
      <c r="E5324" t="s">
        <v>12</v>
      </c>
      <c r="F5324">
        <v>24245654</v>
      </c>
      <c r="G5324">
        <v>24245693</v>
      </c>
      <c r="H5324">
        <v>24245913</v>
      </c>
      <c r="I5324">
        <v>24245925</v>
      </c>
    </row>
    <row r="5325" spans="1:9" x14ac:dyDescent="0.2">
      <c r="A5325" t="str">
        <f>"Dlgap1"</f>
        <v>Dlgap1</v>
      </c>
      <c r="B5325" t="s">
        <v>14</v>
      </c>
      <c r="C5325" t="s">
        <v>28</v>
      </c>
      <c r="D5325" t="s">
        <v>17</v>
      </c>
      <c r="E5325" t="s">
        <v>12</v>
      </c>
      <c r="F5325">
        <v>69969387</v>
      </c>
      <c r="G5325">
        <v>69969440</v>
      </c>
      <c r="H5325">
        <v>69969387</v>
      </c>
      <c r="I5325">
        <v>69969440</v>
      </c>
    </row>
    <row r="5326" spans="1:9" x14ac:dyDescent="0.2">
      <c r="A5326" t="str">
        <f>"Dlgap2"</f>
        <v>Dlgap2</v>
      </c>
      <c r="B5326" t="s">
        <v>2373</v>
      </c>
      <c r="C5326" t="s">
        <v>30</v>
      </c>
      <c r="D5326" t="s">
        <v>17</v>
      </c>
      <c r="E5326" t="s">
        <v>20</v>
      </c>
      <c r="F5326">
        <v>14179666</v>
      </c>
      <c r="G5326">
        <v>14179666</v>
      </c>
      <c r="H5326">
        <v>14179666</v>
      </c>
      <c r="I5326">
        <v>14179666</v>
      </c>
    </row>
    <row r="5327" spans="1:9" x14ac:dyDescent="0.2">
      <c r="A5327" t="str">
        <f>"Dlgap2"</f>
        <v>Dlgap2</v>
      </c>
      <c r="B5327" t="s">
        <v>2374</v>
      </c>
      <c r="C5327" t="s">
        <v>30</v>
      </c>
      <c r="D5327" t="s">
        <v>17</v>
      </c>
      <c r="E5327" t="s">
        <v>35</v>
      </c>
      <c r="F5327">
        <v>14095801</v>
      </c>
      <c r="G5327">
        <v>14095802</v>
      </c>
      <c r="H5327">
        <v>14095981</v>
      </c>
      <c r="I5327">
        <v>14095993</v>
      </c>
    </row>
    <row r="5328" spans="1:9" x14ac:dyDescent="0.2">
      <c r="A5328" t="str">
        <f>"Dlgap3"</f>
        <v>Dlgap3</v>
      </c>
      <c r="B5328" t="s">
        <v>9</v>
      </c>
      <c r="C5328" t="s">
        <v>23</v>
      </c>
      <c r="D5328" t="s">
        <v>17</v>
      </c>
      <c r="E5328" t="s">
        <v>12</v>
      </c>
      <c r="F5328">
        <v>127169131</v>
      </c>
      <c r="G5328">
        <v>127169230</v>
      </c>
      <c r="H5328">
        <v>127169131</v>
      </c>
      <c r="I5328">
        <v>127169230</v>
      </c>
    </row>
    <row r="5329" spans="1:9" x14ac:dyDescent="0.2">
      <c r="A5329" t="str">
        <f>"Dlgap3"</f>
        <v>Dlgap3</v>
      </c>
      <c r="B5329" t="s">
        <v>13</v>
      </c>
      <c r="C5329" t="s">
        <v>23</v>
      </c>
      <c r="D5329" t="s">
        <v>17</v>
      </c>
      <c r="E5329" t="s">
        <v>12</v>
      </c>
      <c r="F5329">
        <v>127172866</v>
      </c>
      <c r="G5329">
        <v>127172898</v>
      </c>
      <c r="H5329">
        <v>127172866</v>
      </c>
      <c r="I5329">
        <v>127172898</v>
      </c>
    </row>
    <row r="5330" spans="1:9" x14ac:dyDescent="0.2">
      <c r="A5330" t="str">
        <f>"Dlgap4"</f>
        <v>Dlgap4</v>
      </c>
      <c r="B5330" t="s">
        <v>14</v>
      </c>
      <c r="C5330" t="s">
        <v>26</v>
      </c>
      <c r="D5330" t="s">
        <v>17</v>
      </c>
      <c r="E5330" t="s">
        <v>12</v>
      </c>
      <c r="F5330">
        <v>156721037</v>
      </c>
      <c r="G5330">
        <v>156721055</v>
      </c>
      <c r="H5330">
        <v>156721069</v>
      </c>
      <c r="I5330">
        <v>156721084</v>
      </c>
    </row>
    <row r="5331" spans="1:9" x14ac:dyDescent="0.2">
      <c r="A5331" t="str">
        <f>"Dlgap5"</f>
        <v>Dlgap5</v>
      </c>
      <c r="B5331" t="s">
        <v>14</v>
      </c>
      <c r="C5331" t="s">
        <v>41</v>
      </c>
      <c r="D5331" t="s">
        <v>11</v>
      </c>
      <c r="E5331" t="s">
        <v>12</v>
      </c>
      <c r="F5331">
        <v>47418166</v>
      </c>
      <c r="G5331">
        <v>47418191</v>
      </c>
      <c r="H5331">
        <v>47418166</v>
      </c>
      <c r="I5331">
        <v>47418191</v>
      </c>
    </row>
    <row r="5332" spans="1:9" x14ac:dyDescent="0.2">
      <c r="A5332" t="str">
        <f>"Dlk1"</f>
        <v>Dlk1</v>
      </c>
      <c r="B5332" t="s">
        <v>14</v>
      </c>
      <c r="C5332" t="s">
        <v>16</v>
      </c>
      <c r="D5332" t="s">
        <v>17</v>
      </c>
      <c r="E5332" t="s">
        <v>12</v>
      </c>
      <c r="F5332">
        <v>109453483</v>
      </c>
      <c r="G5332">
        <v>109453497</v>
      </c>
      <c r="H5332">
        <v>109453483</v>
      </c>
      <c r="I5332">
        <v>109453497</v>
      </c>
    </row>
    <row r="5333" spans="1:9" x14ac:dyDescent="0.2">
      <c r="A5333" t="str">
        <f>"Dlk2"</f>
        <v>Dlk2</v>
      </c>
      <c r="B5333" t="s">
        <v>14</v>
      </c>
      <c r="C5333" t="s">
        <v>28</v>
      </c>
      <c r="D5333" t="s">
        <v>17</v>
      </c>
      <c r="E5333" t="s">
        <v>12</v>
      </c>
      <c r="F5333">
        <v>46297406</v>
      </c>
      <c r="G5333">
        <v>46297447</v>
      </c>
      <c r="H5333">
        <v>46297917</v>
      </c>
      <c r="I5333">
        <v>46297938</v>
      </c>
    </row>
    <row r="5334" spans="1:9" x14ac:dyDescent="0.2">
      <c r="A5334" t="str">
        <f>"Dll1"</f>
        <v>Dll1</v>
      </c>
      <c r="B5334" t="s">
        <v>14</v>
      </c>
      <c r="C5334" t="s">
        <v>28</v>
      </c>
      <c r="D5334" t="s">
        <v>11</v>
      </c>
      <c r="E5334" t="s">
        <v>12</v>
      </c>
      <c r="F5334">
        <v>15375969</v>
      </c>
      <c r="G5334">
        <v>15375983</v>
      </c>
      <c r="H5334">
        <v>15375770</v>
      </c>
      <c r="I5334">
        <v>15375814</v>
      </c>
    </row>
    <row r="5335" spans="1:9" x14ac:dyDescent="0.2">
      <c r="A5335" t="str">
        <f>"Dll3"</f>
        <v>Dll3</v>
      </c>
      <c r="B5335" t="s">
        <v>9</v>
      </c>
      <c r="C5335" t="s">
        <v>33</v>
      </c>
      <c r="D5335" t="s">
        <v>11</v>
      </c>
      <c r="E5335" t="s">
        <v>12</v>
      </c>
      <c r="F5335">
        <v>28301772</v>
      </c>
      <c r="G5335">
        <v>28301791</v>
      </c>
      <c r="H5335">
        <v>28301772</v>
      </c>
      <c r="I5335">
        <v>28301791</v>
      </c>
    </row>
    <row r="5336" spans="1:9" x14ac:dyDescent="0.2">
      <c r="A5336" t="str">
        <f>"Dll3"</f>
        <v>Dll3</v>
      </c>
      <c r="B5336" t="s">
        <v>13</v>
      </c>
      <c r="C5336" t="s">
        <v>33</v>
      </c>
      <c r="D5336" t="s">
        <v>11</v>
      </c>
      <c r="E5336" t="s">
        <v>12</v>
      </c>
      <c r="F5336">
        <v>28294609</v>
      </c>
      <c r="G5336">
        <v>28294670</v>
      </c>
      <c r="H5336">
        <v>28294609</v>
      </c>
      <c r="I5336">
        <v>28294670</v>
      </c>
    </row>
    <row r="5337" spans="1:9" x14ac:dyDescent="0.2">
      <c r="A5337" t="str">
        <f>"Dll4"</f>
        <v>Dll4</v>
      </c>
      <c r="B5337" t="s">
        <v>14</v>
      </c>
      <c r="C5337" t="s">
        <v>26</v>
      </c>
      <c r="D5337" t="s">
        <v>17</v>
      </c>
      <c r="E5337" t="s">
        <v>12</v>
      </c>
      <c r="F5337">
        <v>119325813</v>
      </c>
      <c r="G5337">
        <v>119325817</v>
      </c>
      <c r="H5337">
        <v>119325728</v>
      </c>
      <c r="I5337">
        <v>119325750</v>
      </c>
    </row>
    <row r="5338" spans="1:9" x14ac:dyDescent="0.2">
      <c r="A5338" t="str">
        <f>"Dlst"</f>
        <v>Dlst</v>
      </c>
      <c r="B5338" t="s">
        <v>14</v>
      </c>
      <c r="C5338" t="s">
        <v>16</v>
      </c>
      <c r="D5338" t="s">
        <v>17</v>
      </c>
      <c r="E5338" t="s">
        <v>12</v>
      </c>
      <c r="F5338">
        <v>85110850</v>
      </c>
      <c r="G5338">
        <v>85110866</v>
      </c>
      <c r="H5338">
        <v>85110873</v>
      </c>
      <c r="I5338">
        <v>85110890</v>
      </c>
    </row>
    <row r="5339" spans="1:9" x14ac:dyDescent="0.2">
      <c r="A5339" t="str">
        <f>"Dlx1"</f>
        <v>Dlx1</v>
      </c>
      <c r="B5339" t="s">
        <v>14</v>
      </c>
      <c r="C5339" t="s">
        <v>26</v>
      </c>
      <c r="D5339" t="s">
        <v>17</v>
      </c>
      <c r="E5339" t="s">
        <v>12</v>
      </c>
      <c r="F5339">
        <v>71529814</v>
      </c>
      <c r="G5339">
        <v>71529841</v>
      </c>
      <c r="H5339">
        <v>71529085</v>
      </c>
      <c r="I5339">
        <v>71529110</v>
      </c>
    </row>
    <row r="5340" spans="1:9" x14ac:dyDescent="0.2">
      <c r="A5340" t="str">
        <f>"Dlx2"</f>
        <v>Dlx2</v>
      </c>
      <c r="B5340" t="s">
        <v>14</v>
      </c>
      <c r="C5340" t="s">
        <v>26</v>
      </c>
      <c r="D5340" t="s">
        <v>11</v>
      </c>
      <c r="E5340" t="s">
        <v>12</v>
      </c>
      <c r="F5340">
        <v>71546745</v>
      </c>
      <c r="G5340">
        <v>71546758</v>
      </c>
      <c r="H5340">
        <v>71546745</v>
      </c>
      <c r="I5340">
        <v>71546758</v>
      </c>
    </row>
    <row r="5341" spans="1:9" x14ac:dyDescent="0.2">
      <c r="A5341" t="str">
        <f>"Dlx3"</f>
        <v>Dlx3</v>
      </c>
      <c r="B5341" t="s">
        <v>14</v>
      </c>
      <c r="C5341" t="s">
        <v>27</v>
      </c>
      <c r="D5341" t="s">
        <v>17</v>
      </c>
      <c r="E5341" t="s">
        <v>12</v>
      </c>
      <c r="F5341">
        <v>95120110</v>
      </c>
      <c r="G5341">
        <v>95120125</v>
      </c>
      <c r="H5341">
        <v>95120110</v>
      </c>
      <c r="I5341">
        <v>95120125</v>
      </c>
    </row>
    <row r="5342" spans="1:9" x14ac:dyDescent="0.2">
      <c r="A5342" t="str">
        <f>"Dlx4"</f>
        <v>Dlx4</v>
      </c>
      <c r="B5342" t="s">
        <v>14</v>
      </c>
      <c r="C5342" t="s">
        <v>27</v>
      </c>
      <c r="D5342" t="s">
        <v>11</v>
      </c>
      <c r="E5342" t="s">
        <v>12</v>
      </c>
      <c r="F5342">
        <v>95146230</v>
      </c>
      <c r="G5342">
        <v>95146269</v>
      </c>
      <c r="H5342">
        <v>95145640</v>
      </c>
      <c r="I5342">
        <v>95145649</v>
      </c>
    </row>
    <row r="5343" spans="1:9" x14ac:dyDescent="0.2">
      <c r="A5343" t="str">
        <f>"Dlx5"</f>
        <v>Dlx5</v>
      </c>
      <c r="B5343" t="s">
        <v>14</v>
      </c>
      <c r="C5343" t="s">
        <v>32</v>
      </c>
      <c r="D5343" t="s">
        <v>11</v>
      </c>
      <c r="E5343" t="s">
        <v>12</v>
      </c>
      <c r="F5343">
        <v>6882076</v>
      </c>
      <c r="G5343">
        <v>6882092</v>
      </c>
      <c r="H5343">
        <v>6881950</v>
      </c>
      <c r="I5343">
        <v>6881985</v>
      </c>
    </row>
    <row r="5344" spans="1:9" x14ac:dyDescent="0.2">
      <c r="A5344" t="str">
        <f>"Dlx6"</f>
        <v>Dlx6</v>
      </c>
      <c r="B5344" t="s">
        <v>14</v>
      </c>
      <c r="C5344" t="s">
        <v>32</v>
      </c>
      <c r="D5344" t="s">
        <v>17</v>
      </c>
      <c r="E5344" t="s">
        <v>12</v>
      </c>
      <c r="F5344">
        <v>6862962</v>
      </c>
      <c r="G5344">
        <v>6862979</v>
      </c>
      <c r="H5344">
        <v>6863269</v>
      </c>
      <c r="I5344">
        <v>6863272</v>
      </c>
    </row>
    <row r="5345" spans="1:9" x14ac:dyDescent="0.2">
      <c r="A5345" t="str">
        <f>"Dmap1"</f>
        <v>Dmap1</v>
      </c>
      <c r="B5345" t="s">
        <v>14</v>
      </c>
      <c r="C5345" t="s">
        <v>23</v>
      </c>
      <c r="D5345" t="s">
        <v>11</v>
      </c>
      <c r="E5345" t="s">
        <v>12</v>
      </c>
      <c r="F5345">
        <v>117682233</v>
      </c>
      <c r="G5345">
        <v>117682279</v>
      </c>
      <c r="H5345">
        <v>117681987</v>
      </c>
      <c r="I5345">
        <v>117682005</v>
      </c>
    </row>
    <row r="5346" spans="1:9" x14ac:dyDescent="0.2">
      <c r="A5346" t="str">
        <f>"Dmbt1"</f>
        <v>Dmbt1</v>
      </c>
      <c r="B5346" t="s">
        <v>14</v>
      </c>
      <c r="C5346" t="s">
        <v>33</v>
      </c>
      <c r="D5346" t="s">
        <v>17</v>
      </c>
      <c r="E5346" t="s">
        <v>12</v>
      </c>
      <c r="F5346">
        <v>131032061</v>
      </c>
      <c r="G5346">
        <v>131032074</v>
      </c>
      <c r="H5346">
        <v>131032061</v>
      </c>
      <c r="I5346">
        <v>131032074</v>
      </c>
    </row>
    <row r="5347" spans="1:9" x14ac:dyDescent="0.2">
      <c r="A5347" t="str">
        <f>"Dmbx1"</f>
        <v>Dmbx1</v>
      </c>
      <c r="B5347" t="s">
        <v>14</v>
      </c>
      <c r="C5347" t="s">
        <v>23</v>
      </c>
      <c r="D5347" t="s">
        <v>11</v>
      </c>
      <c r="E5347" t="s">
        <v>12</v>
      </c>
      <c r="F5347">
        <v>115939923</v>
      </c>
      <c r="G5347">
        <v>115939928</v>
      </c>
      <c r="H5347">
        <v>115939923</v>
      </c>
      <c r="I5347">
        <v>115939928</v>
      </c>
    </row>
    <row r="5348" spans="1:9" x14ac:dyDescent="0.2">
      <c r="A5348" t="str">
        <f>"Dmc1"</f>
        <v>Dmc1</v>
      </c>
      <c r="B5348" t="s">
        <v>14</v>
      </c>
      <c r="C5348" t="s">
        <v>25</v>
      </c>
      <c r="D5348" t="s">
        <v>11</v>
      </c>
      <c r="E5348" t="s">
        <v>12</v>
      </c>
      <c r="F5348">
        <v>79605086</v>
      </c>
      <c r="G5348">
        <v>79605114</v>
      </c>
      <c r="H5348">
        <v>79605086</v>
      </c>
      <c r="I5348">
        <v>79605114</v>
      </c>
    </row>
    <row r="5349" spans="1:9" x14ac:dyDescent="0.2">
      <c r="A5349" t="str">
        <f>"Dmd"</f>
        <v>Dmd</v>
      </c>
      <c r="B5349" t="s">
        <v>14</v>
      </c>
      <c r="C5349" t="s">
        <v>37</v>
      </c>
      <c r="D5349" t="s">
        <v>17</v>
      </c>
      <c r="E5349" t="s">
        <v>12</v>
      </c>
      <c r="F5349">
        <v>82948861</v>
      </c>
      <c r="G5349">
        <v>82948915</v>
      </c>
      <c r="H5349">
        <v>82948861</v>
      </c>
      <c r="I5349">
        <v>82948915</v>
      </c>
    </row>
    <row r="5350" spans="1:9" x14ac:dyDescent="0.2">
      <c r="A5350" t="str">
        <f>"Dmgdh"</f>
        <v>Dmgdh</v>
      </c>
      <c r="B5350" t="s">
        <v>14</v>
      </c>
      <c r="C5350" t="s">
        <v>39</v>
      </c>
      <c r="D5350" t="s">
        <v>17</v>
      </c>
      <c r="E5350" t="s">
        <v>12</v>
      </c>
      <c r="F5350">
        <v>93674403</v>
      </c>
      <c r="G5350">
        <v>93674452</v>
      </c>
      <c r="H5350">
        <v>93674403</v>
      </c>
      <c r="I5350">
        <v>93674452</v>
      </c>
    </row>
    <row r="5351" spans="1:9" x14ac:dyDescent="0.2">
      <c r="A5351" t="str">
        <f>"Dmkn"</f>
        <v>Dmkn</v>
      </c>
      <c r="B5351" t="s">
        <v>14</v>
      </c>
      <c r="C5351" t="s">
        <v>33</v>
      </c>
      <c r="D5351" t="s">
        <v>17</v>
      </c>
      <c r="E5351" t="s">
        <v>12</v>
      </c>
      <c r="F5351">
        <v>30763750</v>
      </c>
      <c r="G5351">
        <v>30763765</v>
      </c>
      <c r="H5351">
        <v>30763750</v>
      </c>
      <c r="I5351">
        <v>30763765</v>
      </c>
    </row>
    <row r="5352" spans="1:9" x14ac:dyDescent="0.2">
      <c r="A5352" t="str">
        <f>"Dmp1"</f>
        <v>Dmp1</v>
      </c>
      <c r="B5352" t="s">
        <v>14</v>
      </c>
      <c r="C5352" t="s">
        <v>46</v>
      </c>
      <c r="D5352" t="s">
        <v>17</v>
      </c>
      <c r="E5352" t="s">
        <v>12</v>
      </c>
      <c r="F5352">
        <v>104202609</v>
      </c>
      <c r="G5352">
        <v>104202624</v>
      </c>
      <c r="H5352">
        <v>104202609</v>
      </c>
      <c r="I5352">
        <v>104202624</v>
      </c>
    </row>
    <row r="5353" spans="1:9" x14ac:dyDescent="0.2">
      <c r="A5353" t="str">
        <f>"Dmpk"</f>
        <v>Dmpk</v>
      </c>
      <c r="B5353" t="s">
        <v>14</v>
      </c>
      <c r="C5353" t="s">
        <v>33</v>
      </c>
      <c r="D5353" t="s">
        <v>17</v>
      </c>
      <c r="E5353" t="s">
        <v>12</v>
      </c>
      <c r="F5353">
        <v>19083842</v>
      </c>
      <c r="G5353">
        <v>19083894</v>
      </c>
      <c r="H5353">
        <v>19083842</v>
      </c>
      <c r="I5353">
        <v>19083894</v>
      </c>
    </row>
    <row r="5354" spans="1:9" x14ac:dyDescent="0.2">
      <c r="A5354" t="str">
        <f>"Dmrt1"</f>
        <v>Dmrt1</v>
      </c>
      <c r="B5354" t="s">
        <v>14</v>
      </c>
      <c r="C5354" t="s">
        <v>10</v>
      </c>
      <c r="D5354" t="s">
        <v>17</v>
      </c>
      <c r="E5354" t="s">
        <v>12</v>
      </c>
      <c r="F5354">
        <v>25505620</v>
      </c>
      <c r="G5354">
        <v>25505673</v>
      </c>
      <c r="H5354">
        <v>25505736</v>
      </c>
      <c r="I5354">
        <v>25505771</v>
      </c>
    </row>
    <row r="5355" spans="1:9" x14ac:dyDescent="0.2">
      <c r="A5355" t="str">
        <f>"Dmrt2"</f>
        <v>Dmrt2</v>
      </c>
      <c r="B5355" t="s">
        <v>14</v>
      </c>
      <c r="C5355" t="s">
        <v>10</v>
      </c>
      <c r="D5355" t="s">
        <v>17</v>
      </c>
      <c r="E5355" t="s">
        <v>12</v>
      </c>
      <c r="F5355">
        <v>25672408</v>
      </c>
      <c r="G5355">
        <v>25672420</v>
      </c>
      <c r="H5355">
        <v>25672595</v>
      </c>
      <c r="I5355">
        <v>25672600</v>
      </c>
    </row>
    <row r="5356" spans="1:9" x14ac:dyDescent="0.2">
      <c r="A5356" t="str">
        <f>"Dmrt3"</f>
        <v>Dmrt3</v>
      </c>
      <c r="B5356" t="s">
        <v>14</v>
      </c>
      <c r="C5356" t="s">
        <v>10</v>
      </c>
      <c r="D5356" t="s">
        <v>17</v>
      </c>
      <c r="E5356" t="s">
        <v>12</v>
      </c>
      <c r="F5356">
        <v>25610533</v>
      </c>
      <c r="G5356">
        <v>25610553</v>
      </c>
      <c r="H5356">
        <v>25610256</v>
      </c>
      <c r="I5356">
        <v>25610261</v>
      </c>
    </row>
    <row r="5357" spans="1:9" x14ac:dyDescent="0.2">
      <c r="A5357" t="str">
        <f>"Dmrta1"</f>
        <v>Dmrta1</v>
      </c>
      <c r="B5357" t="s">
        <v>14</v>
      </c>
      <c r="C5357" t="s">
        <v>23</v>
      </c>
      <c r="D5357" t="s">
        <v>17</v>
      </c>
      <c r="E5357" t="s">
        <v>12</v>
      </c>
      <c r="F5357">
        <v>89688038</v>
      </c>
      <c r="G5357">
        <v>89688085</v>
      </c>
      <c r="H5357">
        <v>89688094</v>
      </c>
      <c r="I5357">
        <v>89688110</v>
      </c>
    </row>
    <row r="5358" spans="1:9" x14ac:dyDescent="0.2">
      <c r="A5358" t="str">
        <f>"Dmrta2"</f>
        <v>Dmrta2</v>
      </c>
      <c r="B5358" t="s">
        <v>14</v>
      </c>
      <c r="C5358" t="s">
        <v>23</v>
      </c>
      <c r="D5358" t="s">
        <v>17</v>
      </c>
      <c r="E5358" t="s">
        <v>12</v>
      </c>
      <c r="F5358">
        <v>109978004</v>
      </c>
      <c r="G5358">
        <v>109978048</v>
      </c>
      <c r="H5358">
        <v>109977977</v>
      </c>
      <c r="I5358">
        <v>109977992</v>
      </c>
    </row>
    <row r="5359" spans="1:9" x14ac:dyDescent="0.2">
      <c r="A5359" t="str">
        <f>"Dmrtb1"</f>
        <v>Dmrtb1</v>
      </c>
      <c r="B5359" t="s">
        <v>14</v>
      </c>
      <c r="C5359" t="s">
        <v>23</v>
      </c>
      <c r="D5359" t="s">
        <v>11</v>
      </c>
      <c r="E5359" t="s">
        <v>12</v>
      </c>
      <c r="F5359">
        <v>107683530</v>
      </c>
      <c r="G5359">
        <v>107683574</v>
      </c>
      <c r="H5359">
        <v>107683576</v>
      </c>
      <c r="I5359">
        <v>107683592</v>
      </c>
    </row>
    <row r="5360" spans="1:9" x14ac:dyDescent="0.2">
      <c r="A5360" t="str">
        <f>"Dmrtc1a"</f>
        <v>Dmrtc1a</v>
      </c>
      <c r="B5360" t="s">
        <v>14</v>
      </c>
      <c r="C5360" t="s">
        <v>37</v>
      </c>
      <c r="D5360" t="s">
        <v>11</v>
      </c>
      <c r="E5360" t="s">
        <v>12</v>
      </c>
      <c r="F5360">
        <v>102906561</v>
      </c>
      <c r="G5360">
        <v>102906570</v>
      </c>
      <c r="H5360">
        <v>102906561</v>
      </c>
      <c r="I5360">
        <v>102906570</v>
      </c>
    </row>
    <row r="5361" spans="1:9" x14ac:dyDescent="0.2">
      <c r="A5361" t="str">
        <f>"Dmrtc1b"</f>
        <v>Dmrtc1b</v>
      </c>
      <c r="B5361" t="s">
        <v>2375</v>
      </c>
      <c r="C5361" t="s">
        <v>37</v>
      </c>
      <c r="D5361" t="s">
        <v>17</v>
      </c>
      <c r="E5361" t="s">
        <v>20</v>
      </c>
      <c r="F5361">
        <v>102707864</v>
      </c>
      <c r="G5361">
        <v>102707864</v>
      </c>
      <c r="H5361">
        <v>102707864</v>
      </c>
      <c r="I5361">
        <v>102707864</v>
      </c>
    </row>
    <row r="5362" spans="1:9" x14ac:dyDescent="0.2">
      <c r="A5362" t="str">
        <f>"Dmrtc1c1"</f>
        <v>Dmrtc1c1</v>
      </c>
      <c r="B5362" t="s">
        <v>2376</v>
      </c>
      <c r="C5362" t="s">
        <v>37</v>
      </c>
      <c r="D5362" t="s">
        <v>17</v>
      </c>
      <c r="E5362" t="s">
        <v>20</v>
      </c>
      <c r="F5362">
        <v>102802962</v>
      </c>
      <c r="G5362">
        <v>102802962</v>
      </c>
      <c r="H5362">
        <v>102802962</v>
      </c>
      <c r="I5362">
        <v>102802962</v>
      </c>
    </row>
    <row r="5363" spans="1:9" x14ac:dyDescent="0.2">
      <c r="A5363" t="str">
        <f>"Dmrtc1c2"</f>
        <v>Dmrtc1c2</v>
      </c>
      <c r="B5363" t="s">
        <v>2377</v>
      </c>
      <c r="C5363" t="s">
        <v>37</v>
      </c>
      <c r="D5363" t="s">
        <v>11</v>
      </c>
      <c r="E5363" t="s">
        <v>20</v>
      </c>
      <c r="F5363">
        <v>102853355</v>
      </c>
      <c r="G5363">
        <v>102853355</v>
      </c>
      <c r="H5363">
        <v>102853355</v>
      </c>
      <c r="I5363">
        <v>102853355</v>
      </c>
    </row>
    <row r="5364" spans="1:9" x14ac:dyDescent="0.2">
      <c r="A5364" t="str">
        <f>"Dmrtc1c2"</f>
        <v>Dmrtc1c2</v>
      </c>
      <c r="B5364" t="s">
        <v>2378</v>
      </c>
      <c r="C5364" t="s">
        <v>37</v>
      </c>
      <c r="D5364" t="s">
        <v>11</v>
      </c>
      <c r="E5364" t="s">
        <v>20</v>
      </c>
      <c r="F5364">
        <v>102854137</v>
      </c>
      <c r="G5364">
        <v>102854137</v>
      </c>
      <c r="H5364">
        <v>102854137</v>
      </c>
      <c r="I5364">
        <v>102854137</v>
      </c>
    </row>
    <row r="5365" spans="1:9" x14ac:dyDescent="0.2">
      <c r="A5365" t="str">
        <f>"Dmrtc1c2"</f>
        <v>Dmrtc1c2</v>
      </c>
      <c r="B5365" t="s">
        <v>2379</v>
      </c>
      <c r="C5365" t="s">
        <v>37</v>
      </c>
      <c r="D5365" t="s">
        <v>11</v>
      </c>
      <c r="E5365" t="s">
        <v>20</v>
      </c>
      <c r="F5365">
        <v>102854615</v>
      </c>
      <c r="G5365">
        <v>102854615</v>
      </c>
      <c r="H5365">
        <v>102854615</v>
      </c>
      <c r="I5365">
        <v>102854615</v>
      </c>
    </row>
    <row r="5366" spans="1:9" x14ac:dyDescent="0.2">
      <c r="A5366" t="str">
        <f>"Dmrtc2"</f>
        <v>Dmrtc2</v>
      </c>
      <c r="B5366" t="s">
        <v>14</v>
      </c>
      <c r="C5366" t="s">
        <v>33</v>
      </c>
      <c r="D5366" t="s">
        <v>17</v>
      </c>
      <c r="E5366" t="s">
        <v>12</v>
      </c>
      <c r="F5366">
        <v>24870080</v>
      </c>
      <c r="G5366">
        <v>24870124</v>
      </c>
      <c r="H5366">
        <v>24870047</v>
      </c>
      <c r="I5366">
        <v>24870061</v>
      </c>
    </row>
    <row r="5367" spans="1:9" x14ac:dyDescent="0.2">
      <c r="A5367" t="str">
        <f>"Dmtf1"</f>
        <v>Dmtf1</v>
      </c>
      <c r="B5367" t="s">
        <v>14</v>
      </c>
      <c r="C5367" t="s">
        <v>46</v>
      </c>
      <c r="D5367" t="s">
        <v>11</v>
      </c>
      <c r="E5367" t="s">
        <v>12</v>
      </c>
      <c r="F5367">
        <v>9161692</v>
      </c>
      <c r="G5367">
        <v>9161762</v>
      </c>
      <c r="H5367">
        <v>9160908</v>
      </c>
      <c r="I5367">
        <v>9160912</v>
      </c>
    </row>
    <row r="5368" spans="1:9" x14ac:dyDescent="0.2">
      <c r="A5368" t="str">
        <f>"Dmtn"</f>
        <v>Dmtn</v>
      </c>
      <c r="B5368" t="s">
        <v>14</v>
      </c>
      <c r="C5368" t="s">
        <v>41</v>
      </c>
      <c r="D5368" t="s">
        <v>11</v>
      </c>
      <c r="E5368" t="s">
        <v>67</v>
      </c>
      <c r="F5368">
        <v>70627008</v>
      </c>
      <c r="G5368">
        <v>70627070</v>
      </c>
      <c r="H5368">
        <v>70627008</v>
      </c>
      <c r="I5368">
        <v>70627070</v>
      </c>
    </row>
    <row r="5369" spans="1:9" x14ac:dyDescent="0.2">
      <c r="A5369" t="str">
        <f>"Dmwd"</f>
        <v>Dmwd</v>
      </c>
      <c r="B5369" t="s">
        <v>14</v>
      </c>
      <c r="C5369" t="s">
        <v>33</v>
      </c>
      <c r="D5369" t="s">
        <v>17</v>
      </c>
      <c r="E5369" t="s">
        <v>12</v>
      </c>
      <c r="F5369">
        <v>19076173</v>
      </c>
      <c r="G5369">
        <v>19076237</v>
      </c>
      <c r="H5369">
        <v>19076242</v>
      </c>
      <c r="I5369">
        <v>19076273</v>
      </c>
    </row>
    <row r="5370" spans="1:9" x14ac:dyDescent="0.2">
      <c r="A5370" t="str">
        <f>"Dmxl1"</f>
        <v>Dmxl1</v>
      </c>
      <c r="B5370" t="s">
        <v>14</v>
      </c>
      <c r="C5370" t="s">
        <v>43</v>
      </c>
      <c r="D5370" t="s">
        <v>17</v>
      </c>
      <c r="E5370" t="s">
        <v>12</v>
      </c>
      <c r="F5370">
        <v>49832622</v>
      </c>
      <c r="G5370">
        <v>49832686</v>
      </c>
      <c r="H5370">
        <v>49832592</v>
      </c>
      <c r="I5370">
        <v>49832605</v>
      </c>
    </row>
    <row r="5371" spans="1:9" x14ac:dyDescent="0.2">
      <c r="A5371" t="str">
        <f>"Dmxl2"</f>
        <v>Dmxl2</v>
      </c>
      <c r="B5371" t="s">
        <v>14</v>
      </c>
      <c r="C5371" t="s">
        <v>24</v>
      </c>
      <c r="D5371" t="s">
        <v>11</v>
      </c>
      <c r="E5371" t="s">
        <v>12</v>
      </c>
      <c r="F5371">
        <v>54501565</v>
      </c>
      <c r="G5371">
        <v>54501644</v>
      </c>
      <c r="H5371">
        <v>54501647</v>
      </c>
      <c r="I5371">
        <v>54501683</v>
      </c>
    </row>
    <row r="5372" spans="1:9" x14ac:dyDescent="0.2">
      <c r="A5372" t="str">
        <f>"Dna2"</f>
        <v>Dna2</v>
      </c>
      <c r="B5372" t="s">
        <v>14</v>
      </c>
      <c r="C5372" t="s">
        <v>15</v>
      </c>
      <c r="D5372" t="s">
        <v>17</v>
      </c>
      <c r="E5372" t="s">
        <v>12</v>
      </c>
      <c r="F5372">
        <v>62947011</v>
      </c>
      <c r="G5372">
        <v>62947073</v>
      </c>
      <c r="H5372">
        <v>62947083</v>
      </c>
      <c r="I5372">
        <v>62947088</v>
      </c>
    </row>
    <row r="5373" spans="1:9" x14ac:dyDescent="0.2">
      <c r="A5373" t="str">
        <f>"Dnaaf1"</f>
        <v>Dnaaf1</v>
      </c>
      <c r="B5373" t="s">
        <v>14</v>
      </c>
      <c r="C5373" t="s">
        <v>30</v>
      </c>
      <c r="D5373" t="s">
        <v>17</v>
      </c>
      <c r="E5373" t="s">
        <v>67</v>
      </c>
      <c r="F5373">
        <v>119575262</v>
      </c>
      <c r="G5373">
        <v>119575340</v>
      </c>
      <c r="H5373">
        <v>119575262</v>
      </c>
      <c r="I5373">
        <v>119575340</v>
      </c>
    </row>
    <row r="5374" spans="1:9" x14ac:dyDescent="0.2">
      <c r="A5374" t="str">
        <f>"Dnaaf2"</f>
        <v>Dnaaf2</v>
      </c>
      <c r="B5374" t="s">
        <v>2380</v>
      </c>
      <c r="C5374" t="s">
        <v>16</v>
      </c>
      <c r="D5374" t="s">
        <v>11</v>
      </c>
      <c r="E5374" t="s">
        <v>35</v>
      </c>
      <c r="F5374">
        <v>69198430</v>
      </c>
      <c r="G5374">
        <v>69198433</v>
      </c>
      <c r="H5374">
        <v>69198371</v>
      </c>
      <c r="I5374">
        <v>69198385</v>
      </c>
    </row>
    <row r="5375" spans="1:9" x14ac:dyDescent="0.2">
      <c r="A5375" t="str">
        <f>"Dnaaf3"</f>
        <v>Dnaaf3</v>
      </c>
      <c r="B5375" t="s">
        <v>14</v>
      </c>
      <c r="C5375" t="s">
        <v>33</v>
      </c>
      <c r="D5375" t="s">
        <v>11</v>
      </c>
      <c r="E5375" t="s">
        <v>67</v>
      </c>
      <c r="F5375">
        <v>4532419</v>
      </c>
      <c r="G5375">
        <v>4532470</v>
      </c>
      <c r="H5375">
        <v>4532407</v>
      </c>
      <c r="I5375">
        <v>4532415</v>
      </c>
    </row>
    <row r="5376" spans="1:9" x14ac:dyDescent="0.2">
      <c r="A5376" t="str">
        <f>"Dnah1"</f>
        <v>Dnah1</v>
      </c>
      <c r="B5376" t="s">
        <v>2381</v>
      </c>
      <c r="C5376" t="s">
        <v>41</v>
      </c>
      <c r="D5376" t="s">
        <v>11</v>
      </c>
      <c r="E5376" t="s">
        <v>35</v>
      </c>
      <c r="F5376">
        <v>31323930</v>
      </c>
      <c r="G5376">
        <v>31323950</v>
      </c>
      <c r="H5376">
        <v>31323884</v>
      </c>
      <c r="I5376">
        <v>31323929</v>
      </c>
    </row>
    <row r="5377" spans="1:9" x14ac:dyDescent="0.2">
      <c r="A5377" t="str">
        <f>"Dnah10"</f>
        <v>Dnah10</v>
      </c>
      <c r="B5377" t="s">
        <v>14</v>
      </c>
      <c r="C5377" t="s">
        <v>46</v>
      </c>
      <c r="D5377" t="s">
        <v>17</v>
      </c>
      <c r="E5377" t="s">
        <v>67</v>
      </c>
      <c r="F5377">
        <v>124725119</v>
      </c>
      <c r="G5377">
        <v>124725137</v>
      </c>
      <c r="H5377">
        <v>124725143</v>
      </c>
      <c r="I5377">
        <v>124725158</v>
      </c>
    </row>
    <row r="5378" spans="1:9" x14ac:dyDescent="0.2">
      <c r="A5378" t="str">
        <f>"Dnah11"</f>
        <v>Dnah11</v>
      </c>
      <c r="B5378" t="s">
        <v>14</v>
      </c>
      <c r="C5378" t="s">
        <v>16</v>
      </c>
      <c r="D5378" t="s">
        <v>11</v>
      </c>
      <c r="E5378" t="s">
        <v>67</v>
      </c>
      <c r="F5378">
        <v>118198917</v>
      </c>
      <c r="G5378">
        <v>118198951</v>
      </c>
      <c r="H5378">
        <v>118198898</v>
      </c>
      <c r="I5378">
        <v>118198910</v>
      </c>
    </row>
    <row r="5379" spans="1:9" x14ac:dyDescent="0.2">
      <c r="A5379" t="str">
        <f>"Dnah12"</f>
        <v>Dnah12</v>
      </c>
      <c r="B5379" t="s">
        <v>2382</v>
      </c>
      <c r="C5379" t="s">
        <v>41</v>
      </c>
      <c r="D5379" t="s">
        <v>17</v>
      </c>
      <c r="E5379" t="s">
        <v>20</v>
      </c>
      <c r="F5379">
        <v>26771028</v>
      </c>
      <c r="G5379">
        <v>26771028</v>
      </c>
      <c r="H5379">
        <v>26771028</v>
      </c>
      <c r="I5379">
        <v>26771028</v>
      </c>
    </row>
    <row r="5380" spans="1:9" x14ac:dyDescent="0.2">
      <c r="A5380" t="str">
        <f>"Dnah14"</f>
        <v>Dnah14</v>
      </c>
      <c r="B5380" t="s">
        <v>2383</v>
      </c>
      <c r="C5380" t="s">
        <v>19</v>
      </c>
      <c r="D5380" t="s">
        <v>17</v>
      </c>
      <c r="E5380" t="s">
        <v>20</v>
      </c>
      <c r="F5380">
        <v>181741035</v>
      </c>
      <c r="G5380">
        <v>181741035</v>
      </c>
      <c r="H5380">
        <v>181741035</v>
      </c>
      <c r="I5380">
        <v>181741035</v>
      </c>
    </row>
    <row r="5381" spans="1:9" x14ac:dyDescent="0.2">
      <c r="A5381" t="str">
        <f>"Dnah17"</f>
        <v>Dnah17</v>
      </c>
      <c r="B5381" t="s">
        <v>2384</v>
      </c>
      <c r="C5381" t="s">
        <v>27</v>
      </c>
      <c r="D5381" t="s">
        <v>11</v>
      </c>
      <c r="E5381" t="s">
        <v>20</v>
      </c>
      <c r="F5381">
        <v>118129218</v>
      </c>
      <c r="G5381">
        <v>118129218</v>
      </c>
      <c r="H5381">
        <v>118129218</v>
      </c>
      <c r="I5381">
        <v>118129218</v>
      </c>
    </row>
    <row r="5382" spans="1:9" x14ac:dyDescent="0.2">
      <c r="A5382" t="str">
        <f>"Dnah2"</f>
        <v>Dnah2</v>
      </c>
      <c r="B5382" t="s">
        <v>2385</v>
      </c>
      <c r="C5382" t="s">
        <v>27</v>
      </c>
      <c r="D5382" t="s">
        <v>11</v>
      </c>
      <c r="E5382" t="s">
        <v>20</v>
      </c>
      <c r="F5382">
        <v>69544555</v>
      </c>
      <c r="G5382">
        <v>69544555</v>
      </c>
      <c r="H5382">
        <v>69544555</v>
      </c>
      <c r="I5382">
        <v>69544555</v>
      </c>
    </row>
    <row r="5383" spans="1:9" x14ac:dyDescent="0.2">
      <c r="A5383" t="str">
        <f>"Dnah2"</f>
        <v>Dnah2</v>
      </c>
      <c r="B5383" t="s">
        <v>2386</v>
      </c>
      <c r="C5383" t="s">
        <v>27</v>
      </c>
      <c r="D5383" t="s">
        <v>11</v>
      </c>
      <c r="E5383" t="s">
        <v>20</v>
      </c>
      <c r="F5383">
        <v>69549107</v>
      </c>
      <c r="G5383">
        <v>69549107</v>
      </c>
      <c r="H5383">
        <v>69549107</v>
      </c>
      <c r="I5383">
        <v>69549107</v>
      </c>
    </row>
    <row r="5384" spans="1:9" x14ac:dyDescent="0.2">
      <c r="A5384" t="str">
        <f>"Dnah3"</f>
        <v>Dnah3</v>
      </c>
      <c r="B5384" t="s">
        <v>14</v>
      </c>
      <c r="C5384" t="s">
        <v>33</v>
      </c>
      <c r="D5384" t="s">
        <v>11</v>
      </c>
      <c r="E5384" t="s">
        <v>67</v>
      </c>
      <c r="F5384">
        <v>120095264</v>
      </c>
      <c r="G5384">
        <v>120095312</v>
      </c>
      <c r="H5384">
        <v>120095264</v>
      </c>
      <c r="I5384">
        <v>120095312</v>
      </c>
    </row>
    <row r="5385" spans="1:9" x14ac:dyDescent="0.2">
      <c r="A5385" t="str">
        <f>"Dnah5"</f>
        <v>Dnah5</v>
      </c>
      <c r="B5385" t="s">
        <v>14</v>
      </c>
      <c r="C5385" t="s">
        <v>25</v>
      </c>
      <c r="D5385" t="s">
        <v>17</v>
      </c>
      <c r="E5385" t="s">
        <v>67</v>
      </c>
      <c r="F5385">
        <v>28203726</v>
      </c>
      <c r="G5385">
        <v>28203742</v>
      </c>
      <c r="H5385">
        <v>28203756</v>
      </c>
      <c r="I5385">
        <v>28203773</v>
      </c>
    </row>
    <row r="5386" spans="1:9" x14ac:dyDescent="0.2">
      <c r="A5386" t="str">
        <f>"Dnah6"</f>
        <v>Dnah6</v>
      </c>
      <c r="B5386" t="s">
        <v>14</v>
      </c>
      <c r="C5386" t="s">
        <v>32</v>
      </c>
      <c r="D5386" t="s">
        <v>11</v>
      </c>
      <c r="E5386" t="s">
        <v>67</v>
      </c>
      <c r="F5386">
        <v>73221625</v>
      </c>
      <c r="G5386">
        <v>73221664</v>
      </c>
      <c r="H5386">
        <v>73221608</v>
      </c>
      <c r="I5386">
        <v>73221622</v>
      </c>
    </row>
    <row r="5387" spans="1:9" x14ac:dyDescent="0.2">
      <c r="A5387" t="str">
        <f>"Dnah7a"</f>
        <v>Dnah7a</v>
      </c>
      <c r="B5387" t="s">
        <v>14</v>
      </c>
      <c r="C5387" t="s">
        <v>19</v>
      </c>
      <c r="D5387" t="s">
        <v>11</v>
      </c>
      <c r="E5387" t="s">
        <v>67</v>
      </c>
      <c r="F5387">
        <v>53706775</v>
      </c>
      <c r="G5387">
        <v>53706841</v>
      </c>
      <c r="H5387">
        <v>53706775</v>
      </c>
      <c r="I5387">
        <v>53706841</v>
      </c>
    </row>
    <row r="5388" spans="1:9" x14ac:dyDescent="0.2">
      <c r="A5388" t="str">
        <f>"Dnah7b"</f>
        <v>Dnah7b</v>
      </c>
      <c r="B5388" t="s">
        <v>14</v>
      </c>
      <c r="C5388" t="s">
        <v>19</v>
      </c>
      <c r="D5388" t="s">
        <v>17</v>
      </c>
      <c r="E5388" t="s">
        <v>67</v>
      </c>
      <c r="F5388">
        <v>46066820</v>
      </c>
      <c r="G5388">
        <v>46066844</v>
      </c>
      <c r="H5388">
        <v>46066820</v>
      </c>
      <c r="I5388">
        <v>46066844</v>
      </c>
    </row>
    <row r="5389" spans="1:9" x14ac:dyDescent="0.2">
      <c r="A5389" t="str">
        <f>"Dnah7c"</f>
        <v>Dnah7c</v>
      </c>
      <c r="B5389" t="s">
        <v>2387</v>
      </c>
      <c r="C5389" t="s">
        <v>19</v>
      </c>
      <c r="D5389" t="s">
        <v>17</v>
      </c>
      <c r="E5389" t="s">
        <v>20</v>
      </c>
      <c r="F5389">
        <v>46608960</v>
      </c>
      <c r="G5389">
        <v>46608960</v>
      </c>
      <c r="H5389">
        <v>46608960</v>
      </c>
      <c r="I5389">
        <v>46608960</v>
      </c>
    </row>
    <row r="5390" spans="1:9" x14ac:dyDescent="0.2">
      <c r="A5390" t="str">
        <f>"Dnah8"</f>
        <v>Dnah8</v>
      </c>
      <c r="B5390" t="s">
        <v>2388</v>
      </c>
      <c r="C5390" t="s">
        <v>28</v>
      </c>
      <c r="D5390" t="s">
        <v>17</v>
      </c>
      <c r="E5390" t="s">
        <v>20</v>
      </c>
      <c r="F5390">
        <v>30624353</v>
      </c>
      <c r="G5390">
        <v>30624353</v>
      </c>
      <c r="H5390">
        <v>30624353</v>
      </c>
      <c r="I5390">
        <v>30624353</v>
      </c>
    </row>
    <row r="5391" spans="1:9" x14ac:dyDescent="0.2">
      <c r="A5391" t="str">
        <f>"Dnah9"</f>
        <v>Dnah9</v>
      </c>
      <c r="B5391" t="s">
        <v>14</v>
      </c>
      <c r="C5391" t="s">
        <v>27</v>
      </c>
      <c r="D5391" t="s">
        <v>11</v>
      </c>
      <c r="E5391" t="s">
        <v>67</v>
      </c>
      <c r="F5391">
        <v>66168505</v>
      </c>
      <c r="G5391">
        <v>66168518</v>
      </c>
      <c r="H5391">
        <v>66168467</v>
      </c>
      <c r="I5391">
        <v>66168480</v>
      </c>
    </row>
    <row r="5392" spans="1:9" x14ac:dyDescent="0.2">
      <c r="A5392" t="str">
        <f>"Dnaic1"</f>
        <v>Dnaic1</v>
      </c>
      <c r="B5392" t="s">
        <v>14</v>
      </c>
      <c r="C5392" t="s">
        <v>23</v>
      </c>
      <c r="D5392" t="s">
        <v>17</v>
      </c>
      <c r="E5392" t="s">
        <v>12</v>
      </c>
      <c r="F5392">
        <v>41569828</v>
      </c>
      <c r="G5392">
        <v>41569876</v>
      </c>
      <c r="H5392">
        <v>41569791</v>
      </c>
      <c r="I5392">
        <v>41569822</v>
      </c>
    </row>
    <row r="5393" spans="1:9" x14ac:dyDescent="0.2">
      <c r="A5393" t="str">
        <f>"Dnaic2"</f>
        <v>Dnaic2</v>
      </c>
      <c r="B5393" t="s">
        <v>14</v>
      </c>
      <c r="C5393" t="s">
        <v>27</v>
      </c>
      <c r="D5393" t="s">
        <v>17</v>
      </c>
      <c r="E5393" t="s">
        <v>12</v>
      </c>
      <c r="F5393">
        <v>114727384</v>
      </c>
      <c r="G5393">
        <v>114727435</v>
      </c>
      <c r="H5393">
        <v>114727441</v>
      </c>
      <c r="I5393">
        <v>114727460</v>
      </c>
    </row>
    <row r="5394" spans="1:9" x14ac:dyDescent="0.2">
      <c r="A5394" t="str">
        <f>"Dnaja1"</f>
        <v>Dnaja1</v>
      </c>
      <c r="B5394" t="s">
        <v>14</v>
      </c>
      <c r="C5394" t="s">
        <v>23</v>
      </c>
      <c r="D5394" t="s">
        <v>17</v>
      </c>
      <c r="E5394" t="s">
        <v>12</v>
      </c>
      <c r="F5394">
        <v>40722461</v>
      </c>
      <c r="G5394">
        <v>40722512</v>
      </c>
      <c r="H5394">
        <v>40722912</v>
      </c>
      <c r="I5394">
        <v>40723001</v>
      </c>
    </row>
    <row r="5395" spans="1:9" x14ac:dyDescent="0.2">
      <c r="A5395" t="str">
        <f>"Dnaja2"</f>
        <v>Dnaja2</v>
      </c>
      <c r="B5395" t="s">
        <v>14</v>
      </c>
      <c r="C5395" t="s">
        <v>30</v>
      </c>
      <c r="D5395" t="s">
        <v>11</v>
      </c>
      <c r="E5395" t="s">
        <v>12</v>
      </c>
      <c r="F5395">
        <v>85555317</v>
      </c>
      <c r="G5395">
        <v>85555374</v>
      </c>
      <c r="H5395">
        <v>85555261</v>
      </c>
      <c r="I5395">
        <v>85555315</v>
      </c>
    </row>
    <row r="5396" spans="1:9" x14ac:dyDescent="0.2">
      <c r="A5396" t="str">
        <f>"Dnaja3"</f>
        <v>Dnaja3</v>
      </c>
      <c r="B5396" t="s">
        <v>14</v>
      </c>
      <c r="C5396" t="s">
        <v>31</v>
      </c>
      <c r="D5396" t="s">
        <v>17</v>
      </c>
      <c r="E5396" t="s">
        <v>12</v>
      </c>
      <c r="F5396">
        <v>4684099</v>
      </c>
      <c r="G5396">
        <v>4684137</v>
      </c>
      <c r="H5396">
        <v>4684229</v>
      </c>
      <c r="I5396">
        <v>4684236</v>
      </c>
    </row>
    <row r="5397" spans="1:9" x14ac:dyDescent="0.2">
      <c r="A5397" t="str">
        <f>"Dnaja4"</f>
        <v>Dnaja4</v>
      </c>
      <c r="B5397" t="s">
        <v>14</v>
      </c>
      <c r="C5397" t="s">
        <v>24</v>
      </c>
      <c r="D5397" t="s">
        <v>17</v>
      </c>
      <c r="E5397" t="s">
        <v>12</v>
      </c>
      <c r="F5397">
        <v>54699548</v>
      </c>
      <c r="G5397">
        <v>54699565</v>
      </c>
      <c r="H5397">
        <v>54699548</v>
      </c>
      <c r="I5397">
        <v>54699565</v>
      </c>
    </row>
    <row r="5398" spans="1:9" x14ac:dyDescent="0.2">
      <c r="A5398" t="str">
        <f>"Dnajb1"</f>
        <v>Dnajb1</v>
      </c>
      <c r="B5398" t="s">
        <v>14</v>
      </c>
      <c r="C5398" t="s">
        <v>30</v>
      </c>
      <c r="D5398" t="s">
        <v>17</v>
      </c>
      <c r="E5398" t="s">
        <v>12</v>
      </c>
      <c r="F5398">
        <v>83608226</v>
      </c>
      <c r="G5398">
        <v>83608280</v>
      </c>
      <c r="H5398">
        <v>83608289</v>
      </c>
      <c r="I5398">
        <v>83608308</v>
      </c>
    </row>
    <row r="5399" spans="1:9" x14ac:dyDescent="0.2">
      <c r="A5399" t="str">
        <f>"Dnajb11"</f>
        <v>Dnajb11</v>
      </c>
      <c r="B5399" t="s">
        <v>14</v>
      </c>
      <c r="C5399" t="s">
        <v>31</v>
      </c>
      <c r="D5399" t="s">
        <v>17</v>
      </c>
      <c r="E5399" t="s">
        <v>12</v>
      </c>
      <c r="F5399">
        <v>22857847</v>
      </c>
      <c r="G5399">
        <v>22857914</v>
      </c>
      <c r="H5399">
        <v>22857916</v>
      </c>
      <c r="I5399">
        <v>22857927</v>
      </c>
    </row>
    <row r="5400" spans="1:9" x14ac:dyDescent="0.2">
      <c r="A5400" t="str">
        <f>"Dnajb12"</f>
        <v>Dnajb12</v>
      </c>
      <c r="B5400" t="s">
        <v>14</v>
      </c>
      <c r="C5400" t="s">
        <v>15</v>
      </c>
      <c r="D5400" t="s">
        <v>17</v>
      </c>
      <c r="E5400" t="s">
        <v>12</v>
      </c>
      <c r="F5400">
        <v>59879569</v>
      </c>
      <c r="G5400">
        <v>59879613</v>
      </c>
      <c r="H5400">
        <v>59879617</v>
      </c>
      <c r="I5400">
        <v>59879682</v>
      </c>
    </row>
    <row r="5401" spans="1:9" x14ac:dyDescent="0.2">
      <c r="A5401" t="str">
        <f>"Dnajb13"</f>
        <v>Dnajb13</v>
      </c>
      <c r="B5401" t="s">
        <v>14</v>
      </c>
      <c r="C5401" t="s">
        <v>33</v>
      </c>
      <c r="D5401" t="s">
        <v>11</v>
      </c>
      <c r="E5401" t="s">
        <v>12</v>
      </c>
      <c r="F5401">
        <v>100514763</v>
      </c>
      <c r="G5401">
        <v>100514785</v>
      </c>
      <c r="H5401">
        <v>100514800</v>
      </c>
      <c r="I5401">
        <v>100514822</v>
      </c>
    </row>
    <row r="5402" spans="1:9" x14ac:dyDescent="0.2">
      <c r="A5402" t="str">
        <f>"Dnajb14"</f>
        <v>Dnajb14</v>
      </c>
      <c r="B5402" t="s">
        <v>14</v>
      </c>
      <c r="C5402" t="s">
        <v>22</v>
      </c>
      <c r="D5402" t="s">
        <v>17</v>
      </c>
      <c r="E5402" t="s">
        <v>12</v>
      </c>
      <c r="F5402">
        <v>137867758</v>
      </c>
      <c r="G5402">
        <v>137867797</v>
      </c>
      <c r="H5402">
        <v>137867878</v>
      </c>
      <c r="I5402">
        <v>137867913</v>
      </c>
    </row>
    <row r="5403" spans="1:9" x14ac:dyDescent="0.2">
      <c r="A5403" t="str">
        <f>"Dnajb2"</f>
        <v>Dnajb2</v>
      </c>
      <c r="B5403" t="s">
        <v>14</v>
      </c>
      <c r="C5403" t="s">
        <v>19</v>
      </c>
      <c r="D5403" t="s">
        <v>17</v>
      </c>
      <c r="E5403" t="s">
        <v>12</v>
      </c>
      <c r="F5403">
        <v>75236439</v>
      </c>
      <c r="G5403">
        <v>75236469</v>
      </c>
      <c r="H5403">
        <v>75236471</v>
      </c>
      <c r="I5403">
        <v>75236492</v>
      </c>
    </row>
    <row r="5404" spans="1:9" x14ac:dyDescent="0.2">
      <c r="A5404" t="str">
        <f>"Dnajb3"</f>
        <v>Dnajb3</v>
      </c>
      <c r="B5404" t="s">
        <v>14</v>
      </c>
      <c r="C5404" t="s">
        <v>19</v>
      </c>
      <c r="D5404" t="s">
        <v>11</v>
      </c>
      <c r="E5404" t="s">
        <v>12</v>
      </c>
      <c r="F5404">
        <v>88205674</v>
      </c>
      <c r="G5404">
        <v>88205746</v>
      </c>
      <c r="H5404">
        <v>88205750</v>
      </c>
      <c r="I5404">
        <v>88205770</v>
      </c>
    </row>
    <row r="5405" spans="1:9" x14ac:dyDescent="0.2">
      <c r="A5405" t="str">
        <f>"Dnajb4"</f>
        <v>Dnajb4</v>
      </c>
      <c r="B5405" t="s">
        <v>9</v>
      </c>
      <c r="C5405" t="s">
        <v>22</v>
      </c>
      <c r="D5405" t="s">
        <v>11</v>
      </c>
      <c r="E5405" t="s">
        <v>12</v>
      </c>
      <c r="F5405">
        <v>152193747</v>
      </c>
      <c r="G5405">
        <v>152193768</v>
      </c>
      <c r="H5405">
        <v>152193747</v>
      </c>
      <c r="I5405">
        <v>152193768</v>
      </c>
    </row>
    <row r="5406" spans="1:9" x14ac:dyDescent="0.2">
      <c r="A5406" t="str">
        <f>"Dnajb4"</f>
        <v>Dnajb4</v>
      </c>
      <c r="B5406" t="s">
        <v>13</v>
      </c>
      <c r="C5406" t="s">
        <v>22</v>
      </c>
      <c r="D5406" t="s">
        <v>11</v>
      </c>
      <c r="E5406" t="s">
        <v>12</v>
      </c>
      <c r="F5406">
        <v>152210267</v>
      </c>
      <c r="G5406">
        <v>152210320</v>
      </c>
      <c r="H5406">
        <v>152210267</v>
      </c>
      <c r="I5406">
        <v>152210320</v>
      </c>
    </row>
    <row r="5407" spans="1:9" x14ac:dyDescent="0.2">
      <c r="A5407" t="str">
        <f>"Dnajb5"</f>
        <v>Dnajb5</v>
      </c>
      <c r="B5407" t="s">
        <v>14</v>
      </c>
      <c r="C5407" t="s">
        <v>23</v>
      </c>
      <c r="D5407" t="s">
        <v>17</v>
      </c>
      <c r="E5407" t="s">
        <v>12</v>
      </c>
      <c r="F5407">
        <v>42949861</v>
      </c>
      <c r="G5407">
        <v>42949923</v>
      </c>
      <c r="H5407">
        <v>42950369</v>
      </c>
      <c r="I5407">
        <v>42950445</v>
      </c>
    </row>
    <row r="5408" spans="1:9" x14ac:dyDescent="0.2">
      <c r="A5408" t="str">
        <f>"Dnajb6"</f>
        <v>Dnajb6</v>
      </c>
      <c r="B5408" t="s">
        <v>14</v>
      </c>
      <c r="C5408" t="s">
        <v>46</v>
      </c>
      <c r="D5408" t="s">
        <v>17</v>
      </c>
      <c r="E5408" t="s">
        <v>12</v>
      </c>
      <c r="F5408">
        <v>29735967</v>
      </c>
      <c r="G5408">
        <v>29735989</v>
      </c>
      <c r="H5408">
        <v>29735991</v>
      </c>
      <c r="I5408">
        <v>29736011</v>
      </c>
    </row>
    <row r="5409" spans="1:9" x14ac:dyDescent="0.2">
      <c r="A5409" t="str">
        <f>"Dnajb7"</f>
        <v>Dnajb7</v>
      </c>
      <c r="B5409" t="s">
        <v>14</v>
      </c>
      <c r="C5409" t="s">
        <v>25</v>
      </c>
      <c r="D5409" t="s">
        <v>11</v>
      </c>
      <c r="E5409" t="s">
        <v>12</v>
      </c>
      <c r="F5409">
        <v>81408281</v>
      </c>
      <c r="G5409">
        <v>81408301</v>
      </c>
      <c r="H5409">
        <v>81408261</v>
      </c>
      <c r="I5409">
        <v>81408273</v>
      </c>
    </row>
    <row r="5410" spans="1:9" x14ac:dyDescent="0.2">
      <c r="A5410" t="str">
        <f>"Dnajb8"</f>
        <v>Dnajb8</v>
      </c>
      <c r="B5410" t="s">
        <v>14</v>
      </c>
      <c r="C5410" t="s">
        <v>32</v>
      </c>
      <c r="D5410" t="s">
        <v>17</v>
      </c>
      <c r="E5410" t="s">
        <v>12</v>
      </c>
      <c r="F5410">
        <v>88222279</v>
      </c>
      <c r="G5410">
        <v>88222295</v>
      </c>
      <c r="H5410">
        <v>88222279</v>
      </c>
      <c r="I5410">
        <v>88222295</v>
      </c>
    </row>
    <row r="5411" spans="1:9" x14ac:dyDescent="0.2">
      <c r="A5411" t="str">
        <f>"Dnajb9"</f>
        <v>Dnajb9</v>
      </c>
      <c r="B5411" t="s">
        <v>14</v>
      </c>
      <c r="C5411" t="s">
        <v>16</v>
      </c>
      <c r="D5411" t="s">
        <v>11</v>
      </c>
      <c r="E5411" t="s">
        <v>12</v>
      </c>
      <c r="F5411">
        <v>44210061</v>
      </c>
      <c r="G5411">
        <v>44210077</v>
      </c>
      <c r="H5411">
        <v>44210061</v>
      </c>
      <c r="I5411">
        <v>44210077</v>
      </c>
    </row>
    <row r="5412" spans="1:9" x14ac:dyDescent="0.2">
      <c r="A5412" t="str">
        <f>"Dnajc1"</f>
        <v>Dnajc1</v>
      </c>
      <c r="B5412" t="s">
        <v>14</v>
      </c>
      <c r="C5412" t="s">
        <v>26</v>
      </c>
      <c r="D5412" t="s">
        <v>11</v>
      </c>
      <c r="E5412" t="s">
        <v>12</v>
      </c>
      <c r="F5412">
        <v>18392736</v>
      </c>
      <c r="G5412">
        <v>18392838</v>
      </c>
      <c r="H5412">
        <v>18392552</v>
      </c>
      <c r="I5412">
        <v>18392562</v>
      </c>
    </row>
    <row r="5413" spans="1:9" x14ac:dyDescent="0.2">
      <c r="A5413" t="str">
        <f>"Dnajc10"</f>
        <v>Dnajc10</v>
      </c>
      <c r="B5413" t="s">
        <v>14</v>
      </c>
      <c r="C5413" t="s">
        <v>26</v>
      </c>
      <c r="D5413" t="s">
        <v>17</v>
      </c>
      <c r="E5413" t="s">
        <v>12</v>
      </c>
      <c r="F5413">
        <v>80315703</v>
      </c>
      <c r="G5413">
        <v>80315744</v>
      </c>
      <c r="H5413">
        <v>80315461</v>
      </c>
      <c r="I5413">
        <v>80315511</v>
      </c>
    </row>
    <row r="5414" spans="1:9" x14ac:dyDescent="0.2">
      <c r="A5414" t="str">
        <f>"Dnajc11"</f>
        <v>Dnajc11</v>
      </c>
      <c r="B5414" t="s">
        <v>14</v>
      </c>
      <c r="C5414" t="s">
        <v>23</v>
      </c>
      <c r="D5414" t="s">
        <v>17</v>
      </c>
      <c r="E5414" t="s">
        <v>12</v>
      </c>
      <c r="F5414">
        <v>151933720</v>
      </c>
      <c r="G5414">
        <v>151933755</v>
      </c>
      <c r="H5414">
        <v>151933706</v>
      </c>
      <c r="I5414">
        <v>151933715</v>
      </c>
    </row>
    <row r="5415" spans="1:9" x14ac:dyDescent="0.2">
      <c r="A5415" t="str">
        <f>"Dnajc12"</f>
        <v>Dnajc12</v>
      </c>
      <c r="B5415" t="s">
        <v>14</v>
      </c>
      <c r="C5415" t="s">
        <v>15</v>
      </c>
      <c r="D5415" t="s">
        <v>17</v>
      </c>
      <c r="E5415" t="s">
        <v>12</v>
      </c>
      <c r="F5415">
        <v>63386594</v>
      </c>
      <c r="G5415">
        <v>63386641</v>
      </c>
      <c r="H5415">
        <v>63386644</v>
      </c>
      <c r="I5415">
        <v>63386662</v>
      </c>
    </row>
    <row r="5416" spans="1:9" x14ac:dyDescent="0.2">
      <c r="A5416" t="str">
        <f>"Dnajc13"</f>
        <v>Dnajc13</v>
      </c>
      <c r="B5416" t="s">
        <v>14</v>
      </c>
      <c r="C5416" t="s">
        <v>24</v>
      </c>
      <c r="D5416" t="s">
        <v>11</v>
      </c>
      <c r="E5416" t="s">
        <v>12</v>
      </c>
      <c r="F5416">
        <v>104262900</v>
      </c>
      <c r="G5416">
        <v>104262949</v>
      </c>
      <c r="H5416">
        <v>104263102</v>
      </c>
      <c r="I5416">
        <v>104263123</v>
      </c>
    </row>
    <row r="5417" spans="1:9" x14ac:dyDescent="0.2">
      <c r="A5417" t="str">
        <f>"Dnajc14"</f>
        <v>Dnajc14</v>
      </c>
      <c r="B5417" t="s">
        <v>14</v>
      </c>
      <c r="C5417" t="s">
        <v>15</v>
      </c>
      <c r="D5417" t="s">
        <v>17</v>
      </c>
      <c r="E5417" t="s">
        <v>12</v>
      </c>
      <c r="F5417">
        <v>128805592</v>
      </c>
      <c r="G5417">
        <v>128805651</v>
      </c>
      <c r="H5417">
        <v>128805529</v>
      </c>
      <c r="I5417">
        <v>128805590</v>
      </c>
    </row>
    <row r="5418" spans="1:9" x14ac:dyDescent="0.2">
      <c r="A5418" t="str">
        <f>"Dnajc15"</f>
        <v>Dnajc15</v>
      </c>
      <c r="B5418" t="s">
        <v>14</v>
      </c>
      <c r="C5418" t="s">
        <v>41</v>
      </c>
      <c r="D5418" t="s">
        <v>11</v>
      </c>
      <c r="E5418" t="s">
        <v>12</v>
      </c>
      <c r="F5418">
        <v>77874887</v>
      </c>
      <c r="G5418">
        <v>77874941</v>
      </c>
      <c r="H5418">
        <v>77874887</v>
      </c>
      <c r="I5418">
        <v>77874941</v>
      </c>
    </row>
    <row r="5419" spans="1:9" x14ac:dyDescent="0.2">
      <c r="A5419" t="str">
        <f>"Dnajc16"</f>
        <v>Dnajc16</v>
      </c>
      <c r="B5419" t="s">
        <v>14</v>
      </c>
      <c r="C5419" t="s">
        <v>23</v>
      </c>
      <c r="D5419" t="s">
        <v>11</v>
      </c>
      <c r="E5419" t="s">
        <v>12</v>
      </c>
      <c r="F5419">
        <v>141790629</v>
      </c>
      <c r="G5419">
        <v>141790698</v>
      </c>
      <c r="H5419">
        <v>141790916</v>
      </c>
      <c r="I5419">
        <v>141790941</v>
      </c>
    </row>
    <row r="5420" spans="1:9" x14ac:dyDescent="0.2">
      <c r="A5420" t="str">
        <f>"Dnajc17"</f>
        <v>Dnajc17</v>
      </c>
      <c r="B5420" t="s">
        <v>14</v>
      </c>
      <c r="C5420" t="s">
        <v>26</v>
      </c>
      <c r="D5420" t="s">
        <v>11</v>
      </c>
      <c r="E5420" t="s">
        <v>12</v>
      </c>
      <c r="F5420">
        <v>119208767</v>
      </c>
      <c r="G5420">
        <v>119208802</v>
      </c>
      <c r="H5420">
        <v>119208808</v>
      </c>
      <c r="I5420">
        <v>119208811</v>
      </c>
    </row>
    <row r="5421" spans="1:9" x14ac:dyDescent="0.2">
      <c r="A5421" t="str">
        <f>"Dnajc18"</f>
        <v>Dnajc18</v>
      </c>
      <c r="B5421" t="s">
        <v>14</v>
      </c>
      <c r="C5421" t="s">
        <v>43</v>
      </c>
      <c r="D5421" t="s">
        <v>11</v>
      </c>
      <c r="E5421" t="s">
        <v>12</v>
      </c>
      <c r="F5421">
        <v>35703084</v>
      </c>
      <c r="G5421">
        <v>35703099</v>
      </c>
      <c r="H5421">
        <v>35703108</v>
      </c>
      <c r="I5421">
        <v>35703133</v>
      </c>
    </row>
    <row r="5422" spans="1:9" x14ac:dyDescent="0.2">
      <c r="A5422" t="str">
        <f>"Dnajc19"</f>
        <v>Dnajc19</v>
      </c>
      <c r="B5422" t="s">
        <v>14</v>
      </c>
      <c r="C5422" t="s">
        <v>22</v>
      </c>
      <c r="D5422" t="s">
        <v>11</v>
      </c>
      <c r="E5422" t="s">
        <v>12</v>
      </c>
      <c r="F5422">
        <v>34081256</v>
      </c>
      <c r="G5422">
        <v>34081347</v>
      </c>
      <c r="H5422">
        <v>34081256</v>
      </c>
      <c r="I5422">
        <v>34081347</v>
      </c>
    </row>
    <row r="5423" spans="1:9" x14ac:dyDescent="0.2">
      <c r="A5423" t="str">
        <f>"Dnajc2"</f>
        <v>Dnajc2</v>
      </c>
      <c r="B5423" t="s">
        <v>14</v>
      </c>
      <c r="C5423" t="s">
        <v>46</v>
      </c>
      <c r="D5423" t="s">
        <v>11</v>
      </c>
      <c r="E5423" t="s">
        <v>12</v>
      </c>
      <c r="F5423">
        <v>21785115</v>
      </c>
      <c r="G5423">
        <v>21785232</v>
      </c>
      <c r="H5423">
        <v>21785115</v>
      </c>
      <c r="I5423">
        <v>21785232</v>
      </c>
    </row>
    <row r="5424" spans="1:9" x14ac:dyDescent="0.2">
      <c r="A5424" t="str">
        <f>"Dnajc21"</f>
        <v>Dnajc21</v>
      </c>
      <c r="B5424" t="s">
        <v>14</v>
      </c>
      <c r="C5424" t="s">
        <v>25</v>
      </c>
      <c r="D5424" t="s">
        <v>11</v>
      </c>
      <c r="E5424" t="s">
        <v>12</v>
      </c>
      <c r="F5424">
        <v>10470530</v>
      </c>
      <c r="G5424">
        <v>10470605</v>
      </c>
      <c r="H5424">
        <v>10470490</v>
      </c>
      <c r="I5424">
        <v>10470527</v>
      </c>
    </row>
    <row r="5425" spans="1:9" x14ac:dyDescent="0.2">
      <c r="A5425" t="str">
        <f>"Dnajc22"</f>
        <v>Dnajc22</v>
      </c>
      <c r="B5425" t="s">
        <v>14</v>
      </c>
      <c r="C5425" t="s">
        <v>25</v>
      </c>
      <c r="D5425" t="s">
        <v>17</v>
      </c>
      <c r="E5425" t="s">
        <v>12</v>
      </c>
      <c r="F5425">
        <v>99099487</v>
      </c>
      <c r="G5425">
        <v>99099524</v>
      </c>
      <c r="H5425">
        <v>99099451</v>
      </c>
      <c r="I5425">
        <v>99099482</v>
      </c>
    </row>
    <row r="5426" spans="1:9" x14ac:dyDescent="0.2">
      <c r="A5426" t="str">
        <f>"Dnajc24"</f>
        <v>Dnajc24</v>
      </c>
      <c r="B5426" t="s">
        <v>14</v>
      </c>
      <c r="C5426" t="s">
        <v>26</v>
      </c>
      <c r="D5426" t="s">
        <v>11</v>
      </c>
      <c r="E5426" t="s">
        <v>12</v>
      </c>
      <c r="F5426">
        <v>106003181</v>
      </c>
      <c r="G5426">
        <v>106003277</v>
      </c>
      <c r="H5426">
        <v>106003290</v>
      </c>
      <c r="I5426">
        <v>106003295</v>
      </c>
    </row>
    <row r="5427" spans="1:9" x14ac:dyDescent="0.2">
      <c r="A5427" t="str">
        <f>"Dnajc25"</f>
        <v>Dnajc25</v>
      </c>
      <c r="B5427" t="s">
        <v>14</v>
      </c>
      <c r="C5427" t="s">
        <v>23</v>
      </c>
      <c r="D5427" t="s">
        <v>17</v>
      </c>
      <c r="E5427" t="s">
        <v>12</v>
      </c>
      <c r="F5427">
        <v>59003121</v>
      </c>
      <c r="G5427">
        <v>59003215</v>
      </c>
      <c r="H5427">
        <v>59003498</v>
      </c>
      <c r="I5427">
        <v>59003520</v>
      </c>
    </row>
    <row r="5428" spans="1:9" x14ac:dyDescent="0.2">
      <c r="A5428" t="str">
        <f>"Dnajc27"</f>
        <v>Dnajc27</v>
      </c>
      <c r="B5428" t="s">
        <v>14</v>
      </c>
      <c r="C5428" t="s">
        <v>16</v>
      </c>
      <c r="D5428" t="s">
        <v>17</v>
      </c>
      <c r="E5428" t="s">
        <v>12</v>
      </c>
      <c r="F5428">
        <v>4082596</v>
      </c>
      <c r="G5428">
        <v>4082638</v>
      </c>
      <c r="H5428">
        <v>4082575</v>
      </c>
      <c r="I5428">
        <v>4082594</v>
      </c>
    </row>
    <row r="5429" spans="1:9" x14ac:dyDescent="0.2">
      <c r="A5429" t="str">
        <f>"Dnajc28"</f>
        <v>Dnajc28</v>
      </c>
      <c r="B5429" t="s">
        <v>14</v>
      </c>
      <c r="C5429" t="s">
        <v>31</v>
      </c>
      <c r="D5429" t="s">
        <v>11</v>
      </c>
      <c r="E5429" t="s">
        <v>12</v>
      </c>
      <c r="F5429">
        <v>91618986</v>
      </c>
      <c r="G5429">
        <v>91619024</v>
      </c>
      <c r="H5429">
        <v>91619025</v>
      </c>
      <c r="I5429">
        <v>91619032</v>
      </c>
    </row>
    <row r="5430" spans="1:9" x14ac:dyDescent="0.2">
      <c r="A5430" t="str">
        <f>"Dnajc3"</f>
        <v>Dnajc3</v>
      </c>
      <c r="B5430" t="s">
        <v>14</v>
      </c>
      <c r="C5430" t="s">
        <v>41</v>
      </c>
      <c r="D5430" t="s">
        <v>17</v>
      </c>
      <c r="E5430" t="s">
        <v>12</v>
      </c>
      <c r="F5430">
        <v>118937925</v>
      </c>
      <c r="G5430">
        <v>118937992</v>
      </c>
      <c r="H5430">
        <v>118937731</v>
      </c>
      <c r="I5430">
        <v>118937732</v>
      </c>
    </row>
    <row r="5431" spans="1:9" x14ac:dyDescent="0.2">
      <c r="A5431" t="str">
        <f>"Dnajc30"</f>
        <v>Dnajc30</v>
      </c>
      <c r="B5431" t="s">
        <v>14</v>
      </c>
      <c r="C5431" t="s">
        <v>46</v>
      </c>
      <c r="D5431" t="s">
        <v>17</v>
      </c>
      <c r="E5431" t="s">
        <v>12</v>
      </c>
      <c r="F5431">
        <v>135064220</v>
      </c>
      <c r="G5431">
        <v>135064254</v>
      </c>
      <c r="H5431">
        <v>135064355</v>
      </c>
      <c r="I5431">
        <v>135064366</v>
      </c>
    </row>
    <row r="5432" spans="1:9" x14ac:dyDescent="0.2">
      <c r="A5432" t="str">
        <f>"Dnajc4"</f>
        <v>Dnajc4</v>
      </c>
      <c r="B5432" t="s">
        <v>14</v>
      </c>
      <c r="C5432" t="s">
        <v>10</v>
      </c>
      <c r="D5432" t="s">
        <v>11</v>
      </c>
      <c r="E5432" t="s">
        <v>12</v>
      </c>
      <c r="F5432">
        <v>6992570</v>
      </c>
      <c r="G5432">
        <v>6992594</v>
      </c>
      <c r="H5432">
        <v>6992478</v>
      </c>
      <c r="I5432">
        <v>6992524</v>
      </c>
    </row>
    <row r="5433" spans="1:9" x14ac:dyDescent="0.2">
      <c r="A5433" t="str">
        <f>"Dnajc5"</f>
        <v>Dnajc5</v>
      </c>
      <c r="B5433" t="s">
        <v>14</v>
      </c>
      <c r="C5433" t="s">
        <v>26</v>
      </c>
      <c r="D5433" t="s">
        <v>17</v>
      </c>
      <c r="E5433" t="s">
        <v>12</v>
      </c>
      <c r="F5433">
        <v>181520533</v>
      </c>
      <c r="G5433">
        <v>181520563</v>
      </c>
      <c r="H5433">
        <v>181520513</v>
      </c>
      <c r="I5433">
        <v>181520531</v>
      </c>
    </row>
    <row r="5434" spans="1:9" x14ac:dyDescent="0.2">
      <c r="A5434" t="str">
        <f>"Dnajc5b"</f>
        <v>Dnajc5b</v>
      </c>
      <c r="B5434" t="s">
        <v>14</v>
      </c>
      <c r="C5434" t="s">
        <v>22</v>
      </c>
      <c r="D5434" t="s">
        <v>17</v>
      </c>
      <c r="E5434" t="s">
        <v>12</v>
      </c>
      <c r="F5434">
        <v>19508606</v>
      </c>
      <c r="G5434">
        <v>19508641</v>
      </c>
      <c r="H5434">
        <v>19508589</v>
      </c>
      <c r="I5434">
        <v>19508600</v>
      </c>
    </row>
    <row r="5435" spans="1:9" x14ac:dyDescent="0.2">
      <c r="A5435" t="str">
        <f>"Dnajc5g"</f>
        <v>Dnajc5g</v>
      </c>
      <c r="B5435" t="s">
        <v>14</v>
      </c>
      <c r="C5435" t="s">
        <v>46</v>
      </c>
      <c r="D5435" t="s">
        <v>17</v>
      </c>
      <c r="E5435" t="s">
        <v>12</v>
      </c>
      <c r="F5435">
        <v>31108307</v>
      </c>
      <c r="G5435">
        <v>31108341</v>
      </c>
      <c r="H5435">
        <v>31108307</v>
      </c>
      <c r="I5435">
        <v>31108341</v>
      </c>
    </row>
    <row r="5436" spans="1:9" x14ac:dyDescent="0.2">
      <c r="A5436" t="str">
        <f>"Dnajc6"</f>
        <v>Dnajc6</v>
      </c>
      <c r="B5436" t="s">
        <v>14</v>
      </c>
      <c r="C5436" t="s">
        <v>23</v>
      </c>
      <c r="D5436" t="s">
        <v>17</v>
      </c>
      <c r="E5436" t="s">
        <v>12</v>
      </c>
      <c r="F5436">
        <v>101507947</v>
      </c>
      <c r="G5436">
        <v>101508032</v>
      </c>
      <c r="H5436">
        <v>101508099</v>
      </c>
      <c r="I5436">
        <v>101508130</v>
      </c>
    </row>
    <row r="5437" spans="1:9" x14ac:dyDescent="0.2">
      <c r="A5437" t="str">
        <f>"Dnajc7"</f>
        <v>Dnajc7</v>
      </c>
      <c r="B5437" t="s">
        <v>14</v>
      </c>
      <c r="C5437" t="s">
        <v>27</v>
      </c>
      <c r="D5437" t="s">
        <v>11</v>
      </c>
      <c r="E5437" t="s">
        <v>12</v>
      </c>
      <c r="F5437">
        <v>100619598</v>
      </c>
      <c r="G5437">
        <v>100619657</v>
      </c>
      <c r="H5437">
        <v>100619598</v>
      </c>
      <c r="I5437">
        <v>100619657</v>
      </c>
    </row>
    <row r="5438" spans="1:9" x14ac:dyDescent="0.2">
      <c r="A5438" t="str">
        <f>"Dnajc8"</f>
        <v>Dnajc8</v>
      </c>
      <c r="B5438" t="s">
        <v>14</v>
      </c>
      <c r="C5438" t="s">
        <v>23</v>
      </c>
      <c r="D5438" t="s">
        <v>17</v>
      </c>
      <c r="E5438" t="s">
        <v>12</v>
      </c>
      <c r="F5438">
        <v>132535542</v>
      </c>
      <c r="G5438">
        <v>132535585</v>
      </c>
      <c r="H5438">
        <v>132535992</v>
      </c>
      <c r="I5438">
        <v>132536001</v>
      </c>
    </row>
    <row r="5439" spans="1:9" x14ac:dyDescent="0.2">
      <c r="A5439" t="str">
        <f>"Dnajc9"</f>
        <v>Dnajc9</v>
      </c>
      <c r="B5439" t="s">
        <v>14</v>
      </c>
      <c r="C5439" t="s">
        <v>41</v>
      </c>
      <c r="D5439" t="s">
        <v>11</v>
      </c>
      <c r="E5439" t="s">
        <v>12</v>
      </c>
      <c r="F5439">
        <v>20388822</v>
      </c>
      <c r="G5439">
        <v>20388912</v>
      </c>
      <c r="H5439">
        <v>20388913</v>
      </c>
      <c r="I5439">
        <v>20388927</v>
      </c>
    </row>
    <row r="5440" spans="1:9" x14ac:dyDescent="0.2">
      <c r="A5440" t="str">
        <f>"Dnal1"</f>
        <v>Dnal1</v>
      </c>
      <c r="B5440" t="s">
        <v>14</v>
      </c>
      <c r="C5440" t="s">
        <v>16</v>
      </c>
      <c r="D5440" t="s">
        <v>17</v>
      </c>
      <c r="E5440" t="s">
        <v>67</v>
      </c>
      <c r="F5440">
        <v>84114321</v>
      </c>
      <c r="G5440">
        <v>84114383</v>
      </c>
      <c r="H5440">
        <v>84114299</v>
      </c>
      <c r="I5440">
        <v>84114310</v>
      </c>
    </row>
    <row r="5441" spans="1:9" x14ac:dyDescent="0.2">
      <c r="A5441" t="str">
        <f>"Dnal4"</f>
        <v>Dnal4</v>
      </c>
      <c r="B5441" t="s">
        <v>14</v>
      </c>
      <c r="C5441" t="s">
        <v>25</v>
      </c>
      <c r="D5441" t="s">
        <v>11</v>
      </c>
      <c r="E5441" t="s">
        <v>67</v>
      </c>
      <c r="F5441">
        <v>79774408</v>
      </c>
      <c r="G5441">
        <v>79774474</v>
      </c>
      <c r="H5441">
        <v>79774383</v>
      </c>
      <c r="I5441">
        <v>79774394</v>
      </c>
    </row>
    <row r="5442" spans="1:9" x14ac:dyDescent="0.2">
      <c r="A5442" t="str">
        <f>"Dnali1"</f>
        <v>Dnali1</v>
      </c>
      <c r="B5442" t="s">
        <v>14</v>
      </c>
      <c r="C5442" t="s">
        <v>23</v>
      </c>
      <c r="D5442" t="s">
        <v>11</v>
      </c>
      <c r="E5442" t="s">
        <v>12</v>
      </c>
      <c r="F5442">
        <v>125065603</v>
      </c>
      <c r="G5442">
        <v>125065672</v>
      </c>
      <c r="H5442">
        <v>125065676</v>
      </c>
      <c r="I5442">
        <v>125065679</v>
      </c>
    </row>
    <row r="5443" spans="1:9" x14ac:dyDescent="0.2">
      <c r="A5443" t="str">
        <f>"Dnase1"</f>
        <v>Dnase1</v>
      </c>
      <c r="B5443" t="s">
        <v>14</v>
      </c>
      <c r="C5443" t="s">
        <v>31</v>
      </c>
      <c r="D5443" t="s">
        <v>17</v>
      </c>
      <c r="E5443" t="s">
        <v>12</v>
      </c>
      <c r="F5443">
        <v>4037136</v>
      </c>
      <c r="G5443">
        <v>4037152</v>
      </c>
      <c r="H5443">
        <v>4037092</v>
      </c>
      <c r="I5443">
        <v>4037103</v>
      </c>
    </row>
    <row r="5444" spans="1:9" x14ac:dyDescent="0.2">
      <c r="A5444" t="str">
        <f>"Dnase1l1"</f>
        <v>Dnase1l1</v>
      </c>
      <c r="B5444" t="s">
        <v>14</v>
      </c>
      <c r="C5444" t="s">
        <v>37</v>
      </c>
      <c r="D5444" t="s">
        <v>11</v>
      </c>
      <c r="E5444" t="s">
        <v>12</v>
      </c>
      <c r="F5444">
        <v>74281612</v>
      </c>
      <c r="G5444">
        <v>74281655</v>
      </c>
      <c r="H5444">
        <v>74281707</v>
      </c>
      <c r="I5444">
        <v>74281737</v>
      </c>
    </row>
    <row r="5445" spans="1:9" x14ac:dyDescent="0.2">
      <c r="A5445" t="str">
        <f>"Dnase1l2"</f>
        <v>Dnase1l2</v>
      </c>
      <c r="B5445" t="s">
        <v>14</v>
      </c>
      <c r="C5445" t="s">
        <v>28</v>
      </c>
      <c r="D5445" t="s">
        <v>11</v>
      </c>
      <c r="E5445" t="s">
        <v>12</v>
      </c>
      <c r="F5445">
        <v>24443093</v>
      </c>
      <c r="G5445">
        <v>24443109</v>
      </c>
      <c r="H5445">
        <v>24443077</v>
      </c>
      <c r="I5445">
        <v>24443090</v>
      </c>
    </row>
    <row r="5446" spans="1:9" x14ac:dyDescent="0.2">
      <c r="A5446" t="str">
        <f>"Dnase1l3"</f>
        <v>Dnase1l3</v>
      </c>
      <c r="B5446" t="s">
        <v>14</v>
      </c>
      <c r="C5446" t="s">
        <v>41</v>
      </c>
      <c r="D5446" t="s">
        <v>11</v>
      </c>
      <c r="E5446" t="s">
        <v>12</v>
      </c>
      <c r="F5446">
        <v>7994005</v>
      </c>
      <c r="G5446">
        <v>7994020</v>
      </c>
      <c r="H5446">
        <v>7994191</v>
      </c>
      <c r="I5446">
        <v>7994217</v>
      </c>
    </row>
    <row r="5447" spans="1:9" x14ac:dyDescent="0.2">
      <c r="A5447" t="str">
        <f>"Dnase2a"</f>
        <v>Dnase2a</v>
      </c>
      <c r="B5447" t="s">
        <v>14</v>
      </c>
      <c r="C5447" t="s">
        <v>30</v>
      </c>
      <c r="D5447" t="s">
        <v>17</v>
      </c>
      <c r="E5447" t="s">
        <v>12</v>
      </c>
      <c r="F5447">
        <v>84908737</v>
      </c>
      <c r="G5447">
        <v>84908767</v>
      </c>
      <c r="H5447">
        <v>84908613</v>
      </c>
      <c r="I5447">
        <v>84908673</v>
      </c>
    </row>
    <row r="5448" spans="1:9" x14ac:dyDescent="0.2">
      <c r="A5448" t="str">
        <f>"Dnase2b"</f>
        <v>Dnase2b</v>
      </c>
      <c r="B5448" t="s">
        <v>9</v>
      </c>
      <c r="C5448" t="s">
        <v>22</v>
      </c>
      <c r="D5448" t="s">
        <v>11</v>
      </c>
      <c r="E5448" t="s">
        <v>12</v>
      </c>
      <c r="F5448">
        <v>146615587</v>
      </c>
      <c r="G5448">
        <v>146615604</v>
      </c>
      <c r="H5448">
        <v>146615587</v>
      </c>
      <c r="I5448">
        <v>146615604</v>
      </c>
    </row>
    <row r="5449" spans="1:9" x14ac:dyDescent="0.2">
      <c r="A5449" t="str">
        <f>"Dnase2b"</f>
        <v>Dnase2b</v>
      </c>
      <c r="B5449" t="s">
        <v>13</v>
      </c>
      <c r="C5449" t="s">
        <v>22</v>
      </c>
      <c r="D5449" t="s">
        <v>11</v>
      </c>
      <c r="E5449" t="s">
        <v>12</v>
      </c>
      <c r="F5449">
        <v>146596588</v>
      </c>
      <c r="G5449">
        <v>146596611</v>
      </c>
      <c r="H5449">
        <v>146596588</v>
      </c>
      <c r="I5449">
        <v>146596611</v>
      </c>
    </row>
    <row r="5450" spans="1:9" x14ac:dyDescent="0.2">
      <c r="A5450" t="str">
        <f>"Dnd1"</f>
        <v>Dnd1</v>
      </c>
      <c r="B5450" t="s">
        <v>14</v>
      </c>
      <c r="C5450" t="s">
        <v>43</v>
      </c>
      <c r="D5450" t="s">
        <v>11</v>
      </c>
      <c r="E5450" t="s">
        <v>12</v>
      </c>
      <c r="F5450">
        <v>36766218</v>
      </c>
      <c r="G5450">
        <v>36766237</v>
      </c>
      <c r="H5450">
        <v>36766193</v>
      </c>
      <c r="I5450">
        <v>36766203</v>
      </c>
    </row>
    <row r="5451" spans="1:9" x14ac:dyDescent="0.2">
      <c r="A5451" t="str">
        <f>"Dner"</f>
        <v>Dner</v>
      </c>
      <c r="B5451" t="s">
        <v>14</v>
      </c>
      <c r="C5451" t="s">
        <v>19</v>
      </c>
      <c r="D5451" t="s">
        <v>11</v>
      </c>
      <c r="E5451" t="s">
        <v>12</v>
      </c>
      <c r="F5451">
        <v>84695784</v>
      </c>
      <c r="G5451">
        <v>84695868</v>
      </c>
      <c r="H5451">
        <v>84695784</v>
      </c>
      <c r="I5451">
        <v>84695868</v>
      </c>
    </row>
    <row r="5452" spans="1:9" x14ac:dyDescent="0.2">
      <c r="A5452" t="str">
        <f>"Dnhd1"</f>
        <v>Dnhd1</v>
      </c>
      <c r="B5452" t="s">
        <v>2389</v>
      </c>
      <c r="C5452" t="s">
        <v>33</v>
      </c>
      <c r="D5452" t="s">
        <v>17</v>
      </c>
      <c r="E5452" t="s">
        <v>20</v>
      </c>
      <c r="F5452">
        <v>105678023</v>
      </c>
      <c r="G5452">
        <v>105678023</v>
      </c>
      <c r="H5452">
        <v>105678023</v>
      </c>
      <c r="I5452">
        <v>105678023</v>
      </c>
    </row>
    <row r="5453" spans="1:9" x14ac:dyDescent="0.2">
      <c r="A5453" t="str">
        <f>"Dnlz"</f>
        <v>Dnlz</v>
      </c>
      <c r="B5453" t="s">
        <v>14</v>
      </c>
      <c r="C5453" t="s">
        <v>26</v>
      </c>
      <c r="D5453" t="s">
        <v>11</v>
      </c>
      <c r="E5453" t="s">
        <v>12</v>
      </c>
      <c r="F5453">
        <v>26352067</v>
      </c>
      <c r="G5453">
        <v>26352115</v>
      </c>
      <c r="H5453">
        <v>26351987</v>
      </c>
      <c r="I5453">
        <v>26352053</v>
      </c>
    </row>
    <row r="5454" spans="1:9" x14ac:dyDescent="0.2">
      <c r="A5454" t="str">
        <f>"Dnm1"</f>
        <v>Dnm1</v>
      </c>
      <c r="B5454" t="s">
        <v>14</v>
      </c>
      <c r="C5454" t="s">
        <v>26</v>
      </c>
      <c r="D5454" t="s">
        <v>11</v>
      </c>
      <c r="E5454" t="s">
        <v>12</v>
      </c>
      <c r="F5454">
        <v>32353283</v>
      </c>
      <c r="G5454">
        <v>32353311</v>
      </c>
      <c r="H5454">
        <v>32353251</v>
      </c>
      <c r="I5454">
        <v>32353282</v>
      </c>
    </row>
    <row r="5455" spans="1:9" x14ac:dyDescent="0.2">
      <c r="A5455" t="str">
        <f>"Dnm1l"</f>
        <v>Dnm1l</v>
      </c>
      <c r="B5455" t="s">
        <v>14</v>
      </c>
      <c r="C5455" t="s">
        <v>31</v>
      </c>
      <c r="D5455" t="s">
        <v>11</v>
      </c>
      <c r="E5455" t="s">
        <v>12</v>
      </c>
      <c r="F5455">
        <v>16358903</v>
      </c>
      <c r="G5455">
        <v>16359009</v>
      </c>
      <c r="H5455">
        <v>16358528</v>
      </c>
      <c r="I5455">
        <v>16358573</v>
      </c>
    </row>
    <row r="5456" spans="1:9" x14ac:dyDescent="0.2">
      <c r="A5456" t="str">
        <f>"Dnm2"</f>
        <v>Dnm2</v>
      </c>
      <c r="B5456" t="s">
        <v>14</v>
      </c>
      <c r="C5456" t="s">
        <v>24</v>
      </c>
      <c r="D5456" t="s">
        <v>17</v>
      </c>
      <c r="E5456" t="s">
        <v>12</v>
      </c>
      <c r="F5456">
        <v>21424901</v>
      </c>
      <c r="G5456">
        <v>21424981</v>
      </c>
      <c r="H5456">
        <v>21424984</v>
      </c>
      <c r="I5456">
        <v>21425021</v>
      </c>
    </row>
    <row r="5457" spans="1:9" x14ac:dyDescent="0.2">
      <c r="A5457" t="str">
        <f>"Dnm3"</f>
        <v>Dnm3</v>
      </c>
      <c r="B5457" t="s">
        <v>14</v>
      </c>
      <c r="C5457" t="s">
        <v>19</v>
      </c>
      <c r="D5457" t="s">
        <v>11</v>
      </c>
      <c r="E5457" t="s">
        <v>12</v>
      </c>
      <c r="F5457">
        <v>162477946</v>
      </c>
      <c r="G5457">
        <v>162478001</v>
      </c>
      <c r="H5457">
        <v>162478004</v>
      </c>
      <c r="I5457">
        <v>162478022</v>
      </c>
    </row>
    <row r="5458" spans="1:9" x14ac:dyDescent="0.2">
      <c r="A5458" t="str">
        <f>"Dnmbp"</f>
        <v>Dnmbp</v>
      </c>
      <c r="B5458" t="s">
        <v>2390</v>
      </c>
      <c r="C5458" t="s">
        <v>10</v>
      </c>
      <c r="D5458" t="s">
        <v>11</v>
      </c>
      <c r="E5458" t="s">
        <v>20</v>
      </c>
      <c r="F5458">
        <v>43912391</v>
      </c>
      <c r="G5458">
        <v>43912391</v>
      </c>
      <c r="H5458">
        <v>43912391</v>
      </c>
      <c r="I5458">
        <v>43912391</v>
      </c>
    </row>
    <row r="5459" spans="1:9" x14ac:dyDescent="0.2">
      <c r="A5459" t="str">
        <f>"Dnmt1"</f>
        <v>Dnmt1</v>
      </c>
      <c r="B5459" t="s">
        <v>14</v>
      </c>
      <c r="C5459" t="s">
        <v>24</v>
      </c>
      <c r="D5459" t="s">
        <v>11</v>
      </c>
      <c r="E5459" t="s">
        <v>12</v>
      </c>
      <c r="F5459">
        <v>20952802</v>
      </c>
      <c r="G5459">
        <v>20952834</v>
      </c>
      <c r="H5459">
        <v>20952838</v>
      </c>
      <c r="I5459">
        <v>20952881</v>
      </c>
    </row>
    <row r="5460" spans="1:9" x14ac:dyDescent="0.2">
      <c r="A5460" t="str">
        <f>"Dnmt3a"</f>
        <v>Dnmt3a</v>
      </c>
      <c r="B5460" t="s">
        <v>9</v>
      </c>
      <c r="C5460" t="s">
        <v>16</v>
      </c>
      <c r="D5460" t="s">
        <v>17</v>
      </c>
      <c r="E5460" t="s">
        <v>12</v>
      </c>
      <c r="F5460">
        <v>3807017</v>
      </c>
      <c r="G5460">
        <v>3807063</v>
      </c>
      <c r="H5460">
        <v>3807017</v>
      </c>
      <c r="I5460">
        <v>3807063</v>
      </c>
    </row>
    <row r="5461" spans="1:9" x14ac:dyDescent="0.2">
      <c r="A5461" t="str">
        <f>"Dnmt3a"</f>
        <v>Dnmt3a</v>
      </c>
      <c r="B5461" t="s">
        <v>13</v>
      </c>
      <c r="C5461" t="s">
        <v>16</v>
      </c>
      <c r="D5461" t="s">
        <v>17</v>
      </c>
      <c r="E5461" t="s">
        <v>12</v>
      </c>
      <c r="F5461">
        <v>3891810</v>
      </c>
      <c r="G5461">
        <v>3891829</v>
      </c>
      <c r="H5461">
        <v>3891810</v>
      </c>
      <c r="I5461">
        <v>3891829</v>
      </c>
    </row>
    <row r="5462" spans="1:9" x14ac:dyDescent="0.2">
      <c r="A5462" t="str">
        <f>"Dnmt3b"</f>
        <v>Dnmt3b</v>
      </c>
      <c r="B5462" t="s">
        <v>14</v>
      </c>
      <c r="C5462" t="s">
        <v>26</v>
      </c>
      <c r="D5462" t="s">
        <v>17</v>
      </c>
      <c r="E5462" t="s">
        <v>12</v>
      </c>
      <c r="F5462">
        <v>153649442</v>
      </c>
      <c r="G5462">
        <v>153649460</v>
      </c>
      <c r="H5462">
        <v>153649474</v>
      </c>
      <c r="I5462">
        <v>153649516</v>
      </c>
    </row>
    <row r="5463" spans="1:9" x14ac:dyDescent="0.2">
      <c r="A5463" t="str">
        <f>"Dnmt3l"</f>
        <v>Dnmt3l</v>
      </c>
      <c r="B5463" t="s">
        <v>14</v>
      </c>
      <c r="C5463" t="s">
        <v>15</v>
      </c>
      <c r="D5463" t="s">
        <v>17</v>
      </c>
      <c r="E5463" t="s">
        <v>12</v>
      </c>
      <c r="F5463">
        <v>78054825</v>
      </c>
      <c r="G5463">
        <v>78054836</v>
      </c>
      <c r="H5463">
        <v>78054825</v>
      </c>
      <c r="I5463">
        <v>78054836</v>
      </c>
    </row>
    <row r="5464" spans="1:9" x14ac:dyDescent="0.2">
      <c r="A5464" t="str">
        <f>"Dnpep"</f>
        <v>Dnpep</v>
      </c>
      <c r="B5464" t="s">
        <v>14</v>
      </c>
      <c r="C5464" t="s">
        <v>19</v>
      </c>
      <c r="D5464" t="s">
        <v>11</v>
      </c>
      <c r="E5464" t="s">
        <v>12</v>
      </c>
      <c r="F5464">
        <v>75317360</v>
      </c>
      <c r="G5464">
        <v>75317491</v>
      </c>
      <c r="H5464">
        <v>75316998</v>
      </c>
      <c r="I5464">
        <v>75317025</v>
      </c>
    </row>
    <row r="5465" spans="1:9" x14ac:dyDescent="0.2">
      <c r="A5465" t="str">
        <f>"Dnph1"</f>
        <v>Dnph1</v>
      </c>
      <c r="B5465" t="s">
        <v>14</v>
      </c>
      <c r="C5465" t="s">
        <v>28</v>
      </c>
      <c r="D5465" t="s">
        <v>17</v>
      </c>
      <c r="E5465" t="s">
        <v>67</v>
      </c>
      <c r="F5465">
        <v>46496753</v>
      </c>
      <c r="G5465">
        <v>46496809</v>
      </c>
      <c r="H5465">
        <v>46496753</v>
      </c>
      <c r="I5465">
        <v>46496809</v>
      </c>
    </row>
    <row r="5466" spans="1:9" x14ac:dyDescent="0.2">
      <c r="A5466" t="str">
        <f>"Dntt"</f>
        <v>Dntt</v>
      </c>
      <c r="B5466" t="s">
        <v>14</v>
      </c>
      <c r="C5466" t="s">
        <v>10</v>
      </c>
      <c r="D5466" t="s">
        <v>17</v>
      </c>
      <c r="E5466" t="s">
        <v>12</v>
      </c>
      <c r="F5466">
        <v>41029379</v>
      </c>
      <c r="G5466">
        <v>41029398</v>
      </c>
      <c r="H5466">
        <v>41029379</v>
      </c>
      <c r="I5466">
        <v>41029398</v>
      </c>
    </row>
    <row r="5467" spans="1:9" x14ac:dyDescent="0.2">
      <c r="A5467" t="str">
        <f>"Dnttip1"</f>
        <v>Dnttip1</v>
      </c>
      <c r="B5467" t="s">
        <v>14</v>
      </c>
      <c r="C5467" t="s">
        <v>26</v>
      </c>
      <c r="D5467" t="s">
        <v>17</v>
      </c>
      <c r="E5467" t="s">
        <v>12</v>
      </c>
      <c r="F5467">
        <v>164745979</v>
      </c>
      <c r="G5467">
        <v>164746025</v>
      </c>
      <c r="H5467">
        <v>164746028</v>
      </c>
      <c r="I5467">
        <v>164746039</v>
      </c>
    </row>
    <row r="5468" spans="1:9" x14ac:dyDescent="0.2">
      <c r="A5468" t="str">
        <f>"Dnttip2"</f>
        <v>Dnttip2</v>
      </c>
      <c r="B5468" t="s">
        <v>14</v>
      </c>
      <c r="C5468" t="s">
        <v>22</v>
      </c>
      <c r="D5468" t="s">
        <v>17</v>
      </c>
      <c r="E5468" t="s">
        <v>12</v>
      </c>
      <c r="F5468">
        <v>122274371</v>
      </c>
      <c r="G5468">
        <v>122274415</v>
      </c>
      <c r="H5468">
        <v>122274234</v>
      </c>
      <c r="I5468">
        <v>122274249</v>
      </c>
    </row>
    <row r="5469" spans="1:9" x14ac:dyDescent="0.2">
      <c r="A5469" t="str">
        <f>"Doc2a"</f>
        <v>Doc2a</v>
      </c>
      <c r="B5469" t="s">
        <v>14</v>
      </c>
      <c r="C5469" t="s">
        <v>33</v>
      </c>
      <c r="D5469" t="s">
        <v>17</v>
      </c>
      <c r="E5469" t="s">
        <v>12</v>
      </c>
      <c r="F5469">
        <v>126847707</v>
      </c>
      <c r="G5469">
        <v>126847758</v>
      </c>
      <c r="H5469">
        <v>126847923</v>
      </c>
      <c r="I5469">
        <v>126847943</v>
      </c>
    </row>
    <row r="5470" spans="1:9" x14ac:dyDescent="0.2">
      <c r="A5470" t="str">
        <f>"Doc2b"</f>
        <v>Doc2b</v>
      </c>
      <c r="B5470" t="s">
        <v>14</v>
      </c>
      <c r="C5470" t="s">
        <v>27</v>
      </c>
      <c r="D5470" t="s">
        <v>11</v>
      </c>
      <c r="E5470" t="s">
        <v>12</v>
      </c>
      <c r="F5470">
        <v>75796048</v>
      </c>
      <c r="G5470">
        <v>75796081</v>
      </c>
      <c r="H5470">
        <v>75796032</v>
      </c>
      <c r="I5470">
        <v>75796037</v>
      </c>
    </row>
    <row r="5471" spans="1:9" x14ac:dyDescent="0.2">
      <c r="A5471" t="str">
        <f>"Doc2g"</f>
        <v>Doc2g</v>
      </c>
      <c r="B5471" t="s">
        <v>14</v>
      </c>
      <c r="C5471" t="s">
        <v>10</v>
      </c>
      <c r="D5471" t="s">
        <v>17</v>
      </c>
      <c r="E5471" t="s">
        <v>12</v>
      </c>
      <c r="F5471">
        <v>4003290</v>
      </c>
      <c r="G5471">
        <v>4003333</v>
      </c>
      <c r="H5471">
        <v>4003334</v>
      </c>
      <c r="I5471">
        <v>4003366</v>
      </c>
    </row>
    <row r="5472" spans="1:9" x14ac:dyDescent="0.2">
      <c r="A5472" t="str">
        <f>"Dock1"</f>
        <v>Dock1</v>
      </c>
      <c r="B5472" t="s">
        <v>14</v>
      </c>
      <c r="C5472" t="s">
        <v>33</v>
      </c>
      <c r="D5472" t="s">
        <v>17</v>
      </c>
      <c r="E5472" t="s">
        <v>12</v>
      </c>
      <c r="F5472">
        <v>134670667</v>
      </c>
      <c r="G5472">
        <v>134670715</v>
      </c>
      <c r="H5472">
        <v>134670650</v>
      </c>
      <c r="I5472">
        <v>134670661</v>
      </c>
    </row>
    <row r="5473" spans="1:9" x14ac:dyDescent="0.2">
      <c r="A5473" t="str">
        <f>"Dock10"</f>
        <v>Dock10</v>
      </c>
      <c r="B5473" t="s">
        <v>2391</v>
      </c>
      <c r="C5473" t="s">
        <v>19</v>
      </c>
      <c r="D5473" t="s">
        <v>11</v>
      </c>
      <c r="E5473" t="s">
        <v>35</v>
      </c>
      <c r="F5473">
        <v>80758662</v>
      </c>
      <c r="G5473">
        <v>80758680</v>
      </c>
      <c r="H5473">
        <v>80758481</v>
      </c>
      <c r="I5473">
        <v>80758499</v>
      </c>
    </row>
    <row r="5474" spans="1:9" x14ac:dyDescent="0.2">
      <c r="A5474" t="str">
        <f>"Dock11"</f>
        <v>Dock11</v>
      </c>
      <c r="B5474" t="s">
        <v>14</v>
      </c>
      <c r="C5474" t="s">
        <v>37</v>
      </c>
      <c r="D5474" t="s">
        <v>17</v>
      </c>
      <c r="E5474" t="s">
        <v>12</v>
      </c>
      <c r="F5474">
        <v>35888808</v>
      </c>
      <c r="G5474">
        <v>35888859</v>
      </c>
      <c r="H5474">
        <v>35888638</v>
      </c>
      <c r="I5474">
        <v>35888683</v>
      </c>
    </row>
    <row r="5475" spans="1:9" x14ac:dyDescent="0.2">
      <c r="A5475" t="str">
        <f>"Dock2"</f>
        <v>Dock2</v>
      </c>
      <c r="B5475" t="s">
        <v>14</v>
      </c>
      <c r="C5475" t="s">
        <v>27</v>
      </c>
      <c r="D5475" t="s">
        <v>11</v>
      </c>
      <c r="E5475" t="s">
        <v>12</v>
      </c>
      <c r="F5475">
        <v>34783850</v>
      </c>
      <c r="G5475">
        <v>34783900</v>
      </c>
      <c r="H5475">
        <v>34783850</v>
      </c>
      <c r="I5475">
        <v>34783900</v>
      </c>
    </row>
    <row r="5476" spans="1:9" x14ac:dyDescent="0.2">
      <c r="A5476" t="str">
        <f>"Dock3"</f>
        <v>Dock3</v>
      </c>
      <c r="B5476" t="s">
        <v>14</v>
      </c>
      <c r="C5476" t="s">
        <v>24</v>
      </c>
      <c r="D5476" t="s">
        <v>11</v>
      </c>
      <c r="E5476" t="s">
        <v>12</v>
      </c>
      <c r="F5476">
        <v>107231816</v>
      </c>
      <c r="G5476">
        <v>107231894</v>
      </c>
      <c r="H5476">
        <v>107231909</v>
      </c>
      <c r="I5476">
        <v>107231918</v>
      </c>
    </row>
    <row r="5477" spans="1:9" x14ac:dyDescent="0.2">
      <c r="A5477" t="str">
        <f>"Dock4"</f>
        <v>Dock4</v>
      </c>
      <c r="B5477" t="s">
        <v>14</v>
      </c>
      <c r="C5477" t="s">
        <v>16</v>
      </c>
      <c r="D5477" t="s">
        <v>17</v>
      </c>
      <c r="E5477" t="s">
        <v>12</v>
      </c>
      <c r="F5477">
        <v>40446050</v>
      </c>
      <c r="G5477">
        <v>40446099</v>
      </c>
      <c r="H5477">
        <v>40445993</v>
      </c>
      <c r="I5477">
        <v>40446015</v>
      </c>
    </row>
    <row r="5478" spans="1:9" x14ac:dyDescent="0.2">
      <c r="A5478" t="str">
        <f>"Dock5"</f>
        <v>Dock5</v>
      </c>
      <c r="B5478" t="s">
        <v>14</v>
      </c>
      <c r="C5478" t="s">
        <v>41</v>
      </c>
      <c r="D5478" t="s">
        <v>11</v>
      </c>
      <c r="E5478" t="s">
        <v>12</v>
      </c>
      <c r="F5478">
        <v>67933512</v>
      </c>
      <c r="G5478">
        <v>67933585</v>
      </c>
      <c r="H5478">
        <v>67933692</v>
      </c>
      <c r="I5478">
        <v>67933706</v>
      </c>
    </row>
    <row r="5479" spans="1:9" x14ac:dyDescent="0.2">
      <c r="A5479" t="str">
        <f>"Dock6"</f>
        <v>Dock6</v>
      </c>
      <c r="B5479" t="s">
        <v>14</v>
      </c>
      <c r="C5479" t="s">
        <v>24</v>
      </c>
      <c r="D5479" t="s">
        <v>11</v>
      </c>
      <c r="E5479" t="s">
        <v>12</v>
      </c>
      <c r="F5479">
        <v>21852603</v>
      </c>
      <c r="G5479">
        <v>21852644</v>
      </c>
      <c r="H5479">
        <v>21852773</v>
      </c>
      <c r="I5479">
        <v>21852784</v>
      </c>
    </row>
    <row r="5480" spans="1:9" x14ac:dyDescent="0.2">
      <c r="A5480" t="str">
        <f>"Dock7"</f>
        <v>Dock7</v>
      </c>
      <c r="B5480" t="s">
        <v>14</v>
      </c>
      <c r="C5480" t="s">
        <v>23</v>
      </c>
      <c r="D5480" t="s">
        <v>11</v>
      </c>
      <c r="E5480" t="s">
        <v>12</v>
      </c>
      <c r="F5480">
        <v>99120856</v>
      </c>
      <c r="G5480">
        <v>99120894</v>
      </c>
      <c r="H5480">
        <v>99120898</v>
      </c>
      <c r="I5480">
        <v>99120935</v>
      </c>
    </row>
    <row r="5481" spans="1:9" x14ac:dyDescent="0.2">
      <c r="A5481" t="str">
        <f>"Dock8"</f>
        <v>Dock8</v>
      </c>
      <c r="B5481" t="s">
        <v>2392</v>
      </c>
      <c r="C5481" t="s">
        <v>10</v>
      </c>
      <c r="D5481" t="s">
        <v>17</v>
      </c>
      <c r="E5481" t="s">
        <v>35</v>
      </c>
      <c r="F5481">
        <v>24999436</v>
      </c>
      <c r="G5481">
        <v>24999437</v>
      </c>
      <c r="H5481">
        <v>24999571</v>
      </c>
      <c r="I5481">
        <v>24999578</v>
      </c>
    </row>
    <row r="5482" spans="1:9" x14ac:dyDescent="0.2">
      <c r="A5482" t="str">
        <f>"Dock9"</f>
        <v>Dock9</v>
      </c>
      <c r="B5482" t="s">
        <v>9</v>
      </c>
      <c r="C5482" t="s">
        <v>41</v>
      </c>
      <c r="D5482" t="s">
        <v>11</v>
      </c>
      <c r="E5482" t="s">
        <v>12</v>
      </c>
      <c r="F5482">
        <v>121698420</v>
      </c>
      <c r="G5482">
        <v>121698448</v>
      </c>
      <c r="H5482">
        <v>121698420</v>
      </c>
      <c r="I5482">
        <v>121698448</v>
      </c>
    </row>
    <row r="5483" spans="1:9" x14ac:dyDescent="0.2">
      <c r="A5483" t="str">
        <f>"Dock9"</f>
        <v>Dock9</v>
      </c>
      <c r="B5483" t="s">
        <v>13</v>
      </c>
      <c r="C5483" t="s">
        <v>41</v>
      </c>
      <c r="D5483" t="s">
        <v>11</v>
      </c>
      <c r="E5483" t="s">
        <v>12</v>
      </c>
      <c r="F5483">
        <v>121797670</v>
      </c>
      <c r="G5483">
        <v>121797753</v>
      </c>
      <c r="H5483">
        <v>121797670</v>
      </c>
      <c r="I5483">
        <v>121797753</v>
      </c>
    </row>
    <row r="5484" spans="1:9" x14ac:dyDescent="0.2">
      <c r="A5484" t="str">
        <f>"Dohh"</f>
        <v>Dohh</v>
      </c>
      <c r="B5484" t="s">
        <v>14</v>
      </c>
      <c r="C5484" t="s">
        <v>15</v>
      </c>
      <c r="D5484" t="s">
        <v>17</v>
      </c>
      <c r="E5484" t="s">
        <v>12</v>
      </c>
      <c r="F5484">
        <v>81384418</v>
      </c>
      <c r="G5484">
        <v>81384452</v>
      </c>
      <c r="H5484">
        <v>81384457</v>
      </c>
      <c r="I5484">
        <v>81384507</v>
      </c>
    </row>
    <row r="5485" spans="1:9" x14ac:dyDescent="0.2">
      <c r="A5485" t="str">
        <f>"Dok1"</f>
        <v>Dok1</v>
      </c>
      <c r="B5485" t="s">
        <v>14</v>
      </c>
      <c r="C5485" t="s">
        <v>32</v>
      </c>
      <c r="D5485" t="s">
        <v>11</v>
      </c>
      <c r="E5485" t="s">
        <v>12</v>
      </c>
      <c r="F5485">
        <v>83033422</v>
      </c>
      <c r="G5485">
        <v>83033476</v>
      </c>
      <c r="H5485">
        <v>83033480</v>
      </c>
      <c r="I5485">
        <v>83033483</v>
      </c>
    </row>
    <row r="5486" spans="1:9" x14ac:dyDescent="0.2">
      <c r="A5486" t="str">
        <f>"Dok2"</f>
        <v>Dok2</v>
      </c>
      <c r="B5486" t="s">
        <v>14</v>
      </c>
      <c r="C5486" t="s">
        <v>41</v>
      </c>
      <c r="D5486" t="s">
        <v>17</v>
      </c>
      <c r="E5486" t="s">
        <v>12</v>
      </c>
      <c r="F5486">
        <v>70774375</v>
      </c>
      <c r="G5486">
        <v>70774401</v>
      </c>
      <c r="H5486">
        <v>70774356</v>
      </c>
      <c r="I5486">
        <v>70774370</v>
      </c>
    </row>
    <row r="5487" spans="1:9" x14ac:dyDescent="0.2">
      <c r="A5487" t="str">
        <f>"Dok3"</f>
        <v>Dok3</v>
      </c>
      <c r="B5487" t="s">
        <v>14</v>
      </c>
      <c r="C5487" t="s">
        <v>39</v>
      </c>
      <c r="D5487" t="s">
        <v>11</v>
      </c>
      <c r="E5487" t="s">
        <v>12</v>
      </c>
      <c r="F5487">
        <v>55528511</v>
      </c>
      <c r="G5487">
        <v>55528561</v>
      </c>
      <c r="H5487">
        <v>55528562</v>
      </c>
      <c r="I5487">
        <v>55528580</v>
      </c>
    </row>
    <row r="5488" spans="1:9" x14ac:dyDescent="0.2">
      <c r="A5488" t="str">
        <f>"Dok4"</f>
        <v>Dok4</v>
      </c>
      <c r="B5488" t="s">
        <v>14</v>
      </c>
      <c r="C5488" t="s">
        <v>30</v>
      </c>
      <c r="D5488" t="s">
        <v>11</v>
      </c>
      <c r="E5488" t="s">
        <v>12</v>
      </c>
      <c r="F5488">
        <v>94876269</v>
      </c>
      <c r="G5488">
        <v>94876321</v>
      </c>
      <c r="H5488">
        <v>94876250</v>
      </c>
      <c r="I5488">
        <v>94876263</v>
      </c>
    </row>
    <row r="5489" spans="1:9" x14ac:dyDescent="0.2">
      <c r="A5489" t="str">
        <f>"Dok5"</f>
        <v>Dok5</v>
      </c>
      <c r="B5489" t="s">
        <v>14</v>
      </c>
      <c r="C5489" t="s">
        <v>26</v>
      </c>
      <c r="D5489" t="s">
        <v>17</v>
      </c>
      <c r="E5489" t="s">
        <v>12</v>
      </c>
      <c r="F5489">
        <v>170731877</v>
      </c>
      <c r="G5489">
        <v>170731920</v>
      </c>
      <c r="H5489">
        <v>170731877</v>
      </c>
      <c r="I5489">
        <v>170731920</v>
      </c>
    </row>
    <row r="5490" spans="1:9" x14ac:dyDescent="0.2">
      <c r="A5490" t="str">
        <f>"Dok6"</f>
        <v>Dok6</v>
      </c>
      <c r="B5490" t="s">
        <v>14</v>
      </c>
      <c r="C5490" t="s">
        <v>43</v>
      </c>
      <c r="D5490" t="s">
        <v>11</v>
      </c>
      <c r="E5490" t="s">
        <v>12</v>
      </c>
      <c r="F5490">
        <v>89769479</v>
      </c>
      <c r="G5490">
        <v>89769558</v>
      </c>
      <c r="H5490">
        <v>89769429</v>
      </c>
      <c r="I5490">
        <v>89769438</v>
      </c>
    </row>
    <row r="5491" spans="1:9" x14ac:dyDescent="0.2">
      <c r="A5491" t="str">
        <f>"Dok7"</f>
        <v>Dok7</v>
      </c>
      <c r="B5491" t="s">
        <v>14</v>
      </c>
      <c r="C5491" t="s">
        <v>46</v>
      </c>
      <c r="D5491" t="s">
        <v>17</v>
      </c>
      <c r="E5491" t="s">
        <v>12</v>
      </c>
      <c r="F5491">
        <v>35056850</v>
      </c>
      <c r="G5491">
        <v>35056895</v>
      </c>
      <c r="H5491">
        <v>35057059</v>
      </c>
      <c r="I5491">
        <v>35057096</v>
      </c>
    </row>
    <row r="5492" spans="1:9" x14ac:dyDescent="0.2">
      <c r="A5492" t="str">
        <f>"Dolk"</f>
        <v>Dolk</v>
      </c>
      <c r="B5492" t="s">
        <v>14</v>
      </c>
      <c r="C5492" t="s">
        <v>26</v>
      </c>
      <c r="D5492" t="s">
        <v>11</v>
      </c>
      <c r="E5492" t="s">
        <v>12</v>
      </c>
      <c r="F5492">
        <v>30286312</v>
      </c>
      <c r="G5492">
        <v>30286349</v>
      </c>
      <c r="H5492">
        <v>30286351</v>
      </c>
      <c r="I5492">
        <v>30286352</v>
      </c>
    </row>
    <row r="5493" spans="1:9" x14ac:dyDescent="0.2">
      <c r="A5493" t="str">
        <f>"Dolpp1"</f>
        <v>Dolpp1</v>
      </c>
      <c r="B5493" t="s">
        <v>14</v>
      </c>
      <c r="C5493" t="s">
        <v>26</v>
      </c>
      <c r="D5493" t="s">
        <v>17</v>
      </c>
      <c r="E5493" t="s">
        <v>12</v>
      </c>
      <c r="F5493">
        <v>30392405</v>
      </c>
      <c r="G5493">
        <v>30392440</v>
      </c>
      <c r="H5493">
        <v>30392261</v>
      </c>
      <c r="I5493">
        <v>30392304</v>
      </c>
    </row>
    <row r="5494" spans="1:9" x14ac:dyDescent="0.2">
      <c r="A5494" t="str">
        <f>"Donson"</f>
        <v>Donson</v>
      </c>
      <c r="B5494" t="s">
        <v>14</v>
      </c>
      <c r="C5494" t="s">
        <v>31</v>
      </c>
      <c r="D5494" t="s">
        <v>11</v>
      </c>
      <c r="E5494" t="s">
        <v>12</v>
      </c>
      <c r="F5494">
        <v>91688709</v>
      </c>
      <c r="G5494">
        <v>91688774</v>
      </c>
      <c r="H5494">
        <v>91688791</v>
      </c>
      <c r="I5494">
        <v>91688802</v>
      </c>
    </row>
    <row r="5495" spans="1:9" x14ac:dyDescent="0.2">
      <c r="A5495" t="str">
        <f>"Dopey1"</f>
        <v>Dopey1</v>
      </c>
      <c r="B5495" t="s">
        <v>14</v>
      </c>
      <c r="C5495" t="s">
        <v>24</v>
      </c>
      <c r="D5495" t="s">
        <v>17</v>
      </c>
      <c r="E5495" t="s">
        <v>12</v>
      </c>
      <c r="F5495">
        <v>86467173</v>
      </c>
      <c r="G5495">
        <v>86467219</v>
      </c>
      <c r="H5495">
        <v>86467224</v>
      </c>
      <c r="I5495">
        <v>86467261</v>
      </c>
    </row>
    <row r="5496" spans="1:9" x14ac:dyDescent="0.2">
      <c r="A5496" t="str">
        <f>"Dopey2"</f>
        <v>Dopey2</v>
      </c>
      <c r="B5496" t="s">
        <v>14</v>
      </c>
      <c r="C5496" t="s">
        <v>31</v>
      </c>
      <c r="D5496" t="s">
        <v>17</v>
      </c>
      <c r="E5496" t="s">
        <v>12</v>
      </c>
      <c r="F5496">
        <v>93711952</v>
      </c>
      <c r="G5496">
        <v>93712008</v>
      </c>
      <c r="H5496">
        <v>93711924</v>
      </c>
      <c r="I5496">
        <v>93711937</v>
      </c>
    </row>
    <row r="5497" spans="1:9" x14ac:dyDescent="0.2">
      <c r="A5497" t="str">
        <f>"Dos"</f>
        <v>Dos</v>
      </c>
      <c r="B5497" t="s">
        <v>14</v>
      </c>
      <c r="C5497" t="s">
        <v>15</v>
      </c>
      <c r="D5497" t="s">
        <v>11</v>
      </c>
      <c r="E5497" t="s">
        <v>12</v>
      </c>
      <c r="F5497">
        <v>80139347</v>
      </c>
      <c r="G5497">
        <v>80139370</v>
      </c>
      <c r="H5497">
        <v>80139159</v>
      </c>
      <c r="I5497">
        <v>80139172</v>
      </c>
    </row>
    <row r="5498" spans="1:9" x14ac:dyDescent="0.2">
      <c r="A5498" t="str">
        <f>"Dot1l"</f>
        <v>Dot1l</v>
      </c>
      <c r="B5498" t="s">
        <v>14</v>
      </c>
      <c r="C5498" t="s">
        <v>15</v>
      </c>
      <c r="D5498" t="s">
        <v>17</v>
      </c>
      <c r="E5498" t="s">
        <v>12</v>
      </c>
      <c r="F5498">
        <v>80755196</v>
      </c>
      <c r="G5498">
        <v>80755239</v>
      </c>
      <c r="H5498">
        <v>80755390</v>
      </c>
      <c r="I5498">
        <v>80755399</v>
      </c>
    </row>
    <row r="5499" spans="1:9" x14ac:dyDescent="0.2">
      <c r="A5499" t="str">
        <f>"Doxl2"</f>
        <v>Doxl2</v>
      </c>
      <c r="B5499" t="s">
        <v>14</v>
      </c>
      <c r="C5499" t="s">
        <v>32</v>
      </c>
      <c r="D5499" t="s">
        <v>17</v>
      </c>
      <c r="E5499" t="s">
        <v>12</v>
      </c>
      <c r="F5499">
        <v>48974933</v>
      </c>
      <c r="G5499">
        <v>48974960</v>
      </c>
      <c r="H5499">
        <v>48974933</v>
      </c>
      <c r="I5499">
        <v>48974960</v>
      </c>
    </row>
    <row r="5500" spans="1:9" x14ac:dyDescent="0.2">
      <c r="A5500" t="str">
        <f>"Dpagt1"</f>
        <v>Dpagt1</v>
      </c>
      <c r="B5500" t="s">
        <v>14</v>
      </c>
      <c r="C5500" t="s">
        <v>24</v>
      </c>
      <c r="D5500" t="s">
        <v>17</v>
      </c>
      <c r="E5500" t="s">
        <v>12</v>
      </c>
      <c r="F5500">
        <v>44326804</v>
      </c>
      <c r="G5500">
        <v>44326896</v>
      </c>
      <c r="H5500">
        <v>44326532</v>
      </c>
      <c r="I5500">
        <v>44326576</v>
      </c>
    </row>
    <row r="5501" spans="1:9" x14ac:dyDescent="0.2">
      <c r="A5501" t="str">
        <f>"Dpcd"</f>
        <v>Dpcd</v>
      </c>
      <c r="B5501" t="s">
        <v>14</v>
      </c>
      <c r="C5501" t="s">
        <v>10</v>
      </c>
      <c r="D5501" t="s">
        <v>17</v>
      </c>
      <c r="E5501" t="s">
        <v>12</v>
      </c>
      <c r="F5501">
        <v>45560569</v>
      </c>
      <c r="G5501">
        <v>45560644</v>
      </c>
      <c r="H5501">
        <v>45560569</v>
      </c>
      <c r="I5501">
        <v>45560644</v>
      </c>
    </row>
    <row r="5502" spans="1:9" x14ac:dyDescent="0.2">
      <c r="A5502" t="str">
        <f>"Dpcr1"</f>
        <v>Dpcr1</v>
      </c>
      <c r="B5502" t="s">
        <v>14</v>
      </c>
      <c r="C5502" t="s">
        <v>28</v>
      </c>
      <c r="D5502" t="s">
        <v>11</v>
      </c>
      <c r="E5502" t="s">
        <v>12</v>
      </c>
      <c r="F5502">
        <v>35643684</v>
      </c>
      <c r="G5502">
        <v>35643699</v>
      </c>
      <c r="H5502">
        <v>35643740</v>
      </c>
      <c r="I5502">
        <v>35643748</v>
      </c>
    </row>
    <row r="5503" spans="1:9" x14ac:dyDescent="0.2">
      <c r="A5503" t="str">
        <f>"Dpep1"</f>
        <v>Dpep1</v>
      </c>
      <c r="B5503" t="s">
        <v>9</v>
      </c>
      <c r="C5503" t="s">
        <v>30</v>
      </c>
      <c r="D5503" t="s">
        <v>17</v>
      </c>
      <c r="E5503" t="s">
        <v>12</v>
      </c>
      <c r="F5503">
        <v>123193943</v>
      </c>
      <c r="G5503">
        <v>123193989</v>
      </c>
      <c r="H5503">
        <v>123193943</v>
      </c>
      <c r="I5503">
        <v>123193989</v>
      </c>
    </row>
    <row r="5504" spans="1:9" x14ac:dyDescent="0.2">
      <c r="A5504" t="str">
        <f>"Dpep1"</f>
        <v>Dpep1</v>
      </c>
      <c r="B5504" t="s">
        <v>13</v>
      </c>
      <c r="C5504" t="s">
        <v>30</v>
      </c>
      <c r="D5504" t="s">
        <v>17</v>
      </c>
      <c r="E5504" t="s">
        <v>12</v>
      </c>
      <c r="F5504">
        <v>123186317</v>
      </c>
      <c r="G5504">
        <v>123186397</v>
      </c>
      <c r="H5504">
        <v>123186317</v>
      </c>
      <c r="I5504">
        <v>123186397</v>
      </c>
    </row>
    <row r="5505" spans="1:9" x14ac:dyDescent="0.2">
      <c r="A5505" t="str">
        <f>"Dpep2"</f>
        <v>Dpep2</v>
      </c>
      <c r="B5505" t="s">
        <v>14</v>
      </c>
      <c r="C5505" t="s">
        <v>30</v>
      </c>
      <c r="D5505" t="s">
        <v>11</v>
      </c>
      <c r="E5505" t="s">
        <v>12</v>
      </c>
      <c r="F5505">
        <v>105991714</v>
      </c>
      <c r="G5505">
        <v>105991733</v>
      </c>
      <c r="H5505">
        <v>105991741</v>
      </c>
      <c r="I5505">
        <v>105991752</v>
      </c>
    </row>
    <row r="5506" spans="1:9" x14ac:dyDescent="0.2">
      <c r="A5506" t="str">
        <f>"Dpep3"</f>
        <v>Dpep3</v>
      </c>
      <c r="B5506" t="s">
        <v>14</v>
      </c>
      <c r="C5506" t="s">
        <v>30</v>
      </c>
      <c r="D5506" t="s">
        <v>11</v>
      </c>
      <c r="E5506" t="s">
        <v>12</v>
      </c>
      <c r="F5506">
        <v>105979413</v>
      </c>
      <c r="G5506">
        <v>105979444</v>
      </c>
      <c r="H5506">
        <v>105979403</v>
      </c>
      <c r="I5506">
        <v>105979412</v>
      </c>
    </row>
    <row r="5507" spans="1:9" x14ac:dyDescent="0.2">
      <c r="A5507" t="str">
        <f>"Dpf1"</f>
        <v>Dpf1</v>
      </c>
      <c r="B5507" t="s">
        <v>9</v>
      </c>
      <c r="C5507" t="s">
        <v>33</v>
      </c>
      <c r="D5507" t="s">
        <v>17</v>
      </c>
      <c r="E5507" t="s">
        <v>12</v>
      </c>
      <c r="F5507">
        <v>29307974</v>
      </c>
      <c r="G5507">
        <v>29308057</v>
      </c>
      <c r="H5507">
        <v>29307974</v>
      </c>
      <c r="I5507">
        <v>29308057</v>
      </c>
    </row>
    <row r="5508" spans="1:9" x14ac:dyDescent="0.2">
      <c r="A5508" t="str">
        <f>"Dpf1"</f>
        <v>Dpf1</v>
      </c>
      <c r="B5508" t="s">
        <v>13</v>
      </c>
      <c r="C5508" t="s">
        <v>33</v>
      </c>
      <c r="D5508" t="s">
        <v>17</v>
      </c>
      <c r="E5508" t="s">
        <v>12</v>
      </c>
      <c r="F5508">
        <v>29303958</v>
      </c>
      <c r="G5508">
        <v>29303983</v>
      </c>
      <c r="H5508">
        <v>29303958</v>
      </c>
      <c r="I5508">
        <v>29303983</v>
      </c>
    </row>
    <row r="5509" spans="1:9" x14ac:dyDescent="0.2">
      <c r="A5509" t="str">
        <f>"Dpf2"</f>
        <v>Dpf2</v>
      </c>
      <c r="B5509" t="s">
        <v>14</v>
      </c>
      <c r="C5509" t="s">
        <v>10</v>
      </c>
      <c r="D5509" t="s">
        <v>11</v>
      </c>
      <c r="E5509" t="s">
        <v>12</v>
      </c>
      <c r="F5509">
        <v>5912771</v>
      </c>
      <c r="G5509">
        <v>5912822</v>
      </c>
      <c r="H5509">
        <v>5912834</v>
      </c>
      <c r="I5509">
        <v>5912852</v>
      </c>
    </row>
    <row r="5510" spans="1:9" x14ac:dyDescent="0.2">
      <c r="A5510" t="str">
        <f>"Dpf3"</f>
        <v>Dpf3</v>
      </c>
      <c r="B5510" t="s">
        <v>14</v>
      </c>
      <c r="C5510" t="s">
        <v>16</v>
      </c>
      <c r="D5510" t="s">
        <v>11</v>
      </c>
      <c r="E5510" t="s">
        <v>12</v>
      </c>
      <c r="F5510">
        <v>83487713</v>
      </c>
      <c r="G5510">
        <v>83487729</v>
      </c>
      <c r="H5510">
        <v>83487869</v>
      </c>
      <c r="I5510">
        <v>83487870</v>
      </c>
    </row>
    <row r="5511" spans="1:9" x14ac:dyDescent="0.2">
      <c r="A5511" t="str">
        <f>"Dph1"</f>
        <v>Dph1</v>
      </c>
      <c r="B5511" t="s">
        <v>14</v>
      </c>
      <c r="C5511" t="s">
        <v>27</v>
      </c>
      <c r="D5511" t="s">
        <v>11</v>
      </c>
      <c r="E5511" t="s">
        <v>12</v>
      </c>
      <c r="F5511">
        <v>75190458</v>
      </c>
      <c r="G5511">
        <v>75190488</v>
      </c>
      <c r="H5511">
        <v>75190458</v>
      </c>
      <c r="I5511">
        <v>75190488</v>
      </c>
    </row>
    <row r="5512" spans="1:9" x14ac:dyDescent="0.2">
      <c r="A5512" t="str">
        <f>"Dph2"</f>
        <v>Dph2</v>
      </c>
      <c r="B5512" t="s">
        <v>14</v>
      </c>
      <c r="C5512" t="s">
        <v>23</v>
      </c>
      <c r="D5512" t="s">
        <v>11</v>
      </c>
      <c r="E5512" t="s">
        <v>12</v>
      </c>
      <c r="F5512">
        <v>117891994</v>
      </c>
      <c r="G5512">
        <v>117892040</v>
      </c>
      <c r="H5512">
        <v>117891786</v>
      </c>
      <c r="I5512">
        <v>117891792</v>
      </c>
    </row>
    <row r="5513" spans="1:9" x14ac:dyDescent="0.2">
      <c r="A5513" t="str">
        <f>"Dph3"</f>
        <v>Dph3</v>
      </c>
      <c r="B5513" t="s">
        <v>14</v>
      </c>
      <c r="C5513" t="s">
        <v>41</v>
      </c>
      <c r="D5513" t="s">
        <v>11</v>
      </c>
      <c r="E5513" t="s">
        <v>12</v>
      </c>
      <c r="F5513">
        <v>32085595</v>
      </c>
      <c r="G5513">
        <v>32085639</v>
      </c>
      <c r="H5513">
        <v>32085562</v>
      </c>
      <c r="I5513">
        <v>32085590</v>
      </c>
    </row>
    <row r="5514" spans="1:9" x14ac:dyDescent="0.2">
      <c r="A5514" t="str">
        <f>"Dph3b-ps"</f>
        <v>Dph3b-ps</v>
      </c>
      <c r="B5514" t="s">
        <v>2393</v>
      </c>
      <c r="C5514" t="s">
        <v>39</v>
      </c>
      <c r="D5514" t="s">
        <v>11</v>
      </c>
      <c r="E5514" t="s">
        <v>20</v>
      </c>
      <c r="F5514">
        <v>106547059</v>
      </c>
      <c r="G5514">
        <v>106547059</v>
      </c>
      <c r="H5514">
        <v>106547059</v>
      </c>
      <c r="I5514">
        <v>106547059</v>
      </c>
    </row>
    <row r="5515" spans="1:9" x14ac:dyDescent="0.2">
      <c r="A5515" t="str">
        <f>"Dph5"</f>
        <v>Dph5</v>
      </c>
      <c r="B5515" t="s">
        <v>14</v>
      </c>
      <c r="C5515" t="s">
        <v>22</v>
      </c>
      <c r="D5515" t="s">
        <v>17</v>
      </c>
      <c r="E5515" t="s">
        <v>12</v>
      </c>
      <c r="F5515">
        <v>115888139</v>
      </c>
      <c r="G5515">
        <v>115888200</v>
      </c>
      <c r="H5515">
        <v>115888208</v>
      </c>
      <c r="I5515">
        <v>115888233</v>
      </c>
    </row>
    <row r="5516" spans="1:9" x14ac:dyDescent="0.2">
      <c r="A5516" t="str">
        <f>"Dph6"</f>
        <v>Dph6</v>
      </c>
      <c r="B5516" t="s">
        <v>14</v>
      </c>
      <c r="C5516" t="s">
        <v>26</v>
      </c>
      <c r="D5516" t="s">
        <v>11</v>
      </c>
      <c r="E5516" t="s">
        <v>67</v>
      </c>
      <c r="F5516">
        <v>114654861</v>
      </c>
      <c r="G5516">
        <v>114654915</v>
      </c>
      <c r="H5516">
        <v>114654943</v>
      </c>
      <c r="I5516">
        <v>114654969</v>
      </c>
    </row>
    <row r="5517" spans="1:9" x14ac:dyDescent="0.2">
      <c r="A5517" t="str">
        <f>"Dph7"</f>
        <v>Dph7</v>
      </c>
      <c r="B5517" t="s">
        <v>14</v>
      </c>
      <c r="C5517" t="s">
        <v>26</v>
      </c>
      <c r="D5517" t="s">
        <v>17</v>
      </c>
      <c r="E5517" t="s">
        <v>67</v>
      </c>
      <c r="F5517">
        <v>24962418</v>
      </c>
      <c r="G5517">
        <v>24962473</v>
      </c>
      <c r="H5517">
        <v>24962402</v>
      </c>
      <c r="I5517">
        <v>24962405</v>
      </c>
    </row>
    <row r="5518" spans="1:9" x14ac:dyDescent="0.2">
      <c r="A5518" t="str">
        <f>"Dpm1"</f>
        <v>Dpm1</v>
      </c>
      <c r="B5518" t="s">
        <v>14</v>
      </c>
      <c r="C5518" t="s">
        <v>26</v>
      </c>
      <c r="D5518" t="s">
        <v>11</v>
      </c>
      <c r="E5518" t="s">
        <v>12</v>
      </c>
      <c r="F5518">
        <v>168230353</v>
      </c>
      <c r="G5518">
        <v>168230386</v>
      </c>
      <c r="H5518">
        <v>168230575</v>
      </c>
      <c r="I5518">
        <v>168230604</v>
      </c>
    </row>
    <row r="5519" spans="1:9" x14ac:dyDescent="0.2">
      <c r="A5519" t="str">
        <f>"Dpm2"</f>
        <v>Dpm2</v>
      </c>
      <c r="B5519" t="s">
        <v>14</v>
      </c>
      <c r="C5519" t="s">
        <v>26</v>
      </c>
      <c r="D5519" t="s">
        <v>17</v>
      </c>
      <c r="E5519" t="s">
        <v>12</v>
      </c>
      <c r="F5519">
        <v>32570861</v>
      </c>
      <c r="G5519">
        <v>32570913</v>
      </c>
      <c r="H5519">
        <v>32570839</v>
      </c>
      <c r="I5519">
        <v>32570852</v>
      </c>
    </row>
    <row r="5520" spans="1:9" x14ac:dyDescent="0.2">
      <c r="A5520" t="str">
        <f>"Dpm3"</f>
        <v>Dpm3</v>
      </c>
      <c r="B5520" t="s">
        <v>14</v>
      </c>
      <c r="C5520" t="s">
        <v>22</v>
      </c>
      <c r="D5520" t="s">
        <v>17</v>
      </c>
      <c r="E5520" t="s">
        <v>12</v>
      </c>
      <c r="F5520">
        <v>89266557</v>
      </c>
      <c r="G5520">
        <v>89266590</v>
      </c>
      <c r="H5520">
        <v>89266719</v>
      </c>
      <c r="I5520">
        <v>89266725</v>
      </c>
    </row>
    <row r="5521" spans="1:9" x14ac:dyDescent="0.2">
      <c r="A5521" t="str">
        <f>"Dpp10"</f>
        <v>Dpp10</v>
      </c>
      <c r="B5521" t="s">
        <v>14</v>
      </c>
      <c r="C5521" t="s">
        <v>19</v>
      </c>
      <c r="D5521" t="s">
        <v>11</v>
      </c>
      <c r="E5521" t="s">
        <v>12</v>
      </c>
      <c r="F5521">
        <v>124046003</v>
      </c>
      <c r="G5521">
        <v>124046085</v>
      </c>
      <c r="H5521">
        <v>124045523</v>
      </c>
      <c r="I5521">
        <v>124045571</v>
      </c>
    </row>
    <row r="5522" spans="1:9" x14ac:dyDescent="0.2">
      <c r="A5522" t="str">
        <f>"Dpp3"</f>
        <v>Dpp3</v>
      </c>
      <c r="B5522" t="s">
        <v>14</v>
      </c>
      <c r="C5522" t="s">
        <v>10</v>
      </c>
      <c r="D5522" t="s">
        <v>11</v>
      </c>
      <c r="E5522" t="s">
        <v>12</v>
      </c>
      <c r="F5522">
        <v>4928241</v>
      </c>
      <c r="G5522">
        <v>4928259</v>
      </c>
      <c r="H5522">
        <v>4928241</v>
      </c>
      <c r="I5522">
        <v>4928259</v>
      </c>
    </row>
    <row r="5523" spans="1:9" x14ac:dyDescent="0.2">
      <c r="A5523" t="str">
        <f>"Dpp4"</f>
        <v>Dpp4</v>
      </c>
      <c r="B5523" t="s">
        <v>14</v>
      </c>
      <c r="C5523" t="s">
        <v>26</v>
      </c>
      <c r="D5523" t="s">
        <v>11</v>
      </c>
      <c r="E5523" t="s">
        <v>12</v>
      </c>
      <c r="F5523">
        <v>62411870</v>
      </c>
      <c r="G5523">
        <v>62411910</v>
      </c>
      <c r="H5523">
        <v>62411806</v>
      </c>
      <c r="I5523">
        <v>62411822</v>
      </c>
    </row>
    <row r="5524" spans="1:9" x14ac:dyDescent="0.2">
      <c r="A5524" t="str">
        <f>"Dpp6"</f>
        <v>Dpp6</v>
      </c>
      <c r="B5524" t="s">
        <v>9</v>
      </c>
      <c r="C5524" t="s">
        <v>46</v>
      </c>
      <c r="D5524" t="s">
        <v>17</v>
      </c>
      <c r="E5524" t="s">
        <v>12</v>
      </c>
      <c r="F5524">
        <v>27261916</v>
      </c>
      <c r="G5524">
        <v>27261980</v>
      </c>
      <c r="H5524">
        <v>27261916</v>
      </c>
      <c r="I5524">
        <v>27261980</v>
      </c>
    </row>
    <row r="5525" spans="1:9" x14ac:dyDescent="0.2">
      <c r="A5525" t="str">
        <f>"Dpp6"</f>
        <v>Dpp6</v>
      </c>
      <c r="B5525" t="s">
        <v>13</v>
      </c>
      <c r="C5525" t="s">
        <v>46</v>
      </c>
      <c r="D5525" t="s">
        <v>17</v>
      </c>
      <c r="E5525" t="s">
        <v>12</v>
      </c>
      <c r="F5525">
        <v>27049369</v>
      </c>
      <c r="G5525">
        <v>27049424</v>
      </c>
      <c r="H5525">
        <v>27049369</v>
      </c>
      <c r="I5525">
        <v>27049424</v>
      </c>
    </row>
    <row r="5526" spans="1:9" x14ac:dyDescent="0.2">
      <c r="A5526" t="str">
        <f>"Dpp7"</f>
        <v>Dpp7</v>
      </c>
      <c r="B5526" t="s">
        <v>14</v>
      </c>
      <c r="C5526" t="s">
        <v>26</v>
      </c>
      <c r="D5526" t="s">
        <v>11</v>
      </c>
      <c r="E5526" t="s">
        <v>12</v>
      </c>
      <c r="F5526">
        <v>25356319</v>
      </c>
      <c r="G5526">
        <v>25356366</v>
      </c>
      <c r="H5526">
        <v>25356311</v>
      </c>
      <c r="I5526">
        <v>25356318</v>
      </c>
    </row>
    <row r="5527" spans="1:9" x14ac:dyDescent="0.2">
      <c r="A5527" t="str">
        <f>"Dpp8"</f>
        <v>Dpp8</v>
      </c>
      <c r="B5527" t="s">
        <v>14</v>
      </c>
      <c r="C5527" t="s">
        <v>24</v>
      </c>
      <c r="D5527" t="s">
        <v>17</v>
      </c>
      <c r="E5527" t="s">
        <v>12</v>
      </c>
      <c r="F5527">
        <v>65032413</v>
      </c>
      <c r="G5527">
        <v>65032466</v>
      </c>
      <c r="H5527">
        <v>65032470</v>
      </c>
      <c r="I5527">
        <v>65032491</v>
      </c>
    </row>
    <row r="5528" spans="1:9" x14ac:dyDescent="0.2">
      <c r="A5528" t="str">
        <f>"Dpp9"</f>
        <v>Dpp9</v>
      </c>
      <c r="B5528" t="s">
        <v>14</v>
      </c>
      <c r="C5528" t="s">
        <v>28</v>
      </c>
      <c r="D5528" t="s">
        <v>11</v>
      </c>
      <c r="E5528" t="s">
        <v>12</v>
      </c>
      <c r="F5528">
        <v>56218816</v>
      </c>
      <c r="G5528">
        <v>56218874</v>
      </c>
      <c r="H5528">
        <v>56218881</v>
      </c>
      <c r="I5528">
        <v>56218922</v>
      </c>
    </row>
    <row r="5529" spans="1:9" x14ac:dyDescent="0.2">
      <c r="A5529" t="str">
        <f>"Dppa1"</f>
        <v>Dppa1</v>
      </c>
      <c r="B5529" t="s">
        <v>14</v>
      </c>
      <c r="C5529" t="s">
        <v>27</v>
      </c>
      <c r="D5529" t="s">
        <v>11</v>
      </c>
      <c r="E5529" t="s">
        <v>12</v>
      </c>
      <c r="F5529">
        <v>46629512</v>
      </c>
      <c r="G5529">
        <v>46629536</v>
      </c>
      <c r="H5529">
        <v>46629512</v>
      </c>
      <c r="I5529">
        <v>46629536</v>
      </c>
    </row>
    <row r="5530" spans="1:9" x14ac:dyDescent="0.2">
      <c r="A5530" t="str">
        <f>"Dppa2"</f>
        <v>Dppa2</v>
      </c>
      <c r="B5530" t="s">
        <v>14</v>
      </c>
      <c r="C5530" t="s">
        <v>31</v>
      </c>
      <c r="D5530" t="s">
        <v>17</v>
      </c>
      <c r="E5530" t="s">
        <v>12</v>
      </c>
      <c r="F5530">
        <v>48310427</v>
      </c>
      <c r="G5530">
        <v>48310466</v>
      </c>
      <c r="H5530">
        <v>48310427</v>
      </c>
      <c r="I5530">
        <v>48310466</v>
      </c>
    </row>
    <row r="5531" spans="1:9" x14ac:dyDescent="0.2">
      <c r="A5531" t="str">
        <f>"Dppa3"</f>
        <v>Dppa3</v>
      </c>
      <c r="B5531" t="s">
        <v>14</v>
      </c>
      <c r="C5531" t="s">
        <v>32</v>
      </c>
      <c r="D5531" t="s">
        <v>17</v>
      </c>
      <c r="E5531" t="s">
        <v>12</v>
      </c>
      <c r="F5531">
        <v>122626418</v>
      </c>
      <c r="G5531">
        <v>122626420</v>
      </c>
      <c r="H5531">
        <v>122626349</v>
      </c>
      <c r="I5531">
        <v>122626354</v>
      </c>
    </row>
    <row r="5532" spans="1:9" x14ac:dyDescent="0.2">
      <c r="A5532" t="str">
        <f>"Dppa4"</f>
        <v>Dppa4</v>
      </c>
      <c r="B5532" t="s">
        <v>14</v>
      </c>
      <c r="C5532" t="s">
        <v>31</v>
      </c>
      <c r="D5532" t="s">
        <v>17</v>
      </c>
      <c r="E5532" t="s">
        <v>12</v>
      </c>
      <c r="F5532">
        <v>48283702</v>
      </c>
      <c r="G5532">
        <v>48283727</v>
      </c>
      <c r="H5532">
        <v>48283702</v>
      </c>
      <c r="I5532">
        <v>48283727</v>
      </c>
    </row>
    <row r="5533" spans="1:9" x14ac:dyDescent="0.2">
      <c r="A5533" t="str">
        <f>"Dppa5a"</f>
        <v>Dppa5a</v>
      </c>
      <c r="B5533" t="s">
        <v>14</v>
      </c>
      <c r="C5533" t="s">
        <v>24</v>
      </c>
      <c r="D5533" t="s">
        <v>11</v>
      </c>
      <c r="E5533" t="s">
        <v>12</v>
      </c>
      <c r="F5533">
        <v>78368152</v>
      </c>
      <c r="G5533">
        <v>78368164</v>
      </c>
      <c r="H5533">
        <v>78368167</v>
      </c>
      <c r="I5533">
        <v>78368177</v>
      </c>
    </row>
    <row r="5534" spans="1:9" x14ac:dyDescent="0.2">
      <c r="A5534" t="str">
        <f>"Dpt"</f>
        <v>Dpt</v>
      </c>
      <c r="B5534" t="s">
        <v>14</v>
      </c>
      <c r="C5534" t="s">
        <v>19</v>
      </c>
      <c r="D5534" t="s">
        <v>17</v>
      </c>
      <c r="E5534" t="s">
        <v>12</v>
      </c>
      <c r="F5534">
        <v>164796696</v>
      </c>
      <c r="G5534">
        <v>164796721</v>
      </c>
      <c r="H5534">
        <v>164796617</v>
      </c>
      <c r="I5534">
        <v>164796628</v>
      </c>
    </row>
    <row r="5535" spans="1:9" x14ac:dyDescent="0.2">
      <c r="A5535" t="str">
        <f>"Dpy19l1"</f>
        <v>Dpy19l1</v>
      </c>
      <c r="B5535" t="s">
        <v>14</v>
      </c>
      <c r="C5535" t="s">
        <v>24</v>
      </c>
      <c r="D5535" t="s">
        <v>11</v>
      </c>
      <c r="E5535" t="s">
        <v>12</v>
      </c>
      <c r="F5535">
        <v>24503127</v>
      </c>
      <c r="G5535">
        <v>24503197</v>
      </c>
      <c r="H5535">
        <v>24503199</v>
      </c>
      <c r="I5535">
        <v>24503231</v>
      </c>
    </row>
    <row r="5536" spans="1:9" x14ac:dyDescent="0.2">
      <c r="A5536" t="str">
        <f>"Dpy19l2"</f>
        <v>Dpy19l2</v>
      </c>
      <c r="B5536" t="s">
        <v>14</v>
      </c>
      <c r="C5536" t="s">
        <v>24</v>
      </c>
      <c r="D5536" t="s">
        <v>11</v>
      </c>
      <c r="E5536" t="s">
        <v>12</v>
      </c>
      <c r="F5536">
        <v>24696258</v>
      </c>
      <c r="G5536">
        <v>24696308</v>
      </c>
      <c r="H5536">
        <v>24696258</v>
      </c>
      <c r="I5536">
        <v>24696308</v>
      </c>
    </row>
    <row r="5537" spans="1:9" x14ac:dyDescent="0.2">
      <c r="A5537" t="str">
        <f>"Dpy19l3"</f>
        <v>Dpy19l3</v>
      </c>
      <c r="B5537" t="s">
        <v>9</v>
      </c>
      <c r="C5537" t="s">
        <v>33</v>
      </c>
      <c r="D5537" t="s">
        <v>11</v>
      </c>
      <c r="E5537" t="s">
        <v>12</v>
      </c>
      <c r="F5537">
        <v>35754394</v>
      </c>
      <c r="G5537">
        <v>35754434</v>
      </c>
      <c r="H5537">
        <v>35754394</v>
      </c>
      <c r="I5537">
        <v>35754434</v>
      </c>
    </row>
    <row r="5538" spans="1:9" x14ac:dyDescent="0.2">
      <c r="A5538" t="str">
        <f>"Dpy19l3"</f>
        <v>Dpy19l3</v>
      </c>
      <c r="B5538" t="s">
        <v>13</v>
      </c>
      <c r="C5538" t="s">
        <v>33</v>
      </c>
      <c r="D5538" t="s">
        <v>11</v>
      </c>
      <c r="E5538" t="s">
        <v>12</v>
      </c>
      <c r="F5538">
        <v>35729744</v>
      </c>
      <c r="G5538">
        <v>35729793</v>
      </c>
      <c r="H5538">
        <v>35729744</v>
      </c>
      <c r="I5538">
        <v>35729793</v>
      </c>
    </row>
    <row r="5539" spans="1:9" x14ac:dyDescent="0.2">
      <c r="A5539" t="str">
        <f>"Dpy19l4"</f>
        <v>Dpy19l4</v>
      </c>
      <c r="B5539" t="s">
        <v>14</v>
      </c>
      <c r="C5539" t="s">
        <v>23</v>
      </c>
      <c r="D5539" t="s">
        <v>11</v>
      </c>
      <c r="E5539" t="s">
        <v>12</v>
      </c>
      <c r="F5539">
        <v>11322109</v>
      </c>
      <c r="G5539">
        <v>11322146</v>
      </c>
      <c r="H5539">
        <v>11322091</v>
      </c>
      <c r="I5539">
        <v>11322107</v>
      </c>
    </row>
    <row r="5540" spans="1:9" x14ac:dyDescent="0.2">
      <c r="A5540" t="str">
        <f>"Dpy30"</f>
        <v>Dpy30</v>
      </c>
      <c r="B5540" t="s">
        <v>14</v>
      </c>
      <c r="C5540" t="s">
        <v>28</v>
      </c>
      <c r="D5540" t="s">
        <v>11</v>
      </c>
      <c r="E5540" t="s">
        <v>12</v>
      </c>
      <c r="F5540">
        <v>74316386</v>
      </c>
      <c r="G5540">
        <v>74316434</v>
      </c>
      <c r="H5540">
        <v>74316364</v>
      </c>
      <c r="I5540">
        <v>74316377</v>
      </c>
    </row>
    <row r="5541" spans="1:9" x14ac:dyDescent="0.2">
      <c r="A5541" t="str">
        <f>"Dpyd"</f>
        <v>Dpyd</v>
      </c>
      <c r="B5541" t="s">
        <v>14</v>
      </c>
      <c r="C5541" t="s">
        <v>22</v>
      </c>
      <c r="D5541" t="s">
        <v>17</v>
      </c>
      <c r="E5541" t="s">
        <v>12</v>
      </c>
      <c r="F5541">
        <v>118562162</v>
      </c>
      <c r="G5541">
        <v>118562188</v>
      </c>
      <c r="H5541">
        <v>118562145</v>
      </c>
      <c r="I5541">
        <v>118562156</v>
      </c>
    </row>
    <row r="5542" spans="1:9" x14ac:dyDescent="0.2">
      <c r="A5542" t="str">
        <f>"Dpys"</f>
        <v>Dpys</v>
      </c>
      <c r="B5542" t="s">
        <v>14</v>
      </c>
      <c r="C5542" t="s">
        <v>25</v>
      </c>
      <c r="D5542" t="s">
        <v>11</v>
      </c>
      <c r="E5542" t="s">
        <v>12</v>
      </c>
      <c r="F5542">
        <v>39857459</v>
      </c>
      <c r="G5542">
        <v>39857476</v>
      </c>
      <c r="H5542">
        <v>39857419</v>
      </c>
      <c r="I5542">
        <v>39857426</v>
      </c>
    </row>
    <row r="5543" spans="1:9" x14ac:dyDescent="0.2">
      <c r="A5543" t="str">
        <f>"Dpysl2"</f>
        <v>Dpysl2</v>
      </c>
      <c r="B5543" t="s">
        <v>14</v>
      </c>
      <c r="C5543" t="s">
        <v>41</v>
      </c>
      <c r="D5543" t="s">
        <v>11</v>
      </c>
      <c r="E5543" t="s">
        <v>12</v>
      </c>
      <c r="F5543">
        <v>66868572</v>
      </c>
      <c r="G5543">
        <v>66868684</v>
      </c>
      <c r="H5543">
        <v>66868572</v>
      </c>
      <c r="I5543">
        <v>66868684</v>
      </c>
    </row>
    <row r="5544" spans="1:9" x14ac:dyDescent="0.2">
      <c r="A5544" t="str">
        <f>"Dpysl3"</f>
        <v>Dpysl3</v>
      </c>
      <c r="B5544" t="s">
        <v>14</v>
      </c>
      <c r="C5544" t="s">
        <v>43</v>
      </c>
      <c r="D5544" t="s">
        <v>11</v>
      </c>
      <c r="E5544" t="s">
        <v>12</v>
      </c>
      <c r="F5544">
        <v>43393051</v>
      </c>
      <c r="G5544">
        <v>43393137</v>
      </c>
      <c r="H5544">
        <v>43393051</v>
      </c>
      <c r="I5544">
        <v>43393137</v>
      </c>
    </row>
    <row r="5545" spans="1:9" x14ac:dyDescent="0.2">
      <c r="A5545" t="str">
        <f>"Dpysl4"</f>
        <v>Dpysl4</v>
      </c>
      <c r="B5545" t="s">
        <v>14</v>
      </c>
      <c r="C5545" t="s">
        <v>33</v>
      </c>
      <c r="D5545" t="s">
        <v>17</v>
      </c>
      <c r="E5545" t="s">
        <v>12</v>
      </c>
      <c r="F5545">
        <v>139085984</v>
      </c>
      <c r="G5545">
        <v>139086048</v>
      </c>
      <c r="H5545">
        <v>139085984</v>
      </c>
      <c r="I5545">
        <v>139086048</v>
      </c>
    </row>
    <row r="5546" spans="1:9" x14ac:dyDescent="0.2">
      <c r="A5546" t="str">
        <f>"Dpysl5"</f>
        <v>Dpysl5</v>
      </c>
      <c r="B5546" t="s">
        <v>14</v>
      </c>
      <c r="C5546" t="s">
        <v>46</v>
      </c>
      <c r="D5546" t="s">
        <v>17</v>
      </c>
      <c r="E5546" t="s">
        <v>12</v>
      </c>
      <c r="F5546">
        <v>30711849</v>
      </c>
      <c r="G5546">
        <v>30711905</v>
      </c>
      <c r="H5546">
        <v>30711849</v>
      </c>
      <c r="I5546">
        <v>30711905</v>
      </c>
    </row>
    <row r="5547" spans="1:9" x14ac:dyDescent="0.2">
      <c r="A5547" t="str">
        <f>"Dqx1"</f>
        <v>Dqx1</v>
      </c>
      <c r="B5547" t="s">
        <v>14</v>
      </c>
      <c r="C5547" t="s">
        <v>32</v>
      </c>
      <c r="D5547" t="s">
        <v>17</v>
      </c>
      <c r="E5547" t="s">
        <v>12</v>
      </c>
      <c r="F5547">
        <v>83058068</v>
      </c>
      <c r="G5547">
        <v>83058104</v>
      </c>
      <c r="H5547">
        <v>83058068</v>
      </c>
      <c r="I5547">
        <v>83058104</v>
      </c>
    </row>
    <row r="5548" spans="1:9" x14ac:dyDescent="0.2">
      <c r="A5548" t="str">
        <f>"Dr1"</f>
        <v>Dr1</v>
      </c>
      <c r="B5548" t="s">
        <v>14</v>
      </c>
      <c r="C5548" t="s">
        <v>46</v>
      </c>
      <c r="D5548" t="s">
        <v>17</v>
      </c>
      <c r="E5548" t="s">
        <v>12</v>
      </c>
      <c r="F5548">
        <v>108268929</v>
      </c>
      <c r="G5548">
        <v>108268980</v>
      </c>
      <c r="H5548">
        <v>108268897</v>
      </c>
      <c r="I5548">
        <v>108268924</v>
      </c>
    </row>
    <row r="5549" spans="1:9" x14ac:dyDescent="0.2">
      <c r="A5549" t="str">
        <f>"Dram1"</f>
        <v>Dram1</v>
      </c>
      <c r="B5549" t="s">
        <v>9</v>
      </c>
      <c r="C5549" t="s">
        <v>15</v>
      </c>
      <c r="D5549" t="s">
        <v>11</v>
      </c>
      <c r="E5549" t="s">
        <v>12</v>
      </c>
      <c r="F5549">
        <v>88356990</v>
      </c>
      <c r="G5549">
        <v>88357122</v>
      </c>
      <c r="H5549">
        <v>88356990</v>
      </c>
      <c r="I5549">
        <v>88357122</v>
      </c>
    </row>
    <row r="5550" spans="1:9" x14ac:dyDescent="0.2">
      <c r="A5550" t="str">
        <f>"Dram1"</f>
        <v>Dram1</v>
      </c>
      <c r="B5550" t="s">
        <v>13</v>
      </c>
      <c r="C5550" t="s">
        <v>15</v>
      </c>
      <c r="D5550" t="s">
        <v>11</v>
      </c>
      <c r="E5550" t="s">
        <v>12</v>
      </c>
      <c r="F5550">
        <v>88379051</v>
      </c>
      <c r="G5550">
        <v>88379073</v>
      </c>
      <c r="H5550">
        <v>88379051</v>
      </c>
      <c r="I5550">
        <v>88379073</v>
      </c>
    </row>
    <row r="5551" spans="1:9" x14ac:dyDescent="0.2">
      <c r="A5551" t="str">
        <f>"Dram2"</f>
        <v>Dram2</v>
      </c>
      <c r="B5551" t="s">
        <v>14</v>
      </c>
      <c r="C5551" t="s">
        <v>22</v>
      </c>
      <c r="D5551" t="s">
        <v>17</v>
      </c>
      <c r="E5551" t="s">
        <v>12</v>
      </c>
      <c r="F5551">
        <v>106547822</v>
      </c>
      <c r="G5551">
        <v>106547888</v>
      </c>
      <c r="H5551">
        <v>106547663</v>
      </c>
      <c r="I5551">
        <v>106547676</v>
      </c>
    </row>
    <row r="5552" spans="1:9" x14ac:dyDescent="0.2">
      <c r="A5552" t="str">
        <f>"Drap1"</f>
        <v>Drap1</v>
      </c>
      <c r="B5552" t="s">
        <v>14</v>
      </c>
      <c r="C5552" t="s">
        <v>10</v>
      </c>
      <c r="D5552" t="s">
        <v>11</v>
      </c>
      <c r="E5552" t="s">
        <v>12</v>
      </c>
      <c r="F5552">
        <v>5424906</v>
      </c>
      <c r="G5552">
        <v>5425026</v>
      </c>
      <c r="H5552">
        <v>5424768</v>
      </c>
      <c r="I5552">
        <v>5424811</v>
      </c>
    </row>
    <row r="5553" spans="1:9" x14ac:dyDescent="0.2">
      <c r="A5553" t="str">
        <f>"Draxin"</f>
        <v>Draxin</v>
      </c>
      <c r="B5553" t="s">
        <v>14</v>
      </c>
      <c r="C5553" t="s">
        <v>23</v>
      </c>
      <c r="D5553" t="s">
        <v>11</v>
      </c>
      <c r="E5553" t="s">
        <v>67</v>
      </c>
      <c r="F5553">
        <v>148130678</v>
      </c>
      <c r="G5553">
        <v>148130706</v>
      </c>
      <c r="H5553">
        <v>148130651</v>
      </c>
      <c r="I5553">
        <v>148130672</v>
      </c>
    </row>
    <row r="5554" spans="1:9" x14ac:dyDescent="0.2">
      <c r="A5554" t="str">
        <f>"Drc1"</f>
        <v>Drc1</v>
      </c>
      <c r="B5554" t="s">
        <v>14</v>
      </c>
      <c r="C5554" t="s">
        <v>46</v>
      </c>
      <c r="D5554" t="s">
        <v>17</v>
      </c>
      <c r="E5554" t="s">
        <v>67</v>
      </c>
      <c r="F5554">
        <v>30281377</v>
      </c>
      <c r="G5554">
        <v>30281447</v>
      </c>
      <c r="H5554">
        <v>30281377</v>
      </c>
      <c r="I5554">
        <v>30281447</v>
      </c>
    </row>
    <row r="5555" spans="1:9" x14ac:dyDescent="0.2">
      <c r="A5555" t="str">
        <f>"Drd1a"</f>
        <v>Drd1a</v>
      </c>
      <c r="B5555" t="s">
        <v>14</v>
      </c>
      <c r="C5555" t="s">
        <v>39</v>
      </c>
      <c r="D5555" t="s">
        <v>11</v>
      </c>
      <c r="E5555" t="s">
        <v>12</v>
      </c>
      <c r="F5555">
        <v>54055650</v>
      </c>
      <c r="G5555">
        <v>54055680</v>
      </c>
      <c r="H5555">
        <v>54055623</v>
      </c>
      <c r="I5555">
        <v>54055634</v>
      </c>
    </row>
    <row r="5556" spans="1:9" x14ac:dyDescent="0.2">
      <c r="A5556" t="str">
        <f>"Drd2"</f>
        <v>Drd2</v>
      </c>
      <c r="B5556" t="s">
        <v>14</v>
      </c>
      <c r="C5556" t="s">
        <v>24</v>
      </c>
      <c r="D5556" t="s">
        <v>17</v>
      </c>
      <c r="E5556" t="s">
        <v>12</v>
      </c>
      <c r="F5556">
        <v>49340387</v>
      </c>
      <c r="G5556">
        <v>49340408</v>
      </c>
      <c r="H5556">
        <v>49340387</v>
      </c>
      <c r="I5556">
        <v>49340408</v>
      </c>
    </row>
    <row r="5557" spans="1:9" x14ac:dyDescent="0.2">
      <c r="A5557" t="str">
        <f>"Drd3"</f>
        <v>Drd3</v>
      </c>
      <c r="B5557" t="s">
        <v>2394</v>
      </c>
      <c r="C5557" t="s">
        <v>31</v>
      </c>
      <c r="D5557" t="s">
        <v>17</v>
      </c>
      <c r="E5557" t="s">
        <v>20</v>
      </c>
      <c r="F5557">
        <v>43762220</v>
      </c>
      <c r="G5557">
        <v>43762220</v>
      </c>
      <c r="H5557">
        <v>43762220</v>
      </c>
      <c r="I5557">
        <v>43762220</v>
      </c>
    </row>
    <row r="5558" spans="1:9" x14ac:dyDescent="0.2">
      <c r="A5558" t="str">
        <f>"Drd4"</f>
        <v>Drd4</v>
      </c>
      <c r="B5558" t="s">
        <v>14</v>
      </c>
      <c r="C5558" t="s">
        <v>33</v>
      </c>
      <c r="D5558" t="s">
        <v>17</v>
      </c>
      <c r="E5558" t="s">
        <v>12</v>
      </c>
      <c r="F5558">
        <v>141291988</v>
      </c>
      <c r="G5558">
        <v>141292033</v>
      </c>
      <c r="H5558">
        <v>141291988</v>
      </c>
      <c r="I5558">
        <v>141292033</v>
      </c>
    </row>
    <row r="5559" spans="1:9" x14ac:dyDescent="0.2">
      <c r="A5559" t="str">
        <f>"Drd5"</f>
        <v>Drd5</v>
      </c>
      <c r="B5559" t="s">
        <v>14</v>
      </c>
      <c r="C5559" t="s">
        <v>46</v>
      </c>
      <c r="D5559" t="s">
        <v>17</v>
      </c>
      <c r="E5559" t="s">
        <v>12</v>
      </c>
      <c r="F5559">
        <v>38319393</v>
      </c>
      <c r="G5559">
        <v>38319415</v>
      </c>
      <c r="H5559">
        <v>38319393</v>
      </c>
      <c r="I5559">
        <v>38319415</v>
      </c>
    </row>
    <row r="5560" spans="1:9" x14ac:dyDescent="0.2">
      <c r="A5560" t="str">
        <f>"Drg1"</f>
        <v>Drg1</v>
      </c>
      <c r="B5560" t="s">
        <v>14</v>
      </c>
      <c r="C5560" t="s">
        <v>27</v>
      </c>
      <c r="D5560" t="s">
        <v>11</v>
      </c>
      <c r="E5560" t="s">
        <v>12</v>
      </c>
      <c r="F5560">
        <v>3266377</v>
      </c>
      <c r="G5560">
        <v>3266423</v>
      </c>
      <c r="H5560">
        <v>3266342</v>
      </c>
      <c r="I5560">
        <v>3266353</v>
      </c>
    </row>
    <row r="5561" spans="1:9" x14ac:dyDescent="0.2">
      <c r="A5561" t="str">
        <f>"Drg2"</f>
        <v>Drg2</v>
      </c>
      <c r="B5561" t="s">
        <v>14</v>
      </c>
      <c r="C5561" t="s">
        <v>27</v>
      </c>
      <c r="D5561" t="s">
        <v>17</v>
      </c>
      <c r="E5561" t="s">
        <v>12</v>
      </c>
      <c r="F5561">
        <v>60454587</v>
      </c>
      <c r="G5561">
        <v>60454657</v>
      </c>
      <c r="H5561">
        <v>60454587</v>
      </c>
      <c r="I5561">
        <v>60454657</v>
      </c>
    </row>
    <row r="5562" spans="1:9" x14ac:dyDescent="0.2">
      <c r="A5562" t="str">
        <f>"Drosha"</f>
        <v>Drosha</v>
      </c>
      <c r="B5562" t="s">
        <v>14</v>
      </c>
      <c r="C5562" t="s">
        <v>25</v>
      </c>
      <c r="D5562" t="s">
        <v>17</v>
      </c>
      <c r="E5562" t="s">
        <v>12</v>
      </c>
      <c r="F5562">
        <v>12824841</v>
      </c>
      <c r="G5562">
        <v>12824883</v>
      </c>
      <c r="H5562">
        <v>12824884</v>
      </c>
      <c r="I5562">
        <v>12824907</v>
      </c>
    </row>
    <row r="5563" spans="1:9" x14ac:dyDescent="0.2">
      <c r="A5563" t="str">
        <f>"Drp2"</f>
        <v>Drp2</v>
      </c>
      <c r="B5563" t="s">
        <v>14</v>
      </c>
      <c r="C5563" t="s">
        <v>37</v>
      </c>
      <c r="D5563" t="s">
        <v>17</v>
      </c>
      <c r="E5563" t="s">
        <v>12</v>
      </c>
      <c r="F5563">
        <v>134404808</v>
      </c>
      <c r="G5563">
        <v>134404897</v>
      </c>
      <c r="H5563">
        <v>134404543</v>
      </c>
      <c r="I5563">
        <v>134404589</v>
      </c>
    </row>
    <row r="5564" spans="1:9" x14ac:dyDescent="0.2">
      <c r="A5564" t="str">
        <f>"Dsc1"</f>
        <v>Dsc1</v>
      </c>
      <c r="B5564" t="s">
        <v>14</v>
      </c>
      <c r="C5564" t="s">
        <v>43</v>
      </c>
      <c r="D5564" t="s">
        <v>11</v>
      </c>
      <c r="E5564" t="s">
        <v>12</v>
      </c>
      <c r="F5564">
        <v>20114793</v>
      </c>
      <c r="G5564">
        <v>20114813</v>
      </c>
      <c r="H5564">
        <v>20114639</v>
      </c>
      <c r="I5564">
        <v>20114671</v>
      </c>
    </row>
    <row r="5565" spans="1:9" x14ac:dyDescent="0.2">
      <c r="A5565" t="str">
        <f>"Dsc2"</f>
        <v>Dsc2</v>
      </c>
      <c r="B5565" t="s">
        <v>14</v>
      </c>
      <c r="C5565" t="s">
        <v>43</v>
      </c>
      <c r="D5565" t="s">
        <v>11</v>
      </c>
      <c r="E5565" t="s">
        <v>12</v>
      </c>
      <c r="F5565">
        <v>20059255</v>
      </c>
      <c r="G5565">
        <v>20059285</v>
      </c>
      <c r="H5565">
        <v>20059498</v>
      </c>
      <c r="I5565">
        <v>20059519</v>
      </c>
    </row>
    <row r="5566" spans="1:9" x14ac:dyDescent="0.2">
      <c r="A5566" t="str">
        <f>"Dsc3"</f>
        <v>Dsc3</v>
      </c>
      <c r="B5566" t="s">
        <v>14</v>
      </c>
      <c r="C5566" t="s">
        <v>43</v>
      </c>
      <c r="D5566" t="s">
        <v>11</v>
      </c>
      <c r="E5566" t="s">
        <v>12</v>
      </c>
      <c r="F5566">
        <v>20002017</v>
      </c>
      <c r="G5566">
        <v>20002063</v>
      </c>
      <c r="H5566">
        <v>20002003</v>
      </c>
      <c r="I5566">
        <v>20002014</v>
      </c>
    </row>
    <row r="5567" spans="1:9" x14ac:dyDescent="0.2">
      <c r="A5567" t="str">
        <f>"Dscam"</f>
        <v>Dscam</v>
      </c>
      <c r="B5567" t="s">
        <v>14</v>
      </c>
      <c r="C5567" t="s">
        <v>31</v>
      </c>
      <c r="D5567" t="s">
        <v>11</v>
      </c>
      <c r="E5567" t="s">
        <v>12</v>
      </c>
      <c r="F5567">
        <v>97170821</v>
      </c>
      <c r="G5567">
        <v>97170836</v>
      </c>
      <c r="H5567">
        <v>97170707</v>
      </c>
      <c r="I5567">
        <v>97170759</v>
      </c>
    </row>
    <row r="5568" spans="1:9" x14ac:dyDescent="0.2">
      <c r="A5568" t="str">
        <f>"Dscaml1"</f>
        <v>Dscaml1</v>
      </c>
      <c r="B5568" t="s">
        <v>14</v>
      </c>
      <c r="C5568" t="s">
        <v>24</v>
      </c>
      <c r="D5568" t="s">
        <v>17</v>
      </c>
      <c r="E5568" t="s">
        <v>12</v>
      </c>
      <c r="F5568">
        <v>45430316</v>
      </c>
      <c r="G5568">
        <v>45430379</v>
      </c>
      <c r="H5568">
        <v>45430316</v>
      </c>
      <c r="I5568">
        <v>45430379</v>
      </c>
    </row>
    <row r="5569" spans="1:9" x14ac:dyDescent="0.2">
      <c r="A5569" t="str">
        <f>"Dscc1"</f>
        <v>Dscc1</v>
      </c>
      <c r="B5569" t="s">
        <v>14</v>
      </c>
      <c r="C5569" t="s">
        <v>25</v>
      </c>
      <c r="D5569" t="s">
        <v>11</v>
      </c>
      <c r="E5569" t="s">
        <v>12</v>
      </c>
      <c r="F5569">
        <v>55090422</v>
      </c>
      <c r="G5569">
        <v>55090496</v>
      </c>
      <c r="H5569">
        <v>55090422</v>
      </c>
      <c r="I5569">
        <v>55090496</v>
      </c>
    </row>
    <row r="5570" spans="1:9" x14ac:dyDescent="0.2">
      <c r="A5570" t="str">
        <f>"Dscr3"</f>
        <v>Dscr3</v>
      </c>
      <c r="B5570" t="s">
        <v>14</v>
      </c>
      <c r="C5570" t="s">
        <v>31</v>
      </c>
      <c r="D5570" t="s">
        <v>11</v>
      </c>
      <c r="E5570" t="s">
        <v>12</v>
      </c>
      <c r="F5570">
        <v>94526396</v>
      </c>
      <c r="G5570">
        <v>94526451</v>
      </c>
      <c r="H5570">
        <v>94526876</v>
      </c>
      <c r="I5570">
        <v>94526917</v>
      </c>
    </row>
    <row r="5571" spans="1:9" x14ac:dyDescent="0.2">
      <c r="A5571" t="str">
        <f>"Dse"</f>
        <v>Dse</v>
      </c>
      <c r="B5571" t="s">
        <v>14</v>
      </c>
      <c r="C5571" t="s">
        <v>15</v>
      </c>
      <c r="D5571" t="s">
        <v>11</v>
      </c>
      <c r="E5571" t="s">
        <v>12</v>
      </c>
      <c r="F5571">
        <v>34207201</v>
      </c>
      <c r="G5571">
        <v>34207265</v>
      </c>
      <c r="H5571">
        <v>34207177</v>
      </c>
      <c r="I5571">
        <v>34207200</v>
      </c>
    </row>
    <row r="5572" spans="1:9" x14ac:dyDescent="0.2">
      <c r="A5572" t="str">
        <f>"Dsel"</f>
        <v>Dsel</v>
      </c>
      <c r="B5572" t="s">
        <v>14</v>
      </c>
      <c r="C5572" t="s">
        <v>19</v>
      </c>
      <c r="D5572" t="s">
        <v>11</v>
      </c>
      <c r="E5572" t="s">
        <v>12</v>
      </c>
      <c r="F5572">
        <v>111864869</v>
      </c>
      <c r="G5572">
        <v>111864929</v>
      </c>
      <c r="H5572">
        <v>111864869</v>
      </c>
      <c r="I5572">
        <v>111864929</v>
      </c>
    </row>
    <row r="5573" spans="1:9" x14ac:dyDescent="0.2">
      <c r="A5573" t="str">
        <f>"Dsg1a"</f>
        <v>Dsg1a</v>
      </c>
      <c r="B5573" t="s">
        <v>14</v>
      </c>
      <c r="C5573" t="s">
        <v>43</v>
      </c>
      <c r="D5573" t="s">
        <v>17</v>
      </c>
      <c r="E5573" t="s">
        <v>12</v>
      </c>
      <c r="F5573">
        <v>20310923</v>
      </c>
      <c r="G5573">
        <v>20310929</v>
      </c>
      <c r="H5573">
        <v>20310923</v>
      </c>
      <c r="I5573">
        <v>20310929</v>
      </c>
    </row>
    <row r="5574" spans="1:9" x14ac:dyDescent="0.2">
      <c r="A5574" t="str">
        <f>"Dsg1b"</f>
        <v>Dsg1b</v>
      </c>
      <c r="B5574" t="s">
        <v>14</v>
      </c>
      <c r="C5574" t="s">
        <v>43</v>
      </c>
      <c r="D5574" t="s">
        <v>17</v>
      </c>
      <c r="E5574" t="s">
        <v>12</v>
      </c>
      <c r="F5574">
        <v>20376839</v>
      </c>
      <c r="G5574">
        <v>20376846</v>
      </c>
      <c r="H5574">
        <v>20376839</v>
      </c>
      <c r="I5574">
        <v>20376846</v>
      </c>
    </row>
    <row r="5575" spans="1:9" x14ac:dyDescent="0.2">
      <c r="A5575" t="str">
        <f>"Dsg1c"</f>
        <v>Dsg1c</v>
      </c>
      <c r="B5575" t="s">
        <v>2395</v>
      </c>
      <c r="C5575" t="s">
        <v>43</v>
      </c>
      <c r="D5575" t="s">
        <v>17</v>
      </c>
      <c r="E5575" t="s">
        <v>20</v>
      </c>
      <c r="F5575">
        <v>20247339</v>
      </c>
      <c r="G5575">
        <v>20247339</v>
      </c>
      <c r="H5575">
        <v>20247339</v>
      </c>
      <c r="I5575">
        <v>20247339</v>
      </c>
    </row>
    <row r="5576" spans="1:9" x14ac:dyDescent="0.2">
      <c r="A5576" t="str">
        <f>"Dsg2"</f>
        <v>Dsg2</v>
      </c>
      <c r="B5576" t="s">
        <v>14</v>
      </c>
      <c r="C5576" t="s">
        <v>43</v>
      </c>
      <c r="D5576" t="s">
        <v>17</v>
      </c>
      <c r="E5576" t="s">
        <v>12</v>
      </c>
      <c r="F5576">
        <v>20558092</v>
      </c>
      <c r="G5576">
        <v>20558201</v>
      </c>
      <c r="H5576">
        <v>20558038</v>
      </c>
      <c r="I5576">
        <v>20558086</v>
      </c>
    </row>
    <row r="5577" spans="1:9" x14ac:dyDescent="0.2">
      <c r="A5577" t="str">
        <f>"Dsg3"</f>
        <v>Dsg3</v>
      </c>
      <c r="B5577" t="s">
        <v>14</v>
      </c>
      <c r="C5577" t="s">
        <v>43</v>
      </c>
      <c r="D5577" t="s">
        <v>17</v>
      </c>
      <c r="E5577" t="s">
        <v>12</v>
      </c>
      <c r="F5577">
        <v>20510253</v>
      </c>
      <c r="G5577">
        <v>20510267</v>
      </c>
      <c r="H5577">
        <v>20510269</v>
      </c>
      <c r="I5577">
        <v>20510290</v>
      </c>
    </row>
    <row r="5578" spans="1:9" x14ac:dyDescent="0.2">
      <c r="A5578" t="str">
        <f>"Dsg4"</f>
        <v>Dsg4</v>
      </c>
      <c r="B5578" t="s">
        <v>14</v>
      </c>
      <c r="C5578" t="s">
        <v>43</v>
      </c>
      <c r="D5578" t="s">
        <v>17</v>
      </c>
      <c r="E5578" t="s">
        <v>12</v>
      </c>
      <c r="F5578">
        <v>20436169</v>
      </c>
      <c r="G5578">
        <v>20436183</v>
      </c>
      <c r="H5578">
        <v>20436169</v>
      </c>
      <c r="I5578">
        <v>20436183</v>
      </c>
    </row>
    <row r="5579" spans="1:9" x14ac:dyDescent="0.2">
      <c r="A5579" t="str">
        <f>"Dsn1"</f>
        <v>Dsn1</v>
      </c>
      <c r="B5579" t="s">
        <v>14</v>
      </c>
      <c r="C5579" t="s">
        <v>26</v>
      </c>
      <c r="D5579" t="s">
        <v>11</v>
      </c>
      <c r="E5579" t="s">
        <v>12</v>
      </c>
      <c r="F5579">
        <v>157007039</v>
      </c>
      <c r="G5579">
        <v>157007082</v>
      </c>
      <c r="H5579">
        <v>157006846</v>
      </c>
      <c r="I5579">
        <v>157006892</v>
      </c>
    </row>
    <row r="5580" spans="1:9" x14ac:dyDescent="0.2">
      <c r="A5580" t="str">
        <f>"Dsp"</f>
        <v>Dsp</v>
      </c>
      <c r="B5580" t="s">
        <v>14</v>
      </c>
      <c r="C5580" t="s">
        <v>39</v>
      </c>
      <c r="D5580" t="s">
        <v>17</v>
      </c>
      <c r="E5580" t="s">
        <v>12</v>
      </c>
      <c r="F5580">
        <v>38151371</v>
      </c>
      <c r="G5580">
        <v>38151393</v>
      </c>
      <c r="H5580">
        <v>38151324</v>
      </c>
      <c r="I5580">
        <v>38151339</v>
      </c>
    </row>
    <row r="5581" spans="1:9" x14ac:dyDescent="0.2">
      <c r="A5581" t="str">
        <f>"Dspp"</f>
        <v>Dspp</v>
      </c>
      <c r="B5581" t="s">
        <v>14</v>
      </c>
      <c r="C5581" t="s">
        <v>46</v>
      </c>
      <c r="D5581" t="s">
        <v>17</v>
      </c>
      <c r="E5581" t="s">
        <v>12</v>
      </c>
      <c r="F5581">
        <v>104170676</v>
      </c>
      <c r="G5581">
        <v>104170699</v>
      </c>
      <c r="H5581">
        <v>104170676</v>
      </c>
      <c r="I5581">
        <v>104170699</v>
      </c>
    </row>
    <row r="5582" spans="1:9" x14ac:dyDescent="0.2">
      <c r="A5582" t="str">
        <f>"Dst"</f>
        <v>Dst</v>
      </c>
      <c r="B5582" t="s">
        <v>14</v>
      </c>
      <c r="C5582" t="s">
        <v>19</v>
      </c>
      <c r="D5582" t="s">
        <v>17</v>
      </c>
      <c r="E5582" t="s">
        <v>12</v>
      </c>
      <c r="F5582">
        <v>34011564</v>
      </c>
      <c r="G5582">
        <v>34011602</v>
      </c>
      <c r="H5582">
        <v>34011564</v>
      </c>
      <c r="I5582">
        <v>34011602</v>
      </c>
    </row>
    <row r="5583" spans="1:9" x14ac:dyDescent="0.2">
      <c r="A5583" t="str">
        <f>"Dstn"</f>
        <v>Dstn</v>
      </c>
      <c r="B5583" t="s">
        <v>14</v>
      </c>
      <c r="C5583" t="s">
        <v>26</v>
      </c>
      <c r="D5583" t="s">
        <v>17</v>
      </c>
      <c r="E5583" t="s">
        <v>12</v>
      </c>
      <c r="F5583">
        <v>143915541</v>
      </c>
      <c r="G5583">
        <v>143915568</v>
      </c>
      <c r="H5583">
        <v>143915503</v>
      </c>
      <c r="I5583">
        <v>143915535</v>
      </c>
    </row>
    <row r="5584" spans="1:9" x14ac:dyDescent="0.2">
      <c r="A5584" t="str">
        <f>"Dstyk"</f>
        <v>Dstyk</v>
      </c>
      <c r="B5584" t="s">
        <v>14</v>
      </c>
      <c r="C5584" t="s">
        <v>19</v>
      </c>
      <c r="D5584" t="s">
        <v>17</v>
      </c>
      <c r="E5584" t="s">
        <v>12</v>
      </c>
      <c r="F5584">
        <v>132417555</v>
      </c>
      <c r="G5584">
        <v>132417609</v>
      </c>
      <c r="H5584">
        <v>132417409</v>
      </c>
      <c r="I5584">
        <v>132417464</v>
      </c>
    </row>
    <row r="5585" spans="1:9" x14ac:dyDescent="0.2">
      <c r="A5585" t="str">
        <f>"Dtd1"</f>
        <v>Dtd1</v>
      </c>
      <c r="B5585" t="s">
        <v>14</v>
      </c>
      <c r="C5585" t="s">
        <v>26</v>
      </c>
      <c r="D5585" t="s">
        <v>17</v>
      </c>
      <c r="E5585" t="s">
        <v>12</v>
      </c>
      <c r="F5585">
        <v>144599946</v>
      </c>
      <c r="G5585">
        <v>144600039</v>
      </c>
      <c r="H5585">
        <v>144599925</v>
      </c>
      <c r="I5585">
        <v>144599932</v>
      </c>
    </row>
    <row r="5586" spans="1:9" x14ac:dyDescent="0.2">
      <c r="A5586" t="str">
        <f>"Dtd2"</f>
        <v>Dtd2</v>
      </c>
      <c r="B5586" t="s">
        <v>14</v>
      </c>
      <c r="C5586" t="s">
        <v>16</v>
      </c>
      <c r="D5586" t="s">
        <v>11</v>
      </c>
      <c r="E5586" t="s">
        <v>67</v>
      </c>
      <c r="F5586">
        <v>52006490</v>
      </c>
      <c r="G5586">
        <v>52006512</v>
      </c>
      <c r="H5586">
        <v>52006490</v>
      </c>
      <c r="I5586">
        <v>52006512</v>
      </c>
    </row>
    <row r="5587" spans="1:9" x14ac:dyDescent="0.2">
      <c r="A5587" t="str">
        <f>"Dtl"</f>
        <v>Dtl</v>
      </c>
      <c r="B5587" t="s">
        <v>14</v>
      </c>
      <c r="C5587" t="s">
        <v>19</v>
      </c>
      <c r="D5587" t="s">
        <v>11</v>
      </c>
      <c r="E5587" t="s">
        <v>12</v>
      </c>
      <c r="F5587">
        <v>191575490</v>
      </c>
      <c r="G5587">
        <v>191575526</v>
      </c>
      <c r="H5587">
        <v>191575537</v>
      </c>
      <c r="I5587">
        <v>191575549</v>
      </c>
    </row>
    <row r="5588" spans="1:9" x14ac:dyDescent="0.2">
      <c r="A5588" t="str">
        <f>"Dtna"</f>
        <v>Dtna</v>
      </c>
      <c r="B5588" t="s">
        <v>14</v>
      </c>
      <c r="C5588" t="s">
        <v>43</v>
      </c>
      <c r="D5588" t="s">
        <v>17</v>
      </c>
      <c r="E5588" t="s">
        <v>12</v>
      </c>
      <c r="F5588">
        <v>23415400</v>
      </c>
      <c r="G5588">
        <v>23415454</v>
      </c>
      <c r="H5588">
        <v>23415400</v>
      </c>
      <c r="I5588">
        <v>23415454</v>
      </c>
    </row>
    <row r="5589" spans="1:9" x14ac:dyDescent="0.2">
      <c r="A5589" t="str">
        <f>"Dtnb"</f>
        <v>Dtnb</v>
      </c>
      <c r="B5589" t="s">
        <v>14</v>
      </c>
      <c r="C5589" t="s">
        <v>16</v>
      </c>
      <c r="D5589" t="s">
        <v>17</v>
      </c>
      <c r="E5589" t="s">
        <v>12</v>
      </c>
      <c r="F5589">
        <v>3572379</v>
      </c>
      <c r="G5589">
        <v>3572524</v>
      </c>
      <c r="H5589">
        <v>3572528</v>
      </c>
      <c r="I5589">
        <v>3572548</v>
      </c>
    </row>
    <row r="5590" spans="1:9" x14ac:dyDescent="0.2">
      <c r="A5590" t="str">
        <f>"Dtnbp1"</f>
        <v>Dtnbp1</v>
      </c>
      <c r="B5590" t="s">
        <v>14</v>
      </c>
      <c r="C5590" t="s">
        <v>39</v>
      </c>
      <c r="D5590" t="s">
        <v>11</v>
      </c>
      <c r="E5590" t="s">
        <v>12</v>
      </c>
      <c r="F5590">
        <v>45002045</v>
      </c>
      <c r="G5590">
        <v>45002117</v>
      </c>
      <c r="H5590">
        <v>45002045</v>
      </c>
      <c r="I5590">
        <v>45002117</v>
      </c>
    </row>
    <row r="5591" spans="1:9" x14ac:dyDescent="0.2">
      <c r="A5591" t="str">
        <f>"Dtwd1"</f>
        <v>Dtwd1</v>
      </c>
      <c r="B5591" t="s">
        <v>14</v>
      </c>
      <c r="C5591" t="s">
        <v>26</v>
      </c>
      <c r="D5591" t="s">
        <v>17</v>
      </c>
      <c r="E5591" t="s">
        <v>12</v>
      </c>
      <c r="F5591">
        <v>126152165</v>
      </c>
      <c r="G5591">
        <v>126152212</v>
      </c>
      <c r="H5591">
        <v>126152134</v>
      </c>
      <c r="I5591">
        <v>126152145</v>
      </c>
    </row>
    <row r="5592" spans="1:9" x14ac:dyDescent="0.2">
      <c r="A5592" t="str">
        <f>"Dtwd2"</f>
        <v>Dtwd2</v>
      </c>
      <c r="B5592" t="s">
        <v>14</v>
      </c>
      <c r="C5592" t="s">
        <v>43</v>
      </c>
      <c r="D5592" t="s">
        <v>11</v>
      </c>
      <c r="E5592" t="s">
        <v>12</v>
      </c>
      <c r="F5592">
        <v>49755548</v>
      </c>
      <c r="G5592">
        <v>49755591</v>
      </c>
      <c r="H5592">
        <v>49755475</v>
      </c>
      <c r="I5592">
        <v>49755492</v>
      </c>
    </row>
    <row r="5593" spans="1:9" x14ac:dyDescent="0.2">
      <c r="A5593" t="str">
        <f>"Dtx1"</f>
        <v>Dtx1</v>
      </c>
      <c r="B5593" t="s">
        <v>14</v>
      </c>
      <c r="C5593" t="s">
        <v>46</v>
      </c>
      <c r="D5593" t="s">
        <v>11</v>
      </c>
      <c r="E5593" t="s">
        <v>12</v>
      </c>
      <c r="F5593">
        <v>120711613</v>
      </c>
      <c r="G5593">
        <v>120711692</v>
      </c>
      <c r="H5593">
        <v>120711596</v>
      </c>
      <c r="I5593">
        <v>120711609</v>
      </c>
    </row>
    <row r="5594" spans="1:9" x14ac:dyDescent="0.2">
      <c r="A5594" t="str">
        <f>"Dtx2"</f>
        <v>Dtx2</v>
      </c>
      <c r="B5594" t="s">
        <v>14</v>
      </c>
      <c r="C5594" t="s">
        <v>46</v>
      </c>
      <c r="D5594" t="s">
        <v>17</v>
      </c>
      <c r="E5594" t="s">
        <v>12</v>
      </c>
      <c r="F5594">
        <v>135994796</v>
      </c>
      <c r="G5594">
        <v>135994884</v>
      </c>
      <c r="H5594">
        <v>135995072</v>
      </c>
      <c r="I5594">
        <v>135995084</v>
      </c>
    </row>
    <row r="5595" spans="1:9" x14ac:dyDescent="0.2">
      <c r="A5595" t="str">
        <f>"Dtx3"</f>
        <v>Dtx3</v>
      </c>
      <c r="B5595" t="s">
        <v>14</v>
      </c>
      <c r="C5595" t="s">
        <v>15</v>
      </c>
      <c r="D5595" t="s">
        <v>11</v>
      </c>
      <c r="E5595" t="s">
        <v>12</v>
      </c>
      <c r="F5595">
        <v>127195713</v>
      </c>
      <c r="G5595">
        <v>127195739</v>
      </c>
      <c r="H5595">
        <v>127196079</v>
      </c>
      <c r="I5595">
        <v>127196098</v>
      </c>
    </row>
    <row r="5596" spans="1:9" x14ac:dyDescent="0.2">
      <c r="A5596" t="str">
        <f>"Dtx3l"</f>
        <v>Dtx3l</v>
      </c>
      <c r="B5596" t="s">
        <v>14</v>
      </c>
      <c r="C5596" t="s">
        <v>31</v>
      </c>
      <c r="D5596" t="s">
        <v>11</v>
      </c>
      <c r="E5596" t="s">
        <v>12</v>
      </c>
      <c r="F5596">
        <v>35938912</v>
      </c>
      <c r="G5596">
        <v>35938938</v>
      </c>
      <c r="H5596">
        <v>35938885</v>
      </c>
      <c r="I5596">
        <v>35938908</v>
      </c>
    </row>
    <row r="5597" spans="1:9" x14ac:dyDescent="0.2">
      <c r="A5597" t="str">
        <f>"Dtx4"</f>
        <v>Dtx4</v>
      </c>
      <c r="B5597" t="s">
        <v>14</v>
      </c>
      <c r="C5597" t="s">
        <v>10</v>
      </c>
      <c r="D5597" t="s">
        <v>11</v>
      </c>
      <c r="E5597" t="s">
        <v>12</v>
      </c>
      <c r="F5597">
        <v>12502082</v>
      </c>
      <c r="G5597">
        <v>12502152</v>
      </c>
      <c r="H5597">
        <v>12502082</v>
      </c>
      <c r="I5597">
        <v>12502152</v>
      </c>
    </row>
    <row r="5598" spans="1:9" x14ac:dyDescent="0.2">
      <c r="A5598" t="str">
        <f>"Dtymk"</f>
        <v>Dtymk</v>
      </c>
      <c r="B5598" t="s">
        <v>14</v>
      </c>
      <c r="C5598" t="s">
        <v>19</v>
      </c>
      <c r="D5598" t="s">
        <v>11</v>
      </c>
      <c r="E5598" t="s">
        <v>12</v>
      </c>
      <c r="F5598">
        <v>93801840</v>
      </c>
      <c r="G5598">
        <v>93801945</v>
      </c>
      <c r="H5598">
        <v>93801840</v>
      </c>
      <c r="I5598">
        <v>93801945</v>
      </c>
    </row>
    <row r="5599" spans="1:9" x14ac:dyDescent="0.2">
      <c r="A5599" t="str">
        <f>"Duox1"</f>
        <v>Duox1</v>
      </c>
      <c r="B5599" t="s">
        <v>2396</v>
      </c>
      <c r="C5599" t="s">
        <v>26</v>
      </c>
      <c r="D5599" t="s">
        <v>17</v>
      </c>
      <c r="E5599" t="s">
        <v>20</v>
      </c>
      <c r="F5599">
        <v>122315671</v>
      </c>
      <c r="G5599">
        <v>122315671</v>
      </c>
      <c r="H5599">
        <v>122315671</v>
      </c>
      <c r="I5599">
        <v>122315671</v>
      </c>
    </row>
    <row r="5600" spans="1:9" x14ac:dyDescent="0.2">
      <c r="A5600" t="str">
        <f>"Duox2"</f>
        <v>Duox2</v>
      </c>
      <c r="B5600" t="s">
        <v>14</v>
      </c>
      <c r="C5600" t="s">
        <v>26</v>
      </c>
      <c r="D5600" t="s">
        <v>11</v>
      </c>
      <c r="E5600" t="s">
        <v>12</v>
      </c>
      <c r="F5600">
        <v>122298718</v>
      </c>
      <c r="G5600">
        <v>122298737</v>
      </c>
      <c r="H5600">
        <v>122298576</v>
      </c>
      <c r="I5600">
        <v>122298613</v>
      </c>
    </row>
    <row r="5601" spans="1:9" x14ac:dyDescent="0.2">
      <c r="A5601" t="str">
        <f>"Duoxa1"</f>
        <v>Duoxa1</v>
      </c>
      <c r="B5601" t="s">
        <v>9</v>
      </c>
      <c r="C5601" t="s">
        <v>26</v>
      </c>
      <c r="D5601" t="s">
        <v>11</v>
      </c>
      <c r="E5601" t="s">
        <v>12</v>
      </c>
      <c r="F5601">
        <v>122313714</v>
      </c>
      <c r="G5601">
        <v>122313736</v>
      </c>
      <c r="H5601">
        <v>122313714</v>
      </c>
      <c r="I5601">
        <v>122313736</v>
      </c>
    </row>
    <row r="5602" spans="1:9" x14ac:dyDescent="0.2">
      <c r="A5602" t="str">
        <f>"Duoxa1"</f>
        <v>Duoxa1</v>
      </c>
      <c r="B5602" t="s">
        <v>13</v>
      </c>
      <c r="C5602" t="s">
        <v>26</v>
      </c>
      <c r="D5602" t="s">
        <v>11</v>
      </c>
      <c r="E5602" t="s">
        <v>12</v>
      </c>
      <c r="F5602">
        <v>122305706</v>
      </c>
      <c r="G5602">
        <v>122305715</v>
      </c>
      <c r="H5602">
        <v>122305706</v>
      </c>
      <c r="I5602">
        <v>122305715</v>
      </c>
    </row>
    <row r="5603" spans="1:9" x14ac:dyDescent="0.2">
      <c r="A5603" t="str">
        <f>"Duoxa2"</f>
        <v>Duoxa2</v>
      </c>
      <c r="B5603" t="s">
        <v>14</v>
      </c>
      <c r="C5603" t="s">
        <v>26</v>
      </c>
      <c r="D5603" t="s">
        <v>17</v>
      </c>
      <c r="E5603" t="s">
        <v>12</v>
      </c>
      <c r="F5603">
        <v>122298898</v>
      </c>
      <c r="G5603">
        <v>122298903</v>
      </c>
      <c r="H5603">
        <v>122298989</v>
      </c>
      <c r="I5603">
        <v>122299017</v>
      </c>
    </row>
    <row r="5604" spans="1:9" x14ac:dyDescent="0.2">
      <c r="A5604" t="str">
        <f>"Dupd1"</f>
        <v>Dupd1</v>
      </c>
      <c r="B5604" t="s">
        <v>14</v>
      </c>
      <c r="C5604" t="s">
        <v>41</v>
      </c>
      <c r="D5604" t="s">
        <v>11</v>
      </c>
      <c r="E5604" t="s">
        <v>12</v>
      </c>
      <c r="F5604">
        <v>21714570</v>
      </c>
      <c r="G5604">
        <v>21714584</v>
      </c>
      <c r="H5604">
        <v>21714550</v>
      </c>
      <c r="I5604">
        <v>21714567</v>
      </c>
    </row>
    <row r="5605" spans="1:9" x14ac:dyDescent="0.2">
      <c r="A5605" t="str">
        <f>"Dus1l"</f>
        <v>Dus1l</v>
      </c>
      <c r="B5605" t="s">
        <v>14</v>
      </c>
      <c r="C5605" t="s">
        <v>27</v>
      </c>
      <c r="D5605" t="s">
        <v>11</v>
      </c>
      <c r="E5605" t="s">
        <v>12</v>
      </c>
      <c r="F5605">
        <v>120796369</v>
      </c>
      <c r="G5605">
        <v>120796405</v>
      </c>
      <c r="H5605">
        <v>120796369</v>
      </c>
      <c r="I5605">
        <v>120796405</v>
      </c>
    </row>
    <row r="5606" spans="1:9" x14ac:dyDescent="0.2">
      <c r="A5606" t="str">
        <f>"Dus2l"</f>
        <v>Dus2l</v>
      </c>
      <c r="B5606" t="s">
        <v>14</v>
      </c>
      <c r="C5606" t="s">
        <v>30</v>
      </c>
      <c r="D5606" t="s">
        <v>17</v>
      </c>
      <c r="E5606" t="s">
        <v>12</v>
      </c>
      <c r="F5606">
        <v>106011491</v>
      </c>
      <c r="G5606">
        <v>106011526</v>
      </c>
      <c r="H5606">
        <v>106011475</v>
      </c>
      <c r="I5606">
        <v>106011490</v>
      </c>
    </row>
    <row r="5607" spans="1:9" x14ac:dyDescent="0.2">
      <c r="A5607" t="str">
        <f>"Dus3l"</f>
        <v>Dus3l</v>
      </c>
      <c r="B5607" t="s">
        <v>14</v>
      </c>
      <c r="C5607" t="s">
        <v>28</v>
      </c>
      <c r="D5607" t="s">
        <v>17</v>
      </c>
      <c r="E5607" t="s">
        <v>12</v>
      </c>
      <c r="F5607">
        <v>56764805</v>
      </c>
      <c r="G5607">
        <v>56764845</v>
      </c>
      <c r="H5607">
        <v>56764767</v>
      </c>
      <c r="I5607">
        <v>56764798</v>
      </c>
    </row>
    <row r="5608" spans="1:9" x14ac:dyDescent="0.2">
      <c r="A5608" t="str">
        <f>"Dus4l"</f>
        <v>Dus4l</v>
      </c>
      <c r="B5608" t="s">
        <v>14</v>
      </c>
      <c r="C5608" t="s">
        <v>16</v>
      </c>
      <c r="D5608" t="s">
        <v>11</v>
      </c>
      <c r="E5608" t="s">
        <v>12</v>
      </c>
      <c r="F5608">
        <v>31654767</v>
      </c>
      <c r="G5608">
        <v>31654840</v>
      </c>
      <c r="H5608">
        <v>31655123</v>
      </c>
      <c r="I5608">
        <v>31655124</v>
      </c>
    </row>
    <row r="5609" spans="1:9" x14ac:dyDescent="0.2">
      <c r="A5609" t="str">
        <f>"Dusp1"</f>
        <v>Dusp1</v>
      </c>
      <c r="B5609" t="s">
        <v>14</v>
      </c>
      <c r="C5609" t="s">
        <v>28</v>
      </c>
      <c r="D5609" t="s">
        <v>11</v>
      </c>
      <c r="E5609" t="s">
        <v>12</v>
      </c>
      <c r="F5609">
        <v>26508463</v>
      </c>
      <c r="G5609">
        <v>26508482</v>
      </c>
      <c r="H5609">
        <v>26507628</v>
      </c>
      <c r="I5609">
        <v>26507659</v>
      </c>
    </row>
    <row r="5610" spans="1:9" x14ac:dyDescent="0.2">
      <c r="A5610" t="str">
        <f>"Dusp10"</f>
        <v>Dusp10</v>
      </c>
      <c r="B5610" t="s">
        <v>14</v>
      </c>
      <c r="C5610" t="s">
        <v>19</v>
      </c>
      <c r="D5610" t="s">
        <v>17</v>
      </c>
      <c r="E5610" t="s">
        <v>12</v>
      </c>
      <c r="F5610">
        <v>184034453</v>
      </c>
      <c r="G5610">
        <v>184034473</v>
      </c>
      <c r="H5610">
        <v>184034426</v>
      </c>
      <c r="I5610">
        <v>184034437</v>
      </c>
    </row>
    <row r="5611" spans="1:9" x14ac:dyDescent="0.2">
      <c r="A5611" t="str">
        <f>"Dusp11"</f>
        <v>Dusp11</v>
      </c>
      <c r="B5611" t="s">
        <v>14</v>
      </c>
      <c r="C5611" t="s">
        <v>32</v>
      </c>
      <c r="D5611" t="s">
        <v>11</v>
      </c>
      <c r="E5611" t="s">
        <v>12</v>
      </c>
      <c r="F5611">
        <v>85961631</v>
      </c>
      <c r="G5611">
        <v>85961671</v>
      </c>
      <c r="H5611">
        <v>85961603</v>
      </c>
      <c r="I5611">
        <v>85961627</v>
      </c>
    </row>
    <row r="5612" spans="1:9" x14ac:dyDescent="0.2">
      <c r="A5612" t="str">
        <f>"Dusp12"</f>
        <v>Dusp12</v>
      </c>
      <c r="B5612" t="s">
        <v>14</v>
      </c>
      <c r="C5612" t="s">
        <v>19</v>
      </c>
      <c r="D5612" t="s">
        <v>11</v>
      </c>
      <c r="E5612" t="s">
        <v>12</v>
      </c>
      <c r="F5612">
        <v>170885388</v>
      </c>
      <c r="G5612">
        <v>170885446</v>
      </c>
      <c r="H5612">
        <v>170885452</v>
      </c>
      <c r="I5612">
        <v>170885466</v>
      </c>
    </row>
    <row r="5613" spans="1:9" x14ac:dyDescent="0.2">
      <c r="A5613" t="str">
        <f>"Dusp13"</f>
        <v>Dusp13</v>
      </c>
      <c r="B5613" t="s">
        <v>9</v>
      </c>
      <c r="C5613" t="s">
        <v>41</v>
      </c>
      <c r="D5613" t="s">
        <v>11</v>
      </c>
      <c r="E5613" t="s">
        <v>12</v>
      </c>
      <c r="F5613">
        <v>21748610</v>
      </c>
      <c r="G5613">
        <v>21748650</v>
      </c>
      <c r="H5613">
        <v>21748610</v>
      </c>
      <c r="I5613">
        <v>21748650</v>
      </c>
    </row>
    <row r="5614" spans="1:9" x14ac:dyDescent="0.2">
      <c r="A5614" t="str">
        <f>"Dusp13"</f>
        <v>Dusp13</v>
      </c>
      <c r="B5614" t="s">
        <v>13</v>
      </c>
      <c r="C5614" t="s">
        <v>41</v>
      </c>
      <c r="D5614" t="s">
        <v>11</v>
      </c>
      <c r="E5614" t="s">
        <v>12</v>
      </c>
      <c r="F5614">
        <v>21742870</v>
      </c>
      <c r="G5614">
        <v>21742893</v>
      </c>
      <c r="H5614">
        <v>21742870</v>
      </c>
      <c r="I5614">
        <v>21742893</v>
      </c>
    </row>
    <row r="5615" spans="1:9" x14ac:dyDescent="0.2">
      <c r="A5615" t="str">
        <f>"Dusp14"</f>
        <v>Dusp14</v>
      </c>
      <c r="B5615" t="s">
        <v>9</v>
      </c>
      <c r="C5615" t="s">
        <v>27</v>
      </c>
      <c r="D5615" t="s">
        <v>11</v>
      </c>
      <c r="E5615" t="s">
        <v>12</v>
      </c>
      <c r="F5615">
        <v>84067063</v>
      </c>
      <c r="G5615">
        <v>84067095</v>
      </c>
      <c r="H5615">
        <v>84067063</v>
      </c>
      <c r="I5615">
        <v>84067095</v>
      </c>
    </row>
    <row r="5616" spans="1:9" x14ac:dyDescent="0.2">
      <c r="A5616" t="str">
        <f>"Dusp14"</f>
        <v>Dusp14</v>
      </c>
      <c r="B5616" t="s">
        <v>13</v>
      </c>
      <c r="C5616" t="s">
        <v>27</v>
      </c>
      <c r="D5616" t="s">
        <v>11</v>
      </c>
      <c r="E5616" t="s">
        <v>12</v>
      </c>
      <c r="F5616">
        <v>84068325</v>
      </c>
      <c r="G5616">
        <v>84068345</v>
      </c>
      <c r="H5616">
        <v>84068325</v>
      </c>
      <c r="I5616">
        <v>84068345</v>
      </c>
    </row>
    <row r="5617" spans="1:9" x14ac:dyDescent="0.2">
      <c r="A5617" t="str">
        <f>"Dusp15"</f>
        <v>Dusp15</v>
      </c>
      <c r="B5617" t="s">
        <v>14</v>
      </c>
      <c r="C5617" t="s">
        <v>26</v>
      </c>
      <c r="D5617" t="s">
        <v>11</v>
      </c>
      <c r="E5617" t="s">
        <v>12</v>
      </c>
      <c r="F5617">
        <v>152951547</v>
      </c>
      <c r="G5617">
        <v>152951608</v>
      </c>
      <c r="H5617">
        <v>152951527</v>
      </c>
      <c r="I5617">
        <v>152951540</v>
      </c>
    </row>
    <row r="5618" spans="1:9" x14ac:dyDescent="0.2">
      <c r="A5618" t="str">
        <f>"Dusp16"</f>
        <v>Dusp16</v>
      </c>
      <c r="B5618" t="s">
        <v>14</v>
      </c>
      <c r="C5618" t="s">
        <v>32</v>
      </c>
      <c r="D5618" t="s">
        <v>11</v>
      </c>
      <c r="E5618" t="s">
        <v>12</v>
      </c>
      <c r="F5618">
        <v>134792596</v>
      </c>
      <c r="G5618">
        <v>134792682</v>
      </c>
      <c r="H5618">
        <v>134792710</v>
      </c>
      <c r="I5618">
        <v>134792730</v>
      </c>
    </row>
    <row r="5619" spans="1:9" x14ac:dyDescent="0.2">
      <c r="A5619" t="str">
        <f>"Dusp18"</f>
        <v>Dusp18</v>
      </c>
      <c r="B5619" t="s">
        <v>14</v>
      </c>
      <c r="C5619" t="s">
        <v>27</v>
      </c>
      <c r="D5619" t="s">
        <v>17</v>
      </c>
      <c r="E5619" t="s">
        <v>12</v>
      </c>
      <c r="F5619">
        <v>3895223</v>
      </c>
      <c r="G5619">
        <v>3895310</v>
      </c>
      <c r="H5619">
        <v>3895223</v>
      </c>
      <c r="I5619">
        <v>3895310</v>
      </c>
    </row>
    <row r="5620" spans="1:9" x14ac:dyDescent="0.2">
      <c r="A5620" t="str">
        <f>"Dusp19"</f>
        <v>Dusp19</v>
      </c>
      <c r="B5620" t="s">
        <v>14</v>
      </c>
      <c r="C5620" t="s">
        <v>26</v>
      </c>
      <c r="D5620" t="s">
        <v>17</v>
      </c>
      <c r="E5620" t="s">
        <v>12</v>
      </c>
      <c r="F5620">
        <v>80617185</v>
      </c>
      <c r="G5620">
        <v>80617290</v>
      </c>
      <c r="H5620">
        <v>80617185</v>
      </c>
      <c r="I5620">
        <v>80617290</v>
      </c>
    </row>
    <row r="5621" spans="1:9" x14ac:dyDescent="0.2">
      <c r="A5621" t="str">
        <f>"Dusp2"</f>
        <v>Dusp2</v>
      </c>
      <c r="B5621" t="s">
        <v>14</v>
      </c>
      <c r="C5621" t="s">
        <v>26</v>
      </c>
      <c r="D5621" t="s">
        <v>17</v>
      </c>
      <c r="E5621" t="s">
        <v>12</v>
      </c>
      <c r="F5621">
        <v>127336152</v>
      </c>
      <c r="G5621">
        <v>127336166</v>
      </c>
      <c r="H5621">
        <v>127336152</v>
      </c>
      <c r="I5621">
        <v>127336166</v>
      </c>
    </row>
    <row r="5622" spans="1:9" x14ac:dyDescent="0.2">
      <c r="A5622" t="str">
        <f>"Dusp21"</f>
        <v>Dusp21</v>
      </c>
      <c r="B5622" t="s">
        <v>14</v>
      </c>
      <c r="C5622" t="s">
        <v>37</v>
      </c>
      <c r="D5622" t="s">
        <v>17</v>
      </c>
      <c r="E5622" t="s">
        <v>12</v>
      </c>
      <c r="F5622">
        <v>18145851</v>
      </c>
      <c r="G5622">
        <v>18145877</v>
      </c>
      <c r="H5622">
        <v>18145851</v>
      </c>
      <c r="I5622">
        <v>18145877</v>
      </c>
    </row>
    <row r="5623" spans="1:9" x14ac:dyDescent="0.2">
      <c r="A5623" t="str">
        <f>"Dusp22"</f>
        <v>Dusp22</v>
      </c>
      <c r="B5623" t="s">
        <v>14</v>
      </c>
      <c r="C5623" t="s">
        <v>39</v>
      </c>
      <c r="D5623" t="s">
        <v>17</v>
      </c>
      <c r="E5623" t="s">
        <v>12</v>
      </c>
      <c r="F5623">
        <v>30660044</v>
      </c>
      <c r="G5623">
        <v>30660116</v>
      </c>
      <c r="H5623">
        <v>30659888</v>
      </c>
      <c r="I5623">
        <v>30659941</v>
      </c>
    </row>
    <row r="5624" spans="1:9" x14ac:dyDescent="0.2">
      <c r="A5624" t="str">
        <f>"Dusp23"</f>
        <v>Dusp23</v>
      </c>
      <c r="B5624" t="s">
        <v>14</v>
      </c>
      <c r="C5624" t="s">
        <v>19</v>
      </c>
      <c r="D5624" t="s">
        <v>11</v>
      </c>
      <c r="E5624" t="s">
        <v>12</v>
      </c>
      <c r="F5624">
        <v>172632966</v>
      </c>
      <c r="G5624">
        <v>172633021</v>
      </c>
      <c r="H5624">
        <v>172632931</v>
      </c>
      <c r="I5624">
        <v>172632943</v>
      </c>
    </row>
    <row r="5625" spans="1:9" x14ac:dyDescent="0.2">
      <c r="A5625" t="str">
        <f>"Dusp26"</f>
        <v>Dusp26</v>
      </c>
      <c r="B5625" t="s">
        <v>14</v>
      </c>
      <c r="C5625" t="s">
        <v>30</v>
      </c>
      <c r="D5625" t="s">
        <v>17</v>
      </c>
      <c r="E5625" t="s">
        <v>12</v>
      </c>
      <c r="F5625">
        <v>31089606</v>
      </c>
      <c r="G5625">
        <v>31089760</v>
      </c>
      <c r="H5625">
        <v>31089606</v>
      </c>
      <c r="I5625">
        <v>31089760</v>
      </c>
    </row>
    <row r="5626" spans="1:9" x14ac:dyDescent="0.2">
      <c r="A5626" t="str">
        <f>"Dusp27"</f>
        <v>Dusp27</v>
      </c>
      <c r="B5626" t="s">
        <v>14</v>
      </c>
      <c r="C5626" t="s">
        <v>19</v>
      </c>
      <c r="D5626" t="s">
        <v>11</v>
      </c>
      <c r="E5626" t="s">
        <v>12</v>
      </c>
      <c r="F5626">
        <v>166127876</v>
      </c>
      <c r="G5626">
        <v>166127904</v>
      </c>
      <c r="H5626">
        <v>166127905</v>
      </c>
      <c r="I5626">
        <v>166127920</v>
      </c>
    </row>
    <row r="5627" spans="1:9" x14ac:dyDescent="0.2">
      <c r="A5627" t="str">
        <f>"Dusp28"</f>
        <v>Dusp28</v>
      </c>
      <c r="B5627" t="s">
        <v>14</v>
      </c>
      <c r="C5627" t="s">
        <v>19</v>
      </c>
      <c r="D5627" t="s">
        <v>17</v>
      </c>
      <c r="E5627" t="s">
        <v>12</v>
      </c>
      <c r="F5627">
        <v>92906959</v>
      </c>
      <c r="G5627">
        <v>92907036</v>
      </c>
      <c r="H5627">
        <v>92906959</v>
      </c>
      <c r="I5627">
        <v>92907036</v>
      </c>
    </row>
    <row r="5628" spans="1:9" x14ac:dyDescent="0.2">
      <c r="A5628" t="str">
        <f>"Dusp3"</f>
        <v>Dusp3</v>
      </c>
      <c r="B5628" t="s">
        <v>14</v>
      </c>
      <c r="C5628" t="s">
        <v>27</v>
      </c>
      <c r="D5628" t="s">
        <v>11</v>
      </c>
      <c r="E5628" t="s">
        <v>12</v>
      </c>
      <c r="F5628">
        <v>101984749</v>
      </c>
      <c r="G5628">
        <v>101984798</v>
      </c>
      <c r="H5628">
        <v>101984728</v>
      </c>
      <c r="I5628">
        <v>101984741</v>
      </c>
    </row>
    <row r="5629" spans="1:9" x14ac:dyDescent="0.2">
      <c r="A5629" t="str">
        <f>"Dusp4"</f>
        <v>Dusp4</v>
      </c>
      <c r="B5629" t="s">
        <v>14</v>
      </c>
      <c r="C5629" t="s">
        <v>30</v>
      </c>
      <c r="D5629" t="s">
        <v>17</v>
      </c>
      <c r="E5629" t="s">
        <v>12</v>
      </c>
      <c r="F5629">
        <v>34807314</v>
      </c>
      <c r="G5629">
        <v>34807350</v>
      </c>
      <c r="H5629">
        <v>34807287</v>
      </c>
      <c r="I5629">
        <v>34807310</v>
      </c>
    </row>
    <row r="5630" spans="1:9" x14ac:dyDescent="0.2">
      <c r="A5630" t="str">
        <f>"Dusp5"</f>
        <v>Dusp5</v>
      </c>
      <c r="B5630" t="s">
        <v>14</v>
      </c>
      <c r="C5630" t="s">
        <v>10</v>
      </c>
      <c r="D5630" t="s">
        <v>17</v>
      </c>
      <c r="E5630" t="s">
        <v>12</v>
      </c>
      <c r="F5630">
        <v>53529137</v>
      </c>
      <c r="G5630">
        <v>53529151</v>
      </c>
      <c r="H5630">
        <v>53529100</v>
      </c>
      <c r="I5630">
        <v>53529105</v>
      </c>
    </row>
    <row r="5631" spans="1:9" x14ac:dyDescent="0.2">
      <c r="A5631" t="str">
        <f>"Dusp6"</f>
        <v>Dusp6</v>
      </c>
      <c r="B5631" t="s">
        <v>14</v>
      </c>
      <c r="C5631" t="s">
        <v>15</v>
      </c>
      <c r="D5631" t="s">
        <v>17</v>
      </c>
      <c r="E5631" t="s">
        <v>12</v>
      </c>
      <c r="F5631">
        <v>99263224</v>
      </c>
      <c r="G5631">
        <v>99263240</v>
      </c>
      <c r="H5631">
        <v>99263465</v>
      </c>
      <c r="I5631">
        <v>99263487</v>
      </c>
    </row>
    <row r="5632" spans="1:9" x14ac:dyDescent="0.2">
      <c r="A5632" t="str">
        <f>"Dusp7"</f>
        <v>Dusp7</v>
      </c>
      <c r="B5632" t="s">
        <v>14</v>
      </c>
      <c r="C5632" t="s">
        <v>24</v>
      </c>
      <c r="D5632" t="s">
        <v>17</v>
      </c>
      <c r="E5632" t="s">
        <v>12</v>
      </c>
      <c r="F5632">
        <v>106368594</v>
      </c>
      <c r="G5632">
        <v>106368640</v>
      </c>
      <c r="H5632">
        <v>106368551</v>
      </c>
      <c r="I5632">
        <v>106368572</v>
      </c>
    </row>
    <row r="5633" spans="1:9" x14ac:dyDescent="0.2">
      <c r="A5633" t="str">
        <f>"Dusp8"</f>
        <v>Dusp8</v>
      </c>
      <c r="B5633" t="s">
        <v>14</v>
      </c>
      <c r="C5633" t="s">
        <v>33</v>
      </c>
      <c r="D5633" t="s">
        <v>11</v>
      </c>
      <c r="E5633" t="s">
        <v>12</v>
      </c>
      <c r="F5633">
        <v>142095266</v>
      </c>
      <c r="G5633">
        <v>142095306</v>
      </c>
      <c r="H5633">
        <v>142095220</v>
      </c>
      <c r="I5633">
        <v>142095231</v>
      </c>
    </row>
    <row r="5634" spans="1:9" x14ac:dyDescent="0.2">
      <c r="A5634" t="str">
        <f>"Dusp9"</f>
        <v>Dusp9</v>
      </c>
      <c r="B5634" t="s">
        <v>14</v>
      </c>
      <c r="C5634" t="s">
        <v>37</v>
      </c>
      <c r="D5634" t="s">
        <v>17</v>
      </c>
      <c r="E5634" t="s">
        <v>12</v>
      </c>
      <c r="F5634">
        <v>73639414</v>
      </c>
      <c r="G5634">
        <v>73639436</v>
      </c>
      <c r="H5634">
        <v>73639398</v>
      </c>
      <c r="I5634">
        <v>73639410</v>
      </c>
    </row>
    <row r="5635" spans="1:9" x14ac:dyDescent="0.2">
      <c r="A5635" t="str">
        <f>"Dut"</f>
        <v>Dut</v>
      </c>
      <c r="B5635" t="s">
        <v>14</v>
      </c>
      <c r="C5635" t="s">
        <v>26</v>
      </c>
      <c r="D5635" t="s">
        <v>17</v>
      </c>
      <c r="E5635" t="s">
        <v>12</v>
      </c>
      <c r="F5635">
        <v>125247709</v>
      </c>
      <c r="G5635">
        <v>125247743</v>
      </c>
      <c r="H5635">
        <v>125247226</v>
      </c>
      <c r="I5635">
        <v>125247287</v>
      </c>
    </row>
    <row r="5636" spans="1:9" x14ac:dyDescent="0.2">
      <c r="A5636" t="str">
        <f>"Duxbl1"</f>
        <v>Duxbl1</v>
      </c>
      <c r="B5636" t="s">
        <v>2397</v>
      </c>
      <c r="C5636" t="s">
        <v>41</v>
      </c>
      <c r="D5636" t="s">
        <v>17</v>
      </c>
      <c r="E5636" t="s">
        <v>20</v>
      </c>
      <c r="F5636">
        <v>25983004</v>
      </c>
      <c r="G5636">
        <v>25983004</v>
      </c>
      <c r="H5636">
        <v>25983004</v>
      </c>
      <c r="I5636">
        <v>25983004</v>
      </c>
    </row>
    <row r="5637" spans="1:9" x14ac:dyDescent="0.2">
      <c r="A5637" t="str">
        <f>"Duxbl2"</f>
        <v>Duxbl2</v>
      </c>
      <c r="B5637" t="s">
        <v>2398</v>
      </c>
      <c r="C5637" t="s">
        <v>41</v>
      </c>
      <c r="D5637" t="s">
        <v>17</v>
      </c>
      <c r="E5637" t="s">
        <v>20</v>
      </c>
      <c r="F5637">
        <v>26122608</v>
      </c>
      <c r="G5637">
        <v>26122608</v>
      </c>
      <c r="H5637">
        <v>26122608</v>
      </c>
      <c r="I5637">
        <v>26122608</v>
      </c>
    </row>
    <row r="5638" spans="1:9" x14ac:dyDescent="0.2">
      <c r="A5638" t="str">
        <f>"Duxbl3"</f>
        <v>Duxbl3</v>
      </c>
      <c r="B5638" t="s">
        <v>2399</v>
      </c>
      <c r="C5638" t="s">
        <v>41</v>
      </c>
      <c r="D5638" t="s">
        <v>17</v>
      </c>
      <c r="E5638" t="s">
        <v>20</v>
      </c>
      <c r="F5638">
        <v>26262257</v>
      </c>
      <c r="G5638">
        <v>26262257</v>
      </c>
      <c r="H5638">
        <v>26262257</v>
      </c>
      <c r="I5638">
        <v>26262257</v>
      </c>
    </row>
    <row r="5639" spans="1:9" x14ac:dyDescent="0.2">
      <c r="A5639" t="str">
        <f>"Dvl1"</f>
        <v>Dvl1</v>
      </c>
      <c r="B5639" t="s">
        <v>14</v>
      </c>
      <c r="C5639" t="s">
        <v>23</v>
      </c>
      <c r="D5639" t="s">
        <v>17</v>
      </c>
      <c r="E5639" t="s">
        <v>12</v>
      </c>
      <c r="F5639">
        <v>155847393</v>
      </c>
      <c r="G5639">
        <v>155847467</v>
      </c>
      <c r="H5639">
        <v>155847499</v>
      </c>
      <c r="I5639">
        <v>155847516</v>
      </c>
    </row>
    <row r="5640" spans="1:9" x14ac:dyDescent="0.2">
      <c r="A5640" t="str">
        <f>"Dvl2"</f>
        <v>Dvl2</v>
      </c>
      <c r="B5640" t="s">
        <v>14</v>
      </c>
      <c r="C5640" t="s">
        <v>27</v>
      </c>
      <c r="D5640" t="s">
        <v>17</v>
      </c>
      <c r="E5640" t="s">
        <v>12</v>
      </c>
      <c r="F5640">
        <v>70000578</v>
      </c>
      <c r="G5640">
        <v>70000624</v>
      </c>
      <c r="H5640">
        <v>70000804</v>
      </c>
      <c r="I5640">
        <v>70000831</v>
      </c>
    </row>
    <row r="5641" spans="1:9" x14ac:dyDescent="0.2">
      <c r="A5641" t="str">
        <f>"Dvl3"</f>
        <v>Dvl3</v>
      </c>
      <c r="B5641" t="s">
        <v>14</v>
      </c>
      <c r="C5641" t="s">
        <v>31</v>
      </c>
      <c r="D5641" t="s">
        <v>17</v>
      </c>
      <c r="E5641" t="s">
        <v>12</v>
      </c>
      <c r="F5641">
        <v>20517076</v>
      </c>
      <c r="G5641">
        <v>20517130</v>
      </c>
      <c r="H5641">
        <v>20517000</v>
      </c>
      <c r="I5641">
        <v>20517072</v>
      </c>
    </row>
    <row r="5642" spans="1:9" x14ac:dyDescent="0.2">
      <c r="A5642" t="str">
        <f>"Dxo"</f>
        <v>Dxo</v>
      </c>
      <c r="B5642" t="s">
        <v>14</v>
      </c>
      <c r="C5642" t="s">
        <v>28</v>
      </c>
      <c r="D5642" t="s">
        <v>17</v>
      </c>
      <c r="E5642" t="s">
        <v>67</v>
      </c>
      <c r="F5642">
        <v>34837082</v>
      </c>
      <c r="G5642">
        <v>34837166</v>
      </c>
      <c r="H5642">
        <v>34836987</v>
      </c>
      <c r="I5642">
        <v>34837049</v>
      </c>
    </row>
    <row r="5643" spans="1:9" x14ac:dyDescent="0.2">
      <c r="A5643" t="str">
        <f>"Dydc1"</f>
        <v>Dydc1</v>
      </c>
      <c r="B5643" t="s">
        <v>14</v>
      </c>
      <c r="C5643" t="s">
        <v>41</v>
      </c>
      <c r="D5643" t="s">
        <v>17</v>
      </c>
      <c r="E5643" t="s">
        <v>12</v>
      </c>
      <c r="F5643">
        <v>41072860</v>
      </c>
      <c r="G5643">
        <v>41072903</v>
      </c>
      <c r="H5643">
        <v>41072905</v>
      </c>
      <c r="I5643">
        <v>41072922</v>
      </c>
    </row>
    <row r="5644" spans="1:9" x14ac:dyDescent="0.2">
      <c r="A5644" t="str">
        <f>"Dydc2"</f>
        <v>Dydc2</v>
      </c>
      <c r="B5644" t="s">
        <v>14</v>
      </c>
      <c r="C5644" t="s">
        <v>41</v>
      </c>
      <c r="D5644" t="s">
        <v>11</v>
      </c>
      <c r="E5644" t="s">
        <v>12</v>
      </c>
      <c r="F5644">
        <v>41069193</v>
      </c>
      <c r="G5644">
        <v>41069212</v>
      </c>
      <c r="H5644">
        <v>41069165</v>
      </c>
      <c r="I5644">
        <v>41069170</v>
      </c>
    </row>
    <row r="5645" spans="1:9" x14ac:dyDescent="0.2">
      <c r="A5645" t="str">
        <f>"Dym"</f>
        <v>Dym</v>
      </c>
      <c r="B5645" t="s">
        <v>14</v>
      </c>
      <c r="C5645" t="s">
        <v>43</v>
      </c>
      <c r="D5645" t="s">
        <v>17</v>
      </c>
      <c r="E5645" t="s">
        <v>12</v>
      </c>
      <c r="F5645">
        <v>75018709</v>
      </c>
      <c r="G5645">
        <v>75018816</v>
      </c>
      <c r="H5645">
        <v>75018691</v>
      </c>
      <c r="I5645">
        <v>75018700</v>
      </c>
    </row>
    <row r="5646" spans="1:9" x14ac:dyDescent="0.2">
      <c r="A5646" t="str">
        <f>"Dynap"</f>
        <v>Dynap</v>
      </c>
      <c r="B5646" t="s">
        <v>14</v>
      </c>
      <c r="C5646" t="s">
        <v>43</v>
      </c>
      <c r="D5646" t="s">
        <v>11</v>
      </c>
      <c r="E5646" t="s">
        <v>67</v>
      </c>
      <c r="F5646">
        <v>70244590</v>
      </c>
      <c r="G5646">
        <v>70244601</v>
      </c>
      <c r="H5646">
        <v>70244590</v>
      </c>
      <c r="I5646">
        <v>70244601</v>
      </c>
    </row>
    <row r="5647" spans="1:9" x14ac:dyDescent="0.2">
      <c r="A5647" t="str">
        <f>"Dync1h1"</f>
        <v>Dync1h1</v>
      </c>
      <c r="B5647" t="s">
        <v>14</v>
      </c>
      <c r="C5647" t="s">
        <v>16</v>
      </c>
      <c r="D5647" t="s">
        <v>17</v>
      </c>
      <c r="E5647" t="s">
        <v>12</v>
      </c>
      <c r="F5647">
        <v>110601459</v>
      </c>
      <c r="G5647">
        <v>110601477</v>
      </c>
      <c r="H5647">
        <v>110601439</v>
      </c>
      <c r="I5647">
        <v>110601450</v>
      </c>
    </row>
    <row r="5648" spans="1:9" x14ac:dyDescent="0.2">
      <c r="A5648" t="str">
        <f>"Dync1i1"</f>
        <v>Dync1i1</v>
      </c>
      <c r="B5648" t="s">
        <v>14</v>
      </c>
      <c r="C5648" t="s">
        <v>32</v>
      </c>
      <c r="D5648" t="s">
        <v>17</v>
      </c>
      <c r="E5648" t="s">
        <v>12</v>
      </c>
      <c r="F5648">
        <v>5725738</v>
      </c>
      <c r="G5648">
        <v>5725801</v>
      </c>
      <c r="H5648">
        <v>5725812</v>
      </c>
      <c r="I5648">
        <v>5725858</v>
      </c>
    </row>
    <row r="5649" spans="1:9" x14ac:dyDescent="0.2">
      <c r="A5649" t="str">
        <f>"Dync1i2"</f>
        <v>Dync1i2</v>
      </c>
      <c r="B5649" t="s">
        <v>14</v>
      </c>
      <c r="C5649" t="s">
        <v>26</v>
      </c>
      <c r="D5649" t="s">
        <v>17</v>
      </c>
      <c r="E5649" t="s">
        <v>12</v>
      </c>
      <c r="F5649">
        <v>71211941</v>
      </c>
      <c r="G5649">
        <v>71211996</v>
      </c>
      <c r="H5649">
        <v>71211713</v>
      </c>
      <c r="I5649">
        <v>71211794</v>
      </c>
    </row>
    <row r="5650" spans="1:9" x14ac:dyDescent="0.2">
      <c r="A5650" t="str">
        <f>"Dync1li1"</f>
        <v>Dync1li1</v>
      </c>
      <c r="B5650" t="s">
        <v>14</v>
      </c>
      <c r="C5650" t="s">
        <v>24</v>
      </c>
      <c r="D5650" t="s">
        <v>17</v>
      </c>
      <c r="E5650" t="s">
        <v>12</v>
      </c>
      <c r="F5650">
        <v>114688782</v>
      </c>
      <c r="G5650">
        <v>114688813</v>
      </c>
      <c r="H5650">
        <v>114688744</v>
      </c>
      <c r="I5650">
        <v>114688778</v>
      </c>
    </row>
    <row r="5651" spans="1:9" x14ac:dyDescent="0.2">
      <c r="A5651" t="str">
        <f>"Dync1li2"</f>
        <v>Dync1li2</v>
      </c>
      <c r="B5651" t="s">
        <v>14</v>
      </c>
      <c r="C5651" t="s">
        <v>30</v>
      </c>
      <c r="D5651" t="s">
        <v>11</v>
      </c>
      <c r="E5651" t="s">
        <v>12</v>
      </c>
      <c r="F5651">
        <v>104442804</v>
      </c>
      <c r="G5651">
        <v>104442836</v>
      </c>
      <c r="H5651">
        <v>104443001</v>
      </c>
      <c r="I5651">
        <v>104443025</v>
      </c>
    </row>
    <row r="5652" spans="1:9" x14ac:dyDescent="0.2">
      <c r="A5652" t="str">
        <f>"Dync2h1"</f>
        <v>Dync2h1</v>
      </c>
      <c r="B5652" t="s">
        <v>9</v>
      </c>
      <c r="C5652" t="s">
        <v>24</v>
      </c>
      <c r="D5652" t="s">
        <v>11</v>
      </c>
      <c r="E5652" t="s">
        <v>12</v>
      </c>
      <c r="F5652">
        <v>7184440</v>
      </c>
      <c r="G5652">
        <v>7184518</v>
      </c>
      <c r="H5652">
        <v>7184440</v>
      </c>
      <c r="I5652">
        <v>7184518</v>
      </c>
    </row>
    <row r="5653" spans="1:9" x14ac:dyDescent="0.2">
      <c r="A5653" t="str">
        <f>"Dync2h1"</f>
        <v>Dync2h1</v>
      </c>
      <c r="B5653" t="s">
        <v>13</v>
      </c>
      <c r="C5653" t="s">
        <v>24</v>
      </c>
      <c r="D5653" t="s">
        <v>11</v>
      </c>
      <c r="E5653" t="s">
        <v>12</v>
      </c>
      <c r="F5653">
        <v>7177000</v>
      </c>
      <c r="G5653">
        <v>7177063</v>
      </c>
      <c r="H5653">
        <v>7177000</v>
      </c>
      <c r="I5653">
        <v>7177063</v>
      </c>
    </row>
    <row r="5654" spans="1:9" x14ac:dyDescent="0.2">
      <c r="A5654" t="str">
        <f>"Dync2li1"</f>
        <v>Dync2li1</v>
      </c>
      <c r="B5654" t="s">
        <v>14</v>
      </c>
      <c r="C5654" t="s">
        <v>28</v>
      </c>
      <c r="D5654" t="s">
        <v>17</v>
      </c>
      <c r="E5654" t="s">
        <v>12</v>
      </c>
      <c r="F5654">
        <v>84626458</v>
      </c>
      <c r="G5654">
        <v>84626512</v>
      </c>
      <c r="H5654">
        <v>84626516</v>
      </c>
      <c r="I5654">
        <v>84626529</v>
      </c>
    </row>
    <row r="5655" spans="1:9" x14ac:dyDescent="0.2">
      <c r="A5655" t="str">
        <f>"Dynll1"</f>
        <v>Dynll1</v>
      </c>
      <c r="B5655" t="s">
        <v>14</v>
      </c>
      <c r="C5655" t="s">
        <v>46</v>
      </c>
      <c r="D5655" t="s">
        <v>11</v>
      </c>
      <c r="E5655" t="s">
        <v>12</v>
      </c>
      <c r="F5655">
        <v>115300927</v>
      </c>
      <c r="G5655">
        <v>115300944</v>
      </c>
      <c r="H5655">
        <v>115300957</v>
      </c>
      <c r="I5655">
        <v>115300968</v>
      </c>
    </row>
    <row r="5656" spans="1:9" x14ac:dyDescent="0.2">
      <c r="A5656" t="str">
        <f>"Dynll2"</f>
        <v>Dynll2</v>
      </c>
      <c r="B5656" t="s">
        <v>14</v>
      </c>
      <c r="C5656" t="s">
        <v>27</v>
      </c>
      <c r="D5656" t="s">
        <v>11</v>
      </c>
      <c r="E5656" t="s">
        <v>12</v>
      </c>
      <c r="F5656">
        <v>87987495</v>
      </c>
      <c r="G5656">
        <v>87987512</v>
      </c>
      <c r="H5656">
        <v>87987476</v>
      </c>
      <c r="I5656">
        <v>87987487</v>
      </c>
    </row>
    <row r="5657" spans="1:9" x14ac:dyDescent="0.2">
      <c r="A5657" t="str">
        <f>"Dynlrb1"</f>
        <v>Dynlrb1</v>
      </c>
      <c r="B5657" t="s">
        <v>14</v>
      </c>
      <c r="C5657" t="s">
        <v>26</v>
      </c>
      <c r="D5657" t="s">
        <v>17</v>
      </c>
      <c r="E5657" t="s">
        <v>12</v>
      </c>
      <c r="F5657">
        <v>155236529</v>
      </c>
      <c r="G5657">
        <v>155236599</v>
      </c>
      <c r="H5657">
        <v>155236602</v>
      </c>
      <c r="I5657">
        <v>155236617</v>
      </c>
    </row>
    <row r="5658" spans="1:9" x14ac:dyDescent="0.2">
      <c r="A5658" t="str">
        <f>"Dynlrb2"</f>
        <v>Dynlrb2</v>
      </c>
      <c r="B5658" t="s">
        <v>14</v>
      </c>
      <c r="C5658" t="s">
        <v>30</v>
      </c>
      <c r="D5658" t="s">
        <v>17</v>
      </c>
      <c r="E5658" t="s">
        <v>12</v>
      </c>
      <c r="F5658">
        <v>116504973</v>
      </c>
      <c r="G5658">
        <v>116505023</v>
      </c>
      <c r="H5658">
        <v>116504966</v>
      </c>
      <c r="I5658">
        <v>116504967</v>
      </c>
    </row>
    <row r="5659" spans="1:9" x14ac:dyDescent="0.2">
      <c r="A5659" t="str">
        <f>"Dynlt1a"</f>
        <v>Dynlt1a</v>
      </c>
      <c r="B5659" t="s">
        <v>14</v>
      </c>
      <c r="C5659" t="s">
        <v>28</v>
      </c>
      <c r="D5659" t="s">
        <v>11</v>
      </c>
      <c r="E5659" t="s">
        <v>12</v>
      </c>
      <c r="F5659">
        <v>6317417</v>
      </c>
      <c r="G5659">
        <v>6317441</v>
      </c>
      <c r="H5659">
        <v>6317482</v>
      </c>
      <c r="I5659">
        <v>6317517</v>
      </c>
    </row>
    <row r="5660" spans="1:9" x14ac:dyDescent="0.2">
      <c r="A5660" t="str">
        <f>"Dynlt1b"</f>
        <v>Dynlt1b</v>
      </c>
      <c r="B5660" t="s">
        <v>2400</v>
      </c>
      <c r="C5660" t="s">
        <v>28</v>
      </c>
      <c r="D5660" t="s">
        <v>17</v>
      </c>
      <c r="E5660" t="s">
        <v>35</v>
      </c>
      <c r="F5660">
        <v>6430094</v>
      </c>
      <c r="G5660">
        <v>6430095</v>
      </c>
      <c r="H5660">
        <v>6430167</v>
      </c>
      <c r="I5660">
        <v>6430204</v>
      </c>
    </row>
    <row r="5661" spans="1:9" x14ac:dyDescent="0.2">
      <c r="A5661" t="str">
        <f>"Dynlt1c"</f>
        <v>Dynlt1c</v>
      </c>
      <c r="B5661" t="s">
        <v>2401</v>
      </c>
      <c r="C5661" t="s">
        <v>28</v>
      </c>
      <c r="D5661" t="s">
        <v>17</v>
      </c>
      <c r="E5661" t="s">
        <v>20</v>
      </c>
      <c r="F5661">
        <v>6601670</v>
      </c>
      <c r="G5661">
        <v>6601670</v>
      </c>
      <c r="H5661">
        <v>6601670</v>
      </c>
      <c r="I5661">
        <v>6601670</v>
      </c>
    </row>
    <row r="5662" spans="1:9" x14ac:dyDescent="0.2">
      <c r="A5662" t="str">
        <f>"Dynlt1f"</f>
        <v>Dynlt1f</v>
      </c>
      <c r="B5662" t="s">
        <v>2402</v>
      </c>
      <c r="C5662" t="s">
        <v>28</v>
      </c>
      <c r="D5662" t="s">
        <v>11</v>
      </c>
      <c r="E5662" t="s">
        <v>20</v>
      </c>
      <c r="F5662">
        <v>6655938</v>
      </c>
      <c r="G5662">
        <v>6655938</v>
      </c>
      <c r="H5662">
        <v>6655938</v>
      </c>
      <c r="I5662">
        <v>6655938</v>
      </c>
    </row>
    <row r="5663" spans="1:9" x14ac:dyDescent="0.2">
      <c r="A5663" t="str">
        <f>"Dynlt3"</f>
        <v>Dynlt3</v>
      </c>
      <c r="B5663" t="s">
        <v>14</v>
      </c>
      <c r="C5663" t="s">
        <v>37</v>
      </c>
      <c r="D5663" t="s">
        <v>11</v>
      </c>
      <c r="E5663" t="s">
        <v>12</v>
      </c>
      <c r="F5663">
        <v>9662902</v>
      </c>
      <c r="G5663">
        <v>9662942</v>
      </c>
      <c r="H5663">
        <v>9662950</v>
      </c>
      <c r="I5663">
        <v>9662970</v>
      </c>
    </row>
    <row r="5664" spans="1:9" x14ac:dyDescent="0.2">
      <c r="A5664" t="str">
        <f>"Dyrk1a"</f>
        <v>Dyrk1a</v>
      </c>
      <c r="B5664" t="s">
        <v>14</v>
      </c>
      <c r="C5664" t="s">
        <v>31</v>
      </c>
      <c r="D5664" t="s">
        <v>17</v>
      </c>
      <c r="E5664" t="s">
        <v>12</v>
      </c>
      <c r="F5664">
        <v>94569651</v>
      </c>
      <c r="G5664">
        <v>94569713</v>
      </c>
      <c r="H5664">
        <v>94569651</v>
      </c>
      <c r="I5664">
        <v>94569713</v>
      </c>
    </row>
    <row r="5665" spans="1:9" x14ac:dyDescent="0.2">
      <c r="A5665" t="str">
        <f>"Dyrk1b"</f>
        <v>Dyrk1b</v>
      </c>
      <c r="B5665" t="s">
        <v>14</v>
      </c>
      <c r="C5665" t="s">
        <v>33</v>
      </c>
      <c r="D5665" t="s">
        <v>17</v>
      </c>
      <c r="E5665" t="s">
        <v>12</v>
      </c>
      <c r="F5665">
        <v>28179487</v>
      </c>
      <c r="G5665">
        <v>28179535</v>
      </c>
      <c r="H5665">
        <v>28180174</v>
      </c>
      <c r="I5665">
        <v>28180219</v>
      </c>
    </row>
    <row r="5666" spans="1:9" x14ac:dyDescent="0.2">
      <c r="A5666" t="str">
        <f>"Dyrk2"</f>
        <v>Dyrk2</v>
      </c>
      <c r="B5666" t="s">
        <v>14</v>
      </c>
      <c r="C5666" t="s">
        <v>15</v>
      </c>
      <c r="D5666" t="s">
        <v>11</v>
      </c>
      <c r="E5666" t="s">
        <v>12</v>
      </c>
      <c r="F5666">
        <v>118869159</v>
      </c>
      <c r="G5666">
        <v>118869185</v>
      </c>
      <c r="H5666">
        <v>118869159</v>
      </c>
      <c r="I5666">
        <v>118869185</v>
      </c>
    </row>
    <row r="5667" spans="1:9" x14ac:dyDescent="0.2">
      <c r="A5667" t="str">
        <f>"Dyrk3"</f>
        <v>Dyrk3</v>
      </c>
      <c r="B5667" t="s">
        <v>14</v>
      </c>
      <c r="C5667" t="s">
        <v>19</v>
      </c>
      <c r="D5667" t="s">
        <v>11</v>
      </c>
      <c r="E5667" t="s">
        <v>12</v>
      </c>
      <c r="F5667">
        <v>131138232</v>
      </c>
      <c r="G5667">
        <v>131138261</v>
      </c>
      <c r="H5667">
        <v>131138268</v>
      </c>
      <c r="I5667">
        <v>131138326</v>
      </c>
    </row>
    <row r="5668" spans="1:9" x14ac:dyDescent="0.2">
      <c r="A5668" t="str">
        <f>"Dyrk4"</f>
        <v>Dyrk4</v>
      </c>
      <c r="B5668" t="s">
        <v>14</v>
      </c>
      <c r="C5668" t="s">
        <v>32</v>
      </c>
      <c r="D5668" t="s">
        <v>11</v>
      </c>
      <c r="E5668" t="s">
        <v>12</v>
      </c>
      <c r="F5668">
        <v>126921804</v>
      </c>
      <c r="G5668">
        <v>126921827</v>
      </c>
      <c r="H5668">
        <v>126921791</v>
      </c>
      <c r="I5668">
        <v>126921801</v>
      </c>
    </row>
    <row r="5669" spans="1:9" x14ac:dyDescent="0.2">
      <c r="A5669" t="str">
        <f>"Dysf"</f>
        <v>Dysf</v>
      </c>
      <c r="B5669" t="s">
        <v>14</v>
      </c>
      <c r="C5669" t="s">
        <v>32</v>
      </c>
      <c r="D5669" t="s">
        <v>17</v>
      </c>
      <c r="E5669" t="s">
        <v>12</v>
      </c>
      <c r="F5669">
        <v>84019364</v>
      </c>
      <c r="G5669">
        <v>84019383</v>
      </c>
      <c r="H5669">
        <v>84019364</v>
      </c>
      <c r="I5669">
        <v>84019383</v>
      </c>
    </row>
    <row r="5670" spans="1:9" x14ac:dyDescent="0.2">
      <c r="A5670" t="str">
        <f>"Dytn"</f>
        <v>Dytn</v>
      </c>
      <c r="B5670" t="s">
        <v>14</v>
      </c>
      <c r="C5670" t="s">
        <v>19</v>
      </c>
      <c r="D5670" t="s">
        <v>11</v>
      </c>
      <c r="E5670" t="s">
        <v>12</v>
      </c>
      <c r="F5670">
        <v>63686904</v>
      </c>
      <c r="G5670">
        <v>63686917</v>
      </c>
      <c r="H5670">
        <v>63686904</v>
      </c>
      <c r="I5670">
        <v>63686917</v>
      </c>
    </row>
    <row r="5671" spans="1:9" x14ac:dyDescent="0.2">
      <c r="A5671" t="str">
        <f>"Dyx1c1"</f>
        <v>Dyx1c1</v>
      </c>
      <c r="B5671" t="s">
        <v>14</v>
      </c>
      <c r="C5671" t="s">
        <v>24</v>
      </c>
      <c r="D5671" t="s">
        <v>17</v>
      </c>
      <c r="E5671" t="s">
        <v>12</v>
      </c>
      <c r="F5671">
        <v>72958797</v>
      </c>
      <c r="G5671">
        <v>72958803</v>
      </c>
      <c r="H5671">
        <v>72958797</v>
      </c>
      <c r="I5671">
        <v>72958803</v>
      </c>
    </row>
    <row r="5672" spans="1:9" x14ac:dyDescent="0.2">
      <c r="A5672" t="str">
        <f>"Dzank1"</f>
        <v>Dzank1</v>
      </c>
      <c r="B5672" t="s">
        <v>14</v>
      </c>
      <c r="C5672" t="s">
        <v>26</v>
      </c>
      <c r="D5672" t="s">
        <v>11</v>
      </c>
      <c r="E5672" t="s">
        <v>67</v>
      </c>
      <c r="F5672">
        <v>144527341</v>
      </c>
      <c r="G5672">
        <v>144527424</v>
      </c>
      <c r="H5672">
        <v>144527501</v>
      </c>
      <c r="I5672">
        <v>144527512</v>
      </c>
    </row>
    <row r="5673" spans="1:9" x14ac:dyDescent="0.2">
      <c r="A5673" t="str">
        <f>"Dzip1"</f>
        <v>Dzip1</v>
      </c>
      <c r="B5673" t="s">
        <v>14</v>
      </c>
      <c r="C5673" t="s">
        <v>41</v>
      </c>
      <c r="D5673" t="s">
        <v>11</v>
      </c>
      <c r="E5673" t="s">
        <v>12</v>
      </c>
      <c r="F5673">
        <v>118925462</v>
      </c>
      <c r="G5673">
        <v>118925479</v>
      </c>
      <c r="H5673">
        <v>118925382</v>
      </c>
      <c r="I5673">
        <v>118925405</v>
      </c>
    </row>
    <row r="5674" spans="1:9" x14ac:dyDescent="0.2">
      <c r="A5674" t="str">
        <f>"Dzip1l"</f>
        <v>Dzip1l</v>
      </c>
      <c r="B5674" t="s">
        <v>14</v>
      </c>
      <c r="C5674" t="s">
        <v>24</v>
      </c>
      <c r="D5674" t="s">
        <v>17</v>
      </c>
      <c r="E5674" t="s">
        <v>12</v>
      </c>
      <c r="F5674">
        <v>99629531</v>
      </c>
      <c r="G5674">
        <v>99629592</v>
      </c>
      <c r="H5674">
        <v>99629823</v>
      </c>
      <c r="I5674">
        <v>99629853</v>
      </c>
    </row>
    <row r="5675" spans="1:9" x14ac:dyDescent="0.2">
      <c r="A5675" t="str">
        <f>"Dzip3"</f>
        <v>Dzip3</v>
      </c>
      <c r="B5675" t="s">
        <v>14</v>
      </c>
      <c r="C5675" t="s">
        <v>31</v>
      </c>
      <c r="D5675" t="s">
        <v>11</v>
      </c>
      <c r="E5675" t="s">
        <v>12</v>
      </c>
      <c r="F5675">
        <v>48993931</v>
      </c>
      <c r="G5675">
        <v>48993949</v>
      </c>
      <c r="H5675">
        <v>48994081</v>
      </c>
      <c r="I5675">
        <v>48994123</v>
      </c>
    </row>
    <row r="5676" spans="1:9" x14ac:dyDescent="0.2">
      <c r="A5676" t="str">
        <f>"E030002O03Rik"</f>
        <v>E030002O03Rik</v>
      </c>
      <c r="B5676" t="s">
        <v>14</v>
      </c>
      <c r="C5676" t="s">
        <v>33</v>
      </c>
      <c r="D5676" t="s">
        <v>11</v>
      </c>
      <c r="E5676" t="s">
        <v>12</v>
      </c>
      <c r="F5676">
        <v>104164829</v>
      </c>
      <c r="G5676">
        <v>104164832</v>
      </c>
      <c r="H5676">
        <v>104164829</v>
      </c>
      <c r="I5676">
        <v>104164832</v>
      </c>
    </row>
    <row r="5677" spans="1:9" x14ac:dyDescent="0.2">
      <c r="A5677" t="str">
        <f>"E030010N08Rik"</f>
        <v>E030010N08Rik</v>
      </c>
      <c r="B5677" t="s">
        <v>2403</v>
      </c>
      <c r="C5677" t="s">
        <v>19</v>
      </c>
      <c r="D5677" t="s">
        <v>17</v>
      </c>
      <c r="E5677" t="s">
        <v>20</v>
      </c>
      <c r="F5677">
        <v>93215898</v>
      </c>
      <c r="G5677">
        <v>93215898</v>
      </c>
      <c r="H5677">
        <v>93215898</v>
      </c>
      <c r="I5677">
        <v>93215898</v>
      </c>
    </row>
    <row r="5678" spans="1:9" x14ac:dyDescent="0.2">
      <c r="A5678" t="str">
        <f>"E030011O05Rik"</f>
        <v>E030011O05Rik</v>
      </c>
      <c r="B5678" t="s">
        <v>14</v>
      </c>
      <c r="C5678" t="s">
        <v>24</v>
      </c>
      <c r="D5678" t="s">
        <v>11</v>
      </c>
      <c r="E5678" t="s">
        <v>12</v>
      </c>
      <c r="F5678">
        <v>96752822</v>
      </c>
      <c r="G5678">
        <v>96752869</v>
      </c>
      <c r="H5678">
        <v>96752801</v>
      </c>
      <c r="I5678">
        <v>96752804</v>
      </c>
    </row>
    <row r="5679" spans="1:9" x14ac:dyDescent="0.2">
      <c r="A5679" t="str">
        <f>"E030018B13Rik"</f>
        <v>E030018B13Rik</v>
      </c>
      <c r="B5679" t="s">
        <v>2404</v>
      </c>
      <c r="C5679" t="s">
        <v>33</v>
      </c>
      <c r="D5679" t="s">
        <v>17</v>
      </c>
      <c r="E5679" t="s">
        <v>20</v>
      </c>
      <c r="F5679">
        <v>63916856</v>
      </c>
      <c r="G5679">
        <v>63916856</v>
      </c>
      <c r="H5679">
        <v>63916856</v>
      </c>
      <c r="I5679">
        <v>63916856</v>
      </c>
    </row>
    <row r="5680" spans="1:9" x14ac:dyDescent="0.2">
      <c r="A5680" t="str">
        <f>"E030019B06Rik"</f>
        <v>E030019B06Rik</v>
      </c>
      <c r="B5680" t="s">
        <v>14</v>
      </c>
      <c r="C5680" t="s">
        <v>33</v>
      </c>
      <c r="D5680" t="s">
        <v>11</v>
      </c>
      <c r="E5680" t="s">
        <v>12</v>
      </c>
      <c r="F5680">
        <v>139616338</v>
      </c>
      <c r="G5680">
        <v>139616345</v>
      </c>
      <c r="H5680">
        <v>139616308</v>
      </c>
      <c r="I5680">
        <v>139616313</v>
      </c>
    </row>
    <row r="5681" spans="1:9" x14ac:dyDescent="0.2">
      <c r="A5681" t="str">
        <f>"E030025P04Rik"</f>
        <v>E030025P04Rik</v>
      </c>
      <c r="B5681" t="s">
        <v>14</v>
      </c>
      <c r="C5681" t="s">
        <v>27</v>
      </c>
      <c r="D5681" t="s">
        <v>11</v>
      </c>
      <c r="E5681" t="s">
        <v>12</v>
      </c>
      <c r="F5681">
        <v>109144340</v>
      </c>
      <c r="G5681">
        <v>109144377</v>
      </c>
      <c r="H5681">
        <v>109144340</v>
      </c>
      <c r="I5681">
        <v>109144377</v>
      </c>
    </row>
    <row r="5682" spans="1:9" x14ac:dyDescent="0.2">
      <c r="A5682" t="str">
        <f>"E030030I06Rik"</f>
        <v>E030030I06Rik</v>
      </c>
      <c r="B5682" t="s">
        <v>14</v>
      </c>
      <c r="C5682" t="s">
        <v>15</v>
      </c>
      <c r="D5682" t="s">
        <v>11</v>
      </c>
      <c r="E5682" t="s">
        <v>12</v>
      </c>
      <c r="F5682">
        <v>22148828</v>
      </c>
      <c r="G5682">
        <v>22148851</v>
      </c>
      <c r="H5682">
        <v>22149128</v>
      </c>
      <c r="I5682">
        <v>22149166</v>
      </c>
    </row>
    <row r="5683" spans="1:9" x14ac:dyDescent="0.2">
      <c r="A5683" t="str">
        <f>"E030037K01Rik"</f>
        <v>E030037K01Rik</v>
      </c>
      <c r="B5683" t="s">
        <v>2405</v>
      </c>
      <c r="C5683" t="s">
        <v>30</v>
      </c>
      <c r="D5683" t="s">
        <v>17</v>
      </c>
      <c r="E5683" t="s">
        <v>20</v>
      </c>
      <c r="F5683">
        <v>47713265</v>
      </c>
      <c r="G5683">
        <v>47713265</v>
      </c>
      <c r="H5683">
        <v>47713265</v>
      </c>
      <c r="I5683">
        <v>47713265</v>
      </c>
    </row>
    <row r="5684" spans="1:9" x14ac:dyDescent="0.2">
      <c r="A5684" t="str">
        <f>"E130012A19Rik"</f>
        <v>E130012A19Rik</v>
      </c>
      <c r="B5684" t="s">
        <v>14</v>
      </c>
      <c r="C5684" t="s">
        <v>27</v>
      </c>
      <c r="D5684" t="s">
        <v>11</v>
      </c>
      <c r="E5684" t="s">
        <v>12</v>
      </c>
      <c r="F5684">
        <v>97629717</v>
      </c>
      <c r="G5684">
        <v>97629745</v>
      </c>
      <c r="H5684">
        <v>97629685</v>
      </c>
      <c r="I5684">
        <v>97629715</v>
      </c>
    </row>
    <row r="5685" spans="1:9" x14ac:dyDescent="0.2">
      <c r="A5685" t="str">
        <f>"E130114P18Rik"</f>
        <v>E130114P18Rik</v>
      </c>
      <c r="B5685" t="s">
        <v>14</v>
      </c>
      <c r="C5685" t="s">
        <v>23</v>
      </c>
      <c r="D5685" t="s">
        <v>11</v>
      </c>
      <c r="E5685" t="s">
        <v>12</v>
      </c>
      <c r="F5685">
        <v>97584580</v>
      </c>
      <c r="G5685">
        <v>97584601</v>
      </c>
      <c r="H5685">
        <v>97584580</v>
      </c>
      <c r="I5685">
        <v>97584601</v>
      </c>
    </row>
    <row r="5686" spans="1:9" x14ac:dyDescent="0.2">
      <c r="A5686" t="str">
        <f>"E130116L18Rik"</f>
        <v>E130116L18Rik</v>
      </c>
      <c r="B5686" t="s">
        <v>14</v>
      </c>
      <c r="C5686" t="s">
        <v>46</v>
      </c>
      <c r="D5686" t="s">
        <v>11</v>
      </c>
      <c r="E5686" t="s">
        <v>67</v>
      </c>
      <c r="F5686">
        <v>25223121</v>
      </c>
      <c r="G5686">
        <v>25223168</v>
      </c>
      <c r="H5686">
        <v>25223121</v>
      </c>
      <c r="I5686">
        <v>25223168</v>
      </c>
    </row>
    <row r="5687" spans="1:9" x14ac:dyDescent="0.2">
      <c r="A5687" t="str">
        <f>"E130208F15Rik"</f>
        <v>E130208F15Rik</v>
      </c>
      <c r="B5687" t="s">
        <v>14</v>
      </c>
      <c r="C5687" t="s">
        <v>33</v>
      </c>
      <c r="D5687" t="s">
        <v>17</v>
      </c>
      <c r="E5687" t="s">
        <v>67</v>
      </c>
      <c r="F5687">
        <v>30321753</v>
      </c>
      <c r="G5687">
        <v>30321774</v>
      </c>
      <c r="H5687">
        <v>30321777</v>
      </c>
      <c r="I5687">
        <v>30321822</v>
      </c>
    </row>
    <row r="5688" spans="1:9" x14ac:dyDescent="0.2">
      <c r="A5688" t="str">
        <f>"E130304I02Rik"</f>
        <v>E130304I02Rik</v>
      </c>
      <c r="B5688" t="s">
        <v>14</v>
      </c>
      <c r="C5688" t="s">
        <v>33</v>
      </c>
      <c r="D5688" t="s">
        <v>17</v>
      </c>
      <c r="E5688" t="s">
        <v>12</v>
      </c>
      <c r="F5688">
        <v>35802552</v>
      </c>
      <c r="G5688">
        <v>35802585</v>
      </c>
      <c r="H5688">
        <v>35802552</v>
      </c>
      <c r="I5688">
        <v>35802585</v>
      </c>
    </row>
    <row r="5689" spans="1:9" x14ac:dyDescent="0.2">
      <c r="A5689" t="str">
        <f>"E130308A19Rik"</f>
        <v>E130308A19Rik</v>
      </c>
      <c r="B5689" t="s">
        <v>14</v>
      </c>
      <c r="C5689" t="s">
        <v>23</v>
      </c>
      <c r="D5689" t="s">
        <v>17</v>
      </c>
      <c r="E5689" t="s">
        <v>12</v>
      </c>
      <c r="F5689">
        <v>59626189</v>
      </c>
      <c r="G5689">
        <v>59626253</v>
      </c>
      <c r="H5689">
        <v>59626095</v>
      </c>
      <c r="I5689">
        <v>59626130</v>
      </c>
    </row>
    <row r="5690" spans="1:9" x14ac:dyDescent="0.2">
      <c r="A5690" t="str">
        <f>"E130309D02Rik"</f>
        <v>E130309D02Rik</v>
      </c>
      <c r="B5690" t="s">
        <v>14</v>
      </c>
      <c r="C5690" t="s">
        <v>46</v>
      </c>
      <c r="D5690" t="s">
        <v>11</v>
      </c>
      <c r="E5690" t="s">
        <v>12</v>
      </c>
      <c r="F5690">
        <v>143315315</v>
      </c>
      <c r="G5690">
        <v>143315358</v>
      </c>
      <c r="H5690">
        <v>143315360</v>
      </c>
      <c r="I5690">
        <v>143315396</v>
      </c>
    </row>
    <row r="5691" spans="1:9" x14ac:dyDescent="0.2">
      <c r="A5691" t="str">
        <f>"E130309D14Rik"</f>
        <v>E130309D14Rik</v>
      </c>
      <c r="B5691" t="s">
        <v>14</v>
      </c>
      <c r="C5691" t="s">
        <v>27</v>
      </c>
      <c r="D5691" t="s">
        <v>17</v>
      </c>
      <c r="E5691" t="s">
        <v>12</v>
      </c>
      <c r="F5691">
        <v>74619594</v>
      </c>
      <c r="G5691">
        <v>74619643</v>
      </c>
      <c r="H5691">
        <v>74619676</v>
      </c>
      <c r="I5691">
        <v>74619714</v>
      </c>
    </row>
    <row r="5692" spans="1:9" x14ac:dyDescent="0.2">
      <c r="A5692" t="str">
        <f>"E130309F12Rik"</f>
        <v>E130309F12Rik</v>
      </c>
      <c r="B5692" t="s">
        <v>14</v>
      </c>
      <c r="C5692" t="s">
        <v>23</v>
      </c>
      <c r="D5692" t="s">
        <v>17</v>
      </c>
      <c r="E5692" t="s">
        <v>12</v>
      </c>
      <c r="F5692">
        <v>49059256</v>
      </c>
      <c r="G5692">
        <v>49059330</v>
      </c>
      <c r="H5692">
        <v>49059466</v>
      </c>
      <c r="I5692">
        <v>49059550</v>
      </c>
    </row>
    <row r="5693" spans="1:9" x14ac:dyDescent="0.2">
      <c r="A5693" t="str">
        <f>"E130311K13Rik"</f>
        <v>E130311K13Rik</v>
      </c>
      <c r="B5693" t="s">
        <v>14</v>
      </c>
      <c r="C5693" t="s">
        <v>22</v>
      </c>
      <c r="D5693" t="s">
        <v>11</v>
      </c>
      <c r="E5693" t="s">
        <v>12</v>
      </c>
      <c r="F5693">
        <v>63929376</v>
      </c>
      <c r="G5693">
        <v>63929413</v>
      </c>
      <c r="H5693">
        <v>63929376</v>
      </c>
      <c r="I5693">
        <v>63929413</v>
      </c>
    </row>
    <row r="5694" spans="1:9" x14ac:dyDescent="0.2">
      <c r="A5694" t="str">
        <f>"E230008N13Rik"</f>
        <v>E230008N13Rik</v>
      </c>
      <c r="B5694" t="s">
        <v>14</v>
      </c>
      <c r="C5694" t="s">
        <v>23</v>
      </c>
      <c r="D5694" t="s">
        <v>17</v>
      </c>
      <c r="E5694" t="s">
        <v>12</v>
      </c>
      <c r="F5694">
        <v>45890307</v>
      </c>
      <c r="G5694">
        <v>45890340</v>
      </c>
      <c r="H5694">
        <v>45890342</v>
      </c>
      <c r="I5694">
        <v>45890349</v>
      </c>
    </row>
    <row r="5695" spans="1:9" x14ac:dyDescent="0.2">
      <c r="A5695" t="str">
        <f>"E230019M04Rik"</f>
        <v>E230019M04Rik</v>
      </c>
      <c r="B5695" t="s">
        <v>14</v>
      </c>
      <c r="C5695" t="s">
        <v>37</v>
      </c>
      <c r="D5695" t="s">
        <v>17</v>
      </c>
      <c r="E5695" t="s">
        <v>12</v>
      </c>
      <c r="F5695">
        <v>140062874</v>
      </c>
      <c r="G5695">
        <v>140062923</v>
      </c>
      <c r="H5695">
        <v>140062874</v>
      </c>
      <c r="I5695">
        <v>140062923</v>
      </c>
    </row>
    <row r="5696" spans="1:9" x14ac:dyDescent="0.2">
      <c r="A5696" t="str">
        <f>"E230025N22Rik"</f>
        <v>E230025N22Rik</v>
      </c>
      <c r="B5696" t="s">
        <v>14</v>
      </c>
      <c r="C5696" t="s">
        <v>43</v>
      </c>
      <c r="D5696" t="s">
        <v>11</v>
      </c>
      <c r="E5696" t="s">
        <v>12</v>
      </c>
      <c r="F5696">
        <v>36696066</v>
      </c>
      <c r="G5696">
        <v>36696086</v>
      </c>
      <c r="H5696">
        <v>36696066</v>
      </c>
      <c r="I5696">
        <v>36696086</v>
      </c>
    </row>
    <row r="5697" spans="1:9" x14ac:dyDescent="0.2">
      <c r="A5697" t="str">
        <f>"E2f1"</f>
        <v>E2f1</v>
      </c>
      <c r="B5697" t="s">
        <v>14</v>
      </c>
      <c r="C5697" t="s">
        <v>26</v>
      </c>
      <c r="D5697" t="s">
        <v>11</v>
      </c>
      <c r="E5697" t="s">
        <v>12</v>
      </c>
      <c r="F5697">
        <v>154569845</v>
      </c>
      <c r="G5697">
        <v>154569874</v>
      </c>
      <c r="H5697">
        <v>154569344</v>
      </c>
      <c r="I5697">
        <v>154569402</v>
      </c>
    </row>
    <row r="5698" spans="1:9" x14ac:dyDescent="0.2">
      <c r="A5698" t="str">
        <f>"E2f2"</f>
        <v>E2f2</v>
      </c>
      <c r="B5698" t="s">
        <v>14</v>
      </c>
      <c r="C5698" t="s">
        <v>23</v>
      </c>
      <c r="D5698" t="s">
        <v>17</v>
      </c>
      <c r="E5698" t="s">
        <v>12</v>
      </c>
      <c r="F5698">
        <v>136172666</v>
      </c>
      <c r="G5698">
        <v>136172753</v>
      </c>
      <c r="H5698">
        <v>136172266</v>
      </c>
      <c r="I5698">
        <v>136172288</v>
      </c>
    </row>
    <row r="5699" spans="1:9" x14ac:dyDescent="0.2">
      <c r="A5699" t="str">
        <f>"E2f3"</f>
        <v>E2f3</v>
      </c>
      <c r="B5699" t="s">
        <v>9</v>
      </c>
      <c r="C5699" t="s">
        <v>39</v>
      </c>
      <c r="D5699" t="s">
        <v>11</v>
      </c>
      <c r="E5699" t="s">
        <v>12</v>
      </c>
      <c r="F5699">
        <v>29985978</v>
      </c>
      <c r="G5699">
        <v>29986037</v>
      </c>
      <c r="H5699">
        <v>29985978</v>
      </c>
      <c r="I5699">
        <v>29986037</v>
      </c>
    </row>
    <row r="5700" spans="1:9" x14ac:dyDescent="0.2">
      <c r="A5700" t="str">
        <f>"E2f3"</f>
        <v>E2f3</v>
      </c>
      <c r="B5700" t="s">
        <v>13</v>
      </c>
      <c r="C5700" t="s">
        <v>39</v>
      </c>
      <c r="D5700" t="s">
        <v>11</v>
      </c>
      <c r="E5700" t="s">
        <v>12</v>
      </c>
      <c r="F5700">
        <v>29984299</v>
      </c>
      <c r="G5700">
        <v>29984353</v>
      </c>
      <c r="H5700">
        <v>29984299</v>
      </c>
      <c r="I5700">
        <v>29984353</v>
      </c>
    </row>
    <row r="5701" spans="1:9" x14ac:dyDescent="0.2">
      <c r="A5701" t="str">
        <f>"E2f4"</f>
        <v>E2f4</v>
      </c>
      <c r="B5701" t="s">
        <v>14</v>
      </c>
      <c r="C5701" t="s">
        <v>30</v>
      </c>
      <c r="D5701" t="s">
        <v>17</v>
      </c>
      <c r="E5701" t="s">
        <v>12</v>
      </c>
      <c r="F5701">
        <v>105297663</v>
      </c>
      <c r="G5701">
        <v>105297742</v>
      </c>
      <c r="H5701">
        <v>105297663</v>
      </c>
      <c r="I5701">
        <v>105297742</v>
      </c>
    </row>
    <row r="5702" spans="1:9" x14ac:dyDescent="0.2">
      <c r="A5702" t="str">
        <f>"E2f5"</f>
        <v>E2f5</v>
      </c>
      <c r="B5702" t="s">
        <v>14</v>
      </c>
      <c r="C5702" t="s">
        <v>22</v>
      </c>
      <c r="D5702" t="s">
        <v>17</v>
      </c>
      <c r="E5702" t="s">
        <v>12</v>
      </c>
      <c r="F5702">
        <v>14578609</v>
      </c>
      <c r="G5702">
        <v>14578687</v>
      </c>
      <c r="H5702">
        <v>14578786</v>
      </c>
      <c r="I5702">
        <v>14578807</v>
      </c>
    </row>
    <row r="5703" spans="1:9" x14ac:dyDescent="0.2">
      <c r="A5703" t="str">
        <f>"E2f6"</f>
        <v>E2f6</v>
      </c>
      <c r="B5703" t="s">
        <v>14</v>
      </c>
      <c r="C5703" t="s">
        <v>16</v>
      </c>
      <c r="D5703" t="s">
        <v>17</v>
      </c>
      <c r="E5703" t="s">
        <v>12</v>
      </c>
      <c r="F5703">
        <v>16810940</v>
      </c>
      <c r="G5703">
        <v>16810978</v>
      </c>
      <c r="H5703">
        <v>16810979</v>
      </c>
      <c r="I5703">
        <v>16810990</v>
      </c>
    </row>
    <row r="5704" spans="1:9" x14ac:dyDescent="0.2">
      <c r="A5704" t="str">
        <f>"E2f7"</f>
        <v>E2f7</v>
      </c>
      <c r="B5704" t="s">
        <v>14</v>
      </c>
      <c r="C5704" t="s">
        <v>15</v>
      </c>
      <c r="D5704" t="s">
        <v>17</v>
      </c>
      <c r="E5704" t="s">
        <v>12</v>
      </c>
      <c r="F5704">
        <v>110745433</v>
      </c>
      <c r="G5704">
        <v>110745533</v>
      </c>
      <c r="H5704">
        <v>110745642</v>
      </c>
      <c r="I5704">
        <v>110745647</v>
      </c>
    </row>
    <row r="5705" spans="1:9" x14ac:dyDescent="0.2">
      <c r="A5705" t="str">
        <f>"E2f8"</f>
        <v>E2f8</v>
      </c>
      <c r="B5705" t="s">
        <v>14</v>
      </c>
      <c r="C5705" t="s">
        <v>33</v>
      </c>
      <c r="D5705" t="s">
        <v>11</v>
      </c>
      <c r="E5705" t="s">
        <v>12</v>
      </c>
      <c r="F5705">
        <v>48880992</v>
      </c>
      <c r="G5705">
        <v>48881030</v>
      </c>
      <c r="H5705">
        <v>48881641</v>
      </c>
      <c r="I5705">
        <v>48881671</v>
      </c>
    </row>
    <row r="5706" spans="1:9" x14ac:dyDescent="0.2">
      <c r="A5706" t="str">
        <f>"E330009J07Rik"</f>
        <v>E330009J07Rik</v>
      </c>
      <c r="B5706" t="s">
        <v>14</v>
      </c>
      <c r="C5706" t="s">
        <v>32</v>
      </c>
      <c r="D5706" t="s">
        <v>11</v>
      </c>
      <c r="E5706" t="s">
        <v>12</v>
      </c>
      <c r="F5706">
        <v>40436104</v>
      </c>
      <c r="G5706">
        <v>40436151</v>
      </c>
      <c r="H5706">
        <v>40436104</v>
      </c>
      <c r="I5706">
        <v>40436151</v>
      </c>
    </row>
    <row r="5707" spans="1:9" x14ac:dyDescent="0.2">
      <c r="A5707" t="str">
        <f>"E330013P04Rik"</f>
        <v>E330013P04Rik</v>
      </c>
      <c r="B5707" t="s">
        <v>14</v>
      </c>
      <c r="C5707" t="s">
        <v>10</v>
      </c>
      <c r="D5707" t="s">
        <v>17</v>
      </c>
      <c r="E5707" t="s">
        <v>12</v>
      </c>
      <c r="F5707">
        <v>60144591</v>
      </c>
      <c r="G5707">
        <v>60144602</v>
      </c>
      <c r="H5707">
        <v>60144591</v>
      </c>
      <c r="I5707">
        <v>60144602</v>
      </c>
    </row>
    <row r="5708" spans="1:9" x14ac:dyDescent="0.2">
      <c r="A5708" t="str">
        <f>"E330014E10Rik"</f>
        <v>E330014E10Rik</v>
      </c>
      <c r="B5708" t="s">
        <v>2406</v>
      </c>
      <c r="C5708" t="s">
        <v>46</v>
      </c>
      <c r="D5708" t="s">
        <v>17</v>
      </c>
      <c r="E5708" t="s">
        <v>20</v>
      </c>
      <c r="F5708">
        <v>95775869</v>
      </c>
      <c r="G5708">
        <v>95775869</v>
      </c>
      <c r="H5708">
        <v>95775869</v>
      </c>
      <c r="I5708">
        <v>95775869</v>
      </c>
    </row>
    <row r="5709" spans="1:9" x14ac:dyDescent="0.2">
      <c r="A5709" t="str">
        <f>"E330017A01Rik"</f>
        <v>E330017A01Rik</v>
      </c>
      <c r="B5709" t="s">
        <v>14</v>
      </c>
      <c r="C5709" t="s">
        <v>31</v>
      </c>
      <c r="D5709" t="s">
        <v>11</v>
      </c>
      <c r="E5709" t="s">
        <v>12</v>
      </c>
      <c r="F5709">
        <v>58638391</v>
      </c>
      <c r="G5709">
        <v>58638410</v>
      </c>
      <c r="H5709">
        <v>58638391</v>
      </c>
      <c r="I5709">
        <v>58638410</v>
      </c>
    </row>
    <row r="5710" spans="1:9" x14ac:dyDescent="0.2">
      <c r="A5710" t="str">
        <f>"E330020D12Rik"</f>
        <v>E330020D12Rik</v>
      </c>
      <c r="B5710" t="s">
        <v>14</v>
      </c>
      <c r="C5710" t="s">
        <v>19</v>
      </c>
      <c r="D5710" t="s">
        <v>11</v>
      </c>
      <c r="E5710" t="s">
        <v>12</v>
      </c>
      <c r="F5710">
        <v>153407784</v>
      </c>
      <c r="G5710">
        <v>153407790</v>
      </c>
      <c r="H5710">
        <v>153407784</v>
      </c>
      <c r="I5710">
        <v>153407790</v>
      </c>
    </row>
    <row r="5711" spans="1:9" x14ac:dyDescent="0.2">
      <c r="A5711" t="str">
        <f>"E330021D16Rik"</f>
        <v>E330021D16Rik</v>
      </c>
      <c r="B5711" t="s">
        <v>14</v>
      </c>
      <c r="C5711" t="s">
        <v>32</v>
      </c>
      <c r="D5711" t="s">
        <v>11</v>
      </c>
      <c r="E5711" t="s">
        <v>12</v>
      </c>
      <c r="F5711">
        <v>136415567</v>
      </c>
      <c r="G5711">
        <v>136415572</v>
      </c>
      <c r="H5711">
        <v>136415567</v>
      </c>
      <c r="I5711">
        <v>136415572</v>
      </c>
    </row>
    <row r="5712" spans="1:9" x14ac:dyDescent="0.2">
      <c r="A5712" t="str">
        <f>"E330034G19Rik"</f>
        <v>E330034G19Rik</v>
      </c>
      <c r="B5712" t="s">
        <v>2407</v>
      </c>
      <c r="C5712" t="s">
        <v>41</v>
      </c>
      <c r="D5712" t="s">
        <v>17</v>
      </c>
      <c r="E5712" t="s">
        <v>20</v>
      </c>
      <c r="F5712">
        <v>24293298</v>
      </c>
      <c r="G5712">
        <v>24293298</v>
      </c>
      <c r="H5712">
        <v>24293298</v>
      </c>
      <c r="I5712">
        <v>24293298</v>
      </c>
    </row>
    <row r="5713" spans="1:9" x14ac:dyDescent="0.2">
      <c r="A5713" t="str">
        <f>"E430018J23Rik"</f>
        <v>E430018J23Rik</v>
      </c>
      <c r="B5713" t="s">
        <v>14</v>
      </c>
      <c r="C5713" t="s">
        <v>33</v>
      </c>
      <c r="D5713" t="s">
        <v>11</v>
      </c>
      <c r="E5713" t="s">
        <v>12</v>
      </c>
      <c r="F5713">
        <v>127393604</v>
      </c>
      <c r="G5713">
        <v>127393663</v>
      </c>
      <c r="H5713">
        <v>127393556</v>
      </c>
      <c r="I5713">
        <v>127393574</v>
      </c>
    </row>
    <row r="5714" spans="1:9" x14ac:dyDescent="0.2">
      <c r="A5714" t="str">
        <f>"E430025E21Rik"</f>
        <v>E430025E21Rik</v>
      </c>
      <c r="B5714" t="s">
        <v>14</v>
      </c>
      <c r="C5714" t="s">
        <v>25</v>
      </c>
      <c r="D5714" t="s">
        <v>11</v>
      </c>
      <c r="E5714" t="s">
        <v>12</v>
      </c>
      <c r="F5714">
        <v>59374149</v>
      </c>
      <c r="G5714">
        <v>59374199</v>
      </c>
      <c r="H5714">
        <v>59374133</v>
      </c>
      <c r="I5714">
        <v>59374144</v>
      </c>
    </row>
    <row r="5715" spans="1:9" x14ac:dyDescent="0.2">
      <c r="A5715" t="str">
        <f>"E4f1"</f>
        <v>E4f1</v>
      </c>
      <c r="B5715" t="s">
        <v>14</v>
      </c>
      <c r="C5715" t="s">
        <v>28</v>
      </c>
      <c r="D5715" t="s">
        <v>11</v>
      </c>
      <c r="E5715" t="s">
        <v>12</v>
      </c>
      <c r="F5715">
        <v>24455265</v>
      </c>
      <c r="G5715">
        <v>24455345</v>
      </c>
      <c r="H5715">
        <v>24455238</v>
      </c>
      <c r="I5715">
        <v>24455257</v>
      </c>
    </row>
    <row r="5716" spans="1:9" x14ac:dyDescent="0.2">
      <c r="A5716" t="str">
        <f>"EU599041"</f>
        <v>EU599041</v>
      </c>
      <c r="B5716" t="s">
        <v>14</v>
      </c>
      <c r="C5716" t="s">
        <v>33</v>
      </c>
      <c r="D5716" t="s">
        <v>17</v>
      </c>
      <c r="E5716" t="s">
        <v>12</v>
      </c>
      <c r="F5716">
        <v>43214024</v>
      </c>
      <c r="G5716">
        <v>43214057</v>
      </c>
      <c r="H5716">
        <v>43214024</v>
      </c>
      <c r="I5716">
        <v>43214057</v>
      </c>
    </row>
    <row r="5717" spans="1:9" x14ac:dyDescent="0.2">
      <c r="A5717" t="str">
        <f>"Eaf1"</f>
        <v>Eaf1</v>
      </c>
      <c r="B5717" t="s">
        <v>14</v>
      </c>
      <c r="C5717" t="s">
        <v>41</v>
      </c>
      <c r="D5717" t="s">
        <v>17</v>
      </c>
      <c r="E5717" t="s">
        <v>12</v>
      </c>
      <c r="F5717">
        <v>31495097</v>
      </c>
      <c r="G5717">
        <v>31495181</v>
      </c>
      <c r="H5717">
        <v>31495065</v>
      </c>
      <c r="I5717">
        <v>31495095</v>
      </c>
    </row>
    <row r="5718" spans="1:9" x14ac:dyDescent="0.2">
      <c r="A5718" t="str">
        <f>"Eaf2"</f>
        <v>Eaf2</v>
      </c>
      <c r="B5718" t="s">
        <v>2408</v>
      </c>
      <c r="C5718" t="s">
        <v>31</v>
      </c>
      <c r="D5718" t="s">
        <v>11</v>
      </c>
      <c r="E5718" t="s">
        <v>35</v>
      </c>
      <c r="F5718">
        <v>36828279</v>
      </c>
      <c r="G5718">
        <v>36828290</v>
      </c>
      <c r="H5718">
        <v>36828224</v>
      </c>
      <c r="I5718">
        <v>36828269</v>
      </c>
    </row>
    <row r="5719" spans="1:9" x14ac:dyDescent="0.2">
      <c r="A5719" t="str">
        <f>"Eapp"</f>
        <v>Eapp</v>
      </c>
      <c r="B5719" t="s">
        <v>14</v>
      </c>
      <c r="C5719" t="s">
        <v>16</v>
      </c>
      <c r="D5719" t="s">
        <v>11</v>
      </c>
      <c r="E5719" t="s">
        <v>12</v>
      </c>
      <c r="F5719">
        <v>54695829</v>
      </c>
      <c r="G5719">
        <v>54695884</v>
      </c>
      <c r="H5719">
        <v>54695813</v>
      </c>
      <c r="I5719">
        <v>54695828</v>
      </c>
    </row>
    <row r="5720" spans="1:9" x14ac:dyDescent="0.2">
      <c r="A5720" t="str">
        <f>"Ear1"</f>
        <v>Ear1</v>
      </c>
      <c r="B5720" t="s">
        <v>2409</v>
      </c>
      <c r="C5720" t="s">
        <v>41</v>
      </c>
      <c r="D5720" t="s">
        <v>11</v>
      </c>
      <c r="E5720" t="s">
        <v>20</v>
      </c>
      <c r="F5720">
        <v>43819638</v>
      </c>
      <c r="G5720">
        <v>43819638</v>
      </c>
      <c r="H5720">
        <v>43819638</v>
      </c>
      <c r="I5720">
        <v>43819638</v>
      </c>
    </row>
    <row r="5721" spans="1:9" x14ac:dyDescent="0.2">
      <c r="A5721" t="str">
        <f>"Ear1"</f>
        <v>Ear1</v>
      </c>
      <c r="B5721" t="s">
        <v>2410</v>
      </c>
      <c r="C5721" t="s">
        <v>41</v>
      </c>
      <c r="D5721" t="s">
        <v>11</v>
      </c>
      <c r="E5721" t="s">
        <v>20</v>
      </c>
      <c r="F5721">
        <v>43875516</v>
      </c>
      <c r="G5721">
        <v>43875516</v>
      </c>
      <c r="H5721">
        <v>43875516</v>
      </c>
      <c r="I5721">
        <v>43875516</v>
      </c>
    </row>
    <row r="5722" spans="1:9" x14ac:dyDescent="0.2">
      <c r="A5722" t="str">
        <f>"Ear10"</f>
        <v>Ear10</v>
      </c>
      <c r="B5722" t="s">
        <v>2411</v>
      </c>
      <c r="C5722" t="s">
        <v>41</v>
      </c>
      <c r="D5722" t="s">
        <v>11</v>
      </c>
      <c r="E5722" t="s">
        <v>20</v>
      </c>
      <c r="F5722">
        <v>43923462</v>
      </c>
      <c r="G5722">
        <v>43923462</v>
      </c>
      <c r="H5722">
        <v>43923462</v>
      </c>
      <c r="I5722">
        <v>43923462</v>
      </c>
    </row>
    <row r="5723" spans="1:9" x14ac:dyDescent="0.2">
      <c r="A5723" t="str">
        <f>"Ear11"</f>
        <v>Ear11</v>
      </c>
      <c r="B5723" t="s">
        <v>2412</v>
      </c>
      <c r="C5723" t="s">
        <v>41</v>
      </c>
      <c r="D5723" t="s">
        <v>11</v>
      </c>
      <c r="E5723" t="s">
        <v>20</v>
      </c>
      <c r="F5723">
        <v>51256111</v>
      </c>
      <c r="G5723">
        <v>51256111</v>
      </c>
      <c r="H5723">
        <v>51256111</v>
      </c>
      <c r="I5723">
        <v>51256111</v>
      </c>
    </row>
    <row r="5724" spans="1:9" x14ac:dyDescent="0.2">
      <c r="A5724" t="str">
        <f>"Ear14"</f>
        <v>Ear14</v>
      </c>
      <c r="B5724" t="s">
        <v>2413</v>
      </c>
      <c r="C5724" t="s">
        <v>41</v>
      </c>
      <c r="D5724" t="s">
        <v>17</v>
      </c>
      <c r="E5724" t="s">
        <v>20</v>
      </c>
      <c r="F5724">
        <v>51203688</v>
      </c>
      <c r="G5724">
        <v>51203688</v>
      </c>
      <c r="H5724">
        <v>51203688</v>
      </c>
      <c r="I5724">
        <v>51203688</v>
      </c>
    </row>
    <row r="5725" spans="1:9" x14ac:dyDescent="0.2">
      <c r="A5725" t="str">
        <f>"Ear2"</f>
        <v>Ear2</v>
      </c>
      <c r="B5725" t="s">
        <v>14</v>
      </c>
      <c r="C5725" t="s">
        <v>41</v>
      </c>
      <c r="D5725" t="s">
        <v>17</v>
      </c>
      <c r="E5725" t="s">
        <v>12</v>
      </c>
      <c r="F5725">
        <v>44102655</v>
      </c>
      <c r="G5725">
        <v>44102665</v>
      </c>
      <c r="H5725">
        <v>44102655</v>
      </c>
      <c r="I5725">
        <v>44102665</v>
      </c>
    </row>
    <row r="5726" spans="1:9" x14ac:dyDescent="0.2">
      <c r="A5726" t="str">
        <f>"Ear5"</f>
        <v>Ear5</v>
      </c>
      <c r="B5726" t="s">
        <v>2414</v>
      </c>
      <c r="C5726" t="s">
        <v>41</v>
      </c>
      <c r="D5726" t="s">
        <v>17</v>
      </c>
      <c r="E5726" t="s">
        <v>20</v>
      </c>
      <c r="F5726">
        <v>51162259</v>
      </c>
      <c r="G5726">
        <v>51162259</v>
      </c>
      <c r="H5726">
        <v>51162259</v>
      </c>
      <c r="I5726">
        <v>51162259</v>
      </c>
    </row>
    <row r="5727" spans="1:9" x14ac:dyDescent="0.2">
      <c r="A5727" t="str">
        <f>"Ear6"</f>
        <v>Ear6</v>
      </c>
      <c r="B5727" t="s">
        <v>14</v>
      </c>
      <c r="C5727" t="s">
        <v>41</v>
      </c>
      <c r="D5727" t="s">
        <v>17</v>
      </c>
      <c r="E5727" t="s">
        <v>12</v>
      </c>
      <c r="F5727">
        <v>51853767</v>
      </c>
      <c r="G5727">
        <v>51853772</v>
      </c>
      <c r="H5727">
        <v>51853767</v>
      </c>
      <c r="I5727">
        <v>51853772</v>
      </c>
    </row>
    <row r="5728" spans="1:9" x14ac:dyDescent="0.2">
      <c r="A5728" t="str">
        <f>"Ears2"</f>
        <v>Ears2</v>
      </c>
      <c r="B5728" t="s">
        <v>14</v>
      </c>
      <c r="C5728" t="s">
        <v>33</v>
      </c>
      <c r="D5728" t="s">
        <v>11</v>
      </c>
      <c r="E5728" t="s">
        <v>12</v>
      </c>
      <c r="F5728">
        <v>122067039</v>
      </c>
      <c r="G5728">
        <v>122067080</v>
      </c>
      <c r="H5728">
        <v>122067251</v>
      </c>
      <c r="I5728">
        <v>122067294</v>
      </c>
    </row>
    <row r="5729" spans="1:9" x14ac:dyDescent="0.2">
      <c r="A5729" t="str">
        <f>"Ebag9"</f>
        <v>Ebag9</v>
      </c>
      <c r="B5729" t="s">
        <v>14</v>
      </c>
      <c r="C5729" t="s">
        <v>25</v>
      </c>
      <c r="D5729" t="s">
        <v>17</v>
      </c>
      <c r="E5729" t="s">
        <v>12</v>
      </c>
      <c r="F5729">
        <v>44619271</v>
      </c>
      <c r="G5729">
        <v>44619328</v>
      </c>
      <c r="H5729">
        <v>44619551</v>
      </c>
      <c r="I5729">
        <v>44619630</v>
      </c>
    </row>
    <row r="5730" spans="1:9" x14ac:dyDescent="0.2">
      <c r="A5730" t="str">
        <f>"Ebf1"</f>
        <v>Ebf1</v>
      </c>
      <c r="B5730" t="s">
        <v>14</v>
      </c>
      <c r="C5730" t="s">
        <v>27</v>
      </c>
      <c r="D5730" t="s">
        <v>17</v>
      </c>
      <c r="E5730" t="s">
        <v>12</v>
      </c>
      <c r="F5730">
        <v>44617310</v>
      </c>
      <c r="G5730">
        <v>44617336</v>
      </c>
      <c r="H5730">
        <v>44618185</v>
      </c>
      <c r="I5730">
        <v>44618204</v>
      </c>
    </row>
    <row r="5731" spans="1:9" x14ac:dyDescent="0.2">
      <c r="A5731" t="str">
        <f>"Ebf2"</f>
        <v>Ebf2</v>
      </c>
      <c r="B5731" t="s">
        <v>14</v>
      </c>
      <c r="C5731" t="s">
        <v>41</v>
      </c>
      <c r="D5731" t="s">
        <v>17</v>
      </c>
      <c r="E5731" t="s">
        <v>12</v>
      </c>
      <c r="F5731">
        <v>67234588</v>
      </c>
      <c r="G5731">
        <v>67234617</v>
      </c>
      <c r="H5731">
        <v>67234620</v>
      </c>
      <c r="I5731">
        <v>67234645</v>
      </c>
    </row>
    <row r="5732" spans="1:9" x14ac:dyDescent="0.2">
      <c r="A5732" t="str">
        <f>"Ebf3"</f>
        <v>Ebf3</v>
      </c>
      <c r="B5732" t="s">
        <v>14</v>
      </c>
      <c r="C5732" t="s">
        <v>33</v>
      </c>
      <c r="D5732" t="s">
        <v>11</v>
      </c>
      <c r="E5732" t="s">
        <v>12</v>
      </c>
      <c r="F5732">
        <v>137314394</v>
      </c>
      <c r="G5732">
        <v>137314445</v>
      </c>
      <c r="H5732">
        <v>137314274</v>
      </c>
      <c r="I5732">
        <v>137314289</v>
      </c>
    </row>
    <row r="5733" spans="1:9" x14ac:dyDescent="0.2">
      <c r="A5733" t="str">
        <f>"Ebf4"</f>
        <v>Ebf4</v>
      </c>
      <c r="B5733" t="s">
        <v>14</v>
      </c>
      <c r="C5733" t="s">
        <v>26</v>
      </c>
      <c r="D5733" t="s">
        <v>17</v>
      </c>
      <c r="E5733" t="s">
        <v>12</v>
      </c>
      <c r="F5733">
        <v>130295148</v>
      </c>
      <c r="G5733">
        <v>130295236</v>
      </c>
      <c r="H5733">
        <v>130295134</v>
      </c>
      <c r="I5733">
        <v>130295144</v>
      </c>
    </row>
    <row r="5734" spans="1:9" x14ac:dyDescent="0.2">
      <c r="A5734" t="str">
        <f>"Ebi3"</f>
        <v>Ebi3</v>
      </c>
      <c r="B5734" t="s">
        <v>14</v>
      </c>
      <c r="C5734" t="s">
        <v>28</v>
      </c>
      <c r="D5734" t="s">
        <v>17</v>
      </c>
      <c r="E5734" t="s">
        <v>12</v>
      </c>
      <c r="F5734">
        <v>55952628</v>
      </c>
      <c r="G5734">
        <v>55952699</v>
      </c>
      <c r="H5734">
        <v>55952744</v>
      </c>
      <c r="I5734">
        <v>55952758</v>
      </c>
    </row>
    <row r="5735" spans="1:9" x14ac:dyDescent="0.2">
      <c r="A5735" t="str">
        <f>"Ebna1bp2"</f>
        <v>Ebna1bp2</v>
      </c>
      <c r="B5735" t="s">
        <v>14</v>
      </c>
      <c r="C5735" t="s">
        <v>23</v>
      </c>
      <c r="D5735" t="s">
        <v>17</v>
      </c>
      <c r="E5735" t="s">
        <v>12</v>
      </c>
      <c r="F5735">
        <v>118620813</v>
      </c>
      <c r="G5735">
        <v>118620899</v>
      </c>
      <c r="H5735">
        <v>118621213</v>
      </c>
      <c r="I5735">
        <v>118621239</v>
      </c>
    </row>
    <row r="5736" spans="1:9" x14ac:dyDescent="0.2">
      <c r="A5736" t="str">
        <f>"Ebp"</f>
        <v>Ebp</v>
      </c>
      <c r="B5736" t="s">
        <v>14</v>
      </c>
      <c r="C5736" t="s">
        <v>37</v>
      </c>
      <c r="D5736" t="s">
        <v>11</v>
      </c>
      <c r="E5736" t="s">
        <v>12</v>
      </c>
      <c r="F5736">
        <v>8192828</v>
      </c>
      <c r="G5736">
        <v>8192881</v>
      </c>
      <c r="H5736">
        <v>8192892</v>
      </c>
      <c r="I5736">
        <v>8192908</v>
      </c>
    </row>
    <row r="5737" spans="1:9" x14ac:dyDescent="0.2">
      <c r="A5737" t="str">
        <f>"Ebpl"</f>
        <v>Ebpl</v>
      </c>
      <c r="B5737" t="s">
        <v>14</v>
      </c>
      <c r="C5737" t="s">
        <v>41</v>
      </c>
      <c r="D5737" t="s">
        <v>11</v>
      </c>
      <c r="E5737" t="s">
        <v>12</v>
      </c>
      <c r="F5737">
        <v>61360395</v>
      </c>
      <c r="G5737">
        <v>61360462</v>
      </c>
      <c r="H5737">
        <v>61360395</v>
      </c>
      <c r="I5737">
        <v>61360462</v>
      </c>
    </row>
    <row r="5738" spans="1:9" x14ac:dyDescent="0.2">
      <c r="A5738" t="str">
        <f>"Ecd"</f>
        <v>Ecd</v>
      </c>
      <c r="B5738" t="s">
        <v>14</v>
      </c>
      <c r="C5738" t="s">
        <v>41</v>
      </c>
      <c r="D5738" t="s">
        <v>11</v>
      </c>
      <c r="E5738" t="s">
        <v>12</v>
      </c>
      <c r="F5738">
        <v>20348040</v>
      </c>
      <c r="G5738">
        <v>20348101</v>
      </c>
      <c r="H5738">
        <v>20348019</v>
      </c>
      <c r="I5738">
        <v>20348033</v>
      </c>
    </row>
    <row r="5739" spans="1:9" x14ac:dyDescent="0.2">
      <c r="A5739" t="str">
        <f>"Ece1"</f>
        <v>Ece1</v>
      </c>
      <c r="B5739" t="s">
        <v>14</v>
      </c>
      <c r="C5739" t="s">
        <v>23</v>
      </c>
      <c r="D5739" t="s">
        <v>17</v>
      </c>
      <c r="E5739" t="s">
        <v>12</v>
      </c>
      <c r="F5739">
        <v>137862270</v>
      </c>
      <c r="G5739">
        <v>137862321</v>
      </c>
      <c r="H5739">
        <v>137862270</v>
      </c>
      <c r="I5739">
        <v>137862321</v>
      </c>
    </row>
    <row r="5740" spans="1:9" x14ac:dyDescent="0.2">
      <c r="A5740" t="str">
        <f>"Ece2"</f>
        <v>Ece2</v>
      </c>
      <c r="B5740" t="s">
        <v>9</v>
      </c>
      <c r="C5740" t="s">
        <v>31</v>
      </c>
      <c r="D5740" t="s">
        <v>17</v>
      </c>
      <c r="E5740" t="s">
        <v>12</v>
      </c>
      <c r="F5740">
        <v>20611585</v>
      </c>
      <c r="G5740">
        <v>20611635</v>
      </c>
      <c r="H5740">
        <v>20611585</v>
      </c>
      <c r="I5740">
        <v>20611635</v>
      </c>
    </row>
    <row r="5741" spans="1:9" x14ac:dyDescent="0.2">
      <c r="A5741" t="str">
        <f>"Ece2"</f>
        <v>Ece2</v>
      </c>
      <c r="B5741" t="s">
        <v>13</v>
      </c>
      <c r="C5741" t="s">
        <v>31</v>
      </c>
      <c r="D5741" t="s">
        <v>17</v>
      </c>
      <c r="E5741" t="s">
        <v>12</v>
      </c>
      <c r="F5741">
        <v>20629842</v>
      </c>
      <c r="G5741">
        <v>20629894</v>
      </c>
      <c r="H5741">
        <v>20629842</v>
      </c>
      <c r="I5741">
        <v>20629894</v>
      </c>
    </row>
    <row r="5742" spans="1:9" x14ac:dyDescent="0.2">
      <c r="A5742" t="str">
        <f>"Ecel1"</f>
        <v>Ecel1</v>
      </c>
      <c r="B5742" t="s">
        <v>14</v>
      </c>
      <c r="C5742" t="s">
        <v>19</v>
      </c>
      <c r="D5742" t="s">
        <v>11</v>
      </c>
      <c r="E5742" t="s">
        <v>12</v>
      </c>
      <c r="F5742">
        <v>87156127</v>
      </c>
      <c r="G5742">
        <v>87156145</v>
      </c>
      <c r="H5742">
        <v>87156312</v>
      </c>
      <c r="I5742">
        <v>87156352</v>
      </c>
    </row>
    <row r="5743" spans="1:9" x14ac:dyDescent="0.2">
      <c r="A5743" t="str">
        <f>"Ech1"</f>
        <v>Ech1</v>
      </c>
      <c r="B5743" t="s">
        <v>14</v>
      </c>
      <c r="C5743" t="s">
        <v>33</v>
      </c>
      <c r="D5743" t="s">
        <v>17</v>
      </c>
      <c r="E5743" t="s">
        <v>12</v>
      </c>
      <c r="F5743">
        <v>28825318</v>
      </c>
      <c r="G5743">
        <v>28825363</v>
      </c>
      <c r="H5743">
        <v>28825301</v>
      </c>
      <c r="I5743">
        <v>28825314</v>
      </c>
    </row>
    <row r="5744" spans="1:9" x14ac:dyDescent="0.2">
      <c r="A5744" t="str">
        <f>"Echdc1"</f>
        <v>Echdc1</v>
      </c>
      <c r="B5744" t="s">
        <v>14</v>
      </c>
      <c r="C5744" t="s">
        <v>15</v>
      </c>
      <c r="D5744" t="s">
        <v>17</v>
      </c>
      <c r="E5744" t="s">
        <v>12</v>
      </c>
      <c r="F5744">
        <v>29313525</v>
      </c>
      <c r="G5744">
        <v>29313594</v>
      </c>
      <c r="H5744">
        <v>29313164</v>
      </c>
      <c r="I5744">
        <v>29313221</v>
      </c>
    </row>
    <row r="5745" spans="1:9" x14ac:dyDescent="0.2">
      <c r="A5745" t="str">
        <f>"Echdc2"</f>
        <v>Echdc2</v>
      </c>
      <c r="B5745" t="s">
        <v>14</v>
      </c>
      <c r="C5745" t="s">
        <v>23</v>
      </c>
      <c r="D5745" t="s">
        <v>17</v>
      </c>
      <c r="E5745" t="s">
        <v>12</v>
      </c>
      <c r="F5745">
        <v>108165449</v>
      </c>
      <c r="G5745">
        <v>108165524</v>
      </c>
      <c r="H5745">
        <v>108165432</v>
      </c>
      <c r="I5745">
        <v>108165441</v>
      </c>
    </row>
    <row r="5746" spans="1:9" x14ac:dyDescent="0.2">
      <c r="A5746" t="str">
        <f>"Echdc3"</f>
        <v>Echdc3</v>
      </c>
      <c r="B5746" t="s">
        <v>14</v>
      </c>
      <c r="C5746" t="s">
        <v>26</v>
      </c>
      <c r="D5746" t="s">
        <v>11</v>
      </c>
      <c r="E5746" t="s">
        <v>12</v>
      </c>
      <c r="F5746">
        <v>6212980</v>
      </c>
      <c r="G5746">
        <v>6213002</v>
      </c>
      <c r="H5746">
        <v>6213007</v>
      </c>
      <c r="I5746">
        <v>6213026</v>
      </c>
    </row>
    <row r="5747" spans="1:9" x14ac:dyDescent="0.2">
      <c r="A5747" t="str">
        <f>"Echs1"</f>
        <v>Echs1</v>
      </c>
      <c r="B5747" t="s">
        <v>14</v>
      </c>
      <c r="C5747" t="s">
        <v>33</v>
      </c>
      <c r="D5747" t="s">
        <v>11</v>
      </c>
      <c r="E5747" t="s">
        <v>12</v>
      </c>
      <c r="F5747">
        <v>140116395</v>
      </c>
      <c r="G5747">
        <v>140116428</v>
      </c>
      <c r="H5747">
        <v>140116395</v>
      </c>
      <c r="I5747">
        <v>140116428</v>
      </c>
    </row>
    <row r="5748" spans="1:9" x14ac:dyDescent="0.2">
      <c r="A5748" t="str">
        <f>"Eci1"</f>
        <v>Eci1</v>
      </c>
      <c r="B5748" t="s">
        <v>14</v>
      </c>
      <c r="C5748" t="s">
        <v>28</v>
      </c>
      <c r="D5748" t="s">
        <v>17</v>
      </c>
      <c r="E5748" t="s">
        <v>12</v>
      </c>
      <c r="F5748">
        <v>24426676</v>
      </c>
      <c r="G5748">
        <v>24426701</v>
      </c>
      <c r="H5748">
        <v>24426676</v>
      </c>
      <c r="I5748">
        <v>24426701</v>
      </c>
    </row>
    <row r="5749" spans="1:9" x14ac:dyDescent="0.2">
      <c r="A5749" t="str">
        <f>"Eci2"</f>
        <v>Eci2</v>
      </c>
      <c r="B5749" t="s">
        <v>14</v>
      </c>
      <c r="C5749" t="s">
        <v>39</v>
      </c>
      <c r="D5749" t="s">
        <v>11</v>
      </c>
      <c r="E5749" t="s">
        <v>12</v>
      </c>
      <c r="F5749">
        <v>34994103</v>
      </c>
      <c r="G5749">
        <v>34994148</v>
      </c>
      <c r="H5749">
        <v>34994062</v>
      </c>
      <c r="I5749">
        <v>34994086</v>
      </c>
    </row>
    <row r="5750" spans="1:9" x14ac:dyDescent="0.2">
      <c r="A5750" t="str">
        <f>"Eci3"</f>
        <v>Eci3</v>
      </c>
      <c r="B5750" t="s">
        <v>14</v>
      </c>
      <c r="C5750" t="s">
        <v>39</v>
      </c>
      <c r="D5750" t="s">
        <v>11</v>
      </c>
      <c r="E5750" t="s">
        <v>12</v>
      </c>
      <c r="F5750">
        <v>34963791</v>
      </c>
      <c r="G5750">
        <v>34963816</v>
      </c>
      <c r="H5750">
        <v>34963825</v>
      </c>
      <c r="I5750">
        <v>34963836</v>
      </c>
    </row>
    <row r="5751" spans="1:9" x14ac:dyDescent="0.2">
      <c r="A5751" t="str">
        <f>"Ecm1"</f>
        <v>Ecm1</v>
      </c>
      <c r="B5751" t="s">
        <v>14</v>
      </c>
      <c r="C5751" t="s">
        <v>22</v>
      </c>
      <c r="D5751" t="s">
        <v>11</v>
      </c>
      <c r="E5751" t="s">
        <v>12</v>
      </c>
      <c r="F5751">
        <v>95739554</v>
      </c>
      <c r="G5751">
        <v>95739576</v>
      </c>
      <c r="H5751">
        <v>95739554</v>
      </c>
      <c r="I5751">
        <v>95739576</v>
      </c>
    </row>
    <row r="5752" spans="1:9" x14ac:dyDescent="0.2">
      <c r="A5752" t="str">
        <f>"Ecm2"</f>
        <v>Ecm2</v>
      </c>
      <c r="B5752" t="s">
        <v>14</v>
      </c>
      <c r="C5752" t="s">
        <v>39</v>
      </c>
      <c r="D5752" t="s">
        <v>17</v>
      </c>
      <c r="E5752" t="s">
        <v>12</v>
      </c>
      <c r="F5752">
        <v>49504852</v>
      </c>
      <c r="G5752">
        <v>49504880</v>
      </c>
      <c r="H5752">
        <v>49504774</v>
      </c>
      <c r="I5752">
        <v>49504816</v>
      </c>
    </row>
    <row r="5753" spans="1:9" x14ac:dyDescent="0.2">
      <c r="A5753" t="str">
        <f>"Ecscr"</f>
        <v>Ecscr</v>
      </c>
      <c r="B5753" t="s">
        <v>14</v>
      </c>
      <c r="C5753" t="s">
        <v>43</v>
      </c>
      <c r="D5753" t="s">
        <v>11</v>
      </c>
      <c r="E5753" t="s">
        <v>12</v>
      </c>
      <c r="F5753">
        <v>35722330</v>
      </c>
      <c r="G5753">
        <v>35722381</v>
      </c>
      <c r="H5753">
        <v>35722311</v>
      </c>
      <c r="I5753">
        <v>35722327</v>
      </c>
    </row>
    <row r="5754" spans="1:9" x14ac:dyDescent="0.2">
      <c r="A5754" t="str">
        <f>"Ecsit"</f>
        <v>Ecsit</v>
      </c>
      <c r="B5754" t="s">
        <v>14</v>
      </c>
      <c r="C5754" t="s">
        <v>24</v>
      </c>
      <c r="D5754" t="s">
        <v>11</v>
      </c>
      <c r="E5754" t="s">
        <v>12</v>
      </c>
      <c r="F5754">
        <v>22085391</v>
      </c>
      <c r="G5754">
        <v>22085443</v>
      </c>
      <c r="H5754">
        <v>22085380</v>
      </c>
      <c r="I5754">
        <v>22085389</v>
      </c>
    </row>
    <row r="5755" spans="1:9" x14ac:dyDescent="0.2">
      <c r="A5755" t="str">
        <f>"Ect2"</f>
        <v>Ect2</v>
      </c>
      <c r="B5755" t="s">
        <v>14</v>
      </c>
      <c r="C5755" t="s">
        <v>22</v>
      </c>
      <c r="D5755" t="s">
        <v>11</v>
      </c>
      <c r="E5755" t="s">
        <v>12</v>
      </c>
      <c r="F5755">
        <v>27153806</v>
      </c>
      <c r="G5755">
        <v>27153842</v>
      </c>
      <c r="H5755">
        <v>27153844</v>
      </c>
      <c r="I5755">
        <v>27153855</v>
      </c>
    </row>
    <row r="5756" spans="1:9" x14ac:dyDescent="0.2">
      <c r="A5756" t="str">
        <f>"Ect2l"</f>
        <v>Ect2l</v>
      </c>
      <c r="B5756" t="s">
        <v>14</v>
      </c>
      <c r="C5756" t="s">
        <v>15</v>
      </c>
      <c r="D5756" t="s">
        <v>11</v>
      </c>
      <c r="E5756" t="s">
        <v>12</v>
      </c>
      <c r="F5756">
        <v>18210821</v>
      </c>
      <c r="G5756">
        <v>18210831</v>
      </c>
      <c r="H5756">
        <v>18210872</v>
      </c>
      <c r="I5756">
        <v>18210879</v>
      </c>
    </row>
    <row r="5757" spans="1:9" x14ac:dyDescent="0.2">
      <c r="A5757" t="str">
        <f>"Eda"</f>
        <v>Eda</v>
      </c>
      <c r="B5757" t="s">
        <v>14</v>
      </c>
      <c r="C5757" t="s">
        <v>37</v>
      </c>
      <c r="D5757" t="s">
        <v>17</v>
      </c>
      <c r="E5757" t="s">
        <v>12</v>
      </c>
      <c r="F5757">
        <v>99975570</v>
      </c>
      <c r="G5757">
        <v>99975649</v>
      </c>
      <c r="H5757">
        <v>99975656</v>
      </c>
      <c r="I5757">
        <v>99975666</v>
      </c>
    </row>
    <row r="5758" spans="1:9" x14ac:dyDescent="0.2">
      <c r="A5758" t="str">
        <f>"Eda2r"</f>
        <v>Eda2r</v>
      </c>
      <c r="B5758" t="s">
        <v>14</v>
      </c>
      <c r="C5758" t="s">
        <v>37</v>
      </c>
      <c r="D5758" t="s">
        <v>11</v>
      </c>
      <c r="E5758" t="s">
        <v>12</v>
      </c>
      <c r="F5758">
        <v>97377163</v>
      </c>
      <c r="G5758">
        <v>97377187</v>
      </c>
      <c r="H5758">
        <v>97377190</v>
      </c>
      <c r="I5758">
        <v>97377195</v>
      </c>
    </row>
    <row r="5759" spans="1:9" x14ac:dyDescent="0.2">
      <c r="A5759" t="str">
        <f>"Edar"</f>
        <v>Edar</v>
      </c>
      <c r="B5759" t="s">
        <v>14</v>
      </c>
      <c r="C5759" t="s">
        <v>15</v>
      </c>
      <c r="D5759" t="s">
        <v>11</v>
      </c>
      <c r="E5759" t="s">
        <v>12</v>
      </c>
      <c r="F5759">
        <v>58675689</v>
      </c>
      <c r="G5759">
        <v>58675713</v>
      </c>
      <c r="H5759">
        <v>58675631</v>
      </c>
      <c r="I5759">
        <v>58675654</v>
      </c>
    </row>
    <row r="5760" spans="1:9" x14ac:dyDescent="0.2">
      <c r="A5760" t="str">
        <f>"Edaradd"</f>
        <v>Edaradd</v>
      </c>
      <c r="B5760" t="s">
        <v>14</v>
      </c>
      <c r="C5760" t="s">
        <v>39</v>
      </c>
      <c r="D5760" t="s">
        <v>11</v>
      </c>
      <c r="E5760" t="s">
        <v>12</v>
      </c>
      <c r="F5760">
        <v>12520054</v>
      </c>
      <c r="G5760">
        <v>12520097</v>
      </c>
      <c r="H5760">
        <v>12520377</v>
      </c>
      <c r="I5760">
        <v>12520417</v>
      </c>
    </row>
    <row r="5761" spans="1:9" x14ac:dyDescent="0.2">
      <c r="A5761" t="str">
        <f>"Edc3"</f>
        <v>Edc3</v>
      </c>
      <c r="B5761" t="s">
        <v>14</v>
      </c>
      <c r="C5761" t="s">
        <v>24</v>
      </c>
      <c r="D5761" t="s">
        <v>17</v>
      </c>
      <c r="E5761" t="s">
        <v>12</v>
      </c>
      <c r="F5761">
        <v>57708534</v>
      </c>
      <c r="G5761">
        <v>57708608</v>
      </c>
      <c r="H5761">
        <v>57708631</v>
      </c>
      <c r="I5761">
        <v>57708661</v>
      </c>
    </row>
    <row r="5762" spans="1:9" x14ac:dyDescent="0.2">
      <c r="A5762" t="str">
        <f>"Edc4"</f>
        <v>Edc4</v>
      </c>
      <c r="B5762" t="s">
        <v>14</v>
      </c>
      <c r="C5762" t="s">
        <v>30</v>
      </c>
      <c r="D5762" t="s">
        <v>17</v>
      </c>
      <c r="E5762" t="s">
        <v>12</v>
      </c>
      <c r="F5762">
        <v>105880875</v>
      </c>
      <c r="G5762">
        <v>105880939</v>
      </c>
      <c r="H5762">
        <v>105880875</v>
      </c>
      <c r="I5762">
        <v>105880939</v>
      </c>
    </row>
    <row r="5763" spans="1:9" x14ac:dyDescent="0.2">
      <c r="A5763" t="str">
        <f>"Eddm3b"</f>
        <v>Eddm3b</v>
      </c>
      <c r="B5763" t="s">
        <v>14</v>
      </c>
      <c r="C5763" t="s">
        <v>41</v>
      </c>
      <c r="D5763" t="s">
        <v>17</v>
      </c>
      <c r="E5763" t="s">
        <v>12</v>
      </c>
      <c r="F5763">
        <v>51114423</v>
      </c>
      <c r="G5763">
        <v>51114446</v>
      </c>
      <c r="H5763">
        <v>51114368</v>
      </c>
      <c r="I5763">
        <v>51114379</v>
      </c>
    </row>
    <row r="5764" spans="1:9" x14ac:dyDescent="0.2">
      <c r="A5764" t="str">
        <f>"Edem1"</f>
        <v>Edem1</v>
      </c>
      <c r="B5764" t="s">
        <v>14</v>
      </c>
      <c r="C5764" t="s">
        <v>32</v>
      </c>
      <c r="D5764" t="s">
        <v>17</v>
      </c>
      <c r="E5764" t="s">
        <v>12</v>
      </c>
      <c r="F5764">
        <v>108828633</v>
      </c>
      <c r="G5764">
        <v>108828721</v>
      </c>
      <c r="H5764">
        <v>108828734</v>
      </c>
      <c r="I5764">
        <v>108828744</v>
      </c>
    </row>
    <row r="5765" spans="1:9" x14ac:dyDescent="0.2">
      <c r="A5765" t="str">
        <f>"Edem2"</f>
        <v>Edem2</v>
      </c>
      <c r="B5765" t="s">
        <v>14</v>
      </c>
      <c r="C5765" t="s">
        <v>26</v>
      </c>
      <c r="D5765" t="s">
        <v>11</v>
      </c>
      <c r="E5765" t="s">
        <v>12</v>
      </c>
      <c r="F5765">
        <v>155729359</v>
      </c>
      <c r="G5765">
        <v>155729443</v>
      </c>
      <c r="H5765">
        <v>155729359</v>
      </c>
      <c r="I5765">
        <v>155729443</v>
      </c>
    </row>
    <row r="5766" spans="1:9" x14ac:dyDescent="0.2">
      <c r="A5766" t="str">
        <f>"Edem3"</f>
        <v>Edem3</v>
      </c>
      <c r="B5766" t="s">
        <v>14</v>
      </c>
      <c r="C5766" t="s">
        <v>19</v>
      </c>
      <c r="D5766" t="s">
        <v>17</v>
      </c>
      <c r="E5766" t="s">
        <v>12</v>
      </c>
      <c r="F5766">
        <v>151755339</v>
      </c>
      <c r="G5766">
        <v>151755393</v>
      </c>
      <c r="H5766">
        <v>151755409</v>
      </c>
      <c r="I5766">
        <v>151755441</v>
      </c>
    </row>
    <row r="5767" spans="1:9" x14ac:dyDescent="0.2">
      <c r="A5767" t="str">
        <f>"Edf1"</f>
        <v>Edf1</v>
      </c>
      <c r="B5767" t="s">
        <v>14</v>
      </c>
      <c r="C5767" t="s">
        <v>26</v>
      </c>
      <c r="D5767" t="s">
        <v>17</v>
      </c>
      <c r="E5767" t="s">
        <v>12</v>
      </c>
      <c r="F5767">
        <v>25557861</v>
      </c>
      <c r="G5767">
        <v>25557923</v>
      </c>
      <c r="H5767">
        <v>25557784</v>
      </c>
      <c r="I5767">
        <v>25557785</v>
      </c>
    </row>
    <row r="5768" spans="1:9" x14ac:dyDescent="0.2">
      <c r="A5768" t="str">
        <f>"Edil3"</f>
        <v>Edil3</v>
      </c>
      <c r="B5768" t="s">
        <v>14</v>
      </c>
      <c r="C5768" t="s">
        <v>39</v>
      </c>
      <c r="D5768" t="s">
        <v>17</v>
      </c>
      <c r="E5768" t="s">
        <v>12</v>
      </c>
      <c r="F5768">
        <v>88821474</v>
      </c>
      <c r="G5768">
        <v>88821520</v>
      </c>
      <c r="H5768">
        <v>88821543</v>
      </c>
      <c r="I5768">
        <v>88821580</v>
      </c>
    </row>
    <row r="5769" spans="1:9" x14ac:dyDescent="0.2">
      <c r="A5769" t="str">
        <f>"Edn1"</f>
        <v>Edn1</v>
      </c>
      <c r="B5769" t="s">
        <v>14</v>
      </c>
      <c r="C5769" t="s">
        <v>39</v>
      </c>
      <c r="D5769" t="s">
        <v>17</v>
      </c>
      <c r="E5769" t="s">
        <v>12</v>
      </c>
      <c r="F5769">
        <v>42301612</v>
      </c>
      <c r="G5769">
        <v>42301626</v>
      </c>
      <c r="H5769">
        <v>42301612</v>
      </c>
      <c r="I5769">
        <v>42301626</v>
      </c>
    </row>
    <row r="5770" spans="1:9" x14ac:dyDescent="0.2">
      <c r="A5770" t="str">
        <f>"Edn2"</f>
        <v>Edn2</v>
      </c>
      <c r="B5770" t="s">
        <v>14</v>
      </c>
      <c r="C5770" t="s">
        <v>23</v>
      </c>
      <c r="D5770" t="s">
        <v>17</v>
      </c>
      <c r="E5770" t="s">
        <v>12</v>
      </c>
      <c r="F5770">
        <v>120161419</v>
      </c>
      <c r="G5770">
        <v>120161425</v>
      </c>
      <c r="H5770">
        <v>120161419</v>
      </c>
      <c r="I5770">
        <v>120161425</v>
      </c>
    </row>
    <row r="5771" spans="1:9" x14ac:dyDescent="0.2">
      <c r="A5771" t="str">
        <f>"Edn3"</f>
        <v>Edn3</v>
      </c>
      <c r="B5771" t="s">
        <v>14</v>
      </c>
      <c r="C5771" t="s">
        <v>26</v>
      </c>
      <c r="D5771" t="s">
        <v>17</v>
      </c>
      <c r="E5771" t="s">
        <v>12</v>
      </c>
      <c r="F5771">
        <v>174760781</v>
      </c>
      <c r="G5771">
        <v>174760796</v>
      </c>
      <c r="H5771">
        <v>174760752</v>
      </c>
      <c r="I5771">
        <v>174760780</v>
      </c>
    </row>
    <row r="5772" spans="1:9" x14ac:dyDescent="0.2">
      <c r="A5772" t="str">
        <f>"Ednra"</f>
        <v>Ednra</v>
      </c>
      <c r="B5772" t="s">
        <v>14</v>
      </c>
      <c r="C5772" t="s">
        <v>30</v>
      </c>
      <c r="D5772" t="s">
        <v>11</v>
      </c>
      <c r="E5772" t="s">
        <v>12</v>
      </c>
      <c r="F5772">
        <v>77724426</v>
      </c>
      <c r="G5772">
        <v>77724483</v>
      </c>
      <c r="H5772">
        <v>77724332</v>
      </c>
      <c r="I5772">
        <v>77724359</v>
      </c>
    </row>
    <row r="5773" spans="1:9" x14ac:dyDescent="0.2">
      <c r="A5773" t="str">
        <f>"Ednrb"</f>
        <v>Ednrb</v>
      </c>
      <c r="B5773" t="s">
        <v>14</v>
      </c>
      <c r="C5773" t="s">
        <v>41</v>
      </c>
      <c r="D5773" t="s">
        <v>11</v>
      </c>
      <c r="E5773" t="s">
        <v>12</v>
      </c>
      <c r="F5773">
        <v>103843685</v>
      </c>
      <c r="G5773">
        <v>103843703</v>
      </c>
      <c r="H5773">
        <v>103844314</v>
      </c>
      <c r="I5773">
        <v>103844340</v>
      </c>
    </row>
    <row r="5774" spans="1:9" x14ac:dyDescent="0.2">
      <c r="A5774" t="str">
        <f>"Eea1"</f>
        <v>Eea1</v>
      </c>
      <c r="B5774" t="s">
        <v>14</v>
      </c>
      <c r="C5774" t="s">
        <v>15</v>
      </c>
      <c r="D5774" t="s">
        <v>17</v>
      </c>
      <c r="E5774" t="s">
        <v>12</v>
      </c>
      <c r="F5774">
        <v>95940704</v>
      </c>
      <c r="G5774">
        <v>95940772</v>
      </c>
      <c r="H5774">
        <v>95940681</v>
      </c>
      <c r="I5774">
        <v>95940703</v>
      </c>
    </row>
    <row r="5775" spans="1:9" x14ac:dyDescent="0.2">
      <c r="A5775" t="str">
        <f>"Eed"</f>
        <v>Eed</v>
      </c>
      <c r="B5775" t="s">
        <v>14</v>
      </c>
      <c r="C5775" t="s">
        <v>33</v>
      </c>
      <c r="D5775" t="s">
        <v>11</v>
      </c>
      <c r="E5775" t="s">
        <v>12</v>
      </c>
      <c r="F5775">
        <v>89980935</v>
      </c>
      <c r="G5775">
        <v>89981009</v>
      </c>
      <c r="H5775">
        <v>89980504</v>
      </c>
      <c r="I5775">
        <v>89980586</v>
      </c>
    </row>
    <row r="5776" spans="1:9" x14ac:dyDescent="0.2">
      <c r="A5776" t="str">
        <f>"Eef1a1"</f>
        <v>Eef1a1</v>
      </c>
      <c r="B5776" t="s">
        <v>14</v>
      </c>
      <c r="C5776" t="s">
        <v>24</v>
      </c>
      <c r="D5776" t="s">
        <v>11</v>
      </c>
      <c r="E5776" t="s">
        <v>12</v>
      </c>
      <c r="F5776">
        <v>78481657</v>
      </c>
      <c r="G5776">
        <v>78481714</v>
      </c>
      <c r="H5776">
        <v>78481724</v>
      </c>
      <c r="I5776">
        <v>78481751</v>
      </c>
    </row>
    <row r="5777" spans="1:9" x14ac:dyDescent="0.2">
      <c r="A5777" t="str">
        <f>"Eef1a2"</f>
        <v>Eef1a2</v>
      </c>
      <c r="B5777" t="s">
        <v>14</v>
      </c>
      <c r="C5777" t="s">
        <v>26</v>
      </c>
      <c r="D5777" t="s">
        <v>11</v>
      </c>
      <c r="E5777" t="s">
        <v>12</v>
      </c>
      <c r="F5777">
        <v>181156742</v>
      </c>
      <c r="G5777">
        <v>181156757</v>
      </c>
      <c r="H5777">
        <v>181156993</v>
      </c>
      <c r="I5777">
        <v>181157017</v>
      </c>
    </row>
    <row r="5778" spans="1:9" x14ac:dyDescent="0.2">
      <c r="A5778" t="str">
        <f>"Eef1b2"</f>
        <v>Eef1b2</v>
      </c>
      <c r="B5778" t="s">
        <v>14</v>
      </c>
      <c r="C5778" t="s">
        <v>19</v>
      </c>
      <c r="D5778" t="s">
        <v>17</v>
      </c>
      <c r="E5778" t="s">
        <v>12</v>
      </c>
      <c r="F5778">
        <v>63177119</v>
      </c>
      <c r="G5778">
        <v>63177145</v>
      </c>
      <c r="H5778">
        <v>63176818</v>
      </c>
      <c r="I5778">
        <v>63176919</v>
      </c>
    </row>
    <row r="5779" spans="1:9" x14ac:dyDescent="0.2">
      <c r="A5779" t="str">
        <f>"Eef1d"</f>
        <v>Eef1d</v>
      </c>
      <c r="B5779" t="s">
        <v>14</v>
      </c>
      <c r="C5779" t="s">
        <v>25</v>
      </c>
      <c r="D5779" t="s">
        <v>11</v>
      </c>
      <c r="E5779" t="s">
        <v>12</v>
      </c>
      <c r="F5779">
        <v>75909289</v>
      </c>
      <c r="G5779">
        <v>75909311</v>
      </c>
      <c r="H5779">
        <v>75909319</v>
      </c>
      <c r="I5779">
        <v>75909330</v>
      </c>
    </row>
    <row r="5780" spans="1:9" x14ac:dyDescent="0.2">
      <c r="A5780" t="str">
        <f>"Eef1e1"</f>
        <v>Eef1e1</v>
      </c>
      <c r="B5780" t="s">
        <v>14</v>
      </c>
      <c r="C5780" t="s">
        <v>39</v>
      </c>
      <c r="D5780" t="s">
        <v>11</v>
      </c>
      <c r="E5780" t="s">
        <v>12</v>
      </c>
      <c r="F5780">
        <v>38658991</v>
      </c>
      <c r="G5780">
        <v>38659038</v>
      </c>
      <c r="H5780">
        <v>38658991</v>
      </c>
      <c r="I5780">
        <v>38659038</v>
      </c>
    </row>
    <row r="5781" spans="1:9" x14ac:dyDescent="0.2">
      <c r="A5781" t="str">
        <f>"Eef1g"</f>
        <v>Eef1g</v>
      </c>
      <c r="B5781" t="s">
        <v>14</v>
      </c>
      <c r="C5781" t="s">
        <v>10</v>
      </c>
      <c r="D5781" t="s">
        <v>17</v>
      </c>
      <c r="E5781" t="s">
        <v>12</v>
      </c>
      <c r="F5781">
        <v>8967109</v>
      </c>
      <c r="G5781">
        <v>8967171</v>
      </c>
      <c r="H5781">
        <v>8967175</v>
      </c>
      <c r="I5781">
        <v>8967208</v>
      </c>
    </row>
    <row r="5782" spans="1:9" x14ac:dyDescent="0.2">
      <c r="A5782" t="str">
        <f>"Eef2"</f>
        <v>Eef2</v>
      </c>
      <c r="B5782" t="s">
        <v>9</v>
      </c>
      <c r="C5782" t="s">
        <v>15</v>
      </c>
      <c r="D5782" t="s">
        <v>17</v>
      </c>
      <c r="E5782" t="s">
        <v>12</v>
      </c>
      <c r="F5782">
        <v>81176643</v>
      </c>
      <c r="G5782">
        <v>81176648</v>
      </c>
      <c r="H5782">
        <v>81176643</v>
      </c>
      <c r="I5782">
        <v>81176648</v>
      </c>
    </row>
    <row r="5783" spans="1:9" x14ac:dyDescent="0.2">
      <c r="A5783" t="str">
        <f>"Eef2"</f>
        <v>Eef2</v>
      </c>
      <c r="B5783" t="s">
        <v>13</v>
      </c>
      <c r="C5783" t="s">
        <v>15</v>
      </c>
      <c r="D5783" t="s">
        <v>17</v>
      </c>
      <c r="E5783" t="s">
        <v>12</v>
      </c>
      <c r="F5783">
        <v>81177696</v>
      </c>
      <c r="G5783">
        <v>81177708</v>
      </c>
      <c r="H5783">
        <v>81177696</v>
      </c>
      <c r="I5783">
        <v>81177708</v>
      </c>
    </row>
    <row r="5784" spans="1:9" x14ac:dyDescent="0.2">
      <c r="A5784" t="str">
        <f>"Eef2k"</f>
        <v>Eef2k</v>
      </c>
      <c r="B5784" t="s">
        <v>14</v>
      </c>
      <c r="C5784" t="s">
        <v>33</v>
      </c>
      <c r="D5784" t="s">
        <v>17</v>
      </c>
      <c r="E5784" t="s">
        <v>12</v>
      </c>
      <c r="F5784">
        <v>120842838</v>
      </c>
      <c r="G5784">
        <v>120842910</v>
      </c>
      <c r="H5784">
        <v>120842824</v>
      </c>
      <c r="I5784">
        <v>120842836</v>
      </c>
    </row>
    <row r="5785" spans="1:9" x14ac:dyDescent="0.2">
      <c r="A5785" t="str">
        <f>"Eefsec"</f>
        <v>Eefsec</v>
      </c>
      <c r="B5785" t="s">
        <v>14</v>
      </c>
      <c r="C5785" t="s">
        <v>32</v>
      </c>
      <c r="D5785" t="s">
        <v>11</v>
      </c>
      <c r="E5785" t="s">
        <v>12</v>
      </c>
      <c r="F5785">
        <v>88446491</v>
      </c>
      <c r="G5785">
        <v>88446539</v>
      </c>
      <c r="H5785">
        <v>88446485</v>
      </c>
      <c r="I5785">
        <v>88446490</v>
      </c>
    </row>
    <row r="5786" spans="1:9" x14ac:dyDescent="0.2">
      <c r="A5786" t="str">
        <f>"Eepd1"</f>
        <v>Eepd1</v>
      </c>
      <c r="B5786" t="s">
        <v>14</v>
      </c>
      <c r="C5786" t="s">
        <v>24</v>
      </c>
      <c r="D5786" t="s">
        <v>17</v>
      </c>
      <c r="E5786" t="s">
        <v>12</v>
      </c>
      <c r="F5786">
        <v>25481590</v>
      </c>
      <c r="G5786">
        <v>25481612</v>
      </c>
      <c r="H5786">
        <v>25481552</v>
      </c>
      <c r="I5786">
        <v>25481561</v>
      </c>
    </row>
    <row r="5787" spans="1:9" x14ac:dyDescent="0.2">
      <c r="A5787" t="str">
        <f>"Efcab1"</f>
        <v>Efcab1</v>
      </c>
      <c r="B5787" t="s">
        <v>14</v>
      </c>
      <c r="C5787" t="s">
        <v>31</v>
      </c>
      <c r="D5787" t="s">
        <v>17</v>
      </c>
      <c r="E5787" t="s">
        <v>12</v>
      </c>
      <c r="F5787">
        <v>14906622</v>
      </c>
      <c r="G5787">
        <v>14906680</v>
      </c>
      <c r="H5787">
        <v>14906622</v>
      </c>
      <c r="I5787">
        <v>14906680</v>
      </c>
    </row>
    <row r="5788" spans="1:9" x14ac:dyDescent="0.2">
      <c r="A5788" t="str">
        <f>"Efcab10"</f>
        <v>Efcab10</v>
      </c>
      <c r="B5788" t="s">
        <v>14</v>
      </c>
      <c r="C5788" t="s">
        <v>16</v>
      </c>
      <c r="D5788" t="s">
        <v>17</v>
      </c>
      <c r="E5788" t="s">
        <v>12</v>
      </c>
      <c r="F5788">
        <v>33395050</v>
      </c>
      <c r="G5788">
        <v>33395090</v>
      </c>
      <c r="H5788">
        <v>33394815</v>
      </c>
      <c r="I5788">
        <v>33394824</v>
      </c>
    </row>
    <row r="5789" spans="1:9" x14ac:dyDescent="0.2">
      <c r="A5789" t="str">
        <f>"Efcab11"</f>
        <v>Efcab11</v>
      </c>
      <c r="B5789" t="s">
        <v>14</v>
      </c>
      <c r="C5789" t="s">
        <v>16</v>
      </c>
      <c r="D5789" t="s">
        <v>11</v>
      </c>
      <c r="E5789" t="s">
        <v>67</v>
      </c>
      <c r="F5789">
        <v>99883401</v>
      </c>
      <c r="G5789">
        <v>99883428</v>
      </c>
      <c r="H5789">
        <v>99883429</v>
      </c>
      <c r="I5789">
        <v>99883460</v>
      </c>
    </row>
    <row r="5790" spans="1:9" x14ac:dyDescent="0.2">
      <c r="A5790" t="str">
        <f>"Efcab12"</f>
        <v>Efcab12</v>
      </c>
      <c r="B5790" t="s">
        <v>14</v>
      </c>
      <c r="C5790" t="s">
        <v>32</v>
      </c>
      <c r="D5790" t="s">
        <v>11</v>
      </c>
      <c r="E5790" t="s">
        <v>67</v>
      </c>
      <c r="F5790">
        <v>115838436</v>
      </c>
      <c r="G5790">
        <v>115838480</v>
      </c>
      <c r="H5790">
        <v>115838436</v>
      </c>
      <c r="I5790">
        <v>115838480</v>
      </c>
    </row>
    <row r="5791" spans="1:9" x14ac:dyDescent="0.2">
      <c r="A5791" t="str">
        <f>"Efcab14"</f>
        <v>Efcab14</v>
      </c>
      <c r="B5791" t="s">
        <v>14</v>
      </c>
      <c r="C5791" t="s">
        <v>23</v>
      </c>
      <c r="D5791" t="s">
        <v>17</v>
      </c>
      <c r="E5791" t="s">
        <v>67</v>
      </c>
      <c r="F5791">
        <v>115737754</v>
      </c>
      <c r="G5791">
        <v>115737810</v>
      </c>
      <c r="H5791">
        <v>115737738</v>
      </c>
      <c r="I5791">
        <v>115737752</v>
      </c>
    </row>
    <row r="5792" spans="1:9" x14ac:dyDescent="0.2">
      <c r="A5792" t="str">
        <f>"Efcab2"</f>
        <v>Efcab2</v>
      </c>
      <c r="B5792" t="s">
        <v>14</v>
      </c>
      <c r="C5792" t="s">
        <v>19</v>
      </c>
      <c r="D5792" t="s">
        <v>17</v>
      </c>
      <c r="E5792" t="s">
        <v>12</v>
      </c>
      <c r="F5792">
        <v>178406072</v>
      </c>
      <c r="G5792">
        <v>178406105</v>
      </c>
      <c r="H5792">
        <v>178406072</v>
      </c>
      <c r="I5792">
        <v>178406105</v>
      </c>
    </row>
    <row r="5793" spans="1:9" x14ac:dyDescent="0.2">
      <c r="A5793" t="str">
        <f>"Efcab3"</f>
        <v>Efcab3</v>
      </c>
      <c r="B5793" t="s">
        <v>14</v>
      </c>
      <c r="C5793" t="s">
        <v>27</v>
      </c>
      <c r="D5793" t="s">
        <v>17</v>
      </c>
      <c r="E5793" t="s">
        <v>12</v>
      </c>
      <c r="F5793">
        <v>105092213</v>
      </c>
      <c r="G5793">
        <v>105092244</v>
      </c>
      <c r="H5793">
        <v>105092213</v>
      </c>
      <c r="I5793">
        <v>105092244</v>
      </c>
    </row>
    <row r="5794" spans="1:9" x14ac:dyDescent="0.2">
      <c r="A5794" t="str">
        <f>"Efcab4a"</f>
        <v>Efcab4a</v>
      </c>
      <c r="B5794" t="s">
        <v>14</v>
      </c>
      <c r="C5794" t="s">
        <v>33</v>
      </c>
      <c r="D5794" t="s">
        <v>17</v>
      </c>
      <c r="E5794" t="s">
        <v>12</v>
      </c>
      <c r="F5794">
        <v>141461105</v>
      </c>
      <c r="G5794">
        <v>141461137</v>
      </c>
      <c r="H5794">
        <v>141461728</v>
      </c>
      <c r="I5794">
        <v>141461757</v>
      </c>
    </row>
    <row r="5795" spans="1:9" x14ac:dyDescent="0.2">
      <c r="A5795" t="str">
        <f>"Efcab4b"</f>
        <v>Efcab4b</v>
      </c>
      <c r="B5795" t="s">
        <v>14</v>
      </c>
      <c r="C5795" t="s">
        <v>32</v>
      </c>
      <c r="D5795" t="s">
        <v>17</v>
      </c>
      <c r="E5795" t="s">
        <v>12</v>
      </c>
      <c r="F5795">
        <v>127577981</v>
      </c>
      <c r="G5795">
        <v>127578000</v>
      </c>
      <c r="H5795">
        <v>127577945</v>
      </c>
      <c r="I5795">
        <v>127577957</v>
      </c>
    </row>
    <row r="5796" spans="1:9" x14ac:dyDescent="0.2">
      <c r="A5796" t="str">
        <f>"Efcab5"</f>
        <v>Efcab5</v>
      </c>
      <c r="B5796" t="s">
        <v>14</v>
      </c>
      <c r="C5796" t="s">
        <v>27</v>
      </c>
      <c r="D5796" t="s">
        <v>11</v>
      </c>
      <c r="E5796" t="s">
        <v>12</v>
      </c>
      <c r="F5796">
        <v>77188921</v>
      </c>
      <c r="G5796">
        <v>77188968</v>
      </c>
      <c r="H5796">
        <v>77188921</v>
      </c>
      <c r="I5796">
        <v>77188968</v>
      </c>
    </row>
    <row r="5797" spans="1:9" x14ac:dyDescent="0.2">
      <c r="A5797" t="str">
        <f>"Efcab6"</f>
        <v>Efcab6</v>
      </c>
      <c r="B5797" t="s">
        <v>2415</v>
      </c>
      <c r="C5797" t="s">
        <v>25</v>
      </c>
      <c r="D5797" t="s">
        <v>11</v>
      </c>
      <c r="E5797" t="s">
        <v>35</v>
      </c>
      <c r="F5797">
        <v>84065392</v>
      </c>
      <c r="G5797">
        <v>84065402</v>
      </c>
      <c r="H5797">
        <v>84065319</v>
      </c>
      <c r="I5797">
        <v>84065324</v>
      </c>
    </row>
    <row r="5798" spans="1:9" x14ac:dyDescent="0.2">
      <c r="A5798" t="str">
        <f>"Efcab7"</f>
        <v>Efcab7</v>
      </c>
      <c r="B5798" t="s">
        <v>14</v>
      </c>
      <c r="C5798" t="s">
        <v>23</v>
      </c>
      <c r="D5798" t="s">
        <v>17</v>
      </c>
      <c r="E5798" t="s">
        <v>12</v>
      </c>
      <c r="F5798">
        <v>99829437</v>
      </c>
      <c r="G5798">
        <v>99829462</v>
      </c>
      <c r="H5798">
        <v>99829191</v>
      </c>
      <c r="I5798">
        <v>99829221</v>
      </c>
    </row>
    <row r="5799" spans="1:9" x14ac:dyDescent="0.2">
      <c r="A5799" t="str">
        <f>"Efcab8"</f>
        <v>Efcab8</v>
      </c>
      <c r="B5799" t="s">
        <v>2416</v>
      </c>
      <c r="C5799" t="s">
        <v>26</v>
      </c>
      <c r="D5799" t="s">
        <v>17</v>
      </c>
      <c r="E5799" t="s">
        <v>20</v>
      </c>
      <c r="F5799">
        <v>153780878</v>
      </c>
      <c r="G5799">
        <v>153780878</v>
      </c>
      <c r="H5799">
        <v>153780878</v>
      </c>
      <c r="I5799">
        <v>153780878</v>
      </c>
    </row>
    <row r="5800" spans="1:9" x14ac:dyDescent="0.2">
      <c r="A5800" t="str">
        <f>"Efcab9"</f>
        <v>Efcab9</v>
      </c>
      <c r="B5800" t="s">
        <v>14</v>
      </c>
      <c r="C5800" t="s">
        <v>27</v>
      </c>
      <c r="D5800" t="s">
        <v>11</v>
      </c>
      <c r="E5800" t="s">
        <v>12</v>
      </c>
      <c r="F5800">
        <v>32527551</v>
      </c>
      <c r="G5800">
        <v>32527579</v>
      </c>
      <c r="H5800">
        <v>32527541</v>
      </c>
      <c r="I5800">
        <v>32527550</v>
      </c>
    </row>
    <row r="5801" spans="1:9" x14ac:dyDescent="0.2">
      <c r="A5801" t="str">
        <f>"Efcc1"</f>
        <v>Efcc1</v>
      </c>
      <c r="B5801" t="s">
        <v>14</v>
      </c>
      <c r="C5801" t="s">
        <v>32</v>
      </c>
      <c r="D5801" t="s">
        <v>17</v>
      </c>
      <c r="E5801" t="s">
        <v>67</v>
      </c>
      <c r="F5801">
        <v>87730826</v>
      </c>
      <c r="G5801">
        <v>87730858</v>
      </c>
      <c r="H5801">
        <v>87730859</v>
      </c>
      <c r="I5801">
        <v>87730887</v>
      </c>
    </row>
    <row r="5802" spans="1:9" x14ac:dyDescent="0.2">
      <c r="A5802" t="str">
        <f>"Efemp1"</f>
        <v>Efemp1</v>
      </c>
      <c r="B5802" t="s">
        <v>14</v>
      </c>
      <c r="C5802" t="s">
        <v>27</v>
      </c>
      <c r="D5802" t="s">
        <v>17</v>
      </c>
      <c r="E5802" t="s">
        <v>12</v>
      </c>
      <c r="F5802">
        <v>28853189</v>
      </c>
      <c r="G5802">
        <v>28853259</v>
      </c>
      <c r="H5802">
        <v>28853189</v>
      </c>
      <c r="I5802">
        <v>28853259</v>
      </c>
    </row>
    <row r="5803" spans="1:9" x14ac:dyDescent="0.2">
      <c r="A5803" t="str">
        <f>"Efemp2"</f>
        <v>Efemp2</v>
      </c>
      <c r="B5803" t="s">
        <v>14</v>
      </c>
      <c r="C5803" t="s">
        <v>10</v>
      </c>
      <c r="D5803" t="s">
        <v>17</v>
      </c>
      <c r="E5803" t="s">
        <v>12</v>
      </c>
      <c r="F5803">
        <v>5474681</v>
      </c>
      <c r="G5803">
        <v>5474775</v>
      </c>
      <c r="H5803">
        <v>5474617</v>
      </c>
      <c r="I5803">
        <v>5474644</v>
      </c>
    </row>
    <row r="5804" spans="1:9" x14ac:dyDescent="0.2">
      <c r="A5804" t="str">
        <f>"Efhb"</f>
        <v>Efhb</v>
      </c>
      <c r="B5804" t="s">
        <v>14</v>
      </c>
      <c r="C5804" t="s">
        <v>28</v>
      </c>
      <c r="D5804" t="s">
        <v>11</v>
      </c>
      <c r="E5804" t="s">
        <v>12</v>
      </c>
      <c r="F5804">
        <v>53463315</v>
      </c>
      <c r="G5804">
        <v>53463340</v>
      </c>
      <c r="H5804">
        <v>53463296</v>
      </c>
      <c r="I5804">
        <v>53463314</v>
      </c>
    </row>
    <row r="5805" spans="1:9" x14ac:dyDescent="0.2">
      <c r="A5805" t="str">
        <f>"Efhc1"</f>
        <v>Efhc1</v>
      </c>
      <c r="B5805" t="s">
        <v>14</v>
      </c>
      <c r="C5805" t="s">
        <v>19</v>
      </c>
      <c r="D5805" t="s">
        <v>17</v>
      </c>
      <c r="E5805" t="s">
        <v>12</v>
      </c>
      <c r="F5805">
        <v>20951666</v>
      </c>
      <c r="G5805">
        <v>20951717</v>
      </c>
      <c r="H5805">
        <v>20951606</v>
      </c>
      <c r="I5805">
        <v>20951635</v>
      </c>
    </row>
    <row r="5806" spans="1:9" x14ac:dyDescent="0.2">
      <c r="A5806" t="str">
        <f>"Efhc2"</f>
        <v>Efhc2</v>
      </c>
      <c r="B5806" t="s">
        <v>14</v>
      </c>
      <c r="C5806" t="s">
        <v>37</v>
      </c>
      <c r="D5806" t="s">
        <v>11</v>
      </c>
      <c r="E5806" t="s">
        <v>12</v>
      </c>
      <c r="F5806">
        <v>17319316</v>
      </c>
      <c r="G5806">
        <v>17319334</v>
      </c>
      <c r="H5806">
        <v>17319380</v>
      </c>
      <c r="I5806">
        <v>17319393</v>
      </c>
    </row>
    <row r="5807" spans="1:9" x14ac:dyDescent="0.2">
      <c r="A5807" t="str">
        <f>"Efhd1"</f>
        <v>Efhd1</v>
      </c>
      <c r="B5807" t="s">
        <v>14</v>
      </c>
      <c r="C5807" t="s">
        <v>19</v>
      </c>
      <c r="D5807" t="s">
        <v>17</v>
      </c>
      <c r="E5807" t="s">
        <v>12</v>
      </c>
      <c r="F5807">
        <v>87264345</v>
      </c>
      <c r="G5807">
        <v>87264370</v>
      </c>
      <c r="H5807">
        <v>87264413</v>
      </c>
      <c r="I5807">
        <v>87264444</v>
      </c>
    </row>
    <row r="5808" spans="1:9" x14ac:dyDescent="0.2">
      <c r="A5808" t="str">
        <f>"Efhd2"</f>
        <v>Efhd2</v>
      </c>
      <c r="B5808" t="s">
        <v>14</v>
      </c>
      <c r="C5808" t="s">
        <v>23</v>
      </c>
      <c r="D5808" t="s">
        <v>11</v>
      </c>
      <c r="E5808" t="s">
        <v>12</v>
      </c>
      <c r="F5808">
        <v>141874879</v>
      </c>
      <c r="G5808">
        <v>141874953</v>
      </c>
      <c r="H5808">
        <v>141874879</v>
      </c>
      <c r="I5808">
        <v>141874953</v>
      </c>
    </row>
    <row r="5809" spans="1:9" x14ac:dyDescent="0.2">
      <c r="A5809" t="str">
        <f>"Efna1"</f>
        <v>Efna1</v>
      </c>
      <c r="B5809" t="s">
        <v>14</v>
      </c>
      <c r="C5809" t="s">
        <v>22</v>
      </c>
      <c r="D5809" t="s">
        <v>11</v>
      </c>
      <c r="E5809" t="s">
        <v>12</v>
      </c>
      <c r="F5809">
        <v>89279602</v>
      </c>
      <c r="G5809">
        <v>89279627</v>
      </c>
      <c r="H5809">
        <v>89279633</v>
      </c>
      <c r="I5809">
        <v>89279647</v>
      </c>
    </row>
    <row r="5810" spans="1:9" x14ac:dyDescent="0.2">
      <c r="A5810" t="str">
        <f>"Efna2"</f>
        <v>Efna2</v>
      </c>
      <c r="B5810" t="s">
        <v>14</v>
      </c>
      <c r="C5810" t="s">
        <v>15</v>
      </c>
      <c r="D5810" t="s">
        <v>17</v>
      </c>
      <c r="E5810" t="s">
        <v>12</v>
      </c>
      <c r="F5810">
        <v>80179688</v>
      </c>
      <c r="G5810">
        <v>80179755</v>
      </c>
      <c r="H5810">
        <v>80179493</v>
      </c>
      <c r="I5810">
        <v>80179531</v>
      </c>
    </row>
    <row r="5811" spans="1:9" x14ac:dyDescent="0.2">
      <c r="A5811" t="str">
        <f>"Efna3"</f>
        <v>Efna3</v>
      </c>
      <c r="B5811" t="s">
        <v>14</v>
      </c>
      <c r="C5811" t="s">
        <v>22</v>
      </c>
      <c r="D5811" t="s">
        <v>11</v>
      </c>
      <c r="E5811" t="s">
        <v>12</v>
      </c>
      <c r="F5811">
        <v>89322883</v>
      </c>
      <c r="G5811">
        <v>89322946</v>
      </c>
      <c r="H5811">
        <v>89322860</v>
      </c>
      <c r="I5811">
        <v>89322872</v>
      </c>
    </row>
    <row r="5812" spans="1:9" x14ac:dyDescent="0.2">
      <c r="A5812" t="str">
        <f>"Efna4"</f>
        <v>Efna4</v>
      </c>
      <c r="B5812" t="s">
        <v>14</v>
      </c>
      <c r="C5812" t="s">
        <v>22</v>
      </c>
      <c r="D5812" t="s">
        <v>11</v>
      </c>
      <c r="E5812" t="s">
        <v>12</v>
      </c>
      <c r="F5812">
        <v>89338005</v>
      </c>
      <c r="G5812">
        <v>89338066</v>
      </c>
      <c r="H5812">
        <v>89337991</v>
      </c>
      <c r="I5812">
        <v>89338004</v>
      </c>
    </row>
    <row r="5813" spans="1:9" x14ac:dyDescent="0.2">
      <c r="A5813" t="str">
        <f>"Efna5"</f>
        <v>Efna5</v>
      </c>
      <c r="B5813" t="s">
        <v>14</v>
      </c>
      <c r="C5813" t="s">
        <v>28</v>
      </c>
      <c r="D5813" t="s">
        <v>11</v>
      </c>
      <c r="E5813" t="s">
        <v>67</v>
      </c>
      <c r="F5813">
        <v>62606679</v>
      </c>
      <c r="G5813">
        <v>62606682</v>
      </c>
      <c r="H5813">
        <v>62606679</v>
      </c>
      <c r="I5813">
        <v>62606682</v>
      </c>
    </row>
    <row r="5814" spans="1:9" x14ac:dyDescent="0.2">
      <c r="A5814" t="str">
        <f>"Efnb1"</f>
        <v>Efnb1</v>
      </c>
      <c r="B5814" t="s">
        <v>14</v>
      </c>
      <c r="C5814" t="s">
        <v>37</v>
      </c>
      <c r="D5814" t="s">
        <v>17</v>
      </c>
      <c r="E5814" t="s">
        <v>12</v>
      </c>
      <c r="F5814">
        <v>99136119</v>
      </c>
      <c r="G5814">
        <v>99136138</v>
      </c>
      <c r="H5814">
        <v>99136090</v>
      </c>
      <c r="I5814">
        <v>99136107</v>
      </c>
    </row>
    <row r="5815" spans="1:9" x14ac:dyDescent="0.2">
      <c r="A5815" t="str">
        <f>"Efnb2"</f>
        <v>Efnb2</v>
      </c>
      <c r="B5815" t="s">
        <v>14</v>
      </c>
      <c r="C5815" t="s">
        <v>30</v>
      </c>
      <c r="D5815" t="s">
        <v>11</v>
      </c>
      <c r="E5815" t="s">
        <v>12</v>
      </c>
      <c r="F5815">
        <v>8661232</v>
      </c>
      <c r="G5815">
        <v>8661249</v>
      </c>
      <c r="H5815">
        <v>8660945</v>
      </c>
      <c r="I5815">
        <v>8660967</v>
      </c>
    </row>
    <row r="5816" spans="1:9" x14ac:dyDescent="0.2">
      <c r="A5816" t="str">
        <f>"Efnb3"</f>
        <v>Efnb3</v>
      </c>
      <c r="B5816" t="s">
        <v>14</v>
      </c>
      <c r="C5816" t="s">
        <v>27</v>
      </c>
      <c r="D5816" t="s">
        <v>11</v>
      </c>
      <c r="E5816" t="s">
        <v>12</v>
      </c>
      <c r="F5816">
        <v>69560170</v>
      </c>
      <c r="G5816">
        <v>69560185</v>
      </c>
      <c r="H5816">
        <v>69560186</v>
      </c>
      <c r="I5816">
        <v>69560213</v>
      </c>
    </row>
    <row r="5817" spans="1:9" x14ac:dyDescent="0.2">
      <c r="A5817" t="str">
        <f>"Efr3a"</f>
        <v>Efr3a</v>
      </c>
      <c r="B5817" t="s">
        <v>14</v>
      </c>
      <c r="C5817" t="s">
        <v>25</v>
      </c>
      <c r="D5817" t="s">
        <v>17</v>
      </c>
      <c r="E5817" t="s">
        <v>12</v>
      </c>
      <c r="F5817">
        <v>65787023</v>
      </c>
      <c r="G5817">
        <v>65787090</v>
      </c>
      <c r="H5817">
        <v>65787100</v>
      </c>
      <c r="I5817">
        <v>65787117</v>
      </c>
    </row>
    <row r="5818" spans="1:9" x14ac:dyDescent="0.2">
      <c r="A5818" t="str">
        <f>"Efr3b"</f>
        <v>Efr3b</v>
      </c>
      <c r="B5818" t="s">
        <v>14</v>
      </c>
      <c r="C5818" t="s">
        <v>16</v>
      </c>
      <c r="D5818" t="s">
        <v>11</v>
      </c>
      <c r="E5818" t="s">
        <v>12</v>
      </c>
      <c r="F5818">
        <v>4038774</v>
      </c>
      <c r="G5818">
        <v>4038855</v>
      </c>
      <c r="H5818">
        <v>4038905</v>
      </c>
      <c r="I5818">
        <v>4038957</v>
      </c>
    </row>
    <row r="5819" spans="1:9" x14ac:dyDescent="0.2">
      <c r="A5819" t="str">
        <f>"Efs"</f>
        <v>Efs</v>
      </c>
      <c r="B5819" t="s">
        <v>14</v>
      </c>
      <c r="C5819" t="s">
        <v>41</v>
      </c>
      <c r="D5819" t="s">
        <v>11</v>
      </c>
      <c r="E5819" t="s">
        <v>12</v>
      </c>
      <c r="F5819">
        <v>54926744</v>
      </c>
      <c r="G5819">
        <v>54926770</v>
      </c>
      <c r="H5819">
        <v>54926784</v>
      </c>
      <c r="I5819">
        <v>54926805</v>
      </c>
    </row>
    <row r="5820" spans="1:9" x14ac:dyDescent="0.2">
      <c r="A5820" t="str">
        <f>"Eftud1"</f>
        <v>Eftud1</v>
      </c>
      <c r="B5820" t="s">
        <v>14</v>
      </c>
      <c r="C5820" t="s">
        <v>33</v>
      </c>
      <c r="D5820" t="s">
        <v>17</v>
      </c>
      <c r="E5820" t="s">
        <v>12</v>
      </c>
      <c r="F5820">
        <v>82648595</v>
      </c>
      <c r="G5820">
        <v>82648653</v>
      </c>
      <c r="H5820">
        <v>82648595</v>
      </c>
      <c r="I5820">
        <v>82648653</v>
      </c>
    </row>
    <row r="5821" spans="1:9" x14ac:dyDescent="0.2">
      <c r="A5821" t="str">
        <f>"Eftud2"</f>
        <v>Eftud2</v>
      </c>
      <c r="B5821" t="s">
        <v>14</v>
      </c>
      <c r="C5821" t="s">
        <v>27</v>
      </c>
      <c r="D5821" t="s">
        <v>11</v>
      </c>
      <c r="E5821" t="s">
        <v>12</v>
      </c>
      <c r="F5821">
        <v>102880925</v>
      </c>
      <c r="G5821">
        <v>102880977</v>
      </c>
      <c r="H5821">
        <v>102880981</v>
      </c>
      <c r="I5821">
        <v>102880992</v>
      </c>
    </row>
    <row r="5822" spans="1:9" x14ac:dyDescent="0.2">
      <c r="A5822" t="str">
        <f>"Egf"</f>
        <v>Egf</v>
      </c>
      <c r="B5822" t="s">
        <v>14</v>
      </c>
      <c r="C5822" t="s">
        <v>22</v>
      </c>
      <c r="D5822" t="s">
        <v>11</v>
      </c>
      <c r="E5822" t="s">
        <v>12</v>
      </c>
      <c r="F5822">
        <v>129755305</v>
      </c>
      <c r="G5822">
        <v>129755326</v>
      </c>
      <c r="H5822">
        <v>129755305</v>
      </c>
      <c r="I5822">
        <v>129755326</v>
      </c>
    </row>
    <row r="5823" spans="1:9" x14ac:dyDescent="0.2">
      <c r="A5823" t="str">
        <f>"Egfem1"</f>
        <v>Egfem1</v>
      </c>
      <c r="B5823" t="s">
        <v>14</v>
      </c>
      <c r="C5823" t="s">
        <v>22</v>
      </c>
      <c r="D5823" t="s">
        <v>17</v>
      </c>
      <c r="E5823" t="s">
        <v>12</v>
      </c>
      <c r="F5823">
        <v>29082539</v>
      </c>
      <c r="G5823">
        <v>29082590</v>
      </c>
      <c r="H5823">
        <v>29082147</v>
      </c>
      <c r="I5823">
        <v>29082183</v>
      </c>
    </row>
    <row r="5824" spans="1:9" x14ac:dyDescent="0.2">
      <c r="A5824" t="str">
        <f>"Egfl6"</f>
        <v>Egfl6</v>
      </c>
      <c r="B5824" t="s">
        <v>14</v>
      </c>
      <c r="C5824" t="s">
        <v>37</v>
      </c>
      <c r="D5824" t="s">
        <v>11</v>
      </c>
      <c r="E5824" t="s">
        <v>12</v>
      </c>
      <c r="F5824">
        <v>166585679</v>
      </c>
      <c r="G5824">
        <v>166585737</v>
      </c>
      <c r="H5824">
        <v>166585640</v>
      </c>
      <c r="I5824">
        <v>166585653</v>
      </c>
    </row>
    <row r="5825" spans="1:9" x14ac:dyDescent="0.2">
      <c r="A5825" t="str">
        <f>"Egfl7"</f>
        <v>Egfl7</v>
      </c>
      <c r="B5825" t="s">
        <v>9</v>
      </c>
      <c r="C5825" t="s">
        <v>26</v>
      </c>
      <c r="D5825" t="s">
        <v>17</v>
      </c>
      <c r="E5825" t="s">
        <v>12</v>
      </c>
      <c r="F5825">
        <v>26583858</v>
      </c>
      <c r="G5825">
        <v>26583874</v>
      </c>
      <c r="H5825">
        <v>26583858</v>
      </c>
      <c r="I5825">
        <v>26583874</v>
      </c>
    </row>
    <row r="5826" spans="1:9" x14ac:dyDescent="0.2">
      <c r="A5826" t="str">
        <f>"Egfl7"</f>
        <v>Egfl7</v>
      </c>
      <c r="B5826" t="s">
        <v>13</v>
      </c>
      <c r="C5826" t="s">
        <v>26</v>
      </c>
      <c r="D5826" t="s">
        <v>17</v>
      </c>
      <c r="E5826" t="s">
        <v>12</v>
      </c>
      <c r="F5826">
        <v>26581077</v>
      </c>
      <c r="G5826">
        <v>26581093</v>
      </c>
      <c r="H5826">
        <v>26581077</v>
      </c>
      <c r="I5826">
        <v>26581093</v>
      </c>
    </row>
    <row r="5827" spans="1:9" x14ac:dyDescent="0.2">
      <c r="A5827" t="str">
        <f>"Egfl8"</f>
        <v>Egfl8</v>
      </c>
      <c r="B5827" t="s">
        <v>14</v>
      </c>
      <c r="C5827" t="s">
        <v>28</v>
      </c>
      <c r="D5827" t="s">
        <v>11</v>
      </c>
      <c r="E5827" t="s">
        <v>12</v>
      </c>
      <c r="F5827">
        <v>34615776</v>
      </c>
      <c r="G5827">
        <v>34615793</v>
      </c>
      <c r="H5827">
        <v>34615795</v>
      </c>
      <c r="I5827">
        <v>34615809</v>
      </c>
    </row>
    <row r="5828" spans="1:9" x14ac:dyDescent="0.2">
      <c r="A5828" t="str">
        <f>"Egflam"</f>
        <v>Egflam</v>
      </c>
      <c r="B5828" t="s">
        <v>14</v>
      </c>
      <c r="C5828" t="s">
        <v>25</v>
      </c>
      <c r="D5828" t="s">
        <v>11</v>
      </c>
      <c r="E5828" t="s">
        <v>12</v>
      </c>
      <c r="F5828">
        <v>7398233</v>
      </c>
      <c r="G5828">
        <v>7398323</v>
      </c>
      <c r="H5828">
        <v>7398233</v>
      </c>
      <c r="I5828">
        <v>7398323</v>
      </c>
    </row>
    <row r="5829" spans="1:9" x14ac:dyDescent="0.2">
      <c r="A5829" t="str">
        <f>"Egfr"</f>
        <v>Egfr</v>
      </c>
      <c r="B5829" t="s">
        <v>14</v>
      </c>
      <c r="C5829" t="s">
        <v>27</v>
      </c>
      <c r="D5829" t="s">
        <v>17</v>
      </c>
      <c r="E5829" t="s">
        <v>12</v>
      </c>
      <c r="F5829">
        <v>16752220</v>
      </c>
      <c r="G5829">
        <v>16752236</v>
      </c>
      <c r="H5829">
        <v>16752245</v>
      </c>
      <c r="I5829">
        <v>16752265</v>
      </c>
    </row>
    <row r="5830" spans="1:9" x14ac:dyDescent="0.2">
      <c r="A5830" t="str">
        <f>"Egln1"</f>
        <v>Egln1</v>
      </c>
      <c r="B5830" t="s">
        <v>14</v>
      </c>
      <c r="C5830" t="s">
        <v>30</v>
      </c>
      <c r="D5830" t="s">
        <v>11</v>
      </c>
      <c r="E5830" t="s">
        <v>12</v>
      </c>
      <c r="F5830">
        <v>124949165</v>
      </c>
      <c r="G5830">
        <v>124949372</v>
      </c>
      <c r="H5830">
        <v>124949150</v>
      </c>
      <c r="I5830">
        <v>124949161</v>
      </c>
    </row>
    <row r="5831" spans="1:9" x14ac:dyDescent="0.2">
      <c r="A5831" t="str">
        <f>"Egln2"</f>
        <v>Egln2</v>
      </c>
      <c r="B5831" t="s">
        <v>14</v>
      </c>
      <c r="C5831" t="s">
        <v>33</v>
      </c>
      <c r="D5831" t="s">
        <v>11</v>
      </c>
      <c r="E5831" t="s">
        <v>12</v>
      </c>
      <c r="F5831">
        <v>27166732</v>
      </c>
      <c r="G5831">
        <v>27166765</v>
      </c>
      <c r="H5831">
        <v>27166712</v>
      </c>
      <c r="I5831">
        <v>27166724</v>
      </c>
    </row>
    <row r="5832" spans="1:9" x14ac:dyDescent="0.2">
      <c r="A5832" t="str">
        <f>"Egln3"</f>
        <v>Egln3</v>
      </c>
      <c r="B5832" t="s">
        <v>14</v>
      </c>
      <c r="C5832" t="s">
        <v>16</v>
      </c>
      <c r="D5832" t="s">
        <v>11</v>
      </c>
      <c r="E5832" t="s">
        <v>12</v>
      </c>
      <c r="F5832">
        <v>54203794</v>
      </c>
      <c r="G5832">
        <v>54203811</v>
      </c>
      <c r="H5832">
        <v>54203861</v>
      </c>
      <c r="I5832">
        <v>54203887</v>
      </c>
    </row>
    <row r="5833" spans="1:9" x14ac:dyDescent="0.2">
      <c r="A5833" t="str">
        <f>"Egr1"</f>
        <v>Egr1</v>
      </c>
      <c r="B5833" t="s">
        <v>14</v>
      </c>
      <c r="C5833" t="s">
        <v>43</v>
      </c>
      <c r="D5833" t="s">
        <v>17</v>
      </c>
      <c r="E5833" t="s">
        <v>12</v>
      </c>
      <c r="F5833">
        <v>34861200</v>
      </c>
      <c r="G5833">
        <v>34861215</v>
      </c>
      <c r="H5833">
        <v>34861200</v>
      </c>
      <c r="I5833">
        <v>34861215</v>
      </c>
    </row>
    <row r="5834" spans="1:9" x14ac:dyDescent="0.2">
      <c r="A5834" t="str">
        <f>"Egr2"</f>
        <v>Egr2</v>
      </c>
      <c r="B5834" t="s">
        <v>9</v>
      </c>
      <c r="C5834" t="s">
        <v>15</v>
      </c>
      <c r="D5834" t="s">
        <v>17</v>
      </c>
      <c r="E5834" t="s">
        <v>12</v>
      </c>
      <c r="F5834">
        <v>67537861</v>
      </c>
      <c r="G5834">
        <v>67537877</v>
      </c>
      <c r="H5834">
        <v>67537861</v>
      </c>
      <c r="I5834">
        <v>67537877</v>
      </c>
    </row>
    <row r="5835" spans="1:9" x14ac:dyDescent="0.2">
      <c r="A5835" t="str">
        <f>"Egr2"</f>
        <v>Egr2</v>
      </c>
      <c r="B5835" t="s">
        <v>13</v>
      </c>
      <c r="C5835" t="s">
        <v>15</v>
      </c>
      <c r="D5835" t="s">
        <v>17</v>
      </c>
      <c r="E5835" t="s">
        <v>12</v>
      </c>
      <c r="F5835">
        <v>67535493</v>
      </c>
      <c r="G5835">
        <v>67535515</v>
      </c>
      <c r="H5835">
        <v>67535493</v>
      </c>
      <c r="I5835">
        <v>67535515</v>
      </c>
    </row>
    <row r="5836" spans="1:9" x14ac:dyDescent="0.2">
      <c r="A5836" t="str">
        <f>"Egr3"</f>
        <v>Egr3</v>
      </c>
      <c r="B5836" t="s">
        <v>14</v>
      </c>
      <c r="C5836" t="s">
        <v>41</v>
      </c>
      <c r="D5836" t="s">
        <v>17</v>
      </c>
      <c r="E5836" t="s">
        <v>12</v>
      </c>
      <c r="F5836">
        <v>70077306</v>
      </c>
      <c r="G5836">
        <v>70077366</v>
      </c>
      <c r="H5836">
        <v>70077306</v>
      </c>
      <c r="I5836">
        <v>70077366</v>
      </c>
    </row>
    <row r="5837" spans="1:9" x14ac:dyDescent="0.2">
      <c r="A5837" t="str">
        <f>"Egr4"</f>
        <v>Egr4</v>
      </c>
      <c r="B5837" t="s">
        <v>14</v>
      </c>
      <c r="C5837" t="s">
        <v>32</v>
      </c>
      <c r="D5837" t="s">
        <v>11</v>
      </c>
      <c r="E5837" t="s">
        <v>12</v>
      </c>
      <c r="F5837">
        <v>85513586</v>
      </c>
      <c r="G5837">
        <v>85513591</v>
      </c>
      <c r="H5837">
        <v>85513639</v>
      </c>
      <c r="I5837">
        <v>85513656</v>
      </c>
    </row>
    <row r="5838" spans="1:9" x14ac:dyDescent="0.2">
      <c r="A5838" t="str">
        <f>"Ehbp1"</f>
        <v>Ehbp1</v>
      </c>
      <c r="B5838" t="s">
        <v>2417</v>
      </c>
      <c r="C5838" t="s">
        <v>27</v>
      </c>
      <c r="D5838" t="s">
        <v>11</v>
      </c>
      <c r="E5838" t="s">
        <v>35</v>
      </c>
      <c r="F5838">
        <v>22286898</v>
      </c>
      <c r="G5838">
        <v>22286906</v>
      </c>
      <c r="H5838">
        <v>22286805</v>
      </c>
      <c r="I5838">
        <v>22286818</v>
      </c>
    </row>
    <row r="5839" spans="1:9" x14ac:dyDescent="0.2">
      <c r="A5839" t="str">
        <f>"Ehbp1l1"</f>
        <v>Ehbp1l1</v>
      </c>
      <c r="B5839" t="s">
        <v>14</v>
      </c>
      <c r="C5839" t="s">
        <v>10</v>
      </c>
      <c r="D5839" t="s">
        <v>11</v>
      </c>
      <c r="E5839" t="s">
        <v>12</v>
      </c>
      <c r="F5839">
        <v>5726240</v>
      </c>
      <c r="G5839">
        <v>5726287</v>
      </c>
      <c r="H5839">
        <v>5726214</v>
      </c>
      <c r="I5839">
        <v>5726227</v>
      </c>
    </row>
    <row r="5840" spans="1:9" x14ac:dyDescent="0.2">
      <c r="A5840" t="str">
        <f>"Ehd1"</f>
        <v>Ehd1</v>
      </c>
      <c r="B5840" t="s">
        <v>14</v>
      </c>
      <c r="C5840" t="s">
        <v>10</v>
      </c>
      <c r="D5840" t="s">
        <v>17</v>
      </c>
      <c r="E5840" t="s">
        <v>12</v>
      </c>
      <c r="F5840">
        <v>6276899</v>
      </c>
      <c r="G5840">
        <v>6276936</v>
      </c>
      <c r="H5840">
        <v>6276850</v>
      </c>
      <c r="I5840">
        <v>6276891</v>
      </c>
    </row>
    <row r="5841" spans="1:9" x14ac:dyDescent="0.2">
      <c r="A5841" t="str">
        <f>"Ehd2"</f>
        <v>Ehd2</v>
      </c>
      <c r="B5841" t="s">
        <v>14</v>
      </c>
      <c r="C5841" t="s">
        <v>33</v>
      </c>
      <c r="D5841" t="s">
        <v>11</v>
      </c>
      <c r="E5841" t="s">
        <v>12</v>
      </c>
      <c r="F5841">
        <v>15967470</v>
      </c>
      <c r="G5841">
        <v>15967484</v>
      </c>
      <c r="H5841">
        <v>15967470</v>
      </c>
      <c r="I5841">
        <v>15967484</v>
      </c>
    </row>
    <row r="5842" spans="1:9" x14ac:dyDescent="0.2">
      <c r="A5842" t="str">
        <f>"Ehd3"</f>
        <v>Ehd3</v>
      </c>
      <c r="B5842" t="s">
        <v>14</v>
      </c>
      <c r="C5842" t="s">
        <v>28</v>
      </c>
      <c r="D5842" t="s">
        <v>17</v>
      </c>
      <c r="E5842" t="s">
        <v>12</v>
      </c>
      <c r="F5842">
        <v>73804883</v>
      </c>
      <c r="G5842">
        <v>73804901</v>
      </c>
      <c r="H5842">
        <v>73804902</v>
      </c>
      <c r="I5842">
        <v>73804941</v>
      </c>
    </row>
    <row r="5843" spans="1:9" x14ac:dyDescent="0.2">
      <c r="A5843" t="str">
        <f>"Ehd4"</f>
        <v>Ehd4</v>
      </c>
      <c r="B5843" t="s">
        <v>14</v>
      </c>
      <c r="C5843" t="s">
        <v>26</v>
      </c>
      <c r="D5843" t="s">
        <v>11</v>
      </c>
      <c r="E5843" t="s">
        <v>12</v>
      </c>
      <c r="F5843">
        <v>120154512</v>
      </c>
      <c r="G5843">
        <v>120154590</v>
      </c>
      <c r="H5843">
        <v>120154486</v>
      </c>
      <c r="I5843">
        <v>120154498</v>
      </c>
    </row>
    <row r="5844" spans="1:9" x14ac:dyDescent="0.2">
      <c r="A5844" t="str">
        <f>"Ehf"</f>
        <v>Ehf</v>
      </c>
      <c r="B5844" t="s">
        <v>14</v>
      </c>
      <c r="C5844" t="s">
        <v>26</v>
      </c>
      <c r="D5844" t="s">
        <v>11</v>
      </c>
      <c r="E5844" t="s">
        <v>12</v>
      </c>
      <c r="F5844">
        <v>103303179</v>
      </c>
      <c r="G5844">
        <v>103303210</v>
      </c>
      <c r="H5844">
        <v>103303158</v>
      </c>
      <c r="I5844">
        <v>103303171</v>
      </c>
    </row>
    <row r="5845" spans="1:9" x14ac:dyDescent="0.2">
      <c r="A5845" t="str">
        <f>"Ehhadh"</f>
        <v>Ehhadh</v>
      </c>
      <c r="B5845" t="s">
        <v>14</v>
      </c>
      <c r="C5845" t="s">
        <v>31</v>
      </c>
      <c r="D5845" t="s">
        <v>11</v>
      </c>
      <c r="E5845" t="s">
        <v>12</v>
      </c>
      <c r="F5845">
        <v>21787796</v>
      </c>
      <c r="G5845">
        <v>21787813</v>
      </c>
      <c r="H5845">
        <v>21787796</v>
      </c>
      <c r="I5845">
        <v>21787813</v>
      </c>
    </row>
    <row r="5846" spans="1:9" x14ac:dyDescent="0.2">
      <c r="A5846" t="str">
        <f>"Ehmt1"</f>
        <v>Ehmt1</v>
      </c>
      <c r="B5846" t="s">
        <v>14</v>
      </c>
      <c r="C5846" t="s">
        <v>26</v>
      </c>
      <c r="D5846" t="s">
        <v>11</v>
      </c>
      <c r="E5846" t="s">
        <v>12</v>
      </c>
      <c r="F5846">
        <v>24919572</v>
      </c>
      <c r="G5846">
        <v>24919616</v>
      </c>
      <c r="H5846">
        <v>24919572</v>
      </c>
      <c r="I5846">
        <v>24919616</v>
      </c>
    </row>
    <row r="5847" spans="1:9" x14ac:dyDescent="0.2">
      <c r="A5847" t="str">
        <f>"Ehmt2"</f>
        <v>Ehmt2</v>
      </c>
      <c r="B5847" t="s">
        <v>14</v>
      </c>
      <c r="C5847" t="s">
        <v>28</v>
      </c>
      <c r="D5847" t="s">
        <v>17</v>
      </c>
      <c r="E5847" t="s">
        <v>12</v>
      </c>
      <c r="F5847">
        <v>34898463</v>
      </c>
      <c r="G5847">
        <v>34898501</v>
      </c>
      <c r="H5847">
        <v>34898463</v>
      </c>
      <c r="I5847">
        <v>34898501</v>
      </c>
    </row>
    <row r="5848" spans="1:9" x14ac:dyDescent="0.2">
      <c r="A5848" t="str">
        <f>"Ei24"</f>
        <v>Ei24</v>
      </c>
      <c r="B5848" t="s">
        <v>14</v>
      </c>
      <c r="C5848" t="s">
        <v>24</v>
      </c>
      <c r="D5848" t="s">
        <v>11</v>
      </c>
      <c r="E5848" t="s">
        <v>12</v>
      </c>
      <c r="F5848">
        <v>36797303</v>
      </c>
      <c r="G5848">
        <v>36797425</v>
      </c>
      <c r="H5848">
        <v>36797282</v>
      </c>
      <c r="I5848">
        <v>36797293</v>
      </c>
    </row>
    <row r="5849" spans="1:9" x14ac:dyDescent="0.2">
      <c r="A5849" t="str">
        <f>"Eid1"</f>
        <v>Eid1</v>
      </c>
      <c r="B5849" t="s">
        <v>14</v>
      </c>
      <c r="C5849" t="s">
        <v>26</v>
      </c>
      <c r="D5849" t="s">
        <v>17</v>
      </c>
      <c r="E5849" t="s">
        <v>12</v>
      </c>
      <c r="F5849">
        <v>125673077</v>
      </c>
      <c r="G5849">
        <v>125673133</v>
      </c>
      <c r="H5849">
        <v>125673077</v>
      </c>
      <c r="I5849">
        <v>125673133</v>
      </c>
    </row>
    <row r="5850" spans="1:9" x14ac:dyDescent="0.2">
      <c r="A5850" t="str">
        <f>"Eid2"</f>
        <v>Eid2</v>
      </c>
      <c r="B5850" t="s">
        <v>14</v>
      </c>
      <c r="C5850" t="s">
        <v>33</v>
      </c>
      <c r="D5850" t="s">
        <v>17</v>
      </c>
      <c r="E5850" t="s">
        <v>12</v>
      </c>
      <c r="F5850">
        <v>28267809</v>
      </c>
      <c r="G5850">
        <v>28267932</v>
      </c>
      <c r="H5850">
        <v>28267797</v>
      </c>
      <c r="I5850">
        <v>28267808</v>
      </c>
    </row>
    <row r="5851" spans="1:9" x14ac:dyDescent="0.2">
      <c r="A5851" t="str">
        <f>"Eid2b"</f>
        <v>Eid2b</v>
      </c>
      <c r="B5851" t="s">
        <v>14</v>
      </c>
      <c r="C5851" t="s">
        <v>33</v>
      </c>
      <c r="D5851" t="s">
        <v>17</v>
      </c>
      <c r="E5851" t="s">
        <v>12</v>
      </c>
      <c r="F5851">
        <v>28277717</v>
      </c>
      <c r="G5851">
        <v>28277770</v>
      </c>
      <c r="H5851">
        <v>28277717</v>
      </c>
      <c r="I5851">
        <v>28277770</v>
      </c>
    </row>
    <row r="5852" spans="1:9" x14ac:dyDescent="0.2">
      <c r="A5852" t="str">
        <f>"Eif1"</f>
        <v>Eif1</v>
      </c>
      <c r="B5852" t="s">
        <v>14</v>
      </c>
      <c r="C5852" t="s">
        <v>27</v>
      </c>
      <c r="D5852" t="s">
        <v>17</v>
      </c>
      <c r="E5852" t="s">
        <v>12</v>
      </c>
      <c r="F5852">
        <v>100319973</v>
      </c>
      <c r="G5852">
        <v>100319988</v>
      </c>
      <c r="H5852">
        <v>100320538</v>
      </c>
      <c r="I5852">
        <v>100320594</v>
      </c>
    </row>
    <row r="5853" spans="1:9" x14ac:dyDescent="0.2">
      <c r="A5853" t="str">
        <f>"Eif1a"</f>
        <v>Eif1a</v>
      </c>
      <c r="B5853" t="s">
        <v>14</v>
      </c>
      <c r="C5853" t="s">
        <v>43</v>
      </c>
      <c r="D5853" t="s">
        <v>17</v>
      </c>
      <c r="E5853" t="s">
        <v>12</v>
      </c>
      <c r="F5853">
        <v>46597698</v>
      </c>
      <c r="G5853">
        <v>46597765</v>
      </c>
      <c r="H5853">
        <v>46597591</v>
      </c>
      <c r="I5853">
        <v>46597607</v>
      </c>
    </row>
    <row r="5854" spans="1:9" x14ac:dyDescent="0.2">
      <c r="A5854" t="str">
        <f>"Eif1ad"</f>
        <v>Eif1ad</v>
      </c>
      <c r="B5854" t="s">
        <v>14</v>
      </c>
      <c r="C5854" t="s">
        <v>10</v>
      </c>
      <c r="D5854" t="s">
        <v>17</v>
      </c>
      <c r="E5854" t="s">
        <v>12</v>
      </c>
      <c r="F5854">
        <v>5366965</v>
      </c>
      <c r="G5854">
        <v>5367037</v>
      </c>
      <c r="H5854">
        <v>5366764</v>
      </c>
      <c r="I5854">
        <v>5366851</v>
      </c>
    </row>
    <row r="5855" spans="1:9" x14ac:dyDescent="0.2">
      <c r="A5855" t="str">
        <f>"Eif1ax"</f>
        <v>Eif1ax</v>
      </c>
      <c r="B5855" t="s">
        <v>14</v>
      </c>
      <c r="C5855" t="s">
        <v>37</v>
      </c>
      <c r="D5855" t="s">
        <v>17</v>
      </c>
      <c r="E5855" t="s">
        <v>12</v>
      </c>
      <c r="F5855">
        <v>159372175</v>
      </c>
      <c r="G5855">
        <v>159372290</v>
      </c>
      <c r="H5855">
        <v>159371979</v>
      </c>
      <c r="I5855">
        <v>159372018</v>
      </c>
    </row>
    <row r="5856" spans="1:9" x14ac:dyDescent="0.2">
      <c r="A5856" t="str">
        <f>"Eif1b"</f>
        <v>Eif1b</v>
      </c>
      <c r="B5856" t="s">
        <v>14</v>
      </c>
      <c r="C5856" t="s">
        <v>24</v>
      </c>
      <c r="D5856" t="s">
        <v>17</v>
      </c>
      <c r="E5856" t="s">
        <v>12</v>
      </c>
      <c r="F5856">
        <v>120492624</v>
      </c>
      <c r="G5856">
        <v>120492640</v>
      </c>
      <c r="H5856">
        <v>120492703</v>
      </c>
      <c r="I5856">
        <v>120492731</v>
      </c>
    </row>
    <row r="5857" spans="1:9" x14ac:dyDescent="0.2">
      <c r="A5857" t="str">
        <f>"Eif2a"</f>
        <v>Eif2a</v>
      </c>
      <c r="B5857" t="s">
        <v>14</v>
      </c>
      <c r="C5857" t="s">
        <v>22</v>
      </c>
      <c r="D5857" t="s">
        <v>17</v>
      </c>
      <c r="E5857" t="s">
        <v>12</v>
      </c>
      <c r="F5857">
        <v>58526033</v>
      </c>
      <c r="G5857">
        <v>58526061</v>
      </c>
      <c r="H5857">
        <v>58525818</v>
      </c>
      <c r="I5857">
        <v>58525844</v>
      </c>
    </row>
    <row r="5858" spans="1:9" x14ac:dyDescent="0.2">
      <c r="A5858" t="str">
        <f>"Eif2ak1"</f>
        <v>Eif2ak1</v>
      </c>
      <c r="B5858" t="s">
        <v>14</v>
      </c>
      <c r="C5858" t="s">
        <v>46</v>
      </c>
      <c r="D5858" t="s">
        <v>17</v>
      </c>
      <c r="E5858" t="s">
        <v>12</v>
      </c>
      <c r="F5858">
        <v>143817819</v>
      </c>
      <c r="G5858">
        <v>143817843</v>
      </c>
      <c r="H5858">
        <v>143817786</v>
      </c>
      <c r="I5858">
        <v>143817818</v>
      </c>
    </row>
    <row r="5859" spans="1:9" x14ac:dyDescent="0.2">
      <c r="A5859" t="str">
        <f>"Eif2ak2"</f>
        <v>Eif2ak2</v>
      </c>
      <c r="B5859" t="s">
        <v>14</v>
      </c>
      <c r="C5859" t="s">
        <v>28</v>
      </c>
      <c r="D5859" t="s">
        <v>11</v>
      </c>
      <c r="E5859" t="s">
        <v>12</v>
      </c>
      <c r="F5859">
        <v>78882508</v>
      </c>
      <c r="G5859">
        <v>78882554</v>
      </c>
      <c r="H5859">
        <v>78882578</v>
      </c>
      <c r="I5859">
        <v>78882579</v>
      </c>
    </row>
    <row r="5860" spans="1:9" x14ac:dyDescent="0.2">
      <c r="A5860" t="str">
        <f>"Eif2ak3"</f>
        <v>Eif2ak3</v>
      </c>
      <c r="B5860" t="s">
        <v>14</v>
      </c>
      <c r="C5860" t="s">
        <v>32</v>
      </c>
      <c r="D5860" t="s">
        <v>17</v>
      </c>
      <c r="E5860" t="s">
        <v>12</v>
      </c>
      <c r="F5860">
        <v>70844499</v>
      </c>
      <c r="G5860">
        <v>70844579</v>
      </c>
      <c r="H5860">
        <v>70844583</v>
      </c>
      <c r="I5860">
        <v>70844594</v>
      </c>
    </row>
    <row r="5861" spans="1:9" x14ac:dyDescent="0.2">
      <c r="A5861" t="str">
        <f>"Eif2ak4"</f>
        <v>Eif2ak4</v>
      </c>
      <c r="B5861" t="s">
        <v>14</v>
      </c>
      <c r="C5861" t="s">
        <v>26</v>
      </c>
      <c r="D5861" t="s">
        <v>17</v>
      </c>
      <c r="E5861" t="s">
        <v>12</v>
      </c>
      <c r="F5861">
        <v>118388651</v>
      </c>
      <c r="G5861">
        <v>118388669</v>
      </c>
      <c r="H5861">
        <v>118388615</v>
      </c>
      <c r="I5861">
        <v>118388640</v>
      </c>
    </row>
    <row r="5862" spans="1:9" x14ac:dyDescent="0.2">
      <c r="A5862" t="str">
        <f>"Eif2b1"</f>
        <v>Eif2b1</v>
      </c>
      <c r="B5862" t="s">
        <v>14</v>
      </c>
      <c r="C5862" t="s">
        <v>46</v>
      </c>
      <c r="D5862" t="s">
        <v>11</v>
      </c>
      <c r="E5862" t="s">
        <v>12</v>
      </c>
      <c r="F5862">
        <v>124579045</v>
      </c>
      <c r="G5862">
        <v>124579075</v>
      </c>
      <c r="H5862">
        <v>124579023</v>
      </c>
      <c r="I5862">
        <v>124579044</v>
      </c>
    </row>
    <row r="5863" spans="1:9" x14ac:dyDescent="0.2">
      <c r="A5863" t="str">
        <f>"Eif2b2"</f>
        <v>Eif2b2</v>
      </c>
      <c r="B5863" t="s">
        <v>14</v>
      </c>
      <c r="C5863" t="s">
        <v>16</v>
      </c>
      <c r="D5863" t="s">
        <v>17</v>
      </c>
      <c r="E5863" t="s">
        <v>12</v>
      </c>
      <c r="F5863">
        <v>85219475</v>
      </c>
      <c r="G5863">
        <v>85219546</v>
      </c>
      <c r="H5863">
        <v>85219771</v>
      </c>
      <c r="I5863">
        <v>85219773</v>
      </c>
    </row>
    <row r="5864" spans="1:9" x14ac:dyDescent="0.2">
      <c r="A5864" t="str">
        <f>"Eif2b3"</f>
        <v>Eif2b3</v>
      </c>
      <c r="B5864" t="s">
        <v>14</v>
      </c>
      <c r="C5864" t="s">
        <v>23</v>
      </c>
      <c r="D5864" t="s">
        <v>17</v>
      </c>
      <c r="E5864" t="s">
        <v>12</v>
      </c>
      <c r="F5864">
        <v>117019400</v>
      </c>
      <c r="G5864">
        <v>117019437</v>
      </c>
      <c r="H5864">
        <v>117019440</v>
      </c>
      <c r="I5864">
        <v>117019452</v>
      </c>
    </row>
    <row r="5865" spans="1:9" x14ac:dyDescent="0.2">
      <c r="A5865" t="str">
        <f>"Eif2b4"</f>
        <v>Eif2b4</v>
      </c>
      <c r="B5865" t="s">
        <v>14</v>
      </c>
      <c r="C5865" t="s">
        <v>46</v>
      </c>
      <c r="D5865" t="s">
        <v>11</v>
      </c>
      <c r="E5865" t="s">
        <v>12</v>
      </c>
      <c r="F5865">
        <v>31193021</v>
      </c>
      <c r="G5865">
        <v>31193052</v>
      </c>
      <c r="H5865">
        <v>31193105</v>
      </c>
      <c r="I5865">
        <v>31193134</v>
      </c>
    </row>
    <row r="5866" spans="1:9" x14ac:dyDescent="0.2">
      <c r="A5866" t="str">
        <f>"Eif2b5"</f>
        <v>Eif2b5</v>
      </c>
      <c r="B5866" t="s">
        <v>14</v>
      </c>
      <c r="C5866" t="s">
        <v>31</v>
      </c>
      <c r="D5866" t="s">
        <v>17</v>
      </c>
      <c r="E5866" t="s">
        <v>12</v>
      </c>
      <c r="F5866">
        <v>20498877</v>
      </c>
      <c r="G5866">
        <v>20498919</v>
      </c>
      <c r="H5866">
        <v>20498847</v>
      </c>
      <c r="I5866">
        <v>20498866</v>
      </c>
    </row>
    <row r="5867" spans="1:9" x14ac:dyDescent="0.2">
      <c r="A5867" t="str">
        <f>"Eif2d"</f>
        <v>Eif2d</v>
      </c>
      <c r="B5867" t="s">
        <v>14</v>
      </c>
      <c r="C5867" t="s">
        <v>19</v>
      </c>
      <c r="D5867" t="s">
        <v>17</v>
      </c>
      <c r="E5867" t="s">
        <v>12</v>
      </c>
      <c r="F5867">
        <v>131153187</v>
      </c>
      <c r="G5867">
        <v>131153261</v>
      </c>
      <c r="H5867">
        <v>131153175</v>
      </c>
      <c r="I5867">
        <v>131153186</v>
      </c>
    </row>
    <row r="5868" spans="1:9" x14ac:dyDescent="0.2">
      <c r="A5868" t="str">
        <f>"Eif2s1"</f>
        <v>Eif2s1</v>
      </c>
      <c r="B5868" t="s">
        <v>14</v>
      </c>
      <c r="C5868" t="s">
        <v>16</v>
      </c>
      <c r="D5868" t="s">
        <v>17</v>
      </c>
      <c r="E5868" t="s">
        <v>12</v>
      </c>
      <c r="F5868">
        <v>78862025</v>
      </c>
      <c r="G5868">
        <v>78862071</v>
      </c>
      <c r="H5868">
        <v>78862099</v>
      </c>
      <c r="I5868">
        <v>78862113</v>
      </c>
    </row>
    <row r="5869" spans="1:9" x14ac:dyDescent="0.2">
      <c r="A5869" t="str">
        <f>"Eif2s2"</f>
        <v>Eif2s2</v>
      </c>
      <c r="B5869" t="s">
        <v>14</v>
      </c>
      <c r="C5869" t="s">
        <v>26</v>
      </c>
      <c r="D5869" t="s">
        <v>11</v>
      </c>
      <c r="E5869" t="s">
        <v>12</v>
      </c>
      <c r="F5869">
        <v>154892831</v>
      </c>
      <c r="G5869">
        <v>154892883</v>
      </c>
      <c r="H5869">
        <v>154892887</v>
      </c>
      <c r="I5869">
        <v>154892894</v>
      </c>
    </row>
    <row r="5870" spans="1:9" x14ac:dyDescent="0.2">
      <c r="A5870" t="str">
        <f>"Eif2s3x"</f>
        <v>Eif2s3x</v>
      </c>
      <c r="B5870" t="s">
        <v>14</v>
      </c>
      <c r="C5870" t="s">
        <v>37</v>
      </c>
      <c r="D5870" t="s">
        <v>11</v>
      </c>
      <c r="E5870" t="s">
        <v>12</v>
      </c>
      <c r="F5870">
        <v>94212638</v>
      </c>
      <c r="G5870">
        <v>94212662</v>
      </c>
      <c r="H5870">
        <v>94212685</v>
      </c>
      <c r="I5870">
        <v>94212696</v>
      </c>
    </row>
    <row r="5871" spans="1:9" x14ac:dyDescent="0.2">
      <c r="A5871" t="str">
        <f>"Eif2s3y"</f>
        <v>Eif2s3y</v>
      </c>
      <c r="B5871" t="s">
        <v>14</v>
      </c>
      <c r="C5871" t="s">
        <v>63</v>
      </c>
      <c r="D5871" t="s">
        <v>17</v>
      </c>
      <c r="E5871" t="s">
        <v>12</v>
      </c>
      <c r="F5871">
        <v>1010587</v>
      </c>
      <c r="G5871">
        <v>1010613</v>
      </c>
      <c r="H5871">
        <v>1010587</v>
      </c>
      <c r="I5871">
        <v>1010613</v>
      </c>
    </row>
    <row r="5872" spans="1:9" x14ac:dyDescent="0.2">
      <c r="A5872" t="str">
        <f>"Eif3a"</f>
        <v>Eif3a</v>
      </c>
      <c r="B5872" t="s">
        <v>14</v>
      </c>
      <c r="C5872" t="s">
        <v>10</v>
      </c>
      <c r="D5872" t="s">
        <v>11</v>
      </c>
      <c r="E5872" t="s">
        <v>12</v>
      </c>
      <c r="F5872">
        <v>60790617</v>
      </c>
      <c r="G5872">
        <v>60790672</v>
      </c>
      <c r="H5872">
        <v>60790584</v>
      </c>
      <c r="I5872">
        <v>60790602</v>
      </c>
    </row>
    <row r="5873" spans="1:9" x14ac:dyDescent="0.2">
      <c r="A5873" t="str">
        <f>"Eif3b"</f>
        <v>Eif3b</v>
      </c>
      <c r="B5873" t="s">
        <v>14</v>
      </c>
      <c r="C5873" t="s">
        <v>46</v>
      </c>
      <c r="D5873" t="s">
        <v>17</v>
      </c>
      <c r="E5873" t="s">
        <v>12</v>
      </c>
      <c r="F5873">
        <v>140419248</v>
      </c>
      <c r="G5873">
        <v>140419377</v>
      </c>
      <c r="H5873">
        <v>140419248</v>
      </c>
      <c r="I5873">
        <v>140419377</v>
      </c>
    </row>
    <row r="5874" spans="1:9" x14ac:dyDescent="0.2">
      <c r="A5874" t="str">
        <f>"Eif3c"</f>
        <v>Eif3c</v>
      </c>
      <c r="B5874" t="s">
        <v>14</v>
      </c>
      <c r="C5874" t="s">
        <v>33</v>
      </c>
      <c r="D5874" t="s">
        <v>11</v>
      </c>
      <c r="E5874" t="s">
        <v>12</v>
      </c>
      <c r="F5874">
        <v>126566364</v>
      </c>
      <c r="G5874">
        <v>126566416</v>
      </c>
      <c r="H5874">
        <v>126566349</v>
      </c>
      <c r="I5874">
        <v>126566354</v>
      </c>
    </row>
    <row r="5875" spans="1:9" x14ac:dyDescent="0.2">
      <c r="A5875" t="str">
        <f>"Eif3d"</f>
        <v>Eif3d</v>
      </c>
      <c r="B5875" t="s">
        <v>14</v>
      </c>
      <c r="C5875" t="s">
        <v>25</v>
      </c>
      <c r="D5875" t="s">
        <v>11</v>
      </c>
      <c r="E5875" t="s">
        <v>12</v>
      </c>
      <c r="F5875">
        <v>77970750</v>
      </c>
      <c r="G5875">
        <v>77970824</v>
      </c>
      <c r="H5875">
        <v>77970730</v>
      </c>
      <c r="I5875">
        <v>77970743</v>
      </c>
    </row>
    <row r="5876" spans="1:9" x14ac:dyDescent="0.2">
      <c r="A5876" t="str">
        <f>"Eif3e"</f>
        <v>Eif3e</v>
      </c>
      <c r="B5876" t="s">
        <v>14</v>
      </c>
      <c r="C5876" t="s">
        <v>25</v>
      </c>
      <c r="D5876" t="s">
        <v>11</v>
      </c>
      <c r="E5876" t="s">
        <v>12</v>
      </c>
      <c r="F5876">
        <v>43282695</v>
      </c>
      <c r="G5876">
        <v>43282728</v>
      </c>
      <c r="H5876">
        <v>43282695</v>
      </c>
      <c r="I5876">
        <v>43282728</v>
      </c>
    </row>
    <row r="5877" spans="1:9" x14ac:dyDescent="0.2">
      <c r="A5877" t="str">
        <f>"Eif3f"</f>
        <v>Eif3f</v>
      </c>
      <c r="B5877" t="s">
        <v>14</v>
      </c>
      <c r="C5877" t="s">
        <v>33</v>
      </c>
      <c r="D5877" t="s">
        <v>17</v>
      </c>
      <c r="E5877" t="s">
        <v>12</v>
      </c>
      <c r="F5877">
        <v>108934405</v>
      </c>
      <c r="G5877">
        <v>108934430</v>
      </c>
      <c r="H5877">
        <v>108934405</v>
      </c>
      <c r="I5877">
        <v>108934430</v>
      </c>
    </row>
    <row r="5878" spans="1:9" x14ac:dyDescent="0.2">
      <c r="A5878" t="str">
        <f>"Eif3g"</f>
        <v>Eif3g</v>
      </c>
      <c r="B5878" t="s">
        <v>14</v>
      </c>
      <c r="C5878" t="s">
        <v>24</v>
      </c>
      <c r="D5878" t="s">
        <v>11</v>
      </c>
      <c r="E5878" t="s">
        <v>12</v>
      </c>
      <c r="F5878">
        <v>20898592</v>
      </c>
      <c r="G5878">
        <v>20898631</v>
      </c>
      <c r="H5878">
        <v>20898592</v>
      </c>
      <c r="I5878">
        <v>20898631</v>
      </c>
    </row>
    <row r="5879" spans="1:9" x14ac:dyDescent="0.2">
      <c r="A5879" t="str">
        <f>"Eif3h"</f>
        <v>Eif3h</v>
      </c>
      <c r="B5879" t="s">
        <v>14</v>
      </c>
      <c r="C5879" t="s">
        <v>25</v>
      </c>
      <c r="D5879" t="s">
        <v>11</v>
      </c>
      <c r="E5879" t="s">
        <v>12</v>
      </c>
      <c r="F5879">
        <v>51865448</v>
      </c>
      <c r="G5879">
        <v>51865474</v>
      </c>
      <c r="H5879">
        <v>51865498</v>
      </c>
      <c r="I5879">
        <v>51865517</v>
      </c>
    </row>
    <row r="5880" spans="1:9" x14ac:dyDescent="0.2">
      <c r="A5880" t="str">
        <f>"Eif3i"</f>
        <v>Eif3i</v>
      </c>
      <c r="B5880" t="s">
        <v>14</v>
      </c>
      <c r="C5880" t="s">
        <v>23</v>
      </c>
      <c r="D5880" t="s">
        <v>11</v>
      </c>
      <c r="E5880" t="s">
        <v>12</v>
      </c>
      <c r="F5880">
        <v>129600608</v>
      </c>
      <c r="G5880">
        <v>129600639</v>
      </c>
      <c r="H5880">
        <v>129600642</v>
      </c>
      <c r="I5880">
        <v>129600653</v>
      </c>
    </row>
    <row r="5881" spans="1:9" x14ac:dyDescent="0.2">
      <c r="A5881" t="str">
        <f>"Eif3j1"</f>
        <v>Eif3j1</v>
      </c>
      <c r="B5881" t="s">
        <v>14</v>
      </c>
      <c r="C5881" t="s">
        <v>26</v>
      </c>
      <c r="D5881" t="s">
        <v>17</v>
      </c>
      <c r="E5881" t="s">
        <v>67</v>
      </c>
      <c r="F5881">
        <v>122028601</v>
      </c>
      <c r="G5881">
        <v>122028664</v>
      </c>
      <c r="H5881">
        <v>122028544</v>
      </c>
      <c r="I5881">
        <v>122028563</v>
      </c>
    </row>
    <row r="5882" spans="1:9" x14ac:dyDescent="0.2">
      <c r="A5882" t="str">
        <f>"Eif3j2"</f>
        <v>Eif3j2</v>
      </c>
      <c r="B5882" t="s">
        <v>14</v>
      </c>
      <c r="C5882" t="s">
        <v>43</v>
      </c>
      <c r="D5882" t="s">
        <v>11</v>
      </c>
      <c r="E5882" t="s">
        <v>67</v>
      </c>
      <c r="F5882">
        <v>43477764</v>
      </c>
      <c r="G5882">
        <v>43477801</v>
      </c>
      <c r="H5882">
        <v>43477764</v>
      </c>
      <c r="I5882">
        <v>43477801</v>
      </c>
    </row>
    <row r="5883" spans="1:9" x14ac:dyDescent="0.2">
      <c r="A5883" t="str">
        <f>"Eif3k"</f>
        <v>Eif3k</v>
      </c>
      <c r="B5883" t="s">
        <v>14</v>
      </c>
      <c r="C5883" t="s">
        <v>33</v>
      </c>
      <c r="D5883" t="s">
        <v>11</v>
      </c>
      <c r="E5883" t="s">
        <v>12</v>
      </c>
      <c r="F5883">
        <v>28981787</v>
      </c>
      <c r="G5883">
        <v>28981821</v>
      </c>
      <c r="H5883">
        <v>28981936</v>
      </c>
      <c r="I5883">
        <v>28981979</v>
      </c>
    </row>
    <row r="5884" spans="1:9" x14ac:dyDescent="0.2">
      <c r="A5884" t="str">
        <f>"Eif3l"</f>
        <v>Eif3l</v>
      </c>
      <c r="B5884" t="s">
        <v>14</v>
      </c>
      <c r="C5884" t="s">
        <v>25</v>
      </c>
      <c r="D5884" t="s">
        <v>17</v>
      </c>
      <c r="E5884" t="s">
        <v>12</v>
      </c>
      <c r="F5884">
        <v>79075209</v>
      </c>
      <c r="G5884">
        <v>79075245</v>
      </c>
      <c r="H5884">
        <v>79075209</v>
      </c>
      <c r="I5884">
        <v>79075245</v>
      </c>
    </row>
    <row r="5885" spans="1:9" x14ac:dyDescent="0.2">
      <c r="A5885" t="str">
        <f>"Eif3m"</f>
        <v>Eif3m</v>
      </c>
      <c r="B5885" t="s">
        <v>14</v>
      </c>
      <c r="C5885" t="s">
        <v>26</v>
      </c>
      <c r="D5885" t="s">
        <v>11</v>
      </c>
      <c r="E5885" t="s">
        <v>12</v>
      </c>
      <c r="F5885">
        <v>105017015</v>
      </c>
      <c r="G5885">
        <v>105017075</v>
      </c>
      <c r="H5885">
        <v>105017015</v>
      </c>
      <c r="I5885">
        <v>105017075</v>
      </c>
    </row>
    <row r="5886" spans="1:9" x14ac:dyDescent="0.2">
      <c r="A5886" t="str">
        <f>"Eif4a1"</f>
        <v>Eif4a1</v>
      </c>
      <c r="B5886" t="s">
        <v>14</v>
      </c>
      <c r="C5886" t="s">
        <v>27</v>
      </c>
      <c r="D5886" t="s">
        <v>11</v>
      </c>
      <c r="E5886" t="s">
        <v>12</v>
      </c>
      <c r="F5886">
        <v>69672307</v>
      </c>
      <c r="G5886">
        <v>69672332</v>
      </c>
      <c r="H5886">
        <v>69672334</v>
      </c>
      <c r="I5886">
        <v>69672359</v>
      </c>
    </row>
    <row r="5887" spans="1:9" x14ac:dyDescent="0.2">
      <c r="A5887" t="str">
        <f>"Eif4a2"</f>
        <v>Eif4a2</v>
      </c>
      <c r="B5887" t="s">
        <v>14</v>
      </c>
      <c r="C5887" t="s">
        <v>31</v>
      </c>
      <c r="D5887" t="s">
        <v>17</v>
      </c>
      <c r="E5887" t="s">
        <v>12</v>
      </c>
      <c r="F5887">
        <v>23107754</v>
      </c>
      <c r="G5887">
        <v>23107761</v>
      </c>
      <c r="H5887">
        <v>23107446</v>
      </c>
      <c r="I5887">
        <v>23107478</v>
      </c>
    </row>
    <row r="5888" spans="1:9" x14ac:dyDescent="0.2">
      <c r="A5888" t="str">
        <f>"Eif4a3"</f>
        <v>Eif4a3</v>
      </c>
      <c r="B5888" t="s">
        <v>14</v>
      </c>
      <c r="C5888" t="s">
        <v>27</v>
      </c>
      <c r="D5888" t="s">
        <v>11</v>
      </c>
      <c r="E5888" t="s">
        <v>12</v>
      </c>
      <c r="F5888">
        <v>119300004</v>
      </c>
      <c r="G5888">
        <v>119300034</v>
      </c>
      <c r="H5888">
        <v>119300039</v>
      </c>
      <c r="I5888">
        <v>119300064</v>
      </c>
    </row>
    <row r="5889" spans="1:9" x14ac:dyDescent="0.2">
      <c r="A5889" t="str">
        <f>"Eif4b"</f>
        <v>Eif4b</v>
      </c>
      <c r="B5889" t="s">
        <v>14</v>
      </c>
      <c r="C5889" t="s">
        <v>25</v>
      </c>
      <c r="D5889" t="s">
        <v>17</v>
      </c>
      <c r="E5889" t="s">
        <v>12</v>
      </c>
      <c r="F5889">
        <v>102073915</v>
      </c>
      <c r="G5889">
        <v>102073934</v>
      </c>
      <c r="H5889">
        <v>102073891</v>
      </c>
      <c r="I5889">
        <v>102073903</v>
      </c>
    </row>
    <row r="5890" spans="1:9" x14ac:dyDescent="0.2">
      <c r="A5890" t="str">
        <f>"Eif4e"</f>
        <v>Eif4e</v>
      </c>
      <c r="B5890" t="s">
        <v>14</v>
      </c>
      <c r="C5890" t="s">
        <v>22</v>
      </c>
      <c r="D5890" t="s">
        <v>17</v>
      </c>
      <c r="E5890" t="s">
        <v>12</v>
      </c>
      <c r="F5890">
        <v>138526174</v>
      </c>
      <c r="G5890">
        <v>138526178</v>
      </c>
      <c r="H5890">
        <v>138526231</v>
      </c>
      <c r="I5890">
        <v>138526243</v>
      </c>
    </row>
    <row r="5891" spans="1:9" x14ac:dyDescent="0.2">
      <c r="A5891" t="str">
        <f>"Eif4e1b"</f>
        <v>Eif4e1b</v>
      </c>
      <c r="B5891" t="s">
        <v>14</v>
      </c>
      <c r="C5891" t="s">
        <v>39</v>
      </c>
      <c r="D5891" t="s">
        <v>17</v>
      </c>
      <c r="E5891" t="s">
        <v>12</v>
      </c>
      <c r="F5891">
        <v>54783988</v>
      </c>
      <c r="G5891">
        <v>54783993</v>
      </c>
      <c r="H5891">
        <v>54783988</v>
      </c>
      <c r="I5891">
        <v>54783993</v>
      </c>
    </row>
    <row r="5892" spans="1:9" x14ac:dyDescent="0.2">
      <c r="A5892" t="str">
        <f>"Eif4e2"</f>
        <v>Eif4e2</v>
      </c>
      <c r="B5892" t="s">
        <v>14</v>
      </c>
      <c r="C5892" t="s">
        <v>19</v>
      </c>
      <c r="D5892" t="s">
        <v>17</v>
      </c>
      <c r="E5892" t="s">
        <v>12</v>
      </c>
      <c r="F5892">
        <v>87213924</v>
      </c>
      <c r="G5892">
        <v>87213990</v>
      </c>
      <c r="H5892">
        <v>87214301</v>
      </c>
      <c r="I5892">
        <v>87214369</v>
      </c>
    </row>
    <row r="5893" spans="1:9" x14ac:dyDescent="0.2">
      <c r="A5893" t="str">
        <f>"Eif4e3"</f>
        <v>Eif4e3</v>
      </c>
      <c r="B5893" t="s">
        <v>14</v>
      </c>
      <c r="C5893" t="s">
        <v>32</v>
      </c>
      <c r="D5893" t="s">
        <v>11</v>
      </c>
      <c r="E5893" t="s">
        <v>12</v>
      </c>
      <c r="F5893">
        <v>99666762</v>
      </c>
      <c r="G5893">
        <v>99666786</v>
      </c>
      <c r="H5893">
        <v>99666790</v>
      </c>
      <c r="I5893">
        <v>99666823</v>
      </c>
    </row>
    <row r="5894" spans="1:9" x14ac:dyDescent="0.2">
      <c r="A5894" t="str">
        <f>"Eif4ebp1"</f>
        <v>Eif4ebp1</v>
      </c>
      <c r="B5894" t="s">
        <v>14</v>
      </c>
      <c r="C5894" t="s">
        <v>30</v>
      </c>
      <c r="D5894" t="s">
        <v>17</v>
      </c>
      <c r="E5894" t="s">
        <v>12</v>
      </c>
      <c r="F5894">
        <v>27260332</v>
      </c>
      <c r="G5894">
        <v>27260370</v>
      </c>
      <c r="H5894">
        <v>27260395</v>
      </c>
      <c r="I5894">
        <v>27260418</v>
      </c>
    </row>
    <row r="5895" spans="1:9" x14ac:dyDescent="0.2">
      <c r="A5895" t="str">
        <f>"Eif4ebp2"</f>
        <v>Eif4ebp2</v>
      </c>
      <c r="B5895" t="s">
        <v>14</v>
      </c>
      <c r="C5895" t="s">
        <v>15</v>
      </c>
      <c r="D5895" t="s">
        <v>11</v>
      </c>
      <c r="E5895" t="s">
        <v>12</v>
      </c>
      <c r="F5895">
        <v>61452772</v>
      </c>
      <c r="G5895">
        <v>61452813</v>
      </c>
      <c r="H5895">
        <v>61452569</v>
      </c>
      <c r="I5895">
        <v>61452604</v>
      </c>
    </row>
    <row r="5896" spans="1:9" x14ac:dyDescent="0.2">
      <c r="A5896" t="str">
        <f>"Eif4ebp3"</f>
        <v>Eif4ebp3</v>
      </c>
      <c r="B5896" t="s">
        <v>14</v>
      </c>
      <c r="C5896" t="s">
        <v>43</v>
      </c>
      <c r="D5896" t="s">
        <v>17</v>
      </c>
      <c r="E5896" t="s">
        <v>12</v>
      </c>
      <c r="F5896">
        <v>36664132</v>
      </c>
      <c r="G5896">
        <v>36664157</v>
      </c>
      <c r="H5896">
        <v>36664132</v>
      </c>
      <c r="I5896">
        <v>36664157</v>
      </c>
    </row>
    <row r="5897" spans="1:9" x14ac:dyDescent="0.2">
      <c r="A5897" t="str">
        <f>"Eif4enif1"</f>
        <v>Eif4enif1</v>
      </c>
      <c r="B5897" t="s">
        <v>14</v>
      </c>
      <c r="C5897" t="s">
        <v>27</v>
      </c>
      <c r="D5897" t="s">
        <v>17</v>
      </c>
      <c r="E5897" t="s">
        <v>12</v>
      </c>
      <c r="F5897">
        <v>3202684</v>
      </c>
      <c r="G5897">
        <v>3202729</v>
      </c>
      <c r="H5897">
        <v>3202612</v>
      </c>
      <c r="I5897">
        <v>3202654</v>
      </c>
    </row>
    <row r="5898" spans="1:9" x14ac:dyDescent="0.2">
      <c r="A5898" t="str">
        <f>"Eif4g1"</f>
        <v>Eif4g1</v>
      </c>
      <c r="B5898" t="s">
        <v>14</v>
      </c>
      <c r="C5898" t="s">
        <v>31</v>
      </c>
      <c r="D5898" t="s">
        <v>17</v>
      </c>
      <c r="E5898" t="s">
        <v>12</v>
      </c>
      <c r="F5898">
        <v>20672716</v>
      </c>
      <c r="G5898">
        <v>20672859</v>
      </c>
      <c r="H5898">
        <v>20673264</v>
      </c>
      <c r="I5898">
        <v>20673362</v>
      </c>
    </row>
    <row r="5899" spans="1:9" x14ac:dyDescent="0.2">
      <c r="A5899" t="str">
        <f>"Eif4g2"</f>
        <v>Eif4g2</v>
      </c>
      <c r="B5899" t="s">
        <v>9</v>
      </c>
      <c r="C5899" t="s">
        <v>33</v>
      </c>
      <c r="D5899" t="s">
        <v>11</v>
      </c>
      <c r="E5899" t="s">
        <v>12</v>
      </c>
      <c r="F5899">
        <v>111082997</v>
      </c>
      <c r="G5899">
        <v>111083037</v>
      </c>
      <c r="H5899">
        <v>111082997</v>
      </c>
      <c r="I5899">
        <v>111083037</v>
      </c>
    </row>
    <row r="5900" spans="1:9" x14ac:dyDescent="0.2">
      <c r="A5900" t="str">
        <f>"Eif4g2"</f>
        <v>Eif4g2</v>
      </c>
      <c r="B5900" t="s">
        <v>13</v>
      </c>
      <c r="C5900" t="s">
        <v>33</v>
      </c>
      <c r="D5900" t="s">
        <v>11</v>
      </c>
      <c r="E5900" t="s">
        <v>12</v>
      </c>
      <c r="F5900">
        <v>111081596</v>
      </c>
      <c r="G5900">
        <v>111081637</v>
      </c>
      <c r="H5900">
        <v>111081596</v>
      </c>
      <c r="I5900">
        <v>111081637</v>
      </c>
    </row>
    <row r="5901" spans="1:9" x14ac:dyDescent="0.2">
      <c r="A5901" t="str">
        <f>"Eif4g3"</f>
        <v>Eif4g3</v>
      </c>
      <c r="B5901" t="s">
        <v>14</v>
      </c>
      <c r="C5901" t="s">
        <v>23</v>
      </c>
      <c r="D5901" t="s">
        <v>17</v>
      </c>
      <c r="E5901" t="s">
        <v>12</v>
      </c>
      <c r="F5901">
        <v>137993445</v>
      </c>
      <c r="G5901">
        <v>137993474</v>
      </c>
      <c r="H5901">
        <v>137993478</v>
      </c>
      <c r="I5901">
        <v>137993504</v>
      </c>
    </row>
    <row r="5902" spans="1:9" x14ac:dyDescent="0.2">
      <c r="A5902" t="str">
        <f>"Eif4h"</f>
        <v>Eif4h</v>
      </c>
      <c r="B5902" t="s">
        <v>14</v>
      </c>
      <c r="C5902" t="s">
        <v>46</v>
      </c>
      <c r="D5902" t="s">
        <v>11</v>
      </c>
      <c r="E5902" t="s">
        <v>12</v>
      </c>
      <c r="F5902">
        <v>134639311</v>
      </c>
      <c r="G5902">
        <v>134639348</v>
      </c>
      <c r="H5902">
        <v>134639486</v>
      </c>
      <c r="I5902">
        <v>134639522</v>
      </c>
    </row>
    <row r="5903" spans="1:9" x14ac:dyDescent="0.2">
      <c r="A5903" t="str">
        <f>"Eif5"</f>
        <v>Eif5</v>
      </c>
      <c r="B5903" t="s">
        <v>14</v>
      </c>
      <c r="C5903" t="s">
        <v>16</v>
      </c>
      <c r="D5903" t="s">
        <v>17</v>
      </c>
      <c r="E5903" t="s">
        <v>12</v>
      </c>
      <c r="F5903">
        <v>111538149</v>
      </c>
      <c r="G5903">
        <v>111538243</v>
      </c>
      <c r="H5903">
        <v>111538149</v>
      </c>
      <c r="I5903">
        <v>111538243</v>
      </c>
    </row>
    <row r="5904" spans="1:9" x14ac:dyDescent="0.2">
      <c r="A5904" t="str">
        <f>"Eif5a"</f>
        <v>Eif5a</v>
      </c>
      <c r="B5904" t="s">
        <v>14</v>
      </c>
      <c r="C5904" t="s">
        <v>27</v>
      </c>
      <c r="D5904" t="s">
        <v>11</v>
      </c>
      <c r="E5904" t="s">
        <v>12</v>
      </c>
      <c r="F5904">
        <v>69921244</v>
      </c>
      <c r="G5904">
        <v>69921323</v>
      </c>
      <c r="H5904">
        <v>69921227</v>
      </c>
      <c r="I5904">
        <v>69921243</v>
      </c>
    </row>
    <row r="5905" spans="1:9" x14ac:dyDescent="0.2">
      <c r="A5905" t="str">
        <f>"Eif5a2"</f>
        <v>Eif5a2</v>
      </c>
      <c r="B5905" t="s">
        <v>14</v>
      </c>
      <c r="C5905" t="s">
        <v>22</v>
      </c>
      <c r="D5905" t="s">
        <v>17</v>
      </c>
      <c r="E5905" t="s">
        <v>12</v>
      </c>
      <c r="F5905">
        <v>28781305</v>
      </c>
      <c r="G5905">
        <v>28781344</v>
      </c>
      <c r="H5905">
        <v>28781345</v>
      </c>
      <c r="I5905">
        <v>28781374</v>
      </c>
    </row>
    <row r="5906" spans="1:9" x14ac:dyDescent="0.2">
      <c r="A5906" t="str">
        <f>"Eif5b"</f>
        <v>Eif5b</v>
      </c>
      <c r="B5906" t="s">
        <v>14</v>
      </c>
      <c r="C5906" t="s">
        <v>19</v>
      </c>
      <c r="D5906" t="s">
        <v>17</v>
      </c>
      <c r="E5906" t="s">
        <v>12</v>
      </c>
      <c r="F5906">
        <v>37998115</v>
      </c>
      <c r="G5906">
        <v>37998149</v>
      </c>
      <c r="H5906">
        <v>37998097</v>
      </c>
      <c r="I5906">
        <v>37998114</v>
      </c>
    </row>
    <row r="5907" spans="1:9" x14ac:dyDescent="0.2">
      <c r="A5907" t="str">
        <f>"Eif6"</f>
        <v>Eif6</v>
      </c>
      <c r="B5907" t="s">
        <v>14</v>
      </c>
      <c r="C5907" t="s">
        <v>26</v>
      </c>
      <c r="D5907" t="s">
        <v>11</v>
      </c>
      <c r="E5907" t="s">
        <v>12</v>
      </c>
      <c r="F5907">
        <v>155826647</v>
      </c>
      <c r="G5907">
        <v>155826710</v>
      </c>
      <c r="H5907">
        <v>155826465</v>
      </c>
      <c r="I5907">
        <v>155826481</v>
      </c>
    </row>
    <row r="5908" spans="1:9" x14ac:dyDescent="0.2">
      <c r="A5908" t="str">
        <f>"Elac1"</f>
        <v>Elac1</v>
      </c>
      <c r="B5908" t="s">
        <v>14</v>
      </c>
      <c r="C5908" t="s">
        <v>43</v>
      </c>
      <c r="D5908" t="s">
        <v>11</v>
      </c>
      <c r="E5908" t="s">
        <v>12</v>
      </c>
      <c r="F5908">
        <v>73754457</v>
      </c>
      <c r="G5908">
        <v>73754503</v>
      </c>
      <c r="H5908">
        <v>73754443</v>
      </c>
      <c r="I5908">
        <v>73754448</v>
      </c>
    </row>
    <row r="5909" spans="1:9" x14ac:dyDescent="0.2">
      <c r="A5909" t="str">
        <f>"Elac2"</f>
        <v>Elac2</v>
      </c>
      <c r="B5909" t="s">
        <v>14</v>
      </c>
      <c r="C5909" t="s">
        <v>27</v>
      </c>
      <c r="D5909" t="s">
        <v>17</v>
      </c>
      <c r="E5909" t="s">
        <v>12</v>
      </c>
      <c r="F5909">
        <v>64979025</v>
      </c>
      <c r="G5909">
        <v>64979110</v>
      </c>
      <c r="H5909">
        <v>64979121</v>
      </c>
      <c r="I5909">
        <v>64979136</v>
      </c>
    </row>
    <row r="5910" spans="1:9" x14ac:dyDescent="0.2">
      <c r="A5910" t="str">
        <f>"Elane"</f>
        <v>Elane</v>
      </c>
      <c r="B5910" t="s">
        <v>14</v>
      </c>
      <c r="C5910" t="s">
        <v>15</v>
      </c>
      <c r="D5910" t="s">
        <v>17</v>
      </c>
      <c r="E5910" t="s">
        <v>12</v>
      </c>
      <c r="F5910">
        <v>79886302</v>
      </c>
      <c r="G5910">
        <v>79886319</v>
      </c>
      <c r="H5910">
        <v>79886302</v>
      </c>
      <c r="I5910">
        <v>79886319</v>
      </c>
    </row>
    <row r="5911" spans="1:9" x14ac:dyDescent="0.2">
      <c r="A5911" t="str">
        <f>"Elavl1"</f>
        <v>Elavl1</v>
      </c>
      <c r="B5911" t="s">
        <v>14</v>
      </c>
      <c r="C5911" t="s">
        <v>30</v>
      </c>
      <c r="D5911" t="s">
        <v>11</v>
      </c>
      <c r="E5911" t="s">
        <v>12</v>
      </c>
      <c r="F5911">
        <v>4324999</v>
      </c>
      <c r="G5911">
        <v>4325091</v>
      </c>
      <c r="H5911">
        <v>4325096</v>
      </c>
      <c r="I5911">
        <v>4325110</v>
      </c>
    </row>
    <row r="5912" spans="1:9" x14ac:dyDescent="0.2">
      <c r="A5912" t="str">
        <f>"Elavl2"</f>
        <v>Elavl2</v>
      </c>
      <c r="B5912" t="s">
        <v>14</v>
      </c>
      <c r="C5912" t="s">
        <v>23</v>
      </c>
      <c r="D5912" t="s">
        <v>11</v>
      </c>
      <c r="E5912" t="s">
        <v>12</v>
      </c>
      <c r="F5912">
        <v>91376433</v>
      </c>
      <c r="G5912">
        <v>91376477</v>
      </c>
      <c r="H5912">
        <v>91376362</v>
      </c>
      <c r="I5912">
        <v>91376377</v>
      </c>
    </row>
    <row r="5913" spans="1:9" x14ac:dyDescent="0.2">
      <c r="A5913" t="str">
        <f>"Elavl3"</f>
        <v>Elavl3</v>
      </c>
      <c r="B5913" t="s">
        <v>14</v>
      </c>
      <c r="C5913" t="s">
        <v>24</v>
      </c>
      <c r="D5913" t="s">
        <v>11</v>
      </c>
      <c r="E5913" t="s">
        <v>12</v>
      </c>
      <c r="F5913">
        <v>22052021</v>
      </c>
      <c r="G5913">
        <v>22052026</v>
      </c>
      <c r="H5913">
        <v>22051963</v>
      </c>
      <c r="I5913">
        <v>22051983</v>
      </c>
    </row>
    <row r="5914" spans="1:9" x14ac:dyDescent="0.2">
      <c r="A5914" t="str">
        <f>"Elavl4"</f>
        <v>Elavl4</v>
      </c>
      <c r="B5914" t="s">
        <v>14</v>
      </c>
      <c r="C5914" t="s">
        <v>23</v>
      </c>
      <c r="D5914" t="s">
        <v>11</v>
      </c>
      <c r="E5914" t="s">
        <v>12</v>
      </c>
      <c r="F5914">
        <v>110287479</v>
      </c>
      <c r="G5914">
        <v>110287534</v>
      </c>
      <c r="H5914">
        <v>110286581</v>
      </c>
      <c r="I5914">
        <v>110286617</v>
      </c>
    </row>
    <row r="5915" spans="1:9" x14ac:dyDescent="0.2">
      <c r="A5915" t="str">
        <f>"Elf1"</f>
        <v>Elf1</v>
      </c>
      <c r="B5915" t="s">
        <v>9</v>
      </c>
      <c r="C5915" t="s">
        <v>41</v>
      </c>
      <c r="D5915" t="s">
        <v>17</v>
      </c>
      <c r="E5915" t="s">
        <v>12</v>
      </c>
      <c r="F5915">
        <v>79515618</v>
      </c>
      <c r="G5915">
        <v>79515694</v>
      </c>
      <c r="H5915">
        <v>79515618</v>
      </c>
      <c r="I5915">
        <v>79515694</v>
      </c>
    </row>
    <row r="5916" spans="1:9" x14ac:dyDescent="0.2">
      <c r="A5916" t="str">
        <f>"Elf1"</f>
        <v>Elf1</v>
      </c>
      <c r="B5916" t="s">
        <v>13</v>
      </c>
      <c r="C5916" t="s">
        <v>41</v>
      </c>
      <c r="D5916" t="s">
        <v>17</v>
      </c>
      <c r="E5916" t="s">
        <v>12</v>
      </c>
      <c r="F5916">
        <v>79481164</v>
      </c>
      <c r="G5916">
        <v>79481185</v>
      </c>
      <c r="H5916">
        <v>79481164</v>
      </c>
      <c r="I5916">
        <v>79481185</v>
      </c>
    </row>
    <row r="5917" spans="1:9" x14ac:dyDescent="0.2">
      <c r="A5917" t="str">
        <f>"Elf2"</f>
        <v>Elf2</v>
      </c>
      <c r="B5917" t="s">
        <v>2418</v>
      </c>
      <c r="C5917" t="s">
        <v>22</v>
      </c>
      <c r="D5917" t="s">
        <v>11</v>
      </c>
      <c r="E5917" t="s">
        <v>35</v>
      </c>
      <c r="F5917">
        <v>51340818</v>
      </c>
      <c r="G5917">
        <v>51340821</v>
      </c>
      <c r="H5917">
        <v>51340514</v>
      </c>
      <c r="I5917">
        <v>51340521</v>
      </c>
    </row>
    <row r="5918" spans="1:9" x14ac:dyDescent="0.2">
      <c r="A5918" t="str">
        <f>"Elf3"</f>
        <v>Elf3</v>
      </c>
      <c r="B5918" t="s">
        <v>14</v>
      </c>
      <c r="C5918" t="s">
        <v>19</v>
      </c>
      <c r="D5918" t="s">
        <v>11</v>
      </c>
      <c r="E5918" t="s">
        <v>12</v>
      </c>
      <c r="F5918">
        <v>135258449</v>
      </c>
      <c r="G5918">
        <v>135258465</v>
      </c>
      <c r="H5918">
        <v>135258449</v>
      </c>
      <c r="I5918">
        <v>135258465</v>
      </c>
    </row>
    <row r="5919" spans="1:9" x14ac:dyDescent="0.2">
      <c r="A5919" t="str">
        <f>"Elf4"</f>
        <v>Elf4</v>
      </c>
      <c r="B5919" t="s">
        <v>14</v>
      </c>
      <c r="C5919" t="s">
        <v>37</v>
      </c>
      <c r="D5919" t="s">
        <v>11</v>
      </c>
      <c r="E5919" t="s">
        <v>12</v>
      </c>
      <c r="F5919">
        <v>48454152</v>
      </c>
      <c r="G5919">
        <v>48454193</v>
      </c>
      <c r="H5919">
        <v>48454312</v>
      </c>
      <c r="I5919">
        <v>48454325</v>
      </c>
    </row>
    <row r="5920" spans="1:9" x14ac:dyDescent="0.2">
      <c r="A5920" t="str">
        <f>"Elf5"</f>
        <v>Elf5</v>
      </c>
      <c r="B5920" t="s">
        <v>14</v>
      </c>
      <c r="C5920" t="s">
        <v>26</v>
      </c>
      <c r="D5920" t="s">
        <v>17</v>
      </c>
      <c r="E5920" t="s">
        <v>12</v>
      </c>
      <c r="F5920">
        <v>103424056</v>
      </c>
      <c r="G5920">
        <v>103424076</v>
      </c>
      <c r="H5920">
        <v>103424088</v>
      </c>
      <c r="I5920">
        <v>103424111</v>
      </c>
    </row>
    <row r="5921" spans="1:9" x14ac:dyDescent="0.2">
      <c r="A5921" t="str">
        <f>"Elfn1"</f>
        <v>Elfn1</v>
      </c>
      <c r="B5921" t="s">
        <v>14</v>
      </c>
      <c r="C5921" t="s">
        <v>46</v>
      </c>
      <c r="D5921" t="s">
        <v>17</v>
      </c>
      <c r="E5921" t="s">
        <v>12</v>
      </c>
      <c r="F5921">
        <v>139907833</v>
      </c>
      <c r="G5921">
        <v>139907877</v>
      </c>
      <c r="H5921">
        <v>139908006</v>
      </c>
      <c r="I5921">
        <v>139908019</v>
      </c>
    </row>
    <row r="5922" spans="1:9" x14ac:dyDescent="0.2">
      <c r="A5922" t="str">
        <f>"Elfn2"</f>
        <v>Elfn2</v>
      </c>
      <c r="B5922" t="s">
        <v>14</v>
      </c>
      <c r="C5922" t="s">
        <v>25</v>
      </c>
      <c r="D5922" t="s">
        <v>11</v>
      </c>
      <c r="E5922" t="s">
        <v>12</v>
      </c>
      <c r="F5922">
        <v>78718515</v>
      </c>
      <c r="G5922">
        <v>78718555</v>
      </c>
      <c r="H5922">
        <v>78718515</v>
      </c>
      <c r="I5922">
        <v>78718555</v>
      </c>
    </row>
    <row r="5923" spans="1:9" x14ac:dyDescent="0.2">
      <c r="A5923" t="str">
        <f>"Elk1"</f>
        <v>Elk1</v>
      </c>
      <c r="B5923" t="s">
        <v>14</v>
      </c>
      <c r="C5923" t="s">
        <v>37</v>
      </c>
      <c r="D5923" t="s">
        <v>11</v>
      </c>
      <c r="E5923" t="s">
        <v>12</v>
      </c>
      <c r="F5923">
        <v>20950545</v>
      </c>
      <c r="G5923">
        <v>20950593</v>
      </c>
      <c r="H5923">
        <v>20950597</v>
      </c>
      <c r="I5923">
        <v>20950613</v>
      </c>
    </row>
    <row r="5924" spans="1:9" x14ac:dyDescent="0.2">
      <c r="A5924" t="str">
        <f>"Elk3"</f>
        <v>Elk3</v>
      </c>
      <c r="B5924" t="s">
        <v>14</v>
      </c>
      <c r="C5924" t="s">
        <v>15</v>
      </c>
      <c r="D5924" t="s">
        <v>11</v>
      </c>
      <c r="E5924" t="s">
        <v>12</v>
      </c>
      <c r="F5924">
        <v>93310846</v>
      </c>
      <c r="G5924">
        <v>93310878</v>
      </c>
      <c r="H5924">
        <v>93311073</v>
      </c>
      <c r="I5924">
        <v>93311161</v>
      </c>
    </row>
    <row r="5925" spans="1:9" x14ac:dyDescent="0.2">
      <c r="A5925" t="str">
        <f>"Elk4"</f>
        <v>Elk4</v>
      </c>
      <c r="B5925" t="s">
        <v>14</v>
      </c>
      <c r="C5925" t="s">
        <v>19</v>
      </c>
      <c r="D5925" t="s">
        <v>17</v>
      </c>
      <c r="E5925" t="s">
        <v>12</v>
      </c>
      <c r="F5925">
        <v>132007606</v>
      </c>
      <c r="G5925">
        <v>132007634</v>
      </c>
      <c r="H5925">
        <v>132008093</v>
      </c>
      <c r="I5925">
        <v>132008154</v>
      </c>
    </row>
    <row r="5926" spans="1:9" x14ac:dyDescent="0.2">
      <c r="A5926" t="str">
        <f>"Ell"</f>
        <v>Ell</v>
      </c>
      <c r="B5926" t="s">
        <v>14</v>
      </c>
      <c r="C5926" t="s">
        <v>30</v>
      </c>
      <c r="D5926" t="s">
        <v>17</v>
      </c>
      <c r="E5926" t="s">
        <v>12</v>
      </c>
      <c r="F5926">
        <v>70539685</v>
      </c>
      <c r="G5926">
        <v>70539710</v>
      </c>
      <c r="H5926">
        <v>70539266</v>
      </c>
      <c r="I5926">
        <v>70539281</v>
      </c>
    </row>
    <row r="5927" spans="1:9" x14ac:dyDescent="0.2">
      <c r="A5927" t="str">
        <f>"Ell2"</f>
        <v>Ell2</v>
      </c>
      <c r="B5927" t="s">
        <v>14</v>
      </c>
      <c r="C5927" t="s">
        <v>39</v>
      </c>
      <c r="D5927" t="s">
        <v>17</v>
      </c>
      <c r="E5927" t="s">
        <v>12</v>
      </c>
      <c r="F5927">
        <v>75707513</v>
      </c>
      <c r="G5927">
        <v>75707544</v>
      </c>
      <c r="H5927">
        <v>75707484</v>
      </c>
      <c r="I5927">
        <v>75707510</v>
      </c>
    </row>
    <row r="5928" spans="1:9" x14ac:dyDescent="0.2">
      <c r="A5928" t="str">
        <f>"Ell3"</f>
        <v>Ell3</v>
      </c>
      <c r="B5928" t="s">
        <v>14</v>
      </c>
      <c r="C5928" t="s">
        <v>26</v>
      </c>
      <c r="D5928" t="s">
        <v>11</v>
      </c>
      <c r="E5928" t="s">
        <v>12</v>
      </c>
      <c r="F5928">
        <v>121442574</v>
      </c>
      <c r="G5928">
        <v>121442614</v>
      </c>
      <c r="H5928">
        <v>121442562</v>
      </c>
      <c r="I5928">
        <v>121442570</v>
      </c>
    </row>
    <row r="5929" spans="1:9" x14ac:dyDescent="0.2">
      <c r="A5929" t="str">
        <f>"Elmo1"</f>
        <v>Elmo1</v>
      </c>
      <c r="B5929" t="s">
        <v>14</v>
      </c>
      <c r="C5929" t="s">
        <v>39</v>
      </c>
      <c r="D5929" t="s">
        <v>17</v>
      </c>
      <c r="E5929" t="s">
        <v>12</v>
      </c>
      <c r="F5929">
        <v>20090538</v>
      </c>
      <c r="G5929">
        <v>20090633</v>
      </c>
      <c r="H5929">
        <v>20090538</v>
      </c>
      <c r="I5929">
        <v>20090633</v>
      </c>
    </row>
    <row r="5930" spans="1:9" x14ac:dyDescent="0.2">
      <c r="A5930" t="str">
        <f>"Elmo2"</f>
        <v>Elmo2</v>
      </c>
      <c r="B5930" t="s">
        <v>14</v>
      </c>
      <c r="C5930" t="s">
        <v>26</v>
      </c>
      <c r="D5930" t="s">
        <v>11</v>
      </c>
      <c r="E5930" t="s">
        <v>12</v>
      </c>
      <c r="F5930">
        <v>165326435</v>
      </c>
      <c r="G5930">
        <v>165326486</v>
      </c>
      <c r="H5930">
        <v>165326435</v>
      </c>
      <c r="I5930">
        <v>165326486</v>
      </c>
    </row>
    <row r="5931" spans="1:9" x14ac:dyDescent="0.2">
      <c r="A5931" t="str">
        <f>"Elmo3"</f>
        <v>Elmo3</v>
      </c>
      <c r="B5931" t="s">
        <v>14</v>
      </c>
      <c r="C5931" t="s">
        <v>30</v>
      </c>
      <c r="D5931" t="s">
        <v>17</v>
      </c>
      <c r="E5931" t="s">
        <v>12</v>
      </c>
      <c r="F5931">
        <v>105305572</v>
      </c>
      <c r="G5931">
        <v>105305619</v>
      </c>
      <c r="H5931">
        <v>105305572</v>
      </c>
      <c r="I5931">
        <v>105305619</v>
      </c>
    </row>
    <row r="5932" spans="1:9" x14ac:dyDescent="0.2">
      <c r="A5932" t="str">
        <f>"Elmod1"</f>
        <v>Elmod1</v>
      </c>
      <c r="B5932" t="s">
        <v>14</v>
      </c>
      <c r="C5932" t="s">
        <v>24</v>
      </c>
      <c r="D5932" t="s">
        <v>11</v>
      </c>
      <c r="E5932" t="s">
        <v>12</v>
      </c>
      <c r="F5932">
        <v>53975246</v>
      </c>
      <c r="G5932">
        <v>53975348</v>
      </c>
      <c r="H5932">
        <v>53975120</v>
      </c>
      <c r="I5932">
        <v>53975202</v>
      </c>
    </row>
    <row r="5933" spans="1:9" x14ac:dyDescent="0.2">
      <c r="A5933" t="str">
        <f>"Elmod2"</f>
        <v>Elmod2</v>
      </c>
      <c r="B5933" t="s">
        <v>14</v>
      </c>
      <c r="C5933" t="s">
        <v>30</v>
      </c>
      <c r="D5933" t="s">
        <v>11</v>
      </c>
      <c r="E5933" t="s">
        <v>12</v>
      </c>
      <c r="F5933">
        <v>83332416</v>
      </c>
      <c r="G5933">
        <v>83332494</v>
      </c>
      <c r="H5933">
        <v>83332404</v>
      </c>
      <c r="I5933">
        <v>83332413</v>
      </c>
    </row>
    <row r="5934" spans="1:9" x14ac:dyDescent="0.2">
      <c r="A5934" t="str">
        <f>"Elmod3"</f>
        <v>Elmod3</v>
      </c>
      <c r="B5934" t="s">
        <v>14</v>
      </c>
      <c r="C5934" t="s">
        <v>32</v>
      </c>
      <c r="D5934" t="s">
        <v>11</v>
      </c>
      <c r="E5934" t="s">
        <v>12</v>
      </c>
      <c r="F5934">
        <v>72598381</v>
      </c>
      <c r="G5934">
        <v>72598424</v>
      </c>
      <c r="H5934">
        <v>72598330</v>
      </c>
      <c r="I5934">
        <v>72598368</v>
      </c>
    </row>
    <row r="5935" spans="1:9" x14ac:dyDescent="0.2">
      <c r="A5935" t="str">
        <f>"Elmsan1"</f>
        <v>Elmsan1</v>
      </c>
      <c r="B5935" t="s">
        <v>9</v>
      </c>
      <c r="C5935" t="s">
        <v>16</v>
      </c>
      <c r="D5935" t="s">
        <v>11</v>
      </c>
      <c r="E5935" t="s">
        <v>67</v>
      </c>
      <c r="F5935">
        <v>84218835</v>
      </c>
      <c r="G5935">
        <v>84218890</v>
      </c>
      <c r="H5935">
        <v>84218835</v>
      </c>
      <c r="I5935">
        <v>84218890</v>
      </c>
    </row>
    <row r="5936" spans="1:9" x14ac:dyDescent="0.2">
      <c r="A5936" t="str">
        <f>"Elmsan1"</f>
        <v>Elmsan1</v>
      </c>
      <c r="B5936" t="s">
        <v>13</v>
      </c>
      <c r="C5936" t="s">
        <v>16</v>
      </c>
      <c r="D5936" t="s">
        <v>11</v>
      </c>
      <c r="E5936" t="s">
        <v>67</v>
      </c>
      <c r="F5936">
        <v>84194007</v>
      </c>
      <c r="G5936">
        <v>84194067</v>
      </c>
      <c r="H5936">
        <v>84194007</v>
      </c>
      <c r="I5936">
        <v>84194067</v>
      </c>
    </row>
    <row r="5937" spans="1:9" x14ac:dyDescent="0.2">
      <c r="A5937" t="str">
        <f>"Eln"</f>
        <v>Eln</v>
      </c>
      <c r="B5937" t="s">
        <v>14</v>
      </c>
      <c r="C5937" t="s">
        <v>46</v>
      </c>
      <c r="D5937" t="s">
        <v>11</v>
      </c>
      <c r="E5937" t="s">
        <v>12</v>
      </c>
      <c r="F5937">
        <v>134747247</v>
      </c>
      <c r="G5937">
        <v>134747264</v>
      </c>
      <c r="H5937">
        <v>134747247</v>
      </c>
      <c r="I5937">
        <v>134747264</v>
      </c>
    </row>
    <row r="5938" spans="1:9" x14ac:dyDescent="0.2">
      <c r="A5938" t="str">
        <f>"Elof1"</f>
        <v>Elof1</v>
      </c>
      <c r="B5938" t="s">
        <v>14</v>
      </c>
      <c r="C5938" t="s">
        <v>24</v>
      </c>
      <c r="D5938" t="s">
        <v>11</v>
      </c>
      <c r="E5938" t="s">
        <v>12</v>
      </c>
      <c r="F5938">
        <v>22117123</v>
      </c>
      <c r="G5938">
        <v>22117174</v>
      </c>
      <c r="H5938">
        <v>22117095</v>
      </c>
      <c r="I5938">
        <v>22117120</v>
      </c>
    </row>
    <row r="5939" spans="1:9" x14ac:dyDescent="0.2">
      <c r="A5939" t="str">
        <f>"Elovl1"</f>
        <v>Elovl1</v>
      </c>
      <c r="B5939" t="s">
        <v>9</v>
      </c>
      <c r="C5939" t="s">
        <v>23</v>
      </c>
      <c r="D5939" t="s">
        <v>17</v>
      </c>
      <c r="E5939" t="s">
        <v>12</v>
      </c>
      <c r="F5939">
        <v>118428078</v>
      </c>
      <c r="G5939">
        <v>118428194</v>
      </c>
      <c r="H5939">
        <v>118428078</v>
      </c>
      <c r="I5939">
        <v>118428194</v>
      </c>
    </row>
    <row r="5940" spans="1:9" x14ac:dyDescent="0.2">
      <c r="A5940" t="str">
        <f>"Elovl1"</f>
        <v>Elovl1</v>
      </c>
      <c r="B5940" t="s">
        <v>13</v>
      </c>
      <c r="C5940" t="s">
        <v>23</v>
      </c>
      <c r="D5940" t="s">
        <v>17</v>
      </c>
      <c r="E5940" t="s">
        <v>12</v>
      </c>
      <c r="F5940">
        <v>118429702</v>
      </c>
      <c r="G5940">
        <v>118429725</v>
      </c>
      <c r="H5940">
        <v>118429702</v>
      </c>
      <c r="I5940">
        <v>118429725</v>
      </c>
    </row>
    <row r="5941" spans="1:9" x14ac:dyDescent="0.2">
      <c r="A5941" t="str">
        <f>"Elovl2"</f>
        <v>Elovl2</v>
      </c>
      <c r="B5941" t="s">
        <v>14</v>
      </c>
      <c r="C5941" t="s">
        <v>39</v>
      </c>
      <c r="D5941" t="s">
        <v>11</v>
      </c>
      <c r="E5941" t="s">
        <v>12</v>
      </c>
      <c r="F5941">
        <v>41220395</v>
      </c>
      <c r="G5941">
        <v>41220412</v>
      </c>
      <c r="H5941">
        <v>41220201</v>
      </c>
      <c r="I5941">
        <v>41220225</v>
      </c>
    </row>
    <row r="5942" spans="1:9" x14ac:dyDescent="0.2">
      <c r="A5942" t="str">
        <f>"Elovl3"</f>
        <v>Elovl3</v>
      </c>
      <c r="B5942" t="s">
        <v>14</v>
      </c>
      <c r="C5942" t="s">
        <v>10</v>
      </c>
      <c r="D5942" t="s">
        <v>17</v>
      </c>
      <c r="E5942" t="s">
        <v>12</v>
      </c>
      <c r="F5942">
        <v>46131888</v>
      </c>
      <c r="G5942">
        <v>46131904</v>
      </c>
      <c r="H5942">
        <v>46131888</v>
      </c>
      <c r="I5942">
        <v>46131904</v>
      </c>
    </row>
    <row r="5943" spans="1:9" x14ac:dyDescent="0.2">
      <c r="A5943" t="str">
        <f>"Elovl4"</f>
        <v>Elovl4</v>
      </c>
      <c r="B5943" t="s">
        <v>14</v>
      </c>
      <c r="C5943" t="s">
        <v>24</v>
      </c>
      <c r="D5943" t="s">
        <v>11</v>
      </c>
      <c r="E5943" t="s">
        <v>12</v>
      </c>
      <c r="F5943">
        <v>83806241</v>
      </c>
      <c r="G5943">
        <v>83806260</v>
      </c>
      <c r="H5943">
        <v>83806264</v>
      </c>
      <c r="I5943">
        <v>83806281</v>
      </c>
    </row>
    <row r="5944" spans="1:9" x14ac:dyDescent="0.2">
      <c r="A5944" t="str">
        <f>"Elovl5"</f>
        <v>Elovl5</v>
      </c>
      <c r="B5944" t="s">
        <v>14</v>
      </c>
      <c r="C5944" t="s">
        <v>24</v>
      </c>
      <c r="D5944" t="s">
        <v>17</v>
      </c>
      <c r="E5944" t="s">
        <v>12</v>
      </c>
      <c r="F5944">
        <v>77917397</v>
      </c>
      <c r="G5944">
        <v>77917453</v>
      </c>
      <c r="H5944">
        <v>77917375</v>
      </c>
      <c r="I5944">
        <v>77917386</v>
      </c>
    </row>
    <row r="5945" spans="1:9" x14ac:dyDescent="0.2">
      <c r="A5945" t="str">
        <f>"Elovl6"</f>
        <v>Elovl6</v>
      </c>
      <c r="B5945" t="s">
        <v>14</v>
      </c>
      <c r="C5945" t="s">
        <v>22</v>
      </c>
      <c r="D5945" t="s">
        <v>17</v>
      </c>
      <c r="E5945" t="s">
        <v>12</v>
      </c>
      <c r="F5945">
        <v>129532397</v>
      </c>
      <c r="G5945">
        <v>129532440</v>
      </c>
      <c r="H5945">
        <v>129532453</v>
      </c>
      <c r="I5945">
        <v>129532510</v>
      </c>
    </row>
    <row r="5946" spans="1:9" x14ac:dyDescent="0.2">
      <c r="A5946" t="str">
        <f>"Elovl7"</f>
        <v>Elovl7</v>
      </c>
      <c r="B5946" t="s">
        <v>14</v>
      </c>
      <c r="C5946" t="s">
        <v>39</v>
      </c>
      <c r="D5946" t="s">
        <v>17</v>
      </c>
      <c r="E5946" t="s">
        <v>12</v>
      </c>
      <c r="F5946">
        <v>108214389</v>
      </c>
      <c r="G5946">
        <v>108214454</v>
      </c>
      <c r="H5946">
        <v>108214389</v>
      </c>
      <c r="I5946">
        <v>108214454</v>
      </c>
    </row>
    <row r="5947" spans="1:9" x14ac:dyDescent="0.2">
      <c r="A5947" t="str">
        <f>"Elp2"</f>
        <v>Elp2</v>
      </c>
      <c r="B5947" t="s">
        <v>14</v>
      </c>
      <c r="C5947" t="s">
        <v>43</v>
      </c>
      <c r="D5947" t="s">
        <v>17</v>
      </c>
      <c r="E5947" t="s">
        <v>12</v>
      </c>
      <c r="F5947">
        <v>24603952</v>
      </c>
      <c r="G5947">
        <v>24603972</v>
      </c>
      <c r="H5947">
        <v>24603975</v>
      </c>
      <c r="I5947">
        <v>24603993</v>
      </c>
    </row>
    <row r="5948" spans="1:9" x14ac:dyDescent="0.2">
      <c r="A5948" t="str">
        <f>"Elp3"</f>
        <v>Elp3</v>
      </c>
      <c r="B5948" t="s">
        <v>14</v>
      </c>
      <c r="C5948" t="s">
        <v>41</v>
      </c>
      <c r="D5948" t="s">
        <v>11</v>
      </c>
      <c r="E5948" t="s">
        <v>12</v>
      </c>
      <c r="F5948">
        <v>65593016</v>
      </c>
      <c r="G5948">
        <v>65593074</v>
      </c>
      <c r="H5948">
        <v>65593079</v>
      </c>
      <c r="I5948">
        <v>65593093</v>
      </c>
    </row>
    <row r="5949" spans="1:9" x14ac:dyDescent="0.2">
      <c r="A5949" t="str">
        <f>"Elp4"</f>
        <v>Elp4</v>
      </c>
      <c r="B5949" t="s">
        <v>14</v>
      </c>
      <c r="C5949" t="s">
        <v>26</v>
      </c>
      <c r="D5949" t="s">
        <v>11</v>
      </c>
      <c r="E5949" t="s">
        <v>12</v>
      </c>
      <c r="F5949">
        <v>105904484</v>
      </c>
      <c r="G5949">
        <v>105904527</v>
      </c>
      <c r="H5949">
        <v>105904484</v>
      </c>
      <c r="I5949">
        <v>105904527</v>
      </c>
    </row>
    <row r="5950" spans="1:9" x14ac:dyDescent="0.2">
      <c r="A5950" t="str">
        <f>"Elp5"</f>
        <v>Elp5</v>
      </c>
      <c r="B5950" t="s">
        <v>14</v>
      </c>
      <c r="C5950" t="s">
        <v>27</v>
      </c>
      <c r="D5950" t="s">
        <v>11</v>
      </c>
      <c r="E5950" t="s">
        <v>67</v>
      </c>
      <c r="F5950">
        <v>69980233</v>
      </c>
      <c r="G5950">
        <v>69980271</v>
      </c>
      <c r="H5950">
        <v>69980468</v>
      </c>
      <c r="I5950">
        <v>69980575</v>
      </c>
    </row>
    <row r="5951" spans="1:9" x14ac:dyDescent="0.2">
      <c r="A5951" t="str">
        <f>"Elp6"</f>
        <v>Elp6</v>
      </c>
      <c r="B5951" t="s">
        <v>14</v>
      </c>
      <c r="C5951" t="s">
        <v>24</v>
      </c>
      <c r="D5951" t="s">
        <v>17</v>
      </c>
      <c r="E5951" t="s">
        <v>67</v>
      </c>
      <c r="F5951">
        <v>110305185</v>
      </c>
      <c r="G5951">
        <v>110305229</v>
      </c>
      <c r="H5951">
        <v>110305237</v>
      </c>
      <c r="I5951">
        <v>110305248</v>
      </c>
    </row>
    <row r="5952" spans="1:9" x14ac:dyDescent="0.2">
      <c r="A5952" t="str">
        <f>"Eltd1"</f>
        <v>Eltd1</v>
      </c>
      <c r="B5952" t="s">
        <v>14</v>
      </c>
      <c r="C5952" t="s">
        <v>22</v>
      </c>
      <c r="D5952" t="s">
        <v>17</v>
      </c>
      <c r="E5952" t="s">
        <v>12</v>
      </c>
      <c r="F5952">
        <v>151437921</v>
      </c>
      <c r="G5952">
        <v>151437956</v>
      </c>
      <c r="H5952">
        <v>151437890</v>
      </c>
      <c r="I5952">
        <v>151437914</v>
      </c>
    </row>
    <row r="5953" spans="1:9" x14ac:dyDescent="0.2">
      <c r="A5953" t="str">
        <f>"Emb"</f>
        <v>Emb</v>
      </c>
      <c r="B5953" t="s">
        <v>14</v>
      </c>
      <c r="C5953" t="s">
        <v>39</v>
      </c>
      <c r="D5953" t="s">
        <v>17</v>
      </c>
      <c r="E5953" t="s">
        <v>12</v>
      </c>
      <c r="F5953">
        <v>117220737</v>
      </c>
      <c r="G5953">
        <v>117220754</v>
      </c>
      <c r="H5953">
        <v>117220584</v>
      </c>
      <c r="I5953">
        <v>117220637</v>
      </c>
    </row>
    <row r="5954" spans="1:9" x14ac:dyDescent="0.2">
      <c r="A5954" t="str">
        <f>"Emc1"</f>
        <v>Emc1</v>
      </c>
      <c r="B5954" t="s">
        <v>14</v>
      </c>
      <c r="C5954" t="s">
        <v>23</v>
      </c>
      <c r="D5954" t="s">
        <v>17</v>
      </c>
      <c r="E5954" t="s">
        <v>67</v>
      </c>
      <c r="F5954">
        <v>139352589</v>
      </c>
      <c r="G5954">
        <v>139352621</v>
      </c>
      <c r="H5954">
        <v>139352589</v>
      </c>
      <c r="I5954">
        <v>139352621</v>
      </c>
    </row>
    <row r="5955" spans="1:9" x14ac:dyDescent="0.2">
      <c r="A5955" t="str">
        <f>"Emc10"</f>
        <v>Emc10</v>
      </c>
      <c r="B5955" t="s">
        <v>14</v>
      </c>
      <c r="C5955" t="s">
        <v>33</v>
      </c>
      <c r="D5955" t="s">
        <v>11</v>
      </c>
      <c r="E5955" t="s">
        <v>67</v>
      </c>
      <c r="F5955">
        <v>44496410</v>
      </c>
      <c r="G5955">
        <v>44496452</v>
      </c>
      <c r="H5955">
        <v>44496410</v>
      </c>
      <c r="I5955">
        <v>44496452</v>
      </c>
    </row>
    <row r="5956" spans="1:9" x14ac:dyDescent="0.2">
      <c r="A5956" t="str">
        <f>"Emc2"</f>
        <v>Emc2</v>
      </c>
      <c r="B5956" t="s">
        <v>14</v>
      </c>
      <c r="C5956" t="s">
        <v>25</v>
      </c>
      <c r="D5956" t="s">
        <v>17</v>
      </c>
      <c r="E5956" t="s">
        <v>67</v>
      </c>
      <c r="F5956">
        <v>43477213</v>
      </c>
      <c r="G5956">
        <v>43477270</v>
      </c>
      <c r="H5956">
        <v>43477213</v>
      </c>
      <c r="I5956">
        <v>43477270</v>
      </c>
    </row>
    <row r="5957" spans="1:9" x14ac:dyDescent="0.2">
      <c r="A5957" t="str">
        <f>"Emc3"</f>
        <v>Emc3</v>
      </c>
      <c r="B5957" t="s">
        <v>14</v>
      </c>
      <c r="C5957" t="s">
        <v>32</v>
      </c>
      <c r="D5957" t="s">
        <v>11</v>
      </c>
      <c r="E5957" t="s">
        <v>67</v>
      </c>
      <c r="F5957">
        <v>113531575</v>
      </c>
      <c r="G5957">
        <v>113531667</v>
      </c>
      <c r="H5957">
        <v>113531575</v>
      </c>
      <c r="I5957">
        <v>113531667</v>
      </c>
    </row>
    <row r="5958" spans="1:9" x14ac:dyDescent="0.2">
      <c r="A5958" t="str">
        <f>"Emc4"</f>
        <v>Emc4</v>
      </c>
      <c r="B5958" t="s">
        <v>14</v>
      </c>
      <c r="C5958" t="s">
        <v>26</v>
      </c>
      <c r="D5958" t="s">
        <v>11</v>
      </c>
      <c r="E5958" t="s">
        <v>67</v>
      </c>
      <c r="F5958">
        <v>112367958</v>
      </c>
      <c r="G5958">
        <v>112368017</v>
      </c>
      <c r="H5958">
        <v>112368021</v>
      </c>
      <c r="I5958">
        <v>112368036</v>
      </c>
    </row>
    <row r="5959" spans="1:9" x14ac:dyDescent="0.2">
      <c r="A5959" t="str">
        <f>"Emc6"</f>
        <v>Emc6</v>
      </c>
      <c r="B5959" t="s">
        <v>14</v>
      </c>
      <c r="C5959" t="s">
        <v>27</v>
      </c>
      <c r="D5959" t="s">
        <v>11</v>
      </c>
      <c r="E5959" t="s">
        <v>67</v>
      </c>
      <c r="F5959">
        <v>73177011</v>
      </c>
      <c r="G5959">
        <v>73177047</v>
      </c>
      <c r="H5959">
        <v>73176874</v>
      </c>
      <c r="I5959">
        <v>73176875</v>
      </c>
    </row>
    <row r="5960" spans="1:9" x14ac:dyDescent="0.2">
      <c r="A5960" t="str">
        <f>"Emc7"</f>
        <v>Emc7</v>
      </c>
      <c r="B5960" t="s">
        <v>14</v>
      </c>
      <c r="C5960" t="s">
        <v>26</v>
      </c>
      <c r="D5960" t="s">
        <v>17</v>
      </c>
      <c r="E5960" t="s">
        <v>67</v>
      </c>
      <c r="F5960">
        <v>112455022</v>
      </c>
      <c r="G5960">
        <v>112455063</v>
      </c>
      <c r="H5960">
        <v>112455022</v>
      </c>
      <c r="I5960">
        <v>112455063</v>
      </c>
    </row>
    <row r="5961" spans="1:9" x14ac:dyDescent="0.2">
      <c r="A5961" t="str">
        <f>"Emc8"</f>
        <v>Emc8</v>
      </c>
      <c r="B5961" t="s">
        <v>14</v>
      </c>
      <c r="C5961" t="s">
        <v>30</v>
      </c>
      <c r="D5961" t="s">
        <v>11</v>
      </c>
      <c r="E5961" t="s">
        <v>67</v>
      </c>
      <c r="F5961">
        <v>120668058</v>
      </c>
      <c r="G5961">
        <v>120668098</v>
      </c>
      <c r="H5961">
        <v>120668030</v>
      </c>
      <c r="I5961">
        <v>120668056</v>
      </c>
    </row>
    <row r="5962" spans="1:9" x14ac:dyDescent="0.2">
      <c r="A5962" t="str">
        <f>"Emc9"</f>
        <v>Emc9</v>
      </c>
      <c r="B5962" t="s">
        <v>14</v>
      </c>
      <c r="C5962" t="s">
        <v>41</v>
      </c>
      <c r="D5962" t="s">
        <v>11</v>
      </c>
      <c r="E5962" t="s">
        <v>67</v>
      </c>
      <c r="F5962">
        <v>55585250</v>
      </c>
      <c r="G5962">
        <v>55585317</v>
      </c>
      <c r="H5962">
        <v>55585239</v>
      </c>
      <c r="I5962">
        <v>55585248</v>
      </c>
    </row>
    <row r="5963" spans="1:9" x14ac:dyDescent="0.2">
      <c r="A5963" t="str">
        <f>"Emcn"</f>
        <v>Emcn</v>
      </c>
      <c r="B5963" t="s">
        <v>14</v>
      </c>
      <c r="C5963" t="s">
        <v>22</v>
      </c>
      <c r="D5963" t="s">
        <v>17</v>
      </c>
      <c r="E5963" t="s">
        <v>12</v>
      </c>
      <c r="F5963">
        <v>137341103</v>
      </c>
      <c r="G5963">
        <v>137341146</v>
      </c>
      <c r="H5963">
        <v>137341076</v>
      </c>
      <c r="I5963">
        <v>137341095</v>
      </c>
    </row>
    <row r="5964" spans="1:9" x14ac:dyDescent="0.2">
      <c r="A5964" t="str">
        <f>"Emd"</f>
        <v>Emd</v>
      </c>
      <c r="B5964" t="s">
        <v>14</v>
      </c>
      <c r="C5964" t="s">
        <v>37</v>
      </c>
      <c r="D5964" t="s">
        <v>17</v>
      </c>
      <c r="E5964" t="s">
        <v>12</v>
      </c>
      <c r="F5964">
        <v>74254782</v>
      </c>
      <c r="G5964">
        <v>74254872</v>
      </c>
      <c r="H5964">
        <v>74254679</v>
      </c>
      <c r="I5964">
        <v>74254726</v>
      </c>
    </row>
    <row r="5965" spans="1:9" x14ac:dyDescent="0.2">
      <c r="A5965" t="str">
        <f>"Eme1"</f>
        <v>Eme1</v>
      </c>
      <c r="B5965" t="s">
        <v>14</v>
      </c>
      <c r="C5965" t="s">
        <v>27</v>
      </c>
      <c r="D5965" t="s">
        <v>11</v>
      </c>
      <c r="E5965" t="s">
        <v>12</v>
      </c>
      <c r="F5965">
        <v>94653714</v>
      </c>
      <c r="G5965">
        <v>94653761</v>
      </c>
      <c r="H5965">
        <v>94653924</v>
      </c>
      <c r="I5965">
        <v>94653941</v>
      </c>
    </row>
    <row r="5966" spans="1:9" x14ac:dyDescent="0.2">
      <c r="A5966" t="str">
        <f>"Eme2"</f>
        <v>Eme2</v>
      </c>
      <c r="B5966" t="s">
        <v>14</v>
      </c>
      <c r="C5966" t="s">
        <v>28</v>
      </c>
      <c r="D5966" t="s">
        <v>11</v>
      </c>
      <c r="E5966" t="s">
        <v>12</v>
      </c>
      <c r="F5966">
        <v>24895047</v>
      </c>
      <c r="G5966">
        <v>24895077</v>
      </c>
      <c r="H5966">
        <v>24895460</v>
      </c>
      <c r="I5966">
        <v>24895485</v>
      </c>
    </row>
    <row r="5967" spans="1:9" x14ac:dyDescent="0.2">
      <c r="A5967" t="str">
        <f>"Emg1"</f>
        <v>Emg1</v>
      </c>
      <c r="B5967" t="s">
        <v>14</v>
      </c>
      <c r="C5967" t="s">
        <v>32</v>
      </c>
      <c r="D5967" t="s">
        <v>11</v>
      </c>
      <c r="E5967" t="s">
        <v>12</v>
      </c>
      <c r="F5967">
        <v>124712038</v>
      </c>
      <c r="G5967">
        <v>124712071</v>
      </c>
      <c r="H5967">
        <v>124712131</v>
      </c>
      <c r="I5967">
        <v>124712171</v>
      </c>
    </row>
    <row r="5968" spans="1:9" x14ac:dyDescent="0.2">
      <c r="A5968" t="str">
        <f>"Emid1"</f>
        <v>Emid1</v>
      </c>
      <c r="B5968" t="s">
        <v>9</v>
      </c>
      <c r="C5968" t="s">
        <v>27</v>
      </c>
      <c r="D5968" t="s">
        <v>11</v>
      </c>
      <c r="E5968" t="s">
        <v>12</v>
      </c>
      <c r="F5968">
        <v>5152218</v>
      </c>
      <c r="G5968">
        <v>5152272</v>
      </c>
      <c r="H5968">
        <v>5152218</v>
      </c>
      <c r="I5968">
        <v>5152272</v>
      </c>
    </row>
    <row r="5969" spans="1:9" x14ac:dyDescent="0.2">
      <c r="A5969" t="str">
        <f>"Emid1"</f>
        <v>Emid1</v>
      </c>
      <c r="B5969" t="s">
        <v>13</v>
      </c>
      <c r="C5969" t="s">
        <v>27</v>
      </c>
      <c r="D5969" t="s">
        <v>11</v>
      </c>
      <c r="E5969" t="s">
        <v>12</v>
      </c>
      <c r="F5969">
        <v>5129113</v>
      </c>
      <c r="G5969">
        <v>5129138</v>
      </c>
      <c r="H5969">
        <v>5129113</v>
      </c>
      <c r="I5969">
        <v>5129138</v>
      </c>
    </row>
    <row r="5970" spans="1:9" x14ac:dyDescent="0.2">
      <c r="A5970" t="str">
        <f>"Emilin1"</f>
        <v>Emilin1</v>
      </c>
      <c r="B5970" t="s">
        <v>14</v>
      </c>
      <c r="C5970" t="s">
        <v>46</v>
      </c>
      <c r="D5970" t="s">
        <v>17</v>
      </c>
      <c r="E5970" t="s">
        <v>12</v>
      </c>
      <c r="F5970">
        <v>30913418</v>
      </c>
      <c r="G5970">
        <v>30913439</v>
      </c>
      <c r="H5970">
        <v>30913418</v>
      </c>
      <c r="I5970">
        <v>30913439</v>
      </c>
    </row>
    <row r="5971" spans="1:9" x14ac:dyDescent="0.2">
      <c r="A5971" t="str">
        <f>"Emilin2"</f>
        <v>Emilin2</v>
      </c>
      <c r="B5971" t="s">
        <v>14</v>
      </c>
      <c r="C5971" t="s">
        <v>28</v>
      </c>
      <c r="D5971" t="s">
        <v>11</v>
      </c>
      <c r="E5971" t="s">
        <v>12</v>
      </c>
      <c r="F5971">
        <v>71310925</v>
      </c>
      <c r="G5971">
        <v>71310947</v>
      </c>
      <c r="H5971">
        <v>71310975</v>
      </c>
      <c r="I5971">
        <v>71310995</v>
      </c>
    </row>
    <row r="5972" spans="1:9" x14ac:dyDescent="0.2">
      <c r="A5972" t="str">
        <f>"Emilin3"</f>
        <v>Emilin3</v>
      </c>
      <c r="B5972" t="s">
        <v>14</v>
      </c>
      <c r="C5972" t="s">
        <v>26</v>
      </c>
      <c r="D5972" t="s">
        <v>11</v>
      </c>
      <c r="E5972" t="s">
        <v>12</v>
      </c>
      <c r="F5972">
        <v>160912292</v>
      </c>
      <c r="G5972">
        <v>160912344</v>
      </c>
      <c r="H5972">
        <v>160912349</v>
      </c>
      <c r="I5972">
        <v>160912355</v>
      </c>
    </row>
    <row r="5973" spans="1:9" x14ac:dyDescent="0.2">
      <c r="A5973" t="str">
        <f>"Eml1"</f>
        <v>Eml1</v>
      </c>
      <c r="B5973" t="s">
        <v>14</v>
      </c>
      <c r="C5973" t="s">
        <v>16</v>
      </c>
      <c r="D5973" t="s">
        <v>17</v>
      </c>
      <c r="E5973" t="s">
        <v>12</v>
      </c>
      <c r="F5973">
        <v>108423069</v>
      </c>
      <c r="G5973">
        <v>108423136</v>
      </c>
      <c r="H5973">
        <v>108423138</v>
      </c>
      <c r="I5973">
        <v>108423157</v>
      </c>
    </row>
    <row r="5974" spans="1:9" x14ac:dyDescent="0.2">
      <c r="A5974" t="str">
        <f>"Eml2"</f>
        <v>Eml2</v>
      </c>
      <c r="B5974" t="s">
        <v>9</v>
      </c>
      <c r="C5974" t="s">
        <v>33</v>
      </c>
      <c r="D5974" t="s">
        <v>17</v>
      </c>
      <c r="E5974" t="s">
        <v>12</v>
      </c>
      <c r="F5974">
        <v>19181162</v>
      </c>
      <c r="G5974">
        <v>19181202</v>
      </c>
      <c r="H5974">
        <v>19181162</v>
      </c>
      <c r="I5974">
        <v>19181202</v>
      </c>
    </row>
    <row r="5975" spans="1:9" x14ac:dyDescent="0.2">
      <c r="A5975" t="str">
        <f>"Eml2"</f>
        <v>Eml2</v>
      </c>
      <c r="B5975" t="s">
        <v>13</v>
      </c>
      <c r="C5975" t="s">
        <v>33</v>
      </c>
      <c r="D5975" t="s">
        <v>17</v>
      </c>
      <c r="E5975" t="s">
        <v>12</v>
      </c>
      <c r="F5975">
        <v>19176416</v>
      </c>
      <c r="G5975">
        <v>19176440</v>
      </c>
      <c r="H5975">
        <v>19176416</v>
      </c>
      <c r="I5975">
        <v>19176440</v>
      </c>
    </row>
    <row r="5976" spans="1:9" x14ac:dyDescent="0.2">
      <c r="A5976" t="str">
        <f>"Eml3"</f>
        <v>Eml3</v>
      </c>
      <c r="B5976" t="s">
        <v>14</v>
      </c>
      <c r="C5976" t="s">
        <v>10</v>
      </c>
      <c r="D5976" t="s">
        <v>17</v>
      </c>
      <c r="E5976" t="s">
        <v>12</v>
      </c>
      <c r="F5976">
        <v>8929628</v>
      </c>
      <c r="G5976">
        <v>8929694</v>
      </c>
      <c r="H5976">
        <v>8929628</v>
      </c>
      <c r="I5976">
        <v>8929694</v>
      </c>
    </row>
    <row r="5977" spans="1:9" x14ac:dyDescent="0.2">
      <c r="A5977" t="str">
        <f>"Eml4"</f>
        <v>Eml4</v>
      </c>
      <c r="B5977" t="s">
        <v>14</v>
      </c>
      <c r="C5977" t="s">
        <v>28</v>
      </c>
      <c r="D5977" t="s">
        <v>17</v>
      </c>
      <c r="E5977" t="s">
        <v>12</v>
      </c>
      <c r="F5977">
        <v>83350925</v>
      </c>
      <c r="G5977">
        <v>83350998</v>
      </c>
      <c r="H5977">
        <v>83350902</v>
      </c>
      <c r="I5977">
        <v>83350911</v>
      </c>
    </row>
    <row r="5978" spans="1:9" x14ac:dyDescent="0.2">
      <c r="A5978" t="str">
        <f>"Eml5"</f>
        <v>Eml5</v>
      </c>
      <c r="B5978" t="s">
        <v>14</v>
      </c>
      <c r="C5978" t="s">
        <v>16</v>
      </c>
      <c r="D5978" t="s">
        <v>11</v>
      </c>
      <c r="E5978" t="s">
        <v>12</v>
      </c>
      <c r="F5978">
        <v>98901415</v>
      </c>
      <c r="G5978">
        <v>98901472</v>
      </c>
      <c r="H5978">
        <v>98901478</v>
      </c>
      <c r="I5978">
        <v>98901492</v>
      </c>
    </row>
    <row r="5979" spans="1:9" x14ac:dyDescent="0.2">
      <c r="A5979" t="str">
        <f>"Eml6"</f>
        <v>Eml6</v>
      </c>
      <c r="B5979" t="s">
        <v>14</v>
      </c>
      <c r="C5979" t="s">
        <v>27</v>
      </c>
      <c r="D5979" t="s">
        <v>11</v>
      </c>
      <c r="E5979" t="s">
        <v>12</v>
      </c>
      <c r="F5979">
        <v>30025915</v>
      </c>
      <c r="G5979">
        <v>30025955</v>
      </c>
      <c r="H5979">
        <v>30026028</v>
      </c>
      <c r="I5979">
        <v>30026055</v>
      </c>
    </row>
    <row r="5980" spans="1:9" x14ac:dyDescent="0.2">
      <c r="A5980" t="str">
        <f>"Emp1"</f>
        <v>Emp1</v>
      </c>
      <c r="B5980" t="s">
        <v>14</v>
      </c>
      <c r="C5980" t="s">
        <v>32</v>
      </c>
      <c r="D5980" t="s">
        <v>17</v>
      </c>
      <c r="E5980" t="s">
        <v>12</v>
      </c>
      <c r="F5980">
        <v>135363004</v>
      </c>
      <c r="G5980">
        <v>135363022</v>
      </c>
      <c r="H5980">
        <v>135362946</v>
      </c>
      <c r="I5980">
        <v>135362961</v>
      </c>
    </row>
    <row r="5981" spans="1:9" x14ac:dyDescent="0.2">
      <c r="A5981" t="str">
        <f>"Emp2"</f>
        <v>Emp2</v>
      </c>
      <c r="B5981" t="s">
        <v>14</v>
      </c>
      <c r="C5981" t="s">
        <v>31</v>
      </c>
      <c r="D5981" t="s">
        <v>11</v>
      </c>
      <c r="E5981" t="s">
        <v>12</v>
      </c>
      <c r="F5981">
        <v>10313862</v>
      </c>
      <c r="G5981">
        <v>10313899</v>
      </c>
      <c r="H5981">
        <v>10313836</v>
      </c>
      <c r="I5981">
        <v>10313851</v>
      </c>
    </row>
    <row r="5982" spans="1:9" x14ac:dyDescent="0.2">
      <c r="A5982" t="str">
        <f>"Emp3"</f>
        <v>Emp3</v>
      </c>
      <c r="B5982" t="s">
        <v>14</v>
      </c>
      <c r="C5982" t="s">
        <v>33</v>
      </c>
      <c r="D5982" t="s">
        <v>11</v>
      </c>
      <c r="E5982" t="s">
        <v>12</v>
      </c>
      <c r="F5982">
        <v>45921261</v>
      </c>
      <c r="G5982">
        <v>45921312</v>
      </c>
      <c r="H5982">
        <v>45921418</v>
      </c>
      <c r="I5982">
        <v>45921447</v>
      </c>
    </row>
    <row r="5983" spans="1:9" x14ac:dyDescent="0.2">
      <c r="A5983" t="str">
        <f>"Emr1"</f>
        <v>Emr1</v>
      </c>
      <c r="B5983" t="s">
        <v>14</v>
      </c>
      <c r="C5983" t="s">
        <v>28</v>
      </c>
      <c r="D5983" t="s">
        <v>17</v>
      </c>
      <c r="E5983" t="s">
        <v>12</v>
      </c>
      <c r="F5983">
        <v>57358682</v>
      </c>
      <c r="G5983">
        <v>57358723</v>
      </c>
      <c r="H5983">
        <v>57358572</v>
      </c>
      <c r="I5983">
        <v>57358591</v>
      </c>
    </row>
    <row r="5984" spans="1:9" x14ac:dyDescent="0.2">
      <c r="A5984" t="str">
        <f>"Emr4"</f>
        <v>Emr4</v>
      </c>
      <c r="B5984" t="s">
        <v>14</v>
      </c>
      <c r="C5984" t="s">
        <v>28</v>
      </c>
      <c r="D5984" t="s">
        <v>17</v>
      </c>
      <c r="E5984" t="s">
        <v>12</v>
      </c>
      <c r="F5984">
        <v>55750029</v>
      </c>
      <c r="G5984">
        <v>55750046</v>
      </c>
      <c r="H5984">
        <v>55749978</v>
      </c>
      <c r="I5984">
        <v>55749992</v>
      </c>
    </row>
    <row r="5985" spans="1:9" x14ac:dyDescent="0.2">
      <c r="A5985" t="str">
        <f>"Emx1"</f>
        <v>Emx1</v>
      </c>
      <c r="B5985" t="s">
        <v>14</v>
      </c>
      <c r="C5985" t="s">
        <v>32</v>
      </c>
      <c r="D5985" t="s">
        <v>17</v>
      </c>
      <c r="E5985" t="s">
        <v>12</v>
      </c>
      <c r="F5985">
        <v>85187526</v>
      </c>
      <c r="G5985">
        <v>85187569</v>
      </c>
      <c r="H5985">
        <v>85187511</v>
      </c>
      <c r="I5985">
        <v>85187523</v>
      </c>
    </row>
    <row r="5986" spans="1:9" x14ac:dyDescent="0.2">
      <c r="A5986" t="str">
        <f>"Emx2"</f>
        <v>Emx2</v>
      </c>
      <c r="B5986" t="s">
        <v>14</v>
      </c>
      <c r="C5986" t="s">
        <v>10</v>
      </c>
      <c r="D5986" t="s">
        <v>17</v>
      </c>
      <c r="E5986" t="s">
        <v>12</v>
      </c>
      <c r="F5986">
        <v>59458731</v>
      </c>
      <c r="G5986">
        <v>59458781</v>
      </c>
      <c r="H5986">
        <v>59458649</v>
      </c>
      <c r="I5986">
        <v>59458662</v>
      </c>
    </row>
    <row r="5987" spans="1:9" x14ac:dyDescent="0.2">
      <c r="A5987" t="str">
        <f>"En1"</f>
        <v>En1</v>
      </c>
      <c r="B5987" t="s">
        <v>14</v>
      </c>
      <c r="C5987" t="s">
        <v>19</v>
      </c>
      <c r="D5987" t="s">
        <v>17</v>
      </c>
      <c r="E5987" t="s">
        <v>12</v>
      </c>
      <c r="F5987">
        <v>120602378</v>
      </c>
      <c r="G5987">
        <v>120602391</v>
      </c>
      <c r="H5987">
        <v>120602511</v>
      </c>
      <c r="I5987">
        <v>120602522</v>
      </c>
    </row>
    <row r="5988" spans="1:9" x14ac:dyDescent="0.2">
      <c r="A5988" t="str">
        <f>"En2"</f>
        <v>En2</v>
      </c>
      <c r="B5988" t="s">
        <v>14</v>
      </c>
      <c r="C5988" t="s">
        <v>46</v>
      </c>
      <c r="D5988" t="s">
        <v>17</v>
      </c>
      <c r="E5988" t="s">
        <v>12</v>
      </c>
      <c r="F5988">
        <v>28165690</v>
      </c>
      <c r="G5988">
        <v>28165717</v>
      </c>
      <c r="H5988">
        <v>28165984</v>
      </c>
      <c r="I5988">
        <v>28165985</v>
      </c>
    </row>
    <row r="5989" spans="1:9" x14ac:dyDescent="0.2">
      <c r="A5989" t="str">
        <f>"Enah"</f>
        <v>Enah</v>
      </c>
      <c r="B5989" t="s">
        <v>14</v>
      </c>
      <c r="C5989" t="s">
        <v>19</v>
      </c>
      <c r="D5989" t="s">
        <v>11</v>
      </c>
      <c r="E5989" t="s">
        <v>12</v>
      </c>
      <c r="F5989">
        <v>182019927</v>
      </c>
      <c r="G5989">
        <v>182019989</v>
      </c>
      <c r="H5989">
        <v>182019927</v>
      </c>
      <c r="I5989">
        <v>182019989</v>
      </c>
    </row>
    <row r="5990" spans="1:9" x14ac:dyDescent="0.2">
      <c r="A5990" t="str">
        <f>"Enam"</f>
        <v>Enam</v>
      </c>
      <c r="B5990" t="s">
        <v>14</v>
      </c>
      <c r="C5990" t="s">
        <v>46</v>
      </c>
      <c r="D5990" t="s">
        <v>17</v>
      </c>
      <c r="E5990" t="s">
        <v>12</v>
      </c>
      <c r="F5990">
        <v>88487959</v>
      </c>
      <c r="G5990">
        <v>88487965</v>
      </c>
      <c r="H5990">
        <v>88487959</v>
      </c>
      <c r="I5990">
        <v>88487965</v>
      </c>
    </row>
    <row r="5991" spans="1:9" x14ac:dyDescent="0.2">
      <c r="A5991" t="str">
        <f>"Enc1"</f>
        <v>Enc1</v>
      </c>
      <c r="B5991" t="s">
        <v>14</v>
      </c>
      <c r="C5991" t="s">
        <v>39</v>
      </c>
      <c r="D5991" t="s">
        <v>17</v>
      </c>
      <c r="E5991" t="s">
        <v>12</v>
      </c>
      <c r="F5991">
        <v>97241096</v>
      </c>
      <c r="G5991">
        <v>97241116</v>
      </c>
      <c r="H5991">
        <v>97241252</v>
      </c>
      <c r="I5991">
        <v>97241268</v>
      </c>
    </row>
    <row r="5992" spans="1:9" x14ac:dyDescent="0.2">
      <c r="A5992" t="str">
        <f>"Endod1"</f>
        <v>Endod1</v>
      </c>
      <c r="B5992" t="s">
        <v>14</v>
      </c>
      <c r="C5992" t="s">
        <v>24</v>
      </c>
      <c r="D5992" t="s">
        <v>11</v>
      </c>
      <c r="E5992" t="s">
        <v>12</v>
      </c>
      <c r="F5992">
        <v>14380973</v>
      </c>
      <c r="G5992">
        <v>14381033</v>
      </c>
      <c r="H5992">
        <v>14381036</v>
      </c>
      <c r="I5992">
        <v>14381047</v>
      </c>
    </row>
    <row r="5993" spans="1:9" x14ac:dyDescent="0.2">
      <c r="A5993" t="str">
        <f>"Endog"</f>
        <v>Endog</v>
      </c>
      <c r="B5993" t="s">
        <v>14</v>
      </c>
      <c r="C5993" t="s">
        <v>26</v>
      </c>
      <c r="D5993" t="s">
        <v>17</v>
      </c>
      <c r="E5993" t="s">
        <v>12</v>
      </c>
      <c r="F5993">
        <v>30171502</v>
      </c>
      <c r="G5993">
        <v>30171520</v>
      </c>
      <c r="H5993">
        <v>30171543</v>
      </c>
      <c r="I5993">
        <v>30171554</v>
      </c>
    </row>
    <row r="5994" spans="1:9" x14ac:dyDescent="0.2">
      <c r="A5994" t="str">
        <f>"Endou"</f>
        <v>Endou</v>
      </c>
      <c r="B5994" t="s">
        <v>9</v>
      </c>
      <c r="C5994" t="s">
        <v>25</v>
      </c>
      <c r="D5994" t="s">
        <v>11</v>
      </c>
      <c r="E5994" t="s">
        <v>12</v>
      </c>
      <c r="F5994">
        <v>97721111</v>
      </c>
      <c r="G5994">
        <v>97721170</v>
      </c>
      <c r="H5994">
        <v>97721111</v>
      </c>
      <c r="I5994">
        <v>97721170</v>
      </c>
    </row>
    <row r="5995" spans="1:9" x14ac:dyDescent="0.2">
      <c r="A5995" t="str">
        <f>"Endou"</f>
        <v>Endou</v>
      </c>
      <c r="B5995" t="s">
        <v>13</v>
      </c>
      <c r="C5995" t="s">
        <v>25</v>
      </c>
      <c r="D5995" t="s">
        <v>11</v>
      </c>
      <c r="E5995" t="s">
        <v>12</v>
      </c>
      <c r="F5995">
        <v>97731327</v>
      </c>
      <c r="G5995">
        <v>97731346</v>
      </c>
      <c r="H5995">
        <v>97731327</v>
      </c>
      <c r="I5995">
        <v>97731346</v>
      </c>
    </row>
    <row r="5996" spans="1:9" x14ac:dyDescent="0.2">
      <c r="A5996" t="str">
        <f>"Endov"</f>
        <v>Endov</v>
      </c>
      <c r="B5996" t="s">
        <v>14</v>
      </c>
      <c r="C5996" t="s">
        <v>27</v>
      </c>
      <c r="D5996" t="s">
        <v>17</v>
      </c>
      <c r="E5996" t="s">
        <v>67</v>
      </c>
      <c r="F5996">
        <v>119491359</v>
      </c>
      <c r="G5996">
        <v>119491405</v>
      </c>
      <c r="H5996">
        <v>119491618</v>
      </c>
      <c r="I5996">
        <v>119491660</v>
      </c>
    </row>
    <row r="5997" spans="1:9" x14ac:dyDescent="0.2">
      <c r="A5997" t="str">
        <f>"Eng"</f>
        <v>Eng</v>
      </c>
      <c r="B5997" t="s">
        <v>14</v>
      </c>
      <c r="C5997" t="s">
        <v>26</v>
      </c>
      <c r="D5997" t="s">
        <v>17</v>
      </c>
      <c r="E5997" t="s">
        <v>12</v>
      </c>
      <c r="F5997">
        <v>32646639</v>
      </c>
      <c r="G5997">
        <v>32646674</v>
      </c>
      <c r="H5997">
        <v>32646617</v>
      </c>
      <c r="I5997">
        <v>32646633</v>
      </c>
    </row>
    <row r="5998" spans="1:9" x14ac:dyDescent="0.2">
      <c r="A5998" t="str">
        <f>"Engase"</f>
        <v>Engase</v>
      </c>
      <c r="B5998" t="s">
        <v>14</v>
      </c>
      <c r="C5998" t="s">
        <v>27</v>
      </c>
      <c r="D5998" t="s">
        <v>17</v>
      </c>
      <c r="E5998" t="s">
        <v>12</v>
      </c>
      <c r="F5998">
        <v>118476934</v>
      </c>
      <c r="G5998">
        <v>118476994</v>
      </c>
      <c r="H5998">
        <v>118476824</v>
      </c>
      <c r="I5998">
        <v>118476830</v>
      </c>
    </row>
    <row r="5999" spans="1:9" x14ac:dyDescent="0.2">
      <c r="A5999" t="str">
        <f>"Enho"</f>
        <v>Enho</v>
      </c>
      <c r="B5999" t="s">
        <v>14</v>
      </c>
      <c r="C5999" t="s">
        <v>23</v>
      </c>
      <c r="D5999" t="s">
        <v>11</v>
      </c>
      <c r="E5999" t="s">
        <v>12</v>
      </c>
      <c r="F5999">
        <v>41639969</v>
      </c>
      <c r="G5999">
        <v>41639983</v>
      </c>
      <c r="H5999">
        <v>41640100</v>
      </c>
      <c r="I5999">
        <v>41640137</v>
      </c>
    </row>
    <row r="6000" spans="1:9" x14ac:dyDescent="0.2">
      <c r="A6000" t="str">
        <f>"Enkd1"</f>
        <v>Enkd1</v>
      </c>
      <c r="B6000" t="s">
        <v>14</v>
      </c>
      <c r="C6000" t="s">
        <v>30</v>
      </c>
      <c r="D6000" t="s">
        <v>11</v>
      </c>
      <c r="E6000" t="s">
        <v>67</v>
      </c>
      <c r="F6000">
        <v>105708172</v>
      </c>
      <c r="G6000">
        <v>105708223</v>
      </c>
      <c r="H6000">
        <v>105708150</v>
      </c>
      <c r="I6000">
        <v>105708162</v>
      </c>
    </row>
    <row r="6001" spans="1:9" x14ac:dyDescent="0.2">
      <c r="A6001" t="str">
        <f>"Enkur"</f>
        <v>Enkur</v>
      </c>
      <c r="B6001" t="s">
        <v>14</v>
      </c>
      <c r="C6001" t="s">
        <v>26</v>
      </c>
      <c r="D6001" t="s">
        <v>11</v>
      </c>
      <c r="E6001" t="s">
        <v>12</v>
      </c>
      <c r="F6001">
        <v>21205342</v>
      </c>
      <c r="G6001">
        <v>21205371</v>
      </c>
      <c r="H6001">
        <v>21205310</v>
      </c>
      <c r="I6001">
        <v>21205324</v>
      </c>
    </row>
    <row r="6002" spans="1:9" x14ac:dyDescent="0.2">
      <c r="A6002" t="str">
        <f>"Eno1"</f>
        <v>Eno1</v>
      </c>
      <c r="B6002" t="s">
        <v>14</v>
      </c>
      <c r="C6002" t="s">
        <v>23</v>
      </c>
      <c r="D6002" t="s">
        <v>17</v>
      </c>
      <c r="E6002" t="s">
        <v>12</v>
      </c>
      <c r="F6002">
        <v>150237211</v>
      </c>
      <c r="G6002">
        <v>150237239</v>
      </c>
      <c r="H6002">
        <v>150237202</v>
      </c>
      <c r="I6002">
        <v>150237208</v>
      </c>
    </row>
    <row r="6003" spans="1:9" x14ac:dyDescent="0.2">
      <c r="A6003" t="str">
        <f>"Eno2"</f>
        <v>Eno2</v>
      </c>
      <c r="B6003" t="s">
        <v>14</v>
      </c>
      <c r="C6003" t="s">
        <v>32</v>
      </c>
      <c r="D6003" t="s">
        <v>11</v>
      </c>
      <c r="E6003" t="s">
        <v>12</v>
      </c>
      <c r="F6003">
        <v>124769505</v>
      </c>
      <c r="G6003">
        <v>124769537</v>
      </c>
      <c r="H6003">
        <v>124769548</v>
      </c>
      <c r="I6003">
        <v>124769570</v>
      </c>
    </row>
    <row r="6004" spans="1:9" x14ac:dyDescent="0.2">
      <c r="A6004" t="str">
        <f>"Eno3"</f>
        <v>Eno3</v>
      </c>
      <c r="B6004" t="s">
        <v>14</v>
      </c>
      <c r="C6004" t="s">
        <v>27</v>
      </c>
      <c r="D6004" t="s">
        <v>17</v>
      </c>
      <c r="E6004" t="s">
        <v>12</v>
      </c>
      <c r="F6004">
        <v>70657196</v>
      </c>
      <c r="G6004">
        <v>70657210</v>
      </c>
      <c r="H6004">
        <v>70657816</v>
      </c>
      <c r="I6004">
        <v>70657831</v>
      </c>
    </row>
    <row r="6005" spans="1:9" x14ac:dyDescent="0.2">
      <c r="A6005" t="str">
        <f>"Eno4"</f>
        <v>Eno4</v>
      </c>
      <c r="B6005" t="s">
        <v>14</v>
      </c>
      <c r="C6005" t="s">
        <v>10</v>
      </c>
      <c r="D6005" t="s">
        <v>17</v>
      </c>
      <c r="E6005" t="s">
        <v>12</v>
      </c>
      <c r="F6005">
        <v>58943384</v>
      </c>
      <c r="G6005">
        <v>58943410</v>
      </c>
      <c r="H6005">
        <v>58943413</v>
      </c>
      <c r="I6005">
        <v>58943431</v>
      </c>
    </row>
    <row r="6006" spans="1:9" x14ac:dyDescent="0.2">
      <c r="A6006" t="str">
        <f>"Enoph1"</f>
        <v>Enoph1</v>
      </c>
      <c r="B6006" t="s">
        <v>14</v>
      </c>
      <c r="C6006" t="s">
        <v>46</v>
      </c>
      <c r="D6006" t="s">
        <v>17</v>
      </c>
      <c r="E6006" t="s">
        <v>12</v>
      </c>
      <c r="F6006">
        <v>100039990</v>
      </c>
      <c r="G6006">
        <v>100040069</v>
      </c>
      <c r="H6006">
        <v>100039728</v>
      </c>
      <c r="I6006">
        <v>100039765</v>
      </c>
    </row>
    <row r="6007" spans="1:9" x14ac:dyDescent="0.2">
      <c r="A6007" t="str">
        <f>"Enox1"</f>
        <v>Enox1</v>
      </c>
      <c r="B6007" t="s">
        <v>14</v>
      </c>
      <c r="C6007" t="s">
        <v>41</v>
      </c>
      <c r="D6007" t="s">
        <v>17</v>
      </c>
      <c r="E6007" t="s">
        <v>12</v>
      </c>
      <c r="F6007">
        <v>77156733</v>
      </c>
      <c r="G6007">
        <v>77156823</v>
      </c>
      <c r="H6007">
        <v>77156830</v>
      </c>
      <c r="I6007">
        <v>77156843</v>
      </c>
    </row>
    <row r="6008" spans="1:9" x14ac:dyDescent="0.2">
      <c r="A6008" t="str">
        <f>"Enox2"</f>
        <v>Enox2</v>
      </c>
      <c r="B6008" t="s">
        <v>14</v>
      </c>
      <c r="C6008" t="s">
        <v>37</v>
      </c>
      <c r="D6008" t="s">
        <v>11</v>
      </c>
      <c r="E6008" t="s">
        <v>12</v>
      </c>
      <c r="F6008">
        <v>49288229</v>
      </c>
      <c r="G6008">
        <v>49288265</v>
      </c>
      <c r="H6008">
        <v>49288195</v>
      </c>
      <c r="I6008">
        <v>49288218</v>
      </c>
    </row>
    <row r="6009" spans="1:9" x14ac:dyDescent="0.2">
      <c r="A6009" t="str">
        <f>"Enpep"</f>
        <v>Enpep</v>
      </c>
      <c r="B6009" t="s">
        <v>14</v>
      </c>
      <c r="C6009" t="s">
        <v>22</v>
      </c>
      <c r="D6009" t="s">
        <v>11</v>
      </c>
      <c r="E6009" t="s">
        <v>12</v>
      </c>
      <c r="F6009">
        <v>129332713</v>
      </c>
      <c r="G6009">
        <v>129332726</v>
      </c>
      <c r="H6009">
        <v>129332713</v>
      </c>
      <c r="I6009">
        <v>129332726</v>
      </c>
    </row>
    <row r="6010" spans="1:9" x14ac:dyDescent="0.2">
      <c r="A6010" t="str">
        <f>"Enpp1"</f>
        <v>Enpp1</v>
      </c>
      <c r="B6010" t="s">
        <v>14</v>
      </c>
      <c r="C6010" t="s">
        <v>15</v>
      </c>
      <c r="D6010" t="s">
        <v>11</v>
      </c>
      <c r="E6010" t="s">
        <v>12</v>
      </c>
      <c r="F6010">
        <v>24711987</v>
      </c>
      <c r="G6010">
        <v>24712004</v>
      </c>
      <c r="H6010">
        <v>24712133</v>
      </c>
      <c r="I6010">
        <v>24712146</v>
      </c>
    </row>
    <row r="6011" spans="1:9" x14ac:dyDescent="0.2">
      <c r="A6011" t="str">
        <f>"Enpp2"</f>
        <v>Enpp2</v>
      </c>
      <c r="B6011" t="s">
        <v>14</v>
      </c>
      <c r="C6011" t="s">
        <v>25</v>
      </c>
      <c r="D6011" t="s">
        <v>11</v>
      </c>
      <c r="E6011" t="s">
        <v>12</v>
      </c>
      <c r="F6011">
        <v>54920010</v>
      </c>
      <c r="G6011">
        <v>54920037</v>
      </c>
      <c r="H6011">
        <v>54920115</v>
      </c>
      <c r="I6011">
        <v>54920138</v>
      </c>
    </row>
    <row r="6012" spans="1:9" x14ac:dyDescent="0.2">
      <c r="A6012" t="str">
        <f>"Enpp3"</f>
        <v>Enpp3</v>
      </c>
      <c r="B6012" t="s">
        <v>14</v>
      </c>
      <c r="C6012" t="s">
        <v>15</v>
      </c>
      <c r="D6012" t="s">
        <v>11</v>
      </c>
      <c r="E6012" t="s">
        <v>12</v>
      </c>
      <c r="F6012">
        <v>24836165</v>
      </c>
      <c r="G6012">
        <v>24836181</v>
      </c>
      <c r="H6012">
        <v>24836165</v>
      </c>
      <c r="I6012">
        <v>24836181</v>
      </c>
    </row>
    <row r="6013" spans="1:9" x14ac:dyDescent="0.2">
      <c r="A6013" t="str">
        <f>"Enpp4"</f>
        <v>Enpp4</v>
      </c>
      <c r="B6013" t="s">
        <v>14</v>
      </c>
      <c r="C6013" t="s">
        <v>28</v>
      </c>
      <c r="D6013" t="s">
        <v>11</v>
      </c>
      <c r="E6013" t="s">
        <v>12</v>
      </c>
      <c r="F6013">
        <v>44105774</v>
      </c>
      <c r="G6013">
        <v>44105845</v>
      </c>
      <c r="H6013">
        <v>44105728</v>
      </c>
      <c r="I6013">
        <v>44105767</v>
      </c>
    </row>
    <row r="6014" spans="1:9" x14ac:dyDescent="0.2">
      <c r="A6014" t="str">
        <f>"Enpp5"</f>
        <v>Enpp5</v>
      </c>
      <c r="B6014" t="s">
        <v>14</v>
      </c>
      <c r="C6014" t="s">
        <v>28</v>
      </c>
      <c r="D6014" t="s">
        <v>17</v>
      </c>
      <c r="E6014" t="s">
        <v>12</v>
      </c>
      <c r="F6014">
        <v>44078825</v>
      </c>
      <c r="G6014">
        <v>44078910</v>
      </c>
      <c r="H6014">
        <v>44078825</v>
      </c>
      <c r="I6014">
        <v>44078910</v>
      </c>
    </row>
    <row r="6015" spans="1:9" x14ac:dyDescent="0.2">
      <c r="A6015" t="str">
        <f>"Enpp6"</f>
        <v>Enpp6</v>
      </c>
      <c r="B6015" t="s">
        <v>14</v>
      </c>
      <c r="C6015" t="s">
        <v>30</v>
      </c>
      <c r="D6015" t="s">
        <v>17</v>
      </c>
      <c r="E6015" t="s">
        <v>12</v>
      </c>
      <c r="F6015">
        <v>46986913</v>
      </c>
      <c r="G6015">
        <v>46986962</v>
      </c>
      <c r="H6015">
        <v>46986898</v>
      </c>
      <c r="I6015">
        <v>46986910</v>
      </c>
    </row>
    <row r="6016" spans="1:9" x14ac:dyDescent="0.2">
      <c r="A6016" t="str">
        <f>"Enpp7"</f>
        <v>Enpp7</v>
      </c>
      <c r="B6016" t="s">
        <v>14</v>
      </c>
      <c r="C6016" t="s">
        <v>27</v>
      </c>
      <c r="D6016" t="s">
        <v>17</v>
      </c>
      <c r="E6016" t="s">
        <v>12</v>
      </c>
      <c r="F6016">
        <v>118988173</v>
      </c>
      <c r="G6016">
        <v>118988192</v>
      </c>
      <c r="H6016">
        <v>118988173</v>
      </c>
      <c r="I6016">
        <v>118988192</v>
      </c>
    </row>
    <row r="6017" spans="1:9" x14ac:dyDescent="0.2">
      <c r="A6017" t="str">
        <f>"Ensa"</f>
        <v>Ensa</v>
      </c>
      <c r="B6017" t="s">
        <v>14</v>
      </c>
      <c r="C6017" t="s">
        <v>22</v>
      </c>
      <c r="D6017" t="s">
        <v>17</v>
      </c>
      <c r="E6017" t="s">
        <v>12</v>
      </c>
      <c r="F6017">
        <v>95624971</v>
      </c>
      <c r="G6017">
        <v>95625021</v>
      </c>
      <c r="H6017">
        <v>95624971</v>
      </c>
      <c r="I6017">
        <v>95625021</v>
      </c>
    </row>
    <row r="6018" spans="1:9" x14ac:dyDescent="0.2">
      <c r="A6018" t="str">
        <f>"Enthd1"</f>
        <v>Enthd1</v>
      </c>
      <c r="B6018" t="s">
        <v>14</v>
      </c>
      <c r="C6018" t="s">
        <v>25</v>
      </c>
      <c r="D6018" t="s">
        <v>11</v>
      </c>
      <c r="E6018" t="s">
        <v>12</v>
      </c>
      <c r="F6018">
        <v>80560407</v>
      </c>
      <c r="G6018">
        <v>80560418</v>
      </c>
      <c r="H6018">
        <v>80560407</v>
      </c>
      <c r="I6018">
        <v>80560418</v>
      </c>
    </row>
    <row r="6019" spans="1:9" x14ac:dyDescent="0.2">
      <c r="A6019" t="str">
        <f>"Enthd2"</f>
        <v>Enthd2</v>
      </c>
      <c r="B6019" t="s">
        <v>14</v>
      </c>
      <c r="C6019" t="s">
        <v>27</v>
      </c>
      <c r="D6019" t="s">
        <v>11</v>
      </c>
      <c r="E6019" t="s">
        <v>67</v>
      </c>
      <c r="F6019">
        <v>120098673</v>
      </c>
      <c r="G6019">
        <v>120098702</v>
      </c>
      <c r="H6019">
        <v>120098673</v>
      </c>
      <c r="I6019">
        <v>120098702</v>
      </c>
    </row>
    <row r="6020" spans="1:9" x14ac:dyDescent="0.2">
      <c r="A6020" t="str">
        <f>"Entpd1"</f>
        <v>Entpd1</v>
      </c>
      <c r="B6020" t="s">
        <v>14</v>
      </c>
      <c r="C6020" t="s">
        <v>10</v>
      </c>
      <c r="D6020" t="s">
        <v>17</v>
      </c>
      <c r="E6020" t="s">
        <v>12</v>
      </c>
      <c r="F6020">
        <v>40659785</v>
      </c>
      <c r="G6020">
        <v>40659802</v>
      </c>
      <c r="H6020">
        <v>40660142</v>
      </c>
      <c r="I6020">
        <v>40660170</v>
      </c>
    </row>
    <row r="6021" spans="1:9" x14ac:dyDescent="0.2">
      <c r="A6021" t="str">
        <f>"Entpd2"</f>
        <v>Entpd2</v>
      </c>
      <c r="B6021" t="s">
        <v>14</v>
      </c>
      <c r="C6021" t="s">
        <v>26</v>
      </c>
      <c r="D6021" t="s">
        <v>17</v>
      </c>
      <c r="E6021" t="s">
        <v>12</v>
      </c>
      <c r="F6021">
        <v>25395910</v>
      </c>
      <c r="G6021">
        <v>25395935</v>
      </c>
      <c r="H6021">
        <v>25395866</v>
      </c>
      <c r="I6021">
        <v>25395902</v>
      </c>
    </row>
    <row r="6022" spans="1:9" x14ac:dyDescent="0.2">
      <c r="A6022" t="str">
        <f>"Entpd3"</f>
        <v>Entpd3</v>
      </c>
      <c r="B6022" t="s">
        <v>14</v>
      </c>
      <c r="C6022" t="s">
        <v>24</v>
      </c>
      <c r="D6022" t="s">
        <v>17</v>
      </c>
      <c r="E6022" t="s">
        <v>12</v>
      </c>
      <c r="F6022">
        <v>120539801</v>
      </c>
      <c r="G6022">
        <v>120539864</v>
      </c>
      <c r="H6022">
        <v>120539876</v>
      </c>
      <c r="I6022">
        <v>120539886</v>
      </c>
    </row>
    <row r="6023" spans="1:9" x14ac:dyDescent="0.2">
      <c r="A6023" t="str">
        <f>"Entpd4"</f>
        <v>Entpd4</v>
      </c>
      <c r="B6023" t="s">
        <v>2419</v>
      </c>
      <c r="C6023" t="s">
        <v>41</v>
      </c>
      <c r="D6023" t="s">
        <v>17</v>
      </c>
      <c r="E6023" t="s">
        <v>20</v>
      </c>
      <c r="F6023">
        <v>69347586</v>
      </c>
      <c r="G6023">
        <v>69347586</v>
      </c>
      <c r="H6023">
        <v>69347586</v>
      </c>
      <c r="I6023">
        <v>69347586</v>
      </c>
    </row>
    <row r="6024" spans="1:9" x14ac:dyDescent="0.2">
      <c r="A6024" t="str">
        <f>"Entpd4"</f>
        <v>Entpd4</v>
      </c>
      <c r="B6024" t="s">
        <v>2420</v>
      </c>
      <c r="C6024" t="s">
        <v>41</v>
      </c>
      <c r="D6024" t="s">
        <v>17</v>
      </c>
      <c r="E6024" t="s">
        <v>20</v>
      </c>
      <c r="F6024">
        <v>69337173</v>
      </c>
      <c r="G6024">
        <v>69337173</v>
      </c>
      <c r="H6024">
        <v>69337173</v>
      </c>
      <c r="I6024">
        <v>69337173</v>
      </c>
    </row>
    <row r="6025" spans="1:9" x14ac:dyDescent="0.2">
      <c r="A6025" t="str">
        <f>"Entpd5"</f>
        <v>Entpd5</v>
      </c>
      <c r="B6025" t="s">
        <v>9</v>
      </c>
      <c r="C6025" t="s">
        <v>16</v>
      </c>
      <c r="D6025" t="s">
        <v>11</v>
      </c>
      <c r="E6025" t="s">
        <v>12</v>
      </c>
      <c r="F6025">
        <v>84408991</v>
      </c>
      <c r="G6025">
        <v>84409034</v>
      </c>
      <c r="H6025">
        <v>84408991</v>
      </c>
      <c r="I6025">
        <v>84409034</v>
      </c>
    </row>
    <row r="6026" spans="1:9" x14ac:dyDescent="0.2">
      <c r="A6026" t="str">
        <f>"Entpd5"</f>
        <v>Entpd5</v>
      </c>
      <c r="B6026" t="s">
        <v>13</v>
      </c>
      <c r="C6026" t="s">
        <v>16</v>
      </c>
      <c r="D6026" t="s">
        <v>11</v>
      </c>
      <c r="E6026" t="s">
        <v>12</v>
      </c>
      <c r="F6026">
        <v>84400851</v>
      </c>
      <c r="G6026">
        <v>84400900</v>
      </c>
      <c r="H6026">
        <v>84400851</v>
      </c>
      <c r="I6026">
        <v>84400900</v>
      </c>
    </row>
    <row r="6027" spans="1:9" x14ac:dyDescent="0.2">
      <c r="A6027" t="str">
        <f>"Entpd6"</f>
        <v>Entpd6</v>
      </c>
      <c r="B6027" t="s">
        <v>14</v>
      </c>
      <c r="C6027" t="s">
        <v>26</v>
      </c>
      <c r="D6027" t="s">
        <v>17</v>
      </c>
      <c r="E6027" t="s">
        <v>12</v>
      </c>
      <c r="F6027">
        <v>150749036</v>
      </c>
      <c r="G6027">
        <v>150749147</v>
      </c>
      <c r="H6027">
        <v>150749159</v>
      </c>
      <c r="I6027">
        <v>150749181</v>
      </c>
    </row>
    <row r="6028" spans="1:9" x14ac:dyDescent="0.2">
      <c r="A6028" t="str">
        <f>"Entpd7"</f>
        <v>Entpd7</v>
      </c>
      <c r="B6028" t="s">
        <v>14</v>
      </c>
      <c r="C6028" t="s">
        <v>10</v>
      </c>
      <c r="D6028" t="s">
        <v>17</v>
      </c>
      <c r="E6028" t="s">
        <v>12</v>
      </c>
      <c r="F6028">
        <v>43689798</v>
      </c>
      <c r="G6028">
        <v>43689868</v>
      </c>
      <c r="H6028">
        <v>43689672</v>
      </c>
      <c r="I6028">
        <v>43689695</v>
      </c>
    </row>
    <row r="6029" spans="1:9" x14ac:dyDescent="0.2">
      <c r="A6029" t="str">
        <f>"Entpd8"</f>
        <v>Entpd8</v>
      </c>
      <c r="B6029" t="s">
        <v>14</v>
      </c>
      <c r="C6029" t="s">
        <v>26</v>
      </c>
      <c r="D6029" t="s">
        <v>17</v>
      </c>
      <c r="E6029" t="s">
        <v>12</v>
      </c>
      <c r="F6029">
        <v>25080497</v>
      </c>
      <c r="G6029">
        <v>25080530</v>
      </c>
      <c r="H6029">
        <v>25080316</v>
      </c>
      <c r="I6029">
        <v>25080343</v>
      </c>
    </row>
    <row r="6030" spans="1:9" x14ac:dyDescent="0.2">
      <c r="A6030" t="str">
        <f>"Eny2"</f>
        <v>Eny2</v>
      </c>
      <c r="B6030" t="s">
        <v>14</v>
      </c>
      <c r="C6030" t="s">
        <v>25</v>
      </c>
      <c r="D6030" t="s">
        <v>17</v>
      </c>
      <c r="E6030" t="s">
        <v>12</v>
      </c>
      <c r="F6030">
        <v>44428073</v>
      </c>
      <c r="G6030">
        <v>44428174</v>
      </c>
      <c r="H6030">
        <v>44428198</v>
      </c>
      <c r="I6030">
        <v>44428205</v>
      </c>
    </row>
    <row r="6031" spans="1:9" x14ac:dyDescent="0.2">
      <c r="A6031" t="str">
        <f>"Eogt"</f>
        <v>Eogt</v>
      </c>
      <c r="B6031" t="s">
        <v>14</v>
      </c>
      <c r="C6031" t="s">
        <v>32</v>
      </c>
      <c r="D6031" t="s">
        <v>11</v>
      </c>
      <c r="E6031" t="s">
        <v>67</v>
      </c>
      <c r="F6031">
        <v>97148857</v>
      </c>
      <c r="G6031">
        <v>97148904</v>
      </c>
      <c r="H6031">
        <v>97148908</v>
      </c>
      <c r="I6031">
        <v>97148930</v>
      </c>
    </row>
    <row r="6032" spans="1:9" x14ac:dyDescent="0.2">
      <c r="A6032" t="str">
        <f>"Eomes"</f>
        <v>Eomes</v>
      </c>
      <c r="B6032" t="s">
        <v>14</v>
      </c>
      <c r="C6032" t="s">
        <v>24</v>
      </c>
      <c r="D6032" t="s">
        <v>17</v>
      </c>
      <c r="E6032" t="s">
        <v>12</v>
      </c>
      <c r="F6032">
        <v>118478182</v>
      </c>
      <c r="G6032">
        <v>118478199</v>
      </c>
      <c r="H6032">
        <v>118478851</v>
      </c>
      <c r="I6032">
        <v>118478866</v>
      </c>
    </row>
    <row r="6033" spans="1:9" x14ac:dyDescent="0.2">
      <c r="A6033" t="str">
        <f>"Ep300"</f>
        <v>Ep300</v>
      </c>
      <c r="B6033" t="s">
        <v>14</v>
      </c>
      <c r="C6033" t="s">
        <v>25</v>
      </c>
      <c r="D6033" t="s">
        <v>17</v>
      </c>
      <c r="E6033" t="s">
        <v>12</v>
      </c>
      <c r="F6033">
        <v>81585338</v>
      </c>
      <c r="G6033">
        <v>81585381</v>
      </c>
      <c r="H6033">
        <v>81586206</v>
      </c>
      <c r="I6033">
        <v>81586250</v>
      </c>
    </row>
    <row r="6034" spans="1:9" x14ac:dyDescent="0.2">
      <c r="A6034" t="str">
        <f>"Ep400"</f>
        <v>Ep400</v>
      </c>
      <c r="B6034" t="s">
        <v>14</v>
      </c>
      <c r="C6034" t="s">
        <v>46</v>
      </c>
      <c r="D6034" t="s">
        <v>11</v>
      </c>
      <c r="E6034" t="s">
        <v>12</v>
      </c>
      <c r="F6034">
        <v>110770560</v>
      </c>
      <c r="G6034">
        <v>110770629</v>
      </c>
      <c r="H6034">
        <v>110770710</v>
      </c>
      <c r="I6034">
        <v>110770723</v>
      </c>
    </row>
    <row r="6035" spans="1:9" x14ac:dyDescent="0.2">
      <c r="A6035" t="str">
        <f>"Epas1"</f>
        <v>Epas1</v>
      </c>
      <c r="B6035" t="s">
        <v>14</v>
      </c>
      <c r="C6035" t="s">
        <v>28</v>
      </c>
      <c r="D6035" t="s">
        <v>17</v>
      </c>
      <c r="E6035" t="s">
        <v>12</v>
      </c>
      <c r="F6035">
        <v>86753900</v>
      </c>
      <c r="G6035">
        <v>86753914</v>
      </c>
      <c r="H6035">
        <v>86753688</v>
      </c>
      <c r="I6035">
        <v>86753709</v>
      </c>
    </row>
    <row r="6036" spans="1:9" x14ac:dyDescent="0.2">
      <c r="A6036" t="str">
        <f>"Epb4.1"</f>
        <v>Epb4.1</v>
      </c>
      <c r="B6036" t="s">
        <v>9</v>
      </c>
      <c r="C6036" t="s">
        <v>23</v>
      </c>
      <c r="D6036" t="s">
        <v>11</v>
      </c>
      <c r="E6036" t="s">
        <v>12</v>
      </c>
      <c r="F6036">
        <v>132075250</v>
      </c>
      <c r="G6036">
        <v>132075291</v>
      </c>
      <c r="H6036">
        <v>132075250</v>
      </c>
      <c r="I6036">
        <v>132075291</v>
      </c>
    </row>
    <row r="6037" spans="1:9" x14ac:dyDescent="0.2">
      <c r="A6037" t="str">
        <f>"Epb4.1"</f>
        <v>Epb4.1</v>
      </c>
      <c r="B6037" t="s">
        <v>13</v>
      </c>
      <c r="C6037" t="s">
        <v>23</v>
      </c>
      <c r="D6037" t="s">
        <v>11</v>
      </c>
      <c r="E6037" t="s">
        <v>12</v>
      </c>
      <c r="F6037">
        <v>132049058</v>
      </c>
      <c r="G6037">
        <v>132049156</v>
      </c>
      <c r="H6037">
        <v>132049058</v>
      </c>
      <c r="I6037">
        <v>132049156</v>
      </c>
    </row>
    <row r="6038" spans="1:9" x14ac:dyDescent="0.2">
      <c r="A6038" t="str">
        <f>"Epb4.1l1"</f>
        <v>Epb4.1l1</v>
      </c>
      <c r="B6038" t="s">
        <v>9</v>
      </c>
      <c r="C6038" t="s">
        <v>26</v>
      </c>
      <c r="D6038" t="s">
        <v>17</v>
      </c>
      <c r="E6038" t="s">
        <v>12</v>
      </c>
      <c r="F6038">
        <v>156475507</v>
      </c>
      <c r="G6038">
        <v>156475561</v>
      </c>
      <c r="H6038">
        <v>156475507</v>
      </c>
      <c r="I6038">
        <v>156475561</v>
      </c>
    </row>
    <row r="6039" spans="1:9" x14ac:dyDescent="0.2">
      <c r="A6039" t="str">
        <f>"Epb4.1l1"</f>
        <v>Epb4.1l1</v>
      </c>
      <c r="B6039" t="s">
        <v>13</v>
      </c>
      <c r="C6039" t="s">
        <v>26</v>
      </c>
      <c r="D6039" t="s">
        <v>17</v>
      </c>
      <c r="E6039" t="s">
        <v>12</v>
      </c>
      <c r="F6039">
        <v>156421083</v>
      </c>
      <c r="G6039">
        <v>156421114</v>
      </c>
      <c r="H6039">
        <v>156421083</v>
      </c>
      <c r="I6039">
        <v>156421114</v>
      </c>
    </row>
    <row r="6040" spans="1:9" x14ac:dyDescent="0.2">
      <c r="A6040" t="str">
        <f>"Epb4.1l2"</f>
        <v>Epb4.1l2</v>
      </c>
      <c r="B6040" t="s">
        <v>14</v>
      </c>
      <c r="C6040" t="s">
        <v>15</v>
      </c>
      <c r="D6040" t="s">
        <v>17</v>
      </c>
      <c r="E6040" t="s">
        <v>12</v>
      </c>
      <c r="F6040">
        <v>25359850</v>
      </c>
      <c r="G6040">
        <v>25359887</v>
      </c>
      <c r="H6040">
        <v>25359820</v>
      </c>
      <c r="I6040">
        <v>25359844</v>
      </c>
    </row>
    <row r="6041" spans="1:9" x14ac:dyDescent="0.2">
      <c r="A6041" t="str">
        <f>"Epb4.1l3"</f>
        <v>Epb4.1l3</v>
      </c>
      <c r="B6041" t="s">
        <v>14</v>
      </c>
      <c r="C6041" t="s">
        <v>28</v>
      </c>
      <c r="D6041" t="s">
        <v>17</v>
      </c>
      <c r="E6041" t="s">
        <v>12</v>
      </c>
      <c r="F6041">
        <v>69156791</v>
      </c>
      <c r="G6041">
        <v>69156850</v>
      </c>
      <c r="H6041">
        <v>69156721</v>
      </c>
      <c r="I6041">
        <v>69156733</v>
      </c>
    </row>
    <row r="6042" spans="1:9" x14ac:dyDescent="0.2">
      <c r="A6042" t="str">
        <f>"Epb4.1l4a"</f>
        <v>Epb4.1l4a</v>
      </c>
      <c r="B6042" t="s">
        <v>14</v>
      </c>
      <c r="C6042" t="s">
        <v>43</v>
      </c>
      <c r="D6042" t="s">
        <v>11</v>
      </c>
      <c r="E6042" t="s">
        <v>12</v>
      </c>
      <c r="F6042">
        <v>34006921</v>
      </c>
      <c r="G6042">
        <v>34006989</v>
      </c>
      <c r="H6042">
        <v>34007254</v>
      </c>
      <c r="I6042">
        <v>34007361</v>
      </c>
    </row>
    <row r="6043" spans="1:9" x14ac:dyDescent="0.2">
      <c r="A6043" t="str">
        <f>"Epb4.1l4b"</f>
        <v>Epb4.1l4b</v>
      </c>
      <c r="B6043" t="s">
        <v>14</v>
      </c>
      <c r="C6043" t="s">
        <v>23</v>
      </c>
      <c r="D6043" t="s">
        <v>11</v>
      </c>
      <c r="E6043" t="s">
        <v>12</v>
      </c>
      <c r="F6043">
        <v>57143105</v>
      </c>
      <c r="G6043">
        <v>57143161</v>
      </c>
      <c r="H6043">
        <v>57143105</v>
      </c>
      <c r="I6043">
        <v>57143161</v>
      </c>
    </row>
    <row r="6044" spans="1:9" x14ac:dyDescent="0.2">
      <c r="A6044" t="str">
        <f>"Epb4.1l5"</f>
        <v>Epb4.1l5</v>
      </c>
      <c r="B6044" t="s">
        <v>14</v>
      </c>
      <c r="C6044" t="s">
        <v>19</v>
      </c>
      <c r="D6044" t="s">
        <v>11</v>
      </c>
      <c r="E6044" t="s">
        <v>12</v>
      </c>
      <c r="F6044">
        <v>119648903</v>
      </c>
      <c r="G6044">
        <v>119648981</v>
      </c>
      <c r="H6044">
        <v>119648622</v>
      </c>
      <c r="I6044">
        <v>119648653</v>
      </c>
    </row>
    <row r="6045" spans="1:9" x14ac:dyDescent="0.2">
      <c r="A6045" t="str">
        <f>"Epb4.2"</f>
        <v>Epb4.2</v>
      </c>
      <c r="B6045" t="s">
        <v>14</v>
      </c>
      <c r="C6045" t="s">
        <v>26</v>
      </c>
      <c r="D6045" t="s">
        <v>11</v>
      </c>
      <c r="E6045" t="s">
        <v>12</v>
      </c>
      <c r="F6045">
        <v>121036695</v>
      </c>
      <c r="G6045">
        <v>121036735</v>
      </c>
      <c r="H6045">
        <v>121036674</v>
      </c>
      <c r="I6045">
        <v>121036689</v>
      </c>
    </row>
    <row r="6046" spans="1:9" x14ac:dyDescent="0.2">
      <c r="A6046" t="str">
        <f>"Epc1"</f>
        <v>Epc1</v>
      </c>
      <c r="B6046" t="s">
        <v>9</v>
      </c>
      <c r="C6046" t="s">
        <v>43</v>
      </c>
      <c r="D6046" t="s">
        <v>11</v>
      </c>
      <c r="E6046" t="s">
        <v>12</v>
      </c>
      <c r="F6046">
        <v>6490808</v>
      </c>
      <c r="G6046">
        <v>6490869</v>
      </c>
      <c r="H6046">
        <v>6490808</v>
      </c>
      <c r="I6046">
        <v>6490869</v>
      </c>
    </row>
    <row r="6047" spans="1:9" x14ac:dyDescent="0.2">
      <c r="A6047" t="str">
        <f>"Epc1"</f>
        <v>Epc1</v>
      </c>
      <c r="B6047" t="s">
        <v>13</v>
      </c>
      <c r="C6047" t="s">
        <v>43</v>
      </c>
      <c r="D6047" t="s">
        <v>11</v>
      </c>
      <c r="E6047" t="s">
        <v>12</v>
      </c>
      <c r="F6047">
        <v>6516067</v>
      </c>
      <c r="G6047">
        <v>6516083</v>
      </c>
      <c r="H6047">
        <v>6516067</v>
      </c>
      <c r="I6047">
        <v>6516083</v>
      </c>
    </row>
    <row r="6048" spans="1:9" x14ac:dyDescent="0.2">
      <c r="A6048" t="str">
        <f>"Epc2"</f>
        <v>Epc2</v>
      </c>
      <c r="B6048" t="s">
        <v>14</v>
      </c>
      <c r="C6048" t="s">
        <v>26</v>
      </c>
      <c r="D6048" t="s">
        <v>17</v>
      </c>
      <c r="E6048" t="s">
        <v>12</v>
      </c>
      <c r="F6048">
        <v>49451488</v>
      </c>
      <c r="G6048">
        <v>49451559</v>
      </c>
      <c r="H6048">
        <v>49451763</v>
      </c>
      <c r="I6048">
        <v>49451792</v>
      </c>
    </row>
    <row r="6049" spans="1:9" x14ac:dyDescent="0.2">
      <c r="A6049" t="str">
        <f>"Epcam"</f>
        <v>Epcam</v>
      </c>
      <c r="B6049" t="s">
        <v>14</v>
      </c>
      <c r="C6049" t="s">
        <v>28</v>
      </c>
      <c r="D6049" t="s">
        <v>17</v>
      </c>
      <c r="E6049" t="s">
        <v>12</v>
      </c>
      <c r="F6049">
        <v>87635974</v>
      </c>
      <c r="G6049">
        <v>87635990</v>
      </c>
      <c r="H6049">
        <v>87635974</v>
      </c>
      <c r="I6049">
        <v>87635990</v>
      </c>
    </row>
    <row r="6050" spans="1:9" x14ac:dyDescent="0.2">
      <c r="A6050" t="str">
        <f>"Epdr1"</f>
        <v>Epdr1</v>
      </c>
      <c r="B6050" t="s">
        <v>14</v>
      </c>
      <c r="C6050" t="s">
        <v>39</v>
      </c>
      <c r="D6050" t="s">
        <v>11</v>
      </c>
      <c r="E6050" t="s">
        <v>12</v>
      </c>
      <c r="F6050">
        <v>19619758</v>
      </c>
      <c r="G6050">
        <v>19619811</v>
      </c>
      <c r="H6050">
        <v>19619820</v>
      </c>
      <c r="I6050">
        <v>19619827</v>
      </c>
    </row>
    <row r="6051" spans="1:9" x14ac:dyDescent="0.2">
      <c r="A6051" t="str">
        <f>"Epg5"</f>
        <v>Epg5</v>
      </c>
      <c r="B6051" t="s">
        <v>14</v>
      </c>
      <c r="C6051" t="s">
        <v>43</v>
      </c>
      <c r="D6051" t="s">
        <v>17</v>
      </c>
      <c r="E6051" t="s">
        <v>67</v>
      </c>
      <c r="F6051">
        <v>77938452</v>
      </c>
      <c r="G6051">
        <v>77938477</v>
      </c>
      <c r="H6051">
        <v>77938421</v>
      </c>
      <c r="I6051">
        <v>77938451</v>
      </c>
    </row>
    <row r="6052" spans="1:9" x14ac:dyDescent="0.2">
      <c r="A6052" t="str">
        <f>"Epgn"</f>
        <v>Epgn</v>
      </c>
      <c r="B6052" t="s">
        <v>14</v>
      </c>
      <c r="C6052" t="s">
        <v>46</v>
      </c>
      <c r="D6052" t="s">
        <v>17</v>
      </c>
      <c r="E6052" t="s">
        <v>12</v>
      </c>
      <c r="F6052">
        <v>91027457</v>
      </c>
      <c r="G6052">
        <v>91027492</v>
      </c>
      <c r="H6052">
        <v>91027457</v>
      </c>
      <c r="I6052">
        <v>91027492</v>
      </c>
    </row>
    <row r="6053" spans="1:9" x14ac:dyDescent="0.2">
      <c r="A6053" t="str">
        <f>"Epha1"</f>
        <v>Epha1</v>
      </c>
      <c r="B6053" t="s">
        <v>14</v>
      </c>
      <c r="C6053" t="s">
        <v>32</v>
      </c>
      <c r="D6053" t="s">
        <v>11</v>
      </c>
      <c r="E6053" t="s">
        <v>12</v>
      </c>
      <c r="F6053">
        <v>42373254</v>
      </c>
      <c r="G6053">
        <v>42373274</v>
      </c>
      <c r="H6053">
        <v>42373238</v>
      </c>
      <c r="I6053">
        <v>42373253</v>
      </c>
    </row>
    <row r="6054" spans="1:9" x14ac:dyDescent="0.2">
      <c r="A6054" t="str">
        <f>"Epha10"</f>
        <v>Epha10</v>
      </c>
      <c r="B6054" t="s">
        <v>14</v>
      </c>
      <c r="C6054" t="s">
        <v>23</v>
      </c>
      <c r="D6054" t="s">
        <v>17</v>
      </c>
      <c r="E6054" t="s">
        <v>12</v>
      </c>
      <c r="F6054">
        <v>124881785</v>
      </c>
      <c r="G6054">
        <v>124881836</v>
      </c>
      <c r="H6054">
        <v>124881846</v>
      </c>
      <c r="I6054">
        <v>124881856</v>
      </c>
    </row>
    <row r="6055" spans="1:9" x14ac:dyDescent="0.2">
      <c r="A6055" t="str">
        <f>"Epha2"</f>
        <v>Epha2</v>
      </c>
      <c r="B6055" t="s">
        <v>14</v>
      </c>
      <c r="C6055" t="s">
        <v>23</v>
      </c>
      <c r="D6055" t="s">
        <v>17</v>
      </c>
      <c r="E6055" t="s">
        <v>12</v>
      </c>
      <c r="F6055">
        <v>141301228</v>
      </c>
      <c r="G6055">
        <v>141301250</v>
      </c>
      <c r="H6055">
        <v>141301259</v>
      </c>
      <c r="I6055">
        <v>141301276</v>
      </c>
    </row>
    <row r="6056" spans="1:9" x14ac:dyDescent="0.2">
      <c r="A6056" t="str">
        <f>"Epha3"</f>
        <v>Epha3</v>
      </c>
      <c r="B6056" t="s">
        <v>14</v>
      </c>
      <c r="C6056" t="s">
        <v>31</v>
      </c>
      <c r="D6056" t="s">
        <v>11</v>
      </c>
      <c r="E6056" t="s">
        <v>12</v>
      </c>
      <c r="F6056">
        <v>63864114</v>
      </c>
      <c r="G6056">
        <v>63864182</v>
      </c>
      <c r="H6056">
        <v>63864097</v>
      </c>
      <c r="I6056">
        <v>63864113</v>
      </c>
    </row>
    <row r="6057" spans="1:9" x14ac:dyDescent="0.2">
      <c r="A6057" t="str">
        <f>"Epha4"</f>
        <v>Epha4</v>
      </c>
      <c r="B6057" t="s">
        <v>14</v>
      </c>
      <c r="C6057" t="s">
        <v>19</v>
      </c>
      <c r="D6057" t="s">
        <v>11</v>
      </c>
      <c r="E6057" t="s">
        <v>12</v>
      </c>
      <c r="F6057">
        <v>77515048</v>
      </c>
      <c r="G6057">
        <v>77515102</v>
      </c>
      <c r="H6057">
        <v>77515048</v>
      </c>
      <c r="I6057">
        <v>77515102</v>
      </c>
    </row>
    <row r="6058" spans="1:9" x14ac:dyDescent="0.2">
      <c r="A6058" t="str">
        <f>"Epha5"</f>
        <v>Epha5</v>
      </c>
      <c r="B6058" t="s">
        <v>14</v>
      </c>
      <c r="C6058" t="s">
        <v>46</v>
      </c>
      <c r="D6058" t="s">
        <v>11</v>
      </c>
      <c r="E6058" t="s">
        <v>12</v>
      </c>
      <c r="F6058">
        <v>84417368</v>
      </c>
      <c r="G6058">
        <v>84417389</v>
      </c>
      <c r="H6058">
        <v>84417324</v>
      </c>
      <c r="I6058">
        <v>84417337</v>
      </c>
    </row>
    <row r="6059" spans="1:9" x14ac:dyDescent="0.2">
      <c r="A6059" t="str">
        <f>"Epha6"</f>
        <v>Epha6</v>
      </c>
      <c r="B6059" t="s">
        <v>14</v>
      </c>
      <c r="C6059" t="s">
        <v>31</v>
      </c>
      <c r="D6059" t="s">
        <v>11</v>
      </c>
      <c r="E6059" t="s">
        <v>12</v>
      </c>
      <c r="F6059">
        <v>60605271</v>
      </c>
      <c r="G6059">
        <v>60605291</v>
      </c>
      <c r="H6059">
        <v>60605611</v>
      </c>
      <c r="I6059">
        <v>60605643</v>
      </c>
    </row>
    <row r="6060" spans="1:9" x14ac:dyDescent="0.2">
      <c r="A6060" t="str">
        <f>"Epha7"</f>
        <v>Epha7</v>
      </c>
      <c r="B6060" t="s">
        <v>14</v>
      </c>
      <c r="C6060" t="s">
        <v>23</v>
      </c>
      <c r="D6060" t="s">
        <v>17</v>
      </c>
      <c r="E6060" t="s">
        <v>12</v>
      </c>
      <c r="F6060">
        <v>28813153</v>
      </c>
      <c r="G6060">
        <v>28813173</v>
      </c>
      <c r="H6060">
        <v>28813125</v>
      </c>
      <c r="I6060">
        <v>28813136</v>
      </c>
    </row>
    <row r="6061" spans="1:9" x14ac:dyDescent="0.2">
      <c r="A6061" t="str">
        <f>"Epha8"</f>
        <v>Epha8</v>
      </c>
      <c r="B6061" t="s">
        <v>14</v>
      </c>
      <c r="C6061" t="s">
        <v>23</v>
      </c>
      <c r="D6061" t="s">
        <v>11</v>
      </c>
      <c r="E6061" t="s">
        <v>12</v>
      </c>
      <c r="F6061">
        <v>136956784</v>
      </c>
      <c r="G6061">
        <v>136956871</v>
      </c>
      <c r="H6061">
        <v>136956772</v>
      </c>
      <c r="I6061">
        <v>136956780</v>
      </c>
    </row>
    <row r="6062" spans="1:9" x14ac:dyDescent="0.2">
      <c r="A6062" t="str">
        <f>"Ephb1"</f>
        <v>Ephb1</v>
      </c>
      <c r="B6062" t="s">
        <v>14</v>
      </c>
      <c r="C6062" t="s">
        <v>24</v>
      </c>
      <c r="D6062" t="s">
        <v>11</v>
      </c>
      <c r="E6062" t="s">
        <v>12</v>
      </c>
      <c r="F6062">
        <v>102354642</v>
      </c>
      <c r="G6062">
        <v>102354672</v>
      </c>
      <c r="H6062">
        <v>102354685</v>
      </c>
      <c r="I6062">
        <v>102354699</v>
      </c>
    </row>
    <row r="6063" spans="1:9" x14ac:dyDescent="0.2">
      <c r="A6063" t="str">
        <f>"Ephb2"</f>
        <v>Ephb2</v>
      </c>
      <c r="B6063" t="s">
        <v>14</v>
      </c>
      <c r="C6063" t="s">
        <v>23</v>
      </c>
      <c r="D6063" t="s">
        <v>11</v>
      </c>
      <c r="E6063" t="s">
        <v>12</v>
      </c>
      <c r="F6063">
        <v>136835967</v>
      </c>
      <c r="G6063">
        <v>136835982</v>
      </c>
      <c r="H6063">
        <v>136835793</v>
      </c>
      <c r="I6063">
        <v>136835813</v>
      </c>
    </row>
    <row r="6064" spans="1:9" x14ac:dyDescent="0.2">
      <c r="A6064" t="str">
        <f>"Ephb3"</f>
        <v>Ephb3</v>
      </c>
      <c r="B6064" t="s">
        <v>14</v>
      </c>
      <c r="C6064" t="s">
        <v>31</v>
      </c>
      <c r="D6064" t="s">
        <v>17</v>
      </c>
      <c r="E6064" t="s">
        <v>12</v>
      </c>
      <c r="F6064">
        <v>21204771</v>
      </c>
      <c r="G6064">
        <v>21204787</v>
      </c>
      <c r="H6064">
        <v>21205044</v>
      </c>
      <c r="I6064">
        <v>21205064</v>
      </c>
    </row>
    <row r="6065" spans="1:9" x14ac:dyDescent="0.2">
      <c r="A6065" t="str">
        <f>"Ephb4"</f>
        <v>Ephb4</v>
      </c>
      <c r="B6065" t="s">
        <v>14</v>
      </c>
      <c r="C6065" t="s">
        <v>46</v>
      </c>
      <c r="D6065" t="s">
        <v>17</v>
      </c>
      <c r="E6065" t="s">
        <v>12</v>
      </c>
      <c r="F6065">
        <v>137350101</v>
      </c>
      <c r="G6065">
        <v>137350117</v>
      </c>
      <c r="H6065">
        <v>137350130</v>
      </c>
      <c r="I6065">
        <v>137350146</v>
      </c>
    </row>
    <row r="6066" spans="1:9" x14ac:dyDescent="0.2">
      <c r="A6066" t="str">
        <f>"Ephb6"</f>
        <v>Ephb6</v>
      </c>
      <c r="B6066" t="s">
        <v>14</v>
      </c>
      <c r="C6066" t="s">
        <v>32</v>
      </c>
      <c r="D6066" t="s">
        <v>17</v>
      </c>
      <c r="E6066" t="s">
        <v>12</v>
      </c>
      <c r="F6066">
        <v>41605496</v>
      </c>
      <c r="G6066">
        <v>41605569</v>
      </c>
      <c r="H6066">
        <v>41605651</v>
      </c>
      <c r="I6066">
        <v>41605671</v>
      </c>
    </row>
    <row r="6067" spans="1:9" x14ac:dyDescent="0.2">
      <c r="A6067" t="str">
        <f>"Ephx1"</f>
        <v>Ephx1</v>
      </c>
      <c r="B6067" t="s">
        <v>9</v>
      </c>
      <c r="C6067" t="s">
        <v>19</v>
      </c>
      <c r="D6067" t="s">
        <v>11</v>
      </c>
      <c r="E6067" t="s">
        <v>12</v>
      </c>
      <c r="F6067">
        <v>181017489</v>
      </c>
      <c r="G6067">
        <v>181017548</v>
      </c>
      <c r="H6067">
        <v>181017489</v>
      </c>
      <c r="I6067">
        <v>181017548</v>
      </c>
    </row>
    <row r="6068" spans="1:9" x14ac:dyDescent="0.2">
      <c r="A6068" t="str">
        <f>"Ephx1"</f>
        <v>Ephx1</v>
      </c>
      <c r="B6068" t="s">
        <v>13</v>
      </c>
      <c r="C6068" t="s">
        <v>19</v>
      </c>
      <c r="D6068" t="s">
        <v>11</v>
      </c>
      <c r="E6068" t="s">
        <v>12</v>
      </c>
      <c r="F6068">
        <v>181020922</v>
      </c>
      <c r="G6068">
        <v>181020972</v>
      </c>
      <c r="H6068">
        <v>181020922</v>
      </c>
      <c r="I6068">
        <v>181020972</v>
      </c>
    </row>
    <row r="6069" spans="1:9" x14ac:dyDescent="0.2">
      <c r="A6069" t="str">
        <f>"Ephx2"</f>
        <v>Ephx2</v>
      </c>
      <c r="B6069" t="s">
        <v>14</v>
      </c>
      <c r="C6069" t="s">
        <v>41</v>
      </c>
      <c r="D6069" t="s">
        <v>11</v>
      </c>
      <c r="E6069" t="s">
        <v>12</v>
      </c>
      <c r="F6069">
        <v>66124482</v>
      </c>
      <c r="G6069">
        <v>66124505</v>
      </c>
      <c r="H6069">
        <v>66124482</v>
      </c>
      <c r="I6069">
        <v>66124505</v>
      </c>
    </row>
    <row r="6070" spans="1:9" x14ac:dyDescent="0.2">
      <c r="A6070" t="str">
        <f>"Ephx3"</f>
        <v>Ephx3</v>
      </c>
      <c r="B6070" t="s">
        <v>14</v>
      </c>
      <c r="C6070" t="s">
        <v>28</v>
      </c>
      <c r="D6070" t="s">
        <v>11</v>
      </c>
      <c r="E6070" t="s">
        <v>12</v>
      </c>
      <c r="F6070">
        <v>32189457</v>
      </c>
      <c r="G6070">
        <v>32189476</v>
      </c>
      <c r="H6070">
        <v>32189439</v>
      </c>
      <c r="I6070">
        <v>32189450</v>
      </c>
    </row>
    <row r="6071" spans="1:9" x14ac:dyDescent="0.2">
      <c r="A6071" t="str">
        <f>"Ephx4"</f>
        <v>Ephx4</v>
      </c>
      <c r="B6071" t="s">
        <v>14</v>
      </c>
      <c r="C6071" t="s">
        <v>46</v>
      </c>
      <c r="D6071" t="s">
        <v>17</v>
      </c>
      <c r="E6071" t="s">
        <v>12</v>
      </c>
      <c r="F6071">
        <v>107403591</v>
      </c>
      <c r="G6071">
        <v>107403611</v>
      </c>
      <c r="H6071">
        <v>107403556</v>
      </c>
      <c r="I6071">
        <v>107403590</v>
      </c>
    </row>
    <row r="6072" spans="1:9" x14ac:dyDescent="0.2">
      <c r="A6072" t="str">
        <f>"Epm2a"</f>
        <v>Epm2a</v>
      </c>
      <c r="B6072" t="s">
        <v>14</v>
      </c>
      <c r="C6072" t="s">
        <v>15</v>
      </c>
      <c r="D6072" t="s">
        <v>17</v>
      </c>
      <c r="E6072" t="s">
        <v>12</v>
      </c>
      <c r="F6072">
        <v>11343387</v>
      </c>
      <c r="G6072">
        <v>11343506</v>
      </c>
      <c r="H6072">
        <v>11343374</v>
      </c>
      <c r="I6072">
        <v>11343385</v>
      </c>
    </row>
    <row r="6073" spans="1:9" x14ac:dyDescent="0.2">
      <c r="A6073" t="str">
        <f>"Epm2aip1"</f>
        <v>Epm2aip1</v>
      </c>
      <c r="B6073" t="s">
        <v>14</v>
      </c>
      <c r="C6073" t="s">
        <v>24</v>
      </c>
      <c r="D6073" t="s">
        <v>17</v>
      </c>
      <c r="E6073" t="s">
        <v>12</v>
      </c>
      <c r="F6073">
        <v>111271832</v>
      </c>
      <c r="G6073">
        <v>111271914</v>
      </c>
      <c r="H6073">
        <v>111271920</v>
      </c>
      <c r="I6073">
        <v>111271943</v>
      </c>
    </row>
    <row r="6074" spans="1:9" x14ac:dyDescent="0.2">
      <c r="A6074" t="str">
        <f>"Epn1"</f>
        <v>Epn1</v>
      </c>
      <c r="B6074" t="s">
        <v>14</v>
      </c>
      <c r="C6074" t="s">
        <v>33</v>
      </c>
      <c r="D6074" t="s">
        <v>17</v>
      </c>
      <c r="E6074" t="s">
        <v>12</v>
      </c>
      <c r="F6074">
        <v>5080214</v>
      </c>
      <c r="G6074">
        <v>5080298</v>
      </c>
      <c r="H6074">
        <v>5080326</v>
      </c>
      <c r="I6074">
        <v>5080384</v>
      </c>
    </row>
    <row r="6075" spans="1:9" x14ac:dyDescent="0.2">
      <c r="A6075" t="str">
        <f>"Epn2"</f>
        <v>Epn2</v>
      </c>
      <c r="B6075" t="s">
        <v>14</v>
      </c>
      <c r="C6075" t="s">
        <v>27</v>
      </c>
      <c r="D6075" t="s">
        <v>11</v>
      </c>
      <c r="E6075" t="s">
        <v>12</v>
      </c>
      <c r="F6075">
        <v>61579637</v>
      </c>
      <c r="G6075">
        <v>61579707</v>
      </c>
      <c r="H6075">
        <v>61579622</v>
      </c>
      <c r="I6075">
        <v>61579629</v>
      </c>
    </row>
    <row r="6076" spans="1:9" x14ac:dyDescent="0.2">
      <c r="A6076" t="str">
        <f>"Epn3"</f>
        <v>Epn3</v>
      </c>
      <c r="B6076" t="s">
        <v>14</v>
      </c>
      <c r="C6076" t="s">
        <v>27</v>
      </c>
      <c r="D6076" t="s">
        <v>11</v>
      </c>
      <c r="E6076" t="s">
        <v>12</v>
      </c>
      <c r="F6076">
        <v>94499883</v>
      </c>
      <c r="G6076">
        <v>94499959</v>
      </c>
      <c r="H6076">
        <v>94499962</v>
      </c>
      <c r="I6076">
        <v>94500002</v>
      </c>
    </row>
    <row r="6077" spans="1:9" x14ac:dyDescent="0.2">
      <c r="A6077" t="str">
        <f>"Epo"</f>
        <v>Epo</v>
      </c>
      <c r="B6077" t="s">
        <v>14</v>
      </c>
      <c r="C6077" t="s">
        <v>46</v>
      </c>
      <c r="D6077" t="s">
        <v>11</v>
      </c>
      <c r="E6077" t="s">
        <v>12</v>
      </c>
      <c r="F6077">
        <v>137533212</v>
      </c>
      <c r="G6077">
        <v>137533290</v>
      </c>
      <c r="H6077">
        <v>137533212</v>
      </c>
      <c r="I6077">
        <v>137533290</v>
      </c>
    </row>
    <row r="6078" spans="1:9" x14ac:dyDescent="0.2">
      <c r="A6078" t="str">
        <f>"Epor"</f>
        <v>Epor</v>
      </c>
      <c r="B6078" t="s">
        <v>14</v>
      </c>
      <c r="C6078" t="s">
        <v>24</v>
      </c>
      <c r="D6078" t="s">
        <v>11</v>
      </c>
      <c r="E6078" t="s">
        <v>12</v>
      </c>
      <c r="F6078">
        <v>21963568</v>
      </c>
      <c r="G6078">
        <v>21963592</v>
      </c>
      <c r="H6078">
        <v>21963543</v>
      </c>
      <c r="I6078">
        <v>21963563</v>
      </c>
    </row>
    <row r="6079" spans="1:9" x14ac:dyDescent="0.2">
      <c r="A6079" t="str">
        <f>"Eppin"</f>
        <v>Eppin</v>
      </c>
      <c r="B6079" t="s">
        <v>14</v>
      </c>
      <c r="C6079" t="s">
        <v>26</v>
      </c>
      <c r="D6079" t="s">
        <v>11</v>
      </c>
      <c r="E6079" t="s">
        <v>67</v>
      </c>
      <c r="F6079">
        <v>164593538</v>
      </c>
      <c r="G6079">
        <v>164593577</v>
      </c>
      <c r="H6079">
        <v>164593588</v>
      </c>
      <c r="I6079">
        <v>164593603</v>
      </c>
    </row>
    <row r="6080" spans="1:9" x14ac:dyDescent="0.2">
      <c r="A6080" t="str">
        <f>"Eprs"</f>
        <v>Eprs</v>
      </c>
      <c r="B6080" t="s">
        <v>14</v>
      </c>
      <c r="C6080" t="s">
        <v>19</v>
      </c>
      <c r="D6080" t="s">
        <v>17</v>
      </c>
      <c r="E6080" t="s">
        <v>12</v>
      </c>
      <c r="F6080">
        <v>185363076</v>
      </c>
      <c r="G6080">
        <v>185363150</v>
      </c>
      <c r="H6080">
        <v>185363035</v>
      </c>
      <c r="I6080">
        <v>185363064</v>
      </c>
    </row>
    <row r="6081" spans="1:9" x14ac:dyDescent="0.2">
      <c r="A6081" t="str">
        <f>"Eps15"</f>
        <v>Eps15</v>
      </c>
      <c r="B6081" t="s">
        <v>14</v>
      </c>
      <c r="C6081" t="s">
        <v>23</v>
      </c>
      <c r="D6081" t="s">
        <v>17</v>
      </c>
      <c r="E6081" t="s">
        <v>12</v>
      </c>
      <c r="F6081">
        <v>109280365</v>
      </c>
      <c r="G6081">
        <v>109280400</v>
      </c>
      <c r="H6081">
        <v>109280266</v>
      </c>
      <c r="I6081">
        <v>109280315</v>
      </c>
    </row>
    <row r="6082" spans="1:9" x14ac:dyDescent="0.2">
      <c r="A6082" t="str">
        <f>"Eps15l1"</f>
        <v>Eps15l1</v>
      </c>
      <c r="B6082" t="s">
        <v>14</v>
      </c>
      <c r="C6082" t="s">
        <v>30</v>
      </c>
      <c r="D6082" t="s">
        <v>11</v>
      </c>
      <c r="E6082" t="s">
        <v>12</v>
      </c>
      <c r="F6082">
        <v>72421439</v>
      </c>
      <c r="G6082">
        <v>72421483</v>
      </c>
      <c r="H6082">
        <v>72421439</v>
      </c>
      <c r="I6082">
        <v>72421483</v>
      </c>
    </row>
    <row r="6083" spans="1:9" x14ac:dyDescent="0.2">
      <c r="A6083" t="str">
        <f>"Eps8"</f>
        <v>Eps8</v>
      </c>
      <c r="B6083" t="s">
        <v>9</v>
      </c>
      <c r="C6083" t="s">
        <v>32</v>
      </c>
      <c r="D6083" t="s">
        <v>11</v>
      </c>
      <c r="E6083" t="s">
        <v>12</v>
      </c>
      <c r="F6083">
        <v>137570746</v>
      </c>
      <c r="G6083">
        <v>137570760</v>
      </c>
      <c r="H6083">
        <v>137570746</v>
      </c>
      <c r="I6083">
        <v>137570760</v>
      </c>
    </row>
    <row r="6084" spans="1:9" x14ac:dyDescent="0.2">
      <c r="A6084" t="str">
        <f>"Eps8"</f>
        <v>Eps8</v>
      </c>
      <c r="B6084" t="s">
        <v>13</v>
      </c>
      <c r="C6084" t="s">
        <v>32</v>
      </c>
      <c r="D6084" t="s">
        <v>11</v>
      </c>
      <c r="E6084" t="s">
        <v>12</v>
      </c>
      <c r="F6084">
        <v>137649211</v>
      </c>
      <c r="G6084">
        <v>137649294</v>
      </c>
      <c r="H6084">
        <v>137649211</v>
      </c>
      <c r="I6084">
        <v>137649294</v>
      </c>
    </row>
    <row r="6085" spans="1:9" x14ac:dyDescent="0.2">
      <c r="A6085" t="str">
        <f>"Eps8l1"</f>
        <v>Eps8l1</v>
      </c>
      <c r="B6085" t="s">
        <v>14</v>
      </c>
      <c r="C6085" t="s">
        <v>33</v>
      </c>
      <c r="D6085" t="s">
        <v>17</v>
      </c>
      <c r="E6085" t="s">
        <v>12</v>
      </c>
      <c r="F6085">
        <v>4460687</v>
      </c>
      <c r="G6085">
        <v>4460730</v>
      </c>
      <c r="H6085">
        <v>4460738</v>
      </c>
      <c r="I6085">
        <v>4460749</v>
      </c>
    </row>
    <row r="6086" spans="1:9" x14ac:dyDescent="0.2">
      <c r="A6086" t="str">
        <f>"Eps8l2"</f>
        <v>Eps8l2</v>
      </c>
      <c r="B6086" t="s">
        <v>14</v>
      </c>
      <c r="C6086" t="s">
        <v>33</v>
      </c>
      <c r="D6086" t="s">
        <v>17</v>
      </c>
      <c r="E6086" t="s">
        <v>12</v>
      </c>
      <c r="F6086">
        <v>141338963</v>
      </c>
      <c r="G6086">
        <v>141339013</v>
      </c>
      <c r="H6086">
        <v>141338939</v>
      </c>
      <c r="I6086">
        <v>141338950</v>
      </c>
    </row>
    <row r="6087" spans="1:9" x14ac:dyDescent="0.2">
      <c r="A6087" t="str">
        <f>"Eps8l3"</f>
        <v>Eps8l3</v>
      </c>
      <c r="B6087" t="s">
        <v>14</v>
      </c>
      <c r="C6087" t="s">
        <v>22</v>
      </c>
      <c r="D6087" t="s">
        <v>17</v>
      </c>
      <c r="E6087" t="s">
        <v>12</v>
      </c>
      <c r="F6087">
        <v>107877227</v>
      </c>
      <c r="G6087">
        <v>107877252</v>
      </c>
      <c r="H6087">
        <v>107877227</v>
      </c>
      <c r="I6087">
        <v>107877252</v>
      </c>
    </row>
    <row r="6088" spans="1:9" x14ac:dyDescent="0.2">
      <c r="A6088" t="str">
        <f>"Epsti1"</f>
        <v>Epsti1</v>
      </c>
      <c r="B6088" t="s">
        <v>14</v>
      </c>
      <c r="C6088" t="s">
        <v>41</v>
      </c>
      <c r="D6088" t="s">
        <v>17</v>
      </c>
      <c r="E6088" t="s">
        <v>12</v>
      </c>
      <c r="F6088">
        <v>77904365</v>
      </c>
      <c r="G6088">
        <v>77904441</v>
      </c>
      <c r="H6088">
        <v>77904474</v>
      </c>
      <c r="I6088">
        <v>77904503</v>
      </c>
    </row>
    <row r="6089" spans="1:9" x14ac:dyDescent="0.2">
      <c r="A6089" t="str">
        <f>"Ept1"</f>
        <v>Ept1</v>
      </c>
      <c r="B6089" t="s">
        <v>14</v>
      </c>
      <c r="C6089" t="s">
        <v>46</v>
      </c>
      <c r="D6089" t="s">
        <v>17</v>
      </c>
      <c r="E6089" t="s">
        <v>12</v>
      </c>
      <c r="F6089">
        <v>30232615</v>
      </c>
      <c r="G6089">
        <v>30232680</v>
      </c>
      <c r="H6089">
        <v>30232615</v>
      </c>
      <c r="I6089">
        <v>30232680</v>
      </c>
    </row>
    <row r="6090" spans="1:9" x14ac:dyDescent="0.2">
      <c r="A6090" t="str">
        <f>"Epx"</f>
        <v>Epx</v>
      </c>
      <c r="B6090" t="s">
        <v>9</v>
      </c>
      <c r="C6090" t="s">
        <v>27</v>
      </c>
      <c r="D6090" t="s">
        <v>11</v>
      </c>
      <c r="E6090" t="s">
        <v>12</v>
      </c>
      <c r="F6090">
        <v>87875524</v>
      </c>
      <c r="G6090">
        <v>87875534</v>
      </c>
      <c r="H6090">
        <v>87875524</v>
      </c>
      <c r="I6090">
        <v>87875534</v>
      </c>
    </row>
    <row r="6091" spans="1:9" x14ac:dyDescent="0.2">
      <c r="A6091" t="str">
        <f>"Epx"</f>
        <v>Epx</v>
      </c>
      <c r="B6091" t="s">
        <v>13</v>
      </c>
      <c r="C6091" t="s">
        <v>27</v>
      </c>
      <c r="D6091" t="s">
        <v>11</v>
      </c>
      <c r="E6091" t="s">
        <v>12</v>
      </c>
      <c r="F6091">
        <v>87871909</v>
      </c>
      <c r="G6091">
        <v>87871953</v>
      </c>
      <c r="H6091">
        <v>87871909</v>
      </c>
      <c r="I6091">
        <v>87871953</v>
      </c>
    </row>
    <row r="6092" spans="1:9" x14ac:dyDescent="0.2">
      <c r="A6092" t="str">
        <f>"Epyc"</f>
        <v>Epyc</v>
      </c>
      <c r="B6092" t="s">
        <v>14</v>
      </c>
      <c r="C6092" t="s">
        <v>15</v>
      </c>
      <c r="D6092" t="s">
        <v>17</v>
      </c>
      <c r="E6092" t="s">
        <v>12</v>
      </c>
      <c r="F6092">
        <v>97647084</v>
      </c>
      <c r="G6092">
        <v>97647113</v>
      </c>
      <c r="H6092">
        <v>97647084</v>
      </c>
      <c r="I6092">
        <v>97647113</v>
      </c>
    </row>
    <row r="6093" spans="1:9" x14ac:dyDescent="0.2">
      <c r="A6093" t="str">
        <f>"Eqtn"</f>
        <v>Eqtn</v>
      </c>
      <c r="B6093" t="s">
        <v>14</v>
      </c>
      <c r="C6093" t="s">
        <v>23</v>
      </c>
      <c r="D6093" t="s">
        <v>11</v>
      </c>
      <c r="E6093" t="s">
        <v>67</v>
      </c>
      <c r="F6093">
        <v>94928789</v>
      </c>
      <c r="G6093">
        <v>94928815</v>
      </c>
      <c r="H6093">
        <v>94928789</v>
      </c>
      <c r="I6093">
        <v>94928815</v>
      </c>
    </row>
    <row r="6094" spans="1:9" x14ac:dyDescent="0.2">
      <c r="A6094" t="str">
        <f>"Eral1"</f>
        <v>Eral1</v>
      </c>
      <c r="B6094" t="s">
        <v>14</v>
      </c>
      <c r="C6094" t="s">
        <v>27</v>
      </c>
      <c r="D6094" t="s">
        <v>11</v>
      </c>
      <c r="E6094" t="s">
        <v>12</v>
      </c>
      <c r="F6094">
        <v>78080360</v>
      </c>
      <c r="G6094">
        <v>78080387</v>
      </c>
      <c r="H6094">
        <v>78080360</v>
      </c>
      <c r="I6094">
        <v>78080387</v>
      </c>
    </row>
    <row r="6095" spans="1:9" x14ac:dyDescent="0.2">
      <c r="A6095" t="str">
        <f>"Erap1"</f>
        <v>Erap1</v>
      </c>
      <c r="B6095" t="s">
        <v>14</v>
      </c>
      <c r="C6095" t="s">
        <v>39</v>
      </c>
      <c r="D6095" t="s">
        <v>17</v>
      </c>
      <c r="E6095" t="s">
        <v>12</v>
      </c>
      <c r="F6095">
        <v>74639834</v>
      </c>
      <c r="G6095">
        <v>74639864</v>
      </c>
      <c r="H6095">
        <v>74639866</v>
      </c>
      <c r="I6095">
        <v>74639878</v>
      </c>
    </row>
    <row r="6096" spans="1:9" x14ac:dyDescent="0.2">
      <c r="A6096" t="str">
        <f>"Eras"</f>
        <v>Eras</v>
      </c>
      <c r="B6096" t="s">
        <v>2421</v>
      </c>
      <c r="C6096" t="s">
        <v>37</v>
      </c>
      <c r="D6096" t="s">
        <v>11</v>
      </c>
      <c r="E6096" t="s">
        <v>20</v>
      </c>
      <c r="F6096">
        <v>7928606</v>
      </c>
      <c r="G6096">
        <v>7928606</v>
      </c>
      <c r="H6096">
        <v>7928606</v>
      </c>
      <c r="I6096">
        <v>7928606</v>
      </c>
    </row>
    <row r="6097" spans="1:9" x14ac:dyDescent="0.2">
      <c r="A6097" t="str">
        <f>"Erbb2"</f>
        <v>Erbb2</v>
      </c>
      <c r="B6097" t="s">
        <v>14</v>
      </c>
      <c r="C6097" t="s">
        <v>27</v>
      </c>
      <c r="D6097" t="s">
        <v>17</v>
      </c>
      <c r="E6097" t="s">
        <v>12</v>
      </c>
      <c r="F6097">
        <v>98412461</v>
      </c>
      <c r="G6097">
        <v>98412566</v>
      </c>
      <c r="H6097">
        <v>98412426</v>
      </c>
      <c r="I6097">
        <v>98412453</v>
      </c>
    </row>
    <row r="6098" spans="1:9" x14ac:dyDescent="0.2">
      <c r="A6098" t="str">
        <f>"Erbb2ip"</f>
        <v>Erbb2ip</v>
      </c>
      <c r="B6098" t="s">
        <v>14</v>
      </c>
      <c r="C6098" t="s">
        <v>39</v>
      </c>
      <c r="D6098" t="s">
        <v>11</v>
      </c>
      <c r="E6098" t="s">
        <v>12</v>
      </c>
      <c r="F6098">
        <v>103921013</v>
      </c>
      <c r="G6098">
        <v>103921053</v>
      </c>
      <c r="H6098">
        <v>103920373</v>
      </c>
      <c r="I6098">
        <v>103920423</v>
      </c>
    </row>
    <row r="6099" spans="1:9" x14ac:dyDescent="0.2">
      <c r="A6099" t="str">
        <f>"Erbb3"</f>
        <v>Erbb3</v>
      </c>
      <c r="B6099" t="s">
        <v>14</v>
      </c>
      <c r="C6099" t="s">
        <v>15</v>
      </c>
      <c r="D6099" t="s">
        <v>11</v>
      </c>
      <c r="E6099" t="s">
        <v>12</v>
      </c>
      <c r="F6099">
        <v>128589622</v>
      </c>
      <c r="G6099">
        <v>128589642</v>
      </c>
      <c r="H6099">
        <v>128589679</v>
      </c>
      <c r="I6099">
        <v>128589694</v>
      </c>
    </row>
    <row r="6100" spans="1:9" x14ac:dyDescent="0.2">
      <c r="A6100" t="str">
        <f>"Erbb4"</f>
        <v>Erbb4</v>
      </c>
      <c r="B6100" t="s">
        <v>14</v>
      </c>
      <c r="C6100" t="s">
        <v>19</v>
      </c>
      <c r="D6100" t="s">
        <v>11</v>
      </c>
      <c r="E6100" t="s">
        <v>12</v>
      </c>
      <c r="F6100">
        <v>69108535</v>
      </c>
      <c r="G6100">
        <v>69108577</v>
      </c>
      <c r="H6100">
        <v>69108039</v>
      </c>
      <c r="I6100">
        <v>69108064</v>
      </c>
    </row>
    <row r="6101" spans="1:9" x14ac:dyDescent="0.2">
      <c r="A6101" t="str">
        <f>"Erc1"</f>
        <v>Erc1</v>
      </c>
      <c r="B6101" t="s">
        <v>14</v>
      </c>
      <c r="C6101" t="s">
        <v>32</v>
      </c>
      <c r="D6101" t="s">
        <v>11</v>
      </c>
      <c r="E6101" t="s">
        <v>12</v>
      </c>
      <c r="F6101">
        <v>119848120</v>
      </c>
      <c r="G6101">
        <v>119848168</v>
      </c>
      <c r="H6101">
        <v>119848093</v>
      </c>
      <c r="I6101">
        <v>119848113</v>
      </c>
    </row>
    <row r="6102" spans="1:9" x14ac:dyDescent="0.2">
      <c r="A6102" t="str">
        <f>"Erc2"</f>
        <v>Erc2</v>
      </c>
      <c r="B6102" t="s">
        <v>14</v>
      </c>
      <c r="C6102" t="s">
        <v>41</v>
      </c>
      <c r="D6102" t="s">
        <v>17</v>
      </c>
      <c r="E6102" t="s">
        <v>12</v>
      </c>
      <c r="F6102">
        <v>27622433</v>
      </c>
      <c r="G6102">
        <v>27622543</v>
      </c>
      <c r="H6102">
        <v>27622326</v>
      </c>
      <c r="I6102">
        <v>27622368</v>
      </c>
    </row>
    <row r="6103" spans="1:9" x14ac:dyDescent="0.2">
      <c r="A6103" t="str">
        <f>"Ercc1"</f>
        <v>Ercc1</v>
      </c>
      <c r="B6103" t="s">
        <v>14</v>
      </c>
      <c r="C6103" t="s">
        <v>33</v>
      </c>
      <c r="D6103" t="s">
        <v>17</v>
      </c>
      <c r="E6103" t="s">
        <v>12</v>
      </c>
      <c r="F6103">
        <v>19345084</v>
      </c>
      <c r="G6103">
        <v>19345127</v>
      </c>
      <c r="H6103">
        <v>19345135</v>
      </c>
      <c r="I6103">
        <v>19345147</v>
      </c>
    </row>
    <row r="6104" spans="1:9" x14ac:dyDescent="0.2">
      <c r="A6104" t="str">
        <f>"Ercc2"</f>
        <v>Ercc2</v>
      </c>
      <c r="B6104" t="s">
        <v>14</v>
      </c>
      <c r="C6104" t="s">
        <v>33</v>
      </c>
      <c r="D6104" t="s">
        <v>17</v>
      </c>
      <c r="E6104" t="s">
        <v>12</v>
      </c>
      <c r="F6104">
        <v>19382005</v>
      </c>
      <c r="G6104">
        <v>19382052</v>
      </c>
      <c r="H6104">
        <v>19382058</v>
      </c>
      <c r="I6104">
        <v>19382065</v>
      </c>
    </row>
    <row r="6105" spans="1:9" x14ac:dyDescent="0.2">
      <c r="A6105" t="str">
        <f>"Ercc3"</f>
        <v>Ercc3</v>
      </c>
      <c r="B6105" t="s">
        <v>14</v>
      </c>
      <c r="C6105" t="s">
        <v>43</v>
      </c>
      <c r="D6105" t="s">
        <v>17</v>
      </c>
      <c r="E6105" t="s">
        <v>12</v>
      </c>
      <c r="F6105">
        <v>32240309</v>
      </c>
      <c r="G6105">
        <v>32240342</v>
      </c>
      <c r="H6105">
        <v>32240343</v>
      </c>
      <c r="I6105">
        <v>32240354</v>
      </c>
    </row>
    <row r="6106" spans="1:9" x14ac:dyDescent="0.2">
      <c r="A6106" t="str">
        <f>"Ercc4"</f>
        <v>Ercc4</v>
      </c>
      <c r="B6106" t="s">
        <v>14</v>
      </c>
      <c r="C6106" t="s">
        <v>31</v>
      </c>
      <c r="D6106" t="s">
        <v>17</v>
      </c>
      <c r="E6106" t="s">
        <v>12</v>
      </c>
      <c r="F6106">
        <v>13109889</v>
      </c>
      <c r="G6106">
        <v>13109954</v>
      </c>
      <c r="H6106">
        <v>13109796</v>
      </c>
      <c r="I6106">
        <v>13109812</v>
      </c>
    </row>
    <row r="6107" spans="1:9" x14ac:dyDescent="0.2">
      <c r="A6107" t="str">
        <f>"Ercc5"</f>
        <v>Ercc5</v>
      </c>
      <c r="B6107" t="s">
        <v>14</v>
      </c>
      <c r="C6107" t="s">
        <v>19</v>
      </c>
      <c r="D6107" t="s">
        <v>17</v>
      </c>
      <c r="E6107" t="s">
        <v>12</v>
      </c>
      <c r="F6107">
        <v>44147873</v>
      </c>
      <c r="G6107">
        <v>44147934</v>
      </c>
      <c r="H6107">
        <v>44147937</v>
      </c>
      <c r="I6107">
        <v>44147952</v>
      </c>
    </row>
    <row r="6108" spans="1:9" x14ac:dyDescent="0.2">
      <c r="A6108" t="str">
        <f>"Ercc6"</f>
        <v>Ercc6</v>
      </c>
      <c r="B6108" t="s">
        <v>14</v>
      </c>
      <c r="C6108" t="s">
        <v>41</v>
      </c>
      <c r="D6108" t="s">
        <v>17</v>
      </c>
      <c r="E6108" t="s">
        <v>12</v>
      </c>
      <c r="F6108">
        <v>32513486</v>
      </c>
      <c r="G6108">
        <v>32513548</v>
      </c>
      <c r="H6108">
        <v>32513555</v>
      </c>
      <c r="I6108">
        <v>32513560</v>
      </c>
    </row>
    <row r="6109" spans="1:9" x14ac:dyDescent="0.2">
      <c r="A6109" t="str">
        <f>"Ercc6l"</f>
        <v>Ercc6l</v>
      </c>
      <c r="B6109" t="s">
        <v>14</v>
      </c>
      <c r="C6109" t="s">
        <v>37</v>
      </c>
      <c r="D6109" t="s">
        <v>11</v>
      </c>
      <c r="E6109" t="s">
        <v>12</v>
      </c>
      <c r="F6109">
        <v>102156981</v>
      </c>
      <c r="G6109">
        <v>102157062</v>
      </c>
      <c r="H6109">
        <v>102157065</v>
      </c>
      <c r="I6109">
        <v>102157096</v>
      </c>
    </row>
    <row r="6110" spans="1:9" x14ac:dyDescent="0.2">
      <c r="A6110" t="str">
        <f>"Ercc6l2"</f>
        <v>Ercc6l2</v>
      </c>
      <c r="B6110" t="s">
        <v>14</v>
      </c>
      <c r="C6110" t="s">
        <v>39</v>
      </c>
      <c r="D6110" t="s">
        <v>17</v>
      </c>
      <c r="E6110" t="s">
        <v>67</v>
      </c>
      <c r="F6110">
        <v>63815290</v>
      </c>
      <c r="G6110">
        <v>63815379</v>
      </c>
      <c r="H6110">
        <v>63815389</v>
      </c>
      <c r="I6110">
        <v>63815402</v>
      </c>
    </row>
    <row r="6111" spans="1:9" x14ac:dyDescent="0.2">
      <c r="A6111" t="str">
        <f>"Ercc8"</f>
        <v>Ercc8</v>
      </c>
      <c r="B6111" t="s">
        <v>14</v>
      </c>
      <c r="C6111" t="s">
        <v>39</v>
      </c>
      <c r="D6111" t="s">
        <v>17</v>
      </c>
      <c r="E6111" t="s">
        <v>12</v>
      </c>
      <c r="F6111">
        <v>108158723</v>
      </c>
      <c r="G6111">
        <v>108158754</v>
      </c>
      <c r="H6111">
        <v>108158723</v>
      </c>
      <c r="I6111">
        <v>108158754</v>
      </c>
    </row>
    <row r="6112" spans="1:9" x14ac:dyDescent="0.2">
      <c r="A6112" t="str">
        <f>"Erdr1"</f>
        <v>Erdr1</v>
      </c>
      <c r="B6112" t="s">
        <v>2422</v>
      </c>
      <c r="C6112" t="s">
        <v>63</v>
      </c>
      <c r="D6112" t="s">
        <v>17</v>
      </c>
      <c r="E6112" t="s">
        <v>20</v>
      </c>
      <c r="F6112">
        <v>90785508</v>
      </c>
      <c r="G6112">
        <v>90785508</v>
      </c>
      <c r="H6112">
        <v>90785508</v>
      </c>
      <c r="I6112">
        <v>90785508</v>
      </c>
    </row>
    <row r="6113" spans="1:9" x14ac:dyDescent="0.2">
      <c r="A6113" t="str">
        <f>"Ereg"</f>
        <v>Ereg</v>
      </c>
      <c r="B6113" t="s">
        <v>14</v>
      </c>
      <c r="C6113" t="s">
        <v>46</v>
      </c>
      <c r="D6113" t="s">
        <v>17</v>
      </c>
      <c r="E6113" t="s">
        <v>12</v>
      </c>
      <c r="F6113">
        <v>91074611</v>
      </c>
      <c r="G6113">
        <v>91074629</v>
      </c>
      <c r="H6113">
        <v>91074611</v>
      </c>
      <c r="I6113">
        <v>91074629</v>
      </c>
    </row>
    <row r="6114" spans="1:9" x14ac:dyDescent="0.2">
      <c r="A6114" t="str">
        <f>"Erf"</f>
        <v>Erf</v>
      </c>
      <c r="B6114" t="s">
        <v>14</v>
      </c>
      <c r="C6114" t="s">
        <v>33</v>
      </c>
      <c r="D6114" t="s">
        <v>11</v>
      </c>
      <c r="E6114" t="s">
        <v>12</v>
      </c>
      <c r="F6114">
        <v>25250720</v>
      </c>
      <c r="G6114">
        <v>25250738</v>
      </c>
      <c r="H6114">
        <v>25251075</v>
      </c>
      <c r="I6114">
        <v>25251121</v>
      </c>
    </row>
    <row r="6115" spans="1:9" x14ac:dyDescent="0.2">
      <c r="A6115" t="str">
        <f>"Erg"</f>
        <v>Erg</v>
      </c>
      <c r="B6115" t="s">
        <v>14</v>
      </c>
      <c r="C6115" t="s">
        <v>31</v>
      </c>
      <c r="D6115" t="s">
        <v>11</v>
      </c>
      <c r="E6115" t="s">
        <v>12</v>
      </c>
      <c r="F6115">
        <v>95459282</v>
      </c>
      <c r="G6115">
        <v>95459384</v>
      </c>
      <c r="H6115">
        <v>95459282</v>
      </c>
      <c r="I6115">
        <v>95459384</v>
      </c>
    </row>
    <row r="6116" spans="1:9" x14ac:dyDescent="0.2">
      <c r="A6116" t="str">
        <f>"Ergic1"</f>
        <v>Ergic1</v>
      </c>
      <c r="B6116" t="s">
        <v>14</v>
      </c>
      <c r="C6116" t="s">
        <v>28</v>
      </c>
      <c r="D6116" t="s">
        <v>17</v>
      </c>
      <c r="E6116" t="s">
        <v>12</v>
      </c>
      <c r="F6116">
        <v>26561515</v>
      </c>
      <c r="G6116">
        <v>26561592</v>
      </c>
      <c r="H6116">
        <v>26561479</v>
      </c>
      <c r="I6116">
        <v>26561505</v>
      </c>
    </row>
    <row r="6117" spans="1:9" x14ac:dyDescent="0.2">
      <c r="A6117" t="str">
        <f>"Ergic2"</f>
        <v>Ergic2</v>
      </c>
      <c r="B6117" t="s">
        <v>14</v>
      </c>
      <c r="C6117" t="s">
        <v>32</v>
      </c>
      <c r="D6117" t="s">
        <v>11</v>
      </c>
      <c r="E6117" t="s">
        <v>12</v>
      </c>
      <c r="F6117">
        <v>148211996</v>
      </c>
      <c r="G6117">
        <v>148212059</v>
      </c>
      <c r="H6117">
        <v>148212378</v>
      </c>
      <c r="I6117">
        <v>148212391</v>
      </c>
    </row>
    <row r="6118" spans="1:9" x14ac:dyDescent="0.2">
      <c r="A6118" t="str">
        <f>"Ergic3"</f>
        <v>Ergic3</v>
      </c>
      <c r="B6118" t="s">
        <v>14</v>
      </c>
      <c r="C6118" t="s">
        <v>26</v>
      </c>
      <c r="D6118" t="s">
        <v>17</v>
      </c>
      <c r="E6118" t="s">
        <v>12</v>
      </c>
      <c r="F6118">
        <v>156008088</v>
      </c>
      <c r="G6118">
        <v>156008138</v>
      </c>
      <c r="H6118">
        <v>156008068</v>
      </c>
      <c r="I6118">
        <v>156008085</v>
      </c>
    </row>
    <row r="6119" spans="1:9" x14ac:dyDescent="0.2">
      <c r="A6119" t="str">
        <f>"Erh"</f>
        <v>Erh</v>
      </c>
      <c r="B6119" t="s">
        <v>14</v>
      </c>
      <c r="C6119" t="s">
        <v>16</v>
      </c>
      <c r="D6119" t="s">
        <v>11</v>
      </c>
      <c r="E6119" t="s">
        <v>12</v>
      </c>
      <c r="F6119">
        <v>80643799</v>
      </c>
      <c r="G6119">
        <v>80643857</v>
      </c>
      <c r="H6119">
        <v>80643858</v>
      </c>
      <c r="I6119">
        <v>80643869</v>
      </c>
    </row>
    <row r="6120" spans="1:9" x14ac:dyDescent="0.2">
      <c r="A6120" t="str">
        <f>"Eri1"</f>
        <v>Eri1</v>
      </c>
      <c r="B6120" t="s">
        <v>14</v>
      </c>
      <c r="C6120" t="s">
        <v>30</v>
      </c>
      <c r="D6120" t="s">
        <v>11</v>
      </c>
      <c r="E6120" t="s">
        <v>12</v>
      </c>
      <c r="F6120">
        <v>35495487</v>
      </c>
      <c r="G6120">
        <v>35495545</v>
      </c>
      <c r="H6120">
        <v>35495487</v>
      </c>
      <c r="I6120">
        <v>35495545</v>
      </c>
    </row>
    <row r="6121" spans="1:9" x14ac:dyDescent="0.2">
      <c r="A6121" t="str">
        <f>"Eri2"</f>
        <v>Eri2</v>
      </c>
      <c r="B6121" t="s">
        <v>14</v>
      </c>
      <c r="C6121" t="s">
        <v>33</v>
      </c>
      <c r="D6121" t="s">
        <v>11</v>
      </c>
      <c r="E6121" t="s">
        <v>12</v>
      </c>
      <c r="F6121">
        <v>119793958</v>
      </c>
      <c r="G6121">
        <v>119793992</v>
      </c>
      <c r="H6121">
        <v>119793945</v>
      </c>
      <c r="I6121">
        <v>119793956</v>
      </c>
    </row>
    <row r="6122" spans="1:9" x14ac:dyDescent="0.2">
      <c r="A6122" t="str">
        <f>"Eri3"</f>
        <v>Eri3</v>
      </c>
      <c r="B6122" t="s">
        <v>14</v>
      </c>
      <c r="C6122" t="s">
        <v>23</v>
      </c>
      <c r="D6122" t="s">
        <v>17</v>
      </c>
      <c r="E6122" t="s">
        <v>12</v>
      </c>
      <c r="F6122">
        <v>117550326</v>
      </c>
      <c r="G6122">
        <v>117550409</v>
      </c>
      <c r="H6122">
        <v>117550657</v>
      </c>
      <c r="I6122">
        <v>117550691</v>
      </c>
    </row>
    <row r="6123" spans="1:9" x14ac:dyDescent="0.2">
      <c r="A6123" t="str">
        <f>"Erich1"</f>
        <v>Erich1</v>
      </c>
      <c r="B6123" t="s">
        <v>14</v>
      </c>
      <c r="C6123" t="s">
        <v>30</v>
      </c>
      <c r="D6123" t="s">
        <v>11</v>
      </c>
      <c r="E6123" t="s">
        <v>12</v>
      </c>
      <c r="F6123">
        <v>14090310</v>
      </c>
      <c r="G6123">
        <v>14090334</v>
      </c>
      <c r="H6123">
        <v>14090280</v>
      </c>
      <c r="I6123">
        <v>14090304</v>
      </c>
    </row>
    <row r="6124" spans="1:9" x14ac:dyDescent="0.2">
      <c r="A6124" t="str">
        <f>"Erich2"</f>
        <v>Erich2</v>
      </c>
      <c r="B6124" t="s">
        <v>2423</v>
      </c>
      <c r="C6124" t="s">
        <v>26</v>
      </c>
      <c r="D6124" t="s">
        <v>17</v>
      </c>
      <c r="E6124" t="s">
        <v>35</v>
      </c>
      <c r="F6124">
        <v>70508697</v>
      </c>
      <c r="G6124">
        <v>70508706</v>
      </c>
      <c r="H6124">
        <v>70508832</v>
      </c>
      <c r="I6124">
        <v>70508839</v>
      </c>
    </row>
    <row r="6125" spans="1:9" x14ac:dyDescent="0.2">
      <c r="A6125" t="str">
        <f>"Erlec1"</f>
        <v>Erlec1</v>
      </c>
      <c r="B6125" t="s">
        <v>14</v>
      </c>
      <c r="C6125" t="s">
        <v>27</v>
      </c>
      <c r="D6125" t="s">
        <v>11</v>
      </c>
      <c r="E6125" t="s">
        <v>12</v>
      </c>
      <c r="F6125">
        <v>30954325</v>
      </c>
      <c r="G6125">
        <v>30954393</v>
      </c>
      <c r="H6125">
        <v>30954080</v>
      </c>
      <c r="I6125">
        <v>30954143</v>
      </c>
    </row>
    <row r="6126" spans="1:9" x14ac:dyDescent="0.2">
      <c r="A6126" t="str">
        <f>"Erlin1"</f>
        <v>Erlin1</v>
      </c>
      <c r="B6126" t="s">
        <v>14</v>
      </c>
      <c r="C6126" t="s">
        <v>10</v>
      </c>
      <c r="D6126" t="s">
        <v>11</v>
      </c>
      <c r="E6126" t="s">
        <v>12</v>
      </c>
      <c r="F6126">
        <v>44069736</v>
      </c>
      <c r="G6126">
        <v>44069787</v>
      </c>
      <c r="H6126">
        <v>44069690</v>
      </c>
      <c r="I6126">
        <v>44069708</v>
      </c>
    </row>
    <row r="6127" spans="1:9" x14ac:dyDescent="0.2">
      <c r="A6127" t="str">
        <f>"Erlin2"</f>
        <v>Erlin2</v>
      </c>
      <c r="B6127" t="s">
        <v>14</v>
      </c>
      <c r="C6127" t="s">
        <v>30</v>
      </c>
      <c r="D6127" t="s">
        <v>17</v>
      </c>
      <c r="E6127" t="s">
        <v>12</v>
      </c>
      <c r="F6127">
        <v>27023812</v>
      </c>
      <c r="G6127">
        <v>27023937</v>
      </c>
      <c r="H6127">
        <v>27023793</v>
      </c>
      <c r="I6127">
        <v>27023810</v>
      </c>
    </row>
    <row r="6128" spans="1:9" x14ac:dyDescent="0.2">
      <c r="A6128" t="str">
        <f>"Ermap"</f>
        <v>Ermap</v>
      </c>
      <c r="B6128" t="s">
        <v>14</v>
      </c>
      <c r="C6128" t="s">
        <v>23</v>
      </c>
      <c r="D6128" t="s">
        <v>11</v>
      </c>
      <c r="E6128" t="s">
        <v>12</v>
      </c>
      <c r="F6128">
        <v>119189983</v>
      </c>
      <c r="G6128">
        <v>119190003</v>
      </c>
      <c r="H6128">
        <v>119189949</v>
      </c>
      <c r="I6128">
        <v>119189964</v>
      </c>
    </row>
    <row r="6129" spans="1:9" x14ac:dyDescent="0.2">
      <c r="A6129" t="str">
        <f>"Ermard"</f>
        <v>Ermard</v>
      </c>
      <c r="B6129" t="s">
        <v>2424</v>
      </c>
      <c r="C6129" t="s">
        <v>28</v>
      </c>
      <c r="D6129" t="s">
        <v>17</v>
      </c>
      <c r="E6129" t="s">
        <v>20</v>
      </c>
      <c r="F6129">
        <v>15053058</v>
      </c>
      <c r="G6129">
        <v>15053058</v>
      </c>
      <c r="H6129">
        <v>15053058</v>
      </c>
      <c r="I6129">
        <v>15053058</v>
      </c>
    </row>
    <row r="6130" spans="1:9" x14ac:dyDescent="0.2">
      <c r="A6130" t="str">
        <f>"Ermard"</f>
        <v>Ermard</v>
      </c>
      <c r="B6130" t="s">
        <v>2425</v>
      </c>
      <c r="C6130" t="s">
        <v>28</v>
      </c>
      <c r="D6130" t="s">
        <v>17</v>
      </c>
      <c r="E6130" t="s">
        <v>20</v>
      </c>
      <c r="F6130">
        <v>15041640</v>
      </c>
      <c r="G6130">
        <v>15041640</v>
      </c>
      <c r="H6130">
        <v>15041640</v>
      </c>
      <c r="I6130">
        <v>15041640</v>
      </c>
    </row>
    <row r="6131" spans="1:9" x14ac:dyDescent="0.2">
      <c r="A6131" t="str">
        <f>"Ermn"</f>
        <v>Ermn</v>
      </c>
      <c r="B6131" t="s">
        <v>14</v>
      </c>
      <c r="C6131" t="s">
        <v>26</v>
      </c>
      <c r="D6131" t="s">
        <v>11</v>
      </c>
      <c r="E6131" t="s">
        <v>12</v>
      </c>
      <c r="F6131">
        <v>58052832</v>
      </c>
      <c r="G6131">
        <v>58052870</v>
      </c>
      <c r="H6131">
        <v>58052810</v>
      </c>
      <c r="I6131">
        <v>58052829</v>
      </c>
    </row>
    <row r="6132" spans="1:9" x14ac:dyDescent="0.2">
      <c r="A6132" t="str">
        <f>"Ermp1"</f>
        <v>Ermp1</v>
      </c>
      <c r="B6132" t="s">
        <v>14</v>
      </c>
      <c r="C6132" t="s">
        <v>10</v>
      </c>
      <c r="D6132" t="s">
        <v>11</v>
      </c>
      <c r="E6132" t="s">
        <v>12</v>
      </c>
      <c r="F6132">
        <v>29648355</v>
      </c>
      <c r="G6132">
        <v>29648425</v>
      </c>
      <c r="H6132">
        <v>29648342</v>
      </c>
      <c r="I6132">
        <v>29648353</v>
      </c>
    </row>
    <row r="6133" spans="1:9" x14ac:dyDescent="0.2">
      <c r="A6133" t="str">
        <f>"Ern1"</f>
        <v>Ern1</v>
      </c>
      <c r="B6133" t="s">
        <v>14</v>
      </c>
      <c r="C6133" t="s">
        <v>27</v>
      </c>
      <c r="D6133" t="s">
        <v>11</v>
      </c>
      <c r="E6133" t="s">
        <v>12</v>
      </c>
      <c r="F6133">
        <v>106487797</v>
      </c>
      <c r="G6133">
        <v>106487821</v>
      </c>
      <c r="H6133">
        <v>106487833</v>
      </c>
      <c r="I6133">
        <v>106487880</v>
      </c>
    </row>
    <row r="6134" spans="1:9" x14ac:dyDescent="0.2">
      <c r="A6134" t="str">
        <f>"Ern2"</f>
        <v>Ern2</v>
      </c>
      <c r="B6134" t="s">
        <v>14</v>
      </c>
      <c r="C6134" t="s">
        <v>33</v>
      </c>
      <c r="D6134" t="s">
        <v>11</v>
      </c>
      <c r="E6134" t="s">
        <v>12</v>
      </c>
      <c r="F6134">
        <v>122186151</v>
      </c>
      <c r="G6134">
        <v>122186213</v>
      </c>
      <c r="H6134">
        <v>122186224</v>
      </c>
      <c r="I6134">
        <v>122186231</v>
      </c>
    </row>
    <row r="6135" spans="1:9" x14ac:dyDescent="0.2">
      <c r="A6135" t="str">
        <f>"Ero1l"</f>
        <v>Ero1l</v>
      </c>
      <c r="B6135" t="s">
        <v>14</v>
      </c>
      <c r="C6135" t="s">
        <v>41</v>
      </c>
      <c r="D6135" t="s">
        <v>11</v>
      </c>
      <c r="E6135" t="s">
        <v>12</v>
      </c>
      <c r="F6135">
        <v>45318530</v>
      </c>
      <c r="G6135">
        <v>45318546</v>
      </c>
      <c r="H6135">
        <v>45318556</v>
      </c>
      <c r="I6135">
        <v>45318579</v>
      </c>
    </row>
    <row r="6136" spans="1:9" x14ac:dyDescent="0.2">
      <c r="A6136" t="str">
        <f>"Ero1lb"</f>
        <v>Ero1lb</v>
      </c>
      <c r="B6136" t="s">
        <v>14</v>
      </c>
      <c r="C6136" t="s">
        <v>39</v>
      </c>
      <c r="D6136" t="s">
        <v>17</v>
      </c>
      <c r="E6136" t="s">
        <v>12</v>
      </c>
      <c r="F6136">
        <v>12565891</v>
      </c>
      <c r="G6136">
        <v>12565914</v>
      </c>
      <c r="H6136">
        <v>12565926</v>
      </c>
      <c r="I6136">
        <v>12565940</v>
      </c>
    </row>
    <row r="6137" spans="1:9" x14ac:dyDescent="0.2">
      <c r="A6137" t="str">
        <f>"Erp27"</f>
        <v>Erp27</v>
      </c>
      <c r="B6137" t="s">
        <v>14</v>
      </c>
      <c r="C6137" t="s">
        <v>32</v>
      </c>
      <c r="D6137" t="s">
        <v>11</v>
      </c>
      <c r="E6137" t="s">
        <v>12</v>
      </c>
      <c r="F6137">
        <v>136922169</v>
      </c>
      <c r="G6137">
        <v>136922198</v>
      </c>
      <c r="H6137">
        <v>136922200</v>
      </c>
      <c r="I6137">
        <v>136922220</v>
      </c>
    </row>
    <row r="6138" spans="1:9" x14ac:dyDescent="0.2">
      <c r="A6138" t="str">
        <f>"Erp29"</f>
        <v>Erp29</v>
      </c>
      <c r="B6138" t="s">
        <v>14</v>
      </c>
      <c r="C6138" t="s">
        <v>46</v>
      </c>
      <c r="D6138" t="s">
        <v>11</v>
      </c>
      <c r="E6138" t="s">
        <v>12</v>
      </c>
      <c r="F6138">
        <v>121452339</v>
      </c>
      <c r="G6138">
        <v>121452417</v>
      </c>
      <c r="H6138">
        <v>121452462</v>
      </c>
      <c r="I6138">
        <v>121452518</v>
      </c>
    </row>
    <row r="6139" spans="1:9" x14ac:dyDescent="0.2">
      <c r="A6139" t="str">
        <f>"Erp44"</f>
        <v>Erp44</v>
      </c>
      <c r="B6139" t="s">
        <v>14</v>
      </c>
      <c r="C6139" t="s">
        <v>23</v>
      </c>
      <c r="D6139" t="s">
        <v>11</v>
      </c>
      <c r="E6139" t="s">
        <v>12</v>
      </c>
      <c r="F6139">
        <v>48279544</v>
      </c>
      <c r="G6139">
        <v>48279613</v>
      </c>
      <c r="H6139">
        <v>48279502</v>
      </c>
      <c r="I6139">
        <v>48279515</v>
      </c>
    </row>
    <row r="6140" spans="1:9" x14ac:dyDescent="0.2">
      <c r="A6140" t="str">
        <f>"Errfi1"</f>
        <v>Errfi1</v>
      </c>
      <c r="B6140" t="s">
        <v>14</v>
      </c>
      <c r="C6140" t="s">
        <v>23</v>
      </c>
      <c r="D6140" t="s">
        <v>17</v>
      </c>
      <c r="E6140" t="s">
        <v>12</v>
      </c>
      <c r="F6140">
        <v>150855064</v>
      </c>
      <c r="G6140">
        <v>150855081</v>
      </c>
      <c r="H6140">
        <v>150855064</v>
      </c>
      <c r="I6140">
        <v>150855081</v>
      </c>
    </row>
    <row r="6141" spans="1:9" x14ac:dyDescent="0.2">
      <c r="A6141" t="str">
        <f>"Erv3"</f>
        <v>Erv3</v>
      </c>
      <c r="B6141" t="s">
        <v>14</v>
      </c>
      <c r="C6141" t="s">
        <v>26</v>
      </c>
      <c r="D6141" t="s">
        <v>11</v>
      </c>
      <c r="E6141" t="s">
        <v>12</v>
      </c>
      <c r="F6141">
        <v>131859739</v>
      </c>
      <c r="G6141">
        <v>131859755</v>
      </c>
      <c r="H6141">
        <v>131859739</v>
      </c>
      <c r="I6141">
        <v>131859755</v>
      </c>
    </row>
    <row r="6142" spans="1:9" x14ac:dyDescent="0.2">
      <c r="A6142" t="str">
        <f>"Esam"</f>
        <v>Esam</v>
      </c>
      <c r="B6142" t="s">
        <v>14</v>
      </c>
      <c r="C6142" t="s">
        <v>24</v>
      </c>
      <c r="D6142" t="s">
        <v>17</v>
      </c>
      <c r="E6142" t="s">
        <v>12</v>
      </c>
      <c r="F6142">
        <v>37528071</v>
      </c>
      <c r="G6142">
        <v>37528148</v>
      </c>
      <c r="H6142">
        <v>37528071</v>
      </c>
      <c r="I6142">
        <v>37528148</v>
      </c>
    </row>
    <row r="6143" spans="1:9" x14ac:dyDescent="0.2">
      <c r="A6143" t="str">
        <f>"Esco1"</f>
        <v>Esco1</v>
      </c>
      <c r="B6143" t="s">
        <v>14</v>
      </c>
      <c r="C6143" t="s">
        <v>43</v>
      </c>
      <c r="D6143" t="s">
        <v>11</v>
      </c>
      <c r="E6143" t="s">
        <v>12</v>
      </c>
      <c r="F6143">
        <v>10610048</v>
      </c>
      <c r="G6143">
        <v>10610116</v>
      </c>
      <c r="H6143">
        <v>10610124</v>
      </c>
      <c r="I6143">
        <v>10610144</v>
      </c>
    </row>
    <row r="6144" spans="1:9" x14ac:dyDescent="0.2">
      <c r="A6144" t="str">
        <f>"Esco2"</f>
        <v>Esco2</v>
      </c>
      <c r="B6144" t="s">
        <v>14</v>
      </c>
      <c r="C6144" t="s">
        <v>41</v>
      </c>
      <c r="D6144" t="s">
        <v>11</v>
      </c>
      <c r="E6144" t="s">
        <v>12</v>
      </c>
      <c r="F6144">
        <v>65833912</v>
      </c>
      <c r="G6144">
        <v>65833931</v>
      </c>
      <c r="H6144">
        <v>65833889</v>
      </c>
      <c r="I6144">
        <v>65833905</v>
      </c>
    </row>
    <row r="6145" spans="1:9" x14ac:dyDescent="0.2">
      <c r="A6145" t="str">
        <f>"Esd"</f>
        <v>Esd</v>
      </c>
      <c r="B6145" t="s">
        <v>14</v>
      </c>
      <c r="C6145" t="s">
        <v>41</v>
      </c>
      <c r="D6145" t="s">
        <v>17</v>
      </c>
      <c r="E6145" t="s">
        <v>12</v>
      </c>
      <c r="F6145">
        <v>74732302</v>
      </c>
      <c r="G6145">
        <v>74732374</v>
      </c>
      <c r="H6145">
        <v>74732413</v>
      </c>
      <c r="I6145">
        <v>74732424</v>
      </c>
    </row>
    <row r="6146" spans="1:9" x14ac:dyDescent="0.2">
      <c r="A6146" t="str">
        <f>"Esf1"</f>
        <v>Esf1</v>
      </c>
      <c r="B6146" t="s">
        <v>14</v>
      </c>
      <c r="C6146" t="s">
        <v>26</v>
      </c>
      <c r="D6146" t="s">
        <v>11</v>
      </c>
      <c r="E6146" t="s">
        <v>12</v>
      </c>
      <c r="F6146">
        <v>140170528</v>
      </c>
      <c r="G6146">
        <v>140170569</v>
      </c>
      <c r="H6146">
        <v>140170528</v>
      </c>
      <c r="I6146">
        <v>140170569</v>
      </c>
    </row>
    <row r="6147" spans="1:9" x14ac:dyDescent="0.2">
      <c r="A6147" t="str">
        <f>"Esm1"</f>
        <v>Esm1</v>
      </c>
      <c r="B6147" t="s">
        <v>14</v>
      </c>
      <c r="C6147" t="s">
        <v>39</v>
      </c>
      <c r="D6147" t="s">
        <v>17</v>
      </c>
      <c r="E6147" t="s">
        <v>12</v>
      </c>
      <c r="F6147">
        <v>113209757</v>
      </c>
      <c r="G6147">
        <v>113209772</v>
      </c>
      <c r="H6147">
        <v>113209637</v>
      </c>
      <c r="I6147">
        <v>113209650</v>
      </c>
    </row>
    <row r="6148" spans="1:9" x14ac:dyDescent="0.2">
      <c r="A6148" t="str">
        <f>"Espl1"</f>
        <v>Espl1</v>
      </c>
      <c r="B6148" t="s">
        <v>14</v>
      </c>
      <c r="C6148" t="s">
        <v>25</v>
      </c>
      <c r="D6148" t="s">
        <v>17</v>
      </c>
      <c r="E6148" t="s">
        <v>12</v>
      </c>
      <c r="F6148">
        <v>102296256</v>
      </c>
      <c r="G6148">
        <v>102296330</v>
      </c>
      <c r="H6148">
        <v>102296256</v>
      </c>
      <c r="I6148">
        <v>102296330</v>
      </c>
    </row>
    <row r="6149" spans="1:9" x14ac:dyDescent="0.2">
      <c r="A6149" t="str">
        <f>"Espn"</f>
        <v>Espn</v>
      </c>
      <c r="B6149" t="s">
        <v>9</v>
      </c>
      <c r="C6149" t="s">
        <v>23</v>
      </c>
      <c r="D6149" t="s">
        <v>11</v>
      </c>
      <c r="E6149" t="s">
        <v>12</v>
      </c>
      <c r="F6149">
        <v>152128858</v>
      </c>
      <c r="G6149">
        <v>152128898</v>
      </c>
      <c r="H6149">
        <v>152128858</v>
      </c>
      <c r="I6149">
        <v>152128898</v>
      </c>
    </row>
    <row r="6150" spans="1:9" x14ac:dyDescent="0.2">
      <c r="A6150" t="str">
        <f>"Espn"</f>
        <v>Espn</v>
      </c>
      <c r="B6150" t="s">
        <v>13</v>
      </c>
      <c r="C6150" t="s">
        <v>23</v>
      </c>
      <c r="D6150" t="s">
        <v>11</v>
      </c>
      <c r="E6150" t="s">
        <v>12</v>
      </c>
      <c r="F6150">
        <v>152152381</v>
      </c>
      <c r="G6150">
        <v>152152397</v>
      </c>
      <c r="H6150">
        <v>152152381</v>
      </c>
      <c r="I6150">
        <v>152152397</v>
      </c>
    </row>
    <row r="6151" spans="1:9" x14ac:dyDescent="0.2">
      <c r="A6151" t="str">
        <f>"Espnl"</f>
        <v>Espnl</v>
      </c>
      <c r="B6151" t="s">
        <v>14</v>
      </c>
      <c r="C6151" t="s">
        <v>19</v>
      </c>
      <c r="D6151" t="s">
        <v>17</v>
      </c>
      <c r="E6151" t="s">
        <v>12</v>
      </c>
      <c r="F6151">
        <v>91322117</v>
      </c>
      <c r="G6151">
        <v>91322128</v>
      </c>
      <c r="H6151">
        <v>91322105</v>
      </c>
      <c r="I6151">
        <v>91322114</v>
      </c>
    </row>
    <row r="6152" spans="1:9" x14ac:dyDescent="0.2">
      <c r="A6152" t="str">
        <f>"Esr1"</f>
        <v>Esr1</v>
      </c>
      <c r="B6152" t="s">
        <v>14</v>
      </c>
      <c r="C6152" t="s">
        <v>15</v>
      </c>
      <c r="D6152" t="s">
        <v>17</v>
      </c>
      <c r="E6152" t="s">
        <v>12</v>
      </c>
      <c r="F6152">
        <v>4710119</v>
      </c>
      <c r="G6152">
        <v>4710166</v>
      </c>
      <c r="H6152">
        <v>4710167</v>
      </c>
      <c r="I6152">
        <v>4710186</v>
      </c>
    </row>
    <row r="6153" spans="1:9" x14ac:dyDescent="0.2">
      <c r="A6153" t="str">
        <f>"Esr2"</f>
        <v>Esr2</v>
      </c>
      <c r="B6153" t="s">
        <v>14</v>
      </c>
      <c r="C6153" t="s">
        <v>16</v>
      </c>
      <c r="D6153" t="s">
        <v>11</v>
      </c>
      <c r="E6153" t="s">
        <v>12</v>
      </c>
      <c r="F6153">
        <v>76177251</v>
      </c>
      <c r="G6153">
        <v>76177265</v>
      </c>
      <c r="H6153">
        <v>76177061</v>
      </c>
      <c r="I6153">
        <v>76177071</v>
      </c>
    </row>
    <row r="6154" spans="1:9" x14ac:dyDescent="0.2">
      <c r="A6154" t="str">
        <f>"Esrp1"</f>
        <v>Esrp1</v>
      </c>
      <c r="B6154" t="s">
        <v>14</v>
      </c>
      <c r="C6154" t="s">
        <v>23</v>
      </c>
      <c r="D6154" t="s">
        <v>11</v>
      </c>
      <c r="E6154" t="s">
        <v>12</v>
      </c>
      <c r="F6154">
        <v>11386568</v>
      </c>
      <c r="G6154">
        <v>11386598</v>
      </c>
      <c r="H6154">
        <v>11386734</v>
      </c>
      <c r="I6154">
        <v>11386754</v>
      </c>
    </row>
    <row r="6155" spans="1:9" x14ac:dyDescent="0.2">
      <c r="A6155" t="str">
        <f>"Esrp2"</f>
        <v>Esrp2</v>
      </c>
      <c r="B6155" t="s">
        <v>14</v>
      </c>
      <c r="C6155" t="s">
        <v>30</v>
      </c>
      <c r="D6155" t="s">
        <v>11</v>
      </c>
      <c r="E6155" t="s">
        <v>12</v>
      </c>
      <c r="F6155">
        <v>106136792</v>
      </c>
      <c r="G6155">
        <v>106136876</v>
      </c>
      <c r="H6155">
        <v>106136890</v>
      </c>
      <c r="I6155">
        <v>106136901</v>
      </c>
    </row>
    <row r="6156" spans="1:9" x14ac:dyDescent="0.2">
      <c r="A6156" t="str">
        <f>"Esrra"</f>
        <v>Esrra</v>
      </c>
      <c r="B6156" t="s">
        <v>14</v>
      </c>
      <c r="C6156" t="s">
        <v>10</v>
      </c>
      <c r="D6156" t="s">
        <v>11</v>
      </c>
      <c r="E6156" t="s">
        <v>12</v>
      </c>
      <c r="F6156">
        <v>6921753</v>
      </c>
      <c r="G6156">
        <v>6921803</v>
      </c>
      <c r="H6156">
        <v>6921804</v>
      </c>
      <c r="I6156">
        <v>6921834</v>
      </c>
    </row>
    <row r="6157" spans="1:9" x14ac:dyDescent="0.2">
      <c r="A6157" t="str">
        <f>"Esrrb"</f>
        <v>Esrrb</v>
      </c>
      <c r="B6157" t="s">
        <v>9</v>
      </c>
      <c r="C6157" t="s">
        <v>16</v>
      </c>
      <c r="D6157" t="s">
        <v>17</v>
      </c>
      <c r="E6157" t="s">
        <v>12</v>
      </c>
      <c r="F6157">
        <v>86421628</v>
      </c>
      <c r="G6157">
        <v>86421662</v>
      </c>
      <c r="H6157">
        <v>86421628</v>
      </c>
      <c r="I6157">
        <v>86421662</v>
      </c>
    </row>
    <row r="6158" spans="1:9" x14ac:dyDescent="0.2">
      <c r="A6158" t="str">
        <f>"Esrrb"</f>
        <v>Esrrb</v>
      </c>
      <c r="B6158" t="s">
        <v>13</v>
      </c>
      <c r="C6158" t="s">
        <v>16</v>
      </c>
      <c r="D6158" t="s">
        <v>17</v>
      </c>
      <c r="E6158" t="s">
        <v>12</v>
      </c>
      <c r="F6158">
        <v>86470131</v>
      </c>
      <c r="G6158">
        <v>86470150</v>
      </c>
      <c r="H6158">
        <v>86470131</v>
      </c>
      <c r="I6158">
        <v>86470150</v>
      </c>
    </row>
    <row r="6159" spans="1:9" x14ac:dyDescent="0.2">
      <c r="A6159" t="str">
        <f>"Esrrg"</f>
        <v>Esrrg</v>
      </c>
      <c r="B6159" t="s">
        <v>9</v>
      </c>
      <c r="C6159" t="s">
        <v>19</v>
      </c>
      <c r="D6159" t="s">
        <v>17</v>
      </c>
      <c r="E6159" t="s">
        <v>12</v>
      </c>
      <c r="F6159">
        <v>187997835</v>
      </c>
      <c r="G6159">
        <v>187997882</v>
      </c>
      <c r="H6159">
        <v>187997835</v>
      </c>
      <c r="I6159">
        <v>187997882</v>
      </c>
    </row>
    <row r="6160" spans="1:9" x14ac:dyDescent="0.2">
      <c r="A6160" t="str">
        <f>"Esrrg"</f>
        <v>Esrrg</v>
      </c>
      <c r="B6160" t="s">
        <v>13</v>
      </c>
      <c r="C6160" t="s">
        <v>19</v>
      </c>
      <c r="D6160" t="s">
        <v>17</v>
      </c>
      <c r="E6160" t="s">
        <v>12</v>
      </c>
      <c r="F6160">
        <v>187609002</v>
      </c>
      <c r="G6160">
        <v>187609024</v>
      </c>
      <c r="H6160">
        <v>187609002</v>
      </c>
      <c r="I6160">
        <v>187609024</v>
      </c>
    </row>
    <row r="6161" spans="1:9" x14ac:dyDescent="0.2">
      <c r="A6161" t="str">
        <f>"Esx1"</f>
        <v>Esx1</v>
      </c>
      <c r="B6161" t="s">
        <v>14</v>
      </c>
      <c r="C6161" t="s">
        <v>37</v>
      </c>
      <c r="D6161" t="s">
        <v>11</v>
      </c>
      <c r="E6161" t="s">
        <v>12</v>
      </c>
      <c r="F6161">
        <v>137120128</v>
      </c>
      <c r="G6161">
        <v>137120133</v>
      </c>
      <c r="H6161">
        <v>137119805</v>
      </c>
      <c r="I6161">
        <v>137119819</v>
      </c>
    </row>
    <row r="6162" spans="1:9" x14ac:dyDescent="0.2">
      <c r="A6162" t="str">
        <f>"Esyt1"</f>
        <v>Esyt1</v>
      </c>
      <c r="B6162" t="s">
        <v>14</v>
      </c>
      <c r="C6162" t="s">
        <v>15</v>
      </c>
      <c r="D6162" t="s">
        <v>11</v>
      </c>
      <c r="E6162" t="s">
        <v>12</v>
      </c>
      <c r="F6162">
        <v>128525861</v>
      </c>
      <c r="G6162">
        <v>128525880</v>
      </c>
      <c r="H6162">
        <v>128525861</v>
      </c>
      <c r="I6162">
        <v>128525880</v>
      </c>
    </row>
    <row r="6163" spans="1:9" x14ac:dyDescent="0.2">
      <c r="A6163" t="str">
        <f>"Esyt2"</f>
        <v>Esyt2</v>
      </c>
      <c r="B6163" t="s">
        <v>14</v>
      </c>
      <c r="C6163" t="s">
        <v>16</v>
      </c>
      <c r="D6163" t="s">
        <v>17</v>
      </c>
      <c r="E6163" t="s">
        <v>12</v>
      </c>
      <c r="F6163">
        <v>116281244</v>
      </c>
      <c r="G6163">
        <v>116281261</v>
      </c>
      <c r="H6163">
        <v>116281180</v>
      </c>
      <c r="I6163">
        <v>116281229</v>
      </c>
    </row>
    <row r="6164" spans="1:9" x14ac:dyDescent="0.2">
      <c r="A6164" t="str">
        <f>"Esyt3"</f>
        <v>Esyt3</v>
      </c>
      <c r="B6164" t="s">
        <v>14</v>
      </c>
      <c r="C6164" t="s">
        <v>24</v>
      </c>
      <c r="D6164" t="s">
        <v>11</v>
      </c>
      <c r="E6164" t="s">
        <v>12</v>
      </c>
      <c r="F6164">
        <v>99358518</v>
      </c>
      <c r="G6164">
        <v>99358552</v>
      </c>
      <c r="H6164">
        <v>99358553</v>
      </c>
      <c r="I6164">
        <v>99358560</v>
      </c>
    </row>
    <row r="6165" spans="1:9" x14ac:dyDescent="0.2">
      <c r="A6165" t="str">
        <f>"Etaa1"</f>
        <v>Etaa1</v>
      </c>
      <c r="B6165" t="s">
        <v>14</v>
      </c>
      <c r="C6165" t="s">
        <v>27</v>
      </c>
      <c r="D6165" t="s">
        <v>11</v>
      </c>
      <c r="E6165" t="s">
        <v>12</v>
      </c>
      <c r="F6165">
        <v>17953861</v>
      </c>
      <c r="G6165">
        <v>17953897</v>
      </c>
      <c r="H6165">
        <v>17953861</v>
      </c>
      <c r="I6165">
        <v>17953897</v>
      </c>
    </row>
    <row r="6166" spans="1:9" x14ac:dyDescent="0.2">
      <c r="A6166" t="str">
        <f>"Etd"</f>
        <v>Etd</v>
      </c>
      <c r="B6166" t="s">
        <v>14</v>
      </c>
      <c r="C6166" t="s">
        <v>37</v>
      </c>
      <c r="D6166" t="s">
        <v>17</v>
      </c>
      <c r="E6166" t="s">
        <v>12</v>
      </c>
      <c r="F6166">
        <v>53434989</v>
      </c>
      <c r="G6166">
        <v>53435015</v>
      </c>
      <c r="H6166">
        <v>53434952</v>
      </c>
      <c r="I6166">
        <v>53434972</v>
      </c>
    </row>
    <row r="6167" spans="1:9" x14ac:dyDescent="0.2">
      <c r="A6167" t="str">
        <f>"Etf1"</f>
        <v>Etf1</v>
      </c>
      <c r="B6167" t="s">
        <v>14</v>
      </c>
      <c r="C6167" t="s">
        <v>43</v>
      </c>
      <c r="D6167" t="s">
        <v>11</v>
      </c>
      <c r="E6167" t="s">
        <v>12</v>
      </c>
      <c r="F6167">
        <v>34931931</v>
      </c>
      <c r="G6167">
        <v>34931985</v>
      </c>
      <c r="H6167">
        <v>34931891</v>
      </c>
      <c r="I6167">
        <v>34931920</v>
      </c>
    </row>
    <row r="6168" spans="1:9" x14ac:dyDescent="0.2">
      <c r="A6168" t="str">
        <f>"Etfa"</f>
        <v>Etfa</v>
      </c>
      <c r="B6168" t="s">
        <v>14</v>
      </c>
      <c r="C6168" t="s">
        <v>24</v>
      </c>
      <c r="D6168" t="s">
        <v>11</v>
      </c>
      <c r="E6168" t="s">
        <v>12</v>
      </c>
      <c r="F6168">
        <v>55512156</v>
      </c>
      <c r="G6168">
        <v>55512230</v>
      </c>
      <c r="H6168">
        <v>55512239</v>
      </c>
      <c r="I6168">
        <v>55512244</v>
      </c>
    </row>
    <row r="6169" spans="1:9" x14ac:dyDescent="0.2">
      <c r="A6169" t="str">
        <f>"Etfb"</f>
        <v>Etfb</v>
      </c>
      <c r="B6169" t="s">
        <v>14</v>
      </c>
      <c r="C6169" t="s">
        <v>33</v>
      </c>
      <c r="D6169" t="s">
        <v>17</v>
      </c>
      <c r="E6169" t="s">
        <v>12</v>
      </c>
      <c r="F6169">
        <v>43444104</v>
      </c>
      <c r="G6169">
        <v>43444142</v>
      </c>
      <c r="H6169">
        <v>43444104</v>
      </c>
      <c r="I6169">
        <v>43444142</v>
      </c>
    </row>
    <row r="6170" spans="1:9" x14ac:dyDescent="0.2">
      <c r="A6170" t="str">
        <f>"Etfdh"</f>
        <v>Etfdh</v>
      </c>
      <c r="B6170" t="s">
        <v>14</v>
      </c>
      <c r="C6170" t="s">
        <v>22</v>
      </c>
      <c r="D6170" t="s">
        <v>11</v>
      </c>
      <c r="E6170" t="s">
        <v>12</v>
      </c>
      <c r="F6170">
        <v>79628660</v>
      </c>
      <c r="G6170">
        <v>79628745</v>
      </c>
      <c r="H6170">
        <v>79628859</v>
      </c>
      <c r="I6170">
        <v>79628870</v>
      </c>
    </row>
    <row r="6171" spans="1:9" x14ac:dyDescent="0.2">
      <c r="A6171" t="str">
        <f>"Ethe1"</f>
        <v>Ethe1</v>
      </c>
      <c r="B6171" t="s">
        <v>14</v>
      </c>
      <c r="C6171" t="s">
        <v>33</v>
      </c>
      <c r="D6171" t="s">
        <v>17</v>
      </c>
      <c r="E6171" t="s">
        <v>12</v>
      </c>
      <c r="F6171">
        <v>24587504</v>
      </c>
      <c r="G6171">
        <v>24587548</v>
      </c>
      <c r="H6171">
        <v>24587504</v>
      </c>
      <c r="I6171">
        <v>24587548</v>
      </c>
    </row>
    <row r="6172" spans="1:9" x14ac:dyDescent="0.2">
      <c r="A6172" t="str">
        <f>"Etl4"</f>
        <v>Etl4</v>
      </c>
      <c r="B6172" t="s">
        <v>14</v>
      </c>
      <c r="C6172" t="s">
        <v>26</v>
      </c>
      <c r="D6172" t="s">
        <v>17</v>
      </c>
      <c r="E6172" t="s">
        <v>12</v>
      </c>
      <c r="F6172">
        <v>20519593</v>
      </c>
      <c r="G6172">
        <v>20519651</v>
      </c>
      <c r="H6172">
        <v>20519776</v>
      </c>
      <c r="I6172">
        <v>20519835</v>
      </c>
    </row>
    <row r="6173" spans="1:9" x14ac:dyDescent="0.2">
      <c r="A6173" t="str">
        <f>"Etnk1"</f>
        <v>Etnk1</v>
      </c>
      <c r="B6173" t="s">
        <v>14</v>
      </c>
      <c r="C6173" t="s">
        <v>32</v>
      </c>
      <c r="D6173" t="s">
        <v>17</v>
      </c>
      <c r="E6173" t="s">
        <v>12</v>
      </c>
      <c r="F6173">
        <v>143167210</v>
      </c>
      <c r="G6173">
        <v>143167267</v>
      </c>
      <c r="H6173">
        <v>143167271</v>
      </c>
      <c r="I6173">
        <v>143167300</v>
      </c>
    </row>
    <row r="6174" spans="1:9" x14ac:dyDescent="0.2">
      <c r="A6174" t="str">
        <f>"Etnk2"</f>
        <v>Etnk2</v>
      </c>
      <c r="B6174" t="s">
        <v>14</v>
      </c>
      <c r="C6174" t="s">
        <v>19</v>
      </c>
      <c r="D6174" t="s">
        <v>17</v>
      </c>
      <c r="E6174" t="s">
        <v>12</v>
      </c>
      <c r="F6174">
        <v>133363825</v>
      </c>
      <c r="G6174">
        <v>133363840</v>
      </c>
      <c r="H6174">
        <v>133363825</v>
      </c>
      <c r="I6174">
        <v>133363840</v>
      </c>
    </row>
    <row r="6175" spans="1:9" x14ac:dyDescent="0.2">
      <c r="A6175" t="str">
        <f>"Etnppl"</f>
        <v>Etnppl</v>
      </c>
      <c r="B6175" t="s">
        <v>14</v>
      </c>
      <c r="C6175" t="s">
        <v>22</v>
      </c>
      <c r="D6175" t="s">
        <v>17</v>
      </c>
      <c r="E6175" t="s">
        <v>67</v>
      </c>
      <c r="F6175">
        <v>130617564</v>
      </c>
      <c r="G6175">
        <v>130617583</v>
      </c>
      <c r="H6175">
        <v>130617645</v>
      </c>
      <c r="I6175">
        <v>130617675</v>
      </c>
    </row>
    <row r="6176" spans="1:9" x14ac:dyDescent="0.2">
      <c r="A6176" t="str">
        <f>"Etohi1"</f>
        <v>Etohi1</v>
      </c>
      <c r="B6176" t="s">
        <v>14</v>
      </c>
      <c r="C6176" t="s">
        <v>26</v>
      </c>
      <c r="D6176" t="s">
        <v>17</v>
      </c>
      <c r="E6176" t="s">
        <v>12</v>
      </c>
      <c r="F6176">
        <v>178023281</v>
      </c>
      <c r="G6176">
        <v>178023291</v>
      </c>
      <c r="H6176">
        <v>178023281</v>
      </c>
      <c r="I6176">
        <v>178023291</v>
      </c>
    </row>
    <row r="6177" spans="1:9" x14ac:dyDescent="0.2">
      <c r="A6177" t="str">
        <f>"Etos1"</f>
        <v>Etos1</v>
      </c>
      <c r="B6177" t="s">
        <v>2426</v>
      </c>
      <c r="C6177" t="s">
        <v>33</v>
      </c>
      <c r="D6177" t="s">
        <v>11</v>
      </c>
      <c r="E6177" t="s">
        <v>20</v>
      </c>
      <c r="F6177">
        <v>130772651</v>
      </c>
      <c r="G6177">
        <v>130772651</v>
      </c>
      <c r="H6177">
        <v>130772651</v>
      </c>
      <c r="I6177">
        <v>130772651</v>
      </c>
    </row>
    <row r="6178" spans="1:9" x14ac:dyDescent="0.2">
      <c r="A6178" t="str">
        <f>"Ets1"</f>
        <v>Ets1</v>
      </c>
      <c r="B6178" t="s">
        <v>14</v>
      </c>
      <c r="C6178" t="s">
        <v>24</v>
      </c>
      <c r="D6178" t="s">
        <v>17</v>
      </c>
      <c r="E6178" t="s">
        <v>12</v>
      </c>
      <c r="F6178">
        <v>32696005</v>
      </c>
      <c r="G6178">
        <v>32696095</v>
      </c>
      <c r="H6178">
        <v>32696005</v>
      </c>
      <c r="I6178">
        <v>32696095</v>
      </c>
    </row>
    <row r="6179" spans="1:9" x14ac:dyDescent="0.2">
      <c r="A6179" t="str">
        <f>"Ets2"</f>
        <v>Ets2</v>
      </c>
      <c r="B6179" t="s">
        <v>14</v>
      </c>
      <c r="C6179" t="s">
        <v>31</v>
      </c>
      <c r="D6179" t="s">
        <v>17</v>
      </c>
      <c r="E6179" t="s">
        <v>12</v>
      </c>
      <c r="F6179">
        <v>95702448</v>
      </c>
      <c r="G6179">
        <v>95702470</v>
      </c>
      <c r="H6179">
        <v>95702398</v>
      </c>
      <c r="I6179">
        <v>95702435</v>
      </c>
    </row>
    <row r="6180" spans="1:9" x14ac:dyDescent="0.2">
      <c r="A6180" t="str">
        <f>"Etv1"</f>
        <v>Etv1</v>
      </c>
      <c r="B6180" t="s">
        <v>14</v>
      </c>
      <c r="C6180" t="s">
        <v>16</v>
      </c>
      <c r="D6180" t="s">
        <v>17</v>
      </c>
      <c r="E6180" t="s">
        <v>12</v>
      </c>
      <c r="F6180">
        <v>38780286</v>
      </c>
      <c r="G6180">
        <v>38780326</v>
      </c>
      <c r="H6180">
        <v>38781093</v>
      </c>
      <c r="I6180">
        <v>38781128</v>
      </c>
    </row>
    <row r="6181" spans="1:9" x14ac:dyDescent="0.2">
      <c r="A6181" t="str">
        <f>"Etv2"</f>
        <v>Etv2</v>
      </c>
      <c r="B6181" t="s">
        <v>14</v>
      </c>
      <c r="C6181" t="s">
        <v>33</v>
      </c>
      <c r="D6181" t="s">
        <v>11</v>
      </c>
      <c r="E6181" t="s">
        <v>12</v>
      </c>
      <c r="F6181">
        <v>30636514</v>
      </c>
      <c r="G6181">
        <v>30636529</v>
      </c>
      <c r="H6181">
        <v>30636514</v>
      </c>
      <c r="I6181">
        <v>30636529</v>
      </c>
    </row>
    <row r="6182" spans="1:9" x14ac:dyDescent="0.2">
      <c r="A6182" t="str">
        <f>"Etv3"</f>
        <v>Etv3</v>
      </c>
      <c r="B6182" t="s">
        <v>14</v>
      </c>
      <c r="C6182" t="s">
        <v>22</v>
      </c>
      <c r="D6182" t="s">
        <v>17</v>
      </c>
      <c r="E6182" t="s">
        <v>12</v>
      </c>
      <c r="F6182">
        <v>87525572</v>
      </c>
      <c r="G6182">
        <v>87525643</v>
      </c>
      <c r="H6182">
        <v>87525646</v>
      </c>
      <c r="I6182">
        <v>87525667</v>
      </c>
    </row>
    <row r="6183" spans="1:9" x14ac:dyDescent="0.2">
      <c r="A6183" t="str">
        <f>"Etv4"</f>
        <v>Etv4</v>
      </c>
      <c r="B6183" t="s">
        <v>14</v>
      </c>
      <c r="C6183" t="s">
        <v>27</v>
      </c>
      <c r="D6183" t="s">
        <v>11</v>
      </c>
      <c r="E6183" t="s">
        <v>12</v>
      </c>
      <c r="F6183">
        <v>101785252</v>
      </c>
      <c r="G6183">
        <v>101785289</v>
      </c>
      <c r="H6183">
        <v>101784516</v>
      </c>
      <c r="I6183">
        <v>101784567</v>
      </c>
    </row>
    <row r="6184" spans="1:9" x14ac:dyDescent="0.2">
      <c r="A6184" t="str">
        <f>"Etv5"</f>
        <v>Etv5</v>
      </c>
      <c r="B6184" t="s">
        <v>14</v>
      </c>
      <c r="C6184" t="s">
        <v>31</v>
      </c>
      <c r="D6184" t="s">
        <v>11</v>
      </c>
      <c r="E6184" t="s">
        <v>12</v>
      </c>
      <c r="F6184">
        <v>22439608</v>
      </c>
      <c r="G6184">
        <v>22439625</v>
      </c>
      <c r="H6184">
        <v>22439581</v>
      </c>
      <c r="I6184">
        <v>22439603</v>
      </c>
    </row>
    <row r="6185" spans="1:9" x14ac:dyDescent="0.2">
      <c r="A6185" t="str">
        <f>"Etv6"</f>
        <v>Etv6</v>
      </c>
      <c r="B6185" t="s">
        <v>14</v>
      </c>
      <c r="C6185" t="s">
        <v>32</v>
      </c>
      <c r="D6185" t="s">
        <v>17</v>
      </c>
      <c r="E6185" t="s">
        <v>12</v>
      </c>
      <c r="F6185">
        <v>134035821</v>
      </c>
      <c r="G6185">
        <v>134035897</v>
      </c>
      <c r="H6185">
        <v>134035975</v>
      </c>
      <c r="I6185">
        <v>134036011</v>
      </c>
    </row>
    <row r="6186" spans="1:9" x14ac:dyDescent="0.2">
      <c r="A6186" t="str">
        <f>"Eva1a"</f>
        <v>Eva1a</v>
      </c>
      <c r="B6186" t="s">
        <v>14</v>
      </c>
      <c r="C6186" t="s">
        <v>32</v>
      </c>
      <c r="D6186" t="s">
        <v>17</v>
      </c>
      <c r="E6186" t="s">
        <v>67</v>
      </c>
      <c r="F6186">
        <v>82041645</v>
      </c>
      <c r="G6186">
        <v>82041698</v>
      </c>
      <c r="H6186">
        <v>82041707</v>
      </c>
      <c r="I6186">
        <v>82041719</v>
      </c>
    </row>
    <row r="6187" spans="1:9" x14ac:dyDescent="0.2">
      <c r="A6187" t="str">
        <f>"Eva1b"</f>
        <v>Eva1b</v>
      </c>
      <c r="B6187" t="s">
        <v>14</v>
      </c>
      <c r="C6187" t="s">
        <v>23</v>
      </c>
      <c r="D6187" t="s">
        <v>17</v>
      </c>
      <c r="E6187" t="s">
        <v>67</v>
      </c>
      <c r="F6187">
        <v>126148457</v>
      </c>
      <c r="G6187">
        <v>126148527</v>
      </c>
      <c r="H6187">
        <v>126148816</v>
      </c>
      <c r="I6187">
        <v>126148833</v>
      </c>
    </row>
    <row r="6188" spans="1:9" x14ac:dyDescent="0.2">
      <c r="A6188" t="str">
        <f>"Eva1c"</f>
        <v>Eva1c</v>
      </c>
      <c r="B6188" t="s">
        <v>14</v>
      </c>
      <c r="C6188" t="s">
        <v>31</v>
      </c>
      <c r="D6188" t="s">
        <v>17</v>
      </c>
      <c r="E6188" t="s">
        <v>67</v>
      </c>
      <c r="F6188">
        <v>90831129</v>
      </c>
      <c r="G6188">
        <v>90831150</v>
      </c>
      <c r="H6188">
        <v>90830830</v>
      </c>
      <c r="I6188">
        <v>90830878</v>
      </c>
    </row>
    <row r="6189" spans="1:9" x14ac:dyDescent="0.2">
      <c r="A6189" t="str">
        <f>"Evc"</f>
        <v>Evc</v>
      </c>
      <c r="B6189" t="s">
        <v>14</v>
      </c>
      <c r="C6189" t="s">
        <v>46</v>
      </c>
      <c r="D6189" t="s">
        <v>11</v>
      </c>
      <c r="E6189" t="s">
        <v>12</v>
      </c>
      <c r="F6189">
        <v>37336870</v>
      </c>
      <c r="G6189">
        <v>37336899</v>
      </c>
      <c r="H6189">
        <v>37336837</v>
      </c>
      <c r="I6189">
        <v>37336864</v>
      </c>
    </row>
    <row r="6190" spans="1:9" x14ac:dyDescent="0.2">
      <c r="A6190" t="str">
        <f>"Evc2"</f>
        <v>Evc2</v>
      </c>
      <c r="B6190" t="s">
        <v>14</v>
      </c>
      <c r="C6190" t="s">
        <v>46</v>
      </c>
      <c r="D6190" t="s">
        <v>17</v>
      </c>
      <c r="E6190" t="s">
        <v>12</v>
      </c>
      <c r="F6190">
        <v>37338455</v>
      </c>
      <c r="G6190">
        <v>37338551</v>
      </c>
      <c r="H6190">
        <v>37338599</v>
      </c>
      <c r="I6190">
        <v>37338619</v>
      </c>
    </row>
    <row r="6191" spans="1:9" x14ac:dyDescent="0.2">
      <c r="A6191" t="str">
        <f>"Evi2a"</f>
        <v>Evi2a</v>
      </c>
      <c r="B6191" t="s">
        <v>14</v>
      </c>
      <c r="C6191" t="s">
        <v>27</v>
      </c>
      <c r="D6191" t="s">
        <v>11</v>
      </c>
      <c r="E6191" t="s">
        <v>12</v>
      </c>
      <c r="F6191">
        <v>79530569</v>
      </c>
      <c r="G6191">
        <v>79530595</v>
      </c>
      <c r="H6191">
        <v>79530569</v>
      </c>
      <c r="I6191">
        <v>79530595</v>
      </c>
    </row>
    <row r="6192" spans="1:9" x14ac:dyDescent="0.2">
      <c r="A6192" t="str">
        <f>"Evi2b"</f>
        <v>Evi2b</v>
      </c>
      <c r="B6192" t="s">
        <v>9</v>
      </c>
      <c r="C6192" t="s">
        <v>27</v>
      </c>
      <c r="D6192" t="s">
        <v>11</v>
      </c>
      <c r="E6192" t="s">
        <v>12</v>
      </c>
      <c r="F6192">
        <v>79523716</v>
      </c>
      <c r="G6192">
        <v>79523753</v>
      </c>
      <c r="H6192">
        <v>79523716</v>
      </c>
      <c r="I6192">
        <v>79523753</v>
      </c>
    </row>
    <row r="6193" spans="1:9" x14ac:dyDescent="0.2">
      <c r="A6193" t="str">
        <f>"Evi2b"</f>
        <v>Evi2b</v>
      </c>
      <c r="B6193" t="s">
        <v>13</v>
      </c>
      <c r="C6193" t="s">
        <v>27</v>
      </c>
      <c r="D6193" t="s">
        <v>11</v>
      </c>
      <c r="E6193" t="s">
        <v>12</v>
      </c>
      <c r="F6193">
        <v>79530569</v>
      </c>
      <c r="G6193">
        <v>79530595</v>
      </c>
      <c r="H6193">
        <v>79530569</v>
      </c>
      <c r="I6193">
        <v>79530595</v>
      </c>
    </row>
    <row r="6194" spans="1:9" x14ac:dyDescent="0.2">
      <c r="A6194" t="str">
        <f>"Evi5"</f>
        <v>Evi5</v>
      </c>
      <c r="B6194" t="s">
        <v>14</v>
      </c>
      <c r="C6194" t="s">
        <v>46</v>
      </c>
      <c r="D6194" t="s">
        <v>11</v>
      </c>
      <c r="E6194" t="s">
        <v>12</v>
      </c>
      <c r="F6194">
        <v>107869012</v>
      </c>
      <c r="G6194">
        <v>107869056</v>
      </c>
      <c r="H6194">
        <v>107869012</v>
      </c>
      <c r="I6194">
        <v>107869056</v>
      </c>
    </row>
    <row r="6195" spans="1:9" x14ac:dyDescent="0.2">
      <c r="A6195" t="str">
        <f>"Evi5l"</f>
        <v>Evi5l</v>
      </c>
      <c r="B6195" t="s">
        <v>14</v>
      </c>
      <c r="C6195" t="s">
        <v>30</v>
      </c>
      <c r="D6195" t="s">
        <v>17</v>
      </c>
      <c r="E6195" t="s">
        <v>12</v>
      </c>
      <c r="F6195">
        <v>4166556</v>
      </c>
      <c r="G6195">
        <v>4166593</v>
      </c>
      <c r="H6195">
        <v>4166523</v>
      </c>
      <c r="I6195">
        <v>4166530</v>
      </c>
    </row>
    <row r="6196" spans="1:9" x14ac:dyDescent="0.2">
      <c r="A6196" t="str">
        <f>"Evl"</f>
        <v>Evl</v>
      </c>
      <c r="B6196" t="s">
        <v>14</v>
      </c>
      <c r="C6196" t="s">
        <v>16</v>
      </c>
      <c r="D6196" t="s">
        <v>17</v>
      </c>
      <c r="E6196" t="s">
        <v>12</v>
      </c>
      <c r="F6196">
        <v>108554951</v>
      </c>
      <c r="G6196">
        <v>108554980</v>
      </c>
      <c r="H6196">
        <v>108554734</v>
      </c>
      <c r="I6196">
        <v>108554752</v>
      </c>
    </row>
    <row r="6197" spans="1:9" x14ac:dyDescent="0.2">
      <c r="A6197" t="str">
        <f>"Evpl"</f>
        <v>Evpl</v>
      </c>
      <c r="B6197" t="s">
        <v>14</v>
      </c>
      <c r="C6197" t="s">
        <v>27</v>
      </c>
      <c r="D6197" t="s">
        <v>11</v>
      </c>
      <c r="E6197" t="s">
        <v>12</v>
      </c>
      <c r="F6197">
        <v>116238083</v>
      </c>
      <c r="G6197">
        <v>116238097</v>
      </c>
      <c r="H6197">
        <v>116238083</v>
      </c>
      <c r="I6197">
        <v>116238097</v>
      </c>
    </row>
    <row r="6198" spans="1:9" x14ac:dyDescent="0.2">
      <c r="A6198" t="str">
        <f>"Evx1"</f>
        <v>Evx1</v>
      </c>
      <c r="B6198" t="s">
        <v>14</v>
      </c>
      <c r="C6198" t="s">
        <v>32</v>
      </c>
      <c r="D6198" t="s">
        <v>17</v>
      </c>
      <c r="E6198" t="s">
        <v>12</v>
      </c>
      <c r="F6198">
        <v>52313635</v>
      </c>
      <c r="G6198">
        <v>52313650</v>
      </c>
      <c r="H6198">
        <v>52313440</v>
      </c>
      <c r="I6198">
        <v>52313445</v>
      </c>
    </row>
    <row r="6199" spans="1:9" x14ac:dyDescent="0.2">
      <c r="A6199" t="str">
        <f>"Evx2"</f>
        <v>Evx2</v>
      </c>
      <c r="B6199" t="s">
        <v>14</v>
      </c>
      <c r="C6199" t="s">
        <v>26</v>
      </c>
      <c r="D6199" t="s">
        <v>11</v>
      </c>
      <c r="E6199" t="s">
        <v>12</v>
      </c>
      <c r="F6199">
        <v>74659839</v>
      </c>
      <c r="G6199">
        <v>74659861</v>
      </c>
      <c r="H6199">
        <v>74659591</v>
      </c>
      <c r="I6199">
        <v>74659596</v>
      </c>
    </row>
    <row r="6200" spans="1:9" x14ac:dyDescent="0.2">
      <c r="A6200" t="str">
        <f>"Ewsr1"</f>
        <v>Ewsr1</v>
      </c>
      <c r="B6200" t="s">
        <v>14</v>
      </c>
      <c r="C6200" t="s">
        <v>27</v>
      </c>
      <c r="D6200" t="s">
        <v>11</v>
      </c>
      <c r="E6200" t="s">
        <v>12</v>
      </c>
      <c r="F6200">
        <v>5099053</v>
      </c>
      <c r="G6200">
        <v>5099081</v>
      </c>
      <c r="H6200">
        <v>5099036</v>
      </c>
      <c r="I6200">
        <v>5099050</v>
      </c>
    </row>
    <row r="6201" spans="1:9" x14ac:dyDescent="0.2">
      <c r="A6201" t="str">
        <f>"Exd1"</f>
        <v>Exd1</v>
      </c>
      <c r="B6201" t="s">
        <v>14</v>
      </c>
      <c r="C6201" t="s">
        <v>26</v>
      </c>
      <c r="D6201" t="s">
        <v>11</v>
      </c>
      <c r="E6201" t="s">
        <v>12</v>
      </c>
      <c r="F6201">
        <v>119547513</v>
      </c>
      <c r="G6201">
        <v>119547516</v>
      </c>
      <c r="H6201">
        <v>119547475</v>
      </c>
      <c r="I6201">
        <v>119547476</v>
      </c>
    </row>
    <row r="6202" spans="1:9" x14ac:dyDescent="0.2">
      <c r="A6202" t="str">
        <f>"Exd2"</f>
        <v>Exd2</v>
      </c>
      <c r="B6202" t="s">
        <v>14</v>
      </c>
      <c r="C6202" t="s">
        <v>16</v>
      </c>
      <c r="D6202" t="s">
        <v>17</v>
      </c>
      <c r="E6202" t="s">
        <v>12</v>
      </c>
      <c r="F6202">
        <v>80463204</v>
      </c>
      <c r="G6202">
        <v>80463257</v>
      </c>
      <c r="H6202">
        <v>80463182</v>
      </c>
      <c r="I6202">
        <v>80463200</v>
      </c>
    </row>
    <row r="6203" spans="1:9" x14ac:dyDescent="0.2">
      <c r="A6203" t="str">
        <f>"Exo1"</f>
        <v>Exo1</v>
      </c>
      <c r="B6203" t="s">
        <v>14</v>
      </c>
      <c r="C6203" t="s">
        <v>19</v>
      </c>
      <c r="D6203" t="s">
        <v>17</v>
      </c>
      <c r="E6203" t="s">
        <v>12</v>
      </c>
      <c r="F6203">
        <v>175880775</v>
      </c>
      <c r="G6203">
        <v>175880808</v>
      </c>
      <c r="H6203">
        <v>175880810</v>
      </c>
      <c r="I6203">
        <v>175880813</v>
      </c>
    </row>
    <row r="6204" spans="1:9" x14ac:dyDescent="0.2">
      <c r="A6204" t="str">
        <f>"Exo5"</f>
        <v>Exo5</v>
      </c>
      <c r="B6204" t="s">
        <v>14</v>
      </c>
      <c r="C6204" t="s">
        <v>23</v>
      </c>
      <c r="D6204" t="s">
        <v>11</v>
      </c>
      <c r="E6204" t="s">
        <v>67</v>
      </c>
      <c r="F6204">
        <v>120924950</v>
      </c>
      <c r="G6204">
        <v>120925032</v>
      </c>
      <c r="H6204">
        <v>120924914</v>
      </c>
      <c r="I6204">
        <v>120924925</v>
      </c>
    </row>
    <row r="6205" spans="1:9" x14ac:dyDescent="0.2">
      <c r="A6205" t="str">
        <f>"Exoc1"</f>
        <v>Exoc1</v>
      </c>
      <c r="B6205" t="s">
        <v>14</v>
      </c>
      <c r="C6205" t="s">
        <v>46</v>
      </c>
      <c r="D6205" t="s">
        <v>17</v>
      </c>
      <c r="E6205" t="s">
        <v>12</v>
      </c>
      <c r="F6205">
        <v>76529303</v>
      </c>
      <c r="G6205">
        <v>76529386</v>
      </c>
      <c r="H6205">
        <v>76529303</v>
      </c>
      <c r="I6205">
        <v>76529386</v>
      </c>
    </row>
    <row r="6206" spans="1:9" x14ac:dyDescent="0.2">
      <c r="A6206" t="str">
        <f>"Exoc2"</f>
        <v>Exoc2</v>
      </c>
      <c r="B6206" t="s">
        <v>14</v>
      </c>
      <c r="C6206" t="s">
        <v>39</v>
      </c>
      <c r="D6206" t="s">
        <v>11</v>
      </c>
      <c r="E6206" t="s">
        <v>12</v>
      </c>
      <c r="F6206">
        <v>30974048</v>
      </c>
      <c r="G6206">
        <v>30974098</v>
      </c>
      <c r="H6206">
        <v>30974023</v>
      </c>
      <c r="I6206">
        <v>30974047</v>
      </c>
    </row>
    <row r="6207" spans="1:9" x14ac:dyDescent="0.2">
      <c r="A6207" t="str">
        <f>"Exoc3"</f>
        <v>Exoc3</v>
      </c>
      <c r="B6207" t="s">
        <v>14</v>
      </c>
      <c r="C6207" t="s">
        <v>39</v>
      </c>
      <c r="D6207" t="s">
        <v>11</v>
      </c>
      <c r="E6207" t="s">
        <v>12</v>
      </c>
      <c r="F6207">
        <v>74208661</v>
      </c>
      <c r="G6207">
        <v>74208719</v>
      </c>
      <c r="H6207">
        <v>74208661</v>
      </c>
      <c r="I6207">
        <v>74208719</v>
      </c>
    </row>
    <row r="6208" spans="1:9" x14ac:dyDescent="0.2">
      <c r="A6208" t="str">
        <f>"Exoc3l"</f>
        <v>Exoc3l</v>
      </c>
      <c r="B6208" t="s">
        <v>14</v>
      </c>
      <c r="C6208" t="s">
        <v>30</v>
      </c>
      <c r="D6208" t="s">
        <v>11</v>
      </c>
      <c r="E6208" t="s">
        <v>12</v>
      </c>
      <c r="F6208">
        <v>105296068</v>
      </c>
      <c r="G6208">
        <v>105296109</v>
      </c>
      <c r="H6208">
        <v>105296044</v>
      </c>
      <c r="I6208">
        <v>105296060</v>
      </c>
    </row>
    <row r="6209" spans="1:9" x14ac:dyDescent="0.2">
      <c r="A6209" t="str">
        <f>"Exoc3l2"</f>
        <v>Exoc3l2</v>
      </c>
      <c r="B6209" t="s">
        <v>14</v>
      </c>
      <c r="C6209" t="s">
        <v>33</v>
      </c>
      <c r="D6209" t="s">
        <v>17</v>
      </c>
      <c r="E6209" t="s">
        <v>12</v>
      </c>
      <c r="F6209">
        <v>19489045</v>
      </c>
      <c r="G6209">
        <v>19489067</v>
      </c>
      <c r="H6209">
        <v>19489083</v>
      </c>
      <c r="I6209">
        <v>19489094</v>
      </c>
    </row>
    <row r="6210" spans="1:9" x14ac:dyDescent="0.2">
      <c r="A6210" t="str">
        <f>"Exoc3l4"</f>
        <v>Exoc3l4</v>
      </c>
      <c r="B6210" t="s">
        <v>14</v>
      </c>
      <c r="C6210" t="s">
        <v>16</v>
      </c>
      <c r="D6210" t="s">
        <v>17</v>
      </c>
      <c r="E6210" t="s">
        <v>67</v>
      </c>
      <c r="F6210">
        <v>111417601</v>
      </c>
      <c r="G6210">
        <v>111417679</v>
      </c>
      <c r="H6210">
        <v>111417451</v>
      </c>
      <c r="I6210">
        <v>111417467</v>
      </c>
    </row>
    <row r="6211" spans="1:9" x14ac:dyDescent="0.2">
      <c r="A6211" t="str">
        <f>"Exoc4"</f>
        <v>Exoc4</v>
      </c>
      <c r="B6211" t="s">
        <v>14</v>
      </c>
      <c r="C6211" t="s">
        <v>32</v>
      </c>
      <c r="D6211" t="s">
        <v>17</v>
      </c>
      <c r="E6211" t="s">
        <v>12</v>
      </c>
      <c r="F6211">
        <v>33249112</v>
      </c>
      <c r="G6211">
        <v>33249152</v>
      </c>
      <c r="H6211">
        <v>33249112</v>
      </c>
      <c r="I6211">
        <v>33249152</v>
      </c>
    </row>
    <row r="6212" spans="1:9" x14ac:dyDescent="0.2">
      <c r="A6212" t="str">
        <f>"Exoc5"</f>
        <v>Exoc5</v>
      </c>
      <c r="B6212" t="s">
        <v>14</v>
      </c>
      <c r="C6212" t="s">
        <v>41</v>
      </c>
      <c r="D6212" t="s">
        <v>11</v>
      </c>
      <c r="E6212" t="s">
        <v>12</v>
      </c>
      <c r="F6212">
        <v>49066325</v>
      </c>
      <c r="G6212">
        <v>49066367</v>
      </c>
      <c r="H6212">
        <v>49066368</v>
      </c>
      <c r="I6212">
        <v>49066420</v>
      </c>
    </row>
    <row r="6213" spans="1:9" x14ac:dyDescent="0.2">
      <c r="A6213" t="str">
        <f>"Exoc6"</f>
        <v>Exoc6</v>
      </c>
      <c r="B6213" t="s">
        <v>14</v>
      </c>
      <c r="C6213" t="s">
        <v>10</v>
      </c>
      <c r="D6213" t="s">
        <v>17</v>
      </c>
      <c r="E6213" t="s">
        <v>12</v>
      </c>
      <c r="F6213">
        <v>37550397</v>
      </c>
      <c r="G6213">
        <v>37550468</v>
      </c>
      <c r="H6213">
        <v>37550397</v>
      </c>
      <c r="I6213">
        <v>37550468</v>
      </c>
    </row>
    <row r="6214" spans="1:9" x14ac:dyDescent="0.2">
      <c r="A6214" t="str">
        <f>"Exoc6b"</f>
        <v>Exoc6b</v>
      </c>
      <c r="B6214" t="s">
        <v>14</v>
      </c>
      <c r="C6214" t="s">
        <v>32</v>
      </c>
      <c r="D6214" t="s">
        <v>11</v>
      </c>
      <c r="E6214" t="s">
        <v>12</v>
      </c>
      <c r="F6214">
        <v>85069449</v>
      </c>
      <c r="G6214">
        <v>85069523</v>
      </c>
      <c r="H6214">
        <v>85069436</v>
      </c>
      <c r="I6214">
        <v>85069445</v>
      </c>
    </row>
    <row r="6215" spans="1:9" x14ac:dyDescent="0.2">
      <c r="A6215" t="str">
        <f>"Exoc7"</f>
        <v>Exoc7</v>
      </c>
      <c r="B6215" t="s">
        <v>14</v>
      </c>
      <c r="C6215" t="s">
        <v>27</v>
      </c>
      <c r="D6215" t="s">
        <v>11</v>
      </c>
      <c r="E6215" t="s">
        <v>12</v>
      </c>
      <c r="F6215">
        <v>116306696</v>
      </c>
      <c r="G6215">
        <v>116306750</v>
      </c>
      <c r="H6215">
        <v>116306675</v>
      </c>
      <c r="I6215">
        <v>116306691</v>
      </c>
    </row>
    <row r="6216" spans="1:9" x14ac:dyDescent="0.2">
      <c r="A6216" t="str">
        <f>"Exoc8"</f>
        <v>Exoc8</v>
      </c>
      <c r="B6216" t="s">
        <v>14</v>
      </c>
      <c r="C6216" t="s">
        <v>30</v>
      </c>
      <c r="D6216" t="s">
        <v>11</v>
      </c>
      <c r="E6216" t="s">
        <v>12</v>
      </c>
      <c r="F6216">
        <v>124897685</v>
      </c>
      <c r="G6216">
        <v>124897757</v>
      </c>
      <c r="H6216">
        <v>124897760</v>
      </c>
      <c r="I6216">
        <v>124897782</v>
      </c>
    </row>
    <row r="6217" spans="1:9" x14ac:dyDescent="0.2">
      <c r="A6217" t="str">
        <f>"Exog"</f>
        <v>Exog</v>
      </c>
      <c r="B6217" t="s">
        <v>14</v>
      </c>
      <c r="C6217" t="s">
        <v>24</v>
      </c>
      <c r="D6217" t="s">
        <v>17</v>
      </c>
      <c r="E6217" t="s">
        <v>12</v>
      </c>
      <c r="F6217">
        <v>119444952</v>
      </c>
      <c r="G6217">
        <v>119444982</v>
      </c>
      <c r="H6217">
        <v>119444952</v>
      </c>
      <c r="I6217">
        <v>119444982</v>
      </c>
    </row>
    <row r="6218" spans="1:9" x14ac:dyDescent="0.2">
      <c r="A6218" t="str">
        <f>"Exosc1"</f>
        <v>Exosc1</v>
      </c>
      <c r="B6218" t="s">
        <v>14</v>
      </c>
      <c r="C6218" t="s">
        <v>10</v>
      </c>
      <c r="D6218" t="s">
        <v>11</v>
      </c>
      <c r="E6218" t="s">
        <v>12</v>
      </c>
      <c r="F6218">
        <v>41933276</v>
      </c>
      <c r="G6218">
        <v>41933319</v>
      </c>
      <c r="H6218">
        <v>41933408</v>
      </c>
      <c r="I6218">
        <v>41933438</v>
      </c>
    </row>
    <row r="6219" spans="1:9" x14ac:dyDescent="0.2">
      <c r="A6219" t="str">
        <f>"Exosc10"</f>
        <v>Exosc10</v>
      </c>
      <c r="B6219" t="s">
        <v>14</v>
      </c>
      <c r="C6219" t="s">
        <v>23</v>
      </c>
      <c r="D6219" t="s">
        <v>17</v>
      </c>
      <c r="E6219" t="s">
        <v>12</v>
      </c>
      <c r="F6219">
        <v>148558422</v>
      </c>
      <c r="G6219">
        <v>148558469</v>
      </c>
      <c r="H6219">
        <v>148558489</v>
      </c>
      <c r="I6219">
        <v>148558500</v>
      </c>
    </row>
    <row r="6220" spans="1:9" x14ac:dyDescent="0.2">
      <c r="A6220" t="str">
        <f>"Exosc2"</f>
        <v>Exosc2</v>
      </c>
      <c r="B6220" t="s">
        <v>14</v>
      </c>
      <c r="C6220" t="s">
        <v>26</v>
      </c>
      <c r="D6220" t="s">
        <v>17</v>
      </c>
      <c r="E6220" t="s">
        <v>12</v>
      </c>
      <c r="F6220">
        <v>31670714</v>
      </c>
      <c r="G6220">
        <v>31670741</v>
      </c>
      <c r="H6220">
        <v>31670714</v>
      </c>
      <c r="I6220">
        <v>31670741</v>
      </c>
    </row>
    <row r="6221" spans="1:9" x14ac:dyDescent="0.2">
      <c r="A6221" t="str">
        <f>"Exosc3"</f>
        <v>Exosc3</v>
      </c>
      <c r="B6221" t="s">
        <v>14</v>
      </c>
      <c r="C6221" t="s">
        <v>23</v>
      </c>
      <c r="D6221" t="s">
        <v>11</v>
      </c>
      <c r="E6221" t="s">
        <v>12</v>
      </c>
      <c r="F6221">
        <v>45320580</v>
      </c>
      <c r="G6221">
        <v>45320634</v>
      </c>
      <c r="H6221">
        <v>45320376</v>
      </c>
      <c r="I6221">
        <v>45320438</v>
      </c>
    </row>
    <row r="6222" spans="1:9" x14ac:dyDescent="0.2">
      <c r="A6222" t="str">
        <f>"Exosc4"</f>
        <v>Exosc4</v>
      </c>
      <c r="B6222" t="s">
        <v>14</v>
      </c>
      <c r="C6222" t="s">
        <v>25</v>
      </c>
      <c r="D6222" t="s">
        <v>17</v>
      </c>
      <c r="E6222" t="s">
        <v>12</v>
      </c>
      <c r="F6222">
        <v>76327429</v>
      </c>
      <c r="G6222">
        <v>76327491</v>
      </c>
      <c r="H6222">
        <v>76327587</v>
      </c>
      <c r="I6222">
        <v>76327598</v>
      </c>
    </row>
    <row r="6223" spans="1:9" x14ac:dyDescent="0.2">
      <c r="A6223" t="str">
        <f>"Exosc5"</f>
        <v>Exosc5</v>
      </c>
      <c r="B6223" t="s">
        <v>14</v>
      </c>
      <c r="C6223" t="s">
        <v>33</v>
      </c>
      <c r="D6223" t="s">
        <v>17</v>
      </c>
      <c r="E6223" t="s">
        <v>12</v>
      </c>
      <c r="F6223">
        <v>25659164</v>
      </c>
      <c r="G6223">
        <v>25659236</v>
      </c>
      <c r="H6223">
        <v>25659151</v>
      </c>
      <c r="I6223">
        <v>25659154</v>
      </c>
    </row>
    <row r="6224" spans="1:9" x14ac:dyDescent="0.2">
      <c r="A6224" t="str">
        <f>"Exosc7"</f>
        <v>Exosc7</v>
      </c>
      <c r="B6224" t="s">
        <v>14</v>
      </c>
      <c r="C6224" t="s">
        <v>24</v>
      </c>
      <c r="D6224" t="s">
        <v>17</v>
      </c>
      <c r="E6224" t="s">
        <v>12</v>
      </c>
      <c r="F6224">
        <v>123113227</v>
      </c>
      <c r="G6224">
        <v>123113264</v>
      </c>
      <c r="H6224">
        <v>123113227</v>
      </c>
      <c r="I6224">
        <v>123113264</v>
      </c>
    </row>
    <row r="6225" spans="1:9" x14ac:dyDescent="0.2">
      <c r="A6225" t="str">
        <f>"Exosc8"</f>
        <v>Exosc8</v>
      </c>
      <c r="B6225" t="s">
        <v>14</v>
      </c>
      <c r="C6225" t="s">
        <v>22</v>
      </c>
      <c r="D6225" t="s">
        <v>11</v>
      </c>
      <c r="E6225" t="s">
        <v>12</v>
      </c>
      <c r="F6225">
        <v>54735001</v>
      </c>
      <c r="G6225">
        <v>54735078</v>
      </c>
      <c r="H6225">
        <v>54735345</v>
      </c>
      <c r="I6225">
        <v>54735364</v>
      </c>
    </row>
    <row r="6226" spans="1:9" x14ac:dyDescent="0.2">
      <c r="A6226" t="str">
        <f>"Exosc9"</f>
        <v>Exosc9</v>
      </c>
      <c r="B6226" t="s">
        <v>14</v>
      </c>
      <c r="C6226" t="s">
        <v>22</v>
      </c>
      <c r="D6226" t="s">
        <v>17</v>
      </c>
      <c r="E6226" t="s">
        <v>12</v>
      </c>
      <c r="F6226">
        <v>36552600</v>
      </c>
      <c r="G6226">
        <v>36552677</v>
      </c>
      <c r="H6226">
        <v>36552600</v>
      </c>
      <c r="I6226">
        <v>36552677</v>
      </c>
    </row>
    <row r="6227" spans="1:9" x14ac:dyDescent="0.2">
      <c r="A6227" t="str">
        <f>"Exph5"</f>
        <v>Exph5</v>
      </c>
      <c r="B6227" t="s">
        <v>2427</v>
      </c>
      <c r="C6227" t="s">
        <v>24</v>
      </c>
      <c r="D6227" t="s">
        <v>17</v>
      </c>
      <c r="E6227" t="s">
        <v>35</v>
      </c>
      <c r="F6227">
        <v>53301557</v>
      </c>
      <c r="G6227">
        <v>53301567</v>
      </c>
      <c r="H6227">
        <v>53301557</v>
      </c>
      <c r="I6227">
        <v>53301567</v>
      </c>
    </row>
    <row r="6228" spans="1:9" x14ac:dyDescent="0.2">
      <c r="A6228" t="str">
        <f>"Ext1"</f>
        <v>Ext1</v>
      </c>
      <c r="B6228" t="s">
        <v>14</v>
      </c>
      <c r="C6228" t="s">
        <v>25</v>
      </c>
      <c r="D6228" t="s">
        <v>11</v>
      </c>
      <c r="E6228" t="s">
        <v>12</v>
      </c>
      <c r="F6228">
        <v>53346118</v>
      </c>
      <c r="G6228">
        <v>53346169</v>
      </c>
      <c r="H6228">
        <v>53346175</v>
      </c>
      <c r="I6228">
        <v>53346206</v>
      </c>
    </row>
    <row r="6229" spans="1:9" x14ac:dyDescent="0.2">
      <c r="A6229" t="str">
        <f>"Ext2"</f>
        <v>Ext2</v>
      </c>
      <c r="B6229" t="s">
        <v>14</v>
      </c>
      <c r="C6229" t="s">
        <v>26</v>
      </c>
      <c r="D6229" t="s">
        <v>11</v>
      </c>
      <c r="E6229" t="s">
        <v>12</v>
      </c>
      <c r="F6229">
        <v>93822537</v>
      </c>
      <c r="G6229">
        <v>93822581</v>
      </c>
      <c r="H6229">
        <v>93822523</v>
      </c>
      <c r="I6229">
        <v>93822534</v>
      </c>
    </row>
    <row r="6230" spans="1:9" x14ac:dyDescent="0.2">
      <c r="A6230" t="str">
        <f>"Extl1"</f>
        <v>Extl1</v>
      </c>
      <c r="B6230" t="s">
        <v>14</v>
      </c>
      <c r="C6230" t="s">
        <v>23</v>
      </c>
      <c r="D6230" t="s">
        <v>11</v>
      </c>
      <c r="E6230" t="s">
        <v>12</v>
      </c>
      <c r="F6230">
        <v>134372529</v>
      </c>
      <c r="G6230">
        <v>134372561</v>
      </c>
      <c r="H6230">
        <v>134372575</v>
      </c>
      <c r="I6230">
        <v>134372589</v>
      </c>
    </row>
    <row r="6231" spans="1:9" x14ac:dyDescent="0.2">
      <c r="A6231" t="str">
        <f>"Extl2"</f>
        <v>Extl2</v>
      </c>
      <c r="B6231" t="s">
        <v>14</v>
      </c>
      <c r="C6231" t="s">
        <v>22</v>
      </c>
      <c r="D6231" t="s">
        <v>17</v>
      </c>
      <c r="E6231" t="s">
        <v>12</v>
      </c>
      <c r="F6231">
        <v>116008325</v>
      </c>
      <c r="G6231">
        <v>116008372</v>
      </c>
      <c r="H6231">
        <v>116007457</v>
      </c>
      <c r="I6231">
        <v>116007540</v>
      </c>
    </row>
    <row r="6232" spans="1:9" x14ac:dyDescent="0.2">
      <c r="A6232" t="str">
        <f>"Extl3"</f>
        <v>Extl3</v>
      </c>
      <c r="B6232" t="s">
        <v>14</v>
      </c>
      <c r="C6232" t="s">
        <v>41</v>
      </c>
      <c r="D6232" t="s">
        <v>11</v>
      </c>
      <c r="E6232" t="s">
        <v>12</v>
      </c>
      <c r="F6232">
        <v>65098031</v>
      </c>
      <c r="G6232">
        <v>65098100</v>
      </c>
      <c r="H6232">
        <v>65098031</v>
      </c>
      <c r="I6232">
        <v>65098100</v>
      </c>
    </row>
    <row r="6233" spans="1:9" x14ac:dyDescent="0.2">
      <c r="A6233" t="str">
        <f>"Eya1"</f>
        <v>Eya1</v>
      </c>
      <c r="B6233" t="s">
        <v>14</v>
      </c>
      <c r="C6233" t="s">
        <v>19</v>
      </c>
      <c r="D6233" t="s">
        <v>11</v>
      </c>
      <c r="E6233" t="s">
        <v>12</v>
      </c>
      <c r="F6233">
        <v>14304616</v>
      </c>
      <c r="G6233">
        <v>14304683</v>
      </c>
      <c r="H6233">
        <v>14304616</v>
      </c>
      <c r="I6233">
        <v>14304683</v>
      </c>
    </row>
    <row r="6234" spans="1:9" x14ac:dyDescent="0.2">
      <c r="A6234" t="str">
        <f>"Eya2"</f>
        <v>Eya2</v>
      </c>
      <c r="B6234" t="s">
        <v>9</v>
      </c>
      <c r="C6234" t="s">
        <v>26</v>
      </c>
      <c r="D6234" t="s">
        <v>17</v>
      </c>
      <c r="E6234" t="s">
        <v>12</v>
      </c>
      <c r="F6234">
        <v>165595009</v>
      </c>
      <c r="G6234">
        <v>165595080</v>
      </c>
      <c r="H6234">
        <v>165595009</v>
      </c>
      <c r="I6234">
        <v>165595080</v>
      </c>
    </row>
    <row r="6235" spans="1:9" x14ac:dyDescent="0.2">
      <c r="A6235" t="str">
        <f>"Eya2"</f>
        <v>Eya2</v>
      </c>
      <c r="B6235" t="s">
        <v>13</v>
      </c>
      <c r="C6235" t="s">
        <v>26</v>
      </c>
      <c r="D6235" t="s">
        <v>17</v>
      </c>
      <c r="E6235" t="s">
        <v>12</v>
      </c>
      <c r="F6235">
        <v>165655237</v>
      </c>
      <c r="G6235">
        <v>165655317</v>
      </c>
      <c r="H6235">
        <v>165655237</v>
      </c>
      <c r="I6235">
        <v>165655317</v>
      </c>
    </row>
    <row r="6236" spans="1:9" x14ac:dyDescent="0.2">
      <c r="A6236" t="str">
        <f>"Eya3"</f>
        <v>Eya3</v>
      </c>
      <c r="B6236" t="s">
        <v>14</v>
      </c>
      <c r="C6236" t="s">
        <v>23</v>
      </c>
      <c r="D6236" t="s">
        <v>17</v>
      </c>
      <c r="E6236" t="s">
        <v>12</v>
      </c>
      <c r="F6236">
        <v>132639028</v>
      </c>
      <c r="G6236">
        <v>132639118</v>
      </c>
      <c r="H6236">
        <v>132639028</v>
      </c>
      <c r="I6236">
        <v>132639118</v>
      </c>
    </row>
    <row r="6237" spans="1:9" x14ac:dyDescent="0.2">
      <c r="A6237" t="str">
        <f>"Eya4"</f>
        <v>Eya4</v>
      </c>
      <c r="B6237" t="s">
        <v>14</v>
      </c>
      <c r="C6237" t="s">
        <v>15</v>
      </c>
      <c r="D6237" t="s">
        <v>11</v>
      </c>
      <c r="E6237" t="s">
        <v>12</v>
      </c>
      <c r="F6237">
        <v>23350191</v>
      </c>
      <c r="G6237">
        <v>23350251</v>
      </c>
      <c r="H6237">
        <v>23350808</v>
      </c>
      <c r="I6237">
        <v>23350832</v>
      </c>
    </row>
    <row r="6238" spans="1:9" x14ac:dyDescent="0.2">
      <c r="A6238" t="str">
        <f>"Ezh1"</f>
        <v>Ezh1</v>
      </c>
      <c r="B6238" t="s">
        <v>14</v>
      </c>
      <c r="C6238" t="s">
        <v>27</v>
      </c>
      <c r="D6238" t="s">
        <v>11</v>
      </c>
      <c r="E6238" t="s">
        <v>12</v>
      </c>
      <c r="F6238">
        <v>101226414</v>
      </c>
      <c r="G6238">
        <v>101226455</v>
      </c>
      <c r="H6238">
        <v>101226414</v>
      </c>
      <c r="I6238">
        <v>101226455</v>
      </c>
    </row>
    <row r="6239" spans="1:9" x14ac:dyDescent="0.2">
      <c r="A6239" t="str">
        <f>"Ezh2"</f>
        <v>Ezh2</v>
      </c>
      <c r="B6239" t="s">
        <v>14</v>
      </c>
      <c r="C6239" t="s">
        <v>32</v>
      </c>
      <c r="D6239" t="s">
        <v>11</v>
      </c>
      <c r="E6239" t="s">
        <v>12</v>
      </c>
      <c r="F6239">
        <v>47594967</v>
      </c>
      <c r="G6239">
        <v>47595047</v>
      </c>
      <c r="H6239">
        <v>47595053</v>
      </c>
      <c r="I6239">
        <v>47595065</v>
      </c>
    </row>
    <row r="6240" spans="1:9" x14ac:dyDescent="0.2">
      <c r="A6240" t="str">
        <f>"Ezr"</f>
        <v>Ezr</v>
      </c>
      <c r="B6240" t="s">
        <v>14</v>
      </c>
      <c r="C6240" t="s">
        <v>28</v>
      </c>
      <c r="D6240" t="s">
        <v>11</v>
      </c>
      <c r="E6240" t="s">
        <v>12</v>
      </c>
      <c r="F6240">
        <v>6782746</v>
      </c>
      <c r="G6240">
        <v>6782762</v>
      </c>
      <c r="H6240">
        <v>6782775</v>
      </c>
      <c r="I6240">
        <v>6782784</v>
      </c>
    </row>
    <row r="6241" spans="1:9" x14ac:dyDescent="0.2">
      <c r="A6241" t="str">
        <f>"F10"</f>
        <v>F10</v>
      </c>
      <c r="B6241" t="s">
        <v>14</v>
      </c>
      <c r="C6241" t="s">
        <v>30</v>
      </c>
      <c r="D6241" t="s">
        <v>17</v>
      </c>
      <c r="E6241" t="s">
        <v>12</v>
      </c>
      <c r="F6241">
        <v>13037802</v>
      </c>
      <c r="G6241">
        <v>13037838</v>
      </c>
      <c r="H6241">
        <v>13037372</v>
      </c>
      <c r="I6241">
        <v>13037390</v>
      </c>
    </row>
    <row r="6242" spans="1:9" x14ac:dyDescent="0.2">
      <c r="A6242" t="str">
        <f>"F11"</f>
        <v>F11</v>
      </c>
      <c r="B6242" t="s">
        <v>14</v>
      </c>
      <c r="C6242" t="s">
        <v>30</v>
      </c>
      <c r="D6242" t="s">
        <v>11</v>
      </c>
      <c r="E6242" t="s">
        <v>12</v>
      </c>
      <c r="F6242">
        <v>45261976</v>
      </c>
      <c r="G6242">
        <v>45261996</v>
      </c>
      <c r="H6242">
        <v>45262012</v>
      </c>
      <c r="I6242">
        <v>45262057</v>
      </c>
    </row>
    <row r="6243" spans="1:9" x14ac:dyDescent="0.2">
      <c r="A6243" t="str">
        <f>"F11r"</f>
        <v>F11r</v>
      </c>
      <c r="B6243" t="s">
        <v>14</v>
      </c>
      <c r="C6243" t="s">
        <v>19</v>
      </c>
      <c r="D6243" t="s">
        <v>17</v>
      </c>
      <c r="E6243" t="s">
        <v>12</v>
      </c>
      <c r="F6243">
        <v>171437568</v>
      </c>
      <c r="G6243">
        <v>171437584</v>
      </c>
      <c r="H6243">
        <v>171437552</v>
      </c>
      <c r="I6243">
        <v>171437566</v>
      </c>
    </row>
    <row r="6244" spans="1:9" x14ac:dyDescent="0.2">
      <c r="A6244" t="str">
        <f>"F12"</f>
        <v>F12</v>
      </c>
      <c r="B6244" t="s">
        <v>14</v>
      </c>
      <c r="C6244" t="s">
        <v>39</v>
      </c>
      <c r="D6244" t="s">
        <v>11</v>
      </c>
      <c r="E6244" t="s">
        <v>12</v>
      </c>
      <c r="F6244">
        <v>55426798</v>
      </c>
      <c r="G6244">
        <v>55426811</v>
      </c>
      <c r="H6244">
        <v>55426783</v>
      </c>
      <c r="I6244">
        <v>55426795</v>
      </c>
    </row>
    <row r="6245" spans="1:9" x14ac:dyDescent="0.2">
      <c r="A6245" t="str">
        <f>"F13a1"</f>
        <v>F13a1</v>
      </c>
      <c r="B6245" t="s">
        <v>9</v>
      </c>
      <c r="C6245" t="s">
        <v>39</v>
      </c>
      <c r="D6245" t="s">
        <v>11</v>
      </c>
      <c r="E6245" t="s">
        <v>12</v>
      </c>
      <c r="F6245">
        <v>37049203</v>
      </c>
      <c r="G6245">
        <v>37049220</v>
      </c>
      <c r="H6245">
        <v>37049203</v>
      </c>
      <c r="I6245">
        <v>37049220</v>
      </c>
    </row>
    <row r="6246" spans="1:9" x14ac:dyDescent="0.2">
      <c r="A6246" t="str">
        <f>"F13a1"</f>
        <v>F13a1</v>
      </c>
      <c r="B6246" t="s">
        <v>13</v>
      </c>
      <c r="C6246" t="s">
        <v>39</v>
      </c>
      <c r="D6246" t="s">
        <v>11</v>
      </c>
      <c r="E6246" t="s">
        <v>12</v>
      </c>
      <c r="F6246">
        <v>37050237</v>
      </c>
      <c r="G6246">
        <v>37050274</v>
      </c>
      <c r="H6246">
        <v>37050237</v>
      </c>
      <c r="I6246">
        <v>37050274</v>
      </c>
    </row>
    <row r="6247" spans="1:9" x14ac:dyDescent="0.2">
      <c r="A6247" t="str">
        <f>"F13b"</f>
        <v>F13b</v>
      </c>
      <c r="B6247" t="s">
        <v>14</v>
      </c>
      <c r="C6247" t="s">
        <v>19</v>
      </c>
      <c r="D6247" t="s">
        <v>17</v>
      </c>
      <c r="E6247" t="s">
        <v>12</v>
      </c>
      <c r="F6247">
        <v>139501692</v>
      </c>
      <c r="G6247">
        <v>139501726</v>
      </c>
      <c r="H6247">
        <v>139501734</v>
      </c>
      <c r="I6247">
        <v>139501746</v>
      </c>
    </row>
    <row r="6248" spans="1:9" x14ac:dyDescent="0.2">
      <c r="A6248" t="str">
        <f>"F2"</f>
        <v>F2</v>
      </c>
      <c r="B6248" t="s">
        <v>14</v>
      </c>
      <c r="C6248" t="s">
        <v>26</v>
      </c>
      <c r="D6248" t="s">
        <v>11</v>
      </c>
      <c r="E6248" t="s">
        <v>12</v>
      </c>
      <c r="F6248">
        <v>91636394</v>
      </c>
      <c r="G6248">
        <v>91636439</v>
      </c>
      <c r="H6248">
        <v>91636459</v>
      </c>
      <c r="I6248">
        <v>91636462</v>
      </c>
    </row>
    <row r="6249" spans="1:9" x14ac:dyDescent="0.2">
      <c r="A6249" t="str">
        <f>"F2r"</f>
        <v>F2r</v>
      </c>
      <c r="B6249" t="s">
        <v>14</v>
      </c>
      <c r="C6249" t="s">
        <v>39</v>
      </c>
      <c r="D6249" t="s">
        <v>11</v>
      </c>
      <c r="E6249" t="s">
        <v>12</v>
      </c>
      <c r="F6249">
        <v>95618442</v>
      </c>
      <c r="G6249">
        <v>95618475</v>
      </c>
      <c r="H6249">
        <v>95618419</v>
      </c>
      <c r="I6249">
        <v>95618435</v>
      </c>
    </row>
    <row r="6250" spans="1:9" x14ac:dyDescent="0.2">
      <c r="A6250" t="str">
        <f>"F2rl1"</f>
        <v>F2rl1</v>
      </c>
      <c r="B6250" t="s">
        <v>14</v>
      </c>
      <c r="C6250" t="s">
        <v>39</v>
      </c>
      <c r="D6250" t="s">
        <v>11</v>
      </c>
      <c r="E6250" t="s">
        <v>12</v>
      </c>
      <c r="F6250">
        <v>95525218</v>
      </c>
      <c r="G6250">
        <v>95525232</v>
      </c>
      <c r="H6250">
        <v>95525239</v>
      </c>
      <c r="I6250">
        <v>95525252</v>
      </c>
    </row>
    <row r="6251" spans="1:9" x14ac:dyDescent="0.2">
      <c r="A6251" t="str">
        <f>"F2rl2"</f>
        <v>F2rl2</v>
      </c>
      <c r="B6251" t="s">
        <v>14</v>
      </c>
      <c r="C6251" t="s">
        <v>39</v>
      </c>
      <c r="D6251" t="s">
        <v>17</v>
      </c>
      <c r="E6251" t="s">
        <v>12</v>
      </c>
      <c r="F6251">
        <v>95696932</v>
      </c>
      <c r="G6251">
        <v>95696979</v>
      </c>
      <c r="H6251">
        <v>95696895</v>
      </c>
      <c r="I6251">
        <v>95696921</v>
      </c>
    </row>
    <row r="6252" spans="1:9" x14ac:dyDescent="0.2">
      <c r="A6252" t="str">
        <f>"F2rl3"</f>
        <v>F2rl3</v>
      </c>
      <c r="B6252" t="s">
        <v>14</v>
      </c>
      <c r="C6252" t="s">
        <v>30</v>
      </c>
      <c r="D6252" t="s">
        <v>17</v>
      </c>
      <c r="E6252" t="s">
        <v>12</v>
      </c>
      <c r="F6252">
        <v>72761868</v>
      </c>
      <c r="G6252">
        <v>72761896</v>
      </c>
      <c r="H6252">
        <v>72761899</v>
      </c>
      <c r="I6252">
        <v>72761906</v>
      </c>
    </row>
    <row r="6253" spans="1:9" x14ac:dyDescent="0.2">
      <c r="A6253" t="str">
        <f>"F3"</f>
        <v>F3</v>
      </c>
      <c r="B6253" t="s">
        <v>14</v>
      </c>
      <c r="C6253" t="s">
        <v>22</v>
      </c>
      <c r="D6253" t="s">
        <v>17</v>
      </c>
      <c r="E6253" t="s">
        <v>12</v>
      </c>
      <c r="F6253">
        <v>121723601</v>
      </c>
      <c r="G6253">
        <v>121723618</v>
      </c>
      <c r="H6253">
        <v>121723515</v>
      </c>
      <c r="I6253">
        <v>121723534</v>
      </c>
    </row>
    <row r="6254" spans="1:9" x14ac:dyDescent="0.2">
      <c r="A6254" t="str">
        <f>"F5"</f>
        <v>F5</v>
      </c>
      <c r="B6254" t="s">
        <v>14</v>
      </c>
      <c r="C6254" t="s">
        <v>19</v>
      </c>
      <c r="D6254" t="s">
        <v>17</v>
      </c>
      <c r="E6254" t="s">
        <v>12</v>
      </c>
      <c r="F6254">
        <v>164151815</v>
      </c>
      <c r="G6254">
        <v>164151862</v>
      </c>
      <c r="H6254">
        <v>164151871</v>
      </c>
      <c r="I6254">
        <v>164151882</v>
      </c>
    </row>
    <row r="6255" spans="1:9" x14ac:dyDescent="0.2">
      <c r="A6255" t="str">
        <f>"F7"</f>
        <v>F7</v>
      </c>
      <c r="B6255" t="s">
        <v>14</v>
      </c>
      <c r="C6255" t="s">
        <v>30</v>
      </c>
      <c r="D6255" t="s">
        <v>17</v>
      </c>
      <c r="E6255" t="s">
        <v>12</v>
      </c>
      <c r="F6255">
        <v>13026024</v>
      </c>
      <c r="G6255">
        <v>13026056</v>
      </c>
      <c r="H6255">
        <v>13026024</v>
      </c>
      <c r="I6255">
        <v>13026056</v>
      </c>
    </row>
    <row r="6256" spans="1:9" x14ac:dyDescent="0.2">
      <c r="A6256" t="str">
        <f>"F730035P03Rik"</f>
        <v>F730035P03Rik</v>
      </c>
      <c r="B6256" t="s">
        <v>2428</v>
      </c>
      <c r="C6256" t="s">
        <v>33</v>
      </c>
      <c r="D6256" t="s">
        <v>11</v>
      </c>
      <c r="E6256" t="s">
        <v>20</v>
      </c>
      <c r="F6256">
        <v>99781487</v>
      </c>
      <c r="G6256">
        <v>99781487</v>
      </c>
      <c r="H6256">
        <v>99781487</v>
      </c>
      <c r="I6256">
        <v>99781487</v>
      </c>
    </row>
    <row r="6257" spans="1:9" x14ac:dyDescent="0.2">
      <c r="A6257" t="str">
        <f>"F8"</f>
        <v>F8</v>
      </c>
      <c r="B6257" t="s">
        <v>9</v>
      </c>
      <c r="C6257" t="s">
        <v>37</v>
      </c>
      <c r="D6257" t="s">
        <v>11</v>
      </c>
      <c r="E6257" t="s">
        <v>12</v>
      </c>
      <c r="F6257">
        <v>75379795</v>
      </c>
      <c r="G6257">
        <v>75379823</v>
      </c>
      <c r="H6257">
        <v>75379795</v>
      </c>
      <c r="I6257">
        <v>75379823</v>
      </c>
    </row>
    <row r="6258" spans="1:9" x14ac:dyDescent="0.2">
      <c r="A6258" t="str">
        <f>"F8"</f>
        <v>F8</v>
      </c>
      <c r="B6258" t="s">
        <v>13</v>
      </c>
      <c r="C6258" t="s">
        <v>37</v>
      </c>
      <c r="D6258" t="s">
        <v>11</v>
      </c>
      <c r="E6258" t="s">
        <v>12</v>
      </c>
      <c r="F6258">
        <v>75382289</v>
      </c>
      <c r="G6258">
        <v>75382320</v>
      </c>
      <c r="H6258">
        <v>75382289</v>
      </c>
      <c r="I6258">
        <v>75382320</v>
      </c>
    </row>
    <row r="6259" spans="1:9" x14ac:dyDescent="0.2">
      <c r="A6259" t="str">
        <f>"F830016B08Rik"</f>
        <v>F830016B08Rik</v>
      </c>
      <c r="B6259" t="s">
        <v>14</v>
      </c>
      <c r="C6259" t="s">
        <v>43</v>
      </c>
      <c r="D6259" t="s">
        <v>17</v>
      </c>
      <c r="E6259" t="s">
        <v>12</v>
      </c>
      <c r="F6259">
        <v>60293372</v>
      </c>
      <c r="G6259">
        <v>60293387</v>
      </c>
      <c r="H6259">
        <v>60293358</v>
      </c>
      <c r="I6259">
        <v>60293366</v>
      </c>
    </row>
    <row r="6260" spans="1:9" x14ac:dyDescent="0.2">
      <c r="A6260" t="str">
        <f>"F830045P16Rik"</f>
        <v>F830045P16Rik</v>
      </c>
      <c r="B6260" t="s">
        <v>2429</v>
      </c>
      <c r="C6260" t="s">
        <v>26</v>
      </c>
      <c r="D6260" t="s">
        <v>11</v>
      </c>
      <c r="E6260" t="s">
        <v>20</v>
      </c>
      <c r="F6260">
        <v>129536601</v>
      </c>
      <c r="G6260">
        <v>129536601</v>
      </c>
      <c r="H6260">
        <v>129536601</v>
      </c>
      <c r="I6260">
        <v>129536601</v>
      </c>
    </row>
    <row r="6261" spans="1:9" x14ac:dyDescent="0.2">
      <c r="A6261" t="str">
        <f>"F830104G03Rik"</f>
        <v>F830104G03Rik</v>
      </c>
      <c r="B6261" t="s">
        <v>2430</v>
      </c>
      <c r="C6261" t="s">
        <v>22</v>
      </c>
      <c r="D6261" t="s">
        <v>11</v>
      </c>
      <c r="E6261" t="s">
        <v>20</v>
      </c>
      <c r="F6261">
        <v>56890592</v>
      </c>
      <c r="G6261">
        <v>56890592</v>
      </c>
      <c r="H6261">
        <v>56890592</v>
      </c>
      <c r="I6261">
        <v>56890592</v>
      </c>
    </row>
    <row r="6262" spans="1:9" x14ac:dyDescent="0.2">
      <c r="A6262" t="str">
        <f>"F8a"</f>
        <v>F8a</v>
      </c>
      <c r="B6262" t="s">
        <v>14</v>
      </c>
      <c r="C6262" t="s">
        <v>37</v>
      </c>
      <c r="D6262" t="s">
        <v>17</v>
      </c>
      <c r="E6262" t="s">
        <v>12</v>
      </c>
      <c r="F6262">
        <v>73228272</v>
      </c>
      <c r="G6262">
        <v>73228314</v>
      </c>
      <c r="H6262">
        <v>73228272</v>
      </c>
      <c r="I6262">
        <v>73228314</v>
      </c>
    </row>
    <row r="6263" spans="1:9" x14ac:dyDescent="0.2">
      <c r="A6263" t="str">
        <f>"F9"</f>
        <v>F9</v>
      </c>
      <c r="B6263" t="s">
        <v>14</v>
      </c>
      <c r="C6263" t="s">
        <v>37</v>
      </c>
      <c r="D6263" t="s">
        <v>17</v>
      </c>
      <c r="E6263" t="s">
        <v>12</v>
      </c>
      <c r="F6263">
        <v>59999436</v>
      </c>
      <c r="G6263">
        <v>59999495</v>
      </c>
      <c r="H6263">
        <v>59999436</v>
      </c>
      <c r="I6263">
        <v>59999495</v>
      </c>
    </row>
    <row r="6264" spans="1:9" x14ac:dyDescent="0.2">
      <c r="A6264" t="str">
        <f>"F930015N05Rik"</f>
        <v>F930015N05Rik</v>
      </c>
      <c r="B6264" t="s">
        <v>14</v>
      </c>
      <c r="C6264" t="s">
        <v>27</v>
      </c>
      <c r="D6264" t="s">
        <v>11</v>
      </c>
      <c r="E6264" t="s">
        <v>12</v>
      </c>
      <c r="F6264">
        <v>64436682</v>
      </c>
      <c r="G6264">
        <v>64436694</v>
      </c>
      <c r="H6264">
        <v>64436505</v>
      </c>
      <c r="I6264">
        <v>64436513</v>
      </c>
    </row>
    <row r="6265" spans="1:9" x14ac:dyDescent="0.2">
      <c r="A6265" t="str">
        <f>"F930017D23Rik"</f>
        <v>F930017D23Rik</v>
      </c>
      <c r="B6265" t="s">
        <v>14</v>
      </c>
      <c r="C6265" t="s">
        <v>15</v>
      </c>
      <c r="D6265" t="s">
        <v>17</v>
      </c>
      <c r="E6265" t="s">
        <v>67</v>
      </c>
      <c r="F6265">
        <v>43593417</v>
      </c>
      <c r="G6265">
        <v>43593446</v>
      </c>
      <c r="H6265">
        <v>43593417</v>
      </c>
      <c r="I6265">
        <v>43593446</v>
      </c>
    </row>
    <row r="6266" spans="1:9" x14ac:dyDescent="0.2">
      <c r="A6266" t="str">
        <f>"Fa2h"</f>
        <v>Fa2h</v>
      </c>
      <c r="B6266" t="s">
        <v>14</v>
      </c>
      <c r="C6266" t="s">
        <v>30</v>
      </c>
      <c r="D6266" t="s">
        <v>11</v>
      </c>
      <c r="E6266" t="s">
        <v>12</v>
      </c>
      <c r="F6266">
        <v>111393810</v>
      </c>
      <c r="G6266">
        <v>111393834</v>
      </c>
      <c r="H6266">
        <v>111393786</v>
      </c>
      <c r="I6266">
        <v>111393799</v>
      </c>
    </row>
    <row r="6267" spans="1:9" x14ac:dyDescent="0.2">
      <c r="A6267" t="str">
        <f>"Faah"</f>
        <v>Faah</v>
      </c>
      <c r="B6267" t="s">
        <v>14</v>
      </c>
      <c r="C6267" t="s">
        <v>23</v>
      </c>
      <c r="D6267" t="s">
        <v>11</v>
      </c>
      <c r="E6267" t="s">
        <v>12</v>
      </c>
      <c r="F6267">
        <v>116017656</v>
      </c>
      <c r="G6267">
        <v>116017764</v>
      </c>
      <c r="H6267">
        <v>116018042</v>
      </c>
      <c r="I6267">
        <v>116018063</v>
      </c>
    </row>
    <row r="6268" spans="1:9" x14ac:dyDescent="0.2">
      <c r="A6268" t="str">
        <f>"Fabp1"</f>
        <v>Fabp1</v>
      </c>
      <c r="B6268" t="s">
        <v>14</v>
      </c>
      <c r="C6268" t="s">
        <v>32</v>
      </c>
      <c r="D6268" t="s">
        <v>17</v>
      </c>
      <c r="E6268" t="s">
        <v>12</v>
      </c>
      <c r="F6268">
        <v>71199871</v>
      </c>
      <c r="G6268">
        <v>71199888</v>
      </c>
      <c r="H6268">
        <v>71199871</v>
      </c>
      <c r="I6268">
        <v>71199888</v>
      </c>
    </row>
    <row r="6269" spans="1:9" x14ac:dyDescent="0.2">
      <c r="A6269" t="str">
        <f>"Fabp12"</f>
        <v>Fabp12</v>
      </c>
      <c r="B6269" t="s">
        <v>9</v>
      </c>
      <c r="C6269" t="s">
        <v>22</v>
      </c>
      <c r="D6269" t="s">
        <v>11</v>
      </c>
      <c r="E6269" t="s">
        <v>12</v>
      </c>
      <c r="F6269">
        <v>10254213</v>
      </c>
      <c r="G6269">
        <v>10254262</v>
      </c>
      <c r="H6269">
        <v>10254213</v>
      </c>
      <c r="I6269">
        <v>10254262</v>
      </c>
    </row>
    <row r="6270" spans="1:9" x14ac:dyDescent="0.2">
      <c r="A6270" t="str">
        <f>"Fabp12"</f>
        <v>Fabp12</v>
      </c>
      <c r="B6270" t="s">
        <v>13</v>
      </c>
      <c r="C6270" t="s">
        <v>22</v>
      </c>
      <c r="D6270" t="s">
        <v>11</v>
      </c>
      <c r="E6270" t="s">
        <v>12</v>
      </c>
      <c r="F6270">
        <v>10301169</v>
      </c>
      <c r="G6270">
        <v>10301202</v>
      </c>
      <c r="H6270">
        <v>10301169</v>
      </c>
      <c r="I6270">
        <v>10301202</v>
      </c>
    </row>
    <row r="6271" spans="1:9" x14ac:dyDescent="0.2">
      <c r="A6271" t="str">
        <f>"Fabp2"</f>
        <v>Fabp2</v>
      </c>
      <c r="B6271" t="s">
        <v>14</v>
      </c>
      <c r="C6271" t="s">
        <v>22</v>
      </c>
      <c r="D6271" t="s">
        <v>17</v>
      </c>
      <c r="E6271" t="s">
        <v>12</v>
      </c>
      <c r="F6271">
        <v>122895369</v>
      </c>
      <c r="G6271">
        <v>122895384</v>
      </c>
      <c r="H6271">
        <v>122895369</v>
      </c>
      <c r="I6271">
        <v>122895384</v>
      </c>
    </row>
    <row r="6272" spans="1:9" x14ac:dyDescent="0.2">
      <c r="A6272" t="str">
        <f>"Fabp3"</f>
        <v>Fabp3</v>
      </c>
      <c r="B6272" t="s">
        <v>14</v>
      </c>
      <c r="C6272" t="s">
        <v>23</v>
      </c>
      <c r="D6272" t="s">
        <v>17</v>
      </c>
      <c r="E6272" t="s">
        <v>12</v>
      </c>
      <c r="F6272">
        <v>130308731</v>
      </c>
      <c r="G6272">
        <v>130308752</v>
      </c>
      <c r="H6272">
        <v>130308604</v>
      </c>
      <c r="I6272">
        <v>130308653</v>
      </c>
    </row>
    <row r="6273" spans="1:9" x14ac:dyDescent="0.2">
      <c r="A6273" t="str">
        <f>"Fabp3-ps1"</f>
        <v>Fabp3-ps1</v>
      </c>
      <c r="B6273" t="s">
        <v>14</v>
      </c>
      <c r="C6273" t="s">
        <v>15</v>
      </c>
      <c r="D6273" t="s">
        <v>11</v>
      </c>
      <c r="E6273" t="s">
        <v>67</v>
      </c>
      <c r="F6273">
        <v>86732418</v>
      </c>
      <c r="G6273">
        <v>86732429</v>
      </c>
      <c r="H6273">
        <v>86732418</v>
      </c>
      <c r="I6273">
        <v>86732429</v>
      </c>
    </row>
    <row r="6274" spans="1:9" x14ac:dyDescent="0.2">
      <c r="A6274" t="str">
        <f>"Fabp4"</f>
        <v>Fabp4</v>
      </c>
      <c r="B6274" t="s">
        <v>14</v>
      </c>
      <c r="C6274" t="s">
        <v>22</v>
      </c>
      <c r="D6274" t="s">
        <v>11</v>
      </c>
      <c r="E6274" t="s">
        <v>12</v>
      </c>
      <c r="F6274">
        <v>10208569</v>
      </c>
      <c r="G6274">
        <v>10208586</v>
      </c>
      <c r="H6274">
        <v>10208569</v>
      </c>
      <c r="I6274">
        <v>10208586</v>
      </c>
    </row>
    <row r="6275" spans="1:9" x14ac:dyDescent="0.2">
      <c r="A6275" t="str">
        <f>"Fabp5"</f>
        <v>Fabp5</v>
      </c>
      <c r="B6275" t="s">
        <v>14</v>
      </c>
      <c r="C6275" t="s">
        <v>22</v>
      </c>
      <c r="D6275" t="s">
        <v>17</v>
      </c>
      <c r="E6275" t="s">
        <v>12</v>
      </c>
      <c r="F6275">
        <v>10012564</v>
      </c>
      <c r="G6275">
        <v>10012598</v>
      </c>
      <c r="H6275">
        <v>10012611</v>
      </c>
      <c r="I6275">
        <v>10012622</v>
      </c>
    </row>
    <row r="6276" spans="1:9" x14ac:dyDescent="0.2">
      <c r="A6276" t="str">
        <f>"Fabp6"</f>
        <v>Fabp6</v>
      </c>
      <c r="B6276" t="s">
        <v>14</v>
      </c>
      <c r="C6276" t="s">
        <v>27</v>
      </c>
      <c r="D6276" t="s">
        <v>11</v>
      </c>
      <c r="E6276" t="s">
        <v>12</v>
      </c>
      <c r="F6276">
        <v>43601551</v>
      </c>
      <c r="G6276">
        <v>43601567</v>
      </c>
      <c r="H6276">
        <v>43601551</v>
      </c>
      <c r="I6276">
        <v>43601567</v>
      </c>
    </row>
    <row r="6277" spans="1:9" x14ac:dyDescent="0.2">
      <c r="A6277" t="str">
        <f>"Fabp7"</f>
        <v>Fabp7</v>
      </c>
      <c r="B6277" t="s">
        <v>14</v>
      </c>
      <c r="C6277" t="s">
        <v>15</v>
      </c>
      <c r="D6277" t="s">
        <v>17</v>
      </c>
      <c r="E6277" t="s">
        <v>12</v>
      </c>
      <c r="F6277">
        <v>57784914</v>
      </c>
      <c r="G6277">
        <v>57784939</v>
      </c>
      <c r="H6277">
        <v>57784859</v>
      </c>
      <c r="I6277">
        <v>57784903</v>
      </c>
    </row>
    <row r="6278" spans="1:9" x14ac:dyDescent="0.2">
      <c r="A6278" t="str">
        <f>"Fabp9"</f>
        <v>Fabp9</v>
      </c>
      <c r="B6278" t="s">
        <v>14</v>
      </c>
      <c r="C6278" t="s">
        <v>22</v>
      </c>
      <c r="D6278" t="s">
        <v>11</v>
      </c>
      <c r="E6278" t="s">
        <v>12</v>
      </c>
      <c r="F6278">
        <v>10197216</v>
      </c>
      <c r="G6278">
        <v>10197228</v>
      </c>
      <c r="H6278">
        <v>10197241</v>
      </c>
      <c r="I6278">
        <v>10197266</v>
      </c>
    </row>
    <row r="6279" spans="1:9" x14ac:dyDescent="0.2">
      <c r="A6279" t="str">
        <f>"Fadd"</f>
        <v>Fadd</v>
      </c>
      <c r="B6279" t="s">
        <v>14</v>
      </c>
      <c r="C6279" t="s">
        <v>33</v>
      </c>
      <c r="D6279" t="s">
        <v>11</v>
      </c>
      <c r="E6279" t="s">
        <v>12</v>
      </c>
      <c r="F6279">
        <v>144582392</v>
      </c>
      <c r="G6279">
        <v>144582454</v>
      </c>
      <c r="H6279">
        <v>144582458</v>
      </c>
      <c r="I6279">
        <v>144582467</v>
      </c>
    </row>
    <row r="6280" spans="1:9" x14ac:dyDescent="0.2">
      <c r="A6280" t="str">
        <f>"Fads1"</f>
        <v>Fads1</v>
      </c>
      <c r="B6280" t="s">
        <v>14</v>
      </c>
      <c r="C6280" t="s">
        <v>10</v>
      </c>
      <c r="D6280" t="s">
        <v>17</v>
      </c>
      <c r="E6280" t="s">
        <v>12</v>
      </c>
      <c r="F6280">
        <v>10182921</v>
      </c>
      <c r="G6280">
        <v>10182969</v>
      </c>
      <c r="H6280">
        <v>10183007</v>
      </c>
      <c r="I6280">
        <v>10183036</v>
      </c>
    </row>
    <row r="6281" spans="1:9" x14ac:dyDescent="0.2">
      <c r="A6281" t="str">
        <f>"Fads2"</f>
        <v>Fads2</v>
      </c>
      <c r="B6281" t="s">
        <v>14</v>
      </c>
      <c r="C6281" t="s">
        <v>10</v>
      </c>
      <c r="D6281" t="s">
        <v>11</v>
      </c>
      <c r="E6281" t="s">
        <v>12</v>
      </c>
      <c r="F6281">
        <v>10101501</v>
      </c>
      <c r="G6281">
        <v>10101532</v>
      </c>
      <c r="H6281">
        <v>10101727</v>
      </c>
      <c r="I6281">
        <v>10101750</v>
      </c>
    </row>
    <row r="6282" spans="1:9" x14ac:dyDescent="0.2">
      <c r="A6282" t="str">
        <f>"Fads3"</f>
        <v>Fads3</v>
      </c>
      <c r="B6282" t="s">
        <v>14</v>
      </c>
      <c r="C6282" t="s">
        <v>10</v>
      </c>
      <c r="D6282" t="s">
        <v>17</v>
      </c>
      <c r="E6282" t="s">
        <v>12</v>
      </c>
      <c r="F6282">
        <v>10041551</v>
      </c>
      <c r="G6282">
        <v>10041581</v>
      </c>
      <c r="H6282">
        <v>10041660</v>
      </c>
      <c r="I6282">
        <v>10041680</v>
      </c>
    </row>
    <row r="6283" spans="1:9" x14ac:dyDescent="0.2">
      <c r="A6283" t="str">
        <f>"Fads6"</f>
        <v>Fads6</v>
      </c>
      <c r="B6283" t="s">
        <v>14</v>
      </c>
      <c r="C6283" t="s">
        <v>27</v>
      </c>
      <c r="D6283" t="s">
        <v>11</v>
      </c>
      <c r="E6283" t="s">
        <v>12</v>
      </c>
      <c r="F6283">
        <v>115297521</v>
      </c>
      <c r="G6283">
        <v>115297580</v>
      </c>
      <c r="H6283">
        <v>115297510</v>
      </c>
      <c r="I6283">
        <v>115297519</v>
      </c>
    </row>
    <row r="6284" spans="1:9" x14ac:dyDescent="0.2">
      <c r="A6284" t="str">
        <f>"Faf1"</f>
        <v>Faf1</v>
      </c>
      <c r="B6284" t="s">
        <v>14</v>
      </c>
      <c r="C6284" t="s">
        <v>23</v>
      </c>
      <c r="D6284" t="s">
        <v>17</v>
      </c>
      <c r="E6284" t="s">
        <v>12</v>
      </c>
      <c r="F6284">
        <v>109676652</v>
      </c>
      <c r="G6284">
        <v>109676702</v>
      </c>
      <c r="H6284">
        <v>109676710</v>
      </c>
      <c r="I6284">
        <v>109676740</v>
      </c>
    </row>
    <row r="6285" spans="1:9" x14ac:dyDescent="0.2">
      <c r="A6285" t="str">
        <f>"Faf2"</f>
        <v>Faf2</v>
      </c>
      <c r="B6285" t="s">
        <v>14</v>
      </c>
      <c r="C6285" t="s">
        <v>39</v>
      </c>
      <c r="D6285" t="s">
        <v>17</v>
      </c>
      <c r="E6285" t="s">
        <v>12</v>
      </c>
      <c r="F6285">
        <v>54621801</v>
      </c>
      <c r="G6285">
        <v>54621841</v>
      </c>
      <c r="H6285">
        <v>54621780</v>
      </c>
      <c r="I6285">
        <v>54621793</v>
      </c>
    </row>
    <row r="6286" spans="1:9" x14ac:dyDescent="0.2">
      <c r="A6286" t="str">
        <f>"Fah"</f>
        <v>Fah</v>
      </c>
      <c r="B6286" t="s">
        <v>14</v>
      </c>
      <c r="C6286" t="s">
        <v>33</v>
      </c>
      <c r="D6286" t="s">
        <v>11</v>
      </c>
      <c r="E6286" t="s">
        <v>12</v>
      </c>
      <c r="F6286">
        <v>84605765</v>
      </c>
      <c r="G6286">
        <v>84605815</v>
      </c>
      <c r="H6286">
        <v>84605746</v>
      </c>
      <c r="I6286">
        <v>84605760</v>
      </c>
    </row>
    <row r="6287" spans="1:9" x14ac:dyDescent="0.2">
      <c r="A6287" t="str">
        <f>"Fahd1"</f>
        <v>Fahd1</v>
      </c>
      <c r="B6287" t="s">
        <v>14</v>
      </c>
      <c r="C6287" t="s">
        <v>28</v>
      </c>
      <c r="D6287" t="s">
        <v>11</v>
      </c>
      <c r="E6287" t="s">
        <v>12</v>
      </c>
      <c r="F6287">
        <v>24850290</v>
      </c>
      <c r="G6287">
        <v>24850319</v>
      </c>
      <c r="H6287">
        <v>24850082</v>
      </c>
      <c r="I6287">
        <v>24850118</v>
      </c>
    </row>
    <row r="6288" spans="1:9" x14ac:dyDescent="0.2">
      <c r="A6288" t="str">
        <f>"Fahd2a"</f>
        <v>Fahd2a</v>
      </c>
      <c r="B6288" t="s">
        <v>14</v>
      </c>
      <c r="C6288" t="s">
        <v>26</v>
      </c>
      <c r="D6288" t="s">
        <v>11</v>
      </c>
      <c r="E6288" t="s">
        <v>12</v>
      </c>
      <c r="F6288">
        <v>127444524</v>
      </c>
      <c r="G6288">
        <v>127444572</v>
      </c>
      <c r="H6288">
        <v>127444573</v>
      </c>
      <c r="I6288">
        <v>127444586</v>
      </c>
    </row>
    <row r="6289" spans="1:9" x14ac:dyDescent="0.2">
      <c r="A6289" t="str">
        <f>"Faim"</f>
        <v>Faim</v>
      </c>
      <c r="B6289" t="s">
        <v>14</v>
      </c>
      <c r="C6289" t="s">
        <v>24</v>
      </c>
      <c r="D6289" t="s">
        <v>17</v>
      </c>
      <c r="E6289" t="s">
        <v>12</v>
      </c>
      <c r="F6289">
        <v>98986365</v>
      </c>
      <c r="G6289">
        <v>98986412</v>
      </c>
      <c r="H6289">
        <v>98986420</v>
      </c>
      <c r="I6289">
        <v>98986431</v>
      </c>
    </row>
    <row r="6290" spans="1:9" x14ac:dyDescent="0.2">
      <c r="A6290" t="str">
        <f>"Faim2"</f>
        <v>Faim2</v>
      </c>
      <c r="B6290" t="s">
        <v>14</v>
      </c>
      <c r="C6290" t="s">
        <v>25</v>
      </c>
      <c r="D6290" t="s">
        <v>11</v>
      </c>
      <c r="E6290" t="s">
        <v>12</v>
      </c>
      <c r="F6290">
        <v>99527674</v>
      </c>
      <c r="G6290">
        <v>99527745</v>
      </c>
      <c r="H6290">
        <v>99527674</v>
      </c>
      <c r="I6290">
        <v>99527745</v>
      </c>
    </row>
    <row r="6291" spans="1:9" x14ac:dyDescent="0.2">
      <c r="A6291" t="str">
        <f>"Faim3"</f>
        <v>Faim3</v>
      </c>
      <c r="B6291" t="s">
        <v>14</v>
      </c>
      <c r="C6291" t="s">
        <v>19</v>
      </c>
      <c r="D6291" t="s">
        <v>17</v>
      </c>
      <c r="E6291" t="s">
        <v>12</v>
      </c>
      <c r="F6291">
        <v>130865787</v>
      </c>
      <c r="G6291">
        <v>130865804</v>
      </c>
      <c r="H6291">
        <v>130865770</v>
      </c>
      <c r="I6291">
        <v>130865785</v>
      </c>
    </row>
    <row r="6292" spans="1:9" x14ac:dyDescent="0.2">
      <c r="A6292" t="str">
        <f>"Fam101a"</f>
        <v>Fam101a</v>
      </c>
      <c r="B6292" t="s">
        <v>14</v>
      </c>
      <c r="C6292" t="s">
        <v>46</v>
      </c>
      <c r="D6292" t="s">
        <v>17</v>
      </c>
      <c r="E6292" t="s">
        <v>12</v>
      </c>
      <c r="F6292">
        <v>125003440</v>
      </c>
      <c r="G6292">
        <v>125003466</v>
      </c>
      <c r="H6292">
        <v>125003427</v>
      </c>
      <c r="I6292">
        <v>125003438</v>
      </c>
    </row>
    <row r="6293" spans="1:9" x14ac:dyDescent="0.2">
      <c r="A6293" t="str">
        <f>"Fam101b"</f>
        <v>Fam101b</v>
      </c>
      <c r="B6293" t="s">
        <v>14</v>
      </c>
      <c r="C6293" t="s">
        <v>27</v>
      </c>
      <c r="D6293" t="s">
        <v>11</v>
      </c>
      <c r="E6293" t="s">
        <v>12</v>
      </c>
      <c r="F6293">
        <v>76027726</v>
      </c>
      <c r="G6293">
        <v>76027802</v>
      </c>
      <c r="H6293">
        <v>76027909</v>
      </c>
      <c r="I6293">
        <v>76027920</v>
      </c>
    </row>
    <row r="6294" spans="1:9" x14ac:dyDescent="0.2">
      <c r="A6294" t="str">
        <f>"Fam102a"</f>
        <v>Fam102a</v>
      </c>
      <c r="B6294" t="s">
        <v>14</v>
      </c>
      <c r="C6294" t="s">
        <v>26</v>
      </c>
      <c r="D6294" t="s">
        <v>17</v>
      </c>
      <c r="E6294" t="s">
        <v>12</v>
      </c>
      <c r="F6294">
        <v>32535315</v>
      </c>
      <c r="G6294">
        <v>32535347</v>
      </c>
      <c r="H6294">
        <v>32535724</v>
      </c>
      <c r="I6294">
        <v>32535739</v>
      </c>
    </row>
    <row r="6295" spans="1:9" x14ac:dyDescent="0.2">
      <c r="A6295" t="str">
        <f>"Fam102b"</f>
        <v>Fam102b</v>
      </c>
      <c r="B6295" t="s">
        <v>14</v>
      </c>
      <c r="C6295" t="s">
        <v>22</v>
      </c>
      <c r="D6295" t="s">
        <v>11</v>
      </c>
      <c r="E6295" t="s">
        <v>12</v>
      </c>
      <c r="F6295">
        <v>109027600</v>
      </c>
      <c r="G6295">
        <v>109027646</v>
      </c>
      <c r="H6295">
        <v>109027656</v>
      </c>
      <c r="I6295">
        <v>109027665</v>
      </c>
    </row>
    <row r="6296" spans="1:9" x14ac:dyDescent="0.2">
      <c r="A6296" t="str">
        <f>"Fam103a1"</f>
        <v>Fam103a1</v>
      </c>
      <c r="B6296" t="s">
        <v>14</v>
      </c>
      <c r="C6296" t="s">
        <v>33</v>
      </c>
      <c r="D6296" t="s">
        <v>17</v>
      </c>
      <c r="E6296" t="s">
        <v>12</v>
      </c>
      <c r="F6296">
        <v>81762947</v>
      </c>
      <c r="G6296">
        <v>81762997</v>
      </c>
      <c r="H6296">
        <v>81762927</v>
      </c>
      <c r="I6296">
        <v>81762943</v>
      </c>
    </row>
    <row r="6297" spans="1:9" x14ac:dyDescent="0.2">
      <c r="A6297" t="str">
        <f>"Fam104a"</f>
        <v>Fam104a</v>
      </c>
      <c r="B6297" t="s">
        <v>14</v>
      </c>
      <c r="C6297" t="s">
        <v>27</v>
      </c>
      <c r="D6297" t="s">
        <v>11</v>
      </c>
      <c r="E6297" t="s">
        <v>67</v>
      </c>
      <c r="F6297">
        <v>113683976</v>
      </c>
      <c r="G6297">
        <v>113684132</v>
      </c>
      <c r="H6297">
        <v>113684160</v>
      </c>
      <c r="I6297">
        <v>113684186</v>
      </c>
    </row>
    <row r="6298" spans="1:9" x14ac:dyDescent="0.2">
      <c r="A6298" t="str">
        <f>"Fam105a"</f>
        <v>Fam105a</v>
      </c>
      <c r="B6298" t="s">
        <v>14</v>
      </c>
      <c r="C6298" t="s">
        <v>25</v>
      </c>
      <c r="D6298" t="s">
        <v>11</v>
      </c>
      <c r="E6298" t="s">
        <v>12</v>
      </c>
      <c r="F6298">
        <v>27681498</v>
      </c>
      <c r="G6298">
        <v>27681554</v>
      </c>
      <c r="H6298">
        <v>27681556</v>
      </c>
      <c r="I6298">
        <v>27681572</v>
      </c>
    </row>
    <row r="6299" spans="1:9" x14ac:dyDescent="0.2">
      <c r="A6299" t="str">
        <f>"Fam105b"</f>
        <v>Fam105b</v>
      </c>
      <c r="B6299" t="s">
        <v>14</v>
      </c>
      <c r="C6299" t="s">
        <v>25</v>
      </c>
      <c r="D6299" t="s">
        <v>11</v>
      </c>
      <c r="E6299" t="s">
        <v>12</v>
      </c>
      <c r="F6299">
        <v>27630644</v>
      </c>
      <c r="G6299">
        <v>27630714</v>
      </c>
      <c r="H6299">
        <v>27630644</v>
      </c>
      <c r="I6299">
        <v>27630714</v>
      </c>
    </row>
    <row r="6300" spans="1:9" x14ac:dyDescent="0.2">
      <c r="A6300" t="str">
        <f>"Fam107a"</f>
        <v>Fam107a</v>
      </c>
      <c r="B6300" t="s">
        <v>14</v>
      </c>
      <c r="C6300" t="s">
        <v>41</v>
      </c>
      <c r="D6300" t="s">
        <v>11</v>
      </c>
      <c r="E6300" t="s">
        <v>12</v>
      </c>
      <c r="F6300">
        <v>8309678</v>
      </c>
      <c r="G6300">
        <v>8309725</v>
      </c>
      <c r="H6300">
        <v>8309770</v>
      </c>
      <c r="I6300">
        <v>8309784</v>
      </c>
    </row>
    <row r="6301" spans="1:9" x14ac:dyDescent="0.2">
      <c r="A6301" t="str">
        <f>"Fam107b"</f>
        <v>Fam107b</v>
      </c>
      <c r="B6301" t="s">
        <v>14</v>
      </c>
      <c r="C6301" t="s">
        <v>26</v>
      </c>
      <c r="D6301" t="s">
        <v>17</v>
      </c>
      <c r="E6301" t="s">
        <v>12</v>
      </c>
      <c r="F6301">
        <v>3713479</v>
      </c>
      <c r="G6301">
        <v>3713500</v>
      </c>
      <c r="H6301">
        <v>3713449</v>
      </c>
      <c r="I6301">
        <v>3713474</v>
      </c>
    </row>
    <row r="6302" spans="1:9" x14ac:dyDescent="0.2">
      <c r="A6302" t="str">
        <f>"Fam109a"</f>
        <v>Fam109a</v>
      </c>
      <c r="B6302" t="s">
        <v>14</v>
      </c>
      <c r="C6302" t="s">
        <v>46</v>
      </c>
      <c r="D6302" t="s">
        <v>17</v>
      </c>
      <c r="E6302" t="s">
        <v>12</v>
      </c>
      <c r="F6302">
        <v>121849021</v>
      </c>
      <c r="G6302">
        <v>121849037</v>
      </c>
      <c r="H6302">
        <v>121848987</v>
      </c>
      <c r="I6302">
        <v>121849002</v>
      </c>
    </row>
    <row r="6303" spans="1:9" x14ac:dyDescent="0.2">
      <c r="A6303" t="str">
        <f>"Fam109b"</f>
        <v>Fam109b</v>
      </c>
      <c r="B6303" t="s">
        <v>14</v>
      </c>
      <c r="C6303" t="s">
        <v>25</v>
      </c>
      <c r="D6303" t="s">
        <v>17</v>
      </c>
      <c r="E6303" t="s">
        <v>12</v>
      </c>
      <c r="F6303">
        <v>82341199</v>
      </c>
      <c r="G6303">
        <v>82341213</v>
      </c>
      <c r="H6303">
        <v>82341154</v>
      </c>
      <c r="I6303">
        <v>82341180</v>
      </c>
    </row>
    <row r="6304" spans="1:9" x14ac:dyDescent="0.2">
      <c r="A6304" t="str">
        <f>"Fam110a"</f>
        <v>Fam110a</v>
      </c>
      <c r="B6304" t="s">
        <v>14</v>
      </c>
      <c r="C6304" t="s">
        <v>26</v>
      </c>
      <c r="D6304" t="s">
        <v>11</v>
      </c>
      <c r="E6304" t="s">
        <v>12</v>
      </c>
      <c r="F6304">
        <v>151980135</v>
      </c>
      <c r="G6304">
        <v>151980182</v>
      </c>
      <c r="H6304">
        <v>151980097</v>
      </c>
      <c r="I6304">
        <v>151980130</v>
      </c>
    </row>
    <row r="6305" spans="1:9" x14ac:dyDescent="0.2">
      <c r="A6305" t="str">
        <f>"Fam110b"</f>
        <v>Fam110b</v>
      </c>
      <c r="B6305" t="s">
        <v>14</v>
      </c>
      <c r="C6305" t="s">
        <v>23</v>
      </c>
      <c r="D6305" t="s">
        <v>17</v>
      </c>
      <c r="E6305" t="s">
        <v>12</v>
      </c>
      <c r="F6305">
        <v>5644133</v>
      </c>
      <c r="G6305">
        <v>5644211</v>
      </c>
      <c r="H6305">
        <v>5644084</v>
      </c>
      <c r="I6305">
        <v>5644129</v>
      </c>
    </row>
    <row r="6306" spans="1:9" x14ac:dyDescent="0.2">
      <c r="A6306" t="str">
        <f>"Fam110c"</f>
        <v>Fam110c</v>
      </c>
      <c r="B6306" t="s">
        <v>14</v>
      </c>
      <c r="C6306" t="s">
        <v>16</v>
      </c>
      <c r="D6306" t="s">
        <v>17</v>
      </c>
      <c r="E6306" t="s">
        <v>12</v>
      </c>
      <c r="F6306">
        <v>31073970</v>
      </c>
      <c r="G6306">
        <v>31074003</v>
      </c>
      <c r="H6306">
        <v>31074014</v>
      </c>
      <c r="I6306">
        <v>31074030</v>
      </c>
    </row>
    <row r="6307" spans="1:9" x14ac:dyDescent="0.2">
      <c r="A6307" t="str">
        <f>"Fam111a"</f>
        <v>Fam111a</v>
      </c>
      <c r="B6307" t="s">
        <v>14</v>
      </c>
      <c r="C6307" t="s">
        <v>10</v>
      </c>
      <c r="D6307" t="s">
        <v>17</v>
      </c>
      <c r="E6307" t="s">
        <v>12</v>
      </c>
      <c r="F6307">
        <v>12573508</v>
      </c>
      <c r="G6307">
        <v>12573542</v>
      </c>
      <c r="H6307">
        <v>12573508</v>
      </c>
      <c r="I6307">
        <v>12573542</v>
      </c>
    </row>
    <row r="6308" spans="1:9" x14ac:dyDescent="0.2">
      <c r="A6308" t="str">
        <f>"Fam114a1"</f>
        <v>Fam114a1</v>
      </c>
      <c r="B6308" t="s">
        <v>14</v>
      </c>
      <c r="C6308" t="s">
        <v>46</v>
      </c>
      <c r="D6308" t="s">
        <v>17</v>
      </c>
      <c r="E6308" t="s">
        <v>12</v>
      </c>
      <c r="F6308">
        <v>64970092</v>
      </c>
      <c r="G6308">
        <v>64970132</v>
      </c>
      <c r="H6308">
        <v>64970069</v>
      </c>
      <c r="I6308">
        <v>64970089</v>
      </c>
    </row>
    <row r="6309" spans="1:9" x14ac:dyDescent="0.2">
      <c r="A6309" t="str">
        <f>"Fam114a2"</f>
        <v>Fam114a2</v>
      </c>
      <c r="B6309" t="s">
        <v>14</v>
      </c>
      <c r="C6309" t="s">
        <v>27</v>
      </c>
      <c r="D6309" t="s">
        <v>11</v>
      </c>
      <c r="E6309" t="s">
        <v>12</v>
      </c>
      <c r="F6309">
        <v>57518596</v>
      </c>
      <c r="G6309">
        <v>57518655</v>
      </c>
      <c r="H6309">
        <v>57518596</v>
      </c>
      <c r="I6309">
        <v>57518655</v>
      </c>
    </row>
    <row r="6310" spans="1:9" x14ac:dyDescent="0.2">
      <c r="A6310" t="str">
        <f>"Fam115a"</f>
        <v>Fam115a</v>
      </c>
      <c r="B6310" t="s">
        <v>9</v>
      </c>
      <c r="C6310" t="s">
        <v>32</v>
      </c>
      <c r="D6310" t="s">
        <v>11</v>
      </c>
      <c r="E6310" t="s">
        <v>12</v>
      </c>
      <c r="F6310">
        <v>42710036</v>
      </c>
      <c r="G6310">
        <v>42710120</v>
      </c>
      <c r="H6310">
        <v>42710036</v>
      </c>
      <c r="I6310">
        <v>42710120</v>
      </c>
    </row>
    <row r="6311" spans="1:9" x14ac:dyDescent="0.2">
      <c r="A6311" t="str">
        <f>"Fam115a"</f>
        <v>Fam115a</v>
      </c>
      <c r="B6311" t="s">
        <v>13</v>
      </c>
      <c r="C6311" t="s">
        <v>32</v>
      </c>
      <c r="D6311" t="s">
        <v>11</v>
      </c>
      <c r="E6311" t="s">
        <v>12</v>
      </c>
      <c r="F6311">
        <v>42693030</v>
      </c>
      <c r="G6311">
        <v>42693070</v>
      </c>
      <c r="H6311">
        <v>42693030</v>
      </c>
      <c r="I6311">
        <v>42693070</v>
      </c>
    </row>
    <row r="6312" spans="1:9" x14ac:dyDescent="0.2">
      <c r="A6312" t="str">
        <f>"Fam115c"</f>
        <v>Fam115c</v>
      </c>
      <c r="B6312" t="s">
        <v>14</v>
      </c>
      <c r="C6312" t="s">
        <v>32</v>
      </c>
      <c r="D6312" t="s">
        <v>11</v>
      </c>
      <c r="E6312" t="s">
        <v>12</v>
      </c>
      <c r="F6312">
        <v>42645028</v>
      </c>
      <c r="G6312">
        <v>42645073</v>
      </c>
      <c r="H6312">
        <v>42645161</v>
      </c>
      <c r="I6312">
        <v>42645187</v>
      </c>
    </row>
    <row r="6313" spans="1:9" x14ac:dyDescent="0.2">
      <c r="A6313" t="str">
        <f>"Fam115e"</f>
        <v>Fam115e</v>
      </c>
      <c r="B6313" t="s">
        <v>14</v>
      </c>
      <c r="C6313" t="s">
        <v>32</v>
      </c>
      <c r="D6313" t="s">
        <v>11</v>
      </c>
      <c r="E6313" t="s">
        <v>12</v>
      </c>
      <c r="F6313">
        <v>42597686</v>
      </c>
      <c r="G6313">
        <v>42597702</v>
      </c>
      <c r="H6313">
        <v>42597628</v>
      </c>
      <c r="I6313">
        <v>42597649</v>
      </c>
    </row>
    <row r="6314" spans="1:9" x14ac:dyDescent="0.2">
      <c r="A6314" t="str">
        <f>"Fam117a"</f>
        <v>Fam117a</v>
      </c>
      <c r="B6314" t="s">
        <v>9</v>
      </c>
      <c r="C6314" t="s">
        <v>27</v>
      </c>
      <c r="D6314" t="s">
        <v>17</v>
      </c>
      <c r="E6314" t="s">
        <v>12</v>
      </c>
      <c r="F6314">
        <v>95337012</v>
      </c>
      <c r="G6314">
        <v>95337026</v>
      </c>
      <c r="H6314">
        <v>95337012</v>
      </c>
      <c r="I6314">
        <v>95337026</v>
      </c>
    </row>
    <row r="6315" spans="1:9" x14ac:dyDescent="0.2">
      <c r="A6315" t="str">
        <f>"Fam117a"</f>
        <v>Fam117a</v>
      </c>
      <c r="B6315" t="s">
        <v>13</v>
      </c>
      <c r="C6315" t="s">
        <v>27</v>
      </c>
      <c r="D6315" t="s">
        <v>17</v>
      </c>
      <c r="E6315" t="s">
        <v>12</v>
      </c>
      <c r="F6315">
        <v>95340006</v>
      </c>
      <c r="G6315">
        <v>95340011</v>
      </c>
      <c r="H6315">
        <v>95340006</v>
      </c>
      <c r="I6315">
        <v>95340011</v>
      </c>
    </row>
    <row r="6316" spans="1:9" x14ac:dyDescent="0.2">
      <c r="A6316" t="str">
        <f>"Fam117b"</f>
        <v>Fam117b</v>
      </c>
      <c r="B6316" t="s">
        <v>14</v>
      </c>
      <c r="C6316" t="s">
        <v>19</v>
      </c>
      <c r="D6316" t="s">
        <v>17</v>
      </c>
      <c r="E6316" t="s">
        <v>12</v>
      </c>
      <c r="F6316">
        <v>59912972</v>
      </c>
      <c r="G6316">
        <v>59913027</v>
      </c>
      <c r="H6316">
        <v>59913076</v>
      </c>
      <c r="I6316">
        <v>59913092</v>
      </c>
    </row>
    <row r="6317" spans="1:9" x14ac:dyDescent="0.2">
      <c r="A6317" t="str">
        <f>"Fam118a"</f>
        <v>Fam118a</v>
      </c>
      <c r="B6317" t="s">
        <v>14</v>
      </c>
      <c r="C6317" t="s">
        <v>25</v>
      </c>
      <c r="D6317" t="s">
        <v>17</v>
      </c>
      <c r="E6317" t="s">
        <v>12</v>
      </c>
      <c r="F6317">
        <v>85037079</v>
      </c>
      <c r="G6317">
        <v>85037143</v>
      </c>
      <c r="H6317">
        <v>85037181</v>
      </c>
      <c r="I6317">
        <v>85037231</v>
      </c>
    </row>
    <row r="6318" spans="1:9" x14ac:dyDescent="0.2">
      <c r="A6318" t="str">
        <f>"Fam118b"</f>
        <v>Fam118b</v>
      </c>
      <c r="B6318" t="s">
        <v>14</v>
      </c>
      <c r="C6318" t="s">
        <v>24</v>
      </c>
      <c r="D6318" t="s">
        <v>11</v>
      </c>
      <c r="E6318" t="s">
        <v>12</v>
      </c>
      <c r="F6318">
        <v>35267746</v>
      </c>
      <c r="G6318">
        <v>35267786</v>
      </c>
      <c r="H6318">
        <v>35267746</v>
      </c>
      <c r="I6318">
        <v>35267786</v>
      </c>
    </row>
    <row r="6319" spans="1:9" x14ac:dyDescent="0.2">
      <c r="A6319" t="str">
        <f>"Fam120a"</f>
        <v>Fam120a</v>
      </c>
      <c r="B6319" t="s">
        <v>14</v>
      </c>
      <c r="C6319" t="s">
        <v>39</v>
      </c>
      <c r="D6319" t="s">
        <v>11</v>
      </c>
      <c r="E6319" t="s">
        <v>12</v>
      </c>
      <c r="F6319">
        <v>48968034</v>
      </c>
      <c r="G6319">
        <v>48968068</v>
      </c>
      <c r="H6319">
        <v>48968004</v>
      </c>
      <c r="I6319">
        <v>48968029</v>
      </c>
    </row>
    <row r="6320" spans="1:9" x14ac:dyDescent="0.2">
      <c r="A6320" t="str">
        <f>"Fam120b"</f>
        <v>Fam120b</v>
      </c>
      <c r="B6320" t="s">
        <v>14</v>
      </c>
      <c r="C6320" t="s">
        <v>28</v>
      </c>
      <c r="D6320" t="s">
        <v>17</v>
      </c>
      <c r="E6320" t="s">
        <v>12</v>
      </c>
      <c r="F6320">
        <v>15396240</v>
      </c>
      <c r="G6320">
        <v>15396317</v>
      </c>
      <c r="H6320">
        <v>15396216</v>
      </c>
      <c r="I6320">
        <v>15396221</v>
      </c>
    </row>
    <row r="6321" spans="1:9" x14ac:dyDescent="0.2">
      <c r="A6321" t="str">
        <f>"Fam120c"</f>
        <v>Fam120c</v>
      </c>
      <c r="B6321" t="s">
        <v>14</v>
      </c>
      <c r="C6321" t="s">
        <v>37</v>
      </c>
      <c r="D6321" t="s">
        <v>17</v>
      </c>
      <c r="E6321" t="s">
        <v>12</v>
      </c>
      <c r="F6321">
        <v>151344207</v>
      </c>
      <c r="G6321">
        <v>151344240</v>
      </c>
      <c r="H6321">
        <v>151343862</v>
      </c>
      <c r="I6321">
        <v>151343906</v>
      </c>
    </row>
    <row r="6322" spans="1:9" x14ac:dyDescent="0.2">
      <c r="A6322" t="str">
        <f>"Fam122a"</f>
        <v>Fam122a</v>
      </c>
      <c r="B6322" t="s">
        <v>14</v>
      </c>
      <c r="C6322" t="s">
        <v>10</v>
      </c>
      <c r="D6322" t="s">
        <v>11</v>
      </c>
      <c r="E6322" t="s">
        <v>12</v>
      </c>
      <c r="F6322">
        <v>24477448</v>
      </c>
      <c r="G6322">
        <v>24477490</v>
      </c>
      <c r="H6322">
        <v>24477618</v>
      </c>
      <c r="I6322">
        <v>24477627</v>
      </c>
    </row>
    <row r="6323" spans="1:9" x14ac:dyDescent="0.2">
      <c r="A6323" t="str">
        <f>"Fam122b"</f>
        <v>Fam122b</v>
      </c>
      <c r="B6323" t="s">
        <v>14</v>
      </c>
      <c r="C6323" t="s">
        <v>37</v>
      </c>
      <c r="D6323" t="s">
        <v>11</v>
      </c>
      <c r="E6323" t="s">
        <v>12</v>
      </c>
      <c r="F6323">
        <v>53269022</v>
      </c>
      <c r="G6323">
        <v>53269068</v>
      </c>
      <c r="H6323">
        <v>53269786</v>
      </c>
      <c r="I6323">
        <v>53269858</v>
      </c>
    </row>
    <row r="6324" spans="1:9" x14ac:dyDescent="0.2">
      <c r="A6324" t="str">
        <f>"Fam122c"</f>
        <v>Fam122c</v>
      </c>
      <c r="B6324" t="s">
        <v>14</v>
      </c>
      <c r="C6324" t="s">
        <v>37</v>
      </c>
      <c r="D6324" t="s">
        <v>17</v>
      </c>
      <c r="E6324" t="s">
        <v>12</v>
      </c>
      <c r="F6324">
        <v>53273445</v>
      </c>
      <c r="G6324">
        <v>53273455</v>
      </c>
      <c r="H6324">
        <v>53273418</v>
      </c>
      <c r="I6324">
        <v>53273429</v>
      </c>
    </row>
    <row r="6325" spans="1:9" x14ac:dyDescent="0.2">
      <c r="A6325" t="str">
        <f>"Fam124a"</f>
        <v>Fam124a</v>
      </c>
      <c r="B6325" t="s">
        <v>14</v>
      </c>
      <c r="C6325" t="s">
        <v>41</v>
      </c>
      <c r="D6325" t="s">
        <v>17</v>
      </c>
      <c r="E6325" t="s">
        <v>12</v>
      </c>
      <c r="F6325">
        <v>62555738</v>
      </c>
      <c r="G6325">
        <v>62555812</v>
      </c>
      <c r="H6325">
        <v>62555642</v>
      </c>
      <c r="I6325">
        <v>62555699</v>
      </c>
    </row>
    <row r="6326" spans="1:9" x14ac:dyDescent="0.2">
      <c r="A6326" t="str">
        <f>"Fam124b"</f>
        <v>Fam124b</v>
      </c>
      <c r="B6326" t="s">
        <v>14</v>
      </c>
      <c r="C6326" t="s">
        <v>19</v>
      </c>
      <c r="D6326" t="s">
        <v>11</v>
      </c>
      <c r="E6326" t="s">
        <v>12</v>
      </c>
      <c r="F6326">
        <v>80213839</v>
      </c>
      <c r="G6326">
        <v>80213854</v>
      </c>
      <c r="H6326">
        <v>80213931</v>
      </c>
      <c r="I6326">
        <v>80213949</v>
      </c>
    </row>
    <row r="6327" spans="1:9" x14ac:dyDescent="0.2">
      <c r="A6327" t="str">
        <f>"Fam126a"</f>
        <v>Fam126a</v>
      </c>
      <c r="B6327" t="s">
        <v>14</v>
      </c>
      <c r="C6327" t="s">
        <v>46</v>
      </c>
      <c r="D6327" t="s">
        <v>11</v>
      </c>
      <c r="E6327" t="s">
        <v>12</v>
      </c>
      <c r="F6327">
        <v>24030649</v>
      </c>
      <c r="G6327">
        <v>24030707</v>
      </c>
      <c r="H6327">
        <v>24030626</v>
      </c>
      <c r="I6327">
        <v>24030646</v>
      </c>
    </row>
    <row r="6328" spans="1:9" x14ac:dyDescent="0.2">
      <c r="A6328" t="str">
        <f>"Fam126b"</f>
        <v>Fam126b</v>
      </c>
      <c r="B6328" t="s">
        <v>14</v>
      </c>
      <c r="C6328" t="s">
        <v>19</v>
      </c>
      <c r="D6328" t="s">
        <v>11</v>
      </c>
      <c r="E6328" t="s">
        <v>12</v>
      </c>
      <c r="F6328">
        <v>58586240</v>
      </c>
      <c r="G6328">
        <v>58586318</v>
      </c>
      <c r="H6328">
        <v>58586135</v>
      </c>
      <c r="I6328">
        <v>58586160</v>
      </c>
    </row>
    <row r="6329" spans="1:9" x14ac:dyDescent="0.2">
      <c r="A6329" t="str">
        <f>"Fam129a"</f>
        <v>Fam129a</v>
      </c>
      <c r="B6329" t="s">
        <v>14</v>
      </c>
      <c r="C6329" t="s">
        <v>19</v>
      </c>
      <c r="D6329" t="s">
        <v>17</v>
      </c>
      <c r="E6329" t="s">
        <v>12</v>
      </c>
      <c r="F6329">
        <v>151571441</v>
      </c>
      <c r="G6329">
        <v>151571471</v>
      </c>
      <c r="H6329">
        <v>151571481</v>
      </c>
      <c r="I6329">
        <v>151571492</v>
      </c>
    </row>
    <row r="6330" spans="1:9" x14ac:dyDescent="0.2">
      <c r="A6330" t="str">
        <f>"Fam129b"</f>
        <v>Fam129b</v>
      </c>
      <c r="B6330" t="s">
        <v>14</v>
      </c>
      <c r="C6330" t="s">
        <v>26</v>
      </c>
      <c r="D6330" t="s">
        <v>17</v>
      </c>
      <c r="E6330" t="s">
        <v>12</v>
      </c>
      <c r="F6330">
        <v>32876136</v>
      </c>
      <c r="G6330">
        <v>32876241</v>
      </c>
      <c r="H6330">
        <v>32875858</v>
      </c>
      <c r="I6330">
        <v>32875872</v>
      </c>
    </row>
    <row r="6331" spans="1:9" x14ac:dyDescent="0.2">
      <c r="A6331" t="str">
        <f>"Fam129c"</f>
        <v>Fam129c</v>
      </c>
      <c r="B6331" t="s">
        <v>9</v>
      </c>
      <c r="C6331" t="s">
        <v>30</v>
      </c>
      <c r="D6331" t="s">
        <v>17</v>
      </c>
      <c r="E6331" t="s">
        <v>12</v>
      </c>
      <c r="F6331">
        <v>71597698</v>
      </c>
      <c r="G6331">
        <v>71597718</v>
      </c>
      <c r="H6331">
        <v>71597698</v>
      </c>
      <c r="I6331">
        <v>71597718</v>
      </c>
    </row>
    <row r="6332" spans="1:9" x14ac:dyDescent="0.2">
      <c r="A6332" t="str">
        <f>"Fam129c"</f>
        <v>Fam129c</v>
      </c>
      <c r="B6332" t="s">
        <v>13</v>
      </c>
      <c r="C6332" t="s">
        <v>30</v>
      </c>
      <c r="D6332" t="s">
        <v>17</v>
      </c>
      <c r="E6332" t="s">
        <v>12</v>
      </c>
      <c r="F6332">
        <v>71602170</v>
      </c>
      <c r="G6332">
        <v>71602208</v>
      </c>
      <c r="H6332">
        <v>71602170</v>
      </c>
      <c r="I6332">
        <v>71602208</v>
      </c>
    </row>
    <row r="6333" spans="1:9" x14ac:dyDescent="0.2">
      <c r="A6333" t="str">
        <f>"Fam131a"</f>
        <v>Fam131a</v>
      </c>
      <c r="B6333" t="s">
        <v>9</v>
      </c>
      <c r="C6333" t="s">
        <v>31</v>
      </c>
      <c r="D6333" t="s">
        <v>17</v>
      </c>
      <c r="E6333" t="s">
        <v>12</v>
      </c>
      <c r="F6333">
        <v>20695041</v>
      </c>
      <c r="G6333">
        <v>20695091</v>
      </c>
      <c r="H6333">
        <v>20695041</v>
      </c>
      <c r="I6333">
        <v>20695091</v>
      </c>
    </row>
    <row r="6334" spans="1:9" x14ac:dyDescent="0.2">
      <c r="A6334" t="str">
        <f>"Fam131a"</f>
        <v>Fam131a</v>
      </c>
      <c r="B6334" t="s">
        <v>13</v>
      </c>
      <c r="C6334" t="s">
        <v>31</v>
      </c>
      <c r="D6334" t="s">
        <v>17</v>
      </c>
      <c r="E6334" t="s">
        <v>12</v>
      </c>
      <c r="F6334">
        <v>20693263</v>
      </c>
      <c r="G6334">
        <v>20693322</v>
      </c>
      <c r="H6334">
        <v>20693263</v>
      </c>
      <c r="I6334">
        <v>20693322</v>
      </c>
    </row>
    <row r="6335" spans="1:9" x14ac:dyDescent="0.2">
      <c r="A6335" t="str">
        <f>"Fam131b"</f>
        <v>Fam131b</v>
      </c>
      <c r="B6335" t="s">
        <v>14</v>
      </c>
      <c r="C6335" t="s">
        <v>32</v>
      </c>
      <c r="D6335" t="s">
        <v>11</v>
      </c>
      <c r="E6335" t="s">
        <v>12</v>
      </c>
      <c r="F6335">
        <v>42324554</v>
      </c>
      <c r="G6335">
        <v>42324599</v>
      </c>
      <c r="H6335">
        <v>42324648</v>
      </c>
      <c r="I6335">
        <v>42324671</v>
      </c>
    </row>
    <row r="6336" spans="1:9" x14ac:dyDescent="0.2">
      <c r="A6336" t="str">
        <f>"Fam131c"</f>
        <v>Fam131c</v>
      </c>
      <c r="B6336" t="s">
        <v>14</v>
      </c>
      <c r="C6336" t="s">
        <v>23</v>
      </c>
      <c r="D6336" t="s">
        <v>17</v>
      </c>
      <c r="E6336" t="s">
        <v>12</v>
      </c>
      <c r="F6336">
        <v>141368116</v>
      </c>
      <c r="G6336">
        <v>141368179</v>
      </c>
      <c r="H6336">
        <v>141368105</v>
      </c>
      <c r="I6336">
        <v>141368110</v>
      </c>
    </row>
    <row r="6337" spans="1:9" x14ac:dyDescent="0.2">
      <c r="A6337" t="str">
        <f>"Fam132a"</f>
        <v>Fam132a</v>
      </c>
      <c r="B6337" t="s">
        <v>14</v>
      </c>
      <c r="C6337" t="s">
        <v>23</v>
      </c>
      <c r="D6337" t="s">
        <v>17</v>
      </c>
      <c r="E6337" t="s">
        <v>12</v>
      </c>
      <c r="F6337">
        <v>155962342</v>
      </c>
      <c r="G6337">
        <v>155962392</v>
      </c>
      <c r="H6337">
        <v>155962292</v>
      </c>
      <c r="I6337">
        <v>155962337</v>
      </c>
    </row>
    <row r="6338" spans="1:9" x14ac:dyDescent="0.2">
      <c r="A6338" t="str">
        <f>"Fam132b"</f>
        <v>Fam132b</v>
      </c>
      <c r="B6338" t="s">
        <v>14</v>
      </c>
      <c r="C6338" t="s">
        <v>19</v>
      </c>
      <c r="D6338" t="s">
        <v>17</v>
      </c>
      <c r="E6338" t="s">
        <v>12</v>
      </c>
      <c r="F6338">
        <v>91366445</v>
      </c>
      <c r="G6338">
        <v>91366468</v>
      </c>
      <c r="H6338">
        <v>91366412</v>
      </c>
      <c r="I6338">
        <v>91366433</v>
      </c>
    </row>
    <row r="6339" spans="1:9" x14ac:dyDescent="0.2">
      <c r="A6339" t="str">
        <f>"Fam133b"</f>
        <v>Fam133b</v>
      </c>
      <c r="B6339" t="s">
        <v>14</v>
      </c>
      <c r="C6339" t="s">
        <v>46</v>
      </c>
      <c r="D6339" t="s">
        <v>17</v>
      </c>
      <c r="E6339" t="s">
        <v>12</v>
      </c>
      <c r="F6339">
        <v>3543812</v>
      </c>
      <c r="G6339">
        <v>3543853</v>
      </c>
      <c r="H6339">
        <v>3543862</v>
      </c>
      <c r="I6339">
        <v>3543884</v>
      </c>
    </row>
    <row r="6340" spans="1:9" x14ac:dyDescent="0.2">
      <c r="A6340" t="str">
        <f>"Fam134a"</f>
        <v>Fam134a</v>
      </c>
      <c r="B6340" t="s">
        <v>14</v>
      </c>
      <c r="C6340" t="s">
        <v>19</v>
      </c>
      <c r="D6340" t="s">
        <v>17</v>
      </c>
      <c r="E6340" t="s">
        <v>12</v>
      </c>
      <c r="F6340">
        <v>75142775</v>
      </c>
      <c r="G6340">
        <v>75142797</v>
      </c>
      <c r="H6340">
        <v>75142718</v>
      </c>
      <c r="I6340">
        <v>75142742</v>
      </c>
    </row>
    <row r="6341" spans="1:9" x14ac:dyDescent="0.2">
      <c r="A6341" t="str">
        <f>"Fam134b"</f>
        <v>Fam134b</v>
      </c>
      <c r="B6341" t="s">
        <v>2431</v>
      </c>
      <c r="C6341" t="s">
        <v>25</v>
      </c>
      <c r="D6341" t="s">
        <v>17</v>
      </c>
      <c r="E6341" t="s">
        <v>35</v>
      </c>
      <c r="F6341">
        <v>25940696</v>
      </c>
      <c r="G6341">
        <v>25940732</v>
      </c>
      <c r="H6341">
        <v>25940846</v>
      </c>
      <c r="I6341">
        <v>25940934</v>
      </c>
    </row>
    <row r="6342" spans="1:9" x14ac:dyDescent="0.2">
      <c r="A6342" t="str">
        <f>"Fam134c"</f>
        <v>Fam134c</v>
      </c>
      <c r="B6342" t="s">
        <v>14</v>
      </c>
      <c r="C6342" t="s">
        <v>27</v>
      </c>
      <c r="D6342" t="s">
        <v>11</v>
      </c>
      <c r="E6342" t="s">
        <v>12</v>
      </c>
      <c r="F6342">
        <v>101119814</v>
      </c>
      <c r="G6342">
        <v>101119849</v>
      </c>
      <c r="H6342">
        <v>101119856</v>
      </c>
      <c r="I6342">
        <v>101119879</v>
      </c>
    </row>
    <row r="6343" spans="1:9" x14ac:dyDescent="0.2">
      <c r="A6343" t="str">
        <f>"Fam135a"</f>
        <v>Fam135a</v>
      </c>
      <c r="B6343" t="s">
        <v>14</v>
      </c>
      <c r="C6343" t="s">
        <v>19</v>
      </c>
      <c r="D6343" t="s">
        <v>11</v>
      </c>
      <c r="E6343" t="s">
        <v>12</v>
      </c>
      <c r="F6343">
        <v>24100195</v>
      </c>
      <c r="G6343">
        <v>24100296</v>
      </c>
      <c r="H6343">
        <v>24100306</v>
      </c>
      <c r="I6343">
        <v>24100355</v>
      </c>
    </row>
    <row r="6344" spans="1:9" x14ac:dyDescent="0.2">
      <c r="A6344" t="str">
        <f>"Fam135b"</f>
        <v>Fam135b</v>
      </c>
      <c r="B6344" t="s">
        <v>14</v>
      </c>
      <c r="C6344" t="s">
        <v>25</v>
      </c>
      <c r="D6344" t="s">
        <v>11</v>
      </c>
      <c r="E6344" t="s">
        <v>12</v>
      </c>
      <c r="F6344">
        <v>71727815</v>
      </c>
      <c r="G6344">
        <v>71727848</v>
      </c>
      <c r="H6344">
        <v>71727815</v>
      </c>
      <c r="I6344">
        <v>71727848</v>
      </c>
    </row>
    <row r="6345" spans="1:9" x14ac:dyDescent="0.2">
      <c r="A6345" t="str">
        <f>"Fam136a"</f>
        <v>Fam136a</v>
      </c>
      <c r="B6345" t="s">
        <v>14</v>
      </c>
      <c r="C6345" t="s">
        <v>32</v>
      </c>
      <c r="D6345" t="s">
        <v>17</v>
      </c>
      <c r="E6345" t="s">
        <v>12</v>
      </c>
      <c r="F6345">
        <v>86365673</v>
      </c>
      <c r="G6345">
        <v>86365723</v>
      </c>
      <c r="H6345">
        <v>86365640</v>
      </c>
      <c r="I6345">
        <v>86365658</v>
      </c>
    </row>
    <row r="6346" spans="1:9" x14ac:dyDescent="0.2">
      <c r="A6346" t="str">
        <f>"Fam136b-ps"</f>
        <v>Fam136b-ps</v>
      </c>
      <c r="B6346" t="s">
        <v>2432</v>
      </c>
      <c r="C6346" t="s">
        <v>25</v>
      </c>
      <c r="D6346" t="s">
        <v>17</v>
      </c>
      <c r="E6346" t="s">
        <v>20</v>
      </c>
      <c r="F6346">
        <v>31276490</v>
      </c>
      <c r="G6346">
        <v>31276490</v>
      </c>
      <c r="H6346">
        <v>31276490</v>
      </c>
      <c r="I6346">
        <v>31276490</v>
      </c>
    </row>
    <row r="6347" spans="1:9" x14ac:dyDescent="0.2">
      <c r="A6347" t="str">
        <f>"Fam13a"</f>
        <v>Fam13a</v>
      </c>
      <c r="B6347" t="s">
        <v>14</v>
      </c>
      <c r="C6347" t="s">
        <v>32</v>
      </c>
      <c r="D6347" t="s">
        <v>11</v>
      </c>
      <c r="E6347" t="s">
        <v>12</v>
      </c>
      <c r="F6347">
        <v>59024429</v>
      </c>
      <c r="G6347">
        <v>59024450</v>
      </c>
      <c r="H6347">
        <v>59024470</v>
      </c>
      <c r="I6347">
        <v>59024511</v>
      </c>
    </row>
    <row r="6348" spans="1:9" x14ac:dyDescent="0.2">
      <c r="A6348" t="str">
        <f>"Fam13b"</f>
        <v>Fam13b</v>
      </c>
      <c r="B6348" t="s">
        <v>14</v>
      </c>
      <c r="C6348" t="s">
        <v>43</v>
      </c>
      <c r="D6348" t="s">
        <v>11</v>
      </c>
      <c r="E6348" t="s">
        <v>12</v>
      </c>
      <c r="F6348">
        <v>34506788</v>
      </c>
      <c r="G6348">
        <v>34506877</v>
      </c>
      <c r="H6348">
        <v>34506741</v>
      </c>
      <c r="I6348">
        <v>34506768</v>
      </c>
    </row>
    <row r="6349" spans="1:9" x14ac:dyDescent="0.2">
      <c r="A6349" t="str">
        <f>"Fam13c"</f>
        <v>Fam13c</v>
      </c>
      <c r="B6349" t="s">
        <v>14</v>
      </c>
      <c r="C6349" t="s">
        <v>15</v>
      </c>
      <c r="D6349" t="s">
        <v>17</v>
      </c>
      <c r="E6349" t="s">
        <v>12</v>
      </c>
      <c r="F6349">
        <v>70440676</v>
      </c>
      <c r="G6349">
        <v>70440720</v>
      </c>
      <c r="H6349">
        <v>70440844</v>
      </c>
      <c r="I6349">
        <v>70440937</v>
      </c>
    </row>
    <row r="6350" spans="1:9" x14ac:dyDescent="0.2">
      <c r="A6350" t="str">
        <f>"Fam149a"</f>
        <v>Fam149a</v>
      </c>
      <c r="B6350" t="s">
        <v>9</v>
      </c>
      <c r="C6350" t="s">
        <v>30</v>
      </c>
      <c r="D6350" t="s">
        <v>11</v>
      </c>
      <c r="E6350" t="s">
        <v>12</v>
      </c>
      <c r="F6350">
        <v>45358737</v>
      </c>
      <c r="G6350">
        <v>45358819</v>
      </c>
      <c r="H6350">
        <v>45358737</v>
      </c>
      <c r="I6350">
        <v>45358819</v>
      </c>
    </row>
    <row r="6351" spans="1:9" x14ac:dyDescent="0.2">
      <c r="A6351" t="str">
        <f>"Fam149a"</f>
        <v>Fam149a</v>
      </c>
      <c r="B6351" t="s">
        <v>13</v>
      </c>
      <c r="C6351" t="s">
        <v>30</v>
      </c>
      <c r="D6351" t="s">
        <v>11</v>
      </c>
      <c r="E6351" t="s">
        <v>12</v>
      </c>
      <c r="F6351">
        <v>45382147</v>
      </c>
      <c r="G6351">
        <v>45382192</v>
      </c>
      <c r="H6351">
        <v>45382147</v>
      </c>
      <c r="I6351">
        <v>45382192</v>
      </c>
    </row>
    <row r="6352" spans="1:9" x14ac:dyDescent="0.2">
      <c r="A6352" t="str">
        <f>"Fam149b"</f>
        <v>Fam149b</v>
      </c>
      <c r="B6352" t="s">
        <v>14</v>
      </c>
      <c r="C6352" t="s">
        <v>41</v>
      </c>
      <c r="D6352" t="s">
        <v>17</v>
      </c>
      <c r="E6352" t="s">
        <v>12</v>
      </c>
      <c r="F6352">
        <v>20348159</v>
      </c>
      <c r="G6352">
        <v>20348244</v>
      </c>
      <c r="H6352">
        <v>20348303</v>
      </c>
      <c r="I6352">
        <v>20348320</v>
      </c>
    </row>
    <row r="6353" spans="1:9" x14ac:dyDescent="0.2">
      <c r="A6353" t="str">
        <f>"Fam150a"</f>
        <v>Fam150a</v>
      </c>
      <c r="B6353" t="s">
        <v>14</v>
      </c>
      <c r="C6353" t="s">
        <v>19</v>
      </c>
      <c r="D6353" t="s">
        <v>17</v>
      </c>
      <c r="E6353" t="s">
        <v>12</v>
      </c>
      <c r="F6353">
        <v>6359257</v>
      </c>
      <c r="G6353">
        <v>6359293</v>
      </c>
      <c r="H6353">
        <v>6359257</v>
      </c>
      <c r="I6353">
        <v>6359293</v>
      </c>
    </row>
    <row r="6354" spans="1:9" x14ac:dyDescent="0.2">
      <c r="A6354" t="str">
        <f>"Fam150b"</f>
        <v>Fam150b</v>
      </c>
      <c r="B6354" t="s">
        <v>14</v>
      </c>
      <c r="C6354" t="s">
        <v>16</v>
      </c>
      <c r="D6354" t="s">
        <v>17</v>
      </c>
      <c r="E6354" t="s">
        <v>12</v>
      </c>
      <c r="F6354">
        <v>30884321</v>
      </c>
      <c r="G6354">
        <v>30884326</v>
      </c>
      <c r="H6354">
        <v>30884265</v>
      </c>
      <c r="I6354">
        <v>30884272</v>
      </c>
    </row>
    <row r="6355" spans="1:9" x14ac:dyDescent="0.2">
      <c r="A6355" t="str">
        <f>"Fam151a"</f>
        <v>Fam151a</v>
      </c>
      <c r="B6355" t="s">
        <v>14</v>
      </c>
      <c r="C6355" t="s">
        <v>23</v>
      </c>
      <c r="D6355" t="s">
        <v>17</v>
      </c>
      <c r="E6355" t="s">
        <v>12</v>
      </c>
      <c r="F6355">
        <v>106733883</v>
      </c>
      <c r="G6355">
        <v>106733898</v>
      </c>
      <c r="H6355">
        <v>106733883</v>
      </c>
      <c r="I6355">
        <v>106733898</v>
      </c>
    </row>
    <row r="6356" spans="1:9" x14ac:dyDescent="0.2">
      <c r="A6356" t="str">
        <f>"Fam151b"</f>
        <v>Fam151b</v>
      </c>
      <c r="B6356" t="s">
        <v>14</v>
      </c>
      <c r="C6356" t="s">
        <v>39</v>
      </c>
      <c r="D6356" t="s">
        <v>11</v>
      </c>
      <c r="E6356" t="s">
        <v>12</v>
      </c>
      <c r="F6356">
        <v>92483996</v>
      </c>
      <c r="G6356">
        <v>92484037</v>
      </c>
      <c r="H6356">
        <v>92483951</v>
      </c>
      <c r="I6356">
        <v>92483986</v>
      </c>
    </row>
    <row r="6357" spans="1:9" x14ac:dyDescent="0.2">
      <c r="A6357" t="str">
        <f>"Fam154a"</f>
        <v>Fam154a</v>
      </c>
      <c r="B6357" t="s">
        <v>14</v>
      </c>
      <c r="C6357" t="s">
        <v>23</v>
      </c>
      <c r="D6357" t="s">
        <v>11</v>
      </c>
      <c r="E6357" t="s">
        <v>12</v>
      </c>
      <c r="F6357">
        <v>86558266</v>
      </c>
      <c r="G6357">
        <v>86558307</v>
      </c>
      <c r="H6357">
        <v>86558310</v>
      </c>
      <c r="I6357">
        <v>86558332</v>
      </c>
    </row>
    <row r="6358" spans="1:9" x14ac:dyDescent="0.2">
      <c r="A6358" t="str">
        <f>"Fam154b"</f>
        <v>Fam154b</v>
      </c>
      <c r="B6358" t="s">
        <v>14</v>
      </c>
      <c r="C6358" t="s">
        <v>33</v>
      </c>
      <c r="D6358" t="s">
        <v>11</v>
      </c>
      <c r="E6358" t="s">
        <v>12</v>
      </c>
      <c r="F6358">
        <v>82648469</v>
      </c>
      <c r="G6358">
        <v>82648545</v>
      </c>
      <c r="H6358">
        <v>82648550</v>
      </c>
      <c r="I6358">
        <v>82648564</v>
      </c>
    </row>
    <row r="6359" spans="1:9" x14ac:dyDescent="0.2">
      <c r="A6359" t="str">
        <f>"Fam155a"</f>
        <v>Fam155a</v>
      </c>
      <c r="B6359" t="s">
        <v>14</v>
      </c>
      <c r="C6359" t="s">
        <v>30</v>
      </c>
      <c r="D6359" t="s">
        <v>11</v>
      </c>
      <c r="E6359" t="s">
        <v>12</v>
      </c>
      <c r="F6359">
        <v>9771486</v>
      </c>
      <c r="G6359">
        <v>9771525</v>
      </c>
      <c r="H6359">
        <v>9771060</v>
      </c>
      <c r="I6359">
        <v>9771099</v>
      </c>
    </row>
    <row r="6360" spans="1:9" x14ac:dyDescent="0.2">
      <c r="A6360" t="str">
        <f>"Fam159a"</f>
        <v>Fam159a</v>
      </c>
      <c r="B6360" t="s">
        <v>14</v>
      </c>
      <c r="C6360" t="s">
        <v>23</v>
      </c>
      <c r="D6360" t="s">
        <v>11</v>
      </c>
      <c r="E6360" t="s">
        <v>12</v>
      </c>
      <c r="F6360">
        <v>108383448</v>
      </c>
      <c r="G6360">
        <v>108383468</v>
      </c>
      <c r="H6360">
        <v>108383470</v>
      </c>
      <c r="I6360">
        <v>108383491</v>
      </c>
    </row>
    <row r="6361" spans="1:9" x14ac:dyDescent="0.2">
      <c r="A6361" t="str">
        <f>"Fam159b"</f>
        <v>Fam159b</v>
      </c>
      <c r="B6361" t="s">
        <v>14</v>
      </c>
      <c r="C6361" t="s">
        <v>39</v>
      </c>
      <c r="D6361" t="s">
        <v>11</v>
      </c>
      <c r="E6361" t="s">
        <v>12</v>
      </c>
      <c r="F6361">
        <v>104863883</v>
      </c>
      <c r="G6361">
        <v>104863894</v>
      </c>
      <c r="H6361">
        <v>104863913</v>
      </c>
      <c r="I6361">
        <v>104863921</v>
      </c>
    </row>
    <row r="6362" spans="1:9" x14ac:dyDescent="0.2">
      <c r="A6362" t="str">
        <f>"Fam160a1"</f>
        <v>Fam160a1</v>
      </c>
      <c r="B6362" t="s">
        <v>2433</v>
      </c>
      <c r="C6362" t="s">
        <v>22</v>
      </c>
      <c r="D6362" t="s">
        <v>11</v>
      </c>
      <c r="E6362" t="s">
        <v>20</v>
      </c>
      <c r="F6362">
        <v>85741388</v>
      </c>
      <c r="G6362">
        <v>85741388</v>
      </c>
      <c r="H6362">
        <v>85741388</v>
      </c>
      <c r="I6362">
        <v>85741388</v>
      </c>
    </row>
    <row r="6363" spans="1:9" x14ac:dyDescent="0.2">
      <c r="A6363" t="str">
        <f>"Fam160a1"</f>
        <v>Fam160a1</v>
      </c>
      <c r="B6363" t="s">
        <v>2434</v>
      </c>
      <c r="C6363" t="s">
        <v>22</v>
      </c>
      <c r="D6363" t="s">
        <v>11</v>
      </c>
      <c r="E6363" t="s">
        <v>35</v>
      </c>
      <c r="F6363">
        <v>85746247</v>
      </c>
      <c r="G6363">
        <v>85746248</v>
      </c>
      <c r="H6363">
        <v>85746247</v>
      </c>
      <c r="I6363">
        <v>85746248</v>
      </c>
    </row>
    <row r="6364" spans="1:9" x14ac:dyDescent="0.2">
      <c r="A6364" t="str">
        <f>"Fam160a1"</f>
        <v>Fam160a1</v>
      </c>
      <c r="B6364" t="s">
        <v>2435</v>
      </c>
      <c r="C6364" t="s">
        <v>22</v>
      </c>
      <c r="D6364" t="s">
        <v>11</v>
      </c>
      <c r="E6364" t="s">
        <v>20</v>
      </c>
      <c r="F6364">
        <v>85722473</v>
      </c>
      <c r="G6364">
        <v>85722473</v>
      </c>
      <c r="H6364">
        <v>85722473</v>
      </c>
      <c r="I6364">
        <v>85722473</v>
      </c>
    </row>
    <row r="6365" spans="1:9" x14ac:dyDescent="0.2">
      <c r="A6365" t="str">
        <f>"Fam160a2"</f>
        <v>Fam160a2</v>
      </c>
      <c r="B6365" t="s">
        <v>14</v>
      </c>
      <c r="C6365" t="s">
        <v>33</v>
      </c>
      <c r="D6365" t="s">
        <v>11</v>
      </c>
      <c r="E6365" t="s">
        <v>12</v>
      </c>
      <c r="F6365">
        <v>105399991</v>
      </c>
      <c r="G6365">
        <v>105400023</v>
      </c>
      <c r="H6365">
        <v>105400024</v>
      </c>
      <c r="I6365">
        <v>105400035</v>
      </c>
    </row>
    <row r="6366" spans="1:9" x14ac:dyDescent="0.2">
      <c r="A6366" t="str">
        <f>"Fam160b1"</f>
        <v>Fam160b1</v>
      </c>
      <c r="B6366" t="s">
        <v>14</v>
      </c>
      <c r="C6366" t="s">
        <v>10</v>
      </c>
      <c r="D6366" t="s">
        <v>17</v>
      </c>
      <c r="E6366" t="s">
        <v>12</v>
      </c>
      <c r="F6366">
        <v>57361028</v>
      </c>
      <c r="G6366">
        <v>57361113</v>
      </c>
      <c r="H6366">
        <v>57360960</v>
      </c>
      <c r="I6366">
        <v>57360980</v>
      </c>
    </row>
    <row r="6367" spans="1:9" x14ac:dyDescent="0.2">
      <c r="A6367" t="str">
        <f>"Fam160b2"</f>
        <v>Fam160b2</v>
      </c>
      <c r="B6367" t="s">
        <v>14</v>
      </c>
      <c r="C6367" t="s">
        <v>41</v>
      </c>
      <c r="D6367" t="s">
        <v>11</v>
      </c>
      <c r="E6367" t="s">
        <v>12</v>
      </c>
      <c r="F6367">
        <v>70599832</v>
      </c>
      <c r="G6367">
        <v>70599887</v>
      </c>
      <c r="H6367">
        <v>70599813</v>
      </c>
      <c r="I6367">
        <v>70599831</v>
      </c>
    </row>
    <row r="6368" spans="1:9" x14ac:dyDescent="0.2">
      <c r="A6368" t="str">
        <f>"Fam161a"</f>
        <v>Fam161a</v>
      </c>
      <c r="B6368" t="s">
        <v>14</v>
      </c>
      <c r="C6368" t="s">
        <v>27</v>
      </c>
      <c r="D6368" t="s">
        <v>17</v>
      </c>
      <c r="E6368" t="s">
        <v>12</v>
      </c>
      <c r="F6368">
        <v>23008420</v>
      </c>
      <c r="G6368">
        <v>23008500</v>
      </c>
      <c r="H6368">
        <v>23008337</v>
      </c>
      <c r="I6368">
        <v>23008391</v>
      </c>
    </row>
    <row r="6369" spans="1:9" x14ac:dyDescent="0.2">
      <c r="A6369" t="str">
        <f>"Fam161b"</f>
        <v>Fam161b</v>
      </c>
      <c r="B6369" t="s">
        <v>14</v>
      </c>
      <c r="C6369" t="s">
        <v>16</v>
      </c>
      <c r="D6369" t="s">
        <v>11</v>
      </c>
      <c r="E6369" t="s">
        <v>12</v>
      </c>
      <c r="F6369">
        <v>84361802</v>
      </c>
      <c r="G6369">
        <v>84361838</v>
      </c>
      <c r="H6369">
        <v>84361782</v>
      </c>
      <c r="I6369">
        <v>84361797</v>
      </c>
    </row>
    <row r="6370" spans="1:9" x14ac:dyDescent="0.2">
      <c r="A6370" t="str">
        <f>"Fam162a"</f>
        <v>Fam162a</v>
      </c>
      <c r="B6370" t="s">
        <v>14</v>
      </c>
      <c r="C6370" t="s">
        <v>31</v>
      </c>
      <c r="D6370" t="s">
        <v>11</v>
      </c>
      <c r="E6370" t="s">
        <v>12</v>
      </c>
      <c r="F6370">
        <v>36071522</v>
      </c>
      <c r="G6370">
        <v>36071604</v>
      </c>
      <c r="H6370">
        <v>36071522</v>
      </c>
      <c r="I6370">
        <v>36071604</v>
      </c>
    </row>
    <row r="6371" spans="1:9" x14ac:dyDescent="0.2">
      <c r="A6371" t="str">
        <f>"Fam162b"</f>
        <v>Fam162b</v>
      </c>
      <c r="B6371" t="s">
        <v>14</v>
      </c>
      <c r="C6371" t="s">
        <v>15</v>
      </c>
      <c r="D6371" t="s">
        <v>11</v>
      </c>
      <c r="E6371" t="s">
        <v>12</v>
      </c>
      <c r="F6371">
        <v>51590439</v>
      </c>
      <c r="G6371">
        <v>51590464</v>
      </c>
      <c r="H6371">
        <v>51590473</v>
      </c>
      <c r="I6371">
        <v>51590497</v>
      </c>
    </row>
    <row r="6372" spans="1:9" x14ac:dyDescent="0.2">
      <c r="A6372" t="str">
        <f>"Fam163a"</f>
        <v>Fam163a</v>
      </c>
      <c r="B6372" t="s">
        <v>14</v>
      </c>
      <c r="C6372" t="s">
        <v>19</v>
      </c>
      <c r="D6372" t="s">
        <v>11</v>
      </c>
      <c r="E6372" t="s">
        <v>12</v>
      </c>
      <c r="F6372">
        <v>156204998</v>
      </c>
      <c r="G6372">
        <v>156205032</v>
      </c>
      <c r="H6372">
        <v>156205057</v>
      </c>
      <c r="I6372">
        <v>156205066</v>
      </c>
    </row>
    <row r="6373" spans="1:9" x14ac:dyDescent="0.2">
      <c r="A6373" t="str">
        <f>"Fam163b"</f>
        <v>Fam163b</v>
      </c>
      <c r="B6373" t="s">
        <v>14</v>
      </c>
      <c r="C6373" t="s">
        <v>26</v>
      </c>
      <c r="D6373" t="s">
        <v>11</v>
      </c>
      <c r="E6373" t="s">
        <v>12</v>
      </c>
      <c r="F6373">
        <v>27142429</v>
      </c>
      <c r="G6373">
        <v>27142481</v>
      </c>
      <c r="H6373">
        <v>27142406</v>
      </c>
      <c r="I6373">
        <v>27142425</v>
      </c>
    </row>
    <row r="6374" spans="1:9" x14ac:dyDescent="0.2">
      <c r="A6374" t="str">
        <f>"Fam166a"</f>
        <v>Fam166a</v>
      </c>
      <c r="B6374" t="s">
        <v>14</v>
      </c>
      <c r="C6374" t="s">
        <v>26</v>
      </c>
      <c r="D6374" t="s">
        <v>17</v>
      </c>
      <c r="E6374" t="s">
        <v>12</v>
      </c>
      <c r="F6374">
        <v>25218752</v>
      </c>
      <c r="G6374">
        <v>25218799</v>
      </c>
      <c r="H6374">
        <v>25218741</v>
      </c>
      <c r="I6374">
        <v>25218750</v>
      </c>
    </row>
    <row r="6375" spans="1:9" x14ac:dyDescent="0.2">
      <c r="A6375" t="str">
        <f>"Fam166b"</f>
        <v>Fam166b</v>
      </c>
      <c r="B6375" t="s">
        <v>14</v>
      </c>
      <c r="C6375" t="s">
        <v>23</v>
      </c>
      <c r="D6375" t="s">
        <v>11</v>
      </c>
      <c r="E6375" t="s">
        <v>12</v>
      </c>
      <c r="F6375">
        <v>43429128</v>
      </c>
      <c r="G6375">
        <v>43429139</v>
      </c>
      <c r="H6375">
        <v>43429128</v>
      </c>
      <c r="I6375">
        <v>43429139</v>
      </c>
    </row>
    <row r="6376" spans="1:9" x14ac:dyDescent="0.2">
      <c r="A6376" t="str">
        <f>"Fam167a"</f>
        <v>Fam167a</v>
      </c>
      <c r="B6376" t="s">
        <v>14</v>
      </c>
      <c r="C6376" t="s">
        <v>41</v>
      </c>
      <c r="D6376" t="s">
        <v>17</v>
      </c>
      <c r="E6376" t="s">
        <v>12</v>
      </c>
      <c r="F6376">
        <v>63436490</v>
      </c>
      <c r="G6376">
        <v>63436525</v>
      </c>
      <c r="H6376">
        <v>63436464</v>
      </c>
      <c r="I6376">
        <v>63436478</v>
      </c>
    </row>
    <row r="6377" spans="1:9" x14ac:dyDescent="0.2">
      <c r="A6377" t="str">
        <f>"Fam167b"</f>
        <v>Fam167b</v>
      </c>
      <c r="B6377" t="s">
        <v>14</v>
      </c>
      <c r="C6377" t="s">
        <v>23</v>
      </c>
      <c r="D6377" t="s">
        <v>11</v>
      </c>
      <c r="E6377" t="s">
        <v>12</v>
      </c>
      <c r="F6377">
        <v>129578535</v>
      </c>
      <c r="G6377">
        <v>129578560</v>
      </c>
      <c r="H6377">
        <v>129578521</v>
      </c>
      <c r="I6377">
        <v>129578532</v>
      </c>
    </row>
    <row r="6378" spans="1:9" x14ac:dyDescent="0.2">
      <c r="A6378" t="str">
        <f>"Fam168a"</f>
        <v>Fam168a</v>
      </c>
      <c r="B6378" t="s">
        <v>14</v>
      </c>
      <c r="C6378" t="s">
        <v>33</v>
      </c>
      <c r="D6378" t="s">
        <v>17</v>
      </c>
      <c r="E6378" t="s">
        <v>12</v>
      </c>
      <c r="F6378">
        <v>100706623</v>
      </c>
      <c r="G6378">
        <v>100706668</v>
      </c>
      <c r="H6378">
        <v>100706705</v>
      </c>
      <c r="I6378">
        <v>100706731</v>
      </c>
    </row>
    <row r="6379" spans="1:9" x14ac:dyDescent="0.2">
      <c r="A6379" t="str">
        <f>"Fam168b"</f>
        <v>Fam168b</v>
      </c>
      <c r="B6379" t="s">
        <v>14</v>
      </c>
      <c r="C6379" t="s">
        <v>19</v>
      </c>
      <c r="D6379" t="s">
        <v>11</v>
      </c>
      <c r="E6379" t="s">
        <v>12</v>
      </c>
      <c r="F6379">
        <v>34842987</v>
      </c>
      <c r="G6379">
        <v>34843039</v>
      </c>
      <c r="H6379">
        <v>34842965</v>
      </c>
      <c r="I6379">
        <v>34842976</v>
      </c>
    </row>
    <row r="6380" spans="1:9" x14ac:dyDescent="0.2">
      <c r="A6380" t="str">
        <f>"Fam169a"</f>
        <v>Fam169a</v>
      </c>
      <c r="B6380" t="s">
        <v>14</v>
      </c>
      <c r="C6380" t="s">
        <v>39</v>
      </c>
      <c r="D6380" t="s">
        <v>17</v>
      </c>
      <c r="E6380" t="s">
        <v>12</v>
      </c>
      <c r="F6380">
        <v>97071563</v>
      </c>
      <c r="G6380">
        <v>97071626</v>
      </c>
      <c r="H6380">
        <v>97071472</v>
      </c>
      <c r="I6380">
        <v>97071521</v>
      </c>
    </row>
    <row r="6381" spans="1:9" x14ac:dyDescent="0.2">
      <c r="A6381" t="str">
        <f>"Fam170a"</f>
        <v>Fam170a</v>
      </c>
      <c r="B6381" t="s">
        <v>14</v>
      </c>
      <c r="C6381" t="s">
        <v>43</v>
      </c>
      <c r="D6381" t="s">
        <v>17</v>
      </c>
      <c r="E6381" t="s">
        <v>12</v>
      </c>
      <c r="F6381">
        <v>50278371</v>
      </c>
      <c r="G6381">
        <v>50278403</v>
      </c>
      <c r="H6381">
        <v>50278364</v>
      </c>
      <c r="I6381">
        <v>50278367</v>
      </c>
    </row>
    <row r="6382" spans="1:9" x14ac:dyDescent="0.2">
      <c r="A6382" t="str">
        <f>"Fam170b"</f>
        <v>Fam170b</v>
      </c>
      <c r="B6382" t="s">
        <v>14</v>
      </c>
      <c r="C6382" t="s">
        <v>41</v>
      </c>
      <c r="D6382" t="s">
        <v>17</v>
      </c>
      <c r="E6382" t="s">
        <v>12</v>
      </c>
      <c r="F6382">
        <v>32833968</v>
      </c>
      <c r="G6382">
        <v>32834003</v>
      </c>
      <c r="H6382">
        <v>32833955</v>
      </c>
      <c r="I6382">
        <v>32833966</v>
      </c>
    </row>
    <row r="6383" spans="1:9" x14ac:dyDescent="0.2">
      <c r="A6383" t="str">
        <f>"Fam171a1"</f>
        <v>Fam171a1</v>
      </c>
      <c r="B6383" t="s">
        <v>14</v>
      </c>
      <c r="C6383" t="s">
        <v>26</v>
      </c>
      <c r="D6383" t="s">
        <v>17</v>
      </c>
      <c r="E6383" t="s">
        <v>12</v>
      </c>
      <c r="F6383">
        <v>3118407</v>
      </c>
      <c r="G6383">
        <v>3118476</v>
      </c>
      <c r="H6383">
        <v>3118335</v>
      </c>
      <c r="I6383">
        <v>3118392</v>
      </c>
    </row>
    <row r="6384" spans="1:9" x14ac:dyDescent="0.2">
      <c r="A6384" t="str">
        <f>"Fam171a2"</f>
        <v>Fam171a2</v>
      </c>
      <c r="B6384" t="s">
        <v>14</v>
      </c>
      <c r="C6384" t="s">
        <v>27</v>
      </c>
      <c r="D6384" t="s">
        <v>11</v>
      </c>
      <c r="E6384" t="s">
        <v>12</v>
      </c>
      <c r="F6384">
        <v>102447647</v>
      </c>
      <c r="G6384">
        <v>102447677</v>
      </c>
      <c r="H6384">
        <v>102447612</v>
      </c>
      <c r="I6384">
        <v>102447642</v>
      </c>
    </row>
    <row r="6385" spans="1:9" x14ac:dyDescent="0.2">
      <c r="A6385" t="str">
        <f>"Fam171b"</f>
        <v>Fam171b</v>
      </c>
      <c r="B6385" t="s">
        <v>14</v>
      </c>
      <c r="C6385" t="s">
        <v>26</v>
      </c>
      <c r="D6385" t="s">
        <v>17</v>
      </c>
      <c r="E6385" t="s">
        <v>12</v>
      </c>
      <c r="F6385">
        <v>83812567</v>
      </c>
      <c r="G6385">
        <v>83812643</v>
      </c>
      <c r="H6385">
        <v>83812648</v>
      </c>
      <c r="I6385">
        <v>83812701</v>
      </c>
    </row>
    <row r="6386" spans="1:9" x14ac:dyDescent="0.2">
      <c r="A6386" t="str">
        <f>"Fam172a"</f>
        <v>Fam172a</v>
      </c>
      <c r="B6386" t="s">
        <v>14</v>
      </c>
      <c r="C6386" t="s">
        <v>39</v>
      </c>
      <c r="D6386" t="s">
        <v>17</v>
      </c>
      <c r="E6386" t="s">
        <v>12</v>
      </c>
      <c r="F6386">
        <v>77708683</v>
      </c>
      <c r="G6386">
        <v>77708740</v>
      </c>
      <c r="H6386">
        <v>77708742</v>
      </c>
      <c r="I6386">
        <v>77708752</v>
      </c>
    </row>
    <row r="6387" spans="1:9" x14ac:dyDescent="0.2">
      <c r="A6387" t="str">
        <f>"Fam173a"</f>
        <v>Fam173a</v>
      </c>
      <c r="B6387" t="s">
        <v>14</v>
      </c>
      <c r="C6387" t="s">
        <v>28</v>
      </c>
      <c r="D6387" t="s">
        <v>11</v>
      </c>
      <c r="E6387" t="s">
        <v>12</v>
      </c>
      <c r="F6387">
        <v>25792347</v>
      </c>
      <c r="G6387">
        <v>25792380</v>
      </c>
      <c r="H6387">
        <v>25792383</v>
      </c>
      <c r="I6387">
        <v>25792401</v>
      </c>
    </row>
    <row r="6388" spans="1:9" x14ac:dyDescent="0.2">
      <c r="A6388" t="str">
        <f>"Fam173b"</f>
        <v>Fam173b</v>
      </c>
      <c r="B6388" t="s">
        <v>14</v>
      </c>
      <c r="C6388" t="s">
        <v>25</v>
      </c>
      <c r="D6388" t="s">
        <v>17</v>
      </c>
      <c r="E6388" t="s">
        <v>12</v>
      </c>
      <c r="F6388">
        <v>31602106</v>
      </c>
      <c r="G6388">
        <v>31602132</v>
      </c>
      <c r="H6388">
        <v>31601862</v>
      </c>
      <c r="I6388">
        <v>31601871</v>
      </c>
    </row>
    <row r="6389" spans="1:9" x14ac:dyDescent="0.2">
      <c r="A6389" t="str">
        <f>"Fam174a"</f>
        <v>Fam174a</v>
      </c>
      <c r="B6389" t="s">
        <v>14</v>
      </c>
      <c r="C6389" t="s">
        <v>19</v>
      </c>
      <c r="D6389" t="s">
        <v>17</v>
      </c>
      <c r="E6389" t="s">
        <v>12</v>
      </c>
      <c r="F6389">
        <v>95313607</v>
      </c>
      <c r="G6389">
        <v>95313677</v>
      </c>
      <c r="H6389">
        <v>95313678</v>
      </c>
      <c r="I6389">
        <v>95313704</v>
      </c>
    </row>
    <row r="6390" spans="1:9" x14ac:dyDescent="0.2">
      <c r="A6390" t="str">
        <f>"Fam174b"</f>
        <v>Fam174b</v>
      </c>
      <c r="B6390" t="s">
        <v>14</v>
      </c>
      <c r="C6390" t="s">
        <v>33</v>
      </c>
      <c r="D6390" t="s">
        <v>17</v>
      </c>
      <c r="E6390" t="s">
        <v>12</v>
      </c>
      <c r="F6390">
        <v>73740335</v>
      </c>
      <c r="G6390">
        <v>73740402</v>
      </c>
      <c r="H6390">
        <v>73740277</v>
      </c>
      <c r="I6390">
        <v>73740333</v>
      </c>
    </row>
    <row r="6391" spans="1:9" x14ac:dyDescent="0.2">
      <c r="A6391" t="str">
        <f>"Fam175a"</f>
        <v>Fam175a</v>
      </c>
      <c r="B6391" t="s">
        <v>14</v>
      </c>
      <c r="C6391" t="s">
        <v>46</v>
      </c>
      <c r="D6391" t="s">
        <v>11</v>
      </c>
      <c r="E6391" t="s">
        <v>12</v>
      </c>
      <c r="F6391">
        <v>100820929</v>
      </c>
      <c r="G6391">
        <v>100820975</v>
      </c>
      <c r="H6391">
        <v>100820929</v>
      </c>
      <c r="I6391">
        <v>100820975</v>
      </c>
    </row>
    <row r="6392" spans="1:9" x14ac:dyDescent="0.2">
      <c r="A6392" t="str">
        <f>"Fam175b"</f>
        <v>Fam175b</v>
      </c>
      <c r="B6392" t="s">
        <v>14</v>
      </c>
      <c r="C6392" t="s">
        <v>33</v>
      </c>
      <c r="D6392" t="s">
        <v>17</v>
      </c>
      <c r="E6392" t="s">
        <v>12</v>
      </c>
      <c r="F6392">
        <v>132859238</v>
      </c>
      <c r="G6392">
        <v>132859266</v>
      </c>
      <c r="H6392">
        <v>132859238</v>
      </c>
      <c r="I6392">
        <v>132859266</v>
      </c>
    </row>
    <row r="6393" spans="1:9" x14ac:dyDescent="0.2">
      <c r="A6393" t="str">
        <f>"Fam177a"</f>
        <v>Fam177a</v>
      </c>
      <c r="B6393" t="s">
        <v>2436</v>
      </c>
      <c r="C6393" t="s">
        <v>16</v>
      </c>
      <c r="D6393" t="s">
        <v>17</v>
      </c>
      <c r="E6393" t="s">
        <v>20</v>
      </c>
      <c r="F6393">
        <v>55124527</v>
      </c>
      <c r="G6393">
        <v>55124527</v>
      </c>
      <c r="H6393">
        <v>55124527</v>
      </c>
      <c r="I6393">
        <v>55124527</v>
      </c>
    </row>
    <row r="6394" spans="1:9" x14ac:dyDescent="0.2">
      <c r="A6394" t="str">
        <f>"Fam178a"</f>
        <v>Fam178a</v>
      </c>
      <c r="B6394" t="s">
        <v>14</v>
      </c>
      <c r="C6394" t="s">
        <v>10</v>
      </c>
      <c r="D6394" t="s">
        <v>17</v>
      </c>
      <c r="E6394" t="s">
        <v>12</v>
      </c>
      <c r="F6394">
        <v>44931154</v>
      </c>
      <c r="G6394">
        <v>44931172</v>
      </c>
      <c r="H6394">
        <v>44931154</v>
      </c>
      <c r="I6394">
        <v>44931172</v>
      </c>
    </row>
    <row r="6395" spans="1:9" x14ac:dyDescent="0.2">
      <c r="A6395" t="str">
        <f>"Fam178b"</f>
        <v>Fam178b</v>
      </c>
      <c r="B6395" t="s">
        <v>14</v>
      </c>
      <c r="C6395" t="s">
        <v>19</v>
      </c>
      <c r="D6395" t="s">
        <v>11</v>
      </c>
      <c r="E6395" t="s">
        <v>12</v>
      </c>
      <c r="F6395">
        <v>36683115</v>
      </c>
      <c r="G6395">
        <v>36683154</v>
      </c>
      <c r="H6395">
        <v>36683115</v>
      </c>
      <c r="I6395">
        <v>36683154</v>
      </c>
    </row>
    <row r="6396" spans="1:9" x14ac:dyDescent="0.2">
      <c r="A6396" t="str">
        <f>"Fam179a"</f>
        <v>Fam179a</v>
      </c>
      <c r="B6396" t="s">
        <v>14</v>
      </c>
      <c r="C6396" t="s">
        <v>28</v>
      </c>
      <c r="D6396" t="s">
        <v>17</v>
      </c>
      <c r="E6396" t="s">
        <v>12</v>
      </c>
      <c r="F6396">
        <v>71673255</v>
      </c>
      <c r="G6396">
        <v>71673271</v>
      </c>
      <c r="H6396">
        <v>71673277</v>
      </c>
      <c r="I6396">
        <v>71673288</v>
      </c>
    </row>
    <row r="6397" spans="1:9" x14ac:dyDescent="0.2">
      <c r="A6397" t="str">
        <f>"Fam179b"</f>
        <v>Fam179b</v>
      </c>
      <c r="B6397" t="s">
        <v>14</v>
      </c>
      <c r="C6397" t="s">
        <v>16</v>
      </c>
      <c r="D6397" t="s">
        <v>17</v>
      </c>
      <c r="E6397" t="s">
        <v>12</v>
      </c>
      <c r="F6397">
        <v>64965791</v>
      </c>
      <c r="G6397">
        <v>64965810</v>
      </c>
      <c r="H6397">
        <v>64965756</v>
      </c>
      <c r="I6397">
        <v>64965775</v>
      </c>
    </row>
    <row r="6398" spans="1:9" x14ac:dyDescent="0.2">
      <c r="A6398" t="str">
        <f>"Fam180a"</f>
        <v>Fam180a</v>
      </c>
      <c r="B6398" t="s">
        <v>14</v>
      </c>
      <c r="C6398" t="s">
        <v>32</v>
      </c>
      <c r="D6398" t="s">
        <v>11</v>
      </c>
      <c r="E6398" t="s">
        <v>12</v>
      </c>
      <c r="F6398">
        <v>35326123</v>
      </c>
      <c r="G6398">
        <v>35326155</v>
      </c>
      <c r="H6398">
        <v>35325999</v>
      </c>
      <c r="I6398">
        <v>35326047</v>
      </c>
    </row>
    <row r="6399" spans="1:9" x14ac:dyDescent="0.2">
      <c r="A6399" t="str">
        <f>"Fam181a"</f>
        <v>Fam181a</v>
      </c>
      <c r="B6399" t="s">
        <v>14</v>
      </c>
      <c r="C6399" t="s">
        <v>16</v>
      </c>
      <c r="D6399" t="s">
        <v>17</v>
      </c>
      <c r="E6399" t="s">
        <v>12</v>
      </c>
      <c r="F6399">
        <v>103314944</v>
      </c>
      <c r="G6399">
        <v>103314962</v>
      </c>
      <c r="H6399">
        <v>103314857</v>
      </c>
      <c r="I6399">
        <v>103314892</v>
      </c>
    </row>
    <row r="6400" spans="1:9" x14ac:dyDescent="0.2">
      <c r="A6400" t="str">
        <f>"Fam183b"</f>
        <v>Fam183b</v>
      </c>
      <c r="B6400" t="s">
        <v>14</v>
      </c>
      <c r="C6400" t="s">
        <v>27</v>
      </c>
      <c r="D6400" t="s">
        <v>11</v>
      </c>
      <c r="E6400" t="s">
        <v>12</v>
      </c>
      <c r="F6400">
        <v>58801904</v>
      </c>
      <c r="G6400">
        <v>58801943</v>
      </c>
      <c r="H6400">
        <v>58801944</v>
      </c>
      <c r="I6400">
        <v>58801968</v>
      </c>
    </row>
    <row r="6401" spans="1:9" x14ac:dyDescent="0.2">
      <c r="A6401" t="str">
        <f>"Fam184a"</f>
        <v>Fam184a</v>
      </c>
      <c r="B6401" t="s">
        <v>14</v>
      </c>
      <c r="C6401" t="s">
        <v>15</v>
      </c>
      <c r="D6401" t="s">
        <v>11</v>
      </c>
      <c r="E6401" t="s">
        <v>12</v>
      </c>
      <c r="F6401">
        <v>53751194</v>
      </c>
      <c r="G6401">
        <v>53751266</v>
      </c>
      <c r="H6401">
        <v>53751194</v>
      </c>
      <c r="I6401">
        <v>53751266</v>
      </c>
    </row>
    <row r="6402" spans="1:9" x14ac:dyDescent="0.2">
      <c r="A6402" t="str">
        <f>"Fam184b"</f>
        <v>Fam184b</v>
      </c>
      <c r="B6402" t="s">
        <v>14</v>
      </c>
      <c r="C6402" t="s">
        <v>46</v>
      </c>
      <c r="D6402" t="s">
        <v>11</v>
      </c>
      <c r="E6402" t="s">
        <v>12</v>
      </c>
      <c r="F6402">
        <v>45639368</v>
      </c>
      <c r="G6402">
        <v>45639408</v>
      </c>
      <c r="H6402">
        <v>45639368</v>
      </c>
      <c r="I6402">
        <v>45639408</v>
      </c>
    </row>
    <row r="6403" spans="1:9" x14ac:dyDescent="0.2">
      <c r="A6403" t="str">
        <f>"Fam185a"</f>
        <v>Fam185a</v>
      </c>
      <c r="B6403" t="s">
        <v>14</v>
      </c>
      <c r="C6403" t="s">
        <v>46</v>
      </c>
      <c r="D6403" t="s">
        <v>17</v>
      </c>
      <c r="E6403" t="s">
        <v>12</v>
      </c>
      <c r="F6403">
        <v>21424934</v>
      </c>
      <c r="G6403">
        <v>21425013</v>
      </c>
      <c r="H6403">
        <v>21425038</v>
      </c>
      <c r="I6403">
        <v>21425063</v>
      </c>
    </row>
    <row r="6404" spans="1:9" x14ac:dyDescent="0.2">
      <c r="A6404" t="str">
        <f>"Fam186a"</f>
        <v>Fam186a</v>
      </c>
      <c r="B6404" t="s">
        <v>14</v>
      </c>
      <c r="C6404" t="s">
        <v>25</v>
      </c>
      <c r="D6404" t="s">
        <v>11</v>
      </c>
      <c r="E6404" t="s">
        <v>67</v>
      </c>
      <c r="F6404">
        <v>99967055</v>
      </c>
      <c r="G6404">
        <v>99967066</v>
      </c>
      <c r="H6404">
        <v>99967067</v>
      </c>
      <c r="I6404">
        <v>99967077</v>
      </c>
    </row>
    <row r="6405" spans="1:9" x14ac:dyDescent="0.2">
      <c r="A6405" t="str">
        <f>"Fam186b"</f>
        <v>Fam186b</v>
      </c>
      <c r="B6405" t="s">
        <v>14</v>
      </c>
      <c r="C6405" t="s">
        <v>25</v>
      </c>
      <c r="D6405" t="s">
        <v>11</v>
      </c>
      <c r="E6405" t="s">
        <v>12</v>
      </c>
      <c r="F6405">
        <v>99287174</v>
      </c>
      <c r="G6405">
        <v>99287185</v>
      </c>
      <c r="H6405">
        <v>99287198</v>
      </c>
      <c r="I6405">
        <v>99287201</v>
      </c>
    </row>
    <row r="6406" spans="1:9" x14ac:dyDescent="0.2">
      <c r="A6406" t="str">
        <f>"Fam187a"</f>
        <v>Fam187a</v>
      </c>
      <c r="B6406" t="s">
        <v>14</v>
      </c>
      <c r="C6406" t="s">
        <v>27</v>
      </c>
      <c r="D6406" t="s">
        <v>17</v>
      </c>
      <c r="E6406" t="s">
        <v>12</v>
      </c>
      <c r="F6406">
        <v>102885160</v>
      </c>
      <c r="G6406">
        <v>102885174</v>
      </c>
      <c r="H6406">
        <v>102885140</v>
      </c>
      <c r="I6406">
        <v>102885153</v>
      </c>
    </row>
    <row r="6407" spans="1:9" x14ac:dyDescent="0.2">
      <c r="A6407" t="str">
        <f>"Fam187b"</f>
        <v>Fam187b</v>
      </c>
      <c r="B6407" t="s">
        <v>9</v>
      </c>
      <c r="C6407" t="s">
        <v>33</v>
      </c>
      <c r="D6407" t="s">
        <v>17</v>
      </c>
      <c r="E6407" t="s">
        <v>12</v>
      </c>
      <c r="F6407">
        <v>30981898</v>
      </c>
      <c r="G6407">
        <v>30981924</v>
      </c>
      <c r="H6407">
        <v>30981898</v>
      </c>
      <c r="I6407">
        <v>30981924</v>
      </c>
    </row>
    <row r="6408" spans="1:9" x14ac:dyDescent="0.2">
      <c r="A6408" t="str">
        <f>"Fam187b"</f>
        <v>Fam187b</v>
      </c>
      <c r="B6408" t="s">
        <v>13</v>
      </c>
      <c r="C6408" t="s">
        <v>33</v>
      </c>
      <c r="D6408" t="s">
        <v>17</v>
      </c>
      <c r="E6408" t="s">
        <v>12</v>
      </c>
      <c r="F6408">
        <v>30973786</v>
      </c>
      <c r="G6408">
        <v>30973816</v>
      </c>
      <c r="H6408">
        <v>30973786</v>
      </c>
      <c r="I6408">
        <v>30973816</v>
      </c>
    </row>
    <row r="6409" spans="1:9" x14ac:dyDescent="0.2">
      <c r="A6409" t="str">
        <f>"Fam188a"</f>
        <v>Fam188a</v>
      </c>
      <c r="B6409" t="s">
        <v>14</v>
      </c>
      <c r="C6409" t="s">
        <v>26</v>
      </c>
      <c r="D6409" t="s">
        <v>11</v>
      </c>
      <c r="E6409" t="s">
        <v>12</v>
      </c>
      <c r="F6409">
        <v>12419427</v>
      </c>
      <c r="G6409">
        <v>12419448</v>
      </c>
      <c r="H6409">
        <v>12419401</v>
      </c>
      <c r="I6409">
        <v>12419419</v>
      </c>
    </row>
    <row r="6410" spans="1:9" x14ac:dyDescent="0.2">
      <c r="A6410" t="str">
        <f>"Fam188b"</f>
        <v>Fam188b</v>
      </c>
      <c r="B6410" t="s">
        <v>14</v>
      </c>
      <c r="C6410" t="s">
        <v>32</v>
      </c>
      <c r="D6410" t="s">
        <v>17</v>
      </c>
      <c r="E6410" t="s">
        <v>12</v>
      </c>
      <c r="F6410">
        <v>55203381</v>
      </c>
      <c r="G6410">
        <v>55203459</v>
      </c>
      <c r="H6410">
        <v>55203381</v>
      </c>
      <c r="I6410">
        <v>55203459</v>
      </c>
    </row>
    <row r="6411" spans="1:9" x14ac:dyDescent="0.2">
      <c r="A6411" t="str">
        <f>"Fam189a1"</f>
        <v>Fam189a1</v>
      </c>
      <c r="B6411" t="s">
        <v>14</v>
      </c>
      <c r="C6411" t="s">
        <v>33</v>
      </c>
      <c r="D6411" t="s">
        <v>11</v>
      </c>
      <c r="E6411" t="s">
        <v>12</v>
      </c>
      <c r="F6411">
        <v>65156505</v>
      </c>
      <c r="G6411">
        <v>65156561</v>
      </c>
      <c r="H6411">
        <v>65156583</v>
      </c>
      <c r="I6411">
        <v>65156603</v>
      </c>
    </row>
    <row r="6412" spans="1:9" x14ac:dyDescent="0.2">
      <c r="A6412" t="str">
        <f>"Fam189a2"</f>
        <v>Fam189a2</v>
      </c>
      <c r="B6412" t="s">
        <v>14</v>
      </c>
      <c r="C6412" t="s">
        <v>10</v>
      </c>
      <c r="D6412" t="s">
        <v>11</v>
      </c>
      <c r="E6412" t="s">
        <v>12</v>
      </c>
      <c r="F6412">
        <v>24030917</v>
      </c>
      <c r="G6412">
        <v>24030995</v>
      </c>
      <c r="H6412">
        <v>24031006</v>
      </c>
      <c r="I6412">
        <v>24031028</v>
      </c>
    </row>
    <row r="6413" spans="1:9" x14ac:dyDescent="0.2">
      <c r="A6413" t="str">
        <f>"Fam189b"</f>
        <v>Fam189b</v>
      </c>
      <c r="B6413" t="s">
        <v>9</v>
      </c>
      <c r="C6413" t="s">
        <v>22</v>
      </c>
      <c r="D6413" t="s">
        <v>17</v>
      </c>
      <c r="E6413" t="s">
        <v>12</v>
      </c>
      <c r="F6413">
        <v>89183131</v>
      </c>
      <c r="G6413">
        <v>89183207</v>
      </c>
      <c r="H6413">
        <v>89183131</v>
      </c>
      <c r="I6413">
        <v>89183207</v>
      </c>
    </row>
    <row r="6414" spans="1:9" x14ac:dyDescent="0.2">
      <c r="A6414" t="str">
        <f>"Fam189b"</f>
        <v>Fam189b</v>
      </c>
      <c r="B6414" t="s">
        <v>13</v>
      </c>
      <c r="C6414" t="s">
        <v>22</v>
      </c>
      <c r="D6414" t="s">
        <v>17</v>
      </c>
      <c r="E6414" t="s">
        <v>12</v>
      </c>
      <c r="F6414">
        <v>89187431</v>
      </c>
      <c r="G6414">
        <v>89187457</v>
      </c>
      <c r="H6414">
        <v>89187431</v>
      </c>
      <c r="I6414">
        <v>89187457</v>
      </c>
    </row>
    <row r="6415" spans="1:9" x14ac:dyDescent="0.2">
      <c r="A6415" t="str">
        <f>"Fam192a"</f>
        <v>Fam192a</v>
      </c>
      <c r="B6415" t="s">
        <v>14</v>
      </c>
      <c r="C6415" t="s">
        <v>30</v>
      </c>
      <c r="D6415" t="s">
        <v>11</v>
      </c>
      <c r="E6415" t="s">
        <v>12</v>
      </c>
      <c r="F6415">
        <v>94601632</v>
      </c>
      <c r="G6415">
        <v>94601708</v>
      </c>
      <c r="H6415">
        <v>94601720</v>
      </c>
      <c r="I6415">
        <v>94601739</v>
      </c>
    </row>
    <row r="6416" spans="1:9" x14ac:dyDescent="0.2">
      <c r="A6416" t="str">
        <f>"Fam193a"</f>
        <v>Fam193a</v>
      </c>
      <c r="B6416" t="s">
        <v>14</v>
      </c>
      <c r="C6416" t="s">
        <v>46</v>
      </c>
      <c r="D6416" t="s">
        <v>17</v>
      </c>
      <c r="E6416" t="s">
        <v>12</v>
      </c>
      <c r="F6416">
        <v>34369909</v>
      </c>
      <c r="G6416">
        <v>34369970</v>
      </c>
      <c r="H6416">
        <v>34369894</v>
      </c>
      <c r="I6416">
        <v>34369905</v>
      </c>
    </row>
    <row r="6417" spans="1:9" x14ac:dyDescent="0.2">
      <c r="A6417" t="str">
        <f>"Fam193b"</f>
        <v>Fam193b</v>
      </c>
      <c r="B6417" t="s">
        <v>14</v>
      </c>
      <c r="C6417" t="s">
        <v>39</v>
      </c>
      <c r="D6417" t="s">
        <v>11</v>
      </c>
      <c r="E6417" t="s">
        <v>12</v>
      </c>
      <c r="F6417">
        <v>55571087</v>
      </c>
      <c r="G6417">
        <v>55571108</v>
      </c>
      <c r="H6417">
        <v>55571118</v>
      </c>
      <c r="I6417">
        <v>55571123</v>
      </c>
    </row>
    <row r="6418" spans="1:9" x14ac:dyDescent="0.2">
      <c r="A6418" t="str">
        <f>"Fam194a"</f>
        <v>Fam194a</v>
      </c>
      <c r="B6418" t="s">
        <v>14</v>
      </c>
      <c r="C6418" t="s">
        <v>22</v>
      </c>
      <c r="D6418" t="s">
        <v>11</v>
      </c>
      <c r="E6418" t="s">
        <v>12</v>
      </c>
      <c r="F6418">
        <v>58637201</v>
      </c>
      <c r="G6418">
        <v>58637221</v>
      </c>
      <c r="H6418">
        <v>58637184</v>
      </c>
      <c r="I6418">
        <v>58637198</v>
      </c>
    </row>
    <row r="6419" spans="1:9" x14ac:dyDescent="0.2">
      <c r="A6419" t="str">
        <f>"Fam195a"</f>
        <v>Fam195a</v>
      </c>
      <c r="B6419" t="s">
        <v>14</v>
      </c>
      <c r="C6419" t="s">
        <v>28</v>
      </c>
      <c r="D6419" t="s">
        <v>11</v>
      </c>
      <c r="E6419" t="s">
        <v>12</v>
      </c>
      <c r="F6419">
        <v>25868727</v>
      </c>
      <c r="G6419">
        <v>25868769</v>
      </c>
      <c r="H6419">
        <v>25868694</v>
      </c>
      <c r="I6419">
        <v>25868719</v>
      </c>
    </row>
    <row r="6420" spans="1:9" x14ac:dyDescent="0.2">
      <c r="A6420" t="str">
        <f>"Fam195b"</f>
        <v>Fam195b</v>
      </c>
      <c r="B6420" t="s">
        <v>14</v>
      </c>
      <c r="C6420" t="s">
        <v>27</v>
      </c>
      <c r="D6420" t="s">
        <v>11</v>
      </c>
      <c r="E6420" t="s">
        <v>12</v>
      </c>
      <c r="F6420">
        <v>120549695</v>
      </c>
      <c r="G6420">
        <v>120549728</v>
      </c>
      <c r="H6420">
        <v>120549695</v>
      </c>
      <c r="I6420">
        <v>120549728</v>
      </c>
    </row>
    <row r="6421" spans="1:9" x14ac:dyDescent="0.2">
      <c r="A6421" t="str">
        <f>"Fam196a"</f>
        <v>Fam196a</v>
      </c>
      <c r="B6421" t="s">
        <v>14</v>
      </c>
      <c r="C6421" t="s">
        <v>33</v>
      </c>
      <c r="D6421" t="s">
        <v>11</v>
      </c>
      <c r="E6421" t="s">
        <v>12</v>
      </c>
      <c r="F6421">
        <v>134938264</v>
      </c>
      <c r="G6421">
        <v>134938313</v>
      </c>
      <c r="H6421">
        <v>134938089</v>
      </c>
      <c r="I6421">
        <v>134938109</v>
      </c>
    </row>
    <row r="6422" spans="1:9" x14ac:dyDescent="0.2">
      <c r="A6422" t="str">
        <f>"Fam196b"</f>
        <v>Fam196b</v>
      </c>
      <c r="B6422" t="s">
        <v>14</v>
      </c>
      <c r="C6422" t="s">
        <v>27</v>
      </c>
      <c r="D6422" t="s">
        <v>17</v>
      </c>
      <c r="E6422" t="s">
        <v>12</v>
      </c>
      <c r="F6422">
        <v>34314757</v>
      </c>
      <c r="G6422">
        <v>34314786</v>
      </c>
      <c r="H6422">
        <v>34314718</v>
      </c>
      <c r="I6422">
        <v>34314744</v>
      </c>
    </row>
    <row r="6423" spans="1:9" x14ac:dyDescent="0.2">
      <c r="A6423" t="str">
        <f>"Fam198a"</f>
        <v>Fam198a</v>
      </c>
      <c r="B6423" t="s">
        <v>14</v>
      </c>
      <c r="C6423" t="s">
        <v>24</v>
      </c>
      <c r="D6423" t="s">
        <v>17</v>
      </c>
      <c r="E6423" t="s">
        <v>12</v>
      </c>
      <c r="F6423">
        <v>121951047</v>
      </c>
      <c r="G6423">
        <v>121951087</v>
      </c>
      <c r="H6423">
        <v>121951008</v>
      </c>
      <c r="I6423">
        <v>121951044</v>
      </c>
    </row>
    <row r="6424" spans="1:9" x14ac:dyDescent="0.2">
      <c r="A6424" t="str">
        <f>"Fam198b"</f>
        <v>Fam198b</v>
      </c>
      <c r="B6424" t="s">
        <v>9</v>
      </c>
      <c r="C6424" t="s">
        <v>22</v>
      </c>
      <c r="D6424" t="s">
        <v>17</v>
      </c>
      <c r="E6424" t="s">
        <v>12</v>
      </c>
      <c r="F6424">
        <v>79884496</v>
      </c>
      <c r="G6424">
        <v>79884571</v>
      </c>
      <c r="H6424">
        <v>79884496</v>
      </c>
      <c r="I6424">
        <v>79884571</v>
      </c>
    </row>
    <row r="6425" spans="1:9" x14ac:dyDescent="0.2">
      <c r="A6425" t="str">
        <f>"Fam198b"</f>
        <v>Fam198b</v>
      </c>
      <c r="B6425" t="s">
        <v>13</v>
      </c>
      <c r="C6425" t="s">
        <v>22</v>
      </c>
      <c r="D6425" t="s">
        <v>17</v>
      </c>
      <c r="E6425" t="s">
        <v>12</v>
      </c>
      <c r="F6425">
        <v>79886040</v>
      </c>
      <c r="G6425">
        <v>79886064</v>
      </c>
      <c r="H6425">
        <v>79886040</v>
      </c>
      <c r="I6425">
        <v>79886064</v>
      </c>
    </row>
    <row r="6426" spans="1:9" x14ac:dyDescent="0.2">
      <c r="A6426" t="str">
        <f>"Fam199x"</f>
        <v>Fam199x</v>
      </c>
      <c r="B6426" t="s">
        <v>14</v>
      </c>
      <c r="C6426" t="s">
        <v>37</v>
      </c>
      <c r="D6426" t="s">
        <v>17</v>
      </c>
      <c r="E6426" t="s">
        <v>12</v>
      </c>
      <c r="F6426">
        <v>137049586</v>
      </c>
      <c r="G6426">
        <v>137049654</v>
      </c>
      <c r="H6426">
        <v>137049553</v>
      </c>
      <c r="I6426">
        <v>137049582</v>
      </c>
    </row>
    <row r="6427" spans="1:9" x14ac:dyDescent="0.2">
      <c r="A6427" t="str">
        <f>"Fam19a1"</f>
        <v>Fam19a1</v>
      </c>
      <c r="B6427" t="s">
        <v>14</v>
      </c>
      <c r="C6427" t="s">
        <v>32</v>
      </c>
      <c r="D6427" t="s">
        <v>17</v>
      </c>
      <c r="E6427" t="s">
        <v>12</v>
      </c>
      <c r="F6427">
        <v>96113146</v>
      </c>
      <c r="G6427">
        <v>96113170</v>
      </c>
      <c r="H6427">
        <v>96113146</v>
      </c>
      <c r="I6427">
        <v>96113170</v>
      </c>
    </row>
    <row r="6428" spans="1:9" x14ac:dyDescent="0.2">
      <c r="A6428" t="str">
        <f>"Fam19a2"</f>
        <v>Fam19a2</v>
      </c>
      <c r="B6428" t="s">
        <v>14</v>
      </c>
      <c r="C6428" t="s">
        <v>15</v>
      </c>
      <c r="D6428" t="s">
        <v>17</v>
      </c>
      <c r="E6428" t="s">
        <v>12</v>
      </c>
      <c r="F6428">
        <v>123264108</v>
      </c>
      <c r="G6428">
        <v>123264125</v>
      </c>
      <c r="H6428">
        <v>123264039</v>
      </c>
      <c r="I6428">
        <v>123264066</v>
      </c>
    </row>
    <row r="6429" spans="1:9" x14ac:dyDescent="0.2">
      <c r="A6429" t="str">
        <f>"Fam19a3"</f>
        <v>Fam19a3</v>
      </c>
      <c r="B6429" t="s">
        <v>14</v>
      </c>
      <c r="C6429" t="s">
        <v>22</v>
      </c>
      <c r="D6429" t="s">
        <v>11</v>
      </c>
      <c r="E6429" t="s">
        <v>12</v>
      </c>
      <c r="F6429">
        <v>104777502</v>
      </c>
      <c r="G6429">
        <v>104777512</v>
      </c>
      <c r="H6429">
        <v>104777483</v>
      </c>
      <c r="I6429">
        <v>104777493</v>
      </c>
    </row>
    <row r="6430" spans="1:9" x14ac:dyDescent="0.2">
      <c r="A6430" t="str">
        <f>"Fam19a4"</f>
        <v>Fam19a4</v>
      </c>
      <c r="B6430" t="s">
        <v>14</v>
      </c>
      <c r="C6430" t="s">
        <v>32</v>
      </c>
      <c r="D6430" t="s">
        <v>11</v>
      </c>
      <c r="E6430" t="s">
        <v>12</v>
      </c>
      <c r="F6430">
        <v>97060407</v>
      </c>
      <c r="G6430">
        <v>97060420</v>
      </c>
      <c r="H6430">
        <v>97060380</v>
      </c>
      <c r="I6430">
        <v>97060386</v>
      </c>
    </row>
    <row r="6431" spans="1:9" x14ac:dyDescent="0.2">
      <c r="A6431" t="str">
        <f>"Fam19a5"</f>
        <v>Fam19a5</v>
      </c>
      <c r="B6431" t="s">
        <v>14</v>
      </c>
      <c r="C6431" t="s">
        <v>25</v>
      </c>
      <c r="D6431" t="s">
        <v>17</v>
      </c>
      <c r="E6431" t="s">
        <v>12</v>
      </c>
      <c r="F6431">
        <v>87625245</v>
      </c>
      <c r="G6431">
        <v>87625261</v>
      </c>
      <c r="H6431">
        <v>87625245</v>
      </c>
      <c r="I6431">
        <v>87625261</v>
      </c>
    </row>
    <row r="6432" spans="1:9" x14ac:dyDescent="0.2">
      <c r="A6432" t="str">
        <f>"Fam203a"</f>
        <v>Fam203a</v>
      </c>
      <c r="B6432" t="s">
        <v>14</v>
      </c>
      <c r="C6432" t="s">
        <v>25</v>
      </c>
      <c r="D6432" t="s">
        <v>17</v>
      </c>
      <c r="E6432" t="s">
        <v>12</v>
      </c>
      <c r="F6432">
        <v>76368884</v>
      </c>
      <c r="G6432">
        <v>76368936</v>
      </c>
      <c r="H6432">
        <v>76368884</v>
      </c>
      <c r="I6432">
        <v>76368936</v>
      </c>
    </row>
    <row r="6433" spans="1:9" x14ac:dyDescent="0.2">
      <c r="A6433" t="str">
        <f>"Fam207a"</f>
        <v>Fam207a</v>
      </c>
      <c r="B6433" t="s">
        <v>14</v>
      </c>
      <c r="C6433" t="s">
        <v>15</v>
      </c>
      <c r="D6433" t="s">
        <v>11</v>
      </c>
      <c r="E6433" t="s">
        <v>67</v>
      </c>
      <c r="F6433">
        <v>77515775</v>
      </c>
      <c r="G6433">
        <v>77515818</v>
      </c>
      <c r="H6433">
        <v>77515751</v>
      </c>
      <c r="I6433">
        <v>77515762</v>
      </c>
    </row>
    <row r="6434" spans="1:9" x14ac:dyDescent="0.2">
      <c r="A6434" t="str">
        <f>"Fam209"</f>
        <v>Fam209</v>
      </c>
      <c r="B6434" t="s">
        <v>14</v>
      </c>
      <c r="C6434" t="s">
        <v>26</v>
      </c>
      <c r="D6434" t="s">
        <v>17</v>
      </c>
      <c r="E6434" t="s">
        <v>67</v>
      </c>
      <c r="F6434">
        <v>172472512</v>
      </c>
      <c r="G6434">
        <v>172472535</v>
      </c>
      <c r="H6434">
        <v>172472538</v>
      </c>
      <c r="I6434">
        <v>172472553</v>
      </c>
    </row>
    <row r="6435" spans="1:9" x14ac:dyDescent="0.2">
      <c r="A6435" t="str">
        <f>"Fam20a"</f>
        <v>Fam20a</v>
      </c>
      <c r="B6435" t="s">
        <v>14</v>
      </c>
      <c r="C6435" t="s">
        <v>27</v>
      </c>
      <c r="D6435" t="s">
        <v>11</v>
      </c>
      <c r="E6435" t="s">
        <v>12</v>
      </c>
      <c r="F6435">
        <v>109722214</v>
      </c>
      <c r="G6435">
        <v>109722289</v>
      </c>
      <c r="H6435">
        <v>109722214</v>
      </c>
      <c r="I6435">
        <v>109722289</v>
      </c>
    </row>
    <row r="6436" spans="1:9" x14ac:dyDescent="0.2">
      <c r="A6436" t="str">
        <f>"Fam20b"</f>
        <v>Fam20b</v>
      </c>
      <c r="B6436" t="s">
        <v>14</v>
      </c>
      <c r="C6436" t="s">
        <v>19</v>
      </c>
      <c r="D6436" t="s">
        <v>11</v>
      </c>
      <c r="E6436" t="s">
        <v>12</v>
      </c>
      <c r="F6436">
        <v>156718894</v>
      </c>
      <c r="G6436">
        <v>156718935</v>
      </c>
      <c r="H6436">
        <v>156718946</v>
      </c>
      <c r="I6436">
        <v>156718973</v>
      </c>
    </row>
    <row r="6437" spans="1:9" x14ac:dyDescent="0.2">
      <c r="A6437" t="str">
        <f>"Fam20c"</f>
        <v>Fam20c</v>
      </c>
      <c r="B6437" t="s">
        <v>14</v>
      </c>
      <c r="C6437" t="s">
        <v>46</v>
      </c>
      <c r="D6437" t="s">
        <v>17</v>
      </c>
      <c r="E6437" t="s">
        <v>12</v>
      </c>
      <c r="F6437">
        <v>138755072</v>
      </c>
      <c r="G6437">
        <v>138755090</v>
      </c>
      <c r="H6437">
        <v>138754525</v>
      </c>
      <c r="I6437">
        <v>138754607</v>
      </c>
    </row>
    <row r="6438" spans="1:9" x14ac:dyDescent="0.2">
      <c r="A6438" t="str">
        <f>"Fam21"</f>
        <v>Fam21</v>
      </c>
      <c r="B6438" t="s">
        <v>14</v>
      </c>
      <c r="C6438" t="s">
        <v>32</v>
      </c>
      <c r="D6438" t="s">
        <v>17</v>
      </c>
      <c r="E6438" t="s">
        <v>67</v>
      </c>
      <c r="F6438">
        <v>116208030</v>
      </c>
      <c r="G6438">
        <v>116208114</v>
      </c>
      <c r="H6438">
        <v>116208116</v>
      </c>
      <c r="I6438">
        <v>116208130</v>
      </c>
    </row>
    <row r="6439" spans="1:9" x14ac:dyDescent="0.2">
      <c r="A6439" t="str">
        <f>"Fam210a"</f>
        <v>Fam210a</v>
      </c>
      <c r="B6439" t="s">
        <v>14</v>
      </c>
      <c r="C6439" t="s">
        <v>43</v>
      </c>
      <c r="D6439" t="s">
        <v>11</v>
      </c>
      <c r="E6439" t="s">
        <v>67</v>
      </c>
      <c r="F6439">
        <v>68300194</v>
      </c>
      <c r="G6439">
        <v>68300228</v>
      </c>
      <c r="H6439">
        <v>68300149</v>
      </c>
      <c r="I6439">
        <v>68300193</v>
      </c>
    </row>
    <row r="6440" spans="1:9" x14ac:dyDescent="0.2">
      <c r="A6440" t="str">
        <f>"Fam210b"</f>
        <v>Fam210b</v>
      </c>
      <c r="B6440" t="s">
        <v>14</v>
      </c>
      <c r="C6440" t="s">
        <v>26</v>
      </c>
      <c r="D6440" t="s">
        <v>17</v>
      </c>
      <c r="E6440" t="s">
        <v>67</v>
      </c>
      <c r="F6440">
        <v>172345628</v>
      </c>
      <c r="G6440">
        <v>172345647</v>
      </c>
      <c r="H6440">
        <v>172345595</v>
      </c>
      <c r="I6440">
        <v>172345626</v>
      </c>
    </row>
    <row r="6441" spans="1:9" x14ac:dyDescent="0.2">
      <c r="A6441" t="str">
        <f>"Fam211a"</f>
        <v>Fam211a</v>
      </c>
      <c r="B6441" t="s">
        <v>14</v>
      </c>
      <c r="C6441" t="s">
        <v>27</v>
      </c>
      <c r="D6441" t="s">
        <v>11</v>
      </c>
      <c r="E6441" t="s">
        <v>67</v>
      </c>
      <c r="F6441">
        <v>62648458</v>
      </c>
      <c r="G6441">
        <v>62648514</v>
      </c>
      <c r="H6441">
        <v>62648563</v>
      </c>
      <c r="I6441">
        <v>62648591</v>
      </c>
    </row>
    <row r="6442" spans="1:9" x14ac:dyDescent="0.2">
      <c r="A6442" t="str">
        <f>"Fam211b"</f>
        <v>Fam211b</v>
      </c>
      <c r="B6442" t="s">
        <v>14</v>
      </c>
      <c r="C6442" t="s">
        <v>15</v>
      </c>
      <c r="D6442" t="s">
        <v>11</v>
      </c>
      <c r="E6442" t="s">
        <v>67</v>
      </c>
      <c r="F6442">
        <v>75560127</v>
      </c>
      <c r="G6442">
        <v>75560172</v>
      </c>
      <c r="H6442">
        <v>75560185</v>
      </c>
      <c r="I6442">
        <v>75560218</v>
      </c>
    </row>
    <row r="6443" spans="1:9" x14ac:dyDescent="0.2">
      <c r="A6443" t="str">
        <f>"Fam212a"</f>
        <v>Fam212a</v>
      </c>
      <c r="B6443" t="s">
        <v>14</v>
      </c>
      <c r="C6443" t="s">
        <v>24</v>
      </c>
      <c r="D6443" t="s">
        <v>11</v>
      </c>
      <c r="E6443" t="s">
        <v>67</v>
      </c>
      <c r="F6443">
        <v>107985863</v>
      </c>
      <c r="G6443">
        <v>107985893</v>
      </c>
      <c r="H6443">
        <v>107985907</v>
      </c>
      <c r="I6443">
        <v>107985924</v>
      </c>
    </row>
    <row r="6444" spans="1:9" x14ac:dyDescent="0.2">
      <c r="A6444" t="str">
        <f>"Fam212b"</f>
        <v>Fam212b</v>
      </c>
      <c r="B6444" t="s">
        <v>14</v>
      </c>
      <c r="C6444" t="s">
        <v>22</v>
      </c>
      <c r="D6444" t="s">
        <v>17</v>
      </c>
      <c r="E6444" t="s">
        <v>67</v>
      </c>
      <c r="F6444">
        <v>105704657</v>
      </c>
      <c r="G6444">
        <v>105704680</v>
      </c>
      <c r="H6444">
        <v>105704688</v>
      </c>
      <c r="I6444">
        <v>105704697</v>
      </c>
    </row>
    <row r="6445" spans="1:9" x14ac:dyDescent="0.2">
      <c r="A6445" t="str">
        <f>"Fam213a"</f>
        <v>Fam213a</v>
      </c>
      <c r="B6445" t="s">
        <v>14</v>
      </c>
      <c r="C6445" t="s">
        <v>41</v>
      </c>
      <c r="D6445" t="s">
        <v>11</v>
      </c>
      <c r="E6445" t="s">
        <v>67</v>
      </c>
      <c r="F6445">
        <v>41013753</v>
      </c>
      <c r="G6445">
        <v>41013817</v>
      </c>
      <c r="H6445">
        <v>41013753</v>
      </c>
      <c r="I6445">
        <v>41013817</v>
      </c>
    </row>
    <row r="6446" spans="1:9" x14ac:dyDescent="0.2">
      <c r="A6446" t="str">
        <f>"Fam213b"</f>
        <v>Fam213b</v>
      </c>
      <c r="B6446" t="s">
        <v>14</v>
      </c>
      <c r="C6446" t="s">
        <v>23</v>
      </c>
      <c r="D6446" t="s">
        <v>11</v>
      </c>
      <c r="E6446" t="s">
        <v>67</v>
      </c>
      <c r="F6446">
        <v>154899037</v>
      </c>
      <c r="G6446">
        <v>154899073</v>
      </c>
      <c r="H6446">
        <v>154899077</v>
      </c>
      <c r="I6446">
        <v>154899097</v>
      </c>
    </row>
    <row r="6447" spans="1:9" x14ac:dyDescent="0.2">
      <c r="A6447" t="str">
        <f>"Fam214a"</f>
        <v>Fam214a</v>
      </c>
      <c r="B6447" t="s">
        <v>2437</v>
      </c>
      <c r="C6447" t="s">
        <v>24</v>
      </c>
      <c r="D6447" t="s">
        <v>17</v>
      </c>
      <c r="E6447" t="s">
        <v>35</v>
      </c>
      <c r="F6447">
        <v>74952852</v>
      </c>
      <c r="G6447">
        <v>74952935</v>
      </c>
      <c r="H6447">
        <v>74953156</v>
      </c>
      <c r="I6447">
        <v>74953209</v>
      </c>
    </row>
    <row r="6448" spans="1:9" x14ac:dyDescent="0.2">
      <c r="A6448" t="str">
        <f>"Fam214b"</f>
        <v>Fam214b</v>
      </c>
      <c r="B6448" t="s">
        <v>9</v>
      </c>
      <c r="C6448" t="s">
        <v>23</v>
      </c>
      <c r="D6448" t="s">
        <v>11</v>
      </c>
      <c r="E6448" t="s">
        <v>67</v>
      </c>
      <c r="F6448">
        <v>43040151</v>
      </c>
      <c r="G6448">
        <v>43040173</v>
      </c>
      <c r="H6448">
        <v>43040151</v>
      </c>
      <c r="I6448">
        <v>43040173</v>
      </c>
    </row>
    <row r="6449" spans="1:9" x14ac:dyDescent="0.2">
      <c r="A6449" t="str">
        <f>"Fam214b"</f>
        <v>Fam214b</v>
      </c>
      <c r="B6449" t="s">
        <v>13</v>
      </c>
      <c r="C6449" t="s">
        <v>23</v>
      </c>
      <c r="D6449" t="s">
        <v>11</v>
      </c>
      <c r="E6449" t="s">
        <v>67</v>
      </c>
      <c r="F6449">
        <v>43045686</v>
      </c>
      <c r="G6449">
        <v>43045747</v>
      </c>
      <c r="H6449">
        <v>43045686</v>
      </c>
      <c r="I6449">
        <v>43045747</v>
      </c>
    </row>
    <row r="6450" spans="1:9" x14ac:dyDescent="0.2">
      <c r="A6450" t="str">
        <f>"Fam216a"</f>
        <v>Fam216a</v>
      </c>
      <c r="B6450" t="s">
        <v>14</v>
      </c>
      <c r="C6450" t="s">
        <v>46</v>
      </c>
      <c r="D6450" t="s">
        <v>11</v>
      </c>
      <c r="E6450" t="s">
        <v>67</v>
      </c>
      <c r="F6450">
        <v>122372230</v>
      </c>
      <c r="G6450">
        <v>122372390</v>
      </c>
      <c r="H6450">
        <v>122372012</v>
      </c>
      <c r="I6450">
        <v>122372070</v>
      </c>
    </row>
    <row r="6451" spans="1:9" x14ac:dyDescent="0.2">
      <c r="A6451" t="str">
        <f>"Fam216b"</f>
        <v>Fam216b</v>
      </c>
      <c r="B6451" t="s">
        <v>14</v>
      </c>
      <c r="C6451" t="s">
        <v>41</v>
      </c>
      <c r="D6451" t="s">
        <v>11</v>
      </c>
      <c r="E6451" t="s">
        <v>67</v>
      </c>
      <c r="F6451">
        <v>78088994</v>
      </c>
      <c r="G6451">
        <v>78089031</v>
      </c>
      <c r="H6451">
        <v>78088977</v>
      </c>
      <c r="I6451">
        <v>78088993</v>
      </c>
    </row>
    <row r="6452" spans="1:9" x14ac:dyDescent="0.2">
      <c r="A6452" t="str">
        <f>"Fam217a"</f>
        <v>Fam217a</v>
      </c>
      <c r="B6452" t="s">
        <v>2438</v>
      </c>
      <c r="C6452" t="s">
        <v>39</v>
      </c>
      <c r="D6452" t="s">
        <v>11</v>
      </c>
      <c r="E6452" t="s">
        <v>20</v>
      </c>
      <c r="F6452">
        <v>34919991</v>
      </c>
      <c r="G6452">
        <v>34919991</v>
      </c>
      <c r="H6452">
        <v>34919991</v>
      </c>
      <c r="I6452">
        <v>34919991</v>
      </c>
    </row>
    <row r="6453" spans="1:9" x14ac:dyDescent="0.2">
      <c r="A6453" t="str">
        <f>"Fam217b"</f>
        <v>Fam217b</v>
      </c>
      <c r="B6453" t="s">
        <v>14</v>
      </c>
      <c r="C6453" t="s">
        <v>26</v>
      </c>
      <c r="D6453" t="s">
        <v>17</v>
      </c>
      <c r="E6453" t="s">
        <v>67</v>
      </c>
      <c r="F6453">
        <v>178414512</v>
      </c>
      <c r="G6453">
        <v>178414591</v>
      </c>
      <c r="H6453">
        <v>178414451</v>
      </c>
      <c r="I6453">
        <v>178414462</v>
      </c>
    </row>
    <row r="6454" spans="1:9" x14ac:dyDescent="0.2">
      <c r="A6454" t="str">
        <f>"Fam219a"</f>
        <v>Fam219a</v>
      </c>
      <c r="B6454" t="s">
        <v>14</v>
      </c>
      <c r="C6454" t="s">
        <v>23</v>
      </c>
      <c r="D6454" t="s">
        <v>11</v>
      </c>
      <c r="E6454" t="s">
        <v>67</v>
      </c>
      <c r="F6454">
        <v>41569502</v>
      </c>
      <c r="G6454">
        <v>41569551</v>
      </c>
      <c r="H6454">
        <v>41569434</v>
      </c>
      <c r="I6454">
        <v>41569465</v>
      </c>
    </row>
    <row r="6455" spans="1:9" x14ac:dyDescent="0.2">
      <c r="A6455" t="str">
        <f>"Fam219b"</f>
        <v>Fam219b</v>
      </c>
      <c r="B6455" t="s">
        <v>14</v>
      </c>
      <c r="C6455" t="s">
        <v>24</v>
      </c>
      <c r="D6455" t="s">
        <v>17</v>
      </c>
      <c r="E6455" t="s">
        <v>67</v>
      </c>
      <c r="F6455">
        <v>57537583</v>
      </c>
      <c r="G6455">
        <v>57537634</v>
      </c>
      <c r="H6455">
        <v>57537518</v>
      </c>
      <c r="I6455">
        <v>57537577</v>
      </c>
    </row>
    <row r="6456" spans="1:9" x14ac:dyDescent="0.2">
      <c r="A6456" t="str">
        <f>"Fam220a"</f>
        <v>Fam220a</v>
      </c>
      <c r="B6456" t="s">
        <v>14</v>
      </c>
      <c r="C6456" t="s">
        <v>46</v>
      </c>
      <c r="D6456" t="s">
        <v>17</v>
      </c>
      <c r="E6456" t="s">
        <v>67</v>
      </c>
      <c r="F6456">
        <v>143548700</v>
      </c>
      <c r="G6456">
        <v>143548756</v>
      </c>
      <c r="H6456">
        <v>143548832</v>
      </c>
      <c r="I6456">
        <v>143548858</v>
      </c>
    </row>
    <row r="6457" spans="1:9" x14ac:dyDescent="0.2">
      <c r="A6457" t="str">
        <f>"Fam221a"</f>
        <v>Fam221a</v>
      </c>
      <c r="B6457" t="s">
        <v>14</v>
      </c>
      <c r="C6457" t="s">
        <v>32</v>
      </c>
      <c r="D6457" t="s">
        <v>17</v>
      </c>
      <c r="E6457" t="s">
        <v>67</v>
      </c>
      <c r="F6457">
        <v>49367789</v>
      </c>
      <c r="G6457">
        <v>49367866</v>
      </c>
      <c r="H6457">
        <v>49367888</v>
      </c>
      <c r="I6457">
        <v>49367900</v>
      </c>
    </row>
    <row r="6458" spans="1:9" x14ac:dyDescent="0.2">
      <c r="A6458" t="str">
        <f>"Fam221b"</f>
        <v>Fam221b</v>
      </c>
      <c r="B6458" t="s">
        <v>14</v>
      </c>
      <c r="C6458" t="s">
        <v>23</v>
      </c>
      <c r="D6458" t="s">
        <v>11</v>
      </c>
      <c r="E6458" t="s">
        <v>67</v>
      </c>
      <c r="F6458">
        <v>43668800</v>
      </c>
      <c r="G6458">
        <v>43668831</v>
      </c>
      <c r="H6458">
        <v>43669146</v>
      </c>
      <c r="I6458">
        <v>43669200</v>
      </c>
    </row>
    <row r="6459" spans="1:9" x14ac:dyDescent="0.2">
      <c r="A6459" t="str">
        <f>"Fam222a"</f>
        <v>Fam222a</v>
      </c>
      <c r="B6459" t="s">
        <v>14</v>
      </c>
      <c r="C6459" t="s">
        <v>46</v>
      </c>
      <c r="D6459" t="s">
        <v>17</v>
      </c>
      <c r="E6459" t="s">
        <v>67</v>
      </c>
      <c r="F6459">
        <v>114568320</v>
      </c>
      <c r="G6459">
        <v>114568324</v>
      </c>
      <c r="H6459">
        <v>114568134</v>
      </c>
      <c r="I6459">
        <v>114568138</v>
      </c>
    </row>
    <row r="6460" spans="1:9" x14ac:dyDescent="0.2">
      <c r="A6460" t="str">
        <f>"Fam222b"</f>
        <v>Fam222b</v>
      </c>
      <c r="B6460" t="s">
        <v>14</v>
      </c>
      <c r="C6460" t="s">
        <v>27</v>
      </c>
      <c r="D6460" t="s">
        <v>17</v>
      </c>
      <c r="E6460" t="s">
        <v>67</v>
      </c>
      <c r="F6460">
        <v>78094682</v>
      </c>
      <c r="G6460">
        <v>78094696</v>
      </c>
      <c r="H6460">
        <v>78094667</v>
      </c>
      <c r="I6460">
        <v>78094678</v>
      </c>
    </row>
    <row r="6461" spans="1:9" x14ac:dyDescent="0.2">
      <c r="A6461" t="str">
        <f>"Fam227a"</f>
        <v>Fam227a</v>
      </c>
      <c r="B6461" t="s">
        <v>14</v>
      </c>
      <c r="C6461" t="s">
        <v>25</v>
      </c>
      <c r="D6461" t="s">
        <v>11</v>
      </c>
      <c r="E6461" t="s">
        <v>67</v>
      </c>
      <c r="F6461">
        <v>79658889</v>
      </c>
      <c r="G6461">
        <v>79658933</v>
      </c>
      <c r="H6461">
        <v>79658854</v>
      </c>
      <c r="I6461">
        <v>79658888</v>
      </c>
    </row>
    <row r="6462" spans="1:9" x14ac:dyDescent="0.2">
      <c r="A6462" t="str">
        <f>"Fam227b"</f>
        <v>Fam227b</v>
      </c>
      <c r="B6462" t="s">
        <v>14</v>
      </c>
      <c r="C6462" t="s">
        <v>26</v>
      </c>
      <c r="D6462" t="s">
        <v>11</v>
      </c>
      <c r="E6462" t="s">
        <v>67</v>
      </c>
      <c r="F6462">
        <v>126151968</v>
      </c>
      <c r="G6462">
        <v>126152009</v>
      </c>
      <c r="H6462">
        <v>126152015</v>
      </c>
      <c r="I6462">
        <v>126152042</v>
      </c>
    </row>
    <row r="6463" spans="1:9" x14ac:dyDescent="0.2">
      <c r="A6463" t="str">
        <f>"Fam228a"</f>
        <v>Fam228a</v>
      </c>
      <c r="B6463" t="s">
        <v>14</v>
      </c>
      <c r="C6463" t="s">
        <v>16</v>
      </c>
      <c r="D6463" t="s">
        <v>11</v>
      </c>
      <c r="E6463" t="s">
        <v>67</v>
      </c>
      <c r="F6463">
        <v>4738411</v>
      </c>
      <c r="G6463">
        <v>4738444</v>
      </c>
      <c r="H6463">
        <v>4738375</v>
      </c>
      <c r="I6463">
        <v>4738388</v>
      </c>
    </row>
    <row r="6464" spans="1:9" x14ac:dyDescent="0.2">
      <c r="A6464" t="str">
        <f>"Fam228b"</f>
        <v>Fam228b</v>
      </c>
      <c r="B6464" t="s">
        <v>14</v>
      </c>
      <c r="C6464" t="s">
        <v>16</v>
      </c>
      <c r="D6464" t="s">
        <v>11</v>
      </c>
      <c r="E6464" t="s">
        <v>67</v>
      </c>
      <c r="F6464">
        <v>4769217</v>
      </c>
      <c r="G6464">
        <v>4769267</v>
      </c>
      <c r="H6464">
        <v>4769192</v>
      </c>
      <c r="I6464">
        <v>4769210</v>
      </c>
    </row>
    <row r="6465" spans="1:9" x14ac:dyDescent="0.2">
      <c r="A6465" t="str">
        <f>"Fam229a"</f>
        <v>Fam229a</v>
      </c>
      <c r="B6465" t="s">
        <v>14</v>
      </c>
      <c r="C6465" t="s">
        <v>23</v>
      </c>
      <c r="D6465" t="s">
        <v>17</v>
      </c>
      <c r="E6465" t="s">
        <v>67</v>
      </c>
      <c r="F6465">
        <v>129491231</v>
      </c>
      <c r="G6465">
        <v>129491246</v>
      </c>
      <c r="H6465">
        <v>129491192</v>
      </c>
      <c r="I6465">
        <v>129491220</v>
      </c>
    </row>
    <row r="6466" spans="1:9" x14ac:dyDescent="0.2">
      <c r="A6466" t="str">
        <f>"Fam229b"</f>
        <v>Fam229b</v>
      </c>
      <c r="B6466" t="s">
        <v>14</v>
      </c>
      <c r="C6466" t="s">
        <v>15</v>
      </c>
      <c r="D6466" t="s">
        <v>11</v>
      </c>
      <c r="E6466" t="s">
        <v>67</v>
      </c>
      <c r="F6466">
        <v>39133855</v>
      </c>
      <c r="G6466">
        <v>39133912</v>
      </c>
      <c r="H6466">
        <v>39133855</v>
      </c>
      <c r="I6466">
        <v>39133912</v>
      </c>
    </row>
    <row r="6467" spans="1:9" x14ac:dyDescent="0.2">
      <c r="A6467" t="str">
        <f>"Fam24a"</f>
        <v>Fam24a</v>
      </c>
      <c r="B6467" t="s">
        <v>14</v>
      </c>
      <c r="C6467" t="s">
        <v>33</v>
      </c>
      <c r="D6467" t="s">
        <v>17</v>
      </c>
      <c r="E6467" t="s">
        <v>12</v>
      </c>
      <c r="F6467">
        <v>131334529</v>
      </c>
      <c r="G6467">
        <v>131334565</v>
      </c>
      <c r="H6467">
        <v>131334529</v>
      </c>
      <c r="I6467">
        <v>131334565</v>
      </c>
    </row>
    <row r="6468" spans="1:9" x14ac:dyDescent="0.2">
      <c r="A6468" t="str">
        <f>"Fam25c"</f>
        <v>Fam25c</v>
      </c>
      <c r="B6468" t="s">
        <v>14</v>
      </c>
      <c r="C6468" t="s">
        <v>41</v>
      </c>
      <c r="D6468" t="s">
        <v>11</v>
      </c>
      <c r="E6468" t="s">
        <v>12</v>
      </c>
      <c r="F6468">
        <v>34355383</v>
      </c>
      <c r="G6468">
        <v>34355401</v>
      </c>
      <c r="H6468">
        <v>34355383</v>
      </c>
      <c r="I6468">
        <v>34355401</v>
      </c>
    </row>
    <row r="6469" spans="1:9" x14ac:dyDescent="0.2">
      <c r="A6469" t="str">
        <f>"Fam26d"</f>
        <v>Fam26d</v>
      </c>
      <c r="B6469" t="s">
        <v>14</v>
      </c>
      <c r="C6469" t="s">
        <v>15</v>
      </c>
      <c r="D6469" t="s">
        <v>11</v>
      </c>
      <c r="E6469" t="s">
        <v>12</v>
      </c>
      <c r="F6469">
        <v>34044302</v>
      </c>
      <c r="G6469">
        <v>34044317</v>
      </c>
      <c r="H6469">
        <v>34044278</v>
      </c>
      <c r="I6469">
        <v>34044283</v>
      </c>
    </row>
    <row r="6470" spans="1:9" x14ac:dyDescent="0.2">
      <c r="A6470" t="str">
        <f>"Fam26e"</f>
        <v>Fam26e</v>
      </c>
      <c r="B6470" t="s">
        <v>14</v>
      </c>
      <c r="C6470" t="s">
        <v>15</v>
      </c>
      <c r="D6470" t="s">
        <v>11</v>
      </c>
      <c r="E6470" t="s">
        <v>12</v>
      </c>
      <c r="F6470">
        <v>34096507</v>
      </c>
      <c r="G6470">
        <v>34096554</v>
      </c>
      <c r="H6470">
        <v>34096480</v>
      </c>
      <c r="I6470">
        <v>34096497</v>
      </c>
    </row>
    <row r="6471" spans="1:9" x14ac:dyDescent="0.2">
      <c r="A6471" t="str">
        <f>"Fam26f"</f>
        <v>Fam26f</v>
      </c>
      <c r="B6471" t="s">
        <v>14</v>
      </c>
      <c r="C6471" t="s">
        <v>15</v>
      </c>
      <c r="D6471" t="s">
        <v>11</v>
      </c>
      <c r="E6471" t="s">
        <v>12</v>
      </c>
      <c r="F6471">
        <v>34127955</v>
      </c>
      <c r="G6471">
        <v>34127980</v>
      </c>
      <c r="H6471">
        <v>34127997</v>
      </c>
      <c r="I6471">
        <v>34128014</v>
      </c>
    </row>
    <row r="6472" spans="1:9" x14ac:dyDescent="0.2">
      <c r="A6472" t="str">
        <f>"Fam32a"</f>
        <v>Fam32a</v>
      </c>
      <c r="B6472" t="s">
        <v>14</v>
      </c>
      <c r="C6472" t="s">
        <v>30</v>
      </c>
      <c r="D6472" t="s">
        <v>17</v>
      </c>
      <c r="E6472" t="s">
        <v>12</v>
      </c>
      <c r="F6472">
        <v>72219726</v>
      </c>
      <c r="G6472">
        <v>72219785</v>
      </c>
      <c r="H6472">
        <v>72219720</v>
      </c>
      <c r="I6472">
        <v>72219723</v>
      </c>
    </row>
    <row r="6473" spans="1:9" x14ac:dyDescent="0.2">
      <c r="A6473" t="str">
        <f>"Fam35a"</f>
        <v>Fam35a</v>
      </c>
      <c r="B6473" t="s">
        <v>14</v>
      </c>
      <c r="C6473" t="s">
        <v>41</v>
      </c>
      <c r="D6473" t="s">
        <v>11</v>
      </c>
      <c r="E6473" t="s">
        <v>12</v>
      </c>
      <c r="F6473">
        <v>34310539</v>
      </c>
      <c r="G6473">
        <v>34310560</v>
      </c>
      <c r="H6473">
        <v>34310563</v>
      </c>
      <c r="I6473">
        <v>34310585</v>
      </c>
    </row>
    <row r="6474" spans="1:9" x14ac:dyDescent="0.2">
      <c r="A6474" t="str">
        <f>"Fam3a"</f>
        <v>Fam3a</v>
      </c>
      <c r="B6474" t="s">
        <v>14</v>
      </c>
      <c r="C6474" t="s">
        <v>37</v>
      </c>
      <c r="D6474" t="s">
        <v>11</v>
      </c>
      <c r="E6474" t="s">
        <v>12</v>
      </c>
      <c r="F6474">
        <v>74393109</v>
      </c>
      <c r="G6474">
        <v>74393176</v>
      </c>
      <c r="H6474">
        <v>74393211</v>
      </c>
      <c r="I6474">
        <v>74393267</v>
      </c>
    </row>
    <row r="6475" spans="1:9" x14ac:dyDescent="0.2">
      <c r="A6475" t="str">
        <f>"Fam3b"</f>
        <v>Fam3b</v>
      </c>
      <c r="B6475" t="s">
        <v>14</v>
      </c>
      <c r="C6475" t="s">
        <v>31</v>
      </c>
      <c r="D6475" t="s">
        <v>11</v>
      </c>
      <c r="E6475" t="s">
        <v>12</v>
      </c>
      <c r="F6475">
        <v>97504925</v>
      </c>
      <c r="G6475">
        <v>97504943</v>
      </c>
      <c r="H6475">
        <v>97504892</v>
      </c>
      <c r="I6475">
        <v>97504915</v>
      </c>
    </row>
    <row r="6476" spans="1:9" x14ac:dyDescent="0.2">
      <c r="A6476" t="str">
        <f>"Fam3c"</f>
        <v>Fam3c</v>
      </c>
      <c r="B6476" t="s">
        <v>14</v>
      </c>
      <c r="C6476" t="s">
        <v>32</v>
      </c>
      <c r="D6476" t="s">
        <v>11</v>
      </c>
      <c r="E6476" t="s">
        <v>12</v>
      </c>
      <c r="F6476">
        <v>22356068</v>
      </c>
      <c r="G6476">
        <v>22356175</v>
      </c>
      <c r="H6476">
        <v>22356012</v>
      </c>
      <c r="I6476">
        <v>22356053</v>
      </c>
    </row>
    <row r="6477" spans="1:9" x14ac:dyDescent="0.2">
      <c r="A6477" t="str">
        <f>"Fam43a"</f>
        <v>Fam43a</v>
      </c>
      <c r="B6477" t="s">
        <v>14</v>
      </c>
      <c r="C6477" t="s">
        <v>31</v>
      </c>
      <c r="D6477" t="s">
        <v>17</v>
      </c>
      <c r="E6477" t="s">
        <v>12</v>
      </c>
      <c r="F6477">
        <v>30599717</v>
      </c>
      <c r="G6477">
        <v>30599734</v>
      </c>
      <c r="H6477">
        <v>30599717</v>
      </c>
      <c r="I6477">
        <v>30599734</v>
      </c>
    </row>
    <row r="6478" spans="1:9" x14ac:dyDescent="0.2">
      <c r="A6478" t="str">
        <f>"Fam43b"</f>
        <v>Fam43b</v>
      </c>
      <c r="B6478" t="s">
        <v>14</v>
      </c>
      <c r="C6478" t="s">
        <v>23</v>
      </c>
      <c r="D6478" t="s">
        <v>11</v>
      </c>
      <c r="E6478" t="s">
        <v>12</v>
      </c>
      <c r="F6478">
        <v>138396387</v>
      </c>
      <c r="G6478">
        <v>138396437</v>
      </c>
      <c r="H6478">
        <v>138396438</v>
      </c>
      <c r="I6478">
        <v>138396464</v>
      </c>
    </row>
    <row r="6479" spans="1:9" x14ac:dyDescent="0.2">
      <c r="A6479" t="str">
        <f>"Fam45a"</f>
        <v>Fam45a</v>
      </c>
      <c r="B6479" t="s">
        <v>14</v>
      </c>
      <c r="C6479" t="s">
        <v>10</v>
      </c>
      <c r="D6479" t="s">
        <v>17</v>
      </c>
      <c r="E6479" t="s">
        <v>12</v>
      </c>
      <c r="F6479">
        <v>60811574</v>
      </c>
      <c r="G6479">
        <v>60811619</v>
      </c>
      <c r="H6479">
        <v>60811836</v>
      </c>
      <c r="I6479">
        <v>60811879</v>
      </c>
    </row>
    <row r="6480" spans="1:9" x14ac:dyDescent="0.2">
      <c r="A6480" t="str">
        <f>"Fam46a"</f>
        <v>Fam46a</v>
      </c>
      <c r="B6480" t="s">
        <v>14</v>
      </c>
      <c r="C6480" t="s">
        <v>24</v>
      </c>
      <c r="D6480" t="s">
        <v>11</v>
      </c>
      <c r="E6480" t="s">
        <v>12</v>
      </c>
      <c r="F6480">
        <v>85327289</v>
      </c>
      <c r="G6480">
        <v>85327304</v>
      </c>
      <c r="H6480">
        <v>85327110</v>
      </c>
      <c r="I6480">
        <v>85327128</v>
      </c>
    </row>
    <row r="6481" spans="1:9" x14ac:dyDescent="0.2">
      <c r="A6481" t="str">
        <f>"Fam46b"</f>
        <v>Fam46b</v>
      </c>
      <c r="B6481" t="s">
        <v>14</v>
      </c>
      <c r="C6481" t="s">
        <v>23</v>
      </c>
      <c r="D6481" t="s">
        <v>17</v>
      </c>
      <c r="E6481" t="s">
        <v>12</v>
      </c>
      <c r="F6481">
        <v>133480126</v>
      </c>
      <c r="G6481">
        <v>133480149</v>
      </c>
      <c r="H6481">
        <v>133480126</v>
      </c>
      <c r="I6481">
        <v>133480149</v>
      </c>
    </row>
    <row r="6482" spans="1:9" x14ac:dyDescent="0.2">
      <c r="A6482" t="str">
        <f>"Fam46c"</f>
        <v>Fam46c</v>
      </c>
      <c r="B6482" t="s">
        <v>14</v>
      </c>
      <c r="C6482" t="s">
        <v>22</v>
      </c>
      <c r="D6482" t="s">
        <v>11</v>
      </c>
      <c r="E6482" t="s">
        <v>12</v>
      </c>
      <c r="F6482">
        <v>100489163</v>
      </c>
      <c r="G6482">
        <v>100489215</v>
      </c>
      <c r="H6482">
        <v>100489294</v>
      </c>
      <c r="I6482">
        <v>100489316</v>
      </c>
    </row>
    <row r="6483" spans="1:9" x14ac:dyDescent="0.2">
      <c r="A6483" t="str">
        <f>"Fam46d"</f>
        <v>Fam46d</v>
      </c>
      <c r="B6483" t="s">
        <v>9</v>
      </c>
      <c r="C6483" t="s">
        <v>37</v>
      </c>
      <c r="D6483" t="s">
        <v>17</v>
      </c>
      <c r="E6483" t="s">
        <v>12</v>
      </c>
      <c r="F6483">
        <v>107792583</v>
      </c>
      <c r="G6483">
        <v>107792609</v>
      </c>
      <c r="H6483">
        <v>107792583</v>
      </c>
      <c r="I6483">
        <v>107792609</v>
      </c>
    </row>
    <row r="6484" spans="1:9" x14ac:dyDescent="0.2">
      <c r="A6484" t="str">
        <f>"Fam46d"</f>
        <v>Fam46d</v>
      </c>
      <c r="B6484" t="s">
        <v>13</v>
      </c>
      <c r="C6484" t="s">
        <v>37</v>
      </c>
      <c r="D6484" t="s">
        <v>17</v>
      </c>
      <c r="E6484" t="s">
        <v>12</v>
      </c>
      <c r="F6484">
        <v>107816500</v>
      </c>
      <c r="G6484">
        <v>107816520</v>
      </c>
      <c r="H6484">
        <v>107816500</v>
      </c>
      <c r="I6484">
        <v>107816520</v>
      </c>
    </row>
    <row r="6485" spans="1:9" x14ac:dyDescent="0.2">
      <c r="A6485" t="str">
        <f>"Fam47c"</f>
        <v>Fam47c</v>
      </c>
      <c r="B6485" t="s">
        <v>14</v>
      </c>
      <c r="C6485" t="s">
        <v>37</v>
      </c>
      <c r="D6485" t="s">
        <v>17</v>
      </c>
      <c r="E6485" t="s">
        <v>67</v>
      </c>
      <c r="F6485">
        <v>78737737</v>
      </c>
      <c r="G6485">
        <v>78737757</v>
      </c>
      <c r="H6485">
        <v>78737774</v>
      </c>
      <c r="I6485">
        <v>78737783</v>
      </c>
    </row>
    <row r="6486" spans="1:9" x14ac:dyDescent="0.2">
      <c r="A6486" t="str">
        <f>"Fam47e"</f>
        <v>Fam47e</v>
      </c>
      <c r="B6486" t="s">
        <v>9</v>
      </c>
      <c r="C6486" t="s">
        <v>46</v>
      </c>
      <c r="D6486" t="s">
        <v>17</v>
      </c>
      <c r="E6486" t="s">
        <v>12</v>
      </c>
      <c r="F6486">
        <v>92571523</v>
      </c>
      <c r="G6486">
        <v>92571543</v>
      </c>
      <c r="H6486">
        <v>92571523</v>
      </c>
      <c r="I6486">
        <v>92571543</v>
      </c>
    </row>
    <row r="6487" spans="1:9" x14ac:dyDescent="0.2">
      <c r="A6487" t="str">
        <f>"Fam47e"</f>
        <v>Fam47e</v>
      </c>
      <c r="B6487" t="s">
        <v>13</v>
      </c>
      <c r="C6487" t="s">
        <v>46</v>
      </c>
      <c r="D6487" t="s">
        <v>17</v>
      </c>
      <c r="E6487" t="s">
        <v>12</v>
      </c>
      <c r="F6487">
        <v>92555035</v>
      </c>
      <c r="G6487">
        <v>92555070</v>
      </c>
      <c r="H6487">
        <v>92555035</v>
      </c>
      <c r="I6487">
        <v>92555070</v>
      </c>
    </row>
    <row r="6488" spans="1:9" x14ac:dyDescent="0.2">
      <c r="A6488" t="str">
        <f>"Fam49a"</f>
        <v>Fam49a</v>
      </c>
      <c r="B6488" t="s">
        <v>14</v>
      </c>
      <c r="C6488" t="s">
        <v>16</v>
      </c>
      <c r="D6488" t="s">
        <v>17</v>
      </c>
      <c r="E6488" t="s">
        <v>12</v>
      </c>
      <c r="F6488">
        <v>12262164</v>
      </c>
      <c r="G6488">
        <v>12262191</v>
      </c>
      <c r="H6488">
        <v>12262139</v>
      </c>
      <c r="I6488">
        <v>12262157</v>
      </c>
    </row>
    <row r="6489" spans="1:9" x14ac:dyDescent="0.2">
      <c r="A6489" t="str">
        <f>"Fam49b"</f>
        <v>Fam49b</v>
      </c>
      <c r="B6489" t="s">
        <v>9</v>
      </c>
      <c r="C6489" t="s">
        <v>25</v>
      </c>
      <c r="D6489" t="s">
        <v>11</v>
      </c>
      <c r="E6489" t="s">
        <v>12</v>
      </c>
      <c r="F6489">
        <v>63998071</v>
      </c>
      <c r="G6489">
        <v>63998101</v>
      </c>
      <c r="H6489">
        <v>63998071</v>
      </c>
      <c r="I6489">
        <v>63998101</v>
      </c>
    </row>
    <row r="6490" spans="1:9" x14ac:dyDescent="0.2">
      <c r="A6490" t="str">
        <f>"Fam49b"</f>
        <v>Fam49b</v>
      </c>
      <c r="B6490" t="s">
        <v>13</v>
      </c>
      <c r="C6490" t="s">
        <v>25</v>
      </c>
      <c r="D6490" t="s">
        <v>11</v>
      </c>
      <c r="E6490" t="s">
        <v>12</v>
      </c>
      <c r="F6490">
        <v>64060327</v>
      </c>
      <c r="G6490">
        <v>64060435</v>
      </c>
      <c r="H6490">
        <v>64060327</v>
      </c>
      <c r="I6490">
        <v>64060435</v>
      </c>
    </row>
    <row r="6491" spans="1:9" x14ac:dyDescent="0.2">
      <c r="A6491" t="str">
        <f>"Fam50a"</f>
        <v>Fam50a</v>
      </c>
      <c r="B6491" t="s">
        <v>14</v>
      </c>
      <c r="C6491" t="s">
        <v>37</v>
      </c>
      <c r="D6491" t="s">
        <v>17</v>
      </c>
      <c r="E6491" t="s">
        <v>12</v>
      </c>
      <c r="F6491">
        <v>74313014</v>
      </c>
      <c r="G6491">
        <v>74313109</v>
      </c>
      <c r="H6491">
        <v>74313241</v>
      </c>
      <c r="I6491">
        <v>74313254</v>
      </c>
    </row>
    <row r="6492" spans="1:9" x14ac:dyDescent="0.2">
      <c r="A6492" t="str">
        <f>"Fam50b"</f>
        <v>Fam50b</v>
      </c>
      <c r="B6492" t="s">
        <v>9</v>
      </c>
      <c r="C6492" t="s">
        <v>39</v>
      </c>
      <c r="D6492" t="s">
        <v>17</v>
      </c>
      <c r="E6492" t="s">
        <v>12</v>
      </c>
      <c r="F6492">
        <v>34734837</v>
      </c>
      <c r="G6492">
        <v>34734862</v>
      </c>
      <c r="H6492">
        <v>34734837</v>
      </c>
      <c r="I6492">
        <v>34734862</v>
      </c>
    </row>
    <row r="6493" spans="1:9" x14ac:dyDescent="0.2">
      <c r="A6493" t="str">
        <f>"Fam50b"</f>
        <v>Fam50b</v>
      </c>
      <c r="B6493" t="s">
        <v>13</v>
      </c>
      <c r="C6493" t="s">
        <v>39</v>
      </c>
      <c r="D6493" t="s">
        <v>17</v>
      </c>
      <c r="E6493" t="s">
        <v>12</v>
      </c>
      <c r="F6493">
        <v>34739607</v>
      </c>
      <c r="G6493">
        <v>34739636</v>
      </c>
      <c r="H6493">
        <v>34739607</v>
      </c>
      <c r="I6493">
        <v>34739636</v>
      </c>
    </row>
    <row r="6494" spans="1:9" x14ac:dyDescent="0.2">
      <c r="A6494" t="str">
        <f>"Fam53a"</f>
        <v>Fam53a</v>
      </c>
      <c r="B6494" t="s">
        <v>14</v>
      </c>
      <c r="C6494" t="s">
        <v>46</v>
      </c>
      <c r="D6494" t="s">
        <v>11</v>
      </c>
      <c r="E6494" t="s">
        <v>12</v>
      </c>
      <c r="F6494">
        <v>33629577</v>
      </c>
      <c r="G6494">
        <v>33629649</v>
      </c>
      <c r="H6494">
        <v>33629720</v>
      </c>
      <c r="I6494">
        <v>33629756</v>
      </c>
    </row>
    <row r="6495" spans="1:9" x14ac:dyDescent="0.2">
      <c r="A6495" t="str">
        <f>"Fam53b"</f>
        <v>Fam53b</v>
      </c>
      <c r="B6495" t="s">
        <v>14</v>
      </c>
      <c r="C6495" t="s">
        <v>33</v>
      </c>
      <c r="D6495" t="s">
        <v>11</v>
      </c>
      <c r="E6495" t="s">
        <v>12</v>
      </c>
      <c r="F6495">
        <v>132813799</v>
      </c>
      <c r="G6495">
        <v>132813905</v>
      </c>
      <c r="H6495">
        <v>132813799</v>
      </c>
      <c r="I6495">
        <v>132813905</v>
      </c>
    </row>
    <row r="6496" spans="1:9" x14ac:dyDescent="0.2">
      <c r="A6496" t="str">
        <f>"Fam53c"</f>
        <v>Fam53c</v>
      </c>
      <c r="B6496" t="s">
        <v>14</v>
      </c>
      <c r="C6496" t="s">
        <v>43</v>
      </c>
      <c r="D6496" t="s">
        <v>17</v>
      </c>
      <c r="E6496" t="s">
        <v>12</v>
      </c>
      <c r="F6496">
        <v>34759551</v>
      </c>
      <c r="G6496">
        <v>34759558</v>
      </c>
      <c r="H6496">
        <v>34758853</v>
      </c>
      <c r="I6496">
        <v>34758879</v>
      </c>
    </row>
    <row r="6497" spans="1:9" x14ac:dyDescent="0.2">
      <c r="A6497" t="str">
        <f>"Fam57a"</f>
        <v>Fam57a</v>
      </c>
      <c r="B6497" t="s">
        <v>14</v>
      </c>
      <c r="C6497" t="s">
        <v>27</v>
      </c>
      <c r="D6497" t="s">
        <v>17</v>
      </c>
      <c r="E6497" t="s">
        <v>12</v>
      </c>
      <c r="F6497">
        <v>76202084</v>
      </c>
      <c r="G6497">
        <v>76202103</v>
      </c>
      <c r="H6497">
        <v>76202051</v>
      </c>
      <c r="I6497">
        <v>76202079</v>
      </c>
    </row>
    <row r="6498" spans="1:9" x14ac:dyDescent="0.2">
      <c r="A6498" t="str">
        <f>"Fam57b"</f>
        <v>Fam57b</v>
      </c>
      <c r="B6498" t="s">
        <v>14</v>
      </c>
      <c r="C6498" t="s">
        <v>33</v>
      </c>
      <c r="D6498" t="s">
        <v>17</v>
      </c>
      <c r="E6498" t="s">
        <v>12</v>
      </c>
      <c r="F6498">
        <v>126823287</v>
      </c>
      <c r="G6498">
        <v>126823323</v>
      </c>
      <c r="H6498">
        <v>126823287</v>
      </c>
      <c r="I6498">
        <v>126823323</v>
      </c>
    </row>
    <row r="6499" spans="1:9" x14ac:dyDescent="0.2">
      <c r="A6499" t="str">
        <f>"Fam58b"</f>
        <v>Fam58b</v>
      </c>
      <c r="B6499" t="s">
        <v>14</v>
      </c>
      <c r="C6499" t="s">
        <v>27</v>
      </c>
      <c r="D6499" t="s">
        <v>11</v>
      </c>
      <c r="E6499" t="s">
        <v>12</v>
      </c>
      <c r="F6499">
        <v>78751656</v>
      </c>
      <c r="G6499">
        <v>78751711</v>
      </c>
      <c r="H6499">
        <v>78751656</v>
      </c>
      <c r="I6499">
        <v>78751711</v>
      </c>
    </row>
    <row r="6500" spans="1:9" x14ac:dyDescent="0.2">
      <c r="A6500" t="str">
        <f>"Fam60a"</f>
        <v>Fam60a</v>
      </c>
      <c r="B6500" t="s">
        <v>9</v>
      </c>
      <c r="C6500" t="s">
        <v>32</v>
      </c>
      <c r="D6500" t="s">
        <v>11</v>
      </c>
      <c r="E6500" t="s">
        <v>12</v>
      </c>
      <c r="F6500">
        <v>148946146</v>
      </c>
      <c r="G6500">
        <v>148946182</v>
      </c>
      <c r="H6500">
        <v>148946146</v>
      </c>
      <c r="I6500">
        <v>148946182</v>
      </c>
    </row>
    <row r="6501" spans="1:9" x14ac:dyDescent="0.2">
      <c r="A6501" t="str">
        <f>"Fam60a"</f>
        <v>Fam60a</v>
      </c>
      <c r="B6501" t="s">
        <v>13</v>
      </c>
      <c r="C6501" t="s">
        <v>32</v>
      </c>
      <c r="D6501" t="s">
        <v>11</v>
      </c>
      <c r="E6501" t="s">
        <v>12</v>
      </c>
      <c r="F6501">
        <v>148944750</v>
      </c>
      <c r="G6501">
        <v>148944778</v>
      </c>
      <c r="H6501">
        <v>148944750</v>
      </c>
      <c r="I6501">
        <v>148944778</v>
      </c>
    </row>
    <row r="6502" spans="1:9" x14ac:dyDescent="0.2">
      <c r="A6502" t="str">
        <f>"Fam63a"</f>
        <v>Fam63a</v>
      </c>
      <c r="B6502" t="s">
        <v>14</v>
      </c>
      <c r="C6502" t="s">
        <v>22</v>
      </c>
      <c r="D6502" t="s">
        <v>17</v>
      </c>
      <c r="E6502" t="s">
        <v>12</v>
      </c>
      <c r="F6502">
        <v>95283074</v>
      </c>
      <c r="G6502">
        <v>95283112</v>
      </c>
      <c r="H6502">
        <v>95283013</v>
      </c>
      <c r="I6502">
        <v>95283056</v>
      </c>
    </row>
    <row r="6503" spans="1:9" x14ac:dyDescent="0.2">
      <c r="A6503" t="str">
        <f>"Fam63b"</f>
        <v>Fam63b</v>
      </c>
      <c r="B6503" t="s">
        <v>14</v>
      </c>
      <c r="C6503" t="s">
        <v>24</v>
      </c>
      <c r="D6503" t="s">
        <v>11</v>
      </c>
      <c r="E6503" t="s">
        <v>12</v>
      </c>
      <c r="F6503">
        <v>70657121</v>
      </c>
      <c r="G6503">
        <v>70657188</v>
      </c>
      <c r="H6503">
        <v>70657235</v>
      </c>
      <c r="I6503">
        <v>70657248</v>
      </c>
    </row>
    <row r="6504" spans="1:9" x14ac:dyDescent="0.2">
      <c r="A6504" t="str">
        <f>"Fam64a"</f>
        <v>Fam64a</v>
      </c>
      <c r="B6504" t="s">
        <v>14</v>
      </c>
      <c r="C6504" t="s">
        <v>27</v>
      </c>
      <c r="D6504" t="s">
        <v>17</v>
      </c>
      <c r="E6504" t="s">
        <v>12</v>
      </c>
      <c r="F6504">
        <v>72042492</v>
      </c>
      <c r="G6504">
        <v>72042508</v>
      </c>
      <c r="H6504">
        <v>72042461</v>
      </c>
      <c r="I6504">
        <v>72042481</v>
      </c>
    </row>
    <row r="6505" spans="1:9" x14ac:dyDescent="0.2">
      <c r="A6505" t="str">
        <f>"Fam65a"</f>
        <v>Fam65a</v>
      </c>
      <c r="B6505" t="s">
        <v>14</v>
      </c>
      <c r="C6505" t="s">
        <v>30</v>
      </c>
      <c r="D6505" t="s">
        <v>17</v>
      </c>
      <c r="E6505" t="s">
        <v>12</v>
      </c>
      <c r="F6505">
        <v>105605220</v>
      </c>
      <c r="G6505">
        <v>105605306</v>
      </c>
      <c r="H6505">
        <v>105605220</v>
      </c>
      <c r="I6505">
        <v>105605306</v>
      </c>
    </row>
    <row r="6506" spans="1:9" x14ac:dyDescent="0.2">
      <c r="A6506" t="str">
        <f>"Fam65b"</f>
        <v>Fam65b</v>
      </c>
      <c r="B6506" t="s">
        <v>9</v>
      </c>
      <c r="C6506" t="s">
        <v>39</v>
      </c>
      <c r="D6506" t="s">
        <v>17</v>
      </c>
      <c r="E6506" t="s">
        <v>12</v>
      </c>
      <c r="F6506">
        <v>24614608</v>
      </c>
      <c r="G6506">
        <v>24614634</v>
      </c>
      <c r="H6506">
        <v>24614608</v>
      </c>
      <c r="I6506">
        <v>24614634</v>
      </c>
    </row>
    <row r="6507" spans="1:9" x14ac:dyDescent="0.2">
      <c r="A6507" t="str">
        <f>"Fam65b"</f>
        <v>Fam65b</v>
      </c>
      <c r="B6507" t="s">
        <v>13</v>
      </c>
      <c r="C6507" t="s">
        <v>39</v>
      </c>
      <c r="D6507" t="s">
        <v>17</v>
      </c>
      <c r="E6507" t="s">
        <v>12</v>
      </c>
      <c r="F6507">
        <v>24638636</v>
      </c>
      <c r="G6507">
        <v>24638736</v>
      </c>
      <c r="H6507">
        <v>24638636</v>
      </c>
      <c r="I6507">
        <v>24638736</v>
      </c>
    </row>
    <row r="6508" spans="1:9" x14ac:dyDescent="0.2">
      <c r="A6508" t="str">
        <f>"Fam65c"</f>
        <v>Fam65c</v>
      </c>
      <c r="B6508" t="s">
        <v>14</v>
      </c>
      <c r="C6508" t="s">
        <v>26</v>
      </c>
      <c r="D6508" t="s">
        <v>11</v>
      </c>
      <c r="E6508" t="s">
        <v>12</v>
      </c>
      <c r="F6508">
        <v>168010655</v>
      </c>
      <c r="G6508">
        <v>168010680</v>
      </c>
      <c r="H6508">
        <v>168010707</v>
      </c>
      <c r="I6508">
        <v>168010708</v>
      </c>
    </row>
    <row r="6509" spans="1:9" x14ac:dyDescent="0.2">
      <c r="A6509" t="str">
        <f>"Fam69a"</f>
        <v>Fam69a</v>
      </c>
      <c r="B6509" t="s">
        <v>14</v>
      </c>
      <c r="C6509" t="s">
        <v>46</v>
      </c>
      <c r="D6509" t="s">
        <v>11</v>
      </c>
      <c r="E6509" t="s">
        <v>12</v>
      </c>
      <c r="F6509">
        <v>107987003</v>
      </c>
      <c r="G6509">
        <v>107987055</v>
      </c>
      <c r="H6509">
        <v>107987149</v>
      </c>
      <c r="I6509">
        <v>107987187</v>
      </c>
    </row>
    <row r="6510" spans="1:9" x14ac:dyDescent="0.2">
      <c r="A6510" t="str">
        <f>"Fam69b"</f>
        <v>Fam69b</v>
      </c>
      <c r="B6510" t="s">
        <v>14</v>
      </c>
      <c r="C6510" t="s">
        <v>26</v>
      </c>
      <c r="D6510" t="s">
        <v>17</v>
      </c>
      <c r="E6510" t="s">
        <v>12</v>
      </c>
      <c r="F6510">
        <v>26628465</v>
      </c>
      <c r="G6510">
        <v>26628550</v>
      </c>
      <c r="H6510">
        <v>26628441</v>
      </c>
      <c r="I6510">
        <v>26628462</v>
      </c>
    </row>
    <row r="6511" spans="1:9" x14ac:dyDescent="0.2">
      <c r="A6511" t="str">
        <f>"Fam69c"</f>
        <v>Fam69c</v>
      </c>
      <c r="B6511" t="s">
        <v>14</v>
      </c>
      <c r="C6511" t="s">
        <v>43</v>
      </c>
      <c r="D6511" t="s">
        <v>17</v>
      </c>
      <c r="E6511" t="s">
        <v>12</v>
      </c>
      <c r="F6511">
        <v>84720143</v>
      </c>
      <c r="G6511">
        <v>84720171</v>
      </c>
      <c r="H6511">
        <v>84720871</v>
      </c>
      <c r="I6511">
        <v>84720889</v>
      </c>
    </row>
    <row r="6512" spans="1:9" x14ac:dyDescent="0.2">
      <c r="A6512" t="str">
        <f>"Fam71a"</f>
        <v>Fam71a</v>
      </c>
      <c r="B6512" t="s">
        <v>14</v>
      </c>
      <c r="C6512" t="s">
        <v>19</v>
      </c>
      <c r="D6512" t="s">
        <v>11</v>
      </c>
      <c r="E6512" t="s">
        <v>12</v>
      </c>
      <c r="F6512">
        <v>191164815</v>
      </c>
      <c r="G6512">
        <v>191164818</v>
      </c>
      <c r="H6512">
        <v>191164815</v>
      </c>
      <c r="I6512">
        <v>191164818</v>
      </c>
    </row>
    <row r="6513" spans="1:9" x14ac:dyDescent="0.2">
      <c r="A6513" t="str">
        <f>"Fam71b"</f>
        <v>Fam71b</v>
      </c>
      <c r="B6513" t="s">
        <v>14</v>
      </c>
      <c r="C6513" t="s">
        <v>27</v>
      </c>
      <c r="D6513" t="s">
        <v>17</v>
      </c>
      <c r="E6513" t="s">
        <v>12</v>
      </c>
      <c r="F6513">
        <v>46404720</v>
      </c>
      <c r="G6513">
        <v>46404730</v>
      </c>
      <c r="H6513">
        <v>46404720</v>
      </c>
      <c r="I6513">
        <v>46404730</v>
      </c>
    </row>
    <row r="6514" spans="1:9" x14ac:dyDescent="0.2">
      <c r="A6514" t="str">
        <f>"Fam71d"</f>
        <v>Fam71d</v>
      </c>
      <c r="B6514" t="s">
        <v>14</v>
      </c>
      <c r="C6514" t="s">
        <v>16</v>
      </c>
      <c r="D6514" t="s">
        <v>17</v>
      </c>
      <c r="E6514" t="s">
        <v>12</v>
      </c>
      <c r="F6514">
        <v>78691651</v>
      </c>
      <c r="G6514">
        <v>78691690</v>
      </c>
      <c r="H6514">
        <v>78691516</v>
      </c>
      <c r="I6514">
        <v>78691540</v>
      </c>
    </row>
    <row r="6515" spans="1:9" x14ac:dyDescent="0.2">
      <c r="A6515" t="str">
        <f>"Fam71e1"</f>
        <v>Fam71e1</v>
      </c>
      <c r="B6515" t="s">
        <v>14</v>
      </c>
      <c r="C6515" t="s">
        <v>33</v>
      </c>
      <c r="D6515" t="s">
        <v>17</v>
      </c>
      <c r="E6515" t="s">
        <v>12</v>
      </c>
      <c r="F6515">
        <v>44496607</v>
      </c>
      <c r="G6515">
        <v>44496677</v>
      </c>
      <c r="H6515">
        <v>44496564</v>
      </c>
      <c r="I6515">
        <v>44496587</v>
      </c>
    </row>
    <row r="6516" spans="1:9" x14ac:dyDescent="0.2">
      <c r="A6516" t="str">
        <f>"Fam71e2"</f>
        <v>Fam71e2</v>
      </c>
      <c r="B6516" t="s">
        <v>14</v>
      </c>
      <c r="C6516" t="s">
        <v>33</v>
      </c>
      <c r="D6516" t="s">
        <v>11</v>
      </c>
      <c r="E6516" t="s">
        <v>12</v>
      </c>
      <c r="F6516">
        <v>4771279</v>
      </c>
      <c r="G6516">
        <v>4771328</v>
      </c>
      <c r="H6516">
        <v>4771262</v>
      </c>
      <c r="I6516">
        <v>4771275</v>
      </c>
    </row>
    <row r="6517" spans="1:9" x14ac:dyDescent="0.2">
      <c r="A6517" t="str">
        <f>"Fam71f1"</f>
        <v>Fam71f1</v>
      </c>
      <c r="B6517" t="s">
        <v>14</v>
      </c>
      <c r="C6517" t="s">
        <v>32</v>
      </c>
      <c r="D6517" t="s">
        <v>17</v>
      </c>
      <c r="E6517" t="s">
        <v>12</v>
      </c>
      <c r="F6517">
        <v>29319133</v>
      </c>
      <c r="G6517">
        <v>29319153</v>
      </c>
      <c r="H6517">
        <v>29319133</v>
      </c>
      <c r="I6517">
        <v>29319153</v>
      </c>
    </row>
    <row r="6518" spans="1:9" x14ac:dyDescent="0.2">
      <c r="A6518" t="str">
        <f>"Fam71f2"</f>
        <v>Fam71f2</v>
      </c>
      <c r="B6518" t="s">
        <v>14</v>
      </c>
      <c r="C6518" t="s">
        <v>32</v>
      </c>
      <c r="D6518" t="s">
        <v>17</v>
      </c>
      <c r="E6518" t="s">
        <v>12</v>
      </c>
      <c r="F6518">
        <v>29281138</v>
      </c>
      <c r="G6518">
        <v>29281148</v>
      </c>
      <c r="H6518">
        <v>29281138</v>
      </c>
      <c r="I6518">
        <v>29281148</v>
      </c>
    </row>
    <row r="6519" spans="1:9" x14ac:dyDescent="0.2">
      <c r="A6519" t="str">
        <f>"Fam72a"</f>
        <v>Fam72a</v>
      </c>
      <c r="B6519" t="s">
        <v>14</v>
      </c>
      <c r="C6519" t="s">
        <v>19</v>
      </c>
      <c r="D6519" t="s">
        <v>17</v>
      </c>
      <c r="E6519" t="s">
        <v>12</v>
      </c>
      <c r="F6519">
        <v>131527980</v>
      </c>
      <c r="G6519">
        <v>131528002</v>
      </c>
      <c r="H6519">
        <v>131527858</v>
      </c>
      <c r="I6519">
        <v>131527872</v>
      </c>
    </row>
    <row r="6520" spans="1:9" x14ac:dyDescent="0.2">
      <c r="A6520" t="str">
        <f>"Fam73a"</f>
        <v>Fam73a</v>
      </c>
      <c r="B6520" t="s">
        <v>14</v>
      </c>
      <c r="C6520" t="s">
        <v>22</v>
      </c>
      <c r="D6520" t="s">
        <v>11</v>
      </c>
      <c r="E6520" t="s">
        <v>12</v>
      </c>
      <c r="F6520">
        <v>152340350</v>
      </c>
      <c r="G6520">
        <v>152340416</v>
      </c>
      <c r="H6520">
        <v>152340350</v>
      </c>
      <c r="I6520">
        <v>152340416</v>
      </c>
    </row>
    <row r="6521" spans="1:9" x14ac:dyDescent="0.2">
      <c r="A6521" t="str">
        <f>"Fam73b"</f>
        <v>Fam73b</v>
      </c>
      <c r="B6521" t="s">
        <v>14</v>
      </c>
      <c r="C6521" t="s">
        <v>26</v>
      </c>
      <c r="D6521" t="s">
        <v>17</v>
      </c>
      <c r="E6521" t="s">
        <v>12</v>
      </c>
      <c r="F6521">
        <v>30364227</v>
      </c>
      <c r="G6521">
        <v>30364260</v>
      </c>
      <c r="H6521">
        <v>30364262</v>
      </c>
      <c r="I6521">
        <v>30364304</v>
      </c>
    </row>
    <row r="6522" spans="1:9" x14ac:dyDescent="0.2">
      <c r="A6522" t="str">
        <f>"Fam76a"</f>
        <v>Fam76a</v>
      </c>
      <c r="B6522" t="s">
        <v>14</v>
      </c>
      <c r="C6522" t="s">
        <v>23</v>
      </c>
      <c r="D6522" t="s">
        <v>11</v>
      </c>
      <c r="E6522" t="s">
        <v>12</v>
      </c>
      <c r="F6522">
        <v>132922487</v>
      </c>
      <c r="G6522">
        <v>132922544</v>
      </c>
      <c r="H6522">
        <v>132922547</v>
      </c>
      <c r="I6522">
        <v>132922563</v>
      </c>
    </row>
    <row r="6523" spans="1:9" x14ac:dyDescent="0.2">
      <c r="A6523" t="str">
        <f>"Fam76b"</f>
        <v>Fam76b</v>
      </c>
      <c r="B6523" t="s">
        <v>14</v>
      </c>
      <c r="C6523" t="s">
        <v>24</v>
      </c>
      <c r="D6523" t="s">
        <v>17</v>
      </c>
      <c r="E6523" t="s">
        <v>12</v>
      </c>
      <c r="F6523">
        <v>13827708</v>
      </c>
      <c r="G6523">
        <v>13827781</v>
      </c>
      <c r="H6523">
        <v>13827708</v>
      </c>
      <c r="I6523">
        <v>13827781</v>
      </c>
    </row>
    <row r="6524" spans="1:9" x14ac:dyDescent="0.2">
      <c r="A6524" t="str">
        <f>"Fam78a"</f>
        <v>Fam78a</v>
      </c>
      <c r="B6524" t="s">
        <v>14</v>
      </c>
      <c r="C6524" t="s">
        <v>26</v>
      </c>
      <c r="D6524" t="s">
        <v>11</v>
      </c>
      <c r="E6524" t="s">
        <v>12</v>
      </c>
      <c r="F6524">
        <v>32083650</v>
      </c>
      <c r="G6524">
        <v>32083751</v>
      </c>
      <c r="H6524">
        <v>32084650</v>
      </c>
      <c r="I6524">
        <v>32084731</v>
      </c>
    </row>
    <row r="6525" spans="1:9" x14ac:dyDescent="0.2">
      <c r="A6525" t="str">
        <f>"Fam78b"</f>
        <v>Fam78b</v>
      </c>
      <c r="B6525" t="s">
        <v>14</v>
      </c>
      <c r="C6525" t="s">
        <v>19</v>
      </c>
      <c r="D6525" t="s">
        <v>17</v>
      </c>
      <c r="E6525" t="s">
        <v>12</v>
      </c>
      <c r="F6525">
        <v>167001039</v>
      </c>
      <c r="G6525">
        <v>167001071</v>
      </c>
      <c r="H6525">
        <v>167001039</v>
      </c>
      <c r="I6525">
        <v>167001071</v>
      </c>
    </row>
    <row r="6526" spans="1:9" x14ac:dyDescent="0.2">
      <c r="A6526" t="str">
        <f>"Fam81a"</f>
        <v>Fam81a</v>
      </c>
      <c r="B6526" t="s">
        <v>14</v>
      </c>
      <c r="C6526" t="s">
        <v>24</v>
      </c>
      <c r="D6526" t="s">
        <v>11</v>
      </c>
      <c r="E6526" t="s">
        <v>12</v>
      </c>
      <c r="F6526">
        <v>70141356</v>
      </c>
      <c r="G6526">
        <v>70141482</v>
      </c>
      <c r="H6526">
        <v>70141484</v>
      </c>
      <c r="I6526">
        <v>70141559</v>
      </c>
    </row>
    <row r="6527" spans="1:9" x14ac:dyDescent="0.2">
      <c r="A6527" t="str">
        <f>"Fam83a"</f>
        <v>Fam83a</v>
      </c>
      <c r="B6527" t="s">
        <v>14</v>
      </c>
      <c r="C6527" t="s">
        <v>25</v>
      </c>
      <c r="D6527" t="s">
        <v>17</v>
      </c>
      <c r="E6527" t="s">
        <v>12</v>
      </c>
      <c r="F6527">
        <v>57985873</v>
      </c>
      <c r="G6527">
        <v>57985894</v>
      </c>
      <c r="H6527">
        <v>57985858</v>
      </c>
      <c r="I6527">
        <v>57985865</v>
      </c>
    </row>
    <row r="6528" spans="1:9" x14ac:dyDescent="0.2">
      <c r="A6528" t="str">
        <f>"Fam83b"</f>
        <v>Fam83b</v>
      </c>
      <c r="B6528" t="s">
        <v>14</v>
      </c>
      <c r="C6528" t="s">
        <v>24</v>
      </c>
      <c r="D6528" t="s">
        <v>11</v>
      </c>
      <c r="E6528" t="s">
        <v>12</v>
      </c>
      <c r="F6528">
        <v>76567092</v>
      </c>
      <c r="G6528">
        <v>76567123</v>
      </c>
      <c r="H6528">
        <v>76567126</v>
      </c>
      <c r="I6528">
        <v>76567131</v>
      </c>
    </row>
    <row r="6529" spans="1:9" x14ac:dyDescent="0.2">
      <c r="A6529" t="str">
        <f>"Fam83c"</f>
        <v>Fam83c</v>
      </c>
      <c r="B6529" t="s">
        <v>14</v>
      </c>
      <c r="C6529" t="s">
        <v>26</v>
      </c>
      <c r="D6529" t="s">
        <v>11</v>
      </c>
      <c r="E6529" t="s">
        <v>12</v>
      </c>
      <c r="F6529">
        <v>155834845</v>
      </c>
      <c r="G6529">
        <v>155834861</v>
      </c>
      <c r="H6529">
        <v>155834884</v>
      </c>
      <c r="I6529">
        <v>155834887</v>
      </c>
    </row>
    <row r="6530" spans="1:9" x14ac:dyDescent="0.2">
      <c r="A6530" t="str">
        <f>"Fam83d"</f>
        <v>Fam83d</v>
      </c>
      <c r="B6530" t="s">
        <v>14</v>
      </c>
      <c r="C6530" t="s">
        <v>26</v>
      </c>
      <c r="D6530" t="s">
        <v>17</v>
      </c>
      <c r="E6530" t="s">
        <v>12</v>
      </c>
      <c r="F6530">
        <v>158768083</v>
      </c>
      <c r="G6530">
        <v>158768099</v>
      </c>
      <c r="H6530">
        <v>158768083</v>
      </c>
      <c r="I6530">
        <v>158768099</v>
      </c>
    </row>
    <row r="6531" spans="1:9" x14ac:dyDescent="0.2">
      <c r="A6531" t="str">
        <f>"Fam83e"</f>
        <v>Fam83e</v>
      </c>
      <c r="B6531" t="s">
        <v>14</v>
      </c>
      <c r="C6531" t="s">
        <v>33</v>
      </c>
      <c r="D6531" t="s">
        <v>17</v>
      </c>
      <c r="E6531" t="s">
        <v>12</v>
      </c>
      <c r="F6531">
        <v>45721183</v>
      </c>
      <c r="G6531">
        <v>45721233</v>
      </c>
      <c r="H6531">
        <v>45721236</v>
      </c>
      <c r="I6531">
        <v>45721244</v>
      </c>
    </row>
    <row r="6532" spans="1:9" x14ac:dyDescent="0.2">
      <c r="A6532" t="str">
        <f>"Fam83f"</f>
        <v>Fam83f</v>
      </c>
      <c r="B6532" t="s">
        <v>14</v>
      </c>
      <c r="C6532" t="s">
        <v>25</v>
      </c>
      <c r="D6532" t="s">
        <v>17</v>
      </c>
      <c r="E6532" t="s">
        <v>12</v>
      </c>
      <c r="F6532">
        <v>80671829</v>
      </c>
      <c r="G6532">
        <v>80671861</v>
      </c>
      <c r="H6532">
        <v>80671829</v>
      </c>
      <c r="I6532">
        <v>80671861</v>
      </c>
    </row>
    <row r="6533" spans="1:9" x14ac:dyDescent="0.2">
      <c r="A6533" t="str">
        <f>"Fam83g"</f>
        <v>Fam83g</v>
      </c>
      <c r="B6533" t="s">
        <v>14</v>
      </c>
      <c r="C6533" t="s">
        <v>27</v>
      </c>
      <c r="D6533" t="s">
        <v>17</v>
      </c>
      <c r="E6533" t="s">
        <v>12</v>
      </c>
      <c r="F6533">
        <v>61684456</v>
      </c>
      <c r="G6533">
        <v>61684471</v>
      </c>
      <c r="H6533">
        <v>61684078</v>
      </c>
      <c r="I6533">
        <v>61684096</v>
      </c>
    </row>
    <row r="6534" spans="1:9" x14ac:dyDescent="0.2">
      <c r="A6534" t="str">
        <f>"Fam83h"</f>
        <v>Fam83h</v>
      </c>
      <c r="B6534" t="s">
        <v>14</v>
      </c>
      <c r="C6534" t="s">
        <v>25</v>
      </c>
      <c r="D6534" t="s">
        <v>11</v>
      </c>
      <c r="E6534" t="s">
        <v>12</v>
      </c>
      <c r="F6534">
        <v>76009440</v>
      </c>
      <c r="G6534">
        <v>76009479</v>
      </c>
      <c r="H6534">
        <v>76009797</v>
      </c>
      <c r="I6534">
        <v>76009830</v>
      </c>
    </row>
    <row r="6535" spans="1:9" x14ac:dyDescent="0.2">
      <c r="A6535" t="str">
        <f>"Fam84a"</f>
        <v>Fam84a</v>
      </c>
      <c r="B6535" t="s">
        <v>14</v>
      </c>
      <c r="C6535" t="s">
        <v>16</v>
      </c>
      <c r="D6535" t="s">
        <v>11</v>
      </c>
      <c r="E6535" t="s">
        <v>12</v>
      </c>
      <c r="F6535">
        <v>14152041</v>
      </c>
      <c r="G6535">
        <v>14152069</v>
      </c>
      <c r="H6535">
        <v>14152071</v>
      </c>
      <c r="I6535">
        <v>14152082</v>
      </c>
    </row>
    <row r="6536" spans="1:9" x14ac:dyDescent="0.2">
      <c r="A6536" t="str">
        <f>"Fam84b"</f>
        <v>Fam84b</v>
      </c>
      <c r="B6536" t="s">
        <v>14</v>
      </c>
      <c r="C6536" t="s">
        <v>25</v>
      </c>
      <c r="D6536" t="s">
        <v>11</v>
      </c>
      <c r="E6536" t="s">
        <v>12</v>
      </c>
      <c r="F6536">
        <v>60824942</v>
      </c>
      <c r="G6536">
        <v>60824966</v>
      </c>
      <c r="H6536">
        <v>60824942</v>
      </c>
      <c r="I6536">
        <v>60824966</v>
      </c>
    </row>
    <row r="6537" spans="1:9" x14ac:dyDescent="0.2">
      <c r="A6537" t="str">
        <f>"Fam86"</f>
        <v>Fam86</v>
      </c>
      <c r="B6537" t="s">
        <v>14</v>
      </c>
      <c r="C6537" t="s">
        <v>31</v>
      </c>
      <c r="D6537" t="s">
        <v>11</v>
      </c>
      <c r="E6537" t="s">
        <v>12</v>
      </c>
      <c r="F6537">
        <v>5255923</v>
      </c>
      <c r="G6537">
        <v>5255965</v>
      </c>
      <c r="H6537">
        <v>5255974</v>
      </c>
      <c r="I6537">
        <v>5255988</v>
      </c>
    </row>
    <row r="6538" spans="1:9" x14ac:dyDescent="0.2">
      <c r="A6538" t="str">
        <f>"Fam89a"</f>
        <v>Fam89a</v>
      </c>
      <c r="B6538" t="s">
        <v>14</v>
      </c>
      <c r="C6538" t="s">
        <v>30</v>
      </c>
      <c r="D6538" t="s">
        <v>11</v>
      </c>
      <c r="E6538" t="s">
        <v>12</v>
      </c>
      <c r="F6538">
        <v>124751808</v>
      </c>
      <c r="G6538">
        <v>124751875</v>
      </c>
      <c r="H6538">
        <v>124751880</v>
      </c>
      <c r="I6538">
        <v>124751881</v>
      </c>
    </row>
    <row r="6539" spans="1:9" x14ac:dyDescent="0.2">
      <c r="A6539" t="str">
        <f>"Fam89b"</f>
        <v>Fam89b</v>
      </c>
      <c r="B6539" t="s">
        <v>9</v>
      </c>
      <c r="C6539" t="s">
        <v>10</v>
      </c>
      <c r="D6539" t="s">
        <v>11</v>
      </c>
      <c r="E6539" t="s">
        <v>12</v>
      </c>
      <c r="F6539">
        <v>5731697</v>
      </c>
      <c r="G6539">
        <v>5731733</v>
      </c>
      <c r="H6539">
        <v>5731697</v>
      </c>
      <c r="I6539">
        <v>5731733</v>
      </c>
    </row>
    <row r="6540" spans="1:9" x14ac:dyDescent="0.2">
      <c r="A6540" t="str">
        <f>"Fam89b"</f>
        <v>Fam89b</v>
      </c>
      <c r="B6540" t="s">
        <v>13</v>
      </c>
      <c r="C6540" t="s">
        <v>10</v>
      </c>
      <c r="D6540" t="s">
        <v>11</v>
      </c>
      <c r="E6540" t="s">
        <v>12</v>
      </c>
      <c r="F6540">
        <v>5729618</v>
      </c>
      <c r="G6540">
        <v>5729700</v>
      </c>
      <c r="H6540">
        <v>5729618</v>
      </c>
      <c r="I6540">
        <v>5729700</v>
      </c>
    </row>
    <row r="6541" spans="1:9" x14ac:dyDescent="0.2">
      <c r="A6541" t="str">
        <f>"Fam92a"</f>
        <v>Fam92a</v>
      </c>
      <c r="B6541" t="s">
        <v>14</v>
      </c>
      <c r="C6541" t="s">
        <v>23</v>
      </c>
      <c r="D6541" t="s">
        <v>11</v>
      </c>
      <c r="E6541" t="s">
        <v>12</v>
      </c>
      <c r="F6541">
        <v>12171813</v>
      </c>
      <c r="G6541">
        <v>12171851</v>
      </c>
      <c r="H6541">
        <v>12171970</v>
      </c>
      <c r="I6541">
        <v>12172024</v>
      </c>
    </row>
    <row r="6542" spans="1:9" x14ac:dyDescent="0.2">
      <c r="A6542" t="str">
        <f>"Fam92b"</f>
        <v>Fam92b</v>
      </c>
      <c r="B6542" t="s">
        <v>14</v>
      </c>
      <c r="C6542" t="s">
        <v>30</v>
      </c>
      <c r="D6542" t="s">
        <v>11</v>
      </c>
      <c r="E6542" t="s">
        <v>12</v>
      </c>
      <c r="F6542">
        <v>120177420</v>
      </c>
      <c r="G6542">
        <v>120177435</v>
      </c>
      <c r="H6542">
        <v>120177440</v>
      </c>
      <c r="I6542">
        <v>120177478</v>
      </c>
    </row>
    <row r="6543" spans="1:9" x14ac:dyDescent="0.2">
      <c r="A6543" t="str">
        <f>"Fam96a"</f>
        <v>Fam96a</v>
      </c>
      <c r="B6543" t="s">
        <v>14</v>
      </c>
      <c r="C6543" t="s">
        <v>24</v>
      </c>
      <c r="D6543" t="s">
        <v>17</v>
      </c>
      <c r="E6543" t="s">
        <v>12</v>
      </c>
      <c r="F6543">
        <v>66126655</v>
      </c>
      <c r="G6543">
        <v>66126722</v>
      </c>
      <c r="H6543">
        <v>66126655</v>
      </c>
      <c r="I6543">
        <v>66126722</v>
      </c>
    </row>
    <row r="6544" spans="1:9" x14ac:dyDescent="0.2">
      <c r="A6544" t="str">
        <f>"Fam96b"</f>
        <v>Fam96b</v>
      </c>
      <c r="B6544" t="s">
        <v>14</v>
      </c>
      <c r="C6544" t="s">
        <v>30</v>
      </c>
      <c r="D6544" t="s">
        <v>11</v>
      </c>
      <c r="E6544" t="s">
        <v>12</v>
      </c>
      <c r="F6544">
        <v>104641666</v>
      </c>
      <c r="G6544">
        <v>104641736</v>
      </c>
      <c r="H6544">
        <v>104642181</v>
      </c>
      <c r="I6544">
        <v>104642189</v>
      </c>
    </row>
    <row r="6545" spans="1:9" x14ac:dyDescent="0.2">
      <c r="A6545" t="str">
        <f>"Fam98a"</f>
        <v>Fam98a</v>
      </c>
      <c r="B6545" t="s">
        <v>14</v>
      </c>
      <c r="C6545" t="s">
        <v>28</v>
      </c>
      <c r="D6545" t="s">
        <v>11</v>
      </c>
      <c r="E6545" t="s">
        <v>12</v>
      </c>
      <c r="F6545">
        <v>75551838</v>
      </c>
      <c r="G6545">
        <v>75551901</v>
      </c>
      <c r="H6545">
        <v>75551790</v>
      </c>
      <c r="I6545">
        <v>75551834</v>
      </c>
    </row>
    <row r="6546" spans="1:9" x14ac:dyDescent="0.2">
      <c r="A6546" t="str">
        <f>"Fam98b"</f>
        <v>Fam98b</v>
      </c>
      <c r="B6546" t="s">
        <v>14</v>
      </c>
      <c r="C6546" t="s">
        <v>26</v>
      </c>
      <c r="D6546" t="s">
        <v>17</v>
      </c>
      <c r="E6546" t="s">
        <v>12</v>
      </c>
      <c r="F6546">
        <v>117249725</v>
      </c>
      <c r="G6546">
        <v>117249754</v>
      </c>
      <c r="H6546">
        <v>117249766</v>
      </c>
      <c r="I6546">
        <v>117249773</v>
      </c>
    </row>
    <row r="6547" spans="1:9" x14ac:dyDescent="0.2">
      <c r="A6547" t="str">
        <f>"Fam98c"</f>
        <v>Fam98c</v>
      </c>
      <c r="B6547" t="s">
        <v>14</v>
      </c>
      <c r="C6547" t="s">
        <v>33</v>
      </c>
      <c r="D6547" t="s">
        <v>11</v>
      </c>
      <c r="E6547" t="s">
        <v>12</v>
      </c>
      <c r="F6547">
        <v>29156172</v>
      </c>
      <c r="G6547">
        <v>29156210</v>
      </c>
      <c r="H6547">
        <v>29156219</v>
      </c>
      <c r="I6547">
        <v>29156226</v>
      </c>
    </row>
    <row r="6548" spans="1:9" x14ac:dyDescent="0.2">
      <c r="A6548" t="str">
        <f>"Fan1"</f>
        <v>Fan1</v>
      </c>
      <c r="B6548" t="s">
        <v>14</v>
      </c>
      <c r="C6548" t="s">
        <v>33</v>
      </c>
      <c r="D6548" t="s">
        <v>11</v>
      </c>
      <c r="E6548" t="s">
        <v>12</v>
      </c>
      <c r="F6548">
        <v>64374026</v>
      </c>
      <c r="G6548">
        <v>64374069</v>
      </c>
      <c r="H6548">
        <v>64374071</v>
      </c>
      <c r="I6548">
        <v>64374109</v>
      </c>
    </row>
    <row r="6549" spans="1:9" x14ac:dyDescent="0.2">
      <c r="A6549" t="str">
        <f>"Fanca"</f>
        <v>Fanca</v>
      </c>
      <c r="B6549" t="s">
        <v>14</v>
      </c>
      <c r="C6549" t="s">
        <v>30</v>
      </c>
      <c r="D6549" t="s">
        <v>11</v>
      </c>
      <c r="E6549" t="s">
        <v>12</v>
      </c>
      <c r="F6549">
        <v>123318553</v>
      </c>
      <c r="G6549">
        <v>123318579</v>
      </c>
      <c r="H6549">
        <v>123318541</v>
      </c>
      <c r="I6549">
        <v>123318550</v>
      </c>
    </row>
    <row r="6550" spans="1:9" x14ac:dyDescent="0.2">
      <c r="A6550" t="str">
        <f>"Fancb"</f>
        <v>Fancb</v>
      </c>
      <c r="B6550" t="s">
        <v>14</v>
      </c>
      <c r="C6550" t="s">
        <v>37</v>
      </c>
      <c r="D6550" t="s">
        <v>17</v>
      </c>
      <c r="E6550" t="s">
        <v>12</v>
      </c>
      <c r="F6550">
        <v>164980660</v>
      </c>
      <c r="G6550">
        <v>164980724</v>
      </c>
      <c r="H6550">
        <v>164980602</v>
      </c>
      <c r="I6550">
        <v>164980658</v>
      </c>
    </row>
    <row r="6551" spans="1:9" x14ac:dyDescent="0.2">
      <c r="A6551" t="str">
        <f>"Fancc"</f>
        <v>Fancc</v>
      </c>
      <c r="B6551" t="s">
        <v>14</v>
      </c>
      <c r="C6551" t="s">
        <v>39</v>
      </c>
      <c r="D6551" t="s">
        <v>11</v>
      </c>
      <c r="E6551" t="s">
        <v>12</v>
      </c>
      <c r="F6551">
        <v>63431698</v>
      </c>
      <c r="G6551">
        <v>63431733</v>
      </c>
      <c r="H6551">
        <v>63431737</v>
      </c>
      <c r="I6551">
        <v>63431755</v>
      </c>
    </row>
    <row r="6552" spans="1:9" x14ac:dyDescent="0.2">
      <c r="A6552" t="str">
        <f>"Fancd2"</f>
        <v>Fancd2</v>
      </c>
      <c r="B6552" t="s">
        <v>14</v>
      </c>
      <c r="C6552" t="s">
        <v>32</v>
      </c>
      <c r="D6552" t="s">
        <v>17</v>
      </c>
      <c r="E6552" t="s">
        <v>12</v>
      </c>
      <c r="F6552">
        <v>113531675</v>
      </c>
      <c r="G6552">
        <v>113531721</v>
      </c>
      <c r="H6552">
        <v>113531657</v>
      </c>
      <c r="I6552">
        <v>113531664</v>
      </c>
    </row>
    <row r="6553" spans="1:9" x14ac:dyDescent="0.2">
      <c r="A6553" t="str">
        <f>"Fancd2os"</f>
        <v>Fancd2os</v>
      </c>
      <c r="B6553" t="s">
        <v>14</v>
      </c>
      <c r="C6553" t="s">
        <v>32</v>
      </c>
      <c r="D6553" t="s">
        <v>11</v>
      </c>
      <c r="E6553" t="s">
        <v>67</v>
      </c>
      <c r="F6553">
        <v>113600626</v>
      </c>
      <c r="G6553">
        <v>113600643</v>
      </c>
      <c r="H6553">
        <v>113600645</v>
      </c>
      <c r="I6553">
        <v>113600653</v>
      </c>
    </row>
    <row r="6554" spans="1:9" x14ac:dyDescent="0.2">
      <c r="A6554" t="str">
        <f>"Fance"</f>
        <v>Fance</v>
      </c>
      <c r="B6554" t="s">
        <v>14</v>
      </c>
      <c r="C6554" t="s">
        <v>28</v>
      </c>
      <c r="D6554" t="s">
        <v>17</v>
      </c>
      <c r="E6554" t="s">
        <v>12</v>
      </c>
      <c r="F6554">
        <v>28313513</v>
      </c>
      <c r="G6554">
        <v>28313580</v>
      </c>
      <c r="H6554">
        <v>28313513</v>
      </c>
      <c r="I6554">
        <v>28313580</v>
      </c>
    </row>
    <row r="6555" spans="1:9" x14ac:dyDescent="0.2">
      <c r="A6555" t="str">
        <f>"Fancf"</f>
        <v>Fancf</v>
      </c>
      <c r="B6555" t="s">
        <v>14</v>
      </c>
      <c r="C6555" t="s">
        <v>33</v>
      </c>
      <c r="D6555" t="s">
        <v>11</v>
      </c>
      <c r="E6555" t="s">
        <v>12</v>
      </c>
      <c r="F6555">
        <v>51862216</v>
      </c>
      <c r="G6555">
        <v>51862281</v>
      </c>
      <c r="H6555">
        <v>51862216</v>
      </c>
      <c r="I6555">
        <v>51862281</v>
      </c>
    </row>
    <row r="6556" spans="1:9" x14ac:dyDescent="0.2">
      <c r="A6556" t="str">
        <f>"Fancg"</f>
        <v>Fancg</v>
      </c>
      <c r="B6556" t="s">
        <v>14</v>
      </c>
      <c r="C6556" t="s">
        <v>23</v>
      </c>
      <c r="D6556" t="s">
        <v>11</v>
      </c>
      <c r="E6556" t="s">
        <v>12</v>
      </c>
      <c r="F6556">
        <v>43010499</v>
      </c>
      <c r="G6556">
        <v>43010537</v>
      </c>
      <c r="H6556">
        <v>43010226</v>
      </c>
      <c r="I6556">
        <v>43010271</v>
      </c>
    </row>
    <row r="6557" spans="1:9" x14ac:dyDescent="0.2">
      <c r="A6557" t="str">
        <f>"Fanci"</f>
        <v>Fanci</v>
      </c>
      <c r="B6557" t="s">
        <v>14</v>
      </c>
      <c r="C6557" t="s">
        <v>33</v>
      </c>
      <c r="D6557" t="s">
        <v>17</v>
      </c>
      <c r="E6557" t="s">
        <v>12</v>
      </c>
      <c r="F6557">
        <v>79392305</v>
      </c>
      <c r="G6557">
        <v>79392346</v>
      </c>
      <c r="H6557">
        <v>79392349</v>
      </c>
      <c r="I6557">
        <v>79392356</v>
      </c>
    </row>
    <row r="6558" spans="1:9" x14ac:dyDescent="0.2">
      <c r="A6558" t="str">
        <f>"Fancl"</f>
        <v>Fancl</v>
      </c>
      <c r="B6558" t="s">
        <v>14</v>
      </c>
      <c r="C6558" t="s">
        <v>27</v>
      </c>
      <c r="D6558" t="s">
        <v>17</v>
      </c>
      <c r="E6558" t="s">
        <v>12</v>
      </c>
      <c r="F6558">
        <v>26387194</v>
      </c>
      <c r="G6558">
        <v>26387211</v>
      </c>
      <c r="H6558">
        <v>26387194</v>
      </c>
      <c r="I6558">
        <v>26387211</v>
      </c>
    </row>
    <row r="6559" spans="1:9" x14ac:dyDescent="0.2">
      <c r="A6559" t="str">
        <f>"Fancm"</f>
        <v>Fancm</v>
      </c>
      <c r="B6559" t="s">
        <v>14</v>
      </c>
      <c r="C6559" t="s">
        <v>16</v>
      </c>
      <c r="D6559" t="s">
        <v>17</v>
      </c>
      <c r="E6559" t="s">
        <v>12</v>
      </c>
      <c r="F6559">
        <v>65075582</v>
      </c>
      <c r="G6559">
        <v>65075617</v>
      </c>
      <c r="H6559">
        <v>65075634</v>
      </c>
      <c r="I6559">
        <v>65075637</v>
      </c>
    </row>
    <row r="6560" spans="1:9" x14ac:dyDescent="0.2">
      <c r="A6560" t="str">
        <f>"Fank1"</f>
        <v>Fank1</v>
      </c>
      <c r="B6560" t="s">
        <v>14</v>
      </c>
      <c r="C6560" t="s">
        <v>33</v>
      </c>
      <c r="D6560" t="s">
        <v>17</v>
      </c>
      <c r="E6560" t="s">
        <v>12</v>
      </c>
      <c r="F6560">
        <v>133776857</v>
      </c>
      <c r="G6560">
        <v>133776902</v>
      </c>
      <c r="H6560">
        <v>133776857</v>
      </c>
      <c r="I6560">
        <v>133776902</v>
      </c>
    </row>
    <row r="6561" spans="1:9" x14ac:dyDescent="0.2">
      <c r="A6561" t="str">
        <f>"Fap"</f>
        <v>Fap</v>
      </c>
      <c r="B6561" t="s">
        <v>14</v>
      </c>
      <c r="C6561" t="s">
        <v>26</v>
      </c>
      <c r="D6561" t="s">
        <v>11</v>
      </c>
      <c r="E6561" t="s">
        <v>12</v>
      </c>
      <c r="F6561">
        <v>62573905</v>
      </c>
      <c r="G6561">
        <v>62573979</v>
      </c>
      <c r="H6561">
        <v>62573562</v>
      </c>
      <c r="I6561">
        <v>62573588</v>
      </c>
    </row>
    <row r="6562" spans="1:9" x14ac:dyDescent="0.2">
      <c r="A6562" t="str">
        <f>"Far1"</f>
        <v>Far1</v>
      </c>
      <c r="B6562" t="s">
        <v>14</v>
      </c>
      <c r="C6562" t="s">
        <v>33</v>
      </c>
      <c r="D6562" t="s">
        <v>17</v>
      </c>
      <c r="E6562" t="s">
        <v>12</v>
      </c>
      <c r="F6562">
        <v>113513854</v>
      </c>
      <c r="G6562">
        <v>113513909</v>
      </c>
      <c r="H6562">
        <v>113513829</v>
      </c>
      <c r="I6562">
        <v>113513846</v>
      </c>
    </row>
    <row r="6563" spans="1:9" x14ac:dyDescent="0.2">
      <c r="A6563" t="str">
        <f>"Far2"</f>
        <v>Far2</v>
      </c>
      <c r="B6563" t="s">
        <v>14</v>
      </c>
      <c r="C6563" t="s">
        <v>32</v>
      </c>
      <c r="D6563" t="s">
        <v>17</v>
      </c>
      <c r="E6563" t="s">
        <v>12</v>
      </c>
      <c r="F6563">
        <v>148047409</v>
      </c>
      <c r="G6563">
        <v>148047424</v>
      </c>
      <c r="H6563">
        <v>148047380</v>
      </c>
      <c r="I6563">
        <v>148047407</v>
      </c>
    </row>
    <row r="6564" spans="1:9" x14ac:dyDescent="0.2">
      <c r="A6564" t="str">
        <f>"Farp1"</f>
        <v>Farp1</v>
      </c>
      <c r="B6564" t="s">
        <v>14</v>
      </c>
      <c r="C6564" t="s">
        <v>41</v>
      </c>
      <c r="D6564" t="s">
        <v>17</v>
      </c>
      <c r="E6564" t="s">
        <v>12</v>
      </c>
      <c r="F6564">
        <v>121035538</v>
      </c>
      <c r="G6564">
        <v>121035575</v>
      </c>
      <c r="H6564">
        <v>121035759</v>
      </c>
      <c r="I6564">
        <v>121035802</v>
      </c>
    </row>
    <row r="6565" spans="1:9" x14ac:dyDescent="0.2">
      <c r="A6565" t="str">
        <f>"Farp2"</f>
        <v>Farp2</v>
      </c>
      <c r="B6565" t="s">
        <v>14</v>
      </c>
      <c r="C6565" t="s">
        <v>19</v>
      </c>
      <c r="D6565" t="s">
        <v>17</v>
      </c>
      <c r="E6565" t="s">
        <v>12</v>
      </c>
      <c r="F6565">
        <v>93512088</v>
      </c>
      <c r="G6565">
        <v>93512125</v>
      </c>
      <c r="H6565">
        <v>93512128</v>
      </c>
      <c r="I6565">
        <v>93512156</v>
      </c>
    </row>
    <row r="6566" spans="1:9" x14ac:dyDescent="0.2">
      <c r="A6566" t="str">
        <f>"Fars2"</f>
        <v>Fars2</v>
      </c>
      <c r="B6566" t="s">
        <v>14</v>
      </c>
      <c r="C6566" t="s">
        <v>39</v>
      </c>
      <c r="D6566" t="s">
        <v>17</v>
      </c>
      <c r="E6566" t="s">
        <v>12</v>
      </c>
      <c r="F6566">
        <v>36117848</v>
      </c>
      <c r="G6566">
        <v>36117910</v>
      </c>
      <c r="H6566">
        <v>36117628</v>
      </c>
      <c r="I6566">
        <v>36117673</v>
      </c>
    </row>
    <row r="6567" spans="1:9" x14ac:dyDescent="0.2">
      <c r="A6567" t="str">
        <f>"Farsa"</f>
        <v>Farsa</v>
      </c>
      <c r="B6567" t="s">
        <v>14</v>
      </c>
      <c r="C6567" t="s">
        <v>30</v>
      </c>
      <c r="D6567" t="s">
        <v>17</v>
      </c>
      <c r="E6567" t="s">
        <v>12</v>
      </c>
      <c r="F6567">
        <v>84856982</v>
      </c>
      <c r="G6567">
        <v>84857036</v>
      </c>
      <c r="H6567">
        <v>84856982</v>
      </c>
      <c r="I6567">
        <v>84857036</v>
      </c>
    </row>
    <row r="6568" spans="1:9" x14ac:dyDescent="0.2">
      <c r="A6568" t="str">
        <f>"Farsb"</f>
        <v>Farsb</v>
      </c>
      <c r="B6568" t="s">
        <v>14</v>
      </c>
      <c r="C6568" t="s">
        <v>19</v>
      </c>
      <c r="D6568" t="s">
        <v>11</v>
      </c>
      <c r="E6568" t="s">
        <v>12</v>
      </c>
      <c r="F6568">
        <v>78488849</v>
      </c>
      <c r="G6568">
        <v>78488866</v>
      </c>
      <c r="H6568">
        <v>78489022</v>
      </c>
      <c r="I6568">
        <v>78489029</v>
      </c>
    </row>
    <row r="6569" spans="1:9" x14ac:dyDescent="0.2">
      <c r="A6569" t="str">
        <f>"Fas"</f>
        <v>Fas</v>
      </c>
      <c r="B6569" t="s">
        <v>14</v>
      </c>
      <c r="C6569" t="s">
        <v>10</v>
      </c>
      <c r="D6569" t="s">
        <v>17</v>
      </c>
      <c r="E6569" t="s">
        <v>12</v>
      </c>
      <c r="F6569">
        <v>34290670</v>
      </c>
      <c r="G6569">
        <v>34290716</v>
      </c>
      <c r="H6569">
        <v>34290653</v>
      </c>
      <c r="I6569">
        <v>34290668</v>
      </c>
    </row>
    <row r="6570" spans="1:9" x14ac:dyDescent="0.2">
      <c r="A6570" t="str">
        <f>"Fasl"</f>
        <v>Fasl</v>
      </c>
      <c r="B6570" t="s">
        <v>14</v>
      </c>
      <c r="C6570" t="s">
        <v>19</v>
      </c>
      <c r="D6570" t="s">
        <v>11</v>
      </c>
      <c r="E6570" t="s">
        <v>12</v>
      </c>
      <c r="F6570">
        <v>161788359</v>
      </c>
      <c r="G6570">
        <v>161788375</v>
      </c>
      <c r="H6570">
        <v>161788472</v>
      </c>
      <c r="I6570">
        <v>161788483</v>
      </c>
    </row>
    <row r="6571" spans="1:9" x14ac:dyDescent="0.2">
      <c r="A6571" t="str">
        <f>"Fasn"</f>
        <v>Fasn</v>
      </c>
      <c r="B6571" t="s">
        <v>14</v>
      </c>
      <c r="C6571" t="s">
        <v>27</v>
      </c>
      <c r="D6571" t="s">
        <v>11</v>
      </c>
      <c r="E6571" t="s">
        <v>12</v>
      </c>
      <c r="F6571">
        <v>120824098</v>
      </c>
      <c r="G6571">
        <v>120824116</v>
      </c>
      <c r="H6571">
        <v>120824524</v>
      </c>
      <c r="I6571">
        <v>120824576</v>
      </c>
    </row>
    <row r="6572" spans="1:9" x14ac:dyDescent="0.2">
      <c r="A6572" t="str">
        <f>"Fastk"</f>
        <v>Fastk</v>
      </c>
      <c r="B6572" t="s">
        <v>14</v>
      </c>
      <c r="C6572" t="s">
        <v>46</v>
      </c>
      <c r="D6572" t="s">
        <v>11</v>
      </c>
      <c r="E6572" t="s">
        <v>12</v>
      </c>
      <c r="F6572">
        <v>24445166</v>
      </c>
      <c r="G6572">
        <v>24445220</v>
      </c>
      <c r="H6572">
        <v>24445224</v>
      </c>
      <c r="I6572">
        <v>24445252</v>
      </c>
    </row>
    <row r="6573" spans="1:9" x14ac:dyDescent="0.2">
      <c r="A6573" t="str">
        <f>"Fastkd1"</f>
        <v>Fastkd1</v>
      </c>
      <c r="B6573" t="s">
        <v>14</v>
      </c>
      <c r="C6573" t="s">
        <v>26</v>
      </c>
      <c r="D6573" t="s">
        <v>11</v>
      </c>
      <c r="E6573" t="s">
        <v>12</v>
      </c>
      <c r="F6573">
        <v>69713487</v>
      </c>
      <c r="G6573">
        <v>69713526</v>
      </c>
      <c r="H6573">
        <v>69713461</v>
      </c>
      <c r="I6573">
        <v>69713477</v>
      </c>
    </row>
    <row r="6574" spans="1:9" x14ac:dyDescent="0.2">
      <c r="A6574" t="str">
        <f>"Fastkd2"</f>
        <v>Fastkd2</v>
      </c>
      <c r="B6574" t="s">
        <v>14</v>
      </c>
      <c r="C6574" t="s">
        <v>19</v>
      </c>
      <c r="D6574" t="s">
        <v>17</v>
      </c>
      <c r="E6574" t="s">
        <v>12</v>
      </c>
      <c r="F6574">
        <v>63730616</v>
      </c>
      <c r="G6574">
        <v>63730657</v>
      </c>
      <c r="H6574">
        <v>63730616</v>
      </c>
      <c r="I6574">
        <v>63730657</v>
      </c>
    </row>
    <row r="6575" spans="1:9" x14ac:dyDescent="0.2">
      <c r="A6575" t="str">
        <f>"Fastkd3"</f>
        <v>Fastkd3</v>
      </c>
      <c r="B6575" t="s">
        <v>14</v>
      </c>
      <c r="C6575" t="s">
        <v>39</v>
      </c>
      <c r="D6575" t="s">
        <v>17</v>
      </c>
      <c r="E6575" t="s">
        <v>12</v>
      </c>
      <c r="F6575">
        <v>68582213</v>
      </c>
      <c r="G6575">
        <v>68582270</v>
      </c>
      <c r="H6575">
        <v>68582195</v>
      </c>
      <c r="I6575">
        <v>68582198</v>
      </c>
    </row>
    <row r="6576" spans="1:9" x14ac:dyDescent="0.2">
      <c r="A6576" t="str">
        <f>"Fastkd5"</f>
        <v>Fastkd5</v>
      </c>
      <c r="B6576" t="s">
        <v>14</v>
      </c>
      <c r="C6576" t="s">
        <v>26</v>
      </c>
      <c r="D6576" t="s">
        <v>11</v>
      </c>
      <c r="E6576" t="s">
        <v>12</v>
      </c>
      <c r="F6576">
        <v>130629994</v>
      </c>
      <c r="G6576">
        <v>130630032</v>
      </c>
      <c r="H6576">
        <v>130629972</v>
      </c>
      <c r="I6576">
        <v>130629990</v>
      </c>
    </row>
    <row r="6577" spans="1:9" x14ac:dyDescent="0.2">
      <c r="A6577" t="str">
        <f>"Fat1"</f>
        <v>Fat1</v>
      </c>
      <c r="B6577" t="s">
        <v>2439</v>
      </c>
      <c r="C6577" t="s">
        <v>30</v>
      </c>
      <c r="D6577" t="s">
        <v>17</v>
      </c>
      <c r="E6577" t="s">
        <v>20</v>
      </c>
      <c r="F6577">
        <v>44950207</v>
      </c>
      <c r="G6577">
        <v>44950207</v>
      </c>
      <c r="H6577">
        <v>44950207</v>
      </c>
      <c r="I6577">
        <v>44950207</v>
      </c>
    </row>
    <row r="6578" spans="1:9" x14ac:dyDescent="0.2">
      <c r="A6578" t="str">
        <f>"Fat2"</f>
        <v>Fat2</v>
      </c>
      <c r="B6578" t="s">
        <v>14</v>
      </c>
      <c r="C6578" t="s">
        <v>27</v>
      </c>
      <c r="D6578" t="s">
        <v>11</v>
      </c>
      <c r="E6578" t="s">
        <v>12</v>
      </c>
      <c r="F6578">
        <v>55336597</v>
      </c>
      <c r="G6578">
        <v>55336631</v>
      </c>
      <c r="H6578">
        <v>55336561</v>
      </c>
      <c r="I6578">
        <v>55336590</v>
      </c>
    </row>
    <row r="6579" spans="1:9" x14ac:dyDescent="0.2">
      <c r="A6579" t="str">
        <f>"Fat3"</f>
        <v>Fat3</v>
      </c>
      <c r="B6579" t="s">
        <v>2440</v>
      </c>
      <c r="C6579" t="s">
        <v>24</v>
      </c>
      <c r="D6579" t="s">
        <v>11</v>
      </c>
      <c r="E6579" t="s">
        <v>20</v>
      </c>
      <c r="F6579">
        <v>16378230</v>
      </c>
      <c r="G6579">
        <v>16378230</v>
      </c>
      <c r="H6579">
        <v>16378230</v>
      </c>
      <c r="I6579">
        <v>16378230</v>
      </c>
    </row>
    <row r="6580" spans="1:9" x14ac:dyDescent="0.2">
      <c r="A6580" t="str">
        <f>"Fat4"</f>
        <v>Fat4</v>
      </c>
      <c r="B6580" t="s">
        <v>14</v>
      </c>
      <c r="C6580" t="s">
        <v>22</v>
      </c>
      <c r="D6580" t="s">
        <v>17</v>
      </c>
      <c r="E6580" t="s">
        <v>12</v>
      </c>
      <c r="F6580">
        <v>38886469</v>
      </c>
      <c r="G6580">
        <v>38886489</v>
      </c>
      <c r="H6580">
        <v>38886469</v>
      </c>
      <c r="I6580">
        <v>38886489</v>
      </c>
    </row>
    <row r="6581" spans="1:9" x14ac:dyDescent="0.2">
      <c r="A6581" t="str">
        <f>"Fate1"</f>
        <v>Fate1</v>
      </c>
      <c r="B6581" t="s">
        <v>14</v>
      </c>
      <c r="C6581" t="s">
        <v>37</v>
      </c>
      <c r="D6581" t="s">
        <v>17</v>
      </c>
      <c r="E6581" t="s">
        <v>12</v>
      </c>
      <c r="F6581">
        <v>71972976</v>
      </c>
      <c r="G6581">
        <v>71972995</v>
      </c>
      <c r="H6581">
        <v>71972976</v>
      </c>
      <c r="I6581">
        <v>71972995</v>
      </c>
    </row>
    <row r="6582" spans="1:9" x14ac:dyDescent="0.2">
      <c r="A6582" t="str">
        <f>"Fau"</f>
        <v>Fau</v>
      </c>
      <c r="B6582" t="s">
        <v>14</v>
      </c>
      <c r="C6582" t="s">
        <v>10</v>
      </c>
      <c r="D6582" t="s">
        <v>17</v>
      </c>
      <c r="E6582" t="s">
        <v>12</v>
      </c>
      <c r="F6582">
        <v>6057925</v>
      </c>
      <c r="G6582">
        <v>6057958</v>
      </c>
      <c r="H6582">
        <v>6057925</v>
      </c>
      <c r="I6582">
        <v>6057958</v>
      </c>
    </row>
    <row r="6583" spans="1:9" x14ac:dyDescent="0.2">
      <c r="A6583" t="str">
        <f>"Faxc"</f>
        <v>Faxc</v>
      </c>
      <c r="B6583" t="s">
        <v>14</v>
      </c>
      <c r="C6583" t="s">
        <v>23</v>
      </c>
      <c r="D6583" t="s">
        <v>17</v>
      </c>
      <c r="E6583" t="s">
        <v>67</v>
      </c>
      <c r="F6583">
        <v>21931291</v>
      </c>
      <c r="G6583">
        <v>21931366</v>
      </c>
      <c r="H6583">
        <v>21931291</v>
      </c>
      <c r="I6583">
        <v>21931366</v>
      </c>
    </row>
    <row r="6584" spans="1:9" x14ac:dyDescent="0.2">
      <c r="A6584" t="str">
        <f>"Fbf1"</f>
        <v>Fbf1</v>
      </c>
      <c r="B6584" t="s">
        <v>14</v>
      </c>
      <c r="C6584" t="s">
        <v>27</v>
      </c>
      <c r="D6584" t="s">
        <v>11</v>
      </c>
      <c r="E6584" t="s">
        <v>12</v>
      </c>
      <c r="F6584">
        <v>116168138</v>
      </c>
      <c r="G6584">
        <v>116168205</v>
      </c>
      <c r="H6584">
        <v>116168124</v>
      </c>
      <c r="I6584">
        <v>116168129</v>
      </c>
    </row>
    <row r="6585" spans="1:9" x14ac:dyDescent="0.2">
      <c r="A6585" t="str">
        <f>"Fbl"</f>
        <v>Fbl</v>
      </c>
      <c r="B6585" t="s">
        <v>14</v>
      </c>
      <c r="C6585" t="s">
        <v>33</v>
      </c>
      <c r="D6585" t="s">
        <v>17</v>
      </c>
      <c r="E6585" t="s">
        <v>12</v>
      </c>
      <c r="F6585">
        <v>28169690</v>
      </c>
      <c r="G6585">
        <v>28169743</v>
      </c>
      <c r="H6585">
        <v>28169744</v>
      </c>
      <c r="I6585">
        <v>28169755</v>
      </c>
    </row>
    <row r="6586" spans="1:9" x14ac:dyDescent="0.2">
      <c r="A6586" t="str">
        <f>"Fblim1"</f>
        <v>Fblim1</v>
      </c>
      <c r="B6586" t="s">
        <v>9</v>
      </c>
      <c r="C6586" t="s">
        <v>23</v>
      </c>
      <c r="D6586" t="s">
        <v>11</v>
      </c>
      <c r="E6586" t="s">
        <v>12</v>
      </c>
      <c r="F6586">
        <v>141599868</v>
      </c>
      <c r="G6586">
        <v>141599906</v>
      </c>
      <c r="H6586">
        <v>141599868</v>
      </c>
      <c r="I6586">
        <v>141599906</v>
      </c>
    </row>
    <row r="6587" spans="1:9" x14ac:dyDescent="0.2">
      <c r="A6587" t="str">
        <f>"Fblim1"</f>
        <v>Fblim1</v>
      </c>
      <c r="B6587" t="s">
        <v>13</v>
      </c>
      <c r="C6587" t="s">
        <v>23</v>
      </c>
      <c r="D6587" t="s">
        <v>11</v>
      </c>
      <c r="E6587" t="s">
        <v>12</v>
      </c>
      <c r="F6587">
        <v>141606011</v>
      </c>
      <c r="G6587">
        <v>141606058</v>
      </c>
      <c r="H6587">
        <v>141606011</v>
      </c>
      <c r="I6587">
        <v>141606058</v>
      </c>
    </row>
    <row r="6588" spans="1:9" x14ac:dyDescent="0.2">
      <c r="A6588" t="str">
        <f>"Fbll1"</f>
        <v>Fbll1</v>
      </c>
      <c r="B6588" t="s">
        <v>14</v>
      </c>
      <c r="C6588" t="s">
        <v>27</v>
      </c>
      <c r="D6588" t="s">
        <v>11</v>
      </c>
      <c r="E6588" t="s">
        <v>12</v>
      </c>
      <c r="F6588">
        <v>35798536</v>
      </c>
      <c r="G6588">
        <v>35798612</v>
      </c>
      <c r="H6588">
        <v>35798536</v>
      </c>
      <c r="I6588">
        <v>35798612</v>
      </c>
    </row>
    <row r="6589" spans="1:9" x14ac:dyDescent="0.2">
      <c r="A6589" t="str">
        <f>"Fbln1"</f>
        <v>Fbln1</v>
      </c>
      <c r="B6589" t="s">
        <v>14</v>
      </c>
      <c r="C6589" t="s">
        <v>25</v>
      </c>
      <c r="D6589" t="s">
        <v>17</v>
      </c>
      <c r="E6589" t="s">
        <v>12</v>
      </c>
      <c r="F6589">
        <v>85206046</v>
      </c>
      <c r="G6589">
        <v>85206072</v>
      </c>
      <c r="H6589">
        <v>85206022</v>
      </c>
      <c r="I6589">
        <v>85206045</v>
      </c>
    </row>
    <row r="6590" spans="1:9" x14ac:dyDescent="0.2">
      <c r="A6590" t="str">
        <f>"Fbln2"</f>
        <v>Fbln2</v>
      </c>
      <c r="B6590" t="s">
        <v>14</v>
      </c>
      <c r="C6590" t="s">
        <v>32</v>
      </c>
      <c r="D6590" t="s">
        <v>17</v>
      </c>
      <c r="E6590" t="s">
        <v>12</v>
      </c>
      <c r="F6590">
        <v>91212799</v>
      </c>
      <c r="G6590">
        <v>91212844</v>
      </c>
      <c r="H6590">
        <v>91212787</v>
      </c>
      <c r="I6590">
        <v>91212798</v>
      </c>
    </row>
    <row r="6591" spans="1:9" x14ac:dyDescent="0.2">
      <c r="A6591" t="str">
        <f>"Fbln5"</f>
        <v>Fbln5</v>
      </c>
      <c r="B6591" t="s">
        <v>14</v>
      </c>
      <c r="C6591" t="s">
        <v>16</v>
      </c>
      <c r="D6591" t="s">
        <v>11</v>
      </c>
      <c r="E6591" t="s">
        <v>12</v>
      </c>
      <c r="F6591">
        <v>101818874</v>
      </c>
      <c r="G6591">
        <v>101818896</v>
      </c>
      <c r="H6591">
        <v>101819081</v>
      </c>
      <c r="I6591">
        <v>101819106</v>
      </c>
    </row>
    <row r="6592" spans="1:9" x14ac:dyDescent="0.2">
      <c r="A6592" t="str">
        <f>"Fbln7"</f>
        <v>Fbln7</v>
      </c>
      <c r="B6592" t="s">
        <v>14</v>
      </c>
      <c r="C6592" t="s">
        <v>26</v>
      </c>
      <c r="D6592" t="s">
        <v>17</v>
      </c>
      <c r="E6592" t="s">
        <v>12</v>
      </c>
      <c r="F6592">
        <v>128863921</v>
      </c>
      <c r="G6592">
        <v>128863999</v>
      </c>
      <c r="H6592">
        <v>128864008</v>
      </c>
      <c r="I6592">
        <v>128864021</v>
      </c>
    </row>
    <row r="6593" spans="1:9" x14ac:dyDescent="0.2">
      <c r="A6593" t="str">
        <f>"Fbn1"</f>
        <v>Fbn1</v>
      </c>
      <c r="B6593" t="s">
        <v>14</v>
      </c>
      <c r="C6593" t="s">
        <v>26</v>
      </c>
      <c r="D6593" t="s">
        <v>11</v>
      </c>
      <c r="E6593" t="s">
        <v>12</v>
      </c>
      <c r="F6593">
        <v>125506419</v>
      </c>
      <c r="G6593">
        <v>125506445</v>
      </c>
      <c r="H6593">
        <v>125506395</v>
      </c>
      <c r="I6593">
        <v>125506408</v>
      </c>
    </row>
    <row r="6594" spans="1:9" x14ac:dyDescent="0.2">
      <c r="A6594" t="str">
        <f>"Fbn2"</f>
        <v>Fbn2</v>
      </c>
      <c r="B6594" t="s">
        <v>14</v>
      </c>
      <c r="C6594" t="s">
        <v>43</v>
      </c>
      <c r="D6594" t="s">
        <v>11</v>
      </c>
      <c r="E6594" t="s">
        <v>12</v>
      </c>
      <c r="F6594">
        <v>58210056</v>
      </c>
      <c r="G6594">
        <v>58210067</v>
      </c>
      <c r="H6594">
        <v>58209820</v>
      </c>
      <c r="I6594">
        <v>58209831</v>
      </c>
    </row>
    <row r="6595" spans="1:9" x14ac:dyDescent="0.2">
      <c r="A6595" t="str">
        <f>"Fbp1"</f>
        <v>Fbp1</v>
      </c>
      <c r="B6595" t="s">
        <v>14</v>
      </c>
      <c r="C6595" t="s">
        <v>39</v>
      </c>
      <c r="D6595" t="s">
        <v>11</v>
      </c>
      <c r="E6595" t="s">
        <v>12</v>
      </c>
      <c r="F6595">
        <v>62888153</v>
      </c>
      <c r="G6595">
        <v>62888168</v>
      </c>
      <c r="H6595">
        <v>62888127</v>
      </c>
      <c r="I6595">
        <v>62888149</v>
      </c>
    </row>
    <row r="6596" spans="1:9" x14ac:dyDescent="0.2">
      <c r="A6596" t="str">
        <f>"Fbp2"</f>
        <v>Fbp2</v>
      </c>
      <c r="B6596" t="s">
        <v>14</v>
      </c>
      <c r="C6596" t="s">
        <v>39</v>
      </c>
      <c r="D6596" t="s">
        <v>11</v>
      </c>
      <c r="E6596" t="s">
        <v>12</v>
      </c>
      <c r="F6596">
        <v>62858364</v>
      </c>
      <c r="G6596">
        <v>62858411</v>
      </c>
      <c r="H6596">
        <v>62858346</v>
      </c>
      <c r="I6596">
        <v>62858359</v>
      </c>
    </row>
    <row r="6597" spans="1:9" x14ac:dyDescent="0.2">
      <c r="A6597" t="str">
        <f>"Fbrs"</f>
        <v>Fbrs</v>
      </c>
      <c r="B6597" t="s">
        <v>14</v>
      </c>
      <c r="C6597" t="s">
        <v>33</v>
      </c>
      <c r="D6597" t="s">
        <v>17</v>
      </c>
      <c r="E6597" t="s">
        <v>12</v>
      </c>
      <c r="F6597">
        <v>127485111</v>
      </c>
      <c r="G6597">
        <v>127485146</v>
      </c>
      <c r="H6597">
        <v>127485111</v>
      </c>
      <c r="I6597">
        <v>127485146</v>
      </c>
    </row>
    <row r="6598" spans="1:9" x14ac:dyDescent="0.2">
      <c r="A6598" t="str">
        <f>"Fbrsl1"</f>
        <v>Fbrsl1</v>
      </c>
      <c r="B6598" t="s">
        <v>9</v>
      </c>
      <c r="C6598" t="s">
        <v>46</v>
      </c>
      <c r="D6598" t="s">
        <v>11</v>
      </c>
      <c r="E6598" t="s">
        <v>12</v>
      </c>
      <c r="F6598">
        <v>110448486</v>
      </c>
      <c r="G6598">
        <v>110448519</v>
      </c>
      <c r="H6598">
        <v>110448486</v>
      </c>
      <c r="I6598">
        <v>110448519</v>
      </c>
    </row>
    <row r="6599" spans="1:9" x14ac:dyDescent="0.2">
      <c r="A6599" t="str">
        <f>"Fbrsl1"</f>
        <v>Fbrsl1</v>
      </c>
      <c r="B6599" t="s">
        <v>13</v>
      </c>
      <c r="C6599" t="s">
        <v>46</v>
      </c>
      <c r="D6599" t="s">
        <v>11</v>
      </c>
      <c r="E6599" t="s">
        <v>12</v>
      </c>
      <c r="F6599">
        <v>110387090</v>
      </c>
      <c r="G6599">
        <v>110387154</v>
      </c>
      <c r="H6599">
        <v>110387090</v>
      </c>
      <c r="I6599">
        <v>110387154</v>
      </c>
    </row>
    <row r="6600" spans="1:9" x14ac:dyDescent="0.2">
      <c r="A6600" t="str">
        <f>"Fbxl12"</f>
        <v>Fbxl12</v>
      </c>
      <c r="B6600" t="s">
        <v>14</v>
      </c>
      <c r="C6600" t="s">
        <v>24</v>
      </c>
      <c r="D6600" t="s">
        <v>11</v>
      </c>
      <c r="E6600" t="s">
        <v>12</v>
      </c>
      <c r="F6600">
        <v>20644726</v>
      </c>
      <c r="G6600">
        <v>20644789</v>
      </c>
      <c r="H6600">
        <v>20644726</v>
      </c>
      <c r="I6600">
        <v>20644789</v>
      </c>
    </row>
    <row r="6601" spans="1:9" x14ac:dyDescent="0.2">
      <c r="A6601" t="str">
        <f>"Fbxl13"</f>
        <v>Fbxl13</v>
      </c>
      <c r="B6601" t="s">
        <v>14</v>
      </c>
      <c r="C6601" t="s">
        <v>46</v>
      </c>
      <c r="D6601" t="s">
        <v>11</v>
      </c>
      <c r="E6601" t="s">
        <v>12</v>
      </c>
      <c r="F6601">
        <v>21645541</v>
      </c>
      <c r="G6601">
        <v>21645610</v>
      </c>
      <c r="H6601">
        <v>21645621</v>
      </c>
      <c r="I6601">
        <v>21645627</v>
      </c>
    </row>
    <row r="6602" spans="1:9" x14ac:dyDescent="0.2">
      <c r="A6602" t="str">
        <f>"Fbxl14"</f>
        <v>Fbxl14</v>
      </c>
      <c r="B6602" t="s">
        <v>14</v>
      </c>
      <c r="C6602" t="s">
        <v>32</v>
      </c>
      <c r="D6602" t="s">
        <v>17</v>
      </c>
      <c r="E6602" t="s">
        <v>12</v>
      </c>
      <c r="F6602">
        <v>119479504</v>
      </c>
      <c r="G6602">
        <v>119479530</v>
      </c>
      <c r="H6602">
        <v>119479504</v>
      </c>
      <c r="I6602">
        <v>119479530</v>
      </c>
    </row>
    <row r="6603" spans="1:9" x14ac:dyDescent="0.2">
      <c r="A6603" t="str">
        <f>"Fbxl15"</f>
        <v>Fbxl15</v>
      </c>
      <c r="B6603" t="s">
        <v>14</v>
      </c>
      <c r="C6603" t="s">
        <v>10</v>
      </c>
      <c r="D6603" t="s">
        <v>17</v>
      </c>
      <c r="E6603" t="s">
        <v>12</v>
      </c>
      <c r="F6603">
        <v>46328179</v>
      </c>
      <c r="G6603">
        <v>46328205</v>
      </c>
      <c r="H6603">
        <v>46328448</v>
      </c>
      <c r="I6603">
        <v>46328474</v>
      </c>
    </row>
    <row r="6604" spans="1:9" x14ac:dyDescent="0.2">
      <c r="A6604" t="str">
        <f>"Fbxl16"</f>
        <v>Fbxl16</v>
      </c>
      <c r="B6604" t="s">
        <v>14</v>
      </c>
      <c r="C6604" t="s">
        <v>28</v>
      </c>
      <c r="D6604" t="s">
        <v>17</v>
      </c>
      <c r="E6604" t="s">
        <v>12</v>
      </c>
      <c r="F6604">
        <v>25809090</v>
      </c>
      <c r="G6604">
        <v>25809171</v>
      </c>
      <c r="H6604">
        <v>25809012</v>
      </c>
      <c r="I6604">
        <v>25809032</v>
      </c>
    </row>
    <row r="6605" spans="1:9" x14ac:dyDescent="0.2">
      <c r="A6605" t="str">
        <f>"Fbxl17"</f>
        <v>Fbxl17</v>
      </c>
      <c r="B6605" t="s">
        <v>14</v>
      </c>
      <c r="C6605" t="s">
        <v>28</v>
      </c>
      <c r="D6605" t="s">
        <v>11</v>
      </c>
      <c r="E6605" t="s">
        <v>12</v>
      </c>
      <c r="F6605">
        <v>63500329</v>
      </c>
      <c r="G6605">
        <v>63500378</v>
      </c>
      <c r="H6605">
        <v>63499983</v>
      </c>
      <c r="I6605">
        <v>63500075</v>
      </c>
    </row>
    <row r="6606" spans="1:9" x14ac:dyDescent="0.2">
      <c r="A6606" t="str">
        <f>"Fbxl18"</f>
        <v>Fbxl18</v>
      </c>
      <c r="B6606" t="s">
        <v>14</v>
      </c>
      <c r="C6606" t="s">
        <v>46</v>
      </c>
      <c r="D6606" t="s">
        <v>11</v>
      </c>
      <c r="E6606" t="s">
        <v>12</v>
      </c>
      <c r="F6606">
        <v>142895161</v>
      </c>
      <c r="G6606">
        <v>142895229</v>
      </c>
      <c r="H6606">
        <v>142895233</v>
      </c>
      <c r="I6606">
        <v>142895242</v>
      </c>
    </row>
    <row r="6607" spans="1:9" x14ac:dyDescent="0.2">
      <c r="A6607" t="str">
        <f>"Fbxl19"</f>
        <v>Fbxl19</v>
      </c>
      <c r="B6607" t="s">
        <v>9</v>
      </c>
      <c r="C6607" t="s">
        <v>33</v>
      </c>
      <c r="D6607" t="s">
        <v>17</v>
      </c>
      <c r="E6607" t="s">
        <v>12</v>
      </c>
      <c r="F6607">
        <v>127746254</v>
      </c>
      <c r="G6607">
        <v>127746321</v>
      </c>
      <c r="H6607">
        <v>127746254</v>
      </c>
      <c r="I6607">
        <v>127746321</v>
      </c>
    </row>
    <row r="6608" spans="1:9" x14ac:dyDescent="0.2">
      <c r="A6608" t="str">
        <f>"Fbxl19"</f>
        <v>Fbxl19</v>
      </c>
      <c r="B6608" t="s">
        <v>13</v>
      </c>
      <c r="C6608" t="s">
        <v>33</v>
      </c>
      <c r="D6608" t="s">
        <v>17</v>
      </c>
      <c r="E6608" t="s">
        <v>12</v>
      </c>
      <c r="F6608">
        <v>127748137</v>
      </c>
      <c r="G6608">
        <v>127748155</v>
      </c>
      <c r="H6608">
        <v>127748137</v>
      </c>
      <c r="I6608">
        <v>127748155</v>
      </c>
    </row>
    <row r="6609" spans="1:9" x14ac:dyDescent="0.2">
      <c r="A6609" t="str">
        <f>"Fbxl2"</f>
        <v>Fbxl2</v>
      </c>
      <c r="B6609" t="s">
        <v>14</v>
      </c>
      <c r="C6609" t="s">
        <v>24</v>
      </c>
      <c r="D6609" t="s">
        <v>11</v>
      </c>
      <c r="E6609" t="s">
        <v>12</v>
      </c>
      <c r="F6609">
        <v>114026711</v>
      </c>
      <c r="G6609">
        <v>114026764</v>
      </c>
      <c r="H6609">
        <v>114026711</v>
      </c>
      <c r="I6609">
        <v>114026764</v>
      </c>
    </row>
    <row r="6610" spans="1:9" x14ac:dyDescent="0.2">
      <c r="A6610" t="str">
        <f>"Fbxl20"</f>
        <v>Fbxl20</v>
      </c>
      <c r="B6610" t="s">
        <v>14</v>
      </c>
      <c r="C6610" t="s">
        <v>27</v>
      </c>
      <c r="D6610" t="s">
        <v>11</v>
      </c>
      <c r="E6610" t="s">
        <v>12</v>
      </c>
      <c r="F6610">
        <v>98149551</v>
      </c>
      <c r="G6610">
        <v>98149621</v>
      </c>
      <c r="H6610">
        <v>98150367</v>
      </c>
      <c r="I6610">
        <v>98150426</v>
      </c>
    </row>
    <row r="6611" spans="1:9" x14ac:dyDescent="0.2">
      <c r="A6611" t="str">
        <f>"Fbxl21"</f>
        <v>Fbxl21</v>
      </c>
      <c r="B6611" t="s">
        <v>14</v>
      </c>
      <c r="C6611" t="s">
        <v>39</v>
      </c>
      <c r="D6611" t="s">
        <v>17</v>
      </c>
      <c r="E6611" t="s">
        <v>12</v>
      </c>
      <c r="F6611">
        <v>56522449</v>
      </c>
      <c r="G6611">
        <v>56522495</v>
      </c>
      <c r="H6611">
        <v>56522497</v>
      </c>
      <c r="I6611">
        <v>56522516</v>
      </c>
    </row>
    <row r="6612" spans="1:9" x14ac:dyDescent="0.2">
      <c r="A6612" t="str">
        <f>"Fbxl22"</f>
        <v>Fbxl22</v>
      </c>
      <c r="B6612" t="s">
        <v>14</v>
      </c>
      <c r="C6612" t="s">
        <v>24</v>
      </c>
      <c r="D6612" t="s">
        <v>11</v>
      </c>
      <c r="E6612" t="s">
        <v>12</v>
      </c>
      <c r="F6612">
        <v>66514567</v>
      </c>
      <c r="G6612">
        <v>66514597</v>
      </c>
      <c r="H6612">
        <v>66514540</v>
      </c>
      <c r="I6612">
        <v>66514563</v>
      </c>
    </row>
    <row r="6613" spans="1:9" x14ac:dyDescent="0.2">
      <c r="A6613" t="str">
        <f>"Fbxl3"</f>
        <v>Fbxl3</v>
      </c>
      <c r="B6613" t="s">
        <v>14</v>
      </c>
      <c r="C6613" t="s">
        <v>41</v>
      </c>
      <c r="D6613" t="s">
        <v>11</v>
      </c>
      <c r="E6613" t="s">
        <v>12</v>
      </c>
      <c r="F6613">
        <v>103099499</v>
      </c>
      <c r="G6613">
        <v>103099550</v>
      </c>
      <c r="H6613">
        <v>103098991</v>
      </c>
      <c r="I6613">
        <v>103099045</v>
      </c>
    </row>
    <row r="6614" spans="1:9" x14ac:dyDescent="0.2">
      <c r="A6614" t="str">
        <f>"Fbxl4"</f>
        <v>Fbxl4</v>
      </c>
      <c r="B6614" t="s">
        <v>14</v>
      </c>
      <c r="C6614" t="s">
        <v>23</v>
      </c>
      <c r="D6614" t="s">
        <v>17</v>
      </c>
      <c r="E6614" t="s">
        <v>12</v>
      </c>
      <c r="F6614">
        <v>22357544</v>
      </c>
      <c r="G6614">
        <v>22357618</v>
      </c>
      <c r="H6614">
        <v>22357537</v>
      </c>
      <c r="I6614">
        <v>22357542</v>
      </c>
    </row>
    <row r="6615" spans="1:9" x14ac:dyDescent="0.2">
      <c r="A6615" t="str">
        <f>"Fbxl5"</f>
        <v>Fbxl5</v>
      </c>
      <c r="B6615" t="s">
        <v>14</v>
      </c>
      <c r="C6615" t="s">
        <v>46</v>
      </c>
      <c r="D6615" t="s">
        <v>11</v>
      </c>
      <c r="E6615" t="s">
        <v>12</v>
      </c>
      <c r="F6615">
        <v>43782086</v>
      </c>
      <c r="G6615">
        <v>43782143</v>
      </c>
      <c r="H6615">
        <v>43782063</v>
      </c>
      <c r="I6615">
        <v>43782085</v>
      </c>
    </row>
    <row r="6616" spans="1:9" x14ac:dyDescent="0.2">
      <c r="A6616" t="str">
        <f>"Fbxl6"</f>
        <v>Fbxl6</v>
      </c>
      <c r="B6616" t="s">
        <v>14</v>
      </c>
      <c r="C6616" t="s">
        <v>25</v>
      </c>
      <c r="D6616" t="s">
        <v>11</v>
      </c>
      <c r="E6616" t="s">
        <v>12</v>
      </c>
      <c r="F6616">
        <v>76538728</v>
      </c>
      <c r="G6616">
        <v>76538773</v>
      </c>
      <c r="H6616">
        <v>76538702</v>
      </c>
      <c r="I6616">
        <v>76538721</v>
      </c>
    </row>
    <row r="6617" spans="1:9" x14ac:dyDescent="0.2">
      <c r="A6617" t="str">
        <f>"Fbxl7"</f>
        <v>Fbxl7</v>
      </c>
      <c r="B6617" t="s">
        <v>14</v>
      </c>
      <c r="C6617" t="s">
        <v>25</v>
      </c>
      <c r="D6617" t="s">
        <v>11</v>
      </c>
      <c r="E6617" t="s">
        <v>12</v>
      </c>
      <c r="F6617">
        <v>26895539</v>
      </c>
      <c r="G6617">
        <v>26895558</v>
      </c>
      <c r="H6617">
        <v>26895578</v>
      </c>
      <c r="I6617">
        <v>26895585</v>
      </c>
    </row>
    <row r="6618" spans="1:9" x14ac:dyDescent="0.2">
      <c r="A6618" t="str">
        <f>"Fbxl8"</f>
        <v>Fbxl8</v>
      </c>
      <c r="B6618" t="s">
        <v>14</v>
      </c>
      <c r="C6618" t="s">
        <v>30</v>
      </c>
      <c r="D6618" t="s">
        <v>17</v>
      </c>
      <c r="E6618" t="s">
        <v>12</v>
      </c>
      <c r="F6618">
        <v>105264656</v>
      </c>
      <c r="G6618">
        <v>105264697</v>
      </c>
      <c r="H6618">
        <v>105264656</v>
      </c>
      <c r="I6618">
        <v>105264697</v>
      </c>
    </row>
    <row r="6619" spans="1:9" x14ac:dyDescent="0.2">
      <c r="A6619" t="str">
        <f>"Fbxo10"</f>
        <v>Fbxo10</v>
      </c>
      <c r="B6619" t="s">
        <v>14</v>
      </c>
      <c r="C6619" t="s">
        <v>23</v>
      </c>
      <c r="D6619" t="s">
        <v>11</v>
      </c>
      <c r="E6619" t="s">
        <v>12</v>
      </c>
      <c r="F6619">
        <v>45084538</v>
      </c>
      <c r="G6619">
        <v>45084603</v>
      </c>
      <c r="H6619">
        <v>45084606</v>
      </c>
      <c r="I6619">
        <v>45084617</v>
      </c>
    </row>
    <row r="6620" spans="1:9" x14ac:dyDescent="0.2">
      <c r="A6620" t="str">
        <f>"Fbxo11"</f>
        <v>Fbxo11</v>
      </c>
      <c r="B6620" t="s">
        <v>14</v>
      </c>
      <c r="C6620" t="s">
        <v>28</v>
      </c>
      <c r="D6620" t="s">
        <v>11</v>
      </c>
      <c r="E6620" t="s">
        <v>12</v>
      </c>
      <c r="F6620">
        <v>88065771</v>
      </c>
      <c r="G6620">
        <v>88065831</v>
      </c>
      <c r="H6620">
        <v>88065771</v>
      </c>
      <c r="I6620">
        <v>88065831</v>
      </c>
    </row>
    <row r="6621" spans="1:9" x14ac:dyDescent="0.2">
      <c r="A6621" t="str">
        <f>"Fbxo15"</f>
        <v>Fbxo15</v>
      </c>
      <c r="B6621" t="s">
        <v>14</v>
      </c>
      <c r="C6621" t="s">
        <v>43</v>
      </c>
      <c r="D6621" t="s">
        <v>17</v>
      </c>
      <c r="E6621" t="s">
        <v>12</v>
      </c>
      <c r="F6621">
        <v>84934658</v>
      </c>
      <c r="G6621">
        <v>84934659</v>
      </c>
      <c r="H6621">
        <v>84934658</v>
      </c>
      <c r="I6621">
        <v>84934659</v>
      </c>
    </row>
    <row r="6622" spans="1:9" x14ac:dyDescent="0.2">
      <c r="A6622" t="str">
        <f>"Fbxo16"</f>
        <v>Fbxo16</v>
      </c>
      <c r="B6622" t="s">
        <v>14</v>
      </c>
      <c r="C6622" t="s">
        <v>41</v>
      </c>
      <c r="D6622" t="s">
        <v>17</v>
      </c>
      <c r="E6622" t="s">
        <v>12</v>
      </c>
      <c r="F6622">
        <v>65266704</v>
      </c>
      <c r="G6622">
        <v>65266752</v>
      </c>
      <c r="H6622">
        <v>65266624</v>
      </c>
      <c r="I6622">
        <v>65266665</v>
      </c>
    </row>
    <row r="6623" spans="1:9" x14ac:dyDescent="0.2">
      <c r="A6623" t="str">
        <f>"Fbxo17"</f>
        <v>Fbxo17</v>
      </c>
      <c r="B6623" t="s">
        <v>14</v>
      </c>
      <c r="C6623" t="s">
        <v>33</v>
      </c>
      <c r="D6623" t="s">
        <v>17</v>
      </c>
      <c r="E6623" t="s">
        <v>12</v>
      </c>
      <c r="F6623">
        <v>28716777</v>
      </c>
      <c r="G6623">
        <v>28716840</v>
      </c>
      <c r="H6623">
        <v>28716846</v>
      </c>
      <c r="I6623">
        <v>28716861</v>
      </c>
    </row>
    <row r="6624" spans="1:9" x14ac:dyDescent="0.2">
      <c r="A6624" t="str">
        <f>"Fbxo18"</f>
        <v>Fbxo18</v>
      </c>
      <c r="B6624" t="s">
        <v>14</v>
      </c>
      <c r="C6624" t="s">
        <v>26</v>
      </c>
      <c r="D6624" t="s">
        <v>11</v>
      </c>
      <c r="E6624" t="s">
        <v>12</v>
      </c>
      <c r="F6624">
        <v>11777486</v>
      </c>
      <c r="G6624">
        <v>11777561</v>
      </c>
      <c r="H6624">
        <v>11777570</v>
      </c>
      <c r="I6624">
        <v>11777581</v>
      </c>
    </row>
    <row r="6625" spans="1:9" x14ac:dyDescent="0.2">
      <c r="A6625" t="str">
        <f>"Fbxo2"</f>
        <v>Fbxo2</v>
      </c>
      <c r="B6625" t="s">
        <v>14</v>
      </c>
      <c r="C6625" t="s">
        <v>23</v>
      </c>
      <c r="D6625" t="s">
        <v>17</v>
      </c>
      <c r="E6625" t="s">
        <v>12</v>
      </c>
      <c r="F6625">
        <v>148160613</v>
      </c>
      <c r="G6625">
        <v>148160630</v>
      </c>
      <c r="H6625">
        <v>148160656</v>
      </c>
      <c r="I6625">
        <v>148160680</v>
      </c>
    </row>
    <row r="6626" spans="1:9" x14ac:dyDescent="0.2">
      <c r="A6626" t="str">
        <f>"Fbxo21"</f>
        <v>Fbxo21</v>
      </c>
      <c r="B6626" t="s">
        <v>14</v>
      </c>
      <c r="C6626" t="s">
        <v>46</v>
      </c>
      <c r="D6626" t="s">
        <v>17</v>
      </c>
      <c r="E6626" t="s">
        <v>12</v>
      </c>
      <c r="F6626">
        <v>117976761</v>
      </c>
      <c r="G6626">
        <v>117976803</v>
      </c>
      <c r="H6626">
        <v>117976737</v>
      </c>
      <c r="I6626">
        <v>117976748</v>
      </c>
    </row>
    <row r="6627" spans="1:9" x14ac:dyDescent="0.2">
      <c r="A6627" t="str">
        <f>"Fbxo22"</f>
        <v>Fbxo22</v>
      </c>
      <c r="B6627" t="s">
        <v>14</v>
      </c>
      <c r="C6627" t="s">
        <v>24</v>
      </c>
      <c r="D6627" t="s">
        <v>17</v>
      </c>
      <c r="E6627" t="s">
        <v>12</v>
      </c>
      <c r="F6627">
        <v>55208940</v>
      </c>
      <c r="G6627">
        <v>55208989</v>
      </c>
      <c r="H6627">
        <v>55209005</v>
      </c>
      <c r="I6627">
        <v>55209020</v>
      </c>
    </row>
    <row r="6628" spans="1:9" x14ac:dyDescent="0.2">
      <c r="A6628" t="str">
        <f>"Fbxo24"</f>
        <v>Fbxo24</v>
      </c>
      <c r="B6628" t="s">
        <v>9</v>
      </c>
      <c r="C6628" t="s">
        <v>46</v>
      </c>
      <c r="D6628" t="s">
        <v>11</v>
      </c>
      <c r="E6628" t="s">
        <v>12</v>
      </c>
      <c r="F6628">
        <v>137628664</v>
      </c>
      <c r="G6628">
        <v>137628691</v>
      </c>
      <c r="H6628">
        <v>137628664</v>
      </c>
      <c r="I6628">
        <v>137628691</v>
      </c>
    </row>
    <row r="6629" spans="1:9" x14ac:dyDescent="0.2">
      <c r="A6629" t="str">
        <f>"Fbxo24"</f>
        <v>Fbxo24</v>
      </c>
      <c r="B6629" t="s">
        <v>13</v>
      </c>
      <c r="C6629" t="s">
        <v>46</v>
      </c>
      <c r="D6629" t="s">
        <v>11</v>
      </c>
      <c r="E6629" t="s">
        <v>12</v>
      </c>
      <c r="F6629">
        <v>137625035</v>
      </c>
      <c r="G6629">
        <v>137625056</v>
      </c>
      <c r="H6629">
        <v>137625035</v>
      </c>
      <c r="I6629">
        <v>137625056</v>
      </c>
    </row>
    <row r="6630" spans="1:9" x14ac:dyDescent="0.2">
      <c r="A6630" t="str">
        <f>"Fbxo25"</f>
        <v>Fbxo25</v>
      </c>
      <c r="B6630" t="s">
        <v>14</v>
      </c>
      <c r="C6630" t="s">
        <v>30</v>
      </c>
      <c r="D6630" t="s">
        <v>17</v>
      </c>
      <c r="E6630" t="s">
        <v>12</v>
      </c>
      <c r="F6630">
        <v>13907748</v>
      </c>
      <c r="G6630">
        <v>13907816</v>
      </c>
      <c r="H6630">
        <v>13907827</v>
      </c>
      <c r="I6630">
        <v>13907837</v>
      </c>
    </row>
    <row r="6631" spans="1:9" x14ac:dyDescent="0.2">
      <c r="A6631" t="str">
        <f>"Fbxo27"</f>
        <v>Fbxo27</v>
      </c>
      <c r="B6631" t="s">
        <v>14</v>
      </c>
      <c r="C6631" t="s">
        <v>33</v>
      </c>
      <c r="D6631" t="s">
        <v>17</v>
      </c>
      <c r="E6631" t="s">
        <v>12</v>
      </c>
      <c r="F6631">
        <v>28693997</v>
      </c>
      <c r="G6631">
        <v>28694012</v>
      </c>
      <c r="H6631">
        <v>28693140</v>
      </c>
      <c r="I6631">
        <v>28693152</v>
      </c>
    </row>
    <row r="6632" spans="1:9" x14ac:dyDescent="0.2">
      <c r="A6632" t="str">
        <f>"Fbxo28"</f>
        <v>Fbxo28</v>
      </c>
      <c r="B6632" t="s">
        <v>14</v>
      </c>
      <c r="C6632" t="s">
        <v>19</v>
      </c>
      <c r="D6632" t="s">
        <v>11</v>
      </c>
      <c r="E6632" t="s">
        <v>12</v>
      </c>
      <c r="F6632">
        <v>182341585</v>
      </c>
      <c r="G6632">
        <v>182341625</v>
      </c>
      <c r="H6632">
        <v>182341585</v>
      </c>
      <c r="I6632">
        <v>182341625</v>
      </c>
    </row>
    <row r="6633" spans="1:9" x14ac:dyDescent="0.2">
      <c r="A6633" t="str">
        <f>"Fbxo3"</f>
        <v>Fbxo3</v>
      </c>
      <c r="B6633" t="s">
        <v>14</v>
      </c>
      <c r="C6633" t="s">
        <v>26</v>
      </c>
      <c r="D6633" t="s">
        <v>17</v>
      </c>
      <c r="E6633" t="s">
        <v>12</v>
      </c>
      <c r="F6633">
        <v>104027823</v>
      </c>
      <c r="G6633">
        <v>104027868</v>
      </c>
      <c r="H6633">
        <v>104027757</v>
      </c>
      <c r="I6633">
        <v>104027780</v>
      </c>
    </row>
    <row r="6634" spans="1:9" x14ac:dyDescent="0.2">
      <c r="A6634" t="str">
        <f>"Fbxo30"</f>
        <v>Fbxo30</v>
      </c>
      <c r="B6634" t="s">
        <v>14</v>
      </c>
      <c r="C6634" t="s">
        <v>15</v>
      </c>
      <c r="D6634" t="s">
        <v>17</v>
      </c>
      <c r="E6634" t="s">
        <v>12</v>
      </c>
      <c r="F6634">
        <v>11281304</v>
      </c>
      <c r="G6634">
        <v>11281357</v>
      </c>
      <c r="H6634">
        <v>11281360</v>
      </c>
      <c r="I6634">
        <v>11281383</v>
      </c>
    </row>
    <row r="6635" spans="1:9" x14ac:dyDescent="0.2">
      <c r="A6635" t="str">
        <f>"Fbxo31"</f>
        <v>Fbxo31</v>
      </c>
      <c r="B6635" t="s">
        <v>14</v>
      </c>
      <c r="C6635" t="s">
        <v>30</v>
      </c>
      <c r="D6635" t="s">
        <v>11</v>
      </c>
      <c r="E6635" t="s">
        <v>12</v>
      </c>
      <c r="F6635">
        <v>121578755</v>
      </c>
      <c r="G6635">
        <v>121578817</v>
      </c>
      <c r="H6635">
        <v>121578755</v>
      </c>
      <c r="I6635">
        <v>121578817</v>
      </c>
    </row>
    <row r="6636" spans="1:9" x14ac:dyDescent="0.2">
      <c r="A6636" t="str">
        <f>"Fbxo32"</f>
        <v>Fbxo32</v>
      </c>
      <c r="B6636" t="s">
        <v>14</v>
      </c>
      <c r="C6636" t="s">
        <v>25</v>
      </c>
      <c r="D6636" t="s">
        <v>11</v>
      </c>
      <c r="E6636" t="s">
        <v>12</v>
      </c>
      <c r="F6636">
        <v>58214837</v>
      </c>
      <c r="G6636">
        <v>58214848</v>
      </c>
      <c r="H6636">
        <v>58214882</v>
      </c>
      <c r="I6636">
        <v>58214926</v>
      </c>
    </row>
    <row r="6637" spans="1:9" x14ac:dyDescent="0.2">
      <c r="A6637" t="str">
        <f>"Fbxo33"</f>
        <v>Fbxo33</v>
      </c>
      <c r="B6637" t="s">
        <v>14</v>
      </c>
      <c r="C6637" t="s">
        <v>16</v>
      </c>
      <c r="D6637" t="s">
        <v>11</v>
      </c>
      <c r="E6637" t="s">
        <v>12</v>
      </c>
      <c r="F6637">
        <v>59219446</v>
      </c>
      <c r="G6637">
        <v>59219494</v>
      </c>
      <c r="H6637">
        <v>59219729</v>
      </c>
      <c r="I6637">
        <v>59219776</v>
      </c>
    </row>
    <row r="6638" spans="1:9" x14ac:dyDescent="0.2">
      <c r="A6638" t="str">
        <f>"Fbxo34"</f>
        <v>Fbxo34</v>
      </c>
      <c r="B6638" t="s">
        <v>14</v>
      </c>
      <c r="C6638" t="s">
        <v>41</v>
      </c>
      <c r="D6638" t="s">
        <v>17</v>
      </c>
      <c r="E6638" t="s">
        <v>12</v>
      </c>
      <c r="F6638">
        <v>47472547</v>
      </c>
      <c r="G6638">
        <v>47472625</v>
      </c>
      <c r="H6638">
        <v>47472628</v>
      </c>
      <c r="I6638">
        <v>47472640</v>
      </c>
    </row>
    <row r="6639" spans="1:9" x14ac:dyDescent="0.2">
      <c r="A6639" t="str">
        <f>"Fbxo36"</f>
        <v>Fbxo36</v>
      </c>
      <c r="B6639" t="s">
        <v>14</v>
      </c>
      <c r="C6639" t="s">
        <v>19</v>
      </c>
      <c r="D6639" t="s">
        <v>17</v>
      </c>
      <c r="E6639" t="s">
        <v>12</v>
      </c>
      <c r="F6639">
        <v>84839833</v>
      </c>
      <c r="G6639">
        <v>84839875</v>
      </c>
      <c r="H6639">
        <v>84839833</v>
      </c>
      <c r="I6639">
        <v>84839875</v>
      </c>
    </row>
    <row r="6640" spans="1:9" x14ac:dyDescent="0.2">
      <c r="A6640" t="str">
        <f>"Fbxo38"</f>
        <v>Fbxo38</v>
      </c>
      <c r="B6640" t="s">
        <v>14</v>
      </c>
      <c r="C6640" t="s">
        <v>43</v>
      </c>
      <c r="D6640" t="s">
        <v>11</v>
      </c>
      <c r="E6640" t="s">
        <v>12</v>
      </c>
      <c r="F6640">
        <v>62548682</v>
      </c>
      <c r="G6640">
        <v>62548717</v>
      </c>
      <c r="H6640">
        <v>62548721</v>
      </c>
      <c r="I6640">
        <v>62548765</v>
      </c>
    </row>
    <row r="6641" spans="1:9" x14ac:dyDescent="0.2">
      <c r="A6641" t="str">
        <f>"Fbxo39"</f>
        <v>Fbxo39</v>
      </c>
      <c r="B6641" t="s">
        <v>14</v>
      </c>
      <c r="C6641" t="s">
        <v>27</v>
      </c>
      <c r="D6641" t="s">
        <v>17</v>
      </c>
      <c r="E6641" t="s">
        <v>12</v>
      </c>
      <c r="F6641">
        <v>72314438</v>
      </c>
      <c r="G6641">
        <v>72314455</v>
      </c>
      <c r="H6641">
        <v>72314438</v>
      </c>
      <c r="I6641">
        <v>72314455</v>
      </c>
    </row>
    <row r="6642" spans="1:9" x14ac:dyDescent="0.2">
      <c r="A6642" t="str">
        <f>"Fbxo4"</f>
        <v>Fbxo4</v>
      </c>
      <c r="B6642" t="s">
        <v>14</v>
      </c>
      <c r="C6642" t="s">
        <v>25</v>
      </c>
      <c r="D6642" t="s">
        <v>11</v>
      </c>
      <c r="E6642" t="s">
        <v>12</v>
      </c>
      <c r="F6642">
        <v>3979432</v>
      </c>
      <c r="G6642">
        <v>3979562</v>
      </c>
      <c r="H6642">
        <v>3979580</v>
      </c>
      <c r="I6642">
        <v>3979591</v>
      </c>
    </row>
    <row r="6643" spans="1:9" x14ac:dyDescent="0.2">
      <c r="A6643" t="str">
        <f>"Fbxo40"</f>
        <v>Fbxo40</v>
      </c>
      <c r="B6643" t="s">
        <v>14</v>
      </c>
      <c r="C6643" t="s">
        <v>31</v>
      </c>
      <c r="D6643" t="s">
        <v>11</v>
      </c>
      <c r="E6643" t="s">
        <v>12</v>
      </c>
      <c r="F6643">
        <v>36990207</v>
      </c>
      <c r="G6643">
        <v>36990264</v>
      </c>
      <c r="H6643">
        <v>36990509</v>
      </c>
      <c r="I6643">
        <v>36990540</v>
      </c>
    </row>
    <row r="6644" spans="1:9" x14ac:dyDescent="0.2">
      <c r="A6644" t="str">
        <f>"Fbxo41"</f>
        <v>Fbxo41</v>
      </c>
      <c r="B6644" t="s">
        <v>14</v>
      </c>
      <c r="C6644" t="s">
        <v>32</v>
      </c>
      <c r="D6644" t="s">
        <v>11</v>
      </c>
      <c r="E6644" t="s">
        <v>12</v>
      </c>
      <c r="F6644">
        <v>85502980</v>
      </c>
      <c r="G6644">
        <v>85503034</v>
      </c>
      <c r="H6644">
        <v>85502928</v>
      </c>
      <c r="I6644">
        <v>85502965</v>
      </c>
    </row>
    <row r="6645" spans="1:9" x14ac:dyDescent="0.2">
      <c r="A6645" t="str">
        <f>"Fbxo42"</f>
        <v>Fbxo42</v>
      </c>
      <c r="B6645" t="s">
        <v>14</v>
      </c>
      <c r="C6645" t="s">
        <v>23</v>
      </c>
      <c r="D6645" t="s">
        <v>17</v>
      </c>
      <c r="E6645" t="s">
        <v>12</v>
      </c>
      <c r="F6645">
        <v>141147911</v>
      </c>
      <c r="G6645">
        <v>141147971</v>
      </c>
      <c r="H6645">
        <v>141147911</v>
      </c>
      <c r="I6645">
        <v>141147971</v>
      </c>
    </row>
    <row r="6646" spans="1:9" x14ac:dyDescent="0.2">
      <c r="A6646" t="str">
        <f>"Fbxo43"</f>
        <v>Fbxo43</v>
      </c>
      <c r="B6646" t="s">
        <v>14</v>
      </c>
      <c r="C6646" t="s">
        <v>25</v>
      </c>
      <c r="D6646" t="s">
        <v>11</v>
      </c>
      <c r="E6646" t="s">
        <v>12</v>
      </c>
      <c r="F6646">
        <v>36164840</v>
      </c>
      <c r="G6646">
        <v>36164851</v>
      </c>
      <c r="H6646">
        <v>36164856</v>
      </c>
      <c r="I6646">
        <v>36164866</v>
      </c>
    </row>
    <row r="6647" spans="1:9" x14ac:dyDescent="0.2">
      <c r="A6647" t="str">
        <f>"Fbxo44"</f>
        <v>Fbxo44</v>
      </c>
      <c r="B6647" t="s">
        <v>14</v>
      </c>
      <c r="C6647" t="s">
        <v>23</v>
      </c>
      <c r="D6647" t="s">
        <v>11</v>
      </c>
      <c r="E6647" t="s">
        <v>12</v>
      </c>
      <c r="F6647">
        <v>148159838</v>
      </c>
      <c r="G6647">
        <v>148159930</v>
      </c>
      <c r="H6647">
        <v>148160031</v>
      </c>
      <c r="I6647">
        <v>148160072</v>
      </c>
    </row>
    <row r="6648" spans="1:9" x14ac:dyDescent="0.2">
      <c r="A6648" t="str">
        <f>"Fbxo45"</f>
        <v>Fbxo45</v>
      </c>
      <c r="B6648" t="s">
        <v>14</v>
      </c>
      <c r="C6648" t="s">
        <v>31</v>
      </c>
      <c r="D6648" t="s">
        <v>11</v>
      </c>
      <c r="E6648" t="s">
        <v>12</v>
      </c>
      <c r="F6648">
        <v>32247103</v>
      </c>
      <c r="G6648">
        <v>32247148</v>
      </c>
      <c r="H6648">
        <v>32246879</v>
      </c>
      <c r="I6648">
        <v>32246947</v>
      </c>
    </row>
    <row r="6649" spans="1:9" x14ac:dyDescent="0.2">
      <c r="A6649" t="str">
        <f>"Fbxo46"</f>
        <v>Fbxo46</v>
      </c>
      <c r="B6649" t="s">
        <v>9</v>
      </c>
      <c r="C6649" t="s">
        <v>33</v>
      </c>
      <c r="D6649" t="s">
        <v>17</v>
      </c>
      <c r="E6649" t="s">
        <v>12</v>
      </c>
      <c r="F6649">
        <v>19119853</v>
      </c>
      <c r="G6649">
        <v>19119913</v>
      </c>
      <c r="H6649">
        <v>19119853</v>
      </c>
      <c r="I6649">
        <v>19119913</v>
      </c>
    </row>
    <row r="6650" spans="1:9" x14ac:dyDescent="0.2">
      <c r="A6650" t="str">
        <f>"Fbxo46"</f>
        <v>Fbxo46</v>
      </c>
      <c r="B6650" t="s">
        <v>13</v>
      </c>
      <c r="C6650" t="s">
        <v>33</v>
      </c>
      <c r="D6650" t="s">
        <v>17</v>
      </c>
      <c r="E6650" t="s">
        <v>12</v>
      </c>
      <c r="F6650">
        <v>19131686</v>
      </c>
      <c r="G6650">
        <v>19131709</v>
      </c>
      <c r="H6650">
        <v>19131686</v>
      </c>
      <c r="I6650">
        <v>19131709</v>
      </c>
    </row>
    <row r="6651" spans="1:9" x14ac:dyDescent="0.2">
      <c r="A6651" t="str">
        <f>"Fbxo47"</f>
        <v>Fbxo47</v>
      </c>
      <c r="B6651" t="s">
        <v>9</v>
      </c>
      <c r="C6651" t="s">
        <v>27</v>
      </c>
      <c r="D6651" t="s">
        <v>11</v>
      </c>
      <c r="E6651" t="s">
        <v>12</v>
      </c>
      <c r="F6651">
        <v>97884122</v>
      </c>
      <c r="G6651">
        <v>97884139</v>
      </c>
      <c r="H6651">
        <v>97884122</v>
      </c>
      <c r="I6651">
        <v>97884139</v>
      </c>
    </row>
    <row r="6652" spans="1:9" x14ac:dyDescent="0.2">
      <c r="A6652" t="str">
        <f>"Fbxo47"</f>
        <v>Fbxo47</v>
      </c>
      <c r="B6652" t="s">
        <v>13</v>
      </c>
      <c r="C6652" t="s">
        <v>27</v>
      </c>
      <c r="D6652" t="s">
        <v>11</v>
      </c>
      <c r="E6652" t="s">
        <v>12</v>
      </c>
      <c r="F6652">
        <v>97855535</v>
      </c>
      <c r="G6652">
        <v>97855562</v>
      </c>
      <c r="H6652">
        <v>97855535</v>
      </c>
      <c r="I6652">
        <v>97855562</v>
      </c>
    </row>
    <row r="6653" spans="1:9" x14ac:dyDescent="0.2">
      <c r="A6653" t="str">
        <f>"Fbxo48"</f>
        <v>Fbxo48</v>
      </c>
      <c r="B6653" t="s">
        <v>14</v>
      </c>
      <c r="C6653" t="s">
        <v>27</v>
      </c>
      <c r="D6653" t="s">
        <v>17</v>
      </c>
      <c r="E6653" t="s">
        <v>12</v>
      </c>
      <c r="F6653">
        <v>16951371</v>
      </c>
      <c r="G6653">
        <v>16951417</v>
      </c>
      <c r="H6653">
        <v>16951424</v>
      </c>
      <c r="I6653">
        <v>16951439</v>
      </c>
    </row>
    <row r="6654" spans="1:9" x14ac:dyDescent="0.2">
      <c r="A6654" t="str">
        <f>"Fbxo5"</f>
        <v>Fbxo5</v>
      </c>
      <c r="B6654" t="s">
        <v>14</v>
      </c>
      <c r="C6654" t="s">
        <v>15</v>
      </c>
      <c r="D6654" t="s">
        <v>11</v>
      </c>
      <c r="E6654" t="s">
        <v>12</v>
      </c>
      <c r="F6654">
        <v>5805412</v>
      </c>
      <c r="G6654">
        <v>5805454</v>
      </c>
      <c r="H6654">
        <v>5805394</v>
      </c>
      <c r="I6654">
        <v>5805408</v>
      </c>
    </row>
    <row r="6655" spans="1:9" x14ac:dyDescent="0.2">
      <c r="A6655" t="str">
        <f>"Fbxo6"</f>
        <v>Fbxo6</v>
      </c>
      <c r="B6655" t="s">
        <v>14</v>
      </c>
      <c r="C6655" t="s">
        <v>23</v>
      </c>
      <c r="D6655" t="s">
        <v>11</v>
      </c>
      <c r="E6655" t="s">
        <v>12</v>
      </c>
      <c r="F6655">
        <v>148151878</v>
      </c>
      <c r="G6655">
        <v>148151934</v>
      </c>
      <c r="H6655">
        <v>148152107</v>
      </c>
      <c r="I6655">
        <v>148152146</v>
      </c>
    </row>
    <row r="6656" spans="1:9" x14ac:dyDescent="0.2">
      <c r="A6656" t="str">
        <f>"Fbxo7"</f>
        <v>Fbxo7</v>
      </c>
      <c r="B6656" t="s">
        <v>14</v>
      </c>
      <c r="C6656" t="s">
        <v>15</v>
      </c>
      <c r="D6656" t="s">
        <v>17</v>
      </c>
      <c r="E6656" t="s">
        <v>12</v>
      </c>
      <c r="F6656">
        <v>86021881</v>
      </c>
      <c r="G6656">
        <v>86021954</v>
      </c>
      <c r="H6656">
        <v>86022208</v>
      </c>
      <c r="I6656">
        <v>86022253</v>
      </c>
    </row>
    <row r="6657" spans="1:9" x14ac:dyDescent="0.2">
      <c r="A6657" t="str">
        <f>"Fbxo8"</f>
        <v>Fbxo8</v>
      </c>
      <c r="B6657" t="s">
        <v>14</v>
      </c>
      <c r="C6657" t="s">
        <v>30</v>
      </c>
      <c r="D6657" t="s">
        <v>17</v>
      </c>
      <c r="E6657" t="s">
        <v>12</v>
      </c>
      <c r="F6657">
        <v>56551103</v>
      </c>
      <c r="G6657">
        <v>56551143</v>
      </c>
      <c r="H6657">
        <v>56551145</v>
      </c>
      <c r="I6657">
        <v>56551161</v>
      </c>
    </row>
    <row r="6658" spans="1:9" x14ac:dyDescent="0.2">
      <c r="A6658" t="str">
        <f>"Fbxo9"</f>
        <v>Fbxo9</v>
      </c>
      <c r="B6658" t="s">
        <v>14</v>
      </c>
      <c r="C6658" t="s">
        <v>24</v>
      </c>
      <c r="D6658" t="s">
        <v>11</v>
      </c>
      <c r="E6658" t="s">
        <v>12</v>
      </c>
      <c r="F6658">
        <v>78108617</v>
      </c>
      <c r="G6658">
        <v>78108650</v>
      </c>
      <c r="H6658">
        <v>78108588</v>
      </c>
      <c r="I6658">
        <v>78108616</v>
      </c>
    </row>
    <row r="6659" spans="1:9" x14ac:dyDescent="0.2">
      <c r="A6659" t="str">
        <f>"Fbxw10"</f>
        <v>Fbxw10</v>
      </c>
      <c r="B6659" t="s">
        <v>14</v>
      </c>
      <c r="C6659" t="s">
        <v>27</v>
      </c>
      <c r="D6659" t="s">
        <v>17</v>
      </c>
      <c r="E6659" t="s">
        <v>12</v>
      </c>
      <c r="F6659">
        <v>62847090</v>
      </c>
      <c r="G6659">
        <v>62847103</v>
      </c>
      <c r="H6659">
        <v>62847062</v>
      </c>
      <c r="I6659">
        <v>62847087</v>
      </c>
    </row>
    <row r="6660" spans="1:9" x14ac:dyDescent="0.2">
      <c r="A6660" t="str">
        <f>"Fbxw11"</f>
        <v>Fbxw11</v>
      </c>
      <c r="B6660" t="s">
        <v>14</v>
      </c>
      <c r="C6660" t="s">
        <v>27</v>
      </c>
      <c r="D6660" t="s">
        <v>17</v>
      </c>
      <c r="E6660" t="s">
        <v>12</v>
      </c>
      <c r="F6660">
        <v>32642706</v>
      </c>
      <c r="G6660">
        <v>32642821</v>
      </c>
      <c r="H6660">
        <v>32642539</v>
      </c>
      <c r="I6660">
        <v>32642584</v>
      </c>
    </row>
    <row r="6661" spans="1:9" x14ac:dyDescent="0.2">
      <c r="A6661" t="str">
        <f>"Fbxw13"</f>
        <v>Fbxw13</v>
      </c>
      <c r="B6661" t="s">
        <v>2441</v>
      </c>
      <c r="C6661" t="s">
        <v>24</v>
      </c>
      <c r="D6661" t="s">
        <v>11</v>
      </c>
      <c r="E6661" t="s">
        <v>20</v>
      </c>
      <c r="F6661">
        <v>109195974</v>
      </c>
      <c r="G6661">
        <v>109195974</v>
      </c>
      <c r="H6661">
        <v>109195974</v>
      </c>
      <c r="I6661">
        <v>109195974</v>
      </c>
    </row>
    <row r="6662" spans="1:9" x14ac:dyDescent="0.2">
      <c r="A6662" t="str">
        <f>"Fbxw14"</f>
        <v>Fbxw14</v>
      </c>
      <c r="B6662" t="s">
        <v>2442</v>
      </c>
      <c r="C6662" t="s">
        <v>24</v>
      </c>
      <c r="D6662" t="s">
        <v>11</v>
      </c>
      <c r="E6662" t="s">
        <v>20</v>
      </c>
      <c r="F6662">
        <v>109287672</v>
      </c>
      <c r="G6662">
        <v>109287672</v>
      </c>
      <c r="H6662">
        <v>109287672</v>
      </c>
      <c r="I6662">
        <v>109287672</v>
      </c>
    </row>
    <row r="6663" spans="1:9" x14ac:dyDescent="0.2">
      <c r="A6663" t="str">
        <f>"Fbxw15"</f>
        <v>Fbxw15</v>
      </c>
      <c r="B6663" t="s">
        <v>2443</v>
      </c>
      <c r="C6663" t="s">
        <v>24</v>
      </c>
      <c r="D6663" t="s">
        <v>11</v>
      </c>
      <c r="E6663" t="s">
        <v>20</v>
      </c>
      <c r="F6663">
        <v>109568261</v>
      </c>
      <c r="G6663">
        <v>109568261</v>
      </c>
      <c r="H6663">
        <v>109568261</v>
      </c>
      <c r="I6663">
        <v>109568261</v>
      </c>
    </row>
    <row r="6664" spans="1:9" x14ac:dyDescent="0.2">
      <c r="A6664" t="str">
        <f>"Fbxw16"</f>
        <v>Fbxw16</v>
      </c>
      <c r="B6664" t="s">
        <v>2444</v>
      </c>
      <c r="C6664" t="s">
        <v>24</v>
      </c>
      <c r="D6664" t="s">
        <v>11</v>
      </c>
      <c r="E6664" t="s">
        <v>20</v>
      </c>
      <c r="F6664">
        <v>109449139</v>
      </c>
      <c r="G6664">
        <v>109449139</v>
      </c>
      <c r="H6664">
        <v>109449139</v>
      </c>
      <c r="I6664">
        <v>109449139</v>
      </c>
    </row>
    <row r="6665" spans="1:9" x14ac:dyDescent="0.2">
      <c r="A6665" t="str">
        <f>"Fbxw17"</f>
        <v>Fbxw17</v>
      </c>
      <c r="B6665" t="s">
        <v>14</v>
      </c>
      <c r="C6665" t="s">
        <v>39</v>
      </c>
      <c r="D6665" t="s">
        <v>17</v>
      </c>
      <c r="E6665" t="s">
        <v>12</v>
      </c>
      <c r="F6665">
        <v>50417874</v>
      </c>
      <c r="G6665">
        <v>50417912</v>
      </c>
      <c r="H6665">
        <v>50417856</v>
      </c>
      <c r="I6665">
        <v>50417872</v>
      </c>
    </row>
    <row r="6666" spans="1:9" x14ac:dyDescent="0.2">
      <c r="A6666" t="str">
        <f>"Fbxw18"</f>
        <v>Fbxw18</v>
      </c>
      <c r="B6666" t="s">
        <v>14</v>
      </c>
      <c r="C6666" t="s">
        <v>24</v>
      </c>
      <c r="D6666" t="s">
        <v>11</v>
      </c>
      <c r="E6666" t="s">
        <v>12</v>
      </c>
      <c r="F6666">
        <v>109702677</v>
      </c>
      <c r="G6666">
        <v>109702682</v>
      </c>
      <c r="H6666">
        <v>109702677</v>
      </c>
      <c r="I6666">
        <v>109702682</v>
      </c>
    </row>
    <row r="6667" spans="1:9" x14ac:dyDescent="0.2">
      <c r="A6667" t="str">
        <f>"Fbxw19"</f>
        <v>Fbxw19</v>
      </c>
      <c r="B6667" t="s">
        <v>14</v>
      </c>
      <c r="C6667" t="s">
        <v>24</v>
      </c>
      <c r="D6667" t="s">
        <v>11</v>
      </c>
      <c r="E6667" t="s">
        <v>12</v>
      </c>
      <c r="F6667">
        <v>109495874</v>
      </c>
      <c r="G6667">
        <v>109495877</v>
      </c>
      <c r="H6667">
        <v>109495874</v>
      </c>
      <c r="I6667">
        <v>109495877</v>
      </c>
    </row>
    <row r="6668" spans="1:9" x14ac:dyDescent="0.2">
      <c r="A6668" t="str">
        <f>"Fbxw2"</f>
        <v>Fbxw2</v>
      </c>
      <c r="B6668" t="s">
        <v>14</v>
      </c>
      <c r="C6668" t="s">
        <v>26</v>
      </c>
      <c r="D6668" t="s">
        <v>11</v>
      </c>
      <c r="E6668" t="s">
        <v>12</v>
      </c>
      <c r="F6668">
        <v>34826187</v>
      </c>
      <c r="G6668">
        <v>34826240</v>
      </c>
      <c r="H6668">
        <v>34826160</v>
      </c>
      <c r="I6668">
        <v>34826181</v>
      </c>
    </row>
    <row r="6669" spans="1:9" x14ac:dyDescent="0.2">
      <c r="A6669" t="str">
        <f>"Fbxw20"</f>
        <v>Fbxw20</v>
      </c>
      <c r="B6669" t="s">
        <v>2445</v>
      </c>
      <c r="C6669" t="s">
        <v>24</v>
      </c>
      <c r="D6669" t="s">
        <v>11</v>
      </c>
      <c r="E6669" t="s">
        <v>20</v>
      </c>
      <c r="F6669">
        <v>109234753</v>
      </c>
      <c r="G6669">
        <v>109234753</v>
      </c>
      <c r="H6669">
        <v>109234753</v>
      </c>
      <c r="I6669">
        <v>109234753</v>
      </c>
    </row>
    <row r="6670" spans="1:9" x14ac:dyDescent="0.2">
      <c r="A6670" t="str">
        <f>"Fbxw21"</f>
        <v>Fbxw21</v>
      </c>
      <c r="B6670" t="s">
        <v>14</v>
      </c>
      <c r="C6670" t="s">
        <v>24</v>
      </c>
      <c r="D6670" t="s">
        <v>11</v>
      </c>
      <c r="E6670" t="s">
        <v>12</v>
      </c>
      <c r="F6670">
        <v>109162018</v>
      </c>
      <c r="G6670">
        <v>109162022</v>
      </c>
      <c r="H6670">
        <v>109162018</v>
      </c>
      <c r="I6670">
        <v>109162022</v>
      </c>
    </row>
    <row r="6671" spans="1:9" x14ac:dyDescent="0.2">
      <c r="A6671" t="str">
        <f>"Fbxw22"</f>
        <v>Fbxw22</v>
      </c>
      <c r="B6671" t="s">
        <v>2446</v>
      </c>
      <c r="C6671" t="s">
        <v>24</v>
      </c>
      <c r="D6671" t="s">
        <v>11</v>
      </c>
      <c r="E6671" t="s">
        <v>20</v>
      </c>
      <c r="F6671">
        <v>109404295</v>
      </c>
      <c r="G6671">
        <v>109404295</v>
      </c>
      <c r="H6671">
        <v>109404295</v>
      </c>
      <c r="I6671">
        <v>109404295</v>
      </c>
    </row>
    <row r="6672" spans="1:9" x14ac:dyDescent="0.2">
      <c r="A6672" t="str">
        <f>"Fbxw24"</f>
        <v>Fbxw24</v>
      </c>
      <c r="B6672" t="s">
        <v>2447</v>
      </c>
      <c r="C6672" t="s">
        <v>24</v>
      </c>
      <c r="D6672" t="s">
        <v>11</v>
      </c>
      <c r="E6672" t="s">
        <v>20</v>
      </c>
      <c r="F6672">
        <v>109626058</v>
      </c>
      <c r="G6672">
        <v>109626058</v>
      </c>
      <c r="H6672">
        <v>109626058</v>
      </c>
      <c r="I6672">
        <v>109626058</v>
      </c>
    </row>
    <row r="6673" spans="1:9" x14ac:dyDescent="0.2">
      <c r="A6673" t="str">
        <f>"Fbxw25"</f>
        <v>Fbxw25</v>
      </c>
      <c r="B6673" t="s">
        <v>2448</v>
      </c>
      <c r="C6673" t="s">
        <v>24</v>
      </c>
      <c r="D6673" t="s">
        <v>11</v>
      </c>
      <c r="E6673" t="s">
        <v>20</v>
      </c>
      <c r="F6673">
        <v>109664651</v>
      </c>
      <c r="G6673">
        <v>109664651</v>
      </c>
      <c r="H6673">
        <v>109664651</v>
      </c>
      <c r="I6673">
        <v>109664651</v>
      </c>
    </row>
    <row r="6674" spans="1:9" x14ac:dyDescent="0.2">
      <c r="A6674" t="str">
        <f>"Fbxw26"</f>
        <v>Fbxw26</v>
      </c>
      <c r="B6674" t="s">
        <v>2449</v>
      </c>
      <c r="C6674" t="s">
        <v>24</v>
      </c>
      <c r="D6674" t="s">
        <v>11</v>
      </c>
      <c r="E6674" t="s">
        <v>20</v>
      </c>
      <c r="F6674">
        <v>109746088</v>
      </c>
      <c r="G6674">
        <v>109746088</v>
      </c>
      <c r="H6674">
        <v>109746088</v>
      </c>
      <c r="I6674">
        <v>109746088</v>
      </c>
    </row>
    <row r="6675" spans="1:9" x14ac:dyDescent="0.2">
      <c r="A6675" t="str">
        <f>"Fbxw28"</f>
        <v>Fbxw28</v>
      </c>
      <c r="B6675" t="s">
        <v>2450</v>
      </c>
      <c r="C6675" t="s">
        <v>24</v>
      </c>
      <c r="D6675" t="s">
        <v>11</v>
      </c>
      <c r="E6675" t="s">
        <v>20</v>
      </c>
      <c r="F6675">
        <v>109339658</v>
      </c>
      <c r="G6675">
        <v>109339658</v>
      </c>
      <c r="H6675">
        <v>109339658</v>
      </c>
      <c r="I6675">
        <v>109339658</v>
      </c>
    </row>
    <row r="6676" spans="1:9" x14ac:dyDescent="0.2">
      <c r="A6676" t="str">
        <f>"Fbxw4"</f>
        <v>Fbxw4</v>
      </c>
      <c r="B6676" t="s">
        <v>14</v>
      </c>
      <c r="C6676" t="s">
        <v>10</v>
      </c>
      <c r="D6676" t="s">
        <v>11</v>
      </c>
      <c r="E6676" t="s">
        <v>12</v>
      </c>
      <c r="F6676">
        <v>45660460</v>
      </c>
      <c r="G6676">
        <v>45660493</v>
      </c>
      <c r="H6676">
        <v>45660496</v>
      </c>
      <c r="I6676">
        <v>45660520</v>
      </c>
    </row>
    <row r="6677" spans="1:9" x14ac:dyDescent="0.2">
      <c r="A6677" t="str">
        <f>"Fbxw5"</f>
        <v>Fbxw5</v>
      </c>
      <c r="B6677" t="s">
        <v>14</v>
      </c>
      <c r="C6677" t="s">
        <v>26</v>
      </c>
      <c r="D6677" t="s">
        <v>17</v>
      </c>
      <c r="E6677" t="s">
        <v>12</v>
      </c>
      <c r="F6677">
        <v>25500789</v>
      </c>
      <c r="G6677">
        <v>25500864</v>
      </c>
      <c r="H6677">
        <v>25500772</v>
      </c>
      <c r="I6677">
        <v>25500783</v>
      </c>
    </row>
    <row r="6678" spans="1:9" x14ac:dyDescent="0.2">
      <c r="A6678" t="str">
        <f>"Fbxw7"</f>
        <v>Fbxw7</v>
      </c>
      <c r="B6678" t="s">
        <v>9</v>
      </c>
      <c r="C6678" t="s">
        <v>22</v>
      </c>
      <c r="D6678" t="s">
        <v>17</v>
      </c>
      <c r="E6678" t="s">
        <v>12</v>
      </c>
      <c r="F6678">
        <v>84952333</v>
      </c>
      <c r="G6678">
        <v>84952409</v>
      </c>
      <c r="H6678">
        <v>84952333</v>
      </c>
      <c r="I6678">
        <v>84952409</v>
      </c>
    </row>
    <row r="6679" spans="1:9" x14ac:dyDescent="0.2">
      <c r="A6679" t="str">
        <f>"Fbxw7"</f>
        <v>Fbxw7</v>
      </c>
      <c r="B6679" t="s">
        <v>13</v>
      </c>
      <c r="C6679" t="s">
        <v>22</v>
      </c>
      <c r="D6679" t="s">
        <v>17</v>
      </c>
      <c r="E6679" t="s">
        <v>12</v>
      </c>
      <c r="F6679">
        <v>84925455</v>
      </c>
      <c r="G6679">
        <v>84925472</v>
      </c>
      <c r="H6679">
        <v>84925455</v>
      </c>
      <c r="I6679">
        <v>84925472</v>
      </c>
    </row>
    <row r="6680" spans="1:9" x14ac:dyDescent="0.2">
      <c r="A6680" t="str">
        <f>"Fbxw8"</f>
        <v>Fbxw8</v>
      </c>
      <c r="B6680" t="s">
        <v>14</v>
      </c>
      <c r="C6680" t="s">
        <v>46</v>
      </c>
      <c r="D6680" t="s">
        <v>11</v>
      </c>
      <c r="E6680" t="s">
        <v>12</v>
      </c>
      <c r="F6680">
        <v>118155379</v>
      </c>
      <c r="G6680">
        <v>118155469</v>
      </c>
      <c r="H6680">
        <v>118155379</v>
      </c>
      <c r="I6680">
        <v>118155469</v>
      </c>
    </row>
    <row r="6681" spans="1:9" x14ac:dyDescent="0.2">
      <c r="A6681" t="str">
        <f>"Fbxw9"</f>
        <v>Fbxw9</v>
      </c>
      <c r="B6681" t="s">
        <v>14</v>
      </c>
      <c r="C6681" t="s">
        <v>30</v>
      </c>
      <c r="D6681" t="s">
        <v>17</v>
      </c>
      <c r="E6681" t="s">
        <v>12</v>
      </c>
      <c r="F6681">
        <v>85060063</v>
      </c>
      <c r="G6681">
        <v>85060135</v>
      </c>
      <c r="H6681">
        <v>85060063</v>
      </c>
      <c r="I6681">
        <v>85060135</v>
      </c>
    </row>
    <row r="6682" spans="1:9" x14ac:dyDescent="0.2">
      <c r="A6682" t="str">
        <f>"Fcamr"</f>
        <v>Fcamr</v>
      </c>
      <c r="B6682" t="s">
        <v>14</v>
      </c>
      <c r="C6682" t="s">
        <v>19</v>
      </c>
      <c r="D6682" t="s">
        <v>17</v>
      </c>
      <c r="E6682" t="s">
        <v>12</v>
      </c>
      <c r="F6682">
        <v>130800635</v>
      </c>
      <c r="G6682">
        <v>130800640</v>
      </c>
      <c r="H6682">
        <v>130800635</v>
      </c>
      <c r="I6682">
        <v>130800640</v>
      </c>
    </row>
    <row r="6683" spans="1:9" x14ac:dyDescent="0.2">
      <c r="A6683" t="str">
        <f>"Fcer1a"</f>
        <v>Fcer1a</v>
      </c>
      <c r="B6683" t="s">
        <v>14</v>
      </c>
      <c r="C6683" t="s">
        <v>19</v>
      </c>
      <c r="D6683" t="s">
        <v>11</v>
      </c>
      <c r="E6683" t="s">
        <v>12</v>
      </c>
      <c r="F6683">
        <v>173227195</v>
      </c>
      <c r="G6683">
        <v>173227234</v>
      </c>
      <c r="H6683">
        <v>173227195</v>
      </c>
      <c r="I6683">
        <v>173227234</v>
      </c>
    </row>
    <row r="6684" spans="1:9" x14ac:dyDescent="0.2">
      <c r="A6684" t="str">
        <f>"Fcer1g"</f>
        <v>Fcer1g</v>
      </c>
      <c r="B6684" t="s">
        <v>14</v>
      </c>
      <c r="C6684" t="s">
        <v>19</v>
      </c>
      <c r="D6684" t="s">
        <v>11</v>
      </c>
      <c r="E6684" t="s">
        <v>12</v>
      </c>
      <c r="F6684">
        <v>171234290</v>
      </c>
      <c r="G6684">
        <v>171234324</v>
      </c>
      <c r="H6684">
        <v>171234276</v>
      </c>
      <c r="I6684">
        <v>171234287</v>
      </c>
    </row>
    <row r="6685" spans="1:9" x14ac:dyDescent="0.2">
      <c r="A6685" t="str">
        <f>"Fcer2a"</f>
        <v>Fcer2a</v>
      </c>
      <c r="B6685" t="s">
        <v>14</v>
      </c>
      <c r="C6685" t="s">
        <v>30</v>
      </c>
      <c r="D6685" t="s">
        <v>11</v>
      </c>
      <c r="E6685" t="s">
        <v>12</v>
      </c>
      <c r="F6685">
        <v>3694167</v>
      </c>
      <c r="G6685">
        <v>3694183</v>
      </c>
      <c r="H6685">
        <v>3694167</v>
      </c>
      <c r="I6685">
        <v>3694183</v>
      </c>
    </row>
    <row r="6686" spans="1:9" x14ac:dyDescent="0.2">
      <c r="A6686" t="str">
        <f>"Fcf1"</f>
        <v>Fcf1</v>
      </c>
      <c r="B6686" t="s">
        <v>14</v>
      </c>
      <c r="C6686" t="s">
        <v>16</v>
      </c>
      <c r="D6686" t="s">
        <v>17</v>
      </c>
      <c r="E6686" t="s">
        <v>12</v>
      </c>
      <c r="F6686">
        <v>84970904</v>
      </c>
      <c r="G6686">
        <v>84970950</v>
      </c>
      <c r="H6686">
        <v>84970904</v>
      </c>
      <c r="I6686">
        <v>84970950</v>
      </c>
    </row>
    <row r="6687" spans="1:9" x14ac:dyDescent="0.2">
      <c r="A6687" t="str">
        <f>"Fcgbp"</f>
        <v>Fcgbp</v>
      </c>
      <c r="B6687" t="s">
        <v>14</v>
      </c>
      <c r="C6687" t="s">
        <v>33</v>
      </c>
      <c r="D6687" t="s">
        <v>17</v>
      </c>
      <c r="E6687" t="s">
        <v>12</v>
      </c>
      <c r="F6687">
        <v>28071230</v>
      </c>
      <c r="G6687">
        <v>28071242</v>
      </c>
      <c r="H6687">
        <v>28071215</v>
      </c>
      <c r="I6687">
        <v>28071228</v>
      </c>
    </row>
    <row r="6688" spans="1:9" x14ac:dyDescent="0.2">
      <c r="A6688" t="str">
        <f>"Fcgr1"</f>
        <v>Fcgr1</v>
      </c>
      <c r="B6688" t="s">
        <v>14</v>
      </c>
      <c r="C6688" t="s">
        <v>22</v>
      </c>
      <c r="D6688" t="s">
        <v>11</v>
      </c>
      <c r="E6688" t="s">
        <v>12</v>
      </c>
      <c r="F6688">
        <v>96293953</v>
      </c>
      <c r="G6688">
        <v>96293985</v>
      </c>
      <c r="H6688">
        <v>96293996</v>
      </c>
      <c r="I6688">
        <v>96294001</v>
      </c>
    </row>
    <row r="6689" spans="1:9" x14ac:dyDescent="0.2">
      <c r="A6689" t="str">
        <f>"Fcgr2b"</f>
        <v>Fcgr2b</v>
      </c>
      <c r="B6689" t="s">
        <v>14</v>
      </c>
      <c r="C6689" t="s">
        <v>19</v>
      </c>
      <c r="D6689" t="s">
        <v>11</v>
      </c>
      <c r="E6689" t="s">
        <v>12</v>
      </c>
      <c r="F6689">
        <v>170976044</v>
      </c>
      <c r="G6689">
        <v>170976106</v>
      </c>
      <c r="H6689">
        <v>170976023</v>
      </c>
      <c r="I6689">
        <v>170976038</v>
      </c>
    </row>
    <row r="6690" spans="1:9" x14ac:dyDescent="0.2">
      <c r="A6690" t="str">
        <f>"Fcgr3"</f>
        <v>Fcgr3</v>
      </c>
      <c r="B6690" t="s">
        <v>14</v>
      </c>
      <c r="C6690" t="s">
        <v>19</v>
      </c>
      <c r="D6690" t="s">
        <v>11</v>
      </c>
      <c r="E6690" t="s">
        <v>12</v>
      </c>
      <c r="F6690">
        <v>171059348</v>
      </c>
      <c r="G6690">
        <v>171059379</v>
      </c>
      <c r="H6690">
        <v>171059390</v>
      </c>
      <c r="I6690">
        <v>171059405</v>
      </c>
    </row>
    <row r="6691" spans="1:9" x14ac:dyDescent="0.2">
      <c r="A6691" t="str">
        <f>"Fcgr4"</f>
        <v>Fcgr4</v>
      </c>
      <c r="B6691" t="s">
        <v>14</v>
      </c>
      <c r="C6691" t="s">
        <v>19</v>
      </c>
      <c r="D6691" t="s">
        <v>17</v>
      </c>
      <c r="E6691" t="s">
        <v>12</v>
      </c>
      <c r="F6691">
        <v>171018941</v>
      </c>
      <c r="G6691">
        <v>171018979</v>
      </c>
      <c r="H6691">
        <v>171018923</v>
      </c>
      <c r="I6691">
        <v>171018930</v>
      </c>
    </row>
    <row r="6692" spans="1:9" x14ac:dyDescent="0.2">
      <c r="A6692" t="str">
        <f>"Fcgrt"</f>
        <v>Fcgrt</v>
      </c>
      <c r="B6692" t="s">
        <v>14</v>
      </c>
      <c r="C6692" t="s">
        <v>33</v>
      </c>
      <c r="D6692" t="s">
        <v>11</v>
      </c>
      <c r="E6692" t="s">
        <v>12</v>
      </c>
      <c r="F6692">
        <v>45103747</v>
      </c>
      <c r="G6692">
        <v>45103800</v>
      </c>
      <c r="H6692">
        <v>45103726</v>
      </c>
      <c r="I6692">
        <v>45103733</v>
      </c>
    </row>
    <row r="6693" spans="1:9" x14ac:dyDescent="0.2">
      <c r="A6693" t="str">
        <f>"Fcho1"</f>
        <v>Fcho1</v>
      </c>
      <c r="B6693" t="s">
        <v>9</v>
      </c>
      <c r="C6693" t="s">
        <v>30</v>
      </c>
      <c r="D6693" t="s">
        <v>11</v>
      </c>
      <c r="E6693" t="s">
        <v>12</v>
      </c>
      <c r="F6693">
        <v>71723308</v>
      </c>
      <c r="G6693">
        <v>71723357</v>
      </c>
      <c r="H6693">
        <v>71723308</v>
      </c>
      <c r="I6693">
        <v>71723357</v>
      </c>
    </row>
    <row r="6694" spans="1:9" x14ac:dyDescent="0.2">
      <c r="A6694" t="str">
        <f>"Fcho1"</f>
        <v>Fcho1</v>
      </c>
      <c r="B6694" t="s">
        <v>13</v>
      </c>
      <c r="C6694" t="s">
        <v>30</v>
      </c>
      <c r="D6694" t="s">
        <v>11</v>
      </c>
      <c r="E6694" t="s">
        <v>12</v>
      </c>
      <c r="F6694">
        <v>71725650</v>
      </c>
      <c r="G6694">
        <v>71725684</v>
      </c>
      <c r="H6694">
        <v>71725650</v>
      </c>
      <c r="I6694">
        <v>71725684</v>
      </c>
    </row>
    <row r="6695" spans="1:9" x14ac:dyDescent="0.2">
      <c r="A6695" t="str">
        <f>"Fcho2"</f>
        <v>Fcho2</v>
      </c>
      <c r="B6695" t="s">
        <v>14</v>
      </c>
      <c r="C6695" t="s">
        <v>39</v>
      </c>
      <c r="D6695" t="s">
        <v>11</v>
      </c>
      <c r="E6695" t="s">
        <v>12</v>
      </c>
      <c r="F6695">
        <v>98815120</v>
      </c>
      <c r="G6695">
        <v>98815201</v>
      </c>
      <c r="H6695">
        <v>98815221</v>
      </c>
      <c r="I6695">
        <v>98815257</v>
      </c>
    </row>
    <row r="6696" spans="1:9" x14ac:dyDescent="0.2">
      <c r="A6696" t="str">
        <f>"Fchsd1"</f>
        <v>Fchsd1</v>
      </c>
      <c r="B6696" t="s">
        <v>14</v>
      </c>
      <c r="C6696" t="s">
        <v>43</v>
      </c>
      <c r="D6696" t="s">
        <v>11</v>
      </c>
      <c r="E6696" t="s">
        <v>12</v>
      </c>
      <c r="F6696">
        <v>37969742</v>
      </c>
      <c r="G6696">
        <v>37969782</v>
      </c>
      <c r="H6696">
        <v>37969970</v>
      </c>
      <c r="I6696">
        <v>37969981</v>
      </c>
    </row>
    <row r="6697" spans="1:9" x14ac:dyDescent="0.2">
      <c r="A6697" t="str">
        <f>"Fchsd2"</f>
        <v>Fchsd2</v>
      </c>
      <c r="B6697" t="s">
        <v>14</v>
      </c>
      <c r="C6697" t="s">
        <v>33</v>
      </c>
      <c r="D6697" t="s">
        <v>17</v>
      </c>
      <c r="E6697" t="s">
        <v>12</v>
      </c>
      <c r="F6697">
        <v>101108788</v>
      </c>
      <c r="G6697">
        <v>101108811</v>
      </c>
      <c r="H6697">
        <v>101108768</v>
      </c>
      <c r="I6697">
        <v>101108783</v>
      </c>
    </row>
    <row r="6698" spans="1:9" x14ac:dyDescent="0.2">
      <c r="A6698" t="str">
        <f>"Fcna"</f>
        <v>Fcna</v>
      </c>
      <c r="B6698" t="s">
        <v>14</v>
      </c>
      <c r="C6698" t="s">
        <v>26</v>
      </c>
      <c r="D6698" t="s">
        <v>11</v>
      </c>
      <c r="E6698" t="s">
        <v>12</v>
      </c>
      <c r="F6698">
        <v>25627933</v>
      </c>
      <c r="G6698">
        <v>25627952</v>
      </c>
      <c r="H6698">
        <v>25627913</v>
      </c>
      <c r="I6698">
        <v>25627926</v>
      </c>
    </row>
    <row r="6699" spans="1:9" x14ac:dyDescent="0.2">
      <c r="A6699" t="str">
        <f>"Fcnb"</f>
        <v>Fcnb</v>
      </c>
      <c r="B6699" t="s">
        <v>14</v>
      </c>
      <c r="C6699" t="s">
        <v>26</v>
      </c>
      <c r="D6699" t="s">
        <v>11</v>
      </c>
      <c r="E6699" t="s">
        <v>12</v>
      </c>
      <c r="F6699">
        <v>28084877</v>
      </c>
      <c r="G6699">
        <v>28084891</v>
      </c>
      <c r="H6699">
        <v>28084877</v>
      </c>
      <c r="I6699">
        <v>28084891</v>
      </c>
    </row>
    <row r="6700" spans="1:9" x14ac:dyDescent="0.2">
      <c r="A6700" t="str">
        <f>"Fcrl1"</f>
        <v>Fcrl1</v>
      </c>
      <c r="B6700" t="s">
        <v>14</v>
      </c>
      <c r="C6700" t="s">
        <v>22</v>
      </c>
      <c r="D6700" t="s">
        <v>17</v>
      </c>
      <c r="E6700" t="s">
        <v>12</v>
      </c>
      <c r="F6700">
        <v>87376441</v>
      </c>
      <c r="G6700">
        <v>87376459</v>
      </c>
      <c r="H6700">
        <v>87376381</v>
      </c>
      <c r="I6700">
        <v>87376393</v>
      </c>
    </row>
    <row r="6701" spans="1:9" x14ac:dyDescent="0.2">
      <c r="A6701" t="str">
        <f>"Fcrl5"</f>
        <v>Fcrl5</v>
      </c>
      <c r="B6701" t="s">
        <v>14</v>
      </c>
      <c r="C6701" t="s">
        <v>22</v>
      </c>
      <c r="D6701" t="s">
        <v>17</v>
      </c>
      <c r="E6701" t="s">
        <v>12</v>
      </c>
      <c r="F6701">
        <v>87435798</v>
      </c>
      <c r="G6701">
        <v>87435819</v>
      </c>
      <c r="H6701">
        <v>87435764</v>
      </c>
      <c r="I6701">
        <v>87435787</v>
      </c>
    </row>
    <row r="6702" spans="1:9" x14ac:dyDescent="0.2">
      <c r="A6702" t="str">
        <f>"Fcrl6"</f>
        <v>Fcrl6</v>
      </c>
      <c r="B6702" t="s">
        <v>14</v>
      </c>
      <c r="C6702" t="s">
        <v>19</v>
      </c>
      <c r="D6702" t="s">
        <v>11</v>
      </c>
      <c r="E6702" t="s">
        <v>12</v>
      </c>
      <c r="F6702">
        <v>172602519</v>
      </c>
      <c r="G6702">
        <v>172602544</v>
      </c>
      <c r="H6702">
        <v>172602555</v>
      </c>
      <c r="I6702">
        <v>172602566</v>
      </c>
    </row>
    <row r="6703" spans="1:9" x14ac:dyDescent="0.2">
      <c r="A6703" t="str">
        <f>"Fcrla"</f>
        <v>Fcrla</v>
      </c>
      <c r="B6703" t="s">
        <v>14</v>
      </c>
      <c r="C6703" t="s">
        <v>19</v>
      </c>
      <c r="D6703" t="s">
        <v>11</v>
      </c>
      <c r="E6703" t="s">
        <v>12</v>
      </c>
      <c r="F6703">
        <v>170927540</v>
      </c>
      <c r="G6703">
        <v>170927566</v>
      </c>
      <c r="H6703">
        <v>170927567</v>
      </c>
      <c r="I6703">
        <v>170927583</v>
      </c>
    </row>
    <row r="6704" spans="1:9" x14ac:dyDescent="0.2">
      <c r="A6704" t="str">
        <f>"Fcrlb"</f>
        <v>Fcrlb</v>
      </c>
      <c r="B6704" t="s">
        <v>2451</v>
      </c>
      <c r="C6704" t="s">
        <v>19</v>
      </c>
      <c r="D6704" t="s">
        <v>11</v>
      </c>
      <c r="E6704" t="s">
        <v>20</v>
      </c>
      <c r="F6704">
        <v>170912940</v>
      </c>
      <c r="G6704">
        <v>170912940</v>
      </c>
      <c r="H6704">
        <v>170912940</v>
      </c>
      <c r="I6704">
        <v>170912940</v>
      </c>
    </row>
    <row r="6705" spans="1:9" x14ac:dyDescent="0.2">
      <c r="A6705" t="str">
        <f>"Fcrls"</f>
        <v>Fcrls</v>
      </c>
      <c r="B6705" t="s">
        <v>14</v>
      </c>
      <c r="C6705" t="s">
        <v>22</v>
      </c>
      <c r="D6705" t="s">
        <v>11</v>
      </c>
      <c r="E6705" t="s">
        <v>12</v>
      </c>
      <c r="F6705">
        <v>87263518</v>
      </c>
      <c r="G6705">
        <v>87263591</v>
      </c>
      <c r="H6705">
        <v>87263703</v>
      </c>
      <c r="I6705">
        <v>87263714</v>
      </c>
    </row>
    <row r="6706" spans="1:9" x14ac:dyDescent="0.2">
      <c r="A6706" t="str">
        <f>"Fdft1"</f>
        <v>Fdft1</v>
      </c>
      <c r="B6706" t="s">
        <v>14</v>
      </c>
      <c r="C6706" t="s">
        <v>41</v>
      </c>
      <c r="D6706" t="s">
        <v>11</v>
      </c>
      <c r="E6706" t="s">
        <v>12</v>
      </c>
      <c r="F6706">
        <v>63177804</v>
      </c>
      <c r="G6706">
        <v>63177889</v>
      </c>
      <c r="H6706">
        <v>63177906</v>
      </c>
      <c r="I6706">
        <v>63177961</v>
      </c>
    </row>
    <row r="6707" spans="1:9" x14ac:dyDescent="0.2">
      <c r="A6707" t="str">
        <f>"Fdps"</f>
        <v>Fdps</v>
      </c>
      <c r="B6707" t="s">
        <v>14</v>
      </c>
      <c r="C6707" t="s">
        <v>22</v>
      </c>
      <c r="D6707" t="s">
        <v>11</v>
      </c>
      <c r="E6707" t="s">
        <v>12</v>
      </c>
      <c r="F6707">
        <v>89101907</v>
      </c>
      <c r="G6707">
        <v>89101969</v>
      </c>
      <c r="H6707">
        <v>89101858</v>
      </c>
      <c r="I6707">
        <v>89101898</v>
      </c>
    </row>
    <row r="6708" spans="1:9" x14ac:dyDescent="0.2">
      <c r="A6708" t="str">
        <f>"Fdx1"</f>
        <v>Fdx1</v>
      </c>
      <c r="B6708" t="s">
        <v>14</v>
      </c>
      <c r="C6708" t="s">
        <v>24</v>
      </c>
      <c r="D6708" t="s">
        <v>11</v>
      </c>
      <c r="E6708" t="s">
        <v>12</v>
      </c>
      <c r="F6708">
        <v>51963548</v>
      </c>
      <c r="G6708">
        <v>51963563</v>
      </c>
      <c r="H6708">
        <v>51963609</v>
      </c>
      <c r="I6708">
        <v>51963616</v>
      </c>
    </row>
    <row r="6709" spans="1:9" x14ac:dyDescent="0.2">
      <c r="A6709" t="str">
        <f>"Fdx1l"</f>
        <v>Fdx1l</v>
      </c>
      <c r="B6709" t="s">
        <v>14</v>
      </c>
      <c r="C6709" t="s">
        <v>24</v>
      </c>
      <c r="D6709" t="s">
        <v>11</v>
      </c>
      <c r="E6709" t="s">
        <v>12</v>
      </c>
      <c r="F6709">
        <v>21073494</v>
      </c>
      <c r="G6709">
        <v>21073541</v>
      </c>
      <c r="H6709">
        <v>21073494</v>
      </c>
      <c r="I6709">
        <v>21073541</v>
      </c>
    </row>
    <row r="6710" spans="1:9" x14ac:dyDescent="0.2">
      <c r="A6710" t="str">
        <f>"Fdxacb1"</f>
        <v>Fdxacb1</v>
      </c>
      <c r="B6710" t="s">
        <v>14</v>
      </c>
      <c r="C6710" t="s">
        <v>24</v>
      </c>
      <c r="D6710" t="s">
        <v>17</v>
      </c>
      <c r="E6710" t="s">
        <v>12</v>
      </c>
      <c r="F6710">
        <v>50768228</v>
      </c>
      <c r="G6710">
        <v>50768271</v>
      </c>
      <c r="H6710">
        <v>50768316</v>
      </c>
      <c r="I6710">
        <v>50768352</v>
      </c>
    </row>
    <row r="6711" spans="1:9" x14ac:dyDescent="0.2">
      <c r="A6711" t="str">
        <f>"Fdxr"</f>
        <v>Fdxr</v>
      </c>
      <c r="B6711" t="s">
        <v>14</v>
      </c>
      <c r="C6711" t="s">
        <v>27</v>
      </c>
      <c r="D6711" t="s">
        <v>11</v>
      </c>
      <c r="E6711" t="s">
        <v>12</v>
      </c>
      <c r="F6711">
        <v>115276916</v>
      </c>
      <c r="G6711">
        <v>115276943</v>
      </c>
      <c r="H6711">
        <v>115276952</v>
      </c>
      <c r="I6711">
        <v>115276972</v>
      </c>
    </row>
    <row r="6712" spans="1:9" x14ac:dyDescent="0.2">
      <c r="A6712" t="str">
        <f>"Fech"</f>
        <v>Fech</v>
      </c>
      <c r="B6712" t="s">
        <v>14</v>
      </c>
      <c r="C6712" t="s">
        <v>43</v>
      </c>
      <c r="D6712" t="s">
        <v>11</v>
      </c>
      <c r="E6712" t="s">
        <v>12</v>
      </c>
      <c r="F6712">
        <v>64489042</v>
      </c>
      <c r="G6712">
        <v>64489082</v>
      </c>
      <c r="H6712">
        <v>64488946</v>
      </c>
      <c r="I6712">
        <v>64488976</v>
      </c>
    </row>
    <row r="6713" spans="1:9" x14ac:dyDescent="0.2">
      <c r="A6713" t="str">
        <f>"Fem1a"</f>
        <v>Fem1a</v>
      </c>
      <c r="B6713" t="s">
        <v>14</v>
      </c>
      <c r="C6713" t="s">
        <v>28</v>
      </c>
      <c r="D6713" t="s">
        <v>17</v>
      </c>
      <c r="E6713" t="s">
        <v>12</v>
      </c>
      <c r="F6713">
        <v>56256802</v>
      </c>
      <c r="G6713">
        <v>56256836</v>
      </c>
      <c r="H6713">
        <v>56256802</v>
      </c>
      <c r="I6713">
        <v>56256836</v>
      </c>
    </row>
    <row r="6714" spans="1:9" x14ac:dyDescent="0.2">
      <c r="A6714" t="str">
        <f>"Fem1b"</f>
        <v>Fem1b</v>
      </c>
      <c r="B6714" t="s">
        <v>14</v>
      </c>
      <c r="C6714" t="s">
        <v>24</v>
      </c>
      <c r="D6714" t="s">
        <v>11</v>
      </c>
      <c r="E6714" t="s">
        <v>12</v>
      </c>
      <c r="F6714">
        <v>62811866</v>
      </c>
      <c r="G6714">
        <v>62811955</v>
      </c>
      <c r="H6714">
        <v>62811592</v>
      </c>
      <c r="I6714">
        <v>62811659</v>
      </c>
    </row>
    <row r="6715" spans="1:9" x14ac:dyDescent="0.2">
      <c r="A6715" t="str">
        <f>"Fem1c"</f>
        <v>Fem1c</v>
      </c>
      <c r="B6715" t="s">
        <v>14</v>
      </c>
      <c r="C6715" t="s">
        <v>43</v>
      </c>
      <c r="D6715" t="s">
        <v>11</v>
      </c>
      <c r="E6715" t="s">
        <v>12</v>
      </c>
      <c r="F6715">
        <v>46525851</v>
      </c>
      <c r="G6715">
        <v>46525871</v>
      </c>
      <c r="H6715">
        <v>46525940</v>
      </c>
      <c r="I6715">
        <v>46525999</v>
      </c>
    </row>
    <row r="6716" spans="1:9" x14ac:dyDescent="0.2">
      <c r="A6716" t="str">
        <f>"Fen1"</f>
        <v>Fen1</v>
      </c>
      <c r="B6716" t="s">
        <v>14</v>
      </c>
      <c r="C6716" t="s">
        <v>10</v>
      </c>
      <c r="D6716" t="s">
        <v>11</v>
      </c>
      <c r="E6716" t="s">
        <v>12</v>
      </c>
      <c r="F6716">
        <v>10203880</v>
      </c>
      <c r="G6716">
        <v>10203948</v>
      </c>
      <c r="H6716">
        <v>10203856</v>
      </c>
      <c r="I6716">
        <v>10203870</v>
      </c>
    </row>
    <row r="6717" spans="1:9" x14ac:dyDescent="0.2">
      <c r="A6717" t="str">
        <f>"Fer"</f>
        <v>Fer</v>
      </c>
      <c r="B6717" t="s">
        <v>2452</v>
      </c>
      <c r="C6717" t="s">
        <v>28</v>
      </c>
      <c r="D6717" t="s">
        <v>17</v>
      </c>
      <c r="E6717" t="s">
        <v>20</v>
      </c>
      <c r="F6717">
        <v>63896017</v>
      </c>
      <c r="G6717">
        <v>63896017</v>
      </c>
      <c r="H6717">
        <v>63896017</v>
      </c>
      <c r="I6717">
        <v>63896017</v>
      </c>
    </row>
    <row r="6718" spans="1:9" x14ac:dyDescent="0.2">
      <c r="A6718" t="str">
        <f>"Fer1l4"</f>
        <v>Fer1l4</v>
      </c>
      <c r="B6718" t="s">
        <v>14</v>
      </c>
      <c r="C6718" t="s">
        <v>26</v>
      </c>
      <c r="D6718" t="s">
        <v>11</v>
      </c>
      <c r="E6718" t="s">
        <v>12</v>
      </c>
      <c r="F6718">
        <v>156052967</v>
      </c>
      <c r="G6718">
        <v>156053009</v>
      </c>
      <c r="H6718">
        <v>156052950</v>
      </c>
      <c r="I6718">
        <v>156052964</v>
      </c>
    </row>
    <row r="6719" spans="1:9" x14ac:dyDescent="0.2">
      <c r="A6719" t="str">
        <f>"Fer1l6"</f>
        <v>Fer1l6</v>
      </c>
      <c r="B6719" t="s">
        <v>14</v>
      </c>
      <c r="C6719" t="s">
        <v>25</v>
      </c>
      <c r="D6719" t="s">
        <v>17</v>
      </c>
      <c r="E6719" t="s">
        <v>12</v>
      </c>
      <c r="F6719">
        <v>58510037</v>
      </c>
      <c r="G6719">
        <v>58510053</v>
      </c>
      <c r="H6719">
        <v>58510037</v>
      </c>
      <c r="I6719">
        <v>58510053</v>
      </c>
    </row>
    <row r="6720" spans="1:9" x14ac:dyDescent="0.2">
      <c r="A6720" t="str">
        <f>"Ferd3l"</f>
        <v>Ferd3l</v>
      </c>
      <c r="B6720" t="s">
        <v>14</v>
      </c>
      <c r="C6720" t="s">
        <v>16</v>
      </c>
      <c r="D6720" t="s">
        <v>17</v>
      </c>
      <c r="E6720" t="s">
        <v>12</v>
      </c>
      <c r="F6720">
        <v>33928402</v>
      </c>
      <c r="G6720">
        <v>33928407</v>
      </c>
      <c r="H6720">
        <v>33928402</v>
      </c>
      <c r="I6720">
        <v>33928407</v>
      </c>
    </row>
    <row r="6721" spans="1:9" x14ac:dyDescent="0.2">
      <c r="A6721" t="str">
        <f>"Fermt1"</f>
        <v>Fermt1</v>
      </c>
      <c r="B6721" t="s">
        <v>14</v>
      </c>
      <c r="C6721" t="s">
        <v>26</v>
      </c>
      <c r="D6721" t="s">
        <v>11</v>
      </c>
      <c r="E6721" t="s">
        <v>12</v>
      </c>
      <c r="F6721">
        <v>132945469</v>
      </c>
      <c r="G6721">
        <v>132945570</v>
      </c>
      <c r="H6721">
        <v>132946052</v>
      </c>
      <c r="I6721">
        <v>132946066</v>
      </c>
    </row>
    <row r="6722" spans="1:9" x14ac:dyDescent="0.2">
      <c r="A6722" t="str">
        <f>"Fermt2"</f>
        <v>Fermt2</v>
      </c>
      <c r="B6722" t="s">
        <v>14</v>
      </c>
      <c r="C6722" t="s">
        <v>41</v>
      </c>
      <c r="D6722" t="s">
        <v>11</v>
      </c>
      <c r="E6722" t="s">
        <v>12</v>
      </c>
      <c r="F6722">
        <v>45530020</v>
      </c>
      <c r="G6722">
        <v>45530056</v>
      </c>
      <c r="H6722">
        <v>45529990</v>
      </c>
      <c r="I6722">
        <v>45530019</v>
      </c>
    </row>
    <row r="6723" spans="1:9" x14ac:dyDescent="0.2">
      <c r="A6723" t="str">
        <f>"Fermt3"</f>
        <v>Fermt3</v>
      </c>
      <c r="B6723" t="s">
        <v>14</v>
      </c>
      <c r="C6723" t="s">
        <v>10</v>
      </c>
      <c r="D6723" t="s">
        <v>11</v>
      </c>
      <c r="E6723" t="s">
        <v>12</v>
      </c>
      <c r="F6723">
        <v>7019340</v>
      </c>
      <c r="G6723">
        <v>7019415</v>
      </c>
      <c r="H6723">
        <v>7019340</v>
      </c>
      <c r="I6723">
        <v>7019415</v>
      </c>
    </row>
    <row r="6724" spans="1:9" x14ac:dyDescent="0.2">
      <c r="A6724" t="str">
        <f>"Fes"</f>
        <v>Fes</v>
      </c>
      <c r="B6724" t="s">
        <v>14</v>
      </c>
      <c r="C6724" t="s">
        <v>33</v>
      </c>
      <c r="D6724" t="s">
        <v>11</v>
      </c>
      <c r="E6724" t="s">
        <v>12</v>
      </c>
      <c r="F6724">
        <v>80387871</v>
      </c>
      <c r="G6724">
        <v>80387901</v>
      </c>
      <c r="H6724">
        <v>80387904</v>
      </c>
      <c r="I6724">
        <v>80387922</v>
      </c>
    </row>
    <row r="6725" spans="1:9" x14ac:dyDescent="0.2">
      <c r="A6725" t="str">
        <f>"Fetub"</f>
        <v>Fetub</v>
      </c>
      <c r="B6725" t="s">
        <v>9</v>
      </c>
      <c r="C6725" t="s">
        <v>31</v>
      </c>
      <c r="D6725" t="s">
        <v>17</v>
      </c>
      <c r="E6725" t="s">
        <v>12</v>
      </c>
      <c r="F6725">
        <v>22920277</v>
      </c>
      <c r="G6725">
        <v>22920311</v>
      </c>
      <c r="H6725">
        <v>22920277</v>
      </c>
      <c r="I6725">
        <v>22920311</v>
      </c>
    </row>
    <row r="6726" spans="1:9" x14ac:dyDescent="0.2">
      <c r="A6726" t="str">
        <f>"Fetub"</f>
        <v>Fetub</v>
      </c>
      <c r="B6726" t="s">
        <v>13</v>
      </c>
      <c r="C6726" t="s">
        <v>31</v>
      </c>
      <c r="D6726" t="s">
        <v>17</v>
      </c>
      <c r="E6726" t="s">
        <v>12</v>
      </c>
      <c r="F6726">
        <v>22918378</v>
      </c>
      <c r="G6726">
        <v>22918385</v>
      </c>
      <c r="H6726">
        <v>22918378</v>
      </c>
      <c r="I6726">
        <v>22918385</v>
      </c>
    </row>
    <row r="6727" spans="1:9" x14ac:dyDescent="0.2">
      <c r="A6727" t="str">
        <f>"Fev"</f>
        <v>Fev</v>
      </c>
      <c r="B6727" t="s">
        <v>14</v>
      </c>
      <c r="C6727" t="s">
        <v>19</v>
      </c>
      <c r="D6727" t="s">
        <v>11</v>
      </c>
      <c r="E6727" t="s">
        <v>12</v>
      </c>
      <c r="F6727">
        <v>74884606</v>
      </c>
      <c r="G6727">
        <v>74884642</v>
      </c>
      <c r="H6727">
        <v>74885180</v>
      </c>
      <c r="I6727">
        <v>74885226</v>
      </c>
    </row>
    <row r="6728" spans="1:9" x14ac:dyDescent="0.2">
      <c r="A6728" t="str">
        <f>"Fez1"</f>
        <v>Fez1</v>
      </c>
      <c r="B6728" t="s">
        <v>14</v>
      </c>
      <c r="C6728" t="s">
        <v>24</v>
      </c>
      <c r="D6728" t="s">
        <v>17</v>
      </c>
      <c r="E6728" t="s">
        <v>12</v>
      </c>
      <c r="F6728">
        <v>36832700</v>
      </c>
      <c r="G6728">
        <v>36832855</v>
      </c>
      <c r="H6728">
        <v>36833555</v>
      </c>
      <c r="I6728">
        <v>36833589</v>
      </c>
    </row>
    <row r="6729" spans="1:9" x14ac:dyDescent="0.2">
      <c r="A6729" t="str">
        <f>"Fez2"</f>
        <v>Fez2</v>
      </c>
      <c r="B6729" t="s">
        <v>14</v>
      </c>
      <c r="C6729" t="s">
        <v>28</v>
      </c>
      <c r="D6729" t="s">
        <v>11</v>
      </c>
      <c r="E6729" t="s">
        <v>12</v>
      </c>
      <c r="F6729">
        <v>78418083</v>
      </c>
      <c r="G6729">
        <v>78418128</v>
      </c>
      <c r="H6729">
        <v>78418083</v>
      </c>
      <c r="I6729">
        <v>78418128</v>
      </c>
    </row>
    <row r="6730" spans="1:9" x14ac:dyDescent="0.2">
      <c r="A6730" t="str">
        <f>"Fezf1"</f>
        <v>Fezf1</v>
      </c>
      <c r="B6730" t="s">
        <v>14</v>
      </c>
      <c r="C6730" t="s">
        <v>32</v>
      </c>
      <c r="D6730" t="s">
        <v>11</v>
      </c>
      <c r="E6730" t="s">
        <v>12</v>
      </c>
      <c r="F6730">
        <v>23248371</v>
      </c>
      <c r="G6730">
        <v>23248390</v>
      </c>
      <c r="H6730">
        <v>23248262</v>
      </c>
      <c r="I6730">
        <v>23248294</v>
      </c>
    </row>
    <row r="6731" spans="1:9" x14ac:dyDescent="0.2">
      <c r="A6731" t="str">
        <f>"Fezf2"</f>
        <v>Fezf2</v>
      </c>
      <c r="B6731" t="s">
        <v>14</v>
      </c>
      <c r="C6731" t="s">
        <v>41</v>
      </c>
      <c r="D6731" t="s">
        <v>11</v>
      </c>
      <c r="E6731" t="s">
        <v>12</v>
      </c>
      <c r="F6731">
        <v>12345633</v>
      </c>
      <c r="G6731">
        <v>12345671</v>
      </c>
      <c r="H6731">
        <v>12345847</v>
      </c>
      <c r="I6731">
        <v>12345872</v>
      </c>
    </row>
    <row r="6732" spans="1:9" x14ac:dyDescent="0.2">
      <c r="A6732" t="str">
        <f>"Ffar1"</f>
        <v>Ffar1</v>
      </c>
      <c r="B6732" t="s">
        <v>2453</v>
      </c>
      <c r="C6732" t="s">
        <v>33</v>
      </c>
      <c r="D6732" t="s">
        <v>11</v>
      </c>
      <c r="E6732" t="s">
        <v>20</v>
      </c>
      <c r="F6732">
        <v>30861469</v>
      </c>
      <c r="G6732">
        <v>30861469</v>
      </c>
      <c r="H6732">
        <v>30861469</v>
      </c>
      <c r="I6732">
        <v>30861469</v>
      </c>
    </row>
    <row r="6733" spans="1:9" x14ac:dyDescent="0.2">
      <c r="A6733" t="str">
        <f>"Ffar2"</f>
        <v>Ffar2</v>
      </c>
      <c r="B6733" t="s">
        <v>14</v>
      </c>
      <c r="C6733" t="s">
        <v>33</v>
      </c>
      <c r="D6733" t="s">
        <v>11</v>
      </c>
      <c r="E6733" t="s">
        <v>12</v>
      </c>
      <c r="F6733">
        <v>30821142</v>
      </c>
      <c r="G6733">
        <v>30821156</v>
      </c>
      <c r="H6733">
        <v>30821205</v>
      </c>
      <c r="I6733">
        <v>30821214</v>
      </c>
    </row>
    <row r="6734" spans="1:9" x14ac:dyDescent="0.2">
      <c r="A6734" t="str">
        <f>"Ffar3"</f>
        <v>Ffar3</v>
      </c>
      <c r="B6734" t="s">
        <v>14</v>
      </c>
      <c r="C6734" t="s">
        <v>33</v>
      </c>
      <c r="D6734" t="s">
        <v>11</v>
      </c>
      <c r="E6734" t="s">
        <v>12</v>
      </c>
      <c r="F6734">
        <v>30856187</v>
      </c>
      <c r="G6734">
        <v>30856200</v>
      </c>
      <c r="H6734">
        <v>30856187</v>
      </c>
      <c r="I6734">
        <v>30856200</v>
      </c>
    </row>
    <row r="6735" spans="1:9" x14ac:dyDescent="0.2">
      <c r="A6735" t="str">
        <f>"Ffar4"</f>
        <v>Ffar4</v>
      </c>
      <c r="B6735" t="s">
        <v>14</v>
      </c>
      <c r="C6735" t="s">
        <v>10</v>
      </c>
      <c r="D6735" t="s">
        <v>17</v>
      </c>
      <c r="E6735" t="s">
        <v>67</v>
      </c>
      <c r="F6735">
        <v>38097065</v>
      </c>
      <c r="G6735">
        <v>38097104</v>
      </c>
      <c r="H6735">
        <v>38096858</v>
      </c>
      <c r="I6735">
        <v>38096889</v>
      </c>
    </row>
    <row r="6736" spans="1:9" x14ac:dyDescent="0.2">
      <c r="A6736" t="str">
        <f>"Fga"</f>
        <v>Fga</v>
      </c>
      <c r="B6736" t="s">
        <v>14</v>
      </c>
      <c r="C6736" t="s">
        <v>22</v>
      </c>
      <c r="D6736" t="s">
        <v>17</v>
      </c>
      <c r="E6736" t="s">
        <v>12</v>
      </c>
      <c r="F6736">
        <v>83026147</v>
      </c>
      <c r="G6736">
        <v>83026162</v>
      </c>
      <c r="H6736">
        <v>83026147</v>
      </c>
      <c r="I6736">
        <v>83026162</v>
      </c>
    </row>
    <row r="6737" spans="1:9" x14ac:dyDescent="0.2">
      <c r="A6737" t="str">
        <f>"Fgb"</f>
        <v>Fgb</v>
      </c>
      <c r="B6737" t="s">
        <v>14</v>
      </c>
      <c r="C6737" t="s">
        <v>22</v>
      </c>
      <c r="D6737" t="s">
        <v>11</v>
      </c>
      <c r="E6737" t="s">
        <v>12</v>
      </c>
      <c r="F6737">
        <v>83049797</v>
      </c>
      <c r="G6737">
        <v>83049817</v>
      </c>
      <c r="H6737">
        <v>83049797</v>
      </c>
      <c r="I6737">
        <v>83049817</v>
      </c>
    </row>
    <row r="6738" spans="1:9" x14ac:dyDescent="0.2">
      <c r="A6738" t="str">
        <f>"Fgd1"</f>
        <v>Fgd1</v>
      </c>
      <c r="B6738" t="s">
        <v>14</v>
      </c>
      <c r="C6738" t="s">
        <v>37</v>
      </c>
      <c r="D6738" t="s">
        <v>17</v>
      </c>
      <c r="E6738" t="s">
        <v>12</v>
      </c>
      <c r="F6738">
        <v>151046881</v>
      </c>
      <c r="G6738">
        <v>151046905</v>
      </c>
      <c r="H6738">
        <v>151046912</v>
      </c>
      <c r="I6738">
        <v>151046933</v>
      </c>
    </row>
    <row r="6739" spans="1:9" x14ac:dyDescent="0.2">
      <c r="A6739" t="str">
        <f>"Fgd2"</f>
        <v>Fgd2</v>
      </c>
      <c r="B6739" t="s">
        <v>14</v>
      </c>
      <c r="C6739" t="s">
        <v>28</v>
      </c>
      <c r="D6739" t="s">
        <v>17</v>
      </c>
      <c r="E6739" t="s">
        <v>12</v>
      </c>
      <c r="F6739">
        <v>29360923</v>
      </c>
      <c r="G6739">
        <v>29360940</v>
      </c>
      <c r="H6739">
        <v>29360956</v>
      </c>
      <c r="I6739">
        <v>29360968</v>
      </c>
    </row>
    <row r="6740" spans="1:9" x14ac:dyDescent="0.2">
      <c r="A6740" t="str">
        <f>"Fgd3"</f>
        <v>Fgd3</v>
      </c>
      <c r="B6740" t="s">
        <v>9</v>
      </c>
      <c r="C6740" t="s">
        <v>39</v>
      </c>
      <c r="D6740" t="s">
        <v>11</v>
      </c>
      <c r="E6740" t="s">
        <v>12</v>
      </c>
      <c r="F6740">
        <v>49320219</v>
      </c>
      <c r="G6740">
        <v>49320289</v>
      </c>
      <c r="H6740">
        <v>49320219</v>
      </c>
      <c r="I6740">
        <v>49320289</v>
      </c>
    </row>
    <row r="6741" spans="1:9" x14ac:dyDescent="0.2">
      <c r="A6741" t="str">
        <f>"Fgd3"</f>
        <v>Fgd3</v>
      </c>
      <c r="B6741" t="s">
        <v>13</v>
      </c>
      <c r="C6741" t="s">
        <v>39</v>
      </c>
      <c r="D6741" t="s">
        <v>11</v>
      </c>
      <c r="E6741" t="s">
        <v>12</v>
      </c>
      <c r="F6741">
        <v>49309217</v>
      </c>
      <c r="G6741">
        <v>49309257</v>
      </c>
      <c r="H6741">
        <v>49309217</v>
      </c>
      <c r="I6741">
        <v>49309257</v>
      </c>
    </row>
    <row r="6742" spans="1:9" x14ac:dyDescent="0.2">
      <c r="A6742" t="str">
        <f>"Fgd4"</f>
        <v>Fgd4</v>
      </c>
      <c r="B6742" t="s">
        <v>14</v>
      </c>
      <c r="C6742" t="s">
        <v>31</v>
      </c>
      <c r="D6742" t="s">
        <v>11</v>
      </c>
      <c r="E6742" t="s">
        <v>12</v>
      </c>
      <c r="F6742">
        <v>16600011</v>
      </c>
      <c r="G6742">
        <v>16600081</v>
      </c>
      <c r="H6742">
        <v>16600011</v>
      </c>
      <c r="I6742">
        <v>16600081</v>
      </c>
    </row>
    <row r="6743" spans="1:9" x14ac:dyDescent="0.2">
      <c r="A6743" t="str">
        <f>"Fgd5"</f>
        <v>Fgd5</v>
      </c>
      <c r="B6743" t="s">
        <v>14</v>
      </c>
      <c r="C6743" t="s">
        <v>32</v>
      </c>
      <c r="D6743" t="s">
        <v>17</v>
      </c>
      <c r="E6743" t="s">
        <v>12</v>
      </c>
      <c r="F6743">
        <v>91978851</v>
      </c>
      <c r="G6743">
        <v>91978913</v>
      </c>
      <c r="H6743">
        <v>91978957</v>
      </c>
      <c r="I6743">
        <v>91978983</v>
      </c>
    </row>
    <row r="6744" spans="1:9" x14ac:dyDescent="0.2">
      <c r="A6744" t="str">
        <f>"Fgd6"</f>
        <v>Fgd6</v>
      </c>
      <c r="B6744" t="s">
        <v>14</v>
      </c>
      <c r="C6744" t="s">
        <v>15</v>
      </c>
      <c r="D6744" t="s">
        <v>17</v>
      </c>
      <c r="E6744" t="s">
        <v>12</v>
      </c>
      <c r="F6744">
        <v>94036057</v>
      </c>
      <c r="G6744">
        <v>94036121</v>
      </c>
      <c r="H6744">
        <v>94036047</v>
      </c>
      <c r="I6744">
        <v>94036052</v>
      </c>
    </row>
    <row r="6745" spans="1:9" x14ac:dyDescent="0.2">
      <c r="A6745" t="str">
        <f>"Fgf1"</f>
        <v>Fgf1</v>
      </c>
      <c r="B6745" t="s">
        <v>14</v>
      </c>
      <c r="C6745" t="s">
        <v>43</v>
      </c>
      <c r="D6745" t="s">
        <v>11</v>
      </c>
      <c r="E6745" t="s">
        <v>12</v>
      </c>
      <c r="F6745">
        <v>38918642</v>
      </c>
      <c r="G6745">
        <v>38918710</v>
      </c>
      <c r="H6745">
        <v>38918642</v>
      </c>
      <c r="I6745">
        <v>38918710</v>
      </c>
    </row>
    <row r="6746" spans="1:9" x14ac:dyDescent="0.2">
      <c r="A6746" t="str">
        <f>"Fgf10"</f>
        <v>Fgf10</v>
      </c>
      <c r="B6746" t="s">
        <v>14</v>
      </c>
      <c r="C6746" t="s">
        <v>39</v>
      </c>
      <c r="D6746" t="s">
        <v>17</v>
      </c>
      <c r="E6746" t="s">
        <v>12</v>
      </c>
      <c r="F6746">
        <v>118714621</v>
      </c>
      <c r="G6746">
        <v>118714676</v>
      </c>
      <c r="H6746">
        <v>118714621</v>
      </c>
      <c r="I6746">
        <v>118714676</v>
      </c>
    </row>
    <row r="6747" spans="1:9" x14ac:dyDescent="0.2">
      <c r="A6747" t="str">
        <f>"Fgf11"</f>
        <v>Fgf11</v>
      </c>
      <c r="B6747" t="s">
        <v>2454</v>
      </c>
      <c r="C6747" t="s">
        <v>27</v>
      </c>
      <c r="D6747" t="s">
        <v>11</v>
      </c>
      <c r="E6747" t="s">
        <v>20</v>
      </c>
      <c r="F6747">
        <v>69801856</v>
      </c>
      <c r="G6747">
        <v>69801856</v>
      </c>
      <c r="H6747">
        <v>69801856</v>
      </c>
      <c r="I6747">
        <v>69801856</v>
      </c>
    </row>
    <row r="6748" spans="1:9" x14ac:dyDescent="0.2">
      <c r="A6748" t="str">
        <f>"Fgf12"</f>
        <v>Fgf12</v>
      </c>
      <c r="B6748" t="s">
        <v>2455</v>
      </c>
      <c r="C6748" t="s">
        <v>31</v>
      </c>
      <c r="D6748" t="s">
        <v>11</v>
      </c>
      <c r="E6748" t="s">
        <v>35</v>
      </c>
      <c r="F6748">
        <v>28445364</v>
      </c>
      <c r="G6748">
        <v>28445395</v>
      </c>
      <c r="H6748">
        <v>28445350</v>
      </c>
      <c r="I6748">
        <v>28445355</v>
      </c>
    </row>
    <row r="6749" spans="1:9" x14ac:dyDescent="0.2">
      <c r="A6749" t="str">
        <f>"Fgf13"</f>
        <v>Fgf13</v>
      </c>
      <c r="B6749" t="s">
        <v>14</v>
      </c>
      <c r="C6749" t="s">
        <v>37</v>
      </c>
      <c r="D6749" t="s">
        <v>11</v>
      </c>
      <c r="E6749" t="s">
        <v>12</v>
      </c>
      <c r="F6749">
        <v>59134728</v>
      </c>
      <c r="G6749">
        <v>59134785</v>
      </c>
      <c r="H6749">
        <v>59134728</v>
      </c>
      <c r="I6749">
        <v>59134785</v>
      </c>
    </row>
    <row r="6750" spans="1:9" x14ac:dyDescent="0.2">
      <c r="A6750" t="str">
        <f>"Fgf14"</f>
        <v>Fgf14</v>
      </c>
      <c r="B6750" t="s">
        <v>2456</v>
      </c>
      <c r="C6750" t="s">
        <v>41</v>
      </c>
      <c r="D6750" t="s">
        <v>11</v>
      </c>
      <c r="E6750" t="s">
        <v>35</v>
      </c>
      <c r="F6750">
        <v>124193055</v>
      </c>
      <c r="G6750">
        <v>124193067</v>
      </c>
      <c r="H6750">
        <v>124192706</v>
      </c>
      <c r="I6750">
        <v>124192708</v>
      </c>
    </row>
    <row r="6751" spans="1:9" x14ac:dyDescent="0.2">
      <c r="A6751" t="str">
        <f>"Fgf15"</f>
        <v>Fgf15</v>
      </c>
      <c r="B6751" t="s">
        <v>14</v>
      </c>
      <c r="C6751" t="s">
        <v>33</v>
      </c>
      <c r="D6751" t="s">
        <v>17</v>
      </c>
      <c r="E6751" t="s">
        <v>12</v>
      </c>
      <c r="F6751">
        <v>144896523</v>
      </c>
      <c r="G6751">
        <v>144896539</v>
      </c>
      <c r="H6751">
        <v>144896464</v>
      </c>
      <c r="I6751">
        <v>144896471</v>
      </c>
    </row>
    <row r="6752" spans="1:9" x14ac:dyDescent="0.2">
      <c r="A6752" t="str">
        <f>"Fgf16"</f>
        <v>Fgf16</v>
      </c>
      <c r="B6752" t="s">
        <v>14</v>
      </c>
      <c r="C6752" t="s">
        <v>37</v>
      </c>
      <c r="D6752" t="s">
        <v>17</v>
      </c>
      <c r="E6752" t="s">
        <v>12</v>
      </c>
      <c r="F6752">
        <v>105764262</v>
      </c>
      <c r="G6752">
        <v>105764267</v>
      </c>
      <c r="H6752">
        <v>105764385</v>
      </c>
      <c r="I6752">
        <v>105764414</v>
      </c>
    </row>
    <row r="6753" spans="1:9" x14ac:dyDescent="0.2">
      <c r="A6753" t="str">
        <f>"Fgf17"</f>
        <v>Fgf17</v>
      </c>
      <c r="B6753" t="s">
        <v>14</v>
      </c>
      <c r="C6753" t="s">
        <v>41</v>
      </c>
      <c r="D6753" t="s">
        <v>11</v>
      </c>
      <c r="E6753" t="s">
        <v>12</v>
      </c>
      <c r="F6753">
        <v>70642275</v>
      </c>
      <c r="G6753">
        <v>70642318</v>
      </c>
      <c r="H6753">
        <v>70642161</v>
      </c>
      <c r="I6753">
        <v>70642166</v>
      </c>
    </row>
    <row r="6754" spans="1:9" x14ac:dyDescent="0.2">
      <c r="A6754" t="str">
        <f>"Fgf18"</f>
        <v>Fgf18</v>
      </c>
      <c r="B6754" t="s">
        <v>14</v>
      </c>
      <c r="C6754" t="s">
        <v>27</v>
      </c>
      <c r="D6754" t="s">
        <v>11</v>
      </c>
      <c r="E6754" t="s">
        <v>12</v>
      </c>
      <c r="F6754">
        <v>33147808</v>
      </c>
      <c r="G6754">
        <v>33147828</v>
      </c>
      <c r="H6754">
        <v>33147408</v>
      </c>
      <c r="I6754">
        <v>33147448</v>
      </c>
    </row>
    <row r="6755" spans="1:9" x14ac:dyDescent="0.2">
      <c r="A6755" t="str">
        <f>"Fgf2"</f>
        <v>Fgf2</v>
      </c>
      <c r="B6755" t="s">
        <v>2457</v>
      </c>
      <c r="C6755" t="s">
        <v>22</v>
      </c>
      <c r="D6755" t="s">
        <v>17</v>
      </c>
      <c r="E6755" t="s">
        <v>35</v>
      </c>
      <c r="F6755">
        <v>37348443</v>
      </c>
      <c r="G6755">
        <v>37348458</v>
      </c>
      <c r="H6755">
        <v>37348645</v>
      </c>
      <c r="I6755">
        <v>37348716</v>
      </c>
    </row>
    <row r="6756" spans="1:9" x14ac:dyDescent="0.2">
      <c r="A6756" t="str">
        <f>"Fgf2"</f>
        <v>Fgf2</v>
      </c>
      <c r="B6756" t="s">
        <v>2458</v>
      </c>
      <c r="C6756" t="s">
        <v>22</v>
      </c>
      <c r="D6756" t="s">
        <v>17</v>
      </c>
      <c r="E6756" t="s">
        <v>35</v>
      </c>
      <c r="F6756">
        <v>37348322</v>
      </c>
      <c r="G6756">
        <v>37348335</v>
      </c>
      <c r="H6756">
        <v>37348519</v>
      </c>
      <c r="I6756">
        <v>37348564</v>
      </c>
    </row>
    <row r="6757" spans="1:9" x14ac:dyDescent="0.2">
      <c r="A6757" t="str">
        <f>"Fgf20"</f>
        <v>Fgf20</v>
      </c>
      <c r="B6757" t="s">
        <v>14</v>
      </c>
      <c r="C6757" t="s">
        <v>30</v>
      </c>
      <c r="D6757" t="s">
        <v>11</v>
      </c>
      <c r="E6757" t="s">
        <v>12</v>
      </c>
      <c r="F6757">
        <v>40308394</v>
      </c>
      <c r="G6757">
        <v>40308431</v>
      </c>
      <c r="H6757">
        <v>40308394</v>
      </c>
      <c r="I6757">
        <v>40308431</v>
      </c>
    </row>
    <row r="6758" spans="1:9" x14ac:dyDescent="0.2">
      <c r="A6758" t="str">
        <f>"Fgf21"</f>
        <v>Fgf21</v>
      </c>
      <c r="B6758" t="s">
        <v>14</v>
      </c>
      <c r="C6758" t="s">
        <v>33</v>
      </c>
      <c r="D6758" t="s">
        <v>11</v>
      </c>
      <c r="E6758" t="s">
        <v>12</v>
      </c>
      <c r="F6758">
        <v>45615484</v>
      </c>
      <c r="G6758">
        <v>45615490</v>
      </c>
      <c r="H6758">
        <v>45615484</v>
      </c>
      <c r="I6758">
        <v>45615490</v>
      </c>
    </row>
    <row r="6759" spans="1:9" x14ac:dyDescent="0.2">
      <c r="A6759" t="str">
        <f>"Fgf22"</f>
        <v>Fgf22</v>
      </c>
      <c r="B6759" t="s">
        <v>14</v>
      </c>
      <c r="C6759" t="s">
        <v>15</v>
      </c>
      <c r="D6759" t="s">
        <v>17</v>
      </c>
      <c r="E6759" t="s">
        <v>12</v>
      </c>
      <c r="F6759">
        <v>79755103</v>
      </c>
      <c r="G6759">
        <v>79755126</v>
      </c>
      <c r="H6759">
        <v>79755077</v>
      </c>
      <c r="I6759">
        <v>79755092</v>
      </c>
    </row>
    <row r="6760" spans="1:9" x14ac:dyDescent="0.2">
      <c r="A6760" t="str">
        <f>"Fgf23"</f>
        <v>Fgf23</v>
      </c>
      <c r="B6760" t="s">
        <v>14</v>
      </c>
      <c r="C6760" t="s">
        <v>32</v>
      </c>
      <c r="D6760" t="s">
        <v>17</v>
      </c>
      <c r="E6760" t="s">
        <v>12</v>
      </c>
      <c r="F6760">
        <v>127072902</v>
      </c>
      <c r="G6760">
        <v>127072910</v>
      </c>
      <c r="H6760">
        <v>127072902</v>
      </c>
      <c r="I6760">
        <v>127072910</v>
      </c>
    </row>
    <row r="6761" spans="1:9" x14ac:dyDescent="0.2">
      <c r="A6761" t="str">
        <f>"Fgf3"</f>
        <v>Fgf3</v>
      </c>
      <c r="B6761" t="s">
        <v>14</v>
      </c>
      <c r="C6761" t="s">
        <v>33</v>
      </c>
      <c r="D6761" t="s">
        <v>17</v>
      </c>
      <c r="E6761" t="s">
        <v>12</v>
      </c>
      <c r="F6761">
        <v>144838590</v>
      </c>
      <c r="G6761">
        <v>144838614</v>
      </c>
      <c r="H6761">
        <v>144838590</v>
      </c>
      <c r="I6761">
        <v>144838614</v>
      </c>
    </row>
    <row r="6762" spans="1:9" x14ac:dyDescent="0.2">
      <c r="A6762" t="str">
        <f>"Fgf4"</f>
        <v>Fgf4</v>
      </c>
      <c r="B6762" t="s">
        <v>14</v>
      </c>
      <c r="C6762" t="s">
        <v>33</v>
      </c>
      <c r="D6762" t="s">
        <v>17</v>
      </c>
      <c r="E6762" t="s">
        <v>12</v>
      </c>
      <c r="F6762">
        <v>144861385</v>
      </c>
      <c r="G6762">
        <v>144861388</v>
      </c>
      <c r="H6762">
        <v>144861385</v>
      </c>
      <c r="I6762">
        <v>144861388</v>
      </c>
    </row>
    <row r="6763" spans="1:9" x14ac:dyDescent="0.2">
      <c r="A6763" t="str">
        <f>"Fgf5"</f>
        <v>Fgf5</v>
      </c>
      <c r="B6763" t="s">
        <v>14</v>
      </c>
      <c r="C6763" t="s">
        <v>46</v>
      </c>
      <c r="D6763" t="s">
        <v>17</v>
      </c>
      <c r="E6763" t="s">
        <v>12</v>
      </c>
      <c r="F6763">
        <v>98254241</v>
      </c>
      <c r="G6763">
        <v>98254255</v>
      </c>
      <c r="H6763">
        <v>98254322</v>
      </c>
      <c r="I6763">
        <v>98254334</v>
      </c>
    </row>
    <row r="6764" spans="1:9" x14ac:dyDescent="0.2">
      <c r="A6764" t="str">
        <f>"Fgf6"</f>
        <v>Fgf6</v>
      </c>
      <c r="B6764" t="s">
        <v>14</v>
      </c>
      <c r="C6764" t="s">
        <v>32</v>
      </c>
      <c r="D6764" t="s">
        <v>17</v>
      </c>
      <c r="E6764" t="s">
        <v>12</v>
      </c>
      <c r="F6764">
        <v>127015344</v>
      </c>
      <c r="G6764">
        <v>127015345</v>
      </c>
      <c r="H6764">
        <v>127015344</v>
      </c>
      <c r="I6764">
        <v>127015345</v>
      </c>
    </row>
    <row r="6765" spans="1:9" x14ac:dyDescent="0.2">
      <c r="A6765" t="str">
        <f>"Fgf7"</f>
        <v>Fgf7</v>
      </c>
      <c r="B6765" t="s">
        <v>14</v>
      </c>
      <c r="C6765" t="s">
        <v>26</v>
      </c>
      <c r="D6765" t="s">
        <v>17</v>
      </c>
      <c r="E6765" t="s">
        <v>12</v>
      </c>
      <c r="F6765">
        <v>126034647</v>
      </c>
      <c r="G6765">
        <v>126034665</v>
      </c>
      <c r="H6765">
        <v>126034647</v>
      </c>
      <c r="I6765">
        <v>126034665</v>
      </c>
    </row>
    <row r="6766" spans="1:9" x14ac:dyDescent="0.2">
      <c r="A6766" t="str">
        <f>"Fgf8"</f>
        <v>Fgf8</v>
      </c>
      <c r="B6766" t="s">
        <v>14</v>
      </c>
      <c r="C6766" t="s">
        <v>10</v>
      </c>
      <c r="D6766" t="s">
        <v>11</v>
      </c>
      <c r="E6766" t="s">
        <v>12</v>
      </c>
      <c r="F6766">
        <v>45742882</v>
      </c>
      <c r="G6766">
        <v>45742899</v>
      </c>
      <c r="H6766">
        <v>45742856</v>
      </c>
      <c r="I6766">
        <v>45742863</v>
      </c>
    </row>
    <row r="6767" spans="1:9" x14ac:dyDescent="0.2">
      <c r="A6767" t="str">
        <f>"Fgf9"</f>
        <v>Fgf9</v>
      </c>
      <c r="B6767" t="s">
        <v>14</v>
      </c>
      <c r="C6767" t="s">
        <v>41</v>
      </c>
      <c r="D6767" t="s">
        <v>17</v>
      </c>
      <c r="E6767" t="s">
        <v>12</v>
      </c>
      <c r="F6767">
        <v>58072215</v>
      </c>
      <c r="G6767">
        <v>58072229</v>
      </c>
      <c r="H6767">
        <v>58072280</v>
      </c>
      <c r="I6767">
        <v>58072305</v>
      </c>
    </row>
    <row r="6768" spans="1:9" x14ac:dyDescent="0.2">
      <c r="A6768" t="str">
        <f>"Fgfbp1"</f>
        <v>Fgfbp1</v>
      </c>
      <c r="B6768" t="s">
        <v>14</v>
      </c>
      <c r="C6768" t="s">
        <v>46</v>
      </c>
      <c r="D6768" t="s">
        <v>11</v>
      </c>
      <c r="E6768" t="s">
        <v>12</v>
      </c>
      <c r="F6768">
        <v>43981757</v>
      </c>
      <c r="G6768">
        <v>43981773</v>
      </c>
      <c r="H6768">
        <v>43981782</v>
      </c>
      <c r="I6768">
        <v>43981794</v>
      </c>
    </row>
    <row r="6769" spans="1:9" x14ac:dyDescent="0.2">
      <c r="A6769" t="str">
        <f>"Fgfbp3"</f>
        <v>Fgfbp3</v>
      </c>
      <c r="B6769" t="s">
        <v>14</v>
      </c>
      <c r="C6769" t="s">
        <v>10</v>
      </c>
      <c r="D6769" t="s">
        <v>11</v>
      </c>
      <c r="E6769" t="s">
        <v>12</v>
      </c>
      <c r="F6769">
        <v>36919631</v>
      </c>
      <c r="G6769">
        <v>36919646</v>
      </c>
      <c r="H6769">
        <v>36919606</v>
      </c>
      <c r="I6769">
        <v>36919622</v>
      </c>
    </row>
    <row r="6770" spans="1:9" x14ac:dyDescent="0.2">
      <c r="A6770" t="str">
        <f>"Fgfr1"</f>
        <v>Fgfr1</v>
      </c>
      <c r="B6770" t="s">
        <v>14</v>
      </c>
      <c r="C6770" t="s">
        <v>30</v>
      </c>
      <c r="D6770" t="s">
        <v>17</v>
      </c>
      <c r="E6770" t="s">
        <v>12</v>
      </c>
      <c r="F6770">
        <v>25518783</v>
      </c>
      <c r="G6770">
        <v>25518801</v>
      </c>
      <c r="H6770">
        <v>25518757</v>
      </c>
      <c r="I6770">
        <v>25518771</v>
      </c>
    </row>
    <row r="6771" spans="1:9" x14ac:dyDescent="0.2">
      <c r="A6771" t="str">
        <f>"Fgfr1op"</f>
        <v>Fgfr1op</v>
      </c>
      <c r="B6771" t="s">
        <v>14</v>
      </c>
      <c r="C6771" t="s">
        <v>28</v>
      </c>
      <c r="D6771" t="s">
        <v>17</v>
      </c>
      <c r="E6771" t="s">
        <v>12</v>
      </c>
      <c r="F6771">
        <v>8165564</v>
      </c>
      <c r="G6771">
        <v>8165589</v>
      </c>
      <c r="H6771">
        <v>8165564</v>
      </c>
      <c r="I6771">
        <v>8165589</v>
      </c>
    </row>
    <row r="6772" spans="1:9" x14ac:dyDescent="0.2">
      <c r="A6772" t="str">
        <f>"Fgfr1op2"</f>
        <v>Fgfr1op2</v>
      </c>
      <c r="B6772" t="s">
        <v>14</v>
      </c>
      <c r="C6772" t="s">
        <v>32</v>
      </c>
      <c r="D6772" t="s">
        <v>17</v>
      </c>
      <c r="E6772" t="s">
        <v>12</v>
      </c>
      <c r="F6772">
        <v>146577897</v>
      </c>
      <c r="G6772">
        <v>146577948</v>
      </c>
      <c r="H6772">
        <v>146577952</v>
      </c>
      <c r="I6772">
        <v>146577970</v>
      </c>
    </row>
    <row r="6773" spans="1:9" x14ac:dyDescent="0.2">
      <c r="A6773" t="str">
        <f>"Fgfr2"</f>
        <v>Fgfr2</v>
      </c>
      <c r="B6773" t="s">
        <v>14</v>
      </c>
      <c r="C6773" t="s">
        <v>33</v>
      </c>
      <c r="D6773" t="s">
        <v>11</v>
      </c>
      <c r="E6773" t="s">
        <v>12</v>
      </c>
      <c r="F6773">
        <v>130266237</v>
      </c>
      <c r="G6773">
        <v>130266261</v>
      </c>
      <c r="H6773">
        <v>130266216</v>
      </c>
      <c r="I6773">
        <v>130266225</v>
      </c>
    </row>
    <row r="6774" spans="1:9" x14ac:dyDescent="0.2">
      <c r="A6774" t="str">
        <f>"Fgfr3"</f>
        <v>Fgfr3</v>
      </c>
      <c r="B6774" t="s">
        <v>14</v>
      </c>
      <c r="C6774" t="s">
        <v>46</v>
      </c>
      <c r="D6774" t="s">
        <v>17</v>
      </c>
      <c r="E6774" t="s">
        <v>12</v>
      </c>
      <c r="F6774">
        <v>33721769</v>
      </c>
      <c r="G6774">
        <v>33721800</v>
      </c>
      <c r="H6774">
        <v>33721743</v>
      </c>
      <c r="I6774">
        <v>33721754</v>
      </c>
    </row>
    <row r="6775" spans="1:9" x14ac:dyDescent="0.2">
      <c r="A6775" t="str">
        <f>"Fgfr4"</f>
        <v>Fgfr4</v>
      </c>
      <c r="B6775" t="s">
        <v>14</v>
      </c>
      <c r="C6775" t="s">
        <v>39</v>
      </c>
      <c r="D6775" t="s">
        <v>17</v>
      </c>
      <c r="E6775" t="s">
        <v>12</v>
      </c>
      <c r="F6775">
        <v>55152801</v>
      </c>
      <c r="G6775">
        <v>55152833</v>
      </c>
      <c r="H6775">
        <v>55152780</v>
      </c>
      <c r="I6775">
        <v>55152794</v>
      </c>
    </row>
    <row r="6776" spans="1:9" x14ac:dyDescent="0.2">
      <c r="A6776" t="str">
        <f>"Fgfrl1"</f>
        <v>Fgfrl1</v>
      </c>
      <c r="B6776" t="s">
        <v>14</v>
      </c>
      <c r="C6776" t="s">
        <v>46</v>
      </c>
      <c r="D6776" t="s">
        <v>17</v>
      </c>
      <c r="E6776" t="s">
        <v>12</v>
      </c>
      <c r="F6776">
        <v>108694222</v>
      </c>
      <c r="G6776">
        <v>108694255</v>
      </c>
      <c r="H6776">
        <v>108694197</v>
      </c>
      <c r="I6776">
        <v>108694220</v>
      </c>
    </row>
    <row r="6777" spans="1:9" x14ac:dyDescent="0.2">
      <c r="A6777" t="str">
        <f>"Fgg"</f>
        <v>Fgg</v>
      </c>
      <c r="B6777" t="s">
        <v>14</v>
      </c>
      <c r="C6777" t="s">
        <v>22</v>
      </c>
      <c r="D6777" t="s">
        <v>17</v>
      </c>
      <c r="E6777" t="s">
        <v>12</v>
      </c>
      <c r="F6777">
        <v>83007850</v>
      </c>
      <c r="G6777">
        <v>83007868</v>
      </c>
      <c r="H6777">
        <v>83007850</v>
      </c>
      <c r="I6777">
        <v>83007868</v>
      </c>
    </row>
    <row r="6778" spans="1:9" x14ac:dyDescent="0.2">
      <c r="A6778" t="str">
        <f>"Fggy"</f>
        <v>Fggy</v>
      </c>
      <c r="B6778" t="s">
        <v>9</v>
      </c>
      <c r="C6778" t="s">
        <v>23</v>
      </c>
      <c r="D6778" t="s">
        <v>17</v>
      </c>
      <c r="E6778" t="s">
        <v>12</v>
      </c>
      <c r="F6778">
        <v>95557494</v>
      </c>
      <c r="G6778">
        <v>95557544</v>
      </c>
      <c r="H6778">
        <v>95557494</v>
      </c>
      <c r="I6778">
        <v>95557544</v>
      </c>
    </row>
    <row r="6779" spans="1:9" x14ac:dyDescent="0.2">
      <c r="A6779" t="str">
        <f>"Fggy"</f>
        <v>Fggy</v>
      </c>
      <c r="B6779" t="s">
        <v>13</v>
      </c>
      <c r="C6779" t="s">
        <v>23</v>
      </c>
      <c r="D6779" t="s">
        <v>17</v>
      </c>
      <c r="E6779" t="s">
        <v>12</v>
      </c>
      <c r="F6779">
        <v>95579463</v>
      </c>
      <c r="G6779">
        <v>95579499</v>
      </c>
      <c r="H6779">
        <v>95579463</v>
      </c>
      <c r="I6779">
        <v>95579499</v>
      </c>
    </row>
    <row r="6780" spans="1:9" x14ac:dyDescent="0.2">
      <c r="A6780" t="str">
        <f>"Fgl1"</f>
        <v>Fgl1</v>
      </c>
      <c r="B6780" t="s">
        <v>14</v>
      </c>
      <c r="C6780" t="s">
        <v>30</v>
      </c>
      <c r="D6780" t="s">
        <v>11</v>
      </c>
      <c r="E6780" t="s">
        <v>12</v>
      </c>
      <c r="F6780">
        <v>41215146</v>
      </c>
      <c r="G6780">
        <v>41215168</v>
      </c>
      <c r="H6780">
        <v>41215146</v>
      </c>
      <c r="I6780">
        <v>41215168</v>
      </c>
    </row>
    <row r="6781" spans="1:9" x14ac:dyDescent="0.2">
      <c r="A6781" t="str">
        <f>"Fgl2"</f>
        <v>Fgl2</v>
      </c>
      <c r="B6781" t="s">
        <v>14</v>
      </c>
      <c r="C6781" t="s">
        <v>46</v>
      </c>
      <c r="D6781" t="s">
        <v>17</v>
      </c>
      <c r="E6781" t="s">
        <v>12</v>
      </c>
      <c r="F6781">
        <v>21372696</v>
      </c>
      <c r="G6781">
        <v>21372714</v>
      </c>
      <c r="H6781">
        <v>21372696</v>
      </c>
      <c r="I6781">
        <v>21372714</v>
      </c>
    </row>
    <row r="6782" spans="1:9" x14ac:dyDescent="0.2">
      <c r="A6782" t="str">
        <f>"Fgr"</f>
        <v>Fgr</v>
      </c>
      <c r="B6782" t="s">
        <v>14</v>
      </c>
      <c r="C6782" t="s">
        <v>23</v>
      </c>
      <c r="D6782" t="s">
        <v>17</v>
      </c>
      <c r="E6782" t="s">
        <v>12</v>
      </c>
      <c r="F6782">
        <v>132974123</v>
      </c>
      <c r="G6782">
        <v>132974155</v>
      </c>
      <c r="H6782">
        <v>132974172</v>
      </c>
      <c r="I6782">
        <v>132974196</v>
      </c>
    </row>
    <row r="6783" spans="1:9" x14ac:dyDescent="0.2">
      <c r="A6783" t="str">
        <f>"Fh1"</f>
        <v>Fh1</v>
      </c>
      <c r="B6783" t="s">
        <v>14</v>
      </c>
      <c r="C6783" t="s">
        <v>19</v>
      </c>
      <c r="D6783" t="s">
        <v>11</v>
      </c>
      <c r="E6783" t="s">
        <v>12</v>
      </c>
      <c r="F6783">
        <v>175625580</v>
      </c>
      <c r="G6783">
        <v>175625613</v>
      </c>
      <c r="H6783">
        <v>175625552</v>
      </c>
      <c r="I6783">
        <v>175625576</v>
      </c>
    </row>
    <row r="6784" spans="1:9" x14ac:dyDescent="0.2">
      <c r="A6784" t="str">
        <f>"Fhad1"</f>
        <v>Fhad1</v>
      </c>
      <c r="B6784" t="s">
        <v>14</v>
      </c>
      <c r="C6784" t="s">
        <v>23</v>
      </c>
      <c r="D6784" t="s">
        <v>11</v>
      </c>
      <c r="E6784" t="s">
        <v>12</v>
      </c>
      <c r="F6784">
        <v>142015076</v>
      </c>
      <c r="G6784">
        <v>142015114</v>
      </c>
      <c r="H6784">
        <v>142015056</v>
      </c>
      <c r="I6784">
        <v>142015069</v>
      </c>
    </row>
    <row r="6785" spans="1:9" x14ac:dyDescent="0.2">
      <c r="A6785" t="str">
        <f>"Fhdc1"</f>
        <v>Fhdc1</v>
      </c>
      <c r="B6785" t="s">
        <v>9</v>
      </c>
      <c r="C6785" t="s">
        <v>22</v>
      </c>
      <c r="D6785" t="s">
        <v>11</v>
      </c>
      <c r="E6785" t="s">
        <v>12</v>
      </c>
      <c r="F6785">
        <v>84479418</v>
      </c>
      <c r="G6785">
        <v>84479476</v>
      </c>
      <c r="H6785">
        <v>84479418</v>
      </c>
      <c r="I6785">
        <v>84479476</v>
      </c>
    </row>
    <row r="6786" spans="1:9" x14ac:dyDescent="0.2">
      <c r="A6786" t="str">
        <f>"Fhdc1"</f>
        <v>Fhdc1</v>
      </c>
      <c r="B6786" t="s">
        <v>13</v>
      </c>
      <c r="C6786" t="s">
        <v>22</v>
      </c>
      <c r="D6786" t="s">
        <v>11</v>
      </c>
      <c r="E6786" t="s">
        <v>12</v>
      </c>
      <c r="F6786">
        <v>84480419</v>
      </c>
      <c r="G6786">
        <v>84480456</v>
      </c>
      <c r="H6786">
        <v>84480419</v>
      </c>
      <c r="I6786">
        <v>84480456</v>
      </c>
    </row>
    <row r="6787" spans="1:9" x14ac:dyDescent="0.2">
      <c r="A6787" t="str">
        <f>"Fhit"</f>
        <v>Fhit</v>
      </c>
      <c r="B6787" t="s">
        <v>9</v>
      </c>
      <c r="C6787" t="s">
        <v>41</v>
      </c>
      <c r="D6787" t="s">
        <v>11</v>
      </c>
      <c r="E6787" t="s">
        <v>12</v>
      </c>
      <c r="F6787">
        <v>10453443</v>
      </c>
      <c r="G6787">
        <v>10453467</v>
      </c>
      <c r="H6787">
        <v>10453443</v>
      </c>
      <c r="I6787">
        <v>10453467</v>
      </c>
    </row>
    <row r="6788" spans="1:9" x14ac:dyDescent="0.2">
      <c r="A6788" t="str">
        <f>"Fhit"</f>
        <v>Fhit</v>
      </c>
      <c r="B6788" t="s">
        <v>13</v>
      </c>
      <c r="C6788" t="s">
        <v>41</v>
      </c>
      <c r="D6788" t="s">
        <v>11</v>
      </c>
      <c r="E6788" t="s">
        <v>12</v>
      </c>
      <c r="F6788">
        <v>11162008</v>
      </c>
      <c r="G6788">
        <v>11162041</v>
      </c>
      <c r="H6788">
        <v>11162008</v>
      </c>
      <c r="I6788">
        <v>11162041</v>
      </c>
    </row>
    <row r="6789" spans="1:9" x14ac:dyDescent="0.2">
      <c r="A6789" t="str">
        <f>"Fhl1"</f>
        <v>Fhl1</v>
      </c>
      <c r="B6789" t="s">
        <v>2459</v>
      </c>
      <c r="C6789" t="s">
        <v>37</v>
      </c>
      <c r="D6789" t="s">
        <v>17</v>
      </c>
      <c r="E6789" t="s">
        <v>35</v>
      </c>
      <c r="F6789">
        <v>56779651</v>
      </c>
      <c r="G6789">
        <v>56779656</v>
      </c>
      <c r="H6789">
        <v>56779699</v>
      </c>
      <c r="I6789">
        <v>56779718</v>
      </c>
    </row>
    <row r="6790" spans="1:9" x14ac:dyDescent="0.2">
      <c r="A6790" t="str">
        <f>"Fhl2"</f>
        <v>Fhl2</v>
      </c>
      <c r="B6790" t="s">
        <v>2460</v>
      </c>
      <c r="C6790" t="s">
        <v>19</v>
      </c>
      <c r="D6790" t="s">
        <v>11</v>
      </c>
      <c r="E6790" t="s">
        <v>35</v>
      </c>
      <c r="F6790">
        <v>43164077</v>
      </c>
      <c r="G6790">
        <v>43164099</v>
      </c>
      <c r="H6790">
        <v>43163821</v>
      </c>
      <c r="I6790">
        <v>43163832</v>
      </c>
    </row>
    <row r="6791" spans="1:9" x14ac:dyDescent="0.2">
      <c r="A6791" t="str">
        <f>"Fhl3"</f>
        <v>Fhl3</v>
      </c>
      <c r="B6791" t="s">
        <v>14</v>
      </c>
      <c r="C6791" t="s">
        <v>23</v>
      </c>
      <c r="D6791" t="s">
        <v>17</v>
      </c>
      <c r="E6791" t="s">
        <v>12</v>
      </c>
      <c r="F6791">
        <v>124700700</v>
      </c>
      <c r="G6791">
        <v>124700728</v>
      </c>
      <c r="H6791">
        <v>124700671</v>
      </c>
      <c r="I6791">
        <v>124700698</v>
      </c>
    </row>
    <row r="6792" spans="1:9" x14ac:dyDescent="0.2">
      <c r="A6792" t="str">
        <f>"Fhl4"</f>
        <v>Fhl4</v>
      </c>
      <c r="B6792" t="s">
        <v>14</v>
      </c>
      <c r="C6792" t="s">
        <v>15</v>
      </c>
      <c r="D6792" t="s">
        <v>11</v>
      </c>
      <c r="E6792" t="s">
        <v>12</v>
      </c>
      <c r="F6792">
        <v>85102441</v>
      </c>
      <c r="G6792">
        <v>85102471</v>
      </c>
      <c r="H6792">
        <v>85102487</v>
      </c>
      <c r="I6792">
        <v>85102549</v>
      </c>
    </row>
    <row r="6793" spans="1:9" x14ac:dyDescent="0.2">
      <c r="A6793" t="str">
        <f>"Fhl5"</f>
        <v>Fhl5</v>
      </c>
      <c r="B6793" t="s">
        <v>14</v>
      </c>
      <c r="C6793" t="s">
        <v>23</v>
      </c>
      <c r="D6793" t="s">
        <v>11</v>
      </c>
      <c r="E6793" t="s">
        <v>12</v>
      </c>
      <c r="F6793">
        <v>25242833</v>
      </c>
      <c r="G6793">
        <v>25242873</v>
      </c>
      <c r="H6793">
        <v>25242825</v>
      </c>
      <c r="I6793">
        <v>25242830</v>
      </c>
    </row>
    <row r="6794" spans="1:9" x14ac:dyDescent="0.2">
      <c r="A6794" t="str">
        <f>"Fhod1"</f>
        <v>Fhod1</v>
      </c>
      <c r="B6794" t="s">
        <v>14</v>
      </c>
      <c r="C6794" t="s">
        <v>30</v>
      </c>
      <c r="D6794" t="s">
        <v>11</v>
      </c>
      <c r="E6794" t="s">
        <v>12</v>
      </c>
      <c r="F6794">
        <v>105347885</v>
      </c>
      <c r="G6794">
        <v>105347940</v>
      </c>
      <c r="H6794">
        <v>105347942</v>
      </c>
      <c r="I6794">
        <v>105347975</v>
      </c>
    </row>
    <row r="6795" spans="1:9" x14ac:dyDescent="0.2">
      <c r="A6795" t="str">
        <f>"Fhod3"</f>
        <v>Fhod3</v>
      </c>
      <c r="B6795" t="s">
        <v>14</v>
      </c>
      <c r="C6795" t="s">
        <v>43</v>
      </c>
      <c r="D6795" t="s">
        <v>17</v>
      </c>
      <c r="E6795" t="s">
        <v>12</v>
      </c>
      <c r="F6795">
        <v>24709474</v>
      </c>
      <c r="G6795">
        <v>24709502</v>
      </c>
      <c r="H6795">
        <v>24709507</v>
      </c>
      <c r="I6795">
        <v>24709520</v>
      </c>
    </row>
    <row r="6796" spans="1:9" x14ac:dyDescent="0.2">
      <c r="A6796" t="str">
        <f>"Fibcd1"</f>
        <v>Fibcd1</v>
      </c>
      <c r="B6796" t="s">
        <v>14</v>
      </c>
      <c r="C6796" t="s">
        <v>26</v>
      </c>
      <c r="D6796" t="s">
        <v>11</v>
      </c>
      <c r="E6796" t="s">
        <v>12</v>
      </c>
      <c r="F6796">
        <v>31845925</v>
      </c>
      <c r="G6796">
        <v>31845952</v>
      </c>
      <c r="H6796">
        <v>31845957</v>
      </c>
      <c r="I6796">
        <v>31845972</v>
      </c>
    </row>
    <row r="6797" spans="1:9" x14ac:dyDescent="0.2">
      <c r="A6797" t="str">
        <f>"Fibin"</f>
        <v>Fibin</v>
      </c>
      <c r="B6797" t="s">
        <v>14</v>
      </c>
      <c r="C6797" t="s">
        <v>26</v>
      </c>
      <c r="D6797" t="s">
        <v>11</v>
      </c>
      <c r="E6797" t="s">
        <v>12</v>
      </c>
      <c r="F6797">
        <v>110363157</v>
      </c>
      <c r="G6797">
        <v>110363181</v>
      </c>
      <c r="H6797">
        <v>110362985</v>
      </c>
      <c r="I6797">
        <v>110363001</v>
      </c>
    </row>
    <row r="6798" spans="1:9" x14ac:dyDescent="0.2">
      <c r="A6798" t="str">
        <f>"Fibp"</f>
        <v>Fibp</v>
      </c>
      <c r="B6798" t="s">
        <v>14</v>
      </c>
      <c r="C6798" t="s">
        <v>10</v>
      </c>
      <c r="D6798" t="s">
        <v>17</v>
      </c>
      <c r="E6798" t="s">
        <v>12</v>
      </c>
      <c r="F6798">
        <v>5460608</v>
      </c>
      <c r="G6798">
        <v>5460638</v>
      </c>
      <c r="H6798">
        <v>5460608</v>
      </c>
      <c r="I6798">
        <v>5460638</v>
      </c>
    </row>
    <row r="6799" spans="1:9" x14ac:dyDescent="0.2">
      <c r="A6799" t="str">
        <f>"Ficd"</f>
        <v>Ficd</v>
      </c>
      <c r="B6799" t="s">
        <v>14</v>
      </c>
      <c r="C6799" t="s">
        <v>46</v>
      </c>
      <c r="D6799" t="s">
        <v>17</v>
      </c>
      <c r="E6799" t="s">
        <v>12</v>
      </c>
      <c r="F6799">
        <v>113735774</v>
      </c>
      <c r="G6799">
        <v>113735838</v>
      </c>
      <c r="H6799">
        <v>113736003</v>
      </c>
      <c r="I6799">
        <v>113736030</v>
      </c>
    </row>
    <row r="6800" spans="1:9" x14ac:dyDescent="0.2">
      <c r="A6800" t="str">
        <f>"Fig4"</f>
        <v>Fig4</v>
      </c>
      <c r="B6800" t="s">
        <v>14</v>
      </c>
      <c r="C6800" t="s">
        <v>15</v>
      </c>
      <c r="D6800" t="s">
        <v>11</v>
      </c>
      <c r="E6800" t="s">
        <v>12</v>
      </c>
      <c r="F6800">
        <v>41303171</v>
      </c>
      <c r="G6800">
        <v>41303250</v>
      </c>
      <c r="H6800">
        <v>41303095</v>
      </c>
      <c r="I6800">
        <v>41303140</v>
      </c>
    </row>
    <row r="6801" spans="1:9" x14ac:dyDescent="0.2">
      <c r="A6801" t="str">
        <f>"Figf"</f>
        <v>Figf</v>
      </c>
      <c r="B6801" t="s">
        <v>14</v>
      </c>
      <c r="C6801" t="s">
        <v>37</v>
      </c>
      <c r="D6801" t="s">
        <v>17</v>
      </c>
      <c r="E6801" t="s">
        <v>12</v>
      </c>
      <c r="F6801">
        <v>164373386</v>
      </c>
      <c r="G6801">
        <v>164373412</v>
      </c>
      <c r="H6801">
        <v>164373386</v>
      </c>
      <c r="I6801">
        <v>164373412</v>
      </c>
    </row>
    <row r="6802" spans="1:9" x14ac:dyDescent="0.2">
      <c r="A6802" t="str">
        <f>"Figla"</f>
        <v>Figla</v>
      </c>
      <c r="B6802" t="s">
        <v>14</v>
      </c>
      <c r="C6802" t="s">
        <v>32</v>
      </c>
      <c r="D6802" t="s">
        <v>17</v>
      </c>
      <c r="E6802" t="s">
        <v>12</v>
      </c>
      <c r="F6802">
        <v>86017217</v>
      </c>
      <c r="G6802">
        <v>86017229</v>
      </c>
      <c r="H6802">
        <v>86017217</v>
      </c>
      <c r="I6802">
        <v>86017229</v>
      </c>
    </row>
    <row r="6803" spans="1:9" x14ac:dyDescent="0.2">
      <c r="A6803" t="str">
        <f>"Fign"</f>
        <v>Fign</v>
      </c>
      <c r="B6803" t="s">
        <v>14</v>
      </c>
      <c r="C6803" t="s">
        <v>26</v>
      </c>
      <c r="D6803" t="s">
        <v>11</v>
      </c>
      <c r="E6803" t="s">
        <v>12</v>
      </c>
      <c r="F6803">
        <v>64097994</v>
      </c>
      <c r="G6803">
        <v>64098023</v>
      </c>
      <c r="H6803">
        <v>64098031</v>
      </c>
      <c r="I6803">
        <v>64098066</v>
      </c>
    </row>
    <row r="6804" spans="1:9" x14ac:dyDescent="0.2">
      <c r="A6804" t="str">
        <f>"Fignl1"</f>
        <v>Fignl1</v>
      </c>
      <c r="B6804" t="s">
        <v>14</v>
      </c>
      <c r="C6804" t="s">
        <v>27</v>
      </c>
      <c r="D6804" t="s">
        <v>11</v>
      </c>
      <c r="E6804" t="s">
        <v>12</v>
      </c>
      <c r="F6804">
        <v>11808923</v>
      </c>
      <c r="G6804">
        <v>11808967</v>
      </c>
      <c r="H6804">
        <v>11808923</v>
      </c>
      <c r="I6804">
        <v>11808967</v>
      </c>
    </row>
    <row r="6805" spans="1:9" x14ac:dyDescent="0.2">
      <c r="A6805" t="str">
        <f>"Fignl2"</f>
        <v>Fignl2</v>
      </c>
      <c r="B6805" t="s">
        <v>2461</v>
      </c>
      <c r="C6805" t="s">
        <v>25</v>
      </c>
      <c r="D6805" t="s">
        <v>11</v>
      </c>
      <c r="E6805" t="s">
        <v>20</v>
      </c>
      <c r="F6805">
        <v>101054398</v>
      </c>
      <c r="G6805">
        <v>101054398</v>
      </c>
      <c r="H6805">
        <v>101054398</v>
      </c>
      <c r="I6805">
        <v>101054398</v>
      </c>
    </row>
    <row r="6806" spans="1:9" x14ac:dyDescent="0.2">
      <c r="A6806" t="str">
        <f>"Filip1"</f>
        <v>Filip1</v>
      </c>
      <c r="B6806" t="s">
        <v>14</v>
      </c>
      <c r="C6806" t="s">
        <v>24</v>
      </c>
      <c r="D6806" t="s">
        <v>11</v>
      </c>
      <c r="E6806" t="s">
        <v>12</v>
      </c>
      <c r="F6806">
        <v>79977684</v>
      </c>
      <c r="G6806">
        <v>79977702</v>
      </c>
      <c r="H6806">
        <v>79977810</v>
      </c>
      <c r="I6806">
        <v>79977836</v>
      </c>
    </row>
    <row r="6807" spans="1:9" x14ac:dyDescent="0.2">
      <c r="A6807" t="str">
        <f>"Filip1l"</f>
        <v>Filip1l</v>
      </c>
      <c r="B6807" t="s">
        <v>2462</v>
      </c>
      <c r="C6807" t="s">
        <v>31</v>
      </c>
      <c r="D6807" t="s">
        <v>17</v>
      </c>
      <c r="E6807" t="s">
        <v>35</v>
      </c>
      <c r="F6807">
        <v>57352982</v>
      </c>
      <c r="G6807">
        <v>57353002</v>
      </c>
      <c r="H6807">
        <v>57353271</v>
      </c>
      <c r="I6807">
        <v>57353284</v>
      </c>
    </row>
    <row r="6808" spans="1:9" x14ac:dyDescent="0.2">
      <c r="A6808" t="str">
        <f>"Fip1l1"</f>
        <v>Fip1l1</v>
      </c>
      <c r="B6808" t="s">
        <v>14</v>
      </c>
      <c r="C6808" t="s">
        <v>46</v>
      </c>
      <c r="D6808" t="s">
        <v>17</v>
      </c>
      <c r="E6808" t="s">
        <v>12</v>
      </c>
      <c r="F6808">
        <v>74535466</v>
      </c>
      <c r="G6808">
        <v>74535524</v>
      </c>
      <c r="H6808">
        <v>74535535</v>
      </c>
      <c r="I6808">
        <v>74535558</v>
      </c>
    </row>
    <row r="6809" spans="1:9" x14ac:dyDescent="0.2">
      <c r="A6809" t="str">
        <f>"Fis1"</f>
        <v>Fis1</v>
      </c>
      <c r="B6809" t="s">
        <v>9</v>
      </c>
      <c r="C6809" t="s">
        <v>46</v>
      </c>
      <c r="D6809" t="s">
        <v>17</v>
      </c>
      <c r="E6809" t="s">
        <v>12</v>
      </c>
      <c r="F6809">
        <v>136962081</v>
      </c>
      <c r="G6809">
        <v>136962129</v>
      </c>
      <c r="H6809">
        <v>136962081</v>
      </c>
      <c r="I6809">
        <v>136962129</v>
      </c>
    </row>
    <row r="6810" spans="1:9" x14ac:dyDescent="0.2">
      <c r="A6810" t="str">
        <f>"Fis1"</f>
        <v>Fis1</v>
      </c>
      <c r="B6810" t="s">
        <v>13</v>
      </c>
      <c r="C6810" t="s">
        <v>46</v>
      </c>
      <c r="D6810" t="s">
        <v>17</v>
      </c>
      <c r="E6810" t="s">
        <v>12</v>
      </c>
      <c r="F6810">
        <v>136953246</v>
      </c>
      <c r="G6810">
        <v>136953325</v>
      </c>
      <c r="H6810">
        <v>136953246</v>
      </c>
      <c r="I6810">
        <v>136953325</v>
      </c>
    </row>
    <row r="6811" spans="1:9" x14ac:dyDescent="0.2">
      <c r="A6811" t="str">
        <f>"Fitm1"</f>
        <v>Fitm1</v>
      </c>
      <c r="B6811" t="s">
        <v>14</v>
      </c>
      <c r="C6811" t="s">
        <v>41</v>
      </c>
      <c r="D6811" t="s">
        <v>17</v>
      </c>
      <c r="E6811" t="s">
        <v>12</v>
      </c>
      <c r="F6811">
        <v>55575619</v>
      </c>
      <c r="G6811">
        <v>55575660</v>
      </c>
      <c r="H6811">
        <v>55575534</v>
      </c>
      <c r="I6811">
        <v>55575568</v>
      </c>
    </row>
    <row r="6812" spans="1:9" x14ac:dyDescent="0.2">
      <c r="A6812" t="str">
        <f>"Fitm2"</f>
        <v>Fitm2</v>
      </c>
      <c r="B6812" t="s">
        <v>14</v>
      </c>
      <c r="C6812" t="s">
        <v>26</v>
      </c>
      <c r="D6812" t="s">
        <v>11</v>
      </c>
      <c r="E6812" t="s">
        <v>12</v>
      </c>
      <c r="F6812">
        <v>163472561</v>
      </c>
      <c r="G6812">
        <v>163472635</v>
      </c>
      <c r="H6812">
        <v>163472636</v>
      </c>
      <c r="I6812">
        <v>163472668</v>
      </c>
    </row>
    <row r="6813" spans="1:9" x14ac:dyDescent="0.2">
      <c r="A6813" t="str">
        <f>"Fiz1"</f>
        <v>Fiz1</v>
      </c>
      <c r="B6813" t="s">
        <v>14</v>
      </c>
      <c r="C6813" t="s">
        <v>33</v>
      </c>
      <c r="D6813" t="s">
        <v>11</v>
      </c>
      <c r="E6813" t="s">
        <v>12</v>
      </c>
      <c r="F6813">
        <v>5014645</v>
      </c>
      <c r="G6813">
        <v>5014684</v>
      </c>
      <c r="H6813">
        <v>5014693</v>
      </c>
      <c r="I6813">
        <v>5014700</v>
      </c>
    </row>
    <row r="6814" spans="1:9" x14ac:dyDescent="0.2">
      <c r="A6814" t="str">
        <f>"Fjx1"</f>
        <v>Fjx1</v>
      </c>
      <c r="B6814" t="s">
        <v>14</v>
      </c>
      <c r="C6814" t="s">
        <v>26</v>
      </c>
      <c r="D6814" t="s">
        <v>11</v>
      </c>
      <c r="E6814" t="s">
        <v>12</v>
      </c>
      <c r="F6814">
        <v>102451797</v>
      </c>
      <c r="G6814">
        <v>102451815</v>
      </c>
      <c r="H6814">
        <v>102451760</v>
      </c>
      <c r="I6814">
        <v>102451774</v>
      </c>
    </row>
    <row r="6815" spans="1:9" x14ac:dyDescent="0.2">
      <c r="A6815" t="str">
        <f>"Fkbp10"</f>
        <v>Fkbp10</v>
      </c>
      <c r="B6815" t="s">
        <v>14</v>
      </c>
      <c r="C6815" t="s">
        <v>27</v>
      </c>
      <c r="D6815" t="s">
        <v>17</v>
      </c>
      <c r="E6815" t="s">
        <v>12</v>
      </c>
      <c r="F6815">
        <v>100415722</v>
      </c>
      <c r="G6815">
        <v>100415763</v>
      </c>
      <c r="H6815">
        <v>100415544</v>
      </c>
      <c r="I6815">
        <v>100415590</v>
      </c>
    </row>
    <row r="6816" spans="1:9" x14ac:dyDescent="0.2">
      <c r="A6816" t="str">
        <f>"Fkbp11"</f>
        <v>Fkbp11</v>
      </c>
      <c r="B6816" t="s">
        <v>14</v>
      </c>
      <c r="C6816" t="s">
        <v>25</v>
      </c>
      <c r="D6816" t="s">
        <v>11</v>
      </c>
      <c r="E6816" t="s">
        <v>12</v>
      </c>
      <c r="F6816">
        <v>98728120</v>
      </c>
      <c r="G6816">
        <v>98728187</v>
      </c>
      <c r="H6816">
        <v>98728106</v>
      </c>
      <c r="I6816">
        <v>98728117</v>
      </c>
    </row>
    <row r="6817" spans="1:9" x14ac:dyDescent="0.2">
      <c r="A6817" t="str">
        <f>"Fkbp14"</f>
        <v>Fkbp14</v>
      </c>
      <c r="B6817" t="s">
        <v>14</v>
      </c>
      <c r="C6817" t="s">
        <v>32</v>
      </c>
      <c r="D6817" t="s">
        <v>11</v>
      </c>
      <c r="E6817" t="s">
        <v>12</v>
      </c>
      <c r="F6817">
        <v>54593139</v>
      </c>
      <c r="G6817">
        <v>54593217</v>
      </c>
      <c r="H6817">
        <v>54593139</v>
      </c>
      <c r="I6817">
        <v>54593217</v>
      </c>
    </row>
    <row r="6818" spans="1:9" x14ac:dyDescent="0.2">
      <c r="A6818" t="str">
        <f>"Fkbp15"</f>
        <v>Fkbp15</v>
      </c>
      <c r="B6818" t="s">
        <v>14</v>
      </c>
      <c r="C6818" t="s">
        <v>23</v>
      </c>
      <c r="D6818" t="s">
        <v>11</v>
      </c>
      <c r="E6818" t="s">
        <v>12</v>
      </c>
      <c r="F6818">
        <v>62360436</v>
      </c>
      <c r="G6818">
        <v>62360511</v>
      </c>
      <c r="H6818">
        <v>62360524</v>
      </c>
      <c r="I6818">
        <v>62360552</v>
      </c>
    </row>
    <row r="6819" spans="1:9" x14ac:dyDescent="0.2">
      <c r="A6819" t="str">
        <f>"Fkbp1a"</f>
        <v>Fkbp1a</v>
      </c>
      <c r="B6819" t="s">
        <v>14</v>
      </c>
      <c r="C6819" t="s">
        <v>26</v>
      </c>
      <c r="D6819" t="s">
        <v>17</v>
      </c>
      <c r="E6819" t="s">
        <v>12</v>
      </c>
      <c r="F6819">
        <v>151542555</v>
      </c>
      <c r="G6819">
        <v>151542646</v>
      </c>
      <c r="H6819">
        <v>151542659</v>
      </c>
      <c r="I6819">
        <v>151542670</v>
      </c>
    </row>
    <row r="6820" spans="1:9" x14ac:dyDescent="0.2">
      <c r="A6820" t="str">
        <f>"Fkbp1b"</f>
        <v>Fkbp1b</v>
      </c>
      <c r="B6820" t="s">
        <v>14</v>
      </c>
      <c r="C6820" t="s">
        <v>16</v>
      </c>
      <c r="D6820" t="s">
        <v>11</v>
      </c>
      <c r="E6820" t="s">
        <v>12</v>
      </c>
      <c r="F6820">
        <v>4841537</v>
      </c>
      <c r="G6820">
        <v>4841580</v>
      </c>
      <c r="H6820">
        <v>4841583</v>
      </c>
      <c r="I6820">
        <v>4841611</v>
      </c>
    </row>
    <row r="6821" spans="1:9" x14ac:dyDescent="0.2">
      <c r="A6821" t="str">
        <f>"Fkbp2"</f>
        <v>Fkbp2</v>
      </c>
      <c r="B6821" t="s">
        <v>14</v>
      </c>
      <c r="C6821" t="s">
        <v>10</v>
      </c>
      <c r="D6821" t="s">
        <v>11</v>
      </c>
      <c r="E6821" t="s">
        <v>12</v>
      </c>
      <c r="F6821">
        <v>6980420</v>
      </c>
      <c r="G6821">
        <v>6980481</v>
      </c>
      <c r="H6821">
        <v>6980420</v>
      </c>
      <c r="I6821">
        <v>6980481</v>
      </c>
    </row>
    <row r="6822" spans="1:9" x14ac:dyDescent="0.2">
      <c r="A6822" t="str">
        <f>"Fkbp3"</f>
        <v>Fkbp3</v>
      </c>
      <c r="B6822" t="s">
        <v>14</v>
      </c>
      <c r="C6822" t="s">
        <v>16</v>
      </c>
      <c r="D6822" t="s">
        <v>11</v>
      </c>
      <c r="E6822" t="s">
        <v>12</v>
      </c>
      <c r="F6822">
        <v>65073927</v>
      </c>
      <c r="G6822">
        <v>65073954</v>
      </c>
      <c r="H6822">
        <v>65073927</v>
      </c>
      <c r="I6822">
        <v>65073954</v>
      </c>
    </row>
    <row r="6823" spans="1:9" x14ac:dyDescent="0.2">
      <c r="A6823" t="str">
        <f>"Fkbp4"</f>
        <v>Fkbp4</v>
      </c>
      <c r="B6823" t="s">
        <v>14</v>
      </c>
      <c r="C6823" t="s">
        <v>32</v>
      </c>
      <c r="D6823" t="s">
        <v>11</v>
      </c>
      <c r="E6823" t="s">
        <v>12</v>
      </c>
      <c r="F6823">
        <v>128438638</v>
      </c>
      <c r="G6823">
        <v>128438667</v>
      </c>
      <c r="H6823">
        <v>128438618</v>
      </c>
      <c r="I6823">
        <v>128438636</v>
      </c>
    </row>
    <row r="6824" spans="1:9" x14ac:dyDescent="0.2">
      <c r="A6824" t="str">
        <f>"Fkbp5"</f>
        <v>Fkbp5</v>
      </c>
      <c r="B6824" t="s">
        <v>9</v>
      </c>
      <c r="C6824" t="s">
        <v>28</v>
      </c>
      <c r="D6824" t="s">
        <v>11</v>
      </c>
      <c r="E6824" t="s">
        <v>12</v>
      </c>
      <c r="F6824">
        <v>28486082</v>
      </c>
      <c r="G6824">
        <v>28486099</v>
      </c>
      <c r="H6824">
        <v>28486082</v>
      </c>
      <c r="I6824">
        <v>28486099</v>
      </c>
    </row>
    <row r="6825" spans="1:9" x14ac:dyDescent="0.2">
      <c r="A6825" t="str">
        <f>"Fkbp5"</f>
        <v>Fkbp5</v>
      </c>
      <c r="B6825" t="s">
        <v>13</v>
      </c>
      <c r="C6825" t="s">
        <v>28</v>
      </c>
      <c r="D6825" t="s">
        <v>11</v>
      </c>
      <c r="E6825" t="s">
        <v>12</v>
      </c>
      <c r="F6825">
        <v>28517509</v>
      </c>
      <c r="G6825">
        <v>28517558</v>
      </c>
      <c r="H6825">
        <v>28517509</v>
      </c>
      <c r="I6825">
        <v>28517558</v>
      </c>
    </row>
    <row r="6826" spans="1:9" x14ac:dyDescent="0.2">
      <c r="A6826" t="str">
        <f>"Fkbp6"</f>
        <v>Fkbp6</v>
      </c>
      <c r="B6826" t="s">
        <v>14</v>
      </c>
      <c r="C6826" t="s">
        <v>46</v>
      </c>
      <c r="D6826" t="s">
        <v>11</v>
      </c>
      <c r="E6826" t="s">
        <v>12</v>
      </c>
      <c r="F6826">
        <v>135349997</v>
      </c>
      <c r="G6826">
        <v>135350040</v>
      </c>
      <c r="H6826">
        <v>135350042</v>
      </c>
      <c r="I6826">
        <v>135350049</v>
      </c>
    </row>
    <row r="6827" spans="1:9" x14ac:dyDescent="0.2">
      <c r="A6827" t="str">
        <f>"Fkbp7"</f>
        <v>Fkbp7</v>
      </c>
      <c r="B6827" t="s">
        <v>14</v>
      </c>
      <c r="C6827" t="s">
        <v>26</v>
      </c>
      <c r="D6827" t="s">
        <v>11</v>
      </c>
      <c r="E6827" t="s">
        <v>12</v>
      </c>
      <c r="F6827">
        <v>76673039</v>
      </c>
      <c r="G6827">
        <v>76673128</v>
      </c>
      <c r="H6827">
        <v>76673039</v>
      </c>
      <c r="I6827">
        <v>76673128</v>
      </c>
    </row>
    <row r="6828" spans="1:9" x14ac:dyDescent="0.2">
      <c r="A6828" t="str">
        <f>"Fkbp8"</f>
        <v>Fkbp8</v>
      </c>
      <c r="B6828" t="s">
        <v>14</v>
      </c>
      <c r="C6828" t="s">
        <v>30</v>
      </c>
      <c r="D6828" t="s">
        <v>17</v>
      </c>
      <c r="E6828" t="s">
        <v>12</v>
      </c>
      <c r="F6828">
        <v>70527737</v>
      </c>
      <c r="G6828">
        <v>70527766</v>
      </c>
      <c r="H6828">
        <v>70527993</v>
      </c>
      <c r="I6828">
        <v>70528018</v>
      </c>
    </row>
    <row r="6829" spans="1:9" x14ac:dyDescent="0.2">
      <c r="A6829" t="str">
        <f>"Fkbp9"</f>
        <v>Fkbp9</v>
      </c>
      <c r="B6829" t="s">
        <v>14</v>
      </c>
      <c r="C6829" t="s">
        <v>32</v>
      </c>
      <c r="D6829" t="s">
        <v>17</v>
      </c>
      <c r="E6829" t="s">
        <v>12</v>
      </c>
      <c r="F6829">
        <v>56832099</v>
      </c>
      <c r="G6829">
        <v>56832160</v>
      </c>
      <c r="H6829">
        <v>56832163</v>
      </c>
      <c r="I6829">
        <v>56832175</v>
      </c>
    </row>
    <row r="6830" spans="1:9" x14ac:dyDescent="0.2">
      <c r="A6830" t="str">
        <f>"Fkbpl"</f>
        <v>Fkbpl</v>
      </c>
      <c r="B6830" t="s">
        <v>14</v>
      </c>
      <c r="C6830" t="s">
        <v>28</v>
      </c>
      <c r="D6830" t="s">
        <v>17</v>
      </c>
      <c r="E6830" t="s">
        <v>12</v>
      </c>
      <c r="F6830">
        <v>34644805</v>
      </c>
      <c r="G6830">
        <v>34644870</v>
      </c>
      <c r="H6830">
        <v>34644781</v>
      </c>
      <c r="I6830">
        <v>34644797</v>
      </c>
    </row>
    <row r="6831" spans="1:9" x14ac:dyDescent="0.2">
      <c r="A6831" t="str">
        <f>"Fkrp"</f>
        <v>Fkrp</v>
      </c>
      <c r="B6831" t="s">
        <v>14</v>
      </c>
      <c r="C6831" t="s">
        <v>33</v>
      </c>
      <c r="D6831" t="s">
        <v>11</v>
      </c>
      <c r="E6831" t="s">
        <v>12</v>
      </c>
      <c r="F6831">
        <v>16816731</v>
      </c>
      <c r="G6831">
        <v>16816744</v>
      </c>
      <c r="H6831">
        <v>16816916</v>
      </c>
      <c r="I6831">
        <v>16816950</v>
      </c>
    </row>
    <row r="6832" spans="1:9" x14ac:dyDescent="0.2">
      <c r="A6832" t="str">
        <f>"Fktn"</f>
        <v>Fktn</v>
      </c>
      <c r="B6832" t="s">
        <v>14</v>
      </c>
      <c r="C6832" t="s">
        <v>23</v>
      </c>
      <c r="D6832" t="s">
        <v>17</v>
      </c>
      <c r="E6832" t="s">
        <v>12</v>
      </c>
      <c r="F6832">
        <v>53714142</v>
      </c>
      <c r="G6832">
        <v>53714199</v>
      </c>
      <c r="H6832">
        <v>53713945</v>
      </c>
      <c r="I6832">
        <v>53713959</v>
      </c>
    </row>
    <row r="6833" spans="1:9" x14ac:dyDescent="0.2">
      <c r="A6833" t="str">
        <f>"Flad1"</f>
        <v>Flad1</v>
      </c>
      <c r="B6833" t="s">
        <v>14</v>
      </c>
      <c r="C6833" t="s">
        <v>22</v>
      </c>
      <c r="D6833" t="s">
        <v>11</v>
      </c>
      <c r="E6833" t="s">
        <v>12</v>
      </c>
      <c r="F6833">
        <v>89411840</v>
      </c>
      <c r="G6833">
        <v>89411894</v>
      </c>
      <c r="H6833">
        <v>89411820</v>
      </c>
      <c r="I6833">
        <v>89411833</v>
      </c>
    </row>
    <row r="6834" spans="1:9" x14ac:dyDescent="0.2">
      <c r="A6834" t="str">
        <f>"Flcn"</f>
        <v>Flcn</v>
      </c>
      <c r="B6834" t="s">
        <v>14</v>
      </c>
      <c r="C6834" t="s">
        <v>27</v>
      </c>
      <c r="D6834" t="s">
        <v>11</v>
      </c>
      <c r="E6834" t="s">
        <v>12</v>
      </c>
      <c r="F6834">
        <v>59809774</v>
      </c>
      <c r="G6834">
        <v>59809847</v>
      </c>
      <c r="H6834">
        <v>59810008</v>
      </c>
      <c r="I6834">
        <v>59810045</v>
      </c>
    </row>
    <row r="6835" spans="1:9" x14ac:dyDescent="0.2">
      <c r="A6835" t="str">
        <f>"Flg2"</f>
        <v>Flg2</v>
      </c>
      <c r="B6835" t="s">
        <v>14</v>
      </c>
      <c r="C6835" t="s">
        <v>22</v>
      </c>
      <c r="D6835" t="s">
        <v>17</v>
      </c>
      <c r="E6835" t="s">
        <v>12</v>
      </c>
      <c r="F6835">
        <v>93197270</v>
      </c>
      <c r="G6835">
        <v>93197284</v>
      </c>
      <c r="H6835">
        <v>93197270</v>
      </c>
      <c r="I6835">
        <v>93197284</v>
      </c>
    </row>
    <row r="6836" spans="1:9" x14ac:dyDescent="0.2">
      <c r="A6836" t="str">
        <f>"Fli1"</f>
        <v>Fli1</v>
      </c>
      <c r="B6836" t="s">
        <v>14</v>
      </c>
      <c r="C6836" t="s">
        <v>24</v>
      </c>
      <c r="D6836" t="s">
        <v>11</v>
      </c>
      <c r="E6836" t="s">
        <v>12</v>
      </c>
      <c r="F6836">
        <v>32541358</v>
      </c>
      <c r="G6836">
        <v>32541416</v>
      </c>
      <c r="H6836">
        <v>32541358</v>
      </c>
      <c r="I6836">
        <v>32541416</v>
      </c>
    </row>
    <row r="6837" spans="1:9" x14ac:dyDescent="0.2">
      <c r="A6837" t="str">
        <f>"Flii"</f>
        <v>Flii</v>
      </c>
      <c r="B6837" t="s">
        <v>14</v>
      </c>
      <c r="C6837" t="s">
        <v>27</v>
      </c>
      <c r="D6837" t="s">
        <v>11</v>
      </c>
      <c r="E6837" t="s">
        <v>12</v>
      </c>
      <c r="F6837">
        <v>60727196</v>
      </c>
      <c r="G6837">
        <v>60727251</v>
      </c>
      <c r="H6837">
        <v>60727257</v>
      </c>
      <c r="I6837">
        <v>60727268</v>
      </c>
    </row>
    <row r="6838" spans="1:9" x14ac:dyDescent="0.2">
      <c r="A6838" t="str">
        <f>"Flna"</f>
        <v>Flna</v>
      </c>
      <c r="B6838" t="s">
        <v>14</v>
      </c>
      <c r="C6838" t="s">
        <v>37</v>
      </c>
      <c r="D6838" t="s">
        <v>11</v>
      </c>
      <c r="E6838" t="s">
        <v>12</v>
      </c>
      <c r="F6838">
        <v>74246400</v>
      </c>
      <c r="G6838">
        <v>74246438</v>
      </c>
      <c r="H6838">
        <v>74246400</v>
      </c>
      <c r="I6838">
        <v>74246438</v>
      </c>
    </row>
    <row r="6839" spans="1:9" x14ac:dyDescent="0.2">
      <c r="A6839" t="str">
        <f>"Flnb"</f>
        <v>Flnb</v>
      </c>
      <c r="B6839" t="s">
        <v>14</v>
      </c>
      <c r="C6839" t="s">
        <v>41</v>
      </c>
      <c r="D6839" t="s">
        <v>17</v>
      </c>
      <c r="E6839" t="s">
        <v>12</v>
      </c>
      <c r="F6839">
        <v>7818004</v>
      </c>
      <c r="G6839">
        <v>7818018</v>
      </c>
      <c r="H6839">
        <v>7817974</v>
      </c>
      <c r="I6839">
        <v>7817994</v>
      </c>
    </row>
    <row r="6840" spans="1:9" x14ac:dyDescent="0.2">
      <c r="A6840" t="str">
        <f>"Flnc"</f>
        <v>Flnc</v>
      </c>
      <c r="B6840" t="s">
        <v>14</v>
      </c>
      <c r="C6840" t="s">
        <v>32</v>
      </c>
      <c r="D6840" t="s">
        <v>17</v>
      </c>
      <c r="E6840" t="s">
        <v>12</v>
      </c>
      <c r="F6840">
        <v>29433248</v>
      </c>
      <c r="G6840">
        <v>29433267</v>
      </c>
      <c r="H6840">
        <v>29433131</v>
      </c>
      <c r="I6840">
        <v>29433165</v>
      </c>
    </row>
    <row r="6841" spans="1:9" x14ac:dyDescent="0.2">
      <c r="A6841" t="str">
        <f>"Flot1"</f>
        <v>Flot1</v>
      </c>
      <c r="B6841" t="s">
        <v>14</v>
      </c>
      <c r="C6841" t="s">
        <v>28</v>
      </c>
      <c r="D6841" t="s">
        <v>17</v>
      </c>
      <c r="E6841" t="s">
        <v>12</v>
      </c>
      <c r="F6841">
        <v>35823373</v>
      </c>
      <c r="G6841">
        <v>35823424</v>
      </c>
      <c r="H6841">
        <v>35823327</v>
      </c>
      <c r="I6841">
        <v>35823371</v>
      </c>
    </row>
    <row r="6842" spans="1:9" x14ac:dyDescent="0.2">
      <c r="A6842" t="str">
        <f>"Flot2"</f>
        <v>Flot2</v>
      </c>
      <c r="B6842" t="s">
        <v>14</v>
      </c>
      <c r="C6842" t="s">
        <v>27</v>
      </c>
      <c r="D6842" t="s">
        <v>17</v>
      </c>
      <c r="E6842" t="s">
        <v>12</v>
      </c>
      <c r="F6842">
        <v>78037959</v>
      </c>
      <c r="G6842">
        <v>78038042</v>
      </c>
      <c r="H6842">
        <v>78037935</v>
      </c>
      <c r="I6842">
        <v>78037955</v>
      </c>
    </row>
    <row r="6843" spans="1:9" x14ac:dyDescent="0.2">
      <c r="A6843" t="str">
        <f>"Flrt1"</f>
        <v>Flrt1</v>
      </c>
      <c r="B6843" t="s">
        <v>2463</v>
      </c>
      <c r="C6843" t="s">
        <v>10</v>
      </c>
      <c r="D6843" t="s">
        <v>11</v>
      </c>
      <c r="E6843" t="s">
        <v>20</v>
      </c>
      <c r="F6843">
        <v>7105728</v>
      </c>
      <c r="G6843">
        <v>7105728</v>
      </c>
      <c r="H6843">
        <v>7105728</v>
      </c>
      <c r="I6843">
        <v>7105728</v>
      </c>
    </row>
    <row r="6844" spans="1:9" x14ac:dyDescent="0.2">
      <c r="A6844" t="str">
        <f>"Flrt2"</f>
        <v>Flrt2</v>
      </c>
      <c r="B6844" t="s">
        <v>9</v>
      </c>
      <c r="C6844" t="s">
        <v>16</v>
      </c>
      <c r="D6844" t="s">
        <v>17</v>
      </c>
      <c r="E6844" t="s">
        <v>12</v>
      </c>
      <c r="F6844">
        <v>95692212</v>
      </c>
      <c r="G6844">
        <v>95692246</v>
      </c>
      <c r="H6844">
        <v>95692212</v>
      </c>
      <c r="I6844">
        <v>95692246</v>
      </c>
    </row>
    <row r="6845" spans="1:9" x14ac:dyDescent="0.2">
      <c r="A6845" t="str">
        <f>"Flrt2"</f>
        <v>Flrt2</v>
      </c>
      <c r="B6845" t="s">
        <v>13</v>
      </c>
      <c r="C6845" t="s">
        <v>16</v>
      </c>
      <c r="D6845" t="s">
        <v>17</v>
      </c>
      <c r="E6845" t="s">
        <v>12</v>
      </c>
      <c r="F6845">
        <v>95695190</v>
      </c>
      <c r="G6845">
        <v>95695195</v>
      </c>
      <c r="H6845">
        <v>95695190</v>
      </c>
      <c r="I6845">
        <v>95695195</v>
      </c>
    </row>
    <row r="6846" spans="1:9" x14ac:dyDescent="0.2">
      <c r="A6846" t="str">
        <f>"Flrt3"</f>
        <v>Flrt3</v>
      </c>
      <c r="B6846" t="s">
        <v>14</v>
      </c>
      <c r="C6846" t="s">
        <v>26</v>
      </c>
      <c r="D6846" t="s">
        <v>11</v>
      </c>
      <c r="E6846" t="s">
        <v>12</v>
      </c>
      <c r="F6846">
        <v>140671440</v>
      </c>
      <c r="G6846">
        <v>140671458</v>
      </c>
      <c r="H6846">
        <v>140671462</v>
      </c>
      <c r="I6846">
        <v>140671476</v>
      </c>
    </row>
    <row r="6847" spans="1:9" x14ac:dyDescent="0.2">
      <c r="A6847" t="str">
        <f>"Flt1"</f>
        <v>Flt1</v>
      </c>
      <c r="B6847" t="s">
        <v>14</v>
      </c>
      <c r="C6847" t="s">
        <v>46</v>
      </c>
      <c r="D6847" t="s">
        <v>11</v>
      </c>
      <c r="E6847" t="s">
        <v>12</v>
      </c>
      <c r="F6847">
        <v>147726002</v>
      </c>
      <c r="G6847">
        <v>147726023</v>
      </c>
      <c r="H6847">
        <v>147726002</v>
      </c>
      <c r="I6847">
        <v>147726023</v>
      </c>
    </row>
    <row r="6848" spans="1:9" x14ac:dyDescent="0.2">
      <c r="A6848" t="str">
        <f>"Flt3"</f>
        <v>Flt3</v>
      </c>
      <c r="B6848" t="s">
        <v>14</v>
      </c>
      <c r="C6848" t="s">
        <v>46</v>
      </c>
      <c r="D6848" t="s">
        <v>11</v>
      </c>
      <c r="E6848" t="s">
        <v>12</v>
      </c>
      <c r="F6848">
        <v>147400300</v>
      </c>
      <c r="G6848">
        <v>147400332</v>
      </c>
      <c r="H6848">
        <v>147400352</v>
      </c>
      <c r="I6848">
        <v>147400377</v>
      </c>
    </row>
    <row r="6849" spans="1:9" x14ac:dyDescent="0.2">
      <c r="A6849" t="str">
        <f>"Flt3l"</f>
        <v>Flt3l</v>
      </c>
      <c r="B6849" t="s">
        <v>14</v>
      </c>
      <c r="C6849" t="s">
        <v>33</v>
      </c>
      <c r="D6849" t="s">
        <v>11</v>
      </c>
      <c r="E6849" t="s">
        <v>12</v>
      </c>
      <c r="F6849">
        <v>45136082</v>
      </c>
      <c r="G6849">
        <v>45136100</v>
      </c>
      <c r="H6849">
        <v>45136391</v>
      </c>
      <c r="I6849">
        <v>45136451</v>
      </c>
    </row>
    <row r="6850" spans="1:9" x14ac:dyDescent="0.2">
      <c r="A6850" t="str">
        <f>"Flt4"</f>
        <v>Flt4</v>
      </c>
      <c r="B6850" t="s">
        <v>14</v>
      </c>
      <c r="C6850" t="s">
        <v>27</v>
      </c>
      <c r="D6850" t="s">
        <v>17</v>
      </c>
      <c r="E6850" t="s">
        <v>12</v>
      </c>
      <c r="F6850">
        <v>49609697</v>
      </c>
      <c r="G6850">
        <v>49609728</v>
      </c>
      <c r="H6850">
        <v>49609683</v>
      </c>
      <c r="I6850">
        <v>49609685</v>
      </c>
    </row>
    <row r="6851" spans="1:9" x14ac:dyDescent="0.2">
      <c r="A6851" t="str">
        <f>"Flywch1"</f>
        <v>Flywch1</v>
      </c>
      <c r="B6851" t="s">
        <v>14</v>
      </c>
      <c r="C6851" t="s">
        <v>28</v>
      </c>
      <c r="D6851" t="s">
        <v>11</v>
      </c>
      <c r="E6851" t="s">
        <v>12</v>
      </c>
      <c r="F6851">
        <v>23771543</v>
      </c>
      <c r="G6851">
        <v>23771595</v>
      </c>
      <c r="H6851">
        <v>23771505</v>
      </c>
      <c r="I6851">
        <v>23771537</v>
      </c>
    </row>
    <row r="6852" spans="1:9" x14ac:dyDescent="0.2">
      <c r="A6852" t="str">
        <f>"Flywch2"</f>
        <v>Flywch2</v>
      </c>
      <c r="B6852" t="s">
        <v>14</v>
      </c>
      <c r="C6852" t="s">
        <v>28</v>
      </c>
      <c r="D6852" t="s">
        <v>11</v>
      </c>
      <c r="E6852" t="s">
        <v>12</v>
      </c>
      <c r="F6852">
        <v>23786046</v>
      </c>
      <c r="G6852">
        <v>23786083</v>
      </c>
      <c r="H6852">
        <v>23786197</v>
      </c>
      <c r="I6852">
        <v>23786237</v>
      </c>
    </row>
    <row r="6853" spans="1:9" x14ac:dyDescent="0.2">
      <c r="A6853" t="str">
        <f>"Fmn1"</f>
        <v>Fmn1</v>
      </c>
      <c r="B6853" t="s">
        <v>14</v>
      </c>
      <c r="C6853" t="s">
        <v>26</v>
      </c>
      <c r="D6853" t="s">
        <v>17</v>
      </c>
      <c r="E6853" t="s">
        <v>12</v>
      </c>
      <c r="F6853">
        <v>113440978</v>
      </c>
      <c r="G6853">
        <v>113441000</v>
      </c>
      <c r="H6853">
        <v>113440896</v>
      </c>
      <c r="I6853">
        <v>113440952</v>
      </c>
    </row>
    <row r="6854" spans="1:9" x14ac:dyDescent="0.2">
      <c r="A6854" t="str">
        <f>"Fmn2"</f>
        <v>Fmn2</v>
      </c>
      <c r="B6854" t="s">
        <v>14</v>
      </c>
      <c r="C6854" t="s">
        <v>19</v>
      </c>
      <c r="D6854" t="s">
        <v>17</v>
      </c>
      <c r="E6854" t="s">
        <v>12</v>
      </c>
      <c r="F6854">
        <v>174501796</v>
      </c>
      <c r="G6854">
        <v>174501843</v>
      </c>
      <c r="H6854">
        <v>174501850</v>
      </c>
      <c r="I6854">
        <v>174501887</v>
      </c>
    </row>
    <row r="6855" spans="1:9" x14ac:dyDescent="0.2">
      <c r="A6855" t="str">
        <f>"Fmnl1"</f>
        <v>Fmnl1</v>
      </c>
      <c r="B6855" t="s">
        <v>14</v>
      </c>
      <c r="C6855" t="s">
        <v>27</v>
      </c>
      <c r="D6855" t="s">
        <v>17</v>
      </c>
      <c r="E6855" t="s">
        <v>12</v>
      </c>
      <c r="F6855">
        <v>103171081</v>
      </c>
      <c r="G6855">
        <v>103171122</v>
      </c>
      <c r="H6855">
        <v>103170992</v>
      </c>
      <c r="I6855">
        <v>103171009</v>
      </c>
    </row>
    <row r="6856" spans="1:9" x14ac:dyDescent="0.2">
      <c r="A6856" t="str">
        <f>"Fmnl2"</f>
        <v>Fmnl2</v>
      </c>
      <c r="B6856" t="s">
        <v>14</v>
      </c>
      <c r="C6856" t="s">
        <v>26</v>
      </c>
      <c r="D6856" t="s">
        <v>17</v>
      </c>
      <c r="E6856" t="s">
        <v>12</v>
      </c>
      <c r="F6856">
        <v>52857744</v>
      </c>
      <c r="G6856">
        <v>52857798</v>
      </c>
      <c r="H6856">
        <v>52857801</v>
      </c>
      <c r="I6856">
        <v>52857826</v>
      </c>
    </row>
    <row r="6857" spans="1:9" x14ac:dyDescent="0.2">
      <c r="A6857" t="str">
        <f>"Fmnl3"</f>
        <v>Fmnl3</v>
      </c>
      <c r="B6857" t="s">
        <v>14</v>
      </c>
      <c r="C6857" t="s">
        <v>25</v>
      </c>
      <c r="D6857" t="s">
        <v>11</v>
      </c>
      <c r="E6857" t="s">
        <v>12</v>
      </c>
      <c r="F6857">
        <v>99370427</v>
      </c>
      <c r="G6857">
        <v>99370489</v>
      </c>
      <c r="H6857">
        <v>99370349</v>
      </c>
      <c r="I6857">
        <v>99370381</v>
      </c>
    </row>
    <row r="6858" spans="1:9" x14ac:dyDescent="0.2">
      <c r="A6858" t="str">
        <f>"Fmo1"</f>
        <v>Fmo1</v>
      </c>
      <c r="B6858" t="s">
        <v>14</v>
      </c>
      <c r="C6858" t="s">
        <v>19</v>
      </c>
      <c r="D6858" t="s">
        <v>11</v>
      </c>
      <c r="E6858" t="s">
        <v>12</v>
      </c>
      <c r="F6858">
        <v>162859556</v>
      </c>
      <c r="G6858">
        <v>162859572</v>
      </c>
      <c r="H6858">
        <v>162859556</v>
      </c>
      <c r="I6858">
        <v>162859572</v>
      </c>
    </row>
    <row r="6859" spans="1:9" x14ac:dyDescent="0.2">
      <c r="A6859" t="str">
        <f>"Fmo2"</f>
        <v>Fmo2</v>
      </c>
      <c r="B6859" t="s">
        <v>14</v>
      </c>
      <c r="C6859" t="s">
        <v>19</v>
      </c>
      <c r="D6859" t="s">
        <v>11</v>
      </c>
      <c r="E6859" t="s">
        <v>12</v>
      </c>
      <c r="F6859">
        <v>162898711</v>
      </c>
      <c r="G6859">
        <v>162898728</v>
      </c>
      <c r="H6859">
        <v>162898395</v>
      </c>
      <c r="I6859">
        <v>162898456</v>
      </c>
    </row>
    <row r="6860" spans="1:9" x14ac:dyDescent="0.2">
      <c r="A6860" t="str">
        <f>"Fmo3"</f>
        <v>Fmo3</v>
      </c>
      <c r="B6860" t="s">
        <v>14</v>
      </c>
      <c r="C6860" t="s">
        <v>19</v>
      </c>
      <c r="D6860" t="s">
        <v>11</v>
      </c>
      <c r="E6860" t="s">
        <v>12</v>
      </c>
      <c r="F6860">
        <v>162984519</v>
      </c>
      <c r="G6860">
        <v>162984533</v>
      </c>
      <c r="H6860">
        <v>162984519</v>
      </c>
      <c r="I6860">
        <v>162984533</v>
      </c>
    </row>
    <row r="6861" spans="1:9" x14ac:dyDescent="0.2">
      <c r="A6861" t="str">
        <f>"Fmo4"</f>
        <v>Fmo4</v>
      </c>
      <c r="B6861" t="s">
        <v>14</v>
      </c>
      <c r="C6861" t="s">
        <v>19</v>
      </c>
      <c r="D6861" t="s">
        <v>11</v>
      </c>
      <c r="E6861" t="s">
        <v>12</v>
      </c>
      <c r="F6861">
        <v>162813942</v>
      </c>
      <c r="G6861">
        <v>162813953</v>
      </c>
      <c r="H6861">
        <v>162813920</v>
      </c>
      <c r="I6861">
        <v>162813933</v>
      </c>
    </row>
    <row r="6862" spans="1:9" x14ac:dyDescent="0.2">
      <c r="A6862" t="str">
        <f>"Fmo5"</f>
        <v>Fmo5</v>
      </c>
      <c r="B6862" t="s">
        <v>14</v>
      </c>
      <c r="C6862" t="s">
        <v>22</v>
      </c>
      <c r="D6862" t="s">
        <v>17</v>
      </c>
      <c r="E6862" t="s">
        <v>12</v>
      </c>
      <c r="F6862">
        <v>97628844</v>
      </c>
      <c r="G6862">
        <v>97628864</v>
      </c>
      <c r="H6862">
        <v>97628844</v>
      </c>
      <c r="I6862">
        <v>97628864</v>
      </c>
    </row>
    <row r="6863" spans="1:9" x14ac:dyDescent="0.2">
      <c r="A6863" t="str">
        <f>"Fmo6"</f>
        <v>Fmo6</v>
      </c>
      <c r="B6863" t="s">
        <v>14</v>
      </c>
      <c r="C6863" t="s">
        <v>19</v>
      </c>
      <c r="D6863" t="s">
        <v>11</v>
      </c>
      <c r="E6863" t="s">
        <v>12</v>
      </c>
      <c r="F6863">
        <v>162937530</v>
      </c>
      <c r="G6863">
        <v>162937533</v>
      </c>
      <c r="H6863">
        <v>162937530</v>
      </c>
      <c r="I6863">
        <v>162937533</v>
      </c>
    </row>
    <row r="6864" spans="1:9" x14ac:dyDescent="0.2">
      <c r="A6864" t="str">
        <f>"Fmo9"</f>
        <v>Fmo9</v>
      </c>
      <c r="B6864" t="s">
        <v>14</v>
      </c>
      <c r="C6864" t="s">
        <v>19</v>
      </c>
      <c r="D6864" t="s">
        <v>11</v>
      </c>
      <c r="E6864" t="s">
        <v>12</v>
      </c>
      <c r="F6864">
        <v>166681842</v>
      </c>
      <c r="G6864">
        <v>166681847</v>
      </c>
      <c r="H6864">
        <v>166681842</v>
      </c>
      <c r="I6864">
        <v>166681847</v>
      </c>
    </row>
    <row r="6865" spans="1:9" x14ac:dyDescent="0.2">
      <c r="A6865" t="str">
        <f>"Fmod"</f>
        <v>Fmod</v>
      </c>
      <c r="B6865" t="s">
        <v>14</v>
      </c>
      <c r="C6865" t="s">
        <v>19</v>
      </c>
      <c r="D6865" t="s">
        <v>17</v>
      </c>
      <c r="E6865" t="s">
        <v>12</v>
      </c>
      <c r="F6865">
        <v>134037490</v>
      </c>
      <c r="G6865">
        <v>134037530</v>
      </c>
      <c r="H6865">
        <v>134037534</v>
      </c>
      <c r="I6865">
        <v>134037552</v>
      </c>
    </row>
    <row r="6866" spans="1:9" x14ac:dyDescent="0.2">
      <c r="A6866" t="str">
        <f>"Fmr1"</f>
        <v>Fmr1</v>
      </c>
      <c r="B6866" t="s">
        <v>14</v>
      </c>
      <c r="C6866" t="s">
        <v>37</v>
      </c>
      <c r="D6866" t="s">
        <v>17</v>
      </c>
      <c r="E6866" t="s">
        <v>12</v>
      </c>
      <c r="F6866">
        <v>68678571</v>
      </c>
      <c r="G6866">
        <v>68678589</v>
      </c>
      <c r="H6866">
        <v>68678676</v>
      </c>
      <c r="I6866">
        <v>68678691</v>
      </c>
    </row>
    <row r="6867" spans="1:9" x14ac:dyDescent="0.2">
      <c r="A6867" t="str">
        <f>"Fmr1nb"</f>
        <v>Fmr1nb</v>
      </c>
      <c r="B6867" t="s">
        <v>14</v>
      </c>
      <c r="C6867" t="s">
        <v>37</v>
      </c>
      <c r="D6867" t="s">
        <v>17</v>
      </c>
      <c r="E6867" t="s">
        <v>12</v>
      </c>
      <c r="F6867">
        <v>68761839</v>
      </c>
      <c r="G6867">
        <v>68761873</v>
      </c>
      <c r="H6867">
        <v>68761875</v>
      </c>
      <c r="I6867">
        <v>68761887</v>
      </c>
    </row>
    <row r="6868" spans="1:9" x14ac:dyDescent="0.2">
      <c r="A6868" t="str">
        <f>"Fn1"</f>
        <v>Fn1</v>
      </c>
      <c r="B6868" t="s">
        <v>14</v>
      </c>
      <c r="C6868" t="s">
        <v>19</v>
      </c>
      <c r="D6868" t="s">
        <v>11</v>
      </c>
      <c r="E6868" t="s">
        <v>12</v>
      </c>
      <c r="F6868">
        <v>71653162</v>
      </c>
      <c r="G6868">
        <v>71653181</v>
      </c>
      <c r="H6868">
        <v>71653162</v>
      </c>
      <c r="I6868">
        <v>71653181</v>
      </c>
    </row>
    <row r="6869" spans="1:9" x14ac:dyDescent="0.2">
      <c r="A6869" t="str">
        <f>"Fn3k"</f>
        <v>Fn3k</v>
      </c>
      <c r="B6869" t="s">
        <v>14</v>
      </c>
      <c r="C6869" t="s">
        <v>27</v>
      </c>
      <c r="D6869" t="s">
        <v>17</v>
      </c>
      <c r="E6869" t="s">
        <v>12</v>
      </c>
      <c r="F6869">
        <v>121434948</v>
      </c>
      <c r="G6869">
        <v>121434987</v>
      </c>
      <c r="H6869">
        <v>121434948</v>
      </c>
      <c r="I6869">
        <v>121434987</v>
      </c>
    </row>
    <row r="6870" spans="1:9" x14ac:dyDescent="0.2">
      <c r="A6870" t="str">
        <f>"Fn3krp"</f>
        <v>Fn3krp</v>
      </c>
      <c r="B6870" t="s">
        <v>14</v>
      </c>
      <c r="C6870" t="s">
        <v>27</v>
      </c>
      <c r="D6870" t="s">
        <v>17</v>
      </c>
      <c r="E6870" t="s">
        <v>12</v>
      </c>
      <c r="F6870">
        <v>121421388</v>
      </c>
      <c r="G6870">
        <v>121421469</v>
      </c>
      <c r="H6870">
        <v>121421388</v>
      </c>
      <c r="I6870">
        <v>121421469</v>
      </c>
    </row>
    <row r="6871" spans="1:9" x14ac:dyDescent="0.2">
      <c r="A6871" t="str">
        <f>"Fnbp1"</f>
        <v>Fnbp1</v>
      </c>
      <c r="B6871" t="s">
        <v>14</v>
      </c>
      <c r="C6871" t="s">
        <v>26</v>
      </c>
      <c r="D6871" t="s">
        <v>11</v>
      </c>
      <c r="E6871" t="s">
        <v>12</v>
      </c>
      <c r="F6871">
        <v>31141943</v>
      </c>
      <c r="G6871">
        <v>31142001</v>
      </c>
      <c r="H6871">
        <v>31142002</v>
      </c>
      <c r="I6871">
        <v>31142017</v>
      </c>
    </row>
    <row r="6872" spans="1:9" x14ac:dyDescent="0.2">
      <c r="A6872" t="str">
        <f>"Fnbp1l"</f>
        <v>Fnbp1l</v>
      </c>
      <c r="B6872" t="s">
        <v>14</v>
      </c>
      <c r="C6872" t="s">
        <v>22</v>
      </c>
      <c r="D6872" t="s">
        <v>11</v>
      </c>
      <c r="E6872" t="s">
        <v>12</v>
      </c>
      <c r="F6872">
        <v>122619683</v>
      </c>
      <c r="G6872">
        <v>122619698</v>
      </c>
      <c r="H6872">
        <v>122619663</v>
      </c>
      <c r="I6872">
        <v>122619680</v>
      </c>
    </row>
    <row r="6873" spans="1:9" x14ac:dyDescent="0.2">
      <c r="A6873" t="str">
        <f>"Fnbp4"</f>
        <v>Fnbp4</v>
      </c>
      <c r="B6873" t="s">
        <v>14</v>
      </c>
      <c r="C6873" t="s">
        <v>26</v>
      </c>
      <c r="D6873" t="s">
        <v>17</v>
      </c>
      <c r="E6873" t="s">
        <v>12</v>
      </c>
      <c r="F6873">
        <v>90745539</v>
      </c>
      <c r="G6873">
        <v>90745603</v>
      </c>
      <c r="H6873">
        <v>90745455</v>
      </c>
      <c r="I6873">
        <v>90745469</v>
      </c>
    </row>
    <row r="6874" spans="1:9" x14ac:dyDescent="0.2">
      <c r="A6874" t="str">
        <f>"Fnd3c2"</f>
        <v>Fnd3c2</v>
      </c>
      <c r="B6874" t="s">
        <v>14</v>
      </c>
      <c r="C6874" t="s">
        <v>37</v>
      </c>
      <c r="D6874" t="s">
        <v>11</v>
      </c>
      <c r="E6874" t="s">
        <v>12</v>
      </c>
      <c r="F6874">
        <v>106255367</v>
      </c>
      <c r="G6874">
        <v>106255376</v>
      </c>
      <c r="H6874">
        <v>106255367</v>
      </c>
      <c r="I6874">
        <v>106255376</v>
      </c>
    </row>
    <row r="6875" spans="1:9" x14ac:dyDescent="0.2">
      <c r="A6875" t="str">
        <f>"Fndc1"</f>
        <v>Fndc1</v>
      </c>
      <c r="B6875" t="s">
        <v>14</v>
      </c>
      <c r="C6875" t="s">
        <v>28</v>
      </c>
      <c r="D6875" t="s">
        <v>11</v>
      </c>
      <c r="E6875" t="s">
        <v>12</v>
      </c>
      <c r="F6875">
        <v>7827289</v>
      </c>
      <c r="G6875">
        <v>7827310</v>
      </c>
      <c r="H6875">
        <v>7827319</v>
      </c>
      <c r="I6875">
        <v>7827345</v>
      </c>
    </row>
    <row r="6876" spans="1:9" x14ac:dyDescent="0.2">
      <c r="A6876" t="str">
        <f>"Fndc3a"</f>
        <v>Fndc3a</v>
      </c>
      <c r="B6876" t="s">
        <v>14</v>
      </c>
      <c r="C6876" t="s">
        <v>41</v>
      </c>
      <c r="D6876" t="s">
        <v>11</v>
      </c>
      <c r="E6876" t="s">
        <v>12</v>
      </c>
      <c r="F6876">
        <v>72709986</v>
      </c>
      <c r="G6876">
        <v>72710027</v>
      </c>
      <c r="H6876">
        <v>72709986</v>
      </c>
      <c r="I6876">
        <v>72710027</v>
      </c>
    </row>
    <row r="6877" spans="1:9" x14ac:dyDescent="0.2">
      <c r="A6877" t="str">
        <f>"Fndc3b"</f>
        <v>Fndc3b</v>
      </c>
      <c r="B6877" t="s">
        <v>14</v>
      </c>
      <c r="C6877" t="s">
        <v>22</v>
      </c>
      <c r="D6877" t="s">
        <v>11</v>
      </c>
      <c r="E6877" t="s">
        <v>12</v>
      </c>
      <c r="F6877">
        <v>27711255</v>
      </c>
      <c r="G6877">
        <v>27711338</v>
      </c>
      <c r="H6877">
        <v>27710413</v>
      </c>
      <c r="I6877">
        <v>27710467</v>
      </c>
    </row>
    <row r="6878" spans="1:9" x14ac:dyDescent="0.2">
      <c r="A6878" t="str">
        <f>"Fndc3c1"</f>
        <v>Fndc3c1</v>
      </c>
      <c r="B6878" t="s">
        <v>14</v>
      </c>
      <c r="C6878" t="s">
        <v>37</v>
      </c>
      <c r="D6878" t="s">
        <v>11</v>
      </c>
      <c r="E6878" t="s">
        <v>12</v>
      </c>
      <c r="F6878">
        <v>106485367</v>
      </c>
      <c r="G6878">
        <v>106485424</v>
      </c>
      <c r="H6878">
        <v>106485214</v>
      </c>
      <c r="I6878">
        <v>106485259</v>
      </c>
    </row>
    <row r="6879" spans="1:9" x14ac:dyDescent="0.2">
      <c r="A6879" t="str">
        <f>"Fndc4"</f>
        <v>Fndc4</v>
      </c>
      <c r="B6879" t="s">
        <v>14</v>
      </c>
      <c r="C6879" t="s">
        <v>46</v>
      </c>
      <c r="D6879" t="s">
        <v>11</v>
      </c>
      <c r="E6879" t="s">
        <v>12</v>
      </c>
      <c r="F6879">
        <v>31295862</v>
      </c>
      <c r="G6879">
        <v>31295942</v>
      </c>
      <c r="H6879">
        <v>31295862</v>
      </c>
      <c r="I6879">
        <v>31295942</v>
      </c>
    </row>
    <row r="6880" spans="1:9" x14ac:dyDescent="0.2">
      <c r="A6880" t="str">
        <f>"Fndc5"</f>
        <v>Fndc5</v>
      </c>
      <c r="B6880" t="s">
        <v>14</v>
      </c>
      <c r="C6880" t="s">
        <v>23</v>
      </c>
      <c r="D6880" t="s">
        <v>17</v>
      </c>
      <c r="E6880" t="s">
        <v>12</v>
      </c>
      <c r="F6880">
        <v>129136877</v>
      </c>
      <c r="G6880">
        <v>129136903</v>
      </c>
      <c r="H6880">
        <v>129136948</v>
      </c>
      <c r="I6880">
        <v>129136973</v>
      </c>
    </row>
    <row r="6881" spans="1:9" x14ac:dyDescent="0.2">
      <c r="A6881" t="str">
        <f>"Fndc7"</f>
        <v>Fndc7</v>
      </c>
      <c r="B6881" t="s">
        <v>14</v>
      </c>
      <c r="C6881" t="s">
        <v>22</v>
      </c>
      <c r="D6881" t="s">
        <v>11</v>
      </c>
      <c r="E6881" t="s">
        <v>12</v>
      </c>
      <c r="F6881">
        <v>108889867</v>
      </c>
      <c r="G6881">
        <v>108889894</v>
      </c>
      <c r="H6881">
        <v>108889867</v>
      </c>
      <c r="I6881">
        <v>108889894</v>
      </c>
    </row>
    <row r="6882" spans="1:9" x14ac:dyDescent="0.2">
      <c r="A6882" t="str">
        <f>"Fndc8"</f>
        <v>Fndc8</v>
      </c>
      <c r="B6882" t="s">
        <v>14</v>
      </c>
      <c r="C6882" t="s">
        <v>27</v>
      </c>
      <c r="D6882" t="s">
        <v>17</v>
      </c>
      <c r="E6882" t="s">
        <v>12</v>
      </c>
      <c r="F6882">
        <v>82892116</v>
      </c>
      <c r="G6882">
        <v>82892128</v>
      </c>
      <c r="H6882">
        <v>82892116</v>
      </c>
      <c r="I6882">
        <v>82892128</v>
      </c>
    </row>
    <row r="6883" spans="1:9" x14ac:dyDescent="0.2">
      <c r="A6883" t="str">
        <f>"Fndc9"</f>
        <v>Fndc9</v>
      </c>
      <c r="B6883" t="s">
        <v>14</v>
      </c>
      <c r="C6883" t="s">
        <v>27</v>
      </c>
      <c r="D6883" t="s">
        <v>17</v>
      </c>
      <c r="E6883" t="s">
        <v>67</v>
      </c>
      <c r="F6883">
        <v>46235460</v>
      </c>
      <c r="G6883">
        <v>46235471</v>
      </c>
      <c r="H6883">
        <v>46235448</v>
      </c>
      <c r="I6883">
        <v>46235459</v>
      </c>
    </row>
    <row r="6884" spans="1:9" x14ac:dyDescent="0.2">
      <c r="A6884" t="str">
        <f>"Fnip1"</f>
        <v>Fnip1</v>
      </c>
      <c r="B6884" t="s">
        <v>14</v>
      </c>
      <c r="C6884" t="s">
        <v>27</v>
      </c>
      <c r="D6884" t="s">
        <v>17</v>
      </c>
      <c r="E6884" t="s">
        <v>12</v>
      </c>
      <c r="F6884">
        <v>54438188</v>
      </c>
      <c r="G6884">
        <v>54438220</v>
      </c>
      <c r="H6884">
        <v>54438159</v>
      </c>
      <c r="I6884">
        <v>54438187</v>
      </c>
    </row>
    <row r="6885" spans="1:9" x14ac:dyDescent="0.2">
      <c r="A6885" t="str">
        <f>"Fnip2"</f>
        <v>Fnip2</v>
      </c>
      <c r="B6885" t="s">
        <v>14</v>
      </c>
      <c r="C6885" t="s">
        <v>22</v>
      </c>
      <c r="D6885" t="s">
        <v>11</v>
      </c>
      <c r="E6885" t="s">
        <v>12</v>
      </c>
      <c r="F6885">
        <v>79568102</v>
      </c>
      <c r="G6885">
        <v>79568154</v>
      </c>
      <c r="H6885">
        <v>79567801</v>
      </c>
      <c r="I6885">
        <v>79567901</v>
      </c>
    </row>
    <row r="6886" spans="1:9" x14ac:dyDescent="0.2">
      <c r="A6886" t="str">
        <f>"Fnta"</f>
        <v>Fnta</v>
      </c>
      <c r="B6886" t="s">
        <v>14</v>
      </c>
      <c r="C6886" t="s">
        <v>30</v>
      </c>
      <c r="D6886" t="s">
        <v>11</v>
      </c>
      <c r="E6886" t="s">
        <v>12</v>
      </c>
      <c r="F6886">
        <v>26015577</v>
      </c>
      <c r="G6886">
        <v>26015626</v>
      </c>
      <c r="H6886">
        <v>26015577</v>
      </c>
      <c r="I6886">
        <v>26015626</v>
      </c>
    </row>
    <row r="6887" spans="1:9" x14ac:dyDescent="0.2">
      <c r="A6887" t="str">
        <f>"Fntb"</f>
        <v>Fntb</v>
      </c>
      <c r="B6887" t="s">
        <v>14</v>
      </c>
      <c r="C6887" t="s">
        <v>16</v>
      </c>
      <c r="D6887" t="s">
        <v>17</v>
      </c>
      <c r="E6887" t="s">
        <v>12</v>
      </c>
      <c r="F6887">
        <v>76837408</v>
      </c>
      <c r="G6887">
        <v>76837466</v>
      </c>
      <c r="H6887">
        <v>76837469</v>
      </c>
      <c r="I6887">
        <v>76837480</v>
      </c>
    </row>
    <row r="6888" spans="1:9" x14ac:dyDescent="0.2">
      <c r="A6888" t="str">
        <f>"Focad"</f>
        <v>Focad</v>
      </c>
      <c r="B6888" t="s">
        <v>14</v>
      </c>
      <c r="C6888" t="s">
        <v>23</v>
      </c>
      <c r="D6888" t="s">
        <v>17</v>
      </c>
      <c r="E6888" t="s">
        <v>67</v>
      </c>
      <c r="F6888">
        <v>88094599</v>
      </c>
      <c r="G6888">
        <v>88094653</v>
      </c>
      <c r="H6888">
        <v>88094660</v>
      </c>
      <c r="I6888">
        <v>88094672</v>
      </c>
    </row>
    <row r="6889" spans="1:9" x14ac:dyDescent="0.2">
      <c r="A6889" t="str">
        <f>"Folh1"</f>
        <v>Folh1</v>
      </c>
      <c r="B6889" t="s">
        <v>14</v>
      </c>
      <c r="C6889" t="s">
        <v>33</v>
      </c>
      <c r="D6889" t="s">
        <v>11</v>
      </c>
      <c r="E6889" t="s">
        <v>12</v>
      </c>
      <c r="F6889">
        <v>86775809</v>
      </c>
      <c r="G6889">
        <v>86775839</v>
      </c>
      <c r="H6889">
        <v>86775792</v>
      </c>
      <c r="I6889">
        <v>86775806</v>
      </c>
    </row>
    <row r="6890" spans="1:9" x14ac:dyDescent="0.2">
      <c r="A6890" t="str">
        <f>"Folr1"</f>
        <v>Folr1</v>
      </c>
      <c r="B6890" t="s">
        <v>9</v>
      </c>
      <c r="C6890" t="s">
        <v>33</v>
      </c>
      <c r="D6890" t="s">
        <v>11</v>
      </c>
      <c r="E6890" t="s">
        <v>12</v>
      </c>
      <c r="F6890">
        <v>101870711</v>
      </c>
      <c r="G6890">
        <v>101870756</v>
      </c>
      <c r="H6890">
        <v>101870711</v>
      </c>
      <c r="I6890">
        <v>101870756</v>
      </c>
    </row>
    <row r="6891" spans="1:9" x14ac:dyDescent="0.2">
      <c r="A6891" t="str">
        <f>"Folr1"</f>
        <v>Folr1</v>
      </c>
      <c r="B6891" t="s">
        <v>13</v>
      </c>
      <c r="C6891" t="s">
        <v>33</v>
      </c>
      <c r="D6891" t="s">
        <v>11</v>
      </c>
      <c r="E6891" t="s">
        <v>12</v>
      </c>
      <c r="F6891">
        <v>101864093</v>
      </c>
      <c r="G6891">
        <v>101864156</v>
      </c>
      <c r="H6891">
        <v>101864093</v>
      </c>
      <c r="I6891">
        <v>101864156</v>
      </c>
    </row>
    <row r="6892" spans="1:9" x14ac:dyDescent="0.2">
      <c r="A6892" t="str">
        <f>"Folr2"</f>
        <v>Folr2</v>
      </c>
      <c r="B6892" t="s">
        <v>14</v>
      </c>
      <c r="C6892" t="s">
        <v>33</v>
      </c>
      <c r="D6892" t="s">
        <v>11</v>
      </c>
      <c r="E6892" t="s">
        <v>12</v>
      </c>
      <c r="F6892">
        <v>101845300</v>
      </c>
      <c r="G6892">
        <v>101845339</v>
      </c>
      <c r="H6892">
        <v>101845277</v>
      </c>
      <c r="I6892">
        <v>101845288</v>
      </c>
    </row>
    <row r="6893" spans="1:9" x14ac:dyDescent="0.2">
      <c r="A6893" t="str">
        <f>"Folr4"</f>
        <v>Folr4</v>
      </c>
      <c r="B6893" t="s">
        <v>9</v>
      </c>
      <c r="C6893" t="s">
        <v>24</v>
      </c>
      <c r="D6893" t="s">
        <v>11</v>
      </c>
      <c r="E6893" t="s">
        <v>12</v>
      </c>
      <c r="F6893">
        <v>14902524</v>
      </c>
      <c r="G6893">
        <v>14902559</v>
      </c>
      <c r="H6893">
        <v>14902524</v>
      </c>
      <c r="I6893">
        <v>14902559</v>
      </c>
    </row>
    <row r="6894" spans="1:9" x14ac:dyDescent="0.2">
      <c r="A6894" t="str">
        <f>"Folr4"</f>
        <v>Folr4</v>
      </c>
      <c r="B6894" t="s">
        <v>13</v>
      </c>
      <c r="C6894" t="s">
        <v>24</v>
      </c>
      <c r="D6894" t="s">
        <v>11</v>
      </c>
      <c r="E6894" t="s">
        <v>12</v>
      </c>
      <c r="F6894">
        <v>14903752</v>
      </c>
      <c r="G6894">
        <v>14903772</v>
      </c>
      <c r="H6894">
        <v>14903752</v>
      </c>
      <c r="I6894">
        <v>14903772</v>
      </c>
    </row>
    <row r="6895" spans="1:9" x14ac:dyDescent="0.2">
      <c r="A6895" t="str">
        <f>"Fopnl"</f>
        <v>Fopnl</v>
      </c>
      <c r="B6895" t="s">
        <v>14</v>
      </c>
      <c r="C6895" t="s">
        <v>31</v>
      </c>
      <c r="D6895" t="s">
        <v>11</v>
      </c>
      <c r="E6895" t="s">
        <v>67</v>
      </c>
      <c r="F6895">
        <v>14317319</v>
      </c>
      <c r="G6895">
        <v>14317370</v>
      </c>
      <c r="H6895">
        <v>14317119</v>
      </c>
      <c r="I6895">
        <v>14317134</v>
      </c>
    </row>
    <row r="6896" spans="1:9" x14ac:dyDescent="0.2">
      <c r="A6896" t="str">
        <f>"Fos"</f>
        <v>Fos</v>
      </c>
      <c r="B6896" t="s">
        <v>14</v>
      </c>
      <c r="C6896" t="s">
        <v>16</v>
      </c>
      <c r="D6896" t="s">
        <v>17</v>
      </c>
      <c r="E6896" t="s">
        <v>12</v>
      </c>
      <c r="F6896">
        <v>85473883</v>
      </c>
      <c r="G6896">
        <v>85473896</v>
      </c>
      <c r="H6896">
        <v>85474689</v>
      </c>
      <c r="I6896">
        <v>85474714</v>
      </c>
    </row>
    <row r="6897" spans="1:9" x14ac:dyDescent="0.2">
      <c r="A6897" t="str">
        <f>"Fosb"</f>
        <v>Fosb</v>
      </c>
      <c r="B6897" t="s">
        <v>14</v>
      </c>
      <c r="C6897" t="s">
        <v>33</v>
      </c>
      <c r="D6897" t="s">
        <v>11</v>
      </c>
      <c r="E6897" t="s">
        <v>12</v>
      </c>
      <c r="F6897">
        <v>19310005</v>
      </c>
      <c r="G6897">
        <v>19310020</v>
      </c>
      <c r="H6897">
        <v>19310035</v>
      </c>
      <c r="I6897">
        <v>19310050</v>
      </c>
    </row>
    <row r="6898" spans="1:9" x14ac:dyDescent="0.2">
      <c r="A6898" t="str">
        <f>"Fosl1"</f>
        <v>Fosl1</v>
      </c>
      <c r="B6898" t="s">
        <v>14</v>
      </c>
      <c r="C6898" t="s">
        <v>10</v>
      </c>
      <c r="D6898" t="s">
        <v>17</v>
      </c>
      <c r="E6898" t="s">
        <v>12</v>
      </c>
      <c r="F6898">
        <v>5447886</v>
      </c>
      <c r="G6898">
        <v>5447905</v>
      </c>
      <c r="H6898">
        <v>5447692</v>
      </c>
      <c r="I6898">
        <v>5447711</v>
      </c>
    </row>
    <row r="6899" spans="1:9" x14ac:dyDescent="0.2">
      <c r="A6899" t="str">
        <f>"Fosl2"</f>
        <v>Fosl2</v>
      </c>
      <c r="B6899" t="s">
        <v>14</v>
      </c>
      <c r="C6899" t="s">
        <v>46</v>
      </c>
      <c r="D6899" t="s">
        <v>17</v>
      </c>
      <c r="E6899" t="s">
        <v>12</v>
      </c>
      <c r="F6899">
        <v>32136458</v>
      </c>
      <c r="G6899">
        <v>32136505</v>
      </c>
      <c r="H6899">
        <v>32136521</v>
      </c>
      <c r="I6899">
        <v>32136535</v>
      </c>
    </row>
    <row r="6900" spans="1:9" x14ac:dyDescent="0.2">
      <c r="A6900" t="str">
        <f>"Foxa1"</f>
        <v>Foxa1</v>
      </c>
      <c r="B6900" t="s">
        <v>14</v>
      </c>
      <c r="C6900" t="s">
        <v>16</v>
      </c>
      <c r="D6900" t="s">
        <v>11</v>
      </c>
      <c r="E6900" t="s">
        <v>12</v>
      </c>
      <c r="F6900">
        <v>57545987</v>
      </c>
      <c r="G6900">
        <v>57546016</v>
      </c>
      <c r="H6900">
        <v>57546127</v>
      </c>
      <c r="I6900">
        <v>57546141</v>
      </c>
    </row>
    <row r="6901" spans="1:9" x14ac:dyDescent="0.2">
      <c r="A6901" t="str">
        <f>"Foxa2"</f>
        <v>Foxa2</v>
      </c>
      <c r="B6901" t="s">
        <v>9</v>
      </c>
      <c r="C6901" t="s">
        <v>26</v>
      </c>
      <c r="D6901" t="s">
        <v>11</v>
      </c>
      <c r="E6901" t="s">
        <v>12</v>
      </c>
      <c r="F6901">
        <v>148045891</v>
      </c>
      <c r="G6901">
        <v>148045905</v>
      </c>
      <c r="H6901">
        <v>148045891</v>
      </c>
      <c r="I6901">
        <v>148045905</v>
      </c>
    </row>
    <row r="6902" spans="1:9" x14ac:dyDescent="0.2">
      <c r="A6902" t="str">
        <f>"Foxa2"</f>
        <v>Foxa2</v>
      </c>
      <c r="B6902" t="s">
        <v>13</v>
      </c>
      <c r="C6902" t="s">
        <v>26</v>
      </c>
      <c r="D6902" t="s">
        <v>11</v>
      </c>
      <c r="E6902" t="s">
        <v>12</v>
      </c>
      <c r="F6902">
        <v>148047054</v>
      </c>
      <c r="G6902">
        <v>148047085</v>
      </c>
      <c r="H6902">
        <v>148047054</v>
      </c>
      <c r="I6902">
        <v>148047085</v>
      </c>
    </row>
    <row r="6903" spans="1:9" x14ac:dyDescent="0.2">
      <c r="A6903" t="str">
        <f>"Foxa3"</f>
        <v>Foxa3</v>
      </c>
      <c r="B6903" t="s">
        <v>14</v>
      </c>
      <c r="C6903" t="s">
        <v>33</v>
      </c>
      <c r="D6903" t="s">
        <v>11</v>
      </c>
      <c r="E6903" t="s">
        <v>12</v>
      </c>
      <c r="F6903">
        <v>19023542</v>
      </c>
      <c r="G6903">
        <v>19023546</v>
      </c>
      <c r="H6903">
        <v>19023497</v>
      </c>
      <c r="I6903">
        <v>19023506</v>
      </c>
    </row>
    <row r="6904" spans="1:9" x14ac:dyDescent="0.2">
      <c r="A6904" t="str">
        <f>"Foxb1"</f>
        <v>Foxb1</v>
      </c>
      <c r="B6904" t="s">
        <v>14</v>
      </c>
      <c r="C6904" t="s">
        <v>24</v>
      </c>
      <c r="D6904" t="s">
        <v>11</v>
      </c>
      <c r="E6904" t="s">
        <v>12</v>
      </c>
      <c r="F6904">
        <v>69760865</v>
      </c>
      <c r="G6904">
        <v>69760879</v>
      </c>
      <c r="H6904">
        <v>69760924</v>
      </c>
      <c r="I6904">
        <v>69760935</v>
      </c>
    </row>
    <row r="6905" spans="1:9" x14ac:dyDescent="0.2">
      <c r="A6905" t="str">
        <f>"Foxb2"</f>
        <v>Foxb2</v>
      </c>
      <c r="B6905" t="s">
        <v>2464</v>
      </c>
      <c r="C6905" t="s">
        <v>10</v>
      </c>
      <c r="D6905" t="s">
        <v>11</v>
      </c>
      <c r="E6905" t="s">
        <v>20</v>
      </c>
      <c r="F6905">
        <v>16873829</v>
      </c>
      <c r="G6905">
        <v>16873829</v>
      </c>
      <c r="H6905">
        <v>16873829</v>
      </c>
      <c r="I6905">
        <v>16873829</v>
      </c>
    </row>
    <row r="6906" spans="1:9" x14ac:dyDescent="0.2">
      <c r="A6906" t="str">
        <f>"Foxc1"</f>
        <v>Foxc1</v>
      </c>
      <c r="B6906" t="s">
        <v>14</v>
      </c>
      <c r="C6906" t="s">
        <v>39</v>
      </c>
      <c r="D6906" t="s">
        <v>17</v>
      </c>
      <c r="E6906" t="s">
        <v>12</v>
      </c>
      <c r="F6906">
        <v>31806860</v>
      </c>
      <c r="G6906">
        <v>31806892</v>
      </c>
      <c r="H6906">
        <v>31806768</v>
      </c>
      <c r="I6906">
        <v>31806784</v>
      </c>
    </row>
    <row r="6907" spans="1:9" x14ac:dyDescent="0.2">
      <c r="A6907" t="str">
        <f>"Foxc2"</f>
        <v>Foxc2</v>
      </c>
      <c r="B6907" t="s">
        <v>14</v>
      </c>
      <c r="C6907" t="s">
        <v>30</v>
      </c>
      <c r="D6907" t="s">
        <v>17</v>
      </c>
      <c r="E6907" t="s">
        <v>12</v>
      </c>
      <c r="F6907">
        <v>121116163</v>
      </c>
      <c r="G6907">
        <v>121116177</v>
      </c>
      <c r="H6907">
        <v>121116190</v>
      </c>
      <c r="I6907">
        <v>121116201</v>
      </c>
    </row>
    <row r="6908" spans="1:9" x14ac:dyDescent="0.2">
      <c r="A6908" t="str">
        <f>"Foxd1"</f>
        <v>Foxd1</v>
      </c>
      <c r="B6908" t="s">
        <v>14</v>
      </c>
      <c r="C6908" t="s">
        <v>39</v>
      </c>
      <c r="D6908" t="s">
        <v>17</v>
      </c>
      <c r="E6908" t="s">
        <v>12</v>
      </c>
      <c r="F6908">
        <v>98354234</v>
      </c>
      <c r="G6908">
        <v>98354250</v>
      </c>
      <c r="H6908">
        <v>98354281</v>
      </c>
      <c r="I6908">
        <v>98354288</v>
      </c>
    </row>
    <row r="6909" spans="1:9" x14ac:dyDescent="0.2">
      <c r="A6909" t="str">
        <f>"Foxd2"</f>
        <v>Foxd2</v>
      </c>
      <c r="B6909" t="s">
        <v>14</v>
      </c>
      <c r="C6909" t="s">
        <v>23</v>
      </c>
      <c r="D6909" t="s">
        <v>11</v>
      </c>
      <c r="E6909" t="s">
        <v>12</v>
      </c>
      <c r="F6909">
        <v>114908919</v>
      </c>
      <c r="G6909">
        <v>114908946</v>
      </c>
      <c r="H6909">
        <v>114908892</v>
      </c>
      <c r="I6909">
        <v>114908914</v>
      </c>
    </row>
    <row r="6910" spans="1:9" x14ac:dyDescent="0.2">
      <c r="A6910" t="str">
        <f>"Foxd3"</f>
        <v>Foxd3</v>
      </c>
      <c r="B6910" t="s">
        <v>14</v>
      </c>
      <c r="C6910" t="s">
        <v>23</v>
      </c>
      <c r="D6910" t="s">
        <v>17</v>
      </c>
      <c r="E6910" t="s">
        <v>12</v>
      </c>
      <c r="F6910">
        <v>99656129</v>
      </c>
      <c r="G6910">
        <v>99656154</v>
      </c>
      <c r="H6910">
        <v>99656129</v>
      </c>
      <c r="I6910">
        <v>99656154</v>
      </c>
    </row>
    <row r="6911" spans="1:9" x14ac:dyDescent="0.2">
      <c r="A6911" t="str">
        <f>"Foxd4"</f>
        <v>Foxd4</v>
      </c>
      <c r="B6911" t="s">
        <v>14</v>
      </c>
      <c r="C6911" t="s">
        <v>10</v>
      </c>
      <c r="D6911" t="s">
        <v>11</v>
      </c>
      <c r="E6911" t="s">
        <v>12</v>
      </c>
      <c r="F6911">
        <v>24901011</v>
      </c>
      <c r="G6911">
        <v>24901033</v>
      </c>
      <c r="H6911">
        <v>24901011</v>
      </c>
      <c r="I6911">
        <v>24901033</v>
      </c>
    </row>
    <row r="6912" spans="1:9" x14ac:dyDescent="0.2">
      <c r="A6912" t="str">
        <f>"Foxe1"</f>
        <v>Foxe1</v>
      </c>
      <c r="B6912" t="s">
        <v>14</v>
      </c>
      <c r="C6912" t="s">
        <v>23</v>
      </c>
      <c r="D6912" t="s">
        <v>17</v>
      </c>
      <c r="E6912" t="s">
        <v>12</v>
      </c>
      <c r="F6912">
        <v>46343637</v>
      </c>
      <c r="G6912">
        <v>46343655</v>
      </c>
      <c r="H6912">
        <v>46343637</v>
      </c>
      <c r="I6912">
        <v>46343655</v>
      </c>
    </row>
    <row r="6913" spans="1:9" x14ac:dyDescent="0.2">
      <c r="A6913" t="str">
        <f>"Foxe3"</f>
        <v>Foxe3</v>
      </c>
      <c r="B6913" t="s">
        <v>14</v>
      </c>
      <c r="C6913" t="s">
        <v>23</v>
      </c>
      <c r="D6913" t="s">
        <v>11</v>
      </c>
      <c r="E6913" t="s">
        <v>12</v>
      </c>
      <c r="F6913">
        <v>114926064</v>
      </c>
      <c r="G6913">
        <v>114926069</v>
      </c>
      <c r="H6913">
        <v>114926012</v>
      </c>
      <c r="I6913">
        <v>114926038</v>
      </c>
    </row>
    <row r="6914" spans="1:9" x14ac:dyDescent="0.2">
      <c r="A6914" t="str">
        <f>"Foxf1"</f>
        <v>Foxf1</v>
      </c>
      <c r="B6914" t="s">
        <v>14</v>
      </c>
      <c r="C6914" t="s">
        <v>30</v>
      </c>
      <c r="D6914" t="s">
        <v>17</v>
      </c>
      <c r="E6914" t="s">
        <v>67</v>
      </c>
      <c r="F6914">
        <v>121084352</v>
      </c>
      <c r="G6914">
        <v>121084368</v>
      </c>
      <c r="H6914">
        <v>121084352</v>
      </c>
      <c r="I6914">
        <v>121084368</v>
      </c>
    </row>
    <row r="6915" spans="1:9" x14ac:dyDescent="0.2">
      <c r="A6915" t="str">
        <f>"Foxf2"</f>
        <v>Foxf2</v>
      </c>
      <c r="B6915" t="s">
        <v>14</v>
      </c>
      <c r="C6915" t="s">
        <v>39</v>
      </c>
      <c r="D6915" t="s">
        <v>17</v>
      </c>
      <c r="E6915" t="s">
        <v>12</v>
      </c>
      <c r="F6915">
        <v>31625679</v>
      </c>
      <c r="G6915">
        <v>31625727</v>
      </c>
      <c r="H6915">
        <v>31625728</v>
      </c>
      <c r="I6915">
        <v>31625744</v>
      </c>
    </row>
    <row r="6916" spans="1:9" x14ac:dyDescent="0.2">
      <c r="A6916" t="str">
        <f>"Foxg1"</f>
        <v>Foxg1</v>
      </c>
      <c r="B6916" t="s">
        <v>14</v>
      </c>
      <c r="C6916" t="s">
        <v>16</v>
      </c>
      <c r="D6916" t="s">
        <v>17</v>
      </c>
      <c r="E6916" t="s">
        <v>12</v>
      </c>
      <c r="F6916">
        <v>49382652</v>
      </c>
      <c r="G6916">
        <v>49382667</v>
      </c>
      <c r="H6916">
        <v>49382652</v>
      </c>
      <c r="I6916">
        <v>49382667</v>
      </c>
    </row>
    <row r="6917" spans="1:9" x14ac:dyDescent="0.2">
      <c r="A6917" t="str">
        <f>"Foxh1"</f>
        <v>Foxh1</v>
      </c>
      <c r="B6917" t="s">
        <v>14</v>
      </c>
      <c r="C6917" t="s">
        <v>25</v>
      </c>
      <c r="D6917" t="s">
        <v>11</v>
      </c>
      <c r="E6917" t="s">
        <v>12</v>
      </c>
      <c r="F6917">
        <v>76669869</v>
      </c>
      <c r="G6917">
        <v>76669885</v>
      </c>
      <c r="H6917">
        <v>76669898</v>
      </c>
      <c r="I6917">
        <v>76669913</v>
      </c>
    </row>
    <row r="6918" spans="1:9" x14ac:dyDescent="0.2">
      <c r="A6918" t="str">
        <f>"Foxi1"</f>
        <v>Foxi1</v>
      </c>
      <c r="B6918" t="s">
        <v>14</v>
      </c>
      <c r="C6918" t="s">
        <v>27</v>
      </c>
      <c r="D6918" t="s">
        <v>11</v>
      </c>
      <c r="E6918" t="s">
        <v>12</v>
      </c>
      <c r="F6918">
        <v>34208085</v>
      </c>
      <c r="G6918">
        <v>34208092</v>
      </c>
      <c r="H6918">
        <v>34208085</v>
      </c>
      <c r="I6918">
        <v>34208092</v>
      </c>
    </row>
    <row r="6919" spans="1:9" x14ac:dyDescent="0.2">
      <c r="A6919" t="str">
        <f>"Foxi2"</f>
        <v>Foxi2</v>
      </c>
      <c r="B6919" t="s">
        <v>14</v>
      </c>
      <c r="C6919" t="s">
        <v>33</v>
      </c>
      <c r="D6919" t="s">
        <v>17</v>
      </c>
      <c r="E6919" t="s">
        <v>12</v>
      </c>
      <c r="F6919">
        <v>135410363</v>
      </c>
      <c r="G6919">
        <v>135410367</v>
      </c>
      <c r="H6919">
        <v>135410363</v>
      </c>
      <c r="I6919">
        <v>135410367</v>
      </c>
    </row>
    <row r="6920" spans="1:9" x14ac:dyDescent="0.2">
      <c r="A6920" t="str">
        <f>"Foxi3"</f>
        <v>Foxi3</v>
      </c>
      <c r="B6920" t="s">
        <v>14</v>
      </c>
      <c r="C6920" t="s">
        <v>32</v>
      </c>
      <c r="D6920" t="s">
        <v>17</v>
      </c>
      <c r="E6920" t="s">
        <v>12</v>
      </c>
      <c r="F6920">
        <v>70956456</v>
      </c>
      <c r="G6920">
        <v>70956460</v>
      </c>
      <c r="H6920">
        <v>70956508</v>
      </c>
      <c r="I6920">
        <v>70956509</v>
      </c>
    </row>
    <row r="6921" spans="1:9" x14ac:dyDescent="0.2">
      <c r="A6921" t="str">
        <f>"Foxj1"</f>
        <v>Foxj1</v>
      </c>
      <c r="B6921" t="s">
        <v>14</v>
      </c>
      <c r="C6921" t="s">
        <v>27</v>
      </c>
      <c r="D6921" t="s">
        <v>11</v>
      </c>
      <c r="E6921" t="s">
        <v>12</v>
      </c>
      <c r="F6921">
        <v>116335350</v>
      </c>
      <c r="G6921">
        <v>116335365</v>
      </c>
      <c r="H6921">
        <v>116335400</v>
      </c>
      <c r="I6921">
        <v>116335415</v>
      </c>
    </row>
    <row r="6922" spans="1:9" x14ac:dyDescent="0.2">
      <c r="A6922" t="str">
        <f>"Foxj2"</f>
        <v>Foxj2</v>
      </c>
      <c r="B6922" t="s">
        <v>14</v>
      </c>
      <c r="C6922" t="s">
        <v>32</v>
      </c>
      <c r="D6922" t="s">
        <v>17</v>
      </c>
      <c r="E6922" t="s">
        <v>12</v>
      </c>
      <c r="F6922">
        <v>122819888</v>
      </c>
      <c r="G6922">
        <v>122819938</v>
      </c>
      <c r="H6922">
        <v>122819942</v>
      </c>
      <c r="I6922">
        <v>122819951</v>
      </c>
    </row>
    <row r="6923" spans="1:9" x14ac:dyDescent="0.2">
      <c r="A6923" t="str">
        <f>"Foxj3"</f>
        <v>Foxj3</v>
      </c>
      <c r="B6923" t="s">
        <v>14</v>
      </c>
      <c r="C6923" t="s">
        <v>23</v>
      </c>
      <c r="D6923" t="s">
        <v>17</v>
      </c>
      <c r="E6923" t="s">
        <v>12</v>
      </c>
      <c r="F6923">
        <v>119539652</v>
      </c>
      <c r="G6923">
        <v>119539698</v>
      </c>
      <c r="H6923">
        <v>119539716</v>
      </c>
      <c r="I6923">
        <v>119539727</v>
      </c>
    </row>
    <row r="6924" spans="1:9" x14ac:dyDescent="0.2">
      <c r="A6924" t="str">
        <f>"Foxk1"</f>
        <v>Foxk1</v>
      </c>
      <c r="B6924" t="s">
        <v>14</v>
      </c>
      <c r="C6924" t="s">
        <v>46</v>
      </c>
      <c r="D6924" t="s">
        <v>17</v>
      </c>
      <c r="E6924" t="s">
        <v>12</v>
      </c>
      <c r="F6924">
        <v>142401484</v>
      </c>
      <c r="G6924">
        <v>142401532</v>
      </c>
      <c r="H6924">
        <v>142401484</v>
      </c>
      <c r="I6924">
        <v>142401532</v>
      </c>
    </row>
    <row r="6925" spans="1:9" x14ac:dyDescent="0.2">
      <c r="A6925" t="str">
        <f>"Foxk2"</f>
        <v>Foxk2</v>
      </c>
      <c r="B6925" t="s">
        <v>14</v>
      </c>
      <c r="C6925" t="s">
        <v>27</v>
      </c>
      <c r="D6925" t="s">
        <v>17</v>
      </c>
      <c r="E6925" t="s">
        <v>12</v>
      </c>
      <c r="F6925">
        <v>121259983</v>
      </c>
      <c r="G6925">
        <v>121260055</v>
      </c>
      <c r="H6925">
        <v>121259983</v>
      </c>
      <c r="I6925">
        <v>121260055</v>
      </c>
    </row>
    <row r="6926" spans="1:9" x14ac:dyDescent="0.2">
      <c r="A6926" t="str">
        <f>"Foxl2"</f>
        <v>Foxl2</v>
      </c>
      <c r="B6926" t="s">
        <v>14</v>
      </c>
      <c r="C6926" t="s">
        <v>24</v>
      </c>
      <c r="D6926" t="s">
        <v>17</v>
      </c>
      <c r="E6926" t="s">
        <v>12</v>
      </c>
      <c r="F6926">
        <v>98955449</v>
      </c>
      <c r="G6926">
        <v>98955476</v>
      </c>
      <c r="H6926">
        <v>98955449</v>
      </c>
      <c r="I6926">
        <v>98955476</v>
      </c>
    </row>
    <row r="6927" spans="1:9" x14ac:dyDescent="0.2">
      <c r="A6927" t="str">
        <f>"Foxm1"</f>
        <v>Foxm1</v>
      </c>
      <c r="B6927" t="s">
        <v>14</v>
      </c>
      <c r="C6927" t="s">
        <v>32</v>
      </c>
      <c r="D6927" t="s">
        <v>17</v>
      </c>
      <c r="E6927" t="s">
        <v>12</v>
      </c>
      <c r="F6927">
        <v>128362919</v>
      </c>
      <c r="G6927">
        <v>128363058</v>
      </c>
      <c r="H6927">
        <v>128362919</v>
      </c>
      <c r="I6927">
        <v>128363058</v>
      </c>
    </row>
    <row r="6928" spans="1:9" x14ac:dyDescent="0.2">
      <c r="A6928" t="str">
        <f>"Foxn1"</f>
        <v>Foxn1</v>
      </c>
      <c r="B6928" t="s">
        <v>14</v>
      </c>
      <c r="C6928" t="s">
        <v>27</v>
      </c>
      <c r="D6928" t="s">
        <v>11</v>
      </c>
      <c r="E6928" t="s">
        <v>12</v>
      </c>
      <c r="F6928">
        <v>78386569</v>
      </c>
      <c r="G6928">
        <v>78386598</v>
      </c>
      <c r="H6928">
        <v>78386693</v>
      </c>
      <c r="I6928">
        <v>78386709</v>
      </c>
    </row>
    <row r="6929" spans="1:9" x14ac:dyDescent="0.2">
      <c r="A6929" t="str">
        <f>"Foxn2"</f>
        <v>Foxn2</v>
      </c>
      <c r="B6929" t="s">
        <v>14</v>
      </c>
      <c r="C6929" t="s">
        <v>28</v>
      </c>
      <c r="D6929" t="s">
        <v>17</v>
      </c>
      <c r="E6929" t="s">
        <v>12</v>
      </c>
      <c r="F6929">
        <v>88440742</v>
      </c>
      <c r="G6929">
        <v>88440787</v>
      </c>
      <c r="H6929">
        <v>88440714</v>
      </c>
      <c r="I6929">
        <v>88440741</v>
      </c>
    </row>
    <row r="6930" spans="1:9" x14ac:dyDescent="0.2">
      <c r="A6930" t="str">
        <f>"Foxn3"</f>
        <v>Foxn3</v>
      </c>
      <c r="B6930" t="s">
        <v>2465</v>
      </c>
      <c r="C6930" t="s">
        <v>16</v>
      </c>
      <c r="D6930" t="s">
        <v>11</v>
      </c>
      <c r="E6930" t="s">
        <v>35</v>
      </c>
      <c r="F6930">
        <v>99393825</v>
      </c>
      <c r="G6930">
        <v>99393837</v>
      </c>
      <c r="H6930">
        <v>99393770</v>
      </c>
      <c r="I6930">
        <v>99393773</v>
      </c>
    </row>
    <row r="6931" spans="1:9" x14ac:dyDescent="0.2">
      <c r="A6931" t="str">
        <f>"Foxn3"</f>
        <v>Foxn3</v>
      </c>
      <c r="B6931" t="s">
        <v>2466</v>
      </c>
      <c r="C6931" t="s">
        <v>16</v>
      </c>
      <c r="D6931" t="s">
        <v>11</v>
      </c>
      <c r="E6931" t="s">
        <v>20</v>
      </c>
      <c r="F6931">
        <v>99450073</v>
      </c>
      <c r="G6931">
        <v>99450073</v>
      </c>
      <c r="H6931">
        <v>99450073</v>
      </c>
      <c r="I6931">
        <v>99450073</v>
      </c>
    </row>
    <row r="6932" spans="1:9" x14ac:dyDescent="0.2">
      <c r="A6932" t="str">
        <f>"Foxn3"</f>
        <v>Foxn3</v>
      </c>
      <c r="B6932" t="s">
        <v>2467</v>
      </c>
      <c r="C6932" t="s">
        <v>16</v>
      </c>
      <c r="D6932" t="s">
        <v>11</v>
      </c>
      <c r="E6932" t="s">
        <v>35</v>
      </c>
      <c r="F6932">
        <v>99393010</v>
      </c>
      <c r="G6932">
        <v>99393090</v>
      </c>
      <c r="H6932">
        <v>99392868</v>
      </c>
      <c r="I6932">
        <v>99392872</v>
      </c>
    </row>
    <row r="6933" spans="1:9" x14ac:dyDescent="0.2">
      <c r="A6933" t="str">
        <f>"Foxn4"</f>
        <v>Foxn4</v>
      </c>
      <c r="B6933" t="s">
        <v>14</v>
      </c>
      <c r="C6933" t="s">
        <v>46</v>
      </c>
      <c r="D6933" t="s">
        <v>11</v>
      </c>
      <c r="E6933" t="s">
        <v>12</v>
      </c>
      <c r="F6933">
        <v>114273772</v>
      </c>
      <c r="G6933">
        <v>114273786</v>
      </c>
      <c r="H6933">
        <v>114274033</v>
      </c>
      <c r="I6933">
        <v>114274081</v>
      </c>
    </row>
    <row r="6934" spans="1:9" x14ac:dyDescent="0.2">
      <c r="A6934" t="str">
        <f>"Foxo1"</f>
        <v>Foxo1</v>
      </c>
      <c r="B6934" t="s">
        <v>14</v>
      </c>
      <c r="C6934" t="s">
        <v>22</v>
      </c>
      <c r="D6934" t="s">
        <v>17</v>
      </c>
      <c r="E6934" t="s">
        <v>12</v>
      </c>
      <c r="F6934">
        <v>52268407</v>
      </c>
      <c r="G6934">
        <v>52268424</v>
      </c>
      <c r="H6934">
        <v>52268393</v>
      </c>
      <c r="I6934">
        <v>52268405</v>
      </c>
    </row>
    <row r="6935" spans="1:9" x14ac:dyDescent="0.2">
      <c r="A6935" t="str">
        <f>"Foxo3"</f>
        <v>Foxo3</v>
      </c>
      <c r="B6935" t="s">
        <v>14</v>
      </c>
      <c r="C6935" t="s">
        <v>15</v>
      </c>
      <c r="D6935" t="s">
        <v>11</v>
      </c>
      <c r="E6935" t="s">
        <v>12</v>
      </c>
      <c r="F6935">
        <v>42276688</v>
      </c>
      <c r="G6935">
        <v>42276743</v>
      </c>
      <c r="H6935">
        <v>42276744</v>
      </c>
      <c r="I6935">
        <v>42276763</v>
      </c>
    </row>
    <row r="6936" spans="1:9" x14ac:dyDescent="0.2">
      <c r="A6936" t="str">
        <f>"Foxo4"</f>
        <v>Foxo4</v>
      </c>
      <c r="B6936" t="s">
        <v>14</v>
      </c>
      <c r="C6936" t="s">
        <v>37</v>
      </c>
      <c r="D6936" t="s">
        <v>17</v>
      </c>
      <c r="E6936" t="s">
        <v>12</v>
      </c>
      <c r="F6936">
        <v>101254153</v>
      </c>
      <c r="G6936">
        <v>101254171</v>
      </c>
      <c r="H6936">
        <v>101254559</v>
      </c>
      <c r="I6936">
        <v>101254574</v>
      </c>
    </row>
    <row r="6937" spans="1:9" x14ac:dyDescent="0.2">
      <c r="A6937" t="str">
        <f>"Foxo6"</f>
        <v>Foxo6</v>
      </c>
      <c r="B6937" t="s">
        <v>14</v>
      </c>
      <c r="C6937" t="s">
        <v>23</v>
      </c>
      <c r="D6937" t="s">
        <v>11</v>
      </c>
      <c r="E6937" t="s">
        <v>12</v>
      </c>
      <c r="F6937">
        <v>120287696</v>
      </c>
      <c r="G6937">
        <v>120287754</v>
      </c>
      <c r="H6937">
        <v>120287696</v>
      </c>
      <c r="I6937">
        <v>120287754</v>
      </c>
    </row>
    <row r="6938" spans="1:9" x14ac:dyDescent="0.2">
      <c r="A6938" t="str">
        <f>"Foxp1"</f>
        <v>Foxp1</v>
      </c>
      <c r="B6938" t="s">
        <v>14</v>
      </c>
      <c r="C6938" t="s">
        <v>32</v>
      </c>
      <c r="D6938" t="s">
        <v>11</v>
      </c>
      <c r="E6938" t="s">
        <v>12</v>
      </c>
      <c r="F6938">
        <v>99028251</v>
      </c>
      <c r="G6938">
        <v>99028295</v>
      </c>
      <c r="H6938">
        <v>99028251</v>
      </c>
      <c r="I6938">
        <v>99028295</v>
      </c>
    </row>
    <row r="6939" spans="1:9" x14ac:dyDescent="0.2">
      <c r="A6939" t="str">
        <f>"Foxp2"</f>
        <v>Foxp2</v>
      </c>
      <c r="B6939" t="s">
        <v>14</v>
      </c>
      <c r="C6939" t="s">
        <v>32</v>
      </c>
      <c r="D6939" t="s">
        <v>17</v>
      </c>
      <c r="E6939" t="s">
        <v>12</v>
      </c>
      <c r="F6939">
        <v>14901287</v>
      </c>
      <c r="G6939">
        <v>14901342</v>
      </c>
      <c r="H6939">
        <v>14901440</v>
      </c>
      <c r="I6939">
        <v>14901497</v>
      </c>
    </row>
    <row r="6940" spans="1:9" x14ac:dyDescent="0.2">
      <c r="A6940" t="str">
        <f>"Foxp3"</f>
        <v>Foxp3</v>
      </c>
      <c r="B6940" t="s">
        <v>14</v>
      </c>
      <c r="C6940" t="s">
        <v>37</v>
      </c>
      <c r="D6940" t="s">
        <v>17</v>
      </c>
      <c r="E6940" t="s">
        <v>12</v>
      </c>
      <c r="F6940">
        <v>7579666</v>
      </c>
      <c r="G6940">
        <v>7579685</v>
      </c>
      <c r="H6940">
        <v>7579666</v>
      </c>
      <c r="I6940">
        <v>7579685</v>
      </c>
    </row>
    <row r="6941" spans="1:9" x14ac:dyDescent="0.2">
      <c r="A6941" t="str">
        <f>"Foxp4"</f>
        <v>Foxp4</v>
      </c>
      <c r="B6941" t="s">
        <v>14</v>
      </c>
      <c r="C6941" t="s">
        <v>28</v>
      </c>
      <c r="D6941" t="s">
        <v>11</v>
      </c>
      <c r="E6941" t="s">
        <v>12</v>
      </c>
      <c r="F6941">
        <v>47924432</v>
      </c>
      <c r="G6941">
        <v>47924450</v>
      </c>
      <c r="H6941">
        <v>47924635</v>
      </c>
      <c r="I6941">
        <v>47924652</v>
      </c>
    </row>
    <row r="6942" spans="1:9" x14ac:dyDescent="0.2">
      <c r="A6942" t="str">
        <f>"Foxq1"</f>
        <v>Foxq1</v>
      </c>
      <c r="B6942" t="s">
        <v>14</v>
      </c>
      <c r="C6942" t="s">
        <v>39</v>
      </c>
      <c r="D6942" t="s">
        <v>17</v>
      </c>
      <c r="E6942" t="s">
        <v>12</v>
      </c>
      <c r="F6942">
        <v>31558316</v>
      </c>
      <c r="G6942">
        <v>31558332</v>
      </c>
      <c r="H6942">
        <v>31558157</v>
      </c>
      <c r="I6942">
        <v>31558176</v>
      </c>
    </row>
    <row r="6943" spans="1:9" x14ac:dyDescent="0.2">
      <c r="A6943" t="str">
        <f>"Foxr1"</f>
        <v>Foxr1</v>
      </c>
      <c r="B6943" t="s">
        <v>14</v>
      </c>
      <c r="C6943" t="s">
        <v>24</v>
      </c>
      <c r="D6943" t="s">
        <v>11</v>
      </c>
      <c r="E6943" t="s">
        <v>12</v>
      </c>
      <c r="F6943">
        <v>44441191</v>
      </c>
      <c r="G6943">
        <v>44441230</v>
      </c>
      <c r="H6943">
        <v>44441191</v>
      </c>
      <c r="I6943">
        <v>44441230</v>
      </c>
    </row>
    <row r="6944" spans="1:9" x14ac:dyDescent="0.2">
      <c r="A6944" t="str">
        <f>"Foxr2"</f>
        <v>Foxr2</v>
      </c>
      <c r="B6944" t="s">
        <v>2468</v>
      </c>
      <c r="C6944" t="s">
        <v>37</v>
      </c>
      <c r="D6944" t="s">
        <v>17</v>
      </c>
      <c r="E6944" t="s">
        <v>20</v>
      </c>
      <c r="F6944">
        <v>153118785</v>
      </c>
      <c r="G6944">
        <v>153118785</v>
      </c>
      <c r="H6944">
        <v>153118785</v>
      </c>
      <c r="I6944">
        <v>153118785</v>
      </c>
    </row>
    <row r="6945" spans="1:9" x14ac:dyDescent="0.2">
      <c r="A6945" t="str">
        <f>"Foxr2"</f>
        <v>Foxr2</v>
      </c>
      <c r="B6945" t="s">
        <v>2469</v>
      </c>
      <c r="C6945" t="s">
        <v>37</v>
      </c>
      <c r="D6945" t="s">
        <v>17</v>
      </c>
      <c r="E6945" t="s">
        <v>20</v>
      </c>
      <c r="F6945">
        <v>153126896</v>
      </c>
      <c r="G6945">
        <v>153126896</v>
      </c>
      <c r="H6945">
        <v>153126896</v>
      </c>
      <c r="I6945">
        <v>153126896</v>
      </c>
    </row>
    <row r="6946" spans="1:9" x14ac:dyDescent="0.2">
      <c r="A6946" t="str">
        <f>"Foxred1"</f>
        <v>Foxred1</v>
      </c>
      <c r="B6946" t="s">
        <v>14</v>
      </c>
      <c r="C6946" t="s">
        <v>24</v>
      </c>
      <c r="D6946" t="s">
        <v>11</v>
      </c>
      <c r="E6946" t="s">
        <v>12</v>
      </c>
      <c r="F6946">
        <v>35210899</v>
      </c>
      <c r="G6946">
        <v>35210960</v>
      </c>
      <c r="H6946">
        <v>35210964</v>
      </c>
      <c r="I6946">
        <v>35210987</v>
      </c>
    </row>
    <row r="6947" spans="1:9" x14ac:dyDescent="0.2">
      <c r="A6947" t="str">
        <f>"Foxred2"</f>
        <v>Foxred2</v>
      </c>
      <c r="B6947" t="s">
        <v>14</v>
      </c>
      <c r="C6947" t="s">
        <v>25</v>
      </c>
      <c r="D6947" t="s">
        <v>11</v>
      </c>
      <c r="E6947" t="s">
        <v>12</v>
      </c>
      <c r="F6947">
        <v>77956658</v>
      </c>
      <c r="G6947">
        <v>77956723</v>
      </c>
      <c r="H6947">
        <v>77956448</v>
      </c>
      <c r="I6947">
        <v>77956469</v>
      </c>
    </row>
    <row r="6948" spans="1:9" x14ac:dyDescent="0.2">
      <c r="A6948" t="str">
        <f>"Foxs1"</f>
        <v>Foxs1</v>
      </c>
      <c r="B6948" t="s">
        <v>14</v>
      </c>
      <c r="C6948" t="s">
        <v>26</v>
      </c>
      <c r="D6948" t="s">
        <v>11</v>
      </c>
      <c r="E6948" t="s">
        <v>12</v>
      </c>
      <c r="F6948">
        <v>152933165</v>
      </c>
      <c r="G6948">
        <v>152933189</v>
      </c>
      <c r="H6948">
        <v>152933202</v>
      </c>
      <c r="I6948">
        <v>152933218</v>
      </c>
    </row>
    <row r="6949" spans="1:9" x14ac:dyDescent="0.2">
      <c r="A6949" t="str">
        <f>"Fpgs"</f>
        <v>Fpgs</v>
      </c>
      <c r="B6949" t="s">
        <v>9</v>
      </c>
      <c r="C6949" t="s">
        <v>26</v>
      </c>
      <c r="D6949" t="s">
        <v>11</v>
      </c>
      <c r="E6949" t="s">
        <v>12</v>
      </c>
      <c r="F6949">
        <v>32694120</v>
      </c>
      <c r="G6949">
        <v>32694176</v>
      </c>
      <c r="H6949">
        <v>32694120</v>
      </c>
      <c r="I6949">
        <v>32694176</v>
      </c>
    </row>
    <row r="6950" spans="1:9" x14ac:dyDescent="0.2">
      <c r="A6950" t="str">
        <f>"Fpgs"</f>
        <v>Fpgs</v>
      </c>
      <c r="B6950" t="s">
        <v>13</v>
      </c>
      <c r="C6950" t="s">
        <v>26</v>
      </c>
      <c r="D6950" t="s">
        <v>11</v>
      </c>
      <c r="E6950" t="s">
        <v>12</v>
      </c>
      <c r="F6950">
        <v>32704123</v>
      </c>
      <c r="G6950">
        <v>32704139</v>
      </c>
      <c r="H6950">
        <v>32704123</v>
      </c>
      <c r="I6950">
        <v>32704139</v>
      </c>
    </row>
    <row r="6951" spans="1:9" x14ac:dyDescent="0.2">
      <c r="A6951" t="str">
        <f>"Fpgt"</f>
        <v>Fpgt</v>
      </c>
      <c r="B6951" t="s">
        <v>14</v>
      </c>
      <c r="C6951" t="s">
        <v>22</v>
      </c>
      <c r="D6951" t="s">
        <v>11</v>
      </c>
      <c r="E6951" t="s">
        <v>12</v>
      </c>
      <c r="F6951">
        <v>155093346</v>
      </c>
      <c r="G6951">
        <v>155093385</v>
      </c>
      <c r="H6951">
        <v>155093346</v>
      </c>
      <c r="I6951">
        <v>155093385</v>
      </c>
    </row>
    <row r="6952" spans="1:9" x14ac:dyDescent="0.2">
      <c r="A6952" t="str">
        <f>"Fpr-rs3"</f>
        <v>Fpr-rs3</v>
      </c>
      <c r="B6952" t="s">
        <v>2470</v>
      </c>
      <c r="C6952" t="s">
        <v>28</v>
      </c>
      <c r="D6952" t="s">
        <v>11</v>
      </c>
      <c r="E6952" t="s">
        <v>20</v>
      </c>
      <c r="F6952">
        <v>20624876</v>
      </c>
      <c r="G6952">
        <v>20624876</v>
      </c>
      <c r="H6952">
        <v>20624876</v>
      </c>
      <c r="I6952">
        <v>20624876</v>
      </c>
    </row>
    <row r="6953" spans="1:9" x14ac:dyDescent="0.2">
      <c r="A6953" t="str">
        <f>"Fpr-rs4"</f>
        <v>Fpr-rs4</v>
      </c>
      <c r="B6953" t="s">
        <v>2471</v>
      </c>
      <c r="C6953" t="s">
        <v>28</v>
      </c>
      <c r="D6953" t="s">
        <v>17</v>
      </c>
      <c r="E6953" t="s">
        <v>20</v>
      </c>
      <c r="F6953">
        <v>18021732</v>
      </c>
      <c r="G6953">
        <v>18021732</v>
      </c>
      <c r="H6953">
        <v>18021732</v>
      </c>
      <c r="I6953">
        <v>18021732</v>
      </c>
    </row>
    <row r="6954" spans="1:9" x14ac:dyDescent="0.2">
      <c r="A6954" t="str">
        <f>"Fpr-rs6"</f>
        <v>Fpr-rs6</v>
      </c>
      <c r="B6954" t="s">
        <v>2472</v>
      </c>
      <c r="C6954" t="s">
        <v>28</v>
      </c>
      <c r="D6954" t="s">
        <v>11</v>
      </c>
      <c r="E6954" t="s">
        <v>20</v>
      </c>
      <c r="F6954">
        <v>20183096</v>
      </c>
      <c r="G6954">
        <v>20183096</v>
      </c>
      <c r="H6954">
        <v>20183096</v>
      </c>
      <c r="I6954">
        <v>20183096</v>
      </c>
    </row>
    <row r="6955" spans="1:9" x14ac:dyDescent="0.2">
      <c r="A6955" t="str">
        <f>"Fpr-rs7"</f>
        <v>Fpr-rs7</v>
      </c>
      <c r="B6955" t="s">
        <v>2473</v>
      </c>
      <c r="C6955" t="s">
        <v>28</v>
      </c>
      <c r="D6955" t="s">
        <v>11</v>
      </c>
      <c r="E6955" t="s">
        <v>20</v>
      </c>
      <c r="F6955">
        <v>20114225</v>
      </c>
      <c r="G6955">
        <v>20114225</v>
      </c>
      <c r="H6955">
        <v>20114225</v>
      </c>
      <c r="I6955">
        <v>20114225</v>
      </c>
    </row>
    <row r="6956" spans="1:9" x14ac:dyDescent="0.2">
      <c r="A6956" t="str">
        <f>"Fpr1"</f>
        <v>Fpr1</v>
      </c>
      <c r="B6956" t="s">
        <v>14</v>
      </c>
      <c r="C6956" t="s">
        <v>28</v>
      </c>
      <c r="D6956" t="s">
        <v>11</v>
      </c>
      <c r="E6956" t="s">
        <v>12</v>
      </c>
      <c r="F6956">
        <v>17883920</v>
      </c>
      <c r="G6956">
        <v>17883954</v>
      </c>
      <c r="H6956">
        <v>17883963</v>
      </c>
      <c r="I6956">
        <v>17883974</v>
      </c>
    </row>
    <row r="6957" spans="1:9" x14ac:dyDescent="0.2">
      <c r="A6957" t="str">
        <f>"Fpr2"</f>
        <v>Fpr2</v>
      </c>
      <c r="B6957" t="s">
        <v>14</v>
      </c>
      <c r="C6957" t="s">
        <v>28</v>
      </c>
      <c r="D6957" t="s">
        <v>17</v>
      </c>
      <c r="E6957" t="s">
        <v>12</v>
      </c>
      <c r="F6957">
        <v>17887807</v>
      </c>
      <c r="G6957">
        <v>17887818</v>
      </c>
      <c r="H6957">
        <v>17887807</v>
      </c>
      <c r="I6957">
        <v>17887818</v>
      </c>
    </row>
    <row r="6958" spans="1:9" x14ac:dyDescent="0.2">
      <c r="A6958" t="str">
        <f>"Fpr3"</f>
        <v>Fpr3</v>
      </c>
      <c r="B6958" t="s">
        <v>14</v>
      </c>
      <c r="C6958" t="s">
        <v>28</v>
      </c>
      <c r="D6958" t="s">
        <v>17</v>
      </c>
      <c r="E6958" t="s">
        <v>12</v>
      </c>
      <c r="F6958">
        <v>17887840</v>
      </c>
      <c r="G6958">
        <v>17887865</v>
      </c>
      <c r="H6958">
        <v>17887840</v>
      </c>
      <c r="I6958">
        <v>17887865</v>
      </c>
    </row>
    <row r="6959" spans="1:9" x14ac:dyDescent="0.2">
      <c r="A6959" t="str">
        <f>"Fra10ac1"</f>
        <v>Fra10ac1</v>
      </c>
      <c r="B6959" t="s">
        <v>14</v>
      </c>
      <c r="C6959" t="s">
        <v>10</v>
      </c>
      <c r="D6959" t="s">
        <v>11</v>
      </c>
      <c r="E6959" t="s">
        <v>67</v>
      </c>
      <c r="F6959">
        <v>38224096</v>
      </c>
      <c r="G6959">
        <v>38224183</v>
      </c>
      <c r="H6959">
        <v>38224065</v>
      </c>
      <c r="I6959">
        <v>38224095</v>
      </c>
    </row>
    <row r="6960" spans="1:9" x14ac:dyDescent="0.2">
      <c r="A6960" t="str">
        <f>"Fras1"</f>
        <v>Fras1</v>
      </c>
      <c r="B6960" t="s">
        <v>14</v>
      </c>
      <c r="C6960" t="s">
        <v>46</v>
      </c>
      <c r="D6960" t="s">
        <v>17</v>
      </c>
      <c r="E6960" t="s">
        <v>12</v>
      </c>
      <c r="F6960">
        <v>96374167</v>
      </c>
      <c r="G6960">
        <v>96374213</v>
      </c>
      <c r="H6960">
        <v>96374167</v>
      </c>
      <c r="I6960">
        <v>96374213</v>
      </c>
    </row>
    <row r="6961" spans="1:9" x14ac:dyDescent="0.2">
      <c r="A6961" t="str">
        <f>"Frat2"</f>
        <v>Frat2</v>
      </c>
      <c r="B6961" t="s">
        <v>14</v>
      </c>
      <c r="C6961" t="s">
        <v>10</v>
      </c>
      <c r="D6961" t="s">
        <v>11</v>
      </c>
      <c r="E6961" t="s">
        <v>12</v>
      </c>
      <c r="F6961">
        <v>41848076</v>
      </c>
      <c r="G6961">
        <v>41848111</v>
      </c>
      <c r="H6961">
        <v>41848233</v>
      </c>
      <c r="I6961">
        <v>41848246</v>
      </c>
    </row>
    <row r="6962" spans="1:9" x14ac:dyDescent="0.2">
      <c r="A6962" t="str">
        <f>"Frem1"</f>
        <v>Frem1</v>
      </c>
      <c r="B6962" t="s">
        <v>14</v>
      </c>
      <c r="C6962" t="s">
        <v>23</v>
      </c>
      <c r="D6962" t="s">
        <v>11</v>
      </c>
      <c r="E6962" t="s">
        <v>12</v>
      </c>
      <c r="F6962">
        <v>83052147</v>
      </c>
      <c r="G6962">
        <v>83052185</v>
      </c>
      <c r="H6962">
        <v>83052186</v>
      </c>
      <c r="I6962">
        <v>83052197</v>
      </c>
    </row>
    <row r="6963" spans="1:9" x14ac:dyDescent="0.2">
      <c r="A6963" t="str">
        <f>"Frem2"</f>
        <v>Frem2</v>
      </c>
      <c r="B6963" t="s">
        <v>14</v>
      </c>
      <c r="C6963" t="s">
        <v>22</v>
      </c>
      <c r="D6963" t="s">
        <v>11</v>
      </c>
      <c r="E6963" t="s">
        <v>12</v>
      </c>
      <c r="F6963">
        <v>53657339</v>
      </c>
      <c r="G6963">
        <v>53657391</v>
      </c>
      <c r="H6963">
        <v>53657124</v>
      </c>
      <c r="I6963">
        <v>53657190</v>
      </c>
    </row>
    <row r="6964" spans="1:9" x14ac:dyDescent="0.2">
      <c r="A6964" t="str">
        <f>"Frem3"</f>
        <v>Frem3</v>
      </c>
      <c r="B6964" t="s">
        <v>14</v>
      </c>
      <c r="C6964" t="s">
        <v>30</v>
      </c>
      <c r="D6964" t="s">
        <v>17</v>
      </c>
      <c r="E6964" t="s">
        <v>12</v>
      </c>
      <c r="F6964">
        <v>80610693</v>
      </c>
      <c r="G6964">
        <v>80610706</v>
      </c>
      <c r="H6964">
        <v>80610693</v>
      </c>
      <c r="I6964">
        <v>80610706</v>
      </c>
    </row>
    <row r="6965" spans="1:9" x14ac:dyDescent="0.2">
      <c r="A6965" t="str">
        <f>"Frg1"</f>
        <v>Frg1</v>
      </c>
      <c r="B6965" t="s">
        <v>14</v>
      </c>
      <c r="C6965" t="s">
        <v>30</v>
      </c>
      <c r="D6965" t="s">
        <v>11</v>
      </c>
      <c r="E6965" t="s">
        <v>12</v>
      </c>
      <c r="F6965">
        <v>41417042</v>
      </c>
      <c r="G6965">
        <v>41417135</v>
      </c>
      <c r="H6965">
        <v>41416993</v>
      </c>
      <c r="I6965">
        <v>41417036</v>
      </c>
    </row>
    <row r="6966" spans="1:9" x14ac:dyDescent="0.2">
      <c r="A6966" t="str">
        <f>"Frk"</f>
        <v>Frk</v>
      </c>
      <c r="B6966" t="s">
        <v>14</v>
      </c>
      <c r="C6966" t="s">
        <v>15</v>
      </c>
      <c r="D6966" t="s">
        <v>17</v>
      </c>
      <c r="E6966" t="s">
        <v>12</v>
      </c>
      <c r="F6966">
        <v>34483546</v>
      </c>
      <c r="G6966">
        <v>34483599</v>
      </c>
      <c r="H6966">
        <v>34483517</v>
      </c>
      <c r="I6966">
        <v>34483533</v>
      </c>
    </row>
    <row r="6967" spans="1:9" x14ac:dyDescent="0.2">
      <c r="A6967" t="str">
        <f>"Frmd3"</f>
        <v>Frmd3</v>
      </c>
      <c r="B6967" t="s">
        <v>14</v>
      </c>
      <c r="C6967" t="s">
        <v>23</v>
      </c>
      <c r="D6967" t="s">
        <v>17</v>
      </c>
      <c r="E6967" t="s">
        <v>12</v>
      </c>
      <c r="F6967">
        <v>74013594</v>
      </c>
      <c r="G6967">
        <v>74013674</v>
      </c>
      <c r="H6967">
        <v>74013381</v>
      </c>
      <c r="I6967">
        <v>74013428</v>
      </c>
    </row>
    <row r="6968" spans="1:9" x14ac:dyDescent="0.2">
      <c r="A6968" t="str">
        <f>"Frmd4a"</f>
        <v>Frmd4a</v>
      </c>
      <c r="B6968" t="s">
        <v>2474</v>
      </c>
      <c r="C6968" t="s">
        <v>26</v>
      </c>
      <c r="D6968" t="s">
        <v>17</v>
      </c>
      <c r="E6968" t="s">
        <v>35</v>
      </c>
      <c r="F6968">
        <v>4400851</v>
      </c>
      <c r="G6968">
        <v>4400858</v>
      </c>
      <c r="H6968">
        <v>4401160</v>
      </c>
      <c r="I6968">
        <v>4401172</v>
      </c>
    </row>
    <row r="6969" spans="1:9" x14ac:dyDescent="0.2">
      <c r="A6969" t="str">
        <f>"Frmd4a"</f>
        <v>Frmd4a</v>
      </c>
      <c r="B6969" t="s">
        <v>2475</v>
      </c>
      <c r="C6969" t="s">
        <v>26</v>
      </c>
      <c r="D6969" t="s">
        <v>17</v>
      </c>
      <c r="E6969" t="s">
        <v>35</v>
      </c>
      <c r="F6969">
        <v>4017685</v>
      </c>
      <c r="G6969">
        <v>4017696</v>
      </c>
      <c r="H6969">
        <v>4017775</v>
      </c>
      <c r="I6969">
        <v>4017782</v>
      </c>
    </row>
    <row r="6970" spans="1:9" x14ac:dyDescent="0.2">
      <c r="A6970" t="str">
        <f>"Frmd4b"</f>
        <v>Frmd4b</v>
      </c>
      <c r="B6970" t="s">
        <v>2476</v>
      </c>
      <c r="C6970" t="s">
        <v>32</v>
      </c>
      <c r="D6970" t="s">
        <v>11</v>
      </c>
      <c r="E6970" t="s">
        <v>35</v>
      </c>
      <c r="F6970">
        <v>97487950</v>
      </c>
      <c r="G6970">
        <v>97487961</v>
      </c>
      <c r="H6970">
        <v>97487755</v>
      </c>
      <c r="I6970">
        <v>97487764</v>
      </c>
    </row>
    <row r="6971" spans="1:9" x14ac:dyDescent="0.2">
      <c r="A6971" t="str">
        <f>"Frmd5"</f>
        <v>Frmd5</v>
      </c>
      <c r="B6971" t="s">
        <v>14</v>
      </c>
      <c r="C6971" t="s">
        <v>26</v>
      </c>
      <c r="D6971" t="s">
        <v>11</v>
      </c>
      <c r="E6971" t="s">
        <v>12</v>
      </c>
      <c r="F6971">
        <v>121807053</v>
      </c>
      <c r="G6971">
        <v>121807095</v>
      </c>
      <c r="H6971">
        <v>121807024</v>
      </c>
      <c r="I6971">
        <v>121807045</v>
      </c>
    </row>
    <row r="6972" spans="1:9" x14ac:dyDescent="0.2">
      <c r="A6972" t="str">
        <f>"Frmd6"</f>
        <v>Frmd6</v>
      </c>
      <c r="B6972" t="s">
        <v>14</v>
      </c>
      <c r="C6972" t="s">
        <v>16</v>
      </c>
      <c r="D6972" t="s">
        <v>17</v>
      </c>
      <c r="E6972" t="s">
        <v>12</v>
      </c>
      <c r="F6972">
        <v>70825492</v>
      </c>
      <c r="G6972">
        <v>70825514</v>
      </c>
      <c r="H6972">
        <v>70825450</v>
      </c>
      <c r="I6972">
        <v>70825479</v>
      </c>
    </row>
    <row r="6973" spans="1:9" x14ac:dyDescent="0.2">
      <c r="A6973" t="str">
        <f>"Frmd7"</f>
        <v>Frmd7</v>
      </c>
      <c r="B6973" t="s">
        <v>14</v>
      </c>
      <c r="C6973" t="s">
        <v>37</v>
      </c>
      <c r="D6973" t="s">
        <v>11</v>
      </c>
      <c r="E6973" t="s">
        <v>12</v>
      </c>
      <c r="F6973">
        <v>50942739</v>
      </c>
      <c r="G6973">
        <v>50942758</v>
      </c>
      <c r="H6973">
        <v>50942762</v>
      </c>
      <c r="I6973">
        <v>50942773</v>
      </c>
    </row>
    <row r="6974" spans="1:9" x14ac:dyDescent="0.2">
      <c r="A6974" t="str">
        <f>"Frmd8"</f>
        <v>Frmd8</v>
      </c>
      <c r="B6974" t="s">
        <v>14</v>
      </c>
      <c r="C6974" t="s">
        <v>10</v>
      </c>
      <c r="D6974" t="s">
        <v>11</v>
      </c>
      <c r="E6974" t="s">
        <v>12</v>
      </c>
      <c r="F6974">
        <v>5875210</v>
      </c>
      <c r="G6974">
        <v>5875264</v>
      </c>
      <c r="H6974">
        <v>5875268</v>
      </c>
      <c r="I6974">
        <v>5875279</v>
      </c>
    </row>
    <row r="6975" spans="1:9" x14ac:dyDescent="0.2">
      <c r="A6975" t="str">
        <f>"Frmpd1"</f>
        <v>Frmpd1</v>
      </c>
      <c r="B6975" t="s">
        <v>14</v>
      </c>
      <c r="C6975" t="s">
        <v>23</v>
      </c>
      <c r="D6975" t="s">
        <v>17</v>
      </c>
      <c r="E6975" t="s">
        <v>12</v>
      </c>
      <c r="F6975">
        <v>45184722</v>
      </c>
      <c r="G6975">
        <v>45184760</v>
      </c>
      <c r="H6975">
        <v>45184815</v>
      </c>
      <c r="I6975">
        <v>45184851</v>
      </c>
    </row>
    <row r="6976" spans="1:9" x14ac:dyDescent="0.2">
      <c r="A6976" t="str">
        <f>"Frmpd3"</f>
        <v>Frmpd3</v>
      </c>
      <c r="B6976" t="s">
        <v>2477</v>
      </c>
      <c r="C6976" t="s">
        <v>37</v>
      </c>
      <c r="D6976" t="s">
        <v>17</v>
      </c>
      <c r="E6976" t="s">
        <v>20</v>
      </c>
      <c r="F6976">
        <v>140381970</v>
      </c>
      <c r="G6976">
        <v>140381970</v>
      </c>
      <c r="H6976">
        <v>140381970</v>
      </c>
      <c r="I6976">
        <v>140381970</v>
      </c>
    </row>
    <row r="6977" spans="1:9" x14ac:dyDescent="0.2">
      <c r="A6977" t="str">
        <f>"Frmpd4"</f>
        <v>Frmpd4</v>
      </c>
      <c r="B6977" t="s">
        <v>14</v>
      </c>
      <c r="C6977" t="s">
        <v>37</v>
      </c>
      <c r="D6977" t="s">
        <v>11</v>
      </c>
      <c r="E6977" t="s">
        <v>12</v>
      </c>
      <c r="F6977">
        <v>168122912</v>
      </c>
      <c r="G6977">
        <v>168122954</v>
      </c>
      <c r="H6977">
        <v>168123311</v>
      </c>
      <c r="I6977">
        <v>168123334</v>
      </c>
    </row>
    <row r="6978" spans="1:9" x14ac:dyDescent="0.2">
      <c r="A6978" t="str">
        <f>"Frrs1"</f>
        <v>Frrs1</v>
      </c>
      <c r="B6978" t="s">
        <v>9</v>
      </c>
      <c r="C6978" t="s">
        <v>22</v>
      </c>
      <c r="D6978" t="s">
        <v>17</v>
      </c>
      <c r="E6978" t="s">
        <v>12</v>
      </c>
      <c r="F6978">
        <v>116861641</v>
      </c>
      <c r="G6978">
        <v>116861695</v>
      </c>
      <c r="H6978">
        <v>116861641</v>
      </c>
      <c r="I6978">
        <v>116861695</v>
      </c>
    </row>
    <row r="6979" spans="1:9" x14ac:dyDescent="0.2">
      <c r="A6979" t="str">
        <f>"Frrs1"</f>
        <v>Frrs1</v>
      </c>
      <c r="B6979" t="s">
        <v>13</v>
      </c>
      <c r="C6979" t="s">
        <v>22</v>
      </c>
      <c r="D6979" t="s">
        <v>17</v>
      </c>
      <c r="E6979" t="s">
        <v>12</v>
      </c>
      <c r="F6979">
        <v>116859574</v>
      </c>
      <c r="G6979">
        <v>116859591</v>
      </c>
      <c r="H6979">
        <v>116859574</v>
      </c>
      <c r="I6979">
        <v>116859591</v>
      </c>
    </row>
    <row r="6980" spans="1:9" x14ac:dyDescent="0.2">
      <c r="A6980" t="str">
        <f>"Frrs1l"</f>
        <v>Frrs1l</v>
      </c>
      <c r="B6980" t="s">
        <v>14</v>
      </c>
      <c r="C6980" t="s">
        <v>23</v>
      </c>
      <c r="D6980" t="s">
        <v>11</v>
      </c>
      <c r="E6980" t="s">
        <v>67</v>
      </c>
      <c r="F6980">
        <v>56990332</v>
      </c>
      <c r="G6980">
        <v>56990396</v>
      </c>
      <c r="H6980">
        <v>56990306</v>
      </c>
      <c r="I6980">
        <v>56990329</v>
      </c>
    </row>
    <row r="6981" spans="1:9" x14ac:dyDescent="0.2">
      <c r="A6981" t="str">
        <f>"Frs2"</f>
        <v>Frs2</v>
      </c>
      <c r="B6981" t="s">
        <v>14</v>
      </c>
      <c r="C6981" t="s">
        <v>15</v>
      </c>
      <c r="D6981" t="s">
        <v>11</v>
      </c>
      <c r="E6981" t="s">
        <v>12</v>
      </c>
      <c r="F6981">
        <v>117148511</v>
      </c>
      <c r="G6981">
        <v>117148546</v>
      </c>
      <c r="H6981">
        <v>117148481</v>
      </c>
      <c r="I6981">
        <v>117148510</v>
      </c>
    </row>
    <row r="6982" spans="1:9" x14ac:dyDescent="0.2">
      <c r="A6982" t="str">
        <f>"Frs3"</f>
        <v>Frs3</v>
      </c>
      <c r="B6982" t="s">
        <v>14</v>
      </c>
      <c r="C6982" t="s">
        <v>28</v>
      </c>
      <c r="D6982" t="s">
        <v>17</v>
      </c>
      <c r="E6982" t="s">
        <v>12</v>
      </c>
      <c r="F6982">
        <v>47695171</v>
      </c>
      <c r="G6982">
        <v>47695204</v>
      </c>
      <c r="H6982">
        <v>47695024</v>
      </c>
      <c r="I6982">
        <v>47695064</v>
      </c>
    </row>
    <row r="6983" spans="1:9" x14ac:dyDescent="0.2">
      <c r="A6983" t="str">
        <f>"Fry"</f>
        <v>Fry</v>
      </c>
      <c r="B6983" t="s">
        <v>2478</v>
      </c>
      <c r="C6983" t="s">
        <v>46</v>
      </c>
      <c r="D6983" t="s">
        <v>17</v>
      </c>
      <c r="E6983" t="s">
        <v>35</v>
      </c>
      <c r="F6983">
        <v>150259736</v>
      </c>
      <c r="G6983">
        <v>150259748</v>
      </c>
      <c r="H6983">
        <v>150260029</v>
      </c>
      <c r="I6983">
        <v>150260035</v>
      </c>
    </row>
    <row r="6984" spans="1:9" x14ac:dyDescent="0.2">
      <c r="A6984" t="str">
        <f>"Fryl"</f>
        <v>Fryl</v>
      </c>
      <c r="B6984" t="s">
        <v>14</v>
      </c>
      <c r="C6984" t="s">
        <v>46</v>
      </c>
      <c r="D6984" t="s">
        <v>11</v>
      </c>
      <c r="E6984" t="s">
        <v>12</v>
      </c>
      <c r="F6984">
        <v>73256555</v>
      </c>
      <c r="G6984">
        <v>73256636</v>
      </c>
      <c r="H6984">
        <v>73256522</v>
      </c>
      <c r="I6984">
        <v>73256534</v>
      </c>
    </row>
    <row r="6985" spans="1:9" x14ac:dyDescent="0.2">
      <c r="A6985" t="str">
        <f>"Frzb"</f>
        <v>Frzb</v>
      </c>
      <c r="B6985" t="s">
        <v>14</v>
      </c>
      <c r="C6985" t="s">
        <v>26</v>
      </c>
      <c r="D6985" t="s">
        <v>11</v>
      </c>
      <c r="E6985" t="s">
        <v>12</v>
      </c>
      <c r="F6985">
        <v>80447058</v>
      </c>
      <c r="G6985">
        <v>80447072</v>
      </c>
      <c r="H6985">
        <v>80447386</v>
      </c>
      <c r="I6985">
        <v>80447406</v>
      </c>
    </row>
    <row r="6986" spans="1:9" x14ac:dyDescent="0.2">
      <c r="A6986" t="str">
        <f>"Fsbp"</f>
        <v>Fsbp</v>
      </c>
      <c r="B6986" t="s">
        <v>14</v>
      </c>
      <c r="C6986" t="s">
        <v>23</v>
      </c>
      <c r="D6986" t="s">
        <v>17</v>
      </c>
      <c r="E6986" t="s">
        <v>12</v>
      </c>
      <c r="F6986">
        <v>11579647</v>
      </c>
      <c r="G6986">
        <v>11579674</v>
      </c>
      <c r="H6986">
        <v>11579647</v>
      </c>
      <c r="I6986">
        <v>11579674</v>
      </c>
    </row>
    <row r="6987" spans="1:9" x14ac:dyDescent="0.2">
      <c r="A6987" t="str">
        <f>"Fscb"</f>
        <v>Fscb</v>
      </c>
      <c r="B6987" t="s">
        <v>14</v>
      </c>
      <c r="C6987" t="s">
        <v>16</v>
      </c>
      <c r="D6987" t="s">
        <v>11</v>
      </c>
      <c r="E6987" t="s">
        <v>12</v>
      </c>
      <c r="F6987">
        <v>64474885</v>
      </c>
      <c r="G6987">
        <v>64474911</v>
      </c>
      <c r="H6987">
        <v>64474885</v>
      </c>
      <c r="I6987">
        <v>64474911</v>
      </c>
    </row>
    <row r="6988" spans="1:9" x14ac:dyDescent="0.2">
      <c r="A6988" t="str">
        <f>"Fscn1"</f>
        <v>Fscn1</v>
      </c>
      <c r="B6988" t="s">
        <v>14</v>
      </c>
      <c r="C6988" t="s">
        <v>46</v>
      </c>
      <c r="D6988" t="s">
        <v>17</v>
      </c>
      <c r="E6988" t="s">
        <v>12</v>
      </c>
      <c r="F6988">
        <v>142960348</v>
      </c>
      <c r="G6988">
        <v>142960363</v>
      </c>
      <c r="H6988">
        <v>142960477</v>
      </c>
      <c r="I6988">
        <v>142960493</v>
      </c>
    </row>
    <row r="6989" spans="1:9" x14ac:dyDescent="0.2">
      <c r="A6989" t="str">
        <f>"Fscn2"</f>
        <v>Fscn2</v>
      </c>
      <c r="B6989" t="s">
        <v>14</v>
      </c>
      <c r="C6989" t="s">
        <v>27</v>
      </c>
      <c r="D6989" t="s">
        <v>17</v>
      </c>
      <c r="E6989" t="s">
        <v>12</v>
      </c>
      <c r="F6989">
        <v>120361506</v>
      </c>
      <c r="G6989">
        <v>120361543</v>
      </c>
      <c r="H6989">
        <v>120361506</v>
      </c>
      <c r="I6989">
        <v>120361543</v>
      </c>
    </row>
    <row r="6990" spans="1:9" x14ac:dyDescent="0.2">
      <c r="A6990" t="str">
        <f>"Fscn3"</f>
        <v>Fscn3</v>
      </c>
      <c r="B6990" t="s">
        <v>14</v>
      </c>
      <c r="C6990" t="s">
        <v>32</v>
      </c>
      <c r="D6990" t="s">
        <v>17</v>
      </c>
      <c r="E6990" t="s">
        <v>12</v>
      </c>
      <c r="F6990">
        <v>28427882</v>
      </c>
      <c r="G6990">
        <v>28427909</v>
      </c>
      <c r="H6990">
        <v>28427918</v>
      </c>
      <c r="I6990">
        <v>28427925</v>
      </c>
    </row>
    <row r="6991" spans="1:9" x14ac:dyDescent="0.2">
      <c r="A6991" t="str">
        <f>"Fsd1"</f>
        <v>Fsd1</v>
      </c>
      <c r="B6991" t="s">
        <v>14</v>
      </c>
      <c r="C6991" t="s">
        <v>28</v>
      </c>
      <c r="D6991" t="s">
        <v>17</v>
      </c>
      <c r="E6991" t="s">
        <v>12</v>
      </c>
      <c r="F6991">
        <v>55986466</v>
      </c>
      <c r="G6991">
        <v>55986491</v>
      </c>
      <c r="H6991">
        <v>55986494</v>
      </c>
      <c r="I6991">
        <v>55986531</v>
      </c>
    </row>
    <row r="6992" spans="1:9" x14ac:dyDescent="0.2">
      <c r="A6992" t="str">
        <f>"Fsd1l"</f>
        <v>Fsd1l</v>
      </c>
      <c r="B6992" t="s">
        <v>14</v>
      </c>
      <c r="C6992" t="s">
        <v>23</v>
      </c>
      <c r="D6992" t="s">
        <v>17</v>
      </c>
      <c r="E6992" t="s">
        <v>12</v>
      </c>
      <c r="F6992">
        <v>53631396</v>
      </c>
      <c r="G6992">
        <v>53631457</v>
      </c>
      <c r="H6992">
        <v>53631460</v>
      </c>
      <c r="I6992">
        <v>53631505</v>
      </c>
    </row>
    <row r="6993" spans="1:9" x14ac:dyDescent="0.2">
      <c r="A6993" t="str">
        <f>"Fsd2"</f>
        <v>Fsd2</v>
      </c>
      <c r="B6993" t="s">
        <v>14</v>
      </c>
      <c r="C6993" t="s">
        <v>33</v>
      </c>
      <c r="D6993" t="s">
        <v>11</v>
      </c>
      <c r="E6993" t="s">
        <v>12</v>
      </c>
      <c r="F6993">
        <v>81566939</v>
      </c>
      <c r="G6993">
        <v>81566993</v>
      </c>
      <c r="H6993">
        <v>81567000</v>
      </c>
      <c r="I6993">
        <v>81567011</v>
      </c>
    </row>
    <row r="6994" spans="1:9" x14ac:dyDescent="0.2">
      <c r="A6994" t="str">
        <f>"Fshb"</f>
        <v>Fshb</v>
      </c>
      <c r="B6994" t="s">
        <v>14</v>
      </c>
      <c r="C6994" t="s">
        <v>26</v>
      </c>
      <c r="D6994" t="s">
        <v>11</v>
      </c>
      <c r="E6994" t="s">
        <v>12</v>
      </c>
      <c r="F6994">
        <v>107059646</v>
      </c>
      <c r="G6994">
        <v>107059658</v>
      </c>
      <c r="H6994">
        <v>107059646</v>
      </c>
      <c r="I6994">
        <v>107059658</v>
      </c>
    </row>
    <row r="6995" spans="1:9" x14ac:dyDescent="0.2">
      <c r="A6995" t="str">
        <f>"Fshr"</f>
        <v>Fshr</v>
      </c>
      <c r="B6995" t="s">
        <v>14</v>
      </c>
      <c r="C6995" t="s">
        <v>28</v>
      </c>
      <c r="D6995" t="s">
        <v>11</v>
      </c>
      <c r="E6995" t="s">
        <v>12</v>
      </c>
      <c r="F6995">
        <v>89200703</v>
      </c>
      <c r="G6995">
        <v>89200719</v>
      </c>
      <c r="H6995">
        <v>89200684</v>
      </c>
      <c r="I6995">
        <v>89200697</v>
      </c>
    </row>
    <row r="6996" spans="1:9" x14ac:dyDescent="0.2">
      <c r="A6996" t="str">
        <f>"Fsip1"</f>
        <v>Fsip1</v>
      </c>
      <c r="B6996" t="s">
        <v>14</v>
      </c>
      <c r="C6996" t="s">
        <v>26</v>
      </c>
      <c r="D6996" t="s">
        <v>11</v>
      </c>
      <c r="E6996" t="s">
        <v>12</v>
      </c>
      <c r="F6996">
        <v>118256929</v>
      </c>
      <c r="G6996">
        <v>118256973</v>
      </c>
      <c r="H6996">
        <v>118256927</v>
      </c>
      <c r="I6996">
        <v>118256928</v>
      </c>
    </row>
    <row r="6997" spans="1:9" x14ac:dyDescent="0.2">
      <c r="A6997" t="str">
        <f>"Fsip2"</f>
        <v>Fsip2</v>
      </c>
      <c r="B6997" t="s">
        <v>14</v>
      </c>
      <c r="C6997" t="s">
        <v>26</v>
      </c>
      <c r="D6997" t="s">
        <v>17</v>
      </c>
      <c r="E6997" t="s">
        <v>12</v>
      </c>
      <c r="F6997">
        <v>82943627</v>
      </c>
      <c r="G6997">
        <v>82943640</v>
      </c>
      <c r="H6997">
        <v>82943627</v>
      </c>
      <c r="I6997">
        <v>82943640</v>
      </c>
    </row>
    <row r="6998" spans="1:9" x14ac:dyDescent="0.2">
      <c r="A6998" t="str">
        <f>"Fst"</f>
        <v>Fst</v>
      </c>
      <c r="B6998" t="s">
        <v>14</v>
      </c>
      <c r="C6998" t="s">
        <v>39</v>
      </c>
      <c r="D6998" t="s">
        <v>11</v>
      </c>
      <c r="E6998" t="s">
        <v>12</v>
      </c>
      <c r="F6998">
        <v>114458720</v>
      </c>
      <c r="G6998">
        <v>114458736</v>
      </c>
      <c r="H6998">
        <v>114458939</v>
      </c>
      <c r="I6998">
        <v>114458960</v>
      </c>
    </row>
    <row r="6999" spans="1:9" x14ac:dyDescent="0.2">
      <c r="A6999" t="str">
        <f>"Fstl1"</f>
        <v>Fstl1</v>
      </c>
      <c r="B6999" t="s">
        <v>14</v>
      </c>
      <c r="C6999" t="s">
        <v>31</v>
      </c>
      <c r="D6999" t="s">
        <v>17</v>
      </c>
      <c r="E6999" t="s">
        <v>12</v>
      </c>
      <c r="F6999">
        <v>37777045</v>
      </c>
      <c r="G6999">
        <v>37777065</v>
      </c>
      <c r="H6999">
        <v>37777092</v>
      </c>
      <c r="I6999">
        <v>37777106</v>
      </c>
    </row>
    <row r="7000" spans="1:9" x14ac:dyDescent="0.2">
      <c r="A7000" t="str">
        <f>"Fstl3"</f>
        <v>Fstl3</v>
      </c>
      <c r="B7000" t="s">
        <v>9</v>
      </c>
      <c r="C7000" t="s">
        <v>15</v>
      </c>
      <c r="D7000" t="s">
        <v>17</v>
      </c>
      <c r="E7000" t="s">
        <v>12</v>
      </c>
      <c r="F7000">
        <v>79777261</v>
      </c>
      <c r="G7000">
        <v>79777280</v>
      </c>
      <c r="H7000">
        <v>79777261</v>
      </c>
      <c r="I7000">
        <v>79777280</v>
      </c>
    </row>
    <row r="7001" spans="1:9" x14ac:dyDescent="0.2">
      <c r="A7001" t="str">
        <f>"Fstl3"</f>
        <v>Fstl3</v>
      </c>
      <c r="B7001" t="s">
        <v>13</v>
      </c>
      <c r="C7001" t="s">
        <v>15</v>
      </c>
      <c r="D7001" t="s">
        <v>17</v>
      </c>
      <c r="E7001" t="s">
        <v>12</v>
      </c>
      <c r="F7001">
        <v>79780571</v>
      </c>
      <c r="G7001">
        <v>79780593</v>
      </c>
      <c r="H7001">
        <v>79780571</v>
      </c>
      <c r="I7001">
        <v>79780593</v>
      </c>
    </row>
    <row r="7002" spans="1:9" x14ac:dyDescent="0.2">
      <c r="A7002" t="str">
        <f>"Fstl4"</f>
        <v>Fstl4</v>
      </c>
      <c r="B7002" t="s">
        <v>14</v>
      </c>
      <c r="C7002" t="s">
        <v>27</v>
      </c>
      <c r="D7002" t="s">
        <v>17</v>
      </c>
      <c r="E7002" t="s">
        <v>12</v>
      </c>
      <c r="F7002">
        <v>52764651</v>
      </c>
      <c r="G7002">
        <v>52764693</v>
      </c>
      <c r="H7002">
        <v>52764632</v>
      </c>
      <c r="I7002">
        <v>52764639</v>
      </c>
    </row>
    <row r="7003" spans="1:9" x14ac:dyDescent="0.2">
      <c r="A7003" t="str">
        <f>"Fstl5"</f>
        <v>Fstl5</v>
      </c>
      <c r="B7003" t="s">
        <v>14</v>
      </c>
      <c r="C7003" t="s">
        <v>22</v>
      </c>
      <c r="D7003" t="s">
        <v>17</v>
      </c>
      <c r="E7003" t="s">
        <v>12</v>
      </c>
      <c r="F7003">
        <v>76074539</v>
      </c>
      <c r="G7003">
        <v>76074597</v>
      </c>
      <c r="H7003">
        <v>76074514</v>
      </c>
      <c r="I7003">
        <v>76074521</v>
      </c>
    </row>
    <row r="7004" spans="1:9" x14ac:dyDescent="0.2">
      <c r="A7004" t="str">
        <f>"Ftcd"</f>
        <v>Ftcd</v>
      </c>
      <c r="B7004" t="s">
        <v>14</v>
      </c>
      <c r="C7004" t="s">
        <v>15</v>
      </c>
      <c r="D7004" t="s">
        <v>17</v>
      </c>
      <c r="E7004" t="s">
        <v>12</v>
      </c>
      <c r="F7004">
        <v>76575640</v>
      </c>
      <c r="G7004">
        <v>76575656</v>
      </c>
      <c r="H7004">
        <v>76575640</v>
      </c>
      <c r="I7004">
        <v>76575656</v>
      </c>
    </row>
    <row r="7005" spans="1:9" x14ac:dyDescent="0.2">
      <c r="A7005" t="str">
        <f>"Fth1"</f>
        <v>Fth1</v>
      </c>
      <c r="B7005" t="s">
        <v>14</v>
      </c>
      <c r="C7005" t="s">
        <v>10</v>
      </c>
      <c r="D7005" t="s">
        <v>17</v>
      </c>
      <c r="E7005" t="s">
        <v>12</v>
      </c>
      <c r="F7005">
        <v>9982694</v>
      </c>
      <c r="G7005">
        <v>9982711</v>
      </c>
      <c r="H7005">
        <v>9982848</v>
      </c>
      <c r="I7005">
        <v>9982852</v>
      </c>
    </row>
    <row r="7006" spans="1:9" x14ac:dyDescent="0.2">
      <c r="A7006" t="str">
        <f>"Fthl17"</f>
        <v>Fthl17</v>
      </c>
      <c r="B7006" t="s">
        <v>2479</v>
      </c>
      <c r="C7006" t="s">
        <v>37</v>
      </c>
      <c r="D7006" t="s">
        <v>17</v>
      </c>
      <c r="E7006" t="s">
        <v>20</v>
      </c>
      <c r="F7006">
        <v>9033484</v>
      </c>
      <c r="G7006">
        <v>9033484</v>
      </c>
      <c r="H7006">
        <v>9033484</v>
      </c>
      <c r="I7006">
        <v>9033484</v>
      </c>
    </row>
    <row r="7007" spans="1:9" x14ac:dyDescent="0.2">
      <c r="A7007" t="str">
        <f>"Ftl1"</f>
        <v>Ftl1</v>
      </c>
      <c r="B7007" t="s">
        <v>14</v>
      </c>
      <c r="C7007" t="s">
        <v>33</v>
      </c>
      <c r="D7007" t="s">
        <v>11</v>
      </c>
      <c r="E7007" t="s">
        <v>12</v>
      </c>
      <c r="F7007">
        <v>45459839</v>
      </c>
      <c r="G7007">
        <v>45459881</v>
      </c>
      <c r="H7007">
        <v>45459431</v>
      </c>
      <c r="I7007">
        <v>45459457</v>
      </c>
    </row>
    <row r="7008" spans="1:9" x14ac:dyDescent="0.2">
      <c r="A7008" t="str">
        <f>"Ftmt"</f>
        <v>Ftmt</v>
      </c>
      <c r="B7008" t="s">
        <v>14</v>
      </c>
      <c r="C7008" t="s">
        <v>43</v>
      </c>
      <c r="D7008" t="s">
        <v>17</v>
      </c>
      <c r="E7008" t="s">
        <v>12</v>
      </c>
      <c r="F7008">
        <v>52331521</v>
      </c>
      <c r="G7008">
        <v>52331545</v>
      </c>
      <c r="H7008">
        <v>52331521</v>
      </c>
      <c r="I7008">
        <v>52331545</v>
      </c>
    </row>
    <row r="7009" spans="1:9" x14ac:dyDescent="0.2">
      <c r="A7009" t="str">
        <f>"Fto"</f>
        <v>Fto</v>
      </c>
      <c r="B7009" t="s">
        <v>14</v>
      </c>
      <c r="C7009" t="s">
        <v>30</v>
      </c>
      <c r="D7009" t="s">
        <v>17</v>
      </c>
      <c r="E7009" t="s">
        <v>12</v>
      </c>
      <c r="F7009">
        <v>91313529</v>
      </c>
      <c r="G7009">
        <v>91313557</v>
      </c>
      <c r="H7009">
        <v>91313560</v>
      </c>
      <c r="I7009">
        <v>91313575</v>
      </c>
    </row>
    <row r="7010" spans="1:9" x14ac:dyDescent="0.2">
      <c r="A7010" t="str">
        <f>"Ftsj1"</f>
        <v>Ftsj1</v>
      </c>
      <c r="B7010" t="s">
        <v>14</v>
      </c>
      <c r="C7010" t="s">
        <v>37</v>
      </c>
      <c r="D7010" t="s">
        <v>11</v>
      </c>
      <c r="E7010" t="s">
        <v>12</v>
      </c>
      <c r="F7010">
        <v>8252334</v>
      </c>
      <c r="G7010">
        <v>8252400</v>
      </c>
      <c r="H7010">
        <v>8252304</v>
      </c>
      <c r="I7010">
        <v>8252333</v>
      </c>
    </row>
    <row r="7011" spans="1:9" x14ac:dyDescent="0.2">
      <c r="A7011" t="str">
        <f>"Ftsj2"</f>
        <v>Ftsj2</v>
      </c>
      <c r="B7011" t="s">
        <v>14</v>
      </c>
      <c r="C7011" t="s">
        <v>46</v>
      </c>
      <c r="D7011" t="s">
        <v>11</v>
      </c>
      <c r="E7011" t="s">
        <v>12</v>
      </c>
      <c r="F7011">
        <v>140331873</v>
      </c>
      <c r="G7011">
        <v>140331897</v>
      </c>
      <c r="H7011">
        <v>140331873</v>
      </c>
      <c r="I7011">
        <v>140331897</v>
      </c>
    </row>
    <row r="7012" spans="1:9" x14ac:dyDescent="0.2">
      <c r="A7012" t="str">
        <f>"Ftsj3"</f>
        <v>Ftsj3</v>
      </c>
      <c r="B7012" t="s">
        <v>14</v>
      </c>
      <c r="C7012" t="s">
        <v>27</v>
      </c>
      <c r="D7012" t="s">
        <v>11</v>
      </c>
      <c r="E7012" t="s">
        <v>12</v>
      </c>
      <c r="F7012">
        <v>106255780</v>
      </c>
      <c r="G7012">
        <v>106255837</v>
      </c>
      <c r="H7012">
        <v>106256045</v>
      </c>
      <c r="I7012">
        <v>106256103</v>
      </c>
    </row>
    <row r="7013" spans="1:9" x14ac:dyDescent="0.2">
      <c r="A7013" t="str">
        <f>"Fubp1"</f>
        <v>Fubp1</v>
      </c>
      <c r="B7013" t="s">
        <v>14</v>
      </c>
      <c r="C7013" t="s">
        <v>22</v>
      </c>
      <c r="D7013" t="s">
        <v>17</v>
      </c>
      <c r="E7013" t="s">
        <v>12</v>
      </c>
      <c r="F7013">
        <v>152210469</v>
      </c>
      <c r="G7013">
        <v>152210534</v>
      </c>
      <c r="H7013">
        <v>152210650</v>
      </c>
      <c r="I7013">
        <v>152210668</v>
      </c>
    </row>
    <row r="7014" spans="1:9" x14ac:dyDescent="0.2">
      <c r="A7014" t="str">
        <f>"Fubp3"</f>
        <v>Fubp3</v>
      </c>
      <c r="B7014" t="s">
        <v>14</v>
      </c>
      <c r="C7014" t="s">
        <v>26</v>
      </c>
      <c r="D7014" t="s">
        <v>17</v>
      </c>
      <c r="E7014" t="s">
        <v>12</v>
      </c>
      <c r="F7014">
        <v>31572775</v>
      </c>
      <c r="G7014">
        <v>31572841</v>
      </c>
      <c r="H7014">
        <v>31572701</v>
      </c>
      <c r="I7014">
        <v>31572724</v>
      </c>
    </row>
    <row r="7015" spans="1:9" x14ac:dyDescent="0.2">
      <c r="A7015" t="str">
        <f>"Fuca1"</f>
        <v>Fuca1</v>
      </c>
      <c r="B7015" t="s">
        <v>9</v>
      </c>
      <c r="C7015" t="s">
        <v>23</v>
      </c>
      <c r="D7015" t="s">
        <v>17</v>
      </c>
      <c r="E7015" t="s">
        <v>12</v>
      </c>
      <c r="F7015">
        <v>135920731</v>
      </c>
      <c r="G7015">
        <v>135920801</v>
      </c>
      <c r="H7015">
        <v>135920731</v>
      </c>
      <c r="I7015">
        <v>135920801</v>
      </c>
    </row>
    <row r="7016" spans="1:9" x14ac:dyDescent="0.2">
      <c r="A7016" t="str">
        <f>"Fuca1"</f>
        <v>Fuca1</v>
      </c>
      <c r="B7016" t="s">
        <v>13</v>
      </c>
      <c r="C7016" t="s">
        <v>23</v>
      </c>
      <c r="D7016" t="s">
        <v>17</v>
      </c>
      <c r="E7016" t="s">
        <v>12</v>
      </c>
      <c r="F7016">
        <v>135929754</v>
      </c>
      <c r="G7016">
        <v>135929777</v>
      </c>
      <c r="H7016">
        <v>135929754</v>
      </c>
      <c r="I7016">
        <v>135929777</v>
      </c>
    </row>
    <row r="7017" spans="1:9" x14ac:dyDescent="0.2">
      <c r="A7017" t="str">
        <f>"Fuca2"</f>
        <v>Fuca2</v>
      </c>
      <c r="B7017" t="s">
        <v>14</v>
      </c>
      <c r="C7017" t="s">
        <v>15</v>
      </c>
      <c r="D7017" t="s">
        <v>17</v>
      </c>
      <c r="E7017" t="s">
        <v>12</v>
      </c>
      <c r="F7017">
        <v>13501076</v>
      </c>
      <c r="G7017">
        <v>13501095</v>
      </c>
      <c r="H7017">
        <v>13501046</v>
      </c>
      <c r="I7017">
        <v>13501070</v>
      </c>
    </row>
    <row r="7018" spans="1:9" x14ac:dyDescent="0.2">
      <c r="A7018" t="str">
        <f>"Fuk"</f>
        <v>Fuk</v>
      </c>
      <c r="B7018" t="s">
        <v>14</v>
      </c>
      <c r="C7018" t="s">
        <v>30</v>
      </c>
      <c r="D7018" t="s">
        <v>11</v>
      </c>
      <c r="E7018" t="s">
        <v>12</v>
      </c>
      <c r="F7018">
        <v>110902442</v>
      </c>
      <c r="G7018">
        <v>110902467</v>
      </c>
      <c r="H7018">
        <v>110902442</v>
      </c>
      <c r="I7018">
        <v>110902467</v>
      </c>
    </row>
    <row r="7019" spans="1:9" x14ac:dyDescent="0.2">
      <c r="A7019" t="str">
        <f>"Fundc1"</f>
        <v>Fundc1</v>
      </c>
      <c r="B7019" t="s">
        <v>14</v>
      </c>
      <c r="C7019" t="s">
        <v>37</v>
      </c>
      <c r="D7019" t="s">
        <v>11</v>
      </c>
      <c r="E7019" t="s">
        <v>12</v>
      </c>
      <c r="F7019">
        <v>17572177</v>
      </c>
      <c r="G7019">
        <v>17572213</v>
      </c>
      <c r="H7019">
        <v>17572241</v>
      </c>
      <c r="I7019">
        <v>17572279</v>
      </c>
    </row>
    <row r="7020" spans="1:9" x14ac:dyDescent="0.2">
      <c r="A7020" t="str">
        <f>"Fundc2"</f>
        <v>Fundc2</v>
      </c>
      <c r="B7020" t="s">
        <v>14</v>
      </c>
      <c r="C7020" t="s">
        <v>37</v>
      </c>
      <c r="D7020" t="s">
        <v>17</v>
      </c>
      <c r="E7020" t="s">
        <v>12</v>
      </c>
      <c r="F7020">
        <v>75382407</v>
      </c>
      <c r="G7020">
        <v>75382430</v>
      </c>
      <c r="H7020">
        <v>75382384</v>
      </c>
      <c r="I7020">
        <v>75382395</v>
      </c>
    </row>
    <row r="7021" spans="1:9" x14ac:dyDescent="0.2">
      <c r="A7021" t="str">
        <f>"Fuom"</f>
        <v>Fuom</v>
      </c>
      <c r="B7021" t="s">
        <v>14</v>
      </c>
      <c r="C7021" t="s">
        <v>33</v>
      </c>
      <c r="D7021" t="s">
        <v>11</v>
      </c>
      <c r="E7021" t="s">
        <v>67</v>
      </c>
      <c r="F7021">
        <v>140102384</v>
      </c>
      <c r="G7021">
        <v>140102428</v>
      </c>
      <c r="H7021">
        <v>140102326</v>
      </c>
      <c r="I7021">
        <v>140102357</v>
      </c>
    </row>
    <row r="7022" spans="1:9" x14ac:dyDescent="0.2">
      <c r="A7022" t="str">
        <f>"Furin"</f>
        <v>Furin</v>
      </c>
      <c r="B7022" t="s">
        <v>14</v>
      </c>
      <c r="C7022" t="s">
        <v>33</v>
      </c>
      <c r="D7022" t="s">
        <v>11</v>
      </c>
      <c r="E7022" t="s">
        <v>12</v>
      </c>
      <c r="F7022">
        <v>80402770</v>
      </c>
      <c r="G7022">
        <v>80402823</v>
      </c>
      <c r="H7022">
        <v>80402770</v>
      </c>
      <c r="I7022">
        <v>80402823</v>
      </c>
    </row>
    <row r="7023" spans="1:9" x14ac:dyDescent="0.2">
      <c r="A7023" t="str">
        <f>"Fus"</f>
        <v>Fus</v>
      </c>
      <c r="B7023" t="s">
        <v>14</v>
      </c>
      <c r="C7023" t="s">
        <v>33</v>
      </c>
      <c r="D7023" t="s">
        <v>17</v>
      </c>
      <c r="E7023" t="s">
        <v>12</v>
      </c>
      <c r="F7023">
        <v>127967482</v>
      </c>
      <c r="G7023">
        <v>127967496</v>
      </c>
      <c r="H7023">
        <v>127967482</v>
      </c>
      <c r="I7023">
        <v>127967496</v>
      </c>
    </row>
    <row r="7024" spans="1:9" x14ac:dyDescent="0.2">
      <c r="A7024" t="str">
        <f>"Fut1"</f>
        <v>Fut1</v>
      </c>
      <c r="B7024" t="s">
        <v>14</v>
      </c>
      <c r="C7024" t="s">
        <v>33</v>
      </c>
      <c r="D7024" t="s">
        <v>17</v>
      </c>
      <c r="E7024" t="s">
        <v>12</v>
      </c>
      <c r="F7024">
        <v>45617575</v>
      </c>
      <c r="G7024">
        <v>45617611</v>
      </c>
      <c r="H7024">
        <v>45617575</v>
      </c>
      <c r="I7024">
        <v>45617611</v>
      </c>
    </row>
    <row r="7025" spans="1:9" x14ac:dyDescent="0.2">
      <c r="A7025" t="str">
        <f>"Fut10"</f>
        <v>Fut10</v>
      </c>
      <c r="B7025" t="s">
        <v>14</v>
      </c>
      <c r="C7025" t="s">
        <v>30</v>
      </c>
      <c r="D7025" t="s">
        <v>17</v>
      </c>
      <c r="E7025" t="s">
        <v>12</v>
      </c>
      <c r="F7025">
        <v>31187317</v>
      </c>
      <c r="G7025">
        <v>31187357</v>
      </c>
      <c r="H7025">
        <v>31187367</v>
      </c>
      <c r="I7025">
        <v>31187392</v>
      </c>
    </row>
    <row r="7026" spans="1:9" x14ac:dyDescent="0.2">
      <c r="A7026" t="str">
        <f>"Fut11"</f>
        <v>Fut11</v>
      </c>
      <c r="B7026" t="s">
        <v>14</v>
      </c>
      <c r="C7026" t="s">
        <v>41</v>
      </c>
      <c r="D7026" t="s">
        <v>17</v>
      </c>
      <c r="E7026" t="s">
        <v>12</v>
      </c>
      <c r="F7026">
        <v>20694956</v>
      </c>
      <c r="G7026">
        <v>20694985</v>
      </c>
      <c r="H7026">
        <v>20694989</v>
      </c>
      <c r="I7026">
        <v>20695000</v>
      </c>
    </row>
    <row r="7027" spans="1:9" x14ac:dyDescent="0.2">
      <c r="A7027" t="str">
        <f>"Fut2"</f>
        <v>Fut2</v>
      </c>
      <c r="B7027" t="s">
        <v>14</v>
      </c>
      <c r="C7027" t="s">
        <v>33</v>
      </c>
      <c r="D7027" t="s">
        <v>11</v>
      </c>
      <c r="E7027" t="s">
        <v>12</v>
      </c>
      <c r="F7027">
        <v>45666292</v>
      </c>
      <c r="G7027">
        <v>45666325</v>
      </c>
      <c r="H7027">
        <v>45666338</v>
      </c>
      <c r="I7027">
        <v>45666347</v>
      </c>
    </row>
    <row r="7028" spans="1:9" x14ac:dyDescent="0.2">
      <c r="A7028" t="str">
        <f>"Fut4"</f>
        <v>Fut4</v>
      </c>
      <c r="B7028" t="s">
        <v>14</v>
      </c>
      <c r="C7028" t="s">
        <v>24</v>
      </c>
      <c r="D7028" t="s">
        <v>11</v>
      </c>
      <c r="E7028" t="s">
        <v>12</v>
      </c>
      <c r="F7028">
        <v>14751987</v>
      </c>
      <c r="G7028">
        <v>14752016</v>
      </c>
      <c r="H7028">
        <v>14752137</v>
      </c>
      <c r="I7028">
        <v>14752148</v>
      </c>
    </row>
    <row r="7029" spans="1:9" x14ac:dyDescent="0.2">
      <c r="A7029" t="str">
        <f>"Fut7"</f>
        <v>Fut7</v>
      </c>
      <c r="B7029" t="s">
        <v>9</v>
      </c>
      <c r="C7029" t="s">
        <v>26</v>
      </c>
      <c r="D7029" t="s">
        <v>17</v>
      </c>
      <c r="E7029" t="s">
        <v>12</v>
      </c>
      <c r="F7029">
        <v>25424632</v>
      </c>
      <c r="G7029">
        <v>25424673</v>
      </c>
      <c r="H7029">
        <v>25424632</v>
      </c>
      <c r="I7029">
        <v>25424673</v>
      </c>
    </row>
    <row r="7030" spans="1:9" x14ac:dyDescent="0.2">
      <c r="A7030" t="str">
        <f>"Fut7"</f>
        <v>Fut7</v>
      </c>
      <c r="B7030" t="s">
        <v>13</v>
      </c>
      <c r="C7030" t="s">
        <v>26</v>
      </c>
      <c r="D7030" t="s">
        <v>17</v>
      </c>
      <c r="E7030" t="s">
        <v>12</v>
      </c>
      <c r="F7030">
        <v>25423234</v>
      </c>
      <c r="G7030">
        <v>25423250</v>
      </c>
      <c r="H7030">
        <v>25423234</v>
      </c>
      <c r="I7030">
        <v>25423250</v>
      </c>
    </row>
    <row r="7031" spans="1:9" x14ac:dyDescent="0.2">
      <c r="A7031" t="str">
        <f>"Fut8"</f>
        <v>Fut8</v>
      </c>
      <c r="B7031" t="s">
        <v>14</v>
      </c>
      <c r="C7031" t="s">
        <v>16</v>
      </c>
      <c r="D7031" t="s">
        <v>17</v>
      </c>
      <c r="E7031" t="s">
        <v>12</v>
      </c>
      <c r="F7031">
        <v>77238740</v>
      </c>
      <c r="G7031">
        <v>77238799</v>
      </c>
      <c r="H7031">
        <v>77239036</v>
      </c>
      <c r="I7031">
        <v>77239074</v>
      </c>
    </row>
    <row r="7032" spans="1:9" x14ac:dyDescent="0.2">
      <c r="A7032" t="str">
        <f>"Fut9"</f>
        <v>Fut9</v>
      </c>
      <c r="B7032" t="s">
        <v>14</v>
      </c>
      <c r="C7032" t="s">
        <v>23</v>
      </c>
      <c r="D7032" t="s">
        <v>11</v>
      </c>
      <c r="E7032" t="s">
        <v>12</v>
      </c>
      <c r="F7032">
        <v>25799789</v>
      </c>
      <c r="G7032">
        <v>25799863</v>
      </c>
      <c r="H7032">
        <v>25799789</v>
      </c>
      <c r="I7032">
        <v>25799863</v>
      </c>
    </row>
    <row r="7033" spans="1:9" x14ac:dyDescent="0.2">
      <c r="A7033" t="str">
        <f>"Fuz"</f>
        <v>Fuz</v>
      </c>
      <c r="B7033" t="s">
        <v>14</v>
      </c>
      <c r="C7033" t="s">
        <v>33</v>
      </c>
      <c r="D7033" t="s">
        <v>17</v>
      </c>
      <c r="E7033" t="s">
        <v>12</v>
      </c>
      <c r="F7033">
        <v>44896077</v>
      </c>
      <c r="G7033">
        <v>44896101</v>
      </c>
      <c r="H7033">
        <v>44896125</v>
      </c>
      <c r="I7033">
        <v>44896187</v>
      </c>
    </row>
    <row r="7034" spans="1:9" x14ac:dyDescent="0.2">
      <c r="A7034" t="str">
        <f>"Fv1"</f>
        <v>Fv1</v>
      </c>
      <c r="B7034" t="s">
        <v>14</v>
      </c>
      <c r="C7034" t="s">
        <v>23</v>
      </c>
      <c r="D7034" t="s">
        <v>17</v>
      </c>
      <c r="E7034" t="s">
        <v>12</v>
      </c>
      <c r="F7034">
        <v>147868830</v>
      </c>
      <c r="G7034">
        <v>147868896</v>
      </c>
      <c r="H7034">
        <v>147868787</v>
      </c>
      <c r="I7034">
        <v>147868825</v>
      </c>
    </row>
    <row r="7035" spans="1:9" x14ac:dyDescent="0.2">
      <c r="A7035" t="str">
        <f>"Fxn"</f>
        <v>Fxn</v>
      </c>
      <c r="B7035" t="s">
        <v>14</v>
      </c>
      <c r="C7035" t="s">
        <v>10</v>
      </c>
      <c r="D7035" t="s">
        <v>11</v>
      </c>
      <c r="E7035" t="s">
        <v>12</v>
      </c>
      <c r="F7035">
        <v>24280551</v>
      </c>
      <c r="G7035">
        <v>24280615</v>
      </c>
      <c r="H7035">
        <v>24280541</v>
      </c>
      <c r="I7035">
        <v>24280550</v>
      </c>
    </row>
    <row r="7036" spans="1:9" x14ac:dyDescent="0.2">
      <c r="A7036" t="str">
        <f>"Fxr1"</f>
        <v>Fxr1</v>
      </c>
      <c r="B7036" t="s">
        <v>14</v>
      </c>
      <c r="C7036" t="s">
        <v>22</v>
      </c>
      <c r="D7036" t="s">
        <v>17</v>
      </c>
      <c r="E7036" t="s">
        <v>12</v>
      </c>
      <c r="F7036">
        <v>34020083</v>
      </c>
      <c r="G7036">
        <v>34020110</v>
      </c>
      <c r="H7036">
        <v>34020075</v>
      </c>
      <c r="I7036">
        <v>34020082</v>
      </c>
    </row>
    <row r="7037" spans="1:9" x14ac:dyDescent="0.2">
      <c r="A7037" t="str">
        <f>"Fxr2"</f>
        <v>Fxr2</v>
      </c>
      <c r="B7037" t="s">
        <v>14</v>
      </c>
      <c r="C7037" t="s">
        <v>27</v>
      </c>
      <c r="D7037" t="s">
        <v>17</v>
      </c>
      <c r="E7037" t="s">
        <v>12</v>
      </c>
      <c r="F7037">
        <v>69632927</v>
      </c>
      <c r="G7037">
        <v>69633002</v>
      </c>
      <c r="H7037">
        <v>69632818</v>
      </c>
      <c r="I7037">
        <v>69632857</v>
      </c>
    </row>
    <row r="7038" spans="1:9" x14ac:dyDescent="0.2">
      <c r="A7038" t="str">
        <f>"Fxyd1"</f>
        <v>Fxyd1</v>
      </c>
      <c r="B7038" t="s">
        <v>14</v>
      </c>
      <c r="C7038" t="s">
        <v>33</v>
      </c>
      <c r="D7038" t="s">
        <v>11</v>
      </c>
      <c r="E7038" t="s">
        <v>12</v>
      </c>
      <c r="F7038">
        <v>31055594</v>
      </c>
      <c r="G7038">
        <v>31055659</v>
      </c>
      <c r="H7038">
        <v>31054815</v>
      </c>
      <c r="I7038">
        <v>31054839</v>
      </c>
    </row>
    <row r="7039" spans="1:9" x14ac:dyDescent="0.2">
      <c r="A7039" t="str">
        <f>"Fxyd2"</f>
        <v>Fxyd2</v>
      </c>
      <c r="B7039" t="s">
        <v>9</v>
      </c>
      <c r="C7039" t="s">
        <v>24</v>
      </c>
      <c r="D7039" t="s">
        <v>17</v>
      </c>
      <c r="E7039" t="s">
        <v>12</v>
      </c>
      <c r="F7039">
        <v>45406066</v>
      </c>
      <c r="G7039">
        <v>45406109</v>
      </c>
      <c r="H7039">
        <v>45406066</v>
      </c>
      <c r="I7039">
        <v>45406109</v>
      </c>
    </row>
    <row r="7040" spans="1:9" x14ac:dyDescent="0.2">
      <c r="A7040" t="str">
        <f>"Fxyd2"</f>
        <v>Fxyd2</v>
      </c>
      <c r="B7040" t="s">
        <v>13</v>
      </c>
      <c r="C7040" t="s">
        <v>24</v>
      </c>
      <c r="D7040" t="s">
        <v>17</v>
      </c>
      <c r="E7040" t="s">
        <v>12</v>
      </c>
      <c r="F7040">
        <v>45403174</v>
      </c>
      <c r="G7040">
        <v>45403189</v>
      </c>
      <c r="H7040">
        <v>45403174</v>
      </c>
      <c r="I7040">
        <v>45403189</v>
      </c>
    </row>
    <row r="7041" spans="1:9" x14ac:dyDescent="0.2">
      <c r="A7041" t="str">
        <f>"Fxyd3"</f>
        <v>Fxyd3</v>
      </c>
      <c r="B7041" t="s">
        <v>9</v>
      </c>
      <c r="C7041" t="s">
        <v>33</v>
      </c>
      <c r="D7041" t="s">
        <v>11</v>
      </c>
      <c r="E7041" t="s">
        <v>12</v>
      </c>
      <c r="F7041">
        <v>31076656</v>
      </c>
      <c r="G7041">
        <v>31076675</v>
      </c>
      <c r="H7041">
        <v>31076656</v>
      </c>
      <c r="I7041">
        <v>31076675</v>
      </c>
    </row>
    <row r="7042" spans="1:9" x14ac:dyDescent="0.2">
      <c r="A7042" t="str">
        <f>"Fxyd3"</f>
        <v>Fxyd3</v>
      </c>
      <c r="B7042" t="s">
        <v>13</v>
      </c>
      <c r="C7042" t="s">
        <v>33</v>
      </c>
      <c r="D7042" t="s">
        <v>11</v>
      </c>
      <c r="E7042" t="s">
        <v>12</v>
      </c>
      <c r="F7042">
        <v>31072411</v>
      </c>
      <c r="G7042">
        <v>31072432</v>
      </c>
      <c r="H7042">
        <v>31072411</v>
      </c>
      <c r="I7042">
        <v>31072432</v>
      </c>
    </row>
    <row r="7043" spans="1:9" x14ac:dyDescent="0.2">
      <c r="A7043" t="str">
        <f>"Fxyd4"</f>
        <v>Fxyd4</v>
      </c>
      <c r="B7043" t="s">
        <v>14</v>
      </c>
      <c r="C7043" t="s">
        <v>32</v>
      </c>
      <c r="D7043" t="s">
        <v>11</v>
      </c>
      <c r="E7043" t="s">
        <v>12</v>
      </c>
      <c r="F7043">
        <v>117937328</v>
      </c>
      <c r="G7043">
        <v>117937343</v>
      </c>
      <c r="H7043">
        <v>117937394</v>
      </c>
      <c r="I7043">
        <v>117937435</v>
      </c>
    </row>
    <row r="7044" spans="1:9" x14ac:dyDescent="0.2">
      <c r="A7044" t="str">
        <f>"Fxyd5"</f>
        <v>Fxyd5</v>
      </c>
      <c r="B7044" t="s">
        <v>14</v>
      </c>
      <c r="C7044" t="s">
        <v>33</v>
      </c>
      <c r="D7044" t="s">
        <v>11</v>
      </c>
      <c r="E7044" t="s">
        <v>12</v>
      </c>
      <c r="F7044">
        <v>31042106</v>
      </c>
      <c r="G7044">
        <v>31042174</v>
      </c>
      <c r="H7044">
        <v>31041732</v>
      </c>
      <c r="I7044">
        <v>31041776</v>
      </c>
    </row>
    <row r="7045" spans="1:9" x14ac:dyDescent="0.2">
      <c r="A7045" t="str">
        <f>"Fxyd6"</f>
        <v>Fxyd6</v>
      </c>
      <c r="B7045" t="s">
        <v>14</v>
      </c>
      <c r="C7045" t="s">
        <v>24</v>
      </c>
      <c r="D7045" t="s">
        <v>17</v>
      </c>
      <c r="E7045" t="s">
        <v>12</v>
      </c>
      <c r="F7045">
        <v>45370397</v>
      </c>
      <c r="G7045">
        <v>45370463</v>
      </c>
      <c r="H7045">
        <v>45370212</v>
      </c>
      <c r="I7045">
        <v>45370282</v>
      </c>
    </row>
    <row r="7046" spans="1:9" x14ac:dyDescent="0.2">
      <c r="A7046" t="str">
        <f>"Fxyd7"</f>
        <v>Fxyd7</v>
      </c>
      <c r="B7046" t="s">
        <v>14</v>
      </c>
      <c r="C7046" t="s">
        <v>33</v>
      </c>
      <c r="D7046" t="s">
        <v>11</v>
      </c>
      <c r="E7046" t="s">
        <v>12</v>
      </c>
      <c r="F7046">
        <v>31051431</v>
      </c>
      <c r="G7046">
        <v>31051488</v>
      </c>
      <c r="H7046">
        <v>31051411</v>
      </c>
      <c r="I7046">
        <v>31051422</v>
      </c>
    </row>
    <row r="7047" spans="1:9" x14ac:dyDescent="0.2">
      <c r="A7047" t="str">
        <f>"Fyb"</f>
        <v>Fyb</v>
      </c>
      <c r="B7047" t="s">
        <v>14</v>
      </c>
      <c r="C7047" t="s">
        <v>25</v>
      </c>
      <c r="D7047" t="s">
        <v>17</v>
      </c>
      <c r="E7047" t="s">
        <v>12</v>
      </c>
      <c r="F7047">
        <v>6579884</v>
      </c>
      <c r="G7047">
        <v>6579900</v>
      </c>
      <c r="H7047">
        <v>6579884</v>
      </c>
      <c r="I7047">
        <v>6579900</v>
      </c>
    </row>
    <row r="7048" spans="1:9" x14ac:dyDescent="0.2">
      <c r="A7048" t="str">
        <f>"Fyco1"</f>
        <v>Fyco1</v>
      </c>
      <c r="B7048" t="s">
        <v>14</v>
      </c>
      <c r="C7048" t="s">
        <v>24</v>
      </c>
      <c r="D7048" t="s">
        <v>11</v>
      </c>
      <c r="E7048" t="s">
        <v>12</v>
      </c>
      <c r="F7048">
        <v>123851855</v>
      </c>
      <c r="G7048">
        <v>123851912</v>
      </c>
      <c r="H7048">
        <v>123851804</v>
      </c>
      <c r="I7048">
        <v>123851815</v>
      </c>
    </row>
    <row r="7049" spans="1:9" x14ac:dyDescent="0.2">
      <c r="A7049" t="str">
        <f>"Fyn"</f>
        <v>Fyn</v>
      </c>
      <c r="B7049" t="s">
        <v>14</v>
      </c>
      <c r="C7049" t="s">
        <v>15</v>
      </c>
      <c r="D7049" t="s">
        <v>17</v>
      </c>
      <c r="E7049" t="s">
        <v>12</v>
      </c>
      <c r="F7049">
        <v>39369750</v>
      </c>
      <c r="G7049">
        <v>39369804</v>
      </c>
      <c r="H7049">
        <v>39369915</v>
      </c>
      <c r="I7049">
        <v>39369926</v>
      </c>
    </row>
    <row r="7050" spans="1:9" x14ac:dyDescent="0.2">
      <c r="A7050" t="str">
        <f>"Fyttd1"</f>
        <v>Fyttd1</v>
      </c>
      <c r="B7050" t="s">
        <v>14</v>
      </c>
      <c r="C7050" t="s">
        <v>31</v>
      </c>
      <c r="D7050" t="s">
        <v>17</v>
      </c>
      <c r="E7050" t="s">
        <v>12</v>
      </c>
      <c r="F7050">
        <v>32877775</v>
      </c>
      <c r="G7050">
        <v>32877831</v>
      </c>
      <c r="H7050">
        <v>32877833</v>
      </c>
      <c r="I7050">
        <v>32877863</v>
      </c>
    </row>
    <row r="7051" spans="1:9" x14ac:dyDescent="0.2">
      <c r="A7051" t="str">
        <f>"Fzd1"</f>
        <v>Fzd1</v>
      </c>
      <c r="B7051" t="s">
        <v>14</v>
      </c>
      <c r="C7051" t="s">
        <v>46</v>
      </c>
      <c r="D7051" t="s">
        <v>11</v>
      </c>
      <c r="E7051" t="s">
        <v>12</v>
      </c>
      <c r="F7051">
        <v>4757999</v>
      </c>
      <c r="G7051">
        <v>4758022</v>
      </c>
      <c r="H7051">
        <v>4757999</v>
      </c>
      <c r="I7051">
        <v>4758022</v>
      </c>
    </row>
    <row r="7052" spans="1:9" x14ac:dyDescent="0.2">
      <c r="A7052" t="str">
        <f>"Fzd10"</f>
        <v>Fzd10</v>
      </c>
      <c r="B7052" t="s">
        <v>14</v>
      </c>
      <c r="C7052" t="s">
        <v>46</v>
      </c>
      <c r="D7052" t="s">
        <v>17</v>
      </c>
      <c r="E7052" t="s">
        <v>12</v>
      </c>
      <c r="F7052">
        <v>128600830</v>
      </c>
      <c r="G7052">
        <v>128600848</v>
      </c>
      <c r="H7052">
        <v>128600800</v>
      </c>
      <c r="I7052">
        <v>128600816</v>
      </c>
    </row>
    <row r="7053" spans="1:9" x14ac:dyDescent="0.2">
      <c r="A7053" t="str">
        <f>"Fzd2"</f>
        <v>Fzd2</v>
      </c>
      <c r="B7053" t="s">
        <v>14</v>
      </c>
      <c r="C7053" t="s">
        <v>27</v>
      </c>
      <c r="D7053" t="s">
        <v>17</v>
      </c>
      <c r="E7053" t="s">
        <v>12</v>
      </c>
      <c r="F7053">
        <v>102604370</v>
      </c>
      <c r="G7053">
        <v>102604435</v>
      </c>
      <c r="H7053">
        <v>102604519</v>
      </c>
      <c r="I7053">
        <v>102604532</v>
      </c>
    </row>
    <row r="7054" spans="1:9" x14ac:dyDescent="0.2">
      <c r="A7054" t="str">
        <f>"Fzd3"</f>
        <v>Fzd3</v>
      </c>
      <c r="B7054" t="s">
        <v>14</v>
      </c>
      <c r="C7054" t="s">
        <v>41</v>
      </c>
      <c r="D7054" t="s">
        <v>11</v>
      </c>
      <c r="E7054" t="s">
        <v>12</v>
      </c>
      <c r="F7054">
        <v>65262391</v>
      </c>
      <c r="G7054">
        <v>65262490</v>
      </c>
      <c r="H7054">
        <v>65262502</v>
      </c>
      <c r="I7054">
        <v>65262507</v>
      </c>
    </row>
    <row r="7055" spans="1:9" x14ac:dyDescent="0.2">
      <c r="A7055" t="str">
        <f>"Fzd4"</f>
        <v>Fzd4</v>
      </c>
      <c r="B7055" t="s">
        <v>14</v>
      </c>
      <c r="C7055" t="s">
        <v>33</v>
      </c>
      <c r="D7055" t="s">
        <v>17</v>
      </c>
      <c r="E7055" t="s">
        <v>12</v>
      </c>
      <c r="F7055">
        <v>89404370</v>
      </c>
      <c r="G7055">
        <v>89404401</v>
      </c>
      <c r="H7055">
        <v>89404356</v>
      </c>
      <c r="I7055">
        <v>89404367</v>
      </c>
    </row>
    <row r="7056" spans="1:9" x14ac:dyDescent="0.2">
      <c r="A7056" t="str">
        <f>"Fzd5"</f>
        <v>Fzd5</v>
      </c>
      <c r="B7056" t="s">
        <v>14</v>
      </c>
      <c r="C7056" t="s">
        <v>19</v>
      </c>
      <c r="D7056" t="s">
        <v>11</v>
      </c>
      <c r="E7056" t="s">
        <v>12</v>
      </c>
      <c r="F7056">
        <v>64737735</v>
      </c>
      <c r="G7056">
        <v>64737756</v>
      </c>
      <c r="H7056">
        <v>64737735</v>
      </c>
      <c r="I7056">
        <v>64737756</v>
      </c>
    </row>
    <row r="7057" spans="1:9" x14ac:dyDescent="0.2">
      <c r="A7057" t="str">
        <f>"Fzd6"</f>
        <v>Fzd6</v>
      </c>
      <c r="B7057" t="s">
        <v>14</v>
      </c>
      <c r="C7057" t="s">
        <v>25</v>
      </c>
      <c r="D7057" t="s">
        <v>17</v>
      </c>
      <c r="E7057" t="s">
        <v>12</v>
      </c>
      <c r="F7057">
        <v>39006272</v>
      </c>
      <c r="G7057">
        <v>39006365</v>
      </c>
      <c r="H7057">
        <v>39006272</v>
      </c>
      <c r="I7057">
        <v>39006365</v>
      </c>
    </row>
    <row r="7058" spans="1:9" x14ac:dyDescent="0.2">
      <c r="A7058" t="str">
        <f>"Fzd7"</f>
        <v>Fzd7</v>
      </c>
      <c r="B7058" t="s">
        <v>14</v>
      </c>
      <c r="C7058" t="s">
        <v>19</v>
      </c>
      <c r="D7058" t="s">
        <v>17</v>
      </c>
      <c r="E7058" t="s">
        <v>12</v>
      </c>
      <c r="F7058">
        <v>59482133</v>
      </c>
      <c r="G7058">
        <v>59482166</v>
      </c>
      <c r="H7058">
        <v>59482091</v>
      </c>
      <c r="I7058">
        <v>59482102</v>
      </c>
    </row>
    <row r="7059" spans="1:9" x14ac:dyDescent="0.2">
      <c r="A7059" t="str">
        <f>"Fzd8"</f>
        <v>Fzd8</v>
      </c>
      <c r="B7059" t="s">
        <v>2480</v>
      </c>
      <c r="C7059" t="s">
        <v>43</v>
      </c>
      <c r="D7059" t="s">
        <v>17</v>
      </c>
      <c r="E7059" t="s">
        <v>35</v>
      </c>
      <c r="F7059">
        <v>9212969</v>
      </c>
      <c r="G7059">
        <v>9212992</v>
      </c>
      <c r="H7059">
        <v>9212969</v>
      </c>
      <c r="I7059">
        <v>9212992</v>
      </c>
    </row>
    <row r="7060" spans="1:9" x14ac:dyDescent="0.2">
      <c r="A7060" t="str">
        <f>"Fzd9"</f>
        <v>Fzd9</v>
      </c>
      <c r="B7060" t="s">
        <v>14</v>
      </c>
      <c r="C7060" t="s">
        <v>46</v>
      </c>
      <c r="D7060" t="s">
        <v>11</v>
      </c>
      <c r="E7060" t="s">
        <v>12</v>
      </c>
      <c r="F7060">
        <v>135251209</v>
      </c>
      <c r="G7060">
        <v>135251242</v>
      </c>
      <c r="H7060">
        <v>135251244</v>
      </c>
      <c r="I7060">
        <v>135251277</v>
      </c>
    </row>
    <row r="7061" spans="1:9" x14ac:dyDescent="0.2">
      <c r="A7061" t="str">
        <f>"Fzr1"</f>
        <v>Fzr1</v>
      </c>
      <c r="B7061" t="s">
        <v>14</v>
      </c>
      <c r="C7061" t="s">
        <v>15</v>
      </c>
      <c r="D7061" t="s">
        <v>11</v>
      </c>
      <c r="E7061" t="s">
        <v>12</v>
      </c>
      <c r="F7061">
        <v>81378398</v>
      </c>
      <c r="G7061">
        <v>81378456</v>
      </c>
      <c r="H7061">
        <v>81378459</v>
      </c>
      <c r="I7061">
        <v>81378482</v>
      </c>
    </row>
    <row r="7062" spans="1:9" x14ac:dyDescent="0.2">
      <c r="A7062" t="str">
        <f>"G0s2"</f>
        <v>G0s2</v>
      </c>
      <c r="B7062" t="s">
        <v>14</v>
      </c>
      <c r="C7062" t="s">
        <v>19</v>
      </c>
      <c r="D7062" t="s">
        <v>11</v>
      </c>
      <c r="E7062" t="s">
        <v>12</v>
      </c>
      <c r="F7062">
        <v>193273099</v>
      </c>
      <c r="G7062">
        <v>193273117</v>
      </c>
      <c r="H7062">
        <v>193273099</v>
      </c>
      <c r="I7062">
        <v>193273117</v>
      </c>
    </row>
    <row r="7063" spans="1:9" x14ac:dyDescent="0.2">
      <c r="A7063" t="str">
        <f>"G2e3"</f>
        <v>G2e3</v>
      </c>
      <c r="B7063" t="s">
        <v>14</v>
      </c>
      <c r="C7063" t="s">
        <v>16</v>
      </c>
      <c r="D7063" t="s">
        <v>17</v>
      </c>
      <c r="E7063" t="s">
        <v>12</v>
      </c>
      <c r="F7063">
        <v>51348265</v>
      </c>
      <c r="G7063">
        <v>51348368</v>
      </c>
      <c r="H7063">
        <v>51348370</v>
      </c>
      <c r="I7063">
        <v>51348406</v>
      </c>
    </row>
    <row r="7064" spans="1:9" x14ac:dyDescent="0.2">
      <c r="A7064" t="str">
        <f>"G3bp1"</f>
        <v>G3bp1</v>
      </c>
      <c r="B7064" t="s">
        <v>14</v>
      </c>
      <c r="C7064" t="s">
        <v>27</v>
      </c>
      <c r="D7064" t="s">
        <v>17</v>
      </c>
      <c r="E7064" t="s">
        <v>12</v>
      </c>
      <c r="F7064">
        <v>55469677</v>
      </c>
      <c r="G7064">
        <v>55469716</v>
      </c>
      <c r="H7064">
        <v>55469724</v>
      </c>
      <c r="I7064">
        <v>55469742</v>
      </c>
    </row>
    <row r="7065" spans="1:9" x14ac:dyDescent="0.2">
      <c r="A7065" t="str">
        <f>"G3bp2"</f>
        <v>G3bp2</v>
      </c>
      <c r="B7065" t="s">
        <v>14</v>
      </c>
      <c r="C7065" t="s">
        <v>46</v>
      </c>
      <c r="D7065" t="s">
        <v>11</v>
      </c>
      <c r="E7065" t="s">
        <v>12</v>
      </c>
      <c r="F7065">
        <v>92083667</v>
      </c>
      <c r="G7065">
        <v>92083726</v>
      </c>
      <c r="H7065">
        <v>92083455</v>
      </c>
      <c r="I7065">
        <v>92083466</v>
      </c>
    </row>
    <row r="7066" spans="1:9" x14ac:dyDescent="0.2">
      <c r="A7066" t="str">
        <f>"G430049J08Rik"</f>
        <v>G430049J08Rik</v>
      </c>
      <c r="B7066" t="s">
        <v>2481</v>
      </c>
      <c r="C7066" t="s">
        <v>43</v>
      </c>
      <c r="D7066" t="s">
        <v>17</v>
      </c>
      <c r="E7066" t="s">
        <v>20</v>
      </c>
      <c r="F7066">
        <v>3471629</v>
      </c>
      <c r="G7066">
        <v>3471629</v>
      </c>
      <c r="H7066">
        <v>3471629</v>
      </c>
      <c r="I7066">
        <v>3471629</v>
      </c>
    </row>
    <row r="7067" spans="1:9" x14ac:dyDescent="0.2">
      <c r="A7067" t="str">
        <f>"G430095P16Rik"</f>
        <v>G430095P16Rik</v>
      </c>
      <c r="B7067" t="s">
        <v>14</v>
      </c>
      <c r="C7067" t="s">
        <v>30</v>
      </c>
      <c r="D7067" t="s">
        <v>17</v>
      </c>
      <c r="E7067" t="s">
        <v>67</v>
      </c>
      <c r="F7067">
        <v>84723041</v>
      </c>
      <c r="G7067">
        <v>84723082</v>
      </c>
      <c r="H7067">
        <v>84723003</v>
      </c>
      <c r="I7067">
        <v>84723022</v>
      </c>
    </row>
    <row r="7068" spans="1:9" x14ac:dyDescent="0.2">
      <c r="A7068" t="str">
        <f>"G530012D18Rik"</f>
        <v>G530012D18Rik</v>
      </c>
      <c r="B7068" t="s">
        <v>2482</v>
      </c>
      <c r="C7068" t="s">
        <v>19</v>
      </c>
      <c r="D7068" t="s">
        <v>17</v>
      </c>
      <c r="E7068" t="s">
        <v>20</v>
      </c>
      <c r="F7068">
        <v>85575675</v>
      </c>
      <c r="G7068">
        <v>85575675</v>
      </c>
      <c r="H7068">
        <v>85575675</v>
      </c>
      <c r="I7068">
        <v>85575675</v>
      </c>
    </row>
    <row r="7069" spans="1:9" x14ac:dyDescent="0.2">
      <c r="A7069" t="str">
        <f>"G630090E17Rik"</f>
        <v>G630090E17Rik</v>
      </c>
      <c r="B7069" t="s">
        <v>14</v>
      </c>
      <c r="C7069" t="s">
        <v>15</v>
      </c>
      <c r="D7069" t="s">
        <v>11</v>
      </c>
      <c r="E7069" t="s">
        <v>12</v>
      </c>
      <c r="F7069">
        <v>39960144</v>
      </c>
      <c r="G7069">
        <v>39960162</v>
      </c>
      <c r="H7069">
        <v>39960244</v>
      </c>
      <c r="I7069">
        <v>39960286</v>
      </c>
    </row>
    <row r="7070" spans="1:9" x14ac:dyDescent="0.2">
      <c r="A7070" t="str">
        <f>"G6pc"</f>
        <v>G6pc</v>
      </c>
      <c r="B7070" t="s">
        <v>14</v>
      </c>
      <c r="C7070" t="s">
        <v>27</v>
      </c>
      <c r="D7070" t="s">
        <v>17</v>
      </c>
      <c r="E7070" t="s">
        <v>12</v>
      </c>
      <c r="F7070">
        <v>101367709</v>
      </c>
      <c r="G7070">
        <v>101367724</v>
      </c>
      <c r="H7070">
        <v>101367542</v>
      </c>
      <c r="I7070">
        <v>101367565</v>
      </c>
    </row>
    <row r="7071" spans="1:9" x14ac:dyDescent="0.2">
      <c r="A7071" t="str">
        <f>"G6pc2"</f>
        <v>G6pc2</v>
      </c>
      <c r="B7071" t="s">
        <v>14</v>
      </c>
      <c r="C7071" t="s">
        <v>26</v>
      </c>
      <c r="D7071" t="s">
        <v>17</v>
      </c>
      <c r="E7071" t="s">
        <v>12</v>
      </c>
      <c r="F7071">
        <v>69219989</v>
      </c>
      <c r="G7071">
        <v>69220005</v>
      </c>
      <c r="H7071">
        <v>69219989</v>
      </c>
      <c r="I7071">
        <v>69220005</v>
      </c>
    </row>
    <row r="7072" spans="1:9" x14ac:dyDescent="0.2">
      <c r="A7072" t="str">
        <f>"G6pc3"</f>
        <v>G6pc3</v>
      </c>
      <c r="B7072" t="s">
        <v>14</v>
      </c>
      <c r="C7072" t="s">
        <v>27</v>
      </c>
      <c r="D7072" t="s">
        <v>17</v>
      </c>
      <c r="E7072" t="s">
        <v>12</v>
      </c>
      <c r="F7072">
        <v>102189651</v>
      </c>
      <c r="G7072">
        <v>102189734</v>
      </c>
      <c r="H7072">
        <v>102189840</v>
      </c>
      <c r="I7072">
        <v>102189870</v>
      </c>
    </row>
    <row r="7073" spans="1:9" x14ac:dyDescent="0.2">
      <c r="A7073" t="str">
        <f>"G6pd2"</f>
        <v>G6pd2</v>
      </c>
      <c r="B7073" t="s">
        <v>2483</v>
      </c>
      <c r="C7073" t="s">
        <v>46</v>
      </c>
      <c r="D7073" t="s">
        <v>17</v>
      </c>
      <c r="E7073" t="s">
        <v>20</v>
      </c>
      <c r="F7073">
        <v>61808842</v>
      </c>
      <c r="G7073">
        <v>61808842</v>
      </c>
      <c r="H7073">
        <v>61808842</v>
      </c>
      <c r="I7073">
        <v>61808842</v>
      </c>
    </row>
    <row r="7074" spans="1:9" x14ac:dyDescent="0.2">
      <c r="A7074" t="str">
        <f>"G6pdx"</f>
        <v>G6pdx</v>
      </c>
      <c r="B7074" t="s">
        <v>14</v>
      </c>
      <c r="C7074" t="s">
        <v>37</v>
      </c>
      <c r="D7074" t="s">
        <v>11</v>
      </c>
      <c r="E7074" t="s">
        <v>12</v>
      </c>
      <c r="F7074">
        <v>74428871</v>
      </c>
      <c r="G7074">
        <v>74428887</v>
      </c>
      <c r="H7074">
        <v>74428911</v>
      </c>
      <c r="I7074">
        <v>74428922</v>
      </c>
    </row>
    <row r="7075" spans="1:9" x14ac:dyDescent="0.2">
      <c r="A7075" t="str">
        <f>"G730003C15Rik"</f>
        <v>G730003C15Rik</v>
      </c>
      <c r="B7075" t="s">
        <v>2484</v>
      </c>
      <c r="C7075" t="s">
        <v>19</v>
      </c>
      <c r="D7075" t="s">
        <v>17</v>
      </c>
      <c r="E7075" t="s">
        <v>35</v>
      </c>
      <c r="F7075">
        <v>59119822</v>
      </c>
      <c r="G7075">
        <v>59119861</v>
      </c>
      <c r="H7075">
        <v>59119822</v>
      </c>
      <c r="I7075">
        <v>59119861</v>
      </c>
    </row>
    <row r="7076" spans="1:9" x14ac:dyDescent="0.2">
      <c r="A7076" t="str">
        <f>"G730046D07Rik"</f>
        <v>G730046D07Rik</v>
      </c>
      <c r="B7076" t="s">
        <v>2485</v>
      </c>
      <c r="C7076" t="s">
        <v>33</v>
      </c>
      <c r="D7076" t="s">
        <v>17</v>
      </c>
      <c r="E7076" t="s">
        <v>20</v>
      </c>
      <c r="F7076">
        <v>126565918</v>
      </c>
      <c r="G7076">
        <v>126565918</v>
      </c>
      <c r="H7076">
        <v>126565918</v>
      </c>
      <c r="I7076">
        <v>126565918</v>
      </c>
    </row>
    <row r="7077" spans="1:9" x14ac:dyDescent="0.2">
      <c r="A7077" t="str">
        <f>"G930045G22Rik"</f>
        <v>G930045G22Rik</v>
      </c>
      <c r="B7077" t="s">
        <v>2486</v>
      </c>
      <c r="C7077" t="s">
        <v>32</v>
      </c>
      <c r="D7077" t="s">
        <v>11</v>
      </c>
      <c r="E7077" t="s">
        <v>20</v>
      </c>
      <c r="F7077">
        <v>50847769</v>
      </c>
      <c r="G7077">
        <v>50847769</v>
      </c>
      <c r="H7077">
        <v>50847769</v>
      </c>
      <c r="I7077">
        <v>50847769</v>
      </c>
    </row>
    <row r="7078" spans="1:9" x14ac:dyDescent="0.2">
      <c r="A7078" t="str">
        <f>"GOLT1A"</f>
        <v>GOLT1A</v>
      </c>
      <c r="B7078" t="s">
        <v>14</v>
      </c>
      <c r="C7078" t="s">
        <v>19</v>
      </c>
      <c r="D7078" t="s">
        <v>17</v>
      </c>
      <c r="E7078" t="s">
        <v>67</v>
      </c>
      <c r="F7078">
        <v>133309778</v>
      </c>
      <c r="G7078">
        <v>133309829</v>
      </c>
      <c r="H7078">
        <v>133309768</v>
      </c>
      <c r="I7078">
        <v>133309775</v>
      </c>
    </row>
    <row r="7079" spans="1:9" x14ac:dyDescent="0.2">
      <c r="A7079" t="str">
        <f>"Gaa"</f>
        <v>Gaa</v>
      </c>
      <c r="B7079" t="s">
        <v>14</v>
      </c>
      <c r="C7079" t="s">
        <v>27</v>
      </c>
      <c r="D7079" t="s">
        <v>17</v>
      </c>
      <c r="E7079" t="s">
        <v>12</v>
      </c>
      <c r="F7079">
        <v>119268004</v>
      </c>
      <c r="G7079">
        <v>119268099</v>
      </c>
      <c r="H7079">
        <v>119267957</v>
      </c>
      <c r="I7079">
        <v>119267968</v>
      </c>
    </row>
    <row r="7080" spans="1:9" x14ac:dyDescent="0.2">
      <c r="A7080" t="str">
        <f>"Gab1"</f>
        <v>Gab1</v>
      </c>
      <c r="B7080" t="s">
        <v>14</v>
      </c>
      <c r="C7080" t="s">
        <v>30</v>
      </c>
      <c r="D7080" t="s">
        <v>11</v>
      </c>
      <c r="E7080" t="s">
        <v>12</v>
      </c>
      <c r="F7080">
        <v>80880480</v>
      </c>
      <c r="G7080">
        <v>80880499</v>
      </c>
      <c r="H7080">
        <v>80880480</v>
      </c>
      <c r="I7080">
        <v>80880499</v>
      </c>
    </row>
    <row r="7081" spans="1:9" x14ac:dyDescent="0.2">
      <c r="A7081" t="str">
        <f>"Gab2"</f>
        <v>Gab2</v>
      </c>
      <c r="B7081" t="s">
        <v>14</v>
      </c>
      <c r="C7081" t="s">
        <v>33</v>
      </c>
      <c r="D7081" t="s">
        <v>17</v>
      </c>
      <c r="E7081" t="s">
        <v>12</v>
      </c>
      <c r="F7081">
        <v>97081711</v>
      </c>
      <c r="G7081">
        <v>97081778</v>
      </c>
      <c r="H7081">
        <v>97081642</v>
      </c>
      <c r="I7081">
        <v>97081675</v>
      </c>
    </row>
    <row r="7082" spans="1:9" x14ac:dyDescent="0.2">
      <c r="A7082" t="str">
        <f>"Gab3"</f>
        <v>Gab3</v>
      </c>
      <c r="B7082" t="s">
        <v>14</v>
      </c>
      <c r="C7082" t="s">
        <v>37</v>
      </c>
      <c r="D7082" t="s">
        <v>11</v>
      </c>
      <c r="E7082" t="s">
        <v>12</v>
      </c>
      <c r="F7082">
        <v>75084899</v>
      </c>
      <c r="G7082">
        <v>75084946</v>
      </c>
      <c r="H7082">
        <v>75085035</v>
      </c>
      <c r="I7082">
        <v>75085074</v>
      </c>
    </row>
    <row r="7083" spans="1:9" x14ac:dyDescent="0.2">
      <c r="A7083" t="str">
        <f>"Gabarap"</f>
        <v>Gabarap</v>
      </c>
      <c r="B7083" t="s">
        <v>14</v>
      </c>
      <c r="C7083" t="s">
        <v>27</v>
      </c>
      <c r="D7083" t="s">
        <v>17</v>
      </c>
      <c r="E7083" t="s">
        <v>12</v>
      </c>
      <c r="F7083">
        <v>69991583</v>
      </c>
      <c r="G7083">
        <v>69991630</v>
      </c>
      <c r="H7083">
        <v>69991641</v>
      </c>
      <c r="I7083">
        <v>69991674</v>
      </c>
    </row>
    <row r="7084" spans="1:9" x14ac:dyDescent="0.2">
      <c r="A7084" t="str">
        <f>"Gabarapl1"</f>
        <v>Gabarapl1</v>
      </c>
      <c r="B7084" t="s">
        <v>14</v>
      </c>
      <c r="C7084" t="s">
        <v>32</v>
      </c>
      <c r="D7084" t="s">
        <v>17</v>
      </c>
      <c r="E7084" t="s">
        <v>12</v>
      </c>
      <c r="F7084">
        <v>129533208</v>
      </c>
      <c r="G7084">
        <v>129533249</v>
      </c>
      <c r="H7084">
        <v>129533183</v>
      </c>
      <c r="I7084">
        <v>129533205</v>
      </c>
    </row>
    <row r="7085" spans="1:9" x14ac:dyDescent="0.2">
      <c r="A7085" t="str">
        <f>"Gabarapl2"</f>
        <v>Gabarapl2</v>
      </c>
      <c r="B7085" t="s">
        <v>14</v>
      </c>
      <c r="C7085" t="s">
        <v>30</v>
      </c>
      <c r="D7085" t="s">
        <v>17</v>
      </c>
      <c r="E7085" t="s">
        <v>12</v>
      </c>
      <c r="F7085">
        <v>111940710</v>
      </c>
      <c r="G7085">
        <v>111940739</v>
      </c>
      <c r="H7085">
        <v>111940697</v>
      </c>
      <c r="I7085">
        <v>111940708</v>
      </c>
    </row>
    <row r="7086" spans="1:9" x14ac:dyDescent="0.2">
      <c r="A7086" t="str">
        <f>"Gabbr1"</f>
        <v>Gabbr1</v>
      </c>
      <c r="B7086" t="s">
        <v>9</v>
      </c>
      <c r="C7086" t="s">
        <v>28</v>
      </c>
      <c r="D7086" t="s">
        <v>17</v>
      </c>
      <c r="E7086" t="s">
        <v>12</v>
      </c>
      <c r="F7086">
        <v>37045980</v>
      </c>
      <c r="G7086">
        <v>37046080</v>
      </c>
      <c r="H7086">
        <v>37045980</v>
      </c>
      <c r="I7086">
        <v>37046080</v>
      </c>
    </row>
    <row r="7087" spans="1:9" x14ac:dyDescent="0.2">
      <c r="A7087" t="str">
        <f>"Gabbr1"</f>
        <v>Gabbr1</v>
      </c>
      <c r="B7087" t="s">
        <v>13</v>
      </c>
      <c r="C7087" t="s">
        <v>28</v>
      </c>
      <c r="D7087" t="s">
        <v>17</v>
      </c>
      <c r="E7087" t="s">
        <v>12</v>
      </c>
      <c r="F7087">
        <v>37050633</v>
      </c>
      <c r="G7087">
        <v>37050649</v>
      </c>
      <c r="H7087">
        <v>37050633</v>
      </c>
      <c r="I7087">
        <v>37050649</v>
      </c>
    </row>
    <row r="7088" spans="1:9" x14ac:dyDescent="0.2">
      <c r="A7088" t="str">
        <f>"Gabbr2"</f>
        <v>Gabbr2</v>
      </c>
      <c r="B7088" t="s">
        <v>14</v>
      </c>
      <c r="C7088" t="s">
        <v>23</v>
      </c>
      <c r="D7088" t="s">
        <v>11</v>
      </c>
      <c r="E7088" t="s">
        <v>12</v>
      </c>
      <c r="F7088">
        <v>46991536</v>
      </c>
      <c r="G7088">
        <v>46991650</v>
      </c>
      <c r="H7088">
        <v>46991842</v>
      </c>
      <c r="I7088">
        <v>46991916</v>
      </c>
    </row>
    <row r="7089" spans="1:9" x14ac:dyDescent="0.2">
      <c r="A7089" t="str">
        <f>"Gabpa"</f>
        <v>Gabpa</v>
      </c>
      <c r="B7089" t="s">
        <v>14</v>
      </c>
      <c r="C7089" t="s">
        <v>31</v>
      </c>
      <c r="D7089" t="s">
        <v>17</v>
      </c>
      <c r="E7089" t="s">
        <v>12</v>
      </c>
      <c r="F7089">
        <v>84835360</v>
      </c>
      <c r="G7089">
        <v>84835421</v>
      </c>
      <c r="H7089">
        <v>84834901</v>
      </c>
      <c r="I7089">
        <v>84834941</v>
      </c>
    </row>
    <row r="7090" spans="1:9" x14ac:dyDescent="0.2">
      <c r="A7090" t="str">
        <f>"Gabpb1"</f>
        <v>Gabpb1</v>
      </c>
      <c r="B7090" t="s">
        <v>14</v>
      </c>
      <c r="C7090" t="s">
        <v>26</v>
      </c>
      <c r="D7090" t="s">
        <v>11</v>
      </c>
      <c r="E7090" t="s">
        <v>12</v>
      </c>
      <c r="F7090">
        <v>126675461</v>
      </c>
      <c r="G7090">
        <v>126675509</v>
      </c>
      <c r="H7090">
        <v>126675538</v>
      </c>
      <c r="I7090">
        <v>126675572</v>
      </c>
    </row>
    <row r="7091" spans="1:9" x14ac:dyDescent="0.2">
      <c r="A7091" t="str">
        <f>"Gabpb2"</f>
        <v>Gabpb2</v>
      </c>
      <c r="B7091" t="s">
        <v>14</v>
      </c>
      <c r="C7091" t="s">
        <v>22</v>
      </c>
      <c r="D7091" t="s">
        <v>11</v>
      </c>
      <c r="E7091" t="s">
        <v>12</v>
      </c>
      <c r="F7091">
        <v>95217931</v>
      </c>
      <c r="G7091">
        <v>95217989</v>
      </c>
      <c r="H7091">
        <v>95217690</v>
      </c>
      <c r="I7091">
        <v>95217728</v>
      </c>
    </row>
    <row r="7092" spans="1:9" x14ac:dyDescent="0.2">
      <c r="A7092" t="str">
        <f>"Gabra1"</f>
        <v>Gabra1</v>
      </c>
      <c r="B7092" t="s">
        <v>14</v>
      </c>
      <c r="C7092" t="s">
        <v>27</v>
      </c>
      <c r="D7092" t="s">
        <v>11</v>
      </c>
      <c r="E7092" t="s">
        <v>12</v>
      </c>
      <c r="F7092">
        <v>42182239</v>
      </c>
      <c r="G7092">
        <v>42182281</v>
      </c>
      <c r="H7092">
        <v>42182389</v>
      </c>
      <c r="I7092">
        <v>42182437</v>
      </c>
    </row>
    <row r="7093" spans="1:9" x14ac:dyDescent="0.2">
      <c r="A7093" t="str">
        <f>"Gabra2"</f>
        <v>Gabra2</v>
      </c>
      <c r="B7093" t="s">
        <v>14</v>
      </c>
      <c r="C7093" t="s">
        <v>46</v>
      </c>
      <c r="D7093" t="s">
        <v>11</v>
      </c>
      <c r="E7093" t="s">
        <v>12</v>
      </c>
      <c r="F7093">
        <v>71095765</v>
      </c>
      <c r="G7093">
        <v>71095862</v>
      </c>
      <c r="H7093">
        <v>71095740</v>
      </c>
      <c r="I7093">
        <v>71095758</v>
      </c>
    </row>
    <row r="7094" spans="1:9" x14ac:dyDescent="0.2">
      <c r="A7094" t="str">
        <f>"Gabra3"</f>
        <v>Gabra3</v>
      </c>
      <c r="B7094" t="s">
        <v>14</v>
      </c>
      <c r="C7094" t="s">
        <v>37</v>
      </c>
      <c r="D7094" t="s">
        <v>11</v>
      </c>
      <c r="E7094" t="s">
        <v>12</v>
      </c>
      <c r="F7094">
        <v>72656135</v>
      </c>
      <c r="G7094">
        <v>72656199</v>
      </c>
      <c r="H7094">
        <v>72656135</v>
      </c>
      <c r="I7094">
        <v>72656199</v>
      </c>
    </row>
    <row r="7095" spans="1:9" x14ac:dyDescent="0.2">
      <c r="A7095" t="str">
        <f>"Gabra4"</f>
        <v>Gabra4</v>
      </c>
      <c r="B7095" t="s">
        <v>14</v>
      </c>
      <c r="C7095" t="s">
        <v>46</v>
      </c>
      <c r="D7095" t="s">
        <v>11</v>
      </c>
      <c r="E7095" t="s">
        <v>12</v>
      </c>
      <c r="F7095">
        <v>71657913</v>
      </c>
      <c r="G7095">
        <v>71657953</v>
      </c>
      <c r="H7095">
        <v>71657913</v>
      </c>
      <c r="I7095">
        <v>71657953</v>
      </c>
    </row>
    <row r="7096" spans="1:9" x14ac:dyDescent="0.2">
      <c r="A7096" t="str">
        <f>"Gabra5"</f>
        <v>Gabra5</v>
      </c>
      <c r="B7096" t="s">
        <v>14</v>
      </c>
      <c r="C7096" t="s">
        <v>33</v>
      </c>
      <c r="D7096" t="s">
        <v>11</v>
      </c>
      <c r="E7096" t="s">
        <v>12</v>
      </c>
      <c r="F7096">
        <v>57509916</v>
      </c>
      <c r="G7096">
        <v>57509976</v>
      </c>
      <c r="H7096">
        <v>57509995</v>
      </c>
      <c r="I7096">
        <v>57510056</v>
      </c>
    </row>
    <row r="7097" spans="1:9" x14ac:dyDescent="0.2">
      <c r="A7097" t="str">
        <f>"Gabra6"</f>
        <v>Gabra6</v>
      </c>
      <c r="B7097" t="s">
        <v>14</v>
      </c>
      <c r="C7097" t="s">
        <v>27</v>
      </c>
      <c r="D7097" t="s">
        <v>11</v>
      </c>
      <c r="E7097" t="s">
        <v>12</v>
      </c>
      <c r="F7097">
        <v>42321045</v>
      </c>
      <c r="G7097">
        <v>42321056</v>
      </c>
      <c r="H7097">
        <v>42321017</v>
      </c>
      <c r="I7097">
        <v>42321039</v>
      </c>
    </row>
    <row r="7098" spans="1:9" x14ac:dyDescent="0.2">
      <c r="A7098" t="str">
        <f>"Gabrb1"</f>
        <v>Gabrb1</v>
      </c>
      <c r="B7098" t="s">
        <v>14</v>
      </c>
      <c r="C7098" t="s">
        <v>46</v>
      </c>
      <c r="D7098" t="s">
        <v>17</v>
      </c>
      <c r="E7098" t="s">
        <v>12</v>
      </c>
      <c r="F7098">
        <v>71699918</v>
      </c>
      <c r="G7098">
        <v>71699949</v>
      </c>
      <c r="H7098">
        <v>71699956</v>
      </c>
      <c r="I7098">
        <v>71699973</v>
      </c>
    </row>
    <row r="7099" spans="1:9" x14ac:dyDescent="0.2">
      <c r="A7099" t="str">
        <f>"Gabrb2"</f>
        <v>Gabrb2</v>
      </c>
      <c r="B7099" t="s">
        <v>14</v>
      </c>
      <c r="C7099" t="s">
        <v>27</v>
      </c>
      <c r="D7099" t="s">
        <v>17</v>
      </c>
      <c r="E7099" t="s">
        <v>12</v>
      </c>
      <c r="F7099">
        <v>42421258</v>
      </c>
      <c r="G7099">
        <v>42421284</v>
      </c>
      <c r="H7099">
        <v>42421285</v>
      </c>
      <c r="I7099">
        <v>42421321</v>
      </c>
    </row>
    <row r="7100" spans="1:9" x14ac:dyDescent="0.2">
      <c r="A7100" t="str">
        <f>"Gabrb3"</f>
        <v>Gabrb3</v>
      </c>
      <c r="B7100" t="s">
        <v>14</v>
      </c>
      <c r="C7100" t="s">
        <v>33</v>
      </c>
      <c r="D7100" t="s">
        <v>17</v>
      </c>
      <c r="E7100" t="s">
        <v>12</v>
      </c>
      <c r="F7100">
        <v>57591147</v>
      </c>
      <c r="G7100">
        <v>57591191</v>
      </c>
      <c r="H7100">
        <v>57590526</v>
      </c>
      <c r="I7100">
        <v>57590553</v>
      </c>
    </row>
    <row r="7101" spans="1:9" x14ac:dyDescent="0.2">
      <c r="A7101" t="str">
        <f>"Gabrd"</f>
        <v>Gabrd</v>
      </c>
      <c r="B7101" t="s">
        <v>14</v>
      </c>
      <c r="C7101" t="s">
        <v>23</v>
      </c>
      <c r="D7101" t="s">
        <v>11</v>
      </c>
      <c r="E7101" t="s">
        <v>12</v>
      </c>
      <c r="F7101">
        <v>155398059</v>
      </c>
      <c r="G7101">
        <v>155398080</v>
      </c>
      <c r="H7101">
        <v>155398037</v>
      </c>
      <c r="I7101">
        <v>155398055</v>
      </c>
    </row>
    <row r="7102" spans="1:9" x14ac:dyDescent="0.2">
      <c r="A7102" t="str">
        <f>"Gabre"</f>
        <v>Gabre</v>
      </c>
      <c r="B7102" t="s">
        <v>14</v>
      </c>
      <c r="C7102" t="s">
        <v>37</v>
      </c>
      <c r="D7102" t="s">
        <v>11</v>
      </c>
      <c r="E7102" t="s">
        <v>12</v>
      </c>
      <c r="F7102">
        <v>72274747</v>
      </c>
      <c r="G7102">
        <v>72274757</v>
      </c>
      <c r="H7102">
        <v>72274970</v>
      </c>
      <c r="I7102">
        <v>72274984</v>
      </c>
    </row>
    <row r="7103" spans="1:9" x14ac:dyDescent="0.2">
      <c r="A7103" t="str">
        <f>"Gabrg1"</f>
        <v>Gabrg1</v>
      </c>
      <c r="B7103" t="s">
        <v>14</v>
      </c>
      <c r="C7103" t="s">
        <v>46</v>
      </c>
      <c r="D7103" t="s">
        <v>11</v>
      </c>
      <c r="E7103" t="s">
        <v>12</v>
      </c>
      <c r="F7103">
        <v>70842292</v>
      </c>
      <c r="G7103">
        <v>70842338</v>
      </c>
      <c r="H7103">
        <v>70842292</v>
      </c>
      <c r="I7103">
        <v>70842338</v>
      </c>
    </row>
    <row r="7104" spans="1:9" x14ac:dyDescent="0.2">
      <c r="A7104" t="str">
        <f>"Gabrg2"</f>
        <v>Gabrg2</v>
      </c>
      <c r="B7104" t="s">
        <v>14</v>
      </c>
      <c r="C7104" t="s">
        <v>27</v>
      </c>
      <c r="D7104" t="s">
        <v>11</v>
      </c>
      <c r="E7104" t="s">
        <v>12</v>
      </c>
      <c r="F7104">
        <v>42000284</v>
      </c>
      <c r="G7104">
        <v>42000342</v>
      </c>
      <c r="H7104">
        <v>42000284</v>
      </c>
      <c r="I7104">
        <v>42000342</v>
      </c>
    </row>
    <row r="7105" spans="1:9" x14ac:dyDescent="0.2">
      <c r="A7105" t="str">
        <f>"Gabrg3"</f>
        <v>Gabrg3</v>
      </c>
      <c r="B7105" t="s">
        <v>14</v>
      </c>
      <c r="C7105" t="s">
        <v>33</v>
      </c>
      <c r="D7105" t="s">
        <v>11</v>
      </c>
      <c r="E7105" t="s">
        <v>12</v>
      </c>
      <c r="F7105">
        <v>57387172</v>
      </c>
      <c r="G7105">
        <v>57387222</v>
      </c>
      <c r="H7105">
        <v>57386972</v>
      </c>
      <c r="I7105">
        <v>57386991</v>
      </c>
    </row>
    <row r="7106" spans="1:9" x14ac:dyDescent="0.2">
      <c r="A7106" t="str">
        <f>"Gabrp"</f>
        <v>Gabrp</v>
      </c>
      <c r="B7106" t="s">
        <v>14</v>
      </c>
      <c r="C7106" t="s">
        <v>27</v>
      </c>
      <c r="D7106" t="s">
        <v>11</v>
      </c>
      <c r="E7106" t="s">
        <v>12</v>
      </c>
      <c r="F7106">
        <v>33578933</v>
      </c>
      <c r="G7106">
        <v>33578966</v>
      </c>
      <c r="H7106">
        <v>33578969</v>
      </c>
      <c r="I7106">
        <v>33578983</v>
      </c>
    </row>
    <row r="7107" spans="1:9" x14ac:dyDescent="0.2">
      <c r="A7107" t="str">
        <f>"Gabrq"</f>
        <v>Gabrq</v>
      </c>
      <c r="B7107" t="s">
        <v>14</v>
      </c>
      <c r="C7107" t="s">
        <v>37</v>
      </c>
      <c r="D7107" t="s">
        <v>17</v>
      </c>
      <c r="E7107" t="s">
        <v>12</v>
      </c>
      <c r="F7107">
        <v>72825190</v>
      </c>
      <c r="G7107">
        <v>72825213</v>
      </c>
      <c r="H7107">
        <v>72825161</v>
      </c>
      <c r="I7107">
        <v>72825183</v>
      </c>
    </row>
    <row r="7108" spans="1:9" x14ac:dyDescent="0.2">
      <c r="A7108" t="str">
        <f>"Gabrr1"</f>
        <v>Gabrr1</v>
      </c>
      <c r="B7108" t="s">
        <v>14</v>
      </c>
      <c r="C7108" t="s">
        <v>23</v>
      </c>
      <c r="D7108" t="s">
        <v>17</v>
      </c>
      <c r="E7108" t="s">
        <v>12</v>
      </c>
      <c r="F7108">
        <v>33132503</v>
      </c>
      <c r="G7108">
        <v>33132513</v>
      </c>
      <c r="H7108">
        <v>33132503</v>
      </c>
      <c r="I7108">
        <v>33132513</v>
      </c>
    </row>
    <row r="7109" spans="1:9" x14ac:dyDescent="0.2">
      <c r="A7109" t="str">
        <f>"Gabrr2"</f>
        <v>Gabrr2</v>
      </c>
      <c r="B7109" t="s">
        <v>14</v>
      </c>
      <c r="C7109" t="s">
        <v>23</v>
      </c>
      <c r="D7109" t="s">
        <v>17</v>
      </c>
      <c r="E7109" t="s">
        <v>12</v>
      </c>
      <c r="F7109">
        <v>33062954</v>
      </c>
      <c r="G7109">
        <v>33062961</v>
      </c>
      <c r="H7109">
        <v>33062954</v>
      </c>
      <c r="I7109">
        <v>33062961</v>
      </c>
    </row>
    <row r="7110" spans="1:9" x14ac:dyDescent="0.2">
      <c r="A7110" t="str">
        <f>"Gabrr3"</f>
        <v>Gabrr3</v>
      </c>
      <c r="B7110" t="s">
        <v>14</v>
      </c>
      <c r="C7110" t="s">
        <v>31</v>
      </c>
      <c r="D7110" t="s">
        <v>17</v>
      </c>
      <c r="E7110" t="s">
        <v>12</v>
      </c>
      <c r="F7110">
        <v>59407083</v>
      </c>
      <c r="G7110">
        <v>59407126</v>
      </c>
      <c r="H7110">
        <v>59407083</v>
      </c>
      <c r="I7110">
        <v>59407126</v>
      </c>
    </row>
    <row r="7111" spans="1:9" x14ac:dyDescent="0.2">
      <c r="A7111" t="str">
        <f>"Gad1"</f>
        <v>Gad1</v>
      </c>
      <c r="B7111" t="s">
        <v>14</v>
      </c>
      <c r="C7111" t="s">
        <v>26</v>
      </c>
      <c r="D7111" t="s">
        <v>17</v>
      </c>
      <c r="E7111" t="s">
        <v>12</v>
      </c>
      <c r="F7111">
        <v>70562147</v>
      </c>
      <c r="G7111">
        <v>70562208</v>
      </c>
      <c r="H7111">
        <v>70562007</v>
      </c>
      <c r="I7111">
        <v>70562037</v>
      </c>
    </row>
    <row r="7112" spans="1:9" x14ac:dyDescent="0.2">
      <c r="A7112" t="str">
        <f>"Gad1-ps"</f>
        <v>Gad1-ps</v>
      </c>
      <c r="B7112" t="s">
        <v>14</v>
      </c>
      <c r="C7112" t="s">
        <v>15</v>
      </c>
      <c r="D7112" t="s">
        <v>17</v>
      </c>
      <c r="E7112" t="s">
        <v>67</v>
      </c>
      <c r="F7112">
        <v>99443699</v>
      </c>
      <c r="G7112">
        <v>99443733</v>
      </c>
      <c r="H7112">
        <v>99443699</v>
      </c>
      <c r="I7112">
        <v>99443733</v>
      </c>
    </row>
    <row r="7113" spans="1:9" x14ac:dyDescent="0.2">
      <c r="A7113" t="str">
        <f>"Gad2"</f>
        <v>Gad2</v>
      </c>
      <c r="B7113" t="s">
        <v>14</v>
      </c>
      <c r="C7113" t="s">
        <v>26</v>
      </c>
      <c r="D7113" t="s">
        <v>17</v>
      </c>
      <c r="E7113" t="s">
        <v>12</v>
      </c>
      <c r="F7113">
        <v>22622531</v>
      </c>
      <c r="G7113">
        <v>22622592</v>
      </c>
      <c r="H7113">
        <v>22622277</v>
      </c>
      <c r="I7113">
        <v>22622303</v>
      </c>
    </row>
    <row r="7114" spans="1:9" x14ac:dyDescent="0.2">
      <c r="A7114" t="str">
        <f>"Gadd45a"</f>
        <v>Gadd45a</v>
      </c>
      <c r="B7114" t="s">
        <v>14</v>
      </c>
      <c r="C7114" t="s">
        <v>32</v>
      </c>
      <c r="D7114" t="s">
        <v>11</v>
      </c>
      <c r="E7114" t="s">
        <v>12</v>
      </c>
      <c r="F7114">
        <v>67037399</v>
      </c>
      <c r="G7114">
        <v>67037417</v>
      </c>
      <c r="H7114">
        <v>67037378</v>
      </c>
      <c r="I7114">
        <v>67037394</v>
      </c>
    </row>
    <row r="7115" spans="1:9" x14ac:dyDescent="0.2">
      <c r="A7115" t="str">
        <f>"Gadd45b"</f>
        <v>Gadd45b</v>
      </c>
      <c r="B7115" t="s">
        <v>14</v>
      </c>
      <c r="C7115" t="s">
        <v>15</v>
      </c>
      <c r="D7115" t="s">
        <v>17</v>
      </c>
      <c r="E7115" t="s">
        <v>12</v>
      </c>
      <c r="F7115">
        <v>80930071</v>
      </c>
      <c r="G7115">
        <v>80930075</v>
      </c>
      <c r="H7115">
        <v>80930071</v>
      </c>
      <c r="I7115">
        <v>80930075</v>
      </c>
    </row>
    <row r="7116" spans="1:9" x14ac:dyDescent="0.2">
      <c r="A7116" t="str">
        <f>"Gadd45g"</f>
        <v>Gadd45g</v>
      </c>
      <c r="B7116" t="s">
        <v>14</v>
      </c>
      <c r="C7116" t="s">
        <v>39</v>
      </c>
      <c r="D7116" t="s">
        <v>17</v>
      </c>
      <c r="E7116" t="s">
        <v>12</v>
      </c>
      <c r="F7116">
        <v>51846673</v>
      </c>
      <c r="G7116">
        <v>51846683</v>
      </c>
      <c r="H7116">
        <v>51846743</v>
      </c>
      <c r="I7116">
        <v>51846783</v>
      </c>
    </row>
    <row r="7117" spans="1:9" x14ac:dyDescent="0.2">
      <c r="A7117" t="str">
        <f>"Gadd45gip1"</f>
        <v>Gadd45gip1</v>
      </c>
      <c r="B7117" t="s">
        <v>14</v>
      </c>
      <c r="C7117" t="s">
        <v>30</v>
      </c>
      <c r="D7117" t="s">
        <v>17</v>
      </c>
      <c r="E7117" t="s">
        <v>12</v>
      </c>
      <c r="F7117">
        <v>84832257</v>
      </c>
      <c r="G7117">
        <v>84832295</v>
      </c>
      <c r="H7117">
        <v>84832257</v>
      </c>
      <c r="I7117">
        <v>84832295</v>
      </c>
    </row>
    <row r="7118" spans="1:9" x14ac:dyDescent="0.2">
      <c r="A7118" t="str">
        <f>"Gadl1"</f>
        <v>Gadl1</v>
      </c>
      <c r="B7118" t="s">
        <v>14</v>
      </c>
      <c r="C7118" t="s">
        <v>24</v>
      </c>
      <c r="D7118" t="s">
        <v>17</v>
      </c>
      <c r="E7118" t="s">
        <v>12</v>
      </c>
      <c r="F7118">
        <v>115908472</v>
      </c>
      <c r="G7118">
        <v>115908497</v>
      </c>
      <c r="H7118">
        <v>115908429</v>
      </c>
      <c r="I7118">
        <v>115908445</v>
      </c>
    </row>
    <row r="7119" spans="1:9" x14ac:dyDescent="0.2">
      <c r="A7119" t="str">
        <f>"Gak"</f>
        <v>Gak</v>
      </c>
      <c r="B7119" t="s">
        <v>14</v>
      </c>
      <c r="C7119" t="s">
        <v>46</v>
      </c>
      <c r="D7119" t="s">
        <v>11</v>
      </c>
      <c r="E7119" t="s">
        <v>12</v>
      </c>
      <c r="F7119">
        <v>108629712</v>
      </c>
      <c r="G7119">
        <v>108629761</v>
      </c>
      <c r="H7119">
        <v>108629686</v>
      </c>
      <c r="I7119">
        <v>108629707</v>
      </c>
    </row>
    <row r="7120" spans="1:9" x14ac:dyDescent="0.2">
      <c r="A7120" t="str">
        <f>"Gal"</f>
        <v>Gal</v>
      </c>
      <c r="B7120" t="s">
        <v>14</v>
      </c>
      <c r="C7120" t="s">
        <v>10</v>
      </c>
      <c r="D7120" t="s">
        <v>11</v>
      </c>
      <c r="E7120" t="s">
        <v>12</v>
      </c>
      <c r="F7120">
        <v>3414464</v>
      </c>
      <c r="G7120">
        <v>3414481</v>
      </c>
      <c r="H7120">
        <v>3414464</v>
      </c>
      <c r="I7120">
        <v>3414481</v>
      </c>
    </row>
    <row r="7121" spans="1:9" x14ac:dyDescent="0.2">
      <c r="A7121" t="str">
        <f>"Gal3st1"</f>
        <v>Gal3st1</v>
      </c>
      <c r="B7121" t="s">
        <v>14</v>
      </c>
      <c r="C7121" t="s">
        <v>27</v>
      </c>
      <c r="D7121" t="s">
        <v>17</v>
      </c>
      <c r="E7121" t="s">
        <v>12</v>
      </c>
      <c r="F7121">
        <v>3983640</v>
      </c>
      <c r="G7121">
        <v>3983695</v>
      </c>
      <c r="H7121">
        <v>3983704</v>
      </c>
      <c r="I7121">
        <v>3983737</v>
      </c>
    </row>
    <row r="7122" spans="1:9" x14ac:dyDescent="0.2">
      <c r="A7122" t="str">
        <f>"Gal3st2"</f>
        <v>Gal3st2</v>
      </c>
      <c r="B7122" t="s">
        <v>14</v>
      </c>
      <c r="C7122" t="s">
        <v>19</v>
      </c>
      <c r="D7122" t="s">
        <v>17</v>
      </c>
      <c r="E7122" t="s">
        <v>12</v>
      </c>
      <c r="F7122">
        <v>93861554</v>
      </c>
      <c r="G7122">
        <v>93861567</v>
      </c>
      <c r="H7122">
        <v>93861554</v>
      </c>
      <c r="I7122">
        <v>93861567</v>
      </c>
    </row>
    <row r="7123" spans="1:9" x14ac:dyDescent="0.2">
      <c r="A7123" t="str">
        <f>"Gal3st3"</f>
        <v>Gal3st3</v>
      </c>
      <c r="B7123" t="s">
        <v>14</v>
      </c>
      <c r="C7123" t="s">
        <v>10</v>
      </c>
      <c r="D7123" t="s">
        <v>17</v>
      </c>
      <c r="E7123" t="s">
        <v>12</v>
      </c>
      <c r="F7123">
        <v>5298302</v>
      </c>
      <c r="G7123">
        <v>5298357</v>
      </c>
      <c r="H7123">
        <v>5298276</v>
      </c>
      <c r="I7123">
        <v>5298287</v>
      </c>
    </row>
    <row r="7124" spans="1:9" x14ac:dyDescent="0.2">
      <c r="A7124" t="str">
        <f>"Gal3st4"</f>
        <v>Gal3st4</v>
      </c>
      <c r="B7124" t="s">
        <v>14</v>
      </c>
      <c r="C7124" t="s">
        <v>46</v>
      </c>
      <c r="D7124" t="s">
        <v>11</v>
      </c>
      <c r="E7124" t="s">
        <v>12</v>
      </c>
      <c r="F7124">
        <v>138272786</v>
      </c>
      <c r="G7124">
        <v>138272817</v>
      </c>
      <c r="H7124">
        <v>138272747</v>
      </c>
      <c r="I7124">
        <v>138272757</v>
      </c>
    </row>
    <row r="7125" spans="1:9" x14ac:dyDescent="0.2">
      <c r="A7125" t="str">
        <f>"Galc"</f>
        <v>Galc</v>
      </c>
      <c r="B7125" t="s">
        <v>14</v>
      </c>
      <c r="C7125" t="s">
        <v>16</v>
      </c>
      <c r="D7125" t="s">
        <v>11</v>
      </c>
      <c r="E7125" t="s">
        <v>12</v>
      </c>
      <c r="F7125">
        <v>98259339</v>
      </c>
      <c r="G7125">
        <v>98259360</v>
      </c>
      <c r="H7125">
        <v>98259247</v>
      </c>
      <c r="I7125">
        <v>98259338</v>
      </c>
    </row>
    <row r="7126" spans="1:9" x14ac:dyDescent="0.2">
      <c r="A7126" t="str">
        <f>"Gale"</f>
        <v>Gale</v>
      </c>
      <c r="B7126" t="s">
        <v>14</v>
      </c>
      <c r="C7126" t="s">
        <v>23</v>
      </c>
      <c r="D7126" t="s">
        <v>17</v>
      </c>
      <c r="E7126" t="s">
        <v>12</v>
      </c>
      <c r="F7126">
        <v>135963742</v>
      </c>
      <c r="G7126">
        <v>135963760</v>
      </c>
      <c r="H7126">
        <v>135963720</v>
      </c>
      <c r="I7126">
        <v>135963733</v>
      </c>
    </row>
    <row r="7127" spans="1:9" x14ac:dyDescent="0.2">
      <c r="A7127" t="str">
        <f>"Galk1"</f>
        <v>Galk1</v>
      </c>
      <c r="B7127" t="s">
        <v>14</v>
      </c>
      <c r="C7127" t="s">
        <v>27</v>
      </c>
      <c r="D7127" t="s">
        <v>11</v>
      </c>
      <c r="E7127" t="s">
        <v>12</v>
      </c>
      <c r="F7127">
        <v>116012678</v>
      </c>
      <c r="G7127">
        <v>116012711</v>
      </c>
      <c r="H7127">
        <v>116012713</v>
      </c>
      <c r="I7127">
        <v>116012724</v>
      </c>
    </row>
    <row r="7128" spans="1:9" x14ac:dyDescent="0.2">
      <c r="A7128" t="str">
        <f>"Galk2"</f>
        <v>Galk2</v>
      </c>
      <c r="B7128" t="s">
        <v>14</v>
      </c>
      <c r="C7128" t="s">
        <v>26</v>
      </c>
      <c r="D7128" t="s">
        <v>17</v>
      </c>
      <c r="E7128" t="s">
        <v>12</v>
      </c>
      <c r="F7128">
        <v>125866224</v>
      </c>
      <c r="G7128">
        <v>125866282</v>
      </c>
      <c r="H7128">
        <v>125866283</v>
      </c>
      <c r="I7128">
        <v>125866305</v>
      </c>
    </row>
    <row r="7129" spans="1:9" x14ac:dyDescent="0.2">
      <c r="A7129" t="str">
        <f>"Galm"</f>
        <v>Galm</v>
      </c>
      <c r="B7129" t="s">
        <v>14</v>
      </c>
      <c r="C7129" t="s">
        <v>28</v>
      </c>
      <c r="D7129" t="s">
        <v>17</v>
      </c>
      <c r="E7129" t="s">
        <v>12</v>
      </c>
      <c r="F7129">
        <v>80127641</v>
      </c>
      <c r="G7129">
        <v>80127684</v>
      </c>
      <c r="H7129">
        <v>80127447</v>
      </c>
      <c r="I7129">
        <v>80127477</v>
      </c>
    </row>
    <row r="7130" spans="1:9" x14ac:dyDescent="0.2">
      <c r="A7130" t="str">
        <f>"Galns"</f>
        <v>Galns</v>
      </c>
      <c r="B7130" t="s">
        <v>14</v>
      </c>
      <c r="C7130" t="s">
        <v>30</v>
      </c>
      <c r="D7130" t="s">
        <v>11</v>
      </c>
      <c r="E7130" t="s">
        <v>12</v>
      </c>
      <c r="F7130">
        <v>122611358</v>
      </c>
      <c r="G7130">
        <v>122611411</v>
      </c>
      <c r="H7130">
        <v>122611419</v>
      </c>
      <c r="I7130">
        <v>122611438</v>
      </c>
    </row>
    <row r="7131" spans="1:9" x14ac:dyDescent="0.2">
      <c r="A7131" t="str">
        <f>"Galnt1"</f>
        <v>Galnt1</v>
      </c>
      <c r="B7131" t="s">
        <v>14</v>
      </c>
      <c r="C7131" t="s">
        <v>43</v>
      </c>
      <c r="D7131" t="s">
        <v>17</v>
      </c>
      <c r="E7131" t="s">
        <v>12</v>
      </c>
      <c r="F7131">
        <v>24205937</v>
      </c>
      <c r="G7131">
        <v>24206002</v>
      </c>
      <c r="H7131">
        <v>24205722</v>
      </c>
      <c r="I7131">
        <v>24205762</v>
      </c>
    </row>
    <row r="7132" spans="1:9" x14ac:dyDescent="0.2">
      <c r="A7132" t="str">
        <f>"Galnt10"</f>
        <v>Galnt10</v>
      </c>
      <c r="B7132" t="s">
        <v>14</v>
      </c>
      <c r="C7132" t="s">
        <v>27</v>
      </c>
      <c r="D7132" t="s">
        <v>17</v>
      </c>
      <c r="E7132" t="s">
        <v>12</v>
      </c>
      <c r="F7132">
        <v>57645417</v>
      </c>
      <c r="G7132">
        <v>57645489</v>
      </c>
      <c r="H7132">
        <v>57645545</v>
      </c>
      <c r="I7132">
        <v>57645552</v>
      </c>
    </row>
    <row r="7133" spans="1:9" x14ac:dyDescent="0.2">
      <c r="A7133" t="str">
        <f>"Galnt11"</f>
        <v>Galnt11</v>
      </c>
      <c r="B7133" t="s">
        <v>9</v>
      </c>
      <c r="C7133" t="s">
        <v>46</v>
      </c>
      <c r="D7133" t="s">
        <v>17</v>
      </c>
      <c r="E7133" t="s">
        <v>12</v>
      </c>
      <c r="F7133">
        <v>25222862</v>
      </c>
      <c r="G7133">
        <v>25222951</v>
      </c>
      <c r="H7133">
        <v>25222862</v>
      </c>
      <c r="I7133">
        <v>25222951</v>
      </c>
    </row>
    <row r="7134" spans="1:9" x14ac:dyDescent="0.2">
      <c r="A7134" t="str">
        <f>"Galnt11"</f>
        <v>Galnt11</v>
      </c>
      <c r="B7134" t="s">
        <v>13</v>
      </c>
      <c r="C7134" t="s">
        <v>46</v>
      </c>
      <c r="D7134" t="s">
        <v>17</v>
      </c>
      <c r="E7134" t="s">
        <v>12</v>
      </c>
      <c r="F7134">
        <v>25247385</v>
      </c>
      <c r="G7134">
        <v>25247409</v>
      </c>
      <c r="H7134">
        <v>25247385</v>
      </c>
      <c r="I7134">
        <v>25247409</v>
      </c>
    </row>
    <row r="7135" spans="1:9" x14ac:dyDescent="0.2">
      <c r="A7135" t="str">
        <f>"Galnt12"</f>
        <v>Galnt12</v>
      </c>
      <c r="B7135" t="s">
        <v>14</v>
      </c>
      <c r="C7135" t="s">
        <v>23</v>
      </c>
      <c r="D7135" t="s">
        <v>17</v>
      </c>
      <c r="E7135" t="s">
        <v>12</v>
      </c>
      <c r="F7135">
        <v>47091913</v>
      </c>
      <c r="G7135">
        <v>47091969</v>
      </c>
      <c r="H7135">
        <v>47092026</v>
      </c>
      <c r="I7135">
        <v>47092056</v>
      </c>
    </row>
    <row r="7136" spans="1:9" x14ac:dyDescent="0.2">
      <c r="A7136" t="str">
        <f>"Galnt13"</f>
        <v>Galnt13</v>
      </c>
      <c r="B7136" t="s">
        <v>14</v>
      </c>
      <c r="C7136" t="s">
        <v>26</v>
      </c>
      <c r="D7136" t="s">
        <v>17</v>
      </c>
      <c r="E7136" t="s">
        <v>12</v>
      </c>
      <c r="F7136">
        <v>54436374</v>
      </c>
      <c r="G7136">
        <v>54436422</v>
      </c>
      <c r="H7136">
        <v>54436207</v>
      </c>
      <c r="I7136">
        <v>54436241</v>
      </c>
    </row>
    <row r="7137" spans="1:9" x14ac:dyDescent="0.2">
      <c r="A7137" t="str">
        <f>"Galnt14"</f>
        <v>Galnt14</v>
      </c>
      <c r="B7137" t="s">
        <v>14</v>
      </c>
      <c r="C7137" t="s">
        <v>28</v>
      </c>
      <c r="D7137" t="s">
        <v>11</v>
      </c>
      <c r="E7137" t="s">
        <v>12</v>
      </c>
      <c r="F7137">
        <v>73710384</v>
      </c>
      <c r="G7137">
        <v>73710405</v>
      </c>
      <c r="H7137">
        <v>73710416</v>
      </c>
      <c r="I7137">
        <v>73710440</v>
      </c>
    </row>
    <row r="7138" spans="1:9" x14ac:dyDescent="0.2">
      <c r="A7138" t="str">
        <f>"Galnt15"</f>
        <v>Galnt15</v>
      </c>
      <c r="B7138" t="s">
        <v>14</v>
      </c>
      <c r="C7138" t="s">
        <v>41</v>
      </c>
      <c r="D7138" t="s">
        <v>17</v>
      </c>
      <c r="E7138" t="s">
        <v>67</v>
      </c>
      <c r="F7138">
        <v>32028960</v>
      </c>
      <c r="G7138">
        <v>32029005</v>
      </c>
      <c r="H7138">
        <v>32029013</v>
      </c>
      <c r="I7138">
        <v>32029044</v>
      </c>
    </row>
    <row r="7139" spans="1:9" x14ac:dyDescent="0.2">
      <c r="A7139" t="str">
        <f>"Galnt16"</f>
        <v>Galnt16</v>
      </c>
      <c r="B7139" t="s">
        <v>14</v>
      </c>
      <c r="C7139" t="s">
        <v>16</v>
      </c>
      <c r="D7139" t="s">
        <v>17</v>
      </c>
      <c r="E7139" t="s">
        <v>67</v>
      </c>
      <c r="F7139">
        <v>80519007</v>
      </c>
      <c r="G7139">
        <v>80519087</v>
      </c>
      <c r="H7139">
        <v>80518982</v>
      </c>
      <c r="I7139">
        <v>80519003</v>
      </c>
    </row>
    <row r="7140" spans="1:9" x14ac:dyDescent="0.2">
      <c r="A7140" t="str">
        <f>"Galnt18"</f>
        <v>Galnt18</v>
      </c>
      <c r="B7140" t="s">
        <v>14</v>
      </c>
      <c r="C7140" t="s">
        <v>33</v>
      </c>
      <c r="D7140" t="s">
        <v>11</v>
      </c>
      <c r="E7140" t="s">
        <v>67</v>
      </c>
      <c r="F7140">
        <v>111779963</v>
      </c>
      <c r="G7140">
        <v>111779993</v>
      </c>
      <c r="H7140">
        <v>111780054</v>
      </c>
      <c r="I7140">
        <v>111780068</v>
      </c>
    </row>
    <row r="7141" spans="1:9" x14ac:dyDescent="0.2">
      <c r="A7141" t="str">
        <f>"Galnt2"</f>
        <v>Galnt2</v>
      </c>
      <c r="B7141" t="s">
        <v>14</v>
      </c>
      <c r="C7141" t="s">
        <v>30</v>
      </c>
      <c r="D7141" t="s">
        <v>17</v>
      </c>
      <c r="E7141" t="s">
        <v>12</v>
      </c>
      <c r="F7141">
        <v>124231359</v>
      </c>
      <c r="G7141">
        <v>124231450</v>
      </c>
      <c r="H7141">
        <v>124231461</v>
      </c>
      <c r="I7141">
        <v>124231530</v>
      </c>
    </row>
    <row r="7142" spans="1:9" x14ac:dyDescent="0.2">
      <c r="A7142" t="str">
        <f>"Galnt3"</f>
        <v>Galnt3</v>
      </c>
      <c r="B7142" t="s">
        <v>14</v>
      </c>
      <c r="C7142" t="s">
        <v>26</v>
      </c>
      <c r="D7142" t="s">
        <v>11</v>
      </c>
      <c r="E7142" t="s">
        <v>12</v>
      </c>
      <c r="F7142">
        <v>66124714</v>
      </c>
      <c r="G7142">
        <v>66124764</v>
      </c>
      <c r="H7142">
        <v>66124767</v>
      </c>
      <c r="I7142">
        <v>66124804</v>
      </c>
    </row>
    <row r="7143" spans="1:9" x14ac:dyDescent="0.2">
      <c r="A7143" t="str">
        <f>"Galnt4"</f>
        <v>Galnt4</v>
      </c>
      <c r="B7143" t="s">
        <v>14</v>
      </c>
      <c r="C7143" t="s">
        <v>15</v>
      </c>
      <c r="D7143" t="s">
        <v>17</v>
      </c>
      <c r="E7143" t="s">
        <v>12</v>
      </c>
      <c r="F7143">
        <v>99108138</v>
      </c>
      <c r="G7143">
        <v>99108206</v>
      </c>
      <c r="H7143">
        <v>99108138</v>
      </c>
      <c r="I7143">
        <v>99108206</v>
      </c>
    </row>
    <row r="7144" spans="1:9" x14ac:dyDescent="0.2">
      <c r="A7144" t="str">
        <f>"Galnt5"</f>
        <v>Galnt5</v>
      </c>
      <c r="B7144" t="s">
        <v>14</v>
      </c>
      <c r="C7144" t="s">
        <v>26</v>
      </c>
      <c r="D7144" t="s">
        <v>17</v>
      </c>
      <c r="E7144" t="s">
        <v>12</v>
      </c>
      <c r="F7144">
        <v>57998010</v>
      </c>
      <c r="G7144">
        <v>57998039</v>
      </c>
      <c r="H7144">
        <v>57997850</v>
      </c>
      <c r="I7144">
        <v>57997881</v>
      </c>
    </row>
    <row r="7145" spans="1:9" x14ac:dyDescent="0.2">
      <c r="A7145" t="str">
        <f>"Galnt6"</f>
        <v>Galnt6</v>
      </c>
      <c r="B7145" t="s">
        <v>14</v>
      </c>
      <c r="C7145" t="s">
        <v>25</v>
      </c>
      <c r="D7145" t="s">
        <v>11</v>
      </c>
      <c r="E7145" t="s">
        <v>12</v>
      </c>
      <c r="F7145">
        <v>100729326</v>
      </c>
      <c r="G7145">
        <v>100729381</v>
      </c>
      <c r="H7145">
        <v>100729326</v>
      </c>
      <c r="I7145">
        <v>100729381</v>
      </c>
    </row>
    <row r="7146" spans="1:9" x14ac:dyDescent="0.2">
      <c r="A7146" t="str">
        <f>"Galnt7"</f>
        <v>Galnt7</v>
      </c>
      <c r="B7146" t="s">
        <v>14</v>
      </c>
      <c r="C7146" t="s">
        <v>30</v>
      </c>
      <c r="D7146" t="s">
        <v>11</v>
      </c>
      <c r="E7146" t="s">
        <v>12</v>
      </c>
      <c r="F7146">
        <v>57652993</v>
      </c>
      <c r="G7146">
        <v>57653013</v>
      </c>
      <c r="H7146">
        <v>57653023</v>
      </c>
      <c r="I7146">
        <v>57653039</v>
      </c>
    </row>
    <row r="7147" spans="1:9" x14ac:dyDescent="0.2">
      <c r="A7147" t="str">
        <f>"Galnt9"</f>
        <v>Galnt9</v>
      </c>
      <c r="B7147" t="s">
        <v>14</v>
      </c>
      <c r="C7147" t="s">
        <v>46</v>
      </c>
      <c r="D7147" t="s">
        <v>17</v>
      </c>
      <c r="E7147" t="s">
        <v>12</v>
      </c>
      <c r="F7147">
        <v>110544326</v>
      </c>
      <c r="G7147">
        <v>110544370</v>
      </c>
      <c r="H7147">
        <v>110544375</v>
      </c>
      <c r="I7147">
        <v>110544400</v>
      </c>
    </row>
    <row r="7148" spans="1:9" x14ac:dyDescent="0.2">
      <c r="A7148" t="str">
        <f>"Galntl5"</f>
        <v>Galntl5</v>
      </c>
      <c r="B7148" t="s">
        <v>14</v>
      </c>
      <c r="C7148" t="s">
        <v>46</v>
      </c>
      <c r="D7148" t="s">
        <v>17</v>
      </c>
      <c r="E7148" t="s">
        <v>12</v>
      </c>
      <c r="F7148">
        <v>25181491</v>
      </c>
      <c r="G7148">
        <v>25181512</v>
      </c>
      <c r="H7148">
        <v>25181491</v>
      </c>
      <c r="I7148">
        <v>25181512</v>
      </c>
    </row>
    <row r="7149" spans="1:9" x14ac:dyDescent="0.2">
      <c r="A7149" t="str">
        <f>"Galntl6"</f>
        <v>Galntl6</v>
      </c>
      <c r="B7149" t="s">
        <v>2487</v>
      </c>
      <c r="C7149" t="s">
        <v>30</v>
      </c>
      <c r="D7149" t="s">
        <v>11</v>
      </c>
      <c r="E7149" t="s">
        <v>35</v>
      </c>
      <c r="F7149">
        <v>58911639</v>
      </c>
      <c r="G7149">
        <v>58911652</v>
      </c>
      <c r="H7149">
        <v>58911622</v>
      </c>
      <c r="I7149">
        <v>58911632</v>
      </c>
    </row>
    <row r="7150" spans="1:9" x14ac:dyDescent="0.2">
      <c r="A7150" t="str">
        <f>"Galp"</f>
        <v>Galp</v>
      </c>
      <c r="B7150" t="s">
        <v>2488</v>
      </c>
      <c r="C7150" t="s">
        <v>33</v>
      </c>
      <c r="D7150" t="s">
        <v>17</v>
      </c>
      <c r="E7150" t="s">
        <v>20</v>
      </c>
      <c r="F7150">
        <v>6197089</v>
      </c>
      <c r="G7150">
        <v>6197089</v>
      </c>
      <c r="H7150">
        <v>6197089</v>
      </c>
      <c r="I7150">
        <v>6197089</v>
      </c>
    </row>
    <row r="7151" spans="1:9" x14ac:dyDescent="0.2">
      <c r="A7151" t="str">
        <f>"Galr1"</f>
        <v>Galr1</v>
      </c>
      <c r="B7151" t="s">
        <v>14</v>
      </c>
      <c r="C7151" t="s">
        <v>43</v>
      </c>
      <c r="D7151" t="s">
        <v>11</v>
      </c>
      <c r="E7151" t="s">
        <v>12</v>
      </c>
      <c r="F7151">
        <v>82406956</v>
      </c>
      <c r="G7151">
        <v>82406968</v>
      </c>
      <c r="H7151">
        <v>82406956</v>
      </c>
      <c r="I7151">
        <v>82406968</v>
      </c>
    </row>
    <row r="7152" spans="1:9" x14ac:dyDescent="0.2">
      <c r="A7152" t="str">
        <f>"Galr2"</f>
        <v>Galr2</v>
      </c>
      <c r="B7152" t="s">
        <v>14</v>
      </c>
      <c r="C7152" t="s">
        <v>27</v>
      </c>
      <c r="D7152" t="s">
        <v>17</v>
      </c>
      <c r="E7152" t="s">
        <v>12</v>
      </c>
      <c r="F7152">
        <v>116281167</v>
      </c>
      <c r="G7152">
        <v>116281200</v>
      </c>
      <c r="H7152">
        <v>116281390</v>
      </c>
      <c r="I7152">
        <v>116281397</v>
      </c>
    </row>
    <row r="7153" spans="1:9" x14ac:dyDescent="0.2">
      <c r="A7153" t="str">
        <f>"Galt"</f>
        <v>Galt</v>
      </c>
      <c r="B7153" t="s">
        <v>14</v>
      </c>
      <c r="C7153" t="s">
        <v>23</v>
      </c>
      <c r="D7153" t="s">
        <v>17</v>
      </c>
      <c r="E7153" t="s">
        <v>12</v>
      </c>
      <c r="F7153">
        <v>41755532</v>
      </c>
      <c r="G7153">
        <v>41755565</v>
      </c>
      <c r="H7153">
        <v>41755532</v>
      </c>
      <c r="I7153">
        <v>41755565</v>
      </c>
    </row>
    <row r="7154" spans="1:9" x14ac:dyDescent="0.2">
      <c r="A7154" t="str">
        <f>"Gamt"</f>
        <v>Gamt</v>
      </c>
      <c r="B7154" t="s">
        <v>14</v>
      </c>
      <c r="C7154" t="s">
        <v>15</v>
      </c>
      <c r="D7154" t="s">
        <v>11</v>
      </c>
      <c r="E7154" t="s">
        <v>12</v>
      </c>
      <c r="F7154">
        <v>80260903</v>
      </c>
      <c r="G7154">
        <v>80260945</v>
      </c>
      <c r="H7154">
        <v>80260959</v>
      </c>
      <c r="I7154">
        <v>80260975</v>
      </c>
    </row>
    <row r="7155" spans="1:9" x14ac:dyDescent="0.2">
      <c r="A7155" t="str">
        <f>"Gan"</f>
        <v>Gan</v>
      </c>
      <c r="B7155" t="s">
        <v>14</v>
      </c>
      <c r="C7155" t="s">
        <v>30</v>
      </c>
      <c r="D7155" t="s">
        <v>17</v>
      </c>
      <c r="E7155" t="s">
        <v>12</v>
      </c>
      <c r="F7155">
        <v>117157972</v>
      </c>
      <c r="G7155">
        <v>117158035</v>
      </c>
      <c r="H7155">
        <v>117157950</v>
      </c>
      <c r="I7155">
        <v>117157967</v>
      </c>
    </row>
    <row r="7156" spans="1:9" x14ac:dyDescent="0.2">
      <c r="A7156" t="str">
        <f>"Ganab"</f>
        <v>Ganab</v>
      </c>
      <c r="B7156" t="s">
        <v>14</v>
      </c>
      <c r="C7156" t="s">
        <v>10</v>
      </c>
      <c r="D7156" t="s">
        <v>17</v>
      </c>
      <c r="E7156" t="s">
        <v>12</v>
      </c>
      <c r="F7156">
        <v>8898095</v>
      </c>
      <c r="G7156">
        <v>8898122</v>
      </c>
      <c r="H7156">
        <v>8898095</v>
      </c>
      <c r="I7156">
        <v>8898122</v>
      </c>
    </row>
    <row r="7157" spans="1:9" x14ac:dyDescent="0.2">
      <c r="A7157" t="str">
        <f>"Ganc"</f>
        <v>Ganc</v>
      </c>
      <c r="B7157" t="s">
        <v>14</v>
      </c>
      <c r="C7157" t="s">
        <v>26</v>
      </c>
      <c r="D7157" t="s">
        <v>17</v>
      </c>
      <c r="E7157" t="s">
        <v>12</v>
      </c>
      <c r="F7157">
        <v>120404167</v>
      </c>
      <c r="G7157">
        <v>120404257</v>
      </c>
      <c r="H7157">
        <v>120404787</v>
      </c>
      <c r="I7157">
        <v>120404831</v>
      </c>
    </row>
    <row r="7158" spans="1:9" x14ac:dyDescent="0.2">
      <c r="A7158" t="str">
        <f>"Gap43"</f>
        <v>Gap43</v>
      </c>
      <c r="B7158" t="s">
        <v>14</v>
      </c>
      <c r="C7158" t="s">
        <v>31</v>
      </c>
      <c r="D7158" t="s">
        <v>11</v>
      </c>
      <c r="E7158" t="s">
        <v>12</v>
      </c>
      <c r="F7158">
        <v>42340504</v>
      </c>
      <c r="G7158">
        <v>42340564</v>
      </c>
      <c r="H7158">
        <v>42340595</v>
      </c>
      <c r="I7158">
        <v>42340630</v>
      </c>
    </row>
    <row r="7159" spans="1:9" x14ac:dyDescent="0.2">
      <c r="A7159" t="str">
        <f>"Gapdh"</f>
        <v>Gapdh</v>
      </c>
      <c r="B7159" t="s">
        <v>14</v>
      </c>
      <c r="C7159" t="s">
        <v>32</v>
      </c>
      <c r="D7159" t="s">
        <v>11</v>
      </c>
      <c r="E7159" t="s">
        <v>12</v>
      </c>
      <c r="F7159">
        <v>125165594</v>
      </c>
      <c r="G7159">
        <v>125165612</v>
      </c>
      <c r="H7159">
        <v>125165317</v>
      </c>
      <c r="I7159">
        <v>125165334</v>
      </c>
    </row>
    <row r="7160" spans="1:9" x14ac:dyDescent="0.2">
      <c r="A7160" t="str">
        <f>"Gapdhs"</f>
        <v>Gapdhs</v>
      </c>
      <c r="B7160" t="s">
        <v>14</v>
      </c>
      <c r="C7160" t="s">
        <v>33</v>
      </c>
      <c r="D7160" t="s">
        <v>11</v>
      </c>
      <c r="E7160" t="s">
        <v>12</v>
      </c>
      <c r="F7160">
        <v>30744169</v>
      </c>
      <c r="G7160">
        <v>30744199</v>
      </c>
      <c r="H7160">
        <v>30744169</v>
      </c>
      <c r="I7160">
        <v>30744199</v>
      </c>
    </row>
    <row r="7161" spans="1:9" x14ac:dyDescent="0.2">
      <c r="A7161" t="str">
        <f>"Gapt"</f>
        <v>Gapt</v>
      </c>
      <c r="B7161" t="s">
        <v>14</v>
      </c>
      <c r="C7161" t="s">
        <v>39</v>
      </c>
      <c r="D7161" t="s">
        <v>11</v>
      </c>
      <c r="E7161" t="s">
        <v>12</v>
      </c>
      <c r="F7161">
        <v>110357136</v>
      </c>
      <c r="G7161">
        <v>110357195</v>
      </c>
      <c r="H7161">
        <v>110357197</v>
      </c>
      <c r="I7161">
        <v>110357201</v>
      </c>
    </row>
    <row r="7162" spans="1:9" x14ac:dyDescent="0.2">
      <c r="A7162" t="str">
        <f>"Gapvd1"</f>
        <v>Gapvd1</v>
      </c>
      <c r="B7162" t="s">
        <v>14</v>
      </c>
      <c r="C7162" t="s">
        <v>26</v>
      </c>
      <c r="D7162" t="s">
        <v>11</v>
      </c>
      <c r="E7162" t="s">
        <v>12</v>
      </c>
      <c r="F7162">
        <v>34754364</v>
      </c>
      <c r="G7162">
        <v>34754432</v>
      </c>
      <c r="H7162">
        <v>34754546</v>
      </c>
      <c r="I7162">
        <v>34754593</v>
      </c>
    </row>
    <row r="7163" spans="1:9" x14ac:dyDescent="0.2">
      <c r="A7163" t="str">
        <f>"Gar1"</f>
        <v>Gar1</v>
      </c>
      <c r="B7163" t="s">
        <v>14</v>
      </c>
      <c r="C7163" t="s">
        <v>22</v>
      </c>
      <c r="D7163" t="s">
        <v>11</v>
      </c>
      <c r="E7163" t="s">
        <v>12</v>
      </c>
      <c r="F7163">
        <v>129831123</v>
      </c>
      <c r="G7163">
        <v>129831186</v>
      </c>
      <c r="H7163">
        <v>129831289</v>
      </c>
      <c r="I7163">
        <v>129831341</v>
      </c>
    </row>
    <row r="7164" spans="1:9" x14ac:dyDescent="0.2">
      <c r="A7164" t="str">
        <f>"Garem"</f>
        <v>Garem</v>
      </c>
      <c r="B7164" t="s">
        <v>14</v>
      </c>
      <c r="C7164" t="s">
        <v>43</v>
      </c>
      <c r="D7164" t="s">
        <v>11</v>
      </c>
      <c r="E7164" t="s">
        <v>67</v>
      </c>
      <c r="F7164">
        <v>21300129</v>
      </c>
      <c r="G7164">
        <v>21300168</v>
      </c>
      <c r="H7164">
        <v>21300080</v>
      </c>
      <c r="I7164">
        <v>21300091</v>
      </c>
    </row>
    <row r="7165" spans="1:9" x14ac:dyDescent="0.2">
      <c r="A7165" t="str">
        <f>"Gareml"</f>
        <v>Gareml</v>
      </c>
      <c r="B7165" t="s">
        <v>14</v>
      </c>
      <c r="C7165" t="s">
        <v>46</v>
      </c>
      <c r="D7165" t="s">
        <v>17</v>
      </c>
      <c r="E7165" t="s">
        <v>67</v>
      </c>
      <c r="F7165">
        <v>30105177</v>
      </c>
      <c r="G7165">
        <v>30105219</v>
      </c>
      <c r="H7165">
        <v>30105145</v>
      </c>
      <c r="I7165">
        <v>30105176</v>
      </c>
    </row>
    <row r="7166" spans="1:9" x14ac:dyDescent="0.2">
      <c r="A7166" t="str">
        <f>"Garnl3"</f>
        <v>Garnl3</v>
      </c>
      <c r="B7166" t="s">
        <v>2489</v>
      </c>
      <c r="C7166" t="s">
        <v>26</v>
      </c>
      <c r="D7166" t="s">
        <v>11</v>
      </c>
      <c r="E7166" t="s">
        <v>35</v>
      </c>
      <c r="F7166">
        <v>33087287</v>
      </c>
      <c r="G7166">
        <v>33087294</v>
      </c>
      <c r="H7166">
        <v>33087113</v>
      </c>
      <c r="I7166">
        <v>33087127</v>
      </c>
    </row>
    <row r="7167" spans="1:9" x14ac:dyDescent="0.2">
      <c r="A7167" t="str">
        <f>"Gars"</f>
        <v>Gars</v>
      </c>
      <c r="B7167" t="s">
        <v>14</v>
      </c>
      <c r="C7167" t="s">
        <v>32</v>
      </c>
      <c r="D7167" t="s">
        <v>17</v>
      </c>
      <c r="E7167" t="s">
        <v>12</v>
      </c>
      <c r="F7167">
        <v>55037988</v>
      </c>
      <c r="G7167">
        <v>55038091</v>
      </c>
      <c r="H7167">
        <v>55037955</v>
      </c>
      <c r="I7167">
        <v>55037980</v>
      </c>
    </row>
    <row r="7168" spans="1:9" x14ac:dyDescent="0.2">
      <c r="A7168" t="str">
        <f>"Gart"</f>
        <v>Gart</v>
      </c>
      <c r="B7168" t="s">
        <v>14</v>
      </c>
      <c r="C7168" t="s">
        <v>31</v>
      </c>
      <c r="D7168" t="s">
        <v>11</v>
      </c>
      <c r="E7168" t="s">
        <v>12</v>
      </c>
      <c r="F7168">
        <v>91646906</v>
      </c>
      <c r="G7168">
        <v>91646960</v>
      </c>
      <c r="H7168">
        <v>91646906</v>
      </c>
      <c r="I7168">
        <v>91646960</v>
      </c>
    </row>
    <row r="7169" spans="1:9" x14ac:dyDescent="0.2">
      <c r="A7169" t="str">
        <f>"Gas1"</f>
        <v>Gas1</v>
      </c>
      <c r="B7169" t="s">
        <v>14</v>
      </c>
      <c r="C7169" t="s">
        <v>39</v>
      </c>
      <c r="D7169" t="s">
        <v>11</v>
      </c>
      <c r="E7169" t="s">
        <v>12</v>
      </c>
      <c r="F7169">
        <v>60177357</v>
      </c>
      <c r="G7169">
        <v>60177373</v>
      </c>
      <c r="H7169">
        <v>60177498</v>
      </c>
      <c r="I7169">
        <v>60177574</v>
      </c>
    </row>
    <row r="7170" spans="1:9" x14ac:dyDescent="0.2">
      <c r="A7170" t="str">
        <f>"Gas2"</f>
        <v>Gas2</v>
      </c>
      <c r="B7170" t="s">
        <v>14</v>
      </c>
      <c r="C7170" t="s">
        <v>33</v>
      </c>
      <c r="D7170" t="s">
        <v>17</v>
      </c>
      <c r="E7170" t="s">
        <v>12</v>
      </c>
      <c r="F7170">
        <v>51861840</v>
      </c>
      <c r="G7170">
        <v>51861881</v>
      </c>
      <c r="H7170">
        <v>51862006</v>
      </c>
      <c r="I7170">
        <v>51862035</v>
      </c>
    </row>
    <row r="7171" spans="1:9" x14ac:dyDescent="0.2">
      <c r="A7171" t="str">
        <f>"Gas2l1"</f>
        <v>Gas2l1</v>
      </c>
      <c r="B7171" t="s">
        <v>14</v>
      </c>
      <c r="C7171" t="s">
        <v>27</v>
      </c>
      <c r="D7171" t="s">
        <v>11</v>
      </c>
      <c r="E7171" t="s">
        <v>12</v>
      </c>
      <c r="F7171">
        <v>5065276</v>
      </c>
      <c r="G7171">
        <v>5065329</v>
      </c>
      <c r="H7171">
        <v>5065276</v>
      </c>
      <c r="I7171">
        <v>5065329</v>
      </c>
    </row>
    <row r="7172" spans="1:9" x14ac:dyDescent="0.2">
      <c r="A7172" t="str">
        <f>"Gas2l2"</f>
        <v>Gas2l2</v>
      </c>
      <c r="B7172" t="s">
        <v>14</v>
      </c>
      <c r="C7172" t="s">
        <v>27</v>
      </c>
      <c r="D7172" t="s">
        <v>11</v>
      </c>
      <c r="E7172" t="s">
        <v>12</v>
      </c>
      <c r="F7172">
        <v>83429807</v>
      </c>
      <c r="G7172">
        <v>83429832</v>
      </c>
      <c r="H7172">
        <v>83429807</v>
      </c>
      <c r="I7172">
        <v>83429832</v>
      </c>
    </row>
    <row r="7173" spans="1:9" x14ac:dyDescent="0.2">
      <c r="A7173" t="str">
        <f>"Gas2l3"</f>
        <v>Gas2l3</v>
      </c>
      <c r="B7173" t="s">
        <v>14</v>
      </c>
      <c r="C7173" t="s">
        <v>15</v>
      </c>
      <c r="D7173" t="s">
        <v>11</v>
      </c>
      <c r="E7173" t="s">
        <v>12</v>
      </c>
      <c r="F7173">
        <v>89443888</v>
      </c>
      <c r="G7173">
        <v>89443962</v>
      </c>
      <c r="H7173">
        <v>89443963</v>
      </c>
      <c r="I7173">
        <v>89443970</v>
      </c>
    </row>
    <row r="7174" spans="1:9" x14ac:dyDescent="0.2">
      <c r="A7174" t="str">
        <f>"Gas6"</f>
        <v>Gas6</v>
      </c>
      <c r="B7174" t="s">
        <v>14</v>
      </c>
      <c r="C7174" t="s">
        <v>30</v>
      </c>
      <c r="D7174" t="s">
        <v>11</v>
      </c>
      <c r="E7174" t="s">
        <v>12</v>
      </c>
      <c r="F7174">
        <v>13494479</v>
      </c>
      <c r="G7174">
        <v>13494546</v>
      </c>
      <c r="H7174">
        <v>13494479</v>
      </c>
      <c r="I7174">
        <v>13494546</v>
      </c>
    </row>
    <row r="7175" spans="1:9" x14ac:dyDescent="0.2">
      <c r="A7175" t="str">
        <f>"Gas7"</f>
        <v>Gas7</v>
      </c>
      <c r="B7175" t="s">
        <v>14</v>
      </c>
      <c r="C7175" t="s">
        <v>27</v>
      </c>
      <c r="D7175" t="s">
        <v>17</v>
      </c>
      <c r="E7175" t="s">
        <v>12</v>
      </c>
      <c r="F7175">
        <v>67586675</v>
      </c>
      <c r="G7175">
        <v>67586720</v>
      </c>
      <c r="H7175">
        <v>67586675</v>
      </c>
      <c r="I7175">
        <v>67586720</v>
      </c>
    </row>
    <row r="7176" spans="1:9" x14ac:dyDescent="0.2">
      <c r="A7176" t="str">
        <f>"Gas8"</f>
        <v>Gas8</v>
      </c>
      <c r="B7176" t="s">
        <v>14</v>
      </c>
      <c r="C7176" t="s">
        <v>30</v>
      </c>
      <c r="D7176" t="s">
        <v>17</v>
      </c>
      <c r="E7176" t="s">
        <v>12</v>
      </c>
      <c r="F7176">
        <v>123518843</v>
      </c>
      <c r="G7176">
        <v>123518928</v>
      </c>
      <c r="H7176">
        <v>123518349</v>
      </c>
      <c r="I7176">
        <v>123518350</v>
      </c>
    </row>
    <row r="7177" spans="1:9" x14ac:dyDescent="0.2">
      <c r="A7177" t="str">
        <f>"Gast"</f>
        <v>Gast</v>
      </c>
      <c r="B7177" t="s">
        <v>14</v>
      </c>
      <c r="C7177" t="s">
        <v>27</v>
      </c>
      <c r="D7177" t="s">
        <v>17</v>
      </c>
      <c r="E7177" t="s">
        <v>12</v>
      </c>
      <c r="F7177">
        <v>100334407</v>
      </c>
      <c r="G7177">
        <v>100334414</v>
      </c>
      <c r="H7177">
        <v>100334407</v>
      </c>
      <c r="I7177">
        <v>100334414</v>
      </c>
    </row>
    <row r="7178" spans="1:9" x14ac:dyDescent="0.2">
      <c r="A7178" t="str">
        <f>"Gata1"</f>
        <v>Gata1</v>
      </c>
      <c r="B7178" t="s">
        <v>14</v>
      </c>
      <c r="C7178" t="s">
        <v>37</v>
      </c>
      <c r="D7178" t="s">
        <v>11</v>
      </c>
      <c r="E7178" t="s">
        <v>12</v>
      </c>
      <c r="F7178">
        <v>7967817</v>
      </c>
      <c r="G7178">
        <v>7967875</v>
      </c>
      <c r="H7178">
        <v>7967802</v>
      </c>
      <c r="I7178">
        <v>7967812</v>
      </c>
    </row>
    <row r="7179" spans="1:9" x14ac:dyDescent="0.2">
      <c r="A7179" t="str">
        <f>"Gata2"</f>
        <v>Gata2</v>
      </c>
      <c r="B7179" t="s">
        <v>9</v>
      </c>
      <c r="C7179" t="s">
        <v>32</v>
      </c>
      <c r="D7179" t="s">
        <v>17</v>
      </c>
      <c r="E7179" t="s">
        <v>12</v>
      </c>
      <c r="F7179">
        <v>88198656</v>
      </c>
      <c r="G7179">
        <v>88198675</v>
      </c>
      <c r="H7179">
        <v>88198656</v>
      </c>
      <c r="I7179">
        <v>88198675</v>
      </c>
    </row>
    <row r="7180" spans="1:9" x14ac:dyDescent="0.2">
      <c r="A7180" t="str">
        <f>"Gata2"</f>
        <v>Gata2</v>
      </c>
      <c r="B7180" t="s">
        <v>13</v>
      </c>
      <c r="C7180" t="s">
        <v>32</v>
      </c>
      <c r="D7180" t="s">
        <v>17</v>
      </c>
      <c r="E7180" t="s">
        <v>12</v>
      </c>
      <c r="F7180">
        <v>88193717</v>
      </c>
      <c r="G7180">
        <v>88193723</v>
      </c>
      <c r="H7180">
        <v>88193717</v>
      </c>
      <c r="I7180">
        <v>88193723</v>
      </c>
    </row>
    <row r="7181" spans="1:9" x14ac:dyDescent="0.2">
      <c r="A7181" t="str">
        <f>"Gata3"</f>
        <v>Gata3</v>
      </c>
      <c r="B7181" t="s">
        <v>9</v>
      </c>
      <c r="C7181" t="s">
        <v>26</v>
      </c>
      <c r="D7181" t="s">
        <v>11</v>
      </c>
      <c r="E7181" t="s">
        <v>12</v>
      </c>
      <c r="F7181">
        <v>9878580</v>
      </c>
      <c r="G7181">
        <v>9878607</v>
      </c>
      <c r="H7181">
        <v>9878580</v>
      </c>
      <c r="I7181">
        <v>9878607</v>
      </c>
    </row>
    <row r="7182" spans="1:9" x14ac:dyDescent="0.2">
      <c r="A7182" t="str">
        <f>"Gata3"</f>
        <v>Gata3</v>
      </c>
      <c r="B7182" t="s">
        <v>13</v>
      </c>
      <c r="C7182" t="s">
        <v>26</v>
      </c>
      <c r="D7182" t="s">
        <v>11</v>
      </c>
      <c r="E7182" t="s">
        <v>12</v>
      </c>
      <c r="F7182">
        <v>9887730</v>
      </c>
      <c r="G7182">
        <v>9887744</v>
      </c>
      <c r="H7182">
        <v>9887730</v>
      </c>
      <c r="I7182">
        <v>9887744</v>
      </c>
    </row>
    <row r="7183" spans="1:9" x14ac:dyDescent="0.2">
      <c r="A7183" t="str">
        <f>"Gata4"</f>
        <v>Gata4</v>
      </c>
      <c r="B7183" t="s">
        <v>9</v>
      </c>
      <c r="C7183" t="s">
        <v>41</v>
      </c>
      <c r="D7183" t="s">
        <v>11</v>
      </c>
      <c r="E7183" t="s">
        <v>12</v>
      </c>
      <c r="F7183">
        <v>63245219</v>
      </c>
      <c r="G7183">
        <v>63245265</v>
      </c>
      <c r="H7183">
        <v>63245219</v>
      </c>
      <c r="I7183">
        <v>63245265</v>
      </c>
    </row>
    <row r="7184" spans="1:9" x14ac:dyDescent="0.2">
      <c r="A7184" t="str">
        <f>"Gata4"</f>
        <v>Gata4</v>
      </c>
      <c r="B7184" t="s">
        <v>13</v>
      </c>
      <c r="C7184" t="s">
        <v>41</v>
      </c>
      <c r="D7184" t="s">
        <v>11</v>
      </c>
      <c r="E7184" t="s">
        <v>12</v>
      </c>
      <c r="F7184">
        <v>63271654</v>
      </c>
      <c r="G7184">
        <v>63271679</v>
      </c>
      <c r="H7184">
        <v>63271654</v>
      </c>
      <c r="I7184">
        <v>63271679</v>
      </c>
    </row>
    <row r="7185" spans="1:9" x14ac:dyDescent="0.2">
      <c r="A7185" t="str">
        <f>"Gata5"</f>
        <v>Gata5</v>
      </c>
      <c r="B7185" t="s">
        <v>14</v>
      </c>
      <c r="C7185" t="s">
        <v>26</v>
      </c>
      <c r="D7185" t="s">
        <v>11</v>
      </c>
      <c r="E7185" t="s">
        <v>12</v>
      </c>
      <c r="F7185">
        <v>180334665</v>
      </c>
      <c r="G7185">
        <v>180334704</v>
      </c>
      <c r="H7185">
        <v>180334718</v>
      </c>
      <c r="I7185">
        <v>180334729</v>
      </c>
    </row>
    <row r="7186" spans="1:9" x14ac:dyDescent="0.2">
      <c r="A7186" t="str">
        <f>"Gata6"</f>
        <v>Gata6</v>
      </c>
      <c r="B7186" t="s">
        <v>14</v>
      </c>
      <c r="C7186" t="s">
        <v>43</v>
      </c>
      <c r="D7186" t="s">
        <v>17</v>
      </c>
      <c r="E7186" t="s">
        <v>12</v>
      </c>
      <c r="F7186">
        <v>11052644</v>
      </c>
      <c r="G7186">
        <v>11052661</v>
      </c>
      <c r="H7186">
        <v>11052487</v>
      </c>
      <c r="I7186">
        <v>11052510</v>
      </c>
    </row>
    <row r="7187" spans="1:9" x14ac:dyDescent="0.2">
      <c r="A7187" t="str">
        <f>"Gatad1"</f>
        <v>Gatad1</v>
      </c>
      <c r="B7187" t="s">
        <v>14</v>
      </c>
      <c r="C7187" t="s">
        <v>46</v>
      </c>
      <c r="D7187" t="s">
        <v>11</v>
      </c>
      <c r="E7187" t="s">
        <v>12</v>
      </c>
      <c r="F7187">
        <v>3647838</v>
      </c>
      <c r="G7187">
        <v>3648009</v>
      </c>
      <c r="H7187">
        <v>3648045</v>
      </c>
      <c r="I7187">
        <v>3648074</v>
      </c>
    </row>
    <row r="7188" spans="1:9" x14ac:dyDescent="0.2">
      <c r="A7188" t="str">
        <f>"Gatad2a"</f>
        <v>Gatad2a</v>
      </c>
      <c r="B7188" t="s">
        <v>9</v>
      </c>
      <c r="C7188" t="s">
        <v>30</v>
      </c>
      <c r="D7188" t="s">
        <v>11</v>
      </c>
      <c r="E7188" t="s">
        <v>12</v>
      </c>
      <c r="F7188">
        <v>69974261</v>
      </c>
      <c r="G7188">
        <v>69974315</v>
      </c>
      <c r="H7188">
        <v>69974261</v>
      </c>
      <c r="I7188">
        <v>69974315</v>
      </c>
    </row>
    <row r="7189" spans="1:9" x14ac:dyDescent="0.2">
      <c r="A7189" t="str">
        <f>"Gatad2a"</f>
        <v>Gatad2a</v>
      </c>
      <c r="B7189" t="s">
        <v>13</v>
      </c>
      <c r="C7189" t="s">
        <v>30</v>
      </c>
      <c r="D7189" t="s">
        <v>11</v>
      </c>
      <c r="E7189" t="s">
        <v>12</v>
      </c>
      <c r="F7189">
        <v>69996116</v>
      </c>
      <c r="G7189">
        <v>69996154</v>
      </c>
      <c r="H7189">
        <v>69996116</v>
      </c>
      <c r="I7189">
        <v>69996154</v>
      </c>
    </row>
    <row r="7190" spans="1:9" x14ac:dyDescent="0.2">
      <c r="A7190" t="str">
        <f>"Gatad2b"</f>
        <v>Gatad2b</v>
      </c>
      <c r="B7190" t="s">
        <v>2490</v>
      </c>
      <c r="C7190" t="s">
        <v>22</v>
      </c>
      <c r="D7190" t="s">
        <v>17</v>
      </c>
      <c r="E7190" t="s">
        <v>20</v>
      </c>
      <c r="F7190">
        <v>90341653</v>
      </c>
      <c r="G7190">
        <v>90341653</v>
      </c>
      <c r="H7190">
        <v>90341653</v>
      </c>
      <c r="I7190">
        <v>90341653</v>
      </c>
    </row>
    <row r="7191" spans="1:9" x14ac:dyDescent="0.2">
      <c r="A7191" t="str">
        <f>"Gatc"</f>
        <v>Gatc</v>
      </c>
      <c r="B7191" t="s">
        <v>14</v>
      </c>
      <c r="C7191" t="s">
        <v>46</v>
      </c>
      <c r="D7191" t="s">
        <v>11</v>
      </c>
      <c r="E7191" t="s">
        <v>12</v>
      </c>
      <c r="F7191">
        <v>115341142</v>
      </c>
      <c r="G7191">
        <v>115341191</v>
      </c>
      <c r="H7191">
        <v>115341195</v>
      </c>
      <c r="I7191">
        <v>115341211</v>
      </c>
    </row>
    <row r="7192" spans="1:9" x14ac:dyDescent="0.2">
      <c r="A7192" t="str">
        <f>"Gatm"</f>
        <v>Gatm</v>
      </c>
      <c r="B7192" t="s">
        <v>14</v>
      </c>
      <c r="C7192" t="s">
        <v>26</v>
      </c>
      <c r="D7192" t="s">
        <v>11</v>
      </c>
      <c r="E7192" t="s">
        <v>12</v>
      </c>
      <c r="F7192">
        <v>122611238</v>
      </c>
      <c r="G7192">
        <v>122611283</v>
      </c>
      <c r="H7192">
        <v>122611222</v>
      </c>
      <c r="I7192">
        <v>122611233</v>
      </c>
    </row>
    <row r="7193" spans="1:9" x14ac:dyDescent="0.2">
      <c r="A7193" t="str">
        <f>"Gatsl2"</f>
        <v>Gatsl2</v>
      </c>
      <c r="B7193" t="s">
        <v>14</v>
      </c>
      <c r="C7193" t="s">
        <v>46</v>
      </c>
      <c r="D7193" t="s">
        <v>17</v>
      </c>
      <c r="E7193" t="s">
        <v>12</v>
      </c>
      <c r="F7193">
        <v>134099704</v>
      </c>
      <c r="G7193">
        <v>134099760</v>
      </c>
      <c r="H7193">
        <v>134099767</v>
      </c>
      <c r="I7193">
        <v>134099797</v>
      </c>
    </row>
    <row r="7194" spans="1:9" x14ac:dyDescent="0.2">
      <c r="A7194" t="str">
        <f>"Gatsl3"</f>
        <v>Gatsl3</v>
      </c>
      <c r="B7194" t="s">
        <v>14</v>
      </c>
      <c r="C7194" t="s">
        <v>27</v>
      </c>
      <c r="D7194" t="s">
        <v>17</v>
      </c>
      <c r="E7194" t="s">
        <v>12</v>
      </c>
      <c r="F7194">
        <v>4218255</v>
      </c>
      <c r="G7194">
        <v>4218279</v>
      </c>
      <c r="H7194">
        <v>4218220</v>
      </c>
      <c r="I7194">
        <v>4218249</v>
      </c>
    </row>
    <row r="7195" spans="1:9" x14ac:dyDescent="0.2">
      <c r="A7195" t="str">
        <f>"Gba"</f>
        <v>Gba</v>
      </c>
      <c r="B7195" t="s">
        <v>14</v>
      </c>
      <c r="C7195" t="s">
        <v>22</v>
      </c>
      <c r="D7195" t="s">
        <v>17</v>
      </c>
      <c r="E7195" t="s">
        <v>12</v>
      </c>
      <c r="F7195">
        <v>89202916</v>
      </c>
      <c r="G7195">
        <v>89202962</v>
      </c>
      <c r="H7195">
        <v>89202963</v>
      </c>
      <c r="I7195">
        <v>89202976</v>
      </c>
    </row>
    <row r="7196" spans="1:9" x14ac:dyDescent="0.2">
      <c r="A7196" t="str">
        <f>"Gba2"</f>
        <v>Gba2</v>
      </c>
      <c r="B7196" t="s">
        <v>14</v>
      </c>
      <c r="C7196" t="s">
        <v>23</v>
      </c>
      <c r="D7196" t="s">
        <v>11</v>
      </c>
      <c r="E7196" t="s">
        <v>12</v>
      </c>
      <c r="F7196">
        <v>43578824</v>
      </c>
      <c r="G7196">
        <v>43578909</v>
      </c>
      <c r="H7196">
        <v>43578531</v>
      </c>
      <c r="I7196">
        <v>43578561</v>
      </c>
    </row>
    <row r="7197" spans="1:9" x14ac:dyDescent="0.2">
      <c r="A7197" t="str">
        <f>"Gbas"</f>
        <v>Gbas</v>
      </c>
      <c r="B7197" t="s">
        <v>14</v>
      </c>
      <c r="C7197" t="s">
        <v>46</v>
      </c>
      <c r="D7197" t="s">
        <v>17</v>
      </c>
      <c r="E7197" t="s">
        <v>12</v>
      </c>
      <c r="F7197">
        <v>129725081</v>
      </c>
      <c r="G7197">
        <v>129725143</v>
      </c>
      <c r="H7197">
        <v>129725081</v>
      </c>
      <c r="I7197">
        <v>129725143</v>
      </c>
    </row>
    <row r="7198" spans="1:9" x14ac:dyDescent="0.2">
      <c r="A7198" t="str">
        <f>"Gbe1"</f>
        <v>Gbe1</v>
      </c>
      <c r="B7198" t="s">
        <v>14</v>
      </c>
      <c r="C7198" t="s">
        <v>31</v>
      </c>
      <c r="D7198" t="s">
        <v>17</v>
      </c>
      <c r="E7198" t="s">
        <v>12</v>
      </c>
      <c r="F7198">
        <v>70314057</v>
      </c>
      <c r="G7198">
        <v>70314071</v>
      </c>
      <c r="H7198">
        <v>70314119</v>
      </c>
      <c r="I7198">
        <v>70314149</v>
      </c>
    </row>
    <row r="7199" spans="1:9" x14ac:dyDescent="0.2">
      <c r="A7199" t="str">
        <f>"Gbf1"</f>
        <v>Gbf1</v>
      </c>
      <c r="B7199" t="s">
        <v>14</v>
      </c>
      <c r="C7199" t="s">
        <v>10</v>
      </c>
      <c r="D7199" t="s">
        <v>17</v>
      </c>
      <c r="E7199" t="s">
        <v>12</v>
      </c>
      <c r="F7199">
        <v>46152523</v>
      </c>
      <c r="G7199">
        <v>46152566</v>
      </c>
      <c r="H7199">
        <v>46152505</v>
      </c>
      <c r="I7199">
        <v>46152514</v>
      </c>
    </row>
    <row r="7200" spans="1:9" x14ac:dyDescent="0.2">
      <c r="A7200" t="str">
        <f>"Gbgt1"</f>
        <v>Gbgt1</v>
      </c>
      <c r="B7200" t="s">
        <v>14</v>
      </c>
      <c r="C7200" t="s">
        <v>26</v>
      </c>
      <c r="D7200" t="s">
        <v>17</v>
      </c>
      <c r="E7200" t="s">
        <v>12</v>
      </c>
      <c r="F7200">
        <v>28496915</v>
      </c>
      <c r="G7200">
        <v>28496963</v>
      </c>
      <c r="H7200">
        <v>28496903</v>
      </c>
      <c r="I7200">
        <v>28496910</v>
      </c>
    </row>
    <row r="7201" spans="1:9" x14ac:dyDescent="0.2">
      <c r="A7201" t="str">
        <f>"Gbp10"</f>
        <v>Gbp10</v>
      </c>
      <c r="B7201" t="s">
        <v>2491</v>
      </c>
      <c r="C7201" t="s">
        <v>46</v>
      </c>
      <c r="D7201" t="s">
        <v>11</v>
      </c>
      <c r="E7201" t="s">
        <v>20</v>
      </c>
      <c r="F7201">
        <v>105239532</v>
      </c>
      <c r="G7201">
        <v>105239532</v>
      </c>
      <c r="H7201">
        <v>105239532</v>
      </c>
      <c r="I7201">
        <v>105239532</v>
      </c>
    </row>
    <row r="7202" spans="1:9" x14ac:dyDescent="0.2">
      <c r="A7202" t="str">
        <f>"Gbp11"</f>
        <v>Gbp11</v>
      </c>
      <c r="B7202" t="s">
        <v>14</v>
      </c>
      <c r="C7202" t="s">
        <v>46</v>
      </c>
      <c r="D7202" t="s">
        <v>11</v>
      </c>
      <c r="E7202" t="s">
        <v>12</v>
      </c>
      <c r="F7202">
        <v>105346479</v>
      </c>
      <c r="G7202">
        <v>105346489</v>
      </c>
      <c r="H7202">
        <v>105346479</v>
      </c>
      <c r="I7202">
        <v>105346489</v>
      </c>
    </row>
    <row r="7203" spans="1:9" x14ac:dyDescent="0.2">
      <c r="A7203" t="str">
        <f>"Gbp2"</f>
        <v>Gbp2</v>
      </c>
      <c r="B7203" t="s">
        <v>14</v>
      </c>
      <c r="C7203" t="s">
        <v>22</v>
      </c>
      <c r="D7203" t="s">
        <v>17</v>
      </c>
      <c r="E7203" t="s">
        <v>12</v>
      </c>
      <c r="F7203">
        <v>142620596</v>
      </c>
      <c r="G7203">
        <v>142620627</v>
      </c>
      <c r="H7203">
        <v>142620647</v>
      </c>
      <c r="I7203">
        <v>142620665</v>
      </c>
    </row>
    <row r="7204" spans="1:9" x14ac:dyDescent="0.2">
      <c r="A7204" t="str">
        <f>"Gbp2b"</f>
        <v>Gbp2b</v>
      </c>
      <c r="B7204" t="s">
        <v>14</v>
      </c>
      <c r="C7204" t="s">
        <v>22</v>
      </c>
      <c r="D7204" t="s">
        <v>17</v>
      </c>
      <c r="E7204" t="s">
        <v>67</v>
      </c>
      <c r="F7204">
        <v>142594806</v>
      </c>
      <c r="G7204">
        <v>142594847</v>
      </c>
      <c r="H7204">
        <v>142594806</v>
      </c>
      <c r="I7204">
        <v>142594847</v>
      </c>
    </row>
    <row r="7205" spans="1:9" x14ac:dyDescent="0.2">
      <c r="A7205" t="str">
        <f>"Gbp3"</f>
        <v>Gbp3</v>
      </c>
      <c r="B7205" t="s">
        <v>14</v>
      </c>
      <c r="C7205" t="s">
        <v>22</v>
      </c>
      <c r="D7205" t="s">
        <v>17</v>
      </c>
      <c r="E7205" t="s">
        <v>12</v>
      </c>
      <c r="F7205">
        <v>142560538</v>
      </c>
      <c r="G7205">
        <v>142560569</v>
      </c>
      <c r="H7205">
        <v>142560572</v>
      </c>
      <c r="I7205">
        <v>142560602</v>
      </c>
    </row>
    <row r="7206" spans="1:9" x14ac:dyDescent="0.2">
      <c r="A7206" t="str">
        <f>"Gbp4"</f>
        <v>Gbp4</v>
      </c>
      <c r="B7206" t="s">
        <v>2492</v>
      </c>
      <c r="C7206" t="s">
        <v>46</v>
      </c>
      <c r="D7206" t="s">
        <v>11</v>
      </c>
      <c r="E7206" t="s">
        <v>20</v>
      </c>
      <c r="F7206">
        <v>105139585</v>
      </c>
      <c r="G7206">
        <v>105139585</v>
      </c>
      <c r="H7206">
        <v>105139585</v>
      </c>
      <c r="I7206">
        <v>105139585</v>
      </c>
    </row>
    <row r="7207" spans="1:9" x14ac:dyDescent="0.2">
      <c r="A7207" t="str">
        <f>"Gbp5"</f>
        <v>Gbp5</v>
      </c>
      <c r="B7207" t="s">
        <v>14</v>
      </c>
      <c r="C7207" t="s">
        <v>22</v>
      </c>
      <c r="D7207" t="s">
        <v>17</v>
      </c>
      <c r="E7207" t="s">
        <v>12</v>
      </c>
      <c r="F7207">
        <v>142496924</v>
      </c>
      <c r="G7207">
        <v>142496939</v>
      </c>
      <c r="H7207">
        <v>142496772</v>
      </c>
      <c r="I7207">
        <v>142496789</v>
      </c>
    </row>
    <row r="7208" spans="1:9" x14ac:dyDescent="0.2">
      <c r="A7208" t="str">
        <f>"Gbp6"</f>
        <v>Gbp6</v>
      </c>
      <c r="B7208" t="s">
        <v>14</v>
      </c>
      <c r="C7208" t="s">
        <v>46</v>
      </c>
      <c r="D7208" t="s">
        <v>11</v>
      </c>
      <c r="E7208" t="s">
        <v>12</v>
      </c>
      <c r="F7208">
        <v>105293732</v>
      </c>
      <c r="G7208">
        <v>105293777</v>
      </c>
      <c r="H7208">
        <v>105293732</v>
      </c>
      <c r="I7208">
        <v>105293777</v>
      </c>
    </row>
    <row r="7209" spans="1:9" x14ac:dyDescent="0.2">
      <c r="A7209" t="str">
        <f>"Gbp7"</f>
        <v>Gbp7</v>
      </c>
      <c r="B7209" t="s">
        <v>14</v>
      </c>
      <c r="C7209" t="s">
        <v>22</v>
      </c>
      <c r="D7209" t="s">
        <v>17</v>
      </c>
      <c r="E7209" t="s">
        <v>12</v>
      </c>
      <c r="F7209">
        <v>142530329</v>
      </c>
      <c r="G7209">
        <v>142530386</v>
      </c>
      <c r="H7209">
        <v>142530287</v>
      </c>
      <c r="I7209">
        <v>142530298</v>
      </c>
    </row>
    <row r="7210" spans="1:9" x14ac:dyDescent="0.2">
      <c r="A7210" t="str">
        <f>"Gbp8"</f>
        <v>Gbp8</v>
      </c>
      <c r="B7210" t="s">
        <v>14</v>
      </c>
      <c r="C7210" t="s">
        <v>46</v>
      </c>
      <c r="D7210" t="s">
        <v>11</v>
      </c>
      <c r="E7210" t="s">
        <v>12</v>
      </c>
      <c r="F7210">
        <v>105021901</v>
      </c>
      <c r="G7210">
        <v>105021924</v>
      </c>
      <c r="H7210">
        <v>105021901</v>
      </c>
      <c r="I7210">
        <v>105021924</v>
      </c>
    </row>
    <row r="7211" spans="1:9" x14ac:dyDescent="0.2">
      <c r="A7211" t="str">
        <f>"Gbp9"</f>
        <v>Gbp9</v>
      </c>
      <c r="B7211" t="s">
        <v>14</v>
      </c>
      <c r="C7211" t="s">
        <v>46</v>
      </c>
      <c r="D7211" t="s">
        <v>11</v>
      </c>
      <c r="E7211" t="s">
        <v>12</v>
      </c>
      <c r="F7211">
        <v>105110381</v>
      </c>
      <c r="G7211">
        <v>105110389</v>
      </c>
      <c r="H7211">
        <v>105110381</v>
      </c>
      <c r="I7211">
        <v>105110389</v>
      </c>
    </row>
    <row r="7212" spans="1:9" x14ac:dyDescent="0.2">
      <c r="A7212" t="str">
        <f>"Gbx1"</f>
        <v>Gbx1</v>
      </c>
      <c r="B7212" t="s">
        <v>2493</v>
      </c>
      <c r="C7212" t="s">
        <v>46</v>
      </c>
      <c r="D7212" t="s">
        <v>11</v>
      </c>
      <c r="E7212" t="s">
        <v>20</v>
      </c>
      <c r="F7212">
        <v>24527275</v>
      </c>
      <c r="G7212">
        <v>24527275</v>
      </c>
      <c r="H7212">
        <v>24527275</v>
      </c>
      <c r="I7212">
        <v>24527275</v>
      </c>
    </row>
    <row r="7213" spans="1:9" x14ac:dyDescent="0.2">
      <c r="A7213" t="str">
        <f>"Gbx2"</f>
        <v>Gbx2</v>
      </c>
      <c r="B7213" t="s">
        <v>14</v>
      </c>
      <c r="C7213" t="s">
        <v>19</v>
      </c>
      <c r="D7213" t="s">
        <v>11</v>
      </c>
      <c r="E7213" t="s">
        <v>12</v>
      </c>
      <c r="F7213">
        <v>89931181</v>
      </c>
      <c r="G7213">
        <v>89931198</v>
      </c>
      <c r="H7213">
        <v>89931153</v>
      </c>
      <c r="I7213">
        <v>89931168</v>
      </c>
    </row>
    <row r="7214" spans="1:9" x14ac:dyDescent="0.2">
      <c r="A7214" t="str">
        <f>"Gc"</f>
        <v>Gc</v>
      </c>
      <c r="B7214" t="s">
        <v>14</v>
      </c>
      <c r="C7214" t="s">
        <v>46</v>
      </c>
      <c r="D7214" t="s">
        <v>11</v>
      </c>
      <c r="E7214" t="s">
        <v>12</v>
      </c>
      <c r="F7214">
        <v>89457763</v>
      </c>
      <c r="G7214">
        <v>89457784</v>
      </c>
      <c r="H7214">
        <v>89457763</v>
      </c>
      <c r="I7214">
        <v>89457784</v>
      </c>
    </row>
    <row r="7215" spans="1:9" x14ac:dyDescent="0.2">
      <c r="A7215" t="str">
        <f>"Gca"</f>
        <v>Gca</v>
      </c>
      <c r="B7215" t="s">
        <v>14</v>
      </c>
      <c r="C7215" t="s">
        <v>26</v>
      </c>
      <c r="D7215" t="s">
        <v>17</v>
      </c>
      <c r="E7215" t="s">
        <v>12</v>
      </c>
      <c r="F7215">
        <v>62664319</v>
      </c>
      <c r="G7215">
        <v>62664335</v>
      </c>
      <c r="H7215">
        <v>62664279</v>
      </c>
      <c r="I7215">
        <v>62664300</v>
      </c>
    </row>
    <row r="7216" spans="1:9" x14ac:dyDescent="0.2">
      <c r="A7216" t="str">
        <f>"Gcat"</f>
        <v>Gcat</v>
      </c>
      <c r="B7216" t="s">
        <v>14</v>
      </c>
      <c r="C7216" t="s">
        <v>25</v>
      </c>
      <c r="D7216" t="s">
        <v>17</v>
      </c>
      <c r="E7216" t="s">
        <v>12</v>
      </c>
      <c r="F7216">
        <v>79030885</v>
      </c>
      <c r="G7216">
        <v>79030933</v>
      </c>
      <c r="H7216">
        <v>79030849</v>
      </c>
      <c r="I7216">
        <v>79030859</v>
      </c>
    </row>
    <row r="7217" spans="1:9" x14ac:dyDescent="0.2">
      <c r="A7217" t="str">
        <f>"Gcc1"</f>
        <v>Gcc1</v>
      </c>
      <c r="B7217" t="s">
        <v>14</v>
      </c>
      <c r="C7217" t="s">
        <v>32</v>
      </c>
      <c r="D7217" t="s">
        <v>11</v>
      </c>
      <c r="E7217" t="s">
        <v>12</v>
      </c>
      <c r="F7217">
        <v>28421680</v>
      </c>
      <c r="G7217">
        <v>28421741</v>
      </c>
      <c r="H7217">
        <v>28421680</v>
      </c>
      <c r="I7217">
        <v>28421741</v>
      </c>
    </row>
    <row r="7218" spans="1:9" x14ac:dyDescent="0.2">
      <c r="A7218" t="str">
        <f>"Gcc2"</f>
        <v>Gcc2</v>
      </c>
      <c r="B7218" t="s">
        <v>14</v>
      </c>
      <c r="C7218" t="s">
        <v>15</v>
      </c>
      <c r="D7218" t="s">
        <v>17</v>
      </c>
      <c r="E7218" t="s">
        <v>12</v>
      </c>
      <c r="F7218">
        <v>58255465</v>
      </c>
      <c r="G7218">
        <v>58255537</v>
      </c>
      <c r="H7218">
        <v>58255413</v>
      </c>
      <c r="I7218">
        <v>58255424</v>
      </c>
    </row>
    <row r="7219" spans="1:9" x14ac:dyDescent="0.2">
      <c r="A7219" t="str">
        <f>"Gcdh"</f>
        <v>Gcdh</v>
      </c>
      <c r="B7219" t="s">
        <v>14</v>
      </c>
      <c r="C7219" t="s">
        <v>30</v>
      </c>
      <c r="D7219" t="s">
        <v>11</v>
      </c>
      <c r="E7219" t="s">
        <v>12</v>
      </c>
      <c r="F7219">
        <v>84893736</v>
      </c>
      <c r="G7219">
        <v>84893806</v>
      </c>
      <c r="H7219">
        <v>84893887</v>
      </c>
      <c r="I7219">
        <v>84893900</v>
      </c>
    </row>
    <row r="7220" spans="1:9" x14ac:dyDescent="0.2">
      <c r="A7220" t="str">
        <f>"Gcfc2"</f>
        <v>Gcfc2</v>
      </c>
      <c r="B7220" t="s">
        <v>14</v>
      </c>
      <c r="C7220" t="s">
        <v>32</v>
      </c>
      <c r="D7220" t="s">
        <v>17</v>
      </c>
      <c r="E7220" t="s">
        <v>67</v>
      </c>
      <c r="F7220">
        <v>81923645</v>
      </c>
      <c r="G7220">
        <v>81923706</v>
      </c>
      <c r="H7220">
        <v>81923635</v>
      </c>
      <c r="I7220">
        <v>81923644</v>
      </c>
    </row>
    <row r="7221" spans="1:9" x14ac:dyDescent="0.2">
      <c r="A7221" t="str">
        <f>"Gcg"</f>
        <v>Gcg</v>
      </c>
      <c r="B7221" t="s">
        <v>14</v>
      </c>
      <c r="C7221" t="s">
        <v>26</v>
      </c>
      <c r="D7221" t="s">
        <v>11</v>
      </c>
      <c r="E7221" t="s">
        <v>12</v>
      </c>
      <c r="F7221">
        <v>62483637</v>
      </c>
      <c r="G7221">
        <v>62483653</v>
      </c>
      <c r="H7221">
        <v>62483637</v>
      </c>
      <c r="I7221">
        <v>62483653</v>
      </c>
    </row>
    <row r="7222" spans="1:9" x14ac:dyDescent="0.2">
      <c r="A7222" t="str">
        <f>"Gcgr"</f>
        <v>Gcgr</v>
      </c>
      <c r="B7222" t="s">
        <v>14</v>
      </c>
      <c r="C7222" t="s">
        <v>27</v>
      </c>
      <c r="D7222" t="s">
        <v>17</v>
      </c>
      <c r="E7222" t="s">
        <v>12</v>
      </c>
      <c r="F7222">
        <v>120530707</v>
      </c>
      <c r="G7222">
        <v>120530733</v>
      </c>
      <c r="H7222">
        <v>120530767</v>
      </c>
      <c r="I7222">
        <v>120530784</v>
      </c>
    </row>
    <row r="7223" spans="1:9" x14ac:dyDescent="0.2">
      <c r="A7223" t="str">
        <f>"Gch1"</f>
        <v>Gch1</v>
      </c>
      <c r="B7223" t="s">
        <v>14</v>
      </c>
      <c r="C7223" t="s">
        <v>41</v>
      </c>
      <c r="D7223" t="s">
        <v>11</v>
      </c>
      <c r="E7223" t="s">
        <v>12</v>
      </c>
      <c r="F7223">
        <v>47189406</v>
      </c>
      <c r="G7223">
        <v>47189419</v>
      </c>
      <c r="H7223">
        <v>47189406</v>
      </c>
      <c r="I7223">
        <v>47189419</v>
      </c>
    </row>
    <row r="7224" spans="1:9" x14ac:dyDescent="0.2">
      <c r="A7224" t="str">
        <f>"Gchfr"</f>
        <v>Gchfr</v>
      </c>
      <c r="B7224" t="s">
        <v>14</v>
      </c>
      <c r="C7224" t="s">
        <v>26</v>
      </c>
      <c r="D7224" t="s">
        <v>17</v>
      </c>
      <c r="E7224" t="s">
        <v>12</v>
      </c>
      <c r="F7224">
        <v>119167782</v>
      </c>
      <c r="G7224">
        <v>119167835</v>
      </c>
      <c r="H7224">
        <v>119167758</v>
      </c>
      <c r="I7224">
        <v>119167779</v>
      </c>
    </row>
    <row r="7225" spans="1:9" x14ac:dyDescent="0.2">
      <c r="A7225" t="str">
        <f>"Gck"</f>
        <v>Gck</v>
      </c>
      <c r="B7225" t="s">
        <v>2494</v>
      </c>
      <c r="C7225" t="s">
        <v>27</v>
      </c>
      <c r="D7225" t="s">
        <v>11</v>
      </c>
      <c r="E7225" t="s">
        <v>35</v>
      </c>
      <c r="F7225">
        <v>5950069</v>
      </c>
      <c r="G7225">
        <v>5950078</v>
      </c>
      <c r="H7225">
        <v>5949953</v>
      </c>
      <c r="I7225">
        <v>5949977</v>
      </c>
    </row>
    <row r="7226" spans="1:9" x14ac:dyDescent="0.2">
      <c r="A7226" t="str">
        <f>"Gckr"</f>
        <v>Gckr</v>
      </c>
      <c r="B7226" t="s">
        <v>14</v>
      </c>
      <c r="C7226" t="s">
        <v>46</v>
      </c>
      <c r="D7226" t="s">
        <v>17</v>
      </c>
      <c r="E7226" t="s">
        <v>12</v>
      </c>
      <c r="F7226">
        <v>31297551</v>
      </c>
      <c r="G7226">
        <v>31297586</v>
      </c>
      <c r="H7226">
        <v>31297603</v>
      </c>
      <c r="I7226">
        <v>31297616</v>
      </c>
    </row>
    <row r="7227" spans="1:9" x14ac:dyDescent="0.2">
      <c r="A7227" t="str">
        <f>"Gclc"</f>
        <v>Gclc</v>
      </c>
      <c r="B7227" t="s">
        <v>14</v>
      </c>
      <c r="C7227" t="s">
        <v>24</v>
      </c>
      <c r="D7227" t="s">
        <v>17</v>
      </c>
      <c r="E7227" t="s">
        <v>12</v>
      </c>
      <c r="F7227">
        <v>77754526</v>
      </c>
      <c r="G7227">
        <v>77754541</v>
      </c>
      <c r="H7227">
        <v>77754548</v>
      </c>
      <c r="I7227">
        <v>77754620</v>
      </c>
    </row>
    <row r="7228" spans="1:9" x14ac:dyDescent="0.2">
      <c r="A7228" t="str">
        <f>"Gclm"</f>
        <v>Gclm</v>
      </c>
      <c r="B7228" t="s">
        <v>14</v>
      </c>
      <c r="C7228" t="s">
        <v>22</v>
      </c>
      <c r="D7228" t="s">
        <v>17</v>
      </c>
      <c r="E7228" t="s">
        <v>12</v>
      </c>
      <c r="F7228">
        <v>122245625</v>
      </c>
      <c r="G7228">
        <v>122245722</v>
      </c>
      <c r="H7228">
        <v>122245776</v>
      </c>
      <c r="I7228">
        <v>122245829</v>
      </c>
    </row>
    <row r="7229" spans="1:9" x14ac:dyDescent="0.2">
      <c r="A7229" t="str">
        <f>"Gcm1"</f>
        <v>Gcm1</v>
      </c>
      <c r="B7229" t="s">
        <v>14</v>
      </c>
      <c r="C7229" t="s">
        <v>24</v>
      </c>
      <c r="D7229" t="s">
        <v>17</v>
      </c>
      <c r="E7229" t="s">
        <v>12</v>
      </c>
      <c r="F7229">
        <v>78051938</v>
      </c>
      <c r="G7229">
        <v>78051948</v>
      </c>
      <c r="H7229">
        <v>78051962</v>
      </c>
      <c r="I7229">
        <v>78051967</v>
      </c>
    </row>
    <row r="7230" spans="1:9" x14ac:dyDescent="0.2">
      <c r="A7230" t="str">
        <f>"Gcm2"</f>
        <v>Gcm2</v>
      </c>
      <c r="B7230" t="s">
        <v>2495</v>
      </c>
      <c r="C7230" t="s">
        <v>39</v>
      </c>
      <c r="D7230" t="s">
        <v>11</v>
      </c>
      <c r="E7230" t="s">
        <v>20</v>
      </c>
      <c r="F7230">
        <v>41109987</v>
      </c>
      <c r="G7230">
        <v>41109987</v>
      </c>
      <c r="H7230">
        <v>41109987</v>
      </c>
      <c r="I7230">
        <v>41109987</v>
      </c>
    </row>
    <row r="7231" spans="1:9" x14ac:dyDescent="0.2">
      <c r="A7231" t="str">
        <f>"Gcn1l1"</f>
        <v>Gcn1l1</v>
      </c>
      <c r="B7231" t="s">
        <v>14</v>
      </c>
      <c r="C7231" t="s">
        <v>46</v>
      </c>
      <c r="D7231" t="s">
        <v>17</v>
      </c>
      <c r="E7231" t="s">
        <v>12</v>
      </c>
      <c r="F7231">
        <v>115565256</v>
      </c>
      <c r="G7231">
        <v>115565281</v>
      </c>
      <c r="H7231">
        <v>115565256</v>
      </c>
      <c r="I7231">
        <v>115565281</v>
      </c>
    </row>
    <row r="7232" spans="1:9" x14ac:dyDescent="0.2">
      <c r="A7232" t="str">
        <f>"Gcnt1"</f>
        <v>Gcnt1</v>
      </c>
      <c r="B7232" t="s">
        <v>9</v>
      </c>
      <c r="C7232" t="s">
        <v>10</v>
      </c>
      <c r="D7232" t="s">
        <v>11</v>
      </c>
      <c r="E7232" t="s">
        <v>12</v>
      </c>
      <c r="F7232">
        <v>17356608</v>
      </c>
      <c r="G7232">
        <v>17356624</v>
      </c>
      <c r="H7232">
        <v>17356608</v>
      </c>
      <c r="I7232">
        <v>17356624</v>
      </c>
    </row>
    <row r="7233" spans="1:9" x14ac:dyDescent="0.2">
      <c r="A7233" t="str">
        <f>"Gcnt1"</f>
        <v>Gcnt1</v>
      </c>
      <c r="B7233" t="s">
        <v>13</v>
      </c>
      <c r="C7233" t="s">
        <v>10</v>
      </c>
      <c r="D7233" t="s">
        <v>11</v>
      </c>
      <c r="E7233" t="s">
        <v>12</v>
      </c>
      <c r="F7233">
        <v>17372836</v>
      </c>
      <c r="G7233">
        <v>17372850</v>
      </c>
      <c r="H7233">
        <v>17372836</v>
      </c>
      <c r="I7233">
        <v>17372850</v>
      </c>
    </row>
    <row r="7234" spans="1:9" x14ac:dyDescent="0.2">
      <c r="A7234" t="str">
        <f>"Gcnt2"</f>
        <v>Gcnt2</v>
      </c>
      <c r="B7234" t="s">
        <v>2496</v>
      </c>
      <c r="C7234" t="s">
        <v>39</v>
      </c>
      <c r="D7234" t="s">
        <v>17</v>
      </c>
      <c r="E7234" t="s">
        <v>35</v>
      </c>
      <c r="F7234">
        <v>40859808</v>
      </c>
      <c r="G7234">
        <v>40859822</v>
      </c>
      <c r="H7234">
        <v>40859927</v>
      </c>
      <c r="I7234">
        <v>40859989</v>
      </c>
    </row>
    <row r="7235" spans="1:9" x14ac:dyDescent="0.2">
      <c r="A7235" t="str">
        <f>"Gcnt3"</f>
        <v>Gcnt3</v>
      </c>
      <c r="B7235" t="s">
        <v>14</v>
      </c>
      <c r="C7235" t="s">
        <v>24</v>
      </c>
      <c r="D7235" t="s">
        <v>11</v>
      </c>
      <c r="E7235" t="s">
        <v>12</v>
      </c>
      <c r="F7235">
        <v>70037993</v>
      </c>
      <c r="G7235">
        <v>70038018</v>
      </c>
      <c r="H7235">
        <v>70038096</v>
      </c>
      <c r="I7235">
        <v>70038109</v>
      </c>
    </row>
    <row r="7236" spans="1:9" x14ac:dyDescent="0.2">
      <c r="A7236" t="str">
        <f>"Gcnt4"</f>
        <v>Gcnt4</v>
      </c>
      <c r="B7236" t="s">
        <v>14</v>
      </c>
      <c r="C7236" t="s">
        <v>39</v>
      </c>
      <c r="D7236" t="s">
        <v>17</v>
      </c>
      <c r="E7236" t="s">
        <v>12</v>
      </c>
      <c r="F7236">
        <v>96924704</v>
      </c>
      <c r="G7236">
        <v>96924730</v>
      </c>
      <c r="H7236">
        <v>96924674</v>
      </c>
      <c r="I7236">
        <v>96924694</v>
      </c>
    </row>
    <row r="7237" spans="1:9" x14ac:dyDescent="0.2">
      <c r="A7237" t="str">
        <f>"Gcnt7"</f>
        <v>Gcnt7</v>
      </c>
      <c r="B7237" t="s">
        <v>2497</v>
      </c>
      <c r="C7237" t="s">
        <v>26</v>
      </c>
      <c r="D7237" t="s">
        <v>11</v>
      </c>
      <c r="E7237" t="s">
        <v>20</v>
      </c>
      <c r="F7237">
        <v>172458595</v>
      </c>
      <c r="G7237">
        <v>172458595</v>
      </c>
      <c r="H7237">
        <v>172458595</v>
      </c>
      <c r="I7237">
        <v>172458595</v>
      </c>
    </row>
    <row r="7238" spans="1:9" x14ac:dyDescent="0.2">
      <c r="A7238" t="str">
        <f>"Gcom1"</f>
        <v>Gcom1</v>
      </c>
      <c r="B7238" t="s">
        <v>14</v>
      </c>
      <c r="C7238" t="s">
        <v>24</v>
      </c>
      <c r="D7238" t="s">
        <v>11</v>
      </c>
      <c r="E7238" t="s">
        <v>12</v>
      </c>
      <c r="F7238">
        <v>71592346</v>
      </c>
      <c r="G7238">
        <v>71592372</v>
      </c>
      <c r="H7238">
        <v>71592312</v>
      </c>
      <c r="I7238">
        <v>71592343</v>
      </c>
    </row>
    <row r="7239" spans="1:9" x14ac:dyDescent="0.2">
      <c r="A7239" t="str">
        <f>"Gcsam"</f>
        <v>Gcsam</v>
      </c>
      <c r="B7239" t="s">
        <v>14</v>
      </c>
      <c r="C7239" t="s">
        <v>31</v>
      </c>
      <c r="D7239" t="s">
        <v>17</v>
      </c>
      <c r="E7239" t="s">
        <v>67</v>
      </c>
      <c r="F7239">
        <v>45610417</v>
      </c>
      <c r="G7239">
        <v>45610438</v>
      </c>
      <c r="H7239">
        <v>45610441</v>
      </c>
      <c r="I7239">
        <v>45610450</v>
      </c>
    </row>
    <row r="7240" spans="1:9" x14ac:dyDescent="0.2">
      <c r="A7240" t="str">
        <f>"Gcsh"</f>
        <v>Gcsh</v>
      </c>
      <c r="B7240" t="s">
        <v>14</v>
      </c>
      <c r="C7240" t="s">
        <v>30</v>
      </c>
      <c r="D7240" t="s">
        <v>11</v>
      </c>
      <c r="E7240" t="s">
        <v>12</v>
      </c>
      <c r="F7240">
        <v>116993459</v>
      </c>
      <c r="G7240">
        <v>116993538</v>
      </c>
      <c r="H7240">
        <v>116993439</v>
      </c>
      <c r="I7240">
        <v>116993456</v>
      </c>
    </row>
    <row r="7241" spans="1:9" x14ac:dyDescent="0.2">
      <c r="A7241" t="str">
        <f>"Gda"</f>
        <v>Gda</v>
      </c>
      <c r="B7241" t="s">
        <v>14</v>
      </c>
      <c r="C7241" t="s">
        <v>10</v>
      </c>
      <c r="D7241" t="s">
        <v>11</v>
      </c>
      <c r="E7241" t="s">
        <v>12</v>
      </c>
      <c r="F7241">
        <v>21472552</v>
      </c>
      <c r="G7241">
        <v>21472606</v>
      </c>
      <c r="H7241">
        <v>21472512</v>
      </c>
      <c r="I7241">
        <v>21472533</v>
      </c>
    </row>
    <row r="7242" spans="1:9" x14ac:dyDescent="0.2">
      <c r="A7242" t="str">
        <f>"Gdap1"</f>
        <v>Gdap1</v>
      </c>
      <c r="B7242" t="s">
        <v>14</v>
      </c>
      <c r="C7242" t="s">
        <v>19</v>
      </c>
      <c r="D7242" t="s">
        <v>17</v>
      </c>
      <c r="E7242" t="s">
        <v>12</v>
      </c>
      <c r="F7242">
        <v>17145357</v>
      </c>
      <c r="G7242">
        <v>17145431</v>
      </c>
      <c r="H7242">
        <v>17145357</v>
      </c>
      <c r="I7242">
        <v>17145431</v>
      </c>
    </row>
    <row r="7243" spans="1:9" x14ac:dyDescent="0.2">
      <c r="A7243" t="str">
        <f>"Gdap1l1"</f>
        <v>Gdap1l1</v>
      </c>
      <c r="B7243" t="s">
        <v>14</v>
      </c>
      <c r="C7243" t="s">
        <v>26</v>
      </c>
      <c r="D7243" t="s">
        <v>17</v>
      </c>
      <c r="E7243" t="s">
        <v>12</v>
      </c>
      <c r="F7243">
        <v>163438455</v>
      </c>
      <c r="G7243">
        <v>163438536</v>
      </c>
      <c r="H7243">
        <v>163438592</v>
      </c>
      <c r="I7243">
        <v>163438631</v>
      </c>
    </row>
    <row r="7244" spans="1:9" x14ac:dyDescent="0.2">
      <c r="A7244" t="str">
        <f>"Gdap2"</f>
        <v>Gdap2</v>
      </c>
      <c r="B7244" t="s">
        <v>14</v>
      </c>
      <c r="C7244" t="s">
        <v>22</v>
      </c>
      <c r="D7244" t="s">
        <v>17</v>
      </c>
      <c r="E7244" t="s">
        <v>12</v>
      </c>
      <c r="F7244">
        <v>100162454</v>
      </c>
      <c r="G7244">
        <v>100162536</v>
      </c>
      <c r="H7244">
        <v>100162554</v>
      </c>
      <c r="I7244">
        <v>100162565</v>
      </c>
    </row>
    <row r="7245" spans="1:9" x14ac:dyDescent="0.2">
      <c r="A7245" t="str">
        <f>"Gde1"</f>
        <v>Gde1</v>
      </c>
      <c r="B7245" t="s">
        <v>14</v>
      </c>
      <c r="C7245" t="s">
        <v>33</v>
      </c>
      <c r="D7245" t="s">
        <v>11</v>
      </c>
      <c r="E7245" t="s">
        <v>12</v>
      </c>
      <c r="F7245">
        <v>118705708</v>
      </c>
      <c r="G7245">
        <v>118705786</v>
      </c>
      <c r="H7245">
        <v>118705951</v>
      </c>
      <c r="I7245">
        <v>118705970</v>
      </c>
    </row>
    <row r="7246" spans="1:9" x14ac:dyDescent="0.2">
      <c r="A7246" t="str">
        <f>"Gdf1"</f>
        <v>Gdf1</v>
      </c>
      <c r="B7246" t="s">
        <v>14</v>
      </c>
      <c r="C7246" t="s">
        <v>30</v>
      </c>
      <c r="D7246" t="s">
        <v>17</v>
      </c>
      <c r="E7246" t="s">
        <v>12</v>
      </c>
      <c r="F7246">
        <v>70315759</v>
      </c>
      <c r="G7246">
        <v>70315835</v>
      </c>
      <c r="H7246">
        <v>70315759</v>
      </c>
      <c r="I7246">
        <v>70315835</v>
      </c>
    </row>
    <row r="7247" spans="1:9" x14ac:dyDescent="0.2">
      <c r="A7247" t="str">
        <f>"Gdf10"</f>
        <v>Gdf10</v>
      </c>
      <c r="B7247" t="s">
        <v>14</v>
      </c>
      <c r="C7247" t="s">
        <v>41</v>
      </c>
      <c r="D7247" t="s">
        <v>17</v>
      </c>
      <c r="E7247" t="s">
        <v>12</v>
      </c>
      <c r="F7247">
        <v>33923610</v>
      </c>
      <c r="G7247">
        <v>33923637</v>
      </c>
      <c r="H7247">
        <v>33923643</v>
      </c>
      <c r="I7247">
        <v>33923685</v>
      </c>
    </row>
    <row r="7248" spans="1:9" x14ac:dyDescent="0.2">
      <c r="A7248" t="str">
        <f>"Gdf11"</f>
        <v>Gdf11</v>
      </c>
      <c r="B7248" t="s">
        <v>14</v>
      </c>
      <c r="C7248" t="s">
        <v>15</v>
      </c>
      <c r="D7248" t="s">
        <v>11</v>
      </c>
      <c r="E7248" t="s">
        <v>12</v>
      </c>
      <c r="F7248">
        <v>128891674</v>
      </c>
      <c r="G7248">
        <v>128891715</v>
      </c>
      <c r="H7248">
        <v>128891863</v>
      </c>
      <c r="I7248">
        <v>128891878</v>
      </c>
    </row>
    <row r="7249" spans="1:9" x14ac:dyDescent="0.2">
      <c r="A7249" t="str">
        <f>"Gdf15"</f>
        <v>Gdf15</v>
      </c>
      <c r="B7249" t="s">
        <v>14</v>
      </c>
      <c r="C7249" t="s">
        <v>30</v>
      </c>
      <c r="D7249" t="s">
        <v>11</v>
      </c>
      <c r="E7249" t="s">
        <v>12</v>
      </c>
      <c r="F7249">
        <v>70631631</v>
      </c>
      <c r="G7249">
        <v>70631640</v>
      </c>
      <c r="H7249">
        <v>70631631</v>
      </c>
      <c r="I7249">
        <v>70631640</v>
      </c>
    </row>
    <row r="7250" spans="1:9" x14ac:dyDescent="0.2">
      <c r="A7250" t="str">
        <f>"Gdf2"</f>
        <v>Gdf2</v>
      </c>
      <c r="B7250" t="s">
        <v>14</v>
      </c>
      <c r="C7250" t="s">
        <v>41</v>
      </c>
      <c r="D7250" t="s">
        <v>17</v>
      </c>
      <c r="E7250" t="s">
        <v>12</v>
      </c>
      <c r="F7250">
        <v>33941021</v>
      </c>
      <c r="G7250">
        <v>33941052</v>
      </c>
      <c r="H7250">
        <v>33941076</v>
      </c>
      <c r="I7250">
        <v>33941081</v>
      </c>
    </row>
    <row r="7251" spans="1:9" x14ac:dyDescent="0.2">
      <c r="A7251" t="str">
        <f>"Gdf3"</f>
        <v>Gdf3</v>
      </c>
      <c r="B7251" t="s">
        <v>14</v>
      </c>
      <c r="C7251" t="s">
        <v>32</v>
      </c>
      <c r="D7251" t="s">
        <v>11</v>
      </c>
      <c r="E7251" t="s">
        <v>12</v>
      </c>
      <c r="F7251">
        <v>122609985</v>
      </c>
      <c r="G7251">
        <v>122610003</v>
      </c>
      <c r="H7251">
        <v>122609964</v>
      </c>
      <c r="I7251">
        <v>122609979</v>
      </c>
    </row>
    <row r="7252" spans="1:9" x14ac:dyDescent="0.2">
      <c r="A7252" t="str">
        <f>"Gdf5"</f>
        <v>Gdf5</v>
      </c>
      <c r="B7252" t="s">
        <v>14</v>
      </c>
      <c r="C7252" t="s">
        <v>26</v>
      </c>
      <c r="D7252" t="s">
        <v>11</v>
      </c>
      <c r="E7252" t="s">
        <v>12</v>
      </c>
      <c r="F7252">
        <v>155945282</v>
      </c>
      <c r="G7252">
        <v>155945306</v>
      </c>
      <c r="H7252">
        <v>155945249</v>
      </c>
      <c r="I7252">
        <v>155945259</v>
      </c>
    </row>
    <row r="7253" spans="1:9" x14ac:dyDescent="0.2">
      <c r="A7253" t="str">
        <f>"Gdf6"</f>
        <v>Gdf6</v>
      </c>
      <c r="B7253" t="s">
        <v>14</v>
      </c>
      <c r="C7253" t="s">
        <v>23</v>
      </c>
      <c r="D7253" t="s">
        <v>17</v>
      </c>
      <c r="E7253" t="s">
        <v>12</v>
      </c>
      <c r="F7253">
        <v>9844349</v>
      </c>
      <c r="G7253">
        <v>9844368</v>
      </c>
      <c r="H7253">
        <v>9844349</v>
      </c>
      <c r="I7253">
        <v>9844368</v>
      </c>
    </row>
    <row r="7254" spans="1:9" x14ac:dyDescent="0.2">
      <c r="A7254" t="str">
        <f>"Gdf7"</f>
        <v>Gdf7</v>
      </c>
      <c r="B7254" t="s">
        <v>14</v>
      </c>
      <c r="C7254" t="s">
        <v>16</v>
      </c>
      <c r="D7254" t="s">
        <v>11</v>
      </c>
      <c r="E7254" t="s">
        <v>12</v>
      </c>
      <c r="F7254">
        <v>8301981</v>
      </c>
      <c r="G7254">
        <v>8301995</v>
      </c>
      <c r="H7254">
        <v>8302006</v>
      </c>
      <c r="I7254">
        <v>8302018</v>
      </c>
    </row>
    <row r="7255" spans="1:9" x14ac:dyDescent="0.2">
      <c r="A7255" t="str">
        <f>"Gdf9"</f>
        <v>Gdf9</v>
      </c>
      <c r="B7255" t="s">
        <v>9</v>
      </c>
      <c r="C7255" t="s">
        <v>27</v>
      </c>
      <c r="D7255" t="s">
        <v>17</v>
      </c>
      <c r="E7255" t="s">
        <v>12</v>
      </c>
      <c r="F7255">
        <v>53433347</v>
      </c>
      <c r="G7255">
        <v>53433357</v>
      </c>
      <c r="H7255">
        <v>53433347</v>
      </c>
      <c r="I7255">
        <v>53433357</v>
      </c>
    </row>
    <row r="7256" spans="1:9" x14ac:dyDescent="0.2">
      <c r="A7256" t="str">
        <f>"Gdf9"</f>
        <v>Gdf9</v>
      </c>
      <c r="B7256" t="s">
        <v>13</v>
      </c>
      <c r="C7256" t="s">
        <v>27</v>
      </c>
      <c r="D7256" t="s">
        <v>17</v>
      </c>
      <c r="E7256" t="s">
        <v>12</v>
      </c>
      <c r="F7256">
        <v>53431026</v>
      </c>
      <c r="G7256">
        <v>53431035</v>
      </c>
      <c r="H7256">
        <v>53431026</v>
      </c>
      <c r="I7256">
        <v>53431035</v>
      </c>
    </row>
    <row r="7257" spans="1:9" x14ac:dyDescent="0.2">
      <c r="A7257" t="str">
        <f>"Gdi1"</f>
        <v>Gdi1</v>
      </c>
      <c r="B7257" t="s">
        <v>14</v>
      </c>
      <c r="C7257" t="s">
        <v>37</v>
      </c>
      <c r="D7257" t="s">
        <v>17</v>
      </c>
      <c r="E7257" t="s">
        <v>12</v>
      </c>
      <c r="F7257">
        <v>74305239</v>
      </c>
      <c r="G7257">
        <v>74305278</v>
      </c>
      <c r="H7257">
        <v>74304992</v>
      </c>
      <c r="I7257">
        <v>74305036</v>
      </c>
    </row>
    <row r="7258" spans="1:9" x14ac:dyDescent="0.2">
      <c r="A7258" t="str">
        <f>"Gdi2"</f>
        <v>Gdi2</v>
      </c>
      <c r="B7258" t="s">
        <v>14</v>
      </c>
      <c r="C7258" t="s">
        <v>39</v>
      </c>
      <c r="D7258" t="s">
        <v>17</v>
      </c>
      <c r="E7258" t="s">
        <v>12</v>
      </c>
      <c r="F7258">
        <v>3538111</v>
      </c>
      <c r="G7258">
        <v>3538150</v>
      </c>
      <c r="H7258">
        <v>3537712</v>
      </c>
      <c r="I7258">
        <v>3537726</v>
      </c>
    </row>
    <row r="7259" spans="1:9" x14ac:dyDescent="0.2">
      <c r="A7259" t="str">
        <f>"Gdnf"</f>
        <v>Gdnf</v>
      </c>
      <c r="B7259" t="s">
        <v>14</v>
      </c>
      <c r="C7259" t="s">
        <v>25</v>
      </c>
      <c r="D7259" t="s">
        <v>17</v>
      </c>
      <c r="E7259" t="s">
        <v>12</v>
      </c>
      <c r="F7259">
        <v>7811043</v>
      </c>
      <c r="G7259">
        <v>7811075</v>
      </c>
      <c r="H7259">
        <v>7810807</v>
      </c>
      <c r="I7259">
        <v>7810813</v>
      </c>
    </row>
    <row r="7260" spans="1:9" x14ac:dyDescent="0.2">
      <c r="A7260" t="str">
        <f>"Gdpd1"</f>
        <v>Gdpd1</v>
      </c>
      <c r="B7260" t="s">
        <v>14</v>
      </c>
      <c r="C7260" t="s">
        <v>27</v>
      </c>
      <c r="D7260" t="s">
        <v>11</v>
      </c>
      <c r="E7260" t="s">
        <v>12</v>
      </c>
      <c r="F7260">
        <v>87074055</v>
      </c>
      <c r="G7260">
        <v>87074071</v>
      </c>
      <c r="H7260">
        <v>87074073</v>
      </c>
      <c r="I7260">
        <v>87074116</v>
      </c>
    </row>
    <row r="7261" spans="1:9" x14ac:dyDescent="0.2">
      <c r="A7261" t="str">
        <f>"Gdpd2"</f>
        <v>Gdpd2</v>
      </c>
      <c r="B7261" t="s">
        <v>14</v>
      </c>
      <c r="C7261" t="s">
        <v>37</v>
      </c>
      <c r="D7261" t="s">
        <v>17</v>
      </c>
      <c r="E7261" t="s">
        <v>12</v>
      </c>
      <c r="F7261">
        <v>100730126</v>
      </c>
      <c r="G7261">
        <v>100730141</v>
      </c>
      <c r="H7261">
        <v>100729980</v>
      </c>
      <c r="I7261">
        <v>100729994</v>
      </c>
    </row>
    <row r="7262" spans="1:9" x14ac:dyDescent="0.2">
      <c r="A7262" t="str">
        <f>"Gdpd3"</f>
        <v>Gdpd3</v>
      </c>
      <c r="B7262" t="s">
        <v>14</v>
      </c>
      <c r="C7262" t="s">
        <v>33</v>
      </c>
      <c r="D7262" t="s">
        <v>17</v>
      </c>
      <c r="E7262" t="s">
        <v>12</v>
      </c>
      <c r="F7262">
        <v>126766397</v>
      </c>
      <c r="G7262">
        <v>126766425</v>
      </c>
      <c r="H7262">
        <v>126766430</v>
      </c>
      <c r="I7262">
        <v>126766452</v>
      </c>
    </row>
    <row r="7263" spans="1:9" x14ac:dyDescent="0.2">
      <c r="A7263" t="str">
        <f>"Gdpd4"</f>
        <v>Gdpd4</v>
      </c>
      <c r="B7263" t="s">
        <v>14</v>
      </c>
      <c r="C7263" t="s">
        <v>33</v>
      </c>
      <c r="D7263" t="s">
        <v>17</v>
      </c>
      <c r="E7263" t="s">
        <v>12</v>
      </c>
      <c r="F7263">
        <v>97919949</v>
      </c>
      <c r="G7263">
        <v>97919966</v>
      </c>
      <c r="H7263">
        <v>97919971</v>
      </c>
      <c r="I7263">
        <v>97919991</v>
      </c>
    </row>
    <row r="7264" spans="1:9" x14ac:dyDescent="0.2">
      <c r="A7264" t="str">
        <f>"Gdpd5"</f>
        <v>Gdpd5</v>
      </c>
      <c r="B7264" t="s">
        <v>14</v>
      </c>
      <c r="C7264" t="s">
        <v>33</v>
      </c>
      <c r="D7264" t="s">
        <v>17</v>
      </c>
      <c r="E7264" t="s">
        <v>12</v>
      </c>
      <c r="F7264">
        <v>99381495</v>
      </c>
      <c r="G7264">
        <v>99381555</v>
      </c>
      <c r="H7264">
        <v>99381422</v>
      </c>
      <c r="I7264">
        <v>99381487</v>
      </c>
    </row>
    <row r="7265" spans="1:9" x14ac:dyDescent="0.2">
      <c r="A7265" t="str">
        <f>"Gdpgp1"</f>
        <v>Gdpgp1</v>
      </c>
      <c r="B7265" t="s">
        <v>14</v>
      </c>
      <c r="C7265" t="s">
        <v>33</v>
      </c>
      <c r="D7265" t="s">
        <v>17</v>
      </c>
      <c r="E7265" t="s">
        <v>67</v>
      </c>
      <c r="F7265">
        <v>80232862</v>
      </c>
      <c r="G7265">
        <v>80232945</v>
      </c>
      <c r="H7265">
        <v>80232862</v>
      </c>
      <c r="I7265">
        <v>80232945</v>
      </c>
    </row>
    <row r="7266" spans="1:9" x14ac:dyDescent="0.2">
      <c r="A7266" t="str">
        <f>"Gem"</f>
        <v>Gem</v>
      </c>
      <c r="B7266" t="s">
        <v>14</v>
      </c>
      <c r="C7266" t="s">
        <v>23</v>
      </c>
      <c r="D7266" t="s">
        <v>17</v>
      </c>
      <c r="E7266" t="s">
        <v>12</v>
      </c>
      <c r="F7266">
        <v>11704439</v>
      </c>
      <c r="G7266">
        <v>11704454</v>
      </c>
      <c r="H7266">
        <v>11704439</v>
      </c>
      <c r="I7266">
        <v>11704454</v>
      </c>
    </row>
    <row r="7267" spans="1:9" x14ac:dyDescent="0.2">
      <c r="A7267" t="str">
        <f>"Gemin2"</f>
        <v>Gemin2</v>
      </c>
      <c r="B7267" t="s">
        <v>14</v>
      </c>
      <c r="C7267" t="s">
        <v>16</v>
      </c>
      <c r="D7267" t="s">
        <v>17</v>
      </c>
      <c r="E7267" t="s">
        <v>67</v>
      </c>
      <c r="F7267">
        <v>59013411</v>
      </c>
      <c r="G7267">
        <v>59013462</v>
      </c>
      <c r="H7267">
        <v>59013379</v>
      </c>
      <c r="I7267">
        <v>59013398</v>
      </c>
    </row>
    <row r="7268" spans="1:9" x14ac:dyDescent="0.2">
      <c r="A7268" t="str">
        <f>"Gemin4"</f>
        <v>Gemin4</v>
      </c>
      <c r="B7268" t="s">
        <v>9</v>
      </c>
      <c r="C7268" t="s">
        <v>27</v>
      </c>
      <c r="D7268" t="s">
        <v>11</v>
      </c>
      <c r="E7268" t="s">
        <v>12</v>
      </c>
      <c r="F7268">
        <v>76217490</v>
      </c>
      <c r="G7268">
        <v>76217591</v>
      </c>
      <c r="H7268">
        <v>76217490</v>
      </c>
      <c r="I7268">
        <v>76217591</v>
      </c>
    </row>
    <row r="7269" spans="1:9" x14ac:dyDescent="0.2">
      <c r="A7269" t="str">
        <f>"Gemin4"</f>
        <v>Gemin4</v>
      </c>
      <c r="B7269" t="s">
        <v>13</v>
      </c>
      <c r="C7269" t="s">
        <v>27</v>
      </c>
      <c r="D7269" t="s">
        <v>11</v>
      </c>
      <c r="E7269" t="s">
        <v>12</v>
      </c>
      <c r="F7269">
        <v>76243687</v>
      </c>
      <c r="G7269">
        <v>76243704</v>
      </c>
      <c r="H7269">
        <v>76243687</v>
      </c>
      <c r="I7269">
        <v>76243704</v>
      </c>
    </row>
    <row r="7270" spans="1:9" x14ac:dyDescent="0.2">
      <c r="A7270" t="str">
        <f>"Gemin5"</f>
        <v>Gemin5</v>
      </c>
      <c r="B7270" t="s">
        <v>9</v>
      </c>
      <c r="C7270" t="s">
        <v>27</v>
      </c>
      <c r="D7270" t="s">
        <v>11</v>
      </c>
      <c r="E7270" t="s">
        <v>12</v>
      </c>
      <c r="F7270">
        <v>58168467</v>
      </c>
      <c r="G7270">
        <v>58168544</v>
      </c>
      <c r="H7270">
        <v>58168467</v>
      </c>
      <c r="I7270">
        <v>58168544</v>
      </c>
    </row>
    <row r="7271" spans="1:9" x14ac:dyDescent="0.2">
      <c r="A7271" t="str">
        <f>"Gemin5"</f>
        <v>Gemin5</v>
      </c>
      <c r="B7271" t="s">
        <v>13</v>
      </c>
      <c r="C7271" t="s">
        <v>27</v>
      </c>
      <c r="D7271" t="s">
        <v>11</v>
      </c>
      <c r="E7271" t="s">
        <v>12</v>
      </c>
      <c r="F7271">
        <v>58139520</v>
      </c>
      <c r="G7271">
        <v>58139534</v>
      </c>
      <c r="H7271">
        <v>58139520</v>
      </c>
      <c r="I7271">
        <v>58139534</v>
      </c>
    </row>
    <row r="7272" spans="1:9" x14ac:dyDescent="0.2">
      <c r="A7272" t="str">
        <f>"Gemin6"</f>
        <v>Gemin6</v>
      </c>
      <c r="B7272" t="s">
        <v>14</v>
      </c>
      <c r="C7272" t="s">
        <v>28</v>
      </c>
      <c r="D7272" t="s">
        <v>17</v>
      </c>
      <c r="E7272" t="s">
        <v>12</v>
      </c>
      <c r="F7272">
        <v>80224447</v>
      </c>
      <c r="G7272">
        <v>80224493</v>
      </c>
      <c r="H7272">
        <v>80224495</v>
      </c>
      <c r="I7272">
        <v>80224510</v>
      </c>
    </row>
    <row r="7273" spans="1:9" x14ac:dyDescent="0.2">
      <c r="A7273" t="str">
        <f>"Gemin7"</f>
        <v>Gemin7</v>
      </c>
      <c r="B7273" t="s">
        <v>14</v>
      </c>
      <c r="C7273" t="s">
        <v>33</v>
      </c>
      <c r="D7273" t="s">
        <v>11</v>
      </c>
      <c r="E7273" t="s">
        <v>12</v>
      </c>
      <c r="F7273">
        <v>19573379</v>
      </c>
      <c r="G7273">
        <v>19573403</v>
      </c>
      <c r="H7273">
        <v>19573372</v>
      </c>
      <c r="I7273">
        <v>19573377</v>
      </c>
    </row>
    <row r="7274" spans="1:9" x14ac:dyDescent="0.2">
      <c r="A7274" t="str">
        <f>"Gemin8"</f>
        <v>Gemin8</v>
      </c>
      <c r="B7274" t="s">
        <v>14</v>
      </c>
      <c r="C7274" t="s">
        <v>37</v>
      </c>
      <c r="D7274" t="s">
        <v>17</v>
      </c>
      <c r="E7274" t="s">
        <v>12</v>
      </c>
      <c r="F7274">
        <v>166170449</v>
      </c>
      <c r="G7274">
        <v>166170512</v>
      </c>
      <c r="H7274">
        <v>166170449</v>
      </c>
      <c r="I7274">
        <v>166170512</v>
      </c>
    </row>
    <row r="7275" spans="1:9" x14ac:dyDescent="0.2">
      <c r="A7275" t="str">
        <f>"Gen1"</f>
        <v>Gen1</v>
      </c>
      <c r="B7275" t="s">
        <v>14</v>
      </c>
      <c r="C7275" t="s">
        <v>16</v>
      </c>
      <c r="D7275" t="s">
        <v>11</v>
      </c>
      <c r="E7275" t="s">
        <v>12</v>
      </c>
      <c r="F7275">
        <v>11265768</v>
      </c>
      <c r="G7275">
        <v>11265816</v>
      </c>
      <c r="H7275">
        <v>11265768</v>
      </c>
      <c r="I7275">
        <v>11265816</v>
      </c>
    </row>
    <row r="7276" spans="1:9" x14ac:dyDescent="0.2">
      <c r="A7276" t="str">
        <f>"Get4"</f>
        <v>Get4</v>
      </c>
      <c r="B7276" t="s">
        <v>14</v>
      </c>
      <c r="C7276" t="s">
        <v>46</v>
      </c>
      <c r="D7276" t="s">
        <v>17</v>
      </c>
      <c r="E7276" t="s">
        <v>12</v>
      </c>
      <c r="F7276">
        <v>139252343</v>
      </c>
      <c r="G7276">
        <v>139252455</v>
      </c>
      <c r="H7276">
        <v>139252314</v>
      </c>
      <c r="I7276">
        <v>139252329</v>
      </c>
    </row>
    <row r="7277" spans="1:9" x14ac:dyDescent="0.2">
      <c r="A7277" t="str">
        <f>"Gfap"</f>
        <v>Gfap</v>
      </c>
      <c r="B7277" t="s">
        <v>14</v>
      </c>
      <c r="C7277" t="s">
        <v>27</v>
      </c>
      <c r="D7277" t="s">
        <v>11</v>
      </c>
      <c r="E7277" t="s">
        <v>12</v>
      </c>
      <c r="F7277">
        <v>102897123</v>
      </c>
      <c r="G7277">
        <v>102897139</v>
      </c>
      <c r="H7277">
        <v>102897146</v>
      </c>
      <c r="I7277">
        <v>102897157</v>
      </c>
    </row>
    <row r="7278" spans="1:9" x14ac:dyDescent="0.2">
      <c r="A7278" t="str">
        <f>"Gfer"</f>
        <v>Gfer</v>
      </c>
      <c r="B7278" t="s">
        <v>14</v>
      </c>
      <c r="C7278" t="s">
        <v>28</v>
      </c>
      <c r="D7278" t="s">
        <v>11</v>
      </c>
      <c r="E7278" t="s">
        <v>12</v>
      </c>
      <c r="F7278">
        <v>24696065</v>
      </c>
      <c r="G7278">
        <v>24696108</v>
      </c>
      <c r="H7278">
        <v>24696147</v>
      </c>
      <c r="I7278">
        <v>24696166</v>
      </c>
    </row>
    <row r="7279" spans="1:9" x14ac:dyDescent="0.2">
      <c r="A7279" t="str">
        <f>"Gfi1"</f>
        <v>Gfi1</v>
      </c>
      <c r="B7279" t="s">
        <v>14</v>
      </c>
      <c r="C7279" t="s">
        <v>46</v>
      </c>
      <c r="D7279" t="s">
        <v>11</v>
      </c>
      <c r="E7279" t="s">
        <v>12</v>
      </c>
      <c r="F7279">
        <v>107725987</v>
      </c>
      <c r="G7279">
        <v>107726014</v>
      </c>
      <c r="H7279">
        <v>107726017</v>
      </c>
      <c r="I7279">
        <v>107726040</v>
      </c>
    </row>
    <row r="7280" spans="1:9" x14ac:dyDescent="0.2">
      <c r="A7280" t="str">
        <f>"Gfi1b"</f>
        <v>Gfi1b</v>
      </c>
      <c r="B7280" t="s">
        <v>14</v>
      </c>
      <c r="C7280" t="s">
        <v>26</v>
      </c>
      <c r="D7280" t="s">
        <v>11</v>
      </c>
      <c r="E7280" t="s">
        <v>12</v>
      </c>
      <c r="F7280">
        <v>28621932</v>
      </c>
      <c r="G7280">
        <v>28621963</v>
      </c>
      <c r="H7280">
        <v>28621902</v>
      </c>
      <c r="I7280">
        <v>28621913</v>
      </c>
    </row>
    <row r="7281" spans="1:9" x14ac:dyDescent="0.2">
      <c r="A7281" t="str">
        <f>"Gfm1"</f>
        <v>Gfm1</v>
      </c>
      <c r="B7281" t="s">
        <v>14</v>
      </c>
      <c r="C7281" t="s">
        <v>22</v>
      </c>
      <c r="D7281" t="s">
        <v>17</v>
      </c>
      <c r="E7281" t="s">
        <v>12</v>
      </c>
      <c r="F7281">
        <v>67430101</v>
      </c>
      <c r="G7281">
        <v>67430184</v>
      </c>
      <c r="H7281">
        <v>67430097</v>
      </c>
      <c r="I7281">
        <v>67430100</v>
      </c>
    </row>
    <row r="7282" spans="1:9" x14ac:dyDescent="0.2">
      <c r="A7282" t="str">
        <f>"Gfm2"</f>
        <v>Gfm2</v>
      </c>
      <c r="B7282" t="s">
        <v>14</v>
      </c>
      <c r="C7282" t="s">
        <v>39</v>
      </c>
      <c r="D7282" t="s">
        <v>17</v>
      </c>
      <c r="E7282" t="s">
        <v>12</v>
      </c>
      <c r="F7282">
        <v>97137967</v>
      </c>
      <c r="G7282">
        <v>97138013</v>
      </c>
      <c r="H7282">
        <v>97137967</v>
      </c>
      <c r="I7282">
        <v>97138013</v>
      </c>
    </row>
    <row r="7283" spans="1:9" x14ac:dyDescent="0.2">
      <c r="A7283" t="str">
        <f>"Gfod1"</f>
        <v>Gfod1</v>
      </c>
      <c r="B7283" t="s">
        <v>14</v>
      </c>
      <c r="C7283" t="s">
        <v>39</v>
      </c>
      <c r="D7283" t="s">
        <v>11</v>
      </c>
      <c r="E7283" t="s">
        <v>12</v>
      </c>
      <c r="F7283">
        <v>43304153</v>
      </c>
      <c r="G7283">
        <v>43304213</v>
      </c>
      <c r="H7283">
        <v>43304118</v>
      </c>
      <c r="I7283">
        <v>43304130</v>
      </c>
    </row>
    <row r="7284" spans="1:9" x14ac:dyDescent="0.2">
      <c r="A7284" t="str">
        <f>"Gfod2"</f>
        <v>Gfod2</v>
      </c>
      <c r="B7284" t="s">
        <v>14</v>
      </c>
      <c r="C7284" t="s">
        <v>30</v>
      </c>
      <c r="D7284" t="s">
        <v>11</v>
      </c>
      <c r="E7284" t="s">
        <v>12</v>
      </c>
      <c r="F7284">
        <v>105758570</v>
      </c>
      <c r="G7284">
        <v>105758657</v>
      </c>
      <c r="H7284">
        <v>105758547</v>
      </c>
      <c r="I7284">
        <v>105758559</v>
      </c>
    </row>
    <row r="7285" spans="1:9" x14ac:dyDescent="0.2">
      <c r="A7285" t="str">
        <f>"Gfpt1"</f>
        <v>Gfpt1</v>
      </c>
      <c r="B7285" t="s">
        <v>14</v>
      </c>
      <c r="C7285" t="s">
        <v>32</v>
      </c>
      <c r="D7285" t="s">
        <v>17</v>
      </c>
      <c r="E7285" t="s">
        <v>12</v>
      </c>
      <c r="F7285">
        <v>87042838</v>
      </c>
      <c r="G7285">
        <v>87042918</v>
      </c>
      <c r="H7285">
        <v>87042838</v>
      </c>
      <c r="I7285">
        <v>87042918</v>
      </c>
    </row>
    <row r="7286" spans="1:9" x14ac:dyDescent="0.2">
      <c r="A7286" t="str">
        <f>"Gfpt2"</f>
        <v>Gfpt2</v>
      </c>
      <c r="B7286" t="s">
        <v>14</v>
      </c>
      <c r="C7286" t="s">
        <v>27</v>
      </c>
      <c r="D7286" t="s">
        <v>17</v>
      </c>
      <c r="E7286" t="s">
        <v>12</v>
      </c>
      <c r="F7286">
        <v>49794157</v>
      </c>
      <c r="G7286">
        <v>49794184</v>
      </c>
      <c r="H7286">
        <v>49794134</v>
      </c>
      <c r="I7286">
        <v>49794137</v>
      </c>
    </row>
    <row r="7287" spans="1:9" x14ac:dyDescent="0.2">
      <c r="A7287" t="str">
        <f>"Gfra1"</f>
        <v>Gfra1</v>
      </c>
      <c r="B7287" t="s">
        <v>14</v>
      </c>
      <c r="C7287" t="s">
        <v>10</v>
      </c>
      <c r="D7287" t="s">
        <v>11</v>
      </c>
      <c r="E7287" t="s">
        <v>12</v>
      </c>
      <c r="F7287">
        <v>58455259</v>
      </c>
      <c r="G7287">
        <v>58455324</v>
      </c>
      <c r="H7287">
        <v>58454580</v>
      </c>
      <c r="I7287">
        <v>58454641</v>
      </c>
    </row>
    <row r="7288" spans="1:9" x14ac:dyDescent="0.2">
      <c r="A7288" t="str">
        <f>"Gfra2"</f>
        <v>Gfra2</v>
      </c>
      <c r="B7288" t="s">
        <v>14</v>
      </c>
      <c r="C7288" t="s">
        <v>41</v>
      </c>
      <c r="D7288" t="s">
        <v>17</v>
      </c>
      <c r="E7288" t="s">
        <v>12</v>
      </c>
      <c r="F7288">
        <v>70890099</v>
      </c>
      <c r="G7288">
        <v>70890130</v>
      </c>
      <c r="H7288">
        <v>70890660</v>
      </c>
      <c r="I7288">
        <v>70890711</v>
      </c>
    </row>
    <row r="7289" spans="1:9" x14ac:dyDescent="0.2">
      <c r="A7289" t="str">
        <f>"Gfra3"</f>
        <v>Gfra3</v>
      </c>
      <c r="B7289" t="s">
        <v>14</v>
      </c>
      <c r="C7289" t="s">
        <v>43</v>
      </c>
      <c r="D7289" t="s">
        <v>11</v>
      </c>
      <c r="E7289" t="s">
        <v>12</v>
      </c>
      <c r="F7289">
        <v>34720269</v>
      </c>
      <c r="G7289">
        <v>34720311</v>
      </c>
      <c r="H7289">
        <v>34720245</v>
      </c>
      <c r="I7289">
        <v>34720262</v>
      </c>
    </row>
    <row r="7290" spans="1:9" x14ac:dyDescent="0.2">
      <c r="A7290" t="str">
        <f>"Gfra4"</f>
        <v>Gfra4</v>
      </c>
      <c r="B7290" t="s">
        <v>14</v>
      </c>
      <c r="C7290" t="s">
        <v>26</v>
      </c>
      <c r="D7290" t="s">
        <v>11</v>
      </c>
      <c r="E7290" t="s">
        <v>12</v>
      </c>
      <c r="F7290">
        <v>131041477</v>
      </c>
      <c r="G7290">
        <v>131041554</v>
      </c>
      <c r="H7290">
        <v>131041388</v>
      </c>
      <c r="I7290">
        <v>131041471</v>
      </c>
    </row>
    <row r="7291" spans="1:9" x14ac:dyDescent="0.2">
      <c r="A7291" t="str">
        <f>"Gfral"</f>
        <v>Gfral</v>
      </c>
      <c r="B7291" t="s">
        <v>2498</v>
      </c>
      <c r="C7291" t="s">
        <v>24</v>
      </c>
      <c r="D7291" t="s">
        <v>11</v>
      </c>
      <c r="E7291" t="s">
        <v>20</v>
      </c>
      <c r="F7291">
        <v>76213656</v>
      </c>
      <c r="G7291">
        <v>76213656</v>
      </c>
      <c r="H7291">
        <v>76213656</v>
      </c>
      <c r="I7291">
        <v>76213656</v>
      </c>
    </row>
    <row r="7292" spans="1:9" x14ac:dyDescent="0.2">
      <c r="A7292" t="str">
        <f>"Gga1"</f>
        <v>Gga1</v>
      </c>
      <c r="B7292" t="s">
        <v>14</v>
      </c>
      <c r="C7292" t="s">
        <v>25</v>
      </c>
      <c r="D7292" t="s">
        <v>17</v>
      </c>
      <c r="E7292" t="s">
        <v>12</v>
      </c>
      <c r="F7292">
        <v>78877541</v>
      </c>
      <c r="G7292">
        <v>78877585</v>
      </c>
      <c r="H7292">
        <v>78877172</v>
      </c>
      <c r="I7292">
        <v>78877196</v>
      </c>
    </row>
    <row r="7293" spans="1:9" x14ac:dyDescent="0.2">
      <c r="A7293" t="str">
        <f>"Gga2"</f>
        <v>Gga2</v>
      </c>
      <c r="B7293" t="s">
        <v>14</v>
      </c>
      <c r="C7293" t="s">
        <v>33</v>
      </c>
      <c r="D7293" t="s">
        <v>11</v>
      </c>
      <c r="E7293" t="s">
        <v>12</v>
      </c>
      <c r="F7293">
        <v>122021143</v>
      </c>
      <c r="G7293">
        <v>122021206</v>
      </c>
      <c r="H7293">
        <v>122021143</v>
      </c>
      <c r="I7293">
        <v>122021206</v>
      </c>
    </row>
    <row r="7294" spans="1:9" x14ac:dyDescent="0.2">
      <c r="A7294" t="str">
        <f>"Gga3"</f>
        <v>Gga3</v>
      </c>
      <c r="B7294" t="s">
        <v>14</v>
      </c>
      <c r="C7294" t="s">
        <v>27</v>
      </c>
      <c r="D7294" t="s">
        <v>11</v>
      </c>
      <c r="E7294" t="s">
        <v>12</v>
      </c>
      <c r="F7294">
        <v>115603866</v>
      </c>
      <c r="G7294">
        <v>115603921</v>
      </c>
      <c r="H7294">
        <v>115603866</v>
      </c>
      <c r="I7294">
        <v>115603921</v>
      </c>
    </row>
    <row r="7295" spans="1:9" x14ac:dyDescent="0.2">
      <c r="A7295" t="str">
        <f>"Ggact"</f>
        <v>Ggact</v>
      </c>
      <c r="B7295" t="s">
        <v>14</v>
      </c>
      <c r="C7295" t="s">
        <v>41</v>
      </c>
      <c r="D7295" t="s">
        <v>11</v>
      </c>
      <c r="E7295" t="s">
        <v>67</v>
      </c>
      <c r="F7295">
        <v>122913108</v>
      </c>
      <c r="G7295">
        <v>122913190</v>
      </c>
      <c r="H7295">
        <v>122912915</v>
      </c>
      <c r="I7295">
        <v>122912960</v>
      </c>
    </row>
    <row r="7296" spans="1:9" x14ac:dyDescent="0.2">
      <c r="A7296" t="str">
        <f>"Ggct"</f>
        <v>Ggct</v>
      </c>
      <c r="B7296" t="s">
        <v>14</v>
      </c>
      <c r="C7296" t="s">
        <v>32</v>
      </c>
      <c r="D7296" t="s">
        <v>11</v>
      </c>
      <c r="E7296" t="s">
        <v>12</v>
      </c>
      <c r="F7296">
        <v>54992858</v>
      </c>
      <c r="G7296">
        <v>54992878</v>
      </c>
      <c r="H7296">
        <v>54992882</v>
      </c>
      <c r="I7296">
        <v>54992907</v>
      </c>
    </row>
    <row r="7297" spans="1:9" x14ac:dyDescent="0.2">
      <c r="A7297" t="str">
        <f>"Ggcx"</f>
        <v>Ggcx</v>
      </c>
      <c r="B7297" t="s">
        <v>14</v>
      </c>
      <c r="C7297" t="s">
        <v>32</v>
      </c>
      <c r="D7297" t="s">
        <v>17</v>
      </c>
      <c r="E7297" t="s">
        <v>12</v>
      </c>
      <c r="F7297">
        <v>72414323</v>
      </c>
      <c r="G7297">
        <v>72414352</v>
      </c>
      <c r="H7297">
        <v>72414353</v>
      </c>
      <c r="I7297">
        <v>72414388</v>
      </c>
    </row>
    <row r="7298" spans="1:9" x14ac:dyDescent="0.2">
      <c r="A7298" t="str">
        <f>"Ggh"</f>
        <v>Ggh</v>
      </c>
      <c r="B7298" t="s">
        <v>14</v>
      </c>
      <c r="C7298" t="s">
        <v>23</v>
      </c>
      <c r="D7298" t="s">
        <v>17</v>
      </c>
      <c r="E7298" t="s">
        <v>12</v>
      </c>
      <c r="F7298">
        <v>20042046</v>
      </c>
      <c r="G7298">
        <v>20042107</v>
      </c>
      <c r="H7298">
        <v>20042152</v>
      </c>
      <c r="I7298">
        <v>20042171</v>
      </c>
    </row>
    <row r="7299" spans="1:9" x14ac:dyDescent="0.2">
      <c r="A7299" t="str">
        <f>"Ggn"</f>
        <v>Ggn</v>
      </c>
      <c r="B7299" t="s">
        <v>14</v>
      </c>
      <c r="C7299" t="s">
        <v>33</v>
      </c>
      <c r="D7299" t="s">
        <v>17</v>
      </c>
      <c r="E7299" t="s">
        <v>12</v>
      </c>
      <c r="F7299">
        <v>29170345</v>
      </c>
      <c r="G7299">
        <v>29170414</v>
      </c>
      <c r="H7299">
        <v>29170204</v>
      </c>
      <c r="I7299">
        <v>29170224</v>
      </c>
    </row>
    <row r="7300" spans="1:9" x14ac:dyDescent="0.2">
      <c r="A7300" t="str">
        <f>"Ggnbp1"</f>
        <v>Ggnbp1</v>
      </c>
      <c r="B7300" t="s">
        <v>9</v>
      </c>
      <c r="C7300" t="s">
        <v>28</v>
      </c>
      <c r="D7300" t="s">
        <v>17</v>
      </c>
      <c r="E7300" t="s">
        <v>12</v>
      </c>
      <c r="F7300">
        <v>26973161</v>
      </c>
      <c r="G7300">
        <v>26973219</v>
      </c>
      <c r="H7300">
        <v>26973161</v>
      </c>
      <c r="I7300">
        <v>26973219</v>
      </c>
    </row>
    <row r="7301" spans="1:9" x14ac:dyDescent="0.2">
      <c r="A7301" t="str">
        <f>"Ggnbp1"</f>
        <v>Ggnbp1</v>
      </c>
      <c r="B7301" t="s">
        <v>13</v>
      </c>
      <c r="C7301" t="s">
        <v>28</v>
      </c>
      <c r="D7301" t="s">
        <v>17</v>
      </c>
      <c r="E7301" t="s">
        <v>12</v>
      </c>
      <c r="F7301">
        <v>27018005</v>
      </c>
      <c r="G7301">
        <v>27018067</v>
      </c>
      <c r="H7301">
        <v>27018005</v>
      </c>
      <c r="I7301">
        <v>27018067</v>
      </c>
    </row>
    <row r="7302" spans="1:9" x14ac:dyDescent="0.2">
      <c r="A7302" t="str">
        <f>"Ggnbp2"</f>
        <v>Ggnbp2</v>
      </c>
      <c r="B7302" t="s">
        <v>14</v>
      </c>
      <c r="C7302" t="s">
        <v>27</v>
      </c>
      <c r="D7302" t="s">
        <v>11</v>
      </c>
      <c r="E7302" t="s">
        <v>12</v>
      </c>
      <c r="F7302">
        <v>84870712</v>
      </c>
      <c r="G7302">
        <v>84870807</v>
      </c>
      <c r="H7302">
        <v>84870031</v>
      </c>
      <c r="I7302">
        <v>84870107</v>
      </c>
    </row>
    <row r="7303" spans="1:9" x14ac:dyDescent="0.2">
      <c r="A7303" t="str">
        <f>"Ggps1"</f>
        <v>Ggps1</v>
      </c>
      <c r="B7303" t="s">
        <v>14</v>
      </c>
      <c r="C7303" t="s">
        <v>39</v>
      </c>
      <c r="D7303" t="s">
        <v>11</v>
      </c>
      <c r="E7303" t="s">
        <v>12</v>
      </c>
      <c r="F7303">
        <v>14063395</v>
      </c>
      <c r="G7303">
        <v>14063436</v>
      </c>
      <c r="H7303">
        <v>14063377</v>
      </c>
      <c r="I7303">
        <v>14063384</v>
      </c>
    </row>
    <row r="7304" spans="1:9" x14ac:dyDescent="0.2">
      <c r="A7304" t="str">
        <f>"Ggt1"</f>
        <v>Ggt1</v>
      </c>
      <c r="B7304" t="s">
        <v>9</v>
      </c>
      <c r="C7304" t="s">
        <v>15</v>
      </c>
      <c r="D7304" t="s">
        <v>17</v>
      </c>
      <c r="E7304" t="s">
        <v>12</v>
      </c>
      <c r="F7304">
        <v>75564086</v>
      </c>
      <c r="G7304">
        <v>75564165</v>
      </c>
      <c r="H7304">
        <v>75564086</v>
      </c>
      <c r="I7304">
        <v>75564165</v>
      </c>
    </row>
    <row r="7305" spans="1:9" x14ac:dyDescent="0.2">
      <c r="A7305" t="str">
        <f>"Ggt1"</f>
        <v>Ggt1</v>
      </c>
      <c r="B7305" t="s">
        <v>13</v>
      </c>
      <c r="C7305" t="s">
        <v>15</v>
      </c>
      <c r="D7305" t="s">
        <v>17</v>
      </c>
      <c r="E7305" t="s">
        <v>12</v>
      </c>
      <c r="F7305">
        <v>75568648</v>
      </c>
      <c r="G7305">
        <v>75568673</v>
      </c>
      <c r="H7305">
        <v>75568648</v>
      </c>
      <c r="I7305">
        <v>75568673</v>
      </c>
    </row>
    <row r="7306" spans="1:9" x14ac:dyDescent="0.2">
      <c r="A7306" t="str">
        <f>"Ggt5"</f>
        <v>Ggt5</v>
      </c>
      <c r="B7306" t="s">
        <v>14</v>
      </c>
      <c r="C7306" t="s">
        <v>15</v>
      </c>
      <c r="D7306" t="s">
        <v>17</v>
      </c>
      <c r="E7306" t="s">
        <v>12</v>
      </c>
      <c r="F7306">
        <v>75589363</v>
      </c>
      <c r="G7306">
        <v>75589390</v>
      </c>
      <c r="H7306">
        <v>75589461</v>
      </c>
      <c r="I7306">
        <v>75589483</v>
      </c>
    </row>
    <row r="7307" spans="1:9" x14ac:dyDescent="0.2">
      <c r="A7307" t="str">
        <f>"Ggt6"</f>
        <v>Ggt6</v>
      </c>
      <c r="B7307" t="s">
        <v>14</v>
      </c>
      <c r="C7307" t="s">
        <v>27</v>
      </c>
      <c r="D7307" t="s">
        <v>17</v>
      </c>
      <c r="E7307" t="s">
        <v>12</v>
      </c>
      <c r="F7307">
        <v>72435234</v>
      </c>
      <c r="G7307">
        <v>72435302</v>
      </c>
      <c r="H7307">
        <v>72435511</v>
      </c>
      <c r="I7307">
        <v>72435529</v>
      </c>
    </row>
    <row r="7308" spans="1:9" x14ac:dyDescent="0.2">
      <c r="A7308" t="str">
        <f>"Ggt7"</f>
        <v>Ggt7</v>
      </c>
      <c r="B7308" t="s">
        <v>9</v>
      </c>
      <c r="C7308" t="s">
        <v>26</v>
      </c>
      <c r="D7308" t="s">
        <v>11</v>
      </c>
      <c r="E7308" t="s">
        <v>12</v>
      </c>
      <c r="F7308">
        <v>155514796</v>
      </c>
      <c r="G7308">
        <v>155514860</v>
      </c>
      <c r="H7308">
        <v>155514796</v>
      </c>
      <c r="I7308">
        <v>155514860</v>
      </c>
    </row>
    <row r="7309" spans="1:9" x14ac:dyDescent="0.2">
      <c r="A7309" t="str">
        <f>"Ggt7"</f>
        <v>Ggt7</v>
      </c>
      <c r="B7309" t="s">
        <v>13</v>
      </c>
      <c r="C7309" t="s">
        <v>26</v>
      </c>
      <c r="D7309" t="s">
        <v>11</v>
      </c>
      <c r="E7309" t="s">
        <v>12</v>
      </c>
      <c r="F7309">
        <v>155518087</v>
      </c>
      <c r="G7309">
        <v>155518130</v>
      </c>
      <c r="H7309">
        <v>155518087</v>
      </c>
      <c r="I7309">
        <v>155518130</v>
      </c>
    </row>
    <row r="7310" spans="1:9" x14ac:dyDescent="0.2">
      <c r="A7310" t="str">
        <f>"Ggta1"</f>
        <v>Ggta1</v>
      </c>
      <c r="B7310" t="s">
        <v>14</v>
      </c>
      <c r="C7310" t="s">
        <v>26</v>
      </c>
      <c r="D7310" t="s">
        <v>11</v>
      </c>
      <c r="E7310" t="s">
        <v>12</v>
      </c>
      <c r="F7310">
        <v>35461247</v>
      </c>
      <c r="G7310">
        <v>35461271</v>
      </c>
      <c r="H7310">
        <v>35461365</v>
      </c>
      <c r="I7310">
        <v>35461413</v>
      </c>
    </row>
    <row r="7311" spans="1:9" x14ac:dyDescent="0.2">
      <c r="A7311" t="str">
        <f>"Gh"</f>
        <v>Gh</v>
      </c>
      <c r="B7311" t="s">
        <v>14</v>
      </c>
      <c r="C7311" t="s">
        <v>27</v>
      </c>
      <c r="D7311" t="s">
        <v>11</v>
      </c>
      <c r="E7311" t="s">
        <v>12</v>
      </c>
      <c r="F7311">
        <v>106301801</v>
      </c>
      <c r="G7311">
        <v>106301816</v>
      </c>
      <c r="H7311">
        <v>106301801</v>
      </c>
      <c r="I7311">
        <v>106301816</v>
      </c>
    </row>
    <row r="7312" spans="1:9" x14ac:dyDescent="0.2">
      <c r="A7312" t="str">
        <f>"Ghdc"</f>
        <v>Ghdc</v>
      </c>
      <c r="B7312" t="s">
        <v>14</v>
      </c>
      <c r="C7312" t="s">
        <v>27</v>
      </c>
      <c r="D7312" t="s">
        <v>11</v>
      </c>
      <c r="E7312" t="s">
        <v>12</v>
      </c>
      <c r="F7312">
        <v>100770926</v>
      </c>
      <c r="G7312">
        <v>100770964</v>
      </c>
      <c r="H7312">
        <v>100770975</v>
      </c>
      <c r="I7312">
        <v>100770981</v>
      </c>
    </row>
    <row r="7313" spans="1:9" x14ac:dyDescent="0.2">
      <c r="A7313" t="str">
        <f>"Ghitm"</f>
        <v>Ghitm</v>
      </c>
      <c r="B7313" t="s">
        <v>14</v>
      </c>
      <c r="C7313" t="s">
        <v>41</v>
      </c>
      <c r="D7313" t="s">
        <v>11</v>
      </c>
      <c r="E7313" t="s">
        <v>12</v>
      </c>
      <c r="F7313">
        <v>37135274</v>
      </c>
      <c r="G7313">
        <v>37135308</v>
      </c>
      <c r="H7313">
        <v>37135245</v>
      </c>
      <c r="I7313">
        <v>37135271</v>
      </c>
    </row>
    <row r="7314" spans="1:9" x14ac:dyDescent="0.2">
      <c r="A7314" t="str">
        <f>"Ghr"</f>
        <v>Ghr</v>
      </c>
      <c r="B7314" t="s">
        <v>14</v>
      </c>
      <c r="C7314" t="s">
        <v>25</v>
      </c>
      <c r="D7314" t="s">
        <v>11</v>
      </c>
      <c r="E7314" t="s">
        <v>12</v>
      </c>
      <c r="F7314">
        <v>3583191</v>
      </c>
      <c r="G7314">
        <v>3583241</v>
      </c>
      <c r="H7314">
        <v>3583146</v>
      </c>
      <c r="I7314">
        <v>3583187</v>
      </c>
    </row>
    <row r="7315" spans="1:9" x14ac:dyDescent="0.2">
      <c r="A7315" t="str">
        <f>"Ghrh"</f>
        <v>Ghrh</v>
      </c>
      <c r="B7315" t="s">
        <v>14</v>
      </c>
      <c r="C7315" t="s">
        <v>26</v>
      </c>
      <c r="D7315" t="s">
        <v>11</v>
      </c>
      <c r="E7315" t="s">
        <v>12</v>
      </c>
      <c r="F7315">
        <v>157346647</v>
      </c>
      <c r="G7315">
        <v>157346663</v>
      </c>
      <c r="H7315">
        <v>157346647</v>
      </c>
      <c r="I7315">
        <v>157346663</v>
      </c>
    </row>
    <row r="7316" spans="1:9" x14ac:dyDescent="0.2">
      <c r="A7316" t="str">
        <f>"Ghrhr"</f>
        <v>Ghrhr</v>
      </c>
      <c r="B7316" t="s">
        <v>14</v>
      </c>
      <c r="C7316" t="s">
        <v>32</v>
      </c>
      <c r="D7316" t="s">
        <v>17</v>
      </c>
      <c r="E7316" t="s">
        <v>12</v>
      </c>
      <c r="F7316">
        <v>55376284</v>
      </c>
      <c r="G7316">
        <v>55376351</v>
      </c>
      <c r="H7316">
        <v>55376374</v>
      </c>
      <c r="I7316">
        <v>55376379</v>
      </c>
    </row>
    <row r="7317" spans="1:9" x14ac:dyDescent="0.2">
      <c r="A7317" t="str">
        <f>"Ghrl"</f>
        <v>Ghrl</v>
      </c>
      <c r="B7317" t="s">
        <v>14</v>
      </c>
      <c r="C7317" t="s">
        <v>32</v>
      </c>
      <c r="D7317" t="s">
        <v>11</v>
      </c>
      <c r="E7317" t="s">
        <v>12</v>
      </c>
      <c r="F7317">
        <v>113719880</v>
      </c>
      <c r="G7317">
        <v>113719883</v>
      </c>
      <c r="H7317">
        <v>113719880</v>
      </c>
      <c r="I7317">
        <v>113719883</v>
      </c>
    </row>
    <row r="7318" spans="1:9" x14ac:dyDescent="0.2">
      <c r="A7318" t="str">
        <f>"Ghsr"</f>
        <v>Ghsr</v>
      </c>
      <c r="B7318" t="s">
        <v>2499</v>
      </c>
      <c r="C7318" t="s">
        <v>22</v>
      </c>
      <c r="D7318" t="s">
        <v>17</v>
      </c>
      <c r="E7318" t="s">
        <v>20</v>
      </c>
      <c r="F7318">
        <v>27371350</v>
      </c>
      <c r="G7318">
        <v>27371350</v>
      </c>
      <c r="H7318">
        <v>27371350</v>
      </c>
      <c r="I7318">
        <v>27371350</v>
      </c>
    </row>
    <row r="7319" spans="1:9" x14ac:dyDescent="0.2">
      <c r="A7319" t="str">
        <f>"Gid4"</f>
        <v>Gid4</v>
      </c>
      <c r="B7319" t="s">
        <v>14</v>
      </c>
      <c r="C7319" t="s">
        <v>27</v>
      </c>
      <c r="D7319" t="s">
        <v>17</v>
      </c>
      <c r="E7319" t="s">
        <v>67</v>
      </c>
      <c r="F7319">
        <v>60417238</v>
      </c>
      <c r="G7319">
        <v>60417301</v>
      </c>
      <c r="H7319">
        <v>60417238</v>
      </c>
      <c r="I7319">
        <v>60417301</v>
      </c>
    </row>
    <row r="7320" spans="1:9" x14ac:dyDescent="0.2">
      <c r="A7320" t="str">
        <f>"Gid8"</f>
        <v>Gid8</v>
      </c>
      <c r="B7320" t="s">
        <v>14</v>
      </c>
      <c r="C7320" t="s">
        <v>26</v>
      </c>
      <c r="D7320" t="s">
        <v>17</v>
      </c>
      <c r="E7320" t="s">
        <v>67</v>
      </c>
      <c r="F7320">
        <v>180710122</v>
      </c>
      <c r="G7320">
        <v>180710201</v>
      </c>
      <c r="H7320">
        <v>180710220</v>
      </c>
      <c r="I7320">
        <v>180710274</v>
      </c>
    </row>
    <row r="7321" spans="1:9" x14ac:dyDescent="0.2">
      <c r="A7321" t="str">
        <f>"Gif"</f>
        <v>Gif</v>
      </c>
      <c r="B7321" t="s">
        <v>14</v>
      </c>
      <c r="C7321" t="s">
        <v>10</v>
      </c>
      <c r="D7321" t="s">
        <v>17</v>
      </c>
      <c r="E7321" t="s">
        <v>12</v>
      </c>
      <c r="F7321">
        <v>11747548</v>
      </c>
      <c r="G7321">
        <v>11747581</v>
      </c>
      <c r="H7321">
        <v>11747548</v>
      </c>
      <c r="I7321">
        <v>11747581</v>
      </c>
    </row>
    <row r="7322" spans="1:9" x14ac:dyDescent="0.2">
      <c r="A7322" t="str">
        <f>"Gigyf1"</f>
        <v>Gigyf1</v>
      </c>
      <c r="B7322" t="s">
        <v>2500</v>
      </c>
      <c r="C7322" t="s">
        <v>46</v>
      </c>
      <c r="D7322" t="s">
        <v>17</v>
      </c>
      <c r="E7322" t="s">
        <v>20</v>
      </c>
      <c r="F7322">
        <v>137518879</v>
      </c>
      <c r="G7322">
        <v>137518879</v>
      </c>
      <c r="H7322">
        <v>137518879</v>
      </c>
      <c r="I7322">
        <v>137518879</v>
      </c>
    </row>
    <row r="7323" spans="1:9" x14ac:dyDescent="0.2">
      <c r="A7323" t="str">
        <f>"Gigyf2"</f>
        <v>Gigyf2</v>
      </c>
      <c r="B7323" t="s">
        <v>14</v>
      </c>
      <c r="C7323" t="s">
        <v>19</v>
      </c>
      <c r="D7323" t="s">
        <v>17</v>
      </c>
      <c r="E7323" t="s">
        <v>12</v>
      </c>
      <c r="F7323">
        <v>87327008</v>
      </c>
      <c r="G7323">
        <v>87327042</v>
      </c>
      <c r="H7323">
        <v>87327044</v>
      </c>
      <c r="I7323">
        <v>87327053</v>
      </c>
    </row>
    <row r="7324" spans="1:9" x14ac:dyDescent="0.2">
      <c r="A7324" t="str">
        <f>"Gimap1"</f>
        <v>Gimap1</v>
      </c>
      <c r="B7324" t="s">
        <v>14</v>
      </c>
      <c r="C7324" t="s">
        <v>32</v>
      </c>
      <c r="D7324" t="s">
        <v>17</v>
      </c>
      <c r="E7324" t="s">
        <v>12</v>
      </c>
      <c r="F7324">
        <v>48739039</v>
      </c>
      <c r="G7324">
        <v>48739096</v>
      </c>
      <c r="H7324">
        <v>48739039</v>
      </c>
      <c r="I7324">
        <v>48739096</v>
      </c>
    </row>
    <row r="7325" spans="1:9" x14ac:dyDescent="0.2">
      <c r="A7325" t="str">
        <f>"Gimap3"</f>
        <v>Gimap3</v>
      </c>
      <c r="B7325" t="s">
        <v>14</v>
      </c>
      <c r="C7325" t="s">
        <v>32</v>
      </c>
      <c r="D7325" t="s">
        <v>11</v>
      </c>
      <c r="E7325" t="s">
        <v>12</v>
      </c>
      <c r="F7325">
        <v>48770833</v>
      </c>
      <c r="G7325">
        <v>48770884</v>
      </c>
      <c r="H7325">
        <v>48770806</v>
      </c>
      <c r="I7325">
        <v>48770822</v>
      </c>
    </row>
    <row r="7326" spans="1:9" x14ac:dyDescent="0.2">
      <c r="A7326" t="str">
        <f>"Gimap4"</f>
        <v>Gimap4</v>
      </c>
      <c r="B7326" t="s">
        <v>14</v>
      </c>
      <c r="C7326" t="s">
        <v>32</v>
      </c>
      <c r="D7326" t="s">
        <v>17</v>
      </c>
      <c r="E7326" t="s">
        <v>12</v>
      </c>
      <c r="F7326">
        <v>48684570</v>
      </c>
      <c r="G7326">
        <v>48684586</v>
      </c>
      <c r="H7326">
        <v>48684589</v>
      </c>
      <c r="I7326">
        <v>48684598</v>
      </c>
    </row>
    <row r="7327" spans="1:9" x14ac:dyDescent="0.2">
      <c r="A7327" t="str">
        <f>"Gimap5"</f>
        <v>Gimap5</v>
      </c>
      <c r="B7327" t="s">
        <v>14</v>
      </c>
      <c r="C7327" t="s">
        <v>32</v>
      </c>
      <c r="D7327" t="s">
        <v>17</v>
      </c>
      <c r="E7327" t="s">
        <v>12</v>
      </c>
      <c r="F7327">
        <v>48746237</v>
      </c>
      <c r="G7327">
        <v>48746302</v>
      </c>
      <c r="H7327">
        <v>48746188</v>
      </c>
      <c r="I7327">
        <v>48746212</v>
      </c>
    </row>
    <row r="7328" spans="1:9" x14ac:dyDescent="0.2">
      <c r="A7328" t="str">
        <f>"Gimap6"</f>
        <v>Gimap6</v>
      </c>
      <c r="B7328" t="s">
        <v>14</v>
      </c>
      <c r="C7328" t="s">
        <v>32</v>
      </c>
      <c r="D7328" t="s">
        <v>11</v>
      </c>
      <c r="E7328" t="s">
        <v>12</v>
      </c>
      <c r="F7328">
        <v>48708206</v>
      </c>
      <c r="G7328">
        <v>48708252</v>
      </c>
      <c r="H7328">
        <v>48708174</v>
      </c>
      <c r="I7328">
        <v>48708203</v>
      </c>
    </row>
    <row r="7329" spans="1:9" x14ac:dyDescent="0.2">
      <c r="A7329" t="str">
        <f>"Gimap7"</f>
        <v>Gimap7</v>
      </c>
      <c r="B7329" t="s">
        <v>14</v>
      </c>
      <c r="C7329" t="s">
        <v>32</v>
      </c>
      <c r="D7329" t="s">
        <v>17</v>
      </c>
      <c r="E7329" t="s">
        <v>12</v>
      </c>
      <c r="F7329">
        <v>48718637</v>
      </c>
      <c r="G7329">
        <v>48718664</v>
      </c>
      <c r="H7329">
        <v>48718625</v>
      </c>
      <c r="I7329">
        <v>48718633</v>
      </c>
    </row>
    <row r="7330" spans="1:9" x14ac:dyDescent="0.2">
      <c r="A7330" t="str">
        <f>"Gimap8"</f>
        <v>Gimap8</v>
      </c>
      <c r="B7330" t="s">
        <v>14</v>
      </c>
      <c r="C7330" t="s">
        <v>32</v>
      </c>
      <c r="D7330" t="s">
        <v>17</v>
      </c>
      <c r="E7330" t="s">
        <v>12</v>
      </c>
      <c r="F7330">
        <v>48647224</v>
      </c>
      <c r="G7330">
        <v>48647298</v>
      </c>
      <c r="H7330">
        <v>48647208</v>
      </c>
      <c r="I7330">
        <v>48647219</v>
      </c>
    </row>
    <row r="7331" spans="1:9" x14ac:dyDescent="0.2">
      <c r="A7331" t="str">
        <f>"Gimap9"</f>
        <v>Gimap9</v>
      </c>
      <c r="B7331" t="s">
        <v>14</v>
      </c>
      <c r="C7331" t="s">
        <v>32</v>
      </c>
      <c r="D7331" t="s">
        <v>17</v>
      </c>
      <c r="E7331" t="s">
        <v>12</v>
      </c>
      <c r="F7331">
        <v>48676114</v>
      </c>
      <c r="G7331">
        <v>48676155</v>
      </c>
      <c r="H7331">
        <v>48676160</v>
      </c>
      <c r="I7331">
        <v>48676190</v>
      </c>
    </row>
    <row r="7332" spans="1:9" x14ac:dyDescent="0.2">
      <c r="A7332" t="str">
        <f>"Gin1"</f>
        <v>Gin1</v>
      </c>
      <c r="B7332" t="s">
        <v>14</v>
      </c>
      <c r="C7332" t="s">
        <v>19</v>
      </c>
      <c r="D7332" t="s">
        <v>17</v>
      </c>
      <c r="E7332" t="s">
        <v>12</v>
      </c>
      <c r="F7332">
        <v>97770158</v>
      </c>
      <c r="G7332">
        <v>97770209</v>
      </c>
      <c r="H7332">
        <v>97770211</v>
      </c>
      <c r="I7332">
        <v>97770223</v>
      </c>
    </row>
    <row r="7333" spans="1:9" x14ac:dyDescent="0.2">
      <c r="A7333" t="str">
        <f>"Ginm1"</f>
        <v>Ginm1</v>
      </c>
      <c r="B7333" t="s">
        <v>14</v>
      </c>
      <c r="C7333" t="s">
        <v>15</v>
      </c>
      <c r="D7333" t="s">
        <v>11</v>
      </c>
      <c r="E7333" t="s">
        <v>67</v>
      </c>
      <c r="F7333">
        <v>7780866</v>
      </c>
      <c r="G7333">
        <v>7780923</v>
      </c>
      <c r="H7333">
        <v>7780866</v>
      </c>
      <c r="I7333">
        <v>7780923</v>
      </c>
    </row>
    <row r="7334" spans="1:9" x14ac:dyDescent="0.2">
      <c r="A7334" t="str">
        <f>"Gins1"</f>
        <v>Gins1</v>
      </c>
      <c r="B7334" t="s">
        <v>14</v>
      </c>
      <c r="C7334" t="s">
        <v>26</v>
      </c>
      <c r="D7334" t="s">
        <v>17</v>
      </c>
      <c r="E7334" t="s">
        <v>12</v>
      </c>
      <c r="F7334">
        <v>150909565</v>
      </c>
      <c r="G7334">
        <v>150909642</v>
      </c>
      <c r="H7334">
        <v>150909556</v>
      </c>
      <c r="I7334">
        <v>150909564</v>
      </c>
    </row>
    <row r="7335" spans="1:9" x14ac:dyDescent="0.2">
      <c r="A7335" t="str">
        <f>"Gins2"</f>
        <v>Gins2</v>
      </c>
      <c r="B7335" t="s">
        <v>14</v>
      </c>
      <c r="C7335" t="s">
        <v>30</v>
      </c>
      <c r="D7335" t="s">
        <v>11</v>
      </c>
      <c r="E7335" t="s">
        <v>12</v>
      </c>
      <c r="F7335">
        <v>120589019</v>
      </c>
      <c r="G7335">
        <v>120589050</v>
      </c>
      <c r="H7335">
        <v>120589081</v>
      </c>
      <c r="I7335">
        <v>120589090</v>
      </c>
    </row>
    <row r="7336" spans="1:9" x14ac:dyDescent="0.2">
      <c r="A7336" t="str">
        <f>"Gins3"</f>
        <v>Gins3</v>
      </c>
      <c r="B7336" t="s">
        <v>14</v>
      </c>
      <c r="C7336" t="s">
        <v>30</v>
      </c>
      <c r="D7336" t="s">
        <v>17</v>
      </c>
      <c r="E7336" t="s">
        <v>12</v>
      </c>
      <c r="F7336">
        <v>95633500</v>
      </c>
      <c r="G7336">
        <v>95633586</v>
      </c>
      <c r="H7336">
        <v>95633500</v>
      </c>
      <c r="I7336">
        <v>95633586</v>
      </c>
    </row>
    <row r="7337" spans="1:9" x14ac:dyDescent="0.2">
      <c r="A7337" t="str">
        <f>"Gins4"</f>
        <v>Gins4</v>
      </c>
      <c r="B7337" t="s">
        <v>14</v>
      </c>
      <c r="C7337" t="s">
        <v>30</v>
      </c>
      <c r="D7337" t="s">
        <v>11</v>
      </c>
      <c r="E7337" t="s">
        <v>12</v>
      </c>
      <c r="F7337">
        <v>23237623</v>
      </c>
      <c r="G7337">
        <v>23237681</v>
      </c>
      <c r="H7337">
        <v>23237548</v>
      </c>
      <c r="I7337">
        <v>23237558</v>
      </c>
    </row>
    <row r="7338" spans="1:9" x14ac:dyDescent="0.2">
      <c r="A7338" t="str">
        <f>"Gip"</f>
        <v>Gip</v>
      </c>
      <c r="B7338" t="s">
        <v>14</v>
      </c>
      <c r="C7338" t="s">
        <v>27</v>
      </c>
      <c r="D7338" t="s">
        <v>17</v>
      </c>
      <c r="E7338" t="s">
        <v>12</v>
      </c>
      <c r="F7338">
        <v>96024540</v>
      </c>
      <c r="G7338">
        <v>96024558</v>
      </c>
      <c r="H7338">
        <v>96024540</v>
      </c>
      <c r="I7338">
        <v>96024558</v>
      </c>
    </row>
    <row r="7339" spans="1:9" x14ac:dyDescent="0.2">
      <c r="A7339" t="str">
        <f>"Gipc1"</f>
        <v>Gipc1</v>
      </c>
      <c r="B7339" t="s">
        <v>14</v>
      </c>
      <c r="C7339" t="s">
        <v>30</v>
      </c>
      <c r="D7339" t="s">
        <v>17</v>
      </c>
      <c r="E7339" t="s">
        <v>12</v>
      </c>
      <c r="F7339">
        <v>83652670</v>
      </c>
      <c r="G7339">
        <v>83652711</v>
      </c>
      <c r="H7339">
        <v>83652651</v>
      </c>
      <c r="I7339">
        <v>83652667</v>
      </c>
    </row>
    <row r="7340" spans="1:9" x14ac:dyDescent="0.2">
      <c r="A7340" t="str">
        <f>"Gipc2"</f>
        <v>Gipc2</v>
      </c>
      <c r="B7340" t="s">
        <v>14</v>
      </c>
      <c r="C7340" t="s">
        <v>22</v>
      </c>
      <c r="D7340" t="s">
        <v>11</v>
      </c>
      <c r="E7340" t="s">
        <v>12</v>
      </c>
      <c r="F7340">
        <v>152165879</v>
      </c>
      <c r="G7340">
        <v>152165966</v>
      </c>
      <c r="H7340">
        <v>152166239</v>
      </c>
      <c r="I7340">
        <v>152166265</v>
      </c>
    </row>
    <row r="7341" spans="1:9" x14ac:dyDescent="0.2">
      <c r="A7341" t="str">
        <f>"Gipc3"</f>
        <v>Gipc3</v>
      </c>
      <c r="B7341" t="s">
        <v>14</v>
      </c>
      <c r="C7341" t="s">
        <v>15</v>
      </c>
      <c r="D7341" t="s">
        <v>11</v>
      </c>
      <c r="E7341" t="s">
        <v>12</v>
      </c>
      <c r="F7341">
        <v>81343344</v>
      </c>
      <c r="G7341">
        <v>81343376</v>
      </c>
      <c r="H7341">
        <v>81343320</v>
      </c>
      <c r="I7341">
        <v>81343342</v>
      </c>
    </row>
    <row r="7342" spans="1:9" x14ac:dyDescent="0.2">
      <c r="A7342" t="str">
        <f>"Gipr"</f>
        <v>Gipr</v>
      </c>
      <c r="B7342" t="s">
        <v>14</v>
      </c>
      <c r="C7342" t="s">
        <v>33</v>
      </c>
      <c r="D7342" t="s">
        <v>11</v>
      </c>
      <c r="E7342" t="s">
        <v>12</v>
      </c>
      <c r="F7342">
        <v>19166119</v>
      </c>
      <c r="G7342">
        <v>19166134</v>
      </c>
      <c r="H7342">
        <v>19166119</v>
      </c>
      <c r="I7342">
        <v>19166134</v>
      </c>
    </row>
    <row r="7343" spans="1:9" x14ac:dyDescent="0.2">
      <c r="A7343" t="str">
        <f>"Git1"</f>
        <v>Git1</v>
      </c>
      <c r="B7343" t="s">
        <v>14</v>
      </c>
      <c r="C7343" t="s">
        <v>27</v>
      </c>
      <c r="D7343" t="s">
        <v>17</v>
      </c>
      <c r="E7343" t="s">
        <v>12</v>
      </c>
      <c r="F7343">
        <v>77493408</v>
      </c>
      <c r="G7343">
        <v>77493487</v>
      </c>
      <c r="H7343">
        <v>77493265</v>
      </c>
      <c r="I7343">
        <v>77493302</v>
      </c>
    </row>
    <row r="7344" spans="1:9" x14ac:dyDescent="0.2">
      <c r="A7344" t="str">
        <f>"Git2"</f>
        <v>Git2</v>
      </c>
      <c r="B7344" t="s">
        <v>14</v>
      </c>
      <c r="C7344" t="s">
        <v>46</v>
      </c>
      <c r="D7344" t="s">
        <v>11</v>
      </c>
      <c r="E7344" t="s">
        <v>12</v>
      </c>
      <c r="F7344">
        <v>114773372</v>
      </c>
      <c r="G7344">
        <v>114773472</v>
      </c>
      <c r="H7344">
        <v>114773488</v>
      </c>
      <c r="I7344">
        <v>114773517</v>
      </c>
    </row>
    <row r="7345" spans="1:9" x14ac:dyDescent="0.2">
      <c r="A7345" t="str">
        <f>"Gja1"</f>
        <v>Gja1</v>
      </c>
      <c r="B7345" t="s">
        <v>14</v>
      </c>
      <c r="C7345" t="s">
        <v>15</v>
      </c>
      <c r="D7345" t="s">
        <v>17</v>
      </c>
      <c r="E7345" t="s">
        <v>12</v>
      </c>
      <c r="F7345">
        <v>56377323</v>
      </c>
      <c r="G7345">
        <v>56377338</v>
      </c>
      <c r="H7345">
        <v>56377323</v>
      </c>
      <c r="I7345">
        <v>56377338</v>
      </c>
    </row>
    <row r="7346" spans="1:9" x14ac:dyDescent="0.2">
      <c r="A7346" t="str">
        <f>"Gja10"</f>
        <v>Gja10</v>
      </c>
      <c r="B7346" t="s">
        <v>2501</v>
      </c>
      <c r="C7346" t="s">
        <v>23</v>
      </c>
      <c r="D7346" t="s">
        <v>11</v>
      </c>
      <c r="E7346" t="s">
        <v>20</v>
      </c>
      <c r="F7346">
        <v>32602759</v>
      </c>
      <c r="G7346">
        <v>32602759</v>
      </c>
      <c r="H7346">
        <v>32602759</v>
      </c>
      <c r="I7346">
        <v>32602759</v>
      </c>
    </row>
    <row r="7347" spans="1:9" x14ac:dyDescent="0.2">
      <c r="A7347" t="str">
        <f>"Gja3"</f>
        <v>Gja3</v>
      </c>
      <c r="B7347" t="s">
        <v>14</v>
      </c>
      <c r="C7347" t="s">
        <v>41</v>
      </c>
      <c r="D7347" t="s">
        <v>11</v>
      </c>
      <c r="E7347" t="s">
        <v>12</v>
      </c>
      <c r="F7347">
        <v>57057668</v>
      </c>
      <c r="G7347">
        <v>57057726</v>
      </c>
      <c r="H7347">
        <v>57057567</v>
      </c>
      <c r="I7347">
        <v>57057589</v>
      </c>
    </row>
    <row r="7348" spans="1:9" x14ac:dyDescent="0.2">
      <c r="A7348" t="str">
        <f>"Gja4"</f>
        <v>Gja4</v>
      </c>
      <c r="B7348" t="s">
        <v>14</v>
      </c>
      <c r="C7348" t="s">
        <v>23</v>
      </c>
      <c r="D7348" t="s">
        <v>11</v>
      </c>
      <c r="E7348" t="s">
        <v>12</v>
      </c>
      <c r="F7348">
        <v>127313980</v>
      </c>
      <c r="G7348">
        <v>127313998</v>
      </c>
      <c r="H7348">
        <v>127313980</v>
      </c>
      <c r="I7348">
        <v>127313998</v>
      </c>
    </row>
    <row r="7349" spans="1:9" x14ac:dyDescent="0.2">
      <c r="A7349" t="str">
        <f>"Gja5"</f>
        <v>Gja5</v>
      </c>
      <c r="B7349" t="s">
        <v>14</v>
      </c>
      <c r="C7349" t="s">
        <v>22</v>
      </c>
      <c r="D7349" t="s">
        <v>17</v>
      </c>
      <c r="E7349" t="s">
        <v>12</v>
      </c>
      <c r="F7349">
        <v>97032394</v>
      </c>
      <c r="G7349">
        <v>97032408</v>
      </c>
      <c r="H7349">
        <v>97032437</v>
      </c>
      <c r="I7349">
        <v>97032448</v>
      </c>
    </row>
    <row r="7350" spans="1:9" x14ac:dyDescent="0.2">
      <c r="A7350" t="str">
        <f>"Gja6"</f>
        <v>Gja6</v>
      </c>
      <c r="B7350" t="s">
        <v>14</v>
      </c>
      <c r="C7350" t="s">
        <v>37</v>
      </c>
      <c r="D7350" t="s">
        <v>11</v>
      </c>
      <c r="E7350" t="s">
        <v>12</v>
      </c>
      <c r="F7350">
        <v>160906998</v>
      </c>
      <c r="G7350">
        <v>160907014</v>
      </c>
      <c r="H7350">
        <v>160906998</v>
      </c>
      <c r="I7350">
        <v>160907014</v>
      </c>
    </row>
    <row r="7351" spans="1:9" x14ac:dyDescent="0.2">
      <c r="A7351" t="str">
        <f>"Gja8"</f>
        <v>Gja8</v>
      </c>
      <c r="B7351" t="s">
        <v>14</v>
      </c>
      <c r="C7351" t="s">
        <v>22</v>
      </c>
      <c r="D7351" t="s">
        <v>11</v>
      </c>
      <c r="E7351" t="s">
        <v>12</v>
      </c>
      <c r="F7351">
        <v>96925919</v>
      </c>
      <c r="G7351">
        <v>96925941</v>
      </c>
      <c r="H7351">
        <v>96926056</v>
      </c>
      <c r="I7351">
        <v>96926067</v>
      </c>
    </row>
    <row r="7352" spans="1:9" x14ac:dyDescent="0.2">
      <c r="A7352" t="str">
        <f>"Gjb1"</f>
        <v>Gjb1</v>
      </c>
      <c r="B7352" t="s">
        <v>14</v>
      </c>
      <c r="C7352" t="s">
        <v>37</v>
      </c>
      <c r="D7352" t="s">
        <v>17</v>
      </c>
      <c r="E7352" t="s">
        <v>12</v>
      </c>
      <c r="F7352">
        <v>101377290</v>
      </c>
      <c r="G7352">
        <v>101377317</v>
      </c>
      <c r="H7352">
        <v>101377267</v>
      </c>
      <c r="I7352">
        <v>101377281</v>
      </c>
    </row>
    <row r="7353" spans="1:9" x14ac:dyDescent="0.2">
      <c r="A7353" t="str">
        <f>"Gjb2"</f>
        <v>Gjb2</v>
      </c>
      <c r="B7353" t="s">
        <v>14</v>
      </c>
      <c r="C7353" t="s">
        <v>41</v>
      </c>
      <c r="D7353" t="s">
        <v>11</v>
      </c>
      <c r="E7353" t="s">
        <v>12</v>
      </c>
      <c r="F7353">
        <v>57104693</v>
      </c>
      <c r="G7353">
        <v>57104709</v>
      </c>
      <c r="H7353">
        <v>57104875</v>
      </c>
      <c r="I7353">
        <v>57104890</v>
      </c>
    </row>
    <row r="7354" spans="1:9" x14ac:dyDescent="0.2">
      <c r="A7354" t="str">
        <f>"Gjb3"</f>
        <v>Gjb3</v>
      </c>
      <c r="B7354" t="s">
        <v>14</v>
      </c>
      <c r="C7354" t="s">
        <v>23</v>
      </c>
      <c r="D7354" t="s">
        <v>11</v>
      </c>
      <c r="E7354" t="s">
        <v>12</v>
      </c>
      <c r="F7354">
        <v>127330547</v>
      </c>
      <c r="G7354">
        <v>127330626</v>
      </c>
      <c r="H7354">
        <v>127330799</v>
      </c>
      <c r="I7354">
        <v>127330845</v>
      </c>
    </row>
    <row r="7355" spans="1:9" x14ac:dyDescent="0.2">
      <c r="A7355" t="str">
        <f>"Gjb4"</f>
        <v>Gjb4</v>
      </c>
      <c r="B7355" t="s">
        <v>14</v>
      </c>
      <c r="C7355" t="s">
        <v>23</v>
      </c>
      <c r="D7355" t="s">
        <v>11</v>
      </c>
      <c r="E7355" t="s">
        <v>12</v>
      </c>
      <c r="F7355">
        <v>127354074</v>
      </c>
      <c r="G7355">
        <v>127354086</v>
      </c>
      <c r="H7355">
        <v>127354074</v>
      </c>
      <c r="I7355">
        <v>127354086</v>
      </c>
    </row>
    <row r="7356" spans="1:9" x14ac:dyDescent="0.2">
      <c r="A7356" t="str">
        <f>"Gjb5"</f>
        <v>Gjb5</v>
      </c>
      <c r="B7356" t="s">
        <v>14</v>
      </c>
      <c r="C7356" t="s">
        <v>23</v>
      </c>
      <c r="D7356" t="s">
        <v>11</v>
      </c>
      <c r="E7356" t="s">
        <v>12</v>
      </c>
      <c r="F7356">
        <v>127358124</v>
      </c>
      <c r="G7356">
        <v>127358187</v>
      </c>
      <c r="H7356">
        <v>127358109</v>
      </c>
      <c r="I7356">
        <v>127358120</v>
      </c>
    </row>
    <row r="7357" spans="1:9" x14ac:dyDescent="0.2">
      <c r="A7357" t="str">
        <f>"Gjb6"</f>
        <v>Gjb6</v>
      </c>
      <c r="B7357" t="s">
        <v>14</v>
      </c>
      <c r="C7357" t="s">
        <v>41</v>
      </c>
      <c r="D7357" t="s">
        <v>11</v>
      </c>
      <c r="E7357" t="s">
        <v>12</v>
      </c>
      <c r="F7357">
        <v>57133268</v>
      </c>
      <c r="G7357">
        <v>57133314</v>
      </c>
      <c r="H7357">
        <v>57133585</v>
      </c>
      <c r="I7357">
        <v>57133618</v>
      </c>
    </row>
    <row r="7358" spans="1:9" x14ac:dyDescent="0.2">
      <c r="A7358" t="str">
        <f>"Gjc1"</f>
        <v>Gjc1</v>
      </c>
      <c r="B7358" t="s">
        <v>14</v>
      </c>
      <c r="C7358" t="s">
        <v>27</v>
      </c>
      <c r="D7358" t="s">
        <v>11</v>
      </c>
      <c r="E7358" t="s">
        <v>12</v>
      </c>
      <c r="F7358">
        <v>102819114</v>
      </c>
      <c r="G7358">
        <v>102819214</v>
      </c>
      <c r="H7358">
        <v>102819663</v>
      </c>
      <c r="I7358">
        <v>102819685</v>
      </c>
    </row>
    <row r="7359" spans="1:9" x14ac:dyDescent="0.2">
      <c r="A7359" t="str">
        <f>"Gjc2"</f>
        <v>Gjc2</v>
      </c>
      <c r="B7359" t="s">
        <v>14</v>
      </c>
      <c r="C7359" t="s">
        <v>27</v>
      </c>
      <c r="D7359" t="s">
        <v>11</v>
      </c>
      <c r="E7359" t="s">
        <v>12</v>
      </c>
      <c r="F7359">
        <v>59182810</v>
      </c>
      <c r="G7359">
        <v>59182833</v>
      </c>
      <c r="H7359">
        <v>59182810</v>
      </c>
      <c r="I7359">
        <v>59182833</v>
      </c>
    </row>
    <row r="7360" spans="1:9" x14ac:dyDescent="0.2">
      <c r="A7360" t="str">
        <f>"Gjc3"</f>
        <v>Gjc3</v>
      </c>
      <c r="B7360" t="s">
        <v>14</v>
      </c>
      <c r="C7360" t="s">
        <v>46</v>
      </c>
      <c r="D7360" t="s">
        <v>11</v>
      </c>
      <c r="E7360" t="s">
        <v>12</v>
      </c>
      <c r="F7360">
        <v>137963087</v>
      </c>
      <c r="G7360">
        <v>137963109</v>
      </c>
      <c r="H7360">
        <v>137962911</v>
      </c>
      <c r="I7360">
        <v>137962931</v>
      </c>
    </row>
    <row r="7361" spans="1:9" x14ac:dyDescent="0.2">
      <c r="A7361" t="str">
        <f>"Gjd2"</f>
        <v>Gjd2</v>
      </c>
      <c r="B7361" t="s">
        <v>14</v>
      </c>
      <c r="C7361" t="s">
        <v>26</v>
      </c>
      <c r="D7361" t="s">
        <v>11</v>
      </c>
      <c r="E7361" t="s">
        <v>12</v>
      </c>
      <c r="F7361">
        <v>114013620</v>
      </c>
      <c r="G7361">
        <v>114013638</v>
      </c>
      <c r="H7361">
        <v>114013731</v>
      </c>
      <c r="I7361">
        <v>114013741</v>
      </c>
    </row>
    <row r="7362" spans="1:9" x14ac:dyDescent="0.2">
      <c r="A7362" t="str">
        <f>"Gjd3"</f>
        <v>Gjd3</v>
      </c>
      <c r="B7362" t="s">
        <v>2502</v>
      </c>
      <c r="C7362" t="s">
        <v>27</v>
      </c>
      <c r="D7362" t="s">
        <v>11</v>
      </c>
      <c r="E7362" t="s">
        <v>20</v>
      </c>
      <c r="F7362">
        <v>98983015</v>
      </c>
      <c r="G7362">
        <v>98983015</v>
      </c>
      <c r="H7362">
        <v>98983015</v>
      </c>
      <c r="I7362">
        <v>98983015</v>
      </c>
    </row>
    <row r="7363" spans="1:9" x14ac:dyDescent="0.2">
      <c r="A7363" t="str">
        <f>"Gjd4"</f>
        <v>Gjd4</v>
      </c>
      <c r="B7363" t="s">
        <v>14</v>
      </c>
      <c r="C7363" t="s">
        <v>43</v>
      </c>
      <c r="D7363" t="s">
        <v>11</v>
      </c>
      <c r="E7363" t="s">
        <v>12</v>
      </c>
      <c r="F7363">
        <v>9282718</v>
      </c>
      <c r="G7363">
        <v>9282739</v>
      </c>
      <c r="H7363">
        <v>9282754</v>
      </c>
      <c r="I7363">
        <v>9282766</v>
      </c>
    </row>
    <row r="7364" spans="1:9" x14ac:dyDescent="0.2">
      <c r="A7364" t="str">
        <f>"Gje1"</f>
        <v>Gje1</v>
      </c>
      <c r="B7364" t="s">
        <v>14</v>
      </c>
      <c r="C7364" t="s">
        <v>15</v>
      </c>
      <c r="D7364" t="s">
        <v>11</v>
      </c>
      <c r="E7364" t="s">
        <v>12</v>
      </c>
      <c r="F7364">
        <v>14718191</v>
      </c>
      <c r="G7364">
        <v>14718228</v>
      </c>
      <c r="H7364">
        <v>14718191</v>
      </c>
      <c r="I7364">
        <v>14718228</v>
      </c>
    </row>
    <row r="7365" spans="1:9" x14ac:dyDescent="0.2">
      <c r="A7365" t="str">
        <f>"Gk2"</f>
        <v>Gk2</v>
      </c>
      <c r="B7365" t="s">
        <v>14</v>
      </c>
      <c r="C7365" t="s">
        <v>46</v>
      </c>
      <c r="D7365" t="s">
        <v>11</v>
      </c>
      <c r="E7365" t="s">
        <v>12</v>
      </c>
      <c r="F7365">
        <v>97456971</v>
      </c>
      <c r="G7365">
        <v>97457007</v>
      </c>
      <c r="H7365">
        <v>97456971</v>
      </c>
      <c r="I7365">
        <v>97457007</v>
      </c>
    </row>
    <row r="7366" spans="1:9" x14ac:dyDescent="0.2">
      <c r="A7366" t="str">
        <f>"Gk5"</f>
        <v>Gk5</v>
      </c>
      <c r="B7366" t="s">
        <v>14</v>
      </c>
      <c r="C7366" t="s">
        <v>24</v>
      </c>
      <c r="D7366" t="s">
        <v>17</v>
      </c>
      <c r="E7366" t="s">
        <v>12</v>
      </c>
      <c r="F7366">
        <v>96119355</v>
      </c>
      <c r="G7366">
        <v>96119414</v>
      </c>
      <c r="H7366">
        <v>96119422</v>
      </c>
      <c r="I7366">
        <v>96119437</v>
      </c>
    </row>
    <row r="7367" spans="1:9" x14ac:dyDescent="0.2">
      <c r="A7367" t="str">
        <f>"Gkap1"</f>
        <v>Gkap1</v>
      </c>
      <c r="B7367" t="s">
        <v>14</v>
      </c>
      <c r="C7367" t="s">
        <v>39</v>
      </c>
      <c r="D7367" t="s">
        <v>11</v>
      </c>
      <c r="E7367" t="s">
        <v>12</v>
      </c>
      <c r="F7367">
        <v>58274121</v>
      </c>
      <c r="G7367">
        <v>58274207</v>
      </c>
      <c r="H7367">
        <v>58274263</v>
      </c>
      <c r="I7367">
        <v>58274338</v>
      </c>
    </row>
    <row r="7368" spans="1:9" x14ac:dyDescent="0.2">
      <c r="A7368" t="str">
        <f>"Gkn1"</f>
        <v>Gkn1</v>
      </c>
      <c r="B7368" t="s">
        <v>14</v>
      </c>
      <c r="C7368" t="s">
        <v>32</v>
      </c>
      <c r="D7368" t="s">
        <v>11</v>
      </c>
      <c r="E7368" t="s">
        <v>12</v>
      </c>
      <c r="F7368">
        <v>87350904</v>
      </c>
      <c r="G7368">
        <v>87350921</v>
      </c>
      <c r="H7368">
        <v>87350904</v>
      </c>
      <c r="I7368">
        <v>87350921</v>
      </c>
    </row>
    <row r="7369" spans="1:9" x14ac:dyDescent="0.2">
      <c r="A7369" t="str">
        <f>"Gkn2"</f>
        <v>Gkn2</v>
      </c>
      <c r="B7369" t="s">
        <v>14</v>
      </c>
      <c r="C7369" t="s">
        <v>32</v>
      </c>
      <c r="D7369" t="s">
        <v>17</v>
      </c>
      <c r="E7369" t="s">
        <v>12</v>
      </c>
      <c r="F7369">
        <v>87373357</v>
      </c>
      <c r="G7369">
        <v>87373370</v>
      </c>
      <c r="H7369">
        <v>87373357</v>
      </c>
      <c r="I7369">
        <v>87373370</v>
      </c>
    </row>
    <row r="7370" spans="1:9" x14ac:dyDescent="0.2">
      <c r="A7370" t="str">
        <f>"Gkn3"</f>
        <v>Gkn3</v>
      </c>
      <c r="B7370" t="s">
        <v>14</v>
      </c>
      <c r="C7370" t="s">
        <v>32</v>
      </c>
      <c r="D7370" t="s">
        <v>11</v>
      </c>
      <c r="E7370" t="s">
        <v>12</v>
      </c>
      <c r="F7370">
        <v>87388846</v>
      </c>
      <c r="G7370">
        <v>87388862</v>
      </c>
      <c r="H7370">
        <v>87388878</v>
      </c>
      <c r="I7370">
        <v>87388892</v>
      </c>
    </row>
    <row r="7371" spans="1:9" x14ac:dyDescent="0.2">
      <c r="A7371" t="str">
        <f>"Gla"</f>
        <v>Gla</v>
      </c>
      <c r="B7371" t="s">
        <v>14</v>
      </c>
      <c r="C7371" t="s">
        <v>37</v>
      </c>
      <c r="D7371" t="s">
        <v>11</v>
      </c>
      <c r="E7371" t="s">
        <v>12</v>
      </c>
      <c r="F7371">
        <v>134600928</v>
      </c>
      <c r="G7371">
        <v>134600965</v>
      </c>
      <c r="H7371">
        <v>134600976</v>
      </c>
      <c r="I7371">
        <v>134600990</v>
      </c>
    </row>
    <row r="7372" spans="1:9" x14ac:dyDescent="0.2">
      <c r="A7372" t="str">
        <f>"Glb1"</f>
        <v>Glb1</v>
      </c>
      <c r="B7372" t="s">
        <v>14</v>
      </c>
      <c r="C7372" t="s">
        <v>24</v>
      </c>
      <c r="D7372" t="s">
        <v>17</v>
      </c>
      <c r="E7372" t="s">
        <v>12</v>
      </c>
      <c r="F7372">
        <v>114401139</v>
      </c>
      <c r="G7372">
        <v>114401155</v>
      </c>
      <c r="H7372">
        <v>114401092</v>
      </c>
      <c r="I7372">
        <v>114401133</v>
      </c>
    </row>
    <row r="7373" spans="1:9" x14ac:dyDescent="0.2">
      <c r="A7373" t="str">
        <f>"Glb1l"</f>
        <v>Glb1l</v>
      </c>
      <c r="B7373" t="s">
        <v>9</v>
      </c>
      <c r="C7373" t="s">
        <v>19</v>
      </c>
      <c r="D7373" t="s">
        <v>11</v>
      </c>
      <c r="E7373" t="s">
        <v>12</v>
      </c>
      <c r="F7373">
        <v>75209429</v>
      </c>
      <c r="G7373">
        <v>75209476</v>
      </c>
      <c r="H7373">
        <v>75209429</v>
      </c>
      <c r="I7373">
        <v>75209476</v>
      </c>
    </row>
    <row r="7374" spans="1:9" x14ac:dyDescent="0.2">
      <c r="A7374" t="str">
        <f>"Glb1l"</f>
        <v>Glb1l</v>
      </c>
      <c r="B7374" t="s">
        <v>13</v>
      </c>
      <c r="C7374" t="s">
        <v>19</v>
      </c>
      <c r="D7374" t="s">
        <v>11</v>
      </c>
      <c r="E7374" t="s">
        <v>12</v>
      </c>
      <c r="F7374">
        <v>75210732</v>
      </c>
      <c r="G7374">
        <v>75210807</v>
      </c>
      <c r="H7374">
        <v>75210732</v>
      </c>
      <c r="I7374">
        <v>75210807</v>
      </c>
    </row>
    <row r="7375" spans="1:9" x14ac:dyDescent="0.2">
      <c r="A7375" t="str">
        <f>"Glb1l2"</f>
        <v>Glb1l2</v>
      </c>
      <c r="B7375" t="s">
        <v>14</v>
      </c>
      <c r="C7375" t="s">
        <v>24</v>
      </c>
      <c r="D7375" t="s">
        <v>11</v>
      </c>
      <c r="E7375" t="s">
        <v>12</v>
      </c>
      <c r="F7375">
        <v>26806384</v>
      </c>
      <c r="G7375">
        <v>26806461</v>
      </c>
      <c r="H7375">
        <v>26806384</v>
      </c>
      <c r="I7375">
        <v>26806461</v>
      </c>
    </row>
    <row r="7376" spans="1:9" x14ac:dyDescent="0.2">
      <c r="A7376" t="str">
        <f>"Glb1l3"</f>
        <v>Glb1l3</v>
      </c>
      <c r="B7376" t="s">
        <v>14</v>
      </c>
      <c r="C7376" t="s">
        <v>24</v>
      </c>
      <c r="D7376" t="s">
        <v>11</v>
      </c>
      <c r="E7376" t="s">
        <v>12</v>
      </c>
      <c r="F7376">
        <v>26860878</v>
      </c>
      <c r="G7376">
        <v>26860894</v>
      </c>
      <c r="H7376">
        <v>26860878</v>
      </c>
      <c r="I7376">
        <v>26860894</v>
      </c>
    </row>
    <row r="7377" spans="1:9" x14ac:dyDescent="0.2">
      <c r="A7377" t="str">
        <f>"Glcci1"</f>
        <v>Glcci1</v>
      </c>
      <c r="B7377" t="s">
        <v>14</v>
      </c>
      <c r="C7377" t="s">
        <v>32</v>
      </c>
      <c r="D7377" t="s">
        <v>17</v>
      </c>
      <c r="E7377" t="s">
        <v>12</v>
      </c>
      <c r="F7377">
        <v>8509387</v>
      </c>
      <c r="G7377">
        <v>8509437</v>
      </c>
      <c r="H7377">
        <v>8509387</v>
      </c>
      <c r="I7377">
        <v>8509437</v>
      </c>
    </row>
    <row r="7378" spans="1:9" x14ac:dyDescent="0.2">
      <c r="A7378" t="str">
        <f>"Glce"</f>
        <v>Glce</v>
      </c>
      <c r="B7378" t="s">
        <v>2503</v>
      </c>
      <c r="C7378" t="s">
        <v>24</v>
      </c>
      <c r="D7378" t="s">
        <v>11</v>
      </c>
      <c r="E7378" t="s">
        <v>20</v>
      </c>
      <c r="F7378">
        <v>62070605</v>
      </c>
      <c r="G7378">
        <v>62070605</v>
      </c>
      <c r="H7378">
        <v>62070605</v>
      </c>
      <c r="I7378">
        <v>62070605</v>
      </c>
    </row>
    <row r="7379" spans="1:9" x14ac:dyDescent="0.2">
      <c r="A7379" t="str">
        <f>"Gldc"</f>
        <v>Gldc</v>
      </c>
      <c r="B7379" t="s">
        <v>14</v>
      </c>
      <c r="C7379" t="s">
        <v>10</v>
      </c>
      <c r="D7379" t="s">
        <v>11</v>
      </c>
      <c r="E7379" t="s">
        <v>12</v>
      </c>
      <c r="F7379">
        <v>30175414</v>
      </c>
      <c r="G7379">
        <v>30175436</v>
      </c>
      <c r="H7379">
        <v>30175443</v>
      </c>
      <c r="I7379">
        <v>30175466</v>
      </c>
    </row>
    <row r="7380" spans="1:9" x14ac:dyDescent="0.2">
      <c r="A7380" t="str">
        <f>"Gldn"</f>
        <v>Gldn</v>
      </c>
      <c r="B7380" t="s">
        <v>14</v>
      </c>
      <c r="C7380" t="s">
        <v>24</v>
      </c>
      <c r="D7380" t="s">
        <v>17</v>
      </c>
      <c r="E7380" t="s">
        <v>12</v>
      </c>
      <c r="F7380">
        <v>54286479</v>
      </c>
      <c r="G7380">
        <v>54286494</v>
      </c>
      <c r="H7380">
        <v>54286332</v>
      </c>
      <c r="I7380">
        <v>54286343</v>
      </c>
    </row>
    <row r="7381" spans="1:9" x14ac:dyDescent="0.2">
      <c r="A7381" t="str">
        <f>"Gle1"</f>
        <v>Gle1</v>
      </c>
      <c r="B7381" t="s">
        <v>14</v>
      </c>
      <c r="C7381" t="s">
        <v>26</v>
      </c>
      <c r="D7381" t="s">
        <v>17</v>
      </c>
      <c r="E7381" t="s">
        <v>12</v>
      </c>
      <c r="F7381">
        <v>29935413</v>
      </c>
      <c r="G7381">
        <v>29935499</v>
      </c>
      <c r="H7381">
        <v>29935314</v>
      </c>
      <c r="I7381">
        <v>29935317</v>
      </c>
    </row>
    <row r="7382" spans="1:9" x14ac:dyDescent="0.2">
      <c r="A7382" t="str">
        <f>"Glg1"</f>
        <v>Glg1</v>
      </c>
      <c r="B7382" t="s">
        <v>14</v>
      </c>
      <c r="C7382" t="s">
        <v>30</v>
      </c>
      <c r="D7382" t="s">
        <v>11</v>
      </c>
      <c r="E7382" t="s">
        <v>12</v>
      </c>
      <c r="F7382">
        <v>111259192</v>
      </c>
      <c r="G7382">
        <v>111259221</v>
      </c>
      <c r="H7382">
        <v>111259192</v>
      </c>
      <c r="I7382">
        <v>111259221</v>
      </c>
    </row>
    <row r="7383" spans="1:9" x14ac:dyDescent="0.2">
      <c r="A7383" t="str">
        <f>"Gli1"</f>
        <v>Gli1</v>
      </c>
      <c r="B7383" t="s">
        <v>14</v>
      </c>
      <c r="C7383" t="s">
        <v>15</v>
      </c>
      <c r="D7383" t="s">
        <v>11</v>
      </c>
      <c r="E7383" t="s">
        <v>12</v>
      </c>
      <c r="F7383">
        <v>127341860</v>
      </c>
      <c r="G7383">
        <v>127341918</v>
      </c>
      <c r="H7383">
        <v>127341965</v>
      </c>
      <c r="I7383">
        <v>127341976</v>
      </c>
    </row>
    <row r="7384" spans="1:9" x14ac:dyDescent="0.2">
      <c r="A7384" t="str">
        <f>"Gli2"</f>
        <v>Gli2</v>
      </c>
      <c r="B7384" t="s">
        <v>14</v>
      </c>
      <c r="C7384" t="s">
        <v>19</v>
      </c>
      <c r="D7384" t="s">
        <v>11</v>
      </c>
      <c r="E7384" t="s">
        <v>12</v>
      </c>
      <c r="F7384">
        <v>119053372</v>
      </c>
      <c r="G7384">
        <v>119053423</v>
      </c>
      <c r="H7384">
        <v>119053521</v>
      </c>
      <c r="I7384">
        <v>119053555</v>
      </c>
    </row>
    <row r="7385" spans="1:9" x14ac:dyDescent="0.2">
      <c r="A7385" t="str">
        <f>"Gli3"</f>
        <v>Gli3</v>
      </c>
      <c r="B7385" t="s">
        <v>14</v>
      </c>
      <c r="C7385" t="s">
        <v>39</v>
      </c>
      <c r="D7385" t="s">
        <v>17</v>
      </c>
      <c r="E7385" t="s">
        <v>12</v>
      </c>
      <c r="F7385">
        <v>15463663</v>
      </c>
      <c r="G7385">
        <v>15463711</v>
      </c>
      <c r="H7385">
        <v>15463837</v>
      </c>
      <c r="I7385">
        <v>15463938</v>
      </c>
    </row>
    <row r="7386" spans="1:9" x14ac:dyDescent="0.2">
      <c r="A7386" t="str">
        <f>"Glipr1"</f>
        <v>Glipr1</v>
      </c>
      <c r="B7386" t="s">
        <v>14</v>
      </c>
      <c r="C7386" t="s">
        <v>15</v>
      </c>
      <c r="D7386" t="s">
        <v>11</v>
      </c>
      <c r="E7386" t="s">
        <v>12</v>
      </c>
      <c r="F7386">
        <v>111997166</v>
      </c>
      <c r="G7386">
        <v>111997202</v>
      </c>
      <c r="H7386">
        <v>111997166</v>
      </c>
      <c r="I7386">
        <v>111997202</v>
      </c>
    </row>
    <row r="7387" spans="1:9" x14ac:dyDescent="0.2">
      <c r="A7387" t="str">
        <f>"Glipr1l1"</f>
        <v>Glipr1l1</v>
      </c>
      <c r="B7387" t="s">
        <v>14</v>
      </c>
      <c r="C7387" t="s">
        <v>15</v>
      </c>
      <c r="D7387" t="s">
        <v>17</v>
      </c>
      <c r="E7387" t="s">
        <v>12</v>
      </c>
      <c r="F7387">
        <v>112060210</v>
      </c>
      <c r="G7387">
        <v>112060230</v>
      </c>
      <c r="H7387">
        <v>112060183</v>
      </c>
      <c r="I7387">
        <v>112060207</v>
      </c>
    </row>
    <row r="7388" spans="1:9" x14ac:dyDescent="0.2">
      <c r="A7388" t="str">
        <f>"Glipr1l2"</f>
        <v>Glipr1l2</v>
      </c>
      <c r="B7388" t="s">
        <v>14</v>
      </c>
      <c r="C7388" t="s">
        <v>15</v>
      </c>
      <c r="D7388" t="s">
        <v>17</v>
      </c>
      <c r="E7388" t="s">
        <v>12</v>
      </c>
      <c r="F7388">
        <v>112083345</v>
      </c>
      <c r="G7388">
        <v>112083371</v>
      </c>
      <c r="H7388">
        <v>112083334</v>
      </c>
      <c r="I7388">
        <v>112083341</v>
      </c>
    </row>
    <row r="7389" spans="1:9" x14ac:dyDescent="0.2">
      <c r="A7389" t="str">
        <f>"Glipr2"</f>
        <v>Glipr2</v>
      </c>
      <c r="B7389" t="s">
        <v>14</v>
      </c>
      <c r="C7389" t="s">
        <v>23</v>
      </c>
      <c r="D7389" t="s">
        <v>17</v>
      </c>
      <c r="E7389" t="s">
        <v>12</v>
      </c>
      <c r="F7389">
        <v>43957678</v>
      </c>
      <c r="G7389">
        <v>43957735</v>
      </c>
      <c r="H7389">
        <v>43957461</v>
      </c>
      <c r="I7389">
        <v>43957496</v>
      </c>
    </row>
    <row r="7390" spans="1:9" x14ac:dyDescent="0.2">
      <c r="A7390" t="str">
        <f>"Glis1"</f>
        <v>Glis1</v>
      </c>
      <c r="B7390" t="s">
        <v>14</v>
      </c>
      <c r="C7390" t="s">
        <v>23</v>
      </c>
      <c r="D7390" t="s">
        <v>17</v>
      </c>
      <c r="E7390" t="s">
        <v>12</v>
      </c>
      <c r="F7390">
        <v>107434570</v>
      </c>
      <c r="G7390">
        <v>107434599</v>
      </c>
      <c r="H7390">
        <v>107434619</v>
      </c>
      <c r="I7390">
        <v>107434654</v>
      </c>
    </row>
    <row r="7391" spans="1:9" x14ac:dyDescent="0.2">
      <c r="A7391" t="str">
        <f>"Glis2"</f>
        <v>Glis2</v>
      </c>
      <c r="B7391" t="s">
        <v>14</v>
      </c>
      <c r="C7391" t="s">
        <v>31</v>
      </c>
      <c r="D7391" t="s">
        <v>17</v>
      </c>
      <c r="E7391" t="s">
        <v>12</v>
      </c>
      <c r="F7391">
        <v>4594740</v>
      </c>
      <c r="G7391">
        <v>4594759</v>
      </c>
      <c r="H7391">
        <v>4594683</v>
      </c>
      <c r="I7391">
        <v>4594735</v>
      </c>
    </row>
    <row r="7392" spans="1:9" x14ac:dyDescent="0.2">
      <c r="A7392" t="str">
        <f>"Glis3"</f>
        <v>Glis3</v>
      </c>
      <c r="B7392" t="s">
        <v>2504</v>
      </c>
      <c r="C7392" t="s">
        <v>10</v>
      </c>
      <c r="D7392" t="s">
        <v>11</v>
      </c>
      <c r="E7392" t="s">
        <v>20</v>
      </c>
      <c r="F7392">
        <v>28300377</v>
      </c>
      <c r="G7392">
        <v>28300377</v>
      </c>
      <c r="H7392">
        <v>28300377</v>
      </c>
      <c r="I7392">
        <v>28300377</v>
      </c>
    </row>
    <row r="7393" spans="1:9" x14ac:dyDescent="0.2">
      <c r="A7393" t="str">
        <f>"Glmn"</f>
        <v>Glmn</v>
      </c>
      <c r="B7393" t="s">
        <v>14</v>
      </c>
      <c r="C7393" t="s">
        <v>46</v>
      </c>
      <c r="D7393" t="s">
        <v>11</v>
      </c>
      <c r="E7393" t="s">
        <v>12</v>
      </c>
      <c r="F7393">
        <v>107597595</v>
      </c>
      <c r="G7393">
        <v>107597625</v>
      </c>
      <c r="H7393">
        <v>107597551</v>
      </c>
      <c r="I7393">
        <v>107597579</v>
      </c>
    </row>
    <row r="7394" spans="1:9" x14ac:dyDescent="0.2">
      <c r="A7394" t="str">
        <f>"Glo1"</f>
        <v>Glo1</v>
      </c>
      <c r="B7394" t="s">
        <v>14</v>
      </c>
      <c r="C7394" t="s">
        <v>28</v>
      </c>
      <c r="D7394" t="s">
        <v>11</v>
      </c>
      <c r="E7394" t="s">
        <v>12</v>
      </c>
      <c r="F7394">
        <v>30612613</v>
      </c>
      <c r="G7394">
        <v>30612663</v>
      </c>
      <c r="H7394">
        <v>30612558</v>
      </c>
      <c r="I7394">
        <v>30612577</v>
      </c>
    </row>
    <row r="7395" spans="1:9" x14ac:dyDescent="0.2">
      <c r="A7395" t="str">
        <f>"Glod4"</f>
        <v>Glod4</v>
      </c>
      <c r="B7395" t="s">
        <v>14</v>
      </c>
      <c r="C7395" t="s">
        <v>27</v>
      </c>
      <c r="D7395" t="s">
        <v>11</v>
      </c>
      <c r="E7395" t="s">
        <v>12</v>
      </c>
      <c r="F7395">
        <v>76243656</v>
      </c>
      <c r="G7395">
        <v>76243685</v>
      </c>
      <c r="H7395">
        <v>76243687</v>
      </c>
      <c r="I7395">
        <v>76243704</v>
      </c>
    </row>
    <row r="7396" spans="1:9" x14ac:dyDescent="0.2">
      <c r="A7396" t="str">
        <f>"Glod5"</f>
        <v>Glod5</v>
      </c>
      <c r="B7396" t="s">
        <v>14</v>
      </c>
      <c r="C7396" t="s">
        <v>37</v>
      </c>
      <c r="D7396" t="s">
        <v>11</v>
      </c>
      <c r="E7396" t="s">
        <v>12</v>
      </c>
      <c r="F7396">
        <v>8018449</v>
      </c>
      <c r="G7396">
        <v>8018490</v>
      </c>
      <c r="H7396">
        <v>8018493</v>
      </c>
      <c r="I7396">
        <v>8018502</v>
      </c>
    </row>
    <row r="7397" spans="1:9" x14ac:dyDescent="0.2">
      <c r="A7397" t="str">
        <f>"Glp1r"</f>
        <v>Glp1r</v>
      </c>
      <c r="B7397" t="s">
        <v>14</v>
      </c>
      <c r="C7397" t="s">
        <v>28</v>
      </c>
      <c r="D7397" t="s">
        <v>17</v>
      </c>
      <c r="E7397" t="s">
        <v>12</v>
      </c>
      <c r="F7397">
        <v>30901811</v>
      </c>
      <c r="G7397">
        <v>30901826</v>
      </c>
      <c r="H7397">
        <v>30901811</v>
      </c>
      <c r="I7397">
        <v>30901826</v>
      </c>
    </row>
    <row r="7398" spans="1:9" x14ac:dyDescent="0.2">
      <c r="A7398" t="str">
        <f>"Glp2r"</f>
        <v>Glp2r</v>
      </c>
      <c r="B7398" t="s">
        <v>14</v>
      </c>
      <c r="C7398" t="s">
        <v>27</v>
      </c>
      <c r="D7398" t="s">
        <v>11</v>
      </c>
      <c r="E7398" t="s">
        <v>12</v>
      </c>
      <c r="F7398">
        <v>67771115</v>
      </c>
      <c r="G7398">
        <v>67771134</v>
      </c>
      <c r="H7398">
        <v>67770965</v>
      </c>
      <c r="I7398">
        <v>67771014</v>
      </c>
    </row>
    <row r="7399" spans="1:9" x14ac:dyDescent="0.2">
      <c r="A7399" t="str">
        <f>"Glra1"</f>
        <v>Glra1</v>
      </c>
      <c r="B7399" t="s">
        <v>14</v>
      </c>
      <c r="C7399" t="s">
        <v>27</v>
      </c>
      <c r="D7399" t="s">
        <v>11</v>
      </c>
      <c r="E7399" t="s">
        <v>12</v>
      </c>
      <c r="F7399">
        <v>55607917</v>
      </c>
      <c r="G7399">
        <v>55608004</v>
      </c>
      <c r="H7399">
        <v>55607917</v>
      </c>
      <c r="I7399">
        <v>55608004</v>
      </c>
    </row>
    <row r="7400" spans="1:9" x14ac:dyDescent="0.2">
      <c r="A7400" t="str">
        <f>"Glra2"</f>
        <v>Glra2</v>
      </c>
      <c r="B7400" t="s">
        <v>14</v>
      </c>
      <c r="C7400" t="s">
        <v>37</v>
      </c>
      <c r="D7400" t="s">
        <v>11</v>
      </c>
      <c r="E7400" t="s">
        <v>12</v>
      </c>
      <c r="F7400">
        <v>165327376</v>
      </c>
      <c r="G7400">
        <v>165327421</v>
      </c>
      <c r="H7400">
        <v>165327427</v>
      </c>
      <c r="I7400">
        <v>165327459</v>
      </c>
    </row>
    <row r="7401" spans="1:9" x14ac:dyDescent="0.2">
      <c r="A7401" t="str">
        <f>"Glra3"</f>
        <v>Glra3</v>
      </c>
      <c r="B7401" t="s">
        <v>14</v>
      </c>
      <c r="C7401" t="s">
        <v>30</v>
      </c>
      <c r="D7401" t="s">
        <v>17</v>
      </c>
      <c r="E7401" t="s">
        <v>12</v>
      </c>
      <c r="F7401">
        <v>55940410</v>
      </c>
      <c r="G7401">
        <v>55940451</v>
      </c>
      <c r="H7401">
        <v>55940453</v>
      </c>
      <c r="I7401">
        <v>55940472</v>
      </c>
    </row>
    <row r="7402" spans="1:9" x14ac:dyDescent="0.2">
      <c r="A7402" t="str">
        <f>"Glra4"</f>
        <v>Glra4</v>
      </c>
      <c r="B7402" t="s">
        <v>14</v>
      </c>
      <c r="C7402" t="s">
        <v>37</v>
      </c>
      <c r="D7402" t="s">
        <v>11</v>
      </c>
      <c r="E7402" t="s">
        <v>12</v>
      </c>
      <c r="F7402">
        <v>136780148</v>
      </c>
      <c r="G7402">
        <v>136780194</v>
      </c>
      <c r="H7402">
        <v>136780148</v>
      </c>
      <c r="I7402">
        <v>136780194</v>
      </c>
    </row>
    <row r="7403" spans="1:9" x14ac:dyDescent="0.2">
      <c r="A7403" t="str">
        <f>"Glrb"</f>
        <v>Glrb</v>
      </c>
      <c r="B7403" t="s">
        <v>14</v>
      </c>
      <c r="C7403" t="s">
        <v>22</v>
      </c>
      <c r="D7403" t="s">
        <v>11</v>
      </c>
      <c r="E7403" t="s">
        <v>12</v>
      </c>
      <c r="F7403">
        <v>80913542</v>
      </c>
      <c r="G7403">
        <v>80913666</v>
      </c>
      <c r="H7403">
        <v>80913688</v>
      </c>
      <c r="I7403">
        <v>80913698</v>
      </c>
    </row>
    <row r="7404" spans="1:9" x14ac:dyDescent="0.2">
      <c r="A7404" t="str">
        <f>"Glrp1"</f>
        <v>Glrp1</v>
      </c>
      <c r="B7404" t="s">
        <v>14</v>
      </c>
      <c r="C7404" t="s">
        <v>19</v>
      </c>
      <c r="D7404" t="s">
        <v>11</v>
      </c>
      <c r="E7404" t="s">
        <v>12</v>
      </c>
      <c r="F7404">
        <v>88509949</v>
      </c>
      <c r="G7404">
        <v>88509964</v>
      </c>
      <c r="H7404">
        <v>88509970</v>
      </c>
      <c r="I7404">
        <v>88509984</v>
      </c>
    </row>
    <row r="7405" spans="1:9" x14ac:dyDescent="0.2">
      <c r="A7405" t="str">
        <f>"Glrx"</f>
        <v>Glrx</v>
      </c>
      <c r="B7405" t="s">
        <v>14</v>
      </c>
      <c r="C7405" t="s">
        <v>39</v>
      </c>
      <c r="D7405" t="s">
        <v>17</v>
      </c>
      <c r="E7405" t="s">
        <v>12</v>
      </c>
      <c r="F7405">
        <v>75839897</v>
      </c>
      <c r="G7405">
        <v>75839928</v>
      </c>
      <c r="H7405">
        <v>75839897</v>
      </c>
      <c r="I7405">
        <v>75839928</v>
      </c>
    </row>
    <row r="7406" spans="1:9" x14ac:dyDescent="0.2">
      <c r="A7406" t="str">
        <f>"Glrx2"</f>
        <v>Glrx2</v>
      </c>
      <c r="B7406" t="s">
        <v>14</v>
      </c>
      <c r="C7406" t="s">
        <v>19</v>
      </c>
      <c r="D7406" t="s">
        <v>17</v>
      </c>
      <c r="E7406" t="s">
        <v>12</v>
      </c>
      <c r="F7406">
        <v>143739573</v>
      </c>
      <c r="G7406">
        <v>143739642</v>
      </c>
      <c r="H7406">
        <v>143739016</v>
      </c>
      <c r="I7406">
        <v>143739050</v>
      </c>
    </row>
    <row r="7407" spans="1:9" x14ac:dyDescent="0.2">
      <c r="A7407" t="str">
        <f>"Glrx3"</f>
        <v>Glrx3</v>
      </c>
      <c r="B7407" t="s">
        <v>14</v>
      </c>
      <c r="C7407" t="s">
        <v>33</v>
      </c>
      <c r="D7407" t="s">
        <v>17</v>
      </c>
      <c r="E7407" t="s">
        <v>12</v>
      </c>
      <c r="F7407">
        <v>137437591</v>
      </c>
      <c r="G7407">
        <v>137437649</v>
      </c>
      <c r="H7407">
        <v>137437571</v>
      </c>
      <c r="I7407">
        <v>137437580</v>
      </c>
    </row>
    <row r="7408" spans="1:9" x14ac:dyDescent="0.2">
      <c r="A7408" t="str">
        <f>"Glrx5"</f>
        <v>Glrx5</v>
      </c>
      <c r="B7408" t="s">
        <v>14</v>
      </c>
      <c r="C7408" t="s">
        <v>16</v>
      </c>
      <c r="D7408" t="s">
        <v>17</v>
      </c>
      <c r="E7408" t="s">
        <v>12</v>
      </c>
      <c r="F7408">
        <v>105032638</v>
      </c>
      <c r="G7408">
        <v>105032705</v>
      </c>
      <c r="H7408">
        <v>105032638</v>
      </c>
      <c r="I7408">
        <v>105032705</v>
      </c>
    </row>
    <row r="7409" spans="1:9" x14ac:dyDescent="0.2">
      <c r="A7409" t="str">
        <f>"Gls"</f>
        <v>Gls</v>
      </c>
      <c r="B7409" t="s">
        <v>14</v>
      </c>
      <c r="C7409" t="s">
        <v>19</v>
      </c>
      <c r="D7409" t="s">
        <v>11</v>
      </c>
      <c r="E7409" t="s">
        <v>12</v>
      </c>
      <c r="F7409">
        <v>52233211</v>
      </c>
      <c r="G7409">
        <v>52233229</v>
      </c>
      <c r="H7409">
        <v>52233211</v>
      </c>
      <c r="I7409">
        <v>52233229</v>
      </c>
    </row>
    <row r="7410" spans="1:9" x14ac:dyDescent="0.2">
      <c r="A7410" t="str">
        <f>"Gls2"</f>
        <v>Gls2</v>
      </c>
      <c r="B7410" t="s">
        <v>14</v>
      </c>
      <c r="C7410" t="s">
        <v>15</v>
      </c>
      <c r="D7410" t="s">
        <v>17</v>
      </c>
      <c r="E7410" t="s">
        <v>12</v>
      </c>
      <c r="F7410">
        <v>128194631</v>
      </c>
      <c r="G7410">
        <v>128194667</v>
      </c>
      <c r="H7410">
        <v>128194721</v>
      </c>
      <c r="I7410">
        <v>128194755</v>
      </c>
    </row>
    <row r="7411" spans="1:9" x14ac:dyDescent="0.2">
      <c r="A7411" t="str">
        <f>"Glt1d1"</f>
        <v>Glt1d1</v>
      </c>
      <c r="B7411" t="s">
        <v>14</v>
      </c>
      <c r="C7411" t="s">
        <v>46</v>
      </c>
      <c r="D7411" t="s">
        <v>17</v>
      </c>
      <c r="E7411" t="s">
        <v>12</v>
      </c>
      <c r="F7411">
        <v>127632238</v>
      </c>
      <c r="G7411">
        <v>127632271</v>
      </c>
      <c r="H7411">
        <v>127632238</v>
      </c>
      <c r="I7411">
        <v>127632271</v>
      </c>
    </row>
    <row r="7412" spans="1:9" x14ac:dyDescent="0.2">
      <c r="A7412" t="str">
        <f>"Glt28d2"</f>
        <v>Glt28d2</v>
      </c>
      <c r="B7412" t="s">
        <v>14</v>
      </c>
      <c r="C7412" t="s">
        <v>22</v>
      </c>
      <c r="D7412" t="s">
        <v>11</v>
      </c>
      <c r="E7412" t="s">
        <v>12</v>
      </c>
      <c r="F7412">
        <v>85887472</v>
      </c>
      <c r="G7412">
        <v>85887499</v>
      </c>
      <c r="H7412">
        <v>85887500</v>
      </c>
      <c r="I7412">
        <v>85887510</v>
      </c>
    </row>
    <row r="7413" spans="1:9" x14ac:dyDescent="0.2">
      <c r="A7413" t="str">
        <f>"Glt6d1"</f>
        <v>Glt6d1</v>
      </c>
      <c r="B7413" t="s">
        <v>14</v>
      </c>
      <c r="C7413" t="s">
        <v>26</v>
      </c>
      <c r="D7413" t="s">
        <v>11</v>
      </c>
      <c r="E7413" t="s">
        <v>12</v>
      </c>
      <c r="F7413">
        <v>25815839</v>
      </c>
      <c r="G7413">
        <v>25815858</v>
      </c>
      <c r="H7413">
        <v>25815862</v>
      </c>
      <c r="I7413">
        <v>25815871</v>
      </c>
    </row>
    <row r="7414" spans="1:9" x14ac:dyDescent="0.2">
      <c r="A7414" t="str">
        <f>"Glt8d1"</f>
        <v>Glt8d1</v>
      </c>
      <c r="B7414" t="s">
        <v>14</v>
      </c>
      <c r="C7414" t="s">
        <v>41</v>
      </c>
      <c r="D7414" t="s">
        <v>17</v>
      </c>
      <c r="E7414" t="s">
        <v>12</v>
      </c>
      <c r="F7414">
        <v>31001383</v>
      </c>
      <c r="G7414">
        <v>31001407</v>
      </c>
      <c r="H7414">
        <v>31001630</v>
      </c>
      <c r="I7414">
        <v>31001713</v>
      </c>
    </row>
    <row r="7415" spans="1:9" x14ac:dyDescent="0.2">
      <c r="A7415" t="str">
        <f>"Glt8d2"</f>
        <v>Glt8d2</v>
      </c>
      <c r="B7415" t="s">
        <v>14</v>
      </c>
      <c r="C7415" t="s">
        <v>15</v>
      </c>
      <c r="D7415" t="s">
        <v>11</v>
      </c>
      <c r="E7415" t="s">
        <v>12</v>
      </c>
      <c r="F7415">
        <v>82690608</v>
      </c>
      <c r="G7415">
        <v>82690636</v>
      </c>
      <c r="H7415">
        <v>82690573</v>
      </c>
      <c r="I7415">
        <v>82690591</v>
      </c>
    </row>
    <row r="7416" spans="1:9" x14ac:dyDescent="0.2">
      <c r="A7416" t="str">
        <f>"Gltp"</f>
        <v>Gltp</v>
      </c>
      <c r="B7416" t="s">
        <v>14</v>
      </c>
      <c r="C7416" t="s">
        <v>46</v>
      </c>
      <c r="D7416" t="s">
        <v>11</v>
      </c>
      <c r="E7416" t="s">
        <v>12</v>
      </c>
      <c r="F7416">
        <v>114690906</v>
      </c>
      <c r="G7416">
        <v>114690970</v>
      </c>
      <c r="H7416">
        <v>114690974</v>
      </c>
      <c r="I7416">
        <v>114690999</v>
      </c>
    </row>
    <row r="7417" spans="1:9" x14ac:dyDescent="0.2">
      <c r="A7417" t="str">
        <f>"Gltpd1"</f>
        <v>Gltpd1</v>
      </c>
      <c r="B7417" t="s">
        <v>14</v>
      </c>
      <c r="C7417" t="s">
        <v>23</v>
      </c>
      <c r="D7417" t="s">
        <v>11</v>
      </c>
      <c r="E7417" t="s">
        <v>12</v>
      </c>
      <c r="F7417">
        <v>155869394</v>
      </c>
      <c r="G7417">
        <v>155869455</v>
      </c>
      <c r="H7417">
        <v>155869193</v>
      </c>
      <c r="I7417">
        <v>155869223</v>
      </c>
    </row>
    <row r="7418" spans="1:9" x14ac:dyDescent="0.2">
      <c r="A7418" t="str">
        <f>"Gltpd2"</f>
        <v>Gltpd2</v>
      </c>
      <c r="B7418" t="s">
        <v>14</v>
      </c>
      <c r="C7418" t="s">
        <v>27</v>
      </c>
      <c r="D7418" t="s">
        <v>17</v>
      </c>
      <c r="E7418" t="s">
        <v>12</v>
      </c>
      <c r="F7418">
        <v>70519183</v>
      </c>
      <c r="G7418">
        <v>70519203</v>
      </c>
      <c r="H7418">
        <v>70519155</v>
      </c>
      <c r="I7418">
        <v>70519162</v>
      </c>
    </row>
    <row r="7419" spans="1:9" x14ac:dyDescent="0.2">
      <c r="A7419" t="str">
        <f>"Gltscr1"</f>
        <v>Gltscr1</v>
      </c>
      <c r="B7419" t="s">
        <v>2505</v>
      </c>
      <c r="C7419" t="s">
        <v>33</v>
      </c>
      <c r="D7419" t="s">
        <v>11</v>
      </c>
      <c r="E7419" t="s">
        <v>20</v>
      </c>
      <c r="F7419">
        <v>15999494</v>
      </c>
      <c r="G7419">
        <v>15999494</v>
      </c>
      <c r="H7419">
        <v>15999494</v>
      </c>
      <c r="I7419">
        <v>15999494</v>
      </c>
    </row>
    <row r="7420" spans="1:9" x14ac:dyDescent="0.2">
      <c r="A7420" t="str">
        <f>"Gltscr1l"</f>
        <v>Gltscr1l</v>
      </c>
      <c r="B7420" t="s">
        <v>2506</v>
      </c>
      <c r="C7420" t="s">
        <v>28</v>
      </c>
      <c r="D7420" t="s">
        <v>11</v>
      </c>
      <c r="E7420" t="s">
        <v>20</v>
      </c>
      <c r="F7420">
        <v>46831412</v>
      </c>
      <c r="G7420">
        <v>46831412</v>
      </c>
      <c r="H7420">
        <v>46831412</v>
      </c>
      <c r="I7420">
        <v>46831412</v>
      </c>
    </row>
    <row r="7421" spans="1:9" x14ac:dyDescent="0.2">
      <c r="A7421" t="str">
        <f>"Gltscr2"</f>
        <v>Gltscr2</v>
      </c>
      <c r="B7421" t="s">
        <v>14</v>
      </c>
      <c r="C7421" t="s">
        <v>33</v>
      </c>
      <c r="D7421" t="s">
        <v>11</v>
      </c>
      <c r="E7421" t="s">
        <v>12</v>
      </c>
      <c r="F7421">
        <v>15946070</v>
      </c>
      <c r="G7421">
        <v>15946105</v>
      </c>
      <c r="H7421">
        <v>15945784</v>
      </c>
      <c r="I7421">
        <v>15945808</v>
      </c>
    </row>
    <row r="7422" spans="1:9" x14ac:dyDescent="0.2">
      <c r="A7422" t="str">
        <f>"Glud1"</f>
        <v>Glud1</v>
      </c>
      <c r="B7422" t="s">
        <v>14</v>
      </c>
      <c r="C7422" t="s">
        <v>41</v>
      </c>
      <c r="D7422" t="s">
        <v>17</v>
      </c>
      <c r="E7422" t="s">
        <v>12</v>
      </c>
      <c r="F7422">
        <v>34310816</v>
      </c>
      <c r="G7422">
        <v>34310830</v>
      </c>
      <c r="H7422">
        <v>34310766</v>
      </c>
      <c r="I7422">
        <v>34310778</v>
      </c>
    </row>
    <row r="7423" spans="1:9" x14ac:dyDescent="0.2">
      <c r="A7423" t="str">
        <f>"Glul"</f>
        <v>Glul</v>
      </c>
      <c r="B7423" t="s">
        <v>14</v>
      </c>
      <c r="C7423" t="s">
        <v>19</v>
      </c>
      <c r="D7423" t="s">
        <v>17</v>
      </c>
      <c r="E7423" t="s">
        <v>12</v>
      </c>
      <c r="F7423">
        <v>153899937</v>
      </c>
      <c r="G7423">
        <v>153899953</v>
      </c>
      <c r="H7423">
        <v>153900572</v>
      </c>
      <c r="I7423">
        <v>153900601</v>
      </c>
    </row>
    <row r="7424" spans="1:9" x14ac:dyDescent="0.2">
      <c r="A7424" t="str">
        <f>"Glyat"</f>
        <v>Glyat</v>
      </c>
      <c r="B7424" t="s">
        <v>14</v>
      </c>
      <c r="C7424" t="s">
        <v>10</v>
      </c>
      <c r="D7424" t="s">
        <v>17</v>
      </c>
      <c r="E7424" t="s">
        <v>12</v>
      </c>
      <c r="F7424">
        <v>12633507</v>
      </c>
      <c r="G7424">
        <v>12633525</v>
      </c>
      <c r="H7424">
        <v>12633329</v>
      </c>
      <c r="I7424">
        <v>12633352</v>
      </c>
    </row>
    <row r="7425" spans="1:9" x14ac:dyDescent="0.2">
      <c r="A7425" t="str">
        <f>"Glyatl3"</f>
        <v>Glyatl3</v>
      </c>
      <c r="B7425" t="s">
        <v>2507</v>
      </c>
      <c r="C7425" t="s">
        <v>28</v>
      </c>
      <c r="D7425" t="s">
        <v>11</v>
      </c>
      <c r="E7425" t="s">
        <v>20</v>
      </c>
      <c r="F7425">
        <v>40914349</v>
      </c>
      <c r="G7425">
        <v>40914349</v>
      </c>
      <c r="H7425">
        <v>40914349</v>
      </c>
      <c r="I7425">
        <v>40914349</v>
      </c>
    </row>
    <row r="7426" spans="1:9" x14ac:dyDescent="0.2">
      <c r="A7426" t="str">
        <f>"Glycam1"</f>
        <v>Glycam1</v>
      </c>
      <c r="B7426" t="s">
        <v>14</v>
      </c>
      <c r="C7426" t="s">
        <v>25</v>
      </c>
      <c r="D7426" t="s">
        <v>11</v>
      </c>
      <c r="E7426" t="s">
        <v>12</v>
      </c>
      <c r="F7426">
        <v>103565069</v>
      </c>
      <c r="G7426">
        <v>103565088</v>
      </c>
      <c r="H7426">
        <v>103565069</v>
      </c>
      <c r="I7426">
        <v>103565088</v>
      </c>
    </row>
    <row r="7427" spans="1:9" x14ac:dyDescent="0.2">
      <c r="A7427" t="str">
        <f>"Glyctk"</f>
        <v>Glyctk</v>
      </c>
      <c r="B7427" t="s">
        <v>14</v>
      </c>
      <c r="C7427" t="s">
        <v>24</v>
      </c>
      <c r="D7427" t="s">
        <v>11</v>
      </c>
      <c r="E7427" t="s">
        <v>12</v>
      </c>
      <c r="F7427">
        <v>106158109</v>
      </c>
      <c r="G7427">
        <v>106158132</v>
      </c>
      <c r="H7427">
        <v>106158109</v>
      </c>
      <c r="I7427">
        <v>106158132</v>
      </c>
    </row>
    <row r="7428" spans="1:9" x14ac:dyDescent="0.2">
      <c r="A7428" t="str">
        <f>"Glyr1"</f>
        <v>Glyr1</v>
      </c>
      <c r="B7428" t="s">
        <v>14</v>
      </c>
      <c r="C7428" t="s">
        <v>31</v>
      </c>
      <c r="D7428" t="s">
        <v>11</v>
      </c>
      <c r="E7428" t="s">
        <v>12</v>
      </c>
      <c r="F7428">
        <v>5049839</v>
      </c>
      <c r="G7428">
        <v>5049879</v>
      </c>
      <c r="H7428">
        <v>5049882</v>
      </c>
      <c r="I7428">
        <v>5049889</v>
      </c>
    </row>
    <row r="7429" spans="1:9" x14ac:dyDescent="0.2">
      <c r="A7429" t="str">
        <f>"Gm10000"</f>
        <v>Gm10000</v>
      </c>
      <c r="B7429" t="s">
        <v>2508</v>
      </c>
      <c r="C7429" t="s">
        <v>16</v>
      </c>
      <c r="D7429" t="s">
        <v>17</v>
      </c>
      <c r="E7429" t="s">
        <v>20</v>
      </c>
      <c r="F7429">
        <v>104474487</v>
      </c>
      <c r="G7429">
        <v>104474487</v>
      </c>
      <c r="H7429">
        <v>104474487</v>
      </c>
      <c r="I7429">
        <v>104474487</v>
      </c>
    </row>
    <row r="7430" spans="1:9" x14ac:dyDescent="0.2">
      <c r="A7430" t="str">
        <f>"Gm10006"</f>
        <v>Gm10006</v>
      </c>
      <c r="B7430" t="s">
        <v>14</v>
      </c>
      <c r="C7430" t="s">
        <v>16</v>
      </c>
      <c r="D7430" t="s">
        <v>17</v>
      </c>
      <c r="E7430" t="s">
        <v>12</v>
      </c>
      <c r="F7430">
        <v>82617688</v>
      </c>
      <c r="G7430">
        <v>82617706</v>
      </c>
      <c r="H7430">
        <v>82617579</v>
      </c>
      <c r="I7430">
        <v>82617593</v>
      </c>
    </row>
    <row r="7431" spans="1:9" x14ac:dyDescent="0.2">
      <c r="A7431" t="str">
        <f>"Gm10010"</f>
        <v>Gm10010</v>
      </c>
      <c r="B7431" t="s">
        <v>14</v>
      </c>
      <c r="C7431" t="s">
        <v>32</v>
      </c>
      <c r="D7431" t="s">
        <v>11</v>
      </c>
      <c r="E7431" t="s">
        <v>67</v>
      </c>
      <c r="F7431">
        <v>128200598</v>
      </c>
      <c r="G7431">
        <v>128200635</v>
      </c>
      <c r="H7431">
        <v>128200638</v>
      </c>
      <c r="I7431">
        <v>128200650</v>
      </c>
    </row>
    <row r="7432" spans="1:9" x14ac:dyDescent="0.2">
      <c r="A7432" t="str">
        <f>"Gm10013"</f>
        <v>Gm10013</v>
      </c>
      <c r="B7432" t="s">
        <v>2509</v>
      </c>
      <c r="C7432" t="s">
        <v>33</v>
      </c>
      <c r="D7432" t="s">
        <v>11</v>
      </c>
      <c r="E7432" t="s">
        <v>20</v>
      </c>
      <c r="F7432">
        <v>142280938</v>
      </c>
      <c r="G7432">
        <v>142280938</v>
      </c>
      <c r="H7432">
        <v>142280938</v>
      </c>
      <c r="I7432">
        <v>142280938</v>
      </c>
    </row>
    <row r="7433" spans="1:9" x14ac:dyDescent="0.2">
      <c r="A7433" t="str">
        <f>"Gm10020"</f>
        <v>Gm10020</v>
      </c>
      <c r="B7433" t="s">
        <v>14</v>
      </c>
      <c r="C7433" t="s">
        <v>25</v>
      </c>
      <c r="D7433" t="s">
        <v>11</v>
      </c>
      <c r="E7433" t="s">
        <v>12</v>
      </c>
      <c r="F7433">
        <v>52478371</v>
      </c>
      <c r="G7433">
        <v>52478377</v>
      </c>
      <c r="H7433">
        <v>52478371</v>
      </c>
      <c r="I7433">
        <v>52478377</v>
      </c>
    </row>
    <row r="7434" spans="1:9" x14ac:dyDescent="0.2">
      <c r="A7434" t="str">
        <f>"Gm10024"</f>
        <v>Gm10024</v>
      </c>
      <c r="B7434" t="s">
        <v>14</v>
      </c>
      <c r="C7434" t="s">
        <v>15</v>
      </c>
      <c r="D7434" t="s">
        <v>17</v>
      </c>
      <c r="E7434" t="s">
        <v>12</v>
      </c>
      <c r="F7434">
        <v>77711417</v>
      </c>
      <c r="G7434">
        <v>77711423</v>
      </c>
      <c r="H7434">
        <v>77711417</v>
      </c>
      <c r="I7434">
        <v>77711423</v>
      </c>
    </row>
    <row r="7435" spans="1:9" x14ac:dyDescent="0.2">
      <c r="A7435" t="str">
        <f>"Gm10030"</f>
        <v>Gm10030</v>
      </c>
      <c r="B7435" t="s">
        <v>2510</v>
      </c>
      <c r="C7435" t="s">
        <v>24</v>
      </c>
      <c r="D7435" t="s">
        <v>17</v>
      </c>
      <c r="E7435" t="s">
        <v>20</v>
      </c>
      <c r="F7435">
        <v>111004810</v>
      </c>
      <c r="G7435">
        <v>111004810</v>
      </c>
      <c r="H7435">
        <v>111004810</v>
      </c>
      <c r="I7435">
        <v>111004810</v>
      </c>
    </row>
    <row r="7436" spans="1:9" x14ac:dyDescent="0.2">
      <c r="A7436" t="str">
        <f>"Gm10032"</f>
        <v>Gm10032</v>
      </c>
      <c r="B7436" t="s">
        <v>14</v>
      </c>
      <c r="C7436" t="s">
        <v>41</v>
      </c>
      <c r="D7436" t="s">
        <v>17</v>
      </c>
      <c r="E7436" t="s">
        <v>12</v>
      </c>
      <c r="F7436">
        <v>66784523</v>
      </c>
      <c r="G7436">
        <v>66784537</v>
      </c>
      <c r="H7436">
        <v>66784539</v>
      </c>
      <c r="I7436">
        <v>66784546</v>
      </c>
    </row>
    <row r="7437" spans="1:9" x14ac:dyDescent="0.2">
      <c r="A7437" t="str">
        <f>"Gm10033"</f>
        <v>Gm10033</v>
      </c>
      <c r="B7437" t="s">
        <v>14</v>
      </c>
      <c r="C7437" t="s">
        <v>30</v>
      </c>
      <c r="D7437" t="s">
        <v>11</v>
      </c>
      <c r="E7437" t="s">
        <v>12</v>
      </c>
      <c r="F7437">
        <v>69395492</v>
      </c>
      <c r="G7437">
        <v>69395553</v>
      </c>
      <c r="H7437">
        <v>69395564</v>
      </c>
      <c r="I7437">
        <v>69395575</v>
      </c>
    </row>
    <row r="7438" spans="1:9" x14ac:dyDescent="0.2">
      <c r="A7438" t="str">
        <f>"Gm10036"</f>
        <v>Gm10036</v>
      </c>
      <c r="B7438" t="s">
        <v>14</v>
      </c>
      <c r="C7438" t="s">
        <v>43</v>
      </c>
      <c r="D7438" t="s">
        <v>17</v>
      </c>
      <c r="E7438" t="s">
        <v>12</v>
      </c>
      <c r="F7438">
        <v>15832772</v>
      </c>
      <c r="G7438">
        <v>15832774</v>
      </c>
      <c r="H7438">
        <v>15832772</v>
      </c>
      <c r="I7438">
        <v>15832774</v>
      </c>
    </row>
    <row r="7439" spans="1:9" x14ac:dyDescent="0.2">
      <c r="A7439" t="str">
        <f>"Gm10037"</f>
        <v>Gm10037</v>
      </c>
      <c r="B7439" t="s">
        <v>2511</v>
      </c>
      <c r="C7439" t="s">
        <v>39</v>
      </c>
      <c r="D7439" t="s">
        <v>17</v>
      </c>
      <c r="E7439" t="s">
        <v>20</v>
      </c>
      <c r="F7439">
        <v>67833234</v>
      </c>
      <c r="G7439">
        <v>67833234</v>
      </c>
      <c r="H7439">
        <v>67833234</v>
      </c>
      <c r="I7439">
        <v>67833234</v>
      </c>
    </row>
    <row r="7440" spans="1:9" x14ac:dyDescent="0.2">
      <c r="A7440" t="str">
        <f>"Gm10047"</f>
        <v>Gm10047</v>
      </c>
      <c r="B7440" t="s">
        <v>2512</v>
      </c>
      <c r="C7440" t="s">
        <v>46</v>
      </c>
      <c r="D7440" t="s">
        <v>11</v>
      </c>
      <c r="E7440" t="s">
        <v>20</v>
      </c>
      <c r="F7440">
        <v>104456466</v>
      </c>
      <c r="G7440">
        <v>104456466</v>
      </c>
      <c r="H7440">
        <v>104456466</v>
      </c>
      <c r="I7440">
        <v>104456466</v>
      </c>
    </row>
    <row r="7441" spans="1:9" x14ac:dyDescent="0.2">
      <c r="A7441" t="str">
        <f>"Gm10053"</f>
        <v>Gm10053</v>
      </c>
      <c r="B7441" t="s">
        <v>2513</v>
      </c>
      <c r="C7441" t="s">
        <v>10</v>
      </c>
      <c r="D7441" t="s">
        <v>17</v>
      </c>
      <c r="E7441" t="s">
        <v>20</v>
      </c>
      <c r="F7441">
        <v>24875685</v>
      </c>
      <c r="G7441">
        <v>24875685</v>
      </c>
      <c r="H7441">
        <v>24875685</v>
      </c>
      <c r="I7441">
        <v>24875685</v>
      </c>
    </row>
    <row r="7442" spans="1:9" x14ac:dyDescent="0.2">
      <c r="A7442" t="str">
        <f>"Gm10057"</f>
        <v>Gm10057</v>
      </c>
      <c r="B7442" t="s">
        <v>2514</v>
      </c>
      <c r="C7442" t="s">
        <v>37</v>
      </c>
      <c r="D7442" t="s">
        <v>11</v>
      </c>
      <c r="E7442" t="s">
        <v>20</v>
      </c>
      <c r="F7442">
        <v>154055038</v>
      </c>
      <c r="G7442">
        <v>154055038</v>
      </c>
      <c r="H7442">
        <v>154055038</v>
      </c>
      <c r="I7442">
        <v>154055038</v>
      </c>
    </row>
    <row r="7443" spans="1:9" x14ac:dyDescent="0.2">
      <c r="A7443" t="str">
        <f>"Gm10058"</f>
        <v>Gm10058</v>
      </c>
      <c r="B7443" t="s">
        <v>2515</v>
      </c>
      <c r="C7443" t="s">
        <v>37</v>
      </c>
      <c r="D7443" t="s">
        <v>11</v>
      </c>
      <c r="E7443" t="s">
        <v>20</v>
      </c>
      <c r="F7443">
        <v>27946884</v>
      </c>
      <c r="G7443">
        <v>27946884</v>
      </c>
      <c r="H7443">
        <v>27946884</v>
      </c>
      <c r="I7443">
        <v>27946884</v>
      </c>
    </row>
    <row r="7444" spans="1:9" x14ac:dyDescent="0.2">
      <c r="A7444" t="str">
        <f>"Gm10058"</f>
        <v>Gm10058</v>
      </c>
      <c r="B7444" t="s">
        <v>2516</v>
      </c>
      <c r="C7444" t="s">
        <v>37</v>
      </c>
      <c r="D7444" t="s">
        <v>11</v>
      </c>
      <c r="E7444" t="s">
        <v>20</v>
      </c>
      <c r="F7444">
        <v>27945296</v>
      </c>
      <c r="G7444">
        <v>27945296</v>
      </c>
      <c r="H7444">
        <v>27945296</v>
      </c>
      <c r="I7444">
        <v>27945296</v>
      </c>
    </row>
    <row r="7445" spans="1:9" x14ac:dyDescent="0.2">
      <c r="A7445" t="str">
        <f>"Gm10061"</f>
        <v>Gm10061</v>
      </c>
      <c r="B7445" t="s">
        <v>14</v>
      </c>
      <c r="C7445" t="s">
        <v>31</v>
      </c>
      <c r="D7445" t="s">
        <v>17</v>
      </c>
      <c r="E7445" t="s">
        <v>12</v>
      </c>
      <c r="F7445">
        <v>89151083</v>
      </c>
      <c r="G7445">
        <v>89151087</v>
      </c>
      <c r="H7445">
        <v>89151083</v>
      </c>
      <c r="I7445">
        <v>89151087</v>
      </c>
    </row>
    <row r="7446" spans="1:9" x14ac:dyDescent="0.2">
      <c r="A7446" t="str">
        <f>"Gm10064"</f>
        <v>Gm10064</v>
      </c>
      <c r="B7446" t="s">
        <v>14</v>
      </c>
      <c r="C7446" t="s">
        <v>46</v>
      </c>
      <c r="D7446" t="s">
        <v>11</v>
      </c>
      <c r="E7446" t="s">
        <v>67</v>
      </c>
      <c r="F7446">
        <v>122697618</v>
      </c>
      <c r="G7446">
        <v>122697629</v>
      </c>
      <c r="H7446">
        <v>122697618</v>
      </c>
      <c r="I7446">
        <v>122697629</v>
      </c>
    </row>
    <row r="7447" spans="1:9" x14ac:dyDescent="0.2">
      <c r="A7447" t="str">
        <f>"Gm10065"</f>
        <v>Gm10065</v>
      </c>
      <c r="B7447" t="s">
        <v>2517</v>
      </c>
      <c r="C7447" t="s">
        <v>39</v>
      </c>
      <c r="D7447" t="s">
        <v>11</v>
      </c>
      <c r="E7447" t="s">
        <v>20</v>
      </c>
      <c r="F7447">
        <v>21479440</v>
      </c>
      <c r="G7447">
        <v>21479440</v>
      </c>
      <c r="H7447">
        <v>21479440</v>
      </c>
      <c r="I7447">
        <v>21479440</v>
      </c>
    </row>
    <row r="7448" spans="1:9" x14ac:dyDescent="0.2">
      <c r="A7448" t="str">
        <f>"Gm10068"</f>
        <v>Gm10068</v>
      </c>
      <c r="B7448" t="s">
        <v>2518</v>
      </c>
      <c r="C7448" t="s">
        <v>19</v>
      </c>
      <c r="D7448" t="s">
        <v>17</v>
      </c>
      <c r="E7448" t="s">
        <v>20</v>
      </c>
      <c r="F7448">
        <v>58646607</v>
      </c>
      <c r="G7448">
        <v>58646607</v>
      </c>
      <c r="H7448">
        <v>58646607</v>
      </c>
      <c r="I7448">
        <v>58646607</v>
      </c>
    </row>
    <row r="7449" spans="1:9" x14ac:dyDescent="0.2">
      <c r="A7449" t="str">
        <f>"Gm10073"</f>
        <v>Gm10073</v>
      </c>
      <c r="B7449" t="s">
        <v>14</v>
      </c>
      <c r="C7449" t="s">
        <v>30</v>
      </c>
      <c r="D7449" t="s">
        <v>11</v>
      </c>
      <c r="E7449" t="s">
        <v>12</v>
      </c>
      <c r="F7449">
        <v>106573461</v>
      </c>
      <c r="G7449">
        <v>106573462</v>
      </c>
      <c r="H7449">
        <v>106573461</v>
      </c>
      <c r="I7449">
        <v>106573462</v>
      </c>
    </row>
    <row r="7450" spans="1:9" x14ac:dyDescent="0.2">
      <c r="A7450" t="str">
        <f>"Gm10076"</f>
        <v>Gm10076</v>
      </c>
      <c r="B7450" t="s">
        <v>2519</v>
      </c>
      <c r="C7450" t="s">
        <v>41</v>
      </c>
      <c r="D7450" t="s">
        <v>17</v>
      </c>
      <c r="E7450" t="s">
        <v>20</v>
      </c>
      <c r="F7450">
        <v>105681827</v>
      </c>
      <c r="G7450">
        <v>105681827</v>
      </c>
      <c r="H7450">
        <v>105681827</v>
      </c>
      <c r="I7450">
        <v>105681827</v>
      </c>
    </row>
    <row r="7451" spans="1:9" x14ac:dyDescent="0.2">
      <c r="A7451" t="str">
        <f>"Gm10081"</f>
        <v>Gm10081</v>
      </c>
      <c r="B7451" t="s">
        <v>2520</v>
      </c>
      <c r="C7451" t="s">
        <v>33</v>
      </c>
      <c r="D7451" t="s">
        <v>11</v>
      </c>
      <c r="E7451" t="s">
        <v>20</v>
      </c>
      <c r="F7451">
        <v>107106858</v>
      </c>
      <c r="G7451">
        <v>107106858</v>
      </c>
      <c r="H7451">
        <v>107106858</v>
      </c>
      <c r="I7451">
        <v>107106858</v>
      </c>
    </row>
    <row r="7452" spans="1:9" x14ac:dyDescent="0.2">
      <c r="A7452" t="str">
        <f>"Gm10083"</f>
        <v>Gm10083</v>
      </c>
      <c r="B7452" t="s">
        <v>14</v>
      </c>
      <c r="C7452" t="s">
        <v>30</v>
      </c>
      <c r="D7452" t="s">
        <v>17</v>
      </c>
      <c r="E7452" t="s">
        <v>67</v>
      </c>
      <c r="F7452">
        <v>47412708</v>
      </c>
      <c r="G7452">
        <v>47412723</v>
      </c>
      <c r="H7452">
        <v>47412708</v>
      </c>
      <c r="I7452">
        <v>47412723</v>
      </c>
    </row>
    <row r="7453" spans="1:9" x14ac:dyDescent="0.2">
      <c r="A7453" t="str">
        <f>"Gm10088"</f>
        <v>Gm10088</v>
      </c>
      <c r="B7453" t="s">
        <v>14</v>
      </c>
      <c r="C7453" t="s">
        <v>31</v>
      </c>
      <c r="D7453" t="s">
        <v>17</v>
      </c>
      <c r="E7453" t="s">
        <v>12</v>
      </c>
      <c r="F7453">
        <v>19028208</v>
      </c>
      <c r="G7453">
        <v>19028220</v>
      </c>
      <c r="H7453">
        <v>19028208</v>
      </c>
      <c r="I7453">
        <v>19028220</v>
      </c>
    </row>
    <row r="7454" spans="1:9" x14ac:dyDescent="0.2">
      <c r="A7454" t="str">
        <f>"Gm10092"</f>
        <v>Gm10092</v>
      </c>
      <c r="B7454" t="s">
        <v>2521</v>
      </c>
      <c r="C7454" t="s">
        <v>31</v>
      </c>
      <c r="D7454" t="s">
        <v>17</v>
      </c>
      <c r="E7454" t="s">
        <v>20</v>
      </c>
      <c r="F7454">
        <v>36135938</v>
      </c>
      <c r="G7454">
        <v>36135938</v>
      </c>
      <c r="H7454">
        <v>36135938</v>
      </c>
      <c r="I7454">
        <v>36135938</v>
      </c>
    </row>
    <row r="7455" spans="1:9" x14ac:dyDescent="0.2">
      <c r="A7455" t="str">
        <f>"Gm10093"</f>
        <v>Gm10093</v>
      </c>
      <c r="B7455" t="s">
        <v>14</v>
      </c>
      <c r="C7455" t="s">
        <v>28</v>
      </c>
      <c r="D7455" t="s">
        <v>17</v>
      </c>
      <c r="E7455" t="s">
        <v>67</v>
      </c>
      <c r="F7455">
        <v>78491549</v>
      </c>
      <c r="G7455">
        <v>78491552</v>
      </c>
      <c r="H7455">
        <v>78491549</v>
      </c>
      <c r="I7455">
        <v>78491552</v>
      </c>
    </row>
    <row r="7456" spans="1:9" x14ac:dyDescent="0.2">
      <c r="A7456" t="str">
        <f>"Gm10094"</f>
        <v>Gm10094</v>
      </c>
      <c r="B7456" t="s">
        <v>2522</v>
      </c>
      <c r="C7456" t="s">
        <v>30</v>
      </c>
      <c r="D7456" t="s">
        <v>17</v>
      </c>
      <c r="E7456" t="s">
        <v>20</v>
      </c>
      <c r="F7456">
        <v>95825353</v>
      </c>
      <c r="G7456">
        <v>95825353</v>
      </c>
      <c r="H7456">
        <v>95825353</v>
      </c>
      <c r="I7456">
        <v>95825353</v>
      </c>
    </row>
    <row r="7457" spans="1:9" x14ac:dyDescent="0.2">
      <c r="A7457" t="str">
        <f>"Gm10096"</f>
        <v>Gm10096</v>
      </c>
      <c r="B7457" t="s">
        <v>2523</v>
      </c>
      <c r="C7457" t="s">
        <v>37</v>
      </c>
      <c r="D7457" t="s">
        <v>11</v>
      </c>
      <c r="E7457" t="s">
        <v>20</v>
      </c>
      <c r="F7457">
        <v>28953080</v>
      </c>
      <c r="G7457">
        <v>28953080</v>
      </c>
      <c r="H7457">
        <v>28953080</v>
      </c>
      <c r="I7457">
        <v>28953080</v>
      </c>
    </row>
    <row r="7458" spans="1:9" x14ac:dyDescent="0.2">
      <c r="A7458" t="str">
        <f>"Gm10096"</f>
        <v>Gm10096</v>
      </c>
      <c r="B7458" t="s">
        <v>2524</v>
      </c>
      <c r="C7458" t="s">
        <v>37</v>
      </c>
      <c r="D7458" t="s">
        <v>11</v>
      </c>
      <c r="E7458" t="s">
        <v>20</v>
      </c>
      <c r="F7458">
        <v>28954701</v>
      </c>
      <c r="G7458">
        <v>28954701</v>
      </c>
      <c r="H7458">
        <v>28954701</v>
      </c>
      <c r="I7458">
        <v>28954701</v>
      </c>
    </row>
    <row r="7459" spans="1:9" x14ac:dyDescent="0.2">
      <c r="A7459" t="str">
        <f>"Gm10097"</f>
        <v>Gm10097</v>
      </c>
      <c r="B7459" t="s">
        <v>14</v>
      </c>
      <c r="C7459" t="s">
        <v>15</v>
      </c>
      <c r="D7459" t="s">
        <v>17</v>
      </c>
      <c r="E7459" t="s">
        <v>67</v>
      </c>
      <c r="F7459">
        <v>5069186</v>
      </c>
      <c r="G7459">
        <v>5069199</v>
      </c>
      <c r="H7459">
        <v>5069174</v>
      </c>
      <c r="I7459">
        <v>5069183</v>
      </c>
    </row>
    <row r="7460" spans="1:9" x14ac:dyDescent="0.2">
      <c r="A7460" t="str">
        <f>"Gm101"</f>
        <v>Gm101</v>
      </c>
      <c r="B7460" t="s">
        <v>14</v>
      </c>
      <c r="C7460" t="s">
        <v>19</v>
      </c>
      <c r="D7460" t="s">
        <v>11</v>
      </c>
      <c r="E7460" t="s">
        <v>12</v>
      </c>
      <c r="F7460">
        <v>119997211</v>
      </c>
      <c r="G7460">
        <v>119997249</v>
      </c>
      <c r="H7460">
        <v>119997184</v>
      </c>
      <c r="I7460">
        <v>119997191</v>
      </c>
    </row>
    <row r="7461" spans="1:9" x14ac:dyDescent="0.2">
      <c r="A7461" t="str">
        <f>"Gm10100"</f>
        <v>Gm10100</v>
      </c>
      <c r="B7461" t="s">
        <v>14</v>
      </c>
      <c r="C7461" t="s">
        <v>15</v>
      </c>
      <c r="D7461" t="s">
        <v>17</v>
      </c>
      <c r="E7461" t="s">
        <v>12</v>
      </c>
      <c r="F7461">
        <v>77726449</v>
      </c>
      <c r="G7461">
        <v>77726452</v>
      </c>
      <c r="H7461">
        <v>77726449</v>
      </c>
      <c r="I7461">
        <v>77726452</v>
      </c>
    </row>
    <row r="7462" spans="1:9" x14ac:dyDescent="0.2">
      <c r="A7462" t="str">
        <f>"Gm10104"</f>
        <v>Gm10104</v>
      </c>
      <c r="B7462" t="s">
        <v>2525</v>
      </c>
      <c r="C7462" t="s">
        <v>30</v>
      </c>
      <c r="D7462" t="s">
        <v>17</v>
      </c>
      <c r="E7462" t="s">
        <v>20</v>
      </c>
      <c r="F7462">
        <v>21065037</v>
      </c>
      <c r="G7462">
        <v>21065037</v>
      </c>
      <c r="H7462">
        <v>21065037</v>
      </c>
      <c r="I7462">
        <v>21065037</v>
      </c>
    </row>
    <row r="7463" spans="1:9" x14ac:dyDescent="0.2">
      <c r="A7463" t="str">
        <f>"Gm10108"</f>
        <v>Gm10108</v>
      </c>
      <c r="B7463" t="s">
        <v>14</v>
      </c>
      <c r="C7463" t="s">
        <v>46</v>
      </c>
      <c r="D7463" t="s">
        <v>11</v>
      </c>
      <c r="E7463" t="s">
        <v>67</v>
      </c>
      <c r="F7463">
        <v>13121831</v>
      </c>
      <c r="G7463">
        <v>13121832</v>
      </c>
      <c r="H7463">
        <v>13121831</v>
      </c>
      <c r="I7463">
        <v>13121832</v>
      </c>
    </row>
    <row r="7464" spans="1:9" x14ac:dyDescent="0.2">
      <c r="A7464" t="str">
        <f>"Gm10109"</f>
        <v>Gm10109</v>
      </c>
      <c r="B7464" t="s">
        <v>2526</v>
      </c>
      <c r="C7464" t="s">
        <v>33</v>
      </c>
      <c r="D7464" t="s">
        <v>11</v>
      </c>
      <c r="E7464" t="s">
        <v>20</v>
      </c>
      <c r="F7464">
        <v>44227420</v>
      </c>
      <c r="G7464">
        <v>44227420</v>
      </c>
      <c r="H7464">
        <v>44227420</v>
      </c>
      <c r="I7464">
        <v>44227420</v>
      </c>
    </row>
    <row r="7465" spans="1:9" x14ac:dyDescent="0.2">
      <c r="A7465" t="str">
        <f>"Gm10110"</f>
        <v>Gm10110</v>
      </c>
      <c r="B7465" t="s">
        <v>2527</v>
      </c>
      <c r="C7465" t="s">
        <v>41</v>
      </c>
      <c r="D7465" t="s">
        <v>11</v>
      </c>
      <c r="E7465" t="s">
        <v>20</v>
      </c>
      <c r="F7465">
        <v>89898465</v>
      </c>
      <c r="G7465">
        <v>89898465</v>
      </c>
      <c r="H7465">
        <v>89898465</v>
      </c>
      <c r="I7465">
        <v>89898465</v>
      </c>
    </row>
    <row r="7466" spans="1:9" x14ac:dyDescent="0.2">
      <c r="A7466" t="str">
        <f>"Gm10112"</f>
        <v>Gm10112</v>
      </c>
      <c r="B7466" t="s">
        <v>2528</v>
      </c>
      <c r="C7466" t="s">
        <v>37</v>
      </c>
      <c r="D7466" t="s">
        <v>17</v>
      </c>
      <c r="E7466" t="s">
        <v>20</v>
      </c>
      <c r="F7466">
        <v>111168339</v>
      </c>
      <c r="G7466">
        <v>111168339</v>
      </c>
      <c r="H7466">
        <v>111168339</v>
      </c>
      <c r="I7466">
        <v>111168339</v>
      </c>
    </row>
    <row r="7467" spans="1:9" x14ac:dyDescent="0.2">
      <c r="A7467" t="str">
        <f>"Gm10113"</f>
        <v>Gm10113</v>
      </c>
      <c r="B7467" t="s">
        <v>2529</v>
      </c>
      <c r="C7467" t="s">
        <v>39</v>
      </c>
      <c r="D7467" t="s">
        <v>11</v>
      </c>
      <c r="E7467" t="s">
        <v>20</v>
      </c>
      <c r="F7467">
        <v>46191047</v>
      </c>
      <c r="G7467">
        <v>46191047</v>
      </c>
      <c r="H7467">
        <v>46191047</v>
      </c>
      <c r="I7467">
        <v>46191047</v>
      </c>
    </row>
    <row r="7468" spans="1:9" x14ac:dyDescent="0.2">
      <c r="A7468" t="str">
        <f>"Gm10115"</f>
        <v>Gm10115</v>
      </c>
      <c r="B7468" t="s">
        <v>14</v>
      </c>
      <c r="C7468" t="s">
        <v>26</v>
      </c>
      <c r="D7468" t="s">
        <v>11</v>
      </c>
      <c r="E7468" t="s">
        <v>12</v>
      </c>
      <c r="F7468">
        <v>6951669</v>
      </c>
      <c r="G7468">
        <v>6951680</v>
      </c>
      <c r="H7468">
        <v>6951669</v>
      </c>
      <c r="I7468">
        <v>6951680</v>
      </c>
    </row>
    <row r="7469" spans="1:9" x14ac:dyDescent="0.2">
      <c r="A7469" t="str">
        <f>"Gm10116"</f>
        <v>Gm10116</v>
      </c>
      <c r="B7469" t="s">
        <v>2530</v>
      </c>
      <c r="C7469" t="s">
        <v>39</v>
      </c>
      <c r="D7469" t="s">
        <v>17</v>
      </c>
      <c r="E7469" t="s">
        <v>20</v>
      </c>
      <c r="F7469">
        <v>74406395</v>
      </c>
      <c r="G7469">
        <v>74406395</v>
      </c>
      <c r="H7469">
        <v>74406395</v>
      </c>
      <c r="I7469">
        <v>74406395</v>
      </c>
    </row>
    <row r="7470" spans="1:9" x14ac:dyDescent="0.2">
      <c r="A7470" t="str">
        <f>"Gm10118"</f>
        <v>Gm10118</v>
      </c>
      <c r="B7470" t="s">
        <v>14</v>
      </c>
      <c r="C7470" t="s">
        <v>15</v>
      </c>
      <c r="D7470" t="s">
        <v>11</v>
      </c>
      <c r="E7470" t="s">
        <v>12</v>
      </c>
      <c r="F7470">
        <v>63927226</v>
      </c>
      <c r="G7470">
        <v>63927228</v>
      </c>
      <c r="H7470">
        <v>63927226</v>
      </c>
      <c r="I7470">
        <v>63927228</v>
      </c>
    </row>
    <row r="7471" spans="1:9" x14ac:dyDescent="0.2">
      <c r="A7471" t="str">
        <f>"Gm10123"</f>
        <v>Gm10123</v>
      </c>
      <c r="B7471" t="s">
        <v>2531</v>
      </c>
      <c r="C7471" t="s">
        <v>24</v>
      </c>
      <c r="D7471" t="s">
        <v>17</v>
      </c>
      <c r="E7471" t="s">
        <v>20</v>
      </c>
      <c r="F7471">
        <v>96895616</v>
      </c>
      <c r="G7471">
        <v>96895616</v>
      </c>
      <c r="H7471">
        <v>96895616</v>
      </c>
      <c r="I7471">
        <v>96895616</v>
      </c>
    </row>
    <row r="7472" spans="1:9" x14ac:dyDescent="0.2">
      <c r="A7472" t="str">
        <f>"Gm10126"</f>
        <v>Gm10126</v>
      </c>
      <c r="B7472" t="s">
        <v>14</v>
      </c>
      <c r="C7472" t="s">
        <v>39</v>
      </c>
      <c r="D7472" t="s">
        <v>11</v>
      </c>
      <c r="E7472" t="s">
        <v>12</v>
      </c>
      <c r="F7472">
        <v>73989162</v>
      </c>
      <c r="G7472">
        <v>73989164</v>
      </c>
      <c r="H7472">
        <v>73989162</v>
      </c>
      <c r="I7472">
        <v>73989164</v>
      </c>
    </row>
    <row r="7473" spans="1:9" x14ac:dyDescent="0.2">
      <c r="A7473" t="str">
        <f>"Gm10128"</f>
        <v>Gm10128</v>
      </c>
      <c r="B7473" t="s">
        <v>2532</v>
      </c>
      <c r="C7473" t="s">
        <v>41</v>
      </c>
      <c r="D7473" t="s">
        <v>11</v>
      </c>
      <c r="E7473" t="s">
        <v>20</v>
      </c>
      <c r="F7473">
        <v>7643971</v>
      </c>
      <c r="G7473">
        <v>7643971</v>
      </c>
      <c r="H7473">
        <v>7643971</v>
      </c>
      <c r="I7473">
        <v>7643971</v>
      </c>
    </row>
    <row r="7474" spans="1:9" x14ac:dyDescent="0.2">
      <c r="A7474" t="str">
        <f>"Gm10129"</f>
        <v>Gm10129</v>
      </c>
      <c r="B7474" t="s">
        <v>14</v>
      </c>
      <c r="C7474" t="s">
        <v>39</v>
      </c>
      <c r="D7474" t="s">
        <v>11</v>
      </c>
      <c r="E7474" t="s">
        <v>67</v>
      </c>
      <c r="F7474">
        <v>38152099</v>
      </c>
      <c r="G7474">
        <v>38152100</v>
      </c>
      <c r="H7474">
        <v>38152099</v>
      </c>
      <c r="I7474">
        <v>38152100</v>
      </c>
    </row>
    <row r="7475" spans="1:9" x14ac:dyDescent="0.2">
      <c r="A7475" t="str">
        <f>"Gm10130"</f>
        <v>Gm10130</v>
      </c>
      <c r="B7475" t="s">
        <v>2533</v>
      </c>
      <c r="C7475" t="s">
        <v>26</v>
      </c>
      <c r="D7475" t="s">
        <v>17</v>
      </c>
      <c r="E7475" t="s">
        <v>20</v>
      </c>
      <c r="F7475">
        <v>150323701</v>
      </c>
      <c r="G7475">
        <v>150323701</v>
      </c>
      <c r="H7475">
        <v>150323701</v>
      </c>
      <c r="I7475">
        <v>150323701</v>
      </c>
    </row>
    <row r="7476" spans="1:9" x14ac:dyDescent="0.2">
      <c r="A7476" t="str">
        <f>"Gm10132"</f>
        <v>Gm10132</v>
      </c>
      <c r="B7476" t="s">
        <v>2534</v>
      </c>
      <c r="C7476" t="s">
        <v>41</v>
      </c>
      <c r="D7476" t="s">
        <v>11</v>
      </c>
      <c r="E7476" t="s">
        <v>20</v>
      </c>
      <c r="F7476">
        <v>77252326</v>
      </c>
      <c r="G7476">
        <v>77252326</v>
      </c>
      <c r="H7476">
        <v>77252326</v>
      </c>
      <c r="I7476">
        <v>77252326</v>
      </c>
    </row>
    <row r="7477" spans="1:9" x14ac:dyDescent="0.2">
      <c r="A7477" t="str">
        <f>"Gm10134"</f>
        <v>Gm10134</v>
      </c>
      <c r="B7477" t="s">
        <v>2535</v>
      </c>
      <c r="C7477" t="s">
        <v>26</v>
      </c>
      <c r="D7477" t="s">
        <v>17</v>
      </c>
      <c r="E7477" t="s">
        <v>20</v>
      </c>
      <c r="F7477">
        <v>28506094</v>
      </c>
      <c r="G7477">
        <v>28506094</v>
      </c>
      <c r="H7477">
        <v>28506094</v>
      </c>
      <c r="I7477">
        <v>28506094</v>
      </c>
    </row>
    <row r="7478" spans="1:9" x14ac:dyDescent="0.2">
      <c r="A7478" t="str">
        <f>"Gm10135"</f>
        <v>Gm10135</v>
      </c>
      <c r="B7478" t="s">
        <v>2536</v>
      </c>
      <c r="C7478" t="s">
        <v>46</v>
      </c>
      <c r="D7478" t="s">
        <v>11</v>
      </c>
      <c r="E7478" t="s">
        <v>20</v>
      </c>
      <c r="F7478">
        <v>72974701</v>
      </c>
      <c r="G7478">
        <v>72974701</v>
      </c>
      <c r="H7478">
        <v>72974701</v>
      </c>
      <c r="I7478">
        <v>72974701</v>
      </c>
    </row>
    <row r="7479" spans="1:9" x14ac:dyDescent="0.2">
      <c r="A7479" t="str">
        <f>"Gm10139"</f>
        <v>Gm10139</v>
      </c>
      <c r="B7479" t="s">
        <v>2537</v>
      </c>
      <c r="C7479" t="s">
        <v>39</v>
      </c>
      <c r="D7479" t="s">
        <v>17</v>
      </c>
      <c r="E7479" t="s">
        <v>20</v>
      </c>
      <c r="F7479">
        <v>65512677</v>
      </c>
      <c r="G7479">
        <v>65512677</v>
      </c>
      <c r="H7479">
        <v>65512677</v>
      </c>
      <c r="I7479">
        <v>65512677</v>
      </c>
    </row>
    <row r="7480" spans="1:9" x14ac:dyDescent="0.2">
      <c r="A7480" t="str">
        <f>"Gm10142"</f>
        <v>Gm10142</v>
      </c>
      <c r="B7480" t="s">
        <v>14</v>
      </c>
      <c r="C7480" t="s">
        <v>15</v>
      </c>
      <c r="D7480" t="s">
        <v>17</v>
      </c>
      <c r="E7480" t="s">
        <v>12</v>
      </c>
      <c r="F7480">
        <v>77715768</v>
      </c>
      <c r="G7480">
        <v>77715773</v>
      </c>
      <c r="H7480">
        <v>77715768</v>
      </c>
      <c r="I7480">
        <v>77715773</v>
      </c>
    </row>
    <row r="7481" spans="1:9" x14ac:dyDescent="0.2">
      <c r="A7481" t="str">
        <f>"Gm10146"</f>
        <v>Gm10146</v>
      </c>
      <c r="B7481" t="s">
        <v>2538</v>
      </c>
      <c r="C7481" t="s">
        <v>15</v>
      </c>
      <c r="D7481" t="s">
        <v>17</v>
      </c>
      <c r="E7481" t="s">
        <v>20</v>
      </c>
      <c r="F7481">
        <v>78393308</v>
      </c>
      <c r="G7481">
        <v>78393308</v>
      </c>
      <c r="H7481">
        <v>78393308</v>
      </c>
      <c r="I7481">
        <v>78393308</v>
      </c>
    </row>
    <row r="7482" spans="1:9" x14ac:dyDescent="0.2">
      <c r="A7482" t="str">
        <f>"Gm10147"</f>
        <v>Gm10147</v>
      </c>
      <c r="B7482" t="s">
        <v>2539</v>
      </c>
      <c r="C7482" t="s">
        <v>37</v>
      </c>
      <c r="D7482" t="s">
        <v>11</v>
      </c>
      <c r="E7482" t="s">
        <v>20</v>
      </c>
      <c r="F7482">
        <v>28607841</v>
      </c>
      <c r="G7482">
        <v>28607841</v>
      </c>
      <c r="H7482">
        <v>28607841</v>
      </c>
      <c r="I7482">
        <v>28607841</v>
      </c>
    </row>
    <row r="7483" spans="1:9" x14ac:dyDescent="0.2">
      <c r="A7483" t="str">
        <f>"Gm10147"</f>
        <v>Gm10147</v>
      </c>
      <c r="B7483" t="s">
        <v>2540</v>
      </c>
      <c r="C7483" t="s">
        <v>37</v>
      </c>
      <c r="D7483" t="s">
        <v>11</v>
      </c>
      <c r="E7483" t="s">
        <v>20</v>
      </c>
      <c r="F7483">
        <v>28606270</v>
      </c>
      <c r="G7483">
        <v>28606270</v>
      </c>
      <c r="H7483">
        <v>28606270</v>
      </c>
      <c r="I7483">
        <v>28606270</v>
      </c>
    </row>
    <row r="7484" spans="1:9" x14ac:dyDescent="0.2">
      <c r="A7484" t="str">
        <f>"Gm10152"</f>
        <v>Gm10152</v>
      </c>
      <c r="B7484" t="s">
        <v>2541</v>
      </c>
      <c r="C7484" t="s">
        <v>33</v>
      </c>
      <c r="D7484" t="s">
        <v>17</v>
      </c>
      <c r="E7484" t="s">
        <v>20</v>
      </c>
      <c r="F7484">
        <v>144763138</v>
      </c>
      <c r="G7484">
        <v>144763138</v>
      </c>
      <c r="H7484">
        <v>144763138</v>
      </c>
      <c r="I7484">
        <v>144763138</v>
      </c>
    </row>
    <row r="7485" spans="1:9" x14ac:dyDescent="0.2">
      <c r="A7485" t="str">
        <f>"Gm10153"</f>
        <v>Gm10153</v>
      </c>
      <c r="B7485" t="s">
        <v>14</v>
      </c>
      <c r="C7485" t="s">
        <v>33</v>
      </c>
      <c r="D7485" t="s">
        <v>11</v>
      </c>
      <c r="E7485" t="s">
        <v>12</v>
      </c>
      <c r="F7485">
        <v>142176001</v>
      </c>
      <c r="G7485">
        <v>142176007</v>
      </c>
      <c r="H7485">
        <v>142176001</v>
      </c>
      <c r="I7485">
        <v>142176007</v>
      </c>
    </row>
    <row r="7486" spans="1:9" x14ac:dyDescent="0.2">
      <c r="A7486" t="str">
        <f>"Gm10160"</f>
        <v>Gm10160</v>
      </c>
      <c r="B7486" t="s">
        <v>2542</v>
      </c>
      <c r="C7486" t="s">
        <v>33</v>
      </c>
      <c r="D7486" t="s">
        <v>11</v>
      </c>
      <c r="E7486" t="s">
        <v>20</v>
      </c>
      <c r="F7486">
        <v>81855793</v>
      </c>
      <c r="G7486">
        <v>81855793</v>
      </c>
      <c r="H7486">
        <v>81855793</v>
      </c>
      <c r="I7486">
        <v>81855793</v>
      </c>
    </row>
    <row r="7487" spans="1:9" x14ac:dyDescent="0.2">
      <c r="A7487" t="str">
        <f>"Gm10175"</f>
        <v>Gm10175</v>
      </c>
      <c r="B7487" t="s">
        <v>14</v>
      </c>
      <c r="C7487" t="s">
        <v>33</v>
      </c>
      <c r="D7487" t="s">
        <v>11</v>
      </c>
      <c r="E7487" t="s">
        <v>67</v>
      </c>
      <c r="F7487">
        <v>23947290</v>
      </c>
      <c r="G7487">
        <v>23947293</v>
      </c>
      <c r="H7487">
        <v>23947290</v>
      </c>
      <c r="I7487">
        <v>23947293</v>
      </c>
    </row>
    <row r="7488" spans="1:9" x14ac:dyDescent="0.2">
      <c r="A7488" t="str">
        <f>"Gm10176"</f>
        <v>Gm10176</v>
      </c>
      <c r="B7488" t="s">
        <v>14</v>
      </c>
      <c r="C7488" t="s">
        <v>19</v>
      </c>
      <c r="D7488" t="s">
        <v>17</v>
      </c>
      <c r="E7488" t="s">
        <v>67</v>
      </c>
      <c r="F7488">
        <v>162477654</v>
      </c>
      <c r="G7488">
        <v>162477685</v>
      </c>
      <c r="H7488">
        <v>162477601</v>
      </c>
      <c r="I7488">
        <v>162477610</v>
      </c>
    </row>
    <row r="7489" spans="1:9" x14ac:dyDescent="0.2">
      <c r="A7489" t="str">
        <f>"Gm10181"</f>
        <v>Gm10181</v>
      </c>
      <c r="B7489" t="s">
        <v>2543</v>
      </c>
      <c r="C7489" t="s">
        <v>24</v>
      </c>
      <c r="D7489" t="s">
        <v>17</v>
      </c>
      <c r="E7489" t="s">
        <v>20</v>
      </c>
      <c r="F7489">
        <v>25089421</v>
      </c>
      <c r="G7489">
        <v>25089421</v>
      </c>
      <c r="H7489">
        <v>25089421</v>
      </c>
      <c r="I7489">
        <v>25089421</v>
      </c>
    </row>
    <row r="7490" spans="1:9" x14ac:dyDescent="0.2">
      <c r="A7490" t="str">
        <f>"Gm10184"</f>
        <v>Gm10184</v>
      </c>
      <c r="B7490" t="s">
        <v>14</v>
      </c>
      <c r="C7490" t="s">
        <v>28</v>
      </c>
      <c r="D7490" t="s">
        <v>11</v>
      </c>
      <c r="E7490" t="s">
        <v>67</v>
      </c>
      <c r="F7490">
        <v>89910440</v>
      </c>
      <c r="G7490">
        <v>89910446</v>
      </c>
      <c r="H7490">
        <v>89910440</v>
      </c>
      <c r="I7490">
        <v>89910446</v>
      </c>
    </row>
    <row r="7491" spans="1:9" x14ac:dyDescent="0.2">
      <c r="A7491" t="str">
        <f>"Gm10188"</f>
        <v>Gm10188</v>
      </c>
      <c r="B7491" t="s">
        <v>2544</v>
      </c>
      <c r="C7491" t="s">
        <v>19</v>
      </c>
      <c r="D7491" t="s">
        <v>11</v>
      </c>
      <c r="E7491" t="s">
        <v>20</v>
      </c>
      <c r="F7491">
        <v>132229766</v>
      </c>
      <c r="G7491">
        <v>132229766</v>
      </c>
      <c r="H7491">
        <v>132229766</v>
      </c>
      <c r="I7491">
        <v>132229766</v>
      </c>
    </row>
    <row r="7492" spans="1:9" x14ac:dyDescent="0.2">
      <c r="A7492" t="str">
        <f>"Gm10190"</f>
        <v>Gm10190</v>
      </c>
      <c r="B7492" t="s">
        <v>14</v>
      </c>
      <c r="C7492" t="s">
        <v>28</v>
      </c>
      <c r="D7492" t="s">
        <v>11</v>
      </c>
      <c r="E7492" t="s">
        <v>12</v>
      </c>
      <c r="F7492">
        <v>80373518</v>
      </c>
      <c r="G7492">
        <v>80373562</v>
      </c>
      <c r="H7492">
        <v>80373495</v>
      </c>
      <c r="I7492">
        <v>80373515</v>
      </c>
    </row>
    <row r="7493" spans="1:9" x14ac:dyDescent="0.2">
      <c r="A7493" t="str">
        <f>"Gm10192"</f>
        <v>Gm10192</v>
      </c>
      <c r="B7493" t="s">
        <v>2545</v>
      </c>
      <c r="C7493" t="s">
        <v>23</v>
      </c>
      <c r="D7493" t="s">
        <v>11</v>
      </c>
      <c r="E7493" t="s">
        <v>20</v>
      </c>
      <c r="F7493">
        <v>97183165</v>
      </c>
      <c r="G7493">
        <v>97183165</v>
      </c>
      <c r="H7493">
        <v>97183165</v>
      </c>
      <c r="I7493">
        <v>97183165</v>
      </c>
    </row>
    <row r="7494" spans="1:9" x14ac:dyDescent="0.2">
      <c r="A7494" t="str">
        <f>"Gm10197"</f>
        <v>Gm10197</v>
      </c>
      <c r="B7494" t="s">
        <v>2546</v>
      </c>
      <c r="C7494" t="s">
        <v>10</v>
      </c>
      <c r="D7494" t="s">
        <v>11</v>
      </c>
      <c r="E7494" t="s">
        <v>20</v>
      </c>
      <c r="F7494">
        <v>53371765</v>
      </c>
      <c r="G7494">
        <v>53371765</v>
      </c>
      <c r="H7494">
        <v>53371765</v>
      </c>
      <c r="I7494">
        <v>53371765</v>
      </c>
    </row>
    <row r="7495" spans="1:9" x14ac:dyDescent="0.2">
      <c r="A7495" t="str">
        <f>"Gm10198"</f>
        <v>Gm10198</v>
      </c>
      <c r="B7495" t="s">
        <v>2547</v>
      </c>
      <c r="C7495" t="s">
        <v>39</v>
      </c>
      <c r="D7495" t="s">
        <v>17</v>
      </c>
      <c r="E7495" t="s">
        <v>20</v>
      </c>
      <c r="F7495">
        <v>111592784</v>
      </c>
      <c r="G7495">
        <v>111592784</v>
      </c>
      <c r="H7495">
        <v>111592784</v>
      </c>
      <c r="I7495">
        <v>111592784</v>
      </c>
    </row>
    <row r="7496" spans="1:9" x14ac:dyDescent="0.2">
      <c r="A7496" t="str">
        <f>"Gm10203"</f>
        <v>Gm10203</v>
      </c>
      <c r="B7496" t="s">
        <v>2548</v>
      </c>
      <c r="C7496" t="s">
        <v>32</v>
      </c>
      <c r="D7496" t="s">
        <v>17</v>
      </c>
      <c r="E7496" t="s">
        <v>20</v>
      </c>
      <c r="F7496">
        <v>149130169</v>
      </c>
      <c r="G7496">
        <v>149130169</v>
      </c>
      <c r="H7496">
        <v>149130169</v>
      </c>
      <c r="I7496">
        <v>149130169</v>
      </c>
    </row>
    <row r="7497" spans="1:9" x14ac:dyDescent="0.2">
      <c r="A7497" t="str">
        <f>"Gm10212"</f>
        <v>Gm10212</v>
      </c>
      <c r="B7497" t="s">
        <v>2549</v>
      </c>
      <c r="C7497" t="s">
        <v>10</v>
      </c>
      <c r="D7497" t="s">
        <v>17</v>
      </c>
      <c r="E7497" t="s">
        <v>20</v>
      </c>
      <c r="F7497">
        <v>11569446</v>
      </c>
      <c r="G7497">
        <v>11569446</v>
      </c>
      <c r="H7497">
        <v>11569446</v>
      </c>
      <c r="I7497">
        <v>11569446</v>
      </c>
    </row>
    <row r="7498" spans="1:9" x14ac:dyDescent="0.2">
      <c r="A7498" t="str">
        <f>"Gm10217"</f>
        <v>Gm10217</v>
      </c>
      <c r="B7498" t="s">
        <v>2550</v>
      </c>
      <c r="C7498" t="s">
        <v>30</v>
      </c>
      <c r="D7498" t="s">
        <v>17</v>
      </c>
      <c r="E7498" t="s">
        <v>20</v>
      </c>
      <c r="F7498">
        <v>9864250</v>
      </c>
      <c r="G7498">
        <v>9864250</v>
      </c>
      <c r="H7498">
        <v>9864250</v>
      </c>
      <c r="I7498">
        <v>9864250</v>
      </c>
    </row>
    <row r="7499" spans="1:9" x14ac:dyDescent="0.2">
      <c r="A7499" t="str">
        <f>"Gm10220"</f>
        <v>Gm10220</v>
      </c>
      <c r="B7499" t="s">
        <v>2551</v>
      </c>
      <c r="C7499" t="s">
        <v>46</v>
      </c>
      <c r="D7499" t="s">
        <v>11</v>
      </c>
      <c r="E7499" t="s">
        <v>20</v>
      </c>
      <c r="F7499">
        <v>26121420</v>
      </c>
      <c r="G7499">
        <v>26121420</v>
      </c>
      <c r="H7499">
        <v>26121420</v>
      </c>
      <c r="I7499">
        <v>26121420</v>
      </c>
    </row>
    <row r="7500" spans="1:9" x14ac:dyDescent="0.2">
      <c r="A7500" t="str">
        <f>"Gm10221"</f>
        <v>Gm10221</v>
      </c>
      <c r="B7500" t="s">
        <v>2552</v>
      </c>
      <c r="C7500" t="s">
        <v>46</v>
      </c>
      <c r="D7500" t="s">
        <v>11</v>
      </c>
      <c r="E7500" t="s">
        <v>20</v>
      </c>
      <c r="F7500">
        <v>24581878</v>
      </c>
      <c r="G7500">
        <v>24581878</v>
      </c>
      <c r="H7500">
        <v>24581878</v>
      </c>
      <c r="I7500">
        <v>24581878</v>
      </c>
    </row>
    <row r="7501" spans="1:9" x14ac:dyDescent="0.2">
      <c r="A7501" t="str">
        <f>"Gm10222"</f>
        <v>Gm10222</v>
      </c>
      <c r="B7501" t="s">
        <v>14</v>
      </c>
      <c r="C7501" t="s">
        <v>19</v>
      </c>
      <c r="D7501" t="s">
        <v>11</v>
      </c>
      <c r="E7501" t="s">
        <v>67</v>
      </c>
      <c r="F7501">
        <v>24613116</v>
      </c>
      <c r="G7501">
        <v>24613119</v>
      </c>
      <c r="H7501">
        <v>24613116</v>
      </c>
      <c r="I7501">
        <v>24613119</v>
      </c>
    </row>
    <row r="7502" spans="1:9" x14ac:dyDescent="0.2">
      <c r="A7502" t="str">
        <f>"Gm10226"</f>
        <v>Gm10226</v>
      </c>
      <c r="B7502" t="s">
        <v>2553</v>
      </c>
      <c r="C7502" t="s">
        <v>28</v>
      </c>
      <c r="D7502" t="s">
        <v>17</v>
      </c>
      <c r="E7502" t="s">
        <v>20</v>
      </c>
      <c r="F7502">
        <v>21691859</v>
      </c>
      <c r="G7502">
        <v>21691859</v>
      </c>
      <c r="H7502">
        <v>21691859</v>
      </c>
      <c r="I7502">
        <v>21691859</v>
      </c>
    </row>
    <row r="7503" spans="1:9" x14ac:dyDescent="0.2">
      <c r="A7503" t="str">
        <f>"Gm10228"</f>
        <v>Gm10228</v>
      </c>
      <c r="B7503" t="s">
        <v>2554</v>
      </c>
      <c r="C7503" t="s">
        <v>31</v>
      </c>
      <c r="D7503" t="s">
        <v>11</v>
      </c>
      <c r="E7503" t="s">
        <v>20</v>
      </c>
      <c r="F7503">
        <v>89041451</v>
      </c>
      <c r="G7503">
        <v>89041451</v>
      </c>
      <c r="H7503">
        <v>89041451</v>
      </c>
      <c r="I7503">
        <v>89041451</v>
      </c>
    </row>
    <row r="7504" spans="1:9" x14ac:dyDescent="0.2">
      <c r="A7504" t="str">
        <f>"Gm10229"</f>
        <v>Gm10229</v>
      </c>
      <c r="B7504" t="s">
        <v>14</v>
      </c>
      <c r="C7504" t="s">
        <v>31</v>
      </c>
      <c r="D7504" t="s">
        <v>17</v>
      </c>
      <c r="E7504" t="s">
        <v>12</v>
      </c>
      <c r="F7504">
        <v>89015015</v>
      </c>
      <c r="G7504">
        <v>89015016</v>
      </c>
      <c r="H7504">
        <v>89015015</v>
      </c>
      <c r="I7504">
        <v>89015016</v>
      </c>
    </row>
    <row r="7505" spans="1:9" x14ac:dyDescent="0.2">
      <c r="A7505" t="str">
        <f>"Gm10230"</f>
        <v>Gm10230</v>
      </c>
      <c r="B7505" t="s">
        <v>2555</v>
      </c>
      <c r="C7505" t="s">
        <v>37</v>
      </c>
      <c r="D7505" t="s">
        <v>11</v>
      </c>
      <c r="E7505" t="s">
        <v>20</v>
      </c>
      <c r="F7505">
        <v>27494881</v>
      </c>
      <c r="G7505">
        <v>27494881</v>
      </c>
      <c r="H7505">
        <v>27494881</v>
      </c>
      <c r="I7505">
        <v>27494881</v>
      </c>
    </row>
    <row r="7506" spans="1:9" x14ac:dyDescent="0.2">
      <c r="A7506" t="str">
        <f>"Gm10230"</f>
        <v>Gm10230</v>
      </c>
      <c r="B7506" t="s">
        <v>2556</v>
      </c>
      <c r="C7506" t="s">
        <v>37</v>
      </c>
      <c r="D7506" t="s">
        <v>11</v>
      </c>
      <c r="E7506" t="s">
        <v>20</v>
      </c>
      <c r="F7506">
        <v>27493312</v>
      </c>
      <c r="G7506">
        <v>27493312</v>
      </c>
      <c r="H7506">
        <v>27493312</v>
      </c>
      <c r="I7506">
        <v>27493312</v>
      </c>
    </row>
    <row r="7507" spans="1:9" x14ac:dyDescent="0.2">
      <c r="A7507" t="str">
        <f>"Gm10234"</f>
        <v>Gm10234</v>
      </c>
      <c r="B7507" t="s">
        <v>2557</v>
      </c>
      <c r="C7507" t="s">
        <v>32</v>
      </c>
      <c r="D7507" t="s">
        <v>17</v>
      </c>
      <c r="E7507" t="s">
        <v>20</v>
      </c>
      <c r="F7507">
        <v>95322111</v>
      </c>
      <c r="G7507">
        <v>95322111</v>
      </c>
      <c r="H7507">
        <v>95322111</v>
      </c>
      <c r="I7507">
        <v>95322111</v>
      </c>
    </row>
    <row r="7508" spans="1:9" x14ac:dyDescent="0.2">
      <c r="A7508" t="str">
        <f>"Gm10238"</f>
        <v>Gm10238</v>
      </c>
      <c r="B7508" t="s">
        <v>14</v>
      </c>
      <c r="C7508" t="s">
        <v>25</v>
      </c>
      <c r="D7508" t="s">
        <v>11</v>
      </c>
      <c r="E7508" t="s">
        <v>67</v>
      </c>
      <c r="F7508">
        <v>75239072</v>
      </c>
      <c r="G7508">
        <v>75239089</v>
      </c>
      <c r="H7508">
        <v>75239072</v>
      </c>
      <c r="I7508">
        <v>75239089</v>
      </c>
    </row>
    <row r="7509" spans="1:9" x14ac:dyDescent="0.2">
      <c r="A7509" t="str">
        <f>"Gm10242"</f>
        <v>Gm10242</v>
      </c>
      <c r="B7509" t="s">
        <v>14</v>
      </c>
      <c r="C7509" t="s">
        <v>32</v>
      </c>
      <c r="D7509" t="s">
        <v>11</v>
      </c>
      <c r="E7509" t="s">
        <v>67</v>
      </c>
      <c r="F7509">
        <v>48940180</v>
      </c>
      <c r="G7509">
        <v>48940183</v>
      </c>
      <c r="H7509">
        <v>48940180</v>
      </c>
      <c r="I7509">
        <v>48940183</v>
      </c>
    </row>
    <row r="7510" spans="1:9" x14ac:dyDescent="0.2">
      <c r="A7510" t="str">
        <f>"Gm10244"</f>
        <v>Gm10244</v>
      </c>
      <c r="B7510" t="s">
        <v>14</v>
      </c>
      <c r="C7510" t="s">
        <v>32</v>
      </c>
      <c r="D7510" t="s">
        <v>17</v>
      </c>
      <c r="E7510" t="s">
        <v>12</v>
      </c>
      <c r="F7510">
        <v>39420056</v>
      </c>
      <c r="G7510">
        <v>39420095</v>
      </c>
      <c r="H7510">
        <v>39420379</v>
      </c>
      <c r="I7510">
        <v>39420420</v>
      </c>
    </row>
    <row r="7511" spans="1:9" x14ac:dyDescent="0.2">
      <c r="A7511" t="str">
        <f>"Gm10250"</f>
        <v>Gm10250</v>
      </c>
      <c r="B7511" t="s">
        <v>14</v>
      </c>
      <c r="C7511" t="s">
        <v>25</v>
      </c>
      <c r="D7511" t="s">
        <v>11</v>
      </c>
      <c r="E7511" t="s">
        <v>67</v>
      </c>
      <c r="F7511">
        <v>5121174</v>
      </c>
      <c r="G7511">
        <v>5121194</v>
      </c>
      <c r="H7511">
        <v>5121174</v>
      </c>
      <c r="I7511">
        <v>5121194</v>
      </c>
    </row>
    <row r="7512" spans="1:9" x14ac:dyDescent="0.2">
      <c r="A7512" t="str">
        <f>"Gm10251"</f>
        <v>Gm10251</v>
      </c>
      <c r="B7512" t="s">
        <v>2558</v>
      </c>
      <c r="C7512" t="s">
        <v>41</v>
      </c>
      <c r="D7512" t="s">
        <v>11</v>
      </c>
      <c r="E7512" t="s">
        <v>20</v>
      </c>
      <c r="F7512">
        <v>6675883</v>
      </c>
      <c r="G7512">
        <v>6675883</v>
      </c>
      <c r="H7512">
        <v>6675883</v>
      </c>
      <c r="I7512">
        <v>6675883</v>
      </c>
    </row>
    <row r="7513" spans="1:9" x14ac:dyDescent="0.2">
      <c r="A7513" t="str">
        <f>"Gm10251"</f>
        <v>Gm10251</v>
      </c>
      <c r="B7513" t="s">
        <v>2559</v>
      </c>
      <c r="C7513" t="s">
        <v>41</v>
      </c>
      <c r="D7513" t="s">
        <v>11</v>
      </c>
      <c r="E7513" t="s">
        <v>20</v>
      </c>
      <c r="F7513">
        <v>6684169</v>
      </c>
      <c r="G7513">
        <v>6684169</v>
      </c>
      <c r="H7513">
        <v>6684169</v>
      </c>
      <c r="I7513">
        <v>6684169</v>
      </c>
    </row>
    <row r="7514" spans="1:9" x14ac:dyDescent="0.2">
      <c r="A7514" t="str">
        <f>"Gm10253"</f>
        <v>Gm10253</v>
      </c>
      <c r="B7514" t="s">
        <v>2560</v>
      </c>
      <c r="C7514" t="s">
        <v>22</v>
      </c>
      <c r="D7514" t="s">
        <v>11</v>
      </c>
      <c r="E7514" t="s">
        <v>20</v>
      </c>
      <c r="F7514">
        <v>88739691</v>
      </c>
      <c r="G7514">
        <v>88739691</v>
      </c>
      <c r="H7514">
        <v>88739691</v>
      </c>
      <c r="I7514">
        <v>88739691</v>
      </c>
    </row>
    <row r="7515" spans="1:9" x14ac:dyDescent="0.2">
      <c r="A7515" t="str">
        <f>"Gm10256"</f>
        <v>Gm10256</v>
      </c>
      <c r="B7515" t="s">
        <v>2561</v>
      </c>
      <c r="C7515" t="s">
        <v>63</v>
      </c>
      <c r="D7515" t="s">
        <v>17</v>
      </c>
      <c r="E7515" t="s">
        <v>20</v>
      </c>
      <c r="F7515">
        <v>2830698</v>
      </c>
      <c r="G7515">
        <v>2830698</v>
      </c>
      <c r="H7515">
        <v>2830698</v>
      </c>
      <c r="I7515">
        <v>2830698</v>
      </c>
    </row>
    <row r="7516" spans="1:9" x14ac:dyDescent="0.2">
      <c r="A7516" t="str">
        <f>"Gm10258"</f>
        <v>Gm10258</v>
      </c>
      <c r="B7516" t="s">
        <v>2562</v>
      </c>
      <c r="C7516" t="s">
        <v>22</v>
      </c>
      <c r="D7516" t="s">
        <v>11</v>
      </c>
      <c r="E7516" t="s">
        <v>20</v>
      </c>
      <c r="F7516">
        <v>30269946</v>
      </c>
      <c r="G7516">
        <v>30269946</v>
      </c>
      <c r="H7516">
        <v>30269946</v>
      </c>
      <c r="I7516">
        <v>30269946</v>
      </c>
    </row>
    <row r="7517" spans="1:9" x14ac:dyDescent="0.2">
      <c r="A7517" t="str">
        <f>"Gm10259"</f>
        <v>Gm10259</v>
      </c>
      <c r="B7517" t="s">
        <v>2563</v>
      </c>
      <c r="C7517" t="s">
        <v>22</v>
      </c>
      <c r="D7517" t="s">
        <v>11</v>
      </c>
      <c r="E7517" t="s">
        <v>20</v>
      </c>
      <c r="F7517">
        <v>25212719</v>
      </c>
      <c r="G7517">
        <v>25212719</v>
      </c>
      <c r="H7517">
        <v>25212719</v>
      </c>
      <c r="I7517">
        <v>25212719</v>
      </c>
    </row>
    <row r="7518" spans="1:9" x14ac:dyDescent="0.2">
      <c r="A7518" t="str">
        <f>"Gm10260"</f>
        <v>Gm10260</v>
      </c>
      <c r="B7518" t="s">
        <v>2564</v>
      </c>
      <c r="C7518" t="s">
        <v>39</v>
      </c>
      <c r="D7518" t="s">
        <v>11</v>
      </c>
      <c r="E7518" t="s">
        <v>20</v>
      </c>
      <c r="F7518">
        <v>97760587</v>
      </c>
      <c r="G7518">
        <v>97760587</v>
      </c>
      <c r="H7518">
        <v>97760587</v>
      </c>
      <c r="I7518">
        <v>97760587</v>
      </c>
    </row>
    <row r="7519" spans="1:9" x14ac:dyDescent="0.2">
      <c r="A7519" t="str">
        <f>"Gm10263"</f>
        <v>Gm10263</v>
      </c>
      <c r="B7519" t="s">
        <v>14</v>
      </c>
      <c r="C7519" t="s">
        <v>39</v>
      </c>
      <c r="D7519" t="s">
        <v>17</v>
      </c>
      <c r="E7519" t="s">
        <v>67</v>
      </c>
      <c r="F7519">
        <v>73317815</v>
      </c>
      <c r="G7519">
        <v>73317830</v>
      </c>
      <c r="H7519">
        <v>73317815</v>
      </c>
      <c r="I7519">
        <v>73317830</v>
      </c>
    </row>
    <row r="7520" spans="1:9" x14ac:dyDescent="0.2">
      <c r="A7520" t="str">
        <f>"Gm10264"</f>
        <v>Gm10264</v>
      </c>
      <c r="B7520" t="s">
        <v>2565</v>
      </c>
      <c r="C7520" t="s">
        <v>16</v>
      </c>
      <c r="D7520" t="s">
        <v>17</v>
      </c>
      <c r="E7520" t="s">
        <v>20</v>
      </c>
      <c r="F7520">
        <v>88329253</v>
      </c>
      <c r="G7520">
        <v>88329253</v>
      </c>
      <c r="H7520">
        <v>88329253</v>
      </c>
      <c r="I7520">
        <v>88329253</v>
      </c>
    </row>
    <row r="7521" spans="1:9" x14ac:dyDescent="0.2">
      <c r="A7521" t="str">
        <f>"Gm10267"</f>
        <v>Gm10267</v>
      </c>
      <c r="B7521" t="s">
        <v>2566</v>
      </c>
      <c r="C7521" t="s">
        <v>43</v>
      </c>
      <c r="D7521" t="s">
        <v>11</v>
      </c>
      <c r="E7521" t="s">
        <v>20</v>
      </c>
      <c r="F7521">
        <v>44159302</v>
      </c>
      <c r="G7521">
        <v>44159302</v>
      </c>
      <c r="H7521">
        <v>44159302</v>
      </c>
      <c r="I7521">
        <v>44159302</v>
      </c>
    </row>
    <row r="7522" spans="1:9" x14ac:dyDescent="0.2">
      <c r="A7522" t="str">
        <f>"Gm10267"</f>
        <v>Gm10267</v>
      </c>
      <c r="B7522" t="s">
        <v>2567</v>
      </c>
      <c r="C7522" t="s">
        <v>43</v>
      </c>
      <c r="D7522" t="s">
        <v>11</v>
      </c>
      <c r="E7522" t="s">
        <v>20</v>
      </c>
      <c r="F7522">
        <v>44159872</v>
      </c>
      <c r="G7522">
        <v>44159872</v>
      </c>
      <c r="H7522">
        <v>44159872</v>
      </c>
      <c r="I7522">
        <v>44159872</v>
      </c>
    </row>
    <row r="7523" spans="1:9" x14ac:dyDescent="0.2">
      <c r="A7523" t="str">
        <f>"Gm10269"</f>
        <v>Gm10269</v>
      </c>
      <c r="B7523" t="s">
        <v>14</v>
      </c>
      <c r="C7523" t="s">
        <v>43</v>
      </c>
      <c r="D7523" t="s">
        <v>11</v>
      </c>
      <c r="E7523" t="s">
        <v>12</v>
      </c>
      <c r="F7523">
        <v>20683001</v>
      </c>
      <c r="G7523">
        <v>20683006</v>
      </c>
      <c r="H7523">
        <v>20683001</v>
      </c>
      <c r="I7523">
        <v>20683006</v>
      </c>
    </row>
    <row r="7524" spans="1:9" x14ac:dyDescent="0.2">
      <c r="A7524" t="str">
        <f>"Gm10271"</f>
        <v>Gm10271</v>
      </c>
      <c r="B7524" t="s">
        <v>2568</v>
      </c>
      <c r="C7524" t="s">
        <v>15</v>
      </c>
      <c r="D7524" t="s">
        <v>11</v>
      </c>
      <c r="E7524" t="s">
        <v>20</v>
      </c>
      <c r="F7524">
        <v>116972608</v>
      </c>
      <c r="G7524">
        <v>116972608</v>
      </c>
      <c r="H7524">
        <v>116972608</v>
      </c>
      <c r="I7524">
        <v>116972608</v>
      </c>
    </row>
    <row r="7525" spans="1:9" x14ac:dyDescent="0.2">
      <c r="A7525" t="str">
        <f>"Gm10272"</f>
        <v>Gm10272</v>
      </c>
      <c r="B7525" t="s">
        <v>14</v>
      </c>
      <c r="C7525" t="s">
        <v>15</v>
      </c>
      <c r="D7525" t="s">
        <v>17</v>
      </c>
      <c r="E7525" t="s">
        <v>12</v>
      </c>
      <c r="F7525">
        <v>77706588</v>
      </c>
      <c r="G7525">
        <v>77706591</v>
      </c>
      <c r="H7525">
        <v>77706588</v>
      </c>
      <c r="I7525">
        <v>77706591</v>
      </c>
    </row>
    <row r="7526" spans="1:9" x14ac:dyDescent="0.2">
      <c r="A7526" t="str">
        <f>"Gm10273"</f>
        <v>Gm10273</v>
      </c>
      <c r="B7526" t="s">
        <v>14</v>
      </c>
      <c r="C7526" t="s">
        <v>15</v>
      </c>
      <c r="D7526" t="s">
        <v>17</v>
      </c>
      <c r="E7526" t="s">
        <v>67</v>
      </c>
      <c r="F7526">
        <v>59395614</v>
      </c>
      <c r="G7526">
        <v>59395616</v>
      </c>
      <c r="H7526">
        <v>59395614</v>
      </c>
      <c r="I7526">
        <v>59395616</v>
      </c>
    </row>
    <row r="7527" spans="1:9" x14ac:dyDescent="0.2">
      <c r="A7527" t="str">
        <f>"Gm10275"</f>
        <v>Gm10275</v>
      </c>
      <c r="B7527" t="s">
        <v>14</v>
      </c>
      <c r="C7527" t="s">
        <v>15</v>
      </c>
      <c r="D7527" t="s">
        <v>11</v>
      </c>
      <c r="E7527" t="s">
        <v>67</v>
      </c>
      <c r="F7527">
        <v>29699379</v>
      </c>
      <c r="G7527">
        <v>29699382</v>
      </c>
      <c r="H7527">
        <v>29699379</v>
      </c>
      <c r="I7527">
        <v>29699382</v>
      </c>
    </row>
    <row r="7528" spans="1:9" x14ac:dyDescent="0.2">
      <c r="A7528" t="str">
        <f>"Gm10277"</f>
        <v>Gm10277</v>
      </c>
      <c r="B7528" t="s">
        <v>2569</v>
      </c>
      <c r="C7528" t="s">
        <v>27</v>
      </c>
      <c r="D7528" t="s">
        <v>11</v>
      </c>
      <c r="E7528" t="s">
        <v>20</v>
      </c>
      <c r="F7528">
        <v>77787746</v>
      </c>
      <c r="G7528">
        <v>77787746</v>
      </c>
      <c r="H7528">
        <v>77787746</v>
      </c>
      <c r="I7528">
        <v>77787746</v>
      </c>
    </row>
    <row r="7529" spans="1:9" x14ac:dyDescent="0.2">
      <c r="A7529" t="str">
        <f>"Gm10282"</f>
        <v>Gm10282</v>
      </c>
      <c r="B7529" t="s">
        <v>2570</v>
      </c>
      <c r="C7529" t="s">
        <v>30</v>
      </c>
      <c r="D7529" t="s">
        <v>11</v>
      </c>
      <c r="E7529" t="s">
        <v>20</v>
      </c>
      <c r="F7529">
        <v>72305275</v>
      </c>
      <c r="G7529">
        <v>72305275</v>
      </c>
      <c r="H7529">
        <v>72305275</v>
      </c>
      <c r="I7529">
        <v>72305275</v>
      </c>
    </row>
    <row r="7530" spans="1:9" x14ac:dyDescent="0.2">
      <c r="A7530" t="str">
        <f>"Gm10283"</f>
        <v>Gm10283</v>
      </c>
      <c r="B7530" t="s">
        <v>14</v>
      </c>
      <c r="C7530" t="s">
        <v>30</v>
      </c>
      <c r="D7530" t="s">
        <v>11</v>
      </c>
      <c r="E7530" t="s">
        <v>67</v>
      </c>
      <c r="F7530">
        <v>60503224</v>
      </c>
      <c r="G7530">
        <v>60503233</v>
      </c>
      <c r="H7530">
        <v>60503224</v>
      </c>
      <c r="I7530">
        <v>60503233</v>
      </c>
    </row>
    <row r="7531" spans="1:9" x14ac:dyDescent="0.2">
      <c r="A7531" t="str">
        <f>"Gm10288"</f>
        <v>Gm10288</v>
      </c>
      <c r="B7531" t="s">
        <v>14</v>
      </c>
      <c r="C7531" t="s">
        <v>22</v>
      </c>
      <c r="D7531" t="s">
        <v>11</v>
      </c>
      <c r="E7531" t="s">
        <v>12</v>
      </c>
      <c r="F7531">
        <v>146839365</v>
      </c>
      <c r="G7531">
        <v>146839367</v>
      </c>
      <c r="H7531">
        <v>146839365</v>
      </c>
      <c r="I7531">
        <v>146839367</v>
      </c>
    </row>
    <row r="7532" spans="1:9" x14ac:dyDescent="0.2">
      <c r="A7532" t="str">
        <f>"Gm10295"</f>
        <v>Gm10295</v>
      </c>
      <c r="B7532" t="s">
        <v>2571</v>
      </c>
      <c r="C7532" t="s">
        <v>33</v>
      </c>
      <c r="D7532" t="s">
        <v>11</v>
      </c>
      <c r="E7532" t="s">
        <v>20</v>
      </c>
      <c r="F7532">
        <v>71351484</v>
      </c>
      <c r="G7532">
        <v>71351484</v>
      </c>
      <c r="H7532">
        <v>71351484</v>
      </c>
      <c r="I7532">
        <v>71351484</v>
      </c>
    </row>
    <row r="7533" spans="1:9" x14ac:dyDescent="0.2">
      <c r="A7533" t="str">
        <f>"Gm10300"</f>
        <v>Gm10300</v>
      </c>
      <c r="B7533" t="s">
        <v>2572</v>
      </c>
      <c r="C7533" t="s">
        <v>23</v>
      </c>
      <c r="D7533" t="s">
        <v>17</v>
      </c>
      <c r="E7533" t="s">
        <v>20</v>
      </c>
      <c r="F7533">
        <v>132074696</v>
      </c>
      <c r="G7533">
        <v>132074696</v>
      </c>
      <c r="H7533">
        <v>132074696</v>
      </c>
      <c r="I7533">
        <v>132074696</v>
      </c>
    </row>
    <row r="7534" spans="1:9" x14ac:dyDescent="0.2">
      <c r="A7534" t="str">
        <f>"Gm10302"</f>
        <v>Gm10302</v>
      </c>
      <c r="B7534" t="s">
        <v>2573</v>
      </c>
      <c r="C7534" t="s">
        <v>33</v>
      </c>
      <c r="D7534" t="s">
        <v>11</v>
      </c>
      <c r="E7534" t="s">
        <v>20</v>
      </c>
      <c r="F7534">
        <v>9572287</v>
      </c>
      <c r="G7534">
        <v>9572287</v>
      </c>
      <c r="H7534">
        <v>9572287</v>
      </c>
      <c r="I7534">
        <v>9572287</v>
      </c>
    </row>
    <row r="7535" spans="1:9" x14ac:dyDescent="0.2">
      <c r="A7535" t="str">
        <f>"Gm10304"</f>
        <v>Gm10304</v>
      </c>
      <c r="B7535" t="s">
        <v>2574</v>
      </c>
      <c r="C7535" t="s">
        <v>23</v>
      </c>
      <c r="D7535" t="s">
        <v>17</v>
      </c>
      <c r="E7535" t="s">
        <v>20</v>
      </c>
      <c r="F7535">
        <v>104328251</v>
      </c>
      <c r="G7535">
        <v>104328251</v>
      </c>
      <c r="H7535">
        <v>104328251</v>
      </c>
      <c r="I7535">
        <v>104328251</v>
      </c>
    </row>
    <row r="7536" spans="1:9" x14ac:dyDescent="0.2">
      <c r="A7536" t="str">
        <f>"Gm10305"</f>
        <v>Gm10305</v>
      </c>
      <c r="B7536" t="s">
        <v>2575</v>
      </c>
      <c r="C7536" t="s">
        <v>23</v>
      </c>
      <c r="D7536" t="s">
        <v>17</v>
      </c>
      <c r="E7536" t="s">
        <v>20</v>
      </c>
      <c r="F7536">
        <v>99272670</v>
      </c>
      <c r="G7536">
        <v>99272670</v>
      </c>
      <c r="H7536">
        <v>99272670</v>
      </c>
      <c r="I7536">
        <v>99272670</v>
      </c>
    </row>
    <row r="7537" spans="1:9" x14ac:dyDescent="0.2">
      <c r="A7537" t="str">
        <f>"Gm10306"</f>
        <v>Gm10306</v>
      </c>
      <c r="B7537" t="s">
        <v>2576</v>
      </c>
      <c r="C7537" t="s">
        <v>23</v>
      </c>
      <c r="D7537" t="s">
        <v>17</v>
      </c>
      <c r="E7537" t="s">
        <v>20</v>
      </c>
      <c r="F7537">
        <v>94556545</v>
      </c>
      <c r="G7537">
        <v>94556545</v>
      </c>
      <c r="H7537">
        <v>94556545</v>
      </c>
      <c r="I7537">
        <v>94556545</v>
      </c>
    </row>
    <row r="7538" spans="1:9" x14ac:dyDescent="0.2">
      <c r="A7538" t="str">
        <f>"Gm10308"</f>
        <v>Gm10308</v>
      </c>
      <c r="B7538" t="s">
        <v>14</v>
      </c>
      <c r="C7538" t="s">
        <v>28</v>
      </c>
      <c r="D7538" t="s">
        <v>17</v>
      </c>
      <c r="E7538" t="s">
        <v>67</v>
      </c>
      <c r="F7538">
        <v>91088212</v>
      </c>
      <c r="G7538">
        <v>91088215</v>
      </c>
      <c r="H7538">
        <v>91088212</v>
      </c>
      <c r="I7538">
        <v>91088215</v>
      </c>
    </row>
    <row r="7539" spans="1:9" x14ac:dyDescent="0.2">
      <c r="A7539" t="str">
        <f>"Gm10309"</f>
        <v>Gm10309</v>
      </c>
      <c r="B7539" t="s">
        <v>14</v>
      </c>
      <c r="C7539" t="s">
        <v>28</v>
      </c>
      <c r="D7539" t="s">
        <v>11</v>
      </c>
      <c r="E7539" t="s">
        <v>12</v>
      </c>
      <c r="F7539">
        <v>86504994</v>
      </c>
      <c r="G7539">
        <v>86505038</v>
      </c>
      <c r="H7539">
        <v>86504994</v>
      </c>
      <c r="I7539">
        <v>86505038</v>
      </c>
    </row>
    <row r="7540" spans="1:9" x14ac:dyDescent="0.2">
      <c r="A7540" t="str">
        <f>"Gm10310"</f>
        <v>Gm10310</v>
      </c>
      <c r="B7540" t="s">
        <v>2577</v>
      </c>
      <c r="C7540" t="s">
        <v>15</v>
      </c>
      <c r="D7540" t="s">
        <v>11</v>
      </c>
      <c r="E7540" t="s">
        <v>20</v>
      </c>
      <c r="F7540">
        <v>129984441</v>
      </c>
      <c r="G7540">
        <v>129984441</v>
      </c>
      <c r="H7540">
        <v>129984441</v>
      </c>
      <c r="I7540">
        <v>129984441</v>
      </c>
    </row>
    <row r="7541" spans="1:9" x14ac:dyDescent="0.2">
      <c r="A7541" t="str">
        <f>"Gm10311"</f>
        <v>Gm10311</v>
      </c>
      <c r="B7541" t="s">
        <v>2578</v>
      </c>
      <c r="C7541" t="s">
        <v>30</v>
      </c>
      <c r="D7541" t="s">
        <v>11</v>
      </c>
      <c r="E7541" t="s">
        <v>20</v>
      </c>
      <c r="F7541">
        <v>69373913</v>
      </c>
      <c r="G7541">
        <v>69373913</v>
      </c>
      <c r="H7541">
        <v>69373913</v>
      </c>
      <c r="I7541">
        <v>69373913</v>
      </c>
    </row>
    <row r="7542" spans="1:9" x14ac:dyDescent="0.2">
      <c r="A7542" t="str">
        <f>"Gm10318"</f>
        <v>Gm10318</v>
      </c>
      <c r="B7542" t="s">
        <v>14</v>
      </c>
      <c r="C7542" t="s">
        <v>15</v>
      </c>
      <c r="D7542" t="s">
        <v>17</v>
      </c>
      <c r="E7542" t="s">
        <v>12</v>
      </c>
      <c r="F7542">
        <v>77852810</v>
      </c>
      <c r="G7542">
        <v>77852816</v>
      </c>
      <c r="H7542">
        <v>77852810</v>
      </c>
      <c r="I7542">
        <v>77852816</v>
      </c>
    </row>
    <row r="7543" spans="1:9" x14ac:dyDescent="0.2">
      <c r="A7543" t="str">
        <f>"Gm10320"</f>
        <v>Gm10320</v>
      </c>
      <c r="B7543" t="s">
        <v>2579</v>
      </c>
      <c r="C7543" t="s">
        <v>39</v>
      </c>
      <c r="D7543" t="s">
        <v>11</v>
      </c>
      <c r="E7543" t="s">
        <v>20</v>
      </c>
      <c r="F7543">
        <v>98492000</v>
      </c>
      <c r="G7543">
        <v>98492000</v>
      </c>
      <c r="H7543">
        <v>98492000</v>
      </c>
      <c r="I7543">
        <v>98492000</v>
      </c>
    </row>
    <row r="7544" spans="1:9" x14ac:dyDescent="0.2">
      <c r="A7544" t="str">
        <f>"Gm10322"</f>
        <v>Gm10322</v>
      </c>
      <c r="B7544" t="s">
        <v>2580</v>
      </c>
      <c r="C7544" t="s">
        <v>15</v>
      </c>
      <c r="D7544" t="s">
        <v>17</v>
      </c>
      <c r="E7544" t="s">
        <v>20</v>
      </c>
      <c r="F7544">
        <v>59616062</v>
      </c>
      <c r="G7544">
        <v>59616062</v>
      </c>
      <c r="H7544">
        <v>59616062</v>
      </c>
      <c r="I7544">
        <v>59616062</v>
      </c>
    </row>
    <row r="7545" spans="1:9" x14ac:dyDescent="0.2">
      <c r="A7545" t="str">
        <f>"Gm10323"</f>
        <v>Gm10323</v>
      </c>
      <c r="B7545" t="s">
        <v>2581</v>
      </c>
      <c r="C7545" t="s">
        <v>39</v>
      </c>
      <c r="D7545" t="s">
        <v>11</v>
      </c>
      <c r="E7545" t="s">
        <v>20</v>
      </c>
      <c r="F7545">
        <v>66854871</v>
      </c>
      <c r="G7545">
        <v>66854871</v>
      </c>
      <c r="H7545">
        <v>66854871</v>
      </c>
      <c r="I7545">
        <v>66854871</v>
      </c>
    </row>
    <row r="7546" spans="1:9" x14ac:dyDescent="0.2">
      <c r="A7546" t="str">
        <f>"Gm10324"</f>
        <v>Gm10324</v>
      </c>
      <c r="B7546" t="s">
        <v>2582</v>
      </c>
      <c r="C7546" t="s">
        <v>39</v>
      </c>
      <c r="D7546" t="s">
        <v>17</v>
      </c>
      <c r="E7546" t="s">
        <v>20</v>
      </c>
      <c r="F7546">
        <v>66119546</v>
      </c>
      <c r="G7546">
        <v>66119546</v>
      </c>
      <c r="H7546">
        <v>66119546</v>
      </c>
      <c r="I7546">
        <v>66119546</v>
      </c>
    </row>
    <row r="7547" spans="1:9" x14ac:dyDescent="0.2">
      <c r="A7547" t="str">
        <f>"Gm10330"</f>
        <v>Gm10330</v>
      </c>
      <c r="B7547" t="s">
        <v>2583</v>
      </c>
      <c r="C7547" t="s">
        <v>16</v>
      </c>
      <c r="D7547" t="s">
        <v>11</v>
      </c>
      <c r="E7547" t="s">
        <v>20</v>
      </c>
      <c r="F7547">
        <v>23780264</v>
      </c>
      <c r="G7547">
        <v>23780264</v>
      </c>
      <c r="H7547">
        <v>23780264</v>
      </c>
      <c r="I7547">
        <v>23780264</v>
      </c>
    </row>
    <row r="7548" spans="1:9" x14ac:dyDescent="0.2">
      <c r="A7548" t="str">
        <f>"Gm10334"</f>
        <v>Gm10334</v>
      </c>
      <c r="B7548" t="s">
        <v>14</v>
      </c>
      <c r="C7548" t="s">
        <v>32</v>
      </c>
      <c r="D7548" t="s">
        <v>11</v>
      </c>
      <c r="E7548" t="s">
        <v>12</v>
      </c>
      <c r="F7548">
        <v>41446062</v>
      </c>
      <c r="G7548">
        <v>41446086</v>
      </c>
      <c r="H7548">
        <v>41446062</v>
      </c>
      <c r="I7548">
        <v>41446086</v>
      </c>
    </row>
    <row r="7549" spans="1:9" x14ac:dyDescent="0.2">
      <c r="A7549" t="str">
        <f>"Gm10335"</f>
        <v>Gm10335</v>
      </c>
      <c r="B7549" t="s">
        <v>14</v>
      </c>
      <c r="C7549" t="s">
        <v>15</v>
      </c>
      <c r="D7549" t="s">
        <v>17</v>
      </c>
      <c r="E7549" t="s">
        <v>12</v>
      </c>
      <c r="F7549">
        <v>14523063</v>
      </c>
      <c r="G7549">
        <v>14523065</v>
      </c>
      <c r="H7549">
        <v>14523063</v>
      </c>
      <c r="I7549">
        <v>14523065</v>
      </c>
    </row>
    <row r="7550" spans="1:9" x14ac:dyDescent="0.2">
      <c r="A7550" t="str">
        <f>"Gm10337"</f>
        <v>Gm10337</v>
      </c>
      <c r="B7550" t="s">
        <v>2584</v>
      </c>
      <c r="C7550" t="s">
        <v>25</v>
      </c>
      <c r="D7550" t="s">
        <v>17</v>
      </c>
      <c r="E7550" t="s">
        <v>20</v>
      </c>
      <c r="F7550">
        <v>102503721</v>
      </c>
      <c r="G7550">
        <v>102503721</v>
      </c>
      <c r="H7550">
        <v>102503721</v>
      </c>
      <c r="I7550">
        <v>102503721</v>
      </c>
    </row>
    <row r="7551" spans="1:9" x14ac:dyDescent="0.2">
      <c r="A7551" t="str">
        <f>"Gm10338"</f>
        <v>Gm10338</v>
      </c>
      <c r="B7551" t="s">
        <v>2585</v>
      </c>
      <c r="C7551" t="s">
        <v>41</v>
      </c>
      <c r="D7551" t="s">
        <v>11</v>
      </c>
      <c r="E7551" t="s">
        <v>20</v>
      </c>
      <c r="F7551">
        <v>7595591</v>
      </c>
      <c r="G7551">
        <v>7595591</v>
      </c>
      <c r="H7551">
        <v>7595591</v>
      </c>
      <c r="I7551">
        <v>7595591</v>
      </c>
    </row>
    <row r="7552" spans="1:9" x14ac:dyDescent="0.2">
      <c r="A7552" t="str">
        <f>"Gm10339"</f>
        <v>Gm10339</v>
      </c>
      <c r="B7552" t="s">
        <v>2586</v>
      </c>
      <c r="C7552" t="s">
        <v>41</v>
      </c>
      <c r="D7552" t="s">
        <v>11</v>
      </c>
      <c r="E7552" t="s">
        <v>20</v>
      </c>
      <c r="F7552">
        <v>7404091</v>
      </c>
      <c r="G7552">
        <v>7404091</v>
      </c>
      <c r="H7552">
        <v>7404091</v>
      </c>
      <c r="I7552">
        <v>7404091</v>
      </c>
    </row>
    <row r="7553" spans="1:9" x14ac:dyDescent="0.2">
      <c r="A7553" t="str">
        <f>"Gm10339"</f>
        <v>Gm10339</v>
      </c>
      <c r="B7553" t="s">
        <v>2587</v>
      </c>
      <c r="C7553" t="s">
        <v>41</v>
      </c>
      <c r="D7553" t="s">
        <v>11</v>
      </c>
      <c r="E7553" t="s">
        <v>20</v>
      </c>
      <c r="F7553">
        <v>7412374</v>
      </c>
      <c r="G7553">
        <v>7412374</v>
      </c>
      <c r="H7553">
        <v>7412374</v>
      </c>
      <c r="I7553">
        <v>7412374</v>
      </c>
    </row>
    <row r="7554" spans="1:9" x14ac:dyDescent="0.2">
      <c r="A7554" t="str">
        <f>"Gm10340"</f>
        <v>Gm10340</v>
      </c>
      <c r="B7554" t="s">
        <v>2588</v>
      </c>
      <c r="C7554" t="s">
        <v>41</v>
      </c>
      <c r="D7554" t="s">
        <v>17</v>
      </c>
      <c r="E7554" t="s">
        <v>20</v>
      </c>
      <c r="F7554">
        <v>3133996</v>
      </c>
      <c r="G7554">
        <v>3133996</v>
      </c>
      <c r="H7554">
        <v>3133996</v>
      </c>
      <c r="I7554">
        <v>3133996</v>
      </c>
    </row>
    <row r="7555" spans="1:9" x14ac:dyDescent="0.2">
      <c r="A7555" t="str">
        <f>"Gm10344"</f>
        <v>Gm10344</v>
      </c>
      <c r="B7555" t="s">
        <v>2589</v>
      </c>
      <c r="C7555" t="s">
        <v>37</v>
      </c>
      <c r="D7555" t="s">
        <v>11</v>
      </c>
      <c r="E7555" t="s">
        <v>20</v>
      </c>
      <c r="F7555">
        <v>134746912</v>
      </c>
      <c r="G7555">
        <v>134746912</v>
      </c>
      <c r="H7555">
        <v>134746912</v>
      </c>
      <c r="I7555">
        <v>134746912</v>
      </c>
    </row>
    <row r="7556" spans="1:9" x14ac:dyDescent="0.2">
      <c r="A7556" t="str">
        <f>"Gm10351"</f>
        <v>Gm10351</v>
      </c>
      <c r="B7556" t="s">
        <v>2590</v>
      </c>
      <c r="C7556" t="s">
        <v>33</v>
      </c>
      <c r="D7556" t="s">
        <v>17</v>
      </c>
      <c r="E7556" t="s">
        <v>20</v>
      </c>
      <c r="F7556">
        <v>43099718</v>
      </c>
      <c r="G7556">
        <v>43099718</v>
      </c>
      <c r="H7556">
        <v>43099718</v>
      </c>
      <c r="I7556">
        <v>43099718</v>
      </c>
    </row>
    <row r="7557" spans="1:9" x14ac:dyDescent="0.2">
      <c r="A7557" t="str">
        <f>"Gm10352"</f>
        <v>Gm10352</v>
      </c>
      <c r="B7557" t="s">
        <v>2591</v>
      </c>
      <c r="C7557" t="s">
        <v>63</v>
      </c>
      <c r="D7557" t="s">
        <v>17</v>
      </c>
      <c r="E7557" t="s">
        <v>20</v>
      </c>
      <c r="F7557">
        <v>2904132</v>
      </c>
      <c r="G7557">
        <v>2904132</v>
      </c>
      <c r="H7557">
        <v>2904132</v>
      </c>
      <c r="I7557">
        <v>2904132</v>
      </c>
    </row>
    <row r="7558" spans="1:9" x14ac:dyDescent="0.2">
      <c r="A7558" t="str">
        <f>"Gm10354"</f>
        <v>Gm10354</v>
      </c>
      <c r="B7558" t="s">
        <v>2592</v>
      </c>
      <c r="C7558" t="s">
        <v>46</v>
      </c>
      <c r="D7558" t="s">
        <v>11</v>
      </c>
      <c r="E7558" t="s">
        <v>20</v>
      </c>
      <c r="F7558">
        <v>14978934</v>
      </c>
      <c r="G7558">
        <v>14978934</v>
      </c>
      <c r="H7558">
        <v>14978934</v>
      </c>
      <c r="I7558">
        <v>14978934</v>
      </c>
    </row>
    <row r="7559" spans="1:9" x14ac:dyDescent="0.2">
      <c r="A7559" t="str">
        <f>"Gm10355"</f>
        <v>Gm10355</v>
      </c>
      <c r="B7559" t="s">
        <v>2593</v>
      </c>
      <c r="C7559" t="s">
        <v>22</v>
      </c>
      <c r="D7559" t="s">
        <v>11</v>
      </c>
      <c r="E7559" t="s">
        <v>20</v>
      </c>
      <c r="F7559">
        <v>101307078</v>
      </c>
      <c r="G7559">
        <v>101307078</v>
      </c>
      <c r="H7559">
        <v>101307078</v>
      </c>
      <c r="I7559">
        <v>101307078</v>
      </c>
    </row>
    <row r="7560" spans="1:9" x14ac:dyDescent="0.2">
      <c r="A7560" t="str">
        <f>"Gm10369"</f>
        <v>Gm10369</v>
      </c>
      <c r="B7560" t="s">
        <v>14</v>
      </c>
      <c r="C7560" t="s">
        <v>46</v>
      </c>
      <c r="D7560" t="s">
        <v>17</v>
      </c>
      <c r="E7560" t="s">
        <v>12</v>
      </c>
      <c r="F7560">
        <v>134676547</v>
      </c>
      <c r="G7560">
        <v>134676558</v>
      </c>
      <c r="H7560">
        <v>134676547</v>
      </c>
      <c r="I7560">
        <v>134676558</v>
      </c>
    </row>
    <row r="7561" spans="1:9" x14ac:dyDescent="0.2">
      <c r="A7561" t="str">
        <f>"Gm10373"</f>
        <v>Gm10373</v>
      </c>
      <c r="B7561" t="s">
        <v>14</v>
      </c>
      <c r="C7561" t="s">
        <v>25</v>
      </c>
      <c r="D7561" t="s">
        <v>11</v>
      </c>
      <c r="E7561" t="s">
        <v>67</v>
      </c>
      <c r="F7561">
        <v>43477012</v>
      </c>
      <c r="G7561">
        <v>43477043</v>
      </c>
      <c r="H7561">
        <v>43476995</v>
      </c>
      <c r="I7561">
        <v>43477006</v>
      </c>
    </row>
    <row r="7562" spans="1:9" x14ac:dyDescent="0.2">
      <c r="A7562" t="str">
        <f>"Gm10375"</f>
        <v>Gm10375</v>
      </c>
      <c r="B7562" t="s">
        <v>2594</v>
      </c>
      <c r="C7562" t="s">
        <v>41</v>
      </c>
      <c r="D7562" t="s">
        <v>11</v>
      </c>
      <c r="E7562" t="s">
        <v>20</v>
      </c>
      <c r="F7562">
        <v>43608038</v>
      </c>
      <c r="G7562">
        <v>43608038</v>
      </c>
      <c r="H7562">
        <v>43608038</v>
      </c>
      <c r="I7562">
        <v>43608038</v>
      </c>
    </row>
    <row r="7563" spans="1:9" x14ac:dyDescent="0.2">
      <c r="A7563" t="str">
        <f>"Gm10376"</f>
        <v>Gm10376</v>
      </c>
      <c r="B7563" t="s">
        <v>2595</v>
      </c>
      <c r="C7563" t="s">
        <v>41</v>
      </c>
      <c r="D7563" t="s">
        <v>11</v>
      </c>
      <c r="E7563" t="s">
        <v>20</v>
      </c>
      <c r="F7563">
        <v>43014763</v>
      </c>
      <c r="G7563">
        <v>43014763</v>
      </c>
      <c r="H7563">
        <v>43014763</v>
      </c>
      <c r="I7563">
        <v>43014763</v>
      </c>
    </row>
    <row r="7564" spans="1:9" x14ac:dyDescent="0.2">
      <c r="A7564" t="str">
        <f>"Gm10376"</f>
        <v>Gm10376</v>
      </c>
      <c r="B7564" t="s">
        <v>2596</v>
      </c>
      <c r="C7564" t="s">
        <v>41</v>
      </c>
      <c r="D7564" t="s">
        <v>11</v>
      </c>
      <c r="E7564" t="s">
        <v>20</v>
      </c>
      <c r="F7564">
        <v>43015627</v>
      </c>
      <c r="G7564">
        <v>43015627</v>
      </c>
      <c r="H7564">
        <v>43015627</v>
      </c>
      <c r="I7564">
        <v>43015627</v>
      </c>
    </row>
    <row r="7565" spans="1:9" x14ac:dyDescent="0.2">
      <c r="A7565" t="str">
        <f>"Gm10377"</f>
        <v>Gm10377</v>
      </c>
      <c r="B7565" t="s">
        <v>2597</v>
      </c>
      <c r="C7565" t="s">
        <v>41</v>
      </c>
      <c r="D7565" t="s">
        <v>11</v>
      </c>
      <c r="E7565" t="s">
        <v>20</v>
      </c>
      <c r="F7565">
        <v>42797986</v>
      </c>
      <c r="G7565">
        <v>42797986</v>
      </c>
      <c r="H7565">
        <v>42797986</v>
      </c>
      <c r="I7565">
        <v>42797986</v>
      </c>
    </row>
    <row r="7566" spans="1:9" x14ac:dyDescent="0.2">
      <c r="A7566" t="str">
        <f>"Gm10378"</f>
        <v>Gm10378</v>
      </c>
      <c r="B7566" t="s">
        <v>2598</v>
      </c>
      <c r="C7566" t="s">
        <v>41</v>
      </c>
      <c r="D7566" t="s">
        <v>17</v>
      </c>
      <c r="E7566" t="s">
        <v>20</v>
      </c>
      <c r="F7566">
        <v>42655937</v>
      </c>
      <c r="G7566">
        <v>42655937</v>
      </c>
      <c r="H7566">
        <v>42655937</v>
      </c>
      <c r="I7566">
        <v>42655937</v>
      </c>
    </row>
    <row r="7567" spans="1:9" x14ac:dyDescent="0.2">
      <c r="A7567" t="str">
        <f>"Gm10382"</f>
        <v>Gm10382</v>
      </c>
      <c r="B7567" t="s">
        <v>14</v>
      </c>
      <c r="C7567" t="s">
        <v>46</v>
      </c>
      <c r="D7567" t="s">
        <v>17</v>
      </c>
      <c r="E7567" t="s">
        <v>67</v>
      </c>
      <c r="F7567">
        <v>125389284</v>
      </c>
      <c r="G7567">
        <v>125389327</v>
      </c>
      <c r="H7567">
        <v>125389268</v>
      </c>
      <c r="I7567">
        <v>125389273</v>
      </c>
    </row>
    <row r="7568" spans="1:9" x14ac:dyDescent="0.2">
      <c r="A7568" t="str">
        <f>"Gm10384"</f>
        <v>Gm10384</v>
      </c>
      <c r="B7568" t="s">
        <v>14</v>
      </c>
      <c r="C7568" t="s">
        <v>25</v>
      </c>
      <c r="D7568" t="s">
        <v>11</v>
      </c>
      <c r="E7568" t="s">
        <v>12</v>
      </c>
      <c r="F7568">
        <v>36879854</v>
      </c>
      <c r="G7568">
        <v>36879884</v>
      </c>
      <c r="H7568">
        <v>36879826</v>
      </c>
      <c r="I7568">
        <v>36879834</v>
      </c>
    </row>
    <row r="7569" spans="1:9" x14ac:dyDescent="0.2">
      <c r="A7569" t="str">
        <f>"Gm10392"</f>
        <v>Gm10392</v>
      </c>
      <c r="B7569" t="s">
        <v>14</v>
      </c>
      <c r="C7569" t="s">
        <v>27</v>
      </c>
      <c r="D7569" t="s">
        <v>11</v>
      </c>
      <c r="E7569" t="s">
        <v>67</v>
      </c>
      <c r="F7569">
        <v>77519186</v>
      </c>
      <c r="G7569">
        <v>77519218</v>
      </c>
      <c r="H7569">
        <v>77519114</v>
      </c>
      <c r="I7569">
        <v>77519143</v>
      </c>
    </row>
    <row r="7570" spans="1:9" x14ac:dyDescent="0.2">
      <c r="A7570" t="str">
        <f>"Gm10399"</f>
        <v>Gm10399</v>
      </c>
      <c r="B7570" t="s">
        <v>14</v>
      </c>
      <c r="C7570" t="s">
        <v>46</v>
      </c>
      <c r="D7570" t="s">
        <v>11</v>
      </c>
      <c r="E7570" t="s">
        <v>67</v>
      </c>
      <c r="F7570">
        <v>117319230</v>
      </c>
      <c r="G7570">
        <v>117319246</v>
      </c>
      <c r="H7570">
        <v>117319700</v>
      </c>
      <c r="I7570">
        <v>117319701</v>
      </c>
    </row>
    <row r="7571" spans="1:9" x14ac:dyDescent="0.2">
      <c r="A7571" t="str">
        <f>"Gm10401"</f>
        <v>Gm10401</v>
      </c>
      <c r="B7571" t="s">
        <v>2599</v>
      </c>
      <c r="C7571" t="s">
        <v>46</v>
      </c>
      <c r="D7571" t="s">
        <v>11</v>
      </c>
      <c r="E7571" t="s">
        <v>20</v>
      </c>
      <c r="F7571">
        <v>115098294</v>
      </c>
      <c r="G7571">
        <v>115098294</v>
      </c>
      <c r="H7571">
        <v>115098294</v>
      </c>
      <c r="I7571">
        <v>115098294</v>
      </c>
    </row>
    <row r="7572" spans="1:9" x14ac:dyDescent="0.2">
      <c r="A7572" t="str">
        <f>"Gm10406"</f>
        <v>Gm10406</v>
      </c>
      <c r="B7572" t="s">
        <v>2600</v>
      </c>
      <c r="C7572" t="s">
        <v>41</v>
      </c>
      <c r="D7572" t="s">
        <v>11</v>
      </c>
      <c r="E7572" t="s">
        <v>20</v>
      </c>
      <c r="F7572">
        <v>7022598</v>
      </c>
      <c r="G7572">
        <v>7022598</v>
      </c>
      <c r="H7572">
        <v>7022598</v>
      </c>
      <c r="I7572">
        <v>7022598</v>
      </c>
    </row>
    <row r="7573" spans="1:9" x14ac:dyDescent="0.2">
      <c r="A7573" t="str">
        <f>"Gm10406"</f>
        <v>Gm10406</v>
      </c>
      <c r="B7573" t="s">
        <v>2601</v>
      </c>
      <c r="C7573" t="s">
        <v>41</v>
      </c>
      <c r="D7573" t="s">
        <v>11</v>
      </c>
      <c r="E7573" t="s">
        <v>20</v>
      </c>
      <c r="F7573">
        <v>7027448</v>
      </c>
      <c r="G7573">
        <v>7027448</v>
      </c>
      <c r="H7573">
        <v>7027448</v>
      </c>
      <c r="I7573">
        <v>7027448</v>
      </c>
    </row>
    <row r="7574" spans="1:9" x14ac:dyDescent="0.2">
      <c r="A7574" t="str">
        <f>"Gm10408"</f>
        <v>Gm10408</v>
      </c>
      <c r="B7574" t="s">
        <v>2602</v>
      </c>
      <c r="C7574" t="s">
        <v>41</v>
      </c>
      <c r="D7574" t="s">
        <v>17</v>
      </c>
      <c r="E7574" t="s">
        <v>20</v>
      </c>
      <c r="F7574">
        <v>3449378</v>
      </c>
      <c r="G7574">
        <v>3449378</v>
      </c>
      <c r="H7574">
        <v>3449378</v>
      </c>
      <c r="I7574">
        <v>3449378</v>
      </c>
    </row>
    <row r="7575" spans="1:9" x14ac:dyDescent="0.2">
      <c r="A7575" t="str">
        <f>"Gm10409"</f>
        <v>Gm10409</v>
      </c>
      <c r="B7575" t="s">
        <v>2603</v>
      </c>
      <c r="C7575" t="s">
        <v>41</v>
      </c>
      <c r="D7575" t="s">
        <v>17</v>
      </c>
      <c r="E7575" t="s">
        <v>20</v>
      </c>
      <c r="F7575">
        <v>3412613</v>
      </c>
      <c r="G7575">
        <v>3412613</v>
      </c>
      <c r="H7575">
        <v>3412613</v>
      </c>
      <c r="I7575">
        <v>3412613</v>
      </c>
    </row>
    <row r="7576" spans="1:9" x14ac:dyDescent="0.2">
      <c r="A7576" t="str">
        <f>"Gm10413"</f>
        <v>Gm10413</v>
      </c>
      <c r="B7576" t="s">
        <v>2604</v>
      </c>
      <c r="C7576" t="s">
        <v>41</v>
      </c>
      <c r="D7576" t="s">
        <v>17</v>
      </c>
      <c r="E7576" t="s">
        <v>20</v>
      </c>
      <c r="F7576">
        <v>3395123</v>
      </c>
      <c r="G7576">
        <v>3395123</v>
      </c>
      <c r="H7576">
        <v>3395123</v>
      </c>
      <c r="I7576">
        <v>3395123</v>
      </c>
    </row>
    <row r="7577" spans="1:9" x14ac:dyDescent="0.2">
      <c r="A7577" t="str">
        <f>"Gm10417"</f>
        <v>Gm10417</v>
      </c>
      <c r="B7577" t="s">
        <v>2605</v>
      </c>
      <c r="C7577" t="s">
        <v>46</v>
      </c>
      <c r="D7577" t="s">
        <v>17</v>
      </c>
      <c r="E7577" t="s">
        <v>20</v>
      </c>
      <c r="F7577">
        <v>108864832</v>
      </c>
      <c r="G7577">
        <v>108864832</v>
      </c>
      <c r="H7577">
        <v>108864832</v>
      </c>
      <c r="I7577">
        <v>108864832</v>
      </c>
    </row>
    <row r="7578" spans="1:9" x14ac:dyDescent="0.2">
      <c r="A7578" t="str">
        <f>"Gm10419"</f>
        <v>Gm10419</v>
      </c>
      <c r="B7578" t="s">
        <v>14</v>
      </c>
      <c r="C7578" t="s">
        <v>46</v>
      </c>
      <c r="D7578" t="s">
        <v>17</v>
      </c>
      <c r="E7578" t="s">
        <v>67</v>
      </c>
      <c r="F7578">
        <v>108369952</v>
      </c>
      <c r="G7578">
        <v>108369957</v>
      </c>
      <c r="H7578">
        <v>108369952</v>
      </c>
      <c r="I7578">
        <v>108369957</v>
      </c>
    </row>
    <row r="7579" spans="1:9" x14ac:dyDescent="0.2">
      <c r="A7579" t="str">
        <f>"Gm10424"</f>
        <v>Gm10424</v>
      </c>
      <c r="B7579" t="s">
        <v>2606</v>
      </c>
      <c r="C7579" t="s">
        <v>46</v>
      </c>
      <c r="D7579" t="s">
        <v>11</v>
      </c>
      <c r="E7579" t="s">
        <v>20</v>
      </c>
      <c r="F7579">
        <v>95271587</v>
      </c>
      <c r="G7579">
        <v>95271587</v>
      </c>
      <c r="H7579">
        <v>95271587</v>
      </c>
      <c r="I7579">
        <v>95271587</v>
      </c>
    </row>
    <row r="7580" spans="1:9" x14ac:dyDescent="0.2">
      <c r="A7580" t="str">
        <f>"Gm10428"</f>
        <v>Gm10428</v>
      </c>
      <c r="B7580" t="s">
        <v>2607</v>
      </c>
      <c r="C7580" t="s">
        <v>27</v>
      </c>
      <c r="D7580" t="s">
        <v>17</v>
      </c>
      <c r="E7580" t="s">
        <v>20</v>
      </c>
      <c r="F7580">
        <v>62753099</v>
      </c>
      <c r="G7580">
        <v>62753099</v>
      </c>
      <c r="H7580">
        <v>62753099</v>
      </c>
      <c r="I7580">
        <v>62753099</v>
      </c>
    </row>
    <row r="7581" spans="1:9" x14ac:dyDescent="0.2">
      <c r="A7581" t="str">
        <f>"Gm1043"</f>
        <v>Gm1043</v>
      </c>
      <c r="B7581" t="s">
        <v>2608</v>
      </c>
      <c r="C7581" t="s">
        <v>46</v>
      </c>
      <c r="D7581" t="s">
        <v>17</v>
      </c>
      <c r="E7581" t="s">
        <v>20</v>
      </c>
      <c r="F7581">
        <v>37185896</v>
      </c>
      <c r="G7581">
        <v>37185896</v>
      </c>
      <c r="H7581">
        <v>37185896</v>
      </c>
      <c r="I7581">
        <v>37185896</v>
      </c>
    </row>
    <row r="7582" spans="1:9" x14ac:dyDescent="0.2">
      <c r="A7582" t="str">
        <f>"Gm10430"</f>
        <v>Gm10430</v>
      </c>
      <c r="B7582" t="s">
        <v>14</v>
      </c>
      <c r="C7582" t="s">
        <v>46</v>
      </c>
      <c r="D7582" t="s">
        <v>17</v>
      </c>
      <c r="E7582" t="s">
        <v>67</v>
      </c>
      <c r="F7582">
        <v>76657002</v>
      </c>
      <c r="G7582">
        <v>76657003</v>
      </c>
      <c r="H7582">
        <v>76657002</v>
      </c>
      <c r="I7582">
        <v>76657003</v>
      </c>
    </row>
    <row r="7583" spans="1:9" x14ac:dyDescent="0.2">
      <c r="A7583" t="str">
        <f>"Gm10436"</f>
        <v>Gm10436</v>
      </c>
      <c r="B7583" t="s">
        <v>2609</v>
      </c>
      <c r="C7583" t="s">
        <v>16</v>
      </c>
      <c r="D7583" t="s">
        <v>11</v>
      </c>
      <c r="E7583" t="s">
        <v>20</v>
      </c>
      <c r="F7583">
        <v>88181893</v>
      </c>
      <c r="G7583">
        <v>88181893</v>
      </c>
      <c r="H7583">
        <v>88181893</v>
      </c>
      <c r="I7583">
        <v>88181893</v>
      </c>
    </row>
    <row r="7584" spans="1:9" x14ac:dyDescent="0.2">
      <c r="A7584" t="str">
        <f>"Gm10439"</f>
        <v>Gm10439</v>
      </c>
      <c r="B7584" t="s">
        <v>2610</v>
      </c>
      <c r="C7584" t="s">
        <v>37</v>
      </c>
      <c r="D7584" t="s">
        <v>17</v>
      </c>
      <c r="E7584" t="s">
        <v>20</v>
      </c>
      <c r="F7584">
        <v>149594569</v>
      </c>
      <c r="G7584">
        <v>149594569</v>
      </c>
      <c r="H7584">
        <v>149594569</v>
      </c>
      <c r="I7584">
        <v>149594569</v>
      </c>
    </row>
    <row r="7585" spans="1:9" x14ac:dyDescent="0.2">
      <c r="A7585" t="str">
        <f>"Gm10447"</f>
        <v>Gm10447</v>
      </c>
      <c r="B7585" t="s">
        <v>14</v>
      </c>
      <c r="C7585" t="s">
        <v>27</v>
      </c>
      <c r="D7585" t="s">
        <v>11</v>
      </c>
      <c r="E7585" t="s">
        <v>12</v>
      </c>
      <c r="F7585">
        <v>53457103</v>
      </c>
      <c r="G7585">
        <v>53457118</v>
      </c>
      <c r="H7585">
        <v>53457131</v>
      </c>
      <c r="I7585">
        <v>53457138</v>
      </c>
    </row>
    <row r="7586" spans="1:9" x14ac:dyDescent="0.2">
      <c r="A7586" t="str">
        <f>"Gm1045"</f>
        <v>Gm1045</v>
      </c>
      <c r="B7586" t="s">
        <v>14</v>
      </c>
      <c r="C7586" t="s">
        <v>46</v>
      </c>
      <c r="D7586" t="s">
        <v>17</v>
      </c>
      <c r="E7586" t="s">
        <v>12</v>
      </c>
      <c r="F7586">
        <v>91987471</v>
      </c>
      <c r="G7586">
        <v>91987479</v>
      </c>
      <c r="H7586">
        <v>91987430</v>
      </c>
      <c r="I7586">
        <v>91987450</v>
      </c>
    </row>
    <row r="7587" spans="1:9" x14ac:dyDescent="0.2">
      <c r="A7587" t="str">
        <f>"Gm10451"</f>
        <v>Gm10451</v>
      </c>
      <c r="B7587" t="s">
        <v>14</v>
      </c>
      <c r="C7587" t="s">
        <v>16</v>
      </c>
      <c r="D7587" t="s">
        <v>17</v>
      </c>
      <c r="E7587" t="s">
        <v>12</v>
      </c>
      <c r="F7587">
        <v>76444491</v>
      </c>
      <c r="G7587">
        <v>76444509</v>
      </c>
      <c r="H7587">
        <v>76444513</v>
      </c>
      <c r="I7587">
        <v>76444521</v>
      </c>
    </row>
    <row r="7588" spans="1:9" x14ac:dyDescent="0.2">
      <c r="A7588" t="str">
        <f>"Gm10463"</f>
        <v>Gm10463</v>
      </c>
      <c r="B7588" t="s">
        <v>14</v>
      </c>
      <c r="C7588" t="s">
        <v>46</v>
      </c>
      <c r="D7588" t="s">
        <v>11</v>
      </c>
      <c r="E7588" t="s">
        <v>12</v>
      </c>
      <c r="F7588">
        <v>32133119</v>
      </c>
      <c r="G7588">
        <v>32133142</v>
      </c>
      <c r="H7588">
        <v>32133045</v>
      </c>
      <c r="I7588">
        <v>32133053</v>
      </c>
    </row>
    <row r="7589" spans="1:9" x14ac:dyDescent="0.2">
      <c r="A7589" t="str">
        <f>"Gm10471"</f>
        <v>Gm10471</v>
      </c>
      <c r="B7589" t="s">
        <v>2611</v>
      </c>
      <c r="C7589" t="s">
        <v>46</v>
      </c>
      <c r="D7589" t="s">
        <v>11</v>
      </c>
      <c r="E7589" t="s">
        <v>20</v>
      </c>
      <c r="F7589">
        <v>26089290</v>
      </c>
      <c r="G7589">
        <v>26089290</v>
      </c>
      <c r="H7589">
        <v>26089290</v>
      </c>
      <c r="I7589">
        <v>26089290</v>
      </c>
    </row>
    <row r="7590" spans="1:9" x14ac:dyDescent="0.2">
      <c r="A7590" t="str">
        <f>"Gm10472"</f>
        <v>Gm10472</v>
      </c>
      <c r="B7590" t="s">
        <v>14</v>
      </c>
      <c r="C7590" t="s">
        <v>46</v>
      </c>
      <c r="D7590" t="s">
        <v>11</v>
      </c>
      <c r="E7590" t="s">
        <v>67</v>
      </c>
      <c r="F7590">
        <v>24451704</v>
      </c>
      <c r="G7590">
        <v>24451745</v>
      </c>
      <c r="H7590">
        <v>24451704</v>
      </c>
      <c r="I7590">
        <v>24451745</v>
      </c>
    </row>
    <row r="7591" spans="1:9" x14ac:dyDescent="0.2">
      <c r="A7591" t="str">
        <f>"Gm10477"</f>
        <v>Gm10477</v>
      </c>
      <c r="B7591" t="s">
        <v>2612</v>
      </c>
      <c r="C7591" t="s">
        <v>37</v>
      </c>
      <c r="D7591" t="s">
        <v>17</v>
      </c>
      <c r="E7591" t="s">
        <v>20</v>
      </c>
      <c r="F7591">
        <v>56524741</v>
      </c>
      <c r="G7591">
        <v>56524741</v>
      </c>
      <c r="H7591">
        <v>56524741</v>
      </c>
      <c r="I7591">
        <v>56524741</v>
      </c>
    </row>
    <row r="7592" spans="1:9" x14ac:dyDescent="0.2">
      <c r="A7592" t="str">
        <f>"Gm10479"</f>
        <v>Gm10479</v>
      </c>
      <c r="B7592" t="s">
        <v>14</v>
      </c>
      <c r="C7592" t="s">
        <v>16</v>
      </c>
      <c r="D7592" t="s">
        <v>17</v>
      </c>
      <c r="E7592" t="s">
        <v>67</v>
      </c>
      <c r="F7592">
        <v>20415623</v>
      </c>
      <c r="G7592">
        <v>20415661</v>
      </c>
      <c r="H7592">
        <v>20415623</v>
      </c>
      <c r="I7592">
        <v>20415661</v>
      </c>
    </row>
    <row r="7593" spans="1:9" x14ac:dyDescent="0.2">
      <c r="A7593" t="str">
        <f>"Gm10482"</f>
        <v>Gm10482</v>
      </c>
      <c r="B7593" t="s">
        <v>2613</v>
      </c>
      <c r="C7593" t="s">
        <v>46</v>
      </c>
      <c r="D7593" t="s">
        <v>17</v>
      </c>
      <c r="E7593" t="s">
        <v>20</v>
      </c>
      <c r="F7593">
        <v>10236828</v>
      </c>
      <c r="G7593">
        <v>10236828</v>
      </c>
      <c r="H7593">
        <v>10236828</v>
      </c>
      <c r="I7593">
        <v>10236828</v>
      </c>
    </row>
    <row r="7594" spans="1:9" x14ac:dyDescent="0.2">
      <c r="A7594" t="str">
        <f>"Gm10483"</f>
        <v>Gm10483</v>
      </c>
      <c r="B7594" t="s">
        <v>2614</v>
      </c>
      <c r="C7594" t="s">
        <v>37</v>
      </c>
      <c r="D7594" t="s">
        <v>17</v>
      </c>
      <c r="E7594" t="s">
        <v>20</v>
      </c>
      <c r="F7594">
        <v>42526584</v>
      </c>
      <c r="G7594">
        <v>42526584</v>
      </c>
      <c r="H7594">
        <v>42526584</v>
      </c>
      <c r="I7594">
        <v>42526584</v>
      </c>
    </row>
    <row r="7595" spans="1:9" x14ac:dyDescent="0.2">
      <c r="A7595" t="str">
        <f>"Gm10486"</f>
        <v>Gm10486</v>
      </c>
      <c r="B7595" t="s">
        <v>2615</v>
      </c>
      <c r="C7595" t="s">
        <v>37</v>
      </c>
      <c r="D7595" t="s">
        <v>17</v>
      </c>
      <c r="E7595" t="s">
        <v>20</v>
      </c>
      <c r="F7595">
        <v>35067383</v>
      </c>
      <c r="G7595">
        <v>35067383</v>
      </c>
      <c r="H7595">
        <v>35067383</v>
      </c>
      <c r="I7595">
        <v>35067383</v>
      </c>
    </row>
    <row r="7596" spans="1:9" x14ac:dyDescent="0.2">
      <c r="A7596" t="str">
        <f>"Gm10487"</f>
        <v>Gm10487</v>
      </c>
      <c r="B7596" t="s">
        <v>2616</v>
      </c>
      <c r="C7596" t="s">
        <v>37</v>
      </c>
      <c r="D7596" t="s">
        <v>11</v>
      </c>
      <c r="E7596" t="s">
        <v>20</v>
      </c>
      <c r="F7596">
        <v>30841833</v>
      </c>
      <c r="G7596">
        <v>30841833</v>
      </c>
      <c r="H7596">
        <v>30841833</v>
      </c>
      <c r="I7596">
        <v>30841833</v>
      </c>
    </row>
    <row r="7597" spans="1:9" x14ac:dyDescent="0.2">
      <c r="A7597" t="str">
        <f>"Gm10487"</f>
        <v>Gm10487</v>
      </c>
      <c r="B7597" t="s">
        <v>2617</v>
      </c>
      <c r="C7597" t="s">
        <v>37</v>
      </c>
      <c r="D7597" t="s">
        <v>11</v>
      </c>
      <c r="E7597" t="s">
        <v>20</v>
      </c>
      <c r="F7597">
        <v>30843468</v>
      </c>
      <c r="G7597">
        <v>30843468</v>
      </c>
      <c r="H7597">
        <v>30843468</v>
      </c>
      <c r="I7597">
        <v>30843468</v>
      </c>
    </row>
    <row r="7598" spans="1:9" x14ac:dyDescent="0.2">
      <c r="A7598" t="str">
        <f>"Gm10488"</f>
        <v>Gm10488</v>
      </c>
      <c r="B7598" t="s">
        <v>2618</v>
      </c>
      <c r="C7598" t="s">
        <v>37</v>
      </c>
      <c r="D7598" t="s">
        <v>17</v>
      </c>
      <c r="E7598" t="s">
        <v>20</v>
      </c>
      <c r="F7598">
        <v>29976313</v>
      </c>
      <c r="G7598">
        <v>29976313</v>
      </c>
      <c r="H7598">
        <v>29976313</v>
      </c>
      <c r="I7598">
        <v>29976313</v>
      </c>
    </row>
    <row r="7599" spans="1:9" x14ac:dyDescent="0.2">
      <c r="A7599" t="str">
        <f>"Gm10490"</f>
        <v>Gm10490</v>
      </c>
      <c r="B7599" t="s">
        <v>2619</v>
      </c>
      <c r="C7599" t="s">
        <v>37</v>
      </c>
      <c r="D7599" t="s">
        <v>17</v>
      </c>
      <c r="E7599" t="s">
        <v>20</v>
      </c>
      <c r="F7599">
        <v>7909541</v>
      </c>
      <c r="G7599">
        <v>7909541</v>
      </c>
      <c r="H7599">
        <v>7909541</v>
      </c>
      <c r="I7599">
        <v>7909541</v>
      </c>
    </row>
    <row r="7600" spans="1:9" x14ac:dyDescent="0.2">
      <c r="A7600" t="str">
        <f>"Gm10491"</f>
        <v>Gm10491</v>
      </c>
      <c r="B7600" t="s">
        <v>2620</v>
      </c>
      <c r="C7600" t="s">
        <v>37</v>
      </c>
      <c r="D7600" t="s">
        <v>11</v>
      </c>
      <c r="E7600" t="s">
        <v>20</v>
      </c>
      <c r="F7600">
        <v>7907834</v>
      </c>
      <c r="G7600">
        <v>7907834</v>
      </c>
      <c r="H7600">
        <v>7907834</v>
      </c>
      <c r="I7600">
        <v>7907834</v>
      </c>
    </row>
    <row r="7601" spans="1:9" x14ac:dyDescent="0.2">
      <c r="A7601" t="str">
        <f>"Gm10509"</f>
        <v>Gm10509</v>
      </c>
      <c r="B7601" t="s">
        <v>2621</v>
      </c>
      <c r="C7601" t="s">
        <v>28</v>
      </c>
      <c r="D7601" t="s">
        <v>17</v>
      </c>
      <c r="E7601" t="s">
        <v>20</v>
      </c>
      <c r="F7601">
        <v>21690765</v>
      </c>
      <c r="G7601">
        <v>21690765</v>
      </c>
      <c r="H7601">
        <v>21690765</v>
      </c>
      <c r="I7601">
        <v>21690765</v>
      </c>
    </row>
    <row r="7602" spans="1:9" x14ac:dyDescent="0.2">
      <c r="A7602" t="str">
        <f>"Gm10517"</f>
        <v>Gm10517</v>
      </c>
      <c r="B7602" t="s">
        <v>14</v>
      </c>
      <c r="C7602" t="s">
        <v>19</v>
      </c>
      <c r="D7602" t="s">
        <v>11</v>
      </c>
      <c r="E7602" t="s">
        <v>67</v>
      </c>
      <c r="F7602">
        <v>182409318</v>
      </c>
      <c r="G7602">
        <v>182409324</v>
      </c>
      <c r="H7602">
        <v>182409318</v>
      </c>
      <c r="I7602">
        <v>182409324</v>
      </c>
    </row>
    <row r="7603" spans="1:9" x14ac:dyDescent="0.2">
      <c r="A7603" t="str">
        <f>"Gm10518"</f>
        <v>Gm10518</v>
      </c>
      <c r="B7603" t="s">
        <v>14</v>
      </c>
      <c r="C7603" t="s">
        <v>19</v>
      </c>
      <c r="D7603" t="s">
        <v>17</v>
      </c>
      <c r="E7603" t="s">
        <v>67</v>
      </c>
      <c r="F7603">
        <v>179803337</v>
      </c>
      <c r="G7603">
        <v>179803376</v>
      </c>
      <c r="H7603">
        <v>179803337</v>
      </c>
      <c r="I7603">
        <v>179803376</v>
      </c>
    </row>
    <row r="7604" spans="1:9" x14ac:dyDescent="0.2">
      <c r="A7604" t="str">
        <f>"Gm10521"</f>
        <v>Gm10521</v>
      </c>
      <c r="B7604" t="s">
        <v>2622</v>
      </c>
      <c r="C7604" t="s">
        <v>19</v>
      </c>
      <c r="D7604" t="s">
        <v>17</v>
      </c>
      <c r="E7604" t="s">
        <v>20</v>
      </c>
      <c r="F7604">
        <v>171895663</v>
      </c>
      <c r="G7604">
        <v>171895663</v>
      </c>
      <c r="H7604">
        <v>171895663</v>
      </c>
      <c r="I7604">
        <v>171895663</v>
      </c>
    </row>
    <row r="7605" spans="1:9" x14ac:dyDescent="0.2">
      <c r="A7605" t="str">
        <f>"Gm10530"</f>
        <v>Gm10530</v>
      </c>
      <c r="B7605" t="s">
        <v>14</v>
      </c>
      <c r="C7605" t="s">
        <v>19</v>
      </c>
      <c r="D7605" t="s">
        <v>17</v>
      </c>
      <c r="E7605" t="s">
        <v>67</v>
      </c>
      <c r="F7605">
        <v>159614915</v>
      </c>
      <c r="G7605">
        <v>159614943</v>
      </c>
      <c r="H7605">
        <v>159614915</v>
      </c>
      <c r="I7605">
        <v>159614943</v>
      </c>
    </row>
    <row r="7606" spans="1:9" x14ac:dyDescent="0.2">
      <c r="A7606" t="str">
        <f>"Gm10542"</f>
        <v>Gm10542</v>
      </c>
      <c r="B7606" t="s">
        <v>14</v>
      </c>
      <c r="C7606" t="s">
        <v>43</v>
      </c>
      <c r="D7606" t="s">
        <v>17</v>
      </c>
      <c r="E7606" t="s">
        <v>67</v>
      </c>
      <c r="F7606">
        <v>44200845</v>
      </c>
      <c r="G7606">
        <v>44200849</v>
      </c>
      <c r="H7606">
        <v>44200845</v>
      </c>
      <c r="I7606">
        <v>44200849</v>
      </c>
    </row>
    <row r="7607" spans="1:9" x14ac:dyDescent="0.2">
      <c r="A7607" t="str">
        <f>"Gm10545"</f>
        <v>Gm10545</v>
      </c>
      <c r="B7607" t="s">
        <v>2623</v>
      </c>
      <c r="C7607" t="s">
        <v>43</v>
      </c>
      <c r="D7607" t="s">
        <v>11</v>
      </c>
      <c r="E7607" t="s">
        <v>20</v>
      </c>
      <c r="F7607">
        <v>37020678</v>
      </c>
      <c r="G7607">
        <v>37020678</v>
      </c>
      <c r="H7607">
        <v>37020678</v>
      </c>
      <c r="I7607">
        <v>37020678</v>
      </c>
    </row>
    <row r="7608" spans="1:9" x14ac:dyDescent="0.2">
      <c r="A7608" t="str">
        <f>"Gm10549"</f>
        <v>Gm10549</v>
      </c>
      <c r="B7608" t="s">
        <v>14</v>
      </c>
      <c r="C7608" t="s">
        <v>43</v>
      </c>
      <c r="D7608" t="s">
        <v>17</v>
      </c>
      <c r="E7608" t="s">
        <v>12</v>
      </c>
      <c r="F7608">
        <v>33464158</v>
      </c>
      <c r="G7608">
        <v>33464173</v>
      </c>
      <c r="H7608">
        <v>33464188</v>
      </c>
      <c r="I7608">
        <v>33464209</v>
      </c>
    </row>
    <row r="7609" spans="1:9" x14ac:dyDescent="0.2">
      <c r="A7609" t="str">
        <f>"Gm10553"</f>
        <v>Gm10553</v>
      </c>
      <c r="B7609" t="s">
        <v>2624</v>
      </c>
      <c r="C7609" t="s">
        <v>19</v>
      </c>
      <c r="D7609" t="s">
        <v>17</v>
      </c>
      <c r="E7609" t="s">
        <v>20</v>
      </c>
      <c r="F7609">
        <v>85100163</v>
      </c>
      <c r="G7609">
        <v>85100163</v>
      </c>
      <c r="H7609">
        <v>85100163</v>
      </c>
      <c r="I7609">
        <v>85100163</v>
      </c>
    </row>
    <row r="7610" spans="1:9" x14ac:dyDescent="0.2">
      <c r="A7610" t="str">
        <f>"Gm10563"</f>
        <v>Gm10563</v>
      </c>
      <c r="B7610" t="s">
        <v>2625</v>
      </c>
      <c r="C7610" t="s">
        <v>23</v>
      </c>
      <c r="D7610" t="s">
        <v>11</v>
      </c>
      <c r="E7610" t="s">
        <v>20</v>
      </c>
      <c r="F7610">
        <v>155645407</v>
      </c>
      <c r="G7610">
        <v>155645407</v>
      </c>
      <c r="H7610">
        <v>155645407</v>
      </c>
      <c r="I7610">
        <v>155645407</v>
      </c>
    </row>
    <row r="7611" spans="1:9" x14ac:dyDescent="0.2">
      <c r="A7611" t="str">
        <f>"Gm10564"</f>
        <v>Gm10564</v>
      </c>
      <c r="B7611" t="s">
        <v>2626</v>
      </c>
      <c r="C7611" t="s">
        <v>23</v>
      </c>
      <c r="D7611" t="s">
        <v>17</v>
      </c>
      <c r="E7611" t="s">
        <v>20</v>
      </c>
      <c r="F7611">
        <v>155042045</v>
      </c>
      <c r="G7611">
        <v>155042045</v>
      </c>
      <c r="H7611">
        <v>155042045</v>
      </c>
      <c r="I7611">
        <v>155042045</v>
      </c>
    </row>
    <row r="7612" spans="1:9" x14ac:dyDescent="0.2">
      <c r="A7612" t="str">
        <f>"Gm10567"</f>
        <v>Gm10567</v>
      </c>
      <c r="B7612" t="s">
        <v>2627</v>
      </c>
      <c r="C7612" t="s">
        <v>19</v>
      </c>
      <c r="D7612" t="s">
        <v>11</v>
      </c>
      <c r="E7612" t="s">
        <v>20</v>
      </c>
      <c r="F7612">
        <v>9962808</v>
      </c>
      <c r="G7612">
        <v>9962808</v>
      </c>
      <c r="H7612">
        <v>9962808</v>
      </c>
      <c r="I7612">
        <v>9962808</v>
      </c>
    </row>
    <row r="7613" spans="1:9" x14ac:dyDescent="0.2">
      <c r="A7613" t="str">
        <f>"Gm10570"</f>
        <v>Gm10570</v>
      </c>
      <c r="B7613" t="s">
        <v>14</v>
      </c>
      <c r="C7613" t="s">
        <v>23</v>
      </c>
      <c r="D7613" t="s">
        <v>11</v>
      </c>
      <c r="E7613" t="s">
        <v>67</v>
      </c>
      <c r="F7613">
        <v>130308974</v>
      </c>
      <c r="G7613">
        <v>130308978</v>
      </c>
      <c r="H7613">
        <v>130308974</v>
      </c>
      <c r="I7613">
        <v>130308978</v>
      </c>
    </row>
    <row r="7614" spans="1:9" x14ac:dyDescent="0.2">
      <c r="A7614" t="str">
        <f>"Gm10576"</f>
        <v>Gm10576</v>
      </c>
      <c r="B7614" t="s">
        <v>2628</v>
      </c>
      <c r="C7614" t="s">
        <v>23</v>
      </c>
      <c r="D7614" t="s">
        <v>11</v>
      </c>
      <c r="E7614" t="s">
        <v>20</v>
      </c>
      <c r="F7614">
        <v>101055261</v>
      </c>
      <c r="G7614">
        <v>101055261</v>
      </c>
      <c r="H7614">
        <v>101055261</v>
      </c>
      <c r="I7614">
        <v>101055261</v>
      </c>
    </row>
    <row r="7615" spans="1:9" x14ac:dyDescent="0.2">
      <c r="A7615" t="str">
        <f>"Gm10577"</f>
        <v>Gm10577</v>
      </c>
      <c r="B7615" t="s">
        <v>2629</v>
      </c>
      <c r="C7615" t="s">
        <v>23</v>
      </c>
      <c r="D7615" t="s">
        <v>11</v>
      </c>
      <c r="E7615" t="s">
        <v>20</v>
      </c>
      <c r="F7615">
        <v>101020695</v>
      </c>
      <c r="G7615">
        <v>101020695</v>
      </c>
      <c r="H7615">
        <v>101020695</v>
      </c>
      <c r="I7615">
        <v>101020695</v>
      </c>
    </row>
    <row r="7616" spans="1:9" x14ac:dyDescent="0.2">
      <c r="A7616" t="str">
        <f>"Gm10591"</f>
        <v>Gm10591</v>
      </c>
      <c r="B7616" t="s">
        <v>2630</v>
      </c>
      <c r="C7616" t="s">
        <v>23</v>
      </c>
      <c r="D7616" t="s">
        <v>17</v>
      </c>
      <c r="E7616" t="s">
        <v>20</v>
      </c>
      <c r="F7616">
        <v>42612194</v>
      </c>
      <c r="G7616">
        <v>42612194</v>
      </c>
      <c r="H7616">
        <v>42612194</v>
      </c>
      <c r="I7616">
        <v>42612194</v>
      </c>
    </row>
    <row r="7617" spans="1:9" x14ac:dyDescent="0.2">
      <c r="A7617" t="str">
        <f>"Gm10592"</f>
        <v>Gm10592</v>
      </c>
      <c r="B7617" t="s">
        <v>2631</v>
      </c>
      <c r="C7617" t="s">
        <v>23</v>
      </c>
      <c r="D7617" t="s">
        <v>11</v>
      </c>
      <c r="E7617" t="s">
        <v>20</v>
      </c>
      <c r="F7617">
        <v>42581620</v>
      </c>
      <c r="G7617">
        <v>42581620</v>
      </c>
      <c r="H7617">
        <v>42581620</v>
      </c>
      <c r="I7617">
        <v>42581620</v>
      </c>
    </row>
    <row r="7618" spans="1:9" x14ac:dyDescent="0.2">
      <c r="A7618" t="str">
        <f>"Gm10595"</f>
        <v>Gm10595</v>
      </c>
      <c r="B7618" t="s">
        <v>2632</v>
      </c>
      <c r="C7618" t="s">
        <v>23</v>
      </c>
      <c r="D7618" t="s">
        <v>11</v>
      </c>
      <c r="E7618" t="s">
        <v>20</v>
      </c>
      <c r="F7618">
        <v>42219852</v>
      </c>
      <c r="G7618">
        <v>42219852</v>
      </c>
      <c r="H7618">
        <v>42219852</v>
      </c>
      <c r="I7618">
        <v>42219852</v>
      </c>
    </row>
    <row r="7619" spans="1:9" x14ac:dyDescent="0.2">
      <c r="A7619" t="str">
        <f>"Gm10597"</f>
        <v>Gm10597</v>
      </c>
      <c r="B7619" t="s">
        <v>2633</v>
      </c>
      <c r="C7619" t="s">
        <v>23</v>
      </c>
      <c r="D7619" t="s">
        <v>11</v>
      </c>
      <c r="E7619" t="s">
        <v>20</v>
      </c>
      <c r="F7619">
        <v>42459175</v>
      </c>
      <c r="G7619">
        <v>42459175</v>
      </c>
      <c r="H7619">
        <v>42459175</v>
      </c>
      <c r="I7619">
        <v>42459175</v>
      </c>
    </row>
    <row r="7620" spans="1:9" x14ac:dyDescent="0.2">
      <c r="A7620" t="str">
        <f>"Gm10600"</f>
        <v>Gm10600</v>
      </c>
      <c r="B7620" t="s">
        <v>2634</v>
      </c>
      <c r="C7620" t="s">
        <v>23</v>
      </c>
      <c r="D7620" t="s">
        <v>17</v>
      </c>
      <c r="E7620" t="s">
        <v>20</v>
      </c>
      <c r="F7620">
        <v>42240638</v>
      </c>
      <c r="G7620">
        <v>42240638</v>
      </c>
      <c r="H7620">
        <v>42240638</v>
      </c>
      <c r="I7620">
        <v>42240638</v>
      </c>
    </row>
    <row r="7621" spans="1:9" x14ac:dyDescent="0.2">
      <c r="A7621" t="str">
        <f>"Gm10604"</f>
        <v>Gm10604</v>
      </c>
      <c r="B7621" t="s">
        <v>2635</v>
      </c>
      <c r="C7621" t="s">
        <v>23</v>
      </c>
      <c r="D7621" t="s">
        <v>11</v>
      </c>
      <c r="E7621" t="s">
        <v>20</v>
      </c>
      <c r="F7621">
        <v>11981264</v>
      </c>
      <c r="G7621">
        <v>11981264</v>
      </c>
      <c r="H7621">
        <v>11981264</v>
      </c>
      <c r="I7621">
        <v>11981264</v>
      </c>
    </row>
    <row r="7622" spans="1:9" x14ac:dyDescent="0.2">
      <c r="A7622" t="str">
        <f>"Gm10608"</f>
        <v>Gm10608</v>
      </c>
      <c r="B7622" t="s">
        <v>2636</v>
      </c>
      <c r="C7622" t="s">
        <v>24</v>
      </c>
      <c r="D7622" t="s">
        <v>17</v>
      </c>
      <c r="E7622" t="s">
        <v>20</v>
      </c>
      <c r="F7622">
        <v>119159160</v>
      </c>
      <c r="G7622">
        <v>119159160</v>
      </c>
      <c r="H7622">
        <v>119159160</v>
      </c>
      <c r="I7622">
        <v>119159160</v>
      </c>
    </row>
    <row r="7623" spans="1:9" x14ac:dyDescent="0.2">
      <c r="A7623" t="str">
        <f>"Gm10610"</f>
        <v>Gm10610</v>
      </c>
      <c r="B7623" t="s">
        <v>2637</v>
      </c>
      <c r="C7623" t="s">
        <v>33</v>
      </c>
      <c r="D7623" t="s">
        <v>11</v>
      </c>
      <c r="E7623" t="s">
        <v>20</v>
      </c>
      <c r="F7623">
        <v>83550257</v>
      </c>
      <c r="G7623">
        <v>83550257</v>
      </c>
      <c r="H7623">
        <v>83550257</v>
      </c>
      <c r="I7623">
        <v>83550257</v>
      </c>
    </row>
    <row r="7624" spans="1:9" x14ac:dyDescent="0.2">
      <c r="A7624" t="str">
        <f>"Gm10615"</f>
        <v>Gm10615</v>
      </c>
      <c r="B7624" t="s">
        <v>14</v>
      </c>
      <c r="C7624" t="s">
        <v>24</v>
      </c>
      <c r="D7624" t="s">
        <v>17</v>
      </c>
      <c r="E7624" t="s">
        <v>12</v>
      </c>
      <c r="F7624">
        <v>110117493</v>
      </c>
      <c r="G7624">
        <v>110117519</v>
      </c>
      <c r="H7624">
        <v>110117474</v>
      </c>
      <c r="I7624">
        <v>110117491</v>
      </c>
    </row>
    <row r="7625" spans="1:9" x14ac:dyDescent="0.2">
      <c r="A7625" t="str">
        <f>"Gm10619"</f>
        <v>Gm10619</v>
      </c>
      <c r="B7625" t="s">
        <v>14</v>
      </c>
      <c r="C7625" t="s">
        <v>33</v>
      </c>
      <c r="D7625" t="s">
        <v>11</v>
      </c>
      <c r="E7625" t="s">
        <v>67</v>
      </c>
      <c r="F7625">
        <v>73816462</v>
      </c>
      <c r="G7625">
        <v>73816480</v>
      </c>
      <c r="H7625">
        <v>73816426</v>
      </c>
      <c r="I7625">
        <v>73816431</v>
      </c>
    </row>
    <row r="7626" spans="1:9" x14ac:dyDescent="0.2">
      <c r="A7626" t="str">
        <f>"Gm10621"</f>
        <v>Gm10621</v>
      </c>
      <c r="B7626" t="s">
        <v>14</v>
      </c>
      <c r="C7626" t="s">
        <v>24</v>
      </c>
      <c r="D7626" t="s">
        <v>17</v>
      </c>
      <c r="E7626" t="s">
        <v>67</v>
      </c>
      <c r="F7626">
        <v>108648720</v>
      </c>
      <c r="G7626">
        <v>108648733</v>
      </c>
      <c r="H7626">
        <v>108648720</v>
      </c>
      <c r="I7626">
        <v>108648733</v>
      </c>
    </row>
    <row r="7627" spans="1:9" x14ac:dyDescent="0.2">
      <c r="A7627" t="str">
        <f>"Gm10634"</f>
        <v>Gm10634</v>
      </c>
      <c r="B7627" t="s">
        <v>2638</v>
      </c>
      <c r="C7627" t="s">
        <v>24</v>
      </c>
      <c r="D7627" t="s">
        <v>17</v>
      </c>
      <c r="E7627" t="s">
        <v>20</v>
      </c>
      <c r="F7627">
        <v>88793461</v>
      </c>
      <c r="G7627">
        <v>88793461</v>
      </c>
      <c r="H7627">
        <v>88793461</v>
      </c>
      <c r="I7627">
        <v>88793461</v>
      </c>
    </row>
    <row r="7628" spans="1:9" x14ac:dyDescent="0.2">
      <c r="A7628" t="str">
        <f>"Gm10638"</f>
        <v>Gm10638</v>
      </c>
      <c r="B7628" t="s">
        <v>14</v>
      </c>
      <c r="C7628" t="s">
        <v>30</v>
      </c>
      <c r="D7628" t="s">
        <v>17</v>
      </c>
      <c r="E7628" t="s">
        <v>12</v>
      </c>
      <c r="F7628">
        <v>86745536</v>
      </c>
      <c r="G7628">
        <v>86745554</v>
      </c>
      <c r="H7628">
        <v>86745536</v>
      </c>
      <c r="I7628">
        <v>86745554</v>
      </c>
    </row>
    <row r="7629" spans="1:9" x14ac:dyDescent="0.2">
      <c r="A7629" t="str">
        <f>"Gm10639"</f>
        <v>Gm10639</v>
      </c>
      <c r="B7629" t="s">
        <v>14</v>
      </c>
      <c r="C7629" t="s">
        <v>24</v>
      </c>
      <c r="D7629" t="s">
        <v>17</v>
      </c>
      <c r="E7629" t="s">
        <v>12</v>
      </c>
      <c r="F7629">
        <v>78289921</v>
      </c>
      <c r="G7629">
        <v>78289932</v>
      </c>
      <c r="H7629">
        <v>78289921</v>
      </c>
      <c r="I7629">
        <v>78289932</v>
      </c>
    </row>
    <row r="7630" spans="1:9" x14ac:dyDescent="0.2">
      <c r="A7630" t="str">
        <f>"Gm10642"</f>
        <v>Gm10642</v>
      </c>
      <c r="B7630" t="s">
        <v>14</v>
      </c>
      <c r="C7630" t="s">
        <v>24</v>
      </c>
      <c r="D7630" t="s">
        <v>17</v>
      </c>
      <c r="E7630" t="s">
        <v>67</v>
      </c>
      <c r="F7630">
        <v>70656248</v>
      </c>
      <c r="G7630">
        <v>70656261</v>
      </c>
      <c r="H7630">
        <v>70656229</v>
      </c>
      <c r="I7630">
        <v>70656245</v>
      </c>
    </row>
    <row r="7631" spans="1:9" x14ac:dyDescent="0.2">
      <c r="A7631" t="str">
        <f>"Gm10643"</f>
        <v>Gm10643</v>
      </c>
      <c r="B7631" t="s">
        <v>2639</v>
      </c>
      <c r="C7631" t="s">
        <v>30</v>
      </c>
      <c r="D7631" t="s">
        <v>11</v>
      </c>
      <c r="E7631" t="s">
        <v>20</v>
      </c>
      <c r="F7631">
        <v>84065136</v>
      </c>
      <c r="G7631">
        <v>84065136</v>
      </c>
      <c r="H7631">
        <v>84065136</v>
      </c>
      <c r="I7631">
        <v>84065136</v>
      </c>
    </row>
    <row r="7632" spans="1:9" x14ac:dyDescent="0.2">
      <c r="A7632" t="str">
        <f>"Gm10644"</f>
        <v>Gm10644</v>
      </c>
      <c r="B7632" t="s">
        <v>14</v>
      </c>
      <c r="C7632" t="s">
        <v>30</v>
      </c>
      <c r="D7632" t="s">
        <v>11</v>
      </c>
      <c r="E7632" t="s">
        <v>67</v>
      </c>
      <c r="F7632">
        <v>83955173</v>
      </c>
      <c r="G7632">
        <v>83955214</v>
      </c>
      <c r="H7632">
        <v>83955152</v>
      </c>
      <c r="I7632">
        <v>83955172</v>
      </c>
    </row>
    <row r="7633" spans="1:9" x14ac:dyDescent="0.2">
      <c r="A7633" t="str">
        <f>"Gm10645"</f>
        <v>Gm10645</v>
      </c>
      <c r="B7633" t="s">
        <v>14</v>
      </c>
      <c r="C7633" t="s">
        <v>30</v>
      </c>
      <c r="D7633" t="s">
        <v>11</v>
      </c>
      <c r="E7633" t="s">
        <v>67</v>
      </c>
      <c r="F7633">
        <v>83166156</v>
      </c>
      <c r="G7633">
        <v>83166179</v>
      </c>
      <c r="H7633">
        <v>83166123</v>
      </c>
      <c r="I7633">
        <v>83166134</v>
      </c>
    </row>
    <row r="7634" spans="1:9" x14ac:dyDescent="0.2">
      <c r="A7634" t="str">
        <f>"Gm10647"</f>
        <v>Gm10647</v>
      </c>
      <c r="B7634" t="s">
        <v>2640</v>
      </c>
      <c r="C7634" t="s">
        <v>24</v>
      </c>
      <c r="D7634" t="s">
        <v>17</v>
      </c>
      <c r="E7634" t="s">
        <v>20</v>
      </c>
      <c r="F7634">
        <v>66797038</v>
      </c>
      <c r="G7634">
        <v>66797038</v>
      </c>
      <c r="H7634">
        <v>66797038</v>
      </c>
      <c r="I7634">
        <v>66797038</v>
      </c>
    </row>
    <row r="7635" spans="1:9" x14ac:dyDescent="0.2">
      <c r="A7635" t="str">
        <f>"Gm10650"</f>
        <v>Gm10650</v>
      </c>
      <c r="B7635" t="s">
        <v>2641</v>
      </c>
      <c r="C7635" t="s">
        <v>22</v>
      </c>
      <c r="D7635" t="s">
        <v>17</v>
      </c>
      <c r="E7635" t="s">
        <v>20</v>
      </c>
      <c r="F7635">
        <v>128038693</v>
      </c>
      <c r="G7635">
        <v>128038693</v>
      </c>
      <c r="H7635">
        <v>128038693</v>
      </c>
      <c r="I7635">
        <v>128038693</v>
      </c>
    </row>
    <row r="7636" spans="1:9" x14ac:dyDescent="0.2">
      <c r="A7636" t="str">
        <f>"Gm10654"</f>
        <v>Gm10654</v>
      </c>
      <c r="B7636" t="s">
        <v>2642</v>
      </c>
      <c r="C7636" t="s">
        <v>30</v>
      </c>
      <c r="D7636" t="s">
        <v>17</v>
      </c>
      <c r="E7636" t="s">
        <v>20</v>
      </c>
      <c r="F7636">
        <v>70931404</v>
      </c>
      <c r="G7636">
        <v>70931404</v>
      </c>
      <c r="H7636">
        <v>70931404</v>
      </c>
      <c r="I7636">
        <v>70931404</v>
      </c>
    </row>
    <row r="7637" spans="1:9" x14ac:dyDescent="0.2">
      <c r="A7637" t="str">
        <f>"Gm10655"</f>
        <v>Gm10655</v>
      </c>
      <c r="B7637" t="s">
        <v>14</v>
      </c>
      <c r="C7637" t="s">
        <v>24</v>
      </c>
      <c r="D7637" t="s">
        <v>11</v>
      </c>
      <c r="E7637" t="s">
        <v>12</v>
      </c>
      <c r="F7637">
        <v>61372187</v>
      </c>
      <c r="G7637">
        <v>61372211</v>
      </c>
      <c r="H7637">
        <v>61372688</v>
      </c>
      <c r="I7637">
        <v>61372703</v>
      </c>
    </row>
    <row r="7638" spans="1:9" x14ac:dyDescent="0.2">
      <c r="A7638" t="str">
        <f>"Gm10657"</f>
        <v>Gm10657</v>
      </c>
      <c r="B7638" t="s">
        <v>14</v>
      </c>
      <c r="C7638" t="s">
        <v>24</v>
      </c>
      <c r="D7638" t="s">
        <v>17</v>
      </c>
      <c r="E7638" t="s">
        <v>67</v>
      </c>
      <c r="F7638">
        <v>58554781</v>
      </c>
      <c r="G7638">
        <v>58554805</v>
      </c>
      <c r="H7638">
        <v>58554781</v>
      </c>
      <c r="I7638">
        <v>58554805</v>
      </c>
    </row>
    <row r="7639" spans="1:9" x14ac:dyDescent="0.2">
      <c r="A7639" t="str">
        <f>"Gm10662"</f>
        <v>Gm10662</v>
      </c>
      <c r="B7639" t="s">
        <v>2643</v>
      </c>
      <c r="C7639" t="s">
        <v>33</v>
      </c>
      <c r="D7639" t="s">
        <v>11</v>
      </c>
      <c r="E7639" t="s">
        <v>20</v>
      </c>
      <c r="F7639">
        <v>23133936</v>
      </c>
      <c r="G7639">
        <v>23133936</v>
      </c>
      <c r="H7639">
        <v>23133936</v>
      </c>
      <c r="I7639">
        <v>23133936</v>
      </c>
    </row>
    <row r="7640" spans="1:9" x14ac:dyDescent="0.2">
      <c r="A7640" t="str">
        <f>"Gm10663"</f>
        <v>Gm10663</v>
      </c>
      <c r="B7640" t="s">
        <v>2644</v>
      </c>
      <c r="C7640" t="s">
        <v>30</v>
      </c>
      <c r="D7640" t="s">
        <v>17</v>
      </c>
      <c r="E7640" t="s">
        <v>20</v>
      </c>
      <c r="F7640">
        <v>65075032</v>
      </c>
      <c r="G7640">
        <v>65075032</v>
      </c>
      <c r="H7640">
        <v>65075032</v>
      </c>
      <c r="I7640">
        <v>65075032</v>
      </c>
    </row>
    <row r="7641" spans="1:9" x14ac:dyDescent="0.2">
      <c r="A7641" t="str">
        <f>"Gm10665"</f>
        <v>Gm10665</v>
      </c>
      <c r="B7641" t="s">
        <v>2645</v>
      </c>
      <c r="C7641" t="s">
        <v>33</v>
      </c>
      <c r="D7641" t="s">
        <v>11</v>
      </c>
      <c r="E7641" t="s">
        <v>20</v>
      </c>
      <c r="F7641">
        <v>22464074</v>
      </c>
      <c r="G7641">
        <v>22464074</v>
      </c>
      <c r="H7641">
        <v>22464074</v>
      </c>
      <c r="I7641">
        <v>22464074</v>
      </c>
    </row>
    <row r="7642" spans="1:9" x14ac:dyDescent="0.2">
      <c r="A7642" t="str">
        <f>"Gm10666"</f>
        <v>Gm10666</v>
      </c>
      <c r="B7642" t="s">
        <v>2646</v>
      </c>
      <c r="C7642" t="s">
        <v>33</v>
      </c>
      <c r="D7642" t="s">
        <v>11</v>
      </c>
      <c r="E7642" t="s">
        <v>20</v>
      </c>
      <c r="F7642">
        <v>22134740</v>
      </c>
      <c r="G7642">
        <v>22134740</v>
      </c>
      <c r="H7642">
        <v>22134740</v>
      </c>
      <c r="I7642">
        <v>22134740</v>
      </c>
    </row>
    <row r="7643" spans="1:9" x14ac:dyDescent="0.2">
      <c r="A7643" t="str">
        <f>"Gm10668"</f>
        <v>Gm10668</v>
      </c>
      <c r="B7643" t="s">
        <v>2647</v>
      </c>
      <c r="C7643" t="s">
        <v>33</v>
      </c>
      <c r="D7643" t="s">
        <v>11</v>
      </c>
      <c r="E7643" t="s">
        <v>20</v>
      </c>
      <c r="F7643">
        <v>20725823</v>
      </c>
      <c r="G7643">
        <v>20725823</v>
      </c>
      <c r="H7643">
        <v>20725823</v>
      </c>
      <c r="I7643">
        <v>20725823</v>
      </c>
    </row>
    <row r="7644" spans="1:9" x14ac:dyDescent="0.2">
      <c r="A7644" t="str">
        <f>"Gm10670"</f>
        <v>Gm10670</v>
      </c>
      <c r="B7644" t="s">
        <v>2648</v>
      </c>
      <c r="C7644" t="s">
        <v>33</v>
      </c>
      <c r="D7644" t="s">
        <v>11</v>
      </c>
      <c r="E7644" t="s">
        <v>20</v>
      </c>
      <c r="F7644">
        <v>20474924</v>
      </c>
      <c r="G7644">
        <v>20474924</v>
      </c>
      <c r="H7644">
        <v>20474924</v>
      </c>
      <c r="I7644">
        <v>20474924</v>
      </c>
    </row>
    <row r="7645" spans="1:9" x14ac:dyDescent="0.2">
      <c r="A7645" t="str">
        <f>"Gm10676"</f>
        <v>Gm10676</v>
      </c>
      <c r="B7645" t="s">
        <v>2649</v>
      </c>
      <c r="C7645" t="s">
        <v>33</v>
      </c>
      <c r="D7645" t="s">
        <v>11</v>
      </c>
      <c r="E7645" t="s">
        <v>20</v>
      </c>
      <c r="F7645">
        <v>18992773</v>
      </c>
      <c r="G7645">
        <v>18992773</v>
      </c>
      <c r="H7645">
        <v>18992773</v>
      </c>
      <c r="I7645">
        <v>18992773</v>
      </c>
    </row>
    <row r="7646" spans="1:9" x14ac:dyDescent="0.2">
      <c r="A7646" t="str">
        <f>"Gm10681"</f>
        <v>Gm10681</v>
      </c>
      <c r="B7646" t="s">
        <v>2650</v>
      </c>
      <c r="C7646" t="s">
        <v>22</v>
      </c>
      <c r="D7646" t="s">
        <v>11</v>
      </c>
      <c r="E7646" t="s">
        <v>20</v>
      </c>
      <c r="F7646">
        <v>98564037</v>
      </c>
      <c r="G7646">
        <v>98564037</v>
      </c>
      <c r="H7646">
        <v>98564037</v>
      </c>
      <c r="I7646">
        <v>98564037</v>
      </c>
    </row>
    <row r="7647" spans="1:9" x14ac:dyDescent="0.2">
      <c r="A7647" t="str">
        <f>"Gm10681"</f>
        <v>Gm10681</v>
      </c>
      <c r="B7647" t="s">
        <v>2651</v>
      </c>
      <c r="C7647" t="s">
        <v>22</v>
      </c>
      <c r="D7647" t="s">
        <v>11</v>
      </c>
      <c r="E7647" t="s">
        <v>20</v>
      </c>
      <c r="F7647">
        <v>98588806</v>
      </c>
      <c r="G7647">
        <v>98588806</v>
      </c>
      <c r="H7647">
        <v>98588806</v>
      </c>
      <c r="I7647">
        <v>98588806</v>
      </c>
    </row>
    <row r="7648" spans="1:9" x14ac:dyDescent="0.2">
      <c r="A7648" t="str">
        <f>"Gm10684"</f>
        <v>Gm10684</v>
      </c>
      <c r="B7648" t="s">
        <v>14</v>
      </c>
      <c r="C7648" t="s">
        <v>24</v>
      </c>
      <c r="D7648" t="s">
        <v>11</v>
      </c>
      <c r="E7648" t="s">
        <v>12</v>
      </c>
      <c r="F7648">
        <v>45135137</v>
      </c>
      <c r="G7648">
        <v>45135138</v>
      </c>
      <c r="H7648">
        <v>45135137</v>
      </c>
      <c r="I7648">
        <v>45135138</v>
      </c>
    </row>
    <row r="7649" spans="1:9" x14ac:dyDescent="0.2">
      <c r="A7649" t="str">
        <f>"Gm10691"</f>
        <v>Gm10691</v>
      </c>
      <c r="B7649" t="s">
        <v>14</v>
      </c>
      <c r="C7649" t="s">
        <v>22</v>
      </c>
      <c r="D7649" t="s">
        <v>11</v>
      </c>
      <c r="E7649" t="s">
        <v>12</v>
      </c>
      <c r="F7649">
        <v>95315163</v>
      </c>
      <c r="G7649">
        <v>95315200</v>
      </c>
      <c r="H7649">
        <v>95315107</v>
      </c>
      <c r="I7649">
        <v>95315135</v>
      </c>
    </row>
    <row r="7650" spans="1:9" x14ac:dyDescent="0.2">
      <c r="A7650" t="str">
        <f>"Gm10696"</f>
        <v>Gm10696</v>
      </c>
      <c r="B7650" t="s">
        <v>2652</v>
      </c>
      <c r="C7650" t="s">
        <v>22</v>
      </c>
      <c r="D7650" t="s">
        <v>11</v>
      </c>
      <c r="E7650" t="s">
        <v>20</v>
      </c>
      <c r="F7650">
        <v>94178192</v>
      </c>
      <c r="G7650">
        <v>94178192</v>
      </c>
      <c r="H7650">
        <v>94178192</v>
      </c>
      <c r="I7650">
        <v>94178192</v>
      </c>
    </row>
    <row r="7651" spans="1:9" x14ac:dyDescent="0.2">
      <c r="A7651" t="str">
        <f>"Gm10696"</f>
        <v>Gm10696</v>
      </c>
      <c r="B7651" t="s">
        <v>2653</v>
      </c>
      <c r="C7651" t="s">
        <v>22</v>
      </c>
      <c r="D7651" t="s">
        <v>11</v>
      </c>
      <c r="E7651" t="s">
        <v>20</v>
      </c>
      <c r="F7651">
        <v>94176615</v>
      </c>
      <c r="G7651">
        <v>94176615</v>
      </c>
      <c r="H7651">
        <v>94176615</v>
      </c>
      <c r="I7651">
        <v>94176615</v>
      </c>
    </row>
    <row r="7652" spans="1:9" x14ac:dyDescent="0.2">
      <c r="A7652" t="str">
        <f>"Gm10697"</f>
        <v>Gm10697</v>
      </c>
      <c r="B7652" t="s">
        <v>2654</v>
      </c>
      <c r="C7652" t="s">
        <v>22</v>
      </c>
      <c r="D7652" t="s">
        <v>11</v>
      </c>
      <c r="E7652" t="s">
        <v>20</v>
      </c>
      <c r="F7652">
        <v>94072643</v>
      </c>
      <c r="G7652">
        <v>94072643</v>
      </c>
      <c r="H7652">
        <v>94072643</v>
      </c>
      <c r="I7652">
        <v>94072643</v>
      </c>
    </row>
    <row r="7653" spans="1:9" x14ac:dyDescent="0.2">
      <c r="A7653" t="str">
        <f>"Gm10699"</f>
        <v>Gm10699</v>
      </c>
      <c r="B7653" t="s">
        <v>2655</v>
      </c>
      <c r="C7653" t="s">
        <v>30</v>
      </c>
      <c r="D7653" t="s">
        <v>17</v>
      </c>
      <c r="E7653" t="s">
        <v>20</v>
      </c>
      <c r="F7653">
        <v>14090460</v>
      </c>
      <c r="G7653">
        <v>14090460</v>
      </c>
      <c r="H7653">
        <v>14090460</v>
      </c>
      <c r="I7653">
        <v>14090460</v>
      </c>
    </row>
    <row r="7654" spans="1:9" x14ac:dyDescent="0.2">
      <c r="A7654" t="str">
        <f>"Gm1070"</f>
        <v>Gm1070</v>
      </c>
      <c r="B7654" t="s">
        <v>14</v>
      </c>
      <c r="C7654" t="s">
        <v>32</v>
      </c>
      <c r="D7654" t="s">
        <v>17</v>
      </c>
      <c r="E7654" t="s">
        <v>67</v>
      </c>
      <c r="F7654">
        <v>71293762</v>
      </c>
      <c r="G7654">
        <v>71293770</v>
      </c>
      <c r="H7654">
        <v>71293762</v>
      </c>
      <c r="I7654">
        <v>71293770</v>
      </c>
    </row>
    <row r="7655" spans="1:9" x14ac:dyDescent="0.2">
      <c r="A7655" t="str">
        <f>"Gm10704"</f>
        <v>Gm10704</v>
      </c>
      <c r="B7655" t="s">
        <v>14</v>
      </c>
      <c r="C7655" t="s">
        <v>22</v>
      </c>
      <c r="D7655" t="s">
        <v>11</v>
      </c>
      <c r="E7655" t="s">
        <v>67</v>
      </c>
      <c r="F7655">
        <v>88576858</v>
      </c>
      <c r="G7655">
        <v>88576889</v>
      </c>
      <c r="H7655">
        <v>88576858</v>
      </c>
      <c r="I7655">
        <v>88576889</v>
      </c>
    </row>
    <row r="7656" spans="1:9" x14ac:dyDescent="0.2">
      <c r="A7656" t="str">
        <f>"Gm10709"</f>
        <v>Gm10709</v>
      </c>
      <c r="B7656" t="s">
        <v>2656</v>
      </c>
      <c r="C7656" t="s">
        <v>24</v>
      </c>
      <c r="D7656" t="s">
        <v>17</v>
      </c>
      <c r="E7656" t="s">
        <v>20</v>
      </c>
      <c r="F7656">
        <v>7751671</v>
      </c>
      <c r="G7656">
        <v>7751671</v>
      </c>
      <c r="H7656">
        <v>7751671</v>
      </c>
      <c r="I7656">
        <v>7751671</v>
      </c>
    </row>
    <row r="7657" spans="1:9" x14ac:dyDescent="0.2">
      <c r="A7657" t="str">
        <f>"Gm10710"</f>
        <v>Gm10710</v>
      </c>
      <c r="B7657" t="s">
        <v>14</v>
      </c>
      <c r="C7657" t="s">
        <v>22</v>
      </c>
      <c r="D7657" t="s">
        <v>11</v>
      </c>
      <c r="E7657" t="s">
        <v>67</v>
      </c>
      <c r="F7657">
        <v>83129217</v>
      </c>
      <c r="G7657">
        <v>83129239</v>
      </c>
      <c r="H7657">
        <v>83129217</v>
      </c>
      <c r="I7657">
        <v>83129239</v>
      </c>
    </row>
    <row r="7658" spans="1:9" x14ac:dyDescent="0.2">
      <c r="A7658" t="str">
        <f>"Gm10711"</f>
        <v>Gm10711</v>
      </c>
      <c r="B7658" t="s">
        <v>2657</v>
      </c>
      <c r="C7658" t="s">
        <v>26</v>
      </c>
      <c r="D7658" t="s">
        <v>17</v>
      </c>
      <c r="E7658" t="s">
        <v>20</v>
      </c>
      <c r="F7658">
        <v>179893908</v>
      </c>
      <c r="G7658">
        <v>179893908</v>
      </c>
      <c r="H7658">
        <v>179893908</v>
      </c>
      <c r="I7658">
        <v>179893908</v>
      </c>
    </row>
    <row r="7659" spans="1:9" x14ac:dyDescent="0.2">
      <c r="A7659" t="str">
        <f>"Gm10715"</f>
        <v>Gm10715</v>
      </c>
      <c r="B7659" t="s">
        <v>2658</v>
      </c>
      <c r="C7659" t="s">
        <v>24</v>
      </c>
      <c r="D7659" t="s">
        <v>17</v>
      </c>
      <c r="E7659" t="s">
        <v>20</v>
      </c>
      <c r="F7659">
        <v>3036876</v>
      </c>
      <c r="G7659">
        <v>3036876</v>
      </c>
      <c r="H7659">
        <v>3036876</v>
      </c>
      <c r="I7659">
        <v>3036876</v>
      </c>
    </row>
    <row r="7660" spans="1:9" x14ac:dyDescent="0.2">
      <c r="A7660" t="str">
        <f>"Gm10715"</f>
        <v>Gm10715</v>
      </c>
      <c r="B7660" t="s">
        <v>2659</v>
      </c>
      <c r="C7660" t="s">
        <v>24</v>
      </c>
      <c r="D7660" t="s">
        <v>17</v>
      </c>
      <c r="E7660" t="s">
        <v>20</v>
      </c>
      <c r="F7660">
        <v>3037110</v>
      </c>
      <c r="G7660">
        <v>3037110</v>
      </c>
      <c r="H7660">
        <v>3037110</v>
      </c>
      <c r="I7660">
        <v>3037110</v>
      </c>
    </row>
    <row r="7661" spans="1:9" x14ac:dyDescent="0.2">
      <c r="A7661" t="str">
        <f>"Gm10717"</f>
        <v>Gm10717</v>
      </c>
      <c r="B7661" t="s">
        <v>14</v>
      </c>
      <c r="C7661" t="s">
        <v>24</v>
      </c>
      <c r="D7661" t="s">
        <v>17</v>
      </c>
      <c r="E7661" t="s">
        <v>67</v>
      </c>
      <c r="F7661">
        <v>3030155</v>
      </c>
      <c r="G7661">
        <v>3030176</v>
      </c>
      <c r="H7661">
        <v>3030155</v>
      </c>
      <c r="I7661">
        <v>3030176</v>
      </c>
    </row>
    <row r="7662" spans="1:9" x14ac:dyDescent="0.2">
      <c r="A7662" t="str">
        <f>"Gm10718"</f>
        <v>Gm10718</v>
      </c>
      <c r="B7662" t="s">
        <v>2660</v>
      </c>
      <c r="C7662" t="s">
        <v>24</v>
      </c>
      <c r="D7662" t="s">
        <v>17</v>
      </c>
      <c r="E7662" t="s">
        <v>20</v>
      </c>
      <c r="F7662">
        <v>3023546</v>
      </c>
      <c r="G7662">
        <v>3023546</v>
      </c>
      <c r="H7662">
        <v>3023546</v>
      </c>
      <c r="I7662">
        <v>3023546</v>
      </c>
    </row>
    <row r="7663" spans="1:9" x14ac:dyDescent="0.2">
      <c r="A7663" t="str">
        <f>"Gm10719"</f>
        <v>Gm10719</v>
      </c>
      <c r="B7663" t="s">
        <v>14</v>
      </c>
      <c r="C7663" t="s">
        <v>24</v>
      </c>
      <c r="D7663" t="s">
        <v>17</v>
      </c>
      <c r="E7663" t="s">
        <v>67</v>
      </c>
      <c r="F7663">
        <v>3019824</v>
      </c>
      <c r="G7663">
        <v>3019825</v>
      </c>
      <c r="H7663">
        <v>3019824</v>
      </c>
      <c r="I7663">
        <v>3019825</v>
      </c>
    </row>
    <row r="7664" spans="1:9" x14ac:dyDescent="0.2">
      <c r="A7664" t="str">
        <f>"Gm10720"</f>
        <v>Gm10720</v>
      </c>
      <c r="B7664" t="s">
        <v>14</v>
      </c>
      <c r="C7664" t="s">
        <v>24</v>
      </c>
      <c r="D7664" t="s">
        <v>17</v>
      </c>
      <c r="E7664" t="s">
        <v>67</v>
      </c>
      <c r="F7664">
        <v>3015269</v>
      </c>
      <c r="G7664">
        <v>3015302</v>
      </c>
      <c r="H7664">
        <v>3015269</v>
      </c>
      <c r="I7664">
        <v>3015302</v>
      </c>
    </row>
    <row r="7665" spans="1:9" x14ac:dyDescent="0.2">
      <c r="A7665" t="str">
        <f>"Gm10721"</f>
        <v>Gm10721</v>
      </c>
      <c r="B7665" t="s">
        <v>2661</v>
      </c>
      <c r="C7665" t="s">
        <v>24</v>
      </c>
      <c r="D7665" t="s">
        <v>17</v>
      </c>
      <c r="E7665" t="s">
        <v>20</v>
      </c>
      <c r="F7665">
        <v>3013139</v>
      </c>
      <c r="G7665">
        <v>3013139</v>
      </c>
      <c r="H7665">
        <v>3013139</v>
      </c>
      <c r="I7665">
        <v>3013139</v>
      </c>
    </row>
    <row r="7666" spans="1:9" x14ac:dyDescent="0.2">
      <c r="A7666" t="str">
        <f>"Gm10722"</f>
        <v>Gm10722</v>
      </c>
      <c r="B7666" t="s">
        <v>2662</v>
      </c>
      <c r="C7666" t="s">
        <v>24</v>
      </c>
      <c r="D7666" t="s">
        <v>17</v>
      </c>
      <c r="E7666" t="s">
        <v>20</v>
      </c>
      <c r="F7666">
        <v>3000921</v>
      </c>
      <c r="G7666">
        <v>3000921</v>
      </c>
      <c r="H7666">
        <v>3000921</v>
      </c>
      <c r="I7666">
        <v>3000921</v>
      </c>
    </row>
    <row r="7667" spans="1:9" x14ac:dyDescent="0.2">
      <c r="A7667" t="str">
        <f>"Gm10729"</f>
        <v>Gm10729</v>
      </c>
      <c r="B7667" t="s">
        <v>2663</v>
      </c>
      <c r="C7667" t="s">
        <v>22</v>
      </c>
      <c r="D7667" t="s">
        <v>17</v>
      </c>
      <c r="E7667" t="s">
        <v>20</v>
      </c>
      <c r="F7667">
        <v>51693770</v>
      </c>
      <c r="G7667">
        <v>51693770</v>
      </c>
      <c r="H7667">
        <v>51693770</v>
      </c>
      <c r="I7667">
        <v>51693770</v>
      </c>
    </row>
    <row r="7668" spans="1:9" x14ac:dyDescent="0.2">
      <c r="A7668" t="str">
        <f>"Gm10735"</f>
        <v>Gm10735</v>
      </c>
      <c r="B7668" t="s">
        <v>2664</v>
      </c>
      <c r="C7668" t="s">
        <v>39</v>
      </c>
      <c r="D7668" t="s">
        <v>11</v>
      </c>
      <c r="E7668" t="s">
        <v>20</v>
      </c>
      <c r="F7668">
        <v>113042242</v>
      </c>
      <c r="G7668">
        <v>113042242</v>
      </c>
      <c r="H7668">
        <v>113042242</v>
      </c>
      <c r="I7668">
        <v>113042242</v>
      </c>
    </row>
    <row r="7669" spans="1:9" x14ac:dyDescent="0.2">
      <c r="A7669" t="str">
        <f>"Gm10742"</f>
        <v>Gm10742</v>
      </c>
      <c r="B7669" t="s">
        <v>14</v>
      </c>
      <c r="C7669" t="s">
        <v>22</v>
      </c>
      <c r="D7669" t="s">
        <v>11</v>
      </c>
      <c r="E7669" t="s">
        <v>67</v>
      </c>
      <c r="F7669">
        <v>17786834</v>
      </c>
      <c r="G7669">
        <v>17786845</v>
      </c>
      <c r="H7669">
        <v>17786894</v>
      </c>
      <c r="I7669">
        <v>17786903</v>
      </c>
    </row>
    <row r="7670" spans="1:9" x14ac:dyDescent="0.2">
      <c r="A7670" t="str">
        <f>"Gm10748"</f>
        <v>Gm10748</v>
      </c>
      <c r="B7670" t="s">
        <v>14</v>
      </c>
      <c r="C7670" t="s">
        <v>22</v>
      </c>
      <c r="D7670" t="s">
        <v>17</v>
      </c>
      <c r="E7670" t="s">
        <v>12</v>
      </c>
      <c r="F7670">
        <v>5212783</v>
      </c>
      <c r="G7670">
        <v>5212784</v>
      </c>
      <c r="H7670">
        <v>5212783</v>
      </c>
      <c r="I7670">
        <v>5212784</v>
      </c>
    </row>
    <row r="7671" spans="1:9" x14ac:dyDescent="0.2">
      <c r="A7671" t="str">
        <f>"Gm10750"</f>
        <v>Gm10750</v>
      </c>
      <c r="B7671" t="s">
        <v>14</v>
      </c>
      <c r="C7671" t="s">
        <v>26</v>
      </c>
      <c r="D7671" t="s">
        <v>11</v>
      </c>
      <c r="E7671" t="s">
        <v>67</v>
      </c>
      <c r="F7671">
        <v>149017181</v>
      </c>
      <c r="G7671">
        <v>149017185</v>
      </c>
      <c r="H7671">
        <v>149017181</v>
      </c>
      <c r="I7671">
        <v>149017185</v>
      </c>
    </row>
    <row r="7672" spans="1:9" x14ac:dyDescent="0.2">
      <c r="A7672" t="str">
        <f>"Gm10754"</f>
        <v>Gm10754</v>
      </c>
      <c r="B7672" t="s">
        <v>2665</v>
      </c>
      <c r="C7672" t="s">
        <v>15</v>
      </c>
      <c r="D7672" t="s">
        <v>11</v>
      </c>
      <c r="E7672" t="s">
        <v>20</v>
      </c>
      <c r="F7672">
        <v>97682415</v>
      </c>
      <c r="G7672">
        <v>97682415</v>
      </c>
      <c r="H7672">
        <v>97682415</v>
      </c>
      <c r="I7672">
        <v>97682415</v>
      </c>
    </row>
    <row r="7673" spans="1:9" x14ac:dyDescent="0.2">
      <c r="A7673" t="str">
        <f>"Gm10760"</f>
        <v>Gm10760</v>
      </c>
      <c r="B7673" t="s">
        <v>14</v>
      </c>
      <c r="C7673" t="s">
        <v>39</v>
      </c>
      <c r="D7673" t="s">
        <v>11</v>
      </c>
      <c r="E7673" t="s">
        <v>67</v>
      </c>
      <c r="F7673">
        <v>76385238</v>
      </c>
      <c r="G7673">
        <v>76385248</v>
      </c>
      <c r="H7673">
        <v>76385279</v>
      </c>
      <c r="I7673">
        <v>76385286</v>
      </c>
    </row>
    <row r="7674" spans="1:9" x14ac:dyDescent="0.2">
      <c r="A7674" t="str">
        <f>"Gm10762"</f>
        <v>Gm10762</v>
      </c>
      <c r="B7674" t="s">
        <v>14</v>
      </c>
      <c r="C7674" t="s">
        <v>26</v>
      </c>
      <c r="D7674" t="s">
        <v>11</v>
      </c>
      <c r="E7674" t="s">
        <v>67</v>
      </c>
      <c r="F7674">
        <v>128968043</v>
      </c>
      <c r="G7674">
        <v>128968064</v>
      </c>
      <c r="H7674">
        <v>128968043</v>
      </c>
      <c r="I7674">
        <v>128968064</v>
      </c>
    </row>
    <row r="7675" spans="1:9" x14ac:dyDescent="0.2">
      <c r="A7675" t="str">
        <f>"Gm10764"</f>
        <v>Gm10764</v>
      </c>
      <c r="B7675" t="s">
        <v>2666</v>
      </c>
      <c r="C7675" t="s">
        <v>15</v>
      </c>
      <c r="D7675" t="s">
        <v>17</v>
      </c>
      <c r="E7675" t="s">
        <v>20</v>
      </c>
      <c r="F7675">
        <v>87290732</v>
      </c>
      <c r="G7675">
        <v>87290732</v>
      </c>
      <c r="H7675">
        <v>87290732</v>
      </c>
      <c r="I7675">
        <v>87290732</v>
      </c>
    </row>
    <row r="7676" spans="1:9" x14ac:dyDescent="0.2">
      <c r="A7676" t="str">
        <f>"Gm10766"</f>
        <v>Gm10766</v>
      </c>
      <c r="B7676" t="s">
        <v>14</v>
      </c>
      <c r="C7676" t="s">
        <v>26</v>
      </c>
      <c r="D7676" t="s">
        <v>11</v>
      </c>
      <c r="E7676" t="s">
        <v>67</v>
      </c>
      <c r="F7676">
        <v>127270075</v>
      </c>
      <c r="G7676">
        <v>127270119</v>
      </c>
      <c r="H7676">
        <v>127270008</v>
      </c>
      <c r="I7676">
        <v>127270034</v>
      </c>
    </row>
    <row r="7677" spans="1:9" x14ac:dyDescent="0.2">
      <c r="A7677" t="str">
        <f>"Gm10767"</f>
        <v>Gm10767</v>
      </c>
      <c r="B7677" t="s">
        <v>14</v>
      </c>
      <c r="C7677" t="s">
        <v>39</v>
      </c>
      <c r="D7677" t="s">
        <v>17</v>
      </c>
      <c r="E7677" t="s">
        <v>12</v>
      </c>
      <c r="F7677">
        <v>66905397</v>
      </c>
      <c r="G7677">
        <v>66905422</v>
      </c>
      <c r="H7677">
        <v>66905427</v>
      </c>
      <c r="I7677">
        <v>66905440</v>
      </c>
    </row>
    <row r="7678" spans="1:9" x14ac:dyDescent="0.2">
      <c r="A7678" t="str">
        <f>"Gm10768"</f>
        <v>Gm10768</v>
      </c>
      <c r="B7678" t="s">
        <v>14</v>
      </c>
      <c r="C7678" t="s">
        <v>10</v>
      </c>
      <c r="D7678" t="s">
        <v>17</v>
      </c>
      <c r="E7678" t="s">
        <v>12</v>
      </c>
      <c r="F7678">
        <v>43839265</v>
      </c>
      <c r="G7678">
        <v>43839275</v>
      </c>
      <c r="H7678">
        <v>43839265</v>
      </c>
      <c r="I7678">
        <v>43839275</v>
      </c>
    </row>
    <row r="7679" spans="1:9" x14ac:dyDescent="0.2">
      <c r="A7679" t="str">
        <f>"Gm10770"</f>
        <v>Gm10770</v>
      </c>
      <c r="B7679" t="s">
        <v>2667</v>
      </c>
      <c r="C7679" t="s">
        <v>26</v>
      </c>
      <c r="D7679" t="s">
        <v>11</v>
      </c>
      <c r="E7679" t="s">
        <v>20</v>
      </c>
      <c r="F7679">
        <v>150179678</v>
      </c>
      <c r="G7679">
        <v>150179678</v>
      </c>
      <c r="H7679">
        <v>150179678</v>
      </c>
      <c r="I7679">
        <v>150179678</v>
      </c>
    </row>
    <row r="7680" spans="1:9" x14ac:dyDescent="0.2">
      <c r="A7680" t="str">
        <f>"Gm10772"</f>
        <v>Gm10772</v>
      </c>
      <c r="B7680" t="s">
        <v>2668</v>
      </c>
      <c r="C7680" t="s">
        <v>39</v>
      </c>
      <c r="D7680" t="s">
        <v>11</v>
      </c>
      <c r="E7680" t="s">
        <v>20</v>
      </c>
      <c r="F7680">
        <v>66227572</v>
      </c>
      <c r="G7680">
        <v>66227572</v>
      </c>
      <c r="H7680">
        <v>66227572</v>
      </c>
      <c r="I7680">
        <v>66227572</v>
      </c>
    </row>
    <row r="7681" spans="1:9" x14ac:dyDescent="0.2">
      <c r="A7681" t="str">
        <f>"Gm10774"</f>
        <v>Gm10774</v>
      </c>
      <c r="B7681" t="s">
        <v>14</v>
      </c>
      <c r="C7681" t="s">
        <v>26</v>
      </c>
      <c r="D7681" t="s">
        <v>11</v>
      </c>
      <c r="E7681" t="s">
        <v>12</v>
      </c>
      <c r="F7681">
        <v>126709568</v>
      </c>
      <c r="G7681">
        <v>126709573</v>
      </c>
      <c r="H7681">
        <v>126709568</v>
      </c>
      <c r="I7681">
        <v>126709573</v>
      </c>
    </row>
    <row r="7682" spans="1:9" x14ac:dyDescent="0.2">
      <c r="A7682" t="str">
        <f>"Gm10775"</f>
        <v>Gm10775</v>
      </c>
      <c r="B7682" t="s">
        <v>2669</v>
      </c>
      <c r="C7682" t="s">
        <v>39</v>
      </c>
      <c r="D7682" t="s">
        <v>17</v>
      </c>
      <c r="E7682" t="s">
        <v>20</v>
      </c>
      <c r="F7682">
        <v>65259538</v>
      </c>
      <c r="G7682">
        <v>65259538</v>
      </c>
      <c r="H7682">
        <v>65259538</v>
      </c>
      <c r="I7682">
        <v>65259538</v>
      </c>
    </row>
    <row r="7683" spans="1:9" x14ac:dyDescent="0.2">
      <c r="A7683" t="str">
        <f>"Gm10778"</f>
        <v>Gm10778</v>
      </c>
      <c r="B7683" t="s">
        <v>14</v>
      </c>
      <c r="C7683" t="s">
        <v>15</v>
      </c>
      <c r="D7683" t="s">
        <v>17</v>
      </c>
      <c r="E7683" t="s">
        <v>12</v>
      </c>
      <c r="F7683">
        <v>81649024</v>
      </c>
      <c r="G7683">
        <v>81649040</v>
      </c>
      <c r="H7683">
        <v>81649086</v>
      </c>
      <c r="I7683">
        <v>81649090</v>
      </c>
    </row>
    <row r="7684" spans="1:9" x14ac:dyDescent="0.2">
      <c r="A7684" t="str">
        <f>"Gm1078"</f>
        <v>Gm1078</v>
      </c>
      <c r="B7684" t="s">
        <v>14</v>
      </c>
      <c r="C7684" t="s">
        <v>33</v>
      </c>
      <c r="D7684" t="s">
        <v>11</v>
      </c>
      <c r="E7684" t="s">
        <v>12</v>
      </c>
      <c r="F7684">
        <v>4971650</v>
      </c>
      <c r="G7684">
        <v>4971660</v>
      </c>
      <c r="H7684">
        <v>4971650</v>
      </c>
      <c r="I7684">
        <v>4971660</v>
      </c>
    </row>
    <row r="7685" spans="1:9" x14ac:dyDescent="0.2">
      <c r="A7685" t="str">
        <f>"Gm10782"</f>
        <v>Gm10782</v>
      </c>
      <c r="B7685" t="s">
        <v>2670</v>
      </c>
      <c r="C7685" t="s">
        <v>39</v>
      </c>
      <c r="D7685" t="s">
        <v>17</v>
      </c>
      <c r="E7685" t="s">
        <v>20</v>
      </c>
      <c r="F7685">
        <v>56362900</v>
      </c>
      <c r="G7685">
        <v>56362900</v>
      </c>
      <c r="H7685">
        <v>56362900</v>
      </c>
      <c r="I7685">
        <v>56362900</v>
      </c>
    </row>
    <row r="7686" spans="1:9" x14ac:dyDescent="0.2">
      <c r="A7686" t="str">
        <f>"Gm10784"</f>
        <v>Gm10784</v>
      </c>
      <c r="B7686" t="s">
        <v>2671</v>
      </c>
      <c r="C7686" t="s">
        <v>39</v>
      </c>
      <c r="D7686" t="s">
        <v>11</v>
      </c>
      <c r="E7686" t="s">
        <v>20</v>
      </c>
      <c r="F7686">
        <v>49945334</v>
      </c>
      <c r="G7686">
        <v>49945334</v>
      </c>
      <c r="H7686">
        <v>49945334</v>
      </c>
      <c r="I7686">
        <v>49945334</v>
      </c>
    </row>
    <row r="7687" spans="1:9" x14ac:dyDescent="0.2">
      <c r="A7687" t="str">
        <f>"Gm10787"</f>
        <v>Gm10787</v>
      </c>
      <c r="B7687" t="s">
        <v>14</v>
      </c>
      <c r="C7687" t="s">
        <v>15</v>
      </c>
      <c r="D7687" t="s">
        <v>17</v>
      </c>
      <c r="E7687" t="s">
        <v>67</v>
      </c>
      <c r="F7687">
        <v>77011984</v>
      </c>
      <c r="G7687">
        <v>77012005</v>
      </c>
      <c r="H7687">
        <v>77011984</v>
      </c>
      <c r="I7687">
        <v>77012005</v>
      </c>
    </row>
    <row r="7688" spans="1:9" x14ac:dyDescent="0.2">
      <c r="A7688" t="str">
        <f>"Gm10797"</f>
        <v>Gm10797</v>
      </c>
      <c r="B7688" t="s">
        <v>14</v>
      </c>
      <c r="C7688" t="s">
        <v>15</v>
      </c>
      <c r="D7688" t="s">
        <v>17</v>
      </c>
      <c r="E7688" t="s">
        <v>12</v>
      </c>
      <c r="F7688">
        <v>67572060</v>
      </c>
      <c r="G7688">
        <v>67572076</v>
      </c>
      <c r="H7688">
        <v>67572060</v>
      </c>
      <c r="I7688">
        <v>67572076</v>
      </c>
    </row>
    <row r="7689" spans="1:9" x14ac:dyDescent="0.2">
      <c r="A7689" t="str">
        <f>"Gm10799"</f>
        <v>Gm10799</v>
      </c>
      <c r="B7689" t="s">
        <v>2672</v>
      </c>
      <c r="C7689" t="s">
        <v>26</v>
      </c>
      <c r="D7689" t="s">
        <v>11</v>
      </c>
      <c r="E7689" t="s">
        <v>20</v>
      </c>
      <c r="F7689">
        <v>104068549</v>
      </c>
      <c r="G7689">
        <v>104068549</v>
      </c>
      <c r="H7689">
        <v>104068549</v>
      </c>
      <c r="I7689">
        <v>104068549</v>
      </c>
    </row>
    <row r="7690" spans="1:9" x14ac:dyDescent="0.2">
      <c r="A7690" t="str">
        <f>"Gm10800"</f>
        <v>Gm10800</v>
      </c>
      <c r="B7690" t="s">
        <v>14</v>
      </c>
      <c r="C7690" t="s">
        <v>26</v>
      </c>
      <c r="D7690" t="s">
        <v>11</v>
      </c>
      <c r="E7690" t="s">
        <v>67</v>
      </c>
      <c r="F7690">
        <v>98667333</v>
      </c>
      <c r="G7690">
        <v>98667336</v>
      </c>
      <c r="H7690">
        <v>98667333</v>
      </c>
      <c r="I7690">
        <v>98667336</v>
      </c>
    </row>
    <row r="7691" spans="1:9" x14ac:dyDescent="0.2">
      <c r="A7691" t="str">
        <f>"Gm10801"</f>
        <v>Gm10801</v>
      </c>
      <c r="B7691" t="s">
        <v>14</v>
      </c>
      <c r="C7691" t="s">
        <v>26</v>
      </c>
      <c r="D7691" t="s">
        <v>17</v>
      </c>
      <c r="E7691" t="s">
        <v>67</v>
      </c>
      <c r="F7691">
        <v>98662227</v>
      </c>
      <c r="G7691">
        <v>98662243</v>
      </c>
      <c r="H7691">
        <v>98662227</v>
      </c>
      <c r="I7691">
        <v>98662243</v>
      </c>
    </row>
    <row r="7692" spans="1:9" x14ac:dyDescent="0.2">
      <c r="A7692" t="str">
        <f>"Gm10803"</f>
        <v>Gm10803</v>
      </c>
      <c r="B7692" t="s">
        <v>2673</v>
      </c>
      <c r="C7692" t="s">
        <v>26</v>
      </c>
      <c r="D7692" t="s">
        <v>17</v>
      </c>
      <c r="E7692" t="s">
        <v>20</v>
      </c>
      <c r="F7692">
        <v>93560567</v>
      </c>
      <c r="G7692">
        <v>93560567</v>
      </c>
      <c r="H7692">
        <v>93560567</v>
      </c>
      <c r="I7692">
        <v>93560567</v>
      </c>
    </row>
    <row r="7693" spans="1:9" x14ac:dyDescent="0.2">
      <c r="A7693" t="str">
        <f>"Gm10837"</f>
        <v>Gm10837</v>
      </c>
      <c r="B7693" t="s">
        <v>2674</v>
      </c>
      <c r="C7693" t="s">
        <v>41</v>
      </c>
      <c r="D7693" t="s">
        <v>17</v>
      </c>
      <c r="E7693" t="s">
        <v>20</v>
      </c>
      <c r="F7693">
        <v>122490585</v>
      </c>
      <c r="G7693">
        <v>122490585</v>
      </c>
      <c r="H7693">
        <v>122490585</v>
      </c>
      <c r="I7693">
        <v>122490585</v>
      </c>
    </row>
    <row r="7694" spans="1:9" x14ac:dyDescent="0.2">
      <c r="A7694" t="str">
        <f>"Gm10840"</f>
        <v>Gm10840</v>
      </c>
      <c r="B7694" t="s">
        <v>14</v>
      </c>
      <c r="C7694" t="s">
        <v>27</v>
      </c>
      <c r="D7694" t="s">
        <v>17</v>
      </c>
      <c r="E7694" t="s">
        <v>67</v>
      </c>
      <c r="F7694">
        <v>106160348</v>
      </c>
      <c r="G7694">
        <v>106160359</v>
      </c>
      <c r="H7694">
        <v>106160584</v>
      </c>
      <c r="I7694">
        <v>106160611</v>
      </c>
    </row>
    <row r="7695" spans="1:9" x14ac:dyDescent="0.2">
      <c r="A7695" t="str">
        <f>"Gm10842"</f>
        <v>Gm10842</v>
      </c>
      <c r="B7695" t="s">
        <v>2675</v>
      </c>
      <c r="C7695" t="s">
        <v>27</v>
      </c>
      <c r="D7695" t="s">
        <v>17</v>
      </c>
      <c r="E7695" t="s">
        <v>20</v>
      </c>
      <c r="F7695">
        <v>105146892</v>
      </c>
      <c r="G7695">
        <v>105146892</v>
      </c>
      <c r="H7695">
        <v>105146892</v>
      </c>
      <c r="I7695">
        <v>105146892</v>
      </c>
    </row>
    <row r="7696" spans="1:9" x14ac:dyDescent="0.2">
      <c r="A7696" t="str">
        <f>"Gm10845"</f>
        <v>Gm10845</v>
      </c>
      <c r="B7696" t="s">
        <v>2676</v>
      </c>
      <c r="C7696" t="s">
        <v>41</v>
      </c>
      <c r="D7696" t="s">
        <v>11</v>
      </c>
      <c r="E7696" t="s">
        <v>20</v>
      </c>
      <c r="F7696">
        <v>79868397</v>
      </c>
      <c r="G7696">
        <v>79868397</v>
      </c>
      <c r="H7696">
        <v>79868397</v>
      </c>
      <c r="I7696">
        <v>79868397</v>
      </c>
    </row>
    <row r="7697" spans="1:9" x14ac:dyDescent="0.2">
      <c r="A7697" t="str">
        <f>"Gm10855"</f>
        <v>Gm10855</v>
      </c>
      <c r="B7697" t="s">
        <v>2677</v>
      </c>
      <c r="C7697" t="s">
        <v>26</v>
      </c>
      <c r="D7697" t="s">
        <v>11</v>
      </c>
      <c r="E7697" t="s">
        <v>20</v>
      </c>
      <c r="F7697">
        <v>6935080</v>
      </c>
      <c r="G7697">
        <v>6935080</v>
      </c>
      <c r="H7697">
        <v>6935080</v>
      </c>
      <c r="I7697">
        <v>6935080</v>
      </c>
    </row>
    <row r="7698" spans="1:9" x14ac:dyDescent="0.2">
      <c r="A7698" t="str">
        <f>"Gm10858"</f>
        <v>Gm10858</v>
      </c>
      <c r="B7698" t="s">
        <v>14</v>
      </c>
      <c r="C7698" t="s">
        <v>46</v>
      </c>
      <c r="D7698" t="s">
        <v>11</v>
      </c>
      <c r="E7698" t="s">
        <v>12</v>
      </c>
      <c r="F7698">
        <v>146897137</v>
      </c>
      <c r="G7698">
        <v>146897184</v>
      </c>
      <c r="H7698">
        <v>146897075</v>
      </c>
      <c r="I7698">
        <v>146897097</v>
      </c>
    </row>
    <row r="7699" spans="1:9" x14ac:dyDescent="0.2">
      <c r="A7699" t="str">
        <f>"Gm10874"</f>
        <v>Gm10874</v>
      </c>
      <c r="B7699" t="s">
        <v>2678</v>
      </c>
      <c r="C7699" t="s">
        <v>46</v>
      </c>
      <c r="D7699" t="s">
        <v>17</v>
      </c>
      <c r="E7699" t="s">
        <v>20</v>
      </c>
      <c r="F7699">
        <v>138363718</v>
      </c>
      <c r="G7699">
        <v>138363718</v>
      </c>
      <c r="H7699">
        <v>138363718</v>
      </c>
      <c r="I7699">
        <v>138363718</v>
      </c>
    </row>
    <row r="7700" spans="1:9" x14ac:dyDescent="0.2">
      <c r="A7700" t="str">
        <f>"Gm10912"</f>
        <v>Gm10912</v>
      </c>
      <c r="B7700" t="s">
        <v>2679</v>
      </c>
      <c r="C7700" t="s">
        <v>26</v>
      </c>
      <c r="D7700" t="s">
        <v>17</v>
      </c>
      <c r="E7700" t="s">
        <v>20</v>
      </c>
      <c r="F7700">
        <v>104065825</v>
      </c>
      <c r="G7700">
        <v>104065825</v>
      </c>
      <c r="H7700">
        <v>104065825</v>
      </c>
      <c r="I7700">
        <v>104065825</v>
      </c>
    </row>
    <row r="7701" spans="1:9" x14ac:dyDescent="0.2">
      <c r="A7701" t="str">
        <f>"Gm10921"</f>
        <v>Gm10921</v>
      </c>
      <c r="B7701" t="s">
        <v>2680</v>
      </c>
      <c r="C7701" t="s">
        <v>37</v>
      </c>
      <c r="D7701" t="s">
        <v>11</v>
      </c>
      <c r="E7701" t="s">
        <v>20</v>
      </c>
      <c r="F7701">
        <v>4291244</v>
      </c>
      <c r="G7701">
        <v>4291244</v>
      </c>
      <c r="H7701">
        <v>4291244</v>
      </c>
      <c r="I7701">
        <v>4291244</v>
      </c>
    </row>
    <row r="7702" spans="1:9" x14ac:dyDescent="0.2">
      <c r="A7702" t="str">
        <f>"Gm10922"</f>
        <v>Gm10922</v>
      </c>
      <c r="B7702" t="s">
        <v>2681</v>
      </c>
      <c r="C7702" t="s">
        <v>37</v>
      </c>
      <c r="D7702" t="s">
        <v>17</v>
      </c>
      <c r="E7702" t="s">
        <v>20</v>
      </c>
      <c r="F7702">
        <v>4370635</v>
      </c>
      <c r="G7702">
        <v>4370635</v>
      </c>
      <c r="H7702">
        <v>4370635</v>
      </c>
      <c r="I7702">
        <v>4370635</v>
      </c>
    </row>
    <row r="7703" spans="1:9" x14ac:dyDescent="0.2">
      <c r="A7703" t="str">
        <f>"Gm10923"</f>
        <v>Gm10923</v>
      </c>
      <c r="B7703" t="s">
        <v>14</v>
      </c>
      <c r="C7703" t="s">
        <v>25</v>
      </c>
      <c r="D7703" t="s">
        <v>17</v>
      </c>
      <c r="E7703" t="s">
        <v>12</v>
      </c>
      <c r="F7703">
        <v>85116813</v>
      </c>
      <c r="G7703">
        <v>85116826</v>
      </c>
      <c r="H7703">
        <v>85116813</v>
      </c>
      <c r="I7703">
        <v>85116826</v>
      </c>
    </row>
    <row r="7704" spans="1:9" x14ac:dyDescent="0.2">
      <c r="A7704" t="str">
        <f>"Gm10935"</f>
        <v>Gm10935</v>
      </c>
      <c r="B7704" t="s">
        <v>14</v>
      </c>
      <c r="C7704" t="s">
        <v>33</v>
      </c>
      <c r="D7704" t="s">
        <v>11</v>
      </c>
      <c r="E7704" t="s">
        <v>67</v>
      </c>
      <c r="F7704">
        <v>28102537</v>
      </c>
      <c r="G7704">
        <v>28102543</v>
      </c>
      <c r="H7704">
        <v>28102537</v>
      </c>
      <c r="I7704">
        <v>28102543</v>
      </c>
    </row>
    <row r="7705" spans="1:9" x14ac:dyDescent="0.2">
      <c r="A7705" t="str">
        <f>"Gm10936"</f>
        <v>Gm10936</v>
      </c>
      <c r="B7705" t="s">
        <v>2682</v>
      </c>
      <c r="C7705" t="s">
        <v>15</v>
      </c>
      <c r="D7705" t="s">
        <v>17</v>
      </c>
      <c r="E7705" t="s">
        <v>20</v>
      </c>
      <c r="F7705">
        <v>117248023</v>
      </c>
      <c r="G7705">
        <v>117248023</v>
      </c>
      <c r="H7705">
        <v>117248023</v>
      </c>
      <c r="I7705">
        <v>117248023</v>
      </c>
    </row>
    <row r="7706" spans="1:9" x14ac:dyDescent="0.2">
      <c r="A7706" t="str">
        <f>"Gm10941"</f>
        <v>Gm10941</v>
      </c>
      <c r="B7706" t="s">
        <v>14</v>
      </c>
      <c r="C7706" t="s">
        <v>15</v>
      </c>
      <c r="D7706" t="s">
        <v>11</v>
      </c>
      <c r="E7706" t="s">
        <v>12</v>
      </c>
      <c r="F7706">
        <v>77259086</v>
      </c>
      <c r="G7706">
        <v>77259119</v>
      </c>
      <c r="H7706">
        <v>77259051</v>
      </c>
      <c r="I7706">
        <v>77259065</v>
      </c>
    </row>
    <row r="7707" spans="1:9" x14ac:dyDescent="0.2">
      <c r="A7707" t="str">
        <f>"Gm10944"</f>
        <v>Gm10944</v>
      </c>
      <c r="B7707" t="s">
        <v>2683</v>
      </c>
      <c r="C7707" t="s">
        <v>15</v>
      </c>
      <c r="D7707" t="s">
        <v>17</v>
      </c>
      <c r="E7707" t="s">
        <v>20</v>
      </c>
      <c r="F7707">
        <v>10681347</v>
      </c>
      <c r="G7707">
        <v>10681347</v>
      </c>
      <c r="H7707">
        <v>10681347</v>
      </c>
      <c r="I7707">
        <v>10681347</v>
      </c>
    </row>
    <row r="7708" spans="1:9" x14ac:dyDescent="0.2">
      <c r="A7708" t="str">
        <f>"Gm10945"</f>
        <v>Gm10945</v>
      </c>
      <c r="B7708" t="s">
        <v>2684</v>
      </c>
      <c r="C7708" t="s">
        <v>15</v>
      </c>
      <c r="D7708" t="s">
        <v>11</v>
      </c>
      <c r="E7708" t="s">
        <v>20</v>
      </c>
      <c r="F7708">
        <v>6761760</v>
      </c>
      <c r="G7708">
        <v>6761760</v>
      </c>
      <c r="H7708">
        <v>6761760</v>
      </c>
      <c r="I7708">
        <v>6761760</v>
      </c>
    </row>
    <row r="7709" spans="1:9" x14ac:dyDescent="0.2">
      <c r="A7709" t="str">
        <f>"Gm10959"</f>
        <v>Gm10959</v>
      </c>
      <c r="B7709" t="s">
        <v>2685</v>
      </c>
      <c r="C7709" t="s">
        <v>22</v>
      </c>
      <c r="D7709" t="s">
        <v>11</v>
      </c>
      <c r="E7709" t="s">
        <v>20</v>
      </c>
      <c r="F7709">
        <v>122919359</v>
      </c>
      <c r="G7709">
        <v>122919359</v>
      </c>
      <c r="H7709">
        <v>122919359</v>
      </c>
      <c r="I7709">
        <v>122919359</v>
      </c>
    </row>
    <row r="7710" spans="1:9" x14ac:dyDescent="0.2">
      <c r="A7710" t="str">
        <f>"Gm10961"</f>
        <v>Gm10961</v>
      </c>
      <c r="B7710" t="s">
        <v>2686</v>
      </c>
      <c r="C7710" t="s">
        <v>22</v>
      </c>
      <c r="D7710" t="s">
        <v>17</v>
      </c>
      <c r="E7710" t="s">
        <v>20</v>
      </c>
      <c r="F7710">
        <v>107631321</v>
      </c>
      <c r="G7710">
        <v>107631321</v>
      </c>
      <c r="H7710">
        <v>107631321</v>
      </c>
      <c r="I7710">
        <v>107631321</v>
      </c>
    </row>
    <row r="7711" spans="1:9" x14ac:dyDescent="0.2">
      <c r="A7711" t="str">
        <f>"Gm10964"</f>
        <v>Gm10964</v>
      </c>
      <c r="B7711" t="s">
        <v>2687</v>
      </c>
      <c r="C7711" t="s">
        <v>22</v>
      </c>
      <c r="D7711" t="s">
        <v>17</v>
      </c>
      <c r="E7711" t="s">
        <v>20</v>
      </c>
      <c r="F7711">
        <v>103739365</v>
      </c>
      <c r="G7711">
        <v>103739365</v>
      </c>
      <c r="H7711">
        <v>103739365</v>
      </c>
      <c r="I7711">
        <v>103739365</v>
      </c>
    </row>
    <row r="7712" spans="1:9" x14ac:dyDescent="0.2">
      <c r="A7712" t="str">
        <f>"Gm10972"</f>
        <v>Gm10972</v>
      </c>
      <c r="B7712" t="s">
        <v>2688</v>
      </c>
      <c r="C7712" t="s">
        <v>22</v>
      </c>
      <c r="D7712" t="s">
        <v>17</v>
      </c>
      <c r="E7712" t="s">
        <v>20</v>
      </c>
      <c r="F7712">
        <v>94643111</v>
      </c>
      <c r="G7712">
        <v>94643111</v>
      </c>
      <c r="H7712">
        <v>94643111</v>
      </c>
      <c r="I7712">
        <v>94643111</v>
      </c>
    </row>
    <row r="7713" spans="1:9" x14ac:dyDescent="0.2">
      <c r="A7713" t="str">
        <f>"Gm10974"</f>
        <v>Gm10974</v>
      </c>
      <c r="B7713" t="s">
        <v>2689</v>
      </c>
      <c r="C7713" t="s">
        <v>33</v>
      </c>
      <c r="D7713" t="s">
        <v>17</v>
      </c>
      <c r="E7713" t="s">
        <v>20</v>
      </c>
      <c r="F7713">
        <v>66365904</v>
      </c>
      <c r="G7713">
        <v>66365904</v>
      </c>
      <c r="H7713">
        <v>66365904</v>
      </c>
      <c r="I7713">
        <v>66365904</v>
      </c>
    </row>
    <row r="7714" spans="1:9" x14ac:dyDescent="0.2">
      <c r="A7714" t="str">
        <f>"Gm10985"</f>
        <v>Gm10985</v>
      </c>
      <c r="B7714" t="s">
        <v>2690</v>
      </c>
      <c r="C7714" t="s">
        <v>22</v>
      </c>
      <c r="D7714" t="s">
        <v>17</v>
      </c>
      <c r="E7714" t="s">
        <v>20</v>
      </c>
      <c r="F7714">
        <v>53845085</v>
      </c>
      <c r="G7714">
        <v>53845085</v>
      </c>
      <c r="H7714">
        <v>53845085</v>
      </c>
      <c r="I7714">
        <v>53845085</v>
      </c>
    </row>
    <row r="7715" spans="1:9" x14ac:dyDescent="0.2">
      <c r="A7715" t="str">
        <f>"Gm10999"</f>
        <v>Gm10999</v>
      </c>
      <c r="B7715" t="s">
        <v>2691</v>
      </c>
      <c r="C7715" t="s">
        <v>30</v>
      </c>
      <c r="D7715" t="s">
        <v>11</v>
      </c>
      <c r="E7715" t="s">
        <v>20</v>
      </c>
      <c r="F7715">
        <v>129131660</v>
      </c>
      <c r="G7715">
        <v>129131660</v>
      </c>
      <c r="H7715">
        <v>129131660</v>
      </c>
      <c r="I7715">
        <v>129131660</v>
      </c>
    </row>
    <row r="7716" spans="1:9" x14ac:dyDescent="0.2">
      <c r="A7716" t="str">
        <f>"Gm11007"</f>
        <v>Gm11007</v>
      </c>
      <c r="B7716" t="s">
        <v>2692</v>
      </c>
      <c r="C7716" t="s">
        <v>26</v>
      </c>
      <c r="D7716" t="s">
        <v>17</v>
      </c>
      <c r="E7716" t="s">
        <v>20</v>
      </c>
      <c r="F7716">
        <v>175643977</v>
      </c>
      <c r="G7716">
        <v>175643977</v>
      </c>
      <c r="H7716">
        <v>175643977</v>
      </c>
      <c r="I7716">
        <v>175643977</v>
      </c>
    </row>
    <row r="7717" spans="1:9" x14ac:dyDescent="0.2">
      <c r="A7717" t="str">
        <f>"Gm11009"</f>
        <v>Gm11009</v>
      </c>
      <c r="B7717" t="s">
        <v>2693</v>
      </c>
      <c r="C7717" t="s">
        <v>26</v>
      </c>
      <c r="D7717" t="s">
        <v>11</v>
      </c>
      <c r="E7717" t="s">
        <v>20</v>
      </c>
      <c r="F7717">
        <v>176319493</v>
      </c>
      <c r="G7717">
        <v>176319493</v>
      </c>
      <c r="H7717">
        <v>176319493</v>
      </c>
      <c r="I7717">
        <v>176319493</v>
      </c>
    </row>
    <row r="7718" spans="1:9" x14ac:dyDescent="0.2">
      <c r="A7718" t="str">
        <f>"Gm11011"</f>
        <v>Gm11011</v>
      </c>
      <c r="B7718" t="s">
        <v>2694</v>
      </c>
      <c r="C7718" t="s">
        <v>26</v>
      </c>
      <c r="D7718" t="s">
        <v>11</v>
      </c>
      <c r="E7718" t="s">
        <v>20</v>
      </c>
      <c r="F7718">
        <v>169587744</v>
      </c>
      <c r="G7718">
        <v>169587744</v>
      </c>
      <c r="H7718">
        <v>169587744</v>
      </c>
      <c r="I7718">
        <v>169587744</v>
      </c>
    </row>
    <row r="7719" spans="1:9" x14ac:dyDescent="0.2">
      <c r="A7719" t="str">
        <f>"Gm11020"</f>
        <v>Gm11020</v>
      </c>
      <c r="B7719" t="s">
        <v>2695</v>
      </c>
      <c r="C7719" t="s">
        <v>30</v>
      </c>
      <c r="D7719" t="s">
        <v>17</v>
      </c>
      <c r="E7719" t="s">
        <v>20</v>
      </c>
      <c r="F7719">
        <v>104321566</v>
      </c>
      <c r="G7719">
        <v>104321566</v>
      </c>
      <c r="H7719">
        <v>104321566</v>
      </c>
      <c r="I7719">
        <v>104321566</v>
      </c>
    </row>
    <row r="7720" spans="1:9" x14ac:dyDescent="0.2">
      <c r="A7720" t="str">
        <f>"Gm11027"</f>
        <v>Gm11027</v>
      </c>
      <c r="B7720" t="s">
        <v>2696</v>
      </c>
      <c r="C7720" t="s">
        <v>16</v>
      </c>
      <c r="D7720" t="s">
        <v>17</v>
      </c>
      <c r="E7720" t="s">
        <v>20</v>
      </c>
      <c r="F7720">
        <v>116275385</v>
      </c>
      <c r="G7720">
        <v>116275385</v>
      </c>
      <c r="H7720">
        <v>116275385</v>
      </c>
      <c r="I7720">
        <v>116275385</v>
      </c>
    </row>
    <row r="7721" spans="1:9" x14ac:dyDescent="0.2">
      <c r="A7721" t="str">
        <f>"Gm11032"</f>
        <v>Gm11032</v>
      </c>
      <c r="B7721" t="s">
        <v>2697</v>
      </c>
      <c r="C7721" t="s">
        <v>27</v>
      </c>
      <c r="D7721" t="s">
        <v>17</v>
      </c>
      <c r="E7721" t="s">
        <v>20</v>
      </c>
      <c r="F7721">
        <v>4620066</v>
      </c>
      <c r="G7721">
        <v>4620066</v>
      </c>
      <c r="H7721">
        <v>4620066</v>
      </c>
      <c r="I7721">
        <v>4620066</v>
      </c>
    </row>
    <row r="7722" spans="1:9" x14ac:dyDescent="0.2">
      <c r="A7722" t="str">
        <f>"Gm11034"</f>
        <v>Gm11034</v>
      </c>
      <c r="B7722" t="s">
        <v>2698</v>
      </c>
      <c r="C7722" t="s">
        <v>30</v>
      </c>
      <c r="D7722" t="s">
        <v>11</v>
      </c>
      <c r="E7722" t="s">
        <v>20</v>
      </c>
      <c r="F7722">
        <v>72213635</v>
      </c>
      <c r="G7722">
        <v>72213635</v>
      </c>
      <c r="H7722">
        <v>72213635</v>
      </c>
      <c r="I7722">
        <v>72213635</v>
      </c>
    </row>
    <row r="7723" spans="1:9" x14ac:dyDescent="0.2">
      <c r="A7723" t="str">
        <f>"Gm11037"</f>
        <v>Gm11037</v>
      </c>
      <c r="B7723" t="s">
        <v>2699</v>
      </c>
      <c r="C7723" t="s">
        <v>26</v>
      </c>
      <c r="D7723" t="s">
        <v>17</v>
      </c>
      <c r="E7723" t="s">
        <v>20</v>
      </c>
      <c r="F7723">
        <v>131133496</v>
      </c>
      <c r="G7723">
        <v>131133496</v>
      </c>
      <c r="H7723">
        <v>131133496</v>
      </c>
      <c r="I7723">
        <v>131133496</v>
      </c>
    </row>
    <row r="7724" spans="1:9" x14ac:dyDescent="0.2">
      <c r="A7724" t="str">
        <f>"Gm11042"</f>
        <v>Gm11042</v>
      </c>
      <c r="B7724" t="s">
        <v>2700</v>
      </c>
      <c r="C7724" t="s">
        <v>16</v>
      </c>
      <c r="D7724" t="s">
        <v>11</v>
      </c>
      <c r="E7724" t="s">
        <v>20</v>
      </c>
      <c r="F7724">
        <v>74316393</v>
      </c>
      <c r="G7724">
        <v>74316393</v>
      </c>
      <c r="H7724">
        <v>74316393</v>
      </c>
      <c r="I7724">
        <v>74316393</v>
      </c>
    </row>
    <row r="7725" spans="1:9" x14ac:dyDescent="0.2">
      <c r="A7725" t="str">
        <f>"Gm11060"</f>
        <v>Gm11060</v>
      </c>
      <c r="B7725" t="s">
        <v>2701</v>
      </c>
      <c r="C7725" t="s">
        <v>26</v>
      </c>
      <c r="D7725" t="s">
        <v>17</v>
      </c>
      <c r="E7725" t="s">
        <v>20</v>
      </c>
      <c r="F7725">
        <v>105092017</v>
      </c>
      <c r="G7725">
        <v>105092017</v>
      </c>
      <c r="H7725">
        <v>105092017</v>
      </c>
      <c r="I7725">
        <v>105092017</v>
      </c>
    </row>
    <row r="7726" spans="1:9" x14ac:dyDescent="0.2">
      <c r="A7726" t="str">
        <f>"Gm11077"</f>
        <v>Gm11077</v>
      </c>
      <c r="B7726" t="s">
        <v>2702</v>
      </c>
      <c r="C7726" t="s">
        <v>32</v>
      </c>
      <c r="D7726" t="s">
        <v>17</v>
      </c>
      <c r="E7726" t="s">
        <v>20</v>
      </c>
      <c r="F7726">
        <v>140729283</v>
      </c>
      <c r="G7726">
        <v>140729283</v>
      </c>
      <c r="H7726">
        <v>140729283</v>
      </c>
      <c r="I7726">
        <v>140729283</v>
      </c>
    </row>
    <row r="7727" spans="1:9" x14ac:dyDescent="0.2">
      <c r="A7727" t="str">
        <f>"Gm11084"</f>
        <v>Gm11084</v>
      </c>
      <c r="B7727" t="s">
        <v>2703</v>
      </c>
      <c r="C7727" t="s">
        <v>26</v>
      </c>
      <c r="D7727" t="s">
        <v>11</v>
      </c>
      <c r="E7727" t="s">
        <v>20</v>
      </c>
      <c r="F7727">
        <v>72986715</v>
      </c>
      <c r="G7727">
        <v>72986715</v>
      </c>
      <c r="H7727">
        <v>72986715</v>
      </c>
      <c r="I7727">
        <v>72986715</v>
      </c>
    </row>
    <row r="7728" spans="1:9" x14ac:dyDescent="0.2">
      <c r="A7728" t="str">
        <f>"Gm11096"</f>
        <v>Gm11096</v>
      </c>
      <c r="B7728" t="s">
        <v>2704</v>
      </c>
      <c r="C7728" t="s">
        <v>28</v>
      </c>
      <c r="D7728" t="s">
        <v>17</v>
      </c>
      <c r="E7728" t="s">
        <v>20</v>
      </c>
      <c r="F7728">
        <v>81441762</v>
      </c>
      <c r="G7728">
        <v>81441762</v>
      </c>
      <c r="H7728">
        <v>81441762</v>
      </c>
      <c r="I7728">
        <v>81441762</v>
      </c>
    </row>
    <row r="7729" spans="1:9" x14ac:dyDescent="0.2">
      <c r="A7729" t="str">
        <f>"Gm11099"</f>
        <v>Gm11099</v>
      </c>
      <c r="B7729" t="s">
        <v>2705</v>
      </c>
      <c r="C7729" t="s">
        <v>26</v>
      </c>
      <c r="D7729" t="s">
        <v>17</v>
      </c>
      <c r="E7729" t="s">
        <v>20</v>
      </c>
      <c r="F7729">
        <v>58859433</v>
      </c>
      <c r="G7729">
        <v>58859433</v>
      </c>
      <c r="H7729">
        <v>58859433</v>
      </c>
      <c r="I7729">
        <v>58859433</v>
      </c>
    </row>
    <row r="7730" spans="1:9" x14ac:dyDescent="0.2">
      <c r="A7730" t="str">
        <f>"Gm1110"</f>
        <v>Gm1110</v>
      </c>
      <c r="B7730" t="s">
        <v>14</v>
      </c>
      <c r="C7730" t="s">
        <v>24</v>
      </c>
      <c r="D7730" t="s">
        <v>11</v>
      </c>
      <c r="E7730" t="s">
        <v>12</v>
      </c>
      <c r="F7730">
        <v>26923133</v>
      </c>
      <c r="G7730">
        <v>26923148</v>
      </c>
      <c r="H7730">
        <v>26923060</v>
      </c>
      <c r="I7730">
        <v>26923086</v>
      </c>
    </row>
    <row r="7731" spans="1:9" x14ac:dyDescent="0.2">
      <c r="A7731" t="str">
        <f>"Gm11110"</f>
        <v>Gm11110</v>
      </c>
      <c r="B7731" t="s">
        <v>14</v>
      </c>
      <c r="C7731" t="s">
        <v>28</v>
      </c>
      <c r="D7731" t="s">
        <v>11</v>
      </c>
      <c r="E7731" t="s">
        <v>12</v>
      </c>
      <c r="F7731">
        <v>57105916</v>
      </c>
      <c r="G7731">
        <v>57105948</v>
      </c>
      <c r="H7731">
        <v>57105916</v>
      </c>
      <c r="I7731">
        <v>57105948</v>
      </c>
    </row>
    <row r="7732" spans="1:9" x14ac:dyDescent="0.2">
      <c r="A7732" t="str">
        <f>"Gm11111"</f>
        <v>Gm11111</v>
      </c>
      <c r="B7732" t="s">
        <v>2706</v>
      </c>
      <c r="C7732" t="s">
        <v>46</v>
      </c>
      <c r="D7732" t="s">
        <v>17</v>
      </c>
      <c r="E7732" t="s">
        <v>20</v>
      </c>
      <c r="F7732">
        <v>98552694</v>
      </c>
      <c r="G7732">
        <v>98552694</v>
      </c>
      <c r="H7732">
        <v>98552694</v>
      </c>
      <c r="I7732">
        <v>98552694</v>
      </c>
    </row>
    <row r="7733" spans="1:9" x14ac:dyDescent="0.2">
      <c r="A7733" t="str">
        <f>"Gm11114"</f>
        <v>Gm11114</v>
      </c>
      <c r="B7733" t="s">
        <v>2707</v>
      </c>
      <c r="C7733" t="s">
        <v>24</v>
      </c>
      <c r="D7733" t="s">
        <v>17</v>
      </c>
      <c r="E7733" t="s">
        <v>20</v>
      </c>
      <c r="F7733">
        <v>85312772</v>
      </c>
      <c r="G7733">
        <v>85312772</v>
      </c>
      <c r="H7733">
        <v>85312772</v>
      </c>
      <c r="I7733">
        <v>85312772</v>
      </c>
    </row>
    <row r="7734" spans="1:9" x14ac:dyDescent="0.2">
      <c r="A7734" t="str">
        <f>"Gm11115"</f>
        <v>Gm11115</v>
      </c>
      <c r="B7734" t="s">
        <v>2708</v>
      </c>
      <c r="C7734" t="s">
        <v>46</v>
      </c>
      <c r="D7734" t="s">
        <v>11</v>
      </c>
      <c r="E7734" t="s">
        <v>20</v>
      </c>
      <c r="F7734">
        <v>88154098</v>
      </c>
      <c r="G7734">
        <v>88154098</v>
      </c>
      <c r="H7734">
        <v>88154098</v>
      </c>
      <c r="I7734">
        <v>88154098</v>
      </c>
    </row>
    <row r="7735" spans="1:9" x14ac:dyDescent="0.2">
      <c r="A7735" t="str">
        <f>"Gm11116"</f>
        <v>Gm11116</v>
      </c>
      <c r="B7735" t="s">
        <v>2709</v>
      </c>
      <c r="C7735" t="s">
        <v>46</v>
      </c>
      <c r="D7735" t="s">
        <v>11</v>
      </c>
      <c r="E7735" t="s">
        <v>20</v>
      </c>
      <c r="F7735">
        <v>88111529</v>
      </c>
      <c r="G7735">
        <v>88111529</v>
      </c>
      <c r="H7735">
        <v>88111529</v>
      </c>
      <c r="I7735">
        <v>88111529</v>
      </c>
    </row>
    <row r="7736" spans="1:9" x14ac:dyDescent="0.2">
      <c r="A7736" t="str">
        <f>"Gm11127"</f>
        <v>Gm11127</v>
      </c>
      <c r="B7736" t="s">
        <v>14</v>
      </c>
      <c r="C7736" t="s">
        <v>28</v>
      </c>
      <c r="D7736" t="s">
        <v>11</v>
      </c>
      <c r="E7736" t="s">
        <v>12</v>
      </c>
      <c r="F7736">
        <v>36058374</v>
      </c>
      <c r="G7736">
        <v>36058409</v>
      </c>
      <c r="H7736">
        <v>36058451</v>
      </c>
      <c r="I7736">
        <v>36058457</v>
      </c>
    </row>
    <row r="7737" spans="1:9" x14ac:dyDescent="0.2">
      <c r="A7737" t="str">
        <f>"Gm11128"</f>
        <v>Gm11128</v>
      </c>
      <c r="B7737" t="s">
        <v>14</v>
      </c>
      <c r="C7737" t="s">
        <v>32</v>
      </c>
      <c r="D7737" t="s">
        <v>11</v>
      </c>
      <c r="E7737" t="s">
        <v>12</v>
      </c>
      <c r="F7737">
        <v>85820936</v>
      </c>
      <c r="G7737">
        <v>85820962</v>
      </c>
      <c r="H7737">
        <v>85820936</v>
      </c>
      <c r="I7737">
        <v>85820962</v>
      </c>
    </row>
    <row r="7738" spans="1:9" x14ac:dyDescent="0.2">
      <c r="A7738" t="str">
        <f>"Gm11143"</f>
        <v>Gm11143</v>
      </c>
      <c r="B7738" t="s">
        <v>2710</v>
      </c>
      <c r="C7738" t="s">
        <v>32</v>
      </c>
      <c r="D7738" t="s">
        <v>17</v>
      </c>
      <c r="E7738" t="s">
        <v>20</v>
      </c>
      <c r="F7738">
        <v>69600065</v>
      </c>
      <c r="G7738">
        <v>69600065</v>
      </c>
      <c r="H7738">
        <v>69600065</v>
      </c>
      <c r="I7738">
        <v>69600065</v>
      </c>
    </row>
    <row r="7739" spans="1:9" x14ac:dyDescent="0.2">
      <c r="A7739" t="str">
        <f>"Gm11146"</f>
        <v>Gm11146</v>
      </c>
      <c r="B7739" t="s">
        <v>2711</v>
      </c>
      <c r="C7739" t="s">
        <v>31</v>
      </c>
      <c r="D7739" t="s">
        <v>11</v>
      </c>
      <c r="E7739" t="s">
        <v>20</v>
      </c>
      <c r="F7739">
        <v>77602093</v>
      </c>
      <c r="G7739">
        <v>77602093</v>
      </c>
      <c r="H7739">
        <v>77602093</v>
      </c>
      <c r="I7739">
        <v>77602093</v>
      </c>
    </row>
    <row r="7740" spans="1:9" x14ac:dyDescent="0.2">
      <c r="A7740" t="str">
        <f>"Gm11149"</f>
        <v>Gm11149</v>
      </c>
      <c r="B7740" t="s">
        <v>14</v>
      </c>
      <c r="C7740" t="s">
        <v>24</v>
      </c>
      <c r="D7740" t="s">
        <v>17</v>
      </c>
      <c r="E7740" t="s">
        <v>67</v>
      </c>
      <c r="F7740">
        <v>49518312</v>
      </c>
      <c r="G7740">
        <v>49518332</v>
      </c>
      <c r="H7740">
        <v>49518337</v>
      </c>
      <c r="I7740">
        <v>49518340</v>
      </c>
    </row>
    <row r="7741" spans="1:9" x14ac:dyDescent="0.2">
      <c r="A7741" t="str">
        <f>"Gm11168"</f>
        <v>Gm11168</v>
      </c>
      <c r="B7741" t="s">
        <v>14</v>
      </c>
      <c r="C7741" t="s">
        <v>24</v>
      </c>
      <c r="D7741" t="s">
        <v>17</v>
      </c>
      <c r="E7741" t="s">
        <v>67</v>
      </c>
      <c r="F7741">
        <v>3003974</v>
      </c>
      <c r="G7741">
        <v>3004008</v>
      </c>
      <c r="H7741">
        <v>3003974</v>
      </c>
      <c r="I7741">
        <v>3004008</v>
      </c>
    </row>
    <row r="7742" spans="1:9" x14ac:dyDescent="0.2">
      <c r="A7742" t="str">
        <f>"Gm11172"</f>
        <v>Gm11172</v>
      </c>
      <c r="B7742" t="s">
        <v>2712</v>
      </c>
      <c r="C7742" t="s">
        <v>31</v>
      </c>
      <c r="D7742" t="s">
        <v>17</v>
      </c>
      <c r="E7742" t="s">
        <v>20</v>
      </c>
      <c r="F7742">
        <v>10812914</v>
      </c>
      <c r="G7742">
        <v>10812914</v>
      </c>
      <c r="H7742">
        <v>10812914</v>
      </c>
      <c r="I7742">
        <v>10812914</v>
      </c>
    </row>
    <row r="7743" spans="1:9" x14ac:dyDescent="0.2">
      <c r="A7743" t="str">
        <f>"Gm11175"</f>
        <v>Gm11175</v>
      </c>
      <c r="B7743" t="s">
        <v>14</v>
      </c>
      <c r="C7743" t="s">
        <v>30</v>
      </c>
      <c r="D7743" t="s">
        <v>11</v>
      </c>
      <c r="E7743" t="s">
        <v>67</v>
      </c>
      <c r="F7743">
        <v>70700070</v>
      </c>
      <c r="G7743">
        <v>70700088</v>
      </c>
      <c r="H7743">
        <v>70700196</v>
      </c>
      <c r="I7743">
        <v>70700229</v>
      </c>
    </row>
    <row r="7744" spans="1:9" x14ac:dyDescent="0.2">
      <c r="A7744" t="str">
        <f>"Gm11214"</f>
        <v>Gm11214</v>
      </c>
      <c r="B7744" t="s">
        <v>2713</v>
      </c>
      <c r="C7744" t="s">
        <v>23</v>
      </c>
      <c r="D7744" t="s">
        <v>11</v>
      </c>
      <c r="E7744" t="s">
        <v>20</v>
      </c>
      <c r="F7744">
        <v>63662909</v>
      </c>
      <c r="G7744">
        <v>63662909</v>
      </c>
      <c r="H7744">
        <v>63662909</v>
      </c>
      <c r="I7744">
        <v>63662909</v>
      </c>
    </row>
    <row r="7745" spans="1:9" x14ac:dyDescent="0.2">
      <c r="A7745" t="str">
        <f>"Gm1123"</f>
        <v>Gm1123</v>
      </c>
      <c r="B7745" t="s">
        <v>14</v>
      </c>
      <c r="C7745" t="s">
        <v>24</v>
      </c>
      <c r="D7745" t="s">
        <v>11</v>
      </c>
      <c r="E7745" t="s">
        <v>12</v>
      </c>
      <c r="F7745">
        <v>99035679</v>
      </c>
      <c r="G7745">
        <v>99035718</v>
      </c>
      <c r="H7745">
        <v>99035647</v>
      </c>
      <c r="I7745">
        <v>99035676</v>
      </c>
    </row>
    <row r="7746" spans="1:9" x14ac:dyDescent="0.2">
      <c r="A7746" t="str">
        <f>"Gm11232"</f>
        <v>Gm11232</v>
      </c>
      <c r="B7746" t="s">
        <v>14</v>
      </c>
      <c r="C7746" t="s">
        <v>23</v>
      </c>
      <c r="D7746" t="s">
        <v>11</v>
      </c>
      <c r="E7746" t="s">
        <v>67</v>
      </c>
      <c r="F7746">
        <v>71757963</v>
      </c>
      <c r="G7746">
        <v>71757968</v>
      </c>
      <c r="H7746">
        <v>71757963</v>
      </c>
      <c r="I7746">
        <v>71757968</v>
      </c>
    </row>
    <row r="7747" spans="1:9" x14ac:dyDescent="0.2">
      <c r="A7747" t="str">
        <f>"Gm11236"</f>
        <v>Gm11236</v>
      </c>
      <c r="B7747" t="s">
        <v>2714</v>
      </c>
      <c r="C7747" t="s">
        <v>23</v>
      </c>
      <c r="D7747" t="s">
        <v>17</v>
      </c>
      <c r="E7747" t="s">
        <v>20</v>
      </c>
      <c r="F7747">
        <v>73638120</v>
      </c>
      <c r="G7747">
        <v>73638120</v>
      </c>
      <c r="H7747">
        <v>73638120</v>
      </c>
      <c r="I7747">
        <v>73638120</v>
      </c>
    </row>
    <row r="7748" spans="1:9" x14ac:dyDescent="0.2">
      <c r="A7748" t="str">
        <f>"Gm11237"</f>
        <v>Gm11237</v>
      </c>
      <c r="B7748" t="s">
        <v>2715</v>
      </c>
      <c r="C7748" t="s">
        <v>23</v>
      </c>
      <c r="D7748" t="s">
        <v>17</v>
      </c>
      <c r="E7748" t="s">
        <v>20</v>
      </c>
      <c r="F7748">
        <v>73622983</v>
      </c>
      <c r="G7748">
        <v>73622983</v>
      </c>
      <c r="H7748">
        <v>73622983</v>
      </c>
      <c r="I7748">
        <v>73622983</v>
      </c>
    </row>
    <row r="7749" spans="1:9" x14ac:dyDescent="0.2">
      <c r="A7749" t="str">
        <f>"Gm11238"</f>
        <v>Gm11238</v>
      </c>
      <c r="B7749" t="s">
        <v>2716</v>
      </c>
      <c r="C7749" t="s">
        <v>23</v>
      </c>
      <c r="D7749" t="s">
        <v>17</v>
      </c>
      <c r="E7749" t="s">
        <v>20</v>
      </c>
      <c r="F7749">
        <v>73607880</v>
      </c>
      <c r="G7749">
        <v>73607880</v>
      </c>
      <c r="H7749">
        <v>73607880</v>
      </c>
      <c r="I7749">
        <v>73607880</v>
      </c>
    </row>
    <row r="7750" spans="1:9" x14ac:dyDescent="0.2">
      <c r="A7750" t="str">
        <f>"Gm11239"</f>
        <v>Gm11239</v>
      </c>
      <c r="B7750" t="s">
        <v>2717</v>
      </c>
      <c r="C7750" t="s">
        <v>23</v>
      </c>
      <c r="D7750" t="s">
        <v>17</v>
      </c>
      <c r="E7750" t="s">
        <v>20</v>
      </c>
      <c r="F7750">
        <v>73668353</v>
      </c>
      <c r="G7750">
        <v>73668353</v>
      </c>
      <c r="H7750">
        <v>73668353</v>
      </c>
      <c r="I7750">
        <v>73668353</v>
      </c>
    </row>
    <row r="7751" spans="1:9" x14ac:dyDescent="0.2">
      <c r="A7751" t="str">
        <f>"Gm11273"</f>
        <v>Gm11273</v>
      </c>
      <c r="B7751" t="s">
        <v>2718</v>
      </c>
      <c r="C7751" t="s">
        <v>39</v>
      </c>
      <c r="D7751" t="s">
        <v>11</v>
      </c>
      <c r="E7751" t="s">
        <v>20</v>
      </c>
      <c r="F7751">
        <v>21501417</v>
      </c>
      <c r="G7751">
        <v>21501417</v>
      </c>
      <c r="H7751">
        <v>21501417</v>
      </c>
      <c r="I7751">
        <v>21501417</v>
      </c>
    </row>
    <row r="7752" spans="1:9" x14ac:dyDescent="0.2">
      <c r="A7752" t="str">
        <f>"Gm11360"</f>
        <v>Gm11360</v>
      </c>
      <c r="B7752" t="s">
        <v>2719</v>
      </c>
      <c r="C7752" t="s">
        <v>39</v>
      </c>
      <c r="D7752" t="s">
        <v>17</v>
      </c>
      <c r="E7752" t="s">
        <v>20</v>
      </c>
      <c r="F7752">
        <v>27956154</v>
      </c>
      <c r="G7752">
        <v>27956154</v>
      </c>
      <c r="H7752">
        <v>27956154</v>
      </c>
      <c r="I7752">
        <v>27956154</v>
      </c>
    </row>
    <row r="7753" spans="1:9" x14ac:dyDescent="0.2">
      <c r="A7753" t="str">
        <f>"Gm11397"</f>
        <v>Gm11397</v>
      </c>
      <c r="B7753" t="s">
        <v>2720</v>
      </c>
      <c r="C7753" t="s">
        <v>39</v>
      </c>
      <c r="D7753" t="s">
        <v>17</v>
      </c>
      <c r="E7753" t="s">
        <v>20</v>
      </c>
      <c r="F7753">
        <v>33395760</v>
      </c>
      <c r="G7753">
        <v>33395760</v>
      </c>
      <c r="H7753">
        <v>33395760</v>
      </c>
      <c r="I7753">
        <v>33395760</v>
      </c>
    </row>
    <row r="7754" spans="1:9" x14ac:dyDescent="0.2">
      <c r="A7754" t="str">
        <f>"Gm1140"</f>
        <v>Gm1140</v>
      </c>
      <c r="B7754" t="s">
        <v>2721</v>
      </c>
      <c r="C7754" t="s">
        <v>37</v>
      </c>
      <c r="D7754" t="s">
        <v>11</v>
      </c>
      <c r="E7754" t="s">
        <v>20</v>
      </c>
      <c r="F7754">
        <v>67693561</v>
      </c>
      <c r="G7754">
        <v>67693561</v>
      </c>
      <c r="H7754">
        <v>67693561</v>
      </c>
      <c r="I7754">
        <v>67693561</v>
      </c>
    </row>
    <row r="7755" spans="1:9" x14ac:dyDescent="0.2">
      <c r="A7755" t="str">
        <f>"Gm1141"</f>
        <v>Gm1141</v>
      </c>
      <c r="B7755" t="s">
        <v>14</v>
      </c>
      <c r="C7755" t="s">
        <v>37</v>
      </c>
      <c r="D7755" t="s">
        <v>17</v>
      </c>
      <c r="E7755" t="s">
        <v>12</v>
      </c>
      <c r="F7755">
        <v>71932433</v>
      </c>
      <c r="G7755">
        <v>71932444</v>
      </c>
      <c r="H7755">
        <v>71932433</v>
      </c>
      <c r="I7755">
        <v>71932444</v>
      </c>
    </row>
    <row r="7756" spans="1:9" x14ac:dyDescent="0.2">
      <c r="A7756" t="str">
        <f>"Gm11435"</f>
        <v>Gm11435</v>
      </c>
      <c r="B7756" t="s">
        <v>14</v>
      </c>
      <c r="C7756" t="s">
        <v>27</v>
      </c>
      <c r="D7756" t="s">
        <v>11</v>
      </c>
      <c r="E7756" t="s">
        <v>12</v>
      </c>
      <c r="F7756">
        <v>83522126</v>
      </c>
      <c r="G7756">
        <v>83522140</v>
      </c>
      <c r="H7756">
        <v>83522126</v>
      </c>
      <c r="I7756">
        <v>83522140</v>
      </c>
    </row>
    <row r="7757" spans="1:9" x14ac:dyDescent="0.2">
      <c r="A7757" t="str">
        <f>"Gm11437"</f>
        <v>Gm11437</v>
      </c>
      <c r="B7757" t="s">
        <v>14</v>
      </c>
      <c r="C7757" t="s">
        <v>27</v>
      </c>
      <c r="D7757" t="s">
        <v>11</v>
      </c>
      <c r="E7757" t="s">
        <v>12</v>
      </c>
      <c r="F7757">
        <v>84167466</v>
      </c>
      <c r="G7757">
        <v>84167508</v>
      </c>
      <c r="H7757">
        <v>84167438</v>
      </c>
      <c r="I7757">
        <v>84167447</v>
      </c>
    </row>
    <row r="7758" spans="1:9" x14ac:dyDescent="0.2">
      <c r="A7758" t="str">
        <f>"Gm11444"</f>
        <v>Gm11444</v>
      </c>
      <c r="B7758" t="s">
        <v>14</v>
      </c>
      <c r="C7758" t="s">
        <v>27</v>
      </c>
      <c r="D7758" t="s">
        <v>11</v>
      </c>
      <c r="E7758" t="s">
        <v>67</v>
      </c>
      <c r="F7758">
        <v>85850358</v>
      </c>
      <c r="G7758">
        <v>85850363</v>
      </c>
      <c r="H7758">
        <v>85850358</v>
      </c>
      <c r="I7758">
        <v>85850363</v>
      </c>
    </row>
    <row r="7759" spans="1:9" x14ac:dyDescent="0.2">
      <c r="A7759" t="str">
        <f>"Gm11487"</f>
        <v>Gm11487</v>
      </c>
      <c r="B7759" t="s">
        <v>2722</v>
      </c>
      <c r="C7759" t="s">
        <v>23</v>
      </c>
      <c r="D7759" t="s">
        <v>11</v>
      </c>
      <c r="E7759" t="s">
        <v>20</v>
      </c>
      <c r="F7759">
        <v>73405071</v>
      </c>
      <c r="G7759">
        <v>73405071</v>
      </c>
      <c r="H7759">
        <v>73405071</v>
      </c>
      <c r="I7759">
        <v>73405071</v>
      </c>
    </row>
    <row r="7760" spans="1:9" x14ac:dyDescent="0.2">
      <c r="A7760" t="str">
        <f>"Gm11492"</f>
        <v>Gm11492</v>
      </c>
      <c r="B7760" t="s">
        <v>14</v>
      </c>
      <c r="C7760" t="s">
        <v>27</v>
      </c>
      <c r="D7760" t="s">
        <v>17</v>
      </c>
      <c r="E7760" t="s">
        <v>67</v>
      </c>
      <c r="F7760">
        <v>87566680</v>
      </c>
      <c r="G7760">
        <v>87566710</v>
      </c>
      <c r="H7760">
        <v>87566718</v>
      </c>
      <c r="I7760">
        <v>87566732</v>
      </c>
    </row>
    <row r="7761" spans="1:9" x14ac:dyDescent="0.2">
      <c r="A7761" t="str">
        <f>"Gm11541"</f>
        <v>Gm11541</v>
      </c>
      <c r="B7761" t="s">
        <v>14</v>
      </c>
      <c r="C7761" t="s">
        <v>27</v>
      </c>
      <c r="D7761" t="s">
        <v>11</v>
      </c>
      <c r="E7761" t="s">
        <v>12</v>
      </c>
      <c r="F7761">
        <v>94704498</v>
      </c>
      <c r="G7761">
        <v>94704500</v>
      </c>
      <c r="H7761">
        <v>94704498</v>
      </c>
      <c r="I7761">
        <v>94704500</v>
      </c>
    </row>
    <row r="7762" spans="1:9" x14ac:dyDescent="0.2">
      <c r="A7762" t="str">
        <f>"Gm11554"</f>
        <v>Gm11554</v>
      </c>
      <c r="B7762" t="s">
        <v>2723</v>
      </c>
      <c r="C7762" t="s">
        <v>27</v>
      </c>
      <c r="D7762" t="s">
        <v>11</v>
      </c>
      <c r="E7762" t="s">
        <v>20</v>
      </c>
      <c r="F7762">
        <v>99804445</v>
      </c>
      <c r="G7762">
        <v>99804445</v>
      </c>
      <c r="H7762">
        <v>99804445</v>
      </c>
      <c r="I7762">
        <v>99804445</v>
      </c>
    </row>
    <row r="7763" spans="1:9" x14ac:dyDescent="0.2">
      <c r="A7763" t="str">
        <f>"Gm11555"</f>
        <v>Gm11555</v>
      </c>
      <c r="B7763" t="s">
        <v>14</v>
      </c>
      <c r="C7763" t="s">
        <v>27</v>
      </c>
      <c r="D7763" t="s">
        <v>11</v>
      </c>
      <c r="E7763" t="s">
        <v>67</v>
      </c>
      <c r="F7763">
        <v>99650234</v>
      </c>
      <c r="G7763">
        <v>99650237</v>
      </c>
      <c r="H7763">
        <v>99650288</v>
      </c>
      <c r="I7763">
        <v>99650291</v>
      </c>
    </row>
    <row r="7764" spans="1:9" x14ac:dyDescent="0.2">
      <c r="A7764" t="str">
        <f>"Gm11559"</f>
        <v>Gm11559</v>
      </c>
      <c r="B7764" t="s">
        <v>2724</v>
      </c>
      <c r="C7764" t="s">
        <v>27</v>
      </c>
      <c r="D7764" t="s">
        <v>17</v>
      </c>
      <c r="E7764" t="s">
        <v>20</v>
      </c>
      <c r="F7764">
        <v>99864475</v>
      </c>
      <c r="G7764">
        <v>99864475</v>
      </c>
      <c r="H7764">
        <v>99864475</v>
      </c>
      <c r="I7764">
        <v>99864475</v>
      </c>
    </row>
    <row r="7765" spans="1:9" x14ac:dyDescent="0.2">
      <c r="A7765" t="str">
        <f>"Gm11562"</f>
        <v>Gm11562</v>
      </c>
      <c r="B7765" t="s">
        <v>14</v>
      </c>
      <c r="C7765" t="s">
        <v>27</v>
      </c>
      <c r="D7765" t="s">
        <v>11</v>
      </c>
      <c r="E7765" t="s">
        <v>12</v>
      </c>
      <c r="F7765">
        <v>99620432</v>
      </c>
      <c r="G7765">
        <v>99620436</v>
      </c>
      <c r="H7765">
        <v>99620432</v>
      </c>
      <c r="I7765">
        <v>99620436</v>
      </c>
    </row>
    <row r="7766" spans="1:9" x14ac:dyDescent="0.2">
      <c r="A7766" t="str">
        <f>"Gm11563"</f>
        <v>Gm11563</v>
      </c>
      <c r="B7766" t="s">
        <v>14</v>
      </c>
      <c r="C7766" t="s">
        <v>27</v>
      </c>
      <c r="D7766" t="s">
        <v>11</v>
      </c>
      <c r="E7766" t="s">
        <v>12</v>
      </c>
      <c r="F7766">
        <v>99658978</v>
      </c>
      <c r="G7766">
        <v>99658984</v>
      </c>
      <c r="H7766">
        <v>99658978</v>
      </c>
      <c r="I7766">
        <v>99658984</v>
      </c>
    </row>
    <row r="7767" spans="1:9" x14ac:dyDescent="0.2">
      <c r="A7767" t="str">
        <f>"Gm11564"</f>
        <v>Gm11564</v>
      </c>
      <c r="B7767" t="s">
        <v>14</v>
      </c>
      <c r="C7767" t="s">
        <v>27</v>
      </c>
      <c r="D7767" t="s">
        <v>11</v>
      </c>
      <c r="E7767" t="s">
        <v>12</v>
      </c>
      <c r="F7767">
        <v>99815661</v>
      </c>
      <c r="G7767">
        <v>99815664</v>
      </c>
      <c r="H7767">
        <v>99815661</v>
      </c>
      <c r="I7767">
        <v>99815664</v>
      </c>
    </row>
    <row r="7768" spans="1:9" x14ac:dyDescent="0.2">
      <c r="A7768" t="str">
        <f>"Gm11565"</f>
        <v>Gm11565</v>
      </c>
      <c r="B7768" t="s">
        <v>14</v>
      </c>
      <c r="C7768" t="s">
        <v>27</v>
      </c>
      <c r="D7768" t="s">
        <v>17</v>
      </c>
      <c r="E7768" t="s">
        <v>12</v>
      </c>
      <c r="F7768">
        <v>99914729</v>
      </c>
      <c r="G7768">
        <v>99914733</v>
      </c>
      <c r="H7768">
        <v>99914729</v>
      </c>
      <c r="I7768">
        <v>99914733</v>
      </c>
    </row>
    <row r="7769" spans="1:9" x14ac:dyDescent="0.2">
      <c r="A7769" t="str">
        <f>"Gm11567"</f>
        <v>Gm11567</v>
      </c>
      <c r="B7769" t="s">
        <v>2725</v>
      </c>
      <c r="C7769" t="s">
        <v>27</v>
      </c>
      <c r="D7769" t="s">
        <v>17</v>
      </c>
      <c r="E7769" t="s">
        <v>20</v>
      </c>
      <c r="F7769">
        <v>99879186</v>
      </c>
      <c r="G7769">
        <v>99879186</v>
      </c>
      <c r="H7769">
        <v>99879186</v>
      </c>
      <c r="I7769">
        <v>99879186</v>
      </c>
    </row>
    <row r="7770" spans="1:9" x14ac:dyDescent="0.2">
      <c r="A7770" t="str">
        <f>"Gm11568"</f>
        <v>Gm11568</v>
      </c>
      <c r="B7770" t="s">
        <v>14</v>
      </c>
      <c r="C7770" t="s">
        <v>27</v>
      </c>
      <c r="D7770" t="s">
        <v>17</v>
      </c>
      <c r="E7770" t="s">
        <v>12</v>
      </c>
      <c r="F7770">
        <v>99857915</v>
      </c>
      <c r="G7770">
        <v>99857918</v>
      </c>
      <c r="H7770">
        <v>99857915</v>
      </c>
      <c r="I7770">
        <v>99857918</v>
      </c>
    </row>
    <row r="7771" spans="1:9" x14ac:dyDescent="0.2">
      <c r="A7771" t="str">
        <f>"Gm11569"</f>
        <v>Gm11569</v>
      </c>
      <c r="B7771" t="s">
        <v>2726</v>
      </c>
      <c r="C7771" t="s">
        <v>27</v>
      </c>
      <c r="D7771" t="s">
        <v>11</v>
      </c>
      <c r="E7771" t="s">
        <v>20</v>
      </c>
      <c r="F7771">
        <v>99798931</v>
      </c>
      <c r="G7771">
        <v>99798931</v>
      </c>
      <c r="H7771">
        <v>99798931</v>
      </c>
      <c r="I7771">
        <v>99798931</v>
      </c>
    </row>
    <row r="7772" spans="1:9" x14ac:dyDescent="0.2">
      <c r="A7772" t="str">
        <f>"Gm11595"</f>
        <v>Gm11595</v>
      </c>
      <c r="B7772" t="s">
        <v>2727</v>
      </c>
      <c r="C7772" t="s">
        <v>27</v>
      </c>
      <c r="D7772" t="s">
        <v>11</v>
      </c>
      <c r="E7772" t="s">
        <v>20</v>
      </c>
      <c r="F7772">
        <v>99772912</v>
      </c>
      <c r="G7772">
        <v>99772912</v>
      </c>
      <c r="H7772">
        <v>99772912</v>
      </c>
      <c r="I7772">
        <v>99772912</v>
      </c>
    </row>
    <row r="7773" spans="1:9" x14ac:dyDescent="0.2">
      <c r="A7773" t="str">
        <f>"Gm11596"</f>
        <v>Gm11596</v>
      </c>
      <c r="B7773" t="s">
        <v>14</v>
      </c>
      <c r="C7773" t="s">
        <v>27</v>
      </c>
      <c r="D7773" t="s">
        <v>11</v>
      </c>
      <c r="E7773" t="s">
        <v>12</v>
      </c>
      <c r="F7773">
        <v>99793347</v>
      </c>
      <c r="G7773">
        <v>99793354</v>
      </c>
      <c r="H7773">
        <v>99793347</v>
      </c>
      <c r="I7773">
        <v>99793354</v>
      </c>
    </row>
    <row r="7774" spans="1:9" x14ac:dyDescent="0.2">
      <c r="A7774" t="str">
        <f>"Gm11627"</f>
        <v>Gm11627</v>
      </c>
      <c r="B7774" t="s">
        <v>14</v>
      </c>
      <c r="C7774" t="s">
        <v>27</v>
      </c>
      <c r="D7774" t="s">
        <v>11</v>
      </c>
      <c r="E7774" t="s">
        <v>12</v>
      </c>
      <c r="F7774">
        <v>102579071</v>
      </c>
      <c r="G7774">
        <v>102579083</v>
      </c>
      <c r="H7774">
        <v>102579094</v>
      </c>
      <c r="I7774">
        <v>102579113</v>
      </c>
    </row>
    <row r="7775" spans="1:9" x14ac:dyDescent="0.2">
      <c r="A7775" t="str">
        <f>"Gm11639"</f>
        <v>Gm11639</v>
      </c>
      <c r="B7775" t="s">
        <v>14</v>
      </c>
      <c r="C7775" t="s">
        <v>27</v>
      </c>
      <c r="D7775" t="s">
        <v>17</v>
      </c>
      <c r="E7775" t="s">
        <v>67</v>
      </c>
      <c r="F7775">
        <v>104685701</v>
      </c>
      <c r="G7775">
        <v>104685714</v>
      </c>
      <c r="H7775">
        <v>104685737</v>
      </c>
      <c r="I7775">
        <v>104685746</v>
      </c>
    </row>
    <row r="7776" spans="1:9" x14ac:dyDescent="0.2">
      <c r="A7776" t="str">
        <f>"Gm11696"</f>
        <v>Gm11696</v>
      </c>
      <c r="B7776" t="s">
        <v>14</v>
      </c>
      <c r="C7776" t="s">
        <v>27</v>
      </c>
      <c r="D7776" t="s">
        <v>11</v>
      </c>
      <c r="E7776" t="s">
        <v>12</v>
      </c>
      <c r="F7776">
        <v>109363181</v>
      </c>
      <c r="G7776">
        <v>109363213</v>
      </c>
      <c r="H7776">
        <v>109363712</v>
      </c>
      <c r="I7776">
        <v>109363756</v>
      </c>
    </row>
    <row r="7777" spans="1:9" x14ac:dyDescent="0.2">
      <c r="A7777" t="str">
        <f>"Gm11709"</f>
        <v>Gm11709</v>
      </c>
      <c r="B7777" t="s">
        <v>2728</v>
      </c>
      <c r="C7777" t="s">
        <v>27</v>
      </c>
      <c r="D7777" t="s">
        <v>11</v>
      </c>
      <c r="E7777" t="s">
        <v>20</v>
      </c>
      <c r="F7777">
        <v>115016192</v>
      </c>
      <c r="G7777">
        <v>115016192</v>
      </c>
      <c r="H7777">
        <v>115016192</v>
      </c>
      <c r="I7777">
        <v>115016192</v>
      </c>
    </row>
    <row r="7778" spans="1:9" x14ac:dyDescent="0.2">
      <c r="A7778" t="str">
        <f>"Gm11710"</f>
        <v>Gm11710</v>
      </c>
      <c r="B7778" t="s">
        <v>2729</v>
      </c>
      <c r="C7778" t="s">
        <v>27</v>
      </c>
      <c r="D7778" t="s">
        <v>11</v>
      </c>
      <c r="E7778" t="s">
        <v>20</v>
      </c>
      <c r="F7778">
        <v>115027011</v>
      </c>
      <c r="G7778">
        <v>115027011</v>
      </c>
      <c r="H7778">
        <v>115027011</v>
      </c>
      <c r="I7778">
        <v>115027011</v>
      </c>
    </row>
    <row r="7779" spans="1:9" x14ac:dyDescent="0.2">
      <c r="A7779" t="str">
        <f>"Gm11711"</f>
        <v>Gm11711</v>
      </c>
      <c r="B7779" t="s">
        <v>14</v>
      </c>
      <c r="C7779" t="s">
        <v>27</v>
      </c>
      <c r="D7779" t="s">
        <v>11</v>
      </c>
      <c r="E7779" t="s">
        <v>12</v>
      </c>
      <c r="F7779">
        <v>115048328</v>
      </c>
      <c r="G7779">
        <v>115048371</v>
      </c>
      <c r="H7779">
        <v>115048287</v>
      </c>
      <c r="I7779">
        <v>115048305</v>
      </c>
    </row>
    <row r="7780" spans="1:9" x14ac:dyDescent="0.2">
      <c r="A7780" t="str">
        <f>"Gm11733"</f>
        <v>Gm11733</v>
      </c>
      <c r="B7780" t="s">
        <v>2730</v>
      </c>
      <c r="C7780" t="s">
        <v>27</v>
      </c>
      <c r="D7780" t="s">
        <v>17</v>
      </c>
      <c r="E7780" t="s">
        <v>20</v>
      </c>
      <c r="F7780">
        <v>117484367</v>
      </c>
      <c r="G7780">
        <v>117484367</v>
      </c>
      <c r="H7780">
        <v>117484367</v>
      </c>
      <c r="I7780">
        <v>117484367</v>
      </c>
    </row>
    <row r="7781" spans="1:9" x14ac:dyDescent="0.2">
      <c r="A7781" t="str">
        <f>"Gm11744"</f>
        <v>Gm11744</v>
      </c>
      <c r="B7781" t="s">
        <v>9</v>
      </c>
      <c r="C7781" t="s">
        <v>27</v>
      </c>
      <c r="D7781" t="s">
        <v>17</v>
      </c>
      <c r="E7781" t="s">
        <v>12</v>
      </c>
      <c r="F7781">
        <v>116657123</v>
      </c>
      <c r="G7781">
        <v>116657140</v>
      </c>
      <c r="H7781">
        <v>116657123</v>
      </c>
      <c r="I7781">
        <v>116657140</v>
      </c>
    </row>
    <row r="7782" spans="1:9" x14ac:dyDescent="0.2">
      <c r="A7782" t="str">
        <f>"Gm11744"</f>
        <v>Gm11744</v>
      </c>
      <c r="B7782" t="s">
        <v>13</v>
      </c>
      <c r="C7782" t="s">
        <v>27</v>
      </c>
      <c r="D7782" t="s">
        <v>17</v>
      </c>
      <c r="E7782" t="s">
        <v>12</v>
      </c>
      <c r="F7782">
        <v>116653855</v>
      </c>
      <c r="G7782">
        <v>116653883</v>
      </c>
      <c r="H7782">
        <v>116653855</v>
      </c>
      <c r="I7782">
        <v>116653883</v>
      </c>
    </row>
    <row r="7783" spans="1:9" x14ac:dyDescent="0.2">
      <c r="A7783" t="str">
        <f>"Gm11756"</f>
        <v>Gm11756</v>
      </c>
      <c r="B7783" t="s">
        <v>2731</v>
      </c>
      <c r="C7783" t="s">
        <v>23</v>
      </c>
      <c r="D7783" t="s">
        <v>11</v>
      </c>
      <c r="E7783" t="s">
        <v>20</v>
      </c>
      <c r="F7783">
        <v>73920759</v>
      </c>
      <c r="G7783">
        <v>73920759</v>
      </c>
      <c r="H7783">
        <v>73920759</v>
      </c>
      <c r="I7783">
        <v>73920759</v>
      </c>
    </row>
    <row r="7784" spans="1:9" x14ac:dyDescent="0.2">
      <c r="A7784" t="str">
        <f>"Gm11757"</f>
        <v>Gm11757</v>
      </c>
      <c r="B7784" t="s">
        <v>2732</v>
      </c>
      <c r="C7784" t="s">
        <v>23</v>
      </c>
      <c r="D7784" t="s">
        <v>11</v>
      </c>
      <c r="E7784" t="s">
        <v>20</v>
      </c>
      <c r="F7784">
        <v>73891111</v>
      </c>
      <c r="G7784">
        <v>73891111</v>
      </c>
      <c r="H7784">
        <v>73891111</v>
      </c>
      <c r="I7784">
        <v>73891111</v>
      </c>
    </row>
    <row r="7785" spans="1:9" x14ac:dyDescent="0.2">
      <c r="A7785" t="str">
        <f>"Gm11758"</f>
        <v>Gm11758</v>
      </c>
      <c r="B7785" t="s">
        <v>2733</v>
      </c>
      <c r="C7785" t="s">
        <v>23</v>
      </c>
      <c r="D7785" t="s">
        <v>11</v>
      </c>
      <c r="E7785" t="s">
        <v>20</v>
      </c>
      <c r="F7785">
        <v>73876265</v>
      </c>
      <c r="G7785">
        <v>73876265</v>
      </c>
      <c r="H7785">
        <v>73876265</v>
      </c>
      <c r="I7785">
        <v>73876265</v>
      </c>
    </row>
    <row r="7786" spans="1:9" x14ac:dyDescent="0.2">
      <c r="A7786" t="str">
        <f>"Gm11808"</f>
        <v>Gm11808</v>
      </c>
      <c r="B7786" t="s">
        <v>2734</v>
      </c>
      <c r="C7786" t="s">
        <v>23</v>
      </c>
      <c r="D7786" t="s">
        <v>11</v>
      </c>
      <c r="E7786" t="s">
        <v>20</v>
      </c>
      <c r="F7786">
        <v>3973580</v>
      </c>
      <c r="G7786">
        <v>3973580</v>
      </c>
      <c r="H7786">
        <v>3973580</v>
      </c>
      <c r="I7786">
        <v>3973580</v>
      </c>
    </row>
    <row r="7787" spans="1:9" x14ac:dyDescent="0.2">
      <c r="A7787" t="str">
        <f>"Gm11937"</f>
        <v>Gm11937</v>
      </c>
      <c r="B7787" t="s">
        <v>14</v>
      </c>
      <c r="C7787" t="s">
        <v>27</v>
      </c>
      <c r="D7787" t="s">
        <v>11</v>
      </c>
      <c r="E7787" t="s">
        <v>12</v>
      </c>
      <c r="F7787">
        <v>99614845</v>
      </c>
      <c r="G7787">
        <v>99614847</v>
      </c>
      <c r="H7787">
        <v>99614845</v>
      </c>
      <c r="I7787">
        <v>99614847</v>
      </c>
    </row>
    <row r="7788" spans="1:9" x14ac:dyDescent="0.2">
      <c r="A7788" t="str">
        <f>"Gm11938"</f>
        <v>Gm11938</v>
      </c>
      <c r="B7788" t="s">
        <v>14</v>
      </c>
      <c r="C7788" t="s">
        <v>27</v>
      </c>
      <c r="D7788" t="s">
        <v>11</v>
      </c>
      <c r="E7788" t="s">
        <v>12</v>
      </c>
      <c r="F7788">
        <v>99614845</v>
      </c>
      <c r="G7788">
        <v>99614847</v>
      </c>
      <c r="H7788">
        <v>99614845</v>
      </c>
      <c r="I7788">
        <v>99614847</v>
      </c>
    </row>
    <row r="7789" spans="1:9" x14ac:dyDescent="0.2">
      <c r="A7789" t="str">
        <f>"Gm11939"</f>
        <v>Gm11939</v>
      </c>
      <c r="B7789" t="s">
        <v>14</v>
      </c>
      <c r="C7789" t="s">
        <v>27</v>
      </c>
      <c r="D7789" t="s">
        <v>11</v>
      </c>
      <c r="E7789" t="s">
        <v>67</v>
      </c>
      <c r="F7789">
        <v>99559505</v>
      </c>
      <c r="G7789">
        <v>99559512</v>
      </c>
      <c r="H7789">
        <v>99559505</v>
      </c>
      <c r="I7789">
        <v>99559512</v>
      </c>
    </row>
    <row r="7790" spans="1:9" x14ac:dyDescent="0.2">
      <c r="A7790" t="str">
        <f>"Gm11983"</f>
        <v>Gm11983</v>
      </c>
      <c r="B7790" t="s">
        <v>2735</v>
      </c>
      <c r="C7790" t="s">
        <v>27</v>
      </c>
      <c r="D7790" t="s">
        <v>11</v>
      </c>
      <c r="E7790" t="s">
        <v>20</v>
      </c>
      <c r="F7790">
        <v>6837124</v>
      </c>
      <c r="G7790">
        <v>6837124</v>
      </c>
      <c r="H7790">
        <v>6837124</v>
      </c>
      <c r="I7790">
        <v>6837124</v>
      </c>
    </row>
    <row r="7791" spans="1:9" x14ac:dyDescent="0.2">
      <c r="A7791" t="str">
        <f>"Gm11992"</f>
        <v>Gm11992</v>
      </c>
      <c r="B7791" t="s">
        <v>14</v>
      </c>
      <c r="C7791" t="s">
        <v>27</v>
      </c>
      <c r="D7791" t="s">
        <v>17</v>
      </c>
      <c r="E7791" t="s">
        <v>12</v>
      </c>
      <c r="F7791">
        <v>9048575</v>
      </c>
      <c r="G7791">
        <v>9048630</v>
      </c>
      <c r="H7791">
        <v>9048575</v>
      </c>
      <c r="I7791">
        <v>9048630</v>
      </c>
    </row>
    <row r="7792" spans="1:9" x14ac:dyDescent="0.2">
      <c r="A7792" t="str">
        <f>"Gm12117"</f>
        <v>Gm12117</v>
      </c>
      <c r="B7792" t="s">
        <v>2736</v>
      </c>
      <c r="C7792" t="s">
        <v>27</v>
      </c>
      <c r="D7792" t="s">
        <v>11</v>
      </c>
      <c r="E7792" t="s">
        <v>20</v>
      </c>
      <c r="F7792">
        <v>33276333</v>
      </c>
      <c r="G7792">
        <v>33276333</v>
      </c>
      <c r="H7792">
        <v>33276333</v>
      </c>
      <c r="I7792">
        <v>33276333</v>
      </c>
    </row>
    <row r="7793" spans="1:9" x14ac:dyDescent="0.2">
      <c r="A7793" t="str">
        <f>"Gm12169"</f>
        <v>Gm12169</v>
      </c>
      <c r="B7793" t="s">
        <v>2737</v>
      </c>
      <c r="C7793" t="s">
        <v>27</v>
      </c>
      <c r="D7793" t="s">
        <v>17</v>
      </c>
      <c r="E7793" t="s">
        <v>20</v>
      </c>
      <c r="F7793">
        <v>46524211</v>
      </c>
      <c r="G7793">
        <v>46524211</v>
      </c>
      <c r="H7793">
        <v>46524211</v>
      </c>
      <c r="I7793">
        <v>46524211</v>
      </c>
    </row>
    <row r="7794" spans="1:9" x14ac:dyDescent="0.2">
      <c r="A7794" t="str">
        <f>"Gm12184"</f>
        <v>Gm12184</v>
      </c>
      <c r="B7794" t="s">
        <v>2738</v>
      </c>
      <c r="C7794" t="s">
        <v>27</v>
      </c>
      <c r="D7794" t="s">
        <v>11</v>
      </c>
      <c r="E7794" t="s">
        <v>35</v>
      </c>
      <c r="F7794">
        <v>48826740</v>
      </c>
      <c r="G7794">
        <v>48826743</v>
      </c>
      <c r="H7794">
        <v>48826609</v>
      </c>
      <c r="I7794">
        <v>48826614</v>
      </c>
    </row>
    <row r="7795" spans="1:9" x14ac:dyDescent="0.2">
      <c r="A7795" t="str">
        <f>"Gm12185"</f>
        <v>Gm12185</v>
      </c>
      <c r="B7795" t="s">
        <v>14</v>
      </c>
      <c r="C7795" t="s">
        <v>27</v>
      </c>
      <c r="D7795" t="s">
        <v>11</v>
      </c>
      <c r="E7795" t="s">
        <v>12</v>
      </c>
      <c r="F7795">
        <v>48927177</v>
      </c>
      <c r="G7795">
        <v>48927182</v>
      </c>
      <c r="H7795">
        <v>48927177</v>
      </c>
      <c r="I7795">
        <v>48927182</v>
      </c>
    </row>
    <row r="7796" spans="1:9" x14ac:dyDescent="0.2">
      <c r="A7796" t="str">
        <f>"Gm12216"</f>
        <v>Gm12216</v>
      </c>
      <c r="B7796" t="s">
        <v>9</v>
      </c>
      <c r="C7796" t="s">
        <v>27</v>
      </c>
      <c r="D7796" t="s">
        <v>11</v>
      </c>
      <c r="E7796" t="s">
        <v>12</v>
      </c>
      <c r="F7796">
        <v>53850052</v>
      </c>
      <c r="G7796">
        <v>53850088</v>
      </c>
      <c r="H7796">
        <v>53850052</v>
      </c>
      <c r="I7796">
        <v>53850088</v>
      </c>
    </row>
    <row r="7797" spans="1:9" x14ac:dyDescent="0.2">
      <c r="A7797" t="str">
        <f>"Gm12216"</f>
        <v>Gm12216</v>
      </c>
      <c r="B7797" t="s">
        <v>13</v>
      </c>
      <c r="C7797" t="s">
        <v>27</v>
      </c>
      <c r="D7797" t="s">
        <v>11</v>
      </c>
      <c r="E7797" t="s">
        <v>12</v>
      </c>
      <c r="F7797">
        <v>53859295</v>
      </c>
      <c r="G7797">
        <v>53859340</v>
      </c>
      <c r="H7797">
        <v>53859295</v>
      </c>
      <c r="I7797">
        <v>53859340</v>
      </c>
    </row>
    <row r="7798" spans="1:9" x14ac:dyDescent="0.2">
      <c r="A7798" t="str">
        <f>"Gm12253"</f>
        <v>Gm12253</v>
      </c>
      <c r="B7798" t="s">
        <v>2739</v>
      </c>
      <c r="C7798" t="s">
        <v>27</v>
      </c>
      <c r="D7798" t="s">
        <v>17</v>
      </c>
      <c r="E7798" t="s">
        <v>20</v>
      </c>
      <c r="F7798">
        <v>58432558</v>
      </c>
      <c r="G7798">
        <v>58432558</v>
      </c>
      <c r="H7798">
        <v>58432558</v>
      </c>
      <c r="I7798">
        <v>58432558</v>
      </c>
    </row>
    <row r="7799" spans="1:9" x14ac:dyDescent="0.2">
      <c r="A7799" t="str">
        <f>"Gm12258"</f>
        <v>Gm12258</v>
      </c>
      <c r="B7799" t="s">
        <v>14</v>
      </c>
      <c r="C7799" t="s">
        <v>27</v>
      </c>
      <c r="D7799" t="s">
        <v>17</v>
      </c>
      <c r="E7799" t="s">
        <v>67</v>
      </c>
      <c r="F7799">
        <v>58847153</v>
      </c>
      <c r="G7799">
        <v>58847226</v>
      </c>
      <c r="H7799">
        <v>58847153</v>
      </c>
      <c r="I7799">
        <v>58847226</v>
      </c>
    </row>
    <row r="7800" spans="1:9" x14ac:dyDescent="0.2">
      <c r="A7800" t="str">
        <f>"Gm12353"</f>
        <v>Gm12353</v>
      </c>
      <c r="B7800" t="s">
        <v>2740</v>
      </c>
      <c r="C7800" t="s">
        <v>23</v>
      </c>
      <c r="D7800" t="s">
        <v>17</v>
      </c>
      <c r="E7800" t="s">
        <v>20</v>
      </c>
      <c r="F7800">
        <v>19605450</v>
      </c>
      <c r="G7800">
        <v>19605450</v>
      </c>
      <c r="H7800">
        <v>19605450</v>
      </c>
      <c r="I7800">
        <v>19605450</v>
      </c>
    </row>
    <row r="7801" spans="1:9" x14ac:dyDescent="0.2">
      <c r="A7801" t="str">
        <f>"Gm12355"</f>
        <v>Gm12355</v>
      </c>
      <c r="B7801" t="s">
        <v>14</v>
      </c>
      <c r="C7801" t="s">
        <v>27</v>
      </c>
      <c r="D7801" t="s">
        <v>11</v>
      </c>
      <c r="E7801" t="s">
        <v>12</v>
      </c>
      <c r="F7801">
        <v>98625657</v>
      </c>
      <c r="G7801">
        <v>98625665</v>
      </c>
      <c r="H7801">
        <v>98625657</v>
      </c>
      <c r="I7801">
        <v>98625665</v>
      </c>
    </row>
    <row r="7802" spans="1:9" x14ac:dyDescent="0.2">
      <c r="A7802" t="str">
        <f>"Gm12394"</f>
        <v>Gm12394</v>
      </c>
      <c r="B7802" t="s">
        <v>2741</v>
      </c>
      <c r="C7802" t="s">
        <v>23</v>
      </c>
      <c r="D7802" t="s">
        <v>11</v>
      </c>
      <c r="E7802" t="s">
        <v>20</v>
      </c>
      <c r="F7802">
        <v>42856770</v>
      </c>
      <c r="G7802">
        <v>42856770</v>
      </c>
      <c r="H7802">
        <v>42856770</v>
      </c>
      <c r="I7802">
        <v>42856770</v>
      </c>
    </row>
    <row r="7803" spans="1:9" x14ac:dyDescent="0.2">
      <c r="A7803" t="str">
        <f>"Gm12429"</f>
        <v>Gm12429</v>
      </c>
      <c r="B7803" t="s">
        <v>2742</v>
      </c>
      <c r="C7803" t="s">
        <v>23</v>
      </c>
      <c r="D7803" t="s">
        <v>11</v>
      </c>
      <c r="E7803" t="s">
        <v>20</v>
      </c>
      <c r="F7803">
        <v>42853887</v>
      </c>
      <c r="G7803">
        <v>42853887</v>
      </c>
      <c r="H7803">
        <v>42853887</v>
      </c>
      <c r="I7803">
        <v>42853887</v>
      </c>
    </row>
    <row r="7804" spans="1:9" x14ac:dyDescent="0.2">
      <c r="A7804" t="str">
        <f>"Gm12500"</f>
        <v>Gm12500</v>
      </c>
      <c r="B7804" t="s">
        <v>14</v>
      </c>
      <c r="C7804" t="s">
        <v>22</v>
      </c>
      <c r="D7804" t="s">
        <v>17</v>
      </c>
      <c r="E7804" t="s">
        <v>67</v>
      </c>
      <c r="F7804">
        <v>108085952</v>
      </c>
      <c r="G7804">
        <v>108085984</v>
      </c>
      <c r="H7804">
        <v>108085952</v>
      </c>
      <c r="I7804">
        <v>108085984</v>
      </c>
    </row>
    <row r="7805" spans="1:9" x14ac:dyDescent="0.2">
      <c r="A7805" t="str">
        <f>"Gm12597"</f>
        <v>Gm12597</v>
      </c>
      <c r="B7805" t="s">
        <v>2743</v>
      </c>
      <c r="C7805" t="s">
        <v>23</v>
      </c>
      <c r="D7805" t="s">
        <v>11</v>
      </c>
      <c r="E7805" t="s">
        <v>20</v>
      </c>
      <c r="F7805">
        <v>88558244</v>
      </c>
      <c r="G7805">
        <v>88558244</v>
      </c>
      <c r="H7805">
        <v>88558244</v>
      </c>
      <c r="I7805">
        <v>88558244</v>
      </c>
    </row>
    <row r="7806" spans="1:9" x14ac:dyDescent="0.2">
      <c r="A7806" t="str">
        <f>"Gm12666"</f>
        <v>Gm12666</v>
      </c>
      <c r="B7806" t="s">
        <v>2744</v>
      </c>
      <c r="C7806" t="s">
        <v>23</v>
      </c>
      <c r="D7806" t="s">
        <v>11</v>
      </c>
      <c r="E7806" t="s">
        <v>20</v>
      </c>
      <c r="F7806">
        <v>92191748</v>
      </c>
      <c r="G7806">
        <v>92191748</v>
      </c>
      <c r="H7806">
        <v>92191748</v>
      </c>
      <c r="I7806">
        <v>92191748</v>
      </c>
    </row>
    <row r="7807" spans="1:9" x14ac:dyDescent="0.2">
      <c r="A7807" t="str">
        <f>"Gm12689"</f>
        <v>Gm12689</v>
      </c>
      <c r="B7807" t="s">
        <v>2745</v>
      </c>
      <c r="C7807" t="s">
        <v>23</v>
      </c>
      <c r="D7807" t="s">
        <v>17</v>
      </c>
      <c r="E7807" t="s">
        <v>20</v>
      </c>
      <c r="F7807">
        <v>99295899</v>
      </c>
      <c r="G7807">
        <v>99295899</v>
      </c>
      <c r="H7807">
        <v>99295899</v>
      </c>
      <c r="I7807">
        <v>99295899</v>
      </c>
    </row>
    <row r="7808" spans="1:9" x14ac:dyDescent="0.2">
      <c r="A7808" t="str">
        <f>"Gm12695"</f>
        <v>Gm12695</v>
      </c>
      <c r="B7808" t="s">
        <v>2746</v>
      </c>
      <c r="C7808" t="s">
        <v>23</v>
      </c>
      <c r="D7808" t="s">
        <v>11</v>
      </c>
      <c r="E7808" t="s">
        <v>20</v>
      </c>
      <c r="F7808">
        <v>96785185</v>
      </c>
      <c r="G7808">
        <v>96785185</v>
      </c>
      <c r="H7808">
        <v>96785185</v>
      </c>
      <c r="I7808">
        <v>96785185</v>
      </c>
    </row>
    <row r="7809" spans="1:9" x14ac:dyDescent="0.2">
      <c r="A7809" t="str">
        <f>"Gm12728"</f>
        <v>Gm12728</v>
      </c>
      <c r="B7809" t="s">
        <v>2747</v>
      </c>
      <c r="C7809" t="s">
        <v>23</v>
      </c>
      <c r="D7809" t="s">
        <v>17</v>
      </c>
      <c r="E7809" t="s">
        <v>20</v>
      </c>
      <c r="F7809">
        <v>105789868</v>
      </c>
      <c r="G7809">
        <v>105789868</v>
      </c>
      <c r="H7809">
        <v>105789868</v>
      </c>
      <c r="I7809">
        <v>105789868</v>
      </c>
    </row>
    <row r="7810" spans="1:9" x14ac:dyDescent="0.2">
      <c r="A7810" t="str">
        <f>"Gm12728"</f>
        <v>Gm12728</v>
      </c>
      <c r="B7810" t="s">
        <v>2748</v>
      </c>
      <c r="C7810" t="s">
        <v>23</v>
      </c>
      <c r="D7810" t="s">
        <v>17</v>
      </c>
      <c r="E7810" t="s">
        <v>20</v>
      </c>
      <c r="F7810">
        <v>105790533</v>
      </c>
      <c r="G7810">
        <v>105790533</v>
      </c>
      <c r="H7810">
        <v>105790533</v>
      </c>
      <c r="I7810">
        <v>105790533</v>
      </c>
    </row>
    <row r="7811" spans="1:9" x14ac:dyDescent="0.2">
      <c r="A7811" t="str">
        <f>"Gm12789"</f>
        <v>Gm12789</v>
      </c>
      <c r="B7811" t="s">
        <v>2749</v>
      </c>
      <c r="C7811" t="s">
        <v>23</v>
      </c>
      <c r="D7811" t="s">
        <v>17</v>
      </c>
      <c r="E7811" t="s">
        <v>20</v>
      </c>
      <c r="F7811">
        <v>101986625</v>
      </c>
      <c r="G7811">
        <v>101986625</v>
      </c>
      <c r="H7811">
        <v>101986625</v>
      </c>
      <c r="I7811">
        <v>101986625</v>
      </c>
    </row>
    <row r="7812" spans="1:9" x14ac:dyDescent="0.2">
      <c r="A7812" t="str">
        <f>"Gm12789"</f>
        <v>Gm12789</v>
      </c>
      <c r="B7812" t="s">
        <v>2750</v>
      </c>
      <c r="C7812" t="s">
        <v>23</v>
      </c>
      <c r="D7812" t="s">
        <v>17</v>
      </c>
      <c r="E7812" t="s">
        <v>20</v>
      </c>
      <c r="F7812">
        <v>101988115</v>
      </c>
      <c r="G7812">
        <v>101988115</v>
      </c>
      <c r="H7812">
        <v>101988115</v>
      </c>
      <c r="I7812">
        <v>101988115</v>
      </c>
    </row>
    <row r="7813" spans="1:9" x14ac:dyDescent="0.2">
      <c r="A7813" t="str">
        <f>"Gm12790"</f>
        <v>Gm12790</v>
      </c>
      <c r="B7813" t="s">
        <v>2751</v>
      </c>
      <c r="C7813" t="s">
        <v>23</v>
      </c>
      <c r="D7813" t="s">
        <v>11</v>
      </c>
      <c r="E7813" t="s">
        <v>20</v>
      </c>
      <c r="F7813">
        <v>101981048</v>
      </c>
      <c r="G7813">
        <v>101981048</v>
      </c>
      <c r="H7813">
        <v>101981048</v>
      </c>
      <c r="I7813">
        <v>101981048</v>
      </c>
    </row>
    <row r="7814" spans="1:9" x14ac:dyDescent="0.2">
      <c r="A7814" t="str">
        <f>"Gm12794"</f>
        <v>Gm12794</v>
      </c>
      <c r="B7814" t="s">
        <v>2752</v>
      </c>
      <c r="C7814" t="s">
        <v>23</v>
      </c>
      <c r="D7814" t="s">
        <v>17</v>
      </c>
      <c r="E7814" t="s">
        <v>20</v>
      </c>
      <c r="F7814">
        <v>101940406</v>
      </c>
      <c r="G7814">
        <v>101940406</v>
      </c>
      <c r="H7814">
        <v>101940406</v>
      </c>
      <c r="I7814">
        <v>101940406</v>
      </c>
    </row>
    <row r="7815" spans="1:9" x14ac:dyDescent="0.2">
      <c r="A7815" t="str">
        <f>"Gm128"</f>
        <v>Gm128</v>
      </c>
      <c r="B7815" t="s">
        <v>14</v>
      </c>
      <c r="C7815" t="s">
        <v>22</v>
      </c>
      <c r="D7815" t="s">
        <v>11</v>
      </c>
      <c r="E7815" t="s">
        <v>12</v>
      </c>
      <c r="F7815">
        <v>95241044</v>
      </c>
      <c r="G7815">
        <v>95241103</v>
      </c>
      <c r="H7815">
        <v>95241158</v>
      </c>
      <c r="I7815">
        <v>95241182</v>
      </c>
    </row>
    <row r="7816" spans="1:9" x14ac:dyDescent="0.2">
      <c r="A7816" t="str">
        <f>"Gm12800"</f>
        <v>Gm12800</v>
      </c>
      <c r="B7816" t="s">
        <v>2753</v>
      </c>
      <c r="C7816" t="s">
        <v>23</v>
      </c>
      <c r="D7816" t="s">
        <v>17</v>
      </c>
      <c r="E7816" t="s">
        <v>20</v>
      </c>
      <c r="F7816">
        <v>101909120</v>
      </c>
      <c r="G7816">
        <v>101909120</v>
      </c>
      <c r="H7816">
        <v>101909120</v>
      </c>
      <c r="I7816">
        <v>101909120</v>
      </c>
    </row>
    <row r="7817" spans="1:9" x14ac:dyDescent="0.2">
      <c r="A7817" t="str">
        <f>"Gm12830"</f>
        <v>Gm12830</v>
      </c>
      <c r="B7817" t="s">
        <v>2754</v>
      </c>
      <c r="C7817" t="s">
        <v>23</v>
      </c>
      <c r="D7817" t="s">
        <v>17</v>
      </c>
      <c r="E7817" t="s">
        <v>20</v>
      </c>
      <c r="F7817">
        <v>114821721</v>
      </c>
      <c r="G7817">
        <v>114821721</v>
      </c>
      <c r="H7817">
        <v>114821721</v>
      </c>
      <c r="I7817">
        <v>114821721</v>
      </c>
    </row>
    <row r="7818" spans="1:9" x14ac:dyDescent="0.2">
      <c r="A7818" t="str">
        <f>"Gm12886"</f>
        <v>Gm12886</v>
      </c>
      <c r="B7818" t="s">
        <v>2755</v>
      </c>
      <c r="C7818" t="s">
        <v>23</v>
      </c>
      <c r="D7818" t="s">
        <v>11</v>
      </c>
      <c r="E7818" t="s">
        <v>20</v>
      </c>
      <c r="F7818">
        <v>121423098</v>
      </c>
      <c r="G7818">
        <v>121423098</v>
      </c>
      <c r="H7818">
        <v>121423098</v>
      </c>
      <c r="I7818">
        <v>121423098</v>
      </c>
    </row>
    <row r="7819" spans="1:9" x14ac:dyDescent="0.2">
      <c r="A7819" t="str">
        <f>"Gm12887"</f>
        <v>Gm12887</v>
      </c>
      <c r="B7819" t="s">
        <v>2756</v>
      </c>
      <c r="C7819" t="s">
        <v>23</v>
      </c>
      <c r="D7819" t="s">
        <v>11</v>
      </c>
      <c r="E7819" t="s">
        <v>20</v>
      </c>
      <c r="F7819">
        <v>121622102</v>
      </c>
      <c r="G7819">
        <v>121622102</v>
      </c>
      <c r="H7819">
        <v>121622102</v>
      </c>
      <c r="I7819">
        <v>121622102</v>
      </c>
    </row>
    <row r="7820" spans="1:9" x14ac:dyDescent="0.2">
      <c r="A7820" t="str">
        <f>"Gm12888"</f>
        <v>Gm12888</v>
      </c>
      <c r="B7820" t="s">
        <v>14</v>
      </c>
      <c r="C7820" t="s">
        <v>23</v>
      </c>
      <c r="D7820" t="s">
        <v>11</v>
      </c>
      <c r="E7820" t="s">
        <v>12</v>
      </c>
      <c r="F7820">
        <v>121324912</v>
      </c>
      <c r="G7820">
        <v>121324928</v>
      </c>
      <c r="H7820">
        <v>121324912</v>
      </c>
      <c r="I7820">
        <v>121324928</v>
      </c>
    </row>
    <row r="7821" spans="1:9" x14ac:dyDescent="0.2">
      <c r="A7821" t="str">
        <f>"Gm129"</f>
        <v>Gm129</v>
      </c>
      <c r="B7821" t="s">
        <v>14</v>
      </c>
      <c r="C7821" t="s">
        <v>22</v>
      </c>
      <c r="D7821" t="s">
        <v>11</v>
      </c>
      <c r="E7821" t="s">
        <v>12</v>
      </c>
      <c r="F7821">
        <v>95882193</v>
      </c>
      <c r="G7821">
        <v>95882231</v>
      </c>
      <c r="H7821">
        <v>95882232</v>
      </c>
      <c r="I7821">
        <v>95882244</v>
      </c>
    </row>
    <row r="7822" spans="1:9" x14ac:dyDescent="0.2">
      <c r="A7822" t="str">
        <f>"Gm12942"</f>
        <v>Gm12942</v>
      </c>
      <c r="B7822" t="s">
        <v>14</v>
      </c>
      <c r="C7822" t="s">
        <v>23</v>
      </c>
      <c r="D7822" t="s">
        <v>17</v>
      </c>
      <c r="E7822" t="s">
        <v>12</v>
      </c>
      <c r="F7822">
        <v>127126034</v>
      </c>
      <c r="G7822">
        <v>127126081</v>
      </c>
      <c r="H7822">
        <v>127126034</v>
      </c>
      <c r="I7822">
        <v>127126081</v>
      </c>
    </row>
    <row r="7823" spans="1:9" x14ac:dyDescent="0.2">
      <c r="A7823" t="str">
        <f>"Gm13011"</f>
        <v>Gm13011</v>
      </c>
      <c r="B7823" t="s">
        <v>14</v>
      </c>
      <c r="C7823" t="s">
        <v>23</v>
      </c>
      <c r="D7823" t="s">
        <v>11</v>
      </c>
      <c r="E7823" t="s">
        <v>12</v>
      </c>
      <c r="F7823">
        <v>137409777</v>
      </c>
      <c r="G7823">
        <v>137409778</v>
      </c>
      <c r="H7823">
        <v>137409777</v>
      </c>
      <c r="I7823">
        <v>137409778</v>
      </c>
    </row>
    <row r="7824" spans="1:9" x14ac:dyDescent="0.2">
      <c r="A7824" t="str">
        <f>"Gm13023"</f>
        <v>Gm13023</v>
      </c>
      <c r="B7824" t="s">
        <v>2757</v>
      </c>
      <c r="C7824" t="s">
        <v>23</v>
      </c>
      <c r="D7824" t="s">
        <v>17</v>
      </c>
      <c r="E7824" t="s">
        <v>20</v>
      </c>
      <c r="F7824">
        <v>143789351</v>
      </c>
      <c r="G7824">
        <v>143789351</v>
      </c>
      <c r="H7824">
        <v>143789351</v>
      </c>
      <c r="I7824">
        <v>143789351</v>
      </c>
    </row>
    <row r="7825" spans="1:9" x14ac:dyDescent="0.2">
      <c r="A7825" t="str">
        <f>"Gm13030"</f>
        <v>Gm13030</v>
      </c>
      <c r="B7825" t="s">
        <v>2758</v>
      </c>
      <c r="C7825" t="s">
        <v>23</v>
      </c>
      <c r="D7825" t="s">
        <v>11</v>
      </c>
      <c r="E7825" t="s">
        <v>20</v>
      </c>
      <c r="F7825">
        <v>138873963</v>
      </c>
      <c r="G7825">
        <v>138873963</v>
      </c>
      <c r="H7825">
        <v>138873963</v>
      </c>
      <c r="I7825">
        <v>138873963</v>
      </c>
    </row>
    <row r="7826" spans="1:9" x14ac:dyDescent="0.2">
      <c r="A7826" t="str">
        <f>"Gm13040"</f>
        <v>Gm13040</v>
      </c>
      <c r="B7826" t="s">
        <v>2759</v>
      </c>
      <c r="C7826" t="s">
        <v>23</v>
      </c>
      <c r="D7826" t="s">
        <v>17</v>
      </c>
      <c r="E7826" t="s">
        <v>20</v>
      </c>
      <c r="F7826">
        <v>143539671</v>
      </c>
      <c r="G7826">
        <v>143539671</v>
      </c>
      <c r="H7826">
        <v>143539671</v>
      </c>
      <c r="I7826">
        <v>143539671</v>
      </c>
    </row>
    <row r="7827" spans="1:9" x14ac:dyDescent="0.2">
      <c r="A7827" t="str">
        <f>"Gm13040"</f>
        <v>Gm13040</v>
      </c>
      <c r="B7827" t="s">
        <v>2760</v>
      </c>
      <c r="C7827" t="s">
        <v>23</v>
      </c>
      <c r="D7827" t="s">
        <v>17</v>
      </c>
      <c r="E7827" t="s">
        <v>20</v>
      </c>
      <c r="F7827">
        <v>143535953</v>
      </c>
      <c r="G7827">
        <v>143535953</v>
      </c>
      <c r="H7827">
        <v>143535953</v>
      </c>
      <c r="I7827">
        <v>143535953</v>
      </c>
    </row>
    <row r="7828" spans="1:9" x14ac:dyDescent="0.2">
      <c r="A7828" t="str">
        <f>"Gm13043"</f>
        <v>Gm13043</v>
      </c>
      <c r="B7828" t="s">
        <v>2761</v>
      </c>
      <c r="C7828" t="s">
        <v>23</v>
      </c>
      <c r="D7828" t="s">
        <v>17</v>
      </c>
      <c r="E7828" t="s">
        <v>20</v>
      </c>
      <c r="F7828">
        <v>143511342</v>
      </c>
      <c r="G7828">
        <v>143511342</v>
      </c>
      <c r="H7828">
        <v>143511342</v>
      </c>
      <c r="I7828">
        <v>143511342</v>
      </c>
    </row>
    <row r="7829" spans="1:9" x14ac:dyDescent="0.2">
      <c r="A7829" t="str">
        <f>"Gm1305"</f>
        <v>Gm1305</v>
      </c>
      <c r="B7829" t="s">
        <v>14</v>
      </c>
      <c r="C7829" t="s">
        <v>19</v>
      </c>
      <c r="D7829" t="s">
        <v>11</v>
      </c>
      <c r="E7829" t="s">
        <v>67</v>
      </c>
      <c r="F7829">
        <v>179745224</v>
      </c>
      <c r="G7829">
        <v>179745268</v>
      </c>
      <c r="H7829">
        <v>179745224</v>
      </c>
      <c r="I7829">
        <v>179745268</v>
      </c>
    </row>
    <row r="7830" spans="1:9" x14ac:dyDescent="0.2">
      <c r="A7830" t="str">
        <f>"Gm13051"</f>
        <v>Gm13051</v>
      </c>
      <c r="B7830" t="s">
        <v>2762</v>
      </c>
      <c r="C7830" t="s">
        <v>23</v>
      </c>
      <c r="D7830" t="s">
        <v>17</v>
      </c>
      <c r="E7830" t="s">
        <v>20</v>
      </c>
      <c r="F7830">
        <v>146097344</v>
      </c>
      <c r="G7830">
        <v>146097344</v>
      </c>
      <c r="H7830">
        <v>146097344</v>
      </c>
      <c r="I7830">
        <v>146097344</v>
      </c>
    </row>
    <row r="7831" spans="1:9" x14ac:dyDescent="0.2">
      <c r="A7831" t="str">
        <f>"Gm13057"</f>
        <v>Gm13057</v>
      </c>
      <c r="B7831" t="s">
        <v>2763</v>
      </c>
      <c r="C7831" t="s">
        <v>23</v>
      </c>
      <c r="D7831" t="s">
        <v>17</v>
      </c>
      <c r="E7831" t="s">
        <v>20</v>
      </c>
      <c r="F7831">
        <v>143551708</v>
      </c>
      <c r="G7831">
        <v>143551708</v>
      </c>
      <c r="H7831">
        <v>143551708</v>
      </c>
      <c r="I7831">
        <v>143551708</v>
      </c>
    </row>
    <row r="7832" spans="1:9" x14ac:dyDescent="0.2">
      <c r="A7832" t="str">
        <f>"Gm13078"</f>
        <v>Gm13078</v>
      </c>
      <c r="B7832" t="s">
        <v>2764</v>
      </c>
      <c r="C7832" t="s">
        <v>23</v>
      </c>
      <c r="D7832" t="s">
        <v>17</v>
      </c>
      <c r="E7832" t="s">
        <v>20</v>
      </c>
      <c r="F7832">
        <v>143719454</v>
      </c>
      <c r="G7832">
        <v>143719454</v>
      </c>
      <c r="H7832">
        <v>143719454</v>
      </c>
      <c r="I7832">
        <v>143719454</v>
      </c>
    </row>
    <row r="7833" spans="1:9" x14ac:dyDescent="0.2">
      <c r="A7833" t="str">
        <f>"Gm13083"</f>
        <v>Gm13083</v>
      </c>
      <c r="B7833" t="s">
        <v>2765</v>
      </c>
      <c r="C7833" t="s">
        <v>23</v>
      </c>
      <c r="D7833" t="s">
        <v>17</v>
      </c>
      <c r="E7833" t="s">
        <v>20</v>
      </c>
      <c r="F7833">
        <v>143615002</v>
      </c>
      <c r="G7833">
        <v>143615002</v>
      </c>
      <c r="H7833">
        <v>143615002</v>
      </c>
      <c r="I7833">
        <v>143615002</v>
      </c>
    </row>
    <row r="7834" spans="1:9" x14ac:dyDescent="0.2">
      <c r="A7834" t="str">
        <f>"Gm13084"</f>
        <v>Gm13084</v>
      </c>
      <c r="B7834" t="s">
        <v>2766</v>
      </c>
      <c r="C7834" t="s">
        <v>23</v>
      </c>
      <c r="D7834" t="s">
        <v>11</v>
      </c>
      <c r="E7834" t="s">
        <v>20</v>
      </c>
      <c r="F7834">
        <v>143816092</v>
      </c>
      <c r="G7834">
        <v>143816092</v>
      </c>
      <c r="H7834">
        <v>143816092</v>
      </c>
      <c r="I7834">
        <v>143816092</v>
      </c>
    </row>
    <row r="7835" spans="1:9" x14ac:dyDescent="0.2">
      <c r="A7835" t="str">
        <f>"Gm13088"</f>
        <v>Gm13088</v>
      </c>
      <c r="B7835" t="s">
        <v>2767</v>
      </c>
      <c r="C7835" t="s">
        <v>23</v>
      </c>
      <c r="D7835" t="s">
        <v>11</v>
      </c>
      <c r="E7835" t="s">
        <v>20</v>
      </c>
      <c r="F7835">
        <v>143657245</v>
      </c>
      <c r="G7835">
        <v>143657245</v>
      </c>
      <c r="H7835">
        <v>143657245</v>
      </c>
      <c r="I7835">
        <v>143657245</v>
      </c>
    </row>
    <row r="7836" spans="1:9" x14ac:dyDescent="0.2">
      <c r="A7836" t="str">
        <f>"Gm13089"</f>
        <v>Gm13089</v>
      </c>
      <c r="B7836" t="s">
        <v>14</v>
      </c>
      <c r="C7836" t="s">
        <v>23</v>
      </c>
      <c r="D7836" t="s">
        <v>11</v>
      </c>
      <c r="E7836" t="s">
        <v>67</v>
      </c>
      <c r="F7836">
        <v>143702717</v>
      </c>
      <c r="G7836">
        <v>143702721</v>
      </c>
      <c r="H7836">
        <v>143702717</v>
      </c>
      <c r="I7836">
        <v>143702721</v>
      </c>
    </row>
    <row r="7837" spans="1:9" x14ac:dyDescent="0.2">
      <c r="A7837" t="str">
        <f>"Gm13090"</f>
        <v>Gm13090</v>
      </c>
      <c r="B7837" t="s">
        <v>2768</v>
      </c>
      <c r="C7837" t="s">
        <v>23</v>
      </c>
      <c r="D7837" t="s">
        <v>17</v>
      </c>
      <c r="E7837" t="s">
        <v>20</v>
      </c>
      <c r="F7837">
        <v>151089569</v>
      </c>
      <c r="G7837">
        <v>151089569</v>
      </c>
      <c r="H7837">
        <v>151089569</v>
      </c>
      <c r="I7837">
        <v>151089569</v>
      </c>
    </row>
    <row r="7838" spans="1:9" x14ac:dyDescent="0.2">
      <c r="A7838" t="str">
        <f>"Gm13101"</f>
        <v>Gm13101</v>
      </c>
      <c r="B7838" t="s">
        <v>2769</v>
      </c>
      <c r="C7838" t="s">
        <v>23</v>
      </c>
      <c r="D7838" t="s">
        <v>11</v>
      </c>
      <c r="E7838" t="s">
        <v>20</v>
      </c>
      <c r="F7838">
        <v>143966949</v>
      </c>
      <c r="G7838">
        <v>143966949</v>
      </c>
      <c r="H7838">
        <v>143966949</v>
      </c>
      <c r="I7838">
        <v>143966949</v>
      </c>
    </row>
    <row r="7839" spans="1:9" x14ac:dyDescent="0.2">
      <c r="A7839" t="str">
        <f>"Gm13102"</f>
        <v>Gm13102</v>
      </c>
      <c r="B7839" t="s">
        <v>2770</v>
      </c>
      <c r="C7839" t="s">
        <v>23</v>
      </c>
      <c r="D7839" t="s">
        <v>17</v>
      </c>
      <c r="E7839" t="s">
        <v>20</v>
      </c>
      <c r="F7839">
        <v>144106492</v>
      </c>
      <c r="G7839">
        <v>144106492</v>
      </c>
      <c r="H7839">
        <v>144106492</v>
      </c>
      <c r="I7839">
        <v>144106492</v>
      </c>
    </row>
    <row r="7840" spans="1:9" x14ac:dyDescent="0.2">
      <c r="A7840" t="str">
        <f>"Gm13103"</f>
        <v>Gm13103</v>
      </c>
      <c r="B7840" t="s">
        <v>14</v>
      </c>
      <c r="C7840" t="s">
        <v>23</v>
      </c>
      <c r="D7840" t="s">
        <v>17</v>
      </c>
      <c r="E7840" t="s">
        <v>12</v>
      </c>
      <c r="F7840">
        <v>143846493</v>
      </c>
      <c r="G7840">
        <v>143846500</v>
      </c>
      <c r="H7840">
        <v>143846493</v>
      </c>
      <c r="I7840">
        <v>143846500</v>
      </c>
    </row>
    <row r="7841" spans="1:9" x14ac:dyDescent="0.2">
      <c r="A7841" t="str">
        <f>"Gm13109"</f>
        <v>Gm13109</v>
      </c>
      <c r="B7841" t="s">
        <v>2771</v>
      </c>
      <c r="C7841" t="s">
        <v>23</v>
      </c>
      <c r="D7841" t="s">
        <v>11</v>
      </c>
      <c r="E7841" t="s">
        <v>20</v>
      </c>
      <c r="F7841">
        <v>143951015</v>
      </c>
      <c r="G7841">
        <v>143951015</v>
      </c>
      <c r="H7841">
        <v>143951015</v>
      </c>
      <c r="I7841">
        <v>143951015</v>
      </c>
    </row>
    <row r="7842" spans="1:9" x14ac:dyDescent="0.2">
      <c r="A7842" t="str">
        <f>"Gm13119"</f>
        <v>Gm13119</v>
      </c>
      <c r="B7842" t="s">
        <v>2772</v>
      </c>
      <c r="C7842" t="s">
        <v>23</v>
      </c>
      <c r="D7842" t="s">
        <v>17</v>
      </c>
      <c r="E7842" t="s">
        <v>20</v>
      </c>
      <c r="F7842">
        <v>144357941</v>
      </c>
      <c r="G7842">
        <v>144357941</v>
      </c>
      <c r="H7842">
        <v>144357941</v>
      </c>
      <c r="I7842">
        <v>144357941</v>
      </c>
    </row>
    <row r="7843" spans="1:9" x14ac:dyDescent="0.2">
      <c r="A7843" t="str">
        <f>"Gm13124"</f>
        <v>Gm13124</v>
      </c>
      <c r="B7843" t="s">
        <v>14</v>
      </c>
      <c r="C7843" t="s">
        <v>23</v>
      </c>
      <c r="D7843" t="s">
        <v>11</v>
      </c>
      <c r="E7843" t="s">
        <v>12</v>
      </c>
      <c r="F7843">
        <v>144565193</v>
      </c>
      <c r="G7843">
        <v>144565201</v>
      </c>
      <c r="H7843">
        <v>144565193</v>
      </c>
      <c r="I7843">
        <v>144565201</v>
      </c>
    </row>
    <row r="7844" spans="1:9" x14ac:dyDescent="0.2">
      <c r="A7844" t="str">
        <f>"Gm13125"</f>
        <v>Gm13125</v>
      </c>
      <c r="B7844" t="s">
        <v>2773</v>
      </c>
      <c r="C7844" t="s">
        <v>23</v>
      </c>
      <c r="D7844" t="s">
        <v>11</v>
      </c>
      <c r="E7844" t="s">
        <v>20</v>
      </c>
      <c r="F7844">
        <v>144377932</v>
      </c>
      <c r="G7844">
        <v>144377932</v>
      </c>
      <c r="H7844">
        <v>144377932</v>
      </c>
      <c r="I7844">
        <v>144377932</v>
      </c>
    </row>
    <row r="7845" spans="1:9" x14ac:dyDescent="0.2">
      <c r="A7845" t="str">
        <f>"Gm13128"</f>
        <v>Gm13128</v>
      </c>
      <c r="B7845" t="s">
        <v>2774</v>
      </c>
      <c r="C7845" t="s">
        <v>23</v>
      </c>
      <c r="D7845" t="s">
        <v>17</v>
      </c>
      <c r="E7845" t="s">
        <v>20</v>
      </c>
      <c r="F7845">
        <v>144330248</v>
      </c>
      <c r="G7845">
        <v>144330248</v>
      </c>
      <c r="H7845">
        <v>144330248</v>
      </c>
      <c r="I7845">
        <v>144330248</v>
      </c>
    </row>
    <row r="7846" spans="1:9" x14ac:dyDescent="0.2">
      <c r="A7846" t="str">
        <f>"Gm13139"</f>
        <v>Gm13139</v>
      </c>
      <c r="B7846" t="s">
        <v>2775</v>
      </c>
      <c r="C7846" t="s">
        <v>23</v>
      </c>
      <c r="D7846" t="s">
        <v>17</v>
      </c>
      <c r="E7846" t="s">
        <v>20</v>
      </c>
      <c r="F7846">
        <v>147132037</v>
      </c>
      <c r="G7846">
        <v>147132037</v>
      </c>
      <c r="H7846">
        <v>147132037</v>
      </c>
      <c r="I7846">
        <v>147132037</v>
      </c>
    </row>
    <row r="7847" spans="1:9" x14ac:dyDescent="0.2">
      <c r="A7847" t="str">
        <f>"Gm13145"</f>
        <v>Gm13145</v>
      </c>
      <c r="B7847" t="s">
        <v>2776</v>
      </c>
      <c r="C7847" t="s">
        <v>23</v>
      </c>
      <c r="D7847" t="s">
        <v>17</v>
      </c>
      <c r="E7847" t="s">
        <v>20</v>
      </c>
      <c r="F7847">
        <v>147361306</v>
      </c>
      <c r="G7847">
        <v>147361306</v>
      </c>
      <c r="H7847">
        <v>147361306</v>
      </c>
      <c r="I7847">
        <v>147361306</v>
      </c>
    </row>
    <row r="7848" spans="1:9" x14ac:dyDescent="0.2">
      <c r="A7848" t="str">
        <f>"Gm13150"</f>
        <v>Gm13150</v>
      </c>
      <c r="B7848" t="s">
        <v>2777</v>
      </c>
      <c r="C7848" t="s">
        <v>23</v>
      </c>
      <c r="D7848" t="s">
        <v>17</v>
      </c>
      <c r="E7848" t="s">
        <v>20</v>
      </c>
      <c r="F7848">
        <v>146971975</v>
      </c>
      <c r="G7848">
        <v>146971975</v>
      </c>
      <c r="H7848">
        <v>146971975</v>
      </c>
      <c r="I7848">
        <v>146971975</v>
      </c>
    </row>
    <row r="7849" spans="1:9" x14ac:dyDescent="0.2">
      <c r="A7849" t="str">
        <f>"Gm13151"</f>
        <v>Gm13151</v>
      </c>
      <c r="B7849" t="s">
        <v>2778</v>
      </c>
      <c r="C7849" t="s">
        <v>23</v>
      </c>
      <c r="D7849" t="s">
        <v>17</v>
      </c>
      <c r="E7849" t="s">
        <v>20</v>
      </c>
      <c r="F7849">
        <v>147305673</v>
      </c>
      <c r="G7849">
        <v>147305673</v>
      </c>
      <c r="H7849">
        <v>147305673</v>
      </c>
      <c r="I7849">
        <v>147305673</v>
      </c>
    </row>
    <row r="7850" spans="1:9" x14ac:dyDescent="0.2">
      <c r="A7850" t="str">
        <f>"Gm13152"</f>
        <v>Gm13152</v>
      </c>
      <c r="B7850" t="s">
        <v>2779</v>
      </c>
      <c r="C7850" t="s">
        <v>23</v>
      </c>
      <c r="D7850" t="s">
        <v>17</v>
      </c>
      <c r="E7850" t="s">
        <v>20</v>
      </c>
      <c r="F7850">
        <v>147507599</v>
      </c>
      <c r="G7850">
        <v>147507599</v>
      </c>
      <c r="H7850">
        <v>147507599</v>
      </c>
      <c r="I7850">
        <v>147507599</v>
      </c>
    </row>
    <row r="7851" spans="1:9" x14ac:dyDescent="0.2">
      <c r="A7851" t="str">
        <f>"Gm13152"</f>
        <v>Gm13152</v>
      </c>
      <c r="B7851" t="s">
        <v>2780</v>
      </c>
      <c r="C7851" t="s">
        <v>23</v>
      </c>
      <c r="D7851" t="s">
        <v>17</v>
      </c>
      <c r="E7851" t="s">
        <v>20</v>
      </c>
      <c r="F7851">
        <v>147492416</v>
      </c>
      <c r="G7851">
        <v>147492416</v>
      </c>
      <c r="H7851">
        <v>147492416</v>
      </c>
      <c r="I7851">
        <v>147492416</v>
      </c>
    </row>
    <row r="7852" spans="1:9" x14ac:dyDescent="0.2">
      <c r="A7852" t="str">
        <f>"Gm13154"</f>
        <v>Gm13154</v>
      </c>
      <c r="B7852" t="s">
        <v>14</v>
      </c>
      <c r="C7852" t="s">
        <v>23</v>
      </c>
      <c r="D7852" t="s">
        <v>17</v>
      </c>
      <c r="E7852" t="s">
        <v>12</v>
      </c>
      <c r="F7852">
        <v>147553255</v>
      </c>
      <c r="G7852">
        <v>147553276</v>
      </c>
      <c r="H7852">
        <v>147553255</v>
      </c>
      <c r="I7852">
        <v>147553276</v>
      </c>
    </row>
    <row r="7853" spans="1:9" x14ac:dyDescent="0.2">
      <c r="A7853" t="str">
        <f>"Gm13157"</f>
        <v>Gm13157</v>
      </c>
      <c r="B7853" t="s">
        <v>14</v>
      </c>
      <c r="C7853" t="s">
        <v>23</v>
      </c>
      <c r="D7853" t="s">
        <v>11</v>
      </c>
      <c r="E7853" t="s">
        <v>12</v>
      </c>
      <c r="F7853">
        <v>147809802</v>
      </c>
      <c r="G7853">
        <v>147809821</v>
      </c>
      <c r="H7853">
        <v>147809802</v>
      </c>
      <c r="I7853">
        <v>147809821</v>
      </c>
    </row>
    <row r="7854" spans="1:9" x14ac:dyDescent="0.2">
      <c r="A7854" t="str">
        <f>"Gm13177"</f>
        <v>Gm13177</v>
      </c>
      <c r="B7854" t="s">
        <v>14</v>
      </c>
      <c r="C7854" t="s">
        <v>23</v>
      </c>
      <c r="D7854" t="s">
        <v>17</v>
      </c>
      <c r="E7854" t="s">
        <v>12</v>
      </c>
      <c r="F7854">
        <v>144613667</v>
      </c>
      <c r="G7854">
        <v>144613683</v>
      </c>
      <c r="H7854">
        <v>144613640</v>
      </c>
      <c r="I7854">
        <v>144613653</v>
      </c>
    </row>
    <row r="7855" spans="1:9" x14ac:dyDescent="0.2">
      <c r="A7855" t="str">
        <f>"Gm13178"</f>
        <v>Gm13178</v>
      </c>
      <c r="B7855" t="s">
        <v>14</v>
      </c>
      <c r="C7855" t="s">
        <v>23</v>
      </c>
      <c r="D7855" t="s">
        <v>11</v>
      </c>
      <c r="E7855" t="s">
        <v>12</v>
      </c>
      <c r="F7855">
        <v>144721471</v>
      </c>
      <c r="G7855">
        <v>144721497</v>
      </c>
      <c r="H7855">
        <v>144721453</v>
      </c>
      <c r="I7855">
        <v>144721467</v>
      </c>
    </row>
    <row r="7856" spans="1:9" x14ac:dyDescent="0.2">
      <c r="A7856" t="str">
        <f>"Gm13199"</f>
        <v>Gm13199</v>
      </c>
      <c r="B7856" t="s">
        <v>2781</v>
      </c>
      <c r="C7856" t="s">
        <v>26</v>
      </c>
      <c r="D7856" t="s">
        <v>11</v>
      </c>
      <c r="E7856" t="s">
        <v>20</v>
      </c>
      <c r="F7856">
        <v>5862922</v>
      </c>
      <c r="G7856">
        <v>5862922</v>
      </c>
      <c r="H7856">
        <v>5862922</v>
      </c>
      <c r="I7856">
        <v>5862922</v>
      </c>
    </row>
    <row r="7857" spans="1:9" x14ac:dyDescent="0.2">
      <c r="A7857" t="str">
        <f>"Gm13212"</f>
        <v>Gm13212</v>
      </c>
      <c r="B7857" t="s">
        <v>14</v>
      </c>
      <c r="C7857" t="s">
        <v>23</v>
      </c>
      <c r="D7857" t="s">
        <v>17</v>
      </c>
      <c r="E7857" t="s">
        <v>12</v>
      </c>
      <c r="F7857">
        <v>145585189</v>
      </c>
      <c r="G7857">
        <v>145585211</v>
      </c>
      <c r="H7857">
        <v>145585189</v>
      </c>
      <c r="I7857">
        <v>145585211</v>
      </c>
    </row>
    <row r="7858" spans="1:9" x14ac:dyDescent="0.2">
      <c r="A7858" t="str">
        <f>"Gm13225"</f>
        <v>Gm13225</v>
      </c>
      <c r="B7858" t="s">
        <v>2782</v>
      </c>
      <c r="C7858" t="s">
        <v>23</v>
      </c>
      <c r="D7858" t="s">
        <v>17</v>
      </c>
      <c r="E7858" t="s">
        <v>20</v>
      </c>
      <c r="F7858">
        <v>145514883</v>
      </c>
      <c r="G7858">
        <v>145514883</v>
      </c>
      <c r="H7858">
        <v>145514883</v>
      </c>
      <c r="I7858">
        <v>145514883</v>
      </c>
    </row>
    <row r="7859" spans="1:9" x14ac:dyDescent="0.2">
      <c r="A7859" t="str">
        <f>"Gm13225"</f>
        <v>Gm13225</v>
      </c>
      <c r="B7859" t="s">
        <v>2783</v>
      </c>
      <c r="C7859" t="s">
        <v>23</v>
      </c>
      <c r="D7859" t="s">
        <v>17</v>
      </c>
      <c r="E7859" t="s">
        <v>20</v>
      </c>
      <c r="F7859">
        <v>145510758</v>
      </c>
      <c r="G7859">
        <v>145510758</v>
      </c>
      <c r="H7859">
        <v>145510758</v>
      </c>
      <c r="I7859">
        <v>145510758</v>
      </c>
    </row>
    <row r="7860" spans="1:9" x14ac:dyDescent="0.2">
      <c r="A7860" t="str">
        <f>"Gm13235"</f>
        <v>Gm13235</v>
      </c>
      <c r="B7860" t="s">
        <v>2784</v>
      </c>
      <c r="C7860" t="s">
        <v>23</v>
      </c>
      <c r="D7860" t="s">
        <v>17</v>
      </c>
      <c r="E7860" t="s">
        <v>20</v>
      </c>
      <c r="F7860">
        <v>145899899</v>
      </c>
      <c r="G7860">
        <v>145899899</v>
      </c>
      <c r="H7860">
        <v>145899899</v>
      </c>
      <c r="I7860">
        <v>145899899</v>
      </c>
    </row>
    <row r="7861" spans="1:9" x14ac:dyDescent="0.2">
      <c r="A7861" t="str">
        <f>"Gm13242"</f>
        <v>Gm13242</v>
      </c>
      <c r="B7861" t="s">
        <v>2785</v>
      </c>
      <c r="C7861" t="s">
        <v>23</v>
      </c>
      <c r="D7861" t="s">
        <v>17</v>
      </c>
      <c r="E7861" t="s">
        <v>20</v>
      </c>
      <c r="F7861">
        <v>145670684</v>
      </c>
      <c r="G7861">
        <v>145670684</v>
      </c>
      <c r="H7861">
        <v>145670684</v>
      </c>
      <c r="I7861">
        <v>145670684</v>
      </c>
    </row>
    <row r="7862" spans="1:9" x14ac:dyDescent="0.2">
      <c r="A7862" t="str">
        <f>"Gm13242"</f>
        <v>Gm13242</v>
      </c>
      <c r="B7862" t="s">
        <v>2786</v>
      </c>
      <c r="C7862" t="s">
        <v>23</v>
      </c>
      <c r="D7862" t="s">
        <v>17</v>
      </c>
      <c r="E7862" t="s">
        <v>20</v>
      </c>
      <c r="F7862">
        <v>145696160</v>
      </c>
      <c r="G7862">
        <v>145696160</v>
      </c>
      <c r="H7862">
        <v>145696160</v>
      </c>
      <c r="I7862">
        <v>145696160</v>
      </c>
    </row>
    <row r="7863" spans="1:9" x14ac:dyDescent="0.2">
      <c r="A7863" t="str">
        <f>"Gm13247"</f>
        <v>Gm13247</v>
      </c>
      <c r="B7863" t="s">
        <v>2787</v>
      </c>
      <c r="C7863" t="s">
        <v>23</v>
      </c>
      <c r="D7863" t="s">
        <v>17</v>
      </c>
      <c r="E7863" t="s">
        <v>20</v>
      </c>
      <c r="F7863">
        <v>146502026</v>
      </c>
      <c r="G7863">
        <v>146502026</v>
      </c>
      <c r="H7863">
        <v>146502026</v>
      </c>
      <c r="I7863">
        <v>146502026</v>
      </c>
    </row>
    <row r="7864" spans="1:9" x14ac:dyDescent="0.2">
      <c r="A7864" t="str">
        <f>"Gm13247"</f>
        <v>Gm13247</v>
      </c>
      <c r="B7864" t="s">
        <v>2788</v>
      </c>
      <c r="C7864" t="s">
        <v>23</v>
      </c>
      <c r="D7864" t="s">
        <v>17</v>
      </c>
      <c r="E7864" t="s">
        <v>20</v>
      </c>
      <c r="F7864">
        <v>146514919</v>
      </c>
      <c r="G7864">
        <v>146514919</v>
      </c>
      <c r="H7864">
        <v>146514919</v>
      </c>
      <c r="I7864">
        <v>146514919</v>
      </c>
    </row>
    <row r="7865" spans="1:9" x14ac:dyDescent="0.2">
      <c r="A7865" t="str">
        <f>"Gm13248"</f>
        <v>Gm13248</v>
      </c>
      <c r="B7865" t="s">
        <v>2789</v>
      </c>
      <c r="C7865" t="s">
        <v>23</v>
      </c>
      <c r="D7865" t="s">
        <v>17</v>
      </c>
      <c r="E7865" t="s">
        <v>20</v>
      </c>
      <c r="F7865">
        <v>146654926</v>
      </c>
      <c r="G7865">
        <v>146654926</v>
      </c>
      <c r="H7865">
        <v>146654926</v>
      </c>
      <c r="I7865">
        <v>146654926</v>
      </c>
    </row>
    <row r="7866" spans="1:9" x14ac:dyDescent="0.2">
      <c r="A7866" t="str">
        <f>"Gm13248"</f>
        <v>Gm13248</v>
      </c>
      <c r="B7866" t="s">
        <v>2790</v>
      </c>
      <c r="C7866" t="s">
        <v>23</v>
      </c>
      <c r="D7866" t="s">
        <v>17</v>
      </c>
      <c r="E7866" t="s">
        <v>20</v>
      </c>
      <c r="F7866">
        <v>146610960</v>
      </c>
      <c r="G7866">
        <v>146610960</v>
      </c>
      <c r="H7866">
        <v>146610960</v>
      </c>
      <c r="I7866">
        <v>146610960</v>
      </c>
    </row>
    <row r="7867" spans="1:9" x14ac:dyDescent="0.2">
      <c r="A7867" t="str">
        <f>"Gm13251"</f>
        <v>Gm13251</v>
      </c>
      <c r="B7867" t="s">
        <v>2791</v>
      </c>
      <c r="C7867" t="s">
        <v>23</v>
      </c>
      <c r="D7867" t="s">
        <v>17</v>
      </c>
      <c r="E7867" t="s">
        <v>20</v>
      </c>
      <c r="F7867">
        <v>146449022</v>
      </c>
      <c r="G7867">
        <v>146449022</v>
      </c>
      <c r="H7867">
        <v>146449022</v>
      </c>
      <c r="I7867">
        <v>146449022</v>
      </c>
    </row>
    <row r="7868" spans="1:9" x14ac:dyDescent="0.2">
      <c r="A7868" t="str">
        <f>"Gm13271"</f>
        <v>Gm13271</v>
      </c>
      <c r="B7868" t="s">
        <v>2792</v>
      </c>
      <c r="C7868" t="s">
        <v>23</v>
      </c>
      <c r="D7868" t="s">
        <v>17</v>
      </c>
      <c r="E7868" t="s">
        <v>20</v>
      </c>
      <c r="F7868">
        <v>88754867</v>
      </c>
      <c r="G7868">
        <v>88754867</v>
      </c>
      <c r="H7868">
        <v>88754867</v>
      </c>
      <c r="I7868">
        <v>88754867</v>
      </c>
    </row>
    <row r="7869" spans="1:9" x14ac:dyDescent="0.2">
      <c r="A7869" t="str">
        <f>"Gm13272"</f>
        <v>Gm13272</v>
      </c>
      <c r="B7869" t="s">
        <v>2793</v>
      </c>
      <c r="C7869" t="s">
        <v>23</v>
      </c>
      <c r="D7869" t="s">
        <v>17</v>
      </c>
      <c r="E7869" t="s">
        <v>20</v>
      </c>
      <c r="F7869">
        <v>88779849</v>
      </c>
      <c r="G7869">
        <v>88779849</v>
      </c>
      <c r="H7869">
        <v>88779849</v>
      </c>
      <c r="I7869">
        <v>88779849</v>
      </c>
    </row>
    <row r="7870" spans="1:9" x14ac:dyDescent="0.2">
      <c r="A7870" t="str">
        <f>"Gm13275"</f>
        <v>Gm13275</v>
      </c>
      <c r="B7870" t="s">
        <v>2794</v>
      </c>
      <c r="C7870" t="s">
        <v>23</v>
      </c>
      <c r="D7870" t="s">
        <v>17</v>
      </c>
      <c r="E7870" t="s">
        <v>20</v>
      </c>
      <c r="F7870">
        <v>88793741</v>
      </c>
      <c r="G7870">
        <v>88793741</v>
      </c>
      <c r="H7870">
        <v>88793741</v>
      </c>
      <c r="I7870">
        <v>88793741</v>
      </c>
    </row>
    <row r="7871" spans="1:9" x14ac:dyDescent="0.2">
      <c r="A7871" t="str">
        <f>"Gm13276"</f>
        <v>Gm13276</v>
      </c>
      <c r="B7871" t="s">
        <v>2795</v>
      </c>
      <c r="C7871" t="s">
        <v>23</v>
      </c>
      <c r="D7871" t="s">
        <v>17</v>
      </c>
      <c r="E7871" t="s">
        <v>20</v>
      </c>
      <c r="F7871">
        <v>88785053</v>
      </c>
      <c r="G7871">
        <v>88785053</v>
      </c>
      <c r="H7871">
        <v>88785053</v>
      </c>
      <c r="I7871">
        <v>88785053</v>
      </c>
    </row>
    <row r="7872" spans="1:9" x14ac:dyDescent="0.2">
      <c r="A7872" t="str">
        <f>"Gm13277"</f>
        <v>Gm13277</v>
      </c>
      <c r="B7872" t="s">
        <v>2796</v>
      </c>
      <c r="C7872" t="s">
        <v>23</v>
      </c>
      <c r="D7872" t="s">
        <v>17</v>
      </c>
      <c r="E7872" t="s">
        <v>20</v>
      </c>
      <c r="F7872">
        <v>88787976</v>
      </c>
      <c r="G7872">
        <v>88787976</v>
      </c>
      <c r="H7872">
        <v>88787976</v>
      </c>
      <c r="I7872">
        <v>88787976</v>
      </c>
    </row>
    <row r="7873" spans="1:9" x14ac:dyDescent="0.2">
      <c r="A7873" t="str">
        <f>"Gm13278"</f>
        <v>Gm13278</v>
      </c>
      <c r="B7873" t="s">
        <v>2797</v>
      </c>
      <c r="C7873" t="s">
        <v>23</v>
      </c>
      <c r="D7873" t="s">
        <v>17</v>
      </c>
      <c r="E7873" t="s">
        <v>20</v>
      </c>
      <c r="F7873">
        <v>88790894</v>
      </c>
      <c r="G7873">
        <v>88790894</v>
      </c>
      <c r="H7873">
        <v>88790894</v>
      </c>
      <c r="I7873">
        <v>88790894</v>
      </c>
    </row>
    <row r="7874" spans="1:9" x14ac:dyDescent="0.2">
      <c r="A7874" t="str">
        <f>"Gm13279"</f>
        <v>Gm13279</v>
      </c>
      <c r="B7874" t="s">
        <v>2798</v>
      </c>
      <c r="C7874" t="s">
        <v>23</v>
      </c>
      <c r="D7874" t="s">
        <v>17</v>
      </c>
      <c r="E7874" t="s">
        <v>20</v>
      </c>
      <c r="F7874">
        <v>88797236</v>
      </c>
      <c r="G7874">
        <v>88797236</v>
      </c>
      <c r="H7874">
        <v>88797236</v>
      </c>
      <c r="I7874">
        <v>88797236</v>
      </c>
    </row>
    <row r="7875" spans="1:9" x14ac:dyDescent="0.2">
      <c r="A7875" t="str">
        <f>"Gm13280"</f>
        <v>Gm13280</v>
      </c>
      <c r="B7875" t="s">
        <v>2799</v>
      </c>
      <c r="C7875" t="s">
        <v>23</v>
      </c>
      <c r="D7875" t="s">
        <v>11</v>
      </c>
      <c r="E7875" t="s">
        <v>20</v>
      </c>
      <c r="F7875">
        <v>88676923</v>
      </c>
      <c r="G7875">
        <v>88676923</v>
      </c>
      <c r="H7875">
        <v>88676923</v>
      </c>
      <c r="I7875">
        <v>88676923</v>
      </c>
    </row>
    <row r="7876" spans="1:9" x14ac:dyDescent="0.2">
      <c r="A7876" t="str">
        <f>"Gm13283"</f>
        <v>Gm13283</v>
      </c>
      <c r="B7876" t="s">
        <v>2800</v>
      </c>
      <c r="C7876" t="s">
        <v>23</v>
      </c>
      <c r="D7876" t="s">
        <v>17</v>
      </c>
      <c r="E7876" t="s">
        <v>20</v>
      </c>
      <c r="F7876">
        <v>88760773</v>
      </c>
      <c r="G7876">
        <v>88760773</v>
      </c>
      <c r="H7876">
        <v>88760773</v>
      </c>
      <c r="I7876">
        <v>88760773</v>
      </c>
    </row>
    <row r="7877" spans="1:9" x14ac:dyDescent="0.2">
      <c r="A7877" t="str">
        <f>"Gm13285"</f>
        <v>Gm13285</v>
      </c>
      <c r="B7877" t="s">
        <v>2801</v>
      </c>
      <c r="C7877" t="s">
        <v>23</v>
      </c>
      <c r="D7877" t="s">
        <v>17</v>
      </c>
      <c r="E7877" t="s">
        <v>20</v>
      </c>
      <c r="F7877">
        <v>88799664</v>
      </c>
      <c r="G7877">
        <v>88799664</v>
      </c>
      <c r="H7877">
        <v>88799664</v>
      </c>
      <c r="I7877">
        <v>88799664</v>
      </c>
    </row>
    <row r="7878" spans="1:9" x14ac:dyDescent="0.2">
      <c r="A7878" t="str">
        <f>"Gm13287"</f>
        <v>Gm13287</v>
      </c>
      <c r="B7878" t="s">
        <v>2802</v>
      </c>
      <c r="C7878" t="s">
        <v>23</v>
      </c>
      <c r="D7878" t="s">
        <v>17</v>
      </c>
      <c r="E7878" t="s">
        <v>20</v>
      </c>
      <c r="F7878">
        <v>88803253</v>
      </c>
      <c r="G7878">
        <v>88803253</v>
      </c>
      <c r="H7878">
        <v>88803253</v>
      </c>
      <c r="I7878">
        <v>88803253</v>
      </c>
    </row>
    <row r="7879" spans="1:9" x14ac:dyDescent="0.2">
      <c r="A7879" t="str">
        <f>"Gm13288"</f>
        <v>Gm13288</v>
      </c>
      <c r="B7879" t="s">
        <v>2803</v>
      </c>
      <c r="C7879" t="s">
        <v>23</v>
      </c>
      <c r="D7879" t="s">
        <v>17</v>
      </c>
      <c r="E7879" t="s">
        <v>20</v>
      </c>
      <c r="F7879">
        <v>88805530</v>
      </c>
      <c r="G7879">
        <v>88805530</v>
      </c>
      <c r="H7879">
        <v>88805530</v>
      </c>
      <c r="I7879">
        <v>88805530</v>
      </c>
    </row>
    <row r="7880" spans="1:9" x14ac:dyDescent="0.2">
      <c r="A7880" t="str">
        <f>"Gm13289"</f>
        <v>Gm13289</v>
      </c>
      <c r="B7880" t="s">
        <v>2804</v>
      </c>
      <c r="C7880" t="s">
        <v>23</v>
      </c>
      <c r="D7880" t="s">
        <v>17</v>
      </c>
      <c r="E7880" t="s">
        <v>20</v>
      </c>
      <c r="F7880">
        <v>88776921</v>
      </c>
      <c r="G7880">
        <v>88776921</v>
      </c>
      <c r="H7880">
        <v>88776921</v>
      </c>
      <c r="I7880">
        <v>88776921</v>
      </c>
    </row>
    <row r="7881" spans="1:9" x14ac:dyDescent="0.2">
      <c r="A7881" t="str">
        <f>"Gm13290"</f>
        <v>Gm13290</v>
      </c>
      <c r="B7881" t="s">
        <v>2805</v>
      </c>
      <c r="C7881" t="s">
        <v>23</v>
      </c>
      <c r="D7881" t="s">
        <v>17</v>
      </c>
      <c r="E7881" t="s">
        <v>20</v>
      </c>
      <c r="F7881">
        <v>88773833</v>
      </c>
      <c r="G7881">
        <v>88773833</v>
      </c>
      <c r="H7881">
        <v>88773833</v>
      </c>
      <c r="I7881">
        <v>88773833</v>
      </c>
    </row>
    <row r="7882" spans="1:9" x14ac:dyDescent="0.2">
      <c r="A7882" t="str">
        <f>"Gm13298"</f>
        <v>Gm13298</v>
      </c>
      <c r="B7882" t="s">
        <v>2806</v>
      </c>
      <c r="C7882" t="s">
        <v>23</v>
      </c>
      <c r="D7882" t="s">
        <v>11</v>
      </c>
      <c r="E7882" t="s">
        <v>20</v>
      </c>
      <c r="F7882">
        <v>42528174</v>
      </c>
      <c r="G7882">
        <v>42528174</v>
      </c>
      <c r="H7882">
        <v>42528174</v>
      </c>
      <c r="I7882">
        <v>42528174</v>
      </c>
    </row>
    <row r="7883" spans="1:9" x14ac:dyDescent="0.2">
      <c r="A7883" t="str">
        <f>"Gm1330"</f>
        <v>Gm1330</v>
      </c>
      <c r="B7883" t="s">
        <v>14</v>
      </c>
      <c r="C7883" t="s">
        <v>26</v>
      </c>
      <c r="D7883" t="s">
        <v>11</v>
      </c>
      <c r="E7883" t="s">
        <v>12</v>
      </c>
      <c r="F7883">
        <v>149003302</v>
      </c>
      <c r="G7883">
        <v>149003324</v>
      </c>
      <c r="H7883">
        <v>149003302</v>
      </c>
      <c r="I7883">
        <v>149003324</v>
      </c>
    </row>
    <row r="7884" spans="1:9" x14ac:dyDescent="0.2">
      <c r="A7884" t="str">
        <f>"Gm13304"</f>
        <v>Gm13304</v>
      </c>
      <c r="B7884" t="s">
        <v>2807</v>
      </c>
      <c r="C7884" t="s">
        <v>23</v>
      </c>
      <c r="D7884" t="s">
        <v>17</v>
      </c>
      <c r="E7884" t="s">
        <v>20</v>
      </c>
      <c r="F7884">
        <v>42114816</v>
      </c>
      <c r="G7884">
        <v>42114816</v>
      </c>
      <c r="H7884">
        <v>42114816</v>
      </c>
      <c r="I7884">
        <v>42114816</v>
      </c>
    </row>
    <row r="7885" spans="1:9" x14ac:dyDescent="0.2">
      <c r="A7885" t="str">
        <f>"Gm13305"</f>
        <v>Gm13305</v>
      </c>
      <c r="B7885" t="s">
        <v>2808</v>
      </c>
      <c r="C7885" t="s">
        <v>23</v>
      </c>
      <c r="D7885" t="s">
        <v>11</v>
      </c>
      <c r="E7885" t="s">
        <v>20</v>
      </c>
      <c r="F7885">
        <v>42168602</v>
      </c>
      <c r="G7885">
        <v>42168602</v>
      </c>
      <c r="H7885">
        <v>42168602</v>
      </c>
      <c r="I7885">
        <v>42168602</v>
      </c>
    </row>
    <row r="7886" spans="1:9" x14ac:dyDescent="0.2">
      <c r="A7886" t="str">
        <f>"Gm13306"</f>
        <v>Gm13306</v>
      </c>
      <c r="B7886" t="s">
        <v>2809</v>
      </c>
      <c r="C7886" t="s">
        <v>23</v>
      </c>
      <c r="D7886" t="s">
        <v>17</v>
      </c>
      <c r="E7886" t="s">
        <v>20</v>
      </c>
      <c r="F7886">
        <v>42158091</v>
      </c>
      <c r="G7886">
        <v>42158091</v>
      </c>
      <c r="H7886">
        <v>42158091</v>
      </c>
      <c r="I7886">
        <v>42158091</v>
      </c>
    </row>
    <row r="7887" spans="1:9" x14ac:dyDescent="0.2">
      <c r="A7887" t="str">
        <f>"Gm13318"</f>
        <v>Gm13318</v>
      </c>
      <c r="B7887" t="s">
        <v>2810</v>
      </c>
      <c r="C7887" t="s">
        <v>26</v>
      </c>
      <c r="D7887" t="s">
        <v>17</v>
      </c>
      <c r="E7887" t="s">
        <v>20</v>
      </c>
      <c r="F7887">
        <v>16042125</v>
      </c>
      <c r="G7887">
        <v>16042125</v>
      </c>
      <c r="H7887">
        <v>16042125</v>
      </c>
      <c r="I7887">
        <v>16042125</v>
      </c>
    </row>
    <row r="7888" spans="1:9" x14ac:dyDescent="0.2">
      <c r="A7888" t="str">
        <f>"Gm13334"</f>
        <v>Gm13334</v>
      </c>
      <c r="B7888" t="s">
        <v>14</v>
      </c>
      <c r="C7888" t="s">
        <v>26</v>
      </c>
      <c r="D7888" t="s">
        <v>17</v>
      </c>
      <c r="E7888" t="s">
        <v>67</v>
      </c>
      <c r="F7888">
        <v>18694042</v>
      </c>
      <c r="G7888">
        <v>18694054</v>
      </c>
      <c r="H7888">
        <v>18694021</v>
      </c>
      <c r="I7888">
        <v>18694035</v>
      </c>
    </row>
    <row r="7889" spans="1:9" x14ac:dyDescent="0.2">
      <c r="A7889" t="str">
        <f>"Gm13547"</f>
        <v>Gm13547</v>
      </c>
      <c r="B7889" t="s">
        <v>14</v>
      </c>
      <c r="C7889" t="s">
        <v>26</v>
      </c>
      <c r="D7889" t="s">
        <v>17</v>
      </c>
      <c r="E7889" t="s">
        <v>12</v>
      </c>
      <c r="F7889">
        <v>29761555</v>
      </c>
      <c r="G7889">
        <v>29761567</v>
      </c>
      <c r="H7889">
        <v>29761555</v>
      </c>
      <c r="I7889">
        <v>29761567</v>
      </c>
    </row>
    <row r="7890" spans="1:9" x14ac:dyDescent="0.2">
      <c r="A7890" t="str">
        <f>"Gm136"</f>
        <v>Gm136</v>
      </c>
      <c r="B7890" t="s">
        <v>14</v>
      </c>
      <c r="C7890" t="s">
        <v>23</v>
      </c>
      <c r="D7890" t="s">
        <v>11</v>
      </c>
      <c r="E7890" t="s">
        <v>12</v>
      </c>
      <c r="F7890">
        <v>34756234</v>
      </c>
      <c r="G7890">
        <v>34756267</v>
      </c>
      <c r="H7890">
        <v>34756222</v>
      </c>
      <c r="I7890">
        <v>34756233</v>
      </c>
    </row>
    <row r="7891" spans="1:9" x14ac:dyDescent="0.2">
      <c r="A7891" t="str">
        <f>"Gm13691"</f>
        <v>Gm13691</v>
      </c>
      <c r="B7891" t="s">
        <v>2811</v>
      </c>
      <c r="C7891" t="s">
        <v>26</v>
      </c>
      <c r="D7891" t="s">
        <v>17</v>
      </c>
      <c r="E7891" t="s">
        <v>20</v>
      </c>
      <c r="F7891">
        <v>83990552</v>
      </c>
      <c r="G7891">
        <v>83990552</v>
      </c>
      <c r="H7891">
        <v>83990552</v>
      </c>
      <c r="I7891">
        <v>83990552</v>
      </c>
    </row>
    <row r="7892" spans="1:9" x14ac:dyDescent="0.2">
      <c r="A7892" t="str">
        <f>"Gm13693"</f>
        <v>Gm13693</v>
      </c>
      <c r="B7892" t="s">
        <v>2812</v>
      </c>
      <c r="C7892" t="s">
        <v>26</v>
      </c>
      <c r="D7892" t="s">
        <v>17</v>
      </c>
      <c r="E7892" t="s">
        <v>20</v>
      </c>
      <c r="F7892">
        <v>83961502</v>
      </c>
      <c r="G7892">
        <v>83961502</v>
      </c>
      <c r="H7892">
        <v>83961502</v>
      </c>
      <c r="I7892">
        <v>83961502</v>
      </c>
    </row>
    <row r="7893" spans="1:9" x14ac:dyDescent="0.2">
      <c r="A7893" t="str">
        <f>"Gm13694"</f>
        <v>Gm13694</v>
      </c>
      <c r="B7893" t="s">
        <v>2813</v>
      </c>
      <c r="C7893" t="s">
        <v>26</v>
      </c>
      <c r="D7893" t="s">
        <v>17</v>
      </c>
      <c r="E7893" t="s">
        <v>20</v>
      </c>
      <c r="F7893">
        <v>83978932</v>
      </c>
      <c r="G7893">
        <v>83978932</v>
      </c>
      <c r="H7893">
        <v>83978932</v>
      </c>
      <c r="I7893">
        <v>83978932</v>
      </c>
    </row>
    <row r="7894" spans="1:9" x14ac:dyDescent="0.2">
      <c r="A7894" t="str">
        <f>"Gm13695"</f>
        <v>Gm13695</v>
      </c>
      <c r="B7894" t="s">
        <v>2814</v>
      </c>
      <c r="C7894" t="s">
        <v>26</v>
      </c>
      <c r="D7894" t="s">
        <v>17</v>
      </c>
      <c r="E7894" t="s">
        <v>20</v>
      </c>
      <c r="F7894">
        <v>83967312</v>
      </c>
      <c r="G7894">
        <v>83967312</v>
      </c>
      <c r="H7894">
        <v>83967312</v>
      </c>
      <c r="I7894">
        <v>83967312</v>
      </c>
    </row>
    <row r="7895" spans="1:9" x14ac:dyDescent="0.2">
      <c r="A7895" t="str">
        <f>"Gm13696"</f>
        <v>Gm13696</v>
      </c>
      <c r="B7895" t="s">
        <v>2815</v>
      </c>
      <c r="C7895" t="s">
        <v>26</v>
      </c>
      <c r="D7895" t="s">
        <v>17</v>
      </c>
      <c r="E7895" t="s">
        <v>20</v>
      </c>
      <c r="F7895">
        <v>83973122</v>
      </c>
      <c r="G7895">
        <v>83973122</v>
      </c>
      <c r="H7895">
        <v>83973122</v>
      </c>
      <c r="I7895">
        <v>83973122</v>
      </c>
    </row>
    <row r="7896" spans="1:9" x14ac:dyDescent="0.2">
      <c r="A7896" t="str">
        <f>"Gm13697"</f>
        <v>Gm13697</v>
      </c>
      <c r="B7896" t="s">
        <v>2816</v>
      </c>
      <c r="C7896" t="s">
        <v>26</v>
      </c>
      <c r="D7896" t="s">
        <v>17</v>
      </c>
      <c r="E7896" t="s">
        <v>20</v>
      </c>
      <c r="F7896">
        <v>83984742</v>
      </c>
      <c r="G7896">
        <v>83984742</v>
      </c>
      <c r="H7896">
        <v>83984742</v>
      </c>
      <c r="I7896">
        <v>83984742</v>
      </c>
    </row>
    <row r="7897" spans="1:9" x14ac:dyDescent="0.2">
      <c r="A7897" t="str">
        <f>"Gm13698"</f>
        <v>Gm13698</v>
      </c>
      <c r="B7897" t="s">
        <v>2817</v>
      </c>
      <c r="C7897" t="s">
        <v>26</v>
      </c>
      <c r="D7897" t="s">
        <v>17</v>
      </c>
      <c r="E7897" t="s">
        <v>20</v>
      </c>
      <c r="F7897">
        <v>83955692</v>
      </c>
      <c r="G7897">
        <v>83955692</v>
      </c>
      <c r="H7897">
        <v>83955692</v>
      </c>
      <c r="I7897">
        <v>83955692</v>
      </c>
    </row>
    <row r="7898" spans="1:9" x14ac:dyDescent="0.2">
      <c r="A7898" t="str">
        <f>"Gm13769"</f>
        <v>Gm13769</v>
      </c>
      <c r="B7898" t="s">
        <v>2818</v>
      </c>
      <c r="C7898" t="s">
        <v>26</v>
      </c>
      <c r="D7898" t="s">
        <v>17</v>
      </c>
      <c r="E7898" t="s">
        <v>20</v>
      </c>
      <c r="F7898">
        <v>90324196</v>
      </c>
      <c r="G7898">
        <v>90324196</v>
      </c>
      <c r="H7898">
        <v>90324196</v>
      </c>
      <c r="I7898">
        <v>90324196</v>
      </c>
    </row>
    <row r="7899" spans="1:9" x14ac:dyDescent="0.2">
      <c r="A7899" t="str">
        <f>"Gm13769"</f>
        <v>Gm13769</v>
      </c>
      <c r="B7899" t="s">
        <v>2819</v>
      </c>
      <c r="C7899" t="s">
        <v>26</v>
      </c>
      <c r="D7899" t="s">
        <v>17</v>
      </c>
      <c r="E7899" t="s">
        <v>20</v>
      </c>
      <c r="F7899">
        <v>90322221</v>
      </c>
      <c r="G7899">
        <v>90322221</v>
      </c>
      <c r="H7899">
        <v>90322221</v>
      </c>
      <c r="I7899">
        <v>90322221</v>
      </c>
    </row>
    <row r="7900" spans="1:9" x14ac:dyDescent="0.2">
      <c r="A7900" t="str">
        <f>"Gm13821"</f>
        <v>Gm13821</v>
      </c>
      <c r="B7900" t="s">
        <v>2820</v>
      </c>
      <c r="C7900" t="s">
        <v>46</v>
      </c>
      <c r="D7900" t="s">
        <v>11</v>
      </c>
      <c r="E7900" t="s">
        <v>20</v>
      </c>
      <c r="F7900">
        <v>114842861</v>
      </c>
      <c r="G7900">
        <v>114842861</v>
      </c>
      <c r="H7900">
        <v>114842861</v>
      </c>
      <c r="I7900">
        <v>114842861</v>
      </c>
    </row>
    <row r="7901" spans="1:9" x14ac:dyDescent="0.2">
      <c r="A7901" t="str">
        <f>"Gm13871"</f>
        <v>Gm13871</v>
      </c>
      <c r="B7901" t="s">
        <v>2821</v>
      </c>
      <c r="C7901" t="s">
        <v>23</v>
      </c>
      <c r="D7901" t="s">
        <v>11</v>
      </c>
      <c r="E7901" t="s">
        <v>20</v>
      </c>
      <c r="F7901">
        <v>73905952</v>
      </c>
      <c r="G7901">
        <v>73905952</v>
      </c>
      <c r="H7901">
        <v>73905952</v>
      </c>
      <c r="I7901">
        <v>73905952</v>
      </c>
    </row>
    <row r="7902" spans="1:9" x14ac:dyDescent="0.2">
      <c r="A7902" t="str">
        <f>"Gm13941"</f>
        <v>Gm13941</v>
      </c>
      <c r="B7902" t="s">
        <v>2822</v>
      </c>
      <c r="C7902" t="s">
        <v>26</v>
      </c>
      <c r="D7902" t="s">
        <v>11</v>
      </c>
      <c r="E7902" t="s">
        <v>20</v>
      </c>
      <c r="F7902">
        <v>111105981</v>
      </c>
      <c r="G7902">
        <v>111105981</v>
      </c>
      <c r="H7902">
        <v>111105981</v>
      </c>
      <c r="I7902">
        <v>111105981</v>
      </c>
    </row>
    <row r="7903" spans="1:9" x14ac:dyDescent="0.2">
      <c r="A7903" t="str">
        <f>"Gm14025"</f>
        <v>Gm14025</v>
      </c>
      <c r="B7903" t="s">
        <v>2823</v>
      </c>
      <c r="C7903" t="s">
        <v>26</v>
      </c>
      <c r="D7903" t="s">
        <v>11</v>
      </c>
      <c r="E7903" t="s">
        <v>20</v>
      </c>
      <c r="F7903">
        <v>129048171</v>
      </c>
      <c r="G7903">
        <v>129048171</v>
      </c>
      <c r="H7903">
        <v>129048171</v>
      </c>
      <c r="I7903">
        <v>129048171</v>
      </c>
    </row>
    <row r="7904" spans="1:9" x14ac:dyDescent="0.2">
      <c r="A7904" t="str">
        <f>"Gm14085"</f>
        <v>Gm14085</v>
      </c>
      <c r="B7904" t="s">
        <v>2824</v>
      </c>
      <c r="C7904" t="s">
        <v>26</v>
      </c>
      <c r="D7904" t="s">
        <v>17</v>
      </c>
      <c r="E7904" t="s">
        <v>20</v>
      </c>
      <c r="F7904">
        <v>122484940</v>
      </c>
      <c r="G7904">
        <v>122484940</v>
      </c>
      <c r="H7904">
        <v>122484940</v>
      </c>
      <c r="I7904">
        <v>122484940</v>
      </c>
    </row>
    <row r="7905" spans="1:9" x14ac:dyDescent="0.2">
      <c r="A7905" t="str">
        <f>"Gm14124"</f>
        <v>Gm14124</v>
      </c>
      <c r="B7905" t="s">
        <v>14</v>
      </c>
      <c r="C7905" t="s">
        <v>26</v>
      </c>
      <c r="D7905" t="s">
        <v>17</v>
      </c>
      <c r="E7905" t="s">
        <v>12</v>
      </c>
      <c r="F7905">
        <v>150257518</v>
      </c>
      <c r="G7905">
        <v>150257544</v>
      </c>
      <c r="H7905">
        <v>150257518</v>
      </c>
      <c r="I7905">
        <v>150257544</v>
      </c>
    </row>
    <row r="7906" spans="1:9" x14ac:dyDescent="0.2">
      <c r="A7906" t="str">
        <f>"Gm14137"</f>
        <v>Gm14137</v>
      </c>
      <c r="B7906" t="s">
        <v>14</v>
      </c>
      <c r="C7906" t="s">
        <v>26</v>
      </c>
      <c r="D7906" t="s">
        <v>17</v>
      </c>
      <c r="E7906" t="s">
        <v>12</v>
      </c>
      <c r="F7906">
        <v>119174483</v>
      </c>
      <c r="G7906">
        <v>119174527</v>
      </c>
      <c r="H7906">
        <v>119174552</v>
      </c>
      <c r="I7906">
        <v>119174563</v>
      </c>
    </row>
    <row r="7907" spans="1:9" x14ac:dyDescent="0.2">
      <c r="A7907" t="str">
        <f>"Gm14139"</f>
        <v>Gm14139</v>
      </c>
      <c r="B7907" t="s">
        <v>14</v>
      </c>
      <c r="C7907" t="s">
        <v>26</v>
      </c>
      <c r="D7907" t="s">
        <v>17</v>
      </c>
      <c r="E7907" t="s">
        <v>12</v>
      </c>
      <c r="F7907">
        <v>150181756</v>
      </c>
      <c r="G7907">
        <v>150181797</v>
      </c>
      <c r="H7907">
        <v>150181756</v>
      </c>
      <c r="I7907">
        <v>150181797</v>
      </c>
    </row>
    <row r="7908" spans="1:9" x14ac:dyDescent="0.2">
      <c r="A7908" t="str">
        <f>"Gm14147"</f>
        <v>Gm14147</v>
      </c>
      <c r="B7908" t="s">
        <v>2825</v>
      </c>
      <c r="C7908" t="s">
        <v>26</v>
      </c>
      <c r="D7908" t="s">
        <v>17</v>
      </c>
      <c r="E7908" t="s">
        <v>20</v>
      </c>
      <c r="F7908">
        <v>151098244</v>
      </c>
      <c r="G7908">
        <v>151098244</v>
      </c>
      <c r="H7908">
        <v>151098244</v>
      </c>
      <c r="I7908">
        <v>151098244</v>
      </c>
    </row>
    <row r="7909" spans="1:9" x14ac:dyDescent="0.2">
      <c r="A7909" t="str">
        <f>"Gm14147"</f>
        <v>Gm14147</v>
      </c>
      <c r="B7909" t="s">
        <v>2826</v>
      </c>
      <c r="C7909" t="s">
        <v>26</v>
      </c>
      <c r="D7909" t="s">
        <v>17</v>
      </c>
      <c r="E7909" t="s">
        <v>20</v>
      </c>
      <c r="F7909">
        <v>151100607</v>
      </c>
      <c r="G7909">
        <v>151100607</v>
      </c>
      <c r="H7909">
        <v>151100607</v>
      </c>
      <c r="I7909">
        <v>151100607</v>
      </c>
    </row>
    <row r="7910" spans="1:9" x14ac:dyDescent="0.2">
      <c r="A7910" t="str">
        <f>"Gm14151"</f>
        <v>Gm14151</v>
      </c>
      <c r="B7910" t="s">
        <v>2827</v>
      </c>
      <c r="C7910" t="s">
        <v>26</v>
      </c>
      <c r="D7910" t="s">
        <v>11</v>
      </c>
      <c r="E7910" t="s">
        <v>20</v>
      </c>
      <c r="F7910">
        <v>151092349</v>
      </c>
      <c r="G7910">
        <v>151092349</v>
      </c>
      <c r="H7910">
        <v>151092349</v>
      </c>
      <c r="I7910">
        <v>151092349</v>
      </c>
    </row>
    <row r="7911" spans="1:9" x14ac:dyDescent="0.2">
      <c r="A7911" t="str">
        <f>"Gm14180"</f>
        <v>Gm14180</v>
      </c>
      <c r="B7911" t="s">
        <v>2828</v>
      </c>
      <c r="C7911" t="s">
        <v>27</v>
      </c>
      <c r="D7911" t="s">
        <v>11</v>
      </c>
      <c r="E7911" t="s">
        <v>20</v>
      </c>
      <c r="F7911">
        <v>99734289</v>
      </c>
      <c r="G7911">
        <v>99734289</v>
      </c>
      <c r="H7911">
        <v>99734289</v>
      </c>
      <c r="I7911">
        <v>99734289</v>
      </c>
    </row>
    <row r="7912" spans="1:9" x14ac:dyDescent="0.2">
      <c r="A7912" t="str">
        <f>"Gm14190"</f>
        <v>Gm14190</v>
      </c>
      <c r="B7912" t="s">
        <v>2829</v>
      </c>
      <c r="C7912" t="s">
        <v>27</v>
      </c>
      <c r="D7912" t="s">
        <v>11</v>
      </c>
      <c r="E7912" t="s">
        <v>20</v>
      </c>
      <c r="F7912">
        <v>99690739</v>
      </c>
      <c r="G7912">
        <v>99690739</v>
      </c>
      <c r="H7912">
        <v>99690739</v>
      </c>
      <c r="I7912">
        <v>99690739</v>
      </c>
    </row>
    <row r="7913" spans="1:9" x14ac:dyDescent="0.2">
      <c r="A7913" t="str">
        <f>"Gm14214"</f>
        <v>Gm14214</v>
      </c>
      <c r="B7913" t="s">
        <v>2830</v>
      </c>
      <c r="C7913" t="s">
        <v>26</v>
      </c>
      <c r="D7913" t="s">
        <v>11</v>
      </c>
      <c r="E7913" t="s">
        <v>20</v>
      </c>
      <c r="F7913">
        <v>154769931</v>
      </c>
      <c r="G7913">
        <v>154769931</v>
      </c>
      <c r="H7913">
        <v>154769931</v>
      </c>
      <c r="I7913">
        <v>154769931</v>
      </c>
    </row>
    <row r="7914" spans="1:9" x14ac:dyDescent="0.2">
      <c r="A7914" t="str">
        <f>"Gm14221"</f>
        <v>Gm14221</v>
      </c>
      <c r="B7914" t="s">
        <v>14</v>
      </c>
      <c r="C7914" t="s">
        <v>26</v>
      </c>
      <c r="D7914" t="s">
        <v>11</v>
      </c>
      <c r="E7914" t="s">
        <v>67</v>
      </c>
      <c r="F7914">
        <v>160619955</v>
      </c>
      <c r="G7914">
        <v>160619977</v>
      </c>
      <c r="H7914">
        <v>160620060</v>
      </c>
      <c r="I7914">
        <v>160620072</v>
      </c>
    </row>
    <row r="7915" spans="1:9" x14ac:dyDescent="0.2">
      <c r="A7915" t="str">
        <f>"Gm14226"</f>
        <v>Gm14226</v>
      </c>
      <c r="B7915" t="s">
        <v>2831</v>
      </c>
      <c r="C7915" t="s">
        <v>26</v>
      </c>
      <c r="D7915" t="s">
        <v>17</v>
      </c>
      <c r="E7915" t="s">
        <v>20</v>
      </c>
      <c r="F7915">
        <v>155018265</v>
      </c>
      <c r="G7915">
        <v>155018265</v>
      </c>
      <c r="H7915">
        <v>155018265</v>
      </c>
      <c r="I7915">
        <v>155018265</v>
      </c>
    </row>
    <row r="7916" spans="1:9" x14ac:dyDescent="0.2">
      <c r="A7916" t="str">
        <f>"Gm14288"</f>
        <v>Gm14288</v>
      </c>
      <c r="B7916" t="s">
        <v>2832</v>
      </c>
      <c r="C7916" t="s">
        <v>26</v>
      </c>
      <c r="D7916" t="s">
        <v>11</v>
      </c>
      <c r="E7916" t="s">
        <v>20</v>
      </c>
      <c r="F7916">
        <v>175801026</v>
      </c>
      <c r="G7916">
        <v>175801026</v>
      </c>
      <c r="H7916">
        <v>175801026</v>
      </c>
      <c r="I7916">
        <v>175801026</v>
      </c>
    </row>
    <row r="7917" spans="1:9" x14ac:dyDescent="0.2">
      <c r="A7917" t="str">
        <f>"Gm14295"</f>
        <v>Gm14295</v>
      </c>
      <c r="B7917" t="s">
        <v>2833</v>
      </c>
      <c r="C7917" t="s">
        <v>26</v>
      </c>
      <c r="D7917" t="s">
        <v>17</v>
      </c>
      <c r="E7917" t="s">
        <v>20</v>
      </c>
      <c r="F7917">
        <v>176802232</v>
      </c>
      <c r="G7917">
        <v>176802232</v>
      </c>
      <c r="H7917">
        <v>176802232</v>
      </c>
      <c r="I7917">
        <v>176802232</v>
      </c>
    </row>
    <row r="7918" spans="1:9" x14ac:dyDescent="0.2">
      <c r="A7918" t="str">
        <f>"Gm14305"</f>
        <v>Gm14305</v>
      </c>
      <c r="B7918" t="s">
        <v>2834</v>
      </c>
      <c r="C7918" t="s">
        <v>26</v>
      </c>
      <c r="D7918" t="s">
        <v>17</v>
      </c>
      <c r="E7918" t="s">
        <v>20</v>
      </c>
      <c r="F7918">
        <v>176708327</v>
      </c>
      <c r="G7918">
        <v>176708327</v>
      </c>
      <c r="H7918">
        <v>176708327</v>
      </c>
      <c r="I7918">
        <v>176708327</v>
      </c>
    </row>
    <row r="7919" spans="1:9" x14ac:dyDescent="0.2">
      <c r="A7919" t="str">
        <f>"Gm14305"</f>
        <v>Gm14305</v>
      </c>
      <c r="B7919" t="s">
        <v>2835</v>
      </c>
      <c r="C7919" t="s">
        <v>26</v>
      </c>
      <c r="D7919" t="s">
        <v>17</v>
      </c>
      <c r="E7919" t="s">
        <v>20</v>
      </c>
      <c r="F7919">
        <v>176711932</v>
      </c>
      <c r="G7919">
        <v>176711932</v>
      </c>
      <c r="H7919">
        <v>176711932</v>
      </c>
      <c r="I7919">
        <v>176711932</v>
      </c>
    </row>
    <row r="7920" spans="1:9" x14ac:dyDescent="0.2">
      <c r="A7920" t="str">
        <f>"Gm14306"</f>
        <v>Gm14306</v>
      </c>
      <c r="B7920" t="s">
        <v>2836</v>
      </c>
      <c r="C7920" t="s">
        <v>26</v>
      </c>
      <c r="D7920" t="s">
        <v>17</v>
      </c>
      <c r="E7920" t="s">
        <v>20</v>
      </c>
      <c r="F7920">
        <v>176670561</v>
      </c>
      <c r="G7920">
        <v>176670561</v>
      </c>
      <c r="H7920">
        <v>176670561</v>
      </c>
      <c r="I7920">
        <v>176670561</v>
      </c>
    </row>
    <row r="7921" spans="1:9" x14ac:dyDescent="0.2">
      <c r="A7921" t="str">
        <f>"Gm14308"</f>
        <v>Gm14308</v>
      </c>
      <c r="B7921" t="s">
        <v>2837</v>
      </c>
      <c r="C7921" t="s">
        <v>26</v>
      </c>
      <c r="D7921" t="s">
        <v>11</v>
      </c>
      <c r="E7921" t="s">
        <v>20</v>
      </c>
      <c r="F7921">
        <v>176636317</v>
      </c>
      <c r="G7921">
        <v>176636317</v>
      </c>
      <c r="H7921">
        <v>176636317</v>
      </c>
      <c r="I7921">
        <v>176636317</v>
      </c>
    </row>
    <row r="7922" spans="1:9" x14ac:dyDescent="0.2">
      <c r="A7922" t="str">
        <f>"Gm14322"</f>
        <v>Gm14322</v>
      </c>
      <c r="B7922" t="s">
        <v>14</v>
      </c>
      <c r="C7922" t="s">
        <v>26</v>
      </c>
      <c r="D7922" t="s">
        <v>17</v>
      </c>
      <c r="E7922" t="s">
        <v>12</v>
      </c>
      <c r="F7922">
        <v>177759254</v>
      </c>
      <c r="G7922">
        <v>177759293</v>
      </c>
      <c r="H7922">
        <v>177759254</v>
      </c>
      <c r="I7922">
        <v>177759293</v>
      </c>
    </row>
    <row r="7923" spans="1:9" x14ac:dyDescent="0.2">
      <c r="A7923" t="str">
        <f>"Gm14325"</f>
        <v>Gm14325</v>
      </c>
      <c r="B7923" t="s">
        <v>14</v>
      </c>
      <c r="C7923" t="s">
        <v>26</v>
      </c>
      <c r="D7923" t="s">
        <v>11</v>
      </c>
      <c r="E7923" t="s">
        <v>12</v>
      </c>
      <c r="F7923">
        <v>177840344</v>
      </c>
      <c r="G7923">
        <v>177840354</v>
      </c>
      <c r="H7923">
        <v>177840344</v>
      </c>
      <c r="I7923">
        <v>177840354</v>
      </c>
    </row>
    <row r="7924" spans="1:9" x14ac:dyDescent="0.2">
      <c r="A7924" t="str">
        <f>"Gm14326"</f>
        <v>Gm14326</v>
      </c>
      <c r="B7924" t="s">
        <v>14</v>
      </c>
      <c r="C7924" t="s">
        <v>26</v>
      </c>
      <c r="D7924" t="s">
        <v>11</v>
      </c>
      <c r="E7924" t="s">
        <v>12</v>
      </c>
      <c r="F7924">
        <v>177957285</v>
      </c>
      <c r="G7924">
        <v>177957312</v>
      </c>
      <c r="H7924">
        <v>177957285</v>
      </c>
      <c r="I7924">
        <v>177957312</v>
      </c>
    </row>
    <row r="7925" spans="1:9" x14ac:dyDescent="0.2">
      <c r="A7925" t="str">
        <f>"Gm14327"</f>
        <v>Gm14327</v>
      </c>
      <c r="B7925" t="s">
        <v>2838</v>
      </c>
      <c r="C7925" t="s">
        <v>26</v>
      </c>
      <c r="D7925" t="s">
        <v>17</v>
      </c>
      <c r="E7925" t="s">
        <v>20</v>
      </c>
      <c r="F7925">
        <v>177897095</v>
      </c>
      <c r="G7925">
        <v>177897095</v>
      </c>
      <c r="H7925">
        <v>177897095</v>
      </c>
      <c r="I7925">
        <v>177897095</v>
      </c>
    </row>
    <row r="7926" spans="1:9" x14ac:dyDescent="0.2">
      <c r="A7926" t="str">
        <f>"Gm14345"</f>
        <v>Gm14345</v>
      </c>
      <c r="B7926" t="s">
        <v>2839</v>
      </c>
      <c r="C7926" t="s">
        <v>37</v>
      </c>
      <c r="D7926" t="s">
        <v>17</v>
      </c>
      <c r="E7926" t="s">
        <v>20</v>
      </c>
      <c r="F7926">
        <v>3700232</v>
      </c>
      <c r="G7926">
        <v>3700232</v>
      </c>
      <c r="H7926">
        <v>3700232</v>
      </c>
      <c r="I7926">
        <v>3700232</v>
      </c>
    </row>
    <row r="7927" spans="1:9" x14ac:dyDescent="0.2">
      <c r="A7927" t="str">
        <f>"Gm14346"</f>
        <v>Gm14346</v>
      </c>
      <c r="B7927" t="s">
        <v>2840</v>
      </c>
      <c r="C7927" t="s">
        <v>37</v>
      </c>
      <c r="D7927" t="s">
        <v>11</v>
      </c>
      <c r="E7927" t="s">
        <v>20</v>
      </c>
      <c r="F7927">
        <v>3443689</v>
      </c>
      <c r="G7927">
        <v>3443689</v>
      </c>
      <c r="H7927">
        <v>3443689</v>
      </c>
      <c r="I7927">
        <v>3443689</v>
      </c>
    </row>
    <row r="7928" spans="1:9" x14ac:dyDescent="0.2">
      <c r="A7928" t="str">
        <f>"Gm14347"</f>
        <v>Gm14347</v>
      </c>
      <c r="B7928" t="s">
        <v>2841</v>
      </c>
      <c r="C7928" t="s">
        <v>37</v>
      </c>
      <c r="D7928" t="s">
        <v>17</v>
      </c>
      <c r="E7928" t="s">
        <v>20</v>
      </c>
      <c r="F7928">
        <v>4196575</v>
      </c>
      <c r="G7928">
        <v>4196575</v>
      </c>
      <c r="H7928">
        <v>4196575</v>
      </c>
      <c r="I7928">
        <v>4196575</v>
      </c>
    </row>
    <row r="7929" spans="1:9" x14ac:dyDescent="0.2">
      <c r="A7929" t="str">
        <f>"Gm14351"</f>
        <v>Gm14351</v>
      </c>
      <c r="B7929" t="s">
        <v>2842</v>
      </c>
      <c r="C7929" t="s">
        <v>37</v>
      </c>
      <c r="D7929" t="s">
        <v>11</v>
      </c>
      <c r="E7929" t="s">
        <v>20</v>
      </c>
      <c r="F7929">
        <v>3752884</v>
      </c>
      <c r="G7929">
        <v>3752884</v>
      </c>
      <c r="H7929">
        <v>3752884</v>
      </c>
      <c r="I7929">
        <v>3752884</v>
      </c>
    </row>
    <row r="7930" spans="1:9" x14ac:dyDescent="0.2">
      <c r="A7930" t="str">
        <f>"Gm14374"</f>
        <v>Gm14374</v>
      </c>
      <c r="B7930" t="s">
        <v>2843</v>
      </c>
      <c r="C7930" t="s">
        <v>37</v>
      </c>
      <c r="D7930" t="s">
        <v>17</v>
      </c>
      <c r="E7930" t="s">
        <v>20</v>
      </c>
      <c r="F7930">
        <v>5669066</v>
      </c>
      <c r="G7930">
        <v>5669066</v>
      </c>
      <c r="H7930">
        <v>5669066</v>
      </c>
      <c r="I7930">
        <v>5669066</v>
      </c>
    </row>
    <row r="7931" spans="1:9" x14ac:dyDescent="0.2">
      <c r="A7931" t="str">
        <f>"Gm14378"</f>
        <v>Gm14378</v>
      </c>
      <c r="B7931" t="s">
        <v>14</v>
      </c>
      <c r="C7931" t="s">
        <v>30</v>
      </c>
      <c r="D7931" t="s">
        <v>17</v>
      </c>
      <c r="E7931" t="s">
        <v>12</v>
      </c>
      <c r="F7931">
        <v>4248248</v>
      </c>
      <c r="G7931">
        <v>4248267</v>
      </c>
      <c r="H7931">
        <v>4248188</v>
      </c>
      <c r="I7931">
        <v>4248219</v>
      </c>
    </row>
    <row r="7932" spans="1:9" x14ac:dyDescent="0.2">
      <c r="A7932" t="str">
        <f>"Gm14391"</f>
        <v>Gm14391</v>
      </c>
      <c r="B7932" t="s">
        <v>2844</v>
      </c>
      <c r="C7932" t="s">
        <v>26</v>
      </c>
      <c r="D7932" t="s">
        <v>11</v>
      </c>
      <c r="E7932" t="s">
        <v>20</v>
      </c>
      <c r="F7932">
        <v>175206916</v>
      </c>
      <c r="G7932">
        <v>175206916</v>
      </c>
      <c r="H7932">
        <v>175206916</v>
      </c>
      <c r="I7932">
        <v>175206916</v>
      </c>
    </row>
    <row r="7933" spans="1:9" x14ac:dyDescent="0.2">
      <c r="A7933" t="str">
        <f>"Gm14391"</f>
        <v>Gm14391</v>
      </c>
      <c r="B7933" t="s">
        <v>2845</v>
      </c>
      <c r="C7933" t="s">
        <v>26</v>
      </c>
      <c r="D7933" t="s">
        <v>11</v>
      </c>
      <c r="E7933" t="s">
        <v>20</v>
      </c>
      <c r="F7933">
        <v>175203060</v>
      </c>
      <c r="G7933">
        <v>175203060</v>
      </c>
      <c r="H7933">
        <v>175203060</v>
      </c>
      <c r="I7933">
        <v>175203060</v>
      </c>
    </row>
    <row r="7934" spans="1:9" x14ac:dyDescent="0.2">
      <c r="A7934" t="str">
        <f>"Gm14393"</f>
        <v>Gm14393</v>
      </c>
      <c r="B7934" t="s">
        <v>2846</v>
      </c>
      <c r="C7934" t="s">
        <v>26</v>
      </c>
      <c r="D7934" t="s">
        <v>11</v>
      </c>
      <c r="E7934" t="s">
        <v>20</v>
      </c>
      <c r="F7934">
        <v>175067762</v>
      </c>
      <c r="G7934">
        <v>175067762</v>
      </c>
      <c r="H7934">
        <v>175067762</v>
      </c>
      <c r="I7934">
        <v>175067762</v>
      </c>
    </row>
    <row r="7935" spans="1:9" x14ac:dyDescent="0.2">
      <c r="A7935" t="str">
        <f>"Gm14396"</f>
        <v>Gm14396</v>
      </c>
      <c r="B7935" t="s">
        <v>14</v>
      </c>
      <c r="C7935" t="s">
        <v>26</v>
      </c>
      <c r="D7935" t="s">
        <v>17</v>
      </c>
      <c r="E7935" t="s">
        <v>67</v>
      </c>
      <c r="F7935">
        <v>74695261</v>
      </c>
      <c r="G7935">
        <v>74695279</v>
      </c>
      <c r="H7935">
        <v>74695261</v>
      </c>
      <c r="I7935">
        <v>74695279</v>
      </c>
    </row>
    <row r="7936" spans="1:9" x14ac:dyDescent="0.2">
      <c r="A7936" t="str">
        <f>"Gm14399"</f>
        <v>Gm14399</v>
      </c>
      <c r="B7936" t="s">
        <v>2847</v>
      </c>
      <c r="C7936" t="s">
        <v>26</v>
      </c>
      <c r="D7936" t="s">
        <v>11</v>
      </c>
      <c r="E7936" t="s">
        <v>20</v>
      </c>
      <c r="F7936">
        <v>175142011</v>
      </c>
      <c r="G7936">
        <v>175142011</v>
      </c>
      <c r="H7936">
        <v>175142011</v>
      </c>
      <c r="I7936">
        <v>175142011</v>
      </c>
    </row>
    <row r="7937" spans="1:9" x14ac:dyDescent="0.2">
      <c r="A7937" t="str">
        <f>"Gm14401"</f>
        <v>Gm14401</v>
      </c>
      <c r="B7937" t="s">
        <v>2848</v>
      </c>
      <c r="C7937" t="s">
        <v>26</v>
      </c>
      <c r="D7937" t="s">
        <v>17</v>
      </c>
      <c r="E7937" t="s">
        <v>20</v>
      </c>
      <c r="F7937">
        <v>177080255</v>
      </c>
      <c r="G7937">
        <v>177080255</v>
      </c>
      <c r="H7937">
        <v>177080255</v>
      </c>
      <c r="I7937">
        <v>177080255</v>
      </c>
    </row>
    <row r="7938" spans="1:9" x14ac:dyDescent="0.2">
      <c r="A7938" t="str">
        <f>"Gm14403"</f>
        <v>Gm14403</v>
      </c>
      <c r="B7938" t="s">
        <v>14</v>
      </c>
      <c r="C7938" t="s">
        <v>26</v>
      </c>
      <c r="D7938" t="s">
        <v>17</v>
      </c>
      <c r="E7938" t="s">
        <v>67</v>
      </c>
      <c r="F7938">
        <v>177498173</v>
      </c>
      <c r="G7938">
        <v>177498220</v>
      </c>
      <c r="H7938">
        <v>177498173</v>
      </c>
      <c r="I7938">
        <v>177498220</v>
      </c>
    </row>
    <row r="7939" spans="1:9" x14ac:dyDescent="0.2">
      <c r="A7939" t="str">
        <f>"Gm14406"</f>
        <v>Gm14406</v>
      </c>
      <c r="B7939" t="s">
        <v>2849</v>
      </c>
      <c r="C7939" t="s">
        <v>26</v>
      </c>
      <c r="D7939" t="s">
        <v>11</v>
      </c>
      <c r="E7939" t="s">
        <v>20</v>
      </c>
      <c r="F7939">
        <v>177578198</v>
      </c>
      <c r="G7939">
        <v>177578198</v>
      </c>
      <c r="H7939">
        <v>177578198</v>
      </c>
      <c r="I7939">
        <v>177578198</v>
      </c>
    </row>
    <row r="7940" spans="1:9" x14ac:dyDescent="0.2">
      <c r="A7940" t="str">
        <f>"Gm14408"</f>
        <v>Gm14408</v>
      </c>
      <c r="B7940" t="s">
        <v>2850</v>
      </c>
      <c r="C7940" t="s">
        <v>26</v>
      </c>
      <c r="D7940" t="s">
        <v>17</v>
      </c>
      <c r="E7940" t="s">
        <v>20</v>
      </c>
      <c r="F7940">
        <v>176831139</v>
      </c>
      <c r="G7940">
        <v>176831139</v>
      </c>
      <c r="H7940">
        <v>176831139</v>
      </c>
      <c r="I7940">
        <v>176831139</v>
      </c>
    </row>
    <row r="7941" spans="1:9" x14ac:dyDescent="0.2">
      <c r="A7941" t="str">
        <f>"Gm14409"</f>
        <v>Gm14409</v>
      </c>
      <c r="B7941" t="s">
        <v>2851</v>
      </c>
      <c r="C7941" t="s">
        <v>26</v>
      </c>
      <c r="D7941" t="s">
        <v>11</v>
      </c>
      <c r="E7941" t="s">
        <v>20</v>
      </c>
      <c r="F7941">
        <v>177267035</v>
      </c>
      <c r="G7941">
        <v>177267035</v>
      </c>
      <c r="H7941">
        <v>177267035</v>
      </c>
      <c r="I7941">
        <v>177267035</v>
      </c>
    </row>
    <row r="7942" spans="1:9" x14ac:dyDescent="0.2">
      <c r="A7942" t="str">
        <f>"Gm14410"</f>
        <v>Gm14410</v>
      </c>
      <c r="B7942" t="s">
        <v>2852</v>
      </c>
      <c r="C7942" t="s">
        <v>26</v>
      </c>
      <c r="D7942" t="s">
        <v>11</v>
      </c>
      <c r="E7942" t="s">
        <v>20</v>
      </c>
      <c r="F7942">
        <v>177202828</v>
      </c>
      <c r="G7942">
        <v>177202828</v>
      </c>
      <c r="H7942">
        <v>177202828</v>
      </c>
      <c r="I7942">
        <v>177202828</v>
      </c>
    </row>
    <row r="7943" spans="1:9" x14ac:dyDescent="0.2">
      <c r="A7943" t="str">
        <f>"Gm14412"</f>
        <v>Gm14412</v>
      </c>
      <c r="B7943" t="s">
        <v>2853</v>
      </c>
      <c r="C7943" t="s">
        <v>26</v>
      </c>
      <c r="D7943" t="s">
        <v>11</v>
      </c>
      <c r="E7943" t="s">
        <v>20</v>
      </c>
      <c r="F7943">
        <v>177324306</v>
      </c>
      <c r="G7943">
        <v>177324306</v>
      </c>
      <c r="H7943">
        <v>177324306</v>
      </c>
      <c r="I7943">
        <v>177324306</v>
      </c>
    </row>
    <row r="7944" spans="1:9" x14ac:dyDescent="0.2">
      <c r="A7944" t="str">
        <f>"Gm14418"</f>
        <v>Gm14418</v>
      </c>
      <c r="B7944" t="s">
        <v>2854</v>
      </c>
      <c r="C7944" t="s">
        <v>26</v>
      </c>
      <c r="D7944" t="s">
        <v>11</v>
      </c>
      <c r="E7944" t="s">
        <v>20</v>
      </c>
      <c r="F7944">
        <v>177394698</v>
      </c>
      <c r="G7944">
        <v>177394698</v>
      </c>
      <c r="H7944">
        <v>177394698</v>
      </c>
      <c r="I7944">
        <v>177394698</v>
      </c>
    </row>
    <row r="7945" spans="1:9" x14ac:dyDescent="0.2">
      <c r="A7945" t="str">
        <f>"Gm14419"</f>
        <v>Gm14419</v>
      </c>
      <c r="B7945" t="s">
        <v>2855</v>
      </c>
      <c r="C7945" t="s">
        <v>26</v>
      </c>
      <c r="D7945" t="s">
        <v>17</v>
      </c>
      <c r="E7945" t="s">
        <v>20</v>
      </c>
      <c r="F7945">
        <v>177004552</v>
      </c>
      <c r="G7945">
        <v>177004552</v>
      </c>
      <c r="H7945">
        <v>177004552</v>
      </c>
      <c r="I7945">
        <v>177004552</v>
      </c>
    </row>
    <row r="7946" spans="1:9" x14ac:dyDescent="0.2">
      <c r="A7946" t="str">
        <f>"Gm14420"</f>
        <v>Gm14420</v>
      </c>
      <c r="B7946" t="s">
        <v>2856</v>
      </c>
      <c r="C7946" t="s">
        <v>26</v>
      </c>
      <c r="D7946" t="s">
        <v>17</v>
      </c>
      <c r="E7946" t="s">
        <v>20</v>
      </c>
      <c r="F7946">
        <v>177464845</v>
      </c>
      <c r="G7946">
        <v>177464845</v>
      </c>
      <c r="H7946">
        <v>177464845</v>
      </c>
      <c r="I7946">
        <v>177464845</v>
      </c>
    </row>
    <row r="7947" spans="1:9" x14ac:dyDescent="0.2">
      <c r="A7947" t="str">
        <f>"Gm14431"</f>
        <v>Gm14431</v>
      </c>
      <c r="B7947" t="s">
        <v>2857</v>
      </c>
      <c r="C7947" t="s">
        <v>26</v>
      </c>
      <c r="D7947" t="s">
        <v>17</v>
      </c>
      <c r="E7947" t="s">
        <v>20</v>
      </c>
      <c r="F7947">
        <v>176521055</v>
      </c>
      <c r="G7947">
        <v>176521055</v>
      </c>
      <c r="H7947">
        <v>176521055</v>
      </c>
      <c r="I7947">
        <v>176521055</v>
      </c>
    </row>
    <row r="7948" spans="1:9" x14ac:dyDescent="0.2">
      <c r="A7948" t="str">
        <f>"Gm14434"</f>
        <v>Gm14434</v>
      </c>
      <c r="B7948" t="s">
        <v>2858</v>
      </c>
      <c r="C7948" t="s">
        <v>26</v>
      </c>
      <c r="D7948" t="s">
        <v>11</v>
      </c>
      <c r="E7948" t="s">
        <v>20</v>
      </c>
      <c r="F7948">
        <v>176483159</v>
      </c>
      <c r="G7948">
        <v>176483159</v>
      </c>
      <c r="H7948">
        <v>176483159</v>
      </c>
      <c r="I7948">
        <v>176483159</v>
      </c>
    </row>
    <row r="7949" spans="1:9" x14ac:dyDescent="0.2">
      <c r="A7949" t="str">
        <f>"Gm14435"</f>
        <v>Gm14435</v>
      </c>
      <c r="B7949" t="s">
        <v>2859</v>
      </c>
      <c r="C7949" t="s">
        <v>26</v>
      </c>
      <c r="D7949" t="s">
        <v>17</v>
      </c>
      <c r="E7949" t="s">
        <v>20</v>
      </c>
      <c r="F7949">
        <v>176423660</v>
      </c>
      <c r="G7949">
        <v>176423660</v>
      </c>
      <c r="H7949">
        <v>176423660</v>
      </c>
      <c r="I7949">
        <v>176423660</v>
      </c>
    </row>
    <row r="7950" spans="1:9" x14ac:dyDescent="0.2">
      <c r="A7950" t="str">
        <f>"Gm14440"</f>
        <v>Gm14440</v>
      </c>
      <c r="B7950" t="s">
        <v>2860</v>
      </c>
      <c r="C7950" t="s">
        <v>26</v>
      </c>
      <c r="D7950" t="s">
        <v>17</v>
      </c>
      <c r="E7950" t="s">
        <v>20</v>
      </c>
      <c r="F7950">
        <v>175275124</v>
      </c>
      <c r="G7950">
        <v>175275124</v>
      </c>
      <c r="H7950">
        <v>175275124</v>
      </c>
      <c r="I7950">
        <v>175275124</v>
      </c>
    </row>
    <row r="7951" spans="1:9" x14ac:dyDescent="0.2">
      <c r="A7951" t="str">
        <f>"Gm14443"</f>
        <v>Gm14443</v>
      </c>
      <c r="B7951" t="s">
        <v>2861</v>
      </c>
      <c r="C7951" t="s">
        <v>26</v>
      </c>
      <c r="D7951" t="s">
        <v>11</v>
      </c>
      <c r="E7951" t="s">
        <v>20</v>
      </c>
      <c r="F7951">
        <v>175175870</v>
      </c>
      <c r="G7951">
        <v>175175870</v>
      </c>
      <c r="H7951">
        <v>175175870</v>
      </c>
      <c r="I7951">
        <v>175175870</v>
      </c>
    </row>
    <row r="7952" spans="1:9" x14ac:dyDescent="0.2">
      <c r="A7952" t="str">
        <f>"Gm14444"</f>
        <v>Gm14444</v>
      </c>
      <c r="B7952" t="s">
        <v>2862</v>
      </c>
      <c r="C7952" t="s">
        <v>26</v>
      </c>
      <c r="D7952" t="s">
        <v>17</v>
      </c>
      <c r="E7952" t="s">
        <v>20</v>
      </c>
      <c r="F7952">
        <v>175010318</v>
      </c>
      <c r="G7952">
        <v>175010318</v>
      </c>
      <c r="H7952">
        <v>175010318</v>
      </c>
      <c r="I7952">
        <v>175010318</v>
      </c>
    </row>
    <row r="7953" spans="1:9" x14ac:dyDescent="0.2">
      <c r="A7953" t="str">
        <f>"Gm14446"</f>
        <v>Gm14446</v>
      </c>
      <c r="B7953" t="s">
        <v>2863</v>
      </c>
      <c r="C7953" t="s">
        <v>10</v>
      </c>
      <c r="D7953" t="s">
        <v>11</v>
      </c>
      <c r="E7953" t="s">
        <v>20</v>
      </c>
      <c r="F7953">
        <v>34599326</v>
      </c>
      <c r="G7953">
        <v>34599326</v>
      </c>
      <c r="H7953">
        <v>34599326</v>
      </c>
      <c r="I7953">
        <v>34599326</v>
      </c>
    </row>
    <row r="7954" spans="1:9" x14ac:dyDescent="0.2">
      <c r="A7954" t="str">
        <f>"Gm14446"</f>
        <v>Gm14446</v>
      </c>
      <c r="B7954" t="s">
        <v>2864</v>
      </c>
      <c r="C7954" t="s">
        <v>10</v>
      </c>
      <c r="D7954" t="s">
        <v>11</v>
      </c>
      <c r="E7954" t="s">
        <v>20</v>
      </c>
      <c r="F7954">
        <v>34601967</v>
      </c>
      <c r="G7954">
        <v>34601967</v>
      </c>
      <c r="H7954">
        <v>34601967</v>
      </c>
      <c r="I7954">
        <v>34601967</v>
      </c>
    </row>
    <row r="7955" spans="1:9" x14ac:dyDescent="0.2">
      <c r="A7955" t="str">
        <f>"Gm14458"</f>
        <v>Gm14458</v>
      </c>
      <c r="B7955" t="s">
        <v>2865</v>
      </c>
      <c r="C7955" t="s">
        <v>37</v>
      </c>
      <c r="D7955" t="s">
        <v>11</v>
      </c>
      <c r="E7955" t="s">
        <v>20</v>
      </c>
      <c r="F7955">
        <v>8986754</v>
      </c>
      <c r="G7955">
        <v>8986754</v>
      </c>
      <c r="H7955">
        <v>8986754</v>
      </c>
      <c r="I7955">
        <v>8986754</v>
      </c>
    </row>
    <row r="7956" spans="1:9" x14ac:dyDescent="0.2">
      <c r="A7956" t="str">
        <f>"Gm14459"</f>
        <v>Gm14459</v>
      </c>
      <c r="B7956" t="s">
        <v>2866</v>
      </c>
      <c r="C7956" t="s">
        <v>37</v>
      </c>
      <c r="D7956" t="s">
        <v>11</v>
      </c>
      <c r="E7956" t="s">
        <v>20</v>
      </c>
      <c r="F7956">
        <v>8524953</v>
      </c>
      <c r="G7956">
        <v>8524953</v>
      </c>
      <c r="H7956">
        <v>8524953</v>
      </c>
      <c r="I7956">
        <v>8524953</v>
      </c>
    </row>
    <row r="7957" spans="1:9" x14ac:dyDescent="0.2">
      <c r="A7957" t="str">
        <f>"Gm14474"</f>
        <v>Gm14474</v>
      </c>
      <c r="B7957" t="s">
        <v>2867</v>
      </c>
      <c r="C7957" t="s">
        <v>37</v>
      </c>
      <c r="D7957" t="s">
        <v>17</v>
      </c>
      <c r="E7957" t="s">
        <v>20</v>
      </c>
      <c r="F7957">
        <v>11302431</v>
      </c>
      <c r="G7957">
        <v>11302431</v>
      </c>
      <c r="H7957">
        <v>11302431</v>
      </c>
      <c r="I7957">
        <v>11302431</v>
      </c>
    </row>
    <row r="7958" spans="1:9" x14ac:dyDescent="0.2">
      <c r="A7958" t="str">
        <f>"Gm14475"</f>
        <v>Gm14475</v>
      </c>
      <c r="B7958" t="s">
        <v>14</v>
      </c>
      <c r="C7958" t="s">
        <v>37</v>
      </c>
      <c r="D7958" t="s">
        <v>17</v>
      </c>
      <c r="E7958" t="s">
        <v>12</v>
      </c>
      <c r="F7958">
        <v>11305590</v>
      </c>
      <c r="G7958">
        <v>11305599</v>
      </c>
      <c r="H7958">
        <v>11305590</v>
      </c>
      <c r="I7958">
        <v>11305599</v>
      </c>
    </row>
    <row r="7959" spans="1:9" x14ac:dyDescent="0.2">
      <c r="A7959" t="str">
        <f>"Gm14476"</f>
        <v>Gm14476</v>
      </c>
      <c r="B7959" t="s">
        <v>14</v>
      </c>
      <c r="C7959" t="s">
        <v>37</v>
      </c>
      <c r="D7959" t="s">
        <v>17</v>
      </c>
      <c r="E7959" t="s">
        <v>12</v>
      </c>
      <c r="F7959">
        <v>11305590</v>
      </c>
      <c r="G7959">
        <v>11305599</v>
      </c>
      <c r="H7959">
        <v>11305590</v>
      </c>
      <c r="I7959">
        <v>11305599</v>
      </c>
    </row>
    <row r="7960" spans="1:9" x14ac:dyDescent="0.2">
      <c r="A7960" t="str">
        <f>"Gm14477"</f>
        <v>Gm14477</v>
      </c>
      <c r="B7960" t="s">
        <v>14</v>
      </c>
      <c r="C7960" t="s">
        <v>37</v>
      </c>
      <c r="D7960" t="s">
        <v>17</v>
      </c>
      <c r="E7960" t="s">
        <v>12</v>
      </c>
      <c r="F7960">
        <v>11305590</v>
      </c>
      <c r="G7960">
        <v>11305599</v>
      </c>
      <c r="H7960">
        <v>11305590</v>
      </c>
      <c r="I7960">
        <v>11305599</v>
      </c>
    </row>
    <row r="7961" spans="1:9" x14ac:dyDescent="0.2">
      <c r="A7961" t="str">
        <f>"Gm14478"</f>
        <v>Gm14478</v>
      </c>
      <c r="B7961" t="s">
        <v>14</v>
      </c>
      <c r="C7961" t="s">
        <v>37</v>
      </c>
      <c r="D7961" t="s">
        <v>17</v>
      </c>
      <c r="E7961" t="s">
        <v>12</v>
      </c>
      <c r="F7961">
        <v>11305590</v>
      </c>
      <c r="G7961">
        <v>11305599</v>
      </c>
      <c r="H7961">
        <v>11305590</v>
      </c>
      <c r="I7961">
        <v>11305599</v>
      </c>
    </row>
    <row r="7962" spans="1:9" x14ac:dyDescent="0.2">
      <c r="A7962" t="str">
        <f>"Gm14479"</f>
        <v>Gm14479</v>
      </c>
      <c r="B7962" t="s">
        <v>14</v>
      </c>
      <c r="C7962" t="s">
        <v>37</v>
      </c>
      <c r="D7962" t="s">
        <v>17</v>
      </c>
      <c r="E7962" t="s">
        <v>12</v>
      </c>
      <c r="F7962">
        <v>11305590</v>
      </c>
      <c r="G7962">
        <v>11305599</v>
      </c>
      <c r="H7962">
        <v>11305590</v>
      </c>
      <c r="I7962">
        <v>11305599</v>
      </c>
    </row>
    <row r="7963" spans="1:9" x14ac:dyDescent="0.2">
      <c r="A7963" t="str">
        <f>"Gm14482"</f>
        <v>Gm14482</v>
      </c>
      <c r="B7963" t="s">
        <v>14</v>
      </c>
      <c r="C7963" t="s">
        <v>37</v>
      </c>
      <c r="D7963" t="s">
        <v>17</v>
      </c>
      <c r="E7963" t="s">
        <v>12</v>
      </c>
      <c r="F7963">
        <v>11305590</v>
      </c>
      <c r="G7963">
        <v>11305599</v>
      </c>
      <c r="H7963">
        <v>11305590</v>
      </c>
      <c r="I7963">
        <v>11305599</v>
      </c>
    </row>
    <row r="7964" spans="1:9" x14ac:dyDescent="0.2">
      <c r="A7964" t="str">
        <f>"Gm14483"</f>
        <v>Gm14483</v>
      </c>
      <c r="B7964" t="s">
        <v>14</v>
      </c>
      <c r="C7964" t="s">
        <v>37</v>
      </c>
      <c r="D7964" t="s">
        <v>17</v>
      </c>
      <c r="E7964" t="s">
        <v>12</v>
      </c>
      <c r="F7964">
        <v>11305590</v>
      </c>
      <c r="G7964">
        <v>11305599</v>
      </c>
      <c r="H7964">
        <v>11305590</v>
      </c>
      <c r="I7964">
        <v>11305599</v>
      </c>
    </row>
    <row r="7965" spans="1:9" x14ac:dyDescent="0.2">
      <c r="A7965" t="str">
        <f>"Gm14484"</f>
        <v>Gm14484</v>
      </c>
      <c r="B7965" t="s">
        <v>2868</v>
      </c>
      <c r="C7965" t="s">
        <v>37</v>
      </c>
      <c r="D7965" t="s">
        <v>17</v>
      </c>
      <c r="E7965" t="s">
        <v>20</v>
      </c>
      <c r="F7965">
        <v>11311933</v>
      </c>
      <c r="G7965">
        <v>11311933</v>
      </c>
      <c r="H7965">
        <v>11311933</v>
      </c>
      <c r="I7965">
        <v>11311933</v>
      </c>
    </row>
    <row r="7966" spans="1:9" x14ac:dyDescent="0.2">
      <c r="A7966" t="str">
        <f>"Gm14492"</f>
        <v>Gm14492</v>
      </c>
      <c r="B7966" t="s">
        <v>14</v>
      </c>
      <c r="C7966" t="s">
        <v>33</v>
      </c>
      <c r="D7966" t="s">
        <v>11</v>
      </c>
      <c r="E7966" t="s">
        <v>12</v>
      </c>
      <c r="F7966">
        <v>142506636</v>
      </c>
      <c r="G7966">
        <v>142506653</v>
      </c>
      <c r="H7966">
        <v>142506636</v>
      </c>
      <c r="I7966">
        <v>142506653</v>
      </c>
    </row>
    <row r="7967" spans="1:9" x14ac:dyDescent="0.2">
      <c r="A7967" t="str">
        <f>"Gm14496"</f>
        <v>Gm14496</v>
      </c>
      <c r="B7967" t="s">
        <v>2869</v>
      </c>
      <c r="C7967" t="s">
        <v>26</v>
      </c>
      <c r="D7967" t="s">
        <v>17</v>
      </c>
      <c r="E7967" t="s">
        <v>20</v>
      </c>
      <c r="F7967">
        <v>181991225</v>
      </c>
      <c r="G7967">
        <v>181991225</v>
      </c>
      <c r="H7967">
        <v>181991225</v>
      </c>
      <c r="I7967">
        <v>181991225</v>
      </c>
    </row>
    <row r="7968" spans="1:9" x14ac:dyDescent="0.2">
      <c r="A7968" t="str">
        <f>"Gm14501"</f>
        <v>Gm14501</v>
      </c>
      <c r="B7968" t="s">
        <v>2870</v>
      </c>
      <c r="C7968" t="s">
        <v>37</v>
      </c>
      <c r="D7968" t="s">
        <v>17</v>
      </c>
      <c r="E7968" t="s">
        <v>20</v>
      </c>
      <c r="F7968">
        <v>9350598</v>
      </c>
      <c r="G7968">
        <v>9350598</v>
      </c>
      <c r="H7968">
        <v>9350598</v>
      </c>
      <c r="I7968">
        <v>9350598</v>
      </c>
    </row>
    <row r="7969" spans="1:9" x14ac:dyDescent="0.2">
      <c r="A7969" t="str">
        <f>"Gm14511"</f>
        <v>Gm14511</v>
      </c>
      <c r="B7969" t="s">
        <v>2871</v>
      </c>
      <c r="C7969" t="s">
        <v>37</v>
      </c>
      <c r="D7969" t="s">
        <v>11</v>
      </c>
      <c r="E7969" t="s">
        <v>20</v>
      </c>
      <c r="F7969">
        <v>8976558</v>
      </c>
      <c r="G7969">
        <v>8976558</v>
      </c>
      <c r="H7969">
        <v>8976558</v>
      </c>
      <c r="I7969">
        <v>8976558</v>
      </c>
    </row>
    <row r="7970" spans="1:9" x14ac:dyDescent="0.2">
      <c r="A7970" t="str">
        <f>"Gm14525"</f>
        <v>Gm14525</v>
      </c>
      <c r="B7970" t="s">
        <v>14</v>
      </c>
      <c r="C7970" t="s">
        <v>37</v>
      </c>
      <c r="D7970" t="s">
        <v>11</v>
      </c>
      <c r="E7970" t="s">
        <v>12</v>
      </c>
      <c r="F7970">
        <v>26702636</v>
      </c>
      <c r="G7970">
        <v>26702640</v>
      </c>
      <c r="H7970">
        <v>26702636</v>
      </c>
      <c r="I7970">
        <v>26702640</v>
      </c>
    </row>
    <row r="7971" spans="1:9" x14ac:dyDescent="0.2">
      <c r="A7971" t="str">
        <f>"Gm14543"</f>
        <v>Gm14543</v>
      </c>
      <c r="B7971" t="s">
        <v>2872</v>
      </c>
      <c r="C7971" t="s">
        <v>37</v>
      </c>
      <c r="D7971" t="s">
        <v>11</v>
      </c>
      <c r="E7971" t="s">
        <v>20</v>
      </c>
      <c r="F7971">
        <v>37897231</v>
      </c>
      <c r="G7971">
        <v>37897231</v>
      </c>
      <c r="H7971">
        <v>37897231</v>
      </c>
      <c r="I7971">
        <v>37897231</v>
      </c>
    </row>
    <row r="7972" spans="1:9" x14ac:dyDescent="0.2">
      <c r="A7972" t="str">
        <f>"Gm14548"</f>
        <v>Gm14548</v>
      </c>
      <c r="B7972" t="s">
        <v>14</v>
      </c>
      <c r="C7972" t="s">
        <v>33</v>
      </c>
      <c r="D7972" t="s">
        <v>11</v>
      </c>
      <c r="E7972" t="s">
        <v>12</v>
      </c>
      <c r="F7972">
        <v>3898129</v>
      </c>
      <c r="G7972">
        <v>3898142</v>
      </c>
      <c r="H7972">
        <v>3898129</v>
      </c>
      <c r="I7972">
        <v>3898142</v>
      </c>
    </row>
    <row r="7973" spans="1:9" x14ac:dyDescent="0.2">
      <c r="A7973" t="str">
        <f>"Gm14569"</f>
        <v>Gm14569</v>
      </c>
      <c r="B7973" t="s">
        <v>14</v>
      </c>
      <c r="C7973" t="s">
        <v>37</v>
      </c>
      <c r="D7973" t="s">
        <v>11</v>
      </c>
      <c r="E7973" t="s">
        <v>67</v>
      </c>
      <c r="F7973">
        <v>36492066</v>
      </c>
      <c r="G7973">
        <v>36492068</v>
      </c>
      <c r="H7973">
        <v>36492066</v>
      </c>
      <c r="I7973">
        <v>36492068</v>
      </c>
    </row>
    <row r="7974" spans="1:9" x14ac:dyDescent="0.2">
      <c r="A7974" t="str">
        <f>"Gm14597"</f>
        <v>Gm14597</v>
      </c>
      <c r="B7974" t="s">
        <v>2873</v>
      </c>
      <c r="C7974" t="s">
        <v>37</v>
      </c>
      <c r="D7974" t="s">
        <v>11</v>
      </c>
      <c r="E7974" t="s">
        <v>20</v>
      </c>
      <c r="F7974">
        <v>53608978</v>
      </c>
      <c r="G7974">
        <v>53608978</v>
      </c>
      <c r="H7974">
        <v>53608978</v>
      </c>
      <c r="I7974">
        <v>53608978</v>
      </c>
    </row>
    <row r="7975" spans="1:9" x14ac:dyDescent="0.2">
      <c r="A7975" t="str">
        <f>"Gm14597"</f>
        <v>Gm14597</v>
      </c>
      <c r="B7975" t="s">
        <v>2874</v>
      </c>
      <c r="C7975" t="s">
        <v>37</v>
      </c>
      <c r="D7975" t="s">
        <v>11</v>
      </c>
      <c r="E7975" t="s">
        <v>20</v>
      </c>
      <c r="F7975">
        <v>53579969</v>
      </c>
      <c r="G7975">
        <v>53579969</v>
      </c>
      <c r="H7975">
        <v>53579969</v>
      </c>
      <c r="I7975">
        <v>53579969</v>
      </c>
    </row>
    <row r="7976" spans="1:9" x14ac:dyDescent="0.2">
      <c r="A7976" t="str">
        <f>"Gm14632"</f>
        <v>Gm14632</v>
      </c>
      <c r="B7976" t="s">
        <v>2875</v>
      </c>
      <c r="C7976" t="s">
        <v>37</v>
      </c>
      <c r="D7976" t="s">
        <v>17</v>
      </c>
      <c r="E7976" t="s">
        <v>20</v>
      </c>
      <c r="F7976">
        <v>30329771</v>
      </c>
      <c r="G7976">
        <v>30329771</v>
      </c>
      <c r="H7976">
        <v>30329771</v>
      </c>
      <c r="I7976">
        <v>30329771</v>
      </c>
    </row>
    <row r="7977" spans="1:9" x14ac:dyDescent="0.2">
      <c r="A7977" t="str">
        <f>"Gm14632"</f>
        <v>Gm14632</v>
      </c>
      <c r="B7977" t="s">
        <v>2876</v>
      </c>
      <c r="C7977" t="s">
        <v>37</v>
      </c>
      <c r="D7977" t="s">
        <v>17</v>
      </c>
      <c r="E7977" t="s">
        <v>20</v>
      </c>
      <c r="F7977">
        <v>30331336</v>
      </c>
      <c r="G7977">
        <v>30331336</v>
      </c>
      <c r="H7977">
        <v>30331336</v>
      </c>
      <c r="I7977">
        <v>30331336</v>
      </c>
    </row>
    <row r="7978" spans="1:9" x14ac:dyDescent="0.2">
      <c r="A7978" t="str">
        <f>"Gm14685"</f>
        <v>Gm14685</v>
      </c>
      <c r="B7978" t="s">
        <v>2877</v>
      </c>
      <c r="C7978" t="s">
        <v>37</v>
      </c>
      <c r="D7978" t="s">
        <v>17</v>
      </c>
      <c r="E7978" t="s">
        <v>20</v>
      </c>
      <c r="F7978">
        <v>73117046</v>
      </c>
      <c r="G7978">
        <v>73117046</v>
      </c>
      <c r="H7978">
        <v>73117046</v>
      </c>
      <c r="I7978">
        <v>73117046</v>
      </c>
    </row>
    <row r="7979" spans="1:9" x14ac:dyDescent="0.2">
      <c r="A7979" t="str">
        <f>"Gm14685"</f>
        <v>Gm14685</v>
      </c>
      <c r="B7979" t="s">
        <v>2878</v>
      </c>
      <c r="C7979" t="s">
        <v>37</v>
      </c>
      <c r="D7979" t="s">
        <v>17</v>
      </c>
      <c r="E7979" t="s">
        <v>20</v>
      </c>
      <c r="F7979">
        <v>73123067</v>
      </c>
      <c r="G7979">
        <v>73123067</v>
      </c>
      <c r="H7979">
        <v>73123067</v>
      </c>
      <c r="I7979">
        <v>73123067</v>
      </c>
    </row>
    <row r="7980" spans="1:9" x14ac:dyDescent="0.2">
      <c r="A7980" t="str">
        <f>"Gm14692"</f>
        <v>Gm14692</v>
      </c>
      <c r="B7980" t="s">
        <v>2879</v>
      </c>
      <c r="C7980" t="s">
        <v>37</v>
      </c>
      <c r="D7980" t="s">
        <v>17</v>
      </c>
      <c r="E7980" t="s">
        <v>20</v>
      </c>
      <c r="F7980">
        <v>67695697</v>
      </c>
      <c r="G7980">
        <v>67695697</v>
      </c>
      <c r="H7980">
        <v>67695697</v>
      </c>
      <c r="I7980">
        <v>67695697</v>
      </c>
    </row>
    <row r="7981" spans="1:9" x14ac:dyDescent="0.2">
      <c r="A7981" t="str">
        <f>"Gm14698"</f>
        <v>Gm14698</v>
      </c>
      <c r="B7981" t="s">
        <v>2880</v>
      </c>
      <c r="C7981" t="s">
        <v>37</v>
      </c>
      <c r="D7981" t="s">
        <v>17</v>
      </c>
      <c r="E7981" t="s">
        <v>20</v>
      </c>
      <c r="F7981">
        <v>68821092</v>
      </c>
      <c r="G7981">
        <v>68821092</v>
      </c>
      <c r="H7981">
        <v>68821092</v>
      </c>
      <c r="I7981">
        <v>68821092</v>
      </c>
    </row>
    <row r="7982" spans="1:9" x14ac:dyDescent="0.2">
      <c r="A7982" t="str">
        <f>"Gm14743"</f>
        <v>Gm14743</v>
      </c>
      <c r="B7982" t="s">
        <v>2881</v>
      </c>
      <c r="C7982" t="s">
        <v>37</v>
      </c>
      <c r="D7982" t="s">
        <v>11</v>
      </c>
      <c r="E7982" t="s">
        <v>20</v>
      </c>
      <c r="F7982">
        <v>78245920</v>
      </c>
      <c r="G7982">
        <v>78245920</v>
      </c>
      <c r="H7982">
        <v>78245920</v>
      </c>
      <c r="I7982">
        <v>78245920</v>
      </c>
    </row>
    <row r="7983" spans="1:9" x14ac:dyDescent="0.2">
      <c r="A7983" t="str">
        <f>"Gm14744"</f>
        <v>Gm14744</v>
      </c>
      <c r="B7983" t="s">
        <v>2882</v>
      </c>
      <c r="C7983" t="s">
        <v>37</v>
      </c>
      <c r="D7983" t="s">
        <v>17</v>
      </c>
      <c r="E7983" t="s">
        <v>20</v>
      </c>
      <c r="F7983">
        <v>77864757</v>
      </c>
      <c r="G7983">
        <v>77864757</v>
      </c>
      <c r="H7983">
        <v>77864757</v>
      </c>
      <c r="I7983">
        <v>77864757</v>
      </c>
    </row>
    <row r="7984" spans="1:9" x14ac:dyDescent="0.2">
      <c r="A7984" t="str">
        <f>"Gm14781"</f>
        <v>Gm14781</v>
      </c>
      <c r="B7984" t="s">
        <v>14</v>
      </c>
      <c r="C7984" t="s">
        <v>37</v>
      </c>
      <c r="D7984" t="s">
        <v>17</v>
      </c>
      <c r="E7984" t="s">
        <v>12</v>
      </c>
      <c r="F7984">
        <v>91632200</v>
      </c>
      <c r="G7984">
        <v>91632230</v>
      </c>
      <c r="H7984">
        <v>91632200</v>
      </c>
      <c r="I7984">
        <v>91632230</v>
      </c>
    </row>
    <row r="7985" spans="1:9" x14ac:dyDescent="0.2">
      <c r="A7985" t="str">
        <f>"Gm14819"</f>
        <v>Gm14819</v>
      </c>
      <c r="B7985" t="s">
        <v>2883</v>
      </c>
      <c r="C7985" t="s">
        <v>37</v>
      </c>
      <c r="D7985" t="s">
        <v>17</v>
      </c>
      <c r="E7985" t="s">
        <v>20</v>
      </c>
      <c r="F7985">
        <v>35404182</v>
      </c>
      <c r="G7985">
        <v>35404182</v>
      </c>
      <c r="H7985">
        <v>35404182</v>
      </c>
      <c r="I7985">
        <v>35404182</v>
      </c>
    </row>
    <row r="7986" spans="1:9" x14ac:dyDescent="0.2">
      <c r="A7986" t="str">
        <f>"Gm14819"</f>
        <v>Gm14819</v>
      </c>
      <c r="B7986" t="s">
        <v>2884</v>
      </c>
      <c r="C7986" t="s">
        <v>37</v>
      </c>
      <c r="D7986" t="s">
        <v>17</v>
      </c>
      <c r="E7986" t="s">
        <v>20</v>
      </c>
      <c r="F7986">
        <v>35405793</v>
      </c>
      <c r="G7986">
        <v>35405793</v>
      </c>
      <c r="H7986">
        <v>35405793</v>
      </c>
      <c r="I7986">
        <v>35405793</v>
      </c>
    </row>
    <row r="7987" spans="1:9" x14ac:dyDescent="0.2">
      <c r="A7987" t="str">
        <f>"Gm14850"</f>
        <v>Gm14850</v>
      </c>
      <c r="B7987" t="s">
        <v>14</v>
      </c>
      <c r="C7987" t="s">
        <v>30</v>
      </c>
      <c r="D7987" t="s">
        <v>17</v>
      </c>
      <c r="E7987" t="s">
        <v>12</v>
      </c>
      <c r="F7987">
        <v>21565368</v>
      </c>
      <c r="G7987">
        <v>21565373</v>
      </c>
      <c r="H7987">
        <v>21565368</v>
      </c>
      <c r="I7987">
        <v>21565373</v>
      </c>
    </row>
    <row r="7988" spans="1:9" x14ac:dyDescent="0.2">
      <c r="A7988" t="str">
        <f>"Gm14851"</f>
        <v>Gm14851</v>
      </c>
      <c r="B7988" t="s">
        <v>2885</v>
      </c>
      <c r="C7988" t="s">
        <v>30</v>
      </c>
      <c r="D7988" t="s">
        <v>11</v>
      </c>
      <c r="E7988" t="s">
        <v>20</v>
      </c>
      <c r="F7988">
        <v>21096049</v>
      </c>
      <c r="G7988">
        <v>21096049</v>
      </c>
      <c r="H7988">
        <v>21096049</v>
      </c>
      <c r="I7988">
        <v>21096049</v>
      </c>
    </row>
    <row r="7989" spans="1:9" x14ac:dyDescent="0.2">
      <c r="A7989" t="str">
        <f>"Gm14862"</f>
        <v>Gm14862</v>
      </c>
      <c r="B7989" t="s">
        <v>14</v>
      </c>
      <c r="C7989" t="s">
        <v>37</v>
      </c>
      <c r="D7989" t="s">
        <v>11</v>
      </c>
      <c r="E7989" t="s">
        <v>67</v>
      </c>
      <c r="F7989">
        <v>9256900</v>
      </c>
      <c r="G7989">
        <v>9256917</v>
      </c>
      <c r="H7989">
        <v>9256926</v>
      </c>
      <c r="I7989">
        <v>9256937</v>
      </c>
    </row>
    <row r="7990" spans="1:9" x14ac:dyDescent="0.2">
      <c r="A7990" t="str">
        <f>"Gm14920"</f>
        <v>Gm14920</v>
      </c>
      <c r="B7990" t="s">
        <v>2886</v>
      </c>
      <c r="C7990" t="s">
        <v>37</v>
      </c>
      <c r="D7990" t="s">
        <v>17</v>
      </c>
      <c r="E7990" t="s">
        <v>20</v>
      </c>
      <c r="F7990">
        <v>117014756</v>
      </c>
      <c r="G7990">
        <v>117014756</v>
      </c>
      <c r="H7990">
        <v>117014756</v>
      </c>
      <c r="I7990">
        <v>117014756</v>
      </c>
    </row>
    <row r="7991" spans="1:9" x14ac:dyDescent="0.2">
      <c r="A7991" t="str">
        <f>"Gm15013"</f>
        <v>Gm15013</v>
      </c>
      <c r="B7991" t="s">
        <v>14</v>
      </c>
      <c r="C7991" t="s">
        <v>37</v>
      </c>
      <c r="D7991" t="s">
        <v>11</v>
      </c>
      <c r="E7991" t="s">
        <v>67</v>
      </c>
      <c r="F7991">
        <v>139714503</v>
      </c>
      <c r="G7991">
        <v>139714507</v>
      </c>
      <c r="H7991">
        <v>139714503</v>
      </c>
      <c r="I7991">
        <v>139714507</v>
      </c>
    </row>
    <row r="7992" spans="1:9" x14ac:dyDescent="0.2">
      <c r="A7992" t="str">
        <f>"Gm15023"</f>
        <v>Gm15023</v>
      </c>
      <c r="B7992" t="s">
        <v>2887</v>
      </c>
      <c r="C7992" t="s">
        <v>37</v>
      </c>
      <c r="D7992" t="s">
        <v>11</v>
      </c>
      <c r="E7992" t="s">
        <v>20</v>
      </c>
      <c r="F7992">
        <v>135177631</v>
      </c>
      <c r="G7992">
        <v>135177631</v>
      </c>
      <c r="H7992">
        <v>135177631</v>
      </c>
      <c r="I7992">
        <v>135177631</v>
      </c>
    </row>
    <row r="7993" spans="1:9" x14ac:dyDescent="0.2">
      <c r="A7993" t="str">
        <f>"Gm15056"</f>
        <v>Gm15056</v>
      </c>
      <c r="B7993" t="s">
        <v>14</v>
      </c>
      <c r="C7993" t="s">
        <v>30</v>
      </c>
      <c r="D7993" t="s">
        <v>11</v>
      </c>
      <c r="E7993" t="s">
        <v>12</v>
      </c>
      <c r="F7993">
        <v>20902452</v>
      </c>
      <c r="G7993">
        <v>20902459</v>
      </c>
      <c r="H7993">
        <v>20902452</v>
      </c>
      <c r="I7993">
        <v>20902459</v>
      </c>
    </row>
    <row r="7994" spans="1:9" x14ac:dyDescent="0.2">
      <c r="A7994" t="str">
        <f>"Gm15080"</f>
        <v>Gm15080</v>
      </c>
      <c r="B7994" t="s">
        <v>2888</v>
      </c>
      <c r="C7994" t="s">
        <v>37</v>
      </c>
      <c r="D7994" t="s">
        <v>17</v>
      </c>
      <c r="E7994" t="s">
        <v>20</v>
      </c>
      <c r="F7994">
        <v>147992992</v>
      </c>
      <c r="G7994">
        <v>147992992</v>
      </c>
      <c r="H7994">
        <v>147992992</v>
      </c>
      <c r="I7994">
        <v>147992992</v>
      </c>
    </row>
    <row r="7995" spans="1:9" x14ac:dyDescent="0.2">
      <c r="A7995" t="str">
        <f>"Gm15085"</f>
        <v>Gm15085</v>
      </c>
      <c r="B7995" t="s">
        <v>2889</v>
      </c>
      <c r="C7995" t="s">
        <v>37</v>
      </c>
      <c r="D7995" t="s">
        <v>17</v>
      </c>
      <c r="E7995" t="s">
        <v>20</v>
      </c>
      <c r="F7995">
        <v>149447616</v>
      </c>
      <c r="G7995">
        <v>149447616</v>
      </c>
      <c r="H7995">
        <v>149447616</v>
      </c>
      <c r="I7995">
        <v>149447616</v>
      </c>
    </row>
    <row r="7996" spans="1:9" x14ac:dyDescent="0.2">
      <c r="A7996" t="str">
        <f>"Gm15091"</f>
        <v>Gm15091</v>
      </c>
      <c r="B7996" t="s">
        <v>2890</v>
      </c>
      <c r="C7996" t="s">
        <v>37</v>
      </c>
      <c r="D7996" t="s">
        <v>17</v>
      </c>
      <c r="E7996" t="s">
        <v>20</v>
      </c>
      <c r="F7996">
        <v>149941654</v>
      </c>
      <c r="G7996">
        <v>149941654</v>
      </c>
      <c r="H7996">
        <v>149941654</v>
      </c>
      <c r="I7996">
        <v>149941654</v>
      </c>
    </row>
    <row r="7997" spans="1:9" x14ac:dyDescent="0.2">
      <c r="A7997" t="str">
        <f>"Gm15093"</f>
        <v>Gm15093</v>
      </c>
      <c r="B7997" t="s">
        <v>2891</v>
      </c>
      <c r="C7997" t="s">
        <v>37</v>
      </c>
      <c r="D7997" t="s">
        <v>17</v>
      </c>
      <c r="E7997" t="s">
        <v>20</v>
      </c>
      <c r="F7997">
        <v>149272376</v>
      </c>
      <c r="G7997">
        <v>149272376</v>
      </c>
      <c r="H7997">
        <v>149272376</v>
      </c>
      <c r="I7997">
        <v>149272376</v>
      </c>
    </row>
    <row r="7998" spans="1:9" x14ac:dyDescent="0.2">
      <c r="A7998" t="str">
        <f>"Gm15097"</f>
        <v>Gm15097</v>
      </c>
      <c r="B7998" t="s">
        <v>2892</v>
      </c>
      <c r="C7998" t="s">
        <v>37</v>
      </c>
      <c r="D7998" t="s">
        <v>17</v>
      </c>
      <c r="E7998" t="s">
        <v>20</v>
      </c>
      <c r="F7998">
        <v>149784472</v>
      </c>
      <c r="G7998">
        <v>149784472</v>
      </c>
      <c r="H7998">
        <v>149784472</v>
      </c>
      <c r="I7998">
        <v>149784472</v>
      </c>
    </row>
    <row r="7999" spans="1:9" x14ac:dyDescent="0.2">
      <c r="A7999" t="str">
        <f>"Gm15097"</f>
        <v>Gm15097</v>
      </c>
      <c r="B7999" t="s">
        <v>2893</v>
      </c>
      <c r="C7999" t="s">
        <v>37</v>
      </c>
      <c r="D7999" t="s">
        <v>17</v>
      </c>
      <c r="E7999" t="s">
        <v>20</v>
      </c>
      <c r="F7999">
        <v>149790190</v>
      </c>
      <c r="G7999">
        <v>149790190</v>
      </c>
      <c r="H7999">
        <v>149790190</v>
      </c>
      <c r="I7999">
        <v>149790190</v>
      </c>
    </row>
    <row r="8000" spans="1:9" x14ac:dyDescent="0.2">
      <c r="A8000" t="str">
        <f>"Gm15107"</f>
        <v>Gm15107</v>
      </c>
      <c r="B8000" t="s">
        <v>2894</v>
      </c>
      <c r="C8000" t="s">
        <v>37</v>
      </c>
      <c r="D8000" t="s">
        <v>17</v>
      </c>
      <c r="E8000" t="s">
        <v>20</v>
      </c>
      <c r="F8000">
        <v>148180723</v>
      </c>
      <c r="G8000">
        <v>148180723</v>
      </c>
      <c r="H8000">
        <v>148180723</v>
      </c>
      <c r="I8000">
        <v>148180723</v>
      </c>
    </row>
    <row r="8001" spans="1:9" x14ac:dyDescent="0.2">
      <c r="A8001" t="str">
        <f>"Gm15114"</f>
        <v>Gm15114</v>
      </c>
      <c r="B8001" t="s">
        <v>2895</v>
      </c>
      <c r="C8001" t="s">
        <v>37</v>
      </c>
      <c r="D8001" t="s">
        <v>17</v>
      </c>
      <c r="E8001" t="s">
        <v>20</v>
      </c>
      <c r="F8001">
        <v>148488948</v>
      </c>
      <c r="G8001">
        <v>148488948</v>
      </c>
      <c r="H8001">
        <v>148488948</v>
      </c>
      <c r="I8001">
        <v>148488948</v>
      </c>
    </row>
    <row r="8002" spans="1:9" x14ac:dyDescent="0.2">
      <c r="A8002" t="str">
        <f>"Gm15127"</f>
        <v>Gm15127</v>
      </c>
      <c r="B8002" t="s">
        <v>2896</v>
      </c>
      <c r="C8002" t="s">
        <v>37</v>
      </c>
      <c r="D8002" t="s">
        <v>17</v>
      </c>
      <c r="E8002" t="s">
        <v>20</v>
      </c>
      <c r="F8002">
        <v>148663600</v>
      </c>
      <c r="G8002">
        <v>148663600</v>
      </c>
      <c r="H8002">
        <v>148663600</v>
      </c>
      <c r="I8002">
        <v>148663600</v>
      </c>
    </row>
    <row r="8003" spans="1:9" x14ac:dyDescent="0.2">
      <c r="A8003" t="str">
        <f>"Gm15127"</f>
        <v>Gm15127</v>
      </c>
      <c r="B8003" t="s">
        <v>2897</v>
      </c>
      <c r="C8003" t="s">
        <v>37</v>
      </c>
      <c r="D8003" t="s">
        <v>17</v>
      </c>
      <c r="E8003" t="s">
        <v>20</v>
      </c>
      <c r="F8003">
        <v>148671290</v>
      </c>
      <c r="G8003">
        <v>148671290</v>
      </c>
      <c r="H8003">
        <v>148671290</v>
      </c>
      <c r="I8003">
        <v>148671290</v>
      </c>
    </row>
    <row r="8004" spans="1:9" x14ac:dyDescent="0.2">
      <c r="A8004" t="str">
        <f>"Gm15128"</f>
        <v>Gm15128</v>
      </c>
      <c r="B8004" t="s">
        <v>2898</v>
      </c>
      <c r="C8004" t="s">
        <v>37</v>
      </c>
      <c r="D8004" t="s">
        <v>17</v>
      </c>
      <c r="E8004" t="s">
        <v>20</v>
      </c>
      <c r="F8004">
        <v>147765990</v>
      </c>
      <c r="G8004">
        <v>147765990</v>
      </c>
      <c r="H8004">
        <v>147765990</v>
      </c>
      <c r="I8004">
        <v>147765990</v>
      </c>
    </row>
    <row r="8005" spans="1:9" x14ac:dyDescent="0.2">
      <c r="A8005" t="str">
        <f>"Gm15128"</f>
        <v>Gm15128</v>
      </c>
      <c r="B8005" t="s">
        <v>2899</v>
      </c>
      <c r="C8005" t="s">
        <v>37</v>
      </c>
      <c r="D8005" t="s">
        <v>17</v>
      </c>
      <c r="E8005" t="s">
        <v>20</v>
      </c>
      <c r="F8005">
        <v>147789727</v>
      </c>
      <c r="G8005">
        <v>147789727</v>
      </c>
      <c r="H8005">
        <v>147789727</v>
      </c>
      <c r="I8005">
        <v>147789727</v>
      </c>
    </row>
    <row r="8006" spans="1:9" x14ac:dyDescent="0.2">
      <c r="A8006" t="str">
        <f>"Gm15130"</f>
        <v>Gm15130</v>
      </c>
      <c r="B8006" t="s">
        <v>2900</v>
      </c>
      <c r="C8006" t="s">
        <v>26</v>
      </c>
      <c r="D8006" t="s">
        <v>11</v>
      </c>
      <c r="E8006" t="s">
        <v>20</v>
      </c>
      <c r="F8006">
        <v>111152935</v>
      </c>
      <c r="G8006">
        <v>111152935</v>
      </c>
      <c r="H8006">
        <v>111152935</v>
      </c>
      <c r="I8006">
        <v>111152935</v>
      </c>
    </row>
    <row r="8007" spans="1:9" x14ac:dyDescent="0.2">
      <c r="A8007" t="str">
        <f>"Gm15140"</f>
        <v>Gm15140</v>
      </c>
      <c r="B8007" t="s">
        <v>2901</v>
      </c>
      <c r="C8007" t="s">
        <v>37</v>
      </c>
      <c r="D8007" t="s">
        <v>11</v>
      </c>
      <c r="E8007" t="s">
        <v>20</v>
      </c>
      <c r="F8007">
        <v>154120684</v>
      </c>
      <c r="G8007">
        <v>154120684</v>
      </c>
      <c r="H8007">
        <v>154120684</v>
      </c>
      <c r="I8007">
        <v>154120684</v>
      </c>
    </row>
    <row r="8008" spans="1:9" x14ac:dyDescent="0.2">
      <c r="A8008" t="str">
        <f>"Gm15155"</f>
        <v>Gm15155</v>
      </c>
      <c r="B8008" t="s">
        <v>14</v>
      </c>
      <c r="C8008" t="s">
        <v>37</v>
      </c>
      <c r="D8008" t="s">
        <v>17</v>
      </c>
      <c r="E8008" t="s">
        <v>67</v>
      </c>
      <c r="F8008">
        <v>155624764</v>
      </c>
      <c r="G8008">
        <v>155624792</v>
      </c>
      <c r="H8008">
        <v>155624828</v>
      </c>
      <c r="I8008">
        <v>155624831</v>
      </c>
    </row>
    <row r="8009" spans="1:9" x14ac:dyDescent="0.2">
      <c r="A8009" t="str">
        <f>"Gm15217"</f>
        <v>Gm15217</v>
      </c>
      <c r="B8009" t="s">
        <v>14</v>
      </c>
      <c r="C8009" t="s">
        <v>41</v>
      </c>
      <c r="D8009" t="s">
        <v>17</v>
      </c>
      <c r="E8009" t="s">
        <v>12</v>
      </c>
      <c r="F8009">
        <v>46379447</v>
      </c>
      <c r="G8009">
        <v>46379466</v>
      </c>
      <c r="H8009">
        <v>46379440</v>
      </c>
      <c r="I8009">
        <v>46379445</v>
      </c>
    </row>
    <row r="8010" spans="1:9" x14ac:dyDescent="0.2">
      <c r="A8010" t="str">
        <f>"Gm1527"</f>
        <v>Gm1527</v>
      </c>
      <c r="B8010" t="s">
        <v>14</v>
      </c>
      <c r="C8010" t="s">
        <v>22</v>
      </c>
      <c r="D8010" t="s">
        <v>17</v>
      </c>
      <c r="E8010" t="s">
        <v>12</v>
      </c>
      <c r="F8010">
        <v>28892617</v>
      </c>
      <c r="G8010">
        <v>28892619</v>
      </c>
      <c r="H8010">
        <v>28892617</v>
      </c>
      <c r="I8010">
        <v>28892619</v>
      </c>
    </row>
    <row r="8011" spans="1:9" x14ac:dyDescent="0.2">
      <c r="A8011" t="str">
        <f>"Gm15284"</f>
        <v>Gm15284</v>
      </c>
      <c r="B8011" t="s">
        <v>14</v>
      </c>
      <c r="C8011" t="s">
        <v>30</v>
      </c>
      <c r="D8011" t="s">
        <v>17</v>
      </c>
      <c r="E8011" t="s">
        <v>12</v>
      </c>
      <c r="F8011">
        <v>21134610</v>
      </c>
      <c r="G8011">
        <v>21134627</v>
      </c>
      <c r="H8011">
        <v>21134610</v>
      </c>
      <c r="I8011">
        <v>21134627</v>
      </c>
    </row>
    <row r="8012" spans="1:9" x14ac:dyDescent="0.2">
      <c r="A8012" t="str">
        <f>"Gm15292"</f>
        <v>Gm15292</v>
      </c>
      <c r="B8012" t="s">
        <v>14</v>
      </c>
      <c r="C8012" t="s">
        <v>30</v>
      </c>
      <c r="D8012" t="s">
        <v>17</v>
      </c>
      <c r="E8012" t="s">
        <v>12</v>
      </c>
      <c r="F8012">
        <v>21249713</v>
      </c>
      <c r="G8012">
        <v>21249720</v>
      </c>
      <c r="H8012">
        <v>21249713</v>
      </c>
      <c r="I8012">
        <v>21249720</v>
      </c>
    </row>
    <row r="8013" spans="1:9" x14ac:dyDescent="0.2">
      <c r="A8013" t="str">
        <f>"Gm15293"</f>
        <v>Gm15293</v>
      </c>
      <c r="B8013" t="s">
        <v>2902</v>
      </c>
      <c r="C8013" t="s">
        <v>30</v>
      </c>
      <c r="D8013" t="s">
        <v>17</v>
      </c>
      <c r="E8013" t="s">
        <v>20</v>
      </c>
      <c r="F8013">
        <v>21201560</v>
      </c>
      <c r="G8013">
        <v>21201560</v>
      </c>
      <c r="H8013">
        <v>21201560</v>
      </c>
      <c r="I8013">
        <v>21201560</v>
      </c>
    </row>
    <row r="8014" spans="1:9" x14ac:dyDescent="0.2">
      <c r="A8014" t="str">
        <f>"Gm15294"</f>
        <v>Gm15294</v>
      </c>
      <c r="B8014" t="s">
        <v>2903</v>
      </c>
      <c r="C8014" t="s">
        <v>37</v>
      </c>
      <c r="D8014" t="s">
        <v>11</v>
      </c>
      <c r="E8014" t="s">
        <v>20</v>
      </c>
      <c r="F8014">
        <v>141874869</v>
      </c>
      <c r="G8014">
        <v>141874869</v>
      </c>
      <c r="H8014">
        <v>141874869</v>
      </c>
      <c r="I8014">
        <v>141874869</v>
      </c>
    </row>
    <row r="8015" spans="1:9" x14ac:dyDescent="0.2">
      <c r="A8015" t="str">
        <f>"Gm15299"</f>
        <v>Gm15299</v>
      </c>
      <c r="B8015" t="s">
        <v>2904</v>
      </c>
      <c r="C8015" t="s">
        <v>30</v>
      </c>
      <c r="D8015" t="s">
        <v>17</v>
      </c>
      <c r="E8015" t="s">
        <v>20</v>
      </c>
      <c r="F8015">
        <v>21315545</v>
      </c>
      <c r="G8015">
        <v>21315545</v>
      </c>
      <c r="H8015">
        <v>21315545</v>
      </c>
      <c r="I8015">
        <v>21315545</v>
      </c>
    </row>
    <row r="8016" spans="1:9" x14ac:dyDescent="0.2">
      <c r="A8016" t="str">
        <f>"Gm15308"</f>
        <v>Gm15308</v>
      </c>
      <c r="B8016" t="s">
        <v>14</v>
      </c>
      <c r="C8016" t="s">
        <v>30</v>
      </c>
      <c r="D8016" t="s">
        <v>17</v>
      </c>
      <c r="E8016" t="s">
        <v>12</v>
      </c>
      <c r="F8016">
        <v>21529031</v>
      </c>
      <c r="G8016">
        <v>21529032</v>
      </c>
      <c r="H8016">
        <v>21529031</v>
      </c>
      <c r="I8016">
        <v>21529032</v>
      </c>
    </row>
    <row r="8017" spans="1:9" x14ac:dyDescent="0.2">
      <c r="A8017" t="str">
        <f>"Gm15315"</f>
        <v>Gm15315</v>
      </c>
      <c r="B8017" t="s">
        <v>2905</v>
      </c>
      <c r="C8017" t="s">
        <v>30</v>
      </c>
      <c r="D8017" t="s">
        <v>17</v>
      </c>
      <c r="E8017" t="s">
        <v>20</v>
      </c>
      <c r="F8017">
        <v>21665796</v>
      </c>
      <c r="G8017">
        <v>21665796</v>
      </c>
      <c r="H8017">
        <v>21665796</v>
      </c>
      <c r="I8017">
        <v>21665796</v>
      </c>
    </row>
    <row r="8018" spans="1:9" x14ac:dyDescent="0.2">
      <c r="A8018" t="str">
        <f>"Gm15319"</f>
        <v>Gm15319</v>
      </c>
      <c r="B8018" t="s">
        <v>2906</v>
      </c>
      <c r="C8018" t="s">
        <v>30</v>
      </c>
      <c r="D8018" t="s">
        <v>11</v>
      </c>
      <c r="E8018" t="s">
        <v>20</v>
      </c>
      <c r="F8018">
        <v>20363209</v>
      </c>
      <c r="G8018">
        <v>20363209</v>
      </c>
      <c r="H8018">
        <v>20363209</v>
      </c>
      <c r="I8018">
        <v>20363209</v>
      </c>
    </row>
    <row r="8019" spans="1:9" x14ac:dyDescent="0.2">
      <c r="A8019" t="str">
        <f>"Gm15386"</f>
        <v>Gm15386</v>
      </c>
      <c r="B8019" t="s">
        <v>14</v>
      </c>
      <c r="C8019" t="s">
        <v>19</v>
      </c>
      <c r="D8019" t="s">
        <v>11</v>
      </c>
      <c r="E8019" t="s">
        <v>12</v>
      </c>
      <c r="F8019">
        <v>18265130</v>
      </c>
      <c r="G8019">
        <v>18265141</v>
      </c>
      <c r="H8019">
        <v>18265130</v>
      </c>
      <c r="I8019">
        <v>18265141</v>
      </c>
    </row>
    <row r="8020" spans="1:9" x14ac:dyDescent="0.2">
      <c r="A8020" t="str">
        <f>"Gm15401"</f>
        <v>Gm15401</v>
      </c>
      <c r="B8020" t="s">
        <v>14</v>
      </c>
      <c r="C8020" t="s">
        <v>32</v>
      </c>
      <c r="D8020" t="s">
        <v>17</v>
      </c>
      <c r="E8020" t="s">
        <v>12</v>
      </c>
      <c r="F8020">
        <v>72629284</v>
      </c>
      <c r="G8020">
        <v>72629304</v>
      </c>
      <c r="H8020">
        <v>72629284</v>
      </c>
      <c r="I8020">
        <v>72629304</v>
      </c>
    </row>
    <row r="8021" spans="1:9" x14ac:dyDescent="0.2">
      <c r="A8021" t="str">
        <f>"Gm15409"</f>
        <v>Gm15409</v>
      </c>
      <c r="B8021" t="s">
        <v>14</v>
      </c>
      <c r="C8021" t="s">
        <v>46</v>
      </c>
      <c r="D8021" t="s">
        <v>17</v>
      </c>
      <c r="E8021" t="s">
        <v>67</v>
      </c>
      <c r="F8021">
        <v>148959263</v>
      </c>
      <c r="G8021">
        <v>148959268</v>
      </c>
      <c r="H8021">
        <v>148959263</v>
      </c>
      <c r="I8021">
        <v>148959268</v>
      </c>
    </row>
    <row r="8022" spans="1:9" x14ac:dyDescent="0.2">
      <c r="A8022" t="str">
        <f>"Gm15440"</f>
        <v>Gm15440</v>
      </c>
      <c r="B8022" t="s">
        <v>14</v>
      </c>
      <c r="C8022" t="s">
        <v>39</v>
      </c>
      <c r="D8022" t="s">
        <v>11</v>
      </c>
      <c r="E8022" t="s">
        <v>67</v>
      </c>
      <c r="F8022">
        <v>51701405</v>
      </c>
      <c r="G8022">
        <v>51701415</v>
      </c>
      <c r="H8022">
        <v>51701405</v>
      </c>
      <c r="I8022">
        <v>51701415</v>
      </c>
    </row>
    <row r="8023" spans="1:9" x14ac:dyDescent="0.2">
      <c r="A8023" t="str">
        <f>"Gm15446"</f>
        <v>Gm15446</v>
      </c>
      <c r="B8023" t="s">
        <v>14</v>
      </c>
      <c r="C8023" t="s">
        <v>46</v>
      </c>
      <c r="D8023" t="s">
        <v>17</v>
      </c>
      <c r="E8023" t="s">
        <v>67</v>
      </c>
      <c r="F8023">
        <v>109923633</v>
      </c>
      <c r="G8023">
        <v>109923664</v>
      </c>
      <c r="H8023">
        <v>109923633</v>
      </c>
      <c r="I8023">
        <v>109923664</v>
      </c>
    </row>
    <row r="8024" spans="1:9" x14ac:dyDescent="0.2">
      <c r="A8024" t="str">
        <f>"Gm15448"</f>
        <v>Gm15448</v>
      </c>
      <c r="B8024" t="s">
        <v>2907</v>
      </c>
      <c r="C8024" t="s">
        <v>33</v>
      </c>
      <c r="D8024" t="s">
        <v>11</v>
      </c>
      <c r="E8024" t="s">
        <v>20</v>
      </c>
      <c r="F8024">
        <v>3825668</v>
      </c>
      <c r="G8024">
        <v>3825668</v>
      </c>
      <c r="H8024">
        <v>3825668</v>
      </c>
      <c r="I8024">
        <v>3825668</v>
      </c>
    </row>
    <row r="8025" spans="1:9" x14ac:dyDescent="0.2">
      <c r="A8025" t="str">
        <f>"Gm1553"</f>
        <v>Gm1553</v>
      </c>
      <c r="B8025" t="s">
        <v>14</v>
      </c>
      <c r="C8025" t="s">
        <v>15</v>
      </c>
      <c r="D8025" t="s">
        <v>11</v>
      </c>
      <c r="E8025" t="s">
        <v>12</v>
      </c>
      <c r="F8025">
        <v>82492612</v>
      </c>
      <c r="G8025">
        <v>82492625</v>
      </c>
      <c r="H8025">
        <v>82492642</v>
      </c>
      <c r="I8025">
        <v>82492645</v>
      </c>
    </row>
    <row r="8026" spans="1:9" x14ac:dyDescent="0.2">
      <c r="A8026" t="str">
        <f>"Gm15557"</f>
        <v>Gm15557</v>
      </c>
      <c r="B8026" t="s">
        <v>2908</v>
      </c>
      <c r="C8026" t="s">
        <v>26</v>
      </c>
      <c r="D8026" t="s">
        <v>17</v>
      </c>
      <c r="E8026" t="s">
        <v>20</v>
      </c>
      <c r="F8026">
        <v>155940727</v>
      </c>
      <c r="G8026">
        <v>155940727</v>
      </c>
      <c r="H8026">
        <v>155940727</v>
      </c>
      <c r="I8026">
        <v>155940727</v>
      </c>
    </row>
    <row r="8027" spans="1:9" x14ac:dyDescent="0.2">
      <c r="A8027" t="str">
        <f>"Gm156"</f>
        <v>Gm156</v>
      </c>
      <c r="B8027" t="s">
        <v>14</v>
      </c>
      <c r="C8027" t="s">
        <v>32</v>
      </c>
      <c r="D8027" t="s">
        <v>11</v>
      </c>
      <c r="E8027" t="s">
        <v>12</v>
      </c>
      <c r="F8027">
        <v>129784232</v>
      </c>
      <c r="G8027">
        <v>129784251</v>
      </c>
      <c r="H8027">
        <v>129784232</v>
      </c>
      <c r="I8027">
        <v>129784251</v>
      </c>
    </row>
    <row r="8028" spans="1:9" x14ac:dyDescent="0.2">
      <c r="A8028" t="str">
        <f>"Gm1564"</f>
        <v>Gm1564</v>
      </c>
      <c r="B8028" t="s">
        <v>14</v>
      </c>
      <c r="C8028" t="s">
        <v>27</v>
      </c>
      <c r="D8028" t="s">
        <v>17</v>
      </c>
      <c r="E8028" t="s">
        <v>12</v>
      </c>
      <c r="F8028">
        <v>102665566</v>
      </c>
      <c r="G8028">
        <v>102665595</v>
      </c>
      <c r="H8028">
        <v>102665612</v>
      </c>
      <c r="I8028">
        <v>102665633</v>
      </c>
    </row>
    <row r="8029" spans="1:9" x14ac:dyDescent="0.2">
      <c r="A8029" t="str">
        <f>"Gm15698"</f>
        <v>Gm15698</v>
      </c>
      <c r="B8029" t="s">
        <v>14</v>
      </c>
      <c r="C8029" t="s">
        <v>27</v>
      </c>
      <c r="D8029" t="s">
        <v>11</v>
      </c>
      <c r="E8029" t="s">
        <v>67</v>
      </c>
      <c r="F8029">
        <v>88966936</v>
      </c>
      <c r="G8029">
        <v>88966944</v>
      </c>
      <c r="H8029">
        <v>88966936</v>
      </c>
      <c r="I8029">
        <v>88966944</v>
      </c>
    </row>
    <row r="8030" spans="1:9" x14ac:dyDescent="0.2">
      <c r="A8030" t="str">
        <f>"Gm15737"</f>
        <v>Gm15737</v>
      </c>
      <c r="B8030" t="s">
        <v>14</v>
      </c>
      <c r="C8030" t="s">
        <v>32</v>
      </c>
      <c r="D8030" t="s">
        <v>17</v>
      </c>
      <c r="E8030" t="s">
        <v>67</v>
      </c>
      <c r="F8030">
        <v>92869352</v>
      </c>
      <c r="G8030">
        <v>92869383</v>
      </c>
      <c r="H8030">
        <v>92869352</v>
      </c>
      <c r="I8030">
        <v>92869383</v>
      </c>
    </row>
    <row r="8031" spans="1:9" x14ac:dyDescent="0.2">
      <c r="A8031" t="str">
        <f>"Gm15800"</f>
        <v>Gm15800</v>
      </c>
      <c r="B8031" t="s">
        <v>14</v>
      </c>
      <c r="C8031" t="s">
        <v>46</v>
      </c>
      <c r="D8031" t="s">
        <v>17</v>
      </c>
      <c r="E8031" t="s">
        <v>12</v>
      </c>
      <c r="F8031">
        <v>121220191</v>
      </c>
      <c r="G8031">
        <v>121220243</v>
      </c>
      <c r="H8031">
        <v>121220247</v>
      </c>
      <c r="I8031">
        <v>121220274</v>
      </c>
    </row>
    <row r="8032" spans="1:9" x14ac:dyDescent="0.2">
      <c r="A8032" t="str">
        <f>"Gm15821"</f>
        <v>Gm15821</v>
      </c>
      <c r="B8032" t="s">
        <v>14</v>
      </c>
      <c r="C8032" t="s">
        <v>28</v>
      </c>
      <c r="D8032" t="s">
        <v>11</v>
      </c>
      <c r="E8032" t="s">
        <v>12</v>
      </c>
      <c r="F8032">
        <v>34214471</v>
      </c>
      <c r="G8032">
        <v>34214486</v>
      </c>
      <c r="H8032">
        <v>34214471</v>
      </c>
      <c r="I8032">
        <v>34214486</v>
      </c>
    </row>
    <row r="8033" spans="1:9" x14ac:dyDescent="0.2">
      <c r="A8033" t="str">
        <f>"Gm15831"</f>
        <v>Gm15831</v>
      </c>
      <c r="B8033" t="s">
        <v>2909</v>
      </c>
      <c r="C8033" t="s">
        <v>46</v>
      </c>
      <c r="D8033" t="s">
        <v>11</v>
      </c>
      <c r="E8033" t="s">
        <v>20</v>
      </c>
      <c r="F8033">
        <v>77122347</v>
      </c>
      <c r="G8033">
        <v>77122347</v>
      </c>
      <c r="H8033">
        <v>77122347</v>
      </c>
      <c r="I8033">
        <v>77122347</v>
      </c>
    </row>
    <row r="8034" spans="1:9" x14ac:dyDescent="0.2">
      <c r="A8034" t="str">
        <f>"Gm1587"</f>
        <v>Gm1587</v>
      </c>
      <c r="B8034" t="s">
        <v>2910</v>
      </c>
      <c r="C8034" t="s">
        <v>41</v>
      </c>
      <c r="D8034" t="s">
        <v>11</v>
      </c>
      <c r="E8034" t="s">
        <v>20</v>
      </c>
      <c r="F8034">
        <v>77798863</v>
      </c>
      <c r="G8034">
        <v>77798863</v>
      </c>
      <c r="H8034">
        <v>77798863</v>
      </c>
      <c r="I8034">
        <v>77798863</v>
      </c>
    </row>
    <row r="8035" spans="1:9" x14ac:dyDescent="0.2">
      <c r="A8035" t="str">
        <f>"Gm16039"</f>
        <v>Gm16039</v>
      </c>
      <c r="B8035" t="s">
        <v>14</v>
      </c>
      <c r="C8035" t="s">
        <v>32</v>
      </c>
      <c r="D8035" t="s">
        <v>17</v>
      </c>
      <c r="E8035" t="s">
        <v>12</v>
      </c>
      <c r="F8035">
        <v>8259295</v>
      </c>
      <c r="G8035">
        <v>8259312</v>
      </c>
      <c r="H8035">
        <v>8259295</v>
      </c>
      <c r="I8035">
        <v>8259312</v>
      </c>
    </row>
    <row r="8036" spans="1:9" x14ac:dyDescent="0.2">
      <c r="A8036" t="str">
        <f>"Gm1604A"</f>
        <v>Gm1604A</v>
      </c>
      <c r="B8036" t="s">
        <v>2911</v>
      </c>
      <c r="C8036" t="s">
        <v>28</v>
      </c>
      <c r="D8036" t="s">
        <v>11</v>
      </c>
      <c r="E8036" t="s">
        <v>20</v>
      </c>
      <c r="F8036">
        <v>8101227</v>
      </c>
      <c r="G8036">
        <v>8101227</v>
      </c>
      <c r="H8036">
        <v>8101227</v>
      </c>
      <c r="I8036">
        <v>8101227</v>
      </c>
    </row>
    <row r="8037" spans="1:9" x14ac:dyDescent="0.2">
      <c r="A8037" t="str">
        <f>"Gm1604b"</f>
        <v>Gm1604b</v>
      </c>
      <c r="B8037" t="s">
        <v>2912</v>
      </c>
      <c r="C8037" t="s">
        <v>28</v>
      </c>
      <c r="D8037" t="s">
        <v>17</v>
      </c>
      <c r="E8037" t="s">
        <v>20</v>
      </c>
      <c r="F8037">
        <v>7025836</v>
      </c>
      <c r="G8037">
        <v>7025836</v>
      </c>
      <c r="H8037">
        <v>7025836</v>
      </c>
      <c r="I8037">
        <v>7025836</v>
      </c>
    </row>
    <row r="8038" spans="1:9" x14ac:dyDescent="0.2">
      <c r="A8038" t="str">
        <f>"Gm16181"</f>
        <v>Gm16181</v>
      </c>
      <c r="B8038" t="s">
        <v>14</v>
      </c>
      <c r="C8038" t="s">
        <v>28</v>
      </c>
      <c r="D8038" t="s">
        <v>17</v>
      </c>
      <c r="E8038" t="s">
        <v>67</v>
      </c>
      <c r="F8038">
        <v>35220374</v>
      </c>
      <c r="G8038">
        <v>35220396</v>
      </c>
      <c r="H8038">
        <v>35220374</v>
      </c>
      <c r="I8038">
        <v>35220396</v>
      </c>
    </row>
    <row r="8039" spans="1:9" x14ac:dyDescent="0.2">
      <c r="A8039" t="str">
        <f>"Gm16223"</f>
        <v>Gm16223</v>
      </c>
      <c r="B8039" t="s">
        <v>2913</v>
      </c>
      <c r="C8039" t="s">
        <v>46</v>
      </c>
      <c r="D8039" t="s">
        <v>17</v>
      </c>
      <c r="E8039" t="s">
        <v>20</v>
      </c>
      <c r="F8039">
        <v>42067959</v>
      </c>
      <c r="G8039">
        <v>42067959</v>
      </c>
      <c r="H8039">
        <v>42067959</v>
      </c>
      <c r="I8039">
        <v>42067959</v>
      </c>
    </row>
    <row r="8040" spans="1:9" x14ac:dyDescent="0.2">
      <c r="A8040" t="str">
        <f>"Gm16253"</f>
        <v>Gm16253</v>
      </c>
      <c r="B8040" t="s">
        <v>14</v>
      </c>
      <c r="C8040" t="s">
        <v>22</v>
      </c>
      <c r="D8040" t="s">
        <v>17</v>
      </c>
      <c r="E8040" t="s">
        <v>67</v>
      </c>
      <c r="F8040">
        <v>96576978</v>
      </c>
      <c r="G8040">
        <v>96576989</v>
      </c>
      <c r="H8040">
        <v>96576978</v>
      </c>
      <c r="I8040">
        <v>96576989</v>
      </c>
    </row>
    <row r="8041" spans="1:9" x14ac:dyDescent="0.2">
      <c r="A8041" t="str">
        <f>"Gm16286"</f>
        <v>Gm16286</v>
      </c>
      <c r="B8041" t="s">
        <v>14</v>
      </c>
      <c r="C8041" t="s">
        <v>43</v>
      </c>
      <c r="D8041" t="s">
        <v>17</v>
      </c>
      <c r="E8041" t="s">
        <v>67</v>
      </c>
      <c r="F8041">
        <v>80206775</v>
      </c>
      <c r="G8041">
        <v>80206881</v>
      </c>
      <c r="H8041">
        <v>80206887</v>
      </c>
      <c r="I8041">
        <v>80206900</v>
      </c>
    </row>
    <row r="8042" spans="1:9" x14ac:dyDescent="0.2">
      <c r="A8042" t="str">
        <f>"Gm1631"</f>
        <v>Gm1631</v>
      </c>
      <c r="B8042" t="s">
        <v>14</v>
      </c>
      <c r="C8042" t="s">
        <v>26</v>
      </c>
      <c r="D8042" t="s">
        <v>17</v>
      </c>
      <c r="E8042" t="s">
        <v>12</v>
      </c>
      <c r="F8042">
        <v>71719386</v>
      </c>
      <c r="G8042">
        <v>71719390</v>
      </c>
      <c r="H8042">
        <v>71719386</v>
      </c>
      <c r="I8042">
        <v>71719390</v>
      </c>
    </row>
    <row r="8043" spans="1:9" x14ac:dyDescent="0.2">
      <c r="A8043" t="str">
        <f>"Gm16314"</f>
        <v>Gm16314</v>
      </c>
      <c r="B8043" t="s">
        <v>14</v>
      </c>
      <c r="C8043" t="s">
        <v>31</v>
      </c>
      <c r="D8043" t="s">
        <v>17</v>
      </c>
      <c r="E8043" t="s">
        <v>67</v>
      </c>
      <c r="F8043">
        <v>18498865</v>
      </c>
      <c r="G8043">
        <v>18498942</v>
      </c>
      <c r="H8043">
        <v>18498785</v>
      </c>
      <c r="I8043">
        <v>18498809</v>
      </c>
    </row>
    <row r="8044" spans="1:9" x14ac:dyDescent="0.2">
      <c r="A8044" t="str">
        <f>"Gm16368"</f>
        <v>Gm16368</v>
      </c>
      <c r="B8044" t="s">
        <v>2914</v>
      </c>
      <c r="C8044" t="s">
        <v>16</v>
      </c>
      <c r="D8044" t="s">
        <v>17</v>
      </c>
      <c r="E8044" t="s">
        <v>20</v>
      </c>
      <c r="F8044">
        <v>88083696</v>
      </c>
      <c r="G8044">
        <v>88083696</v>
      </c>
      <c r="H8044">
        <v>88083696</v>
      </c>
      <c r="I8044">
        <v>88083696</v>
      </c>
    </row>
    <row r="8045" spans="1:9" x14ac:dyDescent="0.2">
      <c r="A8045" t="str">
        <f>"Gm16372"</f>
        <v>Gm16372</v>
      </c>
      <c r="B8045" t="s">
        <v>14</v>
      </c>
      <c r="C8045" t="s">
        <v>16</v>
      </c>
      <c r="D8045" t="s">
        <v>11</v>
      </c>
      <c r="E8045" t="s">
        <v>67</v>
      </c>
      <c r="F8045">
        <v>24493719</v>
      </c>
      <c r="G8045">
        <v>24493735</v>
      </c>
      <c r="H8045">
        <v>24493711</v>
      </c>
      <c r="I8045">
        <v>24493718</v>
      </c>
    </row>
    <row r="8046" spans="1:9" x14ac:dyDescent="0.2">
      <c r="A8046" t="str">
        <f>"Gm16380"</f>
        <v>Gm16380</v>
      </c>
      <c r="B8046" t="s">
        <v>2915</v>
      </c>
      <c r="C8046" t="s">
        <v>24</v>
      </c>
      <c r="D8046" t="s">
        <v>17</v>
      </c>
      <c r="E8046" t="s">
        <v>20</v>
      </c>
      <c r="F8046">
        <v>53884081</v>
      </c>
      <c r="G8046">
        <v>53884081</v>
      </c>
      <c r="H8046">
        <v>53884081</v>
      </c>
      <c r="I8046">
        <v>53884081</v>
      </c>
    </row>
    <row r="8047" spans="1:9" x14ac:dyDescent="0.2">
      <c r="A8047" t="str">
        <f>"Gm16381"</f>
        <v>Gm16381</v>
      </c>
      <c r="B8047" t="s">
        <v>14</v>
      </c>
      <c r="C8047" t="s">
        <v>16</v>
      </c>
      <c r="D8047" t="s">
        <v>11</v>
      </c>
      <c r="E8047" t="s">
        <v>12</v>
      </c>
      <c r="F8047">
        <v>87649002</v>
      </c>
      <c r="G8047">
        <v>87649003</v>
      </c>
      <c r="H8047">
        <v>87649002</v>
      </c>
      <c r="I8047">
        <v>87649003</v>
      </c>
    </row>
    <row r="8048" spans="1:9" x14ac:dyDescent="0.2">
      <c r="A8048" t="str">
        <f>"Gm16390"</f>
        <v>Gm16390</v>
      </c>
      <c r="B8048" t="s">
        <v>14</v>
      </c>
      <c r="C8048" t="s">
        <v>37</v>
      </c>
      <c r="D8048" t="s">
        <v>11</v>
      </c>
      <c r="E8048" t="s">
        <v>12</v>
      </c>
      <c r="F8048">
        <v>154890270</v>
      </c>
      <c r="G8048">
        <v>154890314</v>
      </c>
      <c r="H8048">
        <v>154890270</v>
      </c>
      <c r="I8048">
        <v>154890314</v>
      </c>
    </row>
    <row r="8049" spans="1:9" x14ac:dyDescent="0.2">
      <c r="A8049" t="str">
        <f>"Gm16401"</f>
        <v>Gm16401</v>
      </c>
      <c r="B8049" t="s">
        <v>14</v>
      </c>
      <c r="C8049" t="s">
        <v>46</v>
      </c>
      <c r="D8049" t="s">
        <v>17</v>
      </c>
      <c r="E8049" t="s">
        <v>67</v>
      </c>
      <c r="F8049">
        <v>44100512</v>
      </c>
      <c r="G8049">
        <v>44100521</v>
      </c>
      <c r="H8049">
        <v>44100495</v>
      </c>
      <c r="I8049">
        <v>44100506</v>
      </c>
    </row>
    <row r="8050" spans="1:9" x14ac:dyDescent="0.2">
      <c r="A8050" t="str">
        <f>"Gm16405"</f>
        <v>Gm16405</v>
      </c>
      <c r="B8050" t="s">
        <v>2916</v>
      </c>
      <c r="C8050" t="s">
        <v>37</v>
      </c>
      <c r="D8050" t="s">
        <v>17</v>
      </c>
      <c r="E8050" t="s">
        <v>20</v>
      </c>
      <c r="F8050">
        <v>54532796</v>
      </c>
      <c r="G8050">
        <v>54532796</v>
      </c>
      <c r="H8050">
        <v>54532796</v>
      </c>
      <c r="I8050">
        <v>54532796</v>
      </c>
    </row>
    <row r="8051" spans="1:9" x14ac:dyDescent="0.2">
      <c r="A8051" t="str">
        <f>"Gm16405"</f>
        <v>Gm16405</v>
      </c>
      <c r="B8051" t="s">
        <v>2917</v>
      </c>
      <c r="C8051" t="s">
        <v>37</v>
      </c>
      <c r="D8051" t="s">
        <v>17</v>
      </c>
      <c r="E8051" t="s">
        <v>20</v>
      </c>
      <c r="F8051">
        <v>54531207</v>
      </c>
      <c r="G8051">
        <v>54531207</v>
      </c>
      <c r="H8051">
        <v>54531207</v>
      </c>
      <c r="I8051">
        <v>54531207</v>
      </c>
    </row>
    <row r="8052" spans="1:9" x14ac:dyDescent="0.2">
      <c r="A8052" t="str">
        <f>"Gm16427"</f>
        <v>Gm16427</v>
      </c>
      <c r="B8052" t="s">
        <v>2918</v>
      </c>
      <c r="C8052" t="s">
        <v>46</v>
      </c>
      <c r="D8052" t="s">
        <v>11</v>
      </c>
      <c r="E8052" t="s">
        <v>20</v>
      </c>
      <c r="F8052">
        <v>93485345</v>
      </c>
      <c r="G8052">
        <v>93485345</v>
      </c>
      <c r="H8052">
        <v>93485345</v>
      </c>
      <c r="I8052">
        <v>93485345</v>
      </c>
    </row>
    <row r="8053" spans="1:9" x14ac:dyDescent="0.2">
      <c r="A8053" t="str">
        <f>"Gm16429"</f>
        <v>Gm16429</v>
      </c>
      <c r="B8053" t="s">
        <v>2919</v>
      </c>
      <c r="C8053" t="s">
        <v>46</v>
      </c>
      <c r="D8053" t="s">
        <v>11</v>
      </c>
      <c r="E8053" t="s">
        <v>20</v>
      </c>
      <c r="F8053">
        <v>93927871</v>
      </c>
      <c r="G8053">
        <v>93927871</v>
      </c>
      <c r="H8053">
        <v>93927871</v>
      </c>
      <c r="I8053">
        <v>93927871</v>
      </c>
    </row>
    <row r="8054" spans="1:9" x14ac:dyDescent="0.2">
      <c r="A8054" t="str">
        <f>"Gm16430"</f>
        <v>Gm16430</v>
      </c>
      <c r="B8054" t="s">
        <v>2920</v>
      </c>
      <c r="C8054" t="s">
        <v>37</v>
      </c>
      <c r="D8054" t="s">
        <v>17</v>
      </c>
      <c r="E8054" t="s">
        <v>20</v>
      </c>
      <c r="F8054">
        <v>54623799</v>
      </c>
      <c r="G8054">
        <v>54623799</v>
      </c>
      <c r="H8054">
        <v>54623799</v>
      </c>
      <c r="I8054">
        <v>54623799</v>
      </c>
    </row>
    <row r="8055" spans="1:9" x14ac:dyDescent="0.2">
      <c r="A8055" t="str">
        <f>"Gm16430"</f>
        <v>Gm16430</v>
      </c>
      <c r="B8055" t="s">
        <v>2921</v>
      </c>
      <c r="C8055" t="s">
        <v>37</v>
      </c>
      <c r="D8055" t="s">
        <v>17</v>
      </c>
      <c r="E8055" t="s">
        <v>20</v>
      </c>
      <c r="F8055">
        <v>54622210</v>
      </c>
      <c r="G8055">
        <v>54622210</v>
      </c>
      <c r="H8055">
        <v>54622210</v>
      </c>
      <c r="I8055">
        <v>54622210</v>
      </c>
    </row>
    <row r="8056" spans="1:9" x14ac:dyDescent="0.2">
      <c r="A8056" t="str">
        <f>"Gm16432"</f>
        <v>Gm16432</v>
      </c>
      <c r="B8056" t="s">
        <v>14</v>
      </c>
      <c r="C8056" t="s">
        <v>19</v>
      </c>
      <c r="D8056" t="s">
        <v>17</v>
      </c>
      <c r="E8056" t="s">
        <v>12</v>
      </c>
      <c r="F8056">
        <v>177983427</v>
      </c>
      <c r="G8056">
        <v>177983463</v>
      </c>
      <c r="H8056">
        <v>177983273</v>
      </c>
      <c r="I8056">
        <v>177983299</v>
      </c>
    </row>
    <row r="8057" spans="1:9" x14ac:dyDescent="0.2">
      <c r="A8057" t="str">
        <f>"Gm16434"</f>
        <v>Gm16434</v>
      </c>
      <c r="B8057" t="s">
        <v>2922</v>
      </c>
      <c r="C8057" t="s">
        <v>41</v>
      </c>
      <c r="D8057" t="s">
        <v>11</v>
      </c>
      <c r="E8057" t="s">
        <v>20</v>
      </c>
      <c r="F8057">
        <v>7194498</v>
      </c>
      <c r="G8057">
        <v>7194498</v>
      </c>
      <c r="H8057">
        <v>7194498</v>
      </c>
      <c r="I8057">
        <v>7194498</v>
      </c>
    </row>
    <row r="8058" spans="1:9" x14ac:dyDescent="0.2">
      <c r="A8058" t="str">
        <f>"Gm16440"</f>
        <v>Gm16440</v>
      </c>
      <c r="B8058" t="s">
        <v>2923</v>
      </c>
      <c r="C8058" t="s">
        <v>41</v>
      </c>
      <c r="D8058" t="s">
        <v>11</v>
      </c>
      <c r="E8058" t="s">
        <v>20</v>
      </c>
      <c r="F8058">
        <v>6390318</v>
      </c>
      <c r="G8058">
        <v>6390318</v>
      </c>
      <c r="H8058">
        <v>6390318</v>
      </c>
      <c r="I8058">
        <v>6390318</v>
      </c>
    </row>
    <row r="8059" spans="1:9" x14ac:dyDescent="0.2">
      <c r="A8059" t="str">
        <f>"Gm16442"</f>
        <v>Gm16442</v>
      </c>
      <c r="B8059" t="s">
        <v>2924</v>
      </c>
      <c r="C8059" t="s">
        <v>33</v>
      </c>
      <c r="D8059" t="s">
        <v>11</v>
      </c>
      <c r="E8059" t="s">
        <v>20</v>
      </c>
      <c r="F8059">
        <v>20122578</v>
      </c>
      <c r="G8059">
        <v>20122578</v>
      </c>
      <c r="H8059">
        <v>20122578</v>
      </c>
      <c r="I8059">
        <v>20122578</v>
      </c>
    </row>
    <row r="8060" spans="1:9" x14ac:dyDescent="0.2">
      <c r="A8060" t="str">
        <f>"Gm1647"</f>
        <v>Gm1647</v>
      </c>
      <c r="B8060" t="s">
        <v>2925</v>
      </c>
      <c r="C8060" t="s">
        <v>22</v>
      </c>
      <c r="D8060" t="s">
        <v>17</v>
      </c>
      <c r="E8060" t="s">
        <v>20</v>
      </c>
      <c r="F8060">
        <v>69131232</v>
      </c>
      <c r="G8060">
        <v>69131232</v>
      </c>
      <c r="H8060">
        <v>69131232</v>
      </c>
      <c r="I8060">
        <v>69131232</v>
      </c>
    </row>
    <row r="8061" spans="1:9" x14ac:dyDescent="0.2">
      <c r="A8061" t="str">
        <f>"Gm16477"</f>
        <v>Gm16477</v>
      </c>
      <c r="B8061" t="s">
        <v>14</v>
      </c>
      <c r="C8061" t="s">
        <v>33</v>
      </c>
      <c r="D8061" t="s">
        <v>11</v>
      </c>
      <c r="E8061" t="s">
        <v>67</v>
      </c>
      <c r="F8061">
        <v>131615006</v>
      </c>
      <c r="G8061">
        <v>131615008</v>
      </c>
      <c r="H8061">
        <v>131615006</v>
      </c>
      <c r="I8061">
        <v>131615008</v>
      </c>
    </row>
    <row r="8062" spans="1:9" x14ac:dyDescent="0.2">
      <c r="A8062" t="str">
        <f>"Gm16485"</f>
        <v>Gm16485</v>
      </c>
      <c r="B8062" t="s">
        <v>2926</v>
      </c>
      <c r="C8062" t="s">
        <v>24</v>
      </c>
      <c r="D8062" t="s">
        <v>17</v>
      </c>
      <c r="E8062" t="s">
        <v>20</v>
      </c>
      <c r="F8062">
        <v>8971790</v>
      </c>
      <c r="G8062">
        <v>8971790</v>
      </c>
      <c r="H8062">
        <v>8971790</v>
      </c>
      <c r="I8062">
        <v>8971790</v>
      </c>
    </row>
    <row r="8063" spans="1:9" x14ac:dyDescent="0.2">
      <c r="A8063" t="str">
        <f>"Gm16490"</f>
        <v>Gm16490</v>
      </c>
      <c r="B8063" t="s">
        <v>2927</v>
      </c>
      <c r="C8063" t="s">
        <v>43</v>
      </c>
      <c r="D8063" t="s">
        <v>17</v>
      </c>
      <c r="E8063" t="s">
        <v>20</v>
      </c>
      <c r="F8063">
        <v>35770317</v>
      </c>
      <c r="G8063">
        <v>35770317</v>
      </c>
      <c r="H8063">
        <v>35770317</v>
      </c>
      <c r="I8063">
        <v>35770317</v>
      </c>
    </row>
    <row r="8064" spans="1:9" x14ac:dyDescent="0.2">
      <c r="A8064" t="str">
        <f>"Gm16493"</f>
        <v>Gm16493</v>
      </c>
      <c r="B8064" t="s">
        <v>14</v>
      </c>
      <c r="C8064" t="s">
        <v>24</v>
      </c>
      <c r="D8064" t="s">
        <v>17</v>
      </c>
      <c r="E8064" t="s">
        <v>67</v>
      </c>
      <c r="F8064">
        <v>57148201</v>
      </c>
      <c r="G8064">
        <v>57148214</v>
      </c>
      <c r="H8064">
        <v>57148306</v>
      </c>
      <c r="I8064">
        <v>57148334</v>
      </c>
    </row>
    <row r="8065" spans="1:9" x14ac:dyDescent="0.2">
      <c r="A8065" t="str">
        <f>"Gm16494"</f>
        <v>Gm16494</v>
      </c>
      <c r="B8065" t="s">
        <v>14</v>
      </c>
      <c r="C8065" t="s">
        <v>28</v>
      </c>
      <c r="D8065" t="s">
        <v>11</v>
      </c>
      <c r="E8065" t="s">
        <v>67</v>
      </c>
      <c r="F8065">
        <v>47017035</v>
      </c>
      <c r="G8065">
        <v>47017040</v>
      </c>
      <c r="H8065">
        <v>47017035</v>
      </c>
      <c r="I8065">
        <v>47017040</v>
      </c>
    </row>
    <row r="8066" spans="1:9" x14ac:dyDescent="0.2">
      <c r="A8066" t="str">
        <f>"Gm16499"</f>
        <v>Gm16499</v>
      </c>
      <c r="B8066" t="s">
        <v>2928</v>
      </c>
      <c r="C8066" t="s">
        <v>32</v>
      </c>
      <c r="D8066" t="s">
        <v>17</v>
      </c>
      <c r="E8066" t="s">
        <v>20</v>
      </c>
      <c r="F8066">
        <v>53819974</v>
      </c>
      <c r="G8066">
        <v>53819974</v>
      </c>
      <c r="H8066">
        <v>53819974</v>
      </c>
      <c r="I8066">
        <v>53819974</v>
      </c>
    </row>
    <row r="8067" spans="1:9" x14ac:dyDescent="0.2">
      <c r="A8067" t="str">
        <f>"Gm16501"</f>
        <v>Gm16501</v>
      </c>
      <c r="B8067" t="s">
        <v>2929</v>
      </c>
      <c r="C8067" t="s">
        <v>63</v>
      </c>
      <c r="D8067" t="s">
        <v>11</v>
      </c>
      <c r="E8067" t="s">
        <v>20</v>
      </c>
      <c r="F8067">
        <v>2720673</v>
      </c>
      <c r="G8067">
        <v>2720673</v>
      </c>
      <c r="H8067">
        <v>2720673</v>
      </c>
      <c r="I8067">
        <v>2720673</v>
      </c>
    </row>
    <row r="8068" spans="1:9" x14ac:dyDescent="0.2">
      <c r="A8068" t="str">
        <f>"Gm16503"</f>
        <v>Gm16503</v>
      </c>
      <c r="B8068" t="s">
        <v>2930</v>
      </c>
      <c r="C8068" t="s">
        <v>23</v>
      </c>
      <c r="D8068" t="s">
        <v>17</v>
      </c>
      <c r="E8068" t="s">
        <v>20</v>
      </c>
      <c r="F8068">
        <v>147540217</v>
      </c>
      <c r="G8068">
        <v>147540217</v>
      </c>
      <c r="H8068">
        <v>147540217</v>
      </c>
      <c r="I8068">
        <v>147540217</v>
      </c>
    </row>
    <row r="8069" spans="1:9" x14ac:dyDescent="0.2">
      <c r="A8069" t="str">
        <f>"Gm16505"</f>
        <v>Gm16505</v>
      </c>
      <c r="B8069" t="s">
        <v>2931</v>
      </c>
      <c r="C8069" t="s">
        <v>39</v>
      </c>
      <c r="D8069" t="s">
        <v>17</v>
      </c>
      <c r="E8069" t="s">
        <v>20</v>
      </c>
      <c r="F8069">
        <v>3361028</v>
      </c>
      <c r="G8069">
        <v>3361028</v>
      </c>
      <c r="H8069">
        <v>3361028</v>
      </c>
      <c r="I8069">
        <v>3361028</v>
      </c>
    </row>
    <row r="8070" spans="1:9" x14ac:dyDescent="0.2">
      <c r="A8070" t="str">
        <f>"Gm16506"</f>
        <v>Gm16506</v>
      </c>
      <c r="B8070" t="s">
        <v>2932</v>
      </c>
      <c r="C8070" t="s">
        <v>41</v>
      </c>
      <c r="D8070" t="s">
        <v>11</v>
      </c>
      <c r="E8070" t="s">
        <v>20</v>
      </c>
      <c r="F8070">
        <v>43727484</v>
      </c>
      <c r="G8070">
        <v>43727484</v>
      </c>
      <c r="H8070">
        <v>43727484</v>
      </c>
      <c r="I8070">
        <v>43727484</v>
      </c>
    </row>
    <row r="8071" spans="1:9" x14ac:dyDescent="0.2">
      <c r="A8071" t="str">
        <f>"Gm16513"</f>
        <v>Gm16513</v>
      </c>
      <c r="B8071" t="s">
        <v>2933</v>
      </c>
      <c r="C8071" t="s">
        <v>46</v>
      </c>
      <c r="D8071" t="s">
        <v>17</v>
      </c>
      <c r="E8071" t="s">
        <v>20</v>
      </c>
      <c r="F8071">
        <v>95190873</v>
      </c>
      <c r="G8071">
        <v>95190873</v>
      </c>
      <c r="H8071">
        <v>95190873</v>
      </c>
      <c r="I8071">
        <v>95190873</v>
      </c>
    </row>
    <row r="8072" spans="1:9" x14ac:dyDescent="0.2">
      <c r="A8072" t="str">
        <f>"Gm16515"</f>
        <v>Gm16515</v>
      </c>
      <c r="B8072" t="s">
        <v>14</v>
      </c>
      <c r="C8072" t="s">
        <v>27</v>
      </c>
      <c r="D8072" t="s">
        <v>11</v>
      </c>
      <c r="E8072" t="s">
        <v>12</v>
      </c>
      <c r="F8072">
        <v>60913775</v>
      </c>
      <c r="G8072">
        <v>60913816</v>
      </c>
      <c r="H8072">
        <v>60913757</v>
      </c>
      <c r="I8072">
        <v>60913771</v>
      </c>
    </row>
    <row r="8073" spans="1:9" x14ac:dyDescent="0.2">
      <c r="A8073" t="str">
        <f>"Gm16519"</f>
        <v>Gm16519</v>
      </c>
      <c r="B8073" t="s">
        <v>14</v>
      </c>
      <c r="C8073" t="s">
        <v>28</v>
      </c>
      <c r="D8073" t="s">
        <v>17</v>
      </c>
      <c r="E8073" t="s">
        <v>12</v>
      </c>
      <c r="F8073">
        <v>70929006</v>
      </c>
      <c r="G8073">
        <v>70929007</v>
      </c>
      <c r="H8073">
        <v>70929006</v>
      </c>
      <c r="I8073">
        <v>70929007</v>
      </c>
    </row>
    <row r="8074" spans="1:9" x14ac:dyDescent="0.2">
      <c r="A8074" t="str">
        <f>"Gm16522"</f>
        <v>Gm16522</v>
      </c>
      <c r="B8074" t="s">
        <v>2934</v>
      </c>
      <c r="C8074" t="s">
        <v>46</v>
      </c>
      <c r="D8074" t="s">
        <v>11</v>
      </c>
      <c r="E8074" t="s">
        <v>20</v>
      </c>
      <c r="F8074">
        <v>94306795</v>
      </c>
      <c r="G8074">
        <v>94306795</v>
      </c>
      <c r="H8074">
        <v>94306795</v>
      </c>
      <c r="I8074">
        <v>94306795</v>
      </c>
    </row>
    <row r="8075" spans="1:9" x14ac:dyDescent="0.2">
      <c r="A8075" t="str">
        <f>"Gm166"</f>
        <v>Gm166</v>
      </c>
      <c r="B8075" t="s">
        <v>14</v>
      </c>
      <c r="C8075" t="s">
        <v>33</v>
      </c>
      <c r="D8075" t="s">
        <v>11</v>
      </c>
      <c r="E8075" t="s">
        <v>12</v>
      </c>
      <c r="F8075">
        <v>127588145</v>
      </c>
      <c r="G8075">
        <v>127588190</v>
      </c>
      <c r="H8075">
        <v>127588145</v>
      </c>
      <c r="I8075">
        <v>127588190</v>
      </c>
    </row>
    <row r="8076" spans="1:9" x14ac:dyDescent="0.2">
      <c r="A8076" t="str">
        <f>"Gm1661"</f>
        <v>Gm1661</v>
      </c>
      <c r="B8076" t="s">
        <v>14</v>
      </c>
      <c r="C8076" t="s">
        <v>23</v>
      </c>
      <c r="D8076" t="s">
        <v>11</v>
      </c>
      <c r="E8076" t="s">
        <v>12</v>
      </c>
      <c r="F8076">
        <v>117251773</v>
      </c>
      <c r="G8076">
        <v>117251807</v>
      </c>
      <c r="H8076">
        <v>117251839</v>
      </c>
      <c r="I8076">
        <v>117251874</v>
      </c>
    </row>
    <row r="8077" spans="1:9" x14ac:dyDescent="0.2">
      <c r="A8077" t="str">
        <f>"Gm16686"</f>
        <v>Gm16686</v>
      </c>
      <c r="B8077" t="s">
        <v>2935</v>
      </c>
      <c r="C8077" t="s">
        <v>23</v>
      </c>
      <c r="D8077" t="s">
        <v>11</v>
      </c>
      <c r="E8077" t="s">
        <v>20</v>
      </c>
      <c r="F8077">
        <v>88755589</v>
      </c>
      <c r="G8077">
        <v>88755589</v>
      </c>
      <c r="H8077">
        <v>88755589</v>
      </c>
      <c r="I8077">
        <v>88755589</v>
      </c>
    </row>
    <row r="8078" spans="1:9" x14ac:dyDescent="0.2">
      <c r="A8078" t="str">
        <f>"Gm1673"</f>
        <v>Gm1673</v>
      </c>
      <c r="B8078" t="s">
        <v>14</v>
      </c>
      <c r="C8078" t="s">
        <v>46</v>
      </c>
      <c r="D8078" t="s">
        <v>17</v>
      </c>
      <c r="E8078" t="s">
        <v>12</v>
      </c>
      <c r="F8078">
        <v>33983479</v>
      </c>
      <c r="G8078">
        <v>33983529</v>
      </c>
      <c r="H8078">
        <v>33983537</v>
      </c>
      <c r="I8078">
        <v>33983548</v>
      </c>
    </row>
    <row r="8079" spans="1:9" x14ac:dyDescent="0.2">
      <c r="A8079" t="str">
        <f>"Gm16833"</f>
        <v>Gm16833</v>
      </c>
      <c r="B8079" t="s">
        <v>2936</v>
      </c>
      <c r="C8079" t="s">
        <v>24</v>
      </c>
      <c r="D8079" t="s">
        <v>17</v>
      </c>
      <c r="E8079" t="s">
        <v>20</v>
      </c>
      <c r="F8079">
        <v>9260682</v>
      </c>
      <c r="G8079">
        <v>9260682</v>
      </c>
      <c r="H8079">
        <v>9260682</v>
      </c>
      <c r="I8079">
        <v>9260682</v>
      </c>
    </row>
    <row r="8080" spans="1:9" x14ac:dyDescent="0.2">
      <c r="A8080" t="str">
        <f>"Gm17019"</f>
        <v>Gm17019</v>
      </c>
      <c r="B8080" t="s">
        <v>2937</v>
      </c>
      <c r="C8080" t="s">
        <v>46</v>
      </c>
      <c r="D8080" t="s">
        <v>11</v>
      </c>
      <c r="E8080" t="s">
        <v>20</v>
      </c>
      <c r="F8080">
        <v>15032997</v>
      </c>
      <c r="G8080">
        <v>15032997</v>
      </c>
      <c r="H8080">
        <v>15032997</v>
      </c>
      <c r="I8080">
        <v>15032997</v>
      </c>
    </row>
    <row r="8081" spans="1:9" x14ac:dyDescent="0.2">
      <c r="A8081" t="str">
        <f>"Gm17026"</f>
        <v>Gm17026</v>
      </c>
      <c r="B8081" t="s">
        <v>2938</v>
      </c>
      <c r="C8081" t="s">
        <v>41</v>
      </c>
      <c r="D8081" t="s">
        <v>11</v>
      </c>
      <c r="E8081" t="s">
        <v>20</v>
      </c>
      <c r="F8081">
        <v>42260047</v>
      </c>
      <c r="G8081">
        <v>42260047</v>
      </c>
      <c r="H8081">
        <v>42260047</v>
      </c>
      <c r="I8081">
        <v>42260047</v>
      </c>
    </row>
    <row r="8082" spans="1:9" x14ac:dyDescent="0.2">
      <c r="A8082" t="str">
        <f>"Gm17027"</f>
        <v>Gm17027</v>
      </c>
      <c r="B8082" t="s">
        <v>2939</v>
      </c>
      <c r="C8082" t="s">
        <v>41</v>
      </c>
      <c r="D8082" t="s">
        <v>11</v>
      </c>
      <c r="E8082" t="s">
        <v>20</v>
      </c>
      <c r="F8082">
        <v>42162621</v>
      </c>
      <c r="G8082">
        <v>42162621</v>
      </c>
      <c r="H8082">
        <v>42162621</v>
      </c>
      <c r="I8082">
        <v>42162621</v>
      </c>
    </row>
    <row r="8083" spans="1:9" x14ac:dyDescent="0.2">
      <c r="A8083" t="str">
        <f>"Gm17067"</f>
        <v>Gm17067</v>
      </c>
      <c r="B8083" t="s">
        <v>2940</v>
      </c>
      <c r="C8083" t="s">
        <v>33</v>
      </c>
      <c r="D8083" t="s">
        <v>11</v>
      </c>
      <c r="E8083" t="s">
        <v>20</v>
      </c>
      <c r="F8083">
        <v>42706368</v>
      </c>
      <c r="G8083">
        <v>42706368</v>
      </c>
      <c r="H8083">
        <v>42706368</v>
      </c>
      <c r="I8083">
        <v>42706368</v>
      </c>
    </row>
    <row r="8084" spans="1:9" x14ac:dyDescent="0.2">
      <c r="A8084" t="str">
        <f>"Gm17078"</f>
        <v>Gm17078</v>
      </c>
      <c r="B8084" t="s">
        <v>2941</v>
      </c>
      <c r="C8084" t="s">
        <v>41</v>
      </c>
      <c r="D8084" t="s">
        <v>11</v>
      </c>
      <c r="E8084" t="s">
        <v>20</v>
      </c>
      <c r="F8084">
        <v>51611309</v>
      </c>
      <c r="G8084">
        <v>51611309</v>
      </c>
      <c r="H8084">
        <v>51611309</v>
      </c>
      <c r="I8084">
        <v>51611309</v>
      </c>
    </row>
    <row r="8085" spans="1:9" x14ac:dyDescent="0.2">
      <c r="A8085" t="str">
        <f>"Gm17079"</f>
        <v>Gm17079</v>
      </c>
      <c r="B8085" t="s">
        <v>2942</v>
      </c>
      <c r="C8085" t="s">
        <v>41</v>
      </c>
      <c r="D8085" t="s">
        <v>11</v>
      </c>
      <c r="E8085" t="s">
        <v>20</v>
      </c>
      <c r="F8085">
        <v>51695447</v>
      </c>
      <c r="G8085">
        <v>51695447</v>
      </c>
      <c r="H8085">
        <v>51695447</v>
      </c>
      <c r="I8085">
        <v>51695447</v>
      </c>
    </row>
    <row r="8086" spans="1:9" x14ac:dyDescent="0.2">
      <c r="A8086" t="str">
        <f>"Gm17087"</f>
        <v>Gm17087</v>
      </c>
      <c r="B8086" t="s">
        <v>2943</v>
      </c>
      <c r="C8086" t="s">
        <v>28</v>
      </c>
      <c r="D8086" t="s">
        <v>11</v>
      </c>
      <c r="E8086" t="s">
        <v>20</v>
      </c>
      <c r="F8086">
        <v>8566868</v>
      </c>
      <c r="G8086">
        <v>8566868</v>
      </c>
      <c r="H8086">
        <v>8566868</v>
      </c>
      <c r="I8086">
        <v>8566868</v>
      </c>
    </row>
    <row r="8087" spans="1:9" x14ac:dyDescent="0.2">
      <c r="A8087" t="str">
        <f>"Gm17093"</f>
        <v>Gm17093</v>
      </c>
      <c r="B8087" t="s">
        <v>2944</v>
      </c>
      <c r="C8087" t="s">
        <v>41</v>
      </c>
      <c r="D8087" t="s">
        <v>17</v>
      </c>
      <c r="E8087" t="s">
        <v>20</v>
      </c>
      <c r="F8087">
        <v>44518275</v>
      </c>
      <c r="G8087">
        <v>44518275</v>
      </c>
      <c r="H8087">
        <v>44518275</v>
      </c>
      <c r="I8087">
        <v>44518275</v>
      </c>
    </row>
    <row r="8088" spans="1:9" x14ac:dyDescent="0.2">
      <c r="A8088" t="str">
        <f>"Gm17124"</f>
        <v>Gm17124</v>
      </c>
      <c r="B8088" t="s">
        <v>2945</v>
      </c>
      <c r="C8088" t="s">
        <v>41</v>
      </c>
      <c r="D8088" t="s">
        <v>11</v>
      </c>
      <c r="E8088" t="s">
        <v>20</v>
      </c>
      <c r="F8088">
        <v>42599881</v>
      </c>
      <c r="G8088">
        <v>42599881</v>
      </c>
      <c r="H8088">
        <v>42599881</v>
      </c>
      <c r="I8088">
        <v>42599881</v>
      </c>
    </row>
    <row r="8089" spans="1:9" x14ac:dyDescent="0.2">
      <c r="A8089" t="str">
        <f>"Gm17174"</f>
        <v>Gm17174</v>
      </c>
      <c r="B8089" t="s">
        <v>2946</v>
      </c>
      <c r="C8089" t="s">
        <v>41</v>
      </c>
      <c r="D8089" t="s">
        <v>11</v>
      </c>
      <c r="E8089" t="s">
        <v>20</v>
      </c>
      <c r="F8089">
        <v>51592135</v>
      </c>
      <c r="G8089">
        <v>51592135</v>
      </c>
      <c r="H8089">
        <v>51592135</v>
      </c>
      <c r="I8089">
        <v>51592135</v>
      </c>
    </row>
    <row r="8090" spans="1:9" x14ac:dyDescent="0.2">
      <c r="A8090" t="str">
        <f>"Gm17175"</f>
        <v>Gm17175</v>
      </c>
      <c r="B8090" t="s">
        <v>2947</v>
      </c>
      <c r="C8090" t="s">
        <v>41</v>
      </c>
      <c r="D8090" t="s">
        <v>11</v>
      </c>
      <c r="E8090" t="s">
        <v>20</v>
      </c>
      <c r="F8090">
        <v>51574062</v>
      </c>
      <c r="G8090">
        <v>51574062</v>
      </c>
      <c r="H8090">
        <v>51574062</v>
      </c>
      <c r="I8090">
        <v>51574062</v>
      </c>
    </row>
    <row r="8091" spans="1:9" x14ac:dyDescent="0.2">
      <c r="A8091" t="str">
        <f>"Gm17190"</f>
        <v>Gm17190</v>
      </c>
      <c r="B8091" t="s">
        <v>2948</v>
      </c>
      <c r="C8091" t="s">
        <v>39</v>
      </c>
      <c r="D8091" t="s">
        <v>17</v>
      </c>
      <c r="E8091" t="s">
        <v>20</v>
      </c>
      <c r="F8091">
        <v>96082157</v>
      </c>
      <c r="G8091">
        <v>96082157</v>
      </c>
      <c r="H8091">
        <v>96082157</v>
      </c>
      <c r="I8091">
        <v>96082157</v>
      </c>
    </row>
    <row r="8092" spans="1:9" x14ac:dyDescent="0.2">
      <c r="A8092" t="str">
        <f>"Gm17227"</f>
        <v>Gm17227</v>
      </c>
      <c r="B8092" t="s">
        <v>14</v>
      </c>
      <c r="C8092" t="s">
        <v>10</v>
      </c>
      <c r="D8092" t="s">
        <v>17</v>
      </c>
      <c r="E8092" t="s">
        <v>67</v>
      </c>
      <c r="F8092">
        <v>7297674</v>
      </c>
      <c r="G8092">
        <v>7297693</v>
      </c>
      <c r="H8092">
        <v>7297666</v>
      </c>
      <c r="I8092">
        <v>7297671</v>
      </c>
    </row>
    <row r="8093" spans="1:9" x14ac:dyDescent="0.2">
      <c r="A8093" t="str">
        <f>"Gm17231"</f>
        <v>Gm17231</v>
      </c>
      <c r="B8093" t="s">
        <v>14</v>
      </c>
      <c r="C8093" t="s">
        <v>24</v>
      </c>
      <c r="D8093" t="s">
        <v>17</v>
      </c>
      <c r="E8093" t="s">
        <v>67</v>
      </c>
      <c r="F8093">
        <v>57825918</v>
      </c>
      <c r="G8093">
        <v>57825945</v>
      </c>
      <c r="H8093">
        <v>57825918</v>
      </c>
      <c r="I8093">
        <v>57825945</v>
      </c>
    </row>
    <row r="8094" spans="1:9" x14ac:dyDescent="0.2">
      <c r="A8094" t="str">
        <f>"Gm17244"</f>
        <v>Gm17244</v>
      </c>
      <c r="B8094" t="s">
        <v>2949</v>
      </c>
      <c r="C8094" t="s">
        <v>23</v>
      </c>
      <c r="D8094" t="s">
        <v>11</v>
      </c>
      <c r="E8094" t="s">
        <v>20</v>
      </c>
      <c r="F8094">
        <v>123116685</v>
      </c>
      <c r="G8094">
        <v>123116685</v>
      </c>
      <c r="H8094">
        <v>123116685</v>
      </c>
      <c r="I8094">
        <v>123116685</v>
      </c>
    </row>
    <row r="8095" spans="1:9" x14ac:dyDescent="0.2">
      <c r="A8095" t="str">
        <f>"Gm17252"</f>
        <v>Gm17252</v>
      </c>
      <c r="B8095" t="s">
        <v>14</v>
      </c>
      <c r="C8095" t="s">
        <v>24</v>
      </c>
      <c r="D8095" t="s">
        <v>11</v>
      </c>
      <c r="E8095" t="s">
        <v>12</v>
      </c>
      <c r="F8095">
        <v>35687386</v>
      </c>
      <c r="G8095">
        <v>35687391</v>
      </c>
      <c r="H8095">
        <v>35687386</v>
      </c>
      <c r="I8095">
        <v>35687391</v>
      </c>
    </row>
    <row r="8096" spans="1:9" x14ac:dyDescent="0.2">
      <c r="A8096" t="str">
        <f>"Gm17267"</f>
        <v>Gm17267</v>
      </c>
      <c r="B8096" t="s">
        <v>2950</v>
      </c>
      <c r="C8096" t="s">
        <v>37</v>
      </c>
      <c r="D8096" t="s">
        <v>17</v>
      </c>
      <c r="E8096" t="s">
        <v>20</v>
      </c>
      <c r="F8096">
        <v>126017556</v>
      </c>
      <c r="G8096">
        <v>126017556</v>
      </c>
      <c r="H8096">
        <v>126017556</v>
      </c>
      <c r="I8096">
        <v>126017556</v>
      </c>
    </row>
    <row r="8097" spans="1:9" x14ac:dyDescent="0.2">
      <c r="A8097" t="str">
        <f>"Gm17268"</f>
        <v>Gm17268</v>
      </c>
      <c r="B8097" t="s">
        <v>2951</v>
      </c>
      <c r="C8097" t="s">
        <v>27</v>
      </c>
      <c r="D8097" t="s">
        <v>11</v>
      </c>
      <c r="E8097" t="s">
        <v>20</v>
      </c>
      <c r="F8097">
        <v>82038561</v>
      </c>
      <c r="G8097">
        <v>82038561</v>
      </c>
      <c r="H8097">
        <v>82038561</v>
      </c>
      <c r="I8097">
        <v>82038561</v>
      </c>
    </row>
    <row r="8098" spans="1:9" x14ac:dyDescent="0.2">
      <c r="A8098" t="str">
        <f>"Gm17271"</f>
        <v>Gm17271</v>
      </c>
      <c r="B8098" t="s">
        <v>2952</v>
      </c>
      <c r="C8098" t="s">
        <v>25</v>
      </c>
      <c r="D8098" t="s">
        <v>17</v>
      </c>
      <c r="E8098" t="s">
        <v>20</v>
      </c>
      <c r="F8098">
        <v>76797627</v>
      </c>
      <c r="G8098">
        <v>76797627</v>
      </c>
      <c r="H8098">
        <v>76797627</v>
      </c>
      <c r="I8098">
        <v>76797627</v>
      </c>
    </row>
    <row r="8099" spans="1:9" x14ac:dyDescent="0.2">
      <c r="A8099" t="str">
        <f>"Gm17296"</f>
        <v>Gm17296</v>
      </c>
      <c r="B8099" t="s">
        <v>14</v>
      </c>
      <c r="C8099" t="s">
        <v>30</v>
      </c>
      <c r="D8099" t="s">
        <v>11</v>
      </c>
      <c r="E8099" t="s">
        <v>12</v>
      </c>
      <c r="F8099">
        <v>126475062</v>
      </c>
      <c r="G8099">
        <v>126475097</v>
      </c>
      <c r="H8099">
        <v>126475100</v>
      </c>
      <c r="I8099">
        <v>126475109</v>
      </c>
    </row>
    <row r="8100" spans="1:9" x14ac:dyDescent="0.2">
      <c r="A8100" t="str">
        <f>"Gm17304"</f>
        <v>Gm17304</v>
      </c>
      <c r="B8100" t="s">
        <v>2953</v>
      </c>
      <c r="C8100" t="s">
        <v>46</v>
      </c>
      <c r="D8100" t="s">
        <v>17</v>
      </c>
      <c r="E8100" t="s">
        <v>20</v>
      </c>
      <c r="F8100">
        <v>106609097</v>
      </c>
      <c r="G8100">
        <v>106609097</v>
      </c>
      <c r="H8100">
        <v>106609097</v>
      </c>
      <c r="I8100">
        <v>106609097</v>
      </c>
    </row>
    <row r="8101" spans="1:9" x14ac:dyDescent="0.2">
      <c r="A8101" t="str">
        <f>"Gm17305"</f>
        <v>Gm17305</v>
      </c>
      <c r="B8101" t="s">
        <v>14</v>
      </c>
      <c r="C8101" t="s">
        <v>27</v>
      </c>
      <c r="D8101" t="s">
        <v>17</v>
      </c>
      <c r="E8101" t="s">
        <v>67</v>
      </c>
      <c r="F8101">
        <v>69364010</v>
      </c>
      <c r="G8101">
        <v>69364041</v>
      </c>
      <c r="H8101">
        <v>69364001</v>
      </c>
      <c r="I8101">
        <v>69364006</v>
      </c>
    </row>
    <row r="8102" spans="1:9" x14ac:dyDescent="0.2">
      <c r="A8102" t="str">
        <f>"Gm17324"</f>
        <v>Gm17324</v>
      </c>
      <c r="B8102" t="s">
        <v>14</v>
      </c>
      <c r="C8102" t="s">
        <v>24</v>
      </c>
      <c r="D8102" t="s">
        <v>11</v>
      </c>
      <c r="E8102" t="s">
        <v>67</v>
      </c>
      <c r="F8102">
        <v>78448730</v>
      </c>
      <c r="G8102">
        <v>78448766</v>
      </c>
      <c r="H8102">
        <v>78448730</v>
      </c>
      <c r="I8102">
        <v>78448766</v>
      </c>
    </row>
    <row r="8103" spans="1:9" x14ac:dyDescent="0.2">
      <c r="A8103" t="str">
        <f>"Gm17330"</f>
        <v>Gm17330</v>
      </c>
      <c r="B8103" t="s">
        <v>2954</v>
      </c>
      <c r="C8103" t="s">
        <v>16</v>
      </c>
      <c r="D8103" t="s">
        <v>11</v>
      </c>
      <c r="E8103" t="s">
        <v>20</v>
      </c>
      <c r="F8103">
        <v>23968844</v>
      </c>
      <c r="G8103">
        <v>23968844</v>
      </c>
      <c r="H8103">
        <v>23968844</v>
      </c>
      <c r="I8103">
        <v>23968844</v>
      </c>
    </row>
    <row r="8104" spans="1:9" x14ac:dyDescent="0.2">
      <c r="A8104" t="str">
        <f>"Gm17332"</f>
        <v>Gm17332</v>
      </c>
      <c r="B8104" t="s">
        <v>2955</v>
      </c>
      <c r="C8104" t="s">
        <v>27</v>
      </c>
      <c r="D8104" t="s">
        <v>11</v>
      </c>
      <c r="E8104" t="s">
        <v>20</v>
      </c>
      <c r="F8104">
        <v>31182461</v>
      </c>
      <c r="G8104">
        <v>31182461</v>
      </c>
      <c r="H8104">
        <v>31182461</v>
      </c>
      <c r="I8104">
        <v>31182461</v>
      </c>
    </row>
    <row r="8105" spans="1:9" x14ac:dyDescent="0.2">
      <c r="A8105" t="str">
        <f>"Gm17333"</f>
        <v>Gm17333</v>
      </c>
      <c r="B8105" t="s">
        <v>2956</v>
      </c>
      <c r="C8105" t="s">
        <v>31</v>
      </c>
      <c r="D8105" t="s">
        <v>17</v>
      </c>
      <c r="E8105" t="s">
        <v>20</v>
      </c>
      <c r="F8105">
        <v>77846692</v>
      </c>
      <c r="G8105">
        <v>77846692</v>
      </c>
      <c r="H8105">
        <v>77846692</v>
      </c>
      <c r="I8105">
        <v>77846692</v>
      </c>
    </row>
    <row r="8106" spans="1:9" x14ac:dyDescent="0.2">
      <c r="A8106" t="str">
        <f>"Gm17334"</f>
        <v>Gm17334</v>
      </c>
      <c r="B8106" t="s">
        <v>2957</v>
      </c>
      <c r="C8106" t="s">
        <v>27</v>
      </c>
      <c r="D8106" t="s">
        <v>11</v>
      </c>
      <c r="E8106" t="s">
        <v>20</v>
      </c>
      <c r="F8106">
        <v>53773186</v>
      </c>
      <c r="G8106">
        <v>53773186</v>
      </c>
      <c r="H8106">
        <v>53773186</v>
      </c>
      <c r="I8106">
        <v>53773186</v>
      </c>
    </row>
    <row r="8107" spans="1:9" x14ac:dyDescent="0.2">
      <c r="A8107" t="str">
        <f>"Gm17349"</f>
        <v>Gm17349</v>
      </c>
      <c r="B8107" t="s">
        <v>2958</v>
      </c>
      <c r="C8107" t="s">
        <v>25</v>
      </c>
      <c r="D8107" t="s">
        <v>11</v>
      </c>
      <c r="E8107" t="s">
        <v>20</v>
      </c>
      <c r="F8107">
        <v>99705489</v>
      </c>
      <c r="G8107">
        <v>99705489</v>
      </c>
      <c r="H8107">
        <v>99705489</v>
      </c>
      <c r="I8107">
        <v>99705489</v>
      </c>
    </row>
    <row r="8108" spans="1:9" x14ac:dyDescent="0.2">
      <c r="A8108" t="str">
        <f>"Gm17359"</f>
        <v>Gm17359</v>
      </c>
      <c r="B8108" t="s">
        <v>14</v>
      </c>
      <c r="C8108" t="s">
        <v>22</v>
      </c>
      <c r="D8108" t="s">
        <v>17</v>
      </c>
      <c r="E8108" t="s">
        <v>12</v>
      </c>
      <c r="F8108">
        <v>79345361</v>
      </c>
      <c r="G8108">
        <v>79345380</v>
      </c>
      <c r="H8108">
        <v>79345361</v>
      </c>
      <c r="I8108">
        <v>79345380</v>
      </c>
    </row>
    <row r="8109" spans="1:9" x14ac:dyDescent="0.2">
      <c r="A8109" t="str">
        <f>"Gm17361"</f>
        <v>Gm17361</v>
      </c>
      <c r="B8109" t="s">
        <v>2959</v>
      </c>
      <c r="C8109" t="s">
        <v>37</v>
      </c>
      <c r="D8109" t="s">
        <v>17</v>
      </c>
      <c r="E8109" t="s">
        <v>20</v>
      </c>
      <c r="F8109">
        <v>125004162</v>
      </c>
      <c r="G8109">
        <v>125004162</v>
      </c>
      <c r="H8109">
        <v>125004162</v>
      </c>
      <c r="I8109">
        <v>125004162</v>
      </c>
    </row>
    <row r="8110" spans="1:9" x14ac:dyDescent="0.2">
      <c r="A8110" t="str">
        <f>"Gm17364"</f>
        <v>Gm17364</v>
      </c>
      <c r="B8110" t="s">
        <v>2960</v>
      </c>
      <c r="C8110" t="s">
        <v>39</v>
      </c>
      <c r="D8110" t="s">
        <v>11</v>
      </c>
      <c r="E8110" t="s">
        <v>20</v>
      </c>
      <c r="F8110">
        <v>41273976</v>
      </c>
      <c r="G8110">
        <v>41273976</v>
      </c>
      <c r="H8110">
        <v>41273976</v>
      </c>
      <c r="I8110">
        <v>41273976</v>
      </c>
    </row>
    <row r="8111" spans="1:9" x14ac:dyDescent="0.2">
      <c r="A8111" t="str">
        <f>"Gm17365"</f>
        <v>Gm17365</v>
      </c>
      <c r="B8111" t="s">
        <v>14</v>
      </c>
      <c r="C8111" t="s">
        <v>24</v>
      </c>
      <c r="D8111" t="s">
        <v>11</v>
      </c>
      <c r="E8111" t="s">
        <v>12</v>
      </c>
      <c r="F8111">
        <v>35648193</v>
      </c>
      <c r="G8111">
        <v>35648208</v>
      </c>
      <c r="H8111">
        <v>35648169</v>
      </c>
      <c r="I8111">
        <v>35648180</v>
      </c>
    </row>
    <row r="8112" spans="1:9" x14ac:dyDescent="0.2">
      <c r="A8112" t="str">
        <f>"Gm17374"</f>
        <v>Gm17374</v>
      </c>
      <c r="B8112" t="s">
        <v>2961</v>
      </c>
      <c r="C8112" t="s">
        <v>26</v>
      </c>
      <c r="D8112" t="s">
        <v>17</v>
      </c>
      <c r="E8112" t="s">
        <v>20</v>
      </c>
      <c r="F8112">
        <v>140152042</v>
      </c>
      <c r="G8112">
        <v>140152042</v>
      </c>
      <c r="H8112">
        <v>140152042</v>
      </c>
      <c r="I8112">
        <v>140152042</v>
      </c>
    </row>
    <row r="8113" spans="1:9" x14ac:dyDescent="0.2">
      <c r="A8113" t="str">
        <f>"Gm17384"</f>
        <v>Gm17384</v>
      </c>
      <c r="B8113" t="s">
        <v>2962</v>
      </c>
      <c r="C8113" t="s">
        <v>46</v>
      </c>
      <c r="D8113" t="s">
        <v>17</v>
      </c>
      <c r="E8113" t="s">
        <v>20</v>
      </c>
      <c r="F8113">
        <v>62813822</v>
      </c>
      <c r="G8113">
        <v>62813822</v>
      </c>
      <c r="H8113">
        <v>62813822</v>
      </c>
      <c r="I8113">
        <v>62813822</v>
      </c>
    </row>
    <row r="8114" spans="1:9" x14ac:dyDescent="0.2">
      <c r="A8114" t="str">
        <f>"Gm17387"</f>
        <v>Gm17387</v>
      </c>
      <c r="B8114" t="s">
        <v>2963</v>
      </c>
      <c r="C8114" t="s">
        <v>33</v>
      </c>
      <c r="D8114" t="s">
        <v>17</v>
      </c>
      <c r="E8114" t="s">
        <v>20</v>
      </c>
      <c r="F8114">
        <v>141029130</v>
      </c>
      <c r="G8114">
        <v>141029130</v>
      </c>
      <c r="H8114">
        <v>141029130</v>
      </c>
      <c r="I8114">
        <v>141029130</v>
      </c>
    </row>
    <row r="8115" spans="1:9" x14ac:dyDescent="0.2">
      <c r="A8115" t="str">
        <f>"Gm17391"</f>
        <v>Gm17391</v>
      </c>
      <c r="B8115" t="s">
        <v>2964</v>
      </c>
      <c r="C8115" t="s">
        <v>16</v>
      </c>
      <c r="D8115" t="s">
        <v>11</v>
      </c>
      <c r="E8115" t="s">
        <v>20</v>
      </c>
      <c r="F8115">
        <v>22623086</v>
      </c>
      <c r="G8115">
        <v>22623086</v>
      </c>
      <c r="H8115">
        <v>22623086</v>
      </c>
      <c r="I8115">
        <v>22623086</v>
      </c>
    </row>
    <row r="8116" spans="1:9" x14ac:dyDescent="0.2">
      <c r="A8116" t="str">
        <f>"Gm17402"</f>
        <v>Gm17402</v>
      </c>
      <c r="B8116" t="s">
        <v>2965</v>
      </c>
      <c r="C8116" t="s">
        <v>22</v>
      </c>
      <c r="D8116" t="s">
        <v>11</v>
      </c>
      <c r="E8116" t="s">
        <v>20</v>
      </c>
      <c r="F8116">
        <v>67375162</v>
      </c>
      <c r="G8116">
        <v>67375162</v>
      </c>
      <c r="H8116">
        <v>67375162</v>
      </c>
      <c r="I8116">
        <v>67375162</v>
      </c>
    </row>
    <row r="8117" spans="1:9" x14ac:dyDescent="0.2">
      <c r="A8117" t="str">
        <f>"Gm17404"</f>
        <v>Gm17404</v>
      </c>
      <c r="B8117" t="s">
        <v>2966</v>
      </c>
      <c r="C8117" t="s">
        <v>39</v>
      </c>
      <c r="D8117" t="s">
        <v>11</v>
      </c>
      <c r="E8117" t="s">
        <v>20</v>
      </c>
      <c r="F8117">
        <v>66851512</v>
      </c>
      <c r="G8117">
        <v>66851512</v>
      </c>
      <c r="H8117">
        <v>66851512</v>
      </c>
      <c r="I8117">
        <v>66851512</v>
      </c>
    </row>
    <row r="8118" spans="1:9" x14ac:dyDescent="0.2">
      <c r="A8118" t="str">
        <f>"Gm17409"</f>
        <v>Gm17409</v>
      </c>
      <c r="B8118" t="s">
        <v>2967</v>
      </c>
      <c r="C8118" t="s">
        <v>26</v>
      </c>
      <c r="D8118" t="s">
        <v>17</v>
      </c>
      <c r="E8118" t="s">
        <v>20</v>
      </c>
      <c r="F8118">
        <v>58470115</v>
      </c>
      <c r="G8118">
        <v>58470115</v>
      </c>
      <c r="H8118">
        <v>58470115</v>
      </c>
      <c r="I8118">
        <v>58470115</v>
      </c>
    </row>
    <row r="8119" spans="1:9" x14ac:dyDescent="0.2">
      <c r="A8119" t="str">
        <f>"Gm17412"</f>
        <v>Gm17412</v>
      </c>
      <c r="B8119" t="s">
        <v>2968</v>
      </c>
      <c r="C8119" t="s">
        <v>37</v>
      </c>
      <c r="D8119" t="s">
        <v>11</v>
      </c>
      <c r="E8119" t="s">
        <v>20</v>
      </c>
      <c r="F8119">
        <v>123483807</v>
      </c>
      <c r="G8119">
        <v>123483807</v>
      </c>
      <c r="H8119">
        <v>123483807</v>
      </c>
      <c r="I8119">
        <v>123483807</v>
      </c>
    </row>
    <row r="8120" spans="1:9" x14ac:dyDescent="0.2">
      <c r="A8120" t="str">
        <f>"Gm17415"</f>
        <v>Gm17415</v>
      </c>
      <c r="B8120" t="s">
        <v>14</v>
      </c>
      <c r="C8120" t="s">
        <v>19</v>
      </c>
      <c r="D8120" t="s">
        <v>17</v>
      </c>
      <c r="E8120" t="s">
        <v>67</v>
      </c>
      <c r="F8120">
        <v>93421659</v>
      </c>
      <c r="G8120">
        <v>93421674</v>
      </c>
      <c r="H8120">
        <v>93421659</v>
      </c>
      <c r="I8120">
        <v>93421674</v>
      </c>
    </row>
    <row r="8121" spans="1:9" x14ac:dyDescent="0.2">
      <c r="A8121" t="str">
        <f>"Gm17416"</f>
        <v>Gm17416</v>
      </c>
      <c r="B8121" t="s">
        <v>2969</v>
      </c>
      <c r="C8121" t="s">
        <v>26</v>
      </c>
      <c r="D8121" t="s">
        <v>17</v>
      </c>
      <c r="E8121" t="s">
        <v>20</v>
      </c>
      <c r="F8121">
        <v>152569337</v>
      </c>
      <c r="G8121">
        <v>152569337</v>
      </c>
      <c r="H8121">
        <v>152569337</v>
      </c>
      <c r="I8121">
        <v>152569337</v>
      </c>
    </row>
    <row r="8122" spans="1:9" x14ac:dyDescent="0.2">
      <c r="A8122" t="str">
        <f>"Gm17421"</f>
        <v>Gm17421</v>
      </c>
      <c r="B8122" t="s">
        <v>2970</v>
      </c>
      <c r="C8122" t="s">
        <v>16</v>
      </c>
      <c r="D8122" t="s">
        <v>17</v>
      </c>
      <c r="E8122" t="s">
        <v>20</v>
      </c>
      <c r="F8122">
        <v>113364446</v>
      </c>
      <c r="G8122">
        <v>113364446</v>
      </c>
      <c r="H8122">
        <v>113364446</v>
      </c>
      <c r="I8122">
        <v>113364446</v>
      </c>
    </row>
    <row r="8123" spans="1:9" x14ac:dyDescent="0.2">
      <c r="A8123" t="str">
        <f>"Gm17428"</f>
        <v>Gm17428</v>
      </c>
      <c r="B8123" t="s">
        <v>14</v>
      </c>
      <c r="C8123" t="s">
        <v>41</v>
      </c>
      <c r="D8123" t="s">
        <v>17</v>
      </c>
      <c r="E8123" t="s">
        <v>67</v>
      </c>
      <c r="F8123">
        <v>54976816</v>
      </c>
      <c r="G8123">
        <v>54976832</v>
      </c>
      <c r="H8123">
        <v>54976774</v>
      </c>
      <c r="I8123">
        <v>54976782</v>
      </c>
    </row>
    <row r="8124" spans="1:9" x14ac:dyDescent="0.2">
      <c r="A8124" t="str">
        <f>"Gm17430"</f>
        <v>Gm17430</v>
      </c>
      <c r="B8124" t="s">
        <v>2971</v>
      </c>
      <c r="C8124" t="s">
        <v>43</v>
      </c>
      <c r="D8124" t="s">
        <v>11</v>
      </c>
      <c r="E8124" t="s">
        <v>20</v>
      </c>
      <c r="F8124">
        <v>9726669</v>
      </c>
      <c r="G8124">
        <v>9726669</v>
      </c>
      <c r="H8124">
        <v>9726669</v>
      </c>
      <c r="I8124">
        <v>9726669</v>
      </c>
    </row>
    <row r="8125" spans="1:9" x14ac:dyDescent="0.2">
      <c r="A8125" t="str">
        <f>"Gm17449"</f>
        <v>Gm17449</v>
      </c>
      <c r="B8125" t="s">
        <v>2972</v>
      </c>
      <c r="C8125" t="s">
        <v>39</v>
      </c>
      <c r="D8125" t="s">
        <v>11</v>
      </c>
      <c r="E8125" t="s">
        <v>20</v>
      </c>
      <c r="F8125">
        <v>66852016</v>
      </c>
      <c r="G8125">
        <v>66852016</v>
      </c>
      <c r="H8125">
        <v>66852016</v>
      </c>
      <c r="I8125">
        <v>66852016</v>
      </c>
    </row>
    <row r="8126" spans="1:9" x14ac:dyDescent="0.2">
      <c r="A8126" t="str">
        <f>"Gm17455"</f>
        <v>Gm17455</v>
      </c>
      <c r="B8126" t="s">
        <v>14</v>
      </c>
      <c r="C8126" t="s">
        <v>15</v>
      </c>
      <c r="D8126" t="s">
        <v>17</v>
      </c>
      <c r="E8126" t="s">
        <v>12</v>
      </c>
      <c r="F8126">
        <v>60399849</v>
      </c>
      <c r="G8126">
        <v>60399876</v>
      </c>
      <c r="H8126">
        <v>60399749</v>
      </c>
      <c r="I8126">
        <v>60399772</v>
      </c>
    </row>
    <row r="8127" spans="1:9" x14ac:dyDescent="0.2">
      <c r="A8127" t="str">
        <f>"Gm17467"</f>
        <v>Gm17467</v>
      </c>
      <c r="B8127" t="s">
        <v>2973</v>
      </c>
      <c r="C8127" t="s">
        <v>37</v>
      </c>
      <c r="D8127" t="s">
        <v>11</v>
      </c>
      <c r="E8127" t="s">
        <v>20</v>
      </c>
      <c r="F8127">
        <v>123704790</v>
      </c>
      <c r="G8127">
        <v>123704790</v>
      </c>
      <c r="H8127">
        <v>123704790</v>
      </c>
      <c r="I8127">
        <v>123704790</v>
      </c>
    </row>
    <row r="8128" spans="1:9" x14ac:dyDescent="0.2">
      <c r="A8128" t="str">
        <f>"Gm17469"</f>
        <v>Gm17469</v>
      </c>
      <c r="B8128" t="s">
        <v>2974</v>
      </c>
      <c r="C8128" t="s">
        <v>37</v>
      </c>
      <c r="D8128" t="s">
        <v>17</v>
      </c>
      <c r="E8128" t="s">
        <v>20</v>
      </c>
      <c r="F8128">
        <v>124629892</v>
      </c>
      <c r="G8128">
        <v>124629892</v>
      </c>
      <c r="H8128">
        <v>124629892</v>
      </c>
      <c r="I8128">
        <v>124629892</v>
      </c>
    </row>
    <row r="8129" spans="1:9" x14ac:dyDescent="0.2">
      <c r="A8129" t="str">
        <f>"Gm17482"</f>
        <v>Gm17482</v>
      </c>
      <c r="B8129" t="s">
        <v>2975</v>
      </c>
      <c r="C8129" t="s">
        <v>32</v>
      </c>
      <c r="D8129" t="s">
        <v>17</v>
      </c>
      <c r="E8129" t="s">
        <v>20</v>
      </c>
      <c r="F8129">
        <v>115227342</v>
      </c>
      <c r="G8129">
        <v>115227342</v>
      </c>
      <c r="H8129">
        <v>115227342</v>
      </c>
      <c r="I8129">
        <v>115227342</v>
      </c>
    </row>
    <row r="8130" spans="1:9" x14ac:dyDescent="0.2">
      <c r="A8130" t="str">
        <f>"Gm17484"</f>
        <v>Gm17484</v>
      </c>
      <c r="B8130" t="s">
        <v>14</v>
      </c>
      <c r="C8130" t="s">
        <v>30</v>
      </c>
      <c r="D8130" t="s">
        <v>17</v>
      </c>
      <c r="E8130" t="s">
        <v>67</v>
      </c>
      <c r="F8130">
        <v>25754462</v>
      </c>
      <c r="G8130">
        <v>25754485</v>
      </c>
      <c r="H8130">
        <v>25754492</v>
      </c>
      <c r="I8130">
        <v>25754514</v>
      </c>
    </row>
    <row r="8131" spans="1:9" x14ac:dyDescent="0.2">
      <c r="A8131" t="str">
        <f>"Gm17490"</f>
        <v>Gm17490</v>
      </c>
      <c r="B8131" t="s">
        <v>2976</v>
      </c>
      <c r="C8131" t="s">
        <v>26</v>
      </c>
      <c r="D8131" t="s">
        <v>11</v>
      </c>
      <c r="E8131" t="s">
        <v>20</v>
      </c>
      <c r="F8131">
        <v>11626263</v>
      </c>
      <c r="G8131">
        <v>11626263</v>
      </c>
      <c r="H8131">
        <v>11626263</v>
      </c>
      <c r="I8131">
        <v>11626263</v>
      </c>
    </row>
    <row r="8132" spans="1:9" x14ac:dyDescent="0.2">
      <c r="A8132" t="str">
        <f>"Gm17495"</f>
        <v>Gm17495</v>
      </c>
      <c r="B8132" t="s">
        <v>14</v>
      </c>
      <c r="C8132" t="s">
        <v>28</v>
      </c>
      <c r="D8132" t="s">
        <v>17</v>
      </c>
      <c r="E8132" t="s">
        <v>12</v>
      </c>
      <c r="F8132">
        <v>40520030</v>
      </c>
      <c r="G8132">
        <v>40520044</v>
      </c>
      <c r="H8132">
        <v>40520019</v>
      </c>
      <c r="I8132">
        <v>40520028</v>
      </c>
    </row>
    <row r="8133" spans="1:9" x14ac:dyDescent="0.2">
      <c r="A8133" t="str">
        <f>"Gm17509"</f>
        <v>Gm17509</v>
      </c>
      <c r="B8133" t="s">
        <v>14</v>
      </c>
      <c r="C8133" t="s">
        <v>39</v>
      </c>
      <c r="D8133" t="s">
        <v>11</v>
      </c>
      <c r="E8133" t="s">
        <v>67</v>
      </c>
      <c r="F8133">
        <v>117221050</v>
      </c>
      <c r="G8133">
        <v>117221077</v>
      </c>
      <c r="H8133">
        <v>117221089</v>
      </c>
      <c r="I8133">
        <v>117221098</v>
      </c>
    </row>
    <row r="8134" spans="1:9" x14ac:dyDescent="0.2">
      <c r="A8134" t="str">
        <f>"Gm17511"</f>
        <v>Gm17511</v>
      </c>
      <c r="B8134" t="s">
        <v>14</v>
      </c>
      <c r="C8134" t="s">
        <v>33</v>
      </c>
      <c r="D8134" t="s">
        <v>11</v>
      </c>
      <c r="E8134" t="s">
        <v>12</v>
      </c>
      <c r="F8134">
        <v>127286496</v>
      </c>
      <c r="G8134">
        <v>127286497</v>
      </c>
      <c r="H8134">
        <v>127286496</v>
      </c>
      <c r="I8134">
        <v>127286497</v>
      </c>
    </row>
    <row r="8135" spans="1:9" x14ac:dyDescent="0.2">
      <c r="A8135" t="str">
        <f>"Gm17521"</f>
        <v>Gm17521</v>
      </c>
      <c r="B8135" t="s">
        <v>2977</v>
      </c>
      <c r="C8135" t="s">
        <v>37</v>
      </c>
      <c r="D8135" t="s">
        <v>11</v>
      </c>
      <c r="E8135" t="s">
        <v>20</v>
      </c>
      <c r="F8135">
        <v>123029668</v>
      </c>
      <c r="G8135">
        <v>123029668</v>
      </c>
      <c r="H8135">
        <v>123029668</v>
      </c>
      <c r="I8135">
        <v>123029668</v>
      </c>
    </row>
    <row r="8136" spans="1:9" x14ac:dyDescent="0.2">
      <c r="A8136" t="str">
        <f>"Gm17522"</f>
        <v>Gm17522</v>
      </c>
      <c r="B8136" t="s">
        <v>2978</v>
      </c>
      <c r="C8136" t="s">
        <v>37</v>
      </c>
      <c r="D8136" t="s">
        <v>17</v>
      </c>
      <c r="E8136" t="s">
        <v>20</v>
      </c>
      <c r="F8136">
        <v>125888202</v>
      </c>
      <c r="G8136">
        <v>125888202</v>
      </c>
      <c r="H8136">
        <v>125888202</v>
      </c>
      <c r="I8136">
        <v>125888202</v>
      </c>
    </row>
    <row r="8137" spans="1:9" x14ac:dyDescent="0.2">
      <c r="A8137" t="str">
        <f>"Gm17530"</f>
        <v>Gm17530</v>
      </c>
      <c r="B8137" t="s">
        <v>2979</v>
      </c>
      <c r="C8137" t="s">
        <v>24</v>
      </c>
      <c r="D8137" t="s">
        <v>11</v>
      </c>
      <c r="E8137" t="s">
        <v>20</v>
      </c>
      <c r="F8137">
        <v>86546794</v>
      </c>
      <c r="G8137">
        <v>86546794</v>
      </c>
      <c r="H8137">
        <v>86546794</v>
      </c>
      <c r="I8137">
        <v>86546794</v>
      </c>
    </row>
    <row r="8138" spans="1:9" x14ac:dyDescent="0.2">
      <c r="A8138" t="str">
        <f>"Gm17535"</f>
        <v>Gm17535</v>
      </c>
      <c r="B8138" t="s">
        <v>14</v>
      </c>
      <c r="C8138" t="s">
        <v>24</v>
      </c>
      <c r="D8138" t="s">
        <v>17</v>
      </c>
      <c r="E8138" t="s">
        <v>67</v>
      </c>
      <c r="F8138">
        <v>3034197</v>
      </c>
      <c r="G8138">
        <v>3034209</v>
      </c>
      <c r="H8138">
        <v>3034197</v>
      </c>
      <c r="I8138">
        <v>3034209</v>
      </c>
    </row>
    <row r="8139" spans="1:9" x14ac:dyDescent="0.2">
      <c r="A8139" t="str">
        <f>"Gm17541"</f>
        <v>Gm17541</v>
      </c>
      <c r="B8139" t="s">
        <v>14</v>
      </c>
      <c r="C8139" t="s">
        <v>16</v>
      </c>
      <c r="D8139" t="s">
        <v>11</v>
      </c>
      <c r="E8139" t="s">
        <v>67</v>
      </c>
      <c r="F8139">
        <v>4689951</v>
      </c>
      <c r="G8139">
        <v>4689956</v>
      </c>
      <c r="H8139">
        <v>4689951</v>
      </c>
      <c r="I8139">
        <v>4689956</v>
      </c>
    </row>
    <row r="8140" spans="1:9" x14ac:dyDescent="0.2">
      <c r="A8140" t="str">
        <f>"Gm17542"</f>
        <v>Gm17542</v>
      </c>
      <c r="B8140" t="s">
        <v>2980</v>
      </c>
      <c r="C8140" t="s">
        <v>15</v>
      </c>
      <c r="D8140" t="s">
        <v>11</v>
      </c>
      <c r="E8140" t="s">
        <v>20</v>
      </c>
      <c r="F8140">
        <v>58718209</v>
      </c>
      <c r="G8140">
        <v>58718209</v>
      </c>
      <c r="H8140">
        <v>58718209</v>
      </c>
      <c r="I8140">
        <v>58718209</v>
      </c>
    </row>
    <row r="8141" spans="1:9" x14ac:dyDescent="0.2">
      <c r="A8141" t="str">
        <f>"Gm17545"</f>
        <v>Gm17545</v>
      </c>
      <c r="B8141" t="s">
        <v>2981</v>
      </c>
      <c r="C8141" t="s">
        <v>24</v>
      </c>
      <c r="D8141" t="s">
        <v>17</v>
      </c>
      <c r="E8141" t="s">
        <v>20</v>
      </c>
      <c r="F8141">
        <v>22454289</v>
      </c>
      <c r="G8141">
        <v>22454289</v>
      </c>
      <c r="H8141">
        <v>22454289</v>
      </c>
      <c r="I8141">
        <v>22454289</v>
      </c>
    </row>
    <row r="8142" spans="1:9" x14ac:dyDescent="0.2">
      <c r="A8142" t="str">
        <f>"Gm17546"</f>
        <v>Gm17546</v>
      </c>
      <c r="B8142" t="s">
        <v>14</v>
      </c>
      <c r="C8142" t="s">
        <v>25</v>
      </c>
      <c r="D8142" t="s">
        <v>11</v>
      </c>
      <c r="E8142" t="s">
        <v>67</v>
      </c>
      <c r="F8142">
        <v>95830059</v>
      </c>
      <c r="G8142">
        <v>95830089</v>
      </c>
      <c r="H8142">
        <v>95830005</v>
      </c>
      <c r="I8142">
        <v>95830017</v>
      </c>
    </row>
    <row r="8143" spans="1:9" x14ac:dyDescent="0.2">
      <c r="A8143" t="str">
        <f>"Gm17555"</f>
        <v>Gm17555</v>
      </c>
      <c r="B8143" t="s">
        <v>2982</v>
      </c>
      <c r="C8143" t="s">
        <v>26</v>
      </c>
      <c r="D8143" t="s">
        <v>17</v>
      </c>
      <c r="E8143" t="s">
        <v>20</v>
      </c>
      <c r="F8143">
        <v>126215099</v>
      </c>
      <c r="G8143">
        <v>126215099</v>
      </c>
      <c r="H8143">
        <v>126215099</v>
      </c>
      <c r="I8143">
        <v>126215099</v>
      </c>
    </row>
    <row r="8144" spans="1:9" x14ac:dyDescent="0.2">
      <c r="A8144" t="str">
        <f>"Gm17567"</f>
        <v>Gm17567</v>
      </c>
      <c r="B8144" t="s">
        <v>2983</v>
      </c>
      <c r="C8144" t="s">
        <v>15</v>
      </c>
      <c r="D8144" t="s">
        <v>11</v>
      </c>
      <c r="E8144" t="s">
        <v>20</v>
      </c>
      <c r="F8144">
        <v>33995053</v>
      </c>
      <c r="G8144">
        <v>33995053</v>
      </c>
      <c r="H8144">
        <v>33995053</v>
      </c>
      <c r="I8144">
        <v>33995053</v>
      </c>
    </row>
    <row r="8145" spans="1:9" x14ac:dyDescent="0.2">
      <c r="A8145" t="str">
        <f>"Gm17571"</f>
        <v>Gm17571</v>
      </c>
      <c r="B8145" t="s">
        <v>2984</v>
      </c>
      <c r="C8145" t="s">
        <v>24</v>
      </c>
      <c r="D8145" t="s">
        <v>11</v>
      </c>
      <c r="E8145" t="s">
        <v>20</v>
      </c>
      <c r="F8145">
        <v>13446752</v>
      </c>
      <c r="G8145">
        <v>13446752</v>
      </c>
      <c r="H8145">
        <v>13446752</v>
      </c>
      <c r="I8145">
        <v>13446752</v>
      </c>
    </row>
    <row r="8146" spans="1:9" x14ac:dyDescent="0.2">
      <c r="A8146" t="str">
        <f>"Gm17576"</f>
        <v>Gm17576</v>
      </c>
      <c r="B8146" t="s">
        <v>2985</v>
      </c>
      <c r="C8146" t="s">
        <v>30</v>
      </c>
      <c r="D8146" t="s">
        <v>11</v>
      </c>
      <c r="E8146" t="s">
        <v>20</v>
      </c>
      <c r="F8146">
        <v>71043039</v>
      </c>
      <c r="G8146">
        <v>71043039</v>
      </c>
      <c r="H8146">
        <v>71043039</v>
      </c>
      <c r="I8146">
        <v>71043039</v>
      </c>
    </row>
    <row r="8147" spans="1:9" x14ac:dyDescent="0.2">
      <c r="A8147" t="str">
        <f>"Gm17577"</f>
        <v>Gm17577</v>
      </c>
      <c r="B8147" t="s">
        <v>2986</v>
      </c>
      <c r="C8147" t="s">
        <v>37</v>
      </c>
      <c r="D8147" t="s">
        <v>11</v>
      </c>
      <c r="E8147" t="s">
        <v>20</v>
      </c>
      <c r="F8147">
        <v>123246906</v>
      </c>
      <c r="G8147">
        <v>123246906</v>
      </c>
      <c r="H8147">
        <v>123246906</v>
      </c>
      <c r="I8147">
        <v>123246906</v>
      </c>
    </row>
    <row r="8148" spans="1:9" x14ac:dyDescent="0.2">
      <c r="A8148" t="str">
        <f>"Gm1758"</f>
        <v>Gm1758</v>
      </c>
      <c r="B8148" t="s">
        <v>14</v>
      </c>
      <c r="C8148" t="s">
        <v>31</v>
      </c>
      <c r="D8148" t="s">
        <v>17</v>
      </c>
      <c r="E8148" t="s">
        <v>67</v>
      </c>
      <c r="F8148">
        <v>14501872</v>
      </c>
      <c r="G8148">
        <v>14501883</v>
      </c>
      <c r="H8148">
        <v>14501872</v>
      </c>
      <c r="I8148">
        <v>14501883</v>
      </c>
    </row>
    <row r="8149" spans="1:9" x14ac:dyDescent="0.2">
      <c r="A8149" t="str">
        <f>"Gm17581"</f>
        <v>Gm17581</v>
      </c>
      <c r="B8149" t="s">
        <v>2987</v>
      </c>
      <c r="C8149" t="s">
        <v>26</v>
      </c>
      <c r="D8149" t="s">
        <v>11</v>
      </c>
      <c r="E8149" t="s">
        <v>20</v>
      </c>
      <c r="F8149">
        <v>155735865</v>
      </c>
      <c r="G8149">
        <v>155735865</v>
      </c>
      <c r="H8149">
        <v>155735865</v>
      </c>
      <c r="I8149">
        <v>155735865</v>
      </c>
    </row>
    <row r="8150" spans="1:9" x14ac:dyDescent="0.2">
      <c r="A8150" t="str">
        <f>"Gm17584"</f>
        <v>Gm17584</v>
      </c>
      <c r="B8150" t="s">
        <v>2988</v>
      </c>
      <c r="C8150" t="s">
        <v>37</v>
      </c>
      <c r="D8150" t="s">
        <v>17</v>
      </c>
      <c r="E8150" t="s">
        <v>20</v>
      </c>
      <c r="F8150">
        <v>124500562</v>
      </c>
      <c r="G8150">
        <v>124500562</v>
      </c>
      <c r="H8150">
        <v>124500562</v>
      </c>
      <c r="I8150">
        <v>124500562</v>
      </c>
    </row>
    <row r="8151" spans="1:9" x14ac:dyDescent="0.2">
      <c r="A8151" t="str">
        <f>"Gm17590"</f>
        <v>Gm17590</v>
      </c>
      <c r="B8151" t="s">
        <v>2989</v>
      </c>
      <c r="C8151" t="s">
        <v>46</v>
      </c>
      <c r="D8151" t="s">
        <v>11</v>
      </c>
      <c r="E8151" t="s">
        <v>20</v>
      </c>
      <c r="F8151">
        <v>3473177</v>
      </c>
      <c r="G8151">
        <v>3473177</v>
      </c>
      <c r="H8151">
        <v>3473177</v>
      </c>
      <c r="I8151">
        <v>3473177</v>
      </c>
    </row>
    <row r="8152" spans="1:9" x14ac:dyDescent="0.2">
      <c r="A8152" t="str">
        <f>"Gm17604"</f>
        <v>Gm17604</v>
      </c>
      <c r="B8152" t="s">
        <v>2990</v>
      </c>
      <c r="C8152" t="s">
        <v>37</v>
      </c>
      <c r="D8152" t="s">
        <v>11</v>
      </c>
      <c r="E8152" t="s">
        <v>20</v>
      </c>
      <c r="F8152">
        <v>165004828</v>
      </c>
      <c r="G8152">
        <v>165004828</v>
      </c>
      <c r="H8152">
        <v>165004828</v>
      </c>
      <c r="I8152">
        <v>165004828</v>
      </c>
    </row>
    <row r="8153" spans="1:9" x14ac:dyDescent="0.2">
      <c r="A8153" t="str">
        <f>"Gm17606"</f>
        <v>Gm17606</v>
      </c>
      <c r="B8153" t="s">
        <v>2991</v>
      </c>
      <c r="C8153" t="s">
        <v>41</v>
      </c>
      <c r="D8153" t="s">
        <v>17</v>
      </c>
      <c r="E8153" t="s">
        <v>20</v>
      </c>
      <c r="F8153">
        <v>54640951</v>
      </c>
      <c r="G8153">
        <v>54640951</v>
      </c>
      <c r="H8153">
        <v>54640951</v>
      </c>
      <c r="I8153">
        <v>54640951</v>
      </c>
    </row>
    <row r="8154" spans="1:9" x14ac:dyDescent="0.2">
      <c r="A8154" t="str">
        <f>"Gm17611"</f>
        <v>Gm17611</v>
      </c>
      <c r="B8154" t="s">
        <v>2992</v>
      </c>
      <c r="C8154" t="s">
        <v>39</v>
      </c>
      <c r="D8154" t="s">
        <v>11</v>
      </c>
      <c r="E8154" t="s">
        <v>20</v>
      </c>
      <c r="F8154">
        <v>49976487</v>
      </c>
      <c r="G8154">
        <v>49976487</v>
      </c>
      <c r="H8154">
        <v>49976487</v>
      </c>
      <c r="I8154">
        <v>49976487</v>
      </c>
    </row>
    <row r="8155" spans="1:9" x14ac:dyDescent="0.2">
      <c r="A8155" t="str">
        <f>"Gm17613"</f>
        <v>Gm17613</v>
      </c>
      <c r="B8155" t="s">
        <v>2993</v>
      </c>
      <c r="C8155" t="s">
        <v>41</v>
      </c>
      <c r="D8155" t="s">
        <v>17</v>
      </c>
      <c r="E8155" t="s">
        <v>20</v>
      </c>
      <c r="F8155">
        <v>120749351</v>
      </c>
      <c r="G8155">
        <v>120749351</v>
      </c>
      <c r="H8155">
        <v>120749351</v>
      </c>
      <c r="I8155">
        <v>120749351</v>
      </c>
    </row>
    <row r="8156" spans="1:9" x14ac:dyDescent="0.2">
      <c r="A8156" t="str">
        <f>"Gm17615"</f>
        <v>Gm17615</v>
      </c>
      <c r="B8156" t="s">
        <v>2994</v>
      </c>
      <c r="C8156" t="s">
        <v>41</v>
      </c>
      <c r="D8156" t="s">
        <v>17</v>
      </c>
      <c r="E8156" t="s">
        <v>20</v>
      </c>
      <c r="F8156">
        <v>124005354</v>
      </c>
      <c r="G8156">
        <v>124005354</v>
      </c>
      <c r="H8156">
        <v>124005354</v>
      </c>
      <c r="I8156">
        <v>124005354</v>
      </c>
    </row>
    <row r="8157" spans="1:9" x14ac:dyDescent="0.2">
      <c r="A8157" t="str">
        <f>"Gm17617"</f>
        <v>Gm17617</v>
      </c>
      <c r="B8157" t="s">
        <v>2995</v>
      </c>
      <c r="C8157" t="s">
        <v>39</v>
      </c>
      <c r="D8157" t="s">
        <v>11</v>
      </c>
      <c r="E8157" t="s">
        <v>20</v>
      </c>
      <c r="F8157">
        <v>55133547</v>
      </c>
      <c r="G8157">
        <v>55133547</v>
      </c>
      <c r="H8157">
        <v>55133547</v>
      </c>
      <c r="I8157">
        <v>55133547</v>
      </c>
    </row>
    <row r="8158" spans="1:9" x14ac:dyDescent="0.2">
      <c r="A8158" t="str">
        <f>"Gm17618"</f>
        <v>Gm17618</v>
      </c>
      <c r="B8158" t="s">
        <v>2996</v>
      </c>
      <c r="C8158" t="s">
        <v>39</v>
      </c>
      <c r="D8158" t="s">
        <v>17</v>
      </c>
      <c r="E8158" t="s">
        <v>20</v>
      </c>
      <c r="F8158">
        <v>84404838</v>
      </c>
      <c r="G8158">
        <v>84404838</v>
      </c>
      <c r="H8158">
        <v>84404838</v>
      </c>
      <c r="I8158">
        <v>84404838</v>
      </c>
    </row>
    <row r="8159" spans="1:9" x14ac:dyDescent="0.2">
      <c r="A8159" t="str">
        <f>"Gm17622"</f>
        <v>Gm17622</v>
      </c>
      <c r="B8159" t="s">
        <v>2997</v>
      </c>
      <c r="C8159" t="s">
        <v>39</v>
      </c>
      <c r="D8159" t="s">
        <v>17</v>
      </c>
      <c r="E8159" t="s">
        <v>20</v>
      </c>
      <c r="F8159">
        <v>96490732</v>
      </c>
      <c r="G8159">
        <v>96490732</v>
      </c>
      <c r="H8159">
        <v>96490732</v>
      </c>
      <c r="I8159">
        <v>96490732</v>
      </c>
    </row>
    <row r="8160" spans="1:9" x14ac:dyDescent="0.2">
      <c r="A8160" t="str">
        <f>"Gm17631"</f>
        <v>Gm17631</v>
      </c>
      <c r="B8160" t="s">
        <v>2998</v>
      </c>
      <c r="C8160" t="s">
        <v>32</v>
      </c>
      <c r="D8160" t="s">
        <v>17</v>
      </c>
      <c r="E8160" t="s">
        <v>20</v>
      </c>
      <c r="F8160">
        <v>129862648</v>
      </c>
      <c r="G8160">
        <v>129862648</v>
      </c>
      <c r="H8160">
        <v>129862648</v>
      </c>
      <c r="I8160">
        <v>129862648</v>
      </c>
    </row>
    <row r="8161" spans="1:9" x14ac:dyDescent="0.2">
      <c r="A8161" t="str">
        <f>"Gm17641"</f>
        <v>Gm17641</v>
      </c>
      <c r="B8161" t="s">
        <v>14</v>
      </c>
      <c r="C8161" t="s">
        <v>22</v>
      </c>
      <c r="D8161" t="s">
        <v>11</v>
      </c>
      <c r="E8161" t="s">
        <v>67</v>
      </c>
      <c r="F8161">
        <v>68869983</v>
      </c>
      <c r="G8161">
        <v>68870003</v>
      </c>
      <c r="H8161">
        <v>68869983</v>
      </c>
      <c r="I8161">
        <v>68870003</v>
      </c>
    </row>
    <row r="8162" spans="1:9" x14ac:dyDescent="0.2">
      <c r="A8162" t="str">
        <f>"Gm17651"</f>
        <v>Gm17651</v>
      </c>
      <c r="B8162" t="s">
        <v>2999</v>
      </c>
      <c r="C8162" t="s">
        <v>22</v>
      </c>
      <c r="D8162" t="s">
        <v>11</v>
      </c>
      <c r="E8162" t="s">
        <v>20</v>
      </c>
      <c r="F8162">
        <v>97674693</v>
      </c>
      <c r="G8162">
        <v>97674693</v>
      </c>
      <c r="H8162">
        <v>97674693</v>
      </c>
      <c r="I8162">
        <v>97674693</v>
      </c>
    </row>
    <row r="8163" spans="1:9" x14ac:dyDescent="0.2">
      <c r="A8163" t="str">
        <f>"Gm17654"</f>
        <v>Gm17654</v>
      </c>
      <c r="B8163" t="s">
        <v>3000</v>
      </c>
      <c r="C8163" t="s">
        <v>41</v>
      </c>
      <c r="D8163" t="s">
        <v>11</v>
      </c>
      <c r="E8163" t="s">
        <v>20</v>
      </c>
      <c r="F8163">
        <v>43579145</v>
      </c>
      <c r="G8163">
        <v>43579145</v>
      </c>
      <c r="H8163">
        <v>43579145</v>
      </c>
      <c r="I8163">
        <v>43579145</v>
      </c>
    </row>
    <row r="8164" spans="1:9" x14ac:dyDescent="0.2">
      <c r="A8164" t="str">
        <f>"Gm17655"</f>
        <v>Gm17655</v>
      </c>
      <c r="B8164" t="s">
        <v>3001</v>
      </c>
      <c r="C8164" t="s">
        <v>46</v>
      </c>
      <c r="D8164" t="s">
        <v>11</v>
      </c>
      <c r="E8164" t="s">
        <v>20</v>
      </c>
      <c r="F8164">
        <v>110046485</v>
      </c>
      <c r="G8164">
        <v>110046485</v>
      </c>
      <c r="H8164">
        <v>110046485</v>
      </c>
      <c r="I8164">
        <v>110046485</v>
      </c>
    </row>
    <row r="8165" spans="1:9" x14ac:dyDescent="0.2">
      <c r="A8165" t="str">
        <f>"Gm17657"</f>
        <v>Gm17657</v>
      </c>
      <c r="B8165" t="s">
        <v>3002</v>
      </c>
      <c r="C8165" t="s">
        <v>28</v>
      </c>
      <c r="D8165" t="s">
        <v>11</v>
      </c>
      <c r="E8165" t="s">
        <v>20</v>
      </c>
      <c r="F8165">
        <v>29519789</v>
      </c>
      <c r="G8165">
        <v>29519789</v>
      </c>
      <c r="H8165">
        <v>29519789</v>
      </c>
      <c r="I8165">
        <v>29519789</v>
      </c>
    </row>
    <row r="8166" spans="1:9" x14ac:dyDescent="0.2">
      <c r="A8166" t="str">
        <f>"Gm17660"</f>
        <v>Gm17660</v>
      </c>
      <c r="B8166" t="s">
        <v>14</v>
      </c>
      <c r="C8166" t="s">
        <v>46</v>
      </c>
      <c r="D8166" t="s">
        <v>11</v>
      </c>
      <c r="E8166" t="s">
        <v>12</v>
      </c>
      <c r="F8166">
        <v>104077603</v>
      </c>
      <c r="G8166">
        <v>104077610</v>
      </c>
      <c r="H8166">
        <v>104077603</v>
      </c>
      <c r="I8166">
        <v>104077610</v>
      </c>
    </row>
    <row r="8167" spans="1:9" x14ac:dyDescent="0.2">
      <c r="A8167" t="str">
        <f>"Gm17662"</f>
        <v>Gm17662</v>
      </c>
      <c r="B8167" t="s">
        <v>3003</v>
      </c>
      <c r="C8167" t="s">
        <v>23</v>
      </c>
      <c r="D8167" t="s">
        <v>17</v>
      </c>
      <c r="E8167" t="s">
        <v>20</v>
      </c>
      <c r="F8167">
        <v>104857328</v>
      </c>
      <c r="G8167">
        <v>104857328</v>
      </c>
      <c r="H8167">
        <v>104857328</v>
      </c>
      <c r="I8167">
        <v>104857328</v>
      </c>
    </row>
    <row r="8168" spans="1:9" x14ac:dyDescent="0.2">
      <c r="A8168" t="str">
        <f>"Gm17669"</f>
        <v>Gm17669</v>
      </c>
      <c r="B8168" t="s">
        <v>3004</v>
      </c>
      <c r="C8168" t="s">
        <v>43</v>
      </c>
      <c r="D8168" t="s">
        <v>17</v>
      </c>
      <c r="E8168" t="s">
        <v>20</v>
      </c>
      <c r="F8168">
        <v>67562386</v>
      </c>
      <c r="G8168">
        <v>67562386</v>
      </c>
      <c r="H8168">
        <v>67562386</v>
      </c>
      <c r="I8168">
        <v>67562386</v>
      </c>
    </row>
    <row r="8169" spans="1:9" x14ac:dyDescent="0.2">
      <c r="A8169" t="str">
        <f>"Gm17673"</f>
        <v>Gm17673</v>
      </c>
      <c r="B8169" t="s">
        <v>3005</v>
      </c>
      <c r="C8169" t="s">
        <v>16</v>
      </c>
      <c r="D8169" t="s">
        <v>11</v>
      </c>
      <c r="E8169" t="s">
        <v>20</v>
      </c>
      <c r="F8169">
        <v>83984851</v>
      </c>
      <c r="G8169">
        <v>83984851</v>
      </c>
      <c r="H8169">
        <v>83984851</v>
      </c>
      <c r="I8169">
        <v>83984851</v>
      </c>
    </row>
    <row r="8170" spans="1:9" x14ac:dyDescent="0.2">
      <c r="A8170" t="str">
        <f>"Gm17677"</f>
        <v>Gm17677</v>
      </c>
      <c r="B8170" t="s">
        <v>14</v>
      </c>
      <c r="C8170" t="s">
        <v>24</v>
      </c>
      <c r="D8170" t="s">
        <v>17</v>
      </c>
      <c r="E8170" t="s">
        <v>12</v>
      </c>
      <c r="F8170">
        <v>35740957</v>
      </c>
      <c r="G8170">
        <v>35740966</v>
      </c>
      <c r="H8170">
        <v>35740957</v>
      </c>
      <c r="I8170">
        <v>35740966</v>
      </c>
    </row>
    <row r="8171" spans="1:9" x14ac:dyDescent="0.2">
      <c r="A8171" t="str">
        <f>"Gm17678"</f>
        <v>Gm17678</v>
      </c>
      <c r="B8171" t="s">
        <v>3006</v>
      </c>
      <c r="C8171" t="s">
        <v>19</v>
      </c>
      <c r="D8171" t="s">
        <v>11</v>
      </c>
      <c r="E8171" t="s">
        <v>20</v>
      </c>
      <c r="F8171">
        <v>133701880</v>
      </c>
      <c r="G8171">
        <v>133701880</v>
      </c>
      <c r="H8171">
        <v>133701880</v>
      </c>
      <c r="I8171">
        <v>133701880</v>
      </c>
    </row>
    <row r="8172" spans="1:9" x14ac:dyDescent="0.2">
      <c r="A8172" t="str">
        <f>"Gm17688"</f>
        <v>Gm17688</v>
      </c>
      <c r="B8172" t="s">
        <v>3007</v>
      </c>
      <c r="C8172" t="s">
        <v>23</v>
      </c>
      <c r="D8172" t="s">
        <v>11</v>
      </c>
      <c r="E8172" t="s">
        <v>20</v>
      </c>
      <c r="F8172">
        <v>133529325</v>
      </c>
      <c r="G8172">
        <v>133529325</v>
      </c>
      <c r="H8172">
        <v>133529325</v>
      </c>
      <c r="I8172">
        <v>133529325</v>
      </c>
    </row>
    <row r="8173" spans="1:9" x14ac:dyDescent="0.2">
      <c r="A8173" t="str">
        <f>"Gm17689"</f>
        <v>Gm17689</v>
      </c>
      <c r="B8173" t="s">
        <v>3008</v>
      </c>
      <c r="C8173" t="s">
        <v>24</v>
      </c>
      <c r="D8173" t="s">
        <v>11</v>
      </c>
      <c r="E8173" t="s">
        <v>20</v>
      </c>
      <c r="F8173">
        <v>36582634</v>
      </c>
      <c r="G8173">
        <v>36582634</v>
      </c>
      <c r="H8173">
        <v>36582634</v>
      </c>
      <c r="I8173">
        <v>36582634</v>
      </c>
    </row>
    <row r="8174" spans="1:9" x14ac:dyDescent="0.2">
      <c r="A8174" t="str">
        <f>"Gm17693"</f>
        <v>Gm17693</v>
      </c>
      <c r="B8174" t="s">
        <v>3009</v>
      </c>
      <c r="C8174" t="s">
        <v>37</v>
      </c>
      <c r="D8174" t="s">
        <v>17</v>
      </c>
      <c r="E8174" t="s">
        <v>20</v>
      </c>
      <c r="F8174">
        <v>125705443</v>
      </c>
      <c r="G8174">
        <v>125705443</v>
      </c>
      <c r="H8174">
        <v>125705443</v>
      </c>
      <c r="I8174">
        <v>125705443</v>
      </c>
    </row>
    <row r="8175" spans="1:9" x14ac:dyDescent="0.2">
      <c r="A8175" t="str">
        <f>"Gm17720"</f>
        <v>Gm17720</v>
      </c>
      <c r="B8175" t="s">
        <v>3010</v>
      </c>
      <c r="C8175" t="s">
        <v>30</v>
      </c>
      <c r="D8175" t="s">
        <v>11</v>
      </c>
      <c r="E8175" t="s">
        <v>20</v>
      </c>
      <c r="F8175">
        <v>110102752</v>
      </c>
      <c r="G8175">
        <v>110102752</v>
      </c>
      <c r="H8175">
        <v>110102752</v>
      </c>
      <c r="I8175">
        <v>110102752</v>
      </c>
    </row>
    <row r="8176" spans="1:9" x14ac:dyDescent="0.2">
      <c r="A8176" t="str">
        <f>"Gm17727"</f>
        <v>Gm17727</v>
      </c>
      <c r="B8176" t="s">
        <v>14</v>
      </c>
      <c r="C8176" t="s">
        <v>24</v>
      </c>
      <c r="D8176" t="s">
        <v>11</v>
      </c>
      <c r="E8176" t="s">
        <v>12</v>
      </c>
      <c r="F8176">
        <v>35790075</v>
      </c>
      <c r="G8176">
        <v>35790090</v>
      </c>
      <c r="H8176">
        <v>35790101</v>
      </c>
      <c r="I8176">
        <v>35790106</v>
      </c>
    </row>
    <row r="8177" spans="1:9" x14ac:dyDescent="0.2">
      <c r="A8177" t="str">
        <f>"Gm17728"</f>
        <v>Gm17728</v>
      </c>
      <c r="B8177" t="s">
        <v>3011</v>
      </c>
      <c r="C8177" t="s">
        <v>28</v>
      </c>
      <c r="D8177" t="s">
        <v>17</v>
      </c>
      <c r="E8177" t="s">
        <v>20</v>
      </c>
      <c r="F8177">
        <v>9422059</v>
      </c>
      <c r="G8177">
        <v>9422059</v>
      </c>
      <c r="H8177">
        <v>9422059</v>
      </c>
      <c r="I8177">
        <v>9422059</v>
      </c>
    </row>
    <row r="8178" spans="1:9" x14ac:dyDescent="0.2">
      <c r="A8178" t="str">
        <f>"Gm17732"</f>
        <v>Gm17732</v>
      </c>
      <c r="B8178" t="s">
        <v>3012</v>
      </c>
      <c r="C8178" t="s">
        <v>43</v>
      </c>
      <c r="D8178" t="s">
        <v>17</v>
      </c>
      <c r="E8178" t="s">
        <v>20</v>
      </c>
      <c r="F8178">
        <v>62662107</v>
      </c>
      <c r="G8178">
        <v>62662107</v>
      </c>
      <c r="H8178">
        <v>62662107</v>
      </c>
      <c r="I8178">
        <v>62662107</v>
      </c>
    </row>
    <row r="8179" spans="1:9" x14ac:dyDescent="0.2">
      <c r="A8179" t="str">
        <f>"Gm18025"</f>
        <v>Gm18025</v>
      </c>
      <c r="B8179" t="s">
        <v>3013</v>
      </c>
      <c r="C8179" t="s">
        <v>16</v>
      </c>
      <c r="D8179" t="s">
        <v>11</v>
      </c>
      <c r="E8179" t="s">
        <v>20</v>
      </c>
      <c r="F8179">
        <v>34291091</v>
      </c>
      <c r="G8179">
        <v>34291091</v>
      </c>
      <c r="H8179">
        <v>34291091</v>
      </c>
      <c r="I8179">
        <v>34291091</v>
      </c>
    </row>
    <row r="8180" spans="1:9" x14ac:dyDescent="0.2">
      <c r="A8180" t="str">
        <f>"Gm1818"</f>
        <v>Gm1818</v>
      </c>
      <c r="B8180" t="s">
        <v>14</v>
      </c>
      <c r="C8180" t="s">
        <v>16</v>
      </c>
      <c r="D8180" t="s">
        <v>11</v>
      </c>
      <c r="E8180" t="s">
        <v>67</v>
      </c>
      <c r="F8180">
        <v>48559968</v>
      </c>
      <c r="G8180">
        <v>48559981</v>
      </c>
      <c r="H8180">
        <v>48559968</v>
      </c>
      <c r="I8180">
        <v>48559981</v>
      </c>
    </row>
    <row r="8181" spans="1:9" x14ac:dyDescent="0.2">
      <c r="A8181" t="str">
        <f>"Gm1840"</f>
        <v>Gm1840</v>
      </c>
      <c r="B8181" t="s">
        <v>14</v>
      </c>
      <c r="C8181" t="s">
        <v>30</v>
      </c>
      <c r="D8181" t="s">
        <v>17</v>
      </c>
      <c r="E8181" t="s">
        <v>67</v>
      </c>
      <c r="F8181">
        <v>5639499</v>
      </c>
      <c r="G8181">
        <v>5639512</v>
      </c>
      <c r="H8181">
        <v>5639514</v>
      </c>
      <c r="I8181">
        <v>5639535</v>
      </c>
    </row>
    <row r="8182" spans="1:9" x14ac:dyDescent="0.2">
      <c r="A8182" t="str">
        <f>"Gm18856"</f>
        <v>Gm18856</v>
      </c>
      <c r="B8182" t="s">
        <v>3014</v>
      </c>
      <c r="C8182" t="s">
        <v>39</v>
      </c>
      <c r="D8182" t="s">
        <v>11</v>
      </c>
      <c r="E8182" t="s">
        <v>20</v>
      </c>
      <c r="F8182">
        <v>13965859</v>
      </c>
      <c r="G8182">
        <v>13965859</v>
      </c>
      <c r="H8182">
        <v>13965859</v>
      </c>
      <c r="I8182">
        <v>13965859</v>
      </c>
    </row>
    <row r="8183" spans="1:9" x14ac:dyDescent="0.2">
      <c r="A8183" t="str">
        <f>"Gm19345"</f>
        <v>Gm19345</v>
      </c>
      <c r="B8183" t="s">
        <v>14</v>
      </c>
      <c r="C8183" t="s">
        <v>33</v>
      </c>
      <c r="D8183" t="s">
        <v>17</v>
      </c>
      <c r="E8183" t="s">
        <v>12</v>
      </c>
      <c r="F8183">
        <v>19851994</v>
      </c>
      <c r="G8183">
        <v>19852022</v>
      </c>
      <c r="H8183">
        <v>19852024</v>
      </c>
      <c r="I8183">
        <v>19852045</v>
      </c>
    </row>
    <row r="8184" spans="1:9" x14ac:dyDescent="0.2">
      <c r="A8184" t="str">
        <f>"Gm19402"</f>
        <v>Gm19402</v>
      </c>
      <c r="B8184" t="s">
        <v>14</v>
      </c>
      <c r="C8184" t="s">
        <v>15</v>
      </c>
      <c r="D8184" t="s">
        <v>11</v>
      </c>
      <c r="E8184" t="s">
        <v>12</v>
      </c>
      <c r="F8184">
        <v>77690807</v>
      </c>
      <c r="G8184">
        <v>77690812</v>
      </c>
      <c r="H8184">
        <v>77690848</v>
      </c>
      <c r="I8184">
        <v>77690852</v>
      </c>
    </row>
    <row r="8185" spans="1:9" x14ac:dyDescent="0.2">
      <c r="A8185" t="str">
        <f>"Gm19426"</f>
        <v>Gm19426</v>
      </c>
      <c r="B8185" t="s">
        <v>3015</v>
      </c>
      <c r="C8185" t="s">
        <v>26</v>
      </c>
      <c r="D8185" t="s">
        <v>11</v>
      </c>
      <c r="E8185" t="s">
        <v>35</v>
      </c>
      <c r="F8185">
        <v>84743692</v>
      </c>
      <c r="G8185">
        <v>84743701</v>
      </c>
      <c r="H8185">
        <v>84743484</v>
      </c>
      <c r="I8185">
        <v>84743489</v>
      </c>
    </row>
    <row r="8186" spans="1:9" x14ac:dyDescent="0.2">
      <c r="A8186" t="str">
        <f>"Gm1965"</f>
        <v>Gm1965</v>
      </c>
      <c r="B8186" t="s">
        <v>14</v>
      </c>
      <c r="C8186" t="s">
        <v>32</v>
      </c>
      <c r="D8186" t="s">
        <v>17</v>
      </c>
      <c r="E8186" t="s">
        <v>12</v>
      </c>
      <c r="F8186">
        <v>89140992</v>
      </c>
      <c r="G8186">
        <v>89141014</v>
      </c>
      <c r="H8186">
        <v>89140992</v>
      </c>
      <c r="I8186">
        <v>89141014</v>
      </c>
    </row>
    <row r="8187" spans="1:9" x14ac:dyDescent="0.2">
      <c r="A8187" t="str">
        <f>"Gm19668"</f>
        <v>Gm19668</v>
      </c>
      <c r="B8187" t="s">
        <v>14</v>
      </c>
      <c r="C8187" t="s">
        <v>15</v>
      </c>
      <c r="D8187" t="s">
        <v>11</v>
      </c>
      <c r="E8187" t="s">
        <v>12</v>
      </c>
      <c r="F8187">
        <v>77799185</v>
      </c>
      <c r="G8187">
        <v>77799191</v>
      </c>
      <c r="H8187">
        <v>77799185</v>
      </c>
      <c r="I8187">
        <v>77799191</v>
      </c>
    </row>
    <row r="8188" spans="1:9" x14ac:dyDescent="0.2">
      <c r="A8188" t="str">
        <f>"Gm1968"</f>
        <v>Gm1968</v>
      </c>
      <c r="B8188" t="s">
        <v>14</v>
      </c>
      <c r="C8188" t="s">
        <v>31</v>
      </c>
      <c r="D8188" t="s">
        <v>11</v>
      </c>
      <c r="E8188" t="s">
        <v>12</v>
      </c>
      <c r="F8188">
        <v>29979179</v>
      </c>
      <c r="G8188">
        <v>29979196</v>
      </c>
      <c r="H8188">
        <v>29979090</v>
      </c>
      <c r="I8188">
        <v>29979136</v>
      </c>
    </row>
    <row r="8189" spans="1:9" x14ac:dyDescent="0.2">
      <c r="A8189" t="str">
        <f>"Gm19684"</f>
        <v>Gm19684</v>
      </c>
      <c r="B8189" t="s">
        <v>14</v>
      </c>
      <c r="C8189" t="s">
        <v>28</v>
      </c>
      <c r="D8189" t="s">
        <v>17</v>
      </c>
      <c r="E8189" t="s">
        <v>12</v>
      </c>
      <c r="F8189">
        <v>36121666</v>
      </c>
      <c r="G8189">
        <v>36121698</v>
      </c>
      <c r="H8189">
        <v>36121719</v>
      </c>
      <c r="I8189">
        <v>36121727</v>
      </c>
    </row>
    <row r="8190" spans="1:9" x14ac:dyDescent="0.2">
      <c r="A8190" t="str">
        <f>"Gm1979"</f>
        <v>Gm1979</v>
      </c>
      <c r="B8190" t="s">
        <v>3016</v>
      </c>
      <c r="C8190" t="s">
        <v>46</v>
      </c>
      <c r="D8190" t="s">
        <v>11</v>
      </c>
      <c r="E8190" t="s">
        <v>20</v>
      </c>
      <c r="F8190">
        <v>26004797</v>
      </c>
      <c r="G8190">
        <v>26004797</v>
      </c>
      <c r="H8190">
        <v>26004797</v>
      </c>
      <c r="I8190">
        <v>26004797</v>
      </c>
    </row>
    <row r="8191" spans="1:9" x14ac:dyDescent="0.2">
      <c r="A8191" t="str">
        <f>"Gm1993"</f>
        <v>Gm1993</v>
      </c>
      <c r="B8191" t="s">
        <v>3017</v>
      </c>
      <c r="C8191" t="s">
        <v>37</v>
      </c>
      <c r="D8191" t="s">
        <v>11</v>
      </c>
      <c r="E8191" t="s">
        <v>20</v>
      </c>
      <c r="F8191">
        <v>25570451</v>
      </c>
      <c r="G8191">
        <v>25570451</v>
      </c>
      <c r="H8191">
        <v>25570451</v>
      </c>
      <c r="I8191">
        <v>25570451</v>
      </c>
    </row>
    <row r="8192" spans="1:9" x14ac:dyDescent="0.2">
      <c r="A8192" t="str">
        <f>"Gm19965"</f>
        <v>Gm19965</v>
      </c>
      <c r="B8192" t="s">
        <v>3018</v>
      </c>
      <c r="C8192" t="s">
        <v>19</v>
      </c>
      <c r="D8192" t="s">
        <v>17</v>
      </c>
      <c r="E8192" t="s">
        <v>20</v>
      </c>
      <c r="F8192">
        <v>116803192</v>
      </c>
      <c r="G8192">
        <v>116803192</v>
      </c>
      <c r="H8192">
        <v>116803192</v>
      </c>
      <c r="I8192">
        <v>116803192</v>
      </c>
    </row>
    <row r="8193" spans="1:9" x14ac:dyDescent="0.2">
      <c r="A8193" t="str">
        <f>"Gm2000"</f>
        <v>Gm2000</v>
      </c>
      <c r="B8193" t="s">
        <v>14</v>
      </c>
      <c r="C8193" t="s">
        <v>19</v>
      </c>
      <c r="D8193" t="s">
        <v>17</v>
      </c>
      <c r="E8193" t="s">
        <v>12</v>
      </c>
      <c r="F8193">
        <v>156366037</v>
      </c>
      <c r="G8193">
        <v>156366044</v>
      </c>
      <c r="H8193">
        <v>156366037</v>
      </c>
      <c r="I8193">
        <v>156366044</v>
      </c>
    </row>
    <row r="8194" spans="1:9" x14ac:dyDescent="0.2">
      <c r="A8194" t="str">
        <f>"Gm2004"</f>
        <v>Gm2004</v>
      </c>
      <c r="B8194" t="s">
        <v>3019</v>
      </c>
      <c r="C8194" t="s">
        <v>26</v>
      </c>
      <c r="D8194" t="s">
        <v>11</v>
      </c>
      <c r="E8194" t="s">
        <v>20</v>
      </c>
      <c r="F8194">
        <v>176149824</v>
      </c>
      <c r="G8194">
        <v>176149824</v>
      </c>
      <c r="H8194">
        <v>176149824</v>
      </c>
      <c r="I8194">
        <v>176149824</v>
      </c>
    </row>
    <row r="8195" spans="1:9" x14ac:dyDescent="0.2">
      <c r="A8195" t="str">
        <f>"Gm2007"</f>
        <v>Gm2007</v>
      </c>
      <c r="B8195" t="s">
        <v>3020</v>
      </c>
      <c r="C8195" t="s">
        <v>26</v>
      </c>
      <c r="D8195" t="s">
        <v>17</v>
      </c>
      <c r="E8195" t="s">
        <v>20</v>
      </c>
      <c r="F8195">
        <v>175741536</v>
      </c>
      <c r="G8195">
        <v>175741536</v>
      </c>
      <c r="H8195">
        <v>175741536</v>
      </c>
      <c r="I8195">
        <v>175741536</v>
      </c>
    </row>
    <row r="8196" spans="1:9" x14ac:dyDescent="0.2">
      <c r="A8196" t="str">
        <f>"Gm20091"</f>
        <v>Gm20091</v>
      </c>
      <c r="B8196" t="s">
        <v>3021</v>
      </c>
      <c r="C8196" t="s">
        <v>15</v>
      </c>
      <c r="D8196" t="s">
        <v>11</v>
      </c>
      <c r="E8196" t="s">
        <v>20</v>
      </c>
      <c r="F8196">
        <v>96409037</v>
      </c>
      <c r="G8196">
        <v>96409037</v>
      </c>
      <c r="H8196">
        <v>96409037</v>
      </c>
      <c r="I8196">
        <v>96409037</v>
      </c>
    </row>
    <row r="8197" spans="1:9" x14ac:dyDescent="0.2">
      <c r="A8197" t="str">
        <f>"Gm2012"</f>
        <v>Gm2012</v>
      </c>
      <c r="B8197" t="s">
        <v>3022</v>
      </c>
      <c r="C8197" t="s">
        <v>37</v>
      </c>
      <c r="D8197" t="s">
        <v>11</v>
      </c>
      <c r="E8197" t="s">
        <v>20</v>
      </c>
      <c r="F8197">
        <v>26231338</v>
      </c>
      <c r="G8197">
        <v>26231338</v>
      </c>
      <c r="H8197">
        <v>26231338</v>
      </c>
      <c r="I8197">
        <v>26231338</v>
      </c>
    </row>
    <row r="8198" spans="1:9" x14ac:dyDescent="0.2">
      <c r="A8198" t="str">
        <f>"Gm2016"</f>
        <v>Gm2016</v>
      </c>
      <c r="B8198" t="s">
        <v>14</v>
      </c>
      <c r="C8198" t="s">
        <v>16</v>
      </c>
      <c r="D8198" t="s">
        <v>17</v>
      </c>
      <c r="E8198" t="s">
        <v>12</v>
      </c>
      <c r="F8198">
        <v>87874070</v>
      </c>
      <c r="G8198">
        <v>87874075</v>
      </c>
      <c r="H8198">
        <v>87874070</v>
      </c>
      <c r="I8198">
        <v>87874075</v>
      </c>
    </row>
    <row r="8199" spans="1:9" x14ac:dyDescent="0.2">
      <c r="A8199" t="str">
        <f>"Gm2026"</f>
        <v>Gm2026</v>
      </c>
      <c r="B8199" t="s">
        <v>3023</v>
      </c>
      <c r="C8199" t="s">
        <v>26</v>
      </c>
      <c r="D8199" t="s">
        <v>17</v>
      </c>
      <c r="E8199" t="s">
        <v>20</v>
      </c>
      <c r="F8199">
        <v>175968941</v>
      </c>
      <c r="G8199">
        <v>175968941</v>
      </c>
      <c r="H8199">
        <v>175968941</v>
      </c>
      <c r="I8199">
        <v>175968941</v>
      </c>
    </row>
    <row r="8200" spans="1:9" x14ac:dyDescent="0.2">
      <c r="A8200" t="str">
        <f>"Gm2030"</f>
        <v>Gm2030</v>
      </c>
      <c r="B8200" t="s">
        <v>3024</v>
      </c>
      <c r="C8200" t="s">
        <v>37</v>
      </c>
      <c r="D8200" t="s">
        <v>11</v>
      </c>
      <c r="E8200" t="s">
        <v>20</v>
      </c>
      <c r="F8200">
        <v>26310043</v>
      </c>
      <c r="G8200">
        <v>26310043</v>
      </c>
      <c r="H8200">
        <v>26310043</v>
      </c>
      <c r="I8200">
        <v>26310043</v>
      </c>
    </row>
    <row r="8201" spans="1:9" x14ac:dyDescent="0.2">
      <c r="A8201" t="str">
        <f>"Gm2035"</f>
        <v>Gm2035</v>
      </c>
      <c r="B8201" t="s">
        <v>3025</v>
      </c>
      <c r="C8201" t="s">
        <v>16</v>
      </c>
      <c r="D8201" t="s">
        <v>11</v>
      </c>
      <c r="E8201" t="s">
        <v>20</v>
      </c>
      <c r="F8201">
        <v>87919856</v>
      </c>
      <c r="G8201">
        <v>87919856</v>
      </c>
      <c r="H8201">
        <v>87919856</v>
      </c>
      <c r="I8201">
        <v>87919856</v>
      </c>
    </row>
    <row r="8202" spans="1:9" x14ac:dyDescent="0.2">
      <c r="A8202" t="str">
        <f>"Gm20382"</f>
        <v>Gm20382</v>
      </c>
      <c r="B8202" t="s">
        <v>3026</v>
      </c>
      <c r="C8202" t="s">
        <v>46</v>
      </c>
      <c r="D8202" t="s">
        <v>11</v>
      </c>
      <c r="E8202" t="s">
        <v>20</v>
      </c>
      <c r="F8202">
        <v>131488481</v>
      </c>
      <c r="G8202">
        <v>131488481</v>
      </c>
      <c r="H8202">
        <v>131488481</v>
      </c>
      <c r="I8202">
        <v>131488481</v>
      </c>
    </row>
    <row r="8203" spans="1:9" x14ac:dyDescent="0.2">
      <c r="A8203" t="str">
        <f>"Gm20388"</f>
        <v>Gm20388</v>
      </c>
      <c r="B8203" t="s">
        <v>14</v>
      </c>
      <c r="C8203" t="s">
        <v>30</v>
      </c>
      <c r="D8203" t="s">
        <v>17</v>
      </c>
      <c r="E8203" t="s">
        <v>67</v>
      </c>
      <c r="F8203">
        <v>119910792</v>
      </c>
      <c r="G8203">
        <v>119910848</v>
      </c>
      <c r="H8203">
        <v>119910623</v>
      </c>
      <c r="I8203">
        <v>119910635</v>
      </c>
    </row>
    <row r="8204" spans="1:9" x14ac:dyDescent="0.2">
      <c r="A8204" t="str">
        <f>"Gm20390"</f>
        <v>Gm20390</v>
      </c>
      <c r="B8204" t="s">
        <v>14</v>
      </c>
      <c r="C8204" t="s">
        <v>27</v>
      </c>
      <c r="D8204" t="s">
        <v>11</v>
      </c>
      <c r="E8204" t="s">
        <v>67</v>
      </c>
      <c r="F8204">
        <v>93968242</v>
      </c>
      <c r="G8204">
        <v>93968281</v>
      </c>
      <c r="H8204">
        <v>93968242</v>
      </c>
      <c r="I8204">
        <v>93968281</v>
      </c>
    </row>
    <row r="8205" spans="1:9" x14ac:dyDescent="0.2">
      <c r="A8205" t="str">
        <f>"Gm20403"</f>
        <v>Gm20403</v>
      </c>
      <c r="B8205" t="s">
        <v>14</v>
      </c>
      <c r="C8205" t="s">
        <v>16</v>
      </c>
      <c r="D8205" t="s">
        <v>11</v>
      </c>
      <c r="E8205" t="s">
        <v>67</v>
      </c>
      <c r="F8205">
        <v>54986545</v>
      </c>
      <c r="G8205">
        <v>54986553</v>
      </c>
      <c r="H8205">
        <v>54986345</v>
      </c>
      <c r="I8205">
        <v>54986362</v>
      </c>
    </row>
    <row r="8206" spans="1:9" x14ac:dyDescent="0.2">
      <c r="A8206" t="str">
        <f>"Gm20408"</f>
        <v>Gm20408</v>
      </c>
      <c r="B8206" t="s">
        <v>14</v>
      </c>
      <c r="C8206" t="s">
        <v>28</v>
      </c>
      <c r="D8206" t="s">
        <v>11</v>
      </c>
      <c r="E8206" t="s">
        <v>12</v>
      </c>
      <c r="F8206">
        <v>38420180</v>
      </c>
      <c r="G8206">
        <v>38420190</v>
      </c>
      <c r="H8206">
        <v>38420180</v>
      </c>
      <c r="I8206">
        <v>38420190</v>
      </c>
    </row>
    <row r="8207" spans="1:9" x14ac:dyDescent="0.2">
      <c r="A8207" t="str">
        <f>"Gm20410"</f>
        <v>Gm20410</v>
      </c>
      <c r="B8207" t="s">
        <v>14</v>
      </c>
      <c r="C8207" t="s">
        <v>28</v>
      </c>
      <c r="D8207" t="s">
        <v>17</v>
      </c>
      <c r="E8207" t="s">
        <v>12</v>
      </c>
      <c r="F8207">
        <v>38554219</v>
      </c>
      <c r="G8207">
        <v>38554220</v>
      </c>
      <c r="H8207">
        <v>38554219</v>
      </c>
      <c r="I8207">
        <v>38554220</v>
      </c>
    </row>
    <row r="8208" spans="1:9" x14ac:dyDescent="0.2">
      <c r="A8208" t="str">
        <f>"Gm2042"</f>
        <v>Gm2042</v>
      </c>
      <c r="B8208" t="s">
        <v>3027</v>
      </c>
      <c r="C8208" t="s">
        <v>16</v>
      </c>
      <c r="D8208" t="s">
        <v>17</v>
      </c>
      <c r="E8208" t="s">
        <v>20</v>
      </c>
      <c r="F8208">
        <v>87954489</v>
      </c>
      <c r="G8208">
        <v>87954489</v>
      </c>
      <c r="H8208">
        <v>87954489</v>
      </c>
      <c r="I8208">
        <v>87954489</v>
      </c>
    </row>
    <row r="8209" spans="1:9" x14ac:dyDescent="0.2">
      <c r="A8209" t="str">
        <f>"Gm20422"</f>
        <v>Gm20422</v>
      </c>
      <c r="B8209" t="s">
        <v>14</v>
      </c>
      <c r="C8209" t="s">
        <v>30</v>
      </c>
      <c r="D8209" t="s">
        <v>11</v>
      </c>
      <c r="E8209" t="s">
        <v>67</v>
      </c>
      <c r="F8209">
        <v>69766951</v>
      </c>
      <c r="G8209">
        <v>69766968</v>
      </c>
      <c r="H8209">
        <v>69766951</v>
      </c>
      <c r="I8209">
        <v>69766968</v>
      </c>
    </row>
    <row r="8210" spans="1:9" x14ac:dyDescent="0.2">
      <c r="A8210" t="str">
        <f>"Gm20425"</f>
        <v>Gm20425</v>
      </c>
      <c r="B8210" t="s">
        <v>14</v>
      </c>
      <c r="C8210" t="s">
        <v>24</v>
      </c>
      <c r="D8210" t="s">
        <v>11</v>
      </c>
      <c r="E8210" t="s">
        <v>67</v>
      </c>
      <c r="F8210">
        <v>103230262</v>
      </c>
      <c r="G8210">
        <v>103230280</v>
      </c>
      <c r="H8210">
        <v>103230262</v>
      </c>
      <c r="I8210">
        <v>103230280</v>
      </c>
    </row>
    <row r="8211" spans="1:9" x14ac:dyDescent="0.2">
      <c r="A8211" t="str">
        <f>"Gm20431"</f>
        <v>Gm20431</v>
      </c>
      <c r="B8211" t="s">
        <v>14</v>
      </c>
      <c r="C8211" t="s">
        <v>26</v>
      </c>
      <c r="D8211" t="s">
        <v>11</v>
      </c>
      <c r="E8211" t="s">
        <v>67</v>
      </c>
      <c r="F8211">
        <v>167661514</v>
      </c>
      <c r="G8211">
        <v>167661591</v>
      </c>
      <c r="H8211">
        <v>167661514</v>
      </c>
      <c r="I8211">
        <v>167661591</v>
      </c>
    </row>
    <row r="8212" spans="1:9" x14ac:dyDescent="0.2">
      <c r="A8212" t="str">
        <f>"Gm20441"</f>
        <v>Gm20441</v>
      </c>
      <c r="B8212" t="s">
        <v>14</v>
      </c>
      <c r="C8212" t="s">
        <v>15</v>
      </c>
      <c r="D8212" t="s">
        <v>11</v>
      </c>
      <c r="E8212" t="s">
        <v>67</v>
      </c>
      <c r="F8212">
        <v>75781036</v>
      </c>
      <c r="G8212">
        <v>75781110</v>
      </c>
      <c r="H8212">
        <v>75781411</v>
      </c>
      <c r="I8212">
        <v>75781434</v>
      </c>
    </row>
    <row r="8213" spans="1:9" x14ac:dyDescent="0.2">
      <c r="A8213" t="str">
        <f>"Gm20449"</f>
        <v>Gm20449</v>
      </c>
      <c r="B8213" t="s">
        <v>14</v>
      </c>
      <c r="C8213" t="s">
        <v>33</v>
      </c>
      <c r="D8213" t="s">
        <v>11</v>
      </c>
      <c r="E8213" t="s">
        <v>67</v>
      </c>
      <c r="F8213">
        <v>41499392</v>
      </c>
      <c r="G8213">
        <v>41499423</v>
      </c>
      <c r="H8213">
        <v>41499425</v>
      </c>
      <c r="I8213">
        <v>41499427</v>
      </c>
    </row>
    <row r="8214" spans="1:9" x14ac:dyDescent="0.2">
      <c r="A8214" t="str">
        <f>"Gm20458"</f>
        <v>Gm20458</v>
      </c>
      <c r="B8214" t="s">
        <v>14</v>
      </c>
      <c r="C8214" t="s">
        <v>26</v>
      </c>
      <c r="D8214" t="s">
        <v>17</v>
      </c>
      <c r="E8214" t="s">
        <v>67</v>
      </c>
      <c r="F8214">
        <v>164460945</v>
      </c>
      <c r="G8214">
        <v>164461018</v>
      </c>
      <c r="H8214">
        <v>164461019</v>
      </c>
      <c r="I8214">
        <v>164461058</v>
      </c>
    </row>
    <row r="8215" spans="1:9" x14ac:dyDescent="0.2">
      <c r="A8215" t="str">
        <f>"Gm20459"</f>
        <v>Gm20459</v>
      </c>
      <c r="B8215" t="s">
        <v>14</v>
      </c>
      <c r="C8215" t="s">
        <v>23</v>
      </c>
      <c r="D8215" t="s">
        <v>17</v>
      </c>
      <c r="E8215" t="s">
        <v>67</v>
      </c>
      <c r="F8215">
        <v>57568011</v>
      </c>
      <c r="G8215">
        <v>57568093</v>
      </c>
      <c r="H8215">
        <v>57568011</v>
      </c>
      <c r="I8215">
        <v>57568093</v>
      </c>
    </row>
    <row r="8216" spans="1:9" x14ac:dyDescent="0.2">
      <c r="A8216" t="str">
        <f>"Gm2046"</f>
        <v>Gm2046</v>
      </c>
      <c r="B8216" t="s">
        <v>3028</v>
      </c>
      <c r="C8216" t="s">
        <v>16</v>
      </c>
      <c r="D8216" t="s">
        <v>17</v>
      </c>
      <c r="E8216" t="s">
        <v>20</v>
      </c>
      <c r="F8216">
        <v>87973527</v>
      </c>
      <c r="G8216">
        <v>87973527</v>
      </c>
      <c r="H8216">
        <v>87973527</v>
      </c>
      <c r="I8216">
        <v>87973527</v>
      </c>
    </row>
    <row r="8217" spans="1:9" x14ac:dyDescent="0.2">
      <c r="A8217" t="str">
        <f>"Gm20479"</f>
        <v>Gm20479</v>
      </c>
      <c r="B8217" t="s">
        <v>14</v>
      </c>
      <c r="C8217" t="s">
        <v>33</v>
      </c>
      <c r="D8217" t="s">
        <v>11</v>
      </c>
      <c r="E8217" t="s">
        <v>67</v>
      </c>
      <c r="F8217">
        <v>27357446</v>
      </c>
      <c r="G8217">
        <v>27357469</v>
      </c>
      <c r="H8217">
        <v>27357446</v>
      </c>
      <c r="I8217">
        <v>27357469</v>
      </c>
    </row>
    <row r="8218" spans="1:9" x14ac:dyDescent="0.2">
      <c r="A8218" t="str">
        <f>"Gm20481"</f>
        <v>Gm20481</v>
      </c>
      <c r="B8218" t="s">
        <v>3029</v>
      </c>
      <c r="C8218" t="s">
        <v>28</v>
      </c>
      <c r="D8218" t="s">
        <v>17</v>
      </c>
      <c r="E8218" t="s">
        <v>20</v>
      </c>
      <c r="F8218">
        <v>34969911</v>
      </c>
      <c r="G8218">
        <v>34969911</v>
      </c>
      <c r="H8218">
        <v>34969911</v>
      </c>
      <c r="I8218">
        <v>34969911</v>
      </c>
    </row>
    <row r="8219" spans="1:9" x14ac:dyDescent="0.2">
      <c r="A8219" t="str">
        <f>"Gm20489"</f>
        <v>Gm20489</v>
      </c>
      <c r="B8219" t="s">
        <v>3030</v>
      </c>
      <c r="C8219" t="s">
        <v>37</v>
      </c>
      <c r="D8219" t="s">
        <v>11</v>
      </c>
      <c r="E8219" t="s">
        <v>20</v>
      </c>
      <c r="F8219">
        <v>101269022</v>
      </c>
      <c r="G8219">
        <v>101269022</v>
      </c>
      <c r="H8219">
        <v>101269022</v>
      </c>
      <c r="I8219">
        <v>101269022</v>
      </c>
    </row>
    <row r="8220" spans="1:9" x14ac:dyDescent="0.2">
      <c r="A8220" t="str">
        <f>"Gm20498"</f>
        <v>Gm20498</v>
      </c>
      <c r="B8220" t="s">
        <v>14</v>
      </c>
      <c r="C8220" t="s">
        <v>16</v>
      </c>
      <c r="D8220" t="s">
        <v>11</v>
      </c>
      <c r="E8220" t="s">
        <v>67</v>
      </c>
      <c r="F8220">
        <v>81532840</v>
      </c>
      <c r="G8220">
        <v>81532925</v>
      </c>
      <c r="H8220">
        <v>81532754</v>
      </c>
      <c r="I8220">
        <v>81532757</v>
      </c>
    </row>
    <row r="8221" spans="1:9" x14ac:dyDescent="0.2">
      <c r="A8221" t="str">
        <f>"Gm20499"</f>
        <v>Gm20499</v>
      </c>
      <c r="B8221" t="s">
        <v>14</v>
      </c>
      <c r="C8221" t="s">
        <v>46</v>
      </c>
      <c r="D8221" t="s">
        <v>11</v>
      </c>
      <c r="E8221" t="s">
        <v>67</v>
      </c>
      <c r="F8221">
        <v>114823461</v>
      </c>
      <c r="G8221">
        <v>114823475</v>
      </c>
      <c r="H8221">
        <v>114823478</v>
      </c>
      <c r="I8221">
        <v>114823489</v>
      </c>
    </row>
    <row r="8222" spans="1:9" x14ac:dyDescent="0.2">
      <c r="A8222" t="str">
        <f>"Gm20503"</f>
        <v>Gm20503</v>
      </c>
      <c r="B8222" t="s">
        <v>14</v>
      </c>
      <c r="C8222" t="s">
        <v>23</v>
      </c>
      <c r="D8222" t="s">
        <v>17</v>
      </c>
      <c r="E8222" t="s">
        <v>67</v>
      </c>
      <c r="F8222">
        <v>59003121</v>
      </c>
      <c r="G8222">
        <v>59003215</v>
      </c>
      <c r="H8222">
        <v>59003498</v>
      </c>
      <c r="I8222">
        <v>59003520</v>
      </c>
    </row>
    <row r="8223" spans="1:9" x14ac:dyDescent="0.2">
      <c r="A8223" t="str">
        <f>"Gm20509"</f>
        <v>Gm20509</v>
      </c>
      <c r="B8223" t="s">
        <v>14</v>
      </c>
      <c r="C8223" t="s">
        <v>24</v>
      </c>
      <c r="D8223" t="s">
        <v>17</v>
      </c>
      <c r="E8223" t="s">
        <v>67</v>
      </c>
      <c r="F8223">
        <v>73102449</v>
      </c>
      <c r="G8223">
        <v>73102464</v>
      </c>
      <c r="H8223">
        <v>73102449</v>
      </c>
      <c r="I8223">
        <v>73102464</v>
      </c>
    </row>
    <row r="8224" spans="1:9" x14ac:dyDescent="0.2">
      <c r="A8224" t="str">
        <f>"Gm20510"</f>
        <v>Gm20510</v>
      </c>
      <c r="B8224" t="s">
        <v>14</v>
      </c>
      <c r="C8224" t="s">
        <v>24</v>
      </c>
      <c r="D8224" t="s">
        <v>17</v>
      </c>
      <c r="E8224" t="s">
        <v>67</v>
      </c>
      <c r="F8224">
        <v>72958812</v>
      </c>
      <c r="G8224">
        <v>72958850</v>
      </c>
      <c r="H8224">
        <v>72958853</v>
      </c>
      <c r="I8224">
        <v>72958864</v>
      </c>
    </row>
    <row r="8225" spans="1:9" x14ac:dyDescent="0.2">
      <c r="A8225" t="str">
        <f>"Gm20516"</f>
        <v>Gm20516</v>
      </c>
      <c r="B8225" t="s">
        <v>14</v>
      </c>
      <c r="C8225" t="s">
        <v>28</v>
      </c>
      <c r="D8225" t="s">
        <v>17</v>
      </c>
      <c r="E8225" t="s">
        <v>12</v>
      </c>
      <c r="F8225">
        <v>38639443</v>
      </c>
      <c r="G8225">
        <v>38639453</v>
      </c>
      <c r="H8225">
        <v>38639443</v>
      </c>
      <c r="I8225">
        <v>38639453</v>
      </c>
    </row>
    <row r="8226" spans="1:9" x14ac:dyDescent="0.2">
      <c r="A8226" t="str">
        <f>"Gm20517"</f>
        <v>Gm20517</v>
      </c>
      <c r="B8226" t="s">
        <v>14</v>
      </c>
      <c r="C8226" t="s">
        <v>28</v>
      </c>
      <c r="D8226" t="s">
        <v>17</v>
      </c>
      <c r="E8226" t="s">
        <v>67</v>
      </c>
      <c r="F8226">
        <v>47611570</v>
      </c>
      <c r="G8226">
        <v>47611619</v>
      </c>
      <c r="H8226">
        <v>47611557</v>
      </c>
      <c r="I8226">
        <v>47611568</v>
      </c>
    </row>
    <row r="8227" spans="1:9" x14ac:dyDescent="0.2">
      <c r="A8227" t="str">
        <f>"Gm20518"</f>
        <v>Gm20518</v>
      </c>
      <c r="B8227" t="s">
        <v>14</v>
      </c>
      <c r="C8227" t="s">
        <v>31</v>
      </c>
      <c r="D8227" t="s">
        <v>11</v>
      </c>
      <c r="E8227" t="s">
        <v>67</v>
      </c>
      <c r="F8227">
        <v>17891638</v>
      </c>
      <c r="G8227">
        <v>17891700</v>
      </c>
      <c r="H8227">
        <v>17891638</v>
      </c>
      <c r="I8227">
        <v>17891700</v>
      </c>
    </row>
    <row r="8228" spans="1:9" x14ac:dyDescent="0.2">
      <c r="A8228" t="str">
        <f>"Gm20521"</f>
        <v>Gm20521</v>
      </c>
      <c r="B8228" t="s">
        <v>14</v>
      </c>
      <c r="C8228" t="s">
        <v>41</v>
      </c>
      <c r="D8228" t="s">
        <v>17</v>
      </c>
      <c r="E8228" t="s">
        <v>67</v>
      </c>
      <c r="F8228">
        <v>54883430</v>
      </c>
      <c r="G8228">
        <v>54883489</v>
      </c>
      <c r="H8228">
        <v>54883320</v>
      </c>
      <c r="I8228">
        <v>54883376</v>
      </c>
    </row>
    <row r="8229" spans="1:9" x14ac:dyDescent="0.2">
      <c r="A8229" t="str">
        <f>"Gm20532"</f>
        <v>Gm20532</v>
      </c>
      <c r="B8229" t="s">
        <v>3031</v>
      </c>
      <c r="C8229" t="s">
        <v>26</v>
      </c>
      <c r="D8229" t="s">
        <v>17</v>
      </c>
      <c r="E8229" t="s">
        <v>35</v>
      </c>
      <c r="F8229">
        <v>26586607</v>
      </c>
      <c r="G8229">
        <v>26586664</v>
      </c>
      <c r="H8229">
        <v>26586671</v>
      </c>
      <c r="I8229">
        <v>26586691</v>
      </c>
    </row>
    <row r="8230" spans="1:9" x14ac:dyDescent="0.2">
      <c r="A8230" t="str">
        <f>"Gm20537"</f>
        <v>Gm20537</v>
      </c>
      <c r="B8230" t="s">
        <v>14</v>
      </c>
      <c r="C8230" t="s">
        <v>24</v>
      </c>
      <c r="D8230" t="s">
        <v>11</v>
      </c>
      <c r="E8230" t="s">
        <v>67</v>
      </c>
      <c r="F8230">
        <v>88456644</v>
      </c>
      <c r="G8230">
        <v>88456669</v>
      </c>
      <c r="H8230">
        <v>88456644</v>
      </c>
      <c r="I8230">
        <v>88456669</v>
      </c>
    </row>
    <row r="8231" spans="1:9" x14ac:dyDescent="0.2">
      <c r="A8231" t="str">
        <f>"Gm20538"</f>
        <v>Gm20538</v>
      </c>
      <c r="B8231" t="s">
        <v>3032</v>
      </c>
      <c r="C8231" t="s">
        <v>10</v>
      </c>
      <c r="D8231" t="s">
        <v>11</v>
      </c>
      <c r="E8231" t="s">
        <v>20</v>
      </c>
      <c r="F8231">
        <v>44552830</v>
      </c>
      <c r="G8231">
        <v>44552830</v>
      </c>
      <c r="H8231">
        <v>44552830</v>
      </c>
      <c r="I8231">
        <v>44552830</v>
      </c>
    </row>
    <row r="8232" spans="1:9" x14ac:dyDescent="0.2">
      <c r="A8232" t="str">
        <f>"Gm20547"</f>
        <v>Gm20547</v>
      </c>
      <c r="B8232" t="s">
        <v>14</v>
      </c>
      <c r="C8232" t="s">
        <v>28</v>
      </c>
      <c r="D8232" t="s">
        <v>11</v>
      </c>
      <c r="E8232" t="s">
        <v>67</v>
      </c>
      <c r="F8232">
        <v>34882004</v>
      </c>
      <c r="G8232">
        <v>34882080</v>
      </c>
      <c r="H8232">
        <v>34882094</v>
      </c>
      <c r="I8232">
        <v>34882114</v>
      </c>
    </row>
    <row r="8233" spans="1:9" x14ac:dyDescent="0.2">
      <c r="A8233" t="str">
        <f>"Gm2056"</f>
        <v>Gm2056</v>
      </c>
      <c r="B8233" t="s">
        <v>3033</v>
      </c>
      <c r="C8233" t="s">
        <v>16</v>
      </c>
      <c r="D8233" t="s">
        <v>17</v>
      </c>
      <c r="E8233" t="s">
        <v>20</v>
      </c>
      <c r="F8233">
        <v>88027003</v>
      </c>
      <c r="G8233">
        <v>88027003</v>
      </c>
      <c r="H8233">
        <v>88027003</v>
      </c>
      <c r="I8233">
        <v>88027003</v>
      </c>
    </row>
    <row r="8234" spans="1:9" x14ac:dyDescent="0.2">
      <c r="A8234" t="str">
        <f>"Gm20579"</f>
        <v>Gm20579</v>
      </c>
      <c r="B8234" t="s">
        <v>14</v>
      </c>
      <c r="C8234" t="s">
        <v>28</v>
      </c>
      <c r="D8234" t="s">
        <v>17</v>
      </c>
      <c r="E8234" t="s">
        <v>12</v>
      </c>
      <c r="F8234">
        <v>39406405</v>
      </c>
      <c r="G8234">
        <v>39406431</v>
      </c>
      <c r="H8234">
        <v>39406324</v>
      </c>
      <c r="I8234">
        <v>39406361</v>
      </c>
    </row>
    <row r="8235" spans="1:9" x14ac:dyDescent="0.2">
      <c r="A8235" t="str">
        <f>"Gm2058"</f>
        <v>Gm2058</v>
      </c>
      <c r="B8235" t="s">
        <v>3034</v>
      </c>
      <c r="C8235" t="s">
        <v>33</v>
      </c>
      <c r="D8235" t="s">
        <v>17</v>
      </c>
      <c r="E8235" t="s">
        <v>35</v>
      </c>
      <c r="F8235">
        <v>39588942</v>
      </c>
      <c r="G8235">
        <v>39588964</v>
      </c>
      <c r="H8235">
        <v>39588942</v>
      </c>
      <c r="I8235">
        <v>39588964</v>
      </c>
    </row>
    <row r="8236" spans="1:9" x14ac:dyDescent="0.2">
      <c r="A8236" t="str">
        <f>"Gm20580"</f>
        <v>Gm20580</v>
      </c>
      <c r="B8236" t="s">
        <v>14</v>
      </c>
      <c r="C8236" t="s">
        <v>28</v>
      </c>
      <c r="D8236" t="s">
        <v>17</v>
      </c>
      <c r="E8236" t="s">
        <v>12</v>
      </c>
      <c r="F8236">
        <v>40598624</v>
      </c>
      <c r="G8236">
        <v>40598630</v>
      </c>
      <c r="H8236">
        <v>40598645</v>
      </c>
      <c r="I8236">
        <v>40598649</v>
      </c>
    </row>
    <row r="8237" spans="1:9" x14ac:dyDescent="0.2">
      <c r="A8237" t="str">
        <f>"Gm20581"</f>
        <v>Gm20581</v>
      </c>
      <c r="B8237" t="s">
        <v>14</v>
      </c>
      <c r="C8237" t="s">
        <v>28</v>
      </c>
      <c r="D8237" t="s">
        <v>11</v>
      </c>
      <c r="E8237" t="s">
        <v>12</v>
      </c>
      <c r="F8237">
        <v>39077036</v>
      </c>
      <c r="G8237">
        <v>39077037</v>
      </c>
      <c r="H8237">
        <v>39077036</v>
      </c>
      <c r="I8237">
        <v>39077037</v>
      </c>
    </row>
    <row r="8238" spans="1:9" x14ac:dyDescent="0.2">
      <c r="A8238" t="str">
        <f>"Gm20594"</f>
        <v>Gm20594</v>
      </c>
      <c r="B8238" t="s">
        <v>14</v>
      </c>
      <c r="C8238" t="s">
        <v>32</v>
      </c>
      <c r="D8238" t="s">
        <v>17</v>
      </c>
      <c r="E8238" t="s">
        <v>12</v>
      </c>
      <c r="F8238">
        <v>79818188</v>
      </c>
      <c r="G8238">
        <v>79818210</v>
      </c>
      <c r="H8238">
        <v>79818188</v>
      </c>
      <c r="I8238">
        <v>79818210</v>
      </c>
    </row>
    <row r="8239" spans="1:9" x14ac:dyDescent="0.2">
      <c r="A8239" t="str">
        <f>"Gm20604"</f>
        <v>Gm20604</v>
      </c>
      <c r="B8239" t="s">
        <v>3035</v>
      </c>
      <c r="C8239" t="s">
        <v>16</v>
      </c>
      <c r="D8239" t="s">
        <v>11</v>
      </c>
      <c r="E8239" t="s">
        <v>20</v>
      </c>
      <c r="F8239">
        <v>102758671</v>
      </c>
      <c r="G8239">
        <v>102758671</v>
      </c>
      <c r="H8239">
        <v>102758671</v>
      </c>
      <c r="I8239">
        <v>102758671</v>
      </c>
    </row>
    <row r="8240" spans="1:9" x14ac:dyDescent="0.2">
      <c r="A8240" t="str">
        <f>"Gm20605"</f>
        <v>Gm20605</v>
      </c>
      <c r="B8240" t="s">
        <v>14</v>
      </c>
      <c r="C8240" t="s">
        <v>46</v>
      </c>
      <c r="D8240" t="s">
        <v>17</v>
      </c>
      <c r="E8240" t="s">
        <v>67</v>
      </c>
      <c r="F8240">
        <v>137629169</v>
      </c>
      <c r="G8240">
        <v>137629202</v>
      </c>
      <c r="H8240">
        <v>137629149</v>
      </c>
      <c r="I8240">
        <v>137629160</v>
      </c>
    </row>
    <row r="8241" spans="1:9" x14ac:dyDescent="0.2">
      <c r="A8241" t="str">
        <f>"Gm20652"</f>
        <v>Gm20652</v>
      </c>
      <c r="B8241" t="s">
        <v>3036</v>
      </c>
      <c r="C8241" t="s">
        <v>22</v>
      </c>
      <c r="D8241" t="s">
        <v>11</v>
      </c>
      <c r="E8241" t="s">
        <v>35</v>
      </c>
      <c r="F8241">
        <v>88621015</v>
      </c>
      <c r="G8241">
        <v>88621031</v>
      </c>
      <c r="H8241">
        <v>88621015</v>
      </c>
      <c r="I8241">
        <v>88621031</v>
      </c>
    </row>
    <row r="8242" spans="1:9" x14ac:dyDescent="0.2">
      <c r="A8242" t="str">
        <f>"Gm20654"</f>
        <v>Gm20654</v>
      </c>
      <c r="B8242" t="s">
        <v>3037</v>
      </c>
      <c r="C8242" t="s">
        <v>25</v>
      </c>
      <c r="D8242" t="s">
        <v>17</v>
      </c>
      <c r="E8242" t="s">
        <v>20</v>
      </c>
      <c r="F8242">
        <v>75449456</v>
      </c>
      <c r="G8242">
        <v>75449456</v>
      </c>
      <c r="H8242">
        <v>75449456</v>
      </c>
      <c r="I8242">
        <v>75449456</v>
      </c>
    </row>
    <row r="8243" spans="1:9" x14ac:dyDescent="0.2">
      <c r="A8243" t="str">
        <f>"Gm20661"</f>
        <v>Gm20661</v>
      </c>
      <c r="B8243" t="s">
        <v>14</v>
      </c>
      <c r="C8243" t="s">
        <v>24</v>
      </c>
      <c r="D8243" t="s">
        <v>17</v>
      </c>
      <c r="E8243" t="s">
        <v>67</v>
      </c>
      <c r="F8243">
        <v>107983068</v>
      </c>
      <c r="G8243">
        <v>107983073</v>
      </c>
      <c r="H8243">
        <v>107982991</v>
      </c>
      <c r="I8243">
        <v>107983037</v>
      </c>
    </row>
    <row r="8244" spans="1:9" x14ac:dyDescent="0.2">
      <c r="A8244" t="str">
        <f>"Gm20662"</f>
        <v>Gm20662</v>
      </c>
      <c r="B8244" t="s">
        <v>3038</v>
      </c>
      <c r="C8244" t="s">
        <v>24</v>
      </c>
      <c r="D8244" t="s">
        <v>17</v>
      </c>
      <c r="E8244" t="s">
        <v>20</v>
      </c>
      <c r="F8244">
        <v>107998007</v>
      </c>
      <c r="G8244">
        <v>107998007</v>
      </c>
      <c r="H8244">
        <v>107998007</v>
      </c>
      <c r="I8244">
        <v>107998007</v>
      </c>
    </row>
    <row r="8245" spans="1:9" x14ac:dyDescent="0.2">
      <c r="A8245" t="str">
        <f>"Gm20671"</f>
        <v>Gm20671</v>
      </c>
      <c r="B8245" t="s">
        <v>3039</v>
      </c>
      <c r="C8245" t="s">
        <v>46</v>
      </c>
      <c r="D8245" t="s">
        <v>11</v>
      </c>
      <c r="E8245" t="s">
        <v>20</v>
      </c>
      <c r="F8245">
        <v>32827108</v>
      </c>
      <c r="G8245">
        <v>32827108</v>
      </c>
      <c r="H8245">
        <v>32827108</v>
      </c>
      <c r="I8245">
        <v>32827108</v>
      </c>
    </row>
    <row r="8246" spans="1:9" x14ac:dyDescent="0.2">
      <c r="A8246" t="str">
        <f>"Gm20683"</f>
        <v>Gm20683</v>
      </c>
      <c r="B8246" t="s">
        <v>3040</v>
      </c>
      <c r="C8246" t="s">
        <v>28</v>
      </c>
      <c r="D8246" t="s">
        <v>11</v>
      </c>
      <c r="E8246" t="s">
        <v>20</v>
      </c>
      <c r="F8246">
        <v>25841762</v>
      </c>
      <c r="G8246">
        <v>25841762</v>
      </c>
      <c r="H8246">
        <v>25841762</v>
      </c>
      <c r="I8246">
        <v>25841762</v>
      </c>
    </row>
    <row r="8247" spans="1:9" x14ac:dyDescent="0.2">
      <c r="A8247" t="str">
        <f>"Gm20695"</f>
        <v>Gm20695</v>
      </c>
      <c r="B8247" t="s">
        <v>14</v>
      </c>
      <c r="C8247" t="s">
        <v>31</v>
      </c>
      <c r="D8247" t="s">
        <v>17</v>
      </c>
      <c r="E8247" t="s">
        <v>67</v>
      </c>
      <c r="F8247">
        <v>3884657</v>
      </c>
      <c r="G8247">
        <v>3884680</v>
      </c>
      <c r="H8247">
        <v>3884687</v>
      </c>
      <c r="I8247">
        <v>3884709</v>
      </c>
    </row>
    <row r="8248" spans="1:9" x14ac:dyDescent="0.2">
      <c r="A8248" t="str">
        <f>"Gm20696"</f>
        <v>Gm20696</v>
      </c>
      <c r="B8248" t="s">
        <v>14</v>
      </c>
      <c r="C8248" t="s">
        <v>32</v>
      </c>
      <c r="D8248" t="s">
        <v>11</v>
      </c>
      <c r="E8248" t="s">
        <v>67</v>
      </c>
      <c r="F8248">
        <v>99666762</v>
      </c>
      <c r="G8248">
        <v>99666786</v>
      </c>
      <c r="H8248">
        <v>99666790</v>
      </c>
      <c r="I8248">
        <v>99666823</v>
      </c>
    </row>
    <row r="8249" spans="1:9" x14ac:dyDescent="0.2">
      <c r="A8249" t="str">
        <f>"Gm20708"</f>
        <v>Gm20708</v>
      </c>
      <c r="B8249" t="s">
        <v>14</v>
      </c>
      <c r="C8249" t="s">
        <v>27</v>
      </c>
      <c r="D8249" t="s">
        <v>17</v>
      </c>
      <c r="E8249" t="s">
        <v>67</v>
      </c>
      <c r="F8249">
        <v>117809653</v>
      </c>
      <c r="G8249">
        <v>117809685</v>
      </c>
      <c r="H8249">
        <v>117809687</v>
      </c>
      <c r="I8249">
        <v>117809703</v>
      </c>
    </row>
    <row r="8250" spans="1:9" x14ac:dyDescent="0.2">
      <c r="A8250" t="str">
        <f>"Gm20715"</f>
        <v>Gm20715</v>
      </c>
      <c r="B8250" t="s">
        <v>14</v>
      </c>
      <c r="C8250" t="s">
        <v>33</v>
      </c>
      <c r="D8250" t="s">
        <v>17</v>
      </c>
      <c r="E8250" t="s">
        <v>67</v>
      </c>
      <c r="F8250">
        <v>6410218</v>
      </c>
      <c r="G8250">
        <v>6410229</v>
      </c>
      <c r="H8250">
        <v>6410206</v>
      </c>
      <c r="I8250">
        <v>6410208</v>
      </c>
    </row>
    <row r="8251" spans="1:9" x14ac:dyDescent="0.2">
      <c r="A8251" t="str">
        <f>"Gm20716"</f>
        <v>Gm20716</v>
      </c>
      <c r="B8251" t="s">
        <v>14</v>
      </c>
      <c r="C8251" t="s">
        <v>26</v>
      </c>
      <c r="D8251" t="s">
        <v>11</v>
      </c>
      <c r="E8251" t="s">
        <v>67</v>
      </c>
      <c r="F8251">
        <v>168230353</v>
      </c>
      <c r="G8251">
        <v>168230386</v>
      </c>
      <c r="H8251">
        <v>168230575</v>
      </c>
      <c r="I8251">
        <v>168230604</v>
      </c>
    </row>
    <row r="8252" spans="1:9" x14ac:dyDescent="0.2">
      <c r="A8252" t="str">
        <f>"Gm20721"</f>
        <v>Gm20721</v>
      </c>
      <c r="B8252" t="s">
        <v>14</v>
      </c>
      <c r="C8252" t="s">
        <v>26</v>
      </c>
      <c r="D8252" t="s">
        <v>11</v>
      </c>
      <c r="E8252" t="s">
        <v>67</v>
      </c>
      <c r="F8252">
        <v>174346363</v>
      </c>
      <c r="G8252">
        <v>174346411</v>
      </c>
      <c r="H8252">
        <v>174346645</v>
      </c>
      <c r="I8252">
        <v>174346667</v>
      </c>
    </row>
    <row r="8253" spans="1:9" x14ac:dyDescent="0.2">
      <c r="A8253" t="str">
        <f>"Gm20726"</f>
        <v>Gm20726</v>
      </c>
      <c r="B8253" t="s">
        <v>14</v>
      </c>
      <c r="C8253" t="s">
        <v>41</v>
      </c>
      <c r="D8253" t="s">
        <v>17</v>
      </c>
      <c r="E8253" t="s">
        <v>67</v>
      </c>
      <c r="F8253">
        <v>54632316</v>
      </c>
      <c r="G8253">
        <v>54632355</v>
      </c>
      <c r="H8253">
        <v>54632316</v>
      </c>
      <c r="I8253">
        <v>54632355</v>
      </c>
    </row>
    <row r="8254" spans="1:9" x14ac:dyDescent="0.2">
      <c r="A8254" t="str">
        <f>"Gm20727"</f>
        <v>Gm20727</v>
      </c>
      <c r="B8254" t="s">
        <v>3041</v>
      </c>
      <c r="C8254" t="s">
        <v>16</v>
      </c>
      <c r="D8254" t="s">
        <v>17</v>
      </c>
      <c r="E8254" t="s">
        <v>20</v>
      </c>
      <c r="F8254">
        <v>80271508</v>
      </c>
      <c r="G8254">
        <v>80271508</v>
      </c>
      <c r="H8254">
        <v>80271508</v>
      </c>
      <c r="I8254">
        <v>80271508</v>
      </c>
    </row>
    <row r="8255" spans="1:9" x14ac:dyDescent="0.2">
      <c r="A8255" t="str">
        <f>"Gm20731"</f>
        <v>Gm20731</v>
      </c>
      <c r="B8255" t="s">
        <v>3042</v>
      </c>
      <c r="C8255" t="s">
        <v>23</v>
      </c>
      <c r="D8255" t="s">
        <v>11</v>
      </c>
      <c r="E8255" t="s">
        <v>20</v>
      </c>
      <c r="F8255">
        <v>108625215</v>
      </c>
      <c r="G8255">
        <v>108625215</v>
      </c>
      <c r="H8255">
        <v>108625215</v>
      </c>
      <c r="I8255">
        <v>108625215</v>
      </c>
    </row>
    <row r="8256" spans="1:9" x14ac:dyDescent="0.2">
      <c r="A8256" t="str">
        <f>"Gm20736"</f>
        <v>Gm20736</v>
      </c>
      <c r="B8256" t="s">
        <v>3043</v>
      </c>
      <c r="C8256" t="s">
        <v>63</v>
      </c>
      <c r="D8256" t="s">
        <v>17</v>
      </c>
      <c r="E8256" t="s">
        <v>20</v>
      </c>
      <c r="F8256">
        <v>65379123</v>
      </c>
      <c r="G8256">
        <v>65379123</v>
      </c>
      <c r="H8256">
        <v>65379123</v>
      </c>
      <c r="I8256">
        <v>65379123</v>
      </c>
    </row>
    <row r="8257" spans="1:9" x14ac:dyDescent="0.2">
      <c r="A8257" t="str">
        <f>"Gm20737"</f>
        <v>Gm20737</v>
      </c>
      <c r="B8257" t="s">
        <v>3044</v>
      </c>
      <c r="C8257" t="s">
        <v>63</v>
      </c>
      <c r="D8257" t="s">
        <v>11</v>
      </c>
      <c r="E8257" t="s">
        <v>20</v>
      </c>
      <c r="F8257">
        <v>10534427</v>
      </c>
      <c r="G8257">
        <v>10534427</v>
      </c>
      <c r="H8257">
        <v>10534427</v>
      </c>
      <c r="I8257">
        <v>10534427</v>
      </c>
    </row>
    <row r="8258" spans="1:9" x14ac:dyDescent="0.2">
      <c r="A8258" t="str">
        <f>"Gm20738"</f>
        <v>Gm20738</v>
      </c>
      <c r="B8258" t="s">
        <v>3045</v>
      </c>
      <c r="C8258" t="s">
        <v>63</v>
      </c>
      <c r="D8258" t="s">
        <v>17</v>
      </c>
      <c r="E8258" t="s">
        <v>20</v>
      </c>
      <c r="F8258">
        <v>37957819</v>
      </c>
      <c r="G8258">
        <v>37957819</v>
      </c>
      <c r="H8258">
        <v>37957819</v>
      </c>
      <c r="I8258">
        <v>37957819</v>
      </c>
    </row>
    <row r="8259" spans="1:9" x14ac:dyDescent="0.2">
      <c r="A8259" t="str">
        <f>"Gm20747"</f>
        <v>Gm20747</v>
      </c>
      <c r="B8259" t="s">
        <v>3046</v>
      </c>
      <c r="C8259" t="s">
        <v>63</v>
      </c>
      <c r="D8259" t="s">
        <v>11</v>
      </c>
      <c r="E8259" t="s">
        <v>20</v>
      </c>
      <c r="F8259">
        <v>53416774</v>
      </c>
      <c r="G8259">
        <v>53416774</v>
      </c>
      <c r="H8259">
        <v>53416774</v>
      </c>
      <c r="I8259">
        <v>53416774</v>
      </c>
    </row>
    <row r="8260" spans="1:9" x14ac:dyDescent="0.2">
      <c r="A8260" t="str">
        <f>"Gm2075"</f>
        <v>Gm2075</v>
      </c>
      <c r="B8260" t="s">
        <v>3047</v>
      </c>
      <c r="C8260" t="s">
        <v>16</v>
      </c>
      <c r="D8260" t="s">
        <v>17</v>
      </c>
      <c r="E8260" t="s">
        <v>20</v>
      </c>
      <c r="F8260">
        <v>88011847</v>
      </c>
      <c r="G8260">
        <v>88011847</v>
      </c>
      <c r="H8260">
        <v>88011847</v>
      </c>
      <c r="I8260">
        <v>88011847</v>
      </c>
    </row>
    <row r="8261" spans="1:9" x14ac:dyDescent="0.2">
      <c r="A8261" t="str">
        <f>"Gm20765"</f>
        <v>Gm20765</v>
      </c>
      <c r="B8261" t="s">
        <v>3048</v>
      </c>
      <c r="C8261" t="s">
        <v>15</v>
      </c>
      <c r="D8261" t="s">
        <v>17</v>
      </c>
      <c r="E8261" t="s">
        <v>20</v>
      </c>
      <c r="F8261">
        <v>104186886</v>
      </c>
      <c r="G8261">
        <v>104186886</v>
      </c>
      <c r="H8261">
        <v>104186886</v>
      </c>
      <c r="I8261">
        <v>104186886</v>
      </c>
    </row>
    <row r="8262" spans="1:9" x14ac:dyDescent="0.2">
      <c r="A8262" t="str">
        <f>"Gm20765"</f>
        <v>Gm20765</v>
      </c>
      <c r="B8262" t="s">
        <v>3049</v>
      </c>
      <c r="C8262" t="s">
        <v>15</v>
      </c>
      <c r="D8262" t="s">
        <v>17</v>
      </c>
      <c r="E8262" t="s">
        <v>20</v>
      </c>
      <c r="F8262">
        <v>104185532</v>
      </c>
      <c r="G8262">
        <v>104185532</v>
      </c>
      <c r="H8262">
        <v>104185532</v>
      </c>
      <c r="I8262">
        <v>104185532</v>
      </c>
    </row>
    <row r="8263" spans="1:9" x14ac:dyDescent="0.2">
      <c r="A8263" t="str">
        <f>"Gm20765"</f>
        <v>Gm20765</v>
      </c>
      <c r="B8263" t="s">
        <v>3050</v>
      </c>
      <c r="C8263" t="s">
        <v>15</v>
      </c>
      <c r="D8263" t="s">
        <v>17</v>
      </c>
      <c r="E8263" t="s">
        <v>20</v>
      </c>
      <c r="F8263">
        <v>104185947</v>
      </c>
      <c r="G8263">
        <v>104185947</v>
      </c>
      <c r="H8263">
        <v>104185947</v>
      </c>
      <c r="I8263">
        <v>104185947</v>
      </c>
    </row>
    <row r="8264" spans="1:9" x14ac:dyDescent="0.2">
      <c r="A8264" t="str">
        <f>"Gm20767"</f>
        <v>Gm20767</v>
      </c>
      <c r="B8264" t="s">
        <v>3051</v>
      </c>
      <c r="C8264" t="s">
        <v>39</v>
      </c>
      <c r="D8264" t="s">
        <v>17</v>
      </c>
      <c r="E8264" t="s">
        <v>20</v>
      </c>
      <c r="F8264">
        <v>120154626</v>
      </c>
      <c r="G8264">
        <v>120154626</v>
      </c>
      <c r="H8264">
        <v>120154626</v>
      </c>
      <c r="I8264">
        <v>120154626</v>
      </c>
    </row>
    <row r="8265" spans="1:9" x14ac:dyDescent="0.2">
      <c r="A8265" t="str">
        <f>"Gm20773"</f>
        <v>Gm20773</v>
      </c>
      <c r="B8265" t="s">
        <v>3052</v>
      </c>
      <c r="C8265" t="s">
        <v>63</v>
      </c>
      <c r="D8265" t="s">
        <v>17</v>
      </c>
      <c r="E8265" t="s">
        <v>20</v>
      </c>
      <c r="F8265">
        <v>13495641</v>
      </c>
      <c r="G8265">
        <v>13495641</v>
      </c>
      <c r="H8265">
        <v>13495641</v>
      </c>
      <c r="I8265">
        <v>13495641</v>
      </c>
    </row>
    <row r="8266" spans="1:9" x14ac:dyDescent="0.2">
      <c r="A8266" t="str">
        <f>"Gm20775"</f>
        <v>Gm20775</v>
      </c>
      <c r="B8266" t="s">
        <v>3053</v>
      </c>
      <c r="C8266" t="s">
        <v>63</v>
      </c>
      <c r="D8266" t="s">
        <v>11</v>
      </c>
      <c r="E8266" t="s">
        <v>20</v>
      </c>
      <c r="F8266">
        <v>10643314</v>
      </c>
      <c r="G8266">
        <v>10643314</v>
      </c>
      <c r="H8266">
        <v>10643314</v>
      </c>
      <c r="I8266">
        <v>10643314</v>
      </c>
    </row>
    <row r="8267" spans="1:9" x14ac:dyDescent="0.2">
      <c r="A8267" t="str">
        <f>"Gm20777"</f>
        <v>Gm20777</v>
      </c>
      <c r="B8267" t="s">
        <v>3054</v>
      </c>
      <c r="C8267" t="s">
        <v>63</v>
      </c>
      <c r="D8267" t="s">
        <v>11</v>
      </c>
      <c r="E8267" t="s">
        <v>20</v>
      </c>
      <c r="F8267">
        <v>10750825</v>
      </c>
      <c r="G8267">
        <v>10750825</v>
      </c>
      <c r="H8267">
        <v>10750825</v>
      </c>
      <c r="I8267">
        <v>10750825</v>
      </c>
    </row>
    <row r="8268" spans="1:9" x14ac:dyDescent="0.2">
      <c r="A8268" t="str">
        <f>"Gm20781"</f>
        <v>Gm20781</v>
      </c>
      <c r="B8268" t="s">
        <v>3055</v>
      </c>
      <c r="C8268" t="s">
        <v>63</v>
      </c>
      <c r="D8268" t="s">
        <v>17</v>
      </c>
      <c r="E8268" t="s">
        <v>20</v>
      </c>
      <c r="F8268">
        <v>17275990</v>
      </c>
      <c r="G8268">
        <v>17275990</v>
      </c>
      <c r="H8268">
        <v>17275990</v>
      </c>
      <c r="I8268">
        <v>17275990</v>
      </c>
    </row>
    <row r="8269" spans="1:9" x14ac:dyDescent="0.2">
      <c r="A8269" t="str">
        <f>"Gm20782"</f>
        <v>Gm20782</v>
      </c>
      <c r="B8269" t="s">
        <v>3056</v>
      </c>
      <c r="C8269" t="s">
        <v>23</v>
      </c>
      <c r="D8269" t="s">
        <v>17</v>
      </c>
      <c r="E8269" t="s">
        <v>20</v>
      </c>
      <c r="F8269">
        <v>156349920</v>
      </c>
      <c r="G8269">
        <v>156349920</v>
      </c>
      <c r="H8269">
        <v>156349920</v>
      </c>
      <c r="I8269">
        <v>156349920</v>
      </c>
    </row>
    <row r="8270" spans="1:9" x14ac:dyDescent="0.2">
      <c r="A8270" t="str">
        <f>"Gm20783"</f>
        <v>Gm20783</v>
      </c>
      <c r="B8270" t="s">
        <v>3057</v>
      </c>
      <c r="C8270" t="s">
        <v>24</v>
      </c>
      <c r="D8270" t="s">
        <v>11</v>
      </c>
      <c r="E8270" t="s">
        <v>20</v>
      </c>
      <c r="F8270">
        <v>124440898</v>
      </c>
      <c r="G8270">
        <v>124440898</v>
      </c>
      <c r="H8270">
        <v>124440898</v>
      </c>
      <c r="I8270">
        <v>124440898</v>
      </c>
    </row>
    <row r="8271" spans="1:9" x14ac:dyDescent="0.2">
      <c r="A8271" t="str">
        <f>"Gm20791"</f>
        <v>Gm20791</v>
      </c>
      <c r="B8271" t="s">
        <v>3058</v>
      </c>
      <c r="C8271" t="s">
        <v>63</v>
      </c>
      <c r="D8271" t="s">
        <v>11</v>
      </c>
      <c r="E8271" t="s">
        <v>20</v>
      </c>
      <c r="F8271">
        <v>80682502</v>
      </c>
      <c r="G8271">
        <v>80682502</v>
      </c>
      <c r="H8271">
        <v>80682502</v>
      </c>
      <c r="I8271">
        <v>80682502</v>
      </c>
    </row>
    <row r="8272" spans="1:9" x14ac:dyDescent="0.2">
      <c r="A8272" t="str">
        <f>"Gm20793"</f>
        <v>Gm20793</v>
      </c>
      <c r="B8272" t="s">
        <v>3059</v>
      </c>
      <c r="C8272" t="s">
        <v>63</v>
      </c>
      <c r="D8272" t="s">
        <v>17</v>
      </c>
      <c r="E8272" t="s">
        <v>20</v>
      </c>
      <c r="F8272">
        <v>40682045</v>
      </c>
      <c r="G8272">
        <v>40682045</v>
      </c>
      <c r="H8272">
        <v>40682045</v>
      </c>
      <c r="I8272">
        <v>40682045</v>
      </c>
    </row>
    <row r="8273" spans="1:9" x14ac:dyDescent="0.2">
      <c r="A8273" t="str">
        <f>"Gm20794"</f>
        <v>Gm20794</v>
      </c>
      <c r="B8273" t="s">
        <v>3060</v>
      </c>
      <c r="C8273" t="s">
        <v>63</v>
      </c>
      <c r="D8273" t="s">
        <v>11</v>
      </c>
      <c r="E8273" t="s">
        <v>20</v>
      </c>
      <c r="F8273">
        <v>60481480</v>
      </c>
      <c r="G8273">
        <v>60481480</v>
      </c>
      <c r="H8273">
        <v>60481480</v>
      </c>
      <c r="I8273">
        <v>60481480</v>
      </c>
    </row>
    <row r="8274" spans="1:9" x14ac:dyDescent="0.2">
      <c r="A8274" t="str">
        <f>"Gm20795"</f>
        <v>Gm20795</v>
      </c>
      <c r="B8274" t="s">
        <v>3061</v>
      </c>
      <c r="C8274" t="s">
        <v>63</v>
      </c>
      <c r="D8274" t="s">
        <v>17</v>
      </c>
      <c r="E8274" t="s">
        <v>20</v>
      </c>
      <c r="F8274">
        <v>40806530</v>
      </c>
      <c r="G8274">
        <v>40806530</v>
      </c>
      <c r="H8274">
        <v>40806530</v>
      </c>
      <c r="I8274">
        <v>40806530</v>
      </c>
    </row>
    <row r="8275" spans="1:9" x14ac:dyDescent="0.2">
      <c r="A8275" t="str">
        <f>"Gm20798"</f>
        <v>Gm20798</v>
      </c>
      <c r="B8275" t="s">
        <v>3062</v>
      </c>
      <c r="C8275" t="s">
        <v>63</v>
      </c>
      <c r="D8275" t="s">
        <v>17</v>
      </c>
      <c r="E8275" t="s">
        <v>20</v>
      </c>
      <c r="F8275">
        <v>35644172</v>
      </c>
      <c r="G8275">
        <v>35644172</v>
      </c>
      <c r="H8275">
        <v>35644172</v>
      </c>
      <c r="I8275">
        <v>35644172</v>
      </c>
    </row>
    <row r="8276" spans="1:9" x14ac:dyDescent="0.2">
      <c r="A8276" t="str">
        <f>"Gm20799"</f>
        <v>Gm20799</v>
      </c>
      <c r="B8276" t="s">
        <v>3063</v>
      </c>
      <c r="C8276" t="s">
        <v>63</v>
      </c>
      <c r="D8276" t="s">
        <v>17</v>
      </c>
      <c r="E8276" t="s">
        <v>20</v>
      </c>
      <c r="F8276">
        <v>35301253</v>
      </c>
      <c r="G8276">
        <v>35301253</v>
      </c>
      <c r="H8276">
        <v>35301253</v>
      </c>
      <c r="I8276">
        <v>35301253</v>
      </c>
    </row>
    <row r="8277" spans="1:9" x14ac:dyDescent="0.2">
      <c r="A8277" t="str">
        <f>"Gm20800"</f>
        <v>Gm20800</v>
      </c>
      <c r="B8277" t="s">
        <v>3064</v>
      </c>
      <c r="C8277" t="s">
        <v>63</v>
      </c>
      <c r="D8277" t="s">
        <v>11</v>
      </c>
      <c r="E8277" t="s">
        <v>20</v>
      </c>
      <c r="F8277">
        <v>73239903</v>
      </c>
      <c r="G8277">
        <v>73239903</v>
      </c>
      <c r="H8277">
        <v>73239903</v>
      </c>
      <c r="I8277">
        <v>73239903</v>
      </c>
    </row>
    <row r="8278" spans="1:9" x14ac:dyDescent="0.2">
      <c r="A8278" t="str">
        <f>"Gm20801"</f>
        <v>Gm20801</v>
      </c>
      <c r="B8278" t="s">
        <v>3065</v>
      </c>
      <c r="C8278" t="s">
        <v>63</v>
      </c>
      <c r="D8278" t="s">
        <v>11</v>
      </c>
      <c r="E8278" t="s">
        <v>20</v>
      </c>
      <c r="F8278">
        <v>81799966</v>
      </c>
      <c r="G8278">
        <v>81799966</v>
      </c>
      <c r="H8278">
        <v>81799966</v>
      </c>
      <c r="I8278">
        <v>81799966</v>
      </c>
    </row>
    <row r="8279" spans="1:9" x14ac:dyDescent="0.2">
      <c r="A8279" t="str">
        <f>"Gm20803"</f>
        <v>Gm20803</v>
      </c>
      <c r="B8279" t="s">
        <v>3066</v>
      </c>
      <c r="C8279" t="s">
        <v>63</v>
      </c>
      <c r="D8279" t="s">
        <v>11</v>
      </c>
      <c r="E8279" t="s">
        <v>20</v>
      </c>
      <c r="F8279">
        <v>61946432</v>
      </c>
      <c r="G8279">
        <v>61946432</v>
      </c>
      <c r="H8279">
        <v>61946432</v>
      </c>
      <c r="I8279">
        <v>61946432</v>
      </c>
    </row>
    <row r="8280" spans="1:9" x14ac:dyDescent="0.2">
      <c r="A8280" t="str">
        <f>"Gm20804"</f>
        <v>Gm20804</v>
      </c>
      <c r="B8280" t="s">
        <v>3067</v>
      </c>
      <c r="C8280" t="s">
        <v>63</v>
      </c>
      <c r="D8280" t="s">
        <v>11</v>
      </c>
      <c r="E8280" t="s">
        <v>20</v>
      </c>
      <c r="F8280">
        <v>62021077</v>
      </c>
      <c r="G8280">
        <v>62021077</v>
      </c>
      <c r="H8280">
        <v>62021077</v>
      </c>
      <c r="I8280">
        <v>62021077</v>
      </c>
    </row>
    <row r="8281" spans="1:9" x14ac:dyDescent="0.2">
      <c r="A8281" t="str">
        <f>"Gm20805"</f>
        <v>Gm20805</v>
      </c>
      <c r="B8281" t="s">
        <v>3068</v>
      </c>
      <c r="C8281" t="s">
        <v>63</v>
      </c>
      <c r="D8281" t="s">
        <v>11</v>
      </c>
      <c r="E8281" t="s">
        <v>20</v>
      </c>
      <c r="F8281">
        <v>74300894</v>
      </c>
      <c r="G8281">
        <v>74300894</v>
      </c>
      <c r="H8281">
        <v>74300894</v>
      </c>
      <c r="I8281">
        <v>74300894</v>
      </c>
    </row>
    <row r="8282" spans="1:9" x14ac:dyDescent="0.2">
      <c r="A8282" t="str">
        <f>"Gm20806"</f>
        <v>Gm20806</v>
      </c>
      <c r="B8282" t="s">
        <v>3069</v>
      </c>
      <c r="C8282" t="s">
        <v>63</v>
      </c>
      <c r="D8282" t="s">
        <v>11</v>
      </c>
      <c r="E8282" t="s">
        <v>20</v>
      </c>
      <c r="F8282">
        <v>78836542</v>
      </c>
      <c r="G8282">
        <v>78836542</v>
      </c>
      <c r="H8282">
        <v>78836542</v>
      </c>
      <c r="I8282">
        <v>78836542</v>
      </c>
    </row>
    <row r="8283" spans="1:9" x14ac:dyDescent="0.2">
      <c r="A8283" t="str">
        <f>"Gm20808"</f>
        <v>Gm20808</v>
      </c>
      <c r="B8283" t="s">
        <v>3070</v>
      </c>
      <c r="C8283" t="s">
        <v>63</v>
      </c>
      <c r="D8283" t="s">
        <v>11</v>
      </c>
      <c r="E8283" t="s">
        <v>20</v>
      </c>
      <c r="F8283">
        <v>78762037</v>
      </c>
      <c r="G8283">
        <v>78762037</v>
      </c>
      <c r="H8283">
        <v>78762037</v>
      </c>
      <c r="I8283">
        <v>78762037</v>
      </c>
    </row>
    <row r="8284" spans="1:9" x14ac:dyDescent="0.2">
      <c r="A8284" t="str">
        <f>"Gm20809"</f>
        <v>Gm20809</v>
      </c>
      <c r="B8284" t="s">
        <v>3071</v>
      </c>
      <c r="C8284" t="s">
        <v>63</v>
      </c>
      <c r="D8284" t="s">
        <v>17</v>
      </c>
      <c r="E8284" t="s">
        <v>20</v>
      </c>
      <c r="F8284">
        <v>24456581</v>
      </c>
      <c r="G8284">
        <v>24456581</v>
      </c>
      <c r="H8284">
        <v>24456581</v>
      </c>
      <c r="I8284">
        <v>24456581</v>
      </c>
    </row>
    <row r="8285" spans="1:9" x14ac:dyDescent="0.2">
      <c r="A8285" t="str">
        <f>"Gm20810"</f>
        <v>Gm20810</v>
      </c>
      <c r="B8285" t="s">
        <v>3072</v>
      </c>
      <c r="C8285" t="s">
        <v>63</v>
      </c>
      <c r="D8285" t="s">
        <v>17</v>
      </c>
      <c r="E8285" t="s">
        <v>20</v>
      </c>
      <c r="F8285">
        <v>28733497</v>
      </c>
      <c r="G8285">
        <v>28733497</v>
      </c>
      <c r="H8285">
        <v>28733497</v>
      </c>
      <c r="I8285">
        <v>28733497</v>
      </c>
    </row>
    <row r="8286" spans="1:9" x14ac:dyDescent="0.2">
      <c r="A8286" t="str">
        <f>"Gm20812"</f>
        <v>Gm20812</v>
      </c>
      <c r="B8286" t="s">
        <v>3073</v>
      </c>
      <c r="C8286" t="s">
        <v>63</v>
      </c>
      <c r="D8286" t="s">
        <v>17</v>
      </c>
      <c r="E8286" t="s">
        <v>20</v>
      </c>
      <c r="F8286">
        <v>12383183</v>
      </c>
      <c r="G8286">
        <v>12383183</v>
      </c>
      <c r="H8286">
        <v>12383183</v>
      </c>
      <c r="I8286">
        <v>12383183</v>
      </c>
    </row>
    <row r="8287" spans="1:9" x14ac:dyDescent="0.2">
      <c r="A8287" t="str">
        <f>"Gm20813"</f>
        <v>Gm20813</v>
      </c>
      <c r="B8287" t="s">
        <v>3074</v>
      </c>
      <c r="C8287" t="s">
        <v>63</v>
      </c>
      <c r="D8287" t="s">
        <v>11</v>
      </c>
      <c r="E8287" t="s">
        <v>20</v>
      </c>
      <c r="F8287">
        <v>75026074</v>
      </c>
      <c r="G8287">
        <v>75026074</v>
      </c>
      <c r="H8287">
        <v>75026074</v>
      </c>
      <c r="I8287">
        <v>75026074</v>
      </c>
    </row>
    <row r="8288" spans="1:9" x14ac:dyDescent="0.2">
      <c r="A8288" t="str">
        <f>"Gm20815"</f>
        <v>Gm20815</v>
      </c>
      <c r="B8288" t="s">
        <v>3075</v>
      </c>
      <c r="C8288" t="s">
        <v>63</v>
      </c>
      <c r="D8288" t="s">
        <v>11</v>
      </c>
      <c r="E8288" t="s">
        <v>20</v>
      </c>
      <c r="F8288">
        <v>8835168</v>
      </c>
      <c r="G8288">
        <v>8835168</v>
      </c>
      <c r="H8288">
        <v>8835168</v>
      </c>
      <c r="I8288">
        <v>8835168</v>
      </c>
    </row>
    <row r="8289" spans="1:9" x14ac:dyDescent="0.2">
      <c r="A8289" t="str">
        <f>"Gm20816"</f>
        <v>Gm20816</v>
      </c>
      <c r="B8289" t="s">
        <v>3076</v>
      </c>
      <c r="C8289" t="s">
        <v>63</v>
      </c>
      <c r="D8289" t="s">
        <v>17</v>
      </c>
      <c r="E8289" t="s">
        <v>20</v>
      </c>
      <c r="F8289">
        <v>68539471</v>
      </c>
      <c r="G8289">
        <v>68539471</v>
      </c>
      <c r="H8289">
        <v>68539471</v>
      </c>
      <c r="I8289">
        <v>68539471</v>
      </c>
    </row>
    <row r="8290" spans="1:9" x14ac:dyDescent="0.2">
      <c r="A8290" t="str">
        <f>"Gm20818"</f>
        <v>Gm20818</v>
      </c>
      <c r="B8290" t="s">
        <v>3077</v>
      </c>
      <c r="C8290" t="s">
        <v>63</v>
      </c>
      <c r="D8290" t="s">
        <v>17</v>
      </c>
      <c r="E8290" t="s">
        <v>20</v>
      </c>
      <c r="F8290">
        <v>69017823</v>
      </c>
      <c r="G8290">
        <v>69017823</v>
      </c>
      <c r="H8290">
        <v>69017823</v>
      </c>
      <c r="I8290">
        <v>69017823</v>
      </c>
    </row>
    <row r="8291" spans="1:9" x14ac:dyDescent="0.2">
      <c r="A8291" t="str">
        <f>"Gm20821"</f>
        <v>Gm20821</v>
      </c>
      <c r="B8291" t="s">
        <v>3078</v>
      </c>
      <c r="C8291" t="s">
        <v>63</v>
      </c>
      <c r="D8291" t="s">
        <v>17</v>
      </c>
      <c r="E8291" t="s">
        <v>20</v>
      </c>
      <c r="F8291">
        <v>9783379</v>
      </c>
      <c r="G8291">
        <v>9783379</v>
      </c>
      <c r="H8291">
        <v>9783379</v>
      </c>
      <c r="I8291">
        <v>9783379</v>
      </c>
    </row>
    <row r="8292" spans="1:9" x14ac:dyDescent="0.2">
      <c r="A8292" t="str">
        <f>"Gm20822"</f>
        <v>Gm20822</v>
      </c>
      <c r="B8292" t="s">
        <v>3079</v>
      </c>
      <c r="C8292" t="s">
        <v>63</v>
      </c>
      <c r="D8292" t="s">
        <v>11</v>
      </c>
      <c r="E8292" t="s">
        <v>20</v>
      </c>
      <c r="F8292">
        <v>15883244</v>
      </c>
      <c r="G8292">
        <v>15883244</v>
      </c>
      <c r="H8292">
        <v>15883244</v>
      </c>
      <c r="I8292">
        <v>15883244</v>
      </c>
    </row>
    <row r="8293" spans="1:9" x14ac:dyDescent="0.2">
      <c r="A8293" t="str">
        <f>"Gm20823"</f>
        <v>Gm20823</v>
      </c>
      <c r="B8293" t="s">
        <v>3080</v>
      </c>
      <c r="C8293" t="s">
        <v>63</v>
      </c>
      <c r="D8293" t="s">
        <v>11</v>
      </c>
      <c r="E8293" t="s">
        <v>20</v>
      </c>
      <c r="F8293">
        <v>62464844</v>
      </c>
      <c r="G8293">
        <v>62464844</v>
      </c>
      <c r="H8293">
        <v>62464844</v>
      </c>
      <c r="I8293">
        <v>62464844</v>
      </c>
    </row>
    <row r="8294" spans="1:9" x14ac:dyDescent="0.2">
      <c r="A8294" t="str">
        <f>"Gm20825"</f>
        <v>Gm20825</v>
      </c>
      <c r="B8294" t="s">
        <v>3081</v>
      </c>
      <c r="C8294" t="s">
        <v>63</v>
      </c>
      <c r="D8294" t="s">
        <v>11</v>
      </c>
      <c r="E8294" t="s">
        <v>20</v>
      </c>
      <c r="F8294">
        <v>8069992</v>
      </c>
      <c r="G8294">
        <v>8069992</v>
      </c>
      <c r="H8294">
        <v>8069992</v>
      </c>
      <c r="I8294">
        <v>8069992</v>
      </c>
    </row>
    <row r="8295" spans="1:9" x14ac:dyDescent="0.2">
      <c r="A8295" t="str">
        <f>"Gm20826"</f>
        <v>Gm20826</v>
      </c>
      <c r="B8295" t="s">
        <v>3082</v>
      </c>
      <c r="C8295" t="s">
        <v>63</v>
      </c>
      <c r="D8295" t="s">
        <v>11</v>
      </c>
      <c r="E8295" t="s">
        <v>20</v>
      </c>
      <c r="F8295">
        <v>7636972</v>
      </c>
      <c r="G8295">
        <v>7636972</v>
      </c>
      <c r="H8295">
        <v>7636972</v>
      </c>
      <c r="I8295">
        <v>7636972</v>
      </c>
    </row>
    <row r="8296" spans="1:9" x14ac:dyDescent="0.2">
      <c r="A8296" t="str">
        <f>"Gm20827"</f>
        <v>Gm20827</v>
      </c>
      <c r="B8296" t="s">
        <v>3083</v>
      </c>
      <c r="C8296" t="s">
        <v>63</v>
      </c>
      <c r="D8296" t="s">
        <v>11</v>
      </c>
      <c r="E8296" t="s">
        <v>20</v>
      </c>
      <c r="F8296">
        <v>41376428</v>
      </c>
      <c r="G8296">
        <v>41376428</v>
      </c>
      <c r="H8296">
        <v>41376428</v>
      </c>
      <c r="I8296">
        <v>41376428</v>
      </c>
    </row>
    <row r="8297" spans="1:9" x14ac:dyDescent="0.2">
      <c r="A8297" t="str">
        <f>"Gm20828"</f>
        <v>Gm20828</v>
      </c>
      <c r="B8297" t="s">
        <v>3084</v>
      </c>
      <c r="C8297" t="s">
        <v>63</v>
      </c>
      <c r="D8297" t="s">
        <v>11</v>
      </c>
      <c r="E8297" t="s">
        <v>20</v>
      </c>
      <c r="F8297">
        <v>11197847</v>
      </c>
      <c r="G8297">
        <v>11197847</v>
      </c>
      <c r="H8297">
        <v>11197847</v>
      </c>
      <c r="I8297">
        <v>11197847</v>
      </c>
    </row>
    <row r="8298" spans="1:9" x14ac:dyDescent="0.2">
      <c r="A8298" t="str">
        <f>"Gm20830"</f>
        <v>Gm20830</v>
      </c>
      <c r="B8298" t="s">
        <v>3085</v>
      </c>
      <c r="C8298" t="s">
        <v>63</v>
      </c>
      <c r="D8298" t="s">
        <v>11</v>
      </c>
      <c r="E8298" t="s">
        <v>20</v>
      </c>
      <c r="F8298">
        <v>6917116</v>
      </c>
      <c r="G8298">
        <v>6917116</v>
      </c>
      <c r="H8298">
        <v>6917116</v>
      </c>
      <c r="I8298">
        <v>6917116</v>
      </c>
    </row>
    <row r="8299" spans="1:9" x14ac:dyDescent="0.2">
      <c r="A8299" t="str">
        <f>"Gm20831"</f>
        <v>Gm20831</v>
      </c>
      <c r="B8299" t="s">
        <v>3086</v>
      </c>
      <c r="C8299" t="s">
        <v>63</v>
      </c>
      <c r="D8299" t="s">
        <v>17</v>
      </c>
      <c r="E8299" t="s">
        <v>20</v>
      </c>
      <c r="F8299">
        <v>17874740</v>
      </c>
      <c r="G8299">
        <v>17874740</v>
      </c>
      <c r="H8299">
        <v>17874740</v>
      </c>
      <c r="I8299">
        <v>17874740</v>
      </c>
    </row>
    <row r="8300" spans="1:9" x14ac:dyDescent="0.2">
      <c r="A8300" t="str">
        <f>"Gm20834"</f>
        <v>Gm20834</v>
      </c>
      <c r="B8300" t="s">
        <v>3087</v>
      </c>
      <c r="C8300" t="s">
        <v>63</v>
      </c>
      <c r="D8300" t="s">
        <v>11</v>
      </c>
      <c r="E8300" t="s">
        <v>20</v>
      </c>
      <c r="F8300">
        <v>10323433</v>
      </c>
      <c r="G8300">
        <v>10323433</v>
      </c>
      <c r="H8300">
        <v>10323433</v>
      </c>
      <c r="I8300">
        <v>10323433</v>
      </c>
    </row>
    <row r="8301" spans="1:9" x14ac:dyDescent="0.2">
      <c r="A8301" t="str">
        <f>"Gm20836"</f>
        <v>Gm20836</v>
      </c>
      <c r="B8301" t="s">
        <v>3088</v>
      </c>
      <c r="C8301" t="s">
        <v>63</v>
      </c>
      <c r="D8301" t="s">
        <v>11</v>
      </c>
      <c r="E8301" t="s">
        <v>20</v>
      </c>
      <c r="F8301">
        <v>13911040</v>
      </c>
      <c r="G8301">
        <v>13911040</v>
      </c>
      <c r="H8301">
        <v>13911040</v>
      </c>
      <c r="I8301">
        <v>13911040</v>
      </c>
    </row>
    <row r="8302" spans="1:9" x14ac:dyDescent="0.2">
      <c r="A8302" t="str">
        <f>"Gm20837"</f>
        <v>Gm20837</v>
      </c>
      <c r="B8302" t="s">
        <v>3089</v>
      </c>
      <c r="C8302" t="s">
        <v>63</v>
      </c>
      <c r="D8302" t="s">
        <v>17</v>
      </c>
      <c r="E8302" t="s">
        <v>20</v>
      </c>
      <c r="F8302">
        <v>90402687</v>
      </c>
      <c r="G8302">
        <v>90402687</v>
      </c>
      <c r="H8302">
        <v>90402687</v>
      </c>
      <c r="I8302">
        <v>90402687</v>
      </c>
    </row>
    <row r="8303" spans="1:9" x14ac:dyDescent="0.2">
      <c r="A8303" t="str">
        <f>"Gm20838"</f>
        <v>Gm20838</v>
      </c>
      <c r="B8303" t="s">
        <v>3090</v>
      </c>
      <c r="C8303" t="s">
        <v>63</v>
      </c>
      <c r="D8303" t="s">
        <v>11</v>
      </c>
      <c r="E8303" t="s">
        <v>20</v>
      </c>
      <c r="F8303">
        <v>33541735</v>
      </c>
      <c r="G8303">
        <v>33541735</v>
      </c>
      <c r="H8303">
        <v>33541735</v>
      </c>
      <c r="I8303">
        <v>33541735</v>
      </c>
    </row>
    <row r="8304" spans="1:9" x14ac:dyDescent="0.2">
      <c r="A8304" t="str">
        <f>"Gm20840"</f>
        <v>Gm20840</v>
      </c>
      <c r="B8304" t="s">
        <v>3091</v>
      </c>
      <c r="C8304" t="s">
        <v>63</v>
      </c>
      <c r="D8304" t="s">
        <v>17</v>
      </c>
      <c r="E8304" t="s">
        <v>20</v>
      </c>
      <c r="F8304">
        <v>23868562</v>
      </c>
      <c r="G8304">
        <v>23868562</v>
      </c>
      <c r="H8304">
        <v>23868562</v>
      </c>
      <c r="I8304">
        <v>23868562</v>
      </c>
    </row>
    <row r="8305" spans="1:9" x14ac:dyDescent="0.2">
      <c r="A8305" t="str">
        <f>"Gm20841"</f>
        <v>Gm20841</v>
      </c>
      <c r="B8305" t="s">
        <v>3092</v>
      </c>
      <c r="C8305" t="s">
        <v>63</v>
      </c>
      <c r="D8305" t="s">
        <v>11</v>
      </c>
      <c r="E8305" t="s">
        <v>20</v>
      </c>
      <c r="F8305">
        <v>80757033</v>
      </c>
      <c r="G8305">
        <v>80757033</v>
      </c>
      <c r="H8305">
        <v>80757033</v>
      </c>
      <c r="I8305">
        <v>80757033</v>
      </c>
    </row>
    <row r="8306" spans="1:9" x14ac:dyDescent="0.2">
      <c r="A8306" t="str">
        <f>"Gm20842"</f>
        <v>Gm20842</v>
      </c>
      <c r="B8306" t="s">
        <v>3093</v>
      </c>
      <c r="C8306" t="s">
        <v>63</v>
      </c>
      <c r="D8306" t="s">
        <v>11</v>
      </c>
      <c r="E8306" t="s">
        <v>20</v>
      </c>
      <c r="F8306">
        <v>72039691</v>
      </c>
      <c r="G8306">
        <v>72039691</v>
      </c>
      <c r="H8306">
        <v>72039691</v>
      </c>
      <c r="I8306">
        <v>72039691</v>
      </c>
    </row>
    <row r="8307" spans="1:9" x14ac:dyDescent="0.2">
      <c r="A8307" t="str">
        <f>"Gm20843"</f>
        <v>Gm20843</v>
      </c>
      <c r="B8307" t="s">
        <v>3094</v>
      </c>
      <c r="C8307" t="s">
        <v>63</v>
      </c>
      <c r="D8307" t="s">
        <v>11</v>
      </c>
      <c r="E8307" t="s">
        <v>20</v>
      </c>
      <c r="F8307">
        <v>72245697</v>
      </c>
      <c r="G8307">
        <v>72245697</v>
      </c>
      <c r="H8307">
        <v>72245697</v>
      </c>
      <c r="I8307">
        <v>72245697</v>
      </c>
    </row>
    <row r="8308" spans="1:9" x14ac:dyDescent="0.2">
      <c r="A8308" t="str">
        <f>"Gm20844"</f>
        <v>Gm20844</v>
      </c>
      <c r="B8308" t="s">
        <v>3095</v>
      </c>
      <c r="C8308" t="s">
        <v>63</v>
      </c>
      <c r="D8308" t="s">
        <v>11</v>
      </c>
      <c r="E8308" t="s">
        <v>20</v>
      </c>
      <c r="F8308">
        <v>72383261</v>
      </c>
      <c r="G8308">
        <v>72383261</v>
      </c>
      <c r="H8308">
        <v>72383261</v>
      </c>
      <c r="I8308">
        <v>72383261</v>
      </c>
    </row>
    <row r="8309" spans="1:9" x14ac:dyDescent="0.2">
      <c r="A8309" t="str">
        <f>"Gm20846"</f>
        <v>Gm20846</v>
      </c>
      <c r="B8309" t="s">
        <v>3096</v>
      </c>
      <c r="C8309" t="s">
        <v>63</v>
      </c>
      <c r="D8309" t="s">
        <v>11</v>
      </c>
      <c r="E8309" t="s">
        <v>20</v>
      </c>
      <c r="F8309">
        <v>72820329</v>
      </c>
      <c r="G8309">
        <v>72820329</v>
      </c>
      <c r="H8309">
        <v>72820329</v>
      </c>
      <c r="I8309">
        <v>72820329</v>
      </c>
    </row>
    <row r="8310" spans="1:9" x14ac:dyDescent="0.2">
      <c r="A8310" t="str">
        <f>"Gm20847"</f>
        <v>Gm20847</v>
      </c>
      <c r="B8310" t="s">
        <v>3097</v>
      </c>
      <c r="C8310" t="s">
        <v>63</v>
      </c>
      <c r="D8310" t="s">
        <v>11</v>
      </c>
      <c r="E8310" t="s">
        <v>20</v>
      </c>
      <c r="F8310">
        <v>72895203</v>
      </c>
      <c r="G8310">
        <v>72895203</v>
      </c>
      <c r="H8310">
        <v>72895203</v>
      </c>
      <c r="I8310">
        <v>72895203</v>
      </c>
    </row>
    <row r="8311" spans="1:9" x14ac:dyDescent="0.2">
      <c r="A8311" t="str">
        <f>"Gm20848"</f>
        <v>Gm20848</v>
      </c>
      <c r="B8311" t="s">
        <v>3098</v>
      </c>
      <c r="C8311" t="s">
        <v>63</v>
      </c>
      <c r="D8311" t="s">
        <v>11</v>
      </c>
      <c r="E8311" t="s">
        <v>20</v>
      </c>
      <c r="F8311">
        <v>72968708</v>
      </c>
      <c r="G8311">
        <v>72968708</v>
      </c>
      <c r="H8311">
        <v>72968708</v>
      </c>
      <c r="I8311">
        <v>72968708</v>
      </c>
    </row>
    <row r="8312" spans="1:9" x14ac:dyDescent="0.2">
      <c r="A8312" t="str">
        <f>"Gm20849"</f>
        <v>Gm20849</v>
      </c>
      <c r="B8312" t="s">
        <v>3099</v>
      </c>
      <c r="C8312" t="s">
        <v>63</v>
      </c>
      <c r="D8312" t="s">
        <v>11</v>
      </c>
      <c r="E8312" t="s">
        <v>20</v>
      </c>
      <c r="F8312">
        <v>82862027</v>
      </c>
      <c r="G8312">
        <v>82862027</v>
      </c>
      <c r="H8312">
        <v>82862027</v>
      </c>
      <c r="I8312">
        <v>82862027</v>
      </c>
    </row>
    <row r="8313" spans="1:9" x14ac:dyDescent="0.2">
      <c r="A8313" t="str">
        <f>"Gm20851"</f>
        <v>Gm20851</v>
      </c>
      <c r="B8313" t="s">
        <v>3100</v>
      </c>
      <c r="C8313" t="s">
        <v>63</v>
      </c>
      <c r="D8313" t="s">
        <v>17</v>
      </c>
      <c r="E8313" t="s">
        <v>20</v>
      </c>
      <c r="F8313">
        <v>18208480</v>
      </c>
      <c r="G8313">
        <v>18208480</v>
      </c>
      <c r="H8313">
        <v>18208480</v>
      </c>
      <c r="I8313">
        <v>18208480</v>
      </c>
    </row>
    <row r="8314" spans="1:9" x14ac:dyDescent="0.2">
      <c r="A8314" t="str">
        <f>"Gm20852"</f>
        <v>Gm20852</v>
      </c>
      <c r="B8314" t="s">
        <v>3101</v>
      </c>
      <c r="C8314" t="s">
        <v>63</v>
      </c>
      <c r="D8314" t="s">
        <v>11</v>
      </c>
      <c r="E8314" t="s">
        <v>20</v>
      </c>
      <c r="F8314">
        <v>66740609</v>
      </c>
      <c r="G8314">
        <v>66740609</v>
      </c>
      <c r="H8314">
        <v>66740609</v>
      </c>
      <c r="I8314">
        <v>66740609</v>
      </c>
    </row>
    <row r="8315" spans="1:9" x14ac:dyDescent="0.2">
      <c r="A8315" t="str">
        <f>"Gm20853"</f>
        <v>Gm20853</v>
      </c>
      <c r="B8315" t="s">
        <v>3102</v>
      </c>
      <c r="C8315" t="s">
        <v>63</v>
      </c>
      <c r="D8315" t="s">
        <v>17</v>
      </c>
      <c r="E8315" t="s">
        <v>20</v>
      </c>
      <c r="F8315">
        <v>34781125</v>
      </c>
      <c r="G8315">
        <v>34781125</v>
      </c>
      <c r="H8315">
        <v>34781125</v>
      </c>
      <c r="I8315">
        <v>34781125</v>
      </c>
    </row>
    <row r="8316" spans="1:9" x14ac:dyDescent="0.2">
      <c r="A8316" t="str">
        <f>"Gm20854"</f>
        <v>Gm20854</v>
      </c>
      <c r="B8316" t="s">
        <v>3103</v>
      </c>
      <c r="C8316" t="s">
        <v>63</v>
      </c>
      <c r="D8316" t="s">
        <v>11</v>
      </c>
      <c r="E8316" t="s">
        <v>20</v>
      </c>
      <c r="F8316">
        <v>85529517</v>
      </c>
      <c r="G8316">
        <v>85529517</v>
      </c>
      <c r="H8316">
        <v>85529517</v>
      </c>
      <c r="I8316">
        <v>85529517</v>
      </c>
    </row>
    <row r="8317" spans="1:9" x14ac:dyDescent="0.2">
      <c r="A8317" t="str">
        <f>"Gm20854"</f>
        <v>Gm20854</v>
      </c>
      <c r="B8317" t="s">
        <v>3104</v>
      </c>
      <c r="C8317" t="s">
        <v>63</v>
      </c>
      <c r="D8317" t="s">
        <v>11</v>
      </c>
      <c r="E8317" t="s">
        <v>20</v>
      </c>
      <c r="F8317">
        <v>85530907</v>
      </c>
      <c r="G8317">
        <v>85530907</v>
      </c>
      <c r="H8317">
        <v>85530907</v>
      </c>
      <c r="I8317">
        <v>85530907</v>
      </c>
    </row>
    <row r="8318" spans="1:9" x14ac:dyDescent="0.2">
      <c r="A8318" t="str">
        <f>"Gm20855"</f>
        <v>Gm20855</v>
      </c>
      <c r="B8318" t="s">
        <v>3105</v>
      </c>
      <c r="C8318" t="s">
        <v>63</v>
      </c>
      <c r="D8318" t="s">
        <v>11</v>
      </c>
      <c r="E8318" t="s">
        <v>20</v>
      </c>
      <c r="F8318">
        <v>35130403</v>
      </c>
      <c r="G8318">
        <v>35130403</v>
      </c>
      <c r="H8318">
        <v>35130403</v>
      </c>
      <c r="I8318">
        <v>35130403</v>
      </c>
    </row>
    <row r="8319" spans="1:9" x14ac:dyDescent="0.2">
      <c r="A8319" t="str">
        <f>"Gm20856"</f>
        <v>Gm20856</v>
      </c>
      <c r="B8319" t="s">
        <v>3106</v>
      </c>
      <c r="C8319" t="s">
        <v>63</v>
      </c>
      <c r="D8319" t="s">
        <v>11</v>
      </c>
      <c r="E8319" t="s">
        <v>20</v>
      </c>
      <c r="F8319">
        <v>85168796</v>
      </c>
      <c r="G8319">
        <v>85168796</v>
      </c>
      <c r="H8319">
        <v>85168796</v>
      </c>
      <c r="I8319">
        <v>85168796</v>
      </c>
    </row>
    <row r="8320" spans="1:9" x14ac:dyDescent="0.2">
      <c r="A8320" t="str">
        <f>"Gm20859"</f>
        <v>Gm20859</v>
      </c>
      <c r="B8320" t="s">
        <v>3107</v>
      </c>
      <c r="C8320" t="s">
        <v>63</v>
      </c>
      <c r="D8320" t="s">
        <v>11</v>
      </c>
      <c r="E8320" t="s">
        <v>20</v>
      </c>
      <c r="F8320">
        <v>77149421</v>
      </c>
      <c r="G8320">
        <v>77149421</v>
      </c>
      <c r="H8320">
        <v>77149421</v>
      </c>
      <c r="I8320">
        <v>77149421</v>
      </c>
    </row>
    <row r="8321" spans="1:9" x14ac:dyDescent="0.2">
      <c r="A8321" t="str">
        <f>"Gm20860"</f>
        <v>Gm20860</v>
      </c>
      <c r="B8321" t="s">
        <v>3108</v>
      </c>
      <c r="C8321" t="s">
        <v>63</v>
      </c>
      <c r="D8321" t="s">
        <v>11</v>
      </c>
      <c r="E8321" t="s">
        <v>20</v>
      </c>
      <c r="F8321">
        <v>86434893</v>
      </c>
      <c r="G8321">
        <v>86434893</v>
      </c>
      <c r="H8321">
        <v>86434893</v>
      </c>
      <c r="I8321">
        <v>86434893</v>
      </c>
    </row>
    <row r="8322" spans="1:9" x14ac:dyDescent="0.2">
      <c r="A8322" t="str">
        <f>"Gm20861"</f>
        <v>Gm20861</v>
      </c>
      <c r="B8322" t="s">
        <v>3109</v>
      </c>
      <c r="C8322" t="s">
        <v>63</v>
      </c>
      <c r="D8322" t="s">
        <v>11</v>
      </c>
      <c r="E8322" t="s">
        <v>20</v>
      </c>
      <c r="F8322">
        <v>86366422</v>
      </c>
      <c r="G8322">
        <v>86366422</v>
      </c>
      <c r="H8322">
        <v>86366422</v>
      </c>
      <c r="I8322">
        <v>86366422</v>
      </c>
    </row>
    <row r="8323" spans="1:9" x14ac:dyDescent="0.2">
      <c r="A8323" t="str">
        <f>"Gm20862"</f>
        <v>Gm20862</v>
      </c>
      <c r="B8323" t="s">
        <v>3110</v>
      </c>
      <c r="C8323" t="s">
        <v>63</v>
      </c>
      <c r="D8323" t="s">
        <v>11</v>
      </c>
      <c r="E8323" t="s">
        <v>20</v>
      </c>
      <c r="F8323">
        <v>83790565</v>
      </c>
      <c r="G8323">
        <v>83790565</v>
      </c>
      <c r="H8323">
        <v>83790565</v>
      </c>
      <c r="I8323">
        <v>83790565</v>
      </c>
    </row>
    <row r="8324" spans="1:9" x14ac:dyDescent="0.2">
      <c r="A8324" t="str">
        <f>"Gm20863"</f>
        <v>Gm20863</v>
      </c>
      <c r="B8324" t="s">
        <v>3111</v>
      </c>
      <c r="C8324" t="s">
        <v>63</v>
      </c>
      <c r="D8324" t="s">
        <v>11</v>
      </c>
      <c r="E8324" t="s">
        <v>20</v>
      </c>
      <c r="F8324">
        <v>83853058</v>
      </c>
      <c r="G8324">
        <v>83853058</v>
      </c>
      <c r="H8324">
        <v>83853058</v>
      </c>
      <c r="I8324">
        <v>83853058</v>
      </c>
    </row>
    <row r="8325" spans="1:9" x14ac:dyDescent="0.2">
      <c r="A8325" t="str">
        <f>"Gm20864"</f>
        <v>Gm20864</v>
      </c>
      <c r="B8325" t="s">
        <v>3112</v>
      </c>
      <c r="C8325" t="s">
        <v>63</v>
      </c>
      <c r="D8325" t="s">
        <v>11</v>
      </c>
      <c r="E8325" t="s">
        <v>20</v>
      </c>
      <c r="F8325">
        <v>83927734</v>
      </c>
      <c r="G8325">
        <v>83927734</v>
      </c>
      <c r="H8325">
        <v>83927734</v>
      </c>
      <c r="I8325">
        <v>83927734</v>
      </c>
    </row>
    <row r="8326" spans="1:9" x14ac:dyDescent="0.2">
      <c r="A8326" t="str">
        <f>"Gm20865"</f>
        <v>Gm20865</v>
      </c>
      <c r="B8326" t="s">
        <v>3113</v>
      </c>
      <c r="C8326" t="s">
        <v>63</v>
      </c>
      <c r="D8326" t="s">
        <v>17</v>
      </c>
      <c r="E8326" t="s">
        <v>20</v>
      </c>
      <c r="F8326">
        <v>21242965</v>
      </c>
      <c r="G8326">
        <v>21242965</v>
      </c>
      <c r="H8326">
        <v>21242965</v>
      </c>
      <c r="I8326">
        <v>21242965</v>
      </c>
    </row>
    <row r="8327" spans="1:9" x14ac:dyDescent="0.2">
      <c r="A8327" t="str">
        <f>"Gm20865"</f>
        <v>Gm20865</v>
      </c>
      <c r="B8327" t="s">
        <v>3114</v>
      </c>
      <c r="C8327" t="s">
        <v>63</v>
      </c>
      <c r="D8327" t="s">
        <v>17</v>
      </c>
      <c r="E8327" t="s">
        <v>20</v>
      </c>
      <c r="F8327">
        <v>21241574</v>
      </c>
      <c r="G8327">
        <v>21241574</v>
      </c>
      <c r="H8327">
        <v>21241574</v>
      </c>
      <c r="I8327">
        <v>21241574</v>
      </c>
    </row>
    <row r="8328" spans="1:9" x14ac:dyDescent="0.2">
      <c r="A8328" t="str">
        <f>"Gm20866"</f>
        <v>Gm20866</v>
      </c>
      <c r="B8328" t="s">
        <v>3115</v>
      </c>
      <c r="C8328" t="s">
        <v>63</v>
      </c>
      <c r="D8328" t="s">
        <v>11</v>
      </c>
      <c r="E8328" t="s">
        <v>20</v>
      </c>
      <c r="F8328">
        <v>71224004</v>
      </c>
      <c r="G8328">
        <v>71224004</v>
      </c>
      <c r="H8328">
        <v>71224004</v>
      </c>
      <c r="I8328">
        <v>71224004</v>
      </c>
    </row>
    <row r="8329" spans="1:9" x14ac:dyDescent="0.2">
      <c r="A8329" t="str">
        <f>"Gm20867"</f>
        <v>Gm20867</v>
      </c>
      <c r="B8329" t="s">
        <v>3116</v>
      </c>
      <c r="C8329" t="s">
        <v>63</v>
      </c>
      <c r="D8329" t="s">
        <v>11</v>
      </c>
      <c r="E8329" t="s">
        <v>20</v>
      </c>
      <c r="F8329">
        <v>77961689</v>
      </c>
      <c r="G8329">
        <v>77961689</v>
      </c>
      <c r="H8329">
        <v>77961689</v>
      </c>
      <c r="I8329">
        <v>77961689</v>
      </c>
    </row>
    <row r="8330" spans="1:9" x14ac:dyDescent="0.2">
      <c r="A8330" t="str">
        <f>"Gm20868"</f>
        <v>Gm20868</v>
      </c>
      <c r="B8330" t="s">
        <v>3117</v>
      </c>
      <c r="C8330" t="s">
        <v>63</v>
      </c>
      <c r="D8330" t="s">
        <v>11</v>
      </c>
      <c r="E8330" t="s">
        <v>20</v>
      </c>
      <c r="F8330">
        <v>71300147</v>
      </c>
      <c r="G8330">
        <v>71300147</v>
      </c>
      <c r="H8330">
        <v>71300147</v>
      </c>
      <c r="I8330">
        <v>71300147</v>
      </c>
    </row>
    <row r="8331" spans="1:9" x14ac:dyDescent="0.2">
      <c r="A8331" t="str">
        <f>"Gm20873"</f>
        <v>Gm20873</v>
      </c>
      <c r="B8331" t="s">
        <v>3118</v>
      </c>
      <c r="C8331" t="s">
        <v>63</v>
      </c>
      <c r="D8331" t="s">
        <v>17</v>
      </c>
      <c r="E8331" t="s">
        <v>20</v>
      </c>
      <c r="F8331">
        <v>6268724</v>
      </c>
      <c r="G8331">
        <v>6268724</v>
      </c>
      <c r="H8331">
        <v>6268724</v>
      </c>
      <c r="I8331">
        <v>6268724</v>
      </c>
    </row>
    <row r="8332" spans="1:9" x14ac:dyDescent="0.2">
      <c r="A8332" t="str">
        <f>"Gm20874"</f>
        <v>Gm20874</v>
      </c>
      <c r="B8332" t="s">
        <v>3119</v>
      </c>
      <c r="C8332" t="s">
        <v>63</v>
      </c>
      <c r="D8332" t="s">
        <v>11</v>
      </c>
      <c r="E8332" t="s">
        <v>20</v>
      </c>
      <c r="F8332">
        <v>67631467</v>
      </c>
      <c r="G8332">
        <v>67631467</v>
      </c>
      <c r="H8332">
        <v>67631467</v>
      </c>
      <c r="I8332">
        <v>67631467</v>
      </c>
    </row>
    <row r="8333" spans="1:9" x14ac:dyDescent="0.2">
      <c r="A8333" t="str">
        <f>"Gm20877"</f>
        <v>Gm20877</v>
      </c>
      <c r="B8333" t="s">
        <v>3120</v>
      </c>
      <c r="C8333" t="s">
        <v>63</v>
      </c>
      <c r="D8333" t="s">
        <v>17</v>
      </c>
      <c r="E8333" t="s">
        <v>20</v>
      </c>
      <c r="F8333">
        <v>17093878</v>
      </c>
      <c r="G8333">
        <v>17093878</v>
      </c>
      <c r="H8333">
        <v>17093878</v>
      </c>
      <c r="I8333">
        <v>17093878</v>
      </c>
    </row>
    <row r="8334" spans="1:9" x14ac:dyDescent="0.2">
      <c r="A8334" t="str">
        <f>"Gm20878"</f>
        <v>Gm20878</v>
      </c>
      <c r="B8334" t="s">
        <v>3121</v>
      </c>
      <c r="C8334" t="s">
        <v>23</v>
      </c>
      <c r="D8334" t="s">
        <v>17</v>
      </c>
      <c r="E8334" t="s">
        <v>20</v>
      </c>
      <c r="F8334">
        <v>41941598</v>
      </c>
      <c r="G8334">
        <v>41941598</v>
      </c>
      <c r="H8334">
        <v>41941598</v>
      </c>
      <c r="I8334">
        <v>41941598</v>
      </c>
    </row>
    <row r="8335" spans="1:9" x14ac:dyDescent="0.2">
      <c r="A8335" t="str">
        <f>"Gm20878"</f>
        <v>Gm20878</v>
      </c>
      <c r="B8335" t="s">
        <v>3122</v>
      </c>
      <c r="C8335" t="s">
        <v>23</v>
      </c>
      <c r="D8335" t="s">
        <v>17</v>
      </c>
      <c r="E8335" t="s">
        <v>20</v>
      </c>
      <c r="F8335">
        <v>41942036</v>
      </c>
      <c r="G8335">
        <v>41942036</v>
      </c>
      <c r="H8335">
        <v>41942036</v>
      </c>
      <c r="I8335">
        <v>41942036</v>
      </c>
    </row>
    <row r="8336" spans="1:9" x14ac:dyDescent="0.2">
      <c r="A8336" t="str">
        <f>"Gm20880"</f>
        <v>Gm20880</v>
      </c>
      <c r="B8336" t="s">
        <v>3123</v>
      </c>
      <c r="C8336" t="s">
        <v>63</v>
      </c>
      <c r="D8336" t="s">
        <v>11</v>
      </c>
      <c r="E8336" t="s">
        <v>20</v>
      </c>
      <c r="F8336">
        <v>50361154</v>
      </c>
      <c r="G8336">
        <v>50361154</v>
      </c>
      <c r="H8336">
        <v>50361154</v>
      </c>
      <c r="I8336">
        <v>50361154</v>
      </c>
    </row>
    <row r="8337" spans="1:9" x14ac:dyDescent="0.2">
      <c r="A8337" t="str">
        <f>"Gm20881"</f>
        <v>Gm20881</v>
      </c>
      <c r="B8337" t="s">
        <v>3124</v>
      </c>
      <c r="C8337" t="s">
        <v>63</v>
      </c>
      <c r="D8337" t="s">
        <v>11</v>
      </c>
      <c r="E8337" t="s">
        <v>20</v>
      </c>
      <c r="F8337">
        <v>50435858</v>
      </c>
      <c r="G8337">
        <v>50435858</v>
      </c>
      <c r="H8337">
        <v>50435858</v>
      </c>
      <c r="I8337">
        <v>50435858</v>
      </c>
    </row>
    <row r="8338" spans="1:9" x14ac:dyDescent="0.2">
      <c r="A8338" t="str">
        <f>"Gm20882"</f>
        <v>Gm20882</v>
      </c>
      <c r="B8338" t="s">
        <v>3125</v>
      </c>
      <c r="C8338" t="s">
        <v>63</v>
      </c>
      <c r="D8338" t="s">
        <v>11</v>
      </c>
      <c r="E8338" t="s">
        <v>20</v>
      </c>
      <c r="F8338">
        <v>64227754</v>
      </c>
      <c r="G8338">
        <v>64227754</v>
      </c>
      <c r="H8338">
        <v>64227754</v>
      </c>
      <c r="I8338">
        <v>64227754</v>
      </c>
    </row>
    <row r="8339" spans="1:9" x14ac:dyDescent="0.2">
      <c r="A8339" t="str">
        <f>"Gm20884"</f>
        <v>Gm20884</v>
      </c>
      <c r="B8339" t="s">
        <v>3126</v>
      </c>
      <c r="C8339" t="s">
        <v>63</v>
      </c>
      <c r="D8339" t="s">
        <v>11</v>
      </c>
      <c r="E8339" t="s">
        <v>20</v>
      </c>
      <c r="F8339">
        <v>51391844</v>
      </c>
      <c r="G8339">
        <v>51391844</v>
      </c>
      <c r="H8339">
        <v>51391844</v>
      </c>
      <c r="I8339">
        <v>51391844</v>
      </c>
    </row>
    <row r="8340" spans="1:9" x14ac:dyDescent="0.2">
      <c r="A8340" t="str">
        <f>"Gm20886"</f>
        <v>Gm20886</v>
      </c>
      <c r="B8340" t="s">
        <v>3127</v>
      </c>
      <c r="C8340" t="s">
        <v>63</v>
      </c>
      <c r="D8340" t="s">
        <v>11</v>
      </c>
      <c r="E8340" t="s">
        <v>20</v>
      </c>
      <c r="F8340">
        <v>70706828</v>
      </c>
      <c r="G8340">
        <v>70706828</v>
      </c>
      <c r="H8340">
        <v>70706828</v>
      </c>
      <c r="I8340">
        <v>70706828</v>
      </c>
    </row>
    <row r="8341" spans="1:9" x14ac:dyDescent="0.2">
      <c r="A8341" t="str">
        <f>"Gm20887"</f>
        <v>Gm20887</v>
      </c>
      <c r="B8341" t="s">
        <v>3128</v>
      </c>
      <c r="C8341" t="s">
        <v>63</v>
      </c>
      <c r="D8341" t="s">
        <v>11</v>
      </c>
      <c r="E8341" t="s">
        <v>20</v>
      </c>
      <c r="F8341">
        <v>50955530</v>
      </c>
      <c r="G8341">
        <v>50955530</v>
      </c>
      <c r="H8341">
        <v>50955530</v>
      </c>
      <c r="I8341">
        <v>50955530</v>
      </c>
    </row>
    <row r="8342" spans="1:9" x14ac:dyDescent="0.2">
      <c r="A8342" t="str">
        <f>"Gm20888"</f>
        <v>Gm20888</v>
      </c>
      <c r="B8342" t="s">
        <v>3129</v>
      </c>
      <c r="C8342" t="s">
        <v>63</v>
      </c>
      <c r="D8342" t="s">
        <v>17</v>
      </c>
      <c r="E8342" t="s">
        <v>20</v>
      </c>
      <c r="F8342">
        <v>70443304</v>
      </c>
      <c r="G8342">
        <v>70443304</v>
      </c>
      <c r="H8342">
        <v>70443304</v>
      </c>
      <c r="I8342">
        <v>70443304</v>
      </c>
    </row>
    <row r="8343" spans="1:9" x14ac:dyDescent="0.2">
      <c r="A8343" t="str">
        <f>"Gm20889"</f>
        <v>Gm20889</v>
      </c>
      <c r="B8343" t="s">
        <v>3130</v>
      </c>
      <c r="C8343" t="s">
        <v>63</v>
      </c>
      <c r="D8343" t="s">
        <v>11</v>
      </c>
      <c r="E8343" t="s">
        <v>20</v>
      </c>
      <c r="F8343">
        <v>50880879</v>
      </c>
      <c r="G8343">
        <v>50880879</v>
      </c>
      <c r="H8343">
        <v>50880879</v>
      </c>
      <c r="I8343">
        <v>50880879</v>
      </c>
    </row>
    <row r="8344" spans="1:9" x14ac:dyDescent="0.2">
      <c r="A8344" t="str">
        <f>"Gm20891"</f>
        <v>Gm20891</v>
      </c>
      <c r="B8344" t="s">
        <v>3131</v>
      </c>
      <c r="C8344" t="s">
        <v>63</v>
      </c>
      <c r="D8344" t="s">
        <v>17</v>
      </c>
      <c r="E8344" t="s">
        <v>20</v>
      </c>
      <c r="F8344">
        <v>27924317</v>
      </c>
      <c r="G8344">
        <v>27924317</v>
      </c>
      <c r="H8344">
        <v>27924317</v>
      </c>
      <c r="I8344">
        <v>27924317</v>
      </c>
    </row>
    <row r="8345" spans="1:9" x14ac:dyDescent="0.2">
      <c r="A8345" t="str">
        <f>"Gm20892"</f>
        <v>Gm20892</v>
      </c>
      <c r="B8345" t="s">
        <v>3132</v>
      </c>
      <c r="C8345" t="s">
        <v>63</v>
      </c>
      <c r="D8345" t="s">
        <v>17</v>
      </c>
      <c r="E8345" t="s">
        <v>20</v>
      </c>
      <c r="F8345">
        <v>26947543</v>
      </c>
      <c r="G8345">
        <v>26947543</v>
      </c>
      <c r="H8345">
        <v>26947543</v>
      </c>
      <c r="I8345">
        <v>26947543</v>
      </c>
    </row>
    <row r="8346" spans="1:9" x14ac:dyDescent="0.2">
      <c r="A8346" t="str">
        <f>"Gm20893"</f>
        <v>Gm20893</v>
      </c>
      <c r="B8346" t="s">
        <v>3133</v>
      </c>
      <c r="C8346" t="s">
        <v>63</v>
      </c>
      <c r="D8346" t="s">
        <v>17</v>
      </c>
      <c r="E8346" t="s">
        <v>20</v>
      </c>
      <c r="F8346">
        <v>27998839</v>
      </c>
      <c r="G8346">
        <v>27998839</v>
      </c>
      <c r="H8346">
        <v>27998839</v>
      </c>
      <c r="I8346">
        <v>27998839</v>
      </c>
    </row>
    <row r="8347" spans="1:9" x14ac:dyDescent="0.2">
      <c r="A8347" t="str">
        <f>"Gm20895"</f>
        <v>Gm20895</v>
      </c>
      <c r="B8347" t="s">
        <v>3134</v>
      </c>
      <c r="C8347" t="s">
        <v>63</v>
      </c>
      <c r="D8347" t="s">
        <v>17</v>
      </c>
      <c r="E8347" t="s">
        <v>20</v>
      </c>
      <c r="F8347">
        <v>26508823</v>
      </c>
      <c r="G8347">
        <v>26508823</v>
      </c>
      <c r="H8347">
        <v>26508823</v>
      </c>
      <c r="I8347">
        <v>26508823</v>
      </c>
    </row>
    <row r="8348" spans="1:9" x14ac:dyDescent="0.2">
      <c r="A8348" t="str">
        <f>"Gm20896"</f>
        <v>Gm20896</v>
      </c>
      <c r="B8348" t="s">
        <v>3135</v>
      </c>
      <c r="C8348" t="s">
        <v>63</v>
      </c>
      <c r="D8348" t="s">
        <v>11</v>
      </c>
      <c r="E8348" t="s">
        <v>20</v>
      </c>
      <c r="F8348">
        <v>35920096</v>
      </c>
      <c r="G8348">
        <v>35920096</v>
      </c>
      <c r="H8348">
        <v>35920096</v>
      </c>
      <c r="I8348">
        <v>35920096</v>
      </c>
    </row>
    <row r="8349" spans="1:9" x14ac:dyDescent="0.2">
      <c r="A8349" t="str">
        <f>"Gm20898"</f>
        <v>Gm20898</v>
      </c>
      <c r="B8349" t="s">
        <v>3136</v>
      </c>
      <c r="C8349" t="s">
        <v>63</v>
      </c>
      <c r="D8349" t="s">
        <v>17</v>
      </c>
      <c r="E8349" t="s">
        <v>20</v>
      </c>
      <c r="F8349">
        <v>36091590</v>
      </c>
      <c r="G8349">
        <v>36091590</v>
      </c>
      <c r="H8349">
        <v>36091590</v>
      </c>
      <c r="I8349">
        <v>36091590</v>
      </c>
    </row>
    <row r="8350" spans="1:9" x14ac:dyDescent="0.2">
      <c r="A8350" t="str">
        <f>"Gm20901"</f>
        <v>Gm20901</v>
      </c>
      <c r="B8350" t="s">
        <v>3137</v>
      </c>
      <c r="C8350" t="s">
        <v>63</v>
      </c>
      <c r="D8350" t="s">
        <v>11</v>
      </c>
      <c r="E8350" t="s">
        <v>20</v>
      </c>
      <c r="F8350">
        <v>38800792</v>
      </c>
      <c r="G8350">
        <v>38800792</v>
      </c>
      <c r="H8350">
        <v>38800792</v>
      </c>
      <c r="I8350">
        <v>38800792</v>
      </c>
    </row>
    <row r="8351" spans="1:9" x14ac:dyDescent="0.2">
      <c r="A8351" t="str">
        <f>"Gm20902"</f>
        <v>Gm20902</v>
      </c>
      <c r="B8351" t="s">
        <v>3138</v>
      </c>
      <c r="C8351" t="s">
        <v>63</v>
      </c>
      <c r="D8351" t="s">
        <v>11</v>
      </c>
      <c r="E8351" t="s">
        <v>20</v>
      </c>
      <c r="F8351">
        <v>73536229</v>
      </c>
      <c r="G8351">
        <v>73536229</v>
      </c>
      <c r="H8351">
        <v>73536229</v>
      </c>
      <c r="I8351">
        <v>73536229</v>
      </c>
    </row>
    <row r="8352" spans="1:9" x14ac:dyDescent="0.2">
      <c r="A8352" t="str">
        <f>"Gm20904"</f>
        <v>Gm20904</v>
      </c>
      <c r="B8352" t="s">
        <v>3139</v>
      </c>
      <c r="C8352" t="s">
        <v>63</v>
      </c>
      <c r="D8352" t="s">
        <v>11</v>
      </c>
      <c r="E8352" t="s">
        <v>20</v>
      </c>
      <c r="F8352">
        <v>76061650</v>
      </c>
      <c r="G8352">
        <v>76061650</v>
      </c>
      <c r="H8352">
        <v>76061650</v>
      </c>
      <c r="I8352">
        <v>76061650</v>
      </c>
    </row>
    <row r="8353" spans="1:9" x14ac:dyDescent="0.2">
      <c r="A8353" t="str">
        <f>"Gm20907"</f>
        <v>Gm20907</v>
      </c>
      <c r="B8353" t="s">
        <v>3140</v>
      </c>
      <c r="C8353" t="s">
        <v>63</v>
      </c>
      <c r="D8353" t="s">
        <v>11</v>
      </c>
      <c r="E8353" t="s">
        <v>20</v>
      </c>
      <c r="F8353">
        <v>64302597</v>
      </c>
      <c r="G8353">
        <v>64302597</v>
      </c>
      <c r="H8353">
        <v>64302597</v>
      </c>
      <c r="I8353">
        <v>64302597</v>
      </c>
    </row>
    <row r="8354" spans="1:9" x14ac:dyDescent="0.2">
      <c r="A8354" t="str">
        <f>"Gm20909"</f>
        <v>Gm20909</v>
      </c>
      <c r="B8354" t="s">
        <v>3141</v>
      </c>
      <c r="C8354" t="s">
        <v>63</v>
      </c>
      <c r="D8354" t="s">
        <v>17</v>
      </c>
      <c r="E8354" t="s">
        <v>20</v>
      </c>
      <c r="F8354">
        <v>21166082</v>
      </c>
      <c r="G8354">
        <v>21166082</v>
      </c>
      <c r="H8354">
        <v>21166082</v>
      </c>
      <c r="I8354">
        <v>21166082</v>
      </c>
    </row>
    <row r="8355" spans="1:9" x14ac:dyDescent="0.2">
      <c r="A8355" t="str">
        <f>"Gm20909"</f>
        <v>Gm20909</v>
      </c>
      <c r="B8355" t="s">
        <v>3142</v>
      </c>
      <c r="C8355" t="s">
        <v>63</v>
      </c>
      <c r="D8355" t="s">
        <v>17</v>
      </c>
      <c r="E8355" t="s">
        <v>20</v>
      </c>
      <c r="F8355">
        <v>21164569</v>
      </c>
      <c r="G8355">
        <v>21164569</v>
      </c>
      <c r="H8355">
        <v>21164569</v>
      </c>
      <c r="I8355">
        <v>21164569</v>
      </c>
    </row>
    <row r="8356" spans="1:9" x14ac:dyDescent="0.2">
      <c r="A8356" t="str">
        <f>"Gm20910"</f>
        <v>Gm20910</v>
      </c>
      <c r="B8356" t="s">
        <v>3143</v>
      </c>
      <c r="C8356" t="s">
        <v>63</v>
      </c>
      <c r="D8356" t="s">
        <v>17</v>
      </c>
      <c r="E8356" t="s">
        <v>20</v>
      </c>
      <c r="F8356">
        <v>21096897</v>
      </c>
      <c r="G8356">
        <v>21096897</v>
      </c>
      <c r="H8356">
        <v>21096897</v>
      </c>
      <c r="I8356">
        <v>21096897</v>
      </c>
    </row>
    <row r="8357" spans="1:9" x14ac:dyDescent="0.2">
      <c r="A8357" t="str">
        <f>"Gm20912"</f>
        <v>Gm20912</v>
      </c>
      <c r="B8357" t="s">
        <v>3144</v>
      </c>
      <c r="C8357" t="s">
        <v>63</v>
      </c>
      <c r="D8357" t="s">
        <v>11</v>
      </c>
      <c r="E8357" t="s">
        <v>20</v>
      </c>
      <c r="F8357">
        <v>81725301</v>
      </c>
      <c r="G8357">
        <v>81725301</v>
      </c>
      <c r="H8357">
        <v>81725301</v>
      </c>
      <c r="I8357">
        <v>81725301</v>
      </c>
    </row>
    <row r="8358" spans="1:9" x14ac:dyDescent="0.2">
      <c r="A8358" t="str">
        <f>"Gm20913"</f>
        <v>Gm20913</v>
      </c>
      <c r="B8358" t="s">
        <v>3145</v>
      </c>
      <c r="C8358" t="s">
        <v>63</v>
      </c>
      <c r="D8358" t="s">
        <v>11</v>
      </c>
      <c r="E8358" t="s">
        <v>20</v>
      </c>
      <c r="F8358">
        <v>57017519</v>
      </c>
      <c r="G8358">
        <v>57017519</v>
      </c>
      <c r="H8358">
        <v>57017519</v>
      </c>
      <c r="I8358">
        <v>57017519</v>
      </c>
    </row>
    <row r="8359" spans="1:9" x14ac:dyDescent="0.2">
      <c r="A8359" t="str">
        <f>"Gm20914"</f>
        <v>Gm20914</v>
      </c>
      <c r="B8359" t="s">
        <v>3146</v>
      </c>
      <c r="C8359" t="s">
        <v>63</v>
      </c>
      <c r="D8359" t="s">
        <v>17</v>
      </c>
      <c r="E8359" t="s">
        <v>20</v>
      </c>
      <c r="F8359">
        <v>5727495</v>
      </c>
      <c r="G8359">
        <v>5727495</v>
      </c>
      <c r="H8359">
        <v>5727495</v>
      </c>
      <c r="I8359">
        <v>5727495</v>
      </c>
    </row>
    <row r="8360" spans="1:9" x14ac:dyDescent="0.2">
      <c r="A8360" t="str">
        <f>"Gm20916"</f>
        <v>Gm20916</v>
      </c>
      <c r="B8360" t="s">
        <v>3147</v>
      </c>
      <c r="C8360" t="s">
        <v>63</v>
      </c>
      <c r="D8360" t="s">
        <v>17</v>
      </c>
      <c r="E8360" t="s">
        <v>20</v>
      </c>
      <c r="F8360">
        <v>79320996</v>
      </c>
      <c r="G8360">
        <v>79320996</v>
      </c>
      <c r="H8360">
        <v>79320996</v>
      </c>
      <c r="I8360">
        <v>79320996</v>
      </c>
    </row>
    <row r="8361" spans="1:9" x14ac:dyDescent="0.2">
      <c r="A8361" t="str">
        <f>"Gm20917"</f>
        <v>Gm20917</v>
      </c>
      <c r="B8361" t="s">
        <v>3148</v>
      </c>
      <c r="C8361" t="s">
        <v>63</v>
      </c>
      <c r="D8361" t="s">
        <v>11</v>
      </c>
      <c r="E8361" t="s">
        <v>20</v>
      </c>
      <c r="F8361">
        <v>79149786</v>
      </c>
      <c r="G8361">
        <v>79149786</v>
      </c>
      <c r="H8361">
        <v>79149786</v>
      </c>
      <c r="I8361">
        <v>79149786</v>
      </c>
    </row>
    <row r="8362" spans="1:9" x14ac:dyDescent="0.2">
      <c r="A8362" t="str">
        <f>"Gm20918"</f>
        <v>Gm20918</v>
      </c>
      <c r="B8362" t="s">
        <v>3149</v>
      </c>
      <c r="C8362" t="s">
        <v>63</v>
      </c>
      <c r="D8362" t="s">
        <v>17</v>
      </c>
      <c r="E8362" t="s">
        <v>20</v>
      </c>
      <c r="F8362">
        <v>5045444</v>
      </c>
      <c r="G8362">
        <v>5045444</v>
      </c>
      <c r="H8362">
        <v>5045444</v>
      </c>
      <c r="I8362">
        <v>5045444</v>
      </c>
    </row>
    <row r="8363" spans="1:9" x14ac:dyDescent="0.2">
      <c r="A8363" t="str">
        <f>"Gm20919"</f>
        <v>Gm20919</v>
      </c>
      <c r="B8363" t="s">
        <v>3150</v>
      </c>
      <c r="C8363" t="s">
        <v>63</v>
      </c>
      <c r="D8363" t="s">
        <v>11</v>
      </c>
      <c r="E8363" t="s">
        <v>20</v>
      </c>
      <c r="F8363">
        <v>79074939</v>
      </c>
      <c r="G8363">
        <v>79074939</v>
      </c>
      <c r="H8363">
        <v>79074939</v>
      </c>
      <c r="I8363">
        <v>79074939</v>
      </c>
    </row>
    <row r="8364" spans="1:9" x14ac:dyDescent="0.2">
      <c r="A8364" t="str">
        <f>"Gm20921"</f>
        <v>Gm20921</v>
      </c>
      <c r="B8364" t="s">
        <v>3151</v>
      </c>
      <c r="C8364" t="s">
        <v>63</v>
      </c>
      <c r="D8364" t="s">
        <v>11</v>
      </c>
      <c r="E8364" t="s">
        <v>20</v>
      </c>
      <c r="F8364">
        <v>64859351</v>
      </c>
      <c r="G8364">
        <v>64859351</v>
      </c>
      <c r="H8364">
        <v>64859351</v>
      </c>
      <c r="I8364">
        <v>64859351</v>
      </c>
    </row>
    <row r="8365" spans="1:9" x14ac:dyDescent="0.2">
      <c r="A8365" t="str">
        <f>"Gm20922"</f>
        <v>Gm20922</v>
      </c>
      <c r="B8365" t="s">
        <v>3152</v>
      </c>
      <c r="C8365" t="s">
        <v>63</v>
      </c>
      <c r="D8365" t="s">
        <v>17</v>
      </c>
      <c r="E8365" t="s">
        <v>20</v>
      </c>
      <c r="F8365">
        <v>37884614</v>
      </c>
      <c r="G8365">
        <v>37884614</v>
      </c>
      <c r="H8365">
        <v>37884614</v>
      </c>
      <c r="I8365">
        <v>37884614</v>
      </c>
    </row>
    <row r="8366" spans="1:9" x14ac:dyDescent="0.2">
      <c r="A8366" t="str">
        <f>"Gm20923"</f>
        <v>Gm20923</v>
      </c>
      <c r="B8366" t="s">
        <v>3153</v>
      </c>
      <c r="C8366" t="s">
        <v>63</v>
      </c>
      <c r="D8366" t="s">
        <v>11</v>
      </c>
      <c r="E8366" t="s">
        <v>20</v>
      </c>
      <c r="F8366">
        <v>52470685</v>
      </c>
      <c r="G8366">
        <v>52470685</v>
      </c>
      <c r="H8366">
        <v>52470685</v>
      </c>
      <c r="I8366">
        <v>52470685</v>
      </c>
    </row>
    <row r="8367" spans="1:9" x14ac:dyDescent="0.2">
      <c r="A8367" t="str">
        <f>"Gm20924"</f>
        <v>Gm20924</v>
      </c>
      <c r="B8367" t="s">
        <v>3154</v>
      </c>
      <c r="C8367" t="s">
        <v>63</v>
      </c>
      <c r="D8367" t="s">
        <v>11</v>
      </c>
      <c r="E8367" t="s">
        <v>20</v>
      </c>
      <c r="F8367">
        <v>65206007</v>
      </c>
      <c r="G8367">
        <v>65206007</v>
      </c>
      <c r="H8367">
        <v>65206007</v>
      </c>
      <c r="I8367">
        <v>65206007</v>
      </c>
    </row>
    <row r="8368" spans="1:9" x14ac:dyDescent="0.2">
      <c r="A8368" t="str">
        <f>"Gm20925"</f>
        <v>Gm20925</v>
      </c>
      <c r="B8368" t="s">
        <v>3155</v>
      </c>
      <c r="C8368" t="s">
        <v>63</v>
      </c>
      <c r="D8368" t="s">
        <v>17</v>
      </c>
      <c r="E8368" t="s">
        <v>20</v>
      </c>
      <c r="F8368">
        <v>23306766</v>
      </c>
      <c r="G8368">
        <v>23306766</v>
      </c>
      <c r="H8368">
        <v>23306766</v>
      </c>
      <c r="I8368">
        <v>23306766</v>
      </c>
    </row>
    <row r="8369" spans="1:9" x14ac:dyDescent="0.2">
      <c r="A8369" t="str">
        <f>"Gm20926"</f>
        <v>Gm20926</v>
      </c>
      <c r="B8369" t="s">
        <v>3156</v>
      </c>
      <c r="C8369" t="s">
        <v>63</v>
      </c>
      <c r="D8369" t="s">
        <v>17</v>
      </c>
      <c r="E8369" t="s">
        <v>20</v>
      </c>
      <c r="F8369">
        <v>23381503</v>
      </c>
      <c r="G8369">
        <v>23381503</v>
      </c>
      <c r="H8369">
        <v>23381503</v>
      </c>
      <c r="I8369">
        <v>23381503</v>
      </c>
    </row>
    <row r="8370" spans="1:9" x14ac:dyDescent="0.2">
      <c r="A8370" t="str">
        <f>"Gm20927"</f>
        <v>Gm20927</v>
      </c>
      <c r="B8370" t="s">
        <v>3157</v>
      </c>
      <c r="C8370" t="s">
        <v>63</v>
      </c>
      <c r="D8370" t="s">
        <v>11</v>
      </c>
      <c r="E8370" t="s">
        <v>20</v>
      </c>
      <c r="F8370">
        <v>54969436</v>
      </c>
      <c r="G8370">
        <v>54969436</v>
      </c>
      <c r="H8370">
        <v>54969436</v>
      </c>
      <c r="I8370">
        <v>54969436</v>
      </c>
    </row>
    <row r="8371" spans="1:9" x14ac:dyDescent="0.2">
      <c r="A8371" t="str">
        <f>"Gm20930"</f>
        <v>Gm20930</v>
      </c>
      <c r="B8371" t="s">
        <v>3158</v>
      </c>
      <c r="C8371" t="s">
        <v>63</v>
      </c>
      <c r="D8371" t="s">
        <v>11</v>
      </c>
      <c r="E8371" t="s">
        <v>20</v>
      </c>
      <c r="F8371">
        <v>55044003</v>
      </c>
      <c r="G8371">
        <v>55044003</v>
      </c>
      <c r="H8371">
        <v>55044003</v>
      </c>
      <c r="I8371">
        <v>55044003</v>
      </c>
    </row>
    <row r="8372" spans="1:9" x14ac:dyDescent="0.2">
      <c r="A8372" t="str">
        <f>"Gm20931"</f>
        <v>Gm20931</v>
      </c>
      <c r="B8372" t="s">
        <v>3159</v>
      </c>
      <c r="C8372" t="s">
        <v>63</v>
      </c>
      <c r="D8372" t="s">
        <v>17</v>
      </c>
      <c r="E8372" t="s">
        <v>20</v>
      </c>
      <c r="F8372">
        <v>55215152</v>
      </c>
      <c r="G8372">
        <v>55215152</v>
      </c>
      <c r="H8372">
        <v>55215152</v>
      </c>
      <c r="I8372">
        <v>55215152</v>
      </c>
    </row>
    <row r="8373" spans="1:9" x14ac:dyDescent="0.2">
      <c r="A8373" t="str">
        <f>"Gm20932"</f>
        <v>Gm20932</v>
      </c>
      <c r="B8373" t="s">
        <v>3160</v>
      </c>
      <c r="C8373" t="s">
        <v>63</v>
      </c>
      <c r="D8373" t="s">
        <v>11</v>
      </c>
      <c r="E8373" t="s">
        <v>20</v>
      </c>
      <c r="F8373">
        <v>69626517</v>
      </c>
      <c r="G8373">
        <v>69626517</v>
      </c>
      <c r="H8373">
        <v>69626517</v>
      </c>
      <c r="I8373">
        <v>69626517</v>
      </c>
    </row>
    <row r="8374" spans="1:9" x14ac:dyDescent="0.2">
      <c r="A8374" t="str">
        <f>"Gm20933"</f>
        <v>Gm20933</v>
      </c>
      <c r="B8374" t="s">
        <v>3161</v>
      </c>
      <c r="C8374" t="s">
        <v>63</v>
      </c>
      <c r="D8374" t="s">
        <v>11</v>
      </c>
      <c r="E8374" t="s">
        <v>20</v>
      </c>
      <c r="F8374">
        <v>65939961</v>
      </c>
      <c r="G8374">
        <v>65939961</v>
      </c>
      <c r="H8374">
        <v>65939961</v>
      </c>
      <c r="I8374">
        <v>65939961</v>
      </c>
    </row>
    <row r="8375" spans="1:9" x14ac:dyDescent="0.2">
      <c r="A8375" t="str">
        <f>"Gm20934"</f>
        <v>Gm20934</v>
      </c>
      <c r="B8375" t="s">
        <v>3162</v>
      </c>
      <c r="C8375" t="s">
        <v>63</v>
      </c>
      <c r="D8375" t="s">
        <v>11</v>
      </c>
      <c r="E8375" t="s">
        <v>20</v>
      </c>
      <c r="F8375">
        <v>65723918</v>
      </c>
      <c r="G8375">
        <v>65723918</v>
      </c>
      <c r="H8375">
        <v>65723918</v>
      </c>
      <c r="I8375">
        <v>65723918</v>
      </c>
    </row>
    <row r="8376" spans="1:9" x14ac:dyDescent="0.2">
      <c r="A8376" t="str">
        <f>"Gm20935"</f>
        <v>Gm20935</v>
      </c>
      <c r="B8376" t="s">
        <v>3163</v>
      </c>
      <c r="C8376" t="s">
        <v>63</v>
      </c>
      <c r="D8376" t="s">
        <v>17</v>
      </c>
      <c r="E8376" t="s">
        <v>20</v>
      </c>
      <c r="F8376">
        <v>68023541</v>
      </c>
      <c r="G8376">
        <v>68023541</v>
      </c>
      <c r="H8376">
        <v>68023541</v>
      </c>
      <c r="I8376">
        <v>68023541</v>
      </c>
    </row>
    <row r="8377" spans="1:9" x14ac:dyDescent="0.2">
      <c r="A8377" t="str">
        <f>"Gm20936"</f>
        <v>Gm20936</v>
      </c>
      <c r="B8377" t="s">
        <v>3164</v>
      </c>
      <c r="C8377" t="s">
        <v>63</v>
      </c>
      <c r="D8377" t="s">
        <v>11</v>
      </c>
      <c r="E8377" t="s">
        <v>20</v>
      </c>
      <c r="F8377">
        <v>65649183</v>
      </c>
      <c r="G8377">
        <v>65649183</v>
      </c>
      <c r="H8377">
        <v>65649183</v>
      </c>
      <c r="I8377">
        <v>65649183</v>
      </c>
    </row>
    <row r="8378" spans="1:9" x14ac:dyDescent="0.2">
      <c r="A8378" t="str">
        <f>"Gm20937"</f>
        <v>Gm20937</v>
      </c>
      <c r="B8378" t="s">
        <v>3165</v>
      </c>
      <c r="C8378" t="s">
        <v>63</v>
      </c>
      <c r="D8378" t="s">
        <v>11</v>
      </c>
      <c r="E8378" t="s">
        <v>20</v>
      </c>
      <c r="F8378">
        <v>68293478</v>
      </c>
      <c r="G8378">
        <v>68293478</v>
      </c>
      <c r="H8378">
        <v>68293478</v>
      </c>
      <c r="I8378">
        <v>68293478</v>
      </c>
    </row>
    <row r="8379" spans="1:9" x14ac:dyDescent="0.2">
      <c r="A8379" t="str">
        <f>"Gm20938"</f>
        <v>Gm20938</v>
      </c>
      <c r="B8379" t="s">
        <v>3166</v>
      </c>
      <c r="C8379" t="s">
        <v>23</v>
      </c>
      <c r="D8379" t="s">
        <v>17</v>
      </c>
      <c r="E8379" t="s">
        <v>20</v>
      </c>
      <c r="F8379">
        <v>41966057</v>
      </c>
      <c r="G8379">
        <v>41966057</v>
      </c>
      <c r="H8379">
        <v>41966057</v>
      </c>
      <c r="I8379">
        <v>41966057</v>
      </c>
    </row>
    <row r="8380" spans="1:9" x14ac:dyDescent="0.2">
      <c r="A8380" t="str">
        <f>"Gm20939"</f>
        <v>Gm20939</v>
      </c>
      <c r="B8380" t="s">
        <v>3167</v>
      </c>
      <c r="C8380" t="s">
        <v>28</v>
      </c>
      <c r="D8380" t="s">
        <v>17</v>
      </c>
      <c r="E8380" t="s">
        <v>20</v>
      </c>
      <c r="F8380">
        <v>94873985</v>
      </c>
      <c r="G8380">
        <v>94873985</v>
      </c>
      <c r="H8380">
        <v>94873985</v>
      </c>
      <c r="I8380">
        <v>94873985</v>
      </c>
    </row>
    <row r="8381" spans="1:9" x14ac:dyDescent="0.2">
      <c r="A8381" t="str">
        <f>"Gm20946"</f>
        <v>Gm20946</v>
      </c>
      <c r="B8381" t="s">
        <v>3168</v>
      </c>
      <c r="C8381" t="s">
        <v>30</v>
      </c>
      <c r="D8381" t="s">
        <v>17</v>
      </c>
      <c r="E8381" t="s">
        <v>20</v>
      </c>
      <c r="F8381">
        <v>20828014</v>
      </c>
      <c r="G8381">
        <v>20828014</v>
      </c>
      <c r="H8381">
        <v>20828014</v>
      </c>
      <c r="I8381">
        <v>20828014</v>
      </c>
    </row>
    <row r="8382" spans="1:9" x14ac:dyDescent="0.2">
      <c r="A8382" t="str">
        <f>"Gm21002"</f>
        <v>Gm21002</v>
      </c>
      <c r="B8382" t="s">
        <v>3169</v>
      </c>
      <c r="C8382" t="s">
        <v>30</v>
      </c>
      <c r="D8382" t="s">
        <v>17</v>
      </c>
      <c r="E8382" t="s">
        <v>20</v>
      </c>
      <c r="F8382">
        <v>21391810</v>
      </c>
      <c r="G8382">
        <v>21391810</v>
      </c>
      <c r="H8382">
        <v>21391810</v>
      </c>
      <c r="I8382">
        <v>21391810</v>
      </c>
    </row>
    <row r="8383" spans="1:9" x14ac:dyDescent="0.2">
      <c r="A8383" t="str">
        <f>"Gm21028"</f>
        <v>Gm21028</v>
      </c>
      <c r="B8383" t="s">
        <v>3170</v>
      </c>
      <c r="C8383" t="s">
        <v>33</v>
      </c>
      <c r="D8383" t="s">
        <v>11</v>
      </c>
      <c r="E8383" t="s">
        <v>20</v>
      </c>
      <c r="F8383">
        <v>42578587</v>
      </c>
      <c r="G8383">
        <v>42578587</v>
      </c>
      <c r="H8383">
        <v>42578587</v>
      </c>
      <c r="I8383">
        <v>42578587</v>
      </c>
    </row>
    <row r="8384" spans="1:9" x14ac:dyDescent="0.2">
      <c r="A8384" t="str">
        <f>"Gm21060"</f>
        <v>Gm21060</v>
      </c>
      <c r="B8384" t="s">
        <v>3171</v>
      </c>
      <c r="C8384" t="s">
        <v>10</v>
      </c>
      <c r="D8384" t="s">
        <v>11</v>
      </c>
      <c r="E8384" t="s">
        <v>20</v>
      </c>
      <c r="F8384">
        <v>61297068</v>
      </c>
      <c r="G8384">
        <v>61297068</v>
      </c>
      <c r="H8384">
        <v>61297068</v>
      </c>
      <c r="I8384">
        <v>61297068</v>
      </c>
    </row>
    <row r="8385" spans="1:9" x14ac:dyDescent="0.2">
      <c r="A8385" t="str">
        <f>"Gm21065"</f>
        <v>Gm21065</v>
      </c>
      <c r="B8385" t="s">
        <v>3172</v>
      </c>
      <c r="C8385" t="s">
        <v>63</v>
      </c>
      <c r="D8385" t="s">
        <v>17</v>
      </c>
      <c r="E8385" t="s">
        <v>20</v>
      </c>
      <c r="F8385">
        <v>22513859</v>
      </c>
      <c r="G8385">
        <v>22513859</v>
      </c>
      <c r="H8385">
        <v>22513859</v>
      </c>
      <c r="I8385">
        <v>22513859</v>
      </c>
    </row>
    <row r="8386" spans="1:9" x14ac:dyDescent="0.2">
      <c r="A8386" t="str">
        <f>"Gm21076"</f>
        <v>Gm21076</v>
      </c>
      <c r="B8386" t="s">
        <v>3173</v>
      </c>
      <c r="C8386" t="s">
        <v>63</v>
      </c>
      <c r="D8386" t="s">
        <v>11</v>
      </c>
      <c r="E8386" t="s">
        <v>20</v>
      </c>
      <c r="F8386">
        <v>74789645</v>
      </c>
      <c r="G8386">
        <v>74789645</v>
      </c>
      <c r="H8386">
        <v>74789645</v>
      </c>
      <c r="I8386">
        <v>74789645</v>
      </c>
    </row>
    <row r="8387" spans="1:9" x14ac:dyDescent="0.2">
      <c r="A8387" t="str">
        <f>"Gm21085"</f>
        <v>Gm21085</v>
      </c>
      <c r="B8387" t="s">
        <v>3174</v>
      </c>
      <c r="C8387" t="s">
        <v>37</v>
      </c>
      <c r="D8387" t="s">
        <v>17</v>
      </c>
      <c r="E8387" t="s">
        <v>20</v>
      </c>
      <c r="F8387">
        <v>37380387</v>
      </c>
      <c r="G8387">
        <v>37380387</v>
      </c>
      <c r="H8387">
        <v>37380387</v>
      </c>
      <c r="I8387">
        <v>37380387</v>
      </c>
    </row>
    <row r="8388" spans="1:9" x14ac:dyDescent="0.2">
      <c r="A8388" t="str">
        <f>"Gm21085"</f>
        <v>Gm21085</v>
      </c>
      <c r="B8388" t="s">
        <v>3175</v>
      </c>
      <c r="C8388" t="s">
        <v>37</v>
      </c>
      <c r="D8388" t="s">
        <v>17</v>
      </c>
      <c r="E8388" t="s">
        <v>20</v>
      </c>
      <c r="F8388">
        <v>37380027</v>
      </c>
      <c r="G8388">
        <v>37380027</v>
      </c>
      <c r="H8388">
        <v>37380027</v>
      </c>
      <c r="I8388">
        <v>37380027</v>
      </c>
    </row>
    <row r="8389" spans="1:9" x14ac:dyDescent="0.2">
      <c r="A8389" t="str">
        <f>"Gm21092"</f>
        <v>Gm21092</v>
      </c>
      <c r="B8389" t="s">
        <v>3176</v>
      </c>
      <c r="C8389" t="s">
        <v>30</v>
      </c>
      <c r="D8389" t="s">
        <v>17</v>
      </c>
      <c r="E8389" t="s">
        <v>20</v>
      </c>
      <c r="F8389">
        <v>20550330</v>
      </c>
      <c r="G8389">
        <v>20550330</v>
      </c>
      <c r="H8389">
        <v>20550330</v>
      </c>
      <c r="I8389">
        <v>20550330</v>
      </c>
    </row>
    <row r="8390" spans="1:9" x14ac:dyDescent="0.2">
      <c r="A8390" t="str">
        <f>"Gm21093"</f>
        <v>Gm21093</v>
      </c>
      <c r="B8390" t="s">
        <v>3177</v>
      </c>
      <c r="C8390" t="s">
        <v>23</v>
      </c>
      <c r="D8390" t="s">
        <v>11</v>
      </c>
      <c r="E8390" t="s">
        <v>20</v>
      </c>
      <c r="F8390">
        <v>42034725</v>
      </c>
      <c r="G8390">
        <v>42034725</v>
      </c>
      <c r="H8390">
        <v>42034725</v>
      </c>
      <c r="I8390">
        <v>42034725</v>
      </c>
    </row>
    <row r="8391" spans="1:9" x14ac:dyDescent="0.2">
      <c r="A8391" t="str">
        <f>"Gm21094"</f>
        <v>Gm21094</v>
      </c>
      <c r="B8391" t="s">
        <v>3178</v>
      </c>
      <c r="C8391" t="s">
        <v>63</v>
      </c>
      <c r="D8391" t="s">
        <v>11</v>
      </c>
      <c r="E8391" t="s">
        <v>20</v>
      </c>
      <c r="F8391">
        <v>32619010</v>
      </c>
      <c r="G8391">
        <v>32619010</v>
      </c>
      <c r="H8391">
        <v>32619010</v>
      </c>
      <c r="I8391">
        <v>32619010</v>
      </c>
    </row>
    <row r="8392" spans="1:9" x14ac:dyDescent="0.2">
      <c r="A8392" t="str">
        <f>"Gm21095"</f>
        <v>Gm21095</v>
      </c>
      <c r="B8392" t="s">
        <v>3179</v>
      </c>
      <c r="C8392" t="s">
        <v>63</v>
      </c>
      <c r="D8392" t="s">
        <v>17</v>
      </c>
      <c r="E8392" t="s">
        <v>20</v>
      </c>
      <c r="F8392">
        <v>84098710</v>
      </c>
      <c r="G8392">
        <v>84098710</v>
      </c>
      <c r="H8392">
        <v>84098710</v>
      </c>
      <c r="I8392">
        <v>84098710</v>
      </c>
    </row>
    <row r="8393" spans="1:9" x14ac:dyDescent="0.2">
      <c r="A8393" t="str">
        <f>"Gm21098"</f>
        <v>Gm21098</v>
      </c>
      <c r="B8393" t="s">
        <v>3180</v>
      </c>
      <c r="C8393" t="s">
        <v>37</v>
      </c>
      <c r="D8393" t="s">
        <v>17</v>
      </c>
      <c r="E8393" t="s">
        <v>20</v>
      </c>
      <c r="F8393">
        <v>37390847</v>
      </c>
      <c r="G8393">
        <v>37390847</v>
      </c>
      <c r="H8393">
        <v>37390847</v>
      </c>
      <c r="I8393">
        <v>37390847</v>
      </c>
    </row>
    <row r="8394" spans="1:9" x14ac:dyDescent="0.2">
      <c r="A8394" t="str">
        <f>"Gm21103"</f>
        <v>Gm21103</v>
      </c>
      <c r="B8394" t="s">
        <v>14</v>
      </c>
      <c r="C8394" t="s">
        <v>41</v>
      </c>
      <c r="D8394" t="s">
        <v>11</v>
      </c>
      <c r="E8394" t="s">
        <v>67</v>
      </c>
      <c r="F8394">
        <v>6304848</v>
      </c>
      <c r="G8394">
        <v>6304862</v>
      </c>
      <c r="H8394">
        <v>6304848</v>
      </c>
      <c r="I8394">
        <v>6304862</v>
      </c>
    </row>
    <row r="8395" spans="1:9" x14ac:dyDescent="0.2">
      <c r="A8395" t="str">
        <f>"Gm21111"</f>
        <v>Gm21111</v>
      </c>
      <c r="B8395" t="s">
        <v>3181</v>
      </c>
      <c r="C8395" t="s">
        <v>63</v>
      </c>
      <c r="D8395" t="s">
        <v>11</v>
      </c>
      <c r="E8395" t="s">
        <v>20</v>
      </c>
      <c r="F8395">
        <v>75540397</v>
      </c>
      <c r="G8395">
        <v>75540397</v>
      </c>
      <c r="H8395">
        <v>75540397</v>
      </c>
      <c r="I8395">
        <v>75540397</v>
      </c>
    </row>
    <row r="8396" spans="1:9" x14ac:dyDescent="0.2">
      <c r="A8396" t="str">
        <f>"Gm21114"</f>
        <v>Gm21114</v>
      </c>
      <c r="B8396" t="s">
        <v>3182</v>
      </c>
      <c r="C8396" t="s">
        <v>63</v>
      </c>
      <c r="D8396" t="s">
        <v>11</v>
      </c>
      <c r="E8396" t="s">
        <v>20</v>
      </c>
      <c r="F8396">
        <v>67339870</v>
      </c>
      <c r="G8396">
        <v>67339870</v>
      </c>
      <c r="H8396">
        <v>67339870</v>
      </c>
      <c r="I8396">
        <v>67339870</v>
      </c>
    </row>
    <row r="8397" spans="1:9" x14ac:dyDescent="0.2">
      <c r="A8397" t="str">
        <f>"Gm21117"</f>
        <v>Gm21117</v>
      </c>
      <c r="B8397" t="s">
        <v>3183</v>
      </c>
      <c r="C8397" t="s">
        <v>63</v>
      </c>
      <c r="D8397" t="s">
        <v>17</v>
      </c>
      <c r="E8397" t="s">
        <v>20</v>
      </c>
      <c r="F8397">
        <v>51126654</v>
      </c>
      <c r="G8397">
        <v>51126654</v>
      </c>
      <c r="H8397">
        <v>51126654</v>
      </c>
      <c r="I8397">
        <v>51126654</v>
      </c>
    </row>
    <row r="8398" spans="1:9" x14ac:dyDescent="0.2">
      <c r="A8398" t="str">
        <f>"Gm21118"</f>
        <v>Gm21118</v>
      </c>
      <c r="B8398" t="s">
        <v>3184</v>
      </c>
      <c r="C8398" t="s">
        <v>63</v>
      </c>
      <c r="D8398" t="s">
        <v>11</v>
      </c>
      <c r="E8398" t="s">
        <v>20</v>
      </c>
      <c r="F8398">
        <v>70272123</v>
      </c>
      <c r="G8398">
        <v>70272123</v>
      </c>
      <c r="H8398">
        <v>70272123</v>
      </c>
      <c r="I8398">
        <v>70272123</v>
      </c>
    </row>
    <row r="8399" spans="1:9" x14ac:dyDescent="0.2">
      <c r="A8399" t="str">
        <f>"Gm21119"</f>
        <v>Gm21119</v>
      </c>
      <c r="B8399" t="s">
        <v>3185</v>
      </c>
      <c r="C8399" t="s">
        <v>30</v>
      </c>
      <c r="D8399" t="s">
        <v>17</v>
      </c>
      <c r="E8399" t="s">
        <v>20</v>
      </c>
      <c r="F8399">
        <v>20615096</v>
      </c>
      <c r="G8399">
        <v>20615096</v>
      </c>
      <c r="H8399">
        <v>20615096</v>
      </c>
      <c r="I8399">
        <v>20615096</v>
      </c>
    </row>
    <row r="8400" spans="1:9" x14ac:dyDescent="0.2">
      <c r="A8400" t="str">
        <f>"Gm21127"</f>
        <v>Gm21127</v>
      </c>
      <c r="B8400" t="s">
        <v>3186</v>
      </c>
      <c r="C8400" t="s">
        <v>63</v>
      </c>
      <c r="D8400" t="s">
        <v>17</v>
      </c>
      <c r="E8400" t="s">
        <v>20</v>
      </c>
      <c r="F8400">
        <v>68464867</v>
      </c>
      <c r="G8400">
        <v>68464867</v>
      </c>
      <c r="H8400">
        <v>68464867</v>
      </c>
      <c r="I8400">
        <v>68464867</v>
      </c>
    </row>
    <row r="8401" spans="1:9" x14ac:dyDescent="0.2">
      <c r="A8401" t="str">
        <f>"Gm21142"</f>
        <v>Gm21142</v>
      </c>
      <c r="B8401" t="s">
        <v>3187</v>
      </c>
      <c r="C8401" t="s">
        <v>33</v>
      </c>
      <c r="D8401" t="s">
        <v>11</v>
      </c>
      <c r="E8401" t="s">
        <v>20</v>
      </c>
      <c r="F8401">
        <v>38907151</v>
      </c>
      <c r="G8401">
        <v>38907151</v>
      </c>
      <c r="H8401">
        <v>38907151</v>
      </c>
      <c r="I8401">
        <v>38907151</v>
      </c>
    </row>
    <row r="8402" spans="1:9" x14ac:dyDescent="0.2">
      <c r="A8402" t="str">
        <f>"Gm21151"</f>
        <v>Gm21151</v>
      </c>
      <c r="B8402" t="s">
        <v>3188</v>
      </c>
      <c r="C8402" t="s">
        <v>63</v>
      </c>
      <c r="D8402" t="s">
        <v>17</v>
      </c>
      <c r="E8402" t="s">
        <v>20</v>
      </c>
      <c r="F8402">
        <v>69092806</v>
      </c>
      <c r="G8402">
        <v>69092806</v>
      </c>
      <c r="H8402">
        <v>69092806</v>
      </c>
      <c r="I8402">
        <v>69092806</v>
      </c>
    </row>
    <row r="8403" spans="1:9" x14ac:dyDescent="0.2">
      <c r="A8403" t="str">
        <f>"Gm21155"</f>
        <v>Gm21155</v>
      </c>
      <c r="B8403" t="s">
        <v>3189</v>
      </c>
      <c r="C8403" t="s">
        <v>63</v>
      </c>
      <c r="D8403" t="s">
        <v>11</v>
      </c>
      <c r="E8403" t="s">
        <v>20</v>
      </c>
      <c r="F8403">
        <v>76501466</v>
      </c>
      <c r="G8403">
        <v>76501466</v>
      </c>
      <c r="H8403">
        <v>76501466</v>
      </c>
      <c r="I8403">
        <v>76501466</v>
      </c>
    </row>
    <row r="8404" spans="1:9" x14ac:dyDescent="0.2">
      <c r="A8404" t="str">
        <f>"Gm21160"</f>
        <v>Gm21160</v>
      </c>
      <c r="B8404" t="s">
        <v>3190</v>
      </c>
      <c r="C8404" t="s">
        <v>63</v>
      </c>
      <c r="D8404" t="s">
        <v>17</v>
      </c>
      <c r="E8404" t="s">
        <v>20</v>
      </c>
      <c r="F8404">
        <v>69352609</v>
      </c>
      <c r="G8404">
        <v>69352609</v>
      </c>
      <c r="H8404">
        <v>69352609</v>
      </c>
      <c r="I8404">
        <v>69352609</v>
      </c>
    </row>
    <row r="8405" spans="1:9" x14ac:dyDescent="0.2">
      <c r="A8405" t="str">
        <f>"Gm21163"</f>
        <v>Gm21163</v>
      </c>
      <c r="B8405" t="s">
        <v>3191</v>
      </c>
      <c r="C8405" t="s">
        <v>63</v>
      </c>
      <c r="D8405" t="s">
        <v>11</v>
      </c>
      <c r="E8405" t="s">
        <v>20</v>
      </c>
      <c r="F8405">
        <v>76576409</v>
      </c>
      <c r="G8405">
        <v>76576409</v>
      </c>
      <c r="H8405">
        <v>76576409</v>
      </c>
      <c r="I8405">
        <v>76576409</v>
      </c>
    </row>
    <row r="8406" spans="1:9" x14ac:dyDescent="0.2">
      <c r="A8406" t="str">
        <f>"Gm21170"</f>
        <v>Gm21170</v>
      </c>
      <c r="B8406" t="s">
        <v>3192</v>
      </c>
      <c r="C8406" t="s">
        <v>63</v>
      </c>
      <c r="D8406" t="s">
        <v>11</v>
      </c>
      <c r="E8406" t="s">
        <v>20</v>
      </c>
      <c r="F8406">
        <v>47691097</v>
      </c>
      <c r="G8406">
        <v>47691097</v>
      </c>
      <c r="H8406">
        <v>47691097</v>
      </c>
      <c r="I8406">
        <v>47691097</v>
      </c>
    </row>
    <row r="8407" spans="1:9" x14ac:dyDescent="0.2">
      <c r="A8407" t="str">
        <f>"Gm21171"</f>
        <v>Gm21171</v>
      </c>
      <c r="B8407" t="s">
        <v>3193</v>
      </c>
      <c r="C8407" t="s">
        <v>63</v>
      </c>
      <c r="D8407" t="s">
        <v>11</v>
      </c>
      <c r="E8407" t="s">
        <v>20</v>
      </c>
      <c r="F8407">
        <v>65068362</v>
      </c>
      <c r="G8407">
        <v>65068362</v>
      </c>
      <c r="H8407">
        <v>65068362</v>
      </c>
      <c r="I8407">
        <v>65068362</v>
      </c>
    </row>
    <row r="8408" spans="1:9" x14ac:dyDescent="0.2">
      <c r="A8408" t="str">
        <f>"Gm21180"</f>
        <v>Gm21180</v>
      </c>
      <c r="B8408" t="s">
        <v>3194</v>
      </c>
      <c r="C8408" t="s">
        <v>63</v>
      </c>
      <c r="D8408" t="s">
        <v>11</v>
      </c>
      <c r="E8408" t="s">
        <v>20</v>
      </c>
      <c r="F8408">
        <v>77074727</v>
      </c>
      <c r="G8408">
        <v>77074727</v>
      </c>
      <c r="H8408">
        <v>77074727</v>
      </c>
      <c r="I8408">
        <v>77074727</v>
      </c>
    </row>
    <row r="8409" spans="1:9" x14ac:dyDescent="0.2">
      <c r="A8409" t="str">
        <f>"Gm21184"</f>
        <v>Gm21184</v>
      </c>
      <c r="B8409" t="s">
        <v>3195</v>
      </c>
      <c r="C8409" t="s">
        <v>63</v>
      </c>
      <c r="D8409" t="s">
        <v>17</v>
      </c>
      <c r="E8409" t="s">
        <v>20</v>
      </c>
      <c r="F8409">
        <v>34486833</v>
      </c>
      <c r="G8409">
        <v>34486833</v>
      </c>
      <c r="H8409">
        <v>34486833</v>
      </c>
      <c r="I8409">
        <v>34486833</v>
      </c>
    </row>
    <row r="8410" spans="1:9" x14ac:dyDescent="0.2">
      <c r="A8410" t="str">
        <f>"Gm21188"</f>
        <v>Gm21188</v>
      </c>
      <c r="B8410" t="s">
        <v>3196</v>
      </c>
      <c r="C8410" t="s">
        <v>39</v>
      </c>
      <c r="D8410" t="s">
        <v>11</v>
      </c>
      <c r="E8410" t="s">
        <v>20</v>
      </c>
      <c r="F8410">
        <v>120035330</v>
      </c>
      <c r="G8410">
        <v>120035330</v>
      </c>
      <c r="H8410">
        <v>120035330</v>
      </c>
      <c r="I8410">
        <v>120035330</v>
      </c>
    </row>
    <row r="8411" spans="1:9" x14ac:dyDescent="0.2">
      <c r="A8411" t="str">
        <f>"Gm21198"</f>
        <v>Gm21198</v>
      </c>
      <c r="B8411" t="s">
        <v>3197</v>
      </c>
      <c r="C8411" t="s">
        <v>63</v>
      </c>
      <c r="D8411" t="s">
        <v>11</v>
      </c>
      <c r="E8411" t="s">
        <v>20</v>
      </c>
      <c r="F8411">
        <v>78102220</v>
      </c>
      <c r="G8411">
        <v>78102220</v>
      </c>
      <c r="H8411">
        <v>78102220</v>
      </c>
      <c r="I8411">
        <v>78102220</v>
      </c>
    </row>
    <row r="8412" spans="1:9" x14ac:dyDescent="0.2">
      <c r="A8412" t="str">
        <f>"Gm21201"</f>
        <v>Gm21201</v>
      </c>
      <c r="B8412" t="s">
        <v>3198</v>
      </c>
      <c r="C8412" t="s">
        <v>63</v>
      </c>
      <c r="D8412" t="s">
        <v>17</v>
      </c>
      <c r="E8412" t="s">
        <v>20</v>
      </c>
      <c r="F8412">
        <v>34561733</v>
      </c>
      <c r="G8412">
        <v>34561733</v>
      </c>
      <c r="H8412">
        <v>34561733</v>
      </c>
      <c r="I8412">
        <v>34561733</v>
      </c>
    </row>
    <row r="8413" spans="1:9" x14ac:dyDescent="0.2">
      <c r="A8413" t="str">
        <f>"Gm21209"</f>
        <v>Gm21209</v>
      </c>
      <c r="B8413" t="s">
        <v>3199</v>
      </c>
      <c r="C8413" t="s">
        <v>63</v>
      </c>
      <c r="D8413" t="s">
        <v>17</v>
      </c>
      <c r="E8413" t="s">
        <v>20</v>
      </c>
      <c r="F8413">
        <v>49572578</v>
      </c>
      <c r="G8413">
        <v>49572578</v>
      </c>
      <c r="H8413">
        <v>49572578</v>
      </c>
      <c r="I8413">
        <v>49572578</v>
      </c>
    </row>
    <row r="8414" spans="1:9" x14ac:dyDescent="0.2">
      <c r="A8414" t="str">
        <f>"Gm21241"</f>
        <v>Gm21241</v>
      </c>
      <c r="B8414" t="s">
        <v>3200</v>
      </c>
      <c r="C8414" t="s">
        <v>63</v>
      </c>
      <c r="D8414" t="s">
        <v>17</v>
      </c>
      <c r="E8414" t="s">
        <v>20</v>
      </c>
      <c r="F8414">
        <v>43953618</v>
      </c>
      <c r="G8414">
        <v>43953618</v>
      </c>
      <c r="H8414">
        <v>43953618</v>
      </c>
      <c r="I8414">
        <v>43953618</v>
      </c>
    </row>
    <row r="8415" spans="1:9" x14ac:dyDescent="0.2">
      <c r="A8415" t="str">
        <f>"Gm21242"</f>
        <v>Gm21242</v>
      </c>
      <c r="B8415" t="s">
        <v>3201</v>
      </c>
      <c r="C8415" t="s">
        <v>63</v>
      </c>
      <c r="D8415" t="s">
        <v>11</v>
      </c>
      <c r="E8415" t="s">
        <v>20</v>
      </c>
      <c r="F8415">
        <v>79667078</v>
      </c>
      <c r="G8415">
        <v>79667078</v>
      </c>
      <c r="H8415">
        <v>79667078</v>
      </c>
      <c r="I8415">
        <v>79667078</v>
      </c>
    </row>
    <row r="8416" spans="1:9" x14ac:dyDescent="0.2">
      <c r="A8416" t="str">
        <f>"Gm21244"</f>
        <v>Gm21244</v>
      </c>
      <c r="B8416" t="s">
        <v>3202</v>
      </c>
      <c r="C8416" t="s">
        <v>63</v>
      </c>
      <c r="D8416" t="s">
        <v>11</v>
      </c>
      <c r="E8416" t="s">
        <v>20</v>
      </c>
      <c r="F8416">
        <v>7167776</v>
      </c>
      <c r="G8416">
        <v>7167776</v>
      </c>
      <c r="H8416">
        <v>7167776</v>
      </c>
      <c r="I8416">
        <v>7167776</v>
      </c>
    </row>
    <row r="8417" spans="1:9" x14ac:dyDescent="0.2">
      <c r="A8417" t="str">
        <f>"Gm21245"</f>
        <v>Gm21245</v>
      </c>
      <c r="B8417" t="s">
        <v>3203</v>
      </c>
      <c r="C8417" t="s">
        <v>63</v>
      </c>
      <c r="D8417" t="s">
        <v>11</v>
      </c>
      <c r="E8417" t="s">
        <v>20</v>
      </c>
      <c r="F8417">
        <v>52262625</v>
      </c>
      <c r="G8417">
        <v>52262625</v>
      </c>
      <c r="H8417">
        <v>52262625</v>
      </c>
      <c r="I8417">
        <v>52262625</v>
      </c>
    </row>
    <row r="8418" spans="1:9" x14ac:dyDescent="0.2">
      <c r="A8418" t="str">
        <f>"Gm21247"</f>
        <v>Gm21247</v>
      </c>
      <c r="B8418" t="s">
        <v>3204</v>
      </c>
      <c r="C8418" t="s">
        <v>63</v>
      </c>
      <c r="D8418" t="s">
        <v>17</v>
      </c>
      <c r="E8418" t="s">
        <v>20</v>
      </c>
      <c r="F8418">
        <v>46757398</v>
      </c>
      <c r="G8418">
        <v>46757398</v>
      </c>
      <c r="H8418">
        <v>46757398</v>
      </c>
      <c r="I8418">
        <v>46757398</v>
      </c>
    </row>
    <row r="8419" spans="1:9" x14ac:dyDescent="0.2">
      <c r="A8419" t="str">
        <f>"Gm21248"</f>
        <v>Gm21248</v>
      </c>
      <c r="B8419" t="s">
        <v>3205</v>
      </c>
      <c r="C8419" t="s">
        <v>63</v>
      </c>
      <c r="D8419" t="s">
        <v>11</v>
      </c>
      <c r="E8419" t="s">
        <v>20</v>
      </c>
      <c r="F8419">
        <v>79959256</v>
      </c>
      <c r="G8419">
        <v>79959256</v>
      </c>
      <c r="H8419">
        <v>79959256</v>
      </c>
      <c r="I8419">
        <v>79959256</v>
      </c>
    </row>
    <row r="8420" spans="1:9" x14ac:dyDescent="0.2">
      <c r="A8420" t="str">
        <f>"Gm21249"</f>
        <v>Gm21249</v>
      </c>
      <c r="B8420" t="s">
        <v>3206</v>
      </c>
      <c r="C8420" t="s">
        <v>63</v>
      </c>
      <c r="D8420" t="s">
        <v>11</v>
      </c>
      <c r="E8420" t="s">
        <v>20</v>
      </c>
      <c r="F8420">
        <v>52608320</v>
      </c>
      <c r="G8420">
        <v>52608320</v>
      </c>
      <c r="H8420">
        <v>52608320</v>
      </c>
      <c r="I8420">
        <v>52608320</v>
      </c>
    </row>
    <row r="8421" spans="1:9" x14ac:dyDescent="0.2">
      <c r="A8421" t="str">
        <f>"Gm21256"</f>
        <v>Gm21256</v>
      </c>
      <c r="B8421" t="s">
        <v>3207</v>
      </c>
      <c r="C8421" t="s">
        <v>63</v>
      </c>
      <c r="D8421" t="s">
        <v>17</v>
      </c>
      <c r="E8421" t="s">
        <v>20</v>
      </c>
      <c r="F8421">
        <v>47452393</v>
      </c>
      <c r="G8421">
        <v>47452393</v>
      </c>
      <c r="H8421">
        <v>47452393</v>
      </c>
      <c r="I8421">
        <v>47452393</v>
      </c>
    </row>
    <row r="8422" spans="1:9" x14ac:dyDescent="0.2">
      <c r="A8422" t="str">
        <f>"Gm21257"</f>
        <v>Gm21257</v>
      </c>
      <c r="B8422" t="s">
        <v>3208</v>
      </c>
      <c r="C8422" t="s">
        <v>63</v>
      </c>
      <c r="D8422" t="s">
        <v>11</v>
      </c>
      <c r="E8422" t="s">
        <v>20</v>
      </c>
      <c r="F8422">
        <v>80463928</v>
      </c>
      <c r="G8422">
        <v>80463928</v>
      </c>
      <c r="H8422">
        <v>80463928</v>
      </c>
      <c r="I8422">
        <v>80463928</v>
      </c>
    </row>
    <row r="8423" spans="1:9" x14ac:dyDescent="0.2">
      <c r="A8423" t="str">
        <f>"Gm21258"</f>
        <v>Gm21258</v>
      </c>
      <c r="B8423" t="s">
        <v>3209</v>
      </c>
      <c r="C8423" t="s">
        <v>63</v>
      </c>
      <c r="D8423" t="s">
        <v>17</v>
      </c>
      <c r="E8423" t="s">
        <v>20</v>
      </c>
      <c r="F8423">
        <v>52781461</v>
      </c>
      <c r="G8423">
        <v>52781461</v>
      </c>
      <c r="H8423">
        <v>52781461</v>
      </c>
      <c r="I8423">
        <v>52781461</v>
      </c>
    </row>
    <row r="8424" spans="1:9" x14ac:dyDescent="0.2">
      <c r="A8424" t="str">
        <f>"Gm21268"</f>
        <v>Gm21268</v>
      </c>
      <c r="B8424" t="s">
        <v>3210</v>
      </c>
      <c r="C8424" t="s">
        <v>63</v>
      </c>
      <c r="D8424" t="s">
        <v>11</v>
      </c>
      <c r="E8424" t="s">
        <v>20</v>
      </c>
      <c r="F8424">
        <v>53051485</v>
      </c>
      <c r="G8424">
        <v>53051485</v>
      </c>
      <c r="H8424">
        <v>53051485</v>
      </c>
      <c r="I8424">
        <v>53051485</v>
      </c>
    </row>
    <row r="8425" spans="1:9" x14ac:dyDescent="0.2">
      <c r="A8425" t="str">
        <f>"Gm21271"</f>
        <v>Gm21271</v>
      </c>
      <c r="B8425" t="s">
        <v>3211</v>
      </c>
      <c r="C8425" t="s">
        <v>63</v>
      </c>
      <c r="D8425" t="s">
        <v>11</v>
      </c>
      <c r="E8425" t="s">
        <v>20</v>
      </c>
      <c r="F8425">
        <v>48595475</v>
      </c>
      <c r="G8425">
        <v>48595475</v>
      </c>
      <c r="H8425">
        <v>48595475</v>
      </c>
      <c r="I8425">
        <v>48595475</v>
      </c>
    </row>
    <row r="8426" spans="1:9" x14ac:dyDescent="0.2">
      <c r="A8426" t="str">
        <f>"Gm21275"</f>
        <v>Gm21275</v>
      </c>
      <c r="B8426" t="s">
        <v>3212</v>
      </c>
      <c r="C8426" t="s">
        <v>63</v>
      </c>
      <c r="D8426" t="s">
        <v>11</v>
      </c>
      <c r="E8426" t="s">
        <v>20</v>
      </c>
      <c r="F8426">
        <v>53126205</v>
      </c>
      <c r="G8426">
        <v>53126205</v>
      </c>
      <c r="H8426">
        <v>53126205</v>
      </c>
      <c r="I8426">
        <v>53126205</v>
      </c>
    </row>
    <row r="8427" spans="1:9" x14ac:dyDescent="0.2">
      <c r="A8427" t="str">
        <f>"Gm21276"</f>
        <v>Gm21276</v>
      </c>
      <c r="B8427" t="s">
        <v>3213</v>
      </c>
      <c r="C8427" t="s">
        <v>33</v>
      </c>
      <c r="D8427" t="s">
        <v>11</v>
      </c>
      <c r="E8427" t="s">
        <v>20</v>
      </c>
      <c r="F8427">
        <v>38770303</v>
      </c>
      <c r="G8427">
        <v>38770303</v>
      </c>
      <c r="H8427">
        <v>38770303</v>
      </c>
      <c r="I8427">
        <v>38770303</v>
      </c>
    </row>
    <row r="8428" spans="1:9" x14ac:dyDescent="0.2">
      <c r="A8428" t="str">
        <f>"Gm2128"</f>
        <v>Gm2128</v>
      </c>
      <c r="B8428" t="s">
        <v>3214</v>
      </c>
      <c r="C8428" t="s">
        <v>33</v>
      </c>
      <c r="D8428" t="s">
        <v>17</v>
      </c>
      <c r="E8428" t="s">
        <v>20</v>
      </c>
      <c r="F8428">
        <v>41155474</v>
      </c>
      <c r="G8428">
        <v>41155474</v>
      </c>
      <c r="H8428">
        <v>41155474</v>
      </c>
      <c r="I8428">
        <v>41155474</v>
      </c>
    </row>
    <row r="8429" spans="1:9" x14ac:dyDescent="0.2">
      <c r="A8429" t="str">
        <f>"Gm21281"</f>
        <v>Gm21281</v>
      </c>
      <c r="B8429" t="s">
        <v>3215</v>
      </c>
      <c r="C8429" t="s">
        <v>63</v>
      </c>
      <c r="D8429" t="s">
        <v>11</v>
      </c>
      <c r="E8429" t="s">
        <v>20</v>
      </c>
      <c r="F8429">
        <v>48670458</v>
      </c>
      <c r="G8429">
        <v>48670458</v>
      </c>
      <c r="H8429">
        <v>48670458</v>
      </c>
      <c r="I8429">
        <v>48670458</v>
      </c>
    </row>
    <row r="8430" spans="1:9" x14ac:dyDescent="0.2">
      <c r="A8430" t="str">
        <f>"Gm21282"</f>
        <v>Gm21282</v>
      </c>
      <c r="B8430" t="s">
        <v>3216</v>
      </c>
      <c r="C8430" t="s">
        <v>63</v>
      </c>
      <c r="D8430" t="s">
        <v>11</v>
      </c>
      <c r="E8430" t="s">
        <v>20</v>
      </c>
      <c r="F8430">
        <v>81204492</v>
      </c>
      <c r="G8430">
        <v>81204492</v>
      </c>
      <c r="H8430">
        <v>81204492</v>
      </c>
      <c r="I8430">
        <v>81204492</v>
      </c>
    </row>
    <row r="8431" spans="1:9" x14ac:dyDescent="0.2">
      <c r="A8431" t="str">
        <f>"Gm21285"</f>
        <v>Gm21285</v>
      </c>
      <c r="B8431" t="s">
        <v>3217</v>
      </c>
      <c r="C8431" t="s">
        <v>63</v>
      </c>
      <c r="D8431" t="s">
        <v>11</v>
      </c>
      <c r="E8431" t="s">
        <v>20</v>
      </c>
      <c r="F8431">
        <v>53342253</v>
      </c>
      <c r="G8431">
        <v>53342253</v>
      </c>
      <c r="H8431">
        <v>53342253</v>
      </c>
      <c r="I8431">
        <v>53342253</v>
      </c>
    </row>
    <row r="8432" spans="1:9" x14ac:dyDescent="0.2">
      <c r="A8432" t="str">
        <f>"Gm21286"</f>
        <v>Gm21286</v>
      </c>
      <c r="B8432" t="s">
        <v>3218</v>
      </c>
      <c r="C8432" t="s">
        <v>23</v>
      </c>
      <c r="D8432" t="s">
        <v>17</v>
      </c>
      <c r="E8432" t="s">
        <v>20</v>
      </c>
      <c r="F8432">
        <v>60838255</v>
      </c>
      <c r="G8432">
        <v>60838255</v>
      </c>
      <c r="H8432">
        <v>60838255</v>
      </c>
      <c r="I8432">
        <v>60838255</v>
      </c>
    </row>
    <row r="8433" spans="1:9" x14ac:dyDescent="0.2">
      <c r="A8433" t="str">
        <f>"Gm21287"</f>
        <v>Gm21287</v>
      </c>
      <c r="B8433" t="s">
        <v>3219</v>
      </c>
      <c r="C8433" t="s">
        <v>63</v>
      </c>
      <c r="D8433" t="s">
        <v>11</v>
      </c>
      <c r="E8433" t="s">
        <v>20</v>
      </c>
      <c r="F8433">
        <v>88805473</v>
      </c>
      <c r="G8433">
        <v>88805473</v>
      </c>
      <c r="H8433">
        <v>88805473</v>
      </c>
      <c r="I8433">
        <v>88805473</v>
      </c>
    </row>
    <row r="8434" spans="1:9" x14ac:dyDescent="0.2">
      <c r="A8434" t="str">
        <f>"Gm21292"</f>
        <v>Gm21292</v>
      </c>
      <c r="B8434" t="s">
        <v>3220</v>
      </c>
      <c r="C8434" t="s">
        <v>63</v>
      </c>
      <c r="D8434" t="s">
        <v>11</v>
      </c>
      <c r="E8434" t="s">
        <v>20</v>
      </c>
      <c r="F8434">
        <v>9132560</v>
      </c>
      <c r="G8434">
        <v>9132560</v>
      </c>
      <c r="H8434">
        <v>9132560</v>
      </c>
      <c r="I8434">
        <v>9132560</v>
      </c>
    </row>
    <row r="8435" spans="1:9" x14ac:dyDescent="0.2">
      <c r="A8435" t="str">
        <f>"Gm21302"</f>
        <v>Gm21302</v>
      </c>
      <c r="B8435" t="s">
        <v>3221</v>
      </c>
      <c r="C8435" t="s">
        <v>63</v>
      </c>
      <c r="D8435" t="s">
        <v>11</v>
      </c>
      <c r="E8435" t="s">
        <v>20</v>
      </c>
      <c r="F8435">
        <v>54186669</v>
      </c>
      <c r="G8435">
        <v>54186669</v>
      </c>
      <c r="H8435">
        <v>54186669</v>
      </c>
      <c r="I8435">
        <v>54186669</v>
      </c>
    </row>
    <row r="8436" spans="1:9" x14ac:dyDescent="0.2">
      <c r="A8436" t="str">
        <f>"Gm21304"</f>
        <v>Gm21304</v>
      </c>
      <c r="B8436" t="s">
        <v>3222</v>
      </c>
      <c r="C8436" t="s">
        <v>15</v>
      </c>
      <c r="D8436" t="s">
        <v>17</v>
      </c>
      <c r="E8436" t="s">
        <v>20</v>
      </c>
      <c r="F8436">
        <v>104168929</v>
      </c>
      <c r="G8436">
        <v>104168929</v>
      </c>
      <c r="H8436">
        <v>104168929</v>
      </c>
      <c r="I8436">
        <v>104168929</v>
      </c>
    </row>
    <row r="8437" spans="1:9" x14ac:dyDescent="0.2">
      <c r="A8437" t="str">
        <f>"Gm21304"</f>
        <v>Gm21304</v>
      </c>
      <c r="B8437" t="s">
        <v>3223</v>
      </c>
      <c r="C8437" t="s">
        <v>15</v>
      </c>
      <c r="D8437" t="s">
        <v>17</v>
      </c>
      <c r="E8437" t="s">
        <v>20</v>
      </c>
      <c r="F8437">
        <v>104168514</v>
      </c>
      <c r="G8437">
        <v>104168514</v>
      </c>
      <c r="H8437">
        <v>104168514</v>
      </c>
      <c r="I8437">
        <v>104168514</v>
      </c>
    </row>
    <row r="8438" spans="1:9" x14ac:dyDescent="0.2">
      <c r="A8438" t="str">
        <f>"Gm21308"</f>
        <v>Gm21308</v>
      </c>
      <c r="B8438" t="s">
        <v>3224</v>
      </c>
      <c r="C8438" t="s">
        <v>63</v>
      </c>
      <c r="D8438" t="s">
        <v>11</v>
      </c>
      <c r="E8438" t="s">
        <v>20</v>
      </c>
      <c r="F8438">
        <v>49318752</v>
      </c>
      <c r="G8438">
        <v>49318752</v>
      </c>
      <c r="H8438">
        <v>49318752</v>
      </c>
      <c r="I8438">
        <v>49318752</v>
      </c>
    </row>
    <row r="8439" spans="1:9" x14ac:dyDescent="0.2">
      <c r="A8439" t="str">
        <f>"Gm21310"</f>
        <v>Gm21310</v>
      </c>
      <c r="B8439" t="s">
        <v>3225</v>
      </c>
      <c r="C8439" t="s">
        <v>63</v>
      </c>
      <c r="D8439" t="s">
        <v>11</v>
      </c>
      <c r="E8439" t="s">
        <v>20</v>
      </c>
      <c r="F8439">
        <v>10145558</v>
      </c>
      <c r="G8439">
        <v>10145558</v>
      </c>
      <c r="H8439">
        <v>10145558</v>
      </c>
      <c r="I8439">
        <v>10145558</v>
      </c>
    </row>
    <row r="8440" spans="1:9" x14ac:dyDescent="0.2">
      <c r="A8440" t="str">
        <f>"Gm21312"</f>
        <v>Gm21312</v>
      </c>
      <c r="B8440" t="s">
        <v>3226</v>
      </c>
      <c r="C8440" t="s">
        <v>15</v>
      </c>
      <c r="D8440" t="s">
        <v>17</v>
      </c>
      <c r="E8440" t="s">
        <v>20</v>
      </c>
      <c r="F8440">
        <v>104178377</v>
      </c>
      <c r="G8440">
        <v>104178377</v>
      </c>
      <c r="H8440">
        <v>104178377</v>
      </c>
      <c r="I8440">
        <v>104178377</v>
      </c>
    </row>
    <row r="8441" spans="1:9" x14ac:dyDescent="0.2">
      <c r="A8441" t="str">
        <f>"Gm21312"</f>
        <v>Gm21312</v>
      </c>
      <c r="B8441" t="s">
        <v>3227</v>
      </c>
      <c r="C8441" t="s">
        <v>15</v>
      </c>
      <c r="D8441" t="s">
        <v>17</v>
      </c>
      <c r="E8441" t="s">
        <v>20</v>
      </c>
      <c r="F8441">
        <v>104177023</v>
      </c>
      <c r="G8441">
        <v>104177023</v>
      </c>
      <c r="H8441">
        <v>104177023</v>
      </c>
      <c r="I8441">
        <v>104177023</v>
      </c>
    </row>
    <row r="8442" spans="1:9" x14ac:dyDescent="0.2">
      <c r="A8442" t="str">
        <f>"Gm21312"</f>
        <v>Gm21312</v>
      </c>
      <c r="B8442" t="s">
        <v>3228</v>
      </c>
      <c r="C8442" t="s">
        <v>15</v>
      </c>
      <c r="D8442" t="s">
        <v>17</v>
      </c>
      <c r="E8442" t="s">
        <v>20</v>
      </c>
      <c r="F8442">
        <v>104177438</v>
      </c>
      <c r="G8442">
        <v>104177438</v>
      </c>
      <c r="H8442">
        <v>104177438</v>
      </c>
      <c r="I8442">
        <v>104177438</v>
      </c>
    </row>
    <row r="8443" spans="1:9" x14ac:dyDescent="0.2">
      <c r="A8443" t="str">
        <f>"Gm21316"</f>
        <v>Gm21316</v>
      </c>
      <c r="B8443" t="s">
        <v>3229</v>
      </c>
      <c r="C8443" t="s">
        <v>63</v>
      </c>
      <c r="D8443" t="s">
        <v>11</v>
      </c>
      <c r="E8443" t="s">
        <v>20</v>
      </c>
      <c r="F8443">
        <v>49843609</v>
      </c>
      <c r="G8443">
        <v>49843609</v>
      </c>
      <c r="H8443">
        <v>49843609</v>
      </c>
      <c r="I8443">
        <v>49843609</v>
      </c>
    </row>
    <row r="8444" spans="1:9" x14ac:dyDescent="0.2">
      <c r="A8444" t="str">
        <f>"Gm21319"</f>
        <v>Gm21319</v>
      </c>
      <c r="B8444" t="s">
        <v>3230</v>
      </c>
      <c r="C8444" t="s">
        <v>16</v>
      </c>
      <c r="D8444" t="s">
        <v>11</v>
      </c>
      <c r="E8444" t="s">
        <v>20</v>
      </c>
      <c r="F8444">
        <v>87775754</v>
      </c>
      <c r="G8444">
        <v>87775754</v>
      </c>
      <c r="H8444">
        <v>87775754</v>
      </c>
      <c r="I8444">
        <v>87775754</v>
      </c>
    </row>
    <row r="8445" spans="1:9" x14ac:dyDescent="0.2">
      <c r="A8445" t="str">
        <f>"Gm21330"</f>
        <v>Gm21330</v>
      </c>
      <c r="B8445" t="s">
        <v>3231</v>
      </c>
      <c r="C8445" t="s">
        <v>63</v>
      </c>
      <c r="D8445" t="s">
        <v>11</v>
      </c>
      <c r="E8445" t="s">
        <v>20</v>
      </c>
      <c r="F8445">
        <v>55558342</v>
      </c>
      <c r="G8445">
        <v>55558342</v>
      </c>
      <c r="H8445">
        <v>55558342</v>
      </c>
      <c r="I8445">
        <v>55558342</v>
      </c>
    </row>
    <row r="8446" spans="1:9" x14ac:dyDescent="0.2">
      <c r="A8446" t="str">
        <f>"Gm21333"</f>
        <v>Gm21333</v>
      </c>
      <c r="B8446" t="s">
        <v>3232</v>
      </c>
      <c r="C8446" t="s">
        <v>63</v>
      </c>
      <c r="D8446" t="s">
        <v>11</v>
      </c>
      <c r="E8446" t="s">
        <v>20</v>
      </c>
      <c r="F8446">
        <v>82568206</v>
      </c>
      <c r="G8446">
        <v>82568206</v>
      </c>
      <c r="H8446">
        <v>82568206</v>
      </c>
      <c r="I8446">
        <v>82568206</v>
      </c>
    </row>
    <row r="8447" spans="1:9" x14ac:dyDescent="0.2">
      <c r="A8447" t="str">
        <f>"Gm21340"</f>
        <v>Gm21340</v>
      </c>
      <c r="B8447" t="s">
        <v>3233</v>
      </c>
      <c r="C8447" t="s">
        <v>63</v>
      </c>
      <c r="D8447" t="s">
        <v>11</v>
      </c>
      <c r="E8447" t="s">
        <v>20</v>
      </c>
      <c r="F8447">
        <v>56020479</v>
      </c>
      <c r="G8447">
        <v>56020479</v>
      </c>
      <c r="H8447">
        <v>56020479</v>
      </c>
      <c r="I8447">
        <v>56020479</v>
      </c>
    </row>
    <row r="8448" spans="1:9" x14ac:dyDescent="0.2">
      <c r="A8448" t="str">
        <f>"Gm21344"</f>
        <v>Gm21344</v>
      </c>
      <c r="B8448" t="s">
        <v>3234</v>
      </c>
      <c r="C8448" t="s">
        <v>63</v>
      </c>
      <c r="D8448" t="s">
        <v>11</v>
      </c>
      <c r="E8448" t="s">
        <v>20</v>
      </c>
      <c r="F8448">
        <v>82787742</v>
      </c>
      <c r="G8448">
        <v>82787742</v>
      </c>
      <c r="H8448">
        <v>82787742</v>
      </c>
      <c r="I8448">
        <v>82787742</v>
      </c>
    </row>
    <row r="8449" spans="1:9" x14ac:dyDescent="0.2">
      <c r="A8449" t="str">
        <f>"Gm21350"</f>
        <v>Gm21350</v>
      </c>
      <c r="B8449" t="s">
        <v>3235</v>
      </c>
      <c r="C8449" t="s">
        <v>63</v>
      </c>
      <c r="D8449" t="s">
        <v>17</v>
      </c>
      <c r="E8449" t="s">
        <v>20</v>
      </c>
      <c r="F8449">
        <v>24894924</v>
      </c>
      <c r="G8449">
        <v>24894924</v>
      </c>
      <c r="H8449">
        <v>24894924</v>
      </c>
      <c r="I8449">
        <v>24894924</v>
      </c>
    </row>
    <row r="8450" spans="1:9" x14ac:dyDescent="0.2">
      <c r="A8450" t="str">
        <f>"Gm21364"</f>
        <v>Gm21364</v>
      </c>
      <c r="B8450" t="s">
        <v>3236</v>
      </c>
      <c r="C8450" t="s">
        <v>37</v>
      </c>
      <c r="D8450" t="s">
        <v>11</v>
      </c>
      <c r="E8450" t="s">
        <v>20</v>
      </c>
      <c r="F8450">
        <v>3195826</v>
      </c>
      <c r="G8450">
        <v>3195826</v>
      </c>
      <c r="H8450">
        <v>3195826</v>
      </c>
      <c r="I8450">
        <v>3195826</v>
      </c>
    </row>
    <row r="8451" spans="1:9" x14ac:dyDescent="0.2">
      <c r="A8451" t="str">
        <f>"Gm21370"</f>
        <v>Gm21370</v>
      </c>
      <c r="B8451" t="s">
        <v>3237</v>
      </c>
      <c r="C8451" t="s">
        <v>39</v>
      </c>
      <c r="D8451" t="s">
        <v>11</v>
      </c>
      <c r="E8451" t="s">
        <v>20</v>
      </c>
      <c r="F8451">
        <v>120027010</v>
      </c>
      <c r="G8451">
        <v>120027010</v>
      </c>
      <c r="H8451">
        <v>120027010</v>
      </c>
      <c r="I8451">
        <v>120027010</v>
      </c>
    </row>
    <row r="8452" spans="1:9" x14ac:dyDescent="0.2">
      <c r="A8452" t="str">
        <f>"Gm21379"</f>
        <v>Gm21379</v>
      </c>
      <c r="B8452" t="s">
        <v>3238</v>
      </c>
      <c r="C8452" t="s">
        <v>63</v>
      </c>
      <c r="D8452" t="s">
        <v>17</v>
      </c>
      <c r="E8452" t="s">
        <v>20</v>
      </c>
      <c r="F8452">
        <v>12688109</v>
      </c>
      <c r="G8452">
        <v>12688109</v>
      </c>
      <c r="H8452">
        <v>12688109</v>
      </c>
      <c r="I8452">
        <v>12688109</v>
      </c>
    </row>
    <row r="8453" spans="1:9" x14ac:dyDescent="0.2">
      <c r="A8453" t="str">
        <f>"Gm21380"</f>
        <v>Gm21380</v>
      </c>
      <c r="B8453" t="s">
        <v>3239</v>
      </c>
      <c r="C8453" t="s">
        <v>63</v>
      </c>
      <c r="D8453" t="s">
        <v>11</v>
      </c>
      <c r="E8453" t="s">
        <v>20</v>
      </c>
      <c r="F8453">
        <v>84440963</v>
      </c>
      <c r="G8453">
        <v>84440963</v>
      </c>
      <c r="H8453">
        <v>84440963</v>
      </c>
      <c r="I8453">
        <v>84440963</v>
      </c>
    </row>
    <row r="8454" spans="1:9" x14ac:dyDescent="0.2">
      <c r="A8454" t="str">
        <f>"Gm21387"</f>
        <v>Gm21387</v>
      </c>
      <c r="B8454" t="s">
        <v>3240</v>
      </c>
      <c r="C8454" t="s">
        <v>63</v>
      </c>
      <c r="D8454" t="s">
        <v>11</v>
      </c>
      <c r="E8454" t="s">
        <v>20</v>
      </c>
      <c r="F8454">
        <v>51606490</v>
      </c>
      <c r="G8454">
        <v>51606490</v>
      </c>
      <c r="H8454">
        <v>51606490</v>
      </c>
      <c r="I8454">
        <v>51606490</v>
      </c>
    </row>
    <row r="8455" spans="1:9" x14ac:dyDescent="0.2">
      <c r="A8455" t="str">
        <f>"Gm21394"</f>
        <v>Gm21394</v>
      </c>
      <c r="B8455" t="s">
        <v>3241</v>
      </c>
      <c r="C8455" t="s">
        <v>63</v>
      </c>
      <c r="D8455" t="s">
        <v>11</v>
      </c>
      <c r="E8455" t="s">
        <v>20</v>
      </c>
      <c r="F8455">
        <v>84563393</v>
      </c>
      <c r="G8455">
        <v>84563393</v>
      </c>
      <c r="H8455">
        <v>84563393</v>
      </c>
      <c r="I8455">
        <v>84563393</v>
      </c>
    </row>
    <row r="8456" spans="1:9" x14ac:dyDescent="0.2">
      <c r="A8456" t="str">
        <f>"Gm21396"</f>
        <v>Gm21396</v>
      </c>
      <c r="B8456" t="s">
        <v>3242</v>
      </c>
      <c r="C8456" t="s">
        <v>63</v>
      </c>
      <c r="D8456" t="s">
        <v>11</v>
      </c>
      <c r="E8456" t="s">
        <v>20</v>
      </c>
      <c r="F8456">
        <v>51681222</v>
      </c>
      <c r="G8456">
        <v>51681222</v>
      </c>
      <c r="H8456">
        <v>51681222</v>
      </c>
      <c r="I8456">
        <v>51681222</v>
      </c>
    </row>
    <row r="8457" spans="1:9" x14ac:dyDescent="0.2">
      <c r="A8457" t="str">
        <f>"Gm21405"</f>
        <v>Gm21405</v>
      </c>
      <c r="B8457" t="s">
        <v>3243</v>
      </c>
      <c r="C8457" t="s">
        <v>63</v>
      </c>
      <c r="D8457" t="s">
        <v>17</v>
      </c>
      <c r="E8457" t="s">
        <v>20</v>
      </c>
      <c r="F8457">
        <v>58574463</v>
      </c>
      <c r="G8457">
        <v>58574463</v>
      </c>
      <c r="H8457">
        <v>58574463</v>
      </c>
      <c r="I8457">
        <v>58574463</v>
      </c>
    </row>
    <row r="8458" spans="1:9" x14ac:dyDescent="0.2">
      <c r="A8458" t="str">
        <f>"Gm21411"</f>
        <v>Gm21411</v>
      </c>
      <c r="B8458" t="s">
        <v>3244</v>
      </c>
      <c r="C8458" t="s">
        <v>23</v>
      </c>
      <c r="D8458" t="s">
        <v>11</v>
      </c>
      <c r="E8458" t="s">
        <v>20</v>
      </c>
      <c r="F8458">
        <v>146909589</v>
      </c>
      <c r="G8458">
        <v>146909589</v>
      </c>
      <c r="H8458">
        <v>146909589</v>
      </c>
      <c r="I8458">
        <v>146909589</v>
      </c>
    </row>
    <row r="8459" spans="1:9" x14ac:dyDescent="0.2">
      <c r="A8459" t="str">
        <f>"Gm21412"</f>
        <v>Gm21412</v>
      </c>
      <c r="B8459" t="s">
        <v>3245</v>
      </c>
      <c r="C8459" t="s">
        <v>63</v>
      </c>
      <c r="D8459" t="s">
        <v>17</v>
      </c>
      <c r="E8459" t="s">
        <v>20</v>
      </c>
      <c r="F8459">
        <v>24969605</v>
      </c>
      <c r="G8459">
        <v>24969605</v>
      </c>
      <c r="H8459">
        <v>24969605</v>
      </c>
      <c r="I8459">
        <v>24969605</v>
      </c>
    </row>
    <row r="8460" spans="1:9" x14ac:dyDescent="0.2">
      <c r="A8460" t="str">
        <f>"Gm21425"</f>
        <v>Gm21425</v>
      </c>
      <c r="B8460" t="s">
        <v>3246</v>
      </c>
      <c r="C8460" t="s">
        <v>63</v>
      </c>
      <c r="D8460" t="s">
        <v>17</v>
      </c>
      <c r="E8460" t="s">
        <v>20</v>
      </c>
      <c r="F8460">
        <v>13163581</v>
      </c>
      <c r="G8460">
        <v>13163581</v>
      </c>
      <c r="H8460">
        <v>13163581</v>
      </c>
      <c r="I8460">
        <v>13163581</v>
      </c>
    </row>
    <row r="8461" spans="1:9" x14ac:dyDescent="0.2">
      <c r="A8461" t="str">
        <f>"Gm21427"</f>
        <v>Gm21427</v>
      </c>
      <c r="B8461" t="s">
        <v>3247</v>
      </c>
      <c r="C8461" t="s">
        <v>63</v>
      </c>
      <c r="D8461" t="s">
        <v>17</v>
      </c>
      <c r="E8461" t="s">
        <v>20</v>
      </c>
      <c r="F8461">
        <v>25482700</v>
      </c>
      <c r="G8461">
        <v>25482700</v>
      </c>
      <c r="H8461">
        <v>25482700</v>
      </c>
      <c r="I8461">
        <v>25482700</v>
      </c>
    </row>
    <row r="8462" spans="1:9" x14ac:dyDescent="0.2">
      <c r="A8462" t="str">
        <f>"Gm21435"</f>
        <v>Gm21435</v>
      </c>
      <c r="B8462" t="s">
        <v>3248</v>
      </c>
      <c r="C8462" t="s">
        <v>63</v>
      </c>
      <c r="D8462" t="s">
        <v>11</v>
      </c>
      <c r="E8462" t="s">
        <v>20</v>
      </c>
      <c r="F8462">
        <v>85889644</v>
      </c>
      <c r="G8462">
        <v>85889644</v>
      </c>
      <c r="H8462">
        <v>85889644</v>
      </c>
      <c r="I8462">
        <v>85889644</v>
      </c>
    </row>
    <row r="8463" spans="1:9" x14ac:dyDescent="0.2">
      <c r="A8463" t="str">
        <f>"Gm21440"</f>
        <v>Gm21440</v>
      </c>
      <c r="B8463" t="s">
        <v>3249</v>
      </c>
      <c r="C8463" t="s">
        <v>63</v>
      </c>
      <c r="D8463" t="s">
        <v>17</v>
      </c>
      <c r="E8463" t="s">
        <v>20</v>
      </c>
      <c r="F8463">
        <v>13252441</v>
      </c>
      <c r="G8463">
        <v>13252441</v>
      </c>
      <c r="H8463">
        <v>13252441</v>
      </c>
      <c r="I8463">
        <v>13252441</v>
      </c>
    </row>
    <row r="8464" spans="1:9" x14ac:dyDescent="0.2">
      <c r="A8464" t="str">
        <f>"Gm21443"</f>
        <v>Gm21443</v>
      </c>
      <c r="B8464" t="s">
        <v>3250</v>
      </c>
      <c r="C8464" t="s">
        <v>63</v>
      </c>
      <c r="D8464" t="s">
        <v>17</v>
      </c>
      <c r="E8464" t="s">
        <v>20</v>
      </c>
      <c r="F8464">
        <v>25995643</v>
      </c>
      <c r="G8464">
        <v>25995643</v>
      </c>
      <c r="H8464">
        <v>25995643</v>
      </c>
      <c r="I8464">
        <v>25995643</v>
      </c>
    </row>
    <row r="8465" spans="1:9" x14ac:dyDescent="0.2">
      <c r="A8465" t="str">
        <f>"Gm21447"</f>
        <v>Gm21447</v>
      </c>
      <c r="B8465" t="s">
        <v>3251</v>
      </c>
      <c r="C8465" t="s">
        <v>37</v>
      </c>
      <c r="D8465" t="s">
        <v>17</v>
      </c>
      <c r="E8465" t="s">
        <v>20</v>
      </c>
      <c r="F8465">
        <v>31117673</v>
      </c>
      <c r="G8465">
        <v>31117673</v>
      </c>
      <c r="H8465">
        <v>31117673</v>
      </c>
      <c r="I8465">
        <v>31117673</v>
      </c>
    </row>
    <row r="8466" spans="1:9" x14ac:dyDescent="0.2">
      <c r="A8466" t="str">
        <f>"Gm21462"</f>
        <v>Gm21462</v>
      </c>
      <c r="B8466" t="s">
        <v>3252</v>
      </c>
      <c r="C8466" t="s">
        <v>63</v>
      </c>
      <c r="D8466" t="s">
        <v>11</v>
      </c>
      <c r="E8466" t="s">
        <v>20</v>
      </c>
      <c r="F8466">
        <v>86870054</v>
      </c>
      <c r="G8466">
        <v>86870054</v>
      </c>
      <c r="H8466">
        <v>86870054</v>
      </c>
      <c r="I8466">
        <v>86870054</v>
      </c>
    </row>
    <row r="8467" spans="1:9" x14ac:dyDescent="0.2">
      <c r="A8467" t="str">
        <f>"Gm21464"</f>
        <v>Gm21464</v>
      </c>
      <c r="B8467" t="s">
        <v>14</v>
      </c>
      <c r="C8467" t="s">
        <v>41</v>
      </c>
      <c r="D8467" t="s">
        <v>11</v>
      </c>
      <c r="E8467" t="s">
        <v>67</v>
      </c>
      <c r="F8467">
        <v>69503220</v>
      </c>
      <c r="G8467">
        <v>69503244</v>
      </c>
      <c r="H8467">
        <v>69503316</v>
      </c>
      <c r="I8467">
        <v>69503323</v>
      </c>
    </row>
    <row r="8468" spans="1:9" x14ac:dyDescent="0.2">
      <c r="A8468" t="str">
        <f>"Gm21469"</f>
        <v>Gm21469</v>
      </c>
      <c r="B8468" t="s">
        <v>3253</v>
      </c>
      <c r="C8468" t="s">
        <v>63</v>
      </c>
      <c r="D8468" t="s">
        <v>17</v>
      </c>
      <c r="E8468" t="s">
        <v>20</v>
      </c>
      <c r="F8468">
        <v>23031234</v>
      </c>
      <c r="G8468">
        <v>23031234</v>
      </c>
      <c r="H8468">
        <v>23031234</v>
      </c>
      <c r="I8468">
        <v>23031234</v>
      </c>
    </row>
    <row r="8469" spans="1:9" x14ac:dyDescent="0.2">
      <c r="A8469" t="str">
        <f>"Gm21470"</f>
        <v>Gm21470</v>
      </c>
      <c r="B8469" t="s">
        <v>3254</v>
      </c>
      <c r="C8469" t="s">
        <v>63</v>
      </c>
      <c r="D8469" t="s">
        <v>11</v>
      </c>
      <c r="E8469" t="s">
        <v>20</v>
      </c>
      <c r="F8469">
        <v>86944318</v>
      </c>
      <c r="G8469">
        <v>86944318</v>
      </c>
      <c r="H8469">
        <v>86944318</v>
      </c>
      <c r="I8469">
        <v>86944318</v>
      </c>
    </row>
    <row r="8470" spans="1:9" x14ac:dyDescent="0.2">
      <c r="A8470" t="str">
        <f>"Gm21476"</f>
        <v>Gm21476</v>
      </c>
      <c r="B8470" t="s">
        <v>3255</v>
      </c>
      <c r="C8470" t="s">
        <v>63</v>
      </c>
      <c r="D8470" t="s">
        <v>17</v>
      </c>
      <c r="E8470" t="s">
        <v>20</v>
      </c>
      <c r="F8470">
        <v>27253915</v>
      </c>
      <c r="G8470">
        <v>27253915</v>
      </c>
      <c r="H8470">
        <v>27253915</v>
      </c>
      <c r="I8470">
        <v>27253915</v>
      </c>
    </row>
    <row r="8471" spans="1:9" x14ac:dyDescent="0.2">
      <c r="A8471" t="str">
        <f>"Gm21477"</f>
        <v>Gm21477</v>
      </c>
      <c r="B8471" t="s">
        <v>3256</v>
      </c>
      <c r="C8471" t="s">
        <v>63</v>
      </c>
      <c r="D8471" t="s">
        <v>17</v>
      </c>
      <c r="E8471" t="s">
        <v>20</v>
      </c>
      <c r="F8471">
        <v>87118254</v>
      </c>
      <c r="G8471">
        <v>87118254</v>
      </c>
      <c r="H8471">
        <v>87118254</v>
      </c>
      <c r="I8471">
        <v>87118254</v>
      </c>
    </row>
    <row r="8472" spans="1:9" x14ac:dyDescent="0.2">
      <c r="A8472" t="str">
        <f>"Gm21498"</f>
        <v>Gm21498</v>
      </c>
      <c r="B8472" t="s">
        <v>3257</v>
      </c>
      <c r="C8472" t="s">
        <v>30</v>
      </c>
      <c r="D8472" t="s">
        <v>17</v>
      </c>
      <c r="E8472" t="s">
        <v>20</v>
      </c>
      <c r="F8472">
        <v>21427455</v>
      </c>
      <c r="G8472">
        <v>21427455</v>
      </c>
      <c r="H8472">
        <v>21427455</v>
      </c>
      <c r="I8472">
        <v>21427455</v>
      </c>
    </row>
    <row r="8473" spans="1:9" x14ac:dyDescent="0.2">
      <c r="A8473" t="str">
        <f>"Gm21506"</f>
        <v>Gm21506</v>
      </c>
      <c r="B8473" t="s">
        <v>3258</v>
      </c>
      <c r="C8473" t="s">
        <v>63</v>
      </c>
      <c r="D8473" t="s">
        <v>17</v>
      </c>
      <c r="E8473" t="s">
        <v>20</v>
      </c>
      <c r="F8473">
        <v>27692627</v>
      </c>
      <c r="G8473">
        <v>27692627</v>
      </c>
      <c r="H8473">
        <v>27692627</v>
      </c>
      <c r="I8473">
        <v>27692627</v>
      </c>
    </row>
    <row r="8474" spans="1:9" x14ac:dyDescent="0.2">
      <c r="A8474" t="str">
        <f>"Gm21518"</f>
        <v>Gm21518</v>
      </c>
      <c r="B8474" t="s">
        <v>3259</v>
      </c>
      <c r="C8474" t="s">
        <v>63</v>
      </c>
      <c r="D8474" t="s">
        <v>17</v>
      </c>
      <c r="E8474" t="s">
        <v>20</v>
      </c>
      <c r="F8474">
        <v>62192288</v>
      </c>
      <c r="G8474">
        <v>62192288</v>
      </c>
      <c r="H8474">
        <v>62192288</v>
      </c>
      <c r="I8474">
        <v>62192288</v>
      </c>
    </row>
    <row r="8475" spans="1:9" x14ac:dyDescent="0.2">
      <c r="A8475" t="str">
        <f>"Gm21524"</f>
        <v>Gm21524</v>
      </c>
      <c r="B8475" t="s">
        <v>3260</v>
      </c>
      <c r="C8475" t="s">
        <v>63</v>
      </c>
      <c r="D8475" t="s">
        <v>11</v>
      </c>
      <c r="E8475" t="s">
        <v>20</v>
      </c>
      <c r="F8475">
        <v>69983558</v>
      </c>
      <c r="G8475">
        <v>69983558</v>
      </c>
      <c r="H8475">
        <v>69983558</v>
      </c>
      <c r="I8475">
        <v>69983558</v>
      </c>
    </row>
    <row r="8476" spans="1:9" x14ac:dyDescent="0.2">
      <c r="A8476" t="str">
        <f>"Gm21529"</f>
        <v>Gm21529</v>
      </c>
      <c r="B8476" t="s">
        <v>3261</v>
      </c>
      <c r="C8476" t="s">
        <v>63</v>
      </c>
      <c r="D8476" t="s">
        <v>11</v>
      </c>
      <c r="E8476" t="s">
        <v>20</v>
      </c>
      <c r="F8476">
        <v>30840277</v>
      </c>
      <c r="G8476">
        <v>30840277</v>
      </c>
      <c r="H8476">
        <v>30840277</v>
      </c>
      <c r="I8476">
        <v>30840277</v>
      </c>
    </row>
    <row r="8477" spans="1:9" x14ac:dyDescent="0.2">
      <c r="A8477" t="str">
        <f>"Gm21530"</f>
        <v>Gm21530</v>
      </c>
      <c r="B8477" t="s">
        <v>3262</v>
      </c>
      <c r="C8477" t="s">
        <v>63</v>
      </c>
      <c r="D8477" t="s">
        <v>11</v>
      </c>
      <c r="E8477" t="s">
        <v>20</v>
      </c>
      <c r="F8477">
        <v>62981164</v>
      </c>
      <c r="G8477">
        <v>62981164</v>
      </c>
      <c r="H8477">
        <v>62981164</v>
      </c>
      <c r="I8477">
        <v>62981164</v>
      </c>
    </row>
    <row r="8478" spans="1:9" x14ac:dyDescent="0.2">
      <c r="A8478" t="str">
        <f>"Gm21539"</f>
        <v>Gm21539</v>
      </c>
      <c r="B8478" t="s">
        <v>3263</v>
      </c>
      <c r="C8478" t="s">
        <v>63</v>
      </c>
      <c r="D8478" t="s">
        <v>11</v>
      </c>
      <c r="E8478" t="s">
        <v>20</v>
      </c>
      <c r="F8478">
        <v>30906507</v>
      </c>
      <c r="G8478">
        <v>30906507</v>
      </c>
      <c r="H8478">
        <v>30906507</v>
      </c>
      <c r="I8478">
        <v>30906507</v>
      </c>
    </row>
    <row r="8479" spans="1:9" x14ac:dyDescent="0.2">
      <c r="A8479" t="str">
        <f>"Gm21541"</f>
        <v>Gm21541</v>
      </c>
      <c r="B8479" t="s">
        <v>3264</v>
      </c>
      <c r="C8479" t="s">
        <v>23</v>
      </c>
      <c r="D8479" t="s">
        <v>17</v>
      </c>
      <c r="E8479" t="s">
        <v>20</v>
      </c>
      <c r="F8479">
        <v>41903609</v>
      </c>
      <c r="G8479">
        <v>41903609</v>
      </c>
      <c r="H8479">
        <v>41903609</v>
      </c>
      <c r="I8479">
        <v>41903609</v>
      </c>
    </row>
    <row r="8480" spans="1:9" x14ac:dyDescent="0.2">
      <c r="A8480" t="str">
        <f>"Gm21560"</f>
        <v>Gm21560</v>
      </c>
      <c r="B8480" t="s">
        <v>3265</v>
      </c>
      <c r="C8480" t="s">
        <v>41</v>
      </c>
      <c r="D8480" t="s">
        <v>11</v>
      </c>
      <c r="E8480" t="s">
        <v>20</v>
      </c>
      <c r="F8480">
        <v>6219250</v>
      </c>
      <c r="G8480">
        <v>6219250</v>
      </c>
      <c r="H8480">
        <v>6219250</v>
      </c>
      <c r="I8480">
        <v>6219250</v>
      </c>
    </row>
    <row r="8481" spans="1:9" x14ac:dyDescent="0.2">
      <c r="A8481" t="str">
        <f>"Gm21562"</f>
        <v>Gm21562</v>
      </c>
      <c r="B8481" t="s">
        <v>3266</v>
      </c>
      <c r="C8481" t="s">
        <v>63</v>
      </c>
      <c r="D8481" t="s">
        <v>11</v>
      </c>
      <c r="E8481" t="s">
        <v>20</v>
      </c>
      <c r="F8481">
        <v>31736483</v>
      </c>
      <c r="G8481">
        <v>31736483</v>
      </c>
      <c r="H8481">
        <v>31736483</v>
      </c>
      <c r="I8481">
        <v>31736483</v>
      </c>
    </row>
    <row r="8482" spans="1:9" x14ac:dyDescent="0.2">
      <c r="A8482" t="str">
        <f>"Gm21572"</f>
        <v>Gm21572</v>
      </c>
      <c r="B8482" t="s">
        <v>3267</v>
      </c>
      <c r="C8482" t="s">
        <v>63</v>
      </c>
      <c r="D8482" t="s">
        <v>11</v>
      </c>
      <c r="E8482" t="s">
        <v>20</v>
      </c>
      <c r="F8482">
        <v>31802730</v>
      </c>
      <c r="G8482">
        <v>31802730</v>
      </c>
      <c r="H8482">
        <v>31802730</v>
      </c>
      <c r="I8482">
        <v>31802730</v>
      </c>
    </row>
    <row r="8483" spans="1:9" x14ac:dyDescent="0.2">
      <c r="A8483" t="str">
        <f>"Gm21573"</f>
        <v>Gm21573</v>
      </c>
      <c r="B8483" t="s">
        <v>3268</v>
      </c>
      <c r="C8483" t="s">
        <v>63</v>
      </c>
      <c r="D8483" t="s">
        <v>11</v>
      </c>
      <c r="E8483" t="s">
        <v>20</v>
      </c>
      <c r="F8483">
        <v>61460714</v>
      </c>
      <c r="G8483">
        <v>61460714</v>
      </c>
      <c r="H8483">
        <v>61460714</v>
      </c>
      <c r="I8483">
        <v>61460714</v>
      </c>
    </row>
    <row r="8484" spans="1:9" x14ac:dyDescent="0.2">
      <c r="A8484" t="str">
        <f>"Gm21586"</f>
        <v>Gm21586</v>
      </c>
      <c r="B8484" t="s">
        <v>3269</v>
      </c>
      <c r="C8484" t="s">
        <v>23</v>
      </c>
      <c r="D8484" t="s">
        <v>17</v>
      </c>
      <c r="E8484" t="s">
        <v>20</v>
      </c>
      <c r="F8484">
        <v>42439377</v>
      </c>
      <c r="G8484">
        <v>42439377</v>
      </c>
      <c r="H8484">
        <v>42439377</v>
      </c>
      <c r="I8484">
        <v>42439377</v>
      </c>
    </row>
    <row r="8485" spans="1:9" x14ac:dyDescent="0.2">
      <c r="A8485" t="str">
        <f>"Gm21588"</f>
        <v>Gm21588</v>
      </c>
      <c r="B8485" t="s">
        <v>3270</v>
      </c>
      <c r="C8485" t="s">
        <v>63</v>
      </c>
      <c r="D8485" t="s">
        <v>11</v>
      </c>
      <c r="E8485" t="s">
        <v>20</v>
      </c>
      <c r="F8485">
        <v>32713185</v>
      </c>
      <c r="G8485">
        <v>32713185</v>
      </c>
      <c r="H8485">
        <v>32713185</v>
      </c>
      <c r="I8485">
        <v>32713185</v>
      </c>
    </row>
    <row r="8486" spans="1:9" x14ac:dyDescent="0.2">
      <c r="A8486" t="str">
        <f>"Gm21598"</f>
        <v>Gm21598</v>
      </c>
      <c r="B8486" t="s">
        <v>3271</v>
      </c>
      <c r="C8486" t="s">
        <v>23</v>
      </c>
      <c r="D8486" t="s">
        <v>17</v>
      </c>
      <c r="E8486" t="s">
        <v>20</v>
      </c>
      <c r="F8486">
        <v>42318333</v>
      </c>
      <c r="G8486">
        <v>42318333</v>
      </c>
      <c r="H8486">
        <v>42318333</v>
      </c>
      <c r="I8486">
        <v>42318333</v>
      </c>
    </row>
    <row r="8487" spans="1:9" x14ac:dyDescent="0.2">
      <c r="A8487" t="str">
        <f>"Gm21599"</f>
        <v>Gm21599</v>
      </c>
      <c r="B8487" t="s">
        <v>3272</v>
      </c>
      <c r="C8487" t="s">
        <v>63</v>
      </c>
      <c r="D8487" t="s">
        <v>11</v>
      </c>
      <c r="E8487" t="s">
        <v>20</v>
      </c>
      <c r="F8487">
        <v>32779760</v>
      </c>
      <c r="G8487">
        <v>32779760</v>
      </c>
      <c r="H8487">
        <v>32779760</v>
      </c>
      <c r="I8487">
        <v>32779760</v>
      </c>
    </row>
    <row r="8488" spans="1:9" x14ac:dyDescent="0.2">
      <c r="A8488" t="str">
        <f>"Gm216"</f>
        <v>Gm216</v>
      </c>
      <c r="B8488" t="s">
        <v>14</v>
      </c>
      <c r="C8488" t="s">
        <v>19</v>
      </c>
      <c r="D8488" t="s">
        <v>17</v>
      </c>
      <c r="E8488" t="s">
        <v>12</v>
      </c>
      <c r="F8488">
        <v>74362122</v>
      </c>
      <c r="G8488">
        <v>74362156</v>
      </c>
      <c r="H8488">
        <v>74362182</v>
      </c>
      <c r="I8488">
        <v>74362189</v>
      </c>
    </row>
    <row r="8489" spans="1:9" x14ac:dyDescent="0.2">
      <c r="A8489" t="str">
        <f>"Gm21608"</f>
        <v>Gm21608</v>
      </c>
      <c r="B8489" t="s">
        <v>3273</v>
      </c>
      <c r="C8489" t="s">
        <v>37</v>
      </c>
      <c r="D8489" t="s">
        <v>11</v>
      </c>
      <c r="E8489" t="s">
        <v>20</v>
      </c>
      <c r="F8489">
        <v>31717155</v>
      </c>
      <c r="G8489">
        <v>31717155</v>
      </c>
      <c r="H8489">
        <v>31717155</v>
      </c>
      <c r="I8489">
        <v>31717155</v>
      </c>
    </row>
    <row r="8490" spans="1:9" x14ac:dyDescent="0.2">
      <c r="A8490" t="str">
        <f>"Gm21616"</f>
        <v>Gm21616</v>
      </c>
      <c r="B8490" t="s">
        <v>3274</v>
      </c>
      <c r="C8490" t="s">
        <v>37</v>
      </c>
      <c r="D8490" t="s">
        <v>17</v>
      </c>
      <c r="E8490" t="s">
        <v>20</v>
      </c>
      <c r="F8490">
        <v>125435541</v>
      </c>
      <c r="G8490">
        <v>125435541</v>
      </c>
      <c r="H8490">
        <v>125435541</v>
      </c>
      <c r="I8490">
        <v>125435541</v>
      </c>
    </row>
    <row r="8491" spans="1:9" x14ac:dyDescent="0.2">
      <c r="A8491" t="str">
        <f>"Gm21617"</f>
        <v>Gm21617</v>
      </c>
      <c r="B8491" t="s">
        <v>3275</v>
      </c>
      <c r="C8491" t="s">
        <v>63</v>
      </c>
      <c r="D8491" t="s">
        <v>11</v>
      </c>
      <c r="E8491" t="s">
        <v>20</v>
      </c>
      <c r="F8491">
        <v>63055871</v>
      </c>
      <c r="G8491">
        <v>63055871</v>
      </c>
      <c r="H8491">
        <v>63055871</v>
      </c>
      <c r="I8491">
        <v>63055871</v>
      </c>
    </row>
    <row r="8492" spans="1:9" x14ac:dyDescent="0.2">
      <c r="A8492" t="str">
        <f>"Gm21626"</f>
        <v>Gm21626</v>
      </c>
      <c r="B8492" t="s">
        <v>3276</v>
      </c>
      <c r="C8492" t="s">
        <v>63</v>
      </c>
      <c r="D8492" t="s">
        <v>11</v>
      </c>
      <c r="E8492" t="s">
        <v>20</v>
      </c>
      <c r="F8492">
        <v>33636190</v>
      </c>
      <c r="G8492">
        <v>33636190</v>
      </c>
      <c r="H8492">
        <v>33636190</v>
      </c>
      <c r="I8492">
        <v>33636190</v>
      </c>
    </row>
    <row r="8493" spans="1:9" x14ac:dyDescent="0.2">
      <c r="A8493" t="str">
        <f>"Gm2163"</f>
        <v>Gm2163</v>
      </c>
      <c r="B8493" t="s">
        <v>3277</v>
      </c>
      <c r="C8493" t="s">
        <v>23</v>
      </c>
      <c r="D8493" t="s">
        <v>17</v>
      </c>
      <c r="E8493" t="s">
        <v>20</v>
      </c>
      <c r="F8493">
        <v>42466751</v>
      </c>
      <c r="G8493">
        <v>42466751</v>
      </c>
      <c r="H8493">
        <v>42466751</v>
      </c>
      <c r="I8493">
        <v>42466751</v>
      </c>
    </row>
    <row r="8494" spans="1:9" x14ac:dyDescent="0.2">
      <c r="A8494" t="str">
        <f>"Gm21633"</f>
        <v>Gm21633</v>
      </c>
      <c r="B8494" t="s">
        <v>3278</v>
      </c>
      <c r="C8494" t="s">
        <v>63</v>
      </c>
      <c r="D8494" t="s">
        <v>11</v>
      </c>
      <c r="E8494" t="s">
        <v>20</v>
      </c>
      <c r="F8494">
        <v>33702856</v>
      </c>
      <c r="G8494">
        <v>33702856</v>
      </c>
      <c r="H8494">
        <v>33702856</v>
      </c>
      <c r="I8494">
        <v>33702856</v>
      </c>
    </row>
    <row r="8495" spans="1:9" x14ac:dyDescent="0.2">
      <c r="A8495" t="str">
        <f>"Gm21634"</f>
        <v>Gm21634</v>
      </c>
      <c r="B8495" t="s">
        <v>3279</v>
      </c>
      <c r="C8495" t="s">
        <v>63</v>
      </c>
      <c r="D8495" t="s">
        <v>11</v>
      </c>
      <c r="E8495" t="s">
        <v>20</v>
      </c>
      <c r="F8495">
        <v>63501597</v>
      </c>
      <c r="G8495">
        <v>63501597</v>
      </c>
      <c r="H8495">
        <v>63501597</v>
      </c>
      <c r="I8495">
        <v>63501597</v>
      </c>
    </row>
    <row r="8496" spans="1:9" x14ac:dyDescent="0.2">
      <c r="A8496" t="str">
        <f>"Gm21637"</f>
        <v>Gm21637</v>
      </c>
      <c r="B8496" t="s">
        <v>3280</v>
      </c>
      <c r="C8496" t="s">
        <v>37</v>
      </c>
      <c r="D8496" t="s">
        <v>17</v>
      </c>
      <c r="E8496" t="s">
        <v>20</v>
      </c>
      <c r="F8496">
        <v>31962043</v>
      </c>
      <c r="G8496">
        <v>31962043</v>
      </c>
      <c r="H8496">
        <v>31962043</v>
      </c>
      <c r="I8496">
        <v>31962043</v>
      </c>
    </row>
    <row r="8497" spans="1:9" x14ac:dyDescent="0.2">
      <c r="A8497" t="str">
        <f>"Gm21638"</f>
        <v>Gm21638</v>
      </c>
      <c r="B8497" t="s">
        <v>3281</v>
      </c>
      <c r="C8497" t="s">
        <v>63</v>
      </c>
      <c r="D8497" t="s">
        <v>17</v>
      </c>
      <c r="E8497" t="s">
        <v>20</v>
      </c>
      <c r="F8497">
        <v>77320429</v>
      </c>
      <c r="G8497">
        <v>77320429</v>
      </c>
      <c r="H8497">
        <v>77320429</v>
      </c>
      <c r="I8497">
        <v>77320429</v>
      </c>
    </row>
    <row r="8498" spans="1:9" x14ac:dyDescent="0.2">
      <c r="A8498" t="str">
        <f>"Gm21642"</f>
        <v>Gm21642</v>
      </c>
      <c r="B8498" t="s">
        <v>3282</v>
      </c>
      <c r="C8498" t="s">
        <v>63</v>
      </c>
      <c r="D8498" t="s">
        <v>17</v>
      </c>
      <c r="E8498" t="s">
        <v>20</v>
      </c>
      <c r="F8498">
        <v>28443742</v>
      </c>
      <c r="G8498">
        <v>28443742</v>
      </c>
      <c r="H8498">
        <v>28443742</v>
      </c>
      <c r="I8498">
        <v>28443742</v>
      </c>
    </row>
    <row r="8499" spans="1:9" x14ac:dyDescent="0.2">
      <c r="A8499" t="str">
        <f>"Gm21645"</f>
        <v>Gm21645</v>
      </c>
      <c r="B8499" t="s">
        <v>3283</v>
      </c>
      <c r="C8499" t="s">
        <v>37</v>
      </c>
      <c r="D8499" t="s">
        <v>17</v>
      </c>
      <c r="E8499" t="s">
        <v>20</v>
      </c>
      <c r="F8499">
        <v>32047828</v>
      </c>
      <c r="G8499">
        <v>32047828</v>
      </c>
      <c r="H8499">
        <v>32047828</v>
      </c>
      <c r="I8499">
        <v>32047828</v>
      </c>
    </row>
    <row r="8500" spans="1:9" x14ac:dyDescent="0.2">
      <c r="A8500" t="str">
        <f>"Gm21650"</f>
        <v>Gm21650</v>
      </c>
      <c r="B8500" t="s">
        <v>3284</v>
      </c>
      <c r="C8500" t="s">
        <v>63</v>
      </c>
      <c r="D8500" t="s">
        <v>17</v>
      </c>
      <c r="E8500" t="s">
        <v>20</v>
      </c>
      <c r="F8500">
        <v>77694231</v>
      </c>
      <c r="G8500">
        <v>77694231</v>
      </c>
      <c r="H8500">
        <v>77694231</v>
      </c>
      <c r="I8500">
        <v>77694231</v>
      </c>
    </row>
    <row r="8501" spans="1:9" x14ac:dyDescent="0.2">
      <c r="A8501" t="str">
        <f>"Gm21654"</f>
        <v>Gm21654</v>
      </c>
      <c r="B8501" t="s">
        <v>3285</v>
      </c>
      <c r="C8501" t="s">
        <v>63</v>
      </c>
      <c r="D8501" t="s">
        <v>11</v>
      </c>
      <c r="E8501" t="s">
        <v>20</v>
      </c>
      <c r="F8501">
        <v>64013119</v>
      </c>
      <c r="G8501">
        <v>64013119</v>
      </c>
      <c r="H8501">
        <v>64013119</v>
      </c>
      <c r="I8501">
        <v>64013119</v>
      </c>
    </row>
    <row r="8502" spans="1:9" x14ac:dyDescent="0.2">
      <c r="A8502" t="str">
        <f>"Gm21655"</f>
        <v>Gm21655</v>
      </c>
      <c r="B8502" t="s">
        <v>3286</v>
      </c>
      <c r="C8502" t="s">
        <v>46</v>
      </c>
      <c r="D8502" t="s">
        <v>11</v>
      </c>
      <c r="E8502" t="s">
        <v>20</v>
      </c>
      <c r="F8502">
        <v>25926214</v>
      </c>
      <c r="G8502">
        <v>25926214</v>
      </c>
      <c r="H8502">
        <v>25926214</v>
      </c>
      <c r="I8502">
        <v>25926214</v>
      </c>
    </row>
    <row r="8503" spans="1:9" x14ac:dyDescent="0.2">
      <c r="A8503" t="str">
        <f>"Gm21657"</f>
        <v>Gm21657</v>
      </c>
      <c r="B8503" t="s">
        <v>3287</v>
      </c>
      <c r="C8503" t="s">
        <v>37</v>
      </c>
      <c r="D8503" t="s">
        <v>17</v>
      </c>
      <c r="E8503" t="s">
        <v>20</v>
      </c>
      <c r="F8503">
        <v>32894624</v>
      </c>
      <c r="G8503">
        <v>32894624</v>
      </c>
      <c r="H8503">
        <v>32894624</v>
      </c>
      <c r="I8503">
        <v>32894624</v>
      </c>
    </row>
    <row r="8504" spans="1:9" x14ac:dyDescent="0.2">
      <c r="A8504" t="str">
        <f>"Gm21658"</f>
        <v>Gm21658</v>
      </c>
      <c r="B8504" t="s">
        <v>3288</v>
      </c>
      <c r="C8504" t="s">
        <v>63</v>
      </c>
      <c r="D8504" t="s">
        <v>11</v>
      </c>
      <c r="E8504" t="s">
        <v>20</v>
      </c>
      <c r="F8504">
        <v>78035713</v>
      </c>
      <c r="G8504">
        <v>78035713</v>
      </c>
      <c r="H8504">
        <v>78035713</v>
      </c>
      <c r="I8504">
        <v>78035713</v>
      </c>
    </row>
    <row r="8505" spans="1:9" x14ac:dyDescent="0.2">
      <c r="A8505" t="str">
        <f>"Gm21660"</f>
        <v>Gm21660</v>
      </c>
      <c r="B8505" t="s">
        <v>3289</v>
      </c>
      <c r="C8505" t="s">
        <v>63</v>
      </c>
      <c r="D8505" t="s">
        <v>11</v>
      </c>
      <c r="E8505" t="s">
        <v>20</v>
      </c>
      <c r="F8505">
        <v>18623761</v>
      </c>
      <c r="G8505">
        <v>18623761</v>
      </c>
      <c r="H8505">
        <v>18623761</v>
      </c>
      <c r="I8505">
        <v>18623761</v>
      </c>
    </row>
    <row r="8506" spans="1:9" x14ac:dyDescent="0.2">
      <c r="A8506" t="str">
        <f>"Gm21661"</f>
        <v>Gm21661</v>
      </c>
      <c r="B8506" t="s">
        <v>3290</v>
      </c>
      <c r="C8506" t="s">
        <v>63</v>
      </c>
      <c r="D8506" t="s">
        <v>17</v>
      </c>
      <c r="E8506" t="s">
        <v>20</v>
      </c>
      <c r="F8506">
        <v>23097864</v>
      </c>
      <c r="G8506">
        <v>23097864</v>
      </c>
      <c r="H8506">
        <v>23097864</v>
      </c>
      <c r="I8506">
        <v>23097864</v>
      </c>
    </row>
    <row r="8507" spans="1:9" x14ac:dyDescent="0.2">
      <c r="A8507" t="str">
        <f>"Gm21671"</f>
        <v>Gm21671</v>
      </c>
      <c r="B8507" t="s">
        <v>3291</v>
      </c>
      <c r="C8507" t="s">
        <v>46</v>
      </c>
      <c r="D8507" t="s">
        <v>11</v>
      </c>
      <c r="E8507" t="s">
        <v>20</v>
      </c>
      <c r="F8507">
        <v>25954343</v>
      </c>
      <c r="G8507">
        <v>25954343</v>
      </c>
      <c r="H8507">
        <v>25954343</v>
      </c>
      <c r="I8507">
        <v>25954343</v>
      </c>
    </row>
    <row r="8508" spans="1:9" x14ac:dyDescent="0.2">
      <c r="A8508" t="str">
        <f>"Gm21672"</f>
        <v>Gm21672</v>
      </c>
      <c r="B8508" t="s">
        <v>3292</v>
      </c>
      <c r="C8508" t="s">
        <v>63</v>
      </c>
      <c r="D8508" t="s">
        <v>11</v>
      </c>
      <c r="E8508" t="s">
        <v>20</v>
      </c>
      <c r="F8508">
        <v>70197532</v>
      </c>
      <c r="G8508">
        <v>70197532</v>
      </c>
      <c r="H8508">
        <v>70197532</v>
      </c>
      <c r="I8508">
        <v>70197532</v>
      </c>
    </row>
    <row r="8509" spans="1:9" x14ac:dyDescent="0.2">
      <c r="A8509" t="str">
        <f>"Gm21677"</f>
        <v>Gm21677</v>
      </c>
      <c r="B8509" t="s">
        <v>3293</v>
      </c>
      <c r="C8509" t="s">
        <v>63</v>
      </c>
      <c r="D8509" t="s">
        <v>11</v>
      </c>
      <c r="E8509" t="s">
        <v>20</v>
      </c>
      <c r="F8509">
        <v>3303465</v>
      </c>
      <c r="G8509">
        <v>3303465</v>
      </c>
      <c r="H8509">
        <v>3303465</v>
      </c>
      <c r="I8509">
        <v>3303465</v>
      </c>
    </row>
    <row r="8510" spans="1:9" x14ac:dyDescent="0.2">
      <c r="A8510" t="str">
        <f>"Gm21679"</f>
        <v>Gm21679</v>
      </c>
      <c r="B8510" t="s">
        <v>3294</v>
      </c>
      <c r="C8510" t="s">
        <v>63</v>
      </c>
      <c r="D8510" t="s">
        <v>11</v>
      </c>
      <c r="E8510" t="s">
        <v>20</v>
      </c>
      <c r="F8510">
        <v>29683369</v>
      </c>
      <c r="G8510">
        <v>29683369</v>
      </c>
      <c r="H8510">
        <v>29683369</v>
      </c>
      <c r="I8510">
        <v>29683369</v>
      </c>
    </row>
    <row r="8511" spans="1:9" x14ac:dyDescent="0.2">
      <c r="A8511" t="str">
        <f>"Gm21681"</f>
        <v>Gm21681</v>
      </c>
      <c r="B8511" t="s">
        <v>3295</v>
      </c>
      <c r="C8511" t="s">
        <v>37</v>
      </c>
      <c r="D8511" t="s">
        <v>11</v>
      </c>
      <c r="E8511" t="s">
        <v>20</v>
      </c>
      <c r="F8511">
        <v>34161498</v>
      </c>
      <c r="G8511">
        <v>34161498</v>
      </c>
      <c r="H8511">
        <v>34161498</v>
      </c>
      <c r="I8511">
        <v>34161498</v>
      </c>
    </row>
    <row r="8512" spans="1:9" x14ac:dyDescent="0.2">
      <c r="A8512" t="str">
        <f>"Gm21683"</f>
        <v>Gm21683</v>
      </c>
      <c r="B8512" t="s">
        <v>3296</v>
      </c>
      <c r="C8512" t="s">
        <v>63</v>
      </c>
      <c r="D8512" t="s">
        <v>11</v>
      </c>
      <c r="E8512" t="s">
        <v>20</v>
      </c>
      <c r="F8512">
        <v>73314511</v>
      </c>
      <c r="G8512">
        <v>73314511</v>
      </c>
      <c r="H8512">
        <v>73314511</v>
      </c>
      <c r="I8512">
        <v>73314511</v>
      </c>
    </row>
    <row r="8513" spans="1:9" x14ac:dyDescent="0.2">
      <c r="A8513" t="str">
        <f>"Gm21685"</f>
        <v>Gm21685</v>
      </c>
      <c r="B8513" t="s">
        <v>14</v>
      </c>
      <c r="C8513" t="s">
        <v>41</v>
      </c>
      <c r="D8513" t="s">
        <v>17</v>
      </c>
      <c r="E8513" t="s">
        <v>67</v>
      </c>
      <c r="F8513">
        <v>69555377</v>
      </c>
      <c r="G8513">
        <v>69555481</v>
      </c>
      <c r="H8513">
        <v>69555377</v>
      </c>
      <c r="I8513">
        <v>69555481</v>
      </c>
    </row>
    <row r="8514" spans="1:9" x14ac:dyDescent="0.2">
      <c r="A8514" t="str">
        <f>"Gm21693"</f>
        <v>Gm21693</v>
      </c>
      <c r="B8514" t="s">
        <v>3297</v>
      </c>
      <c r="C8514" t="s">
        <v>63</v>
      </c>
      <c r="D8514" t="s">
        <v>11</v>
      </c>
      <c r="E8514" t="s">
        <v>20</v>
      </c>
      <c r="F8514">
        <v>3335009</v>
      </c>
      <c r="G8514">
        <v>3335009</v>
      </c>
      <c r="H8514">
        <v>3335009</v>
      </c>
      <c r="I8514">
        <v>3335009</v>
      </c>
    </row>
    <row r="8515" spans="1:9" x14ac:dyDescent="0.2">
      <c r="A8515" t="str">
        <f>"Gm21698"</f>
        <v>Gm21698</v>
      </c>
      <c r="B8515" t="s">
        <v>3298</v>
      </c>
      <c r="C8515" t="s">
        <v>46</v>
      </c>
      <c r="D8515" t="s">
        <v>11</v>
      </c>
      <c r="E8515" t="s">
        <v>20</v>
      </c>
      <c r="F8515">
        <v>25987447</v>
      </c>
      <c r="G8515">
        <v>25987447</v>
      </c>
      <c r="H8515">
        <v>25987447</v>
      </c>
      <c r="I8515">
        <v>25987447</v>
      </c>
    </row>
    <row r="8516" spans="1:9" x14ac:dyDescent="0.2">
      <c r="A8516" t="str">
        <f>"Gm21699"</f>
        <v>Gm21699</v>
      </c>
      <c r="B8516" t="s">
        <v>3299</v>
      </c>
      <c r="C8516" t="s">
        <v>37</v>
      </c>
      <c r="D8516" t="s">
        <v>17</v>
      </c>
      <c r="E8516" t="s">
        <v>20</v>
      </c>
      <c r="F8516">
        <v>34450523</v>
      </c>
      <c r="G8516">
        <v>34450523</v>
      </c>
      <c r="H8516">
        <v>34450523</v>
      </c>
      <c r="I8516">
        <v>34450523</v>
      </c>
    </row>
    <row r="8517" spans="1:9" x14ac:dyDescent="0.2">
      <c r="A8517" t="str">
        <f>"Gm21704"</f>
        <v>Gm21704</v>
      </c>
      <c r="B8517" t="s">
        <v>3300</v>
      </c>
      <c r="C8517" t="s">
        <v>63</v>
      </c>
      <c r="D8517" t="s">
        <v>11</v>
      </c>
      <c r="E8517" t="s">
        <v>20</v>
      </c>
      <c r="F8517">
        <v>3410166</v>
      </c>
      <c r="G8517">
        <v>3410166</v>
      </c>
      <c r="H8517">
        <v>3410166</v>
      </c>
      <c r="I8517">
        <v>3410166</v>
      </c>
    </row>
    <row r="8518" spans="1:9" x14ac:dyDescent="0.2">
      <c r="A8518" t="str">
        <f>"Gm21708"</f>
        <v>Gm21708</v>
      </c>
      <c r="B8518" t="s">
        <v>3301</v>
      </c>
      <c r="C8518" t="s">
        <v>63</v>
      </c>
      <c r="D8518" t="s">
        <v>11</v>
      </c>
      <c r="E8518" t="s">
        <v>20</v>
      </c>
      <c r="F8518">
        <v>3407066</v>
      </c>
      <c r="G8518">
        <v>3407066</v>
      </c>
      <c r="H8518">
        <v>3407066</v>
      </c>
      <c r="I8518">
        <v>3407066</v>
      </c>
    </row>
    <row r="8519" spans="1:9" x14ac:dyDescent="0.2">
      <c r="A8519" t="str">
        <f>"Gm21715"</f>
        <v>Gm21715</v>
      </c>
      <c r="B8519" t="s">
        <v>3302</v>
      </c>
      <c r="C8519" t="s">
        <v>63</v>
      </c>
      <c r="D8519" t="s">
        <v>11</v>
      </c>
      <c r="E8519" t="s">
        <v>20</v>
      </c>
      <c r="F8519">
        <v>74012159</v>
      </c>
      <c r="G8519">
        <v>74012159</v>
      </c>
      <c r="H8519">
        <v>74012159</v>
      </c>
      <c r="I8519">
        <v>74012159</v>
      </c>
    </row>
    <row r="8520" spans="1:9" x14ac:dyDescent="0.2">
      <c r="A8520" t="str">
        <f>"Gm21717"</f>
        <v>Gm21717</v>
      </c>
      <c r="B8520" t="s">
        <v>3303</v>
      </c>
      <c r="C8520" t="s">
        <v>63</v>
      </c>
      <c r="D8520" t="s">
        <v>11</v>
      </c>
      <c r="E8520" t="s">
        <v>20</v>
      </c>
      <c r="F8520">
        <v>83994274</v>
      </c>
      <c r="G8520">
        <v>83994274</v>
      </c>
      <c r="H8520">
        <v>83994274</v>
      </c>
      <c r="I8520">
        <v>83994274</v>
      </c>
    </row>
    <row r="8521" spans="1:9" x14ac:dyDescent="0.2">
      <c r="A8521" t="str">
        <f>"Gm21718"</f>
        <v>Gm21718</v>
      </c>
      <c r="B8521" t="s">
        <v>3304</v>
      </c>
      <c r="C8521" t="s">
        <v>41</v>
      </c>
      <c r="D8521" t="s">
        <v>17</v>
      </c>
      <c r="E8521" t="s">
        <v>20</v>
      </c>
      <c r="F8521">
        <v>51312847</v>
      </c>
      <c r="G8521">
        <v>51312847</v>
      </c>
      <c r="H8521">
        <v>51312847</v>
      </c>
      <c r="I8521">
        <v>51312847</v>
      </c>
    </row>
    <row r="8522" spans="1:9" x14ac:dyDescent="0.2">
      <c r="A8522" t="str">
        <f>"Gm21719"</f>
        <v>Gm21719</v>
      </c>
      <c r="B8522" t="s">
        <v>3305</v>
      </c>
      <c r="C8522" t="s">
        <v>63</v>
      </c>
      <c r="D8522" t="s">
        <v>11</v>
      </c>
      <c r="E8522" t="s">
        <v>20</v>
      </c>
      <c r="F8522">
        <v>6681242</v>
      </c>
      <c r="G8522">
        <v>6681242</v>
      </c>
      <c r="H8522">
        <v>6681242</v>
      </c>
      <c r="I8522">
        <v>6681242</v>
      </c>
    </row>
    <row r="8523" spans="1:9" x14ac:dyDescent="0.2">
      <c r="A8523" t="str">
        <f>"Gm21720"</f>
        <v>Gm21720</v>
      </c>
      <c r="B8523" t="s">
        <v>3306</v>
      </c>
      <c r="C8523" t="s">
        <v>63</v>
      </c>
      <c r="D8523" t="s">
        <v>11</v>
      </c>
      <c r="E8523" t="s">
        <v>20</v>
      </c>
      <c r="F8523">
        <v>88953081</v>
      </c>
      <c r="G8523">
        <v>88953081</v>
      </c>
      <c r="H8523">
        <v>88953081</v>
      </c>
      <c r="I8523">
        <v>88953081</v>
      </c>
    </row>
    <row r="8524" spans="1:9" x14ac:dyDescent="0.2">
      <c r="A8524" t="str">
        <f>"Gm21721"</f>
        <v>Gm21721</v>
      </c>
      <c r="B8524" t="s">
        <v>3307</v>
      </c>
      <c r="C8524" t="s">
        <v>63</v>
      </c>
      <c r="D8524" t="s">
        <v>11</v>
      </c>
      <c r="E8524" t="s">
        <v>20</v>
      </c>
      <c r="F8524">
        <v>9200642</v>
      </c>
      <c r="G8524">
        <v>9200642</v>
      </c>
      <c r="H8524">
        <v>9200642</v>
      </c>
      <c r="I8524">
        <v>9200642</v>
      </c>
    </row>
    <row r="8525" spans="1:9" x14ac:dyDescent="0.2">
      <c r="A8525" t="str">
        <f>"Gm21722"</f>
        <v>Gm21722</v>
      </c>
      <c r="B8525" t="s">
        <v>3308</v>
      </c>
      <c r="C8525" t="s">
        <v>63</v>
      </c>
      <c r="D8525" t="s">
        <v>11</v>
      </c>
      <c r="E8525" t="s">
        <v>20</v>
      </c>
      <c r="F8525">
        <v>80823473</v>
      </c>
      <c r="G8525">
        <v>80823473</v>
      </c>
      <c r="H8525">
        <v>80823473</v>
      </c>
      <c r="I8525">
        <v>80823473</v>
      </c>
    </row>
    <row r="8526" spans="1:9" x14ac:dyDescent="0.2">
      <c r="A8526" t="str">
        <f>"Gm21723"</f>
        <v>Gm21723</v>
      </c>
      <c r="B8526" t="s">
        <v>3309</v>
      </c>
      <c r="C8526" t="s">
        <v>63</v>
      </c>
      <c r="D8526" t="s">
        <v>17</v>
      </c>
      <c r="E8526" t="s">
        <v>20</v>
      </c>
      <c r="F8526">
        <v>32159844</v>
      </c>
      <c r="G8526">
        <v>32159844</v>
      </c>
      <c r="H8526">
        <v>32159844</v>
      </c>
      <c r="I8526">
        <v>32159844</v>
      </c>
    </row>
    <row r="8527" spans="1:9" x14ac:dyDescent="0.2">
      <c r="A8527" t="str">
        <f>"Gm21724"</f>
        <v>Gm21724</v>
      </c>
      <c r="B8527" t="s">
        <v>3310</v>
      </c>
      <c r="C8527" t="s">
        <v>63</v>
      </c>
      <c r="D8527" t="s">
        <v>11</v>
      </c>
      <c r="E8527" t="s">
        <v>20</v>
      </c>
      <c r="F8527">
        <v>58369529</v>
      </c>
      <c r="G8527">
        <v>58369529</v>
      </c>
      <c r="H8527">
        <v>58369529</v>
      </c>
      <c r="I8527">
        <v>58369529</v>
      </c>
    </row>
    <row r="8528" spans="1:9" x14ac:dyDescent="0.2">
      <c r="A8528" t="str">
        <f>"Gm21725"</f>
        <v>Gm21725</v>
      </c>
      <c r="B8528" t="s">
        <v>3311</v>
      </c>
      <c r="C8528" t="s">
        <v>63</v>
      </c>
      <c r="D8528" t="s">
        <v>11</v>
      </c>
      <c r="E8528" t="s">
        <v>20</v>
      </c>
      <c r="F8528">
        <v>13349062</v>
      </c>
      <c r="G8528">
        <v>13349062</v>
      </c>
      <c r="H8528">
        <v>13349062</v>
      </c>
      <c r="I8528">
        <v>13349062</v>
      </c>
    </row>
    <row r="8529" spans="1:9" x14ac:dyDescent="0.2">
      <c r="A8529" t="str">
        <f>"Gm21726"</f>
        <v>Gm21726</v>
      </c>
      <c r="B8529" t="s">
        <v>3312</v>
      </c>
      <c r="C8529" t="s">
        <v>39</v>
      </c>
      <c r="D8529" t="s">
        <v>17</v>
      </c>
      <c r="E8529" t="s">
        <v>20</v>
      </c>
      <c r="F8529">
        <v>90583399</v>
      </c>
      <c r="G8529">
        <v>90583399</v>
      </c>
      <c r="H8529">
        <v>90583399</v>
      </c>
      <c r="I8529">
        <v>90583399</v>
      </c>
    </row>
    <row r="8530" spans="1:9" x14ac:dyDescent="0.2">
      <c r="A8530" t="str">
        <f>"Gm21729"</f>
        <v>Gm21729</v>
      </c>
      <c r="B8530" t="s">
        <v>3313</v>
      </c>
      <c r="C8530" t="s">
        <v>63</v>
      </c>
      <c r="D8530" t="s">
        <v>11</v>
      </c>
      <c r="E8530" t="s">
        <v>20</v>
      </c>
      <c r="F8530">
        <v>41644044</v>
      </c>
      <c r="G8530">
        <v>41644044</v>
      </c>
      <c r="H8530">
        <v>41644044</v>
      </c>
      <c r="I8530">
        <v>41644044</v>
      </c>
    </row>
    <row r="8531" spans="1:9" x14ac:dyDescent="0.2">
      <c r="A8531" t="str">
        <f>"Gm21731"</f>
        <v>Gm21731</v>
      </c>
      <c r="B8531" t="s">
        <v>3314</v>
      </c>
      <c r="C8531" t="s">
        <v>39</v>
      </c>
      <c r="D8531" t="s">
        <v>17</v>
      </c>
      <c r="E8531" t="s">
        <v>20</v>
      </c>
      <c r="F8531">
        <v>120240669</v>
      </c>
      <c r="G8531">
        <v>120240669</v>
      </c>
      <c r="H8531">
        <v>120240669</v>
      </c>
      <c r="I8531">
        <v>120240669</v>
      </c>
    </row>
    <row r="8532" spans="1:9" x14ac:dyDescent="0.2">
      <c r="A8532" t="str">
        <f>"Gm21732"</f>
        <v>Gm21732</v>
      </c>
      <c r="B8532" t="s">
        <v>3315</v>
      </c>
      <c r="C8532" t="s">
        <v>63</v>
      </c>
      <c r="D8532" t="s">
        <v>11</v>
      </c>
      <c r="E8532" t="s">
        <v>20</v>
      </c>
      <c r="F8532">
        <v>38575690</v>
      </c>
      <c r="G8532">
        <v>38575690</v>
      </c>
      <c r="H8532">
        <v>38575690</v>
      </c>
      <c r="I8532">
        <v>38575690</v>
      </c>
    </row>
    <row r="8533" spans="1:9" x14ac:dyDescent="0.2">
      <c r="A8533" t="str">
        <f>"Gm21733"</f>
        <v>Gm21733</v>
      </c>
      <c r="B8533" t="s">
        <v>3316</v>
      </c>
      <c r="C8533" t="s">
        <v>63</v>
      </c>
      <c r="D8533" t="s">
        <v>11</v>
      </c>
      <c r="E8533" t="s">
        <v>20</v>
      </c>
      <c r="F8533">
        <v>55484006</v>
      </c>
      <c r="G8533">
        <v>55484006</v>
      </c>
      <c r="H8533">
        <v>55484006</v>
      </c>
      <c r="I8533">
        <v>55484006</v>
      </c>
    </row>
    <row r="8534" spans="1:9" x14ac:dyDescent="0.2">
      <c r="A8534" t="str">
        <f>"Gm21734"</f>
        <v>Gm21734</v>
      </c>
      <c r="B8534" t="s">
        <v>3317</v>
      </c>
      <c r="C8534" t="s">
        <v>63</v>
      </c>
      <c r="D8534" t="s">
        <v>11</v>
      </c>
      <c r="E8534" t="s">
        <v>20</v>
      </c>
      <c r="F8534">
        <v>85235393</v>
      </c>
      <c r="G8534">
        <v>85235393</v>
      </c>
      <c r="H8534">
        <v>85235393</v>
      </c>
      <c r="I8534">
        <v>85235393</v>
      </c>
    </row>
    <row r="8535" spans="1:9" x14ac:dyDescent="0.2">
      <c r="A8535" t="str">
        <f>"Gm21735"</f>
        <v>Gm21735</v>
      </c>
      <c r="B8535" t="s">
        <v>3318</v>
      </c>
      <c r="C8535" t="s">
        <v>63</v>
      </c>
      <c r="D8535" t="s">
        <v>17</v>
      </c>
      <c r="E8535" t="s">
        <v>20</v>
      </c>
      <c r="F8535">
        <v>38247726</v>
      </c>
      <c r="G8535">
        <v>38247726</v>
      </c>
      <c r="H8535">
        <v>38247726</v>
      </c>
      <c r="I8535">
        <v>38247726</v>
      </c>
    </row>
    <row r="8536" spans="1:9" x14ac:dyDescent="0.2">
      <c r="A8536" t="str">
        <f>"Gm21736"</f>
        <v>Gm21736</v>
      </c>
      <c r="B8536" t="s">
        <v>3319</v>
      </c>
      <c r="C8536" t="s">
        <v>63</v>
      </c>
      <c r="D8536" t="s">
        <v>17</v>
      </c>
      <c r="E8536" t="s">
        <v>20</v>
      </c>
      <c r="F8536">
        <v>12564111</v>
      </c>
      <c r="G8536">
        <v>12564111</v>
      </c>
      <c r="H8536">
        <v>12564111</v>
      </c>
      <c r="I8536">
        <v>12564111</v>
      </c>
    </row>
    <row r="8537" spans="1:9" x14ac:dyDescent="0.2">
      <c r="A8537" t="str">
        <f>"Gm21737"</f>
        <v>Gm21737</v>
      </c>
      <c r="B8537" t="s">
        <v>3320</v>
      </c>
      <c r="C8537" t="s">
        <v>63</v>
      </c>
      <c r="D8537" t="s">
        <v>17</v>
      </c>
      <c r="E8537" t="s">
        <v>20</v>
      </c>
      <c r="F8537">
        <v>31373425</v>
      </c>
      <c r="G8537">
        <v>31373425</v>
      </c>
      <c r="H8537">
        <v>31373425</v>
      </c>
      <c r="I8537">
        <v>31373425</v>
      </c>
    </row>
    <row r="8538" spans="1:9" x14ac:dyDescent="0.2">
      <c r="A8538" t="str">
        <f>"Gm21738"</f>
        <v>Gm21738</v>
      </c>
      <c r="B8538" t="s">
        <v>3321</v>
      </c>
      <c r="C8538" t="s">
        <v>41</v>
      </c>
      <c r="D8538" t="s">
        <v>11</v>
      </c>
      <c r="E8538" t="s">
        <v>20</v>
      </c>
      <c r="F8538">
        <v>19418929</v>
      </c>
      <c r="G8538">
        <v>19418929</v>
      </c>
      <c r="H8538">
        <v>19418929</v>
      </c>
      <c r="I8538">
        <v>19418929</v>
      </c>
    </row>
    <row r="8539" spans="1:9" x14ac:dyDescent="0.2">
      <c r="A8539" t="str">
        <f>"Gm21739"</f>
        <v>Gm21739</v>
      </c>
      <c r="B8539" t="s">
        <v>3322</v>
      </c>
      <c r="C8539" t="s">
        <v>63</v>
      </c>
      <c r="D8539" t="s">
        <v>11</v>
      </c>
      <c r="E8539" t="s">
        <v>20</v>
      </c>
      <c r="F8539">
        <v>44263015</v>
      </c>
      <c r="G8539">
        <v>44263015</v>
      </c>
      <c r="H8539">
        <v>44263015</v>
      </c>
      <c r="I8539">
        <v>44263015</v>
      </c>
    </row>
    <row r="8540" spans="1:9" x14ac:dyDescent="0.2">
      <c r="A8540" t="str">
        <f>"Gm2174"</f>
        <v>Gm2174</v>
      </c>
      <c r="B8540" t="s">
        <v>3323</v>
      </c>
      <c r="C8540" t="s">
        <v>37</v>
      </c>
      <c r="D8540" t="s">
        <v>17</v>
      </c>
      <c r="E8540" t="s">
        <v>20</v>
      </c>
      <c r="F8540">
        <v>56447964</v>
      </c>
      <c r="G8540">
        <v>56447964</v>
      </c>
      <c r="H8540">
        <v>56447964</v>
      </c>
      <c r="I8540">
        <v>56447964</v>
      </c>
    </row>
    <row r="8541" spans="1:9" x14ac:dyDescent="0.2">
      <c r="A8541" t="str">
        <f>"Gm21740"</f>
        <v>Gm21740</v>
      </c>
      <c r="B8541" t="s">
        <v>3324</v>
      </c>
      <c r="C8541" t="s">
        <v>63</v>
      </c>
      <c r="D8541" t="s">
        <v>11</v>
      </c>
      <c r="E8541" t="s">
        <v>20</v>
      </c>
      <c r="F8541">
        <v>54415538</v>
      </c>
      <c r="G8541">
        <v>54415538</v>
      </c>
      <c r="H8541">
        <v>54415538</v>
      </c>
      <c r="I8541">
        <v>54415538</v>
      </c>
    </row>
    <row r="8542" spans="1:9" x14ac:dyDescent="0.2">
      <c r="A8542" t="str">
        <f>"Gm21741"</f>
        <v>Gm21741</v>
      </c>
      <c r="B8542" t="s">
        <v>3325</v>
      </c>
      <c r="C8542" t="s">
        <v>63</v>
      </c>
      <c r="D8542" t="s">
        <v>11</v>
      </c>
      <c r="E8542" t="s">
        <v>20</v>
      </c>
      <c r="F8542">
        <v>83715781</v>
      </c>
      <c r="G8542">
        <v>83715781</v>
      </c>
      <c r="H8542">
        <v>83715781</v>
      </c>
      <c r="I8542">
        <v>83715781</v>
      </c>
    </row>
    <row r="8543" spans="1:9" x14ac:dyDescent="0.2">
      <c r="A8543" t="str">
        <f>"Gm21742"</f>
        <v>Gm21742</v>
      </c>
      <c r="B8543" t="s">
        <v>3326</v>
      </c>
      <c r="C8543" t="s">
        <v>63</v>
      </c>
      <c r="D8543" t="s">
        <v>17</v>
      </c>
      <c r="E8543" t="s">
        <v>20</v>
      </c>
      <c r="F8543">
        <v>90843933</v>
      </c>
      <c r="G8543">
        <v>90843933</v>
      </c>
      <c r="H8543">
        <v>90843933</v>
      </c>
      <c r="I8543">
        <v>90843933</v>
      </c>
    </row>
    <row r="8544" spans="1:9" x14ac:dyDescent="0.2">
      <c r="A8544" t="str">
        <f>"Gm21743"</f>
        <v>Gm21743</v>
      </c>
      <c r="B8544" t="s">
        <v>3327</v>
      </c>
      <c r="C8544" t="s">
        <v>10</v>
      </c>
      <c r="D8544" t="s">
        <v>17</v>
      </c>
      <c r="E8544" t="s">
        <v>20</v>
      </c>
      <c r="F8544">
        <v>8883929</v>
      </c>
      <c r="G8544">
        <v>8883929</v>
      </c>
      <c r="H8544">
        <v>8883929</v>
      </c>
      <c r="I8544">
        <v>8883929</v>
      </c>
    </row>
    <row r="8545" spans="1:9" x14ac:dyDescent="0.2">
      <c r="A8545" t="str">
        <f>"Gm21744"</f>
        <v>Gm21744</v>
      </c>
      <c r="B8545" t="s">
        <v>3328</v>
      </c>
      <c r="C8545" t="s">
        <v>63</v>
      </c>
      <c r="D8545" t="s">
        <v>17</v>
      </c>
      <c r="E8545" t="s">
        <v>20</v>
      </c>
      <c r="F8545">
        <v>32380233</v>
      </c>
      <c r="G8545">
        <v>32380233</v>
      </c>
      <c r="H8545">
        <v>32380233</v>
      </c>
      <c r="I8545">
        <v>32380233</v>
      </c>
    </row>
    <row r="8546" spans="1:9" x14ac:dyDescent="0.2">
      <c r="A8546" t="str">
        <f>"Gm21745"</f>
        <v>Gm21745</v>
      </c>
      <c r="B8546" t="s">
        <v>3329</v>
      </c>
      <c r="C8546" t="s">
        <v>63</v>
      </c>
      <c r="D8546" t="s">
        <v>11</v>
      </c>
      <c r="E8546" t="s">
        <v>20</v>
      </c>
      <c r="F8546">
        <v>34028883</v>
      </c>
      <c r="G8546">
        <v>34028883</v>
      </c>
      <c r="H8546">
        <v>34028883</v>
      </c>
      <c r="I8546">
        <v>34028883</v>
      </c>
    </row>
    <row r="8547" spans="1:9" x14ac:dyDescent="0.2">
      <c r="A8547" t="str">
        <f>"Gm21746"</f>
        <v>Gm21746</v>
      </c>
      <c r="B8547" t="s">
        <v>3330</v>
      </c>
      <c r="C8547" t="s">
        <v>63</v>
      </c>
      <c r="D8547" t="s">
        <v>11</v>
      </c>
      <c r="E8547" t="s">
        <v>20</v>
      </c>
      <c r="F8547">
        <v>6237994</v>
      </c>
      <c r="G8547">
        <v>6237994</v>
      </c>
      <c r="H8547">
        <v>6237994</v>
      </c>
      <c r="I8547">
        <v>6237994</v>
      </c>
    </row>
    <row r="8548" spans="1:9" x14ac:dyDescent="0.2">
      <c r="A8548" t="str">
        <f>"Gm21748"</f>
        <v>Gm21748</v>
      </c>
      <c r="B8548" t="s">
        <v>3331</v>
      </c>
      <c r="C8548" t="s">
        <v>63</v>
      </c>
      <c r="D8548" t="s">
        <v>11</v>
      </c>
      <c r="E8548" t="s">
        <v>20</v>
      </c>
      <c r="F8548">
        <v>90839176</v>
      </c>
      <c r="G8548">
        <v>90839176</v>
      </c>
      <c r="H8548">
        <v>90839176</v>
      </c>
      <c r="I8548">
        <v>90839176</v>
      </c>
    </row>
    <row r="8549" spans="1:9" x14ac:dyDescent="0.2">
      <c r="A8549" t="str">
        <f>"Gm21749"</f>
        <v>Gm21749</v>
      </c>
      <c r="B8549" t="s">
        <v>3332</v>
      </c>
      <c r="C8549" t="s">
        <v>63</v>
      </c>
      <c r="D8549" t="s">
        <v>11</v>
      </c>
      <c r="E8549" t="s">
        <v>20</v>
      </c>
      <c r="F8549">
        <v>53782225</v>
      </c>
      <c r="G8549">
        <v>53782225</v>
      </c>
      <c r="H8549">
        <v>53782225</v>
      </c>
      <c r="I8549">
        <v>53782225</v>
      </c>
    </row>
    <row r="8550" spans="1:9" x14ac:dyDescent="0.2">
      <c r="A8550" t="str">
        <f>"Gm21750"</f>
        <v>Gm21750</v>
      </c>
      <c r="B8550" t="s">
        <v>3333</v>
      </c>
      <c r="C8550" t="s">
        <v>41</v>
      </c>
      <c r="D8550" t="s">
        <v>17</v>
      </c>
      <c r="E8550" t="s">
        <v>20</v>
      </c>
      <c r="F8550">
        <v>73661224</v>
      </c>
      <c r="G8550">
        <v>73661224</v>
      </c>
      <c r="H8550">
        <v>73661224</v>
      </c>
      <c r="I8550">
        <v>73661224</v>
      </c>
    </row>
    <row r="8551" spans="1:9" x14ac:dyDescent="0.2">
      <c r="A8551" t="str">
        <f>"Gm21751"</f>
        <v>Gm21751</v>
      </c>
      <c r="B8551" t="s">
        <v>3334</v>
      </c>
      <c r="C8551" t="s">
        <v>63</v>
      </c>
      <c r="D8551" t="s">
        <v>17</v>
      </c>
      <c r="E8551" t="s">
        <v>20</v>
      </c>
      <c r="F8551">
        <v>47892226</v>
      </c>
      <c r="G8551">
        <v>47892226</v>
      </c>
      <c r="H8551">
        <v>47892226</v>
      </c>
      <c r="I8551">
        <v>47892226</v>
      </c>
    </row>
    <row r="8552" spans="1:9" x14ac:dyDescent="0.2">
      <c r="A8552" t="str">
        <f>"Gm21752"</f>
        <v>Gm21752</v>
      </c>
      <c r="B8552" t="s">
        <v>3335</v>
      </c>
      <c r="C8552" t="s">
        <v>63</v>
      </c>
      <c r="D8552" t="s">
        <v>11</v>
      </c>
      <c r="E8552" t="s">
        <v>20</v>
      </c>
      <c r="F8552">
        <v>87013483</v>
      </c>
      <c r="G8552">
        <v>87013483</v>
      </c>
      <c r="H8552">
        <v>87013483</v>
      </c>
      <c r="I8552">
        <v>87013483</v>
      </c>
    </row>
    <row r="8553" spans="1:9" x14ac:dyDescent="0.2">
      <c r="A8553" t="str">
        <f>"Gm21753"</f>
        <v>Gm21753</v>
      </c>
      <c r="B8553" t="s">
        <v>3336</v>
      </c>
      <c r="C8553" t="s">
        <v>63</v>
      </c>
      <c r="D8553" t="s">
        <v>11</v>
      </c>
      <c r="E8553" t="s">
        <v>20</v>
      </c>
      <c r="F8553">
        <v>32125098</v>
      </c>
      <c r="G8553">
        <v>32125098</v>
      </c>
      <c r="H8553">
        <v>32125098</v>
      </c>
      <c r="I8553">
        <v>32125098</v>
      </c>
    </row>
    <row r="8554" spans="1:9" x14ac:dyDescent="0.2">
      <c r="A8554" t="str">
        <f>"Gm21755"</f>
        <v>Gm21755</v>
      </c>
      <c r="B8554" t="s">
        <v>3337</v>
      </c>
      <c r="C8554" t="s">
        <v>63</v>
      </c>
      <c r="D8554" t="s">
        <v>17</v>
      </c>
      <c r="E8554" t="s">
        <v>20</v>
      </c>
      <c r="F8554">
        <v>26434217</v>
      </c>
      <c r="G8554">
        <v>26434217</v>
      </c>
      <c r="H8554">
        <v>26434217</v>
      </c>
      <c r="I8554">
        <v>26434217</v>
      </c>
    </row>
    <row r="8555" spans="1:9" x14ac:dyDescent="0.2">
      <c r="A8555" t="str">
        <f>"Gm21756"</f>
        <v>Gm21756</v>
      </c>
      <c r="B8555" t="s">
        <v>3338</v>
      </c>
      <c r="C8555" t="s">
        <v>63</v>
      </c>
      <c r="D8555" t="s">
        <v>17</v>
      </c>
      <c r="E8555" t="s">
        <v>20</v>
      </c>
      <c r="F8555">
        <v>33246465</v>
      </c>
      <c r="G8555">
        <v>33246465</v>
      </c>
      <c r="H8555">
        <v>33246465</v>
      </c>
      <c r="I8555">
        <v>33246465</v>
      </c>
    </row>
    <row r="8556" spans="1:9" x14ac:dyDescent="0.2">
      <c r="A8556" t="str">
        <f>"Gm21757"</f>
        <v>Gm21757</v>
      </c>
      <c r="B8556" t="s">
        <v>3339</v>
      </c>
      <c r="C8556" t="s">
        <v>63</v>
      </c>
      <c r="D8556" t="s">
        <v>11</v>
      </c>
      <c r="E8556" t="s">
        <v>20</v>
      </c>
      <c r="F8556">
        <v>72450405</v>
      </c>
      <c r="G8556">
        <v>72450405</v>
      </c>
      <c r="H8556">
        <v>72450405</v>
      </c>
      <c r="I8556">
        <v>72450405</v>
      </c>
    </row>
    <row r="8557" spans="1:9" x14ac:dyDescent="0.2">
      <c r="A8557" t="str">
        <f>"Gm21758"</f>
        <v>Gm21758</v>
      </c>
      <c r="B8557" t="s">
        <v>3340</v>
      </c>
      <c r="C8557" t="s">
        <v>63</v>
      </c>
      <c r="D8557" t="s">
        <v>17</v>
      </c>
      <c r="E8557" t="s">
        <v>20</v>
      </c>
      <c r="F8557">
        <v>59396690</v>
      </c>
      <c r="G8557">
        <v>59396690</v>
      </c>
      <c r="H8557">
        <v>59396690</v>
      </c>
      <c r="I8557">
        <v>59396690</v>
      </c>
    </row>
    <row r="8558" spans="1:9" x14ac:dyDescent="0.2">
      <c r="A8558" t="str">
        <f>"Gm21759"</f>
        <v>Gm21759</v>
      </c>
      <c r="B8558" t="s">
        <v>3341</v>
      </c>
      <c r="C8558" t="s">
        <v>46</v>
      </c>
      <c r="D8558" t="s">
        <v>17</v>
      </c>
      <c r="E8558" t="s">
        <v>20</v>
      </c>
      <c r="F8558">
        <v>8179635</v>
      </c>
      <c r="G8558">
        <v>8179635</v>
      </c>
      <c r="H8558">
        <v>8179635</v>
      </c>
      <c r="I8558">
        <v>8179635</v>
      </c>
    </row>
    <row r="8559" spans="1:9" x14ac:dyDescent="0.2">
      <c r="A8559" t="str">
        <f>"Gm21760"</f>
        <v>Gm21760</v>
      </c>
      <c r="B8559" t="s">
        <v>3342</v>
      </c>
      <c r="C8559" t="s">
        <v>63</v>
      </c>
      <c r="D8559" t="s">
        <v>17</v>
      </c>
      <c r="E8559" t="s">
        <v>20</v>
      </c>
      <c r="F8559">
        <v>80135209</v>
      </c>
      <c r="G8559">
        <v>80135209</v>
      </c>
      <c r="H8559">
        <v>80135209</v>
      </c>
      <c r="I8559">
        <v>80135209</v>
      </c>
    </row>
    <row r="8560" spans="1:9" x14ac:dyDescent="0.2">
      <c r="A8560" t="str">
        <f>"Gm21761"</f>
        <v>Gm21761</v>
      </c>
      <c r="B8560" t="s">
        <v>3343</v>
      </c>
      <c r="C8560" t="s">
        <v>39</v>
      </c>
      <c r="D8560" t="s">
        <v>11</v>
      </c>
      <c r="E8560" t="s">
        <v>20</v>
      </c>
      <c r="F8560">
        <v>119912751</v>
      </c>
      <c r="G8560">
        <v>119912751</v>
      </c>
      <c r="H8560">
        <v>119912751</v>
      </c>
      <c r="I8560">
        <v>119912751</v>
      </c>
    </row>
    <row r="8561" spans="1:9" x14ac:dyDescent="0.2">
      <c r="A8561" t="str">
        <f>"Gm21762"</f>
        <v>Gm21762</v>
      </c>
      <c r="B8561" t="s">
        <v>3344</v>
      </c>
      <c r="C8561" t="s">
        <v>39</v>
      </c>
      <c r="D8561" t="s">
        <v>11</v>
      </c>
      <c r="E8561" t="s">
        <v>20</v>
      </c>
      <c r="F8561">
        <v>120215212</v>
      </c>
      <c r="G8561">
        <v>120215212</v>
      </c>
      <c r="H8561">
        <v>120215212</v>
      </c>
      <c r="I8561">
        <v>120215212</v>
      </c>
    </row>
    <row r="8562" spans="1:9" x14ac:dyDescent="0.2">
      <c r="A8562" t="str">
        <f>"Gm21763"</f>
        <v>Gm21763</v>
      </c>
      <c r="B8562" t="s">
        <v>3345</v>
      </c>
      <c r="C8562" t="s">
        <v>63</v>
      </c>
      <c r="D8562" t="s">
        <v>11</v>
      </c>
      <c r="E8562" t="s">
        <v>20</v>
      </c>
      <c r="F8562">
        <v>19515013</v>
      </c>
      <c r="G8562">
        <v>19515013</v>
      </c>
      <c r="H8562">
        <v>19515013</v>
      </c>
      <c r="I8562">
        <v>19515013</v>
      </c>
    </row>
    <row r="8563" spans="1:9" x14ac:dyDescent="0.2">
      <c r="A8563" t="str">
        <f>"Gm21764"</f>
        <v>Gm21764</v>
      </c>
      <c r="B8563" t="s">
        <v>3346</v>
      </c>
      <c r="C8563" t="s">
        <v>63</v>
      </c>
      <c r="D8563" t="s">
        <v>11</v>
      </c>
      <c r="E8563" t="s">
        <v>20</v>
      </c>
      <c r="F8563">
        <v>18061811</v>
      </c>
      <c r="G8563">
        <v>18061811</v>
      </c>
      <c r="H8563">
        <v>18061811</v>
      </c>
      <c r="I8563">
        <v>18061811</v>
      </c>
    </row>
    <row r="8564" spans="1:9" x14ac:dyDescent="0.2">
      <c r="A8564" t="str">
        <f>"Gm21765"</f>
        <v>Gm21765</v>
      </c>
      <c r="B8564" t="s">
        <v>3347</v>
      </c>
      <c r="C8564" t="s">
        <v>63</v>
      </c>
      <c r="D8564" t="s">
        <v>17</v>
      </c>
      <c r="E8564" t="s">
        <v>20</v>
      </c>
      <c r="F8564">
        <v>38605675</v>
      </c>
      <c r="G8564">
        <v>38605675</v>
      </c>
      <c r="H8564">
        <v>38605675</v>
      </c>
      <c r="I8564">
        <v>38605675</v>
      </c>
    </row>
    <row r="8565" spans="1:9" x14ac:dyDescent="0.2">
      <c r="A8565" t="str">
        <f>"Gm21766"</f>
        <v>Gm21766</v>
      </c>
      <c r="B8565" t="s">
        <v>3348</v>
      </c>
      <c r="C8565" t="s">
        <v>63</v>
      </c>
      <c r="D8565" t="s">
        <v>11</v>
      </c>
      <c r="E8565" t="s">
        <v>20</v>
      </c>
      <c r="F8565">
        <v>73035138</v>
      </c>
      <c r="G8565">
        <v>73035138</v>
      </c>
      <c r="H8565">
        <v>73035138</v>
      </c>
      <c r="I8565">
        <v>73035138</v>
      </c>
    </row>
    <row r="8566" spans="1:9" x14ac:dyDescent="0.2">
      <c r="A8566" t="str">
        <f>"Gm21767"</f>
        <v>Gm21767</v>
      </c>
      <c r="B8566" t="s">
        <v>3349</v>
      </c>
      <c r="C8566" t="s">
        <v>63</v>
      </c>
      <c r="D8566" t="s">
        <v>17</v>
      </c>
      <c r="E8566" t="s">
        <v>20</v>
      </c>
      <c r="F8566">
        <v>13941737</v>
      </c>
      <c r="G8566">
        <v>13941737</v>
      </c>
      <c r="H8566">
        <v>13941737</v>
      </c>
      <c r="I8566">
        <v>13941737</v>
      </c>
    </row>
    <row r="8567" spans="1:9" x14ac:dyDescent="0.2">
      <c r="A8567" t="str">
        <f>"Gm21768"</f>
        <v>Gm21768</v>
      </c>
      <c r="B8567" t="s">
        <v>3350</v>
      </c>
      <c r="C8567" t="s">
        <v>63</v>
      </c>
      <c r="D8567" t="s">
        <v>17</v>
      </c>
      <c r="E8567" t="s">
        <v>20</v>
      </c>
      <c r="F8567">
        <v>23802238</v>
      </c>
      <c r="G8567">
        <v>23802238</v>
      </c>
      <c r="H8567">
        <v>23802238</v>
      </c>
      <c r="I8567">
        <v>23802238</v>
      </c>
    </row>
    <row r="8568" spans="1:9" x14ac:dyDescent="0.2">
      <c r="A8568" t="str">
        <f>"Gm21771"</f>
        <v>Gm21771</v>
      </c>
      <c r="B8568" t="s">
        <v>3351</v>
      </c>
      <c r="C8568" t="s">
        <v>63</v>
      </c>
      <c r="D8568" t="s">
        <v>17</v>
      </c>
      <c r="E8568" t="s">
        <v>20</v>
      </c>
      <c r="F8568">
        <v>27179287</v>
      </c>
      <c r="G8568">
        <v>27179287</v>
      </c>
      <c r="H8568">
        <v>27179287</v>
      </c>
      <c r="I8568">
        <v>27179287</v>
      </c>
    </row>
    <row r="8569" spans="1:9" x14ac:dyDescent="0.2">
      <c r="A8569" t="str">
        <f>"Gm21773"</f>
        <v>Gm21773</v>
      </c>
      <c r="B8569" t="s">
        <v>3352</v>
      </c>
      <c r="C8569" t="s">
        <v>63</v>
      </c>
      <c r="D8569" t="s">
        <v>11</v>
      </c>
      <c r="E8569" t="s">
        <v>20</v>
      </c>
      <c r="F8569">
        <v>25309359</v>
      </c>
      <c r="G8569">
        <v>25309359</v>
      </c>
      <c r="H8569">
        <v>25309359</v>
      </c>
      <c r="I8569">
        <v>25309359</v>
      </c>
    </row>
    <row r="8570" spans="1:9" x14ac:dyDescent="0.2">
      <c r="A8570" t="str">
        <f>"Gm21774"</f>
        <v>Gm21774</v>
      </c>
      <c r="B8570" t="s">
        <v>3353</v>
      </c>
      <c r="C8570" t="s">
        <v>63</v>
      </c>
      <c r="D8570" t="s">
        <v>11</v>
      </c>
      <c r="E8570" t="s">
        <v>20</v>
      </c>
      <c r="F8570">
        <v>42080425</v>
      </c>
      <c r="G8570">
        <v>42080425</v>
      </c>
      <c r="H8570">
        <v>42080425</v>
      </c>
      <c r="I8570">
        <v>42080425</v>
      </c>
    </row>
    <row r="8571" spans="1:9" x14ac:dyDescent="0.2">
      <c r="A8571" t="str">
        <f>"Gm21775"</f>
        <v>Gm21775</v>
      </c>
      <c r="B8571" t="s">
        <v>3354</v>
      </c>
      <c r="C8571" t="s">
        <v>63</v>
      </c>
      <c r="D8571" t="s">
        <v>17</v>
      </c>
      <c r="E8571" t="s">
        <v>20</v>
      </c>
      <c r="F8571">
        <v>10553452</v>
      </c>
      <c r="G8571">
        <v>10553452</v>
      </c>
      <c r="H8571">
        <v>10553452</v>
      </c>
      <c r="I8571">
        <v>10553452</v>
      </c>
    </row>
    <row r="8572" spans="1:9" x14ac:dyDescent="0.2">
      <c r="A8572" t="str">
        <f>"Gm21776"</f>
        <v>Gm21776</v>
      </c>
      <c r="B8572" t="s">
        <v>3355</v>
      </c>
      <c r="C8572" t="s">
        <v>63</v>
      </c>
      <c r="D8572" t="s">
        <v>17</v>
      </c>
      <c r="E8572" t="s">
        <v>20</v>
      </c>
      <c r="F8572">
        <v>76378661</v>
      </c>
      <c r="G8572">
        <v>76378661</v>
      </c>
      <c r="H8572">
        <v>76378661</v>
      </c>
      <c r="I8572">
        <v>76378661</v>
      </c>
    </row>
    <row r="8573" spans="1:9" x14ac:dyDescent="0.2">
      <c r="A8573" t="str">
        <f>"Gm21777"</f>
        <v>Gm21777</v>
      </c>
      <c r="B8573" t="s">
        <v>3356</v>
      </c>
      <c r="C8573" t="s">
        <v>63</v>
      </c>
      <c r="D8573" t="s">
        <v>11</v>
      </c>
      <c r="E8573" t="s">
        <v>20</v>
      </c>
      <c r="F8573">
        <v>88261003</v>
      </c>
      <c r="G8573">
        <v>88261003</v>
      </c>
      <c r="H8573">
        <v>88261003</v>
      </c>
      <c r="I8573">
        <v>88261003</v>
      </c>
    </row>
    <row r="8574" spans="1:9" x14ac:dyDescent="0.2">
      <c r="A8574" t="str">
        <f>"Gm21778"</f>
        <v>Gm21778</v>
      </c>
      <c r="B8574" t="s">
        <v>3357</v>
      </c>
      <c r="C8574" t="s">
        <v>63</v>
      </c>
      <c r="D8574" t="s">
        <v>17</v>
      </c>
      <c r="E8574" t="s">
        <v>20</v>
      </c>
      <c r="F8574">
        <v>5944437</v>
      </c>
      <c r="G8574">
        <v>5944437</v>
      </c>
      <c r="H8574">
        <v>5944437</v>
      </c>
      <c r="I8574">
        <v>5944437</v>
      </c>
    </row>
    <row r="8575" spans="1:9" x14ac:dyDescent="0.2">
      <c r="A8575" t="str">
        <f>"Gm21779"</f>
        <v>Gm21779</v>
      </c>
      <c r="B8575" t="s">
        <v>3358</v>
      </c>
      <c r="C8575" t="s">
        <v>63</v>
      </c>
      <c r="D8575" t="s">
        <v>11</v>
      </c>
      <c r="E8575" t="s">
        <v>20</v>
      </c>
      <c r="F8575">
        <v>45386330</v>
      </c>
      <c r="G8575">
        <v>45386330</v>
      </c>
      <c r="H8575">
        <v>45386330</v>
      </c>
      <c r="I8575">
        <v>45386330</v>
      </c>
    </row>
    <row r="8576" spans="1:9" x14ac:dyDescent="0.2">
      <c r="A8576" t="str">
        <f>"Gm2178"</f>
        <v>Gm2178</v>
      </c>
      <c r="B8576" t="s">
        <v>3359</v>
      </c>
      <c r="C8576" t="s">
        <v>41</v>
      </c>
      <c r="D8576" t="s">
        <v>17</v>
      </c>
      <c r="E8576" t="s">
        <v>20</v>
      </c>
      <c r="F8576">
        <v>26514553</v>
      </c>
      <c r="G8576">
        <v>26514553</v>
      </c>
      <c r="H8576">
        <v>26514553</v>
      </c>
      <c r="I8576">
        <v>26514553</v>
      </c>
    </row>
    <row r="8577" spans="1:9" x14ac:dyDescent="0.2">
      <c r="A8577" t="str">
        <f>"Gm21780"</f>
        <v>Gm21780</v>
      </c>
      <c r="B8577" t="s">
        <v>3360</v>
      </c>
      <c r="C8577" t="s">
        <v>63</v>
      </c>
      <c r="D8577" t="s">
        <v>17</v>
      </c>
      <c r="E8577" t="s">
        <v>20</v>
      </c>
      <c r="F8577">
        <v>31267482</v>
      </c>
      <c r="G8577">
        <v>31267482</v>
      </c>
      <c r="H8577">
        <v>31267482</v>
      </c>
      <c r="I8577">
        <v>31267482</v>
      </c>
    </row>
    <row r="8578" spans="1:9" x14ac:dyDescent="0.2">
      <c r="A8578" t="str">
        <f>"Gm21782"</f>
        <v>Gm21782</v>
      </c>
      <c r="B8578" t="s">
        <v>3361</v>
      </c>
      <c r="C8578" t="s">
        <v>63</v>
      </c>
      <c r="D8578" t="s">
        <v>11</v>
      </c>
      <c r="E8578" t="s">
        <v>20</v>
      </c>
      <c r="F8578">
        <v>84489779</v>
      </c>
      <c r="G8578">
        <v>84489779</v>
      </c>
      <c r="H8578">
        <v>84489779</v>
      </c>
      <c r="I8578">
        <v>84489779</v>
      </c>
    </row>
    <row r="8579" spans="1:9" x14ac:dyDescent="0.2">
      <c r="A8579" t="str">
        <f>"Gm21783"</f>
        <v>Gm21783</v>
      </c>
      <c r="B8579" t="s">
        <v>3362</v>
      </c>
      <c r="C8579" t="s">
        <v>63</v>
      </c>
      <c r="D8579" t="s">
        <v>11</v>
      </c>
      <c r="E8579" t="s">
        <v>20</v>
      </c>
      <c r="F8579">
        <v>44981262</v>
      </c>
      <c r="G8579">
        <v>44981262</v>
      </c>
      <c r="H8579">
        <v>44981262</v>
      </c>
      <c r="I8579">
        <v>44981262</v>
      </c>
    </row>
    <row r="8580" spans="1:9" x14ac:dyDescent="0.2">
      <c r="A8580" t="str">
        <f>"Gm21785"</f>
        <v>Gm21785</v>
      </c>
      <c r="B8580" t="s">
        <v>3363</v>
      </c>
      <c r="C8580" t="s">
        <v>63</v>
      </c>
      <c r="D8580" t="s">
        <v>11</v>
      </c>
      <c r="E8580" t="s">
        <v>20</v>
      </c>
      <c r="F8580">
        <v>85454515</v>
      </c>
      <c r="G8580">
        <v>85454515</v>
      </c>
      <c r="H8580">
        <v>85454515</v>
      </c>
      <c r="I8580">
        <v>85454515</v>
      </c>
    </row>
    <row r="8581" spans="1:9" x14ac:dyDescent="0.2">
      <c r="A8581" t="str">
        <f>"Gm21786"</f>
        <v>Gm21786</v>
      </c>
      <c r="B8581" t="s">
        <v>3364</v>
      </c>
      <c r="C8581" t="s">
        <v>32</v>
      </c>
      <c r="D8581" t="s">
        <v>11</v>
      </c>
      <c r="E8581" t="s">
        <v>20</v>
      </c>
      <c r="F8581">
        <v>50043656</v>
      </c>
      <c r="G8581">
        <v>50043656</v>
      </c>
      <c r="H8581">
        <v>50043656</v>
      </c>
      <c r="I8581">
        <v>50043656</v>
      </c>
    </row>
    <row r="8582" spans="1:9" x14ac:dyDescent="0.2">
      <c r="A8582" t="str">
        <f>"Gm21787"</f>
        <v>Gm21787</v>
      </c>
      <c r="B8582" t="s">
        <v>3365</v>
      </c>
      <c r="C8582" t="s">
        <v>63</v>
      </c>
      <c r="D8582" t="s">
        <v>17</v>
      </c>
      <c r="E8582" t="s">
        <v>20</v>
      </c>
      <c r="F8582">
        <v>38673330</v>
      </c>
      <c r="G8582">
        <v>38673330</v>
      </c>
      <c r="H8582">
        <v>38673330</v>
      </c>
      <c r="I8582">
        <v>38673330</v>
      </c>
    </row>
    <row r="8583" spans="1:9" x14ac:dyDescent="0.2">
      <c r="A8583" t="str">
        <f>"Gm21788"</f>
        <v>Gm21788</v>
      </c>
      <c r="B8583" t="s">
        <v>3366</v>
      </c>
      <c r="C8583" t="s">
        <v>63</v>
      </c>
      <c r="D8583" t="s">
        <v>17</v>
      </c>
      <c r="E8583" t="s">
        <v>20</v>
      </c>
      <c r="F8583">
        <v>7405009</v>
      </c>
      <c r="G8583">
        <v>7405009</v>
      </c>
      <c r="H8583">
        <v>7405009</v>
      </c>
      <c r="I8583">
        <v>7405009</v>
      </c>
    </row>
    <row r="8584" spans="1:9" x14ac:dyDescent="0.2">
      <c r="A8584" t="str">
        <f>"Gm21789"</f>
        <v>Gm21789</v>
      </c>
      <c r="B8584" t="s">
        <v>3367</v>
      </c>
      <c r="C8584" t="s">
        <v>37</v>
      </c>
      <c r="D8584" t="s">
        <v>17</v>
      </c>
      <c r="E8584" t="s">
        <v>20</v>
      </c>
      <c r="F8584">
        <v>32941767</v>
      </c>
      <c r="G8584">
        <v>32941767</v>
      </c>
      <c r="H8584">
        <v>32941767</v>
      </c>
      <c r="I8584">
        <v>32941767</v>
      </c>
    </row>
    <row r="8585" spans="1:9" x14ac:dyDescent="0.2">
      <c r="A8585" t="str">
        <f>"Gm21790"</f>
        <v>Gm21790</v>
      </c>
      <c r="B8585" t="s">
        <v>3368</v>
      </c>
      <c r="C8585" t="s">
        <v>63</v>
      </c>
      <c r="D8585" t="s">
        <v>11</v>
      </c>
      <c r="E8585" t="s">
        <v>20</v>
      </c>
      <c r="F8585">
        <v>82020054</v>
      </c>
      <c r="G8585">
        <v>82020054</v>
      </c>
      <c r="H8585">
        <v>82020054</v>
      </c>
      <c r="I8585">
        <v>82020054</v>
      </c>
    </row>
    <row r="8586" spans="1:9" x14ac:dyDescent="0.2">
      <c r="A8586" t="str">
        <f>"Gm21791"</f>
        <v>Gm21791</v>
      </c>
      <c r="B8586" t="s">
        <v>3369</v>
      </c>
      <c r="C8586" t="s">
        <v>63</v>
      </c>
      <c r="D8586" t="s">
        <v>17</v>
      </c>
      <c r="E8586" t="s">
        <v>20</v>
      </c>
      <c r="F8586">
        <v>25408060</v>
      </c>
      <c r="G8586">
        <v>25408060</v>
      </c>
      <c r="H8586">
        <v>25408060</v>
      </c>
      <c r="I8586">
        <v>25408060</v>
      </c>
    </row>
    <row r="8587" spans="1:9" x14ac:dyDescent="0.2">
      <c r="A8587" t="str">
        <f>"Gm21792"</f>
        <v>Gm21792</v>
      </c>
      <c r="B8587" t="s">
        <v>3370</v>
      </c>
      <c r="C8587" t="s">
        <v>63</v>
      </c>
      <c r="D8587" t="s">
        <v>11</v>
      </c>
      <c r="E8587" t="s">
        <v>20</v>
      </c>
      <c r="F8587">
        <v>88402047</v>
      </c>
      <c r="G8587">
        <v>88402047</v>
      </c>
      <c r="H8587">
        <v>88402047</v>
      </c>
      <c r="I8587">
        <v>88402047</v>
      </c>
    </row>
    <row r="8588" spans="1:9" x14ac:dyDescent="0.2">
      <c r="A8588" t="str">
        <f>"Gm21794"</f>
        <v>Gm21794</v>
      </c>
      <c r="B8588" t="s">
        <v>3371</v>
      </c>
      <c r="C8588" t="s">
        <v>63</v>
      </c>
      <c r="D8588" t="s">
        <v>11</v>
      </c>
      <c r="E8588" t="s">
        <v>20</v>
      </c>
      <c r="F8588">
        <v>67406429</v>
      </c>
      <c r="G8588">
        <v>67406429</v>
      </c>
      <c r="H8588">
        <v>67406429</v>
      </c>
      <c r="I8588">
        <v>67406429</v>
      </c>
    </row>
    <row r="8589" spans="1:9" x14ac:dyDescent="0.2">
      <c r="A8589" t="str">
        <f>"Gm21795"</f>
        <v>Gm21795</v>
      </c>
      <c r="B8589" t="s">
        <v>3372</v>
      </c>
      <c r="C8589" t="s">
        <v>63</v>
      </c>
      <c r="D8589" t="s">
        <v>17</v>
      </c>
      <c r="E8589" t="s">
        <v>20</v>
      </c>
      <c r="F8589">
        <v>35503136</v>
      </c>
      <c r="G8589">
        <v>35503136</v>
      </c>
      <c r="H8589">
        <v>35503136</v>
      </c>
      <c r="I8589">
        <v>35503136</v>
      </c>
    </row>
    <row r="8590" spans="1:9" x14ac:dyDescent="0.2">
      <c r="A8590" t="str">
        <f>"Gm21796"</f>
        <v>Gm21796</v>
      </c>
      <c r="B8590" t="s">
        <v>3373</v>
      </c>
      <c r="C8590" t="s">
        <v>63</v>
      </c>
      <c r="D8590" t="s">
        <v>11</v>
      </c>
      <c r="E8590" t="s">
        <v>20</v>
      </c>
      <c r="F8590">
        <v>86500239</v>
      </c>
      <c r="G8590">
        <v>86500239</v>
      </c>
      <c r="H8590">
        <v>86500239</v>
      </c>
      <c r="I8590">
        <v>86500239</v>
      </c>
    </row>
    <row r="8591" spans="1:9" x14ac:dyDescent="0.2">
      <c r="A8591" t="str">
        <f>"Gm21797"</f>
        <v>Gm21797</v>
      </c>
      <c r="B8591" t="s">
        <v>3374</v>
      </c>
      <c r="C8591" t="s">
        <v>63</v>
      </c>
      <c r="D8591" t="s">
        <v>11</v>
      </c>
      <c r="E8591" t="s">
        <v>20</v>
      </c>
      <c r="F8591">
        <v>40775764</v>
      </c>
      <c r="G8591">
        <v>40775764</v>
      </c>
      <c r="H8591">
        <v>40775764</v>
      </c>
      <c r="I8591">
        <v>40775764</v>
      </c>
    </row>
    <row r="8592" spans="1:9" x14ac:dyDescent="0.2">
      <c r="A8592" t="str">
        <f>"Gm21798"</f>
        <v>Gm21798</v>
      </c>
      <c r="B8592" t="s">
        <v>3375</v>
      </c>
      <c r="C8592" t="s">
        <v>25</v>
      </c>
      <c r="D8592" t="s">
        <v>17</v>
      </c>
      <c r="E8592" t="s">
        <v>20</v>
      </c>
      <c r="F8592">
        <v>64817693</v>
      </c>
      <c r="G8592">
        <v>64817693</v>
      </c>
      <c r="H8592">
        <v>64817693</v>
      </c>
      <c r="I8592">
        <v>64817693</v>
      </c>
    </row>
    <row r="8593" spans="1:9" x14ac:dyDescent="0.2">
      <c r="A8593" t="str">
        <f>"Gm21799"</f>
        <v>Gm21799</v>
      </c>
      <c r="B8593" t="s">
        <v>3376</v>
      </c>
      <c r="C8593" t="s">
        <v>63</v>
      </c>
      <c r="D8593" t="s">
        <v>17</v>
      </c>
      <c r="E8593" t="s">
        <v>20</v>
      </c>
      <c r="F8593">
        <v>37100587</v>
      </c>
      <c r="G8593">
        <v>37100587</v>
      </c>
      <c r="H8593">
        <v>37100587</v>
      </c>
      <c r="I8593">
        <v>37100587</v>
      </c>
    </row>
    <row r="8594" spans="1:9" x14ac:dyDescent="0.2">
      <c r="A8594" t="str">
        <f>"Gm21800"</f>
        <v>Gm21800</v>
      </c>
      <c r="B8594" t="s">
        <v>3377</v>
      </c>
      <c r="C8594" t="s">
        <v>63</v>
      </c>
      <c r="D8594" t="s">
        <v>17</v>
      </c>
      <c r="E8594" t="s">
        <v>20</v>
      </c>
      <c r="F8594">
        <v>41406497</v>
      </c>
      <c r="G8594">
        <v>41406497</v>
      </c>
      <c r="H8594">
        <v>41406497</v>
      </c>
      <c r="I8594">
        <v>41406497</v>
      </c>
    </row>
    <row r="8595" spans="1:9" x14ac:dyDescent="0.2">
      <c r="A8595" t="str">
        <f>"Gm21801"</f>
        <v>Gm21801</v>
      </c>
      <c r="B8595" t="s">
        <v>3378</v>
      </c>
      <c r="C8595" t="s">
        <v>63</v>
      </c>
      <c r="D8595" t="s">
        <v>11</v>
      </c>
      <c r="E8595" t="s">
        <v>20</v>
      </c>
      <c r="F8595">
        <v>40391442</v>
      </c>
      <c r="G8595">
        <v>40391442</v>
      </c>
      <c r="H8595">
        <v>40391442</v>
      </c>
      <c r="I8595">
        <v>40391442</v>
      </c>
    </row>
    <row r="8596" spans="1:9" x14ac:dyDescent="0.2">
      <c r="A8596" t="str">
        <f>"Gm21802"</f>
        <v>Gm21802</v>
      </c>
      <c r="B8596" t="s">
        <v>3379</v>
      </c>
      <c r="C8596" t="s">
        <v>63</v>
      </c>
      <c r="D8596" t="s">
        <v>11</v>
      </c>
      <c r="E8596" t="s">
        <v>20</v>
      </c>
      <c r="F8596">
        <v>83362380</v>
      </c>
      <c r="G8596">
        <v>83362380</v>
      </c>
      <c r="H8596">
        <v>83362380</v>
      </c>
      <c r="I8596">
        <v>83362380</v>
      </c>
    </row>
    <row r="8597" spans="1:9" x14ac:dyDescent="0.2">
      <c r="A8597" t="str">
        <f>"Gm21803"</f>
        <v>Gm21803</v>
      </c>
      <c r="B8597" t="s">
        <v>3380</v>
      </c>
      <c r="C8597" t="s">
        <v>63</v>
      </c>
      <c r="D8597" t="s">
        <v>17</v>
      </c>
      <c r="E8597" t="s">
        <v>20</v>
      </c>
      <c r="F8597">
        <v>89846209</v>
      </c>
      <c r="G8597">
        <v>89846209</v>
      </c>
      <c r="H8597">
        <v>89846209</v>
      </c>
      <c r="I8597">
        <v>89846209</v>
      </c>
    </row>
    <row r="8598" spans="1:9" x14ac:dyDescent="0.2">
      <c r="A8598" t="str">
        <f>"Gm21804"</f>
        <v>Gm21804</v>
      </c>
      <c r="B8598" t="s">
        <v>3381</v>
      </c>
      <c r="C8598" t="s">
        <v>63</v>
      </c>
      <c r="D8598" t="s">
        <v>17</v>
      </c>
      <c r="E8598" t="s">
        <v>20</v>
      </c>
      <c r="F8598">
        <v>28518280</v>
      </c>
      <c r="G8598">
        <v>28518280</v>
      </c>
      <c r="H8598">
        <v>28518280</v>
      </c>
      <c r="I8598">
        <v>28518280</v>
      </c>
    </row>
    <row r="8599" spans="1:9" x14ac:dyDescent="0.2">
      <c r="A8599" t="str">
        <f>"Gm21805"</f>
        <v>Gm21805</v>
      </c>
      <c r="B8599" t="s">
        <v>3382</v>
      </c>
      <c r="C8599" t="s">
        <v>63</v>
      </c>
      <c r="D8599" t="s">
        <v>11</v>
      </c>
      <c r="E8599" t="s">
        <v>20</v>
      </c>
      <c r="F8599">
        <v>42736046</v>
      </c>
      <c r="G8599">
        <v>42736046</v>
      </c>
      <c r="H8599">
        <v>42736046</v>
      </c>
      <c r="I8599">
        <v>42736046</v>
      </c>
    </row>
    <row r="8600" spans="1:9" x14ac:dyDescent="0.2">
      <c r="A8600" t="str">
        <f>"Gm21806"</f>
        <v>Gm21806</v>
      </c>
      <c r="B8600" t="s">
        <v>3383</v>
      </c>
      <c r="C8600" t="s">
        <v>63</v>
      </c>
      <c r="D8600" t="s">
        <v>17</v>
      </c>
      <c r="E8600" t="s">
        <v>20</v>
      </c>
      <c r="F8600">
        <v>67948841</v>
      </c>
      <c r="G8600">
        <v>67948841</v>
      </c>
      <c r="H8600">
        <v>67948841</v>
      </c>
      <c r="I8600">
        <v>67948841</v>
      </c>
    </row>
    <row r="8601" spans="1:9" x14ac:dyDescent="0.2">
      <c r="A8601" t="str">
        <f>"Gm21807"</f>
        <v>Gm21807</v>
      </c>
      <c r="B8601" t="s">
        <v>3384</v>
      </c>
      <c r="C8601" t="s">
        <v>30</v>
      </c>
      <c r="D8601" t="s">
        <v>11</v>
      </c>
      <c r="E8601" t="s">
        <v>20</v>
      </c>
      <c r="F8601">
        <v>68121526</v>
      </c>
      <c r="G8601">
        <v>68121526</v>
      </c>
      <c r="H8601">
        <v>68121526</v>
      </c>
      <c r="I8601">
        <v>68121526</v>
      </c>
    </row>
    <row r="8602" spans="1:9" x14ac:dyDescent="0.2">
      <c r="A8602" t="str">
        <f>"Gm21808"</f>
        <v>Gm21808</v>
      </c>
      <c r="B8602" t="s">
        <v>3385</v>
      </c>
      <c r="C8602" t="s">
        <v>63</v>
      </c>
      <c r="D8602" t="s">
        <v>11</v>
      </c>
      <c r="E8602" t="s">
        <v>20</v>
      </c>
      <c r="F8602">
        <v>70781400</v>
      </c>
      <c r="G8602">
        <v>70781400</v>
      </c>
      <c r="H8602">
        <v>70781400</v>
      </c>
      <c r="I8602">
        <v>70781400</v>
      </c>
    </row>
    <row r="8603" spans="1:9" x14ac:dyDescent="0.2">
      <c r="A8603" t="str">
        <f>"Gm21809"</f>
        <v>Gm21809</v>
      </c>
      <c r="B8603" t="s">
        <v>3386</v>
      </c>
      <c r="C8603" t="s">
        <v>63</v>
      </c>
      <c r="D8603" t="s">
        <v>17</v>
      </c>
      <c r="E8603" t="s">
        <v>20</v>
      </c>
      <c r="F8603">
        <v>16923790</v>
      </c>
      <c r="G8603">
        <v>16923790</v>
      </c>
      <c r="H8603">
        <v>16923790</v>
      </c>
      <c r="I8603">
        <v>16923790</v>
      </c>
    </row>
    <row r="8604" spans="1:9" x14ac:dyDescent="0.2">
      <c r="A8604" t="str">
        <f>"Gm21810"</f>
        <v>Gm21810</v>
      </c>
      <c r="B8604" t="s">
        <v>3387</v>
      </c>
      <c r="C8604" t="s">
        <v>63</v>
      </c>
      <c r="D8604" t="s">
        <v>11</v>
      </c>
      <c r="E8604" t="s">
        <v>20</v>
      </c>
      <c r="F8604">
        <v>33105899</v>
      </c>
      <c r="G8604">
        <v>33105899</v>
      </c>
      <c r="H8604">
        <v>33105899</v>
      </c>
      <c r="I8604">
        <v>33105899</v>
      </c>
    </row>
    <row r="8605" spans="1:9" x14ac:dyDescent="0.2">
      <c r="A8605" t="str">
        <f>"Gm21811"</f>
        <v>Gm21811</v>
      </c>
      <c r="B8605" t="s">
        <v>3388</v>
      </c>
      <c r="C8605" t="s">
        <v>30</v>
      </c>
      <c r="D8605" t="s">
        <v>17</v>
      </c>
      <c r="E8605" t="s">
        <v>20</v>
      </c>
      <c r="F8605">
        <v>20136454</v>
      </c>
      <c r="G8605">
        <v>20136454</v>
      </c>
      <c r="H8605">
        <v>20136454</v>
      </c>
      <c r="I8605">
        <v>20136454</v>
      </c>
    </row>
    <row r="8606" spans="1:9" x14ac:dyDescent="0.2">
      <c r="A8606" t="str">
        <f>"Gm21812"</f>
        <v>Gm21812</v>
      </c>
      <c r="B8606" t="s">
        <v>3389</v>
      </c>
      <c r="C8606" t="s">
        <v>63</v>
      </c>
      <c r="D8606" t="s">
        <v>11</v>
      </c>
      <c r="E8606" t="s">
        <v>20</v>
      </c>
      <c r="F8606">
        <v>9345653</v>
      </c>
      <c r="G8606">
        <v>9345653</v>
      </c>
      <c r="H8606">
        <v>9345653</v>
      </c>
      <c r="I8606">
        <v>9345653</v>
      </c>
    </row>
    <row r="8607" spans="1:9" x14ac:dyDescent="0.2">
      <c r="A8607" t="str">
        <f>"Gm21813"</f>
        <v>Gm21813</v>
      </c>
      <c r="B8607" t="s">
        <v>3390</v>
      </c>
      <c r="C8607" t="s">
        <v>63</v>
      </c>
      <c r="D8607" t="s">
        <v>11</v>
      </c>
      <c r="E8607" t="s">
        <v>20</v>
      </c>
      <c r="F8607">
        <v>87447884</v>
      </c>
      <c r="G8607">
        <v>87447884</v>
      </c>
      <c r="H8607">
        <v>87447884</v>
      </c>
      <c r="I8607">
        <v>87447884</v>
      </c>
    </row>
    <row r="8608" spans="1:9" x14ac:dyDescent="0.2">
      <c r="A8608" t="str">
        <f>"Gm21814"</f>
        <v>Gm21814</v>
      </c>
      <c r="B8608" t="s">
        <v>3391</v>
      </c>
      <c r="C8608" t="s">
        <v>32</v>
      </c>
      <c r="D8608" t="s">
        <v>17</v>
      </c>
      <c r="E8608" t="s">
        <v>20</v>
      </c>
      <c r="F8608">
        <v>149582011</v>
      </c>
      <c r="G8608">
        <v>149582011</v>
      </c>
      <c r="H8608">
        <v>149582011</v>
      </c>
      <c r="I8608">
        <v>149582011</v>
      </c>
    </row>
    <row r="8609" spans="1:9" x14ac:dyDescent="0.2">
      <c r="A8609" t="str">
        <f>"Gm21815"</f>
        <v>Gm21815</v>
      </c>
      <c r="B8609" t="s">
        <v>3392</v>
      </c>
      <c r="C8609" t="s">
        <v>63</v>
      </c>
      <c r="D8609" t="s">
        <v>17</v>
      </c>
      <c r="E8609" t="s">
        <v>20</v>
      </c>
      <c r="F8609">
        <v>56502253</v>
      </c>
      <c r="G8609">
        <v>56502253</v>
      </c>
      <c r="H8609">
        <v>56502253</v>
      </c>
      <c r="I8609">
        <v>56502253</v>
      </c>
    </row>
    <row r="8610" spans="1:9" x14ac:dyDescent="0.2">
      <c r="A8610" t="str">
        <f>"Gm21818"</f>
        <v>Gm21818</v>
      </c>
      <c r="B8610" t="s">
        <v>3393</v>
      </c>
      <c r="C8610" t="s">
        <v>39</v>
      </c>
      <c r="D8610" t="s">
        <v>17</v>
      </c>
      <c r="E8610" t="s">
        <v>20</v>
      </c>
      <c r="F8610">
        <v>120173183</v>
      </c>
      <c r="G8610">
        <v>120173183</v>
      </c>
      <c r="H8610">
        <v>120173183</v>
      </c>
      <c r="I8610">
        <v>120173183</v>
      </c>
    </row>
    <row r="8611" spans="1:9" x14ac:dyDescent="0.2">
      <c r="A8611" t="str">
        <f>"Gm21819"</f>
        <v>Gm21819</v>
      </c>
      <c r="B8611" t="s">
        <v>3394</v>
      </c>
      <c r="C8611" t="s">
        <v>63</v>
      </c>
      <c r="D8611" t="s">
        <v>11</v>
      </c>
      <c r="E8611" t="s">
        <v>20</v>
      </c>
      <c r="F8611">
        <v>56324319</v>
      </c>
      <c r="G8611">
        <v>56324319</v>
      </c>
      <c r="H8611">
        <v>56324319</v>
      </c>
      <c r="I8611">
        <v>56324319</v>
      </c>
    </row>
    <row r="8612" spans="1:9" x14ac:dyDescent="0.2">
      <c r="A8612" t="str">
        <f>"Gm21820"</f>
        <v>Gm21820</v>
      </c>
      <c r="B8612" t="s">
        <v>3395</v>
      </c>
      <c r="C8612" t="s">
        <v>63</v>
      </c>
      <c r="D8612" t="s">
        <v>11</v>
      </c>
      <c r="E8612" t="s">
        <v>20</v>
      </c>
      <c r="F8612">
        <v>5249440</v>
      </c>
      <c r="G8612">
        <v>5249440</v>
      </c>
      <c r="H8612">
        <v>5249440</v>
      </c>
      <c r="I8612">
        <v>5249440</v>
      </c>
    </row>
    <row r="8613" spans="1:9" x14ac:dyDescent="0.2">
      <c r="A8613" t="str">
        <f>"Gm21821"</f>
        <v>Gm21821</v>
      </c>
      <c r="B8613" t="s">
        <v>3396</v>
      </c>
      <c r="C8613" t="s">
        <v>63</v>
      </c>
      <c r="D8613" t="s">
        <v>17</v>
      </c>
      <c r="E8613" t="s">
        <v>20</v>
      </c>
      <c r="F8613">
        <v>32221124</v>
      </c>
      <c r="G8613">
        <v>32221124</v>
      </c>
      <c r="H8613">
        <v>32221124</v>
      </c>
      <c r="I8613">
        <v>32221124</v>
      </c>
    </row>
    <row r="8614" spans="1:9" x14ac:dyDescent="0.2">
      <c r="A8614" t="str">
        <f>"Gm21822"</f>
        <v>Gm21822</v>
      </c>
      <c r="B8614" t="s">
        <v>3397</v>
      </c>
      <c r="C8614" t="s">
        <v>63</v>
      </c>
      <c r="D8614" t="s">
        <v>17</v>
      </c>
      <c r="E8614" t="s">
        <v>20</v>
      </c>
      <c r="F8614">
        <v>18654481</v>
      </c>
      <c r="G8614">
        <v>18654481</v>
      </c>
      <c r="H8614">
        <v>18654481</v>
      </c>
      <c r="I8614">
        <v>18654481</v>
      </c>
    </row>
    <row r="8615" spans="1:9" x14ac:dyDescent="0.2">
      <c r="A8615" t="str">
        <f>"Gm21823"</f>
        <v>Gm21823</v>
      </c>
      <c r="B8615" t="s">
        <v>3398</v>
      </c>
      <c r="C8615" t="s">
        <v>63</v>
      </c>
      <c r="D8615" t="s">
        <v>11</v>
      </c>
      <c r="E8615" t="s">
        <v>20</v>
      </c>
      <c r="F8615">
        <v>79590981</v>
      </c>
      <c r="G8615">
        <v>79590981</v>
      </c>
      <c r="H8615">
        <v>79590981</v>
      </c>
      <c r="I8615">
        <v>79590981</v>
      </c>
    </row>
    <row r="8616" spans="1:9" x14ac:dyDescent="0.2">
      <c r="A8616" t="str">
        <f>"Gm21824"</f>
        <v>Gm21824</v>
      </c>
      <c r="B8616" t="s">
        <v>3399</v>
      </c>
      <c r="C8616" t="s">
        <v>63</v>
      </c>
      <c r="D8616" t="s">
        <v>11</v>
      </c>
      <c r="E8616" t="s">
        <v>20</v>
      </c>
      <c r="F8616">
        <v>84629415</v>
      </c>
      <c r="G8616">
        <v>84629415</v>
      </c>
      <c r="H8616">
        <v>84629415</v>
      </c>
      <c r="I8616">
        <v>84629415</v>
      </c>
    </row>
    <row r="8617" spans="1:9" x14ac:dyDescent="0.2">
      <c r="A8617" t="str">
        <f>"Gm21825"</f>
        <v>Gm21825</v>
      </c>
      <c r="B8617" t="s">
        <v>3400</v>
      </c>
      <c r="C8617" t="s">
        <v>63</v>
      </c>
      <c r="D8617" t="s">
        <v>11</v>
      </c>
      <c r="E8617" t="s">
        <v>20</v>
      </c>
      <c r="F8617">
        <v>82163359</v>
      </c>
      <c r="G8617">
        <v>82163359</v>
      </c>
      <c r="H8617">
        <v>82163359</v>
      </c>
      <c r="I8617">
        <v>82163359</v>
      </c>
    </row>
    <row r="8618" spans="1:9" x14ac:dyDescent="0.2">
      <c r="A8618" t="str">
        <f>"Gm21826"</f>
        <v>Gm21826</v>
      </c>
      <c r="B8618" t="s">
        <v>3401</v>
      </c>
      <c r="C8618" t="s">
        <v>63</v>
      </c>
      <c r="D8618" t="s">
        <v>11</v>
      </c>
      <c r="E8618" t="s">
        <v>20</v>
      </c>
      <c r="F8618">
        <v>64925707</v>
      </c>
      <c r="G8618">
        <v>64925707</v>
      </c>
      <c r="H8618">
        <v>64925707</v>
      </c>
      <c r="I8618">
        <v>64925707</v>
      </c>
    </row>
    <row r="8619" spans="1:9" x14ac:dyDescent="0.2">
      <c r="A8619" t="str">
        <f>"Gm21827"</f>
        <v>Gm21827</v>
      </c>
      <c r="B8619" t="s">
        <v>3402</v>
      </c>
      <c r="C8619" t="s">
        <v>32</v>
      </c>
      <c r="D8619" t="s">
        <v>17</v>
      </c>
      <c r="E8619" t="s">
        <v>20</v>
      </c>
      <c r="F8619">
        <v>43210332</v>
      </c>
      <c r="G8619">
        <v>43210332</v>
      </c>
      <c r="H8619">
        <v>43210332</v>
      </c>
      <c r="I8619">
        <v>43210332</v>
      </c>
    </row>
    <row r="8620" spans="1:9" x14ac:dyDescent="0.2">
      <c r="A8620" t="str">
        <f>"Gm21828"</f>
        <v>Gm21828</v>
      </c>
      <c r="B8620" t="s">
        <v>3403</v>
      </c>
      <c r="C8620" t="s">
        <v>63</v>
      </c>
      <c r="D8620" t="s">
        <v>11</v>
      </c>
      <c r="E8620" t="s">
        <v>20</v>
      </c>
      <c r="F8620">
        <v>13223927</v>
      </c>
      <c r="G8620">
        <v>13223927</v>
      </c>
      <c r="H8620">
        <v>13223927</v>
      </c>
      <c r="I8620">
        <v>13223927</v>
      </c>
    </row>
    <row r="8621" spans="1:9" x14ac:dyDescent="0.2">
      <c r="A8621" t="str">
        <f>"Gm21829"</f>
        <v>Gm21829</v>
      </c>
      <c r="B8621" t="s">
        <v>3404</v>
      </c>
      <c r="C8621" t="s">
        <v>63</v>
      </c>
      <c r="D8621" t="s">
        <v>11</v>
      </c>
      <c r="E8621" t="s">
        <v>20</v>
      </c>
      <c r="F8621">
        <v>81352054</v>
      </c>
      <c r="G8621">
        <v>81352054</v>
      </c>
      <c r="H8621">
        <v>81352054</v>
      </c>
      <c r="I8621">
        <v>81352054</v>
      </c>
    </row>
    <row r="8622" spans="1:9" x14ac:dyDescent="0.2">
      <c r="A8622" t="str">
        <f>"Gm21830"</f>
        <v>Gm21830</v>
      </c>
      <c r="B8622" t="s">
        <v>3405</v>
      </c>
      <c r="C8622" t="s">
        <v>26</v>
      </c>
      <c r="D8622" t="s">
        <v>17</v>
      </c>
      <c r="E8622" t="s">
        <v>20</v>
      </c>
      <c r="F8622">
        <v>67413724</v>
      </c>
      <c r="G8622">
        <v>67413724</v>
      </c>
      <c r="H8622">
        <v>67413724</v>
      </c>
      <c r="I8622">
        <v>67413724</v>
      </c>
    </row>
    <row r="8623" spans="1:9" x14ac:dyDescent="0.2">
      <c r="A8623" t="str">
        <f>"Gm21832"</f>
        <v>Gm21832</v>
      </c>
      <c r="B8623" t="s">
        <v>3406</v>
      </c>
      <c r="C8623" t="s">
        <v>63</v>
      </c>
      <c r="D8623" t="s">
        <v>11</v>
      </c>
      <c r="E8623" t="s">
        <v>20</v>
      </c>
      <c r="F8623">
        <v>61385861</v>
      </c>
      <c r="G8623">
        <v>61385861</v>
      </c>
      <c r="H8623">
        <v>61385861</v>
      </c>
      <c r="I8623">
        <v>61385861</v>
      </c>
    </row>
    <row r="8624" spans="1:9" x14ac:dyDescent="0.2">
      <c r="A8624" t="str">
        <f>"Gm21833"</f>
        <v>Gm21833</v>
      </c>
      <c r="B8624" t="s">
        <v>3407</v>
      </c>
      <c r="C8624" t="s">
        <v>31</v>
      </c>
      <c r="D8624" t="s">
        <v>17</v>
      </c>
      <c r="E8624" t="s">
        <v>20</v>
      </c>
      <c r="F8624">
        <v>82828381</v>
      </c>
      <c r="G8624">
        <v>82828381</v>
      </c>
      <c r="H8624">
        <v>82828381</v>
      </c>
      <c r="I8624">
        <v>82828381</v>
      </c>
    </row>
    <row r="8625" spans="1:9" x14ac:dyDescent="0.2">
      <c r="A8625" t="str">
        <f>"Gm21834"</f>
        <v>Gm21834</v>
      </c>
      <c r="B8625" t="s">
        <v>3408</v>
      </c>
      <c r="C8625" t="s">
        <v>28</v>
      </c>
      <c r="D8625" t="s">
        <v>11</v>
      </c>
      <c r="E8625" t="s">
        <v>20</v>
      </c>
      <c r="F8625">
        <v>57742218</v>
      </c>
      <c r="G8625">
        <v>57742218</v>
      </c>
      <c r="H8625">
        <v>57742218</v>
      </c>
      <c r="I8625">
        <v>57742218</v>
      </c>
    </row>
    <row r="8626" spans="1:9" x14ac:dyDescent="0.2">
      <c r="A8626" t="str">
        <f>"Gm21835"</f>
        <v>Gm21835</v>
      </c>
      <c r="B8626" t="s">
        <v>3409</v>
      </c>
      <c r="C8626" t="s">
        <v>63</v>
      </c>
      <c r="D8626" t="s">
        <v>17</v>
      </c>
      <c r="E8626" t="s">
        <v>20</v>
      </c>
      <c r="F8626">
        <v>37430488</v>
      </c>
      <c r="G8626">
        <v>37430488</v>
      </c>
      <c r="H8626">
        <v>37430488</v>
      </c>
      <c r="I8626">
        <v>37430488</v>
      </c>
    </row>
    <row r="8627" spans="1:9" x14ac:dyDescent="0.2">
      <c r="A8627" t="str">
        <f>"Gm21836"</f>
        <v>Gm21836</v>
      </c>
      <c r="B8627" t="s">
        <v>3410</v>
      </c>
      <c r="C8627" t="s">
        <v>24</v>
      </c>
      <c r="D8627" t="s">
        <v>11</v>
      </c>
      <c r="E8627" t="s">
        <v>20</v>
      </c>
      <c r="F8627">
        <v>124493792</v>
      </c>
      <c r="G8627">
        <v>124493792</v>
      </c>
      <c r="H8627">
        <v>124493792</v>
      </c>
      <c r="I8627">
        <v>124493792</v>
      </c>
    </row>
    <row r="8628" spans="1:9" x14ac:dyDescent="0.2">
      <c r="A8628" t="str">
        <f>"Gm21837"</f>
        <v>Gm21837</v>
      </c>
      <c r="B8628" t="s">
        <v>3411</v>
      </c>
      <c r="C8628" t="s">
        <v>63</v>
      </c>
      <c r="D8628" t="s">
        <v>17</v>
      </c>
      <c r="E8628" t="s">
        <v>20</v>
      </c>
      <c r="F8628">
        <v>66123647</v>
      </c>
      <c r="G8628">
        <v>66123647</v>
      </c>
      <c r="H8628">
        <v>66123647</v>
      </c>
      <c r="I8628">
        <v>66123647</v>
      </c>
    </row>
    <row r="8629" spans="1:9" x14ac:dyDescent="0.2">
      <c r="A8629" t="str">
        <f>"Gm21838"</f>
        <v>Gm21838</v>
      </c>
      <c r="B8629" t="s">
        <v>3412</v>
      </c>
      <c r="C8629" t="s">
        <v>63</v>
      </c>
      <c r="D8629" t="s">
        <v>11</v>
      </c>
      <c r="E8629" t="s">
        <v>20</v>
      </c>
      <c r="F8629">
        <v>89329488</v>
      </c>
      <c r="G8629">
        <v>89329488</v>
      </c>
      <c r="H8629">
        <v>89329488</v>
      </c>
      <c r="I8629">
        <v>89329488</v>
      </c>
    </row>
    <row r="8630" spans="1:9" x14ac:dyDescent="0.2">
      <c r="A8630" t="str">
        <f>"Gm21840"</f>
        <v>Gm21840</v>
      </c>
      <c r="B8630" t="s">
        <v>3413</v>
      </c>
      <c r="C8630" t="s">
        <v>63</v>
      </c>
      <c r="D8630" t="s">
        <v>11</v>
      </c>
      <c r="E8630" t="s">
        <v>20</v>
      </c>
      <c r="F8630">
        <v>52675540</v>
      </c>
      <c r="G8630">
        <v>52675540</v>
      </c>
      <c r="H8630">
        <v>52675540</v>
      </c>
      <c r="I8630">
        <v>52675540</v>
      </c>
    </row>
    <row r="8631" spans="1:9" x14ac:dyDescent="0.2">
      <c r="A8631" t="str">
        <f>"Gm21841"</f>
        <v>Gm21841</v>
      </c>
      <c r="B8631" t="s">
        <v>3414</v>
      </c>
      <c r="C8631" t="s">
        <v>63</v>
      </c>
      <c r="D8631" t="s">
        <v>11</v>
      </c>
      <c r="E8631" t="s">
        <v>20</v>
      </c>
      <c r="F8631">
        <v>71364936</v>
      </c>
      <c r="G8631">
        <v>71364936</v>
      </c>
      <c r="H8631">
        <v>71364936</v>
      </c>
      <c r="I8631">
        <v>71364936</v>
      </c>
    </row>
    <row r="8632" spans="1:9" x14ac:dyDescent="0.2">
      <c r="A8632" t="str">
        <f>"Gm21842"</f>
        <v>Gm21842</v>
      </c>
      <c r="B8632" t="s">
        <v>3415</v>
      </c>
      <c r="C8632" t="s">
        <v>63</v>
      </c>
      <c r="D8632" t="s">
        <v>17</v>
      </c>
      <c r="E8632" t="s">
        <v>20</v>
      </c>
      <c r="F8632">
        <v>32283544</v>
      </c>
      <c r="G8632">
        <v>32283544</v>
      </c>
      <c r="H8632">
        <v>32283544</v>
      </c>
      <c r="I8632">
        <v>32283544</v>
      </c>
    </row>
    <row r="8633" spans="1:9" x14ac:dyDescent="0.2">
      <c r="A8633" t="str">
        <f>"Gm21843"</f>
        <v>Gm21843</v>
      </c>
      <c r="B8633" t="s">
        <v>3416</v>
      </c>
      <c r="C8633" t="s">
        <v>63</v>
      </c>
      <c r="D8633" t="s">
        <v>17</v>
      </c>
      <c r="E8633" t="s">
        <v>20</v>
      </c>
      <c r="F8633">
        <v>59831761</v>
      </c>
      <c r="G8633">
        <v>59831761</v>
      </c>
      <c r="H8633">
        <v>59831761</v>
      </c>
      <c r="I8633">
        <v>59831761</v>
      </c>
    </row>
    <row r="8634" spans="1:9" x14ac:dyDescent="0.2">
      <c r="A8634" t="str">
        <f>"Gm21845"</f>
        <v>Gm21845</v>
      </c>
      <c r="B8634" t="s">
        <v>3417</v>
      </c>
      <c r="C8634" t="s">
        <v>63</v>
      </c>
      <c r="D8634" t="s">
        <v>17</v>
      </c>
      <c r="E8634" t="s">
        <v>20</v>
      </c>
      <c r="F8634">
        <v>24381816</v>
      </c>
      <c r="G8634">
        <v>24381816</v>
      </c>
      <c r="H8634">
        <v>24381816</v>
      </c>
      <c r="I8634">
        <v>24381816</v>
      </c>
    </row>
    <row r="8635" spans="1:9" x14ac:dyDescent="0.2">
      <c r="A8635" t="str">
        <f>"Gm21846"</f>
        <v>Gm21846</v>
      </c>
      <c r="B8635" t="s">
        <v>3418</v>
      </c>
      <c r="C8635" t="s">
        <v>46</v>
      </c>
      <c r="D8635" t="s">
        <v>17</v>
      </c>
      <c r="E8635" t="s">
        <v>20</v>
      </c>
      <c r="F8635">
        <v>22775629</v>
      </c>
      <c r="G8635">
        <v>22775629</v>
      </c>
      <c r="H8635">
        <v>22775629</v>
      </c>
      <c r="I8635">
        <v>22775629</v>
      </c>
    </row>
    <row r="8636" spans="1:9" x14ac:dyDescent="0.2">
      <c r="A8636" t="str">
        <f>"Gm21847"</f>
        <v>Gm21847</v>
      </c>
      <c r="B8636" t="s">
        <v>3419</v>
      </c>
      <c r="C8636" t="s">
        <v>46</v>
      </c>
      <c r="D8636" t="s">
        <v>17</v>
      </c>
      <c r="E8636" t="s">
        <v>20</v>
      </c>
      <c r="F8636">
        <v>15516488</v>
      </c>
      <c r="G8636">
        <v>15516488</v>
      </c>
      <c r="H8636">
        <v>15516488</v>
      </c>
      <c r="I8636">
        <v>15516488</v>
      </c>
    </row>
    <row r="8637" spans="1:9" x14ac:dyDescent="0.2">
      <c r="A8637" t="str">
        <f>"Gm21848"</f>
        <v>Gm21848</v>
      </c>
      <c r="B8637" t="s">
        <v>3420</v>
      </c>
      <c r="C8637" t="s">
        <v>63</v>
      </c>
      <c r="D8637" t="s">
        <v>11</v>
      </c>
      <c r="E8637" t="s">
        <v>20</v>
      </c>
      <c r="F8637">
        <v>65273202</v>
      </c>
      <c r="G8637">
        <v>65273202</v>
      </c>
      <c r="H8637">
        <v>65273202</v>
      </c>
      <c r="I8637">
        <v>65273202</v>
      </c>
    </row>
    <row r="8638" spans="1:9" x14ac:dyDescent="0.2">
      <c r="A8638" t="str">
        <f>"Gm21849"</f>
        <v>Gm21849</v>
      </c>
      <c r="B8638" t="s">
        <v>3421</v>
      </c>
      <c r="C8638" t="s">
        <v>63</v>
      </c>
      <c r="D8638" t="s">
        <v>11</v>
      </c>
      <c r="E8638" t="s">
        <v>20</v>
      </c>
      <c r="F8638">
        <v>51021719</v>
      </c>
      <c r="G8638">
        <v>51021719</v>
      </c>
      <c r="H8638">
        <v>51021719</v>
      </c>
      <c r="I8638">
        <v>51021719</v>
      </c>
    </row>
    <row r="8639" spans="1:9" x14ac:dyDescent="0.2">
      <c r="A8639" t="str">
        <f>"Gm21850"</f>
        <v>Gm21850</v>
      </c>
      <c r="B8639" t="s">
        <v>3422</v>
      </c>
      <c r="C8639" t="s">
        <v>26</v>
      </c>
      <c r="D8639" t="s">
        <v>17</v>
      </c>
      <c r="E8639" t="s">
        <v>20</v>
      </c>
      <c r="F8639">
        <v>154052268</v>
      </c>
      <c r="G8639">
        <v>154052268</v>
      </c>
      <c r="H8639">
        <v>154052268</v>
      </c>
      <c r="I8639">
        <v>154052268</v>
      </c>
    </row>
    <row r="8640" spans="1:9" x14ac:dyDescent="0.2">
      <c r="A8640" t="str">
        <f>"Gm21851"</f>
        <v>Gm21851</v>
      </c>
      <c r="B8640" t="s">
        <v>3423</v>
      </c>
      <c r="C8640" t="s">
        <v>63</v>
      </c>
      <c r="D8640" t="s">
        <v>11</v>
      </c>
      <c r="E8640" t="s">
        <v>20</v>
      </c>
      <c r="F8640">
        <v>56250173</v>
      </c>
      <c r="G8640">
        <v>56250173</v>
      </c>
      <c r="H8640">
        <v>56250173</v>
      </c>
      <c r="I8640">
        <v>56250173</v>
      </c>
    </row>
    <row r="8641" spans="1:9" x14ac:dyDescent="0.2">
      <c r="A8641" t="str">
        <f>"Gm21852"</f>
        <v>Gm21852</v>
      </c>
      <c r="B8641" t="s">
        <v>3424</v>
      </c>
      <c r="C8641" t="s">
        <v>63</v>
      </c>
      <c r="D8641" t="s">
        <v>11</v>
      </c>
      <c r="E8641" t="s">
        <v>20</v>
      </c>
      <c r="F8641">
        <v>40651995</v>
      </c>
      <c r="G8641">
        <v>40651995</v>
      </c>
      <c r="H8641">
        <v>40651995</v>
      </c>
      <c r="I8641">
        <v>40651995</v>
      </c>
    </row>
    <row r="8642" spans="1:9" x14ac:dyDescent="0.2">
      <c r="A8642" t="str">
        <f>"Gm21853"</f>
        <v>Gm21853</v>
      </c>
      <c r="B8642" t="s">
        <v>3425</v>
      </c>
      <c r="C8642" t="s">
        <v>63</v>
      </c>
      <c r="D8642" t="s">
        <v>17</v>
      </c>
      <c r="E8642" t="s">
        <v>20</v>
      </c>
      <c r="F8642">
        <v>29351844</v>
      </c>
      <c r="G8642">
        <v>29351844</v>
      </c>
      <c r="H8642">
        <v>29351844</v>
      </c>
      <c r="I8642">
        <v>29351844</v>
      </c>
    </row>
    <row r="8643" spans="1:9" x14ac:dyDescent="0.2">
      <c r="A8643" t="str">
        <f>"Gm21854"</f>
        <v>Gm21854</v>
      </c>
      <c r="B8643" t="s">
        <v>3426</v>
      </c>
      <c r="C8643" t="s">
        <v>63</v>
      </c>
      <c r="D8643" t="s">
        <v>17</v>
      </c>
      <c r="E8643" t="s">
        <v>20</v>
      </c>
      <c r="F8643">
        <v>5658984</v>
      </c>
      <c r="G8643">
        <v>5658984</v>
      </c>
      <c r="H8643">
        <v>5658984</v>
      </c>
      <c r="I8643">
        <v>5658984</v>
      </c>
    </row>
    <row r="8644" spans="1:9" x14ac:dyDescent="0.2">
      <c r="A8644" t="str">
        <f>"Gm21855"</f>
        <v>Gm21855</v>
      </c>
      <c r="B8644" t="s">
        <v>3427</v>
      </c>
      <c r="C8644" t="s">
        <v>63</v>
      </c>
      <c r="D8644" t="s">
        <v>11</v>
      </c>
      <c r="E8644" t="s">
        <v>20</v>
      </c>
      <c r="F8644">
        <v>73383906</v>
      </c>
      <c r="G8644">
        <v>73383906</v>
      </c>
      <c r="H8644">
        <v>73383906</v>
      </c>
      <c r="I8644">
        <v>73383906</v>
      </c>
    </row>
    <row r="8645" spans="1:9" x14ac:dyDescent="0.2">
      <c r="A8645" t="str">
        <f>"Gm21856"</f>
        <v>Gm21856</v>
      </c>
      <c r="B8645" t="s">
        <v>3428</v>
      </c>
      <c r="C8645" t="s">
        <v>63</v>
      </c>
      <c r="D8645" t="s">
        <v>11</v>
      </c>
      <c r="E8645" t="s">
        <v>20</v>
      </c>
      <c r="F8645">
        <v>44758674</v>
      </c>
      <c r="G8645">
        <v>44758674</v>
      </c>
      <c r="H8645">
        <v>44758674</v>
      </c>
      <c r="I8645">
        <v>44758674</v>
      </c>
    </row>
    <row r="8646" spans="1:9" x14ac:dyDescent="0.2">
      <c r="A8646" t="str">
        <f>"Gm21857"</f>
        <v>Gm21857</v>
      </c>
      <c r="B8646" t="s">
        <v>3429</v>
      </c>
      <c r="C8646" t="s">
        <v>63</v>
      </c>
      <c r="D8646" t="s">
        <v>17</v>
      </c>
      <c r="E8646" t="s">
        <v>20</v>
      </c>
      <c r="F8646">
        <v>90755656</v>
      </c>
      <c r="G8646">
        <v>90755656</v>
      </c>
      <c r="H8646">
        <v>90755656</v>
      </c>
      <c r="I8646">
        <v>90755656</v>
      </c>
    </row>
    <row r="8647" spans="1:9" x14ac:dyDescent="0.2">
      <c r="A8647" t="str">
        <f>"Gm21858"</f>
        <v>Gm21858</v>
      </c>
      <c r="B8647" t="s">
        <v>3430</v>
      </c>
      <c r="C8647" t="s">
        <v>63</v>
      </c>
      <c r="D8647" t="s">
        <v>17</v>
      </c>
      <c r="E8647" t="s">
        <v>20</v>
      </c>
      <c r="F8647">
        <v>55733187</v>
      </c>
      <c r="G8647">
        <v>55733187</v>
      </c>
      <c r="H8647">
        <v>55733187</v>
      </c>
      <c r="I8647">
        <v>55733187</v>
      </c>
    </row>
    <row r="8648" spans="1:9" x14ac:dyDescent="0.2">
      <c r="A8648" t="str">
        <f>"Gm21860"</f>
        <v>Gm21860</v>
      </c>
      <c r="B8648" t="s">
        <v>3431</v>
      </c>
      <c r="C8648" t="s">
        <v>63</v>
      </c>
      <c r="D8648" t="s">
        <v>11</v>
      </c>
      <c r="E8648" t="s">
        <v>20</v>
      </c>
      <c r="F8648">
        <v>90754820</v>
      </c>
      <c r="G8648">
        <v>90754820</v>
      </c>
      <c r="H8648">
        <v>90754820</v>
      </c>
      <c r="I8648">
        <v>90754820</v>
      </c>
    </row>
    <row r="8649" spans="1:9" x14ac:dyDescent="0.2">
      <c r="A8649" t="str">
        <f>"Gm21861"</f>
        <v>Gm21861</v>
      </c>
      <c r="B8649" t="s">
        <v>3432</v>
      </c>
      <c r="C8649" t="s">
        <v>63</v>
      </c>
      <c r="D8649" t="s">
        <v>11</v>
      </c>
      <c r="E8649" t="s">
        <v>20</v>
      </c>
      <c r="F8649">
        <v>58813164</v>
      </c>
      <c r="G8649">
        <v>58813164</v>
      </c>
      <c r="H8649">
        <v>58813164</v>
      </c>
      <c r="I8649">
        <v>58813164</v>
      </c>
    </row>
    <row r="8650" spans="1:9" x14ac:dyDescent="0.2">
      <c r="A8650" t="str">
        <f>"Gm21862"</f>
        <v>Gm21862</v>
      </c>
      <c r="B8650" t="s">
        <v>3433</v>
      </c>
      <c r="C8650" t="s">
        <v>63</v>
      </c>
      <c r="D8650" t="s">
        <v>11</v>
      </c>
      <c r="E8650" t="s">
        <v>20</v>
      </c>
      <c r="F8650">
        <v>85956174</v>
      </c>
      <c r="G8650">
        <v>85956174</v>
      </c>
      <c r="H8650">
        <v>85956174</v>
      </c>
      <c r="I8650">
        <v>85956174</v>
      </c>
    </row>
    <row r="8651" spans="1:9" x14ac:dyDescent="0.2">
      <c r="A8651" t="str">
        <f>"Gm21863"</f>
        <v>Gm21863</v>
      </c>
      <c r="B8651" t="s">
        <v>3434</v>
      </c>
      <c r="C8651" t="s">
        <v>16</v>
      </c>
      <c r="D8651" t="s">
        <v>17</v>
      </c>
      <c r="E8651" t="s">
        <v>20</v>
      </c>
      <c r="F8651">
        <v>19954504</v>
      </c>
      <c r="G8651">
        <v>19954504</v>
      </c>
      <c r="H8651">
        <v>19954504</v>
      </c>
      <c r="I8651">
        <v>19954504</v>
      </c>
    </row>
    <row r="8652" spans="1:9" x14ac:dyDescent="0.2">
      <c r="A8652" t="str">
        <f>"Gm21864"</f>
        <v>Gm21864</v>
      </c>
      <c r="B8652" t="s">
        <v>3435</v>
      </c>
      <c r="C8652" t="s">
        <v>63</v>
      </c>
      <c r="D8652" t="s">
        <v>11</v>
      </c>
      <c r="E8652" t="s">
        <v>20</v>
      </c>
      <c r="F8652">
        <v>83288578</v>
      </c>
      <c r="G8652">
        <v>83288578</v>
      </c>
      <c r="H8652">
        <v>83288578</v>
      </c>
      <c r="I8652">
        <v>83288578</v>
      </c>
    </row>
    <row r="8653" spans="1:9" x14ac:dyDescent="0.2">
      <c r="A8653" t="str">
        <f>"Gm21865"</f>
        <v>Gm21865</v>
      </c>
      <c r="B8653" t="s">
        <v>3436</v>
      </c>
      <c r="C8653" t="s">
        <v>63</v>
      </c>
      <c r="D8653" t="s">
        <v>11</v>
      </c>
      <c r="E8653" t="s">
        <v>20</v>
      </c>
      <c r="F8653">
        <v>40315450</v>
      </c>
      <c r="G8653">
        <v>40315450</v>
      </c>
      <c r="H8653">
        <v>40315450</v>
      </c>
      <c r="I8653">
        <v>40315450</v>
      </c>
    </row>
    <row r="8654" spans="1:9" x14ac:dyDescent="0.2">
      <c r="A8654" t="str">
        <f>"Gm21866"</f>
        <v>Gm21866</v>
      </c>
      <c r="B8654" t="s">
        <v>3437</v>
      </c>
      <c r="C8654" t="s">
        <v>63</v>
      </c>
      <c r="D8654" t="s">
        <v>11</v>
      </c>
      <c r="E8654" t="s">
        <v>20</v>
      </c>
      <c r="F8654">
        <v>13465578</v>
      </c>
      <c r="G8654">
        <v>13465578</v>
      </c>
      <c r="H8654">
        <v>13465578</v>
      </c>
      <c r="I8654">
        <v>13465578</v>
      </c>
    </row>
    <row r="8655" spans="1:9" x14ac:dyDescent="0.2">
      <c r="A8655" t="str">
        <f>"Gm21867"</f>
        <v>Gm21867</v>
      </c>
      <c r="B8655" t="s">
        <v>3438</v>
      </c>
      <c r="C8655" t="s">
        <v>63</v>
      </c>
      <c r="D8655" t="s">
        <v>17</v>
      </c>
      <c r="E8655" t="s">
        <v>20</v>
      </c>
      <c r="F8655">
        <v>68398363</v>
      </c>
      <c r="G8655">
        <v>68398363</v>
      </c>
      <c r="H8655">
        <v>68398363</v>
      </c>
      <c r="I8655">
        <v>68398363</v>
      </c>
    </row>
    <row r="8656" spans="1:9" x14ac:dyDescent="0.2">
      <c r="A8656" t="str">
        <f>"Gm21868"</f>
        <v>Gm21868</v>
      </c>
      <c r="B8656" t="s">
        <v>3439</v>
      </c>
      <c r="C8656" t="s">
        <v>63</v>
      </c>
      <c r="D8656" t="s">
        <v>11</v>
      </c>
      <c r="E8656" t="s">
        <v>20</v>
      </c>
      <c r="F8656">
        <v>57457989</v>
      </c>
      <c r="G8656">
        <v>57457989</v>
      </c>
      <c r="H8656">
        <v>57457989</v>
      </c>
      <c r="I8656">
        <v>57457989</v>
      </c>
    </row>
    <row r="8657" spans="1:9" x14ac:dyDescent="0.2">
      <c r="A8657" t="str">
        <f>"Gm21869"</f>
        <v>Gm21869</v>
      </c>
      <c r="B8657" t="s">
        <v>3440</v>
      </c>
      <c r="C8657" t="s">
        <v>63</v>
      </c>
      <c r="D8657" t="s">
        <v>11</v>
      </c>
      <c r="E8657" t="s">
        <v>20</v>
      </c>
      <c r="F8657">
        <v>74951337</v>
      </c>
      <c r="G8657">
        <v>74951337</v>
      </c>
      <c r="H8657">
        <v>74951337</v>
      </c>
      <c r="I8657">
        <v>74951337</v>
      </c>
    </row>
    <row r="8658" spans="1:9" x14ac:dyDescent="0.2">
      <c r="A8658" t="str">
        <f>"Gm21870"</f>
        <v>Gm21870</v>
      </c>
      <c r="B8658" t="s">
        <v>3441</v>
      </c>
      <c r="C8658" t="s">
        <v>37</v>
      </c>
      <c r="D8658" t="s">
        <v>11</v>
      </c>
      <c r="E8658" t="s">
        <v>20</v>
      </c>
      <c r="F8658">
        <v>33986815</v>
      </c>
      <c r="G8658">
        <v>33986815</v>
      </c>
      <c r="H8658">
        <v>33986815</v>
      </c>
      <c r="I8658">
        <v>33986815</v>
      </c>
    </row>
    <row r="8659" spans="1:9" x14ac:dyDescent="0.2">
      <c r="A8659" t="str">
        <f>"Gm21871"</f>
        <v>Gm21871</v>
      </c>
      <c r="B8659" t="s">
        <v>3442</v>
      </c>
      <c r="C8659" t="s">
        <v>63</v>
      </c>
      <c r="D8659" t="s">
        <v>17</v>
      </c>
      <c r="E8659" t="s">
        <v>20</v>
      </c>
      <c r="F8659">
        <v>22964858</v>
      </c>
      <c r="G8659">
        <v>22964858</v>
      </c>
      <c r="H8659">
        <v>22964858</v>
      </c>
      <c r="I8659">
        <v>22964858</v>
      </c>
    </row>
    <row r="8660" spans="1:9" x14ac:dyDescent="0.2">
      <c r="A8660" t="str">
        <f>"Gm21872"</f>
        <v>Gm21872</v>
      </c>
      <c r="B8660" t="s">
        <v>3443</v>
      </c>
      <c r="C8660" t="s">
        <v>63</v>
      </c>
      <c r="D8660" t="s">
        <v>17</v>
      </c>
      <c r="E8660" t="s">
        <v>20</v>
      </c>
      <c r="F8660">
        <v>35569460</v>
      </c>
      <c r="G8660">
        <v>35569460</v>
      </c>
      <c r="H8660">
        <v>35569460</v>
      </c>
      <c r="I8660">
        <v>35569460</v>
      </c>
    </row>
    <row r="8661" spans="1:9" x14ac:dyDescent="0.2">
      <c r="A8661" t="str">
        <f>"Gm21873"</f>
        <v>Gm21873</v>
      </c>
      <c r="B8661" t="s">
        <v>3444</v>
      </c>
      <c r="C8661" t="s">
        <v>63</v>
      </c>
      <c r="D8661" t="s">
        <v>11</v>
      </c>
      <c r="E8661" t="s">
        <v>20</v>
      </c>
      <c r="F8661">
        <v>80023148</v>
      </c>
      <c r="G8661">
        <v>80023148</v>
      </c>
      <c r="H8661">
        <v>80023148</v>
      </c>
      <c r="I8661">
        <v>80023148</v>
      </c>
    </row>
    <row r="8662" spans="1:9" x14ac:dyDescent="0.2">
      <c r="A8662" t="str">
        <f>"Gm21874"</f>
        <v>Gm21874</v>
      </c>
      <c r="B8662" t="s">
        <v>3445</v>
      </c>
      <c r="C8662" t="s">
        <v>63</v>
      </c>
      <c r="D8662" t="s">
        <v>11</v>
      </c>
      <c r="E8662" t="s">
        <v>20</v>
      </c>
      <c r="F8662">
        <v>9414340</v>
      </c>
      <c r="G8662">
        <v>9414340</v>
      </c>
      <c r="H8662">
        <v>9414340</v>
      </c>
      <c r="I8662">
        <v>9414340</v>
      </c>
    </row>
    <row r="8663" spans="1:9" x14ac:dyDescent="0.2">
      <c r="A8663" t="str">
        <f>"Gm21875"</f>
        <v>Gm21875</v>
      </c>
      <c r="B8663" t="s">
        <v>3446</v>
      </c>
      <c r="C8663" t="s">
        <v>63</v>
      </c>
      <c r="D8663" t="s">
        <v>11</v>
      </c>
      <c r="E8663" t="s">
        <v>20</v>
      </c>
      <c r="F8663">
        <v>75987422</v>
      </c>
      <c r="G8663">
        <v>75987422</v>
      </c>
      <c r="H8663">
        <v>75987422</v>
      </c>
      <c r="I8663">
        <v>75987422</v>
      </c>
    </row>
    <row r="8664" spans="1:9" x14ac:dyDescent="0.2">
      <c r="A8664" t="str">
        <f>"Gm21876"</f>
        <v>Gm21876</v>
      </c>
      <c r="B8664" t="s">
        <v>3447</v>
      </c>
      <c r="C8664" t="s">
        <v>37</v>
      </c>
      <c r="D8664" t="s">
        <v>11</v>
      </c>
      <c r="E8664" t="s">
        <v>20</v>
      </c>
      <c r="F8664">
        <v>21175652</v>
      </c>
      <c r="G8664">
        <v>21175652</v>
      </c>
      <c r="H8664">
        <v>21175652</v>
      </c>
      <c r="I8664">
        <v>21175652</v>
      </c>
    </row>
    <row r="8665" spans="1:9" x14ac:dyDescent="0.2">
      <c r="A8665" t="str">
        <f>"Gm21877"</f>
        <v>Gm21877</v>
      </c>
      <c r="B8665" t="s">
        <v>3448</v>
      </c>
      <c r="C8665" t="s">
        <v>63</v>
      </c>
      <c r="D8665" t="s">
        <v>11</v>
      </c>
      <c r="E8665" t="s">
        <v>20</v>
      </c>
      <c r="F8665">
        <v>62537930</v>
      </c>
      <c r="G8665">
        <v>62537930</v>
      </c>
      <c r="H8665">
        <v>62537930</v>
      </c>
      <c r="I8665">
        <v>62537930</v>
      </c>
    </row>
    <row r="8666" spans="1:9" x14ac:dyDescent="0.2">
      <c r="A8666" t="str">
        <f>"Gm21878"</f>
        <v>Gm21878</v>
      </c>
      <c r="B8666" t="s">
        <v>3449</v>
      </c>
      <c r="C8666" t="s">
        <v>63</v>
      </c>
      <c r="D8666" t="s">
        <v>17</v>
      </c>
      <c r="E8666" t="s">
        <v>20</v>
      </c>
      <c r="F8666">
        <v>37818133</v>
      </c>
      <c r="G8666">
        <v>37818133</v>
      </c>
      <c r="H8666">
        <v>37818133</v>
      </c>
      <c r="I8666">
        <v>37818133</v>
      </c>
    </row>
    <row r="8667" spans="1:9" x14ac:dyDescent="0.2">
      <c r="A8667" t="str">
        <f>"Gm21879"</f>
        <v>Gm21879</v>
      </c>
      <c r="B8667" t="s">
        <v>3450</v>
      </c>
      <c r="C8667" t="s">
        <v>63</v>
      </c>
      <c r="D8667" t="s">
        <v>11</v>
      </c>
      <c r="E8667" t="s">
        <v>20</v>
      </c>
      <c r="F8667">
        <v>85017494</v>
      </c>
      <c r="G8667">
        <v>85017494</v>
      </c>
      <c r="H8667">
        <v>85017494</v>
      </c>
      <c r="I8667">
        <v>85017494</v>
      </c>
    </row>
    <row r="8668" spans="1:9" x14ac:dyDescent="0.2">
      <c r="A8668" t="str">
        <f>"Gm21880"</f>
        <v>Gm21880</v>
      </c>
      <c r="B8668" t="s">
        <v>3451</v>
      </c>
      <c r="C8668" t="s">
        <v>63</v>
      </c>
      <c r="D8668" t="s">
        <v>11</v>
      </c>
      <c r="E8668" t="s">
        <v>20</v>
      </c>
      <c r="F8668">
        <v>72104013</v>
      </c>
      <c r="G8668">
        <v>72104013</v>
      </c>
      <c r="H8668">
        <v>72104013</v>
      </c>
      <c r="I8668">
        <v>72104013</v>
      </c>
    </row>
    <row r="8669" spans="1:9" x14ac:dyDescent="0.2">
      <c r="A8669" t="str">
        <f>"Gm21881"</f>
        <v>Gm21881</v>
      </c>
      <c r="B8669" t="s">
        <v>3452</v>
      </c>
      <c r="C8669" t="s">
        <v>63</v>
      </c>
      <c r="D8669" t="s">
        <v>11</v>
      </c>
      <c r="E8669" t="s">
        <v>20</v>
      </c>
      <c r="F8669">
        <v>85814908</v>
      </c>
      <c r="G8669">
        <v>85814908</v>
      </c>
      <c r="H8669">
        <v>85814908</v>
      </c>
      <c r="I8669">
        <v>85814908</v>
      </c>
    </row>
    <row r="8670" spans="1:9" x14ac:dyDescent="0.2">
      <c r="A8670" t="str">
        <f>"Gm21882"</f>
        <v>Gm21882</v>
      </c>
      <c r="B8670" t="s">
        <v>3453</v>
      </c>
      <c r="C8670" t="s">
        <v>63</v>
      </c>
      <c r="D8670" t="s">
        <v>11</v>
      </c>
      <c r="E8670" t="s">
        <v>20</v>
      </c>
      <c r="F8670">
        <v>40381522</v>
      </c>
      <c r="G8670">
        <v>40381522</v>
      </c>
      <c r="H8670">
        <v>40381522</v>
      </c>
      <c r="I8670">
        <v>40381522</v>
      </c>
    </row>
    <row r="8671" spans="1:9" x14ac:dyDescent="0.2">
      <c r="A8671" t="str">
        <f>"Gm21883"</f>
        <v>Gm21883</v>
      </c>
      <c r="B8671" t="s">
        <v>3454</v>
      </c>
      <c r="C8671" t="s">
        <v>37</v>
      </c>
      <c r="D8671" t="s">
        <v>11</v>
      </c>
      <c r="E8671" t="s">
        <v>20</v>
      </c>
      <c r="F8671">
        <v>31574282</v>
      </c>
      <c r="G8671">
        <v>31574282</v>
      </c>
      <c r="H8671">
        <v>31574282</v>
      </c>
      <c r="I8671">
        <v>31574282</v>
      </c>
    </row>
    <row r="8672" spans="1:9" x14ac:dyDescent="0.2">
      <c r="A8672" t="str">
        <f>"Gm21885"</f>
        <v>Gm21885</v>
      </c>
      <c r="B8672" t="s">
        <v>3455</v>
      </c>
      <c r="C8672" t="s">
        <v>27</v>
      </c>
      <c r="D8672" t="s">
        <v>17</v>
      </c>
      <c r="E8672" t="s">
        <v>20</v>
      </c>
      <c r="F8672">
        <v>94284651</v>
      </c>
      <c r="G8672">
        <v>94284651</v>
      </c>
      <c r="H8672">
        <v>94284651</v>
      </c>
      <c r="I8672">
        <v>94284651</v>
      </c>
    </row>
    <row r="8673" spans="1:9" x14ac:dyDescent="0.2">
      <c r="A8673" t="str">
        <f>"Gm21886"</f>
        <v>Gm21886</v>
      </c>
      <c r="B8673" t="s">
        <v>3456</v>
      </c>
      <c r="C8673" t="s">
        <v>43</v>
      </c>
      <c r="D8673" t="s">
        <v>11</v>
      </c>
      <c r="E8673" t="s">
        <v>20</v>
      </c>
      <c r="F8673">
        <v>80089961</v>
      </c>
      <c r="G8673">
        <v>80089961</v>
      </c>
      <c r="H8673">
        <v>80089961</v>
      </c>
      <c r="I8673">
        <v>80089961</v>
      </c>
    </row>
    <row r="8674" spans="1:9" x14ac:dyDescent="0.2">
      <c r="A8674" t="str">
        <f>"Gm21887"</f>
        <v>Gm21887</v>
      </c>
      <c r="B8674" t="s">
        <v>3457</v>
      </c>
      <c r="C8674" t="s">
        <v>37</v>
      </c>
      <c r="D8674" t="s">
        <v>17</v>
      </c>
      <c r="E8674" t="s">
        <v>20</v>
      </c>
      <c r="F8674">
        <v>170010743</v>
      </c>
      <c r="G8674">
        <v>170010743</v>
      </c>
      <c r="H8674">
        <v>170010743</v>
      </c>
      <c r="I8674">
        <v>170010743</v>
      </c>
    </row>
    <row r="8675" spans="1:9" x14ac:dyDescent="0.2">
      <c r="A8675" t="str">
        <f>"Gm21887"</f>
        <v>Gm21887</v>
      </c>
      <c r="B8675" t="s">
        <v>3458</v>
      </c>
      <c r="C8675" t="s">
        <v>37</v>
      </c>
      <c r="D8675" t="s">
        <v>17</v>
      </c>
      <c r="E8675" t="s">
        <v>20</v>
      </c>
      <c r="F8675">
        <v>170009658</v>
      </c>
      <c r="G8675">
        <v>170009658</v>
      </c>
      <c r="H8675">
        <v>170009658</v>
      </c>
      <c r="I8675">
        <v>170009658</v>
      </c>
    </row>
    <row r="8676" spans="1:9" x14ac:dyDescent="0.2">
      <c r="A8676" t="str">
        <f>"Gm21887"</f>
        <v>Gm21887</v>
      </c>
      <c r="B8676" t="s">
        <v>3459</v>
      </c>
      <c r="C8676" t="s">
        <v>37</v>
      </c>
      <c r="D8676" t="s">
        <v>17</v>
      </c>
      <c r="E8676" t="s">
        <v>20</v>
      </c>
      <c r="F8676">
        <v>170009891</v>
      </c>
      <c r="G8676">
        <v>170009891</v>
      </c>
      <c r="H8676">
        <v>170009891</v>
      </c>
      <c r="I8676">
        <v>170009891</v>
      </c>
    </row>
    <row r="8677" spans="1:9" x14ac:dyDescent="0.2">
      <c r="A8677" t="str">
        <f>"Gm21890"</f>
        <v>Gm21890</v>
      </c>
      <c r="B8677" t="s">
        <v>3460</v>
      </c>
      <c r="C8677" t="s">
        <v>63</v>
      </c>
      <c r="D8677" t="s">
        <v>17</v>
      </c>
      <c r="E8677" t="s">
        <v>20</v>
      </c>
      <c r="F8677">
        <v>25921141</v>
      </c>
      <c r="G8677">
        <v>25921141</v>
      </c>
      <c r="H8677">
        <v>25921141</v>
      </c>
      <c r="I8677">
        <v>25921141</v>
      </c>
    </row>
    <row r="8678" spans="1:9" x14ac:dyDescent="0.2">
      <c r="A8678" t="str">
        <f>"Gm21891"</f>
        <v>Gm21891</v>
      </c>
      <c r="B8678" t="s">
        <v>3461</v>
      </c>
      <c r="C8678" t="s">
        <v>63</v>
      </c>
      <c r="D8678" t="s">
        <v>11</v>
      </c>
      <c r="E8678" t="s">
        <v>20</v>
      </c>
      <c r="F8678">
        <v>13133491</v>
      </c>
      <c r="G8678">
        <v>13133491</v>
      </c>
      <c r="H8678">
        <v>13133491</v>
      </c>
      <c r="I8678">
        <v>13133491</v>
      </c>
    </row>
    <row r="8679" spans="1:9" x14ac:dyDescent="0.2">
      <c r="A8679" t="str">
        <f>"Gm21892"</f>
        <v>Gm21892</v>
      </c>
      <c r="B8679" t="s">
        <v>3462</v>
      </c>
      <c r="C8679" t="s">
        <v>63</v>
      </c>
      <c r="D8679" t="s">
        <v>11</v>
      </c>
      <c r="E8679" t="s">
        <v>20</v>
      </c>
      <c r="F8679">
        <v>85595837</v>
      </c>
      <c r="G8679">
        <v>85595837</v>
      </c>
      <c r="H8679">
        <v>85595837</v>
      </c>
      <c r="I8679">
        <v>85595837</v>
      </c>
    </row>
    <row r="8680" spans="1:9" x14ac:dyDescent="0.2">
      <c r="A8680" t="str">
        <f>"Gm21893"</f>
        <v>Gm21893</v>
      </c>
      <c r="B8680" t="s">
        <v>3463</v>
      </c>
      <c r="C8680" t="s">
        <v>32</v>
      </c>
      <c r="D8680" t="s">
        <v>17</v>
      </c>
      <c r="E8680" t="s">
        <v>20</v>
      </c>
      <c r="F8680">
        <v>128294095</v>
      </c>
      <c r="G8680">
        <v>128294095</v>
      </c>
      <c r="H8680">
        <v>128294095</v>
      </c>
      <c r="I8680">
        <v>128294095</v>
      </c>
    </row>
    <row r="8681" spans="1:9" x14ac:dyDescent="0.2">
      <c r="A8681" t="str">
        <f>"Gm21894"</f>
        <v>Gm21894</v>
      </c>
      <c r="B8681" t="s">
        <v>3464</v>
      </c>
      <c r="C8681" t="s">
        <v>63</v>
      </c>
      <c r="D8681" t="s">
        <v>17</v>
      </c>
      <c r="E8681" t="s">
        <v>20</v>
      </c>
      <c r="F8681">
        <v>54656890</v>
      </c>
      <c r="G8681">
        <v>54656890</v>
      </c>
      <c r="H8681">
        <v>54656890</v>
      </c>
      <c r="I8681">
        <v>54656890</v>
      </c>
    </row>
    <row r="8682" spans="1:9" x14ac:dyDescent="0.2">
      <c r="A8682" t="str">
        <f>"Gm21895"</f>
        <v>Gm21895</v>
      </c>
      <c r="B8682" t="s">
        <v>3465</v>
      </c>
      <c r="C8682" t="s">
        <v>63</v>
      </c>
      <c r="D8682" t="s">
        <v>11</v>
      </c>
      <c r="E8682" t="s">
        <v>20</v>
      </c>
      <c r="F8682">
        <v>65790270</v>
      </c>
      <c r="G8682">
        <v>65790270</v>
      </c>
      <c r="H8682">
        <v>65790270</v>
      </c>
      <c r="I8682">
        <v>65790270</v>
      </c>
    </row>
    <row r="8683" spans="1:9" x14ac:dyDescent="0.2">
      <c r="A8683" t="str">
        <f>"Gm21896"</f>
        <v>Gm21896</v>
      </c>
      <c r="B8683" t="s">
        <v>3466</v>
      </c>
      <c r="C8683" t="s">
        <v>63</v>
      </c>
      <c r="D8683" t="s">
        <v>17</v>
      </c>
      <c r="E8683" t="s">
        <v>20</v>
      </c>
      <c r="F8683">
        <v>35235410</v>
      </c>
      <c r="G8683">
        <v>35235410</v>
      </c>
      <c r="H8683">
        <v>35235410</v>
      </c>
      <c r="I8683">
        <v>35235410</v>
      </c>
    </row>
    <row r="8684" spans="1:9" x14ac:dyDescent="0.2">
      <c r="A8684" t="str">
        <f>"Gm21897"</f>
        <v>Gm21897</v>
      </c>
      <c r="B8684" t="s">
        <v>3467</v>
      </c>
      <c r="C8684" t="s">
        <v>31</v>
      </c>
      <c r="D8684" t="s">
        <v>17</v>
      </c>
      <c r="E8684" t="s">
        <v>20</v>
      </c>
      <c r="F8684">
        <v>15317457</v>
      </c>
      <c r="G8684">
        <v>15317457</v>
      </c>
      <c r="H8684">
        <v>15317457</v>
      </c>
      <c r="I8684">
        <v>15317457</v>
      </c>
    </row>
    <row r="8685" spans="1:9" x14ac:dyDescent="0.2">
      <c r="A8685" t="str">
        <f>"Gm21898"</f>
        <v>Gm21898</v>
      </c>
      <c r="B8685" t="s">
        <v>3468</v>
      </c>
      <c r="C8685" t="s">
        <v>63</v>
      </c>
      <c r="D8685" t="s">
        <v>17</v>
      </c>
      <c r="E8685" t="s">
        <v>20</v>
      </c>
      <c r="F8685">
        <v>36025253</v>
      </c>
      <c r="G8685">
        <v>36025253</v>
      </c>
      <c r="H8685">
        <v>36025253</v>
      </c>
      <c r="I8685">
        <v>36025253</v>
      </c>
    </row>
    <row r="8686" spans="1:9" x14ac:dyDescent="0.2">
      <c r="A8686" t="str">
        <f>"Gm21899"</f>
        <v>Gm21899</v>
      </c>
      <c r="B8686" t="s">
        <v>3469</v>
      </c>
      <c r="C8686" t="s">
        <v>63</v>
      </c>
      <c r="D8686" t="s">
        <v>11</v>
      </c>
      <c r="E8686" t="s">
        <v>20</v>
      </c>
      <c r="F8686">
        <v>52328957</v>
      </c>
      <c r="G8686">
        <v>52328957</v>
      </c>
      <c r="H8686">
        <v>52328957</v>
      </c>
      <c r="I8686">
        <v>52328957</v>
      </c>
    </row>
    <row r="8687" spans="1:9" x14ac:dyDescent="0.2">
      <c r="A8687" t="str">
        <f>"Gm21900"</f>
        <v>Gm21900</v>
      </c>
      <c r="B8687" t="s">
        <v>3470</v>
      </c>
      <c r="C8687" t="s">
        <v>63</v>
      </c>
      <c r="D8687" t="s">
        <v>17</v>
      </c>
      <c r="E8687" t="s">
        <v>20</v>
      </c>
      <c r="F8687">
        <v>10616360</v>
      </c>
      <c r="G8687">
        <v>10616360</v>
      </c>
      <c r="H8687">
        <v>10616360</v>
      </c>
      <c r="I8687">
        <v>10616360</v>
      </c>
    </row>
    <row r="8688" spans="1:9" x14ac:dyDescent="0.2">
      <c r="A8688" t="str">
        <f>"Gm21901"</f>
        <v>Gm21901</v>
      </c>
      <c r="B8688" t="s">
        <v>3471</v>
      </c>
      <c r="C8688" t="s">
        <v>63</v>
      </c>
      <c r="D8688" t="s">
        <v>11</v>
      </c>
      <c r="E8688" t="s">
        <v>20</v>
      </c>
      <c r="F8688">
        <v>82928360</v>
      </c>
      <c r="G8688">
        <v>82928360</v>
      </c>
      <c r="H8688">
        <v>82928360</v>
      </c>
      <c r="I8688">
        <v>82928360</v>
      </c>
    </row>
    <row r="8689" spans="1:9" x14ac:dyDescent="0.2">
      <c r="A8689" t="str">
        <f>"Gm21902"</f>
        <v>Gm21902</v>
      </c>
      <c r="B8689" t="s">
        <v>3472</v>
      </c>
      <c r="C8689" t="s">
        <v>63</v>
      </c>
      <c r="D8689" t="s">
        <v>11</v>
      </c>
      <c r="E8689" t="s">
        <v>20</v>
      </c>
      <c r="F8689">
        <v>53192561</v>
      </c>
      <c r="G8689">
        <v>53192561</v>
      </c>
      <c r="H8689">
        <v>53192561</v>
      </c>
      <c r="I8689">
        <v>53192561</v>
      </c>
    </row>
    <row r="8690" spans="1:9" x14ac:dyDescent="0.2">
      <c r="A8690" t="str">
        <f>"Gm21903"</f>
        <v>Gm21903</v>
      </c>
      <c r="B8690" t="s">
        <v>3473</v>
      </c>
      <c r="C8690" t="s">
        <v>28</v>
      </c>
      <c r="D8690" t="s">
        <v>11</v>
      </c>
      <c r="E8690" t="s">
        <v>20</v>
      </c>
      <c r="F8690">
        <v>39043340</v>
      </c>
      <c r="G8690">
        <v>39043340</v>
      </c>
      <c r="H8690">
        <v>39043340</v>
      </c>
      <c r="I8690">
        <v>39043340</v>
      </c>
    </row>
    <row r="8691" spans="1:9" x14ac:dyDescent="0.2">
      <c r="A8691" t="str">
        <f>"Gm21904"</f>
        <v>Gm21904</v>
      </c>
      <c r="B8691" t="s">
        <v>3474</v>
      </c>
      <c r="C8691" t="s">
        <v>63</v>
      </c>
      <c r="D8691" t="s">
        <v>11</v>
      </c>
      <c r="E8691" t="s">
        <v>20</v>
      </c>
      <c r="F8691">
        <v>17846265</v>
      </c>
      <c r="G8691">
        <v>17846265</v>
      </c>
      <c r="H8691">
        <v>17846265</v>
      </c>
      <c r="I8691">
        <v>17846265</v>
      </c>
    </row>
    <row r="8692" spans="1:9" x14ac:dyDescent="0.2">
      <c r="A8692" t="str">
        <f>"Gm21905"</f>
        <v>Gm21905</v>
      </c>
      <c r="B8692" t="s">
        <v>3475</v>
      </c>
      <c r="C8692" t="s">
        <v>46</v>
      </c>
      <c r="D8692" t="s">
        <v>11</v>
      </c>
      <c r="E8692" t="s">
        <v>20</v>
      </c>
      <c r="F8692">
        <v>67946420</v>
      </c>
      <c r="G8692">
        <v>67946420</v>
      </c>
      <c r="H8692">
        <v>67946420</v>
      </c>
      <c r="I8692">
        <v>67946420</v>
      </c>
    </row>
    <row r="8693" spans="1:9" x14ac:dyDescent="0.2">
      <c r="A8693" t="str">
        <f>"Gm21906"</f>
        <v>Gm21906</v>
      </c>
      <c r="B8693" t="s">
        <v>3476</v>
      </c>
      <c r="C8693" t="s">
        <v>63</v>
      </c>
      <c r="D8693" t="s">
        <v>11</v>
      </c>
      <c r="E8693" t="s">
        <v>20</v>
      </c>
      <c r="F8693">
        <v>53486000</v>
      </c>
      <c r="G8693">
        <v>53486000</v>
      </c>
      <c r="H8693">
        <v>53486000</v>
      </c>
      <c r="I8693">
        <v>53486000</v>
      </c>
    </row>
    <row r="8694" spans="1:9" x14ac:dyDescent="0.2">
      <c r="A8694" t="str">
        <f>"Gm21907"</f>
        <v>Gm21907</v>
      </c>
      <c r="B8694" t="s">
        <v>3477</v>
      </c>
      <c r="C8694" t="s">
        <v>63</v>
      </c>
      <c r="D8694" t="s">
        <v>17</v>
      </c>
      <c r="E8694" t="s">
        <v>20</v>
      </c>
      <c r="F8694">
        <v>23240329</v>
      </c>
      <c r="G8694">
        <v>23240329</v>
      </c>
      <c r="H8694">
        <v>23240329</v>
      </c>
      <c r="I8694">
        <v>23240329</v>
      </c>
    </row>
    <row r="8695" spans="1:9" x14ac:dyDescent="0.2">
      <c r="A8695" t="str">
        <f>"Gm21908"</f>
        <v>Gm21908</v>
      </c>
      <c r="B8695" t="s">
        <v>3478</v>
      </c>
      <c r="C8695" t="s">
        <v>63</v>
      </c>
      <c r="D8695" t="s">
        <v>11</v>
      </c>
      <c r="E8695" t="s">
        <v>20</v>
      </c>
      <c r="F8695">
        <v>31232676</v>
      </c>
      <c r="G8695">
        <v>31232676</v>
      </c>
      <c r="H8695">
        <v>31232676</v>
      </c>
      <c r="I8695">
        <v>31232676</v>
      </c>
    </row>
    <row r="8696" spans="1:9" x14ac:dyDescent="0.2">
      <c r="A8696" t="str">
        <f>"Gm21910"</f>
        <v>Gm21910</v>
      </c>
      <c r="B8696" t="s">
        <v>3479</v>
      </c>
      <c r="C8696" t="s">
        <v>63</v>
      </c>
      <c r="D8696" t="s">
        <v>17</v>
      </c>
      <c r="E8696" t="s">
        <v>20</v>
      </c>
      <c r="F8696">
        <v>66338620</v>
      </c>
      <c r="G8696">
        <v>66338620</v>
      </c>
      <c r="H8696">
        <v>66338620</v>
      </c>
      <c r="I8696">
        <v>66338620</v>
      </c>
    </row>
    <row r="8697" spans="1:9" x14ac:dyDescent="0.2">
      <c r="A8697" t="str">
        <f>"Gm21912"</f>
        <v>Gm21912</v>
      </c>
      <c r="B8697" t="s">
        <v>3480</v>
      </c>
      <c r="C8697" t="s">
        <v>63</v>
      </c>
      <c r="D8697" t="s">
        <v>11</v>
      </c>
      <c r="E8697" t="s">
        <v>20</v>
      </c>
      <c r="F8697">
        <v>54489810</v>
      </c>
      <c r="G8697">
        <v>54489810</v>
      </c>
      <c r="H8697">
        <v>54489810</v>
      </c>
      <c r="I8697">
        <v>54489810</v>
      </c>
    </row>
    <row r="8698" spans="1:9" x14ac:dyDescent="0.2">
      <c r="A8698" t="str">
        <f>"Gm21913"</f>
        <v>Gm21913</v>
      </c>
      <c r="B8698" t="s">
        <v>3481</v>
      </c>
      <c r="C8698" t="s">
        <v>63</v>
      </c>
      <c r="D8698" t="s">
        <v>17</v>
      </c>
      <c r="E8698" t="s">
        <v>20</v>
      </c>
      <c r="F8698">
        <v>74623895</v>
      </c>
      <c r="G8698">
        <v>74623895</v>
      </c>
      <c r="H8698">
        <v>74623895</v>
      </c>
      <c r="I8698">
        <v>74623895</v>
      </c>
    </row>
    <row r="8699" spans="1:9" x14ac:dyDescent="0.2">
      <c r="A8699" t="str">
        <f>"Gm21914"</f>
        <v>Gm21914</v>
      </c>
      <c r="B8699" t="s">
        <v>3482</v>
      </c>
      <c r="C8699" t="s">
        <v>63</v>
      </c>
      <c r="D8699" t="s">
        <v>11</v>
      </c>
      <c r="E8699" t="s">
        <v>20</v>
      </c>
      <c r="F8699">
        <v>40457263</v>
      </c>
      <c r="G8699">
        <v>40457263</v>
      </c>
      <c r="H8699">
        <v>40457263</v>
      </c>
      <c r="I8699">
        <v>40457263</v>
      </c>
    </row>
    <row r="8700" spans="1:9" x14ac:dyDescent="0.2">
      <c r="A8700" t="str">
        <f>"Gm21915"</f>
        <v>Gm21915</v>
      </c>
      <c r="B8700" t="s">
        <v>3483</v>
      </c>
      <c r="C8700" t="s">
        <v>24</v>
      </c>
      <c r="D8700" t="s">
        <v>17</v>
      </c>
      <c r="E8700" t="s">
        <v>20</v>
      </c>
      <c r="F8700">
        <v>40670612</v>
      </c>
      <c r="G8700">
        <v>40670612</v>
      </c>
      <c r="H8700">
        <v>40670612</v>
      </c>
      <c r="I8700">
        <v>40670612</v>
      </c>
    </row>
    <row r="8701" spans="1:9" x14ac:dyDescent="0.2">
      <c r="A8701" t="str">
        <f>"Gm21916"</f>
        <v>Gm21916</v>
      </c>
      <c r="B8701" t="s">
        <v>3484</v>
      </c>
      <c r="C8701" t="s">
        <v>63</v>
      </c>
      <c r="D8701" t="s">
        <v>17</v>
      </c>
      <c r="E8701" t="s">
        <v>20</v>
      </c>
      <c r="F8701">
        <v>33140703</v>
      </c>
      <c r="G8701">
        <v>33140703</v>
      </c>
      <c r="H8701">
        <v>33140703</v>
      </c>
      <c r="I8701">
        <v>33140703</v>
      </c>
    </row>
    <row r="8702" spans="1:9" x14ac:dyDescent="0.2">
      <c r="A8702" t="str">
        <f>"Gm21918"</f>
        <v>Gm21918</v>
      </c>
      <c r="B8702" t="s">
        <v>3485</v>
      </c>
      <c r="C8702" t="s">
        <v>63</v>
      </c>
      <c r="D8702" t="s">
        <v>17</v>
      </c>
      <c r="E8702" t="s">
        <v>20</v>
      </c>
      <c r="F8702">
        <v>60682606</v>
      </c>
      <c r="G8702">
        <v>60682606</v>
      </c>
      <c r="H8702">
        <v>60682606</v>
      </c>
      <c r="I8702">
        <v>60682606</v>
      </c>
    </row>
    <row r="8703" spans="1:9" x14ac:dyDescent="0.2">
      <c r="A8703" t="str">
        <f>"Gm21919"</f>
        <v>Gm21919</v>
      </c>
      <c r="B8703" t="s">
        <v>3486</v>
      </c>
      <c r="C8703" t="s">
        <v>63</v>
      </c>
      <c r="D8703" t="s">
        <v>11</v>
      </c>
      <c r="E8703" t="s">
        <v>20</v>
      </c>
      <c r="F8703">
        <v>81869219</v>
      </c>
      <c r="G8703">
        <v>81869219</v>
      </c>
      <c r="H8703">
        <v>81869219</v>
      </c>
      <c r="I8703">
        <v>81869219</v>
      </c>
    </row>
    <row r="8704" spans="1:9" x14ac:dyDescent="0.2">
      <c r="A8704" t="str">
        <f>"Gm21921"</f>
        <v>Gm21921</v>
      </c>
      <c r="B8704" t="s">
        <v>3487</v>
      </c>
      <c r="C8704" t="s">
        <v>63</v>
      </c>
      <c r="D8704" t="s">
        <v>11</v>
      </c>
      <c r="E8704" t="s">
        <v>20</v>
      </c>
      <c r="F8704">
        <v>24796242</v>
      </c>
      <c r="G8704">
        <v>24796242</v>
      </c>
      <c r="H8704">
        <v>24796242</v>
      </c>
      <c r="I8704">
        <v>24796242</v>
      </c>
    </row>
    <row r="8705" spans="1:9" x14ac:dyDescent="0.2">
      <c r="A8705" t="str">
        <f>"Gm21922"</f>
        <v>Gm21922</v>
      </c>
      <c r="B8705" t="s">
        <v>3488</v>
      </c>
      <c r="C8705" t="s">
        <v>63</v>
      </c>
      <c r="D8705" t="s">
        <v>11</v>
      </c>
      <c r="E8705" t="s">
        <v>20</v>
      </c>
      <c r="F8705">
        <v>75466371</v>
      </c>
      <c r="G8705">
        <v>75466371</v>
      </c>
      <c r="H8705">
        <v>75466371</v>
      </c>
      <c r="I8705">
        <v>75466371</v>
      </c>
    </row>
    <row r="8706" spans="1:9" x14ac:dyDescent="0.2">
      <c r="A8706" t="str">
        <f>"Gm21923"</f>
        <v>Gm21923</v>
      </c>
      <c r="B8706" t="s">
        <v>3489</v>
      </c>
      <c r="C8706" t="s">
        <v>63</v>
      </c>
      <c r="D8706" t="s">
        <v>11</v>
      </c>
      <c r="E8706" t="s">
        <v>20</v>
      </c>
      <c r="F8706">
        <v>49918208</v>
      </c>
      <c r="G8706">
        <v>49918208</v>
      </c>
      <c r="H8706">
        <v>49918208</v>
      </c>
      <c r="I8706">
        <v>49918208</v>
      </c>
    </row>
    <row r="8707" spans="1:9" x14ac:dyDescent="0.2">
      <c r="A8707" t="str">
        <f>"Gm21924"</f>
        <v>Gm21924</v>
      </c>
      <c r="B8707" t="s">
        <v>3490</v>
      </c>
      <c r="C8707" t="s">
        <v>63</v>
      </c>
      <c r="D8707" t="s">
        <v>17</v>
      </c>
      <c r="E8707" t="s">
        <v>20</v>
      </c>
      <c r="F8707">
        <v>38172993</v>
      </c>
      <c r="G8707">
        <v>38172993</v>
      </c>
      <c r="H8707">
        <v>38172993</v>
      </c>
      <c r="I8707">
        <v>38172993</v>
      </c>
    </row>
    <row r="8708" spans="1:9" x14ac:dyDescent="0.2">
      <c r="A8708" t="str">
        <f>"Gm21936"</f>
        <v>Gm21936</v>
      </c>
      <c r="B8708" t="s">
        <v>3491</v>
      </c>
      <c r="C8708" t="s">
        <v>16</v>
      </c>
      <c r="D8708" t="s">
        <v>17</v>
      </c>
      <c r="E8708" t="s">
        <v>20</v>
      </c>
      <c r="F8708">
        <v>87792579</v>
      </c>
      <c r="G8708">
        <v>87792579</v>
      </c>
      <c r="H8708">
        <v>87792579</v>
      </c>
      <c r="I8708">
        <v>87792579</v>
      </c>
    </row>
    <row r="8709" spans="1:9" x14ac:dyDescent="0.2">
      <c r="A8709" t="str">
        <f>"Gm21943"</f>
        <v>Gm21943</v>
      </c>
      <c r="B8709" t="s">
        <v>3492</v>
      </c>
      <c r="C8709" t="s">
        <v>63</v>
      </c>
      <c r="D8709" t="s">
        <v>11</v>
      </c>
      <c r="E8709" t="s">
        <v>20</v>
      </c>
      <c r="F8709">
        <v>57533725</v>
      </c>
      <c r="G8709">
        <v>57533725</v>
      </c>
      <c r="H8709">
        <v>57533725</v>
      </c>
      <c r="I8709">
        <v>57533725</v>
      </c>
    </row>
    <row r="8710" spans="1:9" x14ac:dyDescent="0.2">
      <c r="A8710" t="str">
        <f>"Gm21945"</f>
        <v>Gm21945</v>
      </c>
      <c r="B8710" t="s">
        <v>14</v>
      </c>
      <c r="C8710" t="s">
        <v>28</v>
      </c>
      <c r="D8710" t="s">
        <v>17</v>
      </c>
      <c r="E8710" t="s">
        <v>67</v>
      </c>
      <c r="F8710">
        <v>40632072</v>
      </c>
      <c r="G8710">
        <v>40632103</v>
      </c>
      <c r="H8710">
        <v>40632072</v>
      </c>
      <c r="I8710">
        <v>40632103</v>
      </c>
    </row>
    <row r="8711" spans="1:9" x14ac:dyDescent="0.2">
      <c r="A8711" t="str">
        <f>"Gm21946"</f>
        <v>Gm21946</v>
      </c>
      <c r="B8711" t="s">
        <v>3493</v>
      </c>
      <c r="C8711" t="s">
        <v>28</v>
      </c>
      <c r="D8711" t="s">
        <v>17</v>
      </c>
      <c r="E8711" t="s">
        <v>20</v>
      </c>
      <c r="F8711">
        <v>39953352</v>
      </c>
      <c r="G8711">
        <v>39953352</v>
      </c>
      <c r="H8711">
        <v>39953352</v>
      </c>
      <c r="I8711">
        <v>39953352</v>
      </c>
    </row>
    <row r="8712" spans="1:9" x14ac:dyDescent="0.2">
      <c r="A8712" t="str">
        <f>"Gm21947"</f>
        <v>Gm21947</v>
      </c>
      <c r="B8712" t="s">
        <v>3494</v>
      </c>
      <c r="C8712" t="s">
        <v>28</v>
      </c>
      <c r="D8712" t="s">
        <v>17</v>
      </c>
      <c r="E8712" t="s">
        <v>20</v>
      </c>
      <c r="F8712">
        <v>39038284</v>
      </c>
      <c r="G8712">
        <v>39038284</v>
      </c>
      <c r="H8712">
        <v>39038284</v>
      </c>
      <c r="I8712">
        <v>39038284</v>
      </c>
    </row>
    <row r="8713" spans="1:9" x14ac:dyDescent="0.2">
      <c r="A8713" t="str">
        <f>"Gm21950"</f>
        <v>Gm21950</v>
      </c>
      <c r="B8713" t="s">
        <v>3495</v>
      </c>
      <c r="C8713" t="s">
        <v>37</v>
      </c>
      <c r="D8713" t="s">
        <v>17</v>
      </c>
      <c r="E8713" t="s">
        <v>20</v>
      </c>
      <c r="F8713">
        <v>3076919</v>
      </c>
      <c r="G8713">
        <v>3076919</v>
      </c>
      <c r="H8713">
        <v>3076919</v>
      </c>
      <c r="I8713">
        <v>3076919</v>
      </c>
    </row>
    <row r="8714" spans="1:9" x14ac:dyDescent="0.2">
      <c r="A8714" t="str">
        <f>"Gm21951"</f>
        <v>Gm21951</v>
      </c>
      <c r="B8714" t="s">
        <v>3496</v>
      </c>
      <c r="C8714" t="s">
        <v>37</v>
      </c>
      <c r="D8714" t="s">
        <v>17</v>
      </c>
      <c r="E8714" t="s">
        <v>20</v>
      </c>
      <c r="F8714">
        <v>32726136</v>
      </c>
      <c r="G8714">
        <v>32726136</v>
      </c>
      <c r="H8714">
        <v>32726136</v>
      </c>
      <c r="I8714">
        <v>32726136</v>
      </c>
    </row>
    <row r="8715" spans="1:9" x14ac:dyDescent="0.2">
      <c r="A8715" t="str">
        <f>"Gm21953"</f>
        <v>Gm21953</v>
      </c>
      <c r="B8715" t="s">
        <v>3497</v>
      </c>
      <c r="C8715" t="s">
        <v>23</v>
      </c>
      <c r="D8715" t="s">
        <v>17</v>
      </c>
      <c r="E8715" t="s">
        <v>20</v>
      </c>
      <c r="F8715">
        <v>42294266</v>
      </c>
      <c r="G8715">
        <v>42294266</v>
      </c>
      <c r="H8715">
        <v>42294266</v>
      </c>
      <c r="I8715">
        <v>42294266</v>
      </c>
    </row>
    <row r="8716" spans="1:9" x14ac:dyDescent="0.2">
      <c r="A8716" t="str">
        <f>"Gm21954"</f>
        <v>Gm21954</v>
      </c>
      <c r="B8716" t="s">
        <v>3498</v>
      </c>
      <c r="C8716" t="s">
        <v>22</v>
      </c>
      <c r="D8716" t="s">
        <v>11</v>
      </c>
      <c r="E8716" t="s">
        <v>20</v>
      </c>
      <c r="F8716">
        <v>55472209</v>
      </c>
      <c r="G8716">
        <v>55472209</v>
      </c>
      <c r="H8716">
        <v>55472209</v>
      </c>
      <c r="I8716">
        <v>55472209</v>
      </c>
    </row>
    <row r="8717" spans="1:9" x14ac:dyDescent="0.2">
      <c r="A8717" t="str">
        <f>"Gm21955"</f>
        <v>Gm21955</v>
      </c>
      <c r="B8717" t="s">
        <v>3499</v>
      </c>
      <c r="C8717" t="s">
        <v>23</v>
      </c>
      <c r="D8717" t="s">
        <v>17</v>
      </c>
      <c r="E8717" t="s">
        <v>20</v>
      </c>
      <c r="F8717">
        <v>42714925</v>
      </c>
      <c r="G8717">
        <v>42714925</v>
      </c>
      <c r="H8717">
        <v>42714925</v>
      </c>
      <c r="I8717">
        <v>42714925</v>
      </c>
    </row>
    <row r="8718" spans="1:9" x14ac:dyDescent="0.2">
      <c r="A8718" t="str">
        <f>"Gm21956"</f>
        <v>Gm21956</v>
      </c>
      <c r="B8718" t="s">
        <v>3500</v>
      </c>
      <c r="C8718" t="s">
        <v>22</v>
      </c>
      <c r="D8718" t="s">
        <v>17</v>
      </c>
      <c r="E8718" t="s">
        <v>20</v>
      </c>
      <c r="F8718">
        <v>88376022</v>
      </c>
      <c r="G8718">
        <v>88376022</v>
      </c>
      <c r="H8718">
        <v>88376022</v>
      </c>
      <c r="I8718">
        <v>88376022</v>
      </c>
    </row>
    <row r="8719" spans="1:9" x14ac:dyDescent="0.2">
      <c r="A8719" t="str">
        <f>"Gm21957"</f>
        <v>Gm21957</v>
      </c>
      <c r="B8719" t="s">
        <v>3501</v>
      </c>
      <c r="C8719" t="s">
        <v>33</v>
      </c>
      <c r="D8719" t="s">
        <v>11</v>
      </c>
      <c r="E8719" t="s">
        <v>20</v>
      </c>
      <c r="F8719">
        <v>125219885</v>
      </c>
      <c r="G8719">
        <v>125219885</v>
      </c>
      <c r="H8719">
        <v>125219885</v>
      </c>
      <c r="I8719">
        <v>125219885</v>
      </c>
    </row>
    <row r="8720" spans="1:9" x14ac:dyDescent="0.2">
      <c r="A8720" t="str">
        <f>"Gm21958"</f>
        <v>Gm21958</v>
      </c>
      <c r="B8720" t="s">
        <v>3502</v>
      </c>
      <c r="C8720" t="s">
        <v>22</v>
      </c>
      <c r="D8720" t="s">
        <v>11</v>
      </c>
      <c r="E8720" t="s">
        <v>20</v>
      </c>
      <c r="F8720">
        <v>54714352</v>
      </c>
      <c r="G8720">
        <v>54714352</v>
      </c>
      <c r="H8720">
        <v>54714352</v>
      </c>
      <c r="I8720">
        <v>54714352</v>
      </c>
    </row>
    <row r="8721" spans="1:9" x14ac:dyDescent="0.2">
      <c r="A8721" t="str">
        <f>"Gm21961"</f>
        <v>Gm21961</v>
      </c>
      <c r="B8721" t="s">
        <v>3503</v>
      </c>
      <c r="C8721" t="s">
        <v>25</v>
      </c>
      <c r="D8721" t="s">
        <v>11</v>
      </c>
      <c r="E8721" t="s">
        <v>20</v>
      </c>
      <c r="F8721">
        <v>65014903</v>
      </c>
      <c r="G8721">
        <v>65014903</v>
      </c>
      <c r="H8721">
        <v>65014903</v>
      </c>
      <c r="I8721">
        <v>65014903</v>
      </c>
    </row>
    <row r="8722" spans="1:9" x14ac:dyDescent="0.2">
      <c r="A8722" t="str">
        <f>"Gm21962"</f>
        <v>Gm21962</v>
      </c>
      <c r="B8722" t="s">
        <v>3504</v>
      </c>
      <c r="C8722" t="s">
        <v>22</v>
      </c>
      <c r="D8722" t="s">
        <v>17</v>
      </c>
      <c r="E8722" t="s">
        <v>20</v>
      </c>
      <c r="F8722">
        <v>137671523</v>
      </c>
      <c r="G8722">
        <v>137671523</v>
      </c>
      <c r="H8722">
        <v>137671523</v>
      </c>
      <c r="I8722">
        <v>137671523</v>
      </c>
    </row>
    <row r="8723" spans="1:9" x14ac:dyDescent="0.2">
      <c r="A8723" t="str">
        <f>"Gm21964"</f>
        <v>Gm21964</v>
      </c>
      <c r="B8723" t="s">
        <v>3505</v>
      </c>
      <c r="C8723" t="s">
        <v>30</v>
      </c>
      <c r="D8723" t="s">
        <v>17</v>
      </c>
      <c r="E8723" t="s">
        <v>20</v>
      </c>
      <c r="F8723">
        <v>110109771</v>
      </c>
      <c r="G8723">
        <v>110109771</v>
      </c>
      <c r="H8723">
        <v>110109771</v>
      </c>
      <c r="I8723">
        <v>110109771</v>
      </c>
    </row>
    <row r="8724" spans="1:9" x14ac:dyDescent="0.2">
      <c r="A8724" t="str">
        <f>"Gm21966"</f>
        <v>Gm21966</v>
      </c>
      <c r="B8724" t="s">
        <v>3506</v>
      </c>
      <c r="C8724" t="s">
        <v>23</v>
      </c>
      <c r="D8724" t="s">
        <v>11</v>
      </c>
      <c r="E8724" t="s">
        <v>20</v>
      </c>
      <c r="F8724">
        <v>41870611</v>
      </c>
      <c r="G8724">
        <v>41870611</v>
      </c>
      <c r="H8724">
        <v>41870611</v>
      </c>
      <c r="I8724">
        <v>41870611</v>
      </c>
    </row>
    <row r="8725" spans="1:9" x14ac:dyDescent="0.2">
      <c r="A8725" t="str">
        <f>"Gm21967"</f>
        <v>Gm21967</v>
      </c>
      <c r="B8725" t="s">
        <v>3507</v>
      </c>
      <c r="C8725" t="s">
        <v>39</v>
      </c>
      <c r="D8725" t="s">
        <v>17</v>
      </c>
      <c r="E8725" t="s">
        <v>20</v>
      </c>
      <c r="F8725">
        <v>119606649</v>
      </c>
      <c r="G8725">
        <v>119606649</v>
      </c>
      <c r="H8725">
        <v>119606649</v>
      </c>
      <c r="I8725">
        <v>119606649</v>
      </c>
    </row>
    <row r="8726" spans="1:9" x14ac:dyDescent="0.2">
      <c r="A8726" t="str">
        <f>"Gm21968"</f>
        <v>Gm21968</v>
      </c>
      <c r="B8726" t="s">
        <v>3508</v>
      </c>
      <c r="C8726" t="s">
        <v>23</v>
      </c>
      <c r="D8726" t="s">
        <v>11</v>
      </c>
      <c r="E8726" t="s">
        <v>20</v>
      </c>
      <c r="F8726">
        <v>42084290</v>
      </c>
      <c r="G8726">
        <v>42084290</v>
      </c>
      <c r="H8726">
        <v>42084290</v>
      </c>
      <c r="I8726">
        <v>42084290</v>
      </c>
    </row>
    <row r="8727" spans="1:9" x14ac:dyDescent="0.2">
      <c r="A8727" t="str">
        <f>"Gm21969"</f>
        <v>Gm21969</v>
      </c>
      <c r="B8727" t="s">
        <v>3509</v>
      </c>
      <c r="C8727" t="s">
        <v>23</v>
      </c>
      <c r="D8727" t="s">
        <v>17</v>
      </c>
      <c r="E8727" t="s">
        <v>20</v>
      </c>
      <c r="F8727">
        <v>139603185</v>
      </c>
      <c r="G8727">
        <v>139603185</v>
      </c>
      <c r="H8727">
        <v>139603185</v>
      </c>
      <c r="I8727">
        <v>139603185</v>
      </c>
    </row>
    <row r="8728" spans="1:9" x14ac:dyDescent="0.2">
      <c r="A8728" t="str">
        <f>"Gm21970"</f>
        <v>Gm21970</v>
      </c>
      <c r="B8728" t="s">
        <v>3510</v>
      </c>
      <c r="C8728" t="s">
        <v>31</v>
      </c>
      <c r="D8728" t="s">
        <v>17</v>
      </c>
      <c r="E8728" t="s">
        <v>20</v>
      </c>
      <c r="F8728">
        <v>91391720</v>
      </c>
      <c r="G8728">
        <v>91391720</v>
      </c>
      <c r="H8728">
        <v>91391720</v>
      </c>
      <c r="I8728">
        <v>91391720</v>
      </c>
    </row>
    <row r="8729" spans="1:9" x14ac:dyDescent="0.2">
      <c r="A8729" t="str">
        <f>"Gm21972"</f>
        <v>Gm21972</v>
      </c>
      <c r="B8729" t="s">
        <v>3511</v>
      </c>
      <c r="C8729" t="s">
        <v>19</v>
      </c>
      <c r="D8729" t="s">
        <v>17</v>
      </c>
      <c r="E8729" t="s">
        <v>35</v>
      </c>
      <c r="F8729">
        <v>86133741</v>
      </c>
      <c r="G8729">
        <v>86133745</v>
      </c>
      <c r="H8729">
        <v>86133741</v>
      </c>
      <c r="I8729">
        <v>86133745</v>
      </c>
    </row>
    <row r="8730" spans="1:9" x14ac:dyDescent="0.2">
      <c r="A8730" t="str">
        <f>"Gm21973"</f>
        <v>Gm21973</v>
      </c>
      <c r="B8730" t="s">
        <v>3512</v>
      </c>
      <c r="C8730" t="s">
        <v>25</v>
      </c>
      <c r="D8730" t="s">
        <v>17</v>
      </c>
      <c r="E8730" t="s">
        <v>20</v>
      </c>
      <c r="F8730">
        <v>10325379</v>
      </c>
      <c r="G8730">
        <v>10325379</v>
      </c>
      <c r="H8730">
        <v>10325379</v>
      </c>
      <c r="I8730">
        <v>10325379</v>
      </c>
    </row>
    <row r="8731" spans="1:9" x14ac:dyDescent="0.2">
      <c r="A8731" t="str">
        <f>"Gm21974"</f>
        <v>Gm21974</v>
      </c>
      <c r="B8731" t="s">
        <v>14</v>
      </c>
      <c r="C8731" t="s">
        <v>33</v>
      </c>
      <c r="D8731" t="s">
        <v>11</v>
      </c>
      <c r="E8731" t="s">
        <v>67</v>
      </c>
      <c r="F8731">
        <v>127895578</v>
      </c>
      <c r="G8731">
        <v>127895647</v>
      </c>
      <c r="H8731">
        <v>127895578</v>
      </c>
      <c r="I8731">
        <v>127895647</v>
      </c>
    </row>
    <row r="8732" spans="1:9" x14ac:dyDescent="0.2">
      <c r="A8732" t="str">
        <f>"Gm21975"</f>
        <v>Gm21975</v>
      </c>
      <c r="B8732" t="s">
        <v>14</v>
      </c>
      <c r="C8732" t="s">
        <v>27</v>
      </c>
      <c r="D8732" t="s">
        <v>11</v>
      </c>
      <c r="E8732" t="s">
        <v>67</v>
      </c>
      <c r="F8732">
        <v>79530569</v>
      </c>
      <c r="G8732">
        <v>79530595</v>
      </c>
      <c r="H8732">
        <v>79530569</v>
      </c>
      <c r="I8732">
        <v>79530595</v>
      </c>
    </row>
    <row r="8733" spans="1:9" x14ac:dyDescent="0.2">
      <c r="A8733" t="str">
        <f>"Gm21976"</f>
        <v>Gm21976</v>
      </c>
      <c r="B8733" t="s">
        <v>3513</v>
      </c>
      <c r="C8733" t="s">
        <v>39</v>
      </c>
      <c r="D8733" t="s">
        <v>17</v>
      </c>
      <c r="E8733" t="s">
        <v>20</v>
      </c>
      <c r="F8733">
        <v>98279914</v>
      </c>
      <c r="G8733">
        <v>98279914</v>
      </c>
      <c r="H8733">
        <v>98279914</v>
      </c>
      <c r="I8733">
        <v>98279914</v>
      </c>
    </row>
    <row r="8734" spans="1:9" x14ac:dyDescent="0.2">
      <c r="A8734" t="str">
        <f>"Gm21977"</f>
        <v>Gm21977</v>
      </c>
      <c r="B8734" t="s">
        <v>3514</v>
      </c>
      <c r="C8734" t="s">
        <v>41</v>
      </c>
      <c r="D8734" t="s">
        <v>11</v>
      </c>
      <c r="E8734" t="s">
        <v>20</v>
      </c>
      <c r="F8734">
        <v>42853476</v>
      </c>
      <c r="G8734">
        <v>42853476</v>
      </c>
      <c r="H8734">
        <v>42853476</v>
      </c>
      <c r="I8734">
        <v>42853476</v>
      </c>
    </row>
    <row r="8735" spans="1:9" x14ac:dyDescent="0.2">
      <c r="A8735" t="str">
        <f>"Gm21981"</f>
        <v>Gm21981</v>
      </c>
      <c r="B8735" t="s">
        <v>14</v>
      </c>
      <c r="C8735" t="s">
        <v>28</v>
      </c>
      <c r="D8735" t="s">
        <v>11</v>
      </c>
      <c r="E8735" t="s">
        <v>67</v>
      </c>
      <c r="F8735">
        <v>47694733</v>
      </c>
      <c r="G8735">
        <v>47694755</v>
      </c>
      <c r="H8735">
        <v>47694909</v>
      </c>
      <c r="I8735">
        <v>47694943</v>
      </c>
    </row>
    <row r="8736" spans="1:9" x14ac:dyDescent="0.2">
      <c r="A8736" t="str">
        <f>"Gm21983"</f>
        <v>Gm21983</v>
      </c>
      <c r="B8736" t="s">
        <v>14</v>
      </c>
      <c r="C8736" t="s">
        <v>33</v>
      </c>
      <c r="D8736" t="s">
        <v>11</v>
      </c>
      <c r="E8736" t="s">
        <v>67</v>
      </c>
      <c r="F8736">
        <v>27181047</v>
      </c>
      <c r="G8736">
        <v>27181137</v>
      </c>
      <c r="H8736">
        <v>27181151</v>
      </c>
      <c r="I8736">
        <v>27181162</v>
      </c>
    </row>
    <row r="8737" spans="1:9" x14ac:dyDescent="0.2">
      <c r="A8737" t="str">
        <f>"Gm21985"</f>
        <v>Gm21985</v>
      </c>
      <c r="B8737" t="s">
        <v>3515</v>
      </c>
      <c r="C8737" t="s">
        <v>26</v>
      </c>
      <c r="D8737" t="s">
        <v>17</v>
      </c>
      <c r="E8737" t="s">
        <v>35</v>
      </c>
      <c r="F8737">
        <v>112266187</v>
      </c>
      <c r="G8737">
        <v>112266230</v>
      </c>
      <c r="H8737">
        <v>112266456</v>
      </c>
      <c r="I8737">
        <v>112266504</v>
      </c>
    </row>
    <row r="8738" spans="1:9" x14ac:dyDescent="0.2">
      <c r="A8738" t="str">
        <f>"Gm21987"</f>
        <v>Gm21987</v>
      </c>
      <c r="B8738" t="s">
        <v>14</v>
      </c>
      <c r="C8738" t="s">
        <v>31</v>
      </c>
      <c r="D8738" t="s">
        <v>17</v>
      </c>
      <c r="E8738" t="s">
        <v>67</v>
      </c>
      <c r="F8738">
        <v>38346986</v>
      </c>
      <c r="G8738">
        <v>38347050</v>
      </c>
      <c r="H8738">
        <v>38347073</v>
      </c>
      <c r="I8738">
        <v>38347084</v>
      </c>
    </row>
    <row r="8739" spans="1:9" x14ac:dyDescent="0.2">
      <c r="A8739" t="str">
        <f>"Gm21988"</f>
        <v>Gm21988</v>
      </c>
      <c r="B8739" t="s">
        <v>14</v>
      </c>
      <c r="C8739" t="s">
        <v>27</v>
      </c>
      <c r="D8739" t="s">
        <v>11</v>
      </c>
      <c r="E8739" t="s">
        <v>67</v>
      </c>
      <c r="F8739">
        <v>70239794</v>
      </c>
      <c r="G8739">
        <v>70239860</v>
      </c>
      <c r="H8739">
        <v>70239766</v>
      </c>
      <c r="I8739">
        <v>70239772</v>
      </c>
    </row>
    <row r="8740" spans="1:9" x14ac:dyDescent="0.2">
      <c r="A8740" t="str">
        <f>"Gm21992"</f>
        <v>Gm21992</v>
      </c>
      <c r="B8740" t="s">
        <v>14</v>
      </c>
      <c r="C8740" t="s">
        <v>10</v>
      </c>
      <c r="D8740" t="s">
        <v>11</v>
      </c>
      <c r="E8740" t="s">
        <v>67</v>
      </c>
      <c r="F8740">
        <v>4811589</v>
      </c>
      <c r="G8740">
        <v>4811619</v>
      </c>
      <c r="H8740">
        <v>4811589</v>
      </c>
      <c r="I8740">
        <v>4811619</v>
      </c>
    </row>
    <row r="8741" spans="1:9" x14ac:dyDescent="0.2">
      <c r="A8741" t="str">
        <f>"Gm21994"</f>
        <v>Gm21994</v>
      </c>
      <c r="B8741" t="s">
        <v>3516</v>
      </c>
      <c r="C8741" t="s">
        <v>26</v>
      </c>
      <c r="D8741" t="s">
        <v>11</v>
      </c>
      <c r="E8741" t="s">
        <v>20</v>
      </c>
      <c r="F8741">
        <v>150255590</v>
      </c>
      <c r="G8741">
        <v>150255590</v>
      </c>
      <c r="H8741">
        <v>150255590</v>
      </c>
      <c r="I8741">
        <v>150255590</v>
      </c>
    </row>
    <row r="8742" spans="1:9" x14ac:dyDescent="0.2">
      <c r="A8742" t="str">
        <f>"Gm22"</f>
        <v>Gm22</v>
      </c>
      <c r="B8742" t="s">
        <v>3517</v>
      </c>
      <c r="C8742" t="s">
        <v>30</v>
      </c>
      <c r="D8742" t="s">
        <v>17</v>
      </c>
      <c r="E8742" t="s">
        <v>20</v>
      </c>
      <c r="F8742">
        <v>122269568</v>
      </c>
      <c r="G8742">
        <v>122269568</v>
      </c>
      <c r="H8742">
        <v>122269568</v>
      </c>
      <c r="I8742">
        <v>122269568</v>
      </c>
    </row>
    <row r="8743" spans="1:9" x14ac:dyDescent="0.2">
      <c r="A8743" t="str">
        <f>"Gm2237"</f>
        <v>Gm2237</v>
      </c>
      <c r="B8743" t="s">
        <v>14</v>
      </c>
      <c r="C8743" t="s">
        <v>41</v>
      </c>
      <c r="D8743" t="s">
        <v>11</v>
      </c>
      <c r="E8743" t="s">
        <v>67</v>
      </c>
      <c r="F8743">
        <v>19585145</v>
      </c>
      <c r="G8743">
        <v>19585189</v>
      </c>
      <c r="H8743">
        <v>19585145</v>
      </c>
      <c r="I8743">
        <v>19585189</v>
      </c>
    </row>
    <row r="8744" spans="1:9" x14ac:dyDescent="0.2">
      <c r="A8744" t="str">
        <f>"Gm2244"</f>
        <v>Gm2244</v>
      </c>
      <c r="B8744" t="s">
        <v>3518</v>
      </c>
      <c r="C8744" t="s">
        <v>41</v>
      </c>
      <c r="D8744" t="s">
        <v>11</v>
      </c>
      <c r="E8744" t="s">
        <v>20</v>
      </c>
      <c r="F8744">
        <v>19549957</v>
      </c>
      <c r="G8744">
        <v>19549957</v>
      </c>
      <c r="H8744">
        <v>19549957</v>
      </c>
      <c r="I8744">
        <v>19549957</v>
      </c>
    </row>
    <row r="8745" spans="1:9" x14ac:dyDescent="0.2">
      <c r="A8745" t="str">
        <f>"Gm2310"</f>
        <v>Gm2310</v>
      </c>
      <c r="B8745" t="s">
        <v>3519</v>
      </c>
      <c r="C8745" t="s">
        <v>25</v>
      </c>
      <c r="D8745" t="s">
        <v>11</v>
      </c>
      <c r="E8745" t="s">
        <v>20</v>
      </c>
      <c r="F8745">
        <v>8519952</v>
      </c>
      <c r="G8745">
        <v>8519952</v>
      </c>
      <c r="H8745">
        <v>8519952</v>
      </c>
      <c r="I8745">
        <v>8519952</v>
      </c>
    </row>
    <row r="8746" spans="1:9" x14ac:dyDescent="0.2">
      <c r="A8746" t="str">
        <f>"Gm2381"</f>
        <v>Gm2381</v>
      </c>
      <c r="B8746" t="s">
        <v>14</v>
      </c>
      <c r="C8746" t="s">
        <v>33</v>
      </c>
      <c r="D8746" t="s">
        <v>11</v>
      </c>
      <c r="E8746" t="s">
        <v>12</v>
      </c>
      <c r="F8746">
        <v>42867222</v>
      </c>
      <c r="G8746">
        <v>42867261</v>
      </c>
      <c r="H8746">
        <v>42867222</v>
      </c>
      <c r="I8746">
        <v>42867261</v>
      </c>
    </row>
    <row r="8747" spans="1:9" x14ac:dyDescent="0.2">
      <c r="A8747" t="str">
        <f>"Gm2382"</f>
        <v>Gm2382</v>
      </c>
      <c r="B8747" t="s">
        <v>3520</v>
      </c>
      <c r="C8747" t="s">
        <v>24</v>
      </c>
      <c r="D8747" t="s">
        <v>11</v>
      </c>
      <c r="E8747" t="s">
        <v>20</v>
      </c>
      <c r="F8747">
        <v>88719797</v>
      </c>
      <c r="G8747">
        <v>88719797</v>
      </c>
      <c r="H8747">
        <v>88719797</v>
      </c>
      <c r="I8747">
        <v>88719797</v>
      </c>
    </row>
    <row r="8748" spans="1:9" x14ac:dyDescent="0.2">
      <c r="A8748" t="str">
        <f>"Gm2399"</f>
        <v>Gm2399</v>
      </c>
      <c r="B8748" t="s">
        <v>3521</v>
      </c>
      <c r="C8748" t="s">
        <v>39</v>
      </c>
      <c r="D8748" t="s">
        <v>17</v>
      </c>
      <c r="E8748" t="s">
        <v>20</v>
      </c>
      <c r="F8748">
        <v>12702361</v>
      </c>
      <c r="G8748">
        <v>12702361</v>
      </c>
      <c r="H8748">
        <v>12702361</v>
      </c>
      <c r="I8748">
        <v>12702361</v>
      </c>
    </row>
    <row r="8749" spans="1:9" x14ac:dyDescent="0.2">
      <c r="A8749" t="str">
        <f>"Gm2431"</f>
        <v>Gm2431</v>
      </c>
      <c r="B8749" t="s">
        <v>3522</v>
      </c>
      <c r="C8749" t="s">
        <v>33</v>
      </c>
      <c r="D8749" t="s">
        <v>11</v>
      </c>
      <c r="E8749" t="s">
        <v>20</v>
      </c>
      <c r="F8749">
        <v>142258353</v>
      </c>
      <c r="G8749">
        <v>142258353</v>
      </c>
      <c r="H8749">
        <v>142258353</v>
      </c>
      <c r="I8749">
        <v>142258353</v>
      </c>
    </row>
    <row r="8750" spans="1:9" x14ac:dyDescent="0.2">
      <c r="A8750" t="str">
        <f>"Gm2564"</f>
        <v>Gm2564</v>
      </c>
      <c r="B8750" t="s">
        <v>3523</v>
      </c>
      <c r="C8750" t="s">
        <v>23</v>
      </c>
      <c r="D8750" t="s">
        <v>17</v>
      </c>
      <c r="E8750" t="s">
        <v>20</v>
      </c>
      <c r="F8750">
        <v>42629718</v>
      </c>
      <c r="G8750">
        <v>42629718</v>
      </c>
      <c r="H8750">
        <v>42629718</v>
      </c>
      <c r="I8750">
        <v>42629718</v>
      </c>
    </row>
    <row r="8751" spans="1:9" x14ac:dyDescent="0.2">
      <c r="A8751" t="str">
        <f>"Gm2617"</f>
        <v>Gm2617</v>
      </c>
      <c r="B8751" t="s">
        <v>3524</v>
      </c>
      <c r="C8751" t="s">
        <v>10</v>
      </c>
      <c r="D8751" t="s">
        <v>11</v>
      </c>
      <c r="E8751" t="s">
        <v>20</v>
      </c>
      <c r="F8751">
        <v>9324482</v>
      </c>
      <c r="G8751">
        <v>9324482</v>
      </c>
      <c r="H8751">
        <v>9324482</v>
      </c>
      <c r="I8751">
        <v>9324482</v>
      </c>
    </row>
    <row r="8752" spans="1:9" x14ac:dyDescent="0.2">
      <c r="A8752" t="str">
        <f>"Gm26524"</f>
        <v>Gm26524</v>
      </c>
      <c r="B8752" t="s">
        <v>3525</v>
      </c>
      <c r="C8752" t="s">
        <v>19</v>
      </c>
      <c r="D8752" t="s">
        <v>17</v>
      </c>
      <c r="E8752" t="s">
        <v>20</v>
      </c>
      <c r="F8752">
        <v>24005504</v>
      </c>
      <c r="G8752">
        <v>24005504</v>
      </c>
      <c r="H8752">
        <v>24005504</v>
      </c>
      <c r="I8752">
        <v>24005504</v>
      </c>
    </row>
    <row r="8753" spans="1:9" x14ac:dyDescent="0.2">
      <c r="A8753" t="str">
        <f>"Gm26529"</f>
        <v>Gm26529</v>
      </c>
      <c r="B8753" t="s">
        <v>3526</v>
      </c>
      <c r="C8753" t="s">
        <v>33</v>
      </c>
      <c r="D8753" t="s">
        <v>17</v>
      </c>
      <c r="E8753" t="s">
        <v>35</v>
      </c>
      <c r="F8753">
        <v>89980729</v>
      </c>
      <c r="G8753">
        <v>89980758</v>
      </c>
      <c r="H8753">
        <v>89980729</v>
      </c>
      <c r="I8753">
        <v>89980758</v>
      </c>
    </row>
    <row r="8754" spans="1:9" x14ac:dyDescent="0.2">
      <c r="A8754" t="str">
        <f>"Gm26558"</f>
        <v>Gm26558</v>
      </c>
      <c r="B8754" t="s">
        <v>3527</v>
      </c>
      <c r="C8754" t="s">
        <v>26</v>
      </c>
      <c r="D8754" t="s">
        <v>11</v>
      </c>
      <c r="E8754" t="s">
        <v>20</v>
      </c>
      <c r="F8754">
        <v>70662107</v>
      </c>
      <c r="G8754">
        <v>70662107</v>
      </c>
      <c r="H8754">
        <v>70662107</v>
      </c>
      <c r="I8754">
        <v>70662107</v>
      </c>
    </row>
    <row r="8755" spans="1:9" x14ac:dyDescent="0.2">
      <c r="A8755" t="str">
        <f>"Gm26566"</f>
        <v>Gm26566</v>
      </c>
      <c r="B8755" t="s">
        <v>3528</v>
      </c>
      <c r="C8755" t="s">
        <v>23</v>
      </c>
      <c r="D8755" t="s">
        <v>17</v>
      </c>
      <c r="E8755" t="s">
        <v>35</v>
      </c>
      <c r="F8755">
        <v>88721931</v>
      </c>
      <c r="G8755">
        <v>88721933</v>
      </c>
      <c r="H8755">
        <v>88721931</v>
      </c>
      <c r="I8755">
        <v>88721933</v>
      </c>
    </row>
    <row r="8756" spans="1:9" x14ac:dyDescent="0.2">
      <c r="A8756" t="str">
        <f>"Gm26571"</f>
        <v>Gm26571</v>
      </c>
      <c r="B8756" t="s">
        <v>3529</v>
      </c>
      <c r="C8756" t="s">
        <v>16</v>
      </c>
      <c r="D8756" t="s">
        <v>11</v>
      </c>
      <c r="E8756" t="s">
        <v>35</v>
      </c>
      <c r="F8756">
        <v>83951390</v>
      </c>
      <c r="G8756">
        <v>83951401</v>
      </c>
      <c r="H8756">
        <v>83951390</v>
      </c>
      <c r="I8756">
        <v>83951401</v>
      </c>
    </row>
    <row r="8757" spans="1:9" x14ac:dyDescent="0.2">
      <c r="A8757" t="str">
        <f>"Gm26596"</f>
        <v>Gm26596</v>
      </c>
      <c r="B8757" t="s">
        <v>3530</v>
      </c>
      <c r="C8757" t="s">
        <v>15</v>
      </c>
      <c r="D8757" t="s">
        <v>17</v>
      </c>
      <c r="E8757" t="s">
        <v>35</v>
      </c>
      <c r="F8757">
        <v>112928339</v>
      </c>
      <c r="G8757">
        <v>112928354</v>
      </c>
      <c r="H8757">
        <v>112928339</v>
      </c>
      <c r="I8757">
        <v>112928354</v>
      </c>
    </row>
    <row r="8758" spans="1:9" x14ac:dyDescent="0.2">
      <c r="A8758" t="str">
        <f>"Gm266"</f>
        <v>Gm266</v>
      </c>
      <c r="B8758" t="s">
        <v>14</v>
      </c>
      <c r="C8758" t="s">
        <v>16</v>
      </c>
      <c r="D8758" t="s">
        <v>11</v>
      </c>
      <c r="E8758" t="s">
        <v>12</v>
      </c>
      <c r="F8758">
        <v>111485773</v>
      </c>
      <c r="G8758">
        <v>111485804</v>
      </c>
      <c r="H8758">
        <v>111485808</v>
      </c>
      <c r="I8758">
        <v>111485826</v>
      </c>
    </row>
    <row r="8759" spans="1:9" x14ac:dyDescent="0.2">
      <c r="A8759" t="str">
        <f>"Gm26602"</f>
        <v>Gm26602</v>
      </c>
      <c r="B8759" t="s">
        <v>3531</v>
      </c>
      <c r="C8759" t="s">
        <v>15</v>
      </c>
      <c r="D8759" t="s">
        <v>17</v>
      </c>
      <c r="E8759" t="s">
        <v>20</v>
      </c>
      <c r="F8759">
        <v>79910855</v>
      </c>
      <c r="G8759">
        <v>79910855</v>
      </c>
      <c r="H8759">
        <v>79910855</v>
      </c>
      <c r="I8759">
        <v>79910855</v>
      </c>
    </row>
    <row r="8760" spans="1:9" x14ac:dyDescent="0.2">
      <c r="A8760" t="str">
        <f>"Gm26605"</f>
        <v>Gm26605</v>
      </c>
      <c r="B8760" t="s">
        <v>3532</v>
      </c>
      <c r="C8760" t="s">
        <v>46</v>
      </c>
      <c r="D8760" t="s">
        <v>17</v>
      </c>
      <c r="E8760" t="s">
        <v>35</v>
      </c>
      <c r="F8760">
        <v>36796186</v>
      </c>
      <c r="G8760">
        <v>36796198</v>
      </c>
      <c r="H8760">
        <v>36796186</v>
      </c>
      <c r="I8760">
        <v>36796198</v>
      </c>
    </row>
    <row r="8761" spans="1:9" x14ac:dyDescent="0.2">
      <c r="A8761" t="str">
        <f>"Gm26616"</f>
        <v>Gm26616</v>
      </c>
      <c r="B8761" t="s">
        <v>3533</v>
      </c>
      <c r="C8761" t="s">
        <v>19</v>
      </c>
      <c r="D8761" t="s">
        <v>11</v>
      </c>
      <c r="E8761" t="s">
        <v>20</v>
      </c>
      <c r="F8761">
        <v>133131781</v>
      </c>
      <c r="G8761">
        <v>133131781</v>
      </c>
      <c r="H8761">
        <v>133131781</v>
      </c>
      <c r="I8761">
        <v>133131781</v>
      </c>
    </row>
    <row r="8762" spans="1:9" x14ac:dyDescent="0.2">
      <c r="A8762" t="str">
        <f>"Gm26620"</f>
        <v>Gm26620</v>
      </c>
      <c r="B8762" t="s">
        <v>3534</v>
      </c>
      <c r="C8762" t="s">
        <v>19</v>
      </c>
      <c r="D8762" t="s">
        <v>17</v>
      </c>
      <c r="E8762" t="s">
        <v>20</v>
      </c>
      <c r="F8762">
        <v>170885064</v>
      </c>
      <c r="G8762">
        <v>170885064</v>
      </c>
      <c r="H8762">
        <v>170885064</v>
      </c>
      <c r="I8762">
        <v>170885064</v>
      </c>
    </row>
    <row r="8763" spans="1:9" x14ac:dyDescent="0.2">
      <c r="A8763" t="str">
        <f>"Gm2663"</f>
        <v>Gm2663</v>
      </c>
      <c r="B8763" t="s">
        <v>14</v>
      </c>
      <c r="C8763" t="s">
        <v>32</v>
      </c>
      <c r="D8763" t="s">
        <v>11</v>
      </c>
      <c r="E8763" t="s">
        <v>12</v>
      </c>
      <c r="F8763">
        <v>40999479</v>
      </c>
      <c r="G8763">
        <v>40999498</v>
      </c>
      <c r="H8763">
        <v>40999466</v>
      </c>
      <c r="I8763">
        <v>40999468</v>
      </c>
    </row>
    <row r="8764" spans="1:9" x14ac:dyDescent="0.2">
      <c r="A8764" t="str">
        <f>"Gm26657"</f>
        <v>Gm26657</v>
      </c>
      <c r="B8764" t="s">
        <v>3535</v>
      </c>
      <c r="C8764" t="s">
        <v>23</v>
      </c>
      <c r="D8764" t="s">
        <v>17</v>
      </c>
      <c r="E8764" t="s">
        <v>20</v>
      </c>
      <c r="F8764">
        <v>56740069</v>
      </c>
      <c r="G8764">
        <v>56740069</v>
      </c>
      <c r="H8764">
        <v>56740069</v>
      </c>
      <c r="I8764">
        <v>56740069</v>
      </c>
    </row>
    <row r="8765" spans="1:9" x14ac:dyDescent="0.2">
      <c r="A8765" t="str">
        <f>"Gm26661"</f>
        <v>Gm26661</v>
      </c>
      <c r="B8765" t="s">
        <v>3536</v>
      </c>
      <c r="C8765" t="s">
        <v>41</v>
      </c>
      <c r="D8765" t="s">
        <v>17</v>
      </c>
      <c r="E8765" t="s">
        <v>20</v>
      </c>
      <c r="F8765">
        <v>7791586</v>
      </c>
      <c r="G8765">
        <v>7791586</v>
      </c>
      <c r="H8765">
        <v>7791586</v>
      </c>
      <c r="I8765">
        <v>7791586</v>
      </c>
    </row>
    <row r="8766" spans="1:9" x14ac:dyDescent="0.2">
      <c r="A8766" t="str">
        <f>"Gm26727"</f>
        <v>Gm26727</v>
      </c>
      <c r="B8766" t="s">
        <v>3537</v>
      </c>
      <c r="C8766" t="s">
        <v>26</v>
      </c>
      <c r="D8766" t="s">
        <v>11</v>
      </c>
      <c r="E8766" t="s">
        <v>20</v>
      </c>
      <c r="F8766">
        <v>67433180</v>
      </c>
      <c r="G8766">
        <v>67433180</v>
      </c>
      <c r="H8766">
        <v>67433180</v>
      </c>
      <c r="I8766">
        <v>67433180</v>
      </c>
    </row>
    <row r="8767" spans="1:9" x14ac:dyDescent="0.2">
      <c r="A8767" t="str">
        <f>"Gm26741"</f>
        <v>Gm26741</v>
      </c>
      <c r="B8767" t="s">
        <v>3538</v>
      </c>
      <c r="C8767" t="s">
        <v>15</v>
      </c>
      <c r="D8767" t="s">
        <v>17</v>
      </c>
      <c r="E8767" t="s">
        <v>20</v>
      </c>
      <c r="F8767">
        <v>52358766</v>
      </c>
      <c r="G8767">
        <v>52358766</v>
      </c>
      <c r="H8767">
        <v>52358766</v>
      </c>
      <c r="I8767">
        <v>52358766</v>
      </c>
    </row>
    <row r="8768" spans="1:9" x14ac:dyDescent="0.2">
      <c r="A8768" t="str">
        <f>"Gm26897"</f>
        <v>Gm26897</v>
      </c>
      <c r="B8768" t="s">
        <v>3539</v>
      </c>
      <c r="C8768" t="s">
        <v>46</v>
      </c>
      <c r="D8768" t="s">
        <v>17</v>
      </c>
      <c r="E8768" t="s">
        <v>20</v>
      </c>
      <c r="F8768">
        <v>111733923</v>
      </c>
      <c r="G8768">
        <v>111733923</v>
      </c>
      <c r="H8768">
        <v>111733923</v>
      </c>
      <c r="I8768">
        <v>111733923</v>
      </c>
    </row>
    <row r="8769" spans="1:9" x14ac:dyDescent="0.2">
      <c r="A8769" t="str">
        <f>"Gm26919"</f>
        <v>Gm26919</v>
      </c>
      <c r="B8769" t="s">
        <v>3540</v>
      </c>
      <c r="C8769" t="s">
        <v>32</v>
      </c>
      <c r="D8769" t="s">
        <v>11</v>
      </c>
      <c r="E8769" t="s">
        <v>20</v>
      </c>
      <c r="F8769">
        <v>130699015</v>
      </c>
      <c r="G8769">
        <v>130699015</v>
      </c>
      <c r="H8769">
        <v>130699015</v>
      </c>
      <c r="I8769">
        <v>130699015</v>
      </c>
    </row>
    <row r="8770" spans="1:9" x14ac:dyDescent="0.2">
      <c r="A8770" t="str">
        <f>"Gm26920"</f>
        <v>Gm26920</v>
      </c>
      <c r="B8770" t="s">
        <v>14</v>
      </c>
      <c r="C8770" t="s">
        <v>33</v>
      </c>
      <c r="D8770" t="s">
        <v>11</v>
      </c>
      <c r="E8770" t="s">
        <v>67</v>
      </c>
      <c r="F8770">
        <v>30090471</v>
      </c>
      <c r="G8770">
        <v>30090536</v>
      </c>
      <c r="H8770">
        <v>30090399</v>
      </c>
      <c r="I8770">
        <v>30090435</v>
      </c>
    </row>
    <row r="8771" spans="1:9" x14ac:dyDescent="0.2">
      <c r="A8771" t="str">
        <f>"Gm26938"</f>
        <v>Gm26938</v>
      </c>
      <c r="B8771" t="s">
        <v>14</v>
      </c>
      <c r="C8771" t="s">
        <v>46</v>
      </c>
      <c r="D8771" t="s">
        <v>11</v>
      </c>
      <c r="E8771" t="s">
        <v>67</v>
      </c>
      <c r="F8771">
        <v>139826837</v>
      </c>
      <c r="G8771">
        <v>139826891</v>
      </c>
      <c r="H8771">
        <v>139826828</v>
      </c>
      <c r="I8771">
        <v>139826834</v>
      </c>
    </row>
    <row r="8772" spans="1:9" x14ac:dyDescent="0.2">
      <c r="A8772" t="str">
        <f>"Gm26965"</f>
        <v>Gm26965</v>
      </c>
      <c r="B8772" t="s">
        <v>14</v>
      </c>
      <c r="C8772" t="s">
        <v>39</v>
      </c>
      <c r="D8772" t="s">
        <v>11</v>
      </c>
      <c r="E8772" t="s">
        <v>67</v>
      </c>
      <c r="F8772">
        <v>67526136</v>
      </c>
      <c r="G8772">
        <v>67526179</v>
      </c>
      <c r="H8772">
        <v>67526136</v>
      </c>
      <c r="I8772">
        <v>67526179</v>
      </c>
    </row>
    <row r="8773" spans="1:9" x14ac:dyDescent="0.2">
      <c r="A8773" t="str">
        <f>"Gm26992"</f>
        <v>Gm26992</v>
      </c>
      <c r="B8773" t="s">
        <v>3541</v>
      </c>
      <c r="C8773" t="s">
        <v>37</v>
      </c>
      <c r="D8773" t="s">
        <v>17</v>
      </c>
      <c r="E8773" t="s">
        <v>20</v>
      </c>
      <c r="F8773">
        <v>103422009</v>
      </c>
      <c r="G8773">
        <v>103422009</v>
      </c>
      <c r="H8773">
        <v>103422009</v>
      </c>
      <c r="I8773">
        <v>103422009</v>
      </c>
    </row>
    <row r="8774" spans="1:9" x14ac:dyDescent="0.2">
      <c r="A8774" t="str">
        <f>"Gm27021"</f>
        <v>Gm27021</v>
      </c>
      <c r="B8774" t="s">
        <v>14</v>
      </c>
      <c r="C8774" t="s">
        <v>30</v>
      </c>
      <c r="D8774" t="s">
        <v>11</v>
      </c>
      <c r="E8774" t="s">
        <v>67</v>
      </c>
      <c r="F8774">
        <v>120668058</v>
      </c>
      <c r="G8774">
        <v>120668098</v>
      </c>
      <c r="H8774">
        <v>120668030</v>
      </c>
      <c r="I8774">
        <v>120668056</v>
      </c>
    </row>
    <row r="8775" spans="1:9" x14ac:dyDescent="0.2">
      <c r="A8775" t="str">
        <f>"Gm27027"</f>
        <v>Gm27027</v>
      </c>
      <c r="B8775" t="s">
        <v>3542</v>
      </c>
      <c r="C8775" t="s">
        <v>26</v>
      </c>
      <c r="D8775" t="s">
        <v>11</v>
      </c>
      <c r="E8775" t="s">
        <v>20</v>
      </c>
      <c r="F8775">
        <v>93996353</v>
      </c>
      <c r="G8775">
        <v>93996353</v>
      </c>
      <c r="H8775">
        <v>93996353</v>
      </c>
      <c r="I8775">
        <v>93996353</v>
      </c>
    </row>
    <row r="8776" spans="1:9" x14ac:dyDescent="0.2">
      <c r="A8776" t="str">
        <f>"Gm27029"</f>
        <v>Gm27029</v>
      </c>
      <c r="B8776" t="s">
        <v>3543</v>
      </c>
      <c r="C8776" t="s">
        <v>27</v>
      </c>
      <c r="D8776" t="s">
        <v>11</v>
      </c>
      <c r="E8776" t="s">
        <v>35</v>
      </c>
      <c r="F8776">
        <v>101424714</v>
      </c>
      <c r="G8776">
        <v>101424725</v>
      </c>
      <c r="H8776">
        <v>101424619</v>
      </c>
      <c r="I8776">
        <v>101424626</v>
      </c>
    </row>
    <row r="8777" spans="1:9" x14ac:dyDescent="0.2">
      <c r="A8777" t="str">
        <f>"Gm2777"</f>
        <v>Gm2777</v>
      </c>
      <c r="B8777" t="s">
        <v>3544</v>
      </c>
      <c r="C8777" t="s">
        <v>37</v>
      </c>
      <c r="D8777" t="s">
        <v>11</v>
      </c>
      <c r="E8777" t="s">
        <v>20</v>
      </c>
      <c r="F8777">
        <v>31383917</v>
      </c>
      <c r="G8777">
        <v>31383917</v>
      </c>
      <c r="H8777">
        <v>31383917</v>
      </c>
      <c r="I8777">
        <v>31383917</v>
      </c>
    </row>
    <row r="8778" spans="1:9" x14ac:dyDescent="0.2">
      <c r="A8778" t="str">
        <f>"Gm2784"</f>
        <v>Gm2784</v>
      </c>
      <c r="B8778" t="s">
        <v>3545</v>
      </c>
      <c r="C8778" t="s">
        <v>37</v>
      </c>
      <c r="D8778" t="s">
        <v>17</v>
      </c>
      <c r="E8778" t="s">
        <v>20</v>
      </c>
      <c r="F8778">
        <v>31336453</v>
      </c>
      <c r="G8778">
        <v>31336453</v>
      </c>
      <c r="H8778">
        <v>31336453</v>
      </c>
      <c r="I8778">
        <v>31336453</v>
      </c>
    </row>
    <row r="8779" spans="1:9" x14ac:dyDescent="0.2">
      <c r="A8779" t="str">
        <f>"Gm2799"</f>
        <v>Gm2799</v>
      </c>
      <c r="B8779" t="s">
        <v>3546</v>
      </c>
      <c r="C8779" t="s">
        <v>37</v>
      </c>
      <c r="D8779" t="s">
        <v>17</v>
      </c>
      <c r="E8779" t="s">
        <v>20</v>
      </c>
      <c r="F8779">
        <v>32278393</v>
      </c>
      <c r="G8779">
        <v>32278393</v>
      </c>
      <c r="H8779">
        <v>32278393</v>
      </c>
      <c r="I8779">
        <v>32278393</v>
      </c>
    </row>
    <row r="8780" spans="1:9" x14ac:dyDescent="0.2">
      <c r="A8780" t="str">
        <f>"Gm281"</f>
        <v>Gm281</v>
      </c>
      <c r="B8780" t="s">
        <v>14</v>
      </c>
      <c r="C8780" t="s">
        <v>41</v>
      </c>
      <c r="D8780" t="s">
        <v>11</v>
      </c>
      <c r="E8780" t="s">
        <v>67</v>
      </c>
      <c r="F8780">
        <v>13914494</v>
      </c>
      <c r="G8780">
        <v>13914507</v>
      </c>
      <c r="H8780">
        <v>13914528</v>
      </c>
      <c r="I8780">
        <v>13914547</v>
      </c>
    </row>
    <row r="8781" spans="1:9" x14ac:dyDescent="0.2">
      <c r="A8781" t="str">
        <f>"Gm2825"</f>
        <v>Gm2825</v>
      </c>
      <c r="B8781" t="s">
        <v>3547</v>
      </c>
      <c r="C8781" t="s">
        <v>37</v>
      </c>
      <c r="D8781" t="s">
        <v>17</v>
      </c>
      <c r="E8781" t="s">
        <v>20</v>
      </c>
      <c r="F8781">
        <v>32973896</v>
      </c>
      <c r="G8781">
        <v>32973896</v>
      </c>
      <c r="H8781">
        <v>32973896</v>
      </c>
      <c r="I8781">
        <v>32973896</v>
      </c>
    </row>
    <row r="8782" spans="1:9" x14ac:dyDescent="0.2">
      <c r="A8782" t="str">
        <f>"Gm2832"</f>
        <v>Gm2832</v>
      </c>
      <c r="B8782" t="s">
        <v>3548</v>
      </c>
      <c r="C8782" t="s">
        <v>41</v>
      </c>
      <c r="D8782" t="s">
        <v>17</v>
      </c>
      <c r="E8782" t="s">
        <v>20</v>
      </c>
      <c r="F8782">
        <v>41278804</v>
      </c>
      <c r="G8782">
        <v>41278804</v>
      </c>
      <c r="H8782">
        <v>41278804</v>
      </c>
      <c r="I8782">
        <v>41278804</v>
      </c>
    </row>
    <row r="8783" spans="1:9" x14ac:dyDescent="0.2">
      <c r="A8783" t="str">
        <f>"Gm2840"</f>
        <v>Gm2840</v>
      </c>
      <c r="B8783" t="s">
        <v>3549</v>
      </c>
      <c r="C8783" t="s">
        <v>46</v>
      </c>
      <c r="D8783" t="s">
        <v>17</v>
      </c>
      <c r="E8783" t="s">
        <v>20</v>
      </c>
      <c r="F8783">
        <v>96173939</v>
      </c>
      <c r="G8783">
        <v>96173939</v>
      </c>
      <c r="H8783">
        <v>96173939</v>
      </c>
      <c r="I8783">
        <v>96173939</v>
      </c>
    </row>
    <row r="8784" spans="1:9" x14ac:dyDescent="0.2">
      <c r="A8784" t="str">
        <f>"Gm2854"</f>
        <v>Gm2854</v>
      </c>
      <c r="B8784" t="s">
        <v>3550</v>
      </c>
      <c r="C8784" t="s">
        <v>37</v>
      </c>
      <c r="D8784" t="s">
        <v>17</v>
      </c>
      <c r="E8784" t="s">
        <v>20</v>
      </c>
      <c r="F8784">
        <v>33399413</v>
      </c>
      <c r="G8784">
        <v>33399413</v>
      </c>
      <c r="H8784">
        <v>33399413</v>
      </c>
      <c r="I8784">
        <v>33399413</v>
      </c>
    </row>
    <row r="8785" spans="1:9" x14ac:dyDescent="0.2">
      <c r="A8785" t="str">
        <f>"Gm2863"</f>
        <v>Gm2863</v>
      </c>
      <c r="B8785" t="s">
        <v>3551</v>
      </c>
      <c r="C8785" t="s">
        <v>37</v>
      </c>
      <c r="D8785" t="s">
        <v>17</v>
      </c>
      <c r="E8785" t="s">
        <v>20</v>
      </c>
      <c r="F8785">
        <v>33313337</v>
      </c>
      <c r="G8785">
        <v>33313337</v>
      </c>
      <c r="H8785">
        <v>33313337</v>
      </c>
      <c r="I8785">
        <v>33313337</v>
      </c>
    </row>
    <row r="8786" spans="1:9" x14ac:dyDescent="0.2">
      <c r="A8786" t="str">
        <f>"Gm2888"</f>
        <v>Gm2888</v>
      </c>
      <c r="B8786" t="s">
        <v>3552</v>
      </c>
      <c r="C8786" t="s">
        <v>41</v>
      </c>
      <c r="D8786" t="s">
        <v>17</v>
      </c>
      <c r="E8786" t="s">
        <v>20</v>
      </c>
      <c r="F8786">
        <v>3030001</v>
      </c>
      <c r="G8786">
        <v>3030001</v>
      </c>
      <c r="H8786">
        <v>3030001</v>
      </c>
      <c r="I8786">
        <v>3030001</v>
      </c>
    </row>
    <row r="8787" spans="1:9" x14ac:dyDescent="0.2">
      <c r="A8787" t="str">
        <f>"Gm2897"</f>
        <v>Gm2897</v>
      </c>
      <c r="B8787" t="s">
        <v>3553</v>
      </c>
      <c r="C8787" t="s">
        <v>41</v>
      </c>
      <c r="D8787" t="s">
        <v>17</v>
      </c>
      <c r="E8787" t="s">
        <v>20</v>
      </c>
      <c r="F8787">
        <v>3049284</v>
      </c>
      <c r="G8787">
        <v>3049284</v>
      </c>
      <c r="H8787">
        <v>3049284</v>
      </c>
      <c r="I8787">
        <v>3049284</v>
      </c>
    </row>
    <row r="8788" spans="1:9" x14ac:dyDescent="0.2">
      <c r="A8788" t="str">
        <f>"Gm2913"</f>
        <v>Gm2913</v>
      </c>
      <c r="B8788" t="s">
        <v>3554</v>
      </c>
      <c r="C8788" t="s">
        <v>37</v>
      </c>
      <c r="D8788" t="s">
        <v>11</v>
      </c>
      <c r="E8788" t="s">
        <v>20</v>
      </c>
      <c r="F8788">
        <v>33577345</v>
      </c>
      <c r="G8788">
        <v>33577345</v>
      </c>
      <c r="H8788">
        <v>33577345</v>
      </c>
      <c r="I8788">
        <v>33577345</v>
      </c>
    </row>
    <row r="8789" spans="1:9" x14ac:dyDescent="0.2">
      <c r="A8789" t="str">
        <f>"Gm2916"</f>
        <v>Gm2916</v>
      </c>
      <c r="B8789" t="s">
        <v>3555</v>
      </c>
      <c r="C8789" t="s">
        <v>41</v>
      </c>
      <c r="D8789" t="s">
        <v>17</v>
      </c>
      <c r="E8789" t="s">
        <v>20</v>
      </c>
      <c r="F8789">
        <v>3892556</v>
      </c>
      <c r="G8789">
        <v>3892556</v>
      </c>
      <c r="H8789">
        <v>3892556</v>
      </c>
      <c r="I8789">
        <v>3892556</v>
      </c>
    </row>
    <row r="8790" spans="1:9" x14ac:dyDescent="0.2">
      <c r="A8790" t="str">
        <f>"Gm2916"</f>
        <v>Gm2916</v>
      </c>
      <c r="B8790" t="s">
        <v>3556</v>
      </c>
      <c r="C8790" t="s">
        <v>41</v>
      </c>
      <c r="D8790" t="s">
        <v>17</v>
      </c>
      <c r="E8790" t="s">
        <v>20</v>
      </c>
      <c r="F8790">
        <v>3884171</v>
      </c>
      <c r="G8790">
        <v>3884171</v>
      </c>
      <c r="H8790">
        <v>3884171</v>
      </c>
      <c r="I8790">
        <v>3884171</v>
      </c>
    </row>
    <row r="8791" spans="1:9" x14ac:dyDescent="0.2">
      <c r="A8791" t="str">
        <f>"Gm2927"</f>
        <v>Gm2927</v>
      </c>
      <c r="B8791" t="s">
        <v>3557</v>
      </c>
      <c r="C8791" t="s">
        <v>37</v>
      </c>
      <c r="D8791" t="s">
        <v>17</v>
      </c>
      <c r="E8791" t="s">
        <v>20</v>
      </c>
      <c r="F8791">
        <v>33657171</v>
      </c>
      <c r="G8791">
        <v>33657171</v>
      </c>
      <c r="H8791">
        <v>33657171</v>
      </c>
      <c r="I8791">
        <v>33657171</v>
      </c>
    </row>
    <row r="8792" spans="1:9" x14ac:dyDescent="0.2">
      <c r="A8792" t="str">
        <f>"Gm2933"</f>
        <v>Gm2933</v>
      </c>
      <c r="B8792" t="s">
        <v>3558</v>
      </c>
      <c r="C8792" t="s">
        <v>37</v>
      </c>
      <c r="D8792" t="s">
        <v>11</v>
      </c>
      <c r="E8792" t="s">
        <v>20</v>
      </c>
      <c r="F8792">
        <v>33702348</v>
      </c>
      <c r="G8792">
        <v>33702348</v>
      </c>
      <c r="H8792">
        <v>33702348</v>
      </c>
      <c r="I8792">
        <v>33702348</v>
      </c>
    </row>
    <row r="8793" spans="1:9" x14ac:dyDescent="0.2">
      <c r="A8793" t="str">
        <f>"Gm2956"</f>
        <v>Gm2956</v>
      </c>
      <c r="B8793" t="s">
        <v>3559</v>
      </c>
      <c r="C8793" t="s">
        <v>41</v>
      </c>
      <c r="D8793" t="s">
        <v>17</v>
      </c>
      <c r="E8793" t="s">
        <v>20</v>
      </c>
      <c r="F8793">
        <v>3332626</v>
      </c>
      <c r="G8793">
        <v>3332626</v>
      </c>
      <c r="H8793">
        <v>3332626</v>
      </c>
      <c r="I8793">
        <v>3332626</v>
      </c>
    </row>
    <row r="8794" spans="1:9" x14ac:dyDescent="0.2">
      <c r="A8794" t="str">
        <f>"Gm2964"</f>
        <v>Gm2964</v>
      </c>
      <c r="B8794" t="s">
        <v>3560</v>
      </c>
      <c r="C8794" t="s">
        <v>37</v>
      </c>
      <c r="D8794" t="s">
        <v>11</v>
      </c>
      <c r="E8794" t="s">
        <v>20</v>
      </c>
      <c r="F8794">
        <v>33956539</v>
      </c>
      <c r="G8794">
        <v>33956539</v>
      </c>
      <c r="H8794">
        <v>33956539</v>
      </c>
      <c r="I8794">
        <v>33956539</v>
      </c>
    </row>
    <row r="8795" spans="1:9" x14ac:dyDescent="0.2">
      <c r="A8795" t="str">
        <f>"Gm2974"</f>
        <v>Gm2974</v>
      </c>
      <c r="B8795" t="s">
        <v>14</v>
      </c>
      <c r="C8795" t="s">
        <v>41</v>
      </c>
      <c r="D8795" t="s">
        <v>17</v>
      </c>
      <c r="E8795" t="s">
        <v>67</v>
      </c>
      <c r="F8795">
        <v>4182421</v>
      </c>
      <c r="G8795">
        <v>4182440</v>
      </c>
      <c r="H8795">
        <v>4182421</v>
      </c>
      <c r="I8795">
        <v>4182440</v>
      </c>
    </row>
    <row r="8796" spans="1:9" x14ac:dyDescent="0.2">
      <c r="A8796" t="str">
        <f>"Gm2a"</f>
        <v>Gm2a</v>
      </c>
      <c r="B8796" t="s">
        <v>14</v>
      </c>
      <c r="C8796" t="s">
        <v>27</v>
      </c>
      <c r="D8796" t="s">
        <v>17</v>
      </c>
      <c r="E8796" t="s">
        <v>12</v>
      </c>
      <c r="F8796">
        <v>55098042</v>
      </c>
      <c r="G8796">
        <v>55098102</v>
      </c>
      <c r="H8796">
        <v>55098132</v>
      </c>
      <c r="I8796">
        <v>55098150</v>
      </c>
    </row>
    <row r="8797" spans="1:9" x14ac:dyDescent="0.2">
      <c r="A8797" t="str">
        <f>"Gm3002"</f>
        <v>Gm3002</v>
      </c>
      <c r="B8797" t="s">
        <v>3561</v>
      </c>
      <c r="C8797" t="s">
        <v>41</v>
      </c>
      <c r="D8797" t="s">
        <v>17</v>
      </c>
      <c r="E8797" t="s">
        <v>20</v>
      </c>
      <c r="F8797">
        <v>3810073</v>
      </c>
      <c r="G8797">
        <v>3810073</v>
      </c>
      <c r="H8797">
        <v>3810073</v>
      </c>
      <c r="I8797">
        <v>3810073</v>
      </c>
    </row>
    <row r="8798" spans="1:9" x14ac:dyDescent="0.2">
      <c r="A8798" t="str">
        <f>"Gm3005"</f>
        <v>Gm3005</v>
      </c>
      <c r="B8798" t="s">
        <v>3562</v>
      </c>
      <c r="C8798" t="s">
        <v>41</v>
      </c>
      <c r="D8798" t="s">
        <v>17</v>
      </c>
      <c r="E8798" t="s">
        <v>20</v>
      </c>
      <c r="F8798">
        <v>3572022</v>
      </c>
      <c r="G8798">
        <v>3572022</v>
      </c>
      <c r="H8798">
        <v>3572022</v>
      </c>
      <c r="I8798">
        <v>3572022</v>
      </c>
    </row>
    <row r="8799" spans="1:9" x14ac:dyDescent="0.2">
      <c r="A8799" t="str">
        <f>"Gm3012"</f>
        <v>Gm3012</v>
      </c>
      <c r="B8799" t="s">
        <v>3563</v>
      </c>
      <c r="C8799" t="s">
        <v>41</v>
      </c>
      <c r="D8799" t="s">
        <v>17</v>
      </c>
      <c r="E8799" t="s">
        <v>20</v>
      </c>
      <c r="F8799">
        <v>3634542</v>
      </c>
      <c r="G8799">
        <v>3634542</v>
      </c>
      <c r="H8799">
        <v>3634542</v>
      </c>
      <c r="I8799">
        <v>3634542</v>
      </c>
    </row>
    <row r="8800" spans="1:9" x14ac:dyDescent="0.2">
      <c r="A8800" t="str">
        <f>"Gm3015"</f>
        <v>Gm3015</v>
      </c>
      <c r="B8800" t="s">
        <v>3564</v>
      </c>
      <c r="C8800" t="s">
        <v>41</v>
      </c>
      <c r="D8800" t="s">
        <v>11</v>
      </c>
      <c r="E8800" t="s">
        <v>20</v>
      </c>
      <c r="F8800">
        <v>42768801</v>
      </c>
      <c r="G8800">
        <v>42768801</v>
      </c>
      <c r="H8800">
        <v>42768801</v>
      </c>
      <c r="I8800">
        <v>42768801</v>
      </c>
    </row>
    <row r="8801" spans="1:9" x14ac:dyDescent="0.2">
      <c r="A8801" t="str">
        <f>"Gm3020"</f>
        <v>Gm3020</v>
      </c>
      <c r="B8801" t="s">
        <v>3565</v>
      </c>
      <c r="C8801" t="s">
        <v>41</v>
      </c>
      <c r="D8801" t="s">
        <v>17</v>
      </c>
      <c r="E8801" t="s">
        <v>20</v>
      </c>
      <c r="F8801">
        <v>3652029</v>
      </c>
      <c r="G8801">
        <v>3652029</v>
      </c>
      <c r="H8801">
        <v>3652029</v>
      </c>
      <c r="I8801">
        <v>3652029</v>
      </c>
    </row>
    <row r="8802" spans="1:9" x14ac:dyDescent="0.2">
      <c r="A8802" t="str">
        <f>"Gm3029"</f>
        <v>Gm3029</v>
      </c>
      <c r="B8802" t="s">
        <v>3566</v>
      </c>
      <c r="C8802" t="s">
        <v>41</v>
      </c>
      <c r="D8802" t="s">
        <v>17</v>
      </c>
      <c r="E8802" t="s">
        <v>20</v>
      </c>
      <c r="F8802">
        <v>3931786</v>
      </c>
      <c r="G8802">
        <v>3931786</v>
      </c>
      <c r="H8802">
        <v>3931786</v>
      </c>
      <c r="I8802">
        <v>3931786</v>
      </c>
    </row>
    <row r="8803" spans="1:9" x14ac:dyDescent="0.2">
      <c r="A8803" t="str">
        <f>"Gm3033"</f>
        <v>Gm3033</v>
      </c>
      <c r="B8803" t="s">
        <v>3567</v>
      </c>
      <c r="C8803" t="s">
        <v>41</v>
      </c>
      <c r="D8803" t="s">
        <v>17</v>
      </c>
      <c r="E8803" t="s">
        <v>20</v>
      </c>
      <c r="F8803">
        <v>3847026</v>
      </c>
      <c r="G8803">
        <v>3847026</v>
      </c>
      <c r="H8803">
        <v>3847026</v>
      </c>
      <c r="I8803">
        <v>3847026</v>
      </c>
    </row>
    <row r="8804" spans="1:9" x14ac:dyDescent="0.2">
      <c r="A8804" t="str">
        <f>"Gm3043"</f>
        <v>Gm3043</v>
      </c>
      <c r="B8804" t="s">
        <v>3568</v>
      </c>
      <c r="C8804" t="s">
        <v>41</v>
      </c>
      <c r="D8804" t="s">
        <v>17</v>
      </c>
      <c r="E8804" t="s">
        <v>20</v>
      </c>
      <c r="F8804">
        <v>3688782</v>
      </c>
      <c r="G8804">
        <v>3688782</v>
      </c>
      <c r="H8804">
        <v>3688782</v>
      </c>
      <c r="I8804">
        <v>3688782</v>
      </c>
    </row>
    <row r="8805" spans="1:9" x14ac:dyDescent="0.2">
      <c r="A8805" t="str">
        <f>"Gm3047"</f>
        <v>Gm3047</v>
      </c>
      <c r="B8805" t="s">
        <v>3569</v>
      </c>
      <c r="C8805" t="s">
        <v>41</v>
      </c>
      <c r="D8805" t="s">
        <v>17</v>
      </c>
      <c r="E8805" t="s">
        <v>20</v>
      </c>
      <c r="F8805">
        <v>4555404</v>
      </c>
      <c r="G8805">
        <v>4555404</v>
      </c>
      <c r="H8805">
        <v>4555404</v>
      </c>
      <c r="I8805">
        <v>4555404</v>
      </c>
    </row>
    <row r="8806" spans="1:9" x14ac:dyDescent="0.2">
      <c r="A8806" t="str">
        <f>"Gm3054"</f>
        <v>Gm3054</v>
      </c>
      <c r="B8806" t="s">
        <v>3570</v>
      </c>
      <c r="C8806" t="s">
        <v>46</v>
      </c>
      <c r="D8806" t="s">
        <v>11</v>
      </c>
      <c r="E8806" t="s">
        <v>20</v>
      </c>
      <c r="F8806">
        <v>137166000</v>
      </c>
      <c r="G8806">
        <v>137166000</v>
      </c>
      <c r="H8806">
        <v>137166000</v>
      </c>
      <c r="I8806">
        <v>137166000</v>
      </c>
    </row>
    <row r="8807" spans="1:9" x14ac:dyDescent="0.2">
      <c r="A8807" t="str">
        <f>"Gm3055"</f>
        <v>Gm3055</v>
      </c>
      <c r="B8807" t="s">
        <v>3571</v>
      </c>
      <c r="C8807" t="s">
        <v>15</v>
      </c>
      <c r="D8807" t="s">
        <v>11</v>
      </c>
      <c r="E8807" t="s">
        <v>20</v>
      </c>
      <c r="F8807">
        <v>81747502</v>
      </c>
      <c r="G8807">
        <v>81747502</v>
      </c>
      <c r="H8807">
        <v>81747502</v>
      </c>
      <c r="I8807">
        <v>81747502</v>
      </c>
    </row>
    <row r="8808" spans="1:9" x14ac:dyDescent="0.2">
      <c r="A8808" t="str">
        <f>"Gm3072"</f>
        <v>Gm3072</v>
      </c>
      <c r="B8808" t="s">
        <v>3572</v>
      </c>
      <c r="C8808" t="s">
        <v>41</v>
      </c>
      <c r="D8808" t="s">
        <v>11</v>
      </c>
      <c r="E8808" t="s">
        <v>20</v>
      </c>
      <c r="F8808">
        <v>41624611</v>
      </c>
      <c r="G8808">
        <v>41624611</v>
      </c>
      <c r="H8808">
        <v>41624611</v>
      </c>
      <c r="I8808">
        <v>41624611</v>
      </c>
    </row>
    <row r="8809" spans="1:9" x14ac:dyDescent="0.2">
      <c r="A8809" t="str">
        <f>"Gm3086"</f>
        <v>Gm3086</v>
      </c>
      <c r="B8809" t="s">
        <v>14</v>
      </c>
      <c r="C8809" t="s">
        <v>16</v>
      </c>
      <c r="D8809" t="s">
        <v>17</v>
      </c>
      <c r="E8809" t="s">
        <v>12</v>
      </c>
      <c r="F8809">
        <v>69963412</v>
      </c>
      <c r="G8809">
        <v>69963440</v>
      </c>
      <c r="H8809">
        <v>69963412</v>
      </c>
      <c r="I8809">
        <v>69963440</v>
      </c>
    </row>
    <row r="8810" spans="1:9" x14ac:dyDescent="0.2">
      <c r="A8810" t="str">
        <f>"Gm3095"</f>
        <v>Gm3095</v>
      </c>
      <c r="B8810" t="s">
        <v>3573</v>
      </c>
      <c r="C8810" t="s">
        <v>41</v>
      </c>
      <c r="D8810" t="s">
        <v>17</v>
      </c>
      <c r="E8810" t="s">
        <v>20</v>
      </c>
      <c r="F8810">
        <v>3963546</v>
      </c>
      <c r="G8810">
        <v>3963546</v>
      </c>
      <c r="H8810">
        <v>3963546</v>
      </c>
      <c r="I8810">
        <v>3963546</v>
      </c>
    </row>
    <row r="8811" spans="1:9" x14ac:dyDescent="0.2">
      <c r="A8811" t="str">
        <f>"Gm3099"</f>
        <v>Gm3099</v>
      </c>
      <c r="B8811" t="s">
        <v>3574</v>
      </c>
      <c r="C8811" t="s">
        <v>41</v>
      </c>
      <c r="D8811" t="s">
        <v>17</v>
      </c>
      <c r="E8811" t="s">
        <v>20</v>
      </c>
      <c r="F8811">
        <v>3998434</v>
      </c>
      <c r="G8811">
        <v>3998434</v>
      </c>
      <c r="H8811">
        <v>3998434</v>
      </c>
      <c r="I8811">
        <v>3998434</v>
      </c>
    </row>
    <row r="8812" spans="1:9" x14ac:dyDescent="0.2">
      <c r="A8812" t="str">
        <f>"Gm3106"</f>
        <v>Gm3106</v>
      </c>
      <c r="B8812" t="s">
        <v>3575</v>
      </c>
      <c r="C8812" t="s">
        <v>46</v>
      </c>
      <c r="D8812" t="s">
        <v>17</v>
      </c>
      <c r="E8812" t="s">
        <v>20</v>
      </c>
      <c r="F8812">
        <v>94218024</v>
      </c>
      <c r="G8812">
        <v>94218024</v>
      </c>
      <c r="H8812">
        <v>94218024</v>
      </c>
      <c r="I8812">
        <v>94218024</v>
      </c>
    </row>
    <row r="8813" spans="1:9" x14ac:dyDescent="0.2">
      <c r="A8813" t="str">
        <f>"Gm3115"</f>
        <v>Gm3115</v>
      </c>
      <c r="B8813" t="s">
        <v>3576</v>
      </c>
      <c r="C8813" t="s">
        <v>41</v>
      </c>
      <c r="D8813" t="s">
        <v>17</v>
      </c>
      <c r="E8813" t="s">
        <v>20</v>
      </c>
      <c r="F8813">
        <v>4084141</v>
      </c>
      <c r="G8813">
        <v>4084141</v>
      </c>
      <c r="H8813">
        <v>4084141</v>
      </c>
      <c r="I8813">
        <v>4084141</v>
      </c>
    </row>
    <row r="8814" spans="1:9" x14ac:dyDescent="0.2">
      <c r="A8814" t="str">
        <f>"Gm3127"</f>
        <v>Gm3127</v>
      </c>
      <c r="B8814" t="s">
        <v>3577</v>
      </c>
      <c r="C8814" t="s">
        <v>41</v>
      </c>
      <c r="D8814" t="s">
        <v>17</v>
      </c>
      <c r="E8814" t="s">
        <v>20</v>
      </c>
      <c r="F8814">
        <v>4165087</v>
      </c>
      <c r="G8814">
        <v>4165087</v>
      </c>
      <c r="H8814">
        <v>4165087</v>
      </c>
      <c r="I8814">
        <v>4165087</v>
      </c>
    </row>
    <row r="8815" spans="1:9" x14ac:dyDescent="0.2">
      <c r="A8815" t="str">
        <f>"Gm3138"</f>
        <v>Gm3138</v>
      </c>
      <c r="B8815" t="s">
        <v>3578</v>
      </c>
      <c r="C8815" t="s">
        <v>41</v>
      </c>
      <c r="D8815" t="s">
        <v>17</v>
      </c>
      <c r="E8815" t="s">
        <v>20</v>
      </c>
      <c r="F8815">
        <v>4249630</v>
      </c>
      <c r="G8815">
        <v>4249630</v>
      </c>
      <c r="H8815">
        <v>4249630</v>
      </c>
      <c r="I8815">
        <v>4249630</v>
      </c>
    </row>
    <row r="8816" spans="1:9" x14ac:dyDescent="0.2">
      <c r="A8816" t="str">
        <f>"Gm3139"</f>
        <v>Gm3139</v>
      </c>
      <c r="B8816" t="s">
        <v>3579</v>
      </c>
      <c r="C8816" t="s">
        <v>46</v>
      </c>
      <c r="D8816" t="s">
        <v>17</v>
      </c>
      <c r="E8816" t="s">
        <v>20</v>
      </c>
      <c r="F8816">
        <v>94534848</v>
      </c>
      <c r="G8816">
        <v>94534848</v>
      </c>
      <c r="H8816">
        <v>94534848</v>
      </c>
      <c r="I8816">
        <v>94534848</v>
      </c>
    </row>
    <row r="8817" spans="1:9" x14ac:dyDescent="0.2">
      <c r="A8817" t="str">
        <f>"Gm3147"</f>
        <v>Gm3147</v>
      </c>
      <c r="B8817" t="s">
        <v>3580</v>
      </c>
      <c r="C8817" t="s">
        <v>46</v>
      </c>
      <c r="D8817" t="s">
        <v>11</v>
      </c>
      <c r="E8817" t="s">
        <v>20</v>
      </c>
      <c r="F8817">
        <v>94615160</v>
      </c>
      <c r="G8817">
        <v>94615160</v>
      </c>
      <c r="H8817">
        <v>94615160</v>
      </c>
      <c r="I8817">
        <v>94615160</v>
      </c>
    </row>
    <row r="8818" spans="1:9" x14ac:dyDescent="0.2">
      <c r="A8818" t="str">
        <f>"Gm3149"</f>
        <v>Gm3149</v>
      </c>
      <c r="B8818" t="s">
        <v>3581</v>
      </c>
      <c r="C8818" t="s">
        <v>41</v>
      </c>
      <c r="D8818" t="s">
        <v>17</v>
      </c>
      <c r="E8818" t="s">
        <v>20</v>
      </c>
      <c r="F8818">
        <v>4317322</v>
      </c>
      <c r="G8818">
        <v>4317322</v>
      </c>
      <c r="H8818">
        <v>4317322</v>
      </c>
      <c r="I8818">
        <v>4317322</v>
      </c>
    </row>
    <row r="8819" spans="1:9" x14ac:dyDescent="0.2">
      <c r="A8819" t="str">
        <f>"Gm3150"</f>
        <v>Gm3150</v>
      </c>
      <c r="B8819" t="s">
        <v>14</v>
      </c>
      <c r="C8819" t="s">
        <v>25</v>
      </c>
      <c r="D8819" t="s">
        <v>17</v>
      </c>
      <c r="E8819" t="s">
        <v>12</v>
      </c>
      <c r="F8819">
        <v>72913310</v>
      </c>
      <c r="G8819">
        <v>72913332</v>
      </c>
      <c r="H8819">
        <v>72913310</v>
      </c>
      <c r="I8819">
        <v>72913332</v>
      </c>
    </row>
    <row r="8820" spans="1:9" x14ac:dyDescent="0.2">
      <c r="A8820" t="str">
        <f>"Gm3159"</f>
        <v>Gm3159</v>
      </c>
      <c r="B8820" t="s">
        <v>3582</v>
      </c>
      <c r="C8820" t="s">
        <v>41</v>
      </c>
      <c r="D8820" t="s">
        <v>17</v>
      </c>
      <c r="E8820" t="s">
        <v>20</v>
      </c>
      <c r="F8820">
        <v>4397544</v>
      </c>
      <c r="G8820">
        <v>4397544</v>
      </c>
      <c r="H8820">
        <v>4397544</v>
      </c>
      <c r="I8820">
        <v>4397544</v>
      </c>
    </row>
    <row r="8821" spans="1:9" x14ac:dyDescent="0.2">
      <c r="A8821" t="str">
        <f>"Gm3164"</f>
        <v>Gm3164</v>
      </c>
      <c r="B8821" t="s">
        <v>3583</v>
      </c>
      <c r="C8821" t="s">
        <v>41</v>
      </c>
      <c r="D8821" t="s">
        <v>17</v>
      </c>
      <c r="E8821" t="s">
        <v>20</v>
      </c>
      <c r="F8821">
        <v>4415447</v>
      </c>
      <c r="G8821">
        <v>4415447</v>
      </c>
      <c r="H8821">
        <v>4415447</v>
      </c>
      <c r="I8821">
        <v>4415447</v>
      </c>
    </row>
    <row r="8822" spans="1:9" x14ac:dyDescent="0.2">
      <c r="A8822" t="str">
        <f>"Gm3173"</f>
        <v>Gm3173</v>
      </c>
      <c r="B8822" t="s">
        <v>3584</v>
      </c>
      <c r="C8822" t="s">
        <v>41</v>
      </c>
      <c r="D8822" t="s">
        <v>17</v>
      </c>
      <c r="E8822" t="s">
        <v>20</v>
      </c>
      <c r="F8822">
        <v>4514757</v>
      </c>
      <c r="G8822">
        <v>4514757</v>
      </c>
      <c r="H8822">
        <v>4514757</v>
      </c>
      <c r="I8822">
        <v>4514757</v>
      </c>
    </row>
    <row r="8823" spans="1:9" x14ac:dyDescent="0.2">
      <c r="A8823" t="str">
        <f>"Gm3173"</f>
        <v>Gm3173</v>
      </c>
      <c r="B8823" t="s">
        <v>3585</v>
      </c>
      <c r="C8823" t="s">
        <v>41</v>
      </c>
      <c r="D8823" t="s">
        <v>17</v>
      </c>
      <c r="E8823" t="s">
        <v>20</v>
      </c>
      <c r="F8823">
        <v>4430991</v>
      </c>
      <c r="G8823">
        <v>4430991</v>
      </c>
      <c r="H8823">
        <v>4430991</v>
      </c>
      <c r="I8823">
        <v>4430991</v>
      </c>
    </row>
    <row r="8824" spans="1:9" x14ac:dyDescent="0.2">
      <c r="A8824" t="str">
        <f>"Gm3176"</f>
        <v>Gm3176</v>
      </c>
      <c r="B8824" t="s">
        <v>3586</v>
      </c>
      <c r="C8824" t="s">
        <v>46</v>
      </c>
      <c r="D8824" t="s">
        <v>11</v>
      </c>
      <c r="E8824" t="s">
        <v>20</v>
      </c>
      <c r="F8824">
        <v>94954106</v>
      </c>
      <c r="G8824">
        <v>94954106</v>
      </c>
      <c r="H8824">
        <v>94954106</v>
      </c>
      <c r="I8824">
        <v>94954106</v>
      </c>
    </row>
    <row r="8825" spans="1:9" x14ac:dyDescent="0.2">
      <c r="A8825" t="str">
        <f>"Gm3182"</f>
        <v>Gm3182</v>
      </c>
      <c r="B8825" t="s">
        <v>3587</v>
      </c>
      <c r="C8825" t="s">
        <v>41</v>
      </c>
      <c r="D8825" t="s">
        <v>17</v>
      </c>
      <c r="E8825" t="s">
        <v>20</v>
      </c>
      <c r="F8825">
        <v>4481775</v>
      </c>
      <c r="G8825">
        <v>4481775</v>
      </c>
      <c r="H8825">
        <v>4481775</v>
      </c>
      <c r="I8825">
        <v>4481775</v>
      </c>
    </row>
    <row r="8826" spans="1:9" x14ac:dyDescent="0.2">
      <c r="A8826" t="str">
        <f>"Gm3183"</f>
        <v>Gm3183</v>
      </c>
      <c r="B8826" t="s">
        <v>3588</v>
      </c>
      <c r="C8826" t="s">
        <v>46</v>
      </c>
      <c r="D8826" t="s">
        <v>17</v>
      </c>
      <c r="E8826" t="s">
        <v>20</v>
      </c>
      <c r="F8826">
        <v>94873796</v>
      </c>
      <c r="G8826">
        <v>94873796</v>
      </c>
      <c r="H8826">
        <v>94873796</v>
      </c>
      <c r="I8826">
        <v>94873796</v>
      </c>
    </row>
    <row r="8827" spans="1:9" x14ac:dyDescent="0.2">
      <c r="A8827" t="str">
        <f>"Gm3187"</f>
        <v>Gm3187</v>
      </c>
      <c r="B8827" t="s">
        <v>3589</v>
      </c>
      <c r="C8827" t="s">
        <v>41</v>
      </c>
      <c r="D8827" t="s">
        <v>17</v>
      </c>
      <c r="E8827" t="s">
        <v>20</v>
      </c>
      <c r="F8827">
        <v>5484210</v>
      </c>
      <c r="G8827">
        <v>5484210</v>
      </c>
      <c r="H8827">
        <v>5484210</v>
      </c>
      <c r="I8827">
        <v>5484210</v>
      </c>
    </row>
    <row r="8828" spans="1:9" x14ac:dyDescent="0.2">
      <c r="A8828" t="str">
        <f>"Gm3194"</f>
        <v>Gm3194</v>
      </c>
      <c r="B8828" t="s">
        <v>3590</v>
      </c>
      <c r="C8828" t="s">
        <v>41</v>
      </c>
      <c r="D8828" t="s">
        <v>11</v>
      </c>
      <c r="E8828" t="s">
        <v>20</v>
      </c>
      <c r="F8828">
        <v>5449038</v>
      </c>
      <c r="G8828">
        <v>5449038</v>
      </c>
      <c r="H8828">
        <v>5449038</v>
      </c>
      <c r="I8828">
        <v>5449038</v>
      </c>
    </row>
    <row r="8829" spans="1:9" x14ac:dyDescent="0.2">
      <c r="A8829" t="str">
        <f>"Gm3194"</f>
        <v>Gm3194</v>
      </c>
      <c r="B8829" t="s">
        <v>3591</v>
      </c>
      <c r="C8829" t="s">
        <v>41</v>
      </c>
      <c r="D8829" t="s">
        <v>11</v>
      </c>
      <c r="E8829" t="s">
        <v>20</v>
      </c>
      <c r="F8829">
        <v>5455466</v>
      </c>
      <c r="G8829">
        <v>5455466</v>
      </c>
      <c r="H8829">
        <v>5455466</v>
      </c>
      <c r="I8829">
        <v>5455466</v>
      </c>
    </row>
    <row r="8830" spans="1:9" x14ac:dyDescent="0.2">
      <c r="A8830" t="str">
        <f>"Gm3233"</f>
        <v>Gm3233</v>
      </c>
      <c r="B8830" t="s">
        <v>3592</v>
      </c>
      <c r="C8830" t="s">
        <v>15</v>
      </c>
      <c r="D8830" t="s">
        <v>11</v>
      </c>
      <c r="E8830" t="s">
        <v>20</v>
      </c>
      <c r="F8830">
        <v>77759681</v>
      </c>
      <c r="G8830">
        <v>77759681</v>
      </c>
      <c r="H8830">
        <v>77759681</v>
      </c>
      <c r="I8830">
        <v>77759681</v>
      </c>
    </row>
    <row r="8831" spans="1:9" x14ac:dyDescent="0.2">
      <c r="A8831" t="str">
        <f>"Gm3238"</f>
        <v>Gm3238</v>
      </c>
      <c r="B8831" t="s">
        <v>3593</v>
      </c>
      <c r="C8831" t="s">
        <v>15</v>
      </c>
      <c r="D8831" t="s">
        <v>11</v>
      </c>
      <c r="E8831" t="s">
        <v>20</v>
      </c>
      <c r="F8831">
        <v>77771324</v>
      </c>
      <c r="G8831">
        <v>77771324</v>
      </c>
      <c r="H8831">
        <v>77771324</v>
      </c>
      <c r="I8831">
        <v>77771324</v>
      </c>
    </row>
    <row r="8832" spans="1:9" x14ac:dyDescent="0.2">
      <c r="A8832" t="str">
        <f>"Gm3239"</f>
        <v>Gm3239</v>
      </c>
      <c r="B8832" t="s">
        <v>3594</v>
      </c>
      <c r="C8832" t="s">
        <v>41</v>
      </c>
      <c r="D8832" t="s">
        <v>17</v>
      </c>
      <c r="E8832" t="s">
        <v>20</v>
      </c>
      <c r="F8832">
        <v>4664191</v>
      </c>
      <c r="G8832">
        <v>4664191</v>
      </c>
      <c r="H8832">
        <v>4664191</v>
      </c>
      <c r="I8832">
        <v>4664191</v>
      </c>
    </row>
    <row r="8833" spans="1:9" x14ac:dyDescent="0.2">
      <c r="A8833" t="str">
        <f>"Gm3248"</f>
        <v>Gm3248</v>
      </c>
      <c r="B8833" t="s">
        <v>3595</v>
      </c>
      <c r="C8833" t="s">
        <v>41</v>
      </c>
      <c r="D8833" t="s">
        <v>11</v>
      </c>
      <c r="E8833" t="s">
        <v>20</v>
      </c>
      <c r="F8833">
        <v>5961744</v>
      </c>
      <c r="G8833">
        <v>5961744</v>
      </c>
      <c r="H8833">
        <v>5961744</v>
      </c>
      <c r="I8833">
        <v>5961744</v>
      </c>
    </row>
    <row r="8834" spans="1:9" x14ac:dyDescent="0.2">
      <c r="A8834" t="str">
        <f>"Gm3250"</f>
        <v>Gm3250</v>
      </c>
      <c r="B8834" t="s">
        <v>3596</v>
      </c>
      <c r="C8834" t="s">
        <v>15</v>
      </c>
      <c r="D8834" t="s">
        <v>11</v>
      </c>
      <c r="E8834" t="s">
        <v>20</v>
      </c>
      <c r="F8834">
        <v>77782541</v>
      </c>
      <c r="G8834">
        <v>77782541</v>
      </c>
      <c r="H8834">
        <v>77782541</v>
      </c>
      <c r="I8834">
        <v>77782541</v>
      </c>
    </row>
    <row r="8835" spans="1:9" x14ac:dyDescent="0.2">
      <c r="A8835" t="str">
        <f>"Gm3252"</f>
        <v>Gm3252</v>
      </c>
      <c r="B8835" t="s">
        <v>3597</v>
      </c>
      <c r="C8835" t="s">
        <v>41</v>
      </c>
      <c r="D8835" t="s">
        <v>17</v>
      </c>
      <c r="E8835" t="s">
        <v>20</v>
      </c>
      <c r="F8835">
        <v>4726774</v>
      </c>
      <c r="G8835">
        <v>4726774</v>
      </c>
      <c r="H8835">
        <v>4726774</v>
      </c>
      <c r="I8835">
        <v>4726774</v>
      </c>
    </row>
    <row r="8836" spans="1:9" x14ac:dyDescent="0.2">
      <c r="A8836" t="str">
        <f>"Gm3259"</f>
        <v>Gm3259</v>
      </c>
      <c r="B8836" t="s">
        <v>3598</v>
      </c>
      <c r="C8836" t="s">
        <v>46</v>
      </c>
      <c r="D8836" t="s">
        <v>17</v>
      </c>
      <c r="E8836" t="s">
        <v>20</v>
      </c>
      <c r="F8836">
        <v>95305889</v>
      </c>
      <c r="G8836">
        <v>95305889</v>
      </c>
      <c r="H8836">
        <v>95305889</v>
      </c>
      <c r="I8836">
        <v>95305889</v>
      </c>
    </row>
    <row r="8837" spans="1:9" x14ac:dyDescent="0.2">
      <c r="A8837" t="str">
        <f>"Gm3264"</f>
        <v>Gm3264</v>
      </c>
      <c r="B8837" t="s">
        <v>14</v>
      </c>
      <c r="C8837" t="s">
        <v>41</v>
      </c>
      <c r="D8837" t="s">
        <v>17</v>
      </c>
      <c r="E8837" t="s">
        <v>12</v>
      </c>
      <c r="F8837">
        <v>4855542</v>
      </c>
      <c r="G8837">
        <v>4855555</v>
      </c>
      <c r="H8837">
        <v>4855542</v>
      </c>
      <c r="I8837">
        <v>4855555</v>
      </c>
    </row>
    <row r="8838" spans="1:9" x14ac:dyDescent="0.2">
      <c r="A8838" t="str">
        <f>"Gm3269"</f>
        <v>Gm3269</v>
      </c>
      <c r="B8838" t="s">
        <v>3599</v>
      </c>
      <c r="C8838" t="s">
        <v>41</v>
      </c>
      <c r="D8838" t="s">
        <v>17</v>
      </c>
      <c r="E8838" t="s">
        <v>20</v>
      </c>
      <c r="F8838">
        <v>4838105</v>
      </c>
      <c r="G8838">
        <v>4838105</v>
      </c>
      <c r="H8838">
        <v>4838105</v>
      </c>
      <c r="I8838">
        <v>4838105</v>
      </c>
    </row>
    <row r="8839" spans="1:9" x14ac:dyDescent="0.2">
      <c r="A8839" t="str">
        <f>"Gm3278"</f>
        <v>Gm3278</v>
      </c>
      <c r="B8839" t="s">
        <v>3600</v>
      </c>
      <c r="C8839" t="s">
        <v>41</v>
      </c>
      <c r="D8839" t="s">
        <v>17</v>
      </c>
      <c r="E8839" t="s">
        <v>20</v>
      </c>
      <c r="F8839">
        <v>4892415</v>
      </c>
      <c r="G8839">
        <v>4892415</v>
      </c>
      <c r="H8839">
        <v>4892415</v>
      </c>
      <c r="I8839">
        <v>4892415</v>
      </c>
    </row>
    <row r="8840" spans="1:9" x14ac:dyDescent="0.2">
      <c r="A8840" t="str">
        <f>"Gm3286"</f>
        <v>Gm3286</v>
      </c>
      <c r="B8840" t="s">
        <v>3601</v>
      </c>
      <c r="C8840" t="s">
        <v>46</v>
      </c>
      <c r="D8840" t="s">
        <v>17</v>
      </c>
      <c r="E8840" t="s">
        <v>20</v>
      </c>
      <c r="F8840">
        <v>95518667</v>
      </c>
      <c r="G8840">
        <v>95518667</v>
      </c>
      <c r="H8840">
        <v>95518667</v>
      </c>
      <c r="I8840">
        <v>95518667</v>
      </c>
    </row>
    <row r="8841" spans="1:9" x14ac:dyDescent="0.2">
      <c r="A8841" t="str">
        <f>"Gm3298"</f>
        <v>Gm3298</v>
      </c>
      <c r="B8841" t="s">
        <v>3602</v>
      </c>
      <c r="C8841" t="s">
        <v>41</v>
      </c>
      <c r="D8841" t="s">
        <v>17</v>
      </c>
      <c r="E8841" t="s">
        <v>20</v>
      </c>
      <c r="F8841">
        <v>5015890</v>
      </c>
      <c r="G8841">
        <v>5015890</v>
      </c>
      <c r="H8841">
        <v>5015890</v>
      </c>
      <c r="I8841">
        <v>5015890</v>
      </c>
    </row>
    <row r="8842" spans="1:9" x14ac:dyDescent="0.2">
      <c r="A8842" t="str">
        <f>"Gm3317"</f>
        <v>Gm3317</v>
      </c>
      <c r="B8842" t="s">
        <v>3603</v>
      </c>
      <c r="C8842" t="s">
        <v>41</v>
      </c>
      <c r="D8842" t="s">
        <v>17</v>
      </c>
      <c r="E8842" t="s">
        <v>20</v>
      </c>
      <c r="F8842">
        <v>5164534</v>
      </c>
      <c r="G8842">
        <v>5164534</v>
      </c>
      <c r="H8842">
        <v>5164534</v>
      </c>
      <c r="I8842">
        <v>5164534</v>
      </c>
    </row>
    <row r="8843" spans="1:9" x14ac:dyDescent="0.2">
      <c r="A8843" t="str">
        <f>"Gm3327"</f>
        <v>Gm3327</v>
      </c>
      <c r="B8843" t="s">
        <v>3604</v>
      </c>
      <c r="C8843" t="s">
        <v>41</v>
      </c>
      <c r="D8843" t="s">
        <v>17</v>
      </c>
      <c r="E8843" t="s">
        <v>20</v>
      </c>
      <c r="F8843">
        <v>44123850</v>
      </c>
      <c r="G8843">
        <v>44123850</v>
      </c>
      <c r="H8843">
        <v>44123850</v>
      </c>
      <c r="I8843">
        <v>44123850</v>
      </c>
    </row>
    <row r="8844" spans="1:9" x14ac:dyDescent="0.2">
      <c r="A8844" t="str">
        <f>"Gm3336"</f>
        <v>Gm3336</v>
      </c>
      <c r="B8844" t="s">
        <v>14</v>
      </c>
      <c r="C8844" t="s">
        <v>30</v>
      </c>
      <c r="D8844" t="s">
        <v>17</v>
      </c>
      <c r="E8844" t="s">
        <v>12</v>
      </c>
      <c r="F8844">
        <v>70718534</v>
      </c>
      <c r="G8844">
        <v>70718549</v>
      </c>
      <c r="H8844">
        <v>70718509</v>
      </c>
      <c r="I8844">
        <v>70718520</v>
      </c>
    </row>
    <row r="8845" spans="1:9" x14ac:dyDescent="0.2">
      <c r="A8845" t="str">
        <f>"Gm3371"</f>
        <v>Gm3371</v>
      </c>
      <c r="B8845" t="s">
        <v>3605</v>
      </c>
      <c r="C8845" t="s">
        <v>41</v>
      </c>
      <c r="D8845" t="s">
        <v>11</v>
      </c>
      <c r="E8845" t="s">
        <v>20</v>
      </c>
      <c r="F8845">
        <v>44408824</v>
      </c>
      <c r="G8845">
        <v>44408824</v>
      </c>
      <c r="H8845">
        <v>44408824</v>
      </c>
      <c r="I8845">
        <v>44408824</v>
      </c>
    </row>
    <row r="8846" spans="1:9" x14ac:dyDescent="0.2">
      <c r="A8846" t="str">
        <f>"Gm3371"</f>
        <v>Gm3371</v>
      </c>
      <c r="B8846" t="s">
        <v>3606</v>
      </c>
      <c r="C8846" t="s">
        <v>41</v>
      </c>
      <c r="D8846" t="s">
        <v>11</v>
      </c>
      <c r="E8846" t="s">
        <v>20</v>
      </c>
      <c r="F8846">
        <v>44410687</v>
      </c>
      <c r="G8846">
        <v>44410687</v>
      </c>
      <c r="H8846">
        <v>44410687</v>
      </c>
      <c r="I8846">
        <v>44410687</v>
      </c>
    </row>
    <row r="8847" spans="1:9" x14ac:dyDescent="0.2">
      <c r="A8847" t="str">
        <f>"Gm3373"</f>
        <v>Gm3373</v>
      </c>
      <c r="B8847" t="s">
        <v>3607</v>
      </c>
      <c r="C8847" t="s">
        <v>41</v>
      </c>
      <c r="D8847" t="s">
        <v>11</v>
      </c>
      <c r="E8847" t="s">
        <v>20</v>
      </c>
      <c r="F8847">
        <v>5725942</v>
      </c>
      <c r="G8847">
        <v>5725942</v>
      </c>
      <c r="H8847">
        <v>5725942</v>
      </c>
      <c r="I8847">
        <v>5725942</v>
      </c>
    </row>
    <row r="8848" spans="1:9" x14ac:dyDescent="0.2">
      <c r="A8848" t="str">
        <f>"Gm3373"</f>
        <v>Gm3373</v>
      </c>
      <c r="B8848" t="s">
        <v>3608</v>
      </c>
      <c r="C8848" t="s">
        <v>41</v>
      </c>
      <c r="D8848" t="s">
        <v>11</v>
      </c>
      <c r="E8848" t="s">
        <v>20</v>
      </c>
      <c r="F8848">
        <v>5741576</v>
      </c>
      <c r="G8848">
        <v>5741576</v>
      </c>
      <c r="H8848">
        <v>5741576</v>
      </c>
      <c r="I8848">
        <v>5741576</v>
      </c>
    </row>
    <row r="8849" spans="1:9" x14ac:dyDescent="0.2">
      <c r="A8849" t="str">
        <f>"Gm3376"</f>
        <v>Gm3376</v>
      </c>
      <c r="B8849" t="s">
        <v>3609</v>
      </c>
      <c r="C8849" t="s">
        <v>63</v>
      </c>
      <c r="D8849" t="s">
        <v>17</v>
      </c>
      <c r="E8849" t="s">
        <v>20</v>
      </c>
      <c r="F8849">
        <v>3774804</v>
      </c>
      <c r="G8849">
        <v>3774804</v>
      </c>
      <c r="H8849">
        <v>3774804</v>
      </c>
      <c r="I8849">
        <v>3774804</v>
      </c>
    </row>
    <row r="8850" spans="1:9" x14ac:dyDescent="0.2">
      <c r="A8850" t="str">
        <f>"Gm3383"</f>
        <v>Gm3383</v>
      </c>
      <c r="B8850" t="s">
        <v>3610</v>
      </c>
      <c r="C8850" t="s">
        <v>41</v>
      </c>
      <c r="D8850" t="s">
        <v>11</v>
      </c>
      <c r="E8850" t="s">
        <v>20</v>
      </c>
      <c r="F8850">
        <v>5807969</v>
      </c>
      <c r="G8850">
        <v>5807969</v>
      </c>
      <c r="H8850">
        <v>5807969</v>
      </c>
      <c r="I8850">
        <v>5807969</v>
      </c>
    </row>
    <row r="8851" spans="1:9" x14ac:dyDescent="0.2">
      <c r="A8851" t="str">
        <f>"Gm3383"</f>
        <v>Gm3383</v>
      </c>
      <c r="B8851" t="s">
        <v>3611</v>
      </c>
      <c r="C8851" t="s">
        <v>41</v>
      </c>
      <c r="D8851" t="s">
        <v>11</v>
      </c>
      <c r="E8851" t="s">
        <v>20</v>
      </c>
      <c r="F8851">
        <v>5801529</v>
      </c>
      <c r="G8851">
        <v>5801529</v>
      </c>
      <c r="H8851">
        <v>5801529</v>
      </c>
      <c r="I8851">
        <v>5801529</v>
      </c>
    </row>
    <row r="8852" spans="1:9" x14ac:dyDescent="0.2">
      <c r="A8852" t="str">
        <f>"Gm340"</f>
        <v>Gm340</v>
      </c>
      <c r="B8852" t="s">
        <v>14</v>
      </c>
      <c r="C8852" t="s">
        <v>10</v>
      </c>
      <c r="D8852" t="s">
        <v>17</v>
      </c>
      <c r="E8852" t="s">
        <v>67</v>
      </c>
      <c r="F8852">
        <v>41582268</v>
      </c>
      <c r="G8852">
        <v>41582269</v>
      </c>
      <c r="H8852">
        <v>41582268</v>
      </c>
      <c r="I8852">
        <v>41582269</v>
      </c>
    </row>
    <row r="8853" spans="1:9" x14ac:dyDescent="0.2">
      <c r="A8853" t="str">
        <f>"Gm3402"</f>
        <v>Gm3402</v>
      </c>
      <c r="B8853" t="s">
        <v>3612</v>
      </c>
      <c r="C8853" t="s">
        <v>46</v>
      </c>
      <c r="D8853" t="s">
        <v>17</v>
      </c>
      <c r="E8853" t="s">
        <v>20</v>
      </c>
      <c r="F8853">
        <v>146514150</v>
      </c>
      <c r="G8853">
        <v>146514150</v>
      </c>
      <c r="H8853">
        <v>146514150</v>
      </c>
      <c r="I8853">
        <v>146514150</v>
      </c>
    </row>
    <row r="8854" spans="1:9" x14ac:dyDescent="0.2">
      <c r="A8854" t="str">
        <f>"Gm3404"</f>
        <v>Gm3404</v>
      </c>
      <c r="B8854" t="s">
        <v>14</v>
      </c>
      <c r="C8854" t="s">
        <v>46</v>
      </c>
      <c r="D8854" t="s">
        <v>17</v>
      </c>
      <c r="E8854" t="s">
        <v>12</v>
      </c>
      <c r="F8854">
        <v>146525799</v>
      </c>
      <c r="G8854">
        <v>146525800</v>
      </c>
      <c r="H8854">
        <v>146525799</v>
      </c>
      <c r="I8854">
        <v>146525800</v>
      </c>
    </row>
    <row r="8855" spans="1:9" x14ac:dyDescent="0.2">
      <c r="A8855" t="str">
        <f>"Gm3409"</f>
        <v>Gm3409</v>
      </c>
      <c r="B8855" t="s">
        <v>3613</v>
      </c>
      <c r="C8855" t="s">
        <v>46</v>
      </c>
      <c r="D8855" t="s">
        <v>17</v>
      </c>
      <c r="E8855" t="s">
        <v>20</v>
      </c>
      <c r="F8855">
        <v>146537647</v>
      </c>
      <c r="G8855">
        <v>146537647</v>
      </c>
      <c r="H8855">
        <v>146537647</v>
      </c>
      <c r="I8855">
        <v>146537647</v>
      </c>
    </row>
    <row r="8856" spans="1:9" x14ac:dyDescent="0.2">
      <c r="A8856" t="str">
        <f>"Gm3411"</f>
        <v>Gm3411</v>
      </c>
      <c r="B8856" t="s">
        <v>3614</v>
      </c>
      <c r="C8856" t="s">
        <v>41</v>
      </c>
      <c r="D8856" t="s">
        <v>11</v>
      </c>
      <c r="E8856" t="s">
        <v>20</v>
      </c>
      <c r="F8856">
        <v>6287249</v>
      </c>
      <c r="G8856">
        <v>6287249</v>
      </c>
      <c r="H8856">
        <v>6287249</v>
      </c>
      <c r="I8856">
        <v>6287249</v>
      </c>
    </row>
    <row r="8857" spans="1:9" x14ac:dyDescent="0.2">
      <c r="A8857" t="str">
        <f>"Gm3415"</f>
        <v>Gm3415</v>
      </c>
      <c r="B8857" t="s">
        <v>3615</v>
      </c>
      <c r="C8857" t="s">
        <v>46</v>
      </c>
      <c r="D8857" t="s">
        <v>17</v>
      </c>
      <c r="E8857" t="s">
        <v>20</v>
      </c>
      <c r="F8857">
        <v>146556163</v>
      </c>
      <c r="G8857">
        <v>146556163</v>
      </c>
      <c r="H8857">
        <v>146556163</v>
      </c>
      <c r="I8857">
        <v>146556163</v>
      </c>
    </row>
    <row r="8858" spans="1:9" x14ac:dyDescent="0.2">
      <c r="A8858" t="str">
        <f>"Gm3417"</f>
        <v>Gm3417</v>
      </c>
      <c r="B8858" t="s">
        <v>3616</v>
      </c>
      <c r="C8858" t="s">
        <v>28</v>
      </c>
      <c r="D8858" t="s">
        <v>11</v>
      </c>
      <c r="E8858" t="s">
        <v>20</v>
      </c>
      <c r="F8858">
        <v>14978811</v>
      </c>
      <c r="G8858">
        <v>14978811</v>
      </c>
      <c r="H8858">
        <v>14978811</v>
      </c>
      <c r="I8858">
        <v>14978811</v>
      </c>
    </row>
    <row r="8859" spans="1:9" x14ac:dyDescent="0.2">
      <c r="A8859" t="str">
        <f>"Gm3424"</f>
        <v>Gm3424</v>
      </c>
      <c r="B8859" t="s">
        <v>14</v>
      </c>
      <c r="C8859" t="s">
        <v>41</v>
      </c>
      <c r="D8859" t="s">
        <v>11</v>
      </c>
      <c r="E8859" t="s">
        <v>67</v>
      </c>
      <c r="F8859">
        <v>5830376</v>
      </c>
      <c r="G8859">
        <v>5830378</v>
      </c>
      <c r="H8859">
        <v>5830376</v>
      </c>
      <c r="I8859">
        <v>5830378</v>
      </c>
    </row>
    <row r="8860" spans="1:9" x14ac:dyDescent="0.2">
      <c r="A8860" t="str">
        <f>"Gm3435"</f>
        <v>Gm3435</v>
      </c>
      <c r="B8860" t="s">
        <v>3617</v>
      </c>
      <c r="C8860" t="s">
        <v>28</v>
      </c>
      <c r="D8860" t="s">
        <v>17</v>
      </c>
      <c r="E8860" t="s">
        <v>20</v>
      </c>
      <c r="F8860">
        <v>15010265</v>
      </c>
      <c r="G8860">
        <v>15010265</v>
      </c>
      <c r="H8860">
        <v>15010265</v>
      </c>
      <c r="I8860">
        <v>15010265</v>
      </c>
    </row>
    <row r="8861" spans="1:9" x14ac:dyDescent="0.2">
      <c r="A8861" t="str">
        <f>"Gm3443"</f>
        <v>Gm3443</v>
      </c>
      <c r="B8861" t="s">
        <v>3618</v>
      </c>
      <c r="C8861" t="s">
        <v>10</v>
      </c>
      <c r="D8861" t="s">
        <v>17</v>
      </c>
      <c r="E8861" t="s">
        <v>20</v>
      </c>
      <c r="F8861">
        <v>21555673</v>
      </c>
      <c r="G8861">
        <v>21555673</v>
      </c>
      <c r="H8861">
        <v>21555673</v>
      </c>
      <c r="I8861">
        <v>21555673</v>
      </c>
    </row>
    <row r="8862" spans="1:9" x14ac:dyDescent="0.2">
      <c r="A8862" t="str">
        <f>"Gm3448"</f>
        <v>Gm3448</v>
      </c>
      <c r="B8862" t="s">
        <v>9</v>
      </c>
      <c r="C8862" t="s">
        <v>28</v>
      </c>
      <c r="D8862" t="s">
        <v>11</v>
      </c>
      <c r="E8862" t="s">
        <v>12</v>
      </c>
      <c r="F8862">
        <v>15041457</v>
      </c>
      <c r="G8862">
        <v>15041469</v>
      </c>
      <c r="H8862">
        <v>15041457</v>
      </c>
      <c r="I8862">
        <v>15041469</v>
      </c>
    </row>
    <row r="8863" spans="1:9" x14ac:dyDescent="0.2">
      <c r="A8863" t="str">
        <f>"Gm3448"</f>
        <v>Gm3448</v>
      </c>
      <c r="B8863" t="s">
        <v>13</v>
      </c>
      <c r="C8863" t="s">
        <v>28</v>
      </c>
      <c r="D8863" t="s">
        <v>11</v>
      </c>
      <c r="E8863" t="s">
        <v>12</v>
      </c>
      <c r="F8863">
        <v>15010085</v>
      </c>
      <c r="G8863">
        <v>15010094</v>
      </c>
      <c r="H8863">
        <v>15010085</v>
      </c>
      <c r="I8863">
        <v>15010094</v>
      </c>
    </row>
    <row r="8864" spans="1:9" x14ac:dyDescent="0.2">
      <c r="A8864" t="str">
        <f>"Gm3453"</f>
        <v>Gm3453</v>
      </c>
      <c r="B8864" t="s">
        <v>3619</v>
      </c>
      <c r="C8864" t="s">
        <v>41</v>
      </c>
      <c r="D8864" t="s">
        <v>11</v>
      </c>
      <c r="E8864" t="s">
        <v>20</v>
      </c>
      <c r="F8864">
        <v>5979133</v>
      </c>
      <c r="G8864">
        <v>5979133</v>
      </c>
      <c r="H8864">
        <v>5979133</v>
      </c>
      <c r="I8864">
        <v>5979133</v>
      </c>
    </row>
    <row r="8865" spans="1:9" x14ac:dyDescent="0.2">
      <c r="A8865" t="str">
        <f>"Gm3460"</f>
        <v>Gm3460</v>
      </c>
      <c r="B8865" t="s">
        <v>3620</v>
      </c>
      <c r="C8865" t="s">
        <v>41</v>
      </c>
      <c r="D8865" t="s">
        <v>11</v>
      </c>
      <c r="E8865" t="s">
        <v>20</v>
      </c>
      <c r="F8865">
        <v>6622385</v>
      </c>
      <c r="G8865">
        <v>6622385</v>
      </c>
      <c r="H8865">
        <v>6622385</v>
      </c>
      <c r="I8865">
        <v>6622385</v>
      </c>
    </row>
    <row r="8866" spans="1:9" x14ac:dyDescent="0.2">
      <c r="A8866" t="str">
        <f>"Gm3468"</f>
        <v>Gm3468</v>
      </c>
      <c r="B8866" t="s">
        <v>14</v>
      </c>
      <c r="C8866" t="s">
        <v>41</v>
      </c>
      <c r="D8866" t="s">
        <v>11</v>
      </c>
      <c r="E8866" t="s">
        <v>67</v>
      </c>
      <c r="F8866">
        <v>6108713</v>
      </c>
      <c r="G8866">
        <v>6108721</v>
      </c>
      <c r="H8866">
        <v>6108713</v>
      </c>
      <c r="I8866">
        <v>6108721</v>
      </c>
    </row>
    <row r="8867" spans="1:9" x14ac:dyDescent="0.2">
      <c r="A8867" t="str">
        <f>"Gm3476"</f>
        <v>Gm3476</v>
      </c>
      <c r="B8867" t="s">
        <v>3621</v>
      </c>
      <c r="C8867" t="s">
        <v>41</v>
      </c>
      <c r="D8867" t="s">
        <v>11</v>
      </c>
      <c r="E8867" t="s">
        <v>20</v>
      </c>
      <c r="F8867">
        <v>6125776</v>
      </c>
      <c r="G8867">
        <v>6125776</v>
      </c>
      <c r="H8867">
        <v>6125776</v>
      </c>
      <c r="I8867">
        <v>6125776</v>
      </c>
    </row>
    <row r="8868" spans="1:9" x14ac:dyDescent="0.2">
      <c r="A8868" t="str">
        <f>"Gm3486"</f>
        <v>Gm3486</v>
      </c>
      <c r="B8868" t="s">
        <v>3622</v>
      </c>
      <c r="C8868" t="s">
        <v>41</v>
      </c>
      <c r="D8868" t="s">
        <v>11</v>
      </c>
      <c r="E8868" t="s">
        <v>20</v>
      </c>
      <c r="F8868">
        <v>41489484</v>
      </c>
      <c r="G8868">
        <v>41489484</v>
      </c>
      <c r="H8868">
        <v>41489484</v>
      </c>
      <c r="I8868">
        <v>41489484</v>
      </c>
    </row>
    <row r="8869" spans="1:9" x14ac:dyDescent="0.2">
      <c r="A8869" t="str">
        <f>"Gm3488"</f>
        <v>Gm3488</v>
      </c>
      <c r="B8869" t="s">
        <v>3623</v>
      </c>
      <c r="C8869" t="s">
        <v>41</v>
      </c>
      <c r="D8869" t="s">
        <v>17</v>
      </c>
      <c r="E8869" t="s">
        <v>20</v>
      </c>
      <c r="F8869">
        <v>5501673</v>
      </c>
      <c r="G8869">
        <v>5501673</v>
      </c>
      <c r="H8869">
        <v>5501673</v>
      </c>
      <c r="I8869">
        <v>5501673</v>
      </c>
    </row>
    <row r="8870" spans="1:9" x14ac:dyDescent="0.2">
      <c r="A8870" t="str">
        <f>"Gm3495"</f>
        <v>Gm3495</v>
      </c>
      <c r="B8870" t="s">
        <v>14</v>
      </c>
      <c r="C8870" t="s">
        <v>46</v>
      </c>
      <c r="D8870" t="s">
        <v>17</v>
      </c>
      <c r="E8870" t="s">
        <v>67</v>
      </c>
      <c r="F8870">
        <v>17373185</v>
      </c>
      <c r="G8870">
        <v>17373186</v>
      </c>
      <c r="H8870">
        <v>17373185</v>
      </c>
      <c r="I8870">
        <v>17373186</v>
      </c>
    </row>
    <row r="8871" spans="1:9" x14ac:dyDescent="0.2">
      <c r="A8871" t="str">
        <f>"Gm3500"</f>
        <v>Gm3500</v>
      </c>
      <c r="B8871" t="s">
        <v>3624</v>
      </c>
      <c r="C8871" t="s">
        <v>41</v>
      </c>
      <c r="D8871" t="s">
        <v>11</v>
      </c>
      <c r="E8871" t="s">
        <v>20</v>
      </c>
      <c r="F8871">
        <v>5389048</v>
      </c>
      <c r="G8871">
        <v>5389048</v>
      </c>
      <c r="H8871">
        <v>5389048</v>
      </c>
      <c r="I8871">
        <v>5389048</v>
      </c>
    </row>
    <row r="8872" spans="1:9" x14ac:dyDescent="0.2">
      <c r="A8872" t="str">
        <f>"Gm3512"</f>
        <v>Gm3512</v>
      </c>
      <c r="B8872" t="s">
        <v>3625</v>
      </c>
      <c r="C8872" t="s">
        <v>41</v>
      </c>
      <c r="D8872" t="s">
        <v>11</v>
      </c>
      <c r="E8872" t="s">
        <v>20</v>
      </c>
      <c r="F8872">
        <v>7174532</v>
      </c>
      <c r="G8872">
        <v>7174532</v>
      </c>
      <c r="H8872">
        <v>7174532</v>
      </c>
      <c r="I8872">
        <v>7174532</v>
      </c>
    </row>
    <row r="8873" spans="1:9" x14ac:dyDescent="0.2">
      <c r="A8873" t="str">
        <f>"Gm3526"</f>
        <v>Gm3526</v>
      </c>
      <c r="B8873" t="s">
        <v>3626</v>
      </c>
      <c r="C8873" t="s">
        <v>41</v>
      </c>
      <c r="D8873" t="s">
        <v>11</v>
      </c>
      <c r="E8873" t="s">
        <v>20</v>
      </c>
      <c r="F8873">
        <v>5260579</v>
      </c>
      <c r="G8873">
        <v>5260579</v>
      </c>
      <c r="H8873">
        <v>5260579</v>
      </c>
      <c r="I8873">
        <v>5260579</v>
      </c>
    </row>
    <row r="8874" spans="1:9" x14ac:dyDescent="0.2">
      <c r="A8874" t="str">
        <f>"Gm3532"</f>
        <v>Gm3532</v>
      </c>
      <c r="B8874" t="s">
        <v>3627</v>
      </c>
      <c r="C8874" t="s">
        <v>41</v>
      </c>
      <c r="D8874" t="s">
        <v>17</v>
      </c>
      <c r="E8874" t="s">
        <v>20</v>
      </c>
      <c r="F8874">
        <v>5538495</v>
      </c>
      <c r="G8874">
        <v>5538495</v>
      </c>
      <c r="H8874">
        <v>5538495</v>
      </c>
      <c r="I8874">
        <v>5538495</v>
      </c>
    </row>
    <row r="8875" spans="1:9" x14ac:dyDescent="0.2">
      <c r="A8875" t="str">
        <f>"Gm3542"</f>
        <v>Gm3542</v>
      </c>
      <c r="B8875" t="s">
        <v>3628</v>
      </c>
      <c r="C8875" t="s">
        <v>41</v>
      </c>
      <c r="D8875" t="s">
        <v>11</v>
      </c>
      <c r="E8875" t="s">
        <v>20</v>
      </c>
      <c r="F8875">
        <v>5334927</v>
      </c>
      <c r="G8875">
        <v>5334927</v>
      </c>
      <c r="H8875">
        <v>5334927</v>
      </c>
      <c r="I8875">
        <v>5334927</v>
      </c>
    </row>
    <row r="8876" spans="1:9" x14ac:dyDescent="0.2">
      <c r="A8876" t="str">
        <f>"Gm3543"</f>
        <v>Gm3543</v>
      </c>
      <c r="B8876" t="s">
        <v>3629</v>
      </c>
      <c r="C8876" t="s">
        <v>41</v>
      </c>
      <c r="D8876" t="s">
        <v>11</v>
      </c>
      <c r="E8876" t="s">
        <v>20</v>
      </c>
      <c r="F8876">
        <v>41983324</v>
      </c>
      <c r="G8876">
        <v>41983324</v>
      </c>
      <c r="H8876">
        <v>41983324</v>
      </c>
      <c r="I8876">
        <v>41983324</v>
      </c>
    </row>
    <row r="8877" spans="1:9" x14ac:dyDescent="0.2">
      <c r="A8877" t="str">
        <f>"Gm355"</f>
        <v>Gm355</v>
      </c>
      <c r="B8877" t="s">
        <v>14</v>
      </c>
      <c r="C8877" t="s">
        <v>26</v>
      </c>
      <c r="D8877" t="s">
        <v>17</v>
      </c>
      <c r="E8877" t="s">
        <v>12</v>
      </c>
      <c r="F8877">
        <v>128591205</v>
      </c>
      <c r="G8877">
        <v>128591223</v>
      </c>
      <c r="H8877">
        <v>128591233</v>
      </c>
      <c r="I8877">
        <v>128591244</v>
      </c>
    </row>
    <row r="8878" spans="1:9" x14ac:dyDescent="0.2">
      <c r="A8878" t="str">
        <f>"Gm3550"</f>
        <v>Gm3550</v>
      </c>
      <c r="B8878" t="s">
        <v>3630</v>
      </c>
      <c r="C8878" t="s">
        <v>43</v>
      </c>
      <c r="D8878" t="s">
        <v>17</v>
      </c>
      <c r="E8878" t="s">
        <v>20</v>
      </c>
      <c r="F8878">
        <v>34736358</v>
      </c>
      <c r="G8878">
        <v>34736358</v>
      </c>
      <c r="H8878">
        <v>34736358</v>
      </c>
      <c r="I8878">
        <v>34736358</v>
      </c>
    </row>
    <row r="8879" spans="1:9" x14ac:dyDescent="0.2">
      <c r="A8879" t="str">
        <f>"Gm3558"</f>
        <v>Gm3558</v>
      </c>
      <c r="B8879" t="s">
        <v>3631</v>
      </c>
      <c r="C8879" t="s">
        <v>41</v>
      </c>
      <c r="D8879" t="s">
        <v>11</v>
      </c>
      <c r="E8879" t="s">
        <v>20</v>
      </c>
      <c r="F8879">
        <v>7568565</v>
      </c>
      <c r="G8879">
        <v>7568565</v>
      </c>
      <c r="H8879">
        <v>7568565</v>
      </c>
      <c r="I8879">
        <v>7568565</v>
      </c>
    </row>
    <row r="8880" spans="1:9" x14ac:dyDescent="0.2">
      <c r="A8880" t="str">
        <f>"Gm3573"</f>
        <v>Gm3573</v>
      </c>
      <c r="B8880" t="s">
        <v>3632</v>
      </c>
      <c r="C8880" t="s">
        <v>41</v>
      </c>
      <c r="D8880" t="s">
        <v>11</v>
      </c>
      <c r="E8880" t="s">
        <v>20</v>
      </c>
      <c r="F8880">
        <v>42190790</v>
      </c>
      <c r="G8880">
        <v>42190790</v>
      </c>
      <c r="H8880">
        <v>42190790</v>
      </c>
      <c r="I8880">
        <v>42190790</v>
      </c>
    </row>
    <row r="8881" spans="1:9" x14ac:dyDescent="0.2">
      <c r="A8881" t="str">
        <f>"Gm3591"</f>
        <v>Gm3591</v>
      </c>
      <c r="B8881" t="s">
        <v>3633</v>
      </c>
      <c r="C8881" t="s">
        <v>41</v>
      </c>
      <c r="D8881" t="s">
        <v>11</v>
      </c>
      <c r="E8881" t="s">
        <v>20</v>
      </c>
      <c r="F8881">
        <v>6412481</v>
      </c>
      <c r="G8881">
        <v>6412481</v>
      </c>
      <c r="H8881">
        <v>6412481</v>
      </c>
      <c r="I8881">
        <v>6412481</v>
      </c>
    </row>
    <row r="8882" spans="1:9" x14ac:dyDescent="0.2">
      <c r="A8882" t="str">
        <f>"Gm3594"</f>
        <v>Gm3594</v>
      </c>
      <c r="B8882" t="s">
        <v>3634</v>
      </c>
      <c r="C8882" t="s">
        <v>41</v>
      </c>
      <c r="D8882" t="s">
        <v>11</v>
      </c>
      <c r="E8882" t="s">
        <v>20</v>
      </c>
      <c r="F8882">
        <v>6444552</v>
      </c>
      <c r="G8882">
        <v>6444552</v>
      </c>
      <c r="H8882">
        <v>6444552</v>
      </c>
      <c r="I8882">
        <v>6444552</v>
      </c>
    </row>
    <row r="8883" spans="1:9" x14ac:dyDescent="0.2">
      <c r="A8883" t="str">
        <f>"Gm3604"</f>
        <v>Gm3604</v>
      </c>
      <c r="B8883" t="s">
        <v>14</v>
      </c>
      <c r="C8883" t="s">
        <v>39</v>
      </c>
      <c r="D8883" t="s">
        <v>11</v>
      </c>
      <c r="E8883" t="s">
        <v>12</v>
      </c>
      <c r="F8883">
        <v>62383172</v>
      </c>
      <c r="G8883">
        <v>62383197</v>
      </c>
      <c r="H8883">
        <v>62383172</v>
      </c>
      <c r="I8883">
        <v>62383197</v>
      </c>
    </row>
    <row r="8884" spans="1:9" x14ac:dyDescent="0.2">
      <c r="A8884" t="str">
        <f>"Gm3618"</f>
        <v>Gm3618</v>
      </c>
      <c r="B8884" t="s">
        <v>3635</v>
      </c>
      <c r="C8884" t="s">
        <v>41</v>
      </c>
      <c r="D8884" t="s">
        <v>11</v>
      </c>
      <c r="E8884" t="s">
        <v>20</v>
      </c>
      <c r="F8884">
        <v>6343677</v>
      </c>
      <c r="G8884">
        <v>6343677</v>
      </c>
      <c r="H8884">
        <v>6343677</v>
      </c>
      <c r="I8884">
        <v>6343677</v>
      </c>
    </row>
    <row r="8885" spans="1:9" x14ac:dyDescent="0.2">
      <c r="A8885" t="str">
        <f>"Gm3625"</f>
        <v>Gm3625</v>
      </c>
      <c r="B8885" t="s">
        <v>14</v>
      </c>
      <c r="C8885" t="s">
        <v>16</v>
      </c>
      <c r="D8885" t="s">
        <v>11</v>
      </c>
      <c r="E8885" t="s">
        <v>67</v>
      </c>
      <c r="F8885">
        <v>4592939</v>
      </c>
      <c r="G8885">
        <v>4592956</v>
      </c>
      <c r="H8885">
        <v>4592939</v>
      </c>
      <c r="I8885">
        <v>4592956</v>
      </c>
    </row>
    <row r="8886" spans="1:9" x14ac:dyDescent="0.2">
      <c r="A8886" t="str">
        <f>"Gm3629"</f>
        <v>Gm3629</v>
      </c>
      <c r="B8886" t="s">
        <v>3636</v>
      </c>
      <c r="C8886" t="s">
        <v>41</v>
      </c>
      <c r="D8886" t="s">
        <v>11</v>
      </c>
      <c r="E8886" t="s">
        <v>20</v>
      </c>
      <c r="F8886">
        <v>6590612</v>
      </c>
      <c r="G8886">
        <v>6590612</v>
      </c>
      <c r="H8886">
        <v>6590612</v>
      </c>
      <c r="I8886">
        <v>6590612</v>
      </c>
    </row>
    <row r="8887" spans="1:9" x14ac:dyDescent="0.2">
      <c r="A8887" t="str">
        <f>"Gm3633"</f>
        <v>Gm3633</v>
      </c>
      <c r="B8887" t="s">
        <v>3637</v>
      </c>
      <c r="C8887" t="s">
        <v>41</v>
      </c>
      <c r="D8887" t="s">
        <v>11</v>
      </c>
      <c r="E8887" t="s">
        <v>20</v>
      </c>
      <c r="F8887">
        <v>42639328</v>
      </c>
      <c r="G8887">
        <v>42639328</v>
      </c>
      <c r="H8887">
        <v>42639328</v>
      </c>
      <c r="I8887">
        <v>42639328</v>
      </c>
    </row>
    <row r="8888" spans="1:9" x14ac:dyDescent="0.2">
      <c r="A8888" t="str">
        <f>"Gm3636"</f>
        <v>Gm3636</v>
      </c>
      <c r="B8888" t="s">
        <v>3638</v>
      </c>
      <c r="C8888" t="s">
        <v>41</v>
      </c>
      <c r="D8888" t="s">
        <v>11</v>
      </c>
      <c r="E8888" t="s">
        <v>20</v>
      </c>
      <c r="F8888">
        <v>6742331</v>
      </c>
      <c r="G8888">
        <v>6742331</v>
      </c>
      <c r="H8888">
        <v>6742331</v>
      </c>
      <c r="I8888">
        <v>6742331</v>
      </c>
    </row>
    <row r="8889" spans="1:9" x14ac:dyDescent="0.2">
      <c r="A8889" t="str">
        <f>"Gm364"</f>
        <v>Gm364</v>
      </c>
      <c r="B8889" t="s">
        <v>14</v>
      </c>
      <c r="C8889" t="s">
        <v>37</v>
      </c>
      <c r="D8889" t="s">
        <v>17</v>
      </c>
      <c r="E8889" t="s">
        <v>12</v>
      </c>
      <c r="F8889">
        <v>57409147</v>
      </c>
      <c r="G8889">
        <v>57409160</v>
      </c>
      <c r="H8889">
        <v>57409043</v>
      </c>
      <c r="I8889">
        <v>57409048</v>
      </c>
    </row>
    <row r="8890" spans="1:9" x14ac:dyDescent="0.2">
      <c r="A8890" t="str">
        <f>"Gm3642"</f>
        <v>Gm3642</v>
      </c>
      <c r="B8890" t="s">
        <v>3639</v>
      </c>
      <c r="C8890" t="s">
        <v>41</v>
      </c>
      <c r="D8890" t="s">
        <v>11</v>
      </c>
      <c r="E8890" t="s">
        <v>20</v>
      </c>
      <c r="F8890">
        <v>6840310</v>
      </c>
      <c r="G8890">
        <v>6840310</v>
      </c>
      <c r="H8890">
        <v>6840310</v>
      </c>
      <c r="I8890">
        <v>6840310</v>
      </c>
    </row>
    <row r="8891" spans="1:9" x14ac:dyDescent="0.2">
      <c r="A8891" t="str">
        <f>"Gm3646"</f>
        <v>Gm3646</v>
      </c>
      <c r="B8891" t="s">
        <v>14</v>
      </c>
      <c r="C8891" t="s">
        <v>19</v>
      </c>
      <c r="D8891" t="s">
        <v>11</v>
      </c>
      <c r="E8891" t="s">
        <v>12</v>
      </c>
      <c r="F8891">
        <v>39805311</v>
      </c>
      <c r="G8891">
        <v>39805345</v>
      </c>
      <c r="H8891">
        <v>39805311</v>
      </c>
      <c r="I8891">
        <v>39805345</v>
      </c>
    </row>
    <row r="8892" spans="1:9" x14ac:dyDescent="0.2">
      <c r="A8892" t="str">
        <f>"Gm3667"</f>
        <v>Gm3667</v>
      </c>
      <c r="B8892" t="s">
        <v>14</v>
      </c>
      <c r="C8892" t="s">
        <v>41</v>
      </c>
      <c r="D8892" t="s">
        <v>11</v>
      </c>
      <c r="E8892" t="s">
        <v>12</v>
      </c>
      <c r="F8892">
        <v>6889930</v>
      </c>
      <c r="G8892">
        <v>6889956</v>
      </c>
      <c r="H8892">
        <v>6889930</v>
      </c>
      <c r="I8892">
        <v>6889956</v>
      </c>
    </row>
    <row r="8893" spans="1:9" x14ac:dyDescent="0.2">
      <c r="A8893" t="str">
        <f>"Gm3676"</f>
        <v>Gm3676</v>
      </c>
      <c r="B8893" t="s">
        <v>3640</v>
      </c>
      <c r="C8893" t="s">
        <v>41</v>
      </c>
      <c r="D8893" t="s">
        <v>11</v>
      </c>
      <c r="E8893" t="s">
        <v>20</v>
      </c>
      <c r="F8893">
        <v>41646486</v>
      </c>
      <c r="G8893">
        <v>41646486</v>
      </c>
      <c r="H8893">
        <v>41646486</v>
      </c>
      <c r="I8893">
        <v>41646486</v>
      </c>
    </row>
    <row r="8894" spans="1:9" x14ac:dyDescent="0.2">
      <c r="A8894" t="str">
        <f>"Gm3685"</f>
        <v>Gm3685</v>
      </c>
      <c r="B8894" t="s">
        <v>3641</v>
      </c>
      <c r="C8894" t="s">
        <v>41</v>
      </c>
      <c r="D8894" t="s">
        <v>11</v>
      </c>
      <c r="E8894" t="s">
        <v>20</v>
      </c>
      <c r="F8894">
        <v>7044937</v>
      </c>
      <c r="G8894">
        <v>7044937</v>
      </c>
      <c r="H8894">
        <v>7044937</v>
      </c>
      <c r="I8894">
        <v>7044937</v>
      </c>
    </row>
    <row r="8895" spans="1:9" x14ac:dyDescent="0.2">
      <c r="A8895" t="str">
        <f>"Gm3696"</f>
        <v>Gm3696</v>
      </c>
      <c r="B8895" t="s">
        <v>3642</v>
      </c>
      <c r="C8895" t="s">
        <v>41</v>
      </c>
      <c r="D8895" t="s">
        <v>11</v>
      </c>
      <c r="E8895" t="s">
        <v>20</v>
      </c>
      <c r="F8895">
        <v>7100620</v>
      </c>
      <c r="G8895">
        <v>7100620</v>
      </c>
      <c r="H8895">
        <v>7100620</v>
      </c>
      <c r="I8895">
        <v>7100620</v>
      </c>
    </row>
    <row r="8896" spans="1:9" x14ac:dyDescent="0.2">
      <c r="A8896" t="str">
        <f>"Gm3696"</f>
        <v>Gm3696</v>
      </c>
      <c r="B8896" t="s">
        <v>3643</v>
      </c>
      <c r="C8896" t="s">
        <v>41</v>
      </c>
      <c r="D8896" t="s">
        <v>11</v>
      </c>
      <c r="E8896" t="s">
        <v>20</v>
      </c>
      <c r="F8896">
        <v>7090811</v>
      </c>
      <c r="G8896">
        <v>7090811</v>
      </c>
      <c r="H8896">
        <v>7090811</v>
      </c>
      <c r="I8896">
        <v>7090811</v>
      </c>
    </row>
    <row r="8897" spans="1:9" x14ac:dyDescent="0.2">
      <c r="A8897" t="str">
        <f>"Gm3701"</f>
        <v>Gm3701</v>
      </c>
      <c r="B8897" t="s">
        <v>3644</v>
      </c>
      <c r="C8897" t="s">
        <v>37</v>
      </c>
      <c r="D8897" t="s">
        <v>11</v>
      </c>
      <c r="E8897" t="s">
        <v>20</v>
      </c>
      <c r="F8897">
        <v>3957001</v>
      </c>
      <c r="G8897">
        <v>3957001</v>
      </c>
      <c r="H8897">
        <v>3957001</v>
      </c>
      <c r="I8897">
        <v>3957001</v>
      </c>
    </row>
    <row r="8898" spans="1:9" x14ac:dyDescent="0.2">
      <c r="A8898" t="str">
        <f>"Gm3706"</f>
        <v>Gm3706</v>
      </c>
      <c r="B8898" t="s">
        <v>3645</v>
      </c>
      <c r="C8898" t="s">
        <v>37</v>
      </c>
      <c r="D8898" t="s">
        <v>17</v>
      </c>
      <c r="E8898" t="s">
        <v>20</v>
      </c>
      <c r="F8898">
        <v>4037673</v>
      </c>
      <c r="G8898">
        <v>4037673</v>
      </c>
      <c r="H8898">
        <v>4037673</v>
      </c>
      <c r="I8898">
        <v>4037673</v>
      </c>
    </row>
    <row r="8899" spans="1:9" x14ac:dyDescent="0.2">
      <c r="A8899" t="str">
        <f>"Gm3727"</f>
        <v>Gm3727</v>
      </c>
      <c r="B8899" t="s">
        <v>3646</v>
      </c>
      <c r="C8899" t="s">
        <v>41</v>
      </c>
      <c r="D8899" t="s">
        <v>11</v>
      </c>
      <c r="E8899" t="s">
        <v>20</v>
      </c>
      <c r="F8899">
        <v>7264682</v>
      </c>
      <c r="G8899">
        <v>7264682</v>
      </c>
      <c r="H8899">
        <v>7264682</v>
      </c>
      <c r="I8899">
        <v>7264682</v>
      </c>
    </row>
    <row r="8900" spans="1:9" x14ac:dyDescent="0.2">
      <c r="A8900" t="str">
        <f>"Gm3739"</f>
        <v>Gm3739</v>
      </c>
      <c r="B8900" t="s">
        <v>3647</v>
      </c>
      <c r="C8900" t="s">
        <v>41</v>
      </c>
      <c r="D8900" t="s">
        <v>11</v>
      </c>
      <c r="E8900" t="s">
        <v>20</v>
      </c>
      <c r="F8900">
        <v>7315048</v>
      </c>
      <c r="G8900">
        <v>7315048</v>
      </c>
      <c r="H8900">
        <v>7315048</v>
      </c>
      <c r="I8900">
        <v>7315048</v>
      </c>
    </row>
    <row r="8901" spans="1:9" x14ac:dyDescent="0.2">
      <c r="A8901" t="str">
        <f>"Gm3750"</f>
        <v>Gm3750</v>
      </c>
      <c r="B8901" t="s">
        <v>3648</v>
      </c>
      <c r="C8901" t="s">
        <v>37</v>
      </c>
      <c r="D8901" t="s">
        <v>17</v>
      </c>
      <c r="E8901" t="s">
        <v>20</v>
      </c>
      <c r="F8901">
        <v>4800410</v>
      </c>
      <c r="G8901">
        <v>4800410</v>
      </c>
      <c r="H8901">
        <v>4800410</v>
      </c>
      <c r="I8901">
        <v>4800410</v>
      </c>
    </row>
    <row r="8902" spans="1:9" x14ac:dyDescent="0.2">
      <c r="A8902" t="str">
        <f>"Gm3752"</f>
        <v>Gm3752</v>
      </c>
      <c r="B8902" t="s">
        <v>3649</v>
      </c>
      <c r="C8902" t="s">
        <v>41</v>
      </c>
      <c r="D8902" t="s">
        <v>11</v>
      </c>
      <c r="E8902" t="s">
        <v>20</v>
      </c>
      <c r="F8902">
        <v>7483761</v>
      </c>
      <c r="G8902">
        <v>7483761</v>
      </c>
      <c r="H8902">
        <v>7483761</v>
      </c>
      <c r="I8902">
        <v>7483761</v>
      </c>
    </row>
    <row r="8903" spans="1:9" x14ac:dyDescent="0.2">
      <c r="A8903" t="str">
        <f>"Gm3755"</f>
        <v>Gm3755</v>
      </c>
      <c r="B8903" t="s">
        <v>3650</v>
      </c>
      <c r="C8903" t="s">
        <v>41</v>
      </c>
      <c r="D8903" t="s">
        <v>11</v>
      </c>
      <c r="E8903" t="s">
        <v>20</v>
      </c>
      <c r="F8903">
        <v>7450916</v>
      </c>
      <c r="G8903">
        <v>7450916</v>
      </c>
      <c r="H8903">
        <v>7450916</v>
      </c>
      <c r="I8903">
        <v>7450916</v>
      </c>
    </row>
    <row r="8904" spans="1:9" x14ac:dyDescent="0.2">
      <c r="A8904" t="str">
        <f>"Gm3763"</f>
        <v>Gm3763</v>
      </c>
      <c r="B8904" t="s">
        <v>3651</v>
      </c>
      <c r="C8904" t="s">
        <v>37</v>
      </c>
      <c r="D8904" t="s">
        <v>17</v>
      </c>
      <c r="E8904" t="s">
        <v>20</v>
      </c>
      <c r="F8904">
        <v>4952134</v>
      </c>
      <c r="G8904">
        <v>4952134</v>
      </c>
      <c r="H8904">
        <v>4952134</v>
      </c>
      <c r="I8904">
        <v>4952134</v>
      </c>
    </row>
    <row r="8905" spans="1:9" x14ac:dyDescent="0.2">
      <c r="A8905" t="str">
        <f>"Gm379"</f>
        <v>Gm379</v>
      </c>
      <c r="B8905" t="s">
        <v>3652</v>
      </c>
      <c r="C8905" t="s">
        <v>37</v>
      </c>
      <c r="D8905" t="s">
        <v>11</v>
      </c>
      <c r="E8905" t="s">
        <v>20</v>
      </c>
      <c r="F8905">
        <v>108664890</v>
      </c>
      <c r="G8905">
        <v>108664890</v>
      </c>
      <c r="H8905">
        <v>108664890</v>
      </c>
      <c r="I8905">
        <v>108664890</v>
      </c>
    </row>
    <row r="8906" spans="1:9" x14ac:dyDescent="0.2">
      <c r="A8906" t="str">
        <f>"Gm382"</f>
        <v>Gm382</v>
      </c>
      <c r="B8906" t="s">
        <v>14</v>
      </c>
      <c r="C8906" t="s">
        <v>37</v>
      </c>
      <c r="D8906" t="s">
        <v>17</v>
      </c>
      <c r="E8906" t="s">
        <v>12</v>
      </c>
      <c r="F8906">
        <v>127039968</v>
      </c>
      <c r="G8906">
        <v>127039998</v>
      </c>
      <c r="H8906">
        <v>127039968</v>
      </c>
      <c r="I8906">
        <v>127039998</v>
      </c>
    </row>
    <row r="8907" spans="1:9" x14ac:dyDescent="0.2">
      <c r="A8907" t="str">
        <f>"Gm3883"</f>
        <v>Gm3883</v>
      </c>
      <c r="B8907" t="s">
        <v>3653</v>
      </c>
      <c r="C8907" t="s">
        <v>23</v>
      </c>
      <c r="D8907" t="s">
        <v>17</v>
      </c>
      <c r="E8907" t="s">
        <v>20</v>
      </c>
      <c r="F8907">
        <v>42459562</v>
      </c>
      <c r="G8907">
        <v>42459562</v>
      </c>
      <c r="H8907">
        <v>42459562</v>
      </c>
      <c r="I8907">
        <v>42459562</v>
      </c>
    </row>
    <row r="8908" spans="1:9" x14ac:dyDescent="0.2">
      <c r="A8908" t="str">
        <f>"Gm3893"</f>
        <v>Gm3893</v>
      </c>
      <c r="B8908" t="s">
        <v>3654</v>
      </c>
      <c r="C8908" t="s">
        <v>23</v>
      </c>
      <c r="D8908" t="s">
        <v>17</v>
      </c>
      <c r="E8908" t="s">
        <v>20</v>
      </c>
      <c r="F8908">
        <v>42091206</v>
      </c>
      <c r="G8908">
        <v>42091206</v>
      </c>
      <c r="H8908">
        <v>42091206</v>
      </c>
      <c r="I8908">
        <v>42091206</v>
      </c>
    </row>
    <row r="8909" spans="1:9" x14ac:dyDescent="0.2">
      <c r="A8909" t="str">
        <f>"Gm3898"</f>
        <v>Gm3898</v>
      </c>
      <c r="B8909" t="s">
        <v>3655</v>
      </c>
      <c r="C8909" t="s">
        <v>24</v>
      </c>
      <c r="D8909" t="s">
        <v>17</v>
      </c>
      <c r="E8909" t="s">
        <v>20</v>
      </c>
      <c r="F8909">
        <v>43829962</v>
      </c>
      <c r="G8909">
        <v>43829962</v>
      </c>
      <c r="H8909">
        <v>43829962</v>
      </c>
      <c r="I8909">
        <v>43829962</v>
      </c>
    </row>
    <row r="8910" spans="1:9" x14ac:dyDescent="0.2">
      <c r="A8910" t="str">
        <f>"Gm3940"</f>
        <v>Gm3940</v>
      </c>
      <c r="B8910" t="s">
        <v>14</v>
      </c>
      <c r="C8910" t="s">
        <v>19</v>
      </c>
      <c r="D8910" t="s">
        <v>11</v>
      </c>
      <c r="E8910" t="s">
        <v>12</v>
      </c>
      <c r="F8910">
        <v>52091067</v>
      </c>
      <c r="G8910">
        <v>52091074</v>
      </c>
      <c r="H8910">
        <v>52091067</v>
      </c>
      <c r="I8910">
        <v>52091074</v>
      </c>
    </row>
    <row r="8911" spans="1:9" x14ac:dyDescent="0.2">
      <c r="A8911" t="str">
        <f>"Gm3944"</f>
        <v>Gm3944</v>
      </c>
      <c r="B8911" t="s">
        <v>3656</v>
      </c>
      <c r="C8911" t="s">
        <v>16</v>
      </c>
      <c r="D8911" t="s">
        <v>17</v>
      </c>
      <c r="E8911" t="s">
        <v>20</v>
      </c>
      <c r="F8911">
        <v>18853871</v>
      </c>
      <c r="G8911">
        <v>18853871</v>
      </c>
      <c r="H8911">
        <v>18853871</v>
      </c>
      <c r="I8911">
        <v>18853871</v>
      </c>
    </row>
    <row r="8912" spans="1:9" x14ac:dyDescent="0.2">
      <c r="A8912" t="str">
        <f>"Gm3993"</f>
        <v>Gm3993</v>
      </c>
      <c r="B8912" t="s">
        <v>3657</v>
      </c>
      <c r="C8912" t="s">
        <v>16</v>
      </c>
      <c r="D8912" t="s">
        <v>17</v>
      </c>
      <c r="E8912" t="s">
        <v>20</v>
      </c>
      <c r="F8912">
        <v>20071881</v>
      </c>
      <c r="G8912">
        <v>20071881</v>
      </c>
      <c r="H8912">
        <v>20071881</v>
      </c>
      <c r="I8912">
        <v>20071881</v>
      </c>
    </row>
    <row r="8913" spans="1:9" x14ac:dyDescent="0.2">
      <c r="A8913" t="str">
        <f>"Gm4027"</f>
        <v>Gm4027</v>
      </c>
      <c r="B8913" t="s">
        <v>3658</v>
      </c>
      <c r="C8913" t="s">
        <v>16</v>
      </c>
      <c r="D8913" t="s">
        <v>17</v>
      </c>
      <c r="E8913" t="s">
        <v>20</v>
      </c>
      <c r="F8913">
        <v>87618868</v>
      </c>
      <c r="G8913">
        <v>87618868</v>
      </c>
      <c r="H8913">
        <v>87618868</v>
      </c>
      <c r="I8913">
        <v>87618868</v>
      </c>
    </row>
    <row r="8914" spans="1:9" x14ac:dyDescent="0.2">
      <c r="A8914" t="str">
        <f>"Gm4070"</f>
        <v>Gm4070</v>
      </c>
      <c r="B8914" t="s">
        <v>3659</v>
      </c>
      <c r="C8914" t="s">
        <v>33</v>
      </c>
      <c r="D8914" t="s">
        <v>11</v>
      </c>
      <c r="E8914" t="s">
        <v>20</v>
      </c>
      <c r="F8914">
        <v>105953948</v>
      </c>
      <c r="G8914">
        <v>105953948</v>
      </c>
      <c r="H8914">
        <v>105953948</v>
      </c>
      <c r="I8914">
        <v>105953948</v>
      </c>
    </row>
    <row r="8915" spans="1:9" x14ac:dyDescent="0.2">
      <c r="A8915" t="str">
        <f>"Gm4076"</f>
        <v>Gm4076</v>
      </c>
      <c r="B8915" t="s">
        <v>3660</v>
      </c>
      <c r="C8915" t="s">
        <v>39</v>
      </c>
      <c r="D8915" t="s">
        <v>11</v>
      </c>
      <c r="E8915" t="s">
        <v>20</v>
      </c>
      <c r="F8915">
        <v>85127513</v>
      </c>
      <c r="G8915">
        <v>85127513</v>
      </c>
      <c r="H8915">
        <v>85127513</v>
      </c>
      <c r="I8915">
        <v>85127513</v>
      </c>
    </row>
    <row r="8916" spans="1:9" x14ac:dyDescent="0.2">
      <c r="A8916" t="str">
        <f>"Gm410"</f>
        <v>Gm410</v>
      </c>
      <c r="B8916" t="s">
        <v>14</v>
      </c>
      <c r="C8916" t="s">
        <v>22</v>
      </c>
      <c r="D8916" t="s">
        <v>11</v>
      </c>
      <c r="E8916" t="s">
        <v>12</v>
      </c>
      <c r="F8916">
        <v>57692538</v>
      </c>
      <c r="G8916">
        <v>57692549</v>
      </c>
      <c r="H8916">
        <v>57692538</v>
      </c>
      <c r="I8916">
        <v>57692549</v>
      </c>
    </row>
    <row r="8917" spans="1:9" x14ac:dyDescent="0.2">
      <c r="A8917" t="str">
        <f>"Gm4133"</f>
        <v>Gm4133</v>
      </c>
      <c r="B8917" t="s">
        <v>3661</v>
      </c>
      <c r="C8917" t="s">
        <v>33</v>
      </c>
      <c r="D8917" t="s">
        <v>11</v>
      </c>
      <c r="E8917" t="s">
        <v>20</v>
      </c>
      <c r="F8917">
        <v>20334064</v>
      </c>
      <c r="G8917">
        <v>20334064</v>
      </c>
      <c r="H8917">
        <v>20334064</v>
      </c>
      <c r="I8917">
        <v>20334064</v>
      </c>
    </row>
    <row r="8918" spans="1:9" x14ac:dyDescent="0.2">
      <c r="A8918" t="str">
        <f>"Gm4141"</f>
        <v>Gm4141</v>
      </c>
      <c r="B8918" t="s">
        <v>3662</v>
      </c>
      <c r="C8918" t="s">
        <v>33</v>
      </c>
      <c r="D8918" t="s">
        <v>11</v>
      </c>
      <c r="E8918" t="s">
        <v>20</v>
      </c>
      <c r="F8918">
        <v>20576240</v>
      </c>
      <c r="G8918">
        <v>20576240</v>
      </c>
      <c r="H8918">
        <v>20576240</v>
      </c>
      <c r="I8918">
        <v>20576240</v>
      </c>
    </row>
    <row r="8919" spans="1:9" x14ac:dyDescent="0.2">
      <c r="A8919" t="str">
        <f>"Gm4172"</f>
        <v>Gm4172</v>
      </c>
      <c r="B8919" t="s">
        <v>3663</v>
      </c>
      <c r="C8919" t="s">
        <v>33</v>
      </c>
      <c r="D8919" t="s">
        <v>11</v>
      </c>
      <c r="E8919" t="s">
        <v>20</v>
      </c>
      <c r="F8919">
        <v>21546089</v>
      </c>
      <c r="G8919">
        <v>21546089</v>
      </c>
      <c r="H8919">
        <v>21546089</v>
      </c>
      <c r="I8919">
        <v>21546089</v>
      </c>
    </row>
    <row r="8920" spans="1:9" x14ac:dyDescent="0.2">
      <c r="A8920" t="str">
        <f>"Gm4175"</f>
        <v>Gm4175</v>
      </c>
      <c r="B8920" t="s">
        <v>3664</v>
      </c>
      <c r="C8920" t="s">
        <v>33</v>
      </c>
      <c r="D8920" t="s">
        <v>11</v>
      </c>
      <c r="E8920" t="s">
        <v>20</v>
      </c>
      <c r="F8920">
        <v>21761474</v>
      </c>
      <c r="G8920">
        <v>21761474</v>
      </c>
      <c r="H8920">
        <v>21761474</v>
      </c>
      <c r="I8920">
        <v>21761474</v>
      </c>
    </row>
    <row r="8921" spans="1:9" x14ac:dyDescent="0.2">
      <c r="A8921" t="str">
        <f>"Gm4177"</f>
        <v>Gm4177</v>
      </c>
      <c r="B8921" t="s">
        <v>3665</v>
      </c>
      <c r="C8921" t="s">
        <v>33</v>
      </c>
      <c r="D8921" t="s">
        <v>11</v>
      </c>
      <c r="E8921" t="s">
        <v>20</v>
      </c>
      <c r="F8921">
        <v>21796727</v>
      </c>
      <c r="G8921">
        <v>21796727</v>
      </c>
      <c r="H8921">
        <v>21796727</v>
      </c>
      <c r="I8921">
        <v>21796727</v>
      </c>
    </row>
    <row r="8922" spans="1:9" x14ac:dyDescent="0.2">
      <c r="A8922" t="str">
        <f>"Gm4179"</f>
        <v>Gm4179</v>
      </c>
      <c r="B8922" t="s">
        <v>3666</v>
      </c>
      <c r="C8922" t="s">
        <v>33</v>
      </c>
      <c r="D8922" t="s">
        <v>11</v>
      </c>
      <c r="E8922" t="s">
        <v>20</v>
      </c>
      <c r="F8922">
        <v>22028896</v>
      </c>
      <c r="G8922">
        <v>22028896</v>
      </c>
      <c r="H8922">
        <v>22028896</v>
      </c>
      <c r="I8922">
        <v>22028896</v>
      </c>
    </row>
    <row r="8923" spans="1:9" x14ac:dyDescent="0.2">
      <c r="A8923" t="str">
        <f>"Gm4181"</f>
        <v>Gm4181</v>
      </c>
      <c r="B8923" t="s">
        <v>3667</v>
      </c>
      <c r="C8923" t="s">
        <v>41</v>
      </c>
      <c r="D8923" t="s">
        <v>11</v>
      </c>
      <c r="E8923" t="s">
        <v>20</v>
      </c>
      <c r="F8923">
        <v>51635665</v>
      </c>
      <c r="G8923">
        <v>51635665</v>
      </c>
      <c r="H8923">
        <v>51635665</v>
      </c>
      <c r="I8923">
        <v>51635665</v>
      </c>
    </row>
    <row r="8924" spans="1:9" x14ac:dyDescent="0.2">
      <c r="A8924" t="str">
        <f>"Gm4187"</f>
        <v>Gm4187</v>
      </c>
      <c r="B8924" t="s">
        <v>3668</v>
      </c>
      <c r="C8924" t="s">
        <v>33</v>
      </c>
      <c r="D8924" t="s">
        <v>11</v>
      </c>
      <c r="E8924" t="s">
        <v>20</v>
      </c>
      <c r="F8924">
        <v>22329716</v>
      </c>
      <c r="G8924">
        <v>22329716</v>
      </c>
      <c r="H8924">
        <v>22329716</v>
      </c>
      <c r="I8924">
        <v>22329716</v>
      </c>
    </row>
    <row r="8925" spans="1:9" x14ac:dyDescent="0.2">
      <c r="A8925" t="str">
        <f>"Gm4201"</f>
        <v>Gm4201</v>
      </c>
      <c r="B8925" t="s">
        <v>3669</v>
      </c>
      <c r="C8925" t="s">
        <v>33</v>
      </c>
      <c r="D8925" t="s">
        <v>11</v>
      </c>
      <c r="E8925" t="s">
        <v>20</v>
      </c>
      <c r="F8925">
        <v>22565342</v>
      </c>
      <c r="G8925">
        <v>22565342</v>
      </c>
      <c r="H8925">
        <v>22565342</v>
      </c>
      <c r="I8925">
        <v>22565342</v>
      </c>
    </row>
    <row r="8926" spans="1:9" x14ac:dyDescent="0.2">
      <c r="A8926" t="str">
        <f>"Gm4204"</f>
        <v>Gm4204</v>
      </c>
      <c r="B8926" t="s">
        <v>14</v>
      </c>
      <c r="C8926" t="s">
        <v>19</v>
      </c>
      <c r="D8926" t="s">
        <v>17</v>
      </c>
      <c r="E8926" t="s">
        <v>67</v>
      </c>
      <c r="F8926">
        <v>135232077</v>
      </c>
      <c r="G8926">
        <v>135232110</v>
      </c>
      <c r="H8926">
        <v>135232077</v>
      </c>
      <c r="I8926">
        <v>135232110</v>
      </c>
    </row>
    <row r="8927" spans="1:9" x14ac:dyDescent="0.2">
      <c r="A8927" t="str">
        <f>"Gm4214"</f>
        <v>Gm4214</v>
      </c>
      <c r="B8927" t="s">
        <v>3670</v>
      </c>
      <c r="C8927" t="s">
        <v>33</v>
      </c>
      <c r="D8927" t="s">
        <v>11</v>
      </c>
      <c r="E8927" t="s">
        <v>20</v>
      </c>
      <c r="F8927">
        <v>22984672</v>
      </c>
      <c r="G8927">
        <v>22984672</v>
      </c>
      <c r="H8927">
        <v>22984672</v>
      </c>
      <c r="I8927">
        <v>22984672</v>
      </c>
    </row>
    <row r="8928" spans="1:9" x14ac:dyDescent="0.2">
      <c r="A8928" t="str">
        <f>"Gm4216"</f>
        <v>Gm4216</v>
      </c>
      <c r="B8928" t="s">
        <v>3671</v>
      </c>
      <c r="C8928" t="s">
        <v>33</v>
      </c>
      <c r="D8928" t="s">
        <v>11</v>
      </c>
      <c r="E8928" t="s">
        <v>20</v>
      </c>
      <c r="F8928">
        <v>23019922</v>
      </c>
      <c r="G8928">
        <v>23019922</v>
      </c>
      <c r="H8928">
        <v>23019922</v>
      </c>
      <c r="I8928">
        <v>23019922</v>
      </c>
    </row>
    <row r="8929" spans="1:9" x14ac:dyDescent="0.2">
      <c r="A8929" t="str">
        <f>"Gm4220"</f>
        <v>Gm4220</v>
      </c>
      <c r="B8929" t="s">
        <v>3672</v>
      </c>
      <c r="C8929" t="s">
        <v>33</v>
      </c>
      <c r="D8929" t="s">
        <v>11</v>
      </c>
      <c r="E8929" t="s">
        <v>20</v>
      </c>
      <c r="F8929">
        <v>23251681</v>
      </c>
      <c r="G8929">
        <v>23251681</v>
      </c>
      <c r="H8929">
        <v>23251681</v>
      </c>
      <c r="I8929">
        <v>23251681</v>
      </c>
    </row>
    <row r="8930" spans="1:9" x14ac:dyDescent="0.2">
      <c r="A8930" t="str">
        <f>"Gm4222"</f>
        <v>Gm4222</v>
      </c>
      <c r="B8930" t="s">
        <v>3673</v>
      </c>
      <c r="C8930" t="s">
        <v>26</v>
      </c>
      <c r="D8930" t="s">
        <v>17</v>
      </c>
      <c r="E8930" t="s">
        <v>20</v>
      </c>
      <c r="F8930">
        <v>90148459</v>
      </c>
      <c r="G8930">
        <v>90148459</v>
      </c>
      <c r="H8930">
        <v>90148459</v>
      </c>
      <c r="I8930">
        <v>90148459</v>
      </c>
    </row>
    <row r="8931" spans="1:9" x14ac:dyDescent="0.2">
      <c r="A8931" t="str">
        <f>"Gm4245"</f>
        <v>Gm4245</v>
      </c>
      <c r="B8931" t="s">
        <v>3674</v>
      </c>
      <c r="C8931" t="s">
        <v>26</v>
      </c>
      <c r="D8931" t="s">
        <v>11</v>
      </c>
      <c r="E8931" t="s">
        <v>20</v>
      </c>
      <c r="F8931">
        <v>175703645</v>
      </c>
      <c r="G8931">
        <v>175703645</v>
      </c>
      <c r="H8931">
        <v>175703645</v>
      </c>
      <c r="I8931">
        <v>175703645</v>
      </c>
    </row>
    <row r="8932" spans="1:9" x14ac:dyDescent="0.2">
      <c r="A8932" t="str">
        <f>"Gm428"</f>
        <v>Gm428</v>
      </c>
      <c r="B8932" t="s">
        <v>3675</v>
      </c>
      <c r="C8932" t="s">
        <v>23</v>
      </c>
      <c r="D8932" t="s">
        <v>17</v>
      </c>
      <c r="E8932" t="s">
        <v>20</v>
      </c>
      <c r="F8932">
        <v>73683515</v>
      </c>
      <c r="G8932">
        <v>73683515</v>
      </c>
      <c r="H8932">
        <v>73683515</v>
      </c>
      <c r="I8932">
        <v>73683515</v>
      </c>
    </row>
    <row r="8933" spans="1:9" x14ac:dyDescent="0.2">
      <c r="A8933" t="str">
        <f>"Gm4297"</f>
        <v>Gm4297</v>
      </c>
      <c r="B8933" t="s">
        <v>3676</v>
      </c>
      <c r="C8933" t="s">
        <v>37</v>
      </c>
      <c r="D8933" t="s">
        <v>11</v>
      </c>
      <c r="E8933" t="s">
        <v>20</v>
      </c>
      <c r="F8933">
        <v>24574894</v>
      </c>
      <c r="G8933">
        <v>24574894</v>
      </c>
      <c r="H8933">
        <v>24574894</v>
      </c>
      <c r="I8933">
        <v>24574894</v>
      </c>
    </row>
    <row r="8934" spans="1:9" x14ac:dyDescent="0.2">
      <c r="A8934" t="str">
        <f>"Gm4301"</f>
        <v>Gm4301</v>
      </c>
      <c r="B8934" t="s">
        <v>3677</v>
      </c>
      <c r="C8934" t="s">
        <v>15</v>
      </c>
      <c r="D8934" t="s">
        <v>17</v>
      </c>
      <c r="E8934" t="s">
        <v>20</v>
      </c>
      <c r="F8934">
        <v>100335675</v>
      </c>
      <c r="G8934">
        <v>100335675</v>
      </c>
      <c r="H8934">
        <v>100335675</v>
      </c>
      <c r="I8934">
        <v>100335675</v>
      </c>
    </row>
    <row r="8935" spans="1:9" x14ac:dyDescent="0.2">
      <c r="A8935" t="str">
        <f>"Gm4302"</f>
        <v>Gm4302</v>
      </c>
      <c r="B8935" t="s">
        <v>3678</v>
      </c>
      <c r="C8935" t="s">
        <v>15</v>
      </c>
      <c r="D8935" t="s">
        <v>17</v>
      </c>
      <c r="E8935" t="s">
        <v>20</v>
      </c>
      <c r="F8935">
        <v>100340835</v>
      </c>
      <c r="G8935">
        <v>100340835</v>
      </c>
      <c r="H8935">
        <v>100340835</v>
      </c>
      <c r="I8935">
        <v>100340835</v>
      </c>
    </row>
    <row r="8936" spans="1:9" x14ac:dyDescent="0.2">
      <c r="A8936" t="str">
        <f>"Gm4303"</f>
        <v>Gm4303</v>
      </c>
      <c r="B8936" t="s">
        <v>3679</v>
      </c>
      <c r="C8936" t="s">
        <v>15</v>
      </c>
      <c r="D8936" t="s">
        <v>17</v>
      </c>
      <c r="E8936" t="s">
        <v>20</v>
      </c>
      <c r="F8936">
        <v>100345989</v>
      </c>
      <c r="G8936">
        <v>100345989</v>
      </c>
      <c r="H8936">
        <v>100345989</v>
      </c>
      <c r="I8936">
        <v>100345989</v>
      </c>
    </row>
    <row r="8937" spans="1:9" x14ac:dyDescent="0.2">
      <c r="A8937" t="str">
        <f>"Gm4305"</f>
        <v>Gm4305</v>
      </c>
      <c r="B8937" t="s">
        <v>3680</v>
      </c>
      <c r="C8937" t="s">
        <v>15</v>
      </c>
      <c r="D8937" t="s">
        <v>17</v>
      </c>
      <c r="E8937" t="s">
        <v>20</v>
      </c>
      <c r="F8937">
        <v>100351110</v>
      </c>
      <c r="G8937">
        <v>100351110</v>
      </c>
      <c r="H8937">
        <v>100351110</v>
      </c>
      <c r="I8937">
        <v>100351110</v>
      </c>
    </row>
    <row r="8938" spans="1:9" x14ac:dyDescent="0.2">
      <c r="A8938" t="str">
        <f>"Gm4307"</f>
        <v>Gm4307</v>
      </c>
      <c r="B8938" t="s">
        <v>3681</v>
      </c>
      <c r="C8938" t="s">
        <v>15</v>
      </c>
      <c r="D8938" t="s">
        <v>17</v>
      </c>
      <c r="E8938" t="s">
        <v>20</v>
      </c>
      <c r="F8938">
        <v>100361337</v>
      </c>
      <c r="G8938">
        <v>100361337</v>
      </c>
      <c r="H8938">
        <v>100361337</v>
      </c>
      <c r="I8938">
        <v>100361337</v>
      </c>
    </row>
    <row r="8939" spans="1:9" x14ac:dyDescent="0.2">
      <c r="A8939" t="str">
        <f>"Gm4308"</f>
        <v>Gm4308</v>
      </c>
      <c r="B8939" t="s">
        <v>3682</v>
      </c>
      <c r="C8939" t="s">
        <v>15</v>
      </c>
      <c r="D8939" t="s">
        <v>17</v>
      </c>
      <c r="E8939" t="s">
        <v>20</v>
      </c>
      <c r="F8939">
        <v>100366498</v>
      </c>
      <c r="G8939">
        <v>100366498</v>
      </c>
      <c r="H8939">
        <v>100366498</v>
      </c>
      <c r="I8939">
        <v>100366498</v>
      </c>
    </row>
    <row r="8940" spans="1:9" x14ac:dyDescent="0.2">
      <c r="A8940" t="str">
        <f>"Gm4312"</f>
        <v>Gm4312</v>
      </c>
      <c r="B8940" t="s">
        <v>3683</v>
      </c>
      <c r="C8940" t="s">
        <v>15</v>
      </c>
      <c r="D8940" t="s">
        <v>11</v>
      </c>
      <c r="E8940" t="s">
        <v>20</v>
      </c>
      <c r="F8940">
        <v>100382538</v>
      </c>
      <c r="G8940">
        <v>100382538</v>
      </c>
      <c r="H8940">
        <v>100382538</v>
      </c>
      <c r="I8940">
        <v>100382538</v>
      </c>
    </row>
    <row r="8941" spans="1:9" x14ac:dyDescent="0.2">
      <c r="A8941" t="str">
        <f>"Gm4340"</f>
        <v>Gm4340</v>
      </c>
      <c r="B8941" t="s">
        <v>3684</v>
      </c>
      <c r="C8941" t="s">
        <v>15</v>
      </c>
      <c r="D8941" t="s">
        <v>17</v>
      </c>
      <c r="E8941" t="s">
        <v>20</v>
      </c>
      <c r="F8941">
        <v>104195396</v>
      </c>
      <c r="G8941">
        <v>104195396</v>
      </c>
      <c r="H8941">
        <v>104195396</v>
      </c>
      <c r="I8941">
        <v>104195396</v>
      </c>
    </row>
    <row r="8942" spans="1:9" x14ac:dyDescent="0.2">
      <c r="A8942" t="str">
        <f>"Gm4345"</f>
        <v>Gm4345</v>
      </c>
      <c r="B8942" t="s">
        <v>3685</v>
      </c>
      <c r="C8942" t="s">
        <v>28</v>
      </c>
      <c r="D8942" t="s">
        <v>17</v>
      </c>
      <c r="E8942" t="s">
        <v>20</v>
      </c>
      <c r="F8942">
        <v>39536141</v>
      </c>
      <c r="G8942">
        <v>39536141</v>
      </c>
      <c r="H8942">
        <v>39536141</v>
      </c>
      <c r="I8942">
        <v>39536141</v>
      </c>
    </row>
    <row r="8943" spans="1:9" x14ac:dyDescent="0.2">
      <c r="A8943" t="str">
        <f>"Gm4353"</f>
        <v>Gm4353</v>
      </c>
      <c r="B8943" t="s">
        <v>3686</v>
      </c>
      <c r="C8943" t="s">
        <v>33</v>
      </c>
      <c r="D8943" t="s">
        <v>11</v>
      </c>
      <c r="E8943" t="s">
        <v>20</v>
      </c>
      <c r="F8943">
        <v>116084634</v>
      </c>
      <c r="G8943">
        <v>116084634</v>
      </c>
      <c r="H8943">
        <v>116084634</v>
      </c>
      <c r="I8943">
        <v>116084634</v>
      </c>
    </row>
    <row r="8944" spans="1:9" x14ac:dyDescent="0.2">
      <c r="A8944" t="str">
        <f>"Gm436"</f>
        <v>Gm436</v>
      </c>
      <c r="B8944" t="s">
        <v>14</v>
      </c>
      <c r="C8944" t="s">
        <v>23</v>
      </c>
      <c r="D8944" t="s">
        <v>11</v>
      </c>
      <c r="E8944" t="s">
        <v>12</v>
      </c>
      <c r="F8944">
        <v>144686409</v>
      </c>
      <c r="G8944">
        <v>144686422</v>
      </c>
      <c r="H8944">
        <v>144686409</v>
      </c>
      <c r="I8944">
        <v>144686422</v>
      </c>
    </row>
    <row r="8945" spans="1:9" x14ac:dyDescent="0.2">
      <c r="A8945" t="str">
        <f>"Gm438"</f>
        <v>Gm438</v>
      </c>
      <c r="B8945" t="s">
        <v>14</v>
      </c>
      <c r="C8945" t="s">
        <v>23</v>
      </c>
      <c r="D8945" t="s">
        <v>11</v>
      </c>
      <c r="E8945" t="s">
        <v>12</v>
      </c>
      <c r="F8945">
        <v>144786551</v>
      </c>
      <c r="G8945">
        <v>144786566</v>
      </c>
      <c r="H8945">
        <v>144786581</v>
      </c>
      <c r="I8945">
        <v>144786589</v>
      </c>
    </row>
    <row r="8946" spans="1:9" x14ac:dyDescent="0.2">
      <c r="A8946" t="str">
        <f>"Gm44"</f>
        <v>Gm44</v>
      </c>
      <c r="B8946" t="s">
        <v>3687</v>
      </c>
      <c r="C8946" t="s">
        <v>37</v>
      </c>
      <c r="D8946" t="s">
        <v>17</v>
      </c>
      <c r="E8946" t="s">
        <v>20</v>
      </c>
      <c r="F8946">
        <v>90892141</v>
      </c>
      <c r="G8946">
        <v>90892141</v>
      </c>
      <c r="H8946">
        <v>90892141</v>
      </c>
      <c r="I8946">
        <v>90892141</v>
      </c>
    </row>
    <row r="8947" spans="1:9" x14ac:dyDescent="0.2">
      <c r="A8947" t="str">
        <f>"Gm4450"</f>
        <v>Gm4450</v>
      </c>
      <c r="B8947" t="s">
        <v>3688</v>
      </c>
      <c r="C8947" t="s">
        <v>22</v>
      </c>
      <c r="D8947" t="s">
        <v>11</v>
      </c>
      <c r="E8947" t="s">
        <v>20</v>
      </c>
      <c r="F8947">
        <v>98457030</v>
      </c>
      <c r="G8947">
        <v>98457030</v>
      </c>
      <c r="H8947">
        <v>98457030</v>
      </c>
      <c r="I8947">
        <v>98457030</v>
      </c>
    </row>
    <row r="8948" spans="1:9" x14ac:dyDescent="0.2">
      <c r="A8948" t="str">
        <f>"Gm4461"</f>
        <v>Gm4461</v>
      </c>
      <c r="B8948" t="s">
        <v>3689</v>
      </c>
      <c r="C8948" t="s">
        <v>28</v>
      </c>
      <c r="D8948" t="s">
        <v>11</v>
      </c>
      <c r="E8948" t="s">
        <v>20</v>
      </c>
      <c r="F8948">
        <v>33216350</v>
      </c>
      <c r="G8948">
        <v>33216350</v>
      </c>
      <c r="H8948">
        <v>33216350</v>
      </c>
      <c r="I8948">
        <v>33216350</v>
      </c>
    </row>
    <row r="8949" spans="1:9" x14ac:dyDescent="0.2">
      <c r="A8949" t="str">
        <f>"Gm4477"</f>
        <v>Gm4477</v>
      </c>
      <c r="B8949" t="s">
        <v>3690</v>
      </c>
      <c r="C8949" t="s">
        <v>32</v>
      </c>
      <c r="D8949" t="s">
        <v>11</v>
      </c>
      <c r="E8949" t="s">
        <v>20</v>
      </c>
      <c r="F8949">
        <v>85713204</v>
      </c>
      <c r="G8949">
        <v>85713204</v>
      </c>
      <c r="H8949">
        <v>85713204</v>
      </c>
      <c r="I8949">
        <v>85713204</v>
      </c>
    </row>
    <row r="8950" spans="1:9" x14ac:dyDescent="0.2">
      <c r="A8950" t="str">
        <f>"Gm4477"</f>
        <v>Gm4477</v>
      </c>
      <c r="B8950" t="s">
        <v>3691</v>
      </c>
      <c r="C8950" t="s">
        <v>32</v>
      </c>
      <c r="D8950" t="s">
        <v>11</v>
      </c>
      <c r="E8950" t="s">
        <v>20</v>
      </c>
      <c r="F8950">
        <v>85707857</v>
      </c>
      <c r="G8950">
        <v>85707857</v>
      </c>
      <c r="H8950">
        <v>85707857</v>
      </c>
      <c r="I8950">
        <v>85707857</v>
      </c>
    </row>
    <row r="8951" spans="1:9" x14ac:dyDescent="0.2">
      <c r="A8951" t="str">
        <f>"Gm4491"</f>
        <v>Gm4491</v>
      </c>
      <c r="B8951" t="s">
        <v>14</v>
      </c>
      <c r="C8951" t="s">
        <v>41</v>
      </c>
      <c r="D8951" t="s">
        <v>11</v>
      </c>
      <c r="E8951" t="s">
        <v>67</v>
      </c>
      <c r="F8951">
        <v>57115881</v>
      </c>
      <c r="G8951">
        <v>57115884</v>
      </c>
      <c r="H8951">
        <v>57115881</v>
      </c>
      <c r="I8951">
        <v>57115884</v>
      </c>
    </row>
    <row r="8952" spans="1:9" x14ac:dyDescent="0.2">
      <c r="A8952" t="str">
        <f>"Gm4498"</f>
        <v>Gm4498</v>
      </c>
      <c r="B8952" t="s">
        <v>3692</v>
      </c>
      <c r="C8952" t="s">
        <v>33</v>
      </c>
      <c r="D8952" t="s">
        <v>11</v>
      </c>
      <c r="E8952" t="s">
        <v>20</v>
      </c>
      <c r="F8952">
        <v>20233827</v>
      </c>
      <c r="G8952">
        <v>20233827</v>
      </c>
      <c r="H8952">
        <v>20233827</v>
      </c>
      <c r="I8952">
        <v>20233827</v>
      </c>
    </row>
    <row r="8953" spans="1:9" x14ac:dyDescent="0.2">
      <c r="A8953" t="str">
        <f>"Gm454"</f>
        <v>Gm454</v>
      </c>
      <c r="B8953" t="s">
        <v>14</v>
      </c>
      <c r="C8953" t="s">
        <v>46</v>
      </c>
      <c r="D8953" t="s">
        <v>11</v>
      </c>
      <c r="E8953" t="s">
        <v>67</v>
      </c>
      <c r="F8953">
        <v>138207302</v>
      </c>
      <c r="G8953">
        <v>138207317</v>
      </c>
      <c r="H8953">
        <v>138207320</v>
      </c>
      <c r="I8953">
        <v>138207325</v>
      </c>
    </row>
    <row r="8954" spans="1:9" x14ac:dyDescent="0.2">
      <c r="A8954" t="str">
        <f>"Gm4540"</f>
        <v>Gm4540</v>
      </c>
      <c r="B8954" t="s">
        <v>14</v>
      </c>
      <c r="C8954" t="s">
        <v>22</v>
      </c>
      <c r="D8954" t="s">
        <v>17</v>
      </c>
      <c r="E8954" t="s">
        <v>12</v>
      </c>
      <c r="F8954">
        <v>106034661</v>
      </c>
      <c r="G8954">
        <v>106034692</v>
      </c>
      <c r="H8954">
        <v>106034661</v>
      </c>
      <c r="I8954">
        <v>106034692</v>
      </c>
    </row>
    <row r="8955" spans="1:9" x14ac:dyDescent="0.2">
      <c r="A8955" t="str">
        <f>"Gm4553"</f>
        <v>Gm4553</v>
      </c>
      <c r="B8955" t="s">
        <v>14</v>
      </c>
      <c r="C8955" t="s">
        <v>33</v>
      </c>
      <c r="D8955" t="s">
        <v>11</v>
      </c>
      <c r="E8955" t="s">
        <v>12</v>
      </c>
      <c r="F8955">
        <v>142165749</v>
      </c>
      <c r="G8955">
        <v>142165753</v>
      </c>
      <c r="H8955">
        <v>142165749</v>
      </c>
      <c r="I8955">
        <v>142165753</v>
      </c>
    </row>
    <row r="8956" spans="1:9" x14ac:dyDescent="0.2">
      <c r="A8956" t="str">
        <f>"Gm4559"</f>
        <v>Gm4559</v>
      </c>
      <c r="B8956" t="s">
        <v>3693</v>
      </c>
      <c r="C8956" t="s">
        <v>33</v>
      </c>
      <c r="D8956" t="s">
        <v>11</v>
      </c>
      <c r="E8956" t="s">
        <v>20</v>
      </c>
      <c r="F8956">
        <v>142274362</v>
      </c>
      <c r="G8956">
        <v>142274362</v>
      </c>
      <c r="H8956">
        <v>142274362</v>
      </c>
      <c r="I8956">
        <v>142274362</v>
      </c>
    </row>
    <row r="8957" spans="1:9" x14ac:dyDescent="0.2">
      <c r="A8957" t="str">
        <f>"Gm4567"</f>
        <v>Gm4567</v>
      </c>
      <c r="B8957" t="s">
        <v>3694</v>
      </c>
      <c r="C8957" t="s">
        <v>33</v>
      </c>
      <c r="D8957" t="s">
        <v>11</v>
      </c>
      <c r="E8957" t="s">
        <v>20</v>
      </c>
      <c r="F8957">
        <v>22714909</v>
      </c>
      <c r="G8957">
        <v>22714909</v>
      </c>
      <c r="H8957">
        <v>22714909</v>
      </c>
      <c r="I8957">
        <v>22714909</v>
      </c>
    </row>
    <row r="8958" spans="1:9" x14ac:dyDescent="0.2">
      <c r="A8958" t="str">
        <f>"Gm46"</f>
        <v>Gm46</v>
      </c>
      <c r="B8958" t="s">
        <v>14</v>
      </c>
      <c r="C8958" t="s">
        <v>16</v>
      </c>
      <c r="D8958" t="s">
        <v>11</v>
      </c>
      <c r="E8958" t="s">
        <v>12</v>
      </c>
      <c r="F8958">
        <v>103676002</v>
      </c>
      <c r="G8958">
        <v>103676032</v>
      </c>
      <c r="H8958">
        <v>103676002</v>
      </c>
      <c r="I8958">
        <v>103676032</v>
      </c>
    </row>
    <row r="8959" spans="1:9" x14ac:dyDescent="0.2">
      <c r="A8959" t="str">
        <f>"Gm4631"</f>
        <v>Gm4631</v>
      </c>
      <c r="B8959" t="s">
        <v>3695</v>
      </c>
      <c r="C8959" t="s">
        <v>26</v>
      </c>
      <c r="D8959" t="s">
        <v>11</v>
      </c>
      <c r="E8959" t="s">
        <v>20</v>
      </c>
      <c r="F8959">
        <v>175338196</v>
      </c>
      <c r="G8959">
        <v>175338196</v>
      </c>
      <c r="H8959">
        <v>175338196</v>
      </c>
      <c r="I8959">
        <v>175338196</v>
      </c>
    </row>
    <row r="8960" spans="1:9" x14ac:dyDescent="0.2">
      <c r="A8960" t="str">
        <f>"Gm4707"</f>
        <v>Gm4707</v>
      </c>
      <c r="B8960" t="s">
        <v>14</v>
      </c>
      <c r="C8960" t="s">
        <v>28</v>
      </c>
      <c r="D8960" t="s">
        <v>11</v>
      </c>
      <c r="E8960" t="s">
        <v>67</v>
      </c>
      <c r="F8960">
        <v>71459430</v>
      </c>
      <c r="G8960">
        <v>71459449</v>
      </c>
      <c r="H8960">
        <v>71459430</v>
      </c>
      <c r="I8960">
        <v>71459449</v>
      </c>
    </row>
    <row r="8961" spans="1:9" x14ac:dyDescent="0.2">
      <c r="A8961" t="str">
        <f>"Gm4723"</f>
        <v>Gm4723</v>
      </c>
      <c r="B8961" t="s">
        <v>3696</v>
      </c>
      <c r="C8961" t="s">
        <v>26</v>
      </c>
      <c r="D8961" t="s">
        <v>17</v>
      </c>
      <c r="E8961" t="s">
        <v>20</v>
      </c>
      <c r="F8961">
        <v>175372491</v>
      </c>
      <c r="G8961">
        <v>175372491</v>
      </c>
      <c r="H8961">
        <v>175372491</v>
      </c>
      <c r="I8961">
        <v>175372491</v>
      </c>
    </row>
    <row r="8962" spans="1:9" x14ac:dyDescent="0.2">
      <c r="A8962" t="str">
        <f>"Gm4724"</f>
        <v>Gm4724</v>
      </c>
      <c r="B8962" t="s">
        <v>3697</v>
      </c>
      <c r="C8962" t="s">
        <v>26</v>
      </c>
      <c r="D8962" t="s">
        <v>11</v>
      </c>
      <c r="E8962" t="s">
        <v>20</v>
      </c>
      <c r="F8962">
        <v>175435806</v>
      </c>
      <c r="G8962">
        <v>175435806</v>
      </c>
      <c r="H8962">
        <v>175435806</v>
      </c>
      <c r="I8962">
        <v>175435806</v>
      </c>
    </row>
    <row r="8963" spans="1:9" x14ac:dyDescent="0.2">
      <c r="A8963" t="str">
        <f>"Gm4724"</f>
        <v>Gm4724</v>
      </c>
      <c r="B8963" t="s">
        <v>3698</v>
      </c>
      <c r="C8963" t="s">
        <v>26</v>
      </c>
      <c r="D8963" t="s">
        <v>11</v>
      </c>
      <c r="E8963" t="s">
        <v>20</v>
      </c>
      <c r="F8963">
        <v>175432181</v>
      </c>
      <c r="G8963">
        <v>175432181</v>
      </c>
      <c r="H8963">
        <v>175432181</v>
      </c>
      <c r="I8963">
        <v>175432181</v>
      </c>
    </row>
    <row r="8964" spans="1:9" x14ac:dyDescent="0.2">
      <c r="A8964" t="str">
        <f>"Gm4736"</f>
        <v>Gm4736</v>
      </c>
      <c r="B8964" t="s">
        <v>3699</v>
      </c>
      <c r="C8964" t="s">
        <v>32</v>
      </c>
      <c r="D8964" t="s">
        <v>11</v>
      </c>
      <c r="E8964" t="s">
        <v>20</v>
      </c>
      <c r="F8964">
        <v>132117661</v>
      </c>
      <c r="G8964">
        <v>132117661</v>
      </c>
      <c r="H8964">
        <v>132117661</v>
      </c>
      <c r="I8964">
        <v>132117661</v>
      </c>
    </row>
    <row r="8965" spans="1:9" x14ac:dyDescent="0.2">
      <c r="A8965" t="str">
        <f>"Gm4737"</f>
        <v>Gm4737</v>
      </c>
      <c r="B8965" t="s">
        <v>3700</v>
      </c>
      <c r="C8965" t="s">
        <v>31</v>
      </c>
      <c r="D8965" t="s">
        <v>11</v>
      </c>
      <c r="E8965" t="s">
        <v>20</v>
      </c>
      <c r="F8965">
        <v>46155076</v>
      </c>
      <c r="G8965">
        <v>46155076</v>
      </c>
      <c r="H8965">
        <v>46155076</v>
      </c>
      <c r="I8965">
        <v>46155076</v>
      </c>
    </row>
    <row r="8966" spans="1:9" x14ac:dyDescent="0.2">
      <c r="A8966" t="str">
        <f>"Gm4744"</f>
        <v>Gm4744</v>
      </c>
      <c r="B8966" t="s">
        <v>3701</v>
      </c>
      <c r="C8966" t="s">
        <v>32</v>
      </c>
      <c r="D8966" t="s">
        <v>11</v>
      </c>
      <c r="E8966" t="s">
        <v>20</v>
      </c>
      <c r="F8966">
        <v>40951825</v>
      </c>
      <c r="G8966">
        <v>40951825</v>
      </c>
      <c r="H8966">
        <v>40951825</v>
      </c>
      <c r="I8966">
        <v>40951825</v>
      </c>
    </row>
    <row r="8967" spans="1:9" x14ac:dyDescent="0.2">
      <c r="A8967" t="str">
        <f>"Gm4745"</f>
        <v>Gm4745</v>
      </c>
      <c r="B8967" t="s">
        <v>3702</v>
      </c>
      <c r="C8967" t="s">
        <v>33</v>
      </c>
      <c r="D8967" t="s">
        <v>17</v>
      </c>
      <c r="E8967" t="s">
        <v>20</v>
      </c>
      <c r="F8967">
        <v>14659732</v>
      </c>
      <c r="G8967">
        <v>14659732</v>
      </c>
      <c r="H8967">
        <v>14659732</v>
      </c>
      <c r="I8967">
        <v>14659732</v>
      </c>
    </row>
    <row r="8968" spans="1:9" x14ac:dyDescent="0.2">
      <c r="A8968" t="str">
        <f>"Gm4745"</f>
        <v>Gm4745</v>
      </c>
      <c r="B8968" t="s">
        <v>3703</v>
      </c>
      <c r="C8968" t="s">
        <v>33</v>
      </c>
      <c r="D8968" t="s">
        <v>17</v>
      </c>
      <c r="E8968" t="s">
        <v>20</v>
      </c>
      <c r="F8968">
        <v>14659495</v>
      </c>
      <c r="G8968">
        <v>14659495</v>
      </c>
      <c r="H8968">
        <v>14659495</v>
      </c>
      <c r="I8968">
        <v>14659495</v>
      </c>
    </row>
    <row r="8969" spans="1:9" x14ac:dyDescent="0.2">
      <c r="A8969" t="str">
        <f>"Gm4758"</f>
        <v>Gm4758</v>
      </c>
      <c r="B8969" t="s">
        <v>14</v>
      </c>
      <c r="C8969" t="s">
        <v>31</v>
      </c>
      <c r="D8969" t="s">
        <v>17</v>
      </c>
      <c r="E8969" t="s">
        <v>12</v>
      </c>
      <c r="F8969">
        <v>36307994</v>
      </c>
      <c r="G8969">
        <v>36307998</v>
      </c>
      <c r="H8969">
        <v>36307994</v>
      </c>
      <c r="I8969">
        <v>36307998</v>
      </c>
    </row>
    <row r="8970" spans="1:9" x14ac:dyDescent="0.2">
      <c r="A8970" t="str">
        <f>"Gm4763"</f>
        <v>Gm4763</v>
      </c>
      <c r="B8970" t="s">
        <v>3704</v>
      </c>
      <c r="C8970" t="s">
        <v>33</v>
      </c>
      <c r="D8970" t="s">
        <v>11</v>
      </c>
      <c r="E8970" t="s">
        <v>20</v>
      </c>
      <c r="F8970">
        <v>24724236</v>
      </c>
      <c r="G8970">
        <v>24724236</v>
      </c>
      <c r="H8970">
        <v>24724236</v>
      </c>
      <c r="I8970">
        <v>24724236</v>
      </c>
    </row>
    <row r="8971" spans="1:9" x14ac:dyDescent="0.2">
      <c r="A8971" t="str">
        <f>"Gm4767"</f>
        <v>Gm4767</v>
      </c>
      <c r="B8971" t="s">
        <v>3705</v>
      </c>
      <c r="C8971" t="s">
        <v>15</v>
      </c>
      <c r="D8971" t="s">
        <v>17</v>
      </c>
      <c r="E8971" t="s">
        <v>20</v>
      </c>
      <c r="F8971">
        <v>81821126</v>
      </c>
      <c r="G8971">
        <v>81821126</v>
      </c>
      <c r="H8971">
        <v>81821126</v>
      </c>
      <c r="I8971">
        <v>81821126</v>
      </c>
    </row>
    <row r="8972" spans="1:9" x14ac:dyDescent="0.2">
      <c r="A8972" t="str">
        <f>"Gm4775"</f>
        <v>Gm4775</v>
      </c>
      <c r="B8972" t="s">
        <v>14</v>
      </c>
      <c r="C8972" t="s">
        <v>41</v>
      </c>
      <c r="D8972" t="s">
        <v>11</v>
      </c>
      <c r="E8972" t="s">
        <v>67</v>
      </c>
      <c r="F8972">
        <v>106101180</v>
      </c>
      <c r="G8972">
        <v>106101189</v>
      </c>
      <c r="H8972">
        <v>106101180</v>
      </c>
      <c r="I8972">
        <v>106101189</v>
      </c>
    </row>
    <row r="8973" spans="1:9" x14ac:dyDescent="0.2">
      <c r="A8973" t="str">
        <f>"Gm4776"</f>
        <v>Gm4776</v>
      </c>
      <c r="B8973" t="s">
        <v>14</v>
      </c>
      <c r="C8973" t="s">
        <v>19</v>
      </c>
      <c r="D8973" t="s">
        <v>11</v>
      </c>
      <c r="E8973" t="s">
        <v>67</v>
      </c>
      <c r="F8973">
        <v>46030453</v>
      </c>
      <c r="G8973">
        <v>46030456</v>
      </c>
      <c r="H8973">
        <v>46030453</v>
      </c>
      <c r="I8973">
        <v>46030456</v>
      </c>
    </row>
    <row r="8974" spans="1:9" x14ac:dyDescent="0.2">
      <c r="A8974" t="str">
        <f>"Gm4778"</f>
        <v>Gm4778</v>
      </c>
      <c r="B8974" t="s">
        <v>3706</v>
      </c>
      <c r="C8974" t="s">
        <v>22</v>
      </c>
      <c r="D8974" t="s">
        <v>17</v>
      </c>
      <c r="E8974" t="s">
        <v>20</v>
      </c>
      <c r="F8974">
        <v>94264035</v>
      </c>
      <c r="G8974">
        <v>94264035</v>
      </c>
      <c r="H8974">
        <v>94264035</v>
      </c>
      <c r="I8974">
        <v>94264035</v>
      </c>
    </row>
    <row r="8975" spans="1:9" x14ac:dyDescent="0.2">
      <c r="A8975" t="str">
        <f>"Gm4781"</f>
        <v>Gm4781</v>
      </c>
      <c r="B8975" t="s">
        <v>3707</v>
      </c>
      <c r="C8975" t="s">
        <v>15</v>
      </c>
      <c r="D8975" t="s">
        <v>11</v>
      </c>
      <c r="E8975" t="s">
        <v>20</v>
      </c>
      <c r="F8975">
        <v>100397071</v>
      </c>
      <c r="G8975">
        <v>100397071</v>
      </c>
      <c r="H8975">
        <v>100397071</v>
      </c>
      <c r="I8975">
        <v>100397071</v>
      </c>
    </row>
    <row r="8976" spans="1:9" x14ac:dyDescent="0.2">
      <c r="A8976" t="str">
        <f>"Gm4782"</f>
        <v>Gm4782</v>
      </c>
      <c r="B8976" t="s">
        <v>3708</v>
      </c>
      <c r="C8976" t="s">
        <v>32</v>
      </c>
      <c r="D8976" t="s">
        <v>17</v>
      </c>
      <c r="E8976" t="s">
        <v>20</v>
      </c>
      <c r="F8976">
        <v>50608636</v>
      </c>
      <c r="G8976">
        <v>50608636</v>
      </c>
      <c r="H8976">
        <v>50608636</v>
      </c>
      <c r="I8976">
        <v>50608636</v>
      </c>
    </row>
    <row r="8977" spans="1:9" x14ac:dyDescent="0.2">
      <c r="A8977" t="str">
        <f>"Gm4787"</f>
        <v>Gm4787</v>
      </c>
      <c r="B8977" t="s">
        <v>3709</v>
      </c>
      <c r="C8977" t="s">
        <v>16</v>
      </c>
      <c r="D8977" t="s">
        <v>11</v>
      </c>
      <c r="E8977" t="s">
        <v>20</v>
      </c>
      <c r="F8977">
        <v>81379463</v>
      </c>
      <c r="G8977">
        <v>81379463</v>
      </c>
      <c r="H8977">
        <v>81379463</v>
      </c>
      <c r="I8977">
        <v>81379463</v>
      </c>
    </row>
    <row r="8978" spans="1:9" x14ac:dyDescent="0.2">
      <c r="A8978" t="str">
        <f>"Gm4788"</f>
        <v>Gm4788</v>
      </c>
      <c r="B8978" t="s">
        <v>14</v>
      </c>
      <c r="C8978" t="s">
        <v>19</v>
      </c>
      <c r="D8978" t="s">
        <v>11</v>
      </c>
      <c r="E8978" t="s">
        <v>12</v>
      </c>
      <c r="F8978">
        <v>139781254</v>
      </c>
      <c r="G8978">
        <v>139781266</v>
      </c>
      <c r="H8978">
        <v>139781254</v>
      </c>
      <c r="I8978">
        <v>139781266</v>
      </c>
    </row>
    <row r="8979" spans="1:9" x14ac:dyDescent="0.2">
      <c r="A8979" t="str">
        <f>"Gm4791"</f>
        <v>Gm4791</v>
      </c>
      <c r="B8979" t="s">
        <v>3710</v>
      </c>
      <c r="C8979" t="s">
        <v>24</v>
      </c>
      <c r="D8979" t="s">
        <v>17</v>
      </c>
      <c r="E8979" t="s">
        <v>20</v>
      </c>
      <c r="F8979">
        <v>46998930</v>
      </c>
      <c r="G8979">
        <v>46998930</v>
      </c>
      <c r="H8979">
        <v>46998930</v>
      </c>
      <c r="I8979">
        <v>46998930</v>
      </c>
    </row>
    <row r="8980" spans="1:9" x14ac:dyDescent="0.2">
      <c r="A8980" t="str">
        <f>"Gm4792"</f>
        <v>Gm4792</v>
      </c>
      <c r="B8980" t="s">
        <v>14</v>
      </c>
      <c r="C8980" t="s">
        <v>15</v>
      </c>
      <c r="D8980" t="s">
        <v>11</v>
      </c>
      <c r="E8980" t="s">
        <v>12</v>
      </c>
      <c r="F8980">
        <v>94298585</v>
      </c>
      <c r="G8980">
        <v>94298613</v>
      </c>
      <c r="H8980">
        <v>94298585</v>
      </c>
      <c r="I8980">
        <v>94298613</v>
      </c>
    </row>
    <row r="8981" spans="1:9" x14ac:dyDescent="0.2">
      <c r="A8981" t="str">
        <f>"Gm4793"</f>
        <v>Gm4793</v>
      </c>
      <c r="B8981" t="s">
        <v>14</v>
      </c>
      <c r="C8981" t="s">
        <v>19</v>
      </c>
      <c r="D8981" t="s">
        <v>17</v>
      </c>
      <c r="E8981" t="s">
        <v>67</v>
      </c>
      <c r="F8981">
        <v>135584569</v>
      </c>
      <c r="G8981">
        <v>135584582</v>
      </c>
      <c r="H8981">
        <v>135585149</v>
      </c>
      <c r="I8981">
        <v>135585151</v>
      </c>
    </row>
    <row r="8982" spans="1:9" x14ac:dyDescent="0.2">
      <c r="A8982" t="str">
        <f>"Gm4794"</f>
        <v>Gm4794</v>
      </c>
      <c r="B8982" t="s">
        <v>3711</v>
      </c>
      <c r="C8982" t="s">
        <v>15</v>
      </c>
      <c r="D8982" t="s">
        <v>11</v>
      </c>
      <c r="E8982" t="s">
        <v>20</v>
      </c>
      <c r="F8982">
        <v>33782114</v>
      </c>
      <c r="G8982">
        <v>33782114</v>
      </c>
      <c r="H8982">
        <v>33782114</v>
      </c>
      <c r="I8982">
        <v>33782114</v>
      </c>
    </row>
    <row r="8983" spans="1:9" x14ac:dyDescent="0.2">
      <c r="A8983" t="str">
        <f>"Gm4799"</f>
        <v>Gm4799</v>
      </c>
      <c r="B8983" t="s">
        <v>14</v>
      </c>
      <c r="C8983" t="s">
        <v>15</v>
      </c>
      <c r="D8983" t="s">
        <v>17</v>
      </c>
      <c r="E8983" t="s">
        <v>12</v>
      </c>
      <c r="F8983">
        <v>82954325</v>
      </c>
      <c r="G8983">
        <v>82954328</v>
      </c>
      <c r="H8983">
        <v>82954325</v>
      </c>
      <c r="I8983">
        <v>82954328</v>
      </c>
    </row>
    <row r="8984" spans="1:9" x14ac:dyDescent="0.2">
      <c r="A8984" t="str">
        <f>"Gm4825"</f>
        <v>Gm4825</v>
      </c>
      <c r="B8984" t="s">
        <v>3712</v>
      </c>
      <c r="C8984" t="s">
        <v>25</v>
      </c>
      <c r="D8984" t="s">
        <v>17</v>
      </c>
      <c r="E8984" t="s">
        <v>20</v>
      </c>
      <c r="F8984">
        <v>85510811</v>
      </c>
      <c r="G8984">
        <v>85510811</v>
      </c>
      <c r="H8984">
        <v>85510811</v>
      </c>
      <c r="I8984">
        <v>85510811</v>
      </c>
    </row>
    <row r="8985" spans="1:9" x14ac:dyDescent="0.2">
      <c r="A8985" t="str">
        <f>"Gm4836"</f>
        <v>Gm4836</v>
      </c>
      <c r="B8985" t="s">
        <v>3713</v>
      </c>
      <c r="C8985" t="s">
        <v>37</v>
      </c>
      <c r="D8985" t="s">
        <v>11</v>
      </c>
      <c r="E8985" t="s">
        <v>20</v>
      </c>
      <c r="F8985">
        <v>28293631</v>
      </c>
      <c r="G8985">
        <v>28293631</v>
      </c>
      <c r="H8985">
        <v>28293631</v>
      </c>
      <c r="I8985">
        <v>28293631</v>
      </c>
    </row>
    <row r="8986" spans="1:9" x14ac:dyDescent="0.2">
      <c r="A8986" t="str">
        <f>"Gm4841"</f>
        <v>Gm4841</v>
      </c>
      <c r="B8986" t="s">
        <v>3714</v>
      </c>
      <c r="C8986" t="s">
        <v>43</v>
      </c>
      <c r="D8986" t="s">
        <v>11</v>
      </c>
      <c r="E8986" t="s">
        <v>20</v>
      </c>
      <c r="F8986">
        <v>60273266</v>
      </c>
      <c r="G8986">
        <v>60273266</v>
      </c>
      <c r="H8986">
        <v>60273266</v>
      </c>
      <c r="I8986">
        <v>60273266</v>
      </c>
    </row>
    <row r="8987" spans="1:9" x14ac:dyDescent="0.2">
      <c r="A8987" t="str">
        <f>"Gm4845"</f>
        <v>Gm4845</v>
      </c>
      <c r="B8987" t="s">
        <v>3715</v>
      </c>
      <c r="C8987" t="s">
        <v>19</v>
      </c>
      <c r="D8987" t="s">
        <v>11</v>
      </c>
      <c r="E8987" t="s">
        <v>20</v>
      </c>
      <c r="F8987">
        <v>141257157</v>
      </c>
      <c r="G8987">
        <v>141257157</v>
      </c>
      <c r="H8987">
        <v>141257157</v>
      </c>
      <c r="I8987">
        <v>141257157</v>
      </c>
    </row>
    <row r="8988" spans="1:9" x14ac:dyDescent="0.2">
      <c r="A8988" t="str">
        <f>"Gm4846"</f>
        <v>Gm4846</v>
      </c>
      <c r="B8988" t="s">
        <v>3716</v>
      </c>
      <c r="C8988" t="s">
        <v>19</v>
      </c>
      <c r="D8988" t="s">
        <v>11</v>
      </c>
      <c r="E8988" t="s">
        <v>20</v>
      </c>
      <c r="F8988">
        <v>166497587</v>
      </c>
      <c r="G8988">
        <v>166497587</v>
      </c>
      <c r="H8988">
        <v>166497587</v>
      </c>
      <c r="I8988">
        <v>166497587</v>
      </c>
    </row>
    <row r="8989" spans="1:9" x14ac:dyDescent="0.2">
      <c r="A8989" t="str">
        <f>"Gm4847"</f>
        <v>Gm4847</v>
      </c>
      <c r="B8989" t="s">
        <v>14</v>
      </c>
      <c r="C8989" t="s">
        <v>19</v>
      </c>
      <c r="D8989" t="s">
        <v>11</v>
      </c>
      <c r="E8989" t="s">
        <v>12</v>
      </c>
      <c r="F8989">
        <v>166647692</v>
      </c>
      <c r="G8989">
        <v>166647695</v>
      </c>
      <c r="H8989">
        <v>166647692</v>
      </c>
      <c r="I8989">
        <v>166647695</v>
      </c>
    </row>
    <row r="8990" spans="1:9" x14ac:dyDescent="0.2">
      <c r="A8990" t="str">
        <f>"Gm4858"</f>
        <v>Gm4858</v>
      </c>
      <c r="B8990" t="s">
        <v>3717</v>
      </c>
      <c r="C8990" t="s">
        <v>22</v>
      </c>
      <c r="D8990" t="s">
        <v>17</v>
      </c>
      <c r="E8990" t="s">
        <v>20</v>
      </c>
      <c r="F8990">
        <v>93073566</v>
      </c>
      <c r="G8990">
        <v>93073566</v>
      </c>
      <c r="H8990">
        <v>93073566</v>
      </c>
      <c r="I8990">
        <v>93073566</v>
      </c>
    </row>
    <row r="8991" spans="1:9" x14ac:dyDescent="0.2">
      <c r="A8991" t="str">
        <f>"Gm4861"</f>
        <v>Gm4861</v>
      </c>
      <c r="B8991" t="s">
        <v>14</v>
      </c>
      <c r="C8991" t="s">
        <v>22</v>
      </c>
      <c r="D8991" t="s">
        <v>11</v>
      </c>
      <c r="E8991" t="s">
        <v>12</v>
      </c>
      <c r="F8991">
        <v>137552602</v>
      </c>
      <c r="G8991">
        <v>137552624</v>
      </c>
      <c r="H8991">
        <v>137552647</v>
      </c>
      <c r="I8991">
        <v>137552655</v>
      </c>
    </row>
    <row r="8992" spans="1:9" x14ac:dyDescent="0.2">
      <c r="A8992" t="str">
        <f>"Gm4862"</f>
        <v>Gm4862</v>
      </c>
      <c r="B8992" t="s">
        <v>3718</v>
      </c>
      <c r="C8992" t="s">
        <v>22</v>
      </c>
      <c r="D8992" t="s">
        <v>11</v>
      </c>
      <c r="E8992" t="s">
        <v>20</v>
      </c>
      <c r="F8992">
        <v>139128770</v>
      </c>
      <c r="G8992">
        <v>139128770</v>
      </c>
      <c r="H8992">
        <v>139128770</v>
      </c>
      <c r="I8992">
        <v>139128770</v>
      </c>
    </row>
    <row r="8993" spans="1:9" x14ac:dyDescent="0.2">
      <c r="A8993" t="str">
        <f>"Gm4868"</f>
        <v>Gm4868</v>
      </c>
      <c r="B8993" t="s">
        <v>3719</v>
      </c>
      <c r="C8993" t="s">
        <v>46</v>
      </c>
      <c r="D8993" t="s">
        <v>11</v>
      </c>
      <c r="E8993" t="s">
        <v>20</v>
      </c>
      <c r="F8993">
        <v>125848739</v>
      </c>
      <c r="G8993">
        <v>125848739</v>
      </c>
      <c r="H8993">
        <v>125848739</v>
      </c>
      <c r="I8993">
        <v>125848739</v>
      </c>
    </row>
    <row r="8994" spans="1:9" x14ac:dyDescent="0.2">
      <c r="A8994" t="str">
        <f>"Gm4871"</f>
        <v>Gm4871</v>
      </c>
      <c r="B8994" t="s">
        <v>3720</v>
      </c>
      <c r="C8994" t="s">
        <v>46</v>
      </c>
      <c r="D8994" t="s">
        <v>11</v>
      </c>
      <c r="E8994" t="s">
        <v>20</v>
      </c>
      <c r="F8994">
        <v>145032763</v>
      </c>
      <c r="G8994">
        <v>145032763</v>
      </c>
      <c r="H8994">
        <v>145032763</v>
      </c>
      <c r="I8994">
        <v>145032763</v>
      </c>
    </row>
    <row r="8995" spans="1:9" x14ac:dyDescent="0.2">
      <c r="A8995" t="str">
        <f>"Gm4877"</f>
        <v>Gm4877</v>
      </c>
      <c r="B8995" t="s">
        <v>3721</v>
      </c>
      <c r="C8995" t="s">
        <v>32</v>
      </c>
      <c r="D8995" t="s">
        <v>11</v>
      </c>
      <c r="E8995" t="s">
        <v>20</v>
      </c>
      <c r="F8995">
        <v>42520324</v>
      </c>
      <c r="G8995">
        <v>42520324</v>
      </c>
      <c r="H8995">
        <v>42520324</v>
      </c>
      <c r="I8995">
        <v>42520324</v>
      </c>
    </row>
    <row r="8996" spans="1:9" x14ac:dyDescent="0.2">
      <c r="A8996" t="str">
        <f>"Gm4884"</f>
        <v>Gm4884</v>
      </c>
      <c r="B8996" t="s">
        <v>3722</v>
      </c>
      <c r="C8996" t="s">
        <v>33</v>
      </c>
      <c r="D8996" t="s">
        <v>17</v>
      </c>
      <c r="E8996" t="s">
        <v>20</v>
      </c>
      <c r="F8996">
        <v>41032718</v>
      </c>
      <c r="G8996">
        <v>41032718</v>
      </c>
      <c r="H8996">
        <v>41032718</v>
      </c>
      <c r="I8996">
        <v>41032718</v>
      </c>
    </row>
    <row r="8997" spans="1:9" x14ac:dyDescent="0.2">
      <c r="A8997" t="str">
        <f>"Gm4889"</f>
        <v>Gm4889</v>
      </c>
      <c r="B8997" t="s">
        <v>3723</v>
      </c>
      <c r="C8997" t="s">
        <v>30</v>
      </c>
      <c r="D8997" t="s">
        <v>17</v>
      </c>
      <c r="E8997" t="s">
        <v>20</v>
      </c>
      <c r="F8997">
        <v>34327909</v>
      </c>
      <c r="G8997">
        <v>34327909</v>
      </c>
      <c r="H8997">
        <v>34327909</v>
      </c>
      <c r="I8997">
        <v>34327909</v>
      </c>
    </row>
    <row r="8998" spans="1:9" x14ac:dyDescent="0.2">
      <c r="A8998" t="str">
        <f>"Gm4894"</f>
        <v>Gm4894</v>
      </c>
      <c r="B8998" t="s">
        <v>14</v>
      </c>
      <c r="C8998" t="s">
        <v>24</v>
      </c>
      <c r="D8998" t="s">
        <v>17</v>
      </c>
      <c r="E8998" t="s">
        <v>12</v>
      </c>
      <c r="F8998">
        <v>49250485</v>
      </c>
      <c r="G8998">
        <v>49250532</v>
      </c>
      <c r="H8998">
        <v>49250485</v>
      </c>
      <c r="I8998">
        <v>49250532</v>
      </c>
    </row>
    <row r="8999" spans="1:9" x14ac:dyDescent="0.2">
      <c r="A8999" t="str">
        <f>"Gm4906"</f>
        <v>Gm4906</v>
      </c>
      <c r="B8999" t="s">
        <v>3724</v>
      </c>
      <c r="C8999" t="s">
        <v>37</v>
      </c>
      <c r="D8999" t="s">
        <v>17</v>
      </c>
      <c r="E8999" t="s">
        <v>20</v>
      </c>
      <c r="F8999">
        <v>11327821</v>
      </c>
      <c r="G8999">
        <v>11327821</v>
      </c>
      <c r="H8999">
        <v>11327821</v>
      </c>
      <c r="I8999">
        <v>11327821</v>
      </c>
    </row>
    <row r="9000" spans="1:9" x14ac:dyDescent="0.2">
      <c r="A9000" t="str">
        <f>"Gm4907"</f>
        <v>Gm4907</v>
      </c>
      <c r="B9000" t="s">
        <v>3725</v>
      </c>
      <c r="C9000" t="s">
        <v>37</v>
      </c>
      <c r="D9000" t="s">
        <v>17</v>
      </c>
      <c r="E9000" t="s">
        <v>20</v>
      </c>
      <c r="F9000">
        <v>23882552</v>
      </c>
      <c r="G9000">
        <v>23882552</v>
      </c>
      <c r="H9000">
        <v>23882552</v>
      </c>
      <c r="I9000">
        <v>23882552</v>
      </c>
    </row>
    <row r="9001" spans="1:9" x14ac:dyDescent="0.2">
      <c r="A9001" t="str">
        <f>"Gm4907"</f>
        <v>Gm4907</v>
      </c>
      <c r="B9001" t="s">
        <v>3726</v>
      </c>
      <c r="C9001" t="s">
        <v>37</v>
      </c>
      <c r="D9001" t="s">
        <v>17</v>
      </c>
      <c r="E9001" t="s">
        <v>20</v>
      </c>
      <c r="F9001">
        <v>23892783</v>
      </c>
      <c r="G9001">
        <v>23892783</v>
      </c>
      <c r="H9001">
        <v>23892783</v>
      </c>
      <c r="I9001">
        <v>23892783</v>
      </c>
    </row>
    <row r="9002" spans="1:9" x14ac:dyDescent="0.2">
      <c r="A9002" t="str">
        <f>"Gm4922"</f>
        <v>Gm4922</v>
      </c>
      <c r="B9002" t="s">
        <v>14</v>
      </c>
      <c r="C9002" t="s">
        <v>15</v>
      </c>
      <c r="D9002" t="s">
        <v>11</v>
      </c>
      <c r="E9002" t="s">
        <v>12</v>
      </c>
      <c r="F9002">
        <v>18786778</v>
      </c>
      <c r="G9002">
        <v>18786789</v>
      </c>
      <c r="H9002">
        <v>18786778</v>
      </c>
      <c r="I9002">
        <v>18786789</v>
      </c>
    </row>
    <row r="9003" spans="1:9" x14ac:dyDescent="0.2">
      <c r="A9003" t="str">
        <f>"Gm4924"</f>
        <v>Gm4924</v>
      </c>
      <c r="B9003" t="s">
        <v>3727</v>
      </c>
      <c r="C9003" t="s">
        <v>15</v>
      </c>
      <c r="D9003" t="s">
        <v>17</v>
      </c>
      <c r="E9003" t="s">
        <v>20</v>
      </c>
      <c r="F9003">
        <v>82378592</v>
      </c>
      <c r="G9003">
        <v>82378592</v>
      </c>
      <c r="H9003">
        <v>82378592</v>
      </c>
      <c r="I9003">
        <v>82378592</v>
      </c>
    </row>
    <row r="9004" spans="1:9" x14ac:dyDescent="0.2">
      <c r="A9004" t="str">
        <f>"Gm4937"</f>
        <v>Gm4937</v>
      </c>
      <c r="B9004" t="s">
        <v>14</v>
      </c>
      <c r="C9004" t="s">
        <v>37</v>
      </c>
      <c r="D9004" t="s">
        <v>17</v>
      </c>
      <c r="E9004" t="s">
        <v>12</v>
      </c>
      <c r="F9004">
        <v>76264281</v>
      </c>
      <c r="G9004">
        <v>76264312</v>
      </c>
      <c r="H9004">
        <v>76264281</v>
      </c>
      <c r="I9004">
        <v>76264312</v>
      </c>
    </row>
    <row r="9005" spans="1:9" x14ac:dyDescent="0.2">
      <c r="A9005" t="str">
        <f>"Gm4944"</f>
        <v>Gm4944</v>
      </c>
      <c r="B9005" t="s">
        <v>14</v>
      </c>
      <c r="C9005" t="s">
        <v>28</v>
      </c>
      <c r="D9005" t="s">
        <v>11</v>
      </c>
      <c r="E9005" t="s">
        <v>12</v>
      </c>
      <c r="F9005">
        <v>22225616</v>
      </c>
      <c r="G9005">
        <v>22225639</v>
      </c>
      <c r="H9005">
        <v>22225585</v>
      </c>
      <c r="I9005">
        <v>22225599</v>
      </c>
    </row>
    <row r="9006" spans="1:9" x14ac:dyDescent="0.2">
      <c r="A9006" t="str">
        <f>"Gm4945"</f>
        <v>Gm4945</v>
      </c>
      <c r="B9006" t="s">
        <v>14</v>
      </c>
      <c r="C9006" t="s">
        <v>28</v>
      </c>
      <c r="D9006" t="s">
        <v>11</v>
      </c>
      <c r="E9006" t="s">
        <v>12</v>
      </c>
      <c r="F9006">
        <v>47043085</v>
      </c>
      <c r="G9006">
        <v>47043086</v>
      </c>
      <c r="H9006">
        <v>47043085</v>
      </c>
      <c r="I9006">
        <v>47043086</v>
      </c>
    </row>
    <row r="9007" spans="1:9" x14ac:dyDescent="0.2">
      <c r="A9007" t="str">
        <f>"Gm4950"</f>
        <v>Gm4950</v>
      </c>
      <c r="B9007" t="s">
        <v>3728</v>
      </c>
      <c r="C9007" t="s">
        <v>43</v>
      </c>
      <c r="D9007" t="s">
        <v>11</v>
      </c>
      <c r="E9007" t="s">
        <v>20</v>
      </c>
      <c r="F9007">
        <v>51865880</v>
      </c>
      <c r="G9007">
        <v>51865880</v>
      </c>
      <c r="H9007">
        <v>51865880</v>
      </c>
      <c r="I9007">
        <v>51865880</v>
      </c>
    </row>
    <row r="9008" spans="1:9" x14ac:dyDescent="0.2">
      <c r="A9008" t="str">
        <f>"Gm4951"</f>
        <v>Gm4951</v>
      </c>
      <c r="B9008" t="s">
        <v>14</v>
      </c>
      <c r="C9008" t="s">
        <v>43</v>
      </c>
      <c r="D9008" t="s">
        <v>17</v>
      </c>
      <c r="E9008" t="s">
        <v>12</v>
      </c>
      <c r="F9008">
        <v>60211971</v>
      </c>
      <c r="G9008">
        <v>60212032</v>
      </c>
      <c r="H9008">
        <v>60211971</v>
      </c>
      <c r="I9008">
        <v>60212032</v>
      </c>
    </row>
    <row r="9009" spans="1:9" x14ac:dyDescent="0.2">
      <c r="A9009" t="str">
        <f>"Gm4952"</f>
        <v>Gm4952</v>
      </c>
      <c r="B9009" t="s">
        <v>14</v>
      </c>
      <c r="C9009" t="s">
        <v>10</v>
      </c>
      <c r="D9009" t="s">
        <v>17</v>
      </c>
      <c r="E9009" t="s">
        <v>12</v>
      </c>
      <c r="F9009">
        <v>12599953</v>
      </c>
      <c r="G9009">
        <v>12600010</v>
      </c>
      <c r="H9009">
        <v>12599953</v>
      </c>
      <c r="I9009">
        <v>12600010</v>
      </c>
    </row>
    <row r="9010" spans="1:9" x14ac:dyDescent="0.2">
      <c r="A9010" t="str">
        <f>"Gm4953"</f>
        <v>Gm4953</v>
      </c>
      <c r="B9010" t="s">
        <v>14</v>
      </c>
      <c r="C9010" t="s">
        <v>19</v>
      </c>
      <c r="D9010" t="s">
        <v>11</v>
      </c>
      <c r="E9010" t="s">
        <v>67</v>
      </c>
      <c r="F9010">
        <v>159168685</v>
      </c>
      <c r="G9010">
        <v>159168689</v>
      </c>
      <c r="H9010">
        <v>159168685</v>
      </c>
      <c r="I9010">
        <v>159168689</v>
      </c>
    </row>
    <row r="9011" spans="1:9" x14ac:dyDescent="0.2">
      <c r="A9011" t="str">
        <f>"Gm4955"</f>
        <v>Gm4955</v>
      </c>
      <c r="B9011" t="s">
        <v>14</v>
      </c>
      <c r="C9011" t="s">
        <v>19</v>
      </c>
      <c r="D9011" t="s">
        <v>11</v>
      </c>
      <c r="E9011" t="s">
        <v>67</v>
      </c>
      <c r="F9011">
        <v>173491302</v>
      </c>
      <c r="G9011">
        <v>173491318</v>
      </c>
      <c r="H9011">
        <v>173491302</v>
      </c>
      <c r="I9011">
        <v>173491318</v>
      </c>
    </row>
    <row r="9012" spans="1:9" x14ac:dyDescent="0.2">
      <c r="A9012" t="str">
        <f>"Gm4968"</f>
        <v>Gm4968</v>
      </c>
      <c r="B9012" t="s">
        <v>14</v>
      </c>
      <c r="C9012" t="s">
        <v>32</v>
      </c>
      <c r="D9012" t="s">
        <v>17</v>
      </c>
      <c r="E9012" t="s">
        <v>67</v>
      </c>
      <c r="F9012">
        <v>127233727</v>
      </c>
      <c r="G9012">
        <v>127233734</v>
      </c>
      <c r="H9012">
        <v>127233727</v>
      </c>
      <c r="I9012">
        <v>127233734</v>
      </c>
    </row>
    <row r="9013" spans="1:9" x14ac:dyDescent="0.2">
      <c r="A9013" t="str">
        <f>"Gm4969"</f>
        <v>Gm4969</v>
      </c>
      <c r="B9013" t="s">
        <v>14</v>
      </c>
      <c r="C9013" t="s">
        <v>33</v>
      </c>
      <c r="D9013" t="s">
        <v>11</v>
      </c>
      <c r="E9013" t="s">
        <v>67</v>
      </c>
      <c r="F9013">
        <v>19118332</v>
      </c>
      <c r="G9013">
        <v>19118353</v>
      </c>
      <c r="H9013">
        <v>19118224</v>
      </c>
      <c r="I9013">
        <v>19118266</v>
      </c>
    </row>
    <row r="9014" spans="1:9" x14ac:dyDescent="0.2">
      <c r="A9014" t="str">
        <f>"Gm4975"</f>
        <v>Gm4975</v>
      </c>
      <c r="B9014" t="s">
        <v>3729</v>
      </c>
      <c r="C9014" t="s">
        <v>30</v>
      </c>
      <c r="D9014" t="s">
        <v>11</v>
      </c>
      <c r="E9014" t="s">
        <v>20</v>
      </c>
      <c r="F9014">
        <v>63952169</v>
      </c>
      <c r="G9014">
        <v>63952169</v>
      </c>
      <c r="H9014">
        <v>63952169</v>
      </c>
      <c r="I9014">
        <v>63952169</v>
      </c>
    </row>
    <row r="9015" spans="1:9" x14ac:dyDescent="0.2">
      <c r="A9015" t="str">
        <f>"Gm4978"</f>
        <v>Gm4978</v>
      </c>
      <c r="B9015" t="s">
        <v>3730</v>
      </c>
      <c r="C9015" t="s">
        <v>24</v>
      </c>
      <c r="D9015" t="s">
        <v>11</v>
      </c>
      <c r="E9015" t="s">
        <v>20</v>
      </c>
      <c r="F9015">
        <v>69451034</v>
      </c>
      <c r="G9015">
        <v>69451034</v>
      </c>
      <c r="H9015">
        <v>69451034</v>
      </c>
      <c r="I9015">
        <v>69451034</v>
      </c>
    </row>
    <row r="9016" spans="1:9" x14ac:dyDescent="0.2">
      <c r="A9016" t="str">
        <f>"Gm498"</f>
        <v>Gm498</v>
      </c>
      <c r="B9016" t="s">
        <v>3731</v>
      </c>
      <c r="C9016" t="s">
        <v>33</v>
      </c>
      <c r="D9016" t="s">
        <v>17</v>
      </c>
      <c r="E9016" t="s">
        <v>20</v>
      </c>
      <c r="F9016">
        <v>143869178</v>
      </c>
      <c r="G9016">
        <v>143869178</v>
      </c>
      <c r="H9016">
        <v>143869178</v>
      </c>
      <c r="I9016">
        <v>143869178</v>
      </c>
    </row>
    <row r="9017" spans="1:9" x14ac:dyDescent="0.2">
      <c r="A9017" t="str">
        <f>"Gm4980"</f>
        <v>Gm4980</v>
      </c>
      <c r="B9017" t="s">
        <v>14</v>
      </c>
      <c r="C9017" t="s">
        <v>33</v>
      </c>
      <c r="D9017" t="s">
        <v>11</v>
      </c>
      <c r="E9017" t="s">
        <v>12</v>
      </c>
      <c r="F9017">
        <v>99626904</v>
      </c>
      <c r="G9017">
        <v>99626933</v>
      </c>
      <c r="H9017">
        <v>99626904</v>
      </c>
      <c r="I9017">
        <v>99626933</v>
      </c>
    </row>
    <row r="9018" spans="1:9" x14ac:dyDescent="0.2">
      <c r="A9018" t="str">
        <f>"Gm4981"</f>
        <v>Gm4981</v>
      </c>
      <c r="B9018" t="s">
        <v>3732</v>
      </c>
      <c r="C9018" t="s">
        <v>15</v>
      </c>
      <c r="D9018" t="s">
        <v>11</v>
      </c>
      <c r="E9018" t="s">
        <v>20</v>
      </c>
      <c r="F9018">
        <v>58236659</v>
      </c>
      <c r="G9018">
        <v>58236659</v>
      </c>
      <c r="H9018">
        <v>58236659</v>
      </c>
      <c r="I9018">
        <v>58236659</v>
      </c>
    </row>
    <row r="9019" spans="1:9" x14ac:dyDescent="0.2">
      <c r="A9019" t="str">
        <f>"Gm4985"</f>
        <v>Gm4985</v>
      </c>
      <c r="B9019" t="s">
        <v>3733</v>
      </c>
      <c r="C9019" t="s">
        <v>37</v>
      </c>
      <c r="D9019" t="s">
        <v>11</v>
      </c>
      <c r="E9019" t="s">
        <v>20</v>
      </c>
      <c r="F9019">
        <v>23958933</v>
      </c>
      <c r="G9019">
        <v>23958933</v>
      </c>
      <c r="H9019">
        <v>23958933</v>
      </c>
      <c r="I9019">
        <v>23958933</v>
      </c>
    </row>
    <row r="9020" spans="1:9" x14ac:dyDescent="0.2">
      <c r="A9020" t="str">
        <f>"Gm5039"</f>
        <v>Gm5039</v>
      </c>
      <c r="B9020" t="s">
        <v>3734</v>
      </c>
      <c r="C9020" t="s">
        <v>16</v>
      </c>
      <c r="D9020" t="s">
        <v>11</v>
      </c>
      <c r="E9020" t="s">
        <v>20</v>
      </c>
      <c r="F9020">
        <v>88321480</v>
      </c>
      <c r="G9020">
        <v>88321480</v>
      </c>
      <c r="H9020">
        <v>88321480</v>
      </c>
      <c r="I9020">
        <v>88321480</v>
      </c>
    </row>
    <row r="9021" spans="1:9" x14ac:dyDescent="0.2">
      <c r="A9021" t="str">
        <f>"Gm5065"</f>
        <v>Gm5065</v>
      </c>
      <c r="B9021" t="s">
        <v>3735</v>
      </c>
      <c r="C9021" t="s">
        <v>33</v>
      </c>
      <c r="D9021" t="s">
        <v>17</v>
      </c>
      <c r="E9021" t="s">
        <v>20</v>
      </c>
      <c r="F9021">
        <v>5350541</v>
      </c>
      <c r="G9021">
        <v>5350541</v>
      </c>
      <c r="H9021">
        <v>5350541</v>
      </c>
      <c r="I9021">
        <v>5350541</v>
      </c>
    </row>
    <row r="9022" spans="1:9" x14ac:dyDescent="0.2">
      <c r="A9022" t="str">
        <f>"Gm5069"</f>
        <v>Gm5069</v>
      </c>
      <c r="B9022" t="s">
        <v>14</v>
      </c>
      <c r="C9022" t="s">
        <v>19</v>
      </c>
      <c r="D9022" t="s">
        <v>11</v>
      </c>
      <c r="E9022" t="s">
        <v>12</v>
      </c>
      <c r="F9022">
        <v>180330191</v>
      </c>
      <c r="G9022">
        <v>180330204</v>
      </c>
      <c r="H9022">
        <v>180330191</v>
      </c>
      <c r="I9022">
        <v>180330204</v>
      </c>
    </row>
    <row r="9023" spans="1:9" x14ac:dyDescent="0.2">
      <c r="A9023" t="str">
        <f>"Gm5070"</f>
        <v>Gm5070</v>
      </c>
      <c r="B9023" t="s">
        <v>3736</v>
      </c>
      <c r="C9023" t="s">
        <v>22</v>
      </c>
      <c r="D9023" t="s">
        <v>11</v>
      </c>
      <c r="E9023" t="s">
        <v>20</v>
      </c>
      <c r="F9023">
        <v>95411175</v>
      </c>
      <c r="G9023">
        <v>95411175</v>
      </c>
      <c r="H9023">
        <v>95411175</v>
      </c>
      <c r="I9023">
        <v>95411175</v>
      </c>
    </row>
    <row r="9024" spans="1:9" x14ac:dyDescent="0.2">
      <c r="A9024" t="str">
        <f>"Gm5072"</f>
        <v>Gm5072</v>
      </c>
      <c r="B9024" t="s">
        <v>3737</v>
      </c>
      <c r="C9024" t="s">
        <v>37</v>
      </c>
      <c r="D9024" t="s">
        <v>17</v>
      </c>
      <c r="E9024" t="s">
        <v>20</v>
      </c>
      <c r="F9024">
        <v>91392499</v>
      </c>
      <c r="G9024">
        <v>91392499</v>
      </c>
      <c r="H9024">
        <v>91392499</v>
      </c>
      <c r="I9024">
        <v>91392499</v>
      </c>
    </row>
    <row r="9025" spans="1:9" x14ac:dyDescent="0.2">
      <c r="A9025" t="str">
        <f>"Gm5077"</f>
        <v>Gm5077</v>
      </c>
      <c r="B9025" t="s">
        <v>14</v>
      </c>
      <c r="C9025" t="s">
        <v>32</v>
      </c>
      <c r="D9025" t="s">
        <v>11</v>
      </c>
      <c r="E9025" t="s">
        <v>12</v>
      </c>
      <c r="F9025">
        <v>124636142</v>
      </c>
      <c r="G9025">
        <v>124636147</v>
      </c>
      <c r="H9025">
        <v>124636142</v>
      </c>
      <c r="I9025">
        <v>124636147</v>
      </c>
    </row>
    <row r="9026" spans="1:9" x14ac:dyDescent="0.2">
      <c r="A9026" t="str">
        <f>"Gm5082"</f>
        <v>Gm5082</v>
      </c>
      <c r="B9026" t="s">
        <v>14</v>
      </c>
      <c r="C9026" t="s">
        <v>39</v>
      </c>
      <c r="D9026" t="s">
        <v>17</v>
      </c>
      <c r="E9026" t="s">
        <v>12</v>
      </c>
      <c r="F9026">
        <v>41649414</v>
      </c>
      <c r="G9026">
        <v>41649415</v>
      </c>
      <c r="H9026">
        <v>41649414</v>
      </c>
      <c r="I9026">
        <v>41649415</v>
      </c>
    </row>
    <row r="9027" spans="1:9" x14ac:dyDescent="0.2">
      <c r="A9027" t="str">
        <f>"Gm5084"</f>
        <v>Gm5084</v>
      </c>
      <c r="B9027" t="s">
        <v>14</v>
      </c>
      <c r="C9027" t="s">
        <v>39</v>
      </c>
      <c r="D9027" t="s">
        <v>17</v>
      </c>
      <c r="E9027" t="s">
        <v>12</v>
      </c>
      <c r="F9027">
        <v>60205468</v>
      </c>
      <c r="G9027">
        <v>60205475</v>
      </c>
      <c r="H9027">
        <v>60205468</v>
      </c>
      <c r="I9027">
        <v>60205475</v>
      </c>
    </row>
    <row r="9028" spans="1:9" x14ac:dyDescent="0.2">
      <c r="A9028" t="str">
        <f>"Gm5087"</f>
        <v>Gm5087</v>
      </c>
      <c r="B9028" t="s">
        <v>14</v>
      </c>
      <c r="C9028" t="s">
        <v>41</v>
      </c>
      <c r="D9028" t="s">
        <v>11</v>
      </c>
      <c r="E9028" t="s">
        <v>12</v>
      </c>
      <c r="F9028">
        <v>13284625</v>
      </c>
      <c r="G9028">
        <v>13284644</v>
      </c>
      <c r="H9028">
        <v>13284625</v>
      </c>
      <c r="I9028">
        <v>13284644</v>
      </c>
    </row>
    <row r="9029" spans="1:9" x14ac:dyDescent="0.2">
      <c r="A9029" t="str">
        <f>"Gm5089"</f>
        <v>Gm5089</v>
      </c>
      <c r="B9029" t="s">
        <v>14</v>
      </c>
      <c r="C9029" t="s">
        <v>41</v>
      </c>
      <c r="D9029" t="s">
        <v>11</v>
      </c>
      <c r="E9029" t="s">
        <v>12</v>
      </c>
      <c r="F9029">
        <v>122451156</v>
      </c>
      <c r="G9029">
        <v>122451186</v>
      </c>
      <c r="H9029">
        <v>122451130</v>
      </c>
      <c r="I9029">
        <v>122451150</v>
      </c>
    </row>
    <row r="9030" spans="1:9" x14ac:dyDescent="0.2">
      <c r="A9030" t="str">
        <f>"Gm5093"</f>
        <v>Gm5093</v>
      </c>
      <c r="B9030" t="s">
        <v>14</v>
      </c>
      <c r="C9030" t="s">
        <v>28</v>
      </c>
      <c r="D9030" t="s">
        <v>11</v>
      </c>
      <c r="E9030" t="s">
        <v>12</v>
      </c>
      <c r="F9030">
        <v>46440116</v>
      </c>
      <c r="G9030">
        <v>46440125</v>
      </c>
      <c r="H9030">
        <v>46440116</v>
      </c>
      <c r="I9030">
        <v>46440125</v>
      </c>
    </row>
    <row r="9031" spans="1:9" x14ac:dyDescent="0.2">
      <c r="A9031" t="str">
        <f>"Gm5096"</f>
        <v>Gm5096</v>
      </c>
      <c r="B9031" t="s">
        <v>14</v>
      </c>
      <c r="C9031" t="s">
        <v>43</v>
      </c>
      <c r="D9031" t="s">
        <v>17</v>
      </c>
      <c r="E9031" t="s">
        <v>67</v>
      </c>
      <c r="F9031">
        <v>87756280</v>
      </c>
      <c r="G9031">
        <v>87756288</v>
      </c>
      <c r="H9031">
        <v>87756280</v>
      </c>
      <c r="I9031">
        <v>87756288</v>
      </c>
    </row>
    <row r="9032" spans="1:9" x14ac:dyDescent="0.2">
      <c r="A9032" t="str">
        <f>"Gm5097"</f>
        <v>Gm5097</v>
      </c>
      <c r="B9032" t="s">
        <v>3738</v>
      </c>
      <c r="C9032" t="s">
        <v>10</v>
      </c>
      <c r="D9032" t="s">
        <v>11</v>
      </c>
      <c r="E9032" t="s">
        <v>20</v>
      </c>
      <c r="F9032">
        <v>33787456</v>
      </c>
      <c r="G9032">
        <v>33787456</v>
      </c>
      <c r="H9032">
        <v>33787456</v>
      </c>
      <c r="I9032">
        <v>33787456</v>
      </c>
    </row>
    <row r="9033" spans="1:9" x14ac:dyDescent="0.2">
      <c r="A9033" t="str">
        <f>"Gm5105"</f>
        <v>Gm5105</v>
      </c>
      <c r="B9033" t="s">
        <v>3739</v>
      </c>
      <c r="C9033" t="s">
        <v>22</v>
      </c>
      <c r="D9033" t="s">
        <v>11</v>
      </c>
      <c r="E9033" t="s">
        <v>20</v>
      </c>
      <c r="F9033">
        <v>138067387</v>
      </c>
      <c r="G9033">
        <v>138067387</v>
      </c>
      <c r="H9033">
        <v>138067387</v>
      </c>
      <c r="I9033">
        <v>138067387</v>
      </c>
    </row>
    <row r="9034" spans="1:9" x14ac:dyDescent="0.2">
      <c r="A9034" t="str">
        <f>"Gm5108"</f>
        <v>Gm5108</v>
      </c>
      <c r="B9034" t="s">
        <v>3740</v>
      </c>
      <c r="C9034" t="s">
        <v>46</v>
      </c>
      <c r="D9034" t="s">
        <v>17</v>
      </c>
      <c r="E9034" t="s">
        <v>20</v>
      </c>
      <c r="F9034">
        <v>67941668</v>
      </c>
      <c r="G9034">
        <v>67941668</v>
      </c>
      <c r="H9034">
        <v>67941668</v>
      </c>
      <c r="I9034">
        <v>67941668</v>
      </c>
    </row>
    <row r="9035" spans="1:9" x14ac:dyDescent="0.2">
      <c r="A9035" t="str">
        <f>"Gm5111"</f>
        <v>Gm5111</v>
      </c>
      <c r="B9035" t="s">
        <v>14</v>
      </c>
      <c r="C9035" t="s">
        <v>32</v>
      </c>
      <c r="D9035" t="s">
        <v>17</v>
      </c>
      <c r="E9035" t="s">
        <v>12</v>
      </c>
      <c r="F9035">
        <v>48589606</v>
      </c>
      <c r="G9035">
        <v>48589621</v>
      </c>
      <c r="H9035">
        <v>48589484</v>
      </c>
      <c r="I9035">
        <v>48589499</v>
      </c>
    </row>
    <row r="9036" spans="1:9" x14ac:dyDescent="0.2">
      <c r="A9036" t="str">
        <f>"Gm5113"</f>
        <v>Gm5113</v>
      </c>
      <c r="B9036" t="s">
        <v>14</v>
      </c>
      <c r="C9036" t="s">
        <v>33</v>
      </c>
      <c r="D9036" t="s">
        <v>17</v>
      </c>
      <c r="E9036" t="s">
        <v>12</v>
      </c>
      <c r="F9036">
        <v>30170117</v>
      </c>
      <c r="G9036">
        <v>30170162</v>
      </c>
      <c r="H9036">
        <v>30169861</v>
      </c>
      <c r="I9036">
        <v>30169912</v>
      </c>
    </row>
    <row r="9037" spans="1:9" x14ac:dyDescent="0.2">
      <c r="A9037" t="str">
        <f>"Gm5114"</f>
        <v>Gm5114</v>
      </c>
      <c r="B9037" t="s">
        <v>3741</v>
      </c>
      <c r="C9037" t="s">
        <v>33</v>
      </c>
      <c r="D9037" t="s">
        <v>11</v>
      </c>
      <c r="E9037" t="s">
        <v>20</v>
      </c>
      <c r="F9037">
        <v>39413159</v>
      </c>
      <c r="G9037">
        <v>39413159</v>
      </c>
      <c r="H9037">
        <v>39413159</v>
      </c>
      <c r="I9037">
        <v>39413159</v>
      </c>
    </row>
    <row r="9038" spans="1:9" x14ac:dyDescent="0.2">
      <c r="A9038" t="str">
        <f>"Gm5117"</f>
        <v>Gm5117</v>
      </c>
      <c r="B9038" t="s">
        <v>3742</v>
      </c>
      <c r="C9038" t="s">
        <v>30</v>
      </c>
      <c r="D9038" t="s">
        <v>11</v>
      </c>
      <c r="E9038" t="s">
        <v>20</v>
      </c>
      <c r="F9038">
        <v>31739762</v>
      </c>
      <c r="G9038">
        <v>31739762</v>
      </c>
      <c r="H9038">
        <v>31739762</v>
      </c>
      <c r="I9038">
        <v>31739762</v>
      </c>
    </row>
    <row r="9039" spans="1:9" x14ac:dyDescent="0.2">
      <c r="A9039" t="str">
        <f>"Gm5127"</f>
        <v>Gm5127</v>
      </c>
      <c r="B9039" t="s">
        <v>14</v>
      </c>
      <c r="C9039" t="s">
        <v>37</v>
      </c>
      <c r="D9039" t="s">
        <v>17</v>
      </c>
      <c r="E9039" t="s">
        <v>12</v>
      </c>
      <c r="F9039">
        <v>106583184</v>
      </c>
      <c r="G9039">
        <v>106583187</v>
      </c>
      <c r="H9039">
        <v>106583184</v>
      </c>
      <c r="I9039">
        <v>106583187</v>
      </c>
    </row>
    <row r="9040" spans="1:9" x14ac:dyDescent="0.2">
      <c r="A9040" t="str">
        <f>"Gm5128"</f>
        <v>Gm5128</v>
      </c>
      <c r="B9040" t="s">
        <v>3743</v>
      </c>
      <c r="C9040" t="s">
        <v>37</v>
      </c>
      <c r="D9040" t="s">
        <v>17</v>
      </c>
      <c r="E9040" t="s">
        <v>20</v>
      </c>
      <c r="F9040">
        <v>135373283</v>
      </c>
      <c r="G9040">
        <v>135373283</v>
      </c>
      <c r="H9040">
        <v>135373283</v>
      </c>
      <c r="I9040">
        <v>135373283</v>
      </c>
    </row>
    <row r="9041" spans="1:9" x14ac:dyDescent="0.2">
      <c r="A9041" t="str">
        <f>"Gm5129"</f>
        <v>Gm5129</v>
      </c>
      <c r="B9041" t="s">
        <v>14</v>
      </c>
      <c r="C9041" t="s">
        <v>46</v>
      </c>
      <c r="D9041" t="s">
        <v>11</v>
      </c>
      <c r="E9041" t="s">
        <v>12</v>
      </c>
      <c r="F9041">
        <v>29735902</v>
      </c>
      <c r="G9041">
        <v>29735925</v>
      </c>
      <c r="H9041">
        <v>29735928</v>
      </c>
      <c r="I9041">
        <v>29735945</v>
      </c>
    </row>
    <row r="9042" spans="1:9" x14ac:dyDescent="0.2">
      <c r="A9042" t="str">
        <f>"Gm5132"</f>
        <v>Gm5132</v>
      </c>
      <c r="B9042" t="s">
        <v>3744</v>
      </c>
      <c r="C9042" t="s">
        <v>37</v>
      </c>
      <c r="D9042" t="s">
        <v>11</v>
      </c>
      <c r="E9042" t="s">
        <v>20</v>
      </c>
      <c r="F9042">
        <v>9572390</v>
      </c>
      <c r="G9042">
        <v>9572390</v>
      </c>
      <c r="H9042">
        <v>9572390</v>
      </c>
      <c r="I9042">
        <v>9572390</v>
      </c>
    </row>
    <row r="9043" spans="1:9" x14ac:dyDescent="0.2">
      <c r="A9043" t="str">
        <f>"Gm5134"</f>
        <v>Gm5134</v>
      </c>
      <c r="B9043" t="s">
        <v>14</v>
      </c>
      <c r="C9043" t="s">
        <v>15</v>
      </c>
      <c r="D9043" t="s">
        <v>17</v>
      </c>
      <c r="E9043" t="s">
        <v>12</v>
      </c>
      <c r="F9043">
        <v>75954521</v>
      </c>
      <c r="G9043">
        <v>75954548</v>
      </c>
      <c r="H9043">
        <v>75954493</v>
      </c>
      <c r="I9043">
        <v>75954520</v>
      </c>
    </row>
    <row r="9044" spans="1:9" x14ac:dyDescent="0.2">
      <c r="A9044" t="str">
        <f>"Gm514"</f>
        <v>Gm514</v>
      </c>
      <c r="B9044" t="s">
        <v>14</v>
      </c>
      <c r="C9044" t="s">
        <v>24</v>
      </c>
      <c r="D9044" t="s">
        <v>17</v>
      </c>
      <c r="E9044" t="s">
        <v>12</v>
      </c>
      <c r="F9044">
        <v>65361023</v>
      </c>
      <c r="G9044">
        <v>65361047</v>
      </c>
      <c r="H9044">
        <v>65361049</v>
      </c>
      <c r="I9044">
        <v>65361056</v>
      </c>
    </row>
    <row r="9045" spans="1:9" x14ac:dyDescent="0.2">
      <c r="A9045" t="str">
        <f>"Gm5141"</f>
        <v>Gm5141</v>
      </c>
      <c r="B9045" t="s">
        <v>3745</v>
      </c>
      <c r="C9045" t="s">
        <v>39</v>
      </c>
      <c r="D9045" t="s">
        <v>11</v>
      </c>
      <c r="E9045" t="s">
        <v>20</v>
      </c>
      <c r="F9045">
        <v>62777088</v>
      </c>
      <c r="G9045">
        <v>62777088</v>
      </c>
      <c r="H9045">
        <v>62777088</v>
      </c>
      <c r="I9045">
        <v>62777088</v>
      </c>
    </row>
    <row r="9046" spans="1:9" x14ac:dyDescent="0.2">
      <c r="A9046" t="str">
        <f>"Gm5142"</f>
        <v>Gm5142</v>
      </c>
      <c r="B9046" t="s">
        <v>14</v>
      </c>
      <c r="C9046" t="s">
        <v>41</v>
      </c>
      <c r="D9046" t="s">
        <v>11</v>
      </c>
      <c r="E9046" t="s">
        <v>12</v>
      </c>
      <c r="F9046">
        <v>59178756</v>
      </c>
      <c r="G9046">
        <v>59178773</v>
      </c>
      <c r="H9046">
        <v>59178776</v>
      </c>
      <c r="I9046">
        <v>59178781</v>
      </c>
    </row>
    <row r="9047" spans="1:9" x14ac:dyDescent="0.2">
      <c r="A9047" t="str">
        <f>"Gm5145"</f>
        <v>Gm5145</v>
      </c>
      <c r="B9047" t="s">
        <v>14</v>
      </c>
      <c r="C9047" t="s">
        <v>28</v>
      </c>
      <c r="D9047" t="s">
        <v>17</v>
      </c>
      <c r="E9047" t="s">
        <v>67</v>
      </c>
      <c r="F9047">
        <v>20570238</v>
      </c>
      <c r="G9047">
        <v>20570244</v>
      </c>
      <c r="H9047">
        <v>20570238</v>
      </c>
      <c r="I9047">
        <v>20570244</v>
      </c>
    </row>
    <row r="9048" spans="1:9" x14ac:dyDescent="0.2">
      <c r="A9048" t="str">
        <f>"Gm5148"</f>
        <v>Gm5148</v>
      </c>
      <c r="B9048" t="s">
        <v>14</v>
      </c>
      <c r="C9048" t="s">
        <v>22</v>
      </c>
      <c r="D9048" t="s">
        <v>11</v>
      </c>
      <c r="E9048" t="s">
        <v>12</v>
      </c>
      <c r="F9048">
        <v>37724321</v>
      </c>
      <c r="G9048">
        <v>37724338</v>
      </c>
      <c r="H9048">
        <v>37724349</v>
      </c>
      <c r="I9048">
        <v>37724374</v>
      </c>
    </row>
    <row r="9049" spans="1:9" x14ac:dyDescent="0.2">
      <c r="A9049" t="str">
        <f>"Gm5150"</f>
        <v>Gm5150</v>
      </c>
      <c r="B9049" t="s">
        <v>14</v>
      </c>
      <c r="C9049" t="s">
        <v>22</v>
      </c>
      <c r="D9049" t="s">
        <v>11</v>
      </c>
      <c r="E9049" t="s">
        <v>12</v>
      </c>
      <c r="F9049">
        <v>16006344</v>
      </c>
      <c r="G9049">
        <v>16006361</v>
      </c>
      <c r="H9049">
        <v>16006381</v>
      </c>
      <c r="I9049">
        <v>16006400</v>
      </c>
    </row>
    <row r="9050" spans="1:9" x14ac:dyDescent="0.2">
      <c r="A9050" t="str">
        <f>"Gm5152"</f>
        <v>Gm5152</v>
      </c>
      <c r="B9050" t="s">
        <v>3746</v>
      </c>
      <c r="C9050" t="s">
        <v>46</v>
      </c>
      <c r="D9050" t="s">
        <v>11</v>
      </c>
      <c r="E9050" t="s">
        <v>20</v>
      </c>
      <c r="F9050">
        <v>10246525</v>
      </c>
      <c r="G9050">
        <v>10246525</v>
      </c>
      <c r="H9050">
        <v>10246525</v>
      </c>
      <c r="I9050">
        <v>10246525</v>
      </c>
    </row>
    <row r="9051" spans="1:9" x14ac:dyDescent="0.2">
      <c r="A9051" t="str">
        <f>"Gm5155"</f>
        <v>Gm5155</v>
      </c>
      <c r="B9051" t="s">
        <v>14</v>
      </c>
      <c r="C9051" t="s">
        <v>33</v>
      </c>
      <c r="D9051" t="s">
        <v>17</v>
      </c>
      <c r="E9051" t="s">
        <v>12</v>
      </c>
      <c r="F9051">
        <v>17871759</v>
      </c>
      <c r="G9051">
        <v>17871771</v>
      </c>
      <c r="H9051">
        <v>17871759</v>
      </c>
      <c r="I9051">
        <v>17871771</v>
      </c>
    </row>
    <row r="9052" spans="1:9" x14ac:dyDescent="0.2">
      <c r="A9052" t="str">
        <f>"Gm5160"</f>
        <v>Gm5160</v>
      </c>
      <c r="B9052" t="s">
        <v>3747</v>
      </c>
      <c r="C9052" t="s">
        <v>43</v>
      </c>
      <c r="D9052" t="s">
        <v>17</v>
      </c>
      <c r="E9052" t="s">
        <v>20</v>
      </c>
      <c r="F9052">
        <v>14424867</v>
      </c>
      <c r="G9052">
        <v>14424867</v>
      </c>
      <c r="H9052">
        <v>14424867</v>
      </c>
      <c r="I9052">
        <v>14424867</v>
      </c>
    </row>
    <row r="9053" spans="1:9" x14ac:dyDescent="0.2">
      <c r="A9053" t="str">
        <f>"Gm5167"</f>
        <v>Gm5167</v>
      </c>
      <c r="B9053" t="s">
        <v>3748</v>
      </c>
      <c r="C9053" t="s">
        <v>37</v>
      </c>
      <c r="D9053" t="s">
        <v>17</v>
      </c>
      <c r="E9053" t="s">
        <v>20</v>
      </c>
      <c r="F9053">
        <v>123793664</v>
      </c>
      <c r="G9053">
        <v>123793664</v>
      </c>
      <c r="H9053">
        <v>123793664</v>
      </c>
      <c r="I9053">
        <v>123793664</v>
      </c>
    </row>
    <row r="9054" spans="1:9" x14ac:dyDescent="0.2">
      <c r="A9054" t="str">
        <f>"Gm5168"</f>
        <v>Gm5168</v>
      </c>
      <c r="B9054" t="s">
        <v>3749</v>
      </c>
      <c r="C9054" t="s">
        <v>37</v>
      </c>
      <c r="D9054" t="s">
        <v>11</v>
      </c>
      <c r="E9054" t="s">
        <v>20</v>
      </c>
      <c r="F9054">
        <v>26051040</v>
      </c>
      <c r="G9054">
        <v>26051040</v>
      </c>
      <c r="H9054">
        <v>26051040</v>
      </c>
      <c r="I9054">
        <v>26051040</v>
      </c>
    </row>
    <row r="9055" spans="1:9" x14ac:dyDescent="0.2">
      <c r="A9055" t="str">
        <f>"Gm5168"</f>
        <v>Gm5168</v>
      </c>
      <c r="B9055" t="s">
        <v>3750</v>
      </c>
      <c r="C9055" t="s">
        <v>37</v>
      </c>
      <c r="D9055" t="s">
        <v>11</v>
      </c>
      <c r="E9055" t="s">
        <v>20</v>
      </c>
      <c r="F9055">
        <v>26049457</v>
      </c>
      <c r="G9055">
        <v>26049457</v>
      </c>
      <c r="H9055">
        <v>26049457</v>
      </c>
      <c r="I9055">
        <v>26049457</v>
      </c>
    </row>
    <row r="9056" spans="1:9" x14ac:dyDescent="0.2">
      <c r="A9056" t="str">
        <f>"Gm5169"</f>
        <v>Gm5169</v>
      </c>
      <c r="B9056" t="s">
        <v>3751</v>
      </c>
      <c r="C9056" t="s">
        <v>37</v>
      </c>
      <c r="D9056" t="s">
        <v>11</v>
      </c>
      <c r="E9056" t="s">
        <v>20</v>
      </c>
      <c r="F9056">
        <v>25301454</v>
      </c>
      <c r="G9056">
        <v>25301454</v>
      </c>
      <c r="H9056">
        <v>25301454</v>
      </c>
      <c r="I9056">
        <v>25301454</v>
      </c>
    </row>
    <row r="9057" spans="1:9" x14ac:dyDescent="0.2">
      <c r="A9057" t="str">
        <f>"Gm5174"</f>
        <v>Gm5174</v>
      </c>
      <c r="B9057" t="s">
        <v>3752</v>
      </c>
      <c r="C9057" t="s">
        <v>15</v>
      </c>
      <c r="D9057" t="s">
        <v>17</v>
      </c>
      <c r="E9057" t="s">
        <v>20</v>
      </c>
      <c r="F9057">
        <v>86655938</v>
      </c>
      <c r="G9057">
        <v>86655938</v>
      </c>
      <c r="H9057">
        <v>86655938</v>
      </c>
      <c r="I9057">
        <v>86655938</v>
      </c>
    </row>
    <row r="9058" spans="1:9" x14ac:dyDescent="0.2">
      <c r="A9058" t="str">
        <f>"Gm5218"</f>
        <v>Gm5218</v>
      </c>
      <c r="B9058" t="s">
        <v>3753</v>
      </c>
      <c r="C9058" t="s">
        <v>25</v>
      </c>
      <c r="D9058" t="s">
        <v>11</v>
      </c>
      <c r="E9058" t="s">
        <v>20</v>
      </c>
      <c r="F9058">
        <v>81499547</v>
      </c>
      <c r="G9058">
        <v>81499547</v>
      </c>
      <c r="H9058">
        <v>81499547</v>
      </c>
      <c r="I9058">
        <v>81499547</v>
      </c>
    </row>
    <row r="9059" spans="1:9" x14ac:dyDescent="0.2">
      <c r="A9059" t="str">
        <f>"Gm5225"</f>
        <v>Gm5225</v>
      </c>
      <c r="B9059" t="s">
        <v>3754</v>
      </c>
      <c r="C9059" t="s">
        <v>28</v>
      </c>
      <c r="D9059" t="s">
        <v>17</v>
      </c>
      <c r="E9059" t="s">
        <v>20</v>
      </c>
      <c r="F9059">
        <v>24023858</v>
      </c>
      <c r="G9059">
        <v>24023858</v>
      </c>
      <c r="H9059">
        <v>24023858</v>
      </c>
      <c r="I9059">
        <v>24023858</v>
      </c>
    </row>
    <row r="9060" spans="1:9" x14ac:dyDescent="0.2">
      <c r="A9060" t="str">
        <f>"Gm5239"</f>
        <v>Gm5239</v>
      </c>
      <c r="B9060" t="s">
        <v>14</v>
      </c>
      <c r="C9060" t="s">
        <v>43</v>
      </c>
      <c r="D9060" t="s">
        <v>17</v>
      </c>
      <c r="E9060" t="s">
        <v>67</v>
      </c>
      <c r="F9060">
        <v>35536539</v>
      </c>
      <c r="G9060">
        <v>35536546</v>
      </c>
      <c r="H9060">
        <v>35536539</v>
      </c>
      <c r="I9060">
        <v>35536546</v>
      </c>
    </row>
    <row r="9061" spans="1:9" x14ac:dyDescent="0.2">
      <c r="A9061" t="str">
        <f>"Gm5244"</f>
        <v>Gm5244</v>
      </c>
      <c r="B9061" t="s">
        <v>14</v>
      </c>
      <c r="C9061" t="s">
        <v>10</v>
      </c>
      <c r="D9061" t="s">
        <v>17</v>
      </c>
      <c r="E9061" t="s">
        <v>67</v>
      </c>
      <c r="F9061">
        <v>12846774</v>
      </c>
      <c r="G9061">
        <v>12846781</v>
      </c>
      <c r="H9061">
        <v>12846774</v>
      </c>
      <c r="I9061">
        <v>12846781</v>
      </c>
    </row>
    <row r="9062" spans="1:9" x14ac:dyDescent="0.2">
      <c r="A9062" t="str">
        <f>"Gm525"</f>
        <v>Gm525</v>
      </c>
      <c r="B9062" t="s">
        <v>14</v>
      </c>
      <c r="C9062" t="s">
        <v>27</v>
      </c>
      <c r="D9062" t="s">
        <v>17</v>
      </c>
      <c r="E9062" t="s">
        <v>12</v>
      </c>
      <c r="F9062">
        <v>89073921</v>
      </c>
      <c r="G9062">
        <v>89073934</v>
      </c>
      <c r="H9062">
        <v>89073921</v>
      </c>
      <c r="I9062">
        <v>89073934</v>
      </c>
    </row>
    <row r="9063" spans="1:9" x14ac:dyDescent="0.2">
      <c r="A9063" t="str">
        <f>"Gm5250"</f>
        <v>Gm5250</v>
      </c>
      <c r="B9063" t="s">
        <v>3755</v>
      </c>
      <c r="C9063" t="s">
        <v>19</v>
      </c>
      <c r="D9063" t="s">
        <v>17</v>
      </c>
      <c r="E9063" t="s">
        <v>20</v>
      </c>
      <c r="F9063">
        <v>13062018</v>
      </c>
      <c r="G9063">
        <v>13062018</v>
      </c>
      <c r="H9063">
        <v>13062018</v>
      </c>
      <c r="I9063">
        <v>13062018</v>
      </c>
    </row>
    <row r="9064" spans="1:9" x14ac:dyDescent="0.2">
      <c r="A9064" t="str">
        <f>"Gm5258"</f>
        <v>Gm5258</v>
      </c>
      <c r="B9064" t="s">
        <v>3756</v>
      </c>
      <c r="C9064" t="s">
        <v>19</v>
      </c>
      <c r="D9064" t="s">
        <v>17</v>
      </c>
      <c r="E9064" t="s">
        <v>20</v>
      </c>
      <c r="F9064">
        <v>86323266</v>
      </c>
      <c r="G9064">
        <v>86323266</v>
      </c>
      <c r="H9064">
        <v>86323266</v>
      </c>
      <c r="I9064">
        <v>86323266</v>
      </c>
    </row>
    <row r="9065" spans="1:9" x14ac:dyDescent="0.2">
      <c r="A9065" t="str">
        <f>"Gm5263"</f>
        <v>Gm5263</v>
      </c>
      <c r="B9065" t="s">
        <v>3757</v>
      </c>
      <c r="C9065" t="s">
        <v>19</v>
      </c>
      <c r="D9065" t="s">
        <v>17</v>
      </c>
      <c r="E9065" t="s">
        <v>20</v>
      </c>
      <c r="F9065">
        <v>146420433</v>
      </c>
      <c r="G9065">
        <v>146420433</v>
      </c>
      <c r="H9065">
        <v>146420433</v>
      </c>
      <c r="I9065">
        <v>146420433</v>
      </c>
    </row>
    <row r="9066" spans="1:9" x14ac:dyDescent="0.2">
      <c r="A9066" t="str">
        <f>"Gm5269"</f>
        <v>Gm5269</v>
      </c>
      <c r="B9066" t="s">
        <v>3758</v>
      </c>
      <c r="C9066" t="s">
        <v>19</v>
      </c>
      <c r="D9066" t="s">
        <v>11</v>
      </c>
      <c r="E9066" t="s">
        <v>20</v>
      </c>
      <c r="F9066">
        <v>45890077</v>
      </c>
      <c r="G9066">
        <v>45890077</v>
      </c>
      <c r="H9066">
        <v>45890077</v>
      </c>
      <c r="I9066">
        <v>45890077</v>
      </c>
    </row>
    <row r="9067" spans="1:9" x14ac:dyDescent="0.2">
      <c r="A9067" t="str">
        <f>"Gm527"</f>
        <v>Gm527</v>
      </c>
      <c r="B9067" t="s">
        <v>14</v>
      </c>
      <c r="C9067" t="s">
        <v>16</v>
      </c>
      <c r="D9067" t="s">
        <v>17</v>
      </c>
      <c r="E9067" t="s">
        <v>12</v>
      </c>
      <c r="F9067">
        <v>64917901</v>
      </c>
      <c r="G9067">
        <v>64917944</v>
      </c>
      <c r="H9067">
        <v>64917838</v>
      </c>
      <c r="I9067">
        <v>64917870</v>
      </c>
    </row>
    <row r="9068" spans="1:9" x14ac:dyDescent="0.2">
      <c r="A9068" t="str">
        <f>"Gm5277"</f>
        <v>Gm5277</v>
      </c>
      <c r="B9068" t="s">
        <v>14</v>
      </c>
      <c r="C9068" t="s">
        <v>22</v>
      </c>
      <c r="D9068" t="s">
        <v>11</v>
      </c>
      <c r="E9068" t="s">
        <v>67</v>
      </c>
      <c r="F9068">
        <v>78892458</v>
      </c>
      <c r="G9068">
        <v>78892459</v>
      </c>
      <c r="H9068">
        <v>78892458</v>
      </c>
      <c r="I9068">
        <v>78892459</v>
      </c>
    </row>
    <row r="9069" spans="1:9" x14ac:dyDescent="0.2">
      <c r="A9069" t="str">
        <f>"Gm5283"</f>
        <v>Gm5283</v>
      </c>
      <c r="B9069" t="s">
        <v>3759</v>
      </c>
      <c r="C9069" t="s">
        <v>22</v>
      </c>
      <c r="D9069" t="s">
        <v>11</v>
      </c>
      <c r="E9069" t="s">
        <v>20</v>
      </c>
      <c r="F9069">
        <v>17230975</v>
      </c>
      <c r="G9069">
        <v>17230975</v>
      </c>
      <c r="H9069">
        <v>17230975</v>
      </c>
      <c r="I9069">
        <v>17230975</v>
      </c>
    </row>
    <row r="9070" spans="1:9" x14ac:dyDescent="0.2">
      <c r="A9070" t="str">
        <f>"Gm5286"</f>
        <v>Gm5286</v>
      </c>
      <c r="B9070" t="s">
        <v>3760</v>
      </c>
      <c r="C9070" t="s">
        <v>22</v>
      </c>
      <c r="D9070" t="s">
        <v>17</v>
      </c>
      <c r="E9070" t="s">
        <v>20</v>
      </c>
      <c r="F9070">
        <v>94196713</v>
      </c>
      <c r="G9070">
        <v>94196713</v>
      </c>
      <c r="H9070">
        <v>94196713</v>
      </c>
      <c r="I9070">
        <v>94196713</v>
      </c>
    </row>
    <row r="9071" spans="1:9" x14ac:dyDescent="0.2">
      <c r="A9071" t="str">
        <f>"Gm5294"</f>
        <v>Gm5294</v>
      </c>
      <c r="B9071" t="s">
        <v>3761</v>
      </c>
      <c r="C9071" t="s">
        <v>46</v>
      </c>
      <c r="D9071" t="s">
        <v>17</v>
      </c>
      <c r="E9071" t="s">
        <v>20</v>
      </c>
      <c r="F9071">
        <v>138820079</v>
      </c>
      <c r="G9071">
        <v>138820079</v>
      </c>
      <c r="H9071">
        <v>138820079</v>
      </c>
      <c r="I9071">
        <v>138820079</v>
      </c>
    </row>
    <row r="9072" spans="1:9" x14ac:dyDescent="0.2">
      <c r="A9072" t="str">
        <f>"Gm53"</f>
        <v>Gm53</v>
      </c>
      <c r="B9072" t="s">
        <v>14</v>
      </c>
      <c r="C9072" t="s">
        <v>27</v>
      </c>
      <c r="D9072" t="s">
        <v>17</v>
      </c>
      <c r="E9072" t="s">
        <v>12</v>
      </c>
      <c r="F9072">
        <v>96251638</v>
      </c>
      <c r="G9072">
        <v>96251668</v>
      </c>
      <c r="H9072">
        <v>96251674</v>
      </c>
      <c r="I9072">
        <v>96251696</v>
      </c>
    </row>
    <row r="9073" spans="1:9" x14ac:dyDescent="0.2">
      <c r="A9073" t="str">
        <f>"Gm5316"</f>
        <v>Gm5316</v>
      </c>
      <c r="B9073" t="s">
        <v>3762</v>
      </c>
      <c r="C9073" t="s">
        <v>32</v>
      </c>
      <c r="D9073" t="s">
        <v>11</v>
      </c>
      <c r="E9073" t="s">
        <v>20</v>
      </c>
      <c r="F9073">
        <v>122900404</v>
      </c>
      <c r="G9073">
        <v>122900404</v>
      </c>
      <c r="H9073">
        <v>122900404</v>
      </c>
      <c r="I9073">
        <v>122900404</v>
      </c>
    </row>
    <row r="9074" spans="1:9" x14ac:dyDescent="0.2">
      <c r="A9074" t="str">
        <f>"Gm5334"</f>
        <v>Gm5334</v>
      </c>
      <c r="B9074" t="s">
        <v>14</v>
      </c>
      <c r="C9074" t="s">
        <v>33</v>
      </c>
      <c r="D9074" t="s">
        <v>17</v>
      </c>
      <c r="E9074" t="s">
        <v>12</v>
      </c>
      <c r="F9074">
        <v>68618452</v>
      </c>
      <c r="G9074">
        <v>68618464</v>
      </c>
      <c r="H9074">
        <v>68618433</v>
      </c>
      <c r="I9074">
        <v>68618446</v>
      </c>
    </row>
    <row r="9075" spans="1:9" x14ac:dyDescent="0.2">
      <c r="A9075" t="str">
        <f>"Gm5346"</f>
        <v>Gm5346</v>
      </c>
      <c r="B9075" t="s">
        <v>3763</v>
      </c>
      <c r="C9075" t="s">
        <v>30</v>
      </c>
      <c r="D9075" t="s">
        <v>11</v>
      </c>
      <c r="E9075" t="s">
        <v>20</v>
      </c>
      <c r="F9075">
        <v>43627269</v>
      </c>
      <c r="G9075">
        <v>43627269</v>
      </c>
      <c r="H9075">
        <v>43627269</v>
      </c>
      <c r="I9075">
        <v>43627269</v>
      </c>
    </row>
    <row r="9076" spans="1:9" x14ac:dyDescent="0.2">
      <c r="A9076" t="str">
        <f>"Gm5356"</f>
        <v>Gm5356</v>
      </c>
      <c r="B9076" t="s">
        <v>3764</v>
      </c>
      <c r="C9076" t="s">
        <v>30</v>
      </c>
      <c r="D9076" t="s">
        <v>11</v>
      </c>
      <c r="E9076" t="s">
        <v>20</v>
      </c>
      <c r="F9076">
        <v>89187559</v>
      </c>
      <c r="G9076">
        <v>89187559</v>
      </c>
      <c r="H9076">
        <v>89187559</v>
      </c>
      <c r="I9076">
        <v>89187559</v>
      </c>
    </row>
    <row r="9077" spans="1:9" x14ac:dyDescent="0.2">
      <c r="A9077" t="str">
        <f>"Gm5382"</f>
        <v>Gm5382</v>
      </c>
      <c r="B9077" t="s">
        <v>3765</v>
      </c>
      <c r="C9077" t="s">
        <v>37</v>
      </c>
      <c r="D9077" t="s">
        <v>17</v>
      </c>
      <c r="E9077" t="s">
        <v>20</v>
      </c>
      <c r="F9077">
        <v>14211147</v>
      </c>
      <c r="G9077">
        <v>14211147</v>
      </c>
      <c r="H9077">
        <v>14211147</v>
      </c>
      <c r="I9077">
        <v>14211147</v>
      </c>
    </row>
    <row r="9078" spans="1:9" x14ac:dyDescent="0.2">
      <c r="A9078" t="str">
        <f>"Gm5407"</f>
        <v>Gm5407</v>
      </c>
      <c r="B9078" t="s">
        <v>3766</v>
      </c>
      <c r="C9078" t="s">
        <v>31</v>
      </c>
      <c r="D9078" t="s">
        <v>11</v>
      </c>
      <c r="E9078" t="s">
        <v>20</v>
      </c>
      <c r="F9078">
        <v>49297393</v>
      </c>
      <c r="G9078">
        <v>49297393</v>
      </c>
      <c r="H9078">
        <v>49297393</v>
      </c>
      <c r="I9078">
        <v>49297393</v>
      </c>
    </row>
    <row r="9079" spans="1:9" x14ac:dyDescent="0.2">
      <c r="A9079" t="str">
        <f>"Gm5414"</f>
        <v>Gm5414</v>
      </c>
      <c r="B9079" t="s">
        <v>14</v>
      </c>
      <c r="C9079" t="s">
        <v>25</v>
      </c>
      <c r="D9079" t="s">
        <v>11</v>
      </c>
      <c r="E9079" t="s">
        <v>12</v>
      </c>
      <c r="F9079">
        <v>101628248</v>
      </c>
      <c r="G9079">
        <v>101628252</v>
      </c>
      <c r="H9079">
        <v>101628248</v>
      </c>
      <c r="I9079">
        <v>101628252</v>
      </c>
    </row>
    <row r="9080" spans="1:9" x14ac:dyDescent="0.2">
      <c r="A9080" t="str">
        <f>"Gm5415"</f>
        <v>Gm5415</v>
      </c>
      <c r="B9080" t="s">
        <v>3767</v>
      </c>
      <c r="C9080" t="s">
        <v>19</v>
      </c>
      <c r="D9080" t="s">
        <v>11</v>
      </c>
      <c r="E9080" t="s">
        <v>20</v>
      </c>
      <c r="F9080">
        <v>32547292</v>
      </c>
      <c r="G9080">
        <v>32547292</v>
      </c>
      <c r="H9080">
        <v>32547292</v>
      </c>
      <c r="I9080">
        <v>32547292</v>
      </c>
    </row>
    <row r="9081" spans="1:9" x14ac:dyDescent="0.2">
      <c r="A9081" t="str">
        <f>"Gm5416"</f>
        <v>Gm5416</v>
      </c>
      <c r="B9081" t="s">
        <v>14</v>
      </c>
      <c r="C9081" t="s">
        <v>31</v>
      </c>
      <c r="D9081" t="s">
        <v>17</v>
      </c>
      <c r="E9081" t="s">
        <v>12</v>
      </c>
      <c r="F9081">
        <v>36210321</v>
      </c>
      <c r="G9081">
        <v>36210368</v>
      </c>
      <c r="H9081">
        <v>36210321</v>
      </c>
      <c r="I9081">
        <v>36210368</v>
      </c>
    </row>
    <row r="9082" spans="1:9" x14ac:dyDescent="0.2">
      <c r="A9082" t="str">
        <f>"Gm5420"</f>
        <v>Gm5420</v>
      </c>
      <c r="B9082" t="s">
        <v>14</v>
      </c>
      <c r="C9082" t="s">
        <v>15</v>
      </c>
      <c r="D9082" t="s">
        <v>17</v>
      </c>
      <c r="E9082" t="s">
        <v>67</v>
      </c>
      <c r="F9082">
        <v>21690362</v>
      </c>
      <c r="G9082">
        <v>21690373</v>
      </c>
      <c r="H9082">
        <v>21690362</v>
      </c>
      <c r="I9082">
        <v>21690373</v>
      </c>
    </row>
    <row r="9083" spans="1:9" x14ac:dyDescent="0.2">
      <c r="A9083" t="str">
        <f>"Gm5422"</f>
        <v>Gm5422</v>
      </c>
      <c r="B9083" t="s">
        <v>14</v>
      </c>
      <c r="C9083" t="s">
        <v>15</v>
      </c>
      <c r="D9083" t="s">
        <v>17</v>
      </c>
      <c r="E9083" t="s">
        <v>67</v>
      </c>
      <c r="F9083">
        <v>31248615</v>
      </c>
      <c r="G9083">
        <v>31248617</v>
      </c>
      <c r="H9083">
        <v>31248615</v>
      </c>
      <c r="I9083">
        <v>31248617</v>
      </c>
    </row>
    <row r="9084" spans="1:9" x14ac:dyDescent="0.2">
      <c r="A9084" t="str">
        <f>"Gm5423"</f>
        <v>Gm5423</v>
      </c>
      <c r="B9084" t="s">
        <v>3768</v>
      </c>
      <c r="C9084" t="s">
        <v>15</v>
      </c>
      <c r="D9084" t="s">
        <v>17</v>
      </c>
      <c r="E9084" t="s">
        <v>20</v>
      </c>
      <c r="F9084">
        <v>53474963</v>
      </c>
      <c r="G9084">
        <v>53474963</v>
      </c>
      <c r="H9084">
        <v>53474963</v>
      </c>
      <c r="I9084">
        <v>53474963</v>
      </c>
    </row>
    <row r="9085" spans="1:9" x14ac:dyDescent="0.2">
      <c r="A9085" t="str">
        <f>"Gm5424"</f>
        <v>Gm5424</v>
      </c>
      <c r="B9085" t="s">
        <v>14</v>
      </c>
      <c r="C9085" t="s">
        <v>15</v>
      </c>
      <c r="D9085" t="s">
        <v>17</v>
      </c>
      <c r="E9085" t="s">
        <v>12</v>
      </c>
      <c r="F9085">
        <v>62071014</v>
      </c>
      <c r="G9085">
        <v>62071020</v>
      </c>
      <c r="H9085">
        <v>62071014</v>
      </c>
      <c r="I9085">
        <v>62071020</v>
      </c>
    </row>
    <row r="9086" spans="1:9" x14ac:dyDescent="0.2">
      <c r="A9086" t="str">
        <f>"Gm5426"</f>
        <v>Gm5426</v>
      </c>
      <c r="B9086" t="s">
        <v>3769</v>
      </c>
      <c r="C9086" t="s">
        <v>15</v>
      </c>
      <c r="D9086" t="s">
        <v>17</v>
      </c>
      <c r="E9086" t="s">
        <v>20</v>
      </c>
      <c r="F9086">
        <v>96136602</v>
      </c>
      <c r="G9086">
        <v>96136602</v>
      </c>
      <c r="H9086">
        <v>96136602</v>
      </c>
      <c r="I9086">
        <v>96136602</v>
      </c>
    </row>
    <row r="9087" spans="1:9" x14ac:dyDescent="0.2">
      <c r="A9087" t="str">
        <f>"Gm5428"</f>
        <v>Gm5428</v>
      </c>
      <c r="B9087" t="s">
        <v>3770</v>
      </c>
      <c r="C9087" t="s">
        <v>15</v>
      </c>
      <c r="D9087" t="s">
        <v>17</v>
      </c>
      <c r="E9087" t="s">
        <v>20</v>
      </c>
      <c r="F9087">
        <v>111125850</v>
      </c>
      <c r="G9087">
        <v>111125850</v>
      </c>
      <c r="H9087">
        <v>111125850</v>
      </c>
      <c r="I9087">
        <v>111125850</v>
      </c>
    </row>
    <row r="9088" spans="1:9" x14ac:dyDescent="0.2">
      <c r="A9088" t="str">
        <f>"Gm5431"</f>
        <v>Gm5431</v>
      </c>
      <c r="B9088" t="s">
        <v>14</v>
      </c>
      <c r="C9088" t="s">
        <v>27</v>
      </c>
      <c r="D9088" t="s">
        <v>11</v>
      </c>
      <c r="E9088" t="s">
        <v>12</v>
      </c>
      <c r="F9088">
        <v>48902151</v>
      </c>
      <c r="G9088">
        <v>48902201</v>
      </c>
      <c r="H9088">
        <v>48902151</v>
      </c>
      <c r="I9088">
        <v>48902201</v>
      </c>
    </row>
    <row r="9089" spans="1:9" x14ac:dyDescent="0.2">
      <c r="A9089" t="str">
        <f>"Gm5434"</f>
        <v>Gm5434</v>
      </c>
      <c r="B9089" t="s">
        <v>3771</v>
      </c>
      <c r="C9089" t="s">
        <v>16</v>
      </c>
      <c r="D9089" t="s">
        <v>17</v>
      </c>
      <c r="E9089" t="s">
        <v>20</v>
      </c>
      <c r="F9089">
        <v>36090378</v>
      </c>
      <c r="G9089">
        <v>36090378</v>
      </c>
      <c r="H9089">
        <v>36090378</v>
      </c>
      <c r="I9089">
        <v>36090378</v>
      </c>
    </row>
    <row r="9090" spans="1:9" x14ac:dyDescent="0.2">
      <c r="A9090" t="str">
        <f>"Gm5435"</f>
        <v>Gm5435</v>
      </c>
      <c r="B9090" t="s">
        <v>3772</v>
      </c>
      <c r="C9090" t="s">
        <v>16</v>
      </c>
      <c r="D9090" t="s">
        <v>11</v>
      </c>
      <c r="E9090" t="s">
        <v>20</v>
      </c>
      <c r="F9090">
        <v>82496536</v>
      </c>
      <c r="G9090">
        <v>82496536</v>
      </c>
      <c r="H9090">
        <v>82496536</v>
      </c>
      <c r="I9090">
        <v>82496536</v>
      </c>
    </row>
    <row r="9091" spans="1:9" x14ac:dyDescent="0.2">
      <c r="A9091" t="str">
        <f>"Gm5444"</f>
        <v>Gm5444</v>
      </c>
      <c r="B9091" t="s">
        <v>14</v>
      </c>
      <c r="C9091" t="s">
        <v>39</v>
      </c>
      <c r="D9091" t="s">
        <v>17</v>
      </c>
      <c r="E9091" t="s">
        <v>67</v>
      </c>
      <c r="F9091">
        <v>4771576</v>
      </c>
      <c r="G9091">
        <v>4771621</v>
      </c>
      <c r="H9091">
        <v>4771576</v>
      </c>
      <c r="I9091">
        <v>4771621</v>
      </c>
    </row>
    <row r="9092" spans="1:9" x14ac:dyDescent="0.2">
      <c r="A9092" t="str">
        <f>"Gm5447"</f>
        <v>Gm5447</v>
      </c>
      <c r="B9092" t="s">
        <v>3773</v>
      </c>
      <c r="C9092" t="s">
        <v>39</v>
      </c>
      <c r="D9092" t="s">
        <v>17</v>
      </c>
      <c r="E9092" t="s">
        <v>20</v>
      </c>
      <c r="F9092">
        <v>30974203</v>
      </c>
      <c r="G9092">
        <v>30974203</v>
      </c>
      <c r="H9092">
        <v>30974203</v>
      </c>
      <c r="I9092">
        <v>30974203</v>
      </c>
    </row>
    <row r="9093" spans="1:9" x14ac:dyDescent="0.2">
      <c r="A9093" t="str">
        <f>"Gm5449"</f>
        <v>Gm5449</v>
      </c>
      <c r="B9093" t="s">
        <v>3774</v>
      </c>
      <c r="C9093" t="s">
        <v>39</v>
      </c>
      <c r="D9093" t="s">
        <v>17</v>
      </c>
      <c r="E9093" t="s">
        <v>20</v>
      </c>
      <c r="F9093">
        <v>53525702</v>
      </c>
      <c r="G9093">
        <v>53525702</v>
      </c>
      <c r="H9093">
        <v>53525702</v>
      </c>
      <c r="I9093">
        <v>53525702</v>
      </c>
    </row>
    <row r="9094" spans="1:9" x14ac:dyDescent="0.2">
      <c r="A9094" t="str">
        <f>"Gm5458"</f>
        <v>Gm5458</v>
      </c>
      <c r="B9094" t="s">
        <v>3775</v>
      </c>
      <c r="C9094" t="s">
        <v>41</v>
      </c>
      <c r="D9094" t="s">
        <v>11</v>
      </c>
      <c r="E9094" t="s">
        <v>20</v>
      </c>
      <c r="F9094">
        <v>19602580</v>
      </c>
      <c r="G9094">
        <v>19602580</v>
      </c>
      <c r="H9094">
        <v>19602580</v>
      </c>
      <c r="I9094">
        <v>19602580</v>
      </c>
    </row>
    <row r="9095" spans="1:9" x14ac:dyDescent="0.2">
      <c r="A9095" t="str">
        <f>"Gm5459"</f>
        <v>Gm5459</v>
      </c>
      <c r="B9095" t="s">
        <v>3776</v>
      </c>
      <c r="C9095" t="s">
        <v>41</v>
      </c>
      <c r="D9095" t="s">
        <v>11</v>
      </c>
      <c r="E9095" t="s">
        <v>20</v>
      </c>
      <c r="F9095">
        <v>31077446</v>
      </c>
      <c r="G9095">
        <v>31077446</v>
      </c>
      <c r="H9095">
        <v>31077446</v>
      </c>
      <c r="I9095">
        <v>31077446</v>
      </c>
    </row>
    <row r="9096" spans="1:9" x14ac:dyDescent="0.2">
      <c r="A9096" t="str">
        <f>"Gm5460"</f>
        <v>Gm5460</v>
      </c>
      <c r="B9096" t="s">
        <v>14</v>
      </c>
      <c r="C9096" t="s">
        <v>41</v>
      </c>
      <c r="D9096" t="s">
        <v>17</v>
      </c>
      <c r="E9096" t="s">
        <v>12</v>
      </c>
      <c r="F9096">
        <v>34041077</v>
      </c>
      <c r="G9096">
        <v>34041106</v>
      </c>
      <c r="H9096">
        <v>34041077</v>
      </c>
      <c r="I9096">
        <v>34041106</v>
      </c>
    </row>
    <row r="9097" spans="1:9" x14ac:dyDescent="0.2">
      <c r="A9097" t="str">
        <f>"Gm5464"</f>
        <v>Gm5464</v>
      </c>
      <c r="B9097" t="s">
        <v>14</v>
      </c>
      <c r="C9097" t="s">
        <v>41</v>
      </c>
      <c r="D9097" t="s">
        <v>17</v>
      </c>
      <c r="E9097" t="s">
        <v>12</v>
      </c>
      <c r="F9097">
        <v>66868798</v>
      </c>
      <c r="G9097">
        <v>66868823</v>
      </c>
      <c r="H9097">
        <v>66868848</v>
      </c>
      <c r="I9097">
        <v>66868872</v>
      </c>
    </row>
    <row r="9098" spans="1:9" x14ac:dyDescent="0.2">
      <c r="A9098" t="str">
        <f>"Gm5468"</f>
        <v>Gm5468</v>
      </c>
      <c r="B9098" t="s">
        <v>14</v>
      </c>
      <c r="C9098" t="s">
        <v>25</v>
      </c>
      <c r="D9098" t="s">
        <v>17</v>
      </c>
      <c r="E9098" t="s">
        <v>12</v>
      </c>
      <c r="F9098">
        <v>25414175</v>
      </c>
      <c r="G9098">
        <v>25414197</v>
      </c>
      <c r="H9098">
        <v>25414156</v>
      </c>
      <c r="I9098">
        <v>25414169</v>
      </c>
    </row>
    <row r="9099" spans="1:9" x14ac:dyDescent="0.2">
      <c r="A9099" t="str">
        <f>"Gm5475"</f>
        <v>Gm5475</v>
      </c>
      <c r="B9099" t="s">
        <v>14</v>
      </c>
      <c r="C9099" t="s">
        <v>25</v>
      </c>
      <c r="D9099" t="s">
        <v>17</v>
      </c>
      <c r="E9099" t="s">
        <v>12</v>
      </c>
      <c r="F9099">
        <v>100423227</v>
      </c>
      <c r="G9099">
        <v>100423235</v>
      </c>
      <c r="H9099">
        <v>100423376</v>
      </c>
      <c r="I9099">
        <v>100423389</v>
      </c>
    </row>
    <row r="9100" spans="1:9" x14ac:dyDescent="0.2">
      <c r="A9100" t="str">
        <f>"Gm5478"</f>
        <v>Gm5478</v>
      </c>
      <c r="B9100" t="s">
        <v>3777</v>
      </c>
      <c r="C9100" t="s">
        <v>25</v>
      </c>
      <c r="D9100" t="s">
        <v>11</v>
      </c>
      <c r="E9100" t="s">
        <v>20</v>
      </c>
      <c r="F9100">
        <v>101647379</v>
      </c>
      <c r="G9100">
        <v>101647379</v>
      </c>
      <c r="H9100">
        <v>101647379</v>
      </c>
      <c r="I9100">
        <v>101647379</v>
      </c>
    </row>
    <row r="9101" spans="1:9" x14ac:dyDescent="0.2">
      <c r="A9101" t="str">
        <f>"Gm5483"</f>
        <v>Gm5483</v>
      </c>
      <c r="B9101" t="s">
        <v>14</v>
      </c>
      <c r="C9101" t="s">
        <v>31</v>
      </c>
      <c r="D9101" t="s">
        <v>17</v>
      </c>
      <c r="E9101" t="s">
        <v>12</v>
      </c>
      <c r="F9101">
        <v>36184082</v>
      </c>
      <c r="G9101">
        <v>36184095</v>
      </c>
      <c r="H9101">
        <v>36184102</v>
      </c>
      <c r="I9101">
        <v>36184122</v>
      </c>
    </row>
    <row r="9102" spans="1:9" x14ac:dyDescent="0.2">
      <c r="A9102" t="str">
        <f>"Gm5493"</f>
        <v>Gm5493</v>
      </c>
      <c r="B9102" t="s">
        <v>3778</v>
      </c>
      <c r="C9102" t="s">
        <v>28</v>
      </c>
      <c r="D9102" t="s">
        <v>17</v>
      </c>
      <c r="E9102" t="s">
        <v>20</v>
      </c>
      <c r="F9102">
        <v>22739943</v>
      </c>
      <c r="G9102">
        <v>22739943</v>
      </c>
      <c r="H9102">
        <v>22739943</v>
      </c>
      <c r="I9102">
        <v>22739943</v>
      </c>
    </row>
    <row r="9103" spans="1:9" x14ac:dyDescent="0.2">
      <c r="A9103" t="str">
        <f>"Gm5494"</f>
        <v>Gm5494</v>
      </c>
      <c r="B9103" t="s">
        <v>14</v>
      </c>
      <c r="C9103" t="s">
        <v>28</v>
      </c>
      <c r="D9103" t="s">
        <v>17</v>
      </c>
      <c r="E9103" t="s">
        <v>12</v>
      </c>
      <c r="F9103">
        <v>40561498</v>
      </c>
      <c r="G9103">
        <v>40561512</v>
      </c>
      <c r="H9103">
        <v>40561498</v>
      </c>
      <c r="I9103">
        <v>40561512</v>
      </c>
    </row>
    <row r="9104" spans="1:9" x14ac:dyDescent="0.2">
      <c r="A9104" t="str">
        <f>"Gm5499"</f>
        <v>Gm5499</v>
      </c>
      <c r="B9104" t="s">
        <v>14</v>
      </c>
      <c r="C9104" t="s">
        <v>28</v>
      </c>
      <c r="D9104" t="s">
        <v>17</v>
      </c>
      <c r="E9104" t="s">
        <v>67</v>
      </c>
      <c r="F9104">
        <v>87078255</v>
      </c>
      <c r="G9104">
        <v>87078267</v>
      </c>
      <c r="H9104">
        <v>87078255</v>
      </c>
      <c r="I9104">
        <v>87078267</v>
      </c>
    </row>
    <row r="9105" spans="1:9" x14ac:dyDescent="0.2">
      <c r="A9105" t="str">
        <f>"Gm5501"</f>
        <v>Gm5501</v>
      </c>
      <c r="B9105" t="s">
        <v>3779</v>
      </c>
      <c r="C9105" t="s">
        <v>43</v>
      </c>
      <c r="D9105" t="s">
        <v>17</v>
      </c>
      <c r="E9105" t="s">
        <v>20</v>
      </c>
      <c r="F9105">
        <v>9916894</v>
      </c>
      <c r="G9105">
        <v>9916894</v>
      </c>
      <c r="H9105">
        <v>9916894</v>
      </c>
      <c r="I9105">
        <v>9916894</v>
      </c>
    </row>
    <row r="9106" spans="1:9" x14ac:dyDescent="0.2">
      <c r="A9106" t="str">
        <f>"Gm5506"</f>
        <v>Gm5506</v>
      </c>
      <c r="B9106" t="s">
        <v>3780</v>
      </c>
      <c r="C9106" t="s">
        <v>43</v>
      </c>
      <c r="D9106" t="s">
        <v>17</v>
      </c>
      <c r="E9106" t="s">
        <v>35</v>
      </c>
      <c r="F9106">
        <v>48045329</v>
      </c>
      <c r="G9106">
        <v>48045348</v>
      </c>
      <c r="H9106">
        <v>48045354</v>
      </c>
      <c r="I9106">
        <v>48045355</v>
      </c>
    </row>
    <row r="9107" spans="1:9" x14ac:dyDescent="0.2">
      <c r="A9107" t="str">
        <f>"Gm5519"</f>
        <v>Gm5519</v>
      </c>
      <c r="B9107" t="s">
        <v>3781</v>
      </c>
      <c r="C9107" t="s">
        <v>10</v>
      </c>
      <c r="D9107" t="s">
        <v>17</v>
      </c>
      <c r="E9107" t="s">
        <v>20</v>
      </c>
      <c r="F9107">
        <v>33822907</v>
      </c>
      <c r="G9107">
        <v>33822907</v>
      </c>
      <c r="H9107">
        <v>33822907</v>
      </c>
      <c r="I9107">
        <v>33822907</v>
      </c>
    </row>
    <row r="9108" spans="1:9" x14ac:dyDescent="0.2">
      <c r="A9108" t="str">
        <f>"Gm5531"</f>
        <v>Gm5531</v>
      </c>
      <c r="B9108" t="s">
        <v>14</v>
      </c>
      <c r="C9108" t="s">
        <v>19</v>
      </c>
      <c r="D9108" t="s">
        <v>17</v>
      </c>
      <c r="E9108" t="s">
        <v>12</v>
      </c>
      <c r="F9108">
        <v>153874335</v>
      </c>
      <c r="G9108">
        <v>153874354</v>
      </c>
      <c r="H9108">
        <v>153874335</v>
      </c>
      <c r="I9108">
        <v>153874354</v>
      </c>
    </row>
    <row r="9109" spans="1:9" x14ac:dyDescent="0.2">
      <c r="A9109" t="str">
        <f>"Gm5538"</f>
        <v>Gm5538</v>
      </c>
      <c r="B9109" t="s">
        <v>14</v>
      </c>
      <c r="C9109" t="s">
        <v>22</v>
      </c>
      <c r="D9109" t="s">
        <v>17</v>
      </c>
      <c r="E9109" t="s">
        <v>12</v>
      </c>
      <c r="F9109">
        <v>59729782</v>
      </c>
      <c r="G9109">
        <v>59729790</v>
      </c>
      <c r="H9109">
        <v>59729782</v>
      </c>
      <c r="I9109">
        <v>59729790</v>
      </c>
    </row>
    <row r="9110" spans="1:9" x14ac:dyDescent="0.2">
      <c r="A9110" t="str">
        <f>"Gm5546"</f>
        <v>Gm5546</v>
      </c>
      <c r="B9110" t="s">
        <v>3782</v>
      </c>
      <c r="C9110" t="s">
        <v>22</v>
      </c>
      <c r="D9110" t="s">
        <v>11</v>
      </c>
      <c r="E9110" t="s">
        <v>20</v>
      </c>
      <c r="F9110">
        <v>104366612</v>
      </c>
      <c r="G9110">
        <v>104366612</v>
      </c>
      <c r="H9110">
        <v>104366612</v>
      </c>
      <c r="I9110">
        <v>104366612</v>
      </c>
    </row>
    <row r="9111" spans="1:9" x14ac:dyDescent="0.2">
      <c r="A9111" t="str">
        <f>"Gm5549"</f>
        <v>Gm5549</v>
      </c>
      <c r="B9111" t="s">
        <v>3783</v>
      </c>
      <c r="C9111" t="s">
        <v>22</v>
      </c>
      <c r="D9111" t="s">
        <v>17</v>
      </c>
      <c r="E9111" t="s">
        <v>20</v>
      </c>
      <c r="F9111">
        <v>132634724</v>
      </c>
      <c r="G9111">
        <v>132634724</v>
      </c>
      <c r="H9111">
        <v>132634724</v>
      </c>
      <c r="I9111">
        <v>132634724</v>
      </c>
    </row>
    <row r="9112" spans="1:9" x14ac:dyDescent="0.2">
      <c r="A9112" t="str">
        <f>"Gm5577"</f>
        <v>Gm5577</v>
      </c>
      <c r="B9112" t="s">
        <v>14</v>
      </c>
      <c r="C9112" t="s">
        <v>32</v>
      </c>
      <c r="D9112" t="s">
        <v>17</v>
      </c>
      <c r="E9112" t="s">
        <v>12</v>
      </c>
      <c r="F9112">
        <v>87980662</v>
      </c>
      <c r="G9112">
        <v>87980710</v>
      </c>
      <c r="H9112">
        <v>87980719</v>
      </c>
      <c r="I9112">
        <v>87980769</v>
      </c>
    </row>
    <row r="9113" spans="1:9" x14ac:dyDescent="0.2">
      <c r="A9113" t="str">
        <f>"Gm5581"</f>
        <v>Gm5581</v>
      </c>
      <c r="B9113" t="s">
        <v>3784</v>
      </c>
      <c r="C9113" t="s">
        <v>32</v>
      </c>
      <c r="D9113" t="s">
        <v>11</v>
      </c>
      <c r="E9113" t="s">
        <v>20</v>
      </c>
      <c r="F9113">
        <v>131182378</v>
      </c>
      <c r="G9113">
        <v>131182378</v>
      </c>
      <c r="H9113">
        <v>131182378</v>
      </c>
      <c r="I9113">
        <v>131182378</v>
      </c>
    </row>
    <row r="9114" spans="1:9" x14ac:dyDescent="0.2">
      <c r="A9114" t="str">
        <f>"Gm5591"</f>
        <v>Gm5591</v>
      </c>
      <c r="B9114" t="s">
        <v>3785</v>
      </c>
      <c r="C9114" t="s">
        <v>33</v>
      </c>
      <c r="D9114" t="s">
        <v>11</v>
      </c>
      <c r="E9114" t="s">
        <v>20</v>
      </c>
      <c r="F9114">
        <v>38528192</v>
      </c>
      <c r="G9114">
        <v>38528192</v>
      </c>
      <c r="H9114">
        <v>38528192</v>
      </c>
      <c r="I9114">
        <v>38528192</v>
      </c>
    </row>
    <row r="9115" spans="1:9" x14ac:dyDescent="0.2">
      <c r="A9115" t="str">
        <f>"Gm5592"</f>
        <v>Gm5592</v>
      </c>
      <c r="B9115" t="s">
        <v>3786</v>
      </c>
      <c r="C9115" t="s">
        <v>33</v>
      </c>
      <c r="D9115" t="s">
        <v>17</v>
      </c>
      <c r="E9115" t="s">
        <v>20</v>
      </c>
      <c r="F9115">
        <v>41284326</v>
      </c>
      <c r="G9115">
        <v>41284326</v>
      </c>
      <c r="H9115">
        <v>41284326</v>
      </c>
      <c r="I9115">
        <v>41284326</v>
      </c>
    </row>
    <row r="9116" spans="1:9" x14ac:dyDescent="0.2">
      <c r="A9116" t="str">
        <f>"Gm5595"</f>
        <v>Gm5595</v>
      </c>
      <c r="B9116" t="s">
        <v>14</v>
      </c>
      <c r="C9116" t="s">
        <v>33</v>
      </c>
      <c r="D9116" t="s">
        <v>11</v>
      </c>
      <c r="E9116" t="s">
        <v>12</v>
      </c>
      <c r="F9116">
        <v>42692747</v>
      </c>
      <c r="G9116">
        <v>42692773</v>
      </c>
      <c r="H9116">
        <v>42692747</v>
      </c>
      <c r="I9116">
        <v>42692773</v>
      </c>
    </row>
    <row r="9117" spans="1:9" x14ac:dyDescent="0.2">
      <c r="A9117" t="str">
        <f>"Gm5600"</f>
        <v>Gm5600</v>
      </c>
      <c r="B9117" t="s">
        <v>3787</v>
      </c>
      <c r="C9117" t="s">
        <v>33</v>
      </c>
      <c r="D9117" t="s">
        <v>11</v>
      </c>
      <c r="E9117" t="s">
        <v>20</v>
      </c>
      <c r="F9117">
        <v>113708199</v>
      </c>
      <c r="G9117">
        <v>113708199</v>
      </c>
      <c r="H9117">
        <v>113708199</v>
      </c>
      <c r="I9117">
        <v>113708199</v>
      </c>
    </row>
    <row r="9118" spans="1:9" x14ac:dyDescent="0.2">
      <c r="A9118" t="str">
        <f>"Gm5607"</f>
        <v>Gm5607</v>
      </c>
      <c r="B9118" t="s">
        <v>14</v>
      </c>
      <c r="C9118" t="s">
        <v>30</v>
      </c>
      <c r="D9118" t="s">
        <v>17</v>
      </c>
      <c r="E9118" t="s">
        <v>12</v>
      </c>
      <c r="F9118">
        <v>12385751</v>
      </c>
      <c r="G9118">
        <v>12385766</v>
      </c>
      <c r="H9118">
        <v>12385769</v>
      </c>
      <c r="I9118">
        <v>12385780</v>
      </c>
    </row>
    <row r="9119" spans="1:9" x14ac:dyDescent="0.2">
      <c r="A9119" t="str">
        <f>"Gm561"</f>
        <v>Gm561</v>
      </c>
      <c r="B9119" t="s">
        <v>14</v>
      </c>
      <c r="C9119" t="s">
        <v>26</v>
      </c>
      <c r="D9119" t="s">
        <v>17</v>
      </c>
      <c r="E9119" t="s">
        <v>12</v>
      </c>
      <c r="F9119">
        <v>144594056</v>
      </c>
      <c r="G9119">
        <v>144594083</v>
      </c>
      <c r="H9119">
        <v>144594056</v>
      </c>
      <c r="I9119">
        <v>144594083</v>
      </c>
    </row>
    <row r="9120" spans="1:9" x14ac:dyDescent="0.2">
      <c r="A9120" t="str">
        <f>"Gm5611"</f>
        <v>Gm5611</v>
      </c>
      <c r="B9120" t="s">
        <v>3788</v>
      </c>
      <c r="C9120" t="s">
        <v>24</v>
      </c>
      <c r="D9120" t="s">
        <v>17</v>
      </c>
      <c r="E9120" t="s">
        <v>20</v>
      </c>
      <c r="F9120">
        <v>17030044</v>
      </c>
      <c r="G9120">
        <v>17030044</v>
      </c>
      <c r="H9120">
        <v>17030044</v>
      </c>
      <c r="I9120">
        <v>17030044</v>
      </c>
    </row>
    <row r="9121" spans="1:9" x14ac:dyDescent="0.2">
      <c r="A9121" t="str">
        <f>"Gm5612"</f>
        <v>Gm5612</v>
      </c>
      <c r="B9121" t="s">
        <v>14</v>
      </c>
      <c r="C9121" t="s">
        <v>24</v>
      </c>
      <c r="D9121" t="s">
        <v>17</v>
      </c>
      <c r="E9121" t="s">
        <v>67</v>
      </c>
      <c r="F9121">
        <v>18427459</v>
      </c>
      <c r="G9121">
        <v>18427460</v>
      </c>
      <c r="H9121">
        <v>18427459</v>
      </c>
      <c r="I9121">
        <v>18427460</v>
      </c>
    </row>
    <row r="9122" spans="1:9" x14ac:dyDescent="0.2">
      <c r="A9122" t="str">
        <f>"Gm5615"</f>
        <v>Gm5615</v>
      </c>
      <c r="B9122" t="s">
        <v>14</v>
      </c>
      <c r="C9122" t="s">
        <v>24</v>
      </c>
      <c r="D9122" t="s">
        <v>11</v>
      </c>
      <c r="E9122" t="s">
        <v>12</v>
      </c>
      <c r="F9122">
        <v>36541886</v>
      </c>
      <c r="G9122">
        <v>36541901</v>
      </c>
      <c r="H9122">
        <v>36541886</v>
      </c>
      <c r="I9122">
        <v>36541901</v>
      </c>
    </row>
    <row r="9123" spans="1:9" x14ac:dyDescent="0.2">
      <c r="A9123" t="str">
        <f>"Gm5616"</f>
        <v>Gm5616</v>
      </c>
      <c r="B9123" t="s">
        <v>3789</v>
      </c>
      <c r="C9123" t="s">
        <v>24</v>
      </c>
      <c r="D9123" t="s">
        <v>17</v>
      </c>
      <c r="E9123" t="s">
        <v>35</v>
      </c>
      <c r="F9123">
        <v>48450260</v>
      </c>
      <c r="G9123">
        <v>48450268</v>
      </c>
      <c r="H9123">
        <v>48450327</v>
      </c>
      <c r="I9123">
        <v>48450336</v>
      </c>
    </row>
    <row r="9124" spans="1:9" x14ac:dyDescent="0.2">
      <c r="A9124" t="str">
        <f>"Gm5617"</f>
        <v>Gm5617</v>
      </c>
      <c r="B9124" t="s">
        <v>14</v>
      </c>
      <c r="C9124" t="s">
        <v>24</v>
      </c>
      <c r="D9124" t="s">
        <v>17</v>
      </c>
      <c r="E9124" t="s">
        <v>12</v>
      </c>
      <c r="F9124">
        <v>48495406</v>
      </c>
      <c r="G9124">
        <v>48495451</v>
      </c>
      <c r="H9124">
        <v>48495368</v>
      </c>
      <c r="I9124">
        <v>48495400</v>
      </c>
    </row>
    <row r="9125" spans="1:9" x14ac:dyDescent="0.2">
      <c r="A9125" t="str">
        <f>"Gm5619"</f>
        <v>Gm5619</v>
      </c>
      <c r="B9125" t="s">
        <v>3790</v>
      </c>
      <c r="C9125" t="s">
        <v>24</v>
      </c>
      <c r="D9125" t="s">
        <v>11</v>
      </c>
      <c r="E9125" t="s">
        <v>20</v>
      </c>
      <c r="F9125">
        <v>85782662</v>
      </c>
      <c r="G9125">
        <v>85782662</v>
      </c>
      <c r="H9125">
        <v>85782662</v>
      </c>
      <c r="I9125">
        <v>85782662</v>
      </c>
    </row>
    <row r="9126" spans="1:9" x14ac:dyDescent="0.2">
      <c r="A9126" t="str">
        <f>"Gm5622"</f>
        <v>Gm5622</v>
      </c>
      <c r="B9126" t="s">
        <v>14</v>
      </c>
      <c r="C9126" t="s">
        <v>41</v>
      </c>
      <c r="D9126" t="s">
        <v>17</v>
      </c>
      <c r="E9126" t="s">
        <v>12</v>
      </c>
      <c r="F9126">
        <v>51552769</v>
      </c>
      <c r="G9126">
        <v>51552798</v>
      </c>
      <c r="H9126">
        <v>51552769</v>
      </c>
      <c r="I9126">
        <v>51552798</v>
      </c>
    </row>
    <row r="9127" spans="1:9" x14ac:dyDescent="0.2">
      <c r="A9127" t="str">
        <f>"Gm5624"</f>
        <v>Gm5624</v>
      </c>
      <c r="B9127" t="s">
        <v>3791</v>
      </c>
      <c r="C9127" t="s">
        <v>41</v>
      </c>
      <c r="D9127" t="s">
        <v>11</v>
      </c>
      <c r="E9127" t="s">
        <v>20</v>
      </c>
      <c r="F9127">
        <v>44562696</v>
      </c>
      <c r="G9127">
        <v>44562696</v>
      </c>
      <c r="H9127">
        <v>44562696</v>
      </c>
      <c r="I9127">
        <v>44562696</v>
      </c>
    </row>
    <row r="9128" spans="1:9" x14ac:dyDescent="0.2">
      <c r="A9128" t="str">
        <f>"Gm5627"</f>
        <v>Gm5627</v>
      </c>
      <c r="B9128" t="s">
        <v>14</v>
      </c>
      <c r="C9128" t="s">
        <v>24</v>
      </c>
      <c r="D9128" t="s">
        <v>17</v>
      </c>
      <c r="E9128" t="s">
        <v>12</v>
      </c>
      <c r="F9128">
        <v>102739658</v>
      </c>
      <c r="G9128">
        <v>102739683</v>
      </c>
      <c r="H9128">
        <v>102739629</v>
      </c>
      <c r="I9128">
        <v>102739652</v>
      </c>
    </row>
    <row r="9129" spans="1:9" x14ac:dyDescent="0.2">
      <c r="A9129" t="str">
        <f>"Gm5634"</f>
        <v>Gm5634</v>
      </c>
      <c r="B9129" t="s">
        <v>3792</v>
      </c>
      <c r="C9129" t="s">
        <v>37</v>
      </c>
      <c r="D9129" t="s">
        <v>11</v>
      </c>
      <c r="E9129" t="s">
        <v>20</v>
      </c>
      <c r="F9129">
        <v>8962974</v>
      </c>
      <c r="G9129">
        <v>8962974</v>
      </c>
      <c r="H9129">
        <v>8962974</v>
      </c>
      <c r="I9129">
        <v>8962974</v>
      </c>
    </row>
    <row r="9130" spans="1:9" x14ac:dyDescent="0.2">
      <c r="A9130" t="str">
        <f>"Gm5635"</f>
        <v>Gm5635</v>
      </c>
      <c r="B9130" t="s">
        <v>3793</v>
      </c>
      <c r="C9130" t="s">
        <v>37</v>
      </c>
      <c r="D9130" t="s">
        <v>17</v>
      </c>
      <c r="E9130" t="s">
        <v>20</v>
      </c>
      <c r="F9130">
        <v>9063089</v>
      </c>
      <c r="G9130">
        <v>9063089</v>
      </c>
      <c r="H9130">
        <v>9063089</v>
      </c>
      <c r="I9130">
        <v>9063089</v>
      </c>
    </row>
    <row r="9131" spans="1:9" x14ac:dyDescent="0.2">
      <c r="A9131" t="str">
        <f>"Gm5640"</f>
        <v>Gm5640</v>
      </c>
      <c r="B9131" t="s">
        <v>3794</v>
      </c>
      <c r="C9131" t="s">
        <v>37</v>
      </c>
      <c r="D9131" t="s">
        <v>11</v>
      </c>
      <c r="E9131" t="s">
        <v>20</v>
      </c>
      <c r="F9131">
        <v>74645634</v>
      </c>
      <c r="G9131">
        <v>74645634</v>
      </c>
      <c r="H9131">
        <v>74645634</v>
      </c>
      <c r="I9131">
        <v>74645634</v>
      </c>
    </row>
    <row r="9132" spans="1:9" x14ac:dyDescent="0.2">
      <c r="A9132" t="str">
        <f>"Gm5641"</f>
        <v>Gm5641</v>
      </c>
      <c r="B9132" t="s">
        <v>3795</v>
      </c>
      <c r="C9132" t="s">
        <v>22</v>
      </c>
      <c r="D9132" t="s">
        <v>17</v>
      </c>
      <c r="E9132" t="s">
        <v>20</v>
      </c>
      <c r="F9132">
        <v>54481428</v>
      </c>
      <c r="G9132">
        <v>54481428</v>
      </c>
      <c r="H9132">
        <v>54481428</v>
      </c>
      <c r="I9132">
        <v>54481428</v>
      </c>
    </row>
    <row r="9133" spans="1:9" x14ac:dyDescent="0.2">
      <c r="A9133" t="str">
        <f>"Gm5662"</f>
        <v>Gm5662</v>
      </c>
      <c r="B9133" t="s">
        <v>3796</v>
      </c>
      <c r="C9133" t="s">
        <v>16</v>
      </c>
      <c r="D9133" t="s">
        <v>11</v>
      </c>
      <c r="E9133" t="s">
        <v>20</v>
      </c>
      <c r="F9133">
        <v>88274499</v>
      </c>
      <c r="G9133">
        <v>88274499</v>
      </c>
      <c r="H9133">
        <v>88274499</v>
      </c>
      <c r="I9133">
        <v>88274499</v>
      </c>
    </row>
    <row r="9134" spans="1:9" x14ac:dyDescent="0.2">
      <c r="A9134" t="str">
        <f>"Gm5689"</f>
        <v>Gm5689</v>
      </c>
      <c r="B9134" t="s">
        <v>3797</v>
      </c>
      <c r="C9134" t="s">
        <v>43</v>
      </c>
      <c r="D9134" t="s">
        <v>17</v>
      </c>
      <c r="E9134" t="s">
        <v>20</v>
      </c>
      <c r="F9134">
        <v>42173369</v>
      </c>
      <c r="G9134">
        <v>42173369</v>
      </c>
      <c r="H9134">
        <v>42173369</v>
      </c>
      <c r="I9134">
        <v>42173369</v>
      </c>
    </row>
    <row r="9135" spans="1:9" x14ac:dyDescent="0.2">
      <c r="A9135" t="str">
        <f>"Gm5698"</f>
        <v>Gm5698</v>
      </c>
      <c r="B9135" t="s">
        <v>3798</v>
      </c>
      <c r="C9135" t="s">
        <v>19</v>
      </c>
      <c r="D9135" t="s">
        <v>11</v>
      </c>
      <c r="E9135" t="s">
        <v>20</v>
      </c>
      <c r="F9135">
        <v>30977967</v>
      </c>
      <c r="G9135">
        <v>30977967</v>
      </c>
      <c r="H9135">
        <v>30977967</v>
      </c>
      <c r="I9135">
        <v>30977967</v>
      </c>
    </row>
    <row r="9136" spans="1:9" x14ac:dyDescent="0.2">
      <c r="A9136" t="str">
        <f>"Gm5699"</f>
        <v>Gm5699</v>
      </c>
      <c r="B9136" t="s">
        <v>3799</v>
      </c>
      <c r="C9136" t="s">
        <v>19</v>
      </c>
      <c r="D9136" t="s">
        <v>11</v>
      </c>
      <c r="E9136" t="s">
        <v>20</v>
      </c>
      <c r="F9136">
        <v>30999904</v>
      </c>
      <c r="G9136">
        <v>30999904</v>
      </c>
      <c r="H9136">
        <v>30999904</v>
      </c>
      <c r="I9136">
        <v>30999904</v>
      </c>
    </row>
    <row r="9137" spans="1:9" x14ac:dyDescent="0.2">
      <c r="A9137" t="str">
        <f>"Gm5709"</f>
        <v>Gm5709</v>
      </c>
      <c r="B9137" t="s">
        <v>3800</v>
      </c>
      <c r="C9137" t="s">
        <v>22</v>
      </c>
      <c r="D9137" t="s">
        <v>11</v>
      </c>
      <c r="E9137" t="s">
        <v>20</v>
      </c>
      <c r="F9137">
        <v>59635732</v>
      </c>
      <c r="G9137">
        <v>59635732</v>
      </c>
      <c r="H9137">
        <v>59635732</v>
      </c>
      <c r="I9137">
        <v>59635732</v>
      </c>
    </row>
    <row r="9138" spans="1:9" x14ac:dyDescent="0.2">
      <c r="A9138" t="str">
        <f>"Gm572"</f>
        <v>Gm572</v>
      </c>
      <c r="B9138" t="s">
        <v>14</v>
      </c>
      <c r="C9138" t="s">
        <v>23</v>
      </c>
      <c r="D9138" t="s">
        <v>17</v>
      </c>
      <c r="E9138" t="s">
        <v>12</v>
      </c>
      <c r="F9138">
        <v>148643306</v>
      </c>
      <c r="G9138">
        <v>148643321</v>
      </c>
      <c r="H9138">
        <v>148643287</v>
      </c>
      <c r="I9138">
        <v>148643296</v>
      </c>
    </row>
    <row r="9139" spans="1:9" x14ac:dyDescent="0.2">
      <c r="A9139" t="str">
        <f>"Gm5724"</f>
        <v>Gm5724</v>
      </c>
      <c r="B9139" t="s">
        <v>3801</v>
      </c>
      <c r="C9139" t="s">
        <v>32</v>
      </c>
      <c r="D9139" t="s">
        <v>11</v>
      </c>
      <c r="E9139" t="s">
        <v>20</v>
      </c>
      <c r="F9139">
        <v>141773809</v>
      </c>
      <c r="G9139">
        <v>141773809</v>
      </c>
      <c r="H9139">
        <v>141773809</v>
      </c>
      <c r="I9139">
        <v>141773809</v>
      </c>
    </row>
    <row r="9140" spans="1:9" x14ac:dyDescent="0.2">
      <c r="A9140" t="str">
        <f>"Gm5725"</f>
        <v>Gm5725</v>
      </c>
      <c r="B9140" t="s">
        <v>3802</v>
      </c>
      <c r="C9140" t="s">
        <v>33</v>
      </c>
      <c r="D9140" t="s">
        <v>11</v>
      </c>
      <c r="E9140" t="s">
        <v>20</v>
      </c>
      <c r="F9140">
        <v>21844266</v>
      </c>
      <c r="G9140">
        <v>21844266</v>
      </c>
      <c r="H9140">
        <v>21844266</v>
      </c>
      <c r="I9140">
        <v>21844266</v>
      </c>
    </row>
    <row r="9141" spans="1:9" x14ac:dyDescent="0.2">
      <c r="A9141" t="str">
        <f>"Gm5726"</f>
        <v>Gm5726</v>
      </c>
      <c r="B9141" t="s">
        <v>3803</v>
      </c>
      <c r="C9141" t="s">
        <v>33</v>
      </c>
      <c r="D9141" t="s">
        <v>11</v>
      </c>
      <c r="E9141" t="s">
        <v>20</v>
      </c>
      <c r="F9141">
        <v>20545756</v>
      </c>
      <c r="G9141">
        <v>20545756</v>
      </c>
      <c r="H9141">
        <v>20545756</v>
      </c>
      <c r="I9141">
        <v>20545756</v>
      </c>
    </row>
    <row r="9142" spans="1:9" x14ac:dyDescent="0.2">
      <c r="A9142" t="str">
        <f>"Gm5728"</f>
        <v>Gm5728</v>
      </c>
      <c r="B9142" t="s">
        <v>3804</v>
      </c>
      <c r="C9142" t="s">
        <v>33</v>
      </c>
      <c r="D9142" t="s">
        <v>11</v>
      </c>
      <c r="E9142" t="s">
        <v>20</v>
      </c>
      <c r="F9142">
        <v>20375409</v>
      </c>
      <c r="G9142">
        <v>20375409</v>
      </c>
      <c r="H9142">
        <v>20375409</v>
      </c>
      <c r="I9142">
        <v>20375409</v>
      </c>
    </row>
    <row r="9143" spans="1:9" x14ac:dyDescent="0.2">
      <c r="A9143" t="str">
        <f>"Gm5741"</f>
        <v>Gm5741</v>
      </c>
      <c r="B9143" t="s">
        <v>14</v>
      </c>
      <c r="C9143" t="s">
        <v>30</v>
      </c>
      <c r="D9143" t="s">
        <v>11</v>
      </c>
      <c r="E9143" t="s">
        <v>12</v>
      </c>
      <c r="F9143">
        <v>85068013</v>
      </c>
      <c r="G9143">
        <v>85068032</v>
      </c>
      <c r="H9143">
        <v>85068013</v>
      </c>
      <c r="I9143">
        <v>85068032</v>
      </c>
    </row>
    <row r="9144" spans="1:9" x14ac:dyDescent="0.2">
      <c r="A9144" t="str">
        <f>"Gm5751"</f>
        <v>Gm5751</v>
      </c>
      <c r="B9144" t="s">
        <v>3805</v>
      </c>
      <c r="C9144" t="s">
        <v>37</v>
      </c>
      <c r="D9144" t="s">
        <v>17</v>
      </c>
      <c r="E9144" t="s">
        <v>20</v>
      </c>
      <c r="F9144">
        <v>8874252</v>
      </c>
      <c r="G9144">
        <v>8874252</v>
      </c>
      <c r="H9144">
        <v>8874252</v>
      </c>
      <c r="I9144">
        <v>8874252</v>
      </c>
    </row>
    <row r="9145" spans="1:9" x14ac:dyDescent="0.2">
      <c r="A9145" t="str">
        <f>"Gm5771"</f>
        <v>Gm5771</v>
      </c>
      <c r="B9145" t="s">
        <v>14</v>
      </c>
      <c r="C9145" t="s">
        <v>32</v>
      </c>
      <c r="D9145" t="s">
        <v>17</v>
      </c>
      <c r="E9145" t="s">
        <v>12</v>
      </c>
      <c r="F9145">
        <v>41392371</v>
      </c>
      <c r="G9145">
        <v>41392380</v>
      </c>
      <c r="H9145">
        <v>41392371</v>
      </c>
      <c r="I9145">
        <v>41392380</v>
      </c>
    </row>
    <row r="9146" spans="1:9" x14ac:dyDescent="0.2">
      <c r="A9146" t="str">
        <f>"Gm5773"</f>
        <v>Gm5773</v>
      </c>
      <c r="B9146" t="s">
        <v>3806</v>
      </c>
      <c r="C9146" t="s">
        <v>22</v>
      </c>
      <c r="D9146" t="s">
        <v>17</v>
      </c>
      <c r="E9146" t="s">
        <v>20</v>
      </c>
      <c r="F9146">
        <v>93772999</v>
      </c>
      <c r="G9146">
        <v>93772999</v>
      </c>
      <c r="H9146">
        <v>93772999</v>
      </c>
      <c r="I9146">
        <v>93772999</v>
      </c>
    </row>
    <row r="9147" spans="1:9" x14ac:dyDescent="0.2">
      <c r="A9147" t="str">
        <f>"Gm5784"</f>
        <v>Gm5784</v>
      </c>
      <c r="B9147" t="s">
        <v>14</v>
      </c>
      <c r="C9147" t="s">
        <v>16</v>
      </c>
      <c r="D9147" t="s">
        <v>17</v>
      </c>
      <c r="E9147" t="s">
        <v>67</v>
      </c>
      <c r="F9147">
        <v>19387868</v>
      </c>
      <c r="G9147">
        <v>19387870</v>
      </c>
      <c r="H9147">
        <v>19387868</v>
      </c>
      <c r="I9147">
        <v>19387870</v>
      </c>
    </row>
    <row r="9148" spans="1:9" x14ac:dyDescent="0.2">
      <c r="A9148" t="str">
        <f>"Gm5786"</f>
        <v>Gm5786</v>
      </c>
      <c r="B9148" t="s">
        <v>14</v>
      </c>
      <c r="C9148" t="s">
        <v>16</v>
      </c>
      <c r="D9148" t="s">
        <v>17</v>
      </c>
      <c r="E9148" t="s">
        <v>67</v>
      </c>
      <c r="F9148">
        <v>59080988</v>
      </c>
      <c r="G9148">
        <v>59080993</v>
      </c>
      <c r="H9148">
        <v>59080988</v>
      </c>
      <c r="I9148">
        <v>59080993</v>
      </c>
    </row>
    <row r="9149" spans="1:9" x14ac:dyDescent="0.2">
      <c r="A9149" t="str">
        <f>"Gm5795"</f>
        <v>Gm5795</v>
      </c>
      <c r="B9149" t="s">
        <v>3807</v>
      </c>
      <c r="C9149" t="s">
        <v>41</v>
      </c>
      <c r="D9149" t="s">
        <v>17</v>
      </c>
      <c r="E9149" t="s">
        <v>20</v>
      </c>
      <c r="F9149">
        <v>3188283</v>
      </c>
      <c r="G9149">
        <v>3188283</v>
      </c>
      <c r="H9149">
        <v>3188283</v>
      </c>
      <c r="I9149">
        <v>3188283</v>
      </c>
    </row>
    <row r="9150" spans="1:9" x14ac:dyDescent="0.2">
      <c r="A9150" t="str">
        <f>"Gm5796"</f>
        <v>Gm5796</v>
      </c>
      <c r="B9150" t="s">
        <v>3808</v>
      </c>
      <c r="C9150" t="s">
        <v>41</v>
      </c>
      <c r="D9150" t="s">
        <v>17</v>
      </c>
      <c r="E9150" t="s">
        <v>20</v>
      </c>
      <c r="F9150">
        <v>4023940</v>
      </c>
      <c r="G9150">
        <v>4023940</v>
      </c>
      <c r="H9150">
        <v>4023940</v>
      </c>
      <c r="I9150">
        <v>4023940</v>
      </c>
    </row>
    <row r="9151" spans="1:9" x14ac:dyDescent="0.2">
      <c r="A9151" t="str">
        <f>"Gm5797"</f>
        <v>Gm5797</v>
      </c>
      <c r="B9151" t="s">
        <v>14</v>
      </c>
      <c r="C9151" t="s">
        <v>41</v>
      </c>
      <c r="D9151" t="s">
        <v>11</v>
      </c>
      <c r="E9151" t="s">
        <v>12</v>
      </c>
      <c r="F9151">
        <v>7332362</v>
      </c>
      <c r="G9151">
        <v>7332383</v>
      </c>
      <c r="H9151">
        <v>7332362</v>
      </c>
      <c r="I9151">
        <v>7332383</v>
      </c>
    </row>
    <row r="9152" spans="1:9" x14ac:dyDescent="0.2">
      <c r="A9152" t="str">
        <f>"Gm5798"</f>
        <v>Gm5798</v>
      </c>
      <c r="B9152" t="s">
        <v>3809</v>
      </c>
      <c r="C9152" t="s">
        <v>41</v>
      </c>
      <c r="D9152" t="s">
        <v>17</v>
      </c>
      <c r="E9152" t="s">
        <v>20</v>
      </c>
      <c r="F9152">
        <v>41348608</v>
      </c>
      <c r="G9152">
        <v>41348608</v>
      </c>
      <c r="H9152">
        <v>41348608</v>
      </c>
      <c r="I9152">
        <v>41348608</v>
      </c>
    </row>
    <row r="9153" spans="1:9" x14ac:dyDescent="0.2">
      <c r="A9153" t="str">
        <f>"Gm5799"</f>
        <v>Gm5799</v>
      </c>
      <c r="B9153" t="s">
        <v>3810</v>
      </c>
      <c r="C9153" t="s">
        <v>41</v>
      </c>
      <c r="D9153" t="s">
        <v>17</v>
      </c>
      <c r="E9153" t="s">
        <v>20</v>
      </c>
      <c r="F9153">
        <v>43543575</v>
      </c>
      <c r="G9153">
        <v>43543575</v>
      </c>
      <c r="H9153">
        <v>43543575</v>
      </c>
      <c r="I9153">
        <v>43543575</v>
      </c>
    </row>
    <row r="9154" spans="1:9" x14ac:dyDescent="0.2">
      <c r="A9154" t="str">
        <f>"Gm5800"</f>
        <v>Gm5800</v>
      </c>
      <c r="B9154" t="s">
        <v>14</v>
      </c>
      <c r="C9154" t="s">
        <v>41</v>
      </c>
      <c r="D9154" t="s">
        <v>11</v>
      </c>
      <c r="E9154" t="s">
        <v>12</v>
      </c>
      <c r="F9154">
        <v>51717144</v>
      </c>
      <c r="G9154">
        <v>51717166</v>
      </c>
      <c r="H9154">
        <v>51717144</v>
      </c>
      <c r="I9154">
        <v>51717166</v>
      </c>
    </row>
    <row r="9155" spans="1:9" x14ac:dyDescent="0.2">
      <c r="A9155" t="str">
        <f>"Gm581"</f>
        <v>Gm581</v>
      </c>
      <c r="B9155" t="s">
        <v>14</v>
      </c>
      <c r="C9155" t="s">
        <v>33</v>
      </c>
      <c r="D9155" t="s">
        <v>11</v>
      </c>
      <c r="E9155" t="s">
        <v>67</v>
      </c>
      <c r="F9155">
        <v>45179539</v>
      </c>
      <c r="G9155">
        <v>45179567</v>
      </c>
      <c r="H9155">
        <v>45179579</v>
      </c>
      <c r="I9155">
        <v>45179588</v>
      </c>
    </row>
    <row r="9156" spans="1:9" x14ac:dyDescent="0.2">
      <c r="A9156" t="str">
        <f>"Gm5814"</f>
        <v>Gm5814</v>
      </c>
      <c r="B9156" t="s">
        <v>3811</v>
      </c>
      <c r="C9156" t="s">
        <v>28</v>
      </c>
      <c r="D9156" t="s">
        <v>17</v>
      </c>
      <c r="E9156" t="s">
        <v>35</v>
      </c>
      <c r="F9156">
        <v>47410247</v>
      </c>
      <c r="G9156">
        <v>47410253</v>
      </c>
      <c r="H9156">
        <v>47410507</v>
      </c>
      <c r="I9156">
        <v>47410549</v>
      </c>
    </row>
    <row r="9157" spans="1:9" x14ac:dyDescent="0.2">
      <c r="A9157" t="str">
        <f>"Gm5819"</f>
        <v>Gm5819</v>
      </c>
      <c r="B9157" t="s">
        <v>3812</v>
      </c>
      <c r="C9157" t="s">
        <v>43</v>
      </c>
      <c r="D9157" t="s">
        <v>17</v>
      </c>
      <c r="E9157" t="s">
        <v>20</v>
      </c>
      <c r="F9157">
        <v>8694076</v>
      </c>
      <c r="G9157">
        <v>8694076</v>
      </c>
      <c r="H9157">
        <v>8694076</v>
      </c>
      <c r="I9157">
        <v>8694076</v>
      </c>
    </row>
    <row r="9158" spans="1:9" x14ac:dyDescent="0.2">
      <c r="A9158" t="str">
        <f>"Gm5828"</f>
        <v>Gm5828</v>
      </c>
      <c r="B9158" t="s">
        <v>14</v>
      </c>
      <c r="C9158" t="s">
        <v>19</v>
      </c>
      <c r="D9158" t="s">
        <v>11</v>
      </c>
      <c r="E9158" t="s">
        <v>67</v>
      </c>
      <c r="F9158">
        <v>16770149</v>
      </c>
      <c r="G9158">
        <v>16770159</v>
      </c>
      <c r="H9158">
        <v>16770149</v>
      </c>
      <c r="I9158">
        <v>16770159</v>
      </c>
    </row>
    <row r="9159" spans="1:9" x14ac:dyDescent="0.2">
      <c r="A9159" t="str">
        <f>"Gm5830"</f>
        <v>Gm5830</v>
      </c>
      <c r="B9159" t="s">
        <v>14</v>
      </c>
      <c r="C9159" t="s">
        <v>19</v>
      </c>
      <c r="D9159" t="s">
        <v>11</v>
      </c>
      <c r="E9159" t="s">
        <v>67</v>
      </c>
      <c r="F9159">
        <v>78968095</v>
      </c>
      <c r="G9159">
        <v>78968099</v>
      </c>
      <c r="H9159">
        <v>78968095</v>
      </c>
      <c r="I9159">
        <v>78968099</v>
      </c>
    </row>
    <row r="9160" spans="1:9" x14ac:dyDescent="0.2">
      <c r="A9160" t="str">
        <f>"Gm5849"</f>
        <v>Gm5849</v>
      </c>
      <c r="B9160" t="s">
        <v>3813</v>
      </c>
      <c r="C9160" t="s">
        <v>22</v>
      </c>
      <c r="D9160" t="s">
        <v>11</v>
      </c>
      <c r="E9160" t="s">
        <v>20</v>
      </c>
      <c r="F9160">
        <v>90777875</v>
      </c>
      <c r="G9160">
        <v>90777875</v>
      </c>
      <c r="H9160">
        <v>90777875</v>
      </c>
      <c r="I9160">
        <v>90777875</v>
      </c>
    </row>
    <row r="9161" spans="1:9" x14ac:dyDescent="0.2">
      <c r="A9161" t="str">
        <f>"Gm5852"</f>
        <v>Gm5852</v>
      </c>
      <c r="B9161" t="s">
        <v>3814</v>
      </c>
      <c r="C9161" t="s">
        <v>22</v>
      </c>
      <c r="D9161" t="s">
        <v>11</v>
      </c>
      <c r="E9161" t="s">
        <v>20</v>
      </c>
      <c r="F9161">
        <v>93728045</v>
      </c>
      <c r="G9161">
        <v>93728045</v>
      </c>
      <c r="H9161">
        <v>93728045</v>
      </c>
      <c r="I9161">
        <v>93728045</v>
      </c>
    </row>
    <row r="9162" spans="1:9" x14ac:dyDescent="0.2">
      <c r="A9162" t="str">
        <f>"Gm5861"</f>
        <v>Gm5861</v>
      </c>
      <c r="B9162" t="s">
        <v>3815</v>
      </c>
      <c r="C9162" t="s">
        <v>46</v>
      </c>
      <c r="D9162" t="s">
        <v>17</v>
      </c>
      <c r="E9162" t="s">
        <v>20</v>
      </c>
      <c r="F9162">
        <v>11184206</v>
      </c>
      <c r="G9162">
        <v>11184206</v>
      </c>
      <c r="H9162">
        <v>11184206</v>
      </c>
      <c r="I9162">
        <v>11184206</v>
      </c>
    </row>
    <row r="9163" spans="1:9" x14ac:dyDescent="0.2">
      <c r="A9163" t="str">
        <f>"Gm5861"</f>
        <v>Gm5861</v>
      </c>
      <c r="B9163" t="s">
        <v>3816</v>
      </c>
      <c r="C9163" t="s">
        <v>46</v>
      </c>
      <c r="D9163" t="s">
        <v>17</v>
      </c>
      <c r="E9163" t="s">
        <v>20</v>
      </c>
      <c r="F9163">
        <v>11183071</v>
      </c>
      <c r="G9163">
        <v>11183071</v>
      </c>
      <c r="H9163">
        <v>11183071</v>
      </c>
      <c r="I9163">
        <v>11183071</v>
      </c>
    </row>
    <row r="9164" spans="1:9" x14ac:dyDescent="0.2">
      <c r="A9164" t="str">
        <f>"Gm5862"</f>
        <v>Gm5862</v>
      </c>
      <c r="B9164" t="s">
        <v>3817</v>
      </c>
      <c r="C9164" t="s">
        <v>46</v>
      </c>
      <c r="D9164" t="s">
        <v>11</v>
      </c>
      <c r="E9164" t="s">
        <v>20</v>
      </c>
      <c r="F9164">
        <v>26022915</v>
      </c>
      <c r="G9164">
        <v>26022915</v>
      </c>
      <c r="H9164">
        <v>26022915</v>
      </c>
      <c r="I9164">
        <v>26022915</v>
      </c>
    </row>
    <row r="9165" spans="1:9" x14ac:dyDescent="0.2">
      <c r="A9165" t="str">
        <f>"Gm5866"</f>
        <v>Gm5866</v>
      </c>
      <c r="B9165" t="s">
        <v>3818</v>
      </c>
      <c r="C9165" t="s">
        <v>46</v>
      </c>
      <c r="D9165" t="s">
        <v>17</v>
      </c>
      <c r="E9165" t="s">
        <v>20</v>
      </c>
      <c r="F9165">
        <v>52582319</v>
      </c>
      <c r="G9165">
        <v>52582319</v>
      </c>
      <c r="H9165">
        <v>52582319</v>
      </c>
      <c r="I9165">
        <v>52582319</v>
      </c>
    </row>
    <row r="9166" spans="1:9" x14ac:dyDescent="0.2">
      <c r="A9166" t="str">
        <f>"Gm5868"</f>
        <v>Gm5868</v>
      </c>
      <c r="B9166" t="s">
        <v>14</v>
      </c>
      <c r="C9166" t="s">
        <v>46</v>
      </c>
      <c r="D9166" t="s">
        <v>11</v>
      </c>
      <c r="E9166" t="s">
        <v>12</v>
      </c>
      <c r="F9166">
        <v>72587544</v>
      </c>
      <c r="G9166">
        <v>72587555</v>
      </c>
      <c r="H9166">
        <v>72587588</v>
      </c>
      <c r="I9166">
        <v>72587595</v>
      </c>
    </row>
    <row r="9167" spans="1:9" x14ac:dyDescent="0.2">
      <c r="A9167" t="str">
        <f>"Gm5878"</f>
        <v>Gm5878</v>
      </c>
      <c r="B9167" t="s">
        <v>14</v>
      </c>
      <c r="C9167" t="s">
        <v>32</v>
      </c>
      <c r="D9167" t="s">
        <v>11</v>
      </c>
      <c r="E9167" t="s">
        <v>12</v>
      </c>
      <c r="F9167">
        <v>85126041</v>
      </c>
      <c r="G9167">
        <v>85126054</v>
      </c>
      <c r="H9167">
        <v>85126088</v>
      </c>
      <c r="I9167">
        <v>85126099</v>
      </c>
    </row>
    <row r="9168" spans="1:9" x14ac:dyDescent="0.2">
      <c r="A9168" t="str">
        <f>"Gm5884"</f>
        <v>Gm5884</v>
      </c>
      <c r="B9168" t="s">
        <v>3819</v>
      </c>
      <c r="C9168" t="s">
        <v>32</v>
      </c>
      <c r="D9168" t="s">
        <v>17</v>
      </c>
      <c r="E9168" t="s">
        <v>20</v>
      </c>
      <c r="F9168">
        <v>128644837</v>
      </c>
      <c r="G9168">
        <v>128644837</v>
      </c>
      <c r="H9168">
        <v>128644837</v>
      </c>
      <c r="I9168">
        <v>128644837</v>
      </c>
    </row>
    <row r="9169" spans="1:9" x14ac:dyDescent="0.2">
      <c r="A9169" t="str">
        <f>"Gm5885"</f>
        <v>Gm5885</v>
      </c>
      <c r="B9169" t="s">
        <v>3820</v>
      </c>
      <c r="C9169" t="s">
        <v>32</v>
      </c>
      <c r="D9169" t="s">
        <v>17</v>
      </c>
      <c r="E9169" t="s">
        <v>20</v>
      </c>
      <c r="F9169">
        <v>133529188</v>
      </c>
      <c r="G9169">
        <v>133529188</v>
      </c>
      <c r="H9169">
        <v>133529188</v>
      </c>
      <c r="I9169">
        <v>133529188</v>
      </c>
    </row>
    <row r="9170" spans="1:9" x14ac:dyDescent="0.2">
      <c r="A9170" t="str">
        <f>"Gm5891"</f>
        <v>Gm5891</v>
      </c>
      <c r="B9170" t="s">
        <v>3821</v>
      </c>
      <c r="C9170" t="s">
        <v>33</v>
      </c>
      <c r="D9170" t="s">
        <v>11</v>
      </c>
      <c r="E9170" t="s">
        <v>20</v>
      </c>
      <c r="F9170">
        <v>21910747</v>
      </c>
      <c r="G9170">
        <v>21910747</v>
      </c>
      <c r="H9170">
        <v>21910747</v>
      </c>
      <c r="I9170">
        <v>21910747</v>
      </c>
    </row>
    <row r="9171" spans="1:9" x14ac:dyDescent="0.2">
      <c r="A9171" t="str">
        <f>"Gm590"</f>
        <v>Gm590</v>
      </c>
      <c r="B9171" t="s">
        <v>14</v>
      </c>
      <c r="C9171" t="s">
        <v>24</v>
      </c>
      <c r="D9171" t="s">
        <v>11</v>
      </c>
      <c r="E9171" t="s">
        <v>12</v>
      </c>
      <c r="F9171">
        <v>110916891</v>
      </c>
      <c r="G9171">
        <v>110916900</v>
      </c>
      <c r="H9171">
        <v>110916891</v>
      </c>
      <c r="I9171">
        <v>110916900</v>
      </c>
    </row>
    <row r="9172" spans="1:9" x14ac:dyDescent="0.2">
      <c r="A9172" t="str">
        <f>"Gm5900"</f>
        <v>Gm5900</v>
      </c>
      <c r="B9172" t="s">
        <v>3822</v>
      </c>
      <c r="C9172" t="s">
        <v>33</v>
      </c>
      <c r="D9172" t="s">
        <v>11</v>
      </c>
      <c r="E9172" t="s">
        <v>20</v>
      </c>
      <c r="F9172">
        <v>104950440</v>
      </c>
      <c r="G9172">
        <v>104950440</v>
      </c>
      <c r="H9172">
        <v>104950440</v>
      </c>
      <c r="I9172">
        <v>104950440</v>
      </c>
    </row>
    <row r="9173" spans="1:9" x14ac:dyDescent="0.2">
      <c r="A9173" t="str">
        <f>"Gm5901"</f>
        <v>Gm5901</v>
      </c>
      <c r="B9173" t="s">
        <v>14</v>
      </c>
      <c r="C9173" t="s">
        <v>33</v>
      </c>
      <c r="D9173" t="s">
        <v>17</v>
      </c>
      <c r="E9173" t="s">
        <v>12</v>
      </c>
      <c r="F9173">
        <v>105375025</v>
      </c>
      <c r="G9173">
        <v>105375044</v>
      </c>
      <c r="H9173">
        <v>105375053</v>
      </c>
      <c r="I9173">
        <v>105375072</v>
      </c>
    </row>
    <row r="9174" spans="1:9" x14ac:dyDescent="0.2">
      <c r="A9174" t="str">
        <f>"Gm5916"</f>
        <v>Gm5916</v>
      </c>
      <c r="B9174" t="s">
        <v>14</v>
      </c>
      <c r="C9174" t="s">
        <v>24</v>
      </c>
      <c r="D9174" t="s">
        <v>11</v>
      </c>
      <c r="E9174" t="s">
        <v>12</v>
      </c>
      <c r="F9174">
        <v>36128814</v>
      </c>
      <c r="G9174">
        <v>36128819</v>
      </c>
      <c r="H9174">
        <v>36128814</v>
      </c>
      <c r="I9174">
        <v>36128819</v>
      </c>
    </row>
    <row r="9175" spans="1:9" x14ac:dyDescent="0.2">
      <c r="A9175" t="str">
        <f>"Gm5918"</f>
        <v>Gm5918</v>
      </c>
      <c r="B9175" t="s">
        <v>14</v>
      </c>
      <c r="C9175" t="s">
        <v>24</v>
      </c>
      <c r="D9175" t="s">
        <v>11</v>
      </c>
      <c r="E9175" t="s">
        <v>12</v>
      </c>
      <c r="F9175">
        <v>72985344</v>
      </c>
      <c r="G9175">
        <v>72985397</v>
      </c>
      <c r="H9175">
        <v>72985283</v>
      </c>
      <c r="I9175">
        <v>72985297</v>
      </c>
    </row>
    <row r="9176" spans="1:9" x14ac:dyDescent="0.2">
      <c r="A9176" t="str">
        <f>"Gm5919"</f>
        <v>Gm5919</v>
      </c>
      <c r="B9176" t="s">
        <v>3823</v>
      </c>
      <c r="C9176" t="s">
        <v>24</v>
      </c>
      <c r="D9176" t="s">
        <v>17</v>
      </c>
      <c r="E9176" t="s">
        <v>20</v>
      </c>
      <c r="F9176">
        <v>83882213</v>
      </c>
      <c r="G9176">
        <v>83882213</v>
      </c>
      <c r="H9176">
        <v>83882213</v>
      </c>
      <c r="I9176">
        <v>83882213</v>
      </c>
    </row>
    <row r="9177" spans="1:9" x14ac:dyDescent="0.2">
      <c r="A9177" t="str">
        <f>"Gm5926"</f>
        <v>Gm5926</v>
      </c>
      <c r="B9177" t="s">
        <v>3824</v>
      </c>
      <c r="C9177" t="s">
        <v>37</v>
      </c>
      <c r="D9177" t="s">
        <v>17</v>
      </c>
      <c r="E9177" t="s">
        <v>20</v>
      </c>
      <c r="F9177">
        <v>32650715</v>
      </c>
      <c r="G9177">
        <v>32650715</v>
      </c>
      <c r="H9177">
        <v>32650715</v>
      </c>
      <c r="I9177">
        <v>32650715</v>
      </c>
    </row>
    <row r="9178" spans="1:9" x14ac:dyDescent="0.2">
      <c r="A9178" t="str">
        <f>"Gm5930"</f>
        <v>Gm5930</v>
      </c>
      <c r="B9178" t="s">
        <v>3825</v>
      </c>
      <c r="C9178" t="s">
        <v>41</v>
      </c>
      <c r="D9178" t="s">
        <v>11</v>
      </c>
      <c r="E9178" t="s">
        <v>20</v>
      </c>
      <c r="F9178">
        <v>44338583</v>
      </c>
      <c r="G9178">
        <v>44338583</v>
      </c>
      <c r="H9178">
        <v>44338583</v>
      </c>
      <c r="I9178">
        <v>44338583</v>
      </c>
    </row>
    <row r="9179" spans="1:9" x14ac:dyDescent="0.2">
      <c r="A9179" t="str">
        <f>"Gm5934"</f>
        <v>Gm5934</v>
      </c>
      <c r="B9179" t="s">
        <v>3826</v>
      </c>
      <c r="C9179" t="s">
        <v>37</v>
      </c>
      <c r="D9179" t="s">
        <v>11</v>
      </c>
      <c r="E9179" t="s">
        <v>20</v>
      </c>
      <c r="F9179">
        <v>24500759</v>
      </c>
      <c r="G9179">
        <v>24500759</v>
      </c>
      <c r="H9179">
        <v>24500759</v>
      </c>
      <c r="I9179">
        <v>24500759</v>
      </c>
    </row>
    <row r="9180" spans="1:9" x14ac:dyDescent="0.2">
      <c r="A9180" t="str">
        <f>"Gm5935"</f>
        <v>Gm5935</v>
      </c>
      <c r="B9180" t="s">
        <v>3827</v>
      </c>
      <c r="C9180" t="s">
        <v>37</v>
      </c>
      <c r="D9180" t="s">
        <v>11</v>
      </c>
      <c r="E9180" t="s">
        <v>20</v>
      </c>
      <c r="F9180">
        <v>24775163</v>
      </c>
      <c r="G9180">
        <v>24775163</v>
      </c>
      <c r="H9180">
        <v>24775163</v>
      </c>
      <c r="I9180">
        <v>24775163</v>
      </c>
    </row>
    <row r="9181" spans="1:9" x14ac:dyDescent="0.2">
      <c r="A9181" t="str">
        <f>"Gm5935"</f>
        <v>Gm5935</v>
      </c>
      <c r="B9181" t="s">
        <v>3828</v>
      </c>
      <c r="C9181" t="s">
        <v>37</v>
      </c>
      <c r="D9181" t="s">
        <v>11</v>
      </c>
      <c r="E9181" t="s">
        <v>20</v>
      </c>
      <c r="F9181">
        <v>24773574</v>
      </c>
      <c r="G9181">
        <v>24773574</v>
      </c>
      <c r="H9181">
        <v>24773574</v>
      </c>
      <c r="I9181">
        <v>24773574</v>
      </c>
    </row>
    <row r="9182" spans="1:9" x14ac:dyDescent="0.2">
      <c r="A9182" t="str">
        <f>"Gm5936"</f>
        <v>Gm5936</v>
      </c>
      <c r="B9182" t="s">
        <v>3829</v>
      </c>
      <c r="C9182" t="s">
        <v>37</v>
      </c>
      <c r="D9182" t="s">
        <v>17</v>
      </c>
      <c r="E9182" t="s">
        <v>20</v>
      </c>
      <c r="F9182">
        <v>74837195</v>
      </c>
      <c r="G9182">
        <v>74837195</v>
      </c>
      <c r="H9182">
        <v>74837195</v>
      </c>
      <c r="I9182">
        <v>74837195</v>
      </c>
    </row>
    <row r="9183" spans="1:9" x14ac:dyDescent="0.2">
      <c r="A9183" t="str">
        <f>"Gm5938"</f>
        <v>Gm5938</v>
      </c>
      <c r="B9183" t="s">
        <v>14</v>
      </c>
      <c r="C9183" t="s">
        <v>37</v>
      </c>
      <c r="D9183" t="s">
        <v>17</v>
      </c>
      <c r="E9183" t="s">
        <v>12</v>
      </c>
      <c r="F9183">
        <v>78125466</v>
      </c>
      <c r="G9183">
        <v>78125470</v>
      </c>
      <c r="H9183">
        <v>78125499</v>
      </c>
      <c r="I9183">
        <v>78125506</v>
      </c>
    </row>
    <row r="9184" spans="1:9" x14ac:dyDescent="0.2">
      <c r="A9184" t="str">
        <f>"Gm5941"</f>
        <v>Gm5941</v>
      </c>
      <c r="B9184" t="s">
        <v>14</v>
      </c>
      <c r="C9184" t="s">
        <v>37</v>
      </c>
      <c r="D9184" t="s">
        <v>17</v>
      </c>
      <c r="E9184" t="s">
        <v>12</v>
      </c>
      <c r="F9184">
        <v>92489958</v>
      </c>
      <c r="G9184">
        <v>92489980</v>
      </c>
      <c r="H9184">
        <v>92490002</v>
      </c>
      <c r="I9184">
        <v>92490007</v>
      </c>
    </row>
    <row r="9185" spans="1:9" x14ac:dyDescent="0.2">
      <c r="A9185" t="str">
        <f>"Gm595"</f>
        <v>Gm595</v>
      </c>
      <c r="B9185" t="s">
        <v>14</v>
      </c>
      <c r="C9185" t="s">
        <v>37</v>
      </c>
      <c r="D9185" t="s">
        <v>11</v>
      </c>
      <c r="E9185" t="s">
        <v>12</v>
      </c>
      <c r="F9185">
        <v>48877711</v>
      </c>
      <c r="G9185">
        <v>48877715</v>
      </c>
      <c r="H9185">
        <v>48877762</v>
      </c>
      <c r="I9185">
        <v>48877810</v>
      </c>
    </row>
    <row r="9186" spans="1:9" x14ac:dyDescent="0.2">
      <c r="A9186" t="str">
        <f>"Gm5965"</f>
        <v>Gm5965</v>
      </c>
      <c r="B9186" t="s">
        <v>14</v>
      </c>
      <c r="C9186" t="s">
        <v>31</v>
      </c>
      <c r="D9186" t="s">
        <v>17</v>
      </c>
      <c r="E9186" t="s">
        <v>67</v>
      </c>
      <c r="F9186">
        <v>88777829</v>
      </c>
      <c r="G9186">
        <v>88777835</v>
      </c>
      <c r="H9186">
        <v>88777829</v>
      </c>
      <c r="I9186">
        <v>88777835</v>
      </c>
    </row>
    <row r="9187" spans="1:9" x14ac:dyDescent="0.2">
      <c r="A9187" t="str">
        <f>"Gm597"</f>
        <v>Gm597</v>
      </c>
      <c r="B9187" t="s">
        <v>14</v>
      </c>
      <c r="C9187" t="s">
        <v>19</v>
      </c>
      <c r="D9187" t="s">
        <v>11</v>
      </c>
      <c r="E9187" t="s">
        <v>12</v>
      </c>
      <c r="F9187">
        <v>28780250</v>
      </c>
      <c r="G9187">
        <v>28780252</v>
      </c>
      <c r="H9187">
        <v>28780250</v>
      </c>
      <c r="I9187">
        <v>28780252</v>
      </c>
    </row>
    <row r="9188" spans="1:9" x14ac:dyDescent="0.2">
      <c r="A9188" t="str">
        <f>"Gm6020"</f>
        <v>Gm6020</v>
      </c>
      <c r="B9188" t="s">
        <v>3830</v>
      </c>
      <c r="C9188" t="s">
        <v>10</v>
      </c>
      <c r="D9188" t="s">
        <v>17</v>
      </c>
      <c r="E9188" t="s">
        <v>20</v>
      </c>
      <c r="F9188">
        <v>61183889</v>
      </c>
      <c r="G9188">
        <v>61183889</v>
      </c>
      <c r="H9188">
        <v>61183889</v>
      </c>
      <c r="I9188">
        <v>61183889</v>
      </c>
    </row>
    <row r="9189" spans="1:9" x14ac:dyDescent="0.2">
      <c r="A9189" t="str">
        <f>"Gm6026"</f>
        <v>Gm6026</v>
      </c>
      <c r="B9189" t="s">
        <v>3831</v>
      </c>
      <c r="C9189" t="s">
        <v>63</v>
      </c>
      <c r="D9189" t="s">
        <v>17</v>
      </c>
      <c r="E9189" t="s">
        <v>20</v>
      </c>
      <c r="F9189">
        <v>2599098</v>
      </c>
      <c r="G9189">
        <v>2599098</v>
      </c>
      <c r="H9189">
        <v>2599098</v>
      </c>
      <c r="I9189">
        <v>2599098</v>
      </c>
    </row>
    <row r="9190" spans="1:9" x14ac:dyDescent="0.2">
      <c r="A9190" t="str">
        <f>"Gm6034"</f>
        <v>Gm6034</v>
      </c>
      <c r="B9190" t="s">
        <v>14</v>
      </c>
      <c r="C9190" t="s">
        <v>28</v>
      </c>
      <c r="D9190" t="s">
        <v>17</v>
      </c>
      <c r="E9190" t="s">
        <v>12</v>
      </c>
      <c r="F9190">
        <v>36042956</v>
      </c>
      <c r="G9190">
        <v>36042984</v>
      </c>
      <c r="H9190">
        <v>36042992</v>
      </c>
      <c r="I9190">
        <v>36043012</v>
      </c>
    </row>
    <row r="9191" spans="1:9" x14ac:dyDescent="0.2">
      <c r="A9191" t="str">
        <f>"Gm6040"</f>
        <v>Gm6040</v>
      </c>
      <c r="B9191" t="s">
        <v>14</v>
      </c>
      <c r="C9191" t="s">
        <v>30</v>
      </c>
      <c r="D9191" t="s">
        <v>11</v>
      </c>
      <c r="E9191" t="s">
        <v>12</v>
      </c>
      <c r="F9191">
        <v>20922059</v>
      </c>
      <c r="G9191">
        <v>20922086</v>
      </c>
      <c r="H9191">
        <v>20922042</v>
      </c>
      <c r="I9191">
        <v>20922049</v>
      </c>
    </row>
    <row r="9192" spans="1:9" x14ac:dyDescent="0.2">
      <c r="A9192" t="str">
        <f>"Gm608"</f>
        <v>Gm608</v>
      </c>
      <c r="B9192" t="s">
        <v>14</v>
      </c>
      <c r="C9192" t="s">
        <v>31</v>
      </c>
      <c r="D9192" t="s">
        <v>17</v>
      </c>
      <c r="E9192" t="s">
        <v>12</v>
      </c>
      <c r="F9192">
        <v>44173239</v>
      </c>
      <c r="G9192">
        <v>44173270</v>
      </c>
      <c r="H9192">
        <v>44173271</v>
      </c>
      <c r="I9192">
        <v>44173294</v>
      </c>
    </row>
    <row r="9193" spans="1:9" x14ac:dyDescent="0.2">
      <c r="A9193" t="str">
        <f>"Gm6084"</f>
        <v>Gm6084</v>
      </c>
      <c r="B9193" t="s">
        <v>14</v>
      </c>
      <c r="C9193" t="s">
        <v>28</v>
      </c>
      <c r="D9193" t="s">
        <v>17</v>
      </c>
      <c r="E9193" t="s">
        <v>12</v>
      </c>
      <c r="F9193">
        <v>40727104</v>
      </c>
      <c r="G9193">
        <v>40727110</v>
      </c>
      <c r="H9193">
        <v>40727104</v>
      </c>
      <c r="I9193">
        <v>40727110</v>
      </c>
    </row>
    <row r="9194" spans="1:9" x14ac:dyDescent="0.2">
      <c r="A9194" t="str">
        <f>"Gm6086"</f>
        <v>Gm6086</v>
      </c>
      <c r="B9194" t="s">
        <v>3832</v>
      </c>
      <c r="C9194" t="s">
        <v>19</v>
      </c>
      <c r="D9194" t="s">
        <v>17</v>
      </c>
      <c r="E9194" t="s">
        <v>20</v>
      </c>
      <c r="F9194">
        <v>93990508</v>
      </c>
      <c r="G9194">
        <v>93990508</v>
      </c>
      <c r="H9194">
        <v>93990508</v>
      </c>
      <c r="I9194">
        <v>93990508</v>
      </c>
    </row>
    <row r="9195" spans="1:9" x14ac:dyDescent="0.2">
      <c r="A9195" t="str">
        <f>"Gm609"</f>
        <v>Gm609</v>
      </c>
      <c r="B9195" t="s">
        <v>3833</v>
      </c>
      <c r="C9195" t="s">
        <v>31</v>
      </c>
      <c r="D9195" t="s">
        <v>11</v>
      </c>
      <c r="E9195" t="s">
        <v>35</v>
      </c>
      <c r="F9195">
        <v>45492962</v>
      </c>
      <c r="G9195">
        <v>45492993</v>
      </c>
      <c r="H9195">
        <v>45492922</v>
      </c>
      <c r="I9195">
        <v>45492929</v>
      </c>
    </row>
    <row r="9196" spans="1:9" x14ac:dyDescent="0.2">
      <c r="A9196" t="str">
        <f>"Gm6096"</f>
        <v>Gm6096</v>
      </c>
      <c r="B9196" t="s">
        <v>3834</v>
      </c>
      <c r="C9196" t="s">
        <v>33</v>
      </c>
      <c r="D9196" t="s">
        <v>17</v>
      </c>
      <c r="E9196" t="s">
        <v>20</v>
      </c>
      <c r="F9196">
        <v>34251037</v>
      </c>
      <c r="G9196">
        <v>34251037</v>
      </c>
      <c r="H9196">
        <v>34251037</v>
      </c>
      <c r="I9196">
        <v>34251037</v>
      </c>
    </row>
    <row r="9197" spans="1:9" x14ac:dyDescent="0.2">
      <c r="A9197" t="str">
        <f>"Gm6104"</f>
        <v>Gm6104</v>
      </c>
      <c r="B9197" t="s">
        <v>14</v>
      </c>
      <c r="C9197" t="s">
        <v>19</v>
      </c>
      <c r="D9197" t="s">
        <v>11</v>
      </c>
      <c r="E9197" t="s">
        <v>67</v>
      </c>
      <c r="F9197">
        <v>4880693</v>
      </c>
      <c r="G9197">
        <v>4880699</v>
      </c>
      <c r="H9197">
        <v>4880693</v>
      </c>
      <c r="I9197">
        <v>4880699</v>
      </c>
    </row>
    <row r="9198" spans="1:9" x14ac:dyDescent="0.2">
      <c r="A9198" t="str">
        <f>"Gm6121"</f>
        <v>Gm6121</v>
      </c>
      <c r="B9198" t="s">
        <v>3835</v>
      </c>
      <c r="C9198" t="s">
        <v>37</v>
      </c>
      <c r="D9198" t="s">
        <v>11</v>
      </c>
      <c r="E9198" t="s">
        <v>20</v>
      </c>
      <c r="F9198">
        <v>26935682</v>
      </c>
      <c r="G9198">
        <v>26935682</v>
      </c>
      <c r="H9198">
        <v>26935682</v>
      </c>
      <c r="I9198">
        <v>26935682</v>
      </c>
    </row>
    <row r="9199" spans="1:9" x14ac:dyDescent="0.2">
      <c r="A9199" t="str">
        <f>"Gm6133"</f>
        <v>Gm6133</v>
      </c>
      <c r="B9199" t="s">
        <v>14</v>
      </c>
      <c r="C9199" t="s">
        <v>43</v>
      </c>
      <c r="D9199" t="s">
        <v>17</v>
      </c>
      <c r="E9199" t="s">
        <v>67</v>
      </c>
      <c r="F9199">
        <v>78349757</v>
      </c>
      <c r="G9199">
        <v>78349758</v>
      </c>
      <c r="H9199">
        <v>78349757</v>
      </c>
      <c r="I9199">
        <v>78349758</v>
      </c>
    </row>
    <row r="9200" spans="1:9" x14ac:dyDescent="0.2">
      <c r="A9200" t="str">
        <f>"Gm6139"</f>
        <v>Gm6139</v>
      </c>
      <c r="B9200" t="s">
        <v>3836</v>
      </c>
      <c r="C9200" t="s">
        <v>46</v>
      </c>
      <c r="D9200" t="s">
        <v>11</v>
      </c>
      <c r="E9200" t="s">
        <v>20</v>
      </c>
      <c r="F9200">
        <v>129623654</v>
      </c>
      <c r="G9200">
        <v>129623654</v>
      </c>
      <c r="H9200">
        <v>129623654</v>
      </c>
      <c r="I9200">
        <v>129623654</v>
      </c>
    </row>
    <row r="9201" spans="1:9" x14ac:dyDescent="0.2">
      <c r="A9201" t="str">
        <f>"Gm614"</f>
        <v>Gm614</v>
      </c>
      <c r="B9201" t="s">
        <v>14</v>
      </c>
      <c r="C9201" t="s">
        <v>37</v>
      </c>
      <c r="D9201" t="s">
        <v>11</v>
      </c>
      <c r="E9201" t="s">
        <v>12</v>
      </c>
      <c r="F9201">
        <v>101263986</v>
      </c>
      <c r="G9201">
        <v>101264002</v>
      </c>
      <c r="H9201">
        <v>101264018</v>
      </c>
      <c r="I9201">
        <v>101264027</v>
      </c>
    </row>
    <row r="9202" spans="1:9" x14ac:dyDescent="0.2">
      <c r="A9202" t="str">
        <f>"Gm6164"</f>
        <v>Gm6164</v>
      </c>
      <c r="B9202" t="s">
        <v>3837</v>
      </c>
      <c r="C9202" t="s">
        <v>33</v>
      </c>
      <c r="D9202" t="s">
        <v>11</v>
      </c>
      <c r="E9202" t="s">
        <v>20</v>
      </c>
      <c r="F9202">
        <v>20205606</v>
      </c>
      <c r="G9202">
        <v>20205606</v>
      </c>
      <c r="H9202">
        <v>20205606</v>
      </c>
      <c r="I9202">
        <v>20205606</v>
      </c>
    </row>
    <row r="9203" spans="1:9" x14ac:dyDescent="0.2">
      <c r="A9203" t="str">
        <f>"Gm6169"</f>
        <v>Gm6169</v>
      </c>
      <c r="B9203" t="s">
        <v>3838</v>
      </c>
      <c r="C9203" t="s">
        <v>39</v>
      </c>
      <c r="D9203" t="s">
        <v>11</v>
      </c>
      <c r="E9203" t="s">
        <v>20</v>
      </c>
      <c r="F9203">
        <v>97099295</v>
      </c>
      <c r="G9203">
        <v>97099295</v>
      </c>
      <c r="H9203">
        <v>97099295</v>
      </c>
      <c r="I9203">
        <v>97099295</v>
      </c>
    </row>
    <row r="9204" spans="1:9" x14ac:dyDescent="0.2">
      <c r="A9204" t="str">
        <f>"Gm6176"</f>
        <v>Gm6176</v>
      </c>
      <c r="B9204" t="s">
        <v>3839</v>
      </c>
      <c r="C9204" t="s">
        <v>33</v>
      </c>
      <c r="D9204" t="s">
        <v>11</v>
      </c>
      <c r="E9204" t="s">
        <v>20</v>
      </c>
      <c r="F9204">
        <v>22051503</v>
      </c>
      <c r="G9204">
        <v>22051503</v>
      </c>
      <c r="H9204">
        <v>22051503</v>
      </c>
      <c r="I9204">
        <v>22051503</v>
      </c>
    </row>
    <row r="9205" spans="1:9" x14ac:dyDescent="0.2">
      <c r="A9205" t="str">
        <f>"Gm6205"</f>
        <v>Gm6205</v>
      </c>
      <c r="B9205" t="s">
        <v>3840</v>
      </c>
      <c r="C9205" t="s">
        <v>46</v>
      </c>
      <c r="D9205" t="s">
        <v>17</v>
      </c>
      <c r="E9205" t="s">
        <v>20</v>
      </c>
      <c r="F9205">
        <v>94682644</v>
      </c>
      <c r="G9205">
        <v>94682644</v>
      </c>
      <c r="H9205">
        <v>94682644</v>
      </c>
      <c r="I9205">
        <v>94682644</v>
      </c>
    </row>
    <row r="9206" spans="1:9" x14ac:dyDescent="0.2">
      <c r="A9206" t="str">
        <f>"Gm6214"</f>
        <v>Gm6214</v>
      </c>
      <c r="B9206" t="s">
        <v>3841</v>
      </c>
      <c r="C9206" t="s">
        <v>22</v>
      </c>
      <c r="D9206" t="s">
        <v>11</v>
      </c>
      <c r="E9206" t="s">
        <v>20</v>
      </c>
      <c r="F9206">
        <v>140839636</v>
      </c>
      <c r="G9206">
        <v>140839636</v>
      </c>
      <c r="H9206">
        <v>140839636</v>
      </c>
      <c r="I9206">
        <v>140839636</v>
      </c>
    </row>
    <row r="9207" spans="1:9" x14ac:dyDescent="0.2">
      <c r="A9207" t="str">
        <f>"Gm6268"</f>
        <v>Gm6268</v>
      </c>
      <c r="B9207" t="s">
        <v>3842</v>
      </c>
      <c r="C9207" t="s">
        <v>37</v>
      </c>
      <c r="D9207" t="s">
        <v>17</v>
      </c>
      <c r="E9207" t="s">
        <v>20</v>
      </c>
      <c r="F9207">
        <v>36403476</v>
      </c>
      <c r="G9207">
        <v>36403476</v>
      </c>
      <c r="H9207">
        <v>36403476</v>
      </c>
      <c r="I9207">
        <v>36403476</v>
      </c>
    </row>
    <row r="9208" spans="1:9" x14ac:dyDescent="0.2">
      <c r="A9208" t="str">
        <f>"Gm6289"</f>
        <v>Gm6289</v>
      </c>
      <c r="B9208" t="s">
        <v>14</v>
      </c>
      <c r="C9208" t="s">
        <v>22</v>
      </c>
      <c r="D9208" t="s">
        <v>11</v>
      </c>
      <c r="E9208" t="s">
        <v>12</v>
      </c>
      <c r="F9208">
        <v>144889773</v>
      </c>
      <c r="G9208">
        <v>144889779</v>
      </c>
      <c r="H9208">
        <v>144889773</v>
      </c>
      <c r="I9208">
        <v>144889779</v>
      </c>
    </row>
    <row r="9209" spans="1:9" x14ac:dyDescent="0.2">
      <c r="A9209" t="str">
        <f>"Gm6309"</f>
        <v>Gm6309</v>
      </c>
      <c r="B9209" t="s">
        <v>14</v>
      </c>
      <c r="C9209" t="s">
        <v>46</v>
      </c>
      <c r="D9209" t="s">
        <v>11</v>
      </c>
      <c r="E9209" t="s">
        <v>12</v>
      </c>
      <c r="F9209">
        <v>146185312</v>
      </c>
      <c r="G9209">
        <v>146185320</v>
      </c>
      <c r="H9209">
        <v>146185312</v>
      </c>
      <c r="I9209">
        <v>146185320</v>
      </c>
    </row>
    <row r="9210" spans="1:9" x14ac:dyDescent="0.2">
      <c r="A9210" t="str">
        <f>"Gm6327"</f>
        <v>Gm6327</v>
      </c>
      <c r="B9210" t="s">
        <v>3843</v>
      </c>
      <c r="C9210" t="s">
        <v>31</v>
      </c>
      <c r="D9210" t="s">
        <v>11</v>
      </c>
      <c r="E9210" t="s">
        <v>20</v>
      </c>
      <c r="F9210">
        <v>12761419</v>
      </c>
      <c r="G9210">
        <v>12761419</v>
      </c>
      <c r="H9210">
        <v>12761419</v>
      </c>
      <c r="I9210">
        <v>12761419</v>
      </c>
    </row>
    <row r="9211" spans="1:9" x14ac:dyDescent="0.2">
      <c r="A9211" t="str">
        <f>"Gm6337"</f>
        <v>Gm6337</v>
      </c>
      <c r="B9211" t="s">
        <v>3844</v>
      </c>
      <c r="C9211" t="s">
        <v>41</v>
      </c>
      <c r="D9211" t="s">
        <v>11</v>
      </c>
      <c r="E9211" t="s">
        <v>20</v>
      </c>
      <c r="F9211">
        <v>6058225</v>
      </c>
      <c r="G9211">
        <v>6058225</v>
      </c>
      <c r="H9211">
        <v>6058225</v>
      </c>
      <c r="I9211">
        <v>6058225</v>
      </c>
    </row>
    <row r="9212" spans="1:9" x14ac:dyDescent="0.2">
      <c r="A9212" t="str">
        <f>"Gm6351"</f>
        <v>Gm6351</v>
      </c>
      <c r="B9212" t="s">
        <v>3845</v>
      </c>
      <c r="C9212" t="s">
        <v>46</v>
      </c>
      <c r="D9212" t="s">
        <v>17</v>
      </c>
      <c r="E9212" t="s">
        <v>20</v>
      </c>
      <c r="F9212">
        <v>94078184</v>
      </c>
      <c r="G9212">
        <v>94078184</v>
      </c>
      <c r="H9212">
        <v>94078184</v>
      </c>
      <c r="I9212">
        <v>94078184</v>
      </c>
    </row>
    <row r="9213" spans="1:9" x14ac:dyDescent="0.2">
      <c r="A9213" t="str">
        <f>"Gm6356"</f>
        <v>Gm6356</v>
      </c>
      <c r="B9213" t="s">
        <v>3846</v>
      </c>
      <c r="C9213" t="s">
        <v>41</v>
      </c>
      <c r="D9213" t="s">
        <v>11</v>
      </c>
      <c r="E9213" t="s">
        <v>20</v>
      </c>
      <c r="F9213">
        <v>6973817</v>
      </c>
      <c r="G9213">
        <v>6973817</v>
      </c>
      <c r="H9213">
        <v>6973817</v>
      </c>
      <c r="I9213">
        <v>6973817</v>
      </c>
    </row>
    <row r="9214" spans="1:9" x14ac:dyDescent="0.2">
      <c r="A9214" t="str">
        <f>"Gm6358"</f>
        <v>Gm6358</v>
      </c>
      <c r="B9214" t="s">
        <v>14</v>
      </c>
      <c r="C9214" t="s">
        <v>31</v>
      </c>
      <c r="D9214" t="s">
        <v>17</v>
      </c>
      <c r="E9214" t="s">
        <v>67</v>
      </c>
      <c r="F9214">
        <v>89140884</v>
      </c>
      <c r="G9214">
        <v>89140889</v>
      </c>
      <c r="H9214">
        <v>89140884</v>
      </c>
      <c r="I9214">
        <v>89140889</v>
      </c>
    </row>
    <row r="9215" spans="1:9" x14ac:dyDescent="0.2">
      <c r="A9215" t="str">
        <f>"Gm6367"</f>
        <v>Gm6367</v>
      </c>
      <c r="B9215" t="s">
        <v>3847</v>
      </c>
      <c r="C9215" t="s">
        <v>46</v>
      </c>
      <c r="D9215" t="s">
        <v>17</v>
      </c>
      <c r="E9215" t="s">
        <v>20</v>
      </c>
      <c r="F9215">
        <v>94988625</v>
      </c>
      <c r="G9215">
        <v>94988625</v>
      </c>
      <c r="H9215">
        <v>94988625</v>
      </c>
      <c r="I9215">
        <v>94988625</v>
      </c>
    </row>
    <row r="9216" spans="1:9" x14ac:dyDescent="0.2">
      <c r="A9216" t="str">
        <f>"Gm6370"</f>
        <v>Gm6370</v>
      </c>
      <c r="B9216" t="s">
        <v>3848</v>
      </c>
      <c r="C9216" t="s">
        <v>46</v>
      </c>
      <c r="D9216" t="s">
        <v>17</v>
      </c>
      <c r="E9216" t="s">
        <v>20</v>
      </c>
      <c r="F9216">
        <v>146491362</v>
      </c>
      <c r="G9216">
        <v>146491362</v>
      </c>
      <c r="H9216">
        <v>146491362</v>
      </c>
      <c r="I9216">
        <v>146491362</v>
      </c>
    </row>
    <row r="9217" spans="1:9" x14ac:dyDescent="0.2">
      <c r="A9217" t="str">
        <f>"Gm6377"</f>
        <v>Gm6377</v>
      </c>
      <c r="B9217" t="s">
        <v>14</v>
      </c>
      <c r="C9217" t="s">
        <v>37</v>
      </c>
      <c r="D9217" t="s">
        <v>17</v>
      </c>
      <c r="E9217" t="s">
        <v>12</v>
      </c>
      <c r="F9217">
        <v>109196772</v>
      </c>
      <c r="G9217">
        <v>109196794</v>
      </c>
      <c r="H9217">
        <v>109196802</v>
      </c>
      <c r="I9217">
        <v>109196818</v>
      </c>
    </row>
    <row r="9218" spans="1:9" x14ac:dyDescent="0.2">
      <c r="A9218" t="str">
        <f>"Gm6401"</f>
        <v>Gm6401</v>
      </c>
      <c r="B9218" t="s">
        <v>14</v>
      </c>
      <c r="C9218" t="s">
        <v>41</v>
      </c>
      <c r="D9218" t="s">
        <v>11</v>
      </c>
      <c r="E9218" t="s">
        <v>67</v>
      </c>
      <c r="F9218">
        <v>41967968</v>
      </c>
      <c r="G9218">
        <v>41967969</v>
      </c>
      <c r="H9218">
        <v>41967968</v>
      </c>
      <c r="I9218">
        <v>41967969</v>
      </c>
    </row>
    <row r="9219" spans="1:9" x14ac:dyDescent="0.2">
      <c r="A9219" t="str">
        <f>"Gm6406"</f>
        <v>Gm6406</v>
      </c>
      <c r="B9219" t="s">
        <v>14</v>
      </c>
      <c r="C9219" t="s">
        <v>24</v>
      </c>
      <c r="D9219" t="s">
        <v>17</v>
      </c>
      <c r="E9219" t="s">
        <v>12</v>
      </c>
      <c r="F9219">
        <v>98856515</v>
      </c>
      <c r="G9219">
        <v>98856527</v>
      </c>
      <c r="H9219">
        <v>98856479</v>
      </c>
      <c r="I9219">
        <v>98856489</v>
      </c>
    </row>
    <row r="9220" spans="1:9" x14ac:dyDescent="0.2">
      <c r="A9220" t="str">
        <f>"Gm6408"</f>
        <v>Gm6408</v>
      </c>
      <c r="B9220" t="s">
        <v>3849</v>
      </c>
      <c r="C9220" t="s">
        <v>46</v>
      </c>
      <c r="D9220" t="s">
        <v>17</v>
      </c>
      <c r="E9220" t="s">
        <v>20</v>
      </c>
      <c r="F9220">
        <v>146481942</v>
      </c>
      <c r="G9220">
        <v>146481942</v>
      </c>
      <c r="H9220">
        <v>146481942</v>
      </c>
      <c r="I9220">
        <v>146481942</v>
      </c>
    </row>
    <row r="9221" spans="1:9" x14ac:dyDescent="0.2">
      <c r="A9221" t="str">
        <f>"Gm6420"</f>
        <v>Gm6420</v>
      </c>
      <c r="B9221" t="s">
        <v>14</v>
      </c>
      <c r="C9221" t="s">
        <v>19</v>
      </c>
      <c r="D9221" t="s">
        <v>11</v>
      </c>
      <c r="E9221" t="s">
        <v>67</v>
      </c>
      <c r="F9221">
        <v>23256589</v>
      </c>
      <c r="G9221">
        <v>23256591</v>
      </c>
      <c r="H9221">
        <v>23256589</v>
      </c>
      <c r="I9221">
        <v>23256591</v>
      </c>
    </row>
    <row r="9222" spans="1:9" x14ac:dyDescent="0.2">
      <c r="A9222" t="str">
        <f>"Gm6430"</f>
        <v>Gm6430</v>
      </c>
      <c r="B9222" t="s">
        <v>14</v>
      </c>
      <c r="C9222" t="s">
        <v>19</v>
      </c>
      <c r="D9222" t="s">
        <v>17</v>
      </c>
      <c r="E9222" t="s">
        <v>67</v>
      </c>
      <c r="F9222">
        <v>97024398</v>
      </c>
      <c r="G9222">
        <v>97024416</v>
      </c>
      <c r="H9222">
        <v>97024398</v>
      </c>
      <c r="I9222">
        <v>97024416</v>
      </c>
    </row>
    <row r="9223" spans="1:9" x14ac:dyDescent="0.2">
      <c r="A9223" t="str">
        <f>"Gm6432"</f>
        <v>Gm6432</v>
      </c>
      <c r="B9223" t="s">
        <v>14</v>
      </c>
      <c r="C9223" t="s">
        <v>24</v>
      </c>
      <c r="D9223" t="s">
        <v>11</v>
      </c>
      <c r="E9223" t="s">
        <v>12</v>
      </c>
      <c r="F9223">
        <v>99237222</v>
      </c>
      <c r="G9223">
        <v>99237245</v>
      </c>
      <c r="H9223">
        <v>99237199</v>
      </c>
      <c r="I9223">
        <v>99237207</v>
      </c>
    </row>
    <row r="9224" spans="1:9" x14ac:dyDescent="0.2">
      <c r="A9224" t="str">
        <f>"Gm6434"</f>
        <v>Gm6434</v>
      </c>
      <c r="B9224" t="s">
        <v>3850</v>
      </c>
      <c r="C9224" t="s">
        <v>33</v>
      </c>
      <c r="D9224" t="s">
        <v>11</v>
      </c>
      <c r="E9224" t="s">
        <v>20</v>
      </c>
      <c r="F9224">
        <v>25882406</v>
      </c>
      <c r="G9224">
        <v>25882406</v>
      </c>
      <c r="H9224">
        <v>25882406</v>
      </c>
      <c r="I9224">
        <v>25882406</v>
      </c>
    </row>
    <row r="9225" spans="1:9" x14ac:dyDescent="0.2">
      <c r="A9225" t="str">
        <f>"Gm6455"</f>
        <v>Gm6455</v>
      </c>
      <c r="B9225" t="s">
        <v>14</v>
      </c>
      <c r="C9225" t="s">
        <v>46</v>
      </c>
      <c r="D9225" t="s">
        <v>17</v>
      </c>
      <c r="E9225" t="s">
        <v>12</v>
      </c>
      <c r="F9225">
        <v>10864913</v>
      </c>
      <c r="G9225">
        <v>10864914</v>
      </c>
      <c r="H9225">
        <v>10864913</v>
      </c>
      <c r="I9225">
        <v>10864914</v>
      </c>
    </row>
    <row r="9226" spans="1:9" x14ac:dyDescent="0.2">
      <c r="A9226" t="str">
        <f>"Gm6460"</f>
        <v>Gm6460</v>
      </c>
      <c r="B9226" t="s">
        <v>3851</v>
      </c>
      <c r="C9226" t="s">
        <v>46</v>
      </c>
      <c r="D9226" t="s">
        <v>17</v>
      </c>
      <c r="E9226" t="s">
        <v>20</v>
      </c>
      <c r="F9226">
        <v>11594955</v>
      </c>
      <c r="G9226">
        <v>11594955</v>
      </c>
      <c r="H9226">
        <v>11594955</v>
      </c>
      <c r="I9226">
        <v>11594955</v>
      </c>
    </row>
    <row r="9227" spans="1:9" x14ac:dyDescent="0.2">
      <c r="A9227" t="str">
        <f>"Gm6465"</f>
        <v>Gm6465</v>
      </c>
      <c r="B9227" t="s">
        <v>3852</v>
      </c>
      <c r="C9227" t="s">
        <v>46</v>
      </c>
      <c r="D9227" t="s">
        <v>17</v>
      </c>
      <c r="E9227" t="s">
        <v>20</v>
      </c>
      <c r="F9227">
        <v>11845538</v>
      </c>
      <c r="G9227">
        <v>11845538</v>
      </c>
      <c r="H9227">
        <v>11845538</v>
      </c>
      <c r="I9227">
        <v>11845538</v>
      </c>
    </row>
    <row r="9228" spans="1:9" x14ac:dyDescent="0.2">
      <c r="A9228" t="str">
        <f>"Gm6468"</f>
        <v>Gm6468</v>
      </c>
      <c r="B9228" t="s">
        <v>3853</v>
      </c>
      <c r="C9228" t="s">
        <v>46</v>
      </c>
      <c r="D9228" t="s">
        <v>17</v>
      </c>
      <c r="E9228" t="s">
        <v>20</v>
      </c>
      <c r="F9228">
        <v>95280461</v>
      </c>
      <c r="G9228">
        <v>95280461</v>
      </c>
      <c r="H9228">
        <v>95280461</v>
      </c>
      <c r="I9228">
        <v>95280461</v>
      </c>
    </row>
    <row r="9229" spans="1:9" x14ac:dyDescent="0.2">
      <c r="A9229" t="str">
        <f>"Gm6471"</f>
        <v>Gm6471</v>
      </c>
      <c r="B9229" t="s">
        <v>3854</v>
      </c>
      <c r="C9229" t="s">
        <v>33</v>
      </c>
      <c r="D9229" t="s">
        <v>17</v>
      </c>
      <c r="E9229" t="s">
        <v>20</v>
      </c>
      <c r="F9229">
        <v>142831226</v>
      </c>
      <c r="G9229">
        <v>142831226</v>
      </c>
      <c r="H9229">
        <v>142831226</v>
      </c>
      <c r="I9229">
        <v>142831226</v>
      </c>
    </row>
    <row r="9230" spans="1:9" x14ac:dyDescent="0.2">
      <c r="A9230" t="str">
        <f>"Gm6472"</f>
        <v>Gm6472</v>
      </c>
      <c r="B9230" t="s">
        <v>14</v>
      </c>
      <c r="C9230" t="s">
        <v>37</v>
      </c>
      <c r="D9230" t="s">
        <v>11</v>
      </c>
      <c r="E9230" t="s">
        <v>67</v>
      </c>
      <c r="F9230">
        <v>152910184</v>
      </c>
      <c r="G9230">
        <v>152910195</v>
      </c>
      <c r="H9230">
        <v>152910184</v>
      </c>
      <c r="I9230">
        <v>152910195</v>
      </c>
    </row>
    <row r="9231" spans="1:9" x14ac:dyDescent="0.2">
      <c r="A9231" t="str">
        <f>"Gm648"</f>
        <v>Gm648</v>
      </c>
      <c r="B9231" t="s">
        <v>14</v>
      </c>
      <c r="C9231" t="s">
        <v>37</v>
      </c>
      <c r="D9231" t="s">
        <v>11</v>
      </c>
      <c r="E9231" t="s">
        <v>12</v>
      </c>
      <c r="F9231">
        <v>56549515</v>
      </c>
      <c r="G9231">
        <v>56549544</v>
      </c>
      <c r="H9231">
        <v>56549692</v>
      </c>
      <c r="I9231">
        <v>56549703</v>
      </c>
    </row>
    <row r="9232" spans="1:9" x14ac:dyDescent="0.2">
      <c r="A9232" t="str">
        <f>"Gm6482"</f>
        <v>Gm6482</v>
      </c>
      <c r="B9232" t="s">
        <v>3855</v>
      </c>
      <c r="C9232" t="s">
        <v>41</v>
      </c>
      <c r="D9232" t="s">
        <v>11</v>
      </c>
      <c r="E9232" t="s">
        <v>20</v>
      </c>
      <c r="F9232">
        <v>41408280</v>
      </c>
      <c r="G9232">
        <v>41408280</v>
      </c>
      <c r="H9232">
        <v>41408280</v>
      </c>
      <c r="I9232">
        <v>41408280</v>
      </c>
    </row>
    <row r="9233" spans="1:9" x14ac:dyDescent="0.2">
      <c r="A9233" t="str">
        <f>"Gm6483"</f>
        <v>Gm6483</v>
      </c>
      <c r="B9233" t="s">
        <v>14</v>
      </c>
      <c r="C9233" t="s">
        <v>30</v>
      </c>
      <c r="D9233" t="s">
        <v>17</v>
      </c>
      <c r="E9233" t="s">
        <v>67</v>
      </c>
      <c r="F9233">
        <v>19681874</v>
      </c>
      <c r="G9233">
        <v>19681876</v>
      </c>
      <c r="H9233">
        <v>19681874</v>
      </c>
      <c r="I9233">
        <v>19681876</v>
      </c>
    </row>
    <row r="9234" spans="1:9" x14ac:dyDescent="0.2">
      <c r="A9234" t="str">
        <f>"Gm6484"</f>
        <v>Gm6484</v>
      </c>
      <c r="B9234" t="s">
        <v>14</v>
      </c>
      <c r="C9234" t="s">
        <v>24</v>
      </c>
      <c r="D9234" t="s">
        <v>17</v>
      </c>
      <c r="E9234" t="s">
        <v>12</v>
      </c>
      <c r="F9234">
        <v>21835489</v>
      </c>
      <c r="G9234">
        <v>21835504</v>
      </c>
      <c r="H9234">
        <v>21835506</v>
      </c>
      <c r="I9234">
        <v>21835516</v>
      </c>
    </row>
    <row r="9235" spans="1:9" x14ac:dyDescent="0.2">
      <c r="A9235" t="str">
        <f>"Gm6489"</f>
        <v>Gm6489</v>
      </c>
      <c r="B9235" t="s">
        <v>3856</v>
      </c>
      <c r="C9235" t="s">
        <v>19</v>
      </c>
      <c r="D9235" t="s">
        <v>17</v>
      </c>
      <c r="E9235" t="s">
        <v>20</v>
      </c>
      <c r="F9235">
        <v>31286944</v>
      </c>
      <c r="G9235">
        <v>31286944</v>
      </c>
      <c r="H9235">
        <v>31286944</v>
      </c>
      <c r="I9235">
        <v>31286944</v>
      </c>
    </row>
    <row r="9236" spans="1:9" x14ac:dyDescent="0.2">
      <c r="A9236" t="str">
        <f>"Gm6502"</f>
        <v>Gm6502</v>
      </c>
      <c r="B9236" t="s">
        <v>3857</v>
      </c>
      <c r="C9236" t="s">
        <v>46</v>
      </c>
      <c r="D9236" t="s">
        <v>17</v>
      </c>
      <c r="E9236" t="s">
        <v>20</v>
      </c>
      <c r="F9236">
        <v>94314468</v>
      </c>
      <c r="G9236">
        <v>94314468</v>
      </c>
      <c r="H9236">
        <v>94314468</v>
      </c>
      <c r="I9236">
        <v>94314468</v>
      </c>
    </row>
    <row r="9237" spans="1:9" x14ac:dyDescent="0.2">
      <c r="A9237" t="str">
        <f>"Gm6505"</f>
        <v>Gm6505</v>
      </c>
      <c r="B9237" t="s">
        <v>14</v>
      </c>
      <c r="C9237" t="s">
        <v>22</v>
      </c>
      <c r="D9237" t="s">
        <v>11</v>
      </c>
      <c r="E9237" t="s">
        <v>67</v>
      </c>
      <c r="F9237">
        <v>28765366</v>
      </c>
      <c r="G9237">
        <v>28765389</v>
      </c>
      <c r="H9237">
        <v>28765366</v>
      </c>
      <c r="I9237">
        <v>28765389</v>
      </c>
    </row>
    <row r="9238" spans="1:9" x14ac:dyDescent="0.2">
      <c r="A9238" t="str">
        <f>"Gm6509"</f>
        <v>Gm6509</v>
      </c>
      <c r="B9238" t="s">
        <v>3858</v>
      </c>
      <c r="C9238" t="s">
        <v>46</v>
      </c>
      <c r="D9238" t="s">
        <v>17</v>
      </c>
      <c r="E9238" t="s">
        <v>20</v>
      </c>
      <c r="F9238">
        <v>94624012</v>
      </c>
      <c r="G9238">
        <v>94624012</v>
      </c>
      <c r="H9238">
        <v>94624012</v>
      </c>
      <c r="I9238">
        <v>94624012</v>
      </c>
    </row>
    <row r="9239" spans="1:9" x14ac:dyDescent="0.2">
      <c r="A9239" t="str">
        <f>"Gm6526"</f>
        <v>Gm6526</v>
      </c>
      <c r="B9239" t="s">
        <v>3859</v>
      </c>
      <c r="C9239" t="s">
        <v>41</v>
      </c>
      <c r="D9239" t="s">
        <v>17</v>
      </c>
      <c r="E9239" t="s">
        <v>20</v>
      </c>
      <c r="F9239">
        <v>43747873</v>
      </c>
      <c r="G9239">
        <v>43747873</v>
      </c>
      <c r="H9239">
        <v>43747873</v>
      </c>
      <c r="I9239">
        <v>43747873</v>
      </c>
    </row>
    <row r="9240" spans="1:9" x14ac:dyDescent="0.2">
      <c r="A9240" t="str">
        <f>"Gm6531"</f>
        <v>Gm6531</v>
      </c>
      <c r="B9240" t="s">
        <v>3860</v>
      </c>
      <c r="C9240" t="s">
        <v>30</v>
      </c>
      <c r="D9240" t="s">
        <v>17</v>
      </c>
      <c r="E9240" t="s">
        <v>20</v>
      </c>
      <c r="F9240">
        <v>85171321</v>
      </c>
      <c r="G9240">
        <v>85171321</v>
      </c>
      <c r="H9240">
        <v>85171321</v>
      </c>
      <c r="I9240">
        <v>85171321</v>
      </c>
    </row>
    <row r="9241" spans="1:9" x14ac:dyDescent="0.2">
      <c r="A9241" t="str">
        <f>"Gm6537"</f>
        <v>Gm6537</v>
      </c>
      <c r="B9241" t="s">
        <v>14</v>
      </c>
      <c r="C9241" t="s">
        <v>33</v>
      </c>
      <c r="D9241" t="s">
        <v>17</v>
      </c>
      <c r="E9241" t="s">
        <v>12</v>
      </c>
      <c r="F9241">
        <v>28756138</v>
      </c>
      <c r="G9241">
        <v>28756157</v>
      </c>
      <c r="H9241">
        <v>28756101</v>
      </c>
      <c r="I9241">
        <v>28756107</v>
      </c>
    </row>
    <row r="9242" spans="1:9" x14ac:dyDescent="0.2">
      <c r="A9242" t="str">
        <f>"Gm6563"</f>
        <v>Gm6563</v>
      </c>
      <c r="B9242" t="s">
        <v>14</v>
      </c>
      <c r="C9242" t="s">
        <v>10</v>
      </c>
      <c r="D9242" t="s">
        <v>17</v>
      </c>
      <c r="E9242" t="s">
        <v>67</v>
      </c>
      <c r="F9242">
        <v>23675839</v>
      </c>
      <c r="G9242">
        <v>23675863</v>
      </c>
      <c r="H9242">
        <v>23675839</v>
      </c>
      <c r="I9242">
        <v>23675863</v>
      </c>
    </row>
    <row r="9243" spans="1:9" x14ac:dyDescent="0.2">
      <c r="A9243" t="str">
        <f>"Gm6569"</f>
        <v>Gm6569</v>
      </c>
      <c r="B9243" t="s">
        <v>3861</v>
      </c>
      <c r="C9243" t="s">
        <v>25</v>
      </c>
      <c r="D9243" t="s">
        <v>17</v>
      </c>
      <c r="E9243" t="s">
        <v>20</v>
      </c>
      <c r="F9243">
        <v>73834560</v>
      </c>
      <c r="G9243">
        <v>73834560</v>
      </c>
      <c r="H9243">
        <v>73834560</v>
      </c>
      <c r="I9243">
        <v>73834560</v>
      </c>
    </row>
    <row r="9244" spans="1:9" x14ac:dyDescent="0.2">
      <c r="A9244" t="str">
        <f>"Gm6576"</f>
        <v>Gm6576</v>
      </c>
      <c r="B9244" t="s">
        <v>14</v>
      </c>
      <c r="C9244" t="s">
        <v>25</v>
      </c>
      <c r="D9244" t="s">
        <v>17</v>
      </c>
      <c r="E9244" t="s">
        <v>67</v>
      </c>
      <c r="F9244">
        <v>27025296</v>
      </c>
      <c r="G9244">
        <v>27025298</v>
      </c>
      <c r="H9244">
        <v>27025296</v>
      </c>
      <c r="I9244">
        <v>27025298</v>
      </c>
    </row>
    <row r="9245" spans="1:9" x14ac:dyDescent="0.2">
      <c r="A9245" t="str">
        <f>"Gm6578"</f>
        <v>Gm6578</v>
      </c>
      <c r="B9245" t="s">
        <v>3862</v>
      </c>
      <c r="C9245" t="s">
        <v>32</v>
      </c>
      <c r="D9245" t="s">
        <v>11</v>
      </c>
      <c r="E9245" t="s">
        <v>20</v>
      </c>
      <c r="F9245">
        <v>12109582</v>
      </c>
      <c r="G9245">
        <v>12109582</v>
      </c>
      <c r="H9245">
        <v>12109582</v>
      </c>
      <c r="I9245">
        <v>12109582</v>
      </c>
    </row>
    <row r="9246" spans="1:9" x14ac:dyDescent="0.2">
      <c r="A9246" t="str">
        <f>"Gm6583"</f>
        <v>Gm6583</v>
      </c>
      <c r="B9246" t="s">
        <v>14</v>
      </c>
      <c r="C9246" t="s">
        <v>46</v>
      </c>
      <c r="D9246" t="s">
        <v>11</v>
      </c>
      <c r="E9246" t="s">
        <v>12</v>
      </c>
      <c r="F9246">
        <v>112356019</v>
      </c>
      <c r="G9246">
        <v>112356065</v>
      </c>
      <c r="H9246">
        <v>112356019</v>
      </c>
      <c r="I9246">
        <v>112356065</v>
      </c>
    </row>
    <row r="9247" spans="1:9" x14ac:dyDescent="0.2">
      <c r="A9247" t="str">
        <f>"Gm6588"</f>
        <v>Gm6588</v>
      </c>
      <c r="B9247" t="s">
        <v>14</v>
      </c>
      <c r="C9247" t="s">
        <v>46</v>
      </c>
      <c r="D9247" t="s">
        <v>17</v>
      </c>
      <c r="E9247" t="s">
        <v>12</v>
      </c>
      <c r="F9247">
        <v>112449405</v>
      </c>
      <c r="G9247">
        <v>112449414</v>
      </c>
      <c r="H9247">
        <v>112449405</v>
      </c>
      <c r="I9247">
        <v>112449414</v>
      </c>
    </row>
    <row r="9248" spans="1:9" x14ac:dyDescent="0.2">
      <c r="A9248" t="str">
        <f>"Gm6592"</f>
        <v>Gm6592</v>
      </c>
      <c r="B9248" t="s">
        <v>3863</v>
      </c>
      <c r="C9248" t="s">
        <v>37</v>
      </c>
      <c r="D9248" t="s">
        <v>17</v>
      </c>
      <c r="E9248" t="s">
        <v>20</v>
      </c>
      <c r="F9248">
        <v>8843993</v>
      </c>
      <c r="G9248">
        <v>8843993</v>
      </c>
      <c r="H9248">
        <v>8843993</v>
      </c>
      <c r="I9248">
        <v>8843993</v>
      </c>
    </row>
    <row r="9249" spans="1:9" x14ac:dyDescent="0.2">
      <c r="A9249" t="str">
        <f>"Gm6594"</f>
        <v>Gm6594</v>
      </c>
      <c r="B9249" t="s">
        <v>14</v>
      </c>
      <c r="C9249" t="s">
        <v>28</v>
      </c>
      <c r="D9249" t="s">
        <v>17</v>
      </c>
      <c r="E9249" t="s">
        <v>67</v>
      </c>
      <c r="F9249">
        <v>82539159</v>
      </c>
      <c r="G9249">
        <v>82539171</v>
      </c>
      <c r="H9249">
        <v>82539159</v>
      </c>
      <c r="I9249">
        <v>82539171</v>
      </c>
    </row>
    <row r="9250" spans="1:9" x14ac:dyDescent="0.2">
      <c r="A9250" t="str">
        <f>"Gm6604"</f>
        <v>Gm6604</v>
      </c>
      <c r="B9250" t="s">
        <v>3864</v>
      </c>
      <c r="C9250" t="s">
        <v>37</v>
      </c>
      <c r="D9250" t="s">
        <v>17</v>
      </c>
      <c r="E9250" t="s">
        <v>20</v>
      </c>
      <c r="F9250">
        <v>123581699</v>
      </c>
      <c r="G9250">
        <v>123581699</v>
      </c>
      <c r="H9250">
        <v>123581699</v>
      </c>
      <c r="I9250">
        <v>123581699</v>
      </c>
    </row>
    <row r="9251" spans="1:9" x14ac:dyDescent="0.2">
      <c r="A9251" t="str">
        <f>"Gm6605"</f>
        <v>Gm6605</v>
      </c>
      <c r="B9251" t="s">
        <v>3865</v>
      </c>
      <c r="C9251" t="s">
        <v>33</v>
      </c>
      <c r="D9251" t="s">
        <v>11</v>
      </c>
      <c r="E9251" t="s">
        <v>20</v>
      </c>
      <c r="F9251">
        <v>38869693</v>
      </c>
      <c r="G9251">
        <v>38869693</v>
      </c>
      <c r="H9251">
        <v>38869693</v>
      </c>
      <c r="I9251">
        <v>38869693</v>
      </c>
    </row>
    <row r="9252" spans="1:9" x14ac:dyDescent="0.2">
      <c r="A9252" t="str">
        <f>"Gm6614"</f>
        <v>Gm6614</v>
      </c>
      <c r="B9252" t="s">
        <v>3866</v>
      </c>
      <c r="C9252" t="s">
        <v>32</v>
      </c>
      <c r="D9252" t="s">
        <v>11</v>
      </c>
      <c r="E9252" t="s">
        <v>20</v>
      </c>
      <c r="F9252">
        <v>142011413</v>
      </c>
      <c r="G9252">
        <v>142011413</v>
      </c>
      <c r="H9252">
        <v>142011413</v>
      </c>
      <c r="I9252">
        <v>142011413</v>
      </c>
    </row>
    <row r="9253" spans="1:9" x14ac:dyDescent="0.2">
      <c r="A9253" t="str">
        <f>"Gm6619"</f>
        <v>Gm6619</v>
      </c>
      <c r="B9253" t="s">
        <v>3867</v>
      </c>
      <c r="C9253" t="s">
        <v>32</v>
      </c>
      <c r="D9253" t="s">
        <v>17</v>
      </c>
      <c r="E9253" t="s">
        <v>20</v>
      </c>
      <c r="F9253">
        <v>131486399</v>
      </c>
      <c r="G9253">
        <v>131486399</v>
      </c>
      <c r="H9253">
        <v>131486399</v>
      </c>
      <c r="I9253">
        <v>131486399</v>
      </c>
    </row>
    <row r="9254" spans="1:9" x14ac:dyDescent="0.2">
      <c r="A9254" t="str">
        <f>"Gm6625"</f>
        <v>Gm6625</v>
      </c>
      <c r="B9254" t="s">
        <v>3868</v>
      </c>
      <c r="C9254" t="s">
        <v>30</v>
      </c>
      <c r="D9254" t="s">
        <v>11</v>
      </c>
      <c r="E9254" t="s">
        <v>20</v>
      </c>
      <c r="F9254">
        <v>89147246</v>
      </c>
      <c r="G9254">
        <v>89147246</v>
      </c>
      <c r="H9254">
        <v>89147246</v>
      </c>
      <c r="I9254">
        <v>89147246</v>
      </c>
    </row>
    <row r="9255" spans="1:9" x14ac:dyDescent="0.2">
      <c r="A9255" t="str">
        <f>"Gm6632"</f>
        <v>Gm6632</v>
      </c>
      <c r="B9255" t="s">
        <v>3869</v>
      </c>
      <c r="C9255" t="s">
        <v>46</v>
      </c>
      <c r="D9255" t="s">
        <v>17</v>
      </c>
      <c r="E9255" t="s">
        <v>20</v>
      </c>
      <c r="F9255">
        <v>59053598</v>
      </c>
      <c r="G9255">
        <v>59053598</v>
      </c>
      <c r="H9255">
        <v>59053598</v>
      </c>
      <c r="I9255">
        <v>59053598</v>
      </c>
    </row>
    <row r="9256" spans="1:9" x14ac:dyDescent="0.2">
      <c r="A9256" t="str">
        <f>"Gm6658"</f>
        <v>Gm6658</v>
      </c>
      <c r="B9256" t="s">
        <v>14</v>
      </c>
      <c r="C9256" t="s">
        <v>30</v>
      </c>
      <c r="D9256" t="s">
        <v>11</v>
      </c>
      <c r="E9256" t="s">
        <v>67</v>
      </c>
      <c r="F9256">
        <v>90908399</v>
      </c>
      <c r="G9256">
        <v>90908423</v>
      </c>
      <c r="H9256">
        <v>90908399</v>
      </c>
      <c r="I9256">
        <v>90908423</v>
      </c>
    </row>
    <row r="9257" spans="1:9" x14ac:dyDescent="0.2">
      <c r="A9257" t="str">
        <f>"Gm6665"</f>
        <v>Gm6665</v>
      </c>
      <c r="B9257" t="s">
        <v>3870</v>
      </c>
      <c r="C9257" t="s">
        <v>43</v>
      </c>
      <c r="D9257" t="s">
        <v>11</v>
      </c>
      <c r="E9257" t="s">
        <v>20</v>
      </c>
      <c r="F9257">
        <v>31820412</v>
      </c>
      <c r="G9257">
        <v>31820412</v>
      </c>
      <c r="H9257">
        <v>31820412</v>
      </c>
      <c r="I9257">
        <v>31820412</v>
      </c>
    </row>
    <row r="9258" spans="1:9" x14ac:dyDescent="0.2">
      <c r="A9258" t="str">
        <f>"Gm6676"</f>
        <v>Gm6676</v>
      </c>
      <c r="B9258" t="s">
        <v>3871</v>
      </c>
      <c r="C9258" t="s">
        <v>41</v>
      </c>
      <c r="D9258" t="s">
        <v>11</v>
      </c>
      <c r="E9258" t="s">
        <v>20</v>
      </c>
      <c r="F9258">
        <v>7125370</v>
      </c>
      <c r="G9258">
        <v>7125370</v>
      </c>
      <c r="H9258">
        <v>7125370</v>
      </c>
      <c r="I9258">
        <v>7125370</v>
      </c>
    </row>
    <row r="9259" spans="1:9" x14ac:dyDescent="0.2">
      <c r="A9259" t="str">
        <f>"Gm6685"</f>
        <v>Gm6685</v>
      </c>
      <c r="B9259" t="s">
        <v>3872</v>
      </c>
      <c r="C9259" t="s">
        <v>27</v>
      </c>
      <c r="D9259" t="s">
        <v>11</v>
      </c>
      <c r="E9259" t="s">
        <v>20</v>
      </c>
      <c r="F9259">
        <v>28339866</v>
      </c>
      <c r="G9259">
        <v>28339866</v>
      </c>
      <c r="H9259">
        <v>28339866</v>
      </c>
      <c r="I9259">
        <v>28339866</v>
      </c>
    </row>
    <row r="9260" spans="1:9" x14ac:dyDescent="0.2">
      <c r="A9260" t="str">
        <f>"Gm6686"</f>
        <v>Gm6686</v>
      </c>
      <c r="B9260" t="s">
        <v>3873</v>
      </c>
      <c r="C9260" t="s">
        <v>28</v>
      </c>
      <c r="D9260" t="s">
        <v>11</v>
      </c>
      <c r="E9260" t="s">
        <v>20</v>
      </c>
      <c r="F9260">
        <v>15566420</v>
      </c>
      <c r="G9260">
        <v>15566420</v>
      </c>
      <c r="H9260">
        <v>15566420</v>
      </c>
      <c r="I9260">
        <v>15566420</v>
      </c>
    </row>
    <row r="9261" spans="1:9" x14ac:dyDescent="0.2">
      <c r="A9261" t="str">
        <f>"Gm6696"</f>
        <v>Gm6696</v>
      </c>
      <c r="B9261" t="s">
        <v>3874</v>
      </c>
      <c r="C9261" t="s">
        <v>30</v>
      </c>
      <c r="D9261" t="s">
        <v>17</v>
      </c>
      <c r="E9261" t="s">
        <v>20</v>
      </c>
      <c r="F9261">
        <v>21583026</v>
      </c>
      <c r="G9261">
        <v>21583026</v>
      </c>
      <c r="H9261">
        <v>21583026</v>
      </c>
      <c r="I9261">
        <v>21583026</v>
      </c>
    </row>
    <row r="9262" spans="1:9" x14ac:dyDescent="0.2">
      <c r="A9262" t="str">
        <f>"Gm6710"</f>
        <v>Gm6710</v>
      </c>
      <c r="B9262" t="s">
        <v>14</v>
      </c>
      <c r="C9262" t="s">
        <v>26</v>
      </c>
      <c r="D9262" t="s">
        <v>17</v>
      </c>
      <c r="E9262" t="s">
        <v>12</v>
      </c>
      <c r="F9262">
        <v>175869281</v>
      </c>
      <c r="G9262">
        <v>175869294</v>
      </c>
      <c r="H9262">
        <v>175869281</v>
      </c>
      <c r="I9262">
        <v>175869294</v>
      </c>
    </row>
    <row r="9263" spans="1:9" x14ac:dyDescent="0.2">
      <c r="A9263" t="str">
        <f>"Gm6712"</f>
        <v>Gm6712</v>
      </c>
      <c r="B9263" t="s">
        <v>3875</v>
      </c>
      <c r="C9263" t="s">
        <v>28</v>
      </c>
      <c r="D9263" t="s">
        <v>17</v>
      </c>
      <c r="E9263" t="s">
        <v>20</v>
      </c>
      <c r="F9263">
        <v>17316077</v>
      </c>
      <c r="G9263">
        <v>17316077</v>
      </c>
      <c r="H9263">
        <v>17316077</v>
      </c>
      <c r="I9263">
        <v>17316077</v>
      </c>
    </row>
    <row r="9264" spans="1:9" x14ac:dyDescent="0.2">
      <c r="A9264" t="str">
        <f>"Gm6729"</f>
        <v>Gm6729</v>
      </c>
      <c r="B9264" t="s">
        <v>3876</v>
      </c>
      <c r="C9264" t="s">
        <v>15</v>
      </c>
      <c r="D9264" t="s">
        <v>11</v>
      </c>
      <c r="E9264" t="s">
        <v>20</v>
      </c>
      <c r="F9264">
        <v>86541333</v>
      </c>
      <c r="G9264">
        <v>86541333</v>
      </c>
      <c r="H9264">
        <v>86541333</v>
      </c>
      <c r="I9264">
        <v>86541333</v>
      </c>
    </row>
    <row r="9265" spans="1:9" x14ac:dyDescent="0.2">
      <c r="A9265" t="str">
        <f>"Gm6741"</f>
        <v>Gm6741</v>
      </c>
      <c r="B9265" t="s">
        <v>3877</v>
      </c>
      <c r="C9265" t="s">
        <v>28</v>
      </c>
      <c r="D9265" t="s">
        <v>17</v>
      </c>
      <c r="E9265" t="s">
        <v>20</v>
      </c>
      <c r="F9265">
        <v>91236786</v>
      </c>
      <c r="G9265">
        <v>91236786</v>
      </c>
      <c r="H9265">
        <v>91236786</v>
      </c>
      <c r="I9265">
        <v>91236786</v>
      </c>
    </row>
    <row r="9266" spans="1:9" x14ac:dyDescent="0.2">
      <c r="A9266" t="str">
        <f>"Gm6760"</f>
        <v>Gm6760</v>
      </c>
      <c r="B9266" t="s">
        <v>14</v>
      </c>
      <c r="C9266" t="s">
        <v>37</v>
      </c>
      <c r="D9266" t="s">
        <v>11</v>
      </c>
      <c r="E9266" t="s">
        <v>12</v>
      </c>
      <c r="F9266">
        <v>64152101</v>
      </c>
      <c r="G9266">
        <v>64152111</v>
      </c>
      <c r="H9266">
        <v>64152101</v>
      </c>
      <c r="I9266">
        <v>64152111</v>
      </c>
    </row>
    <row r="9267" spans="1:9" x14ac:dyDescent="0.2">
      <c r="A9267" t="str">
        <f>"Gm6763"</f>
        <v>Gm6763</v>
      </c>
      <c r="B9267" t="s">
        <v>3878</v>
      </c>
      <c r="C9267" t="s">
        <v>15</v>
      </c>
      <c r="D9267" t="s">
        <v>17</v>
      </c>
      <c r="E9267" t="s">
        <v>20</v>
      </c>
      <c r="F9267">
        <v>104151911</v>
      </c>
      <c r="G9267">
        <v>104151911</v>
      </c>
      <c r="H9267">
        <v>104151911</v>
      </c>
      <c r="I9267">
        <v>104151911</v>
      </c>
    </row>
    <row r="9268" spans="1:9" x14ac:dyDescent="0.2">
      <c r="A9268" t="str">
        <f>"Gm6763"</f>
        <v>Gm6763</v>
      </c>
      <c r="B9268" t="s">
        <v>3879</v>
      </c>
      <c r="C9268" t="s">
        <v>15</v>
      </c>
      <c r="D9268" t="s">
        <v>17</v>
      </c>
      <c r="E9268" t="s">
        <v>20</v>
      </c>
      <c r="F9268">
        <v>104151496</v>
      </c>
      <c r="G9268">
        <v>104151496</v>
      </c>
      <c r="H9268">
        <v>104151496</v>
      </c>
      <c r="I9268">
        <v>104151496</v>
      </c>
    </row>
    <row r="9269" spans="1:9" x14ac:dyDescent="0.2">
      <c r="A9269" t="str">
        <f>"Gm6768"</f>
        <v>Gm6768</v>
      </c>
      <c r="B9269" t="s">
        <v>14</v>
      </c>
      <c r="C9269" t="s">
        <v>16</v>
      </c>
      <c r="D9269" t="s">
        <v>17</v>
      </c>
      <c r="E9269" t="s">
        <v>67</v>
      </c>
      <c r="F9269">
        <v>119260930</v>
      </c>
      <c r="G9269">
        <v>119260936</v>
      </c>
      <c r="H9269">
        <v>119260930</v>
      </c>
      <c r="I9269">
        <v>119260936</v>
      </c>
    </row>
    <row r="9270" spans="1:9" x14ac:dyDescent="0.2">
      <c r="A9270" t="str">
        <f>"Gm6772"</f>
        <v>Gm6772</v>
      </c>
      <c r="B9270" t="s">
        <v>14</v>
      </c>
      <c r="C9270" t="s">
        <v>16</v>
      </c>
      <c r="D9270" t="s">
        <v>17</v>
      </c>
      <c r="E9270" t="s">
        <v>12</v>
      </c>
      <c r="F9270">
        <v>86734381</v>
      </c>
      <c r="G9270">
        <v>86734417</v>
      </c>
      <c r="H9270">
        <v>86734365</v>
      </c>
      <c r="I9270">
        <v>86734377</v>
      </c>
    </row>
    <row r="9271" spans="1:9" x14ac:dyDescent="0.2">
      <c r="A9271" t="str">
        <f>"Gm6792"</f>
        <v>Gm6792</v>
      </c>
      <c r="B9271" t="s">
        <v>14</v>
      </c>
      <c r="C9271" t="s">
        <v>33</v>
      </c>
      <c r="D9271" t="s">
        <v>17</v>
      </c>
      <c r="E9271" t="s">
        <v>12</v>
      </c>
      <c r="F9271">
        <v>6252732</v>
      </c>
      <c r="G9271">
        <v>6252755</v>
      </c>
      <c r="H9271">
        <v>6252732</v>
      </c>
      <c r="I9271">
        <v>6252755</v>
      </c>
    </row>
    <row r="9272" spans="1:9" x14ac:dyDescent="0.2">
      <c r="A9272" t="str">
        <f>"Gm6793"</f>
        <v>Gm6793</v>
      </c>
      <c r="B9272" t="s">
        <v>3880</v>
      </c>
      <c r="C9272" t="s">
        <v>30</v>
      </c>
      <c r="D9272" t="s">
        <v>11</v>
      </c>
      <c r="E9272" t="s">
        <v>20</v>
      </c>
      <c r="F9272">
        <v>112015035</v>
      </c>
      <c r="G9272">
        <v>112015035</v>
      </c>
      <c r="H9272">
        <v>112015035</v>
      </c>
      <c r="I9272">
        <v>112015035</v>
      </c>
    </row>
    <row r="9273" spans="1:9" x14ac:dyDescent="0.2">
      <c r="A9273" t="str">
        <f>"Gm6802"</f>
        <v>Gm6802</v>
      </c>
      <c r="B9273" t="s">
        <v>3881</v>
      </c>
      <c r="C9273" t="s">
        <v>16</v>
      </c>
      <c r="D9273" t="s">
        <v>17</v>
      </c>
      <c r="E9273" t="s">
        <v>20</v>
      </c>
      <c r="F9273">
        <v>19490307</v>
      </c>
      <c r="G9273">
        <v>19490307</v>
      </c>
      <c r="H9273">
        <v>19490307</v>
      </c>
      <c r="I9273">
        <v>19490307</v>
      </c>
    </row>
    <row r="9274" spans="1:9" x14ac:dyDescent="0.2">
      <c r="A9274" t="str">
        <f>"Gm6803"</f>
        <v>Gm6803</v>
      </c>
      <c r="B9274" t="s">
        <v>3882</v>
      </c>
      <c r="C9274" t="s">
        <v>16</v>
      </c>
      <c r="D9274" t="s">
        <v>11</v>
      </c>
      <c r="E9274" t="s">
        <v>20</v>
      </c>
      <c r="F9274">
        <v>88018770</v>
      </c>
      <c r="G9274">
        <v>88018770</v>
      </c>
      <c r="H9274">
        <v>88018770</v>
      </c>
      <c r="I9274">
        <v>88018770</v>
      </c>
    </row>
    <row r="9275" spans="1:9" x14ac:dyDescent="0.2">
      <c r="A9275" t="str">
        <f>"Gm6811"</f>
        <v>Gm6811</v>
      </c>
      <c r="B9275" t="s">
        <v>3883</v>
      </c>
      <c r="C9275" t="s">
        <v>28</v>
      </c>
      <c r="D9275" t="s">
        <v>17</v>
      </c>
      <c r="E9275" t="s">
        <v>20</v>
      </c>
      <c r="F9275">
        <v>21093171</v>
      </c>
      <c r="G9275">
        <v>21093171</v>
      </c>
      <c r="H9275">
        <v>21093171</v>
      </c>
      <c r="I9275">
        <v>21093171</v>
      </c>
    </row>
    <row r="9276" spans="1:9" x14ac:dyDescent="0.2">
      <c r="A9276" t="str">
        <f>"Gm6812"</f>
        <v>Gm6812</v>
      </c>
      <c r="B9276" t="s">
        <v>3884</v>
      </c>
      <c r="C9276" t="s">
        <v>37</v>
      </c>
      <c r="D9276" t="s">
        <v>11</v>
      </c>
      <c r="E9276" t="s">
        <v>20</v>
      </c>
      <c r="F9276">
        <v>68893052</v>
      </c>
      <c r="G9276">
        <v>68893052</v>
      </c>
      <c r="H9276">
        <v>68893052</v>
      </c>
      <c r="I9276">
        <v>68893052</v>
      </c>
    </row>
    <row r="9277" spans="1:9" x14ac:dyDescent="0.2">
      <c r="A9277" t="str">
        <f>"Gm6816"</f>
        <v>Gm6816</v>
      </c>
      <c r="B9277" t="s">
        <v>14</v>
      </c>
      <c r="C9277" t="s">
        <v>33</v>
      </c>
      <c r="D9277" t="s">
        <v>11</v>
      </c>
      <c r="E9277" t="s">
        <v>12</v>
      </c>
      <c r="F9277">
        <v>114927779</v>
      </c>
      <c r="G9277">
        <v>114927781</v>
      </c>
      <c r="H9277">
        <v>114927779</v>
      </c>
      <c r="I9277">
        <v>114927781</v>
      </c>
    </row>
    <row r="9278" spans="1:9" x14ac:dyDescent="0.2">
      <c r="A9278" t="str">
        <f>"Gm6821"</f>
        <v>Gm6821</v>
      </c>
      <c r="B9278" t="s">
        <v>3885</v>
      </c>
      <c r="C9278" t="s">
        <v>22</v>
      </c>
      <c r="D9278" t="s">
        <v>17</v>
      </c>
      <c r="E9278" t="s">
        <v>20</v>
      </c>
      <c r="F9278">
        <v>88381003</v>
      </c>
      <c r="G9278">
        <v>88381003</v>
      </c>
      <c r="H9278">
        <v>88381003</v>
      </c>
      <c r="I9278">
        <v>88381003</v>
      </c>
    </row>
    <row r="9279" spans="1:9" x14ac:dyDescent="0.2">
      <c r="A9279" t="str">
        <f>"Gm684"</f>
        <v>Gm684</v>
      </c>
      <c r="B9279" t="s">
        <v>14</v>
      </c>
      <c r="C9279" t="s">
        <v>24</v>
      </c>
      <c r="D9279" t="s">
        <v>11</v>
      </c>
      <c r="E9279" t="s">
        <v>12</v>
      </c>
      <c r="F9279">
        <v>51278540</v>
      </c>
      <c r="G9279">
        <v>51278576</v>
      </c>
      <c r="H9279">
        <v>51278459</v>
      </c>
      <c r="I9279">
        <v>51278478</v>
      </c>
    </row>
    <row r="9280" spans="1:9" x14ac:dyDescent="0.2">
      <c r="A9280" t="str">
        <f>"Gm6871"</f>
        <v>Gm6871</v>
      </c>
      <c r="B9280" t="s">
        <v>14</v>
      </c>
      <c r="C9280" t="s">
        <v>33</v>
      </c>
      <c r="D9280" t="s">
        <v>11</v>
      </c>
      <c r="E9280" t="s">
        <v>12</v>
      </c>
      <c r="F9280">
        <v>41560812</v>
      </c>
      <c r="G9280">
        <v>41560836</v>
      </c>
      <c r="H9280">
        <v>41560812</v>
      </c>
      <c r="I9280">
        <v>41560836</v>
      </c>
    </row>
    <row r="9281" spans="1:9" x14ac:dyDescent="0.2">
      <c r="A9281" t="str">
        <f>"Gm6878"</f>
        <v>Gm6878</v>
      </c>
      <c r="B9281" t="s">
        <v>3886</v>
      </c>
      <c r="C9281" t="s">
        <v>41</v>
      </c>
      <c r="D9281" t="s">
        <v>11</v>
      </c>
      <c r="E9281" t="s">
        <v>20</v>
      </c>
      <c r="F9281">
        <v>67314710</v>
      </c>
      <c r="G9281">
        <v>67314710</v>
      </c>
      <c r="H9281">
        <v>67314710</v>
      </c>
      <c r="I9281">
        <v>67314710</v>
      </c>
    </row>
    <row r="9282" spans="1:9" x14ac:dyDescent="0.2">
      <c r="A9282" t="str">
        <f>"Gm6880"</f>
        <v>Gm6880</v>
      </c>
      <c r="B9282" t="s">
        <v>14</v>
      </c>
      <c r="C9282" t="s">
        <v>37</v>
      </c>
      <c r="D9282" t="s">
        <v>11</v>
      </c>
      <c r="E9282" t="s">
        <v>12</v>
      </c>
      <c r="F9282">
        <v>74481509</v>
      </c>
      <c r="G9282">
        <v>74481520</v>
      </c>
      <c r="H9282">
        <v>74481509</v>
      </c>
      <c r="I9282">
        <v>74481520</v>
      </c>
    </row>
    <row r="9283" spans="1:9" x14ac:dyDescent="0.2">
      <c r="A9283" t="str">
        <f>"Gm6882"</f>
        <v>Gm6882</v>
      </c>
      <c r="B9283" t="s">
        <v>3887</v>
      </c>
      <c r="C9283" t="s">
        <v>33</v>
      </c>
      <c r="D9283" t="s">
        <v>11</v>
      </c>
      <c r="E9283" t="s">
        <v>20</v>
      </c>
      <c r="F9283">
        <v>21427940</v>
      </c>
      <c r="G9283">
        <v>21427940</v>
      </c>
      <c r="H9283">
        <v>21427940</v>
      </c>
      <c r="I9283">
        <v>21427940</v>
      </c>
    </row>
    <row r="9284" spans="1:9" x14ac:dyDescent="0.2">
      <c r="A9284" t="str">
        <f>"Gm6890"</f>
        <v>Gm6890</v>
      </c>
      <c r="B9284" t="s">
        <v>14</v>
      </c>
      <c r="C9284" t="s">
        <v>37</v>
      </c>
      <c r="D9284" t="s">
        <v>17</v>
      </c>
      <c r="E9284" t="s">
        <v>12</v>
      </c>
      <c r="F9284">
        <v>74740778</v>
      </c>
      <c r="G9284">
        <v>74740818</v>
      </c>
      <c r="H9284">
        <v>74740778</v>
      </c>
      <c r="I9284">
        <v>74740818</v>
      </c>
    </row>
    <row r="9285" spans="1:9" x14ac:dyDescent="0.2">
      <c r="A9285" t="str">
        <f>"Gm6899"</f>
        <v>Gm6899</v>
      </c>
      <c r="B9285" t="s">
        <v>3888</v>
      </c>
      <c r="C9285" t="s">
        <v>27</v>
      </c>
      <c r="D9285" t="s">
        <v>17</v>
      </c>
      <c r="E9285" t="s">
        <v>20</v>
      </c>
      <c r="F9285">
        <v>26593240</v>
      </c>
      <c r="G9285">
        <v>26593240</v>
      </c>
      <c r="H9285">
        <v>26593240</v>
      </c>
      <c r="I9285">
        <v>26593240</v>
      </c>
    </row>
    <row r="9286" spans="1:9" x14ac:dyDescent="0.2">
      <c r="A9286" t="str">
        <f>"Gm6902"</f>
        <v>Gm6902</v>
      </c>
      <c r="B9286" t="s">
        <v>3889</v>
      </c>
      <c r="C9286" t="s">
        <v>33</v>
      </c>
      <c r="D9286" t="s">
        <v>11</v>
      </c>
      <c r="E9286" t="s">
        <v>20</v>
      </c>
      <c r="F9286">
        <v>23275242</v>
      </c>
      <c r="G9286">
        <v>23275242</v>
      </c>
      <c r="H9286">
        <v>23275242</v>
      </c>
      <c r="I9286">
        <v>23275242</v>
      </c>
    </row>
    <row r="9287" spans="1:9" x14ac:dyDescent="0.2">
      <c r="A9287" t="str">
        <f>"Gm6904"</f>
        <v>Gm6904</v>
      </c>
      <c r="B9287" t="s">
        <v>14</v>
      </c>
      <c r="C9287" t="s">
        <v>41</v>
      </c>
      <c r="D9287" t="s">
        <v>11</v>
      </c>
      <c r="E9287" t="s">
        <v>12</v>
      </c>
      <c r="F9287">
        <v>59260203</v>
      </c>
      <c r="G9287">
        <v>59260228</v>
      </c>
      <c r="H9287">
        <v>59260193</v>
      </c>
      <c r="I9287">
        <v>59260198</v>
      </c>
    </row>
    <row r="9288" spans="1:9" x14ac:dyDescent="0.2">
      <c r="A9288" t="str">
        <f>"Gm694"</f>
        <v>Gm694</v>
      </c>
      <c r="B9288" t="s">
        <v>14</v>
      </c>
      <c r="C9288" t="s">
        <v>23</v>
      </c>
      <c r="D9288" t="s">
        <v>11</v>
      </c>
      <c r="E9288" t="s">
        <v>12</v>
      </c>
      <c r="F9288">
        <v>141436066</v>
      </c>
      <c r="G9288">
        <v>141436113</v>
      </c>
      <c r="H9288">
        <v>141436066</v>
      </c>
      <c r="I9288">
        <v>141436113</v>
      </c>
    </row>
    <row r="9289" spans="1:9" x14ac:dyDescent="0.2">
      <c r="A9289" t="str">
        <f>"Gm6970"</f>
        <v>Gm6970</v>
      </c>
      <c r="B9289" t="s">
        <v>14</v>
      </c>
      <c r="C9289" t="s">
        <v>10</v>
      </c>
      <c r="D9289" t="s">
        <v>11</v>
      </c>
      <c r="E9289" t="s">
        <v>67</v>
      </c>
      <c r="F9289">
        <v>47171199</v>
      </c>
      <c r="G9289">
        <v>47171203</v>
      </c>
      <c r="H9289">
        <v>47171199</v>
      </c>
      <c r="I9289">
        <v>47171203</v>
      </c>
    </row>
    <row r="9290" spans="1:9" x14ac:dyDescent="0.2">
      <c r="A9290" t="str">
        <f>"Gm6994"</f>
        <v>Gm6994</v>
      </c>
      <c r="B9290" t="s">
        <v>3890</v>
      </c>
      <c r="C9290" t="s">
        <v>41</v>
      </c>
      <c r="D9290" t="s">
        <v>11</v>
      </c>
      <c r="E9290" t="s">
        <v>20</v>
      </c>
      <c r="F9290">
        <v>77501439</v>
      </c>
      <c r="G9290">
        <v>77501439</v>
      </c>
      <c r="H9290">
        <v>77501439</v>
      </c>
      <c r="I9290">
        <v>77501439</v>
      </c>
    </row>
    <row r="9291" spans="1:9" x14ac:dyDescent="0.2">
      <c r="A9291" t="str">
        <f>"Gm7008"</f>
        <v>Gm7008</v>
      </c>
      <c r="B9291" t="s">
        <v>14</v>
      </c>
      <c r="C9291" t="s">
        <v>16</v>
      </c>
      <c r="D9291" t="s">
        <v>17</v>
      </c>
      <c r="E9291" t="s">
        <v>12</v>
      </c>
      <c r="F9291">
        <v>40223325</v>
      </c>
      <c r="G9291">
        <v>40223350</v>
      </c>
      <c r="H9291">
        <v>40223459</v>
      </c>
      <c r="I9291">
        <v>40223472</v>
      </c>
    </row>
    <row r="9292" spans="1:9" x14ac:dyDescent="0.2">
      <c r="A9292" t="str">
        <f>"Gm7030"</f>
        <v>Gm7030</v>
      </c>
      <c r="B9292" t="s">
        <v>14</v>
      </c>
      <c r="C9292" t="s">
        <v>28</v>
      </c>
      <c r="D9292" t="s">
        <v>11</v>
      </c>
      <c r="E9292" t="s">
        <v>12</v>
      </c>
      <c r="F9292">
        <v>36129435</v>
      </c>
      <c r="G9292">
        <v>36129463</v>
      </c>
      <c r="H9292">
        <v>36129505</v>
      </c>
      <c r="I9292">
        <v>36129508</v>
      </c>
    </row>
    <row r="9293" spans="1:9" x14ac:dyDescent="0.2">
      <c r="A9293" t="str">
        <f>"Gm7052"</f>
        <v>Gm7052</v>
      </c>
      <c r="B9293" t="s">
        <v>3891</v>
      </c>
      <c r="C9293" t="s">
        <v>28</v>
      </c>
      <c r="D9293" t="s">
        <v>11</v>
      </c>
      <c r="E9293" t="s">
        <v>20</v>
      </c>
      <c r="F9293">
        <v>22040538</v>
      </c>
      <c r="G9293">
        <v>22040538</v>
      </c>
      <c r="H9293">
        <v>22040538</v>
      </c>
      <c r="I9293">
        <v>22040538</v>
      </c>
    </row>
    <row r="9294" spans="1:9" x14ac:dyDescent="0.2">
      <c r="A9294" t="str">
        <f>"Gm7073"</f>
        <v>Gm7073</v>
      </c>
      <c r="B9294" t="s">
        <v>3892</v>
      </c>
      <c r="C9294" t="s">
        <v>37</v>
      </c>
      <c r="D9294" t="s">
        <v>11</v>
      </c>
      <c r="E9294" t="s">
        <v>20</v>
      </c>
      <c r="F9294">
        <v>60452476</v>
      </c>
      <c r="G9294">
        <v>60452476</v>
      </c>
      <c r="H9294">
        <v>60452476</v>
      </c>
      <c r="I9294">
        <v>60452476</v>
      </c>
    </row>
    <row r="9295" spans="1:9" x14ac:dyDescent="0.2">
      <c r="A9295" t="str">
        <f>"Gm7073"</f>
        <v>Gm7073</v>
      </c>
      <c r="B9295" t="s">
        <v>3893</v>
      </c>
      <c r="C9295" t="s">
        <v>37</v>
      </c>
      <c r="D9295" t="s">
        <v>11</v>
      </c>
      <c r="E9295" t="s">
        <v>20</v>
      </c>
      <c r="F9295">
        <v>60539248</v>
      </c>
      <c r="G9295">
        <v>60539248</v>
      </c>
      <c r="H9295">
        <v>60539248</v>
      </c>
      <c r="I9295">
        <v>60539248</v>
      </c>
    </row>
    <row r="9296" spans="1:9" x14ac:dyDescent="0.2">
      <c r="A9296" t="str">
        <f>"Gm7075"</f>
        <v>Gm7075</v>
      </c>
      <c r="B9296" t="s">
        <v>3894</v>
      </c>
      <c r="C9296" t="s">
        <v>15</v>
      </c>
      <c r="D9296" t="s">
        <v>11</v>
      </c>
      <c r="E9296" t="s">
        <v>20</v>
      </c>
      <c r="F9296">
        <v>63421738</v>
      </c>
      <c r="G9296">
        <v>63421738</v>
      </c>
      <c r="H9296">
        <v>63421738</v>
      </c>
      <c r="I9296">
        <v>63421738</v>
      </c>
    </row>
    <row r="9297" spans="1:9" x14ac:dyDescent="0.2">
      <c r="A9297" t="str">
        <f>"Gm7092"</f>
        <v>Gm7092</v>
      </c>
      <c r="B9297" t="s">
        <v>14</v>
      </c>
      <c r="C9297" t="s">
        <v>33</v>
      </c>
      <c r="D9297" t="s">
        <v>11</v>
      </c>
      <c r="E9297" t="s">
        <v>12</v>
      </c>
      <c r="F9297">
        <v>25615835</v>
      </c>
      <c r="G9297">
        <v>25615859</v>
      </c>
      <c r="H9297">
        <v>25615874</v>
      </c>
      <c r="I9297">
        <v>25615886</v>
      </c>
    </row>
    <row r="9298" spans="1:9" x14ac:dyDescent="0.2">
      <c r="A9298" t="str">
        <f>"Gm7094"</f>
        <v>Gm7094</v>
      </c>
      <c r="B9298" t="s">
        <v>14</v>
      </c>
      <c r="C9298" t="s">
        <v>19</v>
      </c>
      <c r="D9298" t="s">
        <v>17</v>
      </c>
      <c r="E9298" t="s">
        <v>67</v>
      </c>
      <c r="F9298">
        <v>21272366</v>
      </c>
      <c r="G9298">
        <v>21272401</v>
      </c>
      <c r="H9298">
        <v>21272366</v>
      </c>
      <c r="I9298">
        <v>21272401</v>
      </c>
    </row>
    <row r="9299" spans="1:9" x14ac:dyDescent="0.2">
      <c r="A9299" t="str">
        <f>"Gm7102"</f>
        <v>Gm7102</v>
      </c>
      <c r="B9299" t="s">
        <v>14</v>
      </c>
      <c r="C9299" t="s">
        <v>10</v>
      </c>
      <c r="D9299" t="s">
        <v>11</v>
      </c>
      <c r="E9299" t="s">
        <v>67</v>
      </c>
      <c r="F9299">
        <v>61176094</v>
      </c>
      <c r="G9299">
        <v>61176110</v>
      </c>
      <c r="H9299">
        <v>61176004</v>
      </c>
      <c r="I9299">
        <v>61176048</v>
      </c>
    </row>
    <row r="9300" spans="1:9" x14ac:dyDescent="0.2">
      <c r="A9300" t="str">
        <f>"Gm7104"</f>
        <v>Gm7104</v>
      </c>
      <c r="B9300" t="s">
        <v>3895</v>
      </c>
      <c r="C9300" t="s">
        <v>16</v>
      </c>
      <c r="D9300" t="s">
        <v>11</v>
      </c>
      <c r="E9300" t="s">
        <v>20</v>
      </c>
      <c r="F9300">
        <v>88286054</v>
      </c>
      <c r="G9300">
        <v>88286054</v>
      </c>
      <c r="H9300">
        <v>88286054</v>
      </c>
      <c r="I9300">
        <v>88286054</v>
      </c>
    </row>
    <row r="9301" spans="1:9" x14ac:dyDescent="0.2">
      <c r="A9301" t="str">
        <f>"Gm711"</f>
        <v>Gm711</v>
      </c>
      <c r="B9301" t="s">
        <v>14</v>
      </c>
      <c r="C9301" t="s">
        <v>26</v>
      </c>
      <c r="D9301" t="s">
        <v>17</v>
      </c>
      <c r="E9301" t="s">
        <v>12</v>
      </c>
      <c r="F9301">
        <v>26934028</v>
      </c>
      <c r="G9301">
        <v>26934084</v>
      </c>
      <c r="H9301">
        <v>26934028</v>
      </c>
      <c r="I9301">
        <v>26934084</v>
      </c>
    </row>
    <row r="9302" spans="1:9" x14ac:dyDescent="0.2">
      <c r="A9302" t="str">
        <f>"Gm7120"</f>
        <v>Gm7120</v>
      </c>
      <c r="B9302" t="s">
        <v>14</v>
      </c>
      <c r="C9302" t="s">
        <v>39</v>
      </c>
      <c r="D9302" t="s">
        <v>17</v>
      </c>
      <c r="E9302" t="s">
        <v>12</v>
      </c>
      <c r="F9302">
        <v>119488487</v>
      </c>
      <c r="G9302">
        <v>119488529</v>
      </c>
      <c r="H9302">
        <v>119488425</v>
      </c>
      <c r="I9302">
        <v>119488478</v>
      </c>
    </row>
    <row r="9303" spans="1:9" x14ac:dyDescent="0.2">
      <c r="A9303" t="str">
        <f>"Gm7137"</f>
        <v>Gm7137</v>
      </c>
      <c r="B9303" t="s">
        <v>14</v>
      </c>
      <c r="C9303" t="s">
        <v>15</v>
      </c>
      <c r="D9303" t="s">
        <v>11</v>
      </c>
      <c r="E9303" t="s">
        <v>12</v>
      </c>
      <c r="F9303">
        <v>77811884</v>
      </c>
      <c r="G9303">
        <v>77811890</v>
      </c>
      <c r="H9303">
        <v>77811884</v>
      </c>
      <c r="I9303">
        <v>77811890</v>
      </c>
    </row>
    <row r="9304" spans="1:9" x14ac:dyDescent="0.2">
      <c r="A9304" t="str">
        <f>"Gm7138"</f>
        <v>Gm7138</v>
      </c>
      <c r="B9304" t="s">
        <v>14</v>
      </c>
      <c r="C9304" t="s">
        <v>15</v>
      </c>
      <c r="D9304" t="s">
        <v>11</v>
      </c>
      <c r="E9304" t="s">
        <v>12</v>
      </c>
      <c r="F9304">
        <v>77777009</v>
      </c>
      <c r="G9304">
        <v>77777016</v>
      </c>
      <c r="H9304">
        <v>77777009</v>
      </c>
      <c r="I9304">
        <v>77777016</v>
      </c>
    </row>
    <row r="9305" spans="1:9" x14ac:dyDescent="0.2">
      <c r="A9305" t="str">
        <f>"Gm7148"</f>
        <v>Gm7148</v>
      </c>
      <c r="B9305" t="s">
        <v>14</v>
      </c>
      <c r="C9305" t="s">
        <v>28</v>
      </c>
      <c r="D9305" t="s">
        <v>17</v>
      </c>
      <c r="E9305" t="s">
        <v>67</v>
      </c>
      <c r="F9305">
        <v>40115214</v>
      </c>
      <c r="G9305">
        <v>40115217</v>
      </c>
      <c r="H9305">
        <v>40115214</v>
      </c>
      <c r="I9305">
        <v>40115217</v>
      </c>
    </row>
    <row r="9306" spans="1:9" x14ac:dyDescent="0.2">
      <c r="A9306" t="str">
        <f>"Gm7157"</f>
        <v>Gm7157</v>
      </c>
      <c r="B9306" t="s">
        <v>3896</v>
      </c>
      <c r="C9306" t="s">
        <v>37</v>
      </c>
      <c r="D9306" t="s">
        <v>17</v>
      </c>
      <c r="E9306" t="s">
        <v>20</v>
      </c>
      <c r="F9306">
        <v>152563333</v>
      </c>
      <c r="G9306">
        <v>152563333</v>
      </c>
      <c r="H9306">
        <v>152563333</v>
      </c>
      <c r="I9306">
        <v>152563333</v>
      </c>
    </row>
    <row r="9307" spans="1:9" x14ac:dyDescent="0.2">
      <c r="A9307" t="str">
        <f>"Gm7168"</f>
        <v>Gm7168</v>
      </c>
      <c r="B9307" t="s">
        <v>3897</v>
      </c>
      <c r="C9307" t="s">
        <v>28</v>
      </c>
      <c r="D9307" t="s">
        <v>17</v>
      </c>
      <c r="E9307" t="s">
        <v>20</v>
      </c>
      <c r="F9307">
        <v>13948372</v>
      </c>
      <c r="G9307">
        <v>13948372</v>
      </c>
      <c r="H9307">
        <v>13948372</v>
      </c>
      <c r="I9307">
        <v>13948372</v>
      </c>
    </row>
    <row r="9308" spans="1:9" x14ac:dyDescent="0.2">
      <c r="A9308" t="str">
        <f>"Gm7173"</f>
        <v>Gm7173</v>
      </c>
      <c r="B9308" t="s">
        <v>14</v>
      </c>
      <c r="C9308" t="s">
        <v>37</v>
      </c>
      <c r="D9308" t="s">
        <v>11</v>
      </c>
      <c r="E9308" t="s">
        <v>12</v>
      </c>
      <c r="F9308">
        <v>79517333</v>
      </c>
      <c r="G9308">
        <v>79517376</v>
      </c>
      <c r="H9308">
        <v>79517333</v>
      </c>
      <c r="I9308">
        <v>79517376</v>
      </c>
    </row>
    <row r="9309" spans="1:9" x14ac:dyDescent="0.2">
      <c r="A9309" t="str">
        <f>"Gm7221"</f>
        <v>Gm7221</v>
      </c>
      <c r="B9309" t="s">
        <v>3898</v>
      </c>
      <c r="C9309" t="s">
        <v>33</v>
      </c>
      <c r="D9309" t="s">
        <v>11</v>
      </c>
      <c r="E9309" t="s">
        <v>20</v>
      </c>
      <c r="F9309">
        <v>42592546</v>
      </c>
      <c r="G9309">
        <v>42592546</v>
      </c>
      <c r="H9309">
        <v>42592546</v>
      </c>
      <c r="I9309">
        <v>42592546</v>
      </c>
    </row>
    <row r="9310" spans="1:9" x14ac:dyDescent="0.2">
      <c r="A9310" t="str">
        <f>"Gm7233"</f>
        <v>Gm7233</v>
      </c>
      <c r="B9310" t="s">
        <v>3899</v>
      </c>
      <c r="C9310" t="s">
        <v>41</v>
      </c>
      <c r="D9310" t="s">
        <v>17</v>
      </c>
      <c r="E9310" t="s">
        <v>20</v>
      </c>
      <c r="F9310">
        <v>43179866</v>
      </c>
      <c r="G9310">
        <v>43179866</v>
      </c>
      <c r="H9310">
        <v>43179866</v>
      </c>
      <c r="I9310">
        <v>43179866</v>
      </c>
    </row>
    <row r="9311" spans="1:9" x14ac:dyDescent="0.2">
      <c r="A9311" t="str">
        <f>"Gm7247"</f>
        <v>Gm7247</v>
      </c>
      <c r="B9311" t="s">
        <v>3900</v>
      </c>
      <c r="C9311" t="s">
        <v>41</v>
      </c>
      <c r="D9311" t="s">
        <v>17</v>
      </c>
      <c r="E9311" t="s">
        <v>20</v>
      </c>
      <c r="F9311">
        <v>51361755</v>
      </c>
      <c r="G9311">
        <v>51361755</v>
      </c>
      <c r="H9311">
        <v>51361755</v>
      </c>
      <c r="I9311">
        <v>51361755</v>
      </c>
    </row>
    <row r="9312" spans="1:9" x14ac:dyDescent="0.2">
      <c r="A9312" t="str">
        <f>"Gm7257"</f>
        <v>Gm7257</v>
      </c>
      <c r="B9312" t="s">
        <v>14</v>
      </c>
      <c r="C9312" t="s">
        <v>24</v>
      </c>
      <c r="D9312" t="s">
        <v>17</v>
      </c>
      <c r="E9312" t="s">
        <v>12</v>
      </c>
      <c r="F9312">
        <v>36431822</v>
      </c>
      <c r="G9312">
        <v>36431836</v>
      </c>
      <c r="H9312">
        <v>36431844</v>
      </c>
      <c r="I9312">
        <v>36431853</v>
      </c>
    </row>
    <row r="9313" spans="1:9" x14ac:dyDescent="0.2">
      <c r="A9313" t="str">
        <f>"Gm7258"</f>
        <v>Gm7258</v>
      </c>
      <c r="B9313" t="s">
        <v>3901</v>
      </c>
      <c r="C9313" t="s">
        <v>33</v>
      </c>
      <c r="D9313" t="s">
        <v>11</v>
      </c>
      <c r="E9313" t="s">
        <v>20</v>
      </c>
      <c r="F9313">
        <v>128596277</v>
      </c>
      <c r="G9313">
        <v>128596277</v>
      </c>
      <c r="H9313">
        <v>128596277</v>
      </c>
      <c r="I9313">
        <v>128596277</v>
      </c>
    </row>
    <row r="9314" spans="1:9" x14ac:dyDescent="0.2">
      <c r="A9314" t="str">
        <f>"Gm7271"</f>
        <v>Gm7271</v>
      </c>
      <c r="B9314" t="s">
        <v>14</v>
      </c>
      <c r="C9314" t="s">
        <v>46</v>
      </c>
      <c r="D9314" t="s">
        <v>17</v>
      </c>
      <c r="E9314" t="s">
        <v>12</v>
      </c>
      <c r="F9314">
        <v>76483892</v>
      </c>
      <c r="G9314">
        <v>76483902</v>
      </c>
      <c r="H9314">
        <v>76483892</v>
      </c>
      <c r="I9314">
        <v>76483902</v>
      </c>
    </row>
    <row r="9315" spans="1:9" x14ac:dyDescent="0.2">
      <c r="A9315" t="str">
        <f>"Gm7275"</f>
        <v>Gm7275</v>
      </c>
      <c r="B9315" t="s">
        <v>3902</v>
      </c>
      <c r="C9315" t="s">
        <v>31</v>
      </c>
      <c r="D9315" t="s">
        <v>17</v>
      </c>
      <c r="E9315" t="s">
        <v>20</v>
      </c>
      <c r="F9315">
        <v>48073443</v>
      </c>
      <c r="G9315">
        <v>48073443</v>
      </c>
      <c r="H9315">
        <v>48073443</v>
      </c>
      <c r="I9315">
        <v>48073443</v>
      </c>
    </row>
    <row r="9316" spans="1:9" x14ac:dyDescent="0.2">
      <c r="A9316" t="str">
        <f>"Gm7276"</f>
        <v>Gm7276</v>
      </c>
      <c r="B9316" t="s">
        <v>3903</v>
      </c>
      <c r="C9316" t="s">
        <v>43</v>
      </c>
      <c r="D9316" t="s">
        <v>11</v>
      </c>
      <c r="E9316" t="s">
        <v>20</v>
      </c>
      <c r="F9316">
        <v>77186256</v>
      </c>
      <c r="G9316">
        <v>77186256</v>
      </c>
      <c r="H9316">
        <v>77186256</v>
      </c>
      <c r="I9316">
        <v>77186256</v>
      </c>
    </row>
    <row r="9317" spans="1:9" x14ac:dyDescent="0.2">
      <c r="A9317" t="str">
        <f>"Gm7292"</f>
        <v>Gm7292</v>
      </c>
      <c r="B9317" t="s">
        <v>14</v>
      </c>
      <c r="C9317" t="s">
        <v>32</v>
      </c>
      <c r="D9317" t="s">
        <v>17</v>
      </c>
      <c r="E9317" t="s">
        <v>67</v>
      </c>
      <c r="F9317">
        <v>117716340</v>
      </c>
      <c r="G9317">
        <v>117716343</v>
      </c>
      <c r="H9317">
        <v>117716340</v>
      </c>
      <c r="I9317">
        <v>117716343</v>
      </c>
    </row>
    <row r="9318" spans="1:9" x14ac:dyDescent="0.2">
      <c r="A9318" t="str">
        <f>"Gm7293"</f>
        <v>Gm7293</v>
      </c>
      <c r="B9318" t="s">
        <v>3904</v>
      </c>
      <c r="C9318" t="s">
        <v>24</v>
      </c>
      <c r="D9318" t="s">
        <v>17</v>
      </c>
      <c r="E9318" t="s">
        <v>20</v>
      </c>
      <c r="F9318">
        <v>51621424</v>
      </c>
      <c r="G9318">
        <v>51621424</v>
      </c>
      <c r="H9318">
        <v>51621424</v>
      </c>
      <c r="I9318">
        <v>51621424</v>
      </c>
    </row>
    <row r="9319" spans="1:9" x14ac:dyDescent="0.2">
      <c r="A9319" t="str">
        <f>"Gm732"</f>
        <v>Gm732</v>
      </c>
      <c r="B9319" t="s">
        <v>14</v>
      </c>
      <c r="C9319" t="s">
        <v>37</v>
      </c>
      <c r="D9319" t="s">
        <v>11</v>
      </c>
      <c r="E9319" t="s">
        <v>12</v>
      </c>
      <c r="F9319">
        <v>107948432</v>
      </c>
      <c r="G9319">
        <v>107948443</v>
      </c>
      <c r="H9319">
        <v>107948460</v>
      </c>
      <c r="I9319">
        <v>107948465</v>
      </c>
    </row>
    <row r="9320" spans="1:9" x14ac:dyDescent="0.2">
      <c r="A9320" t="str">
        <f>"Gm7325"</f>
        <v>Gm7325</v>
      </c>
      <c r="B9320" t="s">
        <v>14</v>
      </c>
      <c r="C9320" t="s">
        <v>28</v>
      </c>
      <c r="D9320" t="s">
        <v>11</v>
      </c>
      <c r="E9320" t="s">
        <v>12</v>
      </c>
      <c r="F9320">
        <v>45602045</v>
      </c>
      <c r="G9320">
        <v>45602056</v>
      </c>
      <c r="H9320">
        <v>45602096</v>
      </c>
      <c r="I9320">
        <v>45602108</v>
      </c>
    </row>
    <row r="9321" spans="1:9" x14ac:dyDescent="0.2">
      <c r="A9321" t="str">
        <f>"Gm7334"</f>
        <v>Gm7334</v>
      </c>
      <c r="B9321" t="s">
        <v>3905</v>
      </c>
      <c r="C9321" t="s">
        <v>28</v>
      </c>
      <c r="D9321" t="s">
        <v>17</v>
      </c>
      <c r="E9321" t="s">
        <v>35</v>
      </c>
      <c r="F9321">
        <v>50698517</v>
      </c>
      <c r="G9321">
        <v>50698532</v>
      </c>
      <c r="H9321">
        <v>50698570</v>
      </c>
      <c r="I9321">
        <v>50698574</v>
      </c>
    </row>
    <row r="9322" spans="1:9" x14ac:dyDescent="0.2">
      <c r="A9322" t="str">
        <f>"Gm7347"</f>
        <v>Gm7347</v>
      </c>
      <c r="B9322" t="s">
        <v>3906</v>
      </c>
      <c r="C9322" t="s">
        <v>46</v>
      </c>
      <c r="D9322" t="s">
        <v>11</v>
      </c>
      <c r="E9322" t="s">
        <v>20</v>
      </c>
      <c r="F9322">
        <v>26058580</v>
      </c>
      <c r="G9322">
        <v>26058580</v>
      </c>
      <c r="H9322">
        <v>26058580</v>
      </c>
      <c r="I9322">
        <v>26058580</v>
      </c>
    </row>
    <row r="9323" spans="1:9" x14ac:dyDescent="0.2">
      <c r="A9323" t="str">
        <f>"Gm7353"</f>
        <v>Gm7353</v>
      </c>
      <c r="B9323" t="s">
        <v>3907</v>
      </c>
      <c r="C9323" t="s">
        <v>33</v>
      </c>
      <c r="D9323" t="s">
        <v>11</v>
      </c>
      <c r="E9323" t="s">
        <v>20</v>
      </c>
      <c r="F9323">
        <v>3111949</v>
      </c>
      <c r="G9323">
        <v>3111949</v>
      </c>
      <c r="H9323">
        <v>3111949</v>
      </c>
      <c r="I9323">
        <v>3111949</v>
      </c>
    </row>
    <row r="9324" spans="1:9" x14ac:dyDescent="0.2">
      <c r="A9324" t="str">
        <f>"Gm7361"</f>
        <v>Gm7361</v>
      </c>
      <c r="B9324" t="s">
        <v>14</v>
      </c>
      <c r="C9324" t="s">
        <v>46</v>
      </c>
      <c r="D9324" t="s">
        <v>17</v>
      </c>
      <c r="E9324" t="s">
        <v>12</v>
      </c>
      <c r="F9324">
        <v>26257717</v>
      </c>
      <c r="G9324">
        <v>26257742</v>
      </c>
      <c r="H9324">
        <v>26257717</v>
      </c>
      <c r="I9324">
        <v>26257742</v>
      </c>
    </row>
    <row r="9325" spans="1:9" x14ac:dyDescent="0.2">
      <c r="A9325" t="str">
        <f>"Gm7367"</f>
        <v>Gm7367</v>
      </c>
      <c r="B9325" t="s">
        <v>14</v>
      </c>
      <c r="C9325" t="s">
        <v>33</v>
      </c>
      <c r="D9325" t="s">
        <v>17</v>
      </c>
      <c r="E9325" t="s">
        <v>67</v>
      </c>
      <c r="F9325">
        <v>60155527</v>
      </c>
      <c r="G9325">
        <v>60155529</v>
      </c>
      <c r="H9325">
        <v>60155527</v>
      </c>
      <c r="I9325">
        <v>60155529</v>
      </c>
    </row>
    <row r="9326" spans="1:9" x14ac:dyDescent="0.2">
      <c r="A9326" t="str">
        <f>"Gm7461"</f>
        <v>Gm7461</v>
      </c>
      <c r="B9326" t="s">
        <v>14</v>
      </c>
      <c r="C9326" t="s">
        <v>30</v>
      </c>
      <c r="D9326" t="s">
        <v>11</v>
      </c>
      <c r="E9326" t="s">
        <v>12</v>
      </c>
      <c r="F9326">
        <v>4678338</v>
      </c>
      <c r="G9326">
        <v>4678356</v>
      </c>
      <c r="H9326">
        <v>4678373</v>
      </c>
      <c r="I9326">
        <v>4678392</v>
      </c>
    </row>
    <row r="9327" spans="1:9" x14ac:dyDescent="0.2">
      <c r="A9327" t="str">
        <f>"Gm7489"</f>
        <v>Gm7489</v>
      </c>
      <c r="B9327" t="s">
        <v>3908</v>
      </c>
      <c r="C9327" t="s">
        <v>25</v>
      </c>
      <c r="D9327" t="s">
        <v>17</v>
      </c>
      <c r="E9327" t="s">
        <v>20</v>
      </c>
      <c r="F9327">
        <v>53884905</v>
      </c>
      <c r="G9327">
        <v>53884905</v>
      </c>
      <c r="H9327">
        <v>53884905</v>
      </c>
      <c r="I9327">
        <v>53884905</v>
      </c>
    </row>
    <row r="9328" spans="1:9" x14ac:dyDescent="0.2">
      <c r="A9328" t="str">
        <f>"Gm7534"</f>
        <v>Gm7534</v>
      </c>
      <c r="B9328" t="s">
        <v>3909</v>
      </c>
      <c r="C9328" t="s">
        <v>23</v>
      </c>
      <c r="D9328" t="s">
        <v>11</v>
      </c>
      <c r="E9328" t="s">
        <v>20</v>
      </c>
      <c r="F9328">
        <v>134203003</v>
      </c>
      <c r="G9328">
        <v>134203003</v>
      </c>
      <c r="H9328">
        <v>134203003</v>
      </c>
      <c r="I9328">
        <v>134203003</v>
      </c>
    </row>
    <row r="9329" spans="1:9" x14ac:dyDescent="0.2">
      <c r="A9329" t="str">
        <f>"Gm7535"</f>
        <v>Gm7535</v>
      </c>
      <c r="B9329" t="s">
        <v>3910</v>
      </c>
      <c r="C9329" t="s">
        <v>28</v>
      </c>
      <c r="D9329" t="s">
        <v>11</v>
      </c>
      <c r="E9329" t="s">
        <v>20</v>
      </c>
      <c r="F9329">
        <v>17911946</v>
      </c>
      <c r="G9329">
        <v>17911946</v>
      </c>
      <c r="H9329">
        <v>17911946</v>
      </c>
      <c r="I9329">
        <v>17911946</v>
      </c>
    </row>
    <row r="9330" spans="1:9" x14ac:dyDescent="0.2">
      <c r="A9330" t="str">
        <f>"Gm7536"</f>
        <v>Gm7536</v>
      </c>
      <c r="B9330" t="s">
        <v>3911</v>
      </c>
      <c r="C9330" t="s">
        <v>22</v>
      </c>
      <c r="D9330" t="s">
        <v>17</v>
      </c>
      <c r="E9330" t="s">
        <v>20</v>
      </c>
      <c r="F9330">
        <v>24333045</v>
      </c>
      <c r="G9330">
        <v>24333045</v>
      </c>
      <c r="H9330">
        <v>24333045</v>
      </c>
      <c r="I9330">
        <v>24333045</v>
      </c>
    </row>
    <row r="9331" spans="1:9" x14ac:dyDescent="0.2">
      <c r="A9331" t="str">
        <f>"Gm757"</f>
        <v>Gm757</v>
      </c>
      <c r="B9331" t="s">
        <v>14</v>
      </c>
      <c r="C9331" t="s">
        <v>26</v>
      </c>
      <c r="D9331" t="s">
        <v>11</v>
      </c>
      <c r="E9331" t="s">
        <v>12</v>
      </c>
      <c r="F9331">
        <v>25236783</v>
      </c>
      <c r="G9331">
        <v>25236790</v>
      </c>
      <c r="H9331">
        <v>25236816</v>
      </c>
      <c r="I9331">
        <v>25236825</v>
      </c>
    </row>
    <row r="9332" spans="1:9" x14ac:dyDescent="0.2">
      <c r="A9332" t="str">
        <f>"Gm7579"</f>
        <v>Gm7579</v>
      </c>
      <c r="B9332" t="s">
        <v>14</v>
      </c>
      <c r="C9332" t="s">
        <v>33</v>
      </c>
      <c r="D9332" t="s">
        <v>17</v>
      </c>
      <c r="E9332" t="s">
        <v>67</v>
      </c>
      <c r="F9332">
        <v>142211792</v>
      </c>
      <c r="G9332">
        <v>142211796</v>
      </c>
      <c r="H9332">
        <v>142211792</v>
      </c>
      <c r="I9332">
        <v>142211796</v>
      </c>
    </row>
    <row r="9333" spans="1:9" x14ac:dyDescent="0.2">
      <c r="A9333" t="str">
        <f>"Gm7589"</f>
        <v>Gm7589</v>
      </c>
      <c r="B9333" t="s">
        <v>3912</v>
      </c>
      <c r="C9333" t="s">
        <v>24</v>
      </c>
      <c r="D9333" t="s">
        <v>11</v>
      </c>
      <c r="E9333" t="s">
        <v>20</v>
      </c>
      <c r="F9333">
        <v>59146209</v>
      </c>
      <c r="G9333">
        <v>59146209</v>
      </c>
      <c r="H9333">
        <v>59146209</v>
      </c>
      <c r="I9333">
        <v>59146209</v>
      </c>
    </row>
    <row r="9334" spans="1:9" x14ac:dyDescent="0.2">
      <c r="A9334" t="str">
        <f>"Gm7647"</f>
        <v>Gm7647</v>
      </c>
      <c r="B9334" t="s">
        <v>3913</v>
      </c>
      <c r="C9334" t="s">
        <v>46</v>
      </c>
      <c r="D9334" t="s">
        <v>17</v>
      </c>
      <c r="E9334" t="s">
        <v>20</v>
      </c>
      <c r="F9334">
        <v>94962961</v>
      </c>
      <c r="G9334">
        <v>94962961</v>
      </c>
      <c r="H9334">
        <v>94962961</v>
      </c>
      <c r="I9334">
        <v>94962961</v>
      </c>
    </row>
    <row r="9335" spans="1:9" x14ac:dyDescent="0.2">
      <c r="A9335" t="str">
        <f>"Gm765"</f>
        <v>Gm765</v>
      </c>
      <c r="B9335" t="s">
        <v>14</v>
      </c>
      <c r="C9335" t="s">
        <v>32</v>
      </c>
      <c r="D9335" t="s">
        <v>11</v>
      </c>
      <c r="E9335" t="s">
        <v>12</v>
      </c>
      <c r="F9335">
        <v>98342661</v>
      </c>
      <c r="G9335">
        <v>98342691</v>
      </c>
      <c r="H9335">
        <v>98342643</v>
      </c>
      <c r="I9335">
        <v>98342656</v>
      </c>
    </row>
    <row r="9336" spans="1:9" x14ac:dyDescent="0.2">
      <c r="A9336" t="str">
        <f>"Gm766"</f>
        <v>Gm766</v>
      </c>
      <c r="B9336" t="s">
        <v>14</v>
      </c>
      <c r="C9336" t="s">
        <v>32</v>
      </c>
      <c r="D9336" t="s">
        <v>11</v>
      </c>
      <c r="E9336" t="s">
        <v>12</v>
      </c>
      <c r="F9336">
        <v>142804493</v>
      </c>
      <c r="G9336">
        <v>142804511</v>
      </c>
      <c r="H9336">
        <v>142804493</v>
      </c>
      <c r="I9336">
        <v>142804511</v>
      </c>
    </row>
    <row r="9337" spans="1:9" x14ac:dyDescent="0.2">
      <c r="A9337" t="str">
        <f>"Gm7676"</f>
        <v>Gm7676</v>
      </c>
      <c r="B9337" t="s">
        <v>14</v>
      </c>
      <c r="C9337" t="s">
        <v>30</v>
      </c>
      <c r="D9337" t="s">
        <v>17</v>
      </c>
      <c r="E9337" t="s">
        <v>67</v>
      </c>
      <c r="F9337">
        <v>13896282</v>
      </c>
      <c r="G9337">
        <v>13896287</v>
      </c>
      <c r="H9337">
        <v>13896282</v>
      </c>
      <c r="I9337">
        <v>13896287</v>
      </c>
    </row>
    <row r="9338" spans="1:9" x14ac:dyDescent="0.2">
      <c r="A9338" t="str">
        <f>"Gm7682"</f>
        <v>Gm7682</v>
      </c>
      <c r="B9338" t="s">
        <v>3914</v>
      </c>
      <c r="C9338" t="s">
        <v>46</v>
      </c>
      <c r="D9338" t="s">
        <v>17</v>
      </c>
      <c r="E9338" t="s">
        <v>20</v>
      </c>
      <c r="F9338">
        <v>94445817</v>
      </c>
      <c r="G9338">
        <v>94445817</v>
      </c>
      <c r="H9338">
        <v>94445817</v>
      </c>
      <c r="I9338">
        <v>94445817</v>
      </c>
    </row>
    <row r="9339" spans="1:9" x14ac:dyDescent="0.2">
      <c r="A9339" t="str">
        <f>"Gm7694"</f>
        <v>Gm7694</v>
      </c>
      <c r="B9339" t="s">
        <v>3915</v>
      </c>
      <c r="C9339" t="s">
        <v>19</v>
      </c>
      <c r="D9339" t="s">
        <v>11</v>
      </c>
      <c r="E9339" t="s">
        <v>20</v>
      </c>
      <c r="F9339">
        <v>170306331</v>
      </c>
      <c r="G9339">
        <v>170306331</v>
      </c>
      <c r="H9339">
        <v>170306331</v>
      </c>
      <c r="I9339">
        <v>170306331</v>
      </c>
    </row>
    <row r="9340" spans="1:9" x14ac:dyDescent="0.2">
      <c r="A9340" t="str">
        <f>"Gm7714"</f>
        <v>Gm7714</v>
      </c>
      <c r="B9340" t="s">
        <v>14</v>
      </c>
      <c r="C9340" t="s">
        <v>46</v>
      </c>
      <c r="D9340" t="s">
        <v>17</v>
      </c>
      <c r="E9340" t="s">
        <v>12</v>
      </c>
      <c r="F9340">
        <v>88268923</v>
      </c>
      <c r="G9340">
        <v>88268934</v>
      </c>
      <c r="H9340">
        <v>88268923</v>
      </c>
      <c r="I9340">
        <v>88268934</v>
      </c>
    </row>
    <row r="9341" spans="1:9" x14ac:dyDescent="0.2">
      <c r="A9341" t="str">
        <f>"Gm7729"</f>
        <v>Gm7729</v>
      </c>
      <c r="B9341" t="s">
        <v>14</v>
      </c>
      <c r="C9341" t="s">
        <v>43</v>
      </c>
      <c r="D9341" t="s">
        <v>17</v>
      </c>
      <c r="E9341" t="s">
        <v>67</v>
      </c>
      <c r="F9341">
        <v>27598582</v>
      </c>
      <c r="G9341">
        <v>27598585</v>
      </c>
      <c r="H9341">
        <v>27598582</v>
      </c>
      <c r="I9341">
        <v>27598585</v>
      </c>
    </row>
    <row r="9342" spans="1:9" x14ac:dyDescent="0.2">
      <c r="A9342" t="str">
        <f>"Gm773"</f>
        <v>Gm773</v>
      </c>
      <c r="B9342" t="s">
        <v>14</v>
      </c>
      <c r="C9342" t="s">
        <v>37</v>
      </c>
      <c r="D9342" t="s">
        <v>11</v>
      </c>
      <c r="E9342" t="s">
        <v>12</v>
      </c>
      <c r="F9342">
        <v>56212903</v>
      </c>
      <c r="G9342">
        <v>56212915</v>
      </c>
      <c r="H9342">
        <v>56212903</v>
      </c>
      <c r="I9342">
        <v>56212915</v>
      </c>
    </row>
    <row r="9343" spans="1:9" x14ac:dyDescent="0.2">
      <c r="A9343" t="str">
        <f>"Gm7732"</f>
        <v>Gm7732</v>
      </c>
      <c r="B9343" t="s">
        <v>3916</v>
      </c>
      <c r="C9343" t="s">
        <v>28</v>
      </c>
      <c r="D9343" t="s">
        <v>17</v>
      </c>
      <c r="E9343" t="s">
        <v>20</v>
      </c>
      <c r="F9343">
        <v>21129350</v>
      </c>
      <c r="G9343">
        <v>21129350</v>
      </c>
      <c r="H9343">
        <v>21129350</v>
      </c>
      <c r="I9343">
        <v>21129350</v>
      </c>
    </row>
    <row r="9344" spans="1:9" x14ac:dyDescent="0.2">
      <c r="A9344" t="str">
        <f>"Gm7735"</f>
        <v>Gm7735</v>
      </c>
      <c r="B9344" t="s">
        <v>14</v>
      </c>
      <c r="C9344" t="s">
        <v>31</v>
      </c>
      <c r="D9344" t="s">
        <v>17</v>
      </c>
      <c r="E9344" t="s">
        <v>67</v>
      </c>
      <c r="F9344">
        <v>89169433</v>
      </c>
      <c r="G9344">
        <v>89169437</v>
      </c>
      <c r="H9344">
        <v>89169433</v>
      </c>
      <c r="I9344">
        <v>89169437</v>
      </c>
    </row>
    <row r="9345" spans="1:9" x14ac:dyDescent="0.2">
      <c r="A9345" t="str">
        <f>"Gm7736"</f>
        <v>Gm7736</v>
      </c>
      <c r="B9345" t="s">
        <v>3917</v>
      </c>
      <c r="C9345" t="s">
        <v>28</v>
      </c>
      <c r="D9345" t="s">
        <v>17</v>
      </c>
      <c r="E9345" t="s">
        <v>20</v>
      </c>
      <c r="F9345">
        <v>21152561</v>
      </c>
      <c r="G9345">
        <v>21152561</v>
      </c>
      <c r="H9345">
        <v>21152561</v>
      </c>
      <c r="I9345">
        <v>21152561</v>
      </c>
    </row>
    <row r="9346" spans="1:9" x14ac:dyDescent="0.2">
      <c r="A9346" t="str">
        <f>"Gm7742"</f>
        <v>Gm7742</v>
      </c>
      <c r="B9346" t="s">
        <v>3918</v>
      </c>
      <c r="C9346" t="s">
        <v>28</v>
      </c>
      <c r="D9346" t="s">
        <v>17</v>
      </c>
      <c r="E9346" t="s">
        <v>20</v>
      </c>
      <c r="F9346">
        <v>21198951</v>
      </c>
      <c r="G9346">
        <v>21198951</v>
      </c>
      <c r="H9346">
        <v>21198951</v>
      </c>
      <c r="I9346">
        <v>21198951</v>
      </c>
    </row>
    <row r="9347" spans="1:9" x14ac:dyDescent="0.2">
      <c r="A9347" t="str">
        <f>"Gm7808"</f>
        <v>Gm7808</v>
      </c>
      <c r="B9347" t="s">
        <v>14</v>
      </c>
      <c r="C9347" t="s">
        <v>24</v>
      </c>
      <c r="D9347" t="s">
        <v>11</v>
      </c>
      <c r="E9347" t="s">
        <v>67</v>
      </c>
      <c r="F9347">
        <v>19928320</v>
      </c>
      <c r="G9347">
        <v>19928324</v>
      </c>
      <c r="H9347">
        <v>19928320</v>
      </c>
      <c r="I9347">
        <v>19928324</v>
      </c>
    </row>
    <row r="9348" spans="1:9" x14ac:dyDescent="0.2">
      <c r="A9348" t="str">
        <f>"Gm7849"</f>
        <v>Gm7849</v>
      </c>
      <c r="B9348" t="s">
        <v>3919</v>
      </c>
      <c r="C9348" t="s">
        <v>30</v>
      </c>
      <c r="D9348" t="s">
        <v>11</v>
      </c>
      <c r="E9348" t="s">
        <v>20</v>
      </c>
      <c r="F9348">
        <v>21456559</v>
      </c>
      <c r="G9348">
        <v>21456559</v>
      </c>
      <c r="H9348">
        <v>21456559</v>
      </c>
      <c r="I9348">
        <v>21456559</v>
      </c>
    </row>
    <row r="9349" spans="1:9" x14ac:dyDescent="0.2">
      <c r="A9349" t="str">
        <f>"Gm7853"</f>
        <v>Gm7853</v>
      </c>
      <c r="B9349" t="s">
        <v>3920</v>
      </c>
      <c r="C9349" t="s">
        <v>41</v>
      </c>
      <c r="D9349" t="s">
        <v>11</v>
      </c>
      <c r="E9349" t="s">
        <v>20</v>
      </c>
      <c r="F9349">
        <v>36090815</v>
      </c>
      <c r="G9349">
        <v>36090815</v>
      </c>
      <c r="H9349">
        <v>36090815</v>
      </c>
      <c r="I9349">
        <v>36090815</v>
      </c>
    </row>
    <row r="9350" spans="1:9" x14ac:dyDescent="0.2">
      <c r="A9350" t="str">
        <f>"Gm7854"</f>
        <v>Gm7854</v>
      </c>
      <c r="B9350" t="s">
        <v>14</v>
      </c>
      <c r="C9350" t="s">
        <v>46</v>
      </c>
      <c r="D9350" t="s">
        <v>11</v>
      </c>
      <c r="E9350" t="s">
        <v>12</v>
      </c>
      <c r="F9350">
        <v>43235342</v>
      </c>
      <c r="G9350">
        <v>43235359</v>
      </c>
      <c r="H9350">
        <v>43235196</v>
      </c>
      <c r="I9350">
        <v>43235208</v>
      </c>
    </row>
    <row r="9351" spans="1:9" x14ac:dyDescent="0.2">
      <c r="A9351" t="str">
        <f>"Gm7861"</f>
        <v>Gm7861</v>
      </c>
      <c r="B9351" t="s">
        <v>3921</v>
      </c>
      <c r="C9351" t="s">
        <v>30</v>
      </c>
      <c r="D9351" t="s">
        <v>11</v>
      </c>
      <c r="E9351" t="s">
        <v>20</v>
      </c>
      <c r="F9351">
        <v>21594507</v>
      </c>
      <c r="G9351">
        <v>21594507</v>
      </c>
      <c r="H9351">
        <v>21594507</v>
      </c>
      <c r="I9351">
        <v>21594507</v>
      </c>
    </row>
    <row r="9352" spans="1:9" x14ac:dyDescent="0.2">
      <c r="A9352" t="str">
        <f>"Gm7873"</f>
        <v>Gm7873</v>
      </c>
      <c r="B9352" t="s">
        <v>14</v>
      </c>
      <c r="C9352" t="s">
        <v>31</v>
      </c>
      <c r="D9352" t="s">
        <v>17</v>
      </c>
      <c r="E9352" t="s">
        <v>67</v>
      </c>
      <c r="F9352">
        <v>18217873</v>
      </c>
      <c r="G9352">
        <v>18217884</v>
      </c>
      <c r="H9352">
        <v>18217873</v>
      </c>
      <c r="I9352">
        <v>18217884</v>
      </c>
    </row>
    <row r="9353" spans="1:9" x14ac:dyDescent="0.2">
      <c r="A9353" t="str">
        <f>"Gm7876"</f>
        <v>Gm7876</v>
      </c>
      <c r="B9353" t="s">
        <v>14</v>
      </c>
      <c r="C9353" t="s">
        <v>41</v>
      </c>
      <c r="D9353" t="s">
        <v>17</v>
      </c>
      <c r="E9353" t="s">
        <v>12</v>
      </c>
      <c r="F9353">
        <v>4709237</v>
      </c>
      <c r="G9353">
        <v>4709241</v>
      </c>
      <c r="H9353">
        <v>4709237</v>
      </c>
      <c r="I9353">
        <v>4709241</v>
      </c>
    </row>
    <row r="9354" spans="1:9" x14ac:dyDescent="0.2">
      <c r="A9354" t="str">
        <f>"Gm7903"</f>
        <v>Gm7903</v>
      </c>
      <c r="B9354" t="s">
        <v>3922</v>
      </c>
      <c r="C9354" t="s">
        <v>37</v>
      </c>
      <c r="D9354" t="s">
        <v>17</v>
      </c>
      <c r="E9354" t="s">
        <v>20</v>
      </c>
      <c r="F9354">
        <v>135433834</v>
      </c>
      <c r="G9354">
        <v>135433834</v>
      </c>
      <c r="H9354">
        <v>135433834</v>
      </c>
      <c r="I9354">
        <v>135433834</v>
      </c>
    </row>
    <row r="9355" spans="1:9" x14ac:dyDescent="0.2">
      <c r="A9355" t="str">
        <f>"Gm7929"</f>
        <v>Gm7929</v>
      </c>
      <c r="B9355" t="s">
        <v>3923</v>
      </c>
      <c r="C9355" t="s">
        <v>41</v>
      </c>
      <c r="D9355" t="s">
        <v>11</v>
      </c>
      <c r="E9355" t="s">
        <v>20</v>
      </c>
      <c r="F9355">
        <v>41750594</v>
      </c>
      <c r="G9355">
        <v>41750594</v>
      </c>
      <c r="H9355">
        <v>41750594</v>
      </c>
      <c r="I9355">
        <v>41750594</v>
      </c>
    </row>
    <row r="9356" spans="1:9" x14ac:dyDescent="0.2">
      <c r="A9356" t="str">
        <f>"Gm7932"</f>
        <v>Gm7932</v>
      </c>
      <c r="B9356" t="s">
        <v>14</v>
      </c>
      <c r="C9356" t="s">
        <v>32</v>
      </c>
      <c r="D9356" t="s">
        <v>17</v>
      </c>
      <c r="E9356" t="s">
        <v>67</v>
      </c>
      <c r="F9356">
        <v>48860339</v>
      </c>
      <c r="G9356">
        <v>48860358</v>
      </c>
      <c r="H9356">
        <v>48860339</v>
      </c>
      <c r="I9356">
        <v>48860358</v>
      </c>
    </row>
    <row r="9357" spans="1:9" x14ac:dyDescent="0.2">
      <c r="A9357" t="str">
        <f>"Gm7942"</f>
        <v>Gm7942</v>
      </c>
      <c r="B9357" t="s">
        <v>3924</v>
      </c>
      <c r="C9357" t="s">
        <v>46</v>
      </c>
      <c r="D9357" t="s">
        <v>17</v>
      </c>
      <c r="E9357" t="s">
        <v>20</v>
      </c>
      <c r="F9357">
        <v>95106937</v>
      </c>
      <c r="G9357">
        <v>95106937</v>
      </c>
      <c r="H9357">
        <v>95106937</v>
      </c>
      <c r="I9357">
        <v>95106937</v>
      </c>
    </row>
    <row r="9358" spans="1:9" x14ac:dyDescent="0.2">
      <c r="A9358" t="str">
        <f>"Gm7945"</f>
        <v>Gm7945</v>
      </c>
      <c r="B9358" t="s">
        <v>3925</v>
      </c>
      <c r="C9358" t="s">
        <v>41</v>
      </c>
      <c r="D9358" t="s">
        <v>11</v>
      </c>
      <c r="E9358" t="s">
        <v>20</v>
      </c>
      <c r="F9358">
        <v>41386378</v>
      </c>
      <c r="G9358">
        <v>41386378</v>
      </c>
      <c r="H9358">
        <v>41386378</v>
      </c>
      <c r="I9358">
        <v>41386378</v>
      </c>
    </row>
    <row r="9359" spans="1:9" x14ac:dyDescent="0.2">
      <c r="A9359" t="str">
        <f>"Gm7951"</f>
        <v>Gm7951</v>
      </c>
      <c r="B9359" t="s">
        <v>3926</v>
      </c>
      <c r="C9359" t="s">
        <v>41</v>
      </c>
      <c r="D9359" t="s">
        <v>11</v>
      </c>
      <c r="E9359" t="s">
        <v>20</v>
      </c>
      <c r="F9359">
        <v>42117368</v>
      </c>
      <c r="G9359">
        <v>42117368</v>
      </c>
      <c r="H9359">
        <v>42117368</v>
      </c>
      <c r="I9359">
        <v>42117368</v>
      </c>
    </row>
    <row r="9360" spans="1:9" x14ac:dyDescent="0.2">
      <c r="A9360" t="str">
        <f>"Gm7954"</f>
        <v>Gm7954</v>
      </c>
      <c r="B9360" t="s">
        <v>3927</v>
      </c>
      <c r="C9360" t="s">
        <v>41</v>
      </c>
      <c r="D9360" t="s">
        <v>11</v>
      </c>
      <c r="E9360" t="s">
        <v>20</v>
      </c>
      <c r="F9360">
        <v>41453517</v>
      </c>
      <c r="G9360">
        <v>41453517</v>
      </c>
      <c r="H9360">
        <v>41453517</v>
      </c>
      <c r="I9360">
        <v>41453517</v>
      </c>
    </row>
    <row r="9361" spans="1:9" x14ac:dyDescent="0.2">
      <c r="A9361" t="str">
        <f>"Gm7964"</f>
        <v>Gm7964</v>
      </c>
      <c r="B9361" t="s">
        <v>14</v>
      </c>
      <c r="C9361" t="s">
        <v>33</v>
      </c>
      <c r="D9361" t="s">
        <v>17</v>
      </c>
      <c r="E9361" t="s">
        <v>67</v>
      </c>
      <c r="F9361">
        <v>83755841</v>
      </c>
      <c r="G9361">
        <v>83755872</v>
      </c>
      <c r="H9361">
        <v>83755841</v>
      </c>
      <c r="I9361">
        <v>83755872</v>
      </c>
    </row>
    <row r="9362" spans="1:9" x14ac:dyDescent="0.2">
      <c r="A9362" t="str">
        <f>"Gm7970"</f>
        <v>Gm7970</v>
      </c>
      <c r="B9362" t="s">
        <v>3928</v>
      </c>
      <c r="C9362" t="s">
        <v>41</v>
      </c>
      <c r="D9362" t="s">
        <v>11</v>
      </c>
      <c r="E9362" t="s">
        <v>20</v>
      </c>
      <c r="F9362">
        <v>41555582</v>
      </c>
      <c r="G9362">
        <v>41555582</v>
      </c>
      <c r="H9362">
        <v>41555582</v>
      </c>
      <c r="I9362">
        <v>41555582</v>
      </c>
    </row>
    <row r="9363" spans="1:9" x14ac:dyDescent="0.2">
      <c r="A9363" t="str">
        <f>"Gm7978"</f>
        <v>Gm7978</v>
      </c>
      <c r="B9363" t="s">
        <v>3929</v>
      </c>
      <c r="C9363" t="s">
        <v>46</v>
      </c>
      <c r="D9363" t="s">
        <v>11</v>
      </c>
      <c r="E9363" t="s">
        <v>20</v>
      </c>
      <c r="F9363">
        <v>95734934</v>
      </c>
      <c r="G9363">
        <v>95734934</v>
      </c>
      <c r="H9363">
        <v>95734934</v>
      </c>
      <c r="I9363">
        <v>95734934</v>
      </c>
    </row>
    <row r="9364" spans="1:9" x14ac:dyDescent="0.2">
      <c r="A9364" t="str">
        <f>"Gm7980"</f>
        <v>Gm7980</v>
      </c>
      <c r="B9364" t="s">
        <v>3930</v>
      </c>
      <c r="C9364" t="s">
        <v>41</v>
      </c>
      <c r="D9364" t="s">
        <v>11</v>
      </c>
      <c r="E9364" t="s">
        <v>20</v>
      </c>
      <c r="F9364">
        <v>41907289</v>
      </c>
      <c r="G9364">
        <v>41907289</v>
      </c>
      <c r="H9364">
        <v>41907289</v>
      </c>
      <c r="I9364">
        <v>41907289</v>
      </c>
    </row>
    <row r="9365" spans="1:9" x14ac:dyDescent="0.2">
      <c r="A9365" t="str">
        <f>"Gm7982"</f>
        <v>Gm7982</v>
      </c>
      <c r="B9365" t="s">
        <v>3931</v>
      </c>
      <c r="C9365" t="s">
        <v>46</v>
      </c>
      <c r="D9365" t="s">
        <v>17</v>
      </c>
      <c r="E9365" t="s">
        <v>20</v>
      </c>
      <c r="F9365">
        <v>95743807</v>
      </c>
      <c r="G9365">
        <v>95743807</v>
      </c>
      <c r="H9365">
        <v>95743807</v>
      </c>
      <c r="I9365">
        <v>95743807</v>
      </c>
    </row>
    <row r="9366" spans="1:9" x14ac:dyDescent="0.2">
      <c r="A9366" t="str">
        <f>"Gm7995"</f>
        <v>Gm7995</v>
      </c>
      <c r="B9366" t="s">
        <v>3932</v>
      </c>
      <c r="C9366" t="s">
        <v>41</v>
      </c>
      <c r="D9366" t="s">
        <v>17</v>
      </c>
      <c r="E9366" t="s">
        <v>20</v>
      </c>
      <c r="F9366">
        <v>42310209</v>
      </c>
      <c r="G9366">
        <v>42310209</v>
      </c>
      <c r="H9366">
        <v>42310209</v>
      </c>
      <c r="I9366">
        <v>42310209</v>
      </c>
    </row>
    <row r="9367" spans="1:9" x14ac:dyDescent="0.2">
      <c r="A9367" t="str">
        <f>"Gm8005"</f>
        <v>Gm8005</v>
      </c>
      <c r="B9367" t="s">
        <v>3933</v>
      </c>
      <c r="C9367" t="s">
        <v>41</v>
      </c>
      <c r="D9367" t="s">
        <v>11</v>
      </c>
      <c r="E9367" t="s">
        <v>20</v>
      </c>
      <c r="F9367">
        <v>42439672</v>
      </c>
      <c r="G9367">
        <v>42439672</v>
      </c>
      <c r="H9367">
        <v>42439672</v>
      </c>
      <c r="I9367">
        <v>42439672</v>
      </c>
    </row>
    <row r="9368" spans="1:9" x14ac:dyDescent="0.2">
      <c r="A9368" t="str">
        <f>"Gm8011"</f>
        <v>Gm8011</v>
      </c>
      <c r="B9368" t="s">
        <v>3934</v>
      </c>
      <c r="C9368" t="s">
        <v>41</v>
      </c>
      <c r="D9368" t="s">
        <v>17</v>
      </c>
      <c r="E9368" t="s">
        <v>20</v>
      </c>
      <c r="F9368">
        <v>42463880</v>
      </c>
      <c r="G9368">
        <v>42463880</v>
      </c>
      <c r="H9368">
        <v>42463880</v>
      </c>
      <c r="I9368">
        <v>42463880</v>
      </c>
    </row>
    <row r="9369" spans="1:9" x14ac:dyDescent="0.2">
      <c r="A9369" t="str">
        <f>"Gm8020"</f>
        <v>Gm8020</v>
      </c>
      <c r="B9369" t="s">
        <v>3935</v>
      </c>
      <c r="C9369" t="s">
        <v>41</v>
      </c>
      <c r="D9369" t="s">
        <v>11</v>
      </c>
      <c r="E9369" t="s">
        <v>20</v>
      </c>
      <c r="F9369">
        <v>42502348</v>
      </c>
      <c r="G9369">
        <v>42502348</v>
      </c>
      <c r="H9369">
        <v>42502348</v>
      </c>
      <c r="I9369">
        <v>42502348</v>
      </c>
    </row>
    <row r="9370" spans="1:9" x14ac:dyDescent="0.2">
      <c r="A9370" t="str">
        <f>"Gm8024"</f>
        <v>Gm8024</v>
      </c>
      <c r="B9370" t="s">
        <v>3936</v>
      </c>
      <c r="C9370" t="s">
        <v>41</v>
      </c>
      <c r="D9370" t="s">
        <v>11</v>
      </c>
      <c r="E9370" t="s">
        <v>20</v>
      </c>
      <c r="F9370">
        <v>42524281</v>
      </c>
      <c r="G9370">
        <v>42524281</v>
      </c>
      <c r="H9370">
        <v>42524281</v>
      </c>
      <c r="I9370">
        <v>42524281</v>
      </c>
    </row>
    <row r="9371" spans="1:9" x14ac:dyDescent="0.2">
      <c r="A9371" t="str">
        <f>"Gm8050"</f>
        <v>Gm8050</v>
      </c>
      <c r="B9371" t="s">
        <v>3937</v>
      </c>
      <c r="C9371" t="s">
        <v>41</v>
      </c>
      <c r="D9371" t="s">
        <v>11</v>
      </c>
      <c r="E9371" t="s">
        <v>20</v>
      </c>
      <c r="F9371">
        <v>6720250</v>
      </c>
      <c r="G9371">
        <v>6720250</v>
      </c>
      <c r="H9371">
        <v>6720250</v>
      </c>
      <c r="I9371">
        <v>6720250</v>
      </c>
    </row>
    <row r="9372" spans="1:9" x14ac:dyDescent="0.2">
      <c r="A9372" t="str">
        <f>"Gm806"</f>
        <v>Gm806</v>
      </c>
      <c r="B9372" t="s">
        <v>14</v>
      </c>
      <c r="C9372" t="s">
        <v>39</v>
      </c>
      <c r="D9372" t="s">
        <v>17</v>
      </c>
      <c r="E9372" t="s">
        <v>12</v>
      </c>
      <c r="F9372">
        <v>50467274</v>
      </c>
      <c r="G9372">
        <v>50467313</v>
      </c>
      <c r="H9372">
        <v>50467274</v>
      </c>
      <c r="I9372">
        <v>50467313</v>
      </c>
    </row>
    <row r="9373" spans="1:9" x14ac:dyDescent="0.2">
      <c r="A9373" t="str">
        <f>"Gm8068"</f>
        <v>Gm8068</v>
      </c>
      <c r="B9373" t="s">
        <v>3938</v>
      </c>
      <c r="C9373" t="s">
        <v>41</v>
      </c>
      <c r="D9373" t="s">
        <v>11</v>
      </c>
      <c r="E9373" t="s">
        <v>20</v>
      </c>
      <c r="F9373">
        <v>41701884</v>
      </c>
      <c r="G9373">
        <v>41701884</v>
      </c>
      <c r="H9373">
        <v>41701884</v>
      </c>
      <c r="I9373">
        <v>41701884</v>
      </c>
    </row>
    <row r="9374" spans="1:9" x14ac:dyDescent="0.2">
      <c r="A9374" t="str">
        <f>"Gm8074"</f>
        <v>Gm8074</v>
      </c>
      <c r="B9374" t="s">
        <v>3939</v>
      </c>
      <c r="C9374" t="s">
        <v>24</v>
      </c>
      <c r="D9374" t="s">
        <v>11</v>
      </c>
      <c r="E9374" t="s">
        <v>20</v>
      </c>
      <c r="F9374">
        <v>78322356</v>
      </c>
      <c r="G9374">
        <v>78322356</v>
      </c>
      <c r="H9374">
        <v>78322356</v>
      </c>
      <c r="I9374">
        <v>78322356</v>
      </c>
    </row>
    <row r="9375" spans="1:9" x14ac:dyDescent="0.2">
      <c r="A9375" t="str">
        <f>"Gm8082"</f>
        <v>Gm8082</v>
      </c>
      <c r="B9375" t="s">
        <v>3940</v>
      </c>
      <c r="C9375" t="s">
        <v>41</v>
      </c>
      <c r="D9375" t="s">
        <v>11</v>
      </c>
      <c r="E9375" t="s">
        <v>20</v>
      </c>
      <c r="F9375">
        <v>42993623</v>
      </c>
      <c r="G9375">
        <v>42993623</v>
      </c>
      <c r="H9375">
        <v>42993623</v>
      </c>
      <c r="I9375">
        <v>42993623</v>
      </c>
    </row>
    <row r="9376" spans="1:9" x14ac:dyDescent="0.2">
      <c r="A9376" t="str">
        <f>"Gm8094"</f>
        <v>Gm8094</v>
      </c>
      <c r="B9376" t="s">
        <v>3941</v>
      </c>
      <c r="C9376" t="s">
        <v>41</v>
      </c>
      <c r="D9376" t="s">
        <v>11</v>
      </c>
      <c r="E9376" t="s">
        <v>20</v>
      </c>
      <c r="F9376">
        <v>43076642</v>
      </c>
      <c r="G9376">
        <v>43076642</v>
      </c>
      <c r="H9376">
        <v>43076642</v>
      </c>
      <c r="I9376">
        <v>43076642</v>
      </c>
    </row>
    <row r="9377" spans="1:9" x14ac:dyDescent="0.2">
      <c r="A9377" t="str">
        <f>"Gm8104"</f>
        <v>Gm8104</v>
      </c>
      <c r="B9377" t="s">
        <v>3942</v>
      </c>
      <c r="C9377" t="s">
        <v>41</v>
      </c>
      <c r="D9377" t="s">
        <v>17</v>
      </c>
      <c r="E9377" t="s">
        <v>20</v>
      </c>
      <c r="F9377">
        <v>43100600</v>
      </c>
      <c r="G9377">
        <v>43100600</v>
      </c>
      <c r="H9377">
        <v>43100600</v>
      </c>
      <c r="I9377">
        <v>43100600</v>
      </c>
    </row>
    <row r="9378" spans="1:9" x14ac:dyDescent="0.2">
      <c r="A9378" t="str">
        <f>"Gm8108"</f>
        <v>Gm8108</v>
      </c>
      <c r="B9378" t="s">
        <v>3943</v>
      </c>
      <c r="C9378" t="s">
        <v>41</v>
      </c>
      <c r="D9378" t="s">
        <v>17</v>
      </c>
      <c r="E9378" t="s">
        <v>20</v>
      </c>
      <c r="F9378">
        <v>4110525</v>
      </c>
      <c r="G9378">
        <v>4110525</v>
      </c>
      <c r="H9378">
        <v>4110525</v>
      </c>
      <c r="I9378">
        <v>4110525</v>
      </c>
    </row>
    <row r="9379" spans="1:9" x14ac:dyDescent="0.2">
      <c r="A9379" t="str">
        <f>"Gm8113"</f>
        <v>Gm8113</v>
      </c>
      <c r="B9379" t="s">
        <v>14</v>
      </c>
      <c r="C9379" t="s">
        <v>41</v>
      </c>
      <c r="D9379" t="s">
        <v>17</v>
      </c>
      <c r="E9379" t="s">
        <v>67</v>
      </c>
      <c r="F9379">
        <v>43925334</v>
      </c>
      <c r="G9379">
        <v>43925348</v>
      </c>
      <c r="H9379">
        <v>43925334</v>
      </c>
      <c r="I9379">
        <v>43925348</v>
      </c>
    </row>
    <row r="9380" spans="1:9" x14ac:dyDescent="0.2">
      <c r="A9380" t="str">
        <f>"Gm8122"</f>
        <v>Gm8122</v>
      </c>
      <c r="B9380" t="s">
        <v>3944</v>
      </c>
      <c r="C9380" t="s">
        <v>41</v>
      </c>
      <c r="D9380" t="s">
        <v>11</v>
      </c>
      <c r="E9380" t="s">
        <v>20</v>
      </c>
      <c r="F9380">
        <v>43235303</v>
      </c>
      <c r="G9380">
        <v>43235303</v>
      </c>
      <c r="H9380">
        <v>43235303</v>
      </c>
      <c r="I9380">
        <v>43235303</v>
      </c>
    </row>
    <row r="9381" spans="1:9" x14ac:dyDescent="0.2">
      <c r="A9381" t="str">
        <f>"Gm8126"</f>
        <v>Gm8126</v>
      </c>
      <c r="B9381" t="s">
        <v>3945</v>
      </c>
      <c r="C9381" t="s">
        <v>41</v>
      </c>
      <c r="D9381" t="s">
        <v>17</v>
      </c>
      <c r="E9381" t="s">
        <v>20</v>
      </c>
      <c r="F9381">
        <v>43258648</v>
      </c>
      <c r="G9381">
        <v>43258648</v>
      </c>
      <c r="H9381">
        <v>43258648</v>
      </c>
      <c r="I9381">
        <v>43258648</v>
      </c>
    </row>
    <row r="9382" spans="1:9" x14ac:dyDescent="0.2">
      <c r="A9382" t="str">
        <f>"Gm8127"</f>
        <v>Gm8127</v>
      </c>
      <c r="B9382" t="s">
        <v>3946</v>
      </c>
      <c r="C9382" t="s">
        <v>41</v>
      </c>
      <c r="D9382" t="s">
        <v>11</v>
      </c>
      <c r="E9382" t="s">
        <v>20</v>
      </c>
      <c r="F9382">
        <v>43293812</v>
      </c>
      <c r="G9382">
        <v>43293812</v>
      </c>
      <c r="H9382">
        <v>43293812</v>
      </c>
      <c r="I9382">
        <v>43293812</v>
      </c>
    </row>
    <row r="9383" spans="1:9" x14ac:dyDescent="0.2">
      <c r="A9383" t="str">
        <f>"Gm813"</f>
        <v>Gm813</v>
      </c>
      <c r="B9383" t="s">
        <v>14</v>
      </c>
      <c r="C9383" t="s">
        <v>31</v>
      </c>
      <c r="D9383" t="s">
        <v>11</v>
      </c>
      <c r="E9383" t="s">
        <v>12</v>
      </c>
      <c r="F9383">
        <v>58616973</v>
      </c>
      <c r="G9383">
        <v>58616979</v>
      </c>
      <c r="H9383">
        <v>58616973</v>
      </c>
      <c r="I9383">
        <v>58616979</v>
      </c>
    </row>
    <row r="9384" spans="1:9" x14ac:dyDescent="0.2">
      <c r="A9384" t="str">
        <f>"Gm8138"</f>
        <v>Gm8138</v>
      </c>
      <c r="B9384" t="s">
        <v>3947</v>
      </c>
      <c r="C9384" t="s">
        <v>41</v>
      </c>
      <c r="D9384" t="s">
        <v>11</v>
      </c>
      <c r="E9384" t="s">
        <v>20</v>
      </c>
      <c r="F9384">
        <v>43416349</v>
      </c>
      <c r="G9384">
        <v>43416349</v>
      </c>
      <c r="H9384">
        <v>43416349</v>
      </c>
      <c r="I9384">
        <v>43416349</v>
      </c>
    </row>
    <row r="9385" spans="1:9" x14ac:dyDescent="0.2">
      <c r="A9385" t="str">
        <f>"Gm815"</f>
        <v>Gm815</v>
      </c>
      <c r="B9385" t="s">
        <v>3948</v>
      </c>
      <c r="C9385" t="s">
        <v>10</v>
      </c>
      <c r="D9385" t="s">
        <v>17</v>
      </c>
      <c r="E9385" t="s">
        <v>20</v>
      </c>
      <c r="F9385">
        <v>26885924</v>
      </c>
      <c r="G9385">
        <v>26885924</v>
      </c>
      <c r="H9385">
        <v>26885924</v>
      </c>
      <c r="I9385">
        <v>26885924</v>
      </c>
    </row>
    <row r="9386" spans="1:9" x14ac:dyDescent="0.2">
      <c r="A9386" t="str">
        <f>"Gm8159"</f>
        <v>Gm8159</v>
      </c>
      <c r="B9386" t="s">
        <v>3949</v>
      </c>
      <c r="C9386" t="s">
        <v>41</v>
      </c>
      <c r="D9386" t="s">
        <v>17</v>
      </c>
      <c r="E9386" t="s">
        <v>20</v>
      </c>
      <c r="F9386">
        <v>4632391</v>
      </c>
      <c r="G9386">
        <v>4632391</v>
      </c>
      <c r="H9386">
        <v>4632391</v>
      </c>
      <c r="I9386">
        <v>4632391</v>
      </c>
    </row>
    <row r="9387" spans="1:9" x14ac:dyDescent="0.2">
      <c r="A9387" t="str">
        <f>"Gm8165"</f>
        <v>Gm8165</v>
      </c>
      <c r="B9387" t="s">
        <v>3950</v>
      </c>
      <c r="C9387" t="s">
        <v>41</v>
      </c>
      <c r="D9387" t="s">
        <v>11</v>
      </c>
      <c r="E9387" t="s">
        <v>20</v>
      </c>
      <c r="F9387">
        <v>43677198</v>
      </c>
      <c r="G9387">
        <v>43677198</v>
      </c>
      <c r="H9387">
        <v>43677198</v>
      </c>
      <c r="I9387">
        <v>43677198</v>
      </c>
    </row>
    <row r="9388" spans="1:9" x14ac:dyDescent="0.2">
      <c r="A9388" t="str">
        <f>"Gm8180"</f>
        <v>Gm8180</v>
      </c>
      <c r="B9388" t="s">
        <v>14</v>
      </c>
      <c r="C9388" t="s">
        <v>41</v>
      </c>
      <c r="D9388" t="s">
        <v>11</v>
      </c>
      <c r="E9388" t="s">
        <v>67</v>
      </c>
      <c r="F9388">
        <v>43784767</v>
      </c>
      <c r="G9388">
        <v>43784779</v>
      </c>
      <c r="H9388">
        <v>43784767</v>
      </c>
      <c r="I9388">
        <v>43784779</v>
      </c>
    </row>
    <row r="9389" spans="1:9" x14ac:dyDescent="0.2">
      <c r="A9389" t="str">
        <f>"Gm8186"</f>
        <v>Gm8186</v>
      </c>
      <c r="B9389" t="s">
        <v>14</v>
      </c>
      <c r="C9389" t="s">
        <v>28</v>
      </c>
      <c r="D9389" t="s">
        <v>11</v>
      </c>
      <c r="E9389" t="s">
        <v>67</v>
      </c>
      <c r="F9389">
        <v>26099257</v>
      </c>
      <c r="G9389">
        <v>26099259</v>
      </c>
      <c r="H9389">
        <v>26099257</v>
      </c>
      <c r="I9389">
        <v>26099259</v>
      </c>
    </row>
    <row r="9390" spans="1:9" x14ac:dyDescent="0.2">
      <c r="A9390" t="str">
        <f>"Gm8206"</f>
        <v>Gm8206</v>
      </c>
      <c r="B9390" t="s">
        <v>3951</v>
      </c>
      <c r="C9390" t="s">
        <v>41</v>
      </c>
      <c r="D9390" t="s">
        <v>11</v>
      </c>
      <c r="E9390" t="s">
        <v>20</v>
      </c>
      <c r="F9390">
        <v>6038208</v>
      </c>
      <c r="G9390">
        <v>6038208</v>
      </c>
      <c r="H9390">
        <v>6038208</v>
      </c>
      <c r="I9390">
        <v>6038208</v>
      </c>
    </row>
    <row r="9391" spans="1:9" x14ac:dyDescent="0.2">
      <c r="A9391" t="str">
        <f>"Gm8206"</f>
        <v>Gm8206</v>
      </c>
      <c r="B9391" t="s">
        <v>3952</v>
      </c>
      <c r="C9391" t="s">
        <v>41</v>
      </c>
      <c r="D9391" t="s">
        <v>11</v>
      </c>
      <c r="E9391" t="s">
        <v>20</v>
      </c>
      <c r="F9391">
        <v>6023404</v>
      </c>
      <c r="G9391">
        <v>6023404</v>
      </c>
      <c r="H9391">
        <v>6023404</v>
      </c>
      <c r="I9391">
        <v>6023404</v>
      </c>
    </row>
    <row r="9392" spans="1:9" x14ac:dyDescent="0.2">
      <c r="A9392" t="str">
        <f>"Gm8212"</f>
        <v>Gm8212</v>
      </c>
      <c r="B9392" t="s">
        <v>3953</v>
      </c>
      <c r="C9392" t="s">
        <v>41</v>
      </c>
      <c r="D9392" t="s">
        <v>17</v>
      </c>
      <c r="E9392" t="s">
        <v>20</v>
      </c>
      <c r="F9392">
        <v>44197660</v>
      </c>
      <c r="G9392">
        <v>44197660</v>
      </c>
      <c r="H9392">
        <v>44197660</v>
      </c>
      <c r="I9392">
        <v>44197660</v>
      </c>
    </row>
    <row r="9393" spans="1:9" x14ac:dyDescent="0.2">
      <c r="A9393" t="str">
        <f>"Gm8214"</f>
        <v>Gm8214</v>
      </c>
      <c r="B9393" t="s">
        <v>3954</v>
      </c>
      <c r="C9393" t="s">
        <v>19</v>
      </c>
      <c r="D9393" t="s">
        <v>11</v>
      </c>
      <c r="E9393" t="s">
        <v>20</v>
      </c>
      <c r="F9393">
        <v>183682193</v>
      </c>
      <c r="G9393">
        <v>183682193</v>
      </c>
      <c r="H9393">
        <v>183682193</v>
      </c>
      <c r="I9393">
        <v>183682193</v>
      </c>
    </row>
    <row r="9394" spans="1:9" x14ac:dyDescent="0.2">
      <c r="A9394" t="str">
        <f>"Gm8220"</f>
        <v>Gm8220</v>
      </c>
      <c r="B9394" t="s">
        <v>3955</v>
      </c>
      <c r="C9394" t="s">
        <v>41</v>
      </c>
      <c r="D9394" t="s">
        <v>17</v>
      </c>
      <c r="E9394" t="s">
        <v>20</v>
      </c>
      <c r="F9394">
        <v>44285604</v>
      </c>
      <c r="G9394">
        <v>44285604</v>
      </c>
      <c r="H9394">
        <v>44285604</v>
      </c>
      <c r="I9394">
        <v>44285604</v>
      </c>
    </row>
    <row r="9395" spans="1:9" x14ac:dyDescent="0.2">
      <c r="A9395" t="str">
        <f>"Gm8225"</f>
        <v>Gm8225</v>
      </c>
      <c r="B9395" t="s">
        <v>3956</v>
      </c>
      <c r="C9395" t="s">
        <v>28</v>
      </c>
      <c r="D9395" t="s">
        <v>17</v>
      </c>
      <c r="E9395" t="s">
        <v>20</v>
      </c>
      <c r="F9395">
        <v>26542759</v>
      </c>
      <c r="G9395">
        <v>26542759</v>
      </c>
      <c r="H9395">
        <v>26542759</v>
      </c>
      <c r="I9395">
        <v>26542759</v>
      </c>
    </row>
    <row r="9396" spans="1:9" x14ac:dyDescent="0.2">
      <c r="A9396" t="str">
        <f>"Gm8226"</f>
        <v>Gm8226</v>
      </c>
      <c r="B9396" t="s">
        <v>3957</v>
      </c>
      <c r="C9396" t="s">
        <v>24</v>
      </c>
      <c r="D9396" t="s">
        <v>17</v>
      </c>
      <c r="E9396" t="s">
        <v>20</v>
      </c>
      <c r="F9396">
        <v>84423957</v>
      </c>
      <c r="G9396">
        <v>84423957</v>
      </c>
      <c r="H9396">
        <v>84423957</v>
      </c>
      <c r="I9396">
        <v>84423957</v>
      </c>
    </row>
    <row r="9397" spans="1:9" x14ac:dyDescent="0.2">
      <c r="A9397" t="str">
        <f>"Gm8229"</f>
        <v>Gm8229</v>
      </c>
      <c r="B9397" t="s">
        <v>3958</v>
      </c>
      <c r="C9397" t="s">
        <v>41</v>
      </c>
      <c r="D9397" t="s">
        <v>17</v>
      </c>
      <c r="E9397" t="s">
        <v>20</v>
      </c>
      <c r="F9397">
        <v>44365356</v>
      </c>
      <c r="G9397">
        <v>44365356</v>
      </c>
      <c r="H9397">
        <v>44365356</v>
      </c>
      <c r="I9397">
        <v>44365356</v>
      </c>
    </row>
    <row r="9398" spans="1:9" x14ac:dyDescent="0.2">
      <c r="A9398" t="str">
        <f>"Gm8232"</f>
        <v>Gm8232</v>
      </c>
      <c r="B9398" t="s">
        <v>3959</v>
      </c>
      <c r="C9398" t="s">
        <v>41</v>
      </c>
      <c r="D9398" t="s">
        <v>17</v>
      </c>
      <c r="E9398" t="s">
        <v>20</v>
      </c>
      <c r="F9398">
        <v>44433634</v>
      </c>
      <c r="G9398">
        <v>44433634</v>
      </c>
      <c r="H9398">
        <v>44433634</v>
      </c>
      <c r="I9398">
        <v>44433634</v>
      </c>
    </row>
    <row r="9399" spans="1:9" x14ac:dyDescent="0.2">
      <c r="A9399" t="str">
        <f>"Gm8237"</f>
        <v>Gm8237</v>
      </c>
      <c r="B9399" t="s">
        <v>3960</v>
      </c>
      <c r="C9399" t="s">
        <v>41</v>
      </c>
      <c r="D9399" t="s">
        <v>11</v>
      </c>
      <c r="E9399" t="s">
        <v>20</v>
      </c>
      <c r="F9399">
        <v>5880381</v>
      </c>
      <c r="G9399">
        <v>5880381</v>
      </c>
      <c r="H9399">
        <v>5880381</v>
      </c>
      <c r="I9399">
        <v>5880381</v>
      </c>
    </row>
    <row r="9400" spans="1:9" x14ac:dyDescent="0.2">
      <c r="A9400" t="str">
        <f>"Gm8246"</f>
        <v>Gm8246</v>
      </c>
      <c r="B9400" t="s">
        <v>3961</v>
      </c>
      <c r="C9400" t="s">
        <v>41</v>
      </c>
      <c r="D9400" t="s">
        <v>11</v>
      </c>
      <c r="E9400" t="s">
        <v>20</v>
      </c>
      <c r="F9400">
        <v>5477829</v>
      </c>
      <c r="G9400">
        <v>5477829</v>
      </c>
      <c r="H9400">
        <v>5477829</v>
      </c>
      <c r="I9400">
        <v>5477829</v>
      </c>
    </row>
    <row r="9401" spans="1:9" x14ac:dyDescent="0.2">
      <c r="A9401" t="str">
        <f>"Gm8247"</f>
        <v>Gm8247</v>
      </c>
      <c r="B9401" t="s">
        <v>3962</v>
      </c>
      <c r="C9401" t="s">
        <v>41</v>
      </c>
      <c r="D9401" t="s">
        <v>17</v>
      </c>
      <c r="E9401" t="s">
        <v>20</v>
      </c>
      <c r="F9401">
        <v>44583152</v>
      </c>
      <c r="G9401">
        <v>44583152</v>
      </c>
      <c r="H9401">
        <v>44583152</v>
      </c>
      <c r="I9401">
        <v>44583152</v>
      </c>
    </row>
    <row r="9402" spans="1:9" x14ac:dyDescent="0.2">
      <c r="A9402" t="str">
        <f>"Gm8247"</f>
        <v>Gm8247</v>
      </c>
      <c r="B9402" t="s">
        <v>3963</v>
      </c>
      <c r="C9402" t="s">
        <v>41</v>
      </c>
      <c r="D9402" t="s">
        <v>17</v>
      </c>
      <c r="E9402" t="s">
        <v>20</v>
      </c>
      <c r="F9402">
        <v>44585477</v>
      </c>
      <c r="G9402">
        <v>44585477</v>
      </c>
      <c r="H9402">
        <v>44585477</v>
      </c>
      <c r="I9402">
        <v>44585477</v>
      </c>
    </row>
    <row r="9403" spans="1:9" x14ac:dyDescent="0.2">
      <c r="A9403" t="str">
        <f>"Gm8251"</f>
        <v>Gm8251</v>
      </c>
      <c r="B9403" t="s">
        <v>3964</v>
      </c>
      <c r="C9403" t="s">
        <v>19</v>
      </c>
      <c r="D9403" t="s">
        <v>11</v>
      </c>
      <c r="E9403" t="s">
        <v>20</v>
      </c>
      <c r="F9403">
        <v>44061935</v>
      </c>
      <c r="G9403">
        <v>44061935</v>
      </c>
      <c r="H9403">
        <v>44061935</v>
      </c>
      <c r="I9403">
        <v>44061935</v>
      </c>
    </row>
    <row r="9404" spans="1:9" x14ac:dyDescent="0.2">
      <c r="A9404" t="str">
        <f>"Gm8257"</f>
        <v>Gm8257</v>
      </c>
      <c r="B9404" t="s">
        <v>3965</v>
      </c>
      <c r="C9404" t="s">
        <v>41</v>
      </c>
      <c r="D9404" t="s">
        <v>11</v>
      </c>
      <c r="E9404" t="s">
        <v>20</v>
      </c>
      <c r="F9404">
        <v>44706455</v>
      </c>
      <c r="G9404">
        <v>44706455</v>
      </c>
      <c r="H9404">
        <v>44706455</v>
      </c>
      <c r="I9404">
        <v>44706455</v>
      </c>
    </row>
    <row r="9405" spans="1:9" x14ac:dyDescent="0.2">
      <c r="A9405" t="str">
        <f>"Gm8257"</f>
        <v>Gm8257</v>
      </c>
      <c r="B9405" t="s">
        <v>3966</v>
      </c>
      <c r="C9405" t="s">
        <v>41</v>
      </c>
      <c r="D9405" t="s">
        <v>11</v>
      </c>
      <c r="E9405" t="s">
        <v>20</v>
      </c>
      <c r="F9405">
        <v>44657356</v>
      </c>
      <c r="G9405">
        <v>44657356</v>
      </c>
      <c r="H9405">
        <v>44657356</v>
      </c>
      <c r="I9405">
        <v>44657356</v>
      </c>
    </row>
    <row r="9406" spans="1:9" x14ac:dyDescent="0.2">
      <c r="A9406" t="str">
        <f>"Gm8258"</f>
        <v>Gm8258</v>
      </c>
      <c r="B9406" t="s">
        <v>3967</v>
      </c>
      <c r="C9406" t="s">
        <v>46</v>
      </c>
      <c r="D9406" t="s">
        <v>17</v>
      </c>
      <c r="E9406" t="s">
        <v>20</v>
      </c>
      <c r="F9406">
        <v>104775910</v>
      </c>
      <c r="G9406">
        <v>104775910</v>
      </c>
      <c r="H9406">
        <v>104775910</v>
      </c>
      <c r="I9406">
        <v>104775910</v>
      </c>
    </row>
    <row r="9407" spans="1:9" x14ac:dyDescent="0.2">
      <c r="A9407" t="str">
        <f>"Gm826"</f>
        <v>Gm826</v>
      </c>
      <c r="B9407" t="s">
        <v>14</v>
      </c>
      <c r="C9407" t="s">
        <v>26</v>
      </c>
      <c r="D9407" t="s">
        <v>11</v>
      </c>
      <c r="E9407" t="s">
        <v>12</v>
      </c>
      <c r="F9407">
        <v>160327467</v>
      </c>
      <c r="G9407">
        <v>160327499</v>
      </c>
      <c r="H9407">
        <v>160327401</v>
      </c>
      <c r="I9407">
        <v>160327419</v>
      </c>
    </row>
    <row r="9408" spans="1:9" x14ac:dyDescent="0.2">
      <c r="A9408" t="str">
        <f>"Gm8265"</f>
        <v>Gm8265</v>
      </c>
      <c r="B9408" t="s">
        <v>3968</v>
      </c>
      <c r="C9408" t="s">
        <v>41</v>
      </c>
      <c r="D9408" t="s">
        <v>11</v>
      </c>
      <c r="E9408" t="s">
        <v>20</v>
      </c>
      <c r="F9408">
        <v>5633027</v>
      </c>
      <c r="G9408">
        <v>5633027</v>
      </c>
      <c r="H9408">
        <v>5633027</v>
      </c>
      <c r="I9408">
        <v>5633027</v>
      </c>
    </row>
    <row r="9409" spans="1:9" x14ac:dyDescent="0.2">
      <c r="A9409" t="str">
        <f>"Gm8267"</f>
        <v>Gm8267</v>
      </c>
      <c r="B9409" t="s">
        <v>3969</v>
      </c>
      <c r="C9409" t="s">
        <v>41</v>
      </c>
      <c r="D9409" t="s">
        <v>11</v>
      </c>
      <c r="E9409" t="s">
        <v>20</v>
      </c>
      <c r="F9409">
        <v>44724986</v>
      </c>
      <c r="G9409">
        <v>44724986</v>
      </c>
      <c r="H9409">
        <v>44724986</v>
      </c>
      <c r="I9409">
        <v>44724986</v>
      </c>
    </row>
    <row r="9410" spans="1:9" x14ac:dyDescent="0.2">
      <c r="A9410" t="str">
        <f>"Gm8271"</f>
        <v>Gm8271</v>
      </c>
      <c r="B9410" t="s">
        <v>3970</v>
      </c>
      <c r="C9410" t="s">
        <v>41</v>
      </c>
      <c r="D9410" t="s">
        <v>17</v>
      </c>
      <c r="E9410" t="s">
        <v>20</v>
      </c>
      <c r="F9410">
        <v>5185792</v>
      </c>
      <c r="G9410">
        <v>5185792</v>
      </c>
      <c r="H9410">
        <v>5185792</v>
      </c>
      <c r="I9410">
        <v>5185792</v>
      </c>
    </row>
    <row r="9411" spans="1:9" x14ac:dyDescent="0.2">
      <c r="A9411" t="str">
        <f>"Gm8279"</f>
        <v>Gm8279</v>
      </c>
      <c r="B9411" t="s">
        <v>3971</v>
      </c>
      <c r="C9411" t="s">
        <v>41</v>
      </c>
      <c r="D9411" t="s">
        <v>17</v>
      </c>
      <c r="E9411" t="s">
        <v>20</v>
      </c>
      <c r="F9411">
        <v>5131574</v>
      </c>
      <c r="G9411">
        <v>5131574</v>
      </c>
      <c r="H9411">
        <v>5131574</v>
      </c>
      <c r="I9411">
        <v>5131574</v>
      </c>
    </row>
    <row r="9412" spans="1:9" x14ac:dyDescent="0.2">
      <c r="A9412" t="str">
        <f>"Gm8281"</f>
        <v>Gm8281</v>
      </c>
      <c r="B9412" t="s">
        <v>3972</v>
      </c>
      <c r="C9412" t="s">
        <v>41</v>
      </c>
      <c r="D9412" t="s">
        <v>17</v>
      </c>
      <c r="E9412" t="s">
        <v>20</v>
      </c>
      <c r="F9412">
        <v>5071039</v>
      </c>
      <c r="G9412">
        <v>5071039</v>
      </c>
      <c r="H9412">
        <v>5071039</v>
      </c>
      <c r="I9412">
        <v>5071039</v>
      </c>
    </row>
    <row r="9413" spans="1:9" x14ac:dyDescent="0.2">
      <c r="A9413" t="str">
        <f>"Gm8297"</f>
        <v>Gm8297</v>
      </c>
      <c r="B9413" t="s">
        <v>3973</v>
      </c>
      <c r="C9413" t="s">
        <v>41</v>
      </c>
      <c r="D9413" t="s">
        <v>17</v>
      </c>
      <c r="E9413" t="s">
        <v>20</v>
      </c>
      <c r="F9413">
        <v>4983993</v>
      </c>
      <c r="G9413">
        <v>4983993</v>
      </c>
      <c r="H9413">
        <v>4983993</v>
      </c>
      <c r="I9413">
        <v>4983993</v>
      </c>
    </row>
    <row r="9414" spans="1:9" x14ac:dyDescent="0.2">
      <c r="A9414" t="str">
        <f>"Gm8298"</f>
        <v>Gm8298</v>
      </c>
      <c r="B9414" t="s">
        <v>3974</v>
      </c>
      <c r="C9414" t="s">
        <v>22</v>
      </c>
      <c r="D9414" t="s">
        <v>17</v>
      </c>
      <c r="E9414" t="s">
        <v>20</v>
      </c>
      <c r="F9414">
        <v>59861050</v>
      </c>
      <c r="G9414">
        <v>59861050</v>
      </c>
      <c r="H9414">
        <v>59861050</v>
      </c>
      <c r="I9414">
        <v>59861050</v>
      </c>
    </row>
    <row r="9415" spans="1:9" x14ac:dyDescent="0.2">
      <c r="A9415" t="str">
        <f>"Gm8300"</f>
        <v>Gm8300</v>
      </c>
      <c r="B9415" t="s">
        <v>14</v>
      </c>
      <c r="C9415" t="s">
        <v>16</v>
      </c>
      <c r="D9415" t="s">
        <v>17</v>
      </c>
      <c r="E9415" t="s">
        <v>12</v>
      </c>
      <c r="F9415">
        <v>87514315</v>
      </c>
      <c r="G9415">
        <v>87514319</v>
      </c>
      <c r="H9415">
        <v>87514315</v>
      </c>
      <c r="I9415">
        <v>87514319</v>
      </c>
    </row>
    <row r="9416" spans="1:9" x14ac:dyDescent="0.2">
      <c r="A9416" t="str">
        <f>"Gm8325"</f>
        <v>Gm8325</v>
      </c>
      <c r="B9416" t="s">
        <v>14</v>
      </c>
      <c r="C9416" t="s">
        <v>22</v>
      </c>
      <c r="D9416" t="s">
        <v>17</v>
      </c>
      <c r="E9416" t="s">
        <v>67</v>
      </c>
      <c r="F9416">
        <v>60877002</v>
      </c>
      <c r="G9416">
        <v>60877017</v>
      </c>
      <c r="H9416">
        <v>60877002</v>
      </c>
      <c r="I9416">
        <v>60877017</v>
      </c>
    </row>
    <row r="9417" spans="1:9" x14ac:dyDescent="0.2">
      <c r="A9417" t="str">
        <f>"Gm8332"</f>
        <v>Gm8332</v>
      </c>
      <c r="B9417" t="s">
        <v>3975</v>
      </c>
      <c r="C9417" t="s">
        <v>16</v>
      </c>
      <c r="D9417" t="s">
        <v>11</v>
      </c>
      <c r="E9417" t="s">
        <v>20</v>
      </c>
      <c r="F9417">
        <v>88250099</v>
      </c>
      <c r="G9417">
        <v>88250099</v>
      </c>
      <c r="H9417">
        <v>88250099</v>
      </c>
      <c r="I9417">
        <v>88250099</v>
      </c>
    </row>
    <row r="9418" spans="1:9" x14ac:dyDescent="0.2">
      <c r="A9418" t="str">
        <f>"Gm8334"</f>
        <v>Gm8334</v>
      </c>
      <c r="B9418" t="s">
        <v>3976</v>
      </c>
      <c r="C9418" t="s">
        <v>37</v>
      </c>
      <c r="D9418" t="s">
        <v>11</v>
      </c>
      <c r="E9418" t="s">
        <v>20</v>
      </c>
      <c r="F9418">
        <v>148615152</v>
      </c>
      <c r="G9418">
        <v>148615152</v>
      </c>
      <c r="H9418">
        <v>148615152</v>
      </c>
      <c r="I9418">
        <v>148615152</v>
      </c>
    </row>
    <row r="9419" spans="1:9" x14ac:dyDescent="0.2">
      <c r="A9419" t="str">
        <f>"Gm8356"</f>
        <v>Gm8356</v>
      </c>
      <c r="B9419" t="s">
        <v>3977</v>
      </c>
      <c r="C9419" t="s">
        <v>41</v>
      </c>
      <c r="D9419" t="s">
        <v>11</v>
      </c>
      <c r="E9419" t="s">
        <v>20</v>
      </c>
      <c r="F9419">
        <v>6537280</v>
      </c>
      <c r="G9419">
        <v>6537280</v>
      </c>
      <c r="H9419">
        <v>6537280</v>
      </c>
      <c r="I9419">
        <v>6537280</v>
      </c>
    </row>
    <row r="9420" spans="1:9" x14ac:dyDescent="0.2">
      <c r="A9420" t="str">
        <f>"Gm8362"</f>
        <v>Gm8362</v>
      </c>
      <c r="B9420" t="s">
        <v>3978</v>
      </c>
      <c r="C9420" t="s">
        <v>41</v>
      </c>
      <c r="D9420" t="s">
        <v>11</v>
      </c>
      <c r="E9420" t="s">
        <v>20</v>
      </c>
      <c r="F9420">
        <v>6774381</v>
      </c>
      <c r="G9420">
        <v>6774381</v>
      </c>
      <c r="H9420">
        <v>6774381</v>
      </c>
      <c r="I9420">
        <v>6774381</v>
      </c>
    </row>
    <row r="9421" spans="1:9" x14ac:dyDescent="0.2">
      <c r="A9421" t="str">
        <f>"Gm8369"</f>
        <v>Gm8369</v>
      </c>
      <c r="B9421" t="s">
        <v>14</v>
      </c>
      <c r="C9421" t="s">
        <v>10</v>
      </c>
      <c r="D9421" t="s">
        <v>17</v>
      </c>
      <c r="E9421" t="s">
        <v>12</v>
      </c>
      <c r="F9421">
        <v>11492022</v>
      </c>
      <c r="G9421">
        <v>11492053</v>
      </c>
      <c r="H9421">
        <v>11492065</v>
      </c>
      <c r="I9421">
        <v>11492082</v>
      </c>
    </row>
    <row r="9422" spans="1:9" x14ac:dyDescent="0.2">
      <c r="A9422" t="str">
        <f>"Gm8374"</f>
        <v>Gm8374</v>
      </c>
      <c r="B9422" t="s">
        <v>3979</v>
      </c>
      <c r="C9422" t="s">
        <v>41</v>
      </c>
      <c r="D9422" t="s">
        <v>11</v>
      </c>
      <c r="E9422" t="s">
        <v>20</v>
      </c>
      <c r="F9422">
        <v>7365133</v>
      </c>
      <c r="G9422">
        <v>7365133</v>
      </c>
      <c r="H9422">
        <v>7365133</v>
      </c>
      <c r="I9422">
        <v>7365133</v>
      </c>
    </row>
    <row r="9423" spans="1:9" x14ac:dyDescent="0.2">
      <c r="A9423" t="str">
        <f>"Gm839"</f>
        <v>Gm839</v>
      </c>
      <c r="B9423" t="s">
        <v>14</v>
      </c>
      <c r="C9423" t="s">
        <v>32</v>
      </c>
      <c r="D9423" t="s">
        <v>11</v>
      </c>
      <c r="E9423" t="s">
        <v>12</v>
      </c>
      <c r="F9423">
        <v>89216070</v>
      </c>
      <c r="G9423">
        <v>89216094</v>
      </c>
      <c r="H9423">
        <v>89216070</v>
      </c>
      <c r="I9423">
        <v>89216094</v>
      </c>
    </row>
    <row r="9424" spans="1:9" x14ac:dyDescent="0.2">
      <c r="A9424" t="str">
        <f>"Gm8394"</f>
        <v>Gm8394</v>
      </c>
      <c r="B9424" t="s">
        <v>3980</v>
      </c>
      <c r="C9424" t="s">
        <v>15</v>
      </c>
      <c r="D9424" t="s">
        <v>17</v>
      </c>
      <c r="E9424" t="s">
        <v>20</v>
      </c>
      <c r="F9424">
        <v>85313487</v>
      </c>
      <c r="G9424">
        <v>85313487</v>
      </c>
      <c r="H9424">
        <v>85313487</v>
      </c>
      <c r="I9424">
        <v>85313487</v>
      </c>
    </row>
    <row r="9425" spans="1:9" x14ac:dyDescent="0.2">
      <c r="A9425" t="str">
        <f>"Gm8420"</f>
        <v>Gm8420</v>
      </c>
      <c r="B9425" t="s">
        <v>14</v>
      </c>
      <c r="C9425" t="s">
        <v>19</v>
      </c>
      <c r="D9425" t="s">
        <v>11</v>
      </c>
      <c r="E9425" t="s">
        <v>67</v>
      </c>
      <c r="F9425">
        <v>51941289</v>
      </c>
      <c r="G9425">
        <v>51941302</v>
      </c>
      <c r="H9425">
        <v>51941289</v>
      </c>
      <c r="I9425">
        <v>51941302</v>
      </c>
    </row>
    <row r="9426" spans="1:9" x14ac:dyDescent="0.2">
      <c r="A9426" t="str">
        <f>"Gm8439"</f>
        <v>Gm8439</v>
      </c>
      <c r="B9426" t="s">
        <v>14</v>
      </c>
      <c r="C9426" t="s">
        <v>23</v>
      </c>
      <c r="D9426" t="s">
        <v>17</v>
      </c>
      <c r="E9426" t="s">
        <v>12</v>
      </c>
      <c r="F9426">
        <v>120588728</v>
      </c>
      <c r="G9426">
        <v>120588739</v>
      </c>
      <c r="H9426">
        <v>120588710</v>
      </c>
      <c r="I9426">
        <v>120588722</v>
      </c>
    </row>
    <row r="9427" spans="1:9" x14ac:dyDescent="0.2">
      <c r="A9427" t="str">
        <f>"Gm8444"</f>
        <v>Gm8444</v>
      </c>
      <c r="B9427" t="s">
        <v>14</v>
      </c>
      <c r="C9427" t="s">
        <v>25</v>
      </c>
      <c r="D9427" t="s">
        <v>11</v>
      </c>
      <c r="E9427" t="s">
        <v>67</v>
      </c>
      <c r="F9427">
        <v>81843749</v>
      </c>
      <c r="G9427">
        <v>81843755</v>
      </c>
      <c r="H9427">
        <v>81843749</v>
      </c>
      <c r="I9427">
        <v>81843755</v>
      </c>
    </row>
    <row r="9428" spans="1:9" x14ac:dyDescent="0.2">
      <c r="A9428" t="str">
        <f>"Gm8453"</f>
        <v>Gm8453</v>
      </c>
      <c r="B9428" t="s">
        <v>3981</v>
      </c>
      <c r="C9428" t="s">
        <v>33</v>
      </c>
      <c r="D9428" t="s">
        <v>11</v>
      </c>
      <c r="E9428" t="s">
        <v>20</v>
      </c>
      <c r="F9428">
        <v>22229483</v>
      </c>
      <c r="G9428">
        <v>22229483</v>
      </c>
      <c r="H9428">
        <v>22229483</v>
      </c>
      <c r="I9428">
        <v>22229483</v>
      </c>
    </row>
    <row r="9429" spans="1:9" x14ac:dyDescent="0.2">
      <c r="A9429" t="str">
        <f>"Gm8521"</f>
        <v>Gm8521</v>
      </c>
      <c r="B9429" t="s">
        <v>3982</v>
      </c>
      <c r="C9429" t="s">
        <v>63</v>
      </c>
      <c r="D9429" t="s">
        <v>17</v>
      </c>
      <c r="E9429" t="s">
        <v>20</v>
      </c>
      <c r="F9429">
        <v>3859228</v>
      </c>
      <c r="G9429">
        <v>3859228</v>
      </c>
      <c r="H9429">
        <v>3859228</v>
      </c>
      <c r="I9429">
        <v>3859228</v>
      </c>
    </row>
    <row r="9430" spans="1:9" x14ac:dyDescent="0.2">
      <c r="A9430" t="str">
        <f>"Gm853"</f>
        <v>Gm853</v>
      </c>
      <c r="B9430" t="s">
        <v>14</v>
      </c>
      <c r="C9430" t="s">
        <v>23</v>
      </c>
      <c r="D9430" t="s">
        <v>11</v>
      </c>
      <c r="E9430" t="s">
        <v>12</v>
      </c>
      <c r="F9430">
        <v>130222326</v>
      </c>
      <c r="G9430">
        <v>130222349</v>
      </c>
      <c r="H9430">
        <v>130222393</v>
      </c>
      <c r="I9430">
        <v>130222402</v>
      </c>
    </row>
    <row r="9431" spans="1:9" x14ac:dyDescent="0.2">
      <c r="A9431" t="str">
        <f>"Gm8597"</f>
        <v>Gm8597</v>
      </c>
      <c r="B9431" t="s">
        <v>3983</v>
      </c>
      <c r="C9431" t="s">
        <v>28</v>
      </c>
      <c r="D9431" t="s">
        <v>11</v>
      </c>
      <c r="E9431" t="s">
        <v>20</v>
      </c>
      <c r="F9431">
        <v>13404190</v>
      </c>
      <c r="G9431">
        <v>13404190</v>
      </c>
      <c r="H9431">
        <v>13404190</v>
      </c>
      <c r="I9431">
        <v>13404190</v>
      </c>
    </row>
    <row r="9432" spans="1:9" x14ac:dyDescent="0.2">
      <c r="A9432" t="str">
        <f>"Gm8603"</f>
        <v>Gm8603</v>
      </c>
      <c r="B9432" t="s">
        <v>3984</v>
      </c>
      <c r="C9432" t="s">
        <v>28</v>
      </c>
      <c r="D9432" t="s">
        <v>17</v>
      </c>
      <c r="E9432" t="s">
        <v>20</v>
      </c>
      <c r="F9432">
        <v>13516814</v>
      </c>
      <c r="G9432">
        <v>13516814</v>
      </c>
      <c r="H9432">
        <v>13516814</v>
      </c>
      <c r="I9432">
        <v>13516814</v>
      </c>
    </row>
    <row r="9433" spans="1:9" x14ac:dyDescent="0.2">
      <c r="A9433" t="str">
        <f>"Gm8653"</f>
        <v>Gm8653</v>
      </c>
      <c r="B9433" t="s">
        <v>3985</v>
      </c>
      <c r="C9433" t="s">
        <v>33</v>
      </c>
      <c r="D9433" t="s">
        <v>11</v>
      </c>
      <c r="E9433" t="s">
        <v>20</v>
      </c>
      <c r="F9433">
        <v>22201263</v>
      </c>
      <c r="G9433">
        <v>22201263</v>
      </c>
      <c r="H9433">
        <v>22201263</v>
      </c>
      <c r="I9433">
        <v>22201263</v>
      </c>
    </row>
    <row r="9434" spans="1:9" x14ac:dyDescent="0.2">
      <c r="A9434" t="str">
        <f>"Gm8660"</f>
        <v>Gm8660</v>
      </c>
      <c r="B9434" t="s">
        <v>3986</v>
      </c>
      <c r="C9434" t="s">
        <v>33</v>
      </c>
      <c r="D9434" t="s">
        <v>11</v>
      </c>
      <c r="E9434" t="s">
        <v>20</v>
      </c>
      <c r="F9434">
        <v>22371038</v>
      </c>
      <c r="G9434">
        <v>22371038</v>
      </c>
      <c r="H9434">
        <v>22371038</v>
      </c>
      <c r="I9434">
        <v>22371038</v>
      </c>
    </row>
    <row r="9435" spans="1:9" x14ac:dyDescent="0.2">
      <c r="A9435" t="str">
        <f>"Gm867"</f>
        <v>Gm867</v>
      </c>
      <c r="B9435" t="s">
        <v>14</v>
      </c>
      <c r="C9435" t="s">
        <v>15</v>
      </c>
      <c r="D9435" t="s">
        <v>11</v>
      </c>
      <c r="E9435" t="s">
        <v>67</v>
      </c>
      <c r="F9435">
        <v>75940633</v>
      </c>
      <c r="G9435">
        <v>75940683</v>
      </c>
      <c r="H9435">
        <v>75940603</v>
      </c>
      <c r="I9435">
        <v>75940623</v>
      </c>
    </row>
    <row r="9436" spans="1:9" x14ac:dyDescent="0.2">
      <c r="A9436" t="str">
        <f>"Gm8674"</f>
        <v>Gm8674</v>
      </c>
      <c r="B9436" t="s">
        <v>3987</v>
      </c>
      <c r="C9436" t="s">
        <v>39</v>
      </c>
      <c r="D9436" t="s">
        <v>11</v>
      </c>
      <c r="E9436" t="s">
        <v>20</v>
      </c>
      <c r="F9436">
        <v>49904596</v>
      </c>
      <c r="G9436">
        <v>49904596</v>
      </c>
      <c r="H9436">
        <v>49904596</v>
      </c>
      <c r="I9436">
        <v>49904596</v>
      </c>
    </row>
    <row r="9437" spans="1:9" x14ac:dyDescent="0.2">
      <c r="A9437" t="str">
        <f>"Gm8677"</f>
        <v>Gm8677</v>
      </c>
      <c r="B9437" t="s">
        <v>3988</v>
      </c>
      <c r="C9437" t="s">
        <v>33</v>
      </c>
      <c r="D9437" t="s">
        <v>11</v>
      </c>
      <c r="E9437" t="s">
        <v>20</v>
      </c>
      <c r="F9437">
        <v>22534886</v>
      </c>
      <c r="G9437">
        <v>22534886</v>
      </c>
      <c r="H9437">
        <v>22534886</v>
      </c>
      <c r="I9437">
        <v>22534886</v>
      </c>
    </row>
    <row r="9438" spans="1:9" x14ac:dyDescent="0.2">
      <c r="A9438" t="str">
        <f>"Gm8693"</f>
        <v>Gm8693</v>
      </c>
      <c r="B9438" t="s">
        <v>3989</v>
      </c>
      <c r="C9438" t="s">
        <v>33</v>
      </c>
      <c r="D9438" t="s">
        <v>11</v>
      </c>
      <c r="E9438" t="s">
        <v>20</v>
      </c>
      <c r="F9438">
        <v>22692316</v>
      </c>
      <c r="G9438">
        <v>22692316</v>
      </c>
      <c r="H9438">
        <v>22692316</v>
      </c>
      <c r="I9438">
        <v>22692316</v>
      </c>
    </row>
    <row r="9439" spans="1:9" x14ac:dyDescent="0.2">
      <c r="A9439" t="str">
        <f>"Gm872"</f>
        <v>Gm872</v>
      </c>
      <c r="B9439" t="s">
        <v>14</v>
      </c>
      <c r="C9439" t="s">
        <v>15</v>
      </c>
      <c r="D9439" t="s">
        <v>11</v>
      </c>
      <c r="E9439" t="s">
        <v>67</v>
      </c>
      <c r="F9439">
        <v>93081597</v>
      </c>
      <c r="G9439">
        <v>93081644</v>
      </c>
      <c r="H9439">
        <v>93081597</v>
      </c>
      <c r="I9439">
        <v>93081644</v>
      </c>
    </row>
    <row r="9440" spans="1:9" x14ac:dyDescent="0.2">
      <c r="A9440" t="str">
        <f>"Gm8720"</f>
        <v>Gm8720</v>
      </c>
      <c r="B9440" t="s">
        <v>3990</v>
      </c>
      <c r="C9440" t="s">
        <v>33</v>
      </c>
      <c r="D9440" t="s">
        <v>11</v>
      </c>
      <c r="E9440" t="s">
        <v>20</v>
      </c>
      <c r="F9440">
        <v>23067455</v>
      </c>
      <c r="G9440">
        <v>23067455</v>
      </c>
      <c r="H9440">
        <v>23067455</v>
      </c>
      <c r="I9440">
        <v>23067455</v>
      </c>
    </row>
    <row r="9441" spans="1:9" x14ac:dyDescent="0.2">
      <c r="A9441" t="str">
        <f>"Gm8730"</f>
        <v>Gm8730</v>
      </c>
      <c r="B9441" t="s">
        <v>14</v>
      </c>
      <c r="C9441" t="s">
        <v>30</v>
      </c>
      <c r="D9441" t="s">
        <v>11</v>
      </c>
      <c r="E9441" t="s">
        <v>12</v>
      </c>
      <c r="F9441">
        <v>102865868</v>
      </c>
      <c r="G9441">
        <v>102865876</v>
      </c>
      <c r="H9441">
        <v>102865868</v>
      </c>
      <c r="I9441">
        <v>102865876</v>
      </c>
    </row>
    <row r="9442" spans="1:9" x14ac:dyDescent="0.2">
      <c r="A9442" t="str">
        <f>"Gm8764"</f>
        <v>Gm8764</v>
      </c>
      <c r="B9442" t="s">
        <v>3991</v>
      </c>
      <c r="C9442" t="s">
        <v>15</v>
      </c>
      <c r="D9442" t="s">
        <v>17</v>
      </c>
      <c r="E9442" t="s">
        <v>20</v>
      </c>
      <c r="F9442">
        <v>104160420</v>
      </c>
      <c r="G9442">
        <v>104160420</v>
      </c>
      <c r="H9442">
        <v>104160420</v>
      </c>
      <c r="I9442">
        <v>104160420</v>
      </c>
    </row>
    <row r="9443" spans="1:9" x14ac:dyDescent="0.2">
      <c r="A9443" t="str">
        <f>"Gm8764"</f>
        <v>Gm8764</v>
      </c>
      <c r="B9443" t="s">
        <v>3992</v>
      </c>
      <c r="C9443" t="s">
        <v>15</v>
      </c>
      <c r="D9443" t="s">
        <v>17</v>
      </c>
      <c r="E9443" t="s">
        <v>20</v>
      </c>
      <c r="F9443">
        <v>104160005</v>
      </c>
      <c r="G9443">
        <v>104160005</v>
      </c>
      <c r="H9443">
        <v>104160005</v>
      </c>
      <c r="I9443">
        <v>104160005</v>
      </c>
    </row>
    <row r="9444" spans="1:9" x14ac:dyDescent="0.2">
      <c r="A9444" t="str">
        <f>"Gm8765"</f>
        <v>Gm8765</v>
      </c>
      <c r="B9444" t="s">
        <v>3993</v>
      </c>
      <c r="C9444" t="s">
        <v>39</v>
      </c>
      <c r="D9444" t="s">
        <v>17</v>
      </c>
      <c r="E9444" t="s">
        <v>20</v>
      </c>
      <c r="F9444">
        <v>50698328</v>
      </c>
      <c r="G9444">
        <v>50698328</v>
      </c>
      <c r="H9444">
        <v>50698328</v>
      </c>
      <c r="I9444">
        <v>50698328</v>
      </c>
    </row>
    <row r="9445" spans="1:9" x14ac:dyDescent="0.2">
      <c r="A9445" t="str">
        <f>"Gm8773"</f>
        <v>Gm8773</v>
      </c>
      <c r="B9445" t="s">
        <v>14</v>
      </c>
      <c r="C9445" t="s">
        <v>46</v>
      </c>
      <c r="D9445" t="s">
        <v>17</v>
      </c>
      <c r="E9445" t="s">
        <v>67</v>
      </c>
      <c r="F9445">
        <v>5573994</v>
      </c>
      <c r="G9445">
        <v>5574013</v>
      </c>
      <c r="H9445">
        <v>5573980</v>
      </c>
      <c r="I9445">
        <v>5573991</v>
      </c>
    </row>
    <row r="9446" spans="1:9" x14ac:dyDescent="0.2">
      <c r="A9446" t="str">
        <f>"Gm8775"</f>
        <v>Gm8775</v>
      </c>
      <c r="B9446" t="s">
        <v>14</v>
      </c>
      <c r="C9446" t="s">
        <v>22</v>
      </c>
      <c r="D9446" t="s">
        <v>17</v>
      </c>
      <c r="E9446" t="s">
        <v>67</v>
      </c>
      <c r="F9446">
        <v>4211507</v>
      </c>
      <c r="G9446">
        <v>4211517</v>
      </c>
      <c r="H9446">
        <v>4211507</v>
      </c>
      <c r="I9446">
        <v>4211517</v>
      </c>
    </row>
    <row r="9447" spans="1:9" x14ac:dyDescent="0.2">
      <c r="A9447" t="str">
        <f>"Gm8787"</f>
        <v>Gm8787</v>
      </c>
      <c r="B9447" t="s">
        <v>3994</v>
      </c>
      <c r="C9447" t="s">
        <v>37</v>
      </c>
      <c r="D9447" t="s">
        <v>11</v>
      </c>
      <c r="E9447" t="s">
        <v>20</v>
      </c>
      <c r="F9447">
        <v>79358067</v>
      </c>
      <c r="G9447">
        <v>79358067</v>
      </c>
      <c r="H9447">
        <v>79358067</v>
      </c>
      <c r="I9447">
        <v>79358067</v>
      </c>
    </row>
    <row r="9448" spans="1:9" x14ac:dyDescent="0.2">
      <c r="A9448" t="str">
        <f>"Gm884"</f>
        <v>Gm884</v>
      </c>
      <c r="B9448" t="s">
        <v>14</v>
      </c>
      <c r="C9448" t="s">
        <v>27</v>
      </c>
      <c r="D9448" t="s">
        <v>11</v>
      </c>
      <c r="E9448" t="s">
        <v>12</v>
      </c>
      <c r="F9448">
        <v>103621422</v>
      </c>
      <c r="G9448">
        <v>103621442</v>
      </c>
      <c r="H9448">
        <v>103621422</v>
      </c>
      <c r="I9448">
        <v>103621442</v>
      </c>
    </row>
    <row r="9449" spans="1:9" x14ac:dyDescent="0.2">
      <c r="A9449" t="str">
        <f>"Gm8857"</f>
        <v>Gm8857</v>
      </c>
      <c r="B9449" t="s">
        <v>3995</v>
      </c>
      <c r="C9449" t="s">
        <v>46</v>
      </c>
      <c r="D9449" t="s">
        <v>17</v>
      </c>
      <c r="E9449" t="s">
        <v>20</v>
      </c>
      <c r="F9449">
        <v>10947729</v>
      </c>
      <c r="G9449">
        <v>10947729</v>
      </c>
      <c r="H9449">
        <v>10947729</v>
      </c>
      <c r="I9449">
        <v>10947729</v>
      </c>
    </row>
    <row r="9450" spans="1:9" x14ac:dyDescent="0.2">
      <c r="A9450" t="str">
        <f>"Gm8871"</f>
        <v>Gm8871</v>
      </c>
      <c r="B9450" t="s">
        <v>3996</v>
      </c>
      <c r="C9450" t="s">
        <v>46</v>
      </c>
      <c r="D9450" t="s">
        <v>17</v>
      </c>
      <c r="E9450" t="s">
        <v>20</v>
      </c>
      <c r="F9450">
        <v>11040114</v>
      </c>
      <c r="G9450">
        <v>11040114</v>
      </c>
      <c r="H9450">
        <v>11040114</v>
      </c>
      <c r="I9450">
        <v>11040114</v>
      </c>
    </row>
    <row r="9451" spans="1:9" x14ac:dyDescent="0.2">
      <c r="A9451" t="str">
        <f>"Gm8871"</f>
        <v>Gm8871</v>
      </c>
      <c r="B9451" t="s">
        <v>3997</v>
      </c>
      <c r="C9451" t="s">
        <v>46</v>
      </c>
      <c r="D9451" t="s">
        <v>17</v>
      </c>
      <c r="E9451" t="s">
        <v>20</v>
      </c>
      <c r="F9451">
        <v>10947804</v>
      </c>
      <c r="G9451">
        <v>10947804</v>
      </c>
      <c r="H9451">
        <v>10947804</v>
      </c>
      <c r="I9451">
        <v>10947804</v>
      </c>
    </row>
    <row r="9452" spans="1:9" x14ac:dyDescent="0.2">
      <c r="A9452" t="str">
        <f>"Gm8879"</f>
        <v>Gm8879</v>
      </c>
      <c r="B9452" t="s">
        <v>3998</v>
      </c>
      <c r="C9452" t="s">
        <v>46</v>
      </c>
      <c r="D9452" t="s">
        <v>17</v>
      </c>
      <c r="E9452" t="s">
        <v>20</v>
      </c>
      <c r="F9452">
        <v>11127633</v>
      </c>
      <c r="G9452">
        <v>11127633</v>
      </c>
      <c r="H9452">
        <v>11127633</v>
      </c>
      <c r="I9452">
        <v>11127633</v>
      </c>
    </row>
    <row r="9453" spans="1:9" x14ac:dyDescent="0.2">
      <c r="A9453" t="str">
        <f>"Gm8882"</f>
        <v>Gm8882</v>
      </c>
      <c r="B9453" t="s">
        <v>14</v>
      </c>
      <c r="C9453" t="s">
        <v>32</v>
      </c>
      <c r="D9453" t="s">
        <v>11</v>
      </c>
      <c r="E9453" t="s">
        <v>12</v>
      </c>
      <c r="F9453">
        <v>132364129</v>
      </c>
      <c r="G9453">
        <v>132364135</v>
      </c>
      <c r="H9453">
        <v>132364129</v>
      </c>
      <c r="I9453">
        <v>132364135</v>
      </c>
    </row>
    <row r="9454" spans="1:9" x14ac:dyDescent="0.2">
      <c r="A9454" t="str">
        <f>"Gm8888"</f>
        <v>Gm8888</v>
      </c>
      <c r="B9454" t="s">
        <v>3999</v>
      </c>
      <c r="C9454" t="s">
        <v>25</v>
      </c>
      <c r="D9454" t="s">
        <v>11</v>
      </c>
      <c r="E9454" t="s">
        <v>20</v>
      </c>
      <c r="F9454">
        <v>96767140</v>
      </c>
      <c r="G9454">
        <v>96767140</v>
      </c>
      <c r="H9454">
        <v>96767140</v>
      </c>
      <c r="I9454">
        <v>96767140</v>
      </c>
    </row>
    <row r="9455" spans="1:9" x14ac:dyDescent="0.2">
      <c r="A9455" t="str">
        <f>"Gm8890"</f>
        <v>Gm8890</v>
      </c>
      <c r="B9455" t="s">
        <v>4000</v>
      </c>
      <c r="C9455" t="s">
        <v>46</v>
      </c>
      <c r="D9455" t="s">
        <v>17</v>
      </c>
      <c r="E9455" t="s">
        <v>20</v>
      </c>
      <c r="F9455">
        <v>11255932</v>
      </c>
      <c r="G9455">
        <v>11255932</v>
      </c>
      <c r="H9455">
        <v>11255932</v>
      </c>
      <c r="I9455">
        <v>11255932</v>
      </c>
    </row>
    <row r="9456" spans="1:9" x14ac:dyDescent="0.2">
      <c r="A9456" t="str">
        <f>"Gm8897"</f>
        <v>Gm8897</v>
      </c>
      <c r="B9456" t="s">
        <v>4001</v>
      </c>
      <c r="C9456" t="s">
        <v>46</v>
      </c>
      <c r="D9456" t="s">
        <v>17</v>
      </c>
      <c r="E9456" t="s">
        <v>20</v>
      </c>
      <c r="F9456">
        <v>11416417</v>
      </c>
      <c r="G9456">
        <v>11416417</v>
      </c>
      <c r="H9456">
        <v>11416417</v>
      </c>
      <c r="I9456">
        <v>11416417</v>
      </c>
    </row>
    <row r="9457" spans="1:9" x14ac:dyDescent="0.2">
      <c r="A9457" t="str">
        <f>"Gm8897"</f>
        <v>Gm8897</v>
      </c>
      <c r="B9457" t="s">
        <v>4002</v>
      </c>
      <c r="C9457" t="s">
        <v>46</v>
      </c>
      <c r="D9457" t="s">
        <v>17</v>
      </c>
      <c r="E9457" t="s">
        <v>20</v>
      </c>
      <c r="F9457">
        <v>11417625</v>
      </c>
      <c r="G9457">
        <v>11417625</v>
      </c>
      <c r="H9457">
        <v>11417625</v>
      </c>
      <c r="I9457">
        <v>11417625</v>
      </c>
    </row>
    <row r="9458" spans="1:9" x14ac:dyDescent="0.2">
      <c r="A9458" t="str">
        <f>"Gm8898"</f>
        <v>Gm8898</v>
      </c>
      <c r="B9458" t="s">
        <v>4003</v>
      </c>
      <c r="C9458" t="s">
        <v>26</v>
      </c>
      <c r="D9458" t="s">
        <v>11</v>
      </c>
      <c r="E9458" t="s">
        <v>20</v>
      </c>
      <c r="F9458">
        <v>175931050</v>
      </c>
      <c r="G9458">
        <v>175931050</v>
      </c>
      <c r="H9458">
        <v>175931050</v>
      </c>
      <c r="I9458">
        <v>175931050</v>
      </c>
    </row>
    <row r="9459" spans="1:9" x14ac:dyDescent="0.2">
      <c r="A9459" t="str">
        <f>"Gm8906"</f>
        <v>Gm8906</v>
      </c>
      <c r="B9459" t="s">
        <v>4004</v>
      </c>
      <c r="C9459" t="s">
        <v>46</v>
      </c>
      <c r="D9459" t="s">
        <v>17</v>
      </c>
      <c r="E9459" t="s">
        <v>20</v>
      </c>
      <c r="F9459">
        <v>11502684</v>
      </c>
      <c r="G9459">
        <v>11502684</v>
      </c>
      <c r="H9459">
        <v>11502684</v>
      </c>
      <c r="I9459">
        <v>11502684</v>
      </c>
    </row>
    <row r="9460" spans="1:9" x14ac:dyDescent="0.2">
      <c r="A9460" t="str">
        <f>"Gm8906"</f>
        <v>Gm8906</v>
      </c>
      <c r="B9460" t="s">
        <v>4005</v>
      </c>
      <c r="C9460" t="s">
        <v>46</v>
      </c>
      <c r="D9460" t="s">
        <v>17</v>
      </c>
      <c r="E9460" t="s">
        <v>20</v>
      </c>
      <c r="F9460">
        <v>11503812</v>
      </c>
      <c r="G9460">
        <v>11503812</v>
      </c>
      <c r="H9460">
        <v>11503812</v>
      </c>
      <c r="I9460">
        <v>11503812</v>
      </c>
    </row>
    <row r="9461" spans="1:9" x14ac:dyDescent="0.2">
      <c r="A9461" t="str">
        <f>"Gm8909"</f>
        <v>Gm8909</v>
      </c>
      <c r="B9461" t="s">
        <v>14</v>
      </c>
      <c r="C9461" t="s">
        <v>28</v>
      </c>
      <c r="D9461" t="s">
        <v>11</v>
      </c>
      <c r="E9461" t="s">
        <v>12</v>
      </c>
      <c r="F9461">
        <v>36168532</v>
      </c>
      <c r="G9461">
        <v>36168546</v>
      </c>
      <c r="H9461">
        <v>36168513</v>
      </c>
      <c r="I9461">
        <v>36168528</v>
      </c>
    </row>
    <row r="9462" spans="1:9" x14ac:dyDescent="0.2">
      <c r="A9462" t="str">
        <f>"Gm8914"</f>
        <v>Gm8914</v>
      </c>
      <c r="B9462" t="s">
        <v>4006</v>
      </c>
      <c r="C9462" t="s">
        <v>37</v>
      </c>
      <c r="D9462" t="s">
        <v>17</v>
      </c>
      <c r="E9462" t="s">
        <v>20</v>
      </c>
      <c r="F9462">
        <v>91480125</v>
      </c>
      <c r="G9462">
        <v>91480125</v>
      </c>
      <c r="H9462">
        <v>91480125</v>
      </c>
      <c r="I9462">
        <v>91480125</v>
      </c>
    </row>
    <row r="9463" spans="1:9" x14ac:dyDescent="0.2">
      <c r="A9463" t="str">
        <f>"Gm8922"</f>
        <v>Gm8922</v>
      </c>
      <c r="B9463" t="s">
        <v>4007</v>
      </c>
      <c r="C9463" t="s">
        <v>46</v>
      </c>
      <c r="D9463" t="s">
        <v>17</v>
      </c>
      <c r="E9463" t="s">
        <v>20</v>
      </c>
      <c r="F9463">
        <v>11682001</v>
      </c>
      <c r="G9463">
        <v>11682001</v>
      </c>
      <c r="H9463">
        <v>11682001</v>
      </c>
      <c r="I9463">
        <v>11682001</v>
      </c>
    </row>
    <row r="9464" spans="1:9" x14ac:dyDescent="0.2">
      <c r="A9464" t="str">
        <f>"Gm8922"</f>
        <v>Gm8922</v>
      </c>
      <c r="B9464" t="s">
        <v>4008</v>
      </c>
      <c r="C9464" t="s">
        <v>46</v>
      </c>
      <c r="D9464" t="s">
        <v>17</v>
      </c>
      <c r="E9464" t="s">
        <v>20</v>
      </c>
      <c r="F9464">
        <v>11683235</v>
      </c>
      <c r="G9464">
        <v>11683235</v>
      </c>
      <c r="H9464">
        <v>11683235</v>
      </c>
      <c r="I9464">
        <v>11683235</v>
      </c>
    </row>
    <row r="9465" spans="1:9" x14ac:dyDescent="0.2">
      <c r="A9465" t="str">
        <f>"Gm8923"</f>
        <v>Gm8923</v>
      </c>
      <c r="B9465" t="s">
        <v>4009</v>
      </c>
      <c r="C9465" t="s">
        <v>26</v>
      </c>
      <c r="D9465" t="s">
        <v>17</v>
      </c>
      <c r="E9465" t="s">
        <v>20</v>
      </c>
      <c r="F9465">
        <v>175470062</v>
      </c>
      <c r="G9465">
        <v>175470062</v>
      </c>
      <c r="H9465">
        <v>175470062</v>
      </c>
      <c r="I9465">
        <v>175470062</v>
      </c>
    </row>
    <row r="9466" spans="1:9" x14ac:dyDescent="0.2">
      <c r="A9466" t="str">
        <f>"Gm8926"</f>
        <v>Gm8926</v>
      </c>
      <c r="B9466" t="s">
        <v>4010</v>
      </c>
      <c r="C9466" t="s">
        <v>46</v>
      </c>
      <c r="D9466" t="s">
        <v>17</v>
      </c>
      <c r="E9466" t="s">
        <v>20</v>
      </c>
      <c r="F9466">
        <v>11770547</v>
      </c>
      <c r="G9466">
        <v>11770547</v>
      </c>
      <c r="H9466">
        <v>11770547</v>
      </c>
      <c r="I9466">
        <v>11770547</v>
      </c>
    </row>
    <row r="9467" spans="1:9" x14ac:dyDescent="0.2">
      <c r="A9467" t="str">
        <f>"Gm8926"</f>
        <v>Gm8926</v>
      </c>
      <c r="B9467" t="s">
        <v>4011</v>
      </c>
      <c r="C9467" t="s">
        <v>46</v>
      </c>
      <c r="D9467" t="s">
        <v>17</v>
      </c>
      <c r="E9467" t="s">
        <v>20</v>
      </c>
      <c r="F9467">
        <v>11771685</v>
      </c>
      <c r="G9467">
        <v>11771685</v>
      </c>
      <c r="H9467">
        <v>11771685</v>
      </c>
      <c r="I9467">
        <v>11771685</v>
      </c>
    </row>
    <row r="9468" spans="1:9" x14ac:dyDescent="0.2">
      <c r="A9468" t="str">
        <f>"Gm8973"</f>
        <v>Gm8973</v>
      </c>
      <c r="B9468" t="s">
        <v>4012</v>
      </c>
      <c r="C9468" t="s">
        <v>25</v>
      </c>
      <c r="D9468" t="s">
        <v>17</v>
      </c>
      <c r="E9468" t="s">
        <v>20</v>
      </c>
      <c r="F9468">
        <v>99006055</v>
      </c>
      <c r="G9468">
        <v>99006055</v>
      </c>
      <c r="H9468">
        <v>99006055</v>
      </c>
      <c r="I9468">
        <v>99006055</v>
      </c>
    </row>
    <row r="9469" spans="1:9" x14ac:dyDescent="0.2">
      <c r="A9469" t="str">
        <f>"Gm8975"</f>
        <v>Gm8975</v>
      </c>
      <c r="B9469" t="s">
        <v>4013</v>
      </c>
      <c r="C9469" t="s">
        <v>10</v>
      </c>
      <c r="D9469" t="s">
        <v>11</v>
      </c>
      <c r="E9469" t="s">
        <v>20</v>
      </c>
      <c r="F9469">
        <v>33473190</v>
      </c>
      <c r="G9469">
        <v>33473190</v>
      </c>
      <c r="H9469">
        <v>33473190</v>
      </c>
      <c r="I9469">
        <v>33473190</v>
      </c>
    </row>
    <row r="9470" spans="1:9" x14ac:dyDescent="0.2">
      <c r="A9470" t="str">
        <f>"Gm8991"</f>
        <v>Gm8991</v>
      </c>
      <c r="B9470" t="s">
        <v>14</v>
      </c>
      <c r="C9470" t="s">
        <v>46</v>
      </c>
      <c r="D9470" t="s">
        <v>11</v>
      </c>
      <c r="E9470" t="s">
        <v>67</v>
      </c>
      <c r="F9470">
        <v>16731097</v>
      </c>
      <c r="G9470">
        <v>16731114</v>
      </c>
      <c r="H9470">
        <v>16731097</v>
      </c>
      <c r="I9470">
        <v>16731114</v>
      </c>
    </row>
    <row r="9471" spans="1:9" x14ac:dyDescent="0.2">
      <c r="A9471" t="str">
        <f>"Gm8994"</f>
        <v>Gm8994</v>
      </c>
      <c r="B9471" t="s">
        <v>14</v>
      </c>
      <c r="C9471" t="s">
        <v>32</v>
      </c>
      <c r="D9471" t="s">
        <v>17</v>
      </c>
      <c r="E9471" t="s">
        <v>12</v>
      </c>
      <c r="F9471">
        <v>136328517</v>
      </c>
      <c r="G9471">
        <v>136328527</v>
      </c>
      <c r="H9471">
        <v>136328517</v>
      </c>
      <c r="I9471">
        <v>136328527</v>
      </c>
    </row>
    <row r="9472" spans="1:9" x14ac:dyDescent="0.2">
      <c r="A9472" t="str">
        <f>"Gm9"</f>
        <v>Gm9</v>
      </c>
      <c r="B9472" t="s">
        <v>14</v>
      </c>
      <c r="C9472" t="s">
        <v>37</v>
      </c>
      <c r="D9472" t="s">
        <v>11</v>
      </c>
      <c r="E9472" t="s">
        <v>12</v>
      </c>
      <c r="F9472">
        <v>37210998</v>
      </c>
      <c r="G9472">
        <v>37211010</v>
      </c>
      <c r="H9472">
        <v>37211019</v>
      </c>
      <c r="I9472">
        <v>37211024</v>
      </c>
    </row>
    <row r="9473" spans="1:9" x14ac:dyDescent="0.2">
      <c r="A9473" t="str">
        <f>"Gm9008"</f>
        <v>Gm9008</v>
      </c>
      <c r="B9473" t="s">
        <v>14</v>
      </c>
      <c r="C9473" t="s">
        <v>32</v>
      </c>
      <c r="D9473" t="s">
        <v>11</v>
      </c>
      <c r="E9473" t="s">
        <v>67</v>
      </c>
      <c r="F9473">
        <v>76498095</v>
      </c>
      <c r="G9473">
        <v>76498112</v>
      </c>
      <c r="H9473">
        <v>76498095</v>
      </c>
      <c r="I9473">
        <v>76498112</v>
      </c>
    </row>
    <row r="9474" spans="1:9" x14ac:dyDescent="0.2">
      <c r="A9474" t="str">
        <f>"Gm904"</f>
        <v>Gm904</v>
      </c>
      <c r="B9474" t="s">
        <v>4014</v>
      </c>
      <c r="C9474" t="s">
        <v>39</v>
      </c>
      <c r="D9474" t="s">
        <v>17</v>
      </c>
      <c r="E9474" t="s">
        <v>20</v>
      </c>
      <c r="F9474">
        <v>50643227</v>
      </c>
      <c r="G9474">
        <v>50643227</v>
      </c>
      <c r="H9474">
        <v>50643227</v>
      </c>
      <c r="I9474">
        <v>50643227</v>
      </c>
    </row>
    <row r="9475" spans="1:9" x14ac:dyDescent="0.2">
      <c r="A9475" t="str">
        <f>"Gm9041"</f>
        <v>Gm9041</v>
      </c>
      <c r="B9475" t="s">
        <v>4015</v>
      </c>
      <c r="C9475" t="s">
        <v>28</v>
      </c>
      <c r="D9475" t="s">
        <v>17</v>
      </c>
      <c r="E9475" t="s">
        <v>20</v>
      </c>
      <c r="F9475">
        <v>39640956</v>
      </c>
      <c r="G9475">
        <v>39640956</v>
      </c>
      <c r="H9475">
        <v>39640956</v>
      </c>
      <c r="I9475">
        <v>39640956</v>
      </c>
    </row>
    <row r="9476" spans="1:9" x14ac:dyDescent="0.2">
      <c r="A9476" t="str">
        <f>"Gm9047"</f>
        <v>Gm9047</v>
      </c>
      <c r="B9476" t="s">
        <v>14</v>
      </c>
      <c r="C9476" t="s">
        <v>32</v>
      </c>
      <c r="D9476" t="s">
        <v>17</v>
      </c>
      <c r="E9476" t="s">
        <v>12</v>
      </c>
      <c r="F9476">
        <v>29471457</v>
      </c>
      <c r="G9476">
        <v>29471497</v>
      </c>
      <c r="H9476">
        <v>29471499</v>
      </c>
      <c r="I9476">
        <v>29471518</v>
      </c>
    </row>
    <row r="9477" spans="1:9" x14ac:dyDescent="0.2">
      <c r="A9477" t="str">
        <f>"Gm906"</f>
        <v>Gm906</v>
      </c>
      <c r="B9477" t="s">
        <v>4016</v>
      </c>
      <c r="C9477" t="s">
        <v>39</v>
      </c>
      <c r="D9477" t="s">
        <v>11</v>
      </c>
      <c r="E9477" t="s">
        <v>20</v>
      </c>
      <c r="F9477">
        <v>50250307</v>
      </c>
      <c r="G9477">
        <v>50250307</v>
      </c>
      <c r="H9477">
        <v>50250307</v>
      </c>
      <c r="I9477">
        <v>50250307</v>
      </c>
    </row>
    <row r="9478" spans="1:9" x14ac:dyDescent="0.2">
      <c r="A9478" t="str">
        <f>"Gm9112"</f>
        <v>Gm9112</v>
      </c>
      <c r="B9478" t="s">
        <v>4017</v>
      </c>
      <c r="C9478" t="s">
        <v>37</v>
      </c>
      <c r="D9478" t="s">
        <v>11</v>
      </c>
      <c r="E9478" t="s">
        <v>20</v>
      </c>
      <c r="F9478">
        <v>102707634</v>
      </c>
      <c r="G9478">
        <v>102707634</v>
      </c>
      <c r="H9478">
        <v>102707634</v>
      </c>
      <c r="I9478">
        <v>102707634</v>
      </c>
    </row>
    <row r="9479" spans="1:9" x14ac:dyDescent="0.2">
      <c r="A9479" t="str">
        <f>"Gm9116"</f>
        <v>Gm9116</v>
      </c>
      <c r="B9479" t="s">
        <v>4018</v>
      </c>
      <c r="C9479" t="s">
        <v>22</v>
      </c>
      <c r="D9479" t="s">
        <v>17</v>
      </c>
      <c r="E9479" t="s">
        <v>20</v>
      </c>
      <c r="F9479">
        <v>93909823</v>
      </c>
      <c r="G9479">
        <v>93909823</v>
      </c>
      <c r="H9479">
        <v>93909823</v>
      </c>
      <c r="I9479">
        <v>93909823</v>
      </c>
    </row>
    <row r="9480" spans="1:9" x14ac:dyDescent="0.2">
      <c r="A9480" t="str">
        <f>"Gm9117"</f>
        <v>Gm9117</v>
      </c>
      <c r="B9480" t="s">
        <v>4019</v>
      </c>
      <c r="C9480" t="s">
        <v>22</v>
      </c>
      <c r="D9480" t="s">
        <v>11</v>
      </c>
      <c r="E9480" t="s">
        <v>20</v>
      </c>
      <c r="F9480">
        <v>93938770</v>
      </c>
      <c r="G9480">
        <v>93938770</v>
      </c>
      <c r="H9480">
        <v>93938770</v>
      </c>
      <c r="I9480">
        <v>93938770</v>
      </c>
    </row>
    <row r="9481" spans="1:9" x14ac:dyDescent="0.2">
      <c r="A9481" t="str">
        <f>"Gm9125"</f>
        <v>Gm9125</v>
      </c>
      <c r="B9481" t="s">
        <v>4020</v>
      </c>
      <c r="C9481" t="s">
        <v>22</v>
      </c>
      <c r="D9481" t="s">
        <v>11</v>
      </c>
      <c r="E9481" t="s">
        <v>20</v>
      </c>
      <c r="F9481">
        <v>94050212</v>
      </c>
      <c r="G9481">
        <v>94050212</v>
      </c>
      <c r="H9481">
        <v>94050212</v>
      </c>
      <c r="I9481">
        <v>94050212</v>
      </c>
    </row>
    <row r="9482" spans="1:9" x14ac:dyDescent="0.2">
      <c r="A9482" t="str">
        <f>"Gm9125"</f>
        <v>Gm9125</v>
      </c>
      <c r="B9482" t="s">
        <v>4021</v>
      </c>
      <c r="C9482" t="s">
        <v>22</v>
      </c>
      <c r="D9482" t="s">
        <v>11</v>
      </c>
      <c r="E9482" t="s">
        <v>20</v>
      </c>
      <c r="F9482">
        <v>94054884</v>
      </c>
      <c r="G9482">
        <v>94054884</v>
      </c>
      <c r="H9482">
        <v>94054884</v>
      </c>
      <c r="I9482">
        <v>94054884</v>
      </c>
    </row>
    <row r="9483" spans="1:9" x14ac:dyDescent="0.2">
      <c r="A9483" t="str">
        <f>"Gm9242"</f>
        <v>Gm9242</v>
      </c>
      <c r="B9483" t="s">
        <v>14</v>
      </c>
      <c r="C9483" t="s">
        <v>31</v>
      </c>
      <c r="D9483" t="s">
        <v>17</v>
      </c>
      <c r="E9483" t="s">
        <v>67</v>
      </c>
      <c r="F9483">
        <v>97489994</v>
      </c>
      <c r="G9483">
        <v>97489998</v>
      </c>
      <c r="H9483">
        <v>97489994</v>
      </c>
      <c r="I9483">
        <v>97489998</v>
      </c>
    </row>
    <row r="9484" spans="1:9" x14ac:dyDescent="0.2">
      <c r="A9484" t="str">
        <f>"Gm9257"</f>
        <v>Gm9257</v>
      </c>
      <c r="B9484" t="s">
        <v>14</v>
      </c>
      <c r="C9484" t="s">
        <v>16</v>
      </c>
      <c r="D9484" t="s">
        <v>17</v>
      </c>
      <c r="E9484" t="s">
        <v>67</v>
      </c>
      <c r="F9484">
        <v>19606668</v>
      </c>
      <c r="G9484">
        <v>19606690</v>
      </c>
      <c r="H9484">
        <v>19606668</v>
      </c>
      <c r="I9484">
        <v>19606690</v>
      </c>
    </row>
    <row r="9485" spans="1:9" x14ac:dyDescent="0.2">
      <c r="A9485" t="str">
        <f>"Gm9268"</f>
        <v>Gm9268</v>
      </c>
      <c r="B9485" t="s">
        <v>4022</v>
      </c>
      <c r="C9485" t="s">
        <v>33</v>
      </c>
      <c r="D9485" t="s">
        <v>17</v>
      </c>
      <c r="E9485" t="s">
        <v>20</v>
      </c>
      <c r="F9485">
        <v>43018797</v>
      </c>
      <c r="G9485">
        <v>43018797</v>
      </c>
      <c r="H9485">
        <v>43018797</v>
      </c>
      <c r="I9485">
        <v>43018797</v>
      </c>
    </row>
    <row r="9486" spans="1:9" x14ac:dyDescent="0.2">
      <c r="A9486" t="str">
        <f>"Gm9312"</f>
        <v>Gm9312</v>
      </c>
      <c r="B9486" t="s">
        <v>14</v>
      </c>
      <c r="C9486" t="s">
        <v>16</v>
      </c>
      <c r="D9486" t="s">
        <v>11</v>
      </c>
      <c r="E9486" t="s">
        <v>67</v>
      </c>
      <c r="F9486">
        <v>24252419</v>
      </c>
      <c r="G9486">
        <v>24252440</v>
      </c>
      <c r="H9486">
        <v>24252260</v>
      </c>
      <c r="I9486">
        <v>24252261</v>
      </c>
    </row>
    <row r="9487" spans="1:9" x14ac:dyDescent="0.2">
      <c r="A9487" t="str">
        <f>"Gm933"</f>
        <v>Gm933</v>
      </c>
      <c r="B9487" t="s">
        <v>4023</v>
      </c>
      <c r="C9487" t="s">
        <v>31</v>
      </c>
      <c r="D9487" t="s">
        <v>11</v>
      </c>
      <c r="E9487" t="s">
        <v>20</v>
      </c>
      <c r="F9487">
        <v>32810476</v>
      </c>
      <c r="G9487">
        <v>32810476</v>
      </c>
      <c r="H9487">
        <v>32810476</v>
      </c>
      <c r="I9487">
        <v>32810476</v>
      </c>
    </row>
    <row r="9488" spans="1:9" x14ac:dyDescent="0.2">
      <c r="A9488" t="str">
        <f>"Gm9376"</f>
        <v>Gm9376</v>
      </c>
      <c r="B9488" t="s">
        <v>4024</v>
      </c>
      <c r="C9488" t="s">
        <v>41</v>
      </c>
      <c r="D9488" t="s">
        <v>17</v>
      </c>
      <c r="E9488" t="s">
        <v>20</v>
      </c>
      <c r="F9488">
        <v>118267157</v>
      </c>
      <c r="G9488">
        <v>118267157</v>
      </c>
      <c r="H9488">
        <v>118267157</v>
      </c>
      <c r="I9488">
        <v>118267157</v>
      </c>
    </row>
    <row r="9489" spans="1:9" x14ac:dyDescent="0.2">
      <c r="A9489" t="str">
        <f>"Gm9396"</f>
        <v>Gm9396</v>
      </c>
      <c r="B9489" t="s">
        <v>14</v>
      </c>
      <c r="C9489" t="s">
        <v>22</v>
      </c>
      <c r="D9489" t="s">
        <v>17</v>
      </c>
      <c r="E9489" t="s">
        <v>67</v>
      </c>
      <c r="F9489">
        <v>130068390</v>
      </c>
      <c r="G9489">
        <v>130068391</v>
      </c>
      <c r="H9489">
        <v>130068390</v>
      </c>
      <c r="I9489">
        <v>130068391</v>
      </c>
    </row>
    <row r="9490" spans="1:9" x14ac:dyDescent="0.2">
      <c r="A9490" t="str">
        <f>"Gm94"</f>
        <v>Gm94</v>
      </c>
      <c r="B9490" t="s">
        <v>14</v>
      </c>
      <c r="C9490" t="s">
        <v>43</v>
      </c>
      <c r="D9490" t="s">
        <v>11</v>
      </c>
      <c r="E9490" t="s">
        <v>12</v>
      </c>
      <c r="F9490">
        <v>43792873</v>
      </c>
      <c r="G9490">
        <v>43792881</v>
      </c>
      <c r="H9490">
        <v>43792873</v>
      </c>
      <c r="I9490">
        <v>43792881</v>
      </c>
    </row>
    <row r="9491" spans="1:9" x14ac:dyDescent="0.2">
      <c r="A9491" t="str">
        <f>"Gm9476"</f>
        <v>Gm9476</v>
      </c>
      <c r="B9491" t="s">
        <v>4025</v>
      </c>
      <c r="C9491" t="s">
        <v>15</v>
      </c>
      <c r="D9491" t="s">
        <v>11</v>
      </c>
      <c r="E9491" t="s">
        <v>20</v>
      </c>
      <c r="F9491">
        <v>100307184</v>
      </c>
      <c r="G9491">
        <v>100307184</v>
      </c>
      <c r="H9491">
        <v>100307184</v>
      </c>
      <c r="I9491">
        <v>100307184</v>
      </c>
    </row>
    <row r="9492" spans="1:9" x14ac:dyDescent="0.2">
      <c r="A9492" t="str">
        <f>"Gm9493"</f>
        <v>Gm9493</v>
      </c>
      <c r="B9492" t="s">
        <v>14</v>
      </c>
      <c r="C9492" t="s">
        <v>10</v>
      </c>
      <c r="D9492" t="s">
        <v>17</v>
      </c>
      <c r="E9492" t="s">
        <v>67</v>
      </c>
      <c r="F9492">
        <v>23619325</v>
      </c>
      <c r="G9492">
        <v>23619327</v>
      </c>
      <c r="H9492">
        <v>23619325</v>
      </c>
      <c r="I9492">
        <v>23619327</v>
      </c>
    </row>
    <row r="9493" spans="1:9" x14ac:dyDescent="0.2">
      <c r="A9493" t="str">
        <f>"Gm9507"</f>
        <v>Gm9507</v>
      </c>
      <c r="B9493" t="s">
        <v>14</v>
      </c>
      <c r="C9493" t="s">
        <v>15</v>
      </c>
      <c r="D9493" t="s">
        <v>11</v>
      </c>
      <c r="E9493" t="s">
        <v>12</v>
      </c>
      <c r="F9493">
        <v>77811884</v>
      </c>
      <c r="G9493">
        <v>77811890</v>
      </c>
      <c r="H9493">
        <v>77811884</v>
      </c>
      <c r="I9493">
        <v>77811890</v>
      </c>
    </row>
    <row r="9494" spans="1:9" x14ac:dyDescent="0.2">
      <c r="A9494" t="str">
        <f>"Gm9513"</f>
        <v>Gm9513</v>
      </c>
      <c r="B9494" t="s">
        <v>14</v>
      </c>
      <c r="C9494" t="s">
        <v>24</v>
      </c>
      <c r="D9494" t="s">
        <v>17</v>
      </c>
      <c r="E9494" t="s">
        <v>12</v>
      </c>
      <c r="F9494">
        <v>36475580</v>
      </c>
      <c r="G9494">
        <v>36475585</v>
      </c>
      <c r="H9494">
        <v>36475580</v>
      </c>
      <c r="I9494">
        <v>36475585</v>
      </c>
    </row>
    <row r="9495" spans="1:9" x14ac:dyDescent="0.2">
      <c r="A9495" t="str">
        <f>"Gm9573"</f>
        <v>Gm9573</v>
      </c>
      <c r="B9495" t="s">
        <v>14</v>
      </c>
      <c r="C9495" t="s">
        <v>28</v>
      </c>
      <c r="D9495" t="s">
        <v>11</v>
      </c>
      <c r="E9495" t="s">
        <v>12</v>
      </c>
      <c r="F9495">
        <v>35626634</v>
      </c>
      <c r="G9495">
        <v>35626639</v>
      </c>
      <c r="H9495">
        <v>35626561</v>
      </c>
      <c r="I9495">
        <v>35626582</v>
      </c>
    </row>
    <row r="9496" spans="1:9" x14ac:dyDescent="0.2">
      <c r="A9496" t="str">
        <f>"Gm960"</f>
        <v>Gm960</v>
      </c>
      <c r="B9496" t="s">
        <v>14</v>
      </c>
      <c r="C9496" t="s">
        <v>10</v>
      </c>
      <c r="D9496" t="s">
        <v>11</v>
      </c>
      <c r="E9496" t="s">
        <v>12</v>
      </c>
      <c r="F9496">
        <v>4698323</v>
      </c>
      <c r="G9496">
        <v>4698332</v>
      </c>
      <c r="H9496">
        <v>4698304</v>
      </c>
      <c r="I9496">
        <v>4698311</v>
      </c>
    </row>
    <row r="9497" spans="1:9" x14ac:dyDescent="0.2">
      <c r="A9497" t="str">
        <f>"Gm9602"</f>
        <v>Gm9602</v>
      </c>
      <c r="B9497" t="s">
        <v>4026</v>
      </c>
      <c r="C9497" t="s">
        <v>41</v>
      </c>
      <c r="D9497" t="s">
        <v>17</v>
      </c>
      <c r="E9497" t="s">
        <v>20</v>
      </c>
      <c r="F9497">
        <v>4776374</v>
      </c>
      <c r="G9497">
        <v>4776374</v>
      </c>
      <c r="H9497">
        <v>4776374</v>
      </c>
      <c r="I9497">
        <v>4776374</v>
      </c>
    </row>
    <row r="9498" spans="1:9" x14ac:dyDescent="0.2">
      <c r="A9498" t="str">
        <f>"Gm9603"</f>
        <v>Gm9603</v>
      </c>
      <c r="B9498" t="s">
        <v>4027</v>
      </c>
      <c r="C9498" t="s">
        <v>41</v>
      </c>
      <c r="D9498" t="s">
        <v>11</v>
      </c>
      <c r="E9498" t="s">
        <v>20</v>
      </c>
      <c r="F9498">
        <v>5687456</v>
      </c>
      <c r="G9498">
        <v>5687456</v>
      </c>
      <c r="H9498">
        <v>5687456</v>
      </c>
      <c r="I9498">
        <v>5687456</v>
      </c>
    </row>
    <row r="9499" spans="1:9" x14ac:dyDescent="0.2">
      <c r="A9499" t="str">
        <f>"Gm9611"</f>
        <v>Gm9611</v>
      </c>
      <c r="B9499" t="s">
        <v>4028</v>
      </c>
      <c r="C9499" t="s">
        <v>41</v>
      </c>
      <c r="D9499" t="s">
        <v>11</v>
      </c>
      <c r="E9499" t="s">
        <v>20</v>
      </c>
      <c r="F9499">
        <v>42294778</v>
      </c>
      <c r="G9499">
        <v>42294778</v>
      </c>
      <c r="H9499">
        <v>42294778</v>
      </c>
      <c r="I9499">
        <v>42294778</v>
      </c>
    </row>
    <row r="9500" spans="1:9" x14ac:dyDescent="0.2">
      <c r="A9500" t="str">
        <f>"Gm9637"</f>
        <v>Gm9637</v>
      </c>
      <c r="B9500" t="s">
        <v>4029</v>
      </c>
      <c r="C9500" t="s">
        <v>41</v>
      </c>
      <c r="D9500" t="s">
        <v>11</v>
      </c>
      <c r="E9500" t="s">
        <v>20</v>
      </c>
      <c r="F9500">
        <v>19402598</v>
      </c>
      <c r="G9500">
        <v>19402598</v>
      </c>
      <c r="H9500">
        <v>19402598</v>
      </c>
      <c r="I9500">
        <v>19402598</v>
      </c>
    </row>
    <row r="9501" spans="1:9" x14ac:dyDescent="0.2">
      <c r="A9501" t="str">
        <f>"Gm9696"</f>
        <v>Gm9696</v>
      </c>
      <c r="B9501" t="s">
        <v>14</v>
      </c>
      <c r="C9501" t="s">
        <v>22</v>
      </c>
      <c r="D9501" t="s">
        <v>17</v>
      </c>
      <c r="E9501" t="s">
        <v>12</v>
      </c>
      <c r="F9501">
        <v>59952135</v>
      </c>
      <c r="G9501">
        <v>59952167</v>
      </c>
      <c r="H9501">
        <v>59952135</v>
      </c>
      <c r="I9501">
        <v>59952167</v>
      </c>
    </row>
    <row r="9502" spans="1:9" x14ac:dyDescent="0.2">
      <c r="A9502" t="str">
        <f>"Gm97"</f>
        <v>Gm97</v>
      </c>
      <c r="B9502" t="s">
        <v>14</v>
      </c>
      <c r="C9502" t="s">
        <v>10</v>
      </c>
      <c r="D9502" t="s">
        <v>17</v>
      </c>
      <c r="E9502" t="s">
        <v>12</v>
      </c>
      <c r="F9502">
        <v>11697049</v>
      </c>
      <c r="G9502">
        <v>11697057</v>
      </c>
      <c r="H9502">
        <v>11697049</v>
      </c>
      <c r="I9502">
        <v>11697057</v>
      </c>
    </row>
    <row r="9503" spans="1:9" x14ac:dyDescent="0.2">
      <c r="A9503" t="str">
        <f>"Gm9705"</f>
        <v>Gm9705</v>
      </c>
      <c r="B9503" t="s">
        <v>14</v>
      </c>
      <c r="C9503" t="s">
        <v>28</v>
      </c>
      <c r="D9503" t="s">
        <v>17</v>
      </c>
      <c r="E9503" t="s">
        <v>12</v>
      </c>
      <c r="F9503">
        <v>32621285</v>
      </c>
      <c r="G9503">
        <v>32621320</v>
      </c>
      <c r="H9503">
        <v>32621285</v>
      </c>
      <c r="I9503">
        <v>32621320</v>
      </c>
    </row>
    <row r="9504" spans="1:9" x14ac:dyDescent="0.2">
      <c r="A9504" t="str">
        <f>"Gm9726"</f>
        <v>Gm9726</v>
      </c>
      <c r="B9504" t="s">
        <v>4030</v>
      </c>
      <c r="C9504" t="s">
        <v>16</v>
      </c>
      <c r="D9504" t="s">
        <v>11</v>
      </c>
      <c r="E9504" t="s">
        <v>20</v>
      </c>
      <c r="F9504">
        <v>93929101</v>
      </c>
      <c r="G9504">
        <v>93929101</v>
      </c>
      <c r="H9504">
        <v>93929101</v>
      </c>
      <c r="I9504">
        <v>93929101</v>
      </c>
    </row>
    <row r="9505" spans="1:9" x14ac:dyDescent="0.2">
      <c r="A9505" t="str">
        <f>"Gm973"</f>
        <v>Gm973</v>
      </c>
      <c r="B9505" t="s">
        <v>4031</v>
      </c>
      <c r="C9505" t="s">
        <v>19</v>
      </c>
      <c r="D9505" t="s">
        <v>17</v>
      </c>
      <c r="E9505" t="s">
        <v>20</v>
      </c>
      <c r="F9505">
        <v>59516263</v>
      </c>
      <c r="G9505">
        <v>59516263</v>
      </c>
      <c r="H9505">
        <v>59516263</v>
      </c>
      <c r="I9505">
        <v>59516263</v>
      </c>
    </row>
    <row r="9506" spans="1:9" x14ac:dyDescent="0.2">
      <c r="A9506" t="str">
        <f>"Gm9732"</f>
        <v>Gm9732</v>
      </c>
      <c r="B9506" t="s">
        <v>4032</v>
      </c>
      <c r="C9506" t="s">
        <v>41</v>
      </c>
      <c r="D9506" t="s">
        <v>17</v>
      </c>
      <c r="E9506" t="s">
        <v>20</v>
      </c>
      <c r="F9506">
        <v>43298871</v>
      </c>
      <c r="G9506">
        <v>43298871</v>
      </c>
      <c r="H9506">
        <v>43298871</v>
      </c>
      <c r="I9506">
        <v>43298871</v>
      </c>
    </row>
    <row r="9507" spans="1:9" x14ac:dyDescent="0.2">
      <c r="A9507" t="str">
        <f>"Gm9733"</f>
        <v>Gm9733</v>
      </c>
      <c r="B9507" t="s">
        <v>14</v>
      </c>
      <c r="C9507" t="s">
        <v>22</v>
      </c>
      <c r="D9507" t="s">
        <v>11</v>
      </c>
      <c r="E9507" t="s">
        <v>12</v>
      </c>
      <c r="F9507">
        <v>15332265</v>
      </c>
      <c r="G9507">
        <v>15332282</v>
      </c>
      <c r="H9507">
        <v>15332285</v>
      </c>
      <c r="I9507">
        <v>15332298</v>
      </c>
    </row>
    <row r="9508" spans="1:9" x14ac:dyDescent="0.2">
      <c r="A9508" t="str">
        <f>"Gm9742"</f>
        <v>Gm9742</v>
      </c>
      <c r="B9508" t="s">
        <v>4033</v>
      </c>
      <c r="C9508" t="s">
        <v>39</v>
      </c>
      <c r="D9508" t="s">
        <v>11</v>
      </c>
      <c r="E9508" t="s">
        <v>20</v>
      </c>
      <c r="F9508">
        <v>8038105</v>
      </c>
      <c r="G9508">
        <v>8038105</v>
      </c>
      <c r="H9508">
        <v>8038105</v>
      </c>
      <c r="I9508">
        <v>8038105</v>
      </c>
    </row>
    <row r="9509" spans="1:9" x14ac:dyDescent="0.2">
      <c r="A9509" t="str">
        <f>"Gm9745"</f>
        <v>Gm9745</v>
      </c>
      <c r="B9509" t="s">
        <v>4034</v>
      </c>
      <c r="C9509" t="s">
        <v>39</v>
      </c>
      <c r="D9509" t="s">
        <v>11</v>
      </c>
      <c r="E9509" t="s">
        <v>20</v>
      </c>
      <c r="F9509">
        <v>8944299</v>
      </c>
      <c r="G9509">
        <v>8944299</v>
      </c>
      <c r="H9509">
        <v>8944299</v>
      </c>
      <c r="I9509">
        <v>8944299</v>
      </c>
    </row>
    <row r="9510" spans="1:9" x14ac:dyDescent="0.2">
      <c r="A9510" t="str">
        <f>"Gm9747"</f>
        <v>Gm9747</v>
      </c>
      <c r="B9510" t="s">
        <v>4035</v>
      </c>
      <c r="C9510" t="s">
        <v>19</v>
      </c>
      <c r="D9510" t="s">
        <v>17</v>
      </c>
      <c r="E9510" t="s">
        <v>20</v>
      </c>
      <c r="F9510">
        <v>82233111</v>
      </c>
      <c r="G9510">
        <v>82233111</v>
      </c>
      <c r="H9510">
        <v>82233111</v>
      </c>
      <c r="I9510">
        <v>82233111</v>
      </c>
    </row>
    <row r="9511" spans="1:9" x14ac:dyDescent="0.2">
      <c r="A9511" t="str">
        <f>"Gm9754"</f>
        <v>Gm9754</v>
      </c>
      <c r="B9511" t="s">
        <v>4036</v>
      </c>
      <c r="C9511" t="s">
        <v>46</v>
      </c>
      <c r="D9511" t="s">
        <v>17</v>
      </c>
      <c r="E9511" t="s">
        <v>20</v>
      </c>
      <c r="F9511">
        <v>118065359</v>
      </c>
      <c r="G9511">
        <v>118065359</v>
      </c>
      <c r="H9511">
        <v>118065359</v>
      </c>
      <c r="I9511">
        <v>118065359</v>
      </c>
    </row>
    <row r="9512" spans="1:9" x14ac:dyDescent="0.2">
      <c r="A9512" t="str">
        <f>"Gm9755"</f>
        <v>Gm9755</v>
      </c>
      <c r="B9512" t="s">
        <v>4037</v>
      </c>
      <c r="C9512" t="s">
        <v>30</v>
      </c>
      <c r="D9512" t="s">
        <v>11</v>
      </c>
      <c r="E9512" t="s">
        <v>20</v>
      </c>
      <c r="F9512">
        <v>67515605</v>
      </c>
      <c r="G9512">
        <v>67515605</v>
      </c>
      <c r="H9512">
        <v>67515605</v>
      </c>
      <c r="I9512">
        <v>67515605</v>
      </c>
    </row>
    <row r="9513" spans="1:9" x14ac:dyDescent="0.2">
      <c r="A9513" t="str">
        <f>"Gm9758"</f>
        <v>Gm9758</v>
      </c>
      <c r="B9513" t="s">
        <v>4038</v>
      </c>
      <c r="C9513" t="s">
        <v>46</v>
      </c>
      <c r="D9513" t="s">
        <v>11</v>
      </c>
      <c r="E9513" t="s">
        <v>20</v>
      </c>
      <c r="F9513">
        <v>14914898</v>
      </c>
      <c r="G9513">
        <v>14914898</v>
      </c>
      <c r="H9513">
        <v>14914898</v>
      </c>
      <c r="I9513">
        <v>14914898</v>
      </c>
    </row>
    <row r="9514" spans="1:9" x14ac:dyDescent="0.2">
      <c r="A9514" t="str">
        <f>"Gm9765"</f>
        <v>Gm9765</v>
      </c>
      <c r="B9514" t="s">
        <v>4039</v>
      </c>
      <c r="C9514" t="s">
        <v>19</v>
      </c>
      <c r="D9514" t="s">
        <v>17</v>
      </c>
      <c r="E9514" t="s">
        <v>20</v>
      </c>
      <c r="F9514">
        <v>171515232</v>
      </c>
      <c r="G9514">
        <v>171515232</v>
      </c>
      <c r="H9514">
        <v>171515232</v>
      </c>
      <c r="I9514">
        <v>171515232</v>
      </c>
    </row>
    <row r="9515" spans="1:9" x14ac:dyDescent="0.2">
      <c r="A9515" t="str">
        <f>"Gm9767"</f>
        <v>Gm9767</v>
      </c>
      <c r="B9515" t="s">
        <v>14</v>
      </c>
      <c r="C9515" t="s">
        <v>15</v>
      </c>
      <c r="D9515" t="s">
        <v>17</v>
      </c>
      <c r="E9515" t="s">
        <v>12</v>
      </c>
      <c r="F9515">
        <v>26077881</v>
      </c>
      <c r="G9515">
        <v>26077903</v>
      </c>
      <c r="H9515">
        <v>26078294</v>
      </c>
      <c r="I9515">
        <v>26078295</v>
      </c>
    </row>
    <row r="9516" spans="1:9" x14ac:dyDescent="0.2">
      <c r="A9516" t="str">
        <f>"Gm9772"</f>
        <v>Gm9772</v>
      </c>
      <c r="B9516" t="s">
        <v>4040</v>
      </c>
      <c r="C9516" t="s">
        <v>28</v>
      </c>
      <c r="D9516" t="s">
        <v>11</v>
      </c>
      <c r="E9516" t="s">
        <v>20</v>
      </c>
      <c r="F9516">
        <v>22007300</v>
      </c>
      <c r="G9516">
        <v>22007300</v>
      </c>
      <c r="H9516">
        <v>22007300</v>
      </c>
      <c r="I9516">
        <v>22007300</v>
      </c>
    </row>
    <row r="9517" spans="1:9" x14ac:dyDescent="0.2">
      <c r="A9517" t="str">
        <f>"Gm9774"</f>
        <v>Gm9774</v>
      </c>
      <c r="B9517" t="s">
        <v>14</v>
      </c>
      <c r="C9517" t="s">
        <v>22</v>
      </c>
      <c r="D9517" t="s">
        <v>11</v>
      </c>
      <c r="E9517" t="s">
        <v>67</v>
      </c>
      <c r="F9517">
        <v>92429403</v>
      </c>
      <c r="G9517">
        <v>92429426</v>
      </c>
      <c r="H9517">
        <v>92429403</v>
      </c>
      <c r="I9517">
        <v>92429426</v>
      </c>
    </row>
    <row r="9518" spans="1:9" x14ac:dyDescent="0.2">
      <c r="A9518" t="str">
        <f>"Gm9776"</f>
        <v>Gm9776</v>
      </c>
      <c r="B9518" t="s">
        <v>14</v>
      </c>
      <c r="C9518" t="s">
        <v>39</v>
      </c>
      <c r="D9518" t="s">
        <v>11</v>
      </c>
      <c r="E9518" t="s">
        <v>12</v>
      </c>
      <c r="F9518">
        <v>94358892</v>
      </c>
      <c r="G9518">
        <v>94358931</v>
      </c>
      <c r="H9518">
        <v>94358775</v>
      </c>
      <c r="I9518">
        <v>94358833</v>
      </c>
    </row>
    <row r="9519" spans="1:9" x14ac:dyDescent="0.2">
      <c r="A9519" t="str">
        <f>"Gm9789"</f>
        <v>Gm9789</v>
      </c>
      <c r="B9519" t="s">
        <v>14</v>
      </c>
      <c r="C9519" t="s">
        <v>31</v>
      </c>
      <c r="D9519" t="s">
        <v>17</v>
      </c>
      <c r="E9519" t="s">
        <v>67</v>
      </c>
      <c r="F9519">
        <v>89157950</v>
      </c>
      <c r="G9519">
        <v>89157952</v>
      </c>
      <c r="H9519">
        <v>89157950</v>
      </c>
      <c r="I9519">
        <v>89157952</v>
      </c>
    </row>
    <row r="9520" spans="1:9" x14ac:dyDescent="0.2">
      <c r="A9520" t="str">
        <f>"Gm9790"</f>
        <v>Gm9790</v>
      </c>
      <c r="B9520" t="s">
        <v>14</v>
      </c>
      <c r="C9520" t="s">
        <v>22</v>
      </c>
      <c r="D9520" t="s">
        <v>17</v>
      </c>
      <c r="E9520" t="s">
        <v>67</v>
      </c>
      <c r="F9520">
        <v>85915704</v>
      </c>
      <c r="G9520">
        <v>85915741</v>
      </c>
      <c r="H9520">
        <v>85915704</v>
      </c>
      <c r="I9520">
        <v>85915741</v>
      </c>
    </row>
    <row r="9521" spans="1:9" x14ac:dyDescent="0.2">
      <c r="A9521" t="str">
        <f>"Gm9791"</f>
        <v>Gm9791</v>
      </c>
      <c r="B9521" t="s">
        <v>14</v>
      </c>
      <c r="C9521" t="s">
        <v>22</v>
      </c>
      <c r="D9521" t="s">
        <v>11</v>
      </c>
      <c r="E9521" t="s">
        <v>67</v>
      </c>
      <c r="F9521">
        <v>34005490</v>
      </c>
      <c r="G9521">
        <v>34005514</v>
      </c>
      <c r="H9521">
        <v>34005490</v>
      </c>
      <c r="I9521">
        <v>34005514</v>
      </c>
    </row>
    <row r="9522" spans="1:9" x14ac:dyDescent="0.2">
      <c r="A9522" t="str">
        <f>"Gm9796"</f>
        <v>Gm9796</v>
      </c>
      <c r="B9522" t="s">
        <v>4041</v>
      </c>
      <c r="C9522" t="s">
        <v>27</v>
      </c>
      <c r="D9522" t="s">
        <v>11</v>
      </c>
      <c r="E9522" t="s">
        <v>20</v>
      </c>
      <c r="F9522">
        <v>95699142</v>
      </c>
      <c r="G9522">
        <v>95699142</v>
      </c>
      <c r="H9522">
        <v>95699142</v>
      </c>
      <c r="I9522">
        <v>95699142</v>
      </c>
    </row>
    <row r="9523" spans="1:9" x14ac:dyDescent="0.2">
      <c r="A9523" t="str">
        <f>"Gm9797"</f>
        <v>Gm9797</v>
      </c>
      <c r="B9523" t="s">
        <v>4042</v>
      </c>
      <c r="C9523" t="s">
        <v>15</v>
      </c>
      <c r="D9523" t="s">
        <v>17</v>
      </c>
      <c r="E9523" t="s">
        <v>35</v>
      </c>
      <c r="F9523">
        <v>11609230</v>
      </c>
      <c r="G9523">
        <v>11609248</v>
      </c>
      <c r="H9523">
        <v>11609256</v>
      </c>
      <c r="I9523">
        <v>11609269</v>
      </c>
    </row>
    <row r="9524" spans="1:9" x14ac:dyDescent="0.2">
      <c r="A9524" t="str">
        <f>"Gm9799"</f>
        <v>Gm9799</v>
      </c>
      <c r="B9524" t="s">
        <v>4043</v>
      </c>
      <c r="C9524" t="s">
        <v>22</v>
      </c>
      <c r="D9524" t="s">
        <v>17</v>
      </c>
      <c r="E9524" t="s">
        <v>20</v>
      </c>
      <c r="F9524">
        <v>135727337</v>
      </c>
      <c r="G9524">
        <v>135727337</v>
      </c>
      <c r="H9524">
        <v>135727337</v>
      </c>
      <c r="I9524">
        <v>135727337</v>
      </c>
    </row>
    <row r="9525" spans="1:9" x14ac:dyDescent="0.2">
      <c r="A9525" t="str">
        <f>"Gm9803"</f>
        <v>Gm9803</v>
      </c>
      <c r="B9525" t="s">
        <v>14</v>
      </c>
      <c r="C9525" t="s">
        <v>15</v>
      </c>
      <c r="D9525" t="s">
        <v>17</v>
      </c>
      <c r="E9525" t="s">
        <v>67</v>
      </c>
      <c r="F9525">
        <v>43524134</v>
      </c>
      <c r="G9525">
        <v>43524158</v>
      </c>
      <c r="H9525">
        <v>43524134</v>
      </c>
      <c r="I9525">
        <v>43524158</v>
      </c>
    </row>
    <row r="9526" spans="1:9" x14ac:dyDescent="0.2">
      <c r="A9526" t="str">
        <f>"Gm9804"</f>
        <v>Gm9804</v>
      </c>
      <c r="B9526" t="s">
        <v>14</v>
      </c>
      <c r="C9526" t="s">
        <v>16</v>
      </c>
      <c r="D9526" t="s">
        <v>17</v>
      </c>
      <c r="E9526" t="s">
        <v>12</v>
      </c>
      <c r="F9526">
        <v>49401274</v>
      </c>
      <c r="G9526">
        <v>49401284</v>
      </c>
      <c r="H9526">
        <v>49401236</v>
      </c>
      <c r="I9526">
        <v>49401242</v>
      </c>
    </row>
    <row r="9527" spans="1:9" x14ac:dyDescent="0.2">
      <c r="A9527" t="str">
        <f>"Gm9805"</f>
        <v>Gm9805</v>
      </c>
      <c r="B9527" t="s">
        <v>4044</v>
      </c>
      <c r="C9527" t="s">
        <v>28</v>
      </c>
      <c r="D9527" t="s">
        <v>17</v>
      </c>
      <c r="E9527" t="s">
        <v>20</v>
      </c>
      <c r="F9527">
        <v>22689770</v>
      </c>
      <c r="G9527">
        <v>22689770</v>
      </c>
      <c r="H9527">
        <v>22689770</v>
      </c>
      <c r="I9527">
        <v>22689770</v>
      </c>
    </row>
    <row r="9528" spans="1:9" x14ac:dyDescent="0.2">
      <c r="A9528" t="str">
        <f>"Gm9814"</f>
        <v>Gm9814</v>
      </c>
      <c r="B9528" t="s">
        <v>4045</v>
      </c>
      <c r="C9528" t="s">
        <v>30</v>
      </c>
      <c r="D9528" t="s">
        <v>11</v>
      </c>
      <c r="E9528" t="s">
        <v>35</v>
      </c>
      <c r="F9528">
        <v>3717655</v>
      </c>
      <c r="G9528">
        <v>3717656</v>
      </c>
      <c r="H9528">
        <v>3717547</v>
      </c>
      <c r="I9528">
        <v>3717558</v>
      </c>
    </row>
    <row r="9529" spans="1:9" x14ac:dyDescent="0.2">
      <c r="A9529" t="str">
        <f>"Gm9817"</f>
        <v>Gm9817</v>
      </c>
      <c r="B9529" t="s">
        <v>14</v>
      </c>
      <c r="C9529" t="s">
        <v>39</v>
      </c>
      <c r="D9529" t="s">
        <v>17</v>
      </c>
      <c r="E9529" t="s">
        <v>67</v>
      </c>
      <c r="F9529">
        <v>45078720</v>
      </c>
      <c r="G9529">
        <v>45078743</v>
      </c>
      <c r="H9529">
        <v>45078372</v>
      </c>
      <c r="I9529">
        <v>45078373</v>
      </c>
    </row>
    <row r="9530" spans="1:9" x14ac:dyDescent="0.2">
      <c r="A9530" t="str">
        <f>"Gm9821"</f>
        <v>Gm9821</v>
      </c>
      <c r="B9530" t="s">
        <v>4046</v>
      </c>
      <c r="C9530" t="s">
        <v>26</v>
      </c>
      <c r="D9530" t="s">
        <v>17</v>
      </c>
      <c r="E9530" t="s">
        <v>20</v>
      </c>
      <c r="F9530">
        <v>91945702</v>
      </c>
      <c r="G9530">
        <v>91945702</v>
      </c>
      <c r="H9530">
        <v>91945702</v>
      </c>
      <c r="I9530">
        <v>91945702</v>
      </c>
    </row>
    <row r="9531" spans="1:9" x14ac:dyDescent="0.2">
      <c r="A9531" t="str">
        <f>"Gm9825"</f>
        <v>Gm9825</v>
      </c>
      <c r="B9531" t="s">
        <v>14</v>
      </c>
      <c r="C9531" t="s">
        <v>32</v>
      </c>
      <c r="D9531" t="s">
        <v>11</v>
      </c>
      <c r="E9531" t="s">
        <v>67</v>
      </c>
      <c r="F9531">
        <v>7983424</v>
      </c>
      <c r="G9531">
        <v>7983445</v>
      </c>
      <c r="H9531">
        <v>7983424</v>
      </c>
      <c r="I9531">
        <v>7983445</v>
      </c>
    </row>
    <row r="9532" spans="1:9" x14ac:dyDescent="0.2">
      <c r="A9532" t="str">
        <f>"Gm9830"</f>
        <v>Gm9830</v>
      </c>
      <c r="B9532" t="s">
        <v>4047</v>
      </c>
      <c r="C9532" t="s">
        <v>24</v>
      </c>
      <c r="D9532" t="s">
        <v>17</v>
      </c>
      <c r="E9532" t="s">
        <v>20</v>
      </c>
      <c r="F9532">
        <v>44464242</v>
      </c>
      <c r="G9532">
        <v>44464242</v>
      </c>
      <c r="H9532">
        <v>44464242</v>
      </c>
      <c r="I9532">
        <v>44464242</v>
      </c>
    </row>
    <row r="9533" spans="1:9" x14ac:dyDescent="0.2">
      <c r="A9533" t="str">
        <f>"Gm9833"</f>
        <v>Gm9833</v>
      </c>
      <c r="B9533" t="s">
        <v>14</v>
      </c>
      <c r="C9533" t="s">
        <v>22</v>
      </c>
      <c r="D9533" t="s">
        <v>17</v>
      </c>
      <c r="E9533" t="s">
        <v>12</v>
      </c>
      <c r="F9533">
        <v>10088106</v>
      </c>
      <c r="G9533">
        <v>10088126</v>
      </c>
      <c r="H9533">
        <v>10088269</v>
      </c>
      <c r="I9533">
        <v>10088302</v>
      </c>
    </row>
    <row r="9534" spans="1:9" x14ac:dyDescent="0.2">
      <c r="A9534" t="str">
        <f>"Gm9837"</f>
        <v>Gm9837</v>
      </c>
      <c r="B9534" t="s">
        <v>14</v>
      </c>
      <c r="C9534" t="s">
        <v>27</v>
      </c>
      <c r="D9534" t="s">
        <v>11</v>
      </c>
      <c r="E9534" t="s">
        <v>67</v>
      </c>
      <c r="F9534">
        <v>53470497</v>
      </c>
      <c r="G9534">
        <v>53470509</v>
      </c>
      <c r="H9534">
        <v>53470470</v>
      </c>
      <c r="I9534">
        <v>53470477</v>
      </c>
    </row>
    <row r="9535" spans="1:9" x14ac:dyDescent="0.2">
      <c r="A9535" t="str">
        <f>"Gm9843"</f>
        <v>Gm9843</v>
      </c>
      <c r="B9535" t="s">
        <v>14</v>
      </c>
      <c r="C9535" t="s">
        <v>31</v>
      </c>
      <c r="D9535" t="s">
        <v>11</v>
      </c>
      <c r="E9535" t="s">
        <v>12</v>
      </c>
      <c r="F9535">
        <v>76403673</v>
      </c>
      <c r="G9535">
        <v>76403717</v>
      </c>
      <c r="H9535">
        <v>76403673</v>
      </c>
      <c r="I9535">
        <v>76403717</v>
      </c>
    </row>
    <row r="9536" spans="1:9" x14ac:dyDescent="0.2">
      <c r="A9536" t="str">
        <f>"Gm9844"</f>
        <v>Gm9844</v>
      </c>
      <c r="B9536" t="s">
        <v>14</v>
      </c>
      <c r="C9536" t="s">
        <v>33</v>
      </c>
      <c r="D9536" t="s">
        <v>17</v>
      </c>
      <c r="E9536" t="s">
        <v>67</v>
      </c>
      <c r="F9536">
        <v>24862193</v>
      </c>
      <c r="G9536">
        <v>24862209</v>
      </c>
      <c r="H9536">
        <v>24862222</v>
      </c>
      <c r="I9536">
        <v>24862235</v>
      </c>
    </row>
    <row r="9537" spans="1:9" x14ac:dyDescent="0.2">
      <c r="A9537" t="str">
        <f>"Gm9845"</f>
        <v>Gm9845</v>
      </c>
      <c r="B9537" t="s">
        <v>14</v>
      </c>
      <c r="C9537" t="s">
        <v>22</v>
      </c>
      <c r="D9537" t="s">
        <v>11</v>
      </c>
      <c r="E9537" t="s">
        <v>67</v>
      </c>
      <c r="F9537">
        <v>39359156</v>
      </c>
      <c r="G9537">
        <v>39359160</v>
      </c>
      <c r="H9537">
        <v>39359156</v>
      </c>
      <c r="I9537">
        <v>39359160</v>
      </c>
    </row>
    <row r="9538" spans="1:9" x14ac:dyDescent="0.2">
      <c r="A9538" t="str">
        <f>"Gm9846"</f>
        <v>Gm9846</v>
      </c>
      <c r="B9538" t="s">
        <v>4048</v>
      </c>
      <c r="C9538" t="s">
        <v>24</v>
      </c>
      <c r="D9538" t="s">
        <v>11</v>
      </c>
      <c r="E9538" t="s">
        <v>20</v>
      </c>
      <c r="F9538">
        <v>114982738</v>
      </c>
      <c r="G9538">
        <v>114982738</v>
      </c>
      <c r="H9538">
        <v>114982738</v>
      </c>
      <c r="I9538">
        <v>114982738</v>
      </c>
    </row>
    <row r="9539" spans="1:9" x14ac:dyDescent="0.2">
      <c r="A9539" t="str">
        <f>"Gm9847"</f>
        <v>Gm9847</v>
      </c>
      <c r="B9539" t="s">
        <v>4049</v>
      </c>
      <c r="C9539" t="s">
        <v>16</v>
      </c>
      <c r="D9539" t="s">
        <v>17</v>
      </c>
      <c r="E9539" t="s">
        <v>20</v>
      </c>
      <c r="F9539">
        <v>14494560</v>
      </c>
      <c r="G9539">
        <v>14494560</v>
      </c>
      <c r="H9539">
        <v>14494560</v>
      </c>
      <c r="I9539">
        <v>14494560</v>
      </c>
    </row>
    <row r="9540" spans="1:9" x14ac:dyDescent="0.2">
      <c r="A9540" t="str">
        <f>"Gm9848"</f>
        <v>Gm9848</v>
      </c>
      <c r="B9540" t="s">
        <v>4050</v>
      </c>
      <c r="C9540" t="s">
        <v>39</v>
      </c>
      <c r="D9540" t="s">
        <v>17</v>
      </c>
      <c r="E9540" t="s">
        <v>20</v>
      </c>
      <c r="F9540">
        <v>113108072</v>
      </c>
      <c r="G9540">
        <v>113108072</v>
      </c>
      <c r="H9540">
        <v>113108072</v>
      </c>
      <c r="I9540">
        <v>113108072</v>
      </c>
    </row>
    <row r="9541" spans="1:9" x14ac:dyDescent="0.2">
      <c r="A9541" t="str">
        <f>"Gm9857"</f>
        <v>Gm9857</v>
      </c>
      <c r="B9541" t="s">
        <v>14</v>
      </c>
      <c r="C9541" t="s">
        <v>22</v>
      </c>
      <c r="D9541" t="s">
        <v>11</v>
      </c>
      <c r="E9541" t="s">
        <v>67</v>
      </c>
      <c r="F9541">
        <v>108940442</v>
      </c>
      <c r="G9541">
        <v>108940452</v>
      </c>
      <c r="H9541">
        <v>108940442</v>
      </c>
      <c r="I9541">
        <v>108940452</v>
      </c>
    </row>
    <row r="9542" spans="1:9" x14ac:dyDescent="0.2">
      <c r="A9542" t="str">
        <f>"Gm9867"</f>
        <v>Gm9867</v>
      </c>
      <c r="B9542" t="s">
        <v>4051</v>
      </c>
      <c r="C9542" t="s">
        <v>23</v>
      </c>
      <c r="D9542" t="s">
        <v>11</v>
      </c>
      <c r="E9542" t="s">
        <v>20</v>
      </c>
      <c r="F9542">
        <v>140323301</v>
      </c>
      <c r="G9542">
        <v>140323301</v>
      </c>
      <c r="H9542">
        <v>140323301</v>
      </c>
      <c r="I9542">
        <v>140323301</v>
      </c>
    </row>
    <row r="9543" spans="1:9" x14ac:dyDescent="0.2">
      <c r="A9543" t="str">
        <f>"Gm9869"</f>
        <v>Gm9869</v>
      </c>
      <c r="B9543" t="s">
        <v>4052</v>
      </c>
      <c r="C9543" t="s">
        <v>24</v>
      </c>
      <c r="D9543" t="s">
        <v>11</v>
      </c>
      <c r="E9543" t="s">
        <v>20</v>
      </c>
      <c r="F9543">
        <v>60838199</v>
      </c>
      <c r="G9543">
        <v>60838199</v>
      </c>
      <c r="H9543">
        <v>60838199</v>
      </c>
      <c r="I9543">
        <v>60838199</v>
      </c>
    </row>
    <row r="9544" spans="1:9" x14ac:dyDescent="0.2">
      <c r="A9544" t="str">
        <f>"Gm9871"</f>
        <v>Gm9871</v>
      </c>
      <c r="B9544" t="s">
        <v>4053</v>
      </c>
      <c r="C9544" t="s">
        <v>32</v>
      </c>
      <c r="D9544" t="s">
        <v>17</v>
      </c>
      <c r="E9544" t="s">
        <v>20</v>
      </c>
      <c r="F9544">
        <v>101796224</v>
      </c>
      <c r="G9544">
        <v>101796224</v>
      </c>
      <c r="H9544">
        <v>101796224</v>
      </c>
      <c r="I9544">
        <v>101796224</v>
      </c>
    </row>
    <row r="9545" spans="1:9" x14ac:dyDescent="0.2">
      <c r="A9545" t="str">
        <f>"Gm9874"</f>
        <v>Gm9874</v>
      </c>
      <c r="B9545" t="s">
        <v>4054</v>
      </c>
      <c r="C9545" t="s">
        <v>28</v>
      </c>
      <c r="D9545" t="s">
        <v>17</v>
      </c>
      <c r="E9545" t="s">
        <v>20</v>
      </c>
      <c r="F9545">
        <v>30485510</v>
      </c>
      <c r="G9545">
        <v>30485510</v>
      </c>
      <c r="H9545">
        <v>30485510</v>
      </c>
      <c r="I9545">
        <v>30485510</v>
      </c>
    </row>
    <row r="9546" spans="1:9" x14ac:dyDescent="0.2">
      <c r="A9546" t="str">
        <f>"Gm9875"</f>
        <v>Gm9875</v>
      </c>
      <c r="B9546" t="s">
        <v>14</v>
      </c>
      <c r="C9546" t="s">
        <v>26</v>
      </c>
      <c r="D9546" t="s">
        <v>17</v>
      </c>
      <c r="E9546" t="s">
        <v>12</v>
      </c>
      <c r="F9546">
        <v>13557766</v>
      </c>
      <c r="G9546">
        <v>13557777</v>
      </c>
      <c r="H9546">
        <v>13557766</v>
      </c>
      <c r="I9546">
        <v>13557777</v>
      </c>
    </row>
    <row r="9547" spans="1:9" x14ac:dyDescent="0.2">
      <c r="A9547" t="str">
        <f>"Gm9881"</f>
        <v>Gm9881</v>
      </c>
      <c r="B9547" t="s">
        <v>4055</v>
      </c>
      <c r="C9547" t="s">
        <v>31</v>
      </c>
      <c r="D9547" t="s">
        <v>11</v>
      </c>
      <c r="E9547" t="s">
        <v>20</v>
      </c>
      <c r="F9547">
        <v>91171400</v>
      </c>
      <c r="G9547">
        <v>91171400</v>
      </c>
      <c r="H9547">
        <v>91171400</v>
      </c>
      <c r="I9547">
        <v>91171400</v>
      </c>
    </row>
    <row r="9548" spans="1:9" x14ac:dyDescent="0.2">
      <c r="A9548" t="str">
        <f>"Gm9884"</f>
        <v>Gm9884</v>
      </c>
      <c r="B9548" t="s">
        <v>14</v>
      </c>
      <c r="C9548" t="s">
        <v>19</v>
      </c>
      <c r="D9548" t="s">
        <v>17</v>
      </c>
      <c r="E9548" t="s">
        <v>67</v>
      </c>
      <c r="F9548">
        <v>25830518</v>
      </c>
      <c r="G9548">
        <v>25830522</v>
      </c>
      <c r="H9548">
        <v>25830518</v>
      </c>
      <c r="I9548">
        <v>25830522</v>
      </c>
    </row>
    <row r="9549" spans="1:9" x14ac:dyDescent="0.2">
      <c r="A9549" t="str">
        <f>"Gm9885"</f>
        <v>Gm9885</v>
      </c>
      <c r="B9549" t="s">
        <v>14</v>
      </c>
      <c r="C9549" t="s">
        <v>33</v>
      </c>
      <c r="D9549" t="s">
        <v>17</v>
      </c>
      <c r="E9549" t="s">
        <v>67</v>
      </c>
      <c r="F9549">
        <v>78578557</v>
      </c>
      <c r="G9549">
        <v>78578586</v>
      </c>
      <c r="H9549">
        <v>78578588</v>
      </c>
      <c r="I9549">
        <v>78578610</v>
      </c>
    </row>
    <row r="9550" spans="1:9" x14ac:dyDescent="0.2">
      <c r="A9550" t="str">
        <f>"Gm9887"</f>
        <v>Gm9887</v>
      </c>
      <c r="B9550" t="s">
        <v>14</v>
      </c>
      <c r="C9550" t="s">
        <v>16</v>
      </c>
      <c r="D9550" t="s">
        <v>11</v>
      </c>
      <c r="E9550" t="s">
        <v>67</v>
      </c>
      <c r="F9550">
        <v>69372443</v>
      </c>
      <c r="G9550">
        <v>69372540</v>
      </c>
      <c r="H9550">
        <v>69371943</v>
      </c>
      <c r="I9550">
        <v>69371987</v>
      </c>
    </row>
    <row r="9551" spans="1:9" x14ac:dyDescent="0.2">
      <c r="A9551" t="str">
        <f>"Gm9894"</f>
        <v>Gm9894</v>
      </c>
      <c r="B9551" t="s">
        <v>4056</v>
      </c>
      <c r="C9551" t="s">
        <v>39</v>
      </c>
      <c r="D9551" t="s">
        <v>11</v>
      </c>
      <c r="E9551" t="s">
        <v>20</v>
      </c>
      <c r="F9551">
        <v>67773628</v>
      </c>
      <c r="G9551">
        <v>67773628</v>
      </c>
      <c r="H9551">
        <v>67773628</v>
      </c>
      <c r="I9551">
        <v>67773628</v>
      </c>
    </row>
    <row r="9552" spans="1:9" x14ac:dyDescent="0.2">
      <c r="A9552" t="str">
        <f>"Gm9897"</f>
        <v>Gm9897</v>
      </c>
      <c r="B9552" t="s">
        <v>14</v>
      </c>
      <c r="C9552" t="s">
        <v>46</v>
      </c>
      <c r="D9552" t="s">
        <v>17</v>
      </c>
      <c r="E9552" t="s">
        <v>12</v>
      </c>
      <c r="F9552">
        <v>4192357</v>
      </c>
      <c r="G9552">
        <v>4192402</v>
      </c>
      <c r="H9552">
        <v>4192357</v>
      </c>
      <c r="I9552">
        <v>4192402</v>
      </c>
    </row>
    <row r="9553" spans="1:9" x14ac:dyDescent="0.2">
      <c r="A9553" t="str">
        <f>"Gm9898"</f>
        <v>Gm9898</v>
      </c>
      <c r="B9553" t="s">
        <v>4057</v>
      </c>
      <c r="C9553" t="s">
        <v>19</v>
      </c>
      <c r="D9553" t="s">
        <v>11</v>
      </c>
      <c r="E9553" t="s">
        <v>20</v>
      </c>
      <c r="F9553">
        <v>30719960</v>
      </c>
      <c r="G9553">
        <v>30719960</v>
      </c>
      <c r="H9553">
        <v>30719960</v>
      </c>
      <c r="I9553">
        <v>30719960</v>
      </c>
    </row>
    <row r="9554" spans="1:9" x14ac:dyDescent="0.2">
      <c r="A9554" t="str">
        <f>"Gm9900"</f>
        <v>Gm9900</v>
      </c>
      <c r="B9554" t="s">
        <v>14</v>
      </c>
      <c r="C9554" t="s">
        <v>27</v>
      </c>
      <c r="D9554" t="s">
        <v>11</v>
      </c>
      <c r="E9554" t="s">
        <v>12</v>
      </c>
      <c r="F9554">
        <v>58330319</v>
      </c>
      <c r="G9554">
        <v>58330358</v>
      </c>
      <c r="H9554">
        <v>58330246</v>
      </c>
      <c r="I9554">
        <v>58330251</v>
      </c>
    </row>
    <row r="9555" spans="1:9" x14ac:dyDescent="0.2">
      <c r="A9555" t="str">
        <f>"Gm9905"</f>
        <v>Gm9905</v>
      </c>
      <c r="B9555" t="s">
        <v>14</v>
      </c>
      <c r="C9555" t="s">
        <v>33</v>
      </c>
      <c r="D9555" t="s">
        <v>11</v>
      </c>
      <c r="E9555" t="s">
        <v>67</v>
      </c>
      <c r="F9555">
        <v>121035283</v>
      </c>
      <c r="G9555">
        <v>121035300</v>
      </c>
      <c r="H9555">
        <v>121035283</v>
      </c>
      <c r="I9555">
        <v>121035300</v>
      </c>
    </row>
    <row r="9556" spans="1:9" x14ac:dyDescent="0.2">
      <c r="A9556" t="str">
        <f>"Gm9912"</f>
        <v>Gm9912</v>
      </c>
      <c r="B9556" t="s">
        <v>4058</v>
      </c>
      <c r="C9556" t="s">
        <v>22</v>
      </c>
      <c r="D9556" t="s">
        <v>11</v>
      </c>
      <c r="E9556" t="s">
        <v>20</v>
      </c>
      <c r="F9556">
        <v>149185494</v>
      </c>
      <c r="G9556">
        <v>149185494</v>
      </c>
      <c r="H9556">
        <v>149185494</v>
      </c>
      <c r="I9556">
        <v>149185494</v>
      </c>
    </row>
    <row r="9557" spans="1:9" x14ac:dyDescent="0.2">
      <c r="A9557" t="str">
        <f>"Gm9913"</f>
        <v>Gm9913</v>
      </c>
      <c r="B9557" t="s">
        <v>14</v>
      </c>
      <c r="C9557" t="s">
        <v>26</v>
      </c>
      <c r="D9557" t="s">
        <v>17</v>
      </c>
      <c r="E9557" t="s">
        <v>67</v>
      </c>
      <c r="F9557">
        <v>125505463</v>
      </c>
      <c r="G9557">
        <v>125505488</v>
      </c>
      <c r="H9557">
        <v>125505194</v>
      </c>
      <c r="I9557">
        <v>125505208</v>
      </c>
    </row>
    <row r="9558" spans="1:9" x14ac:dyDescent="0.2">
      <c r="A9558" t="str">
        <f>"Gm9915"</f>
        <v>Gm9915</v>
      </c>
      <c r="B9558" t="s">
        <v>14</v>
      </c>
      <c r="C9558" t="s">
        <v>19</v>
      </c>
      <c r="D9558" t="s">
        <v>17</v>
      </c>
      <c r="E9558" t="s">
        <v>12</v>
      </c>
      <c r="F9558">
        <v>42229898</v>
      </c>
      <c r="G9558">
        <v>42229899</v>
      </c>
      <c r="H9558">
        <v>42229898</v>
      </c>
      <c r="I9558">
        <v>42229899</v>
      </c>
    </row>
    <row r="9559" spans="1:9" x14ac:dyDescent="0.2">
      <c r="A9559" t="str">
        <f>"Gm9920"</f>
        <v>Gm9920</v>
      </c>
      <c r="B9559" t="s">
        <v>14</v>
      </c>
      <c r="C9559" t="s">
        <v>25</v>
      </c>
      <c r="D9559" t="s">
        <v>11</v>
      </c>
      <c r="E9559" t="s">
        <v>67</v>
      </c>
      <c r="F9559">
        <v>55113639</v>
      </c>
      <c r="G9559">
        <v>55113648</v>
      </c>
      <c r="H9559">
        <v>55113649</v>
      </c>
      <c r="I9559">
        <v>55113656</v>
      </c>
    </row>
    <row r="9560" spans="1:9" x14ac:dyDescent="0.2">
      <c r="A9560" t="str">
        <f>"Gm9922"</f>
        <v>Gm9922</v>
      </c>
      <c r="B9560" t="s">
        <v>14</v>
      </c>
      <c r="C9560" t="s">
        <v>41</v>
      </c>
      <c r="D9560" t="s">
        <v>11</v>
      </c>
      <c r="E9560" t="s">
        <v>67</v>
      </c>
      <c r="F9560">
        <v>101729811</v>
      </c>
      <c r="G9560">
        <v>101729852</v>
      </c>
      <c r="H9560">
        <v>101729811</v>
      </c>
      <c r="I9560">
        <v>101729852</v>
      </c>
    </row>
    <row r="9561" spans="1:9" x14ac:dyDescent="0.2">
      <c r="A9561" t="str">
        <f>"Gm9923"</f>
        <v>Gm9923</v>
      </c>
      <c r="B9561" t="s">
        <v>14</v>
      </c>
      <c r="C9561" t="s">
        <v>15</v>
      </c>
      <c r="D9561" t="s">
        <v>17</v>
      </c>
      <c r="E9561" t="s">
        <v>67</v>
      </c>
      <c r="F9561">
        <v>72309194</v>
      </c>
      <c r="G9561">
        <v>72309200</v>
      </c>
      <c r="H9561">
        <v>72309194</v>
      </c>
      <c r="I9561">
        <v>72309200</v>
      </c>
    </row>
    <row r="9562" spans="1:9" x14ac:dyDescent="0.2">
      <c r="A9562" t="str">
        <f>"Gm9924"</f>
        <v>Gm9924</v>
      </c>
      <c r="B9562" t="s">
        <v>4059</v>
      </c>
      <c r="C9562" t="s">
        <v>46</v>
      </c>
      <c r="D9562" t="s">
        <v>17</v>
      </c>
      <c r="E9562" t="s">
        <v>20</v>
      </c>
      <c r="F9562">
        <v>31094983</v>
      </c>
      <c r="G9562">
        <v>31094983</v>
      </c>
      <c r="H9562">
        <v>31094983</v>
      </c>
      <c r="I9562">
        <v>31094983</v>
      </c>
    </row>
    <row r="9563" spans="1:9" x14ac:dyDescent="0.2">
      <c r="A9563" t="str">
        <f>"Gm9925"</f>
        <v>Gm9925</v>
      </c>
      <c r="B9563" t="s">
        <v>14</v>
      </c>
      <c r="C9563" t="s">
        <v>43</v>
      </c>
      <c r="D9563" t="s">
        <v>17</v>
      </c>
      <c r="E9563" t="s">
        <v>67</v>
      </c>
      <c r="F9563">
        <v>74065079</v>
      </c>
      <c r="G9563">
        <v>74065107</v>
      </c>
      <c r="H9563">
        <v>74065049</v>
      </c>
      <c r="I9563">
        <v>74065059</v>
      </c>
    </row>
    <row r="9564" spans="1:9" x14ac:dyDescent="0.2">
      <c r="A9564" t="str">
        <f>"Gm9930"</f>
        <v>Gm9930</v>
      </c>
      <c r="B9564" t="s">
        <v>14</v>
      </c>
      <c r="C9564" t="s">
        <v>15</v>
      </c>
      <c r="D9564" t="s">
        <v>11</v>
      </c>
      <c r="E9564" t="s">
        <v>12</v>
      </c>
      <c r="F9564">
        <v>9535673</v>
      </c>
      <c r="G9564">
        <v>9535674</v>
      </c>
      <c r="H9564">
        <v>9535673</v>
      </c>
      <c r="I9564">
        <v>9535674</v>
      </c>
    </row>
    <row r="9565" spans="1:9" x14ac:dyDescent="0.2">
      <c r="A9565" t="str">
        <f>"Gm9931"</f>
        <v>Gm9931</v>
      </c>
      <c r="B9565" t="s">
        <v>4060</v>
      </c>
      <c r="C9565" t="s">
        <v>19</v>
      </c>
      <c r="D9565" t="s">
        <v>11</v>
      </c>
      <c r="E9565" t="s">
        <v>20</v>
      </c>
      <c r="F9565">
        <v>147281941</v>
      </c>
      <c r="G9565">
        <v>147281941</v>
      </c>
      <c r="H9565">
        <v>147281941</v>
      </c>
      <c r="I9565">
        <v>147281941</v>
      </c>
    </row>
    <row r="9566" spans="1:9" x14ac:dyDescent="0.2">
      <c r="A9566" t="str">
        <f>"Gm9932"</f>
        <v>Gm9932</v>
      </c>
      <c r="B9566" t="s">
        <v>4061</v>
      </c>
      <c r="C9566" t="s">
        <v>46</v>
      </c>
      <c r="D9566" t="s">
        <v>17</v>
      </c>
      <c r="E9566" t="s">
        <v>20</v>
      </c>
      <c r="F9566">
        <v>100196610</v>
      </c>
      <c r="G9566">
        <v>100196610</v>
      </c>
      <c r="H9566">
        <v>100196610</v>
      </c>
      <c r="I9566">
        <v>100196610</v>
      </c>
    </row>
    <row r="9567" spans="1:9" x14ac:dyDescent="0.2">
      <c r="A9567" t="str">
        <f>"Gm9933"</f>
        <v>Gm9933</v>
      </c>
      <c r="B9567" t="s">
        <v>14</v>
      </c>
      <c r="C9567" t="s">
        <v>30</v>
      </c>
      <c r="D9567" t="s">
        <v>11</v>
      </c>
      <c r="E9567" t="s">
        <v>67</v>
      </c>
      <c r="F9567">
        <v>71676650</v>
      </c>
      <c r="G9567">
        <v>71676687</v>
      </c>
      <c r="H9567">
        <v>71676650</v>
      </c>
      <c r="I9567">
        <v>71676687</v>
      </c>
    </row>
    <row r="9568" spans="1:9" x14ac:dyDescent="0.2">
      <c r="A9568" t="str">
        <f>"Gm9934"</f>
        <v>Gm9934</v>
      </c>
      <c r="B9568" t="s">
        <v>14</v>
      </c>
      <c r="C9568" t="s">
        <v>33</v>
      </c>
      <c r="D9568" t="s">
        <v>11</v>
      </c>
      <c r="E9568" t="s">
        <v>67</v>
      </c>
      <c r="F9568">
        <v>93081015</v>
      </c>
      <c r="G9568">
        <v>93081042</v>
      </c>
      <c r="H9568">
        <v>93081015</v>
      </c>
      <c r="I9568">
        <v>93081042</v>
      </c>
    </row>
    <row r="9569" spans="1:9" x14ac:dyDescent="0.2">
      <c r="A9569" t="str">
        <f>"Gm9936"</f>
        <v>Gm9936</v>
      </c>
      <c r="B9569" t="s">
        <v>4062</v>
      </c>
      <c r="C9569" t="s">
        <v>46</v>
      </c>
      <c r="D9569" t="s">
        <v>11</v>
      </c>
      <c r="E9569" t="s">
        <v>20</v>
      </c>
      <c r="F9569">
        <v>114858681</v>
      </c>
      <c r="G9569">
        <v>114858681</v>
      </c>
      <c r="H9569">
        <v>114858681</v>
      </c>
      <c r="I9569">
        <v>114858681</v>
      </c>
    </row>
    <row r="9570" spans="1:9" x14ac:dyDescent="0.2">
      <c r="A9570" t="str">
        <f>"Gm9938"</f>
        <v>Gm9938</v>
      </c>
      <c r="B9570" t="s">
        <v>14</v>
      </c>
      <c r="C9570" t="s">
        <v>10</v>
      </c>
      <c r="D9570" t="s">
        <v>17</v>
      </c>
      <c r="E9570" t="s">
        <v>12</v>
      </c>
      <c r="F9570">
        <v>23723072</v>
      </c>
      <c r="G9570">
        <v>23723074</v>
      </c>
      <c r="H9570">
        <v>23723072</v>
      </c>
      <c r="I9570">
        <v>23723074</v>
      </c>
    </row>
    <row r="9571" spans="1:9" x14ac:dyDescent="0.2">
      <c r="A9571" t="str">
        <f>"Gm9944"</f>
        <v>Gm9944</v>
      </c>
      <c r="B9571" t="s">
        <v>4063</v>
      </c>
      <c r="C9571" t="s">
        <v>23</v>
      </c>
      <c r="D9571" t="s">
        <v>11</v>
      </c>
      <c r="E9571" t="s">
        <v>20</v>
      </c>
      <c r="F9571">
        <v>144453316</v>
      </c>
      <c r="G9571">
        <v>144453316</v>
      </c>
      <c r="H9571">
        <v>144453316</v>
      </c>
      <c r="I9571">
        <v>144453316</v>
      </c>
    </row>
    <row r="9572" spans="1:9" x14ac:dyDescent="0.2">
      <c r="A9572" t="str">
        <f>"Gm9945"</f>
        <v>Gm9945</v>
      </c>
      <c r="B9572" t="s">
        <v>4064</v>
      </c>
      <c r="C9572" t="s">
        <v>27</v>
      </c>
      <c r="D9572" t="s">
        <v>17</v>
      </c>
      <c r="E9572" t="s">
        <v>20</v>
      </c>
      <c r="F9572">
        <v>53480165</v>
      </c>
      <c r="G9572">
        <v>53480165</v>
      </c>
      <c r="H9572">
        <v>53480165</v>
      </c>
      <c r="I9572">
        <v>53480165</v>
      </c>
    </row>
    <row r="9573" spans="1:9" x14ac:dyDescent="0.2">
      <c r="A9573" t="str">
        <f>"Gm9947"</f>
        <v>Gm9947</v>
      </c>
      <c r="B9573" t="s">
        <v>14</v>
      </c>
      <c r="C9573" t="s">
        <v>19</v>
      </c>
      <c r="D9573" t="s">
        <v>17</v>
      </c>
      <c r="E9573" t="s">
        <v>67</v>
      </c>
      <c r="F9573">
        <v>14755414</v>
      </c>
      <c r="G9573">
        <v>14755454</v>
      </c>
      <c r="H9573">
        <v>14755414</v>
      </c>
      <c r="I9573">
        <v>14755454</v>
      </c>
    </row>
    <row r="9574" spans="1:9" x14ac:dyDescent="0.2">
      <c r="A9574" t="str">
        <f>"Gm9949"</f>
        <v>Gm9949</v>
      </c>
      <c r="B9574" t="s">
        <v>14</v>
      </c>
      <c r="C9574" t="s">
        <v>43</v>
      </c>
      <c r="D9574" t="s">
        <v>17</v>
      </c>
      <c r="E9574" t="s">
        <v>67</v>
      </c>
      <c r="F9574">
        <v>62180119</v>
      </c>
      <c r="G9574">
        <v>62180182</v>
      </c>
      <c r="H9574">
        <v>62180190</v>
      </c>
      <c r="I9574">
        <v>62180201</v>
      </c>
    </row>
    <row r="9575" spans="1:9" x14ac:dyDescent="0.2">
      <c r="A9575" t="str">
        <f>"Gm9954"</f>
        <v>Gm9954</v>
      </c>
      <c r="B9575" t="s">
        <v>14</v>
      </c>
      <c r="C9575" t="s">
        <v>46</v>
      </c>
      <c r="D9575" t="s">
        <v>11</v>
      </c>
      <c r="E9575" t="s">
        <v>67</v>
      </c>
      <c r="F9575">
        <v>63650309</v>
      </c>
      <c r="G9575">
        <v>63650316</v>
      </c>
      <c r="H9575">
        <v>63650380</v>
      </c>
      <c r="I9575">
        <v>63650391</v>
      </c>
    </row>
    <row r="9576" spans="1:9" x14ac:dyDescent="0.2">
      <c r="A9576" t="str">
        <f>"Gm9955"</f>
        <v>Gm9955</v>
      </c>
      <c r="B9576" t="s">
        <v>14</v>
      </c>
      <c r="C9576" t="s">
        <v>43</v>
      </c>
      <c r="D9576" t="s">
        <v>11</v>
      </c>
      <c r="E9576" t="s">
        <v>67</v>
      </c>
      <c r="F9576">
        <v>24709649</v>
      </c>
      <c r="G9576">
        <v>24709650</v>
      </c>
      <c r="H9576">
        <v>24709649</v>
      </c>
      <c r="I9576">
        <v>24709650</v>
      </c>
    </row>
    <row r="9577" spans="1:9" x14ac:dyDescent="0.2">
      <c r="A9577" t="str">
        <f>"Gm9956"</f>
        <v>Gm9956</v>
      </c>
      <c r="B9577" t="s">
        <v>4065</v>
      </c>
      <c r="C9577" t="s">
        <v>15</v>
      </c>
      <c r="D9577" t="s">
        <v>17</v>
      </c>
      <c r="E9577" t="s">
        <v>20</v>
      </c>
      <c r="F9577">
        <v>56745133</v>
      </c>
      <c r="G9577">
        <v>56745133</v>
      </c>
      <c r="H9577">
        <v>56745133</v>
      </c>
      <c r="I9577">
        <v>56745133</v>
      </c>
    </row>
    <row r="9578" spans="1:9" x14ac:dyDescent="0.2">
      <c r="A9578" t="str">
        <f>"Gm9958"</f>
        <v>Gm9958</v>
      </c>
      <c r="B9578" t="s">
        <v>14</v>
      </c>
      <c r="C9578" t="s">
        <v>46</v>
      </c>
      <c r="D9578" t="s">
        <v>17</v>
      </c>
      <c r="E9578" t="s">
        <v>12</v>
      </c>
      <c r="F9578">
        <v>90366616</v>
      </c>
      <c r="G9578">
        <v>90366671</v>
      </c>
      <c r="H9578">
        <v>90366616</v>
      </c>
      <c r="I9578">
        <v>90366671</v>
      </c>
    </row>
    <row r="9579" spans="1:9" x14ac:dyDescent="0.2">
      <c r="A9579" t="str">
        <f>"Gm996"</f>
        <v>Gm996</v>
      </c>
      <c r="B9579" t="s">
        <v>14</v>
      </c>
      <c r="C9579" t="s">
        <v>26</v>
      </c>
      <c r="D9579" t="s">
        <v>11</v>
      </c>
      <c r="E9579" t="s">
        <v>12</v>
      </c>
      <c r="F9579">
        <v>25580270</v>
      </c>
      <c r="G9579">
        <v>25580278</v>
      </c>
      <c r="H9579">
        <v>25580270</v>
      </c>
      <c r="I9579">
        <v>25580278</v>
      </c>
    </row>
    <row r="9580" spans="1:9" x14ac:dyDescent="0.2">
      <c r="A9580" t="str">
        <f>"Gm9961"</f>
        <v>Gm9961</v>
      </c>
      <c r="B9580" t="s">
        <v>14</v>
      </c>
      <c r="C9580" t="s">
        <v>31</v>
      </c>
      <c r="D9580" t="s">
        <v>17</v>
      </c>
      <c r="E9580" t="s">
        <v>12</v>
      </c>
      <c r="F9580">
        <v>11901385</v>
      </c>
      <c r="G9580">
        <v>11901396</v>
      </c>
      <c r="H9580">
        <v>11901385</v>
      </c>
      <c r="I9580">
        <v>11901396</v>
      </c>
    </row>
    <row r="9581" spans="1:9" x14ac:dyDescent="0.2">
      <c r="A9581" t="str">
        <f>"Gm9962"</f>
        <v>Gm9962</v>
      </c>
      <c r="B9581" t="s">
        <v>14</v>
      </c>
      <c r="C9581" t="s">
        <v>33</v>
      </c>
      <c r="D9581" t="s">
        <v>17</v>
      </c>
      <c r="E9581" t="s">
        <v>12</v>
      </c>
      <c r="F9581">
        <v>57387269</v>
      </c>
      <c r="G9581">
        <v>57387270</v>
      </c>
      <c r="H9581">
        <v>57387019</v>
      </c>
      <c r="I9581">
        <v>57387020</v>
      </c>
    </row>
    <row r="9582" spans="1:9" x14ac:dyDescent="0.2">
      <c r="A9582" t="str">
        <f>"Gm9964"</f>
        <v>Gm9964</v>
      </c>
      <c r="B9582" t="s">
        <v>4066</v>
      </c>
      <c r="C9582" t="s">
        <v>27</v>
      </c>
      <c r="D9582" t="s">
        <v>11</v>
      </c>
      <c r="E9582" t="s">
        <v>20</v>
      </c>
      <c r="F9582">
        <v>79296905</v>
      </c>
      <c r="G9582">
        <v>79296905</v>
      </c>
      <c r="H9582">
        <v>79296905</v>
      </c>
      <c r="I9582">
        <v>79296905</v>
      </c>
    </row>
    <row r="9583" spans="1:9" x14ac:dyDescent="0.2">
      <c r="A9583" t="str">
        <f>"Gm9966"</f>
        <v>Gm9966</v>
      </c>
      <c r="B9583" t="s">
        <v>4067</v>
      </c>
      <c r="C9583" t="s">
        <v>33</v>
      </c>
      <c r="D9583" t="s">
        <v>17</v>
      </c>
      <c r="E9583" t="s">
        <v>20</v>
      </c>
      <c r="F9583">
        <v>95958214</v>
      </c>
      <c r="G9583">
        <v>95958214</v>
      </c>
      <c r="H9583">
        <v>95958214</v>
      </c>
      <c r="I9583">
        <v>95958214</v>
      </c>
    </row>
    <row r="9584" spans="1:9" x14ac:dyDescent="0.2">
      <c r="A9584" t="str">
        <f>"Gm9967"</f>
        <v>Gm9967</v>
      </c>
      <c r="B9584" t="s">
        <v>14</v>
      </c>
      <c r="C9584" t="s">
        <v>33</v>
      </c>
      <c r="D9584" t="s">
        <v>11</v>
      </c>
      <c r="E9584" t="s">
        <v>67</v>
      </c>
      <c r="F9584">
        <v>126776804</v>
      </c>
      <c r="G9584">
        <v>126776855</v>
      </c>
      <c r="H9584">
        <v>126776774</v>
      </c>
      <c r="I9584">
        <v>126776803</v>
      </c>
    </row>
    <row r="9585" spans="1:9" x14ac:dyDescent="0.2">
      <c r="A9585" t="str">
        <f>"Gm9969"</f>
        <v>Gm9969</v>
      </c>
      <c r="B9585" t="s">
        <v>4068</v>
      </c>
      <c r="C9585" t="s">
        <v>23</v>
      </c>
      <c r="D9585" t="s">
        <v>17</v>
      </c>
      <c r="E9585" t="s">
        <v>20</v>
      </c>
      <c r="F9585">
        <v>42668042</v>
      </c>
      <c r="G9585">
        <v>42668042</v>
      </c>
      <c r="H9585">
        <v>42668042</v>
      </c>
      <c r="I9585">
        <v>42668042</v>
      </c>
    </row>
    <row r="9586" spans="1:9" x14ac:dyDescent="0.2">
      <c r="A9586" t="str">
        <f>"Gm9970"</f>
        <v>Gm9970</v>
      </c>
      <c r="B9586" t="s">
        <v>14</v>
      </c>
      <c r="C9586" t="s">
        <v>46</v>
      </c>
      <c r="D9586" t="s">
        <v>11</v>
      </c>
      <c r="E9586" t="s">
        <v>67</v>
      </c>
      <c r="F9586">
        <v>31241215</v>
      </c>
      <c r="G9586">
        <v>31241243</v>
      </c>
      <c r="H9586">
        <v>31241280</v>
      </c>
      <c r="I9586">
        <v>31241292</v>
      </c>
    </row>
    <row r="9587" spans="1:9" x14ac:dyDescent="0.2">
      <c r="A9587" t="str">
        <f>"Gm9972"</f>
        <v>Gm9972</v>
      </c>
      <c r="B9587" t="s">
        <v>14</v>
      </c>
      <c r="C9587" t="s">
        <v>27</v>
      </c>
      <c r="D9587" t="s">
        <v>17</v>
      </c>
      <c r="E9587" t="s">
        <v>12</v>
      </c>
      <c r="F9587">
        <v>43035473</v>
      </c>
      <c r="G9587">
        <v>43035478</v>
      </c>
      <c r="H9587">
        <v>43035473</v>
      </c>
      <c r="I9587">
        <v>43035478</v>
      </c>
    </row>
    <row r="9588" spans="1:9" x14ac:dyDescent="0.2">
      <c r="A9588" t="str">
        <f>"Gm9978"</f>
        <v>Gm9978</v>
      </c>
      <c r="B9588" t="s">
        <v>4069</v>
      </c>
      <c r="C9588" t="s">
        <v>15</v>
      </c>
      <c r="D9588" t="s">
        <v>11</v>
      </c>
      <c r="E9588" t="s">
        <v>20</v>
      </c>
      <c r="F9588">
        <v>78487841</v>
      </c>
      <c r="G9588">
        <v>78487841</v>
      </c>
      <c r="H9588">
        <v>78487841</v>
      </c>
      <c r="I9588">
        <v>78487841</v>
      </c>
    </row>
    <row r="9589" spans="1:9" x14ac:dyDescent="0.2">
      <c r="A9589" t="str">
        <f>"Gm9979"</f>
        <v>Gm9979</v>
      </c>
      <c r="B9589" t="s">
        <v>4070</v>
      </c>
      <c r="C9589" t="s">
        <v>39</v>
      </c>
      <c r="D9589" t="s">
        <v>17</v>
      </c>
      <c r="E9589" t="s">
        <v>35</v>
      </c>
      <c r="F9589">
        <v>40704111</v>
      </c>
      <c r="G9589">
        <v>40704130</v>
      </c>
      <c r="H9589">
        <v>40704111</v>
      </c>
      <c r="I9589">
        <v>40704130</v>
      </c>
    </row>
    <row r="9590" spans="1:9" x14ac:dyDescent="0.2">
      <c r="A9590" t="str">
        <f>"Gm9982"</f>
        <v>Gm9982</v>
      </c>
      <c r="B9590" t="s">
        <v>4071</v>
      </c>
      <c r="C9590" t="s">
        <v>19</v>
      </c>
      <c r="D9590" t="s">
        <v>17</v>
      </c>
      <c r="E9590" t="s">
        <v>20</v>
      </c>
      <c r="F9590">
        <v>178256102</v>
      </c>
      <c r="G9590">
        <v>178256102</v>
      </c>
      <c r="H9590">
        <v>178256102</v>
      </c>
      <c r="I9590">
        <v>178256102</v>
      </c>
    </row>
    <row r="9591" spans="1:9" x14ac:dyDescent="0.2">
      <c r="A9591" t="str">
        <f>"Gm9989"</f>
        <v>Gm9989</v>
      </c>
      <c r="B9591" t="s">
        <v>14</v>
      </c>
      <c r="C9591" t="s">
        <v>22</v>
      </c>
      <c r="D9591" t="s">
        <v>11</v>
      </c>
      <c r="E9591" t="s">
        <v>67</v>
      </c>
      <c r="F9591">
        <v>81924414</v>
      </c>
      <c r="G9591">
        <v>81924424</v>
      </c>
      <c r="H9591">
        <v>81924470</v>
      </c>
      <c r="I9591">
        <v>81924477</v>
      </c>
    </row>
    <row r="9592" spans="1:9" x14ac:dyDescent="0.2">
      <c r="A9592" t="str">
        <f>"Gm9990"</f>
        <v>Gm9990</v>
      </c>
      <c r="B9592" t="s">
        <v>4072</v>
      </c>
      <c r="C9592" t="s">
        <v>33</v>
      </c>
      <c r="D9592" t="s">
        <v>17</v>
      </c>
      <c r="E9592" t="s">
        <v>20</v>
      </c>
      <c r="F9592">
        <v>97720838</v>
      </c>
      <c r="G9592">
        <v>97720838</v>
      </c>
      <c r="H9592">
        <v>97720838</v>
      </c>
      <c r="I9592">
        <v>97720838</v>
      </c>
    </row>
    <row r="9593" spans="1:9" x14ac:dyDescent="0.2">
      <c r="A9593" t="str">
        <f>"Gm9991"</f>
        <v>Gm9991</v>
      </c>
      <c r="B9593" t="s">
        <v>4073</v>
      </c>
      <c r="C9593" t="s">
        <v>19</v>
      </c>
      <c r="D9593" t="s">
        <v>17</v>
      </c>
      <c r="E9593" t="s">
        <v>20</v>
      </c>
      <c r="F9593">
        <v>90675160</v>
      </c>
      <c r="G9593">
        <v>90675160</v>
      </c>
      <c r="H9593">
        <v>90675160</v>
      </c>
      <c r="I9593">
        <v>90675160</v>
      </c>
    </row>
    <row r="9594" spans="1:9" x14ac:dyDescent="0.2">
      <c r="A9594" t="str">
        <f>"Gm9992"</f>
        <v>Gm9992</v>
      </c>
      <c r="B9594" t="s">
        <v>4074</v>
      </c>
      <c r="C9594" t="s">
        <v>28</v>
      </c>
      <c r="D9594" t="s">
        <v>11</v>
      </c>
      <c r="E9594" t="s">
        <v>20</v>
      </c>
      <c r="F9594">
        <v>7385304</v>
      </c>
      <c r="G9594">
        <v>7385304</v>
      </c>
      <c r="H9594">
        <v>7385304</v>
      </c>
      <c r="I9594">
        <v>7385304</v>
      </c>
    </row>
    <row r="9595" spans="1:9" x14ac:dyDescent="0.2">
      <c r="A9595" t="str">
        <f>"Gm9994"</f>
        <v>Gm9994</v>
      </c>
      <c r="B9595" t="s">
        <v>14</v>
      </c>
      <c r="C9595" t="s">
        <v>19</v>
      </c>
      <c r="D9595" t="s">
        <v>17</v>
      </c>
      <c r="E9595" t="s">
        <v>12</v>
      </c>
      <c r="F9595">
        <v>93927773</v>
      </c>
      <c r="G9595">
        <v>93927801</v>
      </c>
      <c r="H9595">
        <v>93927773</v>
      </c>
      <c r="I9595">
        <v>93927801</v>
      </c>
    </row>
    <row r="9596" spans="1:9" x14ac:dyDescent="0.2">
      <c r="A9596" t="str">
        <f>"Gm9996"</f>
        <v>Gm9996</v>
      </c>
      <c r="B9596" t="s">
        <v>14</v>
      </c>
      <c r="C9596" t="s">
        <v>15</v>
      </c>
      <c r="D9596" t="s">
        <v>11</v>
      </c>
      <c r="E9596" t="s">
        <v>67</v>
      </c>
      <c r="F9596">
        <v>29143997</v>
      </c>
      <c r="G9596">
        <v>29144035</v>
      </c>
      <c r="H9596">
        <v>29144248</v>
      </c>
      <c r="I9596">
        <v>29144255</v>
      </c>
    </row>
    <row r="9597" spans="1:9" x14ac:dyDescent="0.2">
      <c r="A9597" t="str">
        <f>"Gm9999"</f>
        <v>Gm9999</v>
      </c>
      <c r="B9597" t="s">
        <v>14</v>
      </c>
      <c r="C9597" t="s">
        <v>33</v>
      </c>
      <c r="D9597" t="s">
        <v>17</v>
      </c>
      <c r="E9597" t="s">
        <v>12</v>
      </c>
      <c r="F9597">
        <v>46986814</v>
      </c>
      <c r="G9597">
        <v>46986831</v>
      </c>
      <c r="H9597">
        <v>46986814</v>
      </c>
      <c r="I9597">
        <v>46986831</v>
      </c>
    </row>
    <row r="9598" spans="1:9" x14ac:dyDescent="0.2">
      <c r="A9598" t="str">
        <f>"Gmcl1"</f>
        <v>Gmcl1</v>
      </c>
      <c r="B9598" t="s">
        <v>14</v>
      </c>
      <c r="C9598" t="s">
        <v>32</v>
      </c>
      <c r="D9598" t="s">
        <v>11</v>
      </c>
      <c r="E9598" t="s">
        <v>12</v>
      </c>
      <c r="F9598">
        <v>86733268</v>
      </c>
      <c r="G9598">
        <v>86733394</v>
      </c>
      <c r="H9598">
        <v>86733218</v>
      </c>
      <c r="I9598">
        <v>86733256</v>
      </c>
    </row>
    <row r="9599" spans="1:9" x14ac:dyDescent="0.2">
      <c r="A9599" t="str">
        <f>"Gmcl1l"</f>
        <v>Gmcl1l</v>
      </c>
      <c r="B9599" t="s">
        <v>4075</v>
      </c>
      <c r="C9599" t="s">
        <v>37</v>
      </c>
      <c r="D9599" t="s">
        <v>17</v>
      </c>
      <c r="E9599" t="s">
        <v>20</v>
      </c>
      <c r="F9599">
        <v>32560054</v>
      </c>
      <c r="G9599">
        <v>32560054</v>
      </c>
      <c r="H9599">
        <v>32560054</v>
      </c>
      <c r="I9599">
        <v>32560054</v>
      </c>
    </row>
    <row r="9600" spans="1:9" x14ac:dyDescent="0.2">
      <c r="A9600" t="str">
        <f>"Gmds"</f>
        <v>Gmds</v>
      </c>
      <c r="B9600" t="s">
        <v>14</v>
      </c>
      <c r="C9600" t="s">
        <v>39</v>
      </c>
      <c r="D9600" t="s">
        <v>11</v>
      </c>
      <c r="E9600" t="s">
        <v>12</v>
      </c>
      <c r="F9600">
        <v>32338565</v>
      </c>
      <c r="G9600">
        <v>32338660</v>
      </c>
      <c r="H9600">
        <v>32338500</v>
      </c>
      <c r="I9600">
        <v>32338542</v>
      </c>
    </row>
    <row r="9601" spans="1:9" x14ac:dyDescent="0.2">
      <c r="A9601" t="str">
        <f>"Gmeb1"</f>
        <v>Gmeb1</v>
      </c>
      <c r="B9601" t="s">
        <v>14</v>
      </c>
      <c r="C9601" t="s">
        <v>23</v>
      </c>
      <c r="D9601" t="s">
        <v>11</v>
      </c>
      <c r="E9601" t="s">
        <v>12</v>
      </c>
      <c r="F9601">
        <v>132261526</v>
      </c>
      <c r="G9601">
        <v>132261572</v>
      </c>
      <c r="H9601">
        <v>132261596</v>
      </c>
      <c r="I9601">
        <v>132261622</v>
      </c>
    </row>
    <row r="9602" spans="1:9" x14ac:dyDescent="0.2">
      <c r="A9602" t="str">
        <f>"Gmeb2"</f>
        <v>Gmeb2</v>
      </c>
      <c r="B9602" t="s">
        <v>14</v>
      </c>
      <c r="C9602" t="s">
        <v>26</v>
      </c>
      <c r="D9602" t="s">
        <v>11</v>
      </c>
      <c r="E9602" t="s">
        <v>12</v>
      </c>
      <c r="F9602">
        <v>181287958</v>
      </c>
      <c r="G9602">
        <v>181288007</v>
      </c>
      <c r="H9602">
        <v>181288016</v>
      </c>
      <c r="I9602">
        <v>181288041</v>
      </c>
    </row>
    <row r="9603" spans="1:9" x14ac:dyDescent="0.2">
      <c r="A9603" t="str">
        <f>"Gmfb"</f>
        <v>Gmfb</v>
      </c>
      <c r="B9603" t="s">
        <v>14</v>
      </c>
      <c r="C9603" t="s">
        <v>41</v>
      </c>
      <c r="D9603" t="s">
        <v>11</v>
      </c>
      <c r="E9603" t="s">
        <v>12</v>
      </c>
      <c r="F9603">
        <v>46822171</v>
      </c>
      <c r="G9603">
        <v>46822222</v>
      </c>
      <c r="H9603">
        <v>46822136</v>
      </c>
      <c r="I9603">
        <v>46822167</v>
      </c>
    </row>
    <row r="9604" spans="1:9" x14ac:dyDescent="0.2">
      <c r="A9604" t="str">
        <f>"Gmfg"</f>
        <v>Gmfg</v>
      </c>
      <c r="B9604" t="s">
        <v>14</v>
      </c>
      <c r="C9604" t="s">
        <v>33</v>
      </c>
      <c r="D9604" t="s">
        <v>17</v>
      </c>
      <c r="E9604" t="s">
        <v>12</v>
      </c>
      <c r="F9604">
        <v>28440946</v>
      </c>
      <c r="G9604">
        <v>28441018</v>
      </c>
      <c r="H9604">
        <v>28440931</v>
      </c>
      <c r="I9604">
        <v>28440945</v>
      </c>
    </row>
    <row r="9605" spans="1:9" x14ac:dyDescent="0.2">
      <c r="A9605" t="str">
        <f>"Gmip"</f>
        <v>Gmip</v>
      </c>
      <c r="B9605" t="s">
        <v>14</v>
      </c>
      <c r="C9605" t="s">
        <v>30</v>
      </c>
      <c r="D9605" t="s">
        <v>17</v>
      </c>
      <c r="E9605" t="s">
        <v>12</v>
      </c>
      <c r="F9605">
        <v>69808672</v>
      </c>
      <c r="G9605">
        <v>69808742</v>
      </c>
      <c r="H9605">
        <v>69808746</v>
      </c>
      <c r="I9605">
        <v>69808756</v>
      </c>
    </row>
    <row r="9606" spans="1:9" x14ac:dyDescent="0.2">
      <c r="A9606" t="str">
        <f>"Gml"</f>
        <v>Gml</v>
      </c>
      <c r="B9606" t="s">
        <v>14</v>
      </c>
      <c r="C9606" t="s">
        <v>25</v>
      </c>
      <c r="D9606" t="s">
        <v>11</v>
      </c>
      <c r="E9606" t="s">
        <v>12</v>
      </c>
      <c r="F9606">
        <v>74818722</v>
      </c>
      <c r="G9606">
        <v>74818735</v>
      </c>
      <c r="H9606">
        <v>74818722</v>
      </c>
      <c r="I9606">
        <v>74818735</v>
      </c>
    </row>
    <row r="9607" spans="1:9" x14ac:dyDescent="0.2">
      <c r="A9607" t="str">
        <f>"Gmnc"</f>
        <v>Gmnc</v>
      </c>
      <c r="B9607" t="s">
        <v>4076</v>
      </c>
      <c r="C9607" t="s">
        <v>31</v>
      </c>
      <c r="D9607" t="s">
        <v>11</v>
      </c>
      <c r="E9607" t="s">
        <v>20</v>
      </c>
      <c r="F9607">
        <v>26989973</v>
      </c>
      <c r="G9607">
        <v>26989973</v>
      </c>
      <c r="H9607">
        <v>26989973</v>
      </c>
      <c r="I9607">
        <v>26989973</v>
      </c>
    </row>
    <row r="9608" spans="1:9" x14ac:dyDescent="0.2">
      <c r="A9608" t="str">
        <f>"Gmnn"</f>
        <v>Gmnn</v>
      </c>
      <c r="B9608" t="s">
        <v>14</v>
      </c>
      <c r="C9608" t="s">
        <v>39</v>
      </c>
      <c r="D9608" t="s">
        <v>11</v>
      </c>
      <c r="E9608" t="s">
        <v>12</v>
      </c>
      <c r="F9608">
        <v>24761875</v>
      </c>
      <c r="G9608">
        <v>24761950</v>
      </c>
      <c r="H9608">
        <v>24762038</v>
      </c>
      <c r="I9608">
        <v>24762045</v>
      </c>
    </row>
    <row r="9609" spans="1:9" x14ac:dyDescent="0.2">
      <c r="A9609" t="str">
        <f>"Gmppa"</f>
        <v>Gmppa</v>
      </c>
      <c r="B9609" t="s">
        <v>14</v>
      </c>
      <c r="C9609" t="s">
        <v>19</v>
      </c>
      <c r="D9609" t="s">
        <v>17</v>
      </c>
      <c r="E9609" t="s">
        <v>12</v>
      </c>
      <c r="F9609">
        <v>75435937</v>
      </c>
      <c r="G9609">
        <v>75435992</v>
      </c>
      <c r="H9609">
        <v>75436002</v>
      </c>
      <c r="I9609">
        <v>75436013</v>
      </c>
    </row>
    <row r="9610" spans="1:9" x14ac:dyDescent="0.2">
      <c r="A9610" t="str">
        <f>"Gmppb"</f>
        <v>Gmppb</v>
      </c>
      <c r="B9610" t="s">
        <v>14</v>
      </c>
      <c r="C9610" t="s">
        <v>24</v>
      </c>
      <c r="D9610" t="s">
        <v>17</v>
      </c>
      <c r="E9610" t="s">
        <v>12</v>
      </c>
      <c r="F9610">
        <v>108049254</v>
      </c>
      <c r="G9610">
        <v>108049339</v>
      </c>
      <c r="H9610">
        <v>108049859</v>
      </c>
      <c r="I9610">
        <v>108049894</v>
      </c>
    </row>
    <row r="9611" spans="1:9" x14ac:dyDescent="0.2">
      <c r="A9611" t="str">
        <f>"Gmpr"</f>
        <v>Gmpr</v>
      </c>
      <c r="B9611" t="s">
        <v>14</v>
      </c>
      <c r="C9611" t="s">
        <v>39</v>
      </c>
      <c r="D9611" t="s">
        <v>17</v>
      </c>
      <c r="E9611" t="s">
        <v>12</v>
      </c>
      <c r="F9611">
        <v>45507527</v>
      </c>
      <c r="G9611">
        <v>45507549</v>
      </c>
      <c r="H9611">
        <v>45507438</v>
      </c>
      <c r="I9611">
        <v>45507515</v>
      </c>
    </row>
    <row r="9612" spans="1:9" x14ac:dyDescent="0.2">
      <c r="A9612" t="str">
        <f>"Gmpr2"</f>
        <v>Gmpr2</v>
      </c>
      <c r="B9612" t="s">
        <v>14</v>
      </c>
      <c r="C9612" t="s">
        <v>41</v>
      </c>
      <c r="D9612" t="s">
        <v>17</v>
      </c>
      <c r="E9612" t="s">
        <v>12</v>
      </c>
      <c r="F9612">
        <v>55672250</v>
      </c>
      <c r="G9612">
        <v>55672298</v>
      </c>
      <c r="H9612">
        <v>55672250</v>
      </c>
      <c r="I9612">
        <v>55672298</v>
      </c>
    </row>
    <row r="9613" spans="1:9" x14ac:dyDescent="0.2">
      <c r="A9613" t="str">
        <f>"Gmps"</f>
        <v>Gmps</v>
      </c>
      <c r="B9613" t="s">
        <v>14</v>
      </c>
      <c r="C9613" t="s">
        <v>22</v>
      </c>
      <c r="D9613" t="s">
        <v>17</v>
      </c>
      <c r="E9613" t="s">
        <v>12</v>
      </c>
      <c r="F9613">
        <v>63976137</v>
      </c>
      <c r="G9613">
        <v>63976211</v>
      </c>
      <c r="H9613">
        <v>63976109</v>
      </c>
      <c r="I9613">
        <v>63976135</v>
      </c>
    </row>
    <row r="9614" spans="1:9" x14ac:dyDescent="0.2">
      <c r="A9614" t="str">
        <f>"Gna11"</f>
        <v>Gna11</v>
      </c>
      <c r="B9614" t="s">
        <v>14</v>
      </c>
      <c r="C9614" t="s">
        <v>15</v>
      </c>
      <c r="D9614" t="s">
        <v>11</v>
      </c>
      <c r="E9614" t="s">
        <v>12</v>
      </c>
      <c r="F9614">
        <v>81545056</v>
      </c>
      <c r="G9614">
        <v>81545169</v>
      </c>
      <c r="H9614">
        <v>81545175</v>
      </c>
      <c r="I9614">
        <v>81545192</v>
      </c>
    </row>
    <row r="9615" spans="1:9" x14ac:dyDescent="0.2">
      <c r="A9615" t="str">
        <f>"Gna12"</f>
        <v>Gna12</v>
      </c>
      <c r="B9615" t="s">
        <v>14</v>
      </c>
      <c r="C9615" t="s">
        <v>46</v>
      </c>
      <c r="D9615" t="s">
        <v>11</v>
      </c>
      <c r="E9615" t="s">
        <v>12</v>
      </c>
      <c r="F9615">
        <v>140830430</v>
      </c>
      <c r="G9615">
        <v>140830453</v>
      </c>
      <c r="H9615">
        <v>140830363</v>
      </c>
      <c r="I9615">
        <v>140830384</v>
      </c>
    </row>
    <row r="9616" spans="1:9" x14ac:dyDescent="0.2">
      <c r="A9616" t="str">
        <f>"Gna13"</f>
        <v>Gna13</v>
      </c>
      <c r="B9616" t="s">
        <v>14</v>
      </c>
      <c r="C9616" t="s">
        <v>27</v>
      </c>
      <c r="D9616" t="s">
        <v>17</v>
      </c>
      <c r="E9616" t="s">
        <v>12</v>
      </c>
      <c r="F9616">
        <v>109362771</v>
      </c>
      <c r="G9616">
        <v>109362854</v>
      </c>
      <c r="H9616">
        <v>109362926</v>
      </c>
      <c r="I9616">
        <v>109362977</v>
      </c>
    </row>
    <row r="9617" spans="1:9" x14ac:dyDescent="0.2">
      <c r="A9617" t="str">
        <f>"Gna14"</f>
        <v>Gna14</v>
      </c>
      <c r="B9617" t="s">
        <v>14</v>
      </c>
      <c r="C9617" t="s">
        <v>10</v>
      </c>
      <c r="D9617" t="s">
        <v>17</v>
      </c>
      <c r="E9617" t="s">
        <v>12</v>
      </c>
      <c r="F9617">
        <v>16436060</v>
      </c>
      <c r="G9617">
        <v>16436088</v>
      </c>
      <c r="H9617">
        <v>16436060</v>
      </c>
      <c r="I9617">
        <v>16436088</v>
      </c>
    </row>
    <row r="9618" spans="1:9" x14ac:dyDescent="0.2">
      <c r="A9618" t="str">
        <f>"Gna15"</f>
        <v>Gna15</v>
      </c>
      <c r="B9618" t="s">
        <v>14</v>
      </c>
      <c r="C9618" t="s">
        <v>15</v>
      </c>
      <c r="D9618" t="s">
        <v>11</v>
      </c>
      <c r="E9618" t="s">
        <v>12</v>
      </c>
      <c r="F9618">
        <v>81524106</v>
      </c>
      <c r="G9618">
        <v>81524127</v>
      </c>
      <c r="H9618">
        <v>81524271</v>
      </c>
      <c r="I9618">
        <v>81524285</v>
      </c>
    </row>
    <row r="9619" spans="1:9" x14ac:dyDescent="0.2">
      <c r="A9619" t="str">
        <f>"Gnai1"</f>
        <v>Gnai1</v>
      </c>
      <c r="B9619" t="s">
        <v>14</v>
      </c>
      <c r="C9619" t="s">
        <v>46</v>
      </c>
      <c r="D9619" t="s">
        <v>11</v>
      </c>
      <c r="E9619" t="s">
        <v>12</v>
      </c>
      <c r="F9619">
        <v>18360384</v>
      </c>
      <c r="G9619">
        <v>18360473</v>
      </c>
      <c r="H9619">
        <v>18360370</v>
      </c>
      <c r="I9619">
        <v>18360377</v>
      </c>
    </row>
    <row r="9620" spans="1:9" x14ac:dyDescent="0.2">
      <c r="A9620" t="str">
        <f>"Gnai2"</f>
        <v>Gnai2</v>
      </c>
      <c r="B9620" t="s">
        <v>14</v>
      </c>
      <c r="C9620" t="s">
        <v>24</v>
      </c>
      <c r="D9620" t="s">
        <v>11</v>
      </c>
      <c r="E9620" t="s">
        <v>12</v>
      </c>
      <c r="F9620">
        <v>107635330</v>
      </c>
      <c r="G9620">
        <v>107635353</v>
      </c>
      <c r="H9620">
        <v>107635531</v>
      </c>
      <c r="I9620">
        <v>107635561</v>
      </c>
    </row>
    <row r="9621" spans="1:9" x14ac:dyDescent="0.2">
      <c r="A9621" t="str">
        <f>"Gnai3"</f>
        <v>Gnai3</v>
      </c>
      <c r="B9621" t="s">
        <v>14</v>
      </c>
      <c r="C9621" t="s">
        <v>22</v>
      </c>
      <c r="D9621" t="s">
        <v>11</v>
      </c>
      <c r="E9621" t="s">
        <v>12</v>
      </c>
      <c r="F9621">
        <v>108146080</v>
      </c>
      <c r="G9621">
        <v>108146150</v>
      </c>
      <c r="H9621">
        <v>108146080</v>
      </c>
      <c r="I9621">
        <v>108146150</v>
      </c>
    </row>
    <row r="9622" spans="1:9" x14ac:dyDescent="0.2">
      <c r="A9622" t="str">
        <f>"Gnal"</f>
        <v>Gnal</v>
      </c>
      <c r="B9622" t="s">
        <v>4077</v>
      </c>
      <c r="C9622" t="s">
        <v>43</v>
      </c>
      <c r="D9622" t="s">
        <v>17</v>
      </c>
      <c r="E9622" t="s">
        <v>35</v>
      </c>
      <c r="F9622">
        <v>67133628</v>
      </c>
      <c r="G9622">
        <v>67133633</v>
      </c>
      <c r="H9622">
        <v>67133912</v>
      </c>
      <c r="I9622">
        <v>67133913</v>
      </c>
    </row>
    <row r="9623" spans="1:9" x14ac:dyDescent="0.2">
      <c r="A9623" t="str">
        <f>"Gnao1"</f>
        <v>Gnao1</v>
      </c>
      <c r="B9623" t="s">
        <v>14</v>
      </c>
      <c r="C9623" t="s">
        <v>30</v>
      </c>
      <c r="D9623" t="s">
        <v>17</v>
      </c>
      <c r="E9623" t="s">
        <v>12</v>
      </c>
      <c r="F9623">
        <v>93810572</v>
      </c>
      <c r="G9623">
        <v>93810651</v>
      </c>
      <c r="H9623">
        <v>93810465</v>
      </c>
      <c r="I9623">
        <v>93810486</v>
      </c>
    </row>
    <row r="9624" spans="1:9" x14ac:dyDescent="0.2">
      <c r="A9624" t="str">
        <f>"Gnaq"</f>
        <v>Gnaq</v>
      </c>
      <c r="B9624" t="s">
        <v>14</v>
      </c>
      <c r="C9624" t="s">
        <v>10</v>
      </c>
      <c r="D9624" t="s">
        <v>17</v>
      </c>
      <c r="E9624" t="s">
        <v>12</v>
      </c>
      <c r="F9624">
        <v>16132662</v>
      </c>
      <c r="G9624">
        <v>16132721</v>
      </c>
      <c r="H9624">
        <v>16132812</v>
      </c>
      <c r="I9624">
        <v>16132910</v>
      </c>
    </row>
    <row r="9625" spans="1:9" x14ac:dyDescent="0.2">
      <c r="A9625" t="str">
        <f>"Gnas"</f>
        <v>Gnas</v>
      </c>
      <c r="B9625" t="s">
        <v>9</v>
      </c>
      <c r="C9625" t="s">
        <v>26</v>
      </c>
      <c r="D9625" t="s">
        <v>17</v>
      </c>
      <c r="E9625" t="s">
        <v>12</v>
      </c>
      <c r="F9625">
        <v>174330111</v>
      </c>
      <c r="G9625">
        <v>174330126</v>
      </c>
      <c r="H9625">
        <v>174330111</v>
      </c>
      <c r="I9625">
        <v>174330126</v>
      </c>
    </row>
    <row r="9626" spans="1:9" x14ac:dyDescent="0.2">
      <c r="A9626" t="str">
        <f>"Gnas"</f>
        <v>Gnas</v>
      </c>
      <c r="B9626" t="s">
        <v>13</v>
      </c>
      <c r="C9626" t="s">
        <v>26</v>
      </c>
      <c r="D9626" t="s">
        <v>17</v>
      </c>
      <c r="E9626" t="s">
        <v>12</v>
      </c>
      <c r="F9626">
        <v>174327747</v>
      </c>
      <c r="G9626">
        <v>174327763</v>
      </c>
      <c r="H9626">
        <v>174327747</v>
      </c>
      <c r="I9626">
        <v>174327763</v>
      </c>
    </row>
    <row r="9627" spans="1:9" x14ac:dyDescent="0.2">
      <c r="A9627" t="str">
        <f>"Gnat1"</f>
        <v>Gnat1</v>
      </c>
      <c r="B9627" t="s">
        <v>14</v>
      </c>
      <c r="C9627" t="s">
        <v>24</v>
      </c>
      <c r="D9627" t="s">
        <v>11</v>
      </c>
      <c r="E9627" t="s">
        <v>12</v>
      </c>
      <c r="F9627">
        <v>107679624</v>
      </c>
      <c r="G9627">
        <v>107679640</v>
      </c>
      <c r="H9627">
        <v>107679624</v>
      </c>
      <c r="I9627">
        <v>107679640</v>
      </c>
    </row>
    <row r="9628" spans="1:9" x14ac:dyDescent="0.2">
      <c r="A9628" t="str">
        <f>"Gnat2"</f>
        <v>Gnat2</v>
      </c>
      <c r="B9628" t="s">
        <v>14</v>
      </c>
      <c r="C9628" t="s">
        <v>22</v>
      </c>
      <c r="D9628" t="s">
        <v>17</v>
      </c>
      <c r="E9628" t="s">
        <v>12</v>
      </c>
      <c r="F9628">
        <v>108093052</v>
      </c>
      <c r="G9628">
        <v>108093062</v>
      </c>
      <c r="H9628">
        <v>108093109</v>
      </c>
      <c r="I9628">
        <v>108093120</v>
      </c>
    </row>
    <row r="9629" spans="1:9" x14ac:dyDescent="0.2">
      <c r="A9629" t="str">
        <f>"Gnat3"</f>
        <v>Gnat3</v>
      </c>
      <c r="B9629" t="s">
        <v>14</v>
      </c>
      <c r="C9629" t="s">
        <v>46</v>
      </c>
      <c r="D9629" t="s">
        <v>17</v>
      </c>
      <c r="E9629" t="s">
        <v>12</v>
      </c>
      <c r="F9629">
        <v>17962533</v>
      </c>
      <c r="G9629">
        <v>17962540</v>
      </c>
      <c r="H9629">
        <v>17962533</v>
      </c>
      <c r="I9629">
        <v>17962540</v>
      </c>
    </row>
    <row r="9630" spans="1:9" x14ac:dyDescent="0.2">
      <c r="A9630" t="str">
        <f>"Gnaz"</f>
        <v>Gnaz</v>
      </c>
      <c r="B9630" t="s">
        <v>14</v>
      </c>
      <c r="C9630" t="s">
        <v>15</v>
      </c>
      <c r="D9630" t="s">
        <v>17</v>
      </c>
      <c r="E9630" t="s">
        <v>12</v>
      </c>
      <c r="F9630">
        <v>74967127</v>
      </c>
      <c r="G9630">
        <v>74967162</v>
      </c>
      <c r="H9630">
        <v>74967206</v>
      </c>
      <c r="I9630">
        <v>74967281</v>
      </c>
    </row>
    <row r="9631" spans="1:9" x14ac:dyDescent="0.2">
      <c r="A9631" t="str">
        <f>"Gnb1"</f>
        <v>Gnb1</v>
      </c>
      <c r="B9631" t="s">
        <v>14</v>
      </c>
      <c r="C9631" t="s">
        <v>23</v>
      </c>
      <c r="D9631" t="s">
        <v>17</v>
      </c>
      <c r="E9631" t="s">
        <v>12</v>
      </c>
      <c r="F9631">
        <v>155491353</v>
      </c>
      <c r="G9631">
        <v>155491411</v>
      </c>
      <c r="H9631">
        <v>155491353</v>
      </c>
      <c r="I9631">
        <v>155491411</v>
      </c>
    </row>
    <row r="9632" spans="1:9" x14ac:dyDescent="0.2">
      <c r="A9632" t="str">
        <f>"Gnb1l"</f>
        <v>Gnb1l</v>
      </c>
      <c r="B9632" t="s">
        <v>14</v>
      </c>
      <c r="C9632" t="s">
        <v>31</v>
      </c>
      <c r="D9632" t="s">
        <v>17</v>
      </c>
      <c r="E9632" t="s">
        <v>12</v>
      </c>
      <c r="F9632">
        <v>18498865</v>
      </c>
      <c r="G9632">
        <v>18498942</v>
      </c>
      <c r="H9632">
        <v>18498785</v>
      </c>
      <c r="I9632">
        <v>18498809</v>
      </c>
    </row>
    <row r="9633" spans="1:9" x14ac:dyDescent="0.2">
      <c r="A9633" t="str">
        <f>"Gnb2"</f>
        <v>Gnb2</v>
      </c>
      <c r="B9633" t="s">
        <v>14</v>
      </c>
      <c r="C9633" t="s">
        <v>46</v>
      </c>
      <c r="D9633" t="s">
        <v>11</v>
      </c>
      <c r="E9633" t="s">
        <v>12</v>
      </c>
      <c r="F9633">
        <v>137533212</v>
      </c>
      <c r="G9633">
        <v>137533290</v>
      </c>
      <c r="H9633">
        <v>137533170</v>
      </c>
      <c r="I9633">
        <v>137533198</v>
      </c>
    </row>
    <row r="9634" spans="1:9" x14ac:dyDescent="0.2">
      <c r="A9634" t="str">
        <f>"Gnb2l1"</f>
        <v>Gnb2l1</v>
      </c>
      <c r="B9634" t="s">
        <v>14</v>
      </c>
      <c r="C9634" t="s">
        <v>27</v>
      </c>
      <c r="D9634" t="s">
        <v>17</v>
      </c>
      <c r="E9634" t="s">
        <v>12</v>
      </c>
      <c r="F9634">
        <v>48800357</v>
      </c>
      <c r="G9634">
        <v>48800369</v>
      </c>
      <c r="H9634">
        <v>48800357</v>
      </c>
      <c r="I9634">
        <v>48800369</v>
      </c>
    </row>
    <row r="9635" spans="1:9" x14ac:dyDescent="0.2">
      <c r="A9635" t="str">
        <f>"Gnb3"</f>
        <v>Gnb3</v>
      </c>
      <c r="B9635" t="s">
        <v>14</v>
      </c>
      <c r="C9635" t="s">
        <v>32</v>
      </c>
      <c r="D9635" t="s">
        <v>11</v>
      </c>
      <c r="E9635" t="s">
        <v>12</v>
      </c>
      <c r="F9635">
        <v>124839967</v>
      </c>
      <c r="G9635">
        <v>124840016</v>
      </c>
      <c r="H9635">
        <v>124840192</v>
      </c>
      <c r="I9635">
        <v>124840205</v>
      </c>
    </row>
    <row r="9636" spans="1:9" x14ac:dyDescent="0.2">
      <c r="A9636" t="str">
        <f>"Gnb4"</f>
        <v>Gnb4</v>
      </c>
      <c r="B9636" t="s">
        <v>14</v>
      </c>
      <c r="C9636" t="s">
        <v>22</v>
      </c>
      <c r="D9636" t="s">
        <v>11</v>
      </c>
      <c r="E9636" t="s">
        <v>12</v>
      </c>
      <c r="F9636">
        <v>32616479</v>
      </c>
      <c r="G9636">
        <v>32616564</v>
      </c>
      <c r="H9636">
        <v>32616463</v>
      </c>
      <c r="I9636">
        <v>32616473</v>
      </c>
    </row>
    <row r="9637" spans="1:9" x14ac:dyDescent="0.2">
      <c r="A9637" t="str">
        <f>"Gnb5"</f>
        <v>Gnb5</v>
      </c>
      <c r="B9637" t="s">
        <v>14</v>
      </c>
      <c r="C9637" t="s">
        <v>24</v>
      </c>
      <c r="D9637" t="s">
        <v>17</v>
      </c>
      <c r="E9637" t="s">
        <v>12</v>
      </c>
      <c r="F9637">
        <v>75314133</v>
      </c>
      <c r="G9637">
        <v>75314210</v>
      </c>
      <c r="H9637">
        <v>75314235</v>
      </c>
      <c r="I9637">
        <v>75314265</v>
      </c>
    </row>
    <row r="9638" spans="1:9" x14ac:dyDescent="0.2">
      <c r="A9638" t="str">
        <f>"Gne"</f>
        <v>Gne</v>
      </c>
      <c r="B9638" t="s">
        <v>9</v>
      </c>
      <c r="C9638" t="s">
        <v>23</v>
      </c>
      <c r="D9638" t="s">
        <v>11</v>
      </c>
      <c r="E9638" t="s">
        <v>12</v>
      </c>
      <c r="F9638">
        <v>44072578</v>
      </c>
      <c r="G9638">
        <v>44072693</v>
      </c>
      <c r="H9638">
        <v>44072578</v>
      </c>
      <c r="I9638">
        <v>44072693</v>
      </c>
    </row>
    <row r="9639" spans="1:9" x14ac:dyDescent="0.2">
      <c r="A9639" t="str">
        <f>"Gne"</f>
        <v>Gne</v>
      </c>
      <c r="B9639" t="s">
        <v>13</v>
      </c>
      <c r="C9639" t="s">
        <v>23</v>
      </c>
      <c r="D9639" t="s">
        <v>11</v>
      </c>
      <c r="E9639" t="s">
        <v>12</v>
      </c>
      <c r="F9639">
        <v>44084167</v>
      </c>
      <c r="G9639">
        <v>44084187</v>
      </c>
      <c r="H9639">
        <v>44084167</v>
      </c>
      <c r="I9639">
        <v>44084187</v>
      </c>
    </row>
    <row r="9640" spans="1:9" x14ac:dyDescent="0.2">
      <c r="A9640" t="str">
        <f>"Gng10"</f>
        <v>Gng10</v>
      </c>
      <c r="B9640" t="s">
        <v>14</v>
      </c>
      <c r="C9640" t="s">
        <v>23</v>
      </c>
      <c r="D9640" t="s">
        <v>17</v>
      </c>
      <c r="E9640" t="s">
        <v>12</v>
      </c>
      <c r="F9640">
        <v>59035175</v>
      </c>
      <c r="G9640">
        <v>59035247</v>
      </c>
      <c r="H9640">
        <v>59035464</v>
      </c>
      <c r="I9640">
        <v>59035478</v>
      </c>
    </row>
    <row r="9641" spans="1:9" x14ac:dyDescent="0.2">
      <c r="A9641" t="str">
        <f>"Gng11"</f>
        <v>Gng11</v>
      </c>
      <c r="B9641" t="s">
        <v>14</v>
      </c>
      <c r="C9641" t="s">
        <v>32</v>
      </c>
      <c r="D9641" t="s">
        <v>17</v>
      </c>
      <c r="E9641" t="s">
        <v>12</v>
      </c>
      <c r="F9641">
        <v>4004241</v>
      </c>
      <c r="G9641">
        <v>4004274</v>
      </c>
      <c r="H9641">
        <v>4003944</v>
      </c>
      <c r="I9641">
        <v>4004028</v>
      </c>
    </row>
    <row r="9642" spans="1:9" x14ac:dyDescent="0.2">
      <c r="A9642" t="str">
        <f>"Gng12"</f>
        <v>Gng12</v>
      </c>
      <c r="B9642" t="s">
        <v>14</v>
      </c>
      <c r="C9642" t="s">
        <v>32</v>
      </c>
      <c r="D9642" t="s">
        <v>17</v>
      </c>
      <c r="E9642" t="s">
        <v>12</v>
      </c>
      <c r="F9642">
        <v>66896444</v>
      </c>
      <c r="G9642">
        <v>66896479</v>
      </c>
      <c r="H9642">
        <v>66896480</v>
      </c>
      <c r="I9642">
        <v>66896492</v>
      </c>
    </row>
    <row r="9643" spans="1:9" x14ac:dyDescent="0.2">
      <c r="A9643" t="str">
        <f>"Gng13"</f>
        <v>Gng13</v>
      </c>
      <c r="B9643" t="s">
        <v>14</v>
      </c>
      <c r="C9643" t="s">
        <v>28</v>
      </c>
      <c r="D9643" t="s">
        <v>17</v>
      </c>
      <c r="E9643" t="s">
        <v>12</v>
      </c>
      <c r="F9643">
        <v>25717214</v>
      </c>
      <c r="G9643">
        <v>25717236</v>
      </c>
      <c r="H9643">
        <v>25717489</v>
      </c>
      <c r="I9643">
        <v>25717551</v>
      </c>
    </row>
    <row r="9644" spans="1:9" x14ac:dyDescent="0.2">
      <c r="A9644" t="str">
        <f>"Gng2"</f>
        <v>Gng2</v>
      </c>
      <c r="B9644" t="s">
        <v>14</v>
      </c>
      <c r="C9644" t="s">
        <v>41</v>
      </c>
      <c r="D9644" t="s">
        <v>11</v>
      </c>
      <c r="E9644" t="s">
        <v>12</v>
      </c>
      <c r="F9644">
        <v>19976974</v>
      </c>
      <c r="G9644">
        <v>19977038</v>
      </c>
      <c r="H9644">
        <v>19977151</v>
      </c>
      <c r="I9644">
        <v>19977204</v>
      </c>
    </row>
    <row r="9645" spans="1:9" x14ac:dyDescent="0.2">
      <c r="A9645" t="str">
        <f>"Gng3"</f>
        <v>Gng3</v>
      </c>
      <c r="B9645" t="s">
        <v>14</v>
      </c>
      <c r="C9645" t="s">
        <v>10</v>
      </c>
      <c r="D9645" t="s">
        <v>11</v>
      </c>
      <c r="E9645" t="s">
        <v>12</v>
      </c>
      <c r="F9645">
        <v>8839181</v>
      </c>
      <c r="G9645">
        <v>8839265</v>
      </c>
      <c r="H9645">
        <v>8839150</v>
      </c>
      <c r="I9645">
        <v>8839161</v>
      </c>
    </row>
    <row r="9646" spans="1:9" x14ac:dyDescent="0.2">
      <c r="A9646" t="str">
        <f>"Gng4"</f>
        <v>Gng4</v>
      </c>
      <c r="B9646" t="s">
        <v>14</v>
      </c>
      <c r="C9646" t="s">
        <v>39</v>
      </c>
      <c r="D9646" t="s">
        <v>17</v>
      </c>
      <c r="E9646" t="s">
        <v>12</v>
      </c>
      <c r="F9646">
        <v>13784278</v>
      </c>
      <c r="G9646">
        <v>13784365</v>
      </c>
      <c r="H9646">
        <v>13784370</v>
      </c>
      <c r="I9646">
        <v>13784414</v>
      </c>
    </row>
    <row r="9647" spans="1:9" x14ac:dyDescent="0.2">
      <c r="A9647" t="str">
        <f>"Gng5"</f>
        <v>Gng5</v>
      </c>
      <c r="B9647" t="s">
        <v>14</v>
      </c>
      <c r="C9647" t="s">
        <v>22</v>
      </c>
      <c r="D9647" t="s">
        <v>17</v>
      </c>
      <c r="E9647" t="s">
        <v>12</v>
      </c>
      <c r="F9647">
        <v>146499850</v>
      </c>
      <c r="G9647">
        <v>146499886</v>
      </c>
      <c r="H9647">
        <v>146499828</v>
      </c>
      <c r="I9647">
        <v>146499843</v>
      </c>
    </row>
    <row r="9648" spans="1:9" x14ac:dyDescent="0.2">
      <c r="A9648" t="str">
        <f>"Gng7"</f>
        <v>Gng7</v>
      </c>
      <c r="B9648" t="s">
        <v>14</v>
      </c>
      <c r="C9648" t="s">
        <v>15</v>
      </c>
      <c r="D9648" t="s">
        <v>11</v>
      </c>
      <c r="E9648" t="s">
        <v>12</v>
      </c>
      <c r="F9648">
        <v>81014878</v>
      </c>
      <c r="G9648">
        <v>81014901</v>
      </c>
      <c r="H9648">
        <v>81014902</v>
      </c>
      <c r="I9648">
        <v>81014937</v>
      </c>
    </row>
    <row r="9649" spans="1:9" x14ac:dyDescent="0.2">
      <c r="A9649" t="str">
        <f>"Gng8"</f>
        <v>Gng8</v>
      </c>
      <c r="B9649" t="s">
        <v>14</v>
      </c>
      <c r="C9649" t="s">
        <v>33</v>
      </c>
      <c r="D9649" t="s">
        <v>17</v>
      </c>
      <c r="E9649" t="s">
        <v>12</v>
      </c>
      <c r="F9649">
        <v>16891755</v>
      </c>
      <c r="G9649">
        <v>16891800</v>
      </c>
      <c r="H9649">
        <v>16891824</v>
      </c>
      <c r="I9649">
        <v>16891851</v>
      </c>
    </row>
    <row r="9650" spans="1:9" x14ac:dyDescent="0.2">
      <c r="A9650" t="str">
        <f>"Gngt1"</f>
        <v>Gngt1</v>
      </c>
      <c r="B9650" t="s">
        <v>14</v>
      </c>
      <c r="C9650" t="s">
        <v>32</v>
      </c>
      <c r="D9650" t="s">
        <v>17</v>
      </c>
      <c r="E9650" t="s">
        <v>12</v>
      </c>
      <c r="F9650">
        <v>3994001</v>
      </c>
      <c r="G9650">
        <v>3994016</v>
      </c>
      <c r="H9650">
        <v>3993994</v>
      </c>
      <c r="I9650">
        <v>3994000</v>
      </c>
    </row>
    <row r="9651" spans="1:9" x14ac:dyDescent="0.2">
      <c r="A9651" t="str">
        <f>"Gngt2"</f>
        <v>Gngt2</v>
      </c>
      <c r="B9651" t="s">
        <v>14</v>
      </c>
      <c r="C9651" t="s">
        <v>27</v>
      </c>
      <c r="D9651" t="s">
        <v>17</v>
      </c>
      <c r="E9651" t="s">
        <v>12</v>
      </c>
      <c r="F9651">
        <v>95842283</v>
      </c>
      <c r="G9651">
        <v>95842307</v>
      </c>
      <c r="H9651">
        <v>95842668</v>
      </c>
      <c r="I9651">
        <v>95842704</v>
      </c>
    </row>
    <row r="9652" spans="1:9" x14ac:dyDescent="0.2">
      <c r="A9652" t="str">
        <f>"Gnl1"</f>
        <v>Gnl1</v>
      </c>
      <c r="B9652" t="s">
        <v>14</v>
      </c>
      <c r="C9652" t="s">
        <v>28</v>
      </c>
      <c r="D9652" t="s">
        <v>17</v>
      </c>
      <c r="E9652" t="s">
        <v>12</v>
      </c>
      <c r="F9652">
        <v>35979931</v>
      </c>
      <c r="G9652">
        <v>35980009</v>
      </c>
      <c r="H9652">
        <v>35980114</v>
      </c>
      <c r="I9652">
        <v>35980133</v>
      </c>
    </row>
    <row r="9653" spans="1:9" x14ac:dyDescent="0.2">
      <c r="A9653" t="str">
        <f>"Gnl2"</f>
        <v>Gnl2</v>
      </c>
      <c r="B9653" t="s">
        <v>14</v>
      </c>
      <c r="C9653" t="s">
        <v>23</v>
      </c>
      <c r="D9653" t="s">
        <v>17</v>
      </c>
      <c r="E9653" t="s">
        <v>12</v>
      </c>
      <c r="F9653">
        <v>125030006</v>
      </c>
      <c r="G9653">
        <v>125030070</v>
      </c>
      <c r="H9653">
        <v>125030072</v>
      </c>
      <c r="I9653">
        <v>125030084</v>
      </c>
    </row>
    <row r="9654" spans="1:9" x14ac:dyDescent="0.2">
      <c r="A9654" t="str">
        <f>"Gnl3"</f>
        <v>Gnl3</v>
      </c>
      <c r="B9654" t="s">
        <v>14</v>
      </c>
      <c r="C9654" t="s">
        <v>41</v>
      </c>
      <c r="D9654" t="s">
        <v>11</v>
      </c>
      <c r="E9654" t="s">
        <v>12</v>
      </c>
      <c r="F9654">
        <v>31019004</v>
      </c>
      <c r="G9654">
        <v>31019042</v>
      </c>
      <c r="H9654">
        <v>31019055</v>
      </c>
      <c r="I9654">
        <v>31019069</v>
      </c>
    </row>
    <row r="9655" spans="1:9" x14ac:dyDescent="0.2">
      <c r="A9655" t="str">
        <f>"Gnl3l"</f>
        <v>Gnl3l</v>
      </c>
      <c r="B9655" t="s">
        <v>14</v>
      </c>
      <c r="C9655" t="s">
        <v>37</v>
      </c>
      <c r="D9655" t="s">
        <v>11</v>
      </c>
      <c r="E9655" t="s">
        <v>12</v>
      </c>
      <c r="F9655">
        <v>151017251</v>
      </c>
      <c r="G9655">
        <v>151017296</v>
      </c>
      <c r="H9655">
        <v>151017226</v>
      </c>
      <c r="I9655">
        <v>151017249</v>
      </c>
    </row>
    <row r="9656" spans="1:9" x14ac:dyDescent="0.2">
      <c r="A9656" t="str">
        <f>"Gnmt"</f>
        <v>Gnmt</v>
      </c>
      <c r="B9656" t="s">
        <v>9</v>
      </c>
      <c r="C9656" t="s">
        <v>28</v>
      </c>
      <c r="D9656" t="s">
        <v>11</v>
      </c>
      <c r="E9656" t="s">
        <v>12</v>
      </c>
      <c r="F9656">
        <v>46729158</v>
      </c>
      <c r="G9656">
        <v>46729172</v>
      </c>
      <c r="H9656">
        <v>46729158</v>
      </c>
      <c r="I9656">
        <v>46729172</v>
      </c>
    </row>
    <row r="9657" spans="1:9" x14ac:dyDescent="0.2">
      <c r="A9657" t="str">
        <f>"Gnmt"</f>
        <v>Gnmt</v>
      </c>
      <c r="B9657" t="s">
        <v>13</v>
      </c>
      <c r="C9657" t="s">
        <v>28</v>
      </c>
      <c r="D9657" t="s">
        <v>11</v>
      </c>
      <c r="E9657" t="s">
        <v>12</v>
      </c>
      <c r="F9657">
        <v>46726737</v>
      </c>
      <c r="G9657">
        <v>46726760</v>
      </c>
      <c r="H9657">
        <v>46726737</v>
      </c>
      <c r="I9657">
        <v>46726760</v>
      </c>
    </row>
    <row r="9658" spans="1:9" x14ac:dyDescent="0.2">
      <c r="A9658" t="str">
        <f>"Gnpat"</f>
        <v>Gnpat</v>
      </c>
      <c r="B9658" t="s">
        <v>14</v>
      </c>
      <c r="C9658" t="s">
        <v>30</v>
      </c>
      <c r="D9658" t="s">
        <v>17</v>
      </c>
      <c r="E9658" t="s">
        <v>12</v>
      </c>
      <c r="F9658">
        <v>124863032</v>
      </c>
      <c r="G9658">
        <v>124863089</v>
      </c>
      <c r="H9658">
        <v>124863191</v>
      </c>
      <c r="I9658">
        <v>124863227</v>
      </c>
    </row>
    <row r="9659" spans="1:9" x14ac:dyDescent="0.2">
      <c r="A9659" t="str">
        <f>"Gnpda1"</f>
        <v>Gnpda1</v>
      </c>
      <c r="B9659" t="s">
        <v>14</v>
      </c>
      <c r="C9659" t="s">
        <v>43</v>
      </c>
      <c r="D9659" t="s">
        <v>11</v>
      </c>
      <c r="E9659" t="s">
        <v>12</v>
      </c>
      <c r="F9659">
        <v>38338934</v>
      </c>
      <c r="G9659">
        <v>38338985</v>
      </c>
      <c r="H9659">
        <v>38338997</v>
      </c>
      <c r="I9659">
        <v>38339007</v>
      </c>
    </row>
    <row r="9660" spans="1:9" x14ac:dyDescent="0.2">
      <c r="A9660" t="str">
        <f>"Gnpda2"</f>
        <v>Gnpda2</v>
      </c>
      <c r="B9660" t="s">
        <v>14</v>
      </c>
      <c r="C9660" t="s">
        <v>46</v>
      </c>
      <c r="D9660" t="s">
        <v>11</v>
      </c>
      <c r="E9660" t="s">
        <v>12</v>
      </c>
      <c r="F9660">
        <v>69592278</v>
      </c>
      <c r="G9660">
        <v>69592308</v>
      </c>
      <c r="H9660">
        <v>69592245</v>
      </c>
      <c r="I9660">
        <v>69592256</v>
      </c>
    </row>
    <row r="9661" spans="1:9" x14ac:dyDescent="0.2">
      <c r="A9661" t="str">
        <f>"Gnpnat1"</f>
        <v>Gnpnat1</v>
      </c>
      <c r="B9661" t="s">
        <v>14</v>
      </c>
      <c r="C9661" t="s">
        <v>41</v>
      </c>
      <c r="D9661" t="s">
        <v>11</v>
      </c>
      <c r="E9661" t="s">
        <v>12</v>
      </c>
      <c r="F9661">
        <v>45388772</v>
      </c>
      <c r="G9661">
        <v>45388836</v>
      </c>
      <c r="H9661">
        <v>45388904</v>
      </c>
      <c r="I9661">
        <v>45388913</v>
      </c>
    </row>
    <row r="9662" spans="1:9" x14ac:dyDescent="0.2">
      <c r="A9662" t="str">
        <f>"Gnptab"</f>
        <v>Gnptab</v>
      </c>
      <c r="B9662" t="s">
        <v>14</v>
      </c>
      <c r="C9662" t="s">
        <v>15</v>
      </c>
      <c r="D9662" t="s">
        <v>17</v>
      </c>
      <c r="E9662" t="s">
        <v>12</v>
      </c>
      <c r="F9662">
        <v>88379217</v>
      </c>
      <c r="G9662">
        <v>88379299</v>
      </c>
      <c r="H9662">
        <v>88379127</v>
      </c>
      <c r="I9662">
        <v>88379169</v>
      </c>
    </row>
    <row r="9663" spans="1:9" x14ac:dyDescent="0.2">
      <c r="A9663" t="str">
        <f>"Gnptg"</f>
        <v>Gnptg</v>
      </c>
      <c r="B9663" t="s">
        <v>14</v>
      </c>
      <c r="C9663" t="s">
        <v>28</v>
      </c>
      <c r="D9663" t="s">
        <v>11</v>
      </c>
      <c r="E9663" t="s">
        <v>12</v>
      </c>
      <c r="F9663">
        <v>25240112</v>
      </c>
      <c r="G9663">
        <v>25240158</v>
      </c>
      <c r="H9663">
        <v>25240112</v>
      </c>
      <c r="I9663">
        <v>25240158</v>
      </c>
    </row>
    <row r="9664" spans="1:9" x14ac:dyDescent="0.2">
      <c r="A9664" t="str">
        <f>"Gnrh1"</f>
        <v>Gnrh1</v>
      </c>
      <c r="B9664" t="s">
        <v>14</v>
      </c>
      <c r="C9664" t="s">
        <v>41</v>
      </c>
      <c r="D9664" t="s">
        <v>17</v>
      </c>
      <c r="E9664" t="s">
        <v>12</v>
      </c>
      <c r="F9664">
        <v>67745265</v>
      </c>
      <c r="G9664">
        <v>67745269</v>
      </c>
      <c r="H9664">
        <v>67745265</v>
      </c>
      <c r="I9664">
        <v>67745269</v>
      </c>
    </row>
    <row r="9665" spans="1:9" x14ac:dyDescent="0.2">
      <c r="A9665" t="str">
        <f>"Gnrhr"</f>
        <v>Gnrhr</v>
      </c>
      <c r="B9665" t="s">
        <v>14</v>
      </c>
      <c r="C9665" t="s">
        <v>46</v>
      </c>
      <c r="D9665" t="s">
        <v>11</v>
      </c>
      <c r="E9665" t="s">
        <v>12</v>
      </c>
      <c r="F9665">
        <v>86197881</v>
      </c>
      <c r="G9665">
        <v>86197895</v>
      </c>
      <c r="H9665">
        <v>86197925</v>
      </c>
      <c r="I9665">
        <v>86197935</v>
      </c>
    </row>
    <row r="9666" spans="1:9" x14ac:dyDescent="0.2">
      <c r="A9666" t="str">
        <f>"Gns"</f>
        <v>Gns</v>
      </c>
      <c r="B9666" t="s">
        <v>14</v>
      </c>
      <c r="C9666" t="s">
        <v>15</v>
      </c>
      <c r="D9666" t="s">
        <v>17</v>
      </c>
      <c r="E9666" t="s">
        <v>12</v>
      </c>
      <c r="F9666">
        <v>121365078</v>
      </c>
      <c r="G9666">
        <v>121365158</v>
      </c>
      <c r="H9666">
        <v>121365288</v>
      </c>
      <c r="I9666">
        <v>121365317</v>
      </c>
    </row>
    <row r="9667" spans="1:9" x14ac:dyDescent="0.2">
      <c r="A9667" t="str">
        <f>"Golga1"</f>
        <v>Golga1</v>
      </c>
      <c r="B9667" t="s">
        <v>14</v>
      </c>
      <c r="C9667" t="s">
        <v>26</v>
      </c>
      <c r="D9667" t="s">
        <v>11</v>
      </c>
      <c r="E9667" t="s">
        <v>12</v>
      </c>
      <c r="F9667">
        <v>39065438</v>
      </c>
      <c r="G9667">
        <v>39065503</v>
      </c>
      <c r="H9667">
        <v>39065505</v>
      </c>
      <c r="I9667">
        <v>39065570</v>
      </c>
    </row>
    <row r="9668" spans="1:9" x14ac:dyDescent="0.2">
      <c r="A9668" t="str">
        <f>"Golga2"</f>
        <v>Golga2</v>
      </c>
      <c r="B9668" t="s">
        <v>14</v>
      </c>
      <c r="C9668" t="s">
        <v>26</v>
      </c>
      <c r="D9668" t="s">
        <v>17</v>
      </c>
      <c r="E9668" t="s">
        <v>12</v>
      </c>
      <c r="F9668">
        <v>32288317</v>
      </c>
      <c r="G9668">
        <v>32288353</v>
      </c>
      <c r="H9668">
        <v>32288277</v>
      </c>
      <c r="I9668">
        <v>32288294</v>
      </c>
    </row>
    <row r="9669" spans="1:9" x14ac:dyDescent="0.2">
      <c r="A9669" t="str">
        <f>"Golga3"</f>
        <v>Golga3</v>
      </c>
      <c r="B9669" t="s">
        <v>14</v>
      </c>
      <c r="C9669" t="s">
        <v>46</v>
      </c>
      <c r="D9669" t="s">
        <v>17</v>
      </c>
      <c r="E9669" t="s">
        <v>12</v>
      </c>
      <c r="F9669">
        <v>110176868</v>
      </c>
      <c r="G9669">
        <v>110176896</v>
      </c>
      <c r="H9669">
        <v>110176850</v>
      </c>
      <c r="I9669">
        <v>110176864</v>
      </c>
    </row>
    <row r="9670" spans="1:9" x14ac:dyDescent="0.2">
      <c r="A9670" t="str">
        <f>"Golga4"</f>
        <v>Golga4</v>
      </c>
      <c r="B9670" t="s">
        <v>14</v>
      </c>
      <c r="C9670" t="s">
        <v>24</v>
      </c>
      <c r="D9670" t="s">
        <v>17</v>
      </c>
      <c r="E9670" t="s">
        <v>12</v>
      </c>
      <c r="F9670">
        <v>118506226</v>
      </c>
      <c r="G9670">
        <v>118506289</v>
      </c>
      <c r="H9670">
        <v>118506226</v>
      </c>
      <c r="I9670">
        <v>118506289</v>
      </c>
    </row>
    <row r="9671" spans="1:9" x14ac:dyDescent="0.2">
      <c r="A9671" t="str">
        <f>"Golga5"</f>
        <v>Golga5</v>
      </c>
      <c r="B9671" t="s">
        <v>14</v>
      </c>
      <c r="C9671" t="s">
        <v>16</v>
      </c>
      <c r="D9671" t="s">
        <v>17</v>
      </c>
      <c r="E9671" t="s">
        <v>12</v>
      </c>
      <c r="F9671">
        <v>102469227</v>
      </c>
      <c r="G9671">
        <v>102469318</v>
      </c>
      <c r="H9671">
        <v>102469166</v>
      </c>
      <c r="I9671">
        <v>102469181</v>
      </c>
    </row>
    <row r="9672" spans="1:9" x14ac:dyDescent="0.2">
      <c r="A9672" t="str">
        <f>"Golga7"</f>
        <v>Golga7</v>
      </c>
      <c r="B9672" t="s">
        <v>14</v>
      </c>
      <c r="C9672" t="s">
        <v>30</v>
      </c>
      <c r="D9672" t="s">
        <v>11</v>
      </c>
      <c r="E9672" t="s">
        <v>12</v>
      </c>
      <c r="F9672">
        <v>23257043</v>
      </c>
      <c r="G9672">
        <v>23257086</v>
      </c>
      <c r="H9672">
        <v>23257009</v>
      </c>
      <c r="I9672">
        <v>23257031</v>
      </c>
    </row>
    <row r="9673" spans="1:9" x14ac:dyDescent="0.2">
      <c r="A9673" t="str">
        <f>"Golga7b"</f>
        <v>Golga7b</v>
      </c>
      <c r="B9673" t="s">
        <v>14</v>
      </c>
      <c r="C9673" t="s">
        <v>10</v>
      </c>
      <c r="D9673" t="s">
        <v>17</v>
      </c>
      <c r="E9673" t="s">
        <v>12</v>
      </c>
      <c r="F9673">
        <v>42255704</v>
      </c>
      <c r="G9673">
        <v>42255761</v>
      </c>
      <c r="H9673">
        <v>42255814</v>
      </c>
      <c r="I9673">
        <v>42255867</v>
      </c>
    </row>
    <row r="9674" spans="1:9" x14ac:dyDescent="0.2">
      <c r="A9674" t="str">
        <f>"Golgb1"</f>
        <v>Golgb1</v>
      </c>
      <c r="B9674" t="s">
        <v>14</v>
      </c>
      <c r="C9674" t="s">
        <v>31</v>
      </c>
      <c r="D9674" t="s">
        <v>17</v>
      </c>
      <c r="E9674" t="s">
        <v>12</v>
      </c>
      <c r="F9674">
        <v>36875119</v>
      </c>
      <c r="G9674">
        <v>36875205</v>
      </c>
      <c r="H9674">
        <v>36875227</v>
      </c>
      <c r="I9674">
        <v>36875242</v>
      </c>
    </row>
    <row r="9675" spans="1:9" x14ac:dyDescent="0.2">
      <c r="A9675" t="str">
        <f>"Golim4"</f>
        <v>Golim4</v>
      </c>
      <c r="B9675" t="s">
        <v>14</v>
      </c>
      <c r="C9675" t="s">
        <v>22</v>
      </c>
      <c r="D9675" t="s">
        <v>11</v>
      </c>
      <c r="E9675" t="s">
        <v>12</v>
      </c>
      <c r="F9675">
        <v>75956888</v>
      </c>
      <c r="G9675">
        <v>75956959</v>
      </c>
      <c r="H9675">
        <v>75956787</v>
      </c>
      <c r="I9675">
        <v>75956869</v>
      </c>
    </row>
    <row r="9676" spans="1:9" x14ac:dyDescent="0.2">
      <c r="A9676" t="str">
        <f>"Golm1"</f>
        <v>Golm1</v>
      </c>
      <c r="B9676" t="s">
        <v>14</v>
      </c>
      <c r="C9676" t="s">
        <v>39</v>
      </c>
      <c r="D9676" t="s">
        <v>11</v>
      </c>
      <c r="E9676" t="s">
        <v>12</v>
      </c>
      <c r="F9676">
        <v>59675754</v>
      </c>
      <c r="G9676">
        <v>59675814</v>
      </c>
      <c r="H9676">
        <v>59675754</v>
      </c>
      <c r="I9676">
        <v>59675814</v>
      </c>
    </row>
    <row r="9677" spans="1:9" x14ac:dyDescent="0.2">
      <c r="A9677" t="str">
        <f>"Golph3"</f>
        <v>Golph3</v>
      </c>
      <c r="B9677" t="s">
        <v>14</v>
      </c>
      <c r="C9677" t="s">
        <v>25</v>
      </c>
      <c r="D9677" t="s">
        <v>17</v>
      </c>
      <c r="E9677" t="s">
        <v>12</v>
      </c>
      <c r="F9677">
        <v>12321425</v>
      </c>
      <c r="G9677">
        <v>12321460</v>
      </c>
      <c r="H9677">
        <v>12321472</v>
      </c>
      <c r="I9677">
        <v>12321491</v>
      </c>
    </row>
    <row r="9678" spans="1:9" x14ac:dyDescent="0.2">
      <c r="A9678" t="str">
        <f>"Golph3l"</f>
        <v>Golph3l</v>
      </c>
      <c r="B9678" t="s">
        <v>14</v>
      </c>
      <c r="C9678" t="s">
        <v>22</v>
      </c>
      <c r="D9678" t="s">
        <v>17</v>
      </c>
      <c r="E9678" t="s">
        <v>12</v>
      </c>
      <c r="F9678">
        <v>95588960</v>
      </c>
      <c r="G9678">
        <v>95588988</v>
      </c>
      <c r="H9678">
        <v>95588928</v>
      </c>
      <c r="I9678">
        <v>95588953</v>
      </c>
    </row>
    <row r="9679" spans="1:9" x14ac:dyDescent="0.2">
      <c r="A9679" t="str">
        <f>"Golt1a"</f>
        <v>Golt1a</v>
      </c>
      <c r="B9679" t="s">
        <v>14</v>
      </c>
      <c r="C9679" t="s">
        <v>19</v>
      </c>
      <c r="D9679" t="s">
        <v>17</v>
      </c>
      <c r="E9679" t="s">
        <v>12</v>
      </c>
      <c r="F9679">
        <v>133309778</v>
      </c>
      <c r="G9679">
        <v>133309829</v>
      </c>
      <c r="H9679">
        <v>133309768</v>
      </c>
      <c r="I9679">
        <v>133309775</v>
      </c>
    </row>
    <row r="9680" spans="1:9" x14ac:dyDescent="0.2">
      <c r="A9680" t="str">
        <f>"Golt1b"</f>
        <v>Golt1b</v>
      </c>
      <c r="B9680" t="s">
        <v>14</v>
      </c>
      <c r="C9680" t="s">
        <v>32</v>
      </c>
      <c r="D9680" t="s">
        <v>17</v>
      </c>
      <c r="E9680" t="s">
        <v>12</v>
      </c>
      <c r="F9680">
        <v>142387215</v>
      </c>
      <c r="G9680">
        <v>142387269</v>
      </c>
      <c r="H9680">
        <v>142387277</v>
      </c>
      <c r="I9680">
        <v>142387291</v>
      </c>
    </row>
    <row r="9681" spans="1:9" x14ac:dyDescent="0.2">
      <c r="A9681" t="str">
        <f>"Gon4l"</f>
        <v>Gon4l</v>
      </c>
      <c r="B9681" t="s">
        <v>4078</v>
      </c>
      <c r="C9681" t="s">
        <v>22</v>
      </c>
      <c r="D9681" t="s">
        <v>17</v>
      </c>
      <c r="E9681" t="s">
        <v>20</v>
      </c>
      <c r="F9681">
        <v>88837015</v>
      </c>
      <c r="G9681">
        <v>88837015</v>
      </c>
      <c r="H9681">
        <v>88837015</v>
      </c>
      <c r="I9681">
        <v>88837015</v>
      </c>
    </row>
    <row r="9682" spans="1:9" x14ac:dyDescent="0.2">
      <c r="A9682" t="str">
        <f>"Gon4l"</f>
        <v>Gon4l</v>
      </c>
      <c r="B9682" t="s">
        <v>4079</v>
      </c>
      <c r="C9682" t="s">
        <v>22</v>
      </c>
      <c r="D9682" t="s">
        <v>17</v>
      </c>
      <c r="E9682" t="s">
        <v>20</v>
      </c>
      <c r="F9682">
        <v>88835230</v>
      </c>
      <c r="G9682">
        <v>88835230</v>
      </c>
      <c r="H9682">
        <v>88835230</v>
      </c>
      <c r="I9682">
        <v>88835230</v>
      </c>
    </row>
    <row r="9683" spans="1:9" x14ac:dyDescent="0.2">
      <c r="A9683" t="str">
        <f>"Gopc"</f>
        <v>Gopc</v>
      </c>
      <c r="B9683" t="s">
        <v>14</v>
      </c>
      <c r="C9683" t="s">
        <v>15</v>
      </c>
      <c r="D9683" t="s">
        <v>11</v>
      </c>
      <c r="E9683" t="s">
        <v>12</v>
      </c>
      <c r="F9683">
        <v>52382074</v>
      </c>
      <c r="G9683">
        <v>52382142</v>
      </c>
      <c r="H9683">
        <v>52381921</v>
      </c>
      <c r="I9683">
        <v>52381940</v>
      </c>
    </row>
    <row r="9684" spans="1:9" x14ac:dyDescent="0.2">
      <c r="A9684" t="str">
        <f>"Gorab"</f>
        <v>Gorab</v>
      </c>
      <c r="B9684" t="s">
        <v>14</v>
      </c>
      <c r="C9684" t="s">
        <v>19</v>
      </c>
      <c r="D9684" t="s">
        <v>11</v>
      </c>
      <c r="E9684" t="s">
        <v>12</v>
      </c>
      <c r="F9684">
        <v>163403627</v>
      </c>
      <c r="G9684">
        <v>163403679</v>
      </c>
      <c r="H9684">
        <v>163403604</v>
      </c>
      <c r="I9684">
        <v>163403619</v>
      </c>
    </row>
    <row r="9685" spans="1:9" x14ac:dyDescent="0.2">
      <c r="A9685" t="str">
        <f>"Gorasp1"</f>
        <v>Gorasp1</v>
      </c>
      <c r="B9685" t="s">
        <v>14</v>
      </c>
      <c r="C9685" t="s">
        <v>24</v>
      </c>
      <c r="D9685" t="s">
        <v>11</v>
      </c>
      <c r="E9685" t="s">
        <v>12</v>
      </c>
      <c r="F9685">
        <v>119937514</v>
      </c>
      <c r="G9685">
        <v>119937558</v>
      </c>
      <c r="H9685">
        <v>119937566</v>
      </c>
      <c r="I9685">
        <v>119937567</v>
      </c>
    </row>
    <row r="9686" spans="1:9" x14ac:dyDescent="0.2">
      <c r="A9686" t="str">
        <f>"Gorasp2"</f>
        <v>Gorasp2</v>
      </c>
      <c r="B9686" t="s">
        <v>14</v>
      </c>
      <c r="C9686" t="s">
        <v>26</v>
      </c>
      <c r="D9686" t="s">
        <v>17</v>
      </c>
      <c r="E9686" t="s">
        <v>12</v>
      </c>
      <c r="F9686">
        <v>70661556</v>
      </c>
      <c r="G9686">
        <v>70661692</v>
      </c>
      <c r="H9686">
        <v>70661501</v>
      </c>
      <c r="I9686">
        <v>70661552</v>
      </c>
    </row>
    <row r="9687" spans="1:9" x14ac:dyDescent="0.2">
      <c r="A9687" t="str">
        <f>"Gosr1"</f>
        <v>Gosr1</v>
      </c>
      <c r="B9687" t="s">
        <v>14</v>
      </c>
      <c r="C9687" t="s">
        <v>27</v>
      </c>
      <c r="D9687" t="s">
        <v>11</v>
      </c>
      <c r="E9687" t="s">
        <v>12</v>
      </c>
      <c r="F9687">
        <v>76763550</v>
      </c>
      <c r="G9687">
        <v>76763582</v>
      </c>
      <c r="H9687">
        <v>76763550</v>
      </c>
      <c r="I9687">
        <v>76763582</v>
      </c>
    </row>
    <row r="9688" spans="1:9" x14ac:dyDescent="0.2">
      <c r="A9688" t="str">
        <f>"Gosr2"</f>
        <v>Gosr2</v>
      </c>
      <c r="B9688" t="s">
        <v>14</v>
      </c>
      <c r="C9688" t="s">
        <v>27</v>
      </c>
      <c r="D9688" t="s">
        <v>11</v>
      </c>
      <c r="E9688" t="s">
        <v>12</v>
      </c>
      <c r="F9688">
        <v>103697661</v>
      </c>
      <c r="G9688">
        <v>103697718</v>
      </c>
      <c r="H9688">
        <v>103697937</v>
      </c>
      <c r="I9688">
        <v>103697948</v>
      </c>
    </row>
    <row r="9689" spans="1:9" x14ac:dyDescent="0.2">
      <c r="A9689" t="str">
        <f>"Got1"</f>
        <v>Got1</v>
      </c>
      <c r="B9689" t="s">
        <v>14</v>
      </c>
      <c r="C9689" t="s">
        <v>10</v>
      </c>
      <c r="D9689" t="s">
        <v>11</v>
      </c>
      <c r="E9689" t="s">
        <v>12</v>
      </c>
      <c r="F9689">
        <v>43524462</v>
      </c>
      <c r="G9689">
        <v>43524580</v>
      </c>
      <c r="H9689">
        <v>43524756</v>
      </c>
      <c r="I9689">
        <v>43524761</v>
      </c>
    </row>
    <row r="9690" spans="1:9" x14ac:dyDescent="0.2">
      <c r="A9690" t="str">
        <f>"Got1l1"</f>
        <v>Got1l1</v>
      </c>
      <c r="B9690" t="s">
        <v>14</v>
      </c>
      <c r="C9690" t="s">
        <v>30</v>
      </c>
      <c r="D9690" t="s">
        <v>11</v>
      </c>
      <c r="E9690" t="s">
        <v>12</v>
      </c>
      <c r="F9690">
        <v>27202542</v>
      </c>
      <c r="G9690">
        <v>27202557</v>
      </c>
      <c r="H9690">
        <v>27202567</v>
      </c>
      <c r="I9690">
        <v>27202581</v>
      </c>
    </row>
    <row r="9691" spans="1:9" x14ac:dyDescent="0.2">
      <c r="A9691" t="str">
        <f>"Got2"</f>
        <v>Got2</v>
      </c>
      <c r="B9691" t="s">
        <v>14</v>
      </c>
      <c r="C9691" t="s">
        <v>30</v>
      </c>
      <c r="D9691" t="s">
        <v>11</v>
      </c>
      <c r="E9691" t="s">
        <v>12</v>
      </c>
      <c r="F9691">
        <v>95888377</v>
      </c>
      <c r="G9691">
        <v>95888415</v>
      </c>
      <c r="H9691">
        <v>95888364</v>
      </c>
      <c r="I9691">
        <v>95888375</v>
      </c>
    </row>
    <row r="9692" spans="1:9" x14ac:dyDescent="0.2">
      <c r="A9692" t="str">
        <f>"Gp1ba"</f>
        <v>Gp1ba</v>
      </c>
      <c r="B9692" t="s">
        <v>14</v>
      </c>
      <c r="C9692" t="s">
        <v>27</v>
      </c>
      <c r="D9692" t="s">
        <v>17</v>
      </c>
      <c r="E9692" t="s">
        <v>12</v>
      </c>
      <c r="F9692">
        <v>70639118</v>
      </c>
      <c r="G9692">
        <v>70639175</v>
      </c>
      <c r="H9692">
        <v>70639108</v>
      </c>
      <c r="I9692">
        <v>70639115</v>
      </c>
    </row>
    <row r="9693" spans="1:9" x14ac:dyDescent="0.2">
      <c r="A9693" t="str">
        <f>"Gp1bb"</f>
        <v>Gp1bb</v>
      </c>
      <c r="B9693" t="s">
        <v>14</v>
      </c>
      <c r="C9693" t="s">
        <v>31</v>
      </c>
      <c r="D9693" t="s">
        <v>11</v>
      </c>
      <c r="E9693" t="s">
        <v>12</v>
      </c>
      <c r="F9693">
        <v>18621639</v>
      </c>
      <c r="G9693">
        <v>18621669</v>
      </c>
      <c r="H9693">
        <v>18621639</v>
      </c>
      <c r="I9693">
        <v>18621669</v>
      </c>
    </row>
    <row r="9694" spans="1:9" x14ac:dyDescent="0.2">
      <c r="A9694" t="str">
        <f>"Gp2"</f>
        <v>Gp2</v>
      </c>
      <c r="B9694" t="s">
        <v>14</v>
      </c>
      <c r="C9694" t="s">
        <v>33</v>
      </c>
      <c r="D9694" t="s">
        <v>11</v>
      </c>
      <c r="E9694" t="s">
        <v>12</v>
      </c>
      <c r="F9694">
        <v>119459266</v>
      </c>
      <c r="G9694">
        <v>119459280</v>
      </c>
      <c r="H9694">
        <v>119459266</v>
      </c>
      <c r="I9694">
        <v>119459280</v>
      </c>
    </row>
    <row r="9695" spans="1:9" x14ac:dyDescent="0.2">
      <c r="A9695" t="str">
        <f>"Gp49a"</f>
        <v>Gp49a</v>
      </c>
      <c r="B9695" t="s">
        <v>4080</v>
      </c>
      <c r="C9695" t="s">
        <v>15</v>
      </c>
      <c r="D9695" t="s">
        <v>17</v>
      </c>
      <c r="E9695" t="s">
        <v>20</v>
      </c>
      <c r="F9695">
        <v>51480631</v>
      </c>
      <c r="G9695">
        <v>51480631</v>
      </c>
      <c r="H9695">
        <v>51480631</v>
      </c>
      <c r="I9695">
        <v>51480631</v>
      </c>
    </row>
    <row r="9696" spans="1:9" x14ac:dyDescent="0.2">
      <c r="A9696" t="str">
        <f>"Gp5"</f>
        <v>Gp5</v>
      </c>
      <c r="B9696" t="s">
        <v>14</v>
      </c>
      <c r="C9696" t="s">
        <v>31</v>
      </c>
      <c r="D9696" t="s">
        <v>11</v>
      </c>
      <c r="E9696" t="s">
        <v>12</v>
      </c>
      <c r="F9696">
        <v>30310773</v>
      </c>
      <c r="G9696">
        <v>30310789</v>
      </c>
      <c r="H9696">
        <v>30310794</v>
      </c>
      <c r="I9696">
        <v>30310813</v>
      </c>
    </row>
    <row r="9697" spans="1:9" x14ac:dyDescent="0.2">
      <c r="A9697" t="str">
        <f>"Gp6"</f>
        <v>Gp6</v>
      </c>
      <c r="B9697" t="s">
        <v>14</v>
      </c>
      <c r="C9697" t="s">
        <v>33</v>
      </c>
      <c r="D9697" t="s">
        <v>11</v>
      </c>
      <c r="E9697" t="s">
        <v>12</v>
      </c>
      <c r="F9697">
        <v>4397705</v>
      </c>
      <c r="G9697">
        <v>4397728</v>
      </c>
      <c r="H9697">
        <v>4397732</v>
      </c>
      <c r="I9697">
        <v>4397749</v>
      </c>
    </row>
    <row r="9698" spans="1:9" x14ac:dyDescent="0.2">
      <c r="A9698" t="str">
        <f>"Gp9"</f>
        <v>Gp9</v>
      </c>
      <c r="B9698" t="s">
        <v>14</v>
      </c>
      <c r="C9698" t="s">
        <v>32</v>
      </c>
      <c r="D9698" t="s">
        <v>17</v>
      </c>
      <c r="E9698" t="s">
        <v>12</v>
      </c>
      <c r="F9698">
        <v>87778084</v>
      </c>
      <c r="G9698">
        <v>87778112</v>
      </c>
      <c r="H9698">
        <v>87778064</v>
      </c>
      <c r="I9698">
        <v>87778082</v>
      </c>
    </row>
    <row r="9699" spans="1:9" x14ac:dyDescent="0.2">
      <c r="A9699" t="str">
        <f>"Gpa33"</f>
        <v>Gpa33</v>
      </c>
      <c r="B9699" t="s">
        <v>14</v>
      </c>
      <c r="C9699" t="s">
        <v>19</v>
      </c>
      <c r="D9699" t="s">
        <v>17</v>
      </c>
      <c r="E9699" t="s">
        <v>12</v>
      </c>
      <c r="F9699">
        <v>166130436</v>
      </c>
      <c r="G9699">
        <v>166130462</v>
      </c>
      <c r="H9699">
        <v>166130411</v>
      </c>
      <c r="I9699">
        <v>166130424</v>
      </c>
    </row>
    <row r="9700" spans="1:9" x14ac:dyDescent="0.2">
      <c r="A9700" t="str">
        <f>"Gpaa1"</f>
        <v>Gpaa1</v>
      </c>
      <c r="B9700" t="s">
        <v>14</v>
      </c>
      <c r="C9700" t="s">
        <v>25</v>
      </c>
      <c r="D9700" t="s">
        <v>17</v>
      </c>
      <c r="E9700" t="s">
        <v>12</v>
      </c>
      <c r="F9700">
        <v>76331288</v>
      </c>
      <c r="G9700">
        <v>76331361</v>
      </c>
      <c r="H9700">
        <v>76331362</v>
      </c>
      <c r="I9700">
        <v>76331377</v>
      </c>
    </row>
    <row r="9701" spans="1:9" x14ac:dyDescent="0.2">
      <c r="A9701" t="str">
        <f>"Gpalpp1"</f>
        <v>Gpalpp1</v>
      </c>
      <c r="B9701" t="s">
        <v>14</v>
      </c>
      <c r="C9701" t="s">
        <v>41</v>
      </c>
      <c r="D9701" t="s">
        <v>11</v>
      </c>
      <c r="E9701" t="s">
        <v>67</v>
      </c>
      <c r="F9701">
        <v>76110760</v>
      </c>
      <c r="G9701">
        <v>76110818</v>
      </c>
      <c r="H9701">
        <v>76110820</v>
      </c>
      <c r="I9701">
        <v>76110831</v>
      </c>
    </row>
    <row r="9702" spans="1:9" x14ac:dyDescent="0.2">
      <c r="A9702" t="str">
        <f>"Gpam"</f>
        <v>Gpam</v>
      </c>
      <c r="B9702" t="s">
        <v>9</v>
      </c>
      <c r="C9702" t="s">
        <v>10</v>
      </c>
      <c r="D9702" t="s">
        <v>11</v>
      </c>
      <c r="E9702" t="s">
        <v>12</v>
      </c>
      <c r="F9702">
        <v>55099417</v>
      </c>
      <c r="G9702">
        <v>55099492</v>
      </c>
      <c r="H9702">
        <v>55099417</v>
      </c>
      <c r="I9702">
        <v>55099492</v>
      </c>
    </row>
    <row r="9703" spans="1:9" x14ac:dyDescent="0.2">
      <c r="A9703" t="str">
        <f>"Gpam"</f>
        <v>Gpam</v>
      </c>
      <c r="B9703" t="s">
        <v>13</v>
      </c>
      <c r="C9703" t="s">
        <v>10</v>
      </c>
      <c r="D9703" t="s">
        <v>11</v>
      </c>
      <c r="E9703" t="s">
        <v>12</v>
      </c>
      <c r="F9703">
        <v>55127180</v>
      </c>
      <c r="G9703">
        <v>55127243</v>
      </c>
      <c r="H9703">
        <v>55127180</v>
      </c>
      <c r="I9703">
        <v>55127243</v>
      </c>
    </row>
    <row r="9704" spans="1:9" x14ac:dyDescent="0.2">
      <c r="A9704" t="str">
        <f>"Gpank1"</f>
        <v>Gpank1</v>
      </c>
      <c r="B9704" t="s">
        <v>14</v>
      </c>
      <c r="C9704" t="s">
        <v>28</v>
      </c>
      <c r="D9704" t="s">
        <v>17</v>
      </c>
      <c r="E9704" t="s">
        <v>12</v>
      </c>
      <c r="F9704">
        <v>35121515</v>
      </c>
      <c r="G9704">
        <v>35121577</v>
      </c>
      <c r="H9704">
        <v>35121449</v>
      </c>
      <c r="I9704">
        <v>35121459</v>
      </c>
    </row>
    <row r="9705" spans="1:9" x14ac:dyDescent="0.2">
      <c r="A9705" t="str">
        <f>"Gpat2"</f>
        <v>Gpat2</v>
      </c>
      <c r="B9705" t="s">
        <v>14</v>
      </c>
      <c r="C9705" t="s">
        <v>26</v>
      </c>
      <c r="D9705" t="s">
        <v>17</v>
      </c>
      <c r="E9705" t="s">
        <v>12</v>
      </c>
      <c r="F9705">
        <v>127425155</v>
      </c>
      <c r="G9705">
        <v>127425194</v>
      </c>
      <c r="H9705">
        <v>127425155</v>
      </c>
      <c r="I9705">
        <v>127425194</v>
      </c>
    </row>
    <row r="9706" spans="1:9" x14ac:dyDescent="0.2">
      <c r="A9706" t="str">
        <f>"Gpatch1"</f>
        <v>Gpatch1</v>
      </c>
      <c r="B9706" t="s">
        <v>14</v>
      </c>
      <c r="C9706" t="s">
        <v>33</v>
      </c>
      <c r="D9706" t="s">
        <v>11</v>
      </c>
      <c r="E9706" t="s">
        <v>12</v>
      </c>
      <c r="F9706">
        <v>35318408</v>
      </c>
      <c r="G9706">
        <v>35318437</v>
      </c>
      <c r="H9706">
        <v>35318439</v>
      </c>
      <c r="I9706">
        <v>35318446</v>
      </c>
    </row>
    <row r="9707" spans="1:9" x14ac:dyDescent="0.2">
      <c r="A9707" t="str">
        <f>"Gpatch11"</f>
        <v>Gpatch11</v>
      </c>
      <c r="B9707" t="s">
        <v>14</v>
      </c>
      <c r="C9707" t="s">
        <v>28</v>
      </c>
      <c r="D9707" t="s">
        <v>17</v>
      </c>
      <c r="E9707" t="s">
        <v>67</v>
      </c>
      <c r="F9707">
        <v>78835528</v>
      </c>
      <c r="G9707">
        <v>78835612</v>
      </c>
      <c r="H9707">
        <v>78835528</v>
      </c>
      <c r="I9707">
        <v>78835612</v>
      </c>
    </row>
    <row r="9708" spans="1:9" x14ac:dyDescent="0.2">
      <c r="A9708" t="str">
        <f>"Gpatch2"</f>
        <v>Gpatch2</v>
      </c>
      <c r="B9708" t="s">
        <v>14</v>
      </c>
      <c r="C9708" t="s">
        <v>19</v>
      </c>
      <c r="D9708" t="s">
        <v>17</v>
      </c>
      <c r="E9708" t="s">
        <v>12</v>
      </c>
      <c r="F9708">
        <v>187215501</v>
      </c>
      <c r="G9708">
        <v>187215547</v>
      </c>
      <c r="H9708">
        <v>187215548</v>
      </c>
      <c r="I9708">
        <v>187215559</v>
      </c>
    </row>
    <row r="9709" spans="1:9" x14ac:dyDescent="0.2">
      <c r="A9709" t="str">
        <f>"Gpatch2l"</f>
        <v>Gpatch2l</v>
      </c>
      <c r="B9709" t="s">
        <v>14</v>
      </c>
      <c r="C9709" t="s">
        <v>16</v>
      </c>
      <c r="D9709" t="s">
        <v>17</v>
      </c>
      <c r="E9709" t="s">
        <v>67</v>
      </c>
      <c r="F9709">
        <v>86241848</v>
      </c>
      <c r="G9709">
        <v>86241936</v>
      </c>
      <c r="H9709">
        <v>86241848</v>
      </c>
      <c r="I9709">
        <v>86241936</v>
      </c>
    </row>
    <row r="9710" spans="1:9" x14ac:dyDescent="0.2">
      <c r="A9710" t="str">
        <f>"Gpatch3"</f>
        <v>Gpatch3</v>
      </c>
      <c r="B9710" t="s">
        <v>14</v>
      </c>
      <c r="C9710" t="s">
        <v>23</v>
      </c>
      <c r="D9710" t="s">
        <v>17</v>
      </c>
      <c r="E9710" t="s">
        <v>12</v>
      </c>
      <c r="F9710">
        <v>133574728</v>
      </c>
      <c r="G9710">
        <v>133574771</v>
      </c>
      <c r="H9710">
        <v>133574781</v>
      </c>
      <c r="I9710">
        <v>133574792</v>
      </c>
    </row>
    <row r="9711" spans="1:9" x14ac:dyDescent="0.2">
      <c r="A9711" t="str">
        <f>"Gpatch4"</f>
        <v>Gpatch4</v>
      </c>
      <c r="B9711" t="s">
        <v>14</v>
      </c>
      <c r="C9711" t="s">
        <v>22</v>
      </c>
      <c r="D9711" t="s">
        <v>17</v>
      </c>
      <c r="E9711" t="s">
        <v>12</v>
      </c>
      <c r="F9711">
        <v>88043098</v>
      </c>
      <c r="G9711">
        <v>88043128</v>
      </c>
      <c r="H9711">
        <v>88043131</v>
      </c>
      <c r="I9711">
        <v>88043150</v>
      </c>
    </row>
    <row r="9712" spans="1:9" x14ac:dyDescent="0.2">
      <c r="A9712" t="str">
        <f>"Gpatch8"</f>
        <v>Gpatch8</v>
      </c>
      <c r="B9712" t="s">
        <v>14</v>
      </c>
      <c r="C9712" t="s">
        <v>27</v>
      </c>
      <c r="D9712" t="s">
        <v>11</v>
      </c>
      <c r="E9712" t="s">
        <v>12</v>
      </c>
      <c r="F9712">
        <v>102556122</v>
      </c>
      <c r="G9712">
        <v>102556171</v>
      </c>
      <c r="H9712">
        <v>102556289</v>
      </c>
      <c r="I9712">
        <v>102556327</v>
      </c>
    </row>
    <row r="9713" spans="1:9" x14ac:dyDescent="0.2">
      <c r="A9713" t="str">
        <f>"Gpbar1"</f>
        <v>Gpbar1</v>
      </c>
      <c r="B9713" t="s">
        <v>4081</v>
      </c>
      <c r="C9713" t="s">
        <v>19</v>
      </c>
      <c r="D9713" t="s">
        <v>17</v>
      </c>
      <c r="E9713" t="s">
        <v>20</v>
      </c>
      <c r="F9713">
        <v>74278549</v>
      </c>
      <c r="G9713">
        <v>74278549</v>
      </c>
      <c r="H9713">
        <v>74278549</v>
      </c>
      <c r="I9713">
        <v>74278549</v>
      </c>
    </row>
    <row r="9714" spans="1:9" x14ac:dyDescent="0.2">
      <c r="A9714" t="str">
        <f>"Gpbp1"</f>
        <v>Gpbp1</v>
      </c>
      <c r="B9714" t="s">
        <v>14</v>
      </c>
      <c r="C9714" t="s">
        <v>39</v>
      </c>
      <c r="D9714" t="s">
        <v>11</v>
      </c>
      <c r="E9714" t="s">
        <v>12</v>
      </c>
      <c r="F9714">
        <v>111489835</v>
      </c>
      <c r="G9714">
        <v>111489890</v>
      </c>
      <c r="H9714">
        <v>111489897</v>
      </c>
      <c r="I9714">
        <v>111489919</v>
      </c>
    </row>
    <row r="9715" spans="1:9" x14ac:dyDescent="0.2">
      <c r="A9715" t="str">
        <f>"Gpbp1l1"</f>
        <v>Gpbp1l1</v>
      </c>
      <c r="B9715" t="s">
        <v>14</v>
      </c>
      <c r="C9715" t="s">
        <v>23</v>
      </c>
      <c r="D9715" t="s">
        <v>17</v>
      </c>
      <c r="E9715" t="s">
        <v>12</v>
      </c>
      <c r="F9715">
        <v>116557668</v>
      </c>
      <c r="G9715">
        <v>116557724</v>
      </c>
      <c r="H9715">
        <v>116557740</v>
      </c>
      <c r="I9715">
        <v>116557751</v>
      </c>
    </row>
    <row r="9716" spans="1:9" x14ac:dyDescent="0.2">
      <c r="A9716" t="str">
        <f>"Gpc1"</f>
        <v>Gpc1</v>
      </c>
      <c r="B9716" t="s">
        <v>14</v>
      </c>
      <c r="C9716" t="s">
        <v>19</v>
      </c>
      <c r="D9716" t="s">
        <v>17</v>
      </c>
      <c r="E9716" t="s">
        <v>12</v>
      </c>
      <c r="F9716">
        <v>92831650</v>
      </c>
      <c r="G9716">
        <v>92831726</v>
      </c>
      <c r="H9716">
        <v>92831819</v>
      </c>
      <c r="I9716">
        <v>92831875</v>
      </c>
    </row>
    <row r="9717" spans="1:9" x14ac:dyDescent="0.2">
      <c r="A9717" t="str">
        <f>"Gpc2"</f>
        <v>Gpc2</v>
      </c>
      <c r="B9717" t="s">
        <v>14</v>
      </c>
      <c r="C9717" t="s">
        <v>46</v>
      </c>
      <c r="D9717" t="s">
        <v>11</v>
      </c>
      <c r="E9717" t="s">
        <v>12</v>
      </c>
      <c r="F9717">
        <v>138279960</v>
      </c>
      <c r="G9717">
        <v>138280016</v>
      </c>
      <c r="H9717">
        <v>138279960</v>
      </c>
      <c r="I9717">
        <v>138280016</v>
      </c>
    </row>
    <row r="9718" spans="1:9" x14ac:dyDescent="0.2">
      <c r="A9718" t="str">
        <f>"Gpc3"</f>
        <v>Gpc3</v>
      </c>
      <c r="B9718" t="s">
        <v>14</v>
      </c>
      <c r="C9718" t="s">
        <v>37</v>
      </c>
      <c r="D9718" t="s">
        <v>11</v>
      </c>
      <c r="E9718" t="s">
        <v>12</v>
      </c>
      <c r="F9718">
        <v>52613936</v>
      </c>
      <c r="G9718">
        <v>52613979</v>
      </c>
      <c r="H9718">
        <v>52613897</v>
      </c>
      <c r="I9718">
        <v>52613910</v>
      </c>
    </row>
    <row r="9719" spans="1:9" x14ac:dyDescent="0.2">
      <c r="A9719" t="str">
        <f>"Gpc4"</f>
        <v>Gpc4</v>
      </c>
      <c r="B9719" t="s">
        <v>14</v>
      </c>
      <c r="C9719" t="s">
        <v>37</v>
      </c>
      <c r="D9719" t="s">
        <v>11</v>
      </c>
      <c r="E9719" t="s">
        <v>12</v>
      </c>
      <c r="F9719">
        <v>52165312</v>
      </c>
      <c r="G9719">
        <v>52165335</v>
      </c>
      <c r="H9719">
        <v>52165345</v>
      </c>
      <c r="I9719">
        <v>52165362</v>
      </c>
    </row>
    <row r="9720" spans="1:9" x14ac:dyDescent="0.2">
      <c r="A9720" t="str">
        <f>"Gpc5"</f>
        <v>Gpc5</v>
      </c>
      <c r="B9720" t="s">
        <v>14</v>
      </c>
      <c r="C9720" t="s">
        <v>41</v>
      </c>
      <c r="D9720" t="s">
        <v>17</v>
      </c>
      <c r="E9720" t="s">
        <v>12</v>
      </c>
      <c r="F9720">
        <v>115092244</v>
      </c>
      <c r="G9720">
        <v>115092278</v>
      </c>
      <c r="H9720">
        <v>115092289</v>
      </c>
      <c r="I9720">
        <v>115092296</v>
      </c>
    </row>
    <row r="9721" spans="1:9" x14ac:dyDescent="0.2">
      <c r="A9721" t="str">
        <f>"Gpc6"</f>
        <v>Gpc6</v>
      </c>
      <c r="B9721" t="s">
        <v>14</v>
      </c>
      <c r="C9721" t="s">
        <v>41</v>
      </c>
      <c r="D9721" t="s">
        <v>17</v>
      </c>
      <c r="E9721" t="s">
        <v>12</v>
      </c>
      <c r="F9721">
        <v>116925291</v>
      </c>
      <c r="G9721">
        <v>116925362</v>
      </c>
      <c r="H9721">
        <v>116925259</v>
      </c>
      <c r="I9721">
        <v>116925280</v>
      </c>
    </row>
    <row r="9722" spans="1:9" x14ac:dyDescent="0.2">
      <c r="A9722" t="str">
        <f>"Gpcpd1"</f>
        <v>Gpcpd1</v>
      </c>
      <c r="B9722" t="s">
        <v>14</v>
      </c>
      <c r="C9722" t="s">
        <v>26</v>
      </c>
      <c r="D9722" t="s">
        <v>11</v>
      </c>
      <c r="E9722" t="s">
        <v>12</v>
      </c>
      <c r="F9722">
        <v>132578155</v>
      </c>
      <c r="G9722">
        <v>132578222</v>
      </c>
      <c r="H9722">
        <v>132578128</v>
      </c>
      <c r="I9722">
        <v>132578153</v>
      </c>
    </row>
    <row r="9723" spans="1:9" x14ac:dyDescent="0.2">
      <c r="A9723" t="str">
        <f>"Gpd1"</f>
        <v>Gpd1</v>
      </c>
      <c r="B9723" t="s">
        <v>14</v>
      </c>
      <c r="C9723" t="s">
        <v>25</v>
      </c>
      <c r="D9723" t="s">
        <v>17</v>
      </c>
      <c r="E9723" t="s">
        <v>12</v>
      </c>
      <c r="F9723">
        <v>99717578</v>
      </c>
      <c r="G9723">
        <v>99717594</v>
      </c>
      <c r="H9723">
        <v>99717578</v>
      </c>
      <c r="I9723">
        <v>99717594</v>
      </c>
    </row>
    <row r="9724" spans="1:9" x14ac:dyDescent="0.2">
      <c r="A9724" t="str">
        <f>"Gpd1l"</f>
        <v>Gpd1l</v>
      </c>
      <c r="B9724" t="s">
        <v>14</v>
      </c>
      <c r="C9724" t="s">
        <v>24</v>
      </c>
      <c r="D9724" t="s">
        <v>11</v>
      </c>
      <c r="E9724" t="s">
        <v>12</v>
      </c>
      <c r="F9724">
        <v>114933811</v>
      </c>
      <c r="G9724">
        <v>114933890</v>
      </c>
      <c r="H9724">
        <v>114933929</v>
      </c>
      <c r="I9724">
        <v>114933999</v>
      </c>
    </row>
    <row r="9725" spans="1:9" x14ac:dyDescent="0.2">
      <c r="A9725" t="str">
        <f>"Gpd2"</f>
        <v>Gpd2</v>
      </c>
      <c r="B9725" t="s">
        <v>14</v>
      </c>
      <c r="C9725" t="s">
        <v>26</v>
      </c>
      <c r="D9725" t="s">
        <v>17</v>
      </c>
      <c r="E9725" t="s">
        <v>12</v>
      </c>
      <c r="F9725">
        <v>57238427</v>
      </c>
      <c r="G9725">
        <v>57238459</v>
      </c>
      <c r="H9725">
        <v>57238463</v>
      </c>
      <c r="I9725">
        <v>57238482</v>
      </c>
    </row>
    <row r="9726" spans="1:9" x14ac:dyDescent="0.2">
      <c r="A9726" t="str">
        <f>"Gper1"</f>
        <v>Gper1</v>
      </c>
      <c r="B9726" t="s">
        <v>14</v>
      </c>
      <c r="C9726" t="s">
        <v>46</v>
      </c>
      <c r="D9726" t="s">
        <v>17</v>
      </c>
      <c r="E9726" t="s">
        <v>67</v>
      </c>
      <c r="F9726">
        <v>139423172</v>
      </c>
      <c r="G9726">
        <v>139423186</v>
      </c>
      <c r="H9726">
        <v>139423191</v>
      </c>
      <c r="I9726">
        <v>139423202</v>
      </c>
    </row>
    <row r="9727" spans="1:9" x14ac:dyDescent="0.2">
      <c r="A9727" t="str">
        <f>"Gpha2"</f>
        <v>Gpha2</v>
      </c>
      <c r="B9727" t="s">
        <v>14</v>
      </c>
      <c r="C9727" t="s">
        <v>10</v>
      </c>
      <c r="D9727" t="s">
        <v>17</v>
      </c>
      <c r="E9727" t="s">
        <v>12</v>
      </c>
      <c r="F9727">
        <v>6226378</v>
      </c>
      <c r="G9727">
        <v>6226381</v>
      </c>
      <c r="H9727">
        <v>6226378</v>
      </c>
      <c r="I9727">
        <v>6226381</v>
      </c>
    </row>
    <row r="9728" spans="1:9" x14ac:dyDescent="0.2">
      <c r="A9728" t="str">
        <f>"Gphb5"</f>
        <v>Gphb5</v>
      </c>
      <c r="B9728" t="s">
        <v>4082</v>
      </c>
      <c r="C9728" t="s">
        <v>16</v>
      </c>
      <c r="D9728" t="s">
        <v>11</v>
      </c>
      <c r="E9728" t="s">
        <v>20</v>
      </c>
      <c r="F9728">
        <v>75416780</v>
      </c>
      <c r="G9728">
        <v>75416780</v>
      </c>
      <c r="H9728">
        <v>75416780</v>
      </c>
      <c r="I9728">
        <v>75416780</v>
      </c>
    </row>
    <row r="9729" spans="1:9" x14ac:dyDescent="0.2">
      <c r="A9729" t="str">
        <f>"Gphn"</f>
        <v>Gphn</v>
      </c>
      <c r="B9729" t="s">
        <v>14</v>
      </c>
      <c r="C9729" t="s">
        <v>16</v>
      </c>
      <c r="D9729" t="s">
        <v>17</v>
      </c>
      <c r="E9729" t="s">
        <v>12</v>
      </c>
      <c r="F9729">
        <v>78226712</v>
      </c>
      <c r="G9729">
        <v>78226773</v>
      </c>
      <c r="H9729">
        <v>78226712</v>
      </c>
      <c r="I9729">
        <v>78226773</v>
      </c>
    </row>
    <row r="9730" spans="1:9" x14ac:dyDescent="0.2">
      <c r="A9730" t="str">
        <f>"Gpi1"</f>
        <v>Gpi1</v>
      </c>
      <c r="B9730" t="s">
        <v>14</v>
      </c>
      <c r="C9730" t="s">
        <v>33</v>
      </c>
      <c r="D9730" t="s">
        <v>11</v>
      </c>
      <c r="E9730" t="s">
        <v>12</v>
      </c>
      <c r="F9730">
        <v>34230284</v>
      </c>
      <c r="G9730">
        <v>34230308</v>
      </c>
      <c r="H9730">
        <v>34230253</v>
      </c>
      <c r="I9730">
        <v>34230276</v>
      </c>
    </row>
    <row r="9731" spans="1:9" x14ac:dyDescent="0.2">
      <c r="A9731" t="str">
        <f>"Gpihbp1"</f>
        <v>Gpihbp1</v>
      </c>
      <c r="B9731" t="s">
        <v>14</v>
      </c>
      <c r="C9731" t="s">
        <v>25</v>
      </c>
      <c r="D9731" t="s">
        <v>17</v>
      </c>
      <c r="E9731" t="s">
        <v>12</v>
      </c>
      <c r="F9731">
        <v>75596645</v>
      </c>
      <c r="G9731">
        <v>75596662</v>
      </c>
      <c r="H9731">
        <v>75596624</v>
      </c>
      <c r="I9731">
        <v>75596643</v>
      </c>
    </row>
    <row r="9732" spans="1:9" x14ac:dyDescent="0.2">
      <c r="A9732" t="str">
        <f>"Gpkow"</f>
        <v>Gpkow</v>
      </c>
      <c r="B9732" t="s">
        <v>14</v>
      </c>
      <c r="C9732" t="s">
        <v>37</v>
      </c>
      <c r="D9732" t="s">
        <v>17</v>
      </c>
      <c r="E9732" t="s">
        <v>12</v>
      </c>
      <c r="F9732">
        <v>7697188</v>
      </c>
      <c r="G9732">
        <v>7697219</v>
      </c>
      <c r="H9732">
        <v>7697164</v>
      </c>
      <c r="I9732">
        <v>7697187</v>
      </c>
    </row>
    <row r="9733" spans="1:9" x14ac:dyDescent="0.2">
      <c r="A9733" t="str">
        <f>"Gpld1"</f>
        <v>Gpld1</v>
      </c>
      <c r="B9733" t="s">
        <v>14</v>
      </c>
      <c r="C9733" t="s">
        <v>39</v>
      </c>
      <c r="D9733" t="s">
        <v>17</v>
      </c>
      <c r="E9733" t="s">
        <v>12</v>
      </c>
      <c r="F9733">
        <v>24943542</v>
      </c>
      <c r="G9733">
        <v>24943562</v>
      </c>
      <c r="H9733">
        <v>24943542</v>
      </c>
      <c r="I9733">
        <v>24943562</v>
      </c>
    </row>
    <row r="9734" spans="1:9" x14ac:dyDescent="0.2">
      <c r="A9734" t="str">
        <f>"Gpm6a"</f>
        <v>Gpm6a</v>
      </c>
      <c r="B9734" t="s">
        <v>4083</v>
      </c>
      <c r="C9734" t="s">
        <v>30</v>
      </c>
      <c r="D9734" t="s">
        <v>17</v>
      </c>
      <c r="E9734" t="s">
        <v>20</v>
      </c>
      <c r="F9734">
        <v>54954727</v>
      </c>
      <c r="G9734">
        <v>54954727</v>
      </c>
      <c r="H9734">
        <v>54954727</v>
      </c>
      <c r="I9734">
        <v>54954727</v>
      </c>
    </row>
    <row r="9735" spans="1:9" x14ac:dyDescent="0.2">
      <c r="A9735" t="str">
        <f>"Gpm6b"</f>
        <v>Gpm6b</v>
      </c>
      <c r="B9735" t="s">
        <v>4084</v>
      </c>
      <c r="C9735" t="s">
        <v>37</v>
      </c>
      <c r="D9735" t="s">
        <v>17</v>
      </c>
      <c r="E9735" t="s">
        <v>35</v>
      </c>
      <c r="F9735">
        <v>166344758</v>
      </c>
      <c r="G9735">
        <v>166344770</v>
      </c>
      <c r="H9735">
        <v>166344758</v>
      </c>
      <c r="I9735">
        <v>166344770</v>
      </c>
    </row>
    <row r="9736" spans="1:9" x14ac:dyDescent="0.2">
      <c r="A9736" t="str">
        <f>"Gpn1"</f>
        <v>Gpn1</v>
      </c>
      <c r="B9736" t="s">
        <v>14</v>
      </c>
      <c r="C9736" t="s">
        <v>46</v>
      </c>
      <c r="D9736" t="s">
        <v>17</v>
      </c>
      <c r="E9736" t="s">
        <v>12</v>
      </c>
      <c r="F9736">
        <v>31494736</v>
      </c>
      <c r="G9736">
        <v>31494778</v>
      </c>
      <c r="H9736">
        <v>31494736</v>
      </c>
      <c r="I9736">
        <v>31494778</v>
      </c>
    </row>
    <row r="9737" spans="1:9" x14ac:dyDescent="0.2">
      <c r="A9737" t="str">
        <f>"Gpn2"</f>
        <v>Gpn2</v>
      </c>
      <c r="B9737" t="s">
        <v>14</v>
      </c>
      <c r="C9737" t="s">
        <v>23</v>
      </c>
      <c r="D9737" t="s">
        <v>17</v>
      </c>
      <c r="E9737" t="s">
        <v>12</v>
      </c>
      <c r="F9737">
        <v>133584355</v>
      </c>
      <c r="G9737">
        <v>133584415</v>
      </c>
      <c r="H9737">
        <v>133584337</v>
      </c>
      <c r="I9737">
        <v>133584348</v>
      </c>
    </row>
    <row r="9738" spans="1:9" x14ac:dyDescent="0.2">
      <c r="A9738" t="str">
        <f>"Gpn3"</f>
        <v>Gpn3</v>
      </c>
      <c r="B9738" t="s">
        <v>14</v>
      </c>
      <c r="C9738" t="s">
        <v>46</v>
      </c>
      <c r="D9738" t="s">
        <v>17</v>
      </c>
      <c r="E9738" t="s">
        <v>12</v>
      </c>
      <c r="F9738">
        <v>122372515</v>
      </c>
      <c r="G9738">
        <v>122372604</v>
      </c>
      <c r="H9738">
        <v>122372445</v>
      </c>
      <c r="I9738">
        <v>122372477</v>
      </c>
    </row>
    <row r="9739" spans="1:9" x14ac:dyDescent="0.2">
      <c r="A9739" t="str">
        <f>"Gpnmb"</f>
        <v>Gpnmb</v>
      </c>
      <c r="B9739" t="s">
        <v>14</v>
      </c>
      <c r="C9739" t="s">
        <v>32</v>
      </c>
      <c r="D9739" t="s">
        <v>17</v>
      </c>
      <c r="E9739" t="s">
        <v>12</v>
      </c>
      <c r="F9739">
        <v>49036639</v>
      </c>
      <c r="G9739">
        <v>49036658</v>
      </c>
      <c r="H9739">
        <v>49036605</v>
      </c>
      <c r="I9739">
        <v>49036625</v>
      </c>
    </row>
    <row r="9740" spans="1:9" x14ac:dyDescent="0.2">
      <c r="A9740" t="str">
        <f>"Gpr1"</f>
        <v>Gpr1</v>
      </c>
      <c r="B9740" t="s">
        <v>14</v>
      </c>
      <c r="C9740" t="s">
        <v>19</v>
      </c>
      <c r="D9740" t="s">
        <v>11</v>
      </c>
      <c r="E9740" t="s">
        <v>12</v>
      </c>
      <c r="F9740">
        <v>63214226</v>
      </c>
      <c r="G9740">
        <v>63214244</v>
      </c>
      <c r="H9740">
        <v>63214247</v>
      </c>
      <c r="I9740">
        <v>63214264</v>
      </c>
    </row>
    <row r="9741" spans="1:9" x14ac:dyDescent="0.2">
      <c r="A9741" t="str">
        <f>"Gpr101"</f>
        <v>Gpr101</v>
      </c>
      <c r="B9741" t="s">
        <v>14</v>
      </c>
      <c r="C9741" t="s">
        <v>37</v>
      </c>
      <c r="D9741" t="s">
        <v>11</v>
      </c>
      <c r="E9741" t="s">
        <v>12</v>
      </c>
      <c r="F9741">
        <v>57503733</v>
      </c>
      <c r="G9741">
        <v>57503741</v>
      </c>
      <c r="H9741">
        <v>57503695</v>
      </c>
      <c r="I9741">
        <v>57503698</v>
      </c>
    </row>
    <row r="9742" spans="1:9" x14ac:dyDescent="0.2">
      <c r="A9742" t="str">
        <f>"Gpr107"</f>
        <v>Gpr107</v>
      </c>
      <c r="B9742" t="s">
        <v>14</v>
      </c>
      <c r="C9742" t="s">
        <v>26</v>
      </c>
      <c r="D9742" t="s">
        <v>17</v>
      </c>
      <c r="E9742" t="s">
        <v>12</v>
      </c>
      <c r="F9742">
        <v>31152318</v>
      </c>
      <c r="G9742">
        <v>31152360</v>
      </c>
      <c r="H9742">
        <v>31152318</v>
      </c>
      <c r="I9742">
        <v>31152360</v>
      </c>
    </row>
    <row r="9743" spans="1:9" x14ac:dyDescent="0.2">
      <c r="A9743" t="str">
        <f>"Gpr108"</f>
        <v>Gpr108</v>
      </c>
      <c r="B9743" t="s">
        <v>14</v>
      </c>
      <c r="C9743" t="s">
        <v>28</v>
      </c>
      <c r="D9743" t="s">
        <v>11</v>
      </c>
      <c r="E9743" t="s">
        <v>12</v>
      </c>
      <c r="F9743">
        <v>57247632</v>
      </c>
      <c r="G9743">
        <v>57247694</v>
      </c>
      <c r="H9743">
        <v>57247632</v>
      </c>
      <c r="I9743">
        <v>57247694</v>
      </c>
    </row>
    <row r="9744" spans="1:9" x14ac:dyDescent="0.2">
      <c r="A9744" t="str">
        <f>"Gpr110"</f>
        <v>Gpr110</v>
      </c>
      <c r="B9744" t="s">
        <v>14</v>
      </c>
      <c r="C9744" t="s">
        <v>28</v>
      </c>
      <c r="D9744" t="s">
        <v>17</v>
      </c>
      <c r="E9744" t="s">
        <v>12</v>
      </c>
      <c r="F9744">
        <v>43270340</v>
      </c>
      <c r="G9744">
        <v>43270366</v>
      </c>
      <c r="H9744">
        <v>43270314</v>
      </c>
      <c r="I9744">
        <v>43270335</v>
      </c>
    </row>
    <row r="9745" spans="1:9" x14ac:dyDescent="0.2">
      <c r="A9745" t="str">
        <f>"Gpr111"</f>
        <v>Gpr111</v>
      </c>
      <c r="B9745" t="s">
        <v>14</v>
      </c>
      <c r="C9745" t="s">
        <v>28</v>
      </c>
      <c r="D9745" t="s">
        <v>11</v>
      </c>
      <c r="E9745" t="s">
        <v>12</v>
      </c>
      <c r="F9745">
        <v>42742167</v>
      </c>
      <c r="G9745">
        <v>42742189</v>
      </c>
      <c r="H9745">
        <v>42742052</v>
      </c>
      <c r="I9745">
        <v>42742085</v>
      </c>
    </row>
    <row r="9746" spans="1:9" x14ac:dyDescent="0.2">
      <c r="A9746" t="str">
        <f>"Gpr112"</f>
        <v>Gpr112</v>
      </c>
      <c r="B9746" t="s">
        <v>4085</v>
      </c>
      <c r="C9746" t="s">
        <v>37</v>
      </c>
      <c r="D9746" t="s">
        <v>17</v>
      </c>
      <c r="E9746" t="s">
        <v>20</v>
      </c>
      <c r="F9746">
        <v>56963324</v>
      </c>
      <c r="G9746">
        <v>56963324</v>
      </c>
      <c r="H9746">
        <v>56963324</v>
      </c>
      <c r="I9746">
        <v>56963324</v>
      </c>
    </row>
    <row r="9747" spans="1:9" x14ac:dyDescent="0.2">
      <c r="A9747" t="str">
        <f>"Gpr112"</f>
        <v>Gpr112</v>
      </c>
      <c r="B9747" t="s">
        <v>4086</v>
      </c>
      <c r="C9747" t="s">
        <v>37</v>
      </c>
      <c r="D9747" t="s">
        <v>17</v>
      </c>
      <c r="E9747" t="s">
        <v>20</v>
      </c>
      <c r="F9747">
        <v>56968119</v>
      </c>
      <c r="G9747">
        <v>56968119</v>
      </c>
      <c r="H9747">
        <v>56968119</v>
      </c>
      <c r="I9747">
        <v>56968119</v>
      </c>
    </row>
    <row r="9748" spans="1:9" x14ac:dyDescent="0.2">
      <c r="A9748" t="str">
        <f>"Gpr112"</f>
        <v>Gpr112</v>
      </c>
      <c r="B9748" t="s">
        <v>4087</v>
      </c>
      <c r="C9748" t="s">
        <v>37</v>
      </c>
      <c r="D9748" t="s">
        <v>17</v>
      </c>
      <c r="E9748" t="s">
        <v>20</v>
      </c>
      <c r="F9748">
        <v>56913420</v>
      </c>
      <c r="G9748">
        <v>56913420</v>
      </c>
      <c r="H9748">
        <v>56913420</v>
      </c>
      <c r="I9748">
        <v>56913420</v>
      </c>
    </row>
    <row r="9749" spans="1:9" x14ac:dyDescent="0.2">
      <c r="A9749" t="str">
        <f>"Gpr113"</f>
        <v>Gpr113</v>
      </c>
      <c r="B9749" t="s">
        <v>14</v>
      </c>
      <c r="C9749" t="s">
        <v>46</v>
      </c>
      <c r="D9749" t="s">
        <v>11</v>
      </c>
      <c r="E9749" t="s">
        <v>12</v>
      </c>
      <c r="F9749">
        <v>30205697</v>
      </c>
      <c r="G9749">
        <v>30205725</v>
      </c>
      <c r="H9749">
        <v>30205697</v>
      </c>
      <c r="I9749">
        <v>30205725</v>
      </c>
    </row>
    <row r="9750" spans="1:9" x14ac:dyDescent="0.2">
      <c r="A9750" t="str">
        <f>"Gpr114"</f>
        <v>Gpr114</v>
      </c>
      <c r="B9750" t="s">
        <v>14</v>
      </c>
      <c r="C9750" t="s">
        <v>30</v>
      </c>
      <c r="D9750" t="s">
        <v>17</v>
      </c>
      <c r="E9750" t="s">
        <v>12</v>
      </c>
      <c r="F9750">
        <v>94923687</v>
      </c>
      <c r="G9750">
        <v>94923708</v>
      </c>
      <c r="H9750">
        <v>94923674</v>
      </c>
      <c r="I9750">
        <v>94923683</v>
      </c>
    </row>
    <row r="9751" spans="1:9" x14ac:dyDescent="0.2">
      <c r="A9751" t="str">
        <f>"Gpr115"</f>
        <v>Gpr115</v>
      </c>
      <c r="B9751" t="s">
        <v>14</v>
      </c>
      <c r="C9751" t="s">
        <v>28</v>
      </c>
      <c r="D9751" t="s">
        <v>11</v>
      </c>
      <c r="E9751" t="s">
        <v>12</v>
      </c>
      <c r="F9751">
        <v>42692244</v>
      </c>
      <c r="G9751">
        <v>42692289</v>
      </c>
      <c r="H9751">
        <v>42692211</v>
      </c>
      <c r="I9751">
        <v>42692238</v>
      </c>
    </row>
    <row r="9752" spans="1:9" x14ac:dyDescent="0.2">
      <c r="A9752" t="str">
        <f>"Gpr116"</f>
        <v>Gpr116</v>
      </c>
      <c r="B9752" t="s">
        <v>14</v>
      </c>
      <c r="C9752" t="s">
        <v>28</v>
      </c>
      <c r="D9752" t="s">
        <v>17</v>
      </c>
      <c r="E9752" t="s">
        <v>12</v>
      </c>
      <c r="F9752">
        <v>43389436</v>
      </c>
      <c r="G9752">
        <v>43389497</v>
      </c>
      <c r="H9752">
        <v>43389542</v>
      </c>
      <c r="I9752">
        <v>43389562</v>
      </c>
    </row>
    <row r="9753" spans="1:9" x14ac:dyDescent="0.2">
      <c r="A9753" t="str">
        <f>"Gpr119"</f>
        <v>Gpr119</v>
      </c>
      <c r="B9753" t="s">
        <v>14</v>
      </c>
      <c r="C9753" t="s">
        <v>37</v>
      </c>
      <c r="D9753" t="s">
        <v>11</v>
      </c>
      <c r="E9753" t="s">
        <v>12</v>
      </c>
      <c r="F9753">
        <v>48674469</v>
      </c>
      <c r="G9753">
        <v>48674479</v>
      </c>
      <c r="H9753">
        <v>48674469</v>
      </c>
      <c r="I9753">
        <v>48674479</v>
      </c>
    </row>
    <row r="9754" spans="1:9" x14ac:dyDescent="0.2">
      <c r="A9754" t="str">
        <f>"Gpr12"</f>
        <v>Gpr12</v>
      </c>
      <c r="B9754" t="s">
        <v>14</v>
      </c>
      <c r="C9754" t="s">
        <v>46</v>
      </c>
      <c r="D9754" t="s">
        <v>11</v>
      </c>
      <c r="E9754" t="s">
        <v>12</v>
      </c>
      <c r="F9754">
        <v>146584827</v>
      </c>
      <c r="G9754">
        <v>146584880</v>
      </c>
      <c r="H9754">
        <v>146584892</v>
      </c>
      <c r="I9754">
        <v>146584912</v>
      </c>
    </row>
    <row r="9755" spans="1:9" x14ac:dyDescent="0.2">
      <c r="A9755" t="str">
        <f>"Gpr123"</f>
        <v>Gpr123</v>
      </c>
      <c r="B9755" t="s">
        <v>14</v>
      </c>
      <c r="C9755" t="s">
        <v>33</v>
      </c>
      <c r="D9755" t="s">
        <v>17</v>
      </c>
      <c r="E9755" t="s">
        <v>12</v>
      </c>
      <c r="F9755">
        <v>139834320</v>
      </c>
      <c r="G9755">
        <v>139834352</v>
      </c>
      <c r="H9755">
        <v>139834189</v>
      </c>
      <c r="I9755">
        <v>139834201</v>
      </c>
    </row>
    <row r="9756" spans="1:9" x14ac:dyDescent="0.2">
      <c r="A9756" t="str">
        <f>"Gpr124"</f>
        <v>Gpr124</v>
      </c>
      <c r="B9756" t="s">
        <v>14</v>
      </c>
      <c r="C9756" t="s">
        <v>30</v>
      </c>
      <c r="D9756" t="s">
        <v>17</v>
      </c>
      <c r="E9756" t="s">
        <v>12</v>
      </c>
      <c r="F9756">
        <v>27085520</v>
      </c>
      <c r="G9756">
        <v>27085580</v>
      </c>
      <c r="H9756">
        <v>27085835</v>
      </c>
      <c r="I9756">
        <v>27085888</v>
      </c>
    </row>
    <row r="9757" spans="1:9" x14ac:dyDescent="0.2">
      <c r="A9757" t="str">
        <f>"Gpr125"</f>
        <v>Gpr125</v>
      </c>
      <c r="B9757" t="s">
        <v>14</v>
      </c>
      <c r="C9757" t="s">
        <v>46</v>
      </c>
      <c r="D9757" t="s">
        <v>11</v>
      </c>
      <c r="E9757" t="s">
        <v>12</v>
      </c>
      <c r="F9757">
        <v>50058908</v>
      </c>
      <c r="G9757">
        <v>50059010</v>
      </c>
      <c r="H9757">
        <v>50058908</v>
      </c>
      <c r="I9757">
        <v>50059010</v>
      </c>
    </row>
    <row r="9758" spans="1:9" x14ac:dyDescent="0.2">
      <c r="A9758" t="str">
        <f>"Gpr126"</f>
        <v>Gpr126</v>
      </c>
      <c r="B9758" t="s">
        <v>14</v>
      </c>
      <c r="C9758" t="s">
        <v>15</v>
      </c>
      <c r="D9758" t="s">
        <v>11</v>
      </c>
      <c r="E9758" t="s">
        <v>12</v>
      </c>
      <c r="F9758">
        <v>14545423</v>
      </c>
      <c r="G9758">
        <v>14545486</v>
      </c>
      <c r="H9758">
        <v>14545423</v>
      </c>
      <c r="I9758">
        <v>14545486</v>
      </c>
    </row>
    <row r="9759" spans="1:9" x14ac:dyDescent="0.2">
      <c r="A9759" t="str">
        <f>"Gpr128"</f>
        <v>Gpr128</v>
      </c>
      <c r="B9759" t="s">
        <v>14</v>
      </c>
      <c r="C9759" t="s">
        <v>31</v>
      </c>
      <c r="D9759" t="s">
        <v>11</v>
      </c>
      <c r="E9759" t="s">
        <v>12</v>
      </c>
      <c r="F9759">
        <v>56795823</v>
      </c>
      <c r="G9759">
        <v>56795899</v>
      </c>
      <c r="H9759">
        <v>56795959</v>
      </c>
      <c r="I9759">
        <v>56795970</v>
      </c>
    </row>
    <row r="9760" spans="1:9" x14ac:dyDescent="0.2">
      <c r="A9760" t="str">
        <f>"Gpr132"</f>
        <v>Gpr132</v>
      </c>
      <c r="B9760" t="s">
        <v>14</v>
      </c>
      <c r="C9760" t="s">
        <v>16</v>
      </c>
      <c r="D9760" t="s">
        <v>11</v>
      </c>
      <c r="E9760" t="s">
        <v>12</v>
      </c>
      <c r="F9760">
        <v>112860886</v>
      </c>
      <c r="G9760">
        <v>112860967</v>
      </c>
      <c r="H9760">
        <v>112860972</v>
      </c>
      <c r="I9760">
        <v>112860981</v>
      </c>
    </row>
    <row r="9761" spans="1:9" x14ac:dyDescent="0.2">
      <c r="A9761" t="str">
        <f>"Gpr133"</f>
        <v>Gpr133</v>
      </c>
      <c r="B9761" t="s">
        <v>14</v>
      </c>
      <c r="C9761" t="s">
        <v>46</v>
      </c>
      <c r="D9761" t="s">
        <v>17</v>
      </c>
      <c r="E9761" t="s">
        <v>12</v>
      </c>
      <c r="F9761">
        <v>129096740</v>
      </c>
      <c r="G9761">
        <v>129096771</v>
      </c>
      <c r="H9761">
        <v>129096655</v>
      </c>
      <c r="I9761">
        <v>129096671</v>
      </c>
    </row>
    <row r="9762" spans="1:9" x14ac:dyDescent="0.2">
      <c r="A9762" t="str">
        <f>"Gpr135"</f>
        <v>Gpr135</v>
      </c>
      <c r="B9762" t="s">
        <v>14</v>
      </c>
      <c r="C9762" t="s">
        <v>16</v>
      </c>
      <c r="D9762" t="s">
        <v>11</v>
      </c>
      <c r="E9762" t="s">
        <v>12</v>
      </c>
      <c r="F9762">
        <v>72071026</v>
      </c>
      <c r="G9762">
        <v>72071052</v>
      </c>
      <c r="H9762">
        <v>72071067</v>
      </c>
      <c r="I9762">
        <v>72071079</v>
      </c>
    </row>
    <row r="9763" spans="1:9" x14ac:dyDescent="0.2">
      <c r="A9763" t="str">
        <f>"Gpr137"</f>
        <v>Gpr137</v>
      </c>
      <c r="B9763" t="s">
        <v>14</v>
      </c>
      <c r="C9763" t="s">
        <v>10</v>
      </c>
      <c r="D9763" t="s">
        <v>11</v>
      </c>
      <c r="E9763" t="s">
        <v>12</v>
      </c>
      <c r="F9763">
        <v>6941428</v>
      </c>
      <c r="G9763">
        <v>6941518</v>
      </c>
      <c r="H9763">
        <v>6942406</v>
      </c>
      <c r="I9763">
        <v>6942443</v>
      </c>
    </row>
    <row r="9764" spans="1:9" x14ac:dyDescent="0.2">
      <c r="A9764" t="str">
        <f>"Gpr137b"</f>
        <v>Gpr137b</v>
      </c>
      <c r="B9764" t="s">
        <v>14</v>
      </c>
      <c r="C9764" t="s">
        <v>39</v>
      </c>
      <c r="D9764" t="s">
        <v>11</v>
      </c>
      <c r="E9764" t="s">
        <v>12</v>
      </c>
      <c r="F9764">
        <v>13393525</v>
      </c>
      <c r="G9764">
        <v>13393561</v>
      </c>
      <c r="H9764">
        <v>13393631</v>
      </c>
      <c r="I9764">
        <v>13393656</v>
      </c>
    </row>
    <row r="9765" spans="1:9" x14ac:dyDescent="0.2">
      <c r="A9765" t="str">
        <f>"Gpr137c"</f>
        <v>Gpr137c</v>
      </c>
      <c r="B9765" t="s">
        <v>14</v>
      </c>
      <c r="C9765" t="s">
        <v>41</v>
      </c>
      <c r="D9765" t="s">
        <v>17</v>
      </c>
      <c r="E9765" t="s">
        <v>12</v>
      </c>
      <c r="F9765">
        <v>45219744</v>
      </c>
      <c r="G9765">
        <v>45219775</v>
      </c>
      <c r="H9765">
        <v>45219711</v>
      </c>
      <c r="I9765">
        <v>45219725</v>
      </c>
    </row>
    <row r="9766" spans="1:9" x14ac:dyDescent="0.2">
      <c r="A9766" t="str">
        <f>"Gpr139"</f>
        <v>Gpr139</v>
      </c>
      <c r="B9766" t="s">
        <v>14</v>
      </c>
      <c r="C9766" t="s">
        <v>33</v>
      </c>
      <c r="D9766" t="s">
        <v>11</v>
      </c>
      <c r="E9766" t="s">
        <v>12</v>
      </c>
      <c r="F9766">
        <v>119184527</v>
      </c>
      <c r="G9766">
        <v>119184546</v>
      </c>
      <c r="H9766">
        <v>119184527</v>
      </c>
      <c r="I9766">
        <v>119184546</v>
      </c>
    </row>
    <row r="9767" spans="1:9" x14ac:dyDescent="0.2">
      <c r="A9767" t="str">
        <f>"Gpr141"</f>
        <v>Gpr141</v>
      </c>
      <c r="B9767" t="s">
        <v>14</v>
      </c>
      <c r="C9767" t="s">
        <v>39</v>
      </c>
      <c r="D9767" t="s">
        <v>11</v>
      </c>
      <c r="E9767" t="s">
        <v>12</v>
      </c>
      <c r="F9767">
        <v>19824234</v>
      </c>
      <c r="G9767">
        <v>19824268</v>
      </c>
      <c r="H9767">
        <v>19824234</v>
      </c>
      <c r="I9767">
        <v>19824268</v>
      </c>
    </row>
    <row r="9768" spans="1:9" x14ac:dyDescent="0.2">
      <c r="A9768" t="str">
        <f>"Gpr142"</f>
        <v>Gpr142</v>
      </c>
      <c r="B9768" t="s">
        <v>4088</v>
      </c>
      <c r="C9768" t="s">
        <v>27</v>
      </c>
      <c r="D9768" t="s">
        <v>17</v>
      </c>
      <c r="E9768" t="s">
        <v>20</v>
      </c>
      <c r="F9768">
        <v>114798923</v>
      </c>
      <c r="G9768">
        <v>114798923</v>
      </c>
      <c r="H9768">
        <v>114798923</v>
      </c>
      <c r="I9768">
        <v>114798923</v>
      </c>
    </row>
    <row r="9769" spans="1:9" x14ac:dyDescent="0.2">
      <c r="A9769" t="str">
        <f>"Gpr143"</f>
        <v>Gpr143</v>
      </c>
      <c r="B9769" t="s">
        <v>14</v>
      </c>
      <c r="C9769" t="s">
        <v>37</v>
      </c>
      <c r="D9769" t="s">
        <v>17</v>
      </c>
      <c r="E9769" t="s">
        <v>12</v>
      </c>
      <c r="F9769">
        <v>152781994</v>
      </c>
      <c r="G9769">
        <v>152782029</v>
      </c>
      <c r="H9769">
        <v>152781937</v>
      </c>
      <c r="I9769">
        <v>152781966</v>
      </c>
    </row>
    <row r="9770" spans="1:9" x14ac:dyDescent="0.2">
      <c r="A9770" t="str">
        <f>"Gpr146"</f>
        <v>Gpr146</v>
      </c>
      <c r="B9770" t="s">
        <v>9</v>
      </c>
      <c r="C9770" t="s">
        <v>46</v>
      </c>
      <c r="D9770" t="s">
        <v>17</v>
      </c>
      <c r="E9770" t="s">
        <v>12</v>
      </c>
      <c r="F9770">
        <v>139380632</v>
      </c>
      <c r="G9770">
        <v>139380707</v>
      </c>
      <c r="H9770">
        <v>139380632</v>
      </c>
      <c r="I9770">
        <v>139380707</v>
      </c>
    </row>
    <row r="9771" spans="1:9" x14ac:dyDescent="0.2">
      <c r="A9771" t="str">
        <f>"Gpr146"</f>
        <v>Gpr146</v>
      </c>
      <c r="B9771" t="s">
        <v>13</v>
      </c>
      <c r="C9771" t="s">
        <v>46</v>
      </c>
      <c r="D9771" t="s">
        <v>17</v>
      </c>
      <c r="E9771" t="s">
        <v>12</v>
      </c>
      <c r="F9771">
        <v>139389894</v>
      </c>
      <c r="G9771">
        <v>139389920</v>
      </c>
      <c r="H9771">
        <v>139389894</v>
      </c>
      <c r="I9771">
        <v>139389920</v>
      </c>
    </row>
    <row r="9772" spans="1:9" x14ac:dyDescent="0.2">
      <c r="A9772" t="str">
        <f>"Gpr149"</f>
        <v>Gpr149</v>
      </c>
      <c r="B9772" t="s">
        <v>14</v>
      </c>
      <c r="C9772" t="s">
        <v>22</v>
      </c>
      <c r="D9772" t="s">
        <v>11</v>
      </c>
      <c r="E9772" t="s">
        <v>12</v>
      </c>
      <c r="F9772">
        <v>62605115</v>
      </c>
      <c r="G9772">
        <v>62605127</v>
      </c>
      <c r="H9772">
        <v>62605115</v>
      </c>
      <c r="I9772">
        <v>62605127</v>
      </c>
    </row>
    <row r="9773" spans="1:9" x14ac:dyDescent="0.2">
      <c r="A9773" t="str">
        <f>"Gpr15"</f>
        <v>Gpr15</v>
      </c>
      <c r="B9773" t="s">
        <v>14</v>
      </c>
      <c r="C9773" t="s">
        <v>31</v>
      </c>
      <c r="D9773" t="s">
        <v>11</v>
      </c>
      <c r="E9773" t="s">
        <v>12</v>
      </c>
      <c r="F9773">
        <v>58718871</v>
      </c>
      <c r="G9773">
        <v>58718878</v>
      </c>
      <c r="H9773">
        <v>58718871</v>
      </c>
      <c r="I9773">
        <v>58718878</v>
      </c>
    </row>
    <row r="9774" spans="1:9" x14ac:dyDescent="0.2">
      <c r="A9774" t="str">
        <f>"Gpr150"</f>
        <v>Gpr150</v>
      </c>
      <c r="B9774" t="s">
        <v>4089</v>
      </c>
      <c r="C9774" t="s">
        <v>39</v>
      </c>
      <c r="D9774" t="s">
        <v>11</v>
      </c>
      <c r="E9774" t="s">
        <v>20</v>
      </c>
      <c r="F9774">
        <v>76056995</v>
      </c>
      <c r="G9774">
        <v>76056995</v>
      </c>
      <c r="H9774">
        <v>76056995</v>
      </c>
      <c r="I9774">
        <v>76056995</v>
      </c>
    </row>
    <row r="9775" spans="1:9" x14ac:dyDescent="0.2">
      <c r="A9775" t="str">
        <f>"Gpr151"</f>
        <v>Gpr151</v>
      </c>
      <c r="B9775" t="s">
        <v>14</v>
      </c>
      <c r="C9775" t="s">
        <v>43</v>
      </c>
      <c r="D9775" t="s">
        <v>11</v>
      </c>
      <c r="E9775" t="s">
        <v>12</v>
      </c>
      <c r="F9775">
        <v>42579761</v>
      </c>
      <c r="G9775">
        <v>42579790</v>
      </c>
      <c r="H9775">
        <v>42579761</v>
      </c>
      <c r="I9775">
        <v>42579790</v>
      </c>
    </row>
    <row r="9776" spans="1:9" x14ac:dyDescent="0.2">
      <c r="A9776" t="str">
        <f>"Gpr152"</f>
        <v>Gpr152</v>
      </c>
      <c r="B9776" t="s">
        <v>14</v>
      </c>
      <c r="C9776" t="s">
        <v>10</v>
      </c>
      <c r="D9776" t="s">
        <v>17</v>
      </c>
      <c r="E9776" t="s">
        <v>12</v>
      </c>
      <c r="F9776">
        <v>4139734</v>
      </c>
      <c r="G9776">
        <v>4139752</v>
      </c>
      <c r="H9776">
        <v>4139734</v>
      </c>
      <c r="I9776">
        <v>4139752</v>
      </c>
    </row>
    <row r="9777" spans="1:9" x14ac:dyDescent="0.2">
      <c r="A9777" t="str">
        <f>"Gpr153"</f>
        <v>Gpr153</v>
      </c>
      <c r="B9777" t="s">
        <v>14</v>
      </c>
      <c r="C9777" t="s">
        <v>23</v>
      </c>
      <c r="D9777" t="s">
        <v>17</v>
      </c>
      <c r="E9777" t="s">
        <v>12</v>
      </c>
      <c r="F9777">
        <v>152274090</v>
      </c>
      <c r="G9777">
        <v>152274163</v>
      </c>
      <c r="H9777">
        <v>152274191</v>
      </c>
      <c r="I9777">
        <v>152274232</v>
      </c>
    </row>
    <row r="9778" spans="1:9" x14ac:dyDescent="0.2">
      <c r="A9778" t="str">
        <f>"Gpr155"</f>
        <v>Gpr155</v>
      </c>
      <c r="B9778" t="s">
        <v>14</v>
      </c>
      <c r="C9778" t="s">
        <v>26</v>
      </c>
      <c r="D9778" t="s">
        <v>11</v>
      </c>
      <c r="E9778" t="s">
        <v>12</v>
      </c>
      <c r="F9778">
        <v>73386396</v>
      </c>
      <c r="G9778">
        <v>73386479</v>
      </c>
      <c r="H9778">
        <v>73386330</v>
      </c>
      <c r="I9778">
        <v>73386343</v>
      </c>
    </row>
    <row r="9779" spans="1:9" x14ac:dyDescent="0.2">
      <c r="A9779" t="str">
        <f>"Gpr156"</f>
        <v>Gpr156</v>
      </c>
      <c r="B9779" t="s">
        <v>14</v>
      </c>
      <c r="C9779" t="s">
        <v>31</v>
      </c>
      <c r="D9779" t="s">
        <v>17</v>
      </c>
      <c r="E9779" t="s">
        <v>12</v>
      </c>
      <c r="F9779">
        <v>37916440</v>
      </c>
      <c r="G9779">
        <v>37916474</v>
      </c>
      <c r="H9779">
        <v>37916414</v>
      </c>
      <c r="I9779">
        <v>37916439</v>
      </c>
    </row>
    <row r="9780" spans="1:9" x14ac:dyDescent="0.2">
      <c r="A9780" t="str">
        <f>"Gpr157"</f>
        <v>Gpr157</v>
      </c>
      <c r="B9780" t="s">
        <v>14</v>
      </c>
      <c r="C9780" t="s">
        <v>23</v>
      </c>
      <c r="D9780" t="s">
        <v>17</v>
      </c>
      <c r="E9780" t="s">
        <v>12</v>
      </c>
      <c r="F9780">
        <v>150087646</v>
      </c>
      <c r="G9780">
        <v>150087669</v>
      </c>
      <c r="H9780">
        <v>150087513</v>
      </c>
      <c r="I9780">
        <v>150087541</v>
      </c>
    </row>
    <row r="9781" spans="1:9" x14ac:dyDescent="0.2">
      <c r="A9781" t="str">
        <f>"Gpr158"</f>
        <v>Gpr158</v>
      </c>
      <c r="B9781" t="s">
        <v>14</v>
      </c>
      <c r="C9781" t="s">
        <v>26</v>
      </c>
      <c r="D9781" t="s">
        <v>17</v>
      </c>
      <c r="E9781" t="s">
        <v>12</v>
      </c>
      <c r="F9781">
        <v>21367567</v>
      </c>
      <c r="G9781">
        <v>21367596</v>
      </c>
      <c r="H9781">
        <v>21367567</v>
      </c>
      <c r="I9781">
        <v>21367596</v>
      </c>
    </row>
    <row r="9782" spans="1:9" x14ac:dyDescent="0.2">
      <c r="A9782" t="str">
        <f>"Gpr160"</f>
        <v>Gpr160</v>
      </c>
      <c r="B9782" t="s">
        <v>14</v>
      </c>
      <c r="C9782" t="s">
        <v>22</v>
      </c>
      <c r="D9782" t="s">
        <v>17</v>
      </c>
      <c r="E9782" t="s">
        <v>12</v>
      </c>
      <c r="F9782">
        <v>30855946</v>
      </c>
      <c r="G9782">
        <v>30856002</v>
      </c>
      <c r="H9782">
        <v>30855734</v>
      </c>
      <c r="I9782">
        <v>30855768</v>
      </c>
    </row>
    <row r="9783" spans="1:9" x14ac:dyDescent="0.2">
      <c r="A9783" t="str">
        <f>"Gpr161"</f>
        <v>Gpr161</v>
      </c>
      <c r="B9783" t="s">
        <v>4090</v>
      </c>
      <c r="C9783" t="s">
        <v>19</v>
      </c>
      <c r="D9783" t="s">
        <v>17</v>
      </c>
      <c r="E9783" t="s">
        <v>20</v>
      </c>
      <c r="F9783">
        <v>165302624</v>
      </c>
      <c r="G9783">
        <v>165302624</v>
      </c>
      <c r="H9783">
        <v>165302624</v>
      </c>
      <c r="I9783">
        <v>165302624</v>
      </c>
    </row>
    <row r="9784" spans="1:9" x14ac:dyDescent="0.2">
      <c r="A9784" t="str">
        <f>"Gpr161"</f>
        <v>Gpr161</v>
      </c>
      <c r="B9784" t="s">
        <v>4091</v>
      </c>
      <c r="C9784" t="s">
        <v>19</v>
      </c>
      <c r="D9784" t="s">
        <v>17</v>
      </c>
      <c r="E9784" t="s">
        <v>20</v>
      </c>
      <c r="F9784">
        <v>165301862</v>
      </c>
      <c r="G9784">
        <v>165301862</v>
      </c>
      <c r="H9784">
        <v>165301862</v>
      </c>
      <c r="I9784">
        <v>165301862</v>
      </c>
    </row>
    <row r="9785" spans="1:9" x14ac:dyDescent="0.2">
      <c r="A9785" t="str">
        <f>"Gpr162"</f>
        <v>Gpr162</v>
      </c>
      <c r="B9785" t="s">
        <v>14</v>
      </c>
      <c r="C9785" t="s">
        <v>32</v>
      </c>
      <c r="D9785" t="s">
        <v>11</v>
      </c>
      <c r="E9785" t="s">
        <v>12</v>
      </c>
      <c r="F9785">
        <v>124863877</v>
      </c>
      <c r="G9785">
        <v>124863996</v>
      </c>
      <c r="H9785">
        <v>124863725</v>
      </c>
      <c r="I9785">
        <v>124863771</v>
      </c>
    </row>
    <row r="9786" spans="1:9" x14ac:dyDescent="0.2">
      <c r="A9786" t="str">
        <f>"Gpr165"</f>
        <v>Gpr165</v>
      </c>
      <c r="B9786" t="s">
        <v>14</v>
      </c>
      <c r="C9786" t="s">
        <v>37</v>
      </c>
      <c r="D9786" t="s">
        <v>17</v>
      </c>
      <c r="E9786" t="s">
        <v>12</v>
      </c>
      <c r="F9786">
        <v>96713459</v>
      </c>
      <c r="G9786">
        <v>96713475</v>
      </c>
      <c r="H9786">
        <v>96713508</v>
      </c>
      <c r="I9786">
        <v>96713520</v>
      </c>
    </row>
    <row r="9787" spans="1:9" x14ac:dyDescent="0.2">
      <c r="A9787" t="str">
        <f>"Gpr17"</f>
        <v>Gpr17</v>
      </c>
      <c r="B9787" t="s">
        <v>14</v>
      </c>
      <c r="C9787" t="s">
        <v>43</v>
      </c>
      <c r="D9787" t="s">
        <v>11</v>
      </c>
      <c r="E9787" t="s">
        <v>12</v>
      </c>
      <c r="F9787">
        <v>31949571</v>
      </c>
      <c r="G9787">
        <v>31949588</v>
      </c>
      <c r="H9787">
        <v>31949714</v>
      </c>
      <c r="I9787">
        <v>31949742</v>
      </c>
    </row>
    <row r="9788" spans="1:9" x14ac:dyDescent="0.2">
      <c r="A9788" t="str">
        <f>"Gpr171"</f>
        <v>Gpr171</v>
      </c>
      <c r="B9788" t="s">
        <v>14</v>
      </c>
      <c r="C9788" t="s">
        <v>22</v>
      </c>
      <c r="D9788" t="s">
        <v>11</v>
      </c>
      <c r="E9788" t="s">
        <v>12</v>
      </c>
      <c r="F9788">
        <v>59101810</v>
      </c>
      <c r="G9788">
        <v>59101826</v>
      </c>
      <c r="H9788">
        <v>59101761</v>
      </c>
      <c r="I9788">
        <v>59101777</v>
      </c>
    </row>
    <row r="9789" spans="1:9" x14ac:dyDescent="0.2">
      <c r="A9789" t="str">
        <f>"Gpr173"</f>
        <v>Gpr173</v>
      </c>
      <c r="B9789" t="s">
        <v>14</v>
      </c>
      <c r="C9789" t="s">
        <v>37</v>
      </c>
      <c r="D9789" t="s">
        <v>11</v>
      </c>
      <c r="E9789" t="s">
        <v>12</v>
      </c>
      <c r="F9789">
        <v>152368680</v>
      </c>
      <c r="G9789">
        <v>152368740</v>
      </c>
      <c r="H9789">
        <v>152368785</v>
      </c>
      <c r="I9789">
        <v>152368802</v>
      </c>
    </row>
    <row r="9790" spans="1:9" x14ac:dyDescent="0.2">
      <c r="A9790" t="str">
        <f>"Gpr174"</f>
        <v>Gpr174</v>
      </c>
      <c r="B9790" t="s">
        <v>14</v>
      </c>
      <c r="C9790" t="s">
        <v>37</v>
      </c>
      <c r="D9790" t="s">
        <v>17</v>
      </c>
      <c r="E9790" t="s">
        <v>12</v>
      </c>
      <c r="F9790">
        <v>107256031</v>
      </c>
      <c r="G9790">
        <v>107256064</v>
      </c>
      <c r="H9790">
        <v>107256066</v>
      </c>
      <c r="I9790">
        <v>107256087</v>
      </c>
    </row>
    <row r="9791" spans="1:9" x14ac:dyDescent="0.2">
      <c r="A9791" t="str">
        <f>"Gpr176"</f>
        <v>Gpr176</v>
      </c>
      <c r="B9791" t="s">
        <v>14</v>
      </c>
      <c r="C9791" t="s">
        <v>26</v>
      </c>
      <c r="D9791" t="s">
        <v>11</v>
      </c>
      <c r="E9791" t="s">
        <v>12</v>
      </c>
      <c r="F9791">
        <v>118373309</v>
      </c>
      <c r="G9791">
        <v>118373341</v>
      </c>
      <c r="H9791">
        <v>118373347</v>
      </c>
      <c r="I9791">
        <v>118373379</v>
      </c>
    </row>
    <row r="9792" spans="1:9" x14ac:dyDescent="0.2">
      <c r="A9792" t="str">
        <f>"Gpr179"</f>
        <v>Gpr179</v>
      </c>
      <c r="B9792" t="s">
        <v>14</v>
      </c>
      <c r="C9792" t="s">
        <v>27</v>
      </c>
      <c r="D9792" t="s">
        <v>11</v>
      </c>
      <c r="E9792" t="s">
        <v>12</v>
      </c>
      <c r="F9792">
        <v>97352348</v>
      </c>
      <c r="G9792">
        <v>97352363</v>
      </c>
      <c r="H9792">
        <v>97352348</v>
      </c>
      <c r="I9792">
        <v>97352363</v>
      </c>
    </row>
    <row r="9793" spans="1:9" x14ac:dyDescent="0.2">
      <c r="A9793" t="str">
        <f>"Gpr18"</f>
        <v>Gpr18</v>
      </c>
      <c r="B9793" t="s">
        <v>14</v>
      </c>
      <c r="C9793" t="s">
        <v>41</v>
      </c>
      <c r="D9793" t="s">
        <v>11</v>
      </c>
      <c r="E9793" t="s">
        <v>12</v>
      </c>
      <c r="F9793">
        <v>121915807</v>
      </c>
      <c r="G9793">
        <v>121915863</v>
      </c>
      <c r="H9793">
        <v>121915774</v>
      </c>
      <c r="I9793">
        <v>121915793</v>
      </c>
    </row>
    <row r="9794" spans="1:9" x14ac:dyDescent="0.2">
      <c r="A9794" t="str">
        <f>"Gpr180"</f>
        <v>Gpr180</v>
      </c>
      <c r="B9794" t="s">
        <v>14</v>
      </c>
      <c r="C9794" t="s">
        <v>41</v>
      </c>
      <c r="D9794" t="s">
        <v>17</v>
      </c>
      <c r="E9794" t="s">
        <v>12</v>
      </c>
      <c r="F9794">
        <v>118137101</v>
      </c>
      <c r="G9794">
        <v>118137178</v>
      </c>
      <c r="H9794">
        <v>118137101</v>
      </c>
      <c r="I9794">
        <v>118137178</v>
      </c>
    </row>
    <row r="9795" spans="1:9" x14ac:dyDescent="0.2">
      <c r="A9795" t="str">
        <f>"Gpr182"</f>
        <v>Gpr182</v>
      </c>
      <c r="B9795" t="s">
        <v>14</v>
      </c>
      <c r="C9795" t="s">
        <v>15</v>
      </c>
      <c r="D9795" t="s">
        <v>11</v>
      </c>
      <c r="E9795" t="s">
        <v>12</v>
      </c>
      <c r="F9795">
        <v>127751707</v>
      </c>
      <c r="G9795">
        <v>127751737</v>
      </c>
      <c r="H9795">
        <v>127751739</v>
      </c>
      <c r="I9795">
        <v>127751751</v>
      </c>
    </row>
    <row r="9796" spans="1:9" x14ac:dyDescent="0.2">
      <c r="A9796" t="str">
        <f>"Gpr183"</f>
        <v>Gpr183</v>
      </c>
      <c r="B9796" t="s">
        <v>14</v>
      </c>
      <c r="C9796" t="s">
        <v>41</v>
      </c>
      <c r="D9796" t="s">
        <v>11</v>
      </c>
      <c r="E9796" t="s">
        <v>12</v>
      </c>
      <c r="F9796">
        <v>121965098</v>
      </c>
      <c r="G9796">
        <v>121965116</v>
      </c>
      <c r="H9796">
        <v>121965098</v>
      </c>
      <c r="I9796">
        <v>121965116</v>
      </c>
    </row>
    <row r="9797" spans="1:9" x14ac:dyDescent="0.2">
      <c r="A9797" t="str">
        <f>"Gpr19"</f>
        <v>Gpr19</v>
      </c>
      <c r="B9797" t="s">
        <v>9</v>
      </c>
      <c r="C9797" t="s">
        <v>32</v>
      </c>
      <c r="D9797" t="s">
        <v>11</v>
      </c>
      <c r="E9797" t="s">
        <v>12</v>
      </c>
      <c r="F9797">
        <v>134897861</v>
      </c>
      <c r="G9797">
        <v>134897907</v>
      </c>
      <c r="H9797">
        <v>134897861</v>
      </c>
      <c r="I9797">
        <v>134897907</v>
      </c>
    </row>
    <row r="9798" spans="1:9" x14ac:dyDescent="0.2">
      <c r="A9798" t="str">
        <f>"Gpr19"</f>
        <v>Gpr19</v>
      </c>
      <c r="B9798" t="s">
        <v>13</v>
      </c>
      <c r="C9798" t="s">
        <v>32</v>
      </c>
      <c r="D9798" t="s">
        <v>11</v>
      </c>
      <c r="E9798" t="s">
        <v>12</v>
      </c>
      <c r="F9798">
        <v>134887783</v>
      </c>
      <c r="G9798">
        <v>134887866</v>
      </c>
      <c r="H9798">
        <v>134887783</v>
      </c>
      <c r="I9798">
        <v>134887866</v>
      </c>
    </row>
    <row r="9799" spans="1:9" x14ac:dyDescent="0.2">
      <c r="A9799" t="str">
        <f>"Gpr20"</f>
        <v>Gpr20</v>
      </c>
      <c r="B9799" t="s">
        <v>14</v>
      </c>
      <c r="C9799" t="s">
        <v>25</v>
      </c>
      <c r="D9799" t="s">
        <v>11</v>
      </c>
      <c r="E9799" t="s">
        <v>12</v>
      </c>
      <c r="F9799">
        <v>73707387</v>
      </c>
      <c r="G9799">
        <v>73707414</v>
      </c>
      <c r="H9799">
        <v>73707387</v>
      </c>
      <c r="I9799">
        <v>73707414</v>
      </c>
    </row>
    <row r="9800" spans="1:9" x14ac:dyDescent="0.2">
      <c r="A9800" t="str">
        <f>"Gpr21"</f>
        <v>Gpr21</v>
      </c>
      <c r="B9800" t="s">
        <v>14</v>
      </c>
      <c r="C9800" t="s">
        <v>26</v>
      </c>
      <c r="D9800" t="s">
        <v>17</v>
      </c>
      <c r="E9800" t="s">
        <v>12</v>
      </c>
      <c r="F9800">
        <v>37516618</v>
      </c>
      <c r="G9800">
        <v>37516634</v>
      </c>
      <c r="H9800">
        <v>37516592</v>
      </c>
      <c r="I9800">
        <v>37516606</v>
      </c>
    </row>
    <row r="9801" spans="1:9" x14ac:dyDescent="0.2">
      <c r="A9801" t="str">
        <f>"Gpr22"</f>
        <v>Gpr22</v>
      </c>
      <c r="B9801" t="s">
        <v>14</v>
      </c>
      <c r="C9801" t="s">
        <v>16</v>
      </c>
      <c r="D9801" t="s">
        <v>11</v>
      </c>
      <c r="E9801" t="s">
        <v>12</v>
      </c>
      <c r="F9801">
        <v>31713873</v>
      </c>
      <c r="G9801">
        <v>31713898</v>
      </c>
      <c r="H9801">
        <v>31713837</v>
      </c>
      <c r="I9801">
        <v>31713848</v>
      </c>
    </row>
    <row r="9802" spans="1:9" x14ac:dyDescent="0.2">
      <c r="A9802" t="str">
        <f>"Gpr25"</f>
        <v>Gpr25</v>
      </c>
      <c r="B9802" t="s">
        <v>14</v>
      </c>
      <c r="C9802" t="s">
        <v>19</v>
      </c>
      <c r="D9802" t="s">
        <v>11</v>
      </c>
      <c r="E9802" t="s">
        <v>12</v>
      </c>
      <c r="F9802">
        <v>136260916</v>
      </c>
      <c r="G9802">
        <v>136260931</v>
      </c>
      <c r="H9802">
        <v>136260916</v>
      </c>
      <c r="I9802">
        <v>136260931</v>
      </c>
    </row>
    <row r="9803" spans="1:9" x14ac:dyDescent="0.2">
      <c r="A9803" t="str">
        <f>"Gpr26"</f>
        <v>Gpr26</v>
      </c>
      <c r="B9803" t="s">
        <v>14</v>
      </c>
      <c r="C9803" t="s">
        <v>33</v>
      </c>
      <c r="D9803" t="s">
        <v>17</v>
      </c>
      <c r="E9803" t="s">
        <v>12</v>
      </c>
      <c r="F9803">
        <v>131966446</v>
      </c>
      <c r="G9803">
        <v>131966469</v>
      </c>
      <c r="H9803">
        <v>131966491</v>
      </c>
      <c r="I9803">
        <v>131966510</v>
      </c>
    </row>
    <row r="9804" spans="1:9" x14ac:dyDescent="0.2">
      <c r="A9804" t="str">
        <f>"Gpr27"</f>
        <v>Gpr27</v>
      </c>
      <c r="B9804" t="s">
        <v>14</v>
      </c>
      <c r="C9804" t="s">
        <v>32</v>
      </c>
      <c r="D9804" t="s">
        <v>17</v>
      </c>
      <c r="E9804" t="s">
        <v>12</v>
      </c>
      <c r="F9804">
        <v>99692280</v>
      </c>
      <c r="G9804">
        <v>99692323</v>
      </c>
      <c r="H9804">
        <v>99692280</v>
      </c>
      <c r="I9804">
        <v>99692323</v>
      </c>
    </row>
    <row r="9805" spans="1:9" x14ac:dyDescent="0.2">
      <c r="A9805" t="str">
        <f>"Gpr3"</f>
        <v>Gpr3</v>
      </c>
      <c r="B9805" t="s">
        <v>14</v>
      </c>
      <c r="C9805" t="s">
        <v>23</v>
      </c>
      <c r="D9805" t="s">
        <v>11</v>
      </c>
      <c r="E9805" t="s">
        <v>12</v>
      </c>
      <c r="F9805">
        <v>133212480</v>
      </c>
      <c r="G9805">
        <v>133212501</v>
      </c>
      <c r="H9805">
        <v>133212528</v>
      </c>
      <c r="I9805">
        <v>133212542</v>
      </c>
    </row>
    <row r="9806" spans="1:9" x14ac:dyDescent="0.2">
      <c r="A9806" t="str">
        <f>"Gpr31b"</f>
        <v>Gpr31b</v>
      </c>
      <c r="B9806" t="s">
        <v>4092</v>
      </c>
      <c r="C9806" t="s">
        <v>28</v>
      </c>
      <c r="D9806" t="s">
        <v>11</v>
      </c>
      <c r="E9806" t="s">
        <v>20</v>
      </c>
      <c r="F9806">
        <v>13052279</v>
      </c>
      <c r="G9806">
        <v>13052279</v>
      </c>
      <c r="H9806">
        <v>13052279</v>
      </c>
      <c r="I9806">
        <v>13052279</v>
      </c>
    </row>
    <row r="9807" spans="1:9" x14ac:dyDescent="0.2">
      <c r="A9807" t="str">
        <f>"Gpr33"</f>
        <v>Gpr33</v>
      </c>
      <c r="B9807" t="s">
        <v>14</v>
      </c>
      <c r="C9807" t="s">
        <v>16</v>
      </c>
      <c r="D9807" t="s">
        <v>11</v>
      </c>
      <c r="E9807" t="s">
        <v>12</v>
      </c>
      <c r="F9807">
        <v>52028090</v>
      </c>
      <c r="G9807">
        <v>52028104</v>
      </c>
      <c r="H9807">
        <v>52028090</v>
      </c>
      <c r="I9807">
        <v>52028104</v>
      </c>
    </row>
    <row r="9808" spans="1:9" x14ac:dyDescent="0.2">
      <c r="A9808" t="str">
        <f>"Gpr34"</f>
        <v>Gpr34</v>
      </c>
      <c r="B9808" t="s">
        <v>14</v>
      </c>
      <c r="C9808" t="s">
        <v>37</v>
      </c>
      <c r="D9808" t="s">
        <v>17</v>
      </c>
      <c r="E9808" t="s">
        <v>12</v>
      </c>
      <c r="F9808">
        <v>13632780</v>
      </c>
      <c r="G9808">
        <v>13632798</v>
      </c>
      <c r="H9808">
        <v>13632104</v>
      </c>
      <c r="I9808">
        <v>13632135</v>
      </c>
    </row>
    <row r="9809" spans="1:9" x14ac:dyDescent="0.2">
      <c r="A9809" t="str">
        <f>"Gpr35"</f>
        <v>Gpr35</v>
      </c>
      <c r="B9809" t="s">
        <v>14</v>
      </c>
      <c r="C9809" t="s">
        <v>19</v>
      </c>
      <c r="D9809" t="s">
        <v>17</v>
      </c>
      <c r="E9809" t="s">
        <v>12</v>
      </c>
      <c r="F9809">
        <v>92973113</v>
      </c>
      <c r="G9809">
        <v>92973127</v>
      </c>
      <c r="H9809">
        <v>92973135</v>
      </c>
      <c r="I9809">
        <v>92973153</v>
      </c>
    </row>
    <row r="9810" spans="1:9" x14ac:dyDescent="0.2">
      <c r="A9810" t="str">
        <f>"Gpr37"</f>
        <v>Gpr37</v>
      </c>
      <c r="B9810" t="s">
        <v>14</v>
      </c>
      <c r="C9810" t="s">
        <v>32</v>
      </c>
      <c r="D9810" t="s">
        <v>11</v>
      </c>
      <c r="E9810" t="s">
        <v>12</v>
      </c>
      <c r="F9810">
        <v>25689782</v>
      </c>
      <c r="G9810">
        <v>25689800</v>
      </c>
      <c r="H9810">
        <v>25689919</v>
      </c>
      <c r="I9810">
        <v>25689966</v>
      </c>
    </row>
    <row r="9811" spans="1:9" x14ac:dyDescent="0.2">
      <c r="A9811" t="str">
        <f>"Gpr37l1"</f>
        <v>Gpr37l1</v>
      </c>
      <c r="B9811" t="s">
        <v>14</v>
      </c>
      <c r="C9811" t="s">
        <v>19</v>
      </c>
      <c r="D9811" t="s">
        <v>11</v>
      </c>
      <c r="E9811" t="s">
        <v>12</v>
      </c>
      <c r="F9811">
        <v>135167538</v>
      </c>
      <c r="G9811">
        <v>135167554</v>
      </c>
      <c r="H9811">
        <v>135167538</v>
      </c>
      <c r="I9811">
        <v>135167554</v>
      </c>
    </row>
    <row r="9812" spans="1:9" x14ac:dyDescent="0.2">
      <c r="A9812" t="str">
        <f>"Gpr39"</f>
        <v>Gpr39</v>
      </c>
      <c r="B9812" t="s">
        <v>14</v>
      </c>
      <c r="C9812" t="s">
        <v>19</v>
      </c>
      <c r="D9812" t="s">
        <v>17</v>
      </c>
      <c r="E9812" t="s">
        <v>12</v>
      </c>
      <c r="F9812">
        <v>125677020</v>
      </c>
      <c r="G9812">
        <v>125677075</v>
      </c>
      <c r="H9812">
        <v>125676969</v>
      </c>
      <c r="I9812">
        <v>125677015</v>
      </c>
    </row>
    <row r="9813" spans="1:9" x14ac:dyDescent="0.2">
      <c r="A9813" t="str">
        <f>"Gpr4"</f>
        <v>Gpr4</v>
      </c>
      <c r="B9813" t="s">
        <v>14</v>
      </c>
      <c r="C9813" t="s">
        <v>33</v>
      </c>
      <c r="D9813" t="s">
        <v>17</v>
      </c>
      <c r="E9813" t="s">
        <v>12</v>
      </c>
      <c r="F9813">
        <v>19212553</v>
      </c>
      <c r="G9813">
        <v>19212605</v>
      </c>
      <c r="H9813">
        <v>19212521</v>
      </c>
      <c r="I9813">
        <v>19212546</v>
      </c>
    </row>
    <row r="9814" spans="1:9" x14ac:dyDescent="0.2">
      <c r="A9814" t="str">
        <f>"Gpr44"</f>
        <v>Gpr44</v>
      </c>
      <c r="B9814" t="s">
        <v>14</v>
      </c>
      <c r="C9814" t="s">
        <v>10</v>
      </c>
      <c r="D9814" t="s">
        <v>17</v>
      </c>
      <c r="E9814" t="s">
        <v>12</v>
      </c>
      <c r="F9814">
        <v>10937154</v>
      </c>
      <c r="G9814">
        <v>10937178</v>
      </c>
      <c r="H9814">
        <v>10937200</v>
      </c>
      <c r="I9814">
        <v>10937205</v>
      </c>
    </row>
    <row r="9815" spans="1:9" x14ac:dyDescent="0.2">
      <c r="A9815" t="str">
        <f>"Gpr45"</f>
        <v>Gpr45</v>
      </c>
      <c r="B9815" t="s">
        <v>14</v>
      </c>
      <c r="C9815" t="s">
        <v>19</v>
      </c>
      <c r="D9815" t="s">
        <v>17</v>
      </c>
      <c r="E9815" t="s">
        <v>12</v>
      </c>
      <c r="F9815">
        <v>42953106</v>
      </c>
      <c r="G9815">
        <v>42953164</v>
      </c>
      <c r="H9815">
        <v>42952984</v>
      </c>
      <c r="I9815">
        <v>42953028</v>
      </c>
    </row>
    <row r="9816" spans="1:9" x14ac:dyDescent="0.2">
      <c r="A9816" t="str">
        <f>"Gpr50"</f>
        <v>Gpr50</v>
      </c>
      <c r="B9816" t="s">
        <v>14</v>
      </c>
      <c r="C9816" t="s">
        <v>37</v>
      </c>
      <c r="D9816" t="s">
        <v>17</v>
      </c>
      <c r="E9816" t="s">
        <v>12</v>
      </c>
      <c r="F9816">
        <v>71663665</v>
      </c>
      <c r="G9816">
        <v>71663671</v>
      </c>
      <c r="H9816">
        <v>71663665</v>
      </c>
      <c r="I9816">
        <v>71663671</v>
      </c>
    </row>
    <row r="9817" spans="1:9" x14ac:dyDescent="0.2">
      <c r="A9817" t="str">
        <f>"Gpr55"</f>
        <v>Gpr55</v>
      </c>
      <c r="B9817" t="s">
        <v>14</v>
      </c>
      <c r="C9817" t="s">
        <v>19</v>
      </c>
      <c r="D9817" t="s">
        <v>11</v>
      </c>
      <c r="E9817" t="s">
        <v>12</v>
      </c>
      <c r="F9817">
        <v>85961029</v>
      </c>
      <c r="G9817">
        <v>85961073</v>
      </c>
      <c r="H9817">
        <v>85961090</v>
      </c>
      <c r="I9817">
        <v>85961103</v>
      </c>
    </row>
    <row r="9818" spans="1:9" x14ac:dyDescent="0.2">
      <c r="A9818" t="str">
        <f>"Gpr56"</f>
        <v>Gpr56</v>
      </c>
      <c r="B9818" t="s">
        <v>14</v>
      </c>
      <c r="C9818" t="s">
        <v>30</v>
      </c>
      <c r="D9818" t="s">
        <v>17</v>
      </c>
      <c r="E9818" t="s">
        <v>12</v>
      </c>
      <c r="F9818">
        <v>94984409</v>
      </c>
      <c r="G9818">
        <v>94984477</v>
      </c>
      <c r="H9818">
        <v>94984409</v>
      </c>
      <c r="I9818">
        <v>94984477</v>
      </c>
    </row>
    <row r="9819" spans="1:9" x14ac:dyDescent="0.2">
      <c r="A9819" t="str">
        <f>"Gpr6"</f>
        <v>Gpr6</v>
      </c>
      <c r="B9819" t="s">
        <v>14</v>
      </c>
      <c r="C9819" t="s">
        <v>15</v>
      </c>
      <c r="D9819" t="s">
        <v>11</v>
      </c>
      <c r="E9819" t="s">
        <v>12</v>
      </c>
      <c r="F9819">
        <v>41072279</v>
      </c>
      <c r="G9819">
        <v>41072290</v>
      </c>
      <c r="H9819">
        <v>41072292</v>
      </c>
      <c r="I9819">
        <v>41072308</v>
      </c>
    </row>
    <row r="9820" spans="1:9" x14ac:dyDescent="0.2">
      <c r="A9820" t="str">
        <f>"Gpr61"</f>
        <v>Gpr61</v>
      </c>
      <c r="B9820" t="s">
        <v>14</v>
      </c>
      <c r="C9820" t="s">
        <v>22</v>
      </c>
      <c r="D9820" t="s">
        <v>11</v>
      </c>
      <c r="E9820" t="s">
        <v>12</v>
      </c>
      <c r="F9820">
        <v>108154871</v>
      </c>
      <c r="G9820">
        <v>108154908</v>
      </c>
      <c r="H9820">
        <v>108154911</v>
      </c>
      <c r="I9820">
        <v>108154930</v>
      </c>
    </row>
    <row r="9821" spans="1:9" x14ac:dyDescent="0.2">
      <c r="A9821" t="str">
        <f>"Gpr62"</f>
        <v>Gpr62</v>
      </c>
      <c r="B9821" t="s">
        <v>14</v>
      </c>
      <c r="C9821" t="s">
        <v>24</v>
      </c>
      <c r="D9821" t="s">
        <v>11</v>
      </c>
      <c r="E9821" t="s">
        <v>12</v>
      </c>
      <c r="F9821">
        <v>106465965</v>
      </c>
      <c r="G9821">
        <v>106465990</v>
      </c>
      <c r="H9821">
        <v>106465879</v>
      </c>
      <c r="I9821">
        <v>106465886</v>
      </c>
    </row>
    <row r="9822" spans="1:9" x14ac:dyDescent="0.2">
      <c r="A9822" t="str">
        <f>"Gpr63"</f>
        <v>Gpr63</v>
      </c>
      <c r="B9822" t="s">
        <v>14</v>
      </c>
      <c r="C9822" t="s">
        <v>23</v>
      </c>
      <c r="D9822" t="s">
        <v>17</v>
      </c>
      <c r="E9822" t="s">
        <v>12</v>
      </c>
      <c r="F9822">
        <v>24966401</v>
      </c>
      <c r="G9822">
        <v>24966420</v>
      </c>
      <c r="H9822">
        <v>24966374</v>
      </c>
      <c r="I9822">
        <v>24966380</v>
      </c>
    </row>
    <row r="9823" spans="1:9" x14ac:dyDescent="0.2">
      <c r="A9823" t="str">
        <f>"Gpr64"</f>
        <v>Gpr64</v>
      </c>
      <c r="B9823" t="s">
        <v>14</v>
      </c>
      <c r="C9823" t="s">
        <v>37</v>
      </c>
      <c r="D9823" t="s">
        <v>17</v>
      </c>
      <c r="E9823" t="s">
        <v>12</v>
      </c>
      <c r="F9823">
        <v>160390684</v>
      </c>
      <c r="G9823">
        <v>160390730</v>
      </c>
      <c r="H9823">
        <v>160390560</v>
      </c>
      <c r="I9823">
        <v>160390616</v>
      </c>
    </row>
    <row r="9824" spans="1:9" x14ac:dyDescent="0.2">
      <c r="A9824" t="str">
        <f>"Gpr65"</f>
        <v>Gpr65</v>
      </c>
      <c r="B9824" t="s">
        <v>14</v>
      </c>
      <c r="C9824" t="s">
        <v>16</v>
      </c>
      <c r="D9824" t="s">
        <v>17</v>
      </c>
      <c r="E9824" t="s">
        <v>12</v>
      </c>
      <c r="F9824">
        <v>98268656</v>
      </c>
      <c r="G9824">
        <v>98268677</v>
      </c>
      <c r="H9824">
        <v>98268626</v>
      </c>
      <c r="I9824">
        <v>98268654</v>
      </c>
    </row>
    <row r="9825" spans="1:9" x14ac:dyDescent="0.2">
      <c r="A9825" t="str">
        <f>"Gpr68"</f>
        <v>Gpr68</v>
      </c>
      <c r="B9825" t="s">
        <v>14</v>
      </c>
      <c r="C9825" t="s">
        <v>16</v>
      </c>
      <c r="D9825" t="s">
        <v>11</v>
      </c>
      <c r="E9825" t="s">
        <v>12</v>
      </c>
      <c r="F9825">
        <v>100887836</v>
      </c>
      <c r="G9825">
        <v>100887864</v>
      </c>
      <c r="H9825">
        <v>100887836</v>
      </c>
      <c r="I9825">
        <v>100887864</v>
      </c>
    </row>
    <row r="9826" spans="1:9" x14ac:dyDescent="0.2">
      <c r="A9826" t="str">
        <f>"Gpr75"</f>
        <v>Gpr75</v>
      </c>
      <c r="B9826" t="s">
        <v>14</v>
      </c>
      <c r="C9826" t="s">
        <v>27</v>
      </c>
      <c r="D9826" t="s">
        <v>17</v>
      </c>
      <c r="E9826" t="s">
        <v>12</v>
      </c>
      <c r="F9826">
        <v>30885400</v>
      </c>
      <c r="G9826">
        <v>30885430</v>
      </c>
      <c r="H9826">
        <v>30885381</v>
      </c>
      <c r="I9826">
        <v>30885392</v>
      </c>
    </row>
    <row r="9827" spans="1:9" x14ac:dyDescent="0.2">
      <c r="A9827" t="str">
        <f>"Gpr81"</f>
        <v>Gpr81</v>
      </c>
      <c r="B9827" t="s">
        <v>14</v>
      </c>
      <c r="C9827" t="s">
        <v>46</v>
      </c>
      <c r="D9827" t="s">
        <v>11</v>
      </c>
      <c r="E9827" t="s">
        <v>12</v>
      </c>
      <c r="F9827">
        <v>123879992</v>
      </c>
      <c r="G9827">
        <v>123880012</v>
      </c>
      <c r="H9827">
        <v>123880015</v>
      </c>
      <c r="I9827">
        <v>123880024</v>
      </c>
    </row>
    <row r="9828" spans="1:9" x14ac:dyDescent="0.2">
      <c r="A9828" t="str">
        <f>"Gpr82"</f>
        <v>Gpr82</v>
      </c>
      <c r="B9828" t="s">
        <v>14</v>
      </c>
      <c r="C9828" t="s">
        <v>37</v>
      </c>
      <c r="D9828" t="s">
        <v>17</v>
      </c>
      <c r="E9828" t="s">
        <v>12</v>
      </c>
      <c r="F9828">
        <v>13661354</v>
      </c>
      <c r="G9828">
        <v>13661366</v>
      </c>
      <c r="H9828">
        <v>13661331</v>
      </c>
      <c r="I9828">
        <v>13661343</v>
      </c>
    </row>
    <row r="9829" spans="1:9" x14ac:dyDescent="0.2">
      <c r="A9829" t="str">
        <f>"Gpr83"</f>
        <v>Gpr83</v>
      </c>
      <c r="B9829" t="s">
        <v>14</v>
      </c>
      <c r="C9829" t="s">
        <v>24</v>
      </c>
      <c r="D9829" t="s">
        <v>17</v>
      </c>
      <c r="E9829" t="s">
        <v>12</v>
      </c>
      <c r="F9829">
        <v>14860232</v>
      </c>
      <c r="G9829">
        <v>14860246</v>
      </c>
      <c r="H9829">
        <v>14860064</v>
      </c>
      <c r="I9829">
        <v>14860079</v>
      </c>
    </row>
    <row r="9830" spans="1:9" x14ac:dyDescent="0.2">
      <c r="A9830" t="str">
        <f>"Gpr84"</f>
        <v>Gpr84</v>
      </c>
      <c r="B9830" t="s">
        <v>14</v>
      </c>
      <c r="C9830" t="s">
        <v>25</v>
      </c>
      <c r="D9830" t="s">
        <v>11</v>
      </c>
      <c r="E9830" t="s">
        <v>12</v>
      </c>
      <c r="F9830">
        <v>103310448</v>
      </c>
      <c r="G9830">
        <v>103310476</v>
      </c>
      <c r="H9830">
        <v>103310402</v>
      </c>
      <c r="I9830">
        <v>103310413</v>
      </c>
    </row>
    <row r="9831" spans="1:9" x14ac:dyDescent="0.2">
      <c r="A9831" t="str">
        <f>"Gpr85"</f>
        <v>Gpr85</v>
      </c>
      <c r="B9831" t="s">
        <v>14</v>
      </c>
      <c r="C9831" t="s">
        <v>32</v>
      </c>
      <c r="D9831" t="s">
        <v>11</v>
      </c>
      <c r="E9831" t="s">
        <v>12</v>
      </c>
      <c r="F9831">
        <v>13838652</v>
      </c>
      <c r="G9831">
        <v>13838689</v>
      </c>
      <c r="H9831">
        <v>13838652</v>
      </c>
      <c r="I9831">
        <v>13838689</v>
      </c>
    </row>
    <row r="9832" spans="1:9" x14ac:dyDescent="0.2">
      <c r="A9832" t="str">
        <f>"Gpr87"</f>
        <v>Gpr87</v>
      </c>
      <c r="B9832" t="s">
        <v>14</v>
      </c>
      <c r="C9832" t="s">
        <v>22</v>
      </c>
      <c r="D9832" t="s">
        <v>11</v>
      </c>
      <c r="E9832" t="s">
        <v>12</v>
      </c>
      <c r="F9832">
        <v>59195095</v>
      </c>
      <c r="G9832">
        <v>59195110</v>
      </c>
      <c r="H9832">
        <v>59195031</v>
      </c>
      <c r="I9832">
        <v>59195054</v>
      </c>
    </row>
    <row r="9833" spans="1:9" x14ac:dyDescent="0.2">
      <c r="A9833" t="str">
        <f>"Gpr88"</f>
        <v>Gpr88</v>
      </c>
      <c r="B9833" t="s">
        <v>14</v>
      </c>
      <c r="C9833" t="s">
        <v>22</v>
      </c>
      <c r="D9833" t="s">
        <v>11</v>
      </c>
      <c r="E9833" t="s">
        <v>12</v>
      </c>
      <c r="F9833">
        <v>116253467</v>
      </c>
      <c r="G9833">
        <v>116253483</v>
      </c>
      <c r="H9833">
        <v>116253411</v>
      </c>
      <c r="I9833">
        <v>116253433</v>
      </c>
    </row>
    <row r="9834" spans="1:9" x14ac:dyDescent="0.2">
      <c r="A9834" t="str">
        <f>"Gpr89"</f>
        <v>Gpr89</v>
      </c>
      <c r="B9834" t="s">
        <v>14</v>
      </c>
      <c r="C9834" t="s">
        <v>22</v>
      </c>
      <c r="D9834" t="s">
        <v>11</v>
      </c>
      <c r="E9834" t="s">
        <v>12</v>
      </c>
      <c r="F9834">
        <v>96905294</v>
      </c>
      <c r="G9834">
        <v>96905341</v>
      </c>
      <c r="H9834">
        <v>96905273</v>
      </c>
      <c r="I9834">
        <v>96905292</v>
      </c>
    </row>
    <row r="9835" spans="1:9" x14ac:dyDescent="0.2">
      <c r="A9835" t="str">
        <f>"Gpr97"</f>
        <v>Gpr97</v>
      </c>
      <c r="B9835" t="s">
        <v>14</v>
      </c>
      <c r="C9835" t="s">
        <v>30</v>
      </c>
      <c r="D9835" t="s">
        <v>17</v>
      </c>
      <c r="E9835" t="s">
        <v>12</v>
      </c>
      <c r="F9835">
        <v>95017707</v>
      </c>
      <c r="G9835">
        <v>95017726</v>
      </c>
      <c r="H9835">
        <v>95017734</v>
      </c>
      <c r="I9835">
        <v>95017755</v>
      </c>
    </row>
    <row r="9836" spans="1:9" x14ac:dyDescent="0.2">
      <c r="A9836" t="str">
        <f>"Gpr98"</f>
        <v>Gpr98</v>
      </c>
      <c r="B9836" t="s">
        <v>14</v>
      </c>
      <c r="C9836" t="s">
        <v>39</v>
      </c>
      <c r="D9836" t="s">
        <v>11</v>
      </c>
      <c r="E9836" t="s">
        <v>12</v>
      </c>
      <c r="F9836">
        <v>81633119</v>
      </c>
      <c r="G9836">
        <v>81633153</v>
      </c>
      <c r="H9836">
        <v>81633119</v>
      </c>
      <c r="I9836">
        <v>81633153</v>
      </c>
    </row>
    <row r="9837" spans="1:9" x14ac:dyDescent="0.2">
      <c r="A9837" t="str">
        <f>"Gprasp1"</f>
        <v>Gprasp1</v>
      </c>
      <c r="B9837" t="s">
        <v>9</v>
      </c>
      <c r="C9837" t="s">
        <v>37</v>
      </c>
      <c r="D9837" t="s">
        <v>17</v>
      </c>
      <c r="E9837" t="s">
        <v>12</v>
      </c>
      <c r="F9837">
        <v>135742686</v>
      </c>
      <c r="G9837">
        <v>135742744</v>
      </c>
      <c r="H9837">
        <v>135742686</v>
      </c>
      <c r="I9837">
        <v>135742744</v>
      </c>
    </row>
    <row r="9838" spans="1:9" x14ac:dyDescent="0.2">
      <c r="A9838" t="str">
        <f>"Gprasp1"</f>
        <v>Gprasp1</v>
      </c>
      <c r="B9838" t="s">
        <v>13</v>
      </c>
      <c r="C9838" t="s">
        <v>37</v>
      </c>
      <c r="D9838" t="s">
        <v>17</v>
      </c>
      <c r="E9838" t="s">
        <v>12</v>
      </c>
      <c r="F9838">
        <v>135796113</v>
      </c>
      <c r="G9838">
        <v>135796164</v>
      </c>
      <c r="H9838">
        <v>135796113</v>
      </c>
      <c r="I9838">
        <v>135796164</v>
      </c>
    </row>
    <row r="9839" spans="1:9" x14ac:dyDescent="0.2">
      <c r="A9839" t="str">
        <f>"Gprasp2"</f>
        <v>Gprasp2</v>
      </c>
      <c r="B9839" t="s">
        <v>14</v>
      </c>
      <c r="C9839" t="s">
        <v>37</v>
      </c>
      <c r="D9839" t="s">
        <v>17</v>
      </c>
      <c r="E9839" t="s">
        <v>12</v>
      </c>
      <c r="F9839">
        <v>135839040</v>
      </c>
      <c r="G9839">
        <v>135839075</v>
      </c>
      <c r="H9839">
        <v>135839079</v>
      </c>
      <c r="I9839">
        <v>135839086</v>
      </c>
    </row>
    <row r="9840" spans="1:9" x14ac:dyDescent="0.2">
      <c r="A9840" t="str">
        <f>"Gprc5a"</f>
        <v>Gprc5a</v>
      </c>
      <c r="B9840" t="s">
        <v>14</v>
      </c>
      <c r="C9840" t="s">
        <v>32</v>
      </c>
      <c r="D9840" t="s">
        <v>17</v>
      </c>
      <c r="E9840" t="s">
        <v>12</v>
      </c>
      <c r="F9840">
        <v>135065666</v>
      </c>
      <c r="G9840">
        <v>135065682</v>
      </c>
      <c r="H9840">
        <v>135065533</v>
      </c>
      <c r="I9840">
        <v>135065537</v>
      </c>
    </row>
    <row r="9841" spans="1:9" x14ac:dyDescent="0.2">
      <c r="A9841" t="str">
        <f>"Gprc5b"</f>
        <v>Gprc5b</v>
      </c>
      <c r="B9841" t="s">
        <v>14</v>
      </c>
      <c r="C9841" t="s">
        <v>33</v>
      </c>
      <c r="D9841" t="s">
        <v>11</v>
      </c>
      <c r="E9841" t="s">
        <v>12</v>
      </c>
      <c r="F9841">
        <v>118995142</v>
      </c>
      <c r="G9841">
        <v>118995203</v>
      </c>
      <c r="H9841">
        <v>118995091</v>
      </c>
      <c r="I9841">
        <v>118995105</v>
      </c>
    </row>
    <row r="9842" spans="1:9" x14ac:dyDescent="0.2">
      <c r="A9842" t="str">
        <f>"Gprc5c"</f>
        <v>Gprc5c</v>
      </c>
      <c r="B9842" t="s">
        <v>14</v>
      </c>
      <c r="C9842" t="s">
        <v>27</v>
      </c>
      <c r="D9842" t="s">
        <v>17</v>
      </c>
      <c r="E9842" t="s">
        <v>12</v>
      </c>
      <c r="F9842">
        <v>114851814</v>
      </c>
      <c r="G9842">
        <v>114851868</v>
      </c>
      <c r="H9842">
        <v>114852053</v>
      </c>
      <c r="I9842">
        <v>114852075</v>
      </c>
    </row>
    <row r="9843" spans="1:9" x14ac:dyDescent="0.2">
      <c r="A9843" t="str">
        <f>"Gprc5d"</f>
        <v>Gprc5d</v>
      </c>
      <c r="B9843" t="s">
        <v>14</v>
      </c>
      <c r="C9843" t="s">
        <v>32</v>
      </c>
      <c r="D9843" t="s">
        <v>11</v>
      </c>
      <c r="E9843" t="s">
        <v>12</v>
      </c>
      <c r="F9843">
        <v>135118240</v>
      </c>
      <c r="G9843">
        <v>135118252</v>
      </c>
      <c r="H9843">
        <v>135118240</v>
      </c>
      <c r="I9843">
        <v>135118252</v>
      </c>
    </row>
    <row r="9844" spans="1:9" x14ac:dyDescent="0.2">
      <c r="A9844" t="str">
        <f>"Gprc6a"</f>
        <v>Gprc6a</v>
      </c>
      <c r="B9844" t="s">
        <v>14</v>
      </c>
      <c r="C9844" t="s">
        <v>15</v>
      </c>
      <c r="D9844" t="s">
        <v>11</v>
      </c>
      <c r="E9844" t="s">
        <v>12</v>
      </c>
      <c r="F9844">
        <v>51631622</v>
      </c>
      <c r="G9844">
        <v>51631663</v>
      </c>
      <c r="H9844">
        <v>51631622</v>
      </c>
      <c r="I9844">
        <v>51631663</v>
      </c>
    </row>
    <row r="9845" spans="1:9" x14ac:dyDescent="0.2">
      <c r="A9845" t="str">
        <f>"Gprin1"</f>
        <v>Gprin1</v>
      </c>
      <c r="B9845" t="s">
        <v>14</v>
      </c>
      <c r="C9845" t="s">
        <v>39</v>
      </c>
      <c r="D9845" t="s">
        <v>11</v>
      </c>
      <c r="E9845" t="s">
        <v>12</v>
      </c>
      <c r="F9845">
        <v>54749627</v>
      </c>
      <c r="G9845">
        <v>54749697</v>
      </c>
      <c r="H9845">
        <v>54749849</v>
      </c>
      <c r="I9845">
        <v>54749893</v>
      </c>
    </row>
    <row r="9846" spans="1:9" x14ac:dyDescent="0.2">
      <c r="A9846" t="str">
        <f>"Gprin2"</f>
        <v>Gprin2</v>
      </c>
      <c r="B9846" t="s">
        <v>14</v>
      </c>
      <c r="C9846" t="s">
        <v>41</v>
      </c>
      <c r="D9846" t="s">
        <v>11</v>
      </c>
      <c r="E9846" t="s">
        <v>12</v>
      </c>
      <c r="F9846">
        <v>34201604</v>
      </c>
      <c r="G9846">
        <v>34201622</v>
      </c>
      <c r="H9846">
        <v>34201582</v>
      </c>
      <c r="I9846">
        <v>34201602</v>
      </c>
    </row>
    <row r="9847" spans="1:9" x14ac:dyDescent="0.2">
      <c r="A9847" t="str">
        <f>"Gprin3"</f>
        <v>Gprin3</v>
      </c>
      <c r="B9847" t="s">
        <v>14</v>
      </c>
      <c r="C9847" t="s">
        <v>32</v>
      </c>
      <c r="D9847" t="s">
        <v>11</v>
      </c>
      <c r="E9847" t="s">
        <v>12</v>
      </c>
      <c r="F9847">
        <v>59426279</v>
      </c>
      <c r="G9847">
        <v>59426345</v>
      </c>
      <c r="H9847">
        <v>59426361</v>
      </c>
      <c r="I9847">
        <v>59426371</v>
      </c>
    </row>
    <row r="9848" spans="1:9" x14ac:dyDescent="0.2">
      <c r="A9848" t="str">
        <f>"Gps1"</f>
        <v>Gps1</v>
      </c>
      <c r="B9848" t="s">
        <v>14</v>
      </c>
      <c r="C9848" t="s">
        <v>27</v>
      </c>
      <c r="D9848" t="s">
        <v>17</v>
      </c>
      <c r="E9848" t="s">
        <v>12</v>
      </c>
      <c r="F9848">
        <v>120784498</v>
      </c>
      <c r="G9848">
        <v>120784570</v>
      </c>
      <c r="H9848">
        <v>120784257</v>
      </c>
      <c r="I9848">
        <v>120784272</v>
      </c>
    </row>
    <row r="9849" spans="1:9" x14ac:dyDescent="0.2">
      <c r="A9849" t="str">
        <f>"Gps2"</f>
        <v>Gps2</v>
      </c>
      <c r="B9849" t="s">
        <v>14</v>
      </c>
      <c r="C9849" t="s">
        <v>27</v>
      </c>
      <c r="D9849" t="s">
        <v>17</v>
      </c>
      <c r="E9849" t="s">
        <v>12</v>
      </c>
      <c r="F9849">
        <v>69914008</v>
      </c>
      <c r="G9849">
        <v>69914078</v>
      </c>
      <c r="H9849">
        <v>69914243</v>
      </c>
      <c r="I9849">
        <v>69914250</v>
      </c>
    </row>
    <row r="9850" spans="1:9" x14ac:dyDescent="0.2">
      <c r="A9850" t="str">
        <f>"Gpsm1"</f>
        <v>Gpsm1</v>
      </c>
      <c r="B9850" t="s">
        <v>14</v>
      </c>
      <c r="C9850" t="s">
        <v>26</v>
      </c>
      <c r="D9850" t="s">
        <v>17</v>
      </c>
      <c r="E9850" t="s">
        <v>12</v>
      </c>
      <c r="F9850">
        <v>26315513</v>
      </c>
      <c r="G9850">
        <v>26315602</v>
      </c>
      <c r="H9850">
        <v>26315513</v>
      </c>
      <c r="I9850">
        <v>26315602</v>
      </c>
    </row>
    <row r="9851" spans="1:9" x14ac:dyDescent="0.2">
      <c r="A9851" t="str">
        <f>"Gpsm2"</f>
        <v>Gpsm2</v>
      </c>
      <c r="B9851" t="s">
        <v>14</v>
      </c>
      <c r="C9851" t="s">
        <v>22</v>
      </c>
      <c r="D9851" t="s">
        <v>11</v>
      </c>
      <c r="E9851" t="s">
        <v>12</v>
      </c>
      <c r="F9851">
        <v>108722281</v>
      </c>
      <c r="G9851">
        <v>108722311</v>
      </c>
      <c r="H9851">
        <v>108722142</v>
      </c>
      <c r="I9851">
        <v>108722201</v>
      </c>
    </row>
    <row r="9852" spans="1:9" x14ac:dyDescent="0.2">
      <c r="A9852" t="str">
        <f>"Gpsm3"</f>
        <v>Gpsm3</v>
      </c>
      <c r="B9852" t="s">
        <v>14</v>
      </c>
      <c r="C9852" t="s">
        <v>28</v>
      </c>
      <c r="D9852" t="s">
        <v>17</v>
      </c>
      <c r="E9852" t="s">
        <v>12</v>
      </c>
      <c r="F9852">
        <v>34590056</v>
      </c>
      <c r="G9852">
        <v>34590104</v>
      </c>
      <c r="H9852">
        <v>34589799</v>
      </c>
      <c r="I9852">
        <v>34589830</v>
      </c>
    </row>
    <row r="9853" spans="1:9" x14ac:dyDescent="0.2">
      <c r="A9853" t="str">
        <f>"Gpt"</f>
        <v>Gpt</v>
      </c>
      <c r="B9853" t="s">
        <v>14</v>
      </c>
      <c r="C9853" t="s">
        <v>25</v>
      </c>
      <c r="D9853" t="s">
        <v>17</v>
      </c>
      <c r="E9853" t="s">
        <v>12</v>
      </c>
      <c r="F9853">
        <v>76696725</v>
      </c>
      <c r="G9853">
        <v>76696747</v>
      </c>
      <c r="H9853">
        <v>76696725</v>
      </c>
      <c r="I9853">
        <v>76696747</v>
      </c>
    </row>
    <row r="9854" spans="1:9" x14ac:dyDescent="0.2">
      <c r="A9854" t="str">
        <f>"Gpt2"</f>
        <v>Gpt2</v>
      </c>
      <c r="B9854" t="s">
        <v>14</v>
      </c>
      <c r="C9854" t="s">
        <v>30</v>
      </c>
      <c r="D9854" t="s">
        <v>17</v>
      </c>
      <c r="E9854" t="s">
        <v>12</v>
      </c>
      <c r="F9854">
        <v>85492568</v>
      </c>
      <c r="G9854">
        <v>85492626</v>
      </c>
      <c r="H9854">
        <v>85492568</v>
      </c>
      <c r="I9854">
        <v>85492626</v>
      </c>
    </row>
    <row r="9855" spans="1:9" x14ac:dyDescent="0.2">
      <c r="A9855" t="str">
        <f>"Gpx1"</f>
        <v>Gpx1</v>
      </c>
      <c r="B9855" t="s">
        <v>14</v>
      </c>
      <c r="C9855" t="s">
        <v>24</v>
      </c>
      <c r="D9855" t="s">
        <v>17</v>
      </c>
      <c r="E9855" t="s">
        <v>12</v>
      </c>
      <c r="F9855">
        <v>108339048</v>
      </c>
      <c r="G9855">
        <v>108339070</v>
      </c>
      <c r="H9855">
        <v>108339074</v>
      </c>
      <c r="I9855">
        <v>108339089</v>
      </c>
    </row>
    <row r="9856" spans="1:9" x14ac:dyDescent="0.2">
      <c r="A9856" t="str">
        <f>"Gpx2"</f>
        <v>Gpx2</v>
      </c>
      <c r="B9856" t="s">
        <v>14</v>
      </c>
      <c r="C9856" t="s">
        <v>16</v>
      </c>
      <c r="D9856" t="s">
        <v>11</v>
      </c>
      <c r="E9856" t="s">
        <v>12</v>
      </c>
      <c r="F9856">
        <v>76795425</v>
      </c>
      <c r="G9856">
        <v>76795464</v>
      </c>
      <c r="H9856">
        <v>76795489</v>
      </c>
      <c r="I9856">
        <v>76795521</v>
      </c>
    </row>
    <row r="9857" spans="1:9" x14ac:dyDescent="0.2">
      <c r="A9857" t="str">
        <f>"Gpx3"</f>
        <v>Gpx3</v>
      </c>
      <c r="B9857" t="s">
        <v>14</v>
      </c>
      <c r="C9857" t="s">
        <v>27</v>
      </c>
      <c r="D9857" t="s">
        <v>17</v>
      </c>
      <c r="E9857" t="s">
        <v>12</v>
      </c>
      <c r="F9857">
        <v>54902917</v>
      </c>
      <c r="G9857">
        <v>54902932</v>
      </c>
      <c r="H9857">
        <v>54902847</v>
      </c>
      <c r="I9857">
        <v>54902858</v>
      </c>
    </row>
    <row r="9858" spans="1:9" x14ac:dyDescent="0.2">
      <c r="A9858" t="str">
        <f>"Gpx4"</f>
        <v>Gpx4</v>
      </c>
      <c r="B9858" t="s">
        <v>14</v>
      </c>
      <c r="C9858" t="s">
        <v>15</v>
      </c>
      <c r="D9858" t="s">
        <v>17</v>
      </c>
      <c r="E9858" t="s">
        <v>12</v>
      </c>
      <c r="F9858">
        <v>80053623</v>
      </c>
      <c r="G9858">
        <v>80053665</v>
      </c>
      <c r="H9858">
        <v>80053559</v>
      </c>
      <c r="I9858">
        <v>80053570</v>
      </c>
    </row>
    <row r="9859" spans="1:9" x14ac:dyDescent="0.2">
      <c r="A9859" t="str">
        <f>"Gpx5"</f>
        <v>Gpx5</v>
      </c>
      <c r="B9859" t="s">
        <v>14</v>
      </c>
      <c r="C9859" t="s">
        <v>39</v>
      </c>
      <c r="D9859" t="s">
        <v>11</v>
      </c>
      <c r="E9859" t="s">
        <v>12</v>
      </c>
      <c r="F9859">
        <v>21292679</v>
      </c>
      <c r="G9859">
        <v>21292711</v>
      </c>
      <c r="H9859">
        <v>21292679</v>
      </c>
      <c r="I9859">
        <v>21292711</v>
      </c>
    </row>
    <row r="9860" spans="1:9" x14ac:dyDescent="0.2">
      <c r="A9860" t="str">
        <f>"Gpx6"</f>
        <v>Gpx6</v>
      </c>
      <c r="B9860" t="s">
        <v>14</v>
      </c>
      <c r="C9860" t="s">
        <v>39</v>
      </c>
      <c r="D9860" t="s">
        <v>17</v>
      </c>
      <c r="E9860" t="s">
        <v>12</v>
      </c>
      <c r="F9860">
        <v>21312223</v>
      </c>
      <c r="G9860">
        <v>21312236</v>
      </c>
      <c r="H9860">
        <v>21312198</v>
      </c>
      <c r="I9860">
        <v>21312220</v>
      </c>
    </row>
    <row r="9861" spans="1:9" x14ac:dyDescent="0.2">
      <c r="A9861" t="str">
        <f>"Gpx7"</f>
        <v>Gpx7</v>
      </c>
      <c r="B9861" t="s">
        <v>14</v>
      </c>
      <c r="C9861" t="s">
        <v>23</v>
      </c>
      <c r="D9861" t="s">
        <v>11</v>
      </c>
      <c r="E9861" t="s">
        <v>12</v>
      </c>
      <c r="F9861">
        <v>108406676</v>
      </c>
      <c r="G9861">
        <v>108406745</v>
      </c>
      <c r="H9861">
        <v>108406751</v>
      </c>
      <c r="I9861">
        <v>108406758</v>
      </c>
    </row>
    <row r="9862" spans="1:9" x14ac:dyDescent="0.2">
      <c r="A9862" t="str">
        <f>"Gpx8"</f>
        <v>Gpx8</v>
      </c>
      <c r="B9862" t="s">
        <v>14</v>
      </c>
      <c r="C9862" t="s">
        <v>39</v>
      </c>
      <c r="D9862" t="s">
        <v>11</v>
      </c>
      <c r="E9862" t="s">
        <v>12</v>
      </c>
      <c r="F9862">
        <v>113046357</v>
      </c>
      <c r="G9862">
        <v>113046422</v>
      </c>
      <c r="H9862">
        <v>113046357</v>
      </c>
      <c r="I9862">
        <v>113046422</v>
      </c>
    </row>
    <row r="9863" spans="1:9" x14ac:dyDescent="0.2">
      <c r="A9863" t="str">
        <f>"Gramd1a"</f>
        <v>Gramd1a</v>
      </c>
      <c r="B9863" t="s">
        <v>14</v>
      </c>
      <c r="C9863" t="s">
        <v>33</v>
      </c>
      <c r="D9863" t="s">
        <v>11</v>
      </c>
      <c r="E9863" t="s">
        <v>12</v>
      </c>
      <c r="F9863">
        <v>31150981</v>
      </c>
      <c r="G9863">
        <v>31151070</v>
      </c>
      <c r="H9863">
        <v>31151145</v>
      </c>
      <c r="I9863">
        <v>31151171</v>
      </c>
    </row>
    <row r="9864" spans="1:9" x14ac:dyDescent="0.2">
      <c r="A9864" t="str">
        <f>"Gramd1b"</f>
        <v>Gramd1b</v>
      </c>
      <c r="B9864" t="s">
        <v>14</v>
      </c>
      <c r="C9864" t="s">
        <v>24</v>
      </c>
      <c r="D9864" t="s">
        <v>11</v>
      </c>
      <c r="E9864" t="s">
        <v>12</v>
      </c>
      <c r="F9864">
        <v>40456195</v>
      </c>
      <c r="G9864">
        <v>40456224</v>
      </c>
      <c r="H9864">
        <v>40455781</v>
      </c>
      <c r="I9864">
        <v>40455812</v>
      </c>
    </row>
    <row r="9865" spans="1:9" x14ac:dyDescent="0.2">
      <c r="A9865" t="str">
        <f>"Gramd1c"</f>
        <v>Gramd1c</v>
      </c>
      <c r="B9865" t="s">
        <v>9</v>
      </c>
      <c r="C9865" t="s">
        <v>31</v>
      </c>
      <c r="D9865" t="s">
        <v>11</v>
      </c>
      <c r="E9865" t="s">
        <v>12</v>
      </c>
      <c r="F9865">
        <v>44016319</v>
      </c>
      <c r="G9865">
        <v>44016384</v>
      </c>
      <c r="H9865">
        <v>44016319</v>
      </c>
      <c r="I9865">
        <v>44016384</v>
      </c>
    </row>
    <row r="9866" spans="1:9" x14ac:dyDescent="0.2">
      <c r="A9866" t="str">
        <f>"Gramd1c"</f>
        <v>Gramd1c</v>
      </c>
      <c r="B9866" t="s">
        <v>13</v>
      </c>
      <c r="C9866" t="s">
        <v>31</v>
      </c>
      <c r="D9866" t="s">
        <v>11</v>
      </c>
      <c r="E9866" t="s">
        <v>12</v>
      </c>
      <c r="F9866">
        <v>44027938</v>
      </c>
      <c r="G9866">
        <v>44027969</v>
      </c>
      <c r="H9866">
        <v>44027938</v>
      </c>
      <c r="I9866">
        <v>44027969</v>
      </c>
    </row>
    <row r="9867" spans="1:9" x14ac:dyDescent="0.2">
      <c r="A9867" t="str">
        <f>"Gramd2"</f>
        <v>Gramd2</v>
      </c>
      <c r="B9867" t="s">
        <v>14</v>
      </c>
      <c r="C9867" t="s">
        <v>24</v>
      </c>
      <c r="D9867" t="s">
        <v>17</v>
      </c>
      <c r="E9867" t="s">
        <v>12</v>
      </c>
      <c r="F9867">
        <v>59680189</v>
      </c>
      <c r="G9867">
        <v>59680207</v>
      </c>
      <c r="H9867">
        <v>59680172</v>
      </c>
      <c r="I9867">
        <v>59680179</v>
      </c>
    </row>
    <row r="9868" spans="1:9" x14ac:dyDescent="0.2">
      <c r="A9868" t="str">
        <f>"Gramd3"</f>
        <v>Gramd3</v>
      </c>
      <c r="B9868" t="s">
        <v>14</v>
      </c>
      <c r="C9868" t="s">
        <v>43</v>
      </c>
      <c r="D9868" t="s">
        <v>17</v>
      </c>
      <c r="E9868" t="s">
        <v>12</v>
      </c>
      <c r="F9868">
        <v>56432116</v>
      </c>
      <c r="G9868">
        <v>56432163</v>
      </c>
      <c r="H9868">
        <v>56432116</v>
      </c>
      <c r="I9868">
        <v>56432163</v>
      </c>
    </row>
    <row r="9869" spans="1:9" x14ac:dyDescent="0.2">
      <c r="A9869" t="str">
        <f>"Gramd4"</f>
        <v>Gramd4</v>
      </c>
      <c r="B9869" t="s">
        <v>14</v>
      </c>
      <c r="C9869" t="s">
        <v>25</v>
      </c>
      <c r="D9869" t="s">
        <v>17</v>
      </c>
      <c r="E9869" t="s">
        <v>12</v>
      </c>
      <c r="F9869">
        <v>86058746</v>
      </c>
      <c r="G9869">
        <v>86058793</v>
      </c>
      <c r="H9869">
        <v>86058796</v>
      </c>
      <c r="I9869">
        <v>86058851</v>
      </c>
    </row>
    <row r="9870" spans="1:9" x14ac:dyDescent="0.2">
      <c r="A9870" t="str">
        <f>"Grap"</f>
        <v>Grap</v>
      </c>
      <c r="B9870" t="s">
        <v>9</v>
      </c>
      <c r="C9870" t="s">
        <v>27</v>
      </c>
      <c r="D9870" t="s">
        <v>17</v>
      </c>
      <c r="E9870" t="s">
        <v>12</v>
      </c>
      <c r="F9870">
        <v>61653259</v>
      </c>
      <c r="G9870">
        <v>61653353</v>
      </c>
      <c r="H9870">
        <v>61653259</v>
      </c>
      <c r="I9870">
        <v>61653353</v>
      </c>
    </row>
    <row r="9871" spans="1:9" x14ac:dyDescent="0.2">
      <c r="A9871" t="str">
        <f>"Grap"</f>
        <v>Grap</v>
      </c>
      <c r="B9871" t="s">
        <v>13</v>
      </c>
      <c r="C9871" t="s">
        <v>27</v>
      </c>
      <c r="D9871" t="s">
        <v>17</v>
      </c>
      <c r="E9871" t="s">
        <v>12</v>
      </c>
      <c r="F9871">
        <v>61669028</v>
      </c>
      <c r="G9871">
        <v>61669033</v>
      </c>
      <c r="H9871">
        <v>61669028</v>
      </c>
      <c r="I9871">
        <v>61669033</v>
      </c>
    </row>
    <row r="9872" spans="1:9" x14ac:dyDescent="0.2">
      <c r="A9872" t="str">
        <f>"Grap2"</f>
        <v>Grap2</v>
      </c>
      <c r="B9872" t="s">
        <v>4093</v>
      </c>
      <c r="C9872" t="s">
        <v>25</v>
      </c>
      <c r="D9872" t="s">
        <v>17</v>
      </c>
      <c r="E9872" t="s">
        <v>35</v>
      </c>
      <c r="F9872">
        <v>80623463</v>
      </c>
      <c r="G9872">
        <v>80623468</v>
      </c>
      <c r="H9872">
        <v>80623499</v>
      </c>
      <c r="I9872">
        <v>80623549</v>
      </c>
    </row>
    <row r="9873" spans="1:9" x14ac:dyDescent="0.2">
      <c r="A9873" t="str">
        <f>"Grasp"</f>
        <v>Grasp</v>
      </c>
      <c r="B9873" t="s">
        <v>14</v>
      </c>
      <c r="C9873" t="s">
        <v>25</v>
      </c>
      <c r="D9873" t="s">
        <v>17</v>
      </c>
      <c r="E9873" t="s">
        <v>12</v>
      </c>
      <c r="F9873">
        <v>101224217</v>
      </c>
      <c r="G9873">
        <v>101224231</v>
      </c>
      <c r="H9873">
        <v>101224005</v>
      </c>
      <c r="I9873">
        <v>101224006</v>
      </c>
    </row>
    <row r="9874" spans="1:9" x14ac:dyDescent="0.2">
      <c r="A9874" t="str">
        <f>"Grb10"</f>
        <v>Grb10</v>
      </c>
      <c r="B9874" t="s">
        <v>14</v>
      </c>
      <c r="C9874" t="s">
        <v>27</v>
      </c>
      <c r="D9874" t="s">
        <v>11</v>
      </c>
      <c r="E9874" t="s">
        <v>12</v>
      </c>
      <c r="F9874">
        <v>12037391</v>
      </c>
      <c r="G9874">
        <v>12037407</v>
      </c>
      <c r="H9874">
        <v>12037349</v>
      </c>
      <c r="I9874">
        <v>12037360</v>
      </c>
    </row>
    <row r="9875" spans="1:9" x14ac:dyDescent="0.2">
      <c r="A9875" t="str">
        <f>"Grb14"</f>
        <v>Grb14</v>
      </c>
      <c r="B9875" t="s">
        <v>14</v>
      </c>
      <c r="C9875" t="s">
        <v>26</v>
      </c>
      <c r="D9875" t="s">
        <v>11</v>
      </c>
      <c r="E9875" t="s">
        <v>12</v>
      </c>
      <c r="F9875">
        <v>65022740</v>
      </c>
      <c r="G9875">
        <v>65022816</v>
      </c>
      <c r="H9875">
        <v>65022740</v>
      </c>
      <c r="I9875">
        <v>65022816</v>
      </c>
    </row>
    <row r="9876" spans="1:9" x14ac:dyDescent="0.2">
      <c r="A9876" t="str">
        <f>"Grb2"</f>
        <v>Grb2</v>
      </c>
      <c r="B9876" t="s">
        <v>9</v>
      </c>
      <c r="C9876" t="s">
        <v>27</v>
      </c>
      <c r="D9876" t="s">
        <v>11</v>
      </c>
      <c r="E9876" t="s">
        <v>12</v>
      </c>
      <c r="F9876">
        <v>115708538</v>
      </c>
      <c r="G9876">
        <v>115708614</v>
      </c>
      <c r="H9876">
        <v>115708538</v>
      </c>
      <c r="I9876">
        <v>115708614</v>
      </c>
    </row>
    <row r="9877" spans="1:9" x14ac:dyDescent="0.2">
      <c r="A9877" t="str">
        <f>"Grb2"</f>
        <v>Grb2</v>
      </c>
      <c r="B9877" t="s">
        <v>13</v>
      </c>
      <c r="C9877" t="s">
        <v>27</v>
      </c>
      <c r="D9877" t="s">
        <v>11</v>
      </c>
      <c r="E9877" t="s">
        <v>12</v>
      </c>
      <c r="F9877">
        <v>115699331</v>
      </c>
      <c r="G9877">
        <v>115699404</v>
      </c>
      <c r="H9877">
        <v>115699331</v>
      </c>
      <c r="I9877">
        <v>115699404</v>
      </c>
    </row>
    <row r="9878" spans="1:9" x14ac:dyDescent="0.2">
      <c r="A9878" t="str">
        <f>"Grb7"</f>
        <v>Grb7</v>
      </c>
      <c r="B9878" t="s">
        <v>14</v>
      </c>
      <c r="C9878" t="s">
        <v>27</v>
      </c>
      <c r="D9878" t="s">
        <v>17</v>
      </c>
      <c r="E9878" t="s">
        <v>12</v>
      </c>
      <c r="F9878">
        <v>98447013</v>
      </c>
      <c r="G9878">
        <v>98447062</v>
      </c>
      <c r="H9878">
        <v>98446826</v>
      </c>
      <c r="I9878">
        <v>98446869</v>
      </c>
    </row>
    <row r="9879" spans="1:9" x14ac:dyDescent="0.2">
      <c r="A9879" t="str">
        <f>"Grcc10"</f>
        <v>Grcc10</v>
      </c>
      <c r="B9879" t="s">
        <v>14</v>
      </c>
      <c r="C9879" t="s">
        <v>32</v>
      </c>
      <c r="D9879" t="s">
        <v>11</v>
      </c>
      <c r="E9879" t="s">
        <v>12</v>
      </c>
      <c r="F9879">
        <v>124740984</v>
      </c>
      <c r="G9879">
        <v>124741093</v>
      </c>
      <c r="H9879">
        <v>124741101</v>
      </c>
      <c r="I9879">
        <v>124741118</v>
      </c>
    </row>
    <row r="9880" spans="1:9" x14ac:dyDescent="0.2">
      <c r="A9880" t="str">
        <f>"Greb1"</f>
        <v>Greb1</v>
      </c>
      <c r="B9880" t="s">
        <v>9</v>
      </c>
      <c r="C9880" t="s">
        <v>16</v>
      </c>
      <c r="D9880" t="s">
        <v>11</v>
      </c>
      <c r="E9880" t="s">
        <v>12</v>
      </c>
      <c r="F9880">
        <v>16800973</v>
      </c>
      <c r="G9880">
        <v>16801014</v>
      </c>
      <c r="H9880">
        <v>16800973</v>
      </c>
      <c r="I9880">
        <v>16801014</v>
      </c>
    </row>
    <row r="9881" spans="1:9" x14ac:dyDescent="0.2">
      <c r="A9881" t="str">
        <f>"Greb1"</f>
        <v>Greb1</v>
      </c>
      <c r="B9881" t="s">
        <v>13</v>
      </c>
      <c r="C9881" t="s">
        <v>16</v>
      </c>
      <c r="D9881" t="s">
        <v>11</v>
      </c>
      <c r="E9881" t="s">
        <v>12</v>
      </c>
      <c r="F9881">
        <v>16740203</v>
      </c>
      <c r="G9881">
        <v>16740257</v>
      </c>
      <c r="H9881">
        <v>16740203</v>
      </c>
      <c r="I9881">
        <v>16740257</v>
      </c>
    </row>
    <row r="9882" spans="1:9" x14ac:dyDescent="0.2">
      <c r="A9882" t="str">
        <f>"Greb1l"</f>
        <v>Greb1l</v>
      </c>
      <c r="B9882" t="s">
        <v>14</v>
      </c>
      <c r="C9882" t="s">
        <v>43</v>
      </c>
      <c r="D9882" t="s">
        <v>17</v>
      </c>
      <c r="E9882" t="s">
        <v>12</v>
      </c>
      <c r="F9882">
        <v>10325148</v>
      </c>
      <c r="G9882">
        <v>10325222</v>
      </c>
      <c r="H9882">
        <v>10324922</v>
      </c>
      <c r="I9882">
        <v>10324949</v>
      </c>
    </row>
    <row r="9883" spans="1:9" x14ac:dyDescent="0.2">
      <c r="A9883" t="str">
        <f>"Grem1"</f>
        <v>Grem1</v>
      </c>
      <c r="B9883" t="s">
        <v>14</v>
      </c>
      <c r="C9883" t="s">
        <v>26</v>
      </c>
      <c r="D9883" t="s">
        <v>11</v>
      </c>
      <c r="E9883" t="s">
        <v>12</v>
      </c>
      <c r="F9883">
        <v>113758638</v>
      </c>
      <c r="G9883">
        <v>113758655</v>
      </c>
      <c r="H9883">
        <v>113758802</v>
      </c>
      <c r="I9883">
        <v>113758808</v>
      </c>
    </row>
    <row r="9884" spans="1:9" x14ac:dyDescent="0.2">
      <c r="A9884" t="str">
        <f>"Grem2"</f>
        <v>Grem2</v>
      </c>
      <c r="B9884" t="s">
        <v>14</v>
      </c>
      <c r="C9884" t="s">
        <v>19</v>
      </c>
      <c r="D9884" t="s">
        <v>11</v>
      </c>
      <c r="E9884" t="s">
        <v>12</v>
      </c>
      <c r="F9884">
        <v>174921813</v>
      </c>
      <c r="G9884">
        <v>174921827</v>
      </c>
      <c r="H9884">
        <v>174921791</v>
      </c>
      <c r="I9884">
        <v>174921803</v>
      </c>
    </row>
    <row r="9885" spans="1:9" x14ac:dyDescent="0.2">
      <c r="A9885" t="str">
        <f>"Grhl1"</f>
        <v>Grhl1</v>
      </c>
      <c r="B9885" t="s">
        <v>14</v>
      </c>
      <c r="C9885" t="s">
        <v>16</v>
      </c>
      <c r="D9885" t="s">
        <v>17</v>
      </c>
      <c r="E9885" t="s">
        <v>12</v>
      </c>
      <c r="F9885">
        <v>24572276</v>
      </c>
      <c r="G9885">
        <v>24572308</v>
      </c>
      <c r="H9885">
        <v>24572400</v>
      </c>
      <c r="I9885">
        <v>24572429</v>
      </c>
    </row>
    <row r="9886" spans="1:9" x14ac:dyDescent="0.2">
      <c r="A9886" t="str">
        <f>"Grhl2"</f>
        <v>Grhl2</v>
      </c>
      <c r="B9886" t="s">
        <v>14</v>
      </c>
      <c r="C9886" t="s">
        <v>25</v>
      </c>
      <c r="D9886" t="s">
        <v>17</v>
      </c>
      <c r="E9886" t="s">
        <v>12</v>
      </c>
      <c r="F9886">
        <v>37233041</v>
      </c>
      <c r="G9886">
        <v>37233073</v>
      </c>
      <c r="H9886">
        <v>37233079</v>
      </c>
      <c r="I9886">
        <v>37233094</v>
      </c>
    </row>
    <row r="9887" spans="1:9" x14ac:dyDescent="0.2">
      <c r="A9887" t="str">
        <f>"Grhl3"</f>
        <v>Grhl3</v>
      </c>
      <c r="B9887" t="s">
        <v>14</v>
      </c>
      <c r="C9887" t="s">
        <v>23</v>
      </c>
      <c r="D9887" t="s">
        <v>11</v>
      </c>
      <c r="E9887" t="s">
        <v>12</v>
      </c>
      <c r="F9887">
        <v>135573623</v>
      </c>
      <c r="G9887">
        <v>135573643</v>
      </c>
      <c r="H9887">
        <v>135573532</v>
      </c>
      <c r="I9887">
        <v>135573552</v>
      </c>
    </row>
    <row r="9888" spans="1:9" x14ac:dyDescent="0.2">
      <c r="A9888" t="str">
        <f>"Grhpr"</f>
        <v>Grhpr</v>
      </c>
      <c r="B9888" t="s">
        <v>14</v>
      </c>
      <c r="C9888" t="s">
        <v>23</v>
      </c>
      <c r="D9888" t="s">
        <v>17</v>
      </c>
      <c r="E9888" t="s">
        <v>12</v>
      </c>
      <c r="F9888">
        <v>44981389</v>
      </c>
      <c r="G9888">
        <v>44981461</v>
      </c>
      <c r="H9888">
        <v>44981389</v>
      </c>
      <c r="I9888">
        <v>44981461</v>
      </c>
    </row>
    <row r="9889" spans="1:9" x14ac:dyDescent="0.2">
      <c r="A9889" t="str">
        <f>"Gria1"</f>
        <v>Gria1</v>
      </c>
      <c r="B9889" t="s">
        <v>14</v>
      </c>
      <c r="C9889" t="s">
        <v>27</v>
      </c>
      <c r="D9889" t="s">
        <v>17</v>
      </c>
      <c r="E9889" t="s">
        <v>12</v>
      </c>
      <c r="F9889">
        <v>57011798</v>
      </c>
      <c r="G9889">
        <v>57011827</v>
      </c>
      <c r="H9889">
        <v>57011743</v>
      </c>
      <c r="I9889">
        <v>57011782</v>
      </c>
    </row>
    <row r="9890" spans="1:9" x14ac:dyDescent="0.2">
      <c r="A9890" t="str">
        <f>"Gria2"</f>
        <v>Gria2</v>
      </c>
      <c r="B9890" t="s">
        <v>14</v>
      </c>
      <c r="C9890" t="s">
        <v>22</v>
      </c>
      <c r="D9890" t="s">
        <v>11</v>
      </c>
      <c r="E9890" t="s">
        <v>12</v>
      </c>
      <c r="F9890">
        <v>80802679</v>
      </c>
      <c r="G9890">
        <v>80802730</v>
      </c>
      <c r="H9890">
        <v>80802789</v>
      </c>
      <c r="I9890">
        <v>80802840</v>
      </c>
    </row>
    <row r="9891" spans="1:9" x14ac:dyDescent="0.2">
      <c r="A9891" t="str">
        <f>"Gria3"</f>
        <v>Gria3</v>
      </c>
      <c r="B9891" t="s">
        <v>14</v>
      </c>
      <c r="C9891" t="s">
        <v>37</v>
      </c>
      <c r="D9891" t="s">
        <v>17</v>
      </c>
      <c r="E9891" t="s">
        <v>12</v>
      </c>
      <c r="F9891">
        <v>41401476</v>
      </c>
      <c r="G9891">
        <v>41401565</v>
      </c>
      <c r="H9891">
        <v>41401389</v>
      </c>
      <c r="I9891">
        <v>41401427</v>
      </c>
    </row>
    <row r="9892" spans="1:9" x14ac:dyDescent="0.2">
      <c r="A9892" t="str">
        <f>"Gria4"</f>
        <v>Gria4</v>
      </c>
      <c r="B9892" t="s">
        <v>14</v>
      </c>
      <c r="C9892" t="s">
        <v>24</v>
      </c>
      <c r="D9892" t="s">
        <v>11</v>
      </c>
      <c r="E9892" t="s">
        <v>12</v>
      </c>
      <c r="F9892">
        <v>4796218</v>
      </c>
      <c r="G9892">
        <v>4796267</v>
      </c>
      <c r="H9892">
        <v>4796160</v>
      </c>
      <c r="I9892">
        <v>4796195</v>
      </c>
    </row>
    <row r="9893" spans="1:9" x14ac:dyDescent="0.2">
      <c r="A9893" t="str">
        <f>"Grid1"</f>
        <v>Grid1</v>
      </c>
      <c r="B9893" t="s">
        <v>14</v>
      </c>
      <c r="C9893" t="s">
        <v>41</v>
      </c>
      <c r="D9893" t="s">
        <v>17</v>
      </c>
      <c r="E9893" t="s">
        <v>12</v>
      </c>
      <c r="F9893">
        <v>34819811</v>
      </c>
      <c r="G9893">
        <v>34819834</v>
      </c>
      <c r="H9893">
        <v>34819840</v>
      </c>
      <c r="I9893">
        <v>34819856</v>
      </c>
    </row>
    <row r="9894" spans="1:9" x14ac:dyDescent="0.2">
      <c r="A9894" t="str">
        <f>"Grid2"</f>
        <v>Grid2</v>
      </c>
      <c r="B9894" t="s">
        <v>14</v>
      </c>
      <c r="C9894" t="s">
        <v>32</v>
      </c>
      <c r="D9894" t="s">
        <v>17</v>
      </c>
      <c r="E9894" t="s">
        <v>12</v>
      </c>
      <c r="F9894">
        <v>63255971</v>
      </c>
      <c r="G9894">
        <v>63256036</v>
      </c>
      <c r="H9894">
        <v>63255971</v>
      </c>
      <c r="I9894">
        <v>63256036</v>
      </c>
    </row>
    <row r="9895" spans="1:9" x14ac:dyDescent="0.2">
      <c r="A9895" t="str">
        <f>"Grid2ip"</f>
        <v>Grid2ip</v>
      </c>
      <c r="B9895" t="s">
        <v>9</v>
      </c>
      <c r="C9895" t="s">
        <v>46</v>
      </c>
      <c r="D9895" t="s">
        <v>17</v>
      </c>
      <c r="E9895" t="s">
        <v>12</v>
      </c>
      <c r="F9895">
        <v>143363890</v>
      </c>
      <c r="G9895">
        <v>143363919</v>
      </c>
      <c r="H9895">
        <v>143363890</v>
      </c>
      <c r="I9895">
        <v>143363919</v>
      </c>
    </row>
    <row r="9896" spans="1:9" x14ac:dyDescent="0.2">
      <c r="A9896" t="str">
        <f>"Grid2ip"</f>
        <v>Grid2ip</v>
      </c>
      <c r="B9896" t="s">
        <v>13</v>
      </c>
      <c r="C9896" t="s">
        <v>46</v>
      </c>
      <c r="D9896" t="s">
        <v>17</v>
      </c>
      <c r="E9896" t="s">
        <v>12</v>
      </c>
      <c r="F9896">
        <v>143370104</v>
      </c>
      <c r="G9896">
        <v>143370118</v>
      </c>
      <c r="H9896">
        <v>143370104</v>
      </c>
      <c r="I9896">
        <v>143370118</v>
      </c>
    </row>
    <row r="9897" spans="1:9" x14ac:dyDescent="0.2">
      <c r="A9897" t="str">
        <f>"Grifin"</f>
        <v>Grifin</v>
      </c>
      <c r="B9897" t="s">
        <v>14</v>
      </c>
      <c r="C9897" t="s">
        <v>46</v>
      </c>
      <c r="D9897" t="s">
        <v>11</v>
      </c>
      <c r="E9897" t="s">
        <v>12</v>
      </c>
      <c r="F9897">
        <v>140565060</v>
      </c>
      <c r="G9897">
        <v>140565072</v>
      </c>
      <c r="H9897">
        <v>140565060</v>
      </c>
      <c r="I9897">
        <v>140565072</v>
      </c>
    </row>
    <row r="9898" spans="1:9" x14ac:dyDescent="0.2">
      <c r="A9898" t="str">
        <f>"Grik1"</f>
        <v>Grik1</v>
      </c>
      <c r="B9898" t="s">
        <v>4094</v>
      </c>
      <c r="C9898" t="s">
        <v>31</v>
      </c>
      <c r="D9898" t="s">
        <v>11</v>
      </c>
      <c r="E9898" t="s">
        <v>20</v>
      </c>
      <c r="F9898">
        <v>88056175</v>
      </c>
      <c r="G9898">
        <v>88056175</v>
      </c>
      <c r="H9898">
        <v>88056175</v>
      </c>
      <c r="I9898">
        <v>88056175</v>
      </c>
    </row>
    <row r="9899" spans="1:9" x14ac:dyDescent="0.2">
      <c r="A9899" t="str">
        <f>"Grik2"</f>
        <v>Grik2</v>
      </c>
      <c r="B9899" t="s">
        <v>14</v>
      </c>
      <c r="C9899" t="s">
        <v>15</v>
      </c>
      <c r="D9899" t="s">
        <v>11</v>
      </c>
      <c r="E9899" t="s">
        <v>12</v>
      </c>
      <c r="F9899">
        <v>49788743</v>
      </c>
      <c r="G9899">
        <v>49788769</v>
      </c>
      <c r="H9899">
        <v>49788743</v>
      </c>
      <c r="I9899">
        <v>49788769</v>
      </c>
    </row>
    <row r="9900" spans="1:9" x14ac:dyDescent="0.2">
      <c r="A9900" t="str">
        <f>"Grik3"</f>
        <v>Grik3</v>
      </c>
      <c r="B9900" t="s">
        <v>14</v>
      </c>
      <c r="C9900" t="s">
        <v>23</v>
      </c>
      <c r="D9900" t="s">
        <v>17</v>
      </c>
      <c r="E9900" t="s">
        <v>12</v>
      </c>
      <c r="F9900">
        <v>125490408</v>
      </c>
      <c r="G9900">
        <v>125490456</v>
      </c>
      <c r="H9900">
        <v>125490408</v>
      </c>
      <c r="I9900">
        <v>125490456</v>
      </c>
    </row>
    <row r="9901" spans="1:9" x14ac:dyDescent="0.2">
      <c r="A9901" t="str">
        <f>"Grik4"</f>
        <v>Grik4</v>
      </c>
      <c r="B9901" t="s">
        <v>14</v>
      </c>
      <c r="C9901" t="s">
        <v>24</v>
      </c>
      <c r="D9901" t="s">
        <v>11</v>
      </c>
      <c r="E9901" t="s">
        <v>12</v>
      </c>
      <c r="F9901">
        <v>42944479</v>
      </c>
      <c r="G9901">
        <v>42944510</v>
      </c>
      <c r="H9901">
        <v>42944514</v>
      </c>
      <c r="I9901">
        <v>42944533</v>
      </c>
    </row>
    <row r="9902" spans="1:9" x14ac:dyDescent="0.2">
      <c r="A9902" t="str">
        <f>"Grik5"</f>
        <v>Grik5</v>
      </c>
      <c r="B9902" t="s">
        <v>14</v>
      </c>
      <c r="C9902" t="s">
        <v>33</v>
      </c>
      <c r="D9902" t="s">
        <v>11</v>
      </c>
      <c r="E9902" t="s">
        <v>12</v>
      </c>
      <c r="F9902">
        <v>25072686</v>
      </c>
      <c r="G9902">
        <v>25072797</v>
      </c>
      <c r="H9902">
        <v>25072287</v>
      </c>
      <c r="I9902">
        <v>25072366</v>
      </c>
    </row>
    <row r="9903" spans="1:9" x14ac:dyDescent="0.2">
      <c r="A9903" t="str">
        <f>"Grin1"</f>
        <v>Grin1</v>
      </c>
      <c r="B9903" t="s">
        <v>14</v>
      </c>
      <c r="C9903" t="s">
        <v>26</v>
      </c>
      <c r="D9903" t="s">
        <v>11</v>
      </c>
      <c r="E9903" t="s">
        <v>12</v>
      </c>
      <c r="F9903">
        <v>25319109</v>
      </c>
      <c r="G9903">
        <v>25319170</v>
      </c>
      <c r="H9903">
        <v>25319193</v>
      </c>
      <c r="I9903">
        <v>25319204</v>
      </c>
    </row>
    <row r="9904" spans="1:9" x14ac:dyDescent="0.2">
      <c r="A9904" t="str">
        <f>"Grin2a"</f>
        <v>Grin2a</v>
      </c>
      <c r="B9904" t="s">
        <v>14</v>
      </c>
      <c r="C9904" t="s">
        <v>31</v>
      </c>
      <c r="D9904" t="s">
        <v>11</v>
      </c>
      <c r="E9904" t="s">
        <v>12</v>
      </c>
      <c r="F9904">
        <v>9995044</v>
      </c>
      <c r="G9904">
        <v>9995088</v>
      </c>
      <c r="H9904">
        <v>9995044</v>
      </c>
      <c r="I9904">
        <v>9995088</v>
      </c>
    </row>
    <row r="9905" spans="1:9" x14ac:dyDescent="0.2">
      <c r="A9905" t="str">
        <f>"Grin2b"</f>
        <v>Grin2b</v>
      </c>
      <c r="B9905" t="s">
        <v>14</v>
      </c>
      <c r="C9905" t="s">
        <v>32</v>
      </c>
      <c r="D9905" t="s">
        <v>11</v>
      </c>
      <c r="E9905" t="s">
        <v>12</v>
      </c>
      <c r="F9905">
        <v>136172179</v>
      </c>
      <c r="G9905">
        <v>136172245</v>
      </c>
      <c r="H9905">
        <v>136172179</v>
      </c>
      <c r="I9905">
        <v>136172245</v>
      </c>
    </row>
    <row r="9906" spans="1:9" x14ac:dyDescent="0.2">
      <c r="A9906" t="str">
        <f>"Grin2c"</f>
        <v>Grin2c</v>
      </c>
      <c r="B9906" t="s">
        <v>14</v>
      </c>
      <c r="C9906" t="s">
        <v>27</v>
      </c>
      <c r="D9906" t="s">
        <v>11</v>
      </c>
      <c r="E9906" t="s">
        <v>12</v>
      </c>
      <c r="F9906">
        <v>115267236</v>
      </c>
      <c r="G9906">
        <v>115267249</v>
      </c>
      <c r="H9906">
        <v>115267139</v>
      </c>
      <c r="I9906">
        <v>115267150</v>
      </c>
    </row>
    <row r="9907" spans="1:9" x14ac:dyDescent="0.2">
      <c r="A9907" t="str">
        <f>"Grin2d"</f>
        <v>Grin2d</v>
      </c>
      <c r="B9907" t="s">
        <v>9</v>
      </c>
      <c r="C9907" t="s">
        <v>33</v>
      </c>
      <c r="D9907" t="s">
        <v>11</v>
      </c>
      <c r="E9907" t="s">
        <v>12</v>
      </c>
      <c r="F9907">
        <v>45866974</v>
      </c>
      <c r="G9907">
        <v>45867018</v>
      </c>
      <c r="H9907">
        <v>45866974</v>
      </c>
      <c r="I9907">
        <v>45867018</v>
      </c>
    </row>
    <row r="9908" spans="1:9" x14ac:dyDescent="0.2">
      <c r="A9908" t="str">
        <f>"Grin2d"</f>
        <v>Grin2d</v>
      </c>
      <c r="B9908" t="s">
        <v>13</v>
      </c>
      <c r="C9908" t="s">
        <v>33</v>
      </c>
      <c r="D9908" t="s">
        <v>11</v>
      </c>
      <c r="E9908" t="s">
        <v>12</v>
      </c>
      <c r="F9908">
        <v>45870910</v>
      </c>
      <c r="G9908">
        <v>45870943</v>
      </c>
      <c r="H9908">
        <v>45870910</v>
      </c>
      <c r="I9908">
        <v>45870943</v>
      </c>
    </row>
    <row r="9909" spans="1:9" x14ac:dyDescent="0.2">
      <c r="A9909" t="str">
        <f>"Grin3a"</f>
        <v>Grin3a</v>
      </c>
      <c r="B9909" t="s">
        <v>14</v>
      </c>
      <c r="C9909" t="s">
        <v>23</v>
      </c>
      <c r="D9909" t="s">
        <v>11</v>
      </c>
      <c r="E9909" t="s">
        <v>12</v>
      </c>
      <c r="F9909">
        <v>49845730</v>
      </c>
      <c r="G9909">
        <v>49845774</v>
      </c>
      <c r="H9909">
        <v>49845066</v>
      </c>
      <c r="I9909">
        <v>49845092</v>
      </c>
    </row>
    <row r="9910" spans="1:9" x14ac:dyDescent="0.2">
      <c r="A9910" t="str">
        <f>"Grin3b"</f>
        <v>Grin3b</v>
      </c>
      <c r="B9910" t="s">
        <v>14</v>
      </c>
      <c r="C9910" t="s">
        <v>15</v>
      </c>
      <c r="D9910" t="s">
        <v>17</v>
      </c>
      <c r="E9910" t="s">
        <v>12</v>
      </c>
      <c r="F9910">
        <v>79970796</v>
      </c>
      <c r="G9910">
        <v>79970814</v>
      </c>
      <c r="H9910">
        <v>79970796</v>
      </c>
      <c r="I9910">
        <v>79970814</v>
      </c>
    </row>
    <row r="9911" spans="1:9" x14ac:dyDescent="0.2">
      <c r="A9911" t="str">
        <f>"Grina"</f>
        <v>Grina</v>
      </c>
      <c r="B9911" t="s">
        <v>14</v>
      </c>
      <c r="C9911" t="s">
        <v>25</v>
      </c>
      <c r="D9911" t="s">
        <v>17</v>
      </c>
      <c r="E9911" t="s">
        <v>12</v>
      </c>
      <c r="F9911">
        <v>76246747</v>
      </c>
      <c r="G9911">
        <v>76246806</v>
      </c>
      <c r="H9911">
        <v>76246816</v>
      </c>
      <c r="I9911">
        <v>76246831</v>
      </c>
    </row>
    <row r="9912" spans="1:9" x14ac:dyDescent="0.2">
      <c r="A9912" t="str">
        <f>"Grip1"</f>
        <v>Grip1</v>
      </c>
      <c r="B9912" t="s">
        <v>4095</v>
      </c>
      <c r="C9912" t="s">
        <v>15</v>
      </c>
      <c r="D9912" t="s">
        <v>17</v>
      </c>
      <c r="E9912" t="s">
        <v>35</v>
      </c>
      <c r="F9912">
        <v>119819318</v>
      </c>
      <c r="G9912">
        <v>119819327</v>
      </c>
      <c r="H9912">
        <v>119819543</v>
      </c>
      <c r="I9912">
        <v>119819565</v>
      </c>
    </row>
    <row r="9913" spans="1:9" x14ac:dyDescent="0.2">
      <c r="A9913" t="str">
        <f>"Grip2"</f>
        <v>Grip2</v>
      </c>
      <c r="B9913" t="s">
        <v>9</v>
      </c>
      <c r="C9913" t="s">
        <v>32</v>
      </c>
      <c r="D9913" t="s">
        <v>11</v>
      </c>
      <c r="E9913" t="s">
        <v>12</v>
      </c>
      <c r="F9913">
        <v>91796250</v>
      </c>
      <c r="G9913">
        <v>91796266</v>
      </c>
      <c r="H9913">
        <v>91796250</v>
      </c>
      <c r="I9913">
        <v>91796266</v>
      </c>
    </row>
    <row r="9914" spans="1:9" x14ac:dyDescent="0.2">
      <c r="A9914" t="str">
        <f>"Grip2"</f>
        <v>Grip2</v>
      </c>
      <c r="B9914" t="s">
        <v>13</v>
      </c>
      <c r="C9914" t="s">
        <v>32</v>
      </c>
      <c r="D9914" t="s">
        <v>11</v>
      </c>
      <c r="E9914" t="s">
        <v>12</v>
      </c>
      <c r="F9914">
        <v>91807424</v>
      </c>
      <c r="G9914">
        <v>91807456</v>
      </c>
      <c r="H9914">
        <v>91807424</v>
      </c>
      <c r="I9914">
        <v>91807456</v>
      </c>
    </row>
    <row r="9915" spans="1:9" x14ac:dyDescent="0.2">
      <c r="A9915" t="str">
        <f>"Gripap1"</f>
        <v>Gripap1</v>
      </c>
      <c r="B9915" t="s">
        <v>14</v>
      </c>
      <c r="C9915" t="s">
        <v>37</v>
      </c>
      <c r="D9915" t="s">
        <v>17</v>
      </c>
      <c r="E9915" t="s">
        <v>12</v>
      </c>
      <c r="F9915">
        <v>7789986</v>
      </c>
      <c r="G9915">
        <v>7790004</v>
      </c>
      <c r="H9915">
        <v>7790013</v>
      </c>
      <c r="I9915">
        <v>7790029</v>
      </c>
    </row>
    <row r="9916" spans="1:9" x14ac:dyDescent="0.2">
      <c r="A9916" t="str">
        <f>"Grk1"</f>
        <v>Grk1</v>
      </c>
      <c r="B9916" t="s">
        <v>14</v>
      </c>
      <c r="C9916" t="s">
        <v>30</v>
      </c>
      <c r="D9916" t="s">
        <v>17</v>
      </c>
      <c r="E9916" t="s">
        <v>12</v>
      </c>
      <c r="F9916">
        <v>13405080</v>
      </c>
      <c r="G9916">
        <v>13405098</v>
      </c>
      <c r="H9916">
        <v>13404940</v>
      </c>
      <c r="I9916">
        <v>13404950</v>
      </c>
    </row>
    <row r="9917" spans="1:9" x14ac:dyDescent="0.2">
      <c r="A9917" t="str">
        <f>"Grk4"</f>
        <v>Grk4</v>
      </c>
      <c r="B9917" t="s">
        <v>14</v>
      </c>
      <c r="C9917" t="s">
        <v>46</v>
      </c>
      <c r="D9917" t="s">
        <v>17</v>
      </c>
      <c r="E9917" t="s">
        <v>12</v>
      </c>
      <c r="F9917">
        <v>34660361</v>
      </c>
      <c r="G9917">
        <v>34660411</v>
      </c>
      <c r="H9917">
        <v>34660454</v>
      </c>
      <c r="I9917">
        <v>34660493</v>
      </c>
    </row>
    <row r="9918" spans="1:9" x14ac:dyDescent="0.2">
      <c r="A9918" t="str">
        <f>"Grk5"</f>
        <v>Grk5</v>
      </c>
      <c r="B9918" t="s">
        <v>14</v>
      </c>
      <c r="C9918" t="s">
        <v>10</v>
      </c>
      <c r="D9918" t="s">
        <v>17</v>
      </c>
      <c r="E9918" t="s">
        <v>12</v>
      </c>
      <c r="F9918">
        <v>60890180</v>
      </c>
      <c r="G9918">
        <v>60890219</v>
      </c>
      <c r="H9918">
        <v>60889821</v>
      </c>
      <c r="I9918">
        <v>60889844</v>
      </c>
    </row>
    <row r="9919" spans="1:9" x14ac:dyDescent="0.2">
      <c r="A9919" t="str">
        <f>"Grk6"</f>
        <v>Grk6</v>
      </c>
      <c r="B9919" t="s">
        <v>14</v>
      </c>
      <c r="C9919" t="s">
        <v>39</v>
      </c>
      <c r="D9919" t="s">
        <v>17</v>
      </c>
      <c r="E9919" t="s">
        <v>12</v>
      </c>
      <c r="F9919">
        <v>55445301</v>
      </c>
      <c r="G9919">
        <v>55445374</v>
      </c>
      <c r="H9919">
        <v>55445456</v>
      </c>
      <c r="I9919">
        <v>55445487</v>
      </c>
    </row>
    <row r="9920" spans="1:9" x14ac:dyDescent="0.2">
      <c r="A9920" t="str">
        <f>"Grlf1"</f>
        <v>Grlf1</v>
      </c>
      <c r="B9920" t="s">
        <v>14</v>
      </c>
      <c r="C9920" t="s">
        <v>33</v>
      </c>
      <c r="D9920" t="s">
        <v>11</v>
      </c>
      <c r="E9920" t="s">
        <v>12</v>
      </c>
      <c r="F9920">
        <v>16614548</v>
      </c>
      <c r="G9920">
        <v>16614606</v>
      </c>
      <c r="H9920">
        <v>16614958</v>
      </c>
      <c r="I9920">
        <v>16615021</v>
      </c>
    </row>
    <row r="9921" spans="1:9" x14ac:dyDescent="0.2">
      <c r="A9921" t="str">
        <f>"Grm1"</f>
        <v>Grm1</v>
      </c>
      <c r="B9921" t="s">
        <v>14</v>
      </c>
      <c r="C9921" t="s">
        <v>15</v>
      </c>
      <c r="D9921" t="s">
        <v>11</v>
      </c>
      <c r="E9921" t="s">
        <v>12</v>
      </c>
      <c r="F9921">
        <v>11082287</v>
      </c>
      <c r="G9921">
        <v>11082372</v>
      </c>
      <c r="H9921">
        <v>11082287</v>
      </c>
      <c r="I9921">
        <v>11082372</v>
      </c>
    </row>
    <row r="9922" spans="1:9" x14ac:dyDescent="0.2">
      <c r="A9922" t="str">
        <f>"Grm2"</f>
        <v>Grm2</v>
      </c>
      <c r="B9922" t="s">
        <v>14</v>
      </c>
      <c r="C9922" t="s">
        <v>24</v>
      </c>
      <c r="D9922" t="s">
        <v>11</v>
      </c>
      <c r="E9922" t="s">
        <v>12</v>
      </c>
      <c r="F9922">
        <v>106656081</v>
      </c>
      <c r="G9922">
        <v>106656096</v>
      </c>
      <c r="H9922">
        <v>106656081</v>
      </c>
      <c r="I9922">
        <v>106656096</v>
      </c>
    </row>
    <row r="9923" spans="1:9" x14ac:dyDescent="0.2">
      <c r="A9923" t="str">
        <f>"Grm3"</f>
        <v>Grm3</v>
      </c>
      <c r="B9923" t="s">
        <v>14</v>
      </c>
      <c r="C9923" t="s">
        <v>46</v>
      </c>
      <c r="D9923" t="s">
        <v>11</v>
      </c>
      <c r="E9923" t="s">
        <v>12</v>
      </c>
      <c r="F9923">
        <v>9725794</v>
      </c>
      <c r="G9923">
        <v>9725862</v>
      </c>
      <c r="H9923">
        <v>9725404</v>
      </c>
      <c r="I9923">
        <v>9725468</v>
      </c>
    </row>
    <row r="9924" spans="1:9" x14ac:dyDescent="0.2">
      <c r="A9924" t="str">
        <f>"Grm4"</f>
        <v>Grm4</v>
      </c>
      <c r="B9924" t="s">
        <v>14</v>
      </c>
      <c r="C9924" t="s">
        <v>28</v>
      </c>
      <c r="D9924" t="s">
        <v>11</v>
      </c>
      <c r="E9924" t="s">
        <v>12</v>
      </c>
      <c r="F9924">
        <v>27513387</v>
      </c>
      <c r="G9924">
        <v>27513405</v>
      </c>
      <c r="H9924">
        <v>27513478</v>
      </c>
      <c r="I9924">
        <v>27513497</v>
      </c>
    </row>
    <row r="9925" spans="1:9" x14ac:dyDescent="0.2">
      <c r="A9925" t="str">
        <f>"Grm5"</f>
        <v>Grm5</v>
      </c>
      <c r="B9925" t="s">
        <v>14</v>
      </c>
      <c r="C9925" t="s">
        <v>33</v>
      </c>
      <c r="D9925" t="s">
        <v>17</v>
      </c>
      <c r="E9925" t="s">
        <v>12</v>
      </c>
      <c r="F9925">
        <v>87584347</v>
      </c>
      <c r="G9925">
        <v>87584451</v>
      </c>
      <c r="H9925">
        <v>87584347</v>
      </c>
      <c r="I9925">
        <v>87584451</v>
      </c>
    </row>
    <row r="9926" spans="1:9" x14ac:dyDescent="0.2">
      <c r="A9926" t="str">
        <f>"Grm6"</f>
        <v>Grm6</v>
      </c>
      <c r="B9926" t="s">
        <v>14</v>
      </c>
      <c r="C9926" t="s">
        <v>27</v>
      </c>
      <c r="D9926" t="s">
        <v>17</v>
      </c>
      <c r="E9926" t="s">
        <v>12</v>
      </c>
      <c r="F9926">
        <v>50850791</v>
      </c>
      <c r="G9926">
        <v>50850808</v>
      </c>
      <c r="H9926">
        <v>50850383</v>
      </c>
      <c r="I9926">
        <v>50850394</v>
      </c>
    </row>
    <row r="9927" spans="1:9" x14ac:dyDescent="0.2">
      <c r="A9927" t="str">
        <f>"Grm7"</f>
        <v>Grm7</v>
      </c>
      <c r="B9927" t="s">
        <v>14</v>
      </c>
      <c r="C9927" t="s">
        <v>32</v>
      </c>
      <c r="D9927" t="s">
        <v>17</v>
      </c>
      <c r="E9927" t="s">
        <v>12</v>
      </c>
      <c r="F9927">
        <v>110645572</v>
      </c>
      <c r="G9927">
        <v>110645588</v>
      </c>
      <c r="H9927">
        <v>110645572</v>
      </c>
      <c r="I9927">
        <v>110645588</v>
      </c>
    </row>
    <row r="9928" spans="1:9" x14ac:dyDescent="0.2">
      <c r="A9928" t="str">
        <f>"Grm8"</f>
        <v>Grm8</v>
      </c>
      <c r="B9928" t="s">
        <v>14</v>
      </c>
      <c r="C9928" t="s">
        <v>32</v>
      </c>
      <c r="D9928" t="s">
        <v>11</v>
      </c>
      <c r="E9928" t="s">
        <v>12</v>
      </c>
      <c r="F9928">
        <v>28135081</v>
      </c>
      <c r="G9928">
        <v>28135111</v>
      </c>
      <c r="H9928">
        <v>28134544</v>
      </c>
      <c r="I9928">
        <v>28134566</v>
      </c>
    </row>
    <row r="9929" spans="1:9" x14ac:dyDescent="0.2">
      <c r="A9929" t="str">
        <f>"Grn"</f>
        <v>Grn</v>
      </c>
      <c r="B9929" t="s">
        <v>14</v>
      </c>
      <c r="C9929" t="s">
        <v>27</v>
      </c>
      <c r="D9929" t="s">
        <v>17</v>
      </c>
      <c r="E9929" t="s">
        <v>12</v>
      </c>
      <c r="F9929">
        <v>102430463</v>
      </c>
      <c r="G9929">
        <v>102430523</v>
      </c>
      <c r="H9929">
        <v>102430463</v>
      </c>
      <c r="I9929">
        <v>102430523</v>
      </c>
    </row>
    <row r="9930" spans="1:9" x14ac:dyDescent="0.2">
      <c r="A9930" t="str">
        <f>"Grp"</f>
        <v>Grp</v>
      </c>
      <c r="B9930" t="s">
        <v>14</v>
      </c>
      <c r="C9930" t="s">
        <v>43</v>
      </c>
      <c r="D9930" t="s">
        <v>17</v>
      </c>
      <c r="E9930" t="s">
        <v>12</v>
      </c>
      <c r="F9930">
        <v>65873478</v>
      </c>
      <c r="G9930">
        <v>65873495</v>
      </c>
      <c r="H9930">
        <v>65873478</v>
      </c>
      <c r="I9930">
        <v>65873495</v>
      </c>
    </row>
    <row r="9931" spans="1:9" x14ac:dyDescent="0.2">
      <c r="A9931" t="str">
        <f>"Grpel1"</f>
        <v>Grpel1</v>
      </c>
      <c r="B9931" t="s">
        <v>14</v>
      </c>
      <c r="C9931" t="s">
        <v>46</v>
      </c>
      <c r="D9931" t="s">
        <v>17</v>
      </c>
      <c r="E9931" t="s">
        <v>12</v>
      </c>
      <c r="F9931">
        <v>36465158</v>
      </c>
      <c r="G9931">
        <v>36465196</v>
      </c>
      <c r="H9931">
        <v>36464993</v>
      </c>
      <c r="I9931">
        <v>36465005</v>
      </c>
    </row>
    <row r="9932" spans="1:9" x14ac:dyDescent="0.2">
      <c r="A9932" t="str">
        <f>"Grpel2"</f>
        <v>Grpel2</v>
      </c>
      <c r="B9932" t="s">
        <v>14</v>
      </c>
      <c r="C9932" t="s">
        <v>43</v>
      </c>
      <c r="D9932" t="s">
        <v>11</v>
      </c>
      <c r="E9932" t="s">
        <v>12</v>
      </c>
      <c r="F9932">
        <v>61726302</v>
      </c>
      <c r="G9932">
        <v>61726336</v>
      </c>
      <c r="H9932">
        <v>61726347</v>
      </c>
      <c r="I9932">
        <v>61726358</v>
      </c>
    </row>
    <row r="9933" spans="1:9" x14ac:dyDescent="0.2">
      <c r="A9933" t="str">
        <f>"Grpr"</f>
        <v>Grpr</v>
      </c>
      <c r="B9933" t="s">
        <v>14</v>
      </c>
      <c r="C9933" t="s">
        <v>37</v>
      </c>
      <c r="D9933" t="s">
        <v>11</v>
      </c>
      <c r="E9933" t="s">
        <v>12</v>
      </c>
      <c r="F9933">
        <v>163549737</v>
      </c>
      <c r="G9933">
        <v>163549756</v>
      </c>
      <c r="H9933">
        <v>163549655</v>
      </c>
      <c r="I9933">
        <v>163549680</v>
      </c>
    </row>
    <row r="9934" spans="1:9" x14ac:dyDescent="0.2">
      <c r="A9934" t="str">
        <f>"Grrp1"</f>
        <v>Grrp1</v>
      </c>
      <c r="B9934" t="s">
        <v>14</v>
      </c>
      <c r="C9934" t="s">
        <v>23</v>
      </c>
      <c r="D9934" t="s">
        <v>11</v>
      </c>
      <c r="E9934" t="s">
        <v>12</v>
      </c>
      <c r="F9934">
        <v>134254076</v>
      </c>
      <c r="G9934">
        <v>134254128</v>
      </c>
      <c r="H9934">
        <v>134254137</v>
      </c>
      <c r="I9934">
        <v>134254147</v>
      </c>
    </row>
    <row r="9935" spans="1:9" x14ac:dyDescent="0.2">
      <c r="A9935" t="str">
        <f>"Grsf1"</f>
        <v>Grsf1</v>
      </c>
      <c r="B9935" t="s">
        <v>14</v>
      </c>
      <c r="C9935" t="s">
        <v>46</v>
      </c>
      <c r="D9935" t="s">
        <v>11</v>
      </c>
      <c r="E9935" t="s">
        <v>12</v>
      </c>
      <c r="F9935">
        <v>88676135</v>
      </c>
      <c r="G9935">
        <v>88676186</v>
      </c>
      <c r="H9935">
        <v>88676192</v>
      </c>
      <c r="I9935">
        <v>88676209</v>
      </c>
    </row>
    <row r="9936" spans="1:9" x14ac:dyDescent="0.2">
      <c r="A9936" t="str">
        <f>"Grtp1"</f>
        <v>Grtp1</v>
      </c>
      <c r="B9936" t="s">
        <v>9</v>
      </c>
      <c r="C9936" t="s">
        <v>30</v>
      </c>
      <c r="D9936" t="s">
        <v>11</v>
      </c>
      <c r="E9936" t="s">
        <v>12</v>
      </c>
      <c r="F9936">
        <v>13200576</v>
      </c>
      <c r="G9936">
        <v>13200636</v>
      </c>
      <c r="H9936">
        <v>13200576</v>
      </c>
      <c r="I9936">
        <v>13200636</v>
      </c>
    </row>
    <row r="9937" spans="1:9" x14ac:dyDescent="0.2">
      <c r="A9937" t="str">
        <f>"Grtp1"</f>
        <v>Grtp1</v>
      </c>
      <c r="B9937" t="s">
        <v>13</v>
      </c>
      <c r="C9937" t="s">
        <v>30</v>
      </c>
      <c r="D9937" t="s">
        <v>11</v>
      </c>
      <c r="E9937" t="s">
        <v>12</v>
      </c>
      <c r="F9937">
        <v>13192288</v>
      </c>
      <c r="G9937">
        <v>13192336</v>
      </c>
      <c r="H9937">
        <v>13192288</v>
      </c>
      <c r="I9937">
        <v>13192336</v>
      </c>
    </row>
    <row r="9938" spans="1:9" x14ac:dyDescent="0.2">
      <c r="A9938" t="str">
        <f>"Grwd1"</f>
        <v>Grwd1</v>
      </c>
      <c r="B9938" t="s">
        <v>14</v>
      </c>
      <c r="C9938" t="s">
        <v>33</v>
      </c>
      <c r="D9938" t="s">
        <v>11</v>
      </c>
      <c r="E9938" t="s">
        <v>12</v>
      </c>
      <c r="F9938">
        <v>45830776</v>
      </c>
      <c r="G9938">
        <v>45830816</v>
      </c>
      <c r="H9938">
        <v>45830671</v>
      </c>
      <c r="I9938">
        <v>45830695</v>
      </c>
    </row>
    <row r="9939" spans="1:9" x14ac:dyDescent="0.2">
      <c r="A9939" t="str">
        <f>"Grxcr1"</f>
        <v>Grxcr1</v>
      </c>
      <c r="B9939" t="s">
        <v>14</v>
      </c>
      <c r="C9939" t="s">
        <v>46</v>
      </c>
      <c r="D9939" t="s">
        <v>17</v>
      </c>
      <c r="E9939" t="s">
        <v>12</v>
      </c>
      <c r="F9939">
        <v>68031775</v>
      </c>
      <c r="G9939">
        <v>68031798</v>
      </c>
      <c r="H9939">
        <v>68031775</v>
      </c>
      <c r="I9939">
        <v>68031798</v>
      </c>
    </row>
    <row r="9940" spans="1:9" x14ac:dyDescent="0.2">
      <c r="A9940" t="str">
        <f>"Grxcr2"</f>
        <v>Grxcr2</v>
      </c>
      <c r="B9940" t="s">
        <v>14</v>
      </c>
      <c r="C9940" t="s">
        <v>43</v>
      </c>
      <c r="D9940" t="s">
        <v>11</v>
      </c>
      <c r="E9940" t="s">
        <v>12</v>
      </c>
      <c r="F9940">
        <v>41999043</v>
      </c>
      <c r="G9940">
        <v>41999055</v>
      </c>
      <c r="H9940">
        <v>41999043</v>
      </c>
      <c r="I9940">
        <v>41999055</v>
      </c>
    </row>
    <row r="9941" spans="1:9" x14ac:dyDescent="0.2">
      <c r="A9941" t="str">
        <f>"Gsap"</f>
        <v>Gsap</v>
      </c>
      <c r="B9941" t="s">
        <v>14</v>
      </c>
      <c r="C9941" t="s">
        <v>46</v>
      </c>
      <c r="D9941" t="s">
        <v>17</v>
      </c>
      <c r="E9941" t="s">
        <v>67</v>
      </c>
      <c r="F9941">
        <v>21186284</v>
      </c>
      <c r="G9941">
        <v>21186340</v>
      </c>
      <c r="H9941">
        <v>21186237</v>
      </c>
      <c r="I9941">
        <v>21186248</v>
      </c>
    </row>
    <row r="9942" spans="1:9" x14ac:dyDescent="0.2">
      <c r="A9942" t="str">
        <f>"Gsc"</f>
        <v>Gsc</v>
      </c>
      <c r="B9942" t="s">
        <v>14</v>
      </c>
      <c r="C9942" t="s">
        <v>16</v>
      </c>
      <c r="D9942" t="s">
        <v>11</v>
      </c>
      <c r="E9942" t="s">
        <v>12</v>
      </c>
      <c r="F9942">
        <v>104473236</v>
      </c>
      <c r="G9942">
        <v>104473254</v>
      </c>
      <c r="H9942">
        <v>104473366</v>
      </c>
      <c r="I9942">
        <v>104473374</v>
      </c>
    </row>
    <row r="9943" spans="1:9" x14ac:dyDescent="0.2">
      <c r="A9943" t="str">
        <f>"Gsc2"</f>
        <v>Gsc2</v>
      </c>
      <c r="B9943" t="s">
        <v>4096</v>
      </c>
      <c r="C9943" t="s">
        <v>31</v>
      </c>
      <c r="D9943" t="s">
        <v>11</v>
      </c>
      <c r="E9943" t="s">
        <v>35</v>
      </c>
      <c r="F9943">
        <v>17915006</v>
      </c>
      <c r="G9943">
        <v>17915010</v>
      </c>
      <c r="H9943">
        <v>17915006</v>
      </c>
      <c r="I9943">
        <v>17915010</v>
      </c>
    </row>
    <row r="9944" spans="1:9" x14ac:dyDescent="0.2">
      <c r="A9944" t="str">
        <f>"Gsdma"</f>
        <v>Gsdma</v>
      </c>
      <c r="B9944" t="s">
        <v>14</v>
      </c>
      <c r="C9944" t="s">
        <v>27</v>
      </c>
      <c r="D9944" t="s">
        <v>17</v>
      </c>
      <c r="E9944" t="s">
        <v>12</v>
      </c>
      <c r="F9944">
        <v>98664341</v>
      </c>
      <c r="G9944">
        <v>98664356</v>
      </c>
      <c r="H9944">
        <v>98664360</v>
      </c>
      <c r="I9944">
        <v>98664373</v>
      </c>
    </row>
    <row r="9945" spans="1:9" x14ac:dyDescent="0.2">
      <c r="A9945" t="str">
        <f>"Gsdma2"</f>
        <v>Gsdma2</v>
      </c>
      <c r="B9945" t="s">
        <v>14</v>
      </c>
      <c r="C9945" t="s">
        <v>27</v>
      </c>
      <c r="D9945" t="s">
        <v>17</v>
      </c>
      <c r="E9945" t="s">
        <v>12</v>
      </c>
      <c r="F9945">
        <v>98646755</v>
      </c>
      <c r="G9945">
        <v>98646772</v>
      </c>
      <c r="H9945">
        <v>98646755</v>
      </c>
      <c r="I9945">
        <v>98646772</v>
      </c>
    </row>
    <row r="9946" spans="1:9" x14ac:dyDescent="0.2">
      <c r="A9946" t="str">
        <f>"Gsdma3"</f>
        <v>Gsdma3</v>
      </c>
      <c r="B9946" t="s">
        <v>14</v>
      </c>
      <c r="C9946" t="s">
        <v>27</v>
      </c>
      <c r="D9946" t="s">
        <v>17</v>
      </c>
      <c r="E9946" t="s">
        <v>12</v>
      </c>
      <c r="F9946">
        <v>98626344</v>
      </c>
      <c r="G9946">
        <v>98626349</v>
      </c>
      <c r="H9946">
        <v>98626344</v>
      </c>
      <c r="I9946">
        <v>98626349</v>
      </c>
    </row>
    <row r="9947" spans="1:9" x14ac:dyDescent="0.2">
      <c r="A9947" t="str">
        <f>"Gsdmc"</f>
        <v>Gsdmc</v>
      </c>
      <c r="B9947" t="s">
        <v>14</v>
      </c>
      <c r="C9947" t="s">
        <v>25</v>
      </c>
      <c r="D9947" t="s">
        <v>11</v>
      </c>
      <c r="E9947" t="s">
        <v>12</v>
      </c>
      <c r="F9947">
        <v>63808733</v>
      </c>
      <c r="G9947">
        <v>63808745</v>
      </c>
      <c r="H9947">
        <v>63808733</v>
      </c>
      <c r="I9947">
        <v>63808745</v>
      </c>
    </row>
    <row r="9948" spans="1:9" x14ac:dyDescent="0.2">
      <c r="A9948" t="str">
        <f>"Gsdmc2"</f>
        <v>Gsdmc2</v>
      </c>
      <c r="B9948" t="s">
        <v>4097</v>
      </c>
      <c r="C9948" t="s">
        <v>25</v>
      </c>
      <c r="D9948" t="s">
        <v>11</v>
      </c>
      <c r="E9948" t="s">
        <v>20</v>
      </c>
      <c r="F9948">
        <v>63835948</v>
      </c>
      <c r="G9948">
        <v>63835948</v>
      </c>
      <c r="H9948">
        <v>63835948</v>
      </c>
      <c r="I9948">
        <v>63835948</v>
      </c>
    </row>
    <row r="9949" spans="1:9" x14ac:dyDescent="0.2">
      <c r="A9949" t="str">
        <f>"Gsdmc3"</f>
        <v>Gsdmc3</v>
      </c>
      <c r="B9949" t="s">
        <v>4098</v>
      </c>
      <c r="C9949" t="s">
        <v>25</v>
      </c>
      <c r="D9949" t="s">
        <v>11</v>
      </c>
      <c r="E9949" t="s">
        <v>20</v>
      </c>
      <c r="F9949">
        <v>63869296</v>
      </c>
      <c r="G9949">
        <v>63869296</v>
      </c>
      <c r="H9949">
        <v>63869296</v>
      </c>
      <c r="I9949">
        <v>63869296</v>
      </c>
    </row>
    <row r="9950" spans="1:9" x14ac:dyDescent="0.2">
      <c r="A9950" t="str">
        <f>"Gsdmc4"</f>
        <v>Gsdmc4</v>
      </c>
      <c r="B9950" t="s">
        <v>14</v>
      </c>
      <c r="C9950" t="s">
        <v>25</v>
      </c>
      <c r="D9950" t="s">
        <v>11</v>
      </c>
      <c r="E9950" t="s">
        <v>12</v>
      </c>
      <c r="F9950">
        <v>63912287</v>
      </c>
      <c r="G9950">
        <v>63912297</v>
      </c>
      <c r="H9950">
        <v>63912287</v>
      </c>
      <c r="I9950">
        <v>63912297</v>
      </c>
    </row>
    <row r="9951" spans="1:9" x14ac:dyDescent="0.2">
      <c r="A9951" t="str">
        <f>"Gsdmcl1"</f>
        <v>Gsdmcl1</v>
      </c>
      <c r="B9951" t="s">
        <v>4099</v>
      </c>
      <c r="C9951" t="s">
        <v>25</v>
      </c>
      <c r="D9951" t="s">
        <v>17</v>
      </c>
      <c r="E9951" t="s">
        <v>20</v>
      </c>
      <c r="F9951">
        <v>63847308</v>
      </c>
      <c r="G9951">
        <v>63847308</v>
      </c>
      <c r="H9951">
        <v>63847308</v>
      </c>
      <c r="I9951">
        <v>63847308</v>
      </c>
    </row>
    <row r="9952" spans="1:9" x14ac:dyDescent="0.2">
      <c r="A9952" t="str">
        <f>"Gsdmcl2"</f>
        <v>Gsdmcl2</v>
      </c>
      <c r="B9952" t="s">
        <v>4100</v>
      </c>
      <c r="C9952" t="s">
        <v>25</v>
      </c>
      <c r="D9952" t="s">
        <v>17</v>
      </c>
      <c r="E9952" t="s">
        <v>20</v>
      </c>
      <c r="F9952">
        <v>63817206</v>
      </c>
      <c r="G9952">
        <v>63817206</v>
      </c>
      <c r="H9952">
        <v>63817206</v>
      </c>
      <c r="I9952">
        <v>63817206</v>
      </c>
    </row>
    <row r="9953" spans="1:9" x14ac:dyDescent="0.2">
      <c r="A9953" t="str">
        <f>"Gsdmd"</f>
        <v>Gsdmd</v>
      </c>
      <c r="B9953" t="s">
        <v>14</v>
      </c>
      <c r="C9953" t="s">
        <v>25</v>
      </c>
      <c r="D9953" t="s">
        <v>17</v>
      </c>
      <c r="E9953" t="s">
        <v>12</v>
      </c>
      <c r="F9953">
        <v>75862310</v>
      </c>
      <c r="G9953">
        <v>75862370</v>
      </c>
      <c r="H9953">
        <v>75862310</v>
      </c>
      <c r="I9953">
        <v>75862370</v>
      </c>
    </row>
    <row r="9954" spans="1:9" x14ac:dyDescent="0.2">
      <c r="A9954" t="str">
        <f>"Gse1"</f>
        <v>Gse1</v>
      </c>
      <c r="B9954" t="s">
        <v>14</v>
      </c>
      <c r="C9954" t="s">
        <v>30</v>
      </c>
      <c r="D9954" t="s">
        <v>17</v>
      </c>
      <c r="E9954" t="s">
        <v>12</v>
      </c>
      <c r="F9954">
        <v>120537472</v>
      </c>
      <c r="G9954">
        <v>120537501</v>
      </c>
      <c r="H9954">
        <v>120537472</v>
      </c>
      <c r="I9954">
        <v>120537501</v>
      </c>
    </row>
    <row r="9955" spans="1:9" x14ac:dyDescent="0.2">
      <c r="A9955" t="str">
        <f>"Gsg1"</f>
        <v>Gsg1</v>
      </c>
      <c r="B9955" t="s">
        <v>14</v>
      </c>
      <c r="C9955" t="s">
        <v>32</v>
      </c>
      <c r="D9955" t="s">
        <v>11</v>
      </c>
      <c r="E9955" t="s">
        <v>12</v>
      </c>
      <c r="F9955">
        <v>135254297</v>
      </c>
      <c r="G9955">
        <v>135254316</v>
      </c>
      <c r="H9955">
        <v>135254275</v>
      </c>
      <c r="I9955">
        <v>135254289</v>
      </c>
    </row>
    <row r="9956" spans="1:9" x14ac:dyDescent="0.2">
      <c r="A9956" t="str">
        <f>"Gsg1l"</f>
        <v>Gsg1l</v>
      </c>
      <c r="B9956" t="s">
        <v>14</v>
      </c>
      <c r="C9956" t="s">
        <v>33</v>
      </c>
      <c r="D9956" t="s">
        <v>11</v>
      </c>
      <c r="E9956" t="s">
        <v>12</v>
      </c>
      <c r="F9956">
        <v>126082378</v>
      </c>
      <c r="G9956">
        <v>126082392</v>
      </c>
      <c r="H9956">
        <v>126082406</v>
      </c>
      <c r="I9956">
        <v>126082428</v>
      </c>
    </row>
    <row r="9957" spans="1:9" x14ac:dyDescent="0.2">
      <c r="A9957" t="str">
        <f>"Gsg2"</f>
        <v>Gsg2</v>
      </c>
      <c r="B9957" t="s">
        <v>14</v>
      </c>
      <c r="C9957" t="s">
        <v>27</v>
      </c>
      <c r="D9957" t="s">
        <v>11</v>
      </c>
      <c r="E9957" t="s">
        <v>12</v>
      </c>
      <c r="F9957">
        <v>73138245</v>
      </c>
      <c r="G9957">
        <v>73138310</v>
      </c>
      <c r="H9957">
        <v>73138245</v>
      </c>
      <c r="I9957">
        <v>73138310</v>
      </c>
    </row>
    <row r="9958" spans="1:9" x14ac:dyDescent="0.2">
      <c r="A9958" t="str">
        <f>"Gsk3a"</f>
        <v>Gsk3a</v>
      </c>
      <c r="B9958" t="s">
        <v>14</v>
      </c>
      <c r="C9958" t="s">
        <v>33</v>
      </c>
      <c r="D9958" t="s">
        <v>11</v>
      </c>
      <c r="E9958" t="s">
        <v>12</v>
      </c>
      <c r="F9958">
        <v>25237740</v>
      </c>
      <c r="G9958">
        <v>25237828</v>
      </c>
      <c r="H9958">
        <v>25237719</v>
      </c>
      <c r="I9958">
        <v>25237730</v>
      </c>
    </row>
    <row r="9959" spans="1:9" x14ac:dyDescent="0.2">
      <c r="A9959" t="str">
        <f>"Gsk3b"</f>
        <v>Gsk3b</v>
      </c>
      <c r="B9959" t="s">
        <v>14</v>
      </c>
      <c r="C9959" t="s">
        <v>31</v>
      </c>
      <c r="D9959" t="s">
        <v>17</v>
      </c>
      <c r="E9959" t="s">
        <v>12</v>
      </c>
      <c r="F9959">
        <v>38089481</v>
      </c>
      <c r="G9959">
        <v>38089536</v>
      </c>
      <c r="H9959">
        <v>38089481</v>
      </c>
      <c r="I9959">
        <v>38089536</v>
      </c>
    </row>
    <row r="9960" spans="1:9" x14ac:dyDescent="0.2">
      <c r="A9960" t="str">
        <f>"Gskip"</f>
        <v>Gskip</v>
      </c>
      <c r="B9960" t="s">
        <v>14</v>
      </c>
      <c r="C9960" t="s">
        <v>16</v>
      </c>
      <c r="D9960" t="s">
        <v>17</v>
      </c>
      <c r="E9960" t="s">
        <v>67</v>
      </c>
      <c r="F9960">
        <v>105685384</v>
      </c>
      <c r="G9960">
        <v>105685430</v>
      </c>
      <c r="H9960">
        <v>105685351</v>
      </c>
      <c r="I9960">
        <v>105685362</v>
      </c>
    </row>
    <row r="9961" spans="1:9" x14ac:dyDescent="0.2">
      <c r="A9961" t="str">
        <f>"Gsn"</f>
        <v>Gsn</v>
      </c>
      <c r="B9961" t="s">
        <v>9</v>
      </c>
      <c r="C9961" t="s">
        <v>26</v>
      </c>
      <c r="D9961" t="s">
        <v>17</v>
      </c>
      <c r="E9961" t="s">
        <v>12</v>
      </c>
      <c r="F9961">
        <v>35256365</v>
      </c>
      <c r="G9961">
        <v>35256448</v>
      </c>
      <c r="H9961">
        <v>35256365</v>
      </c>
      <c r="I9961">
        <v>35256448</v>
      </c>
    </row>
    <row r="9962" spans="1:9" x14ac:dyDescent="0.2">
      <c r="A9962" t="str">
        <f>"Gsn"</f>
        <v>Gsn</v>
      </c>
      <c r="B9962" t="s">
        <v>13</v>
      </c>
      <c r="C9962" t="s">
        <v>26</v>
      </c>
      <c r="D9962" t="s">
        <v>17</v>
      </c>
      <c r="E9962" t="s">
        <v>12</v>
      </c>
      <c r="F9962">
        <v>35282427</v>
      </c>
      <c r="G9962">
        <v>35282442</v>
      </c>
      <c r="H9962">
        <v>35282427</v>
      </c>
      <c r="I9962">
        <v>35282442</v>
      </c>
    </row>
    <row r="9963" spans="1:9" x14ac:dyDescent="0.2">
      <c r="A9963" t="str">
        <f>"Gspt1"</f>
        <v>Gspt1</v>
      </c>
      <c r="B9963" t="s">
        <v>14</v>
      </c>
      <c r="C9963" t="s">
        <v>31</v>
      </c>
      <c r="D9963" t="s">
        <v>11</v>
      </c>
      <c r="E9963" t="s">
        <v>12</v>
      </c>
      <c r="F9963">
        <v>11254161</v>
      </c>
      <c r="G9963">
        <v>11254246</v>
      </c>
      <c r="H9963">
        <v>11253982</v>
      </c>
      <c r="I9963">
        <v>11254045</v>
      </c>
    </row>
    <row r="9964" spans="1:9" x14ac:dyDescent="0.2">
      <c r="A9964" t="str">
        <f>"Gspt2"</f>
        <v>Gspt2</v>
      </c>
      <c r="B9964" t="s">
        <v>14</v>
      </c>
      <c r="C9964" t="s">
        <v>37</v>
      </c>
      <c r="D9964" t="s">
        <v>17</v>
      </c>
      <c r="E9964" t="s">
        <v>12</v>
      </c>
      <c r="F9964">
        <v>94636066</v>
      </c>
      <c r="G9964">
        <v>94636086</v>
      </c>
      <c r="H9964">
        <v>94636044</v>
      </c>
      <c r="I9964">
        <v>94636053</v>
      </c>
    </row>
    <row r="9965" spans="1:9" x14ac:dyDescent="0.2">
      <c r="A9965" t="str">
        <f>"Gsr"</f>
        <v>Gsr</v>
      </c>
      <c r="B9965" t="s">
        <v>14</v>
      </c>
      <c r="C9965" t="s">
        <v>30</v>
      </c>
      <c r="D9965" t="s">
        <v>17</v>
      </c>
      <c r="E9965" t="s">
        <v>12</v>
      </c>
      <c r="F9965">
        <v>33653552</v>
      </c>
      <c r="G9965">
        <v>33653623</v>
      </c>
      <c r="H9965">
        <v>33653489</v>
      </c>
      <c r="I9965">
        <v>33653548</v>
      </c>
    </row>
    <row r="9966" spans="1:9" x14ac:dyDescent="0.2">
      <c r="A9966" t="str">
        <f>"Gss"</f>
        <v>Gss</v>
      </c>
      <c r="B9966" t="s">
        <v>14</v>
      </c>
      <c r="C9966" t="s">
        <v>26</v>
      </c>
      <c r="D9966" t="s">
        <v>11</v>
      </c>
      <c r="E9966" t="s">
        <v>12</v>
      </c>
      <c r="F9966">
        <v>155592708</v>
      </c>
      <c r="G9966">
        <v>155592770</v>
      </c>
      <c r="H9966">
        <v>155592589</v>
      </c>
      <c r="I9966">
        <v>155592613</v>
      </c>
    </row>
    <row r="9967" spans="1:9" x14ac:dyDescent="0.2">
      <c r="A9967" t="str">
        <f>"Gsta1"</f>
        <v>Gsta1</v>
      </c>
      <c r="B9967" t="s">
        <v>14</v>
      </c>
      <c r="C9967" t="s">
        <v>24</v>
      </c>
      <c r="D9967" t="s">
        <v>17</v>
      </c>
      <c r="E9967" t="s">
        <v>12</v>
      </c>
      <c r="F9967">
        <v>78230679</v>
      </c>
      <c r="G9967">
        <v>78230691</v>
      </c>
      <c r="H9967">
        <v>78230644</v>
      </c>
      <c r="I9967">
        <v>78230664</v>
      </c>
    </row>
    <row r="9968" spans="1:9" x14ac:dyDescent="0.2">
      <c r="A9968" t="str">
        <f>"Gsta2"</f>
        <v>Gsta2</v>
      </c>
      <c r="B9968" t="s">
        <v>14</v>
      </c>
      <c r="C9968" t="s">
        <v>24</v>
      </c>
      <c r="D9968" t="s">
        <v>11</v>
      </c>
      <c r="E9968" t="s">
        <v>12</v>
      </c>
      <c r="F9968">
        <v>78347140</v>
      </c>
      <c r="G9968">
        <v>78347157</v>
      </c>
      <c r="H9968">
        <v>78347162</v>
      </c>
      <c r="I9968">
        <v>78347190</v>
      </c>
    </row>
    <row r="9969" spans="1:9" x14ac:dyDescent="0.2">
      <c r="A9969" t="str">
        <f>"Gsta3"</f>
        <v>Gsta3</v>
      </c>
      <c r="B9969" t="s">
        <v>14</v>
      </c>
      <c r="C9969" t="s">
        <v>19</v>
      </c>
      <c r="D9969" t="s">
        <v>17</v>
      </c>
      <c r="E9969" t="s">
        <v>12</v>
      </c>
      <c r="F9969">
        <v>21240597</v>
      </c>
      <c r="G9969">
        <v>21240628</v>
      </c>
      <c r="H9969">
        <v>21240581</v>
      </c>
      <c r="I9969">
        <v>21240588</v>
      </c>
    </row>
    <row r="9970" spans="1:9" x14ac:dyDescent="0.2">
      <c r="A9970" t="str">
        <f>"Gsta4"</f>
        <v>Gsta4</v>
      </c>
      <c r="B9970" t="s">
        <v>14</v>
      </c>
      <c r="C9970" t="s">
        <v>24</v>
      </c>
      <c r="D9970" t="s">
        <v>17</v>
      </c>
      <c r="E9970" t="s">
        <v>12</v>
      </c>
      <c r="F9970">
        <v>78192006</v>
      </c>
      <c r="G9970">
        <v>78192023</v>
      </c>
      <c r="H9970">
        <v>78191972</v>
      </c>
      <c r="I9970">
        <v>78191999</v>
      </c>
    </row>
    <row r="9971" spans="1:9" x14ac:dyDescent="0.2">
      <c r="A9971" t="str">
        <f>"Gstcd"</f>
        <v>Gstcd</v>
      </c>
      <c r="B9971" t="s">
        <v>14</v>
      </c>
      <c r="C9971" t="s">
        <v>22</v>
      </c>
      <c r="D9971" t="s">
        <v>11</v>
      </c>
      <c r="E9971" t="s">
        <v>12</v>
      </c>
      <c r="F9971">
        <v>133091798</v>
      </c>
      <c r="G9971">
        <v>133091847</v>
      </c>
      <c r="H9971">
        <v>133091764</v>
      </c>
      <c r="I9971">
        <v>133091783</v>
      </c>
    </row>
    <row r="9972" spans="1:9" x14ac:dyDescent="0.2">
      <c r="A9972" t="str">
        <f>"Gstk1"</f>
        <v>Gstk1</v>
      </c>
      <c r="B9972" t="s">
        <v>14</v>
      </c>
      <c r="C9972" t="s">
        <v>32</v>
      </c>
      <c r="D9972" t="s">
        <v>17</v>
      </c>
      <c r="E9972" t="s">
        <v>12</v>
      </c>
      <c r="F9972">
        <v>42245907</v>
      </c>
      <c r="G9972">
        <v>42245977</v>
      </c>
      <c r="H9972">
        <v>42245982</v>
      </c>
      <c r="I9972">
        <v>42246013</v>
      </c>
    </row>
    <row r="9973" spans="1:9" x14ac:dyDescent="0.2">
      <c r="A9973" t="str">
        <f>"Gstm1"</f>
        <v>Gstm1</v>
      </c>
      <c r="B9973" t="s">
        <v>14</v>
      </c>
      <c r="C9973" t="s">
        <v>22</v>
      </c>
      <c r="D9973" t="s">
        <v>11</v>
      </c>
      <c r="E9973" t="s">
        <v>12</v>
      </c>
      <c r="F9973">
        <v>108017811</v>
      </c>
      <c r="G9973">
        <v>108017826</v>
      </c>
      <c r="H9973">
        <v>108017843</v>
      </c>
      <c r="I9973">
        <v>108017862</v>
      </c>
    </row>
    <row r="9974" spans="1:9" x14ac:dyDescent="0.2">
      <c r="A9974" t="str">
        <f>"Gstm2"</f>
        <v>Gstm2</v>
      </c>
      <c r="B9974" t="s">
        <v>14</v>
      </c>
      <c r="C9974" t="s">
        <v>22</v>
      </c>
      <c r="D9974" t="s">
        <v>11</v>
      </c>
      <c r="E9974" t="s">
        <v>12</v>
      </c>
      <c r="F9974">
        <v>107986408</v>
      </c>
      <c r="G9974">
        <v>107986466</v>
      </c>
      <c r="H9974">
        <v>107986397</v>
      </c>
      <c r="I9974">
        <v>107986399</v>
      </c>
    </row>
    <row r="9975" spans="1:9" x14ac:dyDescent="0.2">
      <c r="A9975" t="str">
        <f>"Gstm3"</f>
        <v>Gstm3</v>
      </c>
      <c r="B9975" t="s">
        <v>14</v>
      </c>
      <c r="C9975" t="s">
        <v>22</v>
      </c>
      <c r="D9975" t="s">
        <v>11</v>
      </c>
      <c r="E9975" t="s">
        <v>12</v>
      </c>
      <c r="F9975">
        <v>107969162</v>
      </c>
      <c r="G9975">
        <v>107969177</v>
      </c>
      <c r="H9975">
        <v>107969162</v>
      </c>
      <c r="I9975">
        <v>107969177</v>
      </c>
    </row>
    <row r="9976" spans="1:9" x14ac:dyDescent="0.2">
      <c r="A9976" t="str">
        <f>"Gstm4"</f>
        <v>Gstm4</v>
      </c>
      <c r="B9976" t="s">
        <v>14</v>
      </c>
      <c r="C9976" t="s">
        <v>22</v>
      </c>
      <c r="D9976" t="s">
        <v>11</v>
      </c>
      <c r="E9976" t="s">
        <v>12</v>
      </c>
      <c r="F9976">
        <v>108044801</v>
      </c>
      <c r="G9976">
        <v>108044882</v>
      </c>
      <c r="H9976">
        <v>108044685</v>
      </c>
      <c r="I9976">
        <v>108044738</v>
      </c>
    </row>
    <row r="9977" spans="1:9" x14ac:dyDescent="0.2">
      <c r="A9977" t="str">
        <f>"Gstm5"</f>
        <v>Gstm5</v>
      </c>
      <c r="B9977" t="s">
        <v>14</v>
      </c>
      <c r="C9977" t="s">
        <v>22</v>
      </c>
      <c r="D9977" t="s">
        <v>17</v>
      </c>
      <c r="E9977" t="s">
        <v>12</v>
      </c>
      <c r="F9977">
        <v>107895849</v>
      </c>
      <c r="G9977">
        <v>107895901</v>
      </c>
      <c r="H9977">
        <v>107895916</v>
      </c>
      <c r="I9977">
        <v>107895931</v>
      </c>
    </row>
    <row r="9978" spans="1:9" x14ac:dyDescent="0.2">
      <c r="A9978" t="str">
        <f>"Gstm6"</f>
        <v>Gstm6</v>
      </c>
      <c r="B9978" t="s">
        <v>14</v>
      </c>
      <c r="C9978" t="s">
        <v>22</v>
      </c>
      <c r="D9978" t="s">
        <v>11</v>
      </c>
      <c r="E9978" t="s">
        <v>12</v>
      </c>
      <c r="F9978">
        <v>107943705</v>
      </c>
      <c r="G9978">
        <v>107943741</v>
      </c>
      <c r="H9978">
        <v>107943683</v>
      </c>
      <c r="I9978">
        <v>107943699</v>
      </c>
    </row>
    <row r="9979" spans="1:9" x14ac:dyDescent="0.2">
      <c r="A9979" t="str">
        <f>"Gstm7"</f>
        <v>Gstm7</v>
      </c>
      <c r="B9979" t="s">
        <v>14</v>
      </c>
      <c r="C9979" t="s">
        <v>22</v>
      </c>
      <c r="D9979" t="s">
        <v>11</v>
      </c>
      <c r="E9979" t="s">
        <v>12</v>
      </c>
      <c r="F9979">
        <v>107931657</v>
      </c>
      <c r="G9979">
        <v>107931742</v>
      </c>
      <c r="H9979">
        <v>107931860</v>
      </c>
      <c r="I9979">
        <v>107931885</v>
      </c>
    </row>
    <row r="9980" spans="1:9" x14ac:dyDescent="0.2">
      <c r="A9980" t="str">
        <f>"Gsto1"</f>
        <v>Gsto1</v>
      </c>
      <c r="B9980" t="s">
        <v>14</v>
      </c>
      <c r="C9980" t="s">
        <v>10</v>
      </c>
      <c r="D9980" t="s">
        <v>17</v>
      </c>
      <c r="E9980" t="s">
        <v>12</v>
      </c>
      <c r="F9980">
        <v>47855022</v>
      </c>
      <c r="G9980">
        <v>47855047</v>
      </c>
      <c r="H9980">
        <v>47854995</v>
      </c>
      <c r="I9980">
        <v>47855013</v>
      </c>
    </row>
    <row r="9981" spans="1:9" x14ac:dyDescent="0.2">
      <c r="A9981" t="str">
        <f>"Gsto2"</f>
        <v>Gsto2</v>
      </c>
      <c r="B9981" t="s">
        <v>14</v>
      </c>
      <c r="C9981" t="s">
        <v>10</v>
      </c>
      <c r="D9981" t="s">
        <v>17</v>
      </c>
      <c r="E9981" t="s">
        <v>12</v>
      </c>
      <c r="F9981">
        <v>47865777</v>
      </c>
      <c r="G9981">
        <v>47865808</v>
      </c>
      <c r="H9981">
        <v>47865815</v>
      </c>
      <c r="I9981">
        <v>47865835</v>
      </c>
    </row>
    <row r="9982" spans="1:9" x14ac:dyDescent="0.2">
      <c r="A9982" t="str">
        <f>"Gstp1"</f>
        <v>Gstp1</v>
      </c>
      <c r="B9982" t="s">
        <v>14</v>
      </c>
      <c r="C9982" t="s">
        <v>10</v>
      </c>
      <c r="D9982" t="s">
        <v>11</v>
      </c>
      <c r="E9982" t="s">
        <v>12</v>
      </c>
      <c r="F9982">
        <v>4037910</v>
      </c>
      <c r="G9982">
        <v>4037933</v>
      </c>
      <c r="H9982">
        <v>4037944</v>
      </c>
      <c r="I9982">
        <v>4037959</v>
      </c>
    </row>
    <row r="9983" spans="1:9" x14ac:dyDescent="0.2">
      <c r="A9983" t="str">
        <f>"Gstp2"</f>
        <v>Gstp2</v>
      </c>
      <c r="B9983" t="s">
        <v>14</v>
      </c>
      <c r="C9983" t="s">
        <v>10</v>
      </c>
      <c r="D9983" t="s">
        <v>11</v>
      </c>
      <c r="E9983" t="s">
        <v>12</v>
      </c>
      <c r="F9983">
        <v>4042243</v>
      </c>
      <c r="G9983">
        <v>4042273</v>
      </c>
      <c r="H9983">
        <v>4042230</v>
      </c>
      <c r="I9983">
        <v>4042242</v>
      </c>
    </row>
    <row r="9984" spans="1:9" x14ac:dyDescent="0.2">
      <c r="A9984" t="str">
        <f>"Gstt1"</f>
        <v>Gstt1</v>
      </c>
      <c r="B9984" t="s">
        <v>14</v>
      </c>
      <c r="C9984" t="s">
        <v>15</v>
      </c>
      <c r="D9984" t="s">
        <v>11</v>
      </c>
      <c r="E9984" t="s">
        <v>12</v>
      </c>
      <c r="F9984">
        <v>75798517</v>
      </c>
      <c r="G9984">
        <v>75798553</v>
      </c>
      <c r="H9984">
        <v>75798576</v>
      </c>
      <c r="I9984">
        <v>75798587</v>
      </c>
    </row>
    <row r="9985" spans="1:9" x14ac:dyDescent="0.2">
      <c r="A9985" t="str">
        <f>"Gstt2"</f>
        <v>Gstt2</v>
      </c>
      <c r="B9985" t="s">
        <v>14</v>
      </c>
      <c r="C9985" t="s">
        <v>15</v>
      </c>
      <c r="D9985" t="s">
        <v>11</v>
      </c>
      <c r="E9985" t="s">
        <v>12</v>
      </c>
      <c r="F9985">
        <v>75834402</v>
      </c>
      <c r="G9985">
        <v>75834432</v>
      </c>
      <c r="H9985">
        <v>75834402</v>
      </c>
      <c r="I9985">
        <v>75834432</v>
      </c>
    </row>
    <row r="9986" spans="1:9" x14ac:dyDescent="0.2">
      <c r="A9986" t="str">
        <f>"Gstt3"</f>
        <v>Gstt3</v>
      </c>
      <c r="B9986" t="s">
        <v>14</v>
      </c>
      <c r="C9986" t="s">
        <v>15</v>
      </c>
      <c r="D9986" t="s">
        <v>11</v>
      </c>
      <c r="E9986" t="s">
        <v>12</v>
      </c>
      <c r="F9986">
        <v>75781036</v>
      </c>
      <c r="G9986">
        <v>75781110</v>
      </c>
      <c r="H9986">
        <v>75781411</v>
      </c>
      <c r="I9986">
        <v>75781434</v>
      </c>
    </row>
    <row r="9987" spans="1:9" x14ac:dyDescent="0.2">
      <c r="A9987" t="str">
        <f>"Gstt4"</f>
        <v>Gstt4</v>
      </c>
      <c r="B9987" t="s">
        <v>14</v>
      </c>
      <c r="C9987" t="s">
        <v>15</v>
      </c>
      <c r="D9987" t="s">
        <v>11</v>
      </c>
      <c r="E9987" t="s">
        <v>12</v>
      </c>
      <c r="F9987">
        <v>75822521</v>
      </c>
      <c r="G9987">
        <v>75822548</v>
      </c>
      <c r="H9987">
        <v>75822489</v>
      </c>
      <c r="I9987">
        <v>75822511</v>
      </c>
    </row>
    <row r="9988" spans="1:9" x14ac:dyDescent="0.2">
      <c r="A9988" t="str">
        <f>"Gstz1"</f>
        <v>Gstz1</v>
      </c>
      <c r="B9988" t="s">
        <v>14</v>
      </c>
      <c r="C9988" t="s">
        <v>16</v>
      </c>
      <c r="D9988" t="s">
        <v>17</v>
      </c>
      <c r="E9988" t="s">
        <v>12</v>
      </c>
      <c r="F9988">
        <v>87147703</v>
      </c>
      <c r="G9988">
        <v>87147783</v>
      </c>
      <c r="H9988">
        <v>87147149</v>
      </c>
      <c r="I9988">
        <v>87147201</v>
      </c>
    </row>
    <row r="9989" spans="1:9" x14ac:dyDescent="0.2">
      <c r="A9989" t="str">
        <f>"Gsx1"</f>
        <v>Gsx1</v>
      </c>
      <c r="B9989" t="s">
        <v>14</v>
      </c>
      <c r="C9989" t="s">
        <v>46</v>
      </c>
      <c r="D9989" t="s">
        <v>17</v>
      </c>
      <c r="E9989" t="s">
        <v>12</v>
      </c>
      <c r="F9989">
        <v>147188678</v>
      </c>
      <c r="G9989">
        <v>147188684</v>
      </c>
      <c r="H9989">
        <v>147188678</v>
      </c>
      <c r="I9989">
        <v>147188684</v>
      </c>
    </row>
    <row r="9990" spans="1:9" x14ac:dyDescent="0.2">
      <c r="A9990" t="str">
        <f>"Gsx2"</f>
        <v>Gsx2</v>
      </c>
      <c r="B9990" t="s">
        <v>14</v>
      </c>
      <c r="C9990" t="s">
        <v>46</v>
      </c>
      <c r="D9990" t="s">
        <v>17</v>
      </c>
      <c r="E9990" t="s">
        <v>12</v>
      </c>
      <c r="F9990">
        <v>75075590</v>
      </c>
      <c r="G9990">
        <v>75075597</v>
      </c>
      <c r="H9990">
        <v>75075629</v>
      </c>
      <c r="I9990">
        <v>75075655</v>
      </c>
    </row>
    <row r="9991" spans="1:9" x14ac:dyDescent="0.2">
      <c r="A9991" t="str">
        <f>"Gtdc1"</f>
        <v>Gtdc1</v>
      </c>
      <c r="B9991" t="s">
        <v>4101</v>
      </c>
      <c r="C9991" t="s">
        <v>26</v>
      </c>
      <c r="D9991" t="s">
        <v>11</v>
      </c>
      <c r="E9991" t="s">
        <v>20</v>
      </c>
      <c r="F9991">
        <v>44861621</v>
      </c>
      <c r="G9991">
        <v>44861621</v>
      </c>
      <c r="H9991">
        <v>44861621</v>
      </c>
      <c r="I9991">
        <v>44861621</v>
      </c>
    </row>
    <row r="9992" spans="1:9" x14ac:dyDescent="0.2">
      <c r="A9992" t="str">
        <f>"Gtf2a1"</f>
        <v>Gtf2a1</v>
      </c>
      <c r="B9992" t="s">
        <v>14</v>
      </c>
      <c r="C9992" t="s">
        <v>16</v>
      </c>
      <c r="D9992" t="s">
        <v>11</v>
      </c>
      <c r="E9992" t="s">
        <v>12</v>
      </c>
      <c r="F9992">
        <v>91589597</v>
      </c>
      <c r="G9992">
        <v>91589620</v>
      </c>
      <c r="H9992">
        <v>91589953</v>
      </c>
      <c r="I9992">
        <v>91589968</v>
      </c>
    </row>
    <row r="9993" spans="1:9" x14ac:dyDescent="0.2">
      <c r="A9993" t="str">
        <f>"Gtf2a1l"</f>
        <v>Gtf2a1l</v>
      </c>
      <c r="B9993" t="s">
        <v>14</v>
      </c>
      <c r="C9993" t="s">
        <v>28</v>
      </c>
      <c r="D9993" t="s">
        <v>17</v>
      </c>
      <c r="E9993" t="s">
        <v>12</v>
      </c>
      <c r="F9993">
        <v>88668662</v>
      </c>
      <c r="G9993">
        <v>88668701</v>
      </c>
      <c r="H9993">
        <v>88668643</v>
      </c>
      <c r="I9993">
        <v>88668654</v>
      </c>
    </row>
    <row r="9994" spans="1:9" x14ac:dyDescent="0.2">
      <c r="A9994" t="str">
        <f>"Gtf2a2"</f>
        <v>Gtf2a2</v>
      </c>
      <c r="B9994" t="s">
        <v>14</v>
      </c>
      <c r="C9994" t="s">
        <v>24</v>
      </c>
      <c r="D9994" t="s">
        <v>17</v>
      </c>
      <c r="E9994" t="s">
        <v>12</v>
      </c>
      <c r="F9994">
        <v>70012540</v>
      </c>
      <c r="G9994">
        <v>70012592</v>
      </c>
      <c r="H9994">
        <v>70012743</v>
      </c>
      <c r="I9994">
        <v>70012780</v>
      </c>
    </row>
    <row r="9995" spans="1:9" x14ac:dyDescent="0.2">
      <c r="A9995" t="str">
        <f>"Gtf2b"</f>
        <v>Gtf2b</v>
      </c>
      <c r="B9995" t="s">
        <v>14</v>
      </c>
      <c r="C9995" t="s">
        <v>22</v>
      </c>
      <c r="D9995" t="s">
        <v>17</v>
      </c>
      <c r="E9995" t="s">
        <v>12</v>
      </c>
      <c r="F9995">
        <v>142765216</v>
      </c>
      <c r="G9995">
        <v>142765232</v>
      </c>
      <c r="H9995">
        <v>142765216</v>
      </c>
      <c r="I9995">
        <v>142765232</v>
      </c>
    </row>
    <row r="9996" spans="1:9" x14ac:dyDescent="0.2">
      <c r="A9996" t="str">
        <f>"Gtf2e1"</f>
        <v>Gtf2e1</v>
      </c>
      <c r="B9996" t="s">
        <v>14</v>
      </c>
      <c r="C9996" t="s">
        <v>31</v>
      </c>
      <c r="D9996" t="s">
        <v>11</v>
      </c>
      <c r="E9996" t="s">
        <v>12</v>
      </c>
      <c r="F9996">
        <v>37539693</v>
      </c>
      <c r="G9996">
        <v>37539710</v>
      </c>
      <c r="H9996">
        <v>37539737</v>
      </c>
      <c r="I9996">
        <v>37539751</v>
      </c>
    </row>
    <row r="9997" spans="1:9" x14ac:dyDescent="0.2">
      <c r="A9997" t="str">
        <f>"Gtf2e2"</f>
        <v>Gtf2e2</v>
      </c>
      <c r="B9997" t="s">
        <v>14</v>
      </c>
      <c r="C9997" t="s">
        <v>30</v>
      </c>
      <c r="D9997" t="s">
        <v>17</v>
      </c>
      <c r="E9997" t="s">
        <v>12</v>
      </c>
      <c r="F9997">
        <v>33732049</v>
      </c>
      <c r="G9997">
        <v>33732137</v>
      </c>
      <c r="H9997">
        <v>33731867</v>
      </c>
      <c r="I9997">
        <v>33731946</v>
      </c>
    </row>
    <row r="9998" spans="1:9" x14ac:dyDescent="0.2">
      <c r="A9998" t="str">
        <f>"Gtf2f1"</f>
        <v>Gtf2f1</v>
      </c>
      <c r="B9998" t="s">
        <v>14</v>
      </c>
      <c r="C9998" t="s">
        <v>28</v>
      </c>
      <c r="D9998" t="s">
        <v>11</v>
      </c>
      <c r="E9998" t="s">
        <v>12</v>
      </c>
      <c r="F9998">
        <v>57011271</v>
      </c>
      <c r="G9998">
        <v>57011326</v>
      </c>
      <c r="H9998">
        <v>57011390</v>
      </c>
      <c r="I9998">
        <v>57011405</v>
      </c>
    </row>
    <row r="9999" spans="1:9" x14ac:dyDescent="0.2">
      <c r="A9999" t="str">
        <f>"Gtf2f2"</f>
        <v>Gtf2f2</v>
      </c>
      <c r="B9999" t="s">
        <v>14</v>
      </c>
      <c r="C9999" t="s">
        <v>41</v>
      </c>
      <c r="D9999" t="s">
        <v>11</v>
      </c>
      <c r="E9999" t="s">
        <v>12</v>
      </c>
      <c r="F9999">
        <v>76010863</v>
      </c>
      <c r="G9999">
        <v>76010931</v>
      </c>
      <c r="H9999">
        <v>76010835</v>
      </c>
      <c r="I9999">
        <v>76010862</v>
      </c>
    </row>
    <row r="10000" spans="1:9" x14ac:dyDescent="0.2">
      <c r="A10000" t="str">
        <f>"Gtf2h1"</f>
        <v>Gtf2h1</v>
      </c>
      <c r="B10000" t="s">
        <v>14</v>
      </c>
      <c r="C10000" t="s">
        <v>33</v>
      </c>
      <c r="D10000" t="s">
        <v>17</v>
      </c>
      <c r="E10000" t="s">
        <v>12</v>
      </c>
      <c r="F10000">
        <v>46796088</v>
      </c>
      <c r="G10000">
        <v>46796134</v>
      </c>
      <c r="H10000">
        <v>46796088</v>
      </c>
      <c r="I10000">
        <v>46796134</v>
      </c>
    </row>
    <row r="10001" spans="1:9" x14ac:dyDescent="0.2">
      <c r="A10001" t="str">
        <f>"Gtf2h2"</f>
        <v>Gtf2h2</v>
      </c>
      <c r="B10001" t="s">
        <v>14</v>
      </c>
      <c r="C10001" t="s">
        <v>39</v>
      </c>
      <c r="D10001" t="s">
        <v>11</v>
      </c>
      <c r="E10001" t="s">
        <v>12</v>
      </c>
      <c r="F10001">
        <v>100492551</v>
      </c>
      <c r="G10001">
        <v>100492601</v>
      </c>
      <c r="H10001">
        <v>100492356</v>
      </c>
      <c r="I10001">
        <v>100492388</v>
      </c>
    </row>
    <row r="10002" spans="1:9" x14ac:dyDescent="0.2">
      <c r="A10002" t="str">
        <f>"Gtf2h3"</f>
        <v>Gtf2h3</v>
      </c>
      <c r="B10002" t="s">
        <v>14</v>
      </c>
      <c r="C10002" t="s">
        <v>46</v>
      </c>
      <c r="D10002" t="s">
        <v>17</v>
      </c>
      <c r="E10002" t="s">
        <v>12</v>
      </c>
      <c r="F10002">
        <v>124579134</v>
      </c>
      <c r="G10002">
        <v>124579184</v>
      </c>
      <c r="H10002">
        <v>124579134</v>
      </c>
      <c r="I10002">
        <v>124579184</v>
      </c>
    </row>
    <row r="10003" spans="1:9" x14ac:dyDescent="0.2">
      <c r="A10003" t="str">
        <f>"Gtf2h4"</f>
        <v>Gtf2h4</v>
      </c>
      <c r="B10003" t="s">
        <v>14</v>
      </c>
      <c r="C10003" t="s">
        <v>28</v>
      </c>
      <c r="D10003" t="s">
        <v>11</v>
      </c>
      <c r="E10003" t="s">
        <v>12</v>
      </c>
      <c r="F10003">
        <v>35673705</v>
      </c>
      <c r="G10003">
        <v>35673721</v>
      </c>
      <c r="H10003">
        <v>35673675</v>
      </c>
      <c r="I10003">
        <v>35673700</v>
      </c>
    </row>
    <row r="10004" spans="1:9" x14ac:dyDescent="0.2">
      <c r="A10004" t="str">
        <f>"Gtf2h5"</f>
        <v>Gtf2h5</v>
      </c>
      <c r="B10004" t="s">
        <v>14</v>
      </c>
      <c r="C10004" t="s">
        <v>28</v>
      </c>
      <c r="D10004" t="s">
        <v>17</v>
      </c>
      <c r="E10004" t="s">
        <v>12</v>
      </c>
      <c r="F10004">
        <v>6079821</v>
      </c>
      <c r="G10004">
        <v>6079892</v>
      </c>
      <c r="H10004">
        <v>6079928</v>
      </c>
      <c r="I10004">
        <v>6079939</v>
      </c>
    </row>
    <row r="10005" spans="1:9" x14ac:dyDescent="0.2">
      <c r="A10005" t="str">
        <f>"Gtf2i"</f>
        <v>Gtf2i</v>
      </c>
      <c r="B10005" t="s">
        <v>14</v>
      </c>
      <c r="C10005" t="s">
        <v>46</v>
      </c>
      <c r="D10005" t="s">
        <v>11</v>
      </c>
      <c r="E10005" t="s">
        <v>12</v>
      </c>
      <c r="F10005">
        <v>134314637</v>
      </c>
      <c r="G10005">
        <v>134314676</v>
      </c>
      <c r="H10005">
        <v>134314514</v>
      </c>
      <c r="I10005">
        <v>134314548</v>
      </c>
    </row>
    <row r="10006" spans="1:9" x14ac:dyDescent="0.2">
      <c r="A10006" t="str">
        <f>"Gtf2ird1"</f>
        <v>Gtf2ird1</v>
      </c>
      <c r="B10006" t="s">
        <v>14</v>
      </c>
      <c r="C10006" t="s">
        <v>46</v>
      </c>
      <c r="D10006" t="s">
        <v>11</v>
      </c>
      <c r="E10006" t="s">
        <v>12</v>
      </c>
      <c r="F10006">
        <v>134456702</v>
      </c>
      <c r="G10006">
        <v>134456785</v>
      </c>
      <c r="H10006">
        <v>134456227</v>
      </c>
      <c r="I10006">
        <v>134456263</v>
      </c>
    </row>
    <row r="10007" spans="1:9" x14ac:dyDescent="0.2">
      <c r="A10007" t="str">
        <f>"Gtf2ird2"</f>
        <v>Gtf2ird2</v>
      </c>
      <c r="B10007" t="s">
        <v>14</v>
      </c>
      <c r="C10007" t="s">
        <v>46</v>
      </c>
      <c r="D10007" t="s">
        <v>17</v>
      </c>
      <c r="E10007" t="s">
        <v>12</v>
      </c>
      <c r="F10007">
        <v>134183998</v>
      </c>
      <c r="G10007">
        <v>134184046</v>
      </c>
      <c r="H10007">
        <v>134184180</v>
      </c>
      <c r="I10007">
        <v>134184223</v>
      </c>
    </row>
    <row r="10008" spans="1:9" x14ac:dyDescent="0.2">
      <c r="A10008" t="str">
        <f>"Gtf3a"</f>
        <v>Gtf3a</v>
      </c>
      <c r="B10008" t="s">
        <v>14</v>
      </c>
      <c r="C10008" t="s">
        <v>46</v>
      </c>
      <c r="D10008" t="s">
        <v>17</v>
      </c>
      <c r="E10008" t="s">
        <v>12</v>
      </c>
      <c r="F10008">
        <v>146948640</v>
      </c>
      <c r="G10008">
        <v>146948716</v>
      </c>
      <c r="H10008">
        <v>146948729</v>
      </c>
      <c r="I10008">
        <v>146948748</v>
      </c>
    </row>
    <row r="10009" spans="1:9" x14ac:dyDescent="0.2">
      <c r="A10009" t="str">
        <f>"Gtf3c1"</f>
        <v>Gtf3c1</v>
      </c>
      <c r="B10009" t="s">
        <v>14</v>
      </c>
      <c r="C10009" t="s">
        <v>33</v>
      </c>
      <c r="D10009" t="s">
        <v>11</v>
      </c>
      <c r="E10009" t="s">
        <v>12</v>
      </c>
      <c r="F10009">
        <v>125707679</v>
      </c>
      <c r="G10009">
        <v>125707718</v>
      </c>
      <c r="H10009">
        <v>125707735</v>
      </c>
      <c r="I10009">
        <v>125707747</v>
      </c>
    </row>
    <row r="10010" spans="1:9" x14ac:dyDescent="0.2">
      <c r="A10010" t="str">
        <f>"Gtf3c2"</f>
        <v>Gtf3c2</v>
      </c>
      <c r="B10010" t="s">
        <v>14</v>
      </c>
      <c r="C10010" t="s">
        <v>46</v>
      </c>
      <c r="D10010" t="s">
        <v>11</v>
      </c>
      <c r="E10010" t="s">
        <v>12</v>
      </c>
      <c r="F10010">
        <v>31179901</v>
      </c>
      <c r="G10010">
        <v>31179942</v>
      </c>
      <c r="H10010">
        <v>31180110</v>
      </c>
      <c r="I10010">
        <v>31180158</v>
      </c>
    </row>
    <row r="10011" spans="1:9" x14ac:dyDescent="0.2">
      <c r="A10011" t="str">
        <f>"Gtf3c3"</f>
        <v>Gtf3c3</v>
      </c>
      <c r="B10011" t="s">
        <v>14</v>
      </c>
      <c r="C10011" t="s">
        <v>19</v>
      </c>
      <c r="D10011" t="s">
        <v>11</v>
      </c>
      <c r="E10011" t="s">
        <v>12</v>
      </c>
      <c r="F10011">
        <v>54438940</v>
      </c>
      <c r="G10011">
        <v>54438994</v>
      </c>
      <c r="H10011">
        <v>54439003</v>
      </c>
      <c r="I10011">
        <v>54439014</v>
      </c>
    </row>
    <row r="10012" spans="1:9" x14ac:dyDescent="0.2">
      <c r="A10012" t="str">
        <f>"Gtf3c4"</f>
        <v>Gtf3c4</v>
      </c>
      <c r="B10012" t="s">
        <v>14</v>
      </c>
      <c r="C10012" t="s">
        <v>26</v>
      </c>
      <c r="D10012" t="s">
        <v>11</v>
      </c>
      <c r="E10012" t="s">
        <v>12</v>
      </c>
      <c r="F10012">
        <v>28840274</v>
      </c>
      <c r="G10012">
        <v>28840358</v>
      </c>
      <c r="H10012">
        <v>28840604</v>
      </c>
      <c r="I10012">
        <v>28840626</v>
      </c>
    </row>
    <row r="10013" spans="1:9" x14ac:dyDescent="0.2">
      <c r="A10013" t="str">
        <f>"Gtf3c5"</f>
        <v>Gtf3c5</v>
      </c>
      <c r="B10013" t="s">
        <v>14</v>
      </c>
      <c r="C10013" t="s">
        <v>26</v>
      </c>
      <c r="D10013" t="s">
        <v>11</v>
      </c>
      <c r="E10013" t="s">
        <v>12</v>
      </c>
      <c r="F10013">
        <v>28582977</v>
      </c>
      <c r="G10013">
        <v>28582996</v>
      </c>
      <c r="H10013">
        <v>28583239</v>
      </c>
      <c r="I10013">
        <v>28583274</v>
      </c>
    </row>
    <row r="10014" spans="1:9" x14ac:dyDescent="0.2">
      <c r="A10014" t="str">
        <f>"Gtf3c6"</f>
        <v>Gtf3c6</v>
      </c>
      <c r="B10014" t="s">
        <v>14</v>
      </c>
      <c r="C10014" t="s">
        <v>15</v>
      </c>
      <c r="D10014" t="s">
        <v>11</v>
      </c>
      <c r="E10014" t="s">
        <v>12</v>
      </c>
      <c r="F10014">
        <v>40257648</v>
      </c>
      <c r="G10014">
        <v>40257687</v>
      </c>
      <c r="H10014">
        <v>40257648</v>
      </c>
      <c r="I10014">
        <v>40257687</v>
      </c>
    </row>
    <row r="10015" spans="1:9" x14ac:dyDescent="0.2">
      <c r="A10015" t="str">
        <f>"Gtl3"</f>
        <v>Gtl3</v>
      </c>
      <c r="B10015" t="s">
        <v>14</v>
      </c>
      <c r="C10015" t="s">
        <v>30</v>
      </c>
      <c r="D10015" t="s">
        <v>11</v>
      </c>
      <c r="E10015" t="s">
        <v>12</v>
      </c>
      <c r="F10015">
        <v>95434786</v>
      </c>
      <c r="G10015">
        <v>95434830</v>
      </c>
      <c r="H10015">
        <v>95434762</v>
      </c>
      <c r="I10015">
        <v>95434780</v>
      </c>
    </row>
    <row r="10016" spans="1:9" x14ac:dyDescent="0.2">
      <c r="A10016" t="str">
        <f>"Gtpbp1"</f>
        <v>Gtpbp1</v>
      </c>
      <c r="B10016" t="s">
        <v>14</v>
      </c>
      <c r="C10016" t="s">
        <v>25</v>
      </c>
      <c r="D10016" t="s">
        <v>17</v>
      </c>
      <c r="E10016" t="s">
        <v>12</v>
      </c>
      <c r="F10016">
        <v>79690869</v>
      </c>
      <c r="G10016">
        <v>79690905</v>
      </c>
      <c r="H10016">
        <v>79690624</v>
      </c>
      <c r="I10016">
        <v>79690635</v>
      </c>
    </row>
    <row r="10017" spans="1:9" x14ac:dyDescent="0.2">
      <c r="A10017" t="str">
        <f>"Gtpbp10"</f>
        <v>Gtpbp10</v>
      </c>
      <c r="B10017" t="s">
        <v>14</v>
      </c>
      <c r="C10017" t="s">
        <v>46</v>
      </c>
      <c r="D10017" t="s">
        <v>11</v>
      </c>
      <c r="E10017" t="s">
        <v>12</v>
      </c>
      <c r="F10017">
        <v>5559521</v>
      </c>
      <c r="G10017">
        <v>5559545</v>
      </c>
      <c r="H10017">
        <v>5559501</v>
      </c>
      <c r="I10017">
        <v>5559517</v>
      </c>
    </row>
    <row r="10018" spans="1:9" x14ac:dyDescent="0.2">
      <c r="A10018" t="str">
        <f>"Gtpbp2"</f>
        <v>Gtpbp2</v>
      </c>
      <c r="B10018" t="s">
        <v>14</v>
      </c>
      <c r="C10018" t="s">
        <v>28</v>
      </c>
      <c r="D10018" t="s">
        <v>17</v>
      </c>
      <c r="E10018" t="s">
        <v>12</v>
      </c>
      <c r="F10018">
        <v>46161021</v>
      </c>
      <c r="G10018">
        <v>46161072</v>
      </c>
      <c r="H10018">
        <v>46161126</v>
      </c>
      <c r="I10018">
        <v>46161148</v>
      </c>
    </row>
    <row r="10019" spans="1:9" x14ac:dyDescent="0.2">
      <c r="A10019" t="str">
        <f>"Gtpbp3"</f>
        <v>Gtpbp3</v>
      </c>
      <c r="B10019" t="s">
        <v>14</v>
      </c>
      <c r="C10019" t="s">
        <v>30</v>
      </c>
      <c r="D10019" t="s">
        <v>17</v>
      </c>
      <c r="E10019" t="s">
        <v>12</v>
      </c>
      <c r="F10019">
        <v>71488715</v>
      </c>
      <c r="G10019">
        <v>71488743</v>
      </c>
      <c r="H10019">
        <v>71488715</v>
      </c>
      <c r="I10019">
        <v>71488743</v>
      </c>
    </row>
    <row r="10020" spans="1:9" x14ac:dyDescent="0.2">
      <c r="A10020" t="str">
        <f>"Gtpbp4"</f>
        <v>Gtpbp4</v>
      </c>
      <c r="B10020" t="s">
        <v>14</v>
      </c>
      <c r="C10020" t="s">
        <v>39</v>
      </c>
      <c r="D10020" t="s">
        <v>11</v>
      </c>
      <c r="E10020" t="s">
        <v>12</v>
      </c>
      <c r="F10020">
        <v>8996004</v>
      </c>
      <c r="G10020">
        <v>8996052</v>
      </c>
      <c r="H10020">
        <v>8996057</v>
      </c>
      <c r="I10020">
        <v>8996068</v>
      </c>
    </row>
    <row r="10021" spans="1:9" x14ac:dyDescent="0.2">
      <c r="A10021" t="str">
        <f>"Gtpbp6"</f>
        <v>Gtpbp6</v>
      </c>
      <c r="B10021" t="s">
        <v>14</v>
      </c>
      <c r="C10021" t="s">
        <v>46</v>
      </c>
      <c r="D10021" t="s">
        <v>11</v>
      </c>
      <c r="E10021" t="s">
        <v>12</v>
      </c>
      <c r="F10021">
        <v>110108154</v>
      </c>
      <c r="G10021">
        <v>110108204</v>
      </c>
      <c r="H10021">
        <v>110108130</v>
      </c>
      <c r="I10021">
        <v>110108150</v>
      </c>
    </row>
    <row r="10022" spans="1:9" x14ac:dyDescent="0.2">
      <c r="A10022" t="str">
        <f>"Gtpbp8"</f>
        <v>Gtpbp8</v>
      </c>
      <c r="B10022" t="s">
        <v>14</v>
      </c>
      <c r="C10022" t="s">
        <v>31</v>
      </c>
      <c r="D10022" t="s">
        <v>11</v>
      </c>
      <c r="E10022" t="s">
        <v>12</v>
      </c>
      <c r="F10022">
        <v>44746337</v>
      </c>
      <c r="G10022">
        <v>44746368</v>
      </c>
      <c r="H10022">
        <v>44746278</v>
      </c>
      <c r="I10022">
        <v>44746300</v>
      </c>
    </row>
    <row r="10023" spans="1:9" x14ac:dyDescent="0.2">
      <c r="A10023" t="str">
        <f>"Gtse1"</f>
        <v>Gtse1</v>
      </c>
      <c r="B10023" t="s">
        <v>14</v>
      </c>
      <c r="C10023" t="s">
        <v>25</v>
      </c>
      <c r="D10023" t="s">
        <v>17</v>
      </c>
      <c r="E10023" t="s">
        <v>12</v>
      </c>
      <c r="F10023">
        <v>85859689</v>
      </c>
      <c r="G10023">
        <v>85859744</v>
      </c>
      <c r="H10023">
        <v>85859752</v>
      </c>
      <c r="I10023">
        <v>85859775</v>
      </c>
    </row>
    <row r="10024" spans="1:9" x14ac:dyDescent="0.2">
      <c r="A10024" t="str">
        <f>"Gtsf1"</f>
        <v>Gtsf1</v>
      </c>
      <c r="B10024" t="s">
        <v>14</v>
      </c>
      <c r="C10024" t="s">
        <v>25</v>
      </c>
      <c r="D10024" t="s">
        <v>11</v>
      </c>
      <c r="E10024" t="s">
        <v>12</v>
      </c>
      <c r="F10024">
        <v>103430388</v>
      </c>
      <c r="G10024">
        <v>103430431</v>
      </c>
      <c r="H10024">
        <v>103430359</v>
      </c>
      <c r="I10024">
        <v>103430373</v>
      </c>
    </row>
    <row r="10025" spans="1:9" x14ac:dyDescent="0.2">
      <c r="A10025" t="str">
        <f>"Gtsf1l"</f>
        <v>Gtsf1l</v>
      </c>
      <c r="B10025" t="s">
        <v>14</v>
      </c>
      <c r="C10025" t="s">
        <v>26</v>
      </c>
      <c r="D10025" t="s">
        <v>11</v>
      </c>
      <c r="E10025" t="s">
        <v>12</v>
      </c>
      <c r="F10025">
        <v>163087814</v>
      </c>
      <c r="G10025">
        <v>163087834</v>
      </c>
      <c r="H10025">
        <v>163087789</v>
      </c>
      <c r="I10025">
        <v>163087801</v>
      </c>
    </row>
    <row r="10026" spans="1:9" x14ac:dyDescent="0.2">
      <c r="A10026" t="str">
        <f>"Guca1a"</f>
        <v>Guca1a</v>
      </c>
      <c r="B10026" t="s">
        <v>14</v>
      </c>
      <c r="C10026" t="s">
        <v>28</v>
      </c>
      <c r="D10026" t="s">
        <v>11</v>
      </c>
      <c r="E10026" t="s">
        <v>12</v>
      </c>
      <c r="F10026">
        <v>47400549</v>
      </c>
      <c r="G10026">
        <v>47400571</v>
      </c>
      <c r="H10026">
        <v>47400585</v>
      </c>
      <c r="I10026">
        <v>47400599</v>
      </c>
    </row>
    <row r="10027" spans="1:9" x14ac:dyDescent="0.2">
      <c r="A10027" t="str">
        <f>"Guca1b"</f>
        <v>Guca1b</v>
      </c>
      <c r="B10027" t="s">
        <v>14</v>
      </c>
      <c r="C10027" t="s">
        <v>28</v>
      </c>
      <c r="D10027" t="s">
        <v>17</v>
      </c>
      <c r="E10027" t="s">
        <v>12</v>
      </c>
      <c r="F10027">
        <v>47385413</v>
      </c>
      <c r="G10027">
        <v>47385439</v>
      </c>
      <c r="H10027">
        <v>47385386</v>
      </c>
      <c r="I10027">
        <v>47385395</v>
      </c>
    </row>
    <row r="10028" spans="1:9" x14ac:dyDescent="0.2">
      <c r="A10028" t="str">
        <f>"Guca2a"</f>
        <v>Guca2a</v>
      </c>
      <c r="B10028" t="s">
        <v>14</v>
      </c>
      <c r="C10028" t="s">
        <v>23</v>
      </c>
      <c r="D10028" t="s">
        <v>17</v>
      </c>
      <c r="E10028" t="s">
        <v>12</v>
      </c>
      <c r="F10028">
        <v>119637704</v>
      </c>
      <c r="G10028">
        <v>119637721</v>
      </c>
      <c r="H10028">
        <v>119637727</v>
      </c>
      <c r="I10028">
        <v>119637739</v>
      </c>
    </row>
    <row r="10029" spans="1:9" x14ac:dyDescent="0.2">
      <c r="A10029" t="str">
        <f>"Guca2b"</f>
        <v>Guca2b</v>
      </c>
      <c r="B10029" t="s">
        <v>14</v>
      </c>
      <c r="C10029" t="s">
        <v>23</v>
      </c>
      <c r="D10029" t="s">
        <v>11</v>
      </c>
      <c r="E10029" t="s">
        <v>12</v>
      </c>
      <c r="F10029">
        <v>119658906</v>
      </c>
      <c r="G10029">
        <v>119658922</v>
      </c>
      <c r="H10029">
        <v>119658674</v>
      </c>
      <c r="I10029">
        <v>119658689</v>
      </c>
    </row>
    <row r="10030" spans="1:9" x14ac:dyDescent="0.2">
      <c r="A10030" t="str">
        <f>"Gucd1"</f>
        <v>Gucd1</v>
      </c>
      <c r="B10030" t="s">
        <v>14</v>
      </c>
      <c r="C10030" t="s">
        <v>15</v>
      </c>
      <c r="D10030" t="s">
        <v>11</v>
      </c>
      <c r="E10030" t="s">
        <v>67</v>
      </c>
      <c r="F10030">
        <v>75517324</v>
      </c>
      <c r="G10030">
        <v>75517362</v>
      </c>
      <c r="H10030">
        <v>75517273</v>
      </c>
      <c r="I10030">
        <v>75517309</v>
      </c>
    </row>
    <row r="10031" spans="1:9" x14ac:dyDescent="0.2">
      <c r="A10031" t="str">
        <f>"Gucy1a2"</f>
        <v>Gucy1a2</v>
      </c>
      <c r="B10031" t="s">
        <v>14</v>
      </c>
      <c r="C10031" t="s">
        <v>24</v>
      </c>
      <c r="D10031" t="s">
        <v>17</v>
      </c>
      <c r="E10031" t="s">
        <v>12</v>
      </c>
      <c r="F10031">
        <v>3532360</v>
      </c>
      <c r="G10031">
        <v>3532448</v>
      </c>
      <c r="H10031">
        <v>3532295</v>
      </c>
      <c r="I10031">
        <v>3532354</v>
      </c>
    </row>
    <row r="10032" spans="1:9" x14ac:dyDescent="0.2">
      <c r="A10032" t="str">
        <f>"Gucy1a3"</f>
        <v>Gucy1a3</v>
      </c>
      <c r="B10032" t="s">
        <v>14</v>
      </c>
      <c r="C10032" t="s">
        <v>22</v>
      </c>
      <c r="D10032" t="s">
        <v>11</v>
      </c>
      <c r="E10032" t="s">
        <v>12</v>
      </c>
      <c r="F10032">
        <v>82145758</v>
      </c>
      <c r="G10032">
        <v>82145843</v>
      </c>
      <c r="H10032">
        <v>82145865</v>
      </c>
      <c r="I10032">
        <v>82145883</v>
      </c>
    </row>
    <row r="10033" spans="1:9" x14ac:dyDescent="0.2">
      <c r="A10033" t="str">
        <f>"Gucy1b2"</f>
        <v>Gucy1b2</v>
      </c>
      <c r="B10033" t="s">
        <v>14</v>
      </c>
      <c r="C10033" t="s">
        <v>41</v>
      </c>
      <c r="D10033" t="s">
        <v>11</v>
      </c>
      <c r="E10033" t="s">
        <v>12</v>
      </c>
      <c r="F10033">
        <v>62454989</v>
      </c>
      <c r="G10033">
        <v>62454998</v>
      </c>
      <c r="H10033">
        <v>62454989</v>
      </c>
      <c r="I10033">
        <v>62454998</v>
      </c>
    </row>
    <row r="10034" spans="1:9" x14ac:dyDescent="0.2">
      <c r="A10034" t="str">
        <f>"Gucy1b3"</f>
        <v>Gucy1b3</v>
      </c>
      <c r="B10034" t="s">
        <v>14</v>
      </c>
      <c r="C10034" t="s">
        <v>22</v>
      </c>
      <c r="D10034" t="s">
        <v>11</v>
      </c>
      <c r="E10034" t="s">
        <v>12</v>
      </c>
      <c r="F10034">
        <v>82074639</v>
      </c>
      <c r="G10034">
        <v>82074716</v>
      </c>
      <c r="H10034">
        <v>82074639</v>
      </c>
      <c r="I10034">
        <v>82074716</v>
      </c>
    </row>
    <row r="10035" spans="1:9" x14ac:dyDescent="0.2">
      <c r="A10035" t="str">
        <f>"Gucy2c"</f>
        <v>Gucy2c</v>
      </c>
      <c r="B10035" t="s">
        <v>14</v>
      </c>
      <c r="C10035" t="s">
        <v>32</v>
      </c>
      <c r="D10035" t="s">
        <v>11</v>
      </c>
      <c r="E10035" t="s">
        <v>12</v>
      </c>
      <c r="F10035">
        <v>136781718</v>
      </c>
      <c r="G10035">
        <v>136781806</v>
      </c>
      <c r="H10035">
        <v>136781718</v>
      </c>
      <c r="I10035">
        <v>136781806</v>
      </c>
    </row>
    <row r="10036" spans="1:9" x14ac:dyDescent="0.2">
      <c r="A10036" t="str">
        <f>"Gucy2d"</f>
        <v>Gucy2d</v>
      </c>
      <c r="B10036" t="s">
        <v>4102</v>
      </c>
      <c r="C10036" t="s">
        <v>33</v>
      </c>
      <c r="D10036" t="s">
        <v>17</v>
      </c>
      <c r="E10036" t="s">
        <v>20</v>
      </c>
      <c r="F10036">
        <v>98443420</v>
      </c>
      <c r="G10036">
        <v>98443420</v>
      </c>
      <c r="H10036">
        <v>98443420</v>
      </c>
      <c r="I10036">
        <v>98443420</v>
      </c>
    </row>
    <row r="10037" spans="1:9" x14ac:dyDescent="0.2">
      <c r="A10037" t="str">
        <f>"Gucy2e"</f>
        <v>Gucy2e</v>
      </c>
      <c r="B10037" t="s">
        <v>14</v>
      </c>
      <c r="C10037" t="s">
        <v>27</v>
      </c>
      <c r="D10037" t="s">
        <v>11</v>
      </c>
      <c r="E10037" t="s">
        <v>12</v>
      </c>
      <c r="F10037">
        <v>69237029</v>
      </c>
      <c r="G10037">
        <v>69237044</v>
      </c>
      <c r="H10037">
        <v>69237029</v>
      </c>
      <c r="I10037">
        <v>69237044</v>
      </c>
    </row>
    <row r="10038" spans="1:9" x14ac:dyDescent="0.2">
      <c r="A10038" t="str">
        <f>"Gucy2f"</f>
        <v>Gucy2f</v>
      </c>
      <c r="B10038" t="s">
        <v>14</v>
      </c>
      <c r="C10038" t="s">
        <v>37</v>
      </c>
      <c r="D10038" t="s">
        <v>11</v>
      </c>
      <c r="E10038" t="s">
        <v>12</v>
      </c>
      <c r="F10038">
        <v>142196961</v>
      </c>
      <c r="G10038">
        <v>142196982</v>
      </c>
      <c r="H10038">
        <v>142196917</v>
      </c>
      <c r="I10038">
        <v>142196924</v>
      </c>
    </row>
    <row r="10039" spans="1:9" x14ac:dyDescent="0.2">
      <c r="A10039" t="str">
        <f>"Gucy2g"</f>
        <v>Gucy2g</v>
      </c>
      <c r="B10039" t="s">
        <v>14</v>
      </c>
      <c r="C10039" t="s">
        <v>10</v>
      </c>
      <c r="D10039" t="s">
        <v>11</v>
      </c>
      <c r="E10039" t="s">
        <v>12</v>
      </c>
      <c r="F10039">
        <v>55217440</v>
      </c>
      <c r="G10039">
        <v>55217470</v>
      </c>
      <c r="H10039">
        <v>55217515</v>
      </c>
      <c r="I10039">
        <v>55217534</v>
      </c>
    </row>
    <row r="10040" spans="1:9" x14ac:dyDescent="0.2">
      <c r="A10040" t="str">
        <f>"Guf1"</f>
        <v>Guf1</v>
      </c>
      <c r="B10040" t="s">
        <v>14</v>
      </c>
      <c r="C10040" t="s">
        <v>46</v>
      </c>
      <c r="D10040" t="s">
        <v>17</v>
      </c>
      <c r="E10040" t="s">
        <v>12</v>
      </c>
      <c r="F10040">
        <v>69556936</v>
      </c>
      <c r="G10040">
        <v>69557018</v>
      </c>
      <c r="H10040">
        <v>69556917</v>
      </c>
      <c r="I10040">
        <v>69556928</v>
      </c>
    </row>
    <row r="10041" spans="1:9" x14ac:dyDescent="0.2">
      <c r="A10041" t="str">
        <f>"Guk1"</f>
        <v>Guk1</v>
      </c>
      <c r="B10041" t="s">
        <v>9</v>
      </c>
      <c r="C10041" t="s">
        <v>27</v>
      </c>
      <c r="D10041" t="s">
        <v>11</v>
      </c>
      <c r="E10041" t="s">
        <v>12</v>
      </c>
      <c r="F10041">
        <v>59191791</v>
      </c>
      <c r="G10041">
        <v>59191843</v>
      </c>
      <c r="H10041">
        <v>59191791</v>
      </c>
      <c r="I10041">
        <v>59191843</v>
      </c>
    </row>
    <row r="10042" spans="1:9" x14ac:dyDescent="0.2">
      <c r="A10042" t="str">
        <f>"Guk1"</f>
        <v>Guk1</v>
      </c>
      <c r="B10042" t="s">
        <v>13</v>
      </c>
      <c r="C10042" t="s">
        <v>27</v>
      </c>
      <c r="D10042" t="s">
        <v>11</v>
      </c>
      <c r="E10042" t="s">
        <v>12</v>
      </c>
      <c r="F10042">
        <v>59187738</v>
      </c>
      <c r="G10042">
        <v>59187767</v>
      </c>
      <c r="H10042">
        <v>59187738</v>
      </c>
      <c r="I10042">
        <v>59187767</v>
      </c>
    </row>
    <row r="10043" spans="1:9" x14ac:dyDescent="0.2">
      <c r="A10043" t="str">
        <f>"Gulo"</f>
        <v>Gulo</v>
      </c>
      <c r="B10043" t="s">
        <v>14</v>
      </c>
      <c r="C10043" t="s">
        <v>41</v>
      </c>
      <c r="D10043" t="s">
        <v>11</v>
      </c>
      <c r="E10043" t="s">
        <v>12</v>
      </c>
      <c r="F10043">
        <v>66009168</v>
      </c>
      <c r="G10043">
        <v>66009194</v>
      </c>
      <c r="H10043">
        <v>66009204</v>
      </c>
      <c r="I10043">
        <v>66009235</v>
      </c>
    </row>
    <row r="10044" spans="1:9" x14ac:dyDescent="0.2">
      <c r="A10044" t="str">
        <f>"Gulp1"</f>
        <v>Gulp1</v>
      </c>
      <c r="B10044" t="s">
        <v>14</v>
      </c>
      <c r="C10044" t="s">
        <v>19</v>
      </c>
      <c r="D10044" t="s">
        <v>17</v>
      </c>
      <c r="E10044" t="s">
        <v>12</v>
      </c>
      <c r="F10044">
        <v>44551650</v>
      </c>
      <c r="G10044">
        <v>44551704</v>
      </c>
      <c r="H10044">
        <v>44551560</v>
      </c>
      <c r="I10044">
        <v>44551566</v>
      </c>
    </row>
    <row r="10045" spans="1:9" x14ac:dyDescent="0.2">
      <c r="A10045" t="str">
        <f>"Gusb"</f>
        <v>Gusb</v>
      </c>
      <c r="B10045" t="s">
        <v>14</v>
      </c>
      <c r="C10045" t="s">
        <v>46</v>
      </c>
      <c r="D10045" t="s">
        <v>11</v>
      </c>
      <c r="E10045" t="s">
        <v>12</v>
      </c>
      <c r="F10045">
        <v>130002838</v>
      </c>
      <c r="G10045">
        <v>130002893</v>
      </c>
      <c r="H10045">
        <v>130002813</v>
      </c>
      <c r="I10045">
        <v>130002834</v>
      </c>
    </row>
    <row r="10046" spans="1:9" x14ac:dyDescent="0.2">
      <c r="A10046" t="str">
        <f>"Gvin1"</f>
        <v>Gvin1</v>
      </c>
      <c r="B10046" t="s">
        <v>4103</v>
      </c>
      <c r="C10046" t="s">
        <v>33</v>
      </c>
      <c r="D10046" t="s">
        <v>11</v>
      </c>
      <c r="E10046" t="s">
        <v>20</v>
      </c>
      <c r="F10046">
        <v>106215317</v>
      </c>
      <c r="G10046">
        <v>106215317</v>
      </c>
      <c r="H10046">
        <v>106215317</v>
      </c>
      <c r="I10046">
        <v>106215317</v>
      </c>
    </row>
    <row r="10047" spans="1:9" x14ac:dyDescent="0.2">
      <c r="A10047" t="str">
        <f>"Gxylt1"</f>
        <v>Gxylt1</v>
      </c>
      <c r="B10047" t="s">
        <v>14</v>
      </c>
      <c r="C10047" t="s">
        <v>25</v>
      </c>
      <c r="D10047" t="s">
        <v>11</v>
      </c>
      <c r="E10047" t="s">
        <v>12</v>
      </c>
      <c r="F10047">
        <v>93275154</v>
      </c>
      <c r="G10047">
        <v>93275178</v>
      </c>
      <c r="H10047">
        <v>93275122</v>
      </c>
      <c r="I10047">
        <v>93275143</v>
      </c>
    </row>
    <row r="10048" spans="1:9" x14ac:dyDescent="0.2">
      <c r="A10048" t="str">
        <f>"Gxylt2"</f>
        <v>Gxylt2</v>
      </c>
      <c r="B10048" t="s">
        <v>14</v>
      </c>
      <c r="C10048" t="s">
        <v>32</v>
      </c>
      <c r="D10048" t="s">
        <v>17</v>
      </c>
      <c r="E10048" t="s">
        <v>12</v>
      </c>
      <c r="F10048">
        <v>100704709</v>
      </c>
      <c r="G10048">
        <v>100704742</v>
      </c>
      <c r="H10048">
        <v>100704743</v>
      </c>
      <c r="I10048">
        <v>100704760</v>
      </c>
    </row>
    <row r="10049" spans="1:9" x14ac:dyDescent="0.2">
      <c r="A10049" t="str">
        <f>"Gyg"</f>
        <v>Gyg</v>
      </c>
      <c r="B10049" t="s">
        <v>4104</v>
      </c>
      <c r="C10049" t="s">
        <v>22</v>
      </c>
      <c r="D10049" t="s">
        <v>11</v>
      </c>
      <c r="E10049" t="s">
        <v>35</v>
      </c>
      <c r="F10049">
        <v>20155124</v>
      </c>
      <c r="G10049">
        <v>20155129</v>
      </c>
      <c r="H10049">
        <v>20155090</v>
      </c>
      <c r="I10049">
        <v>20155122</v>
      </c>
    </row>
    <row r="10050" spans="1:9" x14ac:dyDescent="0.2">
      <c r="A10050" t="str">
        <f>"Gyk"</f>
        <v>Gyk</v>
      </c>
      <c r="B10050" t="s">
        <v>14</v>
      </c>
      <c r="C10050" t="s">
        <v>37</v>
      </c>
      <c r="D10050" t="s">
        <v>11</v>
      </c>
      <c r="E10050" t="s">
        <v>12</v>
      </c>
      <c r="F10050">
        <v>85776606</v>
      </c>
      <c r="G10050">
        <v>85776643</v>
      </c>
      <c r="H10050">
        <v>85776555</v>
      </c>
      <c r="I10050">
        <v>85776580</v>
      </c>
    </row>
    <row r="10051" spans="1:9" x14ac:dyDescent="0.2">
      <c r="A10051" t="str">
        <f>"Gykl1"</f>
        <v>Gykl1</v>
      </c>
      <c r="B10051" t="s">
        <v>14</v>
      </c>
      <c r="C10051" t="s">
        <v>43</v>
      </c>
      <c r="D10051" t="s">
        <v>17</v>
      </c>
      <c r="E10051" t="s">
        <v>12</v>
      </c>
      <c r="F10051">
        <v>52693682</v>
      </c>
      <c r="G10051">
        <v>52693713</v>
      </c>
      <c r="H10051">
        <v>52693667</v>
      </c>
      <c r="I10051">
        <v>52693670</v>
      </c>
    </row>
    <row r="10052" spans="1:9" x14ac:dyDescent="0.2">
      <c r="A10052" t="str">
        <f>"Gyltl1b"</f>
        <v>Gyltl1b</v>
      </c>
      <c r="B10052" t="s">
        <v>14</v>
      </c>
      <c r="C10052" t="s">
        <v>26</v>
      </c>
      <c r="D10052" t="s">
        <v>11</v>
      </c>
      <c r="E10052" t="s">
        <v>12</v>
      </c>
      <c r="F10052">
        <v>92370999</v>
      </c>
      <c r="G10052">
        <v>92371036</v>
      </c>
      <c r="H10052">
        <v>92371039</v>
      </c>
      <c r="I10052">
        <v>92371062</v>
      </c>
    </row>
    <row r="10053" spans="1:9" x14ac:dyDescent="0.2">
      <c r="A10053" t="str">
        <f>"Gypa"</f>
        <v>Gypa</v>
      </c>
      <c r="B10053" t="s">
        <v>14</v>
      </c>
      <c r="C10053" t="s">
        <v>30</v>
      </c>
      <c r="D10053" t="s">
        <v>17</v>
      </c>
      <c r="E10053" t="s">
        <v>12</v>
      </c>
      <c r="F10053">
        <v>80494032</v>
      </c>
      <c r="G10053">
        <v>80494065</v>
      </c>
      <c r="H10053">
        <v>80494032</v>
      </c>
      <c r="I10053">
        <v>80494065</v>
      </c>
    </row>
    <row r="10054" spans="1:9" x14ac:dyDescent="0.2">
      <c r="A10054" t="str">
        <f>"Gypc"</f>
        <v>Gypc</v>
      </c>
      <c r="B10054" t="s">
        <v>14</v>
      </c>
      <c r="C10054" t="s">
        <v>43</v>
      </c>
      <c r="D10054" t="s">
        <v>11</v>
      </c>
      <c r="E10054" t="s">
        <v>12</v>
      </c>
      <c r="F10054">
        <v>32559914</v>
      </c>
      <c r="G10054">
        <v>32560018</v>
      </c>
      <c r="H10054">
        <v>32559914</v>
      </c>
      <c r="I10054">
        <v>32560018</v>
      </c>
    </row>
    <row r="10055" spans="1:9" x14ac:dyDescent="0.2">
      <c r="A10055" t="str">
        <f>"Gys1"</f>
        <v>Gys1</v>
      </c>
      <c r="B10055" t="s">
        <v>14</v>
      </c>
      <c r="C10055" t="s">
        <v>33</v>
      </c>
      <c r="D10055" t="s">
        <v>17</v>
      </c>
      <c r="E10055" t="s">
        <v>12</v>
      </c>
      <c r="F10055">
        <v>45434833</v>
      </c>
      <c r="G10055">
        <v>45434871</v>
      </c>
      <c r="H10055">
        <v>45434876</v>
      </c>
      <c r="I10055">
        <v>45434889</v>
      </c>
    </row>
    <row r="10056" spans="1:9" x14ac:dyDescent="0.2">
      <c r="A10056" t="str">
        <f>"Gys2"</f>
        <v>Gys2</v>
      </c>
      <c r="B10056" t="s">
        <v>14</v>
      </c>
      <c r="C10056" t="s">
        <v>32</v>
      </c>
      <c r="D10056" t="s">
        <v>11</v>
      </c>
      <c r="E10056" t="s">
        <v>12</v>
      </c>
      <c r="F10056">
        <v>142473075</v>
      </c>
      <c r="G10056">
        <v>142473115</v>
      </c>
      <c r="H10056">
        <v>142473075</v>
      </c>
      <c r="I10056">
        <v>142473115</v>
      </c>
    </row>
    <row r="10057" spans="1:9" x14ac:dyDescent="0.2">
      <c r="A10057" t="str">
        <f>"Gzf1"</f>
        <v>Gzf1</v>
      </c>
      <c r="B10057" t="s">
        <v>14</v>
      </c>
      <c r="C10057" t="s">
        <v>26</v>
      </c>
      <c r="D10057" t="s">
        <v>17</v>
      </c>
      <c r="E10057" t="s">
        <v>12</v>
      </c>
      <c r="F10057">
        <v>148681154</v>
      </c>
      <c r="G10057">
        <v>148681197</v>
      </c>
      <c r="H10057">
        <v>148681199</v>
      </c>
      <c r="I10057">
        <v>148681218</v>
      </c>
    </row>
    <row r="10058" spans="1:9" x14ac:dyDescent="0.2">
      <c r="A10058" t="str">
        <f>"Gzma"</f>
        <v>Gzma</v>
      </c>
      <c r="B10058" t="s">
        <v>14</v>
      </c>
      <c r="C10058" t="s">
        <v>39</v>
      </c>
      <c r="D10058" t="s">
        <v>11</v>
      </c>
      <c r="E10058" t="s">
        <v>12</v>
      </c>
      <c r="F10058">
        <v>113100971</v>
      </c>
      <c r="G10058">
        <v>113100988</v>
      </c>
      <c r="H10058">
        <v>113100971</v>
      </c>
      <c r="I10058">
        <v>113100988</v>
      </c>
    </row>
    <row r="10059" spans="1:9" x14ac:dyDescent="0.2">
      <c r="A10059" t="str">
        <f>"Gzmb"</f>
        <v>Gzmb</v>
      </c>
      <c r="B10059" t="s">
        <v>14</v>
      </c>
      <c r="C10059" t="s">
        <v>41</v>
      </c>
      <c r="D10059" t="s">
        <v>11</v>
      </c>
      <c r="E10059" t="s">
        <v>12</v>
      </c>
      <c r="F10059">
        <v>56262233</v>
      </c>
      <c r="G10059">
        <v>56262248</v>
      </c>
      <c r="H10059">
        <v>56262172</v>
      </c>
      <c r="I10059">
        <v>56262187</v>
      </c>
    </row>
    <row r="10060" spans="1:9" x14ac:dyDescent="0.2">
      <c r="A10060" t="str">
        <f>"Gzmc"</f>
        <v>Gzmc</v>
      </c>
      <c r="B10060" t="s">
        <v>14</v>
      </c>
      <c r="C10060" t="s">
        <v>41</v>
      </c>
      <c r="D10060" t="s">
        <v>11</v>
      </c>
      <c r="E10060" t="s">
        <v>12</v>
      </c>
      <c r="F10060">
        <v>56234650</v>
      </c>
      <c r="G10060">
        <v>56234655</v>
      </c>
      <c r="H10060">
        <v>56234650</v>
      </c>
      <c r="I10060">
        <v>56234655</v>
      </c>
    </row>
    <row r="10061" spans="1:9" x14ac:dyDescent="0.2">
      <c r="A10061" t="str">
        <f>"Gzmd"</f>
        <v>Gzmd</v>
      </c>
      <c r="B10061" t="s">
        <v>14</v>
      </c>
      <c r="C10061" t="s">
        <v>41</v>
      </c>
      <c r="D10061" t="s">
        <v>11</v>
      </c>
      <c r="E10061" t="s">
        <v>12</v>
      </c>
      <c r="F10061">
        <v>56132590</v>
      </c>
      <c r="G10061">
        <v>56132595</v>
      </c>
      <c r="H10061">
        <v>56132590</v>
      </c>
      <c r="I10061">
        <v>56132595</v>
      </c>
    </row>
    <row r="10062" spans="1:9" x14ac:dyDescent="0.2">
      <c r="A10062" t="str">
        <f>"Gzme"</f>
        <v>Gzme</v>
      </c>
      <c r="B10062" t="s">
        <v>14</v>
      </c>
      <c r="C10062" t="s">
        <v>41</v>
      </c>
      <c r="D10062" t="s">
        <v>11</v>
      </c>
      <c r="E10062" t="s">
        <v>12</v>
      </c>
      <c r="F10062">
        <v>56132590</v>
      </c>
      <c r="G10062">
        <v>56132595</v>
      </c>
      <c r="H10062">
        <v>56132590</v>
      </c>
      <c r="I10062">
        <v>56132595</v>
      </c>
    </row>
    <row r="10063" spans="1:9" x14ac:dyDescent="0.2">
      <c r="A10063" t="str">
        <f>"Gzmf"</f>
        <v>Gzmf</v>
      </c>
      <c r="B10063" t="s">
        <v>14</v>
      </c>
      <c r="C10063" t="s">
        <v>41</v>
      </c>
      <c r="D10063" t="s">
        <v>11</v>
      </c>
      <c r="E10063" t="s">
        <v>12</v>
      </c>
      <c r="F10063">
        <v>56211423</v>
      </c>
      <c r="G10063">
        <v>56211430</v>
      </c>
      <c r="H10063">
        <v>56211423</v>
      </c>
      <c r="I10063">
        <v>56211430</v>
      </c>
    </row>
    <row r="10064" spans="1:9" x14ac:dyDescent="0.2">
      <c r="A10064" t="str">
        <f>"Gzmg"</f>
        <v>Gzmg</v>
      </c>
      <c r="B10064" t="s">
        <v>14</v>
      </c>
      <c r="C10064" t="s">
        <v>41</v>
      </c>
      <c r="D10064" t="s">
        <v>11</v>
      </c>
      <c r="E10064" t="s">
        <v>12</v>
      </c>
      <c r="F10064">
        <v>56159590</v>
      </c>
      <c r="G10064">
        <v>56159597</v>
      </c>
      <c r="H10064">
        <v>56159590</v>
      </c>
      <c r="I10064">
        <v>56159597</v>
      </c>
    </row>
    <row r="10065" spans="1:9" x14ac:dyDescent="0.2">
      <c r="A10065" t="str">
        <f>"Gzmk"</f>
        <v>Gzmk</v>
      </c>
      <c r="B10065" t="s">
        <v>14</v>
      </c>
      <c r="C10065" t="s">
        <v>39</v>
      </c>
      <c r="D10065" t="s">
        <v>11</v>
      </c>
      <c r="E10065" t="s">
        <v>12</v>
      </c>
      <c r="F10065">
        <v>113180956</v>
      </c>
      <c r="G10065">
        <v>113180967</v>
      </c>
      <c r="H10065">
        <v>113180956</v>
      </c>
      <c r="I10065">
        <v>113180967</v>
      </c>
    </row>
    <row r="10066" spans="1:9" x14ac:dyDescent="0.2">
      <c r="A10066" t="str">
        <f>"Gzmm"</f>
        <v>Gzmm</v>
      </c>
      <c r="B10066" t="s">
        <v>14</v>
      </c>
      <c r="C10066" t="s">
        <v>15</v>
      </c>
      <c r="D10066" t="s">
        <v>17</v>
      </c>
      <c r="E10066" t="s">
        <v>12</v>
      </c>
      <c r="F10066">
        <v>79689375</v>
      </c>
      <c r="G10066">
        <v>79689403</v>
      </c>
      <c r="H10066">
        <v>79689375</v>
      </c>
      <c r="I10066">
        <v>79689403</v>
      </c>
    </row>
    <row r="10067" spans="1:9" x14ac:dyDescent="0.2">
      <c r="A10067" t="str">
        <f>"Gzmn"</f>
        <v>Gzmn</v>
      </c>
      <c r="B10067" t="s">
        <v>14</v>
      </c>
      <c r="C10067" t="s">
        <v>41</v>
      </c>
      <c r="D10067" t="s">
        <v>11</v>
      </c>
      <c r="E10067" t="s">
        <v>12</v>
      </c>
      <c r="F10067">
        <v>56174589</v>
      </c>
      <c r="G10067">
        <v>56174602</v>
      </c>
      <c r="H10067">
        <v>56174604</v>
      </c>
      <c r="I10067">
        <v>56174611</v>
      </c>
    </row>
    <row r="10068" spans="1:9" x14ac:dyDescent="0.2">
      <c r="A10068" t="str">
        <f>"H13"</f>
        <v>H13</v>
      </c>
      <c r="B10068" t="s">
        <v>9</v>
      </c>
      <c r="C10068" t="s">
        <v>26</v>
      </c>
      <c r="D10068" t="s">
        <v>17</v>
      </c>
      <c r="E10068" t="s">
        <v>12</v>
      </c>
      <c r="F10068">
        <v>152669462</v>
      </c>
      <c r="G10068">
        <v>152669539</v>
      </c>
      <c r="H10068">
        <v>152669462</v>
      </c>
      <c r="I10068">
        <v>152669539</v>
      </c>
    </row>
    <row r="10069" spans="1:9" x14ac:dyDescent="0.2">
      <c r="A10069" t="str">
        <f>"H13"</f>
        <v>H13</v>
      </c>
      <c r="B10069" t="s">
        <v>13</v>
      </c>
      <c r="C10069" t="s">
        <v>26</v>
      </c>
      <c r="D10069" t="s">
        <v>17</v>
      </c>
      <c r="E10069" t="s">
        <v>12</v>
      </c>
      <c r="F10069">
        <v>152691759</v>
      </c>
      <c r="G10069">
        <v>152691770</v>
      </c>
      <c r="H10069">
        <v>152691759</v>
      </c>
      <c r="I10069">
        <v>152691770</v>
      </c>
    </row>
    <row r="10070" spans="1:9" x14ac:dyDescent="0.2">
      <c r="A10070" t="str">
        <f>"H1f0"</f>
        <v>H1f0</v>
      </c>
      <c r="B10070" t="s">
        <v>14</v>
      </c>
      <c r="C10070" t="s">
        <v>25</v>
      </c>
      <c r="D10070" t="s">
        <v>17</v>
      </c>
      <c r="E10070" t="s">
        <v>12</v>
      </c>
      <c r="F10070">
        <v>79028442</v>
      </c>
      <c r="G10070">
        <v>79028456</v>
      </c>
      <c r="H10070">
        <v>79028442</v>
      </c>
      <c r="I10070">
        <v>79028456</v>
      </c>
    </row>
    <row r="10071" spans="1:9" x14ac:dyDescent="0.2">
      <c r="A10071" t="str">
        <f>"H1fnt"</f>
        <v>H1fnt</v>
      </c>
      <c r="B10071" t="s">
        <v>14</v>
      </c>
      <c r="C10071" t="s">
        <v>25</v>
      </c>
      <c r="D10071" t="s">
        <v>11</v>
      </c>
      <c r="E10071" t="s">
        <v>12</v>
      </c>
      <c r="F10071">
        <v>98257296</v>
      </c>
      <c r="G10071">
        <v>98257312</v>
      </c>
      <c r="H10071">
        <v>98257409</v>
      </c>
      <c r="I10071">
        <v>98257432</v>
      </c>
    </row>
    <row r="10072" spans="1:9" x14ac:dyDescent="0.2">
      <c r="A10072" t="str">
        <f>"H1foo"</f>
        <v>H1foo</v>
      </c>
      <c r="B10072" t="s">
        <v>14</v>
      </c>
      <c r="C10072" t="s">
        <v>32</v>
      </c>
      <c r="D10072" t="s">
        <v>17</v>
      </c>
      <c r="E10072" t="s">
        <v>12</v>
      </c>
      <c r="F10072">
        <v>115944936</v>
      </c>
      <c r="G10072">
        <v>115944943</v>
      </c>
      <c r="H10072">
        <v>115944936</v>
      </c>
      <c r="I10072">
        <v>115944943</v>
      </c>
    </row>
    <row r="10073" spans="1:9" x14ac:dyDescent="0.2">
      <c r="A10073" t="str">
        <f>"H1fx"</f>
        <v>H1fx</v>
      </c>
      <c r="B10073" t="s">
        <v>14</v>
      </c>
      <c r="C10073" t="s">
        <v>32</v>
      </c>
      <c r="D10073" t="s">
        <v>11</v>
      </c>
      <c r="E10073" t="s">
        <v>12</v>
      </c>
      <c r="F10073">
        <v>87981629</v>
      </c>
      <c r="G10073">
        <v>87981645</v>
      </c>
      <c r="H10073">
        <v>87981629</v>
      </c>
      <c r="I10073">
        <v>87981645</v>
      </c>
    </row>
    <row r="10074" spans="1:9" x14ac:dyDescent="0.2">
      <c r="A10074" t="str">
        <f>"H2-Aa"</f>
        <v>H2-Aa</v>
      </c>
      <c r="B10074" t="s">
        <v>14</v>
      </c>
      <c r="C10074" t="s">
        <v>28</v>
      </c>
      <c r="D10074" t="s">
        <v>11</v>
      </c>
      <c r="E10074" t="s">
        <v>12</v>
      </c>
      <c r="F10074">
        <v>34287770</v>
      </c>
      <c r="G10074">
        <v>34287830</v>
      </c>
      <c r="H10074">
        <v>34287770</v>
      </c>
      <c r="I10074">
        <v>34287830</v>
      </c>
    </row>
    <row r="10075" spans="1:9" x14ac:dyDescent="0.2">
      <c r="A10075" t="str">
        <f>"H2-Ab1"</f>
        <v>H2-Ab1</v>
      </c>
      <c r="B10075" t="s">
        <v>14</v>
      </c>
      <c r="C10075" t="s">
        <v>28</v>
      </c>
      <c r="D10075" t="s">
        <v>17</v>
      </c>
      <c r="E10075" t="s">
        <v>12</v>
      </c>
      <c r="F10075">
        <v>34263224</v>
      </c>
      <c r="G10075">
        <v>34263256</v>
      </c>
      <c r="H10075">
        <v>34263224</v>
      </c>
      <c r="I10075">
        <v>34263256</v>
      </c>
    </row>
    <row r="10076" spans="1:9" x14ac:dyDescent="0.2">
      <c r="A10076" t="str">
        <f>"H2-D1"</f>
        <v>H2-D1</v>
      </c>
      <c r="B10076" t="s">
        <v>14</v>
      </c>
      <c r="C10076" t="s">
        <v>28</v>
      </c>
      <c r="D10076" t="s">
        <v>17</v>
      </c>
      <c r="E10076" t="s">
        <v>12</v>
      </c>
      <c r="F10076">
        <v>35263087</v>
      </c>
      <c r="G10076">
        <v>35263100</v>
      </c>
      <c r="H10076">
        <v>35262734</v>
      </c>
      <c r="I10076">
        <v>35262775</v>
      </c>
    </row>
    <row r="10077" spans="1:9" x14ac:dyDescent="0.2">
      <c r="A10077" t="str">
        <f>"H2-DMa"</f>
        <v>H2-DMa</v>
      </c>
      <c r="B10077" t="s">
        <v>9</v>
      </c>
      <c r="C10077" t="s">
        <v>28</v>
      </c>
      <c r="D10077" t="s">
        <v>17</v>
      </c>
      <c r="E10077" t="s">
        <v>12</v>
      </c>
      <c r="F10077">
        <v>34135581</v>
      </c>
      <c r="G10077">
        <v>34135671</v>
      </c>
      <c r="H10077">
        <v>34135581</v>
      </c>
      <c r="I10077">
        <v>34135671</v>
      </c>
    </row>
    <row r="10078" spans="1:9" x14ac:dyDescent="0.2">
      <c r="A10078" t="str">
        <f>"H2-DMa"</f>
        <v>H2-DMa</v>
      </c>
      <c r="B10078" t="s">
        <v>13</v>
      </c>
      <c r="C10078" t="s">
        <v>28</v>
      </c>
      <c r="D10078" t="s">
        <v>17</v>
      </c>
      <c r="E10078" t="s">
        <v>12</v>
      </c>
      <c r="F10078">
        <v>34122815</v>
      </c>
      <c r="G10078">
        <v>34122883</v>
      </c>
      <c r="H10078">
        <v>34122815</v>
      </c>
      <c r="I10078">
        <v>34122883</v>
      </c>
    </row>
    <row r="10079" spans="1:9" x14ac:dyDescent="0.2">
      <c r="A10079" t="str">
        <f>"H2-DMb1"</f>
        <v>H2-DMb1</v>
      </c>
      <c r="B10079" t="s">
        <v>9</v>
      </c>
      <c r="C10079" t="s">
        <v>28</v>
      </c>
      <c r="D10079" t="s">
        <v>17</v>
      </c>
      <c r="E10079" t="s">
        <v>12</v>
      </c>
      <c r="F10079">
        <v>34153165</v>
      </c>
      <c r="G10079">
        <v>34153239</v>
      </c>
      <c r="H10079">
        <v>34153165</v>
      </c>
      <c r="I10079">
        <v>34153239</v>
      </c>
    </row>
    <row r="10080" spans="1:9" x14ac:dyDescent="0.2">
      <c r="A10080" t="str">
        <f>"H2-DMb1"</f>
        <v>H2-DMb1</v>
      </c>
      <c r="B10080" t="s">
        <v>13</v>
      </c>
      <c r="C10080" t="s">
        <v>28</v>
      </c>
      <c r="D10080" t="s">
        <v>17</v>
      </c>
      <c r="E10080" t="s">
        <v>12</v>
      </c>
      <c r="F10080">
        <v>34145383</v>
      </c>
      <c r="G10080">
        <v>34145404</v>
      </c>
      <c r="H10080">
        <v>34145383</v>
      </c>
      <c r="I10080">
        <v>34145404</v>
      </c>
    </row>
    <row r="10081" spans="1:9" x14ac:dyDescent="0.2">
      <c r="A10081" t="str">
        <f>"H2-DMb2"</f>
        <v>H2-DMb2</v>
      </c>
      <c r="B10081" t="s">
        <v>9</v>
      </c>
      <c r="C10081" t="s">
        <v>28</v>
      </c>
      <c r="D10081" t="s">
        <v>17</v>
      </c>
      <c r="E10081" t="s">
        <v>12</v>
      </c>
      <c r="F10081">
        <v>34145231</v>
      </c>
      <c r="G10081">
        <v>34145265</v>
      </c>
      <c r="H10081">
        <v>34145231</v>
      </c>
      <c r="I10081">
        <v>34145265</v>
      </c>
    </row>
    <row r="10082" spans="1:9" x14ac:dyDescent="0.2">
      <c r="A10082" t="str">
        <f>"H2-DMb2"</f>
        <v>H2-DMb2</v>
      </c>
      <c r="B10082" t="s">
        <v>13</v>
      </c>
      <c r="C10082" t="s">
        <v>28</v>
      </c>
      <c r="D10082" t="s">
        <v>17</v>
      </c>
      <c r="E10082" t="s">
        <v>12</v>
      </c>
      <c r="F10082">
        <v>34143341</v>
      </c>
      <c r="G10082">
        <v>34143375</v>
      </c>
      <c r="H10082">
        <v>34143341</v>
      </c>
      <c r="I10082">
        <v>34143375</v>
      </c>
    </row>
    <row r="10083" spans="1:9" x14ac:dyDescent="0.2">
      <c r="A10083" t="str">
        <f>"H2-Eb1"</f>
        <v>H2-Eb1</v>
      </c>
      <c r="B10083" t="s">
        <v>14</v>
      </c>
      <c r="C10083" t="s">
        <v>28</v>
      </c>
      <c r="D10083" t="s">
        <v>17</v>
      </c>
      <c r="E10083" t="s">
        <v>12</v>
      </c>
      <c r="F10083">
        <v>34305889</v>
      </c>
      <c r="G10083">
        <v>34305909</v>
      </c>
      <c r="H10083">
        <v>34305889</v>
      </c>
      <c r="I10083">
        <v>34305909</v>
      </c>
    </row>
    <row r="10084" spans="1:9" x14ac:dyDescent="0.2">
      <c r="A10084" t="str">
        <f>"H2-Eb2"</f>
        <v>H2-Eb2</v>
      </c>
      <c r="B10084" t="s">
        <v>14</v>
      </c>
      <c r="C10084" t="s">
        <v>28</v>
      </c>
      <c r="D10084" t="s">
        <v>17</v>
      </c>
      <c r="E10084" t="s">
        <v>12</v>
      </c>
      <c r="F10084">
        <v>34325658</v>
      </c>
      <c r="G10084">
        <v>34325679</v>
      </c>
      <c r="H10084">
        <v>34325658</v>
      </c>
      <c r="I10084">
        <v>34325679</v>
      </c>
    </row>
    <row r="10085" spans="1:9" x14ac:dyDescent="0.2">
      <c r="A10085" t="str">
        <f>"H2-K1"</f>
        <v>H2-K1</v>
      </c>
      <c r="B10085" t="s">
        <v>14</v>
      </c>
      <c r="C10085" t="s">
        <v>28</v>
      </c>
      <c r="D10085" t="s">
        <v>11</v>
      </c>
      <c r="E10085" t="s">
        <v>12</v>
      </c>
      <c r="F10085">
        <v>34000276</v>
      </c>
      <c r="G10085">
        <v>34000290</v>
      </c>
      <c r="H10085">
        <v>33999466</v>
      </c>
      <c r="I10085">
        <v>33999487</v>
      </c>
    </row>
    <row r="10086" spans="1:9" x14ac:dyDescent="0.2">
      <c r="A10086" t="str">
        <f>"H2-Ke2"</f>
        <v>H2-Ke2</v>
      </c>
      <c r="B10086" t="s">
        <v>14</v>
      </c>
      <c r="C10086" t="s">
        <v>28</v>
      </c>
      <c r="D10086" t="s">
        <v>11</v>
      </c>
      <c r="E10086" t="s">
        <v>12</v>
      </c>
      <c r="F10086">
        <v>33940299</v>
      </c>
      <c r="G10086">
        <v>33940342</v>
      </c>
      <c r="H10086">
        <v>33940126</v>
      </c>
      <c r="I10086">
        <v>33940152</v>
      </c>
    </row>
    <row r="10087" spans="1:9" x14ac:dyDescent="0.2">
      <c r="A10087" t="str">
        <f>"H2-Ke6"</f>
        <v>H2-Ke6</v>
      </c>
      <c r="B10087" t="s">
        <v>14</v>
      </c>
      <c r="C10087" t="s">
        <v>28</v>
      </c>
      <c r="D10087" t="s">
        <v>11</v>
      </c>
      <c r="E10087" t="s">
        <v>12</v>
      </c>
      <c r="F10087">
        <v>34028044</v>
      </c>
      <c r="G10087">
        <v>34028076</v>
      </c>
      <c r="H10087">
        <v>34027837</v>
      </c>
      <c r="I10087">
        <v>34027882</v>
      </c>
    </row>
    <row r="10088" spans="1:9" x14ac:dyDescent="0.2">
      <c r="A10088" t="str">
        <f>"H2-M1"</f>
        <v>H2-M1</v>
      </c>
      <c r="B10088" t="s">
        <v>14</v>
      </c>
      <c r="C10088" t="s">
        <v>28</v>
      </c>
      <c r="D10088" t="s">
        <v>11</v>
      </c>
      <c r="E10088" t="s">
        <v>12</v>
      </c>
      <c r="F10088">
        <v>36672215</v>
      </c>
      <c r="G10088">
        <v>36672217</v>
      </c>
      <c r="H10088">
        <v>36672215</v>
      </c>
      <c r="I10088">
        <v>36672217</v>
      </c>
    </row>
    <row r="10089" spans="1:9" x14ac:dyDescent="0.2">
      <c r="A10089" t="str">
        <f>"H2-M10.1"</f>
        <v>H2-M10.1</v>
      </c>
      <c r="B10089" t="s">
        <v>4105</v>
      </c>
      <c r="C10089" t="s">
        <v>28</v>
      </c>
      <c r="D10089" t="s">
        <v>11</v>
      </c>
      <c r="E10089" t="s">
        <v>20</v>
      </c>
      <c r="F10089">
        <v>36326154</v>
      </c>
      <c r="G10089">
        <v>36326154</v>
      </c>
      <c r="H10089">
        <v>36326154</v>
      </c>
      <c r="I10089">
        <v>36326154</v>
      </c>
    </row>
    <row r="10090" spans="1:9" x14ac:dyDescent="0.2">
      <c r="A10090" t="str">
        <f>"H2-M10.2"</f>
        <v>H2-M10.2</v>
      </c>
      <c r="B10090" t="s">
        <v>4106</v>
      </c>
      <c r="C10090" t="s">
        <v>28</v>
      </c>
      <c r="D10090" t="s">
        <v>11</v>
      </c>
      <c r="E10090" t="s">
        <v>20</v>
      </c>
      <c r="F10090">
        <v>36286489</v>
      </c>
      <c r="G10090">
        <v>36286489</v>
      </c>
      <c r="H10090">
        <v>36286489</v>
      </c>
      <c r="I10090">
        <v>36286489</v>
      </c>
    </row>
    <row r="10091" spans="1:9" x14ac:dyDescent="0.2">
      <c r="A10091" t="str">
        <f>"H2-M10.3"</f>
        <v>H2-M10.3</v>
      </c>
      <c r="B10091" t="s">
        <v>4107</v>
      </c>
      <c r="C10091" t="s">
        <v>28</v>
      </c>
      <c r="D10091" t="s">
        <v>11</v>
      </c>
      <c r="E10091" t="s">
        <v>20</v>
      </c>
      <c r="F10091">
        <v>36368416</v>
      </c>
      <c r="G10091">
        <v>36368416</v>
      </c>
      <c r="H10091">
        <v>36368416</v>
      </c>
      <c r="I10091">
        <v>36368416</v>
      </c>
    </row>
    <row r="10092" spans="1:9" x14ac:dyDescent="0.2">
      <c r="A10092" t="str">
        <f>"H2-M10.4"</f>
        <v>H2-M10.4</v>
      </c>
      <c r="B10092" t="s">
        <v>4108</v>
      </c>
      <c r="C10092" t="s">
        <v>28</v>
      </c>
      <c r="D10092" t="s">
        <v>11</v>
      </c>
      <c r="E10092" t="s">
        <v>20</v>
      </c>
      <c r="F10092">
        <v>36462330</v>
      </c>
      <c r="G10092">
        <v>36462330</v>
      </c>
      <c r="H10092">
        <v>36462330</v>
      </c>
      <c r="I10092">
        <v>36462330</v>
      </c>
    </row>
    <row r="10093" spans="1:9" x14ac:dyDescent="0.2">
      <c r="A10093" t="str">
        <f>"H2-M10.5"</f>
        <v>H2-M10.5</v>
      </c>
      <c r="B10093" t="s">
        <v>4109</v>
      </c>
      <c r="C10093" t="s">
        <v>28</v>
      </c>
      <c r="D10093" t="s">
        <v>17</v>
      </c>
      <c r="E10093" t="s">
        <v>20</v>
      </c>
      <c r="F10093">
        <v>36772909</v>
      </c>
      <c r="G10093">
        <v>36772909</v>
      </c>
      <c r="H10093">
        <v>36772909</v>
      </c>
      <c r="I10093">
        <v>36772909</v>
      </c>
    </row>
    <row r="10094" spans="1:9" x14ac:dyDescent="0.2">
      <c r="A10094" t="str">
        <f>"H2-M10.6"</f>
        <v>H2-M10.6</v>
      </c>
      <c r="B10094" t="s">
        <v>4110</v>
      </c>
      <c r="C10094" t="s">
        <v>28</v>
      </c>
      <c r="D10094" t="s">
        <v>17</v>
      </c>
      <c r="E10094" t="s">
        <v>20</v>
      </c>
      <c r="F10094">
        <v>36812170</v>
      </c>
      <c r="G10094">
        <v>36812170</v>
      </c>
      <c r="H10094">
        <v>36812170</v>
      </c>
      <c r="I10094">
        <v>36812170</v>
      </c>
    </row>
    <row r="10095" spans="1:9" x14ac:dyDescent="0.2">
      <c r="A10095" t="str">
        <f>"H2-M11"</f>
        <v>H2-M11</v>
      </c>
      <c r="B10095" t="s">
        <v>4111</v>
      </c>
      <c r="C10095" t="s">
        <v>28</v>
      </c>
      <c r="D10095" t="s">
        <v>17</v>
      </c>
      <c r="E10095" t="s">
        <v>20</v>
      </c>
      <c r="F10095">
        <v>36547074</v>
      </c>
      <c r="G10095">
        <v>36547074</v>
      </c>
      <c r="H10095">
        <v>36547074</v>
      </c>
      <c r="I10095">
        <v>36547074</v>
      </c>
    </row>
    <row r="10096" spans="1:9" x14ac:dyDescent="0.2">
      <c r="A10096" t="str">
        <f>"H2-M2"</f>
        <v>H2-M2</v>
      </c>
      <c r="B10096" t="s">
        <v>14</v>
      </c>
      <c r="C10096" t="s">
        <v>28</v>
      </c>
      <c r="D10096" t="s">
        <v>11</v>
      </c>
      <c r="E10096" t="s">
        <v>12</v>
      </c>
      <c r="F10096">
        <v>37483543</v>
      </c>
      <c r="G10096">
        <v>37483559</v>
      </c>
      <c r="H10096">
        <v>37483570</v>
      </c>
      <c r="I10096">
        <v>37483581</v>
      </c>
    </row>
    <row r="10097" spans="1:9" x14ac:dyDescent="0.2">
      <c r="A10097" t="str">
        <f>"H2-M3"</f>
        <v>H2-M3</v>
      </c>
      <c r="B10097" t="s">
        <v>14</v>
      </c>
      <c r="C10097" t="s">
        <v>28</v>
      </c>
      <c r="D10097" t="s">
        <v>17</v>
      </c>
      <c r="E10097" t="s">
        <v>12</v>
      </c>
      <c r="F10097">
        <v>37270214</v>
      </c>
      <c r="G10097">
        <v>37270249</v>
      </c>
      <c r="H10097">
        <v>37270255</v>
      </c>
      <c r="I10097">
        <v>37270260</v>
      </c>
    </row>
    <row r="10098" spans="1:9" x14ac:dyDescent="0.2">
      <c r="A10098" t="str">
        <f>"H2-M5"</f>
        <v>H2-M5</v>
      </c>
      <c r="B10098" t="s">
        <v>14</v>
      </c>
      <c r="C10098" t="s">
        <v>28</v>
      </c>
      <c r="D10098" t="s">
        <v>11</v>
      </c>
      <c r="E10098" t="s">
        <v>12</v>
      </c>
      <c r="F10098">
        <v>36989528</v>
      </c>
      <c r="G10098">
        <v>36989536</v>
      </c>
      <c r="H10098">
        <v>36989528</v>
      </c>
      <c r="I10098">
        <v>36989536</v>
      </c>
    </row>
    <row r="10099" spans="1:9" x14ac:dyDescent="0.2">
      <c r="A10099" t="str">
        <f>"H2-M9"</f>
        <v>H2-M9</v>
      </c>
      <c r="B10099" t="s">
        <v>14</v>
      </c>
      <c r="C10099" t="s">
        <v>28</v>
      </c>
      <c r="D10099" t="s">
        <v>11</v>
      </c>
      <c r="E10099" t="s">
        <v>12</v>
      </c>
      <c r="F10099">
        <v>36642661</v>
      </c>
      <c r="G10099">
        <v>36642664</v>
      </c>
      <c r="H10099">
        <v>36642661</v>
      </c>
      <c r="I10099">
        <v>36642664</v>
      </c>
    </row>
    <row r="10100" spans="1:9" x14ac:dyDescent="0.2">
      <c r="A10100" t="str">
        <f>"H2-Oa"</f>
        <v>H2-Oa</v>
      </c>
      <c r="B10100" t="s">
        <v>14</v>
      </c>
      <c r="C10100" t="s">
        <v>28</v>
      </c>
      <c r="D10100" t="s">
        <v>17</v>
      </c>
      <c r="E10100" t="s">
        <v>12</v>
      </c>
      <c r="F10100">
        <v>34092376</v>
      </c>
      <c r="G10100">
        <v>34092421</v>
      </c>
      <c r="H10100">
        <v>34092355</v>
      </c>
      <c r="I10100">
        <v>34092366</v>
      </c>
    </row>
    <row r="10101" spans="1:9" x14ac:dyDescent="0.2">
      <c r="A10101" t="str">
        <f>"H2-Ob"</f>
        <v>H2-Ob</v>
      </c>
      <c r="B10101" t="s">
        <v>14</v>
      </c>
      <c r="C10101" t="s">
        <v>28</v>
      </c>
      <c r="D10101" t="s">
        <v>17</v>
      </c>
      <c r="E10101" t="s">
        <v>12</v>
      </c>
      <c r="F10101">
        <v>34238914</v>
      </c>
      <c r="G10101">
        <v>34238964</v>
      </c>
      <c r="H10101">
        <v>34238914</v>
      </c>
      <c r="I10101">
        <v>34238964</v>
      </c>
    </row>
    <row r="10102" spans="1:9" x14ac:dyDescent="0.2">
      <c r="A10102" t="str">
        <f>"H2-Q1"</f>
        <v>H2-Q1</v>
      </c>
      <c r="B10102" t="s">
        <v>14</v>
      </c>
      <c r="C10102" t="s">
        <v>28</v>
      </c>
      <c r="D10102" t="s">
        <v>17</v>
      </c>
      <c r="E10102" t="s">
        <v>12</v>
      </c>
      <c r="F10102">
        <v>35320529</v>
      </c>
      <c r="G10102">
        <v>35320557</v>
      </c>
      <c r="H10102">
        <v>35320529</v>
      </c>
      <c r="I10102">
        <v>35320557</v>
      </c>
    </row>
    <row r="10103" spans="1:9" x14ac:dyDescent="0.2">
      <c r="A10103" t="str">
        <f>"H2-Q10"</f>
        <v>H2-Q10</v>
      </c>
      <c r="B10103" t="s">
        <v>14</v>
      </c>
      <c r="C10103" t="s">
        <v>28</v>
      </c>
      <c r="D10103" t="s">
        <v>17</v>
      </c>
      <c r="E10103" t="s">
        <v>12</v>
      </c>
      <c r="F10103">
        <v>35470083</v>
      </c>
      <c r="G10103">
        <v>35470095</v>
      </c>
      <c r="H10103">
        <v>35469929</v>
      </c>
      <c r="I10103">
        <v>35469965</v>
      </c>
    </row>
    <row r="10104" spans="1:9" x14ac:dyDescent="0.2">
      <c r="A10104" t="str">
        <f>"H2-Q2"</f>
        <v>H2-Q2</v>
      </c>
      <c r="B10104" t="s">
        <v>14</v>
      </c>
      <c r="C10104" t="s">
        <v>28</v>
      </c>
      <c r="D10104" t="s">
        <v>17</v>
      </c>
      <c r="E10104" t="s">
        <v>12</v>
      </c>
      <c r="F10104">
        <v>35342299</v>
      </c>
      <c r="G10104">
        <v>35342330</v>
      </c>
      <c r="H10104">
        <v>35342299</v>
      </c>
      <c r="I10104">
        <v>35342330</v>
      </c>
    </row>
    <row r="10105" spans="1:9" x14ac:dyDescent="0.2">
      <c r="A10105" t="str">
        <f>"H2-Q4"</f>
        <v>H2-Q4</v>
      </c>
      <c r="B10105" t="s">
        <v>14</v>
      </c>
      <c r="C10105" t="s">
        <v>28</v>
      </c>
      <c r="D10105" t="s">
        <v>17</v>
      </c>
      <c r="E10105" t="s">
        <v>12</v>
      </c>
      <c r="F10105">
        <v>35379608</v>
      </c>
      <c r="G10105">
        <v>35379637</v>
      </c>
      <c r="H10105">
        <v>35379608</v>
      </c>
      <c r="I10105">
        <v>35379637</v>
      </c>
    </row>
    <row r="10106" spans="1:9" x14ac:dyDescent="0.2">
      <c r="A10106" t="str">
        <f>"H2-Q6"</f>
        <v>H2-Q6</v>
      </c>
      <c r="B10106" t="s">
        <v>14</v>
      </c>
      <c r="C10106" t="s">
        <v>28</v>
      </c>
      <c r="D10106" t="s">
        <v>17</v>
      </c>
      <c r="E10106" t="s">
        <v>12</v>
      </c>
      <c r="F10106">
        <v>35424842</v>
      </c>
      <c r="G10106">
        <v>35424856</v>
      </c>
      <c r="H10106">
        <v>35424870</v>
      </c>
      <c r="I10106">
        <v>35424885</v>
      </c>
    </row>
    <row r="10107" spans="1:9" x14ac:dyDescent="0.2">
      <c r="A10107" t="str">
        <f>"H2-Q7"</f>
        <v>H2-Q7</v>
      </c>
      <c r="B10107" t="s">
        <v>14</v>
      </c>
      <c r="C10107" t="s">
        <v>28</v>
      </c>
      <c r="D10107" t="s">
        <v>17</v>
      </c>
      <c r="E10107" t="s">
        <v>12</v>
      </c>
      <c r="F10107">
        <v>35439192</v>
      </c>
      <c r="G10107">
        <v>35439195</v>
      </c>
      <c r="H10107">
        <v>35439192</v>
      </c>
      <c r="I10107">
        <v>35439195</v>
      </c>
    </row>
    <row r="10108" spans="1:9" x14ac:dyDescent="0.2">
      <c r="A10108" t="str">
        <f>"H2-T22"</f>
        <v>H2-T22</v>
      </c>
      <c r="B10108" t="s">
        <v>14</v>
      </c>
      <c r="C10108" t="s">
        <v>28</v>
      </c>
      <c r="D10108" t="s">
        <v>11</v>
      </c>
      <c r="E10108" t="s">
        <v>12</v>
      </c>
      <c r="F10108">
        <v>36042721</v>
      </c>
      <c r="G10108">
        <v>36042750</v>
      </c>
      <c r="H10108">
        <v>36042721</v>
      </c>
      <c r="I10108">
        <v>36042750</v>
      </c>
    </row>
    <row r="10109" spans="1:9" x14ac:dyDescent="0.2">
      <c r="A10109" t="str">
        <f>"H2-T23"</f>
        <v>H2-T23</v>
      </c>
      <c r="B10109" t="s">
        <v>14</v>
      </c>
      <c r="C10109" t="s">
        <v>28</v>
      </c>
      <c r="D10109" t="s">
        <v>11</v>
      </c>
      <c r="E10109" t="s">
        <v>12</v>
      </c>
      <c r="F10109">
        <v>36032682</v>
      </c>
      <c r="G10109">
        <v>36032742</v>
      </c>
      <c r="H10109">
        <v>36032531</v>
      </c>
      <c r="I10109">
        <v>36032544</v>
      </c>
    </row>
    <row r="10110" spans="1:9" x14ac:dyDescent="0.2">
      <c r="A10110" t="str">
        <f>"H2-T24"</f>
        <v>H2-T24</v>
      </c>
      <c r="B10110" t="s">
        <v>14</v>
      </c>
      <c r="C10110" t="s">
        <v>28</v>
      </c>
      <c r="D10110" t="s">
        <v>11</v>
      </c>
      <c r="E10110" t="s">
        <v>12</v>
      </c>
      <c r="F10110">
        <v>36020528</v>
      </c>
      <c r="G10110">
        <v>36020570</v>
      </c>
      <c r="H10110">
        <v>36020528</v>
      </c>
      <c r="I10110">
        <v>36020570</v>
      </c>
    </row>
    <row r="10111" spans="1:9" x14ac:dyDescent="0.2">
      <c r="A10111" t="str">
        <f>"H2-T3"</f>
        <v>H2-T3</v>
      </c>
      <c r="B10111" t="s">
        <v>14</v>
      </c>
      <c r="C10111" t="s">
        <v>28</v>
      </c>
      <c r="D10111" t="s">
        <v>11</v>
      </c>
      <c r="E10111" t="s">
        <v>12</v>
      </c>
      <c r="F10111">
        <v>36190121</v>
      </c>
      <c r="G10111">
        <v>36190158</v>
      </c>
      <c r="H10111">
        <v>36189863</v>
      </c>
      <c r="I10111">
        <v>36189909</v>
      </c>
    </row>
    <row r="10112" spans="1:9" x14ac:dyDescent="0.2">
      <c r="A10112" t="str">
        <f>"H2afb1"</f>
        <v>H2afb1</v>
      </c>
      <c r="B10112" t="s">
        <v>14</v>
      </c>
      <c r="C10112" t="s">
        <v>26</v>
      </c>
      <c r="D10112" t="s">
        <v>11</v>
      </c>
      <c r="E10112" t="s">
        <v>12</v>
      </c>
      <c r="F10112">
        <v>17996924</v>
      </c>
      <c r="G10112">
        <v>17996945</v>
      </c>
      <c r="H10112">
        <v>17996917</v>
      </c>
      <c r="I10112">
        <v>17996919</v>
      </c>
    </row>
    <row r="10113" spans="1:9" x14ac:dyDescent="0.2">
      <c r="A10113" t="str">
        <f>"H2afb2"</f>
        <v>H2afb2</v>
      </c>
      <c r="B10113" t="s">
        <v>4112</v>
      </c>
      <c r="C10113" t="s">
        <v>37</v>
      </c>
      <c r="D10113" t="s">
        <v>17</v>
      </c>
      <c r="E10113" t="s">
        <v>20</v>
      </c>
      <c r="F10113">
        <v>116681177</v>
      </c>
      <c r="G10113">
        <v>116681177</v>
      </c>
      <c r="H10113">
        <v>116681177</v>
      </c>
      <c r="I10113">
        <v>116681177</v>
      </c>
    </row>
    <row r="10114" spans="1:9" x14ac:dyDescent="0.2">
      <c r="A10114" t="str">
        <f>"H2afb3"</f>
        <v>H2afb3</v>
      </c>
      <c r="B10114" t="s">
        <v>4113</v>
      </c>
      <c r="C10114" t="s">
        <v>37</v>
      </c>
      <c r="D10114" t="s">
        <v>11</v>
      </c>
      <c r="E10114" t="s">
        <v>20</v>
      </c>
      <c r="F10114">
        <v>120313094</v>
      </c>
      <c r="G10114">
        <v>120313094</v>
      </c>
      <c r="H10114">
        <v>120313094</v>
      </c>
      <c r="I10114">
        <v>120313094</v>
      </c>
    </row>
    <row r="10115" spans="1:9" x14ac:dyDescent="0.2">
      <c r="A10115" t="str">
        <f>"H2afj"</f>
        <v>H2afj</v>
      </c>
      <c r="B10115" t="s">
        <v>14</v>
      </c>
      <c r="C10115" t="s">
        <v>32</v>
      </c>
      <c r="D10115" t="s">
        <v>17</v>
      </c>
      <c r="E10115" t="s">
        <v>12</v>
      </c>
      <c r="F10115">
        <v>136808263</v>
      </c>
      <c r="G10115">
        <v>136808345</v>
      </c>
      <c r="H10115">
        <v>136808248</v>
      </c>
      <c r="I10115">
        <v>136808261</v>
      </c>
    </row>
    <row r="10116" spans="1:9" x14ac:dyDescent="0.2">
      <c r="A10116" t="str">
        <f>"H2afv"</f>
        <v>H2afv</v>
      </c>
      <c r="B10116" t="s">
        <v>14</v>
      </c>
      <c r="C10116" t="s">
        <v>27</v>
      </c>
      <c r="D10116" t="s">
        <v>11</v>
      </c>
      <c r="E10116" t="s">
        <v>12</v>
      </c>
      <c r="F10116">
        <v>6444384</v>
      </c>
      <c r="G10116">
        <v>6444439</v>
      </c>
      <c r="H10116">
        <v>6444384</v>
      </c>
      <c r="I10116">
        <v>6444439</v>
      </c>
    </row>
    <row r="10117" spans="1:9" x14ac:dyDescent="0.2">
      <c r="A10117" t="str">
        <f>"H2afx"</f>
        <v>H2afx</v>
      </c>
      <c r="B10117" t="s">
        <v>14</v>
      </c>
      <c r="C10117" t="s">
        <v>24</v>
      </c>
      <c r="D10117" t="s">
        <v>17</v>
      </c>
      <c r="E10117" t="s">
        <v>12</v>
      </c>
      <c r="F10117">
        <v>44334685</v>
      </c>
      <c r="G10117">
        <v>44334704</v>
      </c>
      <c r="H10117">
        <v>44334685</v>
      </c>
      <c r="I10117">
        <v>44334704</v>
      </c>
    </row>
    <row r="10118" spans="1:9" x14ac:dyDescent="0.2">
      <c r="A10118" t="str">
        <f>"H2afy"</f>
        <v>H2afy</v>
      </c>
      <c r="B10118" t="s">
        <v>14</v>
      </c>
      <c r="C10118" t="s">
        <v>39</v>
      </c>
      <c r="D10118" t="s">
        <v>11</v>
      </c>
      <c r="E10118" t="s">
        <v>12</v>
      </c>
      <c r="F10118">
        <v>56135472</v>
      </c>
      <c r="G10118">
        <v>56135508</v>
      </c>
      <c r="H10118">
        <v>56135518</v>
      </c>
      <c r="I10118">
        <v>56135538</v>
      </c>
    </row>
    <row r="10119" spans="1:9" x14ac:dyDescent="0.2">
      <c r="A10119" t="str">
        <f>"H2afy2"</f>
        <v>H2afy2</v>
      </c>
      <c r="B10119" t="s">
        <v>14</v>
      </c>
      <c r="C10119" t="s">
        <v>15</v>
      </c>
      <c r="D10119" t="s">
        <v>11</v>
      </c>
      <c r="E10119" t="s">
        <v>12</v>
      </c>
      <c r="F10119">
        <v>61783921</v>
      </c>
      <c r="G10119">
        <v>61783959</v>
      </c>
      <c r="H10119">
        <v>61783961</v>
      </c>
      <c r="I10119">
        <v>61783974</v>
      </c>
    </row>
    <row r="10120" spans="1:9" x14ac:dyDescent="0.2">
      <c r="A10120" t="str">
        <f>"H2afz"</f>
        <v>H2afz</v>
      </c>
      <c r="B10120" t="s">
        <v>14</v>
      </c>
      <c r="C10120" t="s">
        <v>22</v>
      </c>
      <c r="D10120" t="s">
        <v>17</v>
      </c>
      <c r="E10120" t="s">
        <v>12</v>
      </c>
      <c r="F10120">
        <v>137864535</v>
      </c>
      <c r="G10120">
        <v>137864564</v>
      </c>
      <c r="H10120">
        <v>137864573</v>
      </c>
      <c r="I10120">
        <v>137864591</v>
      </c>
    </row>
    <row r="10121" spans="1:9" x14ac:dyDescent="0.2">
      <c r="A10121" t="str">
        <f>"H2bfm"</f>
        <v>H2bfm</v>
      </c>
      <c r="B10121" t="s">
        <v>14</v>
      </c>
      <c r="C10121" t="s">
        <v>37</v>
      </c>
      <c r="D10121" t="s">
        <v>17</v>
      </c>
      <c r="E10121" t="s">
        <v>67</v>
      </c>
      <c r="F10121">
        <v>136927320</v>
      </c>
      <c r="G10121">
        <v>136927329</v>
      </c>
      <c r="H10121">
        <v>136927320</v>
      </c>
      <c r="I10121">
        <v>136927329</v>
      </c>
    </row>
    <row r="10122" spans="1:9" x14ac:dyDescent="0.2">
      <c r="A10122" t="str">
        <f>"H3f3a"</f>
        <v>H3f3a</v>
      </c>
      <c r="B10122" t="s">
        <v>14</v>
      </c>
      <c r="C10122" t="s">
        <v>19</v>
      </c>
      <c r="D10122" t="s">
        <v>11</v>
      </c>
      <c r="E10122" t="s">
        <v>12</v>
      </c>
      <c r="F10122">
        <v>180813549</v>
      </c>
      <c r="G10122">
        <v>180813583</v>
      </c>
      <c r="H10122">
        <v>180813549</v>
      </c>
      <c r="I10122">
        <v>180813583</v>
      </c>
    </row>
    <row r="10123" spans="1:9" x14ac:dyDescent="0.2">
      <c r="A10123" t="str">
        <f>"H3f3b"</f>
        <v>H3f3b</v>
      </c>
      <c r="B10123" t="s">
        <v>4114</v>
      </c>
      <c r="C10123" t="s">
        <v>27</v>
      </c>
      <c r="D10123" t="s">
        <v>11</v>
      </c>
      <c r="E10123" t="s">
        <v>35</v>
      </c>
      <c r="F10123">
        <v>116024598</v>
      </c>
      <c r="G10123">
        <v>116024644</v>
      </c>
      <c r="H10123">
        <v>116024369</v>
      </c>
      <c r="I10123">
        <v>116024392</v>
      </c>
    </row>
    <row r="10124" spans="1:9" x14ac:dyDescent="0.2">
      <c r="A10124" t="str">
        <f>"H3f3b"</f>
        <v>H3f3b</v>
      </c>
      <c r="B10124" t="s">
        <v>4115</v>
      </c>
      <c r="C10124" t="s">
        <v>27</v>
      </c>
      <c r="D10124" t="s">
        <v>11</v>
      </c>
      <c r="E10124" t="s">
        <v>35</v>
      </c>
      <c r="F10124">
        <v>116027961</v>
      </c>
      <c r="G10124">
        <v>116027978</v>
      </c>
      <c r="H10124">
        <v>116027937</v>
      </c>
      <c r="I10124">
        <v>116027944</v>
      </c>
    </row>
    <row r="10125" spans="1:9" x14ac:dyDescent="0.2">
      <c r="A10125" t="str">
        <f>"H60b"</f>
        <v>H60b</v>
      </c>
      <c r="B10125" t="s">
        <v>9</v>
      </c>
      <c r="C10125" t="s">
        <v>15</v>
      </c>
      <c r="D10125" t="s">
        <v>17</v>
      </c>
      <c r="E10125" t="s">
        <v>12</v>
      </c>
      <c r="F10125">
        <v>22158566</v>
      </c>
      <c r="G10125">
        <v>22158584</v>
      </c>
      <c r="H10125">
        <v>22158566</v>
      </c>
      <c r="I10125">
        <v>22158584</v>
      </c>
    </row>
    <row r="10126" spans="1:9" x14ac:dyDescent="0.2">
      <c r="A10126" t="str">
        <f>"H60b"</f>
        <v>H60b</v>
      </c>
      <c r="B10126" t="s">
        <v>13</v>
      </c>
      <c r="C10126" t="s">
        <v>15</v>
      </c>
      <c r="D10126" t="s">
        <v>17</v>
      </c>
      <c r="E10126" t="s">
        <v>12</v>
      </c>
      <c r="F10126">
        <v>22273377</v>
      </c>
      <c r="G10126">
        <v>22273415</v>
      </c>
      <c r="H10126">
        <v>22273377</v>
      </c>
      <c r="I10126">
        <v>22273415</v>
      </c>
    </row>
    <row r="10127" spans="1:9" x14ac:dyDescent="0.2">
      <c r="A10127" t="str">
        <f>"H60c"</f>
        <v>H60c</v>
      </c>
      <c r="B10127" t="s">
        <v>14</v>
      </c>
      <c r="C10127" t="s">
        <v>15</v>
      </c>
      <c r="D10127" t="s">
        <v>11</v>
      </c>
      <c r="E10127" t="s">
        <v>12</v>
      </c>
      <c r="F10127">
        <v>3267718</v>
      </c>
      <c r="G10127">
        <v>3267742</v>
      </c>
      <c r="H10127">
        <v>3267768</v>
      </c>
      <c r="I10127">
        <v>3267773</v>
      </c>
    </row>
    <row r="10128" spans="1:9" x14ac:dyDescent="0.2">
      <c r="A10128" t="str">
        <f>"H6pd"</f>
        <v>H6pd</v>
      </c>
      <c r="B10128" t="s">
        <v>9</v>
      </c>
      <c r="C10128" t="s">
        <v>23</v>
      </c>
      <c r="D10128" t="s">
        <v>11</v>
      </c>
      <c r="E10128" t="s">
        <v>12</v>
      </c>
      <c r="F10128">
        <v>150008977</v>
      </c>
      <c r="G10128">
        <v>150009086</v>
      </c>
      <c r="H10128">
        <v>150008977</v>
      </c>
      <c r="I10128">
        <v>150009086</v>
      </c>
    </row>
    <row r="10129" spans="1:9" x14ac:dyDescent="0.2">
      <c r="A10129" t="str">
        <f>"H6pd"</f>
        <v>H6pd</v>
      </c>
      <c r="B10129" t="s">
        <v>13</v>
      </c>
      <c r="C10129" t="s">
        <v>23</v>
      </c>
      <c r="D10129" t="s">
        <v>11</v>
      </c>
      <c r="E10129" t="s">
        <v>12</v>
      </c>
      <c r="F10129">
        <v>150003167</v>
      </c>
      <c r="G10129">
        <v>150003194</v>
      </c>
      <c r="H10129">
        <v>150003167</v>
      </c>
      <c r="I10129">
        <v>150003194</v>
      </c>
    </row>
    <row r="10130" spans="1:9" x14ac:dyDescent="0.2">
      <c r="A10130" t="str">
        <f>"Haao"</f>
        <v>Haao</v>
      </c>
      <c r="B10130" t="s">
        <v>14</v>
      </c>
      <c r="C10130" t="s">
        <v>28</v>
      </c>
      <c r="D10130" t="s">
        <v>11</v>
      </c>
      <c r="E10130" t="s">
        <v>12</v>
      </c>
      <c r="F10130">
        <v>83846769</v>
      </c>
      <c r="G10130">
        <v>83846810</v>
      </c>
      <c r="H10130">
        <v>83846889</v>
      </c>
      <c r="I10130">
        <v>83846905</v>
      </c>
    </row>
    <row r="10131" spans="1:9" x14ac:dyDescent="0.2">
      <c r="A10131" t="str">
        <f>"Habp2"</f>
        <v>Habp2</v>
      </c>
      <c r="B10131" t="s">
        <v>14</v>
      </c>
      <c r="C10131" t="s">
        <v>10</v>
      </c>
      <c r="D10131" t="s">
        <v>17</v>
      </c>
      <c r="E10131" t="s">
        <v>12</v>
      </c>
      <c r="F10131">
        <v>56287943</v>
      </c>
      <c r="G10131">
        <v>56287974</v>
      </c>
      <c r="H10131">
        <v>56287911</v>
      </c>
      <c r="I10131">
        <v>56287936</v>
      </c>
    </row>
    <row r="10132" spans="1:9" x14ac:dyDescent="0.2">
      <c r="A10132" t="str">
        <f>"Habp4"</f>
        <v>Habp4</v>
      </c>
      <c r="B10132" t="s">
        <v>14</v>
      </c>
      <c r="C10132" t="s">
        <v>39</v>
      </c>
      <c r="D10132" t="s">
        <v>17</v>
      </c>
      <c r="E10132" t="s">
        <v>12</v>
      </c>
      <c r="F10132">
        <v>64161862</v>
      </c>
      <c r="G10132">
        <v>64161910</v>
      </c>
      <c r="H10132">
        <v>64161834</v>
      </c>
      <c r="I10132">
        <v>64161859</v>
      </c>
    </row>
    <row r="10133" spans="1:9" x14ac:dyDescent="0.2">
      <c r="A10133" t="str">
        <f>"Hace1"</f>
        <v>Hace1</v>
      </c>
      <c r="B10133" t="s">
        <v>14</v>
      </c>
      <c r="C10133" t="s">
        <v>15</v>
      </c>
      <c r="D10133" t="s">
        <v>17</v>
      </c>
      <c r="E10133" t="s">
        <v>12</v>
      </c>
      <c r="F10133">
        <v>45577811</v>
      </c>
      <c r="G10133">
        <v>45577914</v>
      </c>
      <c r="H10133">
        <v>45577937</v>
      </c>
      <c r="I10133">
        <v>45577953</v>
      </c>
    </row>
    <row r="10134" spans="1:9" x14ac:dyDescent="0.2">
      <c r="A10134" t="str">
        <f>"Hacl1"</f>
        <v>Hacl1</v>
      </c>
      <c r="B10134" t="s">
        <v>14</v>
      </c>
      <c r="C10134" t="s">
        <v>41</v>
      </c>
      <c r="D10134" t="s">
        <v>11</v>
      </c>
      <c r="E10134" t="s">
        <v>12</v>
      </c>
      <c r="F10134">
        <v>31640891</v>
      </c>
      <c r="G10134">
        <v>31640980</v>
      </c>
      <c r="H10134">
        <v>31641205</v>
      </c>
      <c r="I10134">
        <v>31641272</v>
      </c>
    </row>
    <row r="10135" spans="1:9" x14ac:dyDescent="0.2">
      <c r="A10135" t="str">
        <f>"Hadh"</f>
        <v>Hadh</v>
      </c>
      <c r="B10135" t="s">
        <v>14</v>
      </c>
      <c r="C10135" t="s">
        <v>22</v>
      </c>
      <c r="D10135" t="s">
        <v>11</v>
      </c>
      <c r="E10135" t="s">
        <v>12</v>
      </c>
      <c r="F10135">
        <v>131272009</v>
      </c>
      <c r="G10135">
        <v>131272073</v>
      </c>
      <c r="H10135">
        <v>131272077</v>
      </c>
      <c r="I10135">
        <v>131272078</v>
      </c>
    </row>
    <row r="10136" spans="1:9" x14ac:dyDescent="0.2">
      <c r="A10136" t="str">
        <f>"Hadha"</f>
        <v>Hadha</v>
      </c>
      <c r="B10136" t="s">
        <v>14</v>
      </c>
      <c r="C10136" t="s">
        <v>46</v>
      </c>
      <c r="D10136" t="s">
        <v>11</v>
      </c>
      <c r="E10136" t="s">
        <v>12</v>
      </c>
      <c r="F10136">
        <v>30154956</v>
      </c>
      <c r="G10136">
        <v>30154986</v>
      </c>
      <c r="H10136">
        <v>30155101</v>
      </c>
      <c r="I10136">
        <v>30155112</v>
      </c>
    </row>
    <row r="10137" spans="1:9" x14ac:dyDescent="0.2">
      <c r="A10137" t="str">
        <f>"Hadhb"</f>
        <v>Hadhb</v>
      </c>
      <c r="B10137" t="s">
        <v>14</v>
      </c>
      <c r="C10137" t="s">
        <v>46</v>
      </c>
      <c r="D10137" t="s">
        <v>17</v>
      </c>
      <c r="E10137" t="s">
        <v>12</v>
      </c>
      <c r="F10137">
        <v>30155243</v>
      </c>
      <c r="G10137">
        <v>30155311</v>
      </c>
      <c r="H10137">
        <v>30155315</v>
      </c>
      <c r="I10137">
        <v>30155336</v>
      </c>
    </row>
    <row r="10138" spans="1:9" x14ac:dyDescent="0.2">
      <c r="A10138" t="str">
        <f>"Hagh"</f>
        <v>Hagh</v>
      </c>
      <c r="B10138" t="s">
        <v>14</v>
      </c>
      <c r="C10138" t="s">
        <v>28</v>
      </c>
      <c r="D10138" t="s">
        <v>17</v>
      </c>
      <c r="E10138" t="s">
        <v>12</v>
      </c>
      <c r="F10138">
        <v>24850515</v>
      </c>
      <c r="G10138">
        <v>24850591</v>
      </c>
      <c r="H10138">
        <v>24850484</v>
      </c>
      <c r="I10138">
        <v>24850495</v>
      </c>
    </row>
    <row r="10139" spans="1:9" x14ac:dyDescent="0.2">
      <c r="A10139" t="str">
        <f>"Haghl"</f>
        <v>Haghl</v>
      </c>
      <c r="B10139" t="s">
        <v>14</v>
      </c>
      <c r="C10139" t="s">
        <v>28</v>
      </c>
      <c r="D10139" t="s">
        <v>11</v>
      </c>
      <c r="E10139" t="s">
        <v>12</v>
      </c>
      <c r="F10139">
        <v>25785533</v>
      </c>
      <c r="G10139">
        <v>25785591</v>
      </c>
      <c r="H10139">
        <v>25785324</v>
      </c>
      <c r="I10139">
        <v>25785343</v>
      </c>
    </row>
    <row r="10140" spans="1:9" x14ac:dyDescent="0.2">
      <c r="A10140" t="str">
        <f>"Hal"</f>
        <v>Hal</v>
      </c>
      <c r="B10140" t="s">
        <v>14</v>
      </c>
      <c r="C10140" t="s">
        <v>15</v>
      </c>
      <c r="D10140" t="s">
        <v>17</v>
      </c>
      <c r="E10140" t="s">
        <v>12</v>
      </c>
      <c r="F10140">
        <v>93489059</v>
      </c>
      <c r="G10140">
        <v>93489076</v>
      </c>
      <c r="H10140">
        <v>93489059</v>
      </c>
      <c r="I10140">
        <v>93489076</v>
      </c>
    </row>
    <row r="10141" spans="1:9" x14ac:dyDescent="0.2">
      <c r="A10141" t="str">
        <f>"Hamp"</f>
        <v>Hamp</v>
      </c>
      <c r="B10141" t="s">
        <v>14</v>
      </c>
      <c r="C10141" t="s">
        <v>33</v>
      </c>
      <c r="D10141" t="s">
        <v>11</v>
      </c>
      <c r="E10141" t="s">
        <v>12</v>
      </c>
      <c r="F10141">
        <v>30944019</v>
      </c>
      <c r="G10141">
        <v>30944035</v>
      </c>
      <c r="H10141">
        <v>30944019</v>
      </c>
      <c r="I10141">
        <v>30944035</v>
      </c>
    </row>
    <row r="10142" spans="1:9" x14ac:dyDescent="0.2">
      <c r="A10142" t="str">
        <f>"Hamp2"</f>
        <v>Hamp2</v>
      </c>
      <c r="B10142" t="s">
        <v>14</v>
      </c>
      <c r="C10142" t="s">
        <v>33</v>
      </c>
      <c r="D10142" t="s">
        <v>11</v>
      </c>
      <c r="E10142" t="s">
        <v>12</v>
      </c>
      <c r="F10142">
        <v>30924169</v>
      </c>
      <c r="G10142">
        <v>30924185</v>
      </c>
      <c r="H10142">
        <v>30924169</v>
      </c>
      <c r="I10142">
        <v>30924185</v>
      </c>
    </row>
    <row r="10143" spans="1:9" x14ac:dyDescent="0.2">
      <c r="A10143" t="str">
        <f>"Hand1"</f>
        <v>Hand1</v>
      </c>
      <c r="B10143" t="s">
        <v>14</v>
      </c>
      <c r="C10143" t="s">
        <v>27</v>
      </c>
      <c r="D10143" t="s">
        <v>11</v>
      </c>
      <c r="E10143" t="s">
        <v>12</v>
      </c>
      <c r="F10143">
        <v>57832004</v>
      </c>
      <c r="G10143">
        <v>57832021</v>
      </c>
      <c r="H10143">
        <v>57832084</v>
      </c>
      <c r="I10143">
        <v>57832095</v>
      </c>
    </row>
    <row r="10144" spans="1:9" x14ac:dyDescent="0.2">
      <c r="A10144" t="str">
        <f>"Hand2"</f>
        <v>Hand2</v>
      </c>
      <c r="B10144" t="s">
        <v>14</v>
      </c>
      <c r="C10144" t="s">
        <v>30</v>
      </c>
      <c r="D10144" t="s">
        <v>17</v>
      </c>
      <c r="E10144" t="s">
        <v>12</v>
      </c>
      <c r="F10144">
        <v>57320975</v>
      </c>
      <c r="G10144">
        <v>57320992</v>
      </c>
      <c r="H10144">
        <v>57320975</v>
      </c>
      <c r="I10144">
        <v>57320992</v>
      </c>
    </row>
    <row r="10145" spans="1:9" x14ac:dyDescent="0.2">
      <c r="A10145" t="str">
        <f>"Hao1"</f>
        <v>Hao1</v>
      </c>
      <c r="B10145" t="s">
        <v>14</v>
      </c>
      <c r="C10145" t="s">
        <v>26</v>
      </c>
      <c r="D10145" t="s">
        <v>11</v>
      </c>
      <c r="E10145" t="s">
        <v>12</v>
      </c>
      <c r="F10145">
        <v>134554348</v>
      </c>
      <c r="G10145">
        <v>134554369</v>
      </c>
      <c r="H10145">
        <v>134554348</v>
      </c>
      <c r="I10145">
        <v>134554369</v>
      </c>
    </row>
    <row r="10146" spans="1:9" x14ac:dyDescent="0.2">
      <c r="A10146" t="str">
        <f>"Hao2"</f>
        <v>Hao2</v>
      </c>
      <c r="B10146" t="s">
        <v>14</v>
      </c>
      <c r="C10146" t="s">
        <v>22</v>
      </c>
      <c r="D10146" t="s">
        <v>11</v>
      </c>
      <c r="E10146" t="s">
        <v>12</v>
      </c>
      <c r="F10146">
        <v>98893209</v>
      </c>
      <c r="G10146">
        <v>98893245</v>
      </c>
      <c r="H10146">
        <v>98893209</v>
      </c>
      <c r="I10146">
        <v>98893245</v>
      </c>
    </row>
    <row r="10147" spans="1:9" x14ac:dyDescent="0.2">
      <c r="A10147" t="str">
        <f>"Hap1"</f>
        <v>Hap1</v>
      </c>
      <c r="B10147" t="s">
        <v>14</v>
      </c>
      <c r="C10147" t="s">
        <v>27</v>
      </c>
      <c r="D10147" t="s">
        <v>11</v>
      </c>
      <c r="E10147" t="s">
        <v>12</v>
      </c>
      <c r="F10147">
        <v>100356078</v>
      </c>
      <c r="G10147">
        <v>100356096</v>
      </c>
      <c r="H10147">
        <v>100356116</v>
      </c>
      <c r="I10147">
        <v>100356127</v>
      </c>
    </row>
    <row r="10148" spans="1:9" x14ac:dyDescent="0.2">
      <c r="A10148" t="str">
        <f>"Hapln1"</f>
        <v>Hapln1</v>
      </c>
      <c r="B10148" t="s">
        <v>14</v>
      </c>
      <c r="C10148" t="s">
        <v>39</v>
      </c>
      <c r="D10148" t="s">
        <v>17</v>
      </c>
      <c r="E10148" t="s">
        <v>12</v>
      </c>
      <c r="F10148">
        <v>89540845</v>
      </c>
      <c r="G10148">
        <v>89540865</v>
      </c>
      <c r="H10148">
        <v>89540662</v>
      </c>
      <c r="I10148">
        <v>89540678</v>
      </c>
    </row>
    <row r="10149" spans="1:9" x14ac:dyDescent="0.2">
      <c r="A10149" t="str">
        <f>"Hapln2"</f>
        <v>Hapln2</v>
      </c>
      <c r="B10149" t="s">
        <v>14</v>
      </c>
      <c r="C10149" t="s">
        <v>22</v>
      </c>
      <c r="D10149" t="s">
        <v>11</v>
      </c>
      <c r="E10149" t="s">
        <v>12</v>
      </c>
      <c r="F10149">
        <v>88027465</v>
      </c>
      <c r="G10149">
        <v>88027500</v>
      </c>
      <c r="H10149">
        <v>88027451</v>
      </c>
      <c r="I10149">
        <v>88027462</v>
      </c>
    </row>
    <row r="10150" spans="1:9" x14ac:dyDescent="0.2">
      <c r="A10150" t="str">
        <f>"Hapln3"</f>
        <v>Hapln3</v>
      </c>
      <c r="B10150" t="s">
        <v>14</v>
      </c>
      <c r="C10150" t="s">
        <v>33</v>
      </c>
      <c r="D10150" t="s">
        <v>11</v>
      </c>
      <c r="E10150" t="s">
        <v>12</v>
      </c>
      <c r="F10150">
        <v>79130990</v>
      </c>
      <c r="G10150">
        <v>79131022</v>
      </c>
      <c r="H10150">
        <v>79131030</v>
      </c>
      <c r="I10150">
        <v>79131045</v>
      </c>
    </row>
    <row r="10151" spans="1:9" x14ac:dyDescent="0.2">
      <c r="A10151" t="str">
        <f>"Hapln4"</f>
        <v>Hapln4</v>
      </c>
      <c r="B10151" t="s">
        <v>14</v>
      </c>
      <c r="C10151" t="s">
        <v>30</v>
      </c>
      <c r="D10151" t="s">
        <v>17</v>
      </c>
      <c r="E10151" t="s">
        <v>12</v>
      </c>
      <c r="F10151">
        <v>70083509</v>
      </c>
      <c r="G10151">
        <v>70083547</v>
      </c>
      <c r="H10151">
        <v>70083453</v>
      </c>
      <c r="I10151">
        <v>70083468</v>
      </c>
    </row>
    <row r="10152" spans="1:9" x14ac:dyDescent="0.2">
      <c r="A10152" t="str">
        <f>"Harbi1"</f>
        <v>Harbi1</v>
      </c>
      <c r="B10152" t="s">
        <v>14</v>
      </c>
      <c r="C10152" t="s">
        <v>26</v>
      </c>
      <c r="D10152" t="s">
        <v>17</v>
      </c>
      <c r="E10152" t="s">
        <v>12</v>
      </c>
      <c r="F10152">
        <v>91710900</v>
      </c>
      <c r="G10152">
        <v>91710970</v>
      </c>
      <c r="H10152">
        <v>91710856</v>
      </c>
      <c r="I10152">
        <v>91710879</v>
      </c>
    </row>
    <row r="10153" spans="1:9" x14ac:dyDescent="0.2">
      <c r="A10153" t="str">
        <f>"Hars"</f>
        <v>Hars</v>
      </c>
      <c r="B10153" t="s">
        <v>14</v>
      </c>
      <c r="C10153" t="s">
        <v>43</v>
      </c>
      <c r="D10153" t="s">
        <v>11</v>
      </c>
      <c r="E10153" t="s">
        <v>12</v>
      </c>
      <c r="F10153">
        <v>36783113</v>
      </c>
      <c r="G10153">
        <v>36783141</v>
      </c>
      <c r="H10153">
        <v>36783146</v>
      </c>
      <c r="I10153">
        <v>36783191</v>
      </c>
    </row>
    <row r="10154" spans="1:9" x14ac:dyDescent="0.2">
      <c r="A10154" t="str">
        <f>"Hars2"</f>
        <v>Hars2</v>
      </c>
      <c r="B10154" t="s">
        <v>14</v>
      </c>
      <c r="C10154" t="s">
        <v>43</v>
      </c>
      <c r="D10154" t="s">
        <v>17</v>
      </c>
      <c r="E10154" t="s">
        <v>12</v>
      </c>
      <c r="F10154">
        <v>36783236</v>
      </c>
      <c r="G10154">
        <v>36783271</v>
      </c>
      <c r="H10154">
        <v>36783222</v>
      </c>
      <c r="I10154">
        <v>36783235</v>
      </c>
    </row>
    <row r="10155" spans="1:9" x14ac:dyDescent="0.2">
      <c r="A10155" t="str">
        <f>"Has1"</f>
        <v>Has1</v>
      </c>
      <c r="B10155" t="s">
        <v>14</v>
      </c>
      <c r="C10155" t="s">
        <v>28</v>
      </c>
      <c r="D10155" t="s">
        <v>11</v>
      </c>
      <c r="E10155" t="s">
        <v>12</v>
      </c>
      <c r="F10155">
        <v>17855200</v>
      </c>
      <c r="G10155">
        <v>17855205</v>
      </c>
      <c r="H10155">
        <v>17855200</v>
      </c>
      <c r="I10155">
        <v>17855205</v>
      </c>
    </row>
    <row r="10156" spans="1:9" x14ac:dyDescent="0.2">
      <c r="A10156" t="str">
        <f>"Has2"</f>
        <v>Has2</v>
      </c>
      <c r="B10156" t="s">
        <v>14</v>
      </c>
      <c r="C10156" t="s">
        <v>25</v>
      </c>
      <c r="D10156" t="s">
        <v>11</v>
      </c>
      <c r="E10156" t="s">
        <v>12</v>
      </c>
      <c r="F10156">
        <v>56694525</v>
      </c>
      <c r="G10156">
        <v>56694554</v>
      </c>
      <c r="H10156">
        <v>56694579</v>
      </c>
      <c r="I10156">
        <v>56694603</v>
      </c>
    </row>
    <row r="10157" spans="1:9" x14ac:dyDescent="0.2">
      <c r="A10157" t="str">
        <f>"Has3"</f>
        <v>Has3</v>
      </c>
      <c r="B10157" t="s">
        <v>14</v>
      </c>
      <c r="C10157" t="s">
        <v>30</v>
      </c>
      <c r="D10157" t="s">
        <v>17</v>
      </c>
      <c r="E10157" t="s">
        <v>12</v>
      </c>
      <c r="F10157">
        <v>106870827</v>
      </c>
      <c r="G10157">
        <v>106870840</v>
      </c>
      <c r="H10157">
        <v>106870806</v>
      </c>
      <c r="I10157">
        <v>106870813</v>
      </c>
    </row>
    <row r="10158" spans="1:9" x14ac:dyDescent="0.2">
      <c r="A10158" t="str">
        <f>"Hat1"</f>
        <v>Hat1</v>
      </c>
      <c r="B10158" t="s">
        <v>14</v>
      </c>
      <c r="C10158" t="s">
        <v>26</v>
      </c>
      <c r="D10158" t="s">
        <v>17</v>
      </c>
      <c r="E10158" t="s">
        <v>12</v>
      </c>
      <c r="F10158">
        <v>71389239</v>
      </c>
      <c r="G10158">
        <v>71389278</v>
      </c>
      <c r="H10158">
        <v>71389222</v>
      </c>
      <c r="I10158">
        <v>71389237</v>
      </c>
    </row>
    <row r="10159" spans="1:9" x14ac:dyDescent="0.2">
      <c r="A10159" t="str">
        <f>"Haus1"</f>
        <v>Haus1</v>
      </c>
      <c r="B10159" t="s">
        <v>14</v>
      </c>
      <c r="C10159" t="s">
        <v>43</v>
      </c>
      <c r="D10159" t="s">
        <v>11</v>
      </c>
      <c r="E10159" t="s">
        <v>12</v>
      </c>
      <c r="F10159">
        <v>77767752</v>
      </c>
      <c r="G10159">
        <v>77767804</v>
      </c>
      <c r="H10159">
        <v>77767752</v>
      </c>
      <c r="I10159">
        <v>77767804</v>
      </c>
    </row>
    <row r="10160" spans="1:9" x14ac:dyDescent="0.2">
      <c r="A10160" t="str">
        <f>"Haus2"</f>
        <v>Haus2</v>
      </c>
      <c r="B10160" t="s">
        <v>14</v>
      </c>
      <c r="C10160" t="s">
        <v>26</v>
      </c>
      <c r="D10160" t="s">
        <v>17</v>
      </c>
      <c r="E10160" t="s">
        <v>12</v>
      </c>
      <c r="F10160">
        <v>120609402</v>
      </c>
      <c r="G10160">
        <v>120609442</v>
      </c>
      <c r="H10160">
        <v>120609397</v>
      </c>
      <c r="I10160">
        <v>120609400</v>
      </c>
    </row>
    <row r="10161" spans="1:9" x14ac:dyDescent="0.2">
      <c r="A10161" t="str">
        <f>"Haus3"</f>
        <v>Haus3</v>
      </c>
      <c r="B10161" t="s">
        <v>14</v>
      </c>
      <c r="C10161" t="s">
        <v>46</v>
      </c>
      <c r="D10161" t="s">
        <v>11</v>
      </c>
      <c r="E10161" t="s">
        <v>12</v>
      </c>
      <c r="F10161">
        <v>34169409</v>
      </c>
      <c r="G10161">
        <v>34169466</v>
      </c>
      <c r="H10161">
        <v>34169523</v>
      </c>
      <c r="I10161">
        <v>34169534</v>
      </c>
    </row>
    <row r="10162" spans="1:9" x14ac:dyDescent="0.2">
      <c r="A10162" t="str">
        <f>"Haus4"</f>
        <v>Haus4</v>
      </c>
      <c r="B10162" t="s">
        <v>14</v>
      </c>
      <c r="C10162" t="s">
        <v>41</v>
      </c>
      <c r="D10162" t="s">
        <v>11</v>
      </c>
      <c r="E10162" t="s">
        <v>12</v>
      </c>
      <c r="F10162">
        <v>54554289</v>
      </c>
      <c r="G10162">
        <v>54554358</v>
      </c>
      <c r="H10162">
        <v>54554268</v>
      </c>
      <c r="I10162">
        <v>54554279</v>
      </c>
    </row>
    <row r="10163" spans="1:9" x14ac:dyDescent="0.2">
      <c r="A10163" t="str">
        <f>"Haus5"</f>
        <v>Haus5</v>
      </c>
      <c r="B10163" t="s">
        <v>14</v>
      </c>
      <c r="C10163" t="s">
        <v>33</v>
      </c>
      <c r="D10163" t="s">
        <v>11</v>
      </c>
      <c r="E10163" t="s">
        <v>12</v>
      </c>
      <c r="F10163">
        <v>30664941</v>
      </c>
      <c r="G10163">
        <v>30664984</v>
      </c>
      <c r="H10163">
        <v>30664986</v>
      </c>
      <c r="I10163">
        <v>30664999</v>
      </c>
    </row>
    <row r="10164" spans="1:9" x14ac:dyDescent="0.2">
      <c r="A10164" t="str">
        <f>"Haus6"</f>
        <v>Haus6</v>
      </c>
      <c r="B10164" t="s">
        <v>14</v>
      </c>
      <c r="C10164" t="s">
        <v>23</v>
      </c>
      <c r="D10164" t="s">
        <v>11</v>
      </c>
      <c r="E10164" t="s">
        <v>12</v>
      </c>
      <c r="F10164">
        <v>86612009</v>
      </c>
      <c r="G10164">
        <v>86612062</v>
      </c>
      <c r="H10164">
        <v>86611987</v>
      </c>
      <c r="I10164">
        <v>86612001</v>
      </c>
    </row>
    <row r="10165" spans="1:9" x14ac:dyDescent="0.2">
      <c r="A10165" t="str">
        <f>"Haus7"</f>
        <v>Haus7</v>
      </c>
      <c r="B10165" t="s">
        <v>14</v>
      </c>
      <c r="C10165" t="s">
        <v>37</v>
      </c>
      <c r="D10165" t="s">
        <v>11</v>
      </c>
      <c r="E10165" t="s">
        <v>12</v>
      </c>
      <c r="F10165">
        <v>73458990</v>
      </c>
      <c r="G10165">
        <v>73459044</v>
      </c>
      <c r="H10165">
        <v>73458945</v>
      </c>
      <c r="I10165">
        <v>73458980</v>
      </c>
    </row>
    <row r="10166" spans="1:9" x14ac:dyDescent="0.2">
      <c r="A10166" t="str">
        <f>"Haus8"</f>
        <v>Haus8</v>
      </c>
      <c r="B10166" t="s">
        <v>14</v>
      </c>
      <c r="C10166" t="s">
        <v>30</v>
      </c>
      <c r="D10166" t="s">
        <v>11</v>
      </c>
      <c r="E10166" t="s">
        <v>12</v>
      </c>
      <c r="F10166">
        <v>71272495</v>
      </c>
      <c r="G10166">
        <v>71272512</v>
      </c>
      <c r="H10166">
        <v>71272448</v>
      </c>
      <c r="I10166">
        <v>71272478</v>
      </c>
    </row>
    <row r="10167" spans="1:9" x14ac:dyDescent="0.2">
      <c r="A10167" t="str">
        <f>"Havcr1"</f>
        <v>Havcr1</v>
      </c>
      <c r="B10167" t="s">
        <v>14</v>
      </c>
      <c r="C10167" t="s">
        <v>27</v>
      </c>
      <c r="D10167" t="s">
        <v>17</v>
      </c>
      <c r="E10167" t="s">
        <v>12</v>
      </c>
      <c r="F10167">
        <v>46750506</v>
      </c>
      <c r="G10167">
        <v>46750543</v>
      </c>
      <c r="H10167">
        <v>46750562</v>
      </c>
      <c r="I10167">
        <v>46750577</v>
      </c>
    </row>
    <row r="10168" spans="1:9" x14ac:dyDescent="0.2">
      <c r="A10168" t="str">
        <f>"Havcr2"</f>
        <v>Havcr2</v>
      </c>
      <c r="B10168" t="s">
        <v>14</v>
      </c>
      <c r="C10168" t="s">
        <v>27</v>
      </c>
      <c r="D10168" t="s">
        <v>17</v>
      </c>
      <c r="E10168" t="s">
        <v>12</v>
      </c>
      <c r="F10168">
        <v>46454957</v>
      </c>
      <c r="G10168">
        <v>46454984</v>
      </c>
      <c r="H10168">
        <v>46454921</v>
      </c>
      <c r="I10168">
        <v>46454946</v>
      </c>
    </row>
    <row r="10169" spans="1:9" x14ac:dyDescent="0.2">
      <c r="A10169" t="str">
        <f>"Hax1"</f>
        <v>Hax1</v>
      </c>
      <c r="B10169" t="s">
        <v>14</v>
      </c>
      <c r="C10169" t="s">
        <v>22</v>
      </c>
      <c r="D10169" t="s">
        <v>11</v>
      </c>
      <c r="E10169" t="s">
        <v>12</v>
      </c>
      <c r="F10169">
        <v>89998656</v>
      </c>
      <c r="G10169">
        <v>89998704</v>
      </c>
      <c r="H10169">
        <v>89998938</v>
      </c>
      <c r="I10169">
        <v>89998980</v>
      </c>
    </row>
    <row r="10170" spans="1:9" x14ac:dyDescent="0.2">
      <c r="A10170" t="str">
        <f>"Hba-a1"</f>
        <v>Hba-a1</v>
      </c>
      <c r="B10170" t="s">
        <v>4116</v>
      </c>
      <c r="C10170" t="s">
        <v>27</v>
      </c>
      <c r="D10170" t="s">
        <v>17</v>
      </c>
      <c r="E10170" t="s">
        <v>20</v>
      </c>
      <c r="F10170">
        <v>32283510</v>
      </c>
      <c r="G10170">
        <v>32283510</v>
      </c>
      <c r="H10170">
        <v>32283510</v>
      </c>
      <c r="I10170">
        <v>32283510</v>
      </c>
    </row>
    <row r="10171" spans="1:9" x14ac:dyDescent="0.2">
      <c r="A10171" t="str">
        <f>"Hba-a2"</f>
        <v>Hba-a2</v>
      </c>
      <c r="B10171" t="s">
        <v>14</v>
      </c>
      <c r="C10171" t="s">
        <v>27</v>
      </c>
      <c r="D10171" t="s">
        <v>17</v>
      </c>
      <c r="E10171" t="s">
        <v>12</v>
      </c>
      <c r="F10171">
        <v>32296491</v>
      </c>
      <c r="G10171">
        <v>32296492</v>
      </c>
      <c r="H10171">
        <v>32296491</v>
      </c>
      <c r="I10171">
        <v>32296492</v>
      </c>
    </row>
    <row r="10172" spans="1:9" x14ac:dyDescent="0.2">
      <c r="A10172" t="str">
        <f>"Hba-x"</f>
        <v>Hba-x</v>
      </c>
      <c r="B10172" t="s">
        <v>14</v>
      </c>
      <c r="C10172" t="s">
        <v>27</v>
      </c>
      <c r="D10172" t="s">
        <v>17</v>
      </c>
      <c r="E10172" t="s">
        <v>12</v>
      </c>
      <c r="F10172">
        <v>32276593</v>
      </c>
      <c r="G10172">
        <v>32276609</v>
      </c>
      <c r="H10172">
        <v>32276826</v>
      </c>
      <c r="I10172">
        <v>32276833</v>
      </c>
    </row>
    <row r="10173" spans="1:9" x14ac:dyDescent="0.2">
      <c r="A10173" t="str">
        <f>"Hbb-bh1"</f>
        <v>Hbb-bh1</v>
      </c>
      <c r="B10173" t="s">
        <v>14</v>
      </c>
      <c r="C10173" t="s">
        <v>33</v>
      </c>
      <c r="D10173" t="s">
        <v>11</v>
      </c>
      <c r="E10173" t="s">
        <v>12</v>
      </c>
      <c r="F10173">
        <v>103843154</v>
      </c>
      <c r="G10173">
        <v>103843169</v>
      </c>
      <c r="H10173">
        <v>103843154</v>
      </c>
      <c r="I10173">
        <v>103843169</v>
      </c>
    </row>
    <row r="10174" spans="1:9" x14ac:dyDescent="0.2">
      <c r="A10174" t="str">
        <f>"Hbb-bh2"</f>
        <v>Hbb-bh2</v>
      </c>
      <c r="B10174" t="s">
        <v>14</v>
      </c>
      <c r="C10174" t="s">
        <v>33</v>
      </c>
      <c r="D10174" t="s">
        <v>11</v>
      </c>
      <c r="E10174" t="s">
        <v>12</v>
      </c>
      <c r="F10174">
        <v>103840475</v>
      </c>
      <c r="G10174">
        <v>103840478</v>
      </c>
      <c r="H10174">
        <v>103840475</v>
      </c>
      <c r="I10174">
        <v>103840478</v>
      </c>
    </row>
    <row r="10175" spans="1:9" x14ac:dyDescent="0.2">
      <c r="A10175" t="str">
        <f>"Hbb-bs"</f>
        <v>Hbb-bs</v>
      </c>
      <c r="B10175" t="s">
        <v>14</v>
      </c>
      <c r="C10175" t="s">
        <v>33</v>
      </c>
      <c r="D10175" t="s">
        <v>11</v>
      </c>
      <c r="E10175" t="s">
        <v>67</v>
      </c>
      <c r="F10175">
        <v>103827922</v>
      </c>
      <c r="G10175">
        <v>103827931</v>
      </c>
      <c r="H10175">
        <v>103827727</v>
      </c>
      <c r="I10175">
        <v>103827743</v>
      </c>
    </row>
    <row r="10176" spans="1:9" x14ac:dyDescent="0.2">
      <c r="A10176" t="str">
        <f>"Hbb-bt"</f>
        <v>Hbb-bt</v>
      </c>
      <c r="B10176" t="s">
        <v>14</v>
      </c>
      <c r="C10176" t="s">
        <v>33</v>
      </c>
      <c r="D10176" t="s">
        <v>11</v>
      </c>
      <c r="E10176" t="s">
        <v>67</v>
      </c>
      <c r="F10176">
        <v>103813913</v>
      </c>
      <c r="G10176">
        <v>103813927</v>
      </c>
      <c r="H10176">
        <v>103813913</v>
      </c>
      <c r="I10176">
        <v>103813927</v>
      </c>
    </row>
    <row r="10177" spans="1:9" x14ac:dyDescent="0.2">
      <c r="A10177" t="str">
        <f>"Hbb-y"</f>
        <v>Hbb-y</v>
      </c>
      <c r="B10177" t="s">
        <v>14</v>
      </c>
      <c r="C10177" t="s">
        <v>33</v>
      </c>
      <c r="D10177" t="s">
        <v>11</v>
      </c>
      <c r="E10177" t="s">
        <v>12</v>
      </c>
      <c r="F10177">
        <v>103853199</v>
      </c>
      <c r="G10177">
        <v>103853213</v>
      </c>
      <c r="H10177">
        <v>103853199</v>
      </c>
      <c r="I10177">
        <v>103853213</v>
      </c>
    </row>
    <row r="10178" spans="1:9" x14ac:dyDescent="0.2">
      <c r="A10178" t="str">
        <f>"Hbegf"</f>
        <v>Hbegf</v>
      </c>
      <c r="B10178" t="s">
        <v>14</v>
      </c>
      <c r="C10178" t="s">
        <v>43</v>
      </c>
      <c r="D10178" t="s">
        <v>11</v>
      </c>
      <c r="E10178" t="s">
        <v>12</v>
      </c>
      <c r="F10178">
        <v>36515767</v>
      </c>
      <c r="G10178">
        <v>36515787</v>
      </c>
      <c r="H10178">
        <v>36515798</v>
      </c>
      <c r="I10178">
        <v>36515812</v>
      </c>
    </row>
    <row r="10179" spans="1:9" x14ac:dyDescent="0.2">
      <c r="A10179" t="str">
        <f>"Hbp1"</f>
        <v>Hbp1</v>
      </c>
      <c r="B10179" t="s">
        <v>14</v>
      </c>
      <c r="C10179" t="s">
        <v>16</v>
      </c>
      <c r="D10179" t="s">
        <v>11</v>
      </c>
      <c r="E10179" t="s">
        <v>12</v>
      </c>
      <c r="F10179">
        <v>31950213</v>
      </c>
      <c r="G10179">
        <v>31950246</v>
      </c>
      <c r="H10179">
        <v>31950186</v>
      </c>
      <c r="I10179">
        <v>31950197</v>
      </c>
    </row>
    <row r="10180" spans="1:9" x14ac:dyDescent="0.2">
      <c r="A10180" t="str">
        <f>"Hbq1a"</f>
        <v>Hbq1a</v>
      </c>
      <c r="B10180" t="s">
        <v>4117</v>
      </c>
      <c r="C10180" t="s">
        <v>27</v>
      </c>
      <c r="D10180" t="s">
        <v>17</v>
      </c>
      <c r="E10180" t="s">
        <v>20</v>
      </c>
      <c r="F10180">
        <v>32300068</v>
      </c>
      <c r="G10180">
        <v>32300068</v>
      </c>
      <c r="H10180">
        <v>32300068</v>
      </c>
      <c r="I10180">
        <v>32300068</v>
      </c>
    </row>
    <row r="10181" spans="1:9" x14ac:dyDescent="0.2">
      <c r="A10181" t="str">
        <f>"Hbq1b"</f>
        <v>Hbq1b</v>
      </c>
      <c r="B10181" t="s">
        <v>14</v>
      </c>
      <c r="C10181" t="s">
        <v>27</v>
      </c>
      <c r="D10181" t="s">
        <v>17</v>
      </c>
      <c r="E10181" t="s">
        <v>12</v>
      </c>
      <c r="F10181">
        <v>32286946</v>
      </c>
      <c r="G10181">
        <v>32286980</v>
      </c>
      <c r="H10181">
        <v>32286991</v>
      </c>
      <c r="I10181">
        <v>32287007</v>
      </c>
    </row>
    <row r="10182" spans="1:9" x14ac:dyDescent="0.2">
      <c r="A10182" t="str">
        <f>"Hbs1l"</f>
        <v>Hbs1l</v>
      </c>
      <c r="B10182" t="s">
        <v>14</v>
      </c>
      <c r="C10182" t="s">
        <v>15</v>
      </c>
      <c r="D10182" t="s">
        <v>17</v>
      </c>
      <c r="E10182" t="s">
        <v>12</v>
      </c>
      <c r="F10182">
        <v>21295987</v>
      </c>
      <c r="G10182">
        <v>21296013</v>
      </c>
      <c r="H10182">
        <v>21295987</v>
      </c>
      <c r="I10182">
        <v>21296013</v>
      </c>
    </row>
    <row r="10183" spans="1:9" x14ac:dyDescent="0.2">
      <c r="A10183" t="str">
        <f>"Hc"</f>
        <v>Hc</v>
      </c>
      <c r="B10183" t="s">
        <v>14</v>
      </c>
      <c r="C10183" t="s">
        <v>26</v>
      </c>
      <c r="D10183" t="s">
        <v>11</v>
      </c>
      <c r="E10183" t="s">
        <v>12</v>
      </c>
      <c r="F10183">
        <v>35061403</v>
      </c>
      <c r="G10183">
        <v>35061419</v>
      </c>
      <c r="H10183">
        <v>35061431</v>
      </c>
      <c r="I10183">
        <v>35061447</v>
      </c>
    </row>
    <row r="10184" spans="1:9" x14ac:dyDescent="0.2">
      <c r="A10184" t="str">
        <f>"Hccs"</f>
        <v>Hccs</v>
      </c>
      <c r="B10184" t="s">
        <v>14</v>
      </c>
      <c r="C10184" t="s">
        <v>37</v>
      </c>
      <c r="D10184" t="s">
        <v>11</v>
      </c>
      <c r="E10184" t="s">
        <v>12</v>
      </c>
      <c r="F10184">
        <v>169320273</v>
      </c>
      <c r="G10184">
        <v>169320383</v>
      </c>
      <c r="H10184">
        <v>169320118</v>
      </c>
      <c r="I10184">
        <v>169320133</v>
      </c>
    </row>
    <row r="10185" spans="1:9" x14ac:dyDescent="0.2">
      <c r="A10185" t="str">
        <f>"Hcfc1"</f>
        <v>Hcfc1</v>
      </c>
      <c r="B10185" t="s">
        <v>14</v>
      </c>
      <c r="C10185" t="s">
        <v>37</v>
      </c>
      <c r="D10185" t="s">
        <v>11</v>
      </c>
      <c r="E10185" t="s">
        <v>12</v>
      </c>
      <c r="F10185">
        <v>73966329</v>
      </c>
      <c r="G10185">
        <v>73966376</v>
      </c>
      <c r="H10185">
        <v>73966750</v>
      </c>
      <c r="I10185">
        <v>73966753</v>
      </c>
    </row>
    <row r="10186" spans="1:9" x14ac:dyDescent="0.2">
      <c r="A10186" t="str">
        <f>"Hcfc1r1"</f>
        <v>Hcfc1r1</v>
      </c>
      <c r="B10186" t="s">
        <v>14</v>
      </c>
      <c r="C10186" t="s">
        <v>28</v>
      </c>
      <c r="D10186" t="s">
        <v>17</v>
      </c>
      <c r="E10186" t="s">
        <v>12</v>
      </c>
      <c r="F10186">
        <v>23673898</v>
      </c>
      <c r="G10186">
        <v>23673987</v>
      </c>
      <c r="H10186">
        <v>23673898</v>
      </c>
      <c r="I10186">
        <v>23673987</v>
      </c>
    </row>
    <row r="10187" spans="1:9" x14ac:dyDescent="0.2">
      <c r="A10187" t="str">
        <f>"Hcfc2"</f>
        <v>Hcfc2</v>
      </c>
      <c r="B10187" t="s">
        <v>14</v>
      </c>
      <c r="C10187" t="s">
        <v>15</v>
      </c>
      <c r="D10187" t="s">
        <v>17</v>
      </c>
      <c r="E10187" t="s">
        <v>12</v>
      </c>
      <c r="F10187">
        <v>82699097</v>
      </c>
      <c r="G10187">
        <v>82699149</v>
      </c>
      <c r="H10187">
        <v>82699183</v>
      </c>
      <c r="I10187">
        <v>82699197</v>
      </c>
    </row>
    <row r="10188" spans="1:9" x14ac:dyDescent="0.2">
      <c r="A10188" t="str">
        <f>"Hck"</f>
        <v>Hck</v>
      </c>
      <c r="B10188" t="s">
        <v>14</v>
      </c>
      <c r="C10188" t="s">
        <v>26</v>
      </c>
      <c r="D10188" t="s">
        <v>17</v>
      </c>
      <c r="E10188" t="s">
        <v>12</v>
      </c>
      <c r="F10188">
        <v>153108489</v>
      </c>
      <c r="G10188">
        <v>153108542</v>
      </c>
      <c r="H10188">
        <v>153108474</v>
      </c>
      <c r="I10188">
        <v>153108484</v>
      </c>
    </row>
    <row r="10189" spans="1:9" x14ac:dyDescent="0.2">
      <c r="A10189" t="str">
        <f>"Hcls1"</f>
        <v>Hcls1</v>
      </c>
      <c r="B10189" t="s">
        <v>14</v>
      </c>
      <c r="C10189" t="s">
        <v>31</v>
      </c>
      <c r="D10189" t="s">
        <v>17</v>
      </c>
      <c r="E10189" t="s">
        <v>12</v>
      </c>
      <c r="F10189">
        <v>36934976</v>
      </c>
      <c r="G10189">
        <v>36935013</v>
      </c>
      <c r="H10189">
        <v>36934976</v>
      </c>
      <c r="I10189">
        <v>36935013</v>
      </c>
    </row>
    <row r="10190" spans="1:9" x14ac:dyDescent="0.2">
      <c r="A10190" t="str">
        <f>"Hcn1"</f>
        <v>Hcn1</v>
      </c>
      <c r="B10190" t="s">
        <v>14</v>
      </c>
      <c r="C10190" t="s">
        <v>39</v>
      </c>
      <c r="D10190" t="s">
        <v>17</v>
      </c>
      <c r="E10190" t="s">
        <v>12</v>
      </c>
      <c r="F10190">
        <v>117602439</v>
      </c>
      <c r="G10190">
        <v>117602482</v>
      </c>
      <c r="H10190">
        <v>117602309</v>
      </c>
      <c r="I10190">
        <v>117602325</v>
      </c>
    </row>
    <row r="10191" spans="1:9" x14ac:dyDescent="0.2">
      <c r="A10191" t="str">
        <f>"Hcn2"</f>
        <v>Hcn2</v>
      </c>
      <c r="B10191" t="s">
        <v>14</v>
      </c>
      <c r="C10191" t="s">
        <v>15</v>
      </c>
      <c r="D10191" t="s">
        <v>17</v>
      </c>
      <c r="E10191" t="s">
        <v>12</v>
      </c>
      <c r="F10191">
        <v>79716588</v>
      </c>
      <c r="G10191">
        <v>79716666</v>
      </c>
      <c r="H10191">
        <v>79716588</v>
      </c>
      <c r="I10191">
        <v>79716666</v>
      </c>
    </row>
    <row r="10192" spans="1:9" x14ac:dyDescent="0.2">
      <c r="A10192" t="str">
        <f>"Hcn3"</f>
        <v>Hcn3</v>
      </c>
      <c r="B10192" t="s">
        <v>14</v>
      </c>
      <c r="C10192" t="s">
        <v>22</v>
      </c>
      <c r="D10192" t="s">
        <v>11</v>
      </c>
      <c r="E10192" t="s">
        <v>12</v>
      </c>
      <c r="F10192">
        <v>89160155</v>
      </c>
      <c r="G10192">
        <v>89160202</v>
      </c>
      <c r="H10192">
        <v>89160111</v>
      </c>
      <c r="I10192">
        <v>89160127</v>
      </c>
    </row>
    <row r="10193" spans="1:9" x14ac:dyDescent="0.2">
      <c r="A10193" t="str">
        <f>"Hcn4"</f>
        <v>Hcn4</v>
      </c>
      <c r="B10193" t="s">
        <v>14</v>
      </c>
      <c r="C10193" t="s">
        <v>24</v>
      </c>
      <c r="D10193" t="s">
        <v>17</v>
      </c>
      <c r="E10193" t="s">
        <v>12</v>
      </c>
      <c r="F10193">
        <v>58823298</v>
      </c>
      <c r="G10193">
        <v>58823314</v>
      </c>
      <c r="H10193">
        <v>58823298</v>
      </c>
      <c r="I10193">
        <v>58823314</v>
      </c>
    </row>
    <row r="10194" spans="1:9" x14ac:dyDescent="0.2">
      <c r="A10194" t="str">
        <f>"Hcrt"</f>
        <v>Hcrt</v>
      </c>
      <c r="B10194" t="s">
        <v>14</v>
      </c>
      <c r="C10194" t="s">
        <v>27</v>
      </c>
      <c r="D10194" t="s">
        <v>11</v>
      </c>
      <c r="E10194" t="s">
        <v>12</v>
      </c>
      <c r="F10194">
        <v>100762931</v>
      </c>
      <c r="G10194">
        <v>100762936</v>
      </c>
      <c r="H10194">
        <v>100762873</v>
      </c>
      <c r="I10194">
        <v>100762874</v>
      </c>
    </row>
    <row r="10195" spans="1:9" x14ac:dyDescent="0.2">
      <c r="A10195" t="str">
        <f>"Hcrtr1"</f>
        <v>Hcrtr1</v>
      </c>
      <c r="B10195" t="s">
        <v>14</v>
      </c>
      <c r="C10195" t="s">
        <v>23</v>
      </c>
      <c r="D10195" t="s">
        <v>11</v>
      </c>
      <c r="E10195" t="s">
        <v>12</v>
      </c>
      <c r="F10195">
        <v>130139149</v>
      </c>
      <c r="G10195">
        <v>130139162</v>
      </c>
      <c r="H10195">
        <v>130139167</v>
      </c>
      <c r="I10195">
        <v>130139183</v>
      </c>
    </row>
    <row r="10196" spans="1:9" x14ac:dyDescent="0.2">
      <c r="A10196" t="str">
        <f>"Hcrtr2"</f>
        <v>Hcrtr2</v>
      </c>
      <c r="B10196" t="s">
        <v>14</v>
      </c>
      <c r="C10196" t="s">
        <v>24</v>
      </c>
      <c r="D10196" t="s">
        <v>11</v>
      </c>
      <c r="E10196" t="s">
        <v>12</v>
      </c>
      <c r="F10196">
        <v>76323559</v>
      </c>
      <c r="G10196">
        <v>76323586</v>
      </c>
      <c r="H10196">
        <v>76323540</v>
      </c>
      <c r="I10196">
        <v>76323547</v>
      </c>
    </row>
    <row r="10197" spans="1:9" x14ac:dyDescent="0.2">
      <c r="A10197" t="str">
        <f>"Hcst"</f>
        <v>Hcst</v>
      </c>
      <c r="B10197" t="s">
        <v>14</v>
      </c>
      <c r="C10197" t="s">
        <v>33</v>
      </c>
      <c r="D10197" t="s">
        <v>11</v>
      </c>
      <c r="E10197" t="s">
        <v>12</v>
      </c>
      <c r="F10197">
        <v>30419802</v>
      </c>
      <c r="G10197">
        <v>30419872</v>
      </c>
      <c r="H10197">
        <v>30419802</v>
      </c>
      <c r="I10197">
        <v>30419872</v>
      </c>
    </row>
    <row r="10198" spans="1:9" x14ac:dyDescent="0.2">
      <c r="A10198" t="str">
        <f>"Hdac1"</f>
        <v>Hdac1</v>
      </c>
      <c r="B10198" t="s">
        <v>14</v>
      </c>
      <c r="C10198" t="s">
        <v>23</v>
      </c>
      <c r="D10198" t="s">
        <v>11</v>
      </c>
      <c r="E10198" t="s">
        <v>12</v>
      </c>
      <c r="F10198">
        <v>129542674</v>
      </c>
      <c r="G10198">
        <v>129542707</v>
      </c>
      <c r="H10198">
        <v>129542710</v>
      </c>
      <c r="I10198">
        <v>129542727</v>
      </c>
    </row>
    <row r="10199" spans="1:9" x14ac:dyDescent="0.2">
      <c r="A10199" t="str">
        <f>"Hdac10"</f>
        <v>Hdac10</v>
      </c>
      <c r="B10199" t="s">
        <v>14</v>
      </c>
      <c r="C10199" t="s">
        <v>25</v>
      </c>
      <c r="D10199" t="s">
        <v>11</v>
      </c>
      <c r="E10199" t="s">
        <v>12</v>
      </c>
      <c r="F10199">
        <v>89128634</v>
      </c>
      <c r="G10199">
        <v>89128693</v>
      </c>
      <c r="H10199">
        <v>89128436</v>
      </c>
      <c r="I10199">
        <v>89128451</v>
      </c>
    </row>
    <row r="10200" spans="1:9" x14ac:dyDescent="0.2">
      <c r="A10200" t="str">
        <f>"Hdac11"</f>
        <v>Hdac11</v>
      </c>
      <c r="B10200" t="s">
        <v>14</v>
      </c>
      <c r="C10200" t="s">
        <v>32</v>
      </c>
      <c r="D10200" t="s">
        <v>17</v>
      </c>
      <c r="E10200" t="s">
        <v>12</v>
      </c>
      <c r="F10200">
        <v>91156772</v>
      </c>
      <c r="G10200">
        <v>91156827</v>
      </c>
      <c r="H10200">
        <v>91156715</v>
      </c>
      <c r="I10200">
        <v>91156738</v>
      </c>
    </row>
    <row r="10201" spans="1:9" x14ac:dyDescent="0.2">
      <c r="A10201" t="str">
        <f>"Hdac2"</f>
        <v>Hdac2</v>
      </c>
      <c r="B10201" t="s">
        <v>14</v>
      </c>
      <c r="C10201" t="s">
        <v>15</v>
      </c>
      <c r="D10201" t="s">
        <v>17</v>
      </c>
      <c r="E10201" t="s">
        <v>12</v>
      </c>
      <c r="F10201">
        <v>36974536</v>
      </c>
      <c r="G10201">
        <v>36974556</v>
      </c>
      <c r="H10201">
        <v>36974558</v>
      </c>
      <c r="I10201">
        <v>36974579</v>
      </c>
    </row>
    <row r="10202" spans="1:9" x14ac:dyDescent="0.2">
      <c r="A10202" t="str">
        <f>"Hdac3"</f>
        <v>Hdac3</v>
      </c>
      <c r="B10202" t="s">
        <v>14</v>
      </c>
      <c r="C10202" t="s">
        <v>43</v>
      </c>
      <c r="D10202" t="s">
        <v>11</v>
      </c>
      <c r="E10202" t="s">
        <v>12</v>
      </c>
      <c r="F10202">
        <v>37954958</v>
      </c>
      <c r="G10202">
        <v>37955002</v>
      </c>
      <c r="H10202">
        <v>37954936</v>
      </c>
      <c r="I10202">
        <v>37954952</v>
      </c>
    </row>
    <row r="10203" spans="1:9" x14ac:dyDescent="0.2">
      <c r="A10203" t="str">
        <f>"Hdac4"</f>
        <v>Hdac4</v>
      </c>
      <c r="B10203" t="s">
        <v>4118</v>
      </c>
      <c r="C10203" t="s">
        <v>19</v>
      </c>
      <c r="D10203" t="s">
        <v>11</v>
      </c>
      <c r="E10203" t="s">
        <v>20</v>
      </c>
      <c r="F10203">
        <v>92148392</v>
      </c>
      <c r="G10203">
        <v>92148392</v>
      </c>
      <c r="H10203">
        <v>92148392</v>
      </c>
      <c r="I10203">
        <v>92148392</v>
      </c>
    </row>
    <row r="10204" spans="1:9" x14ac:dyDescent="0.2">
      <c r="A10204" t="str">
        <f>"Hdac5"</f>
        <v>Hdac5</v>
      </c>
      <c r="B10204" t="s">
        <v>14</v>
      </c>
      <c r="C10204" t="s">
        <v>27</v>
      </c>
      <c r="D10204" t="s">
        <v>11</v>
      </c>
      <c r="E10204" t="s">
        <v>12</v>
      </c>
      <c r="F10204">
        <v>102230127</v>
      </c>
      <c r="G10204">
        <v>102230166</v>
      </c>
      <c r="H10204">
        <v>102230091</v>
      </c>
      <c r="I10204">
        <v>102230122</v>
      </c>
    </row>
    <row r="10205" spans="1:9" x14ac:dyDescent="0.2">
      <c r="A10205" t="str">
        <f>"Hdac6"</f>
        <v>Hdac6</v>
      </c>
      <c r="B10205" t="s">
        <v>14</v>
      </c>
      <c r="C10205" t="s">
        <v>37</v>
      </c>
      <c r="D10205" t="s">
        <v>11</v>
      </c>
      <c r="E10205" t="s">
        <v>12</v>
      </c>
      <c r="F10205">
        <v>7947779</v>
      </c>
      <c r="G10205">
        <v>7947815</v>
      </c>
      <c r="H10205">
        <v>7947819</v>
      </c>
      <c r="I10205">
        <v>7947832</v>
      </c>
    </row>
    <row r="10206" spans="1:9" x14ac:dyDescent="0.2">
      <c r="A10206" t="str">
        <f>"Hdac7"</f>
        <v>Hdac7</v>
      </c>
      <c r="B10206" t="s">
        <v>9</v>
      </c>
      <c r="C10206" t="s">
        <v>25</v>
      </c>
      <c r="D10206" t="s">
        <v>11</v>
      </c>
      <c r="E10206" t="s">
        <v>12</v>
      </c>
      <c r="F10206">
        <v>97831460</v>
      </c>
      <c r="G10206">
        <v>97831519</v>
      </c>
      <c r="H10206">
        <v>97831460</v>
      </c>
      <c r="I10206">
        <v>97831519</v>
      </c>
    </row>
    <row r="10207" spans="1:9" x14ac:dyDescent="0.2">
      <c r="A10207" t="str">
        <f>"Hdac7"</f>
        <v>Hdac7</v>
      </c>
      <c r="B10207" t="s">
        <v>13</v>
      </c>
      <c r="C10207" t="s">
        <v>25</v>
      </c>
      <c r="D10207" t="s">
        <v>11</v>
      </c>
      <c r="E10207" t="s">
        <v>12</v>
      </c>
      <c r="F10207">
        <v>97844254</v>
      </c>
      <c r="G10207">
        <v>97844318</v>
      </c>
      <c r="H10207">
        <v>97844254</v>
      </c>
      <c r="I10207">
        <v>97844318</v>
      </c>
    </row>
    <row r="10208" spans="1:9" x14ac:dyDescent="0.2">
      <c r="A10208" t="str">
        <f>"Hdac8"</f>
        <v>Hdac8</v>
      </c>
      <c r="B10208" t="s">
        <v>14</v>
      </c>
      <c r="C10208" t="s">
        <v>37</v>
      </c>
      <c r="D10208" t="s">
        <v>11</v>
      </c>
      <c r="E10208" t="s">
        <v>12</v>
      </c>
      <c r="F10208">
        <v>102505138</v>
      </c>
      <c r="G10208">
        <v>102505171</v>
      </c>
      <c r="H10208">
        <v>102505100</v>
      </c>
      <c r="I10208">
        <v>102505129</v>
      </c>
    </row>
    <row r="10209" spans="1:9" x14ac:dyDescent="0.2">
      <c r="A10209" t="str">
        <f>"Hdac9"</f>
        <v>Hdac9</v>
      </c>
      <c r="B10209" t="s">
        <v>14</v>
      </c>
      <c r="C10209" t="s">
        <v>16</v>
      </c>
      <c r="D10209" t="s">
        <v>11</v>
      </c>
      <c r="E10209" t="s">
        <v>12</v>
      </c>
      <c r="F10209">
        <v>34528844</v>
      </c>
      <c r="G10209">
        <v>34528904</v>
      </c>
      <c r="H10209">
        <v>34528844</v>
      </c>
      <c r="I10209">
        <v>34528904</v>
      </c>
    </row>
    <row r="10210" spans="1:9" x14ac:dyDescent="0.2">
      <c r="A10210" t="str">
        <f>"Hdc"</f>
        <v>Hdc</v>
      </c>
      <c r="B10210" t="s">
        <v>14</v>
      </c>
      <c r="C10210" t="s">
        <v>26</v>
      </c>
      <c r="D10210" t="s">
        <v>11</v>
      </c>
      <c r="E10210" t="s">
        <v>12</v>
      </c>
      <c r="F10210">
        <v>126618655</v>
      </c>
      <c r="G10210">
        <v>126618671</v>
      </c>
      <c r="H10210">
        <v>126618655</v>
      </c>
      <c r="I10210">
        <v>126618671</v>
      </c>
    </row>
    <row r="10211" spans="1:9" x14ac:dyDescent="0.2">
      <c r="A10211" t="str">
        <f>"Hddc2"</f>
        <v>Hddc2</v>
      </c>
      <c r="B10211" t="s">
        <v>14</v>
      </c>
      <c r="C10211" t="s">
        <v>15</v>
      </c>
      <c r="D10211" t="s">
        <v>17</v>
      </c>
      <c r="E10211" t="s">
        <v>12</v>
      </c>
      <c r="F10211">
        <v>31313375</v>
      </c>
      <c r="G10211">
        <v>31313420</v>
      </c>
      <c r="H10211">
        <v>31313431</v>
      </c>
      <c r="I10211">
        <v>31313442</v>
      </c>
    </row>
    <row r="10212" spans="1:9" x14ac:dyDescent="0.2">
      <c r="A10212" t="str">
        <f>"Hddc3"</f>
        <v>Hddc3</v>
      </c>
      <c r="B10212" t="s">
        <v>14</v>
      </c>
      <c r="C10212" t="s">
        <v>33</v>
      </c>
      <c r="D10212" t="s">
        <v>17</v>
      </c>
      <c r="E10212" t="s">
        <v>12</v>
      </c>
      <c r="F10212">
        <v>80343091</v>
      </c>
      <c r="G10212">
        <v>80343146</v>
      </c>
      <c r="H10212">
        <v>80343091</v>
      </c>
      <c r="I10212">
        <v>80343146</v>
      </c>
    </row>
    <row r="10213" spans="1:9" x14ac:dyDescent="0.2">
      <c r="A10213" t="str">
        <f>"Hdgf"</f>
        <v>Hdgf</v>
      </c>
      <c r="B10213" t="s">
        <v>14</v>
      </c>
      <c r="C10213" t="s">
        <v>22</v>
      </c>
      <c r="D10213" t="s">
        <v>17</v>
      </c>
      <c r="E10213" t="s">
        <v>12</v>
      </c>
      <c r="F10213">
        <v>87906362</v>
      </c>
      <c r="G10213">
        <v>87906414</v>
      </c>
      <c r="H10213">
        <v>87906530</v>
      </c>
      <c r="I10213">
        <v>87906607</v>
      </c>
    </row>
    <row r="10214" spans="1:9" x14ac:dyDescent="0.2">
      <c r="A10214" t="str">
        <f>"Hdgfl1"</f>
        <v>Hdgfl1</v>
      </c>
      <c r="B10214" t="s">
        <v>14</v>
      </c>
      <c r="C10214" t="s">
        <v>39</v>
      </c>
      <c r="D10214" t="s">
        <v>11</v>
      </c>
      <c r="E10214" t="s">
        <v>12</v>
      </c>
      <c r="F10214">
        <v>26770157</v>
      </c>
      <c r="G10214">
        <v>26770174</v>
      </c>
      <c r="H10214">
        <v>26770127</v>
      </c>
      <c r="I10214">
        <v>26770150</v>
      </c>
    </row>
    <row r="10215" spans="1:9" x14ac:dyDescent="0.2">
      <c r="A10215" t="str">
        <f>"Hdgfrp2"</f>
        <v>Hdgfrp2</v>
      </c>
      <c r="B10215" t="s">
        <v>14</v>
      </c>
      <c r="C10215" t="s">
        <v>28</v>
      </c>
      <c r="D10215" t="s">
        <v>17</v>
      </c>
      <c r="E10215" t="s">
        <v>12</v>
      </c>
      <c r="F10215">
        <v>56079652</v>
      </c>
      <c r="G10215">
        <v>56079667</v>
      </c>
      <c r="H10215">
        <v>56079672</v>
      </c>
      <c r="I10215">
        <v>56079704</v>
      </c>
    </row>
    <row r="10216" spans="1:9" x14ac:dyDescent="0.2">
      <c r="A10216" t="str">
        <f>"Hdgfrp3"</f>
        <v>Hdgfrp3</v>
      </c>
      <c r="B10216" t="s">
        <v>14</v>
      </c>
      <c r="C10216" t="s">
        <v>33</v>
      </c>
      <c r="D10216" t="s">
        <v>11</v>
      </c>
      <c r="E10216" t="s">
        <v>12</v>
      </c>
      <c r="F10216">
        <v>81934316</v>
      </c>
      <c r="G10216">
        <v>81934463</v>
      </c>
      <c r="H10216">
        <v>81934316</v>
      </c>
      <c r="I10216">
        <v>81934463</v>
      </c>
    </row>
    <row r="10217" spans="1:9" x14ac:dyDescent="0.2">
      <c r="A10217" t="str">
        <f>"Hdhd1a"</f>
        <v>Hdhd1a</v>
      </c>
      <c r="B10217" t="s">
        <v>14</v>
      </c>
      <c r="C10217" t="s">
        <v>43</v>
      </c>
      <c r="D10217" t="s">
        <v>11</v>
      </c>
      <c r="E10217" t="s">
        <v>12</v>
      </c>
      <c r="F10217">
        <v>50568663</v>
      </c>
      <c r="G10217">
        <v>50568706</v>
      </c>
      <c r="H10217">
        <v>50568721</v>
      </c>
      <c r="I10217">
        <v>50568730</v>
      </c>
    </row>
    <row r="10218" spans="1:9" x14ac:dyDescent="0.2">
      <c r="A10218" t="str">
        <f>"Hdhd2"</f>
        <v>Hdhd2</v>
      </c>
      <c r="B10218" t="s">
        <v>14</v>
      </c>
      <c r="C10218" t="s">
        <v>43</v>
      </c>
      <c r="D10218" t="s">
        <v>17</v>
      </c>
      <c r="E10218" t="s">
        <v>12</v>
      </c>
      <c r="F10218">
        <v>76944094</v>
      </c>
      <c r="G10218">
        <v>76944168</v>
      </c>
      <c r="H10218">
        <v>76944392</v>
      </c>
      <c r="I10218">
        <v>76944444</v>
      </c>
    </row>
    <row r="10219" spans="1:9" x14ac:dyDescent="0.2">
      <c r="A10219" t="str">
        <f>"Hdhd3"</f>
        <v>Hdhd3</v>
      </c>
      <c r="B10219" t="s">
        <v>14</v>
      </c>
      <c r="C10219" t="s">
        <v>23</v>
      </c>
      <c r="D10219" t="s">
        <v>11</v>
      </c>
      <c r="E10219" t="s">
        <v>12</v>
      </c>
      <c r="F10219">
        <v>62502200</v>
      </c>
      <c r="G10219">
        <v>62502226</v>
      </c>
      <c r="H10219">
        <v>62502233</v>
      </c>
      <c r="I10219">
        <v>62502260</v>
      </c>
    </row>
    <row r="10220" spans="1:9" x14ac:dyDescent="0.2">
      <c r="A10220" t="str">
        <f>"Hdlbp"</f>
        <v>Hdlbp</v>
      </c>
      <c r="B10220" t="s">
        <v>9</v>
      </c>
      <c r="C10220" t="s">
        <v>19</v>
      </c>
      <c r="D10220" t="s">
        <v>11</v>
      </c>
      <c r="E10220" t="s">
        <v>12</v>
      </c>
      <c r="F10220">
        <v>93445642</v>
      </c>
      <c r="G10220">
        <v>93445660</v>
      </c>
      <c r="H10220">
        <v>93445642</v>
      </c>
      <c r="I10220">
        <v>93445660</v>
      </c>
    </row>
    <row r="10221" spans="1:9" x14ac:dyDescent="0.2">
      <c r="A10221" t="str">
        <f>"Hdlbp"</f>
        <v>Hdlbp</v>
      </c>
      <c r="B10221" t="s">
        <v>13</v>
      </c>
      <c r="C10221" t="s">
        <v>19</v>
      </c>
      <c r="D10221" t="s">
        <v>11</v>
      </c>
      <c r="E10221" t="s">
        <v>12</v>
      </c>
      <c r="F10221">
        <v>93478785</v>
      </c>
      <c r="G10221">
        <v>93478823</v>
      </c>
      <c r="H10221">
        <v>93478785</v>
      </c>
      <c r="I10221">
        <v>93478823</v>
      </c>
    </row>
    <row r="10222" spans="1:9" x14ac:dyDescent="0.2">
      <c r="A10222" t="str">
        <f>"Hdx"</f>
        <v>Hdx</v>
      </c>
      <c r="B10222" t="s">
        <v>14</v>
      </c>
      <c r="C10222" t="s">
        <v>37</v>
      </c>
      <c r="D10222" t="s">
        <v>11</v>
      </c>
      <c r="E10222" t="s">
        <v>12</v>
      </c>
      <c r="F10222">
        <v>111697069</v>
      </c>
      <c r="G10222">
        <v>111697127</v>
      </c>
      <c r="H10222">
        <v>111697132</v>
      </c>
      <c r="I10222">
        <v>111697135</v>
      </c>
    </row>
    <row r="10223" spans="1:9" x14ac:dyDescent="0.2">
      <c r="A10223" t="str">
        <f>"Heatr1"</f>
        <v>Heatr1</v>
      </c>
      <c r="B10223" t="s">
        <v>14</v>
      </c>
      <c r="C10223" t="s">
        <v>39</v>
      </c>
      <c r="D10223" t="s">
        <v>17</v>
      </c>
      <c r="E10223" t="s">
        <v>12</v>
      </c>
      <c r="F10223">
        <v>12395362</v>
      </c>
      <c r="G10223">
        <v>12395415</v>
      </c>
      <c r="H10223">
        <v>12394880</v>
      </c>
      <c r="I10223">
        <v>12394914</v>
      </c>
    </row>
    <row r="10224" spans="1:9" x14ac:dyDescent="0.2">
      <c r="A10224" t="str">
        <f>"Heatr2"</f>
        <v>Heatr2</v>
      </c>
      <c r="B10224" t="s">
        <v>14</v>
      </c>
      <c r="C10224" t="s">
        <v>46</v>
      </c>
      <c r="D10224" t="s">
        <v>17</v>
      </c>
      <c r="E10224" t="s">
        <v>12</v>
      </c>
      <c r="F10224">
        <v>139150211</v>
      </c>
      <c r="G10224">
        <v>139150249</v>
      </c>
      <c r="H10224">
        <v>139150139</v>
      </c>
      <c r="I10224">
        <v>139150146</v>
      </c>
    </row>
    <row r="10225" spans="1:9" x14ac:dyDescent="0.2">
      <c r="A10225" t="str">
        <f>"Heatr3"</f>
        <v>Heatr3</v>
      </c>
      <c r="B10225" t="s">
        <v>14</v>
      </c>
      <c r="C10225" t="s">
        <v>30</v>
      </c>
      <c r="D10225" t="s">
        <v>17</v>
      </c>
      <c r="E10225" t="s">
        <v>12</v>
      </c>
      <c r="F10225">
        <v>88137844</v>
      </c>
      <c r="G10225">
        <v>88137902</v>
      </c>
      <c r="H10225">
        <v>88137906</v>
      </c>
      <c r="I10225">
        <v>88137919</v>
      </c>
    </row>
    <row r="10226" spans="1:9" x14ac:dyDescent="0.2">
      <c r="A10226" t="str">
        <f>"Heatr5a"</f>
        <v>Heatr5a</v>
      </c>
      <c r="B10226" t="s">
        <v>14</v>
      </c>
      <c r="C10226" t="s">
        <v>16</v>
      </c>
      <c r="D10226" t="s">
        <v>11</v>
      </c>
      <c r="E10226" t="s">
        <v>12</v>
      </c>
      <c r="F10226">
        <v>51971289</v>
      </c>
      <c r="G10226">
        <v>51971326</v>
      </c>
      <c r="H10226">
        <v>51971250</v>
      </c>
      <c r="I10226">
        <v>51971284</v>
      </c>
    </row>
    <row r="10227" spans="1:9" x14ac:dyDescent="0.2">
      <c r="A10227" t="str">
        <f>"Heatr5b"</f>
        <v>Heatr5b</v>
      </c>
      <c r="B10227" t="s">
        <v>14</v>
      </c>
      <c r="C10227" t="s">
        <v>28</v>
      </c>
      <c r="D10227" t="s">
        <v>11</v>
      </c>
      <c r="E10227" t="s">
        <v>12</v>
      </c>
      <c r="F10227">
        <v>78835326</v>
      </c>
      <c r="G10227">
        <v>78835373</v>
      </c>
      <c r="H10227">
        <v>78835326</v>
      </c>
      <c r="I10227">
        <v>78835373</v>
      </c>
    </row>
    <row r="10228" spans="1:9" x14ac:dyDescent="0.2">
      <c r="A10228" t="str">
        <f>"Heatr6"</f>
        <v>Heatr6</v>
      </c>
      <c r="B10228" t="s">
        <v>14</v>
      </c>
      <c r="C10228" t="s">
        <v>27</v>
      </c>
      <c r="D10228" t="s">
        <v>17</v>
      </c>
      <c r="E10228" t="s">
        <v>12</v>
      </c>
      <c r="F10228">
        <v>83753689</v>
      </c>
      <c r="G10228">
        <v>83753722</v>
      </c>
      <c r="H10228">
        <v>83754020</v>
      </c>
      <c r="I10228">
        <v>83754042</v>
      </c>
    </row>
    <row r="10229" spans="1:9" x14ac:dyDescent="0.2">
      <c r="A10229" t="str">
        <f>"Hebp1"</f>
        <v>Hebp1</v>
      </c>
      <c r="B10229" t="s">
        <v>14</v>
      </c>
      <c r="C10229" t="s">
        <v>32</v>
      </c>
      <c r="D10229" t="s">
        <v>11</v>
      </c>
      <c r="E10229" t="s">
        <v>12</v>
      </c>
      <c r="F10229">
        <v>135168131</v>
      </c>
      <c r="G10229">
        <v>135168161</v>
      </c>
      <c r="H10229">
        <v>135168162</v>
      </c>
      <c r="I10229">
        <v>135168210</v>
      </c>
    </row>
    <row r="10230" spans="1:9" x14ac:dyDescent="0.2">
      <c r="A10230" t="str">
        <f>"Hebp2"</f>
        <v>Hebp2</v>
      </c>
      <c r="B10230" t="s">
        <v>14</v>
      </c>
      <c r="C10230" t="s">
        <v>15</v>
      </c>
      <c r="D10230" t="s">
        <v>11</v>
      </c>
      <c r="E10230" t="s">
        <v>12</v>
      </c>
      <c r="F10230">
        <v>18545880</v>
      </c>
      <c r="G10230">
        <v>18545931</v>
      </c>
      <c r="H10230">
        <v>18546049</v>
      </c>
      <c r="I10230">
        <v>18546084</v>
      </c>
    </row>
    <row r="10231" spans="1:9" x14ac:dyDescent="0.2">
      <c r="A10231" t="str">
        <f>"Heca"</f>
        <v>Heca</v>
      </c>
      <c r="B10231" t="s">
        <v>14</v>
      </c>
      <c r="C10231" t="s">
        <v>15</v>
      </c>
      <c r="D10231" t="s">
        <v>11</v>
      </c>
      <c r="E10231" t="s">
        <v>12</v>
      </c>
      <c r="F10231">
        <v>17947997</v>
      </c>
      <c r="G10231">
        <v>17948098</v>
      </c>
      <c r="H10231">
        <v>17947988</v>
      </c>
      <c r="I10231">
        <v>17947995</v>
      </c>
    </row>
    <row r="10232" spans="1:9" x14ac:dyDescent="0.2">
      <c r="A10232" t="str">
        <f>"Hectd1"</f>
        <v>Hectd1</v>
      </c>
      <c r="B10232" t="s">
        <v>14</v>
      </c>
      <c r="C10232" t="s">
        <v>16</v>
      </c>
      <c r="D10232" t="s">
        <v>11</v>
      </c>
      <c r="E10232" t="s">
        <v>12</v>
      </c>
      <c r="F10232">
        <v>51829281</v>
      </c>
      <c r="G10232">
        <v>51829357</v>
      </c>
      <c r="H10232">
        <v>51829525</v>
      </c>
      <c r="I10232">
        <v>51829553</v>
      </c>
    </row>
    <row r="10233" spans="1:9" x14ac:dyDescent="0.2">
      <c r="A10233" t="str">
        <f>"Hectd2"</f>
        <v>Hectd2</v>
      </c>
      <c r="B10233" t="s">
        <v>14</v>
      </c>
      <c r="C10233" t="s">
        <v>10</v>
      </c>
      <c r="D10233" t="s">
        <v>17</v>
      </c>
      <c r="E10233" t="s">
        <v>12</v>
      </c>
      <c r="F10233">
        <v>36554690</v>
      </c>
      <c r="G10233">
        <v>36554714</v>
      </c>
      <c r="H10233">
        <v>36554742</v>
      </c>
      <c r="I10233">
        <v>36554773</v>
      </c>
    </row>
    <row r="10234" spans="1:9" x14ac:dyDescent="0.2">
      <c r="A10234" t="str">
        <f>"Hectd3"</f>
        <v>Hectd3</v>
      </c>
      <c r="B10234" t="s">
        <v>14</v>
      </c>
      <c r="C10234" t="s">
        <v>23</v>
      </c>
      <c r="D10234" t="s">
        <v>17</v>
      </c>
      <c r="E10234" t="s">
        <v>12</v>
      </c>
      <c r="F10234">
        <v>116995306</v>
      </c>
      <c r="G10234">
        <v>116995342</v>
      </c>
      <c r="H10234">
        <v>116995348</v>
      </c>
      <c r="I10234">
        <v>116995370</v>
      </c>
    </row>
    <row r="10235" spans="1:9" x14ac:dyDescent="0.2">
      <c r="A10235" t="str">
        <f>"Hecw1"</f>
        <v>Hecw1</v>
      </c>
      <c r="B10235" t="s">
        <v>14</v>
      </c>
      <c r="C10235" t="s">
        <v>39</v>
      </c>
      <c r="D10235" t="s">
        <v>11</v>
      </c>
      <c r="E10235" t="s">
        <v>12</v>
      </c>
      <c r="F10235">
        <v>14523096</v>
      </c>
      <c r="G10235">
        <v>14523165</v>
      </c>
      <c r="H10235">
        <v>14523178</v>
      </c>
      <c r="I10235">
        <v>14523202</v>
      </c>
    </row>
    <row r="10236" spans="1:9" x14ac:dyDescent="0.2">
      <c r="A10236" t="str">
        <f>"Hecw2"</f>
        <v>Hecw2</v>
      </c>
      <c r="B10236" t="s">
        <v>14</v>
      </c>
      <c r="C10236" t="s">
        <v>19</v>
      </c>
      <c r="D10236" t="s">
        <v>11</v>
      </c>
      <c r="E10236" t="s">
        <v>12</v>
      </c>
      <c r="F10236">
        <v>54195189</v>
      </c>
      <c r="G10236">
        <v>54195211</v>
      </c>
      <c r="H10236">
        <v>54195189</v>
      </c>
      <c r="I10236">
        <v>54195211</v>
      </c>
    </row>
    <row r="10237" spans="1:9" x14ac:dyDescent="0.2">
      <c r="A10237" t="str">
        <f>"Heg1"</f>
        <v>Heg1</v>
      </c>
      <c r="B10237" t="s">
        <v>14</v>
      </c>
      <c r="C10237" t="s">
        <v>31</v>
      </c>
      <c r="D10237" t="s">
        <v>17</v>
      </c>
      <c r="E10237" t="s">
        <v>12</v>
      </c>
      <c r="F10237">
        <v>33684504</v>
      </c>
      <c r="G10237">
        <v>33684532</v>
      </c>
      <c r="H10237">
        <v>33684538</v>
      </c>
      <c r="I10237">
        <v>33684554</v>
      </c>
    </row>
    <row r="10238" spans="1:9" x14ac:dyDescent="0.2">
      <c r="A10238" t="str">
        <f>"Helb"</f>
        <v>Helb</v>
      </c>
      <c r="B10238" t="s">
        <v>14</v>
      </c>
      <c r="C10238" t="s">
        <v>15</v>
      </c>
      <c r="D10238" t="s">
        <v>11</v>
      </c>
      <c r="E10238" t="s">
        <v>12</v>
      </c>
      <c r="F10238">
        <v>120112865</v>
      </c>
      <c r="G10238">
        <v>120112911</v>
      </c>
      <c r="H10238">
        <v>120112913</v>
      </c>
      <c r="I10238">
        <v>120112945</v>
      </c>
    </row>
    <row r="10239" spans="1:9" x14ac:dyDescent="0.2">
      <c r="A10239" t="str">
        <f>"Hells"</f>
        <v>Hells</v>
      </c>
      <c r="B10239" t="s">
        <v>14</v>
      </c>
      <c r="C10239" t="s">
        <v>10</v>
      </c>
      <c r="D10239" t="s">
        <v>17</v>
      </c>
      <c r="E10239" t="s">
        <v>12</v>
      </c>
      <c r="F10239">
        <v>38930948</v>
      </c>
      <c r="G10239">
        <v>38930968</v>
      </c>
      <c r="H10239">
        <v>38930928</v>
      </c>
      <c r="I10239">
        <v>38930941</v>
      </c>
    </row>
    <row r="10240" spans="1:9" x14ac:dyDescent="0.2">
      <c r="A10240" t="str">
        <f>"Helq"</f>
        <v>Helq</v>
      </c>
      <c r="B10240" t="s">
        <v>14</v>
      </c>
      <c r="C10240" t="s">
        <v>46</v>
      </c>
      <c r="D10240" t="s">
        <v>11</v>
      </c>
      <c r="E10240" t="s">
        <v>12</v>
      </c>
      <c r="F10240">
        <v>100798567</v>
      </c>
      <c r="G10240">
        <v>100798610</v>
      </c>
      <c r="H10240">
        <v>100798534</v>
      </c>
      <c r="I10240">
        <v>100798549</v>
      </c>
    </row>
    <row r="10241" spans="1:9" x14ac:dyDescent="0.2">
      <c r="A10241" t="str">
        <f>"Helt"</f>
        <v>Helt</v>
      </c>
      <c r="B10241" t="s">
        <v>14</v>
      </c>
      <c r="C10241" t="s">
        <v>30</v>
      </c>
      <c r="D10241" t="s">
        <v>11</v>
      </c>
      <c r="E10241" t="s">
        <v>12</v>
      </c>
      <c r="F10241">
        <v>46294592</v>
      </c>
      <c r="G10241">
        <v>46294601</v>
      </c>
      <c r="H10241">
        <v>46293748</v>
      </c>
      <c r="I10241">
        <v>46293791</v>
      </c>
    </row>
    <row r="10242" spans="1:9" x14ac:dyDescent="0.2">
      <c r="A10242" t="str">
        <f>"Helz"</f>
        <v>Helz</v>
      </c>
      <c r="B10242" t="s">
        <v>14</v>
      </c>
      <c r="C10242" t="s">
        <v>27</v>
      </c>
      <c r="D10242" t="s">
        <v>17</v>
      </c>
      <c r="E10242" t="s">
        <v>12</v>
      </c>
      <c r="F10242">
        <v>107547925</v>
      </c>
      <c r="G10242">
        <v>107547959</v>
      </c>
      <c r="H10242">
        <v>107547925</v>
      </c>
      <c r="I10242">
        <v>107547959</v>
      </c>
    </row>
    <row r="10243" spans="1:9" x14ac:dyDescent="0.2">
      <c r="A10243" t="str">
        <f>"Helz2"</f>
        <v>Helz2</v>
      </c>
      <c r="B10243" t="s">
        <v>14</v>
      </c>
      <c r="C10243" t="s">
        <v>26</v>
      </c>
      <c r="D10243" t="s">
        <v>11</v>
      </c>
      <c r="E10243" t="s">
        <v>67</v>
      </c>
      <c r="F10243">
        <v>181241980</v>
      </c>
      <c r="G10243">
        <v>181242018</v>
      </c>
      <c r="H10243">
        <v>181242020</v>
      </c>
      <c r="I10243">
        <v>181242048</v>
      </c>
    </row>
    <row r="10244" spans="1:9" x14ac:dyDescent="0.2">
      <c r="A10244" t="str">
        <f>"Hemgn"</f>
        <v>Hemgn</v>
      </c>
      <c r="B10244" t="s">
        <v>14</v>
      </c>
      <c r="C10244" t="s">
        <v>23</v>
      </c>
      <c r="D10244" t="s">
        <v>11</v>
      </c>
      <c r="E10244" t="s">
        <v>12</v>
      </c>
      <c r="F10244">
        <v>46404224</v>
      </c>
      <c r="G10244">
        <v>46404240</v>
      </c>
      <c r="H10244">
        <v>46404224</v>
      </c>
      <c r="I10244">
        <v>46404240</v>
      </c>
    </row>
    <row r="10245" spans="1:9" x14ac:dyDescent="0.2">
      <c r="A10245" t="str">
        <f>"Hemk1"</f>
        <v>Hemk1</v>
      </c>
      <c r="B10245" t="s">
        <v>14</v>
      </c>
      <c r="C10245" t="s">
        <v>24</v>
      </c>
      <c r="D10245" t="s">
        <v>11</v>
      </c>
      <c r="E10245" t="s">
        <v>12</v>
      </c>
      <c r="F10245">
        <v>107338305</v>
      </c>
      <c r="G10245">
        <v>107338351</v>
      </c>
      <c r="H10245">
        <v>107338376</v>
      </c>
      <c r="I10245">
        <v>107338386</v>
      </c>
    </row>
    <row r="10246" spans="1:9" x14ac:dyDescent="0.2">
      <c r="A10246" t="str">
        <f>"Hemt1"</f>
        <v>Hemt1</v>
      </c>
      <c r="B10246" t="s">
        <v>14</v>
      </c>
      <c r="C10246" t="s">
        <v>25</v>
      </c>
      <c r="D10246" t="s">
        <v>17</v>
      </c>
      <c r="E10246" t="s">
        <v>12</v>
      </c>
      <c r="F10246">
        <v>74819081</v>
      </c>
      <c r="G10246">
        <v>74819092</v>
      </c>
      <c r="H10246">
        <v>74818936</v>
      </c>
      <c r="I10246">
        <v>74818972</v>
      </c>
    </row>
    <row r="10247" spans="1:9" x14ac:dyDescent="0.2">
      <c r="A10247" t="str">
        <f>"Henmt1"</f>
        <v>Henmt1</v>
      </c>
      <c r="B10247" t="s">
        <v>14</v>
      </c>
      <c r="C10247" t="s">
        <v>22</v>
      </c>
      <c r="D10247" t="s">
        <v>17</v>
      </c>
      <c r="E10247" t="s">
        <v>67</v>
      </c>
      <c r="F10247">
        <v>108940076</v>
      </c>
      <c r="G10247">
        <v>108940107</v>
      </c>
      <c r="H10247">
        <v>108940055</v>
      </c>
      <c r="I10247">
        <v>108940071</v>
      </c>
    </row>
    <row r="10248" spans="1:9" x14ac:dyDescent="0.2">
      <c r="A10248" t="str">
        <f>"Hepacam"</f>
        <v>Hepacam</v>
      </c>
      <c r="B10248" t="s">
        <v>14</v>
      </c>
      <c r="C10248" t="s">
        <v>24</v>
      </c>
      <c r="D10248" t="s">
        <v>17</v>
      </c>
      <c r="E10248" t="s">
        <v>12</v>
      </c>
      <c r="F10248">
        <v>37367627</v>
      </c>
      <c r="G10248">
        <v>37367656</v>
      </c>
      <c r="H10248">
        <v>37367354</v>
      </c>
      <c r="I10248">
        <v>37367378</v>
      </c>
    </row>
    <row r="10249" spans="1:9" x14ac:dyDescent="0.2">
      <c r="A10249" t="str">
        <f>"Hepacam2"</f>
        <v>Hepacam2</v>
      </c>
      <c r="B10249" t="s">
        <v>14</v>
      </c>
      <c r="C10249" t="s">
        <v>32</v>
      </c>
      <c r="D10249" t="s">
        <v>11</v>
      </c>
      <c r="E10249" t="s">
        <v>12</v>
      </c>
      <c r="F10249">
        <v>3494486</v>
      </c>
      <c r="G10249">
        <v>3494526</v>
      </c>
      <c r="H10249">
        <v>3494527</v>
      </c>
      <c r="I10249">
        <v>3494542</v>
      </c>
    </row>
    <row r="10250" spans="1:9" x14ac:dyDescent="0.2">
      <c r="A10250" t="str">
        <f>"Heph"</f>
        <v>Heph</v>
      </c>
      <c r="B10250" t="s">
        <v>14</v>
      </c>
      <c r="C10250" t="s">
        <v>37</v>
      </c>
      <c r="D10250" t="s">
        <v>17</v>
      </c>
      <c r="E10250" t="s">
        <v>12</v>
      </c>
      <c r="F10250">
        <v>96455529</v>
      </c>
      <c r="G10250">
        <v>96455599</v>
      </c>
      <c r="H10250">
        <v>96456404</v>
      </c>
      <c r="I10250">
        <v>96456441</v>
      </c>
    </row>
    <row r="10251" spans="1:9" x14ac:dyDescent="0.2">
      <c r="A10251" t="str">
        <f>"Hephl1"</f>
        <v>Hephl1</v>
      </c>
      <c r="B10251" t="s">
        <v>14</v>
      </c>
      <c r="C10251" t="s">
        <v>24</v>
      </c>
      <c r="D10251" t="s">
        <v>11</v>
      </c>
      <c r="E10251" t="s">
        <v>12</v>
      </c>
      <c r="F10251">
        <v>15112100</v>
      </c>
      <c r="G10251">
        <v>15112119</v>
      </c>
      <c r="H10251">
        <v>15112145</v>
      </c>
      <c r="I10251">
        <v>15112157</v>
      </c>
    </row>
    <row r="10252" spans="1:9" x14ac:dyDescent="0.2">
      <c r="A10252" t="str">
        <f>"Herc1"</f>
        <v>Herc1</v>
      </c>
      <c r="B10252" t="s">
        <v>14</v>
      </c>
      <c r="C10252" t="s">
        <v>24</v>
      </c>
      <c r="D10252" t="s">
        <v>17</v>
      </c>
      <c r="E10252" t="s">
        <v>12</v>
      </c>
      <c r="F10252">
        <v>66350465</v>
      </c>
      <c r="G10252">
        <v>66350515</v>
      </c>
      <c r="H10252">
        <v>66350416</v>
      </c>
      <c r="I10252">
        <v>66350435</v>
      </c>
    </row>
    <row r="10253" spans="1:9" x14ac:dyDescent="0.2">
      <c r="A10253" t="str">
        <f>"Herc2"</f>
        <v>Herc2</v>
      </c>
      <c r="B10253" t="s">
        <v>14</v>
      </c>
      <c r="C10253" t="s">
        <v>33</v>
      </c>
      <c r="D10253" t="s">
        <v>17</v>
      </c>
      <c r="E10253" t="s">
        <v>12</v>
      </c>
      <c r="F10253">
        <v>56050135</v>
      </c>
      <c r="G10253">
        <v>56050217</v>
      </c>
      <c r="H10253">
        <v>56050345</v>
      </c>
      <c r="I10253">
        <v>56050348</v>
      </c>
    </row>
    <row r="10254" spans="1:9" x14ac:dyDescent="0.2">
      <c r="A10254" t="str">
        <f>"Herc3"</f>
        <v>Herc3</v>
      </c>
      <c r="B10254" t="s">
        <v>14</v>
      </c>
      <c r="C10254" t="s">
        <v>32</v>
      </c>
      <c r="D10254" t="s">
        <v>17</v>
      </c>
      <c r="E10254" t="s">
        <v>12</v>
      </c>
      <c r="F10254">
        <v>58831456</v>
      </c>
      <c r="G10254">
        <v>58831504</v>
      </c>
      <c r="H10254">
        <v>58831513</v>
      </c>
      <c r="I10254">
        <v>58831529</v>
      </c>
    </row>
    <row r="10255" spans="1:9" x14ac:dyDescent="0.2">
      <c r="A10255" t="str">
        <f>"Herc4"</f>
        <v>Herc4</v>
      </c>
      <c r="B10255" t="s">
        <v>14</v>
      </c>
      <c r="C10255" t="s">
        <v>15</v>
      </c>
      <c r="D10255" t="s">
        <v>17</v>
      </c>
      <c r="E10255" t="s">
        <v>12</v>
      </c>
      <c r="F10255">
        <v>63243888</v>
      </c>
      <c r="G10255">
        <v>63243964</v>
      </c>
      <c r="H10255">
        <v>63243785</v>
      </c>
      <c r="I10255">
        <v>63243846</v>
      </c>
    </row>
    <row r="10256" spans="1:9" x14ac:dyDescent="0.2">
      <c r="A10256" t="str">
        <f>"Herc6"</f>
        <v>Herc6</v>
      </c>
      <c r="B10256" t="s">
        <v>14</v>
      </c>
      <c r="C10256" t="s">
        <v>32</v>
      </c>
      <c r="D10256" t="s">
        <v>17</v>
      </c>
      <c r="E10256" t="s">
        <v>12</v>
      </c>
      <c r="F10256">
        <v>57581060</v>
      </c>
      <c r="G10256">
        <v>57581115</v>
      </c>
      <c r="H10256">
        <v>57580994</v>
      </c>
      <c r="I10256">
        <v>57581015</v>
      </c>
    </row>
    <row r="10257" spans="1:9" x14ac:dyDescent="0.2">
      <c r="A10257" t="str">
        <f>"Herpud1"</f>
        <v>Herpud1</v>
      </c>
      <c r="B10257" t="s">
        <v>14</v>
      </c>
      <c r="C10257" t="s">
        <v>30</v>
      </c>
      <c r="D10257" t="s">
        <v>17</v>
      </c>
      <c r="E10257" t="s">
        <v>12</v>
      </c>
      <c r="F10257">
        <v>94386486</v>
      </c>
      <c r="G10257">
        <v>94386509</v>
      </c>
      <c r="H10257">
        <v>94386523</v>
      </c>
      <c r="I10257">
        <v>94386534</v>
      </c>
    </row>
    <row r="10258" spans="1:9" x14ac:dyDescent="0.2">
      <c r="A10258" t="str">
        <f>"Herpud2"</f>
        <v>Herpud2</v>
      </c>
      <c r="B10258" t="s">
        <v>14</v>
      </c>
      <c r="C10258" t="s">
        <v>24</v>
      </c>
      <c r="D10258" t="s">
        <v>11</v>
      </c>
      <c r="E10258" t="s">
        <v>12</v>
      </c>
      <c r="F10258">
        <v>25151772</v>
      </c>
      <c r="G10258">
        <v>25151840</v>
      </c>
      <c r="H10258">
        <v>25151715</v>
      </c>
      <c r="I10258">
        <v>25151757</v>
      </c>
    </row>
    <row r="10259" spans="1:9" x14ac:dyDescent="0.2">
      <c r="A10259" t="str">
        <f>"Hes1"</f>
        <v>Hes1</v>
      </c>
      <c r="B10259" t="s">
        <v>14</v>
      </c>
      <c r="C10259" t="s">
        <v>31</v>
      </c>
      <c r="D10259" t="s">
        <v>17</v>
      </c>
      <c r="E10259" t="s">
        <v>12</v>
      </c>
      <c r="F10259">
        <v>30065333</v>
      </c>
      <c r="G10259">
        <v>30065351</v>
      </c>
      <c r="H10259">
        <v>30066158</v>
      </c>
      <c r="I10259">
        <v>30066200</v>
      </c>
    </row>
    <row r="10260" spans="1:9" x14ac:dyDescent="0.2">
      <c r="A10260" t="str">
        <f>"Hes2"</f>
        <v>Hes2</v>
      </c>
      <c r="B10260" t="s">
        <v>14</v>
      </c>
      <c r="C10260" t="s">
        <v>23</v>
      </c>
      <c r="D10260" t="s">
        <v>17</v>
      </c>
      <c r="E10260" t="s">
        <v>12</v>
      </c>
      <c r="F10260">
        <v>152159574</v>
      </c>
      <c r="G10260">
        <v>152159589</v>
      </c>
      <c r="H10260">
        <v>152158861</v>
      </c>
      <c r="I10260">
        <v>152158871</v>
      </c>
    </row>
    <row r="10261" spans="1:9" x14ac:dyDescent="0.2">
      <c r="A10261" t="str">
        <f>"Hes3"</f>
        <v>Hes3</v>
      </c>
      <c r="B10261" t="s">
        <v>14</v>
      </c>
      <c r="C10261" t="s">
        <v>23</v>
      </c>
      <c r="D10261" t="s">
        <v>11</v>
      </c>
      <c r="E10261" t="s">
        <v>12</v>
      </c>
      <c r="F10261">
        <v>152291663</v>
      </c>
      <c r="G10261">
        <v>152291672</v>
      </c>
      <c r="H10261">
        <v>152291676</v>
      </c>
      <c r="I10261">
        <v>152291682</v>
      </c>
    </row>
    <row r="10262" spans="1:9" x14ac:dyDescent="0.2">
      <c r="A10262" t="str">
        <f>"Hes5"</f>
        <v>Hes5</v>
      </c>
      <c r="B10262" t="s">
        <v>14</v>
      </c>
      <c r="C10262" t="s">
        <v>23</v>
      </c>
      <c r="D10262" t="s">
        <v>17</v>
      </c>
      <c r="E10262" t="s">
        <v>12</v>
      </c>
      <c r="F10262">
        <v>154960915</v>
      </c>
      <c r="G10262">
        <v>154960930</v>
      </c>
      <c r="H10262">
        <v>154960915</v>
      </c>
      <c r="I10262">
        <v>154960930</v>
      </c>
    </row>
    <row r="10263" spans="1:9" x14ac:dyDescent="0.2">
      <c r="A10263" t="str">
        <f>"Hes6"</f>
        <v>Hes6</v>
      </c>
      <c r="B10263" t="s">
        <v>9</v>
      </c>
      <c r="C10263" t="s">
        <v>19</v>
      </c>
      <c r="D10263" t="s">
        <v>11</v>
      </c>
      <c r="E10263" t="s">
        <v>12</v>
      </c>
      <c r="F10263">
        <v>91413163</v>
      </c>
      <c r="G10263">
        <v>91413234</v>
      </c>
      <c r="H10263">
        <v>91413163</v>
      </c>
      <c r="I10263">
        <v>91413234</v>
      </c>
    </row>
    <row r="10264" spans="1:9" x14ac:dyDescent="0.2">
      <c r="A10264" t="str">
        <f>"Hes6"</f>
        <v>Hes6</v>
      </c>
      <c r="B10264" t="s">
        <v>13</v>
      </c>
      <c r="C10264" t="s">
        <v>19</v>
      </c>
      <c r="D10264" t="s">
        <v>11</v>
      </c>
      <c r="E10264" t="s">
        <v>12</v>
      </c>
      <c r="F10264">
        <v>91414351</v>
      </c>
      <c r="G10264">
        <v>91414362</v>
      </c>
      <c r="H10264">
        <v>91414351</v>
      </c>
      <c r="I10264">
        <v>91414362</v>
      </c>
    </row>
    <row r="10265" spans="1:9" x14ac:dyDescent="0.2">
      <c r="A10265" t="str">
        <f>"Hes7"</f>
        <v>Hes7</v>
      </c>
      <c r="B10265" t="s">
        <v>4119</v>
      </c>
      <c r="C10265" t="s">
        <v>27</v>
      </c>
      <c r="D10265" t="s">
        <v>17</v>
      </c>
      <c r="E10265" t="s">
        <v>20</v>
      </c>
      <c r="F10265">
        <v>69120403</v>
      </c>
      <c r="G10265">
        <v>69120403</v>
      </c>
      <c r="H10265">
        <v>69120403</v>
      </c>
      <c r="I10265">
        <v>69120403</v>
      </c>
    </row>
    <row r="10266" spans="1:9" x14ac:dyDescent="0.2">
      <c r="A10266" t="str">
        <f>"Hesx1"</f>
        <v>Hesx1</v>
      </c>
      <c r="B10266" t="s">
        <v>14</v>
      </c>
      <c r="C10266" t="s">
        <v>41</v>
      </c>
      <c r="D10266" t="s">
        <v>17</v>
      </c>
      <c r="E10266" t="s">
        <v>12</v>
      </c>
      <c r="F10266">
        <v>27000666</v>
      </c>
      <c r="G10266">
        <v>27000679</v>
      </c>
      <c r="H10266">
        <v>27000666</v>
      </c>
      <c r="I10266">
        <v>27000679</v>
      </c>
    </row>
    <row r="10267" spans="1:9" x14ac:dyDescent="0.2">
      <c r="A10267" t="str">
        <f>"Hexa"</f>
        <v>Hexa</v>
      </c>
      <c r="B10267" t="s">
        <v>14</v>
      </c>
      <c r="C10267" t="s">
        <v>24</v>
      </c>
      <c r="D10267" t="s">
        <v>17</v>
      </c>
      <c r="E10267" t="s">
        <v>12</v>
      </c>
      <c r="F10267">
        <v>59539643</v>
      </c>
      <c r="G10267">
        <v>59539717</v>
      </c>
      <c r="H10267">
        <v>59539643</v>
      </c>
      <c r="I10267">
        <v>59539717</v>
      </c>
    </row>
    <row r="10268" spans="1:9" x14ac:dyDescent="0.2">
      <c r="A10268" t="str">
        <f>"Hexb"</f>
        <v>Hexb</v>
      </c>
      <c r="B10268" t="s">
        <v>14</v>
      </c>
      <c r="C10268" t="s">
        <v>39</v>
      </c>
      <c r="D10268" t="s">
        <v>11</v>
      </c>
      <c r="E10268" t="s">
        <v>12</v>
      </c>
      <c r="F10268">
        <v>97198287</v>
      </c>
      <c r="G10268">
        <v>97198337</v>
      </c>
      <c r="H10268">
        <v>97198351</v>
      </c>
      <c r="I10268">
        <v>97198362</v>
      </c>
    </row>
    <row r="10269" spans="1:9" x14ac:dyDescent="0.2">
      <c r="A10269" t="str">
        <f>"Hexdc"</f>
        <v>Hexdc</v>
      </c>
      <c r="B10269" t="s">
        <v>14</v>
      </c>
      <c r="C10269" t="s">
        <v>27</v>
      </c>
      <c r="D10269" t="s">
        <v>17</v>
      </c>
      <c r="E10269" t="s">
        <v>12</v>
      </c>
      <c r="F10269">
        <v>121204443</v>
      </c>
      <c r="G10269">
        <v>121204497</v>
      </c>
      <c r="H10269">
        <v>121204754</v>
      </c>
      <c r="I10269">
        <v>121204781</v>
      </c>
    </row>
    <row r="10270" spans="1:9" x14ac:dyDescent="0.2">
      <c r="A10270" t="str">
        <f>"Hexim1"</f>
        <v>Hexim1</v>
      </c>
      <c r="B10270" t="s">
        <v>14</v>
      </c>
      <c r="C10270" t="s">
        <v>27</v>
      </c>
      <c r="D10270" t="s">
        <v>17</v>
      </c>
      <c r="E10270" t="s">
        <v>12</v>
      </c>
      <c r="F10270">
        <v>103116228</v>
      </c>
      <c r="G10270">
        <v>103116235</v>
      </c>
      <c r="H10270">
        <v>103116338</v>
      </c>
      <c r="I10270">
        <v>103116360</v>
      </c>
    </row>
    <row r="10271" spans="1:9" x14ac:dyDescent="0.2">
      <c r="A10271" t="str">
        <f>"Hexim2"</f>
        <v>Hexim2</v>
      </c>
      <c r="B10271" t="s">
        <v>14</v>
      </c>
      <c r="C10271" t="s">
        <v>27</v>
      </c>
      <c r="D10271" t="s">
        <v>17</v>
      </c>
      <c r="E10271" t="s">
        <v>12</v>
      </c>
      <c r="F10271">
        <v>103133333</v>
      </c>
      <c r="G10271">
        <v>103133359</v>
      </c>
      <c r="H10271">
        <v>103133303</v>
      </c>
      <c r="I10271">
        <v>103133332</v>
      </c>
    </row>
    <row r="10272" spans="1:9" x14ac:dyDescent="0.2">
      <c r="A10272" t="str">
        <f>"Hey1"</f>
        <v>Hey1</v>
      </c>
      <c r="B10272" t="s">
        <v>14</v>
      </c>
      <c r="C10272" t="s">
        <v>22</v>
      </c>
      <c r="D10272" t="s">
        <v>11</v>
      </c>
      <c r="E10272" t="s">
        <v>12</v>
      </c>
      <c r="F10272">
        <v>8666963</v>
      </c>
      <c r="G10272">
        <v>8666978</v>
      </c>
      <c r="H10272">
        <v>8666997</v>
      </c>
      <c r="I10272">
        <v>8667012</v>
      </c>
    </row>
    <row r="10273" spans="1:9" x14ac:dyDescent="0.2">
      <c r="A10273" t="str">
        <f>"Hey2"</f>
        <v>Hey2</v>
      </c>
      <c r="B10273" t="s">
        <v>14</v>
      </c>
      <c r="C10273" t="s">
        <v>15</v>
      </c>
      <c r="D10273" t="s">
        <v>11</v>
      </c>
      <c r="E10273" t="s">
        <v>12</v>
      </c>
      <c r="F10273">
        <v>30842765</v>
      </c>
      <c r="G10273">
        <v>30842791</v>
      </c>
      <c r="H10273">
        <v>30842811</v>
      </c>
      <c r="I10273">
        <v>30842831</v>
      </c>
    </row>
    <row r="10274" spans="1:9" x14ac:dyDescent="0.2">
      <c r="A10274" t="str">
        <f>"Heyl"</f>
        <v>Heyl</v>
      </c>
      <c r="B10274" t="s">
        <v>14</v>
      </c>
      <c r="C10274" t="s">
        <v>23</v>
      </c>
      <c r="D10274" t="s">
        <v>17</v>
      </c>
      <c r="E10274" t="s">
        <v>12</v>
      </c>
      <c r="F10274">
        <v>123233843</v>
      </c>
      <c r="G10274">
        <v>123233869</v>
      </c>
      <c r="H10274">
        <v>123233813</v>
      </c>
      <c r="I10274">
        <v>123233822</v>
      </c>
    </row>
    <row r="10275" spans="1:9" x14ac:dyDescent="0.2">
      <c r="A10275" t="str">
        <f>"Hfe"</f>
        <v>Hfe</v>
      </c>
      <c r="B10275" t="s">
        <v>14</v>
      </c>
      <c r="C10275" t="s">
        <v>39</v>
      </c>
      <c r="D10275" t="s">
        <v>11</v>
      </c>
      <c r="E10275" t="s">
        <v>12</v>
      </c>
      <c r="F10275">
        <v>23710785</v>
      </c>
      <c r="G10275">
        <v>23710829</v>
      </c>
      <c r="H10275">
        <v>23710897</v>
      </c>
      <c r="I10275">
        <v>23710920</v>
      </c>
    </row>
    <row r="10276" spans="1:9" x14ac:dyDescent="0.2">
      <c r="A10276" t="str">
        <f>"Hfe2"</f>
        <v>Hfe2</v>
      </c>
      <c r="B10276" t="s">
        <v>14</v>
      </c>
      <c r="C10276" t="s">
        <v>22</v>
      </c>
      <c r="D10276" t="s">
        <v>17</v>
      </c>
      <c r="E10276" t="s">
        <v>12</v>
      </c>
      <c r="F10276">
        <v>96525163</v>
      </c>
      <c r="G10276">
        <v>96525186</v>
      </c>
      <c r="H10276">
        <v>96525192</v>
      </c>
      <c r="I10276">
        <v>96525219</v>
      </c>
    </row>
    <row r="10277" spans="1:9" x14ac:dyDescent="0.2">
      <c r="A10277" t="str">
        <f>"Hfm1"</f>
        <v>Hfm1</v>
      </c>
      <c r="B10277" t="s">
        <v>14</v>
      </c>
      <c r="C10277" t="s">
        <v>46</v>
      </c>
      <c r="D10277" t="s">
        <v>11</v>
      </c>
      <c r="E10277" t="s">
        <v>12</v>
      </c>
      <c r="F10277">
        <v>106926245</v>
      </c>
      <c r="G10277">
        <v>106926284</v>
      </c>
      <c r="H10277">
        <v>106925839</v>
      </c>
      <c r="I10277">
        <v>106925864</v>
      </c>
    </row>
    <row r="10278" spans="1:9" x14ac:dyDescent="0.2">
      <c r="A10278" t="str">
        <f>"Hgd"</f>
        <v>Hgd</v>
      </c>
      <c r="B10278" t="s">
        <v>14</v>
      </c>
      <c r="C10278" t="s">
        <v>31</v>
      </c>
      <c r="D10278" t="s">
        <v>17</v>
      </c>
      <c r="E10278" t="s">
        <v>12</v>
      </c>
      <c r="F10278">
        <v>37580274</v>
      </c>
      <c r="G10278">
        <v>37580289</v>
      </c>
      <c r="H10278">
        <v>37580228</v>
      </c>
      <c r="I10278">
        <v>37580258</v>
      </c>
    </row>
    <row r="10279" spans="1:9" x14ac:dyDescent="0.2">
      <c r="A10279" t="str">
        <f>"Hgf"</f>
        <v>Hgf</v>
      </c>
      <c r="B10279" t="s">
        <v>14</v>
      </c>
      <c r="C10279" t="s">
        <v>46</v>
      </c>
      <c r="D10279" t="s">
        <v>17</v>
      </c>
      <c r="E10279" t="s">
        <v>12</v>
      </c>
      <c r="F10279">
        <v>16553859</v>
      </c>
      <c r="G10279">
        <v>16553886</v>
      </c>
      <c r="H10279">
        <v>16553779</v>
      </c>
      <c r="I10279">
        <v>16553795</v>
      </c>
    </row>
    <row r="10280" spans="1:9" x14ac:dyDescent="0.2">
      <c r="A10280" t="str">
        <f>"Hgfac"</f>
        <v>Hgfac</v>
      </c>
      <c r="B10280" t="s">
        <v>14</v>
      </c>
      <c r="C10280" t="s">
        <v>46</v>
      </c>
      <c r="D10280" t="s">
        <v>17</v>
      </c>
      <c r="E10280" t="s">
        <v>12</v>
      </c>
      <c r="F10280">
        <v>35041539</v>
      </c>
      <c r="G10280">
        <v>35041595</v>
      </c>
      <c r="H10280">
        <v>35041539</v>
      </c>
      <c r="I10280">
        <v>35041595</v>
      </c>
    </row>
    <row r="10281" spans="1:9" x14ac:dyDescent="0.2">
      <c r="A10281" t="str">
        <f>"Hgs"</f>
        <v>Hgs</v>
      </c>
      <c r="B10281" t="s">
        <v>14</v>
      </c>
      <c r="C10281" t="s">
        <v>27</v>
      </c>
      <c r="D10281" t="s">
        <v>17</v>
      </c>
      <c r="E10281" t="s">
        <v>12</v>
      </c>
      <c r="F10281">
        <v>120467655</v>
      </c>
      <c r="G10281">
        <v>120467719</v>
      </c>
      <c r="H10281">
        <v>120467655</v>
      </c>
      <c r="I10281">
        <v>120467719</v>
      </c>
    </row>
    <row r="10282" spans="1:9" x14ac:dyDescent="0.2">
      <c r="A10282" t="str">
        <f>"Hgsnat"</f>
        <v>Hgsnat</v>
      </c>
      <c r="B10282" t="s">
        <v>14</v>
      </c>
      <c r="C10282" t="s">
        <v>30</v>
      </c>
      <c r="D10282" t="s">
        <v>11</v>
      </c>
      <c r="E10282" t="s">
        <v>12</v>
      </c>
      <c r="F10282">
        <v>25976666</v>
      </c>
      <c r="G10282">
        <v>25976716</v>
      </c>
      <c r="H10282">
        <v>25976747</v>
      </c>
      <c r="I10282">
        <v>25976758</v>
      </c>
    </row>
    <row r="10283" spans="1:9" x14ac:dyDescent="0.2">
      <c r="A10283" t="str">
        <f>"Hhat"</f>
        <v>Hhat</v>
      </c>
      <c r="B10283" t="s">
        <v>14</v>
      </c>
      <c r="C10283" t="s">
        <v>19</v>
      </c>
      <c r="D10283" t="s">
        <v>11</v>
      </c>
      <c r="E10283" t="s">
        <v>12</v>
      </c>
      <c r="F10283">
        <v>192771199</v>
      </c>
      <c r="G10283">
        <v>192771245</v>
      </c>
      <c r="H10283">
        <v>192771050</v>
      </c>
      <c r="I10283">
        <v>192771076</v>
      </c>
    </row>
    <row r="10284" spans="1:9" x14ac:dyDescent="0.2">
      <c r="A10284" t="str">
        <f>"Hhatl"</f>
        <v>Hhatl</v>
      </c>
      <c r="B10284" t="s">
        <v>14</v>
      </c>
      <c r="C10284" t="s">
        <v>24</v>
      </c>
      <c r="D10284" t="s">
        <v>11</v>
      </c>
      <c r="E10284" t="s">
        <v>12</v>
      </c>
      <c r="F10284">
        <v>121792331</v>
      </c>
      <c r="G10284">
        <v>121792389</v>
      </c>
      <c r="H10284">
        <v>121792478</v>
      </c>
      <c r="I10284">
        <v>121792490</v>
      </c>
    </row>
    <row r="10285" spans="1:9" x14ac:dyDescent="0.2">
      <c r="A10285" t="str">
        <f>"Hhex"</f>
        <v>Hhex</v>
      </c>
      <c r="B10285" t="s">
        <v>9</v>
      </c>
      <c r="C10285" t="s">
        <v>10</v>
      </c>
      <c r="D10285" t="s">
        <v>17</v>
      </c>
      <c r="E10285" t="s">
        <v>12</v>
      </c>
      <c r="F10285">
        <v>37434834</v>
      </c>
      <c r="G10285">
        <v>37434847</v>
      </c>
      <c r="H10285">
        <v>37434834</v>
      </c>
      <c r="I10285">
        <v>37434847</v>
      </c>
    </row>
    <row r="10286" spans="1:9" x14ac:dyDescent="0.2">
      <c r="A10286" t="str">
        <f>"Hhex"</f>
        <v>Hhex</v>
      </c>
      <c r="B10286" t="s">
        <v>13</v>
      </c>
      <c r="C10286" t="s">
        <v>10</v>
      </c>
      <c r="D10286" t="s">
        <v>17</v>
      </c>
      <c r="E10286" t="s">
        <v>12</v>
      </c>
      <c r="F10286">
        <v>37436621</v>
      </c>
      <c r="G10286">
        <v>37436625</v>
      </c>
      <c r="H10286">
        <v>37436621</v>
      </c>
      <c r="I10286">
        <v>37436625</v>
      </c>
    </row>
    <row r="10287" spans="1:9" x14ac:dyDescent="0.2">
      <c r="A10287" t="str">
        <f>"Hhip"</f>
        <v>Hhip</v>
      </c>
      <c r="B10287" t="s">
        <v>14</v>
      </c>
      <c r="C10287" t="s">
        <v>30</v>
      </c>
      <c r="D10287" t="s">
        <v>11</v>
      </c>
      <c r="E10287" t="s">
        <v>12</v>
      </c>
      <c r="F10287">
        <v>80057989</v>
      </c>
      <c r="G10287">
        <v>80058017</v>
      </c>
      <c r="H10287">
        <v>80057989</v>
      </c>
      <c r="I10287">
        <v>80058017</v>
      </c>
    </row>
    <row r="10288" spans="1:9" x14ac:dyDescent="0.2">
      <c r="A10288" t="str">
        <f>"Hhipl1"</f>
        <v>Hhipl1</v>
      </c>
      <c r="B10288" t="s">
        <v>14</v>
      </c>
      <c r="C10288" t="s">
        <v>16</v>
      </c>
      <c r="D10288" t="s">
        <v>17</v>
      </c>
      <c r="E10288" t="s">
        <v>12</v>
      </c>
      <c r="F10288">
        <v>108306184</v>
      </c>
      <c r="G10288">
        <v>108306203</v>
      </c>
      <c r="H10288">
        <v>108306380</v>
      </c>
      <c r="I10288">
        <v>108306402</v>
      </c>
    </row>
    <row r="10289" spans="1:9" x14ac:dyDescent="0.2">
      <c r="A10289" t="str">
        <f>"Hhipl2"</f>
        <v>Hhipl2</v>
      </c>
      <c r="B10289" t="s">
        <v>4120</v>
      </c>
      <c r="C10289" t="s">
        <v>19</v>
      </c>
      <c r="D10289" t="s">
        <v>17</v>
      </c>
      <c r="E10289" t="s">
        <v>20</v>
      </c>
      <c r="F10289">
        <v>183418502</v>
      </c>
      <c r="G10289">
        <v>183418502</v>
      </c>
      <c r="H10289">
        <v>183418502</v>
      </c>
      <c r="I10289">
        <v>183418502</v>
      </c>
    </row>
    <row r="10290" spans="1:9" x14ac:dyDescent="0.2">
      <c r="A10290" t="str">
        <f>"Hhla1"</f>
        <v>Hhla1</v>
      </c>
      <c r="B10290" t="s">
        <v>14</v>
      </c>
      <c r="C10290" t="s">
        <v>25</v>
      </c>
      <c r="D10290" t="s">
        <v>11</v>
      </c>
      <c r="E10290" t="s">
        <v>12</v>
      </c>
      <c r="F10290">
        <v>65976800</v>
      </c>
      <c r="G10290">
        <v>65976805</v>
      </c>
      <c r="H10290">
        <v>65976800</v>
      </c>
      <c r="I10290">
        <v>65976805</v>
      </c>
    </row>
    <row r="10291" spans="1:9" x14ac:dyDescent="0.2">
      <c r="A10291" t="str">
        <f>"Hiat1"</f>
        <v>Hiat1</v>
      </c>
      <c r="B10291" t="s">
        <v>14</v>
      </c>
      <c r="C10291" t="s">
        <v>22</v>
      </c>
      <c r="D10291" t="s">
        <v>11</v>
      </c>
      <c r="E10291" t="s">
        <v>12</v>
      </c>
      <c r="F10291">
        <v>116662590</v>
      </c>
      <c r="G10291">
        <v>116662641</v>
      </c>
      <c r="H10291">
        <v>116662643</v>
      </c>
      <c r="I10291">
        <v>116662654</v>
      </c>
    </row>
    <row r="10292" spans="1:9" x14ac:dyDescent="0.2">
      <c r="A10292" t="str">
        <f>"Hiatl1"</f>
        <v>Hiatl1</v>
      </c>
      <c r="B10292" t="s">
        <v>14</v>
      </c>
      <c r="C10292" t="s">
        <v>39</v>
      </c>
      <c r="D10292" t="s">
        <v>11</v>
      </c>
      <c r="E10292" t="s">
        <v>12</v>
      </c>
      <c r="F10292">
        <v>65112904</v>
      </c>
      <c r="G10292">
        <v>65112962</v>
      </c>
      <c r="H10292">
        <v>65112963</v>
      </c>
      <c r="I10292">
        <v>65112987</v>
      </c>
    </row>
    <row r="10293" spans="1:9" x14ac:dyDescent="0.2">
      <c r="A10293" t="str">
        <f>"Hibadh"</f>
        <v>Hibadh</v>
      </c>
      <c r="B10293" t="s">
        <v>14</v>
      </c>
      <c r="C10293" t="s">
        <v>32</v>
      </c>
      <c r="D10293" t="s">
        <v>11</v>
      </c>
      <c r="E10293" t="s">
        <v>12</v>
      </c>
      <c r="F10293">
        <v>52640303</v>
      </c>
      <c r="G10293">
        <v>52640386</v>
      </c>
      <c r="H10293">
        <v>52640247</v>
      </c>
      <c r="I10293">
        <v>52640259</v>
      </c>
    </row>
    <row r="10294" spans="1:9" x14ac:dyDescent="0.2">
      <c r="A10294" t="str">
        <f>"Hibch"</f>
        <v>Hibch</v>
      </c>
      <c r="B10294" t="s">
        <v>14</v>
      </c>
      <c r="C10294" t="s">
        <v>19</v>
      </c>
      <c r="D10294" t="s">
        <v>17</v>
      </c>
      <c r="E10294" t="s">
        <v>12</v>
      </c>
      <c r="F10294">
        <v>52845032</v>
      </c>
      <c r="G10294">
        <v>52845062</v>
      </c>
      <c r="H10294">
        <v>52845071</v>
      </c>
      <c r="I10294">
        <v>52845094</v>
      </c>
    </row>
    <row r="10295" spans="1:9" x14ac:dyDescent="0.2">
      <c r="A10295" t="str">
        <f>"Hic1"</f>
        <v>Hic1</v>
      </c>
      <c r="B10295" t="s">
        <v>14</v>
      </c>
      <c r="C10295" t="s">
        <v>27</v>
      </c>
      <c r="D10295" t="s">
        <v>11</v>
      </c>
      <c r="E10295" t="s">
        <v>12</v>
      </c>
      <c r="F10295">
        <v>75168152</v>
      </c>
      <c r="G10295">
        <v>75168156</v>
      </c>
      <c r="H10295">
        <v>75168152</v>
      </c>
      <c r="I10295">
        <v>75168156</v>
      </c>
    </row>
    <row r="10296" spans="1:9" x14ac:dyDescent="0.2">
      <c r="A10296" t="str">
        <f>"Hic2"</f>
        <v>Hic2</v>
      </c>
      <c r="B10296" t="s">
        <v>14</v>
      </c>
      <c r="C10296" t="s">
        <v>31</v>
      </c>
      <c r="D10296" t="s">
        <v>17</v>
      </c>
      <c r="E10296" t="s">
        <v>12</v>
      </c>
      <c r="F10296">
        <v>17233560</v>
      </c>
      <c r="G10296">
        <v>17233590</v>
      </c>
      <c r="H10296">
        <v>17233560</v>
      </c>
      <c r="I10296">
        <v>17233590</v>
      </c>
    </row>
    <row r="10297" spans="1:9" x14ac:dyDescent="0.2">
      <c r="A10297" t="str">
        <f>"Hid1"</f>
        <v>Hid1</v>
      </c>
      <c r="B10297" t="s">
        <v>14</v>
      </c>
      <c r="C10297" t="s">
        <v>27</v>
      </c>
      <c r="D10297" t="s">
        <v>11</v>
      </c>
      <c r="E10297" t="s">
        <v>67</v>
      </c>
      <c r="F10297">
        <v>115367687</v>
      </c>
      <c r="G10297">
        <v>115367734</v>
      </c>
      <c r="H10297">
        <v>115367671</v>
      </c>
      <c r="I10297">
        <v>115367678</v>
      </c>
    </row>
    <row r="10298" spans="1:9" x14ac:dyDescent="0.2">
      <c r="A10298" t="str">
        <f>"Hif1a"</f>
        <v>Hif1a</v>
      </c>
      <c r="B10298" t="s">
        <v>14</v>
      </c>
      <c r="C10298" t="s">
        <v>16</v>
      </c>
      <c r="D10298" t="s">
        <v>17</v>
      </c>
      <c r="E10298" t="s">
        <v>12</v>
      </c>
      <c r="F10298">
        <v>73907974</v>
      </c>
      <c r="G10298">
        <v>73908015</v>
      </c>
      <c r="H10298">
        <v>73907959</v>
      </c>
      <c r="I10298">
        <v>73907970</v>
      </c>
    </row>
    <row r="10299" spans="1:9" x14ac:dyDescent="0.2">
      <c r="A10299" t="str">
        <f>"Hif1an"</f>
        <v>Hif1an</v>
      </c>
      <c r="B10299" t="s">
        <v>14</v>
      </c>
      <c r="C10299" t="s">
        <v>10</v>
      </c>
      <c r="D10299" t="s">
        <v>17</v>
      </c>
      <c r="E10299" t="s">
        <v>12</v>
      </c>
      <c r="F10299">
        <v>44562841</v>
      </c>
      <c r="G10299">
        <v>44562879</v>
      </c>
      <c r="H10299">
        <v>44562937</v>
      </c>
      <c r="I10299">
        <v>44562949</v>
      </c>
    </row>
    <row r="10300" spans="1:9" x14ac:dyDescent="0.2">
      <c r="A10300" t="str">
        <f>"Hif3a"</f>
        <v>Hif3a</v>
      </c>
      <c r="B10300" t="s">
        <v>9</v>
      </c>
      <c r="C10300" t="s">
        <v>33</v>
      </c>
      <c r="D10300" t="s">
        <v>11</v>
      </c>
      <c r="E10300" t="s">
        <v>12</v>
      </c>
      <c r="F10300">
        <v>17062387</v>
      </c>
      <c r="G10300">
        <v>17062423</v>
      </c>
      <c r="H10300">
        <v>17062387</v>
      </c>
      <c r="I10300">
        <v>17062423</v>
      </c>
    </row>
    <row r="10301" spans="1:9" x14ac:dyDescent="0.2">
      <c r="A10301" t="str">
        <f>"Hif3a"</f>
        <v>Hif3a</v>
      </c>
      <c r="B10301" t="s">
        <v>13</v>
      </c>
      <c r="C10301" t="s">
        <v>33</v>
      </c>
      <c r="D10301" t="s">
        <v>11</v>
      </c>
      <c r="E10301" t="s">
        <v>12</v>
      </c>
      <c r="F10301">
        <v>17056704</v>
      </c>
      <c r="G10301">
        <v>17056717</v>
      </c>
      <c r="H10301">
        <v>17056704</v>
      </c>
      <c r="I10301">
        <v>17056717</v>
      </c>
    </row>
    <row r="10302" spans="1:9" x14ac:dyDescent="0.2">
      <c r="A10302" t="str">
        <f>"Higd1a"</f>
        <v>Higd1a</v>
      </c>
      <c r="B10302" t="s">
        <v>14</v>
      </c>
      <c r="C10302" t="s">
        <v>24</v>
      </c>
      <c r="D10302" t="s">
        <v>11</v>
      </c>
      <c r="E10302" t="s">
        <v>12</v>
      </c>
      <c r="F10302">
        <v>121857576</v>
      </c>
      <c r="G10302">
        <v>121857633</v>
      </c>
      <c r="H10302">
        <v>121857557</v>
      </c>
      <c r="I10302">
        <v>121857572</v>
      </c>
    </row>
    <row r="10303" spans="1:9" x14ac:dyDescent="0.2">
      <c r="A10303" t="str">
        <f>"Higd1b"</f>
        <v>Higd1b</v>
      </c>
      <c r="B10303" t="s">
        <v>14</v>
      </c>
      <c r="C10303" t="s">
        <v>27</v>
      </c>
      <c r="D10303" t="s">
        <v>17</v>
      </c>
      <c r="E10303" t="s">
        <v>12</v>
      </c>
      <c r="F10303">
        <v>102836425</v>
      </c>
      <c r="G10303">
        <v>102836458</v>
      </c>
      <c r="H10303">
        <v>102835905</v>
      </c>
      <c r="I10303">
        <v>102835959</v>
      </c>
    </row>
    <row r="10304" spans="1:9" x14ac:dyDescent="0.2">
      <c r="A10304" t="str">
        <f>"Higd1c"</f>
        <v>Higd1c</v>
      </c>
      <c r="B10304" t="s">
        <v>14</v>
      </c>
      <c r="C10304" t="s">
        <v>25</v>
      </c>
      <c r="D10304" t="s">
        <v>17</v>
      </c>
      <c r="E10304" t="s">
        <v>12</v>
      </c>
      <c r="F10304">
        <v>100364563</v>
      </c>
      <c r="G10304">
        <v>100364573</v>
      </c>
      <c r="H10304">
        <v>100364538</v>
      </c>
      <c r="I10304">
        <v>100364551</v>
      </c>
    </row>
    <row r="10305" spans="1:9" x14ac:dyDescent="0.2">
      <c r="A10305" t="str">
        <f>"Higd2a"</f>
        <v>Higd2a</v>
      </c>
      <c r="B10305" t="s">
        <v>14</v>
      </c>
      <c r="C10305" t="s">
        <v>39</v>
      </c>
      <c r="D10305" t="s">
        <v>17</v>
      </c>
      <c r="E10305" t="s">
        <v>12</v>
      </c>
      <c r="F10305">
        <v>54590221</v>
      </c>
      <c r="G10305">
        <v>54590267</v>
      </c>
      <c r="H10305">
        <v>54590204</v>
      </c>
      <c r="I10305">
        <v>54590218</v>
      </c>
    </row>
    <row r="10306" spans="1:9" x14ac:dyDescent="0.2">
      <c r="A10306" t="str">
        <f>"Hilpda"</f>
        <v>Hilpda</v>
      </c>
      <c r="B10306" t="s">
        <v>14</v>
      </c>
      <c r="C10306" t="s">
        <v>32</v>
      </c>
      <c r="D10306" t="s">
        <v>17</v>
      </c>
      <c r="E10306" t="s">
        <v>12</v>
      </c>
      <c r="F10306">
        <v>29272684</v>
      </c>
      <c r="G10306">
        <v>29272730</v>
      </c>
      <c r="H10306">
        <v>29272665</v>
      </c>
      <c r="I10306">
        <v>29272682</v>
      </c>
    </row>
    <row r="10307" spans="1:9" x14ac:dyDescent="0.2">
      <c r="A10307" t="str">
        <f>"Hils1"</f>
        <v>Hils1</v>
      </c>
      <c r="B10307" t="s">
        <v>14</v>
      </c>
      <c r="C10307" t="s">
        <v>27</v>
      </c>
      <c r="D10307" t="s">
        <v>17</v>
      </c>
      <c r="E10307" t="s">
        <v>12</v>
      </c>
      <c r="F10307">
        <v>94967622</v>
      </c>
      <c r="G10307">
        <v>94967639</v>
      </c>
      <c r="H10307">
        <v>94967589</v>
      </c>
      <c r="I10307">
        <v>94967612</v>
      </c>
    </row>
    <row r="10308" spans="1:9" x14ac:dyDescent="0.2">
      <c r="A10308" t="str">
        <f>"Hinfp"</f>
        <v>Hinfp</v>
      </c>
      <c r="B10308" t="s">
        <v>14</v>
      </c>
      <c r="C10308" t="s">
        <v>24</v>
      </c>
      <c r="D10308" t="s">
        <v>11</v>
      </c>
      <c r="E10308" t="s">
        <v>12</v>
      </c>
      <c r="F10308">
        <v>44305595</v>
      </c>
      <c r="G10308">
        <v>44305688</v>
      </c>
      <c r="H10308">
        <v>44305595</v>
      </c>
      <c r="I10308">
        <v>44305688</v>
      </c>
    </row>
    <row r="10309" spans="1:9" x14ac:dyDescent="0.2">
      <c r="A10309" t="str">
        <f>"Hint1"</f>
        <v>Hint1</v>
      </c>
      <c r="B10309" t="s">
        <v>14</v>
      </c>
      <c r="C10309" t="s">
        <v>27</v>
      </c>
      <c r="D10309" t="s">
        <v>17</v>
      </c>
      <c r="E10309" t="s">
        <v>12</v>
      </c>
      <c r="F10309">
        <v>54866413</v>
      </c>
      <c r="G10309">
        <v>54866459</v>
      </c>
      <c r="H10309">
        <v>54866374</v>
      </c>
      <c r="I10309">
        <v>54866392</v>
      </c>
    </row>
    <row r="10310" spans="1:9" x14ac:dyDescent="0.2">
      <c r="A10310" t="str">
        <f>"Hint2"</f>
        <v>Hint2</v>
      </c>
      <c r="B10310" t="s">
        <v>14</v>
      </c>
      <c r="C10310" t="s">
        <v>23</v>
      </c>
      <c r="D10310" t="s">
        <v>11</v>
      </c>
      <c r="E10310" t="s">
        <v>12</v>
      </c>
      <c r="F10310">
        <v>43656437</v>
      </c>
      <c r="G10310">
        <v>43656471</v>
      </c>
      <c r="H10310">
        <v>43656437</v>
      </c>
      <c r="I10310">
        <v>43656471</v>
      </c>
    </row>
    <row r="10311" spans="1:9" x14ac:dyDescent="0.2">
      <c r="A10311" t="str">
        <f>"Hint3"</f>
        <v>Hint3</v>
      </c>
      <c r="B10311" t="s">
        <v>14</v>
      </c>
      <c r="C10311" t="s">
        <v>15</v>
      </c>
      <c r="D10311" t="s">
        <v>11</v>
      </c>
      <c r="E10311" t="s">
        <v>12</v>
      </c>
      <c r="F10311">
        <v>30618340</v>
      </c>
      <c r="G10311">
        <v>30618395</v>
      </c>
      <c r="H10311">
        <v>30618436</v>
      </c>
      <c r="I10311">
        <v>30618473</v>
      </c>
    </row>
    <row r="10312" spans="1:9" x14ac:dyDescent="0.2">
      <c r="A10312" t="str">
        <f>"Hip1"</f>
        <v>Hip1</v>
      </c>
      <c r="B10312" t="s">
        <v>14</v>
      </c>
      <c r="C10312" t="s">
        <v>46</v>
      </c>
      <c r="D10312" t="s">
        <v>11</v>
      </c>
      <c r="E10312" t="s">
        <v>12</v>
      </c>
      <c r="F10312">
        <v>135545059</v>
      </c>
      <c r="G10312">
        <v>135545091</v>
      </c>
      <c r="H10312">
        <v>135545108</v>
      </c>
      <c r="I10312">
        <v>135545128</v>
      </c>
    </row>
    <row r="10313" spans="1:9" x14ac:dyDescent="0.2">
      <c r="A10313" t="str">
        <f>"Hip1r"</f>
        <v>Hip1r</v>
      </c>
      <c r="B10313" t="s">
        <v>14</v>
      </c>
      <c r="C10313" t="s">
        <v>46</v>
      </c>
      <c r="D10313" t="s">
        <v>17</v>
      </c>
      <c r="E10313" t="s">
        <v>12</v>
      </c>
      <c r="F10313">
        <v>123973717</v>
      </c>
      <c r="G10313">
        <v>123973733</v>
      </c>
      <c r="H10313">
        <v>123973603</v>
      </c>
      <c r="I10313">
        <v>123973666</v>
      </c>
    </row>
    <row r="10314" spans="1:9" x14ac:dyDescent="0.2">
      <c r="A10314" t="str">
        <f>"Hipk1"</f>
        <v>Hipk1</v>
      </c>
      <c r="B10314" t="s">
        <v>14</v>
      </c>
      <c r="C10314" t="s">
        <v>22</v>
      </c>
      <c r="D10314" t="s">
        <v>11</v>
      </c>
      <c r="E10314" t="s">
        <v>12</v>
      </c>
      <c r="F10314">
        <v>103791222</v>
      </c>
      <c r="G10314">
        <v>103791318</v>
      </c>
      <c r="H10314">
        <v>103791387</v>
      </c>
      <c r="I10314">
        <v>103791410</v>
      </c>
    </row>
    <row r="10315" spans="1:9" x14ac:dyDescent="0.2">
      <c r="A10315" t="str">
        <f>"Hipk2"</f>
        <v>Hipk2</v>
      </c>
      <c r="B10315" t="s">
        <v>14</v>
      </c>
      <c r="C10315" t="s">
        <v>32</v>
      </c>
      <c r="D10315" t="s">
        <v>11</v>
      </c>
      <c r="E10315" t="s">
        <v>12</v>
      </c>
      <c r="F10315">
        <v>38876163</v>
      </c>
      <c r="G10315">
        <v>38876234</v>
      </c>
      <c r="H10315">
        <v>38876274</v>
      </c>
      <c r="I10315">
        <v>38876350</v>
      </c>
    </row>
    <row r="10316" spans="1:9" x14ac:dyDescent="0.2">
      <c r="A10316" t="str">
        <f>"Hipk3"</f>
        <v>Hipk3</v>
      </c>
      <c r="B10316" t="s">
        <v>14</v>
      </c>
      <c r="C10316" t="s">
        <v>26</v>
      </c>
      <c r="D10316" t="s">
        <v>11</v>
      </c>
      <c r="E10316" t="s">
        <v>12</v>
      </c>
      <c r="F10316">
        <v>104494508</v>
      </c>
      <c r="G10316">
        <v>104494542</v>
      </c>
      <c r="H10316">
        <v>104494400</v>
      </c>
      <c r="I10316">
        <v>104494463</v>
      </c>
    </row>
    <row r="10317" spans="1:9" x14ac:dyDescent="0.2">
      <c r="A10317" t="str">
        <f>"Hipk4"</f>
        <v>Hipk4</v>
      </c>
      <c r="B10317" t="s">
        <v>14</v>
      </c>
      <c r="C10317" t="s">
        <v>33</v>
      </c>
      <c r="D10317" t="s">
        <v>17</v>
      </c>
      <c r="E10317" t="s">
        <v>12</v>
      </c>
      <c r="F10317">
        <v>27523252</v>
      </c>
      <c r="G10317">
        <v>27523269</v>
      </c>
      <c r="H10317">
        <v>27523233</v>
      </c>
      <c r="I10317">
        <v>27523242</v>
      </c>
    </row>
    <row r="10318" spans="1:9" x14ac:dyDescent="0.2">
      <c r="A10318" t="str">
        <f>"Hira"</f>
        <v>Hira</v>
      </c>
      <c r="B10318" t="s">
        <v>14</v>
      </c>
      <c r="C10318" t="s">
        <v>31</v>
      </c>
      <c r="D10318" t="s">
        <v>17</v>
      </c>
      <c r="E10318" t="s">
        <v>12</v>
      </c>
      <c r="F10318">
        <v>18877213</v>
      </c>
      <c r="G10318">
        <v>18877241</v>
      </c>
      <c r="H10318">
        <v>18877247</v>
      </c>
      <c r="I10318">
        <v>18877275</v>
      </c>
    </row>
    <row r="10319" spans="1:9" x14ac:dyDescent="0.2">
      <c r="A10319" t="str">
        <f>"Hirip3"</f>
        <v>Hirip3</v>
      </c>
      <c r="B10319" t="s">
        <v>14</v>
      </c>
      <c r="C10319" t="s">
        <v>33</v>
      </c>
      <c r="D10319" t="s">
        <v>17</v>
      </c>
      <c r="E10319" t="s">
        <v>12</v>
      </c>
      <c r="F10319">
        <v>126862431</v>
      </c>
      <c r="G10319">
        <v>126862447</v>
      </c>
      <c r="H10319">
        <v>126861947</v>
      </c>
      <c r="I10319">
        <v>126861986</v>
      </c>
    </row>
    <row r="10320" spans="1:9" x14ac:dyDescent="0.2">
      <c r="A10320" t="str">
        <f>"Hist1h1a"</f>
        <v>Hist1h1a</v>
      </c>
      <c r="B10320" t="s">
        <v>14</v>
      </c>
      <c r="C10320" t="s">
        <v>39</v>
      </c>
      <c r="D10320" t="s">
        <v>17</v>
      </c>
      <c r="E10320" t="s">
        <v>12</v>
      </c>
      <c r="F10320">
        <v>23763660</v>
      </c>
      <c r="G10320">
        <v>23763674</v>
      </c>
      <c r="H10320">
        <v>23763660</v>
      </c>
      <c r="I10320">
        <v>23763674</v>
      </c>
    </row>
    <row r="10321" spans="1:9" x14ac:dyDescent="0.2">
      <c r="A10321" t="str">
        <f>"Hist1h1b"</f>
        <v>Hist1h1b</v>
      </c>
      <c r="B10321" t="s">
        <v>14</v>
      </c>
      <c r="C10321" t="s">
        <v>39</v>
      </c>
      <c r="D10321" t="s">
        <v>11</v>
      </c>
      <c r="E10321" t="s">
        <v>12</v>
      </c>
      <c r="F10321">
        <v>21780616</v>
      </c>
      <c r="G10321">
        <v>21780632</v>
      </c>
      <c r="H10321">
        <v>21780616</v>
      </c>
      <c r="I10321">
        <v>21780632</v>
      </c>
    </row>
    <row r="10322" spans="1:9" x14ac:dyDescent="0.2">
      <c r="A10322" t="str">
        <f>"Hist1h1c"</f>
        <v>Hist1h1c</v>
      </c>
      <c r="B10322" t="s">
        <v>14</v>
      </c>
      <c r="C10322" t="s">
        <v>39</v>
      </c>
      <c r="D10322" t="s">
        <v>17</v>
      </c>
      <c r="E10322" t="s">
        <v>12</v>
      </c>
      <c r="F10322">
        <v>23738804</v>
      </c>
      <c r="G10322">
        <v>23738809</v>
      </c>
      <c r="H10322">
        <v>23738804</v>
      </c>
      <c r="I10322">
        <v>23738809</v>
      </c>
    </row>
    <row r="10323" spans="1:9" x14ac:dyDescent="0.2">
      <c r="A10323" t="str">
        <f>"Hist1h1d"</f>
        <v>Hist1h1d</v>
      </c>
      <c r="B10323" t="s">
        <v>14</v>
      </c>
      <c r="C10323" t="s">
        <v>39</v>
      </c>
      <c r="D10323" t="s">
        <v>17</v>
      </c>
      <c r="E10323" t="s">
        <v>12</v>
      </c>
      <c r="F10323">
        <v>23555023</v>
      </c>
      <c r="G10323">
        <v>23555039</v>
      </c>
      <c r="H10323">
        <v>23555023</v>
      </c>
      <c r="I10323">
        <v>23555039</v>
      </c>
    </row>
    <row r="10324" spans="1:9" x14ac:dyDescent="0.2">
      <c r="A10324" t="str">
        <f>"Hist1h1e"</f>
        <v>Hist1h1e</v>
      </c>
      <c r="B10324" t="s">
        <v>14</v>
      </c>
      <c r="C10324" t="s">
        <v>39</v>
      </c>
      <c r="D10324" t="s">
        <v>11</v>
      </c>
      <c r="E10324" t="s">
        <v>12</v>
      </c>
      <c r="F10324">
        <v>23622548</v>
      </c>
      <c r="G10324">
        <v>23622563</v>
      </c>
      <c r="H10324">
        <v>23622548</v>
      </c>
      <c r="I10324">
        <v>23622563</v>
      </c>
    </row>
    <row r="10325" spans="1:9" x14ac:dyDescent="0.2">
      <c r="A10325" t="str">
        <f>"Hist1h1t"</f>
        <v>Hist1h1t</v>
      </c>
      <c r="B10325" t="s">
        <v>14</v>
      </c>
      <c r="C10325" t="s">
        <v>39</v>
      </c>
      <c r="D10325" t="s">
        <v>17</v>
      </c>
      <c r="E10325" t="s">
        <v>12</v>
      </c>
      <c r="F10325">
        <v>23695791</v>
      </c>
      <c r="G10325">
        <v>23695817</v>
      </c>
      <c r="H10325">
        <v>23695823</v>
      </c>
      <c r="I10325">
        <v>23695833</v>
      </c>
    </row>
    <row r="10326" spans="1:9" x14ac:dyDescent="0.2">
      <c r="A10326" t="str">
        <f>"Hist1h2aa"</f>
        <v>Hist1h2aa</v>
      </c>
      <c r="B10326" t="s">
        <v>14</v>
      </c>
      <c r="C10326" t="s">
        <v>39</v>
      </c>
      <c r="D10326" t="s">
        <v>17</v>
      </c>
      <c r="E10326" t="s">
        <v>12</v>
      </c>
      <c r="F10326">
        <v>23934434</v>
      </c>
      <c r="G10326">
        <v>23934439</v>
      </c>
      <c r="H10326">
        <v>23934434</v>
      </c>
      <c r="I10326">
        <v>23934439</v>
      </c>
    </row>
    <row r="10327" spans="1:9" x14ac:dyDescent="0.2">
      <c r="A10327" t="str">
        <f>"Hist1h2ab"</f>
        <v>Hist1h2ab</v>
      </c>
      <c r="B10327" t="s">
        <v>4121</v>
      </c>
      <c r="C10327" t="s">
        <v>39</v>
      </c>
      <c r="D10327" t="s">
        <v>17</v>
      </c>
      <c r="E10327" t="s">
        <v>35</v>
      </c>
      <c r="F10327">
        <v>23751069</v>
      </c>
      <c r="G10327">
        <v>23751086</v>
      </c>
      <c r="H10327">
        <v>23751203</v>
      </c>
      <c r="I10327">
        <v>23751207</v>
      </c>
    </row>
    <row r="10328" spans="1:9" x14ac:dyDescent="0.2">
      <c r="A10328" t="str">
        <f>"Hist1h2ac"</f>
        <v>Hist1h2ac</v>
      </c>
      <c r="B10328" t="s">
        <v>4122</v>
      </c>
      <c r="C10328" t="s">
        <v>39</v>
      </c>
      <c r="D10328" t="s">
        <v>11</v>
      </c>
      <c r="E10328" t="s">
        <v>35</v>
      </c>
      <c r="F10328">
        <v>23683941</v>
      </c>
      <c r="G10328">
        <v>23683967</v>
      </c>
      <c r="H10328">
        <v>23683941</v>
      </c>
      <c r="I10328">
        <v>23683967</v>
      </c>
    </row>
    <row r="10329" spans="1:9" x14ac:dyDescent="0.2">
      <c r="A10329" t="str">
        <f>"Hist1h2ad"</f>
        <v>Hist1h2ad</v>
      </c>
      <c r="B10329" t="s">
        <v>4123</v>
      </c>
      <c r="C10329" t="s">
        <v>39</v>
      </c>
      <c r="D10329" t="s">
        <v>17</v>
      </c>
      <c r="E10329" t="s">
        <v>35</v>
      </c>
      <c r="F10329">
        <v>23574434</v>
      </c>
      <c r="G10329">
        <v>23574449</v>
      </c>
      <c r="H10329">
        <v>23574434</v>
      </c>
      <c r="I10329">
        <v>23574449</v>
      </c>
    </row>
    <row r="10330" spans="1:9" x14ac:dyDescent="0.2">
      <c r="A10330" t="str">
        <f>"Hist1h2ae"</f>
        <v>Hist1h2ae</v>
      </c>
      <c r="B10330" t="s">
        <v>4124</v>
      </c>
      <c r="C10330" t="s">
        <v>39</v>
      </c>
      <c r="D10330" t="s">
        <v>11</v>
      </c>
      <c r="E10330" t="s">
        <v>35</v>
      </c>
      <c r="F10330">
        <v>23571034</v>
      </c>
      <c r="G10330">
        <v>23571056</v>
      </c>
      <c r="H10330">
        <v>23571034</v>
      </c>
      <c r="I10330">
        <v>23571056</v>
      </c>
    </row>
    <row r="10331" spans="1:9" x14ac:dyDescent="0.2">
      <c r="A10331" t="str">
        <f>"Hist1h2af"</f>
        <v>Hist1h2af</v>
      </c>
      <c r="B10331" t="s">
        <v>14</v>
      </c>
      <c r="C10331" t="s">
        <v>39</v>
      </c>
      <c r="D10331" t="s">
        <v>17</v>
      </c>
      <c r="E10331" t="s">
        <v>12</v>
      </c>
      <c r="F10331">
        <v>23533869</v>
      </c>
      <c r="G10331">
        <v>23533882</v>
      </c>
      <c r="H10331">
        <v>23533717</v>
      </c>
      <c r="I10331">
        <v>23533719</v>
      </c>
    </row>
    <row r="10332" spans="1:9" x14ac:dyDescent="0.2">
      <c r="A10332" t="str">
        <f>"Hist1h2ag"</f>
        <v>Hist1h2ag</v>
      </c>
      <c r="B10332" t="s">
        <v>4125</v>
      </c>
      <c r="C10332" t="s">
        <v>39</v>
      </c>
      <c r="D10332" t="s">
        <v>11</v>
      </c>
      <c r="E10332" t="s">
        <v>35</v>
      </c>
      <c r="F10332">
        <v>22042951</v>
      </c>
      <c r="G10332">
        <v>22042978</v>
      </c>
      <c r="H10332">
        <v>22042951</v>
      </c>
      <c r="I10332">
        <v>22042978</v>
      </c>
    </row>
    <row r="10333" spans="1:9" x14ac:dyDescent="0.2">
      <c r="A10333" t="str">
        <f>"Hist1h2ah"</f>
        <v>Hist1h2ah</v>
      </c>
      <c r="B10333" t="s">
        <v>4126</v>
      </c>
      <c r="C10333" t="s">
        <v>39</v>
      </c>
      <c r="D10333" t="s">
        <v>11</v>
      </c>
      <c r="E10333" t="s">
        <v>35</v>
      </c>
      <c r="F10333">
        <v>22035589</v>
      </c>
      <c r="G10333">
        <v>22035606</v>
      </c>
      <c r="H10333">
        <v>22035589</v>
      </c>
      <c r="I10333">
        <v>22035606</v>
      </c>
    </row>
    <row r="10334" spans="1:9" x14ac:dyDescent="0.2">
      <c r="A10334" t="str">
        <f>"Hist1h2ai"</f>
        <v>Hist1h2ai</v>
      </c>
      <c r="B10334" t="s">
        <v>14</v>
      </c>
      <c r="C10334" t="s">
        <v>39</v>
      </c>
      <c r="D10334" t="s">
        <v>17</v>
      </c>
      <c r="E10334" t="s">
        <v>12</v>
      </c>
      <c r="F10334">
        <v>21716385</v>
      </c>
      <c r="G10334">
        <v>21716401</v>
      </c>
      <c r="H10334">
        <v>21716385</v>
      </c>
      <c r="I10334">
        <v>21716401</v>
      </c>
    </row>
    <row r="10335" spans="1:9" x14ac:dyDescent="0.2">
      <c r="A10335" t="str">
        <f>"Hist1h2ak"</f>
        <v>Hist1h2ak</v>
      </c>
      <c r="B10335" t="s">
        <v>14</v>
      </c>
      <c r="C10335" t="s">
        <v>39</v>
      </c>
      <c r="D10335" t="s">
        <v>11</v>
      </c>
      <c r="E10335" t="s">
        <v>12</v>
      </c>
      <c r="F10335">
        <v>21753851</v>
      </c>
      <c r="G10335">
        <v>21753868</v>
      </c>
      <c r="H10335">
        <v>21753851</v>
      </c>
      <c r="I10335">
        <v>21753868</v>
      </c>
    </row>
    <row r="10336" spans="1:9" x14ac:dyDescent="0.2">
      <c r="A10336" t="str">
        <f>"Hist1h2al"</f>
        <v>Hist1h2al</v>
      </c>
      <c r="B10336" t="s">
        <v>4127</v>
      </c>
      <c r="C10336" t="s">
        <v>39</v>
      </c>
      <c r="D10336" t="s">
        <v>11</v>
      </c>
      <c r="E10336" t="s">
        <v>20</v>
      </c>
      <c r="F10336">
        <v>51203064</v>
      </c>
      <c r="G10336">
        <v>51203064</v>
      </c>
      <c r="H10336">
        <v>51203064</v>
      </c>
      <c r="I10336">
        <v>51203064</v>
      </c>
    </row>
    <row r="10337" spans="1:9" x14ac:dyDescent="0.2">
      <c r="A10337" t="str">
        <f>"Hist1h2an"</f>
        <v>Hist1h2an</v>
      </c>
      <c r="B10337" t="s">
        <v>4128</v>
      </c>
      <c r="C10337" t="s">
        <v>39</v>
      </c>
      <c r="D10337" t="s">
        <v>11</v>
      </c>
      <c r="E10337" t="s">
        <v>35</v>
      </c>
      <c r="F10337">
        <v>21787241</v>
      </c>
      <c r="G10337">
        <v>21787256</v>
      </c>
      <c r="H10337">
        <v>21787241</v>
      </c>
      <c r="I10337">
        <v>21787256</v>
      </c>
    </row>
    <row r="10338" spans="1:9" x14ac:dyDescent="0.2">
      <c r="A10338" t="str">
        <f>"Hist1h2ao"</f>
        <v>Hist1h2ao</v>
      </c>
      <c r="B10338" t="s">
        <v>4129</v>
      </c>
      <c r="C10338" t="s">
        <v>39</v>
      </c>
      <c r="D10338" t="s">
        <v>17</v>
      </c>
      <c r="E10338" t="s">
        <v>35</v>
      </c>
      <c r="F10338">
        <v>21810336</v>
      </c>
      <c r="G10338">
        <v>21810339</v>
      </c>
      <c r="H10338">
        <v>21810428</v>
      </c>
      <c r="I10338">
        <v>21810442</v>
      </c>
    </row>
    <row r="10339" spans="1:9" x14ac:dyDescent="0.2">
      <c r="A10339" t="str">
        <f>"Hist1h2ap"</f>
        <v>Hist1h2ap</v>
      </c>
      <c r="B10339" t="s">
        <v>4130</v>
      </c>
      <c r="C10339" t="s">
        <v>39</v>
      </c>
      <c r="D10339" t="s">
        <v>11</v>
      </c>
      <c r="E10339" t="s">
        <v>35</v>
      </c>
      <c r="F10339">
        <v>21833506</v>
      </c>
      <c r="G10339">
        <v>21833518</v>
      </c>
      <c r="H10339">
        <v>21833506</v>
      </c>
      <c r="I10339">
        <v>21833518</v>
      </c>
    </row>
    <row r="10340" spans="1:9" x14ac:dyDescent="0.2">
      <c r="A10340" t="str">
        <f>"Hist1h2ba"</f>
        <v>Hist1h2ba</v>
      </c>
      <c r="B10340" t="s">
        <v>14</v>
      </c>
      <c r="C10340" t="s">
        <v>39</v>
      </c>
      <c r="D10340" t="s">
        <v>11</v>
      </c>
      <c r="E10340" t="s">
        <v>12</v>
      </c>
      <c r="F10340">
        <v>23934210</v>
      </c>
      <c r="G10340">
        <v>23934225</v>
      </c>
      <c r="H10340">
        <v>23934210</v>
      </c>
      <c r="I10340">
        <v>23934225</v>
      </c>
    </row>
    <row r="10341" spans="1:9" x14ac:dyDescent="0.2">
      <c r="A10341" t="str">
        <f>"Hist1h2bb"</f>
        <v>Hist1h2bb</v>
      </c>
      <c r="B10341" t="s">
        <v>14</v>
      </c>
      <c r="C10341" t="s">
        <v>39</v>
      </c>
      <c r="D10341" t="s">
        <v>17</v>
      </c>
      <c r="E10341" t="s">
        <v>12</v>
      </c>
      <c r="F10341">
        <v>23746745</v>
      </c>
      <c r="G10341">
        <v>23746763</v>
      </c>
      <c r="H10341">
        <v>23746745</v>
      </c>
      <c r="I10341">
        <v>23746763</v>
      </c>
    </row>
    <row r="10342" spans="1:9" x14ac:dyDescent="0.2">
      <c r="A10342" t="str">
        <f>"Hist1h2bc"</f>
        <v>Hist1h2bc</v>
      </c>
      <c r="B10342" t="s">
        <v>4131</v>
      </c>
      <c r="C10342" t="s">
        <v>39</v>
      </c>
      <c r="D10342" t="s">
        <v>17</v>
      </c>
      <c r="E10342" t="s">
        <v>35</v>
      </c>
      <c r="F10342">
        <v>23684192</v>
      </c>
      <c r="G10342">
        <v>23684208</v>
      </c>
      <c r="H10342">
        <v>23684192</v>
      </c>
      <c r="I10342">
        <v>23684208</v>
      </c>
    </row>
    <row r="10343" spans="1:9" x14ac:dyDescent="0.2">
      <c r="A10343" t="str">
        <f>"Hist1h2be"</f>
        <v>Hist1h2be</v>
      </c>
      <c r="B10343" t="s">
        <v>14</v>
      </c>
      <c r="C10343" t="s">
        <v>39</v>
      </c>
      <c r="D10343" t="s">
        <v>11</v>
      </c>
      <c r="E10343" t="s">
        <v>67</v>
      </c>
      <c r="F10343">
        <v>23621066</v>
      </c>
      <c r="G10343">
        <v>23621071</v>
      </c>
      <c r="H10343">
        <v>23621045</v>
      </c>
      <c r="I10343">
        <v>23621059</v>
      </c>
    </row>
    <row r="10344" spans="1:9" x14ac:dyDescent="0.2">
      <c r="A10344" t="str">
        <f>"Hist1h2bf"</f>
        <v>Hist1h2bf</v>
      </c>
      <c r="B10344" t="s">
        <v>4132</v>
      </c>
      <c r="C10344" t="s">
        <v>39</v>
      </c>
      <c r="D10344" t="s">
        <v>11</v>
      </c>
      <c r="E10344" t="s">
        <v>35</v>
      </c>
      <c r="F10344">
        <v>23574199</v>
      </c>
      <c r="G10344">
        <v>23574229</v>
      </c>
      <c r="H10344">
        <v>23574000</v>
      </c>
      <c r="I10344">
        <v>23574014</v>
      </c>
    </row>
    <row r="10345" spans="1:9" x14ac:dyDescent="0.2">
      <c r="A10345" t="str">
        <f>"Hist1h2bg"</f>
        <v>Hist1h2bg</v>
      </c>
      <c r="B10345" t="s">
        <v>14</v>
      </c>
      <c r="C10345" t="s">
        <v>39</v>
      </c>
      <c r="D10345" t="s">
        <v>17</v>
      </c>
      <c r="E10345" t="s">
        <v>12</v>
      </c>
      <c r="F10345">
        <v>23571382</v>
      </c>
      <c r="G10345">
        <v>23571392</v>
      </c>
      <c r="H10345">
        <v>23571382</v>
      </c>
      <c r="I10345">
        <v>23571392</v>
      </c>
    </row>
    <row r="10346" spans="1:9" x14ac:dyDescent="0.2">
      <c r="A10346" t="str">
        <f>"Hist1h2bh"</f>
        <v>Hist1h2bh</v>
      </c>
      <c r="B10346" t="s">
        <v>14</v>
      </c>
      <c r="C10346" t="s">
        <v>39</v>
      </c>
      <c r="D10346" t="s">
        <v>11</v>
      </c>
      <c r="E10346" t="s">
        <v>12</v>
      </c>
      <c r="F10346">
        <v>23543383</v>
      </c>
      <c r="G10346">
        <v>23543402</v>
      </c>
      <c r="H10346">
        <v>23543383</v>
      </c>
      <c r="I10346">
        <v>23543402</v>
      </c>
    </row>
    <row r="10347" spans="1:9" x14ac:dyDescent="0.2">
      <c r="A10347" t="str">
        <f>"Hist1h2bj"</f>
        <v>Hist1h2bj</v>
      </c>
      <c r="B10347" t="s">
        <v>4133</v>
      </c>
      <c r="C10347" t="s">
        <v>39</v>
      </c>
      <c r="D10347" t="s">
        <v>17</v>
      </c>
      <c r="E10347" t="s">
        <v>35</v>
      </c>
      <c r="F10347">
        <v>22043189</v>
      </c>
      <c r="G10347">
        <v>22043208</v>
      </c>
      <c r="H10347">
        <v>22043189</v>
      </c>
      <c r="I10347">
        <v>22043208</v>
      </c>
    </row>
    <row r="10348" spans="1:9" x14ac:dyDescent="0.2">
      <c r="A10348" t="str">
        <f>"Hist1h2bk"</f>
        <v>Hist1h2bk</v>
      </c>
      <c r="B10348" t="s">
        <v>14</v>
      </c>
      <c r="C10348" t="s">
        <v>39</v>
      </c>
      <c r="D10348" t="s">
        <v>17</v>
      </c>
      <c r="E10348" t="s">
        <v>12</v>
      </c>
      <c r="F10348">
        <v>22035829</v>
      </c>
      <c r="G10348">
        <v>22035848</v>
      </c>
      <c r="H10348">
        <v>22035870</v>
      </c>
      <c r="I10348">
        <v>22035874</v>
      </c>
    </row>
    <row r="10349" spans="1:9" x14ac:dyDescent="0.2">
      <c r="A10349" t="str">
        <f>"Hist1h2bl"</f>
        <v>Hist1h2bl</v>
      </c>
      <c r="B10349" t="s">
        <v>4134</v>
      </c>
      <c r="C10349" t="s">
        <v>39</v>
      </c>
      <c r="D10349" t="s">
        <v>11</v>
      </c>
      <c r="E10349" t="s">
        <v>35</v>
      </c>
      <c r="F10349">
        <v>21716175</v>
      </c>
      <c r="G10349">
        <v>21716189</v>
      </c>
      <c r="H10349">
        <v>21716175</v>
      </c>
      <c r="I10349">
        <v>21716189</v>
      </c>
    </row>
    <row r="10350" spans="1:9" x14ac:dyDescent="0.2">
      <c r="A10350" t="str">
        <f>"Hist1h2bm"</f>
        <v>Hist1h2bm</v>
      </c>
      <c r="B10350" t="s">
        <v>14</v>
      </c>
      <c r="C10350" t="s">
        <v>39</v>
      </c>
      <c r="D10350" t="s">
        <v>17</v>
      </c>
      <c r="E10350" t="s">
        <v>12</v>
      </c>
      <c r="F10350">
        <v>21722057</v>
      </c>
      <c r="G10350">
        <v>21722073</v>
      </c>
      <c r="H10350">
        <v>21722007</v>
      </c>
      <c r="I10350">
        <v>21722024</v>
      </c>
    </row>
    <row r="10351" spans="1:9" x14ac:dyDescent="0.2">
      <c r="A10351" t="str">
        <f>"Hist1h2bn"</f>
        <v>Hist1h2bn</v>
      </c>
      <c r="B10351" t="s">
        <v>14</v>
      </c>
      <c r="C10351" t="s">
        <v>39</v>
      </c>
      <c r="D10351" t="s">
        <v>17</v>
      </c>
      <c r="E10351" t="s">
        <v>12</v>
      </c>
      <c r="F10351">
        <v>21754067</v>
      </c>
      <c r="G10351">
        <v>21754083</v>
      </c>
      <c r="H10351">
        <v>21754067</v>
      </c>
      <c r="I10351">
        <v>21754083</v>
      </c>
    </row>
    <row r="10352" spans="1:9" x14ac:dyDescent="0.2">
      <c r="A10352" t="str">
        <f>"Hist1h2bp"</f>
        <v>Hist1h2bp</v>
      </c>
      <c r="B10352" t="s">
        <v>14</v>
      </c>
      <c r="C10352" t="s">
        <v>39</v>
      </c>
      <c r="D10352" t="s">
        <v>17</v>
      </c>
      <c r="E10352" t="s">
        <v>12</v>
      </c>
      <c r="F10352">
        <v>21787480</v>
      </c>
      <c r="G10352">
        <v>21787494</v>
      </c>
      <c r="H10352">
        <v>21787480</v>
      </c>
      <c r="I10352">
        <v>21787494</v>
      </c>
    </row>
    <row r="10353" spans="1:9" x14ac:dyDescent="0.2">
      <c r="A10353" t="str">
        <f>"Hist1h2bq"</f>
        <v>Hist1h2bq</v>
      </c>
      <c r="B10353" t="s">
        <v>4135</v>
      </c>
      <c r="C10353" t="s">
        <v>39</v>
      </c>
      <c r="D10353" t="s">
        <v>11</v>
      </c>
      <c r="E10353" t="s">
        <v>35</v>
      </c>
      <c r="F10353">
        <v>21810190</v>
      </c>
      <c r="G10353">
        <v>21810200</v>
      </c>
      <c r="H10353">
        <v>21810190</v>
      </c>
      <c r="I10353">
        <v>21810200</v>
      </c>
    </row>
    <row r="10354" spans="1:9" x14ac:dyDescent="0.2">
      <c r="A10354" t="str">
        <f>"Hist1h2br"</f>
        <v>Hist1h2br</v>
      </c>
      <c r="B10354" t="s">
        <v>14</v>
      </c>
      <c r="C10354" t="s">
        <v>39</v>
      </c>
      <c r="D10354" t="s">
        <v>17</v>
      </c>
      <c r="E10354" t="s">
        <v>12</v>
      </c>
      <c r="F10354">
        <v>21833736</v>
      </c>
      <c r="G10354">
        <v>21833751</v>
      </c>
      <c r="H10354">
        <v>21833736</v>
      </c>
      <c r="I10354">
        <v>21833751</v>
      </c>
    </row>
    <row r="10355" spans="1:9" x14ac:dyDescent="0.2">
      <c r="A10355" t="str">
        <f>"Hist1h3a"</f>
        <v>Hist1h3a</v>
      </c>
      <c r="B10355" t="s">
        <v>4136</v>
      </c>
      <c r="C10355" t="s">
        <v>39</v>
      </c>
      <c r="D10355" t="s">
        <v>11</v>
      </c>
      <c r="E10355" t="s">
        <v>35</v>
      </c>
      <c r="F10355">
        <v>23762483</v>
      </c>
      <c r="G10355">
        <v>23762484</v>
      </c>
      <c r="H10355">
        <v>23762306</v>
      </c>
      <c r="I10355">
        <v>23762314</v>
      </c>
    </row>
    <row r="10356" spans="1:9" x14ac:dyDescent="0.2">
      <c r="A10356" t="str">
        <f>"Hist1h3b"</f>
        <v>Hist1h3b</v>
      </c>
      <c r="B10356" t="s">
        <v>14</v>
      </c>
      <c r="C10356" t="s">
        <v>39</v>
      </c>
      <c r="D10356" t="s">
        <v>17</v>
      </c>
      <c r="E10356" t="s">
        <v>12</v>
      </c>
      <c r="F10356">
        <v>23752341</v>
      </c>
      <c r="G10356">
        <v>23752351</v>
      </c>
      <c r="H10356">
        <v>23752341</v>
      </c>
      <c r="I10356">
        <v>23752351</v>
      </c>
    </row>
    <row r="10357" spans="1:9" x14ac:dyDescent="0.2">
      <c r="A10357" t="str">
        <f>"Hist1h3c"</f>
        <v>Hist1h3c</v>
      </c>
      <c r="B10357" t="s">
        <v>4137</v>
      </c>
      <c r="C10357" t="s">
        <v>39</v>
      </c>
      <c r="D10357" t="s">
        <v>11</v>
      </c>
      <c r="E10357" t="s">
        <v>35</v>
      </c>
      <c r="F10357">
        <v>23745511</v>
      </c>
      <c r="G10357">
        <v>23745526</v>
      </c>
      <c r="H10357">
        <v>23745511</v>
      </c>
      <c r="I10357">
        <v>23745526</v>
      </c>
    </row>
    <row r="10358" spans="1:9" x14ac:dyDescent="0.2">
      <c r="A10358" t="str">
        <f>"Hist1h3d"</f>
        <v>Hist1h3d</v>
      </c>
      <c r="B10358" t="s">
        <v>4138</v>
      </c>
      <c r="C10358" t="s">
        <v>39</v>
      </c>
      <c r="D10358" t="s">
        <v>17</v>
      </c>
      <c r="E10358" t="s">
        <v>35</v>
      </c>
      <c r="F10358">
        <v>23575753</v>
      </c>
      <c r="G10358">
        <v>23575773</v>
      </c>
      <c r="H10358">
        <v>23575782</v>
      </c>
      <c r="I10358">
        <v>23575793</v>
      </c>
    </row>
    <row r="10359" spans="1:9" x14ac:dyDescent="0.2">
      <c r="A10359" t="str">
        <f>"Hist1h3e"</f>
        <v>Hist1h3e</v>
      </c>
      <c r="B10359" t="s">
        <v>14</v>
      </c>
      <c r="C10359" t="s">
        <v>39</v>
      </c>
      <c r="D10359" t="s">
        <v>11</v>
      </c>
      <c r="E10359" t="s">
        <v>12</v>
      </c>
      <c r="F10359">
        <v>23562376</v>
      </c>
      <c r="G10359">
        <v>23562392</v>
      </c>
      <c r="H10359">
        <v>23562376</v>
      </c>
      <c r="I10359">
        <v>23562392</v>
      </c>
    </row>
    <row r="10360" spans="1:9" x14ac:dyDescent="0.2">
      <c r="A10360" t="str">
        <f>"Hist1h3f"</f>
        <v>Hist1h3f</v>
      </c>
      <c r="B10360" t="s">
        <v>4139</v>
      </c>
      <c r="C10360" t="s">
        <v>39</v>
      </c>
      <c r="D10360" t="s">
        <v>17</v>
      </c>
      <c r="E10360" t="s">
        <v>20</v>
      </c>
      <c r="F10360">
        <v>23544051</v>
      </c>
      <c r="G10360">
        <v>23544051</v>
      </c>
      <c r="H10360">
        <v>23544051</v>
      </c>
      <c r="I10360">
        <v>23544051</v>
      </c>
    </row>
    <row r="10361" spans="1:9" x14ac:dyDescent="0.2">
      <c r="A10361" t="str">
        <f>"Hist1h3g"</f>
        <v>Hist1h3g</v>
      </c>
      <c r="B10361" t="s">
        <v>4140</v>
      </c>
      <c r="C10361" t="s">
        <v>39</v>
      </c>
      <c r="D10361" t="s">
        <v>17</v>
      </c>
      <c r="E10361" t="s">
        <v>20</v>
      </c>
      <c r="F10361">
        <v>23535421</v>
      </c>
      <c r="G10361">
        <v>23535421</v>
      </c>
      <c r="H10361">
        <v>23535421</v>
      </c>
      <c r="I10361">
        <v>23535421</v>
      </c>
    </row>
    <row r="10362" spans="1:9" x14ac:dyDescent="0.2">
      <c r="A10362" t="str">
        <f>"Hist1h3h"</f>
        <v>Hist1h3h</v>
      </c>
      <c r="B10362" t="s">
        <v>4141</v>
      </c>
      <c r="C10362" t="s">
        <v>39</v>
      </c>
      <c r="D10362" t="s">
        <v>17</v>
      </c>
      <c r="E10362" t="s">
        <v>20</v>
      </c>
      <c r="F10362">
        <v>21717627</v>
      </c>
      <c r="G10362">
        <v>21717627</v>
      </c>
      <c r="H10362">
        <v>21717627</v>
      </c>
      <c r="I10362">
        <v>21717627</v>
      </c>
    </row>
    <row r="10363" spans="1:9" x14ac:dyDescent="0.2">
      <c r="A10363" t="str">
        <f>"Hist1h3i"</f>
        <v>Hist1h3i</v>
      </c>
      <c r="B10363" t="s">
        <v>14</v>
      </c>
      <c r="C10363" t="s">
        <v>39</v>
      </c>
      <c r="D10363" t="s">
        <v>11</v>
      </c>
      <c r="E10363" t="s">
        <v>12</v>
      </c>
      <c r="F10363">
        <v>21783391</v>
      </c>
      <c r="G10363">
        <v>21783406</v>
      </c>
      <c r="H10363">
        <v>21783391</v>
      </c>
      <c r="I10363">
        <v>21783406</v>
      </c>
    </row>
    <row r="10364" spans="1:9" x14ac:dyDescent="0.2">
      <c r="A10364" t="str">
        <f>"Hist1h4a"</f>
        <v>Hist1h4a</v>
      </c>
      <c r="B10364" t="s">
        <v>4142</v>
      </c>
      <c r="C10364" t="s">
        <v>39</v>
      </c>
      <c r="D10364" t="s">
        <v>11</v>
      </c>
      <c r="E10364" t="s">
        <v>35</v>
      </c>
      <c r="F10364">
        <v>23761223</v>
      </c>
      <c r="G10364">
        <v>23761236</v>
      </c>
      <c r="H10364">
        <v>23761167</v>
      </c>
      <c r="I10364">
        <v>23761188</v>
      </c>
    </row>
    <row r="10365" spans="1:9" x14ac:dyDescent="0.2">
      <c r="A10365" t="str">
        <f>"Hist1h4b"</f>
        <v>Hist1h4b</v>
      </c>
      <c r="B10365" t="s">
        <v>4143</v>
      </c>
      <c r="C10365" t="s">
        <v>39</v>
      </c>
      <c r="D10365" t="s">
        <v>17</v>
      </c>
      <c r="E10365" t="s">
        <v>20</v>
      </c>
      <c r="F10365">
        <v>23756936</v>
      </c>
      <c r="G10365">
        <v>23756936</v>
      </c>
      <c r="H10365">
        <v>23756936</v>
      </c>
      <c r="I10365">
        <v>23756936</v>
      </c>
    </row>
    <row r="10366" spans="1:9" x14ac:dyDescent="0.2">
      <c r="A10366" t="str">
        <f>"Hist1h4c"</f>
        <v>Hist1h4c</v>
      </c>
      <c r="B10366" t="s">
        <v>4144</v>
      </c>
      <c r="C10366" t="s">
        <v>39</v>
      </c>
      <c r="D10366" t="s">
        <v>11</v>
      </c>
      <c r="E10366" t="s">
        <v>20</v>
      </c>
      <c r="F10366">
        <v>23698453</v>
      </c>
      <c r="G10366">
        <v>23698453</v>
      </c>
      <c r="H10366">
        <v>23698453</v>
      </c>
      <c r="I10366">
        <v>23698453</v>
      </c>
    </row>
    <row r="10367" spans="1:9" x14ac:dyDescent="0.2">
      <c r="A10367" t="str">
        <f>"Hist1h4d"</f>
        <v>Hist1h4d</v>
      </c>
      <c r="B10367" t="s">
        <v>14</v>
      </c>
      <c r="C10367" t="s">
        <v>39</v>
      </c>
      <c r="D10367" t="s">
        <v>17</v>
      </c>
      <c r="E10367" t="s">
        <v>12</v>
      </c>
      <c r="F10367">
        <v>23581563</v>
      </c>
      <c r="G10367">
        <v>23581569</v>
      </c>
      <c r="H10367">
        <v>23581563</v>
      </c>
      <c r="I10367">
        <v>23581569</v>
      </c>
    </row>
    <row r="10368" spans="1:9" x14ac:dyDescent="0.2">
      <c r="A10368" t="str">
        <f>"Hist1h4f"</f>
        <v>Hist1h4f</v>
      </c>
      <c r="B10368" t="s">
        <v>4145</v>
      </c>
      <c r="C10368" t="s">
        <v>39</v>
      </c>
      <c r="D10368" t="s">
        <v>11</v>
      </c>
      <c r="E10368" t="s">
        <v>20</v>
      </c>
      <c r="F10368">
        <v>23551647</v>
      </c>
      <c r="G10368">
        <v>23551647</v>
      </c>
      <c r="H10368">
        <v>23551647</v>
      </c>
      <c r="I10368">
        <v>23551647</v>
      </c>
    </row>
    <row r="10369" spans="1:9" x14ac:dyDescent="0.2">
      <c r="A10369" t="str">
        <f>"Hist1h4h"</f>
        <v>Hist1h4h</v>
      </c>
      <c r="B10369" t="s">
        <v>4146</v>
      </c>
      <c r="C10369" t="s">
        <v>39</v>
      </c>
      <c r="D10369" t="s">
        <v>17</v>
      </c>
      <c r="E10369" t="s">
        <v>35</v>
      </c>
      <c r="F10369">
        <v>23531083</v>
      </c>
      <c r="G10369">
        <v>23531088</v>
      </c>
      <c r="H10369">
        <v>23531083</v>
      </c>
      <c r="I10369">
        <v>23531088</v>
      </c>
    </row>
    <row r="10370" spans="1:9" x14ac:dyDescent="0.2">
      <c r="A10370" t="str">
        <f>"Hist1h4i"</f>
        <v>Hist1h4i</v>
      </c>
      <c r="B10370" t="s">
        <v>4147</v>
      </c>
      <c r="C10370" t="s">
        <v>39</v>
      </c>
      <c r="D10370" t="s">
        <v>11</v>
      </c>
      <c r="E10370" t="s">
        <v>20</v>
      </c>
      <c r="F10370">
        <v>22041351</v>
      </c>
      <c r="G10370">
        <v>22041351</v>
      </c>
      <c r="H10370">
        <v>22041351</v>
      </c>
      <c r="I10370">
        <v>22041351</v>
      </c>
    </row>
    <row r="10371" spans="1:9" x14ac:dyDescent="0.2">
      <c r="A10371" t="str">
        <f>"Hist1h4j"</f>
        <v>Hist1h4j</v>
      </c>
      <c r="B10371" t="s">
        <v>4148</v>
      </c>
      <c r="C10371" t="s">
        <v>39</v>
      </c>
      <c r="D10371" t="s">
        <v>17</v>
      </c>
      <c r="E10371" t="s">
        <v>35</v>
      </c>
      <c r="F10371">
        <v>21735055</v>
      </c>
      <c r="G10371">
        <v>21735070</v>
      </c>
      <c r="H10371">
        <v>21735055</v>
      </c>
      <c r="I10371">
        <v>21735070</v>
      </c>
    </row>
    <row r="10372" spans="1:9" x14ac:dyDescent="0.2">
      <c r="A10372" t="str">
        <f>"Hist1h4k"</f>
        <v>Hist1h4k</v>
      </c>
      <c r="B10372" t="s">
        <v>4149</v>
      </c>
      <c r="C10372" t="s">
        <v>39</v>
      </c>
      <c r="D10372" t="s">
        <v>11</v>
      </c>
      <c r="E10372" t="s">
        <v>20</v>
      </c>
      <c r="F10372">
        <v>21750504</v>
      </c>
      <c r="G10372">
        <v>21750504</v>
      </c>
      <c r="H10372">
        <v>21750504</v>
      </c>
      <c r="I10372">
        <v>21750504</v>
      </c>
    </row>
    <row r="10373" spans="1:9" x14ac:dyDescent="0.2">
      <c r="A10373" t="str">
        <f>"Hist1h4m"</f>
        <v>Hist1h4m</v>
      </c>
      <c r="B10373" t="s">
        <v>4150</v>
      </c>
      <c r="C10373" t="s">
        <v>39</v>
      </c>
      <c r="D10373" t="s">
        <v>17</v>
      </c>
      <c r="E10373" t="s">
        <v>35</v>
      </c>
      <c r="F10373">
        <v>21811737</v>
      </c>
      <c r="G10373">
        <v>21811754</v>
      </c>
      <c r="H10373">
        <v>21811737</v>
      </c>
      <c r="I10373">
        <v>21811754</v>
      </c>
    </row>
    <row r="10374" spans="1:9" x14ac:dyDescent="0.2">
      <c r="A10374" t="str">
        <f>"Hist1h4n"</f>
        <v>Hist1h4n</v>
      </c>
      <c r="B10374" t="s">
        <v>4151</v>
      </c>
      <c r="C10374" t="s">
        <v>39</v>
      </c>
      <c r="D10374" t="s">
        <v>11</v>
      </c>
      <c r="E10374" t="s">
        <v>35</v>
      </c>
      <c r="F10374">
        <v>21832194</v>
      </c>
      <c r="G10374">
        <v>21832198</v>
      </c>
      <c r="H10374">
        <v>21832194</v>
      </c>
      <c r="I10374">
        <v>21832198</v>
      </c>
    </row>
    <row r="10375" spans="1:9" x14ac:dyDescent="0.2">
      <c r="A10375" t="str">
        <f>"Hist2h2aa1"</f>
        <v>Hist2h2aa1</v>
      </c>
      <c r="B10375" t="s">
        <v>14</v>
      </c>
      <c r="C10375" t="s">
        <v>22</v>
      </c>
      <c r="D10375" t="s">
        <v>17</v>
      </c>
      <c r="E10375" t="s">
        <v>12</v>
      </c>
      <c r="F10375">
        <v>96245530</v>
      </c>
      <c r="G10375">
        <v>96245546</v>
      </c>
      <c r="H10375">
        <v>96245530</v>
      </c>
      <c r="I10375">
        <v>96245546</v>
      </c>
    </row>
    <row r="10376" spans="1:9" x14ac:dyDescent="0.2">
      <c r="A10376" t="str">
        <f>"Hist2h2aa2"</f>
        <v>Hist2h2aa2</v>
      </c>
      <c r="B10376" t="s">
        <v>4152</v>
      </c>
      <c r="C10376" t="s">
        <v>22</v>
      </c>
      <c r="D10376" t="s">
        <v>11</v>
      </c>
      <c r="E10376" t="s">
        <v>35</v>
      </c>
      <c r="F10376">
        <v>96240317</v>
      </c>
      <c r="G10376">
        <v>96240338</v>
      </c>
      <c r="H10376">
        <v>96240317</v>
      </c>
      <c r="I10376">
        <v>96240338</v>
      </c>
    </row>
    <row r="10377" spans="1:9" x14ac:dyDescent="0.2">
      <c r="A10377" t="str">
        <f>"Hist2h2ab"</f>
        <v>Hist2h2ab</v>
      </c>
      <c r="B10377" t="s">
        <v>14</v>
      </c>
      <c r="C10377" t="s">
        <v>22</v>
      </c>
      <c r="D10377" t="s">
        <v>17</v>
      </c>
      <c r="E10377" t="s">
        <v>12</v>
      </c>
      <c r="F10377">
        <v>96219877</v>
      </c>
      <c r="G10377">
        <v>96219900</v>
      </c>
      <c r="H10377">
        <v>96219858</v>
      </c>
      <c r="I10377">
        <v>96219873</v>
      </c>
    </row>
    <row r="10378" spans="1:9" x14ac:dyDescent="0.2">
      <c r="A10378" t="str">
        <f>"Hist2h2ac"</f>
        <v>Hist2h2ac</v>
      </c>
      <c r="B10378" t="s">
        <v>14</v>
      </c>
      <c r="C10378" t="s">
        <v>22</v>
      </c>
      <c r="D10378" t="s">
        <v>11</v>
      </c>
      <c r="E10378" t="s">
        <v>12</v>
      </c>
      <c r="F10378">
        <v>96220881</v>
      </c>
      <c r="G10378">
        <v>96220899</v>
      </c>
      <c r="H10378">
        <v>96220881</v>
      </c>
      <c r="I10378">
        <v>96220899</v>
      </c>
    </row>
    <row r="10379" spans="1:9" x14ac:dyDescent="0.2">
      <c r="A10379" t="str">
        <f>"Hist2h2bb"</f>
        <v>Hist2h2bb</v>
      </c>
      <c r="B10379" t="s">
        <v>14</v>
      </c>
      <c r="C10379" t="s">
        <v>22</v>
      </c>
      <c r="D10379" t="s">
        <v>17</v>
      </c>
      <c r="E10379" t="s">
        <v>12</v>
      </c>
      <c r="F10379">
        <v>96269695</v>
      </c>
      <c r="G10379">
        <v>96269703</v>
      </c>
      <c r="H10379">
        <v>96269695</v>
      </c>
      <c r="I10379">
        <v>96269703</v>
      </c>
    </row>
    <row r="10380" spans="1:9" x14ac:dyDescent="0.2">
      <c r="A10380" t="str">
        <f>"Hist2h2be"</f>
        <v>Hist2h2be</v>
      </c>
      <c r="B10380" t="s">
        <v>14</v>
      </c>
      <c r="C10380" t="s">
        <v>22</v>
      </c>
      <c r="D10380" t="s">
        <v>17</v>
      </c>
      <c r="E10380" t="s">
        <v>12</v>
      </c>
      <c r="F10380">
        <v>96221111</v>
      </c>
      <c r="G10380">
        <v>96221134</v>
      </c>
      <c r="H10380">
        <v>96221087</v>
      </c>
      <c r="I10380">
        <v>96221094</v>
      </c>
    </row>
    <row r="10381" spans="1:9" x14ac:dyDescent="0.2">
      <c r="A10381" t="str">
        <f>"Hist2h3b"</f>
        <v>Hist2h3b</v>
      </c>
      <c r="B10381" t="s">
        <v>4153</v>
      </c>
      <c r="C10381" t="s">
        <v>22</v>
      </c>
      <c r="D10381" t="s">
        <v>17</v>
      </c>
      <c r="E10381" t="s">
        <v>20</v>
      </c>
      <c r="F10381">
        <v>96268653</v>
      </c>
      <c r="G10381">
        <v>96268653</v>
      </c>
      <c r="H10381">
        <v>96268653</v>
      </c>
      <c r="I10381">
        <v>96268653</v>
      </c>
    </row>
    <row r="10382" spans="1:9" x14ac:dyDescent="0.2">
      <c r="A10382" t="str">
        <f>"Hist2h3c1"</f>
        <v>Hist2h3c1</v>
      </c>
      <c r="B10382" t="s">
        <v>4154</v>
      </c>
      <c r="C10382" t="s">
        <v>22</v>
      </c>
      <c r="D10382" t="s">
        <v>17</v>
      </c>
      <c r="E10382" t="s">
        <v>35</v>
      </c>
      <c r="F10382">
        <v>96246836</v>
      </c>
      <c r="G10382">
        <v>96246850</v>
      </c>
      <c r="H10382">
        <v>96246836</v>
      </c>
      <c r="I10382">
        <v>96246850</v>
      </c>
    </row>
    <row r="10383" spans="1:9" x14ac:dyDescent="0.2">
      <c r="A10383" t="str">
        <f>"Hist2h3c2"</f>
        <v>Hist2h3c2</v>
      </c>
      <c r="B10383" t="s">
        <v>14</v>
      </c>
      <c r="C10383" t="s">
        <v>22</v>
      </c>
      <c r="D10383" t="s">
        <v>11</v>
      </c>
      <c r="E10383" t="s">
        <v>67</v>
      </c>
      <c r="F10383">
        <v>96238982</v>
      </c>
      <c r="G10383">
        <v>96238984</v>
      </c>
      <c r="H10383">
        <v>96238982</v>
      </c>
      <c r="I10383">
        <v>96238984</v>
      </c>
    </row>
    <row r="10384" spans="1:9" x14ac:dyDescent="0.2">
      <c r="A10384" t="str">
        <f>"Hist2h4"</f>
        <v>Hist2h4</v>
      </c>
      <c r="B10384" t="s">
        <v>4155</v>
      </c>
      <c r="C10384" t="s">
        <v>22</v>
      </c>
      <c r="D10384" t="s">
        <v>11</v>
      </c>
      <c r="E10384" t="s">
        <v>35</v>
      </c>
      <c r="F10384">
        <v>96263325</v>
      </c>
      <c r="G10384">
        <v>96263340</v>
      </c>
      <c r="H10384">
        <v>96263093</v>
      </c>
      <c r="I10384">
        <v>96263128</v>
      </c>
    </row>
    <row r="10385" spans="1:9" x14ac:dyDescent="0.2">
      <c r="A10385" t="str">
        <f>"Hist3h2a"</f>
        <v>Hist3h2a</v>
      </c>
      <c r="B10385" t="s">
        <v>14</v>
      </c>
      <c r="C10385" t="s">
        <v>27</v>
      </c>
      <c r="D10385" t="s">
        <v>17</v>
      </c>
      <c r="E10385" t="s">
        <v>12</v>
      </c>
      <c r="F10385">
        <v>58954675</v>
      </c>
      <c r="G10385">
        <v>58954696</v>
      </c>
      <c r="H10385">
        <v>58954718</v>
      </c>
      <c r="I10385">
        <v>58954729</v>
      </c>
    </row>
    <row r="10386" spans="1:9" x14ac:dyDescent="0.2">
      <c r="A10386" t="str">
        <f>"Hist3h2ba"</f>
        <v>Hist3h2ba</v>
      </c>
      <c r="B10386" t="s">
        <v>14</v>
      </c>
      <c r="C10386" t="s">
        <v>27</v>
      </c>
      <c r="D10386" t="s">
        <v>17</v>
      </c>
      <c r="E10386" t="s">
        <v>12</v>
      </c>
      <c r="F10386">
        <v>58948890</v>
      </c>
      <c r="G10386">
        <v>58948920</v>
      </c>
      <c r="H10386">
        <v>58948890</v>
      </c>
      <c r="I10386">
        <v>58948920</v>
      </c>
    </row>
    <row r="10387" spans="1:9" x14ac:dyDescent="0.2">
      <c r="A10387" t="str">
        <f>"Hist4h4"</f>
        <v>Hist4h4</v>
      </c>
      <c r="B10387" t="s">
        <v>4156</v>
      </c>
      <c r="C10387" t="s">
        <v>32</v>
      </c>
      <c r="D10387" t="s">
        <v>11</v>
      </c>
      <c r="E10387" t="s">
        <v>35</v>
      </c>
      <c r="F10387">
        <v>136804414</v>
      </c>
      <c r="G10387">
        <v>136804419</v>
      </c>
      <c r="H10387">
        <v>136804414</v>
      </c>
      <c r="I10387">
        <v>136804419</v>
      </c>
    </row>
    <row r="10388" spans="1:9" x14ac:dyDescent="0.2">
      <c r="A10388" t="str">
        <f>"Hivep1"</f>
        <v>Hivep1</v>
      </c>
      <c r="B10388" t="s">
        <v>14</v>
      </c>
      <c r="C10388" t="s">
        <v>39</v>
      </c>
      <c r="D10388" t="s">
        <v>17</v>
      </c>
      <c r="E10388" t="s">
        <v>12</v>
      </c>
      <c r="F10388">
        <v>42052015</v>
      </c>
      <c r="G10388">
        <v>42052072</v>
      </c>
      <c r="H10388">
        <v>42051842</v>
      </c>
      <c r="I10388">
        <v>42051875</v>
      </c>
    </row>
    <row r="10389" spans="1:9" x14ac:dyDescent="0.2">
      <c r="A10389" t="str">
        <f>"Hivep2"</f>
        <v>Hivep2</v>
      </c>
      <c r="B10389" t="s">
        <v>14</v>
      </c>
      <c r="C10389" t="s">
        <v>15</v>
      </c>
      <c r="D10389" t="s">
        <v>17</v>
      </c>
      <c r="E10389" t="s">
        <v>12</v>
      </c>
      <c r="F10389">
        <v>13966093</v>
      </c>
      <c r="G10389">
        <v>13966110</v>
      </c>
      <c r="H10389">
        <v>13966093</v>
      </c>
      <c r="I10389">
        <v>13966110</v>
      </c>
    </row>
    <row r="10390" spans="1:9" x14ac:dyDescent="0.2">
      <c r="A10390" t="str">
        <f>"Hivep3"</f>
        <v>Hivep3</v>
      </c>
      <c r="B10390" t="s">
        <v>14</v>
      </c>
      <c r="C10390" t="s">
        <v>23</v>
      </c>
      <c r="D10390" t="s">
        <v>17</v>
      </c>
      <c r="E10390" t="s">
        <v>12</v>
      </c>
      <c r="F10390">
        <v>119733784</v>
      </c>
      <c r="G10390">
        <v>119733806</v>
      </c>
      <c r="H10390">
        <v>119733807</v>
      </c>
      <c r="I10390">
        <v>119733834</v>
      </c>
    </row>
    <row r="10391" spans="1:9" x14ac:dyDescent="0.2">
      <c r="A10391" t="str">
        <f>"Hjurp"</f>
        <v>Hjurp</v>
      </c>
      <c r="B10391" t="s">
        <v>14</v>
      </c>
      <c r="C10391" t="s">
        <v>19</v>
      </c>
      <c r="D10391" t="s">
        <v>11</v>
      </c>
      <c r="E10391" t="s">
        <v>12</v>
      </c>
      <c r="F10391">
        <v>88277510</v>
      </c>
      <c r="G10391">
        <v>88277636</v>
      </c>
      <c r="H10391">
        <v>88277470</v>
      </c>
      <c r="I10391">
        <v>88277509</v>
      </c>
    </row>
    <row r="10392" spans="1:9" x14ac:dyDescent="0.2">
      <c r="A10392" t="str">
        <f>"Hk1"</f>
        <v>Hk1</v>
      </c>
      <c r="B10392" t="s">
        <v>14</v>
      </c>
      <c r="C10392" t="s">
        <v>15</v>
      </c>
      <c r="D10392" t="s">
        <v>11</v>
      </c>
      <c r="E10392" t="s">
        <v>12</v>
      </c>
      <c r="F10392">
        <v>62340134</v>
      </c>
      <c r="G10392">
        <v>62340154</v>
      </c>
      <c r="H10392">
        <v>62340157</v>
      </c>
      <c r="I10392">
        <v>62340181</v>
      </c>
    </row>
    <row r="10393" spans="1:9" x14ac:dyDescent="0.2">
      <c r="A10393" t="str">
        <f>"Hk2"</f>
        <v>Hk2</v>
      </c>
      <c r="B10393" t="s">
        <v>14</v>
      </c>
      <c r="C10393" t="s">
        <v>32</v>
      </c>
      <c r="D10393" t="s">
        <v>11</v>
      </c>
      <c r="E10393" t="s">
        <v>12</v>
      </c>
      <c r="F10393">
        <v>82774427</v>
      </c>
      <c r="G10393">
        <v>82774444</v>
      </c>
      <c r="H10393">
        <v>82774448</v>
      </c>
      <c r="I10393">
        <v>82774463</v>
      </c>
    </row>
    <row r="10394" spans="1:9" x14ac:dyDescent="0.2">
      <c r="A10394" t="str">
        <f>"Hk3"</f>
        <v>Hk3</v>
      </c>
      <c r="B10394" t="s">
        <v>14</v>
      </c>
      <c r="C10394" t="s">
        <v>39</v>
      </c>
      <c r="D10394" t="s">
        <v>11</v>
      </c>
      <c r="E10394" t="s">
        <v>12</v>
      </c>
      <c r="F10394">
        <v>55021196</v>
      </c>
      <c r="G10394">
        <v>55021239</v>
      </c>
      <c r="H10394">
        <v>55021196</v>
      </c>
      <c r="I10394">
        <v>55021239</v>
      </c>
    </row>
    <row r="10395" spans="1:9" x14ac:dyDescent="0.2">
      <c r="A10395" t="str">
        <f>"Hkdc1"</f>
        <v>Hkdc1</v>
      </c>
      <c r="B10395" t="s">
        <v>14</v>
      </c>
      <c r="C10395" t="s">
        <v>15</v>
      </c>
      <c r="D10395" t="s">
        <v>11</v>
      </c>
      <c r="E10395" t="s">
        <v>12</v>
      </c>
      <c r="F10395">
        <v>62422427</v>
      </c>
      <c r="G10395">
        <v>62422448</v>
      </c>
      <c r="H10395">
        <v>62422398</v>
      </c>
      <c r="I10395">
        <v>62422409</v>
      </c>
    </row>
    <row r="10396" spans="1:9" x14ac:dyDescent="0.2">
      <c r="A10396" t="str">
        <f>"Hlcs"</f>
        <v>Hlcs</v>
      </c>
      <c r="B10396" t="s">
        <v>9</v>
      </c>
      <c r="C10396" t="s">
        <v>31</v>
      </c>
      <c r="D10396" t="s">
        <v>11</v>
      </c>
      <c r="E10396" t="s">
        <v>12</v>
      </c>
      <c r="F10396">
        <v>94290242</v>
      </c>
      <c r="G10396">
        <v>94290296</v>
      </c>
      <c r="H10396">
        <v>94290242</v>
      </c>
      <c r="I10396">
        <v>94290296</v>
      </c>
    </row>
    <row r="10397" spans="1:9" x14ac:dyDescent="0.2">
      <c r="A10397" t="str">
        <f>"Hlcs"</f>
        <v>Hlcs</v>
      </c>
      <c r="B10397" t="s">
        <v>13</v>
      </c>
      <c r="C10397" t="s">
        <v>31</v>
      </c>
      <c r="D10397" t="s">
        <v>11</v>
      </c>
      <c r="E10397" t="s">
        <v>12</v>
      </c>
      <c r="F10397">
        <v>94313556</v>
      </c>
      <c r="G10397">
        <v>94313577</v>
      </c>
      <c r="H10397">
        <v>94313556</v>
      </c>
      <c r="I10397">
        <v>94313577</v>
      </c>
    </row>
    <row r="10398" spans="1:9" x14ac:dyDescent="0.2">
      <c r="A10398" t="str">
        <f>"Hlf"</f>
        <v>Hlf</v>
      </c>
      <c r="B10398" t="s">
        <v>9</v>
      </c>
      <c r="C10398" t="s">
        <v>27</v>
      </c>
      <c r="D10398" t="s">
        <v>11</v>
      </c>
      <c r="E10398" t="s">
        <v>12</v>
      </c>
      <c r="F10398">
        <v>90390909</v>
      </c>
      <c r="G10398">
        <v>90390926</v>
      </c>
      <c r="H10398">
        <v>90390909</v>
      </c>
      <c r="I10398">
        <v>90390926</v>
      </c>
    </row>
    <row r="10399" spans="1:9" x14ac:dyDescent="0.2">
      <c r="A10399" t="str">
        <f>"Hlf"</f>
        <v>Hlf</v>
      </c>
      <c r="B10399" t="s">
        <v>13</v>
      </c>
      <c r="C10399" t="s">
        <v>27</v>
      </c>
      <c r="D10399" t="s">
        <v>11</v>
      </c>
      <c r="E10399" t="s">
        <v>12</v>
      </c>
      <c r="F10399">
        <v>90389630</v>
      </c>
      <c r="G10399">
        <v>90389668</v>
      </c>
      <c r="H10399">
        <v>90389630</v>
      </c>
      <c r="I10399">
        <v>90389668</v>
      </c>
    </row>
    <row r="10400" spans="1:9" x14ac:dyDescent="0.2">
      <c r="A10400" t="str">
        <f>"Hltf"</f>
        <v>Hltf</v>
      </c>
      <c r="B10400" t="s">
        <v>14</v>
      </c>
      <c r="C10400" t="s">
        <v>22</v>
      </c>
      <c r="D10400" t="s">
        <v>17</v>
      </c>
      <c r="E10400" t="s">
        <v>12</v>
      </c>
      <c r="F10400">
        <v>20057802</v>
      </c>
      <c r="G10400">
        <v>20057857</v>
      </c>
      <c r="H10400">
        <v>20057878</v>
      </c>
      <c r="I10400">
        <v>20057885</v>
      </c>
    </row>
    <row r="10401" spans="1:9" x14ac:dyDescent="0.2">
      <c r="A10401" t="str">
        <f>"Hlx"</f>
        <v>Hlx</v>
      </c>
      <c r="B10401" t="s">
        <v>14</v>
      </c>
      <c r="C10401" t="s">
        <v>19</v>
      </c>
      <c r="D10401" t="s">
        <v>11</v>
      </c>
      <c r="E10401" t="s">
        <v>12</v>
      </c>
      <c r="F10401">
        <v>184732531</v>
      </c>
      <c r="G10401">
        <v>184732545</v>
      </c>
      <c r="H10401">
        <v>184732444</v>
      </c>
      <c r="I10401">
        <v>184732491</v>
      </c>
    </row>
    <row r="10402" spans="1:9" x14ac:dyDescent="0.2">
      <c r="A10402" t="str">
        <f>"Hmbox1"</f>
        <v>Hmbox1</v>
      </c>
      <c r="B10402" t="s">
        <v>14</v>
      </c>
      <c r="C10402" t="s">
        <v>41</v>
      </c>
      <c r="D10402" t="s">
        <v>11</v>
      </c>
      <c r="E10402" t="s">
        <v>12</v>
      </c>
      <c r="F10402">
        <v>64949838</v>
      </c>
      <c r="G10402">
        <v>64949886</v>
      </c>
      <c r="H10402">
        <v>64949632</v>
      </c>
      <c r="I10402">
        <v>64949674</v>
      </c>
    </row>
    <row r="10403" spans="1:9" x14ac:dyDescent="0.2">
      <c r="A10403" t="str">
        <f>"Hmbs"</f>
        <v>Hmbs</v>
      </c>
      <c r="B10403" t="s">
        <v>9</v>
      </c>
      <c r="C10403" t="s">
        <v>24</v>
      </c>
      <c r="D10403" t="s">
        <v>11</v>
      </c>
      <c r="E10403" t="s">
        <v>12</v>
      </c>
      <c r="F10403">
        <v>44342296</v>
      </c>
      <c r="G10403">
        <v>44342312</v>
      </c>
      <c r="H10403">
        <v>44342296</v>
      </c>
      <c r="I10403">
        <v>44342312</v>
      </c>
    </row>
    <row r="10404" spans="1:9" x14ac:dyDescent="0.2">
      <c r="A10404" t="str">
        <f>"Hmbs"</f>
        <v>Hmbs</v>
      </c>
      <c r="B10404" t="s">
        <v>13</v>
      </c>
      <c r="C10404" t="s">
        <v>24</v>
      </c>
      <c r="D10404" t="s">
        <v>11</v>
      </c>
      <c r="E10404" t="s">
        <v>12</v>
      </c>
      <c r="F10404">
        <v>44344159</v>
      </c>
      <c r="G10404">
        <v>44344203</v>
      </c>
      <c r="H10404">
        <v>44344159</v>
      </c>
      <c r="I10404">
        <v>44344203</v>
      </c>
    </row>
    <row r="10405" spans="1:9" x14ac:dyDescent="0.2">
      <c r="A10405" t="str">
        <f>"Hmces"</f>
        <v>Hmces</v>
      </c>
      <c r="B10405" t="s">
        <v>14</v>
      </c>
      <c r="C10405" t="s">
        <v>32</v>
      </c>
      <c r="D10405" t="s">
        <v>17</v>
      </c>
      <c r="E10405" t="s">
        <v>67</v>
      </c>
      <c r="F10405">
        <v>87913936</v>
      </c>
      <c r="G10405">
        <v>87913976</v>
      </c>
      <c r="H10405">
        <v>87914194</v>
      </c>
      <c r="I10405">
        <v>87914220</v>
      </c>
    </row>
    <row r="10406" spans="1:9" x14ac:dyDescent="0.2">
      <c r="A10406" t="str">
        <f>"Hmcn1"</f>
        <v>Hmcn1</v>
      </c>
      <c r="B10406" t="s">
        <v>14</v>
      </c>
      <c r="C10406" t="s">
        <v>19</v>
      </c>
      <c r="D10406" t="s">
        <v>11</v>
      </c>
      <c r="E10406" t="s">
        <v>12</v>
      </c>
      <c r="F10406">
        <v>150993422</v>
      </c>
      <c r="G10406">
        <v>150993449</v>
      </c>
      <c r="H10406">
        <v>150993422</v>
      </c>
      <c r="I10406">
        <v>150993449</v>
      </c>
    </row>
    <row r="10407" spans="1:9" x14ac:dyDescent="0.2">
      <c r="A10407" t="str">
        <f>"Hmcn2"</f>
        <v>Hmcn2</v>
      </c>
      <c r="B10407" t="s">
        <v>14</v>
      </c>
      <c r="C10407" t="s">
        <v>26</v>
      </c>
      <c r="D10407" t="s">
        <v>17</v>
      </c>
      <c r="E10407" t="s">
        <v>67</v>
      </c>
      <c r="F10407">
        <v>31314303</v>
      </c>
      <c r="G10407">
        <v>31314376</v>
      </c>
      <c r="H10407">
        <v>31314278</v>
      </c>
      <c r="I10407">
        <v>31314287</v>
      </c>
    </row>
    <row r="10408" spans="1:9" x14ac:dyDescent="0.2">
      <c r="A10408" t="str">
        <f>"Hmg20a"</f>
        <v>Hmg20a</v>
      </c>
      <c r="B10408" t="s">
        <v>14</v>
      </c>
      <c r="C10408" t="s">
        <v>24</v>
      </c>
      <c r="D10408" t="s">
        <v>17</v>
      </c>
      <c r="E10408" t="s">
        <v>12</v>
      </c>
      <c r="F10408">
        <v>56418805</v>
      </c>
      <c r="G10408">
        <v>56418847</v>
      </c>
      <c r="H10408">
        <v>56418624</v>
      </c>
      <c r="I10408">
        <v>56418681</v>
      </c>
    </row>
    <row r="10409" spans="1:9" x14ac:dyDescent="0.2">
      <c r="A10409" t="str">
        <f>"Hmg20b"</f>
        <v>Hmg20b</v>
      </c>
      <c r="B10409" t="s">
        <v>14</v>
      </c>
      <c r="C10409" t="s">
        <v>15</v>
      </c>
      <c r="D10409" t="s">
        <v>11</v>
      </c>
      <c r="E10409" t="s">
        <v>12</v>
      </c>
      <c r="F10409">
        <v>81350389</v>
      </c>
      <c r="G10409">
        <v>81350466</v>
      </c>
      <c r="H10409">
        <v>81350305</v>
      </c>
      <c r="I10409">
        <v>81350369</v>
      </c>
    </row>
    <row r="10410" spans="1:9" x14ac:dyDescent="0.2">
      <c r="A10410" t="str">
        <f>"Hmga1"</f>
        <v>Hmga1</v>
      </c>
      <c r="B10410" t="s">
        <v>14</v>
      </c>
      <c r="C10410" t="s">
        <v>28</v>
      </c>
      <c r="D10410" t="s">
        <v>17</v>
      </c>
      <c r="E10410" t="s">
        <v>12</v>
      </c>
      <c r="F10410">
        <v>27556613</v>
      </c>
      <c r="G10410">
        <v>27556635</v>
      </c>
      <c r="H10410">
        <v>27556613</v>
      </c>
      <c r="I10410">
        <v>27556635</v>
      </c>
    </row>
    <row r="10411" spans="1:9" x14ac:dyDescent="0.2">
      <c r="A10411" t="str">
        <f>"Hmga1-rs1"</f>
        <v>Hmga1-rs1</v>
      </c>
      <c r="B10411" t="s">
        <v>4157</v>
      </c>
      <c r="C10411" t="s">
        <v>27</v>
      </c>
      <c r="D10411" t="s">
        <v>17</v>
      </c>
      <c r="E10411" t="s">
        <v>35</v>
      </c>
      <c r="F10411">
        <v>120762792</v>
      </c>
      <c r="G10411">
        <v>120762793</v>
      </c>
      <c r="H10411">
        <v>120762818</v>
      </c>
      <c r="I10411">
        <v>120762829</v>
      </c>
    </row>
    <row r="10412" spans="1:9" x14ac:dyDescent="0.2">
      <c r="A10412" t="str">
        <f>"Hmga2"</f>
        <v>Hmga2</v>
      </c>
      <c r="B10412" t="s">
        <v>14</v>
      </c>
      <c r="C10412" t="s">
        <v>15</v>
      </c>
      <c r="D10412" t="s">
        <v>11</v>
      </c>
      <c r="E10412" t="s">
        <v>12</v>
      </c>
      <c r="F10412">
        <v>120476254</v>
      </c>
      <c r="G10412">
        <v>120476310</v>
      </c>
      <c r="H10412">
        <v>120476222</v>
      </c>
      <c r="I10412">
        <v>120476242</v>
      </c>
    </row>
    <row r="10413" spans="1:9" x14ac:dyDescent="0.2">
      <c r="A10413" t="str">
        <f>"Hmgb1"</f>
        <v>Hmgb1</v>
      </c>
      <c r="B10413" t="s">
        <v>9</v>
      </c>
      <c r="C10413" t="s">
        <v>46</v>
      </c>
      <c r="D10413" t="s">
        <v>11</v>
      </c>
      <c r="E10413" t="s">
        <v>12</v>
      </c>
      <c r="F10413">
        <v>149053038</v>
      </c>
      <c r="G10413">
        <v>149053053</v>
      </c>
      <c r="H10413">
        <v>149053038</v>
      </c>
      <c r="I10413">
        <v>149053053</v>
      </c>
    </row>
    <row r="10414" spans="1:9" x14ac:dyDescent="0.2">
      <c r="A10414" t="str">
        <f>"Hmgb1"</f>
        <v>Hmgb1</v>
      </c>
      <c r="B10414" t="s">
        <v>13</v>
      </c>
      <c r="C10414" t="s">
        <v>46</v>
      </c>
      <c r="D10414" t="s">
        <v>11</v>
      </c>
      <c r="E10414" t="s">
        <v>12</v>
      </c>
      <c r="F10414">
        <v>149051393</v>
      </c>
      <c r="G10414">
        <v>149051455</v>
      </c>
      <c r="H10414">
        <v>149051393</v>
      </c>
      <c r="I10414">
        <v>149051455</v>
      </c>
    </row>
    <row r="10415" spans="1:9" x14ac:dyDescent="0.2">
      <c r="A10415" t="str">
        <f>"Hmgb2"</f>
        <v>Hmgb2</v>
      </c>
      <c r="B10415" t="s">
        <v>14</v>
      </c>
      <c r="C10415" t="s">
        <v>30</v>
      </c>
      <c r="D10415" t="s">
        <v>17</v>
      </c>
      <c r="E10415" t="s">
        <v>12</v>
      </c>
      <c r="F10415">
        <v>57511833</v>
      </c>
      <c r="G10415">
        <v>57511869</v>
      </c>
      <c r="H10415">
        <v>57511893</v>
      </c>
      <c r="I10415">
        <v>57511930</v>
      </c>
    </row>
    <row r="10416" spans="1:9" x14ac:dyDescent="0.2">
      <c r="A10416" t="str">
        <f>"Hmgb3"</f>
        <v>Hmgb3</v>
      </c>
      <c r="B10416" t="s">
        <v>14</v>
      </c>
      <c r="C10416" t="s">
        <v>37</v>
      </c>
      <c r="D10416" t="s">
        <v>17</v>
      </c>
      <c r="E10416" t="s">
        <v>12</v>
      </c>
      <c r="F10416">
        <v>71555979</v>
      </c>
      <c r="G10416">
        <v>71556022</v>
      </c>
      <c r="H10416">
        <v>71556025</v>
      </c>
      <c r="I10416">
        <v>71556041</v>
      </c>
    </row>
    <row r="10417" spans="1:9" x14ac:dyDescent="0.2">
      <c r="A10417" t="str">
        <f>"Hmgb4"</f>
        <v>Hmgb4</v>
      </c>
      <c r="B10417" t="s">
        <v>14</v>
      </c>
      <c r="C10417" t="s">
        <v>23</v>
      </c>
      <c r="D10417" t="s">
        <v>11</v>
      </c>
      <c r="E10417" t="s">
        <v>12</v>
      </c>
      <c r="F10417">
        <v>128260888</v>
      </c>
      <c r="G10417">
        <v>128260900</v>
      </c>
      <c r="H10417">
        <v>128260917</v>
      </c>
      <c r="I10417">
        <v>128260922</v>
      </c>
    </row>
    <row r="10418" spans="1:9" x14ac:dyDescent="0.2">
      <c r="A10418" t="str">
        <f>"Hmgcl"</f>
        <v>Hmgcl</v>
      </c>
      <c r="B10418" t="s">
        <v>14</v>
      </c>
      <c r="C10418" t="s">
        <v>23</v>
      </c>
      <c r="D10418" t="s">
        <v>17</v>
      </c>
      <c r="E10418" t="s">
        <v>12</v>
      </c>
      <c r="F10418">
        <v>135946447</v>
      </c>
      <c r="G10418">
        <v>135946495</v>
      </c>
      <c r="H10418">
        <v>135946447</v>
      </c>
      <c r="I10418">
        <v>135946495</v>
      </c>
    </row>
    <row r="10419" spans="1:9" x14ac:dyDescent="0.2">
      <c r="A10419" t="str">
        <f>"Hmgcll1"</f>
        <v>Hmgcll1</v>
      </c>
      <c r="B10419" t="s">
        <v>14</v>
      </c>
      <c r="C10419" t="s">
        <v>24</v>
      </c>
      <c r="D10419" t="s">
        <v>17</v>
      </c>
      <c r="E10419" t="s">
        <v>12</v>
      </c>
      <c r="F10419">
        <v>76014954</v>
      </c>
      <c r="G10419">
        <v>76015020</v>
      </c>
      <c r="H10419">
        <v>76015033</v>
      </c>
      <c r="I10419">
        <v>76015049</v>
      </c>
    </row>
    <row r="10420" spans="1:9" x14ac:dyDescent="0.2">
      <c r="A10420" t="str">
        <f>"Hmgcr"</f>
        <v>Hmgcr</v>
      </c>
      <c r="B10420" t="s">
        <v>14</v>
      </c>
      <c r="C10420" t="s">
        <v>39</v>
      </c>
      <c r="D10420" t="s">
        <v>11</v>
      </c>
      <c r="E10420" t="s">
        <v>12</v>
      </c>
      <c r="F10420">
        <v>96670838</v>
      </c>
      <c r="G10420">
        <v>96670903</v>
      </c>
      <c r="H10420">
        <v>96670815</v>
      </c>
      <c r="I10420">
        <v>96670829</v>
      </c>
    </row>
    <row r="10421" spans="1:9" x14ac:dyDescent="0.2">
      <c r="A10421" t="str">
        <f>"Hmgcs1"</f>
        <v>Hmgcs1</v>
      </c>
      <c r="B10421" t="s">
        <v>4158</v>
      </c>
      <c r="C10421" t="s">
        <v>39</v>
      </c>
      <c r="D10421" t="s">
        <v>17</v>
      </c>
      <c r="E10421" t="s">
        <v>20</v>
      </c>
      <c r="F10421">
        <v>119690461</v>
      </c>
      <c r="G10421">
        <v>119690461</v>
      </c>
      <c r="H10421">
        <v>119690461</v>
      </c>
      <c r="I10421">
        <v>119690461</v>
      </c>
    </row>
    <row r="10422" spans="1:9" x14ac:dyDescent="0.2">
      <c r="A10422" t="str">
        <f>"Hmgcs2"</f>
        <v>Hmgcs2</v>
      </c>
      <c r="B10422" t="s">
        <v>14</v>
      </c>
      <c r="C10422" t="s">
        <v>22</v>
      </c>
      <c r="D10422" t="s">
        <v>17</v>
      </c>
      <c r="E10422" t="s">
        <v>12</v>
      </c>
      <c r="F10422">
        <v>98280427</v>
      </c>
      <c r="G10422">
        <v>98280444</v>
      </c>
      <c r="H10422">
        <v>98280427</v>
      </c>
      <c r="I10422">
        <v>98280444</v>
      </c>
    </row>
    <row r="10423" spans="1:9" x14ac:dyDescent="0.2">
      <c r="A10423" t="str">
        <f>"Hmgn1"</f>
        <v>Hmgn1</v>
      </c>
      <c r="B10423" t="s">
        <v>14</v>
      </c>
      <c r="C10423" t="s">
        <v>31</v>
      </c>
      <c r="D10423" t="s">
        <v>11</v>
      </c>
      <c r="E10423" t="s">
        <v>12</v>
      </c>
      <c r="F10423">
        <v>96127689</v>
      </c>
      <c r="G10423">
        <v>96127736</v>
      </c>
      <c r="H10423">
        <v>96127464</v>
      </c>
      <c r="I10423">
        <v>96127496</v>
      </c>
    </row>
    <row r="10424" spans="1:9" x14ac:dyDescent="0.2">
      <c r="A10424" t="str">
        <f>"Hmgn2"</f>
        <v>Hmgn2</v>
      </c>
      <c r="B10424" t="s">
        <v>14</v>
      </c>
      <c r="C10424" t="s">
        <v>23</v>
      </c>
      <c r="D10424" t="s">
        <v>11</v>
      </c>
      <c r="E10424" t="s">
        <v>12</v>
      </c>
      <c r="F10424">
        <v>133967924</v>
      </c>
      <c r="G10424">
        <v>133967951</v>
      </c>
      <c r="H10424">
        <v>133967953</v>
      </c>
      <c r="I10424">
        <v>133968005</v>
      </c>
    </row>
    <row r="10425" spans="1:9" x14ac:dyDescent="0.2">
      <c r="A10425" t="str">
        <f>"Hmgn3"</f>
        <v>Hmgn3</v>
      </c>
      <c r="B10425" t="s">
        <v>14</v>
      </c>
      <c r="C10425" t="s">
        <v>24</v>
      </c>
      <c r="D10425" t="s">
        <v>11</v>
      </c>
      <c r="E10425" t="s">
        <v>12</v>
      </c>
      <c r="F10425">
        <v>83146528</v>
      </c>
      <c r="G10425">
        <v>83146588</v>
      </c>
      <c r="H10425">
        <v>83146601</v>
      </c>
      <c r="I10425">
        <v>83146614</v>
      </c>
    </row>
    <row r="10426" spans="1:9" x14ac:dyDescent="0.2">
      <c r="A10426" t="str">
        <f>"Hmgn5"</f>
        <v>Hmgn5</v>
      </c>
      <c r="B10426" t="s">
        <v>14</v>
      </c>
      <c r="C10426" t="s">
        <v>37</v>
      </c>
      <c r="D10426" t="s">
        <v>11</v>
      </c>
      <c r="E10426" t="s">
        <v>12</v>
      </c>
      <c r="F10426">
        <v>109013344</v>
      </c>
      <c r="G10426">
        <v>109013371</v>
      </c>
      <c r="H10426">
        <v>109013372</v>
      </c>
      <c r="I10426">
        <v>109013388</v>
      </c>
    </row>
    <row r="10427" spans="1:9" x14ac:dyDescent="0.2">
      <c r="A10427" t="str">
        <f>"Hmgxb3"</f>
        <v>Hmgxb3</v>
      </c>
      <c r="B10427" t="s">
        <v>14</v>
      </c>
      <c r="C10427" t="s">
        <v>43</v>
      </c>
      <c r="D10427" t="s">
        <v>11</v>
      </c>
      <c r="E10427" t="s">
        <v>12</v>
      </c>
      <c r="F10427">
        <v>61176994</v>
      </c>
      <c r="G10427">
        <v>61177057</v>
      </c>
      <c r="H10427">
        <v>61177059</v>
      </c>
      <c r="I10427">
        <v>61177077</v>
      </c>
    </row>
    <row r="10428" spans="1:9" x14ac:dyDescent="0.2">
      <c r="A10428" t="str">
        <f>"Hmgxb4"</f>
        <v>Hmgxb4</v>
      </c>
      <c r="B10428" t="s">
        <v>9</v>
      </c>
      <c r="C10428" t="s">
        <v>30</v>
      </c>
      <c r="D10428" t="s">
        <v>17</v>
      </c>
      <c r="E10428" t="s">
        <v>12</v>
      </c>
      <c r="F10428">
        <v>74993659</v>
      </c>
      <c r="G10428">
        <v>74993698</v>
      </c>
      <c r="H10428">
        <v>74993659</v>
      </c>
      <c r="I10428">
        <v>74993698</v>
      </c>
    </row>
    <row r="10429" spans="1:9" x14ac:dyDescent="0.2">
      <c r="A10429" t="str">
        <f>"Hmgxb4"</f>
        <v>Hmgxb4</v>
      </c>
      <c r="B10429" t="s">
        <v>13</v>
      </c>
      <c r="C10429" t="s">
        <v>30</v>
      </c>
      <c r="D10429" t="s">
        <v>17</v>
      </c>
      <c r="E10429" t="s">
        <v>12</v>
      </c>
      <c r="F10429">
        <v>75016229</v>
      </c>
      <c r="G10429">
        <v>75016246</v>
      </c>
      <c r="H10429">
        <v>75016229</v>
      </c>
      <c r="I10429">
        <v>75016246</v>
      </c>
    </row>
    <row r="10430" spans="1:9" x14ac:dyDescent="0.2">
      <c r="A10430" t="str">
        <f>"Hmha1"</f>
        <v>Hmha1</v>
      </c>
      <c r="B10430" t="s">
        <v>14</v>
      </c>
      <c r="C10430" t="s">
        <v>15</v>
      </c>
      <c r="D10430" t="s">
        <v>17</v>
      </c>
      <c r="E10430" t="s">
        <v>12</v>
      </c>
      <c r="F10430">
        <v>80016696</v>
      </c>
      <c r="G10430">
        <v>80016733</v>
      </c>
      <c r="H10430">
        <v>80016735</v>
      </c>
      <c r="I10430">
        <v>80016758</v>
      </c>
    </row>
    <row r="10431" spans="1:9" x14ac:dyDescent="0.2">
      <c r="A10431" t="str">
        <f>"Hmmr"</f>
        <v>Hmmr</v>
      </c>
      <c r="B10431" t="s">
        <v>14</v>
      </c>
      <c r="C10431" t="s">
        <v>27</v>
      </c>
      <c r="D10431" t="s">
        <v>11</v>
      </c>
      <c r="E10431" t="s">
        <v>12</v>
      </c>
      <c r="F10431">
        <v>40733373</v>
      </c>
      <c r="G10431">
        <v>40733442</v>
      </c>
      <c r="H10431">
        <v>40733373</v>
      </c>
      <c r="I10431">
        <v>40733442</v>
      </c>
    </row>
    <row r="10432" spans="1:9" x14ac:dyDescent="0.2">
      <c r="A10432" t="str">
        <f>"Hmox1"</f>
        <v>Hmox1</v>
      </c>
      <c r="B10432" t="s">
        <v>14</v>
      </c>
      <c r="C10432" t="s">
        <v>30</v>
      </c>
      <c r="D10432" t="s">
        <v>17</v>
      </c>
      <c r="E10432" t="s">
        <v>12</v>
      </c>
      <c r="F10432">
        <v>75093612</v>
      </c>
      <c r="G10432">
        <v>75093629</v>
      </c>
      <c r="H10432">
        <v>75093612</v>
      </c>
      <c r="I10432">
        <v>75093629</v>
      </c>
    </row>
    <row r="10433" spans="1:9" x14ac:dyDescent="0.2">
      <c r="A10433" t="str">
        <f>"Hmox2"</f>
        <v>Hmox2</v>
      </c>
      <c r="B10433" t="s">
        <v>14</v>
      </c>
      <c r="C10433" t="s">
        <v>31</v>
      </c>
      <c r="D10433" t="s">
        <v>17</v>
      </c>
      <c r="E10433" t="s">
        <v>12</v>
      </c>
      <c r="F10433">
        <v>4726374</v>
      </c>
      <c r="G10433">
        <v>4726439</v>
      </c>
      <c r="H10433">
        <v>4726357</v>
      </c>
      <c r="I10433">
        <v>4726370</v>
      </c>
    </row>
    <row r="10434" spans="1:9" x14ac:dyDescent="0.2">
      <c r="A10434" t="str">
        <f>"Hmx1"</f>
        <v>Hmx1</v>
      </c>
      <c r="B10434" t="s">
        <v>14</v>
      </c>
      <c r="C10434" t="s">
        <v>46</v>
      </c>
      <c r="D10434" t="s">
        <v>17</v>
      </c>
      <c r="E10434" t="s">
        <v>12</v>
      </c>
      <c r="F10434">
        <v>35388844</v>
      </c>
      <c r="G10434">
        <v>35388882</v>
      </c>
      <c r="H10434">
        <v>35388844</v>
      </c>
      <c r="I10434">
        <v>35388882</v>
      </c>
    </row>
    <row r="10435" spans="1:9" x14ac:dyDescent="0.2">
      <c r="A10435" t="str">
        <f>"Hmx2"</f>
        <v>Hmx2</v>
      </c>
      <c r="B10435" t="s">
        <v>14</v>
      </c>
      <c r="C10435" t="s">
        <v>33</v>
      </c>
      <c r="D10435" t="s">
        <v>17</v>
      </c>
      <c r="E10435" t="s">
        <v>12</v>
      </c>
      <c r="F10435">
        <v>131554289</v>
      </c>
      <c r="G10435">
        <v>131554299</v>
      </c>
      <c r="H10435">
        <v>131554056</v>
      </c>
      <c r="I10435">
        <v>131554065</v>
      </c>
    </row>
    <row r="10436" spans="1:9" x14ac:dyDescent="0.2">
      <c r="A10436" t="str">
        <f>"Hmx3"</f>
        <v>Hmx3</v>
      </c>
      <c r="B10436" t="s">
        <v>14</v>
      </c>
      <c r="C10436" t="s">
        <v>33</v>
      </c>
      <c r="D10436" t="s">
        <v>17</v>
      </c>
      <c r="E10436" t="s">
        <v>12</v>
      </c>
      <c r="F10436">
        <v>131542445</v>
      </c>
      <c r="G10436">
        <v>131542450</v>
      </c>
      <c r="H10436">
        <v>131542618</v>
      </c>
      <c r="I10436">
        <v>131542626</v>
      </c>
    </row>
    <row r="10437" spans="1:9" x14ac:dyDescent="0.2">
      <c r="A10437" t="str">
        <f>"Hn1"</f>
        <v>Hn1</v>
      </c>
      <c r="B10437" t="s">
        <v>14</v>
      </c>
      <c r="C10437" t="s">
        <v>27</v>
      </c>
      <c r="D10437" t="s">
        <v>11</v>
      </c>
      <c r="E10437" t="s">
        <v>12</v>
      </c>
      <c r="F10437">
        <v>115514374</v>
      </c>
      <c r="G10437">
        <v>115514393</v>
      </c>
      <c r="H10437">
        <v>115514102</v>
      </c>
      <c r="I10437">
        <v>115514122</v>
      </c>
    </row>
    <row r="10438" spans="1:9" x14ac:dyDescent="0.2">
      <c r="A10438" t="str">
        <f>"Hn1l"</f>
        <v>Hn1l</v>
      </c>
      <c r="B10438" t="s">
        <v>14</v>
      </c>
      <c r="C10438" t="s">
        <v>28</v>
      </c>
      <c r="D10438" t="s">
        <v>11</v>
      </c>
      <c r="E10438" t="s">
        <v>12</v>
      </c>
      <c r="F10438">
        <v>24960620</v>
      </c>
      <c r="G10438">
        <v>24960654</v>
      </c>
      <c r="H10438">
        <v>24960661</v>
      </c>
      <c r="I10438">
        <v>24960693</v>
      </c>
    </row>
    <row r="10439" spans="1:9" x14ac:dyDescent="0.2">
      <c r="A10439" t="str">
        <f>"Hnf1a"</f>
        <v>Hnf1a</v>
      </c>
      <c r="B10439" t="s">
        <v>14</v>
      </c>
      <c r="C10439" t="s">
        <v>46</v>
      </c>
      <c r="D10439" t="s">
        <v>11</v>
      </c>
      <c r="E10439" t="s">
        <v>12</v>
      </c>
      <c r="F10439">
        <v>114971056</v>
      </c>
      <c r="G10439">
        <v>114971079</v>
      </c>
      <c r="H10439">
        <v>114971056</v>
      </c>
      <c r="I10439">
        <v>114971079</v>
      </c>
    </row>
    <row r="10440" spans="1:9" x14ac:dyDescent="0.2">
      <c r="A10440" t="str">
        <f>"Hnf1b"</f>
        <v>Hnf1b</v>
      </c>
      <c r="B10440" t="s">
        <v>14</v>
      </c>
      <c r="C10440" t="s">
        <v>27</v>
      </c>
      <c r="D10440" t="s">
        <v>17</v>
      </c>
      <c r="E10440" t="s">
        <v>12</v>
      </c>
      <c r="F10440">
        <v>83850863</v>
      </c>
      <c r="G10440">
        <v>83850881</v>
      </c>
      <c r="H10440">
        <v>83850832</v>
      </c>
      <c r="I10440">
        <v>83850851</v>
      </c>
    </row>
    <row r="10441" spans="1:9" x14ac:dyDescent="0.2">
      <c r="A10441" t="str">
        <f>"Hnf4a"</f>
        <v>Hnf4a</v>
      </c>
      <c r="B10441" t="s">
        <v>14</v>
      </c>
      <c r="C10441" t="s">
        <v>26</v>
      </c>
      <c r="D10441" t="s">
        <v>17</v>
      </c>
      <c r="E10441" t="s">
        <v>12</v>
      </c>
      <c r="F10441">
        <v>163547148</v>
      </c>
      <c r="G10441">
        <v>163547168</v>
      </c>
      <c r="H10441">
        <v>163547148</v>
      </c>
      <c r="I10441">
        <v>163547168</v>
      </c>
    </row>
    <row r="10442" spans="1:9" x14ac:dyDescent="0.2">
      <c r="A10442" t="str">
        <f>"Hnf4g"</f>
        <v>Hnf4g</v>
      </c>
      <c r="B10442" t="s">
        <v>4159</v>
      </c>
      <c r="C10442" t="s">
        <v>22</v>
      </c>
      <c r="D10442" t="s">
        <v>17</v>
      </c>
      <c r="E10442" t="s">
        <v>35</v>
      </c>
      <c r="F10442">
        <v>3507979</v>
      </c>
      <c r="G10442">
        <v>3507980</v>
      </c>
      <c r="H10442">
        <v>3508213</v>
      </c>
      <c r="I10442">
        <v>3508224</v>
      </c>
    </row>
    <row r="10443" spans="1:9" x14ac:dyDescent="0.2">
      <c r="A10443" t="str">
        <f>"Hnmt"</f>
        <v>Hnmt</v>
      </c>
      <c r="B10443" t="s">
        <v>14</v>
      </c>
      <c r="C10443" t="s">
        <v>26</v>
      </c>
      <c r="D10443" t="s">
        <v>11</v>
      </c>
      <c r="E10443" t="s">
        <v>12</v>
      </c>
      <c r="F10443">
        <v>24048828</v>
      </c>
      <c r="G10443">
        <v>24048846</v>
      </c>
      <c r="H10443">
        <v>24049356</v>
      </c>
      <c r="I10443">
        <v>24049380</v>
      </c>
    </row>
    <row r="10444" spans="1:9" x14ac:dyDescent="0.2">
      <c r="A10444" t="str">
        <f>"Hnrnpa0"</f>
        <v>Hnrnpa0</v>
      </c>
      <c r="B10444" t="s">
        <v>14</v>
      </c>
      <c r="C10444" t="s">
        <v>39</v>
      </c>
      <c r="D10444" t="s">
        <v>11</v>
      </c>
      <c r="E10444" t="s">
        <v>12</v>
      </c>
      <c r="F10444">
        <v>58128542</v>
      </c>
      <c r="G10444">
        <v>58128567</v>
      </c>
      <c r="H10444">
        <v>58128842</v>
      </c>
      <c r="I10444">
        <v>58128889</v>
      </c>
    </row>
    <row r="10445" spans="1:9" x14ac:dyDescent="0.2">
      <c r="A10445" t="str">
        <f>"Hnrnpa1"</f>
        <v>Hnrnpa1</v>
      </c>
      <c r="B10445" t="s">
        <v>14</v>
      </c>
      <c r="C10445" t="s">
        <v>25</v>
      </c>
      <c r="D10445" t="s">
        <v>17</v>
      </c>
      <c r="E10445" t="s">
        <v>12</v>
      </c>
      <c r="F10445">
        <v>103240405</v>
      </c>
      <c r="G10445">
        <v>103240429</v>
      </c>
      <c r="H10445">
        <v>103240405</v>
      </c>
      <c r="I10445">
        <v>103240429</v>
      </c>
    </row>
    <row r="10446" spans="1:9" x14ac:dyDescent="0.2">
      <c r="A10446" t="str">
        <f>"Hnrnpa2b1"</f>
        <v>Hnrnpa2b1</v>
      </c>
      <c r="B10446" t="s">
        <v>14</v>
      </c>
      <c r="C10446" t="s">
        <v>32</v>
      </c>
      <c r="D10446" t="s">
        <v>11</v>
      </c>
      <c r="E10446" t="s">
        <v>12</v>
      </c>
      <c r="F10446">
        <v>51469836</v>
      </c>
      <c r="G10446">
        <v>51469854</v>
      </c>
      <c r="H10446">
        <v>51469869</v>
      </c>
      <c r="I10446">
        <v>51469877</v>
      </c>
    </row>
    <row r="10447" spans="1:9" x14ac:dyDescent="0.2">
      <c r="A10447" t="str">
        <f>"Hnrnpa3"</f>
        <v>Hnrnpa3</v>
      </c>
      <c r="B10447" t="s">
        <v>14</v>
      </c>
      <c r="C10447" t="s">
        <v>26</v>
      </c>
      <c r="D10447" t="s">
        <v>17</v>
      </c>
      <c r="E10447" t="s">
        <v>12</v>
      </c>
      <c r="F10447">
        <v>75659253</v>
      </c>
      <c r="G10447">
        <v>75659266</v>
      </c>
      <c r="H10447">
        <v>75659308</v>
      </c>
      <c r="I10447">
        <v>75659316</v>
      </c>
    </row>
    <row r="10448" spans="1:9" x14ac:dyDescent="0.2">
      <c r="A10448" t="str">
        <f>"Hnrnpab"</f>
        <v>Hnrnpab</v>
      </c>
      <c r="B10448" t="s">
        <v>14</v>
      </c>
      <c r="C10448" t="s">
        <v>27</v>
      </c>
      <c r="D10448" t="s">
        <v>11</v>
      </c>
      <c r="E10448" t="s">
        <v>12</v>
      </c>
      <c r="F10448">
        <v>51606840</v>
      </c>
      <c r="G10448">
        <v>51606857</v>
      </c>
      <c r="H10448">
        <v>51606867</v>
      </c>
      <c r="I10448">
        <v>51606885</v>
      </c>
    </row>
    <row r="10449" spans="1:9" x14ac:dyDescent="0.2">
      <c r="A10449" t="str">
        <f>"Hnrnpc"</f>
        <v>Hnrnpc</v>
      </c>
      <c r="B10449" t="s">
        <v>14</v>
      </c>
      <c r="C10449" t="s">
        <v>41</v>
      </c>
      <c r="D10449" t="s">
        <v>11</v>
      </c>
      <c r="E10449" t="s">
        <v>12</v>
      </c>
      <c r="F10449">
        <v>52103991</v>
      </c>
      <c r="G10449">
        <v>52104011</v>
      </c>
      <c r="H10449">
        <v>52104015</v>
      </c>
      <c r="I10449">
        <v>52104026</v>
      </c>
    </row>
    <row r="10450" spans="1:9" x14ac:dyDescent="0.2">
      <c r="A10450" t="str">
        <f>"Hnrnpd"</f>
        <v>Hnrnpd</v>
      </c>
      <c r="B10450" t="s">
        <v>14</v>
      </c>
      <c r="C10450" t="s">
        <v>46</v>
      </c>
      <c r="D10450" t="s">
        <v>11</v>
      </c>
      <c r="E10450" t="s">
        <v>12</v>
      </c>
      <c r="F10450">
        <v>99978914</v>
      </c>
      <c r="G10450">
        <v>99978966</v>
      </c>
      <c r="H10450">
        <v>99978902</v>
      </c>
      <c r="I10450">
        <v>99978913</v>
      </c>
    </row>
    <row r="10451" spans="1:9" x14ac:dyDescent="0.2">
      <c r="A10451" t="str">
        <f>"Hnrnpdl"</f>
        <v>Hnrnpdl</v>
      </c>
      <c r="B10451" t="s">
        <v>14</v>
      </c>
      <c r="C10451" t="s">
        <v>46</v>
      </c>
      <c r="D10451" t="s">
        <v>11</v>
      </c>
      <c r="E10451" t="s">
        <v>67</v>
      </c>
      <c r="F10451">
        <v>100038902</v>
      </c>
      <c r="G10451">
        <v>100038919</v>
      </c>
      <c r="H10451">
        <v>100038902</v>
      </c>
      <c r="I10451">
        <v>100038919</v>
      </c>
    </row>
    <row r="10452" spans="1:9" x14ac:dyDescent="0.2">
      <c r="A10452" t="str">
        <f>"Hnrnpf"</f>
        <v>Hnrnpf</v>
      </c>
      <c r="B10452" t="s">
        <v>9</v>
      </c>
      <c r="C10452" t="s">
        <v>32</v>
      </c>
      <c r="D10452" t="s">
        <v>17</v>
      </c>
      <c r="E10452" t="s">
        <v>12</v>
      </c>
      <c r="F10452">
        <v>117906755</v>
      </c>
      <c r="G10452">
        <v>117906801</v>
      </c>
      <c r="H10452">
        <v>117906755</v>
      </c>
      <c r="I10452">
        <v>117906801</v>
      </c>
    </row>
    <row r="10453" spans="1:9" x14ac:dyDescent="0.2">
      <c r="A10453" t="str">
        <f>"Hnrnpf"</f>
        <v>Hnrnpf</v>
      </c>
      <c r="B10453" t="s">
        <v>13</v>
      </c>
      <c r="C10453" t="s">
        <v>32</v>
      </c>
      <c r="D10453" t="s">
        <v>17</v>
      </c>
      <c r="E10453" t="s">
        <v>12</v>
      </c>
      <c r="F10453">
        <v>117917281</v>
      </c>
      <c r="G10453">
        <v>117917349</v>
      </c>
      <c r="H10453">
        <v>117917281</v>
      </c>
      <c r="I10453">
        <v>117917349</v>
      </c>
    </row>
    <row r="10454" spans="1:9" x14ac:dyDescent="0.2">
      <c r="A10454" t="str">
        <f>"Hnrnph1"</f>
        <v>Hnrnph1</v>
      </c>
      <c r="B10454" t="s">
        <v>9</v>
      </c>
      <c r="C10454" t="s">
        <v>27</v>
      </c>
      <c r="D10454" t="s">
        <v>17</v>
      </c>
      <c r="E10454" t="s">
        <v>12</v>
      </c>
      <c r="F10454">
        <v>50377757</v>
      </c>
      <c r="G10454">
        <v>50377779</v>
      </c>
      <c r="H10454">
        <v>50377757</v>
      </c>
      <c r="I10454">
        <v>50377779</v>
      </c>
    </row>
    <row r="10455" spans="1:9" x14ac:dyDescent="0.2">
      <c r="A10455" t="str">
        <f>"Hnrnph1"</f>
        <v>Hnrnph1</v>
      </c>
      <c r="B10455" t="s">
        <v>13</v>
      </c>
      <c r="C10455" t="s">
        <v>27</v>
      </c>
      <c r="D10455" t="s">
        <v>17</v>
      </c>
      <c r="E10455" t="s">
        <v>12</v>
      </c>
      <c r="F10455">
        <v>50383016</v>
      </c>
      <c r="G10455">
        <v>50383028</v>
      </c>
      <c r="H10455">
        <v>50383016</v>
      </c>
      <c r="I10455">
        <v>50383028</v>
      </c>
    </row>
    <row r="10456" spans="1:9" x14ac:dyDescent="0.2">
      <c r="A10456" t="str">
        <f>"Hnrnph2"</f>
        <v>Hnrnph2</v>
      </c>
      <c r="B10456" t="s">
        <v>14</v>
      </c>
      <c r="C10456" t="s">
        <v>37</v>
      </c>
      <c r="D10456" t="s">
        <v>17</v>
      </c>
      <c r="E10456" t="s">
        <v>12</v>
      </c>
      <c r="F10456">
        <v>134601211</v>
      </c>
      <c r="G10456">
        <v>134601266</v>
      </c>
      <c r="H10456">
        <v>134601272</v>
      </c>
      <c r="I10456">
        <v>134601281</v>
      </c>
    </row>
    <row r="10457" spans="1:9" x14ac:dyDescent="0.2">
      <c r="A10457" t="str">
        <f>"Hnrnph3"</f>
        <v>Hnrnph3</v>
      </c>
      <c r="B10457" t="s">
        <v>14</v>
      </c>
      <c r="C10457" t="s">
        <v>15</v>
      </c>
      <c r="D10457" t="s">
        <v>11</v>
      </c>
      <c r="E10457" t="s">
        <v>12</v>
      </c>
      <c r="F10457">
        <v>63023881</v>
      </c>
      <c r="G10457">
        <v>63023907</v>
      </c>
      <c r="H10457">
        <v>63023860</v>
      </c>
      <c r="I10457">
        <v>63023871</v>
      </c>
    </row>
    <row r="10458" spans="1:9" x14ac:dyDescent="0.2">
      <c r="A10458" t="str">
        <f>"Hnrnpk"</f>
        <v>Hnrnpk</v>
      </c>
      <c r="B10458" t="s">
        <v>14</v>
      </c>
      <c r="C10458" t="s">
        <v>39</v>
      </c>
      <c r="D10458" t="s">
        <v>11</v>
      </c>
      <c r="E10458" t="s">
        <v>12</v>
      </c>
      <c r="F10458">
        <v>58402476</v>
      </c>
      <c r="G10458">
        <v>58402524</v>
      </c>
      <c r="H10458">
        <v>58402449</v>
      </c>
      <c r="I10458">
        <v>58402472</v>
      </c>
    </row>
    <row r="10459" spans="1:9" x14ac:dyDescent="0.2">
      <c r="A10459" t="str">
        <f>"Hnrnpl"</f>
        <v>Hnrnpl</v>
      </c>
      <c r="B10459" t="s">
        <v>14</v>
      </c>
      <c r="C10459" t="s">
        <v>33</v>
      </c>
      <c r="D10459" t="s">
        <v>17</v>
      </c>
      <c r="E10459" t="s">
        <v>12</v>
      </c>
      <c r="F10459">
        <v>28810928</v>
      </c>
      <c r="G10459">
        <v>28810951</v>
      </c>
      <c r="H10459">
        <v>28810886</v>
      </c>
      <c r="I10459">
        <v>28810918</v>
      </c>
    </row>
    <row r="10460" spans="1:9" x14ac:dyDescent="0.2">
      <c r="A10460" t="str">
        <f>"Hnrnpll"</f>
        <v>Hnrnpll</v>
      </c>
      <c r="B10460" t="s">
        <v>14</v>
      </c>
      <c r="C10460" t="s">
        <v>28</v>
      </c>
      <c r="D10460" t="s">
        <v>11</v>
      </c>
      <c r="E10460" t="s">
        <v>67</v>
      </c>
      <c r="F10460">
        <v>80062199</v>
      </c>
      <c r="G10460">
        <v>80062247</v>
      </c>
      <c r="H10460">
        <v>80062117</v>
      </c>
      <c r="I10460">
        <v>80062143</v>
      </c>
    </row>
    <row r="10461" spans="1:9" x14ac:dyDescent="0.2">
      <c r="A10461" t="str">
        <f>"Hnrnpm"</f>
        <v>Hnrnpm</v>
      </c>
      <c r="B10461" t="s">
        <v>14</v>
      </c>
      <c r="C10461" t="s">
        <v>28</v>
      </c>
      <c r="D10461" t="s">
        <v>11</v>
      </c>
      <c r="E10461" t="s">
        <v>12</v>
      </c>
      <c r="F10461">
        <v>33685386</v>
      </c>
      <c r="G10461">
        <v>33685410</v>
      </c>
      <c r="H10461">
        <v>33685412</v>
      </c>
      <c r="I10461">
        <v>33685423</v>
      </c>
    </row>
    <row r="10462" spans="1:9" x14ac:dyDescent="0.2">
      <c r="A10462" t="str">
        <f>"Hnrnpr"</f>
        <v>Hnrnpr</v>
      </c>
      <c r="B10462" t="s">
        <v>14</v>
      </c>
      <c r="C10462" t="s">
        <v>23</v>
      </c>
      <c r="D10462" t="s">
        <v>17</v>
      </c>
      <c r="E10462" t="s">
        <v>12</v>
      </c>
      <c r="F10462">
        <v>136310991</v>
      </c>
      <c r="G10462">
        <v>136311054</v>
      </c>
      <c r="H10462">
        <v>136310952</v>
      </c>
      <c r="I10462">
        <v>136310984</v>
      </c>
    </row>
    <row r="10463" spans="1:9" x14ac:dyDescent="0.2">
      <c r="A10463" t="str">
        <f>"Hnrnpu"</f>
        <v>Hnrnpu</v>
      </c>
      <c r="B10463" t="s">
        <v>14</v>
      </c>
      <c r="C10463" t="s">
        <v>19</v>
      </c>
      <c r="D10463" t="s">
        <v>11</v>
      </c>
      <c r="E10463" t="s">
        <v>12</v>
      </c>
      <c r="F10463">
        <v>178337774</v>
      </c>
      <c r="G10463">
        <v>178337794</v>
      </c>
      <c r="H10463">
        <v>178337706</v>
      </c>
      <c r="I10463">
        <v>178337733</v>
      </c>
    </row>
    <row r="10464" spans="1:9" x14ac:dyDescent="0.2">
      <c r="A10464" t="str">
        <f>"Hnrnpul1"</f>
        <v>Hnrnpul1</v>
      </c>
      <c r="B10464" t="s">
        <v>14</v>
      </c>
      <c r="C10464" t="s">
        <v>33</v>
      </c>
      <c r="D10464" t="s">
        <v>11</v>
      </c>
      <c r="E10464" t="s">
        <v>12</v>
      </c>
      <c r="F10464">
        <v>25754706</v>
      </c>
      <c r="G10464">
        <v>25754750</v>
      </c>
      <c r="H10464">
        <v>25754752</v>
      </c>
      <c r="I10464">
        <v>25754771</v>
      </c>
    </row>
    <row r="10465" spans="1:9" x14ac:dyDescent="0.2">
      <c r="A10465" t="str">
        <f>"Hnrnpul2"</f>
        <v>Hnrnpul2</v>
      </c>
      <c r="B10465" t="s">
        <v>14</v>
      </c>
      <c r="C10465" t="s">
        <v>10</v>
      </c>
      <c r="D10465" t="s">
        <v>17</v>
      </c>
      <c r="E10465" t="s">
        <v>12</v>
      </c>
      <c r="F10465">
        <v>8819542</v>
      </c>
      <c r="G10465">
        <v>8819578</v>
      </c>
      <c r="H10465">
        <v>8819582</v>
      </c>
      <c r="I10465">
        <v>8819608</v>
      </c>
    </row>
    <row r="10466" spans="1:9" x14ac:dyDescent="0.2">
      <c r="A10466" t="str">
        <f>"Hoga1"</f>
        <v>Hoga1</v>
      </c>
      <c r="B10466" t="s">
        <v>14</v>
      </c>
      <c r="C10466" t="s">
        <v>10</v>
      </c>
      <c r="D10466" t="s">
        <v>17</v>
      </c>
      <c r="E10466" t="s">
        <v>12</v>
      </c>
      <c r="F10466">
        <v>42045858</v>
      </c>
      <c r="G10466">
        <v>42045897</v>
      </c>
      <c r="H10466">
        <v>42045506</v>
      </c>
      <c r="I10466">
        <v>42045544</v>
      </c>
    </row>
    <row r="10467" spans="1:9" x14ac:dyDescent="0.2">
      <c r="A10467" t="str">
        <f>"Homer1"</f>
        <v>Homer1</v>
      </c>
      <c r="B10467" t="s">
        <v>14</v>
      </c>
      <c r="C10467" t="s">
        <v>39</v>
      </c>
      <c r="D10467" t="s">
        <v>17</v>
      </c>
      <c r="E10467" t="s">
        <v>12</v>
      </c>
      <c r="F10467">
        <v>93304066</v>
      </c>
      <c r="G10467">
        <v>93304138</v>
      </c>
      <c r="H10467">
        <v>93303774</v>
      </c>
      <c r="I10467">
        <v>93303788</v>
      </c>
    </row>
    <row r="10468" spans="1:9" x14ac:dyDescent="0.2">
      <c r="A10468" t="str">
        <f>"Homer2"</f>
        <v>Homer2</v>
      </c>
      <c r="B10468" t="s">
        <v>14</v>
      </c>
      <c r="C10468" t="s">
        <v>33</v>
      </c>
      <c r="D10468" t="s">
        <v>11</v>
      </c>
      <c r="E10468" t="s">
        <v>12</v>
      </c>
      <c r="F10468">
        <v>81706905</v>
      </c>
      <c r="G10468">
        <v>81706964</v>
      </c>
      <c r="H10468">
        <v>81706890</v>
      </c>
      <c r="I10468">
        <v>81706901</v>
      </c>
    </row>
    <row r="10469" spans="1:9" x14ac:dyDescent="0.2">
      <c r="A10469" t="str">
        <f>"Homer3"</f>
        <v>Homer3</v>
      </c>
      <c r="B10469" t="s">
        <v>14</v>
      </c>
      <c r="C10469" t="s">
        <v>30</v>
      </c>
      <c r="D10469" t="s">
        <v>17</v>
      </c>
      <c r="E10469" t="s">
        <v>12</v>
      </c>
      <c r="F10469">
        <v>70282978</v>
      </c>
      <c r="G10469">
        <v>70283044</v>
      </c>
      <c r="H10469">
        <v>70283055</v>
      </c>
      <c r="I10469">
        <v>70283080</v>
      </c>
    </row>
    <row r="10470" spans="1:9" x14ac:dyDescent="0.2">
      <c r="A10470" t="str">
        <f>"Homez"</f>
        <v>Homez</v>
      </c>
      <c r="B10470" t="s">
        <v>14</v>
      </c>
      <c r="C10470" t="s">
        <v>41</v>
      </c>
      <c r="D10470" t="s">
        <v>11</v>
      </c>
      <c r="E10470" t="s">
        <v>12</v>
      </c>
      <c r="F10470">
        <v>54864055</v>
      </c>
      <c r="G10470">
        <v>54864151</v>
      </c>
      <c r="H10470">
        <v>54864055</v>
      </c>
      <c r="I10470">
        <v>54864151</v>
      </c>
    </row>
    <row r="10471" spans="1:9" x14ac:dyDescent="0.2">
      <c r="A10471" t="str">
        <f>"Hook1"</f>
        <v>Hook1</v>
      </c>
      <c r="B10471" t="s">
        <v>14</v>
      </c>
      <c r="C10471" t="s">
        <v>23</v>
      </c>
      <c r="D10471" t="s">
        <v>17</v>
      </c>
      <c r="E10471" t="s">
        <v>12</v>
      </c>
      <c r="F10471">
        <v>95967322</v>
      </c>
      <c r="G10471">
        <v>95967381</v>
      </c>
      <c r="H10471">
        <v>95967205</v>
      </c>
      <c r="I10471">
        <v>95967320</v>
      </c>
    </row>
    <row r="10472" spans="1:9" x14ac:dyDescent="0.2">
      <c r="A10472" t="str">
        <f>"Hook2"</f>
        <v>Hook2</v>
      </c>
      <c r="B10472" t="s">
        <v>14</v>
      </c>
      <c r="C10472" t="s">
        <v>30</v>
      </c>
      <c r="D10472" t="s">
        <v>17</v>
      </c>
      <c r="E10472" t="s">
        <v>12</v>
      </c>
      <c r="F10472">
        <v>84990585</v>
      </c>
      <c r="G10472">
        <v>84990649</v>
      </c>
      <c r="H10472">
        <v>84990443</v>
      </c>
      <c r="I10472">
        <v>84990446</v>
      </c>
    </row>
    <row r="10473" spans="1:9" x14ac:dyDescent="0.2">
      <c r="A10473" t="str">
        <f>"Hook3"</f>
        <v>Hook3</v>
      </c>
      <c r="B10473" t="s">
        <v>14</v>
      </c>
      <c r="C10473" t="s">
        <v>30</v>
      </c>
      <c r="D10473" t="s">
        <v>11</v>
      </c>
      <c r="E10473" t="s">
        <v>12</v>
      </c>
      <c r="F10473">
        <v>26119125</v>
      </c>
      <c r="G10473">
        <v>26119233</v>
      </c>
      <c r="H10473">
        <v>26119292</v>
      </c>
      <c r="I10473">
        <v>26119303</v>
      </c>
    </row>
    <row r="10474" spans="1:9" x14ac:dyDescent="0.2">
      <c r="A10474" t="str">
        <f>"Hopx"</f>
        <v>Hopx</v>
      </c>
      <c r="B10474" t="s">
        <v>14</v>
      </c>
      <c r="C10474" t="s">
        <v>46</v>
      </c>
      <c r="D10474" t="s">
        <v>11</v>
      </c>
      <c r="E10474" t="s">
        <v>12</v>
      </c>
      <c r="F10474">
        <v>77095225</v>
      </c>
      <c r="G10474">
        <v>77095275</v>
      </c>
      <c r="H10474">
        <v>77095225</v>
      </c>
      <c r="I10474">
        <v>77095275</v>
      </c>
    </row>
    <row r="10475" spans="1:9" x14ac:dyDescent="0.2">
      <c r="A10475" t="str">
        <f>"Hormad1"</f>
        <v>Hormad1</v>
      </c>
      <c r="B10475" t="s">
        <v>14</v>
      </c>
      <c r="C10475" t="s">
        <v>22</v>
      </c>
      <c r="D10475" t="s">
        <v>17</v>
      </c>
      <c r="E10475" t="s">
        <v>12</v>
      </c>
      <c r="F10475">
        <v>95559671</v>
      </c>
      <c r="G10475">
        <v>95559691</v>
      </c>
      <c r="H10475">
        <v>95559671</v>
      </c>
      <c r="I10475">
        <v>95559691</v>
      </c>
    </row>
    <row r="10476" spans="1:9" x14ac:dyDescent="0.2">
      <c r="A10476" t="str">
        <f>"Hormad2"</f>
        <v>Hormad2</v>
      </c>
      <c r="B10476" t="s">
        <v>14</v>
      </c>
      <c r="C10476" t="s">
        <v>27</v>
      </c>
      <c r="D10476" t="s">
        <v>11</v>
      </c>
      <c r="E10476" t="s">
        <v>12</v>
      </c>
      <c r="F10476">
        <v>4441152</v>
      </c>
      <c r="G10476">
        <v>4441176</v>
      </c>
      <c r="H10476">
        <v>4441197</v>
      </c>
      <c r="I10476">
        <v>4441217</v>
      </c>
    </row>
    <row r="10477" spans="1:9" x14ac:dyDescent="0.2">
      <c r="A10477" t="str">
        <f>"Hoxa1"</f>
        <v>Hoxa1</v>
      </c>
      <c r="B10477" t="s">
        <v>14</v>
      </c>
      <c r="C10477" t="s">
        <v>32</v>
      </c>
      <c r="D10477" t="s">
        <v>11</v>
      </c>
      <c r="E10477" t="s">
        <v>12</v>
      </c>
      <c r="F10477">
        <v>52158292</v>
      </c>
      <c r="G10477">
        <v>52158324</v>
      </c>
      <c r="H10477">
        <v>52158338</v>
      </c>
      <c r="I10477">
        <v>52158349</v>
      </c>
    </row>
    <row r="10478" spans="1:9" x14ac:dyDescent="0.2">
      <c r="A10478" t="str">
        <f>"Hoxa10"</f>
        <v>Hoxa10</v>
      </c>
      <c r="B10478" t="s">
        <v>9</v>
      </c>
      <c r="C10478" t="s">
        <v>32</v>
      </c>
      <c r="D10478" t="s">
        <v>11</v>
      </c>
      <c r="E10478" t="s">
        <v>12</v>
      </c>
      <c r="F10478">
        <v>52240468</v>
      </c>
      <c r="G10478">
        <v>52240501</v>
      </c>
      <c r="H10478">
        <v>52240468</v>
      </c>
      <c r="I10478">
        <v>52240501</v>
      </c>
    </row>
    <row r="10479" spans="1:9" x14ac:dyDescent="0.2">
      <c r="A10479" t="str">
        <f>"Hoxa10"</f>
        <v>Hoxa10</v>
      </c>
      <c r="B10479" t="s">
        <v>13</v>
      </c>
      <c r="C10479" t="s">
        <v>32</v>
      </c>
      <c r="D10479" t="s">
        <v>11</v>
      </c>
      <c r="E10479" t="s">
        <v>12</v>
      </c>
      <c r="F10479">
        <v>52234902</v>
      </c>
      <c r="G10479">
        <v>52234960</v>
      </c>
      <c r="H10479">
        <v>52234902</v>
      </c>
      <c r="I10479">
        <v>52234960</v>
      </c>
    </row>
    <row r="10480" spans="1:9" x14ac:dyDescent="0.2">
      <c r="A10480" t="str">
        <f>"Hoxa11"</f>
        <v>Hoxa11</v>
      </c>
      <c r="B10480" t="s">
        <v>14</v>
      </c>
      <c r="C10480" t="s">
        <v>32</v>
      </c>
      <c r="D10480" t="s">
        <v>11</v>
      </c>
      <c r="E10480" t="s">
        <v>12</v>
      </c>
      <c r="F10480">
        <v>52245796</v>
      </c>
      <c r="G10480">
        <v>52245826</v>
      </c>
      <c r="H10480">
        <v>52245764</v>
      </c>
      <c r="I10480">
        <v>52245793</v>
      </c>
    </row>
    <row r="10481" spans="1:9" x14ac:dyDescent="0.2">
      <c r="A10481" t="str">
        <f>"Hoxa13"</f>
        <v>Hoxa13</v>
      </c>
      <c r="B10481" t="s">
        <v>14</v>
      </c>
      <c r="C10481" t="s">
        <v>32</v>
      </c>
      <c r="D10481" t="s">
        <v>11</v>
      </c>
      <c r="E10481" t="s">
        <v>12</v>
      </c>
      <c r="F10481">
        <v>52260780</v>
      </c>
      <c r="G10481">
        <v>52260793</v>
      </c>
      <c r="H10481">
        <v>52260822</v>
      </c>
      <c r="I10481">
        <v>52260837</v>
      </c>
    </row>
    <row r="10482" spans="1:9" x14ac:dyDescent="0.2">
      <c r="A10482" t="str">
        <f>"Hoxa2"</f>
        <v>Hoxa2</v>
      </c>
      <c r="B10482" t="s">
        <v>14</v>
      </c>
      <c r="C10482" t="s">
        <v>32</v>
      </c>
      <c r="D10482" t="s">
        <v>11</v>
      </c>
      <c r="E10482" t="s">
        <v>12</v>
      </c>
      <c r="F10482">
        <v>52164822</v>
      </c>
      <c r="G10482">
        <v>52164829</v>
      </c>
      <c r="H10482">
        <v>52164822</v>
      </c>
      <c r="I10482">
        <v>52164829</v>
      </c>
    </row>
    <row r="10483" spans="1:9" x14ac:dyDescent="0.2">
      <c r="A10483" t="str">
        <f>"Hoxa3"</f>
        <v>Hoxa3</v>
      </c>
      <c r="B10483" t="s">
        <v>9</v>
      </c>
      <c r="C10483" t="s">
        <v>32</v>
      </c>
      <c r="D10483" t="s">
        <v>11</v>
      </c>
      <c r="E10483" t="s">
        <v>12</v>
      </c>
      <c r="F10483">
        <v>52213320</v>
      </c>
      <c r="G10483">
        <v>52213343</v>
      </c>
      <c r="H10483">
        <v>52213320</v>
      </c>
      <c r="I10483">
        <v>52213343</v>
      </c>
    </row>
    <row r="10484" spans="1:9" x14ac:dyDescent="0.2">
      <c r="A10484" t="str">
        <f>"Hoxa3"</f>
        <v>Hoxa3</v>
      </c>
      <c r="B10484" t="s">
        <v>13</v>
      </c>
      <c r="C10484" t="s">
        <v>32</v>
      </c>
      <c r="D10484" t="s">
        <v>11</v>
      </c>
      <c r="E10484" t="s">
        <v>12</v>
      </c>
      <c r="F10484">
        <v>52183828</v>
      </c>
      <c r="G10484">
        <v>52183855</v>
      </c>
      <c r="H10484">
        <v>52183828</v>
      </c>
      <c r="I10484">
        <v>52183855</v>
      </c>
    </row>
    <row r="10485" spans="1:9" x14ac:dyDescent="0.2">
      <c r="A10485" t="str">
        <f>"Hoxa4"</f>
        <v>Hoxa4</v>
      </c>
      <c r="B10485" t="s">
        <v>14</v>
      </c>
      <c r="C10485" t="s">
        <v>32</v>
      </c>
      <c r="D10485" t="s">
        <v>11</v>
      </c>
      <c r="E10485" t="s">
        <v>12</v>
      </c>
      <c r="F10485">
        <v>52191695</v>
      </c>
      <c r="G10485">
        <v>52191716</v>
      </c>
      <c r="H10485">
        <v>52191881</v>
      </c>
      <c r="I10485">
        <v>52191884</v>
      </c>
    </row>
    <row r="10486" spans="1:9" x14ac:dyDescent="0.2">
      <c r="A10486" t="str">
        <f>"Hoxa5"</f>
        <v>Hoxa5</v>
      </c>
      <c r="B10486" t="s">
        <v>14</v>
      </c>
      <c r="C10486" t="s">
        <v>32</v>
      </c>
      <c r="D10486" t="s">
        <v>11</v>
      </c>
      <c r="E10486" t="s">
        <v>12</v>
      </c>
      <c r="F10486">
        <v>52204415</v>
      </c>
      <c r="G10486">
        <v>52204463</v>
      </c>
      <c r="H10486">
        <v>52204415</v>
      </c>
      <c r="I10486">
        <v>52204463</v>
      </c>
    </row>
    <row r="10487" spans="1:9" x14ac:dyDescent="0.2">
      <c r="A10487" t="str">
        <f>"Hoxa6"</f>
        <v>Hoxa6</v>
      </c>
      <c r="B10487" t="s">
        <v>9</v>
      </c>
      <c r="C10487" t="s">
        <v>32</v>
      </c>
      <c r="D10487" t="s">
        <v>11</v>
      </c>
      <c r="E10487" t="s">
        <v>12</v>
      </c>
      <c r="F10487">
        <v>52211667</v>
      </c>
      <c r="G10487">
        <v>52211712</v>
      </c>
      <c r="H10487">
        <v>52211667</v>
      </c>
      <c r="I10487">
        <v>52211712</v>
      </c>
    </row>
    <row r="10488" spans="1:9" x14ac:dyDescent="0.2">
      <c r="A10488" t="str">
        <f>"Hoxa6"</f>
        <v>Hoxa6</v>
      </c>
      <c r="B10488" t="s">
        <v>13</v>
      </c>
      <c r="C10488" t="s">
        <v>32</v>
      </c>
      <c r="D10488" t="s">
        <v>11</v>
      </c>
      <c r="E10488" t="s">
        <v>12</v>
      </c>
      <c r="F10488">
        <v>52208645</v>
      </c>
      <c r="G10488">
        <v>52208678</v>
      </c>
      <c r="H10488">
        <v>52208645</v>
      </c>
      <c r="I10488">
        <v>52208678</v>
      </c>
    </row>
    <row r="10489" spans="1:9" x14ac:dyDescent="0.2">
      <c r="A10489" t="str">
        <f>"Hoxa7"</f>
        <v>Hoxa7</v>
      </c>
      <c r="B10489" t="s">
        <v>14</v>
      </c>
      <c r="C10489" t="s">
        <v>32</v>
      </c>
      <c r="D10489" t="s">
        <v>11</v>
      </c>
      <c r="E10489" t="s">
        <v>12</v>
      </c>
      <c r="F10489">
        <v>52217460</v>
      </c>
      <c r="G10489">
        <v>52217493</v>
      </c>
      <c r="H10489">
        <v>52217514</v>
      </c>
      <c r="I10489">
        <v>52217550</v>
      </c>
    </row>
    <row r="10490" spans="1:9" x14ac:dyDescent="0.2">
      <c r="A10490" t="str">
        <f>"Hoxa9"</f>
        <v>Hoxa9</v>
      </c>
      <c r="B10490" t="s">
        <v>14</v>
      </c>
      <c r="C10490" t="s">
        <v>32</v>
      </c>
      <c r="D10490" t="s">
        <v>11</v>
      </c>
      <c r="E10490" t="s">
        <v>12</v>
      </c>
      <c r="F10490">
        <v>52226165</v>
      </c>
      <c r="G10490">
        <v>52226196</v>
      </c>
      <c r="H10490">
        <v>52226145</v>
      </c>
      <c r="I10490">
        <v>52226162</v>
      </c>
    </row>
    <row r="10491" spans="1:9" x14ac:dyDescent="0.2">
      <c r="A10491" t="str">
        <f>"Hoxb1"</f>
        <v>Hoxb1</v>
      </c>
      <c r="B10491" t="s">
        <v>14</v>
      </c>
      <c r="C10491" t="s">
        <v>27</v>
      </c>
      <c r="D10491" t="s">
        <v>17</v>
      </c>
      <c r="E10491" t="s">
        <v>12</v>
      </c>
      <c r="F10491">
        <v>96365716</v>
      </c>
      <c r="G10491">
        <v>96365732</v>
      </c>
      <c r="H10491">
        <v>96366333</v>
      </c>
      <c r="I10491">
        <v>96366340</v>
      </c>
    </row>
    <row r="10492" spans="1:9" x14ac:dyDescent="0.2">
      <c r="A10492" t="str">
        <f>"Hoxb13"</f>
        <v>Hoxb13</v>
      </c>
      <c r="B10492" t="s">
        <v>14</v>
      </c>
      <c r="C10492" t="s">
        <v>27</v>
      </c>
      <c r="D10492" t="s">
        <v>17</v>
      </c>
      <c r="E10492" t="s">
        <v>12</v>
      </c>
      <c r="F10492">
        <v>96194299</v>
      </c>
      <c r="G10492">
        <v>96194314</v>
      </c>
      <c r="H10492">
        <v>96194367</v>
      </c>
      <c r="I10492">
        <v>96194379</v>
      </c>
    </row>
    <row r="10493" spans="1:9" x14ac:dyDescent="0.2">
      <c r="A10493" t="str">
        <f>"Hoxb2"</f>
        <v>Hoxb2</v>
      </c>
      <c r="B10493" t="s">
        <v>14</v>
      </c>
      <c r="C10493" t="s">
        <v>27</v>
      </c>
      <c r="D10493" t="s">
        <v>17</v>
      </c>
      <c r="E10493" t="s">
        <v>12</v>
      </c>
      <c r="F10493">
        <v>96351593</v>
      </c>
      <c r="G10493">
        <v>96351614</v>
      </c>
      <c r="H10493">
        <v>96351615</v>
      </c>
      <c r="I10493">
        <v>96351635</v>
      </c>
    </row>
    <row r="10494" spans="1:9" x14ac:dyDescent="0.2">
      <c r="A10494" t="str">
        <f>"Hoxb3"</f>
        <v>Hoxb3</v>
      </c>
      <c r="B10494" t="s">
        <v>14</v>
      </c>
      <c r="C10494" t="s">
        <v>27</v>
      </c>
      <c r="D10494" t="s">
        <v>17</v>
      </c>
      <c r="E10494" t="s">
        <v>12</v>
      </c>
      <c r="F10494">
        <v>96340749</v>
      </c>
      <c r="G10494">
        <v>96340785</v>
      </c>
      <c r="H10494">
        <v>96340749</v>
      </c>
      <c r="I10494">
        <v>96340785</v>
      </c>
    </row>
    <row r="10495" spans="1:9" x14ac:dyDescent="0.2">
      <c r="A10495" t="str">
        <f>"Hoxb4"</f>
        <v>Hoxb4</v>
      </c>
      <c r="B10495" t="s">
        <v>14</v>
      </c>
      <c r="C10495" t="s">
        <v>27</v>
      </c>
      <c r="D10495" t="s">
        <v>17</v>
      </c>
      <c r="E10495" t="s">
        <v>12</v>
      </c>
      <c r="F10495">
        <v>96318731</v>
      </c>
      <c r="G10495">
        <v>96318745</v>
      </c>
      <c r="H10495">
        <v>96318731</v>
      </c>
      <c r="I10495">
        <v>96318745</v>
      </c>
    </row>
    <row r="10496" spans="1:9" x14ac:dyDescent="0.2">
      <c r="A10496" t="str">
        <f>"Hoxb5"</f>
        <v>Hoxb5</v>
      </c>
      <c r="B10496" t="s">
        <v>14</v>
      </c>
      <c r="C10496" t="s">
        <v>27</v>
      </c>
      <c r="D10496" t="s">
        <v>17</v>
      </c>
      <c r="E10496" t="s">
        <v>12</v>
      </c>
      <c r="F10496">
        <v>96303507</v>
      </c>
      <c r="G10496">
        <v>96303551</v>
      </c>
      <c r="H10496">
        <v>96303591</v>
      </c>
      <c r="I10496">
        <v>96303605</v>
      </c>
    </row>
    <row r="10497" spans="1:9" x14ac:dyDescent="0.2">
      <c r="A10497" t="str">
        <f>"Hoxb6"</f>
        <v>Hoxb6</v>
      </c>
      <c r="B10497" t="s">
        <v>9</v>
      </c>
      <c r="C10497" t="s">
        <v>27</v>
      </c>
      <c r="D10497" t="s">
        <v>17</v>
      </c>
      <c r="E10497" t="s">
        <v>12</v>
      </c>
      <c r="F10497">
        <v>96292453</v>
      </c>
      <c r="G10497">
        <v>96292508</v>
      </c>
      <c r="H10497">
        <v>96292453</v>
      </c>
      <c r="I10497">
        <v>96292508</v>
      </c>
    </row>
    <row r="10498" spans="1:9" x14ac:dyDescent="0.2">
      <c r="A10498" t="str">
        <f>"Hoxb6"</f>
        <v>Hoxb6</v>
      </c>
      <c r="B10498" t="s">
        <v>13</v>
      </c>
      <c r="C10498" t="s">
        <v>27</v>
      </c>
      <c r="D10498" t="s">
        <v>17</v>
      </c>
      <c r="E10498" t="s">
        <v>12</v>
      </c>
      <c r="F10498">
        <v>96299112</v>
      </c>
      <c r="G10498">
        <v>96299129</v>
      </c>
      <c r="H10498">
        <v>96299112</v>
      </c>
      <c r="I10498">
        <v>96299129</v>
      </c>
    </row>
    <row r="10499" spans="1:9" x14ac:dyDescent="0.2">
      <c r="A10499" t="str">
        <f>"Hoxb7"</f>
        <v>Hoxb7</v>
      </c>
      <c r="B10499" t="s">
        <v>9</v>
      </c>
      <c r="C10499" t="s">
        <v>27</v>
      </c>
      <c r="D10499" t="s">
        <v>17</v>
      </c>
      <c r="E10499" t="s">
        <v>12</v>
      </c>
      <c r="F10499">
        <v>96286638</v>
      </c>
      <c r="G10499">
        <v>96286653</v>
      </c>
      <c r="H10499">
        <v>96286638</v>
      </c>
      <c r="I10499">
        <v>96286653</v>
      </c>
    </row>
    <row r="10500" spans="1:9" x14ac:dyDescent="0.2">
      <c r="A10500" t="str">
        <f>"Hoxb7"</f>
        <v>Hoxb7</v>
      </c>
      <c r="B10500" t="s">
        <v>13</v>
      </c>
      <c r="C10500" t="s">
        <v>27</v>
      </c>
      <c r="D10500" t="s">
        <v>17</v>
      </c>
      <c r="E10500" t="s">
        <v>12</v>
      </c>
      <c r="F10500">
        <v>96284136</v>
      </c>
      <c r="G10500">
        <v>96284203</v>
      </c>
      <c r="H10500">
        <v>96284136</v>
      </c>
      <c r="I10500">
        <v>96284203</v>
      </c>
    </row>
    <row r="10501" spans="1:9" x14ac:dyDescent="0.2">
      <c r="A10501" t="str">
        <f>"Hoxb8"</f>
        <v>Hoxb8</v>
      </c>
      <c r="B10501" t="s">
        <v>14</v>
      </c>
      <c r="C10501" t="s">
        <v>27</v>
      </c>
      <c r="D10501" t="s">
        <v>17</v>
      </c>
      <c r="E10501" t="s">
        <v>12</v>
      </c>
      <c r="F10501">
        <v>96282352</v>
      </c>
      <c r="G10501">
        <v>96282411</v>
      </c>
      <c r="H10501">
        <v>96282648</v>
      </c>
      <c r="I10501">
        <v>96282721</v>
      </c>
    </row>
    <row r="10502" spans="1:9" x14ac:dyDescent="0.2">
      <c r="A10502" t="str">
        <f>"Hoxb9"</f>
        <v>Hoxb9</v>
      </c>
      <c r="B10502" t="s">
        <v>14</v>
      </c>
      <c r="C10502" t="s">
        <v>27</v>
      </c>
      <c r="D10502" t="s">
        <v>17</v>
      </c>
      <c r="E10502" t="s">
        <v>12</v>
      </c>
      <c r="F10502">
        <v>96271323</v>
      </c>
      <c r="G10502">
        <v>96271338</v>
      </c>
      <c r="H10502">
        <v>96271453</v>
      </c>
      <c r="I10502">
        <v>96271482</v>
      </c>
    </row>
    <row r="10503" spans="1:9" x14ac:dyDescent="0.2">
      <c r="A10503" t="str">
        <f>"Hoxc10"</f>
        <v>Hoxc10</v>
      </c>
      <c r="B10503" t="s">
        <v>14</v>
      </c>
      <c r="C10503" t="s">
        <v>25</v>
      </c>
      <c r="D10503" t="s">
        <v>17</v>
      </c>
      <c r="E10503" t="s">
        <v>12</v>
      </c>
      <c r="F10503">
        <v>102966857</v>
      </c>
      <c r="G10503">
        <v>102966871</v>
      </c>
      <c r="H10503">
        <v>102966794</v>
      </c>
      <c r="I10503">
        <v>102966812</v>
      </c>
    </row>
    <row r="10504" spans="1:9" x14ac:dyDescent="0.2">
      <c r="A10504" t="str">
        <f>"Hoxc11"</f>
        <v>Hoxc11</v>
      </c>
      <c r="B10504" t="s">
        <v>14</v>
      </c>
      <c r="C10504" t="s">
        <v>25</v>
      </c>
      <c r="D10504" t="s">
        <v>17</v>
      </c>
      <c r="E10504" t="s">
        <v>12</v>
      </c>
      <c r="F10504">
        <v>102954474</v>
      </c>
      <c r="G10504">
        <v>102954495</v>
      </c>
      <c r="H10504">
        <v>102954510</v>
      </c>
      <c r="I10504">
        <v>102954521</v>
      </c>
    </row>
    <row r="10505" spans="1:9" x14ac:dyDescent="0.2">
      <c r="A10505" t="str">
        <f>"Hoxc12"</f>
        <v>Hoxc12</v>
      </c>
      <c r="B10505" t="s">
        <v>14</v>
      </c>
      <c r="C10505" t="s">
        <v>25</v>
      </c>
      <c r="D10505" t="s">
        <v>17</v>
      </c>
      <c r="E10505" t="s">
        <v>12</v>
      </c>
      <c r="F10505">
        <v>102936816</v>
      </c>
      <c r="G10505">
        <v>102936834</v>
      </c>
      <c r="H10505">
        <v>102936842</v>
      </c>
      <c r="I10505">
        <v>102936854</v>
      </c>
    </row>
    <row r="10506" spans="1:9" x14ac:dyDescent="0.2">
      <c r="A10506" t="str">
        <f>"Hoxc13"</f>
        <v>Hoxc13</v>
      </c>
      <c r="B10506" t="s">
        <v>14</v>
      </c>
      <c r="C10506" t="s">
        <v>25</v>
      </c>
      <c r="D10506" t="s">
        <v>17</v>
      </c>
      <c r="E10506" t="s">
        <v>12</v>
      </c>
      <c r="F10506">
        <v>102921172</v>
      </c>
      <c r="G10506">
        <v>102921199</v>
      </c>
      <c r="H10506">
        <v>102921147</v>
      </c>
      <c r="I10506">
        <v>102921169</v>
      </c>
    </row>
    <row r="10507" spans="1:9" x14ac:dyDescent="0.2">
      <c r="A10507" t="str">
        <f>"Hoxc4"</f>
        <v>Hoxc4</v>
      </c>
      <c r="B10507" t="s">
        <v>14</v>
      </c>
      <c r="C10507" t="s">
        <v>25</v>
      </c>
      <c r="D10507" t="s">
        <v>17</v>
      </c>
      <c r="E10507" t="s">
        <v>12</v>
      </c>
      <c r="F10507">
        <v>103034657</v>
      </c>
      <c r="G10507">
        <v>103034676</v>
      </c>
      <c r="H10507">
        <v>103034657</v>
      </c>
      <c r="I10507">
        <v>103034676</v>
      </c>
    </row>
    <row r="10508" spans="1:9" x14ac:dyDescent="0.2">
      <c r="A10508" t="str">
        <f>"Hoxc5"</f>
        <v>Hoxc5</v>
      </c>
      <c r="B10508" t="s">
        <v>14</v>
      </c>
      <c r="C10508" t="s">
        <v>25</v>
      </c>
      <c r="D10508" t="s">
        <v>17</v>
      </c>
      <c r="E10508" t="s">
        <v>12</v>
      </c>
      <c r="F10508">
        <v>103014000</v>
      </c>
      <c r="G10508">
        <v>103014014</v>
      </c>
      <c r="H10508">
        <v>103013945</v>
      </c>
      <c r="I10508">
        <v>103013954</v>
      </c>
    </row>
    <row r="10509" spans="1:9" x14ac:dyDescent="0.2">
      <c r="A10509" t="str">
        <f>"Hoxc6"</f>
        <v>Hoxc6</v>
      </c>
      <c r="B10509" t="s">
        <v>14</v>
      </c>
      <c r="C10509" t="s">
        <v>25</v>
      </c>
      <c r="D10509" t="s">
        <v>17</v>
      </c>
      <c r="E10509" t="s">
        <v>12</v>
      </c>
      <c r="F10509">
        <v>102998227</v>
      </c>
      <c r="G10509">
        <v>102998247</v>
      </c>
      <c r="H10509">
        <v>102998211</v>
      </c>
      <c r="I10509">
        <v>102998222</v>
      </c>
    </row>
    <row r="10510" spans="1:9" x14ac:dyDescent="0.2">
      <c r="A10510" t="str">
        <f>"Hoxc8"</f>
        <v>Hoxc8</v>
      </c>
      <c r="B10510" t="s">
        <v>14</v>
      </c>
      <c r="C10510" t="s">
        <v>25</v>
      </c>
      <c r="D10510" t="s">
        <v>17</v>
      </c>
      <c r="E10510" t="s">
        <v>12</v>
      </c>
      <c r="F10510">
        <v>102990533</v>
      </c>
      <c r="G10510">
        <v>102990575</v>
      </c>
      <c r="H10510">
        <v>102990576</v>
      </c>
      <c r="I10510">
        <v>102990590</v>
      </c>
    </row>
    <row r="10511" spans="1:9" x14ac:dyDescent="0.2">
      <c r="A10511" t="str">
        <f>"Hoxc9"</f>
        <v>Hoxc9</v>
      </c>
      <c r="B10511" t="s">
        <v>14</v>
      </c>
      <c r="C10511" t="s">
        <v>25</v>
      </c>
      <c r="D10511" t="s">
        <v>17</v>
      </c>
      <c r="E10511" t="s">
        <v>12</v>
      </c>
      <c r="F10511">
        <v>102976415</v>
      </c>
      <c r="G10511">
        <v>102976435</v>
      </c>
      <c r="H10511">
        <v>102976394</v>
      </c>
      <c r="I10511">
        <v>102976403</v>
      </c>
    </row>
    <row r="10512" spans="1:9" x14ac:dyDescent="0.2">
      <c r="A10512" t="str">
        <f>"Hoxd1"</f>
        <v>Hoxd1</v>
      </c>
      <c r="B10512" t="s">
        <v>14</v>
      </c>
      <c r="C10512" t="s">
        <v>26</v>
      </c>
      <c r="D10512" t="s">
        <v>17</v>
      </c>
      <c r="E10512" t="s">
        <v>12</v>
      </c>
      <c r="F10512">
        <v>74762989</v>
      </c>
      <c r="G10512">
        <v>74763022</v>
      </c>
      <c r="H10512">
        <v>74762989</v>
      </c>
      <c r="I10512">
        <v>74763022</v>
      </c>
    </row>
    <row r="10513" spans="1:9" x14ac:dyDescent="0.2">
      <c r="A10513" t="str">
        <f>"Hoxd10"</f>
        <v>Hoxd10</v>
      </c>
      <c r="B10513" t="s">
        <v>14</v>
      </c>
      <c r="C10513" t="s">
        <v>26</v>
      </c>
      <c r="D10513" t="s">
        <v>17</v>
      </c>
      <c r="E10513" t="s">
        <v>12</v>
      </c>
      <c r="F10513">
        <v>74691913</v>
      </c>
      <c r="G10513">
        <v>74691940</v>
      </c>
      <c r="H10513">
        <v>74691941</v>
      </c>
      <c r="I10513">
        <v>74691963</v>
      </c>
    </row>
    <row r="10514" spans="1:9" x14ac:dyDescent="0.2">
      <c r="A10514" t="str">
        <f>"Hoxd11"</f>
        <v>Hoxd11</v>
      </c>
      <c r="B10514" t="s">
        <v>14</v>
      </c>
      <c r="C10514" t="s">
        <v>26</v>
      </c>
      <c r="D10514" t="s">
        <v>17</v>
      </c>
      <c r="E10514" t="s">
        <v>12</v>
      </c>
      <c r="F10514">
        <v>74681991</v>
      </c>
      <c r="G10514">
        <v>74682007</v>
      </c>
      <c r="H10514">
        <v>74681991</v>
      </c>
      <c r="I10514">
        <v>74682007</v>
      </c>
    </row>
    <row r="10515" spans="1:9" x14ac:dyDescent="0.2">
      <c r="A10515" t="str">
        <f>"Hoxd12"</f>
        <v>Hoxd12</v>
      </c>
      <c r="B10515" t="s">
        <v>14</v>
      </c>
      <c r="C10515" t="s">
        <v>26</v>
      </c>
      <c r="D10515" t="s">
        <v>17</v>
      </c>
      <c r="E10515" t="s">
        <v>12</v>
      </c>
      <c r="F10515">
        <v>74675068</v>
      </c>
      <c r="G10515">
        <v>74675086</v>
      </c>
      <c r="H10515">
        <v>74675007</v>
      </c>
      <c r="I10515">
        <v>74675032</v>
      </c>
    </row>
    <row r="10516" spans="1:9" x14ac:dyDescent="0.2">
      <c r="A10516" t="str">
        <f>"Hoxd13"</f>
        <v>Hoxd13</v>
      </c>
      <c r="B10516" t="s">
        <v>14</v>
      </c>
      <c r="C10516" t="s">
        <v>26</v>
      </c>
      <c r="D10516" t="s">
        <v>17</v>
      </c>
      <c r="E10516" t="s">
        <v>12</v>
      </c>
      <c r="F10516">
        <v>74668207</v>
      </c>
      <c r="G10516">
        <v>74668229</v>
      </c>
      <c r="H10516">
        <v>74668125</v>
      </c>
      <c r="I10516">
        <v>74668158</v>
      </c>
    </row>
    <row r="10517" spans="1:9" x14ac:dyDescent="0.2">
      <c r="A10517" t="str">
        <f>"Hoxd3"</f>
        <v>Hoxd3</v>
      </c>
      <c r="B10517" t="s">
        <v>14</v>
      </c>
      <c r="C10517" t="s">
        <v>26</v>
      </c>
      <c r="D10517" t="s">
        <v>17</v>
      </c>
      <c r="E10517" t="s">
        <v>12</v>
      </c>
      <c r="F10517">
        <v>74711911</v>
      </c>
      <c r="G10517">
        <v>74711939</v>
      </c>
      <c r="H10517">
        <v>74711958</v>
      </c>
      <c r="I10517">
        <v>74712000</v>
      </c>
    </row>
    <row r="10518" spans="1:9" x14ac:dyDescent="0.2">
      <c r="A10518" t="str">
        <f>"Hoxd8"</f>
        <v>Hoxd8</v>
      </c>
      <c r="B10518" t="s">
        <v>14</v>
      </c>
      <c r="C10518" t="s">
        <v>26</v>
      </c>
      <c r="D10518" t="s">
        <v>17</v>
      </c>
      <c r="E10518" t="s">
        <v>12</v>
      </c>
      <c r="F10518">
        <v>74704861</v>
      </c>
      <c r="G10518">
        <v>74704914</v>
      </c>
      <c r="H10518">
        <v>74705340</v>
      </c>
      <c r="I10518">
        <v>74705378</v>
      </c>
    </row>
    <row r="10519" spans="1:9" x14ac:dyDescent="0.2">
      <c r="A10519" t="str">
        <f>"Hoxd9"</f>
        <v>Hoxd9</v>
      </c>
      <c r="B10519" t="s">
        <v>14</v>
      </c>
      <c r="C10519" t="s">
        <v>26</v>
      </c>
      <c r="D10519" t="s">
        <v>17</v>
      </c>
      <c r="E10519" t="s">
        <v>12</v>
      </c>
      <c r="F10519">
        <v>74697969</v>
      </c>
      <c r="G10519">
        <v>74697982</v>
      </c>
      <c r="H10519">
        <v>74697969</v>
      </c>
      <c r="I10519">
        <v>74697982</v>
      </c>
    </row>
    <row r="10520" spans="1:9" x14ac:dyDescent="0.2">
      <c r="A10520" t="str">
        <f>"Hp"</f>
        <v>Hp</v>
      </c>
      <c r="B10520" t="s">
        <v>14</v>
      </c>
      <c r="C10520" t="s">
        <v>30</v>
      </c>
      <c r="D10520" t="s">
        <v>11</v>
      </c>
      <c r="E10520" t="s">
        <v>12</v>
      </c>
      <c r="F10520">
        <v>109579056</v>
      </c>
      <c r="G10520">
        <v>109579072</v>
      </c>
      <c r="H10520">
        <v>109579040</v>
      </c>
      <c r="I10520">
        <v>109579055</v>
      </c>
    </row>
    <row r="10521" spans="1:9" x14ac:dyDescent="0.2">
      <c r="A10521" t="str">
        <f>"Hp1bp3"</f>
        <v>Hp1bp3</v>
      </c>
      <c r="B10521" t="s">
        <v>14</v>
      </c>
      <c r="C10521" t="s">
        <v>23</v>
      </c>
      <c r="D10521" t="s">
        <v>17</v>
      </c>
      <c r="E10521" t="s">
        <v>12</v>
      </c>
      <c r="F10521">
        <v>138216624</v>
      </c>
      <c r="G10521">
        <v>138216650</v>
      </c>
      <c r="H10521">
        <v>138217235</v>
      </c>
      <c r="I10521">
        <v>138217310</v>
      </c>
    </row>
    <row r="10522" spans="1:9" x14ac:dyDescent="0.2">
      <c r="A10522" t="str">
        <f>"Hpca"</f>
        <v>Hpca</v>
      </c>
      <c r="B10522" t="s">
        <v>14</v>
      </c>
      <c r="C10522" t="s">
        <v>23</v>
      </c>
      <c r="D10522" t="s">
        <v>11</v>
      </c>
      <c r="E10522" t="s">
        <v>12</v>
      </c>
      <c r="F10522">
        <v>129121234</v>
      </c>
      <c r="G10522">
        <v>129121315</v>
      </c>
      <c r="H10522">
        <v>129121699</v>
      </c>
      <c r="I10522">
        <v>129121734</v>
      </c>
    </row>
    <row r="10523" spans="1:9" x14ac:dyDescent="0.2">
      <c r="A10523" t="str">
        <f>"Hpcal1"</f>
        <v>Hpcal1</v>
      </c>
      <c r="B10523" t="s">
        <v>14</v>
      </c>
      <c r="C10523" t="s">
        <v>16</v>
      </c>
      <c r="D10523" t="s">
        <v>17</v>
      </c>
      <c r="E10523" t="s">
        <v>12</v>
      </c>
      <c r="F10523">
        <v>17690793</v>
      </c>
      <c r="G10523">
        <v>17690823</v>
      </c>
      <c r="H10523">
        <v>17690827</v>
      </c>
      <c r="I10523">
        <v>17690858</v>
      </c>
    </row>
    <row r="10524" spans="1:9" x14ac:dyDescent="0.2">
      <c r="A10524" t="str">
        <f>"Hpcal4"</f>
        <v>Hpcal4</v>
      </c>
      <c r="B10524" t="s">
        <v>14</v>
      </c>
      <c r="C10524" t="s">
        <v>23</v>
      </c>
      <c r="D10524" t="s">
        <v>17</v>
      </c>
      <c r="E10524" t="s">
        <v>12</v>
      </c>
      <c r="F10524">
        <v>123183456</v>
      </c>
      <c r="G10524">
        <v>123183601</v>
      </c>
      <c r="H10524">
        <v>123183674</v>
      </c>
      <c r="I10524">
        <v>123183715</v>
      </c>
    </row>
    <row r="10525" spans="1:9" x14ac:dyDescent="0.2">
      <c r="A10525" t="str">
        <f>"Hpd"</f>
        <v>Hpd</v>
      </c>
      <c r="B10525" t="s">
        <v>14</v>
      </c>
      <c r="C10525" t="s">
        <v>46</v>
      </c>
      <c r="D10525" t="s">
        <v>11</v>
      </c>
      <c r="E10525" t="s">
        <v>12</v>
      </c>
      <c r="F10525">
        <v>123182704</v>
      </c>
      <c r="G10525">
        <v>123182731</v>
      </c>
      <c r="H10525">
        <v>123182704</v>
      </c>
      <c r="I10525">
        <v>123182731</v>
      </c>
    </row>
    <row r="10526" spans="1:9" x14ac:dyDescent="0.2">
      <c r="A10526" t="str">
        <f>"Hpdl"</f>
        <v>Hpdl</v>
      </c>
      <c r="B10526" t="s">
        <v>14</v>
      </c>
      <c r="C10526" t="s">
        <v>23</v>
      </c>
      <c r="D10526" t="s">
        <v>11</v>
      </c>
      <c r="E10526" t="s">
        <v>12</v>
      </c>
      <c r="F10526">
        <v>116821501</v>
      </c>
      <c r="G10526">
        <v>116821521</v>
      </c>
      <c r="H10526">
        <v>116821472</v>
      </c>
      <c r="I10526">
        <v>116821487</v>
      </c>
    </row>
    <row r="10527" spans="1:9" x14ac:dyDescent="0.2">
      <c r="A10527" t="str">
        <f>"Hpgd"</f>
        <v>Hpgd</v>
      </c>
      <c r="B10527" t="s">
        <v>14</v>
      </c>
      <c r="C10527" t="s">
        <v>30</v>
      </c>
      <c r="D10527" t="s">
        <v>17</v>
      </c>
      <c r="E10527" t="s">
        <v>12</v>
      </c>
      <c r="F10527">
        <v>56294578</v>
      </c>
      <c r="G10527">
        <v>56294592</v>
      </c>
      <c r="H10527">
        <v>56294578</v>
      </c>
      <c r="I10527">
        <v>56294592</v>
      </c>
    </row>
    <row r="10528" spans="1:9" x14ac:dyDescent="0.2">
      <c r="A10528" t="str">
        <f>"Hpgds"</f>
        <v>Hpgds</v>
      </c>
      <c r="B10528" t="s">
        <v>14</v>
      </c>
      <c r="C10528" t="s">
        <v>32</v>
      </c>
      <c r="D10528" t="s">
        <v>11</v>
      </c>
      <c r="E10528" t="s">
        <v>12</v>
      </c>
      <c r="F10528">
        <v>65144705</v>
      </c>
      <c r="G10528">
        <v>65144765</v>
      </c>
      <c r="H10528">
        <v>65144927</v>
      </c>
      <c r="I10528">
        <v>65144940</v>
      </c>
    </row>
    <row r="10529" spans="1:9" x14ac:dyDescent="0.2">
      <c r="A10529" t="str">
        <f>"Hpn"</f>
        <v>Hpn</v>
      </c>
      <c r="B10529" t="s">
        <v>9</v>
      </c>
      <c r="C10529" t="s">
        <v>33</v>
      </c>
      <c r="D10529" t="s">
        <v>11</v>
      </c>
      <c r="E10529" t="s">
        <v>12</v>
      </c>
      <c r="F10529">
        <v>31115227</v>
      </c>
      <c r="G10529">
        <v>31115308</v>
      </c>
      <c r="H10529">
        <v>31115227</v>
      </c>
      <c r="I10529">
        <v>31115308</v>
      </c>
    </row>
    <row r="10530" spans="1:9" x14ac:dyDescent="0.2">
      <c r="A10530" t="str">
        <f>"Hpn"</f>
        <v>Hpn</v>
      </c>
      <c r="B10530" t="s">
        <v>13</v>
      </c>
      <c r="C10530" t="s">
        <v>33</v>
      </c>
      <c r="D10530" t="s">
        <v>11</v>
      </c>
      <c r="E10530" t="s">
        <v>12</v>
      </c>
      <c r="F10530">
        <v>31111005</v>
      </c>
      <c r="G10530">
        <v>31111016</v>
      </c>
      <c r="H10530">
        <v>31111005</v>
      </c>
      <c r="I10530">
        <v>31111016</v>
      </c>
    </row>
    <row r="10531" spans="1:9" x14ac:dyDescent="0.2">
      <c r="A10531" t="str">
        <f>"Hprt"</f>
        <v>Hprt</v>
      </c>
      <c r="B10531" t="s">
        <v>14</v>
      </c>
      <c r="C10531" t="s">
        <v>37</v>
      </c>
      <c r="D10531" t="s">
        <v>17</v>
      </c>
      <c r="E10531" t="s">
        <v>12</v>
      </c>
      <c r="F10531">
        <v>52988155</v>
      </c>
      <c r="G10531">
        <v>52988199</v>
      </c>
      <c r="H10531">
        <v>52988119</v>
      </c>
      <c r="I10531">
        <v>52988148</v>
      </c>
    </row>
    <row r="10532" spans="1:9" x14ac:dyDescent="0.2">
      <c r="A10532" t="str">
        <f>"Hps1"</f>
        <v>Hps1</v>
      </c>
      <c r="B10532" t="s">
        <v>14</v>
      </c>
      <c r="C10532" t="s">
        <v>10</v>
      </c>
      <c r="D10532" t="s">
        <v>11</v>
      </c>
      <c r="E10532" t="s">
        <v>12</v>
      </c>
      <c r="F10532">
        <v>42779936</v>
      </c>
      <c r="G10532">
        <v>42779985</v>
      </c>
      <c r="H10532">
        <v>42779936</v>
      </c>
      <c r="I10532">
        <v>42779985</v>
      </c>
    </row>
    <row r="10533" spans="1:9" x14ac:dyDescent="0.2">
      <c r="A10533" t="str">
        <f>"Hps3"</f>
        <v>Hps3</v>
      </c>
      <c r="B10533" t="s">
        <v>14</v>
      </c>
      <c r="C10533" t="s">
        <v>22</v>
      </c>
      <c r="D10533" t="s">
        <v>11</v>
      </c>
      <c r="E10533" t="s">
        <v>12</v>
      </c>
      <c r="F10533">
        <v>20035285</v>
      </c>
      <c r="G10533">
        <v>20035325</v>
      </c>
      <c r="H10533">
        <v>20035269</v>
      </c>
      <c r="I10533">
        <v>20035283</v>
      </c>
    </row>
    <row r="10534" spans="1:9" x14ac:dyDescent="0.2">
      <c r="A10534" t="str">
        <f>"Hps4"</f>
        <v>Hps4</v>
      </c>
      <c r="B10534" t="s">
        <v>14</v>
      </c>
      <c r="C10534" t="s">
        <v>46</v>
      </c>
      <c r="D10534" t="s">
        <v>17</v>
      </c>
      <c r="E10534" t="s">
        <v>12</v>
      </c>
      <c r="F10534">
        <v>112343068</v>
      </c>
      <c r="G10534">
        <v>112343138</v>
      </c>
      <c r="H10534">
        <v>112343068</v>
      </c>
      <c r="I10534">
        <v>112343138</v>
      </c>
    </row>
    <row r="10535" spans="1:9" x14ac:dyDescent="0.2">
      <c r="A10535" t="str">
        <f>"Hps5"</f>
        <v>Hps5</v>
      </c>
      <c r="B10535" t="s">
        <v>14</v>
      </c>
      <c r="C10535" t="s">
        <v>33</v>
      </c>
      <c r="D10535" t="s">
        <v>11</v>
      </c>
      <c r="E10535" t="s">
        <v>12</v>
      </c>
      <c r="F10535">
        <v>46795661</v>
      </c>
      <c r="G10535">
        <v>46795722</v>
      </c>
      <c r="H10535">
        <v>46796031</v>
      </c>
      <c r="I10535">
        <v>46796085</v>
      </c>
    </row>
    <row r="10536" spans="1:9" x14ac:dyDescent="0.2">
      <c r="A10536" t="str">
        <f>"Hps6"</f>
        <v>Hps6</v>
      </c>
      <c r="B10536" t="s">
        <v>14</v>
      </c>
      <c r="C10536" t="s">
        <v>10</v>
      </c>
      <c r="D10536" t="s">
        <v>17</v>
      </c>
      <c r="E10536" t="s">
        <v>12</v>
      </c>
      <c r="F10536">
        <v>46003468</v>
      </c>
      <c r="G10536">
        <v>46003547</v>
      </c>
      <c r="H10536">
        <v>46003563</v>
      </c>
      <c r="I10536">
        <v>46003570</v>
      </c>
    </row>
    <row r="10537" spans="1:9" x14ac:dyDescent="0.2">
      <c r="A10537" t="str">
        <f>"Hpse"</f>
        <v>Hpse</v>
      </c>
      <c r="B10537" t="s">
        <v>14</v>
      </c>
      <c r="C10537" t="s">
        <v>46</v>
      </c>
      <c r="D10537" t="s">
        <v>11</v>
      </c>
      <c r="E10537" t="s">
        <v>12</v>
      </c>
      <c r="F10537">
        <v>100719675</v>
      </c>
      <c r="G10537">
        <v>100719706</v>
      </c>
      <c r="H10537">
        <v>100719663</v>
      </c>
      <c r="I10537">
        <v>100719674</v>
      </c>
    </row>
    <row r="10538" spans="1:9" x14ac:dyDescent="0.2">
      <c r="A10538" t="str">
        <f>"Hpse2"</f>
        <v>Hpse2</v>
      </c>
      <c r="B10538" t="s">
        <v>14</v>
      </c>
      <c r="C10538" t="s">
        <v>10</v>
      </c>
      <c r="D10538" t="s">
        <v>11</v>
      </c>
      <c r="E10538" t="s">
        <v>12</v>
      </c>
      <c r="F10538">
        <v>43388355</v>
      </c>
      <c r="G10538">
        <v>43388369</v>
      </c>
      <c r="H10538">
        <v>43388338</v>
      </c>
      <c r="I10538">
        <v>43388349</v>
      </c>
    </row>
    <row r="10539" spans="1:9" x14ac:dyDescent="0.2">
      <c r="A10539" t="str">
        <f>"Hpx"</f>
        <v>Hpx</v>
      </c>
      <c r="B10539" t="s">
        <v>14</v>
      </c>
      <c r="C10539" t="s">
        <v>33</v>
      </c>
      <c r="D10539" t="s">
        <v>11</v>
      </c>
      <c r="E10539" t="s">
        <v>12</v>
      </c>
      <c r="F10539">
        <v>105600103</v>
      </c>
      <c r="G10539">
        <v>105600123</v>
      </c>
      <c r="H10539">
        <v>105600103</v>
      </c>
      <c r="I10539">
        <v>105600123</v>
      </c>
    </row>
    <row r="10540" spans="1:9" x14ac:dyDescent="0.2">
      <c r="A10540" t="str">
        <f>"Hr"</f>
        <v>Hr</v>
      </c>
      <c r="B10540" t="s">
        <v>14</v>
      </c>
      <c r="C10540" t="s">
        <v>41</v>
      </c>
      <c r="D10540" t="s">
        <v>17</v>
      </c>
      <c r="E10540" t="s">
        <v>12</v>
      </c>
      <c r="F10540">
        <v>70552190</v>
      </c>
      <c r="G10540">
        <v>70552230</v>
      </c>
      <c r="H10540">
        <v>70552239</v>
      </c>
      <c r="I10540">
        <v>70552252</v>
      </c>
    </row>
    <row r="10541" spans="1:9" x14ac:dyDescent="0.2">
      <c r="A10541" t="str">
        <f>"Hras"</f>
        <v>Hras</v>
      </c>
      <c r="B10541" t="s">
        <v>14</v>
      </c>
      <c r="C10541" t="s">
        <v>33</v>
      </c>
      <c r="D10541" t="s">
        <v>11</v>
      </c>
      <c r="E10541" t="s">
        <v>67</v>
      </c>
      <c r="F10541">
        <v>141193934</v>
      </c>
      <c r="G10541">
        <v>141194012</v>
      </c>
      <c r="H10541">
        <v>141193875</v>
      </c>
      <c r="I10541">
        <v>141193881</v>
      </c>
    </row>
    <row r="10542" spans="1:9" x14ac:dyDescent="0.2">
      <c r="A10542" t="str">
        <f>"Hrasls"</f>
        <v>Hrasls</v>
      </c>
      <c r="B10542" t="s">
        <v>14</v>
      </c>
      <c r="C10542" t="s">
        <v>31</v>
      </c>
      <c r="D10542" t="s">
        <v>17</v>
      </c>
      <c r="E10542" t="s">
        <v>12</v>
      </c>
      <c r="F10542">
        <v>29210109</v>
      </c>
      <c r="G10542">
        <v>29210153</v>
      </c>
      <c r="H10542">
        <v>29210156</v>
      </c>
      <c r="I10542">
        <v>29210202</v>
      </c>
    </row>
    <row r="10543" spans="1:9" x14ac:dyDescent="0.2">
      <c r="A10543" t="str">
        <f>"Hrasls5"</f>
        <v>Hrasls5</v>
      </c>
      <c r="B10543" t="s">
        <v>14</v>
      </c>
      <c r="C10543" t="s">
        <v>10</v>
      </c>
      <c r="D10543" t="s">
        <v>17</v>
      </c>
      <c r="E10543" t="s">
        <v>12</v>
      </c>
      <c r="F10543">
        <v>7612519</v>
      </c>
      <c r="G10543">
        <v>7612618</v>
      </c>
      <c r="H10543">
        <v>7612496</v>
      </c>
      <c r="I10543">
        <v>7612507</v>
      </c>
    </row>
    <row r="10544" spans="1:9" x14ac:dyDescent="0.2">
      <c r="A10544" t="str">
        <f>"Hrc"</f>
        <v>Hrc</v>
      </c>
      <c r="B10544" t="s">
        <v>14</v>
      </c>
      <c r="C10544" t="s">
        <v>33</v>
      </c>
      <c r="D10544" t="s">
        <v>17</v>
      </c>
      <c r="E10544" t="s">
        <v>12</v>
      </c>
      <c r="F10544">
        <v>45335256</v>
      </c>
      <c r="G10544">
        <v>45335297</v>
      </c>
      <c r="H10544">
        <v>45335299</v>
      </c>
      <c r="I10544">
        <v>45335310</v>
      </c>
    </row>
    <row r="10545" spans="1:9" x14ac:dyDescent="0.2">
      <c r="A10545" t="str">
        <f>"Hrct1"</f>
        <v>Hrct1</v>
      </c>
      <c r="B10545" t="s">
        <v>14</v>
      </c>
      <c r="C10545" t="s">
        <v>23</v>
      </c>
      <c r="D10545" t="s">
        <v>17</v>
      </c>
      <c r="E10545" t="s">
        <v>12</v>
      </c>
      <c r="F10545">
        <v>43727276</v>
      </c>
      <c r="G10545">
        <v>43727313</v>
      </c>
      <c r="H10545">
        <v>43727206</v>
      </c>
      <c r="I10545">
        <v>43727243</v>
      </c>
    </row>
    <row r="10546" spans="1:9" x14ac:dyDescent="0.2">
      <c r="A10546" t="str">
        <f>"Hrg"</f>
        <v>Hrg</v>
      </c>
      <c r="B10546" t="s">
        <v>14</v>
      </c>
      <c r="C10546" t="s">
        <v>31</v>
      </c>
      <c r="D10546" t="s">
        <v>17</v>
      </c>
      <c r="E10546" t="s">
        <v>12</v>
      </c>
      <c r="F10546">
        <v>22951094</v>
      </c>
      <c r="G10546">
        <v>22951123</v>
      </c>
      <c r="H10546">
        <v>22951079</v>
      </c>
      <c r="I10546">
        <v>22951090</v>
      </c>
    </row>
    <row r="10547" spans="1:9" x14ac:dyDescent="0.2">
      <c r="A10547" t="str">
        <f>"Hrh1"</f>
        <v>Hrh1</v>
      </c>
      <c r="B10547" t="s">
        <v>9</v>
      </c>
      <c r="C10547" t="s">
        <v>32</v>
      </c>
      <c r="D10547" t="s">
        <v>17</v>
      </c>
      <c r="E10547" t="s">
        <v>12</v>
      </c>
      <c r="F10547">
        <v>114397929</v>
      </c>
      <c r="G10547">
        <v>114397962</v>
      </c>
      <c r="H10547">
        <v>114397929</v>
      </c>
      <c r="I10547">
        <v>114397962</v>
      </c>
    </row>
    <row r="10548" spans="1:9" x14ac:dyDescent="0.2">
      <c r="A10548" t="str">
        <f>"Hrh1"</f>
        <v>Hrh1</v>
      </c>
      <c r="B10548" t="s">
        <v>13</v>
      </c>
      <c r="C10548" t="s">
        <v>32</v>
      </c>
      <c r="D10548" t="s">
        <v>17</v>
      </c>
      <c r="E10548" t="s">
        <v>12</v>
      </c>
      <c r="F10548">
        <v>114403810</v>
      </c>
      <c r="G10548">
        <v>114403837</v>
      </c>
      <c r="H10548">
        <v>114403810</v>
      </c>
      <c r="I10548">
        <v>114403837</v>
      </c>
    </row>
    <row r="10549" spans="1:9" x14ac:dyDescent="0.2">
      <c r="A10549" t="str">
        <f>"Hrh2"</f>
        <v>Hrh2</v>
      </c>
      <c r="B10549" t="s">
        <v>14</v>
      </c>
      <c r="C10549" t="s">
        <v>39</v>
      </c>
      <c r="D10549" t="s">
        <v>17</v>
      </c>
      <c r="E10549" t="s">
        <v>12</v>
      </c>
      <c r="F10549">
        <v>54192106</v>
      </c>
      <c r="G10549">
        <v>54192151</v>
      </c>
      <c r="H10549">
        <v>54192096</v>
      </c>
      <c r="I10549">
        <v>54192104</v>
      </c>
    </row>
    <row r="10550" spans="1:9" x14ac:dyDescent="0.2">
      <c r="A10550" t="str">
        <f>"Hrh3"</f>
        <v>Hrh3</v>
      </c>
      <c r="B10550" t="s">
        <v>14</v>
      </c>
      <c r="C10550" t="s">
        <v>26</v>
      </c>
      <c r="D10550" t="s">
        <v>11</v>
      </c>
      <c r="E10550" t="s">
        <v>12</v>
      </c>
      <c r="F10550">
        <v>180104463</v>
      </c>
      <c r="G10550">
        <v>180104478</v>
      </c>
      <c r="H10550">
        <v>180104443</v>
      </c>
      <c r="I10550">
        <v>180104454</v>
      </c>
    </row>
    <row r="10551" spans="1:9" x14ac:dyDescent="0.2">
      <c r="A10551" t="str">
        <f>"Hrh4"</f>
        <v>Hrh4</v>
      </c>
      <c r="B10551" t="s">
        <v>14</v>
      </c>
      <c r="C10551" t="s">
        <v>43</v>
      </c>
      <c r="D10551" t="s">
        <v>17</v>
      </c>
      <c r="E10551" t="s">
        <v>12</v>
      </c>
      <c r="F10551">
        <v>13006941</v>
      </c>
      <c r="G10551">
        <v>13006946</v>
      </c>
      <c r="H10551">
        <v>13006941</v>
      </c>
      <c r="I10551">
        <v>13006946</v>
      </c>
    </row>
    <row r="10552" spans="1:9" x14ac:dyDescent="0.2">
      <c r="A10552" t="str">
        <f>"Hrk"</f>
        <v>Hrk</v>
      </c>
      <c r="B10552" t="s">
        <v>14</v>
      </c>
      <c r="C10552" t="s">
        <v>46</v>
      </c>
      <c r="D10552" t="s">
        <v>17</v>
      </c>
      <c r="E10552" t="s">
        <v>12</v>
      </c>
      <c r="F10552">
        <v>118169712</v>
      </c>
      <c r="G10552">
        <v>118169743</v>
      </c>
      <c r="H10552">
        <v>118169688</v>
      </c>
      <c r="I10552">
        <v>118169709</v>
      </c>
    </row>
    <row r="10553" spans="1:9" x14ac:dyDescent="0.2">
      <c r="A10553" t="str">
        <f>"Hrnr"</f>
        <v>Hrnr</v>
      </c>
      <c r="B10553" t="s">
        <v>14</v>
      </c>
      <c r="C10553" t="s">
        <v>22</v>
      </c>
      <c r="D10553" t="s">
        <v>17</v>
      </c>
      <c r="E10553" t="s">
        <v>12</v>
      </c>
      <c r="F10553">
        <v>93319740</v>
      </c>
      <c r="G10553">
        <v>93319754</v>
      </c>
      <c r="H10553">
        <v>93320547</v>
      </c>
      <c r="I10553">
        <v>93320559</v>
      </c>
    </row>
    <row r="10554" spans="1:9" x14ac:dyDescent="0.2">
      <c r="A10554" t="str">
        <f>"Hrsp12"</f>
        <v>Hrsp12</v>
      </c>
      <c r="B10554" t="s">
        <v>14</v>
      </c>
      <c r="C10554" t="s">
        <v>25</v>
      </c>
      <c r="D10554" t="s">
        <v>11</v>
      </c>
      <c r="E10554" t="s">
        <v>12</v>
      </c>
      <c r="F10554">
        <v>34495180</v>
      </c>
      <c r="G10554">
        <v>34495276</v>
      </c>
      <c r="H10554">
        <v>34495150</v>
      </c>
      <c r="I10554">
        <v>34495159</v>
      </c>
    </row>
    <row r="10555" spans="1:9" x14ac:dyDescent="0.2">
      <c r="A10555" t="str">
        <f>"Hs1bp3"</f>
        <v>Hs1bp3</v>
      </c>
      <c r="B10555" t="s">
        <v>14</v>
      </c>
      <c r="C10555" t="s">
        <v>16</v>
      </c>
      <c r="D10555" t="s">
        <v>17</v>
      </c>
      <c r="E10555" t="s">
        <v>12</v>
      </c>
      <c r="F10555">
        <v>8313425</v>
      </c>
      <c r="G10555">
        <v>8313454</v>
      </c>
      <c r="H10555">
        <v>8313455</v>
      </c>
      <c r="I10555">
        <v>8313462</v>
      </c>
    </row>
    <row r="10556" spans="1:9" x14ac:dyDescent="0.2">
      <c r="A10556" t="str">
        <f>"Hs2st1"</f>
        <v>Hs2st1</v>
      </c>
      <c r="B10556" t="s">
        <v>14</v>
      </c>
      <c r="C10556" t="s">
        <v>22</v>
      </c>
      <c r="D10556" t="s">
        <v>11</v>
      </c>
      <c r="E10556" t="s">
        <v>12</v>
      </c>
      <c r="F10556">
        <v>144570136</v>
      </c>
      <c r="G10556">
        <v>144570227</v>
      </c>
      <c r="H10556">
        <v>144570128</v>
      </c>
      <c r="I10556">
        <v>144570133</v>
      </c>
    </row>
    <row r="10557" spans="1:9" x14ac:dyDescent="0.2">
      <c r="A10557" t="str">
        <f>"Hs3st1"</f>
        <v>Hs3st1</v>
      </c>
      <c r="B10557" t="s">
        <v>14</v>
      </c>
      <c r="C10557" t="s">
        <v>46</v>
      </c>
      <c r="D10557" t="s">
        <v>11</v>
      </c>
      <c r="E10557" t="s">
        <v>12</v>
      </c>
      <c r="F10557">
        <v>39644601</v>
      </c>
      <c r="G10557">
        <v>39644619</v>
      </c>
      <c r="H10557">
        <v>39644644</v>
      </c>
      <c r="I10557">
        <v>39644649</v>
      </c>
    </row>
    <row r="10558" spans="1:9" x14ac:dyDescent="0.2">
      <c r="A10558" t="str">
        <f>"Hs3st2"</f>
        <v>Hs3st2</v>
      </c>
      <c r="B10558" t="s">
        <v>14</v>
      </c>
      <c r="C10558" t="s">
        <v>33</v>
      </c>
      <c r="D10558" t="s">
        <v>17</v>
      </c>
      <c r="E10558" t="s">
        <v>12</v>
      </c>
      <c r="F10558">
        <v>121392266</v>
      </c>
      <c r="G10558">
        <v>121392286</v>
      </c>
      <c r="H10558">
        <v>121392266</v>
      </c>
      <c r="I10558">
        <v>121392286</v>
      </c>
    </row>
    <row r="10559" spans="1:9" x14ac:dyDescent="0.2">
      <c r="A10559" t="str">
        <f>"Hs3st3a1"</f>
        <v>Hs3st3a1</v>
      </c>
      <c r="B10559" t="s">
        <v>14</v>
      </c>
      <c r="C10559" t="s">
        <v>27</v>
      </c>
      <c r="D10559" t="s">
        <v>17</v>
      </c>
      <c r="E10559" t="s">
        <v>12</v>
      </c>
      <c r="F10559">
        <v>64435315</v>
      </c>
      <c r="G10559">
        <v>64435339</v>
      </c>
      <c r="H10559">
        <v>64435257</v>
      </c>
      <c r="I10559">
        <v>64435285</v>
      </c>
    </row>
    <row r="10560" spans="1:9" x14ac:dyDescent="0.2">
      <c r="A10560" t="str">
        <f>"Hs3st3b1"</f>
        <v>Hs3st3b1</v>
      </c>
      <c r="B10560" t="s">
        <v>14</v>
      </c>
      <c r="C10560" t="s">
        <v>27</v>
      </c>
      <c r="D10560" t="s">
        <v>11</v>
      </c>
      <c r="E10560" t="s">
        <v>12</v>
      </c>
      <c r="F10560">
        <v>63922257</v>
      </c>
      <c r="G10560">
        <v>63922292</v>
      </c>
      <c r="H10560">
        <v>63922299</v>
      </c>
      <c r="I10560">
        <v>63922342</v>
      </c>
    </row>
    <row r="10561" spans="1:9" x14ac:dyDescent="0.2">
      <c r="A10561" t="str">
        <f>"Hs3st4"</f>
        <v>Hs3st4</v>
      </c>
      <c r="B10561" t="s">
        <v>14</v>
      </c>
      <c r="C10561" t="s">
        <v>33</v>
      </c>
      <c r="D10561" t="s">
        <v>17</v>
      </c>
      <c r="E10561" t="s">
        <v>12</v>
      </c>
      <c r="F10561">
        <v>123982799</v>
      </c>
      <c r="G10561">
        <v>123982863</v>
      </c>
      <c r="H10561">
        <v>123982629</v>
      </c>
      <c r="I10561">
        <v>123982645</v>
      </c>
    </row>
    <row r="10562" spans="1:9" x14ac:dyDescent="0.2">
      <c r="A10562" t="str">
        <f>"Hs3st5"</f>
        <v>Hs3st5</v>
      </c>
      <c r="B10562" t="s">
        <v>14</v>
      </c>
      <c r="C10562" t="s">
        <v>15</v>
      </c>
      <c r="D10562" t="s">
        <v>17</v>
      </c>
      <c r="E10562" t="s">
        <v>12</v>
      </c>
      <c r="F10562">
        <v>36506834</v>
      </c>
      <c r="G10562">
        <v>36506846</v>
      </c>
      <c r="H10562">
        <v>36506950</v>
      </c>
      <c r="I10562">
        <v>36506997</v>
      </c>
    </row>
    <row r="10563" spans="1:9" x14ac:dyDescent="0.2">
      <c r="A10563" t="str">
        <f>"Hs3st6"</f>
        <v>Hs3st6</v>
      </c>
      <c r="B10563" t="s">
        <v>14</v>
      </c>
      <c r="C10563" t="s">
        <v>28</v>
      </c>
      <c r="D10563" t="s">
        <v>17</v>
      </c>
      <c r="E10563" t="s">
        <v>12</v>
      </c>
      <c r="F10563">
        <v>24752980</v>
      </c>
      <c r="G10563">
        <v>24752994</v>
      </c>
      <c r="H10563">
        <v>24752943</v>
      </c>
      <c r="I10563">
        <v>24752950</v>
      </c>
    </row>
    <row r="10564" spans="1:9" x14ac:dyDescent="0.2">
      <c r="A10564" t="str">
        <f>"Hs6st1"</f>
        <v>Hs6st1</v>
      </c>
      <c r="B10564" t="s">
        <v>14</v>
      </c>
      <c r="C10564" t="s">
        <v>19</v>
      </c>
      <c r="D10564" t="s">
        <v>17</v>
      </c>
      <c r="E10564" t="s">
        <v>12</v>
      </c>
      <c r="F10564">
        <v>36068371</v>
      </c>
      <c r="G10564">
        <v>36068391</v>
      </c>
      <c r="H10564">
        <v>36068647</v>
      </c>
      <c r="I10564">
        <v>36068663</v>
      </c>
    </row>
    <row r="10565" spans="1:9" x14ac:dyDescent="0.2">
      <c r="A10565" t="str">
        <f>"Hs6st2"</f>
        <v>Hs6st2</v>
      </c>
      <c r="B10565" t="s">
        <v>14</v>
      </c>
      <c r="C10565" t="s">
        <v>37</v>
      </c>
      <c r="D10565" t="s">
        <v>11</v>
      </c>
      <c r="E10565" t="s">
        <v>12</v>
      </c>
      <c r="F10565">
        <v>51681333</v>
      </c>
      <c r="G10565">
        <v>51681365</v>
      </c>
      <c r="H10565">
        <v>51681366</v>
      </c>
      <c r="I10565">
        <v>51681394</v>
      </c>
    </row>
    <row r="10566" spans="1:9" x14ac:dyDescent="0.2">
      <c r="A10566" t="str">
        <f>"Hs6st3"</f>
        <v>Hs6st3</v>
      </c>
      <c r="B10566" t="s">
        <v>14</v>
      </c>
      <c r="C10566" t="s">
        <v>41</v>
      </c>
      <c r="D10566" t="s">
        <v>17</v>
      </c>
      <c r="E10566" t="s">
        <v>12</v>
      </c>
      <c r="F10566">
        <v>119137828</v>
      </c>
      <c r="G10566">
        <v>119137841</v>
      </c>
      <c r="H10566">
        <v>119137871</v>
      </c>
      <c r="I10566">
        <v>119137915</v>
      </c>
    </row>
    <row r="10567" spans="1:9" x14ac:dyDescent="0.2">
      <c r="A10567" t="str">
        <f>"Hsbp1"</f>
        <v>Hsbp1</v>
      </c>
      <c r="B10567" t="s">
        <v>14</v>
      </c>
      <c r="C10567" t="s">
        <v>30</v>
      </c>
      <c r="D10567" t="s">
        <v>17</v>
      </c>
      <c r="E10567" t="s">
        <v>12</v>
      </c>
      <c r="F10567">
        <v>119344490</v>
      </c>
      <c r="G10567">
        <v>119344536</v>
      </c>
      <c r="H10567">
        <v>119344472</v>
      </c>
      <c r="I10567">
        <v>119344483</v>
      </c>
    </row>
    <row r="10568" spans="1:9" x14ac:dyDescent="0.2">
      <c r="A10568" t="str">
        <f>"Hsbp1l1"</f>
        <v>Hsbp1l1</v>
      </c>
      <c r="B10568" t="s">
        <v>4160</v>
      </c>
      <c r="C10568" t="s">
        <v>43</v>
      </c>
      <c r="D10568" t="s">
        <v>11</v>
      </c>
      <c r="E10568" t="s">
        <v>20</v>
      </c>
      <c r="F10568">
        <v>80247101</v>
      </c>
      <c r="G10568">
        <v>80247101</v>
      </c>
      <c r="H10568">
        <v>80247101</v>
      </c>
      <c r="I10568">
        <v>80247101</v>
      </c>
    </row>
    <row r="10569" spans="1:9" x14ac:dyDescent="0.2">
      <c r="A10569" t="str">
        <f>"Hscb"</f>
        <v>Hscb</v>
      </c>
      <c r="B10569" t="s">
        <v>14</v>
      </c>
      <c r="C10569" t="s">
        <v>46</v>
      </c>
      <c r="D10569" t="s">
        <v>11</v>
      </c>
      <c r="E10569" t="s">
        <v>12</v>
      </c>
      <c r="F10569">
        <v>110839757</v>
      </c>
      <c r="G10569">
        <v>110839786</v>
      </c>
      <c r="H10569">
        <v>110839739</v>
      </c>
      <c r="I10569">
        <v>110839756</v>
      </c>
    </row>
    <row r="10570" spans="1:9" x14ac:dyDescent="0.2">
      <c r="A10570" t="str">
        <f>"Hsd11b1"</f>
        <v>Hsd11b1</v>
      </c>
      <c r="B10570" t="s">
        <v>9</v>
      </c>
      <c r="C10570" t="s">
        <v>19</v>
      </c>
      <c r="D10570" t="s">
        <v>11</v>
      </c>
      <c r="E10570" t="s">
        <v>12</v>
      </c>
      <c r="F10570">
        <v>193242346</v>
      </c>
      <c r="G10570">
        <v>193242368</v>
      </c>
      <c r="H10570">
        <v>193242346</v>
      </c>
      <c r="I10570">
        <v>193242368</v>
      </c>
    </row>
    <row r="10571" spans="1:9" x14ac:dyDescent="0.2">
      <c r="A10571" t="str">
        <f>"Hsd11b1"</f>
        <v>Hsd11b1</v>
      </c>
      <c r="B10571" t="s">
        <v>13</v>
      </c>
      <c r="C10571" t="s">
        <v>19</v>
      </c>
      <c r="D10571" t="s">
        <v>11</v>
      </c>
      <c r="E10571" t="s">
        <v>12</v>
      </c>
      <c r="F10571">
        <v>193264006</v>
      </c>
      <c r="G10571">
        <v>193264079</v>
      </c>
      <c r="H10571">
        <v>193264006</v>
      </c>
      <c r="I10571">
        <v>193264079</v>
      </c>
    </row>
    <row r="10572" spans="1:9" x14ac:dyDescent="0.2">
      <c r="A10572" t="str">
        <f>"Hsd11b2"</f>
        <v>Hsd11b2</v>
      </c>
      <c r="B10572" t="s">
        <v>14</v>
      </c>
      <c r="C10572" t="s">
        <v>30</v>
      </c>
      <c r="D10572" t="s">
        <v>17</v>
      </c>
      <c r="E10572" t="s">
        <v>12</v>
      </c>
      <c r="F10572">
        <v>105518736</v>
      </c>
      <c r="G10572">
        <v>105518753</v>
      </c>
      <c r="H10572">
        <v>105518736</v>
      </c>
      <c r="I10572">
        <v>105518753</v>
      </c>
    </row>
    <row r="10573" spans="1:9" x14ac:dyDescent="0.2">
      <c r="A10573" t="str">
        <f>"Hsd17b1"</f>
        <v>Hsd17b1</v>
      </c>
      <c r="B10573" t="s">
        <v>14</v>
      </c>
      <c r="C10573" t="s">
        <v>27</v>
      </c>
      <c r="D10573" t="s">
        <v>17</v>
      </c>
      <c r="E10573" t="s">
        <v>12</v>
      </c>
      <c r="F10573">
        <v>101078363</v>
      </c>
      <c r="G10573">
        <v>101078408</v>
      </c>
      <c r="H10573">
        <v>101078423</v>
      </c>
      <c r="I10573">
        <v>101078435</v>
      </c>
    </row>
    <row r="10574" spans="1:9" x14ac:dyDescent="0.2">
      <c r="A10574" t="str">
        <f>"Hsd17b10"</f>
        <v>Hsd17b10</v>
      </c>
      <c r="B10574" t="s">
        <v>14</v>
      </c>
      <c r="C10574" t="s">
        <v>37</v>
      </c>
      <c r="D10574" t="s">
        <v>17</v>
      </c>
      <c r="E10574" t="s">
        <v>12</v>
      </c>
      <c r="F10574">
        <v>152001874</v>
      </c>
      <c r="G10574">
        <v>152001908</v>
      </c>
      <c r="H10574">
        <v>152001874</v>
      </c>
      <c r="I10574">
        <v>152001908</v>
      </c>
    </row>
    <row r="10575" spans="1:9" x14ac:dyDescent="0.2">
      <c r="A10575" t="str">
        <f>"Hsd17b11"</f>
        <v>Hsd17b11</v>
      </c>
      <c r="B10575" t="s">
        <v>14</v>
      </c>
      <c r="C10575" t="s">
        <v>46</v>
      </c>
      <c r="D10575" t="s">
        <v>11</v>
      </c>
      <c r="E10575" t="s">
        <v>12</v>
      </c>
      <c r="F10575">
        <v>104021799</v>
      </c>
      <c r="G10575">
        <v>104021865</v>
      </c>
      <c r="H10575">
        <v>104021779</v>
      </c>
      <c r="I10575">
        <v>104021796</v>
      </c>
    </row>
    <row r="10576" spans="1:9" x14ac:dyDescent="0.2">
      <c r="A10576" t="str">
        <f>"Hsd17b12"</f>
        <v>Hsd17b12</v>
      </c>
      <c r="B10576" t="s">
        <v>14</v>
      </c>
      <c r="C10576" t="s">
        <v>26</v>
      </c>
      <c r="D10576" t="s">
        <v>11</v>
      </c>
      <c r="E10576" t="s">
        <v>12</v>
      </c>
      <c r="F10576">
        <v>94157881</v>
      </c>
      <c r="G10576">
        <v>94157915</v>
      </c>
      <c r="H10576">
        <v>94157881</v>
      </c>
      <c r="I10576">
        <v>94157915</v>
      </c>
    </row>
    <row r="10577" spans="1:9" x14ac:dyDescent="0.2">
      <c r="A10577" t="str">
        <f>"Hsd17b13"</f>
        <v>Hsd17b13</v>
      </c>
      <c r="B10577" t="s">
        <v>14</v>
      </c>
      <c r="C10577" t="s">
        <v>46</v>
      </c>
      <c r="D10577" t="s">
        <v>11</v>
      </c>
      <c r="E10577" t="s">
        <v>12</v>
      </c>
      <c r="F10577">
        <v>103977360</v>
      </c>
      <c r="G10577">
        <v>103977403</v>
      </c>
      <c r="H10577">
        <v>103977339</v>
      </c>
      <c r="I10577">
        <v>103977356</v>
      </c>
    </row>
    <row r="10578" spans="1:9" x14ac:dyDescent="0.2">
      <c r="A10578" t="str">
        <f>"Hsd17b14"</f>
        <v>Hsd17b14</v>
      </c>
      <c r="B10578" t="s">
        <v>14</v>
      </c>
      <c r="C10578" t="s">
        <v>33</v>
      </c>
      <c r="D10578" t="s">
        <v>17</v>
      </c>
      <c r="E10578" t="s">
        <v>12</v>
      </c>
      <c r="F10578">
        <v>45559373</v>
      </c>
      <c r="G10578">
        <v>45559385</v>
      </c>
      <c r="H10578">
        <v>45559211</v>
      </c>
      <c r="I10578">
        <v>45559238</v>
      </c>
    </row>
    <row r="10579" spans="1:9" x14ac:dyDescent="0.2">
      <c r="A10579" t="str">
        <f>"Hsd17b2"</f>
        <v>Hsd17b2</v>
      </c>
      <c r="B10579" t="s">
        <v>14</v>
      </c>
      <c r="C10579" t="s">
        <v>30</v>
      </c>
      <c r="D10579" t="s">
        <v>17</v>
      </c>
      <c r="E10579" t="s">
        <v>12</v>
      </c>
      <c r="F10579">
        <v>117701937</v>
      </c>
      <c r="G10579">
        <v>117701956</v>
      </c>
      <c r="H10579">
        <v>117701937</v>
      </c>
      <c r="I10579">
        <v>117701956</v>
      </c>
    </row>
    <row r="10580" spans="1:9" x14ac:dyDescent="0.2">
      <c r="A10580" t="str">
        <f>"Hsd17b3"</f>
        <v>Hsd17b3</v>
      </c>
      <c r="B10580" t="s">
        <v>14</v>
      </c>
      <c r="C10580" t="s">
        <v>39</v>
      </c>
      <c r="D10580" t="s">
        <v>11</v>
      </c>
      <c r="E10580" t="s">
        <v>12</v>
      </c>
      <c r="F10580">
        <v>64089222</v>
      </c>
      <c r="G10580">
        <v>64089236</v>
      </c>
      <c r="H10580">
        <v>64089145</v>
      </c>
      <c r="I10580">
        <v>64089164</v>
      </c>
    </row>
    <row r="10581" spans="1:9" x14ac:dyDescent="0.2">
      <c r="A10581" t="str">
        <f>"Hsd17b4"</f>
        <v>Hsd17b4</v>
      </c>
      <c r="B10581" t="s">
        <v>14</v>
      </c>
      <c r="C10581" t="s">
        <v>43</v>
      </c>
      <c r="D10581" t="s">
        <v>17</v>
      </c>
      <c r="E10581" t="s">
        <v>12</v>
      </c>
      <c r="F10581">
        <v>50128211</v>
      </c>
      <c r="G10581">
        <v>50128267</v>
      </c>
      <c r="H10581">
        <v>50128269</v>
      </c>
      <c r="I10581">
        <v>50128333</v>
      </c>
    </row>
    <row r="10582" spans="1:9" x14ac:dyDescent="0.2">
      <c r="A10582" t="str">
        <f>"Hsd17b6"</f>
        <v>Hsd17b6</v>
      </c>
      <c r="B10582" t="s">
        <v>14</v>
      </c>
      <c r="C10582" t="s">
        <v>15</v>
      </c>
      <c r="D10582" t="s">
        <v>11</v>
      </c>
      <c r="E10582" t="s">
        <v>12</v>
      </c>
      <c r="F10582">
        <v>128007589</v>
      </c>
      <c r="G10582">
        <v>128007628</v>
      </c>
      <c r="H10582">
        <v>128007589</v>
      </c>
      <c r="I10582">
        <v>128007628</v>
      </c>
    </row>
    <row r="10583" spans="1:9" x14ac:dyDescent="0.2">
      <c r="A10583" t="str">
        <f>"Hsd17b7"</f>
        <v>Hsd17b7</v>
      </c>
      <c r="B10583" t="s">
        <v>14</v>
      </c>
      <c r="C10583" t="s">
        <v>19</v>
      </c>
      <c r="D10583" t="s">
        <v>11</v>
      </c>
      <c r="E10583" t="s">
        <v>12</v>
      </c>
      <c r="F10583">
        <v>169969143</v>
      </c>
      <c r="G10583">
        <v>169969218</v>
      </c>
      <c r="H10583">
        <v>169969143</v>
      </c>
      <c r="I10583">
        <v>169969218</v>
      </c>
    </row>
    <row r="10584" spans="1:9" x14ac:dyDescent="0.2">
      <c r="A10584" t="str">
        <f>"Hsd3b1"</f>
        <v>Hsd3b1</v>
      </c>
      <c r="B10584" t="s">
        <v>14</v>
      </c>
      <c r="C10584" t="s">
        <v>22</v>
      </c>
      <c r="D10584" t="s">
        <v>11</v>
      </c>
      <c r="E10584" t="s">
        <v>12</v>
      </c>
      <c r="F10584">
        <v>98859774</v>
      </c>
      <c r="G10584">
        <v>98859800</v>
      </c>
      <c r="H10584">
        <v>98859729</v>
      </c>
      <c r="I10584">
        <v>98859749</v>
      </c>
    </row>
    <row r="10585" spans="1:9" x14ac:dyDescent="0.2">
      <c r="A10585" t="str">
        <f>"Hsd3b2"</f>
        <v>Hsd3b2</v>
      </c>
      <c r="B10585" t="s">
        <v>14</v>
      </c>
      <c r="C10585" t="s">
        <v>22</v>
      </c>
      <c r="D10585" t="s">
        <v>11</v>
      </c>
      <c r="E10585" t="s">
        <v>12</v>
      </c>
      <c r="F10585">
        <v>98724554</v>
      </c>
      <c r="G10585">
        <v>98724577</v>
      </c>
      <c r="H10585">
        <v>98724554</v>
      </c>
      <c r="I10585">
        <v>98724577</v>
      </c>
    </row>
    <row r="10586" spans="1:9" x14ac:dyDescent="0.2">
      <c r="A10586" t="str">
        <f>"Hsd3b3"</f>
        <v>Hsd3b3</v>
      </c>
      <c r="B10586" t="s">
        <v>4161</v>
      </c>
      <c r="C10586" t="s">
        <v>22</v>
      </c>
      <c r="D10586" t="s">
        <v>11</v>
      </c>
      <c r="E10586" t="s">
        <v>20</v>
      </c>
      <c r="F10586">
        <v>98753464</v>
      </c>
      <c r="G10586">
        <v>98753464</v>
      </c>
      <c r="H10586">
        <v>98753464</v>
      </c>
      <c r="I10586">
        <v>98753464</v>
      </c>
    </row>
    <row r="10587" spans="1:9" x14ac:dyDescent="0.2">
      <c r="A10587" t="str">
        <f>"Hsd3b3"</f>
        <v>Hsd3b3</v>
      </c>
      <c r="B10587" t="s">
        <v>4162</v>
      </c>
      <c r="C10587" t="s">
        <v>22</v>
      </c>
      <c r="D10587" t="s">
        <v>11</v>
      </c>
      <c r="E10587" t="s">
        <v>20</v>
      </c>
      <c r="F10587">
        <v>98763069</v>
      </c>
      <c r="G10587">
        <v>98763069</v>
      </c>
      <c r="H10587">
        <v>98763069</v>
      </c>
      <c r="I10587">
        <v>98763069</v>
      </c>
    </row>
    <row r="10588" spans="1:9" x14ac:dyDescent="0.2">
      <c r="A10588" t="str">
        <f>"Hsd3b3"</f>
        <v>Hsd3b3</v>
      </c>
      <c r="B10588" t="s">
        <v>4163</v>
      </c>
      <c r="C10588" t="s">
        <v>22</v>
      </c>
      <c r="D10588" t="s">
        <v>11</v>
      </c>
      <c r="E10588" t="s">
        <v>20</v>
      </c>
      <c r="F10588">
        <v>98763052</v>
      </c>
      <c r="G10588">
        <v>98763052</v>
      </c>
      <c r="H10588">
        <v>98763052</v>
      </c>
      <c r="I10588">
        <v>98763052</v>
      </c>
    </row>
    <row r="10589" spans="1:9" x14ac:dyDescent="0.2">
      <c r="A10589" t="str">
        <f>"Hsd3b4"</f>
        <v>Hsd3b4</v>
      </c>
      <c r="B10589" t="s">
        <v>4164</v>
      </c>
      <c r="C10589" t="s">
        <v>22</v>
      </c>
      <c r="D10589" t="s">
        <v>11</v>
      </c>
      <c r="E10589" t="s">
        <v>20</v>
      </c>
      <c r="F10589">
        <v>98509966</v>
      </c>
      <c r="G10589">
        <v>98509966</v>
      </c>
      <c r="H10589">
        <v>98509966</v>
      </c>
      <c r="I10589">
        <v>98509966</v>
      </c>
    </row>
    <row r="10590" spans="1:9" x14ac:dyDescent="0.2">
      <c r="A10590" t="str">
        <f>"Hsd3b5"</f>
        <v>Hsd3b5</v>
      </c>
      <c r="B10590" t="s">
        <v>14</v>
      </c>
      <c r="C10590" t="s">
        <v>22</v>
      </c>
      <c r="D10590" t="s">
        <v>11</v>
      </c>
      <c r="E10590" t="s">
        <v>12</v>
      </c>
      <c r="F10590">
        <v>98645518</v>
      </c>
      <c r="G10590">
        <v>98645564</v>
      </c>
      <c r="H10590">
        <v>98645518</v>
      </c>
      <c r="I10590">
        <v>98645564</v>
      </c>
    </row>
    <row r="10591" spans="1:9" x14ac:dyDescent="0.2">
      <c r="A10591" t="str">
        <f>"Hsd3b6"</f>
        <v>Hsd3b6</v>
      </c>
      <c r="B10591" t="s">
        <v>14</v>
      </c>
      <c r="C10591" t="s">
        <v>22</v>
      </c>
      <c r="D10591" t="s">
        <v>11</v>
      </c>
      <c r="E10591" t="s">
        <v>12</v>
      </c>
      <c r="F10591">
        <v>98814434</v>
      </c>
      <c r="G10591">
        <v>98814449</v>
      </c>
      <c r="H10591">
        <v>98814434</v>
      </c>
      <c r="I10591">
        <v>98814449</v>
      </c>
    </row>
    <row r="10592" spans="1:9" x14ac:dyDescent="0.2">
      <c r="A10592" t="str">
        <f>"Hsd3b7"</f>
        <v>Hsd3b7</v>
      </c>
      <c r="B10592" t="s">
        <v>14</v>
      </c>
      <c r="C10592" t="s">
        <v>33</v>
      </c>
      <c r="D10592" t="s">
        <v>17</v>
      </c>
      <c r="E10592" t="s">
        <v>12</v>
      </c>
      <c r="F10592">
        <v>127800623</v>
      </c>
      <c r="G10592">
        <v>127800696</v>
      </c>
      <c r="H10592">
        <v>127800614</v>
      </c>
      <c r="I10592">
        <v>127800622</v>
      </c>
    </row>
    <row r="10593" spans="1:9" x14ac:dyDescent="0.2">
      <c r="A10593" t="str">
        <f>"Hsdl1"</f>
        <v>Hsdl1</v>
      </c>
      <c r="B10593" t="s">
        <v>14</v>
      </c>
      <c r="C10593" t="s">
        <v>30</v>
      </c>
      <c r="D10593" t="s">
        <v>11</v>
      </c>
      <c r="E10593" t="s">
        <v>12</v>
      </c>
      <c r="F10593">
        <v>119575143</v>
      </c>
      <c r="G10593">
        <v>119575205</v>
      </c>
      <c r="H10593">
        <v>119575127</v>
      </c>
      <c r="I10593">
        <v>119575138</v>
      </c>
    </row>
    <row r="10594" spans="1:9" x14ac:dyDescent="0.2">
      <c r="A10594" t="str">
        <f>"Hsdl2"</f>
        <v>Hsdl2</v>
      </c>
      <c r="B10594" t="s">
        <v>14</v>
      </c>
      <c r="C10594" t="s">
        <v>23</v>
      </c>
      <c r="D10594" t="s">
        <v>17</v>
      </c>
      <c r="E10594" t="s">
        <v>12</v>
      </c>
      <c r="F10594">
        <v>59581697</v>
      </c>
      <c r="G10594">
        <v>59581714</v>
      </c>
      <c r="H10594">
        <v>59581721</v>
      </c>
      <c r="I10594">
        <v>59581732</v>
      </c>
    </row>
    <row r="10595" spans="1:9" x14ac:dyDescent="0.2">
      <c r="A10595" t="str">
        <f>"Hsf1"</f>
        <v>Hsf1</v>
      </c>
      <c r="B10595" t="s">
        <v>14</v>
      </c>
      <c r="C10595" t="s">
        <v>25</v>
      </c>
      <c r="D10595" t="s">
        <v>17</v>
      </c>
      <c r="E10595" t="s">
        <v>12</v>
      </c>
      <c r="F10595">
        <v>76477404</v>
      </c>
      <c r="G10595">
        <v>76477461</v>
      </c>
      <c r="H10595">
        <v>76477404</v>
      </c>
      <c r="I10595">
        <v>76477461</v>
      </c>
    </row>
    <row r="10596" spans="1:9" x14ac:dyDescent="0.2">
      <c r="A10596" t="str">
        <f>"Hsf2"</f>
        <v>Hsf2</v>
      </c>
      <c r="B10596" t="s">
        <v>14</v>
      </c>
      <c r="C10596" t="s">
        <v>15</v>
      </c>
      <c r="D10596" t="s">
        <v>17</v>
      </c>
      <c r="E10596" t="s">
        <v>12</v>
      </c>
      <c r="F10596">
        <v>57486354</v>
      </c>
      <c r="G10596">
        <v>57486414</v>
      </c>
      <c r="H10596">
        <v>57486418</v>
      </c>
      <c r="I10596">
        <v>57486454</v>
      </c>
    </row>
    <row r="10597" spans="1:9" x14ac:dyDescent="0.2">
      <c r="A10597" t="str">
        <f>"Hsf2bp"</f>
        <v>Hsf2bp</v>
      </c>
      <c r="B10597" t="s">
        <v>14</v>
      </c>
      <c r="C10597" t="s">
        <v>28</v>
      </c>
      <c r="D10597" t="s">
        <v>11</v>
      </c>
      <c r="E10597" t="s">
        <v>12</v>
      </c>
      <c r="F10597">
        <v>32034493</v>
      </c>
      <c r="G10597">
        <v>32034523</v>
      </c>
      <c r="H10597">
        <v>32034493</v>
      </c>
      <c r="I10597">
        <v>32034523</v>
      </c>
    </row>
    <row r="10598" spans="1:9" x14ac:dyDescent="0.2">
      <c r="A10598" t="str">
        <f>"Hsf3"</f>
        <v>Hsf3</v>
      </c>
      <c r="B10598" t="s">
        <v>4165</v>
      </c>
      <c r="C10598" t="s">
        <v>37</v>
      </c>
      <c r="D10598" t="s">
        <v>11</v>
      </c>
      <c r="E10598" t="s">
        <v>20</v>
      </c>
      <c r="F10598">
        <v>96367918</v>
      </c>
      <c r="G10598">
        <v>96367918</v>
      </c>
      <c r="H10598">
        <v>96367918</v>
      </c>
      <c r="I10598">
        <v>96367918</v>
      </c>
    </row>
    <row r="10599" spans="1:9" x14ac:dyDescent="0.2">
      <c r="A10599" t="str">
        <f>"Hsf4"</f>
        <v>Hsf4</v>
      </c>
      <c r="B10599" t="s">
        <v>14</v>
      </c>
      <c r="C10599" t="s">
        <v>30</v>
      </c>
      <c r="D10599" t="s">
        <v>17</v>
      </c>
      <c r="E10599" t="s">
        <v>12</v>
      </c>
      <c r="F10599">
        <v>105269788</v>
      </c>
      <c r="G10599">
        <v>105269836</v>
      </c>
      <c r="H10599">
        <v>105269837</v>
      </c>
      <c r="I10599">
        <v>105269857</v>
      </c>
    </row>
    <row r="10600" spans="1:9" x14ac:dyDescent="0.2">
      <c r="A10600" t="str">
        <f>"Hsf5"</f>
        <v>Hsf5</v>
      </c>
      <c r="B10600" t="s">
        <v>14</v>
      </c>
      <c r="C10600" t="s">
        <v>27</v>
      </c>
      <c r="D10600" t="s">
        <v>17</v>
      </c>
      <c r="E10600" t="s">
        <v>12</v>
      </c>
      <c r="F10600">
        <v>87617176</v>
      </c>
      <c r="G10600">
        <v>87617200</v>
      </c>
      <c r="H10600">
        <v>87617151</v>
      </c>
      <c r="I10600">
        <v>87617164</v>
      </c>
    </row>
    <row r="10601" spans="1:9" x14ac:dyDescent="0.2">
      <c r="A10601" t="str">
        <f>"Hsfy2"</f>
        <v>Hsfy2</v>
      </c>
      <c r="B10601" t="s">
        <v>14</v>
      </c>
      <c r="C10601" t="s">
        <v>19</v>
      </c>
      <c r="D10601" t="s">
        <v>11</v>
      </c>
      <c r="E10601" t="s">
        <v>12</v>
      </c>
      <c r="F10601">
        <v>56637461</v>
      </c>
      <c r="G10601">
        <v>56637480</v>
      </c>
      <c r="H10601">
        <v>56637430</v>
      </c>
      <c r="I10601">
        <v>56637449</v>
      </c>
    </row>
    <row r="10602" spans="1:9" x14ac:dyDescent="0.2">
      <c r="A10602" t="str">
        <f>"Hsh2d"</f>
        <v>Hsh2d</v>
      </c>
      <c r="B10602" t="s">
        <v>14</v>
      </c>
      <c r="C10602" t="s">
        <v>30</v>
      </c>
      <c r="D10602" t="s">
        <v>17</v>
      </c>
      <c r="E10602" t="s">
        <v>12</v>
      </c>
      <c r="F10602">
        <v>72189613</v>
      </c>
      <c r="G10602">
        <v>72189664</v>
      </c>
      <c r="H10602">
        <v>72189613</v>
      </c>
      <c r="I10602">
        <v>72189664</v>
      </c>
    </row>
    <row r="10603" spans="1:9" x14ac:dyDescent="0.2">
      <c r="A10603" t="str">
        <f>"Hsp90aa1"</f>
        <v>Hsp90aa1</v>
      </c>
      <c r="B10603" t="s">
        <v>14</v>
      </c>
      <c r="C10603" t="s">
        <v>16</v>
      </c>
      <c r="D10603" t="s">
        <v>11</v>
      </c>
      <c r="E10603" t="s">
        <v>12</v>
      </c>
      <c r="F10603">
        <v>110696332</v>
      </c>
      <c r="G10603">
        <v>110696418</v>
      </c>
      <c r="H10603">
        <v>110696309</v>
      </c>
      <c r="I10603">
        <v>110696319</v>
      </c>
    </row>
    <row r="10604" spans="1:9" x14ac:dyDescent="0.2">
      <c r="A10604" t="str">
        <f>"Hsp90ab1"</f>
        <v>Hsp90ab1</v>
      </c>
      <c r="B10604" t="s">
        <v>9</v>
      </c>
      <c r="C10604" t="s">
        <v>28</v>
      </c>
      <c r="D10604" t="s">
        <v>11</v>
      </c>
      <c r="E10604" t="s">
        <v>12</v>
      </c>
      <c r="F10604">
        <v>45573262</v>
      </c>
      <c r="G10604">
        <v>45573272</v>
      </c>
      <c r="H10604">
        <v>45573262</v>
      </c>
      <c r="I10604">
        <v>45573272</v>
      </c>
    </row>
    <row r="10605" spans="1:9" x14ac:dyDescent="0.2">
      <c r="A10605" t="str">
        <f>"Hsp90ab1"</f>
        <v>Hsp90ab1</v>
      </c>
      <c r="B10605" t="s">
        <v>13</v>
      </c>
      <c r="C10605" t="s">
        <v>28</v>
      </c>
      <c r="D10605" t="s">
        <v>11</v>
      </c>
      <c r="E10605" t="s">
        <v>12</v>
      </c>
      <c r="F10605">
        <v>45569763</v>
      </c>
      <c r="G10605">
        <v>45569798</v>
      </c>
      <c r="H10605">
        <v>45569763</v>
      </c>
      <c r="I10605">
        <v>45569798</v>
      </c>
    </row>
    <row r="10606" spans="1:9" x14ac:dyDescent="0.2">
      <c r="A10606" t="str">
        <f>"Hsp90b1"</f>
        <v>Hsp90b1</v>
      </c>
      <c r="B10606" t="s">
        <v>14</v>
      </c>
      <c r="C10606" t="s">
        <v>15</v>
      </c>
      <c r="D10606" t="s">
        <v>11</v>
      </c>
      <c r="E10606" t="s">
        <v>12</v>
      </c>
      <c r="F10606">
        <v>86705485</v>
      </c>
      <c r="G10606">
        <v>86705492</v>
      </c>
      <c r="H10606">
        <v>86705387</v>
      </c>
      <c r="I10606">
        <v>86705398</v>
      </c>
    </row>
    <row r="10607" spans="1:9" x14ac:dyDescent="0.2">
      <c r="A10607" t="str">
        <f>"Hspa12a"</f>
        <v>Hspa12a</v>
      </c>
      <c r="B10607" t="s">
        <v>14</v>
      </c>
      <c r="C10607" t="s">
        <v>10</v>
      </c>
      <c r="D10607" t="s">
        <v>11</v>
      </c>
      <c r="E10607" t="s">
        <v>12</v>
      </c>
      <c r="F10607">
        <v>58860948</v>
      </c>
      <c r="G10607">
        <v>58860970</v>
      </c>
      <c r="H10607">
        <v>58860975</v>
      </c>
      <c r="I10607">
        <v>58860997</v>
      </c>
    </row>
    <row r="10608" spans="1:9" x14ac:dyDescent="0.2">
      <c r="A10608" t="str">
        <f>"Hspa12b"</f>
        <v>Hspa12b</v>
      </c>
      <c r="B10608" t="s">
        <v>14</v>
      </c>
      <c r="C10608" t="s">
        <v>26</v>
      </c>
      <c r="D10608" t="s">
        <v>17</v>
      </c>
      <c r="E10608" t="s">
        <v>12</v>
      </c>
      <c r="F10608">
        <v>131127392</v>
      </c>
      <c r="G10608">
        <v>131127461</v>
      </c>
      <c r="H10608">
        <v>131127392</v>
      </c>
      <c r="I10608">
        <v>131127461</v>
      </c>
    </row>
    <row r="10609" spans="1:9" x14ac:dyDescent="0.2">
      <c r="A10609" t="str">
        <f>"Hspa13"</f>
        <v>Hspa13</v>
      </c>
      <c r="B10609" t="s">
        <v>14</v>
      </c>
      <c r="C10609" t="s">
        <v>31</v>
      </c>
      <c r="D10609" t="s">
        <v>11</v>
      </c>
      <c r="E10609" t="s">
        <v>12</v>
      </c>
      <c r="F10609">
        <v>75766758</v>
      </c>
      <c r="G10609">
        <v>75766797</v>
      </c>
      <c r="H10609">
        <v>75767073</v>
      </c>
      <c r="I10609">
        <v>75767075</v>
      </c>
    </row>
    <row r="10610" spans="1:9" x14ac:dyDescent="0.2">
      <c r="A10610" t="str">
        <f>"Hspa14"</f>
        <v>Hspa14</v>
      </c>
      <c r="B10610" t="s">
        <v>14</v>
      </c>
      <c r="C10610" t="s">
        <v>26</v>
      </c>
      <c r="D10610" t="s">
        <v>11</v>
      </c>
      <c r="E10610" t="s">
        <v>12</v>
      </c>
      <c r="F10610">
        <v>3512746</v>
      </c>
      <c r="G10610">
        <v>3512782</v>
      </c>
      <c r="H10610">
        <v>3512929</v>
      </c>
      <c r="I10610">
        <v>3512970</v>
      </c>
    </row>
    <row r="10611" spans="1:9" x14ac:dyDescent="0.2">
      <c r="A10611" t="str">
        <f>"Hspa1a"</f>
        <v>Hspa1a</v>
      </c>
      <c r="B10611" t="s">
        <v>14</v>
      </c>
      <c r="C10611" t="s">
        <v>28</v>
      </c>
      <c r="D10611" t="s">
        <v>11</v>
      </c>
      <c r="E10611" t="s">
        <v>12</v>
      </c>
      <c r="F10611">
        <v>34972150</v>
      </c>
      <c r="G10611">
        <v>34972158</v>
      </c>
      <c r="H10611">
        <v>34972037</v>
      </c>
      <c r="I10611">
        <v>34972067</v>
      </c>
    </row>
    <row r="10612" spans="1:9" x14ac:dyDescent="0.2">
      <c r="A10612" t="str">
        <f>"Hspa1b"</f>
        <v>Hspa1b</v>
      </c>
      <c r="B10612" t="s">
        <v>14</v>
      </c>
      <c r="C10612" t="s">
        <v>28</v>
      </c>
      <c r="D10612" t="s">
        <v>11</v>
      </c>
      <c r="E10612" t="s">
        <v>12</v>
      </c>
      <c r="F10612">
        <v>34959232</v>
      </c>
      <c r="G10612">
        <v>34959238</v>
      </c>
      <c r="H10612">
        <v>34959232</v>
      </c>
      <c r="I10612">
        <v>34959238</v>
      </c>
    </row>
    <row r="10613" spans="1:9" x14ac:dyDescent="0.2">
      <c r="A10613" t="str">
        <f>"Hspa1l"</f>
        <v>Hspa1l</v>
      </c>
      <c r="B10613" t="s">
        <v>14</v>
      </c>
      <c r="C10613" t="s">
        <v>28</v>
      </c>
      <c r="D10613" t="s">
        <v>17</v>
      </c>
      <c r="E10613" t="s">
        <v>12</v>
      </c>
      <c r="F10613">
        <v>34972708</v>
      </c>
      <c r="G10613">
        <v>34972729</v>
      </c>
      <c r="H10613">
        <v>34972761</v>
      </c>
      <c r="I10613">
        <v>34972787</v>
      </c>
    </row>
    <row r="10614" spans="1:9" x14ac:dyDescent="0.2">
      <c r="A10614" t="str">
        <f>"Hspa2"</f>
        <v>Hspa2</v>
      </c>
      <c r="B10614" t="s">
        <v>14</v>
      </c>
      <c r="C10614" t="s">
        <v>16</v>
      </c>
      <c r="D10614" t="s">
        <v>17</v>
      </c>
      <c r="E10614" t="s">
        <v>12</v>
      </c>
      <c r="F10614">
        <v>76404168</v>
      </c>
      <c r="G10614">
        <v>76404264</v>
      </c>
      <c r="H10614">
        <v>76404404</v>
      </c>
      <c r="I10614">
        <v>76404426</v>
      </c>
    </row>
    <row r="10615" spans="1:9" x14ac:dyDescent="0.2">
      <c r="A10615" t="str">
        <f>"Hspa4"</f>
        <v>Hspa4</v>
      </c>
      <c r="B10615" t="s">
        <v>14</v>
      </c>
      <c r="C10615" t="s">
        <v>27</v>
      </c>
      <c r="D10615" t="s">
        <v>11</v>
      </c>
      <c r="E10615" t="s">
        <v>12</v>
      </c>
      <c r="F10615">
        <v>53300373</v>
      </c>
      <c r="G10615">
        <v>53300515</v>
      </c>
      <c r="H10615">
        <v>53300373</v>
      </c>
      <c r="I10615">
        <v>53300515</v>
      </c>
    </row>
    <row r="10616" spans="1:9" x14ac:dyDescent="0.2">
      <c r="A10616" t="str">
        <f>"Hspa4l"</f>
        <v>Hspa4l</v>
      </c>
      <c r="B10616" t="s">
        <v>14</v>
      </c>
      <c r="C10616" t="s">
        <v>22</v>
      </c>
      <c r="D10616" t="s">
        <v>17</v>
      </c>
      <c r="E10616" t="s">
        <v>12</v>
      </c>
      <c r="F10616">
        <v>40745537</v>
      </c>
      <c r="G10616">
        <v>40745632</v>
      </c>
      <c r="H10616">
        <v>40745468</v>
      </c>
      <c r="I10616">
        <v>40745498</v>
      </c>
    </row>
    <row r="10617" spans="1:9" x14ac:dyDescent="0.2">
      <c r="A10617" t="str">
        <f>"Hspa5"</f>
        <v>Hspa5</v>
      </c>
      <c r="B10617" t="s">
        <v>14</v>
      </c>
      <c r="C10617" t="s">
        <v>26</v>
      </c>
      <c r="D10617" t="s">
        <v>17</v>
      </c>
      <c r="E10617" t="s">
        <v>12</v>
      </c>
      <c r="F10617">
        <v>34772089</v>
      </c>
      <c r="G10617">
        <v>34772094</v>
      </c>
      <c r="H10617">
        <v>34772089</v>
      </c>
      <c r="I10617">
        <v>34772094</v>
      </c>
    </row>
    <row r="10618" spans="1:9" x14ac:dyDescent="0.2">
      <c r="A10618" t="str">
        <f>"Hspa8"</f>
        <v>Hspa8</v>
      </c>
      <c r="B10618" t="s">
        <v>9</v>
      </c>
      <c r="C10618" t="s">
        <v>24</v>
      </c>
      <c r="D10618" t="s">
        <v>17</v>
      </c>
      <c r="E10618" t="s">
        <v>12</v>
      </c>
      <c r="F10618">
        <v>40801266</v>
      </c>
      <c r="G10618">
        <v>40801284</v>
      </c>
      <c r="H10618">
        <v>40801266</v>
      </c>
      <c r="I10618">
        <v>40801284</v>
      </c>
    </row>
    <row r="10619" spans="1:9" x14ac:dyDescent="0.2">
      <c r="A10619" t="str">
        <f>"Hspa8"</f>
        <v>Hspa8</v>
      </c>
      <c r="B10619" t="s">
        <v>13</v>
      </c>
      <c r="C10619" t="s">
        <v>24</v>
      </c>
      <c r="D10619" t="s">
        <v>17</v>
      </c>
      <c r="E10619" t="s">
        <v>12</v>
      </c>
      <c r="F10619">
        <v>40802366</v>
      </c>
      <c r="G10619">
        <v>40802369</v>
      </c>
      <c r="H10619">
        <v>40802366</v>
      </c>
      <c r="I10619">
        <v>40802369</v>
      </c>
    </row>
    <row r="10620" spans="1:9" x14ac:dyDescent="0.2">
      <c r="A10620" t="str">
        <f>"Hspa9"</f>
        <v>Hspa9</v>
      </c>
      <c r="B10620" t="s">
        <v>14</v>
      </c>
      <c r="C10620" t="s">
        <v>43</v>
      </c>
      <c r="D10620" t="s">
        <v>11</v>
      </c>
      <c r="E10620" t="s">
        <v>12</v>
      </c>
      <c r="F10620">
        <v>34954302</v>
      </c>
      <c r="G10620">
        <v>34954359</v>
      </c>
      <c r="H10620">
        <v>34954276</v>
      </c>
      <c r="I10620">
        <v>34954287</v>
      </c>
    </row>
    <row r="10621" spans="1:9" x14ac:dyDescent="0.2">
      <c r="A10621" t="str">
        <f>"Hspb1"</f>
        <v>Hspb1</v>
      </c>
      <c r="B10621" t="s">
        <v>14</v>
      </c>
      <c r="C10621" t="s">
        <v>46</v>
      </c>
      <c r="D10621" t="s">
        <v>17</v>
      </c>
      <c r="E10621" t="s">
        <v>12</v>
      </c>
      <c r="F10621">
        <v>135887940</v>
      </c>
      <c r="G10621">
        <v>135887970</v>
      </c>
      <c r="H10621">
        <v>135887988</v>
      </c>
      <c r="I10621">
        <v>135888011</v>
      </c>
    </row>
    <row r="10622" spans="1:9" x14ac:dyDescent="0.2">
      <c r="A10622" t="str">
        <f>"Hspb11"</f>
        <v>Hspb11</v>
      </c>
      <c r="B10622" t="s">
        <v>14</v>
      </c>
      <c r="C10622" t="s">
        <v>23</v>
      </c>
      <c r="D10622" t="s">
        <v>17</v>
      </c>
      <c r="E10622" t="s">
        <v>12</v>
      </c>
      <c r="F10622">
        <v>107253919</v>
      </c>
      <c r="G10622">
        <v>107253939</v>
      </c>
      <c r="H10622">
        <v>107253887</v>
      </c>
      <c r="I10622">
        <v>107253902</v>
      </c>
    </row>
    <row r="10623" spans="1:9" x14ac:dyDescent="0.2">
      <c r="A10623" t="str">
        <f>"Hspb2"</f>
        <v>Hspb2</v>
      </c>
      <c r="B10623" t="s">
        <v>14</v>
      </c>
      <c r="C10623" t="s">
        <v>24</v>
      </c>
      <c r="D10623" t="s">
        <v>11</v>
      </c>
      <c r="E10623" t="s">
        <v>12</v>
      </c>
      <c r="F10623">
        <v>50752290</v>
      </c>
      <c r="G10623">
        <v>50752337</v>
      </c>
      <c r="H10623">
        <v>50752348</v>
      </c>
      <c r="I10623">
        <v>50752373</v>
      </c>
    </row>
    <row r="10624" spans="1:9" x14ac:dyDescent="0.2">
      <c r="A10624" t="str">
        <f>"Hspb3"</f>
        <v>Hspb3</v>
      </c>
      <c r="B10624" t="s">
        <v>14</v>
      </c>
      <c r="C10624" t="s">
        <v>39</v>
      </c>
      <c r="D10624" t="s">
        <v>11</v>
      </c>
      <c r="E10624" t="s">
        <v>12</v>
      </c>
      <c r="F10624">
        <v>113663611</v>
      </c>
      <c r="G10624">
        <v>113663634</v>
      </c>
      <c r="H10624">
        <v>113663636</v>
      </c>
      <c r="I10624">
        <v>113663649</v>
      </c>
    </row>
    <row r="10625" spans="1:9" x14ac:dyDescent="0.2">
      <c r="A10625" t="str">
        <f>"Hspb6"</f>
        <v>Hspb6</v>
      </c>
      <c r="B10625" t="s">
        <v>14</v>
      </c>
      <c r="C10625" t="s">
        <v>33</v>
      </c>
      <c r="D10625" t="s">
        <v>17</v>
      </c>
      <c r="E10625" t="s">
        <v>12</v>
      </c>
      <c r="F10625">
        <v>30553293</v>
      </c>
      <c r="G10625">
        <v>30553309</v>
      </c>
      <c r="H10625">
        <v>30552532</v>
      </c>
      <c r="I10625">
        <v>30552564</v>
      </c>
    </row>
    <row r="10626" spans="1:9" x14ac:dyDescent="0.2">
      <c r="A10626" t="str">
        <f>"Hspb7"</f>
        <v>Hspb7</v>
      </c>
      <c r="B10626" t="s">
        <v>14</v>
      </c>
      <c r="C10626" t="s">
        <v>23</v>
      </c>
      <c r="D10626" t="s">
        <v>17</v>
      </c>
      <c r="E10626" t="s">
        <v>12</v>
      </c>
      <c r="F10626">
        <v>141420757</v>
      </c>
      <c r="G10626">
        <v>141420798</v>
      </c>
      <c r="H10626">
        <v>141420757</v>
      </c>
      <c r="I10626">
        <v>141420798</v>
      </c>
    </row>
    <row r="10627" spans="1:9" x14ac:dyDescent="0.2">
      <c r="A10627" t="str">
        <f>"Hspb8"</f>
        <v>Hspb8</v>
      </c>
      <c r="B10627" t="s">
        <v>14</v>
      </c>
      <c r="C10627" t="s">
        <v>46</v>
      </c>
      <c r="D10627" t="s">
        <v>11</v>
      </c>
      <c r="E10627" t="s">
        <v>12</v>
      </c>
      <c r="F10627">
        <v>116422858</v>
      </c>
      <c r="G10627">
        <v>116422873</v>
      </c>
      <c r="H10627">
        <v>116422951</v>
      </c>
      <c r="I10627">
        <v>116423025</v>
      </c>
    </row>
    <row r="10628" spans="1:9" x14ac:dyDescent="0.2">
      <c r="A10628" t="str">
        <f>"Hspb9"</f>
        <v>Hspb9</v>
      </c>
      <c r="B10628" t="s">
        <v>14</v>
      </c>
      <c r="C10628" t="s">
        <v>27</v>
      </c>
      <c r="D10628" t="s">
        <v>17</v>
      </c>
      <c r="E10628" t="s">
        <v>12</v>
      </c>
      <c r="F10628">
        <v>100713917</v>
      </c>
      <c r="G10628">
        <v>100713938</v>
      </c>
      <c r="H10628">
        <v>100713917</v>
      </c>
      <c r="I10628">
        <v>100713938</v>
      </c>
    </row>
    <row r="10629" spans="1:9" x14ac:dyDescent="0.2">
      <c r="A10629" t="str">
        <f>"Hspbap1"</f>
        <v>Hspbap1</v>
      </c>
      <c r="B10629" t="s">
        <v>14</v>
      </c>
      <c r="C10629" t="s">
        <v>31</v>
      </c>
      <c r="D10629" t="s">
        <v>17</v>
      </c>
      <c r="E10629" t="s">
        <v>12</v>
      </c>
      <c r="F10629">
        <v>35770398</v>
      </c>
      <c r="G10629">
        <v>35770427</v>
      </c>
      <c r="H10629">
        <v>35770382</v>
      </c>
      <c r="I10629">
        <v>35770396</v>
      </c>
    </row>
    <row r="10630" spans="1:9" x14ac:dyDescent="0.2">
      <c r="A10630" t="str">
        <f>"Hspbp1"</f>
        <v>Hspbp1</v>
      </c>
      <c r="B10630" t="s">
        <v>14</v>
      </c>
      <c r="C10630" t="s">
        <v>33</v>
      </c>
      <c r="D10630" t="s">
        <v>11</v>
      </c>
      <c r="E10630" t="s">
        <v>12</v>
      </c>
      <c r="F10630">
        <v>4684916</v>
      </c>
      <c r="G10630">
        <v>4684960</v>
      </c>
      <c r="H10630">
        <v>4684963</v>
      </c>
      <c r="I10630">
        <v>4684997</v>
      </c>
    </row>
    <row r="10631" spans="1:9" x14ac:dyDescent="0.2">
      <c r="A10631" t="str">
        <f>"Hspd1"</f>
        <v>Hspd1</v>
      </c>
      <c r="B10631" t="s">
        <v>14</v>
      </c>
      <c r="C10631" t="s">
        <v>19</v>
      </c>
      <c r="D10631" t="s">
        <v>11</v>
      </c>
      <c r="E10631" t="s">
        <v>12</v>
      </c>
      <c r="F10631">
        <v>55087825</v>
      </c>
      <c r="G10631">
        <v>55087885</v>
      </c>
      <c r="H10631">
        <v>55088030</v>
      </c>
      <c r="I10631">
        <v>55088102</v>
      </c>
    </row>
    <row r="10632" spans="1:9" x14ac:dyDescent="0.2">
      <c r="A10632" t="str">
        <f>"Hspe1"</f>
        <v>Hspe1</v>
      </c>
      <c r="B10632" t="s">
        <v>14</v>
      </c>
      <c r="C10632" t="s">
        <v>19</v>
      </c>
      <c r="D10632" t="s">
        <v>17</v>
      </c>
      <c r="E10632" t="s">
        <v>12</v>
      </c>
      <c r="F10632">
        <v>55088306</v>
      </c>
      <c r="G10632">
        <v>55088352</v>
      </c>
      <c r="H10632">
        <v>55088306</v>
      </c>
      <c r="I10632">
        <v>55088352</v>
      </c>
    </row>
    <row r="10633" spans="1:9" x14ac:dyDescent="0.2">
      <c r="A10633" t="str">
        <f>"Hspg2"</f>
        <v>Hspg2</v>
      </c>
      <c r="B10633" t="s">
        <v>14</v>
      </c>
      <c r="C10633" t="s">
        <v>23</v>
      </c>
      <c r="D10633" t="s">
        <v>17</v>
      </c>
      <c r="E10633" t="s">
        <v>12</v>
      </c>
      <c r="F10633">
        <v>137468767</v>
      </c>
      <c r="G10633">
        <v>137468831</v>
      </c>
      <c r="H10633">
        <v>137468767</v>
      </c>
      <c r="I10633">
        <v>137468831</v>
      </c>
    </row>
    <row r="10634" spans="1:9" x14ac:dyDescent="0.2">
      <c r="A10634" t="str">
        <f>"Hsph1"</f>
        <v>Hsph1</v>
      </c>
      <c r="B10634" t="s">
        <v>14</v>
      </c>
      <c r="C10634" t="s">
        <v>46</v>
      </c>
      <c r="D10634" t="s">
        <v>11</v>
      </c>
      <c r="E10634" t="s">
        <v>12</v>
      </c>
      <c r="F10634">
        <v>149636233</v>
      </c>
      <c r="G10634">
        <v>149636253</v>
      </c>
      <c r="H10634">
        <v>149636272</v>
      </c>
      <c r="I10634">
        <v>149636291</v>
      </c>
    </row>
    <row r="10635" spans="1:9" x14ac:dyDescent="0.2">
      <c r="A10635" t="str">
        <f>"Htatip2"</f>
        <v>Htatip2</v>
      </c>
      <c r="B10635" t="s">
        <v>14</v>
      </c>
      <c r="C10635" t="s">
        <v>33</v>
      </c>
      <c r="D10635" t="s">
        <v>17</v>
      </c>
      <c r="E10635" t="s">
        <v>12</v>
      </c>
      <c r="F10635">
        <v>49759100</v>
      </c>
      <c r="G10635">
        <v>49759163</v>
      </c>
      <c r="H10635">
        <v>49759512</v>
      </c>
      <c r="I10635">
        <v>49759529</v>
      </c>
    </row>
    <row r="10636" spans="1:9" x14ac:dyDescent="0.2">
      <c r="A10636" t="str">
        <f>"Htatsf1"</f>
        <v>Htatsf1</v>
      </c>
      <c r="B10636" t="s">
        <v>14</v>
      </c>
      <c r="C10636" t="s">
        <v>37</v>
      </c>
      <c r="D10636" t="s">
        <v>17</v>
      </c>
      <c r="E10636" t="s">
        <v>12</v>
      </c>
      <c r="F10636">
        <v>57053549</v>
      </c>
      <c r="G10636">
        <v>57053597</v>
      </c>
      <c r="H10636">
        <v>57053880</v>
      </c>
      <c r="I10636">
        <v>57053908</v>
      </c>
    </row>
    <row r="10637" spans="1:9" x14ac:dyDescent="0.2">
      <c r="A10637" t="str">
        <f>"Htr1a"</f>
        <v>Htr1a</v>
      </c>
      <c r="B10637" t="s">
        <v>14</v>
      </c>
      <c r="C10637" t="s">
        <v>39</v>
      </c>
      <c r="D10637" t="s">
        <v>17</v>
      </c>
      <c r="E10637" t="s">
        <v>12</v>
      </c>
      <c r="F10637">
        <v>105443635</v>
      </c>
      <c r="G10637">
        <v>105443669</v>
      </c>
      <c r="H10637">
        <v>105443764</v>
      </c>
      <c r="I10637">
        <v>105443771</v>
      </c>
    </row>
    <row r="10638" spans="1:9" x14ac:dyDescent="0.2">
      <c r="A10638" t="str">
        <f>"Htr1b"</f>
        <v>Htr1b</v>
      </c>
      <c r="B10638" t="s">
        <v>14</v>
      </c>
      <c r="C10638" t="s">
        <v>24</v>
      </c>
      <c r="D10638" t="s">
        <v>11</v>
      </c>
      <c r="E10638" t="s">
        <v>12</v>
      </c>
      <c r="F10638">
        <v>81633025</v>
      </c>
      <c r="G10638">
        <v>81633051</v>
      </c>
      <c r="H10638">
        <v>81632789</v>
      </c>
      <c r="I10638">
        <v>81632797</v>
      </c>
    </row>
    <row r="10639" spans="1:9" x14ac:dyDescent="0.2">
      <c r="A10639" t="str">
        <f>"Htr1d"</f>
        <v>Htr1d</v>
      </c>
      <c r="B10639" t="s">
        <v>14</v>
      </c>
      <c r="C10639" t="s">
        <v>23</v>
      </c>
      <c r="D10639" t="s">
        <v>17</v>
      </c>
      <c r="E10639" t="s">
        <v>12</v>
      </c>
      <c r="F10639">
        <v>136424578</v>
      </c>
      <c r="G10639">
        <v>136424621</v>
      </c>
      <c r="H10639">
        <v>136424289</v>
      </c>
      <c r="I10639">
        <v>136424308</v>
      </c>
    </row>
    <row r="10640" spans="1:9" x14ac:dyDescent="0.2">
      <c r="A10640" t="str">
        <f>"Htr1f"</f>
        <v>Htr1f</v>
      </c>
      <c r="B10640" t="s">
        <v>14</v>
      </c>
      <c r="C10640" t="s">
        <v>31</v>
      </c>
      <c r="D10640" t="s">
        <v>11</v>
      </c>
      <c r="E10640" t="s">
        <v>12</v>
      </c>
      <c r="F10640">
        <v>65105713</v>
      </c>
      <c r="G10640">
        <v>65105727</v>
      </c>
      <c r="H10640">
        <v>65105821</v>
      </c>
      <c r="I10640">
        <v>65105832</v>
      </c>
    </row>
    <row r="10641" spans="1:9" x14ac:dyDescent="0.2">
      <c r="A10641" t="str">
        <f>"Htr2a"</f>
        <v>Htr2a</v>
      </c>
      <c r="B10641" t="s">
        <v>14</v>
      </c>
      <c r="C10641" t="s">
        <v>41</v>
      </c>
      <c r="D10641" t="s">
        <v>17</v>
      </c>
      <c r="E10641" t="s">
        <v>12</v>
      </c>
      <c r="F10641">
        <v>74640897</v>
      </c>
      <c r="G10641">
        <v>74640935</v>
      </c>
      <c r="H10641">
        <v>74640870</v>
      </c>
      <c r="I10641">
        <v>74640887</v>
      </c>
    </row>
    <row r="10642" spans="1:9" x14ac:dyDescent="0.2">
      <c r="A10642" t="str">
        <f>"Htr2b"</f>
        <v>Htr2b</v>
      </c>
      <c r="B10642" t="s">
        <v>14</v>
      </c>
      <c r="C10642" t="s">
        <v>19</v>
      </c>
      <c r="D10642" t="s">
        <v>11</v>
      </c>
      <c r="E10642" t="s">
        <v>12</v>
      </c>
      <c r="F10642">
        <v>86111909</v>
      </c>
      <c r="G10642">
        <v>86111927</v>
      </c>
      <c r="H10642">
        <v>86111930</v>
      </c>
      <c r="I10642">
        <v>86111941</v>
      </c>
    </row>
    <row r="10643" spans="1:9" x14ac:dyDescent="0.2">
      <c r="A10643" t="str">
        <f>"Htr2c"</f>
        <v>Htr2c</v>
      </c>
      <c r="B10643" t="s">
        <v>14</v>
      </c>
      <c r="C10643" t="s">
        <v>37</v>
      </c>
      <c r="D10643" t="s">
        <v>17</v>
      </c>
      <c r="E10643" t="s">
        <v>12</v>
      </c>
      <c r="F10643">
        <v>146962501</v>
      </c>
      <c r="G10643">
        <v>146962520</v>
      </c>
      <c r="H10643">
        <v>146962476</v>
      </c>
      <c r="I10643">
        <v>146962485</v>
      </c>
    </row>
    <row r="10644" spans="1:9" x14ac:dyDescent="0.2">
      <c r="A10644" t="str">
        <f>"Htr3a"</f>
        <v>Htr3a</v>
      </c>
      <c r="B10644" t="s">
        <v>14</v>
      </c>
      <c r="C10644" t="s">
        <v>24</v>
      </c>
      <c r="D10644" t="s">
        <v>11</v>
      </c>
      <c r="E10644" t="s">
        <v>12</v>
      </c>
      <c r="F10644">
        <v>48911067</v>
      </c>
      <c r="G10644">
        <v>48911078</v>
      </c>
      <c r="H10644">
        <v>48911095</v>
      </c>
      <c r="I10644">
        <v>48911108</v>
      </c>
    </row>
    <row r="10645" spans="1:9" x14ac:dyDescent="0.2">
      <c r="A10645" t="str">
        <f>"Htr3b"</f>
        <v>Htr3b</v>
      </c>
      <c r="B10645" t="s">
        <v>14</v>
      </c>
      <c r="C10645" t="s">
        <v>24</v>
      </c>
      <c r="D10645" t="s">
        <v>11</v>
      </c>
      <c r="E10645" t="s">
        <v>12</v>
      </c>
      <c r="F10645">
        <v>48965059</v>
      </c>
      <c r="G10645">
        <v>48965090</v>
      </c>
      <c r="H10645">
        <v>48965004</v>
      </c>
      <c r="I10645">
        <v>48965028</v>
      </c>
    </row>
    <row r="10646" spans="1:9" x14ac:dyDescent="0.2">
      <c r="A10646" t="str">
        <f>"Htr4"</f>
        <v>Htr4</v>
      </c>
      <c r="B10646" t="s">
        <v>14</v>
      </c>
      <c r="C10646" t="s">
        <v>43</v>
      </c>
      <c r="D10646" t="s">
        <v>17</v>
      </c>
      <c r="E10646" t="s">
        <v>12</v>
      </c>
      <c r="F10646">
        <v>62324028</v>
      </c>
      <c r="G10646">
        <v>62324045</v>
      </c>
      <c r="H10646">
        <v>62324028</v>
      </c>
      <c r="I10646">
        <v>62324045</v>
      </c>
    </row>
    <row r="10647" spans="1:9" x14ac:dyDescent="0.2">
      <c r="A10647" t="str">
        <f>"Htr5a"</f>
        <v>Htr5a</v>
      </c>
      <c r="B10647" t="s">
        <v>14</v>
      </c>
      <c r="C10647" t="s">
        <v>46</v>
      </c>
      <c r="D10647" t="s">
        <v>17</v>
      </c>
      <c r="E10647" t="s">
        <v>12</v>
      </c>
      <c r="F10647">
        <v>27841833</v>
      </c>
      <c r="G10647">
        <v>27841860</v>
      </c>
      <c r="H10647">
        <v>27841879</v>
      </c>
      <c r="I10647">
        <v>27841897</v>
      </c>
    </row>
    <row r="10648" spans="1:9" x14ac:dyDescent="0.2">
      <c r="A10648" t="str">
        <f>"Htr5b"</f>
        <v>Htr5b</v>
      </c>
      <c r="B10648" t="s">
        <v>14</v>
      </c>
      <c r="C10648" t="s">
        <v>19</v>
      </c>
      <c r="D10648" t="s">
        <v>11</v>
      </c>
      <c r="E10648" t="s">
        <v>12</v>
      </c>
      <c r="F10648">
        <v>121528483</v>
      </c>
      <c r="G10648">
        <v>121528495</v>
      </c>
      <c r="H10648">
        <v>121528483</v>
      </c>
      <c r="I10648">
        <v>121528495</v>
      </c>
    </row>
    <row r="10649" spans="1:9" x14ac:dyDescent="0.2">
      <c r="A10649" t="str">
        <f>"Htr6"</f>
        <v>Htr6</v>
      </c>
      <c r="B10649" t="s">
        <v>14</v>
      </c>
      <c r="C10649" t="s">
        <v>23</v>
      </c>
      <c r="D10649" t="s">
        <v>11</v>
      </c>
      <c r="E10649" t="s">
        <v>12</v>
      </c>
      <c r="F10649">
        <v>139075557</v>
      </c>
      <c r="G10649">
        <v>139075575</v>
      </c>
      <c r="H10649">
        <v>139075590</v>
      </c>
      <c r="I10649">
        <v>139075610</v>
      </c>
    </row>
    <row r="10650" spans="1:9" x14ac:dyDescent="0.2">
      <c r="A10650" t="str">
        <f>"Htr7"</f>
        <v>Htr7</v>
      </c>
      <c r="B10650" t="s">
        <v>14</v>
      </c>
      <c r="C10650" t="s">
        <v>10</v>
      </c>
      <c r="D10650" t="s">
        <v>11</v>
      </c>
      <c r="E10650" t="s">
        <v>12</v>
      </c>
      <c r="F10650">
        <v>36057589</v>
      </c>
      <c r="G10650">
        <v>36057616</v>
      </c>
      <c r="H10650">
        <v>36057560</v>
      </c>
      <c r="I10650">
        <v>36057577</v>
      </c>
    </row>
    <row r="10651" spans="1:9" x14ac:dyDescent="0.2">
      <c r="A10651" t="str">
        <f>"Htra1"</f>
        <v>Htra1</v>
      </c>
      <c r="B10651" t="s">
        <v>14</v>
      </c>
      <c r="C10651" t="s">
        <v>33</v>
      </c>
      <c r="D10651" t="s">
        <v>17</v>
      </c>
      <c r="E10651" t="s">
        <v>12</v>
      </c>
      <c r="F10651">
        <v>130936172</v>
      </c>
      <c r="G10651">
        <v>130936254</v>
      </c>
      <c r="H10651">
        <v>130936257</v>
      </c>
      <c r="I10651">
        <v>130936268</v>
      </c>
    </row>
    <row r="10652" spans="1:9" x14ac:dyDescent="0.2">
      <c r="A10652" t="str">
        <f>"Htra2"</f>
        <v>Htra2</v>
      </c>
      <c r="B10652" t="s">
        <v>14</v>
      </c>
      <c r="C10652" t="s">
        <v>32</v>
      </c>
      <c r="D10652" t="s">
        <v>11</v>
      </c>
      <c r="E10652" t="s">
        <v>12</v>
      </c>
      <c r="F10652">
        <v>83054415</v>
      </c>
      <c r="G10652">
        <v>83054485</v>
      </c>
      <c r="H10652">
        <v>83054379</v>
      </c>
      <c r="I10652">
        <v>83054409</v>
      </c>
    </row>
    <row r="10653" spans="1:9" x14ac:dyDescent="0.2">
      <c r="A10653" t="str">
        <f>"Htra3"</f>
        <v>Htra3</v>
      </c>
      <c r="B10653" t="s">
        <v>9</v>
      </c>
      <c r="C10653" t="s">
        <v>46</v>
      </c>
      <c r="D10653" t="s">
        <v>11</v>
      </c>
      <c r="E10653" t="s">
        <v>12</v>
      </c>
      <c r="F10653">
        <v>35679416</v>
      </c>
      <c r="G10653">
        <v>35679537</v>
      </c>
      <c r="H10653">
        <v>35679416</v>
      </c>
      <c r="I10653">
        <v>35679537</v>
      </c>
    </row>
    <row r="10654" spans="1:9" x14ac:dyDescent="0.2">
      <c r="A10654" t="str">
        <f>"Htra3"</f>
        <v>Htra3</v>
      </c>
      <c r="B10654" t="s">
        <v>13</v>
      </c>
      <c r="C10654" t="s">
        <v>46</v>
      </c>
      <c r="D10654" t="s">
        <v>11</v>
      </c>
      <c r="E10654" t="s">
        <v>12</v>
      </c>
      <c r="F10654">
        <v>35671513</v>
      </c>
      <c r="G10654">
        <v>35671574</v>
      </c>
      <c r="H10654">
        <v>35671513</v>
      </c>
      <c r="I10654">
        <v>35671574</v>
      </c>
    </row>
    <row r="10655" spans="1:9" x14ac:dyDescent="0.2">
      <c r="A10655" t="str">
        <f>"Htra4"</f>
        <v>Htra4</v>
      </c>
      <c r="B10655" t="s">
        <v>14</v>
      </c>
      <c r="C10655" t="s">
        <v>30</v>
      </c>
      <c r="D10655" t="s">
        <v>11</v>
      </c>
      <c r="E10655" t="s">
        <v>12</v>
      </c>
      <c r="F10655">
        <v>25038875</v>
      </c>
      <c r="G10655">
        <v>25038921</v>
      </c>
      <c r="H10655">
        <v>25038960</v>
      </c>
      <c r="I10655">
        <v>25038962</v>
      </c>
    </row>
    <row r="10656" spans="1:9" x14ac:dyDescent="0.2">
      <c r="A10656" t="str">
        <f>"Htt"</f>
        <v>Htt</v>
      </c>
      <c r="B10656" t="s">
        <v>14</v>
      </c>
      <c r="C10656" t="s">
        <v>46</v>
      </c>
      <c r="D10656" t="s">
        <v>17</v>
      </c>
      <c r="E10656" t="s">
        <v>12</v>
      </c>
      <c r="F10656">
        <v>34761734</v>
      </c>
      <c r="G10656">
        <v>34761780</v>
      </c>
      <c r="H10656">
        <v>34761816</v>
      </c>
      <c r="I10656">
        <v>34761825</v>
      </c>
    </row>
    <row r="10657" spans="1:9" x14ac:dyDescent="0.2">
      <c r="A10657" t="str">
        <f>"Hunk"</f>
        <v>Hunk</v>
      </c>
      <c r="B10657" t="s">
        <v>14</v>
      </c>
      <c r="C10657" t="s">
        <v>31</v>
      </c>
      <c r="D10657" t="s">
        <v>17</v>
      </c>
      <c r="E10657" t="s">
        <v>12</v>
      </c>
      <c r="F10657">
        <v>90386382</v>
      </c>
      <c r="G10657">
        <v>90386454</v>
      </c>
      <c r="H10657">
        <v>90386382</v>
      </c>
      <c r="I10657">
        <v>90386454</v>
      </c>
    </row>
    <row r="10658" spans="1:9" x14ac:dyDescent="0.2">
      <c r="A10658" t="str">
        <f>"Hus1"</f>
        <v>Hus1</v>
      </c>
      <c r="B10658" t="s">
        <v>14</v>
      </c>
      <c r="C10658" t="s">
        <v>27</v>
      </c>
      <c r="D10658" t="s">
        <v>11</v>
      </c>
      <c r="E10658" t="s">
        <v>12</v>
      </c>
      <c r="F10658">
        <v>9011111</v>
      </c>
      <c r="G10658">
        <v>9011164</v>
      </c>
      <c r="H10658">
        <v>9011183</v>
      </c>
      <c r="I10658">
        <v>9011189</v>
      </c>
    </row>
    <row r="10659" spans="1:9" x14ac:dyDescent="0.2">
      <c r="A10659" t="str">
        <f>"Hus1b"</f>
        <v>Hus1b</v>
      </c>
      <c r="B10659" t="s">
        <v>14</v>
      </c>
      <c r="C10659" t="s">
        <v>39</v>
      </c>
      <c r="D10659" t="s">
        <v>11</v>
      </c>
      <c r="E10659" t="s">
        <v>12</v>
      </c>
      <c r="F10659">
        <v>30947740</v>
      </c>
      <c r="G10659">
        <v>30947750</v>
      </c>
      <c r="H10659">
        <v>30947730</v>
      </c>
      <c r="I10659">
        <v>30947733</v>
      </c>
    </row>
    <row r="10660" spans="1:9" x14ac:dyDescent="0.2">
      <c r="A10660" t="str">
        <f>"Huwe1"</f>
        <v>Huwe1</v>
      </c>
      <c r="B10660" t="s">
        <v>9</v>
      </c>
      <c r="C10660" t="s">
        <v>37</v>
      </c>
      <c r="D10660" t="s">
        <v>17</v>
      </c>
      <c r="E10660" t="s">
        <v>12</v>
      </c>
      <c r="F10660">
        <v>151803313</v>
      </c>
      <c r="G10660">
        <v>151803376</v>
      </c>
      <c r="H10660">
        <v>151803313</v>
      </c>
      <c r="I10660">
        <v>151803376</v>
      </c>
    </row>
    <row r="10661" spans="1:9" x14ac:dyDescent="0.2">
      <c r="A10661" t="str">
        <f>"Huwe1"</f>
        <v>Huwe1</v>
      </c>
      <c r="B10661" t="s">
        <v>13</v>
      </c>
      <c r="C10661" t="s">
        <v>37</v>
      </c>
      <c r="D10661" t="s">
        <v>17</v>
      </c>
      <c r="E10661" t="s">
        <v>12</v>
      </c>
      <c r="F10661">
        <v>151800873</v>
      </c>
      <c r="G10661">
        <v>151800912</v>
      </c>
      <c r="H10661">
        <v>151800873</v>
      </c>
      <c r="I10661">
        <v>151800912</v>
      </c>
    </row>
    <row r="10662" spans="1:9" x14ac:dyDescent="0.2">
      <c r="A10662" t="str">
        <f>"Hvcn1"</f>
        <v>Hvcn1</v>
      </c>
      <c r="B10662" t="s">
        <v>14</v>
      </c>
      <c r="C10662" t="s">
        <v>46</v>
      </c>
      <c r="D10662" t="s">
        <v>17</v>
      </c>
      <c r="E10662" t="s">
        <v>12</v>
      </c>
      <c r="F10662">
        <v>122209848</v>
      </c>
      <c r="G10662">
        <v>122209914</v>
      </c>
      <c r="H10662">
        <v>122210328</v>
      </c>
      <c r="I10662">
        <v>122210353</v>
      </c>
    </row>
    <row r="10663" spans="1:9" x14ac:dyDescent="0.2">
      <c r="A10663" t="str">
        <f>"Hyal1"</f>
        <v>Hyal1</v>
      </c>
      <c r="B10663" t="s">
        <v>14</v>
      </c>
      <c r="C10663" t="s">
        <v>24</v>
      </c>
      <c r="D10663" t="s">
        <v>17</v>
      </c>
      <c r="E10663" t="s">
        <v>12</v>
      </c>
      <c r="F10663">
        <v>107576915</v>
      </c>
      <c r="G10663">
        <v>107576976</v>
      </c>
      <c r="H10663">
        <v>107576915</v>
      </c>
      <c r="I10663">
        <v>107576976</v>
      </c>
    </row>
    <row r="10664" spans="1:9" x14ac:dyDescent="0.2">
      <c r="A10664" t="str">
        <f>"Hyal2"</f>
        <v>Hyal2</v>
      </c>
      <c r="B10664" t="s">
        <v>14</v>
      </c>
      <c r="C10664" t="s">
        <v>24</v>
      </c>
      <c r="D10664" t="s">
        <v>17</v>
      </c>
      <c r="E10664" t="s">
        <v>12</v>
      </c>
      <c r="F10664">
        <v>107569112</v>
      </c>
      <c r="G10664">
        <v>107569135</v>
      </c>
      <c r="H10664">
        <v>107569156</v>
      </c>
      <c r="I10664">
        <v>107569184</v>
      </c>
    </row>
    <row r="10665" spans="1:9" x14ac:dyDescent="0.2">
      <c r="A10665" t="str">
        <f>"Hyal3"</f>
        <v>Hyal3</v>
      </c>
      <c r="B10665" t="s">
        <v>14</v>
      </c>
      <c r="C10665" t="s">
        <v>24</v>
      </c>
      <c r="D10665" t="s">
        <v>17</v>
      </c>
      <c r="E10665" t="s">
        <v>12</v>
      </c>
      <c r="F10665">
        <v>107580647</v>
      </c>
      <c r="G10665">
        <v>107580699</v>
      </c>
      <c r="H10665">
        <v>107580746</v>
      </c>
      <c r="I10665">
        <v>107580833</v>
      </c>
    </row>
    <row r="10666" spans="1:9" x14ac:dyDescent="0.2">
      <c r="A10666" t="str">
        <f>"Hyal4"</f>
        <v>Hyal4</v>
      </c>
      <c r="B10666" t="s">
        <v>14</v>
      </c>
      <c r="C10666" t="s">
        <v>32</v>
      </c>
      <c r="D10666" t="s">
        <v>17</v>
      </c>
      <c r="E10666" t="s">
        <v>12</v>
      </c>
      <c r="F10666">
        <v>24748325</v>
      </c>
      <c r="G10666">
        <v>24748356</v>
      </c>
      <c r="H10666">
        <v>24748325</v>
      </c>
      <c r="I10666">
        <v>24748356</v>
      </c>
    </row>
    <row r="10667" spans="1:9" x14ac:dyDescent="0.2">
      <c r="A10667" t="str">
        <f>"Hyal5"</f>
        <v>Hyal5</v>
      </c>
      <c r="B10667" t="s">
        <v>14</v>
      </c>
      <c r="C10667" t="s">
        <v>32</v>
      </c>
      <c r="D10667" t="s">
        <v>17</v>
      </c>
      <c r="E10667" t="s">
        <v>12</v>
      </c>
      <c r="F10667">
        <v>24857969</v>
      </c>
      <c r="G10667">
        <v>24858001</v>
      </c>
      <c r="H10667">
        <v>24858003</v>
      </c>
      <c r="I10667">
        <v>24858017</v>
      </c>
    </row>
    <row r="10668" spans="1:9" x14ac:dyDescent="0.2">
      <c r="A10668" t="str">
        <f>"Hyal6"</f>
        <v>Hyal6</v>
      </c>
      <c r="B10668" t="s">
        <v>14</v>
      </c>
      <c r="C10668" t="s">
        <v>32</v>
      </c>
      <c r="D10668" t="s">
        <v>17</v>
      </c>
      <c r="E10668" t="s">
        <v>12</v>
      </c>
      <c r="F10668">
        <v>24733251</v>
      </c>
      <c r="G10668">
        <v>24733295</v>
      </c>
      <c r="H10668">
        <v>24733251</v>
      </c>
      <c r="I10668">
        <v>24733295</v>
      </c>
    </row>
    <row r="10669" spans="1:9" x14ac:dyDescent="0.2">
      <c r="A10669" t="str">
        <f>"Hydin"</f>
        <v>Hydin</v>
      </c>
      <c r="B10669" t="s">
        <v>14</v>
      </c>
      <c r="C10669" t="s">
        <v>30</v>
      </c>
      <c r="D10669" t="s">
        <v>17</v>
      </c>
      <c r="E10669" t="s">
        <v>12</v>
      </c>
      <c r="F10669">
        <v>110266960</v>
      </c>
      <c r="G10669">
        <v>110266982</v>
      </c>
      <c r="H10669">
        <v>110266950</v>
      </c>
      <c r="I10669">
        <v>110266955</v>
      </c>
    </row>
    <row r="10670" spans="1:9" x14ac:dyDescent="0.2">
      <c r="A10670" t="str">
        <f>"Hykk"</f>
        <v>Hykk</v>
      </c>
      <c r="B10670" t="s">
        <v>14</v>
      </c>
      <c r="C10670" t="s">
        <v>24</v>
      </c>
      <c r="D10670" t="s">
        <v>17</v>
      </c>
      <c r="E10670" t="s">
        <v>67</v>
      </c>
      <c r="F10670">
        <v>54917298</v>
      </c>
      <c r="G10670">
        <v>54917328</v>
      </c>
      <c r="H10670">
        <v>54917252</v>
      </c>
      <c r="I10670">
        <v>54917295</v>
      </c>
    </row>
    <row r="10671" spans="1:9" x14ac:dyDescent="0.2">
      <c r="A10671" t="str">
        <f>"Hyls1"</f>
        <v>Hyls1</v>
      </c>
      <c r="B10671" t="s">
        <v>14</v>
      </c>
      <c r="C10671" t="s">
        <v>24</v>
      </c>
      <c r="D10671" t="s">
        <v>11</v>
      </c>
      <c r="E10671" t="s">
        <v>12</v>
      </c>
      <c r="F10671">
        <v>35570088</v>
      </c>
      <c r="G10671">
        <v>35570121</v>
      </c>
      <c r="H10671">
        <v>35570019</v>
      </c>
      <c r="I10671">
        <v>35570073</v>
      </c>
    </row>
    <row r="10672" spans="1:9" x14ac:dyDescent="0.2">
      <c r="A10672" t="str">
        <f>"Hyou1"</f>
        <v>Hyou1</v>
      </c>
      <c r="B10672" t="s">
        <v>14</v>
      </c>
      <c r="C10672" t="s">
        <v>24</v>
      </c>
      <c r="D10672" t="s">
        <v>17</v>
      </c>
      <c r="E10672" t="s">
        <v>12</v>
      </c>
      <c r="F10672">
        <v>44379536</v>
      </c>
      <c r="G10672">
        <v>44379624</v>
      </c>
      <c r="H10672">
        <v>44379518</v>
      </c>
      <c r="I10672">
        <v>44379529</v>
      </c>
    </row>
    <row r="10673" spans="1:9" x14ac:dyDescent="0.2">
      <c r="A10673" t="str">
        <f>"Hypk"</f>
        <v>Hypk</v>
      </c>
      <c r="B10673" t="s">
        <v>14</v>
      </c>
      <c r="C10673" t="s">
        <v>26</v>
      </c>
      <c r="D10673" t="s">
        <v>17</v>
      </c>
      <c r="E10673" t="s">
        <v>67</v>
      </c>
      <c r="F10673">
        <v>121457078</v>
      </c>
      <c r="G10673">
        <v>121457127</v>
      </c>
      <c r="H10673">
        <v>121456894</v>
      </c>
      <c r="I10673">
        <v>121456913</v>
      </c>
    </row>
    <row r="10674" spans="1:9" x14ac:dyDescent="0.2">
      <c r="A10674" t="str">
        <f>"I0C0044D17Rik"</f>
        <v>I0C0044D17Rik</v>
      </c>
      <c r="B10674" t="s">
        <v>4166</v>
      </c>
      <c r="C10674" t="s">
        <v>23</v>
      </c>
      <c r="D10674" t="s">
        <v>11</v>
      </c>
      <c r="E10674" t="s">
        <v>20</v>
      </c>
      <c r="F10674">
        <v>98823839</v>
      </c>
      <c r="G10674">
        <v>98823839</v>
      </c>
      <c r="H10674">
        <v>98823839</v>
      </c>
      <c r="I10674">
        <v>98823839</v>
      </c>
    </row>
    <row r="10675" spans="1:9" x14ac:dyDescent="0.2">
      <c r="A10675" t="str">
        <f>"I0C0044D17Rik"</f>
        <v>I0C0044D17Rik</v>
      </c>
      <c r="B10675" t="s">
        <v>4167</v>
      </c>
      <c r="C10675" t="s">
        <v>23</v>
      </c>
      <c r="D10675" t="s">
        <v>11</v>
      </c>
      <c r="E10675" t="s">
        <v>20</v>
      </c>
      <c r="F10675">
        <v>98820323</v>
      </c>
      <c r="G10675">
        <v>98820323</v>
      </c>
      <c r="H10675">
        <v>98820323</v>
      </c>
      <c r="I10675">
        <v>98820323</v>
      </c>
    </row>
    <row r="10676" spans="1:9" x14ac:dyDescent="0.2">
      <c r="A10676" t="str">
        <f>"I830012O16Rik"</f>
        <v>I830012O16Rik</v>
      </c>
      <c r="B10676" t="s">
        <v>14</v>
      </c>
      <c r="C10676" t="s">
        <v>10</v>
      </c>
      <c r="D10676" t="s">
        <v>17</v>
      </c>
      <c r="E10676" t="s">
        <v>12</v>
      </c>
      <c r="F10676">
        <v>34607927</v>
      </c>
      <c r="G10676">
        <v>34607936</v>
      </c>
      <c r="H10676">
        <v>34607927</v>
      </c>
      <c r="I10676">
        <v>34607936</v>
      </c>
    </row>
    <row r="10677" spans="1:9" x14ac:dyDescent="0.2">
      <c r="A10677" t="str">
        <f>"I830077J02Rik"</f>
        <v>I830077J02Rik</v>
      </c>
      <c r="B10677" t="s">
        <v>14</v>
      </c>
      <c r="C10677" t="s">
        <v>22</v>
      </c>
      <c r="D10677" t="s">
        <v>11</v>
      </c>
      <c r="E10677" t="s">
        <v>12</v>
      </c>
      <c r="F10677">
        <v>105932590</v>
      </c>
      <c r="G10677">
        <v>105932622</v>
      </c>
      <c r="H10677">
        <v>105932687</v>
      </c>
      <c r="I10677">
        <v>105932711</v>
      </c>
    </row>
    <row r="10678" spans="1:9" x14ac:dyDescent="0.2">
      <c r="A10678" t="str">
        <f>"Iah1"</f>
        <v>Iah1</v>
      </c>
      <c r="B10678" t="s">
        <v>14</v>
      </c>
      <c r="C10678" t="s">
        <v>16</v>
      </c>
      <c r="D10678" t="s">
        <v>17</v>
      </c>
      <c r="E10678" t="s">
        <v>12</v>
      </c>
      <c r="F10678">
        <v>21316408</v>
      </c>
      <c r="G10678">
        <v>21316435</v>
      </c>
      <c r="H10678">
        <v>21316385</v>
      </c>
      <c r="I10678">
        <v>21316400</v>
      </c>
    </row>
    <row r="10679" spans="1:9" x14ac:dyDescent="0.2">
      <c r="A10679" t="str">
        <f>"Iapp"</f>
        <v>Iapp</v>
      </c>
      <c r="B10679" t="s">
        <v>14</v>
      </c>
      <c r="C10679" t="s">
        <v>32</v>
      </c>
      <c r="D10679" t="s">
        <v>17</v>
      </c>
      <c r="E10679" t="s">
        <v>12</v>
      </c>
      <c r="F10679">
        <v>142298419</v>
      </c>
      <c r="G10679">
        <v>142298435</v>
      </c>
      <c r="H10679">
        <v>142298419</v>
      </c>
      <c r="I10679">
        <v>142298435</v>
      </c>
    </row>
    <row r="10680" spans="1:9" x14ac:dyDescent="0.2">
      <c r="A10680" t="str">
        <f>"Iars"</f>
        <v>Iars</v>
      </c>
      <c r="B10680" t="s">
        <v>14</v>
      </c>
      <c r="C10680" t="s">
        <v>39</v>
      </c>
      <c r="D10680" t="s">
        <v>17</v>
      </c>
      <c r="E10680" t="s">
        <v>12</v>
      </c>
      <c r="F10680">
        <v>49682118</v>
      </c>
      <c r="G10680">
        <v>49682169</v>
      </c>
      <c r="H10680">
        <v>49682210</v>
      </c>
      <c r="I10680">
        <v>49682221</v>
      </c>
    </row>
    <row r="10681" spans="1:9" x14ac:dyDescent="0.2">
      <c r="A10681" t="str">
        <f>"Iars2"</f>
        <v>Iars2</v>
      </c>
      <c r="B10681" t="s">
        <v>14</v>
      </c>
      <c r="C10681" t="s">
        <v>19</v>
      </c>
      <c r="D10681" t="s">
        <v>11</v>
      </c>
      <c r="E10681" t="s">
        <v>12</v>
      </c>
      <c r="F10681">
        <v>185329331</v>
      </c>
      <c r="G10681">
        <v>185329401</v>
      </c>
      <c r="H10681">
        <v>185329331</v>
      </c>
      <c r="I10681">
        <v>185329401</v>
      </c>
    </row>
    <row r="10682" spans="1:9" x14ac:dyDescent="0.2">
      <c r="A10682" t="str">
        <f>"Iba57"</f>
        <v>Iba57</v>
      </c>
      <c r="B10682" t="s">
        <v>14</v>
      </c>
      <c r="C10682" t="s">
        <v>27</v>
      </c>
      <c r="D10682" t="s">
        <v>11</v>
      </c>
      <c r="E10682" t="s">
        <v>67</v>
      </c>
      <c r="F10682">
        <v>59163759</v>
      </c>
      <c r="G10682">
        <v>59163788</v>
      </c>
      <c r="H10682">
        <v>59163696</v>
      </c>
      <c r="I10682">
        <v>59163726</v>
      </c>
    </row>
    <row r="10683" spans="1:9" x14ac:dyDescent="0.2">
      <c r="A10683" t="str">
        <f>"Ibsp"</f>
        <v>Ibsp</v>
      </c>
      <c r="B10683" t="s">
        <v>14</v>
      </c>
      <c r="C10683" t="s">
        <v>46</v>
      </c>
      <c r="D10683" t="s">
        <v>17</v>
      </c>
      <c r="E10683" t="s">
        <v>12</v>
      </c>
      <c r="F10683">
        <v>104299281</v>
      </c>
      <c r="G10683">
        <v>104299296</v>
      </c>
      <c r="H10683">
        <v>104299190</v>
      </c>
      <c r="I10683">
        <v>104299202</v>
      </c>
    </row>
    <row r="10684" spans="1:9" x14ac:dyDescent="0.2">
      <c r="A10684" t="str">
        <f>"Ibtk"</f>
        <v>Ibtk</v>
      </c>
      <c r="B10684" t="s">
        <v>14</v>
      </c>
      <c r="C10684" t="s">
        <v>24</v>
      </c>
      <c r="D10684" t="s">
        <v>11</v>
      </c>
      <c r="E10684" t="s">
        <v>12</v>
      </c>
      <c r="F10684">
        <v>85749286</v>
      </c>
      <c r="G10684">
        <v>85749303</v>
      </c>
      <c r="H10684">
        <v>85749308</v>
      </c>
      <c r="I10684">
        <v>85749356</v>
      </c>
    </row>
    <row r="10685" spans="1:9" x14ac:dyDescent="0.2">
      <c r="A10685" t="str">
        <f>"Ica1"</f>
        <v>Ica1</v>
      </c>
      <c r="B10685" t="s">
        <v>14</v>
      </c>
      <c r="C10685" t="s">
        <v>32</v>
      </c>
      <c r="D10685" t="s">
        <v>11</v>
      </c>
      <c r="E10685" t="s">
        <v>12</v>
      </c>
      <c r="F10685">
        <v>8778106</v>
      </c>
      <c r="G10685">
        <v>8778162</v>
      </c>
      <c r="H10685">
        <v>8778455</v>
      </c>
      <c r="I10685">
        <v>8778501</v>
      </c>
    </row>
    <row r="10686" spans="1:9" x14ac:dyDescent="0.2">
      <c r="A10686" t="str">
        <f>"Ica1l"</f>
        <v>Ica1l</v>
      </c>
      <c r="B10686" t="s">
        <v>14</v>
      </c>
      <c r="C10686" t="s">
        <v>19</v>
      </c>
      <c r="D10686" t="s">
        <v>11</v>
      </c>
      <c r="E10686" t="s">
        <v>12</v>
      </c>
      <c r="F10686">
        <v>60043092</v>
      </c>
      <c r="G10686">
        <v>60043175</v>
      </c>
      <c r="H10686">
        <v>60042931</v>
      </c>
      <c r="I10686">
        <v>60042975</v>
      </c>
    </row>
    <row r="10687" spans="1:9" x14ac:dyDescent="0.2">
      <c r="A10687" t="str">
        <f>"Icam1"</f>
        <v>Icam1</v>
      </c>
      <c r="B10687" t="s">
        <v>14</v>
      </c>
      <c r="C10687" t="s">
        <v>24</v>
      </c>
      <c r="D10687" t="s">
        <v>17</v>
      </c>
      <c r="E10687" t="s">
        <v>12</v>
      </c>
      <c r="F10687">
        <v>21015975</v>
      </c>
      <c r="G10687">
        <v>21015991</v>
      </c>
      <c r="H10687">
        <v>21015975</v>
      </c>
      <c r="I10687">
        <v>21015991</v>
      </c>
    </row>
    <row r="10688" spans="1:9" x14ac:dyDescent="0.2">
      <c r="A10688" t="str">
        <f>"Icam2"</f>
        <v>Icam2</v>
      </c>
      <c r="B10688" t="s">
        <v>9</v>
      </c>
      <c r="C10688" t="s">
        <v>27</v>
      </c>
      <c r="D10688" t="s">
        <v>11</v>
      </c>
      <c r="E10688" t="s">
        <v>12</v>
      </c>
      <c r="F10688">
        <v>106382554</v>
      </c>
      <c r="G10688">
        <v>106382612</v>
      </c>
      <c r="H10688">
        <v>106382554</v>
      </c>
      <c r="I10688">
        <v>106382612</v>
      </c>
    </row>
    <row r="10689" spans="1:9" x14ac:dyDescent="0.2">
      <c r="A10689" t="str">
        <f>"Icam2"</f>
        <v>Icam2</v>
      </c>
      <c r="B10689" t="s">
        <v>13</v>
      </c>
      <c r="C10689" t="s">
        <v>27</v>
      </c>
      <c r="D10689" t="s">
        <v>11</v>
      </c>
      <c r="E10689" t="s">
        <v>12</v>
      </c>
      <c r="F10689">
        <v>106388066</v>
      </c>
      <c r="G10689">
        <v>106388105</v>
      </c>
      <c r="H10689">
        <v>106388066</v>
      </c>
      <c r="I10689">
        <v>106388105</v>
      </c>
    </row>
    <row r="10690" spans="1:9" x14ac:dyDescent="0.2">
      <c r="A10690" t="str">
        <f>"Icam4"</f>
        <v>Icam4</v>
      </c>
      <c r="B10690" t="s">
        <v>14</v>
      </c>
      <c r="C10690" t="s">
        <v>24</v>
      </c>
      <c r="D10690" t="s">
        <v>17</v>
      </c>
      <c r="E10690" t="s">
        <v>12</v>
      </c>
      <c r="F10690">
        <v>21029425</v>
      </c>
      <c r="G10690">
        <v>21029442</v>
      </c>
      <c r="H10690">
        <v>21029443</v>
      </c>
      <c r="I10690">
        <v>21029455</v>
      </c>
    </row>
    <row r="10691" spans="1:9" x14ac:dyDescent="0.2">
      <c r="A10691" t="str">
        <f>"Icam5"</f>
        <v>Icam5</v>
      </c>
      <c r="B10691" t="s">
        <v>14</v>
      </c>
      <c r="C10691" t="s">
        <v>24</v>
      </c>
      <c r="D10691" t="s">
        <v>17</v>
      </c>
      <c r="E10691" t="s">
        <v>12</v>
      </c>
      <c r="F10691">
        <v>21032054</v>
      </c>
      <c r="G10691">
        <v>21032085</v>
      </c>
      <c r="H10691">
        <v>21032094</v>
      </c>
      <c r="I10691">
        <v>21032107</v>
      </c>
    </row>
    <row r="10692" spans="1:9" x14ac:dyDescent="0.2">
      <c r="A10692" t="str">
        <f>"Ick"</f>
        <v>Ick</v>
      </c>
      <c r="B10692" t="s">
        <v>9</v>
      </c>
      <c r="C10692" t="s">
        <v>24</v>
      </c>
      <c r="D10692" t="s">
        <v>17</v>
      </c>
      <c r="E10692" t="s">
        <v>12</v>
      </c>
      <c r="F10692">
        <v>78113275</v>
      </c>
      <c r="G10692">
        <v>78113346</v>
      </c>
      <c r="H10692">
        <v>78113275</v>
      </c>
      <c r="I10692">
        <v>78113346</v>
      </c>
    </row>
    <row r="10693" spans="1:9" x14ac:dyDescent="0.2">
      <c r="A10693" t="str">
        <f>"Ick"</f>
        <v>Ick</v>
      </c>
      <c r="B10693" t="s">
        <v>13</v>
      </c>
      <c r="C10693" t="s">
        <v>24</v>
      </c>
      <c r="D10693" t="s">
        <v>17</v>
      </c>
      <c r="E10693" t="s">
        <v>12</v>
      </c>
      <c r="F10693">
        <v>78109188</v>
      </c>
      <c r="G10693">
        <v>78109285</v>
      </c>
      <c r="H10693">
        <v>78109188</v>
      </c>
      <c r="I10693">
        <v>78109285</v>
      </c>
    </row>
    <row r="10694" spans="1:9" x14ac:dyDescent="0.2">
      <c r="A10694" t="str">
        <f>"Icmt"</f>
        <v>Icmt</v>
      </c>
      <c r="B10694" t="s">
        <v>14</v>
      </c>
      <c r="C10694" t="s">
        <v>23</v>
      </c>
      <c r="D10694" t="s">
        <v>17</v>
      </c>
      <c r="E10694" t="s">
        <v>12</v>
      </c>
      <c r="F10694">
        <v>152297274</v>
      </c>
      <c r="G10694">
        <v>152297326</v>
      </c>
      <c r="H10694">
        <v>152297329</v>
      </c>
      <c r="I10694">
        <v>152297368</v>
      </c>
    </row>
    <row r="10695" spans="1:9" x14ac:dyDescent="0.2">
      <c r="A10695" t="str">
        <f>"Icos"</f>
        <v>Icos</v>
      </c>
      <c r="B10695" t="s">
        <v>14</v>
      </c>
      <c r="C10695" t="s">
        <v>19</v>
      </c>
      <c r="D10695" t="s">
        <v>17</v>
      </c>
      <c r="E10695" t="s">
        <v>12</v>
      </c>
      <c r="F10695">
        <v>60977898</v>
      </c>
      <c r="G10695">
        <v>60977937</v>
      </c>
      <c r="H10695">
        <v>60977940</v>
      </c>
      <c r="I10695">
        <v>60977957</v>
      </c>
    </row>
    <row r="10696" spans="1:9" x14ac:dyDescent="0.2">
      <c r="A10696" t="str">
        <f>"Icosl"</f>
        <v>Icosl</v>
      </c>
      <c r="B10696" t="s">
        <v>14</v>
      </c>
      <c r="C10696" t="s">
        <v>15</v>
      </c>
      <c r="D10696" t="s">
        <v>17</v>
      </c>
      <c r="E10696" t="s">
        <v>12</v>
      </c>
      <c r="F10696">
        <v>78069351</v>
      </c>
      <c r="G10696">
        <v>78069371</v>
      </c>
      <c r="H10696">
        <v>78069320</v>
      </c>
      <c r="I10696">
        <v>78069346</v>
      </c>
    </row>
    <row r="10697" spans="1:9" x14ac:dyDescent="0.2">
      <c r="A10697" t="str">
        <f>"Ict1"</f>
        <v>Ict1</v>
      </c>
      <c r="B10697" t="s">
        <v>14</v>
      </c>
      <c r="C10697" t="s">
        <v>27</v>
      </c>
      <c r="D10697" t="s">
        <v>17</v>
      </c>
      <c r="E10697" t="s">
        <v>12</v>
      </c>
      <c r="F10697">
        <v>115403734</v>
      </c>
      <c r="G10697">
        <v>115403777</v>
      </c>
      <c r="H10697">
        <v>115403734</v>
      </c>
      <c r="I10697">
        <v>115403777</v>
      </c>
    </row>
    <row r="10698" spans="1:9" x14ac:dyDescent="0.2">
      <c r="A10698" t="str">
        <f>"Id1"</f>
        <v>Id1</v>
      </c>
      <c r="B10698" t="s">
        <v>14</v>
      </c>
      <c r="C10698" t="s">
        <v>26</v>
      </c>
      <c r="D10698" t="s">
        <v>17</v>
      </c>
      <c r="E10698" t="s">
        <v>12</v>
      </c>
      <c r="F10698">
        <v>152736244</v>
      </c>
      <c r="G10698">
        <v>152736261</v>
      </c>
      <c r="H10698">
        <v>152736244</v>
      </c>
      <c r="I10698">
        <v>152736261</v>
      </c>
    </row>
    <row r="10699" spans="1:9" x14ac:dyDescent="0.2">
      <c r="A10699" t="str">
        <f>"Id2"</f>
        <v>Id2</v>
      </c>
      <c r="B10699" t="s">
        <v>14</v>
      </c>
      <c r="C10699" t="s">
        <v>16</v>
      </c>
      <c r="D10699" t="s">
        <v>11</v>
      </c>
      <c r="E10699" t="s">
        <v>12</v>
      </c>
      <c r="F10699">
        <v>25096080</v>
      </c>
      <c r="G10699">
        <v>25096096</v>
      </c>
      <c r="H10699">
        <v>25096080</v>
      </c>
      <c r="I10699">
        <v>25096096</v>
      </c>
    </row>
    <row r="10700" spans="1:9" x14ac:dyDescent="0.2">
      <c r="A10700" t="str">
        <f>"Id3"</f>
        <v>Id3</v>
      </c>
      <c r="B10700" t="s">
        <v>14</v>
      </c>
      <c r="C10700" t="s">
        <v>23</v>
      </c>
      <c r="D10700" t="s">
        <v>17</v>
      </c>
      <c r="E10700" t="s">
        <v>12</v>
      </c>
      <c r="F10700">
        <v>136143816</v>
      </c>
      <c r="G10700">
        <v>136143832</v>
      </c>
      <c r="H10700">
        <v>136144772</v>
      </c>
      <c r="I10700">
        <v>136144804</v>
      </c>
    </row>
    <row r="10701" spans="1:9" x14ac:dyDescent="0.2">
      <c r="A10701" t="str">
        <f>"Id4"</f>
        <v>Id4</v>
      </c>
      <c r="B10701" t="s">
        <v>14</v>
      </c>
      <c r="C10701" t="s">
        <v>39</v>
      </c>
      <c r="D10701" t="s">
        <v>17</v>
      </c>
      <c r="E10701" t="s">
        <v>12</v>
      </c>
      <c r="F10701">
        <v>48261106</v>
      </c>
      <c r="G10701">
        <v>48261123</v>
      </c>
      <c r="H10701">
        <v>48261355</v>
      </c>
      <c r="I10701">
        <v>48261369</v>
      </c>
    </row>
    <row r="10702" spans="1:9" x14ac:dyDescent="0.2">
      <c r="A10702" t="str">
        <f>"Ide"</f>
        <v>Ide</v>
      </c>
      <c r="B10702" t="s">
        <v>14</v>
      </c>
      <c r="C10702" t="s">
        <v>10</v>
      </c>
      <c r="D10702" t="s">
        <v>11</v>
      </c>
      <c r="E10702" t="s">
        <v>12</v>
      </c>
      <c r="F10702">
        <v>37337845</v>
      </c>
      <c r="G10702">
        <v>37337853</v>
      </c>
      <c r="H10702">
        <v>37337845</v>
      </c>
      <c r="I10702">
        <v>37337853</v>
      </c>
    </row>
    <row r="10703" spans="1:9" x14ac:dyDescent="0.2">
      <c r="A10703" t="str">
        <f>"Idh1"</f>
        <v>Idh1</v>
      </c>
      <c r="B10703" t="s">
        <v>14</v>
      </c>
      <c r="C10703" t="s">
        <v>19</v>
      </c>
      <c r="D10703" t="s">
        <v>11</v>
      </c>
      <c r="E10703" t="s">
        <v>12</v>
      </c>
      <c r="F10703">
        <v>65179058</v>
      </c>
      <c r="G10703">
        <v>65179121</v>
      </c>
      <c r="H10703">
        <v>65179044</v>
      </c>
      <c r="I10703">
        <v>65179055</v>
      </c>
    </row>
    <row r="10704" spans="1:9" x14ac:dyDescent="0.2">
      <c r="A10704" t="str">
        <f>"Idh2"</f>
        <v>Idh2</v>
      </c>
      <c r="B10704" t="s">
        <v>14</v>
      </c>
      <c r="C10704" t="s">
        <v>33</v>
      </c>
      <c r="D10704" t="s">
        <v>11</v>
      </c>
      <c r="E10704" t="s">
        <v>12</v>
      </c>
      <c r="F10704">
        <v>80115294</v>
      </c>
      <c r="G10704">
        <v>80115355</v>
      </c>
      <c r="H10704">
        <v>80115294</v>
      </c>
      <c r="I10704">
        <v>80115355</v>
      </c>
    </row>
    <row r="10705" spans="1:9" x14ac:dyDescent="0.2">
      <c r="A10705" t="str">
        <f>"Idh3a"</f>
        <v>Idh3a</v>
      </c>
      <c r="B10705" t="s">
        <v>9</v>
      </c>
      <c r="C10705" t="s">
        <v>24</v>
      </c>
      <c r="D10705" t="s">
        <v>17</v>
      </c>
      <c r="E10705" t="s">
        <v>12</v>
      </c>
      <c r="F10705">
        <v>54586450</v>
      </c>
      <c r="G10705">
        <v>54586512</v>
      </c>
      <c r="H10705">
        <v>54586450</v>
      </c>
      <c r="I10705">
        <v>54586512</v>
      </c>
    </row>
    <row r="10706" spans="1:9" x14ac:dyDescent="0.2">
      <c r="A10706" t="str">
        <f>"Idh3a"</f>
        <v>Idh3a</v>
      </c>
      <c r="B10706" t="s">
        <v>13</v>
      </c>
      <c r="C10706" t="s">
        <v>24</v>
      </c>
      <c r="D10706" t="s">
        <v>17</v>
      </c>
      <c r="E10706" t="s">
        <v>12</v>
      </c>
      <c r="F10706">
        <v>54595104</v>
      </c>
      <c r="G10706">
        <v>54595133</v>
      </c>
      <c r="H10706">
        <v>54595104</v>
      </c>
      <c r="I10706">
        <v>54595133</v>
      </c>
    </row>
    <row r="10707" spans="1:9" x14ac:dyDescent="0.2">
      <c r="A10707" t="str">
        <f>"Idh3b"</f>
        <v>Idh3b</v>
      </c>
      <c r="B10707" t="s">
        <v>14</v>
      </c>
      <c r="C10707" t="s">
        <v>26</v>
      </c>
      <c r="D10707" t="s">
        <v>11</v>
      </c>
      <c r="E10707" t="s">
        <v>12</v>
      </c>
      <c r="F10707">
        <v>130284422</v>
      </c>
      <c r="G10707">
        <v>130284451</v>
      </c>
      <c r="H10707">
        <v>130284422</v>
      </c>
      <c r="I10707">
        <v>130284451</v>
      </c>
    </row>
    <row r="10708" spans="1:9" x14ac:dyDescent="0.2">
      <c r="A10708" t="str">
        <f>"Idh3g"</f>
        <v>Idh3g</v>
      </c>
      <c r="B10708" t="s">
        <v>14</v>
      </c>
      <c r="C10708" t="s">
        <v>37</v>
      </c>
      <c r="D10708" t="s">
        <v>11</v>
      </c>
      <c r="E10708" t="s">
        <v>12</v>
      </c>
      <c r="F10708">
        <v>73786852</v>
      </c>
      <c r="G10708">
        <v>73786871</v>
      </c>
      <c r="H10708">
        <v>73786888</v>
      </c>
      <c r="I10708">
        <v>73786899</v>
      </c>
    </row>
    <row r="10709" spans="1:9" x14ac:dyDescent="0.2">
      <c r="A10709" t="str">
        <f>"Idi1"</f>
        <v>Idi1</v>
      </c>
      <c r="B10709" t="s">
        <v>14</v>
      </c>
      <c r="C10709" t="s">
        <v>39</v>
      </c>
      <c r="D10709" t="s">
        <v>17</v>
      </c>
      <c r="E10709" t="s">
        <v>12</v>
      </c>
      <c r="F10709">
        <v>8885937</v>
      </c>
      <c r="G10709">
        <v>8885980</v>
      </c>
      <c r="H10709">
        <v>8885937</v>
      </c>
      <c r="I10709">
        <v>8885980</v>
      </c>
    </row>
    <row r="10710" spans="1:9" x14ac:dyDescent="0.2">
      <c r="A10710" t="str">
        <f>"Idi2"</f>
        <v>Idi2</v>
      </c>
      <c r="B10710" t="s">
        <v>14</v>
      </c>
      <c r="C10710" t="s">
        <v>39</v>
      </c>
      <c r="D10710" t="s">
        <v>17</v>
      </c>
      <c r="E10710" t="s">
        <v>12</v>
      </c>
      <c r="F10710">
        <v>8952861</v>
      </c>
      <c r="G10710">
        <v>8952867</v>
      </c>
      <c r="H10710">
        <v>8952861</v>
      </c>
      <c r="I10710">
        <v>8952867</v>
      </c>
    </row>
    <row r="10711" spans="1:9" x14ac:dyDescent="0.2">
      <c r="A10711" t="str">
        <f>"Idnk"</f>
        <v>Idnk</v>
      </c>
      <c r="B10711" t="s">
        <v>14</v>
      </c>
      <c r="C10711" t="s">
        <v>39</v>
      </c>
      <c r="D10711" t="s">
        <v>17</v>
      </c>
      <c r="E10711" t="s">
        <v>67</v>
      </c>
      <c r="F10711">
        <v>58157642</v>
      </c>
      <c r="G10711">
        <v>58157689</v>
      </c>
      <c r="H10711">
        <v>58157627</v>
      </c>
      <c r="I10711">
        <v>58157634</v>
      </c>
    </row>
    <row r="10712" spans="1:9" x14ac:dyDescent="0.2">
      <c r="A10712" t="str">
        <f>"Ido1"</f>
        <v>Ido1</v>
      </c>
      <c r="B10712" t="s">
        <v>14</v>
      </c>
      <c r="C10712" t="s">
        <v>30</v>
      </c>
      <c r="D10712" t="s">
        <v>11</v>
      </c>
      <c r="E10712" t="s">
        <v>12</v>
      </c>
      <c r="F10712">
        <v>24595634</v>
      </c>
      <c r="G10712">
        <v>24595671</v>
      </c>
      <c r="H10712">
        <v>24595634</v>
      </c>
      <c r="I10712">
        <v>24595671</v>
      </c>
    </row>
    <row r="10713" spans="1:9" x14ac:dyDescent="0.2">
      <c r="A10713" t="str">
        <f>"Ido2"</f>
        <v>Ido2</v>
      </c>
      <c r="B10713" t="s">
        <v>14</v>
      </c>
      <c r="C10713" t="s">
        <v>30</v>
      </c>
      <c r="D10713" t="s">
        <v>11</v>
      </c>
      <c r="E10713" t="s">
        <v>12</v>
      </c>
      <c r="F10713">
        <v>24576297</v>
      </c>
      <c r="G10713">
        <v>24576368</v>
      </c>
      <c r="H10713">
        <v>24576297</v>
      </c>
      <c r="I10713">
        <v>24576368</v>
      </c>
    </row>
    <row r="10714" spans="1:9" x14ac:dyDescent="0.2">
      <c r="A10714" t="str">
        <f>"Ids"</f>
        <v>Ids</v>
      </c>
      <c r="B10714" t="s">
        <v>14</v>
      </c>
      <c r="C10714" t="s">
        <v>37</v>
      </c>
      <c r="D10714" t="s">
        <v>11</v>
      </c>
      <c r="E10714" t="s">
        <v>12</v>
      </c>
      <c r="F10714">
        <v>70365052</v>
      </c>
      <c r="G10714">
        <v>70365112</v>
      </c>
      <c r="H10714">
        <v>70365020</v>
      </c>
      <c r="I10714">
        <v>70365042</v>
      </c>
    </row>
    <row r="10715" spans="1:9" x14ac:dyDescent="0.2">
      <c r="A10715" t="str">
        <f>"Idua"</f>
        <v>Idua</v>
      </c>
      <c r="B10715" t="s">
        <v>14</v>
      </c>
      <c r="C10715" t="s">
        <v>46</v>
      </c>
      <c r="D10715" t="s">
        <v>17</v>
      </c>
      <c r="E10715" t="s">
        <v>12</v>
      </c>
      <c r="F10715">
        <v>108669271</v>
      </c>
      <c r="G10715">
        <v>108669322</v>
      </c>
      <c r="H10715">
        <v>108669327</v>
      </c>
      <c r="I10715">
        <v>108669337</v>
      </c>
    </row>
    <row r="10716" spans="1:9" x14ac:dyDescent="0.2">
      <c r="A10716" t="str">
        <f>"Ier2"</f>
        <v>Ier2</v>
      </c>
      <c r="B10716" t="s">
        <v>14</v>
      </c>
      <c r="C10716" t="s">
        <v>30</v>
      </c>
      <c r="D10716" t="s">
        <v>11</v>
      </c>
      <c r="E10716" t="s">
        <v>12</v>
      </c>
      <c r="F10716">
        <v>84662841</v>
      </c>
      <c r="G10716">
        <v>84662859</v>
      </c>
      <c r="H10716">
        <v>84663027</v>
      </c>
      <c r="I10716">
        <v>84663071</v>
      </c>
    </row>
    <row r="10717" spans="1:9" x14ac:dyDescent="0.2">
      <c r="A10717" t="str">
        <f>"Ier3"</f>
        <v>Ier3</v>
      </c>
      <c r="B10717" t="s">
        <v>14</v>
      </c>
      <c r="C10717" t="s">
        <v>28</v>
      </c>
      <c r="D10717" t="s">
        <v>17</v>
      </c>
      <c r="E10717" t="s">
        <v>12</v>
      </c>
      <c r="F10717">
        <v>35821675</v>
      </c>
      <c r="G10717">
        <v>35821693</v>
      </c>
      <c r="H10717">
        <v>35821559</v>
      </c>
      <c r="I10717">
        <v>35821597</v>
      </c>
    </row>
    <row r="10718" spans="1:9" x14ac:dyDescent="0.2">
      <c r="A10718" t="str">
        <f>"Ier3ip1"</f>
        <v>Ier3ip1</v>
      </c>
      <c r="B10718" t="s">
        <v>14</v>
      </c>
      <c r="C10718" t="s">
        <v>43</v>
      </c>
      <c r="D10718" t="s">
        <v>17</v>
      </c>
      <c r="E10718" t="s">
        <v>12</v>
      </c>
      <c r="F10718">
        <v>76930021</v>
      </c>
      <c r="G10718">
        <v>76930101</v>
      </c>
      <c r="H10718">
        <v>76930021</v>
      </c>
      <c r="I10718">
        <v>76930101</v>
      </c>
    </row>
    <row r="10719" spans="1:9" x14ac:dyDescent="0.2">
      <c r="A10719" t="str">
        <f>"Ier5"</f>
        <v>Ier5</v>
      </c>
      <c r="B10719" t="s">
        <v>14</v>
      </c>
      <c r="C10719" t="s">
        <v>19</v>
      </c>
      <c r="D10719" t="s">
        <v>11</v>
      </c>
      <c r="E10719" t="s">
        <v>12</v>
      </c>
      <c r="F10719">
        <v>155099630</v>
      </c>
      <c r="G10719">
        <v>155099633</v>
      </c>
      <c r="H10719">
        <v>155099470</v>
      </c>
      <c r="I10719">
        <v>155099481</v>
      </c>
    </row>
    <row r="10720" spans="1:9" x14ac:dyDescent="0.2">
      <c r="A10720" t="str">
        <f>"Ier5l"</f>
        <v>Ier5l</v>
      </c>
      <c r="B10720" t="s">
        <v>14</v>
      </c>
      <c r="C10720" t="s">
        <v>26</v>
      </c>
      <c r="D10720" t="s">
        <v>11</v>
      </c>
      <c r="E10720" t="s">
        <v>12</v>
      </c>
      <c r="F10720">
        <v>30474212</v>
      </c>
      <c r="G10720">
        <v>30474222</v>
      </c>
      <c r="H10720">
        <v>30474212</v>
      </c>
      <c r="I10720">
        <v>30474222</v>
      </c>
    </row>
    <row r="10721" spans="1:9" x14ac:dyDescent="0.2">
      <c r="A10721" t="str">
        <f>"Iffo1"</f>
        <v>Iffo1</v>
      </c>
      <c r="B10721" t="s">
        <v>14</v>
      </c>
      <c r="C10721" t="s">
        <v>32</v>
      </c>
      <c r="D10721" t="s">
        <v>17</v>
      </c>
      <c r="E10721" t="s">
        <v>12</v>
      </c>
      <c r="F10721">
        <v>125145235</v>
      </c>
      <c r="G10721">
        <v>125145250</v>
      </c>
      <c r="H10721">
        <v>125145210</v>
      </c>
      <c r="I10721">
        <v>125145234</v>
      </c>
    </row>
    <row r="10722" spans="1:9" x14ac:dyDescent="0.2">
      <c r="A10722" t="str">
        <f>"Iffo2"</f>
        <v>Iffo2</v>
      </c>
      <c r="B10722" t="s">
        <v>14</v>
      </c>
      <c r="C10722" t="s">
        <v>23</v>
      </c>
      <c r="D10722" t="s">
        <v>17</v>
      </c>
      <c r="E10722" t="s">
        <v>12</v>
      </c>
      <c r="F10722">
        <v>139574644</v>
      </c>
      <c r="G10722">
        <v>139574690</v>
      </c>
      <c r="H10722">
        <v>139574697</v>
      </c>
      <c r="I10722">
        <v>139574725</v>
      </c>
    </row>
    <row r="10723" spans="1:9" x14ac:dyDescent="0.2">
      <c r="A10723" t="str">
        <f>"Ifi202b"</f>
        <v>Ifi202b</v>
      </c>
      <c r="B10723" t="s">
        <v>14</v>
      </c>
      <c r="C10723" t="s">
        <v>19</v>
      </c>
      <c r="D10723" t="s">
        <v>11</v>
      </c>
      <c r="E10723" t="s">
        <v>12</v>
      </c>
      <c r="F10723">
        <v>173982842</v>
      </c>
      <c r="G10723">
        <v>173982848</v>
      </c>
      <c r="H10723">
        <v>173982744</v>
      </c>
      <c r="I10723">
        <v>173982771</v>
      </c>
    </row>
    <row r="10724" spans="1:9" x14ac:dyDescent="0.2">
      <c r="A10724" t="str">
        <f>"Ifi203"</f>
        <v>Ifi203</v>
      </c>
      <c r="B10724" t="s">
        <v>14</v>
      </c>
      <c r="C10724" t="s">
        <v>19</v>
      </c>
      <c r="D10724" t="s">
        <v>11</v>
      </c>
      <c r="E10724" t="s">
        <v>12</v>
      </c>
      <c r="F10724">
        <v>173942445</v>
      </c>
      <c r="G10724">
        <v>173942472</v>
      </c>
      <c r="H10724">
        <v>173942445</v>
      </c>
      <c r="I10724">
        <v>173942472</v>
      </c>
    </row>
    <row r="10725" spans="1:9" x14ac:dyDescent="0.2">
      <c r="A10725" t="str">
        <f>"Ifi204"</f>
        <v>Ifi204</v>
      </c>
      <c r="B10725" t="s">
        <v>14</v>
      </c>
      <c r="C10725" t="s">
        <v>19</v>
      </c>
      <c r="D10725" t="s">
        <v>11</v>
      </c>
      <c r="E10725" t="s">
        <v>12</v>
      </c>
      <c r="F10725">
        <v>173766901</v>
      </c>
      <c r="G10725">
        <v>173766928</v>
      </c>
      <c r="H10725">
        <v>173766945</v>
      </c>
      <c r="I10725">
        <v>173766979</v>
      </c>
    </row>
    <row r="10726" spans="1:9" x14ac:dyDescent="0.2">
      <c r="A10726" t="str">
        <f>"Ifi205"</f>
        <v>Ifi205</v>
      </c>
      <c r="B10726" t="s">
        <v>14</v>
      </c>
      <c r="C10726" t="s">
        <v>19</v>
      </c>
      <c r="D10726" t="s">
        <v>11</v>
      </c>
      <c r="E10726" t="s">
        <v>12</v>
      </c>
      <c r="F10726">
        <v>174031797</v>
      </c>
      <c r="G10726">
        <v>174031827</v>
      </c>
      <c r="H10726">
        <v>174031836</v>
      </c>
      <c r="I10726">
        <v>174031845</v>
      </c>
    </row>
    <row r="10727" spans="1:9" x14ac:dyDescent="0.2">
      <c r="A10727" t="str">
        <f>"Ifi27"</f>
        <v>Ifi27</v>
      </c>
      <c r="B10727" t="s">
        <v>14</v>
      </c>
      <c r="C10727" t="s">
        <v>16</v>
      </c>
      <c r="D10727" t="s">
        <v>17</v>
      </c>
      <c r="E10727" t="s">
        <v>67</v>
      </c>
      <c r="F10727">
        <v>103434214</v>
      </c>
      <c r="G10727">
        <v>103434281</v>
      </c>
      <c r="H10727">
        <v>103434306</v>
      </c>
      <c r="I10727">
        <v>103434326</v>
      </c>
    </row>
    <row r="10728" spans="1:9" x14ac:dyDescent="0.2">
      <c r="A10728" t="str">
        <f>"Ifi27l2a"</f>
        <v>Ifi27l2a</v>
      </c>
      <c r="B10728" t="s">
        <v>14</v>
      </c>
      <c r="C10728" t="s">
        <v>16</v>
      </c>
      <c r="D10728" t="s">
        <v>11</v>
      </c>
      <c r="E10728" t="s">
        <v>12</v>
      </c>
      <c r="F10728">
        <v>103443653</v>
      </c>
      <c r="G10728">
        <v>103443673</v>
      </c>
      <c r="H10728">
        <v>103443653</v>
      </c>
      <c r="I10728">
        <v>103443673</v>
      </c>
    </row>
    <row r="10729" spans="1:9" x14ac:dyDescent="0.2">
      <c r="A10729" t="str">
        <f>"Ifi27l2b"</f>
        <v>Ifi27l2b</v>
      </c>
      <c r="B10729" t="s">
        <v>14</v>
      </c>
      <c r="C10729" t="s">
        <v>16</v>
      </c>
      <c r="D10729" t="s">
        <v>11</v>
      </c>
      <c r="E10729" t="s">
        <v>12</v>
      </c>
      <c r="F10729">
        <v>103457195</v>
      </c>
      <c r="G10729">
        <v>103457270</v>
      </c>
      <c r="H10729">
        <v>103457188</v>
      </c>
      <c r="I10729">
        <v>103457192</v>
      </c>
    </row>
    <row r="10730" spans="1:9" x14ac:dyDescent="0.2">
      <c r="A10730" t="str">
        <f>"Ifi30"</f>
        <v>Ifi30</v>
      </c>
      <c r="B10730" t="s">
        <v>14</v>
      </c>
      <c r="C10730" t="s">
        <v>30</v>
      </c>
      <c r="D10730" t="s">
        <v>11</v>
      </c>
      <c r="E10730" t="s">
        <v>12</v>
      </c>
      <c r="F10730">
        <v>70766654</v>
      </c>
      <c r="G10730">
        <v>70766671</v>
      </c>
      <c r="H10730">
        <v>70766654</v>
      </c>
      <c r="I10730">
        <v>70766671</v>
      </c>
    </row>
    <row r="10731" spans="1:9" x14ac:dyDescent="0.2">
      <c r="A10731" t="str">
        <f>"Ifi35"</f>
        <v>Ifi35</v>
      </c>
      <c r="B10731" t="s">
        <v>14</v>
      </c>
      <c r="C10731" t="s">
        <v>27</v>
      </c>
      <c r="D10731" t="s">
        <v>17</v>
      </c>
      <c r="E10731" t="s">
        <v>12</v>
      </c>
      <c r="F10731">
        <v>101448403</v>
      </c>
      <c r="G10731">
        <v>101448487</v>
      </c>
      <c r="H10731">
        <v>101448403</v>
      </c>
      <c r="I10731">
        <v>101448487</v>
      </c>
    </row>
    <row r="10732" spans="1:9" x14ac:dyDescent="0.2">
      <c r="A10732" t="str">
        <f>"Ifi44"</f>
        <v>Ifi44</v>
      </c>
      <c r="B10732" t="s">
        <v>14</v>
      </c>
      <c r="C10732" t="s">
        <v>22</v>
      </c>
      <c r="D10732" t="s">
        <v>11</v>
      </c>
      <c r="E10732" t="s">
        <v>12</v>
      </c>
      <c r="F10732">
        <v>151749877</v>
      </c>
      <c r="G10732">
        <v>151749919</v>
      </c>
      <c r="H10732">
        <v>151749960</v>
      </c>
      <c r="I10732">
        <v>151749961</v>
      </c>
    </row>
    <row r="10733" spans="1:9" x14ac:dyDescent="0.2">
      <c r="A10733" t="str">
        <f>"Ifi44l"</f>
        <v>Ifi44l</v>
      </c>
      <c r="B10733" t="s">
        <v>4168</v>
      </c>
      <c r="C10733" t="s">
        <v>22</v>
      </c>
      <c r="D10733" t="s">
        <v>11</v>
      </c>
      <c r="E10733" t="s">
        <v>20</v>
      </c>
      <c r="F10733">
        <v>151762905</v>
      </c>
      <c r="G10733">
        <v>151762905</v>
      </c>
      <c r="H10733">
        <v>151762905</v>
      </c>
      <c r="I10733">
        <v>151762905</v>
      </c>
    </row>
    <row r="10734" spans="1:9" x14ac:dyDescent="0.2">
      <c r="A10734" t="str">
        <f>"Ifi47"</f>
        <v>Ifi47</v>
      </c>
      <c r="B10734" t="s">
        <v>14</v>
      </c>
      <c r="C10734" t="s">
        <v>27</v>
      </c>
      <c r="D10734" t="s">
        <v>17</v>
      </c>
      <c r="E10734" t="s">
        <v>12</v>
      </c>
      <c r="F10734">
        <v>49087022</v>
      </c>
      <c r="G10734">
        <v>49087052</v>
      </c>
      <c r="H10734">
        <v>49087061</v>
      </c>
      <c r="I10734">
        <v>49087072</v>
      </c>
    </row>
    <row r="10735" spans="1:9" x14ac:dyDescent="0.2">
      <c r="A10735" t="str">
        <f>"Ifih1"</f>
        <v>Ifih1</v>
      </c>
      <c r="B10735" t="s">
        <v>14</v>
      </c>
      <c r="C10735" t="s">
        <v>26</v>
      </c>
      <c r="D10735" t="s">
        <v>11</v>
      </c>
      <c r="E10735" t="s">
        <v>12</v>
      </c>
      <c r="F10735">
        <v>62646146</v>
      </c>
      <c r="G10735">
        <v>62646234</v>
      </c>
      <c r="H10735">
        <v>62646146</v>
      </c>
      <c r="I10735">
        <v>62646234</v>
      </c>
    </row>
    <row r="10736" spans="1:9" x14ac:dyDescent="0.2">
      <c r="A10736" t="str">
        <f>"Ifit1"</f>
        <v>Ifit1</v>
      </c>
      <c r="B10736" t="s">
        <v>14</v>
      </c>
      <c r="C10736" t="s">
        <v>10</v>
      </c>
      <c r="D10736" t="s">
        <v>17</v>
      </c>
      <c r="E10736" t="s">
        <v>12</v>
      </c>
      <c r="F10736">
        <v>34640873</v>
      </c>
      <c r="G10736">
        <v>34640897</v>
      </c>
      <c r="H10736">
        <v>34640873</v>
      </c>
      <c r="I10736">
        <v>34640897</v>
      </c>
    </row>
    <row r="10737" spans="1:9" x14ac:dyDescent="0.2">
      <c r="A10737" t="str">
        <f>"Ifit2"</f>
        <v>Ifit2</v>
      </c>
      <c r="B10737" t="s">
        <v>14</v>
      </c>
      <c r="C10737" t="s">
        <v>10</v>
      </c>
      <c r="D10737" t="s">
        <v>17</v>
      </c>
      <c r="E10737" t="s">
        <v>12</v>
      </c>
      <c r="F10737">
        <v>34550664</v>
      </c>
      <c r="G10737">
        <v>34550702</v>
      </c>
      <c r="H10737">
        <v>34550664</v>
      </c>
      <c r="I10737">
        <v>34550702</v>
      </c>
    </row>
    <row r="10738" spans="1:9" x14ac:dyDescent="0.2">
      <c r="A10738" t="str">
        <f>"Ifit3"</f>
        <v>Ifit3</v>
      </c>
      <c r="B10738" t="s">
        <v>14</v>
      </c>
      <c r="C10738" t="s">
        <v>10</v>
      </c>
      <c r="D10738" t="s">
        <v>17</v>
      </c>
      <c r="E10738" t="s">
        <v>12</v>
      </c>
      <c r="F10738">
        <v>34583528</v>
      </c>
      <c r="G10738">
        <v>34583533</v>
      </c>
      <c r="H10738">
        <v>34583528</v>
      </c>
      <c r="I10738">
        <v>34583533</v>
      </c>
    </row>
    <row r="10739" spans="1:9" x14ac:dyDescent="0.2">
      <c r="A10739" t="str">
        <f>"Ifitm1"</f>
        <v>Ifitm1</v>
      </c>
      <c r="B10739" t="s">
        <v>14</v>
      </c>
      <c r="C10739" t="s">
        <v>33</v>
      </c>
      <c r="D10739" t="s">
        <v>17</v>
      </c>
      <c r="E10739" t="s">
        <v>12</v>
      </c>
      <c r="F10739">
        <v>140968220</v>
      </c>
      <c r="G10739">
        <v>140968237</v>
      </c>
      <c r="H10739">
        <v>140968112</v>
      </c>
      <c r="I10739">
        <v>140968153</v>
      </c>
    </row>
    <row r="10740" spans="1:9" x14ac:dyDescent="0.2">
      <c r="A10740" t="str">
        <f>"Ifitm10"</f>
        <v>Ifitm10</v>
      </c>
      <c r="B10740" t="s">
        <v>14</v>
      </c>
      <c r="C10740" t="s">
        <v>33</v>
      </c>
      <c r="D10740" t="s">
        <v>11</v>
      </c>
      <c r="E10740" t="s">
        <v>67</v>
      </c>
      <c r="F10740">
        <v>142372210</v>
      </c>
      <c r="G10740">
        <v>142372292</v>
      </c>
      <c r="H10740">
        <v>142372210</v>
      </c>
      <c r="I10740">
        <v>142372292</v>
      </c>
    </row>
    <row r="10741" spans="1:9" x14ac:dyDescent="0.2">
      <c r="A10741" t="str">
        <f>"Ifitm2"</f>
        <v>Ifitm2</v>
      </c>
      <c r="B10741" t="s">
        <v>14</v>
      </c>
      <c r="C10741" t="s">
        <v>33</v>
      </c>
      <c r="D10741" t="s">
        <v>11</v>
      </c>
      <c r="E10741" t="s">
        <v>12</v>
      </c>
      <c r="F10741">
        <v>140955960</v>
      </c>
      <c r="G10741">
        <v>140955997</v>
      </c>
      <c r="H10741">
        <v>140956003</v>
      </c>
      <c r="I10741">
        <v>140956014</v>
      </c>
    </row>
    <row r="10742" spans="1:9" x14ac:dyDescent="0.2">
      <c r="A10742" t="str">
        <f>"Ifitm3"</f>
        <v>Ifitm3</v>
      </c>
      <c r="B10742" t="s">
        <v>14</v>
      </c>
      <c r="C10742" t="s">
        <v>33</v>
      </c>
      <c r="D10742" t="s">
        <v>11</v>
      </c>
      <c r="E10742" t="s">
        <v>12</v>
      </c>
      <c r="F10742">
        <v>141010692</v>
      </c>
      <c r="G10742">
        <v>141010746</v>
      </c>
      <c r="H10742">
        <v>141010660</v>
      </c>
      <c r="I10742">
        <v>141010685</v>
      </c>
    </row>
    <row r="10743" spans="1:9" x14ac:dyDescent="0.2">
      <c r="A10743" t="str">
        <f>"Ifitm5"</f>
        <v>Ifitm5</v>
      </c>
      <c r="B10743" t="s">
        <v>14</v>
      </c>
      <c r="C10743" t="s">
        <v>33</v>
      </c>
      <c r="D10743" t="s">
        <v>11</v>
      </c>
      <c r="E10743" t="s">
        <v>12</v>
      </c>
      <c r="F10743">
        <v>140950236</v>
      </c>
      <c r="G10743">
        <v>140950257</v>
      </c>
      <c r="H10743">
        <v>140950282</v>
      </c>
      <c r="I10743">
        <v>140950291</v>
      </c>
    </row>
    <row r="10744" spans="1:9" x14ac:dyDescent="0.2">
      <c r="A10744" t="str">
        <f>"Ifitm6"</f>
        <v>Ifitm6</v>
      </c>
      <c r="B10744" t="s">
        <v>14</v>
      </c>
      <c r="C10744" t="s">
        <v>33</v>
      </c>
      <c r="D10744" t="s">
        <v>11</v>
      </c>
      <c r="E10744" t="s">
        <v>12</v>
      </c>
      <c r="F10744">
        <v>141016898</v>
      </c>
      <c r="G10744">
        <v>141016915</v>
      </c>
      <c r="H10744">
        <v>141016898</v>
      </c>
      <c r="I10744">
        <v>141016915</v>
      </c>
    </row>
    <row r="10745" spans="1:9" x14ac:dyDescent="0.2">
      <c r="A10745" t="str">
        <f>"Ifitm7"</f>
        <v>Ifitm7</v>
      </c>
      <c r="B10745" t="s">
        <v>14</v>
      </c>
      <c r="C10745" t="s">
        <v>31</v>
      </c>
      <c r="D10745" t="s">
        <v>11</v>
      </c>
      <c r="E10745" t="s">
        <v>12</v>
      </c>
      <c r="F10745">
        <v>13986874</v>
      </c>
      <c r="G10745">
        <v>13986906</v>
      </c>
      <c r="H10745">
        <v>13986913</v>
      </c>
      <c r="I10745">
        <v>13986933</v>
      </c>
    </row>
    <row r="10746" spans="1:9" x14ac:dyDescent="0.2">
      <c r="A10746" t="str">
        <f>"Ifltd1"</f>
        <v>Ifltd1</v>
      </c>
      <c r="B10746" t="s">
        <v>14</v>
      </c>
      <c r="C10746" t="s">
        <v>32</v>
      </c>
      <c r="D10746" t="s">
        <v>11</v>
      </c>
      <c r="E10746" t="s">
        <v>12</v>
      </c>
      <c r="F10746">
        <v>145450753</v>
      </c>
      <c r="G10746">
        <v>145450767</v>
      </c>
      <c r="H10746">
        <v>145450753</v>
      </c>
      <c r="I10746">
        <v>145450767</v>
      </c>
    </row>
    <row r="10747" spans="1:9" x14ac:dyDescent="0.2">
      <c r="A10747" t="str">
        <f>"Ifna1"</f>
        <v>Ifna1</v>
      </c>
      <c r="B10747" t="s">
        <v>4169</v>
      </c>
      <c r="C10747" t="s">
        <v>23</v>
      </c>
      <c r="D10747" t="s">
        <v>17</v>
      </c>
      <c r="E10747" t="s">
        <v>20</v>
      </c>
      <c r="F10747">
        <v>88850086</v>
      </c>
      <c r="G10747">
        <v>88850086</v>
      </c>
      <c r="H10747">
        <v>88850086</v>
      </c>
      <c r="I10747">
        <v>88850086</v>
      </c>
    </row>
    <row r="10748" spans="1:9" x14ac:dyDescent="0.2">
      <c r="A10748" t="str">
        <f>"Ifna11"</f>
        <v>Ifna11</v>
      </c>
      <c r="B10748" t="s">
        <v>4170</v>
      </c>
      <c r="C10748" t="s">
        <v>23</v>
      </c>
      <c r="D10748" t="s">
        <v>17</v>
      </c>
      <c r="E10748" t="s">
        <v>20</v>
      </c>
      <c r="F10748">
        <v>88819918</v>
      </c>
      <c r="G10748">
        <v>88819918</v>
      </c>
      <c r="H10748">
        <v>88819918</v>
      </c>
      <c r="I10748">
        <v>88819918</v>
      </c>
    </row>
    <row r="10749" spans="1:9" x14ac:dyDescent="0.2">
      <c r="A10749" t="str">
        <f>"Ifna12"</f>
        <v>Ifna12</v>
      </c>
      <c r="B10749" t="s">
        <v>4171</v>
      </c>
      <c r="C10749" t="s">
        <v>23</v>
      </c>
      <c r="D10749" t="s">
        <v>11</v>
      </c>
      <c r="E10749" t="s">
        <v>20</v>
      </c>
      <c r="F10749">
        <v>88603375</v>
      </c>
      <c r="G10749">
        <v>88603375</v>
      </c>
      <c r="H10749">
        <v>88603375</v>
      </c>
      <c r="I10749">
        <v>88603375</v>
      </c>
    </row>
    <row r="10750" spans="1:9" x14ac:dyDescent="0.2">
      <c r="A10750" t="str">
        <f>"Ifna13"</f>
        <v>Ifna13</v>
      </c>
      <c r="B10750" t="s">
        <v>4172</v>
      </c>
      <c r="C10750" t="s">
        <v>23</v>
      </c>
      <c r="D10750" t="s">
        <v>11</v>
      </c>
      <c r="E10750" t="s">
        <v>20</v>
      </c>
      <c r="F10750">
        <v>88644458</v>
      </c>
      <c r="G10750">
        <v>88644458</v>
      </c>
      <c r="H10750">
        <v>88644458</v>
      </c>
      <c r="I10750">
        <v>88644458</v>
      </c>
    </row>
    <row r="10751" spans="1:9" x14ac:dyDescent="0.2">
      <c r="A10751" t="str">
        <f>"Ifna14"</f>
        <v>Ifna14</v>
      </c>
      <c r="B10751" t="s">
        <v>4173</v>
      </c>
      <c r="C10751" t="s">
        <v>23</v>
      </c>
      <c r="D10751" t="s">
        <v>11</v>
      </c>
      <c r="E10751" t="s">
        <v>20</v>
      </c>
      <c r="F10751">
        <v>88571797</v>
      </c>
      <c r="G10751">
        <v>88571797</v>
      </c>
      <c r="H10751">
        <v>88571797</v>
      </c>
      <c r="I10751">
        <v>88571797</v>
      </c>
    </row>
    <row r="10752" spans="1:9" x14ac:dyDescent="0.2">
      <c r="A10752" t="str">
        <f>"Ifna2"</f>
        <v>Ifna2</v>
      </c>
      <c r="B10752" t="s">
        <v>4174</v>
      </c>
      <c r="C10752" t="s">
        <v>23</v>
      </c>
      <c r="D10752" t="s">
        <v>11</v>
      </c>
      <c r="E10752" t="s">
        <v>20</v>
      </c>
      <c r="F10752">
        <v>88683911</v>
      </c>
      <c r="G10752">
        <v>88683911</v>
      </c>
      <c r="H10752">
        <v>88683911</v>
      </c>
      <c r="I10752">
        <v>88683911</v>
      </c>
    </row>
    <row r="10753" spans="1:9" x14ac:dyDescent="0.2">
      <c r="A10753" t="str">
        <f>"Ifna4"</f>
        <v>Ifna4</v>
      </c>
      <c r="B10753" t="s">
        <v>4175</v>
      </c>
      <c r="C10753" t="s">
        <v>23</v>
      </c>
      <c r="D10753" t="s">
        <v>17</v>
      </c>
      <c r="E10753" t="s">
        <v>20</v>
      </c>
      <c r="F10753">
        <v>88841815</v>
      </c>
      <c r="G10753">
        <v>88841815</v>
      </c>
      <c r="H10753">
        <v>88841815</v>
      </c>
      <c r="I10753">
        <v>88841815</v>
      </c>
    </row>
    <row r="10754" spans="1:9" x14ac:dyDescent="0.2">
      <c r="A10754" t="str">
        <f>"Ifna5"</f>
        <v>Ifna5</v>
      </c>
      <c r="B10754" t="s">
        <v>4176</v>
      </c>
      <c r="C10754" t="s">
        <v>23</v>
      </c>
      <c r="D10754" t="s">
        <v>17</v>
      </c>
      <c r="E10754" t="s">
        <v>20</v>
      </c>
      <c r="F10754">
        <v>88835524</v>
      </c>
      <c r="G10754">
        <v>88835524</v>
      </c>
      <c r="H10754">
        <v>88835524</v>
      </c>
      <c r="I10754">
        <v>88835524</v>
      </c>
    </row>
    <row r="10755" spans="1:9" x14ac:dyDescent="0.2">
      <c r="A10755" t="str">
        <f>"Ifna6"</f>
        <v>Ifna6</v>
      </c>
      <c r="B10755" t="s">
        <v>4177</v>
      </c>
      <c r="C10755" t="s">
        <v>23</v>
      </c>
      <c r="D10755" t="s">
        <v>17</v>
      </c>
      <c r="E10755" t="s">
        <v>20</v>
      </c>
      <c r="F10755">
        <v>88827275</v>
      </c>
      <c r="G10755">
        <v>88827275</v>
      </c>
      <c r="H10755">
        <v>88827275</v>
      </c>
      <c r="I10755">
        <v>88827275</v>
      </c>
    </row>
    <row r="10756" spans="1:9" x14ac:dyDescent="0.2">
      <c r="A10756" t="str">
        <f>"Ifna7"</f>
        <v>Ifna7</v>
      </c>
      <c r="B10756" t="s">
        <v>4178</v>
      </c>
      <c r="C10756" t="s">
        <v>23</v>
      </c>
      <c r="D10756" t="s">
        <v>17</v>
      </c>
      <c r="E10756" t="s">
        <v>20</v>
      </c>
      <c r="F10756">
        <v>88816224</v>
      </c>
      <c r="G10756">
        <v>88816224</v>
      </c>
      <c r="H10756">
        <v>88816224</v>
      </c>
      <c r="I10756">
        <v>88816224</v>
      </c>
    </row>
    <row r="10757" spans="1:9" x14ac:dyDescent="0.2">
      <c r="A10757" t="str">
        <f>"Ifna9"</f>
        <v>Ifna9</v>
      </c>
      <c r="B10757" t="s">
        <v>4179</v>
      </c>
      <c r="C10757" t="s">
        <v>23</v>
      </c>
      <c r="D10757" t="s">
        <v>11</v>
      </c>
      <c r="E10757" t="s">
        <v>20</v>
      </c>
      <c r="F10757">
        <v>88592384</v>
      </c>
      <c r="G10757">
        <v>88592384</v>
      </c>
      <c r="H10757">
        <v>88592384</v>
      </c>
      <c r="I10757">
        <v>88592384</v>
      </c>
    </row>
    <row r="10758" spans="1:9" x14ac:dyDescent="0.2">
      <c r="A10758" t="str">
        <f>"Ifnab"</f>
        <v>Ifnab</v>
      </c>
      <c r="B10758" t="s">
        <v>4180</v>
      </c>
      <c r="C10758" t="s">
        <v>23</v>
      </c>
      <c r="D10758" t="s">
        <v>11</v>
      </c>
      <c r="E10758" t="s">
        <v>20</v>
      </c>
      <c r="F10758">
        <v>88691267</v>
      </c>
      <c r="G10758">
        <v>88691267</v>
      </c>
      <c r="H10758">
        <v>88691267</v>
      </c>
      <c r="I10758">
        <v>88691267</v>
      </c>
    </row>
    <row r="10759" spans="1:9" x14ac:dyDescent="0.2">
      <c r="A10759" t="str">
        <f>"Ifnar1"</f>
        <v>Ifnar1</v>
      </c>
      <c r="B10759" t="s">
        <v>14</v>
      </c>
      <c r="C10759" t="s">
        <v>31</v>
      </c>
      <c r="D10759" t="s">
        <v>17</v>
      </c>
      <c r="E10759" t="s">
        <v>12</v>
      </c>
      <c r="F10759">
        <v>91485233</v>
      </c>
      <c r="G10759">
        <v>91485294</v>
      </c>
      <c r="H10759">
        <v>91485067</v>
      </c>
      <c r="I10759">
        <v>91485105</v>
      </c>
    </row>
    <row r="10760" spans="1:9" x14ac:dyDescent="0.2">
      <c r="A10760" t="str">
        <f>"Ifnar2"</f>
        <v>Ifnar2</v>
      </c>
      <c r="B10760" t="s">
        <v>14</v>
      </c>
      <c r="C10760" t="s">
        <v>31</v>
      </c>
      <c r="D10760" t="s">
        <v>17</v>
      </c>
      <c r="E10760" t="s">
        <v>12</v>
      </c>
      <c r="F10760">
        <v>91372786</v>
      </c>
      <c r="G10760">
        <v>91372864</v>
      </c>
      <c r="H10760">
        <v>91372865</v>
      </c>
      <c r="I10760">
        <v>91372878</v>
      </c>
    </row>
    <row r="10761" spans="1:9" x14ac:dyDescent="0.2">
      <c r="A10761" t="str">
        <f>"Ifnb1"</f>
        <v>Ifnb1</v>
      </c>
      <c r="B10761" t="s">
        <v>14</v>
      </c>
      <c r="C10761" t="s">
        <v>23</v>
      </c>
      <c r="D10761" t="s">
        <v>11</v>
      </c>
      <c r="E10761" t="s">
        <v>12</v>
      </c>
      <c r="F10761">
        <v>88522842</v>
      </c>
      <c r="G10761">
        <v>88522847</v>
      </c>
      <c r="H10761">
        <v>88522842</v>
      </c>
      <c r="I10761">
        <v>88522847</v>
      </c>
    </row>
    <row r="10762" spans="1:9" x14ac:dyDescent="0.2">
      <c r="A10762" t="str">
        <f>"Ifne"</f>
        <v>Ifne</v>
      </c>
      <c r="B10762" t="s">
        <v>14</v>
      </c>
      <c r="C10762" t="s">
        <v>23</v>
      </c>
      <c r="D10762" t="s">
        <v>11</v>
      </c>
      <c r="E10762" t="s">
        <v>12</v>
      </c>
      <c r="F10762">
        <v>88880206</v>
      </c>
      <c r="G10762">
        <v>88880228</v>
      </c>
      <c r="H10762">
        <v>88880253</v>
      </c>
      <c r="I10762">
        <v>88880254</v>
      </c>
    </row>
    <row r="10763" spans="1:9" x14ac:dyDescent="0.2">
      <c r="A10763" t="str">
        <f>"Ifng"</f>
        <v>Ifng</v>
      </c>
      <c r="B10763" t="s">
        <v>14</v>
      </c>
      <c r="C10763" t="s">
        <v>15</v>
      </c>
      <c r="D10763" t="s">
        <v>17</v>
      </c>
      <c r="E10763" t="s">
        <v>12</v>
      </c>
      <c r="F10763">
        <v>118441044</v>
      </c>
      <c r="G10763">
        <v>118441050</v>
      </c>
      <c r="H10763">
        <v>118441044</v>
      </c>
      <c r="I10763">
        <v>118441050</v>
      </c>
    </row>
    <row r="10764" spans="1:9" x14ac:dyDescent="0.2">
      <c r="A10764" t="str">
        <f>"Ifngr1"</f>
        <v>Ifngr1</v>
      </c>
      <c r="B10764" t="s">
        <v>14</v>
      </c>
      <c r="C10764" t="s">
        <v>15</v>
      </c>
      <c r="D10764" t="s">
        <v>17</v>
      </c>
      <c r="E10764" t="s">
        <v>12</v>
      </c>
      <c r="F10764">
        <v>19591952</v>
      </c>
      <c r="G10764">
        <v>19592087</v>
      </c>
      <c r="H10764">
        <v>19591952</v>
      </c>
      <c r="I10764">
        <v>19592087</v>
      </c>
    </row>
    <row r="10765" spans="1:9" x14ac:dyDescent="0.2">
      <c r="A10765" t="str">
        <f>"Ifngr2"</f>
        <v>Ifngr2</v>
      </c>
      <c r="B10765" t="s">
        <v>9</v>
      </c>
      <c r="C10765" t="s">
        <v>31</v>
      </c>
      <c r="D10765" t="s">
        <v>17</v>
      </c>
      <c r="E10765" t="s">
        <v>12</v>
      </c>
      <c r="F10765">
        <v>91547048</v>
      </c>
      <c r="G10765">
        <v>91547114</v>
      </c>
      <c r="H10765">
        <v>91547048</v>
      </c>
      <c r="I10765">
        <v>91547114</v>
      </c>
    </row>
    <row r="10766" spans="1:9" x14ac:dyDescent="0.2">
      <c r="A10766" t="str">
        <f>"Ifngr2"</f>
        <v>Ifngr2</v>
      </c>
      <c r="B10766" t="s">
        <v>13</v>
      </c>
      <c r="C10766" t="s">
        <v>31</v>
      </c>
      <c r="D10766" t="s">
        <v>17</v>
      </c>
      <c r="E10766" t="s">
        <v>12</v>
      </c>
      <c r="F10766">
        <v>91561316</v>
      </c>
      <c r="G10766">
        <v>91561331</v>
      </c>
      <c r="H10766">
        <v>91561316</v>
      </c>
      <c r="I10766">
        <v>91561331</v>
      </c>
    </row>
    <row r="10767" spans="1:9" x14ac:dyDescent="0.2">
      <c r="A10767" t="str">
        <f>"Ifnk"</f>
        <v>Ifnk</v>
      </c>
      <c r="B10767" t="s">
        <v>14</v>
      </c>
      <c r="C10767" t="s">
        <v>23</v>
      </c>
      <c r="D10767" t="s">
        <v>17</v>
      </c>
      <c r="E10767" t="s">
        <v>12</v>
      </c>
      <c r="F10767">
        <v>35152028</v>
      </c>
      <c r="G10767">
        <v>35152029</v>
      </c>
      <c r="H10767">
        <v>35152028</v>
      </c>
      <c r="I10767">
        <v>35152029</v>
      </c>
    </row>
    <row r="10768" spans="1:9" x14ac:dyDescent="0.2">
      <c r="A10768" t="str">
        <f>"Ifnl2"</f>
        <v>Ifnl2</v>
      </c>
      <c r="B10768" t="s">
        <v>4181</v>
      </c>
      <c r="C10768" t="s">
        <v>33</v>
      </c>
      <c r="D10768" t="s">
        <v>11</v>
      </c>
      <c r="E10768" t="s">
        <v>20</v>
      </c>
      <c r="F10768">
        <v>28510454</v>
      </c>
      <c r="G10768">
        <v>28510454</v>
      </c>
      <c r="H10768">
        <v>28510454</v>
      </c>
      <c r="I10768">
        <v>28510454</v>
      </c>
    </row>
    <row r="10769" spans="1:9" x14ac:dyDescent="0.2">
      <c r="A10769" t="str">
        <f>"Ifnl3"</f>
        <v>Ifnl3</v>
      </c>
      <c r="B10769" t="s">
        <v>4182</v>
      </c>
      <c r="C10769" t="s">
        <v>33</v>
      </c>
      <c r="D10769" t="s">
        <v>17</v>
      </c>
      <c r="E10769" t="s">
        <v>20</v>
      </c>
      <c r="F10769">
        <v>28522835</v>
      </c>
      <c r="G10769">
        <v>28522835</v>
      </c>
      <c r="H10769">
        <v>28522835</v>
      </c>
      <c r="I10769">
        <v>28522835</v>
      </c>
    </row>
    <row r="10770" spans="1:9" x14ac:dyDescent="0.2">
      <c r="A10770" t="str">
        <f>"Ifnlr1"</f>
        <v>Ifnlr1</v>
      </c>
      <c r="B10770" t="s">
        <v>14</v>
      </c>
      <c r="C10770" t="s">
        <v>23</v>
      </c>
      <c r="D10770" t="s">
        <v>17</v>
      </c>
      <c r="E10770" t="s">
        <v>67</v>
      </c>
      <c r="F10770">
        <v>135686455</v>
      </c>
      <c r="G10770">
        <v>135686496</v>
      </c>
      <c r="H10770">
        <v>135686196</v>
      </c>
      <c r="I10770">
        <v>135686240</v>
      </c>
    </row>
    <row r="10771" spans="1:9" x14ac:dyDescent="0.2">
      <c r="A10771" t="str">
        <f>"Ifnz"</f>
        <v>Ifnz</v>
      </c>
      <c r="B10771" t="s">
        <v>4183</v>
      </c>
      <c r="C10771" t="s">
        <v>23</v>
      </c>
      <c r="D10771" t="s">
        <v>17</v>
      </c>
      <c r="E10771" t="s">
        <v>20</v>
      </c>
      <c r="F10771">
        <v>88782130</v>
      </c>
      <c r="G10771">
        <v>88782130</v>
      </c>
      <c r="H10771">
        <v>88782130</v>
      </c>
      <c r="I10771">
        <v>88782130</v>
      </c>
    </row>
    <row r="10772" spans="1:9" x14ac:dyDescent="0.2">
      <c r="A10772" t="str">
        <f>"Ifrd1"</f>
        <v>Ifrd1</v>
      </c>
      <c r="B10772" t="s">
        <v>9</v>
      </c>
      <c r="C10772" t="s">
        <v>16</v>
      </c>
      <c r="D10772" t="s">
        <v>11</v>
      </c>
      <c r="E10772" t="s">
        <v>12</v>
      </c>
      <c r="F10772">
        <v>40223174</v>
      </c>
      <c r="G10772">
        <v>40223192</v>
      </c>
      <c r="H10772">
        <v>40223174</v>
      </c>
      <c r="I10772">
        <v>40223192</v>
      </c>
    </row>
    <row r="10773" spans="1:9" x14ac:dyDescent="0.2">
      <c r="A10773" t="str">
        <f>"Ifrd1"</f>
        <v>Ifrd1</v>
      </c>
      <c r="B10773" t="s">
        <v>13</v>
      </c>
      <c r="C10773" t="s">
        <v>16</v>
      </c>
      <c r="D10773" t="s">
        <v>11</v>
      </c>
      <c r="E10773" t="s">
        <v>12</v>
      </c>
      <c r="F10773">
        <v>40248019</v>
      </c>
      <c r="G10773">
        <v>40248067</v>
      </c>
      <c r="H10773">
        <v>40248019</v>
      </c>
      <c r="I10773">
        <v>40248067</v>
      </c>
    </row>
    <row r="10774" spans="1:9" x14ac:dyDescent="0.2">
      <c r="A10774" t="str">
        <f>"Ifrd2"</f>
        <v>Ifrd2</v>
      </c>
      <c r="B10774" t="s">
        <v>14</v>
      </c>
      <c r="C10774" t="s">
        <v>24</v>
      </c>
      <c r="D10774" t="s">
        <v>17</v>
      </c>
      <c r="E10774" t="s">
        <v>12</v>
      </c>
      <c r="F10774">
        <v>107587711</v>
      </c>
      <c r="G10774">
        <v>107587746</v>
      </c>
      <c r="H10774">
        <v>107587757</v>
      </c>
      <c r="I10774">
        <v>107587801</v>
      </c>
    </row>
    <row r="10775" spans="1:9" x14ac:dyDescent="0.2">
      <c r="A10775" t="str">
        <f>"Ift122"</f>
        <v>Ift122</v>
      </c>
      <c r="B10775" t="s">
        <v>14</v>
      </c>
      <c r="C10775" t="s">
        <v>32</v>
      </c>
      <c r="D10775" t="s">
        <v>17</v>
      </c>
      <c r="E10775" t="s">
        <v>12</v>
      </c>
      <c r="F10775">
        <v>115853548</v>
      </c>
      <c r="G10775">
        <v>115853598</v>
      </c>
      <c r="H10775">
        <v>115853600</v>
      </c>
      <c r="I10775">
        <v>115853615</v>
      </c>
    </row>
    <row r="10776" spans="1:9" x14ac:dyDescent="0.2">
      <c r="A10776" t="str">
        <f>"Ift140"</f>
        <v>Ift140</v>
      </c>
      <c r="B10776" t="s">
        <v>14</v>
      </c>
      <c r="C10776" t="s">
        <v>28</v>
      </c>
      <c r="D10776" t="s">
        <v>17</v>
      </c>
      <c r="E10776" t="s">
        <v>12</v>
      </c>
      <c r="F10776">
        <v>25016343</v>
      </c>
      <c r="G10776">
        <v>25016423</v>
      </c>
      <c r="H10776">
        <v>25016506</v>
      </c>
      <c r="I10776">
        <v>25016579</v>
      </c>
    </row>
    <row r="10777" spans="1:9" x14ac:dyDescent="0.2">
      <c r="A10777" t="str">
        <f>"Ift172"</f>
        <v>Ift172</v>
      </c>
      <c r="B10777" t="s">
        <v>14</v>
      </c>
      <c r="C10777" t="s">
        <v>46</v>
      </c>
      <c r="D10777" t="s">
        <v>11</v>
      </c>
      <c r="E10777" t="s">
        <v>12</v>
      </c>
      <c r="F10777">
        <v>31291026</v>
      </c>
      <c r="G10777">
        <v>31291143</v>
      </c>
      <c r="H10777">
        <v>31291026</v>
      </c>
      <c r="I10777">
        <v>31291143</v>
      </c>
    </row>
    <row r="10778" spans="1:9" x14ac:dyDescent="0.2">
      <c r="A10778" t="str">
        <f>"Ift20"</f>
        <v>Ift20</v>
      </c>
      <c r="B10778" t="s">
        <v>14</v>
      </c>
      <c r="C10778" t="s">
        <v>27</v>
      </c>
      <c r="D10778" t="s">
        <v>17</v>
      </c>
      <c r="E10778" t="s">
        <v>12</v>
      </c>
      <c r="F10778">
        <v>78536393</v>
      </c>
      <c r="G10778">
        <v>78536492</v>
      </c>
      <c r="H10778">
        <v>78536499</v>
      </c>
      <c r="I10778">
        <v>78536514</v>
      </c>
    </row>
    <row r="10779" spans="1:9" x14ac:dyDescent="0.2">
      <c r="A10779" t="str">
        <f>"Ift27"</f>
        <v>Ift27</v>
      </c>
      <c r="B10779" t="s">
        <v>14</v>
      </c>
      <c r="C10779" t="s">
        <v>25</v>
      </c>
      <c r="D10779" t="s">
        <v>11</v>
      </c>
      <c r="E10779" t="s">
        <v>12</v>
      </c>
      <c r="F10779">
        <v>78174026</v>
      </c>
      <c r="G10779">
        <v>78174089</v>
      </c>
      <c r="H10779">
        <v>78173956</v>
      </c>
      <c r="I10779">
        <v>78173988</v>
      </c>
    </row>
    <row r="10780" spans="1:9" x14ac:dyDescent="0.2">
      <c r="A10780" t="str">
        <f>"Ift43"</f>
        <v>Ift43</v>
      </c>
      <c r="B10780" t="s">
        <v>14</v>
      </c>
      <c r="C10780" t="s">
        <v>16</v>
      </c>
      <c r="D10780" t="s">
        <v>17</v>
      </c>
      <c r="E10780" t="s">
        <v>67</v>
      </c>
      <c r="F10780">
        <v>86082555</v>
      </c>
      <c r="G10780">
        <v>86082603</v>
      </c>
      <c r="H10780">
        <v>86082555</v>
      </c>
      <c r="I10780">
        <v>86082603</v>
      </c>
    </row>
    <row r="10781" spans="1:9" x14ac:dyDescent="0.2">
      <c r="A10781" t="str">
        <f>"Ift46"</f>
        <v>Ift46</v>
      </c>
      <c r="B10781" t="s">
        <v>14</v>
      </c>
      <c r="C10781" t="s">
        <v>24</v>
      </c>
      <c r="D10781" t="s">
        <v>17</v>
      </c>
      <c r="E10781" t="s">
        <v>12</v>
      </c>
      <c r="F10781">
        <v>44773027</v>
      </c>
      <c r="G10781">
        <v>44773067</v>
      </c>
      <c r="H10781">
        <v>44772988</v>
      </c>
      <c r="I10781">
        <v>44773015</v>
      </c>
    </row>
    <row r="10782" spans="1:9" x14ac:dyDescent="0.2">
      <c r="A10782" t="str">
        <f>"Ift52"</f>
        <v>Ift52</v>
      </c>
      <c r="B10782" t="s">
        <v>14</v>
      </c>
      <c r="C10782" t="s">
        <v>26</v>
      </c>
      <c r="D10782" t="s">
        <v>17</v>
      </c>
      <c r="E10782" t="s">
        <v>12</v>
      </c>
      <c r="F10782">
        <v>163017450</v>
      </c>
      <c r="G10782">
        <v>163017513</v>
      </c>
      <c r="H10782">
        <v>163017450</v>
      </c>
      <c r="I10782">
        <v>163017513</v>
      </c>
    </row>
    <row r="10783" spans="1:9" x14ac:dyDescent="0.2">
      <c r="A10783" t="str">
        <f>"Ift57"</f>
        <v>Ift57</v>
      </c>
      <c r="B10783" t="s">
        <v>14</v>
      </c>
      <c r="C10783" t="s">
        <v>31</v>
      </c>
      <c r="D10783" t="s">
        <v>17</v>
      </c>
      <c r="E10783" t="s">
        <v>12</v>
      </c>
      <c r="F10783">
        <v>49699198</v>
      </c>
      <c r="G10783">
        <v>49699299</v>
      </c>
      <c r="H10783">
        <v>49699447</v>
      </c>
      <c r="I10783">
        <v>49699459</v>
      </c>
    </row>
    <row r="10784" spans="1:9" x14ac:dyDescent="0.2">
      <c r="A10784" t="str">
        <f>"Ift74"</f>
        <v>Ift74</v>
      </c>
      <c r="B10784" t="s">
        <v>14</v>
      </c>
      <c r="C10784" t="s">
        <v>23</v>
      </c>
      <c r="D10784" t="s">
        <v>17</v>
      </c>
      <c r="E10784" t="s">
        <v>12</v>
      </c>
      <c r="F10784">
        <v>94614514</v>
      </c>
      <c r="G10784">
        <v>94614570</v>
      </c>
      <c r="H10784">
        <v>94614483</v>
      </c>
      <c r="I10784">
        <v>94614500</v>
      </c>
    </row>
    <row r="10785" spans="1:9" x14ac:dyDescent="0.2">
      <c r="A10785" t="str">
        <f>"Ift80"</f>
        <v>Ift80</v>
      </c>
      <c r="B10785" t="s">
        <v>14</v>
      </c>
      <c r="C10785" t="s">
        <v>22</v>
      </c>
      <c r="D10785" t="s">
        <v>11</v>
      </c>
      <c r="E10785" t="s">
        <v>12</v>
      </c>
      <c r="F10785">
        <v>69004503</v>
      </c>
      <c r="G10785">
        <v>69004545</v>
      </c>
      <c r="H10785">
        <v>69004475</v>
      </c>
      <c r="I10785">
        <v>69004499</v>
      </c>
    </row>
    <row r="10786" spans="1:9" x14ac:dyDescent="0.2">
      <c r="A10786" t="str">
        <f>"Ift81"</f>
        <v>Ift81</v>
      </c>
      <c r="B10786" t="s">
        <v>14</v>
      </c>
      <c r="C10786" t="s">
        <v>46</v>
      </c>
      <c r="D10786" t="s">
        <v>11</v>
      </c>
      <c r="E10786" t="s">
        <v>12</v>
      </c>
      <c r="F10786">
        <v>122614486</v>
      </c>
      <c r="G10786">
        <v>122614544</v>
      </c>
      <c r="H10786">
        <v>122614486</v>
      </c>
      <c r="I10786">
        <v>122614544</v>
      </c>
    </row>
    <row r="10787" spans="1:9" x14ac:dyDescent="0.2">
      <c r="A10787" t="str">
        <f>"Ift88"</f>
        <v>Ift88</v>
      </c>
      <c r="B10787" t="s">
        <v>14</v>
      </c>
      <c r="C10787" t="s">
        <v>41</v>
      </c>
      <c r="D10787" t="s">
        <v>17</v>
      </c>
      <c r="E10787" t="s">
        <v>12</v>
      </c>
      <c r="F10787">
        <v>57424054</v>
      </c>
      <c r="G10787">
        <v>57424093</v>
      </c>
      <c r="H10787">
        <v>57424094</v>
      </c>
      <c r="I10787">
        <v>57424111</v>
      </c>
    </row>
    <row r="10788" spans="1:9" x14ac:dyDescent="0.2">
      <c r="A10788" t="str">
        <f>"Igbp1"</f>
        <v>Igbp1</v>
      </c>
      <c r="B10788" t="s">
        <v>14</v>
      </c>
      <c r="C10788" t="s">
        <v>37</v>
      </c>
      <c r="D10788" t="s">
        <v>17</v>
      </c>
      <c r="E10788" t="s">
        <v>12</v>
      </c>
      <c r="F10788">
        <v>100494334</v>
      </c>
      <c r="G10788">
        <v>100494366</v>
      </c>
      <c r="H10788">
        <v>100494334</v>
      </c>
      <c r="I10788">
        <v>100494366</v>
      </c>
    </row>
    <row r="10789" spans="1:9" x14ac:dyDescent="0.2">
      <c r="A10789" t="str">
        <f>"Igbp1b"</f>
        <v>Igbp1b</v>
      </c>
      <c r="B10789" t="s">
        <v>14</v>
      </c>
      <c r="C10789" t="s">
        <v>32</v>
      </c>
      <c r="D10789" t="s">
        <v>11</v>
      </c>
      <c r="E10789" t="s">
        <v>12</v>
      </c>
      <c r="F10789">
        <v>138658449</v>
      </c>
      <c r="G10789">
        <v>138658456</v>
      </c>
      <c r="H10789">
        <v>138658449</v>
      </c>
      <c r="I10789">
        <v>138658456</v>
      </c>
    </row>
    <row r="10790" spans="1:9" x14ac:dyDescent="0.2">
      <c r="A10790" t="str">
        <f>"Igdcc3"</f>
        <v>Igdcc3</v>
      </c>
      <c r="B10790" t="s">
        <v>14</v>
      </c>
      <c r="C10790" t="s">
        <v>24</v>
      </c>
      <c r="D10790" t="s">
        <v>17</v>
      </c>
      <c r="E10790" t="s">
        <v>12</v>
      </c>
      <c r="F10790">
        <v>65141175</v>
      </c>
      <c r="G10790">
        <v>65141198</v>
      </c>
      <c r="H10790">
        <v>65141064</v>
      </c>
      <c r="I10790">
        <v>65141069</v>
      </c>
    </row>
    <row r="10791" spans="1:9" x14ac:dyDescent="0.2">
      <c r="A10791" t="str">
        <f>"Igdcc4"</f>
        <v>Igdcc4</v>
      </c>
      <c r="B10791" t="s">
        <v>14</v>
      </c>
      <c r="C10791" t="s">
        <v>24</v>
      </c>
      <c r="D10791" t="s">
        <v>17</v>
      </c>
      <c r="E10791" t="s">
        <v>12</v>
      </c>
      <c r="F10791">
        <v>65101453</v>
      </c>
      <c r="G10791">
        <v>65101528</v>
      </c>
      <c r="H10791">
        <v>65101304</v>
      </c>
      <c r="I10791">
        <v>65101342</v>
      </c>
    </row>
    <row r="10792" spans="1:9" x14ac:dyDescent="0.2">
      <c r="A10792" t="str">
        <f>"Igf1"</f>
        <v>Igf1</v>
      </c>
      <c r="B10792" t="s">
        <v>9</v>
      </c>
      <c r="C10792" t="s">
        <v>15</v>
      </c>
      <c r="D10792" t="s">
        <v>17</v>
      </c>
      <c r="E10792" t="s">
        <v>12</v>
      </c>
      <c r="F10792">
        <v>87859158</v>
      </c>
      <c r="G10792">
        <v>87859178</v>
      </c>
      <c r="H10792">
        <v>87859158</v>
      </c>
      <c r="I10792">
        <v>87859178</v>
      </c>
    </row>
    <row r="10793" spans="1:9" x14ac:dyDescent="0.2">
      <c r="A10793" t="str">
        <f>"Igf1"</f>
        <v>Igf1</v>
      </c>
      <c r="B10793" t="s">
        <v>13</v>
      </c>
      <c r="C10793" t="s">
        <v>15</v>
      </c>
      <c r="D10793" t="s">
        <v>17</v>
      </c>
      <c r="E10793" t="s">
        <v>12</v>
      </c>
      <c r="F10793">
        <v>87861309</v>
      </c>
      <c r="G10793">
        <v>87861338</v>
      </c>
      <c r="H10793">
        <v>87861309</v>
      </c>
      <c r="I10793">
        <v>87861338</v>
      </c>
    </row>
    <row r="10794" spans="1:9" x14ac:dyDescent="0.2">
      <c r="A10794" t="str">
        <f>"Igf1r"</f>
        <v>Igf1r</v>
      </c>
      <c r="B10794" t="s">
        <v>14</v>
      </c>
      <c r="C10794" t="s">
        <v>33</v>
      </c>
      <c r="D10794" t="s">
        <v>17</v>
      </c>
      <c r="E10794" t="s">
        <v>12</v>
      </c>
      <c r="F10794">
        <v>67951857</v>
      </c>
      <c r="G10794">
        <v>67951910</v>
      </c>
      <c r="H10794">
        <v>67952004</v>
      </c>
      <c r="I10794">
        <v>67952065</v>
      </c>
    </row>
    <row r="10795" spans="1:9" x14ac:dyDescent="0.2">
      <c r="A10795" t="str">
        <f>"Igf2"</f>
        <v>Igf2</v>
      </c>
      <c r="B10795" t="s">
        <v>9</v>
      </c>
      <c r="C10795" t="s">
        <v>33</v>
      </c>
      <c r="D10795" t="s">
        <v>11</v>
      </c>
      <c r="E10795" t="s">
        <v>12</v>
      </c>
      <c r="F10795">
        <v>142657472</v>
      </c>
      <c r="G10795">
        <v>142657486</v>
      </c>
      <c r="H10795">
        <v>142657472</v>
      </c>
      <c r="I10795">
        <v>142657486</v>
      </c>
    </row>
    <row r="10796" spans="1:9" x14ac:dyDescent="0.2">
      <c r="A10796" t="str">
        <f>"Igf2"</f>
        <v>Igf2</v>
      </c>
      <c r="B10796" t="s">
        <v>13</v>
      </c>
      <c r="C10796" t="s">
        <v>33</v>
      </c>
      <c r="D10796" t="s">
        <v>11</v>
      </c>
      <c r="E10796" t="s">
        <v>12</v>
      </c>
      <c r="F10796">
        <v>142659482</v>
      </c>
      <c r="G10796">
        <v>142659497</v>
      </c>
      <c r="H10796">
        <v>142659482</v>
      </c>
      <c r="I10796">
        <v>142659497</v>
      </c>
    </row>
    <row r="10797" spans="1:9" x14ac:dyDescent="0.2">
      <c r="A10797" t="str">
        <f>"Igf2bp1"</f>
        <v>Igf2bp1</v>
      </c>
      <c r="B10797" t="s">
        <v>9</v>
      </c>
      <c r="C10797" t="s">
        <v>27</v>
      </c>
      <c r="D10797" t="s">
        <v>11</v>
      </c>
      <c r="E10797" t="s">
        <v>12</v>
      </c>
      <c r="F10797">
        <v>96005872</v>
      </c>
      <c r="G10797">
        <v>96005952</v>
      </c>
      <c r="H10797">
        <v>96005872</v>
      </c>
      <c r="I10797">
        <v>96005952</v>
      </c>
    </row>
    <row r="10798" spans="1:9" x14ac:dyDescent="0.2">
      <c r="A10798" t="str">
        <f>"Igf2bp1"</f>
        <v>Igf2bp1</v>
      </c>
      <c r="B10798" t="s">
        <v>13</v>
      </c>
      <c r="C10798" t="s">
        <v>27</v>
      </c>
      <c r="D10798" t="s">
        <v>11</v>
      </c>
      <c r="E10798" t="s">
        <v>12</v>
      </c>
      <c r="F10798">
        <v>95982602</v>
      </c>
      <c r="G10798">
        <v>95982627</v>
      </c>
      <c r="H10798">
        <v>95982602</v>
      </c>
      <c r="I10798">
        <v>95982627</v>
      </c>
    </row>
    <row r="10799" spans="1:9" x14ac:dyDescent="0.2">
      <c r="A10799" t="str">
        <f>"Igf2bp2"</f>
        <v>Igf2bp2</v>
      </c>
      <c r="B10799" t="s">
        <v>14</v>
      </c>
      <c r="C10799" t="s">
        <v>31</v>
      </c>
      <c r="D10799" t="s">
        <v>11</v>
      </c>
      <c r="E10799" t="s">
        <v>12</v>
      </c>
      <c r="F10799">
        <v>22162939</v>
      </c>
      <c r="G10799">
        <v>22163056</v>
      </c>
      <c r="H10799">
        <v>22163257</v>
      </c>
      <c r="I10799">
        <v>22163300</v>
      </c>
    </row>
    <row r="10800" spans="1:9" x14ac:dyDescent="0.2">
      <c r="A10800" t="str">
        <f>"Igf2bp3"</f>
        <v>Igf2bp3</v>
      </c>
      <c r="B10800" t="s">
        <v>14</v>
      </c>
      <c r="C10800" t="s">
        <v>32</v>
      </c>
      <c r="D10800" t="s">
        <v>11</v>
      </c>
      <c r="E10800" t="s">
        <v>12</v>
      </c>
      <c r="F10800">
        <v>49214698</v>
      </c>
      <c r="G10800">
        <v>49214721</v>
      </c>
      <c r="H10800">
        <v>49214725</v>
      </c>
      <c r="I10800">
        <v>49214748</v>
      </c>
    </row>
    <row r="10801" spans="1:9" x14ac:dyDescent="0.2">
      <c r="A10801" t="str">
        <f>"Igf2r"</f>
        <v>Igf2r</v>
      </c>
      <c r="B10801" t="s">
        <v>14</v>
      </c>
      <c r="C10801" t="s">
        <v>28</v>
      </c>
      <c r="D10801" t="s">
        <v>11</v>
      </c>
      <c r="E10801" t="s">
        <v>12</v>
      </c>
      <c r="F10801">
        <v>12769605</v>
      </c>
      <c r="G10801">
        <v>12769700</v>
      </c>
      <c r="H10801">
        <v>12769702</v>
      </c>
      <c r="I10801">
        <v>12769727</v>
      </c>
    </row>
    <row r="10802" spans="1:9" x14ac:dyDescent="0.2">
      <c r="A10802" t="str">
        <f>"Igfals"</f>
        <v>Igfals</v>
      </c>
      <c r="B10802" t="s">
        <v>14</v>
      </c>
      <c r="C10802" t="s">
        <v>28</v>
      </c>
      <c r="D10802" t="s">
        <v>17</v>
      </c>
      <c r="E10802" t="s">
        <v>12</v>
      </c>
      <c r="F10802">
        <v>24878724</v>
      </c>
      <c r="G10802">
        <v>24878781</v>
      </c>
      <c r="H10802">
        <v>24878225</v>
      </c>
      <c r="I10802">
        <v>24878264</v>
      </c>
    </row>
    <row r="10803" spans="1:9" x14ac:dyDescent="0.2">
      <c r="A10803" t="str">
        <f>"Igfbp1"</f>
        <v>Igfbp1</v>
      </c>
      <c r="B10803" t="s">
        <v>14</v>
      </c>
      <c r="C10803" t="s">
        <v>27</v>
      </c>
      <c r="D10803" t="s">
        <v>17</v>
      </c>
      <c r="E10803" t="s">
        <v>12</v>
      </c>
      <c r="F10803">
        <v>7197780</v>
      </c>
      <c r="G10803">
        <v>7197795</v>
      </c>
      <c r="H10803">
        <v>7197804</v>
      </c>
      <c r="I10803">
        <v>7197811</v>
      </c>
    </row>
    <row r="10804" spans="1:9" x14ac:dyDescent="0.2">
      <c r="A10804" t="str">
        <f>"Igfbp2"</f>
        <v>Igfbp2</v>
      </c>
      <c r="B10804" t="s">
        <v>14</v>
      </c>
      <c r="C10804" t="s">
        <v>19</v>
      </c>
      <c r="D10804" t="s">
        <v>17</v>
      </c>
      <c r="E10804" t="s">
        <v>12</v>
      </c>
      <c r="F10804">
        <v>72824482</v>
      </c>
      <c r="G10804">
        <v>72824501</v>
      </c>
      <c r="H10804">
        <v>72824546</v>
      </c>
      <c r="I10804">
        <v>72824557</v>
      </c>
    </row>
    <row r="10805" spans="1:9" x14ac:dyDescent="0.2">
      <c r="A10805" t="str">
        <f>"Igfbp3"</f>
        <v>Igfbp3</v>
      </c>
      <c r="B10805" t="s">
        <v>14</v>
      </c>
      <c r="C10805" t="s">
        <v>27</v>
      </c>
      <c r="D10805" t="s">
        <v>11</v>
      </c>
      <c r="E10805" t="s">
        <v>12</v>
      </c>
      <c r="F10805">
        <v>7213915</v>
      </c>
      <c r="G10805">
        <v>7213929</v>
      </c>
      <c r="H10805">
        <v>7213915</v>
      </c>
      <c r="I10805">
        <v>7213929</v>
      </c>
    </row>
    <row r="10806" spans="1:9" x14ac:dyDescent="0.2">
      <c r="A10806" t="str">
        <f>"Igfbp4"</f>
        <v>Igfbp4</v>
      </c>
      <c r="B10806" t="s">
        <v>9</v>
      </c>
      <c r="C10806" t="s">
        <v>27</v>
      </c>
      <c r="D10806" t="s">
        <v>17</v>
      </c>
      <c r="E10806" t="s">
        <v>12</v>
      </c>
      <c r="F10806">
        <v>99041237</v>
      </c>
      <c r="G10806">
        <v>99041254</v>
      </c>
      <c r="H10806">
        <v>99041237</v>
      </c>
      <c r="I10806">
        <v>99041254</v>
      </c>
    </row>
    <row r="10807" spans="1:9" x14ac:dyDescent="0.2">
      <c r="A10807" t="str">
        <f>"Igfbp4"</f>
        <v>Igfbp4</v>
      </c>
      <c r="B10807" t="s">
        <v>13</v>
      </c>
      <c r="C10807" t="s">
        <v>27</v>
      </c>
      <c r="D10807" t="s">
        <v>17</v>
      </c>
      <c r="E10807" t="s">
        <v>12</v>
      </c>
      <c r="F10807">
        <v>99047315</v>
      </c>
      <c r="G10807">
        <v>99047326</v>
      </c>
      <c r="H10807">
        <v>99047315</v>
      </c>
      <c r="I10807">
        <v>99047326</v>
      </c>
    </row>
    <row r="10808" spans="1:9" x14ac:dyDescent="0.2">
      <c r="A10808" t="str">
        <f>"Igfbp5"</f>
        <v>Igfbp5</v>
      </c>
      <c r="B10808" t="s">
        <v>14</v>
      </c>
      <c r="C10808" t="s">
        <v>19</v>
      </c>
      <c r="D10808" t="s">
        <v>11</v>
      </c>
      <c r="E10808" t="s">
        <v>12</v>
      </c>
      <c r="F10808">
        <v>72874877</v>
      </c>
      <c r="G10808">
        <v>72874891</v>
      </c>
      <c r="H10808">
        <v>72874145</v>
      </c>
      <c r="I10808">
        <v>72874208</v>
      </c>
    </row>
    <row r="10809" spans="1:9" x14ac:dyDescent="0.2">
      <c r="A10809" t="str">
        <f>"Igfbp6"</f>
        <v>Igfbp6</v>
      </c>
      <c r="B10809" t="s">
        <v>14</v>
      </c>
      <c r="C10809" t="s">
        <v>25</v>
      </c>
      <c r="D10809" t="s">
        <v>17</v>
      </c>
      <c r="E10809" t="s">
        <v>12</v>
      </c>
      <c r="F10809">
        <v>102144496</v>
      </c>
      <c r="G10809">
        <v>102144514</v>
      </c>
      <c r="H10809">
        <v>102144496</v>
      </c>
      <c r="I10809">
        <v>102144514</v>
      </c>
    </row>
    <row r="10810" spans="1:9" x14ac:dyDescent="0.2">
      <c r="A10810" t="str">
        <f>"Igfbp7"</f>
        <v>Igfbp7</v>
      </c>
      <c r="B10810" t="s">
        <v>14</v>
      </c>
      <c r="C10810" t="s">
        <v>46</v>
      </c>
      <c r="D10810" t="s">
        <v>11</v>
      </c>
      <c r="E10810" t="s">
        <v>12</v>
      </c>
      <c r="F10810">
        <v>77408034</v>
      </c>
      <c r="G10810">
        <v>77408051</v>
      </c>
      <c r="H10810">
        <v>77408034</v>
      </c>
      <c r="I10810">
        <v>77408051</v>
      </c>
    </row>
    <row r="10811" spans="1:9" x14ac:dyDescent="0.2">
      <c r="A10811" t="str">
        <f>"Igfbpl1"</f>
        <v>Igfbpl1</v>
      </c>
      <c r="B10811" t="s">
        <v>14</v>
      </c>
      <c r="C10811" t="s">
        <v>23</v>
      </c>
      <c r="D10811" t="s">
        <v>11</v>
      </c>
      <c r="E10811" t="s">
        <v>12</v>
      </c>
      <c r="F10811">
        <v>45826819</v>
      </c>
      <c r="G10811">
        <v>45826834</v>
      </c>
      <c r="H10811">
        <v>45826802</v>
      </c>
      <c r="I10811">
        <v>45826813</v>
      </c>
    </row>
    <row r="10812" spans="1:9" x14ac:dyDescent="0.2">
      <c r="A10812" t="str">
        <f>"Igfl3"</f>
        <v>Igfl3</v>
      </c>
      <c r="B10812" t="s">
        <v>14</v>
      </c>
      <c r="C10812" t="s">
        <v>33</v>
      </c>
      <c r="D10812" t="s">
        <v>17</v>
      </c>
      <c r="E10812" t="s">
        <v>12</v>
      </c>
      <c r="F10812">
        <v>18176470</v>
      </c>
      <c r="G10812">
        <v>18176475</v>
      </c>
      <c r="H10812">
        <v>18176470</v>
      </c>
      <c r="I10812">
        <v>18176475</v>
      </c>
    </row>
    <row r="10813" spans="1:9" x14ac:dyDescent="0.2">
      <c r="A10813" t="str">
        <f>"Igflr1"</f>
        <v>Igflr1</v>
      </c>
      <c r="B10813" t="s">
        <v>4184</v>
      </c>
      <c r="C10813" t="s">
        <v>33</v>
      </c>
      <c r="D10813" t="s">
        <v>17</v>
      </c>
      <c r="E10813" t="s">
        <v>35</v>
      </c>
      <c r="F10813">
        <v>30565402</v>
      </c>
      <c r="G10813">
        <v>30565407</v>
      </c>
      <c r="H10813">
        <v>30565410</v>
      </c>
      <c r="I10813">
        <v>30565432</v>
      </c>
    </row>
    <row r="10814" spans="1:9" x14ac:dyDescent="0.2">
      <c r="A10814" t="str">
        <f>"Igfn1"</f>
        <v>Igfn1</v>
      </c>
      <c r="B10814" t="s">
        <v>14</v>
      </c>
      <c r="C10814" t="s">
        <v>19</v>
      </c>
      <c r="D10814" t="s">
        <v>11</v>
      </c>
      <c r="E10814" t="s">
        <v>12</v>
      </c>
      <c r="F10814">
        <v>135982668</v>
      </c>
      <c r="G10814">
        <v>135982669</v>
      </c>
      <c r="H10814">
        <v>135982668</v>
      </c>
      <c r="I10814">
        <v>135982669</v>
      </c>
    </row>
    <row r="10815" spans="1:9" x14ac:dyDescent="0.2">
      <c r="A10815" t="str">
        <f>"Ighe"</f>
        <v>Ighe</v>
      </c>
      <c r="B10815" t="s">
        <v>4185</v>
      </c>
      <c r="C10815" t="s">
        <v>16</v>
      </c>
      <c r="D10815" t="s">
        <v>11</v>
      </c>
      <c r="E10815" t="s">
        <v>20</v>
      </c>
      <c r="F10815">
        <v>113273245</v>
      </c>
      <c r="G10815">
        <v>113273245</v>
      </c>
      <c r="H10815">
        <v>113273245</v>
      </c>
      <c r="I10815">
        <v>113273245</v>
      </c>
    </row>
    <row r="10816" spans="1:9" x14ac:dyDescent="0.2">
      <c r="A10816" t="str">
        <f>"Ighg2c"</f>
        <v>Ighg2c</v>
      </c>
      <c r="B10816" t="s">
        <v>4186</v>
      </c>
      <c r="C10816" t="s">
        <v>16</v>
      </c>
      <c r="D10816" t="s">
        <v>11</v>
      </c>
      <c r="E10816" t="s">
        <v>20</v>
      </c>
      <c r="F10816">
        <v>113288929</v>
      </c>
      <c r="G10816">
        <v>113288929</v>
      </c>
      <c r="H10816">
        <v>113288929</v>
      </c>
      <c r="I10816">
        <v>113288929</v>
      </c>
    </row>
    <row r="10817" spans="1:9" x14ac:dyDescent="0.2">
      <c r="A10817" t="str">
        <f>"Ighmbp2"</f>
        <v>Ighmbp2</v>
      </c>
      <c r="B10817" t="s">
        <v>14</v>
      </c>
      <c r="C10817" t="s">
        <v>10</v>
      </c>
      <c r="D10817" t="s">
        <v>11</v>
      </c>
      <c r="E10817" t="s">
        <v>12</v>
      </c>
      <c r="F10817">
        <v>3282958</v>
      </c>
      <c r="G10817">
        <v>3283048</v>
      </c>
      <c r="H10817">
        <v>3282801</v>
      </c>
      <c r="I10817">
        <v>3282853</v>
      </c>
    </row>
    <row r="10818" spans="1:9" x14ac:dyDescent="0.2">
      <c r="A10818" t="str">
        <f>"Ighv1-73"</f>
        <v>Ighv1-73</v>
      </c>
      <c r="B10818" t="s">
        <v>14</v>
      </c>
      <c r="C10818" t="s">
        <v>16</v>
      </c>
      <c r="D10818" t="s">
        <v>11</v>
      </c>
      <c r="E10818" t="s">
        <v>67</v>
      </c>
      <c r="F10818">
        <v>115791079</v>
      </c>
      <c r="G10818">
        <v>115791080</v>
      </c>
      <c r="H10818">
        <v>115791079</v>
      </c>
      <c r="I10818">
        <v>115791080</v>
      </c>
    </row>
    <row r="10819" spans="1:9" x14ac:dyDescent="0.2">
      <c r="A10819" t="str">
        <f>"Ighv1-83"</f>
        <v>Ighv1-83</v>
      </c>
      <c r="B10819" t="s">
        <v>14</v>
      </c>
      <c r="C10819" t="s">
        <v>16</v>
      </c>
      <c r="D10819" t="s">
        <v>11</v>
      </c>
      <c r="E10819" t="s">
        <v>67</v>
      </c>
      <c r="F10819">
        <v>115964268</v>
      </c>
      <c r="G10819">
        <v>115964276</v>
      </c>
      <c r="H10819">
        <v>115964268</v>
      </c>
      <c r="I10819">
        <v>115964276</v>
      </c>
    </row>
    <row r="10820" spans="1:9" x14ac:dyDescent="0.2">
      <c r="A10820" t="str">
        <f>"Ighv6-4"</f>
        <v>Ighv6-4</v>
      </c>
      <c r="B10820" t="s">
        <v>4187</v>
      </c>
      <c r="C10820" t="s">
        <v>16</v>
      </c>
      <c r="D10820" t="s">
        <v>11</v>
      </c>
      <c r="E10820" t="s">
        <v>20</v>
      </c>
      <c r="F10820">
        <v>114406772</v>
      </c>
      <c r="G10820">
        <v>114406772</v>
      </c>
      <c r="H10820">
        <v>114406772</v>
      </c>
      <c r="I10820">
        <v>114406772</v>
      </c>
    </row>
    <row r="10821" spans="1:9" x14ac:dyDescent="0.2">
      <c r="A10821" t="str">
        <f>"Ighv6-5"</f>
        <v>Ighv6-5</v>
      </c>
      <c r="B10821" t="s">
        <v>4188</v>
      </c>
      <c r="C10821" t="s">
        <v>16</v>
      </c>
      <c r="D10821" t="s">
        <v>11</v>
      </c>
      <c r="E10821" t="s">
        <v>20</v>
      </c>
      <c r="F10821">
        <v>114416894</v>
      </c>
      <c r="G10821">
        <v>114416894</v>
      </c>
      <c r="H10821">
        <v>114416894</v>
      </c>
      <c r="I10821">
        <v>114416894</v>
      </c>
    </row>
    <row r="10822" spans="1:9" x14ac:dyDescent="0.2">
      <c r="A10822" t="str">
        <f>"Igj"</f>
        <v>Igj</v>
      </c>
      <c r="B10822" t="s">
        <v>14</v>
      </c>
      <c r="C10822" t="s">
        <v>46</v>
      </c>
      <c r="D10822" t="s">
        <v>11</v>
      </c>
      <c r="E10822" t="s">
        <v>12</v>
      </c>
      <c r="F10822">
        <v>88527795</v>
      </c>
      <c r="G10822">
        <v>88527820</v>
      </c>
      <c r="H10822">
        <v>88527795</v>
      </c>
      <c r="I10822">
        <v>88527820</v>
      </c>
    </row>
    <row r="10823" spans="1:9" x14ac:dyDescent="0.2">
      <c r="A10823" t="str">
        <f>"Igkv1-115"</f>
        <v>Igkv1-115</v>
      </c>
      <c r="B10823" t="s">
        <v>4189</v>
      </c>
      <c r="C10823" t="s">
        <v>32</v>
      </c>
      <c r="D10823" t="s">
        <v>17</v>
      </c>
      <c r="E10823" t="s">
        <v>20</v>
      </c>
      <c r="F10823">
        <v>68161414</v>
      </c>
      <c r="G10823">
        <v>68161414</v>
      </c>
      <c r="H10823">
        <v>68161414</v>
      </c>
      <c r="I10823">
        <v>68161414</v>
      </c>
    </row>
    <row r="10824" spans="1:9" x14ac:dyDescent="0.2">
      <c r="A10824" t="str">
        <f>"Igkv13-87"</f>
        <v>Igkv13-87</v>
      </c>
      <c r="B10824" t="s">
        <v>4190</v>
      </c>
      <c r="C10824" t="s">
        <v>32</v>
      </c>
      <c r="D10824" t="s">
        <v>17</v>
      </c>
      <c r="E10824" t="s">
        <v>20</v>
      </c>
      <c r="F10824">
        <v>68895623</v>
      </c>
      <c r="G10824">
        <v>68895623</v>
      </c>
      <c r="H10824">
        <v>68895623</v>
      </c>
      <c r="I10824">
        <v>68895623</v>
      </c>
    </row>
    <row r="10825" spans="1:9" x14ac:dyDescent="0.2">
      <c r="A10825" t="str">
        <f>"Igkv4-54"</f>
        <v>Igkv4-54</v>
      </c>
      <c r="B10825" t="s">
        <v>4191</v>
      </c>
      <c r="C10825" t="s">
        <v>32</v>
      </c>
      <c r="D10825" t="s">
        <v>11</v>
      </c>
      <c r="E10825" t="s">
        <v>20</v>
      </c>
      <c r="F10825">
        <v>69631932</v>
      </c>
      <c r="G10825">
        <v>69631932</v>
      </c>
      <c r="H10825">
        <v>69631932</v>
      </c>
      <c r="I10825">
        <v>69631932</v>
      </c>
    </row>
    <row r="10826" spans="1:9" x14ac:dyDescent="0.2">
      <c r="A10826" t="str">
        <f>"Igkv4-62"</f>
        <v>Igkv4-62</v>
      </c>
      <c r="B10826" t="s">
        <v>4192</v>
      </c>
      <c r="C10826" t="s">
        <v>32</v>
      </c>
      <c r="D10826" t="s">
        <v>11</v>
      </c>
      <c r="E10826" t="s">
        <v>20</v>
      </c>
      <c r="F10826">
        <v>69400096</v>
      </c>
      <c r="G10826">
        <v>69400096</v>
      </c>
      <c r="H10826">
        <v>69400096</v>
      </c>
      <c r="I10826">
        <v>69400096</v>
      </c>
    </row>
    <row r="10827" spans="1:9" x14ac:dyDescent="0.2">
      <c r="A10827" t="str">
        <f>"Igkv4-69"</f>
        <v>Igkv4-69</v>
      </c>
      <c r="B10827" t="s">
        <v>14</v>
      </c>
      <c r="C10827" t="s">
        <v>32</v>
      </c>
      <c r="D10827" t="s">
        <v>11</v>
      </c>
      <c r="E10827" t="s">
        <v>67</v>
      </c>
      <c r="F10827">
        <v>69284334</v>
      </c>
      <c r="G10827">
        <v>69284350</v>
      </c>
      <c r="H10827">
        <v>69284334</v>
      </c>
      <c r="I10827">
        <v>69284350</v>
      </c>
    </row>
    <row r="10828" spans="1:9" x14ac:dyDescent="0.2">
      <c r="A10828" t="str">
        <f>"Igkv4-71"</f>
        <v>Igkv4-71</v>
      </c>
      <c r="B10828" t="s">
        <v>14</v>
      </c>
      <c r="C10828" t="s">
        <v>32</v>
      </c>
      <c r="D10828" t="s">
        <v>11</v>
      </c>
      <c r="E10828" t="s">
        <v>67</v>
      </c>
      <c r="F10828">
        <v>69243717</v>
      </c>
      <c r="G10828">
        <v>69243741</v>
      </c>
      <c r="H10828">
        <v>69243717</v>
      </c>
      <c r="I10828">
        <v>69243741</v>
      </c>
    </row>
    <row r="10829" spans="1:9" x14ac:dyDescent="0.2">
      <c r="A10829" t="str">
        <f>"Iglc2"</f>
        <v>Iglc2</v>
      </c>
      <c r="B10829" t="s">
        <v>14</v>
      </c>
      <c r="C10829" t="s">
        <v>31</v>
      </c>
      <c r="D10829" t="s">
        <v>11</v>
      </c>
      <c r="E10829" t="s">
        <v>67</v>
      </c>
      <c r="F10829">
        <v>19200230</v>
      </c>
      <c r="G10829">
        <v>19200250</v>
      </c>
      <c r="H10829">
        <v>19200275</v>
      </c>
      <c r="I10829">
        <v>19200297</v>
      </c>
    </row>
    <row r="10830" spans="1:9" x14ac:dyDescent="0.2">
      <c r="A10830" t="str">
        <f>"Igll1"</f>
        <v>Igll1</v>
      </c>
      <c r="B10830" t="s">
        <v>14</v>
      </c>
      <c r="C10830" t="s">
        <v>31</v>
      </c>
      <c r="D10830" t="s">
        <v>11</v>
      </c>
      <c r="E10830" t="s">
        <v>12</v>
      </c>
      <c r="F10830">
        <v>16863975</v>
      </c>
      <c r="G10830">
        <v>16864006</v>
      </c>
      <c r="H10830">
        <v>16863938</v>
      </c>
      <c r="I10830">
        <v>16863955</v>
      </c>
    </row>
    <row r="10831" spans="1:9" x14ac:dyDescent="0.2">
      <c r="A10831" t="str">
        <f>"Iglon5"</f>
        <v>Iglon5</v>
      </c>
      <c r="B10831" t="s">
        <v>14</v>
      </c>
      <c r="C10831" t="s">
        <v>33</v>
      </c>
      <c r="D10831" t="s">
        <v>11</v>
      </c>
      <c r="E10831" t="s">
        <v>12</v>
      </c>
      <c r="F10831">
        <v>43490180</v>
      </c>
      <c r="G10831">
        <v>43490224</v>
      </c>
      <c r="H10831">
        <v>43490017</v>
      </c>
      <c r="I10831">
        <v>43490038</v>
      </c>
    </row>
    <row r="10832" spans="1:9" x14ac:dyDescent="0.2">
      <c r="A10832" t="str">
        <f>"Igsf1"</f>
        <v>Igsf1</v>
      </c>
      <c r="B10832" t="s">
        <v>9</v>
      </c>
      <c r="C10832" t="s">
        <v>37</v>
      </c>
      <c r="D10832" t="s">
        <v>11</v>
      </c>
      <c r="E10832" t="s">
        <v>12</v>
      </c>
      <c r="F10832">
        <v>49797700</v>
      </c>
      <c r="G10832">
        <v>49797755</v>
      </c>
      <c r="H10832">
        <v>49797700</v>
      </c>
      <c r="I10832">
        <v>49797755</v>
      </c>
    </row>
    <row r="10833" spans="1:9" x14ac:dyDescent="0.2">
      <c r="A10833" t="str">
        <f>"Igsf1"</f>
        <v>Igsf1</v>
      </c>
      <c r="B10833" t="s">
        <v>13</v>
      </c>
      <c r="C10833" t="s">
        <v>37</v>
      </c>
      <c r="D10833" t="s">
        <v>11</v>
      </c>
      <c r="E10833" t="s">
        <v>12</v>
      </c>
      <c r="F10833">
        <v>49788204</v>
      </c>
      <c r="G10833">
        <v>49788236</v>
      </c>
      <c r="H10833">
        <v>49788204</v>
      </c>
      <c r="I10833">
        <v>49788236</v>
      </c>
    </row>
    <row r="10834" spans="1:9" x14ac:dyDescent="0.2">
      <c r="A10834" t="str">
        <f>"Igsf10"</f>
        <v>Igsf10</v>
      </c>
      <c r="B10834" t="s">
        <v>14</v>
      </c>
      <c r="C10834" t="s">
        <v>22</v>
      </c>
      <c r="D10834" t="s">
        <v>11</v>
      </c>
      <c r="E10834" t="s">
        <v>12</v>
      </c>
      <c r="F10834">
        <v>59344370</v>
      </c>
      <c r="G10834">
        <v>59344422</v>
      </c>
      <c r="H10834">
        <v>59344346</v>
      </c>
      <c r="I10834">
        <v>59344367</v>
      </c>
    </row>
    <row r="10835" spans="1:9" x14ac:dyDescent="0.2">
      <c r="A10835" t="str">
        <f>"Igsf11"</f>
        <v>Igsf11</v>
      </c>
      <c r="B10835" t="s">
        <v>14</v>
      </c>
      <c r="C10835" t="s">
        <v>31</v>
      </c>
      <c r="D10835" t="s">
        <v>17</v>
      </c>
      <c r="E10835" t="s">
        <v>12</v>
      </c>
      <c r="F10835">
        <v>38902372</v>
      </c>
      <c r="G10835">
        <v>38902437</v>
      </c>
      <c r="H10835">
        <v>38902325</v>
      </c>
      <c r="I10835">
        <v>38902364</v>
      </c>
    </row>
    <row r="10836" spans="1:9" x14ac:dyDescent="0.2">
      <c r="A10836" t="str">
        <f>"Igsf21"</f>
        <v>Igsf21</v>
      </c>
      <c r="B10836" t="s">
        <v>14</v>
      </c>
      <c r="C10836" t="s">
        <v>23</v>
      </c>
      <c r="D10836" t="s">
        <v>11</v>
      </c>
      <c r="E10836" t="s">
        <v>12</v>
      </c>
      <c r="F10836">
        <v>140246751</v>
      </c>
      <c r="G10836">
        <v>140246793</v>
      </c>
      <c r="H10836">
        <v>140246794</v>
      </c>
      <c r="I10836">
        <v>140246824</v>
      </c>
    </row>
    <row r="10837" spans="1:9" x14ac:dyDescent="0.2">
      <c r="A10837" t="str">
        <f>"Igsf23"</f>
        <v>Igsf23</v>
      </c>
      <c r="B10837" t="s">
        <v>14</v>
      </c>
      <c r="C10837" t="s">
        <v>33</v>
      </c>
      <c r="D10837" t="s">
        <v>11</v>
      </c>
      <c r="E10837" t="s">
        <v>67</v>
      </c>
      <c r="F10837">
        <v>19950729</v>
      </c>
      <c r="G10837">
        <v>19950748</v>
      </c>
      <c r="H10837">
        <v>19950729</v>
      </c>
      <c r="I10837">
        <v>19950748</v>
      </c>
    </row>
    <row r="10838" spans="1:9" x14ac:dyDescent="0.2">
      <c r="A10838" t="str">
        <f>"Igsf3"</f>
        <v>Igsf3</v>
      </c>
      <c r="B10838" t="s">
        <v>14</v>
      </c>
      <c r="C10838" t="s">
        <v>22</v>
      </c>
      <c r="D10838" t="s">
        <v>17</v>
      </c>
      <c r="E10838" t="s">
        <v>12</v>
      </c>
      <c r="F10838">
        <v>101377074</v>
      </c>
      <c r="G10838">
        <v>101377158</v>
      </c>
      <c r="H10838">
        <v>101376990</v>
      </c>
      <c r="I10838">
        <v>101377023</v>
      </c>
    </row>
    <row r="10839" spans="1:9" x14ac:dyDescent="0.2">
      <c r="A10839" t="str">
        <f>"Igsf5"</f>
        <v>Igsf5</v>
      </c>
      <c r="B10839" t="s">
        <v>14</v>
      </c>
      <c r="C10839" t="s">
        <v>31</v>
      </c>
      <c r="D10839" t="s">
        <v>17</v>
      </c>
      <c r="E10839" t="s">
        <v>12</v>
      </c>
      <c r="F10839">
        <v>96361749</v>
      </c>
      <c r="G10839">
        <v>96361801</v>
      </c>
      <c r="H10839">
        <v>96361805</v>
      </c>
      <c r="I10839">
        <v>96361816</v>
      </c>
    </row>
    <row r="10840" spans="1:9" x14ac:dyDescent="0.2">
      <c r="A10840" t="str">
        <f>"Igsf6"</f>
        <v>Igsf6</v>
      </c>
      <c r="B10840" t="s">
        <v>14</v>
      </c>
      <c r="C10840" t="s">
        <v>33</v>
      </c>
      <c r="D10840" t="s">
        <v>11</v>
      </c>
      <c r="E10840" t="s">
        <v>12</v>
      </c>
      <c r="F10840">
        <v>121074501</v>
      </c>
      <c r="G10840">
        <v>121074526</v>
      </c>
      <c r="H10840">
        <v>121074501</v>
      </c>
      <c r="I10840">
        <v>121074526</v>
      </c>
    </row>
    <row r="10841" spans="1:9" x14ac:dyDescent="0.2">
      <c r="A10841" t="str">
        <f>"Igsf8"</f>
        <v>Igsf8</v>
      </c>
      <c r="B10841" t="s">
        <v>14</v>
      </c>
      <c r="C10841" t="s">
        <v>19</v>
      </c>
      <c r="D10841" t="s">
        <v>17</v>
      </c>
      <c r="E10841" t="s">
        <v>12</v>
      </c>
      <c r="F10841">
        <v>172312378</v>
      </c>
      <c r="G10841">
        <v>172312437</v>
      </c>
      <c r="H10841">
        <v>172311825</v>
      </c>
      <c r="I10841">
        <v>172311863</v>
      </c>
    </row>
    <row r="10842" spans="1:9" x14ac:dyDescent="0.2">
      <c r="A10842" t="str">
        <f>"Igsf9"</f>
        <v>Igsf9</v>
      </c>
      <c r="B10842" t="s">
        <v>14</v>
      </c>
      <c r="C10842" t="s">
        <v>19</v>
      </c>
      <c r="D10842" t="s">
        <v>17</v>
      </c>
      <c r="E10842" t="s">
        <v>12</v>
      </c>
      <c r="F10842">
        <v>172482212</v>
      </c>
      <c r="G10842">
        <v>172482231</v>
      </c>
      <c r="H10842">
        <v>172481800</v>
      </c>
      <c r="I10842">
        <v>172481819</v>
      </c>
    </row>
    <row r="10843" spans="1:9" x14ac:dyDescent="0.2">
      <c r="A10843" t="str">
        <f>"Igsf9b"</f>
        <v>Igsf9b</v>
      </c>
      <c r="B10843" t="s">
        <v>14</v>
      </c>
      <c r="C10843" t="s">
        <v>24</v>
      </c>
      <c r="D10843" t="s">
        <v>17</v>
      </c>
      <c r="E10843" t="s">
        <v>12</v>
      </c>
      <c r="F10843">
        <v>27299205</v>
      </c>
      <c r="G10843">
        <v>27299254</v>
      </c>
      <c r="H10843">
        <v>27299184</v>
      </c>
      <c r="I10843">
        <v>27299197</v>
      </c>
    </row>
    <row r="10844" spans="1:9" x14ac:dyDescent="0.2">
      <c r="A10844" t="str">
        <f>"Igtp"</f>
        <v>Igtp</v>
      </c>
      <c r="B10844" t="s">
        <v>14</v>
      </c>
      <c r="C10844" t="s">
        <v>27</v>
      </c>
      <c r="D10844" t="s">
        <v>17</v>
      </c>
      <c r="E10844" t="s">
        <v>12</v>
      </c>
      <c r="F10844">
        <v>58199236</v>
      </c>
      <c r="G10844">
        <v>58199273</v>
      </c>
      <c r="H10844">
        <v>58199236</v>
      </c>
      <c r="I10844">
        <v>58199273</v>
      </c>
    </row>
    <row r="10845" spans="1:9" x14ac:dyDescent="0.2">
      <c r="A10845" t="str">
        <f>"Ihh"</f>
        <v>Ihh</v>
      </c>
      <c r="B10845" t="s">
        <v>14</v>
      </c>
      <c r="C10845" t="s">
        <v>19</v>
      </c>
      <c r="D10845" t="s">
        <v>11</v>
      </c>
      <c r="E10845" t="s">
        <v>12</v>
      </c>
      <c r="F10845">
        <v>74951662</v>
      </c>
      <c r="G10845">
        <v>74951678</v>
      </c>
      <c r="H10845">
        <v>74951438</v>
      </c>
      <c r="I10845">
        <v>74951450</v>
      </c>
    </row>
    <row r="10846" spans="1:9" x14ac:dyDescent="0.2">
      <c r="A10846" t="str">
        <f>"Iigp1"</f>
        <v>Iigp1</v>
      </c>
      <c r="B10846" t="s">
        <v>14</v>
      </c>
      <c r="C10846" t="s">
        <v>43</v>
      </c>
      <c r="D10846" t="s">
        <v>17</v>
      </c>
      <c r="E10846" t="s">
        <v>12</v>
      </c>
      <c r="F10846">
        <v>60376061</v>
      </c>
      <c r="G10846">
        <v>60376078</v>
      </c>
      <c r="H10846">
        <v>60376061</v>
      </c>
      <c r="I10846">
        <v>60376078</v>
      </c>
    </row>
    <row r="10847" spans="1:9" x14ac:dyDescent="0.2">
      <c r="A10847" t="str">
        <f>"Ik"</f>
        <v>Ik</v>
      </c>
      <c r="B10847" t="s">
        <v>14</v>
      </c>
      <c r="C10847" t="s">
        <v>43</v>
      </c>
      <c r="D10847" t="s">
        <v>17</v>
      </c>
      <c r="E10847" t="s">
        <v>12</v>
      </c>
      <c r="F10847">
        <v>36744673</v>
      </c>
      <c r="G10847">
        <v>36744737</v>
      </c>
      <c r="H10847">
        <v>36744673</v>
      </c>
      <c r="I10847">
        <v>36744737</v>
      </c>
    </row>
    <row r="10848" spans="1:9" x14ac:dyDescent="0.2">
      <c r="A10848" t="str">
        <f>"Ikbip"</f>
        <v>Ikbip</v>
      </c>
      <c r="B10848" t="s">
        <v>14</v>
      </c>
      <c r="C10848" t="s">
        <v>15</v>
      </c>
      <c r="D10848" t="s">
        <v>17</v>
      </c>
      <c r="E10848" t="s">
        <v>12</v>
      </c>
      <c r="F10848">
        <v>91083036</v>
      </c>
      <c r="G10848">
        <v>91083075</v>
      </c>
      <c r="H10848">
        <v>91083081</v>
      </c>
      <c r="I10848">
        <v>91083103</v>
      </c>
    </row>
    <row r="10849" spans="1:9" x14ac:dyDescent="0.2">
      <c r="A10849" t="str">
        <f>"Ikbkap"</f>
        <v>Ikbkap</v>
      </c>
      <c r="B10849" t="s">
        <v>14</v>
      </c>
      <c r="C10849" t="s">
        <v>23</v>
      </c>
      <c r="D10849" t="s">
        <v>11</v>
      </c>
      <c r="E10849" t="s">
        <v>12</v>
      </c>
      <c r="F10849">
        <v>56802265</v>
      </c>
      <c r="G10849">
        <v>56802322</v>
      </c>
      <c r="H10849">
        <v>56802242</v>
      </c>
      <c r="I10849">
        <v>56802262</v>
      </c>
    </row>
    <row r="10850" spans="1:9" x14ac:dyDescent="0.2">
      <c r="A10850" t="str">
        <f>"Ikbkb"</f>
        <v>Ikbkb</v>
      </c>
      <c r="B10850" t="s">
        <v>14</v>
      </c>
      <c r="C10850" t="s">
        <v>30</v>
      </c>
      <c r="D10850" t="s">
        <v>11</v>
      </c>
      <c r="E10850" t="s">
        <v>12</v>
      </c>
      <c r="F10850">
        <v>22706507</v>
      </c>
      <c r="G10850">
        <v>22706580</v>
      </c>
      <c r="H10850">
        <v>22706507</v>
      </c>
      <c r="I10850">
        <v>22706580</v>
      </c>
    </row>
    <row r="10851" spans="1:9" x14ac:dyDescent="0.2">
      <c r="A10851" t="str">
        <f>"Ikbke"</f>
        <v>Ikbke</v>
      </c>
      <c r="B10851" t="s">
        <v>14</v>
      </c>
      <c r="C10851" t="s">
        <v>19</v>
      </c>
      <c r="D10851" t="s">
        <v>11</v>
      </c>
      <c r="E10851" t="s">
        <v>12</v>
      </c>
      <c r="F10851">
        <v>131279544</v>
      </c>
      <c r="G10851">
        <v>131279570</v>
      </c>
      <c r="H10851">
        <v>131279515</v>
      </c>
      <c r="I10851">
        <v>131279529</v>
      </c>
    </row>
    <row r="10852" spans="1:9" x14ac:dyDescent="0.2">
      <c r="A10852" t="str">
        <f>"Ikbkg"</f>
        <v>Ikbkg</v>
      </c>
      <c r="B10852" t="s">
        <v>9</v>
      </c>
      <c r="C10852" t="s">
        <v>37</v>
      </c>
      <c r="D10852" t="s">
        <v>17</v>
      </c>
      <c r="E10852" t="s">
        <v>12</v>
      </c>
      <c r="F10852">
        <v>74429678</v>
      </c>
      <c r="G10852">
        <v>74429716</v>
      </c>
      <c r="H10852">
        <v>74429678</v>
      </c>
      <c r="I10852">
        <v>74429716</v>
      </c>
    </row>
    <row r="10853" spans="1:9" x14ac:dyDescent="0.2">
      <c r="A10853" t="str">
        <f>"Ikbkg"</f>
        <v>Ikbkg</v>
      </c>
      <c r="B10853" t="s">
        <v>13</v>
      </c>
      <c r="C10853" t="s">
        <v>37</v>
      </c>
      <c r="D10853" t="s">
        <v>17</v>
      </c>
      <c r="E10853" t="s">
        <v>12</v>
      </c>
      <c r="F10853">
        <v>74424595</v>
      </c>
      <c r="G10853">
        <v>74424629</v>
      </c>
      <c r="H10853">
        <v>74424595</v>
      </c>
      <c r="I10853">
        <v>74424629</v>
      </c>
    </row>
    <row r="10854" spans="1:9" x14ac:dyDescent="0.2">
      <c r="A10854" t="str">
        <f>"Ikzf1"</f>
        <v>Ikzf1</v>
      </c>
      <c r="B10854" t="s">
        <v>9</v>
      </c>
      <c r="C10854" t="s">
        <v>27</v>
      </c>
      <c r="D10854" t="s">
        <v>17</v>
      </c>
      <c r="E10854" t="s">
        <v>12</v>
      </c>
      <c r="F10854">
        <v>11686215</v>
      </c>
      <c r="G10854">
        <v>11686282</v>
      </c>
      <c r="H10854">
        <v>11686215</v>
      </c>
      <c r="I10854">
        <v>11686282</v>
      </c>
    </row>
    <row r="10855" spans="1:9" x14ac:dyDescent="0.2">
      <c r="A10855" t="str">
        <f>"Ikzf1"</f>
        <v>Ikzf1</v>
      </c>
      <c r="B10855" t="s">
        <v>13</v>
      </c>
      <c r="C10855" t="s">
        <v>27</v>
      </c>
      <c r="D10855" t="s">
        <v>17</v>
      </c>
      <c r="E10855" t="s">
        <v>12</v>
      </c>
      <c r="F10855">
        <v>11684967</v>
      </c>
      <c r="G10855">
        <v>11685027</v>
      </c>
      <c r="H10855">
        <v>11684967</v>
      </c>
      <c r="I10855">
        <v>11685027</v>
      </c>
    </row>
    <row r="10856" spans="1:9" x14ac:dyDescent="0.2">
      <c r="A10856" t="str">
        <f>"Ikzf2"</f>
        <v>Ikzf2</v>
      </c>
      <c r="B10856" t="s">
        <v>14</v>
      </c>
      <c r="C10856" t="s">
        <v>19</v>
      </c>
      <c r="D10856" t="s">
        <v>11</v>
      </c>
      <c r="E10856" t="s">
        <v>12</v>
      </c>
      <c r="F10856">
        <v>69685780</v>
      </c>
      <c r="G10856">
        <v>69685828</v>
      </c>
      <c r="H10856">
        <v>69685937</v>
      </c>
      <c r="I10856">
        <v>69685966</v>
      </c>
    </row>
    <row r="10857" spans="1:9" x14ac:dyDescent="0.2">
      <c r="A10857" t="str">
        <f>"Ikzf3"</f>
        <v>Ikzf3</v>
      </c>
      <c r="B10857" t="s">
        <v>14</v>
      </c>
      <c r="C10857" t="s">
        <v>27</v>
      </c>
      <c r="D10857" t="s">
        <v>11</v>
      </c>
      <c r="E10857" t="s">
        <v>12</v>
      </c>
      <c r="F10857">
        <v>98545950</v>
      </c>
      <c r="G10857">
        <v>98545981</v>
      </c>
      <c r="H10857">
        <v>98545920</v>
      </c>
      <c r="I10857">
        <v>98545945</v>
      </c>
    </row>
    <row r="10858" spans="1:9" x14ac:dyDescent="0.2">
      <c r="A10858" t="str">
        <f>"Ikzf4"</f>
        <v>Ikzf4</v>
      </c>
      <c r="B10858" t="s">
        <v>14</v>
      </c>
      <c r="C10858" t="s">
        <v>15</v>
      </c>
      <c r="D10858" t="s">
        <v>11</v>
      </c>
      <c r="E10858" t="s">
        <v>12</v>
      </c>
      <c r="F10858">
        <v>128645784</v>
      </c>
      <c r="G10858">
        <v>128645816</v>
      </c>
      <c r="H10858">
        <v>128645965</v>
      </c>
      <c r="I10858">
        <v>128645988</v>
      </c>
    </row>
    <row r="10859" spans="1:9" x14ac:dyDescent="0.2">
      <c r="A10859" t="str">
        <f>"Ikzf5"</f>
        <v>Ikzf5</v>
      </c>
      <c r="B10859" t="s">
        <v>14</v>
      </c>
      <c r="C10859" t="s">
        <v>33</v>
      </c>
      <c r="D10859" t="s">
        <v>11</v>
      </c>
      <c r="E10859" t="s">
        <v>12</v>
      </c>
      <c r="F10859">
        <v>131410495</v>
      </c>
      <c r="G10859">
        <v>131410520</v>
      </c>
      <c r="H10859">
        <v>131410325</v>
      </c>
      <c r="I10859">
        <v>131410346</v>
      </c>
    </row>
    <row r="10860" spans="1:9" x14ac:dyDescent="0.2">
      <c r="A10860" t="str">
        <f>"Il10"</f>
        <v>Il10</v>
      </c>
      <c r="B10860" t="s">
        <v>14</v>
      </c>
      <c r="C10860" t="s">
        <v>19</v>
      </c>
      <c r="D10860" t="s">
        <v>17</v>
      </c>
      <c r="E10860" t="s">
        <v>12</v>
      </c>
      <c r="F10860">
        <v>131019843</v>
      </c>
      <c r="G10860">
        <v>131019852</v>
      </c>
      <c r="H10860">
        <v>131019804</v>
      </c>
      <c r="I10860">
        <v>131019815</v>
      </c>
    </row>
    <row r="10861" spans="1:9" x14ac:dyDescent="0.2">
      <c r="A10861" t="str">
        <f>"Il10ra"</f>
        <v>Il10ra</v>
      </c>
      <c r="B10861" t="s">
        <v>14</v>
      </c>
      <c r="C10861" t="s">
        <v>24</v>
      </c>
      <c r="D10861" t="s">
        <v>11</v>
      </c>
      <c r="E10861" t="s">
        <v>12</v>
      </c>
      <c r="F10861">
        <v>45269135</v>
      </c>
      <c r="G10861">
        <v>45269156</v>
      </c>
      <c r="H10861">
        <v>45269181</v>
      </c>
      <c r="I10861">
        <v>45269188</v>
      </c>
    </row>
    <row r="10862" spans="1:9" x14ac:dyDescent="0.2">
      <c r="A10862" t="str">
        <f>"Il10rb"</f>
        <v>Il10rb</v>
      </c>
      <c r="B10862" t="s">
        <v>14</v>
      </c>
      <c r="C10862" t="s">
        <v>31</v>
      </c>
      <c r="D10862" t="s">
        <v>17</v>
      </c>
      <c r="E10862" t="s">
        <v>12</v>
      </c>
      <c r="F10862">
        <v>91406239</v>
      </c>
      <c r="G10862">
        <v>91406334</v>
      </c>
      <c r="H10862">
        <v>91406464</v>
      </c>
      <c r="I10862">
        <v>91406486</v>
      </c>
    </row>
    <row r="10863" spans="1:9" x14ac:dyDescent="0.2">
      <c r="A10863" t="str">
        <f>"Il11"</f>
        <v>Il11</v>
      </c>
      <c r="B10863" t="s">
        <v>14</v>
      </c>
      <c r="C10863" t="s">
        <v>33</v>
      </c>
      <c r="D10863" t="s">
        <v>11</v>
      </c>
      <c r="E10863" t="s">
        <v>12</v>
      </c>
      <c r="F10863">
        <v>4778141</v>
      </c>
      <c r="G10863">
        <v>4778144</v>
      </c>
      <c r="H10863">
        <v>4778141</v>
      </c>
      <c r="I10863">
        <v>4778144</v>
      </c>
    </row>
    <row r="10864" spans="1:9" x14ac:dyDescent="0.2">
      <c r="A10864" t="str">
        <f>"Il11ra1"</f>
        <v>Il11ra1</v>
      </c>
      <c r="B10864" t="s">
        <v>14</v>
      </c>
      <c r="C10864" t="s">
        <v>23</v>
      </c>
      <c r="D10864" t="s">
        <v>17</v>
      </c>
      <c r="E10864" t="s">
        <v>12</v>
      </c>
      <c r="F10864">
        <v>41760461</v>
      </c>
      <c r="G10864">
        <v>41760490</v>
      </c>
      <c r="H10864">
        <v>41760491</v>
      </c>
      <c r="I10864">
        <v>41760520</v>
      </c>
    </row>
    <row r="10865" spans="1:9" x14ac:dyDescent="0.2">
      <c r="A10865" t="str">
        <f>"Il11ra2"</f>
        <v>Il11ra2</v>
      </c>
      <c r="B10865" t="s">
        <v>4193</v>
      </c>
      <c r="C10865" t="s">
        <v>23</v>
      </c>
      <c r="D10865" t="s">
        <v>11</v>
      </c>
      <c r="E10865" t="s">
        <v>20</v>
      </c>
      <c r="F10865">
        <v>42661892</v>
      </c>
      <c r="G10865">
        <v>42661892</v>
      </c>
      <c r="H10865">
        <v>42661892</v>
      </c>
      <c r="I10865">
        <v>42661892</v>
      </c>
    </row>
    <row r="10866" spans="1:9" x14ac:dyDescent="0.2">
      <c r="A10866" t="str">
        <f>"Il12a"</f>
        <v>Il12a</v>
      </c>
      <c r="B10866" t="s">
        <v>14</v>
      </c>
      <c r="C10866" t="s">
        <v>22</v>
      </c>
      <c r="D10866" t="s">
        <v>17</v>
      </c>
      <c r="E10866" t="s">
        <v>12</v>
      </c>
      <c r="F10866">
        <v>68691372</v>
      </c>
      <c r="G10866">
        <v>68691411</v>
      </c>
      <c r="H10866">
        <v>68691329</v>
      </c>
      <c r="I10866">
        <v>68691363</v>
      </c>
    </row>
    <row r="10867" spans="1:9" x14ac:dyDescent="0.2">
      <c r="A10867" t="str">
        <f>"Il12b"</f>
        <v>Il12b</v>
      </c>
      <c r="B10867" t="s">
        <v>14</v>
      </c>
      <c r="C10867" t="s">
        <v>27</v>
      </c>
      <c r="D10867" t="s">
        <v>17</v>
      </c>
      <c r="E10867" t="s">
        <v>12</v>
      </c>
      <c r="F10867">
        <v>44400060</v>
      </c>
      <c r="G10867">
        <v>44400066</v>
      </c>
      <c r="H10867">
        <v>44400060</v>
      </c>
      <c r="I10867">
        <v>44400066</v>
      </c>
    </row>
    <row r="10868" spans="1:9" x14ac:dyDescent="0.2">
      <c r="A10868" t="str">
        <f>"Il12rb1"</f>
        <v>Il12rb1</v>
      </c>
      <c r="B10868" t="s">
        <v>14</v>
      </c>
      <c r="C10868" t="s">
        <v>30</v>
      </c>
      <c r="D10868" t="s">
        <v>17</v>
      </c>
      <c r="E10868" t="s">
        <v>12</v>
      </c>
      <c r="F10868">
        <v>70808431</v>
      </c>
      <c r="G10868">
        <v>70808474</v>
      </c>
      <c r="H10868">
        <v>70808378</v>
      </c>
      <c r="I10868">
        <v>70808400</v>
      </c>
    </row>
    <row r="10869" spans="1:9" x14ac:dyDescent="0.2">
      <c r="A10869" t="str">
        <f>"Il12rb2"</f>
        <v>Il12rb2</v>
      </c>
      <c r="B10869" t="s">
        <v>14</v>
      </c>
      <c r="C10869" t="s">
        <v>32</v>
      </c>
      <c r="D10869" t="s">
        <v>11</v>
      </c>
      <c r="E10869" t="s">
        <v>12</v>
      </c>
      <c r="F10869">
        <v>67376147</v>
      </c>
      <c r="G10869">
        <v>67376171</v>
      </c>
      <c r="H10869">
        <v>67376288</v>
      </c>
      <c r="I10869">
        <v>67376311</v>
      </c>
    </row>
    <row r="10870" spans="1:9" x14ac:dyDescent="0.2">
      <c r="A10870" t="str">
        <f>"Il13"</f>
        <v>Il13</v>
      </c>
      <c r="B10870" t="s">
        <v>14</v>
      </c>
      <c r="C10870" t="s">
        <v>27</v>
      </c>
      <c r="D10870" t="s">
        <v>11</v>
      </c>
      <c r="E10870" t="s">
        <v>12</v>
      </c>
      <c r="F10870">
        <v>53634698</v>
      </c>
      <c r="G10870">
        <v>53634703</v>
      </c>
      <c r="H10870">
        <v>53634742</v>
      </c>
      <c r="I10870">
        <v>53634743</v>
      </c>
    </row>
    <row r="10871" spans="1:9" x14ac:dyDescent="0.2">
      <c r="A10871" t="str">
        <f>"Il13ra1"</f>
        <v>Il13ra1</v>
      </c>
      <c r="B10871" t="s">
        <v>14</v>
      </c>
      <c r="C10871" t="s">
        <v>37</v>
      </c>
      <c r="D10871" t="s">
        <v>17</v>
      </c>
      <c r="E10871" t="s">
        <v>12</v>
      </c>
      <c r="F10871">
        <v>36112114</v>
      </c>
      <c r="G10871">
        <v>36112172</v>
      </c>
      <c r="H10871">
        <v>36112072</v>
      </c>
      <c r="I10871">
        <v>36112083</v>
      </c>
    </row>
    <row r="10872" spans="1:9" x14ac:dyDescent="0.2">
      <c r="A10872" t="str">
        <f>"Il13ra2"</f>
        <v>Il13ra2</v>
      </c>
      <c r="B10872" t="s">
        <v>14</v>
      </c>
      <c r="C10872" t="s">
        <v>37</v>
      </c>
      <c r="D10872" t="s">
        <v>11</v>
      </c>
      <c r="E10872" t="s">
        <v>12</v>
      </c>
      <c r="F10872">
        <v>147403777</v>
      </c>
      <c r="G10872">
        <v>147403812</v>
      </c>
      <c r="H10872">
        <v>147403777</v>
      </c>
      <c r="I10872">
        <v>147403812</v>
      </c>
    </row>
    <row r="10873" spans="1:9" x14ac:dyDescent="0.2">
      <c r="A10873" t="str">
        <f>"Il15"</f>
        <v>Il15</v>
      </c>
      <c r="B10873" t="s">
        <v>14</v>
      </c>
      <c r="C10873" t="s">
        <v>30</v>
      </c>
      <c r="D10873" t="s">
        <v>11</v>
      </c>
      <c r="E10873" t="s">
        <v>12</v>
      </c>
      <c r="F10873">
        <v>82403203</v>
      </c>
      <c r="G10873">
        <v>82403227</v>
      </c>
      <c r="H10873">
        <v>82402526</v>
      </c>
      <c r="I10873">
        <v>82402567</v>
      </c>
    </row>
    <row r="10874" spans="1:9" x14ac:dyDescent="0.2">
      <c r="A10874" t="str">
        <f>"Il15ra"</f>
        <v>Il15ra</v>
      </c>
      <c r="B10874" t="s">
        <v>14</v>
      </c>
      <c r="C10874" t="s">
        <v>26</v>
      </c>
      <c r="D10874" t="s">
        <v>17</v>
      </c>
      <c r="E10874" t="s">
        <v>12</v>
      </c>
      <c r="F10874">
        <v>11705355</v>
      </c>
      <c r="G10874">
        <v>11705375</v>
      </c>
      <c r="H10874">
        <v>11705730</v>
      </c>
      <c r="I10874">
        <v>11705767</v>
      </c>
    </row>
    <row r="10875" spans="1:9" x14ac:dyDescent="0.2">
      <c r="A10875" t="str">
        <f>"Il16"</f>
        <v>Il16</v>
      </c>
      <c r="B10875" t="s">
        <v>4194</v>
      </c>
      <c r="C10875" t="s">
        <v>33</v>
      </c>
      <c r="D10875" t="s">
        <v>11</v>
      </c>
      <c r="E10875" t="s">
        <v>35</v>
      </c>
      <c r="F10875">
        <v>83735534</v>
      </c>
      <c r="G10875">
        <v>83735543</v>
      </c>
      <c r="H10875">
        <v>83735426</v>
      </c>
      <c r="I10875">
        <v>83735436</v>
      </c>
    </row>
    <row r="10876" spans="1:9" x14ac:dyDescent="0.2">
      <c r="A10876" t="str">
        <f>"Il17a"</f>
        <v>Il17a</v>
      </c>
      <c r="B10876" t="s">
        <v>14</v>
      </c>
      <c r="C10876" t="s">
        <v>19</v>
      </c>
      <c r="D10876" t="s">
        <v>17</v>
      </c>
      <c r="E10876" t="s">
        <v>12</v>
      </c>
      <c r="F10876">
        <v>20730903</v>
      </c>
      <c r="G10876">
        <v>20730908</v>
      </c>
      <c r="H10876">
        <v>20730903</v>
      </c>
      <c r="I10876">
        <v>20730908</v>
      </c>
    </row>
    <row r="10877" spans="1:9" x14ac:dyDescent="0.2">
      <c r="A10877" t="str">
        <f>"Il17b"</f>
        <v>Il17b</v>
      </c>
      <c r="B10877" t="s">
        <v>14</v>
      </c>
      <c r="C10877" t="s">
        <v>43</v>
      </c>
      <c r="D10877" t="s">
        <v>17</v>
      </c>
      <c r="E10877" t="s">
        <v>12</v>
      </c>
      <c r="F10877">
        <v>61687911</v>
      </c>
      <c r="G10877">
        <v>61687922</v>
      </c>
      <c r="H10877">
        <v>61687951</v>
      </c>
      <c r="I10877">
        <v>61687997</v>
      </c>
    </row>
    <row r="10878" spans="1:9" x14ac:dyDescent="0.2">
      <c r="A10878" t="str">
        <f>"Il17c"</f>
        <v>Il17c</v>
      </c>
      <c r="B10878" t="s">
        <v>14</v>
      </c>
      <c r="C10878" t="s">
        <v>30</v>
      </c>
      <c r="D10878" t="s">
        <v>17</v>
      </c>
      <c r="E10878" t="s">
        <v>12</v>
      </c>
      <c r="F10878">
        <v>122421800</v>
      </c>
      <c r="G10878">
        <v>122421803</v>
      </c>
      <c r="H10878">
        <v>122421800</v>
      </c>
      <c r="I10878">
        <v>122421803</v>
      </c>
    </row>
    <row r="10879" spans="1:9" x14ac:dyDescent="0.2">
      <c r="A10879" t="str">
        <f>"Il17d"</f>
        <v>Il17d</v>
      </c>
      <c r="B10879" t="s">
        <v>14</v>
      </c>
      <c r="C10879" t="s">
        <v>41</v>
      </c>
      <c r="D10879" t="s">
        <v>17</v>
      </c>
      <c r="E10879" t="s">
        <v>12</v>
      </c>
      <c r="F10879">
        <v>57524734</v>
      </c>
      <c r="G10879">
        <v>57524804</v>
      </c>
      <c r="H10879">
        <v>57525052</v>
      </c>
      <c r="I10879">
        <v>57525105</v>
      </c>
    </row>
    <row r="10880" spans="1:9" x14ac:dyDescent="0.2">
      <c r="A10880" t="str">
        <f>"Il17f"</f>
        <v>Il17f</v>
      </c>
      <c r="B10880" t="s">
        <v>14</v>
      </c>
      <c r="C10880" t="s">
        <v>19</v>
      </c>
      <c r="D10880" t="s">
        <v>11</v>
      </c>
      <c r="E10880" t="s">
        <v>12</v>
      </c>
      <c r="F10880">
        <v>20784266</v>
      </c>
      <c r="G10880">
        <v>20784270</v>
      </c>
      <c r="H10880">
        <v>20784266</v>
      </c>
      <c r="I10880">
        <v>20784270</v>
      </c>
    </row>
    <row r="10881" spans="1:9" x14ac:dyDescent="0.2">
      <c r="A10881" t="str">
        <f>"Il17ra"</f>
        <v>Il17ra</v>
      </c>
      <c r="B10881" t="s">
        <v>14</v>
      </c>
      <c r="C10881" t="s">
        <v>32</v>
      </c>
      <c r="D10881" t="s">
        <v>17</v>
      </c>
      <c r="E10881" t="s">
        <v>12</v>
      </c>
      <c r="F10881">
        <v>120463200</v>
      </c>
      <c r="G10881">
        <v>120463253</v>
      </c>
      <c r="H10881">
        <v>120463320</v>
      </c>
      <c r="I10881">
        <v>120463335</v>
      </c>
    </row>
    <row r="10882" spans="1:9" x14ac:dyDescent="0.2">
      <c r="A10882" t="str">
        <f>"Il17rb"</f>
        <v>Il17rb</v>
      </c>
      <c r="B10882" t="s">
        <v>14</v>
      </c>
      <c r="C10882" t="s">
        <v>41</v>
      </c>
      <c r="D10882" t="s">
        <v>11</v>
      </c>
      <c r="E10882" t="s">
        <v>12</v>
      </c>
      <c r="F10882">
        <v>30008817</v>
      </c>
      <c r="G10882">
        <v>30008835</v>
      </c>
      <c r="H10882">
        <v>30008817</v>
      </c>
      <c r="I10882">
        <v>30008835</v>
      </c>
    </row>
    <row r="10883" spans="1:9" x14ac:dyDescent="0.2">
      <c r="A10883" t="str">
        <f>"Il17rc"</f>
        <v>Il17rc</v>
      </c>
      <c r="B10883" t="s">
        <v>14</v>
      </c>
      <c r="C10883" t="s">
        <v>32</v>
      </c>
      <c r="D10883" t="s">
        <v>17</v>
      </c>
      <c r="E10883" t="s">
        <v>12</v>
      </c>
      <c r="F10883">
        <v>113471481</v>
      </c>
      <c r="G10883">
        <v>113471513</v>
      </c>
      <c r="H10883">
        <v>113471515</v>
      </c>
      <c r="I10883">
        <v>113471540</v>
      </c>
    </row>
    <row r="10884" spans="1:9" x14ac:dyDescent="0.2">
      <c r="A10884" t="str">
        <f>"Il17rd"</f>
        <v>Il17rd</v>
      </c>
      <c r="B10884" t="s">
        <v>14</v>
      </c>
      <c r="C10884" t="s">
        <v>41</v>
      </c>
      <c r="D10884" t="s">
        <v>17</v>
      </c>
      <c r="E10884" t="s">
        <v>12</v>
      </c>
      <c r="F10884">
        <v>27039014</v>
      </c>
      <c r="G10884">
        <v>27039050</v>
      </c>
      <c r="H10884">
        <v>27039066</v>
      </c>
      <c r="I10884">
        <v>27039077</v>
      </c>
    </row>
    <row r="10885" spans="1:9" x14ac:dyDescent="0.2">
      <c r="A10885" t="str">
        <f>"Il17re"</f>
        <v>Il17re</v>
      </c>
      <c r="B10885" t="s">
        <v>14</v>
      </c>
      <c r="C10885" t="s">
        <v>32</v>
      </c>
      <c r="D10885" t="s">
        <v>17</v>
      </c>
      <c r="E10885" t="s">
        <v>12</v>
      </c>
      <c r="F10885">
        <v>113458765</v>
      </c>
      <c r="G10885">
        <v>113458836</v>
      </c>
      <c r="H10885">
        <v>113458844</v>
      </c>
      <c r="I10885">
        <v>113458854</v>
      </c>
    </row>
    <row r="10886" spans="1:9" x14ac:dyDescent="0.2">
      <c r="A10886" t="str">
        <f>"Il18"</f>
        <v>Il18</v>
      </c>
      <c r="B10886" t="s">
        <v>14</v>
      </c>
      <c r="C10886" t="s">
        <v>24</v>
      </c>
      <c r="D10886" t="s">
        <v>17</v>
      </c>
      <c r="E10886" t="s">
        <v>12</v>
      </c>
      <c r="F10886">
        <v>50554863</v>
      </c>
      <c r="G10886">
        <v>50554948</v>
      </c>
      <c r="H10886">
        <v>50554863</v>
      </c>
      <c r="I10886">
        <v>50554948</v>
      </c>
    </row>
    <row r="10887" spans="1:9" x14ac:dyDescent="0.2">
      <c r="A10887" t="str">
        <f>"Il18bp"</f>
        <v>Il18bp</v>
      </c>
      <c r="B10887" t="s">
        <v>14</v>
      </c>
      <c r="C10887" t="s">
        <v>33</v>
      </c>
      <c r="D10887" t="s">
        <v>11</v>
      </c>
      <c r="E10887" t="s">
        <v>12</v>
      </c>
      <c r="F10887">
        <v>102018139</v>
      </c>
      <c r="G10887">
        <v>102018206</v>
      </c>
      <c r="H10887">
        <v>102018139</v>
      </c>
      <c r="I10887">
        <v>102018206</v>
      </c>
    </row>
    <row r="10888" spans="1:9" x14ac:dyDescent="0.2">
      <c r="A10888" t="str">
        <f>"Il18r1"</f>
        <v>Il18r1</v>
      </c>
      <c r="B10888" t="s">
        <v>14</v>
      </c>
      <c r="C10888" t="s">
        <v>19</v>
      </c>
      <c r="D10888" t="s">
        <v>17</v>
      </c>
      <c r="E10888" t="s">
        <v>12</v>
      </c>
      <c r="F10888">
        <v>40465641</v>
      </c>
      <c r="G10888">
        <v>40465698</v>
      </c>
      <c r="H10888">
        <v>40465976</v>
      </c>
      <c r="I10888">
        <v>40466006</v>
      </c>
    </row>
    <row r="10889" spans="1:9" x14ac:dyDescent="0.2">
      <c r="A10889" t="str">
        <f>"Il18rap"</f>
        <v>Il18rap</v>
      </c>
      <c r="B10889" t="s">
        <v>14</v>
      </c>
      <c r="C10889" t="s">
        <v>19</v>
      </c>
      <c r="D10889" t="s">
        <v>17</v>
      </c>
      <c r="E10889" t="s">
        <v>12</v>
      </c>
      <c r="F10889">
        <v>40515377</v>
      </c>
      <c r="G10889">
        <v>40515431</v>
      </c>
      <c r="H10889">
        <v>40515442</v>
      </c>
      <c r="I10889">
        <v>40515458</v>
      </c>
    </row>
    <row r="10890" spans="1:9" x14ac:dyDescent="0.2">
      <c r="A10890" t="str">
        <f>"Il19"</f>
        <v>Il19</v>
      </c>
      <c r="B10890" t="s">
        <v>4195</v>
      </c>
      <c r="C10890" t="s">
        <v>19</v>
      </c>
      <c r="D10890" t="s">
        <v>11</v>
      </c>
      <c r="E10890" t="s">
        <v>20</v>
      </c>
      <c r="F10890">
        <v>130939240</v>
      </c>
      <c r="G10890">
        <v>130939240</v>
      </c>
      <c r="H10890">
        <v>130939240</v>
      </c>
      <c r="I10890">
        <v>130939240</v>
      </c>
    </row>
    <row r="10891" spans="1:9" x14ac:dyDescent="0.2">
      <c r="A10891" t="str">
        <f>"Il19"</f>
        <v>Il19</v>
      </c>
      <c r="B10891" t="s">
        <v>4196</v>
      </c>
      <c r="C10891" t="s">
        <v>19</v>
      </c>
      <c r="D10891" t="s">
        <v>11</v>
      </c>
      <c r="E10891" t="s">
        <v>20</v>
      </c>
      <c r="F10891">
        <v>130940072</v>
      </c>
      <c r="G10891">
        <v>130940072</v>
      </c>
      <c r="H10891">
        <v>130940072</v>
      </c>
      <c r="I10891">
        <v>130940072</v>
      </c>
    </row>
    <row r="10892" spans="1:9" x14ac:dyDescent="0.2">
      <c r="A10892" t="str">
        <f>"Il1a"</f>
        <v>Il1a</v>
      </c>
      <c r="B10892" t="s">
        <v>14</v>
      </c>
      <c r="C10892" t="s">
        <v>26</v>
      </c>
      <c r="D10892" t="s">
        <v>11</v>
      </c>
      <c r="E10892" t="s">
        <v>12</v>
      </c>
      <c r="F10892">
        <v>129309964</v>
      </c>
      <c r="G10892">
        <v>129309978</v>
      </c>
      <c r="H10892">
        <v>129309964</v>
      </c>
      <c r="I10892">
        <v>129309978</v>
      </c>
    </row>
    <row r="10893" spans="1:9" x14ac:dyDescent="0.2">
      <c r="A10893" t="str">
        <f>"Il1b"</f>
        <v>Il1b</v>
      </c>
      <c r="B10893" t="s">
        <v>14</v>
      </c>
      <c r="C10893" t="s">
        <v>26</v>
      </c>
      <c r="D10893" t="s">
        <v>11</v>
      </c>
      <c r="E10893" t="s">
        <v>12</v>
      </c>
      <c r="F10893">
        <v>129371131</v>
      </c>
      <c r="G10893">
        <v>129371146</v>
      </c>
      <c r="H10893">
        <v>129371131</v>
      </c>
      <c r="I10893">
        <v>129371146</v>
      </c>
    </row>
    <row r="10894" spans="1:9" x14ac:dyDescent="0.2">
      <c r="A10894" t="str">
        <f>"Il1f10"</f>
        <v>Il1f10</v>
      </c>
      <c r="B10894" t="s">
        <v>4197</v>
      </c>
      <c r="C10894" t="s">
        <v>26</v>
      </c>
      <c r="D10894" t="s">
        <v>17</v>
      </c>
      <c r="E10894" t="s">
        <v>20</v>
      </c>
      <c r="F10894">
        <v>24291195</v>
      </c>
      <c r="G10894">
        <v>24291195</v>
      </c>
      <c r="H10894">
        <v>24291195</v>
      </c>
      <c r="I10894">
        <v>24291195</v>
      </c>
    </row>
    <row r="10895" spans="1:9" x14ac:dyDescent="0.2">
      <c r="A10895" t="str">
        <f>"Il1f5"</f>
        <v>Il1f5</v>
      </c>
      <c r="B10895" t="s">
        <v>14</v>
      </c>
      <c r="C10895" t="s">
        <v>26</v>
      </c>
      <c r="D10895" t="s">
        <v>17</v>
      </c>
      <c r="E10895" t="s">
        <v>12</v>
      </c>
      <c r="F10895">
        <v>24277263</v>
      </c>
      <c r="G10895">
        <v>24277277</v>
      </c>
      <c r="H10895">
        <v>24276909</v>
      </c>
      <c r="I10895">
        <v>24276941</v>
      </c>
    </row>
    <row r="10896" spans="1:9" x14ac:dyDescent="0.2">
      <c r="A10896" t="str">
        <f>"Il1f6"</f>
        <v>Il1f6</v>
      </c>
      <c r="B10896" t="s">
        <v>14</v>
      </c>
      <c r="C10896" t="s">
        <v>26</v>
      </c>
      <c r="D10896" t="s">
        <v>17</v>
      </c>
      <c r="E10896" t="s">
        <v>12</v>
      </c>
      <c r="F10896">
        <v>24215468</v>
      </c>
      <c r="G10896">
        <v>24215474</v>
      </c>
      <c r="H10896">
        <v>24215468</v>
      </c>
      <c r="I10896">
        <v>24215474</v>
      </c>
    </row>
    <row r="10897" spans="1:9" x14ac:dyDescent="0.2">
      <c r="A10897" t="str">
        <f>"Il1f8"</f>
        <v>Il1f8</v>
      </c>
      <c r="B10897" t="s">
        <v>14</v>
      </c>
      <c r="C10897" t="s">
        <v>26</v>
      </c>
      <c r="D10897" t="s">
        <v>17</v>
      </c>
      <c r="E10897" t="s">
        <v>12</v>
      </c>
      <c r="F10897">
        <v>24153173</v>
      </c>
      <c r="G10897">
        <v>24153197</v>
      </c>
      <c r="H10897">
        <v>24153173</v>
      </c>
      <c r="I10897">
        <v>24153197</v>
      </c>
    </row>
    <row r="10898" spans="1:9" x14ac:dyDescent="0.2">
      <c r="A10898" t="str">
        <f>"Il1f9"</f>
        <v>Il1f9</v>
      </c>
      <c r="B10898" t="s">
        <v>14</v>
      </c>
      <c r="C10898" t="s">
        <v>26</v>
      </c>
      <c r="D10898" t="s">
        <v>17</v>
      </c>
      <c r="E10898" t="s">
        <v>12</v>
      </c>
      <c r="F10898">
        <v>24186435</v>
      </c>
      <c r="G10898">
        <v>24186451</v>
      </c>
      <c r="H10898">
        <v>24186469</v>
      </c>
      <c r="I10898">
        <v>24186484</v>
      </c>
    </row>
    <row r="10899" spans="1:9" x14ac:dyDescent="0.2">
      <c r="A10899" t="str">
        <f>"Il1r1"</f>
        <v>Il1r1</v>
      </c>
      <c r="B10899" t="s">
        <v>9</v>
      </c>
      <c r="C10899" t="s">
        <v>19</v>
      </c>
      <c r="D10899" t="s">
        <v>17</v>
      </c>
      <c r="E10899" t="s">
        <v>12</v>
      </c>
      <c r="F10899">
        <v>40266578</v>
      </c>
      <c r="G10899">
        <v>40266659</v>
      </c>
      <c r="H10899">
        <v>40266578</v>
      </c>
      <c r="I10899">
        <v>40266659</v>
      </c>
    </row>
    <row r="10900" spans="1:9" x14ac:dyDescent="0.2">
      <c r="A10900" t="str">
        <f>"Il1r1"</f>
        <v>Il1r1</v>
      </c>
      <c r="B10900" t="s">
        <v>13</v>
      </c>
      <c r="C10900" t="s">
        <v>19</v>
      </c>
      <c r="D10900" t="s">
        <v>17</v>
      </c>
      <c r="E10900" t="s">
        <v>12</v>
      </c>
      <c r="F10900">
        <v>40225051</v>
      </c>
      <c r="G10900">
        <v>40225082</v>
      </c>
      <c r="H10900">
        <v>40225051</v>
      </c>
      <c r="I10900">
        <v>40225082</v>
      </c>
    </row>
    <row r="10901" spans="1:9" x14ac:dyDescent="0.2">
      <c r="A10901" t="str">
        <f>"Il1r2"</f>
        <v>Il1r2</v>
      </c>
      <c r="B10901" t="s">
        <v>14</v>
      </c>
      <c r="C10901" t="s">
        <v>19</v>
      </c>
      <c r="D10901" t="s">
        <v>17</v>
      </c>
      <c r="E10901" t="s">
        <v>12</v>
      </c>
      <c r="F10901">
        <v>40084733</v>
      </c>
      <c r="G10901">
        <v>40084749</v>
      </c>
      <c r="H10901">
        <v>40084775</v>
      </c>
      <c r="I10901">
        <v>40084784</v>
      </c>
    </row>
    <row r="10902" spans="1:9" x14ac:dyDescent="0.2">
      <c r="A10902" t="str">
        <f>"Il1rap"</f>
        <v>Il1rap</v>
      </c>
      <c r="B10902" t="s">
        <v>14</v>
      </c>
      <c r="C10902" t="s">
        <v>31</v>
      </c>
      <c r="D10902" t="s">
        <v>17</v>
      </c>
      <c r="E10902" t="s">
        <v>12</v>
      </c>
      <c r="F10902">
        <v>26581725</v>
      </c>
      <c r="G10902">
        <v>26581763</v>
      </c>
      <c r="H10902">
        <v>26581725</v>
      </c>
      <c r="I10902">
        <v>26581763</v>
      </c>
    </row>
    <row r="10903" spans="1:9" x14ac:dyDescent="0.2">
      <c r="A10903" t="str">
        <f>"Il1rapl1"</f>
        <v>Il1rapl1</v>
      </c>
      <c r="B10903" t="s">
        <v>14</v>
      </c>
      <c r="C10903" t="s">
        <v>37</v>
      </c>
      <c r="D10903" t="s">
        <v>11</v>
      </c>
      <c r="E10903" t="s">
        <v>12</v>
      </c>
      <c r="F10903">
        <v>88115632</v>
      </c>
      <c r="G10903">
        <v>88115675</v>
      </c>
      <c r="H10903">
        <v>88115597</v>
      </c>
      <c r="I10903">
        <v>88115626</v>
      </c>
    </row>
    <row r="10904" spans="1:9" x14ac:dyDescent="0.2">
      <c r="A10904" t="str">
        <f>"Il1rapl2"</f>
        <v>Il1rapl2</v>
      </c>
      <c r="B10904" t="s">
        <v>14</v>
      </c>
      <c r="C10904" t="s">
        <v>37</v>
      </c>
      <c r="D10904" t="s">
        <v>17</v>
      </c>
      <c r="E10904" t="s">
        <v>12</v>
      </c>
      <c r="F10904">
        <v>137570780</v>
      </c>
      <c r="G10904">
        <v>137570784</v>
      </c>
      <c r="H10904">
        <v>137570968</v>
      </c>
      <c r="I10904">
        <v>137570990</v>
      </c>
    </row>
    <row r="10905" spans="1:9" x14ac:dyDescent="0.2">
      <c r="A10905" t="str">
        <f>"Il1rl1"</f>
        <v>Il1rl1</v>
      </c>
      <c r="B10905" t="s">
        <v>14</v>
      </c>
      <c r="C10905" t="s">
        <v>19</v>
      </c>
      <c r="D10905" t="s">
        <v>17</v>
      </c>
      <c r="E10905" t="s">
        <v>12</v>
      </c>
      <c r="F10905">
        <v>40439767</v>
      </c>
      <c r="G10905">
        <v>40439788</v>
      </c>
      <c r="H10905">
        <v>40439767</v>
      </c>
      <c r="I10905">
        <v>40439788</v>
      </c>
    </row>
    <row r="10906" spans="1:9" x14ac:dyDescent="0.2">
      <c r="A10906" t="str">
        <f>"Il1rl2"</f>
        <v>Il1rl2</v>
      </c>
      <c r="B10906" t="s">
        <v>14</v>
      </c>
      <c r="C10906" t="s">
        <v>19</v>
      </c>
      <c r="D10906" t="s">
        <v>17</v>
      </c>
      <c r="E10906" t="s">
        <v>12</v>
      </c>
      <c r="F10906">
        <v>40324570</v>
      </c>
      <c r="G10906">
        <v>40324623</v>
      </c>
      <c r="H10906">
        <v>40324542</v>
      </c>
      <c r="I10906">
        <v>40324554</v>
      </c>
    </row>
    <row r="10907" spans="1:9" x14ac:dyDescent="0.2">
      <c r="A10907" t="str">
        <f>"Il1rn"</f>
        <v>Il1rn</v>
      </c>
      <c r="B10907" t="s">
        <v>9</v>
      </c>
      <c r="C10907" t="s">
        <v>26</v>
      </c>
      <c r="D10907" t="s">
        <v>17</v>
      </c>
      <c r="E10907" t="s">
        <v>12</v>
      </c>
      <c r="F10907">
        <v>24336846</v>
      </c>
      <c r="G10907">
        <v>24336867</v>
      </c>
      <c r="H10907">
        <v>24336846</v>
      </c>
      <c r="I10907">
        <v>24336867</v>
      </c>
    </row>
    <row r="10908" spans="1:9" x14ac:dyDescent="0.2">
      <c r="A10908" t="str">
        <f>"Il1rn"</f>
        <v>Il1rn</v>
      </c>
      <c r="B10908" t="s">
        <v>13</v>
      </c>
      <c r="C10908" t="s">
        <v>26</v>
      </c>
      <c r="D10908" t="s">
        <v>17</v>
      </c>
      <c r="E10908" t="s">
        <v>12</v>
      </c>
      <c r="F10908">
        <v>24345305</v>
      </c>
      <c r="G10908">
        <v>24345347</v>
      </c>
      <c r="H10908">
        <v>24345305</v>
      </c>
      <c r="I10908">
        <v>24345347</v>
      </c>
    </row>
    <row r="10909" spans="1:9" x14ac:dyDescent="0.2">
      <c r="A10909" t="str">
        <f>"Il2"</f>
        <v>Il2</v>
      </c>
      <c r="B10909" t="s">
        <v>14</v>
      </c>
      <c r="C10909" t="s">
        <v>22</v>
      </c>
      <c r="D10909" t="s">
        <v>11</v>
      </c>
      <c r="E10909" t="s">
        <v>12</v>
      </c>
      <c r="F10909">
        <v>37125943</v>
      </c>
      <c r="G10909">
        <v>37125969</v>
      </c>
      <c r="H10909">
        <v>37126018</v>
      </c>
      <c r="I10909">
        <v>37126020</v>
      </c>
    </row>
    <row r="10910" spans="1:9" x14ac:dyDescent="0.2">
      <c r="A10910" t="str">
        <f>"Il20"</f>
        <v>Il20</v>
      </c>
      <c r="B10910" t="s">
        <v>14</v>
      </c>
      <c r="C10910" t="s">
        <v>19</v>
      </c>
      <c r="D10910" t="s">
        <v>11</v>
      </c>
      <c r="E10910" t="s">
        <v>12</v>
      </c>
      <c r="F10910">
        <v>130911441</v>
      </c>
      <c r="G10910">
        <v>130911451</v>
      </c>
      <c r="H10910">
        <v>130911441</v>
      </c>
      <c r="I10910">
        <v>130911451</v>
      </c>
    </row>
    <row r="10911" spans="1:9" x14ac:dyDescent="0.2">
      <c r="A10911" t="str">
        <f>"Il20ra"</f>
        <v>Il20ra</v>
      </c>
      <c r="B10911" t="s">
        <v>14</v>
      </c>
      <c r="C10911" t="s">
        <v>15</v>
      </c>
      <c r="D10911" t="s">
        <v>17</v>
      </c>
      <c r="E10911" t="s">
        <v>12</v>
      </c>
      <c r="F10911">
        <v>19712565</v>
      </c>
      <c r="G10911">
        <v>19712576</v>
      </c>
      <c r="H10911">
        <v>19712600</v>
      </c>
      <c r="I10911">
        <v>19712605</v>
      </c>
    </row>
    <row r="10912" spans="1:9" x14ac:dyDescent="0.2">
      <c r="A10912" t="str">
        <f>"Il20rb"</f>
        <v>Il20rb</v>
      </c>
      <c r="B10912" t="s">
        <v>9</v>
      </c>
      <c r="C10912" t="s">
        <v>24</v>
      </c>
      <c r="D10912" t="s">
        <v>11</v>
      </c>
      <c r="E10912" t="s">
        <v>12</v>
      </c>
      <c r="F10912">
        <v>100486462</v>
      </c>
      <c r="G10912">
        <v>100486492</v>
      </c>
      <c r="H10912">
        <v>100486462</v>
      </c>
      <c r="I10912">
        <v>100486492</v>
      </c>
    </row>
    <row r="10913" spans="1:9" x14ac:dyDescent="0.2">
      <c r="A10913" t="str">
        <f>"Il20rb"</f>
        <v>Il20rb</v>
      </c>
      <c r="B10913" t="s">
        <v>13</v>
      </c>
      <c r="C10913" t="s">
        <v>24</v>
      </c>
      <c r="D10913" t="s">
        <v>11</v>
      </c>
      <c r="E10913" t="s">
        <v>12</v>
      </c>
      <c r="F10913">
        <v>100466869</v>
      </c>
      <c r="G10913">
        <v>100466881</v>
      </c>
      <c r="H10913">
        <v>100466869</v>
      </c>
      <c r="I10913">
        <v>100466881</v>
      </c>
    </row>
    <row r="10914" spans="1:9" x14ac:dyDescent="0.2">
      <c r="A10914" t="str">
        <f>"Il21"</f>
        <v>Il21</v>
      </c>
      <c r="B10914" t="s">
        <v>14</v>
      </c>
      <c r="C10914" t="s">
        <v>22</v>
      </c>
      <c r="D10914" t="s">
        <v>11</v>
      </c>
      <c r="E10914" t="s">
        <v>12</v>
      </c>
      <c r="F10914">
        <v>37232633</v>
      </c>
      <c r="G10914">
        <v>37232637</v>
      </c>
      <c r="H10914">
        <v>37232633</v>
      </c>
      <c r="I10914">
        <v>37232637</v>
      </c>
    </row>
    <row r="10915" spans="1:9" x14ac:dyDescent="0.2">
      <c r="A10915" t="str">
        <f>"Il21r"</f>
        <v>Il21r</v>
      </c>
      <c r="B10915" t="s">
        <v>14</v>
      </c>
      <c r="C10915" t="s">
        <v>33</v>
      </c>
      <c r="D10915" t="s">
        <v>17</v>
      </c>
      <c r="E10915" t="s">
        <v>12</v>
      </c>
      <c r="F10915">
        <v>125603443</v>
      </c>
      <c r="G10915">
        <v>125603474</v>
      </c>
      <c r="H10915">
        <v>125603420</v>
      </c>
      <c r="I10915">
        <v>125603437</v>
      </c>
    </row>
    <row r="10916" spans="1:9" x14ac:dyDescent="0.2">
      <c r="A10916" t="str">
        <f>"Il22"</f>
        <v>Il22</v>
      </c>
      <c r="B10916" t="s">
        <v>4198</v>
      </c>
      <c r="C10916" t="s">
        <v>15</v>
      </c>
      <c r="D10916" t="s">
        <v>17</v>
      </c>
      <c r="E10916" t="s">
        <v>20</v>
      </c>
      <c r="F10916">
        <v>118204941</v>
      </c>
      <c r="G10916">
        <v>118204941</v>
      </c>
      <c r="H10916">
        <v>118204941</v>
      </c>
      <c r="I10916">
        <v>118204941</v>
      </c>
    </row>
    <row r="10917" spans="1:9" x14ac:dyDescent="0.2">
      <c r="A10917" t="str">
        <f>"Il22ra1"</f>
        <v>Il22ra1</v>
      </c>
      <c r="B10917" t="s">
        <v>14</v>
      </c>
      <c r="C10917" t="s">
        <v>23</v>
      </c>
      <c r="D10917" t="s">
        <v>17</v>
      </c>
      <c r="E10917" t="s">
        <v>12</v>
      </c>
      <c r="F10917">
        <v>135728116</v>
      </c>
      <c r="G10917">
        <v>135728190</v>
      </c>
      <c r="H10917">
        <v>135728116</v>
      </c>
      <c r="I10917">
        <v>135728190</v>
      </c>
    </row>
    <row r="10918" spans="1:9" x14ac:dyDescent="0.2">
      <c r="A10918" t="str">
        <f>"Il22ra2"</f>
        <v>Il22ra2</v>
      </c>
      <c r="B10918" t="s">
        <v>14</v>
      </c>
      <c r="C10918" t="s">
        <v>15</v>
      </c>
      <c r="D10918" t="s">
        <v>17</v>
      </c>
      <c r="E10918" t="s">
        <v>12</v>
      </c>
      <c r="F10918">
        <v>19622014</v>
      </c>
      <c r="G10918">
        <v>19622035</v>
      </c>
      <c r="H10918">
        <v>19621992</v>
      </c>
      <c r="I10918">
        <v>19622004</v>
      </c>
    </row>
    <row r="10919" spans="1:9" x14ac:dyDescent="0.2">
      <c r="A10919" t="str">
        <f>"Il23a"</f>
        <v>Il23a</v>
      </c>
      <c r="B10919" t="s">
        <v>14</v>
      </c>
      <c r="C10919" t="s">
        <v>15</v>
      </c>
      <c r="D10919" t="s">
        <v>11</v>
      </c>
      <c r="E10919" t="s">
        <v>12</v>
      </c>
      <c r="F10919">
        <v>128298078</v>
      </c>
      <c r="G10919">
        <v>128298099</v>
      </c>
      <c r="H10919">
        <v>128298157</v>
      </c>
      <c r="I10919">
        <v>128298158</v>
      </c>
    </row>
    <row r="10920" spans="1:9" x14ac:dyDescent="0.2">
      <c r="A10920" t="str">
        <f>"Il23r"</f>
        <v>Il23r</v>
      </c>
      <c r="B10920" t="s">
        <v>14</v>
      </c>
      <c r="C10920" t="s">
        <v>32</v>
      </c>
      <c r="D10920" t="s">
        <v>11</v>
      </c>
      <c r="E10920" t="s">
        <v>12</v>
      </c>
      <c r="F10920">
        <v>67491849</v>
      </c>
      <c r="G10920">
        <v>67491862</v>
      </c>
      <c r="H10920">
        <v>67491849</v>
      </c>
      <c r="I10920">
        <v>67491862</v>
      </c>
    </row>
    <row r="10921" spans="1:9" x14ac:dyDescent="0.2">
      <c r="A10921" t="str">
        <f>"Il24"</f>
        <v>Il24</v>
      </c>
      <c r="B10921" t="s">
        <v>14</v>
      </c>
      <c r="C10921" t="s">
        <v>19</v>
      </c>
      <c r="D10921" t="s">
        <v>11</v>
      </c>
      <c r="E10921" t="s">
        <v>12</v>
      </c>
      <c r="F10921">
        <v>130887408</v>
      </c>
      <c r="G10921">
        <v>130887421</v>
      </c>
      <c r="H10921">
        <v>130887408</v>
      </c>
      <c r="I10921">
        <v>130887421</v>
      </c>
    </row>
    <row r="10922" spans="1:9" x14ac:dyDescent="0.2">
      <c r="A10922" t="str">
        <f>"Il25"</f>
        <v>Il25</v>
      </c>
      <c r="B10922" t="s">
        <v>14</v>
      </c>
      <c r="C10922" t="s">
        <v>41</v>
      </c>
      <c r="D10922" t="s">
        <v>17</v>
      </c>
      <c r="E10922" t="s">
        <v>12</v>
      </c>
      <c r="F10922">
        <v>54932708</v>
      </c>
      <c r="G10922">
        <v>54932710</v>
      </c>
      <c r="H10922">
        <v>54932708</v>
      </c>
      <c r="I10922">
        <v>54932710</v>
      </c>
    </row>
    <row r="10923" spans="1:9" x14ac:dyDescent="0.2">
      <c r="A10923" t="str">
        <f>"Il27"</f>
        <v>Il27</v>
      </c>
      <c r="B10923" t="s">
        <v>14</v>
      </c>
      <c r="C10923" t="s">
        <v>33</v>
      </c>
      <c r="D10923" t="s">
        <v>11</v>
      </c>
      <c r="E10923" t="s">
        <v>12</v>
      </c>
      <c r="F10923">
        <v>126595012</v>
      </c>
      <c r="G10923">
        <v>126595037</v>
      </c>
      <c r="H10923">
        <v>126594930</v>
      </c>
      <c r="I10923">
        <v>126594934</v>
      </c>
    </row>
    <row r="10924" spans="1:9" x14ac:dyDescent="0.2">
      <c r="A10924" t="str">
        <f>"Il27ra"</f>
        <v>Il27ra</v>
      </c>
      <c r="B10924" t="s">
        <v>14</v>
      </c>
      <c r="C10924" t="s">
        <v>30</v>
      </c>
      <c r="D10924" t="s">
        <v>11</v>
      </c>
      <c r="E10924" t="s">
        <v>12</v>
      </c>
      <c r="F10924">
        <v>84042540</v>
      </c>
      <c r="G10924">
        <v>84042599</v>
      </c>
      <c r="H10924">
        <v>84042540</v>
      </c>
      <c r="I10924">
        <v>84042599</v>
      </c>
    </row>
    <row r="10925" spans="1:9" x14ac:dyDescent="0.2">
      <c r="A10925" t="str">
        <f>"Il2ra"</f>
        <v>Il2ra</v>
      </c>
      <c r="B10925" t="s">
        <v>14</v>
      </c>
      <c r="C10925" t="s">
        <v>26</v>
      </c>
      <c r="D10925" t="s">
        <v>17</v>
      </c>
      <c r="E10925" t="s">
        <v>12</v>
      </c>
      <c r="F10925">
        <v>11642842</v>
      </c>
      <c r="G10925">
        <v>11642863</v>
      </c>
      <c r="H10925">
        <v>11642799</v>
      </c>
      <c r="I10925">
        <v>11642812</v>
      </c>
    </row>
    <row r="10926" spans="1:9" x14ac:dyDescent="0.2">
      <c r="A10926" t="str">
        <f>"Il2rb"</f>
        <v>Il2rb</v>
      </c>
      <c r="B10926" t="s">
        <v>14</v>
      </c>
      <c r="C10926" t="s">
        <v>25</v>
      </c>
      <c r="D10926" t="s">
        <v>11</v>
      </c>
      <c r="E10926" t="s">
        <v>12</v>
      </c>
      <c r="F10926">
        <v>78495059</v>
      </c>
      <c r="G10926">
        <v>78495073</v>
      </c>
      <c r="H10926">
        <v>78495037</v>
      </c>
      <c r="I10926">
        <v>78495048</v>
      </c>
    </row>
    <row r="10927" spans="1:9" x14ac:dyDescent="0.2">
      <c r="A10927" t="str">
        <f>"Il2rg"</f>
        <v>Il2rg</v>
      </c>
      <c r="B10927" t="s">
        <v>14</v>
      </c>
      <c r="C10927" t="s">
        <v>37</v>
      </c>
      <c r="D10927" t="s">
        <v>11</v>
      </c>
      <c r="E10927" t="s">
        <v>12</v>
      </c>
      <c r="F10927">
        <v>101268182</v>
      </c>
      <c r="G10927">
        <v>101268209</v>
      </c>
      <c r="H10927">
        <v>101268218</v>
      </c>
      <c r="I10927">
        <v>101268229</v>
      </c>
    </row>
    <row r="10928" spans="1:9" x14ac:dyDescent="0.2">
      <c r="A10928" t="str">
        <f>"Il3"</f>
        <v>Il3</v>
      </c>
      <c r="B10928" t="s">
        <v>14</v>
      </c>
      <c r="C10928" t="s">
        <v>27</v>
      </c>
      <c r="D10928" t="s">
        <v>11</v>
      </c>
      <c r="E10928" t="s">
        <v>12</v>
      </c>
      <c r="F10928">
        <v>54267276</v>
      </c>
      <c r="G10928">
        <v>54267280</v>
      </c>
      <c r="H10928">
        <v>54267276</v>
      </c>
      <c r="I10928">
        <v>54267280</v>
      </c>
    </row>
    <row r="10929" spans="1:9" x14ac:dyDescent="0.2">
      <c r="A10929" t="str">
        <f>"Il31"</f>
        <v>Il31</v>
      </c>
      <c r="B10929" t="s">
        <v>14</v>
      </c>
      <c r="C10929" t="s">
        <v>46</v>
      </c>
      <c r="D10929" t="s">
        <v>11</v>
      </c>
      <c r="E10929" t="s">
        <v>12</v>
      </c>
      <c r="F10929">
        <v>123482569</v>
      </c>
      <c r="G10929">
        <v>123482598</v>
      </c>
      <c r="H10929">
        <v>123482609</v>
      </c>
      <c r="I10929">
        <v>123482627</v>
      </c>
    </row>
    <row r="10930" spans="1:9" x14ac:dyDescent="0.2">
      <c r="A10930" t="str">
        <f>"Il31ra"</f>
        <v>Il31ra</v>
      </c>
      <c r="B10930" t="s">
        <v>14</v>
      </c>
      <c r="C10930" t="s">
        <v>39</v>
      </c>
      <c r="D10930" t="s">
        <v>11</v>
      </c>
      <c r="E10930" t="s">
        <v>12</v>
      </c>
      <c r="F10930">
        <v>112580711</v>
      </c>
      <c r="G10930">
        <v>112580728</v>
      </c>
      <c r="H10930">
        <v>112580711</v>
      </c>
      <c r="I10930">
        <v>112580728</v>
      </c>
    </row>
    <row r="10931" spans="1:9" x14ac:dyDescent="0.2">
      <c r="A10931" t="str">
        <f>"Il33"</f>
        <v>Il33</v>
      </c>
      <c r="B10931" t="s">
        <v>14</v>
      </c>
      <c r="C10931" t="s">
        <v>10</v>
      </c>
      <c r="D10931" t="s">
        <v>17</v>
      </c>
      <c r="E10931" t="s">
        <v>12</v>
      </c>
      <c r="F10931">
        <v>29925107</v>
      </c>
      <c r="G10931">
        <v>29925122</v>
      </c>
      <c r="H10931">
        <v>29925107</v>
      </c>
      <c r="I10931">
        <v>29925122</v>
      </c>
    </row>
    <row r="10932" spans="1:9" x14ac:dyDescent="0.2">
      <c r="A10932" t="str">
        <f>"Il34"</f>
        <v>Il34</v>
      </c>
      <c r="B10932" t="s">
        <v>14</v>
      </c>
      <c r="C10932" t="s">
        <v>30</v>
      </c>
      <c r="D10932" t="s">
        <v>11</v>
      </c>
      <c r="E10932" t="s">
        <v>12</v>
      </c>
      <c r="F10932">
        <v>110805863</v>
      </c>
      <c r="G10932">
        <v>110805952</v>
      </c>
      <c r="H10932">
        <v>110805863</v>
      </c>
      <c r="I10932">
        <v>110805952</v>
      </c>
    </row>
    <row r="10933" spans="1:9" x14ac:dyDescent="0.2">
      <c r="A10933" t="str">
        <f>"Il3ra"</f>
        <v>Il3ra</v>
      </c>
      <c r="B10933" t="s">
        <v>14</v>
      </c>
      <c r="C10933" t="s">
        <v>41</v>
      </c>
      <c r="D10933" t="s">
        <v>17</v>
      </c>
      <c r="E10933" t="s">
        <v>12</v>
      </c>
      <c r="F10933">
        <v>14346400</v>
      </c>
      <c r="G10933">
        <v>14346477</v>
      </c>
      <c r="H10933">
        <v>14346400</v>
      </c>
      <c r="I10933">
        <v>14346477</v>
      </c>
    </row>
    <row r="10934" spans="1:9" x14ac:dyDescent="0.2">
      <c r="A10934" t="str">
        <f>"Il4"</f>
        <v>Il4</v>
      </c>
      <c r="B10934" t="s">
        <v>14</v>
      </c>
      <c r="C10934" t="s">
        <v>27</v>
      </c>
      <c r="D10934" t="s">
        <v>11</v>
      </c>
      <c r="E10934" t="s">
        <v>12</v>
      </c>
      <c r="F10934">
        <v>53618659</v>
      </c>
      <c r="G10934">
        <v>53618668</v>
      </c>
      <c r="H10934">
        <v>53618659</v>
      </c>
      <c r="I10934">
        <v>53618668</v>
      </c>
    </row>
    <row r="10935" spans="1:9" x14ac:dyDescent="0.2">
      <c r="A10935" t="str">
        <f>"Il4i1"</f>
        <v>Il4i1</v>
      </c>
      <c r="B10935" t="s">
        <v>14</v>
      </c>
      <c r="C10935" t="s">
        <v>33</v>
      </c>
      <c r="D10935" t="s">
        <v>17</v>
      </c>
      <c r="E10935" t="s">
        <v>12</v>
      </c>
      <c r="F10935">
        <v>44816386</v>
      </c>
      <c r="G10935">
        <v>44816406</v>
      </c>
      <c r="H10935">
        <v>44816290</v>
      </c>
      <c r="I10935">
        <v>44816308</v>
      </c>
    </row>
    <row r="10936" spans="1:9" x14ac:dyDescent="0.2">
      <c r="A10936" t="str">
        <f>"Il4ra"</f>
        <v>Il4ra</v>
      </c>
      <c r="B10936" t="s">
        <v>14</v>
      </c>
      <c r="C10936" t="s">
        <v>33</v>
      </c>
      <c r="D10936" t="s">
        <v>17</v>
      </c>
      <c r="E10936" t="s">
        <v>12</v>
      </c>
      <c r="F10936">
        <v>125552260</v>
      </c>
      <c r="G10936">
        <v>125552306</v>
      </c>
      <c r="H10936">
        <v>125552235</v>
      </c>
      <c r="I10936">
        <v>125552257</v>
      </c>
    </row>
    <row r="10937" spans="1:9" x14ac:dyDescent="0.2">
      <c r="A10937" t="str">
        <f>"Il5"</f>
        <v>Il5</v>
      </c>
      <c r="B10937" t="s">
        <v>14</v>
      </c>
      <c r="C10937" t="s">
        <v>27</v>
      </c>
      <c r="D10937" t="s">
        <v>17</v>
      </c>
      <c r="E10937" t="s">
        <v>12</v>
      </c>
      <c r="F10937">
        <v>53720790</v>
      </c>
      <c r="G10937">
        <v>53720795</v>
      </c>
      <c r="H10937">
        <v>53720790</v>
      </c>
      <c r="I10937">
        <v>53720795</v>
      </c>
    </row>
    <row r="10938" spans="1:9" x14ac:dyDescent="0.2">
      <c r="A10938" t="str">
        <f>"Il5ra"</f>
        <v>Il5ra</v>
      </c>
      <c r="B10938" t="s">
        <v>14</v>
      </c>
      <c r="C10938" t="s">
        <v>32</v>
      </c>
      <c r="D10938" t="s">
        <v>11</v>
      </c>
      <c r="E10938" t="s">
        <v>12</v>
      </c>
      <c r="F10938">
        <v>106748959</v>
      </c>
      <c r="G10938">
        <v>106748992</v>
      </c>
      <c r="H10938">
        <v>106748959</v>
      </c>
      <c r="I10938">
        <v>106748992</v>
      </c>
    </row>
    <row r="10939" spans="1:9" x14ac:dyDescent="0.2">
      <c r="A10939" t="str">
        <f>"Il6"</f>
        <v>Il6</v>
      </c>
      <c r="B10939" t="s">
        <v>14</v>
      </c>
      <c r="C10939" t="s">
        <v>46</v>
      </c>
      <c r="D10939" t="s">
        <v>17</v>
      </c>
      <c r="E10939" t="s">
        <v>12</v>
      </c>
      <c r="F10939">
        <v>30013141</v>
      </c>
      <c r="G10939">
        <v>30013143</v>
      </c>
      <c r="H10939">
        <v>30013383</v>
      </c>
      <c r="I10939">
        <v>30013395</v>
      </c>
    </row>
    <row r="10940" spans="1:9" x14ac:dyDescent="0.2">
      <c r="A10940" t="str">
        <f>"Il6ra"</f>
        <v>Il6ra</v>
      </c>
      <c r="B10940" t="s">
        <v>14</v>
      </c>
      <c r="C10940" t="s">
        <v>22</v>
      </c>
      <c r="D10940" t="s">
        <v>11</v>
      </c>
      <c r="E10940" t="s">
        <v>12</v>
      </c>
      <c r="F10940">
        <v>89913144</v>
      </c>
      <c r="G10940">
        <v>89913172</v>
      </c>
      <c r="H10940">
        <v>89913186</v>
      </c>
      <c r="I10940">
        <v>89913202</v>
      </c>
    </row>
    <row r="10941" spans="1:9" x14ac:dyDescent="0.2">
      <c r="A10941" t="str">
        <f>"Il6st"</f>
        <v>Il6st</v>
      </c>
      <c r="B10941" t="s">
        <v>14</v>
      </c>
      <c r="C10941" t="s">
        <v>39</v>
      </c>
      <c r="D10941" t="s">
        <v>17</v>
      </c>
      <c r="E10941" t="s">
        <v>12</v>
      </c>
      <c r="F10941">
        <v>112464084</v>
      </c>
      <c r="G10941">
        <v>112464162</v>
      </c>
      <c r="H10941">
        <v>112464084</v>
      </c>
      <c r="I10941">
        <v>112464162</v>
      </c>
    </row>
    <row r="10942" spans="1:9" x14ac:dyDescent="0.2">
      <c r="A10942" t="str">
        <f>"Il7"</f>
        <v>Il7</v>
      </c>
      <c r="B10942" t="s">
        <v>14</v>
      </c>
      <c r="C10942" t="s">
        <v>22</v>
      </c>
      <c r="D10942" t="s">
        <v>11</v>
      </c>
      <c r="E10942" t="s">
        <v>12</v>
      </c>
      <c r="F10942">
        <v>7613738</v>
      </c>
      <c r="G10942">
        <v>7613765</v>
      </c>
      <c r="H10942">
        <v>7613418</v>
      </c>
      <c r="I10942">
        <v>7613440</v>
      </c>
    </row>
    <row r="10943" spans="1:9" x14ac:dyDescent="0.2">
      <c r="A10943" t="str">
        <f>"Il7r"</f>
        <v>Il7r</v>
      </c>
      <c r="B10943" t="s">
        <v>14</v>
      </c>
      <c r="C10943" t="s">
        <v>25</v>
      </c>
      <c r="D10943" t="s">
        <v>11</v>
      </c>
      <c r="E10943" t="s">
        <v>12</v>
      </c>
      <c r="F10943">
        <v>9529813</v>
      </c>
      <c r="G10943">
        <v>9529846</v>
      </c>
      <c r="H10943">
        <v>9529850</v>
      </c>
      <c r="I10943">
        <v>9529865</v>
      </c>
    </row>
    <row r="10944" spans="1:9" x14ac:dyDescent="0.2">
      <c r="A10944" t="str">
        <f>"Il9"</f>
        <v>Il9</v>
      </c>
      <c r="B10944" t="s">
        <v>14</v>
      </c>
      <c r="C10944" t="s">
        <v>39</v>
      </c>
      <c r="D10944" t="s">
        <v>11</v>
      </c>
      <c r="E10944" t="s">
        <v>12</v>
      </c>
      <c r="F10944">
        <v>56482255</v>
      </c>
      <c r="G10944">
        <v>56482258</v>
      </c>
      <c r="H10944">
        <v>56482255</v>
      </c>
      <c r="I10944">
        <v>56482258</v>
      </c>
    </row>
    <row r="10945" spans="1:9" x14ac:dyDescent="0.2">
      <c r="A10945" t="str">
        <f>"Il9r"</f>
        <v>Il9r</v>
      </c>
      <c r="B10945" t="s">
        <v>14</v>
      </c>
      <c r="C10945" t="s">
        <v>27</v>
      </c>
      <c r="D10945" t="s">
        <v>11</v>
      </c>
      <c r="E10945" t="s">
        <v>12</v>
      </c>
      <c r="F10945">
        <v>32200273</v>
      </c>
      <c r="G10945">
        <v>32200286</v>
      </c>
      <c r="H10945">
        <v>32200251</v>
      </c>
      <c r="I10945">
        <v>32200269</v>
      </c>
    </row>
    <row r="10946" spans="1:9" x14ac:dyDescent="0.2">
      <c r="A10946" t="str">
        <f>"Ildr1"</f>
        <v>Ildr1</v>
      </c>
      <c r="B10946" t="s">
        <v>14</v>
      </c>
      <c r="C10946" t="s">
        <v>31</v>
      </c>
      <c r="D10946" t="s">
        <v>17</v>
      </c>
      <c r="E10946" t="s">
        <v>12</v>
      </c>
      <c r="F10946">
        <v>36694043</v>
      </c>
      <c r="G10946">
        <v>36694062</v>
      </c>
      <c r="H10946">
        <v>36693972</v>
      </c>
      <c r="I10946">
        <v>36694000</v>
      </c>
    </row>
    <row r="10947" spans="1:9" x14ac:dyDescent="0.2">
      <c r="A10947" t="str">
        <f>"Ildr2"</f>
        <v>Ildr2</v>
      </c>
      <c r="B10947" t="s">
        <v>14</v>
      </c>
      <c r="C10947" t="s">
        <v>19</v>
      </c>
      <c r="D10947" t="s">
        <v>17</v>
      </c>
      <c r="E10947" t="s">
        <v>12</v>
      </c>
      <c r="F10947">
        <v>166254186</v>
      </c>
      <c r="G10947">
        <v>166254249</v>
      </c>
      <c r="H10947">
        <v>166254095</v>
      </c>
      <c r="I10947">
        <v>166254156</v>
      </c>
    </row>
    <row r="10948" spans="1:9" x14ac:dyDescent="0.2">
      <c r="A10948" t="str">
        <f>"Ilf2"</f>
        <v>Ilf2</v>
      </c>
      <c r="B10948" t="s">
        <v>14</v>
      </c>
      <c r="C10948" t="s">
        <v>22</v>
      </c>
      <c r="D10948" t="s">
        <v>17</v>
      </c>
      <c r="E10948" t="s">
        <v>12</v>
      </c>
      <c r="F10948">
        <v>90476121</v>
      </c>
      <c r="G10948">
        <v>90476220</v>
      </c>
      <c r="H10948">
        <v>90476121</v>
      </c>
      <c r="I10948">
        <v>90476220</v>
      </c>
    </row>
    <row r="10949" spans="1:9" x14ac:dyDescent="0.2">
      <c r="A10949" t="str">
        <f>"Ilf3"</f>
        <v>Ilf3</v>
      </c>
      <c r="B10949" t="s">
        <v>14</v>
      </c>
      <c r="C10949" t="s">
        <v>24</v>
      </c>
      <c r="D10949" t="s">
        <v>17</v>
      </c>
      <c r="E10949" t="s">
        <v>12</v>
      </c>
      <c r="F10949">
        <v>21367890</v>
      </c>
      <c r="G10949">
        <v>21367970</v>
      </c>
      <c r="H10949">
        <v>21368014</v>
      </c>
      <c r="I10949">
        <v>21368027</v>
      </c>
    </row>
    <row r="10950" spans="1:9" x14ac:dyDescent="0.2">
      <c r="A10950" t="str">
        <f>"Ilk"</f>
        <v>Ilk</v>
      </c>
      <c r="B10950" t="s">
        <v>14</v>
      </c>
      <c r="C10950" t="s">
        <v>33</v>
      </c>
      <c r="D10950" t="s">
        <v>17</v>
      </c>
      <c r="E10950" t="s">
        <v>12</v>
      </c>
      <c r="F10950">
        <v>105736644</v>
      </c>
      <c r="G10950">
        <v>105736698</v>
      </c>
      <c r="H10950">
        <v>105736702</v>
      </c>
      <c r="I10950">
        <v>105736735</v>
      </c>
    </row>
    <row r="10951" spans="1:9" x14ac:dyDescent="0.2">
      <c r="A10951" t="str">
        <f>"Ilkap"</f>
        <v>Ilkap</v>
      </c>
      <c r="B10951" t="s">
        <v>14</v>
      </c>
      <c r="C10951" t="s">
        <v>19</v>
      </c>
      <c r="D10951" t="s">
        <v>11</v>
      </c>
      <c r="E10951" t="s">
        <v>12</v>
      </c>
      <c r="F10951">
        <v>91398768</v>
      </c>
      <c r="G10951">
        <v>91398837</v>
      </c>
      <c r="H10951">
        <v>91398726</v>
      </c>
      <c r="I10951">
        <v>91398765</v>
      </c>
    </row>
    <row r="10952" spans="1:9" x14ac:dyDescent="0.2">
      <c r="A10952" t="str">
        <f>"Iltifb"</f>
        <v>Iltifb</v>
      </c>
      <c r="B10952" t="s">
        <v>4199</v>
      </c>
      <c r="C10952" t="s">
        <v>15</v>
      </c>
      <c r="D10952" t="s">
        <v>11</v>
      </c>
      <c r="E10952" t="s">
        <v>20</v>
      </c>
      <c r="F10952">
        <v>118295037</v>
      </c>
      <c r="G10952">
        <v>118295037</v>
      </c>
      <c r="H10952">
        <v>118295037</v>
      </c>
      <c r="I10952">
        <v>118295037</v>
      </c>
    </row>
    <row r="10953" spans="1:9" x14ac:dyDescent="0.2">
      <c r="A10953" t="str">
        <f>"Ilvbl"</f>
        <v>Ilvbl</v>
      </c>
      <c r="B10953" t="s">
        <v>14</v>
      </c>
      <c r="C10953" t="s">
        <v>15</v>
      </c>
      <c r="D10953" t="s">
        <v>17</v>
      </c>
      <c r="E10953" t="s">
        <v>12</v>
      </c>
      <c r="F10953">
        <v>78574990</v>
      </c>
      <c r="G10953">
        <v>78575063</v>
      </c>
      <c r="H10953">
        <v>78574492</v>
      </c>
      <c r="I10953">
        <v>78574545</v>
      </c>
    </row>
    <row r="10954" spans="1:9" x14ac:dyDescent="0.2">
      <c r="A10954" t="str">
        <f>"Immp1l"</f>
        <v>Immp1l</v>
      </c>
      <c r="B10954" t="s">
        <v>14</v>
      </c>
      <c r="C10954" t="s">
        <v>26</v>
      </c>
      <c r="D10954" t="s">
        <v>17</v>
      </c>
      <c r="E10954" t="s">
        <v>12</v>
      </c>
      <c r="F10954">
        <v>105904629</v>
      </c>
      <c r="G10954">
        <v>105904685</v>
      </c>
      <c r="H10954">
        <v>105904248</v>
      </c>
      <c r="I10954">
        <v>105904297</v>
      </c>
    </row>
    <row r="10955" spans="1:9" x14ac:dyDescent="0.2">
      <c r="A10955" t="str">
        <f>"Immp2l"</f>
        <v>Immp2l</v>
      </c>
      <c r="B10955" t="s">
        <v>14</v>
      </c>
      <c r="C10955" t="s">
        <v>16</v>
      </c>
      <c r="D10955" t="s">
        <v>17</v>
      </c>
      <c r="E10955" t="s">
        <v>12</v>
      </c>
      <c r="F10955">
        <v>41024096</v>
      </c>
      <c r="G10955">
        <v>41024134</v>
      </c>
      <c r="H10955">
        <v>41024355</v>
      </c>
      <c r="I10955">
        <v>41024367</v>
      </c>
    </row>
    <row r="10956" spans="1:9" x14ac:dyDescent="0.2">
      <c r="A10956" t="str">
        <f>"Immt"</f>
        <v>Immt</v>
      </c>
      <c r="B10956" t="s">
        <v>14</v>
      </c>
      <c r="C10956" t="s">
        <v>32</v>
      </c>
      <c r="D10956" t="s">
        <v>17</v>
      </c>
      <c r="E10956" t="s">
        <v>12</v>
      </c>
      <c r="F10956">
        <v>71831325</v>
      </c>
      <c r="G10956">
        <v>71831410</v>
      </c>
      <c r="H10956">
        <v>71831426</v>
      </c>
      <c r="I10956">
        <v>71831437</v>
      </c>
    </row>
    <row r="10957" spans="1:9" x14ac:dyDescent="0.2">
      <c r="A10957" t="str">
        <f>"Imp3"</f>
        <v>Imp3</v>
      </c>
      <c r="B10957" t="s">
        <v>14</v>
      </c>
      <c r="C10957" t="s">
        <v>24</v>
      </c>
      <c r="D10957" t="s">
        <v>17</v>
      </c>
      <c r="E10957" t="s">
        <v>12</v>
      </c>
      <c r="F10957">
        <v>56937462</v>
      </c>
      <c r="G10957">
        <v>56937502</v>
      </c>
      <c r="H10957">
        <v>56937462</v>
      </c>
      <c r="I10957">
        <v>56937502</v>
      </c>
    </row>
    <row r="10958" spans="1:9" x14ac:dyDescent="0.2">
      <c r="A10958" t="str">
        <f>"Imp4"</f>
        <v>Imp4</v>
      </c>
      <c r="B10958" t="s">
        <v>14</v>
      </c>
      <c r="C10958" t="s">
        <v>19</v>
      </c>
      <c r="D10958" t="s">
        <v>17</v>
      </c>
      <c r="E10958" t="s">
        <v>12</v>
      </c>
      <c r="F10958">
        <v>34439855</v>
      </c>
      <c r="G10958">
        <v>34439910</v>
      </c>
      <c r="H10958">
        <v>34439486</v>
      </c>
      <c r="I10958">
        <v>34439521</v>
      </c>
    </row>
    <row r="10959" spans="1:9" x14ac:dyDescent="0.2">
      <c r="A10959" t="str">
        <f>"Impa1"</f>
        <v>Impa1</v>
      </c>
      <c r="B10959" t="s">
        <v>14</v>
      </c>
      <c r="C10959" t="s">
        <v>22</v>
      </c>
      <c r="D10959" t="s">
        <v>11</v>
      </c>
      <c r="E10959" t="s">
        <v>12</v>
      </c>
      <c r="F10959">
        <v>10331358</v>
      </c>
      <c r="G10959">
        <v>10331425</v>
      </c>
      <c r="H10959">
        <v>10331148</v>
      </c>
      <c r="I10959">
        <v>10331164</v>
      </c>
    </row>
    <row r="10960" spans="1:9" x14ac:dyDescent="0.2">
      <c r="A10960" t="str">
        <f>"Impa2"</f>
        <v>Impa2</v>
      </c>
      <c r="B10960" t="s">
        <v>14</v>
      </c>
      <c r="C10960" t="s">
        <v>43</v>
      </c>
      <c r="D10960" t="s">
        <v>17</v>
      </c>
      <c r="E10960" t="s">
        <v>12</v>
      </c>
      <c r="F10960">
        <v>67289235</v>
      </c>
      <c r="G10960">
        <v>67289258</v>
      </c>
      <c r="H10960">
        <v>67289205</v>
      </c>
      <c r="I10960">
        <v>67289225</v>
      </c>
    </row>
    <row r="10961" spans="1:9" x14ac:dyDescent="0.2">
      <c r="A10961" t="str">
        <f>"Impact"</f>
        <v>Impact</v>
      </c>
      <c r="B10961" t="s">
        <v>14</v>
      </c>
      <c r="C10961" t="s">
        <v>43</v>
      </c>
      <c r="D10961" t="s">
        <v>17</v>
      </c>
      <c r="E10961" t="s">
        <v>12</v>
      </c>
      <c r="F10961">
        <v>12972225</v>
      </c>
      <c r="G10961">
        <v>12972314</v>
      </c>
      <c r="H10961">
        <v>12972225</v>
      </c>
      <c r="I10961">
        <v>12972314</v>
      </c>
    </row>
    <row r="10962" spans="1:9" x14ac:dyDescent="0.2">
      <c r="A10962" t="str">
        <f>"Impad1"</f>
        <v>Impad1</v>
      </c>
      <c r="B10962" t="s">
        <v>14</v>
      </c>
      <c r="C10962" t="s">
        <v>23</v>
      </c>
      <c r="D10962" t="s">
        <v>11</v>
      </c>
      <c r="E10962" t="s">
        <v>12</v>
      </c>
      <c r="F10962">
        <v>4793275</v>
      </c>
      <c r="G10962">
        <v>4793382</v>
      </c>
      <c r="H10962">
        <v>4793118</v>
      </c>
      <c r="I10962">
        <v>4793136</v>
      </c>
    </row>
    <row r="10963" spans="1:9" x14ac:dyDescent="0.2">
      <c r="A10963" t="str">
        <f>"Impdh1"</f>
        <v>Impdh1</v>
      </c>
      <c r="B10963" t="s">
        <v>9</v>
      </c>
      <c r="C10963" t="s">
        <v>32</v>
      </c>
      <c r="D10963" t="s">
        <v>11</v>
      </c>
      <c r="E10963" t="s">
        <v>12</v>
      </c>
      <c r="F10963">
        <v>29212240</v>
      </c>
      <c r="G10963">
        <v>29212291</v>
      </c>
      <c r="H10963">
        <v>29212240</v>
      </c>
      <c r="I10963">
        <v>29212291</v>
      </c>
    </row>
    <row r="10964" spans="1:9" x14ac:dyDescent="0.2">
      <c r="A10964" t="str">
        <f>"Impdh1"</f>
        <v>Impdh1</v>
      </c>
      <c r="B10964" t="s">
        <v>13</v>
      </c>
      <c r="C10964" t="s">
        <v>32</v>
      </c>
      <c r="D10964" t="s">
        <v>11</v>
      </c>
      <c r="E10964" t="s">
        <v>12</v>
      </c>
      <c r="F10964">
        <v>29216301</v>
      </c>
      <c r="G10964">
        <v>29216335</v>
      </c>
      <c r="H10964">
        <v>29216301</v>
      </c>
      <c r="I10964">
        <v>29216335</v>
      </c>
    </row>
    <row r="10965" spans="1:9" x14ac:dyDescent="0.2">
      <c r="A10965" t="str">
        <f>"Impdh2"</f>
        <v>Impdh2</v>
      </c>
      <c r="B10965" t="s">
        <v>14</v>
      </c>
      <c r="C10965" t="s">
        <v>24</v>
      </c>
      <c r="D10965" t="s">
        <v>17</v>
      </c>
      <c r="E10965" t="s">
        <v>12</v>
      </c>
      <c r="F10965">
        <v>108560422</v>
      </c>
      <c r="G10965">
        <v>108560451</v>
      </c>
      <c r="H10965">
        <v>108560422</v>
      </c>
      <c r="I10965">
        <v>108560451</v>
      </c>
    </row>
    <row r="10966" spans="1:9" x14ac:dyDescent="0.2">
      <c r="A10966" t="str">
        <f>"Impg1"</f>
        <v>Impg1</v>
      </c>
      <c r="B10966" t="s">
        <v>14</v>
      </c>
      <c r="C10966" t="s">
        <v>24</v>
      </c>
      <c r="D10966" t="s">
        <v>11</v>
      </c>
      <c r="E10966" t="s">
        <v>12</v>
      </c>
      <c r="F10966">
        <v>80465429</v>
      </c>
      <c r="G10966">
        <v>80465445</v>
      </c>
      <c r="H10966">
        <v>80465429</v>
      </c>
      <c r="I10966">
        <v>80465445</v>
      </c>
    </row>
    <row r="10967" spans="1:9" x14ac:dyDescent="0.2">
      <c r="A10967" t="str">
        <f>"Impg2"</f>
        <v>Impg2</v>
      </c>
      <c r="B10967" t="s">
        <v>14</v>
      </c>
      <c r="C10967" t="s">
        <v>31</v>
      </c>
      <c r="D10967" t="s">
        <v>17</v>
      </c>
      <c r="E10967" t="s">
        <v>12</v>
      </c>
      <c r="F10967">
        <v>56204325</v>
      </c>
      <c r="G10967">
        <v>56204338</v>
      </c>
      <c r="H10967">
        <v>56204325</v>
      </c>
      <c r="I10967">
        <v>56204338</v>
      </c>
    </row>
    <row r="10968" spans="1:9" x14ac:dyDescent="0.2">
      <c r="A10968" t="str">
        <f>"Ina"</f>
        <v>Ina</v>
      </c>
      <c r="B10968" t="s">
        <v>14</v>
      </c>
      <c r="C10968" t="s">
        <v>10</v>
      </c>
      <c r="D10968" t="s">
        <v>17</v>
      </c>
      <c r="E10968" t="s">
        <v>12</v>
      </c>
      <c r="F10968">
        <v>47014672</v>
      </c>
      <c r="G10968">
        <v>47014691</v>
      </c>
      <c r="H10968">
        <v>47014660</v>
      </c>
      <c r="I10968">
        <v>47014671</v>
      </c>
    </row>
    <row r="10969" spans="1:9" x14ac:dyDescent="0.2">
      <c r="A10969" t="str">
        <f>"Inadl"</f>
        <v>Inadl</v>
      </c>
      <c r="B10969" t="s">
        <v>14</v>
      </c>
      <c r="C10969" t="s">
        <v>23</v>
      </c>
      <c r="D10969" t="s">
        <v>17</v>
      </c>
      <c r="E10969" t="s">
        <v>12</v>
      </c>
      <c r="F10969">
        <v>98395817</v>
      </c>
      <c r="G10969">
        <v>98395888</v>
      </c>
      <c r="H10969">
        <v>98395817</v>
      </c>
      <c r="I10969">
        <v>98395888</v>
      </c>
    </row>
    <row r="10970" spans="1:9" x14ac:dyDescent="0.2">
      <c r="A10970" t="str">
        <f>"Inca1"</f>
        <v>Inca1</v>
      </c>
      <c r="B10970" t="s">
        <v>14</v>
      </c>
      <c r="C10970" t="s">
        <v>27</v>
      </c>
      <c r="D10970" t="s">
        <v>11</v>
      </c>
      <c r="E10970" t="s">
        <v>12</v>
      </c>
      <c r="F10970">
        <v>70700105</v>
      </c>
      <c r="G10970">
        <v>70700170</v>
      </c>
      <c r="H10970">
        <v>70700064</v>
      </c>
      <c r="I10970">
        <v>70700071</v>
      </c>
    </row>
    <row r="10971" spans="1:9" x14ac:dyDescent="0.2">
      <c r="A10971" t="str">
        <f>"Incenp"</f>
        <v>Incenp</v>
      </c>
      <c r="B10971" t="s">
        <v>14</v>
      </c>
      <c r="C10971" t="s">
        <v>10</v>
      </c>
      <c r="D10971" t="s">
        <v>11</v>
      </c>
      <c r="E10971" t="s">
        <v>12</v>
      </c>
      <c r="F10971">
        <v>9899450</v>
      </c>
      <c r="G10971">
        <v>9899501</v>
      </c>
      <c r="H10971">
        <v>9899427</v>
      </c>
      <c r="I10971">
        <v>9899439</v>
      </c>
    </row>
    <row r="10972" spans="1:9" x14ac:dyDescent="0.2">
      <c r="A10972" t="str">
        <f>"Inf2"</f>
        <v>Inf2</v>
      </c>
      <c r="B10972" t="s">
        <v>9</v>
      </c>
      <c r="C10972" t="s">
        <v>16</v>
      </c>
      <c r="D10972" t="s">
        <v>17</v>
      </c>
      <c r="E10972" t="s">
        <v>12</v>
      </c>
      <c r="F10972">
        <v>112588753</v>
      </c>
      <c r="G10972">
        <v>112588842</v>
      </c>
      <c r="H10972">
        <v>112588753</v>
      </c>
      <c r="I10972">
        <v>112588842</v>
      </c>
    </row>
    <row r="10973" spans="1:9" x14ac:dyDescent="0.2">
      <c r="A10973" t="str">
        <f>"Inf2"</f>
        <v>Inf2</v>
      </c>
      <c r="B10973" t="s">
        <v>13</v>
      </c>
      <c r="C10973" t="s">
        <v>16</v>
      </c>
      <c r="D10973" t="s">
        <v>17</v>
      </c>
      <c r="E10973" t="s">
        <v>12</v>
      </c>
      <c r="F10973">
        <v>112604129</v>
      </c>
      <c r="G10973">
        <v>112604142</v>
      </c>
      <c r="H10973">
        <v>112604129</v>
      </c>
      <c r="I10973">
        <v>112604142</v>
      </c>
    </row>
    <row r="10974" spans="1:9" x14ac:dyDescent="0.2">
      <c r="A10974" t="str">
        <f>"Ing1"</f>
        <v>Ing1</v>
      </c>
      <c r="B10974" t="s">
        <v>9</v>
      </c>
      <c r="C10974" t="s">
        <v>30</v>
      </c>
      <c r="D10974" t="s">
        <v>17</v>
      </c>
      <c r="E10974" t="s">
        <v>12</v>
      </c>
      <c r="F10974">
        <v>11558450</v>
      </c>
      <c r="G10974">
        <v>11558468</v>
      </c>
      <c r="H10974">
        <v>11558450</v>
      </c>
      <c r="I10974">
        <v>11558468</v>
      </c>
    </row>
    <row r="10975" spans="1:9" x14ac:dyDescent="0.2">
      <c r="A10975" t="str">
        <f>"Ing1"</f>
        <v>Ing1</v>
      </c>
      <c r="B10975" t="s">
        <v>13</v>
      </c>
      <c r="C10975" t="s">
        <v>30</v>
      </c>
      <c r="D10975" t="s">
        <v>17</v>
      </c>
      <c r="E10975" t="s">
        <v>12</v>
      </c>
      <c r="F10975">
        <v>11556469</v>
      </c>
      <c r="G10975">
        <v>11556491</v>
      </c>
      <c r="H10975">
        <v>11556469</v>
      </c>
      <c r="I10975">
        <v>11556491</v>
      </c>
    </row>
    <row r="10976" spans="1:9" x14ac:dyDescent="0.2">
      <c r="A10976" t="str">
        <f>"Ing2"</f>
        <v>Ing2</v>
      </c>
      <c r="B10976" t="s">
        <v>14</v>
      </c>
      <c r="C10976" t="s">
        <v>30</v>
      </c>
      <c r="D10976" t="s">
        <v>11</v>
      </c>
      <c r="E10976" t="s">
        <v>12</v>
      </c>
      <c r="F10976">
        <v>47675130</v>
      </c>
      <c r="G10976">
        <v>47675165</v>
      </c>
      <c r="H10976">
        <v>47674835</v>
      </c>
      <c r="I10976">
        <v>47674868</v>
      </c>
    </row>
    <row r="10977" spans="1:9" x14ac:dyDescent="0.2">
      <c r="A10977" t="str">
        <f>"Ing3"</f>
        <v>Ing3</v>
      </c>
      <c r="B10977" t="s">
        <v>14</v>
      </c>
      <c r="C10977" t="s">
        <v>32</v>
      </c>
      <c r="D10977" t="s">
        <v>17</v>
      </c>
      <c r="E10977" t="s">
        <v>12</v>
      </c>
      <c r="F10977">
        <v>21949634</v>
      </c>
      <c r="G10977">
        <v>21949683</v>
      </c>
      <c r="H10977">
        <v>21949988</v>
      </c>
      <c r="I10977">
        <v>21950062</v>
      </c>
    </row>
    <row r="10978" spans="1:9" x14ac:dyDescent="0.2">
      <c r="A10978" t="str">
        <f>"Ing4"</f>
        <v>Ing4</v>
      </c>
      <c r="B10978" t="s">
        <v>14</v>
      </c>
      <c r="C10978" t="s">
        <v>32</v>
      </c>
      <c r="D10978" t="s">
        <v>17</v>
      </c>
      <c r="E10978" t="s">
        <v>12</v>
      </c>
      <c r="F10978">
        <v>125039830</v>
      </c>
      <c r="G10978">
        <v>125039859</v>
      </c>
      <c r="H10978">
        <v>125039830</v>
      </c>
      <c r="I10978">
        <v>125039859</v>
      </c>
    </row>
    <row r="10979" spans="1:9" x14ac:dyDescent="0.2">
      <c r="A10979" t="str">
        <f>"Ing5"</f>
        <v>Ing5</v>
      </c>
      <c r="B10979" t="s">
        <v>14</v>
      </c>
      <c r="C10979" t="s">
        <v>19</v>
      </c>
      <c r="D10979" t="s">
        <v>17</v>
      </c>
      <c r="E10979" t="s">
        <v>12</v>
      </c>
      <c r="F10979">
        <v>93803945</v>
      </c>
      <c r="G10979">
        <v>93803998</v>
      </c>
      <c r="H10979">
        <v>93803553</v>
      </c>
      <c r="I10979">
        <v>93803555</v>
      </c>
    </row>
    <row r="10980" spans="1:9" x14ac:dyDescent="0.2">
      <c r="A10980" t="str">
        <f>"Inha"</f>
        <v>Inha</v>
      </c>
      <c r="B10980" t="s">
        <v>14</v>
      </c>
      <c r="C10980" t="s">
        <v>19</v>
      </c>
      <c r="D10980" t="s">
        <v>17</v>
      </c>
      <c r="E10980" t="s">
        <v>12</v>
      </c>
      <c r="F10980">
        <v>75507219</v>
      </c>
      <c r="G10980">
        <v>75507244</v>
      </c>
      <c r="H10980">
        <v>75507219</v>
      </c>
      <c r="I10980">
        <v>75507244</v>
      </c>
    </row>
    <row r="10981" spans="1:9" x14ac:dyDescent="0.2">
      <c r="A10981" t="str">
        <f>"Inhba"</f>
        <v>Inhba</v>
      </c>
      <c r="B10981" t="s">
        <v>14</v>
      </c>
      <c r="C10981" t="s">
        <v>39</v>
      </c>
      <c r="D10981" t="s">
        <v>17</v>
      </c>
      <c r="E10981" t="s">
        <v>12</v>
      </c>
      <c r="F10981">
        <v>16014457</v>
      </c>
      <c r="G10981">
        <v>16014473</v>
      </c>
      <c r="H10981">
        <v>16014421</v>
      </c>
      <c r="I10981">
        <v>16014439</v>
      </c>
    </row>
    <row r="10982" spans="1:9" x14ac:dyDescent="0.2">
      <c r="A10982" t="str">
        <f>"Inhbb"</f>
        <v>Inhbb</v>
      </c>
      <c r="B10982" t="s">
        <v>14</v>
      </c>
      <c r="C10982" t="s">
        <v>19</v>
      </c>
      <c r="D10982" t="s">
        <v>11</v>
      </c>
      <c r="E10982" t="s">
        <v>12</v>
      </c>
      <c r="F10982">
        <v>119422239</v>
      </c>
      <c r="G10982">
        <v>119422291</v>
      </c>
      <c r="H10982">
        <v>119422199</v>
      </c>
      <c r="I10982">
        <v>119422211</v>
      </c>
    </row>
    <row r="10983" spans="1:9" x14ac:dyDescent="0.2">
      <c r="A10983" t="str">
        <f>"Inhbc"</f>
        <v>Inhbc</v>
      </c>
      <c r="B10983" t="s">
        <v>14</v>
      </c>
      <c r="C10983" t="s">
        <v>15</v>
      </c>
      <c r="D10983" t="s">
        <v>11</v>
      </c>
      <c r="E10983" t="s">
        <v>12</v>
      </c>
      <c r="F10983">
        <v>127370492</v>
      </c>
      <c r="G10983">
        <v>127370518</v>
      </c>
      <c r="H10983">
        <v>127370550</v>
      </c>
      <c r="I10983">
        <v>127370561</v>
      </c>
    </row>
    <row r="10984" spans="1:9" x14ac:dyDescent="0.2">
      <c r="A10984" t="str">
        <f>"Inhbe"</f>
        <v>Inhbe</v>
      </c>
      <c r="B10984" t="s">
        <v>14</v>
      </c>
      <c r="C10984" t="s">
        <v>15</v>
      </c>
      <c r="D10984" t="s">
        <v>11</v>
      </c>
      <c r="E10984" t="s">
        <v>12</v>
      </c>
      <c r="F10984">
        <v>127351799</v>
      </c>
      <c r="G10984">
        <v>127351825</v>
      </c>
      <c r="H10984">
        <v>127351753</v>
      </c>
      <c r="I10984">
        <v>127351764</v>
      </c>
    </row>
    <row r="10985" spans="1:9" x14ac:dyDescent="0.2">
      <c r="A10985" t="str">
        <f>"Inip"</f>
        <v>Inip</v>
      </c>
      <c r="B10985" t="s">
        <v>14</v>
      </c>
      <c r="C10985" t="s">
        <v>23</v>
      </c>
      <c r="D10985" t="s">
        <v>11</v>
      </c>
      <c r="E10985" t="s">
        <v>67</v>
      </c>
      <c r="F10985">
        <v>59783800</v>
      </c>
      <c r="G10985">
        <v>59783876</v>
      </c>
      <c r="H10985">
        <v>59783771</v>
      </c>
      <c r="I10985">
        <v>59783797</v>
      </c>
    </row>
    <row r="10986" spans="1:9" x14ac:dyDescent="0.2">
      <c r="A10986" t="str">
        <f>"Inmt"</f>
        <v>Inmt</v>
      </c>
      <c r="B10986" t="s">
        <v>14</v>
      </c>
      <c r="C10986" t="s">
        <v>32</v>
      </c>
      <c r="D10986" t="s">
        <v>11</v>
      </c>
      <c r="E10986" t="s">
        <v>12</v>
      </c>
      <c r="F10986">
        <v>55175019</v>
      </c>
      <c r="G10986">
        <v>55175036</v>
      </c>
      <c r="H10986">
        <v>55175019</v>
      </c>
      <c r="I10986">
        <v>55175036</v>
      </c>
    </row>
    <row r="10987" spans="1:9" x14ac:dyDescent="0.2">
      <c r="A10987" t="str">
        <f>"Ino80"</f>
        <v>Ino80</v>
      </c>
      <c r="B10987" t="s">
        <v>14</v>
      </c>
      <c r="C10987" t="s">
        <v>26</v>
      </c>
      <c r="D10987" t="s">
        <v>11</v>
      </c>
      <c r="E10987" t="s">
        <v>12</v>
      </c>
      <c r="F10987">
        <v>119477617</v>
      </c>
      <c r="G10987">
        <v>119477705</v>
      </c>
      <c r="H10987">
        <v>119477617</v>
      </c>
      <c r="I10987">
        <v>119477705</v>
      </c>
    </row>
    <row r="10988" spans="1:9" x14ac:dyDescent="0.2">
      <c r="A10988" t="str">
        <f>"Ino80b"</f>
        <v>Ino80b</v>
      </c>
      <c r="B10988" t="s">
        <v>14</v>
      </c>
      <c r="C10988" t="s">
        <v>32</v>
      </c>
      <c r="D10988" t="s">
        <v>11</v>
      </c>
      <c r="E10988" t="s">
        <v>12</v>
      </c>
      <c r="F10988">
        <v>83125072</v>
      </c>
      <c r="G10988">
        <v>83125135</v>
      </c>
      <c r="H10988">
        <v>83125072</v>
      </c>
      <c r="I10988">
        <v>83125135</v>
      </c>
    </row>
    <row r="10989" spans="1:9" x14ac:dyDescent="0.2">
      <c r="A10989" t="str">
        <f>"Ino80c"</f>
        <v>Ino80c</v>
      </c>
      <c r="B10989" t="s">
        <v>14</v>
      </c>
      <c r="C10989" t="s">
        <v>43</v>
      </c>
      <c r="D10989" t="s">
        <v>11</v>
      </c>
      <c r="E10989" t="s">
        <v>12</v>
      </c>
      <c r="F10989">
        <v>24121810</v>
      </c>
      <c r="G10989">
        <v>24121881</v>
      </c>
      <c r="H10989">
        <v>24121889</v>
      </c>
      <c r="I10989">
        <v>24121908</v>
      </c>
    </row>
    <row r="10990" spans="1:9" x14ac:dyDescent="0.2">
      <c r="A10990" t="str">
        <f>"Ino80d"</f>
        <v>Ino80d</v>
      </c>
      <c r="B10990" t="s">
        <v>14</v>
      </c>
      <c r="C10990" t="s">
        <v>19</v>
      </c>
      <c r="D10990" t="s">
        <v>11</v>
      </c>
      <c r="E10990" t="s">
        <v>12</v>
      </c>
      <c r="F10990">
        <v>63114282</v>
      </c>
      <c r="G10990">
        <v>63114345</v>
      </c>
      <c r="H10990">
        <v>63114648</v>
      </c>
      <c r="I10990">
        <v>63114690</v>
      </c>
    </row>
    <row r="10991" spans="1:9" x14ac:dyDescent="0.2">
      <c r="A10991" t="str">
        <f>"Ino80e"</f>
        <v>Ino80e</v>
      </c>
      <c r="B10991" t="s">
        <v>14</v>
      </c>
      <c r="C10991" t="s">
        <v>33</v>
      </c>
      <c r="D10991" t="s">
        <v>11</v>
      </c>
      <c r="E10991" t="s">
        <v>12</v>
      </c>
      <c r="F10991">
        <v>126861828</v>
      </c>
      <c r="G10991">
        <v>126861895</v>
      </c>
      <c r="H10991">
        <v>126862350</v>
      </c>
      <c r="I10991">
        <v>126862393</v>
      </c>
    </row>
    <row r="10992" spans="1:9" x14ac:dyDescent="0.2">
      <c r="A10992" t="str">
        <f>"Inpp1"</f>
        <v>Inpp1</v>
      </c>
      <c r="B10992" t="s">
        <v>14</v>
      </c>
      <c r="C10992" t="s">
        <v>19</v>
      </c>
      <c r="D10992" t="s">
        <v>11</v>
      </c>
      <c r="E10992" t="s">
        <v>12</v>
      </c>
      <c r="F10992">
        <v>52817503</v>
      </c>
      <c r="G10992">
        <v>52817583</v>
      </c>
      <c r="H10992">
        <v>52817738</v>
      </c>
      <c r="I10992">
        <v>52817778</v>
      </c>
    </row>
    <row r="10993" spans="1:9" x14ac:dyDescent="0.2">
      <c r="A10993" t="str">
        <f>"Inpp4a"</f>
        <v>Inpp4a</v>
      </c>
      <c r="B10993" t="s">
        <v>14</v>
      </c>
      <c r="C10993" t="s">
        <v>19</v>
      </c>
      <c r="D10993" t="s">
        <v>17</v>
      </c>
      <c r="E10993" t="s">
        <v>12</v>
      </c>
      <c r="F10993">
        <v>37299882</v>
      </c>
      <c r="G10993">
        <v>37299937</v>
      </c>
      <c r="H10993">
        <v>37299859</v>
      </c>
      <c r="I10993">
        <v>37299870</v>
      </c>
    </row>
    <row r="10994" spans="1:9" x14ac:dyDescent="0.2">
      <c r="A10994" t="str">
        <f>"Inpp4b"</f>
        <v>Inpp4b</v>
      </c>
      <c r="B10994" t="s">
        <v>4200</v>
      </c>
      <c r="C10994" t="s">
        <v>30</v>
      </c>
      <c r="D10994" t="s">
        <v>17</v>
      </c>
      <c r="E10994" t="s">
        <v>35</v>
      </c>
      <c r="F10994">
        <v>81342501</v>
      </c>
      <c r="G10994">
        <v>81342510</v>
      </c>
      <c r="H10994">
        <v>81342701</v>
      </c>
      <c r="I10994">
        <v>81342718</v>
      </c>
    </row>
    <row r="10995" spans="1:9" x14ac:dyDescent="0.2">
      <c r="A10995" t="str">
        <f>"Inpp5a"</f>
        <v>Inpp5a</v>
      </c>
      <c r="B10995" t="s">
        <v>9</v>
      </c>
      <c r="C10995" t="s">
        <v>33</v>
      </c>
      <c r="D10995" t="s">
        <v>17</v>
      </c>
      <c r="E10995" t="s">
        <v>12</v>
      </c>
      <c r="F10995">
        <v>139389072</v>
      </c>
      <c r="G10995">
        <v>139389161</v>
      </c>
      <c r="H10995">
        <v>139389072</v>
      </c>
      <c r="I10995">
        <v>139389161</v>
      </c>
    </row>
    <row r="10996" spans="1:9" x14ac:dyDescent="0.2">
      <c r="A10996" t="str">
        <f>"Inpp5a"</f>
        <v>Inpp5a</v>
      </c>
      <c r="B10996" t="s">
        <v>13</v>
      </c>
      <c r="C10996" t="s">
        <v>33</v>
      </c>
      <c r="D10996" t="s">
        <v>17</v>
      </c>
      <c r="E10996" t="s">
        <v>12</v>
      </c>
      <c r="F10996">
        <v>139400505</v>
      </c>
      <c r="G10996">
        <v>139400528</v>
      </c>
      <c r="H10996">
        <v>139400505</v>
      </c>
      <c r="I10996">
        <v>139400528</v>
      </c>
    </row>
    <row r="10997" spans="1:9" x14ac:dyDescent="0.2">
      <c r="A10997" t="str">
        <f>"Inpp5b"</f>
        <v>Inpp5b</v>
      </c>
      <c r="B10997" t="s">
        <v>9</v>
      </c>
      <c r="C10997" t="s">
        <v>23</v>
      </c>
      <c r="D10997" t="s">
        <v>17</v>
      </c>
      <c r="E10997" t="s">
        <v>12</v>
      </c>
      <c r="F10997">
        <v>124751608</v>
      </c>
      <c r="G10997">
        <v>124751649</v>
      </c>
      <c r="H10997">
        <v>124751608</v>
      </c>
      <c r="I10997">
        <v>124751649</v>
      </c>
    </row>
    <row r="10998" spans="1:9" x14ac:dyDescent="0.2">
      <c r="A10998" t="str">
        <f>"Inpp5b"</f>
        <v>Inpp5b</v>
      </c>
      <c r="B10998" t="s">
        <v>13</v>
      </c>
      <c r="C10998" t="s">
        <v>23</v>
      </c>
      <c r="D10998" t="s">
        <v>17</v>
      </c>
      <c r="E10998" t="s">
        <v>12</v>
      </c>
      <c r="F10998">
        <v>124741844</v>
      </c>
      <c r="G10998">
        <v>124741884</v>
      </c>
      <c r="H10998">
        <v>124741844</v>
      </c>
      <c r="I10998">
        <v>124741884</v>
      </c>
    </row>
    <row r="10999" spans="1:9" x14ac:dyDescent="0.2">
      <c r="A10999" t="str">
        <f>"Inpp5d"</f>
        <v>Inpp5d</v>
      </c>
      <c r="B10999" t="s">
        <v>14</v>
      </c>
      <c r="C10999" t="s">
        <v>19</v>
      </c>
      <c r="D10999" t="s">
        <v>17</v>
      </c>
      <c r="E10999" t="s">
        <v>12</v>
      </c>
      <c r="F10999">
        <v>87620334</v>
      </c>
      <c r="G10999">
        <v>87620401</v>
      </c>
      <c r="H10999">
        <v>87620306</v>
      </c>
      <c r="I10999">
        <v>87620323</v>
      </c>
    </row>
    <row r="11000" spans="1:9" x14ac:dyDescent="0.2">
      <c r="A11000" t="str">
        <f>"Inpp5e"</f>
        <v>Inpp5e</v>
      </c>
      <c r="B11000" t="s">
        <v>14</v>
      </c>
      <c r="C11000" t="s">
        <v>26</v>
      </c>
      <c r="D11000" t="s">
        <v>11</v>
      </c>
      <c r="E11000" t="s">
        <v>12</v>
      </c>
      <c r="F11000">
        <v>26409161</v>
      </c>
      <c r="G11000">
        <v>26409209</v>
      </c>
      <c r="H11000">
        <v>26409100</v>
      </c>
      <c r="I11000">
        <v>26409133</v>
      </c>
    </row>
    <row r="11001" spans="1:9" x14ac:dyDescent="0.2">
      <c r="A11001" t="str">
        <f>"Inpp5f"</f>
        <v>Inpp5f</v>
      </c>
      <c r="B11001" t="s">
        <v>4201</v>
      </c>
      <c r="C11001" t="s">
        <v>33</v>
      </c>
      <c r="D11001" t="s">
        <v>17</v>
      </c>
      <c r="E11001" t="s">
        <v>35</v>
      </c>
      <c r="F11001">
        <v>128611322</v>
      </c>
      <c r="G11001">
        <v>128611346</v>
      </c>
      <c r="H11001">
        <v>128611433</v>
      </c>
      <c r="I11001">
        <v>128611436</v>
      </c>
    </row>
    <row r="11002" spans="1:9" x14ac:dyDescent="0.2">
      <c r="A11002" t="str">
        <f>"Inpp5j"</f>
        <v>Inpp5j</v>
      </c>
      <c r="B11002" t="s">
        <v>14</v>
      </c>
      <c r="C11002" t="s">
        <v>27</v>
      </c>
      <c r="D11002" t="s">
        <v>11</v>
      </c>
      <c r="E11002" t="s">
        <v>12</v>
      </c>
      <c r="F11002">
        <v>3504766</v>
      </c>
      <c r="G11002">
        <v>3504833</v>
      </c>
      <c r="H11002">
        <v>3504747</v>
      </c>
      <c r="I11002">
        <v>3504762</v>
      </c>
    </row>
    <row r="11003" spans="1:9" x14ac:dyDescent="0.2">
      <c r="A11003" t="str">
        <f>"Inpp5k"</f>
        <v>Inpp5k</v>
      </c>
      <c r="B11003" t="s">
        <v>14</v>
      </c>
      <c r="C11003" t="s">
        <v>27</v>
      </c>
      <c r="D11003" t="s">
        <v>17</v>
      </c>
      <c r="E11003" t="s">
        <v>12</v>
      </c>
      <c r="F11003">
        <v>75630974</v>
      </c>
      <c r="G11003">
        <v>75631076</v>
      </c>
      <c r="H11003">
        <v>75631086</v>
      </c>
      <c r="I11003">
        <v>75631100</v>
      </c>
    </row>
    <row r="11004" spans="1:9" x14ac:dyDescent="0.2">
      <c r="A11004" t="str">
        <f>"Inppl1"</f>
        <v>Inppl1</v>
      </c>
      <c r="B11004" t="s">
        <v>14</v>
      </c>
      <c r="C11004" t="s">
        <v>33</v>
      </c>
      <c r="D11004" t="s">
        <v>11</v>
      </c>
      <c r="E11004" t="s">
        <v>12</v>
      </c>
      <c r="F11004">
        <v>101837776</v>
      </c>
      <c r="G11004">
        <v>101837832</v>
      </c>
      <c r="H11004">
        <v>101837875</v>
      </c>
      <c r="I11004">
        <v>101837958</v>
      </c>
    </row>
    <row r="11005" spans="1:9" x14ac:dyDescent="0.2">
      <c r="A11005" t="str">
        <f>"Ins1"</f>
        <v>Ins1</v>
      </c>
      <c r="B11005" t="s">
        <v>14</v>
      </c>
      <c r="C11005" t="s">
        <v>10</v>
      </c>
      <c r="D11005" t="s">
        <v>17</v>
      </c>
      <c r="E11005" t="s">
        <v>12</v>
      </c>
      <c r="F11005">
        <v>52264444</v>
      </c>
      <c r="G11005">
        <v>52264455</v>
      </c>
      <c r="H11005">
        <v>52264444</v>
      </c>
      <c r="I11005">
        <v>52264455</v>
      </c>
    </row>
    <row r="11006" spans="1:9" x14ac:dyDescent="0.2">
      <c r="A11006" t="str">
        <f>"Ins2"</f>
        <v>Ins2</v>
      </c>
      <c r="B11006" t="s">
        <v>9</v>
      </c>
      <c r="C11006" t="s">
        <v>33</v>
      </c>
      <c r="D11006" t="s">
        <v>11</v>
      </c>
      <c r="E11006" t="s">
        <v>12</v>
      </c>
      <c r="F11006">
        <v>142679701</v>
      </c>
      <c r="G11006">
        <v>142679714</v>
      </c>
      <c r="H11006">
        <v>142679701</v>
      </c>
      <c r="I11006">
        <v>142679714</v>
      </c>
    </row>
    <row r="11007" spans="1:9" x14ac:dyDescent="0.2">
      <c r="A11007" t="str">
        <f>"Ins2"</f>
        <v>Ins2</v>
      </c>
      <c r="B11007" t="s">
        <v>13</v>
      </c>
      <c r="C11007" t="s">
        <v>33</v>
      </c>
      <c r="D11007" t="s">
        <v>11</v>
      </c>
      <c r="E11007" t="s">
        <v>12</v>
      </c>
      <c r="F11007">
        <v>142699521</v>
      </c>
      <c r="G11007">
        <v>142699529</v>
      </c>
      <c r="H11007">
        <v>142699521</v>
      </c>
      <c r="I11007">
        <v>142699529</v>
      </c>
    </row>
    <row r="11008" spans="1:9" x14ac:dyDescent="0.2">
      <c r="A11008" t="str">
        <f>"Insc"</f>
        <v>Insc</v>
      </c>
      <c r="B11008" t="s">
        <v>14</v>
      </c>
      <c r="C11008" t="s">
        <v>33</v>
      </c>
      <c r="D11008" t="s">
        <v>17</v>
      </c>
      <c r="E11008" t="s">
        <v>12</v>
      </c>
      <c r="F11008">
        <v>114745685</v>
      </c>
      <c r="G11008">
        <v>114745718</v>
      </c>
      <c r="H11008">
        <v>114745685</v>
      </c>
      <c r="I11008">
        <v>114745718</v>
      </c>
    </row>
    <row r="11009" spans="1:9" x14ac:dyDescent="0.2">
      <c r="A11009" t="str">
        <f>"Insig1"</f>
        <v>Insig1</v>
      </c>
      <c r="B11009" t="s">
        <v>14</v>
      </c>
      <c r="C11009" t="s">
        <v>46</v>
      </c>
      <c r="D11009" t="s">
        <v>17</v>
      </c>
      <c r="E11009" t="s">
        <v>12</v>
      </c>
      <c r="F11009">
        <v>28071356</v>
      </c>
      <c r="G11009">
        <v>28071372</v>
      </c>
      <c r="H11009">
        <v>28071213</v>
      </c>
      <c r="I11009">
        <v>28071217</v>
      </c>
    </row>
    <row r="11010" spans="1:9" x14ac:dyDescent="0.2">
      <c r="A11010" t="str">
        <f>"Insig2"</f>
        <v>Insig2</v>
      </c>
      <c r="B11010" t="s">
        <v>14</v>
      </c>
      <c r="C11010" t="s">
        <v>19</v>
      </c>
      <c r="D11010" t="s">
        <v>11</v>
      </c>
      <c r="E11010" t="s">
        <v>12</v>
      </c>
      <c r="F11010">
        <v>121327734</v>
      </c>
      <c r="G11010">
        <v>121327768</v>
      </c>
      <c r="H11010">
        <v>121327776</v>
      </c>
      <c r="I11010">
        <v>121327803</v>
      </c>
    </row>
    <row r="11011" spans="1:9" x14ac:dyDescent="0.2">
      <c r="A11011" t="str">
        <f>"Insl3"</f>
        <v>Insl3</v>
      </c>
      <c r="B11011" t="s">
        <v>14</v>
      </c>
      <c r="C11011" t="s">
        <v>30</v>
      </c>
      <c r="D11011" t="s">
        <v>17</v>
      </c>
      <c r="E11011" t="s">
        <v>12</v>
      </c>
      <c r="F11011">
        <v>71689244</v>
      </c>
      <c r="G11011">
        <v>71689258</v>
      </c>
      <c r="H11011">
        <v>71689244</v>
      </c>
      <c r="I11011">
        <v>71689258</v>
      </c>
    </row>
    <row r="11012" spans="1:9" x14ac:dyDescent="0.2">
      <c r="A11012" t="str">
        <f>"Insl5"</f>
        <v>Insl5</v>
      </c>
      <c r="B11012" t="s">
        <v>14</v>
      </c>
      <c r="C11012" t="s">
        <v>23</v>
      </c>
      <c r="D11012" t="s">
        <v>11</v>
      </c>
      <c r="E11012" t="s">
        <v>12</v>
      </c>
      <c r="F11012">
        <v>103026709</v>
      </c>
      <c r="G11012">
        <v>103026752</v>
      </c>
      <c r="H11012">
        <v>103026709</v>
      </c>
      <c r="I11012">
        <v>103026752</v>
      </c>
    </row>
    <row r="11013" spans="1:9" x14ac:dyDescent="0.2">
      <c r="A11013" t="str">
        <f>"Insl6"</f>
        <v>Insl6</v>
      </c>
      <c r="B11013" t="s">
        <v>14</v>
      </c>
      <c r="C11013" t="s">
        <v>10</v>
      </c>
      <c r="D11013" t="s">
        <v>11</v>
      </c>
      <c r="E11013" t="s">
        <v>12</v>
      </c>
      <c r="F11013">
        <v>29325313</v>
      </c>
      <c r="G11013">
        <v>29325371</v>
      </c>
      <c r="H11013">
        <v>29325313</v>
      </c>
      <c r="I11013">
        <v>29325371</v>
      </c>
    </row>
    <row r="11014" spans="1:9" x14ac:dyDescent="0.2">
      <c r="A11014" t="str">
        <f>"Insm1"</f>
        <v>Insm1</v>
      </c>
      <c r="B11014" t="s">
        <v>14</v>
      </c>
      <c r="C11014" t="s">
        <v>26</v>
      </c>
      <c r="D11014" t="s">
        <v>17</v>
      </c>
      <c r="E11014" t="s">
        <v>12</v>
      </c>
      <c r="F11014">
        <v>146222093</v>
      </c>
      <c r="G11014">
        <v>146222111</v>
      </c>
      <c r="H11014">
        <v>146221947</v>
      </c>
      <c r="I11014">
        <v>146221955</v>
      </c>
    </row>
    <row r="11015" spans="1:9" x14ac:dyDescent="0.2">
      <c r="A11015" t="str">
        <f>"Insm2"</f>
        <v>Insm2</v>
      </c>
      <c r="B11015" t="s">
        <v>14</v>
      </c>
      <c r="C11015" t="s">
        <v>16</v>
      </c>
      <c r="D11015" t="s">
        <v>17</v>
      </c>
      <c r="E11015" t="s">
        <v>12</v>
      </c>
      <c r="F11015">
        <v>55599028</v>
      </c>
      <c r="G11015">
        <v>55599030</v>
      </c>
      <c r="H11015">
        <v>55599028</v>
      </c>
      <c r="I11015">
        <v>55599030</v>
      </c>
    </row>
    <row r="11016" spans="1:9" x14ac:dyDescent="0.2">
      <c r="A11016" t="str">
        <f>"Insr"</f>
        <v>Insr</v>
      </c>
      <c r="B11016" t="s">
        <v>14</v>
      </c>
      <c r="C11016" t="s">
        <v>30</v>
      </c>
      <c r="D11016" t="s">
        <v>11</v>
      </c>
      <c r="E11016" t="s">
        <v>12</v>
      </c>
      <c r="F11016">
        <v>3279490</v>
      </c>
      <c r="G11016">
        <v>3279603</v>
      </c>
      <c r="H11016">
        <v>3279625</v>
      </c>
      <c r="I11016">
        <v>3279647</v>
      </c>
    </row>
    <row r="11017" spans="1:9" x14ac:dyDescent="0.2">
      <c r="A11017" t="str">
        <f>"Insrr"</f>
        <v>Insrr</v>
      </c>
      <c r="B11017" t="s">
        <v>14</v>
      </c>
      <c r="C11017" t="s">
        <v>22</v>
      </c>
      <c r="D11017" t="s">
        <v>17</v>
      </c>
      <c r="E11017" t="s">
        <v>12</v>
      </c>
      <c r="F11017">
        <v>87796938</v>
      </c>
      <c r="G11017">
        <v>87796982</v>
      </c>
      <c r="H11017">
        <v>87796926</v>
      </c>
      <c r="I11017">
        <v>87796936</v>
      </c>
    </row>
    <row r="11018" spans="1:9" x14ac:dyDescent="0.2">
      <c r="A11018" t="str">
        <f>"Ints1"</f>
        <v>Ints1</v>
      </c>
      <c r="B11018" t="s">
        <v>14</v>
      </c>
      <c r="C11018" t="s">
        <v>46</v>
      </c>
      <c r="D11018" t="s">
        <v>11</v>
      </c>
      <c r="E11018" t="s">
        <v>12</v>
      </c>
      <c r="F11018">
        <v>139775631</v>
      </c>
      <c r="G11018">
        <v>139775681</v>
      </c>
      <c r="H11018">
        <v>139775386</v>
      </c>
      <c r="I11018">
        <v>139775391</v>
      </c>
    </row>
    <row r="11019" spans="1:9" x14ac:dyDescent="0.2">
      <c r="A11019" t="str">
        <f>"Ints10"</f>
        <v>Ints10</v>
      </c>
      <c r="B11019" t="s">
        <v>14</v>
      </c>
      <c r="C11019" t="s">
        <v>30</v>
      </c>
      <c r="D11019" t="s">
        <v>17</v>
      </c>
      <c r="E11019" t="s">
        <v>12</v>
      </c>
      <c r="F11019">
        <v>68793940</v>
      </c>
      <c r="G11019">
        <v>68794016</v>
      </c>
      <c r="H11019">
        <v>68794066</v>
      </c>
      <c r="I11019">
        <v>68794070</v>
      </c>
    </row>
    <row r="11020" spans="1:9" x14ac:dyDescent="0.2">
      <c r="A11020" t="str">
        <f>"Ints12"</f>
        <v>Ints12</v>
      </c>
      <c r="B11020" t="s">
        <v>14</v>
      </c>
      <c r="C11020" t="s">
        <v>22</v>
      </c>
      <c r="D11020" t="s">
        <v>17</v>
      </c>
      <c r="E11020" t="s">
        <v>12</v>
      </c>
      <c r="F11020">
        <v>133091923</v>
      </c>
      <c r="G11020">
        <v>133091953</v>
      </c>
      <c r="H11020">
        <v>133091886</v>
      </c>
      <c r="I11020">
        <v>133091907</v>
      </c>
    </row>
    <row r="11021" spans="1:9" x14ac:dyDescent="0.2">
      <c r="A11021" t="str">
        <f>"Ints2"</f>
        <v>Ints2</v>
      </c>
      <c r="B11021" t="s">
        <v>14</v>
      </c>
      <c r="C11021" t="s">
        <v>27</v>
      </c>
      <c r="D11021" t="s">
        <v>11</v>
      </c>
      <c r="E11021" t="s">
        <v>12</v>
      </c>
      <c r="F11021">
        <v>86257553</v>
      </c>
      <c r="G11021">
        <v>86257572</v>
      </c>
      <c r="H11021">
        <v>86257417</v>
      </c>
      <c r="I11021">
        <v>86257419</v>
      </c>
    </row>
    <row r="11022" spans="1:9" x14ac:dyDescent="0.2">
      <c r="A11022" t="str">
        <f>"Ints3"</f>
        <v>Ints3</v>
      </c>
      <c r="B11022" t="s">
        <v>14</v>
      </c>
      <c r="C11022" t="s">
        <v>22</v>
      </c>
      <c r="D11022" t="s">
        <v>11</v>
      </c>
      <c r="E11022" t="s">
        <v>12</v>
      </c>
      <c r="F11022">
        <v>90433464</v>
      </c>
      <c r="G11022">
        <v>90433499</v>
      </c>
      <c r="H11022">
        <v>90433582</v>
      </c>
      <c r="I11022">
        <v>90433600</v>
      </c>
    </row>
    <row r="11023" spans="1:9" x14ac:dyDescent="0.2">
      <c r="A11023" t="str">
        <f>"Ints4"</f>
        <v>Ints4</v>
      </c>
      <c r="B11023" t="s">
        <v>14</v>
      </c>
      <c r="C11023" t="s">
        <v>33</v>
      </c>
      <c r="D11023" t="s">
        <v>17</v>
      </c>
      <c r="E11023" t="s">
        <v>12</v>
      </c>
      <c r="F11023">
        <v>97480994</v>
      </c>
      <c r="G11023">
        <v>97481078</v>
      </c>
      <c r="H11023">
        <v>97480928</v>
      </c>
      <c r="I11023">
        <v>97480966</v>
      </c>
    </row>
    <row r="11024" spans="1:9" x14ac:dyDescent="0.2">
      <c r="A11024" t="str">
        <f>"Ints5"</f>
        <v>Ints5</v>
      </c>
      <c r="B11024" t="s">
        <v>14</v>
      </c>
      <c r="C11024" t="s">
        <v>10</v>
      </c>
      <c r="D11024" t="s">
        <v>17</v>
      </c>
      <c r="E11024" t="s">
        <v>12</v>
      </c>
      <c r="F11024">
        <v>8892998</v>
      </c>
      <c r="G11024">
        <v>8893052</v>
      </c>
      <c r="H11024">
        <v>8892998</v>
      </c>
      <c r="I11024">
        <v>8893052</v>
      </c>
    </row>
    <row r="11025" spans="1:9" x14ac:dyDescent="0.2">
      <c r="A11025" t="str">
        <f>"Ints6"</f>
        <v>Ints6</v>
      </c>
      <c r="B11025" t="s">
        <v>14</v>
      </c>
      <c r="C11025" t="s">
        <v>41</v>
      </c>
      <c r="D11025" t="s">
        <v>11</v>
      </c>
      <c r="E11025" t="s">
        <v>12</v>
      </c>
      <c r="F11025">
        <v>62761127</v>
      </c>
      <c r="G11025">
        <v>62761145</v>
      </c>
      <c r="H11025">
        <v>62761127</v>
      </c>
      <c r="I11025">
        <v>62761145</v>
      </c>
    </row>
    <row r="11026" spans="1:9" x14ac:dyDescent="0.2">
      <c r="A11026" t="str">
        <f>"Ints7"</f>
        <v>Ints7</v>
      </c>
      <c r="B11026" t="s">
        <v>14</v>
      </c>
      <c r="C11026" t="s">
        <v>19</v>
      </c>
      <c r="D11026" t="s">
        <v>17</v>
      </c>
      <c r="E11026" t="s">
        <v>12</v>
      </c>
      <c r="F11026">
        <v>191575721</v>
      </c>
      <c r="G11026">
        <v>191575792</v>
      </c>
      <c r="H11026">
        <v>191575615</v>
      </c>
      <c r="I11026">
        <v>191575664</v>
      </c>
    </row>
    <row r="11027" spans="1:9" x14ac:dyDescent="0.2">
      <c r="A11027" t="str">
        <f>"Ints8"</f>
        <v>Ints8</v>
      </c>
      <c r="B11027" t="s">
        <v>14</v>
      </c>
      <c r="C11027" t="s">
        <v>23</v>
      </c>
      <c r="D11027" t="s">
        <v>11</v>
      </c>
      <c r="E11027" t="s">
        <v>12</v>
      </c>
      <c r="F11027">
        <v>11254194</v>
      </c>
      <c r="G11027">
        <v>11254246</v>
      </c>
      <c r="H11027">
        <v>11254248</v>
      </c>
      <c r="I11027">
        <v>11254266</v>
      </c>
    </row>
    <row r="11028" spans="1:9" x14ac:dyDescent="0.2">
      <c r="A11028" t="str">
        <f>"Ints9"</f>
        <v>Ints9</v>
      </c>
      <c r="B11028" t="s">
        <v>14</v>
      </c>
      <c r="C11028" t="s">
        <v>41</v>
      </c>
      <c r="D11028" t="s">
        <v>17</v>
      </c>
      <c r="E11028" t="s">
        <v>12</v>
      </c>
      <c r="F11028">
        <v>64950264</v>
      </c>
      <c r="G11028">
        <v>64950307</v>
      </c>
      <c r="H11028">
        <v>64950037</v>
      </c>
      <c r="I11028">
        <v>64950056</v>
      </c>
    </row>
    <row r="11029" spans="1:9" x14ac:dyDescent="0.2">
      <c r="A11029" t="str">
        <f>"Intu"</f>
        <v>Intu</v>
      </c>
      <c r="B11029" t="s">
        <v>14</v>
      </c>
      <c r="C11029" t="s">
        <v>22</v>
      </c>
      <c r="D11029" t="s">
        <v>17</v>
      </c>
      <c r="E11029" t="s">
        <v>12</v>
      </c>
      <c r="F11029">
        <v>40540751</v>
      </c>
      <c r="G11029">
        <v>40540790</v>
      </c>
      <c r="H11029">
        <v>40540751</v>
      </c>
      <c r="I11029">
        <v>40540790</v>
      </c>
    </row>
    <row r="11030" spans="1:9" x14ac:dyDescent="0.2">
      <c r="A11030" t="str">
        <f>"Invs"</f>
        <v>Invs</v>
      </c>
      <c r="B11030" t="s">
        <v>14</v>
      </c>
      <c r="C11030" t="s">
        <v>23</v>
      </c>
      <c r="D11030" t="s">
        <v>17</v>
      </c>
      <c r="E11030" t="s">
        <v>12</v>
      </c>
      <c r="F11030">
        <v>48279794</v>
      </c>
      <c r="G11030">
        <v>48279852</v>
      </c>
      <c r="H11030">
        <v>48279857</v>
      </c>
      <c r="I11030">
        <v>48279881</v>
      </c>
    </row>
    <row r="11031" spans="1:9" x14ac:dyDescent="0.2">
      <c r="A11031" t="str">
        <f>"Ip6k1"</f>
        <v>Ip6k1</v>
      </c>
      <c r="B11031" t="s">
        <v>14</v>
      </c>
      <c r="C11031" t="s">
        <v>24</v>
      </c>
      <c r="D11031" t="s">
        <v>17</v>
      </c>
      <c r="E11031" t="s">
        <v>12</v>
      </c>
      <c r="F11031">
        <v>108002615</v>
      </c>
      <c r="G11031">
        <v>108002680</v>
      </c>
      <c r="H11031">
        <v>108002615</v>
      </c>
      <c r="I11031">
        <v>108002680</v>
      </c>
    </row>
    <row r="11032" spans="1:9" x14ac:dyDescent="0.2">
      <c r="A11032" t="str">
        <f>"Ip6k2"</f>
        <v>Ip6k2</v>
      </c>
      <c r="B11032" t="s">
        <v>9</v>
      </c>
      <c r="C11032" t="s">
        <v>24</v>
      </c>
      <c r="D11032" t="s">
        <v>17</v>
      </c>
      <c r="E11032" t="s">
        <v>12</v>
      </c>
      <c r="F11032">
        <v>108783790</v>
      </c>
      <c r="G11032">
        <v>108783844</v>
      </c>
      <c r="H11032">
        <v>108783790</v>
      </c>
      <c r="I11032">
        <v>108783844</v>
      </c>
    </row>
    <row r="11033" spans="1:9" x14ac:dyDescent="0.2">
      <c r="A11033" t="str">
        <f>"Ip6k2"</f>
        <v>Ip6k2</v>
      </c>
      <c r="B11033" t="s">
        <v>13</v>
      </c>
      <c r="C11033" t="s">
        <v>24</v>
      </c>
      <c r="D11033" t="s">
        <v>17</v>
      </c>
      <c r="E11033" t="s">
        <v>12</v>
      </c>
      <c r="F11033">
        <v>108795971</v>
      </c>
      <c r="G11033">
        <v>108795994</v>
      </c>
      <c r="H11033">
        <v>108795971</v>
      </c>
      <c r="I11033">
        <v>108795994</v>
      </c>
    </row>
    <row r="11034" spans="1:9" x14ac:dyDescent="0.2">
      <c r="A11034" t="str">
        <f>"Ip6k3"</f>
        <v>Ip6k3</v>
      </c>
      <c r="B11034" t="s">
        <v>14</v>
      </c>
      <c r="C11034" t="s">
        <v>28</v>
      </c>
      <c r="D11034" t="s">
        <v>11</v>
      </c>
      <c r="E11034" t="s">
        <v>12</v>
      </c>
      <c r="F11034">
        <v>27167705</v>
      </c>
      <c r="G11034">
        <v>27167736</v>
      </c>
      <c r="H11034">
        <v>27167789</v>
      </c>
      <c r="I11034">
        <v>27167801</v>
      </c>
    </row>
    <row r="11035" spans="1:9" x14ac:dyDescent="0.2">
      <c r="A11035" t="str">
        <f>"Ipcef1"</f>
        <v>Ipcef1</v>
      </c>
      <c r="B11035" t="s">
        <v>14</v>
      </c>
      <c r="C11035" t="s">
        <v>15</v>
      </c>
      <c r="D11035" t="s">
        <v>11</v>
      </c>
      <c r="E11035" t="s">
        <v>12</v>
      </c>
      <c r="F11035">
        <v>6980445</v>
      </c>
      <c r="G11035">
        <v>6980490</v>
      </c>
      <c r="H11035">
        <v>6980296</v>
      </c>
      <c r="I11035">
        <v>6980320</v>
      </c>
    </row>
    <row r="11036" spans="1:9" x14ac:dyDescent="0.2">
      <c r="A11036" t="str">
        <f>"Ipmk"</f>
        <v>Ipmk</v>
      </c>
      <c r="B11036" t="s">
        <v>14</v>
      </c>
      <c r="C11036" t="s">
        <v>15</v>
      </c>
      <c r="D11036" t="s">
        <v>17</v>
      </c>
      <c r="E11036" t="s">
        <v>12</v>
      </c>
      <c r="F11036">
        <v>71347829</v>
      </c>
      <c r="G11036">
        <v>71347843</v>
      </c>
      <c r="H11036">
        <v>71347778</v>
      </c>
      <c r="I11036">
        <v>71347813</v>
      </c>
    </row>
    <row r="11037" spans="1:9" x14ac:dyDescent="0.2">
      <c r="A11037" t="str">
        <f>"Ipo11"</f>
        <v>Ipo11</v>
      </c>
      <c r="B11037" t="s">
        <v>14</v>
      </c>
      <c r="C11037" t="s">
        <v>39</v>
      </c>
      <c r="D11037" t="s">
        <v>11</v>
      </c>
      <c r="E11037" t="s">
        <v>12</v>
      </c>
      <c r="F11037">
        <v>106936907</v>
      </c>
      <c r="G11037">
        <v>106936952</v>
      </c>
      <c r="H11037">
        <v>106936907</v>
      </c>
      <c r="I11037">
        <v>106936952</v>
      </c>
    </row>
    <row r="11038" spans="1:9" x14ac:dyDescent="0.2">
      <c r="A11038" t="str">
        <f>"Ipo13"</f>
        <v>Ipo13</v>
      </c>
      <c r="B11038" t="s">
        <v>14</v>
      </c>
      <c r="C11038" t="s">
        <v>23</v>
      </c>
      <c r="D11038" t="s">
        <v>11</v>
      </c>
      <c r="E11038" t="s">
        <v>12</v>
      </c>
      <c r="F11038">
        <v>117914968</v>
      </c>
      <c r="G11038">
        <v>117915018</v>
      </c>
      <c r="H11038">
        <v>117914940</v>
      </c>
      <c r="I11038">
        <v>117914957</v>
      </c>
    </row>
    <row r="11039" spans="1:9" x14ac:dyDescent="0.2">
      <c r="A11039" t="str">
        <f>"Ipo4"</f>
        <v>Ipo4</v>
      </c>
      <c r="B11039" t="s">
        <v>14</v>
      </c>
      <c r="C11039" t="s">
        <v>41</v>
      </c>
      <c r="D11039" t="s">
        <v>11</v>
      </c>
      <c r="E11039" t="s">
        <v>12</v>
      </c>
      <c r="F11039">
        <v>55635602</v>
      </c>
      <c r="G11039">
        <v>55635718</v>
      </c>
      <c r="H11039">
        <v>55635602</v>
      </c>
      <c r="I11039">
        <v>55635718</v>
      </c>
    </row>
    <row r="11040" spans="1:9" x14ac:dyDescent="0.2">
      <c r="A11040" t="str">
        <f>"Ipo5"</f>
        <v>Ipo5</v>
      </c>
      <c r="B11040" t="s">
        <v>14</v>
      </c>
      <c r="C11040" t="s">
        <v>41</v>
      </c>
      <c r="D11040" t="s">
        <v>17</v>
      </c>
      <c r="E11040" t="s">
        <v>12</v>
      </c>
      <c r="F11040">
        <v>120911213</v>
      </c>
      <c r="G11040">
        <v>120911253</v>
      </c>
      <c r="H11040">
        <v>120911177</v>
      </c>
      <c r="I11040">
        <v>120911198</v>
      </c>
    </row>
    <row r="11041" spans="1:9" x14ac:dyDescent="0.2">
      <c r="A11041" t="str">
        <f>"Ipo7"</f>
        <v>Ipo7</v>
      </c>
      <c r="B11041" t="s">
        <v>14</v>
      </c>
      <c r="C11041" t="s">
        <v>33</v>
      </c>
      <c r="D11041" t="s">
        <v>17</v>
      </c>
      <c r="E11041" t="s">
        <v>12</v>
      </c>
      <c r="F11041">
        <v>110018301</v>
      </c>
      <c r="G11041">
        <v>110018326</v>
      </c>
      <c r="H11041">
        <v>110018254</v>
      </c>
      <c r="I11041">
        <v>110018267</v>
      </c>
    </row>
    <row r="11042" spans="1:9" x14ac:dyDescent="0.2">
      <c r="A11042" t="str">
        <f>"Ipo8"</f>
        <v>Ipo8</v>
      </c>
      <c r="B11042" t="s">
        <v>14</v>
      </c>
      <c r="C11042" t="s">
        <v>32</v>
      </c>
      <c r="D11042" t="s">
        <v>11</v>
      </c>
      <c r="E11042" t="s">
        <v>12</v>
      </c>
      <c r="F11042">
        <v>148831448</v>
      </c>
      <c r="G11042">
        <v>148831494</v>
      </c>
      <c r="H11042">
        <v>148831395</v>
      </c>
      <c r="I11042">
        <v>148831407</v>
      </c>
    </row>
    <row r="11043" spans="1:9" x14ac:dyDescent="0.2">
      <c r="A11043" t="str">
        <f>"Ipo9"</f>
        <v>Ipo9</v>
      </c>
      <c r="B11043" t="s">
        <v>14</v>
      </c>
      <c r="C11043" t="s">
        <v>19</v>
      </c>
      <c r="D11043" t="s">
        <v>11</v>
      </c>
      <c r="E11043" t="s">
        <v>12</v>
      </c>
      <c r="F11043">
        <v>135430427</v>
      </c>
      <c r="G11043">
        <v>135430488</v>
      </c>
      <c r="H11043">
        <v>135430490</v>
      </c>
      <c r="I11043">
        <v>135430505</v>
      </c>
    </row>
    <row r="11044" spans="1:9" x14ac:dyDescent="0.2">
      <c r="A11044" t="str">
        <f>"Ipp"</f>
        <v>Ipp</v>
      </c>
      <c r="B11044" t="s">
        <v>14</v>
      </c>
      <c r="C11044" t="s">
        <v>23</v>
      </c>
      <c r="D11044" t="s">
        <v>17</v>
      </c>
      <c r="E11044" t="s">
        <v>12</v>
      </c>
      <c r="F11044">
        <v>116507584</v>
      </c>
      <c r="G11044">
        <v>116507623</v>
      </c>
      <c r="H11044">
        <v>116507624</v>
      </c>
      <c r="I11044">
        <v>116507630</v>
      </c>
    </row>
    <row r="11045" spans="1:9" x14ac:dyDescent="0.2">
      <c r="A11045" t="str">
        <f>"Ippk"</f>
        <v>Ippk</v>
      </c>
      <c r="B11045" t="s">
        <v>14</v>
      </c>
      <c r="C11045" t="s">
        <v>39</v>
      </c>
      <c r="D11045" t="s">
        <v>17</v>
      </c>
      <c r="E11045" t="s">
        <v>12</v>
      </c>
      <c r="F11045">
        <v>49421229</v>
      </c>
      <c r="G11045">
        <v>49421303</v>
      </c>
      <c r="H11045">
        <v>49421219</v>
      </c>
      <c r="I11045">
        <v>49421228</v>
      </c>
    </row>
    <row r="11046" spans="1:9" x14ac:dyDescent="0.2">
      <c r="A11046" t="str">
        <f>"Iqca"</f>
        <v>Iqca</v>
      </c>
      <c r="B11046" t="s">
        <v>14</v>
      </c>
      <c r="C11046" t="s">
        <v>19</v>
      </c>
      <c r="D11046" t="s">
        <v>11</v>
      </c>
      <c r="E11046" t="s">
        <v>12</v>
      </c>
      <c r="F11046">
        <v>90153426</v>
      </c>
      <c r="G11046">
        <v>90153442</v>
      </c>
      <c r="H11046">
        <v>90153445</v>
      </c>
      <c r="I11046">
        <v>90153461</v>
      </c>
    </row>
    <row r="11047" spans="1:9" x14ac:dyDescent="0.2">
      <c r="A11047" t="str">
        <f>"Iqcb1"</f>
        <v>Iqcb1</v>
      </c>
      <c r="B11047" t="s">
        <v>14</v>
      </c>
      <c r="C11047" t="s">
        <v>31</v>
      </c>
      <c r="D11047" t="s">
        <v>17</v>
      </c>
      <c r="E11047" t="s">
        <v>12</v>
      </c>
      <c r="F11047">
        <v>36828364</v>
      </c>
      <c r="G11047">
        <v>36828434</v>
      </c>
      <c r="H11047">
        <v>36828435</v>
      </c>
      <c r="I11047">
        <v>36828449</v>
      </c>
    </row>
    <row r="11048" spans="1:9" x14ac:dyDescent="0.2">
      <c r="A11048" t="str">
        <f>"Iqcc"</f>
        <v>Iqcc</v>
      </c>
      <c r="B11048" t="s">
        <v>14</v>
      </c>
      <c r="C11048" t="s">
        <v>23</v>
      </c>
      <c r="D11048" t="s">
        <v>11</v>
      </c>
      <c r="E11048" t="s">
        <v>12</v>
      </c>
      <c r="F11048">
        <v>129619069</v>
      </c>
      <c r="G11048">
        <v>129619118</v>
      </c>
      <c r="H11048">
        <v>129619052</v>
      </c>
      <c r="I11048">
        <v>129619063</v>
      </c>
    </row>
    <row r="11049" spans="1:9" x14ac:dyDescent="0.2">
      <c r="A11049" t="str">
        <f>"Iqcd"</f>
        <v>Iqcd</v>
      </c>
      <c r="B11049" t="s">
        <v>14</v>
      </c>
      <c r="C11049" t="s">
        <v>46</v>
      </c>
      <c r="D11049" t="s">
        <v>17</v>
      </c>
      <c r="E11049" t="s">
        <v>12</v>
      </c>
      <c r="F11049">
        <v>120589020</v>
      </c>
      <c r="G11049">
        <v>120589061</v>
      </c>
      <c r="H11049">
        <v>120589003</v>
      </c>
      <c r="I11049">
        <v>120589019</v>
      </c>
    </row>
    <row r="11050" spans="1:9" x14ac:dyDescent="0.2">
      <c r="A11050" t="str">
        <f>"Iqce"</f>
        <v>Iqce</v>
      </c>
      <c r="B11050" t="s">
        <v>14</v>
      </c>
      <c r="C11050" t="s">
        <v>46</v>
      </c>
      <c r="D11050" t="s">
        <v>11</v>
      </c>
      <c r="E11050" t="s">
        <v>12</v>
      </c>
      <c r="F11050">
        <v>140702241</v>
      </c>
      <c r="G11050">
        <v>140702321</v>
      </c>
      <c r="H11050">
        <v>140702220</v>
      </c>
      <c r="I11050">
        <v>140702236</v>
      </c>
    </row>
    <row r="11051" spans="1:9" x14ac:dyDescent="0.2">
      <c r="A11051" t="str">
        <f>"Iqcf1"</f>
        <v>Iqcf1</v>
      </c>
      <c r="B11051" t="s">
        <v>14</v>
      </c>
      <c r="C11051" t="s">
        <v>24</v>
      </c>
      <c r="D11051" t="s">
        <v>17</v>
      </c>
      <c r="E11051" t="s">
        <v>12</v>
      </c>
      <c r="F11051">
        <v>106499983</v>
      </c>
      <c r="G11051">
        <v>106499995</v>
      </c>
      <c r="H11051">
        <v>106499954</v>
      </c>
      <c r="I11051">
        <v>106499965</v>
      </c>
    </row>
    <row r="11052" spans="1:9" x14ac:dyDescent="0.2">
      <c r="A11052" t="str">
        <f>"Iqcf3"</f>
        <v>Iqcf3</v>
      </c>
      <c r="B11052" t="s">
        <v>14</v>
      </c>
      <c r="C11052" t="s">
        <v>24</v>
      </c>
      <c r="D11052" t="s">
        <v>11</v>
      </c>
      <c r="E11052" t="s">
        <v>12</v>
      </c>
      <c r="F11052">
        <v>106561617</v>
      </c>
      <c r="G11052">
        <v>106561636</v>
      </c>
      <c r="H11052">
        <v>106561617</v>
      </c>
      <c r="I11052">
        <v>106561636</v>
      </c>
    </row>
    <row r="11053" spans="1:9" x14ac:dyDescent="0.2">
      <c r="A11053" t="str">
        <f>"Iqcf4"</f>
        <v>Iqcf4</v>
      </c>
      <c r="B11053" t="s">
        <v>14</v>
      </c>
      <c r="C11053" t="s">
        <v>24</v>
      </c>
      <c r="D11053" t="s">
        <v>11</v>
      </c>
      <c r="E11053" t="s">
        <v>12</v>
      </c>
      <c r="F11053">
        <v>106570983</v>
      </c>
      <c r="G11053">
        <v>106571005</v>
      </c>
      <c r="H11053">
        <v>106570983</v>
      </c>
      <c r="I11053">
        <v>106571005</v>
      </c>
    </row>
    <row r="11054" spans="1:9" x14ac:dyDescent="0.2">
      <c r="A11054" t="str">
        <f>"Iqcf5"</f>
        <v>Iqcf5</v>
      </c>
      <c r="B11054" t="s">
        <v>14</v>
      </c>
      <c r="C11054" t="s">
        <v>24</v>
      </c>
      <c r="D11054" t="s">
        <v>17</v>
      </c>
      <c r="E11054" t="s">
        <v>12</v>
      </c>
      <c r="F11054">
        <v>106514572</v>
      </c>
      <c r="G11054">
        <v>106514602</v>
      </c>
      <c r="H11054">
        <v>106514572</v>
      </c>
      <c r="I11054">
        <v>106514602</v>
      </c>
    </row>
    <row r="11055" spans="1:9" x14ac:dyDescent="0.2">
      <c r="A11055" t="str">
        <f>"Iqcf6"</f>
        <v>Iqcf6</v>
      </c>
      <c r="B11055" t="s">
        <v>4202</v>
      </c>
      <c r="C11055" t="s">
        <v>24</v>
      </c>
      <c r="D11055" t="s">
        <v>17</v>
      </c>
      <c r="E11055" t="s">
        <v>20</v>
      </c>
      <c r="F11055">
        <v>106626581</v>
      </c>
      <c r="G11055">
        <v>106626581</v>
      </c>
      <c r="H11055">
        <v>106626581</v>
      </c>
      <c r="I11055">
        <v>106626581</v>
      </c>
    </row>
    <row r="11056" spans="1:9" x14ac:dyDescent="0.2">
      <c r="A11056" t="str">
        <f>"Iqcg"</f>
        <v>Iqcg</v>
      </c>
      <c r="B11056" t="s">
        <v>14</v>
      </c>
      <c r="C11056" t="s">
        <v>31</v>
      </c>
      <c r="D11056" t="s">
        <v>11</v>
      </c>
      <c r="E11056" t="s">
        <v>12</v>
      </c>
      <c r="F11056">
        <v>33056174</v>
      </c>
      <c r="G11056">
        <v>33056211</v>
      </c>
      <c r="H11056">
        <v>33056389</v>
      </c>
      <c r="I11056">
        <v>33056429</v>
      </c>
    </row>
    <row r="11057" spans="1:9" x14ac:dyDescent="0.2">
      <c r="A11057" t="str">
        <f>"Iqch"</f>
        <v>Iqch</v>
      </c>
      <c r="B11057" t="s">
        <v>14</v>
      </c>
      <c r="C11057" t="s">
        <v>24</v>
      </c>
      <c r="D11057" t="s">
        <v>11</v>
      </c>
      <c r="E11057" t="s">
        <v>12</v>
      </c>
      <c r="F11057">
        <v>63602464</v>
      </c>
      <c r="G11057">
        <v>63602494</v>
      </c>
      <c r="H11057">
        <v>63602449</v>
      </c>
      <c r="I11057">
        <v>63602460</v>
      </c>
    </row>
    <row r="11058" spans="1:9" x14ac:dyDescent="0.2">
      <c r="A11058" t="str">
        <f>"Iqcj"</f>
        <v>Iqcj</v>
      </c>
      <c r="B11058" t="s">
        <v>14</v>
      </c>
      <c r="C11058" t="s">
        <v>22</v>
      </c>
      <c r="D11058" t="s">
        <v>17</v>
      </c>
      <c r="E11058" t="s">
        <v>12</v>
      </c>
      <c r="F11058">
        <v>67892189</v>
      </c>
      <c r="G11058">
        <v>67892226</v>
      </c>
      <c r="H11058">
        <v>67892128</v>
      </c>
      <c r="I11058">
        <v>67892155</v>
      </c>
    </row>
    <row r="11059" spans="1:9" x14ac:dyDescent="0.2">
      <c r="A11059" t="str">
        <f>"Iqck"</f>
        <v>Iqck</v>
      </c>
      <c r="B11059" t="s">
        <v>14</v>
      </c>
      <c r="C11059" t="s">
        <v>33</v>
      </c>
      <c r="D11059" t="s">
        <v>17</v>
      </c>
      <c r="E11059" t="s">
        <v>12</v>
      </c>
      <c r="F11059">
        <v>118855735</v>
      </c>
      <c r="G11059">
        <v>118855798</v>
      </c>
      <c r="H11059">
        <v>118855717</v>
      </c>
      <c r="I11059">
        <v>118855728</v>
      </c>
    </row>
    <row r="11060" spans="1:9" x14ac:dyDescent="0.2">
      <c r="A11060" t="str">
        <f>"Iqgap1"</f>
        <v>Iqgap1</v>
      </c>
      <c r="B11060" t="s">
        <v>14</v>
      </c>
      <c r="C11060" t="s">
        <v>33</v>
      </c>
      <c r="D11060" t="s">
        <v>11</v>
      </c>
      <c r="E11060" t="s">
        <v>12</v>
      </c>
      <c r="F11060">
        <v>80803253</v>
      </c>
      <c r="G11060">
        <v>80803312</v>
      </c>
      <c r="H11060">
        <v>80803221</v>
      </c>
      <c r="I11060">
        <v>80803232</v>
      </c>
    </row>
    <row r="11061" spans="1:9" x14ac:dyDescent="0.2">
      <c r="A11061" t="str">
        <f>"Iqgap2"</f>
        <v>Iqgap2</v>
      </c>
      <c r="B11061" t="s">
        <v>14</v>
      </c>
      <c r="C11061" t="s">
        <v>39</v>
      </c>
      <c r="D11061" t="s">
        <v>11</v>
      </c>
      <c r="E11061" t="s">
        <v>12</v>
      </c>
      <c r="F11061">
        <v>95891905</v>
      </c>
      <c r="G11061">
        <v>95891929</v>
      </c>
      <c r="H11061">
        <v>95891881</v>
      </c>
      <c r="I11061">
        <v>95891902</v>
      </c>
    </row>
    <row r="11062" spans="1:9" x14ac:dyDescent="0.2">
      <c r="A11062" t="str">
        <f>"Iqgap3"</f>
        <v>Iqgap3</v>
      </c>
      <c r="B11062" t="s">
        <v>14</v>
      </c>
      <c r="C11062" t="s">
        <v>22</v>
      </c>
      <c r="D11062" t="s">
        <v>17</v>
      </c>
      <c r="E11062" t="s">
        <v>12</v>
      </c>
      <c r="F11062">
        <v>88081997</v>
      </c>
      <c r="G11062">
        <v>88082051</v>
      </c>
      <c r="H11062">
        <v>88081997</v>
      </c>
      <c r="I11062">
        <v>88082051</v>
      </c>
    </row>
    <row r="11063" spans="1:9" x14ac:dyDescent="0.2">
      <c r="A11063" t="str">
        <f>"Iqsec1"</f>
        <v>Iqsec1</v>
      </c>
      <c r="B11063" t="s">
        <v>9</v>
      </c>
      <c r="C11063" t="s">
        <v>32</v>
      </c>
      <c r="D11063" t="s">
        <v>11</v>
      </c>
      <c r="E11063" t="s">
        <v>12</v>
      </c>
      <c r="F11063">
        <v>90716489</v>
      </c>
      <c r="G11063">
        <v>90716543</v>
      </c>
      <c r="H11063">
        <v>90716489</v>
      </c>
      <c r="I11063">
        <v>90716543</v>
      </c>
    </row>
    <row r="11064" spans="1:9" x14ac:dyDescent="0.2">
      <c r="A11064" t="str">
        <f>"Iqsec1"</f>
        <v>Iqsec1</v>
      </c>
      <c r="B11064" t="s">
        <v>13</v>
      </c>
      <c r="C11064" t="s">
        <v>32</v>
      </c>
      <c r="D11064" t="s">
        <v>11</v>
      </c>
      <c r="E11064" t="s">
        <v>12</v>
      </c>
      <c r="F11064">
        <v>90736778</v>
      </c>
      <c r="G11064">
        <v>90736817</v>
      </c>
      <c r="H11064">
        <v>90736778</v>
      </c>
      <c r="I11064">
        <v>90736817</v>
      </c>
    </row>
    <row r="11065" spans="1:9" x14ac:dyDescent="0.2">
      <c r="A11065" t="str">
        <f>"Iqsec2"</f>
        <v>Iqsec2</v>
      </c>
      <c r="B11065" t="s">
        <v>9</v>
      </c>
      <c r="C11065" t="s">
        <v>37</v>
      </c>
      <c r="D11065" t="s">
        <v>17</v>
      </c>
      <c r="E11065" t="s">
        <v>12</v>
      </c>
      <c r="F11065">
        <v>152144197</v>
      </c>
      <c r="G11065">
        <v>152144226</v>
      </c>
      <c r="H11065">
        <v>152144197</v>
      </c>
      <c r="I11065">
        <v>152144226</v>
      </c>
    </row>
    <row r="11066" spans="1:9" x14ac:dyDescent="0.2">
      <c r="A11066" t="str">
        <f>"Iqsec2"</f>
        <v>Iqsec2</v>
      </c>
      <c r="B11066" t="s">
        <v>13</v>
      </c>
      <c r="C11066" t="s">
        <v>37</v>
      </c>
      <c r="D11066" t="s">
        <v>17</v>
      </c>
      <c r="E11066" t="s">
        <v>12</v>
      </c>
      <c r="F11066">
        <v>152178977</v>
      </c>
      <c r="G11066">
        <v>152179018</v>
      </c>
      <c r="H11066">
        <v>152178977</v>
      </c>
      <c r="I11066">
        <v>152179018</v>
      </c>
    </row>
    <row r="11067" spans="1:9" x14ac:dyDescent="0.2">
      <c r="A11067" t="str">
        <f>"Iqsec3"</f>
        <v>Iqsec3</v>
      </c>
      <c r="B11067" t="s">
        <v>14</v>
      </c>
      <c r="C11067" t="s">
        <v>32</v>
      </c>
      <c r="D11067" t="s">
        <v>11</v>
      </c>
      <c r="E11067" t="s">
        <v>12</v>
      </c>
      <c r="F11067">
        <v>121473630</v>
      </c>
      <c r="G11067">
        <v>121473680</v>
      </c>
      <c r="H11067">
        <v>121473588</v>
      </c>
      <c r="I11067">
        <v>121473628</v>
      </c>
    </row>
    <row r="11068" spans="1:9" x14ac:dyDescent="0.2">
      <c r="A11068" t="str">
        <f>"Iqub"</f>
        <v>Iqub</v>
      </c>
      <c r="B11068" t="s">
        <v>14</v>
      </c>
      <c r="C11068" t="s">
        <v>32</v>
      </c>
      <c r="D11068" t="s">
        <v>11</v>
      </c>
      <c r="E11068" t="s">
        <v>12</v>
      </c>
      <c r="F11068">
        <v>24515036</v>
      </c>
      <c r="G11068">
        <v>24515083</v>
      </c>
      <c r="H11068">
        <v>24515036</v>
      </c>
      <c r="I11068">
        <v>24515083</v>
      </c>
    </row>
    <row r="11069" spans="1:9" x14ac:dyDescent="0.2">
      <c r="A11069" t="str">
        <f>"Irak1"</f>
        <v>Irak1</v>
      </c>
      <c r="B11069" t="s">
        <v>14</v>
      </c>
      <c r="C11069" t="s">
        <v>37</v>
      </c>
      <c r="D11069" t="s">
        <v>11</v>
      </c>
      <c r="E11069" t="s">
        <v>12</v>
      </c>
      <c r="F11069">
        <v>74023817</v>
      </c>
      <c r="G11069">
        <v>74023839</v>
      </c>
      <c r="H11069">
        <v>74023797</v>
      </c>
      <c r="I11069">
        <v>74023808</v>
      </c>
    </row>
    <row r="11070" spans="1:9" x14ac:dyDescent="0.2">
      <c r="A11070" t="str">
        <f>"Irak1bp1"</f>
        <v>Irak1bp1</v>
      </c>
      <c r="B11070" t="s">
        <v>14</v>
      </c>
      <c r="C11070" t="s">
        <v>24</v>
      </c>
      <c r="D11070" t="s">
        <v>17</v>
      </c>
      <c r="E11070" t="s">
        <v>12</v>
      </c>
      <c r="F11070">
        <v>82829967</v>
      </c>
      <c r="G11070">
        <v>82830076</v>
      </c>
      <c r="H11070">
        <v>82829780</v>
      </c>
      <c r="I11070">
        <v>82829813</v>
      </c>
    </row>
    <row r="11071" spans="1:9" x14ac:dyDescent="0.2">
      <c r="A11071" t="str">
        <f>"Irak2"</f>
        <v>Irak2</v>
      </c>
      <c r="B11071" t="s">
        <v>14</v>
      </c>
      <c r="C11071" t="s">
        <v>32</v>
      </c>
      <c r="D11071" t="s">
        <v>17</v>
      </c>
      <c r="E11071" t="s">
        <v>12</v>
      </c>
      <c r="F11071">
        <v>113638483</v>
      </c>
      <c r="G11071">
        <v>113638544</v>
      </c>
      <c r="H11071">
        <v>113638463</v>
      </c>
      <c r="I11071">
        <v>113638471</v>
      </c>
    </row>
    <row r="11072" spans="1:9" x14ac:dyDescent="0.2">
      <c r="A11072" t="str">
        <f>"Irak3"</f>
        <v>Irak3</v>
      </c>
      <c r="B11072" t="s">
        <v>14</v>
      </c>
      <c r="C11072" t="s">
        <v>15</v>
      </c>
      <c r="D11072" t="s">
        <v>11</v>
      </c>
      <c r="E11072" t="s">
        <v>12</v>
      </c>
      <c r="F11072">
        <v>120201499</v>
      </c>
      <c r="G11072">
        <v>120201554</v>
      </c>
      <c r="H11072">
        <v>120201558</v>
      </c>
      <c r="I11072">
        <v>120201575</v>
      </c>
    </row>
    <row r="11073" spans="1:9" x14ac:dyDescent="0.2">
      <c r="A11073" t="str">
        <f>"Irak4"</f>
        <v>Irak4</v>
      </c>
      <c r="B11073" t="s">
        <v>14</v>
      </c>
      <c r="C11073" t="s">
        <v>25</v>
      </c>
      <c r="D11073" t="s">
        <v>17</v>
      </c>
      <c r="E11073" t="s">
        <v>12</v>
      </c>
      <c r="F11073">
        <v>94543605</v>
      </c>
      <c r="G11073">
        <v>94543658</v>
      </c>
      <c r="H11073">
        <v>94543666</v>
      </c>
      <c r="I11073">
        <v>94543681</v>
      </c>
    </row>
    <row r="11074" spans="1:9" x14ac:dyDescent="0.2">
      <c r="A11074" t="str">
        <f>"Ireb2"</f>
        <v>Ireb2</v>
      </c>
      <c r="B11074" t="s">
        <v>14</v>
      </c>
      <c r="C11074" t="s">
        <v>24</v>
      </c>
      <c r="D11074" t="s">
        <v>17</v>
      </c>
      <c r="E11074" t="s">
        <v>12</v>
      </c>
      <c r="F11074">
        <v>54863742</v>
      </c>
      <c r="G11074">
        <v>54863801</v>
      </c>
      <c r="H11074">
        <v>54863720</v>
      </c>
      <c r="I11074">
        <v>54863740</v>
      </c>
    </row>
    <row r="11075" spans="1:9" x14ac:dyDescent="0.2">
      <c r="A11075" t="str">
        <f>"Irf1"</f>
        <v>Irf1</v>
      </c>
      <c r="B11075" t="s">
        <v>14</v>
      </c>
      <c r="C11075" t="s">
        <v>27</v>
      </c>
      <c r="D11075" t="s">
        <v>17</v>
      </c>
      <c r="E11075" t="s">
        <v>12</v>
      </c>
      <c r="F11075">
        <v>53770042</v>
      </c>
      <c r="G11075">
        <v>53770057</v>
      </c>
      <c r="H11075">
        <v>53770458</v>
      </c>
      <c r="I11075">
        <v>53770505</v>
      </c>
    </row>
    <row r="11076" spans="1:9" x14ac:dyDescent="0.2">
      <c r="A11076" t="str">
        <f>"Irf2"</f>
        <v>Irf2</v>
      </c>
      <c r="B11076" t="s">
        <v>14</v>
      </c>
      <c r="C11076" t="s">
        <v>30</v>
      </c>
      <c r="D11076" t="s">
        <v>17</v>
      </c>
      <c r="E11076" t="s">
        <v>12</v>
      </c>
      <c r="F11076">
        <v>46739753</v>
      </c>
      <c r="G11076">
        <v>46739791</v>
      </c>
      <c r="H11076">
        <v>46739812</v>
      </c>
      <c r="I11076">
        <v>46739824</v>
      </c>
    </row>
    <row r="11077" spans="1:9" x14ac:dyDescent="0.2">
      <c r="A11077" t="str">
        <f>"Irf2bp1"</f>
        <v>Irf2bp1</v>
      </c>
      <c r="B11077" t="s">
        <v>14</v>
      </c>
      <c r="C11077" t="s">
        <v>33</v>
      </c>
      <c r="D11077" t="s">
        <v>17</v>
      </c>
      <c r="E11077" t="s">
        <v>12</v>
      </c>
      <c r="F11077">
        <v>19004047</v>
      </c>
      <c r="G11077">
        <v>19004095</v>
      </c>
      <c r="H11077">
        <v>19004036</v>
      </c>
      <c r="I11077">
        <v>19004043</v>
      </c>
    </row>
    <row r="11078" spans="1:9" x14ac:dyDescent="0.2">
      <c r="A11078" t="str">
        <f>"Irf2bp2"</f>
        <v>Irf2bp2</v>
      </c>
      <c r="B11078" t="s">
        <v>14</v>
      </c>
      <c r="C11078" t="s">
        <v>30</v>
      </c>
      <c r="D11078" t="s">
        <v>11</v>
      </c>
      <c r="E11078" t="s">
        <v>12</v>
      </c>
      <c r="F11078">
        <v>126593918</v>
      </c>
      <c r="G11078">
        <v>126593929</v>
      </c>
      <c r="H11078">
        <v>126593458</v>
      </c>
      <c r="I11078">
        <v>126593492</v>
      </c>
    </row>
    <row r="11079" spans="1:9" x14ac:dyDescent="0.2">
      <c r="A11079" t="str">
        <f>"Irf2bpl"</f>
        <v>Irf2bpl</v>
      </c>
      <c r="B11079" t="s">
        <v>14</v>
      </c>
      <c r="C11079" t="s">
        <v>16</v>
      </c>
      <c r="D11079" t="s">
        <v>11</v>
      </c>
      <c r="E11079" t="s">
        <v>67</v>
      </c>
      <c r="F11079">
        <v>86884756</v>
      </c>
      <c r="G11079">
        <v>86884806</v>
      </c>
      <c r="H11079">
        <v>86884808</v>
      </c>
      <c r="I11079">
        <v>86884842</v>
      </c>
    </row>
    <row r="11080" spans="1:9" x14ac:dyDescent="0.2">
      <c r="A11080" t="str">
        <f>"Irf3"</f>
        <v>Irf3</v>
      </c>
      <c r="B11080" t="s">
        <v>14</v>
      </c>
      <c r="C11080" t="s">
        <v>33</v>
      </c>
      <c r="D11080" t="s">
        <v>17</v>
      </c>
      <c r="E11080" t="s">
        <v>12</v>
      </c>
      <c r="F11080">
        <v>44997660</v>
      </c>
      <c r="G11080">
        <v>44997700</v>
      </c>
      <c r="H11080">
        <v>44997766</v>
      </c>
      <c r="I11080">
        <v>44997791</v>
      </c>
    </row>
    <row r="11081" spans="1:9" x14ac:dyDescent="0.2">
      <c r="A11081" t="str">
        <f>"Irf4"</f>
        <v>Irf4</v>
      </c>
      <c r="B11081" t="s">
        <v>14</v>
      </c>
      <c r="C11081" t="s">
        <v>39</v>
      </c>
      <c r="D11081" t="s">
        <v>17</v>
      </c>
      <c r="E11081" t="s">
        <v>12</v>
      </c>
      <c r="F11081">
        <v>30749230</v>
      </c>
      <c r="G11081">
        <v>30749247</v>
      </c>
      <c r="H11081">
        <v>30749230</v>
      </c>
      <c r="I11081">
        <v>30749247</v>
      </c>
    </row>
    <row r="11082" spans="1:9" x14ac:dyDescent="0.2">
      <c r="A11082" t="str">
        <f>"Irf5"</f>
        <v>Irf5</v>
      </c>
      <c r="B11082" t="s">
        <v>9</v>
      </c>
      <c r="C11082" t="s">
        <v>32</v>
      </c>
      <c r="D11082" t="s">
        <v>17</v>
      </c>
      <c r="E11082" t="s">
        <v>12</v>
      </c>
      <c r="F11082">
        <v>29526690</v>
      </c>
      <c r="G11082">
        <v>29526724</v>
      </c>
      <c r="H11082">
        <v>29526690</v>
      </c>
      <c r="I11082">
        <v>29526724</v>
      </c>
    </row>
    <row r="11083" spans="1:9" x14ac:dyDescent="0.2">
      <c r="A11083" t="str">
        <f>"Irf5"</f>
        <v>Irf5</v>
      </c>
      <c r="B11083" t="s">
        <v>13</v>
      </c>
      <c r="C11083" t="s">
        <v>32</v>
      </c>
      <c r="D11083" t="s">
        <v>17</v>
      </c>
      <c r="E11083" t="s">
        <v>12</v>
      </c>
      <c r="F11083">
        <v>29529277</v>
      </c>
      <c r="G11083">
        <v>29529296</v>
      </c>
      <c r="H11083">
        <v>29529277</v>
      </c>
      <c r="I11083">
        <v>29529296</v>
      </c>
    </row>
    <row r="11084" spans="1:9" x14ac:dyDescent="0.2">
      <c r="A11084" t="str">
        <f>"Irf6"</f>
        <v>Irf6</v>
      </c>
      <c r="B11084" t="s">
        <v>14</v>
      </c>
      <c r="C11084" t="s">
        <v>19</v>
      </c>
      <c r="D11084" t="s">
        <v>17</v>
      </c>
      <c r="E11084" t="s">
        <v>12</v>
      </c>
      <c r="F11084">
        <v>193153121</v>
      </c>
      <c r="G11084">
        <v>193153165</v>
      </c>
      <c r="H11084">
        <v>193153167</v>
      </c>
      <c r="I11084">
        <v>193153179</v>
      </c>
    </row>
    <row r="11085" spans="1:9" x14ac:dyDescent="0.2">
      <c r="A11085" t="str">
        <f>"Irf7"</f>
        <v>Irf7</v>
      </c>
      <c r="B11085" t="s">
        <v>14</v>
      </c>
      <c r="C11085" t="s">
        <v>33</v>
      </c>
      <c r="D11085" t="s">
        <v>11</v>
      </c>
      <c r="E11085" t="s">
        <v>12</v>
      </c>
      <c r="F11085">
        <v>141266415</v>
      </c>
      <c r="G11085">
        <v>141266430</v>
      </c>
      <c r="H11085">
        <v>141265967</v>
      </c>
      <c r="I11085">
        <v>141265979</v>
      </c>
    </row>
    <row r="11086" spans="1:9" x14ac:dyDescent="0.2">
      <c r="A11086" t="str">
        <f>"Irf8"</f>
        <v>Irf8</v>
      </c>
      <c r="B11086" t="s">
        <v>14</v>
      </c>
      <c r="C11086" t="s">
        <v>30</v>
      </c>
      <c r="D11086" t="s">
        <v>17</v>
      </c>
      <c r="E11086" t="s">
        <v>12</v>
      </c>
      <c r="F11086">
        <v>120736352</v>
      </c>
      <c r="G11086">
        <v>120736364</v>
      </c>
      <c r="H11086">
        <v>120736352</v>
      </c>
      <c r="I11086">
        <v>120736364</v>
      </c>
    </row>
    <row r="11087" spans="1:9" x14ac:dyDescent="0.2">
      <c r="A11087" t="str">
        <f>"Irf9"</f>
        <v>Irf9</v>
      </c>
      <c r="B11087" t="s">
        <v>14</v>
      </c>
      <c r="C11087" t="s">
        <v>41</v>
      </c>
      <c r="D11087" t="s">
        <v>17</v>
      </c>
      <c r="E11087" t="s">
        <v>12</v>
      </c>
      <c r="F11087">
        <v>55604173</v>
      </c>
      <c r="G11087">
        <v>55604230</v>
      </c>
      <c r="H11087">
        <v>55604509</v>
      </c>
      <c r="I11087">
        <v>55604531</v>
      </c>
    </row>
    <row r="11088" spans="1:9" x14ac:dyDescent="0.2">
      <c r="A11088" t="str">
        <f>"Irg1"</f>
        <v>Irg1</v>
      </c>
      <c r="B11088" t="s">
        <v>14</v>
      </c>
      <c r="C11088" t="s">
        <v>41</v>
      </c>
      <c r="D11088" t="s">
        <v>17</v>
      </c>
      <c r="E11088" t="s">
        <v>12</v>
      </c>
      <c r="F11088">
        <v>103047007</v>
      </c>
      <c r="G11088">
        <v>103047020</v>
      </c>
      <c r="H11088">
        <v>103047007</v>
      </c>
      <c r="I11088">
        <v>103047020</v>
      </c>
    </row>
    <row r="11089" spans="1:9" x14ac:dyDescent="0.2">
      <c r="A11089" t="str">
        <f>"Irgc1"</f>
        <v>Irgc1</v>
      </c>
      <c r="B11089" t="s">
        <v>9</v>
      </c>
      <c r="C11089" t="s">
        <v>33</v>
      </c>
      <c r="D11089" t="s">
        <v>11</v>
      </c>
      <c r="E11089" t="s">
        <v>12</v>
      </c>
      <c r="F11089">
        <v>24435491</v>
      </c>
      <c r="G11089">
        <v>24435554</v>
      </c>
      <c r="H11089">
        <v>24435491</v>
      </c>
      <c r="I11089">
        <v>24435554</v>
      </c>
    </row>
    <row r="11090" spans="1:9" x14ac:dyDescent="0.2">
      <c r="A11090" t="str">
        <f>"Irgc1"</f>
        <v>Irgc1</v>
      </c>
      <c r="B11090" t="s">
        <v>13</v>
      </c>
      <c r="C11090" t="s">
        <v>33</v>
      </c>
      <c r="D11090" t="s">
        <v>11</v>
      </c>
      <c r="E11090" t="s">
        <v>12</v>
      </c>
      <c r="F11090">
        <v>24445588</v>
      </c>
      <c r="G11090">
        <v>24445610</v>
      </c>
      <c r="H11090">
        <v>24445588</v>
      </c>
      <c r="I11090">
        <v>24445610</v>
      </c>
    </row>
    <row r="11091" spans="1:9" x14ac:dyDescent="0.2">
      <c r="A11091" t="str">
        <f>"Irgm1"</f>
        <v>Irgm1</v>
      </c>
      <c r="B11091" t="s">
        <v>14</v>
      </c>
      <c r="C11091" t="s">
        <v>27</v>
      </c>
      <c r="D11091" t="s">
        <v>11</v>
      </c>
      <c r="E11091" t="s">
        <v>12</v>
      </c>
      <c r="F11091">
        <v>48871344</v>
      </c>
      <c r="G11091">
        <v>48871407</v>
      </c>
      <c r="H11091">
        <v>48871317</v>
      </c>
      <c r="I11091">
        <v>48871337</v>
      </c>
    </row>
    <row r="11092" spans="1:9" x14ac:dyDescent="0.2">
      <c r="A11092" t="str">
        <f>"Irgm2"</f>
        <v>Irgm2</v>
      </c>
      <c r="B11092" t="s">
        <v>14</v>
      </c>
      <c r="C11092" t="s">
        <v>27</v>
      </c>
      <c r="D11092" t="s">
        <v>17</v>
      </c>
      <c r="E11092" t="s">
        <v>12</v>
      </c>
      <c r="F11092">
        <v>58199236</v>
      </c>
      <c r="G11092">
        <v>58199273</v>
      </c>
      <c r="H11092">
        <v>58199236</v>
      </c>
      <c r="I11092">
        <v>58199273</v>
      </c>
    </row>
    <row r="11093" spans="1:9" x14ac:dyDescent="0.2">
      <c r="A11093" t="str">
        <f>"Irgq"</f>
        <v>Irgq</v>
      </c>
      <c r="B11093" t="s">
        <v>14</v>
      </c>
      <c r="C11093" t="s">
        <v>33</v>
      </c>
      <c r="D11093" t="s">
        <v>17</v>
      </c>
      <c r="E11093" t="s">
        <v>12</v>
      </c>
      <c r="F11093">
        <v>24530645</v>
      </c>
      <c r="G11093">
        <v>24530693</v>
      </c>
      <c r="H11093">
        <v>24530695</v>
      </c>
      <c r="I11093">
        <v>24530706</v>
      </c>
    </row>
    <row r="11094" spans="1:9" x14ac:dyDescent="0.2">
      <c r="A11094" t="str">
        <f>"Irs1"</f>
        <v>Irs1</v>
      </c>
      <c r="B11094" t="s">
        <v>14</v>
      </c>
      <c r="C11094" t="s">
        <v>19</v>
      </c>
      <c r="D11094" t="s">
        <v>11</v>
      </c>
      <c r="E11094" t="s">
        <v>12</v>
      </c>
      <c r="F11094">
        <v>82291114</v>
      </c>
      <c r="G11094">
        <v>82291174</v>
      </c>
      <c r="H11094">
        <v>82290898</v>
      </c>
      <c r="I11094">
        <v>82290917</v>
      </c>
    </row>
    <row r="11095" spans="1:9" x14ac:dyDescent="0.2">
      <c r="A11095" t="str">
        <f>"Irs2"</f>
        <v>Irs2</v>
      </c>
      <c r="B11095" t="s">
        <v>14</v>
      </c>
      <c r="C11095" t="s">
        <v>30</v>
      </c>
      <c r="D11095" t="s">
        <v>11</v>
      </c>
      <c r="E11095" t="s">
        <v>12</v>
      </c>
      <c r="F11095">
        <v>11008913</v>
      </c>
      <c r="G11095">
        <v>11008936</v>
      </c>
      <c r="H11095">
        <v>11008913</v>
      </c>
      <c r="I11095">
        <v>11008936</v>
      </c>
    </row>
    <row r="11096" spans="1:9" x14ac:dyDescent="0.2">
      <c r="A11096" t="str">
        <f>"Irs3"</f>
        <v>Irs3</v>
      </c>
      <c r="B11096" t="s">
        <v>14</v>
      </c>
      <c r="C11096" t="s">
        <v>46</v>
      </c>
      <c r="D11096" t="s">
        <v>11</v>
      </c>
      <c r="E11096" t="s">
        <v>12</v>
      </c>
      <c r="F11096">
        <v>137645695</v>
      </c>
      <c r="G11096">
        <v>137645720</v>
      </c>
      <c r="H11096">
        <v>137645724</v>
      </c>
      <c r="I11096">
        <v>137645737</v>
      </c>
    </row>
    <row r="11097" spans="1:9" x14ac:dyDescent="0.2">
      <c r="A11097" t="str">
        <f>"Irs4"</f>
        <v>Irs4</v>
      </c>
      <c r="B11097" t="s">
        <v>14</v>
      </c>
      <c r="C11097" t="s">
        <v>37</v>
      </c>
      <c r="D11097" t="s">
        <v>11</v>
      </c>
      <c r="E11097" t="s">
        <v>12</v>
      </c>
      <c r="F11097">
        <v>141725220</v>
      </c>
      <c r="G11097">
        <v>141725243</v>
      </c>
      <c r="H11097">
        <v>141725755</v>
      </c>
      <c r="I11097">
        <v>141725756</v>
      </c>
    </row>
    <row r="11098" spans="1:9" x14ac:dyDescent="0.2">
      <c r="A11098" t="str">
        <f>"Irx1"</f>
        <v>Irx1</v>
      </c>
      <c r="B11098" t="s">
        <v>14</v>
      </c>
      <c r="C11098" t="s">
        <v>39</v>
      </c>
      <c r="D11098" t="s">
        <v>11</v>
      </c>
      <c r="E11098" t="s">
        <v>12</v>
      </c>
      <c r="F11098">
        <v>71963730</v>
      </c>
      <c r="G11098">
        <v>71963755</v>
      </c>
      <c r="H11098">
        <v>71963713</v>
      </c>
      <c r="I11098">
        <v>71963729</v>
      </c>
    </row>
    <row r="11099" spans="1:9" x14ac:dyDescent="0.2">
      <c r="A11099" t="str">
        <f>"Irx2"</f>
        <v>Irx2</v>
      </c>
      <c r="B11099" t="s">
        <v>14</v>
      </c>
      <c r="C11099" t="s">
        <v>39</v>
      </c>
      <c r="D11099" t="s">
        <v>17</v>
      </c>
      <c r="E11099" t="s">
        <v>12</v>
      </c>
      <c r="F11099">
        <v>72628802</v>
      </c>
      <c r="G11099">
        <v>72628825</v>
      </c>
      <c r="H11099">
        <v>72628831</v>
      </c>
      <c r="I11099">
        <v>72628848</v>
      </c>
    </row>
    <row r="11100" spans="1:9" x14ac:dyDescent="0.2">
      <c r="A11100" t="str">
        <f>"Irx3"</f>
        <v>Irx3</v>
      </c>
      <c r="B11100" t="s">
        <v>14</v>
      </c>
      <c r="C11100" t="s">
        <v>30</v>
      </c>
      <c r="D11100" t="s">
        <v>11</v>
      </c>
      <c r="E11100" t="s">
        <v>12</v>
      </c>
      <c r="F11100">
        <v>91801422</v>
      </c>
      <c r="G11100">
        <v>91801467</v>
      </c>
      <c r="H11100">
        <v>91801422</v>
      </c>
      <c r="I11100">
        <v>91801467</v>
      </c>
    </row>
    <row r="11101" spans="1:9" x14ac:dyDescent="0.2">
      <c r="A11101" t="str">
        <f>"Irx4"</f>
        <v>Irx4</v>
      </c>
      <c r="B11101" t="s">
        <v>14</v>
      </c>
      <c r="C11101" t="s">
        <v>39</v>
      </c>
      <c r="D11101" t="s">
        <v>17</v>
      </c>
      <c r="E11101" t="s">
        <v>12</v>
      </c>
      <c r="F11101">
        <v>73260510</v>
      </c>
      <c r="G11101">
        <v>73260546</v>
      </c>
      <c r="H11101">
        <v>73260556</v>
      </c>
      <c r="I11101">
        <v>73260569</v>
      </c>
    </row>
    <row r="11102" spans="1:9" x14ac:dyDescent="0.2">
      <c r="A11102" t="str">
        <f>"Irx5"</f>
        <v>Irx5</v>
      </c>
      <c r="B11102" t="s">
        <v>14</v>
      </c>
      <c r="C11102" t="s">
        <v>30</v>
      </c>
      <c r="D11102" t="s">
        <v>17</v>
      </c>
      <c r="E11102" t="s">
        <v>12</v>
      </c>
      <c r="F11102">
        <v>92357834</v>
      </c>
      <c r="G11102">
        <v>92357891</v>
      </c>
      <c r="H11102">
        <v>92357973</v>
      </c>
      <c r="I11102">
        <v>92357988</v>
      </c>
    </row>
    <row r="11103" spans="1:9" x14ac:dyDescent="0.2">
      <c r="A11103" t="str">
        <f>"Irx6"</f>
        <v>Irx6</v>
      </c>
      <c r="B11103" t="s">
        <v>14</v>
      </c>
      <c r="C11103" t="s">
        <v>30</v>
      </c>
      <c r="D11103" t="s">
        <v>17</v>
      </c>
      <c r="E11103" t="s">
        <v>12</v>
      </c>
      <c r="F11103">
        <v>92674497</v>
      </c>
      <c r="G11103">
        <v>92674534</v>
      </c>
      <c r="H11103">
        <v>92674425</v>
      </c>
      <c r="I11103">
        <v>92674456</v>
      </c>
    </row>
    <row r="11104" spans="1:9" x14ac:dyDescent="0.2">
      <c r="A11104" t="str">
        <f>"Isca1"</f>
        <v>Isca1</v>
      </c>
      <c r="B11104" t="s">
        <v>14</v>
      </c>
      <c r="C11104" t="s">
        <v>39</v>
      </c>
      <c r="D11104" t="s">
        <v>11</v>
      </c>
      <c r="E11104" t="s">
        <v>12</v>
      </c>
      <c r="F11104">
        <v>59769751</v>
      </c>
      <c r="G11104">
        <v>59769826</v>
      </c>
      <c r="H11104">
        <v>59769751</v>
      </c>
      <c r="I11104">
        <v>59769826</v>
      </c>
    </row>
    <row r="11105" spans="1:9" x14ac:dyDescent="0.2">
      <c r="A11105" t="str">
        <f>"Isca2"</f>
        <v>Isca2</v>
      </c>
      <c r="B11105" t="s">
        <v>14</v>
      </c>
      <c r="C11105" t="s">
        <v>16</v>
      </c>
      <c r="D11105" t="s">
        <v>17</v>
      </c>
      <c r="E11105" t="s">
        <v>12</v>
      </c>
      <c r="F11105">
        <v>84773262</v>
      </c>
      <c r="G11105">
        <v>84773319</v>
      </c>
      <c r="H11105">
        <v>84773251</v>
      </c>
      <c r="I11105">
        <v>84773261</v>
      </c>
    </row>
    <row r="11106" spans="1:9" x14ac:dyDescent="0.2">
      <c r="A11106" t="str">
        <f>"Iscu"</f>
        <v>Iscu</v>
      </c>
      <c r="B11106" t="s">
        <v>9</v>
      </c>
      <c r="C11106" t="s">
        <v>46</v>
      </c>
      <c r="D11106" t="s">
        <v>17</v>
      </c>
      <c r="E11106" t="s">
        <v>12</v>
      </c>
      <c r="F11106">
        <v>113772786</v>
      </c>
      <c r="G11106">
        <v>113772827</v>
      </c>
      <c r="H11106">
        <v>113772786</v>
      </c>
      <c r="I11106">
        <v>113772827</v>
      </c>
    </row>
    <row r="11107" spans="1:9" x14ac:dyDescent="0.2">
      <c r="A11107" t="str">
        <f>"Iscu"</f>
        <v>Iscu</v>
      </c>
      <c r="B11107" t="s">
        <v>13</v>
      </c>
      <c r="C11107" t="s">
        <v>46</v>
      </c>
      <c r="D11107" t="s">
        <v>17</v>
      </c>
      <c r="E11107" t="s">
        <v>12</v>
      </c>
      <c r="F11107">
        <v>113773835</v>
      </c>
      <c r="G11107">
        <v>113773880</v>
      </c>
      <c r="H11107">
        <v>113773835</v>
      </c>
      <c r="I11107">
        <v>113773880</v>
      </c>
    </row>
    <row r="11108" spans="1:9" x14ac:dyDescent="0.2">
      <c r="A11108" t="str">
        <f>"Isg15"</f>
        <v>Isg15</v>
      </c>
      <c r="B11108" t="s">
        <v>14</v>
      </c>
      <c r="C11108" t="s">
        <v>23</v>
      </c>
      <c r="D11108" t="s">
        <v>11</v>
      </c>
      <c r="E11108" t="s">
        <v>12</v>
      </c>
      <c r="F11108">
        <v>156200791</v>
      </c>
      <c r="G11108">
        <v>156200805</v>
      </c>
      <c r="H11108">
        <v>156200837</v>
      </c>
      <c r="I11108">
        <v>156200846</v>
      </c>
    </row>
    <row r="11109" spans="1:9" x14ac:dyDescent="0.2">
      <c r="A11109" t="str">
        <f>"Isg20"</f>
        <v>Isg20</v>
      </c>
      <c r="B11109" t="s">
        <v>14</v>
      </c>
      <c r="C11109" t="s">
        <v>33</v>
      </c>
      <c r="D11109" t="s">
        <v>17</v>
      </c>
      <c r="E11109" t="s">
        <v>12</v>
      </c>
      <c r="F11109">
        <v>78914216</v>
      </c>
      <c r="G11109">
        <v>78914294</v>
      </c>
      <c r="H11109">
        <v>78913794</v>
      </c>
      <c r="I11109">
        <v>78913864</v>
      </c>
    </row>
    <row r="11110" spans="1:9" x14ac:dyDescent="0.2">
      <c r="A11110" t="str">
        <f>"Isg20l2"</f>
        <v>Isg20l2</v>
      </c>
      <c r="B11110" t="s">
        <v>14</v>
      </c>
      <c r="C11110" t="s">
        <v>22</v>
      </c>
      <c r="D11110" t="s">
        <v>17</v>
      </c>
      <c r="E11110" t="s">
        <v>12</v>
      </c>
      <c r="F11110">
        <v>87930256</v>
      </c>
      <c r="G11110">
        <v>87930350</v>
      </c>
      <c r="H11110">
        <v>87930516</v>
      </c>
      <c r="I11110">
        <v>87930600</v>
      </c>
    </row>
    <row r="11111" spans="1:9" x14ac:dyDescent="0.2">
      <c r="A11111" t="str">
        <f>"Isl1"</f>
        <v>Isl1</v>
      </c>
      <c r="B11111" t="s">
        <v>14</v>
      </c>
      <c r="C11111" t="s">
        <v>39</v>
      </c>
      <c r="D11111" t="s">
        <v>11</v>
      </c>
      <c r="E11111" t="s">
        <v>12</v>
      </c>
      <c r="F11111">
        <v>116309639</v>
      </c>
      <c r="G11111">
        <v>116309699</v>
      </c>
      <c r="H11111">
        <v>116309631</v>
      </c>
      <c r="I11111">
        <v>116309638</v>
      </c>
    </row>
    <row r="11112" spans="1:9" x14ac:dyDescent="0.2">
      <c r="A11112" t="str">
        <f>"Isl2"</f>
        <v>Isl2</v>
      </c>
      <c r="B11112" t="s">
        <v>14</v>
      </c>
      <c r="C11112" t="s">
        <v>24</v>
      </c>
      <c r="D11112" t="s">
        <v>17</v>
      </c>
      <c r="E11112" t="s">
        <v>12</v>
      </c>
      <c r="F11112">
        <v>55541190</v>
      </c>
      <c r="G11112">
        <v>55541209</v>
      </c>
      <c r="H11112">
        <v>55541190</v>
      </c>
      <c r="I11112">
        <v>55541209</v>
      </c>
    </row>
    <row r="11113" spans="1:9" x14ac:dyDescent="0.2">
      <c r="A11113" t="str">
        <f>"Islr"</f>
        <v>Islr</v>
      </c>
      <c r="B11113" t="s">
        <v>14</v>
      </c>
      <c r="C11113" t="s">
        <v>24</v>
      </c>
      <c r="D11113" t="s">
        <v>11</v>
      </c>
      <c r="E11113" t="s">
        <v>12</v>
      </c>
      <c r="F11113">
        <v>58158498</v>
      </c>
      <c r="G11113">
        <v>58158551</v>
      </c>
      <c r="H11113">
        <v>58159201</v>
      </c>
      <c r="I11113">
        <v>58159239</v>
      </c>
    </row>
    <row r="11114" spans="1:9" x14ac:dyDescent="0.2">
      <c r="A11114" t="str">
        <f>"Islr2"</f>
        <v>Islr2</v>
      </c>
      <c r="B11114" t="s">
        <v>14</v>
      </c>
      <c r="C11114" t="s">
        <v>24</v>
      </c>
      <c r="D11114" t="s">
        <v>11</v>
      </c>
      <c r="E11114" t="s">
        <v>12</v>
      </c>
      <c r="F11114">
        <v>58201982</v>
      </c>
      <c r="G11114">
        <v>58202023</v>
      </c>
      <c r="H11114">
        <v>58201551</v>
      </c>
      <c r="I11114">
        <v>58201618</v>
      </c>
    </row>
    <row r="11115" spans="1:9" x14ac:dyDescent="0.2">
      <c r="A11115" t="str">
        <f>"Ism1"</f>
        <v>Ism1</v>
      </c>
      <c r="B11115" t="s">
        <v>14</v>
      </c>
      <c r="C11115" t="s">
        <v>26</v>
      </c>
      <c r="D11115" t="s">
        <v>17</v>
      </c>
      <c r="E11115" t="s">
        <v>12</v>
      </c>
      <c r="F11115">
        <v>139678637</v>
      </c>
      <c r="G11115">
        <v>139678680</v>
      </c>
      <c r="H11115">
        <v>139677895</v>
      </c>
      <c r="I11115">
        <v>139677923</v>
      </c>
    </row>
    <row r="11116" spans="1:9" x14ac:dyDescent="0.2">
      <c r="A11116" t="str">
        <f>"Ism2"</f>
        <v>Ism2</v>
      </c>
      <c r="B11116" t="s">
        <v>14</v>
      </c>
      <c r="C11116" t="s">
        <v>16</v>
      </c>
      <c r="D11116" t="s">
        <v>11</v>
      </c>
      <c r="E11116" t="s">
        <v>12</v>
      </c>
      <c r="F11116">
        <v>87299721</v>
      </c>
      <c r="G11116">
        <v>87299751</v>
      </c>
      <c r="H11116">
        <v>87299792</v>
      </c>
      <c r="I11116">
        <v>87299804</v>
      </c>
    </row>
    <row r="11117" spans="1:9" x14ac:dyDescent="0.2">
      <c r="A11117" t="str">
        <f>"Isoc1"</f>
        <v>Isoc1</v>
      </c>
      <c r="B11117" t="s">
        <v>14</v>
      </c>
      <c r="C11117" t="s">
        <v>43</v>
      </c>
      <c r="D11117" t="s">
        <v>17</v>
      </c>
      <c r="E11117" t="s">
        <v>12</v>
      </c>
      <c r="F11117">
        <v>58659443</v>
      </c>
      <c r="G11117">
        <v>58659522</v>
      </c>
      <c r="H11117">
        <v>58659271</v>
      </c>
      <c r="I11117">
        <v>58659290</v>
      </c>
    </row>
    <row r="11118" spans="1:9" x14ac:dyDescent="0.2">
      <c r="A11118" t="str">
        <f>"Isoc2a"</f>
        <v>Isoc2a</v>
      </c>
      <c r="B11118" t="s">
        <v>14</v>
      </c>
      <c r="C11118" t="s">
        <v>33</v>
      </c>
      <c r="D11118" t="s">
        <v>17</v>
      </c>
      <c r="E11118" t="s">
        <v>12</v>
      </c>
      <c r="F11118">
        <v>4877047</v>
      </c>
      <c r="G11118">
        <v>4877111</v>
      </c>
      <c r="H11118">
        <v>4877112</v>
      </c>
      <c r="I11118">
        <v>4877127</v>
      </c>
    </row>
    <row r="11119" spans="1:9" x14ac:dyDescent="0.2">
      <c r="A11119" t="str">
        <f>"Isoc2b"</f>
        <v>Isoc2b</v>
      </c>
      <c r="B11119" t="s">
        <v>14</v>
      </c>
      <c r="C11119" t="s">
        <v>33</v>
      </c>
      <c r="D11119" t="s">
        <v>11</v>
      </c>
      <c r="E11119" t="s">
        <v>12</v>
      </c>
      <c r="F11119">
        <v>4866161</v>
      </c>
      <c r="G11119">
        <v>4866198</v>
      </c>
      <c r="H11119">
        <v>4866131</v>
      </c>
      <c r="I11119">
        <v>4866150</v>
      </c>
    </row>
    <row r="11120" spans="1:9" x14ac:dyDescent="0.2">
      <c r="A11120" t="str">
        <f>"Ispd"</f>
        <v>Ispd</v>
      </c>
      <c r="B11120" t="s">
        <v>14</v>
      </c>
      <c r="C11120" t="s">
        <v>16</v>
      </c>
      <c r="D11120" t="s">
        <v>17</v>
      </c>
      <c r="E11120" t="s">
        <v>12</v>
      </c>
      <c r="F11120">
        <v>36381548</v>
      </c>
      <c r="G11120">
        <v>36381594</v>
      </c>
      <c r="H11120">
        <v>36381878</v>
      </c>
      <c r="I11120">
        <v>36381911</v>
      </c>
    </row>
    <row r="11121" spans="1:9" x14ac:dyDescent="0.2">
      <c r="A11121" t="str">
        <f>"Ist1"</f>
        <v>Ist1</v>
      </c>
      <c r="B11121" t="s">
        <v>14</v>
      </c>
      <c r="C11121" t="s">
        <v>30</v>
      </c>
      <c r="D11121" t="s">
        <v>11</v>
      </c>
      <c r="E11121" t="s">
        <v>67</v>
      </c>
      <c r="F11121">
        <v>109693235</v>
      </c>
      <c r="G11121">
        <v>109693289</v>
      </c>
      <c r="H11121">
        <v>109693215</v>
      </c>
      <c r="I11121">
        <v>109693226</v>
      </c>
    </row>
    <row r="11122" spans="1:9" x14ac:dyDescent="0.2">
      <c r="A11122" t="str">
        <f>"Isx"</f>
        <v>Isx</v>
      </c>
      <c r="B11122" t="s">
        <v>14</v>
      </c>
      <c r="C11122" t="s">
        <v>30</v>
      </c>
      <c r="D11122" t="s">
        <v>17</v>
      </c>
      <c r="E11122" t="s">
        <v>12</v>
      </c>
      <c r="F11122">
        <v>74872692</v>
      </c>
      <c r="G11122">
        <v>74872740</v>
      </c>
      <c r="H11122">
        <v>74873196</v>
      </c>
      <c r="I11122">
        <v>74873228</v>
      </c>
    </row>
    <row r="11123" spans="1:9" x14ac:dyDescent="0.2">
      <c r="A11123" t="str">
        <f>"Isy1"</f>
        <v>Isy1</v>
      </c>
      <c r="B11123" t="s">
        <v>14</v>
      </c>
      <c r="C11123" t="s">
        <v>32</v>
      </c>
      <c r="D11123" t="s">
        <v>11</v>
      </c>
      <c r="E11123" t="s">
        <v>12</v>
      </c>
      <c r="F11123">
        <v>87838671</v>
      </c>
      <c r="G11123">
        <v>87838792</v>
      </c>
      <c r="H11123">
        <v>87838865</v>
      </c>
      <c r="I11123">
        <v>87838874</v>
      </c>
    </row>
    <row r="11124" spans="1:9" x14ac:dyDescent="0.2">
      <c r="A11124" t="str">
        <f>"Isyna1"</f>
        <v>Isyna1</v>
      </c>
      <c r="B11124" t="s">
        <v>14</v>
      </c>
      <c r="C11124" t="s">
        <v>30</v>
      </c>
      <c r="D11124" t="s">
        <v>17</v>
      </c>
      <c r="E11124" t="s">
        <v>12</v>
      </c>
      <c r="F11124">
        <v>70594466</v>
      </c>
      <c r="G11124">
        <v>70594512</v>
      </c>
      <c r="H11124">
        <v>70594361</v>
      </c>
      <c r="I11124">
        <v>70594372</v>
      </c>
    </row>
    <row r="11125" spans="1:9" x14ac:dyDescent="0.2">
      <c r="A11125" t="str">
        <f>"Itch"</f>
        <v>Itch</v>
      </c>
      <c r="B11125" t="s">
        <v>14</v>
      </c>
      <c r="C11125" t="s">
        <v>26</v>
      </c>
      <c r="D11125" t="s">
        <v>17</v>
      </c>
      <c r="E11125" t="s">
        <v>12</v>
      </c>
      <c r="F11125">
        <v>155133501</v>
      </c>
      <c r="G11125">
        <v>155133552</v>
      </c>
      <c r="H11125">
        <v>155133486</v>
      </c>
      <c r="I11125">
        <v>155133497</v>
      </c>
    </row>
    <row r="11126" spans="1:9" x14ac:dyDescent="0.2">
      <c r="A11126" t="str">
        <f>"Itfg1"</f>
        <v>Itfg1</v>
      </c>
      <c r="B11126" t="s">
        <v>14</v>
      </c>
      <c r="C11126" t="s">
        <v>30</v>
      </c>
      <c r="D11126" t="s">
        <v>11</v>
      </c>
      <c r="E11126" t="s">
        <v>12</v>
      </c>
      <c r="F11126">
        <v>85840877</v>
      </c>
      <c r="G11126">
        <v>85840957</v>
      </c>
      <c r="H11126">
        <v>85840877</v>
      </c>
      <c r="I11126">
        <v>85840957</v>
      </c>
    </row>
    <row r="11127" spans="1:9" x14ac:dyDescent="0.2">
      <c r="A11127" t="str">
        <f>"Itfg2"</f>
        <v>Itfg2</v>
      </c>
      <c r="B11127" t="s">
        <v>14</v>
      </c>
      <c r="C11127" t="s">
        <v>32</v>
      </c>
      <c r="D11127" t="s">
        <v>11</v>
      </c>
      <c r="E11127" t="s">
        <v>12</v>
      </c>
      <c r="F11127">
        <v>128424883</v>
      </c>
      <c r="G11127">
        <v>128424935</v>
      </c>
      <c r="H11127">
        <v>128424991</v>
      </c>
      <c r="I11127">
        <v>128425024</v>
      </c>
    </row>
    <row r="11128" spans="1:9" x14ac:dyDescent="0.2">
      <c r="A11128" t="str">
        <f>"Itfg3"</f>
        <v>Itfg3</v>
      </c>
      <c r="B11128" t="s">
        <v>14</v>
      </c>
      <c r="C11128" t="s">
        <v>28</v>
      </c>
      <c r="D11128" t="s">
        <v>11</v>
      </c>
      <c r="E11128" t="s">
        <v>12</v>
      </c>
      <c r="F11128">
        <v>26244118</v>
      </c>
      <c r="G11128">
        <v>26244177</v>
      </c>
      <c r="H11128">
        <v>26244203</v>
      </c>
      <c r="I11128">
        <v>26244228</v>
      </c>
    </row>
    <row r="11129" spans="1:9" x14ac:dyDescent="0.2">
      <c r="A11129" t="str">
        <f>"Itga1"</f>
        <v>Itga1</v>
      </c>
      <c r="B11129" t="s">
        <v>14</v>
      </c>
      <c r="C11129" t="s">
        <v>39</v>
      </c>
      <c r="D11129" t="s">
        <v>11</v>
      </c>
      <c r="E11129" t="s">
        <v>12</v>
      </c>
      <c r="F11129">
        <v>115101909</v>
      </c>
      <c r="G11129">
        <v>115101984</v>
      </c>
      <c r="H11129">
        <v>115101909</v>
      </c>
      <c r="I11129">
        <v>115101984</v>
      </c>
    </row>
    <row r="11130" spans="1:9" x14ac:dyDescent="0.2">
      <c r="A11130" t="str">
        <f>"Itga10"</f>
        <v>Itga10</v>
      </c>
      <c r="B11130" t="s">
        <v>14</v>
      </c>
      <c r="C11130" t="s">
        <v>22</v>
      </c>
      <c r="D11130" t="s">
        <v>17</v>
      </c>
      <c r="E11130" t="s">
        <v>12</v>
      </c>
      <c r="F11130">
        <v>96645579</v>
      </c>
      <c r="G11130">
        <v>96645608</v>
      </c>
      <c r="H11130">
        <v>96645579</v>
      </c>
      <c r="I11130">
        <v>96645608</v>
      </c>
    </row>
    <row r="11131" spans="1:9" x14ac:dyDescent="0.2">
      <c r="A11131" t="str">
        <f>"Itga11"</f>
        <v>Itga11</v>
      </c>
      <c r="B11131" t="s">
        <v>14</v>
      </c>
      <c r="C11131" t="s">
        <v>24</v>
      </c>
      <c r="D11131" t="s">
        <v>17</v>
      </c>
      <c r="E11131" t="s">
        <v>12</v>
      </c>
      <c r="F11131">
        <v>62677848</v>
      </c>
      <c r="G11131">
        <v>62677863</v>
      </c>
      <c r="H11131">
        <v>62677833</v>
      </c>
      <c r="I11131">
        <v>62677843</v>
      </c>
    </row>
    <row r="11132" spans="1:9" x14ac:dyDescent="0.2">
      <c r="A11132" t="str">
        <f>"Itga2"</f>
        <v>Itga2</v>
      </c>
      <c r="B11132" t="s">
        <v>14</v>
      </c>
      <c r="C11132" t="s">
        <v>39</v>
      </c>
      <c r="D11132" t="s">
        <v>11</v>
      </c>
      <c r="E11132" t="s">
        <v>12</v>
      </c>
      <c r="F11132">
        <v>114932035</v>
      </c>
      <c r="G11132">
        <v>114932066</v>
      </c>
      <c r="H11132">
        <v>114932070</v>
      </c>
      <c r="I11132">
        <v>114932109</v>
      </c>
    </row>
    <row r="11133" spans="1:9" x14ac:dyDescent="0.2">
      <c r="A11133" t="str">
        <f>"Itga2b"</f>
        <v>Itga2b</v>
      </c>
      <c r="B11133" t="s">
        <v>14</v>
      </c>
      <c r="C11133" t="s">
        <v>27</v>
      </c>
      <c r="D11133" t="s">
        <v>11</v>
      </c>
      <c r="E11133" t="s">
        <v>12</v>
      </c>
      <c r="F11133">
        <v>102469734</v>
      </c>
      <c r="G11133">
        <v>102469752</v>
      </c>
      <c r="H11133">
        <v>102469734</v>
      </c>
      <c r="I11133">
        <v>102469752</v>
      </c>
    </row>
    <row r="11134" spans="1:9" x14ac:dyDescent="0.2">
      <c r="A11134" t="str">
        <f>"Itga3"</f>
        <v>Itga3</v>
      </c>
      <c r="B11134" t="s">
        <v>14</v>
      </c>
      <c r="C11134" t="s">
        <v>27</v>
      </c>
      <c r="D11134" t="s">
        <v>11</v>
      </c>
      <c r="E11134" t="s">
        <v>12</v>
      </c>
      <c r="F11134">
        <v>95076657</v>
      </c>
      <c r="G11134">
        <v>95076722</v>
      </c>
      <c r="H11134">
        <v>95076803</v>
      </c>
      <c r="I11134">
        <v>95076818</v>
      </c>
    </row>
    <row r="11135" spans="1:9" x14ac:dyDescent="0.2">
      <c r="A11135" t="str">
        <f>"Itga4"</f>
        <v>Itga4</v>
      </c>
      <c r="B11135" t="s">
        <v>14</v>
      </c>
      <c r="C11135" t="s">
        <v>26</v>
      </c>
      <c r="D11135" t="s">
        <v>17</v>
      </c>
      <c r="E11135" t="s">
        <v>12</v>
      </c>
      <c r="F11135">
        <v>79255554</v>
      </c>
      <c r="G11135">
        <v>79255652</v>
      </c>
      <c r="H11135">
        <v>79255510</v>
      </c>
      <c r="I11135">
        <v>79255552</v>
      </c>
    </row>
    <row r="11136" spans="1:9" x14ac:dyDescent="0.2">
      <c r="A11136" t="str">
        <f>"Itga5"</f>
        <v>Itga5</v>
      </c>
      <c r="B11136" t="s">
        <v>14</v>
      </c>
      <c r="C11136" t="s">
        <v>25</v>
      </c>
      <c r="D11136" t="s">
        <v>11</v>
      </c>
      <c r="E11136" t="s">
        <v>12</v>
      </c>
      <c r="F11136">
        <v>103366527</v>
      </c>
      <c r="G11136">
        <v>103366579</v>
      </c>
      <c r="H11136">
        <v>103366770</v>
      </c>
      <c r="I11136">
        <v>103366798</v>
      </c>
    </row>
    <row r="11137" spans="1:9" x14ac:dyDescent="0.2">
      <c r="A11137" t="str">
        <f>"Itga6"</f>
        <v>Itga6</v>
      </c>
      <c r="B11137" t="s">
        <v>14</v>
      </c>
      <c r="C11137" t="s">
        <v>26</v>
      </c>
      <c r="D11137" t="s">
        <v>17</v>
      </c>
      <c r="E11137" t="s">
        <v>12</v>
      </c>
      <c r="F11137">
        <v>71786923</v>
      </c>
      <c r="G11137">
        <v>71786945</v>
      </c>
      <c r="H11137">
        <v>71787057</v>
      </c>
      <c r="I11137">
        <v>71787083</v>
      </c>
    </row>
    <row r="11138" spans="1:9" x14ac:dyDescent="0.2">
      <c r="A11138" t="str">
        <f>"Itga7"</f>
        <v>Itga7</v>
      </c>
      <c r="B11138" t="s">
        <v>14</v>
      </c>
      <c r="C11138" t="s">
        <v>15</v>
      </c>
      <c r="D11138" t="s">
        <v>17</v>
      </c>
      <c r="E11138" t="s">
        <v>12</v>
      </c>
      <c r="F11138">
        <v>128933782</v>
      </c>
      <c r="G11138">
        <v>128933828</v>
      </c>
      <c r="H11138">
        <v>128933776</v>
      </c>
      <c r="I11138">
        <v>128933781</v>
      </c>
    </row>
    <row r="11139" spans="1:9" x14ac:dyDescent="0.2">
      <c r="A11139" t="str">
        <f>"Itga8"</f>
        <v>Itga8</v>
      </c>
      <c r="B11139" t="s">
        <v>14</v>
      </c>
      <c r="C11139" t="s">
        <v>26</v>
      </c>
      <c r="D11139" t="s">
        <v>11</v>
      </c>
      <c r="E11139" t="s">
        <v>12</v>
      </c>
      <c r="F11139">
        <v>12301934</v>
      </c>
      <c r="G11139">
        <v>12301987</v>
      </c>
      <c r="H11139">
        <v>12301914</v>
      </c>
      <c r="I11139">
        <v>12301922</v>
      </c>
    </row>
    <row r="11140" spans="1:9" x14ac:dyDescent="0.2">
      <c r="A11140" t="str">
        <f>"Itga9"</f>
        <v>Itga9</v>
      </c>
      <c r="B11140" t="s">
        <v>14</v>
      </c>
      <c r="C11140" t="s">
        <v>24</v>
      </c>
      <c r="D11140" t="s">
        <v>17</v>
      </c>
      <c r="E11140" t="s">
        <v>12</v>
      </c>
      <c r="F11140">
        <v>118606687</v>
      </c>
      <c r="G11140">
        <v>118606751</v>
      </c>
      <c r="H11140">
        <v>118606473</v>
      </c>
      <c r="I11140">
        <v>118606506</v>
      </c>
    </row>
    <row r="11141" spans="1:9" x14ac:dyDescent="0.2">
      <c r="A11141" t="str">
        <f>"Itgad"</f>
        <v>Itgad</v>
      </c>
      <c r="B11141" t="s">
        <v>14</v>
      </c>
      <c r="C11141" t="s">
        <v>33</v>
      </c>
      <c r="D11141" t="s">
        <v>17</v>
      </c>
      <c r="E11141" t="s">
        <v>12</v>
      </c>
      <c r="F11141">
        <v>128173944</v>
      </c>
      <c r="G11141">
        <v>128173981</v>
      </c>
      <c r="H11141">
        <v>128173944</v>
      </c>
      <c r="I11141">
        <v>128173981</v>
      </c>
    </row>
    <row r="11142" spans="1:9" x14ac:dyDescent="0.2">
      <c r="A11142" t="str">
        <f>"Itgae"</f>
        <v>Itgae</v>
      </c>
      <c r="B11142" t="s">
        <v>14</v>
      </c>
      <c r="C11142" t="s">
        <v>27</v>
      </c>
      <c r="D11142" t="s">
        <v>17</v>
      </c>
      <c r="E11142" t="s">
        <v>12</v>
      </c>
      <c r="F11142">
        <v>73090554</v>
      </c>
      <c r="G11142">
        <v>73090603</v>
      </c>
      <c r="H11142">
        <v>73090554</v>
      </c>
      <c r="I11142">
        <v>73090603</v>
      </c>
    </row>
    <row r="11143" spans="1:9" x14ac:dyDescent="0.2">
      <c r="A11143" t="str">
        <f>"Itgal"</f>
        <v>Itgal</v>
      </c>
      <c r="B11143" t="s">
        <v>14</v>
      </c>
      <c r="C11143" t="s">
        <v>33</v>
      </c>
      <c r="D11143" t="s">
        <v>17</v>
      </c>
      <c r="E11143" t="s">
        <v>12</v>
      </c>
      <c r="F11143">
        <v>127296338</v>
      </c>
      <c r="G11143">
        <v>127296352</v>
      </c>
      <c r="H11143">
        <v>127296369</v>
      </c>
      <c r="I11143">
        <v>127296389</v>
      </c>
    </row>
    <row r="11144" spans="1:9" x14ac:dyDescent="0.2">
      <c r="A11144" t="str">
        <f>"Itgam"</f>
        <v>Itgam</v>
      </c>
      <c r="B11144" t="s">
        <v>14</v>
      </c>
      <c r="C11144" t="s">
        <v>33</v>
      </c>
      <c r="D11144" t="s">
        <v>17</v>
      </c>
      <c r="E11144" t="s">
        <v>12</v>
      </c>
      <c r="F11144">
        <v>128062698</v>
      </c>
      <c r="G11144">
        <v>128062730</v>
      </c>
      <c r="H11144">
        <v>128062657</v>
      </c>
      <c r="I11144">
        <v>128062687</v>
      </c>
    </row>
    <row r="11145" spans="1:9" x14ac:dyDescent="0.2">
      <c r="A11145" t="str">
        <f>"Itgav"</f>
        <v>Itgav</v>
      </c>
      <c r="B11145" t="s">
        <v>14</v>
      </c>
      <c r="C11145" t="s">
        <v>26</v>
      </c>
      <c r="D11145" t="s">
        <v>17</v>
      </c>
      <c r="E11145" t="s">
        <v>12</v>
      </c>
      <c r="F11145">
        <v>83724429</v>
      </c>
      <c r="G11145">
        <v>83724515</v>
      </c>
      <c r="H11145">
        <v>83724429</v>
      </c>
      <c r="I11145">
        <v>83724515</v>
      </c>
    </row>
    <row r="11146" spans="1:9" x14ac:dyDescent="0.2">
      <c r="A11146" t="str">
        <f>"Itgax"</f>
        <v>Itgax</v>
      </c>
      <c r="B11146" t="s">
        <v>14</v>
      </c>
      <c r="C11146" t="s">
        <v>33</v>
      </c>
      <c r="D11146" t="s">
        <v>17</v>
      </c>
      <c r="E11146" t="s">
        <v>12</v>
      </c>
      <c r="F11146">
        <v>128129536</v>
      </c>
      <c r="G11146">
        <v>128129574</v>
      </c>
      <c r="H11146">
        <v>128129591</v>
      </c>
      <c r="I11146">
        <v>128129601</v>
      </c>
    </row>
    <row r="11147" spans="1:9" x14ac:dyDescent="0.2">
      <c r="A11147" t="str">
        <f>"Itgb1"</f>
        <v>Itgb1</v>
      </c>
      <c r="B11147" t="s">
        <v>14</v>
      </c>
      <c r="C11147" t="s">
        <v>30</v>
      </c>
      <c r="D11147" t="s">
        <v>17</v>
      </c>
      <c r="E11147" t="s">
        <v>12</v>
      </c>
      <c r="F11147">
        <v>128685746</v>
      </c>
      <c r="G11147">
        <v>128685782</v>
      </c>
      <c r="H11147">
        <v>128685786</v>
      </c>
      <c r="I11147">
        <v>128685818</v>
      </c>
    </row>
    <row r="11148" spans="1:9" x14ac:dyDescent="0.2">
      <c r="A11148" t="str">
        <f>"Itgb1bp1"</f>
        <v>Itgb1bp1</v>
      </c>
      <c r="B11148" t="s">
        <v>14</v>
      </c>
      <c r="C11148" t="s">
        <v>16</v>
      </c>
      <c r="D11148" t="s">
        <v>11</v>
      </c>
      <c r="E11148" t="s">
        <v>12</v>
      </c>
      <c r="F11148">
        <v>21286176</v>
      </c>
      <c r="G11148">
        <v>21286268</v>
      </c>
      <c r="H11148">
        <v>21286116</v>
      </c>
      <c r="I11148">
        <v>21286162</v>
      </c>
    </row>
    <row r="11149" spans="1:9" x14ac:dyDescent="0.2">
      <c r="A11149" t="str">
        <f>"Itgb1bp2"</f>
        <v>Itgb1bp2</v>
      </c>
      <c r="B11149" t="s">
        <v>14</v>
      </c>
      <c r="C11149" t="s">
        <v>37</v>
      </c>
      <c r="D11149" t="s">
        <v>17</v>
      </c>
      <c r="E11149" t="s">
        <v>12</v>
      </c>
      <c r="F11149">
        <v>101449103</v>
      </c>
      <c r="G11149">
        <v>101449135</v>
      </c>
      <c r="H11149">
        <v>101449078</v>
      </c>
      <c r="I11149">
        <v>101449089</v>
      </c>
    </row>
    <row r="11150" spans="1:9" x14ac:dyDescent="0.2">
      <c r="A11150" t="str">
        <f>"Itgb2"</f>
        <v>Itgb2</v>
      </c>
      <c r="B11150" t="s">
        <v>14</v>
      </c>
      <c r="C11150" t="s">
        <v>15</v>
      </c>
      <c r="D11150" t="s">
        <v>17</v>
      </c>
      <c r="E11150" t="s">
        <v>12</v>
      </c>
      <c r="F11150">
        <v>77530342</v>
      </c>
      <c r="G11150">
        <v>77530412</v>
      </c>
      <c r="H11150">
        <v>77530421</v>
      </c>
      <c r="I11150">
        <v>77530432</v>
      </c>
    </row>
    <row r="11151" spans="1:9" x14ac:dyDescent="0.2">
      <c r="A11151" t="str">
        <f>"Itgb2l"</f>
        <v>Itgb2l</v>
      </c>
      <c r="B11151" t="s">
        <v>14</v>
      </c>
      <c r="C11151" t="s">
        <v>31</v>
      </c>
      <c r="D11151" t="s">
        <v>11</v>
      </c>
      <c r="E11151" t="s">
        <v>12</v>
      </c>
      <c r="F11151">
        <v>96443595</v>
      </c>
      <c r="G11151">
        <v>96443641</v>
      </c>
      <c r="H11151">
        <v>96443665</v>
      </c>
      <c r="I11151">
        <v>96443676</v>
      </c>
    </row>
    <row r="11152" spans="1:9" x14ac:dyDescent="0.2">
      <c r="A11152" t="str">
        <f>"Itgb3"</f>
        <v>Itgb3</v>
      </c>
      <c r="B11152" t="s">
        <v>14</v>
      </c>
      <c r="C11152" t="s">
        <v>27</v>
      </c>
      <c r="D11152" t="s">
        <v>17</v>
      </c>
      <c r="E11152" t="s">
        <v>12</v>
      </c>
      <c r="F11152">
        <v>104608040</v>
      </c>
      <c r="G11152">
        <v>104608063</v>
      </c>
      <c r="H11152">
        <v>104608026</v>
      </c>
      <c r="I11152">
        <v>104608037</v>
      </c>
    </row>
    <row r="11153" spans="1:9" x14ac:dyDescent="0.2">
      <c r="A11153" t="str">
        <f>"Itgb3bp"</f>
        <v>Itgb3bp</v>
      </c>
      <c r="B11153" t="s">
        <v>14</v>
      </c>
      <c r="C11153" t="s">
        <v>23</v>
      </c>
      <c r="D11153" t="s">
        <v>11</v>
      </c>
      <c r="E11153" t="s">
        <v>12</v>
      </c>
      <c r="F11153">
        <v>99829122</v>
      </c>
      <c r="G11153">
        <v>99829179</v>
      </c>
      <c r="H11153">
        <v>99829180</v>
      </c>
      <c r="I11153">
        <v>99829191</v>
      </c>
    </row>
    <row r="11154" spans="1:9" x14ac:dyDescent="0.2">
      <c r="A11154" t="str">
        <f>"Itgb4"</f>
        <v>Itgb4</v>
      </c>
      <c r="B11154" t="s">
        <v>14</v>
      </c>
      <c r="C11154" t="s">
        <v>27</v>
      </c>
      <c r="D11154" t="s">
        <v>17</v>
      </c>
      <c r="E11154" t="s">
        <v>12</v>
      </c>
      <c r="F11154">
        <v>115974983</v>
      </c>
      <c r="G11154">
        <v>115975051</v>
      </c>
      <c r="H11154">
        <v>115975064</v>
      </c>
      <c r="I11154">
        <v>115975088</v>
      </c>
    </row>
    <row r="11155" spans="1:9" x14ac:dyDescent="0.2">
      <c r="A11155" t="str">
        <f>"Itgb5"</f>
        <v>Itgb5</v>
      </c>
      <c r="B11155" t="s">
        <v>14</v>
      </c>
      <c r="C11155" t="s">
        <v>31</v>
      </c>
      <c r="D11155" t="s">
        <v>17</v>
      </c>
      <c r="E11155" t="s">
        <v>12</v>
      </c>
      <c r="F11155">
        <v>33829624</v>
      </c>
      <c r="G11155">
        <v>33829667</v>
      </c>
      <c r="H11155">
        <v>33829720</v>
      </c>
      <c r="I11155">
        <v>33829768</v>
      </c>
    </row>
    <row r="11156" spans="1:9" x14ac:dyDescent="0.2">
      <c r="A11156" t="str">
        <f>"Itgb6"</f>
        <v>Itgb6</v>
      </c>
      <c r="B11156" t="s">
        <v>9</v>
      </c>
      <c r="C11156" t="s">
        <v>26</v>
      </c>
      <c r="D11156" t="s">
        <v>11</v>
      </c>
      <c r="E11156" t="s">
        <v>12</v>
      </c>
      <c r="F11156">
        <v>60673654</v>
      </c>
      <c r="G11156">
        <v>60673731</v>
      </c>
      <c r="H11156">
        <v>60673654</v>
      </c>
      <c r="I11156">
        <v>60673731</v>
      </c>
    </row>
    <row r="11157" spans="1:9" x14ac:dyDescent="0.2">
      <c r="A11157" t="str">
        <f>"Itgb6"</f>
        <v>Itgb6</v>
      </c>
      <c r="B11157" t="s">
        <v>13</v>
      </c>
      <c r="C11157" t="s">
        <v>26</v>
      </c>
      <c r="D11157" t="s">
        <v>11</v>
      </c>
      <c r="E11157" t="s">
        <v>12</v>
      </c>
      <c r="F11157">
        <v>60705566</v>
      </c>
      <c r="G11157">
        <v>60705590</v>
      </c>
      <c r="H11157">
        <v>60705566</v>
      </c>
      <c r="I11157">
        <v>60705590</v>
      </c>
    </row>
    <row r="11158" spans="1:9" x14ac:dyDescent="0.2">
      <c r="A11158" t="str">
        <f>"Itgb7"</f>
        <v>Itgb7</v>
      </c>
      <c r="B11158" t="s">
        <v>14</v>
      </c>
      <c r="C11158" t="s">
        <v>25</v>
      </c>
      <c r="D11158" t="s">
        <v>11</v>
      </c>
      <c r="E11158" t="s">
        <v>12</v>
      </c>
      <c r="F11158">
        <v>102231895</v>
      </c>
      <c r="G11158">
        <v>102231917</v>
      </c>
      <c r="H11158">
        <v>102231920</v>
      </c>
      <c r="I11158">
        <v>102231941</v>
      </c>
    </row>
    <row r="11159" spans="1:9" x14ac:dyDescent="0.2">
      <c r="A11159" t="str">
        <f>"Itgb8"</f>
        <v>Itgb8</v>
      </c>
      <c r="B11159" t="s">
        <v>14</v>
      </c>
      <c r="C11159" t="s">
        <v>16</v>
      </c>
      <c r="D11159" t="s">
        <v>11</v>
      </c>
      <c r="E11159" t="s">
        <v>12</v>
      </c>
      <c r="F11159">
        <v>119238794</v>
      </c>
      <c r="G11159">
        <v>119238863</v>
      </c>
      <c r="H11159">
        <v>119238794</v>
      </c>
      <c r="I11159">
        <v>119238863</v>
      </c>
    </row>
    <row r="11160" spans="1:9" x14ac:dyDescent="0.2">
      <c r="A11160" t="str">
        <f>"Itgbl1"</f>
        <v>Itgbl1</v>
      </c>
      <c r="B11160" t="s">
        <v>14</v>
      </c>
      <c r="C11160" t="s">
        <v>41</v>
      </c>
      <c r="D11160" t="s">
        <v>17</v>
      </c>
      <c r="E11160" t="s">
        <v>12</v>
      </c>
      <c r="F11160">
        <v>123660115</v>
      </c>
      <c r="G11160">
        <v>123660209</v>
      </c>
      <c r="H11160">
        <v>123660115</v>
      </c>
      <c r="I11160">
        <v>123660209</v>
      </c>
    </row>
    <row r="11161" spans="1:9" x14ac:dyDescent="0.2">
      <c r="A11161" t="str">
        <f>"Itih1"</f>
        <v>Itih1</v>
      </c>
      <c r="B11161" t="s">
        <v>14</v>
      </c>
      <c r="C11161" t="s">
        <v>41</v>
      </c>
      <c r="D11161" t="s">
        <v>11</v>
      </c>
      <c r="E11161" t="s">
        <v>12</v>
      </c>
      <c r="F11161">
        <v>30943275</v>
      </c>
      <c r="G11161">
        <v>30943294</v>
      </c>
      <c r="H11161">
        <v>30943275</v>
      </c>
      <c r="I11161">
        <v>30943294</v>
      </c>
    </row>
    <row r="11162" spans="1:9" x14ac:dyDescent="0.2">
      <c r="A11162" t="str">
        <f>"Itih2"</f>
        <v>Itih2</v>
      </c>
      <c r="B11162" t="s">
        <v>14</v>
      </c>
      <c r="C11162" t="s">
        <v>26</v>
      </c>
      <c r="D11162" t="s">
        <v>11</v>
      </c>
      <c r="E11162" t="s">
        <v>12</v>
      </c>
      <c r="F11162">
        <v>10130638</v>
      </c>
      <c r="G11162">
        <v>10130689</v>
      </c>
      <c r="H11162">
        <v>10130638</v>
      </c>
      <c r="I11162">
        <v>10130689</v>
      </c>
    </row>
    <row r="11163" spans="1:9" x14ac:dyDescent="0.2">
      <c r="A11163" t="str">
        <f>"Itih3"</f>
        <v>Itih3</v>
      </c>
      <c r="B11163" t="s">
        <v>14</v>
      </c>
      <c r="C11163" t="s">
        <v>41</v>
      </c>
      <c r="D11163" t="s">
        <v>11</v>
      </c>
      <c r="E11163" t="s">
        <v>12</v>
      </c>
      <c r="F11163">
        <v>30923547</v>
      </c>
      <c r="G11163">
        <v>30923565</v>
      </c>
      <c r="H11163">
        <v>30923547</v>
      </c>
      <c r="I11163">
        <v>30923565</v>
      </c>
    </row>
    <row r="11164" spans="1:9" x14ac:dyDescent="0.2">
      <c r="A11164" t="str">
        <f>"Itih4"</f>
        <v>Itih4</v>
      </c>
      <c r="B11164" t="s">
        <v>14</v>
      </c>
      <c r="C11164" t="s">
        <v>41</v>
      </c>
      <c r="D11164" t="s">
        <v>17</v>
      </c>
      <c r="E11164" t="s">
        <v>12</v>
      </c>
      <c r="F11164">
        <v>30886493</v>
      </c>
      <c r="G11164">
        <v>30886510</v>
      </c>
      <c r="H11164">
        <v>30886521</v>
      </c>
      <c r="I11164">
        <v>30886532</v>
      </c>
    </row>
    <row r="11165" spans="1:9" x14ac:dyDescent="0.2">
      <c r="A11165" t="str">
        <f>"Itih5"</f>
        <v>Itih5</v>
      </c>
      <c r="B11165" t="s">
        <v>14</v>
      </c>
      <c r="C11165" t="s">
        <v>26</v>
      </c>
      <c r="D11165" t="s">
        <v>17</v>
      </c>
      <c r="E11165" t="s">
        <v>12</v>
      </c>
      <c r="F11165">
        <v>10153563</v>
      </c>
      <c r="G11165">
        <v>10153627</v>
      </c>
      <c r="H11165">
        <v>10153633</v>
      </c>
      <c r="I11165">
        <v>10153654</v>
      </c>
    </row>
    <row r="11166" spans="1:9" x14ac:dyDescent="0.2">
      <c r="A11166" t="str">
        <f>"Itk"</f>
        <v>Itk</v>
      </c>
      <c r="B11166" t="s">
        <v>14</v>
      </c>
      <c r="C11166" t="s">
        <v>27</v>
      </c>
      <c r="D11166" t="s">
        <v>11</v>
      </c>
      <c r="E11166" t="s">
        <v>12</v>
      </c>
      <c r="F11166">
        <v>46389471</v>
      </c>
      <c r="G11166">
        <v>46389505</v>
      </c>
      <c r="H11166">
        <v>46389454</v>
      </c>
      <c r="I11166">
        <v>46389467</v>
      </c>
    </row>
    <row r="11167" spans="1:9" x14ac:dyDescent="0.2">
      <c r="A11167" t="str">
        <f>"Itln1"</f>
        <v>Itln1</v>
      </c>
      <c r="B11167" t="s">
        <v>14</v>
      </c>
      <c r="C11167" t="s">
        <v>19</v>
      </c>
      <c r="D11167" t="s">
        <v>11</v>
      </c>
      <c r="E11167" t="s">
        <v>12</v>
      </c>
      <c r="F11167">
        <v>171535284</v>
      </c>
      <c r="G11167">
        <v>171535300</v>
      </c>
      <c r="H11167">
        <v>171535284</v>
      </c>
      <c r="I11167">
        <v>171535300</v>
      </c>
    </row>
    <row r="11168" spans="1:9" x14ac:dyDescent="0.2">
      <c r="A11168" t="str">
        <f>"Itm2a"</f>
        <v>Itm2a</v>
      </c>
      <c r="B11168" t="s">
        <v>14</v>
      </c>
      <c r="C11168" t="s">
        <v>37</v>
      </c>
      <c r="D11168" t="s">
        <v>11</v>
      </c>
      <c r="E11168" t="s">
        <v>12</v>
      </c>
      <c r="F11168">
        <v>107403295</v>
      </c>
      <c r="G11168">
        <v>107403404</v>
      </c>
      <c r="H11168">
        <v>107403295</v>
      </c>
      <c r="I11168">
        <v>107403404</v>
      </c>
    </row>
    <row r="11169" spans="1:9" x14ac:dyDescent="0.2">
      <c r="A11169" t="str">
        <f>"Itm2b"</f>
        <v>Itm2b</v>
      </c>
      <c r="B11169" t="s">
        <v>9</v>
      </c>
      <c r="C11169" t="s">
        <v>41</v>
      </c>
      <c r="D11169" t="s">
        <v>11</v>
      </c>
      <c r="E11169" t="s">
        <v>12</v>
      </c>
      <c r="F11169">
        <v>73385225</v>
      </c>
      <c r="G11169">
        <v>73385311</v>
      </c>
      <c r="H11169">
        <v>73385225</v>
      </c>
      <c r="I11169">
        <v>73385311</v>
      </c>
    </row>
    <row r="11170" spans="1:9" x14ac:dyDescent="0.2">
      <c r="A11170" t="str">
        <f>"Itm2b"</f>
        <v>Itm2b</v>
      </c>
      <c r="B11170" t="s">
        <v>13</v>
      </c>
      <c r="C11170" t="s">
        <v>41</v>
      </c>
      <c r="D11170" t="s">
        <v>11</v>
      </c>
      <c r="E11170" t="s">
        <v>12</v>
      </c>
      <c r="F11170">
        <v>73368404</v>
      </c>
      <c r="G11170">
        <v>73368426</v>
      </c>
      <c r="H11170">
        <v>73368404</v>
      </c>
      <c r="I11170">
        <v>73368426</v>
      </c>
    </row>
    <row r="11171" spans="1:9" x14ac:dyDescent="0.2">
      <c r="A11171" t="str">
        <f>"Itm2c"</f>
        <v>Itm2c</v>
      </c>
      <c r="B11171" t="s">
        <v>14</v>
      </c>
      <c r="C11171" t="s">
        <v>19</v>
      </c>
      <c r="D11171" t="s">
        <v>17</v>
      </c>
      <c r="E11171" t="s">
        <v>12</v>
      </c>
      <c r="F11171">
        <v>85894531</v>
      </c>
      <c r="G11171">
        <v>85894655</v>
      </c>
      <c r="H11171">
        <v>85894531</v>
      </c>
      <c r="I11171">
        <v>85894655</v>
      </c>
    </row>
    <row r="11172" spans="1:9" x14ac:dyDescent="0.2">
      <c r="A11172" t="str">
        <f>"Itpa"</f>
        <v>Itpa</v>
      </c>
      <c r="B11172" t="s">
        <v>14</v>
      </c>
      <c r="C11172" t="s">
        <v>26</v>
      </c>
      <c r="D11172" t="s">
        <v>17</v>
      </c>
      <c r="E11172" t="s">
        <v>12</v>
      </c>
      <c r="F11172">
        <v>130667791</v>
      </c>
      <c r="G11172">
        <v>130667848</v>
      </c>
      <c r="H11172">
        <v>130667791</v>
      </c>
      <c r="I11172">
        <v>130667848</v>
      </c>
    </row>
    <row r="11173" spans="1:9" x14ac:dyDescent="0.2">
      <c r="A11173" t="str">
        <f>"Itpk1"</f>
        <v>Itpk1</v>
      </c>
      <c r="B11173" t="s">
        <v>14</v>
      </c>
      <c r="C11173" t="s">
        <v>16</v>
      </c>
      <c r="D11173" t="s">
        <v>11</v>
      </c>
      <c r="E11173" t="s">
        <v>12</v>
      </c>
      <c r="F11173">
        <v>102704896</v>
      </c>
      <c r="G11173">
        <v>102704980</v>
      </c>
      <c r="H11173">
        <v>102704874</v>
      </c>
      <c r="I11173">
        <v>102704889</v>
      </c>
    </row>
    <row r="11174" spans="1:9" x14ac:dyDescent="0.2">
      <c r="A11174" t="str">
        <f>"Itpka"</f>
        <v>Itpka</v>
      </c>
      <c r="B11174" t="s">
        <v>14</v>
      </c>
      <c r="C11174" t="s">
        <v>26</v>
      </c>
      <c r="D11174" t="s">
        <v>17</v>
      </c>
      <c r="E11174" t="s">
        <v>12</v>
      </c>
      <c r="F11174">
        <v>119742306</v>
      </c>
      <c r="G11174">
        <v>119742331</v>
      </c>
      <c r="H11174">
        <v>119742289</v>
      </c>
      <c r="I11174">
        <v>119742305</v>
      </c>
    </row>
    <row r="11175" spans="1:9" x14ac:dyDescent="0.2">
      <c r="A11175" t="str">
        <f>"Itpkb"</f>
        <v>Itpkb</v>
      </c>
      <c r="B11175" t="s">
        <v>14</v>
      </c>
      <c r="C11175" t="s">
        <v>19</v>
      </c>
      <c r="D11175" t="s">
        <v>17</v>
      </c>
      <c r="E11175" t="s">
        <v>12</v>
      </c>
      <c r="F11175">
        <v>180330495</v>
      </c>
      <c r="G11175">
        <v>180330536</v>
      </c>
      <c r="H11175">
        <v>180330470</v>
      </c>
      <c r="I11175">
        <v>180330493</v>
      </c>
    </row>
    <row r="11176" spans="1:9" x14ac:dyDescent="0.2">
      <c r="A11176" t="str">
        <f>"Itpkc"</f>
        <v>Itpkc</v>
      </c>
      <c r="B11176" t="s">
        <v>14</v>
      </c>
      <c r="C11176" t="s">
        <v>33</v>
      </c>
      <c r="D11176" t="s">
        <v>11</v>
      </c>
      <c r="E11176" t="s">
        <v>12</v>
      </c>
      <c r="F11176">
        <v>27228605</v>
      </c>
      <c r="G11176">
        <v>27228636</v>
      </c>
      <c r="H11176">
        <v>27228502</v>
      </c>
      <c r="I11176">
        <v>27228517</v>
      </c>
    </row>
    <row r="11177" spans="1:9" x14ac:dyDescent="0.2">
      <c r="A11177" t="str">
        <f>"Itpr1"</f>
        <v>Itpr1</v>
      </c>
      <c r="B11177" t="s">
        <v>14</v>
      </c>
      <c r="C11177" t="s">
        <v>32</v>
      </c>
      <c r="D11177" t="s">
        <v>17</v>
      </c>
      <c r="E11177" t="s">
        <v>12</v>
      </c>
      <c r="F11177">
        <v>108213086</v>
      </c>
      <c r="G11177">
        <v>108213123</v>
      </c>
      <c r="H11177">
        <v>108213219</v>
      </c>
      <c r="I11177">
        <v>108213269</v>
      </c>
    </row>
    <row r="11178" spans="1:9" x14ac:dyDescent="0.2">
      <c r="A11178" t="str">
        <f>"Itpr2"</f>
        <v>Itpr2</v>
      </c>
      <c r="B11178" t="s">
        <v>14</v>
      </c>
      <c r="C11178" t="s">
        <v>32</v>
      </c>
      <c r="D11178" t="s">
        <v>11</v>
      </c>
      <c r="E11178" t="s">
        <v>12</v>
      </c>
      <c r="F11178">
        <v>146502141</v>
      </c>
      <c r="G11178">
        <v>146502230</v>
      </c>
      <c r="H11178">
        <v>146501994</v>
      </c>
      <c r="I11178">
        <v>146502033</v>
      </c>
    </row>
    <row r="11179" spans="1:9" x14ac:dyDescent="0.2">
      <c r="A11179" t="str">
        <f>"Itpr3"</f>
        <v>Itpr3</v>
      </c>
      <c r="B11179" t="s">
        <v>14</v>
      </c>
      <c r="C11179" t="s">
        <v>28</v>
      </c>
      <c r="D11179" t="s">
        <v>17</v>
      </c>
      <c r="E11179" t="s">
        <v>12</v>
      </c>
      <c r="F11179">
        <v>27057288</v>
      </c>
      <c r="G11179">
        <v>27057334</v>
      </c>
      <c r="H11179">
        <v>27057340</v>
      </c>
      <c r="I11179">
        <v>27057356</v>
      </c>
    </row>
    <row r="11180" spans="1:9" x14ac:dyDescent="0.2">
      <c r="A11180" t="str">
        <f>"Itprip"</f>
        <v>Itprip</v>
      </c>
      <c r="B11180" t="s">
        <v>14</v>
      </c>
      <c r="C11180" t="s">
        <v>10</v>
      </c>
      <c r="D11180" t="s">
        <v>11</v>
      </c>
      <c r="E11180" t="s">
        <v>12</v>
      </c>
      <c r="F11180">
        <v>47919269</v>
      </c>
      <c r="G11180">
        <v>47919305</v>
      </c>
      <c r="H11180">
        <v>47919348</v>
      </c>
      <c r="I11180">
        <v>47919371</v>
      </c>
    </row>
    <row r="11181" spans="1:9" x14ac:dyDescent="0.2">
      <c r="A11181" t="str">
        <f>"Itpripl1"</f>
        <v>Itpripl1</v>
      </c>
      <c r="B11181" t="s">
        <v>14</v>
      </c>
      <c r="C11181" t="s">
        <v>26</v>
      </c>
      <c r="D11181" t="s">
        <v>11</v>
      </c>
      <c r="E11181" t="s">
        <v>12</v>
      </c>
      <c r="F11181">
        <v>127143410</v>
      </c>
      <c r="G11181">
        <v>127143479</v>
      </c>
      <c r="H11181">
        <v>127143313</v>
      </c>
      <c r="I11181">
        <v>127143330</v>
      </c>
    </row>
    <row r="11182" spans="1:9" x14ac:dyDescent="0.2">
      <c r="A11182" t="str">
        <f>"Itpripl2"</f>
        <v>Itpripl2</v>
      </c>
      <c r="B11182" t="s">
        <v>14</v>
      </c>
      <c r="C11182" t="s">
        <v>33</v>
      </c>
      <c r="D11182" t="s">
        <v>11</v>
      </c>
      <c r="E11182" t="s">
        <v>12</v>
      </c>
      <c r="F11182">
        <v>118491912</v>
      </c>
      <c r="G11182">
        <v>118491965</v>
      </c>
      <c r="H11182">
        <v>118491809</v>
      </c>
      <c r="I11182">
        <v>118491868</v>
      </c>
    </row>
    <row r="11183" spans="1:9" x14ac:dyDescent="0.2">
      <c r="A11183" t="str">
        <f>"Itsn1"</f>
        <v>Itsn1</v>
      </c>
      <c r="B11183" t="s">
        <v>14</v>
      </c>
      <c r="C11183" t="s">
        <v>31</v>
      </c>
      <c r="D11183" t="s">
        <v>17</v>
      </c>
      <c r="E11183" t="s">
        <v>12</v>
      </c>
      <c r="F11183">
        <v>91729316</v>
      </c>
      <c r="G11183">
        <v>91729390</v>
      </c>
      <c r="H11183">
        <v>91729316</v>
      </c>
      <c r="I11183">
        <v>91729390</v>
      </c>
    </row>
    <row r="11184" spans="1:9" x14ac:dyDescent="0.2">
      <c r="A11184" t="str">
        <f>"Itsn2"</f>
        <v>Itsn2</v>
      </c>
      <c r="B11184" t="s">
        <v>14</v>
      </c>
      <c r="C11184" t="s">
        <v>16</v>
      </c>
      <c r="D11184" t="s">
        <v>17</v>
      </c>
      <c r="E11184" t="s">
        <v>12</v>
      </c>
      <c r="F11184">
        <v>4592992</v>
      </c>
      <c r="G11184">
        <v>4593087</v>
      </c>
      <c r="H11184">
        <v>4592793</v>
      </c>
      <c r="I11184">
        <v>4592836</v>
      </c>
    </row>
    <row r="11185" spans="1:9" x14ac:dyDescent="0.2">
      <c r="A11185" t="str">
        <f>"Ivd"</f>
        <v>Ivd</v>
      </c>
      <c r="B11185" t="s">
        <v>14</v>
      </c>
      <c r="C11185" t="s">
        <v>26</v>
      </c>
      <c r="D11185" t="s">
        <v>17</v>
      </c>
      <c r="E11185" t="s">
        <v>12</v>
      </c>
      <c r="F11185">
        <v>118861986</v>
      </c>
      <c r="G11185">
        <v>118862008</v>
      </c>
      <c r="H11185">
        <v>118862009</v>
      </c>
      <c r="I11185">
        <v>118862022</v>
      </c>
    </row>
    <row r="11186" spans="1:9" x14ac:dyDescent="0.2">
      <c r="A11186" t="str">
        <f>"Ivl"</f>
        <v>Ivl</v>
      </c>
      <c r="B11186" t="s">
        <v>14</v>
      </c>
      <c r="C11186" t="s">
        <v>22</v>
      </c>
      <c r="D11186" t="s">
        <v>11</v>
      </c>
      <c r="E11186" t="s">
        <v>12</v>
      </c>
      <c r="F11186">
        <v>92573726</v>
      </c>
      <c r="G11186">
        <v>92573742</v>
      </c>
      <c r="H11186">
        <v>92573745</v>
      </c>
      <c r="I11186">
        <v>92573756</v>
      </c>
    </row>
    <row r="11187" spans="1:9" x14ac:dyDescent="0.2">
      <c r="A11187" t="str">
        <f>"Ivns1abp"</f>
        <v>Ivns1abp</v>
      </c>
      <c r="B11187" t="s">
        <v>14</v>
      </c>
      <c r="C11187" t="s">
        <v>19</v>
      </c>
      <c r="D11187" t="s">
        <v>17</v>
      </c>
      <c r="E11187" t="s">
        <v>12</v>
      </c>
      <c r="F11187">
        <v>151344531</v>
      </c>
      <c r="G11187">
        <v>151344584</v>
      </c>
      <c r="H11187">
        <v>151344472</v>
      </c>
      <c r="I11187">
        <v>151344530</v>
      </c>
    </row>
    <row r="11188" spans="1:9" x14ac:dyDescent="0.2">
      <c r="A11188" t="str">
        <f>"Iws1"</f>
        <v>Iws1</v>
      </c>
      <c r="B11188" t="s">
        <v>14</v>
      </c>
      <c r="C11188" t="s">
        <v>43</v>
      </c>
      <c r="D11188" t="s">
        <v>17</v>
      </c>
      <c r="E11188" t="s">
        <v>12</v>
      </c>
      <c r="F11188">
        <v>32067729</v>
      </c>
      <c r="G11188">
        <v>32067811</v>
      </c>
      <c r="H11188">
        <v>32067973</v>
      </c>
      <c r="I11188">
        <v>32068013</v>
      </c>
    </row>
    <row r="11189" spans="1:9" x14ac:dyDescent="0.2">
      <c r="A11189" t="str">
        <f>"Iyd"</f>
        <v>Iyd</v>
      </c>
      <c r="B11189" t="s">
        <v>14</v>
      </c>
      <c r="C11189" t="s">
        <v>15</v>
      </c>
      <c r="D11189" t="s">
        <v>17</v>
      </c>
      <c r="E11189" t="s">
        <v>12</v>
      </c>
      <c r="F11189">
        <v>3540265</v>
      </c>
      <c r="G11189">
        <v>3540282</v>
      </c>
      <c r="H11189">
        <v>3540265</v>
      </c>
      <c r="I11189">
        <v>3540282</v>
      </c>
    </row>
    <row r="11190" spans="1:9" x14ac:dyDescent="0.2">
      <c r="A11190" t="str">
        <f>"Izumo1"</f>
        <v>Izumo1</v>
      </c>
      <c r="B11190" t="s">
        <v>14</v>
      </c>
      <c r="C11190" t="s">
        <v>33</v>
      </c>
      <c r="D11190" t="s">
        <v>17</v>
      </c>
      <c r="E11190" t="s">
        <v>12</v>
      </c>
      <c r="F11190">
        <v>45621827</v>
      </c>
      <c r="G11190">
        <v>45621841</v>
      </c>
      <c r="H11190">
        <v>45621805</v>
      </c>
      <c r="I11190">
        <v>45621825</v>
      </c>
    </row>
    <row r="11191" spans="1:9" x14ac:dyDescent="0.2">
      <c r="A11191" t="str">
        <f>"Izumo2"</f>
        <v>Izumo2</v>
      </c>
      <c r="B11191" t="s">
        <v>14</v>
      </c>
      <c r="C11191" t="s">
        <v>33</v>
      </c>
      <c r="D11191" t="s">
        <v>17</v>
      </c>
      <c r="E11191" t="s">
        <v>12</v>
      </c>
      <c r="F11191">
        <v>44708724</v>
      </c>
      <c r="G11191">
        <v>44708759</v>
      </c>
      <c r="H11191">
        <v>44708760</v>
      </c>
      <c r="I11191">
        <v>44708778</v>
      </c>
    </row>
    <row r="11192" spans="1:9" x14ac:dyDescent="0.2">
      <c r="A11192" t="str">
        <f>"Izumo3"</f>
        <v>Izumo3</v>
      </c>
      <c r="B11192" t="s">
        <v>14</v>
      </c>
      <c r="C11192" t="s">
        <v>23</v>
      </c>
      <c r="D11192" t="s">
        <v>11</v>
      </c>
      <c r="E11192" t="s">
        <v>12</v>
      </c>
      <c r="F11192">
        <v>92147185</v>
      </c>
      <c r="G11192">
        <v>92147227</v>
      </c>
      <c r="H11192">
        <v>92147185</v>
      </c>
      <c r="I11192">
        <v>92147227</v>
      </c>
    </row>
    <row r="11193" spans="1:9" x14ac:dyDescent="0.2">
      <c r="A11193" t="str">
        <f>"Izumo4"</f>
        <v>Izumo4</v>
      </c>
      <c r="B11193" t="s">
        <v>14</v>
      </c>
      <c r="C11193" t="s">
        <v>15</v>
      </c>
      <c r="D11193" t="s">
        <v>17</v>
      </c>
      <c r="E11193" t="s">
        <v>12</v>
      </c>
      <c r="F11193">
        <v>80702649</v>
      </c>
      <c r="G11193">
        <v>80702761</v>
      </c>
      <c r="H11193">
        <v>80702282</v>
      </c>
      <c r="I11193">
        <v>80702313</v>
      </c>
    </row>
    <row r="11194" spans="1:9" x14ac:dyDescent="0.2">
      <c r="A11194" t="str">
        <f>"Jag1"</f>
        <v>Jag1</v>
      </c>
      <c r="B11194" t="s">
        <v>14</v>
      </c>
      <c r="C11194" t="s">
        <v>26</v>
      </c>
      <c r="D11194" t="s">
        <v>11</v>
      </c>
      <c r="E11194" t="s">
        <v>12</v>
      </c>
      <c r="F11194">
        <v>137116624</v>
      </c>
      <c r="G11194">
        <v>137116628</v>
      </c>
      <c r="H11194">
        <v>137116755</v>
      </c>
      <c r="I11194">
        <v>137116773</v>
      </c>
    </row>
    <row r="11195" spans="1:9" x14ac:dyDescent="0.2">
      <c r="A11195" t="str">
        <f>"Jag2"</f>
        <v>Jag2</v>
      </c>
      <c r="B11195" t="s">
        <v>14</v>
      </c>
      <c r="C11195" t="s">
        <v>16</v>
      </c>
      <c r="D11195" t="s">
        <v>11</v>
      </c>
      <c r="E11195" t="s">
        <v>12</v>
      </c>
      <c r="F11195">
        <v>112929794</v>
      </c>
      <c r="G11195">
        <v>112929824</v>
      </c>
      <c r="H11195">
        <v>112929794</v>
      </c>
      <c r="I11195">
        <v>112929824</v>
      </c>
    </row>
    <row r="11196" spans="1:9" x14ac:dyDescent="0.2">
      <c r="A11196" t="str">
        <f>"Jagn1"</f>
        <v>Jagn1</v>
      </c>
      <c r="B11196" t="s">
        <v>14</v>
      </c>
      <c r="C11196" t="s">
        <v>32</v>
      </c>
      <c r="D11196" t="s">
        <v>17</v>
      </c>
      <c r="E11196" t="s">
        <v>12</v>
      </c>
      <c r="F11196">
        <v>113442571</v>
      </c>
      <c r="G11196">
        <v>113442627</v>
      </c>
      <c r="H11196">
        <v>113442628</v>
      </c>
      <c r="I11196">
        <v>113442635</v>
      </c>
    </row>
    <row r="11197" spans="1:9" x14ac:dyDescent="0.2">
      <c r="A11197" t="str">
        <f>"Jak1"</f>
        <v>Jak1</v>
      </c>
      <c r="B11197" t="s">
        <v>14</v>
      </c>
      <c r="C11197" t="s">
        <v>23</v>
      </c>
      <c r="D11197" t="s">
        <v>11</v>
      </c>
      <c r="E11197" t="s">
        <v>12</v>
      </c>
      <c r="F11197">
        <v>101265214</v>
      </c>
      <c r="G11197">
        <v>101265231</v>
      </c>
      <c r="H11197">
        <v>101265236</v>
      </c>
      <c r="I11197">
        <v>101265254</v>
      </c>
    </row>
    <row r="11198" spans="1:9" x14ac:dyDescent="0.2">
      <c r="A11198" t="str">
        <f>"Jak2"</f>
        <v>Jak2</v>
      </c>
      <c r="B11198" t="s">
        <v>14</v>
      </c>
      <c r="C11198" t="s">
        <v>10</v>
      </c>
      <c r="D11198" t="s">
        <v>17</v>
      </c>
      <c r="E11198" t="s">
        <v>12</v>
      </c>
      <c r="F11198">
        <v>29251748</v>
      </c>
      <c r="G11198">
        <v>29251854</v>
      </c>
      <c r="H11198">
        <v>29251581</v>
      </c>
      <c r="I11198">
        <v>29251665</v>
      </c>
    </row>
    <row r="11199" spans="1:9" x14ac:dyDescent="0.2">
      <c r="A11199" t="str">
        <f>"Jak3"</f>
        <v>Jak3</v>
      </c>
      <c r="B11199" t="s">
        <v>14</v>
      </c>
      <c r="C11199" t="s">
        <v>30</v>
      </c>
      <c r="D11199" t="s">
        <v>17</v>
      </c>
      <c r="E11199" t="s">
        <v>12</v>
      </c>
      <c r="F11199">
        <v>71676501</v>
      </c>
      <c r="G11199">
        <v>71676580</v>
      </c>
      <c r="H11199">
        <v>71676501</v>
      </c>
      <c r="I11199">
        <v>71676580</v>
      </c>
    </row>
    <row r="11200" spans="1:9" x14ac:dyDescent="0.2">
      <c r="A11200" t="str">
        <f>"Jakmip1"</f>
        <v>Jakmip1</v>
      </c>
      <c r="B11200" t="s">
        <v>9</v>
      </c>
      <c r="C11200" t="s">
        <v>46</v>
      </c>
      <c r="D11200" t="s">
        <v>17</v>
      </c>
      <c r="E11200" t="s">
        <v>12</v>
      </c>
      <c r="F11200">
        <v>37028329</v>
      </c>
      <c r="G11200">
        <v>37028376</v>
      </c>
      <c r="H11200">
        <v>37028329</v>
      </c>
      <c r="I11200">
        <v>37028376</v>
      </c>
    </row>
    <row r="11201" spans="1:9" x14ac:dyDescent="0.2">
      <c r="A11201" t="str">
        <f>"Jakmip1"</f>
        <v>Jakmip1</v>
      </c>
      <c r="B11201" t="s">
        <v>13</v>
      </c>
      <c r="C11201" t="s">
        <v>46</v>
      </c>
      <c r="D11201" t="s">
        <v>17</v>
      </c>
      <c r="E11201" t="s">
        <v>12</v>
      </c>
      <c r="F11201">
        <v>37047420</v>
      </c>
      <c r="G11201">
        <v>37047457</v>
      </c>
      <c r="H11201">
        <v>37047420</v>
      </c>
      <c r="I11201">
        <v>37047457</v>
      </c>
    </row>
    <row r="11202" spans="1:9" x14ac:dyDescent="0.2">
      <c r="A11202" t="str">
        <f>"Jakmip2"</f>
        <v>Jakmip2</v>
      </c>
      <c r="B11202" t="s">
        <v>14</v>
      </c>
      <c r="C11202" t="s">
        <v>43</v>
      </c>
      <c r="D11202" t="s">
        <v>11</v>
      </c>
      <c r="E11202" t="s">
        <v>12</v>
      </c>
      <c r="F11202">
        <v>43687695</v>
      </c>
      <c r="G11202">
        <v>43687759</v>
      </c>
      <c r="H11202">
        <v>43687695</v>
      </c>
      <c r="I11202">
        <v>43687759</v>
      </c>
    </row>
    <row r="11203" spans="1:9" x14ac:dyDescent="0.2">
      <c r="A11203" t="str">
        <f>"Jakmip3"</f>
        <v>Jakmip3</v>
      </c>
      <c r="B11203" t="s">
        <v>14</v>
      </c>
      <c r="C11203" t="s">
        <v>33</v>
      </c>
      <c r="D11203" t="s">
        <v>17</v>
      </c>
      <c r="E11203" t="s">
        <v>12</v>
      </c>
      <c r="F11203">
        <v>138940363</v>
      </c>
      <c r="G11203">
        <v>138940396</v>
      </c>
      <c r="H11203">
        <v>138940717</v>
      </c>
      <c r="I11203">
        <v>138940744</v>
      </c>
    </row>
    <row r="11204" spans="1:9" x14ac:dyDescent="0.2">
      <c r="A11204" t="str">
        <f>"Jam2"</f>
        <v>Jam2</v>
      </c>
      <c r="B11204" t="s">
        <v>14</v>
      </c>
      <c r="C11204" t="s">
        <v>31</v>
      </c>
      <c r="D11204" t="s">
        <v>17</v>
      </c>
      <c r="E11204" t="s">
        <v>12</v>
      </c>
      <c r="F11204">
        <v>84774361</v>
      </c>
      <c r="G11204">
        <v>84774423</v>
      </c>
      <c r="H11204">
        <v>84774263</v>
      </c>
      <c r="I11204">
        <v>84774294</v>
      </c>
    </row>
    <row r="11205" spans="1:9" x14ac:dyDescent="0.2">
      <c r="A11205" t="str">
        <f>"Jam3"</f>
        <v>Jam3</v>
      </c>
      <c r="B11205" t="s">
        <v>14</v>
      </c>
      <c r="C11205" t="s">
        <v>24</v>
      </c>
      <c r="D11205" t="s">
        <v>11</v>
      </c>
      <c r="E11205" t="s">
        <v>12</v>
      </c>
      <c r="F11205">
        <v>27155368</v>
      </c>
      <c r="G11205">
        <v>27155387</v>
      </c>
      <c r="H11205">
        <v>27155389</v>
      </c>
      <c r="I11205">
        <v>27155416</v>
      </c>
    </row>
    <row r="11206" spans="1:9" x14ac:dyDescent="0.2">
      <c r="A11206" t="str">
        <f>"Jarid2"</f>
        <v>Jarid2</v>
      </c>
      <c r="B11206" t="s">
        <v>14</v>
      </c>
      <c r="C11206" t="s">
        <v>39</v>
      </c>
      <c r="D11206" t="s">
        <v>17</v>
      </c>
      <c r="E11206" t="s">
        <v>12</v>
      </c>
      <c r="F11206">
        <v>44731353</v>
      </c>
      <c r="G11206">
        <v>44731373</v>
      </c>
      <c r="H11206">
        <v>44731568</v>
      </c>
      <c r="I11206">
        <v>44731583</v>
      </c>
    </row>
    <row r="11207" spans="1:9" x14ac:dyDescent="0.2">
      <c r="A11207" t="str">
        <f>"Jazf1"</f>
        <v>Jazf1</v>
      </c>
      <c r="B11207" t="s">
        <v>14</v>
      </c>
      <c r="C11207" t="s">
        <v>32</v>
      </c>
      <c r="D11207" t="s">
        <v>11</v>
      </c>
      <c r="E11207" t="s">
        <v>12</v>
      </c>
      <c r="F11207">
        <v>53068562</v>
      </c>
      <c r="G11207">
        <v>53068656</v>
      </c>
      <c r="H11207">
        <v>53068706</v>
      </c>
      <c r="I11207">
        <v>53068765</v>
      </c>
    </row>
    <row r="11208" spans="1:9" x14ac:dyDescent="0.2">
      <c r="A11208" t="str">
        <f>"Jdp2"</f>
        <v>Jdp2</v>
      </c>
      <c r="B11208" t="s">
        <v>14</v>
      </c>
      <c r="C11208" t="s">
        <v>16</v>
      </c>
      <c r="D11208" t="s">
        <v>17</v>
      </c>
      <c r="E11208" t="s">
        <v>12</v>
      </c>
      <c r="F11208">
        <v>85599388</v>
      </c>
      <c r="G11208">
        <v>85599407</v>
      </c>
      <c r="H11208">
        <v>85599350</v>
      </c>
      <c r="I11208">
        <v>85599362</v>
      </c>
    </row>
    <row r="11209" spans="1:9" x14ac:dyDescent="0.2">
      <c r="A11209" t="str">
        <f>"Jhdm1d"</f>
        <v>Jhdm1d</v>
      </c>
      <c r="B11209" t="s">
        <v>14</v>
      </c>
      <c r="C11209" t="s">
        <v>32</v>
      </c>
      <c r="D11209" t="s">
        <v>11</v>
      </c>
      <c r="E11209" t="s">
        <v>12</v>
      </c>
      <c r="F11209">
        <v>39206631</v>
      </c>
      <c r="G11209">
        <v>39206662</v>
      </c>
      <c r="H11209">
        <v>39206782</v>
      </c>
      <c r="I11209">
        <v>39206831</v>
      </c>
    </row>
    <row r="11210" spans="1:9" x14ac:dyDescent="0.2">
      <c r="A11210" t="str">
        <f>"Jkamp"</f>
        <v>Jkamp</v>
      </c>
      <c r="B11210" t="s">
        <v>14</v>
      </c>
      <c r="C11210" t="s">
        <v>16</v>
      </c>
      <c r="D11210" t="s">
        <v>17</v>
      </c>
      <c r="E11210" t="s">
        <v>12</v>
      </c>
      <c r="F11210">
        <v>72086093</v>
      </c>
      <c r="G11210">
        <v>72086147</v>
      </c>
      <c r="H11210">
        <v>72085847</v>
      </c>
      <c r="I11210">
        <v>72085864</v>
      </c>
    </row>
    <row r="11211" spans="1:9" x14ac:dyDescent="0.2">
      <c r="A11211" t="str">
        <f>"Jmjd1c"</f>
        <v>Jmjd1c</v>
      </c>
      <c r="B11211" t="s">
        <v>4203</v>
      </c>
      <c r="C11211" t="s">
        <v>15</v>
      </c>
      <c r="D11211" t="s">
        <v>17</v>
      </c>
      <c r="E11211" t="s">
        <v>35</v>
      </c>
      <c r="F11211">
        <v>67127068</v>
      </c>
      <c r="G11211">
        <v>67127071</v>
      </c>
      <c r="H11211">
        <v>67127181</v>
      </c>
      <c r="I11211">
        <v>67127195</v>
      </c>
    </row>
    <row r="11212" spans="1:9" x14ac:dyDescent="0.2">
      <c r="A11212" t="str">
        <f>"Jmjd4"</f>
        <v>Jmjd4</v>
      </c>
      <c r="B11212" t="s">
        <v>14</v>
      </c>
      <c r="C11212" t="s">
        <v>27</v>
      </c>
      <c r="D11212" t="s">
        <v>17</v>
      </c>
      <c r="E11212" t="s">
        <v>12</v>
      </c>
      <c r="F11212">
        <v>59450040</v>
      </c>
      <c r="G11212">
        <v>59450095</v>
      </c>
      <c r="H11212">
        <v>59450099</v>
      </c>
      <c r="I11212">
        <v>59450126</v>
      </c>
    </row>
    <row r="11213" spans="1:9" x14ac:dyDescent="0.2">
      <c r="A11213" t="str">
        <f>"Jmjd6"</f>
        <v>Jmjd6</v>
      </c>
      <c r="B11213" t="s">
        <v>14</v>
      </c>
      <c r="C11213" t="s">
        <v>27</v>
      </c>
      <c r="D11213" t="s">
        <v>11</v>
      </c>
      <c r="E11213" t="s">
        <v>12</v>
      </c>
      <c r="F11213">
        <v>116843312</v>
      </c>
      <c r="G11213">
        <v>116843386</v>
      </c>
      <c r="H11213">
        <v>116843163</v>
      </c>
      <c r="I11213">
        <v>116843232</v>
      </c>
    </row>
    <row r="11214" spans="1:9" x14ac:dyDescent="0.2">
      <c r="A11214" t="str">
        <f>"Jmjd7"</f>
        <v>Jmjd7</v>
      </c>
      <c r="B11214" t="s">
        <v>9</v>
      </c>
      <c r="C11214" t="s">
        <v>26</v>
      </c>
      <c r="D11214" t="s">
        <v>17</v>
      </c>
      <c r="E11214" t="s">
        <v>12</v>
      </c>
      <c r="F11214">
        <v>120027481</v>
      </c>
      <c r="G11214">
        <v>120027509</v>
      </c>
      <c r="H11214">
        <v>120027481</v>
      </c>
      <c r="I11214">
        <v>120027509</v>
      </c>
    </row>
    <row r="11215" spans="1:9" x14ac:dyDescent="0.2">
      <c r="A11215" t="str">
        <f>"Jmjd7"</f>
        <v>Jmjd7</v>
      </c>
      <c r="B11215" t="s">
        <v>13</v>
      </c>
      <c r="C11215" t="s">
        <v>26</v>
      </c>
      <c r="D11215" t="s">
        <v>17</v>
      </c>
      <c r="E11215" t="s">
        <v>12</v>
      </c>
      <c r="F11215">
        <v>120033453</v>
      </c>
      <c r="G11215">
        <v>120033466</v>
      </c>
      <c r="H11215">
        <v>120033453</v>
      </c>
      <c r="I11215">
        <v>120033466</v>
      </c>
    </row>
    <row r="11216" spans="1:9" x14ac:dyDescent="0.2">
      <c r="A11216" t="str">
        <f>"Jmjd8"</f>
        <v>Jmjd8</v>
      </c>
      <c r="B11216" t="s">
        <v>14</v>
      </c>
      <c r="C11216" t="s">
        <v>28</v>
      </c>
      <c r="D11216" t="s">
        <v>17</v>
      </c>
      <c r="E11216" t="s">
        <v>12</v>
      </c>
      <c r="F11216">
        <v>25829036</v>
      </c>
      <c r="G11216">
        <v>25829076</v>
      </c>
      <c r="H11216">
        <v>25829036</v>
      </c>
      <c r="I11216">
        <v>25829076</v>
      </c>
    </row>
    <row r="11217" spans="1:9" x14ac:dyDescent="0.2">
      <c r="A11217" t="str">
        <f>"Jmy"</f>
        <v>Jmy</v>
      </c>
      <c r="B11217" t="s">
        <v>14</v>
      </c>
      <c r="C11217" t="s">
        <v>39</v>
      </c>
      <c r="D11217" t="s">
        <v>11</v>
      </c>
      <c r="E11217" t="s">
        <v>12</v>
      </c>
      <c r="F11217">
        <v>93499716</v>
      </c>
      <c r="G11217">
        <v>93499801</v>
      </c>
      <c r="H11217">
        <v>93499803</v>
      </c>
      <c r="I11217">
        <v>93499825</v>
      </c>
    </row>
    <row r="11218" spans="1:9" x14ac:dyDescent="0.2">
      <c r="A11218" t="str">
        <f>"Josd1"</f>
        <v>Josd1</v>
      </c>
      <c r="B11218" t="s">
        <v>14</v>
      </c>
      <c r="C11218" t="s">
        <v>25</v>
      </c>
      <c r="D11218" t="s">
        <v>11</v>
      </c>
      <c r="E11218" t="s">
        <v>12</v>
      </c>
      <c r="F11218">
        <v>79687776</v>
      </c>
      <c r="G11218">
        <v>79687894</v>
      </c>
      <c r="H11218">
        <v>79687744</v>
      </c>
      <c r="I11218">
        <v>79687756</v>
      </c>
    </row>
    <row r="11219" spans="1:9" x14ac:dyDescent="0.2">
      <c r="A11219" t="str">
        <f>"Josd2"</f>
        <v>Josd2</v>
      </c>
      <c r="B11219" t="s">
        <v>14</v>
      </c>
      <c r="C11219" t="s">
        <v>33</v>
      </c>
      <c r="D11219" t="s">
        <v>17</v>
      </c>
      <c r="E11219" t="s">
        <v>12</v>
      </c>
      <c r="F11219">
        <v>44468051</v>
      </c>
      <c r="G11219">
        <v>44468070</v>
      </c>
      <c r="H11219">
        <v>44468088</v>
      </c>
      <c r="I11219">
        <v>44468133</v>
      </c>
    </row>
    <row r="11220" spans="1:9" x14ac:dyDescent="0.2">
      <c r="A11220" t="str">
        <f>"Jph1"</f>
        <v>Jph1</v>
      </c>
      <c r="B11220" t="s">
        <v>14</v>
      </c>
      <c r="C11220" t="s">
        <v>19</v>
      </c>
      <c r="D11220" t="s">
        <v>11</v>
      </c>
      <c r="E11220" t="s">
        <v>12</v>
      </c>
      <c r="F11220">
        <v>17097839</v>
      </c>
      <c r="G11220">
        <v>17097872</v>
      </c>
      <c r="H11220">
        <v>17097873</v>
      </c>
      <c r="I11220">
        <v>17097884</v>
      </c>
    </row>
    <row r="11221" spans="1:9" x14ac:dyDescent="0.2">
      <c r="A11221" t="str">
        <f>"Jph2"</f>
        <v>Jph2</v>
      </c>
      <c r="B11221" t="s">
        <v>14</v>
      </c>
      <c r="C11221" t="s">
        <v>26</v>
      </c>
      <c r="D11221" t="s">
        <v>11</v>
      </c>
      <c r="E11221" t="s">
        <v>12</v>
      </c>
      <c r="F11221">
        <v>163397946</v>
      </c>
      <c r="G11221">
        <v>163398000</v>
      </c>
      <c r="H11221">
        <v>163397913</v>
      </c>
      <c r="I11221">
        <v>163397944</v>
      </c>
    </row>
    <row r="11222" spans="1:9" x14ac:dyDescent="0.2">
      <c r="A11222" t="str">
        <f>"Jph3"</f>
        <v>Jph3</v>
      </c>
      <c r="B11222" t="s">
        <v>14</v>
      </c>
      <c r="C11222" t="s">
        <v>30</v>
      </c>
      <c r="D11222" t="s">
        <v>17</v>
      </c>
      <c r="E11222" t="s">
        <v>12</v>
      </c>
      <c r="F11222">
        <v>121730079</v>
      </c>
      <c r="G11222">
        <v>121730164</v>
      </c>
      <c r="H11222">
        <v>121730587</v>
      </c>
      <c r="I11222">
        <v>121730589</v>
      </c>
    </row>
    <row r="11223" spans="1:9" x14ac:dyDescent="0.2">
      <c r="A11223" t="str">
        <f>"Jph4"</f>
        <v>Jph4</v>
      </c>
      <c r="B11223" t="s">
        <v>14</v>
      </c>
      <c r="C11223" t="s">
        <v>41</v>
      </c>
      <c r="D11223" t="s">
        <v>11</v>
      </c>
      <c r="E11223" t="s">
        <v>12</v>
      </c>
      <c r="F11223">
        <v>55116615</v>
      </c>
      <c r="G11223">
        <v>55116637</v>
      </c>
      <c r="H11223">
        <v>55116586</v>
      </c>
      <c r="I11223">
        <v>55116609</v>
      </c>
    </row>
    <row r="11224" spans="1:9" x14ac:dyDescent="0.2">
      <c r="A11224" t="str">
        <f>"Jrk"</f>
        <v>Jrk</v>
      </c>
      <c r="B11224" t="s">
        <v>14</v>
      </c>
      <c r="C11224" t="s">
        <v>25</v>
      </c>
      <c r="D11224" t="s">
        <v>11</v>
      </c>
      <c r="E11224" t="s">
        <v>12</v>
      </c>
      <c r="F11224">
        <v>74709263</v>
      </c>
      <c r="G11224">
        <v>74709305</v>
      </c>
      <c r="H11224">
        <v>74709535</v>
      </c>
      <c r="I11224">
        <v>74709551</v>
      </c>
    </row>
    <row r="11225" spans="1:9" x14ac:dyDescent="0.2">
      <c r="A11225" t="str">
        <f>"Jrkl"</f>
        <v>Jrkl</v>
      </c>
      <c r="B11225" t="s">
        <v>4204</v>
      </c>
      <c r="C11225" t="s">
        <v>24</v>
      </c>
      <c r="D11225" t="s">
        <v>11</v>
      </c>
      <c r="E11225" t="s">
        <v>20</v>
      </c>
      <c r="F11225">
        <v>13245740</v>
      </c>
      <c r="G11225">
        <v>13245740</v>
      </c>
      <c r="H11225">
        <v>13245740</v>
      </c>
      <c r="I11225">
        <v>13245740</v>
      </c>
    </row>
    <row r="11226" spans="1:9" x14ac:dyDescent="0.2">
      <c r="A11226" t="str">
        <f>"Jsrp1"</f>
        <v>Jsrp1</v>
      </c>
      <c r="B11226" t="s">
        <v>14</v>
      </c>
      <c r="C11226" t="s">
        <v>15</v>
      </c>
      <c r="D11226" t="s">
        <v>11</v>
      </c>
      <c r="E11226" t="s">
        <v>12</v>
      </c>
      <c r="F11226">
        <v>80813486</v>
      </c>
      <c r="G11226">
        <v>80813533</v>
      </c>
      <c r="H11226">
        <v>80813484</v>
      </c>
      <c r="I11226">
        <v>80813485</v>
      </c>
    </row>
    <row r="11227" spans="1:9" x14ac:dyDescent="0.2">
      <c r="A11227" t="str">
        <f>"Jtb"</f>
        <v>Jtb</v>
      </c>
      <c r="B11227" t="s">
        <v>14</v>
      </c>
      <c r="C11227" t="s">
        <v>22</v>
      </c>
      <c r="D11227" t="s">
        <v>17</v>
      </c>
      <c r="E11227" t="s">
        <v>12</v>
      </c>
      <c r="F11227">
        <v>90231588</v>
      </c>
      <c r="G11227">
        <v>90231663</v>
      </c>
      <c r="H11227">
        <v>90231665</v>
      </c>
      <c r="I11227">
        <v>90231708</v>
      </c>
    </row>
    <row r="11228" spans="1:9" x14ac:dyDescent="0.2">
      <c r="A11228" t="str">
        <f>"Jun"</f>
        <v>Jun</v>
      </c>
      <c r="B11228" t="s">
        <v>14</v>
      </c>
      <c r="C11228" t="s">
        <v>23</v>
      </c>
      <c r="D11228" t="s">
        <v>11</v>
      </c>
      <c r="E11228" t="s">
        <v>12</v>
      </c>
      <c r="F11228">
        <v>95052188</v>
      </c>
      <c r="G11228">
        <v>95052207</v>
      </c>
      <c r="H11228">
        <v>95052170</v>
      </c>
      <c r="I11228">
        <v>95052181</v>
      </c>
    </row>
    <row r="11229" spans="1:9" x14ac:dyDescent="0.2">
      <c r="A11229" t="str">
        <f>"Junb"</f>
        <v>Junb</v>
      </c>
      <c r="B11229" t="s">
        <v>14</v>
      </c>
      <c r="C11229" t="s">
        <v>30</v>
      </c>
      <c r="D11229" t="s">
        <v>11</v>
      </c>
      <c r="E11229" t="s">
        <v>12</v>
      </c>
      <c r="F11229">
        <v>84978709</v>
      </c>
      <c r="G11229">
        <v>84978724</v>
      </c>
      <c r="H11229">
        <v>84978709</v>
      </c>
      <c r="I11229">
        <v>84978724</v>
      </c>
    </row>
    <row r="11230" spans="1:9" x14ac:dyDescent="0.2">
      <c r="A11230" t="str">
        <f>"Jund"</f>
        <v>Jund</v>
      </c>
      <c r="B11230" t="s">
        <v>14</v>
      </c>
      <c r="C11230" t="s">
        <v>30</v>
      </c>
      <c r="D11230" t="s">
        <v>17</v>
      </c>
      <c r="E11230" t="s">
        <v>12</v>
      </c>
      <c r="F11230">
        <v>70698931</v>
      </c>
      <c r="G11230">
        <v>70698945</v>
      </c>
      <c r="H11230">
        <v>70698526</v>
      </c>
      <c r="I11230">
        <v>70698545</v>
      </c>
    </row>
    <row r="11231" spans="1:9" x14ac:dyDescent="0.2">
      <c r="A11231" t="str">
        <f>"Jup"</f>
        <v>Jup</v>
      </c>
      <c r="B11231" t="s">
        <v>14</v>
      </c>
      <c r="C11231" t="s">
        <v>27</v>
      </c>
      <c r="D11231" t="s">
        <v>11</v>
      </c>
      <c r="E11231" t="s">
        <v>12</v>
      </c>
      <c r="F11231">
        <v>100397740</v>
      </c>
      <c r="G11231">
        <v>100397792</v>
      </c>
      <c r="H11231">
        <v>100397740</v>
      </c>
      <c r="I11231">
        <v>100397792</v>
      </c>
    </row>
    <row r="11232" spans="1:9" x14ac:dyDescent="0.2">
      <c r="A11232" t="str">
        <f>"KCTD12"</f>
        <v>KCTD12</v>
      </c>
      <c r="B11232" t="s">
        <v>14</v>
      </c>
      <c r="C11232" t="s">
        <v>41</v>
      </c>
      <c r="D11232" t="s">
        <v>11</v>
      </c>
      <c r="E11232" t="s">
        <v>67</v>
      </c>
      <c r="F11232">
        <v>102982630</v>
      </c>
      <c r="G11232">
        <v>102982645</v>
      </c>
      <c r="H11232">
        <v>102982421</v>
      </c>
      <c r="I11232">
        <v>102982443</v>
      </c>
    </row>
    <row r="11233" spans="1:9" x14ac:dyDescent="0.2">
      <c r="A11233" t="str">
        <f>"Kalrn"</f>
        <v>Kalrn</v>
      </c>
      <c r="B11233" t="s">
        <v>14</v>
      </c>
      <c r="C11233" t="s">
        <v>31</v>
      </c>
      <c r="D11233" t="s">
        <v>11</v>
      </c>
      <c r="E11233" t="s">
        <v>12</v>
      </c>
      <c r="F11233">
        <v>34095983</v>
      </c>
      <c r="G11233">
        <v>34096060</v>
      </c>
      <c r="H11233">
        <v>34095983</v>
      </c>
      <c r="I11233">
        <v>34096060</v>
      </c>
    </row>
    <row r="11234" spans="1:9" x14ac:dyDescent="0.2">
      <c r="A11234" t="str">
        <f>"Kank1"</f>
        <v>Kank1</v>
      </c>
      <c r="B11234" t="s">
        <v>14</v>
      </c>
      <c r="C11234" t="s">
        <v>10</v>
      </c>
      <c r="D11234" t="s">
        <v>17</v>
      </c>
      <c r="E11234" t="s">
        <v>12</v>
      </c>
      <c r="F11234">
        <v>25236959</v>
      </c>
      <c r="G11234">
        <v>25236982</v>
      </c>
      <c r="H11234">
        <v>25236959</v>
      </c>
      <c r="I11234">
        <v>25236982</v>
      </c>
    </row>
    <row r="11235" spans="1:9" x14ac:dyDescent="0.2">
      <c r="A11235" t="str">
        <f>"Kank2"</f>
        <v>Kank2</v>
      </c>
      <c r="B11235" t="s">
        <v>14</v>
      </c>
      <c r="C11235" t="s">
        <v>24</v>
      </c>
      <c r="D11235" t="s">
        <v>11</v>
      </c>
      <c r="E11235" t="s">
        <v>12</v>
      </c>
      <c r="F11235">
        <v>21798502</v>
      </c>
      <c r="G11235">
        <v>21798561</v>
      </c>
      <c r="H11235">
        <v>21798694</v>
      </c>
      <c r="I11235">
        <v>21798755</v>
      </c>
    </row>
    <row r="11236" spans="1:9" x14ac:dyDescent="0.2">
      <c r="A11236" t="str">
        <f>"Kank3"</f>
        <v>Kank3</v>
      </c>
      <c r="B11236" t="s">
        <v>14</v>
      </c>
      <c r="C11236" t="s">
        <v>28</v>
      </c>
      <c r="D11236" t="s">
        <v>17</v>
      </c>
      <c r="E11236" t="s">
        <v>12</v>
      </c>
      <c r="F11236">
        <v>33810515</v>
      </c>
      <c r="G11236">
        <v>33810529</v>
      </c>
      <c r="H11236">
        <v>33810489</v>
      </c>
      <c r="I11236">
        <v>33810500</v>
      </c>
    </row>
    <row r="11237" spans="1:9" x14ac:dyDescent="0.2">
      <c r="A11237" t="str">
        <f>"Kank4"</f>
        <v>Kank4</v>
      </c>
      <c r="B11237" t="s">
        <v>14</v>
      </c>
      <c r="C11237" t="s">
        <v>23</v>
      </c>
      <c r="D11237" t="s">
        <v>11</v>
      </c>
      <c r="E11237" t="s">
        <v>12</v>
      </c>
      <c r="F11237">
        <v>98817687</v>
      </c>
      <c r="G11237">
        <v>98817706</v>
      </c>
      <c r="H11237">
        <v>98817524</v>
      </c>
      <c r="I11237">
        <v>98817536</v>
      </c>
    </row>
    <row r="11238" spans="1:9" x14ac:dyDescent="0.2">
      <c r="A11238" t="str">
        <f>"Kansl1"</f>
        <v>Kansl1</v>
      </c>
      <c r="B11238" t="s">
        <v>14</v>
      </c>
      <c r="C11238" t="s">
        <v>27</v>
      </c>
      <c r="D11238" t="s">
        <v>11</v>
      </c>
      <c r="E11238" t="s">
        <v>67</v>
      </c>
      <c r="F11238">
        <v>104442232</v>
      </c>
      <c r="G11238">
        <v>104442291</v>
      </c>
      <c r="H11238">
        <v>104442232</v>
      </c>
      <c r="I11238">
        <v>104442291</v>
      </c>
    </row>
    <row r="11239" spans="1:9" x14ac:dyDescent="0.2">
      <c r="A11239" t="str">
        <f>"Kansl1l"</f>
        <v>Kansl1l</v>
      </c>
      <c r="B11239" t="s">
        <v>14</v>
      </c>
      <c r="C11239" t="s">
        <v>19</v>
      </c>
      <c r="D11239" t="s">
        <v>11</v>
      </c>
      <c r="E11239" t="s">
        <v>67</v>
      </c>
      <c r="F11239">
        <v>66817536</v>
      </c>
      <c r="G11239">
        <v>66817600</v>
      </c>
      <c r="H11239">
        <v>66817601</v>
      </c>
      <c r="I11239">
        <v>66817617</v>
      </c>
    </row>
    <row r="11240" spans="1:9" x14ac:dyDescent="0.2">
      <c r="A11240" t="str">
        <f>"Kansl2"</f>
        <v>Kansl2</v>
      </c>
      <c r="B11240" t="s">
        <v>14</v>
      </c>
      <c r="C11240" t="s">
        <v>25</v>
      </c>
      <c r="D11240" t="s">
        <v>11</v>
      </c>
      <c r="E11240" t="s">
        <v>67</v>
      </c>
      <c r="F11240">
        <v>98534231</v>
      </c>
      <c r="G11240">
        <v>98534305</v>
      </c>
      <c r="H11240">
        <v>98534231</v>
      </c>
      <c r="I11240">
        <v>98534305</v>
      </c>
    </row>
    <row r="11241" spans="1:9" x14ac:dyDescent="0.2">
      <c r="A11241" t="str">
        <f>"Kansl3"</f>
        <v>Kansl3</v>
      </c>
      <c r="B11241" t="s">
        <v>14</v>
      </c>
      <c r="C11241" t="s">
        <v>19</v>
      </c>
      <c r="D11241" t="s">
        <v>11</v>
      </c>
      <c r="E11241" t="s">
        <v>67</v>
      </c>
      <c r="F11241">
        <v>36369121</v>
      </c>
      <c r="G11241">
        <v>36369159</v>
      </c>
      <c r="H11241">
        <v>36369094</v>
      </c>
      <c r="I11241">
        <v>36369107</v>
      </c>
    </row>
    <row r="11242" spans="1:9" x14ac:dyDescent="0.2">
      <c r="A11242" t="str">
        <f>"Kap"</f>
        <v>Kap</v>
      </c>
      <c r="B11242" t="s">
        <v>14</v>
      </c>
      <c r="C11242" t="s">
        <v>32</v>
      </c>
      <c r="D11242" t="s">
        <v>11</v>
      </c>
      <c r="E11242" t="s">
        <v>12</v>
      </c>
      <c r="F11242">
        <v>133853650</v>
      </c>
      <c r="G11242">
        <v>133853673</v>
      </c>
      <c r="H11242">
        <v>133853650</v>
      </c>
      <c r="I11242">
        <v>133853673</v>
      </c>
    </row>
    <row r="11243" spans="1:9" x14ac:dyDescent="0.2">
      <c r="A11243" t="str">
        <f>"Kars"</f>
        <v>Kars</v>
      </c>
      <c r="B11243" t="s">
        <v>14</v>
      </c>
      <c r="C11243" t="s">
        <v>30</v>
      </c>
      <c r="D11243" t="s">
        <v>11</v>
      </c>
      <c r="E11243" t="s">
        <v>12</v>
      </c>
      <c r="F11243">
        <v>112011271</v>
      </c>
      <c r="G11243">
        <v>112011296</v>
      </c>
      <c r="H11243">
        <v>112011320</v>
      </c>
      <c r="I11243">
        <v>112011372</v>
      </c>
    </row>
    <row r="11244" spans="1:9" x14ac:dyDescent="0.2">
      <c r="A11244" t="str">
        <f>"Kat2a"</f>
        <v>Kat2a</v>
      </c>
      <c r="B11244" t="s">
        <v>14</v>
      </c>
      <c r="C11244" t="s">
        <v>27</v>
      </c>
      <c r="D11244" t="s">
        <v>11</v>
      </c>
      <c r="E11244" t="s">
        <v>12</v>
      </c>
      <c r="F11244">
        <v>100712429</v>
      </c>
      <c r="G11244">
        <v>100712476</v>
      </c>
      <c r="H11244">
        <v>100712429</v>
      </c>
      <c r="I11244">
        <v>100712476</v>
      </c>
    </row>
    <row r="11245" spans="1:9" x14ac:dyDescent="0.2">
      <c r="A11245" t="str">
        <f>"Kat2b"</f>
        <v>Kat2b</v>
      </c>
      <c r="B11245" t="s">
        <v>14</v>
      </c>
      <c r="C11245" t="s">
        <v>28</v>
      </c>
      <c r="D11245" t="s">
        <v>17</v>
      </c>
      <c r="E11245" t="s">
        <v>12</v>
      </c>
      <c r="F11245">
        <v>53566976</v>
      </c>
      <c r="G11245">
        <v>53567023</v>
      </c>
      <c r="H11245">
        <v>53567259</v>
      </c>
      <c r="I11245">
        <v>53567286</v>
      </c>
    </row>
    <row r="11246" spans="1:9" x14ac:dyDescent="0.2">
      <c r="A11246" t="str">
        <f>"Kat5"</f>
        <v>Kat5</v>
      </c>
      <c r="B11246" t="s">
        <v>14</v>
      </c>
      <c r="C11246" t="s">
        <v>10</v>
      </c>
      <c r="D11246" t="s">
        <v>11</v>
      </c>
      <c r="E11246" t="s">
        <v>12</v>
      </c>
      <c r="F11246">
        <v>5610038</v>
      </c>
      <c r="G11246">
        <v>5610066</v>
      </c>
      <c r="H11246">
        <v>5609642</v>
      </c>
      <c r="I11246">
        <v>5609690</v>
      </c>
    </row>
    <row r="11247" spans="1:9" x14ac:dyDescent="0.2">
      <c r="A11247" t="str">
        <f>"Kat6a"</f>
        <v>Kat6a</v>
      </c>
      <c r="B11247" t="s">
        <v>14</v>
      </c>
      <c r="C11247" t="s">
        <v>30</v>
      </c>
      <c r="D11247" t="s">
        <v>17</v>
      </c>
      <c r="E11247" t="s">
        <v>67</v>
      </c>
      <c r="F11247">
        <v>22859528</v>
      </c>
      <c r="G11247">
        <v>22859554</v>
      </c>
      <c r="H11247">
        <v>22859345</v>
      </c>
      <c r="I11247">
        <v>22859381</v>
      </c>
    </row>
    <row r="11248" spans="1:9" x14ac:dyDescent="0.2">
      <c r="A11248" t="str">
        <f>"Kat6b"</f>
        <v>Kat6b</v>
      </c>
      <c r="B11248" t="s">
        <v>9</v>
      </c>
      <c r="C11248" t="s">
        <v>41</v>
      </c>
      <c r="D11248" t="s">
        <v>17</v>
      </c>
      <c r="E11248" t="s">
        <v>67</v>
      </c>
      <c r="F11248">
        <v>21500879</v>
      </c>
      <c r="G11248">
        <v>21500897</v>
      </c>
      <c r="H11248">
        <v>21500879</v>
      </c>
      <c r="I11248">
        <v>21500897</v>
      </c>
    </row>
    <row r="11249" spans="1:9" x14ac:dyDescent="0.2">
      <c r="A11249" t="str">
        <f>"Kat6b"</f>
        <v>Kat6b</v>
      </c>
      <c r="B11249" t="s">
        <v>13</v>
      </c>
      <c r="C11249" t="s">
        <v>41</v>
      </c>
      <c r="D11249" t="s">
        <v>17</v>
      </c>
      <c r="E11249" t="s">
        <v>67</v>
      </c>
      <c r="F11249">
        <v>21499831</v>
      </c>
      <c r="G11249">
        <v>21499883</v>
      </c>
      <c r="H11249">
        <v>21499831</v>
      </c>
      <c r="I11249">
        <v>21499883</v>
      </c>
    </row>
    <row r="11250" spans="1:9" x14ac:dyDescent="0.2">
      <c r="A11250" t="str">
        <f>"Kat7"</f>
        <v>Kat7</v>
      </c>
      <c r="B11250" t="s">
        <v>14</v>
      </c>
      <c r="C11250" t="s">
        <v>27</v>
      </c>
      <c r="D11250" t="s">
        <v>11</v>
      </c>
      <c r="E11250" t="s">
        <v>67</v>
      </c>
      <c r="F11250">
        <v>95310186</v>
      </c>
      <c r="G11250">
        <v>95310213</v>
      </c>
      <c r="H11250">
        <v>95310186</v>
      </c>
      <c r="I11250">
        <v>95310213</v>
      </c>
    </row>
    <row r="11251" spans="1:9" x14ac:dyDescent="0.2">
      <c r="A11251" t="str">
        <f>"Kat8"</f>
        <v>Kat8</v>
      </c>
      <c r="B11251" t="s">
        <v>14</v>
      </c>
      <c r="C11251" t="s">
        <v>33</v>
      </c>
      <c r="D11251" t="s">
        <v>17</v>
      </c>
      <c r="E11251" t="s">
        <v>67</v>
      </c>
      <c r="F11251">
        <v>127912510</v>
      </c>
      <c r="G11251">
        <v>127912528</v>
      </c>
      <c r="H11251">
        <v>127912510</v>
      </c>
      <c r="I11251">
        <v>127912528</v>
      </c>
    </row>
    <row r="11252" spans="1:9" x14ac:dyDescent="0.2">
      <c r="A11252" t="str">
        <f>"Katna1"</f>
        <v>Katna1</v>
      </c>
      <c r="B11252" t="s">
        <v>14</v>
      </c>
      <c r="C11252" t="s">
        <v>15</v>
      </c>
      <c r="D11252" t="s">
        <v>17</v>
      </c>
      <c r="E11252" t="s">
        <v>12</v>
      </c>
      <c r="F11252">
        <v>7725997</v>
      </c>
      <c r="G11252">
        <v>7726014</v>
      </c>
      <c r="H11252">
        <v>7726061</v>
      </c>
      <c r="I11252">
        <v>7726083</v>
      </c>
    </row>
    <row r="11253" spans="1:9" x14ac:dyDescent="0.2">
      <c r="A11253" t="str">
        <f>"Katnal1"</f>
        <v>Katnal1</v>
      </c>
      <c r="B11253" t="s">
        <v>14</v>
      </c>
      <c r="C11253" t="s">
        <v>46</v>
      </c>
      <c r="D11253" t="s">
        <v>11</v>
      </c>
      <c r="E11253" t="s">
        <v>12</v>
      </c>
      <c r="F11253">
        <v>148928981</v>
      </c>
      <c r="G11253">
        <v>148929044</v>
      </c>
      <c r="H11253">
        <v>148928981</v>
      </c>
      <c r="I11253">
        <v>148929044</v>
      </c>
    </row>
    <row r="11254" spans="1:9" x14ac:dyDescent="0.2">
      <c r="A11254" t="str">
        <f>"Katnal2"</f>
        <v>Katnal2</v>
      </c>
      <c r="B11254" t="s">
        <v>14</v>
      </c>
      <c r="C11254" t="s">
        <v>43</v>
      </c>
      <c r="D11254" t="s">
        <v>11</v>
      </c>
      <c r="E11254" t="s">
        <v>12</v>
      </c>
      <c r="F11254">
        <v>77047282</v>
      </c>
      <c r="G11254">
        <v>77047313</v>
      </c>
      <c r="H11254">
        <v>77047268</v>
      </c>
      <c r="I11254">
        <v>77047279</v>
      </c>
    </row>
    <row r="11255" spans="1:9" x14ac:dyDescent="0.2">
      <c r="A11255" t="str">
        <f>"Katnb1"</f>
        <v>Katnb1</v>
      </c>
      <c r="B11255" t="s">
        <v>14</v>
      </c>
      <c r="C11255" t="s">
        <v>30</v>
      </c>
      <c r="D11255" t="s">
        <v>17</v>
      </c>
      <c r="E11255" t="s">
        <v>12</v>
      </c>
      <c r="F11255">
        <v>95081206</v>
      </c>
      <c r="G11255">
        <v>95081286</v>
      </c>
      <c r="H11255">
        <v>95081171</v>
      </c>
      <c r="I11255">
        <v>95081186</v>
      </c>
    </row>
    <row r="11256" spans="1:9" x14ac:dyDescent="0.2">
      <c r="A11256" t="str">
        <f>"Katnbl1"</f>
        <v>Katnbl1</v>
      </c>
      <c r="B11256" t="s">
        <v>14</v>
      </c>
      <c r="C11256" t="s">
        <v>26</v>
      </c>
      <c r="D11256" t="s">
        <v>17</v>
      </c>
      <c r="E11256" t="s">
        <v>67</v>
      </c>
      <c r="F11256">
        <v>112379204</v>
      </c>
      <c r="G11256">
        <v>112379253</v>
      </c>
      <c r="H11256">
        <v>112379266</v>
      </c>
      <c r="I11256">
        <v>112379284</v>
      </c>
    </row>
    <row r="11257" spans="1:9" x14ac:dyDescent="0.2">
      <c r="A11257" t="str">
        <f>"Kazald1"</f>
        <v>Kazald1</v>
      </c>
      <c r="B11257" t="s">
        <v>14</v>
      </c>
      <c r="C11257" t="s">
        <v>10</v>
      </c>
      <c r="D11257" t="s">
        <v>17</v>
      </c>
      <c r="E11257" t="s">
        <v>12</v>
      </c>
      <c r="F11257">
        <v>45076191</v>
      </c>
      <c r="G11257">
        <v>45076195</v>
      </c>
      <c r="H11257">
        <v>45076105</v>
      </c>
      <c r="I11257">
        <v>45076111</v>
      </c>
    </row>
    <row r="11258" spans="1:9" x14ac:dyDescent="0.2">
      <c r="A11258" t="str">
        <f>"Kazn"</f>
        <v>Kazn</v>
      </c>
      <c r="B11258" t="s">
        <v>14</v>
      </c>
      <c r="C11258" t="s">
        <v>23</v>
      </c>
      <c r="D11258" t="s">
        <v>11</v>
      </c>
      <c r="E11258" t="s">
        <v>12</v>
      </c>
      <c r="F11258">
        <v>142239356</v>
      </c>
      <c r="G11258">
        <v>142239418</v>
      </c>
      <c r="H11258">
        <v>142239440</v>
      </c>
      <c r="I11258">
        <v>142239451</v>
      </c>
    </row>
    <row r="11259" spans="1:9" x14ac:dyDescent="0.2">
      <c r="A11259" t="str">
        <f>"Kbtbd11"</f>
        <v>Kbtbd11</v>
      </c>
      <c r="B11259" t="s">
        <v>14</v>
      </c>
      <c r="C11259" t="s">
        <v>30</v>
      </c>
      <c r="D11259" t="s">
        <v>17</v>
      </c>
      <c r="E11259" t="s">
        <v>12</v>
      </c>
      <c r="F11259">
        <v>15011209</v>
      </c>
      <c r="G11259">
        <v>15011235</v>
      </c>
      <c r="H11259">
        <v>15011209</v>
      </c>
      <c r="I11259">
        <v>15011235</v>
      </c>
    </row>
    <row r="11260" spans="1:9" x14ac:dyDescent="0.2">
      <c r="A11260" t="str">
        <f>"Kbtbd12"</f>
        <v>Kbtbd12</v>
      </c>
      <c r="B11260" t="s">
        <v>14</v>
      </c>
      <c r="C11260" t="s">
        <v>32</v>
      </c>
      <c r="D11260" t="s">
        <v>11</v>
      </c>
      <c r="E11260" t="s">
        <v>12</v>
      </c>
      <c r="F11260">
        <v>88627422</v>
      </c>
      <c r="G11260">
        <v>88627454</v>
      </c>
      <c r="H11260">
        <v>88627643</v>
      </c>
      <c r="I11260">
        <v>88627653</v>
      </c>
    </row>
    <row r="11261" spans="1:9" x14ac:dyDescent="0.2">
      <c r="A11261" t="str">
        <f>"Kbtbd13"</f>
        <v>Kbtbd13</v>
      </c>
      <c r="B11261" t="s">
        <v>14</v>
      </c>
      <c r="C11261" t="s">
        <v>24</v>
      </c>
      <c r="D11261" t="s">
        <v>11</v>
      </c>
      <c r="E11261" t="s">
        <v>12</v>
      </c>
      <c r="F11261">
        <v>65391700</v>
      </c>
      <c r="G11261">
        <v>65391744</v>
      </c>
      <c r="H11261">
        <v>65391920</v>
      </c>
      <c r="I11261">
        <v>65391939</v>
      </c>
    </row>
    <row r="11262" spans="1:9" x14ac:dyDescent="0.2">
      <c r="A11262" t="str">
        <f>"Kbtbd2"</f>
        <v>Kbtbd2</v>
      </c>
      <c r="B11262" t="s">
        <v>14</v>
      </c>
      <c r="C11262" t="s">
        <v>32</v>
      </c>
      <c r="D11262" t="s">
        <v>11</v>
      </c>
      <c r="E11262" t="s">
        <v>12</v>
      </c>
      <c r="F11262">
        <v>56797637</v>
      </c>
      <c r="G11262">
        <v>56797757</v>
      </c>
      <c r="H11262">
        <v>56797495</v>
      </c>
      <c r="I11262">
        <v>56797553</v>
      </c>
    </row>
    <row r="11263" spans="1:9" x14ac:dyDescent="0.2">
      <c r="A11263" t="str">
        <f>"Kbtbd3"</f>
        <v>Kbtbd3</v>
      </c>
      <c r="B11263" t="s">
        <v>14</v>
      </c>
      <c r="C11263" t="s">
        <v>24</v>
      </c>
      <c r="D11263" t="s">
        <v>17</v>
      </c>
      <c r="E11263" t="s">
        <v>12</v>
      </c>
      <c r="F11263">
        <v>4309878</v>
      </c>
      <c r="G11263">
        <v>4309933</v>
      </c>
      <c r="H11263">
        <v>4309719</v>
      </c>
      <c r="I11263">
        <v>4309748</v>
      </c>
    </row>
    <row r="11264" spans="1:9" x14ac:dyDescent="0.2">
      <c r="A11264" t="str">
        <f>"Kbtbd4"</f>
        <v>Kbtbd4</v>
      </c>
      <c r="B11264" t="s">
        <v>14</v>
      </c>
      <c r="C11264" t="s">
        <v>26</v>
      </c>
      <c r="D11264" t="s">
        <v>17</v>
      </c>
      <c r="E11264" t="s">
        <v>12</v>
      </c>
      <c r="F11264">
        <v>90904756</v>
      </c>
      <c r="G11264">
        <v>90904778</v>
      </c>
      <c r="H11264">
        <v>90904789</v>
      </c>
      <c r="I11264">
        <v>90904798</v>
      </c>
    </row>
    <row r="11265" spans="1:9" x14ac:dyDescent="0.2">
      <c r="A11265" t="str">
        <f>"Kbtbd7"</f>
        <v>Kbtbd7</v>
      </c>
      <c r="B11265" t="s">
        <v>14</v>
      </c>
      <c r="C11265" t="s">
        <v>41</v>
      </c>
      <c r="D11265" t="s">
        <v>17</v>
      </c>
      <c r="E11265" t="s">
        <v>12</v>
      </c>
      <c r="F11265">
        <v>79426410</v>
      </c>
      <c r="G11265">
        <v>79426453</v>
      </c>
      <c r="H11265">
        <v>79426454</v>
      </c>
      <c r="I11265">
        <v>79426478</v>
      </c>
    </row>
    <row r="11266" spans="1:9" x14ac:dyDescent="0.2">
      <c r="A11266" t="str">
        <f>"Kbtbd8"</f>
        <v>Kbtbd8</v>
      </c>
      <c r="B11266" t="s">
        <v>14</v>
      </c>
      <c r="C11266" t="s">
        <v>32</v>
      </c>
      <c r="D11266" t="s">
        <v>17</v>
      </c>
      <c r="E11266" t="s">
        <v>12</v>
      </c>
      <c r="F11266">
        <v>95117904</v>
      </c>
      <c r="G11266">
        <v>95117959</v>
      </c>
      <c r="H11266">
        <v>95117875</v>
      </c>
      <c r="I11266">
        <v>95117885</v>
      </c>
    </row>
    <row r="11267" spans="1:9" x14ac:dyDescent="0.2">
      <c r="A11267" t="str">
        <f>"Kcmf1"</f>
        <v>Kcmf1</v>
      </c>
      <c r="B11267" t="s">
        <v>14</v>
      </c>
      <c r="C11267" t="s">
        <v>32</v>
      </c>
      <c r="D11267" t="s">
        <v>11</v>
      </c>
      <c r="E11267" t="s">
        <v>12</v>
      </c>
      <c r="F11267">
        <v>72899722</v>
      </c>
      <c r="G11267">
        <v>72899811</v>
      </c>
      <c r="H11267">
        <v>72899952</v>
      </c>
      <c r="I11267">
        <v>72899985</v>
      </c>
    </row>
    <row r="11268" spans="1:9" x14ac:dyDescent="0.2">
      <c r="A11268" t="str">
        <f>"Kcna1"</f>
        <v>Kcna1</v>
      </c>
      <c r="B11268" t="s">
        <v>14</v>
      </c>
      <c r="C11268" t="s">
        <v>32</v>
      </c>
      <c r="D11268" t="s">
        <v>11</v>
      </c>
      <c r="E11268" t="s">
        <v>12</v>
      </c>
      <c r="F11268">
        <v>126645784</v>
      </c>
      <c r="G11268">
        <v>126645800</v>
      </c>
      <c r="H11268">
        <v>126645758</v>
      </c>
      <c r="I11268">
        <v>126645768</v>
      </c>
    </row>
    <row r="11269" spans="1:9" x14ac:dyDescent="0.2">
      <c r="A11269" t="str">
        <f>"Kcna10"</f>
        <v>Kcna10</v>
      </c>
      <c r="B11269" t="s">
        <v>14</v>
      </c>
      <c r="C11269" t="s">
        <v>22</v>
      </c>
      <c r="D11269" t="s">
        <v>17</v>
      </c>
      <c r="E11269" t="s">
        <v>12</v>
      </c>
      <c r="F11269">
        <v>107183139</v>
      </c>
      <c r="G11269">
        <v>107183144</v>
      </c>
      <c r="H11269">
        <v>107183139</v>
      </c>
      <c r="I11269">
        <v>107183144</v>
      </c>
    </row>
    <row r="11270" spans="1:9" x14ac:dyDescent="0.2">
      <c r="A11270" t="str">
        <f>"Kcna2"</f>
        <v>Kcna2</v>
      </c>
      <c r="B11270" t="s">
        <v>14</v>
      </c>
      <c r="C11270" t="s">
        <v>22</v>
      </c>
      <c r="D11270" t="s">
        <v>17</v>
      </c>
      <c r="E11270" t="s">
        <v>12</v>
      </c>
      <c r="F11270">
        <v>107101596</v>
      </c>
      <c r="G11270">
        <v>107101649</v>
      </c>
      <c r="H11270">
        <v>107101700</v>
      </c>
      <c r="I11270">
        <v>107101712</v>
      </c>
    </row>
    <row r="11271" spans="1:9" x14ac:dyDescent="0.2">
      <c r="A11271" t="str">
        <f>"Kcna3"</f>
        <v>Kcna3</v>
      </c>
      <c r="B11271" t="s">
        <v>14</v>
      </c>
      <c r="C11271" t="s">
        <v>22</v>
      </c>
      <c r="D11271" t="s">
        <v>17</v>
      </c>
      <c r="E11271" t="s">
        <v>12</v>
      </c>
      <c r="F11271">
        <v>107036156</v>
      </c>
      <c r="G11271">
        <v>107036181</v>
      </c>
      <c r="H11271">
        <v>107036156</v>
      </c>
      <c r="I11271">
        <v>107036181</v>
      </c>
    </row>
    <row r="11272" spans="1:9" x14ac:dyDescent="0.2">
      <c r="A11272" t="str">
        <f>"Kcna4"</f>
        <v>Kcna4</v>
      </c>
      <c r="B11272" t="s">
        <v>14</v>
      </c>
      <c r="C11272" t="s">
        <v>26</v>
      </c>
      <c r="D11272" t="s">
        <v>17</v>
      </c>
      <c r="E11272" t="s">
        <v>12</v>
      </c>
      <c r="F11272">
        <v>107290590</v>
      </c>
      <c r="G11272">
        <v>107290660</v>
      </c>
      <c r="H11272">
        <v>107290669</v>
      </c>
      <c r="I11272">
        <v>107290678</v>
      </c>
    </row>
    <row r="11273" spans="1:9" x14ac:dyDescent="0.2">
      <c r="A11273" t="str">
        <f>"Kcna5"</f>
        <v>Kcna5</v>
      </c>
      <c r="B11273" t="s">
        <v>4205</v>
      </c>
      <c r="C11273" t="s">
        <v>32</v>
      </c>
      <c r="D11273" t="s">
        <v>11</v>
      </c>
      <c r="E11273" t="s">
        <v>20</v>
      </c>
      <c r="F11273">
        <v>126698191</v>
      </c>
      <c r="G11273">
        <v>126698191</v>
      </c>
      <c r="H11273">
        <v>126698191</v>
      </c>
      <c r="I11273">
        <v>126698191</v>
      </c>
    </row>
    <row r="11274" spans="1:9" x14ac:dyDescent="0.2">
      <c r="A11274" t="str">
        <f>"Kcna6"</f>
        <v>Kcna6</v>
      </c>
      <c r="B11274" t="s">
        <v>14</v>
      </c>
      <c r="C11274" t="s">
        <v>32</v>
      </c>
      <c r="D11274" t="s">
        <v>11</v>
      </c>
      <c r="E11274" t="s">
        <v>12</v>
      </c>
      <c r="F11274">
        <v>126740627</v>
      </c>
      <c r="G11274">
        <v>126740681</v>
      </c>
      <c r="H11274">
        <v>126740326</v>
      </c>
      <c r="I11274">
        <v>126740354</v>
      </c>
    </row>
    <row r="11275" spans="1:9" x14ac:dyDescent="0.2">
      <c r="A11275" t="str">
        <f>"Kcna7"</f>
        <v>Kcna7</v>
      </c>
      <c r="B11275" t="s">
        <v>4206</v>
      </c>
      <c r="C11275" t="s">
        <v>33</v>
      </c>
      <c r="D11275" t="s">
        <v>17</v>
      </c>
      <c r="E11275" t="s">
        <v>20</v>
      </c>
      <c r="F11275">
        <v>45405959</v>
      </c>
      <c r="G11275">
        <v>45405959</v>
      </c>
      <c r="H11275">
        <v>45405959</v>
      </c>
      <c r="I11275">
        <v>45405959</v>
      </c>
    </row>
    <row r="11276" spans="1:9" x14ac:dyDescent="0.2">
      <c r="A11276" t="str">
        <f>"Kcnab1"</f>
        <v>Kcnab1</v>
      </c>
      <c r="B11276" t="s">
        <v>14</v>
      </c>
      <c r="C11276" t="s">
        <v>22</v>
      </c>
      <c r="D11276" t="s">
        <v>17</v>
      </c>
      <c r="E11276" t="s">
        <v>12</v>
      </c>
      <c r="F11276">
        <v>65109343</v>
      </c>
      <c r="G11276">
        <v>65109420</v>
      </c>
      <c r="H11276">
        <v>65109343</v>
      </c>
      <c r="I11276">
        <v>65109420</v>
      </c>
    </row>
    <row r="11277" spans="1:9" x14ac:dyDescent="0.2">
      <c r="A11277" t="str">
        <f>"Kcnab2"</f>
        <v>Kcnab2</v>
      </c>
      <c r="B11277" t="s">
        <v>9</v>
      </c>
      <c r="C11277" t="s">
        <v>23</v>
      </c>
      <c r="D11277" t="s">
        <v>11</v>
      </c>
      <c r="E11277" t="s">
        <v>12</v>
      </c>
      <c r="F11277">
        <v>152477462</v>
      </c>
      <c r="G11277">
        <v>152477549</v>
      </c>
      <c r="H11277">
        <v>152477462</v>
      </c>
      <c r="I11277">
        <v>152477549</v>
      </c>
    </row>
    <row r="11278" spans="1:9" x14ac:dyDescent="0.2">
      <c r="A11278" t="str">
        <f>"Kcnab2"</f>
        <v>Kcnab2</v>
      </c>
      <c r="B11278" t="s">
        <v>13</v>
      </c>
      <c r="C11278" t="s">
        <v>23</v>
      </c>
      <c r="D11278" t="s">
        <v>11</v>
      </c>
      <c r="E11278" t="s">
        <v>12</v>
      </c>
      <c r="F11278">
        <v>152448808</v>
      </c>
      <c r="G11278">
        <v>152448848</v>
      </c>
      <c r="H11278">
        <v>152448808</v>
      </c>
      <c r="I11278">
        <v>152448848</v>
      </c>
    </row>
    <row r="11279" spans="1:9" x14ac:dyDescent="0.2">
      <c r="A11279" t="str">
        <f>"Kcnab3"</f>
        <v>Kcnab3</v>
      </c>
      <c r="B11279" t="s">
        <v>14</v>
      </c>
      <c r="C11279" t="s">
        <v>27</v>
      </c>
      <c r="D11279" t="s">
        <v>17</v>
      </c>
      <c r="E11279" t="s">
        <v>12</v>
      </c>
      <c r="F11279">
        <v>69326284</v>
      </c>
      <c r="G11279">
        <v>69326314</v>
      </c>
      <c r="H11279">
        <v>69326252</v>
      </c>
      <c r="I11279">
        <v>69326275</v>
      </c>
    </row>
    <row r="11280" spans="1:9" x14ac:dyDescent="0.2">
      <c r="A11280" t="str">
        <f>"Kcnb1"</f>
        <v>Kcnb1</v>
      </c>
      <c r="B11280" t="s">
        <v>14</v>
      </c>
      <c r="C11280" t="s">
        <v>26</v>
      </c>
      <c r="D11280" t="s">
        <v>11</v>
      </c>
      <c r="E11280" t="s">
        <v>12</v>
      </c>
      <c r="F11280">
        <v>167190124</v>
      </c>
      <c r="G11280">
        <v>167190173</v>
      </c>
      <c r="H11280">
        <v>167190087</v>
      </c>
      <c r="I11280">
        <v>167190108</v>
      </c>
    </row>
    <row r="11281" spans="1:9" x14ac:dyDescent="0.2">
      <c r="A11281" t="str">
        <f>"Kcnb2"</f>
        <v>Kcnb2</v>
      </c>
      <c r="B11281" t="s">
        <v>4207</v>
      </c>
      <c r="C11281" t="s">
        <v>19</v>
      </c>
      <c r="D11281" t="s">
        <v>17</v>
      </c>
      <c r="E11281" t="s">
        <v>20</v>
      </c>
      <c r="F11281">
        <v>15712302</v>
      </c>
      <c r="G11281">
        <v>15712302</v>
      </c>
      <c r="H11281">
        <v>15712302</v>
      </c>
      <c r="I11281">
        <v>15712302</v>
      </c>
    </row>
    <row r="11282" spans="1:9" x14ac:dyDescent="0.2">
      <c r="A11282" t="str">
        <f>"Kcnc1"</f>
        <v>Kcnc1</v>
      </c>
      <c r="B11282" t="s">
        <v>14</v>
      </c>
      <c r="C11282" t="s">
        <v>33</v>
      </c>
      <c r="D11282" t="s">
        <v>17</v>
      </c>
      <c r="E11282" t="s">
        <v>12</v>
      </c>
      <c r="F11282">
        <v>46396439</v>
      </c>
      <c r="G11282">
        <v>46396539</v>
      </c>
      <c r="H11282">
        <v>46396439</v>
      </c>
      <c r="I11282">
        <v>46396539</v>
      </c>
    </row>
    <row r="11283" spans="1:9" x14ac:dyDescent="0.2">
      <c r="A11283" t="str">
        <f>"Kcnc2"</f>
        <v>Kcnc2</v>
      </c>
      <c r="B11283" t="s">
        <v>14</v>
      </c>
      <c r="C11283" t="s">
        <v>15</v>
      </c>
      <c r="D11283" t="s">
        <v>17</v>
      </c>
      <c r="E11283" t="s">
        <v>12</v>
      </c>
      <c r="F11283">
        <v>112271108</v>
      </c>
      <c r="G11283">
        <v>112271119</v>
      </c>
      <c r="H11283">
        <v>112270784</v>
      </c>
      <c r="I11283">
        <v>112270797</v>
      </c>
    </row>
    <row r="11284" spans="1:9" x14ac:dyDescent="0.2">
      <c r="A11284" t="str">
        <f>"Kcnc3"</f>
        <v>Kcnc3</v>
      </c>
      <c r="B11284" t="s">
        <v>4208</v>
      </c>
      <c r="C11284" t="s">
        <v>33</v>
      </c>
      <c r="D11284" t="s">
        <v>17</v>
      </c>
      <c r="E11284" t="s">
        <v>20</v>
      </c>
      <c r="F11284">
        <v>44590885</v>
      </c>
      <c r="G11284">
        <v>44590885</v>
      </c>
      <c r="H11284">
        <v>44590885</v>
      </c>
      <c r="I11284">
        <v>44590885</v>
      </c>
    </row>
    <row r="11285" spans="1:9" x14ac:dyDescent="0.2">
      <c r="A11285" t="str">
        <f>"Kcnc3"</f>
        <v>Kcnc3</v>
      </c>
      <c r="B11285" t="s">
        <v>4209</v>
      </c>
      <c r="C11285" t="s">
        <v>33</v>
      </c>
      <c r="D11285" t="s">
        <v>17</v>
      </c>
      <c r="E11285" t="s">
        <v>20</v>
      </c>
      <c r="F11285">
        <v>44590663</v>
      </c>
      <c r="G11285">
        <v>44590663</v>
      </c>
      <c r="H11285">
        <v>44590663</v>
      </c>
      <c r="I11285">
        <v>44590663</v>
      </c>
    </row>
    <row r="11286" spans="1:9" x14ac:dyDescent="0.2">
      <c r="A11286" t="str">
        <f>"Kcnc4"</f>
        <v>Kcnc4</v>
      </c>
      <c r="B11286" t="s">
        <v>14</v>
      </c>
      <c r="C11286" t="s">
        <v>22</v>
      </c>
      <c r="D11286" t="s">
        <v>11</v>
      </c>
      <c r="E11286" t="s">
        <v>12</v>
      </c>
      <c r="F11286">
        <v>107458922</v>
      </c>
      <c r="G11286">
        <v>107458975</v>
      </c>
      <c r="H11286">
        <v>107458895</v>
      </c>
      <c r="I11286">
        <v>107458920</v>
      </c>
    </row>
    <row r="11287" spans="1:9" x14ac:dyDescent="0.2">
      <c r="A11287" t="str">
        <f>"Kcnd1"</f>
        <v>Kcnd1</v>
      </c>
      <c r="B11287" t="s">
        <v>14</v>
      </c>
      <c r="C11287" t="s">
        <v>37</v>
      </c>
      <c r="D11287" t="s">
        <v>17</v>
      </c>
      <c r="E11287" t="s">
        <v>12</v>
      </c>
      <c r="F11287">
        <v>7822272</v>
      </c>
      <c r="G11287">
        <v>7822330</v>
      </c>
      <c r="H11287">
        <v>7822272</v>
      </c>
      <c r="I11287">
        <v>7822330</v>
      </c>
    </row>
    <row r="11288" spans="1:9" x14ac:dyDescent="0.2">
      <c r="A11288" t="str">
        <f>"Kcnd2"</f>
        <v>Kcnd2</v>
      </c>
      <c r="B11288" t="s">
        <v>14</v>
      </c>
      <c r="C11288" t="s">
        <v>32</v>
      </c>
      <c r="D11288" t="s">
        <v>17</v>
      </c>
      <c r="E11288" t="s">
        <v>12</v>
      </c>
      <c r="F11288">
        <v>21215358</v>
      </c>
      <c r="G11288">
        <v>21215387</v>
      </c>
      <c r="H11288">
        <v>21215414</v>
      </c>
      <c r="I11288">
        <v>21215435</v>
      </c>
    </row>
    <row r="11289" spans="1:9" x14ac:dyDescent="0.2">
      <c r="A11289" t="str">
        <f>"Kcnd3"</f>
        <v>Kcnd3</v>
      </c>
      <c r="B11289" t="s">
        <v>14</v>
      </c>
      <c r="C11289" t="s">
        <v>22</v>
      </c>
      <c r="D11289" t="s">
        <v>17</v>
      </c>
      <c r="E11289" t="s">
        <v>12</v>
      </c>
      <c r="F11289">
        <v>105451849</v>
      </c>
      <c r="G11289">
        <v>105451937</v>
      </c>
      <c r="H11289">
        <v>105451849</v>
      </c>
      <c r="I11289">
        <v>105451937</v>
      </c>
    </row>
    <row r="11290" spans="1:9" x14ac:dyDescent="0.2">
      <c r="A11290" t="str">
        <f>"Kcne1"</f>
        <v>Kcne1</v>
      </c>
      <c r="B11290" t="s">
        <v>14</v>
      </c>
      <c r="C11290" t="s">
        <v>31</v>
      </c>
      <c r="D11290" t="s">
        <v>11</v>
      </c>
      <c r="E11290" t="s">
        <v>12</v>
      </c>
      <c r="F11290">
        <v>92358881</v>
      </c>
      <c r="G11290">
        <v>92358925</v>
      </c>
      <c r="H11290">
        <v>92359424</v>
      </c>
      <c r="I11290">
        <v>92359428</v>
      </c>
    </row>
    <row r="11291" spans="1:9" x14ac:dyDescent="0.2">
      <c r="A11291" t="str">
        <f>"Kcne1l"</f>
        <v>Kcne1l</v>
      </c>
      <c r="B11291" t="s">
        <v>14</v>
      </c>
      <c r="C11291" t="s">
        <v>37</v>
      </c>
      <c r="D11291" t="s">
        <v>11</v>
      </c>
      <c r="E11291" t="s">
        <v>12</v>
      </c>
      <c r="F11291">
        <v>142306170</v>
      </c>
      <c r="G11291">
        <v>142306187</v>
      </c>
      <c r="H11291">
        <v>142306198</v>
      </c>
      <c r="I11291">
        <v>142306201</v>
      </c>
    </row>
    <row r="11292" spans="1:9" x14ac:dyDescent="0.2">
      <c r="A11292" t="str">
        <f>"Kcne2"</f>
        <v>Kcne2</v>
      </c>
      <c r="B11292" t="s">
        <v>14</v>
      </c>
      <c r="C11292" t="s">
        <v>31</v>
      </c>
      <c r="D11292" t="s">
        <v>17</v>
      </c>
      <c r="E11292" t="s">
        <v>12</v>
      </c>
      <c r="F11292">
        <v>92292362</v>
      </c>
      <c r="G11292">
        <v>92292375</v>
      </c>
      <c r="H11292">
        <v>92292380</v>
      </c>
      <c r="I11292">
        <v>92292397</v>
      </c>
    </row>
    <row r="11293" spans="1:9" x14ac:dyDescent="0.2">
      <c r="A11293" t="str">
        <f>"Kcne3"</f>
        <v>Kcne3</v>
      </c>
      <c r="B11293" t="s">
        <v>9</v>
      </c>
      <c r="C11293" t="s">
        <v>33</v>
      </c>
      <c r="D11293" t="s">
        <v>17</v>
      </c>
      <c r="E11293" t="s">
        <v>12</v>
      </c>
      <c r="F11293">
        <v>100178679</v>
      </c>
      <c r="G11293">
        <v>100178704</v>
      </c>
      <c r="H11293">
        <v>100178679</v>
      </c>
      <c r="I11293">
        <v>100178704</v>
      </c>
    </row>
    <row r="11294" spans="1:9" x14ac:dyDescent="0.2">
      <c r="A11294" t="str">
        <f>"Kcne3"</f>
        <v>Kcne3</v>
      </c>
      <c r="B11294" t="s">
        <v>13</v>
      </c>
      <c r="C11294" t="s">
        <v>33</v>
      </c>
      <c r="D11294" t="s">
        <v>17</v>
      </c>
      <c r="E11294" t="s">
        <v>12</v>
      </c>
      <c r="F11294">
        <v>100176663</v>
      </c>
      <c r="G11294">
        <v>100176680</v>
      </c>
      <c r="H11294">
        <v>100176663</v>
      </c>
      <c r="I11294">
        <v>100176680</v>
      </c>
    </row>
    <row r="11295" spans="1:9" x14ac:dyDescent="0.2">
      <c r="A11295" t="str">
        <f>"Kcne4"</f>
        <v>Kcne4</v>
      </c>
      <c r="B11295" t="s">
        <v>14</v>
      </c>
      <c r="C11295" t="s">
        <v>19</v>
      </c>
      <c r="D11295" t="s">
        <v>17</v>
      </c>
      <c r="E11295" t="s">
        <v>12</v>
      </c>
      <c r="F11295">
        <v>78816909</v>
      </c>
      <c r="G11295">
        <v>78816913</v>
      </c>
      <c r="H11295">
        <v>78816909</v>
      </c>
      <c r="I11295">
        <v>78816913</v>
      </c>
    </row>
    <row r="11296" spans="1:9" x14ac:dyDescent="0.2">
      <c r="A11296" t="str">
        <f>"Kcnf1"</f>
        <v>Kcnf1</v>
      </c>
      <c r="B11296" t="s">
        <v>14</v>
      </c>
      <c r="C11296" t="s">
        <v>16</v>
      </c>
      <c r="D11296" t="s">
        <v>11</v>
      </c>
      <c r="E11296" t="s">
        <v>12</v>
      </c>
      <c r="F11296">
        <v>17176544</v>
      </c>
      <c r="G11296">
        <v>17176557</v>
      </c>
      <c r="H11296">
        <v>17176544</v>
      </c>
      <c r="I11296">
        <v>17176557</v>
      </c>
    </row>
    <row r="11297" spans="1:9" x14ac:dyDescent="0.2">
      <c r="A11297" t="str">
        <f>"Kcng1"</f>
        <v>Kcng1</v>
      </c>
      <c r="B11297" t="s">
        <v>14</v>
      </c>
      <c r="C11297" t="s">
        <v>26</v>
      </c>
      <c r="D11297" t="s">
        <v>11</v>
      </c>
      <c r="E11297" t="s">
        <v>12</v>
      </c>
      <c r="F11297">
        <v>168281096</v>
      </c>
      <c r="G11297">
        <v>168281118</v>
      </c>
      <c r="H11297">
        <v>168281120</v>
      </c>
      <c r="I11297">
        <v>168281144</v>
      </c>
    </row>
    <row r="11298" spans="1:9" x14ac:dyDescent="0.2">
      <c r="A11298" t="str">
        <f>"Kcng2"</f>
        <v>Kcng2</v>
      </c>
      <c r="B11298" t="s">
        <v>14</v>
      </c>
      <c r="C11298" t="s">
        <v>43</v>
      </c>
      <c r="D11298" t="s">
        <v>11</v>
      </c>
      <c r="E11298" t="s">
        <v>12</v>
      </c>
      <c r="F11298">
        <v>80364563</v>
      </c>
      <c r="G11298">
        <v>80364583</v>
      </c>
      <c r="H11298">
        <v>80364337</v>
      </c>
      <c r="I11298">
        <v>80364355</v>
      </c>
    </row>
    <row r="11299" spans="1:9" x14ac:dyDescent="0.2">
      <c r="A11299" t="str">
        <f>"Kcng3"</f>
        <v>Kcng3</v>
      </c>
      <c r="B11299" t="s">
        <v>14</v>
      </c>
      <c r="C11299" t="s">
        <v>28</v>
      </c>
      <c r="D11299" t="s">
        <v>11</v>
      </c>
      <c r="E11299" t="s">
        <v>12</v>
      </c>
      <c r="F11299">
        <v>83631892</v>
      </c>
      <c r="G11299">
        <v>83631934</v>
      </c>
      <c r="H11299">
        <v>83632052</v>
      </c>
      <c r="I11299">
        <v>83632071</v>
      </c>
    </row>
    <row r="11300" spans="1:9" x14ac:dyDescent="0.2">
      <c r="A11300" t="str">
        <f>"Kcng4"</f>
        <v>Kcng4</v>
      </c>
      <c r="B11300" t="s">
        <v>14</v>
      </c>
      <c r="C11300" t="s">
        <v>30</v>
      </c>
      <c r="D11300" t="s">
        <v>11</v>
      </c>
      <c r="E11300" t="s">
        <v>12</v>
      </c>
      <c r="F11300">
        <v>119635511</v>
      </c>
      <c r="G11300">
        <v>119635536</v>
      </c>
      <c r="H11300">
        <v>119635511</v>
      </c>
      <c r="I11300">
        <v>119635536</v>
      </c>
    </row>
    <row r="11301" spans="1:9" x14ac:dyDescent="0.2">
      <c r="A11301" t="str">
        <f>"Kcnh1"</f>
        <v>Kcnh1</v>
      </c>
      <c r="B11301" t="s">
        <v>14</v>
      </c>
      <c r="C11301" t="s">
        <v>19</v>
      </c>
      <c r="D11301" t="s">
        <v>17</v>
      </c>
      <c r="E11301" t="s">
        <v>12</v>
      </c>
      <c r="F11301">
        <v>192190771</v>
      </c>
      <c r="G11301">
        <v>192190821</v>
      </c>
      <c r="H11301">
        <v>192190827</v>
      </c>
      <c r="I11301">
        <v>192190847</v>
      </c>
    </row>
    <row r="11302" spans="1:9" x14ac:dyDescent="0.2">
      <c r="A11302" t="str">
        <f>"Kcnh2"</f>
        <v>Kcnh2</v>
      </c>
      <c r="B11302" t="s">
        <v>9</v>
      </c>
      <c r="C11302" t="s">
        <v>46</v>
      </c>
      <c r="D11302" t="s">
        <v>11</v>
      </c>
      <c r="E11302" t="s">
        <v>12</v>
      </c>
      <c r="F11302">
        <v>24351657</v>
      </c>
      <c r="G11302">
        <v>24351702</v>
      </c>
      <c r="H11302">
        <v>24351657</v>
      </c>
      <c r="I11302">
        <v>24351702</v>
      </c>
    </row>
    <row r="11303" spans="1:9" x14ac:dyDescent="0.2">
      <c r="A11303" t="str">
        <f>"Kcnh2"</f>
        <v>Kcnh2</v>
      </c>
      <c r="B11303" t="s">
        <v>13</v>
      </c>
      <c r="C11303" t="s">
        <v>46</v>
      </c>
      <c r="D11303" t="s">
        <v>11</v>
      </c>
      <c r="E11303" t="s">
        <v>12</v>
      </c>
      <c r="F11303">
        <v>24329556</v>
      </c>
      <c r="G11303">
        <v>24329598</v>
      </c>
      <c r="H11303">
        <v>24329556</v>
      </c>
      <c r="I11303">
        <v>24329598</v>
      </c>
    </row>
    <row r="11304" spans="1:9" x14ac:dyDescent="0.2">
      <c r="A11304" t="str">
        <f>"Kcnh3"</f>
        <v>Kcnh3</v>
      </c>
      <c r="B11304" t="s">
        <v>14</v>
      </c>
      <c r="C11304" t="s">
        <v>25</v>
      </c>
      <c r="D11304" t="s">
        <v>17</v>
      </c>
      <c r="E11304" t="s">
        <v>12</v>
      </c>
      <c r="F11304">
        <v>99224579</v>
      </c>
      <c r="G11304">
        <v>99224618</v>
      </c>
      <c r="H11304">
        <v>99224545</v>
      </c>
      <c r="I11304">
        <v>99224573</v>
      </c>
    </row>
    <row r="11305" spans="1:9" x14ac:dyDescent="0.2">
      <c r="A11305" t="str">
        <f>"Kcnh4"</f>
        <v>Kcnh4</v>
      </c>
      <c r="B11305" t="s">
        <v>14</v>
      </c>
      <c r="C11305" t="s">
        <v>27</v>
      </c>
      <c r="D11305" t="s">
        <v>11</v>
      </c>
      <c r="E11305" t="s">
        <v>12</v>
      </c>
      <c r="F11305">
        <v>100759741</v>
      </c>
      <c r="G11305">
        <v>100759754</v>
      </c>
      <c r="H11305">
        <v>100759995</v>
      </c>
      <c r="I11305">
        <v>100760011</v>
      </c>
    </row>
    <row r="11306" spans="1:9" x14ac:dyDescent="0.2">
      <c r="A11306" t="str">
        <f>"Kcnh5"</f>
        <v>Kcnh5</v>
      </c>
      <c r="B11306" t="s">
        <v>14</v>
      </c>
      <c r="C11306" t="s">
        <v>16</v>
      </c>
      <c r="D11306" t="s">
        <v>11</v>
      </c>
      <c r="E11306" t="s">
        <v>12</v>
      </c>
      <c r="F11306">
        <v>75177325</v>
      </c>
      <c r="G11306">
        <v>75177359</v>
      </c>
      <c r="H11306">
        <v>75177314</v>
      </c>
      <c r="I11306">
        <v>75177319</v>
      </c>
    </row>
    <row r="11307" spans="1:9" x14ac:dyDescent="0.2">
      <c r="A11307" t="str">
        <f>"Kcnh6"</f>
        <v>Kcnh6</v>
      </c>
      <c r="B11307" t="s">
        <v>14</v>
      </c>
      <c r="C11307" t="s">
        <v>27</v>
      </c>
      <c r="D11307" t="s">
        <v>17</v>
      </c>
      <c r="E11307" t="s">
        <v>12</v>
      </c>
      <c r="F11307">
        <v>106008142</v>
      </c>
      <c r="G11307">
        <v>106008162</v>
      </c>
      <c r="H11307">
        <v>106008117</v>
      </c>
      <c r="I11307">
        <v>106008128</v>
      </c>
    </row>
    <row r="11308" spans="1:9" x14ac:dyDescent="0.2">
      <c r="A11308" t="str">
        <f>"Kcnh7"</f>
        <v>Kcnh7</v>
      </c>
      <c r="B11308" t="s">
        <v>14</v>
      </c>
      <c r="C11308" t="s">
        <v>26</v>
      </c>
      <c r="D11308" t="s">
        <v>11</v>
      </c>
      <c r="E11308" t="s">
        <v>12</v>
      </c>
      <c r="F11308">
        <v>63184298</v>
      </c>
      <c r="G11308">
        <v>63184335</v>
      </c>
      <c r="H11308">
        <v>63184253</v>
      </c>
      <c r="I11308">
        <v>63184292</v>
      </c>
    </row>
    <row r="11309" spans="1:9" x14ac:dyDescent="0.2">
      <c r="A11309" t="str">
        <f>"Kcnh8"</f>
        <v>Kcnh8</v>
      </c>
      <c r="B11309" t="s">
        <v>14</v>
      </c>
      <c r="C11309" t="s">
        <v>28</v>
      </c>
      <c r="D11309" t="s">
        <v>17</v>
      </c>
      <c r="E11309" t="s">
        <v>12</v>
      </c>
      <c r="F11309">
        <v>52602722</v>
      </c>
      <c r="G11309">
        <v>52602761</v>
      </c>
      <c r="H11309">
        <v>52602722</v>
      </c>
      <c r="I11309">
        <v>52602761</v>
      </c>
    </row>
    <row r="11310" spans="1:9" x14ac:dyDescent="0.2">
      <c r="A11310" t="str">
        <f>"Kcnip1"</f>
        <v>Kcnip1</v>
      </c>
      <c r="B11310" t="s">
        <v>14</v>
      </c>
      <c r="C11310" t="s">
        <v>27</v>
      </c>
      <c r="D11310" t="s">
        <v>11</v>
      </c>
      <c r="E11310" t="s">
        <v>12</v>
      </c>
      <c r="F11310">
        <v>33843526</v>
      </c>
      <c r="G11310">
        <v>33843629</v>
      </c>
      <c r="H11310">
        <v>33843526</v>
      </c>
      <c r="I11310">
        <v>33843629</v>
      </c>
    </row>
    <row r="11311" spans="1:9" x14ac:dyDescent="0.2">
      <c r="A11311" t="str">
        <f>"Kcnip2"</f>
        <v>Kcnip2</v>
      </c>
      <c r="B11311" t="s">
        <v>9</v>
      </c>
      <c r="C11311" t="s">
        <v>10</v>
      </c>
      <c r="D11311" t="s">
        <v>11</v>
      </c>
      <c r="E11311" t="s">
        <v>12</v>
      </c>
      <c r="F11311">
        <v>45816007</v>
      </c>
      <c r="G11311">
        <v>45816076</v>
      </c>
      <c r="H11311">
        <v>45816007</v>
      </c>
      <c r="I11311">
        <v>45816076</v>
      </c>
    </row>
    <row r="11312" spans="1:9" x14ac:dyDescent="0.2">
      <c r="A11312" t="str">
        <f>"Kcnip2"</f>
        <v>Kcnip2</v>
      </c>
      <c r="B11312" t="s">
        <v>13</v>
      </c>
      <c r="C11312" t="s">
        <v>10</v>
      </c>
      <c r="D11312" t="s">
        <v>11</v>
      </c>
      <c r="E11312" t="s">
        <v>12</v>
      </c>
      <c r="F11312">
        <v>45812293</v>
      </c>
      <c r="G11312">
        <v>45812307</v>
      </c>
      <c r="H11312">
        <v>45812293</v>
      </c>
      <c r="I11312">
        <v>45812307</v>
      </c>
    </row>
    <row r="11313" spans="1:9" x14ac:dyDescent="0.2">
      <c r="A11313" t="str">
        <f>"Kcnip3"</f>
        <v>Kcnip3</v>
      </c>
      <c r="B11313" t="s">
        <v>4210</v>
      </c>
      <c r="C11313" t="s">
        <v>26</v>
      </c>
      <c r="D11313" t="s">
        <v>11</v>
      </c>
      <c r="E11313" t="s">
        <v>35</v>
      </c>
      <c r="F11313">
        <v>127482541</v>
      </c>
      <c r="G11313">
        <v>127482577</v>
      </c>
      <c r="H11313">
        <v>127482378</v>
      </c>
      <c r="I11313">
        <v>127482387</v>
      </c>
    </row>
    <row r="11314" spans="1:9" x14ac:dyDescent="0.2">
      <c r="A11314" t="str">
        <f>"Kcnip4"</f>
        <v>Kcnip4</v>
      </c>
      <c r="B11314" t="s">
        <v>4211</v>
      </c>
      <c r="C11314" t="s">
        <v>46</v>
      </c>
      <c r="D11314" t="s">
        <v>11</v>
      </c>
      <c r="E11314" t="s">
        <v>35</v>
      </c>
      <c r="F11314">
        <v>48889598</v>
      </c>
      <c r="G11314">
        <v>48889618</v>
      </c>
      <c r="H11314">
        <v>48889492</v>
      </c>
      <c r="I11314">
        <v>48889503</v>
      </c>
    </row>
    <row r="11315" spans="1:9" x14ac:dyDescent="0.2">
      <c r="A11315" t="str">
        <f>"Kcnj1"</f>
        <v>Kcnj1</v>
      </c>
      <c r="B11315" t="s">
        <v>14</v>
      </c>
      <c r="C11315" t="s">
        <v>24</v>
      </c>
      <c r="D11315" t="s">
        <v>17</v>
      </c>
      <c r="E11315" t="s">
        <v>12</v>
      </c>
      <c r="F11315">
        <v>32372483</v>
      </c>
      <c r="G11315">
        <v>32372500</v>
      </c>
      <c r="H11315">
        <v>32372409</v>
      </c>
      <c r="I11315">
        <v>32372425</v>
      </c>
    </row>
    <row r="11316" spans="1:9" x14ac:dyDescent="0.2">
      <c r="A11316" t="str">
        <f>"Kcnj10"</f>
        <v>Kcnj10</v>
      </c>
      <c r="B11316" t="s">
        <v>14</v>
      </c>
      <c r="C11316" t="s">
        <v>19</v>
      </c>
      <c r="D11316" t="s">
        <v>17</v>
      </c>
      <c r="E11316" t="s">
        <v>12</v>
      </c>
      <c r="F11316">
        <v>172341326</v>
      </c>
      <c r="G11316">
        <v>172341349</v>
      </c>
      <c r="H11316">
        <v>172341197</v>
      </c>
      <c r="I11316">
        <v>172341217</v>
      </c>
    </row>
    <row r="11317" spans="1:9" x14ac:dyDescent="0.2">
      <c r="A11317" t="str">
        <f>"Kcnj11"</f>
        <v>Kcnj11</v>
      </c>
      <c r="B11317" t="s">
        <v>14</v>
      </c>
      <c r="C11317" t="s">
        <v>33</v>
      </c>
      <c r="D11317" t="s">
        <v>11</v>
      </c>
      <c r="E11317" t="s">
        <v>12</v>
      </c>
      <c r="F11317">
        <v>46100727</v>
      </c>
      <c r="G11317">
        <v>46100770</v>
      </c>
      <c r="H11317">
        <v>46100627</v>
      </c>
      <c r="I11317">
        <v>46100670</v>
      </c>
    </row>
    <row r="11318" spans="1:9" x14ac:dyDescent="0.2">
      <c r="A11318" t="str">
        <f>"Kcnj12"</f>
        <v>Kcnj12</v>
      </c>
      <c r="B11318" t="s">
        <v>14</v>
      </c>
      <c r="C11318" t="s">
        <v>27</v>
      </c>
      <c r="D11318" t="s">
        <v>17</v>
      </c>
      <c r="E11318" t="s">
        <v>12</v>
      </c>
      <c r="F11318">
        <v>61022268</v>
      </c>
      <c r="G11318">
        <v>61022312</v>
      </c>
      <c r="H11318">
        <v>61022580</v>
      </c>
      <c r="I11318">
        <v>61022609</v>
      </c>
    </row>
    <row r="11319" spans="1:9" x14ac:dyDescent="0.2">
      <c r="A11319" t="str">
        <f>"Kcnj13"</f>
        <v>Kcnj13</v>
      </c>
      <c r="B11319" t="s">
        <v>14</v>
      </c>
      <c r="C11319" t="s">
        <v>19</v>
      </c>
      <c r="D11319" t="s">
        <v>11</v>
      </c>
      <c r="E11319" t="s">
        <v>12</v>
      </c>
      <c r="F11319">
        <v>87394721</v>
      </c>
      <c r="G11319">
        <v>87394734</v>
      </c>
      <c r="H11319">
        <v>87394721</v>
      </c>
      <c r="I11319">
        <v>87394734</v>
      </c>
    </row>
    <row r="11320" spans="1:9" x14ac:dyDescent="0.2">
      <c r="A11320" t="str">
        <f>"Kcnj14"</f>
        <v>Kcnj14</v>
      </c>
      <c r="B11320" t="s">
        <v>14</v>
      </c>
      <c r="C11320" t="s">
        <v>33</v>
      </c>
      <c r="D11320" t="s">
        <v>11</v>
      </c>
      <c r="E11320" t="s">
        <v>12</v>
      </c>
      <c r="F11320">
        <v>45824715</v>
      </c>
      <c r="G11320">
        <v>45824740</v>
      </c>
      <c r="H11320">
        <v>45824773</v>
      </c>
      <c r="I11320">
        <v>45824786</v>
      </c>
    </row>
    <row r="11321" spans="1:9" x14ac:dyDescent="0.2">
      <c r="A11321" t="str">
        <f>"Kcnj15"</f>
        <v>Kcnj15</v>
      </c>
      <c r="B11321" t="s">
        <v>14</v>
      </c>
      <c r="C11321" t="s">
        <v>31</v>
      </c>
      <c r="D11321" t="s">
        <v>17</v>
      </c>
      <c r="E11321" t="s">
        <v>12</v>
      </c>
      <c r="F11321">
        <v>95257646</v>
      </c>
      <c r="G11321">
        <v>95257685</v>
      </c>
      <c r="H11321">
        <v>95258155</v>
      </c>
      <c r="I11321">
        <v>95258205</v>
      </c>
    </row>
    <row r="11322" spans="1:9" x14ac:dyDescent="0.2">
      <c r="A11322" t="str">
        <f>"Kcnj16"</f>
        <v>Kcnj16</v>
      </c>
      <c r="B11322" t="s">
        <v>14</v>
      </c>
      <c r="C11322" t="s">
        <v>27</v>
      </c>
      <c r="D11322" t="s">
        <v>17</v>
      </c>
      <c r="E11322" t="s">
        <v>12</v>
      </c>
      <c r="F11322">
        <v>110968016</v>
      </c>
      <c r="G11322">
        <v>110968042</v>
      </c>
      <c r="H11322">
        <v>110968056</v>
      </c>
      <c r="I11322">
        <v>110968070</v>
      </c>
    </row>
    <row r="11323" spans="1:9" x14ac:dyDescent="0.2">
      <c r="A11323" t="str">
        <f>"Kcnj2"</f>
        <v>Kcnj2</v>
      </c>
      <c r="B11323" t="s">
        <v>14</v>
      </c>
      <c r="C11323" t="s">
        <v>27</v>
      </c>
      <c r="D11323" t="s">
        <v>17</v>
      </c>
      <c r="E11323" t="s">
        <v>12</v>
      </c>
      <c r="F11323">
        <v>111066154</v>
      </c>
      <c r="G11323">
        <v>111066174</v>
      </c>
      <c r="H11323">
        <v>111066183</v>
      </c>
      <c r="I11323">
        <v>111066188</v>
      </c>
    </row>
    <row r="11324" spans="1:9" x14ac:dyDescent="0.2">
      <c r="A11324" t="str">
        <f>"Kcnj3"</f>
        <v>Kcnj3</v>
      </c>
      <c r="B11324" t="s">
        <v>9</v>
      </c>
      <c r="C11324" t="s">
        <v>26</v>
      </c>
      <c r="D11324" t="s">
        <v>17</v>
      </c>
      <c r="E11324" t="s">
        <v>12</v>
      </c>
      <c r="F11324">
        <v>55437100</v>
      </c>
      <c r="G11324">
        <v>55437182</v>
      </c>
      <c r="H11324">
        <v>55437100</v>
      </c>
      <c r="I11324">
        <v>55437182</v>
      </c>
    </row>
    <row r="11325" spans="1:9" x14ac:dyDescent="0.2">
      <c r="A11325" t="str">
        <f>"Kcnj3"</f>
        <v>Kcnj3</v>
      </c>
      <c r="B11325" t="s">
        <v>13</v>
      </c>
      <c r="C11325" t="s">
        <v>26</v>
      </c>
      <c r="D11325" t="s">
        <v>17</v>
      </c>
      <c r="E11325" t="s">
        <v>12</v>
      </c>
      <c r="F11325">
        <v>55435918</v>
      </c>
      <c r="G11325">
        <v>55435949</v>
      </c>
      <c r="H11325">
        <v>55435918</v>
      </c>
      <c r="I11325">
        <v>55435949</v>
      </c>
    </row>
    <row r="11326" spans="1:9" x14ac:dyDescent="0.2">
      <c r="A11326" t="str">
        <f>"Kcnj4"</f>
        <v>Kcnj4</v>
      </c>
      <c r="B11326" t="s">
        <v>14</v>
      </c>
      <c r="C11326" t="s">
        <v>25</v>
      </c>
      <c r="D11326" t="s">
        <v>11</v>
      </c>
      <c r="E11326" t="s">
        <v>12</v>
      </c>
      <c r="F11326">
        <v>79505700</v>
      </c>
      <c r="G11326">
        <v>79505711</v>
      </c>
      <c r="H11326">
        <v>79505700</v>
      </c>
      <c r="I11326">
        <v>79505711</v>
      </c>
    </row>
    <row r="11327" spans="1:9" x14ac:dyDescent="0.2">
      <c r="A11327" t="str">
        <f>"Kcnj5"</f>
        <v>Kcnj5</v>
      </c>
      <c r="B11327" t="s">
        <v>14</v>
      </c>
      <c r="C11327" t="s">
        <v>24</v>
      </c>
      <c r="D11327" t="s">
        <v>11</v>
      </c>
      <c r="E11327" t="s">
        <v>12</v>
      </c>
      <c r="F11327">
        <v>32344308</v>
      </c>
      <c r="G11327">
        <v>32344352</v>
      </c>
      <c r="H11327">
        <v>32344260</v>
      </c>
      <c r="I11327">
        <v>32344292</v>
      </c>
    </row>
    <row r="11328" spans="1:9" x14ac:dyDescent="0.2">
      <c r="A11328" t="str">
        <f>"Kcnj6"</f>
        <v>Kcnj6</v>
      </c>
      <c r="B11328" t="s">
        <v>14</v>
      </c>
      <c r="C11328" t="s">
        <v>31</v>
      </c>
      <c r="D11328" t="s">
        <v>11</v>
      </c>
      <c r="E11328" t="s">
        <v>12</v>
      </c>
      <c r="F11328">
        <v>94997374</v>
      </c>
      <c r="G11328">
        <v>94997437</v>
      </c>
      <c r="H11328">
        <v>94997653</v>
      </c>
      <c r="I11328">
        <v>94997704</v>
      </c>
    </row>
    <row r="11329" spans="1:9" x14ac:dyDescent="0.2">
      <c r="A11329" t="str">
        <f>"Kcnj8"</f>
        <v>Kcnj8</v>
      </c>
      <c r="B11329" t="s">
        <v>14</v>
      </c>
      <c r="C11329" t="s">
        <v>32</v>
      </c>
      <c r="D11329" t="s">
        <v>11</v>
      </c>
      <c r="E11329" t="s">
        <v>12</v>
      </c>
      <c r="F11329">
        <v>142571303</v>
      </c>
      <c r="G11329">
        <v>142571353</v>
      </c>
      <c r="H11329">
        <v>142571303</v>
      </c>
      <c r="I11329">
        <v>142571353</v>
      </c>
    </row>
    <row r="11330" spans="1:9" x14ac:dyDescent="0.2">
      <c r="A11330" t="str">
        <f>"Kcnj9"</f>
        <v>Kcnj9</v>
      </c>
      <c r="B11330" t="s">
        <v>14</v>
      </c>
      <c r="C11330" t="s">
        <v>19</v>
      </c>
      <c r="D11330" t="s">
        <v>11</v>
      </c>
      <c r="E11330" t="s">
        <v>12</v>
      </c>
      <c r="F11330">
        <v>172329261</v>
      </c>
      <c r="G11330">
        <v>172329307</v>
      </c>
      <c r="H11330">
        <v>172329317</v>
      </c>
      <c r="I11330">
        <v>172329326</v>
      </c>
    </row>
    <row r="11331" spans="1:9" x14ac:dyDescent="0.2">
      <c r="A11331" t="str">
        <f>"Kcnk1"</f>
        <v>Kcnk1</v>
      </c>
      <c r="B11331" t="s">
        <v>14</v>
      </c>
      <c r="C11331" t="s">
        <v>30</v>
      </c>
      <c r="D11331" t="s">
        <v>17</v>
      </c>
      <c r="E11331" t="s">
        <v>12</v>
      </c>
      <c r="F11331">
        <v>125995407</v>
      </c>
      <c r="G11331">
        <v>125995473</v>
      </c>
      <c r="H11331">
        <v>125995407</v>
      </c>
      <c r="I11331">
        <v>125995473</v>
      </c>
    </row>
    <row r="11332" spans="1:9" x14ac:dyDescent="0.2">
      <c r="A11332" t="str">
        <f>"Kcnk10"</f>
        <v>Kcnk10</v>
      </c>
      <c r="B11332" t="s">
        <v>14</v>
      </c>
      <c r="C11332" t="s">
        <v>16</v>
      </c>
      <c r="D11332" t="s">
        <v>11</v>
      </c>
      <c r="E11332" t="s">
        <v>12</v>
      </c>
      <c r="F11332">
        <v>98574748</v>
      </c>
      <c r="G11332">
        <v>98574775</v>
      </c>
      <c r="H11332">
        <v>98574685</v>
      </c>
      <c r="I11332">
        <v>98574719</v>
      </c>
    </row>
    <row r="11333" spans="1:9" x14ac:dyDescent="0.2">
      <c r="A11333" t="str">
        <f>"Kcnk12"</f>
        <v>Kcnk12</v>
      </c>
      <c r="B11333" t="s">
        <v>14</v>
      </c>
      <c r="C11333" t="s">
        <v>28</v>
      </c>
      <c r="D11333" t="s">
        <v>11</v>
      </c>
      <c r="E11333" t="s">
        <v>12</v>
      </c>
      <c r="F11333">
        <v>87798055</v>
      </c>
      <c r="G11333">
        <v>87798090</v>
      </c>
      <c r="H11333">
        <v>87798029</v>
      </c>
      <c r="I11333">
        <v>87798049</v>
      </c>
    </row>
    <row r="11334" spans="1:9" x14ac:dyDescent="0.2">
      <c r="A11334" t="str">
        <f>"Kcnk13"</f>
        <v>Kcnk13</v>
      </c>
      <c r="B11334" t="s">
        <v>14</v>
      </c>
      <c r="C11334" t="s">
        <v>16</v>
      </c>
      <c r="D11334" t="s">
        <v>17</v>
      </c>
      <c r="E11334" t="s">
        <v>12</v>
      </c>
      <c r="F11334">
        <v>99964670</v>
      </c>
      <c r="G11334">
        <v>99964697</v>
      </c>
      <c r="H11334">
        <v>99964513</v>
      </c>
      <c r="I11334">
        <v>99964524</v>
      </c>
    </row>
    <row r="11335" spans="1:9" x14ac:dyDescent="0.2">
      <c r="A11335" t="str">
        <f>"Kcnk15"</f>
        <v>Kcnk15</v>
      </c>
      <c r="B11335" t="s">
        <v>14</v>
      </c>
      <c r="C11335" t="s">
        <v>26</v>
      </c>
      <c r="D11335" t="s">
        <v>17</v>
      </c>
      <c r="E11335" t="s">
        <v>12</v>
      </c>
      <c r="F11335">
        <v>163853782</v>
      </c>
      <c r="G11335">
        <v>163853786</v>
      </c>
      <c r="H11335">
        <v>163853712</v>
      </c>
      <c r="I11335">
        <v>163853715</v>
      </c>
    </row>
    <row r="11336" spans="1:9" x14ac:dyDescent="0.2">
      <c r="A11336" t="str">
        <f>"Kcnk16"</f>
        <v>Kcnk16</v>
      </c>
      <c r="B11336" t="s">
        <v>14</v>
      </c>
      <c r="C11336" t="s">
        <v>41</v>
      </c>
      <c r="D11336" t="s">
        <v>11</v>
      </c>
      <c r="E11336" t="s">
        <v>12</v>
      </c>
      <c r="F11336">
        <v>20269173</v>
      </c>
      <c r="G11336">
        <v>20269244</v>
      </c>
      <c r="H11336">
        <v>20269173</v>
      </c>
      <c r="I11336">
        <v>20269244</v>
      </c>
    </row>
    <row r="11337" spans="1:9" x14ac:dyDescent="0.2">
      <c r="A11337" t="str">
        <f>"Kcnk18"</f>
        <v>Kcnk18</v>
      </c>
      <c r="B11337" t="s">
        <v>4212</v>
      </c>
      <c r="C11337" t="s">
        <v>10</v>
      </c>
      <c r="D11337" t="s">
        <v>17</v>
      </c>
      <c r="E11337" t="s">
        <v>20</v>
      </c>
      <c r="F11337">
        <v>59219647</v>
      </c>
      <c r="G11337">
        <v>59219647</v>
      </c>
      <c r="H11337">
        <v>59219647</v>
      </c>
      <c r="I11337">
        <v>59219647</v>
      </c>
    </row>
    <row r="11338" spans="1:9" x14ac:dyDescent="0.2">
      <c r="A11338" t="str">
        <f>"Kcnk2"</f>
        <v>Kcnk2</v>
      </c>
      <c r="B11338" t="s">
        <v>14</v>
      </c>
      <c r="C11338" t="s">
        <v>19</v>
      </c>
      <c r="D11338" t="s">
        <v>11</v>
      </c>
      <c r="E11338" t="s">
        <v>12</v>
      </c>
      <c r="F11338">
        <v>189343707</v>
      </c>
      <c r="G11338">
        <v>189343749</v>
      </c>
      <c r="H11338">
        <v>189343342</v>
      </c>
      <c r="I11338">
        <v>189343358</v>
      </c>
    </row>
    <row r="11339" spans="1:9" x14ac:dyDescent="0.2">
      <c r="A11339" t="str">
        <f>"Kcnk3"</f>
        <v>Kcnk3</v>
      </c>
      <c r="B11339" t="s">
        <v>14</v>
      </c>
      <c r="C11339" t="s">
        <v>46</v>
      </c>
      <c r="D11339" t="s">
        <v>17</v>
      </c>
      <c r="E11339" t="s">
        <v>12</v>
      </c>
      <c r="F11339">
        <v>30588078</v>
      </c>
      <c r="G11339">
        <v>30588171</v>
      </c>
      <c r="H11339">
        <v>30588190</v>
      </c>
      <c r="I11339">
        <v>30588220</v>
      </c>
    </row>
    <row r="11340" spans="1:9" x14ac:dyDescent="0.2">
      <c r="A11340" t="str">
        <f>"Kcnk4"</f>
        <v>Kcnk4</v>
      </c>
      <c r="B11340" t="s">
        <v>14</v>
      </c>
      <c r="C11340" t="s">
        <v>10</v>
      </c>
      <c r="D11340" t="s">
        <v>11</v>
      </c>
      <c r="E11340" t="s">
        <v>12</v>
      </c>
      <c r="F11340">
        <v>6934518</v>
      </c>
      <c r="G11340">
        <v>6934556</v>
      </c>
      <c r="H11340">
        <v>6934607</v>
      </c>
      <c r="I11340">
        <v>6934614</v>
      </c>
    </row>
    <row r="11341" spans="1:9" x14ac:dyDescent="0.2">
      <c r="A11341" t="str">
        <f>"Kcnk5"</f>
        <v>Kcnk5</v>
      </c>
      <c r="B11341" t="s">
        <v>14</v>
      </c>
      <c r="C11341" t="s">
        <v>41</v>
      </c>
      <c r="D11341" t="s">
        <v>11</v>
      </c>
      <c r="E11341" t="s">
        <v>12</v>
      </c>
      <c r="F11341">
        <v>20181773</v>
      </c>
      <c r="G11341">
        <v>20181790</v>
      </c>
      <c r="H11341">
        <v>20181808</v>
      </c>
      <c r="I11341">
        <v>20181809</v>
      </c>
    </row>
    <row r="11342" spans="1:9" x14ac:dyDescent="0.2">
      <c r="A11342" t="str">
        <f>"Kcnk6"</f>
        <v>Kcnk6</v>
      </c>
      <c r="B11342" t="s">
        <v>14</v>
      </c>
      <c r="C11342" t="s">
        <v>33</v>
      </c>
      <c r="D11342" t="s">
        <v>11</v>
      </c>
      <c r="E11342" t="s">
        <v>12</v>
      </c>
      <c r="F11342">
        <v>29232537</v>
      </c>
      <c r="G11342">
        <v>29232610</v>
      </c>
      <c r="H11342">
        <v>29232478</v>
      </c>
      <c r="I11342">
        <v>29232527</v>
      </c>
    </row>
    <row r="11343" spans="1:9" x14ac:dyDescent="0.2">
      <c r="A11343" t="str">
        <f>"Kcnk7"</f>
        <v>Kcnk7</v>
      </c>
      <c r="B11343" t="s">
        <v>14</v>
      </c>
      <c r="C11343" t="s">
        <v>10</v>
      </c>
      <c r="D11343" t="s">
        <v>17</v>
      </c>
      <c r="E11343" t="s">
        <v>12</v>
      </c>
      <c r="F11343">
        <v>5704437</v>
      </c>
      <c r="G11343">
        <v>5704468</v>
      </c>
      <c r="H11343">
        <v>5704437</v>
      </c>
      <c r="I11343">
        <v>5704468</v>
      </c>
    </row>
    <row r="11344" spans="1:9" x14ac:dyDescent="0.2">
      <c r="A11344" t="str">
        <f>"Kcnk9"</f>
        <v>Kcnk9</v>
      </c>
      <c r="B11344" t="s">
        <v>14</v>
      </c>
      <c r="C11344" t="s">
        <v>25</v>
      </c>
      <c r="D11344" t="s">
        <v>11</v>
      </c>
      <c r="E11344" t="s">
        <v>12</v>
      </c>
      <c r="F11344">
        <v>72546559</v>
      </c>
      <c r="G11344">
        <v>72546570</v>
      </c>
      <c r="H11344">
        <v>72546298</v>
      </c>
      <c r="I11344">
        <v>72546299</v>
      </c>
    </row>
    <row r="11345" spans="1:9" x14ac:dyDescent="0.2">
      <c r="A11345" t="str">
        <f>"Kcnma1"</f>
        <v>Kcnma1</v>
      </c>
      <c r="B11345" t="s">
        <v>4213</v>
      </c>
      <c r="C11345" t="s">
        <v>41</v>
      </c>
      <c r="D11345" t="s">
        <v>11</v>
      </c>
      <c r="E11345" t="s">
        <v>20</v>
      </c>
      <c r="F11345">
        <v>23803303</v>
      </c>
      <c r="G11345">
        <v>23803303</v>
      </c>
      <c r="H11345">
        <v>23803303</v>
      </c>
      <c r="I11345">
        <v>23803303</v>
      </c>
    </row>
    <row r="11346" spans="1:9" x14ac:dyDescent="0.2">
      <c r="A11346" t="str">
        <f>"Kcnmb1"</f>
        <v>Kcnmb1</v>
      </c>
      <c r="B11346" t="s">
        <v>14</v>
      </c>
      <c r="C11346" t="s">
        <v>27</v>
      </c>
      <c r="D11346" t="s">
        <v>17</v>
      </c>
      <c r="E11346" t="s">
        <v>12</v>
      </c>
      <c r="F11346">
        <v>33963281</v>
      </c>
      <c r="G11346">
        <v>33963297</v>
      </c>
      <c r="H11346">
        <v>33963281</v>
      </c>
      <c r="I11346">
        <v>33963297</v>
      </c>
    </row>
    <row r="11347" spans="1:9" x14ac:dyDescent="0.2">
      <c r="A11347" t="str">
        <f>"Kcnmb2"</f>
        <v>Kcnmb2</v>
      </c>
      <c r="B11347" t="s">
        <v>14</v>
      </c>
      <c r="C11347" t="s">
        <v>22</v>
      </c>
      <c r="D11347" t="s">
        <v>17</v>
      </c>
      <c r="E11347" t="s">
        <v>12</v>
      </c>
      <c r="F11347">
        <v>31902666</v>
      </c>
      <c r="G11347">
        <v>31902680</v>
      </c>
      <c r="H11347">
        <v>31902648</v>
      </c>
      <c r="I11347">
        <v>31902659</v>
      </c>
    </row>
    <row r="11348" spans="1:9" x14ac:dyDescent="0.2">
      <c r="A11348" t="str">
        <f>"Kcnmb3"</f>
        <v>Kcnmb3</v>
      </c>
      <c r="B11348" t="s">
        <v>4214</v>
      </c>
      <c r="C11348" t="s">
        <v>22</v>
      </c>
      <c r="D11348" t="s">
        <v>11</v>
      </c>
      <c r="E11348" t="s">
        <v>20</v>
      </c>
      <c r="F11348">
        <v>32491968</v>
      </c>
      <c r="G11348">
        <v>32491968</v>
      </c>
      <c r="H11348">
        <v>32491968</v>
      </c>
      <c r="I11348">
        <v>32491968</v>
      </c>
    </row>
    <row r="11349" spans="1:9" x14ac:dyDescent="0.2">
      <c r="A11349" t="str">
        <f>"Kcnmb4"</f>
        <v>Kcnmb4</v>
      </c>
      <c r="B11349" t="s">
        <v>14</v>
      </c>
      <c r="C11349" t="s">
        <v>15</v>
      </c>
      <c r="D11349" t="s">
        <v>11</v>
      </c>
      <c r="E11349" t="s">
        <v>12</v>
      </c>
      <c r="F11349">
        <v>116473875</v>
      </c>
      <c r="G11349">
        <v>116473929</v>
      </c>
      <c r="H11349">
        <v>116473418</v>
      </c>
      <c r="I11349">
        <v>116473514</v>
      </c>
    </row>
    <row r="11350" spans="1:9" x14ac:dyDescent="0.2">
      <c r="A11350" t="str">
        <f>"Kcnn1"</f>
        <v>Kcnn1</v>
      </c>
      <c r="B11350" t="s">
        <v>9</v>
      </c>
      <c r="C11350" t="s">
        <v>30</v>
      </c>
      <c r="D11350" t="s">
        <v>11</v>
      </c>
      <c r="E11350" t="s">
        <v>12</v>
      </c>
      <c r="F11350">
        <v>70863749</v>
      </c>
      <c r="G11350">
        <v>70863765</v>
      </c>
      <c r="H11350">
        <v>70863749</v>
      </c>
      <c r="I11350">
        <v>70863765</v>
      </c>
    </row>
    <row r="11351" spans="1:9" x14ac:dyDescent="0.2">
      <c r="A11351" t="str">
        <f>"Kcnn1"</f>
        <v>Kcnn1</v>
      </c>
      <c r="B11351" t="s">
        <v>13</v>
      </c>
      <c r="C11351" t="s">
        <v>30</v>
      </c>
      <c r="D11351" t="s">
        <v>11</v>
      </c>
      <c r="E11351" t="s">
        <v>12</v>
      </c>
      <c r="F11351">
        <v>70856991</v>
      </c>
      <c r="G11351">
        <v>70857007</v>
      </c>
      <c r="H11351">
        <v>70856991</v>
      </c>
      <c r="I11351">
        <v>70857007</v>
      </c>
    </row>
    <row r="11352" spans="1:9" x14ac:dyDescent="0.2">
      <c r="A11352" t="str">
        <f>"Kcnn2"</f>
        <v>Kcnn2</v>
      </c>
      <c r="B11352" t="s">
        <v>4215</v>
      </c>
      <c r="C11352" t="s">
        <v>43</v>
      </c>
      <c r="D11352" t="s">
        <v>17</v>
      </c>
      <c r="E11352" t="s">
        <v>35</v>
      </c>
      <c r="F11352">
        <v>45268853</v>
      </c>
      <c r="G11352">
        <v>45268864</v>
      </c>
      <c r="H11352">
        <v>45269105</v>
      </c>
      <c r="I11352">
        <v>45269113</v>
      </c>
    </row>
    <row r="11353" spans="1:9" x14ac:dyDescent="0.2">
      <c r="A11353" t="str">
        <f>"Kcnn3"</f>
        <v>Kcnn3</v>
      </c>
      <c r="B11353" t="s">
        <v>14</v>
      </c>
      <c r="C11353" t="s">
        <v>22</v>
      </c>
      <c r="D11353" t="s">
        <v>17</v>
      </c>
      <c r="E11353" t="s">
        <v>12</v>
      </c>
      <c r="F11353">
        <v>89520152</v>
      </c>
      <c r="G11353">
        <v>89520175</v>
      </c>
      <c r="H11353">
        <v>89520152</v>
      </c>
      <c r="I11353">
        <v>89520175</v>
      </c>
    </row>
    <row r="11354" spans="1:9" x14ac:dyDescent="0.2">
      <c r="A11354" t="str">
        <f>"Kcnn4"</f>
        <v>Kcnn4</v>
      </c>
      <c r="B11354" t="s">
        <v>14</v>
      </c>
      <c r="C11354" t="s">
        <v>33</v>
      </c>
      <c r="D11354" t="s">
        <v>17</v>
      </c>
      <c r="E11354" t="s">
        <v>12</v>
      </c>
      <c r="F11354">
        <v>24370255</v>
      </c>
      <c r="G11354">
        <v>24370312</v>
      </c>
      <c r="H11354">
        <v>24370316</v>
      </c>
      <c r="I11354">
        <v>24370332</v>
      </c>
    </row>
    <row r="11355" spans="1:9" x14ac:dyDescent="0.2">
      <c r="A11355" t="str">
        <f>"Kcnq1"</f>
        <v>Kcnq1</v>
      </c>
      <c r="B11355" t="s">
        <v>14</v>
      </c>
      <c r="C11355" t="s">
        <v>33</v>
      </c>
      <c r="D11355" t="s">
        <v>17</v>
      </c>
      <c r="E11355" t="s">
        <v>12</v>
      </c>
      <c r="F11355">
        <v>143107252</v>
      </c>
      <c r="G11355">
        <v>143107286</v>
      </c>
      <c r="H11355">
        <v>143107234</v>
      </c>
      <c r="I11355">
        <v>143107250</v>
      </c>
    </row>
    <row r="11356" spans="1:9" x14ac:dyDescent="0.2">
      <c r="A11356" t="str">
        <f>"Kcnq2"</f>
        <v>Kcnq2</v>
      </c>
      <c r="B11356" t="s">
        <v>14</v>
      </c>
      <c r="C11356" t="s">
        <v>26</v>
      </c>
      <c r="D11356" t="s">
        <v>11</v>
      </c>
      <c r="E11356" t="s">
        <v>12</v>
      </c>
      <c r="F11356">
        <v>181135220</v>
      </c>
      <c r="G11356">
        <v>181135304</v>
      </c>
      <c r="H11356">
        <v>181135198</v>
      </c>
      <c r="I11356">
        <v>181135213</v>
      </c>
    </row>
    <row r="11357" spans="1:9" x14ac:dyDescent="0.2">
      <c r="A11357" t="str">
        <f>"Kcnq3"</f>
        <v>Kcnq3</v>
      </c>
      <c r="B11357" t="s">
        <v>14</v>
      </c>
      <c r="C11357" t="s">
        <v>25</v>
      </c>
      <c r="D11357" t="s">
        <v>11</v>
      </c>
      <c r="E11357" t="s">
        <v>12</v>
      </c>
      <c r="F11357">
        <v>66286596</v>
      </c>
      <c r="G11357">
        <v>66286661</v>
      </c>
      <c r="H11357">
        <v>66286596</v>
      </c>
      <c r="I11357">
        <v>66286661</v>
      </c>
    </row>
    <row r="11358" spans="1:9" x14ac:dyDescent="0.2">
      <c r="A11358" t="str">
        <f>"Kcnq4"</f>
        <v>Kcnq4</v>
      </c>
      <c r="B11358" t="s">
        <v>14</v>
      </c>
      <c r="C11358" t="s">
        <v>23</v>
      </c>
      <c r="D11358" t="s">
        <v>11</v>
      </c>
      <c r="E11358" t="s">
        <v>12</v>
      </c>
      <c r="F11358">
        <v>120747444</v>
      </c>
      <c r="G11358">
        <v>120747464</v>
      </c>
      <c r="H11358">
        <v>120747444</v>
      </c>
      <c r="I11358">
        <v>120747464</v>
      </c>
    </row>
    <row r="11359" spans="1:9" x14ac:dyDescent="0.2">
      <c r="A11359" t="str">
        <f>"Kcnq5"</f>
        <v>Kcnq5</v>
      </c>
      <c r="B11359" t="s">
        <v>14</v>
      </c>
      <c r="C11359" t="s">
        <v>19</v>
      </c>
      <c r="D11359" t="s">
        <v>11</v>
      </c>
      <c r="E11359" t="s">
        <v>12</v>
      </c>
      <c r="F11359">
        <v>21962334</v>
      </c>
      <c r="G11359">
        <v>21962392</v>
      </c>
      <c r="H11359">
        <v>21961521</v>
      </c>
      <c r="I11359">
        <v>21961560</v>
      </c>
    </row>
    <row r="11360" spans="1:9" x14ac:dyDescent="0.2">
      <c r="A11360" t="str">
        <f>"Kcnrg"</f>
        <v>Kcnrg</v>
      </c>
      <c r="B11360" t="s">
        <v>14</v>
      </c>
      <c r="C11360" t="s">
        <v>41</v>
      </c>
      <c r="D11360" t="s">
        <v>17</v>
      </c>
      <c r="E11360" t="s">
        <v>12</v>
      </c>
      <c r="F11360">
        <v>61607455</v>
      </c>
      <c r="G11360">
        <v>61607458</v>
      </c>
      <c r="H11360">
        <v>61607405</v>
      </c>
      <c r="I11360">
        <v>61607425</v>
      </c>
    </row>
    <row r="11361" spans="1:9" x14ac:dyDescent="0.2">
      <c r="A11361" t="str">
        <f>"Kcns1"</f>
        <v>Kcns1</v>
      </c>
      <c r="B11361" t="s">
        <v>14</v>
      </c>
      <c r="C11361" t="s">
        <v>26</v>
      </c>
      <c r="D11361" t="s">
        <v>11</v>
      </c>
      <c r="E11361" t="s">
        <v>12</v>
      </c>
      <c r="F11361">
        <v>164171112</v>
      </c>
      <c r="G11361">
        <v>164171121</v>
      </c>
      <c r="H11361">
        <v>164171082</v>
      </c>
      <c r="I11361">
        <v>164171090</v>
      </c>
    </row>
    <row r="11362" spans="1:9" x14ac:dyDescent="0.2">
      <c r="A11362" t="str">
        <f>"Kcns2"</f>
        <v>Kcns2</v>
      </c>
      <c r="B11362" t="s">
        <v>14</v>
      </c>
      <c r="C11362" t="s">
        <v>25</v>
      </c>
      <c r="D11362" t="s">
        <v>17</v>
      </c>
      <c r="E11362" t="s">
        <v>12</v>
      </c>
      <c r="F11362">
        <v>34837709</v>
      </c>
      <c r="G11362">
        <v>34837741</v>
      </c>
      <c r="H11362">
        <v>34837609</v>
      </c>
      <c r="I11362">
        <v>34837654</v>
      </c>
    </row>
    <row r="11363" spans="1:9" x14ac:dyDescent="0.2">
      <c r="A11363" t="str">
        <f>"Kcns3"</f>
        <v>Kcns3</v>
      </c>
      <c r="B11363" t="s">
        <v>14</v>
      </c>
      <c r="C11363" t="s">
        <v>16</v>
      </c>
      <c r="D11363" t="s">
        <v>11</v>
      </c>
      <c r="E11363" t="s">
        <v>12</v>
      </c>
      <c r="F11363">
        <v>11150305</v>
      </c>
      <c r="G11363">
        <v>11150348</v>
      </c>
      <c r="H11363">
        <v>11150369</v>
      </c>
      <c r="I11363">
        <v>11150380</v>
      </c>
    </row>
    <row r="11364" spans="1:9" x14ac:dyDescent="0.2">
      <c r="A11364" t="str">
        <f>"Kcnt1"</f>
        <v>Kcnt1</v>
      </c>
      <c r="B11364" t="s">
        <v>9</v>
      </c>
      <c r="C11364" t="s">
        <v>26</v>
      </c>
      <c r="D11364" t="s">
        <v>17</v>
      </c>
      <c r="E11364" t="s">
        <v>12</v>
      </c>
      <c r="F11364">
        <v>25877847</v>
      </c>
      <c r="G11364">
        <v>25877883</v>
      </c>
      <c r="H11364">
        <v>25877847</v>
      </c>
      <c r="I11364">
        <v>25877883</v>
      </c>
    </row>
    <row r="11365" spans="1:9" x14ac:dyDescent="0.2">
      <c r="A11365" t="str">
        <f>"Kcnt1"</f>
        <v>Kcnt1</v>
      </c>
      <c r="B11365" t="s">
        <v>13</v>
      </c>
      <c r="C11365" t="s">
        <v>26</v>
      </c>
      <c r="D11365" t="s">
        <v>17</v>
      </c>
      <c r="E11365" t="s">
        <v>12</v>
      </c>
      <c r="F11365">
        <v>25863816</v>
      </c>
      <c r="G11365">
        <v>25863860</v>
      </c>
      <c r="H11365">
        <v>25863816</v>
      </c>
      <c r="I11365">
        <v>25863860</v>
      </c>
    </row>
    <row r="11366" spans="1:9" x14ac:dyDescent="0.2">
      <c r="A11366" t="str">
        <f>"Kcnt2"</f>
        <v>Kcnt2</v>
      </c>
      <c r="B11366" t="s">
        <v>14</v>
      </c>
      <c r="C11366" t="s">
        <v>19</v>
      </c>
      <c r="D11366" t="s">
        <v>17</v>
      </c>
      <c r="E11366" t="s">
        <v>12</v>
      </c>
      <c r="F11366">
        <v>140245710</v>
      </c>
      <c r="G11366">
        <v>140245732</v>
      </c>
      <c r="H11366">
        <v>140246125</v>
      </c>
      <c r="I11366">
        <v>140246188</v>
      </c>
    </row>
    <row r="11367" spans="1:9" x14ac:dyDescent="0.2">
      <c r="A11367" t="str">
        <f>"Kcnu1"</f>
        <v>Kcnu1</v>
      </c>
      <c r="B11367" t="s">
        <v>4216</v>
      </c>
      <c r="C11367" t="s">
        <v>30</v>
      </c>
      <c r="D11367" t="s">
        <v>17</v>
      </c>
      <c r="E11367" t="s">
        <v>35</v>
      </c>
      <c r="F11367">
        <v>25849610</v>
      </c>
      <c r="G11367">
        <v>25849617</v>
      </c>
      <c r="H11367">
        <v>25849672</v>
      </c>
      <c r="I11367">
        <v>25849681</v>
      </c>
    </row>
    <row r="11368" spans="1:9" x14ac:dyDescent="0.2">
      <c r="A11368" t="str">
        <f>"Kcnv1"</f>
        <v>Kcnv1</v>
      </c>
      <c r="B11368" t="s">
        <v>14</v>
      </c>
      <c r="C11368" t="s">
        <v>25</v>
      </c>
      <c r="D11368" t="s">
        <v>11</v>
      </c>
      <c r="E11368" t="s">
        <v>12</v>
      </c>
      <c r="F11368">
        <v>45114722</v>
      </c>
      <c r="G11368">
        <v>45114765</v>
      </c>
      <c r="H11368">
        <v>45114896</v>
      </c>
      <c r="I11368">
        <v>45114908</v>
      </c>
    </row>
    <row r="11369" spans="1:9" x14ac:dyDescent="0.2">
      <c r="A11369" t="str">
        <f>"Kcnv2"</f>
        <v>Kcnv2</v>
      </c>
      <c r="B11369" t="s">
        <v>14</v>
      </c>
      <c r="C11369" t="s">
        <v>10</v>
      </c>
      <c r="D11369" t="s">
        <v>17</v>
      </c>
      <c r="E11369" t="s">
        <v>12</v>
      </c>
      <c r="F11369">
        <v>27322539</v>
      </c>
      <c r="G11369">
        <v>27322592</v>
      </c>
      <c r="H11369">
        <v>27322518</v>
      </c>
      <c r="I11369">
        <v>27322532</v>
      </c>
    </row>
    <row r="11370" spans="1:9" x14ac:dyDescent="0.2">
      <c r="A11370" t="str">
        <f>"Kcp"</f>
        <v>Kcp</v>
      </c>
      <c r="B11370" t="s">
        <v>14</v>
      </c>
      <c r="C11370" t="s">
        <v>32</v>
      </c>
      <c r="D11370" t="s">
        <v>11</v>
      </c>
      <c r="E11370" t="s">
        <v>12</v>
      </c>
      <c r="F11370">
        <v>29507946</v>
      </c>
      <c r="G11370">
        <v>29507974</v>
      </c>
      <c r="H11370">
        <v>29507979</v>
      </c>
      <c r="I11370">
        <v>29507992</v>
      </c>
    </row>
    <row r="11371" spans="1:9" x14ac:dyDescent="0.2">
      <c r="A11371" t="str">
        <f>"Kctd1"</f>
        <v>Kctd1</v>
      </c>
      <c r="B11371" t="s">
        <v>14</v>
      </c>
      <c r="C11371" t="s">
        <v>43</v>
      </c>
      <c r="D11371" t="s">
        <v>11</v>
      </c>
      <c r="E11371" t="s">
        <v>12</v>
      </c>
      <c r="F11371">
        <v>15063560</v>
      </c>
      <c r="G11371">
        <v>15063617</v>
      </c>
      <c r="H11371">
        <v>15063560</v>
      </c>
      <c r="I11371">
        <v>15063617</v>
      </c>
    </row>
    <row r="11372" spans="1:9" x14ac:dyDescent="0.2">
      <c r="A11372" t="str">
        <f>"Kctd10"</f>
        <v>Kctd10</v>
      </c>
      <c r="B11372" t="s">
        <v>14</v>
      </c>
      <c r="C11372" t="s">
        <v>46</v>
      </c>
      <c r="D11372" t="s">
        <v>11</v>
      </c>
      <c r="E11372" t="s">
        <v>12</v>
      </c>
      <c r="F11372">
        <v>114380459</v>
      </c>
      <c r="G11372">
        <v>114380487</v>
      </c>
      <c r="H11372">
        <v>114380505</v>
      </c>
      <c r="I11372">
        <v>114380520</v>
      </c>
    </row>
    <row r="11373" spans="1:9" x14ac:dyDescent="0.2">
      <c r="A11373" t="str">
        <f>"Kctd11"</f>
        <v>Kctd11</v>
      </c>
      <c r="B11373" t="s">
        <v>14</v>
      </c>
      <c r="C11373" t="s">
        <v>27</v>
      </c>
      <c r="D11373" t="s">
        <v>11</v>
      </c>
      <c r="E11373" t="s">
        <v>12</v>
      </c>
      <c r="F11373">
        <v>69880866</v>
      </c>
      <c r="G11373">
        <v>69880937</v>
      </c>
      <c r="H11373">
        <v>69880941</v>
      </c>
      <c r="I11373">
        <v>69880963</v>
      </c>
    </row>
    <row r="11374" spans="1:9" x14ac:dyDescent="0.2">
      <c r="A11374" t="str">
        <f>"Kctd12b"</f>
        <v>Kctd12b</v>
      </c>
      <c r="B11374" t="s">
        <v>14</v>
      </c>
      <c r="C11374" t="s">
        <v>37</v>
      </c>
      <c r="D11374" t="s">
        <v>11</v>
      </c>
      <c r="E11374" t="s">
        <v>12</v>
      </c>
      <c r="F11374">
        <v>153696195</v>
      </c>
      <c r="G11374">
        <v>153696258</v>
      </c>
      <c r="H11374">
        <v>153696195</v>
      </c>
      <c r="I11374">
        <v>153696258</v>
      </c>
    </row>
    <row r="11375" spans="1:9" x14ac:dyDescent="0.2">
      <c r="A11375" t="str">
        <f>"Kctd13"</f>
        <v>Kctd13</v>
      </c>
      <c r="B11375" t="s">
        <v>9</v>
      </c>
      <c r="C11375" t="s">
        <v>33</v>
      </c>
      <c r="D11375" t="s">
        <v>17</v>
      </c>
      <c r="E11375" t="s">
        <v>12</v>
      </c>
      <c r="F11375">
        <v>126928844</v>
      </c>
      <c r="G11375">
        <v>126928899</v>
      </c>
      <c r="H11375">
        <v>126928844</v>
      </c>
      <c r="I11375">
        <v>126928899</v>
      </c>
    </row>
    <row r="11376" spans="1:9" x14ac:dyDescent="0.2">
      <c r="A11376" t="str">
        <f>"Kctd13"</f>
        <v>Kctd13</v>
      </c>
      <c r="B11376" t="s">
        <v>13</v>
      </c>
      <c r="C11376" t="s">
        <v>33</v>
      </c>
      <c r="D11376" t="s">
        <v>17</v>
      </c>
      <c r="E11376" t="s">
        <v>12</v>
      </c>
      <c r="F11376">
        <v>126942037</v>
      </c>
      <c r="G11376">
        <v>126942053</v>
      </c>
      <c r="H11376">
        <v>126942037</v>
      </c>
      <c r="I11376">
        <v>126942053</v>
      </c>
    </row>
    <row r="11377" spans="1:9" x14ac:dyDescent="0.2">
      <c r="A11377" t="str">
        <f>"Kctd14"</f>
        <v>Kctd14</v>
      </c>
      <c r="B11377" t="s">
        <v>9</v>
      </c>
      <c r="C11377" t="s">
        <v>33</v>
      </c>
      <c r="D11377" t="s">
        <v>17</v>
      </c>
      <c r="E11377" t="s">
        <v>12</v>
      </c>
      <c r="F11377">
        <v>97453235</v>
      </c>
      <c r="G11377">
        <v>97453303</v>
      </c>
      <c r="H11377">
        <v>97453235</v>
      </c>
      <c r="I11377">
        <v>97453303</v>
      </c>
    </row>
    <row r="11378" spans="1:9" x14ac:dyDescent="0.2">
      <c r="A11378" t="str">
        <f>"Kctd14"</f>
        <v>Kctd14</v>
      </c>
      <c r="B11378" t="s">
        <v>13</v>
      </c>
      <c r="C11378" t="s">
        <v>33</v>
      </c>
      <c r="D11378" t="s">
        <v>17</v>
      </c>
      <c r="E11378" t="s">
        <v>12</v>
      </c>
      <c r="F11378">
        <v>97451316</v>
      </c>
      <c r="G11378">
        <v>97451331</v>
      </c>
      <c r="H11378">
        <v>97451316</v>
      </c>
      <c r="I11378">
        <v>97451331</v>
      </c>
    </row>
    <row r="11379" spans="1:9" x14ac:dyDescent="0.2">
      <c r="A11379" t="str">
        <f>"Kctd15"</f>
        <v>Kctd15</v>
      </c>
      <c r="B11379" t="s">
        <v>9</v>
      </c>
      <c r="C11379" t="s">
        <v>33</v>
      </c>
      <c r="D11379" t="s">
        <v>11</v>
      </c>
      <c r="E11379" t="s">
        <v>12</v>
      </c>
      <c r="F11379">
        <v>34654342</v>
      </c>
      <c r="G11379">
        <v>34654393</v>
      </c>
      <c r="H11379">
        <v>34654342</v>
      </c>
      <c r="I11379">
        <v>34654393</v>
      </c>
    </row>
    <row r="11380" spans="1:9" x14ac:dyDescent="0.2">
      <c r="A11380" t="str">
        <f>"Kctd15"</f>
        <v>Kctd15</v>
      </c>
      <c r="B11380" t="s">
        <v>13</v>
      </c>
      <c r="C11380" t="s">
        <v>33</v>
      </c>
      <c r="D11380" t="s">
        <v>11</v>
      </c>
      <c r="E11380" t="s">
        <v>12</v>
      </c>
      <c r="F11380">
        <v>34655500</v>
      </c>
      <c r="G11380">
        <v>34655515</v>
      </c>
      <c r="H11380">
        <v>34655500</v>
      </c>
      <c r="I11380">
        <v>34655515</v>
      </c>
    </row>
    <row r="11381" spans="1:9" x14ac:dyDescent="0.2">
      <c r="A11381" t="str">
        <f>"Kctd16"</f>
        <v>Kctd16</v>
      </c>
      <c r="B11381" t="s">
        <v>4217</v>
      </c>
      <c r="C11381" t="s">
        <v>43</v>
      </c>
      <c r="D11381" t="s">
        <v>17</v>
      </c>
      <c r="E11381" t="s">
        <v>20</v>
      </c>
      <c r="F11381">
        <v>40258360</v>
      </c>
      <c r="G11381">
        <v>40258360</v>
      </c>
      <c r="H11381">
        <v>40258360</v>
      </c>
      <c r="I11381">
        <v>40258360</v>
      </c>
    </row>
    <row r="11382" spans="1:9" x14ac:dyDescent="0.2">
      <c r="A11382" t="str">
        <f>"Kctd17"</f>
        <v>Kctd17</v>
      </c>
      <c r="B11382" t="s">
        <v>14</v>
      </c>
      <c r="C11382" t="s">
        <v>25</v>
      </c>
      <c r="D11382" t="s">
        <v>17</v>
      </c>
      <c r="E11382" t="s">
        <v>12</v>
      </c>
      <c r="F11382">
        <v>78428650</v>
      </c>
      <c r="G11382">
        <v>78428671</v>
      </c>
      <c r="H11382">
        <v>78428625</v>
      </c>
      <c r="I11382">
        <v>78428636</v>
      </c>
    </row>
    <row r="11383" spans="1:9" x14ac:dyDescent="0.2">
      <c r="A11383" t="str">
        <f>"Kctd18"</f>
        <v>Kctd18</v>
      </c>
      <c r="B11383" t="s">
        <v>14</v>
      </c>
      <c r="C11383" t="s">
        <v>19</v>
      </c>
      <c r="D11383" t="s">
        <v>11</v>
      </c>
      <c r="E11383" t="s">
        <v>12</v>
      </c>
      <c r="F11383">
        <v>57970032</v>
      </c>
      <c r="G11383">
        <v>57970065</v>
      </c>
      <c r="H11383">
        <v>57970067</v>
      </c>
      <c r="I11383">
        <v>57970094</v>
      </c>
    </row>
    <row r="11384" spans="1:9" x14ac:dyDescent="0.2">
      <c r="A11384" t="str">
        <f>"Kctd19"</f>
        <v>Kctd19</v>
      </c>
      <c r="B11384" t="s">
        <v>14</v>
      </c>
      <c r="C11384" t="s">
        <v>30</v>
      </c>
      <c r="D11384" t="s">
        <v>11</v>
      </c>
      <c r="E11384" t="s">
        <v>12</v>
      </c>
      <c r="F11384">
        <v>105413473</v>
      </c>
      <c r="G11384">
        <v>105413526</v>
      </c>
      <c r="H11384">
        <v>105413459</v>
      </c>
      <c r="I11384">
        <v>105413465</v>
      </c>
    </row>
    <row r="11385" spans="1:9" x14ac:dyDescent="0.2">
      <c r="A11385" t="str">
        <f>"Kctd2"</f>
        <v>Kctd2</v>
      </c>
      <c r="B11385" t="s">
        <v>14</v>
      </c>
      <c r="C11385" t="s">
        <v>27</v>
      </c>
      <c r="D11385" t="s">
        <v>17</v>
      </c>
      <c r="E11385" t="s">
        <v>12</v>
      </c>
      <c r="F11385">
        <v>115420138</v>
      </c>
      <c r="G11385">
        <v>115420164</v>
      </c>
      <c r="H11385">
        <v>115420059</v>
      </c>
      <c r="I11385">
        <v>115420119</v>
      </c>
    </row>
    <row r="11386" spans="1:9" x14ac:dyDescent="0.2">
      <c r="A11386" t="str">
        <f>"Kctd20"</f>
        <v>Kctd20</v>
      </c>
      <c r="B11386" t="s">
        <v>14</v>
      </c>
      <c r="C11386" t="s">
        <v>28</v>
      </c>
      <c r="D11386" t="s">
        <v>17</v>
      </c>
      <c r="E11386" t="s">
        <v>12</v>
      </c>
      <c r="F11386">
        <v>28952425</v>
      </c>
      <c r="G11386">
        <v>28952532</v>
      </c>
      <c r="H11386">
        <v>28952677</v>
      </c>
      <c r="I11386">
        <v>28952705</v>
      </c>
    </row>
    <row r="11387" spans="1:9" x14ac:dyDescent="0.2">
      <c r="A11387" t="str">
        <f>"Kctd21"</f>
        <v>Kctd21</v>
      </c>
      <c r="B11387" t="s">
        <v>14</v>
      </c>
      <c r="C11387" t="s">
        <v>33</v>
      </c>
      <c r="D11387" t="s">
        <v>17</v>
      </c>
      <c r="E11387" t="s">
        <v>12</v>
      </c>
      <c r="F11387">
        <v>97332311</v>
      </c>
      <c r="G11387">
        <v>97332331</v>
      </c>
      <c r="H11387">
        <v>97332311</v>
      </c>
      <c r="I11387">
        <v>97332331</v>
      </c>
    </row>
    <row r="11388" spans="1:9" x14ac:dyDescent="0.2">
      <c r="A11388" t="str">
        <f>"Kctd3"</f>
        <v>Kctd3</v>
      </c>
      <c r="B11388" t="s">
        <v>14</v>
      </c>
      <c r="C11388" t="s">
        <v>19</v>
      </c>
      <c r="D11388" t="s">
        <v>11</v>
      </c>
      <c r="E11388" t="s">
        <v>12</v>
      </c>
      <c r="F11388">
        <v>189007829</v>
      </c>
      <c r="G11388">
        <v>189007852</v>
      </c>
      <c r="H11388">
        <v>189007856</v>
      </c>
      <c r="I11388">
        <v>189007869</v>
      </c>
    </row>
    <row r="11389" spans="1:9" x14ac:dyDescent="0.2">
      <c r="A11389" t="str">
        <f>"Kctd4"</f>
        <v>Kctd4</v>
      </c>
      <c r="B11389" t="s">
        <v>14</v>
      </c>
      <c r="C11389" t="s">
        <v>41</v>
      </c>
      <c r="D11389" t="s">
        <v>17</v>
      </c>
      <c r="E11389" t="s">
        <v>12</v>
      </c>
      <c r="F11389">
        <v>75955050</v>
      </c>
      <c r="G11389">
        <v>75955063</v>
      </c>
      <c r="H11389">
        <v>75955011</v>
      </c>
      <c r="I11389">
        <v>75955016</v>
      </c>
    </row>
    <row r="11390" spans="1:9" x14ac:dyDescent="0.2">
      <c r="A11390" t="str">
        <f>"Kctd5"</f>
        <v>Kctd5</v>
      </c>
      <c r="B11390" t="s">
        <v>14</v>
      </c>
      <c r="C11390" t="s">
        <v>28</v>
      </c>
      <c r="D11390" t="s">
        <v>11</v>
      </c>
      <c r="E11390" t="s">
        <v>12</v>
      </c>
      <c r="F11390">
        <v>24073428</v>
      </c>
      <c r="G11390">
        <v>24073474</v>
      </c>
      <c r="H11390">
        <v>24073479</v>
      </c>
      <c r="I11390">
        <v>24073490</v>
      </c>
    </row>
    <row r="11391" spans="1:9" x14ac:dyDescent="0.2">
      <c r="A11391" t="str">
        <f>"Kctd6"</f>
        <v>Kctd6</v>
      </c>
      <c r="B11391" t="s">
        <v>14</v>
      </c>
      <c r="C11391" t="s">
        <v>41</v>
      </c>
      <c r="D11391" t="s">
        <v>17</v>
      </c>
      <c r="E11391" t="s">
        <v>12</v>
      </c>
      <c r="F11391">
        <v>8214135</v>
      </c>
      <c r="G11391">
        <v>8214181</v>
      </c>
      <c r="H11391">
        <v>8213997</v>
      </c>
      <c r="I11391">
        <v>8214039</v>
      </c>
    </row>
    <row r="11392" spans="1:9" x14ac:dyDescent="0.2">
      <c r="A11392" t="str">
        <f>"Kctd7"</f>
        <v>Kctd7</v>
      </c>
      <c r="B11392" t="s">
        <v>14</v>
      </c>
      <c r="C11392" t="s">
        <v>46</v>
      </c>
      <c r="D11392" t="s">
        <v>17</v>
      </c>
      <c r="E11392" t="s">
        <v>12</v>
      </c>
      <c r="F11392">
        <v>130144872</v>
      </c>
      <c r="G11392">
        <v>130144937</v>
      </c>
      <c r="H11392">
        <v>130145104</v>
      </c>
      <c r="I11392">
        <v>130145120</v>
      </c>
    </row>
    <row r="11393" spans="1:9" x14ac:dyDescent="0.2">
      <c r="A11393" t="str">
        <f>"Kctd8"</f>
        <v>Kctd8</v>
      </c>
      <c r="B11393" t="s">
        <v>14</v>
      </c>
      <c r="C11393" t="s">
        <v>46</v>
      </c>
      <c r="D11393" t="s">
        <v>11</v>
      </c>
      <c r="E11393" t="s">
        <v>12</v>
      </c>
      <c r="F11393">
        <v>69341552</v>
      </c>
      <c r="G11393">
        <v>69341568</v>
      </c>
      <c r="H11393">
        <v>69341671</v>
      </c>
      <c r="I11393">
        <v>69341685</v>
      </c>
    </row>
    <row r="11394" spans="1:9" x14ac:dyDescent="0.2">
      <c r="A11394" t="str">
        <f>"Kctd9"</f>
        <v>Kctd9</v>
      </c>
      <c r="B11394" t="s">
        <v>14</v>
      </c>
      <c r="C11394" t="s">
        <v>41</v>
      </c>
      <c r="D11394" t="s">
        <v>17</v>
      </c>
      <c r="E11394" t="s">
        <v>12</v>
      </c>
      <c r="F11394">
        <v>67716134</v>
      </c>
      <c r="G11394">
        <v>67716205</v>
      </c>
      <c r="H11394">
        <v>67716244</v>
      </c>
      <c r="I11394">
        <v>67716287</v>
      </c>
    </row>
    <row r="11395" spans="1:9" x14ac:dyDescent="0.2">
      <c r="A11395" t="str">
        <f>"Kdelc1"</f>
        <v>Kdelc1</v>
      </c>
      <c r="B11395" t="s">
        <v>14</v>
      </c>
      <c r="C11395" t="s">
        <v>19</v>
      </c>
      <c r="D11395" t="s">
        <v>11</v>
      </c>
      <c r="E11395" t="s">
        <v>12</v>
      </c>
      <c r="F11395">
        <v>44118757</v>
      </c>
      <c r="G11395">
        <v>44118816</v>
      </c>
      <c r="H11395">
        <v>44118819</v>
      </c>
      <c r="I11395">
        <v>44118829</v>
      </c>
    </row>
    <row r="11396" spans="1:9" x14ac:dyDescent="0.2">
      <c r="A11396" t="str">
        <f>"Kdelc2"</f>
        <v>Kdelc2</v>
      </c>
      <c r="B11396" t="s">
        <v>14</v>
      </c>
      <c r="C11396" t="s">
        <v>24</v>
      </c>
      <c r="D11396" t="s">
        <v>17</v>
      </c>
      <c r="E11396" t="s">
        <v>12</v>
      </c>
      <c r="F11396">
        <v>53384031</v>
      </c>
      <c r="G11396">
        <v>53384091</v>
      </c>
      <c r="H11396">
        <v>53384017</v>
      </c>
      <c r="I11396">
        <v>53384030</v>
      </c>
    </row>
    <row r="11397" spans="1:9" x14ac:dyDescent="0.2">
      <c r="A11397" t="str">
        <f>"Kdelr1"</f>
        <v>Kdelr1</v>
      </c>
      <c r="B11397" t="s">
        <v>14</v>
      </c>
      <c r="C11397" t="s">
        <v>33</v>
      </c>
      <c r="D11397" t="s">
        <v>17</v>
      </c>
      <c r="E11397" t="s">
        <v>12</v>
      </c>
      <c r="F11397">
        <v>45872801</v>
      </c>
      <c r="G11397">
        <v>45872857</v>
      </c>
      <c r="H11397">
        <v>45872862</v>
      </c>
      <c r="I11397">
        <v>45872882</v>
      </c>
    </row>
    <row r="11398" spans="1:9" x14ac:dyDescent="0.2">
      <c r="A11398" t="str">
        <f>"Kdelr2"</f>
        <v>Kdelr2</v>
      </c>
      <c r="B11398" t="s">
        <v>14</v>
      </c>
      <c r="C11398" t="s">
        <v>46</v>
      </c>
      <c r="D11398" t="s">
        <v>17</v>
      </c>
      <c r="E11398" t="s">
        <v>12</v>
      </c>
      <c r="F11398">
        <v>143403819</v>
      </c>
      <c r="G11398">
        <v>143403882</v>
      </c>
      <c r="H11398">
        <v>143403819</v>
      </c>
      <c r="I11398">
        <v>143403882</v>
      </c>
    </row>
    <row r="11399" spans="1:9" x14ac:dyDescent="0.2">
      <c r="A11399" t="str">
        <f>"Kdelr3"</f>
        <v>Kdelr3</v>
      </c>
      <c r="B11399" t="s">
        <v>14</v>
      </c>
      <c r="C11399" t="s">
        <v>25</v>
      </c>
      <c r="D11399" t="s">
        <v>17</v>
      </c>
      <c r="E11399" t="s">
        <v>12</v>
      </c>
      <c r="F11399">
        <v>79516396</v>
      </c>
      <c r="G11399">
        <v>79516487</v>
      </c>
      <c r="H11399">
        <v>79516489</v>
      </c>
      <c r="I11399">
        <v>79516506</v>
      </c>
    </row>
    <row r="11400" spans="1:9" x14ac:dyDescent="0.2">
      <c r="A11400" t="str">
        <f>"Kdm1a"</f>
        <v>Kdm1a</v>
      </c>
      <c r="B11400" t="s">
        <v>14</v>
      </c>
      <c r="C11400" t="s">
        <v>23</v>
      </c>
      <c r="D11400" t="s">
        <v>11</v>
      </c>
      <c r="E11400" t="s">
        <v>12</v>
      </c>
      <c r="F11400">
        <v>136602641</v>
      </c>
      <c r="G11400">
        <v>136602760</v>
      </c>
      <c r="H11400">
        <v>136602776</v>
      </c>
      <c r="I11400">
        <v>136602798</v>
      </c>
    </row>
    <row r="11401" spans="1:9" x14ac:dyDescent="0.2">
      <c r="A11401" t="str">
        <f>"Kdm1b"</f>
        <v>Kdm1b</v>
      </c>
      <c r="B11401" t="s">
        <v>9</v>
      </c>
      <c r="C11401" t="s">
        <v>39</v>
      </c>
      <c r="D11401" t="s">
        <v>17</v>
      </c>
      <c r="E11401" t="s">
        <v>12</v>
      </c>
      <c r="F11401">
        <v>47043527</v>
      </c>
      <c r="G11401">
        <v>47043591</v>
      </c>
      <c r="H11401">
        <v>47043527</v>
      </c>
      <c r="I11401">
        <v>47043591</v>
      </c>
    </row>
    <row r="11402" spans="1:9" x14ac:dyDescent="0.2">
      <c r="A11402" t="str">
        <f>"Kdm1b"</f>
        <v>Kdm1b</v>
      </c>
      <c r="B11402" t="s">
        <v>13</v>
      </c>
      <c r="C11402" t="s">
        <v>39</v>
      </c>
      <c r="D11402" t="s">
        <v>17</v>
      </c>
      <c r="E11402" t="s">
        <v>12</v>
      </c>
      <c r="F11402">
        <v>47066448</v>
      </c>
      <c r="G11402">
        <v>47066463</v>
      </c>
      <c r="H11402">
        <v>47066448</v>
      </c>
      <c r="I11402">
        <v>47066463</v>
      </c>
    </row>
    <row r="11403" spans="1:9" x14ac:dyDescent="0.2">
      <c r="A11403" t="str">
        <f>"Kdm2a"</f>
        <v>Kdm2a</v>
      </c>
      <c r="B11403" t="s">
        <v>9</v>
      </c>
      <c r="C11403" t="s">
        <v>10</v>
      </c>
      <c r="D11403" t="s">
        <v>11</v>
      </c>
      <c r="E11403" t="s">
        <v>12</v>
      </c>
      <c r="F11403">
        <v>4397052</v>
      </c>
      <c r="G11403">
        <v>4397098</v>
      </c>
      <c r="H11403">
        <v>4397052</v>
      </c>
      <c r="I11403">
        <v>4397098</v>
      </c>
    </row>
    <row r="11404" spans="1:9" x14ac:dyDescent="0.2">
      <c r="A11404" t="str">
        <f>"Kdm2a"</f>
        <v>Kdm2a</v>
      </c>
      <c r="B11404" t="s">
        <v>13</v>
      </c>
      <c r="C11404" t="s">
        <v>10</v>
      </c>
      <c r="D11404" t="s">
        <v>11</v>
      </c>
      <c r="E11404" t="s">
        <v>12</v>
      </c>
      <c r="F11404">
        <v>4398580</v>
      </c>
      <c r="G11404">
        <v>4398623</v>
      </c>
      <c r="H11404">
        <v>4398580</v>
      </c>
      <c r="I11404">
        <v>4398623</v>
      </c>
    </row>
    <row r="11405" spans="1:9" x14ac:dyDescent="0.2">
      <c r="A11405" t="str">
        <f>"Kdm2b"</f>
        <v>Kdm2b</v>
      </c>
      <c r="B11405" t="s">
        <v>4218</v>
      </c>
      <c r="C11405" t="s">
        <v>46</v>
      </c>
      <c r="D11405" t="s">
        <v>11</v>
      </c>
      <c r="E11405" t="s">
        <v>35</v>
      </c>
      <c r="F11405">
        <v>122989283</v>
      </c>
      <c r="G11405">
        <v>122989337</v>
      </c>
      <c r="H11405">
        <v>122988922</v>
      </c>
      <c r="I11405">
        <v>122988926</v>
      </c>
    </row>
    <row r="11406" spans="1:9" x14ac:dyDescent="0.2">
      <c r="A11406" t="str">
        <f>"Kdm2b"</f>
        <v>Kdm2b</v>
      </c>
      <c r="B11406" t="s">
        <v>4219</v>
      </c>
      <c r="C11406" t="s">
        <v>46</v>
      </c>
      <c r="D11406" t="s">
        <v>11</v>
      </c>
      <c r="E11406" t="s">
        <v>35</v>
      </c>
      <c r="F11406">
        <v>122988683</v>
      </c>
      <c r="G11406">
        <v>122988705</v>
      </c>
      <c r="H11406">
        <v>122988370</v>
      </c>
      <c r="I11406">
        <v>122988374</v>
      </c>
    </row>
    <row r="11407" spans="1:9" x14ac:dyDescent="0.2">
      <c r="A11407" t="str">
        <f>"Kdm3a"</f>
        <v>Kdm3a</v>
      </c>
      <c r="B11407" t="s">
        <v>14</v>
      </c>
      <c r="C11407" t="s">
        <v>32</v>
      </c>
      <c r="D11407" t="s">
        <v>11</v>
      </c>
      <c r="E11407" t="s">
        <v>12</v>
      </c>
      <c r="F11407">
        <v>71632897</v>
      </c>
      <c r="G11407">
        <v>71632947</v>
      </c>
      <c r="H11407">
        <v>71632651</v>
      </c>
      <c r="I11407">
        <v>71632694</v>
      </c>
    </row>
    <row r="11408" spans="1:9" x14ac:dyDescent="0.2">
      <c r="A11408" t="str">
        <f>"Kdm3b"</f>
        <v>Kdm3b</v>
      </c>
      <c r="B11408" t="s">
        <v>14</v>
      </c>
      <c r="C11408" t="s">
        <v>43</v>
      </c>
      <c r="D11408" t="s">
        <v>17</v>
      </c>
      <c r="E11408" t="s">
        <v>12</v>
      </c>
      <c r="F11408">
        <v>34777012</v>
      </c>
      <c r="G11408">
        <v>34777075</v>
      </c>
      <c r="H11408">
        <v>34776887</v>
      </c>
      <c r="I11408">
        <v>34776913</v>
      </c>
    </row>
    <row r="11409" spans="1:9" x14ac:dyDescent="0.2">
      <c r="A11409" t="str">
        <f>"Kdm4a"</f>
        <v>Kdm4a</v>
      </c>
      <c r="B11409" t="s">
        <v>14</v>
      </c>
      <c r="C11409" t="s">
        <v>23</v>
      </c>
      <c r="D11409" t="s">
        <v>11</v>
      </c>
      <c r="E11409" t="s">
        <v>12</v>
      </c>
      <c r="F11409">
        <v>118179954</v>
      </c>
      <c r="G11409">
        <v>118180035</v>
      </c>
      <c r="H11409">
        <v>118179628</v>
      </c>
      <c r="I11409">
        <v>118179682</v>
      </c>
    </row>
    <row r="11410" spans="1:9" x14ac:dyDescent="0.2">
      <c r="A11410" t="str">
        <f>"Kdm4b"</f>
        <v>Kdm4b</v>
      </c>
      <c r="B11410" t="s">
        <v>14</v>
      </c>
      <c r="C11410" t="s">
        <v>28</v>
      </c>
      <c r="D11410" t="s">
        <v>17</v>
      </c>
      <c r="E11410" t="s">
        <v>12</v>
      </c>
      <c r="F11410">
        <v>56326045</v>
      </c>
      <c r="G11410">
        <v>56326097</v>
      </c>
      <c r="H11410">
        <v>56326045</v>
      </c>
      <c r="I11410">
        <v>56326097</v>
      </c>
    </row>
    <row r="11411" spans="1:9" x14ac:dyDescent="0.2">
      <c r="A11411" t="str">
        <f>"Kdm4c"</f>
        <v>Kdm4c</v>
      </c>
      <c r="B11411" t="s">
        <v>14</v>
      </c>
      <c r="C11411" t="s">
        <v>23</v>
      </c>
      <c r="D11411" t="s">
        <v>17</v>
      </c>
      <c r="E11411" t="s">
        <v>12</v>
      </c>
      <c r="F11411">
        <v>74251928</v>
      </c>
      <c r="G11411">
        <v>74251990</v>
      </c>
      <c r="H11411">
        <v>74251992</v>
      </c>
      <c r="I11411">
        <v>74252009</v>
      </c>
    </row>
    <row r="11412" spans="1:9" x14ac:dyDescent="0.2">
      <c r="A11412" t="str">
        <f>"Kdm4d"</f>
        <v>Kdm4d</v>
      </c>
      <c r="B11412" t="s">
        <v>14</v>
      </c>
      <c r="C11412" t="s">
        <v>24</v>
      </c>
      <c r="D11412" t="s">
        <v>11</v>
      </c>
      <c r="E11412" t="s">
        <v>12</v>
      </c>
      <c r="F11412">
        <v>14500394</v>
      </c>
      <c r="G11412">
        <v>14500427</v>
      </c>
      <c r="H11412">
        <v>14500428</v>
      </c>
      <c r="I11412">
        <v>14500460</v>
      </c>
    </row>
    <row r="11413" spans="1:9" x14ac:dyDescent="0.2">
      <c r="A11413" t="str">
        <f>"Kdm5a"</f>
        <v>Kdm5a</v>
      </c>
      <c r="B11413" t="s">
        <v>14</v>
      </c>
      <c r="C11413" t="s">
        <v>32</v>
      </c>
      <c r="D11413" t="s">
        <v>17</v>
      </c>
      <c r="E11413" t="s">
        <v>12</v>
      </c>
      <c r="F11413">
        <v>120364094</v>
      </c>
      <c r="G11413">
        <v>120364163</v>
      </c>
      <c r="H11413">
        <v>120364393</v>
      </c>
      <c r="I11413">
        <v>120364448</v>
      </c>
    </row>
    <row r="11414" spans="1:9" x14ac:dyDescent="0.2">
      <c r="A11414" t="str">
        <f>"Kdm5b"</f>
        <v>Kdm5b</v>
      </c>
      <c r="B11414" t="s">
        <v>14</v>
      </c>
      <c r="C11414" t="s">
        <v>19</v>
      </c>
      <c r="D11414" t="s">
        <v>17</v>
      </c>
      <c r="E11414" t="s">
        <v>12</v>
      </c>
      <c r="F11414">
        <v>134560214</v>
      </c>
      <c r="G11414">
        <v>134560233</v>
      </c>
      <c r="H11414">
        <v>134560190</v>
      </c>
      <c r="I11414">
        <v>134560213</v>
      </c>
    </row>
    <row r="11415" spans="1:9" x14ac:dyDescent="0.2">
      <c r="A11415" t="str">
        <f>"Kdm5c"</f>
        <v>Kdm5c</v>
      </c>
      <c r="B11415" t="s">
        <v>14</v>
      </c>
      <c r="C11415" t="s">
        <v>37</v>
      </c>
      <c r="D11415" t="s">
        <v>17</v>
      </c>
      <c r="E11415" t="s">
        <v>12</v>
      </c>
      <c r="F11415">
        <v>152233228</v>
      </c>
      <c r="G11415">
        <v>152233260</v>
      </c>
      <c r="H11415">
        <v>152233228</v>
      </c>
      <c r="I11415">
        <v>152233260</v>
      </c>
    </row>
    <row r="11416" spans="1:9" x14ac:dyDescent="0.2">
      <c r="A11416" t="str">
        <f>"Kdm5d"</f>
        <v>Kdm5d</v>
      </c>
      <c r="B11416" t="s">
        <v>14</v>
      </c>
      <c r="C11416" t="s">
        <v>63</v>
      </c>
      <c r="D11416" t="s">
        <v>17</v>
      </c>
      <c r="E11416" t="s">
        <v>12</v>
      </c>
      <c r="F11416">
        <v>897782</v>
      </c>
      <c r="G11416">
        <v>897800</v>
      </c>
      <c r="H11416">
        <v>897782</v>
      </c>
      <c r="I11416">
        <v>897800</v>
      </c>
    </row>
    <row r="11417" spans="1:9" x14ac:dyDescent="0.2">
      <c r="A11417" t="str">
        <f>"Kdm6a"</f>
        <v>Kdm6a</v>
      </c>
      <c r="B11417" t="s">
        <v>14</v>
      </c>
      <c r="C11417" t="s">
        <v>37</v>
      </c>
      <c r="D11417" t="s">
        <v>17</v>
      </c>
      <c r="E11417" t="s">
        <v>12</v>
      </c>
      <c r="F11417">
        <v>18162602</v>
      </c>
      <c r="G11417">
        <v>18162657</v>
      </c>
      <c r="H11417">
        <v>18162664</v>
      </c>
      <c r="I11417">
        <v>18162682</v>
      </c>
    </row>
    <row r="11418" spans="1:9" x14ac:dyDescent="0.2">
      <c r="A11418" t="str">
        <f>"Kdm6b"</f>
        <v>Kdm6b</v>
      </c>
      <c r="B11418" t="s">
        <v>14</v>
      </c>
      <c r="C11418" t="s">
        <v>27</v>
      </c>
      <c r="D11418" t="s">
        <v>11</v>
      </c>
      <c r="E11418" t="s">
        <v>12</v>
      </c>
      <c r="F11418">
        <v>69406446</v>
      </c>
      <c r="G11418">
        <v>69406489</v>
      </c>
      <c r="H11418">
        <v>69406446</v>
      </c>
      <c r="I11418">
        <v>69406489</v>
      </c>
    </row>
    <row r="11419" spans="1:9" x14ac:dyDescent="0.2">
      <c r="A11419" t="str">
        <f>"Kdm8"</f>
        <v>Kdm8</v>
      </c>
      <c r="B11419" t="s">
        <v>14</v>
      </c>
      <c r="C11419" t="s">
        <v>33</v>
      </c>
      <c r="D11419" t="s">
        <v>17</v>
      </c>
      <c r="E11419" t="s">
        <v>67</v>
      </c>
      <c r="F11419">
        <v>125444635</v>
      </c>
      <c r="G11419">
        <v>125444709</v>
      </c>
      <c r="H11419">
        <v>125444623</v>
      </c>
      <c r="I11419">
        <v>125444632</v>
      </c>
    </row>
    <row r="11420" spans="1:9" x14ac:dyDescent="0.2">
      <c r="A11420" t="str">
        <f>"Kdr"</f>
        <v>Kdr</v>
      </c>
      <c r="B11420" t="s">
        <v>14</v>
      </c>
      <c r="C11420" t="s">
        <v>46</v>
      </c>
      <c r="D11420" t="s">
        <v>11</v>
      </c>
      <c r="E11420" t="s">
        <v>12</v>
      </c>
      <c r="F11420">
        <v>75978447</v>
      </c>
      <c r="G11420">
        <v>75978463</v>
      </c>
      <c r="H11420">
        <v>75978170</v>
      </c>
      <c r="I11420">
        <v>75978203</v>
      </c>
    </row>
    <row r="11421" spans="1:9" x14ac:dyDescent="0.2">
      <c r="A11421" t="str">
        <f>"Kdsr"</f>
        <v>Kdsr</v>
      </c>
      <c r="B11421" t="s">
        <v>14</v>
      </c>
      <c r="C11421" t="s">
        <v>19</v>
      </c>
      <c r="D11421" t="s">
        <v>11</v>
      </c>
      <c r="E11421" t="s">
        <v>12</v>
      </c>
      <c r="F11421">
        <v>106759660</v>
      </c>
      <c r="G11421">
        <v>106759688</v>
      </c>
      <c r="H11421">
        <v>106759693</v>
      </c>
      <c r="I11421">
        <v>106759725</v>
      </c>
    </row>
    <row r="11422" spans="1:9" x14ac:dyDescent="0.2">
      <c r="A11422" t="str">
        <f>"Keap1"</f>
        <v>Keap1</v>
      </c>
      <c r="B11422" t="s">
        <v>14</v>
      </c>
      <c r="C11422" t="s">
        <v>24</v>
      </c>
      <c r="D11422" t="s">
        <v>11</v>
      </c>
      <c r="E11422" t="s">
        <v>12</v>
      </c>
      <c r="F11422">
        <v>21239228</v>
      </c>
      <c r="G11422">
        <v>21239308</v>
      </c>
      <c r="H11422">
        <v>21239310</v>
      </c>
      <c r="I11422">
        <v>21239339</v>
      </c>
    </row>
    <row r="11423" spans="1:9" x14ac:dyDescent="0.2">
      <c r="A11423" t="str">
        <f>"Keg1"</f>
        <v>Keg1</v>
      </c>
      <c r="B11423" t="s">
        <v>14</v>
      </c>
      <c r="C11423" t="s">
        <v>10</v>
      </c>
      <c r="D11423" t="s">
        <v>17</v>
      </c>
      <c r="E11423" t="s">
        <v>12</v>
      </c>
      <c r="F11423">
        <v>12695783</v>
      </c>
      <c r="G11423">
        <v>12695809</v>
      </c>
      <c r="H11423">
        <v>12695783</v>
      </c>
      <c r="I11423">
        <v>12695809</v>
      </c>
    </row>
    <row r="11424" spans="1:9" x14ac:dyDescent="0.2">
      <c r="A11424" t="str">
        <f>"Kel"</f>
        <v>Kel</v>
      </c>
      <c r="B11424" t="s">
        <v>14</v>
      </c>
      <c r="C11424" t="s">
        <v>32</v>
      </c>
      <c r="D11424" t="s">
        <v>11</v>
      </c>
      <c r="E11424" t="s">
        <v>12</v>
      </c>
      <c r="F11424">
        <v>41704263</v>
      </c>
      <c r="G11424">
        <v>41704323</v>
      </c>
      <c r="H11424">
        <v>41704263</v>
      </c>
      <c r="I11424">
        <v>41704323</v>
      </c>
    </row>
    <row r="11425" spans="1:9" x14ac:dyDescent="0.2">
      <c r="A11425" t="str">
        <f>"Kera"</f>
        <v>Kera</v>
      </c>
      <c r="B11425" t="s">
        <v>14</v>
      </c>
      <c r="C11425" t="s">
        <v>15</v>
      </c>
      <c r="D11425" t="s">
        <v>17</v>
      </c>
      <c r="E11425" t="s">
        <v>12</v>
      </c>
      <c r="F11425">
        <v>97607166</v>
      </c>
      <c r="G11425">
        <v>97607244</v>
      </c>
      <c r="H11425">
        <v>97607166</v>
      </c>
      <c r="I11425">
        <v>97607244</v>
      </c>
    </row>
    <row r="11426" spans="1:9" x14ac:dyDescent="0.2">
      <c r="A11426" t="str">
        <f>"Khdc1a"</f>
        <v>Khdc1a</v>
      </c>
      <c r="B11426" t="s">
        <v>14</v>
      </c>
      <c r="C11426" t="s">
        <v>19</v>
      </c>
      <c r="D11426" t="s">
        <v>17</v>
      </c>
      <c r="E11426" t="s">
        <v>12</v>
      </c>
      <c r="F11426">
        <v>21349598</v>
      </c>
      <c r="G11426">
        <v>21349619</v>
      </c>
      <c r="H11426">
        <v>21349598</v>
      </c>
      <c r="I11426">
        <v>21349619</v>
      </c>
    </row>
    <row r="11427" spans="1:9" x14ac:dyDescent="0.2">
      <c r="A11427" t="str">
        <f>"Khdc1b"</f>
        <v>Khdc1b</v>
      </c>
      <c r="B11427" t="s">
        <v>14</v>
      </c>
      <c r="C11427" t="s">
        <v>19</v>
      </c>
      <c r="D11427" t="s">
        <v>17</v>
      </c>
      <c r="E11427" t="s">
        <v>12</v>
      </c>
      <c r="F11427">
        <v>21383554</v>
      </c>
      <c r="G11427">
        <v>21383560</v>
      </c>
      <c r="H11427">
        <v>21383554</v>
      </c>
      <c r="I11427">
        <v>21383560</v>
      </c>
    </row>
    <row r="11428" spans="1:9" x14ac:dyDescent="0.2">
      <c r="A11428" t="str">
        <f>"Khdc1c"</f>
        <v>Khdc1c</v>
      </c>
      <c r="B11428" t="s">
        <v>14</v>
      </c>
      <c r="C11428" t="s">
        <v>19</v>
      </c>
      <c r="D11428" t="s">
        <v>17</v>
      </c>
      <c r="E11428" t="s">
        <v>12</v>
      </c>
      <c r="F11428">
        <v>21368250</v>
      </c>
      <c r="G11428">
        <v>21368253</v>
      </c>
      <c r="H11428">
        <v>21368250</v>
      </c>
      <c r="I11428">
        <v>21368253</v>
      </c>
    </row>
    <row r="11429" spans="1:9" x14ac:dyDescent="0.2">
      <c r="A11429" t="str">
        <f>"Khdc3"</f>
        <v>Khdc3</v>
      </c>
      <c r="B11429" t="s">
        <v>14</v>
      </c>
      <c r="C11429" t="s">
        <v>24</v>
      </c>
      <c r="D11429" t="s">
        <v>17</v>
      </c>
      <c r="E11429" t="s">
        <v>67</v>
      </c>
      <c r="F11429">
        <v>73102449</v>
      </c>
      <c r="G11429">
        <v>73102464</v>
      </c>
      <c r="H11429">
        <v>73102449</v>
      </c>
      <c r="I11429">
        <v>73102464</v>
      </c>
    </row>
    <row r="11430" spans="1:9" x14ac:dyDescent="0.2">
      <c r="A11430" t="str">
        <f>"Khdrbs1"</f>
        <v>Khdrbs1</v>
      </c>
      <c r="B11430" t="s">
        <v>14</v>
      </c>
      <c r="C11430" t="s">
        <v>23</v>
      </c>
      <c r="D11430" t="s">
        <v>11</v>
      </c>
      <c r="E11430" t="s">
        <v>12</v>
      </c>
      <c r="F11430">
        <v>129742275</v>
      </c>
      <c r="G11430">
        <v>129742312</v>
      </c>
      <c r="H11430">
        <v>129742233</v>
      </c>
      <c r="I11430">
        <v>129742268</v>
      </c>
    </row>
    <row r="11431" spans="1:9" x14ac:dyDescent="0.2">
      <c r="A11431" t="str">
        <f>"Khdrbs2"</f>
        <v>Khdrbs2</v>
      </c>
      <c r="B11431" t="s">
        <v>14</v>
      </c>
      <c r="C11431" t="s">
        <v>19</v>
      </c>
      <c r="D11431" t="s">
        <v>17</v>
      </c>
      <c r="E11431" t="s">
        <v>12</v>
      </c>
      <c r="F11431">
        <v>32172711</v>
      </c>
      <c r="G11431">
        <v>32172792</v>
      </c>
      <c r="H11431">
        <v>32172799</v>
      </c>
      <c r="I11431">
        <v>32172816</v>
      </c>
    </row>
    <row r="11432" spans="1:9" x14ac:dyDescent="0.2">
      <c r="A11432" t="str">
        <f>"Khdrbs3"</f>
        <v>Khdrbs3</v>
      </c>
      <c r="B11432" t="s">
        <v>14</v>
      </c>
      <c r="C11432" t="s">
        <v>25</v>
      </c>
      <c r="D11432" t="s">
        <v>17</v>
      </c>
      <c r="E11432" t="s">
        <v>12</v>
      </c>
      <c r="F11432">
        <v>68928423</v>
      </c>
      <c r="G11432">
        <v>68928452</v>
      </c>
      <c r="H11432">
        <v>68928395</v>
      </c>
      <c r="I11432">
        <v>68928409</v>
      </c>
    </row>
    <row r="11433" spans="1:9" x14ac:dyDescent="0.2">
      <c r="A11433" t="str">
        <f>"Khk"</f>
        <v>Khk</v>
      </c>
      <c r="B11433" t="s">
        <v>14</v>
      </c>
      <c r="C11433" t="s">
        <v>46</v>
      </c>
      <c r="D11433" t="s">
        <v>17</v>
      </c>
      <c r="E11433" t="s">
        <v>12</v>
      </c>
      <c r="F11433">
        <v>30921867</v>
      </c>
      <c r="G11433">
        <v>30921896</v>
      </c>
      <c r="H11433">
        <v>30921825</v>
      </c>
      <c r="I11433">
        <v>30921866</v>
      </c>
    </row>
    <row r="11434" spans="1:9" x14ac:dyDescent="0.2">
      <c r="A11434" t="str">
        <f>"Khnyn"</f>
        <v>Khnyn</v>
      </c>
      <c r="B11434" t="s">
        <v>14</v>
      </c>
      <c r="C11434" t="s">
        <v>41</v>
      </c>
      <c r="D11434" t="s">
        <v>17</v>
      </c>
      <c r="E11434" t="s">
        <v>12</v>
      </c>
      <c r="F11434">
        <v>55884960</v>
      </c>
      <c r="G11434">
        <v>55885010</v>
      </c>
      <c r="H11434">
        <v>55885032</v>
      </c>
      <c r="I11434">
        <v>55885042</v>
      </c>
    </row>
    <row r="11435" spans="1:9" x14ac:dyDescent="0.2">
      <c r="A11435" t="str">
        <f>"Khsrp"</f>
        <v>Khsrp</v>
      </c>
      <c r="B11435" t="s">
        <v>14</v>
      </c>
      <c r="C11435" t="s">
        <v>28</v>
      </c>
      <c r="D11435" t="s">
        <v>11</v>
      </c>
      <c r="E11435" t="s">
        <v>12</v>
      </c>
      <c r="F11435">
        <v>57031468</v>
      </c>
      <c r="G11435">
        <v>57031538</v>
      </c>
      <c r="H11435">
        <v>57031722</v>
      </c>
      <c r="I11435">
        <v>57031740</v>
      </c>
    </row>
    <row r="11436" spans="1:9" x14ac:dyDescent="0.2">
      <c r="A11436" t="str">
        <f>"Kidins220"</f>
        <v>Kidins220</v>
      </c>
      <c r="B11436" t="s">
        <v>14</v>
      </c>
      <c r="C11436" t="s">
        <v>16</v>
      </c>
      <c r="D11436" t="s">
        <v>17</v>
      </c>
      <c r="E11436" t="s">
        <v>12</v>
      </c>
      <c r="F11436">
        <v>24974914</v>
      </c>
      <c r="G11436">
        <v>24974948</v>
      </c>
      <c r="H11436">
        <v>24974914</v>
      </c>
      <c r="I11436">
        <v>24974948</v>
      </c>
    </row>
    <row r="11437" spans="1:9" x14ac:dyDescent="0.2">
      <c r="A11437" t="str">
        <f>"Kif11"</f>
        <v>Kif11</v>
      </c>
      <c r="B11437" t="s">
        <v>14</v>
      </c>
      <c r="C11437" t="s">
        <v>10</v>
      </c>
      <c r="D11437" t="s">
        <v>17</v>
      </c>
      <c r="E11437" t="s">
        <v>12</v>
      </c>
      <c r="F11437">
        <v>37376359</v>
      </c>
      <c r="G11437">
        <v>37376422</v>
      </c>
      <c r="H11437">
        <v>37376018</v>
      </c>
      <c r="I11437">
        <v>37376026</v>
      </c>
    </row>
    <row r="11438" spans="1:9" x14ac:dyDescent="0.2">
      <c r="A11438" t="str">
        <f>"Kif12"</f>
        <v>Kif12</v>
      </c>
      <c r="B11438" t="s">
        <v>14</v>
      </c>
      <c r="C11438" t="s">
        <v>23</v>
      </c>
      <c r="D11438" t="s">
        <v>11</v>
      </c>
      <c r="E11438" t="s">
        <v>12</v>
      </c>
      <c r="F11438">
        <v>63172050</v>
      </c>
      <c r="G11438">
        <v>63172079</v>
      </c>
      <c r="H11438">
        <v>63172118</v>
      </c>
      <c r="I11438">
        <v>63172139</v>
      </c>
    </row>
    <row r="11439" spans="1:9" x14ac:dyDescent="0.2">
      <c r="A11439" t="str">
        <f>"Kif13a"</f>
        <v>Kif13a</v>
      </c>
      <c r="B11439" t="s">
        <v>14</v>
      </c>
      <c r="C11439" t="s">
        <v>39</v>
      </c>
      <c r="D11439" t="s">
        <v>11</v>
      </c>
      <c r="E11439" t="s">
        <v>12</v>
      </c>
      <c r="F11439">
        <v>46929724</v>
      </c>
      <c r="G11439">
        <v>46929800</v>
      </c>
      <c r="H11439">
        <v>46929802</v>
      </c>
      <c r="I11439">
        <v>46929829</v>
      </c>
    </row>
    <row r="11440" spans="1:9" x14ac:dyDescent="0.2">
      <c r="A11440" t="str">
        <f>"Kif13b"</f>
        <v>Kif13b</v>
      </c>
      <c r="B11440" t="s">
        <v>14</v>
      </c>
      <c r="C11440" t="s">
        <v>41</v>
      </c>
      <c r="D11440" t="s">
        <v>17</v>
      </c>
      <c r="E11440" t="s">
        <v>12</v>
      </c>
      <c r="F11440">
        <v>64652524</v>
      </c>
      <c r="G11440">
        <v>64652555</v>
      </c>
      <c r="H11440">
        <v>64652559</v>
      </c>
      <c r="I11440">
        <v>64652582</v>
      </c>
    </row>
    <row r="11441" spans="1:9" x14ac:dyDescent="0.2">
      <c r="A11441" t="str">
        <f>"Kif14"</f>
        <v>Kif14</v>
      </c>
      <c r="B11441" t="s">
        <v>4220</v>
      </c>
      <c r="C11441" t="s">
        <v>19</v>
      </c>
      <c r="D11441" t="s">
        <v>17</v>
      </c>
      <c r="E11441" t="s">
        <v>20</v>
      </c>
      <c r="F11441">
        <v>136467957</v>
      </c>
      <c r="G11441">
        <v>136467957</v>
      </c>
      <c r="H11441">
        <v>136467957</v>
      </c>
      <c r="I11441">
        <v>136467957</v>
      </c>
    </row>
    <row r="11442" spans="1:9" x14ac:dyDescent="0.2">
      <c r="A11442" t="str">
        <f>"Kif15"</f>
        <v>Kif15</v>
      </c>
      <c r="B11442" t="s">
        <v>14</v>
      </c>
      <c r="C11442" t="s">
        <v>24</v>
      </c>
      <c r="D11442" t="s">
        <v>17</v>
      </c>
      <c r="E11442" t="s">
        <v>12</v>
      </c>
      <c r="F11442">
        <v>122951051</v>
      </c>
      <c r="G11442">
        <v>122951106</v>
      </c>
      <c r="H11442">
        <v>122951051</v>
      </c>
      <c r="I11442">
        <v>122951106</v>
      </c>
    </row>
    <row r="11443" spans="1:9" x14ac:dyDescent="0.2">
      <c r="A11443" t="str">
        <f>"Kif16b"</f>
        <v>Kif16b</v>
      </c>
      <c r="B11443" t="s">
        <v>14</v>
      </c>
      <c r="C11443" t="s">
        <v>26</v>
      </c>
      <c r="D11443" t="s">
        <v>11</v>
      </c>
      <c r="E11443" t="s">
        <v>12</v>
      </c>
      <c r="F11443">
        <v>142901434</v>
      </c>
      <c r="G11443">
        <v>142901474</v>
      </c>
      <c r="H11443">
        <v>142901506</v>
      </c>
      <c r="I11443">
        <v>142901576</v>
      </c>
    </row>
    <row r="11444" spans="1:9" x14ac:dyDescent="0.2">
      <c r="A11444" t="str">
        <f>"Kif17"</f>
        <v>Kif17</v>
      </c>
      <c r="B11444" t="s">
        <v>14</v>
      </c>
      <c r="C11444" t="s">
        <v>23</v>
      </c>
      <c r="D11444" t="s">
        <v>17</v>
      </c>
      <c r="E11444" t="s">
        <v>12</v>
      </c>
      <c r="F11444">
        <v>138250425</v>
      </c>
      <c r="G11444">
        <v>138250461</v>
      </c>
      <c r="H11444">
        <v>138250425</v>
      </c>
      <c r="I11444">
        <v>138250461</v>
      </c>
    </row>
    <row r="11445" spans="1:9" x14ac:dyDescent="0.2">
      <c r="A11445" t="str">
        <f>"Kif18a"</f>
        <v>Kif18a</v>
      </c>
      <c r="B11445" t="s">
        <v>14</v>
      </c>
      <c r="C11445" t="s">
        <v>26</v>
      </c>
      <c r="D11445" t="s">
        <v>17</v>
      </c>
      <c r="E11445" t="s">
        <v>12</v>
      </c>
      <c r="F11445">
        <v>109280809</v>
      </c>
      <c r="G11445">
        <v>109280863</v>
      </c>
      <c r="H11445">
        <v>109280781</v>
      </c>
      <c r="I11445">
        <v>109280798</v>
      </c>
    </row>
    <row r="11446" spans="1:9" x14ac:dyDescent="0.2">
      <c r="A11446" t="str">
        <f>"Kif18b"</f>
        <v>Kif18b</v>
      </c>
      <c r="B11446" t="s">
        <v>14</v>
      </c>
      <c r="C11446" t="s">
        <v>27</v>
      </c>
      <c r="D11446" t="s">
        <v>11</v>
      </c>
      <c r="E11446" t="s">
        <v>12</v>
      </c>
      <c r="F11446">
        <v>102925086</v>
      </c>
      <c r="G11446">
        <v>102925130</v>
      </c>
      <c r="H11446">
        <v>102925051</v>
      </c>
      <c r="I11446">
        <v>102925064</v>
      </c>
    </row>
    <row r="11447" spans="1:9" x14ac:dyDescent="0.2">
      <c r="A11447" t="str">
        <f>"Kif19a"</f>
        <v>Kif19a</v>
      </c>
      <c r="B11447" t="s">
        <v>14</v>
      </c>
      <c r="C11447" t="s">
        <v>27</v>
      </c>
      <c r="D11447" t="s">
        <v>17</v>
      </c>
      <c r="E11447" t="s">
        <v>12</v>
      </c>
      <c r="F11447">
        <v>114765363</v>
      </c>
      <c r="G11447">
        <v>114765438</v>
      </c>
      <c r="H11447">
        <v>114765444</v>
      </c>
      <c r="I11447">
        <v>114765456</v>
      </c>
    </row>
    <row r="11448" spans="1:9" x14ac:dyDescent="0.2">
      <c r="A11448" t="str">
        <f>"Kif1a"</f>
        <v>Kif1a</v>
      </c>
      <c r="B11448" t="s">
        <v>14</v>
      </c>
      <c r="C11448" t="s">
        <v>19</v>
      </c>
      <c r="D11448" t="s">
        <v>11</v>
      </c>
      <c r="E11448" t="s">
        <v>12</v>
      </c>
      <c r="F11448">
        <v>93101854</v>
      </c>
      <c r="G11448">
        <v>93101879</v>
      </c>
      <c r="H11448">
        <v>93101825</v>
      </c>
      <c r="I11448">
        <v>93101849</v>
      </c>
    </row>
    <row r="11449" spans="1:9" x14ac:dyDescent="0.2">
      <c r="A11449" t="str">
        <f>"Kif1b"</f>
        <v>Kif1b</v>
      </c>
      <c r="B11449" t="s">
        <v>14</v>
      </c>
      <c r="C11449" t="s">
        <v>23</v>
      </c>
      <c r="D11449" t="s">
        <v>11</v>
      </c>
      <c r="E11449" t="s">
        <v>12</v>
      </c>
      <c r="F11449">
        <v>149307685</v>
      </c>
      <c r="G11449">
        <v>149307703</v>
      </c>
      <c r="H11449">
        <v>149307714</v>
      </c>
      <c r="I11449">
        <v>149307738</v>
      </c>
    </row>
    <row r="11450" spans="1:9" x14ac:dyDescent="0.2">
      <c r="A11450" t="str">
        <f>"Kif1c"</f>
        <v>Kif1c</v>
      </c>
      <c r="B11450" t="s">
        <v>14</v>
      </c>
      <c r="C11450" t="s">
        <v>27</v>
      </c>
      <c r="D11450" t="s">
        <v>17</v>
      </c>
      <c r="E11450" t="s">
        <v>12</v>
      </c>
      <c r="F11450">
        <v>70700473</v>
      </c>
      <c r="G11450">
        <v>70700552</v>
      </c>
      <c r="H11450">
        <v>70700210</v>
      </c>
      <c r="I11450">
        <v>70700300</v>
      </c>
    </row>
    <row r="11451" spans="1:9" x14ac:dyDescent="0.2">
      <c r="A11451" t="str">
        <f>"Kif20a"</f>
        <v>Kif20a</v>
      </c>
      <c r="B11451" t="s">
        <v>14</v>
      </c>
      <c r="C11451" t="s">
        <v>43</v>
      </c>
      <c r="D11451" t="s">
        <v>17</v>
      </c>
      <c r="E11451" t="s">
        <v>12</v>
      </c>
      <c r="F11451">
        <v>34624955</v>
      </c>
      <c r="G11451">
        <v>34625000</v>
      </c>
      <c r="H11451">
        <v>34625009</v>
      </c>
      <c r="I11451">
        <v>34625031</v>
      </c>
    </row>
    <row r="11452" spans="1:9" x14ac:dyDescent="0.2">
      <c r="A11452" t="str">
        <f>"Kif20b"</f>
        <v>Kif20b</v>
      </c>
      <c r="B11452" t="s">
        <v>14</v>
      </c>
      <c r="C11452" t="s">
        <v>10</v>
      </c>
      <c r="D11452" t="s">
        <v>17</v>
      </c>
      <c r="E11452" t="s">
        <v>12</v>
      </c>
      <c r="F11452">
        <v>34922351</v>
      </c>
      <c r="G11452">
        <v>34922404</v>
      </c>
      <c r="H11452">
        <v>34922326</v>
      </c>
      <c r="I11452">
        <v>34922345</v>
      </c>
    </row>
    <row r="11453" spans="1:9" x14ac:dyDescent="0.2">
      <c r="A11453" t="str">
        <f>"Kif21a"</f>
        <v>Kif21a</v>
      </c>
      <c r="B11453" t="s">
        <v>14</v>
      </c>
      <c r="C11453" t="s">
        <v>25</v>
      </c>
      <c r="D11453" t="s">
        <v>11</v>
      </c>
      <c r="E11453" t="s">
        <v>12</v>
      </c>
      <c r="F11453">
        <v>91049823</v>
      </c>
      <c r="G11453">
        <v>91049867</v>
      </c>
      <c r="H11453">
        <v>91049928</v>
      </c>
      <c r="I11453">
        <v>91049963</v>
      </c>
    </row>
    <row r="11454" spans="1:9" x14ac:dyDescent="0.2">
      <c r="A11454" t="str">
        <f>"Kif21b"</f>
        <v>Kif21b</v>
      </c>
      <c r="B11454" t="s">
        <v>14</v>
      </c>
      <c r="C11454" t="s">
        <v>19</v>
      </c>
      <c r="D11454" t="s">
        <v>17</v>
      </c>
      <c r="E11454" t="s">
        <v>12</v>
      </c>
      <c r="F11454">
        <v>136131443</v>
      </c>
      <c r="G11454">
        <v>136131494</v>
      </c>
      <c r="H11454">
        <v>136131411</v>
      </c>
      <c r="I11454">
        <v>136131441</v>
      </c>
    </row>
    <row r="11455" spans="1:9" x14ac:dyDescent="0.2">
      <c r="A11455" t="str">
        <f>"Kif22"</f>
        <v>Kif22</v>
      </c>
      <c r="B11455" t="s">
        <v>14</v>
      </c>
      <c r="C11455" t="s">
        <v>33</v>
      </c>
      <c r="D11455" t="s">
        <v>11</v>
      </c>
      <c r="E11455" t="s">
        <v>12</v>
      </c>
      <c r="F11455">
        <v>127042393</v>
      </c>
      <c r="G11455">
        <v>127042414</v>
      </c>
      <c r="H11455">
        <v>127042421</v>
      </c>
      <c r="I11455">
        <v>127042444</v>
      </c>
    </row>
    <row r="11456" spans="1:9" x14ac:dyDescent="0.2">
      <c r="A11456" t="str">
        <f>"Kif23"</f>
        <v>Kif23</v>
      </c>
      <c r="B11456" t="s">
        <v>14</v>
      </c>
      <c r="C11456" t="s">
        <v>24</v>
      </c>
      <c r="D11456" t="s">
        <v>11</v>
      </c>
      <c r="E11456" t="s">
        <v>12</v>
      </c>
      <c r="F11456">
        <v>61946730</v>
      </c>
      <c r="G11456">
        <v>61946744</v>
      </c>
      <c r="H11456">
        <v>61946754</v>
      </c>
      <c r="I11456">
        <v>61946765</v>
      </c>
    </row>
    <row r="11457" spans="1:9" x14ac:dyDescent="0.2">
      <c r="A11457" t="str">
        <f>"Kif24"</f>
        <v>Kif24</v>
      </c>
      <c r="B11457" t="s">
        <v>14</v>
      </c>
      <c r="C11457" t="s">
        <v>23</v>
      </c>
      <c r="D11457" t="s">
        <v>11</v>
      </c>
      <c r="E11457" t="s">
        <v>12</v>
      </c>
      <c r="F11457">
        <v>41464816</v>
      </c>
      <c r="G11457">
        <v>41464892</v>
      </c>
      <c r="H11457">
        <v>41464790</v>
      </c>
      <c r="I11457">
        <v>41464801</v>
      </c>
    </row>
    <row r="11458" spans="1:9" x14ac:dyDescent="0.2">
      <c r="A11458" t="str">
        <f>"Kif26a"</f>
        <v>Kif26a</v>
      </c>
      <c r="B11458" t="s">
        <v>14</v>
      </c>
      <c r="C11458" t="s">
        <v>16</v>
      </c>
      <c r="D11458" t="s">
        <v>17</v>
      </c>
      <c r="E11458" t="s">
        <v>12</v>
      </c>
      <c r="F11458">
        <v>112146187</v>
      </c>
      <c r="G11458">
        <v>112146222</v>
      </c>
      <c r="H11458">
        <v>112146227</v>
      </c>
      <c r="I11458">
        <v>112146257</v>
      </c>
    </row>
    <row r="11459" spans="1:9" x14ac:dyDescent="0.2">
      <c r="A11459" t="str">
        <f>"Kif26b"</f>
        <v>Kif26b</v>
      </c>
      <c r="B11459" t="s">
        <v>14</v>
      </c>
      <c r="C11459" t="s">
        <v>19</v>
      </c>
      <c r="D11459" t="s">
        <v>17</v>
      </c>
      <c r="E11459" t="s">
        <v>12</v>
      </c>
      <c r="F11459">
        <v>178529113</v>
      </c>
      <c r="G11459">
        <v>178529134</v>
      </c>
      <c r="H11459">
        <v>178529113</v>
      </c>
      <c r="I11459">
        <v>178529134</v>
      </c>
    </row>
    <row r="11460" spans="1:9" x14ac:dyDescent="0.2">
      <c r="A11460" t="str">
        <f>"Kif27"</f>
        <v>Kif27</v>
      </c>
      <c r="B11460" t="s">
        <v>4221</v>
      </c>
      <c r="C11460" t="s">
        <v>39</v>
      </c>
      <c r="D11460" t="s">
        <v>11</v>
      </c>
      <c r="E11460" t="s">
        <v>20</v>
      </c>
      <c r="F11460">
        <v>58354861</v>
      </c>
      <c r="G11460">
        <v>58354861</v>
      </c>
      <c r="H11460">
        <v>58354861</v>
      </c>
      <c r="I11460">
        <v>58354861</v>
      </c>
    </row>
    <row r="11461" spans="1:9" x14ac:dyDescent="0.2">
      <c r="A11461" t="str">
        <f>"Kif2a"</f>
        <v>Kif2a</v>
      </c>
      <c r="B11461" t="s">
        <v>14</v>
      </c>
      <c r="C11461" t="s">
        <v>39</v>
      </c>
      <c r="D11461" t="s">
        <v>11</v>
      </c>
      <c r="E11461" t="s">
        <v>12</v>
      </c>
      <c r="F11461">
        <v>107022313</v>
      </c>
      <c r="G11461">
        <v>107022362</v>
      </c>
      <c r="H11461">
        <v>107022068</v>
      </c>
      <c r="I11461">
        <v>107022138</v>
      </c>
    </row>
    <row r="11462" spans="1:9" x14ac:dyDescent="0.2">
      <c r="A11462" t="str">
        <f>"Kif2b"</f>
        <v>Kif2b</v>
      </c>
      <c r="B11462" t="s">
        <v>14</v>
      </c>
      <c r="C11462" t="s">
        <v>27</v>
      </c>
      <c r="D11462" t="s">
        <v>11</v>
      </c>
      <c r="E11462" t="s">
        <v>12</v>
      </c>
      <c r="F11462">
        <v>91577513</v>
      </c>
      <c r="G11462">
        <v>91577574</v>
      </c>
      <c r="H11462">
        <v>91577513</v>
      </c>
      <c r="I11462">
        <v>91577574</v>
      </c>
    </row>
    <row r="11463" spans="1:9" x14ac:dyDescent="0.2">
      <c r="A11463" t="str">
        <f>"Kif2c"</f>
        <v>Kif2c</v>
      </c>
      <c r="B11463" t="s">
        <v>9</v>
      </c>
      <c r="C11463" t="s">
        <v>23</v>
      </c>
      <c r="D11463" t="s">
        <v>11</v>
      </c>
      <c r="E11463" t="s">
        <v>12</v>
      </c>
      <c r="F11463">
        <v>117182537</v>
      </c>
      <c r="G11463">
        <v>117182603</v>
      </c>
      <c r="H11463">
        <v>117182537</v>
      </c>
      <c r="I11463">
        <v>117182603</v>
      </c>
    </row>
    <row r="11464" spans="1:9" x14ac:dyDescent="0.2">
      <c r="A11464" t="str">
        <f>"Kif2c"</f>
        <v>Kif2c</v>
      </c>
      <c r="B11464" t="s">
        <v>13</v>
      </c>
      <c r="C11464" t="s">
        <v>23</v>
      </c>
      <c r="D11464" t="s">
        <v>11</v>
      </c>
      <c r="E11464" t="s">
        <v>12</v>
      </c>
      <c r="F11464">
        <v>117178726</v>
      </c>
      <c r="G11464">
        <v>117178754</v>
      </c>
      <c r="H11464">
        <v>117178726</v>
      </c>
      <c r="I11464">
        <v>117178754</v>
      </c>
    </row>
    <row r="11465" spans="1:9" x14ac:dyDescent="0.2">
      <c r="A11465" t="str">
        <f>"Kif3a"</f>
        <v>Kif3a</v>
      </c>
      <c r="B11465" t="s">
        <v>14</v>
      </c>
      <c r="C11465" t="s">
        <v>27</v>
      </c>
      <c r="D11465" t="s">
        <v>17</v>
      </c>
      <c r="E11465" t="s">
        <v>12</v>
      </c>
      <c r="F11465">
        <v>53567361</v>
      </c>
      <c r="G11465">
        <v>53567428</v>
      </c>
      <c r="H11465">
        <v>53567361</v>
      </c>
      <c r="I11465">
        <v>53567428</v>
      </c>
    </row>
    <row r="11466" spans="1:9" x14ac:dyDescent="0.2">
      <c r="A11466" t="str">
        <f>"Kif3b"</f>
        <v>Kif3b</v>
      </c>
      <c r="B11466" t="s">
        <v>14</v>
      </c>
      <c r="C11466" t="s">
        <v>26</v>
      </c>
      <c r="D11466" t="s">
        <v>17</v>
      </c>
      <c r="E11466" t="s">
        <v>12</v>
      </c>
      <c r="F11466">
        <v>153291404</v>
      </c>
      <c r="G11466">
        <v>153291459</v>
      </c>
      <c r="H11466">
        <v>153291404</v>
      </c>
      <c r="I11466">
        <v>153291459</v>
      </c>
    </row>
    <row r="11467" spans="1:9" x14ac:dyDescent="0.2">
      <c r="A11467" t="str">
        <f>"Kif3c"</f>
        <v>Kif3c</v>
      </c>
      <c r="B11467" t="s">
        <v>14</v>
      </c>
      <c r="C11467" t="s">
        <v>16</v>
      </c>
      <c r="D11467" t="s">
        <v>17</v>
      </c>
      <c r="E11467" t="s">
        <v>12</v>
      </c>
      <c r="F11467">
        <v>3365290</v>
      </c>
      <c r="G11467">
        <v>3365359</v>
      </c>
      <c r="H11467">
        <v>3365143</v>
      </c>
      <c r="I11467">
        <v>3365207</v>
      </c>
    </row>
    <row r="11468" spans="1:9" x14ac:dyDescent="0.2">
      <c r="A11468" t="str">
        <f>"Kif4"</f>
        <v>Kif4</v>
      </c>
      <c r="B11468" t="s">
        <v>14</v>
      </c>
      <c r="C11468" t="s">
        <v>37</v>
      </c>
      <c r="D11468" t="s">
        <v>17</v>
      </c>
      <c r="E11468" t="s">
        <v>12</v>
      </c>
      <c r="F11468">
        <v>100626072</v>
      </c>
      <c r="G11468">
        <v>100626158</v>
      </c>
      <c r="H11468">
        <v>100626173</v>
      </c>
      <c r="I11468">
        <v>100626182</v>
      </c>
    </row>
    <row r="11469" spans="1:9" x14ac:dyDescent="0.2">
      <c r="A11469" t="str">
        <f>"Kif5a"</f>
        <v>Kif5a</v>
      </c>
      <c r="B11469" t="s">
        <v>14</v>
      </c>
      <c r="C11469" t="s">
        <v>15</v>
      </c>
      <c r="D11469" t="s">
        <v>11</v>
      </c>
      <c r="E11469" t="s">
        <v>12</v>
      </c>
      <c r="F11469">
        <v>127263102</v>
      </c>
      <c r="G11469">
        <v>127263133</v>
      </c>
      <c r="H11469">
        <v>127263063</v>
      </c>
      <c r="I11469">
        <v>127263101</v>
      </c>
    </row>
    <row r="11470" spans="1:9" x14ac:dyDescent="0.2">
      <c r="A11470" t="str">
        <f>"Kif5b"</f>
        <v>Kif5b</v>
      </c>
      <c r="B11470" t="s">
        <v>14</v>
      </c>
      <c r="C11470" t="s">
        <v>43</v>
      </c>
      <c r="D11470" t="s">
        <v>11</v>
      </c>
      <c r="E11470" t="s">
        <v>12</v>
      </c>
      <c r="F11470">
        <v>6241486</v>
      </c>
      <c r="G11470">
        <v>6241550</v>
      </c>
      <c r="H11470">
        <v>6241238</v>
      </c>
      <c r="I11470">
        <v>6241307</v>
      </c>
    </row>
    <row r="11471" spans="1:9" x14ac:dyDescent="0.2">
      <c r="A11471" t="str">
        <f>"Kif5c"</f>
        <v>Kif5c</v>
      </c>
      <c r="B11471" t="s">
        <v>14</v>
      </c>
      <c r="C11471" t="s">
        <v>26</v>
      </c>
      <c r="D11471" t="s">
        <v>17</v>
      </c>
      <c r="E11471" t="s">
        <v>12</v>
      </c>
      <c r="F11471">
        <v>49619277</v>
      </c>
      <c r="G11471">
        <v>49619343</v>
      </c>
      <c r="H11471">
        <v>49619252</v>
      </c>
      <c r="I11471">
        <v>49619272</v>
      </c>
    </row>
    <row r="11472" spans="1:9" x14ac:dyDescent="0.2">
      <c r="A11472" t="str">
        <f>"Kif6"</f>
        <v>Kif6</v>
      </c>
      <c r="B11472" t="s">
        <v>14</v>
      </c>
      <c r="C11472" t="s">
        <v>28</v>
      </c>
      <c r="D11472" t="s">
        <v>17</v>
      </c>
      <c r="E11472" t="s">
        <v>12</v>
      </c>
      <c r="F11472">
        <v>49615104</v>
      </c>
      <c r="G11472">
        <v>49615151</v>
      </c>
      <c r="H11472">
        <v>49615208</v>
      </c>
      <c r="I11472">
        <v>49615224</v>
      </c>
    </row>
    <row r="11473" spans="1:9" x14ac:dyDescent="0.2">
      <c r="A11473" t="str">
        <f>"Kif7"</f>
        <v>Kif7</v>
      </c>
      <c r="B11473" t="s">
        <v>14</v>
      </c>
      <c r="C11473" t="s">
        <v>33</v>
      </c>
      <c r="D11473" t="s">
        <v>11</v>
      </c>
      <c r="E11473" t="s">
        <v>12</v>
      </c>
      <c r="F11473">
        <v>79714189</v>
      </c>
      <c r="G11473">
        <v>79714193</v>
      </c>
      <c r="H11473">
        <v>79714189</v>
      </c>
      <c r="I11473">
        <v>79714193</v>
      </c>
    </row>
    <row r="11474" spans="1:9" x14ac:dyDescent="0.2">
      <c r="A11474" t="str">
        <f>"Kif9"</f>
        <v>Kif9</v>
      </c>
      <c r="B11474" t="s">
        <v>14</v>
      </c>
      <c r="C11474" t="s">
        <v>24</v>
      </c>
      <c r="D11474" t="s">
        <v>17</v>
      </c>
      <c r="E11474" t="s">
        <v>12</v>
      </c>
      <c r="F11474">
        <v>110476985</v>
      </c>
      <c r="G11474">
        <v>110476999</v>
      </c>
      <c r="H11474">
        <v>110477080</v>
      </c>
      <c r="I11474">
        <v>110477097</v>
      </c>
    </row>
    <row r="11475" spans="1:9" x14ac:dyDescent="0.2">
      <c r="A11475" t="str">
        <f>"Kifap3"</f>
        <v>Kifap3</v>
      </c>
      <c r="B11475" t="s">
        <v>14</v>
      </c>
      <c r="C11475" t="s">
        <v>19</v>
      </c>
      <c r="D11475" t="s">
        <v>17</v>
      </c>
      <c r="E11475" t="s">
        <v>12</v>
      </c>
      <c r="F11475">
        <v>163779635</v>
      </c>
      <c r="G11475">
        <v>163779705</v>
      </c>
      <c r="H11475">
        <v>163779709</v>
      </c>
      <c r="I11475">
        <v>163779744</v>
      </c>
    </row>
    <row r="11476" spans="1:9" x14ac:dyDescent="0.2">
      <c r="A11476" t="str">
        <f>"Kifc1"</f>
        <v>Kifc1</v>
      </c>
      <c r="B11476" t="s">
        <v>14</v>
      </c>
      <c r="C11476" t="s">
        <v>28</v>
      </c>
      <c r="D11476" t="s">
        <v>11</v>
      </c>
      <c r="E11476" t="s">
        <v>12</v>
      </c>
      <c r="F11476">
        <v>33890584</v>
      </c>
      <c r="G11476">
        <v>33890652</v>
      </c>
      <c r="H11476">
        <v>33890544</v>
      </c>
      <c r="I11476">
        <v>33890560</v>
      </c>
    </row>
    <row r="11477" spans="1:9" x14ac:dyDescent="0.2">
      <c r="A11477" t="str">
        <f>"Kifc2"</f>
        <v>Kifc2</v>
      </c>
      <c r="B11477" t="s">
        <v>14</v>
      </c>
      <c r="C11477" t="s">
        <v>25</v>
      </c>
      <c r="D11477" t="s">
        <v>17</v>
      </c>
      <c r="E11477" t="s">
        <v>12</v>
      </c>
      <c r="F11477">
        <v>76660564</v>
      </c>
      <c r="G11477">
        <v>76660610</v>
      </c>
      <c r="H11477">
        <v>76660328</v>
      </c>
      <c r="I11477">
        <v>76660361</v>
      </c>
    </row>
    <row r="11478" spans="1:9" x14ac:dyDescent="0.2">
      <c r="A11478" t="str">
        <f>"Kifc3"</f>
        <v>Kifc3</v>
      </c>
      <c r="B11478" t="s">
        <v>14</v>
      </c>
      <c r="C11478" t="s">
        <v>30</v>
      </c>
      <c r="D11478" t="s">
        <v>11</v>
      </c>
      <c r="E11478" t="s">
        <v>12</v>
      </c>
      <c r="F11478">
        <v>95142477</v>
      </c>
      <c r="G11478">
        <v>95142577</v>
      </c>
      <c r="H11478">
        <v>95142477</v>
      </c>
      <c r="I11478">
        <v>95142577</v>
      </c>
    </row>
    <row r="11479" spans="1:9" x14ac:dyDescent="0.2">
      <c r="A11479" t="str">
        <f>"Kifc5b"</f>
        <v>Kifc5b</v>
      </c>
      <c r="B11479" t="s">
        <v>14</v>
      </c>
      <c r="C11479" t="s">
        <v>28</v>
      </c>
      <c r="D11479" t="s">
        <v>17</v>
      </c>
      <c r="E11479" t="s">
        <v>12</v>
      </c>
      <c r="F11479">
        <v>26917111</v>
      </c>
      <c r="G11479">
        <v>26917159</v>
      </c>
      <c r="H11479">
        <v>26917096</v>
      </c>
      <c r="I11479">
        <v>26917107</v>
      </c>
    </row>
    <row r="11480" spans="1:9" x14ac:dyDescent="0.2">
      <c r="A11480" t="str">
        <f>"Kin"</f>
        <v>Kin</v>
      </c>
      <c r="B11480" t="s">
        <v>14</v>
      </c>
      <c r="C11480" t="s">
        <v>26</v>
      </c>
      <c r="D11480" t="s">
        <v>17</v>
      </c>
      <c r="E11480" t="s">
        <v>12</v>
      </c>
      <c r="F11480">
        <v>10080600</v>
      </c>
      <c r="G11480">
        <v>10080618</v>
      </c>
      <c r="H11480">
        <v>10080575</v>
      </c>
      <c r="I11480">
        <v>10080595</v>
      </c>
    </row>
    <row r="11481" spans="1:9" x14ac:dyDescent="0.2">
      <c r="A11481" t="str">
        <f>"Kir3dl1"</f>
        <v>Kir3dl1</v>
      </c>
      <c r="B11481" t="s">
        <v>4222</v>
      </c>
      <c r="C11481" t="s">
        <v>37</v>
      </c>
      <c r="D11481" t="s">
        <v>17</v>
      </c>
      <c r="E11481" t="s">
        <v>20</v>
      </c>
      <c r="F11481">
        <v>136518012</v>
      </c>
      <c r="G11481">
        <v>136518012</v>
      </c>
      <c r="H11481">
        <v>136518012</v>
      </c>
      <c r="I11481">
        <v>136518012</v>
      </c>
    </row>
    <row r="11482" spans="1:9" x14ac:dyDescent="0.2">
      <c r="A11482" t="str">
        <f>"Kir3dl2"</f>
        <v>Kir3dl2</v>
      </c>
      <c r="B11482" t="s">
        <v>4223</v>
      </c>
      <c r="C11482" t="s">
        <v>37</v>
      </c>
      <c r="D11482" t="s">
        <v>11</v>
      </c>
      <c r="E11482" t="s">
        <v>20</v>
      </c>
      <c r="F11482">
        <v>136469040</v>
      </c>
      <c r="G11482">
        <v>136469040</v>
      </c>
      <c r="H11482">
        <v>136469040</v>
      </c>
      <c r="I11482">
        <v>136469040</v>
      </c>
    </row>
    <row r="11483" spans="1:9" x14ac:dyDescent="0.2">
      <c r="A11483" t="str">
        <f>"Kir3dl2"</f>
        <v>Kir3dl2</v>
      </c>
      <c r="B11483" t="s">
        <v>4224</v>
      </c>
      <c r="C11483" t="s">
        <v>37</v>
      </c>
      <c r="D11483" t="s">
        <v>11</v>
      </c>
      <c r="E11483" t="s">
        <v>20</v>
      </c>
      <c r="F11483">
        <v>136544055</v>
      </c>
      <c r="G11483">
        <v>136544055</v>
      </c>
      <c r="H11483">
        <v>136544055</v>
      </c>
      <c r="I11483">
        <v>136544055</v>
      </c>
    </row>
    <row r="11484" spans="1:9" x14ac:dyDescent="0.2">
      <c r="A11484" t="str">
        <f>"Kirrel"</f>
        <v>Kirrel</v>
      </c>
      <c r="B11484" t="s">
        <v>14</v>
      </c>
      <c r="C11484" t="s">
        <v>22</v>
      </c>
      <c r="D11484" t="s">
        <v>11</v>
      </c>
      <c r="E11484" t="s">
        <v>12</v>
      </c>
      <c r="F11484">
        <v>87174518</v>
      </c>
      <c r="G11484">
        <v>87174578</v>
      </c>
      <c r="H11484">
        <v>87174657</v>
      </c>
      <c r="I11484">
        <v>87174679</v>
      </c>
    </row>
    <row r="11485" spans="1:9" x14ac:dyDescent="0.2">
      <c r="A11485" t="str">
        <f>"Kirrel2"</f>
        <v>Kirrel2</v>
      </c>
      <c r="B11485" t="s">
        <v>14</v>
      </c>
      <c r="C11485" t="s">
        <v>33</v>
      </c>
      <c r="D11485" t="s">
        <v>11</v>
      </c>
      <c r="E11485" t="s">
        <v>12</v>
      </c>
      <c r="F11485">
        <v>30457033</v>
      </c>
      <c r="G11485">
        <v>30457080</v>
      </c>
      <c r="H11485">
        <v>30457402</v>
      </c>
      <c r="I11485">
        <v>30457435</v>
      </c>
    </row>
    <row r="11486" spans="1:9" x14ac:dyDescent="0.2">
      <c r="A11486" t="str">
        <f>"Kirrel3"</f>
        <v>Kirrel3</v>
      </c>
      <c r="B11486" t="s">
        <v>14</v>
      </c>
      <c r="C11486" t="s">
        <v>24</v>
      </c>
      <c r="D11486" t="s">
        <v>17</v>
      </c>
      <c r="E11486" t="s">
        <v>12</v>
      </c>
      <c r="F11486">
        <v>34488721</v>
      </c>
      <c r="G11486">
        <v>34488745</v>
      </c>
      <c r="H11486">
        <v>34488821</v>
      </c>
      <c r="I11486">
        <v>34488835</v>
      </c>
    </row>
    <row r="11487" spans="1:9" x14ac:dyDescent="0.2">
      <c r="A11487" t="str">
        <f>"Kiss1"</f>
        <v>Kiss1</v>
      </c>
      <c r="B11487" t="s">
        <v>14</v>
      </c>
      <c r="C11487" t="s">
        <v>19</v>
      </c>
      <c r="D11487" t="s">
        <v>17</v>
      </c>
      <c r="E11487" t="s">
        <v>12</v>
      </c>
      <c r="F11487">
        <v>133309778</v>
      </c>
      <c r="G11487">
        <v>133309829</v>
      </c>
      <c r="H11487">
        <v>133309768</v>
      </c>
      <c r="I11487">
        <v>133309775</v>
      </c>
    </row>
    <row r="11488" spans="1:9" x14ac:dyDescent="0.2">
      <c r="A11488" t="str">
        <f>"Kiss1r"</f>
        <v>Kiss1r</v>
      </c>
      <c r="B11488" t="s">
        <v>14</v>
      </c>
      <c r="C11488" t="s">
        <v>15</v>
      </c>
      <c r="D11488" t="s">
        <v>17</v>
      </c>
      <c r="E11488" t="s">
        <v>12</v>
      </c>
      <c r="F11488">
        <v>79916957</v>
      </c>
      <c r="G11488">
        <v>79916986</v>
      </c>
      <c r="H11488">
        <v>79916957</v>
      </c>
      <c r="I11488">
        <v>79916986</v>
      </c>
    </row>
    <row r="11489" spans="1:9" x14ac:dyDescent="0.2">
      <c r="A11489" t="str">
        <f>"Kit"</f>
        <v>Kit</v>
      </c>
      <c r="B11489" t="s">
        <v>14</v>
      </c>
      <c r="C11489" t="s">
        <v>46</v>
      </c>
      <c r="D11489" t="s">
        <v>17</v>
      </c>
      <c r="E11489" t="s">
        <v>12</v>
      </c>
      <c r="F11489">
        <v>75574986</v>
      </c>
      <c r="G11489">
        <v>75575001</v>
      </c>
      <c r="H11489">
        <v>75574986</v>
      </c>
      <c r="I11489">
        <v>75575001</v>
      </c>
    </row>
    <row r="11490" spans="1:9" x14ac:dyDescent="0.2">
      <c r="A11490" t="str">
        <f>"Kitl"</f>
        <v>Kitl</v>
      </c>
      <c r="B11490" t="s">
        <v>14</v>
      </c>
      <c r="C11490" t="s">
        <v>15</v>
      </c>
      <c r="D11490" t="s">
        <v>17</v>
      </c>
      <c r="E11490" t="s">
        <v>12</v>
      </c>
      <c r="F11490">
        <v>100015817</v>
      </c>
      <c r="G11490">
        <v>100015833</v>
      </c>
      <c r="H11490">
        <v>100015711</v>
      </c>
      <c r="I11490">
        <v>100015729</v>
      </c>
    </row>
    <row r="11491" spans="1:9" x14ac:dyDescent="0.2">
      <c r="A11491" t="str">
        <f>"Kl"</f>
        <v>Kl</v>
      </c>
      <c r="B11491" t="s">
        <v>14</v>
      </c>
      <c r="C11491" t="s">
        <v>46</v>
      </c>
      <c r="D11491" t="s">
        <v>17</v>
      </c>
      <c r="E11491" t="s">
        <v>12</v>
      </c>
      <c r="F11491">
        <v>150952697</v>
      </c>
      <c r="G11491">
        <v>150952714</v>
      </c>
      <c r="H11491">
        <v>150952462</v>
      </c>
      <c r="I11491">
        <v>150952464</v>
      </c>
    </row>
    <row r="11492" spans="1:9" x14ac:dyDescent="0.2">
      <c r="A11492" t="str">
        <f>"Klb"</f>
        <v>Klb</v>
      </c>
      <c r="B11492" t="s">
        <v>14</v>
      </c>
      <c r="C11492" t="s">
        <v>46</v>
      </c>
      <c r="D11492" t="s">
        <v>17</v>
      </c>
      <c r="E11492" t="s">
        <v>12</v>
      </c>
      <c r="F11492">
        <v>65348386</v>
      </c>
      <c r="G11492">
        <v>65348406</v>
      </c>
      <c r="H11492">
        <v>65348328</v>
      </c>
      <c r="I11492">
        <v>65348346</v>
      </c>
    </row>
    <row r="11493" spans="1:9" x14ac:dyDescent="0.2">
      <c r="A11493" t="str">
        <f>"Klc1"</f>
        <v>Klc1</v>
      </c>
      <c r="B11493" t="s">
        <v>14</v>
      </c>
      <c r="C11493" t="s">
        <v>16</v>
      </c>
      <c r="D11493" t="s">
        <v>17</v>
      </c>
      <c r="E11493" t="s">
        <v>12</v>
      </c>
      <c r="F11493">
        <v>111758848</v>
      </c>
      <c r="G11493">
        <v>111758915</v>
      </c>
      <c r="H11493">
        <v>111758923</v>
      </c>
      <c r="I11493">
        <v>111758939</v>
      </c>
    </row>
    <row r="11494" spans="1:9" x14ac:dyDescent="0.2">
      <c r="A11494" t="str">
        <f>"Klc2"</f>
        <v>Klc2</v>
      </c>
      <c r="B11494" t="s">
        <v>14</v>
      </c>
      <c r="C11494" t="s">
        <v>10</v>
      </c>
      <c r="D11494" t="s">
        <v>11</v>
      </c>
      <c r="E11494" t="s">
        <v>12</v>
      </c>
      <c r="F11494">
        <v>5118224</v>
      </c>
      <c r="G11494">
        <v>5118322</v>
      </c>
      <c r="H11494">
        <v>5118345</v>
      </c>
      <c r="I11494">
        <v>5118358</v>
      </c>
    </row>
    <row r="11495" spans="1:9" x14ac:dyDescent="0.2">
      <c r="A11495" t="str">
        <f>"Klc3"</f>
        <v>Klc3</v>
      </c>
      <c r="B11495" t="s">
        <v>9</v>
      </c>
      <c r="C11495" t="s">
        <v>33</v>
      </c>
      <c r="D11495" t="s">
        <v>11</v>
      </c>
      <c r="E11495" t="s">
        <v>12</v>
      </c>
      <c r="F11495">
        <v>19399859</v>
      </c>
      <c r="G11495">
        <v>19399909</v>
      </c>
      <c r="H11495">
        <v>19399859</v>
      </c>
      <c r="I11495">
        <v>19399909</v>
      </c>
    </row>
    <row r="11496" spans="1:9" x14ac:dyDescent="0.2">
      <c r="A11496" t="str">
        <f>"Klc3"</f>
        <v>Klc3</v>
      </c>
      <c r="B11496" t="s">
        <v>13</v>
      </c>
      <c r="C11496" t="s">
        <v>33</v>
      </c>
      <c r="D11496" t="s">
        <v>11</v>
      </c>
      <c r="E11496" t="s">
        <v>12</v>
      </c>
      <c r="F11496">
        <v>19404082</v>
      </c>
      <c r="G11496">
        <v>19404130</v>
      </c>
      <c r="H11496">
        <v>19404082</v>
      </c>
      <c r="I11496">
        <v>19404130</v>
      </c>
    </row>
    <row r="11497" spans="1:9" x14ac:dyDescent="0.2">
      <c r="A11497" t="str">
        <f>"Klc4"</f>
        <v>Klc4</v>
      </c>
      <c r="B11497" t="s">
        <v>14</v>
      </c>
      <c r="C11497" t="s">
        <v>28</v>
      </c>
      <c r="D11497" t="s">
        <v>11</v>
      </c>
      <c r="E11497" t="s">
        <v>12</v>
      </c>
      <c r="F11497">
        <v>46645128</v>
      </c>
      <c r="G11497">
        <v>46645159</v>
      </c>
      <c r="H11497">
        <v>46645996</v>
      </c>
      <c r="I11497">
        <v>46646035</v>
      </c>
    </row>
    <row r="11498" spans="1:9" x14ac:dyDescent="0.2">
      <c r="A11498" t="str">
        <f>"Klf1"</f>
        <v>Klf1</v>
      </c>
      <c r="B11498" t="s">
        <v>14</v>
      </c>
      <c r="C11498" t="s">
        <v>30</v>
      </c>
      <c r="D11498" t="s">
        <v>17</v>
      </c>
      <c r="E11498" t="s">
        <v>12</v>
      </c>
      <c r="F11498">
        <v>84901955</v>
      </c>
      <c r="G11498">
        <v>84901992</v>
      </c>
      <c r="H11498">
        <v>84901955</v>
      </c>
      <c r="I11498">
        <v>84901992</v>
      </c>
    </row>
    <row r="11499" spans="1:9" x14ac:dyDescent="0.2">
      <c r="A11499" t="str">
        <f>"Klf10"</f>
        <v>Klf10</v>
      </c>
      <c r="B11499" t="s">
        <v>14</v>
      </c>
      <c r="C11499" t="s">
        <v>25</v>
      </c>
      <c r="D11499" t="s">
        <v>11</v>
      </c>
      <c r="E11499" t="s">
        <v>12</v>
      </c>
      <c r="F11499">
        <v>38300693</v>
      </c>
      <c r="G11499">
        <v>38300715</v>
      </c>
      <c r="H11499">
        <v>38300660</v>
      </c>
      <c r="I11499">
        <v>38300671</v>
      </c>
    </row>
    <row r="11500" spans="1:9" x14ac:dyDescent="0.2">
      <c r="A11500" t="str">
        <f>"Klf11"</f>
        <v>Klf11</v>
      </c>
      <c r="B11500" t="s">
        <v>14</v>
      </c>
      <c r="C11500" t="s">
        <v>16</v>
      </c>
      <c r="D11500" t="s">
        <v>17</v>
      </c>
      <c r="E11500" t="s">
        <v>12</v>
      </c>
      <c r="F11500">
        <v>24651346</v>
      </c>
      <c r="G11500">
        <v>24651409</v>
      </c>
      <c r="H11500">
        <v>24651421</v>
      </c>
      <c r="I11500">
        <v>24651432</v>
      </c>
    </row>
    <row r="11501" spans="1:9" x14ac:dyDescent="0.2">
      <c r="A11501" t="str">
        <f>"Klf12"</f>
        <v>Klf12</v>
      </c>
      <c r="B11501" t="s">
        <v>4225</v>
      </c>
      <c r="C11501" t="s">
        <v>41</v>
      </c>
      <c r="D11501" t="s">
        <v>11</v>
      </c>
      <c r="E11501" t="s">
        <v>20</v>
      </c>
      <c r="F11501">
        <v>100149763</v>
      </c>
      <c r="G11501">
        <v>100149763</v>
      </c>
      <c r="H11501">
        <v>100149763</v>
      </c>
      <c r="I11501">
        <v>100149763</v>
      </c>
    </row>
    <row r="11502" spans="1:9" x14ac:dyDescent="0.2">
      <c r="A11502" t="str">
        <f>"Klf13"</f>
        <v>Klf13</v>
      </c>
      <c r="B11502" t="s">
        <v>14</v>
      </c>
      <c r="C11502" t="s">
        <v>33</v>
      </c>
      <c r="D11502" t="s">
        <v>11</v>
      </c>
      <c r="E11502" t="s">
        <v>12</v>
      </c>
      <c r="F11502">
        <v>63938862</v>
      </c>
      <c r="G11502">
        <v>63938933</v>
      </c>
      <c r="H11502">
        <v>63938990</v>
      </c>
      <c r="I11502">
        <v>63939046</v>
      </c>
    </row>
    <row r="11503" spans="1:9" x14ac:dyDescent="0.2">
      <c r="A11503" t="str">
        <f>"Klf14"</f>
        <v>Klf14</v>
      </c>
      <c r="B11503" t="s">
        <v>14</v>
      </c>
      <c r="C11503" t="s">
        <v>32</v>
      </c>
      <c r="D11503" t="s">
        <v>11</v>
      </c>
      <c r="E11503" t="s">
        <v>12</v>
      </c>
      <c r="F11503">
        <v>30958793</v>
      </c>
      <c r="G11503">
        <v>30958815</v>
      </c>
      <c r="H11503">
        <v>30958793</v>
      </c>
      <c r="I11503">
        <v>30958815</v>
      </c>
    </row>
    <row r="11504" spans="1:9" x14ac:dyDescent="0.2">
      <c r="A11504" t="str">
        <f>"Klf15"</f>
        <v>Klf15</v>
      </c>
      <c r="B11504" t="s">
        <v>14</v>
      </c>
      <c r="C11504" t="s">
        <v>32</v>
      </c>
      <c r="D11504" t="s">
        <v>17</v>
      </c>
      <c r="E11504" t="s">
        <v>12</v>
      </c>
      <c r="F11504">
        <v>90462588</v>
      </c>
      <c r="G11504">
        <v>90462607</v>
      </c>
      <c r="H11504">
        <v>90462614</v>
      </c>
      <c r="I11504">
        <v>90462636</v>
      </c>
    </row>
    <row r="11505" spans="1:9" x14ac:dyDescent="0.2">
      <c r="A11505" t="str">
        <f>"Klf16"</f>
        <v>Klf16</v>
      </c>
      <c r="B11505" t="s">
        <v>14</v>
      </c>
      <c r="C11505" t="s">
        <v>15</v>
      </c>
      <c r="D11505" t="s">
        <v>11</v>
      </c>
      <c r="E11505" t="s">
        <v>12</v>
      </c>
      <c r="F11505">
        <v>80577285</v>
      </c>
      <c r="G11505">
        <v>80577327</v>
      </c>
      <c r="H11505">
        <v>80577718</v>
      </c>
      <c r="I11505">
        <v>80577753</v>
      </c>
    </row>
    <row r="11506" spans="1:9" x14ac:dyDescent="0.2">
      <c r="A11506" t="str">
        <f>"Klf17"</f>
        <v>Klf17</v>
      </c>
      <c r="B11506" t="s">
        <v>14</v>
      </c>
      <c r="C11506" t="s">
        <v>23</v>
      </c>
      <c r="D11506" t="s">
        <v>11</v>
      </c>
      <c r="E11506" t="s">
        <v>12</v>
      </c>
      <c r="F11506">
        <v>117765550</v>
      </c>
      <c r="G11506">
        <v>117765570</v>
      </c>
      <c r="H11506">
        <v>117765550</v>
      </c>
      <c r="I11506">
        <v>117765570</v>
      </c>
    </row>
    <row r="11507" spans="1:9" x14ac:dyDescent="0.2">
      <c r="A11507" t="str">
        <f>"Klf2"</f>
        <v>Klf2</v>
      </c>
      <c r="B11507" t="s">
        <v>14</v>
      </c>
      <c r="C11507" t="s">
        <v>30</v>
      </c>
      <c r="D11507" t="s">
        <v>17</v>
      </c>
      <c r="E11507" t="s">
        <v>12</v>
      </c>
      <c r="F11507">
        <v>72319053</v>
      </c>
      <c r="G11507">
        <v>72319071</v>
      </c>
      <c r="H11507">
        <v>72318893</v>
      </c>
      <c r="I11507">
        <v>72318915</v>
      </c>
    </row>
    <row r="11508" spans="1:9" x14ac:dyDescent="0.2">
      <c r="A11508" t="str">
        <f>"Klf3"</f>
        <v>Klf3</v>
      </c>
      <c r="B11508" t="s">
        <v>14</v>
      </c>
      <c r="C11508" t="s">
        <v>46</v>
      </c>
      <c r="D11508" t="s">
        <v>17</v>
      </c>
      <c r="E11508" t="s">
        <v>12</v>
      </c>
      <c r="F11508">
        <v>64803513</v>
      </c>
      <c r="G11508">
        <v>64803530</v>
      </c>
      <c r="H11508">
        <v>64803481</v>
      </c>
      <c r="I11508">
        <v>64803499</v>
      </c>
    </row>
    <row r="11509" spans="1:9" x14ac:dyDescent="0.2">
      <c r="A11509" t="str">
        <f>"Klf4"</f>
        <v>Klf4</v>
      </c>
      <c r="B11509" t="s">
        <v>14</v>
      </c>
      <c r="C11509" t="s">
        <v>23</v>
      </c>
      <c r="D11509" t="s">
        <v>11</v>
      </c>
      <c r="E11509" t="s">
        <v>12</v>
      </c>
      <c r="F11509">
        <v>55532465</v>
      </c>
      <c r="G11509">
        <v>55532485</v>
      </c>
      <c r="H11509">
        <v>55532465</v>
      </c>
      <c r="I11509">
        <v>55532485</v>
      </c>
    </row>
    <row r="11510" spans="1:9" x14ac:dyDescent="0.2">
      <c r="A11510" t="str">
        <f>"Klf5"</f>
        <v>Klf5</v>
      </c>
      <c r="B11510" t="s">
        <v>14</v>
      </c>
      <c r="C11510" t="s">
        <v>41</v>
      </c>
      <c r="D11510" t="s">
        <v>17</v>
      </c>
      <c r="E11510" t="s">
        <v>12</v>
      </c>
      <c r="F11510">
        <v>99298652</v>
      </c>
      <c r="G11510">
        <v>99298715</v>
      </c>
      <c r="H11510">
        <v>99298652</v>
      </c>
      <c r="I11510">
        <v>99298715</v>
      </c>
    </row>
    <row r="11511" spans="1:9" x14ac:dyDescent="0.2">
      <c r="A11511" t="str">
        <f>"Klf6"</f>
        <v>Klf6</v>
      </c>
      <c r="B11511" t="s">
        <v>14</v>
      </c>
      <c r="C11511" t="s">
        <v>39</v>
      </c>
      <c r="D11511" t="s">
        <v>17</v>
      </c>
      <c r="E11511" t="s">
        <v>12</v>
      </c>
      <c r="F11511">
        <v>5861530</v>
      </c>
      <c r="G11511">
        <v>5861550</v>
      </c>
      <c r="H11511">
        <v>5861503</v>
      </c>
      <c r="I11511">
        <v>5861526</v>
      </c>
    </row>
    <row r="11512" spans="1:9" x14ac:dyDescent="0.2">
      <c r="A11512" t="str">
        <f>"Klf7"</f>
        <v>Klf7</v>
      </c>
      <c r="B11512" t="s">
        <v>14</v>
      </c>
      <c r="C11512" t="s">
        <v>19</v>
      </c>
      <c r="D11512" t="s">
        <v>11</v>
      </c>
      <c r="E11512" t="s">
        <v>12</v>
      </c>
      <c r="F11512">
        <v>64121398</v>
      </c>
      <c r="G11512">
        <v>64121452</v>
      </c>
      <c r="H11512">
        <v>64122256</v>
      </c>
      <c r="I11512">
        <v>64122321</v>
      </c>
    </row>
    <row r="11513" spans="1:9" x14ac:dyDescent="0.2">
      <c r="A11513" t="str">
        <f>"Klf8"</f>
        <v>Klf8</v>
      </c>
      <c r="B11513" t="s">
        <v>14</v>
      </c>
      <c r="C11513" t="s">
        <v>37</v>
      </c>
      <c r="D11513" t="s">
        <v>17</v>
      </c>
      <c r="E11513" t="s">
        <v>12</v>
      </c>
      <c r="F11513">
        <v>153237812</v>
      </c>
      <c r="G11513">
        <v>153237852</v>
      </c>
      <c r="H11513">
        <v>153237446</v>
      </c>
      <c r="I11513">
        <v>153237478</v>
      </c>
    </row>
    <row r="11514" spans="1:9" x14ac:dyDescent="0.2">
      <c r="A11514" t="str">
        <f>"Klf9"</f>
        <v>Klf9</v>
      </c>
      <c r="B11514" t="s">
        <v>14</v>
      </c>
      <c r="C11514" t="s">
        <v>10</v>
      </c>
      <c r="D11514" t="s">
        <v>17</v>
      </c>
      <c r="E11514" t="s">
        <v>12</v>
      </c>
      <c r="F11514">
        <v>23141183</v>
      </c>
      <c r="G11514">
        <v>23141263</v>
      </c>
      <c r="H11514">
        <v>23141183</v>
      </c>
      <c r="I11514">
        <v>23141263</v>
      </c>
    </row>
    <row r="11515" spans="1:9" x14ac:dyDescent="0.2">
      <c r="A11515" t="str">
        <f>"Klhdc1"</f>
        <v>Klhdc1</v>
      </c>
      <c r="B11515" t="s">
        <v>14</v>
      </c>
      <c r="C11515" t="s">
        <v>16</v>
      </c>
      <c r="D11515" t="s">
        <v>17</v>
      </c>
      <c r="E11515" t="s">
        <v>12</v>
      </c>
      <c r="F11515">
        <v>69241841</v>
      </c>
      <c r="G11515">
        <v>69241901</v>
      </c>
      <c r="H11515">
        <v>69241841</v>
      </c>
      <c r="I11515">
        <v>69241901</v>
      </c>
    </row>
    <row r="11516" spans="1:9" x14ac:dyDescent="0.2">
      <c r="A11516" t="str">
        <f>"Klhdc10"</f>
        <v>Klhdc10</v>
      </c>
      <c r="B11516" t="s">
        <v>14</v>
      </c>
      <c r="C11516" t="s">
        <v>32</v>
      </c>
      <c r="D11516" t="s">
        <v>17</v>
      </c>
      <c r="E11516" t="s">
        <v>12</v>
      </c>
      <c r="F11516">
        <v>30401866</v>
      </c>
      <c r="G11516">
        <v>30401965</v>
      </c>
      <c r="H11516">
        <v>30402090</v>
      </c>
      <c r="I11516">
        <v>30402124</v>
      </c>
    </row>
    <row r="11517" spans="1:9" x14ac:dyDescent="0.2">
      <c r="A11517" t="str">
        <f>"Klhdc2"</f>
        <v>Klhdc2</v>
      </c>
      <c r="B11517" t="s">
        <v>14</v>
      </c>
      <c r="C11517" t="s">
        <v>16</v>
      </c>
      <c r="D11517" t="s">
        <v>17</v>
      </c>
      <c r="E11517" t="s">
        <v>12</v>
      </c>
      <c r="F11517">
        <v>69296676</v>
      </c>
      <c r="G11517">
        <v>69296798</v>
      </c>
      <c r="H11517">
        <v>69296831</v>
      </c>
      <c r="I11517">
        <v>69296904</v>
      </c>
    </row>
    <row r="11518" spans="1:9" x14ac:dyDescent="0.2">
      <c r="A11518" t="str">
        <f>"Klhdc3"</f>
        <v>Klhdc3</v>
      </c>
      <c r="B11518" t="s">
        <v>14</v>
      </c>
      <c r="C11518" t="s">
        <v>28</v>
      </c>
      <c r="D11518" t="s">
        <v>11</v>
      </c>
      <c r="E11518" t="s">
        <v>12</v>
      </c>
      <c r="F11518">
        <v>46680786</v>
      </c>
      <c r="G11518">
        <v>46680834</v>
      </c>
      <c r="H11518">
        <v>46680870</v>
      </c>
      <c r="I11518">
        <v>46680933</v>
      </c>
    </row>
    <row r="11519" spans="1:9" x14ac:dyDescent="0.2">
      <c r="A11519" t="str">
        <f>"Klhdc4"</f>
        <v>Klhdc4</v>
      </c>
      <c r="B11519" t="s">
        <v>14</v>
      </c>
      <c r="C11519" t="s">
        <v>30</v>
      </c>
      <c r="D11519" t="s">
        <v>11</v>
      </c>
      <c r="E11519" t="s">
        <v>12</v>
      </c>
      <c r="F11519">
        <v>121829520</v>
      </c>
      <c r="G11519">
        <v>121829571</v>
      </c>
      <c r="H11519">
        <v>121829507</v>
      </c>
      <c r="I11519">
        <v>121829514</v>
      </c>
    </row>
    <row r="11520" spans="1:9" x14ac:dyDescent="0.2">
      <c r="A11520" t="str">
        <f>"Klhdc7a"</f>
        <v>Klhdc7a</v>
      </c>
      <c r="B11520" t="s">
        <v>14</v>
      </c>
      <c r="C11520" t="s">
        <v>23</v>
      </c>
      <c r="D11520" t="s">
        <v>11</v>
      </c>
      <c r="E11520" t="s">
        <v>12</v>
      </c>
      <c r="F11520">
        <v>139967445</v>
      </c>
      <c r="G11520">
        <v>139967460</v>
      </c>
      <c r="H11520">
        <v>139967503</v>
      </c>
      <c r="I11520">
        <v>139967516</v>
      </c>
    </row>
    <row r="11521" spans="1:9" x14ac:dyDescent="0.2">
      <c r="A11521" t="str">
        <f>"Klhdc7b"</f>
        <v>Klhdc7b</v>
      </c>
      <c r="B11521" t="s">
        <v>4226</v>
      </c>
      <c r="C11521" t="s">
        <v>25</v>
      </c>
      <c r="D11521" t="s">
        <v>17</v>
      </c>
      <c r="E11521" t="s">
        <v>20</v>
      </c>
      <c r="F11521">
        <v>89386826</v>
      </c>
      <c r="G11521">
        <v>89386826</v>
      </c>
      <c r="H11521">
        <v>89386826</v>
      </c>
      <c r="I11521">
        <v>89386826</v>
      </c>
    </row>
    <row r="11522" spans="1:9" x14ac:dyDescent="0.2">
      <c r="A11522" t="str">
        <f>"Klhdc8a"</f>
        <v>Klhdc8a</v>
      </c>
      <c r="B11522" t="s">
        <v>14</v>
      </c>
      <c r="C11522" t="s">
        <v>19</v>
      </c>
      <c r="D11522" t="s">
        <v>17</v>
      </c>
      <c r="E11522" t="s">
        <v>12</v>
      </c>
      <c r="F11522">
        <v>132298606</v>
      </c>
      <c r="G11522">
        <v>132298631</v>
      </c>
      <c r="H11522">
        <v>132298570</v>
      </c>
      <c r="I11522">
        <v>132298600</v>
      </c>
    </row>
    <row r="11523" spans="1:9" x14ac:dyDescent="0.2">
      <c r="A11523" t="str">
        <f>"Klhdc8b"</f>
        <v>Klhdc8b</v>
      </c>
      <c r="B11523" t="s">
        <v>14</v>
      </c>
      <c r="C11523" t="s">
        <v>24</v>
      </c>
      <c r="D11523" t="s">
        <v>11</v>
      </c>
      <c r="E11523" t="s">
        <v>12</v>
      </c>
      <c r="F11523">
        <v>108452379</v>
      </c>
      <c r="G11523">
        <v>108452412</v>
      </c>
      <c r="H11523">
        <v>108452750</v>
      </c>
      <c r="I11523">
        <v>108452803</v>
      </c>
    </row>
    <row r="11524" spans="1:9" x14ac:dyDescent="0.2">
      <c r="A11524" t="str">
        <f>"Klhdc9"</f>
        <v>Klhdc9</v>
      </c>
      <c r="B11524" t="s">
        <v>14</v>
      </c>
      <c r="C11524" t="s">
        <v>19</v>
      </c>
      <c r="D11524" t="s">
        <v>11</v>
      </c>
      <c r="E11524" t="s">
        <v>12</v>
      </c>
      <c r="F11524">
        <v>171360805</v>
      </c>
      <c r="G11524">
        <v>171360834</v>
      </c>
      <c r="H11524">
        <v>171360729</v>
      </c>
      <c r="I11524">
        <v>171360750</v>
      </c>
    </row>
    <row r="11525" spans="1:9" x14ac:dyDescent="0.2">
      <c r="A11525" t="str">
        <f>"Klhl1"</f>
        <v>Klhl1</v>
      </c>
      <c r="B11525" t="s">
        <v>14</v>
      </c>
      <c r="C11525" t="s">
        <v>41</v>
      </c>
      <c r="D11525" t="s">
        <v>11</v>
      </c>
      <c r="E11525" t="s">
        <v>12</v>
      </c>
      <c r="F11525">
        <v>96519067</v>
      </c>
      <c r="G11525">
        <v>96519102</v>
      </c>
      <c r="H11525">
        <v>96518954</v>
      </c>
      <c r="I11525">
        <v>96518968</v>
      </c>
    </row>
    <row r="11526" spans="1:9" x14ac:dyDescent="0.2">
      <c r="A11526" t="str">
        <f>"Klhl10"</f>
        <v>Klhl10</v>
      </c>
      <c r="B11526" t="s">
        <v>14</v>
      </c>
      <c r="C11526" t="s">
        <v>27</v>
      </c>
      <c r="D11526" t="s">
        <v>17</v>
      </c>
      <c r="E11526" t="s">
        <v>12</v>
      </c>
      <c r="F11526">
        <v>100441882</v>
      </c>
      <c r="G11526">
        <v>100441938</v>
      </c>
      <c r="H11526">
        <v>100441947</v>
      </c>
      <c r="I11526">
        <v>100441954</v>
      </c>
    </row>
    <row r="11527" spans="1:9" x14ac:dyDescent="0.2">
      <c r="A11527" t="str">
        <f>"Klhl11"</f>
        <v>Klhl11</v>
      </c>
      <c r="B11527" t="s">
        <v>14</v>
      </c>
      <c r="C11527" t="s">
        <v>27</v>
      </c>
      <c r="D11527" t="s">
        <v>11</v>
      </c>
      <c r="E11527" t="s">
        <v>12</v>
      </c>
      <c r="F11527">
        <v>100472772</v>
      </c>
      <c r="G11527">
        <v>100472788</v>
      </c>
      <c r="H11527">
        <v>100472725</v>
      </c>
      <c r="I11527">
        <v>100472759</v>
      </c>
    </row>
    <row r="11528" spans="1:9" x14ac:dyDescent="0.2">
      <c r="A11528" t="str">
        <f>"Klhl12"</f>
        <v>Klhl12</v>
      </c>
      <c r="B11528" t="s">
        <v>14</v>
      </c>
      <c r="C11528" t="s">
        <v>19</v>
      </c>
      <c r="D11528" t="s">
        <v>17</v>
      </c>
      <c r="E11528" t="s">
        <v>12</v>
      </c>
      <c r="F11528">
        <v>134455524</v>
      </c>
      <c r="G11528">
        <v>134455564</v>
      </c>
      <c r="H11528">
        <v>134455509</v>
      </c>
      <c r="I11528">
        <v>134455523</v>
      </c>
    </row>
    <row r="11529" spans="1:9" x14ac:dyDescent="0.2">
      <c r="A11529" t="str">
        <f>"Klhl13"</f>
        <v>Klhl13</v>
      </c>
      <c r="B11529" t="s">
        <v>4227</v>
      </c>
      <c r="C11529" t="s">
        <v>37</v>
      </c>
      <c r="D11529" t="s">
        <v>11</v>
      </c>
      <c r="E11529" t="s">
        <v>35</v>
      </c>
      <c r="F11529">
        <v>23284923</v>
      </c>
      <c r="G11529">
        <v>23284931</v>
      </c>
      <c r="H11529">
        <v>23284673</v>
      </c>
      <c r="I11529">
        <v>23284689</v>
      </c>
    </row>
    <row r="11530" spans="1:9" x14ac:dyDescent="0.2">
      <c r="A11530" t="str">
        <f>"Klhl14"</f>
        <v>Klhl14</v>
      </c>
      <c r="B11530" t="s">
        <v>14</v>
      </c>
      <c r="C11530" t="s">
        <v>43</v>
      </c>
      <c r="D11530" t="s">
        <v>11</v>
      </c>
      <c r="E11530" t="s">
        <v>12</v>
      </c>
      <c r="F11530">
        <v>21652362</v>
      </c>
      <c r="G11530">
        <v>21652373</v>
      </c>
      <c r="H11530">
        <v>21652362</v>
      </c>
      <c r="I11530">
        <v>21652373</v>
      </c>
    </row>
    <row r="11531" spans="1:9" x14ac:dyDescent="0.2">
      <c r="A11531" t="str">
        <f>"Klhl15"</f>
        <v>Klhl15</v>
      </c>
      <c r="B11531" t="s">
        <v>14</v>
      </c>
      <c r="C11531" t="s">
        <v>37</v>
      </c>
      <c r="D11531" t="s">
        <v>17</v>
      </c>
      <c r="E11531" t="s">
        <v>12</v>
      </c>
      <c r="F11531">
        <v>94234982</v>
      </c>
      <c r="G11531">
        <v>94234997</v>
      </c>
      <c r="H11531">
        <v>94234921</v>
      </c>
      <c r="I11531">
        <v>94234972</v>
      </c>
    </row>
    <row r="11532" spans="1:9" x14ac:dyDescent="0.2">
      <c r="A11532" t="str">
        <f>"Klhl17"</f>
        <v>Klhl17</v>
      </c>
      <c r="B11532" t="s">
        <v>14</v>
      </c>
      <c r="C11532" t="s">
        <v>23</v>
      </c>
      <c r="D11532" t="s">
        <v>11</v>
      </c>
      <c r="E11532" t="s">
        <v>12</v>
      </c>
      <c r="F11532">
        <v>156234777</v>
      </c>
      <c r="G11532">
        <v>156234873</v>
      </c>
      <c r="H11532">
        <v>156234750</v>
      </c>
      <c r="I11532">
        <v>156234757</v>
      </c>
    </row>
    <row r="11533" spans="1:9" x14ac:dyDescent="0.2">
      <c r="A11533" t="str">
        <f>"Klhl18"</f>
        <v>Klhl18</v>
      </c>
      <c r="B11533" t="s">
        <v>14</v>
      </c>
      <c r="C11533" t="s">
        <v>24</v>
      </c>
      <c r="D11533" t="s">
        <v>11</v>
      </c>
      <c r="E11533" t="s">
        <v>12</v>
      </c>
      <c r="F11533">
        <v>110476604</v>
      </c>
      <c r="G11533">
        <v>110476627</v>
      </c>
      <c r="H11533">
        <v>110476637</v>
      </c>
      <c r="I11533">
        <v>110476648</v>
      </c>
    </row>
    <row r="11534" spans="1:9" x14ac:dyDescent="0.2">
      <c r="A11534" t="str">
        <f>"Klhl2"</f>
        <v>Klhl2</v>
      </c>
      <c r="B11534" t="s">
        <v>14</v>
      </c>
      <c r="C11534" t="s">
        <v>30</v>
      </c>
      <c r="D11534" t="s">
        <v>11</v>
      </c>
      <c r="E11534" t="s">
        <v>12</v>
      </c>
      <c r="F11534">
        <v>64849922</v>
      </c>
      <c r="G11534">
        <v>64849981</v>
      </c>
      <c r="H11534">
        <v>64849922</v>
      </c>
      <c r="I11534">
        <v>64849981</v>
      </c>
    </row>
    <row r="11535" spans="1:9" x14ac:dyDescent="0.2">
      <c r="A11535" t="str">
        <f>"Klhl20"</f>
        <v>Klhl20</v>
      </c>
      <c r="B11535" t="s">
        <v>14</v>
      </c>
      <c r="C11535" t="s">
        <v>19</v>
      </c>
      <c r="D11535" t="s">
        <v>11</v>
      </c>
      <c r="E11535" t="s">
        <v>12</v>
      </c>
      <c r="F11535">
        <v>161131428</v>
      </c>
      <c r="G11535">
        <v>161131486</v>
      </c>
      <c r="H11535">
        <v>161131498</v>
      </c>
      <c r="I11535">
        <v>161131503</v>
      </c>
    </row>
    <row r="11536" spans="1:9" x14ac:dyDescent="0.2">
      <c r="A11536" t="str">
        <f>"Klhl21"</f>
        <v>Klhl21</v>
      </c>
      <c r="B11536" t="s">
        <v>14</v>
      </c>
      <c r="C11536" t="s">
        <v>23</v>
      </c>
      <c r="D11536" t="s">
        <v>17</v>
      </c>
      <c r="E11536" t="s">
        <v>12</v>
      </c>
      <c r="F11536">
        <v>152008894</v>
      </c>
      <c r="G11536">
        <v>152008928</v>
      </c>
      <c r="H11536">
        <v>152008936</v>
      </c>
      <c r="I11536">
        <v>152008948</v>
      </c>
    </row>
    <row r="11537" spans="1:9" x14ac:dyDescent="0.2">
      <c r="A11537" t="str">
        <f>"Klhl22"</f>
        <v>Klhl22</v>
      </c>
      <c r="B11537" t="s">
        <v>14</v>
      </c>
      <c r="C11537" t="s">
        <v>31</v>
      </c>
      <c r="D11537" t="s">
        <v>17</v>
      </c>
      <c r="E11537" t="s">
        <v>12</v>
      </c>
      <c r="F11537">
        <v>17759630</v>
      </c>
      <c r="G11537">
        <v>17759683</v>
      </c>
      <c r="H11537">
        <v>17759687</v>
      </c>
      <c r="I11537">
        <v>17759699</v>
      </c>
    </row>
    <row r="11538" spans="1:9" x14ac:dyDescent="0.2">
      <c r="A11538" t="str">
        <f>"Klhl23"</f>
        <v>Klhl23</v>
      </c>
      <c r="B11538" t="s">
        <v>14</v>
      </c>
      <c r="C11538" t="s">
        <v>26</v>
      </c>
      <c r="D11538" t="s">
        <v>17</v>
      </c>
      <c r="E11538" t="s">
        <v>12</v>
      </c>
      <c r="F11538">
        <v>69822441</v>
      </c>
      <c r="G11538">
        <v>69822511</v>
      </c>
      <c r="H11538">
        <v>69821940</v>
      </c>
      <c r="I11538">
        <v>69821991</v>
      </c>
    </row>
    <row r="11539" spans="1:9" x14ac:dyDescent="0.2">
      <c r="A11539" t="str">
        <f>"Klhl24"</f>
        <v>Klhl24</v>
      </c>
      <c r="B11539" t="s">
        <v>14</v>
      </c>
      <c r="C11539" t="s">
        <v>31</v>
      </c>
      <c r="D11539" t="s">
        <v>17</v>
      </c>
      <c r="E11539" t="s">
        <v>12</v>
      </c>
      <c r="F11539">
        <v>20097555</v>
      </c>
      <c r="G11539">
        <v>20097596</v>
      </c>
      <c r="H11539">
        <v>20097603</v>
      </c>
      <c r="I11539">
        <v>20097615</v>
      </c>
    </row>
    <row r="11540" spans="1:9" x14ac:dyDescent="0.2">
      <c r="A11540" t="str">
        <f>"Klhl25"</f>
        <v>Klhl25</v>
      </c>
      <c r="B11540" t="s">
        <v>14</v>
      </c>
      <c r="C11540" t="s">
        <v>33</v>
      </c>
      <c r="D11540" t="s">
        <v>17</v>
      </c>
      <c r="E11540" t="s">
        <v>12</v>
      </c>
      <c r="F11540">
        <v>75848351</v>
      </c>
      <c r="G11540">
        <v>75848401</v>
      </c>
      <c r="H11540">
        <v>75848351</v>
      </c>
      <c r="I11540">
        <v>75848401</v>
      </c>
    </row>
    <row r="11541" spans="1:9" x14ac:dyDescent="0.2">
      <c r="A11541" t="str">
        <f>"Klhl26"</f>
        <v>Klhl26</v>
      </c>
      <c r="B11541" t="s">
        <v>14</v>
      </c>
      <c r="C11541" t="s">
        <v>30</v>
      </c>
      <c r="D11541" t="s">
        <v>11</v>
      </c>
      <c r="E11541" t="s">
        <v>12</v>
      </c>
      <c r="F11541">
        <v>70476911</v>
      </c>
      <c r="G11541">
        <v>70476969</v>
      </c>
      <c r="H11541">
        <v>70476982</v>
      </c>
      <c r="I11541">
        <v>70476992</v>
      </c>
    </row>
    <row r="11542" spans="1:9" x14ac:dyDescent="0.2">
      <c r="A11542" t="str">
        <f>"Klhl28"</f>
        <v>Klhl28</v>
      </c>
      <c r="B11542" t="s">
        <v>14</v>
      </c>
      <c r="C11542" t="s">
        <v>16</v>
      </c>
      <c r="D11542" t="s">
        <v>11</v>
      </c>
      <c r="E11542" t="s">
        <v>12</v>
      </c>
      <c r="F11542">
        <v>64965496</v>
      </c>
      <c r="G11542">
        <v>64965538</v>
      </c>
      <c r="H11542">
        <v>64965496</v>
      </c>
      <c r="I11542">
        <v>64965538</v>
      </c>
    </row>
    <row r="11543" spans="1:9" x14ac:dyDescent="0.2">
      <c r="A11543" t="str">
        <f>"Klhl29"</f>
        <v>Klhl29</v>
      </c>
      <c r="B11543" t="s">
        <v>14</v>
      </c>
      <c r="C11543" t="s">
        <v>16</v>
      </c>
      <c r="D11543" t="s">
        <v>11</v>
      </c>
      <c r="E11543" t="s">
        <v>12</v>
      </c>
      <c r="F11543">
        <v>5375688</v>
      </c>
      <c r="G11543">
        <v>5375705</v>
      </c>
      <c r="H11543">
        <v>5375711</v>
      </c>
      <c r="I11543">
        <v>5375735</v>
      </c>
    </row>
    <row r="11544" spans="1:9" x14ac:dyDescent="0.2">
      <c r="A11544" t="str">
        <f>"Klhl3"</f>
        <v>Klhl3</v>
      </c>
      <c r="B11544" t="s">
        <v>14</v>
      </c>
      <c r="C11544" t="s">
        <v>39</v>
      </c>
      <c r="D11544" t="s">
        <v>11</v>
      </c>
      <c r="E11544" t="s">
        <v>12</v>
      </c>
      <c r="F11544">
        <v>58113621</v>
      </c>
      <c r="G11544">
        <v>58113655</v>
      </c>
      <c r="H11544">
        <v>58113621</v>
      </c>
      <c r="I11544">
        <v>58113655</v>
      </c>
    </row>
    <row r="11545" spans="1:9" x14ac:dyDescent="0.2">
      <c r="A11545" t="str">
        <f>"Klhl30"</f>
        <v>Klhl30</v>
      </c>
      <c r="B11545" t="s">
        <v>14</v>
      </c>
      <c r="C11545" t="s">
        <v>19</v>
      </c>
      <c r="D11545" t="s">
        <v>17</v>
      </c>
      <c r="E11545" t="s">
        <v>12</v>
      </c>
      <c r="F11545">
        <v>91351029</v>
      </c>
      <c r="G11545">
        <v>91351100</v>
      </c>
      <c r="H11545">
        <v>91351018</v>
      </c>
      <c r="I11545">
        <v>91351023</v>
      </c>
    </row>
    <row r="11546" spans="1:9" x14ac:dyDescent="0.2">
      <c r="A11546" t="str">
        <f>"Klhl31"</f>
        <v>Klhl31</v>
      </c>
      <c r="B11546" t="s">
        <v>14</v>
      </c>
      <c r="C11546" t="s">
        <v>24</v>
      </c>
      <c r="D11546" t="s">
        <v>17</v>
      </c>
      <c r="E11546" t="s">
        <v>12</v>
      </c>
      <c r="F11546">
        <v>77636636</v>
      </c>
      <c r="G11546">
        <v>77636711</v>
      </c>
      <c r="H11546">
        <v>77636575</v>
      </c>
      <c r="I11546">
        <v>77636610</v>
      </c>
    </row>
    <row r="11547" spans="1:9" x14ac:dyDescent="0.2">
      <c r="A11547" t="str">
        <f>"Klhl32"</f>
        <v>Klhl32</v>
      </c>
      <c r="B11547" t="s">
        <v>14</v>
      </c>
      <c r="C11547" t="s">
        <v>23</v>
      </c>
      <c r="D11547" t="s">
        <v>11</v>
      </c>
      <c r="E11547" t="s">
        <v>12</v>
      </c>
      <c r="F11547">
        <v>24851079</v>
      </c>
      <c r="G11547">
        <v>24851112</v>
      </c>
      <c r="H11547">
        <v>24850872</v>
      </c>
      <c r="I11547">
        <v>24850916</v>
      </c>
    </row>
    <row r="11548" spans="1:9" x14ac:dyDescent="0.2">
      <c r="A11548" t="str">
        <f>"Klhl33"</f>
        <v>Klhl33</v>
      </c>
      <c r="B11548" t="s">
        <v>4228</v>
      </c>
      <c r="C11548" t="s">
        <v>41</v>
      </c>
      <c r="D11548" t="s">
        <v>11</v>
      </c>
      <c r="E11548" t="s">
        <v>20</v>
      </c>
      <c r="F11548">
        <v>50893254</v>
      </c>
      <c r="G11548">
        <v>50893254</v>
      </c>
      <c r="H11548">
        <v>50893254</v>
      </c>
      <c r="I11548">
        <v>50893254</v>
      </c>
    </row>
    <row r="11549" spans="1:9" x14ac:dyDescent="0.2">
      <c r="A11549" t="str">
        <f>"Klhl34"</f>
        <v>Klhl34</v>
      </c>
      <c r="B11549" t="s">
        <v>14</v>
      </c>
      <c r="C11549" t="s">
        <v>37</v>
      </c>
      <c r="D11549" t="s">
        <v>17</v>
      </c>
      <c r="E11549" t="s">
        <v>12</v>
      </c>
      <c r="F11549">
        <v>157817940</v>
      </c>
      <c r="G11549">
        <v>157817950</v>
      </c>
      <c r="H11549">
        <v>157817940</v>
      </c>
      <c r="I11549">
        <v>157817950</v>
      </c>
    </row>
    <row r="11550" spans="1:9" x14ac:dyDescent="0.2">
      <c r="A11550" t="str">
        <f>"Klhl35"</f>
        <v>Klhl35</v>
      </c>
      <c r="B11550" t="s">
        <v>9</v>
      </c>
      <c r="C11550" t="s">
        <v>33</v>
      </c>
      <c r="D11550" t="s">
        <v>17</v>
      </c>
      <c r="E11550" t="s">
        <v>12</v>
      </c>
      <c r="F11550">
        <v>99466021</v>
      </c>
      <c r="G11550">
        <v>99466032</v>
      </c>
      <c r="H11550">
        <v>99466021</v>
      </c>
      <c r="I11550">
        <v>99466032</v>
      </c>
    </row>
    <row r="11551" spans="1:9" x14ac:dyDescent="0.2">
      <c r="A11551" t="str">
        <f>"Klhl35"</f>
        <v>Klhl35</v>
      </c>
      <c r="B11551" t="s">
        <v>13</v>
      </c>
      <c r="C11551" t="s">
        <v>33</v>
      </c>
      <c r="D11551" t="s">
        <v>17</v>
      </c>
      <c r="E11551" t="s">
        <v>12</v>
      </c>
      <c r="F11551">
        <v>99468661</v>
      </c>
      <c r="G11551">
        <v>99468686</v>
      </c>
      <c r="H11551">
        <v>99468661</v>
      </c>
      <c r="I11551">
        <v>99468686</v>
      </c>
    </row>
    <row r="11552" spans="1:9" x14ac:dyDescent="0.2">
      <c r="A11552" t="str">
        <f>"Klhl36"</f>
        <v>Klhl36</v>
      </c>
      <c r="B11552" t="s">
        <v>14</v>
      </c>
      <c r="C11552" t="s">
        <v>30</v>
      </c>
      <c r="D11552" t="s">
        <v>17</v>
      </c>
      <c r="E11552" t="s">
        <v>12</v>
      </c>
      <c r="F11552">
        <v>119862239</v>
      </c>
      <c r="G11552">
        <v>119862294</v>
      </c>
      <c r="H11552">
        <v>119862239</v>
      </c>
      <c r="I11552">
        <v>119862294</v>
      </c>
    </row>
    <row r="11553" spans="1:9" x14ac:dyDescent="0.2">
      <c r="A11553" t="str">
        <f>"Klhl38"</f>
        <v>Klhl38</v>
      </c>
      <c r="B11553" t="s">
        <v>14</v>
      </c>
      <c r="C11553" t="s">
        <v>25</v>
      </c>
      <c r="D11553" t="s">
        <v>11</v>
      </c>
      <c r="E11553" t="s">
        <v>12</v>
      </c>
      <c r="F11553">
        <v>58324119</v>
      </c>
      <c r="G11553">
        <v>58324143</v>
      </c>
      <c r="H11553">
        <v>58324161</v>
      </c>
      <c r="I11553">
        <v>58324178</v>
      </c>
    </row>
    <row r="11554" spans="1:9" x14ac:dyDescent="0.2">
      <c r="A11554" t="str">
        <f>"Klhl4"</f>
        <v>Klhl4</v>
      </c>
      <c r="B11554" t="s">
        <v>14</v>
      </c>
      <c r="C11554" t="s">
        <v>37</v>
      </c>
      <c r="D11554" t="s">
        <v>17</v>
      </c>
      <c r="E11554" t="s">
        <v>12</v>
      </c>
      <c r="F11554">
        <v>114474312</v>
      </c>
      <c r="G11554">
        <v>114474353</v>
      </c>
      <c r="H11554">
        <v>114474569</v>
      </c>
      <c r="I11554">
        <v>114474593</v>
      </c>
    </row>
    <row r="11555" spans="1:9" x14ac:dyDescent="0.2">
      <c r="A11555" t="str">
        <f>"Klhl40"</f>
        <v>Klhl40</v>
      </c>
      <c r="B11555" t="s">
        <v>14</v>
      </c>
      <c r="C11555" t="s">
        <v>24</v>
      </c>
      <c r="D11555" t="s">
        <v>17</v>
      </c>
      <c r="E11555" t="s">
        <v>67</v>
      </c>
      <c r="F11555">
        <v>121777684</v>
      </c>
      <c r="G11555">
        <v>121777701</v>
      </c>
      <c r="H11555">
        <v>121777712</v>
      </c>
      <c r="I11555">
        <v>121777723</v>
      </c>
    </row>
    <row r="11556" spans="1:9" x14ac:dyDescent="0.2">
      <c r="A11556" t="str">
        <f>"Klhl41"</f>
        <v>Klhl41</v>
      </c>
      <c r="B11556" t="s">
        <v>14</v>
      </c>
      <c r="C11556" t="s">
        <v>26</v>
      </c>
      <c r="D11556" t="s">
        <v>17</v>
      </c>
      <c r="E11556" t="s">
        <v>67</v>
      </c>
      <c r="F11556">
        <v>69670100</v>
      </c>
      <c r="G11556">
        <v>69670134</v>
      </c>
      <c r="H11556">
        <v>69670100</v>
      </c>
      <c r="I11556">
        <v>69670134</v>
      </c>
    </row>
    <row r="11557" spans="1:9" x14ac:dyDescent="0.2">
      <c r="A11557" t="str">
        <f>"Klhl42"</f>
        <v>Klhl42</v>
      </c>
      <c r="B11557" t="s">
        <v>14</v>
      </c>
      <c r="C11557" t="s">
        <v>32</v>
      </c>
      <c r="D11557" t="s">
        <v>17</v>
      </c>
      <c r="E11557" t="s">
        <v>67</v>
      </c>
      <c r="F11557">
        <v>147091483</v>
      </c>
      <c r="G11557">
        <v>147091528</v>
      </c>
      <c r="H11557">
        <v>147091442</v>
      </c>
      <c r="I11557">
        <v>147091453</v>
      </c>
    </row>
    <row r="11558" spans="1:9" x14ac:dyDescent="0.2">
      <c r="A11558" t="str">
        <f>"Klhl5"</f>
        <v>Klhl5</v>
      </c>
      <c r="B11558" t="s">
        <v>14</v>
      </c>
      <c r="C11558" t="s">
        <v>46</v>
      </c>
      <c r="D11558" t="s">
        <v>17</v>
      </c>
      <c r="E11558" t="s">
        <v>12</v>
      </c>
      <c r="F11558">
        <v>65107595</v>
      </c>
      <c r="G11558">
        <v>65107613</v>
      </c>
      <c r="H11558">
        <v>65107551</v>
      </c>
      <c r="I11558">
        <v>65107582</v>
      </c>
    </row>
    <row r="11559" spans="1:9" x14ac:dyDescent="0.2">
      <c r="A11559" t="str">
        <f>"Klhl6"</f>
        <v>Klhl6</v>
      </c>
      <c r="B11559" t="s">
        <v>14</v>
      </c>
      <c r="C11559" t="s">
        <v>31</v>
      </c>
      <c r="D11559" t="s">
        <v>11</v>
      </c>
      <c r="E11559" t="s">
        <v>12</v>
      </c>
      <c r="F11559">
        <v>19983005</v>
      </c>
      <c r="G11559">
        <v>19983029</v>
      </c>
      <c r="H11559">
        <v>19983052</v>
      </c>
      <c r="I11559">
        <v>19983067</v>
      </c>
    </row>
    <row r="11560" spans="1:9" x14ac:dyDescent="0.2">
      <c r="A11560" t="str">
        <f>"Klhl7"</f>
        <v>Klhl7</v>
      </c>
      <c r="B11560" t="s">
        <v>14</v>
      </c>
      <c r="C11560" t="s">
        <v>46</v>
      </c>
      <c r="D11560" t="s">
        <v>17</v>
      </c>
      <c r="E11560" t="s">
        <v>12</v>
      </c>
      <c r="F11560">
        <v>24100578</v>
      </c>
      <c r="G11560">
        <v>24100669</v>
      </c>
      <c r="H11560">
        <v>24100556</v>
      </c>
      <c r="I11560">
        <v>24100563</v>
      </c>
    </row>
    <row r="11561" spans="1:9" x14ac:dyDescent="0.2">
      <c r="A11561" t="str">
        <f>"Klhl8"</f>
        <v>Klhl8</v>
      </c>
      <c r="B11561" t="s">
        <v>14</v>
      </c>
      <c r="C11561" t="s">
        <v>46</v>
      </c>
      <c r="D11561" t="s">
        <v>11</v>
      </c>
      <c r="E11561" t="s">
        <v>12</v>
      </c>
      <c r="F11561">
        <v>103911196</v>
      </c>
      <c r="G11561">
        <v>103911275</v>
      </c>
      <c r="H11561">
        <v>103911180</v>
      </c>
      <c r="I11561">
        <v>103911190</v>
      </c>
    </row>
    <row r="11562" spans="1:9" x14ac:dyDescent="0.2">
      <c r="A11562" t="str">
        <f>"Klhl9"</f>
        <v>Klhl9</v>
      </c>
      <c r="B11562" t="s">
        <v>14</v>
      </c>
      <c r="C11562" t="s">
        <v>23</v>
      </c>
      <c r="D11562" t="s">
        <v>11</v>
      </c>
      <c r="E11562" t="s">
        <v>12</v>
      </c>
      <c r="F11562">
        <v>88722454</v>
      </c>
      <c r="G11562">
        <v>88722485</v>
      </c>
      <c r="H11562">
        <v>88722502</v>
      </c>
      <c r="I11562">
        <v>88722515</v>
      </c>
    </row>
    <row r="11563" spans="1:9" x14ac:dyDescent="0.2">
      <c r="A11563" t="str">
        <f>"Klk1"</f>
        <v>Klk1</v>
      </c>
      <c r="B11563" t="s">
        <v>14</v>
      </c>
      <c r="C11563" t="s">
        <v>33</v>
      </c>
      <c r="D11563" t="s">
        <v>17</v>
      </c>
      <c r="E11563" t="s">
        <v>12</v>
      </c>
      <c r="F11563">
        <v>44225430</v>
      </c>
      <c r="G11563">
        <v>44225451</v>
      </c>
      <c r="H11563">
        <v>44225430</v>
      </c>
      <c r="I11563">
        <v>44225451</v>
      </c>
    </row>
    <row r="11564" spans="1:9" x14ac:dyDescent="0.2">
      <c r="A11564" t="str">
        <f>"Klk10"</f>
        <v>Klk10</v>
      </c>
      <c r="B11564" t="s">
        <v>14</v>
      </c>
      <c r="C11564" t="s">
        <v>33</v>
      </c>
      <c r="D11564" t="s">
        <v>17</v>
      </c>
      <c r="E11564" t="s">
        <v>12</v>
      </c>
      <c r="F11564">
        <v>43781059</v>
      </c>
      <c r="G11564">
        <v>43781078</v>
      </c>
      <c r="H11564">
        <v>43781059</v>
      </c>
      <c r="I11564">
        <v>43781078</v>
      </c>
    </row>
    <row r="11565" spans="1:9" x14ac:dyDescent="0.2">
      <c r="A11565" t="str">
        <f>"Klk11"</f>
        <v>Klk11</v>
      </c>
      <c r="B11565" t="s">
        <v>9</v>
      </c>
      <c r="C11565" t="s">
        <v>33</v>
      </c>
      <c r="D11565" t="s">
        <v>17</v>
      </c>
      <c r="E11565" t="s">
        <v>12</v>
      </c>
      <c r="F11565">
        <v>43774608</v>
      </c>
      <c r="G11565">
        <v>43774622</v>
      </c>
      <c r="H11565">
        <v>43774608</v>
      </c>
      <c r="I11565">
        <v>43774622</v>
      </c>
    </row>
    <row r="11566" spans="1:9" x14ac:dyDescent="0.2">
      <c r="A11566" t="str">
        <f>"Klk11"</f>
        <v>Klk11</v>
      </c>
      <c r="B11566" t="s">
        <v>13</v>
      </c>
      <c r="C11566" t="s">
        <v>33</v>
      </c>
      <c r="D11566" t="s">
        <v>17</v>
      </c>
      <c r="E11566" t="s">
        <v>12</v>
      </c>
      <c r="F11566">
        <v>43776266</v>
      </c>
      <c r="G11566">
        <v>43776298</v>
      </c>
      <c r="H11566">
        <v>43776266</v>
      </c>
      <c r="I11566">
        <v>43776298</v>
      </c>
    </row>
    <row r="11567" spans="1:9" x14ac:dyDescent="0.2">
      <c r="A11567" t="str">
        <f>"Klk12"</f>
        <v>Klk12</v>
      </c>
      <c r="B11567" t="s">
        <v>14</v>
      </c>
      <c r="C11567" t="s">
        <v>33</v>
      </c>
      <c r="D11567" t="s">
        <v>17</v>
      </c>
      <c r="E11567" t="s">
        <v>12</v>
      </c>
      <c r="F11567">
        <v>43768913</v>
      </c>
      <c r="G11567">
        <v>43768944</v>
      </c>
      <c r="H11567">
        <v>43768949</v>
      </c>
      <c r="I11567">
        <v>43768961</v>
      </c>
    </row>
    <row r="11568" spans="1:9" x14ac:dyDescent="0.2">
      <c r="A11568" t="str">
        <f>"Klk13"</f>
        <v>Klk13</v>
      </c>
      <c r="B11568" t="s">
        <v>14</v>
      </c>
      <c r="C11568" t="s">
        <v>33</v>
      </c>
      <c r="D11568" t="s">
        <v>17</v>
      </c>
      <c r="E11568" t="s">
        <v>12</v>
      </c>
      <c r="F11568">
        <v>43712505</v>
      </c>
      <c r="G11568">
        <v>43712527</v>
      </c>
      <c r="H11568">
        <v>43712540</v>
      </c>
      <c r="I11568">
        <v>43712555</v>
      </c>
    </row>
    <row r="11569" spans="1:9" x14ac:dyDescent="0.2">
      <c r="A11569" t="str">
        <f>"Klk14"</f>
        <v>Klk14</v>
      </c>
      <c r="B11569" t="s">
        <v>14</v>
      </c>
      <c r="C11569" t="s">
        <v>33</v>
      </c>
      <c r="D11569" t="s">
        <v>17</v>
      </c>
      <c r="E11569" t="s">
        <v>12</v>
      </c>
      <c r="F11569">
        <v>43690148</v>
      </c>
      <c r="G11569">
        <v>43690166</v>
      </c>
      <c r="H11569">
        <v>43690148</v>
      </c>
      <c r="I11569">
        <v>43690166</v>
      </c>
    </row>
    <row r="11570" spans="1:9" x14ac:dyDescent="0.2">
      <c r="A11570" t="str">
        <f>"Klk15"</f>
        <v>Klk15</v>
      </c>
      <c r="B11570" t="s">
        <v>4229</v>
      </c>
      <c r="C11570" t="s">
        <v>33</v>
      </c>
      <c r="D11570" t="s">
        <v>17</v>
      </c>
      <c r="E11570" t="s">
        <v>20</v>
      </c>
      <c r="F11570">
        <v>43933770</v>
      </c>
      <c r="G11570">
        <v>43933770</v>
      </c>
      <c r="H11570">
        <v>43933770</v>
      </c>
      <c r="I11570">
        <v>43933770</v>
      </c>
    </row>
    <row r="11571" spans="1:9" x14ac:dyDescent="0.2">
      <c r="A11571" t="str">
        <f>"Klk1b1"</f>
        <v>Klk1b1</v>
      </c>
      <c r="B11571" t="s">
        <v>14</v>
      </c>
      <c r="C11571" t="s">
        <v>33</v>
      </c>
      <c r="D11571" t="s">
        <v>17</v>
      </c>
      <c r="E11571" t="s">
        <v>12</v>
      </c>
      <c r="F11571">
        <v>43966739</v>
      </c>
      <c r="G11571">
        <v>43966756</v>
      </c>
      <c r="H11571">
        <v>43966739</v>
      </c>
      <c r="I11571">
        <v>43966756</v>
      </c>
    </row>
    <row r="11572" spans="1:9" x14ac:dyDescent="0.2">
      <c r="A11572" t="str">
        <f>"Klk1b11"</f>
        <v>Klk1b11</v>
      </c>
      <c r="B11572" t="s">
        <v>14</v>
      </c>
      <c r="C11572" t="s">
        <v>33</v>
      </c>
      <c r="D11572" t="s">
        <v>17</v>
      </c>
      <c r="E11572" t="s">
        <v>12</v>
      </c>
      <c r="F11572">
        <v>43995833</v>
      </c>
      <c r="G11572">
        <v>43995862</v>
      </c>
      <c r="H11572">
        <v>43995833</v>
      </c>
      <c r="I11572">
        <v>43995862</v>
      </c>
    </row>
    <row r="11573" spans="1:9" x14ac:dyDescent="0.2">
      <c r="A11573" t="str">
        <f>"Klk1b16"</f>
        <v>Klk1b16</v>
      </c>
      <c r="B11573" t="s">
        <v>14</v>
      </c>
      <c r="C11573" t="s">
        <v>33</v>
      </c>
      <c r="D11573" t="s">
        <v>17</v>
      </c>
      <c r="E11573" t="s">
        <v>12</v>
      </c>
      <c r="F11573">
        <v>44137264</v>
      </c>
      <c r="G11573">
        <v>44137289</v>
      </c>
      <c r="H11573">
        <v>44137264</v>
      </c>
      <c r="I11573">
        <v>44137289</v>
      </c>
    </row>
    <row r="11574" spans="1:9" x14ac:dyDescent="0.2">
      <c r="A11574" t="str">
        <f>"Klk1b21"</f>
        <v>Klk1b21</v>
      </c>
      <c r="B11574" t="s">
        <v>14</v>
      </c>
      <c r="C11574" t="s">
        <v>33</v>
      </c>
      <c r="D11574" t="s">
        <v>17</v>
      </c>
      <c r="E11574" t="s">
        <v>12</v>
      </c>
      <c r="F11574">
        <v>44102325</v>
      </c>
      <c r="G11574">
        <v>44102329</v>
      </c>
      <c r="H11574">
        <v>44102325</v>
      </c>
      <c r="I11574">
        <v>44102329</v>
      </c>
    </row>
    <row r="11575" spans="1:9" x14ac:dyDescent="0.2">
      <c r="A11575" t="str">
        <f>"Klk1b22"</f>
        <v>Klk1b22</v>
      </c>
      <c r="B11575" t="s">
        <v>14</v>
      </c>
      <c r="C11575" t="s">
        <v>33</v>
      </c>
      <c r="D11575" t="s">
        <v>17</v>
      </c>
      <c r="E11575" t="s">
        <v>12</v>
      </c>
      <c r="F11575">
        <v>44112657</v>
      </c>
      <c r="G11575">
        <v>44112666</v>
      </c>
      <c r="H11575">
        <v>44112657</v>
      </c>
      <c r="I11575">
        <v>44112666</v>
      </c>
    </row>
    <row r="11576" spans="1:9" x14ac:dyDescent="0.2">
      <c r="A11576" t="str">
        <f>"Klk1b24"</f>
        <v>Klk1b24</v>
      </c>
      <c r="B11576" t="s">
        <v>14</v>
      </c>
      <c r="C11576" t="s">
        <v>33</v>
      </c>
      <c r="D11576" t="s">
        <v>17</v>
      </c>
      <c r="E11576" t="s">
        <v>12</v>
      </c>
      <c r="F11576">
        <v>44188205</v>
      </c>
      <c r="G11576">
        <v>44188222</v>
      </c>
      <c r="H11576">
        <v>44188205</v>
      </c>
      <c r="I11576">
        <v>44188222</v>
      </c>
    </row>
    <row r="11577" spans="1:9" x14ac:dyDescent="0.2">
      <c r="A11577" t="str">
        <f>"Klk1b26"</f>
        <v>Klk1b26</v>
      </c>
      <c r="B11577" t="s">
        <v>14</v>
      </c>
      <c r="C11577" t="s">
        <v>33</v>
      </c>
      <c r="D11577" t="s">
        <v>17</v>
      </c>
      <c r="E11577" t="s">
        <v>12</v>
      </c>
      <c r="F11577">
        <v>44012672</v>
      </c>
      <c r="G11577">
        <v>44012690</v>
      </c>
      <c r="H11577">
        <v>44012654</v>
      </c>
      <c r="I11577">
        <v>44012659</v>
      </c>
    </row>
    <row r="11578" spans="1:9" x14ac:dyDescent="0.2">
      <c r="A11578" t="str">
        <f>"Klk1b27"</f>
        <v>Klk1b27</v>
      </c>
      <c r="B11578" t="s">
        <v>14</v>
      </c>
      <c r="C11578" t="s">
        <v>33</v>
      </c>
      <c r="D11578" t="s">
        <v>17</v>
      </c>
      <c r="E11578" t="s">
        <v>12</v>
      </c>
      <c r="F11578">
        <v>44052297</v>
      </c>
      <c r="G11578">
        <v>44052306</v>
      </c>
      <c r="H11578">
        <v>44052297</v>
      </c>
      <c r="I11578">
        <v>44052306</v>
      </c>
    </row>
    <row r="11579" spans="1:9" x14ac:dyDescent="0.2">
      <c r="A11579" t="str">
        <f>"Klk1b3"</f>
        <v>Klk1b3</v>
      </c>
      <c r="B11579" t="s">
        <v>14</v>
      </c>
      <c r="C11579" t="s">
        <v>33</v>
      </c>
      <c r="D11579" t="s">
        <v>17</v>
      </c>
      <c r="E11579" t="s">
        <v>12</v>
      </c>
      <c r="F11579">
        <v>44198194</v>
      </c>
      <c r="G11579">
        <v>44198216</v>
      </c>
      <c r="H11579">
        <v>44198194</v>
      </c>
      <c r="I11579">
        <v>44198216</v>
      </c>
    </row>
    <row r="11580" spans="1:9" x14ac:dyDescent="0.2">
      <c r="A11580" t="str">
        <f>"Klk1b4"</f>
        <v>Klk1b4</v>
      </c>
      <c r="B11580" t="s">
        <v>14</v>
      </c>
      <c r="C11580" t="s">
        <v>33</v>
      </c>
      <c r="D11580" t="s">
        <v>17</v>
      </c>
      <c r="E11580" t="s">
        <v>12</v>
      </c>
      <c r="F11580">
        <v>44207307</v>
      </c>
      <c r="G11580">
        <v>44207329</v>
      </c>
      <c r="H11580">
        <v>44207307</v>
      </c>
      <c r="I11580">
        <v>44207329</v>
      </c>
    </row>
    <row r="11581" spans="1:9" x14ac:dyDescent="0.2">
      <c r="A11581" t="str">
        <f>"Klk1b5"</f>
        <v>Klk1b5</v>
      </c>
      <c r="B11581" t="s">
        <v>14</v>
      </c>
      <c r="C11581" t="s">
        <v>33</v>
      </c>
      <c r="D11581" t="s">
        <v>17</v>
      </c>
      <c r="E11581" t="s">
        <v>12</v>
      </c>
      <c r="F11581">
        <v>44216456</v>
      </c>
      <c r="G11581">
        <v>44216466</v>
      </c>
      <c r="H11581">
        <v>44216456</v>
      </c>
      <c r="I11581">
        <v>44216466</v>
      </c>
    </row>
    <row r="11582" spans="1:9" x14ac:dyDescent="0.2">
      <c r="A11582" t="str">
        <f>"Klk1b8"</f>
        <v>Klk1b8</v>
      </c>
      <c r="B11582" t="s">
        <v>14</v>
      </c>
      <c r="C11582" t="s">
        <v>33</v>
      </c>
      <c r="D11582" t="s">
        <v>17</v>
      </c>
      <c r="E11582" t="s">
        <v>12</v>
      </c>
      <c r="F11582">
        <v>43950614</v>
      </c>
      <c r="G11582">
        <v>43950647</v>
      </c>
      <c r="H11582">
        <v>43950614</v>
      </c>
      <c r="I11582">
        <v>43950647</v>
      </c>
    </row>
    <row r="11583" spans="1:9" x14ac:dyDescent="0.2">
      <c r="A11583" t="str">
        <f>"Klk1b9"</f>
        <v>Klk1b9</v>
      </c>
      <c r="B11583" t="s">
        <v>14</v>
      </c>
      <c r="C11583" t="s">
        <v>33</v>
      </c>
      <c r="D11583" t="s">
        <v>17</v>
      </c>
      <c r="E11583" t="s">
        <v>12</v>
      </c>
      <c r="F11583">
        <v>43975963</v>
      </c>
      <c r="G11583">
        <v>43975976</v>
      </c>
      <c r="H11583">
        <v>43975963</v>
      </c>
      <c r="I11583">
        <v>43975976</v>
      </c>
    </row>
    <row r="11584" spans="1:9" x14ac:dyDescent="0.2">
      <c r="A11584" t="str">
        <f>"Klk4"</f>
        <v>Klk4</v>
      </c>
      <c r="B11584" t="s">
        <v>14</v>
      </c>
      <c r="C11584" t="s">
        <v>33</v>
      </c>
      <c r="D11584" t="s">
        <v>17</v>
      </c>
      <c r="E11584" t="s">
        <v>12</v>
      </c>
      <c r="F11584">
        <v>43881154</v>
      </c>
      <c r="G11584">
        <v>43881159</v>
      </c>
      <c r="H11584">
        <v>43881154</v>
      </c>
      <c r="I11584">
        <v>43881159</v>
      </c>
    </row>
    <row r="11585" spans="1:9" x14ac:dyDescent="0.2">
      <c r="A11585" t="str">
        <f>"Klk5"</f>
        <v>Klk5</v>
      </c>
      <c r="B11585" t="s">
        <v>14</v>
      </c>
      <c r="C11585" t="s">
        <v>33</v>
      </c>
      <c r="D11585" t="s">
        <v>17</v>
      </c>
      <c r="E11585" t="s">
        <v>12</v>
      </c>
      <c r="F11585">
        <v>43841931</v>
      </c>
      <c r="G11585">
        <v>43841950</v>
      </c>
      <c r="H11585">
        <v>43842231</v>
      </c>
      <c r="I11585">
        <v>43842263</v>
      </c>
    </row>
    <row r="11586" spans="1:9" x14ac:dyDescent="0.2">
      <c r="A11586" t="str">
        <f>"Klk6"</f>
        <v>Klk6</v>
      </c>
      <c r="B11586" t="s">
        <v>14</v>
      </c>
      <c r="C11586" t="s">
        <v>33</v>
      </c>
      <c r="D11586" t="s">
        <v>17</v>
      </c>
      <c r="E11586" t="s">
        <v>12</v>
      </c>
      <c r="F11586">
        <v>43824519</v>
      </c>
      <c r="G11586">
        <v>43824557</v>
      </c>
      <c r="H11586">
        <v>43825404</v>
      </c>
      <c r="I11586">
        <v>43825417</v>
      </c>
    </row>
    <row r="11587" spans="1:9" x14ac:dyDescent="0.2">
      <c r="A11587" t="str">
        <f>"Klk7"</f>
        <v>Klk7</v>
      </c>
      <c r="B11587" t="s">
        <v>14</v>
      </c>
      <c r="C11587" t="s">
        <v>33</v>
      </c>
      <c r="D11587" t="s">
        <v>17</v>
      </c>
      <c r="E11587" t="s">
        <v>12</v>
      </c>
      <c r="F11587">
        <v>43811438</v>
      </c>
      <c r="G11587">
        <v>43811454</v>
      </c>
      <c r="H11587">
        <v>43811438</v>
      </c>
      <c r="I11587">
        <v>43811454</v>
      </c>
    </row>
    <row r="11588" spans="1:9" x14ac:dyDescent="0.2">
      <c r="A11588" t="str">
        <f>"Klk8"</f>
        <v>Klk8</v>
      </c>
      <c r="B11588" t="s">
        <v>14</v>
      </c>
      <c r="C11588" t="s">
        <v>33</v>
      </c>
      <c r="D11588" t="s">
        <v>17</v>
      </c>
      <c r="E11588" t="s">
        <v>12</v>
      </c>
      <c r="F11588">
        <v>43798023</v>
      </c>
      <c r="G11588">
        <v>43798096</v>
      </c>
      <c r="H11588">
        <v>43797567</v>
      </c>
      <c r="I11588">
        <v>43797586</v>
      </c>
    </row>
    <row r="11589" spans="1:9" x14ac:dyDescent="0.2">
      <c r="A11589" t="str">
        <f>"Klk9"</f>
        <v>Klk9</v>
      </c>
      <c r="B11589" t="s">
        <v>14</v>
      </c>
      <c r="C11589" t="s">
        <v>33</v>
      </c>
      <c r="D11589" t="s">
        <v>17</v>
      </c>
      <c r="E11589" t="s">
        <v>12</v>
      </c>
      <c r="F11589">
        <v>43791951</v>
      </c>
      <c r="G11589">
        <v>43791982</v>
      </c>
      <c r="H11589">
        <v>43791941</v>
      </c>
      <c r="I11589">
        <v>43791949</v>
      </c>
    </row>
    <row r="11590" spans="1:9" x14ac:dyDescent="0.2">
      <c r="A11590" t="str">
        <f>"Klkb1"</f>
        <v>Klkb1</v>
      </c>
      <c r="B11590" t="s">
        <v>14</v>
      </c>
      <c r="C11590" t="s">
        <v>30</v>
      </c>
      <c r="D11590" t="s">
        <v>11</v>
      </c>
      <c r="E11590" t="s">
        <v>12</v>
      </c>
      <c r="F11590">
        <v>45294803</v>
      </c>
      <c r="G11590">
        <v>45294823</v>
      </c>
      <c r="H11590">
        <v>45294780</v>
      </c>
      <c r="I11590">
        <v>45294795</v>
      </c>
    </row>
    <row r="11591" spans="1:9" x14ac:dyDescent="0.2">
      <c r="A11591" t="str">
        <f>"Klra1"</f>
        <v>Klra1</v>
      </c>
      <c r="B11591" t="s">
        <v>4230</v>
      </c>
      <c r="C11591" t="s">
        <v>32</v>
      </c>
      <c r="D11591" t="s">
        <v>11</v>
      </c>
      <c r="E11591" t="s">
        <v>20</v>
      </c>
      <c r="F11591">
        <v>130386873</v>
      </c>
      <c r="G11591">
        <v>130386873</v>
      </c>
      <c r="H11591">
        <v>130386873</v>
      </c>
      <c r="I11591">
        <v>130386873</v>
      </c>
    </row>
    <row r="11592" spans="1:9" x14ac:dyDescent="0.2">
      <c r="A11592" t="str">
        <f>"Klra10"</f>
        <v>Klra10</v>
      </c>
      <c r="B11592" t="s">
        <v>4231</v>
      </c>
      <c r="C11592" t="s">
        <v>32</v>
      </c>
      <c r="D11592" t="s">
        <v>11</v>
      </c>
      <c r="E11592" t="s">
        <v>20</v>
      </c>
      <c r="F11592">
        <v>130281927</v>
      </c>
      <c r="G11592">
        <v>130281927</v>
      </c>
      <c r="H11592">
        <v>130281927</v>
      </c>
      <c r="I11592">
        <v>130281927</v>
      </c>
    </row>
    <row r="11593" spans="1:9" x14ac:dyDescent="0.2">
      <c r="A11593" t="str">
        <f>"Klra17"</f>
        <v>Klra17</v>
      </c>
      <c r="B11593" t="s">
        <v>14</v>
      </c>
      <c r="C11593" t="s">
        <v>32</v>
      </c>
      <c r="D11593" t="s">
        <v>11</v>
      </c>
      <c r="E11593" t="s">
        <v>12</v>
      </c>
      <c r="F11593">
        <v>129876659</v>
      </c>
      <c r="G11593">
        <v>129876677</v>
      </c>
      <c r="H11593">
        <v>129876659</v>
      </c>
      <c r="I11593">
        <v>129876677</v>
      </c>
    </row>
    <row r="11594" spans="1:9" x14ac:dyDescent="0.2">
      <c r="A11594" t="str">
        <f>"Klra2"</f>
        <v>Klra2</v>
      </c>
      <c r="B11594" t="s">
        <v>14</v>
      </c>
      <c r="C11594" t="s">
        <v>32</v>
      </c>
      <c r="D11594" t="s">
        <v>11</v>
      </c>
      <c r="E11594" t="s">
        <v>12</v>
      </c>
      <c r="F11594">
        <v>131247342</v>
      </c>
      <c r="G11594">
        <v>131247367</v>
      </c>
      <c r="H11594">
        <v>131247342</v>
      </c>
      <c r="I11594">
        <v>131247367</v>
      </c>
    </row>
    <row r="11595" spans="1:9" x14ac:dyDescent="0.2">
      <c r="A11595" t="str">
        <f>"Klra3"</f>
        <v>Klra3</v>
      </c>
      <c r="B11595" t="s">
        <v>14</v>
      </c>
      <c r="C11595" t="s">
        <v>32</v>
      </c>
      <c r="D11595" t="s">
        <v>11</v>
      </c>
      <c r="E11595" t="s">
        <v>12</v>
      </c>
      <c r="F11595">
        <v>130337547</v>
      </c>
      <c r="G11595">
        <v>130337582</v>
      </c>
      <c r="H11595">
        <v>130337547</v>
      </c>
      <c r="I11595">
        <v>130337582</v>
      </c>
    </row>
    <row r="11596" spans="1:9" x14ac:dyDescent="0.2">
      <c r="A11596" t="str">
        <f>"Klra4"</f>
        <v>Klra4</v>
      </c>
      <c r="B11596" t="s">
        <v>14</v>
      </c>
      <c r="C11596" t="s">
        <v>32</v>
      </c>
      <c r="D11596" t="s">
        <v>11</v>
      </c>
      <c r="E11596" t="s">
        <v>12</v>
      </c>
      <c r="F11596">
        <v>130067253</v>
      </c>
      <c r="G11596">
        <v>130067273</v>
      </c>
      <c r="H11596">
        <v>130067253</v>
      </c>
      <c r="I11596">
        <v>130067273</v>
      </c>
    </row>
    <row r="11597" spans="1:9" x14ac:dyDescent="0.2">
      <c r="A11597" t="str">
        <f>"Klra5"</f>
        <v>Klra5</v>
      </c>
      <c r="B11597" t="s">
        <v>4232</v>
      </c>
      <c r="C11597" t="s">
        <v>32</v>
      </c>
      <c r="D11597" t="s">
        <v>11</v>
      </c>
      <c r="E11597" t="s">
        <v>20</v>
      </c>
      <c r="F11597">
        <v>129913223</v>
      </c>
      <c r="G11597">
        <v>129913223</v>
      </c>
      <c r="H11597">
        <v>129913223</v>
      </c>
      <c r="I11597">
        <v>129913223</v>
      </c>
    </row>
    <row r="11598" spans="1:9" x14ac:dyDescent="0.2">
      <c r="A11598" t="str">
        <f>"Klra5"</f>
        <v>Klra5</v>
      </c>
      <c r="B11598" t="s">
        <v>4233</v>
      </c>
      <c r="C11598" t="s">
        <v>32</v>
      </c>
      <c r="D11598" t="s">
        <v>11</v>
      </c>
      <c r="E11598" t="s">
        <v>20</v>
      </c>
      <c r="F11598">
        <v>129917649</v>
      </c>
      <c r="G11598">
        <v>129917649</v>
      </c>
      <c r="H11598">
        <v>129917649</v>
      </c>
      <c r="I11598">
        <v>129917649</v>
      </c>
    </row>
    <row r="11599" spans="1:9" x14ac:dyDescent="0.2">
      <c r="A11599" t="str">
        <f>"Klra6"</f>
        <v>Klra6</v>
      </c>
      <c r="B11599" t="s">
        <v>14</v>
      </c>
      <c r="C11599" t="s">
        <v>32</v>
      </c>
      <c r="D11599" t="s">
        <v>11</v>
      </c>
      <c r="E11599" t="s">
        <v>12</v>
      </c>
      <c r="F11599">
        <v>130026975</v>
      </c>
      <c r="G11599">
        <v>130026996</v>
      </c>
      <c r="H11599">
        <v>130026975</v>
      </c>
      <c r="I11599">
        <v>130026996</v>
      </c>
    </row>
    <row r="11600" spans="1:9" x14ac:dyDescent="0.2">
      <c r="A11600" t="str">
        <f>"Klra7"</f>
        <v>Klra7</v>
      </c>
      <c r="B11600" t="s">
        <v>14</v>
      </c>
      <c r="C11600" t="s">
        <v>32</v>
      </c>
      <c r="D11600" t="s">
        <v>11</v>
      </c>
      <c r="E11600" t="s">
        <v>12</v>
      </c>
      <c r="F11600">
        <v>130231622</v>
      </c>
      <c r="G11600">
        <v>130231658</v>
      </c>
      <c r="H11600">
        <v>130231622</v>
      </c>
      <c r="I11600">
        <v>130231658</v>
      </c>
    </row>
    <row r="11601" spans="1:9" x14ac:dyDescent="0.2">
      <c r="A11601" t="str">
        <f>"Klra8"</f>
        <v>Klra8</v>
      </c>
      <c r="B11601" t="s">
        <v>14</v>
      </c>
      <c r="C11601" t="s">
        <v>32</v>
      </c>
      <c r="D11601" t="s">
        <v>11</v>
      </c>
      <c r="E11601" t="s">
        <v>12</v>
      </c>
      <c r="F11601">
        <v>130129878</v>
      </c>
      <c r="G11601">
        <v>130129903</v>
      </c>
      <c r="H11601">
        <v>130129878</v>
      </c>
      <c r="I11601">
        <v>130129903</v>
      </c>
    </row>
    <row r="11602" spans="1:9" x14ac:dyDescent="0.2">
      <c r="A11602" t="str">
        <f>"Klra9"</f>
        <v>Klra9</v>
      </c>
      <c r="B11602" t="s">
        <v>4234</v>
      </c>
      <c r="C11602" t="s">
        <v>32</v>
      </c>
      <c r="D11602" t="s">
        <v>11</v>
      </c>
      <c r="E11602" t="s">
        <v>20</v>
      </c>
      <c r="F11602">
        <v>130193111</v>
      </c>
      <c r="G11602">
        <v>130193111</v>
      </c>
      <c r="H11602">
        <v>130193111</v>
      </c>
      <c r="I11602">
        <v>130193111</v>
      </c>
    </row>
    <row r="11603" spans="1:9" x14ac:dyDescent="0.2">
      <c r="A11603" t="str">
        <f>"Klrb1"</f>
        <v>Klrb1</v>
      </c>
      <c r="B11603" t="s">
        <v>4235</v>
      </c>
      <c r="C11603" t="s">
        <v>32</v>
      </c>
      <c r="D11603" t="s">
        <v>11</v>
      </c>
      <c r="E11603" t="s">
        <v>20</v>
      </c>
      <c r="F11603">
        <v>128723045</v>
      </c>
      <c r="G11603">
        <v>128723045</v>
      </c>
      <c r="H11603">
        <v>128723045</v>
      </c>
      <c r="I11603">
        <v>128723045</v>
      </c>
    </row>
    <row r="11604" spans="1:9" x14ac:dyDescent="0.2">
      <c r="A11604" t="str">
        <f>"Klrb1a"</f>
        <v>Klrb1a</v>
      </c>
      <c r="B11604" t="s">
        <v>14</v>
      </c>
      <c r="C11604" t="s">
        <v>32</v>
      </c>
      <c r="D11604" t="s">
        <v>11</v>
      </c>
      <c r="E11604" t="s">
        <v>12</v>
      </c>
      <c r="F11604">
        <v>128622873</v>
      </c>
      <c r="G11604">
        <v>128622895</v>
      </c>
      <c r="H11604">
        <v>128622873</v>
      </c>
      <c r="I11604">
        <v>128622895</v>
      </c>
    </row>
    <row r="11605" spans="1:9" x14ac:dyDescent="0.2">
      <c r="A11605" t="str">
        <f>"Klrb1b"</f>
        <v>Klrb1b</v>
      </c>
      <c r="B11605" t="s">
        <v>14</v>
      </c>
      <c r="C11605" t="s">
        <v>32</v>
      </c>
      <c r="D11605" t="s">
        <v>11</v>
      </c>
      <c r="E11605" t="s">
        <v>12</v>
      </c>
      <c r="F11605">
        <v>128826302</v>
      </c>
      <c r="G11605">
        <v>128826328</v>
      </c>
      <c r="H11605">
        <v>128826277</v>
      </c>
      <c r="I11605">
        <v>128826284</v>
      </c>
    </row>
    <row r="11606" spans="1:9" x14ac:dyDescent="0.2">
      <c r="A11606" t="str">
        <f>"Klrb1c"</f>
        <v>Klrb1c</v>
      </c>
      <c r="B11606" t="s">
        <v>14</v>
      </c>
      <c r="C11606" t="s">
        <v>32</v>
      </c>
      <c r="D11606" t="s">
        <v>11</v>
      </c>
      <c r="E11606" t="s">
        <v>12</v>
      </c>
      <c r="F11606">
        <v>128788497</v>
      </c>
      <c r="G11606">
        <v>128788534</v>
      </c>
      <c r="H11606">
        <v>128788497</v>
      </c>
      <c r="I11606">
        <v>128788534</v>
      </c>
    </row>
    <row r="11607" spans="1:9" x14ac:dyDescent="0.2">
      <c r="A11607" t="str">
        <f>"Klrb1f"</f>
        <v>Klrb1f</v>
      </c>
      <c r="B11607" t="s">
        <v>14</v>
      </c>
      <c r="C11607" t="s">
        <v>32</v>
      </c>
      <c r="D11607" t="s">
        <v>17</v>
      </c>
      <c r="E11607" t="s">
        <v>12</v>
      </c>
      <c r="F11607">
        <v>129045910</v>
      </c>
      <c r="G11607">
        <v>129045932</v>
      </c>
      <c r="H11607">
        <v>129045893</v>
      </c>
      <c r="I11607">
        <v>129045906</v>
      </c>
    </row>
    <row r="11608" spans="1:9" x14ac:dyDescent="0.2">
      <c r="A11608" t="str">
        <f>"Klrc1"</f>
        <v>Klrc1</v>
      </c>
      <c r="B11608" t="s">
        <v>14</v>
      </c>
      <c r="C11608" t="s">
        <v>32</v>
      </c>
      <c r="D11608" t="s">
        <v>11</v>
      </c>
      <c r="E11608" t="s">
        <v>12</v>
      </c>
      <c r="F11608">
        <v>129678908</v>
      </c>
      <c r="G11608">
        <v>129678933</v>
      </c>
      <c r="H11608">
        <v>129678908</v>
      </c>
      <c r="I11608">
        <v>129678933</v>
      </c>
    </row>
    <row r="11609" spans="1:9" x14ac:dyDescent="0.2">
      <c r="A11609" t="str">
        <f>"Klrc2"</f>
        <v>Klrc2</v>
      </c>
      <c r="B11609" t="s">
        <v>4236</v>
      </c>
      <c r="C11609" t="s">
        <v>32</v>
      </c>
      <c r="D11609" t="s">
        <v>11</v>
      </c>
      <c r="E11609" t="s">
        <v>20</v>
      </c>
      <c r="F11609">
        <v>129660612</v>
      </c>
      <c r="G11609">
        <v>129660612</v>
      </c>
      <c r="H11609">
        <v>129660612</v>
      </c>
      <c r="I11609">
        <v>129660612</v>
      </c>
    </row>
    <row r="11610" spans="1:9" x14ac:dyDescent="0.2">
      <c r="A11610" t="str">
        <f>"Klrc3"</f>
        <v>Klrc3</v>
      </c>
      <c r="B11610" t="s">
        <v>4237</v>
      </c>
      <c r="C11610" t="s">
        <v>32</v>
      </c>
      <c r="D11610" t="s">
        <v>11</v>
      </c>
      <c r="E11610" t="s">
        <v>20</v>
      </c>
      <c r="F11610">
        <v>129643311</v>
      </c>
      <c r="G11610">
        <v>129643311</v>
      </c>
      <c r="H11610">
        <v>129643311</v>
      </c>
      <c r="I11610">
        <v>129643311</v>
      </c>
    </row>
    <row r="11611" spans="1:9" x14ac:dyDescent="0.2">
      <c r="A11611" t="str">
        <f>"Klrd1"</f>
        <v>Klrd1</v>
      </c>
      <c r="B11611" t="s">
        <v>14</v>
      </c>
      <c r="C11611" t="s">
        <v>32</v>
      </c>
      <c r="D11611" t="s">
        <v>17</v>
      </c>
      <c r="E11611" t="s">
        <v>12</v>
      </c>
      <c r="F11611">
        <v>129591785</v>
      </c>
      <c r="G11611">
        <v>129591817</v>
      </c>
      <c r="H11611">
        <v>129591713</v>
      </c>
      <c r="I11611">
        <v>129591723</v>
      </c>
    </row>
    <row r="11612" spans="1:9" x14ac:dyDescent="0.2">
      <c r="A11612" t="str">
        <f>"Klre1"</f>
        <v>Klre1</v>
      </c>
      <c r="B11612" t="s">
        <v>14</v>
      </c>
      <c r="C11612" t="s">
        <v>32</v>
      </c>
      <c r="D11612" t="s">
        <v>17</v>
      </c>
      <c r="E11612" t="s">
        <v>12</v>
      </c>
      <c r="F11612">
        <v>129578246</v>
      </c>
      <c r="G11612">
        <v>129578290</v>
      </c>
      <c r="H11612">
        <v>129578246</v>
      </c>
      <c r="I11612">
        <v>129578290</v>
      </c>
    </row>
    <row r="11613" spans="1:9" x14ac:dyDescent="0.2">
      <c r="A11613" t="str">
        <f>"Klrg1"</f>
        <v>Klrg1</v>
      </c>
      <c r="B11613" t="s">
        <v>14</v>
      </c>
      <c r="C11613" t="s">
        <v>32</v>
      </c>
      <c r="D11613" t="s">
        <v>11</v>
      </c>
      <c r="E11613" t="s">
        <v>12</v>
      </c>
      <c r="F11613">
        <v>122282810</v>
      </c>
      <c r="G11613">
        <v>122282821</v>
      </c>
      <c r="H11613">
        <v>122282841</v>
      </c>
      <c r="I11613">
        <v>122282850</v>
      </c>
    </row>
    <row r="11614" spans="1:9" x14ac:dyDescent="0.2">
      <c r="A11614" t="str">
        <f>"Klrg2"</f>
        <v>Klrg2</v>
      </c>
      <c r="B11614" t="s">
        <v>14</v>
      </c>
      <c r="C11614" t="s">
        <v>32</v>
      </c>
      <c r="D11614" t="s">
        <v>11</v>
      </c>
      <c r="E11614" t="s">
        <v>12</v>
      </c>
      <c r="F11614">
        <v>38637220</v>
      </c>
      <c r="G11614">
        <v>38637247</v>
      </c>
      <c r="H11614">
        <v>38637173</v>
      </c>
      <c r="I11614">
        <v>38637214</v>
      </c>
    </row>
    <row r="11615" spans="1:9" x14ac:dyDescent="0.2">
      <c r="A11615" t="str">
        <f>"Klri1"</f>
        <v>Klri1</v>
      </c>
      <c r="B11615" t="s">
        <v>14</v>
      </c>
      <c r="C11615" t="s">
        <v>32</v>
      </c>
      <c r="D11615" t="s">
        <v>11</v>
      </c>
      <c r="E11615" t="s">
        <v>12</v>
      </c>
      <c r="F11615">
        <v>129717227</v>
      </c>
      <c r="G11615">
        <v>129717239</v>
      </c>
      <c r="H11615">
        <v>129717227</v>
      </c>
      <c r="I11615">
        <v>129717239</v>
      </c>
    </row>
    <row r="11616" spans="1:9" x14ac:dyDescent="0.2">
      <c r="A11616" t="str">
        <f>"Klri2"</f>
        <v>Klri2</v>
      </c>
      <c r="B11616" t="s">
        <v>14</v>
      </c>
      <c r="C11616" t="s">
        <v>32</v>
      </c>
      <c r="D11616" t="s">
        <v>11</v>
      </c>
      <c r="E11616" t="s">
        <v>12</v>
      </c>
      <c r="F11616">
        <v>129740468</v>
      </c>
      <c r="G11616">
        <v>129740501</v>
      </c>
      <c r="H11616">
        <v>129740468</v>
      </c>
      <c r="I11616">
        <v>129740501</v>
      </c>
    </row>
    <row r="11617" spans="1:9" x14ac:dyDescent="0.2">
      <c r="A11617" t="str">
        <f>"Klrk1"</f>
        <v>Klrk1</v>
      </c>
      <c r="B11617" t="s">
        <v>14</v>
      </c>
      <c r="C11617" t="s">
        <v>32</v>
      </c>
      <c r="D11617" t="s">
        <v>11</v>
      </c>
      <c r="E11617" t="s">
        <v>12</v>
      </c>
      <c r="F11617">
        <v>129622685</v>
      </c>
      <c r="G11617">
        <v>129622711</v>
      </c>
      <c r="H11617">
        <v>129622685</v>
      </c>
      <c r="I11617">
        <v>129622711</v>
      </c>
    </row>
    <row r="11618" spans="1:9" x14ac:dyDescent="0.2">
      <c r="A11618" t="str">
        <f>"Kmo"</f>
        <v>Kmo</v>
      </c>
      <c r="B11618" t="s">
        <v>14</v>
      </c>
      <c r="C11618" t="s">
        <v>19</v>
      </c>
      <c r="D11618" t="s">
        <v>17</v>
      </c>
      <c r="E11618" t="s">
        <v>12</v>
      </c>
      <c r="F11618">
        <v>175632169</v>
      </c>
      <c r="G11618">
        <v>175632185</v>
      </c>
      <c r="H11618">
        <v>175632120</v>
      </c>
      <c r="I11618">
        <v>175632133</v>
      </c>
    </row>
    <row r="11619" spans="1:9" x14ac:dyDescent="0.2">
      <c r="A11619" t="str">
        <f>"Kmt2a"</f>
        <v>Kmt2a</v>
      </c>
      <c r="B11619" t="s">
        <v>14</v>
      </c>
      <c r="C11619" t="s">
        <v>24</v>
      </c>
      <c r="D11619" t="s">
        <v>11</v>
      </c>
      <c r="E11619" t="s">
        <v>67</v>
      </c>
      <c r="F11619">
        <v>44881277</v>
      </c>
      <c r="G11619">
        <v>44881323</v>
      </c>
      <c r="H11619">
        <v>44881277</v>
      </c>
      <c r="I11619">
        <v>44881323</v>
      </c>
    </row>
    <row r="11620" spans="1:9" x14ac:dyDescent="0.2">
      <c r="A11620" t="str">
        <f>"Kmt2b"</f>
        <v>Kmt2b</v>
      </c>
      <c r="B11620" t="s">
        <v>14</v>
      </c>
      <c r="C11620" t="s">
        <v>33</v>
      </c>
      <c r="D11620" t="s">
        <v>11</v>
      </c>
      <c r="E11620" t="s">
        <v>67</v>
      </c>
      <c r="F11620">
        <v>30588720</v>
      </c>
      <c r="G11620">
        <v>30588749</v>
      </c>
      <c r="H11620">
        <v>30588720</v>
      </c>
      <c r="I11620">
        <v>30588749</v>
      </c>
    </row>
    <row r="11621" spans="1:9" x14ac:dyDescent="0.2">
      <c r="A11621" t="str">
        <f>"Kmt2c"</f>
        <v>Kmt2c</v>
      </c>
      <c r="B11621" t="s">
        <v>14</v>
      </c>
      <c r="C11621" t="s">
        <v>46</v>
      </c>
      <c r="D11621" t="s">
        <v>11</v>
      </c>
      <c r="E11621" t="s">
        <v>67</v>
      </c>
      <c r="F11621">
        <v>25498748</v>
      </c>
      <c r="G11621">
        <v>25498772</v>
      </c>
      <c r="H11621">
        <v>25498774</v>
      </c>
      <c r="I11621">
        <v>25498812</v>
      </c>
    </row>
    <row r="11622" spans="1:9" x14ac:dyDescent="0.2">
      <c r="A11622" t="str">
        <f>"Kmt2d"</f>
        <v>Kmt2d</v>
      </c>
      <c r="B11622" t="s">
        <v>14</v>
      </c>
      <c r="C11622" t="s">
        <v>25</v>
      </c>
      <c r="D11622" t="s">
        <v>11</v>
      </c>
      <c r="E11622" t="s">
        <v>67</v>
      </c>
      <c r="F11622">
        <v>98871175</v>
      </c>
      <c r="G11622">
        <v>98871187</v>
      </c>
      <c r="H11622">
        <v>98871175</v>
      </c>
      <c r="I11622">
        <v>98871187</v>
      </c>
    </row>
    <row r="11623" spans="1:9" x14ac:dyDescent="0.2">
      <c r="A11623" t="str">
        <f>"Kmt2e"</f>
        <v>Kmt2e</v>
      </c>
      <c r="B11623" t="s">
        <v>14</v>
      </c>
      <c r="C11623" t="s">
        <v>46</v>
      </c>
      <c r="D11623" t="s">
        <v>17</v>
      </c>
      <c r="E11623" t="s">
        <v>67</v>
      </c>
      <c r="F11623">
        <v>23434435</v>
      </c>
      <c r="G11623">
        <v>23434471</v>
      </c>
      <c r="H11623">
        <v>23434502</v>
      </c>
      <c r="I11623">
        <v>23434513</v>
      </c>
    </row>
    <row r="11624" spans="1:9" x14ac:dyDescent="0.2">
      <c r="A11624" t="str">
        <f>"Kncn"</f>
        <v>Kncn</v>
      </c>
      <c r="B11624" t="s">
        <v>14</v>
      </c>
      <c r="C11624" t="s">
        <v>23</v>
      </c>
      <c r="D11624" t="s">
        <v>17</v>
      </c>
      <c r="E11624" t="s">
        <v>12</v>
      </c>
      <c r="F11624">
        <v>115884384</v>
      </c>
      <c r="G11624">
        <v>115884392</v>
      </c>
      <c r="H11624">
        <v>115884345</v>
      </c>
      <c r="I11624">
        <v>115884356</v>
      </c>
    </row>
    <row r="11625" spans="1:9" x14ac:dyDescent="0.2">
      <c r="A11625" t="str">
        <f>"Kndc1"</f>
        <v>Kndc1</v>
      </c>
      <c r="B11625" t="s">
        <v>14</v>
      </c>
      <c r="C11625" t="s">
        <v>33</v>
      </c>
      <c r="D11625" t="s">
        <v>17</v>
      </c>
      <c r="E11625" t="s">
        <v>12</v>
      </c>
      <c r="F11625">
        <v>139894918</v>
      </c>
      <c r="G11625">
        <v>139894985</v>
      </c>
      <c r="H11625">
        <v>139894783</v>
      </c>
      <c r="I11625">
        <v>139894854</v>
      </c>
    </row>
    <row r="11626" spans="1:9" x14ac:dyDescent="0.2">
      <c r="A11626" t="str">
        <f>"Kng1"</f>
        <v>Kng1</v>
      </c>
      <c r="B11626" t="s">
        <v>14</v>
      </c>
      <c r="C11626" t="s">
        <v>31</v>
      </c>
      <c r="D11626" t="s">
        <v>17</v>
      </c>
      <c r="E11626" t="s">
        <v>12</v>
      </c>
      <c r="F11626">
        <v>23058326</v>
      </c>
      <c r="G11626">
        <v>23058351</v>
      </c>
      <c r="H11626">
        <v>23058579</v>
      </c>
      <c r="I11626">
        <v>23058602</v>
      </c>
    </row>
    <row r="11627" spans="1:9" x14ac:dyDescent="0.2">
      <c r="A11627" t="str">
        <f>"Kng2"</f>
        <v>Kng2</v>
      </c>
      <c r="B11627" t="s">
        <v>14</v>
      </c>
      <c r="C11627" t="s">
        <v>31</v>
      </c>
      <c r="D11627" t="s">
        <v>11</v>
      </c>
      <c r="E11627" t="s">
        <v>12</v>
      </c>
      <c r="F11627">
        <v>23029080</v>
      </c>
      <c r="G11627">
        <v>23029106</v>
      </c>
      <c r="H11627">
        <v>23029115</v>
      </c>
      <c r="I11627">
        <v>23029138</v>
      </c>
    </row>
    <row r="11628" spans="1:9" x14ac:dyDescent="0.2">
      <c r="A11628" t="str">
        <f>"Knop1"</f>
        <v>Knop1</v>
      </c>
      <c r="B11628" t="s">
        <v>14</v>
      </c>
      <c r="C11628" t="s">
        <v>33</v>
      </c>
      <c r="D11628" t="s">
        <v>11</v>
      </c>
      <c r="E11628" t="s">
        <v>67</v>
      </c>
      <c r="F11628">
        <v>118855649</v>
      </c>
      <c r="G11628">
        <v>118855695</v>
      </c>
      <c r="H11628">
        <v>118855984</v>
      </c>
      <c r="I11628">
        <v>118856014</v>
      </c>
    </row>
    <row r="11629" spans="1:9" x14ac:dyDescent="0.2">
      <c r="A11629" t="str">
        <f>"Knstrn"</f>
        <v>Knstrn</v>
      </c>
      <c r="B11629" t="s">
        <v>14</v>
      </c>
      <c r="C11629" t="s">
        <v>26</v>
      </c>
      <c r="D11629" t="s">
        <v>17</v>
      </c>
      <c r="E11629" t="s">
        <v>67</v>
      </c>
      <c r="F11629">
        <v>118814195</v>
      </c>
      <c r="G11629">
        <v>118814235</v>
      </c>
      <c r="H11629">
        <v>118814237</v>
      </c>
      <c r="I11629">
        <v>118814261</v>
      </c>
    </row>
    <row r="11630" spans="1:9" x14ac:dyDescent="0.2">
      <c r="A11630" t="str">
        <f>"Kntc1"</f>
        <v>Kntc1</v>
      </c>
      <c r="B11630" t="s">
        <v>14</v>
      </c>
      <c r="C11630" t="s">
        <v>46</v>
      </c>
      <c r="D11630" t="s">
        <v>17</v>
      </c>
      <c r="E11630" t="s">
        <v>12</v>
      </c>
      <c r="F11630">
        <v>123749696</v>
      </c>
      <c r="G11630">
        <v>123749735</v>
      </c>
      <c r="H11630">
        <v>123749743</v>
      </c>
      <c r="I11630">
        <v>123749748</v>
      </c>
    </row>
    <row r="11631" spans="1:9" x14ac:dyDescent="0.2">
      <c r="A11631" t="str">
        <f>"Kpna1"</f>
        <v>Kpna1</v>
      </c>
      <c r="B11631" t="s">
        <v>14</v>
      </c>
      <c r="C11631" t="s">
        <v>31</v>
      </c>
      <c r="D11631" t="s">
        <v>17</v>
      </c>
      <c r="E11631" t="s">
        <v>12</v>
      </c>
      <c r="F11631">
        <v>35983307</v>
      </c>
      <c r="G11631">
        <v>35983395</v>
      </c>
      <c r="H11631">
        <v>35983424</v>
      </c>
      <c r="I11631">
        <v>35983435</v>
      </c>
    </row>
    <row r="11632" spans="1:9" x14ac:dyDescent="0.2">
      <c r="A11632" t="str">
        <f>"Kpna2"</f>
        <v>Kpna2</v>
      </c>
      <c r="B11632" t="s">
        <v>14</v>
      </c>
      <c r="C11632" t="s">
        <v>27</v>
      </c>
      <c r="D11632" t="s">
        <v>11</v>
      </c>
      <c r="E11632" t="s">
        <v>12</v>
      </c>
      <c r="F11632">
        <v>106999461</v>
      </c>
      <c r="G11632">
        <v>106999473</v>
      </c>
      <c r="H11632">
        <v>106999482</v>
      </c>
      <c r="I11632">
        <v>106999503</v>
      </c>
    </row>
    <row r="11633" spans="1:9" x14ac:dyDescent="0.2">
      <c r="A11633" t="str">
        <f>"Kpna3"</f>
        <v>Kpna3</v>
      </c>
      <c r="B11633" t="s">
        <v>14</v>
      </c>
      <c r="C11633" t="s">
        <v>41</v>
      </c>
      <c r="D11633" t="s">
        <v>11</v>
      </c>
      <c r="E11633" t="s">
        <v>12</v>
      </c>
      <c r="F11633">
        <v>61439831</v>
      </c>
      <c r="G11633">
        <v>61439869</v>
      </c>
      <c r="H11633">
        <v>61439809</v>
      </c>
      <c r="I11633">
        <v>61439828</v>
      </c>
    </row>
    <row r="11634" spans="1:9" x14ac:dyDescent="0.2">
      <c r="A11634" t="str">
        <f>"Kpna4"</f>
        <v>Kpna4</v>
      </c>
      <c r="B11634" t="s">
        <v>14</v>
      </c>
      <c r="C11634" t="s">
        <v>22</v>
      </c>
      <c r="D11634" t="s">
        <v>11</v>
      </c>
      <c r="E11634" t="s">
        <v>12</v>
      </c>
      <c r="F11634">
        <v>69127067</v>
      </c>
      <c r="G11634">
        <v>69127085</v>
      </c>
      <c r="H11634">
        <v>69127036</v>
      </c>
      <c r="I11634">
        <v>69127060</v>
      </c>
    </row>
    <row r="11635" spans="1:9" x14ac:dyDescent="0.2">
      <c r="A11635" t="str">
        <f>"Kpna6"</f>
        <v>Kpna6</v>
      </c>
      <c r="B11635" t="s">
        <v>14</v>
      </c>
      <c r="C11635" t="s">
        <v>23</v>
      </c>
      <c r="D11635" t="s">
        <v>11</v>
      </c>
      <c r="E11635" t="s">
        <v>12</v>
      </c>
      <c r="F11635">
        <v>129672712</v>
      </c>
      <c r="G11635">
        <v>129672774</v>
      </c>
      <c r="H11635">
        <v>129672712</v>
      </c>
      <c r="I11635">
        <v>129672774</v>
      </c>
    </row>
    <row r="11636" spans="1:9" x14ac:dyDescent="0.2">
      <c r="A11636" t="str">
        <f>"Kpna7"</f>
        <v>Kpna7</v>
      </c>
      <c r="B11636" t="s">
        <v>14</v>
      </c>
      <c r="C11636" t="s">
        <v>46</v>
      </c>
      <c r="D11636" t="s">
        <v>11</v>
      </c>
      <c r="E11636" t="s">
        <v>12</v>
      </c>
      <c r="F11636">
        <v>145010639</v>
      </c>
      <c r="G11636">
        <v>145010650</v>
      </c>
      <c r="H11636">
        <v>145010639</v>
      </c>
      <c r="I11636">
        <v>145010650</v>
      </c>
    </row>
    <row r="11637" spans="1:9" x14ac:dyDescent="0.2">
      <c r="A11637" t="str">
        <f>"Kpnb1"</f>
        <v>Kpnb1</v>
      </c>
      <c r="B11637" t="s">
        <v>14</v>
      </c>
      <c r="C11637" t="s">
        <v>27</v>
      </c>
      <c r="D11637" t="s">
        <v>11</v>
      </c>
      <c r="E11637" t="s">
        <v>12</v>
      </c>
      <c r="F11637">
        <v>97187872</v>
      </c>
      <c r="G11637">
        <v>97187926</v>
      </c>
      <c r="H11637">
        <v>97187930</v>
      </c>
      <c r="I11637">
        <v>97187948</v>
      </c>
    </row>
    <row r="11638" spans="1:9" x14ac:dyDescent="0.2">
      <c r="A11638" t="str">
        <f>"Kprp"</f>
        <v>Kprp</v>
      </c>
      <c r="B11638" t="s">
        <v>14</v>
      </c>
      <c r="C11638" t="s">
        <v>22</v>
      </c>
      <c r="D11638" t="s">
        <v>11</v>
      </c>
      <c r="E11638" t="s">
        <v>12</v>
      </c>
      <c r="F11638">
        <v>92827239</v>
      </c>
      <c r="G11638">
        <v>92827257</v>
      </c>
      <c r="H11638">
        <v>92827239</v>
      </c>
      <c r="I11638">
        <v>92827257</v>
      </c>
    </row>
    <row r="11639" spans="1:9" x14ac:dyDescent="0.2">
      <c r="A11639" t="str">
        <f>"Kptn"</f>
        <v>Kptn</v>
      </c>
      <c r="B11639" t="s">
        <v>14</v>
      </c>
      <c r="C11639" t="s">
        <v>33</v>
      </c>
      <c r="D11639" t="s">
        <v>17</v>
      </c>
      <c r="E11639" t="s">
        <v>12</v>
      </c>
      <c r="F11639">
        <v>16119868</v>
      </c>
      <c r="G11639">
        <v>16119907</v>
      </c>
      <c r="H11639">
        <v>16119920</v>
      </c>
      <c r="I11639">
        <v>16119938</v>
      </c>
    </row>
    <row r="11640" spans="1:9" x14ac:dyDescent="0.2">
      <c r="A11640" t="str">
        <f>"Kras"</f>
        <v>Kras</v>
      </c>
      <c r="B11640" t="s">
        <v>14</v>
      </c>
      <c r="C11640" t="s">
        <v>32</v>
      </c>
      <c r="D11640" t="s">
        <v>11</v>
      </c>
      <c r="E11640" t="s">
        <v>12</v>
      </c>
      <c r="F11640">
        <v>145250177</v>
      </c>
      <c r="G11640">
        <v>145250259</v>
      </c>
      <c r="H11640">
        <v>145250386</v>
      </c>
      <c r="I11640">
        <v>145250397</v>
      </c>
    </row>
    <row r="11641" spans="1:9" x14ac:dyDescent="0.2">
      <c r="A11641" t="str">
        <f>"Krba1"</f>
        <v>Krba1</v>
      </c>
      <c r="B11641" t="s">
        <v>14</v>
      </c>
      <c r="C11641" t="s">
        <v>32</v>
      </c>
      <c r="D11641" t="s">
        <v>17</v>
      </c>
      <c r="E11641" t="s">
        <v>12</v>
      </c>
      <c r="F11641">
        <v>48395604</v>
      </c>
      <c r="G11641">
        <v>48395646</v>
      </c>
      <c r="H11641">
        <v>48395652</v>
      </c>
      <c r="I11641">
        <v>48395688</v>
      </c>
    </row>
    <row r="11642" spans="1:9" x14ac:dyDescent="0.2">
      <c r="A11642" t="str">
        <f>"Krcc1"</f>
        <v>Krcc1</v>
      </c>
      <c r="B11642" t="s">
        <v>14</v>
      </c>
      <c r="C11642" t="s">
        <v>32</v>
      </c>
      <c r="D11642" t="s">
        <v>17</v>
      </c>
      <c r="E11642" t="s">
        <v>12</v>
      </c>
      <c r="F11642">
        <v>71271672</v>
      </c>
      <c r="G11642">
        <v>71271743</v>
      </c>
      <c r="H11642">
        <v>71271575</v>
      </c>
      <c r="I11642">
        <v>71271606</v>
      </c>
    </row>
    <row r="11643" spans="1:9" x14ac:dyDescent="0.2">
      <c r="A11643" t="str">
        <f>"Kremen1"</f>
        <v>Kremen1</v>
      </c>
      <c r="B11643" t="s">
        <v>14</v>
      </c>
      <c r="C11643" t="s">
        <v>27</v>
      </c>
      <c r="D11643" t="s">
        <v>11</v>
      </c>
      <c r="E11643" t="s">
        <v>12</v>
      </c>
      <c r="F11643">
        <v>5261569</v>
      </c>
      <c r="G11643">
        <v>5261637</v>
      </c>
      <c r="H11643">
        <v>5261530</v>
      </c>
      <c r="I11643">
        <v>5261543</v>
      </c>
    </row>
    <row r="11644" spans="1:9" x14ac:dyDescent="0.2">
      <c r="A11644" t="str">
        <f>"Kremen2"</f>
        <v>Kremen2</v>
      </c>
      <c r="B11644" t="s">
        <v>14</v>
      </c>
      <c r="C11644" t="s">
        <v>28</v>
      </c>
      <c r="D11644" t="s">
        <v>11</v>
      </c>
      <c r="E11644" t="s">
        <v>12</v>
      </c>
      <c r="F11644">
        <v>23745862</v>
      </c>
      <c r="G11644">
        <v>23745878</v>
      </c>
      <c r="H11644">
        <v>23745879</v>
      </c>
      <c r="I11644">
        <v>23745887</v>
      </c>
    </row>
    <row r="11645" spans="1:9" x14ac:dyDescent="0.2">
      <c r="A11645" t="str">
        <f>"Kri1"</f>
        <v>Kri1</v>
      </c>
      <c r="B11645" t="s">
        <v>4238</v>
      </c>
      <c r="C11645" t="s">
        <v>24</v>
      </c>
      <c r="D11645" t="s">
        <v>11</v>
      </c>
      <c r="E11645" t="s">
        <v>35</v>
      </c>
      <c r="F11645">
        <v>21287954</v>
      </c>
      <c r="G11645">
        <v>21287976</v>
      </c>
      <c r="H11645">
        <v>21287954</v>
      </c>
      <c r="I11645">
        <v>21287976</v>
      </c>
    </row>
    <row r="11646" spans="1:9" x14ac:dyDescent="0.2">
      <c r="A11646" t="str">
        <f>"Krit1"</f>
        <v>Krit1</v>
      </c>
      <c r="B11646" t="s">
        <v>14</v>
      </c>
      <c r="C11646" t="s">
        <v>46</v>
      </c>
      <c r="D11646" t="s">
        <v>17</v>
      </c>
      <c r="E11646" t="s">
        <v>12</v>
      </c>
      <c r="F11646">
        <v>3803160</v>
      </c>
      <c r="G11646">
        <v>3803193</v>
      </c>
      <c r="H11646">
        <v>3803195</v>
      </c>
      <c r="I11646">
        <v>3803206</v>
      </c>
    </row>
    <row r="11647" spans="1:9" x14ac:dyDescent="0.2">
      <c r="A11647" t="str">
        <f>"Krr1"</f>
        <v>Krr1</v>
      </c>
      <c r="B11647" t="s">
        <v>14</v>
      </c>
      <c r="C11647" t="s">
        <v>15</v>
      </c>
      <c r="D11647" t="s">
        <v>17</v>
      </c>
      <c r="E11647" t="s">
        <v>12</v>
      </c>
      <c r="F11647">
        <v>111972750</v>
      </c>
      <c r="G11647">
        <v>111972805</v>
      </c>
      <c r="H11647">
        <v>111972750</v>
      </c>
      <c r="I11647">
        <v>111972805</v>
      </c>
    </row>
    <row r="11648" spans="1:9" x14ac:dyDescent="0.2">
      <c r="A11648" t="str">
        <f>"Krt1"</f>
        <v>Krt1</v>
      </c>
      <c r="B11648" t="s">
        <v>14</v>
      </c>
      <c r="C11648" t="s">
        <v>25</v>
      </c>
      <c r="D11648" t="s">
        <v>11</v>
      </c>
      <c r="E11648" t="s">
        <v>12</v>
      </c>
      <c r="F11648">
        <v>101850778</v>
      </c>
      <c r="G11648">
        <v>101850792</v>
      </c>
      <c r="H11648">
        <v>101850778</v>
      </c>
      <c r="I11648">
        <v>101850792</v>
      </c>
    </row>
    <row r="11649" spans="1:9" x14ac:dyDescent="0.2">
      <c r="A11649" t="str">
        <f>"Krt10"</f>
        <v>Krt10</v>
      </c>
      <c r="B11649" t="s">
        <v>14</v>
      </c>
      <c r="C11649" t="s">
        <v>27</v>
      </c>
      <c r="D11649" t="s">
        <v>11</v>
      </c>
      <c r="E11649" t="s">
        <v>12</v>
      </c>
      <c r="F11649">
        <v>99389351</v>
      </c>
      <c r="G11649">
        <v>99389369</v>
      </c>
      <c r="H11649">
        <v>99389351</v>
      </c>
      <c r="I11649">
        <v>99389369</v>
      </c>
    </row>
    <row r="11650" spans="1:9" x14ac:dyDescent="0.2">
      <c r="A11650" t="str">
        <f>"Krt12"</f>
        <v>Krt12</v>
      </c>
      <c r="B11650" t="s">
        <v>14</v>
      </c>
      <c r="C11650" t="s">
        <v>27</v>
      </c>
      <c r="D11650" t="s">
        <v>11</v>
      </c>
      <c r="E11650" t="s">
        <v>12</v>
      </c>
      <c r="F11650">
        <v>99422252</v>
      </c>
      <c r="G11650">
        <v>99422260</v>
      </c>
      <c r="H11650">
        <v>99422252</v>
      </c>
      <c r="I11650">
        <v>99422260</v>
      </c>
    </row>
    <row r="11651" spans="1:9" x14ac:dyDescent="0.2">
      <c r="A11651" t="str">
        <f>"Krt13"</f>
        <v>Krt13</v>
      </c>
      <c r="B11651" t="s">
        <v>14</v>
      </c>
      <c r="C11651" t="s">
        <v>27</v>
      </c>
      <c r="D11651" t="s">
        <v>11</v>
      </c>
      <c r="E11651" t="s">
        <v>12</v>
      </c>
      <c r="F11651">
        <v>100121558</v>
      </c>
      <c r="G11651">
        <v>100121572</v>
      </c>
      <c r="H11651">
        <v>100121558</v>
      </c>
      <c r="I11651">
        <v>100121572</v>
      </c>
    </row>
    <row r="11652" spans="1:9" x14ac:dyDescent="0.2">
      <c r="A11652" t="str">
        <f>"Krt14"</f>
        <v>Krt14</v>
      </c>
      <c r="B11652" t="s">
        <v>9</v>
      </c>
      <c r="C11652" t="s">
        <v>27</v>
      </c>
      <c r="D11652" t="s">
        <v>11</v>
      </c>
      <c r="E11652" t="s">
        <v>12</v>
      </c>
      <c r="F11652">
        <v>100207507</v>
      </c>
      <c r="G11652">
        <v>100207526</v>
      </c>
      <c r="H11652">
        <v>100207507</v>
      </c>
      <c r="I11652">
        <v>100207526</v>
      </c>
    </row>
    <row r="11653" spans="1:9" x14ac:dyDescent="0.2">
      <c r="A11653" t="str">
        <f>"Krt14"</f>
        <v>Krt14</v>
      </c>
      <c r="B11653" t="s">
        <v>13</v>
      </c>
      <c r="C11653" t="s">
        <v>27</v>
      </c>
      <c r="D11653" t="s">
        <v>11</v>
      </c>
      <c r="E11653" t="s">
        <v>12</v>
      </c>
      <c r="F11653">
        <v>100206065</v>
      </c>
      <c r="G11653">
        <v>100206094</v>
      </c>
      <c r="H11653">
        <v>100206065</v>
      </c>
      <c r="I11653">
        <v>100206094</v>
      </c>
    </row>
    <row r="11654" spans="1:9" x14ac:dyDescent="0.2">
      <c r="A11654" t="str">
        <f>"Krt15"</f>
        <v>Krt15</v>
      </c>
      <c r="B11654" t="s">
        <v>14</v>
      </c>
      <c r="C11654" t="s">
        <v>27</v>
      </c>
      <c r="D11654" t="s">
        <v>11</v>
      </c>
      <c r="E11654" t="s">
        <v>12</v>
      </c>
      <c r="F11654">
        <v>100135939</v>
      </c>
      <c r="G11654">
        <v>100135954</v>
      </c>
      <c r="H11654">
        <v>100135939</v>
      </c>
      <c r="I11654">
        <v>100135954</v>
      </c>
    </row>
    <row r="11655" spans="1:9" x14ac:dyDescent="0.2">
      <c r="A11655" t="str">
        <f>"Krt16"</f>
        <v>Krt16</v>
      </c>
      <c r="B11655" t="s">
        <v>14</v>
      </c>
      <c r="C11655" t="s">
        <v>27</v>
      </c>
      <c r="D11655" t="s">
        <v>11</v>
      </c>
      <c r="E11655" t="s">
        <v>12</v>
      </c>
      <c r="F11655">
        <v>100248953</v>
      </c>
      <c r="G11655">
        <v>100248969</v>
      </c>
      <c r="H11655">
        <v>100248953</v>
      </c>
      <c r="I11655">
        <v>100248969</v>
      </c>
    </row>
    <row r="11656" spans="1:9" x14ac:dyDescent="0.2">
      <c r="A11656" t="str">
        <f>"Krt17"</f>
        <v>Krt17</v>
      </c>
      <c r="B11656" t="s">
        <v>14</v>
      </c>
      <c r="C11656" t="s">
        <v>27</v>
      </c>
      <c r="D11656" t="s">
        <v>11</v>
      </c>
      <c r="E11656" t="s">
        <v>12</v>
      </c>
      <c r="F11656">
        <v>100261021</v>
      </c>
      <c r="G11656">
        <v>100261036</v>
      </c>
      <c r="H11656">
        <v>100261021</v>
      </c>
      <c r="I11656">
        <v>100261036</v>
      </c>
    </row>
    <row r="11657" spans="1:9" x14ac:dyDescent="0.2">
      <c r="A11657" t="str">
        <f>"Krt18"</f>
        <v>Krt18</v>
      </c>
      <c r="B11657" t="s">
        <v>14</v>
      </c>
      <c r="C11657" t="s">
        <v>25</v>
      </c>
      <c r="D11657" t="s">
        <v>17</v>
      </c>
      <c r="E11657" t="s">
        <v>12</v>
      </c>
      <c r="F11657">
        <v>102028218</v>
      </c>
      <c r="G11657">
        <v>102028235</v>
      </c>
      <c r="H11657">
        <v>102028200</v>
      </c>
      <c r="I11657">
        <v>102028211</v>
      </c>
    </row>
    <row r="11658" spans="1:9" x14ac:dyDescent="0.2">
      <c r="A11658" t="str">
        <f>"Krt19"</f>
        <v>Krt19</v>
      </c>
      <c r="B11658" t="s">
        <v>14</v>
      </c>
      <c r="C11658" t="s">
        <v>27</v>
      </c>
      <c r="D11658" t="s">
        <v>11</v>
      </c>
      <c r="E11658" t="s">
        <v>12</v>
      </c>
      <c r="F11658">
        <v>100145918</v>
      </c>
      <c r="G11658">
        <v>100145935</v>
      </c>
      <c r="H11658">
        <v>100146064</v>
      </c>
      <c r="I11658">
        <v>100146080</v>
      </c>
    </row>
    <row r="11659" spans="1:9" x14ac:dyDescent="0.2">
      <c r="A11659" t="str">
        <f>"Krt2"</f>
        <v>Krt2</v>
      </c>
      <c r="B11659" t="s">
        <v>14</v>
      </c>
      <c r="C11659" t="s">
        <v>25</v>
      </c>
      <c r="D11659" t="s">
        <v>11</v>
      </c>
      <c r="E11659" t="s">
        <v>12</v>
      </c>
      <c r="F11659">
        <v>101818165</v>
      </c>
      <c r="G11659">
        <v>101818170</v>
      </c>
      <c r="H11659">
        <v>101818165</v>
      </c>
      <c r="I11659">
        <v>101818170</v>
      </c>
    </row>
    <row r="11660" spans="1:9" x14ac:dyDescent="0.2">
      <c r="A11660" t="str">
        <f>"Krt20"</f>
        <v>Krt20</v>
      </c>
      <c r="B11660" t="s">
        <v>14</v>
      </c>
      <c r="C11660" t="s">
        <v>27</v>
      </c>
      <c r="D11660" t="s">
        <v>11</v>
      </c>
      <c r="E11660" t="s">
        <v>12</v>
      </c>
      <c r="F11660">
        <v>99438143</v>
      </c>
      <c r="G11660">
        <v>99438159</v>
      </c>
      <c r="H11660">
        <v>99438288</v>
      </c>
      <c r="I11660">
        <v>99438293</v>
      </c>
    </row>
    <row r="11661" spans="1:9" x14ac:dyDescent="0.2">
      <c r="A11661" t="str">
        <f>"Krt222"</f>
        <v>Krt222</v>
      </c>
      <c r="B11661" t="s">
        <v>14</v>
      </c>
      <c r="C11661" t="s">
        <v>27</v>
      </c>
      <c r="D11661" t="s">
        <v>11</v>
      </c>
      <c r="E11661" t="s">
        <v>12</v>
      </c>
      <c r="F11661">
        <v>99244058</v>
      </c>
      <c r="G11661">
        <v>99244136</v>
      </c>
      <c r="H11661">
        <v>99244058</v>
      </c>
      <c r="I11661">
        <v>99244136</v>
      </c>
    </row>
    <row r="11662" spans="1:9" x14ac:dyDescent="0.2">
      <c r="A11662" t="str">
        <f>"Krt23"</f>
        <v>Krt23</v>
      </c>
      <c r="B11662" t="s">
        <v>14</v>
      </c>
      <c r="C11662" t="s">
        <v>27</v>
      </c>
      <c r="D11662" t="s">
        <v>11</v>
      </c>
      <c r="E11662" t="s">
        <v>12</v>
      </c>
      <c r="F11662">
        <v>99493112</v>
      </c>
      <c r="G11662">
        <v>99493129</v>
      </c>
      <c r="H11662">
        <v>99493112</v>
      </c>
      <c r="I11662">
        <v>99493129</v>
      </c>
    </row>
    <row r="11663" spans="1:9" x14ac:dyDescent="0.2">
      <c r="A11663" t="str">
        <f>"Krt24"</f>
        <v>Krt24</v>
      </c>
      <c r="B11663" t="s">
        <v>14</v>
      </c>
      <c r="C11663" t="s">
        <v>27</v>
      </c>
      <c r="D11663" t="s">
        <v>11</v>
      </c>
      <c r="E11663" t="s">
        <v>12</v>
      </c>
      <c r="F11663">
        <v>99285260</v>
      </c>
      <c r="G11663">
        <v>99285264</v>
      </c>
      <c r="H11663">
        <v>99285260</v>
      </c>
      <c r="I11663">
        <v>99285264</v>
      </c>
    </row>
    <row r="11664" spans="1:9" x14ac:dyDescent="0.2">
      <c r="A11664" t="str">
        <f>"Krt25"</f>
        <v>Krt25</v>
      </c>
      <c r="B11664" t="s">
        <v>14</v>
      </c>
      <c r="C11664" t="s">
        <v>27</v>
      </c>
      <c r="D11664" t="s">
        <v>11</v>
      </c>
      <c r="E11664" t="s">
        <v>12</v>
      </c>
      <c r="F11664">
        <v>99322943</v>
      </c>
      <c r="G11664">
        <v>99322957</v>
      </c>
      <c r="H11664">
        <v>99322943</v>
      </c>
      <c r="I11664">
        <v>99322957</v>
      </c>
    </row>
    <row r="11665" spans="1:9" x14ac:dyDescent="0.2">
      <c r="A11665" t="str">
        <f>"Krt26"</f>
        <v>Krt26</v>
      </c>
      <c r="B11665" t="s">
        <v>14</v>
      </c>
      <c r="C11665" t="s">
        <v>27</v>
      </c>
      <c r="D11665" t="s">
        <v>11</v>
      </c>
      <c r="E11665" t="s">
        <v>12</v>
      </c>
      <c r="F11665">
        <v>99337930</v>
      </c>
      <c r="G11665">
        <v>99337967</v>
      </c>
      <c r="H11665">
        <v>99337930</v>
      </c>
      <c r="I11665">
        <v>99337967</v>
      </c>
    </row>
    <row r="11666" spans="1:9" x14ac:dyDescent="0.2">
      <c r="A11666" t="str">
        <f>"Krt27"</f>
        <v>Krt27</v>
      </c>
      <c r="B11666" t="s">
        <v>14</v>
      </c>
      <c r="C11666" t="s">
        <v>27</v>
      </c>
      <c r="D11666" t="s">
        <v>11</v>
      </c>
      <c r="E11666" t="s">
        <v>12</v>
      </c>
      <c r="F11666">
        <v>99351086</v>
      </c>
      <c r="G11666">
        <v>99351113</v>
      </c>
      <c r="H11666">
        <v>99351086</v>
      </c>
      <c r="I11666">
        <v>99351113</v>
      </c>
    </row>
    <row r="11667" spans="1:9" x14ac:dyDescent="0.2">
      <c r="A11667" t="str">
        <f>"Krt28"</f>
        <v>Krt28</v>
      </c>
      <c r="B11667" t="s">
        <v>14</v>
      </c>
      <c r="C11667" t="s">
        <v>27</v>
      </c>
      <c r="D11667" t="s">
        <v>11</v>
      </c>
      <c r="E11667" t="s">
        <v>12</v>
      </c>
      <c r="F11667">
        <v>99374895</v>
      </c>
      <c r="G11667">
        <v>99374909</v>
      </c>
      <c r="H11667">
        <v>99374895</v>
      </c>
      <c r="I11667">
        <v>99374909</v>
      </c>
    </row>
    <row r="11668" spans="1:9" x14ac:dyDescent="0.2">
      <c r="A11668" t="str">
        <f>"Krt31"</f>
        <v>Krt31</v>
      </c>
      <c r="B11668" t="s">
        <v>14</v>
      </c>
      <c r="C11668" t="s">
        <v>27</v>
      </c>
      <c r="D11668" t="s">
        <v>11</v>
      </c>
      <c r="E11668" t="s">
        <v>12</v>
      </c>
      <c r="F11668">
        <v>100050542</v>
      </c>
      <c r="G11668">
        <v>100050557</v>
      </c>
      <c r="H11668">
        <v>100050581</v>
      </c>
      <c r="I11668">
        <v>100050589</v>
      </c>
    </row>
    <row r="11669" spans="1:9" x14ac:dyDescent="0.2">
      <c r="A11669" t="str">
        <f>"Krt32"</f>
        <v>Krt32</v>
      </c>
      <c r="B11669" t="s">
        <v>14</v>
      </c>
      <c r="C11669" t="s">
        <v>27</v>
      </c>
      <c r="D11669" t="s">
        <v>11</v>
      </c>
      <c r="E11669" t="s">
        <v>12</v>
      </c>
      <c r="F11669">
        <v>100088265</v>
      </c>
      <c r="G11669">
        <v>100088270</v>
      </c>
      <c r="H11669">
        <v>100088296</v>
      </c>
      <c r="I11669">
        <v>100088329</v>
      </c>
    </row>
    <row r="11670" spans="1:9" x14ac:dyDescent="0.2">
      <c r="A11670" t="str">
        <f>"Krt33a"</f>
        <v>Krt33a</v>
      </c>
      <c r="B11670" t="s">
        <v>14</v>
      </c>
      <c r="C11670" t="s">
        <v>27</v>
      </c>
      <c r="D11670" t="s">
        <v>11</v>
      </c>
      <c r="E11670" t="s">
        <v>12</v>
      </c>
      <c r="F11670">
        <v>100016204</v>
      </c>
      <c r="G11670">
        <v>100016216</v>
      </c>
      <c r="H11670">
        <v>100016243</v>
      </c>
      <c r="I11670">
        <v>100016244</v>
      </c>
    </row>
    <row r="11671" spans="1:9" x14ac:dyDescent="0.2">
      <c r="A11671" t="str">
        <f>"Krt33b"</f>
        <v>Krt33b</v>
      </c>
      <c r="B11671" t="s">
        <v>14</v>
      </c>
      <c r="C11671" t="s">
        <v>27</v>
      </c>
      <c r="D11671" t="s">
        <v>11</v>
      </c>
      <c r="E11671" t="s">
        <v>12</v>
      </c>
      <c r="F11671">
        <v>100029883</v>
      </c>
      <c r="G11671">
        <v>100029887</v>
      </c>
      <c r="H11671">
        <v>100029883</v>
      </c>
      <c r="I11671">
        <v>100029887</v>
      </c>
    </row>
    <row r="11672" spans="1:9" x14ac:dyDescent="0.2">
      <c r="A11672" t="str">
        <f>"Krt34"</f>
        <v>Krt34</v>
      </c>
      <c r="B11672" t="s">
        <v>14</v>
      </c>
      <c r="C11672" t="s">
        <v>27</v>
      </c>
      <c r="D11672" t="s">
        <v>11</v>
      </c>
      <c r="E11672" t="s">
        <v>12</v>
      </c>
      <c r="F11672">
        <v>100041547</v>
      </c>
      <c r="G11672">
        <v>100041561</v>
      </c>
      <c r="H11672">
        <v>100041526</v>
      </c>
      <c r="I11672">
        <v>100041531</v>
      </c>
    </row>
    <row r="11673" spans="1:9" x14ac:dyDescent="0.2">
      <c r="A11673" t="str">
        <f>"Krt35"</f>
        <v>Krt35</v>
      </c>
      <c r="B11673" t="s">
        <v>14</v>
      </c>
      <c r="C11673" t="s">
        <v>27</v>
      </c>
      <c r="D11673" t="s">
        <v>11</v>
      </c>
      <c r="E11673" t="s">
        <v>12</v>
      </c>
      <c r="F11673">
        <v>100096237</v>
      </c>
      <c r="G11673">
        <v>100096242</v>
      </c>
      <c r="H11673">
        <v>100096273</v>
      </c>
      <c r="I11673">
        <v>100096279</v>
      </c>
    </row>
    <row r="11674" spans="1:9" x14ac:dyDescent="0.2">
      <c r="A11674" t="str">
        <f>"Krt36"</f>
        <v>Krt36</v>
      </c>
      <c r="B11674" t="s">
        <v>14</v>
      </c>
      <c r="C11674" t="s">
        <v>27</v>
      </c>
      <c r="D11674" t="s">
        <v>11</v>
      </c>
      <c r="E11674" t="s">
        <v>12</v>
      </c>
      <c r="F11674">
        <v>100105638</v>
      </c>
      <c r="G11674">
        <v>100105645</v>
      </c>
      <c r="H11674">
        <v>100105638</v>
      </c>
      <c r="I11674">
        <v>100105645</v>
      </c>
    </row>
    <row r="11675" spans="1:9" x14ac:dyDescent="0.2">
      <c r="A11675" t="str">
        <f>"Krt39"</f>
        <v>Krt39</v>
      </c>
      <c r="B11675" t="s">
        <v>14</v>
      </c>
      <c r="C11675" t="s">
        <v>27</v>
      </c>
      <c r="D11675" t="s">
        <v>11</v>
      </c>
      <c r="E11675" t="s">
        <v>12</v>
      </c>
      <c r="F11675">
        <v>99521336</v>
      </c>
      <c r="G11675">
        <v>99521340</v>
      </c>
      <c r="H11675">
        <v>99521336</v>
      </c>
      <c r="I11675">
        <v>99521340</v>
      </c>
    </row>
    <row r="11676" spans="1:9" x14ac:dyDescent="0.2">
      <c r="A11676" t="str">
        <f>"Krt4"</f>
        <v>Krt4</v>
      </c>
      <c r="B11676" t="s">
        <v>14</v>
      </c>
      <c r="C11676" t="s">
        <v>25</v>
      </c>
      <c r="D11676" t="s">
        <v>11</v>
      </c>
      <c r="E11676" t="s">
        <v>12</v>
      </c>
      <c r="F11676">
        <v>101924725</v>
      </c>
      <c r="G11676">
        <v>101924742</v>
      </c>
      <c r="H11676">
        <v>101924725</v>
      </c>
      <c r="I11676">
        <v>101924742</v>
      </c>
    </row>
    <row r="11677" spans="1:9" x14ac:dyDescent="0.2">
      <c r="A11677" t="str">
        <f>"Krt40"</f>
        <v>Krt40</v>
      </c>
      <c r="B11677" t="s">
        <v>14</v>
      </c>
      <c r="C11677" t="s">
        <v>27</v>
      </c>
      <c r="D11677" t="s">
        <v>11</v>
      </c>
      <c r="E11677" t="s">
        <v>12</v>
      </c>
      <c r="F11677">
        <v>99543216</v>
      </c>
      <c r="G11677">
        <v>99543222</v>
      </c>
      <c r="H11677">
        <v>99543216</v>
      </c>
      <c r="I11677">
        <v>99543222</v>
      </c>
    </row>
    <row r="11678" spans="1:9" x14ac:dyDescent="0.2">
      <c r="A11678" t="str">
        <f>"Krt42"</f>
        <v>Krt42</v>
      </c>
      <c r="B11678" t="s">
        <v>14</v>
      </c>
      <c r="C11678" t="s">
        <v>27</v>
      </c>
      <c r="D11678" t="s">
        <v>11</v>
      </c>
      <c r="E11678" t="s">
        <v>12</v>
      </c>
      <c r="F11678">
        <v>100269897</v>
      </c>
      <c r="G11678">
        <v>100269901</v>
      </c>
      <c r="H11678">
        <v>100269897</v>
      </c>
      <c r="I11678">
        <v>100269901</v>
      </c>
    </row>
    <row r="11679" spans="1:9" x14ac:dyDescent="0.2">
      <c r="A11679" t="str">
        <f>"Krt5"</f>
        <v>Krt5</v>
      </c>
      <c r="B11679" t="s">
        <v>14</v>
      </c>
      <c r="C11679" t="s">
        <v>25</v>
      </c>
      <c r="D11679" t="s">
        <v>11</v>
      </c>
      <c r="E11679" t="s">
        <v>12</v>
      </c>
      <c r="F11679">
        <v>101712897</v>
      </c>
      <c r="G11679">
        <v>101712911</v>
      </c>
      <c r="H11679">
        <v>101712897</v>
      </c>
      <c r="I11679">
        <v>101712911</v>
      </c>
    </row>
    <row r="11680" spans="1:9" x14ac:dyDescent="0.2">
      <c r="A11680" t="str">
        <f>"Krt6a"</f>
        <v>Krt6a</v>
      </c>
      <c r="B11680" t="s">
        <v>14</v>
      </c>
      <c r="C11680" t="s">
        <v>25</v>
      </c>
      <c r="D11680" t="s">
        <v>11</v>
      </c>
      <c r="E11680" t="s">
        <v>12</v>
      </c>
      <c r="F11680">
        <v>101694299</v>
      </c>
      <c r="G11680">
        <v>101694318</v>
      </c>
      <c r="H11680">
        <v>101694299</v>
      </c>
      <c r="I11680">
        <v>101694318</v>
      </c>
    </row>
    <row r="11681" spans="1:9" x14ac:dyDescent="0.2">
      <c r="A11681" t="str">
        <f>"Krt6b"</f>
        <v>Krt6b</v>
      </c>
      <c r="B11681" t="s">
        <v>14</v>
      </c>
      <c r="C11681" t="s">
        <v>25</v>
      </c>
      <c r="D11681" t="s">
        <v>11</v>
      </c>
      <c r="E11681" t="s">
        <v>12</v>
      </c>
      <c r="F11681">
        <v>101680281</v>
      </c>
      <c r="G11681">
        <v>101680298</v>
      </c>
      <c r="H11681">
        <v>101680281</v>
      </c>
      <c r="I11681">
        <v>101680298</v>
      </c>
    </row>
    <row r="11682" spans="1:9" x14ac:dyDescent="0.2">
      <c r="A11682" t="str">
        <f>"Krt7"</f>
        <v>Krt7</v>
      </c>
      <c r="B11682" t="s">
        <v>9</v>
      </c>
      <c r="C11682" t="s">
        <v>25</v>
      </c>
      <c r="D11682" t="s">
        <v>17</v>
      </c>
      <c r="E11682" t="s">
        <v>12</v>
      </c>
      <c r="F11682">
        <v>101412417</v>
      </c>
      <c r="G11682">
        <v>101412433</v>
      </c>
      <c r="H11682">
        <v>101412417</v>
      </c>
      <c r="I11682">
        <v>101412433</v>
      </c>
    </row>
    <row r="11683" spans="1:9" x14ac:dyDescent="0.2">
      <c r="A11683" t="str">
        <f>"Krt7"</f>
        <v>Krt7</v>
      </c>
      <c r="B11683" t="s">
        <v>13</v>
      </c>
      <c r="C11683" t="s">
        <v>25</v>
      </c>
      <c r="D11683" t="s">
        <v>17</v>
      </c>
      <c r="E11683" t="s">
        <v>12</v>
      </c>
      <c r="F11683">
        <v>101411053</v>
      </c>
      <c r="G11683">
        <v>101411095</v>
      </c>
      <c r="H11683">
        <v>101411053</v>
      </c>
      <c r="I11683">
        <v>101411095</v>
      </c>
    </row>
    <row r="11684" spans="1:9" x14ac:dyDescent="0.2">
      <c r="A11684" t="str">
        <f>"Krt71"</f>
        <v>Krt71</v>
      </c>
      <c r="B11684" t="s">
        <v>14</v>
      </c>
      <c r="C11684" t="s">
        <v>25</v>
      </c>
      <c r="D11684" t="s">
        <v>11</v>
      </c>
      <c r="E11684" t="s">
        <v>12</v>
      </c>
      <c r="F11684">
        <v>101743099</v>
      </c>
      <c r="G11684">
        <v>101743117</v>
      </c>
      <c r="H11684">
        <v>101743099</v>
      </c>
      <c r="I11684">
        <v>101743117</v>
      </c>
    </row>
    <row r="11685" spans="1:9" x14ac:dyDescent="0.2">
      <c r="A11685" t="str">
        <f>"Krt72"</f>
        <v>Krt72</v>
      </c>
      <c r="B11685" t="s">
        <v>14</v>
      </c>
      <c r="C11685" t="s">
        <v>25</v>
      </c>
      <c r="D11685" t="s">
        <v>11</v>
      </c>
      <c r="E11685" t="s">
        <v>67</v>
      </c>
      <c r="F11685">
        <v>101786515</v>
      </c>
      <c r="G11685">
        <v>101786528</v>
      </c>
      <c r="H11685">
        <v>101786554</v>
      </c>
      <c r="I11685">
        <v>101786568</v>
      </c>
    </row>
    <row r="11686" spans="1:9" x14ac:dyDescent="0.2">
      <c r="A11686" t="str">
        <f>"Krt73"</f>
        <v>Krt73</v>
      </c>
      <c r="B11686" t="s">
        <v>14</v>
      </c>
      <c r="C11686" t="s">
        <v>25</v>
      </c>
      <c r="D11686" t="s">
        <v>11</v>
      </c>
      <c r="E11686" t="s">
        <v>12</v>
      </c>
      <c r="F11686">
        <v>101802350</v>
      </c>
      <c r="G11686">
        <v>101802367</v>
      </c>
      <c r="H11686">
        <v>101802350</v>
      </c>
      <c r="I11686">
        <v>101802367</v>
      </c>
    </row>
    <row r="11687" spans="1:9" x14ac:dyDescent="0.2">
      <c r="A11687" t="str">
        <f>"Krt74"</f>
        <v>Krt74</v>
      </c>
      <c r="B11687" t="s">
        <v>14</v>
      </c>
      <c r="C11687" t="s">
        <v>25</v>
      </c>
      <c r="D11687" t="s">
        <v>11</v>
      </c>
      <c r="E11687" t="s">
        <v>12</v>
      </c>
      <c r="F11687">
        <v>101763557</v>
      </c>
      <c r="G11687">
        <v>101763566</v>
      </c>
      <c r="H11687">
        <v>101763557</v>
      </c>
      <c r="I11687">
        <v>101763566</v>
      </c>
    </row>
    <row r="11688" spans="1:9" x14ac:dyDescent="0.2">
      <c r="A11688" t="str">
        <f>"Krt75"</f>
        <v>Krt75</v>
      </c>
      <c r="B11688" t="s">
        <v>14</v>
      </c>
      <c r="C11688" t="s">
        <v>25</v>
      </c>
      <c r="D11688" t="s">
        <v>11</v>
      </c>
      <c r="E11688" t="s">
        <v>12</v>
      </c>
      <c r="F11688">
        <v>101573883</v>
      </c>
      <c r="G11688">
        <v>101573913</v>
      </c>
      <c r="H11688">
        <v>101573863</v>
      </c>
      <c r="I11688">
        <v>101573870</v>
      </c>
    </row>
    <row r="11689" spans="1:9" x14ac:dyDescent="0.2">
      <c r="A11689" t="str">
        <f>"Krt76"</f>
        <v>Krt76</v>
      </c>
      <c r="B11689" t="s">
        <v>14</v>
      </c>
      <c r="C11689" t="s">
        <v>25</v>
      </c>
      <c r="D11689" t="s">
        <v>11</v>
      </c>
      <c r="E11689" t="s">
        <v>12</v>
      </c>
      <c r="F11689">
        <v>101892916</v>
      </c>
      <c r="G11689">
        <v>101892921</v>
      </c>
      <c r="H11689">
        <v>101892916</v>
      </c>
      <c r="I11689">
        <v>101892921</v>
      </c>
    </row>
    <row r="11690" spans="1:9" x14ac:dyDescent="0.2">
      <c r="A11690" t="str">
        <f>"Krt77"</f>
        <v>Krt77</v>
      </c>
      <c r="B11690" t="s">
        <v>14</v>
      </c>
      <c r="C11690" t="s">
        <v>25</v>
      </c>
      <c r="D11690" t="s">
        <v>11</v>
      </c>
      <c r="E11690" t="s">
        <v>12</v>
      </c>
      <c r="F11690">
        <v>101869695</v>
      </c>
      <c r="G11690">
        <v>101869712</v>
      </c>
      <c r="H11690">
        <v>101869695</v>
      </c>
      <c r="I11690">
        <v>101869712</v>
      </c>
    </row>
    <row r="11691" spans="1:9" x14ac:dyDescent="0.2">
      <c r="A11691" t="str">
        <f>"Krt78"</f>
        <v>Krt78</v>
      </c>
      <c r="B11691" t="s">
        <v>14</v>
      </c>
      <c r="C11691" t="s">
        <v>25</v>
      </c>
      <c r="D11691" t="s">
        <v>11</v>
      </c>
      <c r="E11691" t="s">
        <v>12</v>
      </c>
      <c r="F11691">
        <v>101954276</v>
      </c>
      <c r="G11691">
        <v>101954294</v>
      </c>
      <c r="H11691">
        <v>101954249</v>
      </c>
      <c r="I11691">
        <v>101954265</v>
      </c>
    </row>
    <row r="11692" spans="1:9" x14ac:dyDescent="0.2">
      <c r="A11692" t="str">
        <f>"Krt79"</f>
        <v>Krt79</v>
      </c>
      <c r="B11692" t="s">
        <v>14</v>
      </c>
      <c r="C11692" t="s">
        <v>25</v>
      </c>
      <c r="D11692" t="s">
        <v>11</v>
      </c>
      <c r="E11692" t="s">
        <v>12</v>
      </c>
      <c r="F11692">
        <v>101940255</v>
      </c>
      <c r="G11692">
        <v>101940268</v>
      </c>
      <c r="H11692">
        <v>101940427</v>
      </c>
      <c r="I11692">
        <v>101940434</v>
      </c>
    </row>
    <row r="11693" spans="1:9" x14ac:dyDescent="0.2">
      <c r="A11693" t="str">
        <f>"Krt8"</f>
        <v>Krt8</v>
      </c>
      <c r="B11693" t="s">
        <v>14</v>
      </c>
      <c r="C11693" t="s">
        <v>25</v>
      </c>
      <c r="D11693" t="s">
        <v>11</v>
      </c>
      <c r="E11693" t="s">
        <v>12</v>
      </c>
      <c r="F11693">
        <v>102004305</v>
      </c>
      <c r="G11693">
        <v>102004321</v>
      </c>
      <c r="H11693">
        <v>102004305</v>
      </c>
      <c r="I11693">
        <v>102004321</v>
      </c>
    </row>
    <row r="11694" spans="1:9" x14ac:dyDescent="0.2">
      <c r="A11694" t="str">
        <f>"Krt80"</f>
        <v>Krt80</v>
      </c>
      <c r="B11694" t="s">
        <v>9</v>
      </c>
      <c r="C11694" t="s">
        <v>25</v>
      </c>
      <c r="D11694" t="s">
        <v>11</v>
      </c>
      <c r="E11694" t="s">
        <v>12</v>
      </c>
      <c r="F11694">
        <v>101370156</v>
      </c>
      <c r="G11694">
        <v>101370169</v>
      </c>
      <c r="H11694">
        <v>101370156</v>
      </c>
      <c r="I11694">
        <v>101370169</v>
      </c>
    </row>
    <row r="11695" spans="1:9" x14ac:dyDescent="0.2">
      <c r="A11695" t="str">
        <f>"Krt80"</f>
        <v>Krt80</v>
      </c>
      <c r="B11695" t="s">
        <v>13</v>
      </c>
      <c r="C11695" t="s">
        <v>25</v>
      </c>
      <c r="D11695" t="s">
        <v>11</v>
      </c>
      <c r="E11695" t="s">
        <v>12</v>
      </c>
      <c r="F11695">
        <v>101364531</v>
      </c>
      <c r="G11695">
        <v>101364566</v>
      </c>
      <c r="H11695">
        <v>101364531</v>
      </c>
      <c r="I11695">
        <v>101364566</v>
      </c>
    </row>
    <row r="11696" spans="1:9" x14ac:dyDescent="0.2">
      <c r="A11696" t="str">
        <f>"Krt81"</f>
        <v>Krt81</v>
      </c>
      <c r="B11696" t="s">
        <v>14</v>
      </c>
      <c r="C11696" t="s">
        <v>25</v>
      </c>
      <c r="D11696" t="s">
        <v>11</v>
      </c>
      <c r="E11696" t="s">
        <v>12</v>
      </c>
      <c r="F11696">
        <v>101463758</v>
      </c>
      <c r="G11696">
        <v>101463770</v>
      </c>
      <c r="H11696">
        <v>101463758</v>
      </c>
      <c r="I11696">
        <v>101463770</v>
      </c>
    </row>
    <row r="11697" spans="1:9" x14ac:dyDescent="0.2">
      <c r="A11697" t="str">
        <f>"Krt82"</f>
        <v>Krt82</v>
      </c>
      <c r="B11697" t="s">
        <v>14</v>
      </c>
      <c r="C11697" t="s">
        <v>25</v>
      </c>
      <c r="D11697" t="s">
        <v>11</v>
      </c>
      <c r="E11697" t="s">
        <v>12</v>
      </c>
      <c r="F11697">
        <v>101550657</v>
      </c>
      <c r="G11697">
        <v>101550665</v>
      </c>
      <c r="H11697">
        <v>101550657</v>
      </c>
      <c r="I11697">
        <v>101550665</v>
      </c>
    </row>
    <row r="11698" spans="1:9" x14ac:dyDescent="0.2">
      <c r="A11698" t="str">
        <f>"Krt83"</f>
        <v>Krt83</v>
      </c>
      <c r="B11698" t="s">
        <v>14</v>
      </c>
      <c r="C11698" t="s">
        <v>25</v>
      </c>
      <c r="D11698" t="s">
        <v>11</v>
      </c>
      <c r="E11698" t="s">
        <v>12</v>
      </c>
      <c r="F11698">
        <v>101438788</v>
      </c>
      <c r="G11698">
        <v>101438804</v>
      </c>
      <c r="H11698">
        <v>101438919</v>
      </c>
      <c r="I11698">
        <v>101438923</v>
      </c>
    </row>
    <row r="11699" spans="1:9" x14ac:dyDescent="0.2">
      <c r="A11699" t="str">
        <f>"Krt84"</f>
        <v>Krt84</v>
      </c>
      <c r="B11699" t="s">
        <v>14</v>
      </c>
      <c r="C11699" t="s">
        <v>25</v>
      </c>
      <c r="D11699" t="s">
        <v>11</v>
      </c>
      <c r="E11699" t="s">
        <v>12</v>
      </c>
      <c r="F11699">
        <v>101532819</v>
      </c>
      <c r="G11699">
        <v>101532824</v>
      </c>
      <c r="H11699">
        <v>101532819</v>
      </c>
      <c r="I11699">
        <v>101532824</v>
      </c>
    </row>
    <row r="11700" spans="1:9" x14ac:dyDescent="0.2">
      <c r="A11700" t="str">
        <f>"Krt86"</f>
        <v>Krt86</v>
      </c>
      <c r="B11700" t="s">
        <v>14</v>
      </c>
      <c r="C11700" t="s">
        <v>25</v>
      </c>
      <c r="D11700" t="s">
        <v>17</v>
      </c>
      <c r="E11700" t="s">
        <v>12</v>
      </c>
      <c r="F11700">
        <v>101473472</v>
      </c>
      <c r="G11700">
        <v>101473478</v>
      </c>
      <c r="H11700">
        <v>101473472</v>
      </c>
      <c r="I11700">
        <v>101473478</v>
      </c>
    </row>
    <row r="11701" spans="1:9" x14ac:dyDescent="0.2">
      <c r="A11701" t="str">
        <f>"Krt9"</f>
        <v>Krt9</v>
      </c>
      <c r="B11701" t="s">
        <v>14</v>
      </c>
      <c r="C11701" t="s">
        <v>27</v>
      </c>
      <c r="D11701" t="s">
        <v>11</v>
      </c>
      <c r="E11701" t="s">
        <v>12</v>
      </c>
      <c r="F11701">
        <v>100193253</v>
      </c>
      <c r="G11701">
        <v>100193256</v>
      </c>
      <c r="H11701">
        <v>100193188</v>
      </c>
      <c r="I11701">
        <v>100193223</v>
      </c>
    </row>
    <row r="11702" spans="1:9" x14ac:dyDescent="0.2">
      <c r="A11702" t="str">
        <f>"Krtap1-3"</f>
        <v>Krtap1-3</v>
      </c>
      <c r="B11702" t="s">
        <v>14</v>
      </c>
      <c r="C11702" t="s">
        <v>27</v>
      </c>
      <c r="D11702" t="s">
        <v>11</v>
      </c>
      <c r="E11702" t="s">
        <v>12</v>
      </c>
      <c r="F11702">
        <v>99591375</v>
      </c>
      <c r="G11702">
        <v>99591380</v>
      </c>
      <c r="H11702">
        <v>99591375</v>
      </c>
      <c r="I11702">
        <v>99591380</v>
      </c>
    </row>
    <row r="11703" spans="1:9" x14ac:dyDescent="0.2">
      <c r="A11703" t="str">
        <f>"Krtap1-4"</f>
        <v>Krtap1-4</v>
      </c>
      <c r="B11703" t="s">
        <v>14</v>
      </c>
      <c r="C11703" t="s">
        <v>27</v>
      </c>
      <c r="D11703" t="s">
        <v>11</v>
      </c>
      <c r="E11703" t="s">
        <v>12</v>
      </c>
      <c r="F11703">
        <v>99583675</v>
      </c>
      <c r="G11703">
        <v>99583682</v>
      </c>
      <c r="H11703">
        <v>99583675</v>
      </c>
      <c r="I11703">
        <v>99583682</v>
      </c>
    </row>
    <row r="11704" spans="1:9" x14ac:dyDescent="0.2">
      <c r="A11704" t="str">
        <f>"Krtap1-5"</f>
        <v>Krtap1-5</v>
      </c>
      <c r="B11704" t="s">
        <v>14</v>
      </c>
      <c r="C11704" t="s">
        <v>27</v>
      </c>
      <c r="D11704" t="s">
        <v>11</v>
      </c>
      <c r="E11704" t="s">
        <v>12</v>
      </c>
      <c r="F11704">
        <v>99581009</v>
      </c>
      <c r="G11704">
        <v>99581024</v>
      </c>
      <c r="H11704">
        <v>99581009</v>
      </c>
      <c r="I11704">
        <v>99581024</v>
      </c>
    </row>
    <row r="11705" spans="1:9" x14ac:dyDescent="0.2">
      <c r="A11705" t="str">
        <f>"Krtap10-10"</f>
        <v>Krtap10-10</v>
      </c>
      <c r="B11705" t="s">
        <v>14</v>
      </c>
      <c r="C11705" t="s">
        <v>15</v>
      </c>
      <c r="D11705" t="s">
        <v>17</v>
      </c>
      <c r="E11705" t="s">
        <v>12</v>
      </c>
      <c r="F11705">
        <v>77835938</v>
      </c>
      <c r="G11705">
        <v>77835956</v>
      </c>
      <c r="H11705">
        <v>77835938</v>
      </c>
      <c r="I11705">
        <v>77835956</v>
      </c>
    </row>
    <row r="11706" spans="1:9" x14ac:dyDescent="0.2">
      <c r="A11706" t="str">
        <f>"Krtap11-1"</f>
        <v>Krtap11-1</v>
      </c>
      <c r="B11706" t="s">
        <v>14</v>
      </c>
      <c r="C11706" t="s">
        <v>31</v>
      </c>
      <c r="D11706" t="s">
        <v>11</v>
      </c>
      <c r="E11706" t="s">
        <v>12</v>
      </c>
      <c r="F11706">
        <v>89571171</v>
      </c>
      <c r="G11706">
        <v>89571190</v>
      </c>
      <c r="H11706">
        <v>89571171</v>
      </c>
      <c r="I11706">
        <v>89571190</v>
      </c>
    </row>
    <row r="11707" spans="1:9" x14ac:dyDescent="0.2">
      <c r="A11707" t="str">
        <f>"Krtap12-1"</f>
        <v>Krtap12-1</v>
      </c>
      <c r="B11707" t="s">
        <v>14</v>
      </c>
      <c r="C11707" t="s">
        <v>15</v>
      </c>
      <c r="D11707" t="s">
        <v>17</v>
      </c>
      <c r="E11707" t="s">
        <v>12</v>
      </c>
      <c r="F11707">
        <v>77720584</v>
      </c>
      <c r="G11707">
        <v>77720593</v>
      </c>
      <c r="H11707">
        <v>77720584</v>
      </c>
      <c r="I11707">
        <v>77720593</v>
      </c>
    </row>
    <row r="11708" spans="1:9" x14ac:dyDescent="0.2">
      <c r="A11708" t="str">
        <f>"Krtap13"</f>
        <v>Krtap13</v>
      </c>
      <c r="B11708" t="s">
        <v>4239</v>
      </c>
      <c r="C11708" t="s">
        <v>31</v>
      </c>
      <c r="D11708" t="s">
        <v>11</v>
      </c>
      <c r="E11708" t="s">
        <v>20</v>
      </c>
      <c r="F11708">
        <v>88751627</v>
      </c>
      <c r="G11708">
        <v>88751627</v>
      </c>
      <c r="H11708">
        <v>88751627</v>
      </c>
      <c r="I11708">
        <v>88751627</v>
      </c>
    </row>
    <row r="11709" spans="1:9" x14ac:dyDescent="0.2">
      <c r="A11709" t="str">
        <f>"Krtap13-1"</f>
        <v>Krtap13-1</v>
      </c>
      <c r="B11709" t="s">
        <v>14</v>
      </c>
      <c r="C11709" t="s">
        <v>31</v>
      </c>
      <c r="D11709" t="s">
        <v>17</v>
      </c>
      <c r="E11709" t="s">
        <v>12</v>
      </c>
      <c r="F11709">
        <v>88728828</v>
      </c>
      <c r="G11709">
        <v>88728845</v>
      </c>
      <c r="H11709">
        <v>88728828</v>
      </c>
      <c r="I11709">
        <v>88728845</v>
      </c>
    </row>
    <row r="11710" spans="1:9" x14ac:dyDescent="0.2">
      <c r="A11710" t="str">
        <f>"Krtap14"</f>
        <v>Krtap14</v>
      </c>
      <c r="B11710" t="s">
        <v>14</v>
      </c>
      <c r="C11710" t="s">
        <v>31</v>
      </c>
      <c r="D11710" t="s">
        <v>11</v>
      </c>
      <c r="E11710" t="s">
        <v>12</v>
      </c>
      <c r="F11710">
        <v>88826139</v>
      </c>
      <c r="G11710">
        <v>88826151</v>
      </c>
      <c r="H11710">
        <v>88826139</v>
      </c>
      <c r="I11710">
        <v>88826151</v>
      </c>
    </row>
    <row r="11711" spans="1:9" x14ac:dyDescent="0.2">
      <c r="A11711" t="str">
        <f>"Krtap16-1"</f>
        <v>Krtap16-1</v>
      </c>
      <c r="B11711" t="s">
        <v>14</v>
      </c>
      <c r="C11711" t="s">
        <v>27</v>
      </c>
      <c r="D11711" t="s">
        <v>11</v>
      </c>
      <c r="E11711" t="s">
        <v>67</v>
      </c>
      <c r="F11711">
        <v>99986606</v>
      </c>
      <c r="G11711">
        <v>99986608</v>
      </c>
      <c r="H11711">
        <v>99986606</v>
      </c>
      <c r="I11711">
        <v>99986608</v>
      </c>
    </row>
    <row r="11712" spans="1:9" x14ac:dyDescent="0.2">
      <c r="A11712" t="str">
        <f>"Krtap17-1"</f>
        <v>Krtap17-1</v>
      </c>
      <c r="B11712" t="s">
        <v>14</v>
      </c>
      <c r="C11712" t="s">
        <v>27</v>
      </c>
      <c r="D11712" t="s">
        <v>11</v>
      </c>
      <c r="E11712" t="s">
        <v>12</v>
      </c>
      <c r="F11712">
        <v>99993992</v>
      </c>
      <c r="G11712">
        <v>99993997</v>
      </c>
      <c r="H11712">
        <v>99993992</v>
      </c>
      <c r="I11712">
        <v>99993997</v>
      </c>
    </row>
    <row r="11713" spans="1:9" x14ac:dyDescent="0.2">
      <c r="A11713" t="str">
        <f>"Krtap19-1"</f>
        <v>Krtap19-1</v>
      </c>
      <c r="B11713" t="s">
        <v>14</v>
      </c>
      <c r="C11713" t="s">
        <v>31</v>
      </c>
      <c r="D11713" t="s">
        <v>11</v>
      </c>
      <c r="E11713" t="s">
        <v>67</v>
      </c>
      <c r="F11713">
        <v>88869445</v>
      </c>
      <c r="G11713">
        <v>88869449</v>
      </c>
      <c r="H11713">
        <v>88869445</v>
      </c>
      <c r="I11713">
        <v>88869449</v>
      </c>
    </row>
    <row r="11714" spans="1:9" x14ac:dyDescent="0.2">
      <c r="A11714" t="str">
        <f>"Krtap19-2"</f>
        <v>Krtap19-2</v>
      </c>
      <c r="B11714" t="s">
        <v>14</v>
      </c>
      <c r="C11714" t="s">
        <v>31</v>
      </c>
      <c r="D11714" t="s">
        <v>11</v>
      </c>
      <c r="E11714" t="s">
        <v>67</v>
      </c>
      <c r="F11714">
        <v>88874308</v>
      </c>
      <c r="G11714">
        <v>88874313</v>
      </c>
      <c r="H11714">
        <v>88874308</v>
      </c>
      <c r="I11714">
        <v>88874313</v>
      </c>
    </row>
    <row r="11715" spans="1:9" x14ac:dyDescent="0.2">
      <c r="A11715" t="str">
        <f>"Krtap19-3"</f>
        <v>Krtap19-3</v>
      </c>
      <c r="B11715" t="s">
        <v>14</v>
      </c>
      <c r="C11715" t="s">
        <v>31</v>
      </c>
      <c r="D11715" t="s">
        <v>11</v>
      </c>
      <c r="E11715" t="s">
        <v>67</v>
      </c>
      <c r="F11715">
        <v>88878031</v>
      </c>
      <c r="G11715">
        <v>88878040</v>
      </c>
      <c r="H11715">
        <v>88878031</v>
      </c>
      <c r="I11715">
        <v>88878040</v>
      </c>
    </row>
    <row r="11716" spans="1:9" x14ac:dyDescent="0.2">
      <c r="A11716" t="str">
        <f>"Krtap19-4"</f>
        <v>Krtap19-4</v>
      </c>
      <c r="B11716" t="s">
        <v>14</v>
      </c>
      <c r="C11716" t="s">
        <v>31</v>
      </c>
      <c r="D11716" t="s">
        <v>11</v>
      </c>
      <c r="E11716" t="s">
        <v>67</v>
      </c>
      <c r="F11716">
        <v>88885110</v>
      </c>
      <c r="G11716">
        <v>88885114</v>
      </c>
      <c r="H11716">
        <v>88885110</v>
      </c>
      <c r="I11716">
        <v>88885114</v>
      </c>
    </row>
    <row r="11717" spans="1:9" x14ac:dyDescent="0.2">
      <c r="A11717" t="str">
        <f>"Krtap19-5"</f>
        <v>Krtap19-5</v>
      </c>
      <c r="B11717" t="s">
        <v>14</v>
      </c>
      <c r="C11717" t="s">
        <v>31</v>
      </c>
      <c r="D11717" t="s">
        <v>11</v>
      </c>
      <c r="E11717" t="s">
        <v>67</v>
      </c>
      <c r="F11717">
        <v>88896474</v>
      </c>
      <c r="G11717">
        <v>88896489</v>
      </c>
      <c r="H11717">
        <v>88896474</v>
      </c>
      <c r="I11717">
        <v>88896489</v>
      </c>
    </row>
    <row r="11718" spans="1:9" x14ac:dyDescent="0.2">
      <c r="A11718" t="str">
        <f>"Krtap19-9a"</f>
        <v>Krtap19-9a</v>
      </c>
      <c r="B11718" t="s">
        <v>14</v>
      </c>
      <c r="C11718" t="s">
        <v>31</v>
      </c>
      <c r="D11718" t="s">
        <v>11</v>
      </c>
      <c r="E11718" t="s">
        <v>67</v>
      </c>
      <c r="F11718">
        <v>88924266</v>
      </c>
      <c r="G11718">
        <v>88924271</v>
      </c>
      <c r="H11718">
        <v>88924266</v>
      </c>
      <c r="I11718">
        <v>88924271</v>
      </c>
    </row>
    <row r="11719" spans="1:9" x14ac:dyDescent="0.2">
      <c r="A11719" t="str">
        <f>"Krtap19-9b"</f>
        <v>Krtap19-9b</v>
      </c>
      <c r="B11719" t="s">
        <v>14</v>
      </c>
      <c r="C11719" t="s">
        <v>31</v>
      </c>
      <c r="D11719" t="s">
        <v>11</v>
      </c>
      <c r="E11719" t="s">
        <v>67</v>
      </c>
      <c r="F11719">
        <v>88932261</v>
      </c>
      <c r="G11719">
        <v>88932267</v>
      </c>
      <c r="H11719">
        <v>88932261</v>
      </c>
      <c r="I11719">
        <v>88932267</v>
      </c>
    </row>
    <row r="11720" spans="1:9" x14ac:dyDescent="0.2">
      <c r="A11720" t="str">
        <f>"Krtap2-4"</f>
        <v>Krtap2-4</v>
      </c>
      <c r="B11720" t="s">
        <v>14</v>
      </c>
      <c r="C11720" t="s">
        <v>27</v>
      </c>
      <c r="D11720" t="s">
        <v>11</v>
      </c>
      <c r="E11720" t="s">
        <v>12</v>
      </c>
      <c r="F11720">
        <v>99614845</v>
      </c>
      <c r="G11720">
        <v>99614847</v>
      </c>
      <c r="H11720">
        <v>99614845</v>
      </c>
      <c r="I11720">
        <v>99614847</v>
      </c>
    </row>
    <row r="11721" spans="1:9" x14ac:dyDescent="0.2">
      <c r="A11721" t="str">
        <f>"Krtap20-2"</f>
        <v>Krtap20-2</v>
      </c>
      <c r="B11721" t="s">
        <v>14</v>
      </c>
      <c r="C11721" t="s">
        <v>31</v>
      </c>
      <c r="D11721" t="s">
        <v>17</v>
      </c>
      <c r="E11721" t="s">
        <v>12</v>
      </c>
      <c r="F11721">
        <v>89205858</v>
      </c>
      <c r="G11721">
        <v>89205862</v>
      </c>
      <c r="H11721">
        <v>89205858</v>
      </c>
      <c r="I11721">
        <v>89205862</v>
      </c>
    </row>
    <row r="11722" spans="1:9" x14ac:dyDescent="0.2">
      <c r="A11722" t="str">
        <f>"Krtap21-1"</f>
        <v>Krtap21-1</v>
      </c>
      <c r="B11722" t="s">
        <v>14</v>
      </c>
      <c r="C11722" t="s">
        <v>31</v>
      </c>
      <c r="D11722" t="s">
        <v>11</v>
      </c>
      <c r="E11722" t="s">
        <v>67</v>
      </c>
      <c r="F11722">
        <v>89403803</v>
      </c>
      <c r="G11722">
        <v>89403806</v>
      </c>
      <c r="H11722">
        <v>89403803</v>
      </c>
      <c r="I11722">
        <v>89403806</v>
      </c>
    </row>
    <row r="11723" spans="1:9" x14ac:dyDescent="0.2">
      <c r="A11723" t="str">
        <f>"Krtap22-2"</f>
        <v>Krtap22-2</v>
      </c>
      <c r="B11723" t="s">
        <v>14</v>
      </c>
      <c r="C11723" t="s">
        <v>31</v>
      </c>
      <c r="D11723" t="s">
        <v>11</v>
      </c>
      <c r="E11723" t="s">
        <v>12</v>
      </c>
      <c r="F11723">
        <v>89010758</v>
      </c>
      <c r="G11723">
        <v>89010766</v>
      </c>
      <c r="H11723">
        <v>89010758</v>
      </c>
      <c r="I11723">
        <v>89010766</v>
      </c>
    </row>
    <row r="11724" spans="1:9" x14ac:dyDescent="0.2">
      <c r="A11724" t="str">
        <f>"Krtap24-1"</f>
        <v>Krtap24-1</v>
      </c>
      <c r="B11724" t="s">
        <v>14</v>
      </c>
      <c r="C11724" t="s">
        <v>31</v>
      </c>
      <c r="D11724" t="s">
        <v>11</v>
      </c>
      <c r="E11724" t="s">
        <v>12</v>
      </c>
      <c r="F11724">
        <v>88612273</v>
      </c>
      <c r="G11724">
        <v>88612279</v>
      </c>
      <c r="H11724">
        <v>88612273</v>
      </c>
      <c r="I11724">
        <v>88612279</v>
      </c>
    </row>
    <row r="11725" spans="1:9" x14ac:dyDescent="0.2">
      <c r="A11725" t="str">
        <f>"Krtap26-1"</f>
        <v>Krtap26-1</v>
      </c>
      <c r="B11725" t="s">
        <v>14</v>
      </c>
      <c r="C11725" t="s">
        <v>31</v>
      </c>
      <c r="D11725" t="s">
        <v>11</v>
      </c>
      <c r="E11725" t="s">
        <v>12</v>
      </c>
      <c r="F11725">
        <v>88647786</v>
      </c>
      <c r="G11725">
        <v>88647799</v>
      </c>
      <c r="H11725">
        <v>88647786</v>
      </c>
      <c r="I11725">
        <v>88647799</v>
      </c>
    </row>
    <row r="11726" spans="1:9" x14ac:dyDescent="0.2">
      <c r="A11726" t="str">
        <f>"Krtap27-1"</f>
        <v>Krtap27-1</v>
      </c>
      <c r="B11726" t="s">
        <v>14</v>
      </c>
      <c r="C11726" t="s">
        <v>31</v>
      </c>
      <c r="D11726" t="s">
        <v>11</v>
      </c>
      <c r="E11726" t="s">
        <v>12</v>
      </c>
      <c r="F11726">
        <v>88671721</v>
      </c>
      <c r="G11726">
        <v>88671726</v>
      </c>
      <c r="H11726">
        <v>88671721</v>
      </c>
      <c r="I11726">
        <v>88671726</v>
      </c>
    </row>
    <row r="11727" spans="1:9" x14ac:dyDescent="0.2">
      <c r="A11727" t="str">
        <f>"Krtap29-1"</f>
        <v>Krtap29-1</v>
      </c>
      <c r="B11727" t="s">
        <v>14</v>
      </c>
      <c r="C11727" t="s">
        <v>27</v>
      </c>
      <c r="D11727" t="s">
        <v>11</v>
      </c>
      <c r="E11727" t="s">
        <v>67</v>
      </c>
      <c r="F11727">
        <v>99979097</v>
      </c>
      <c r="G11727">
        <v>99979103</v>
      </c>
      <c r="H11727">
        <v>99979097</v>
      </c>
      <c r="I11727">
        <v>99979103</v>
      </c>
    </row>
    <row r="11728" spans="1:9" x14ac:dyDescent="0.2">
      <c r="A11728" t="str">
        <f>"Krtap3-1"</f>
        <v>Krtap3-1</v>
      </c>
      <c r="B11728" t="s">
        <v>14</v>
      </c>
      <c r="C11728" t="s">
        <v>27</v>
      </c>
      <c r="D11728" t="s">
        <v>11</v>
      </c>
      <c r="E11728" t="s">
        <v>12</v>
      </c>
      <c r="F11728">
        <v>99566619</v>
      </c>
      <c r="G11728">
        <v>99566646</v>
      </c>
      <c r="H11728">
        <v>99566606</v>
      </c>
      <c r="I11728">
        <v>99566613</v>
      </c>
    </row>
    <row r="11729" spans="1:9" x14ac:dyDescent="0.2">
      <c r="A11729" t="str">
        <f>"Krtap3-2"</f>
        <v>Krtap3-2</v>
      </c>
      <c r="B11729" t="s">
        <v>14</v>
      </c>
      <c r="C11729" t="s">
        <v>27</v>
      </c>
      <c r="D11729" t="s">
        <v>11</v>
      </c>
      <c r="E11729" t="s">
        <v>12</v>
      </c>
      <c r="F11729">
        <v>99556846</v>
      </c>
      <c r="G11729">
        <v>99556858</v>
      </c>
      <c r="H11729">
        <v>99556846</v>
      </c>
      <c r="I11729">
        <v>99556858</v>
      </c>
    </row>
    <row r="11730" spans="1:9" x14ac:dyDescent="0.2">
      <c r="A11730" t="str">
        <f>"Krtap3-3"</f>
        <v>Krtap3-3</v>
      </c>
      <c r="B11730" t="s">
        <v>14</v>
      </c>
      <c r="C11730" t="s">
        <v>27</v>
      </c>
      <c r="D11730" t="s">
        <v>11</v>
      </c>
      <c r="E11730" t="s">
        <v>12</v>
      </c>
      <c r="F11730">
        <v>99556846</v>
      </c>
      <c r="G11730">
        <v>99556858</v>
      </c>
      <c r="H11730">
        <v>99556846</v>
      </c>
      <c r="I11730">
        <v>99556858</v>
      </c>
    </row>
    <row r="11731" spans="1:9" x14ac:dyDescent="0.2">
      <c r="A11731" t="str">
        <f>"Krtap31-1"</f>
        <v>Krtap31-1</v>
      </c>
      <c r="B11731" t="s">
        <v>14</v>
      </c>
      <c r="C11731" t="s">
        <v>27</v>
      </c>
      <c r="D11731" t="s">
        <v>17</v>
      </c>
      <c r="E11731" t="s">
        <v>12</v>
      </c>
      <c r="F11731">
        <v>99907918</v>
      </c>
      <c r="G11731">
        <v>99907922</v>
      </c>
      <c r="H11731">
        <v>99907918</v>
      </c>
      <c r="I11731">
        <v>99907922</v>
      </c>
    </row>
    <row r="11732" spans="1:9" x14ac:dyDescent="0.2">
      <c r="A11732" t="str">
        <f>"Krtap31-2"</f>
        <v>Krtap31-2</v>
      </c>
      <c r="B11732" t="s">
        <v>14</v>
      </c>
      <c r="C11732" t="s">
        <v>27</v>
      </c>
      <c r="D11732" t="s">
        <v>17</v>
      </c>
      <c r="E11732" t="s">
        <v>12</v>
      </c>
      <c r="F11732">
        <v>99936289</v>
      </c>
      <c r="G11732">
        <v>99936293</v>
      </c>
      <c r="H11732">
        <v>99936289</v>
      </c>
      <c r="I11732">
        <v>99936293</v>
      </c>
    </row>
    <row r="11733" spans="1:9" x14ac:dyDescent="0.2">
      <c r="A11733" t="str">
        <f>"Krtap4-1"</f>
        <v>Krtap4-1</v>
      </c>
      <c r="B11733" t="s">
        <v>14</v>
      </c>
      <c r="C11733" t="s">
        <v>27</v>
      </c>
      <c r="D11733" t="s">
        <v>11</v>
      </c>
      <c r="E11733" t="s">
        <v>12</v>
      </c>
      <c r="F11733">
        <v>99628231</v>
      </c>
      <c r="G11733">
        <v>99628242</v>
      </c>
      <c r="H11733">
        <v>99628231</v>
      </c>
      <c r="I11733">
        <v>99628242</v>
      </c>
    </row>
    <row r="11734" spans="1:9" x14ac:dyDescent="0.2">
      <c r="A11734" t="str">
        <f>"Krtap4-13"</f>
        <v>Krtap4-13</v>
      </c>
      <c r="B11734" t="s">
        <v>4240</v>
      </c>
      <c r="C11734" t="s">
        <v>27</v>
      </c>
      <c r="D11734" t="s">
        <v>11</v>
      </c>
      <c r="E11734" t="s">
        <v>20</v>
      </c>
      <c r="F11734">
        <v>99809895</v>
      </c>
      <c r="G11734">
        <v>99809895</v>
      </c>
      <c r="H11734">
        <v>99809895</v>
      </c>
      <c r="I11734">
        <v>99809895</v>
      </c>
    </row>
    <row r="11735" spans="1:9" x14ac:dyDescent="0.2">
      <c r="A11735" t="str">
        <f>"Krtap4-16"</f>
        <v>Krtap4-16</v>
      </c>
      <c r="B11735" t="s">
        <v>14</v>
      </c>
      <c r="C11735" t="s">
        <v>27</v>
      </c>
      <c r="D11735" t="s">
        <v>11</v>
      </c>
      <c r="E11735" t="s">
        <v>12</v>
      </c>
      <c r="F11735">
        <v>99851627</v>
      </c>
      <c r="G11735">
        <v>99851632</v>
      </c>
      <c r="H11735">
        <v>99851627</v>
      </c>
      <c r="I11735">
        <v>99851632</v>
      </c>
    </row>
    <row r="11736" spans="1:9" x14ac:dyDescent="0.2">
      <c r="A11736" t="str">
        <f>"Krtap4-2"</f>
        <v>Krtap4-2</v>
      </c>
      <c r="B11736" t="s">
        <v>14</v>
      </c>
      <c r="C11736" t="s">
        <v>27</v>
      </c>
      <c r="D11736" t="s">
        <v>11</v>
      </c>
      <c r="E11736" t="s">
        <v>12</v>
      </c>
      <c r="F11736">
        <v>99635076</v>
      </c>
      <c r="G11736">
        <v>99635086</v>
      </c>
      <c r="H11736">
        <v>99635076</v>
      </c>
      <c r="I11736">
        <v>99635086</v>
      </c>
    </row>
    <row r="11737" spans="1:9" x14ac:dyDescent="0.2">
      <c r="A11737" t="str">
        <f>"Krtap4-6"</f>
        <v>Krtap4-6</v>
      </c>
      <c r="B11737" t="s">
        <v>14</v>
      </c>
      <c r="C11737" t="s">
        <v>27</v>
      </c>
      <c r="D11737" t="s">
        <v>11</v>
      </c>
      <c r="E11737" t="s">
        <v>12</v>
      </c>
      <c r="F11737">
        <v>99665955</v>
      </c>
      <c r="G11737">
        <v>99665961</v>
      </c>
      <c r="H11737">
        <v>99665902</v>
      </c>
      <c r="I11737">
        <v>99665912</v>
      </c>
    </row>
    <row r="11738" spans="1:9" x14ac:dyDescent="0.2">
      <c r="A11738" t="str">
        <f>"Krtap4-7"</f>
        <v>Krtap4-7</v>
      </c>
      <c r="B11738" t="s">
        <v>14</v>
      </c>
      <c r="C11738" t="s">
        <v>27</v>
      </c>
      <c r="D11738" t="s">
        <v>11</v>
      </c>
      <c r="E11738" t="s">
        <v>12</v>
      </c>
      <c r="F11738">
        <v>99644086</v>
      </c>
      <c r="G11738">
        <v>99644090</v>
      </c>
      <c r="H11738">
        <v>99644086</v>
      </c>
      <c r="I11738">
        <v>99644090</v>
      </c>
    </row>
    <row r="11739" spans="1:9" x14ac:dyDescent="0.2">
      <c r="A11739" t="str">
        <f>"Krtap4-8"</f>
        <v>Krtap4-8</v>
      </c>
      <c r="B11739" t="s">
        <v>14</v>
      </c>
      <c r="C11739" t="s">
        <v>27</v>
      </c>
      <c r="D11739" t="s">
        <v>11</v>
      </c>
      <c r="E11739" t="s">
        <v>12</v>
      </c>
      <c r="F11739">
        <v>99780705</v>
      </c>
      <c r="G11739">
        <v>99780707</v>
      </c>
      <c r="H11739">
        <v>99780705</v>
      </c>
      <c r="I11739">
        <v>99780707</v>
      </c>
    </row>
    <row r="11740" spans="1:9" x14ac:dyDescent="0.2">
      <c r="A11740" t="str">
        <f>"Krtap4-9"</f>
        <v>Krtap4-9</v>
      </c>
      <c r="B11740" t="s">
        <v>14</v>
      </c>
      <c r="C11740" t="s">
        <v>27</v>
      </c>
      <c r="D11740" t="s">
        <v>17</v>
      </c>
      <c r="E11740" t="s">
        <v>12</v>
      </c>
      <c r="F11740">
        <v>99785191</v>
      </c>
      <c r="G11740">
        <v>99785198</v>
      </c>
      <c r="H11740">
        <v>99785191</v>
      </c>
      <c r="I11740">
        <v>99785198</v>
      </c>
    </row>
    <row r="11741" spans="1:9" x14ac:dyDescent="0.2">
      <c r="A11741" t="str">
        <f>"Krtap5-1"</f>
        <v>Krtap5-1</v>
      </c>
      <c r="B11741" t="s">
        <v>4241</v>
      </c>
      <c r="C11741" t="s">
        <v>33</v>
      </c>
      <c r="D11741" t="s">
        <v>11</v>
      </c>
      <c r="E11741" t="s">
        <v>20</v>
      </c>
      <c r="F11741">
        <v>142297068</v>
      </c>
      <c r="G11741">
        <v>142297068</v>
      </c>
      <c r="H11741">
        <v>142297068</v>
      </c>
      <c r="I11741">
        <v>142297068</v>
      </c>
    </row>
    <row r="11742" spans="1:9" x14ac:dyDescent="0.2">
      <c r="A11742" t="str">
        <f>"Krtap5-2"</f>
        <v>Krtap5-2</v>
      </c>
      <c r="B11742" t="s">
        <v>14</v>
      </c>
      <c r="C11742" t="s">
        <v>33</v>
      </c>
      <c r="D11742" t="s">
        <v>11</v>
      </c>
      <c r="E11742" t="s">
        <v>12</v>
      </c>
      <c r="F11742">
        <v>142176001</v>
      </c>
      <c r="G11742">
        <v>142176007</v>
      </c>
      <c r="H11742">
        <v>142176001</v>
      </c>
      <c r="I11742">
        <v>142176007</v>
      </c>
    </row>
    <row r="11743" spans="1:9" x14ac:dyDescent="0.2">
      <c r="A11743" t="str">
        <f>"Krtap5-3"</f>
        <v>Krtap5-3</v>
      </c>
      <c r="B11743" t="s">
        <v>14</v>
      </c>
      <c r="C11743" t="s">
        <v>33</v>
      </c>
      <c r="D11743" t="s">
        <v>17</v>
      </c>
      <c r="E11743" t="s">
        <v>12</v>
      </c>
      <c r="F11743">
        <v>142201361</v>
      </c>
      <c r="G11743">
        <v>142201367</v>
      </c>
      <c r="H11743">
        <v>142201361</v>
      </c>
      <c r="I11743">
        <v>142201367</v>
      </c>
    </row>
    <row r="11744" spans="1:9" x14ac:dyDescent="0.2">
      <c r="A11744" t="str">
        <f>"Krtap5-4"</f>
        <v>Krtap5-4</v>
      </c>
      <c r="B11744" t="s">
        <v>14</v>
      </c>
      <c r="C11744" t="s">
        <v>33</v>
      </c>
      <c r="D11744" t="s">
        <v>17</v>
      </c>
      <c r="E11744" t="s">
        <v>12</v>
      </c>
      <c r="F11744">
        <v>142303528</v>
      </c>
      <c r="G11744">
        <v>142303536</v>
      </c>
      <c r="H11744">
        <v>142303528</v>
      </c>
      <c r="I11744">
        <v>142303536</v>
      </c>
    </row>
    <row r="11745" spans="1:9" x14ac:dyDescent="0.2">
      <c r="A11745" t="str">
        <f>"Krtap5-5"</f>
        <v>Krtap5-5</v>
      </c>
      <c r="B11745" t="s">
        <v>4242</v>
      </c>
      <c r="C11745" t="s">
        <v>33</v>
      </c>
      <c r="D11745" t="s">
        <v>11</v>
      </c>
      <c r="E11745" t="s">
        <v>20</v>
      </c>
      <c r="F11745">
        <v>142229970</v>
      </c>
      <c r="G11745">
        <v>142229970</v>
      </c>
      <c r="H11745">
        <v>142229970</v>
      </c>
      <c r="I11745">
        <v>142229970</v>
      </c>
    </row>
    <row r="11746" spans="1:9" x14ac:dyDescent="0.2">
      <c r="A11746" t="str">
        <f>"Krtap6-1"</f>
        <v>Krtap6-1</v>
      </c>
      <c r="B11746" t="s">
        <v>4243</v>
      </c>
      <c r="C11746" t="s">
        <v>31</v>
      </c>
      <c r="D11746" t="s">
        <v>17</v>
      </c>
      <c r="E11746" t="s">
        <v>20</v>
      </c>
      <c r="F11746">
        <v>89031698</v>
      </c>
      <c r="G11746">
        <v>89031698</v>
      </c>
      <c r="H11746">
        <v>89031698</v>
      </c>
      <c r="I11746">
        <v>89031698</v>
      </c>
    </row>
    <row r="11747" spans="1:9" x14ac:dyDescent="0.2">
      <c r="A11747" t="str">
        <f>"Krtap6-3"</f>
        <v>Krtap6-3</v>
      </c>
      <c r="B11747" t="s">
        <v>14</v>
      </c>
      <c r="C11747" t="s">
        <v>31</v>
      </c>
      <c r="D11747" t="s">
        <v>17</v>
      </c>
      <c r="E11747" t="s">
        <v>67</v>
      </c>
      <c r="F11747">
        <v>89084021</v>
      </c>
      <c r="G11747">
        <v>89084025</v>
      </c>
      <c r="H11747">
        <v>89084021</v>
      </c>
      <c r="I11747">
        <v>89084025</v>
      </c>
    </row>
    <row r="11748" spans="1:9" x14ac:dyDescent="0.2">
      <c r="A11748" t="str">
        <f>"Krtap6-5"</f>
        <v>Krtap6-5</v>
      </c>
      <c r="B11748" t="s">
        <v>14</v>
      </c>
      <c r="C11748" t="s">
        <v>31</v>
      </c>
      <c r="D11748" t="s">
        <v>11</v>
      </c>
      <c r="E11748" t="s">
        <v>67</v>
      </c>
      <c r="F11748">
        <v>89047898</v>
      </c>
      <c r="G11748">
        <v>89047902</v>
      </c>
      <c r="H11748">
        <v>89047898</v>
      </c>
      <c r="I11748">
        <v>89047902</v>
      </c>
    </row>
    <row r="11749" spans="1:9" x14ac:dyDescent="0.2">
      <c r="A11749" t="str">
        <f>"Krtap7-1"</f>
        <v>Krtap7-1</v>
      </c>
      <c r="B11749" t="s">
        <v>14</v>
      </c>
      <c r="C11749" t="s">
        <v>31</v>
      </c>
      <c r="D11749" t="s">
        <v>11</v>
      </c>
      <c r="E11749" t="s">
        <v>12</v>
      </c>
      <c r="F11749">
        <v>89508313</v>
      </c>
      <c r="G11749">
        <v>89508327</v>
      </c>
      <c r="H11749">
        <v>89508313</v>
      </c>
      <c r="I11749">
        <v>89508327</v>
      </c>
    </row>
    <row r="11750" spans="1:9" x14ac:dyDescent="0.2">
      <c r="A11750" t="str">
        <f>"Krtap8-1"</f>
        <v>Krtap8-1</v>
      </c>
      <c r="B11750" t="s">
        <v>14</v>
      </c>
      <c r="C11750" t="s">
        <v>31</v>
      </c>
      <c r="D11750" t="s">
        <v>11</v>
      </c>
      <c r="E11750" t="s">
        <v>12</v>
      </c>
      <c r="F11750">
        <v>89487945</v>
      </c>
      <c r="G11750">
        <v>89487957</v>
      </c>
      <c r="H11750">
        <v>89487945</v>
      </c>
      <c r="I11750">
        <v>89487957</v>
      </c>
    </row>
    <row r="11751" spans="1:9" x14ac:dyDescent="0.2">
      <c r="A11751" t="str">
        <f>"Krtap9-1"</f>
        <v>Krtap9-1</v>
      </c>
      <c r="B11751" t="s">
        <v>4244</v>
      </c>
      <c r="C11751" t="s">
        <v>27</v>
      </c>
      <c r="D11751" t="s">
        <v>17</v>
      </c>
      <c r="E11751" t="s">
        <v>20</v>
      </c>
      <c r="F11751">
        <v>99873388</v>
      </c>
      <c r="G11751">
        <v>99873388</v>
      </c>
      <c r="H11751">
        <v>99873388</v>
      </c>
      <c r="I11751">
        <v>99873388</v>
      </c>
    </row>
    <row r="11752" spans="1:9" x14ac:dyDescent="0.2">
      <c r="A11752" t="str">
        <f>"Krtap9-3"</f>
        <v>Krtap9-3</v>
      </c>
      <c r="B11752" t="s">
        <v>14</v>
      </c>
      <c r="C11752" t="s">
        <v>27</v>
      </c>
      <c r="D11752" t="s">
        <v>11</v>
      </c>
      <c r="E11752" t="s">
        <v>12</v>
      </c>
      <c r="F11752">
        <v>99598095</v>
      </c>
      <c r="G11752">
        <v>99598111</v>
      </c>
      <c r="H11752">
        <v>99598141</v>
      </c>
      <c r="I11752">
        <v>99598147</v>
      </c>
    </row>
    <row r="11753" spans="1:9" x14ac:dyDescent="0.2">
      <c r="A11753" t="str">
        <f>"Krtap9-5"</f>
        <v>Krtap9-5</v>
      </c>
      <c r="B11753" t="s">
        <v>14</v>
      </c>
      <c r="C11753" t="s">
        <v>27</v>
      </c>
      <c r="D11753" t="s">
        <v>17</v>
      </c>
      <c r="E11753" t="s">
        <v>12</v>
      </c>
      <c r="F11753">
        <v>99948420</v>
      </c>
      <c r="G11753">
        <v>99948429</v>
      </c>
      <c r="H11753">
        <v>99948420</v>
      </c>
      <c r="I11753">
        <v>99948429</v>
      </c>
    </row>
    <row r="11754" spans="1:9" x14ac:dyDescent="0.2">
      <c r="A11754" t="str">
        <f>"Krtcap2"</f>
        <v>Krtcap2</v>
      </c>
      <c r="B11754" t="s">
        <v>14</v>
      </c>
      <c r="C11754" t="s">
        <v>22</v>
      </c>
      <c r="D11754" t="s">
        <v>17</v>
      </c>
      <c r="E11754" t="s">
        <v>12</v>
      </c>
      <c r="F11754">
        <v>89246397</v>
      </c>
      <c r="G11754">
        <v>89246493</v>
      </c>
      <c r="H11754">
        <v>89245882</v>
      </c>
      <c r="I11754">
        <v>89245903</v>
      </c>
    </row>
    <row r="11755" spans="1:9" x14ac:dyDescent="0.2">
      <c r="A11755" t="str">
        <f>"Krtcap3"</f>
        <v>Krtcap3</v>
      </c>
      <c r="B11755" t="s">
        <v>14</v>
      </c>
      <c r="C11755" t="s">
        <v>46</v>
      </c>
      <c r="D11755" t="s">
        <v>17</v>
      </c>
      <c r="E11755" t="s">
        <v>12</v>
      </c>
      <c r="F11755">
        <v>31251678</v>
      </c>
      <c r="G11755">
        <v>31251728</v>
      </c>
      <c r="H11755">
        <v>31251743</v>
      </c>
      <c r="I11755">
        <v>31251758</v>
      </c>
    </row>
    <row r="11756" spans="1:9" x14ac:dyDescent="0.2">
      <c r="A11756" t="str">
        <f>"Krtdap"</f>
        <v>Krtdap</v>
      </c>
      <c r="B11756" t="s">
        <v>14</v>
      </c>
      <c r="C11756" t="s">
        <v>33</v>
      </c>
      <c r="D11756" t="s">
        <v>17</v>
      </c>
      <c r="E11756" t="s">
        <v>12</v>
      </c>
      <c r="F11756">
        <v>30787897</v>
      </c>
      <c r="G11756">
        <v>30787912</v>
      </c>
      <c r="H11756">
        <v>30787993</v>
      </c>
      <c r="I11756">
        <v>30788005</v>
      </c>
    </row>
    <row r="11757" spans="1:9" x14ac:dyDescent="0.2">
      <c r="A11757" t="str">
        <f>"Ksr1"</f>
        <v>Ksr1</v>
      </c>
      <c r="B11757" t="s">
        <v>14</v>
      </c>
      <c r="C11757" t="s">
        <v>27</v>
      </c>
      <c r="D11757" t="s">
        <v>11</v>
      </c>
      <c r="E11757" t="s">
        <v>12</v>
      </c>
      <c r="F11757">
        <v>79146463</v>
      </c>
      <c r="G11757">
        <v>79146482</v>
      </c>
      <c r="H11757">
        <v>79146463</v>
      </c>
      <c r="I11757">
        <v>79146482</v>
      </c>
    </row>
    <row r="11758" spans="1:9" x14ac:dyDescent="0.2">
      <c r="A11758" t="str">
        <f>"Ksr2"</f>
        <v>Ksr2</v>
      </c>
      <c r="B11758" t="s">
        <v>14</v>
      </c>
      <c r="C11758" t="s">
        <v>46</v>
      </c>
      <c r="D11758" t="s">
        <v>17</v>
      </c>
      <c r="E11758" t="s">
        <v>12</v>
      </c>
      <c r="F11758">
        <v>117413977</v>
      </c>
      <c r="G11758">
        <v>117414011</v>
      </c>
      <c r="H11758">
        <v>117413977</v>
      </c>
      <c r="I11758">
        <v>117414011</v>
      </c>
    </row>
    <row r="11759" spans="1:9" x14ac:dyDescent="0.2">
      <c r="A11759" t="str">
        <f>"Kti12"</f>
        <v>Kti12</v>
      </c>
      <c r="B11759" t="s">
        <v>14</v>
      </c>
      <c r="C11759" t="s">
        <v>23</v>
      </c>
      <c r="D11759" t="s">
        <v>17</v>
      </c>
      <c r="E11759" t="s">
        <v>12</v>
      </c>
      <c r="F11759">
        <v>108847827</v>
      </c>
      <c r="G11759">
        <v>108847895</v>
      </c>
      <c r="H11759">
        <v>108847827</v>
      </c>
      <c r="I11759">
        <v>108847895</v>
      </c>
    </row>
    <row r="11760" spans="1:9" x14ac:dyDescent="0.2">
      <c r="A11760" t="str">
        <f>"Ktn1"</f>
        <v>Ktn1</v>
      </c>
      <c r="B11760" t="s">
        <v>14</v>
      </c>
      <c r="C11760" t="s">
        <v>41</v>
      </c>
      <c r="D11760" t="s">
        <v>17</v>
      </c>
      <c r="E11760" t="s">
        <v>12</v>
      </c>
      <c r="F11760">
        <v>47649293</v>
      </c>
      <c r="G11760">
        <v>47649389</v>
      </c>
      <c r="H11760">
        <v>47649293</v>
      </c>
      <c r="I11760">
        <v>47649389</v>
      </c>
    </row>
    <row r="11761" spans="1:9" x14ac:dyDescent="0.2">
      <c r="A11761" t="str">
        <f>"Kxd1"</f>
        <v>Kxd1</v>
      </c>
      <c r="B11761" t="s">
        <v>14</v>
      </c>
      <c r="C11761" t="s">
        <v>30</v>
      </c>
      <c r="D11761" t="s">
        <v>11</v>
      </c>
      <c r="E11761" t="s">
        <v>67</v>
      </c>
      <c r="F11761">
        <v>70523085</v>
      </c>
      <c r="G11761">
        <v>70523114</v>
      </c>
      <c r="H11761">
        <v>70523085</v>
      </c>
      <c r="I11761">
        <v>70523114</v>
      </c>
    </row>
    <row r="11762" spans="1:9" x14ac:dyDescent="0.2">
      <c r="A11762" t="str">
        <f>"Ky"</f>
        <v>Ky</v>
      </c>
      <c r="B11762" t="s">
        <v>14</v>
      </c>
      <c r="C11762" t="s">
        <v>24</v>
      </c>
      <c r="D11762" t="s">
        <v>17</v>
      </c>
      <c r="E11762" t="s">
        <v>12</v>
      </c>
      <c r="F11762">
        <v>102506072</v>
      </c>
      <c r="G11762">
        <v>102506092</v>
      </c>
      <c r="H11762">
        <v>102506037</v>
      </c>
      <c r="I11762">
        <v>102506052</v>
      </c>
    </row>
    <row r="11763" spans="1:9" x14ac:dyDescent="0.2">
      <c r="A11763" t="str">
        <f>"Kynu"</f>
        <v>Kynu</v>
      </c>
      <c r="B11763" t="s">
        <v>14</v>
      </c>
      <c r="C11763" t="s">
        <v>26</v>
      </c>
      <c r="D11763" t="s">
        <v>17</v>
      </c>
      <c r="E11763" t="s">
        <v>12</v>
      </c>
      <c r="F11763">
        <v>43555321</v>
      </c>
      <c r="G11763">
        <v>43555338</v>
      </c>
      <c r="H11763">
        <v>43555345</v>
      </c>
      <c r="I11763">
        <v>43555355</v>
      </c>
    </row>
    <row r="11764" spans="1:9" x14ac:dyDescent="0.2">
      <c r="A11764" t="str">
        <f>"L1cam"</f>
        <v>L1cam</v>
      </c>
      <c r="B11764" t="s">
        <v>14</v>
      </c>
      <c r="C11764" t="s">
        <v>37</v>
      </c>
      <c r="D11764" t="s">
        <v>11</v>
      </c>
      <c r="E11764" t="s">
        <v>12</v>
      </c>
      <c r="F11764">
        <v>73880740</v>
      </c>
      <c r="G11764">
        <v>73880815</v>
      </c>
      <c r="H11764">
        <v>73880831</v>
      </c>
      <c r="I11764">
        <v>73880840</v>
      </c>
    </row>
    <row r="11765" spans="1:9" x14ac:dyDescent="0.2">
      <c r="A11765" t="str">
        <f>"L1td1"</f>
        <v>L1td1</v>
      </c>
      <c r="B11765" t="s">
        <v>14</v>
      </c>
      <c r="C11765" t="s">
        <v>23</v>
      </c>
      <c r="D11765" t="s">
        <v>17</v>
      </c>
      <c r="E11765" t="s">
        <v>12</v>
      </c>
      <c r="F11765">
        <v>98726786</v>
      </c>
      <c r="G11765">
        <v>98726805</v>
      </c>
      <c r="H11765">
        <v>98726744</v>
      </c>
      <c r="I11765">
        <v>98726766</v>
      </c>
    </row>
    <row r="11766" spans="1:9" x14ac:dyDescent="0.2">
      <c r="A11766" t="str">
        <f>"L2hgdh"</f>
        <v>L2hgdh</v>
      </c>
      <c r="B11766" t="s">
        <v>14</v>
      </c>
      <c r="C11766" t="s">
        <v>16</v>
      </c>
      <c r="D11766" t="s">
        <v>11</v>
      </c>
      <c r="E11766" t="s">
        <v>12</v>
      </c>
      <c r="F11766">
        <v>69724830</v>
      </c>
      <c r="G11766">
        <v>69724885</v>
      </c>
      <c r="H11766">
        <v>69724797</v>
      </c>
      <c r="I11766">
        <v>69724804</v>
      </c>
    </row>
    <row r="11767" spans="1:9" x14ac:dyDescent="0.2">
      <c r="A11767" t="str">
        <f>"L3hypdh"</f>
        <v>L3hypdh</v>
      </c>
      <c r="B11767" t="s">
        <v>14</v>
      </c>
      <c r="C11767" t="s">
        <v>16</v>
      </c>
      <c r="D11767" t="s">
        <v>11</v>
      </c>
      <c r="E11767" t="s">
        <v>67</v>
      </c>
      <c r="F11767">
        <v>72085369</v>
      </c>
      <c r="G11767">
        <v>72085389</v>
      </c>
      <c r="H11767">
        <v>72085334</v>
      </c>
      <c r="I11767">
        <v>72085361</v>
      </c>
    </row>
    <row r="11768" spans="1:9" x14ac:dyDescent="0.2">
      <c r="A11768" t="str">
        <f>"L3mbtl1"</f>
        <v>L3mbtl1</v>
      </c>
      <c r="B11768" t="s">
        <v>14</v>
      </c>
      <c r="C11768" t="s">
        <v>26</v>
      </c>
      <c r="D11768" t="s">
        <v>17</v>
      </c>
      <c r="E11768" t="s">
        <v>12</v>
      </c>
      <c r="F11768">
        <v>162943484</v>
      </c>
      <c r="G11768">
        <v>162943516</v>
      </c>
      <c r="H11768">
        <v>162943463</v>
      </c>
      <c r="I11768">
        <v>162943479</v>
      </c>
    </row>
    <row r="11769" spans="1:9" x14ac:dyDescent="0.2">
      <c r="A11769" t="str">
        <f>"L3mbtl2"</f>
        <v>L3mbtl2</v>
      </c>
      <c r="B11769" t="s">
        <v>14</v>
      </c>
      <c r="C11769" t="s">
        <v>25</v>
      </c>
      <c r="D11769" t="s">
        <v>17</v>
      </c>
      <c r="E11769" t="s">
        <v>12</v>
      </c>
      <c r="F11769">
        <v>81663914</v>
      </c>
      <c r="G11769">
        <v>81663958</v>
      </c>
      <c r="H11769">
        <v>81663974</v>
      </c>
      <c r="I11769">
        <v>81663985</v>
      </c>
    </row>
    <row r="11770" spans="1:9" x14ac:dyDescent="0.2">
      <c r="A11770" t="str">
        <f>"L3mbtl3"</f>
        <v>L3mbtl3</v>
      </c>
      <c r="B11770" t="s">
        <v>9</v>
      </c>
      <c r="C11770" t="s">
        <v>15</v>
      </c>
      <c r="D11770" t="s">
        <v>11</v>
      </c>
      <c r="E11770" t="s">
        <v>12</v>
      </c>
      <c r="F11770">
        <v>26375962</v>
      </c>
      <c r="G11770">
        <v>26376002</v>
      </c>
      <c r="H11770">
        <v>26375962</v>
      </c>
      <c r="I11770">
        <v>26376002</v>
      </c>
    </row>
    <row r="11771" spans="1:9" x14ac:dyDescent="0.2">
      <c r="A11771" t="str">
        <f>"L3mbtl3"</f>
        <v>L3mbtl3</v>
      </c>
      <c r="B11771" t="s">
        <v>13</v>
      </c>
      <c r="C11771" t="s">
        <v>15</v>
      </c>
      <c r="D11771" t="s">
        <v>11</v>
      </c>
      <c r="E11771" t="s">
        <v>12</v>
      </c>
      <c r="F11771">
        <v>26374070</v>
      </c>
      <c r="G11771">
        <v>26374088</v>
      </c>
      <c r="H11771">
        <v>26374070</v>
      </c>
      <c r="I11771">
        <v>26374088</v>
      </c>
    </row>
    <row r="11772" spans="1:9" x14ac:dyDescent="0.2">
      <c r="A11772" t="str">
        <f>"L3mbtl4"</f>
        <v>L3mbtl4</v>
      </c>
      <c r="B11772" t="s">
        <v>14</v>
      </c>
      <c r="C11772" t="s">
        <v>28</v>
      </c>
      <c r="D11772" t="s">
        <v>17</v>
      </c>
      <c r="E11772" t="s">
        <v>12</v>
      </c>
      <c r="F11772">
        <v>68273825</v>
      </c>
      <c r="G11772">
        <v>68273844</v>
      </c>
      <c r="H11772">
        <v>68273851</v>
      </c>
      <c r="I11772">
        <v>68273864</v>
      </c>
    </row>
    <row r="11773" spans="1:9" x14ac:dyDescent="0.2">
      <c r="A11773" t="str">
        <f>"LRRC8A"</f>
        <v>LRRC8A</v>
      </c>
      <c r="B11773" t="s">
        <v>4245</v>
      </c>
      <c r="C11773" t="s">
        <v>26</v>
      </c>
      <c r="D11773" t="s">
        <v>17</v>
      </c>
      <c r="E11773" t="s">
        <v>20</v>
      </c>
      <c r="F11773">
        <v>30240566</v>
      </c>
      <c r="G11773">
        <v>30240566</v>
      </c>
      <c r="H11773">
        <v>30240566</v>
      </c>
      <c r="I11773">
        <v>30240566</v>
      </c>
    </row>
    <row r="11774" spans="1:9" x14ac:dyDescent="0.2">
      <c r="A11774" t="str">
        <f>"Lacc1"</f>
        <v>Lacc1</v>
      </c>
      <c r="B11774" t="s">
        <v>14</v>
      </c>
      <c r="C11774" t="s">
        <v>41</v>
      </c>
      <c r="D11774" t="s">
        <v>11</v>
      </c>
      <c r="E11774" t="s">
        <v>67</v>
      </c>
      <c r="F11774">
        <v>77036652</v>
      </c>
      <c r="G11774">
        <v>77036692</v>
      </c>
      <c r="H11774">
        <v>77036899</v>
      </c>
      <c r="I11774">
        <v>77036922</v>
      </c>
    </row>
    <row r="11775" spans="1:9" x14ac:dyDescent="0.2">
      <c r="A11775" t="str">
        <f>"Lace1"</f>
        <v>Lace1</v>
      </c>
      <c r="B11775" t="s">
        <v>14</v>
      </c>
      <c r="C11775" t="s">
        <v>15</v>
      </c>
      <c r="D11775" t="s">
        <v>11</v>
      </c>
      <c r="E11775" t="s">
        <v>12</v>
      </c>
      <c r="F11775">
        <v>42478399</v>
      </c>
      <c r="G11775">
        <v>42478443</v>
      </c>
      <c r="H11775">
        <v>42478563</v>
      </c>
      <c r="I11775">
        <v>42478577</v>
      </c>
    </row>
    <row r="11776" spans="1:9" x14ac:dyDescent="0.2">
      <c r="A11776" t="str">
        <f>"Lactb"</f>
        <v>Lactb</v>
      </c>
      <c r="B11776" t="s">
        <v>14</v>
      </c>
      <c r="C11776" t="s">
        <v>24</v>
      </c>
      <c r="D11776" t="s">
        <v>11</v>
      </c>
      <c r="E11776" t="s">
        <v>12</v>
      </c>
      <c r="F11776">
        <v>66975387</v>
      </c>
      <c r="G11776">
        <v>66975459</v>
      </c>
      <c r="H11776">
        <v>66975387</v>
      </c>
      <c r="I11776">
        <v>66975459</v>
      </c>
    </row>
    <row r="11777" spans="1:9" x14ac:dyDescent="0.2">
      <c r="A11777" t="str">
        <f>"Lactb2"</f>
        <v>Lactb2</v>
      </c>
      <c r="B11777" t="s">
        <v>14</v>
      </c>
      <c r="C11777" t="s">
        <v>19</v>
      </c>
      <c r="D11777" t="s">
        <v>11</v>
      </c>
      <c r="E11777" t="s">
        <v>12</v>
      </c>
      <c r="F11777">
        <v>13660476</v>
      </c>
      <c r="G11777">
        <v>13660554</v>
      </c>
      <c r="H11777">
        <v>13660454</v>
      </c>
      <c r="I11777">
        <v>13660469</v>
      </c>
    </row>
    <row r="11778" spans="1:9" x14ac:dyDescent="0.2">
      <c r="A11778" t="str">
        <f>"Lactbl1"</f>
        <v>Lactbl1</v>
      </c>
      <c r="B11778" t="s">
        <v>14</v>
      </c>
      <c r="C11778" t="s">
        <v>23</v>
      </c>
      <c r="D11778" t="s">
        <v>17</v>
      </c>
      <c r="E11778" t="s">
        <v>12</v>
      </c>
      <c r="F11778">
        <v>136622631</v>
      </c>
      <c r="G11778">
        <v>136622652</v>
      </c>
      <c r="H11778">
        <v>136622612</v>
      </c>
      <c r="I11778">
        <v>136622621</v>
      </c>
    </row>
    <row r="11779" spans="1:9" x14ac:dyDescent="0.2">
      <c r="A11779" t="str">
        <f>"Lad1"</f>
        <v>Lad1</v>
      </c>
      <c r="B11779" t="s">
        <v>14</v>
      </c>
      <c r="C11779" t="s">
        <v>19</v>
      </c>
      <c r="D11779" t="s">
        <v>17</v>
      </c>
      <c r="E11779" t="s">
        <v>12</v>
      </c>
      <c r="F11779">
        <v>135818904</v>
      </c>
      <c r="G11779">
        <v>135818981</v>
      </c>
      <c r="H11779">
        <v>135818686</v>
      </c>
      <c r="I11779">
        <v>135818711</v>
      </c>
    </row>
    <row r="11780" spans="1:9" x14ac:dyDescent="0.2">
      <c r="A11780" t="str">
        <f>"Lag3"</f>
        <v>Lag3</v>
      </c>
      <c r="B11780" t="s">
        <v>14</v>
      </c>
      <c r="C11780" t="s">
        <v>32</v>
      </c>
      <c r="D11780" t="s">
        <v>11</v>
      </c>
      <c r="E11780" t="s">
        <v>12</v>
      </c>
      <c r="F11780">
        <v>124911636</v>
      </c>
      <c r="G11780">
        <v>124911676</v>
      </c>
      <c r="H11780">
        <v>124911681</v>
      </c>
      <c r="I11780">
        <v>124911699</v>
      </c>
    </row>
    <row r="11781" spans="1:9" x14ac:dyDescent="0.2">
      <c r="A11781" t="str">
        <f>"Lage3"</f>
        <v>Lage3</v>
      </c>
      <c r="B11781" t="s">
        <v>14</v>
      </c>
      <c r="C11781" t="s">
        <v>37</v>
      </c>
      <c r="D11781" t="s">
        <v>11</v>
      </c>
      <c r="E11781" t="s">
        <v>12</v>
      </c>
      <c r="F11781">
        <v>74353576</v>
      </c>
      <c r="G11781">
        <v>74353622</v>
      </c>
      <c r="H11781">
        <v>74353576</v>
      </c>
      <c r="I11781">
        <v>74353622</v>
      </c>
    </row>
    <row r="11782" spans="1:9" x14ac:dyDescent="0.2">
      <c r="A11782" t="str">
        <f>"Lair1"</f>
        <v>Lair1</v>
      </c>
      <c r="B11782" t="s">
        <v>14</v>
      </c>
      <c r="C11782" t="s">
        <v>33</v>
      </c>
      <c r="D11782" t="s">
        <v>11</v>
      </c>
      <c r="E11782" t="s">
        <v>12</v>
      </c>
      <c r="F11782">
        <v>4063155</v>
      </c>
      <c r="G11782">
        <v>4063188</v>
      </c>
      <c r="H11782">
        <v>4063195</v>
      </c>
      <c r="I11782">
        <v>4063210</v>
      </c>
    </row>
    <row r="11783" spans="1:9" x14ac:dyDescent="0.2">
      <c r="A11783" t="str">
        <f>"Lalba"</f>
        <v>Lalba</v>
      </c>
      <c r="B11783" t="s">
        <v>14</v>
      </c>
      <c r="C11783" t="s">
        <v>25</v>
      </c>
      <c r="D11783" t="s">
        <v>11</v>
      </c>
      <c r="E11783" t="s">
        <v>12</v>
      </c>
      <c r="F11783">
        <v>98482686</v>
      </c>
      <c r="G11783">
        <v>98482705</v>
      </c>
      <c r="H11783">
        <v>98482731</v>
      </c>
      <c r="I11783">
        <v>98482742</v>
      </c>
    </row>
    <row r="11784" spans="1:9" x14ac:dyDescent="0.2">
      <c r="A11784" t="str">
        <f>"Lama1"</f>
        <v>Lama1</v>
      </c>
      <c r="B11784" t="s">
        <v>14</v>
      </c>
      <c r="C11784" t="s">
        <v>28</v>
      </c>
      <c r="D11784" t="s">
        <v>17</v>
      </c>
      <c r="E11784" t="s">
        <v>12</v>
      </c>
      <c r="F11784">
        <v>67697253</v>
      </c>
      <c r="G11784">
        <v>67697276</v>
      </c>
      <c r="H11784">
        <v>67697227</v>
      </c>
      <c r="I11784">
        <v>67697246</v>
      </c>
    </row>
    <row r="11785" spans="1:9" x14ac:dyDescent="0.2">
      <c r="A11785" t="str">
        <f>"Lama2"</f>
        <v>Lama2</v>
      </c>
      <c r="B11785" t="s">
        <v>14</v>
      </c>
      <c r="C11785" t="s">
        <v>15</v>
      </c>
      <c r="D11785" t="s">
        <v>11</v>
      </c>
      <c r="E11785" t="s">
        <v>12</v>
      </c>
      <c r="F11785">
        <v>27616831</v>
      </c>
      <c r="G11785">
        <v>27616891</v>
      </c>
      <c r="H11785">
        <v>27616895</v>
      </c>
      <c r="I11785">
        <v>27616904</v>
      </c>
    </row>
    <row r="11786" spans="1:9" x14ac:dyDescent="0.2">
      <c r="A11786" t="str">
        <f>"Lama3"</f>
        <v>Lama3</v>
      </c>
      <c r="B11786" t="s">
        <v>4246</v>
      </c>
      <c r="C11786" t="s">
        <v>43</v>
      </c>
      <c r="D11786" t="s">
        <v>17</v>
      </c>
      <c r="E11786" t="s">
        <v>35</v>
      </c>
      <c r="F11786">
        <v>12333928</v>
      </c>
      <c r="G11786">
        <v>12333946</v>
      </c>
      <c r="H11786">
        <v>12333953</v>
      </c>
      <c r="I11786">
        <v>12334003</v>
      </c>
    </row>
    <row r="11787" spans="1:9" x14ac:dyDescent="0.2">
      <c r="A11787" t="str">
        <f>"Lama4"</f>
        <v>Lama4</v>
      </c>
      <c r="B11787" t="s">
        <v>14</v>
      </c>
      <c r="C11787" t="s">
        <v>15</v>
      </c>
      <c r="D11787" t="s">
        <v>17</v>
      </c>
      <c r="E11787" t="s">
        <v>12</v>
      </c>
      <c r="F11787">
        <v>38965559</v>
      </c>
      <c r="G11787">
        <v>38965576</v>
      </c>
      <c r="H11787">
        <v>38965616</v>
      </c>
      <c r="I11787">
        <v>38965630</v>
      </c>
    </row>
    <row r="11788" spans="1:9" x14ac:dyDescent="0.2">
      <c r="A11788" t="str">
        <f>"Lama5"</f>
        <v>Lama5</v>
      </c>
      <c r="B11788" t="s">
        <v>14</v>
      </c>
      <c r="C11788" t="s">
        <v>26</v>
      </c>
      <c r="D11788" t="s">
        <v>11</v>
      </c>
      <c r="E11788" t="s">
        <v>12</v>
      </c>
      <c r="F11788">
        <v>180225812</v>
      </c>
      <c r="G11788">
        <v>180225872</v>
      </c>
      <c r="H11788">
        <v>180225908</v>
      </c>
      <c r="I11788">
        <v>180225919</v>
      </c>
    </row>
    <row r="11789" spans="1:9" x14ac:dyDescent="0.2">
      <c r="A11789" t="str">
        <f>"Lamb1"</f>
        <v>Lamb1</v>
      </c>
      <c r="B11789" t="s">
        <v>14</v>
      </c>
      <c r="C11789" t="s">
        <v>16</v>
      </c>
      <c r="D11789" t="s">
        <v>17</v>
      </c>
      <c r="E11789" t="s">
        <v>12</v>
      </c>
      <c r="F11789">
        <v>31265279</v>
      </c>
      <c r="G11789">
        <v>31265322</v>
      </c>
      <c r="H11789">
        <v>31265241</v>
      </c>
      <c r="I11789">
        <v>31265267</v>
      </c>
    </row>
    <row r="11790" spans="1:9" x14ac:dyDescent="0.2">
      <c r="A11790" t="str">
        <f>"Lamb2"</f>
        <v>Lamb2</v>
      </c>
      <c r="B11790" t="s">
        <v>14</v>
      </c>
      <c r="C11790" t="s">
        <v>24</v>
      </c>
      <c r="D11790" t="s">
        <v>17</v>
      </c>
      <c r="E11790" t="s">
        <v>12</v>
      </c>
      <c r="F11790">
        <v>108479849</v>
      </c>
      <c r="G11790">
        <v>108479916</v>
      </c>
      <c r="H11790">
        <v>108479923</v>
      </c>
      <c r="I11790">
        <v>108479935</v>
      </c>
    </row>
    <row r="11791" spans="1:9" x14ac:dyDescent="0.2">
      <c r="A11791" t="str">
        <f>"Lamb3"</f>
        <v>Lamb3</v>
      </c>
      <c r="B11791" t="s">
        <v>14</v>
      </c>
      <c r="C11791" t="s">
        <v>19</v>
      </c>
      <c r="D11791" t="s">
        <v>17</v>
      </c>
      <c r="E11791" t="s">
        <v>12</v>
      </c>
      <c r="F11791">
        <v>193302066</v>
      </c>
      <c r="G11791">
        <v>193302082</v>
      </c>
      <c r="H11791">
        <v>193301970</v>
      </c>
      <c r="I11791">
        <v>193301990</v>
      </c>
    </row>
    <row r="11792" spans="1:9" x14ac:dyDescent="0.2">
      <c r="A11792" t="str">
        <f>"Lamc1"</f>
        <v>Lamc1</v>
      </c>
      <c r="B11792" t="s">
        <v>14</v>
      </c>
      <c r="C11792" t="s">
        <v>19</v>
      </c>
      <c r="D11792" t="s">
        <v>11</v>
      </c>
      <c r="E11792" t="s">
        <v>12</v>
      </c>
      <c r="F11792">
        <v>153332724</v>
      </c>
      <c r="G11792">
        <v>153332804</v>
      </c>
      <c r="H11792">
        <v>153332699</v>
      </c>
      <c r="I11792">
        <v>153332722</v>
      </c>
    </row>
    <row r="11793" spans="1:9" x14ac:dyDescent="0.2">
      <c r="A11793" t="str">
        <f>"Lamc2"</f>
        <v>Lamc2</v>
      </c>
      <c r="B11793" t="s">
        <v>14</v>
      </c>
      <c r="C11793" t="s">
        <v>19</v>
      </c>
      <c r="D11793" t="s">
        <v>11</v>
      </c>
      <c r="E11793" t="s">
        <v>12</v>
      </c>
      <c r="F11793">
        <v>153186571</v>
      </c>
      <c r="G11793">
        <v>153186574</v>
      </c>
      <c r="H11793">
        <v>153186571</v>
      </c>
      <c r="I11793">
        <v>153186574</v>
      </c>
    </row>
    <row r="11794" spans="1:9" x14ac:dyDescent="0.2">
      <c r="A11794" t="str">
        <f>"Lamc3"</f>
        <v>Lamc3</v>
      </c>
      <c r="B11794" t="s">
        <v>14</v>
      </c>
      <c r="C11794" t="s">
        <v>26</v>
      </c>
      <c r="D11794" t="s">
        <v>17</v>
      </c>
      <c r="E11794" t="s">
        <v>12</v>
      </c>
      <c r="F11794">
        <v>31887262</v>
      </c>
      <c r="G11794">
        <v>31887310</v>
      </c>
      <c r="H11794">
        <v>31887223</v>
      </c>
      <c r="I11794">
        <v>31887226</v>
      </c>
    </row>
    <row r="11795" spans="1:9" x14ac:dyDescent="0.2">
      <c r="A11795" t="str">
        <f>"Lamp1"</f>
        <v>Lamp1</v>
      </c>
      <c r="B11795" t="s">
        <v>14</v>
      </c>
      <c r="C11795" t="s">
        <v>30</v>
      </c>
      <c r="D11795" t="s">
        <v>17</v>
      </c>
      <c r="E11795" t="s">
        <v>12</v>
      </c>
      <c r="F11795">
        <v>13159228</v>
      </c>
      <c r="G11795">
        <v>13159314</v>
      </c>
      <c r="H11795">
        <v>13159141</v>
      </c>
      <c r="I11795">
        <v>13159168</v>
      </c>
    </row>
    <row r="11796" spans="1:9" x14ac:dyDescent="0.2">
      <c r="A11796" t="str">
        <f>"Lamp2"</f>
        <v>Lamp2</v>
      </c>
      <c r="B11796" t="s">
        <v>14</v>
      </c>
      <c r="C11796" t="s">
        <v>37</v>
      </c>
      <c r="D11796" t="s">
        <v>11</v>
      </c>
      <c r="E11796" t="s">
        <v>12</v>
      </c>
      <c r="F11796">
        <v>38456407</v>
      </c>
      <c r="G11796">
        <v>38456458</v>
      </c>
      <c r="H11796">
        <v>38456407</v>
      </c>
      <c r="I11796">
        <v>38456458</v>
      </c>
    </row>
    <row r="11797" spans="1:9" x14ac:dyDescent="0.2">
      <c r="A11797" t="str">
        <f>"Lamp3"</f>
        <v>Lamp3</v>
      </c>
      <c r="B11797" t="s">
        <v>14</v>
      </c>
      <c r="C11797" t="s">
        <v>31</v>
      </c>
      <c r="D11797" t="s">
        <v>11</v>
      </c>
      <c r="E11797" t="s">
        <v>12</v>
      </c>
      <c r="F11797">
        <v>19706305</v>
      </c>
      <c r="G11797">
        <v>19706333</v>
      </c>
      <c r="H11797">
        <v>19706370</v>
      </c>
      <c r="I11797">
        <v>19706399</v>
      </c>
    </row>
    <row r="11798" spans="1:9" x14ac:dyDescent="0.2">
      <c r="A11798" t="str">
        <f>"Lamp5"</f>
        <v>Lamp5</v>
      </c>
      <c r="B11798" t="s">
        <v>14</v>
      </c>
      <c r="C11798" t="s">
        <v>26</v>
      </c>
      <c r="D11798" t="s">
        <v>17</v>
      </c>
      <c r="E11798" t="s">
        <v>67</v>
      </c>
      <c r="F11798">
        <v>136058270</v>
      </c>
      <c r="G11798">
        <v>136058293</v>
      </c>
      <c r="H11798">
        <v>136058080</v>
      </c>
      <c r="I11798">
        <v>136058102</v>
      </c>
    </row>
    <row r="11799" spans="1:9" x14ac:dyDescent="0.2">
      <c r="A11799" t="str">
        <f>"Lamtor1"</f>
        <v>Lamtor1</v>
      </c>
      <c r="B11799" t="s">
        <v>14</v>
      </c>
      <c r="C11799" t="s">
        <v>33</v>
      </c>
      <c r="D11799" t="s">
        <v>17</v>
      </c>
      <c r="E11799" t="s">
        <v>67</v>
      </c>
      <c r="F11799">
        <v>101905910</v>
      </c>
      <c r="G11799">
        <v>101905992</v>
      </c>
      <c r="H11799">
        <v>101905910</v>
      </c>
      <c r="I11799">
        <v>101905992</v>
      </c>
    </row>
    <row r="11800" spans="1:9" x14ac:dyDescent="0.2">
      <c r="A11800" t="str">
        <f>"Lamtor2"</f>
        <v>Lamtor2</v>
      </c>
      <c r="B11800" t="s">
        <v>14</v>
      </c>
      <c r="C11800" t="s">
        <v>22</v>
      </c>
      <c r="D11800" t="s">
        <v>11</v>
      </c>
      <c r="E11800" t="s">
        <v>12</v>
      </c>
      <c r="F11800">
        <v>88552861</v>
      </c>
      <c r="G11800">
        <v>88552958</v>
      </c>
      <c r="H11800">
        <v>88552843</v>
      </c>
      <c r="I11800">
        <v>88552855</v>
      </c>
    </row>
    <row r="11801" spans="1:9" x14ac:dyDescent="0.2">
      <c r="A11801" t="str">
        <f>"Lamtor3"</f>
        <v>Lamtor3</v>
      </c>
      <c r="B11801" t="s">
        <v>14</v>
      </c>
      <c r="C11801" t="s">
        <v>22</v>
      </c>
      <c r="D11801" t="s">
        <v>17</v>
      </c>
      <c r="E11801" t="s">
        <v>12</v>
      </c>
      <c r="F11801">
        <v>137918470</v>
      </c>
      <c r="G11801">
        <v>137918509</v>
      </c>
      <c r="H11801">
        <v>137918550</v>
      </c>
      <c r="I11801">
        <v>137918573</v>
      </c>
    </row>
    <row r="11802" spans="1:9" x14ac:dyDescent="0.2">
      <c r="A11802" t="str">
        <f>"Lamtor4"</f>
        <v>Lamtor4</v>
      </c>
      <c r="B11802" t="s">
        <v>14</v>
      </c>
      <c r="C11802" t="s">
        <v>46</v>
      </c>
      <c r="D11802" t="s">
        <v>17</v>
      </c>
      <c r="E11802" t="s">
        <v>67</v>
      </c>
      <c r="F11802">
        <v>138255727</v>
      </c>
      <c r="G11802">
        <v>138255788</v>
      </c>
      <c r="H11802">
        <v>138255727</v>
      </c>
      <c r="I11802">
        <v>138255788</v>
      </c>
    </row>
    <row r="11803" spans="1:9" x14ac:dyDescent="0.2">
      <c r="A11803" t="str">
        <f>"Lamtor5"</f>
        <v>Lamtor5</v>
      </c>
      <c r="B11803" t="s">
        <v>14</v>
      </c>
      <c r="C11803" t="s">
        <v>22</v>
      </c>
      <c r="D11803" t="s">
        <v>17</v>
      </c>
      <c r="E11803" t="s">
        <v>67</v>
      </c>
      <c r="F11803">
        <v>107278844</v>
      </c>
      <c r="G11803">
        <v>107278864</v>
      </c>
      <c r="H11803">
        <v>107278869</v>
      </c>
      <c r="I11803">
        <v>107278892</v>
      </c>
    </row>
    <row r="11804" spans="1:9" x14ac:dyDescent="0.2">
      <c r="A11804" t="str">
        <f>"Lancl1"</f>
        <v>Lancl1</v>
      </c>
      <c r="B11804" t="s">
        <v>14</v>
      </c>
      <c r="C11804" t="s">
        <v>19</v>
      </c>
      <c r="D11804" t="s">
        <v>11</v>
      </c>
      <c r="E11804" t="s">
        <v>12</v>
      </c>
      <c r="F11804">
        <v>67038824</v>
      </c>
      <c r="G11804">
        <v>67038872</v>
      </c>
      <c r="H11804">
        <v>67038875</v>
      </c>
      <c r="I11804">
        <v>67038889</v>
      </c>
    </row>
    <row r="11805" spans="1:9" x14ac:dyDescent="0.2">
      <c r="A11805" t="str">
        <f>"Lancl2"</f>
        <v>Lancl2</v>
      </c>
      <c r="B11805" t="s">
        <v>14</v>
      </c>
      <c r="C11805" t="s">
        <v>32</v>
      </c>
      <c r="D11805" t="s">
        <v>17</v>
      </c>
      <c r="E11805" t="s">
        <v>12</v>
      </c>
      <c r="F11805">
        <v>57703060</v>
      </c>
      <c r="G11805">
        <v>57703093</v>
      </c>
      <c r="H11805">
        <v>57702472</v>
      </c>
      <c r="I11805">
        <v>57702523</v>
      </c>
    </row>
    <row r="11806" spans="1:9" x14ac:dyDescent="0.2">
      <c r="A11806" t="str">
        <f>"Lancl3"</f>
        <v>Lancl3</v>
      </c>
      <c r="B11806" t="s">
        <v>14</v>
      </c>
      <c r="C11806" t="s">
        <v>37</v>
      </c>
      <c r="D11806" t="s">
        <v>17</v>
      </c>
      <c r="E11806" t="s">
        <v>12</v>
      </c>
      <c r="F11806">
        <v>9199865</v>
      </c>
      <c r="G11806">
        <v>9199907</v>
      </c>
      <c r="H11806">
        <v>9199964</v>
      </c>
      <c r="I11806">
        <v>9200000</v>
      </c>
    </row>
    <row r="11807" spans="1:9" x14ac:dyDescent="0.2">
      <c r="A11807" t="str">
        <f>"Lao1"</f>
        <v>Lao1</v>
      </c>
      <c r="B11807" t="s">
        <v>14</v>
      </c>
      <c r="C11807" t="s">
        <v>23</v>
      </c>
      <c r="D11807" t="s">
        <v>17</v>
      </c>
      <c r="E11807" t="s">
        <v>12</v>
      </c>
      <c r="F11807">
        <v>118961984</v>
      </c>
      <c r="G11807">
        <v>118962001</v>
      </c>
      <c r="H11807">
        <v>118961942</v>
      </c>
      <c r="I11807">
        <v>118961961</v>
      </c>
    </row>
    <row r="11808" spans="1:9" x14ac:dyDescent="0.2">
      <c r="A11808" t="str">
        <f>"Lap3"</f>
        <v>Lap3</v>
      </c>
      <c r="B11808" t="s">
        <v>14</v>
      </c>
      <c r="C11808" t="s">
        <v>46</v>
      </c>
      <c r="D11808" t="s">
        <v>17</v>
      </c>
      <c r="E11808" t="s">
        <v>12</v>
      </c>
      <c r="F11808">
        <v>45493481</v>
      </c>
      <c r="G11808">
        <v>45493498</v>
      </c>
      <c r="H11808">
        <v>45493385</v>
      </c>
      <c r="I11808">
        <v>45493437</v>
      </c>
    </row>
    <row r="11809" spans="1:9" x14ac:dyDescent="0.2">
      <c r="A11809" t="str">
        <f>"Laptm4a"</f>
        <v>Laptm4a</v>
      </c>
      <c r="B11809" t="s">
        <v>14</v>
      </c>
      <c r="C11809" t="s">
        <v>16</v>
      </c>
      <c r="D11809" t="s">
        <v>17</v>
      </c>
      <c r="E11809" t="s">
        <v>12</v>
      </c>
      <c r="F11809">
        <v>8921598</v>
      </c>
      <c r="G11809">
        <v>8921671</v>
      </c>
      <c r="H11809">
        <v>8921687</v>
      </c>
      <c r="I11809">
        <v>8921704</v>
      </c>
    </row>
    <row r="11810" spans="1:9" x14ac:dyDescent="0.2">
      <c r="A11810" t="str">
        <f>"Laptm4b"</f>
        <v>Laptm4b</v>
      </c>
      <c r="B11810" t="s">
        <v>14</v>
      </c>
      <c r="C11810" t="s">
        <v>25</v>
      </c>
      <c r="D11810" t="s">
        <v>17</v>
      </c>
      <c r="E11810" t="s">
        <v>12</v>
      </c>
      <c r="F11810">
        <v>34238108</v>
      </c>
      <c r="G11810">
        <v>34238177</v>
      </c>
      <c r="H11810">
        <v>34238178</v>
      </c>
      <c r="I11810">
        <v>34238189</v>
      </c>
    </row>
    <row r="11811" spans="1:9" x14ac:dyDescent="0.2">
      <c r="A11811" t="str">
        <f>"Laptm5"</f>
        <v>Laptm5</v>
      </c>
      <c r="B11811" t="s">
        <v>14</v>
      </c>
      <c r="C11811" t="s">
        <v>23</v>
      </c>
      <c r="D11811" t="s">
        <v>17</v>
      </c>
      <c r="E11811" t="s">
        <v>12</v>
      </c>
      <c r="F11811">
        <v>130913264</v>
      </c>
      <c r="G11811">
        <v>130913348</v>
      </c>
      <c r="H11811">
        <v>130913217</v>
      </c>
      <c r="I11811">
        <v>130913226</v>
      </c>
    </row>
    <row r="11812" spans="1:9" x14ac:dyDescent="0.2">
      <c r="A11812" t="str">
        <f>"Large"</f>
        <v>Large</v>
      </c>
      <c r="B11812" t="s">
        <v>14</v>
      </c>
      <c r="C11812" t="s">
        <v>30</v>
      </c>
      <c r="D11812" t="s">
        <v>11</v>
      </c>
      <c r="E11812" t="s">
        <v>12</v>
      </c>
      <c r="F11812">
        <v>73353477</v>
      </c>
      <c r="G11812">
        <v>73353551</v>
      </c>
      <c r="H11812">
        <v>73353554</v>
      </c>
      <c r="I11812">
        <v>73353565</v>
      </c>
    </row>
    <row r="11813" spans="1:9" x14ac:dyDescent="0.2">
      <c r="A11813" t="str">
        <f>"Larp1"</f>
        <v>Larp1</v>
      </c>
      <c r="B11813" t="s">
        <v>14</v>
      </c>
      <c r="C11813" t="s">
        <v>27</v>
      </c>
      <c r="D11813" t="s">
        <v>17</v>
      </c>
      <c r="E11813" t="s">
        <v>12</v>
      </c>
      <c r="F11813">
        <v>58008861</v>
      </c>
      <c r="G11813">
        <v>58008935</v>
      </c>
      <c r="H11813">
        <v>58008937</v>
      </c>
      <c r="I11813">
        <v>58008959</v>
      </c>
    </row>
    <row r="11814" spans="1:9" x14ac:dyDescent="0.2">
      <c r="A11814" t="str">
        <f>"Larp1b"</f>
        <v>Larp1b</v>
      </c>
      <c r="B11814" t="s">
        <v>14</v>
      </c>
      <c r="C11814" t="s">
        <v>22</v>
      </c>
      <c r="D11814" t="s">
        <v>17</v>
      </c>
      <c r="E11814" t="s">
        <v>67</v>
      </c>
      <c r="F11814">
        <v>41024369</v>
      </c>
      <c r="G11814">
        <v>41024384</v>
      </c>
      <c r="H11814">
        <v>41024369</v>
      </c>
      <c r="I11814">
        <v>41024384</v>
      </c>
    </row>
    <row r="11815" spans="1:9" x14ac:dyDescent="0.2">
      <c r="A11815" t="str">
        <f>"Larp4"</f>
        <v>Larp4</v>
      </c>
      <c r="B11815" t="s">
        <v>14</v>
      </c>
      <c r="C11815" t="s">
        <v>25</v>
      </c>
      <c r="D11815" t="s">
        <v>17</v>
      </c>
      <c r="E11815" t="s">
        <v>12</v>
      </c>
      <c r="F11815">
        <v>99972834</v>
      </c>
      <c r="G11815">
        <v>99972896</v>
      </c>
      <c r="H11815">
        <v>99972906</v>
      </c>
      <c r="I11815">
        <v>99972925</v>
      </c>
    </row>
    <row r="11816" spans="1:9" x14ac:dyDescent="0.2">
      <c r="A11816" t="str">
        <f>"Larp4b"</f>
        <v>Larp4b</v>
      </c>
      <c r="B11816" t="s">
        <v>14</v>
      </c>
      <c r="C11816" t="s">
        <v>39</v>
      </c>
      <c r="D11816" t="s">
        <v>17</v>
      </c>
      <c r="E11816" t="s">
        <v>12</v>
      </c>
      <c r="F11816">
        <v>9093893</v>
      </c>
      <c r="G11816">
        <v>9093927</v>
      </c>
      <c r="H11816">
        <v>9093885</v>
      </c>
      <c r="I11816">
        <v>9093892</v>
      </c>
    </row>
    <row r="11817" spans="1:9" x14ac:dyDescent="0.2">
      <c r="A11817" t="str">
        <f>"Larp6"</f>
        <v>Larp6</v>
      </c>
      <c r="B11817" t="s">
        <v>14</v>
      </c>
      <c r="C11817" t="s">
        <v>24</v>
      </c>
      <c r="D11817" t="s">
        <v>17</v>
      </c>
      <c r="E11817" t="s">
        <v>12</v>
      </c>
      <c r="F11817">
        <v>60713105</v>
      </c>
      <c r="G11817">
        <v>60713159</v>
      </c>
      <c r="H11817">
        <v>60713176</v>
      </c>
      <c r="I11817">
        <v>60713201</v>
      </c>
    </row>
    <row r="11818" spans="1:9" x14ac:dyDescent="0.2">
      <c r="A11818" t="str">
        <f>"Larp7"</f>
        <v>Larp7</v>
      </c>
      <c r="B11818" t="s">
        <v>14</v>
      </c>
      <c r="C11818" t="s">
        <v>22</v>
      </c>
      <c r="D11818" t="s">
        <v>11</v>
      </c>
      <c r="E11818" t="s">
        <v>12</v>
      </c>
      <c r="F11818">
        <v>127553233</v>
      </c>
      <c r="G11818">
        <v>127553364</v>
      </c>
      <c r="H11818">
        <v>127553210</v>
      </c>
      <c r="I11818">
        <v>127553225</v>
      </c>
    </row>
    <row r="11819" spans="1:9" x14ac:dyDescent="0.2">
      <c r="A11819" t="str">
        <f>"Lars"</f>
        <v>Lars</v>
      </c>
      <c r="B11819" t="s">
        <v>14</v>
      </c>
      <c r="C11819" t="s">
        <v>43</v>
      </c>
      <c r="D11819" t="s">
        <v>11</v>
      </c>
      <c r="E11819" t="s">
        <v>12</v>
      </c>
      <c r="F11819">
        <v>42262053</v>
      </c>
      <c r="G11819">
        <v>42262140</v>
      </c>
      <c r="H11819">
        <v>42261978</v>
      </c>
      <c r="I11819">
        <v>42262013</v>
      </c>
    </row>
    <row r="11820" spans="1:9" x14ac:dyDescent="0.2">
      <c r="A11820" t="str">
        <f>"Lars2"</f>
        <v>Lars2</v>
      </c>
      <c r="B11820" t="s">
        <v>14</v>
      </c>
      <c r="C11820" t="s">
        <v>24</v>
      </c>
      <c r="D11820" t="s">
        <v>17</v>
      </c>
      <c r="E11820" t="s">
        <v>12</v>
      </c>
      <c r="F11820">
        <v>123366921</v>
      </c>
      <c r="G11820">
        <v>123366953</v>
      </c>
      <c r="H11820">
        <v>123366921</v>
      </c>
      <c r="I11820">
        <v>123366953</v>
      </c>
    </row>
    <row r="11821" spans="1:9" x14ac:dyDescent="0.2">
      <c r="A11821" t="str">
        <f>"Las1l"</f>
        <v>Las1l</v>
      </c>
      <c r="B11821" t="s">
        <v>14</v>
      </c>
      <c r="C11821" t="s">
        <v>37</v>
      </c>
      <c r="D11821" t="s">
        <v>11</v>
      </c>
      <c r="E11821" t="s">
        <v>12</v>
      </c>
      <c r="F11821">
        <v>95956890</v>
      </c>
      <c r="G11821">
        <v>95956918</v>
      </c>
      <c r="H11821">
        <v>95956919</v>
      </c>
      <c r="I11821">
        <v>95956948</v>
      </c>
    </row>
    <row r="11822" spans="1:9" x14ac:dyDescent="0.2">
      <c r="A11822" t="str">
        <f>"Lasp1"</f>
        <v>Lasp1</v>
      </c>
      <c r="B11822" t="s">
        <v>14</v>
      </c>
      <c r="C11822" t="s">
        <v>27</v>
      </c>
      <c r="D11822" t="s">
        <v>17</v>
      </c>
      <c r="E11822" t="s">
        <v>12</v>
      </c>
      <c r="F11822">
        <v>97799661</v>
      </c>
      <c r="G11822">
        <v>97799709</v>
      </c>
      <c r="H11822">
        <v>97799627</v>
      </c>
      <c r="I11822">
        <v>97799647</v>
      </c>
    </row>
    <row r="11823" spans="1:9" x14ac:dyDescent="0.2">
      <c r="A11823" t="str">
        <f>"Lat"</f>
        <v>Lat</v>
      </c>
      <c r="B11823" t="s">
        <v>14</v>
      </c>
      <c r="C11823" t="s">
        <v>33</v>
      </c>
      <c r="D11823" t="s">
        <v>11</v>
      </c>
      <c r="E11823" t="s">
        <v>12</v>
      </c>
      <c r="F11823">
        <v>126369551</v>
      </c>
      <c r="G11823">
        <v>126369578</v>
      </c>
      <c r="H11823">
        <v>126369500</v>
      </c>
      <c r="I11823">
        <v>126369526</v>
      </c>
    </row>
    <row r="11824" spans="1:9" x14ac:dyDescent="0.2">
      <c r="A11824" t="str">
        <f>"Lat2"</f>
        <v>Lat2</v>
      </c>
      <c r="B11824" t="s">
        <v>14</v>
      </c>
      <c r="C11824" t="s">
        <v>46</v>
      </c>
      <c r="D11824" t="s">
        <v>11</v>
      </c>
      <c r="E11824" t="s">
        <v>12</v>
      </c>
      <c r="F11824">
        <v>134614953</v>
      </c>
      <c r="G11824">
        <v>134615029</v>
      </c>
      <c r="H11824">
        <v>134614953</v>
      </c>
      <c r="I11824">
        <v>134615029</v>
      </c>
    </row>
    <row r="11825" spans="1:9" x14ac:dyDescent="0.2">
      <c r="A11825" t="str">
        <f>"Lats1"</f>
        <v>Lats1</v>
      </c>
      <c r="B11825" t="s">
        <v>14</v>
      </c>
      <c r="C11825" t="s">
        <v>15</v>
      </c>
      <c r="D11825" t="s">
        <v>17</v>
      </c>
      <c r="E11825" t="s">
        <v>12</v>
      </c>
      <c r="F11825">
        <v>7681197</v>
      </c>
      <c r="G11825">
        <v>7681225</v>
      </c>
      <c r="H11825">
        <v>7680918</v>
      </c>
      <c r="I11825">
        <v>7681025</v>
      </c>
    </row>
    <row r="11826" spans="1:9" x14ac:dyDescent="0.2">
      <c r="A11826" t="str">
        <f>"Lats2"</f>
        <v>Lats2</v>
      </c>
      <c r="B11826" t="s">
        <v>9</v>
      </c>
      <c r="C11826" t="s">
        <v>41</v>
      </c>
      <c r="D11826" t="s">
        <v>11</v>
      </c>
      <c r="E11826" t="s">
        <v>12</v>
      </c>
      <c r="F11826">
        <v>57746044</v>
      </c>
      <c r="G11826">
        <v>57746144</v>
      </c>
      <c r="H11826">
        <v>57746044</v>
      </c>
      <c r="I11826">
        <v>57746144</v>
      </c>
    </row>
    <row r="11827" spans="1:9" x14ac:dyDescent="0.2">
      <c r="A11827" t="str">
        <f>"Lats2"</f>
        <v>Lats2</v>
      </c>
      <c r="B11827" t="s">
        <v>13</v>
      </c>
      <c r="C11827" t="s">
        <v>41</v>
      </c>
      <c r="D11827" t="s">
        <v>11</v>
      </c>
      <c r="E11827" t="s">
        <v>12</v>
      </c>
      <c r="F11827">
        <v>57744650</v>
      </c>
      <c r="G11827">
        <v>57744655</v>
      </c>
      <c r="H11827">
        <v>57744650</v>
      </c>
      <c r="I11827">
        <v>57744655</v>
      </c>
    </row>
    <row r="11828" spans="1:9" x14ac:dyDescent="0.2">
      <c r="A11828" t="str">
        <f>"Lax1"</f>
        <v>Lax1</v>
      </c>
      <c r="B11828" t="s">
        <v>14</v>
      </c>
      <c r="C11828" t="s">
        <v>19</v>
      </c>
      <c r="D11828" t="s">
        <v>11</v>
      </c>
      <c r="E11828" t="s">
        <v>12</v>
      </c>
      <c r="F11828">
        <v>133690100</v>
      </c>
      <c r="G11828">
        <v>133690115</v>
      </c>
      <c r="H11828">
        <v>133690002</v>
      </c>
      <c r="I11828">
        <v>133690016</v>
      </c>
    </row>
    <row r="11829" spans="1:9" x14ac:dyDescent="0.2">
      <c r="A11829" t="str">
        <f>"Layn"</f>
        <v>Layn</v>
      </c>
      <c r="B11829" t="s">
        <v>14</v>
      </c>
      <c r="C11829" t="s">
        <v>24</v>
      </c>
      <c r="D11829" t="s">
        <v>11</v>
      </c>
      <c r="E11829" t="s">
        <v>12</v>
      </c>
      <c r="F11829">
        <v>51077030</v>
      </c>
      <c r="G11829">
        <v>51077062</v>
      </c>
      <c r="H11829">
        <v>51077064</v>
      </c>
      <c r="I11829">
        <v>51077100</v>
      </c>
    </row>
    <row r="11830" spans="1:9" x14ac:dyDescent="0.2">
      <c r="A11830" t="str">
        <f>"Lbh"</f>
        <v>Lbh</v>
      </c>
      <c r="B11830" t="s">
        <v>14</v>
      </c>
      <c r="C11830" t="s">
        <v>28</v>
      </c>
      <c r="D11830" t="s">
        <v>17</v>
      </c>
      <c r="E11830" t="s">
        <v>12</v>
      </c>
      <c r="F11830">
        <v>72918298</v>
      </c>
      <c r="G11830">
        <v>72918316</v>
      </c>
      <c r="H11830">
        <v>72918495</v>
      </c>
      <c r="I11830">
        <v>72918547</v>
      </c>
    </row>
    <row r="11831" spans="1:9" x14ac:dyDescent="0.2">
      <c r="A11831" t="str">
        <f>"Lbp"</f>
        <v>Lbp</v>
      </c>
      <c r="B11831" t="s">
        <v>14</v>
      </c>
      <c r="C11831" t="s">
        <v>26</v>
      </c>
      <c r="D11831" t="s">
        <v>17</v>
      </c>
      <c r="E11831" t="s">
        <v>12</v>
      </c>
      <c r="F11831">
        <v>158306625</v>
      </c>
      <c r="G11831">
        <v>158306653</v>
      </c>
      <c r="H11831">
        <v>158306509</v>
      </c>
      <c r="I11831">
        <v>158306522</v>
      </c>
    </row>
    <row r="11832" spans="1:9" x14ac:dyDescent="0.2">
      <c r="A11832" t="str">
        <f>"Lbr"</f>
        <v>Lbr</v>
      </c>
      <c r="B11832" t="s">
        <v>14</v>
      </c>
      <c r="C11832" t="s">
        <v>19</v>
      </c>
      <c r="D11832" t="s">
        <v>11</v>
      </c>
      <c r="E11832" t="s">
        <v>12</v>
      </c>
      <c r="F11832">
        <v>181842334</v>
      </c>
      <c r="G11832">
        <v>181842384</v>
      </c>
      <c r="H11832">
        <v>181842334</v>
      </c>
      <c r="I11832">
        <v>181842384</v>
      </c>
    </row>
    <row r="11833" spans="1:9" x14ac:dyDescent="0.2">
      <c r="A11833" t="str">
        <f>"Lbx1"</f>
        <v>Lbx1</v>
      </c>
      <c r="B11833" t="s">
        <v>14</v>
      </c>
      <c r="C11833" t="s">
        <v>10</v>
      </c>
      <c r="D11833" t="s">
        <v>11</v>
      </c>
      <c r="E11833" t="s">
        <v>12</v>
      </c>
      <c r="F11833">
        <v>45235896</v>
      </c>
      <c r="G11833">
        <v>45235912</v>
      </c>
      <c r="H11833">
        <v>45235521</v>
      </c>
      <c r="I11833">
        <v>45235523</v>
      </c>
    </row>
    <row r="11834" spans="1:9" x14ac:dyDescent="0.2">
      <c r="A11834" t="str">
        <f>"Lbx2"</f>
        <v>Lbx2</v>
      </c>
      <c r="B11834" t="s">
        <v>14</v>
      </c>
      <c r="C11834" t="s">
        <v>32</v>
      </c>
      <c r="D11834" t="s">
        <v>17</v>
      </c>
      <c r="E11834" t="s">
        <v>12</v>
      </c>
      <c r="F11834">
        <v>83086363</v>
      </c>
      <c r="G11834">
        <v>83086380</v>
      </c>
      <c r="H11834">
        <v>83086387</v>
      </c>
      <c r="I11834">
        <v>83086398</v>
      </c>
    </row>
    <row r="11835" spans="1:9" x14ac:dyDescent="0.2">
      <c r="A11835" t="str">
        <f>"Lca5"</f>
        <v>Lca5</v>
      </c>
      <c r="B11835" t="s">
        <v>14</v>
      </c>
      <c r="C11835" t="s">
        <v>24</v>
      </c>
      <c r="D11835" t="s">
        <v>11</v>
      </c>
      <c r="E11835" t="s">
        <v>12</v>
      </c>
      <c r="F11835">
        <v>83441065</v>
      </c>
      <c r="G11835">
        <v>83441110</v>
      </c>
      <c r="H11835">
        <v>83441129</v>
      </c>
      <c r="I11835">
        <v>83441138</v>
      </c>
    </row>
    <row r="11836" spans="1:9" x14ac:dyDescent="0.2">
      <c r="A11836" t="str">
        <f>"Lca5l"</f>
        <v>Lca5l</v>
      </c>
      <c r="B11836" t="s">
        <v>14</v>
      </c>
      <c r="C11836" t="s">
        <v>31</v>
      </c>
      <c r="D11836" t="s">
        <v>11</v>
      </c>
      <c r="E11836" t="s">
        <v>12</v>
      </c>
      <c r="F11836">
        <v>96192222</v>
      </c>
      <c r="G11836">
        <v>96192262</v>
      </c>
      <c r="H11836">
        <v>96192265</v>
      </c>
      <c r="I11836">
        <v>96192280</v>
      </c>
    </row>
    <row r="11837" spans="1:9" x14ac:dyDescent="0.2">
      <c r="A11837" t="str">
        <f>"Lcat"</f>
        <v>Lcat</v>
      </c>
      <c r="B11837" t="s">
        <v>14</v>
      </c>
      <c r="C11837" t="s">
        <v>30</v>
      </c>
      <c r="D11837" t="s">
        <v>11</v>
      </c>
      <c r="E11837" t="s">
        <v>12</v>
      </c>
      <c r="F11837">
        <v>105943389</v>
      </c>
      <c r="G11837">
        <v>105943407</v>
      </c>
      <c r="H11837">
        <v>105943389</v>
      </c>
      <c r="I11837">
        <v>105943407</v>
      </c>
    </row>
    <row r="11838" spans="1:9" x14ac:dyDescent="0.2">
      <c r="A11838" t="str">
        <f>"Lce1a1"</f>
        <v>Lce1a1</v>
      </c>
      <c r="B11838" t="s">
        <v>14</v>
      </c>
      <c r="C11838" t="s">
        <v>22</v>
      </c>
      <c r="D11838" t="s">
        <v>11</v>
      </c>
      <c r="E11838" t="s">
        <v>12</v>
      </c>
      <c r="F11838">
        <v>92648303</v>
      </c>
      <c r="G11838">
        <v>92648308</v>
      </c>
      <c r="H11838">
        <v>92648303</v>
      </c>
      <c r="I11838">
        <v>92648308</v>
      </c>
    </row>
    <row r="11839" spans="1:9" x14ac:dyDescent="0.2">
      <c r="A11839" t="str">
        <f>"Lce1a2"</f>
        <v>Lce1a2</v>
      </c>
      <c r="B11839" t="s">
        <v>14</v>
      </c>
      <c r="C11839" t="s">
        <v>22</v>
      </c>
      <c r="D11839" t="s">
        <v>11</v>
      </c>
      <c r="E11839" t="s">
        <v>12</v>
      </c>
      <c r="F11839">
        <v>92670314</v>
      </c>
      <c r="G11839">
        <v>92670316</v>
      </c>
      <c r="H11839">
        <v>92670314</v>
      </c>
      <c r="I11839">
        <v>92670316</v>
      </c>
    </row>
    <row r="11840" spans="1:9" x14ac:dyDescent="0.2">
      <c r="A11840" t="str">
        <f>"Lce1b"</f>
        <v>Lce1b</v>
      </c>
      <c r="B11840" t="s">
        <v>14</v>
      </c>
      <c r="C11840" t="s">
        <v>22</v>
      </c>
      <c r="D11840" t="s">
        <v>11</v>
      </c>
      <c r="E11840" t="s">
        <v>12</v>
      </c>
      <c r="F11840">
        <v>92656925</v>
      </c>
      <c r="G11840">
        <v>92656927</v>
      </c>
      <c r="H11840">
        <v>92656925</v>
      </c>
      <c r="I11840">
        <v>92656927</v>
      </c>
    </row>
    <row r="11841" spans="1:9" x14ac:dyDescent="0.2">
      <c r="A11841" t="str">
        <f>"Lce1c"</f>
        <v>Lce1c</v>
      </c>
      <c r="B11841" t="s">
        <v>14</v>
      </c>
      <c r="C11841" t="s">
        <v>22</v>
      </c>
      <c r="D11841" t="s">
        <v>17</v>
      </c>
      <c r="E11841" t="s">
        <v>12</v>
      </c>
      <c r="F11841">
        <v>92679245</v>
      </c>
      <c r="G11841">
        <v>92679247</v>
      </c>
      <c r="H11841">
        <v>92679245</v>
      </c>
      <c r="I11841">
        <v>92679247</v>
      </c>
    </row>
    <row r="11842" spans="1:9" x14ac:dyDescent="0.2">
      <c r="A11842" t="str">
        <f>"Lce1d"</f>
        <v>Lce1d</v>
      </c>
      <c r="B11842" t="s">
        <v>14</v>
      </c>
      <c r="C11842" t="s">
        <v>22</v>
      </c>
      <c r="D11842" t="s">
        <v>11</v>
      </c>
      <c r="E11842" t="s">
        <v>12</v>
      </c>
      <c r="F11842">
        <v>92687209</v>
      </c>
      <c r="G11842">
        <v>92687211</v>
      </c>
      <c r="H11842">
        <v>92687209</v>
      </c>
      <c r="I11842">
        <v>92687211</v>
      </c>
    </row>
    <row r="11843" spans="1:9" x14ac:dyDescent="0.2">
      <c r="A11843" t="str">
        <f>"Lce1e"</f>
        <v>Lce1e</v>
      </c>
      <c r="B11843" t="s">
        <v>14</v>
      </c>
      <c r="C11843" t="s">
        <v>22</v>
      </c>
      <c r="D11843" t="s">
        <v>11</v>
      </c>
      <c r="E11843" t="s">
        <v>12</v>
      </c>
      <c r="F11843">
        <v>92709073</v>
      </c>
      <c r="G11843">
        <v>92709075</v>
      </c>
      <c r="H11843">
        <v>92709105</v>
      </c>
      <c r="I11843">
        <v>92709109</v>
      </c>
    </row>
    <row r="11844" spans="1:9" x14ac:dyDescent="0.2">
      <c r="A11844" t="str">
        <f>"Lce1f"</f>
        <v>Lce1f</v>
      </c>
      <c r="B11844" t="s">
        <v>14</v>
      </c>
      <c r="C11844" t="s">
        <v>22</v>
      </c>
      <c r="D11844" t="s">
        <v>11</v>
      </c>
      <c r="E11844" t="s">
        <v>12</v>
      </c>
      <c r="F11844">
        <v>92720344</v>
      </c>
      <c r="G11844">
        <v>92720359</v>
      </c>
      <c r="H11844">
        <v>92720381</v>
      </c>
      <c r="I11844">
        <v>92720387</v>
      </c>
    </row>
    <row r="11845" spans="1:9" x14ac:dyDescent="0.2">
      <c r="A11845" t="str">
        <f>"Lce1g"</f>
        <v>Lce1g</v>
      </c>
      <c r="B11845" t="s">
        <v>14</v>
      </c>
      <c r="C11845" t="s">
        <v>22</v>
      </c>
      <c r="D11845" t="s">
        <v>11</v>
      </c>
      <c r="E11845" t="s">
        <v>12</v>
      </c>
      <c r="F11845">
        <v>92752337</v>
      </c>
      <c r="G11845">
        <v>92752338</v>
      </c>
      <c r="H11845">
        <v>92752337</v>
      </c>
      <c r="I11845">
        <v>92752338</v>
      </c>
    </row>
    <row r="11846" spans="1:9" x14ac:dyDescent="0.2">
      <c r="A11846" t="str">
        <f>"Lce1h"</f>
        <v>Lce1h</v>
      </c>
      <c r="B11846" t="s">
        <v>14</v>
      </c>
      <c r="C11846" t="s">
        <v>22</v>
      </c>
      <c r="D11846" t="s">
        <v>11</v>
      </c>
      <c r="E11846" t="s">
        <v>12</v>
      </c>
      <c r="F11846">
        <v>92765060</v>
      </c>
      <c r="G11846">
        <v>92765066</v>
      </c>
      <c r="H11846">
        <v>92765060</v>
      </c>
      <c r="I11846">
        <v>92765066</v>
      </c>
    </row>
    <row r="11847" spans="1:9" x14ac:dyDescent="0.2">
      <c r="A11847" t="str">
        <f>"Lce1i"</f>
        <v>Lce1i</v>
      </c>
      <c r="B11847" t="s">
        <v>14</v>
      </c>
      <c r="C11847" t="s">
        <v>22</v>
      </c>
      <c r="D11847" t="s">
        <v>11</v>
      </c>
      <c r="E11847" t="s">
        <v>12</v>
      </c>
      <c r="F11847">
        <v>92778895</v>
      </c>
      <c r="G11847">
        <v>92778903</v>
      </c>
      <c r="H11847">
        <v>92778895</v>
      </c>
      <c r="I11847">
        <v>92778903</v>
      </c>
    </row>
    <row r="11848" spans="1:9" x14ac:dyDescent="0.2">
      <c r="A11848" t="str">
        <f>"Lce1j"</f>
        <v>Lce1j</v>
      </c>
      <c r="B11848" t="s">
        <v>4247</v>
      </c>
      <c r="C11848" t="s">
        <v>22</v>
      </c>
      <c r="D11848" t="s">
        <v>11</v>
      </c>
      <c r="E11848" t="s">
        <v>20</v>
      </c>
      <c r="F11848">
        <v>92789468</v>
      </c>
      <c r="G11848">
        <v>92789468</v>
      </c>
      <c r="H11848">
        <v>92789468</v>
      </c>
      <c r="I11848">
        <v>92789468</v>
      </c>
    </row>
    <row r="11849" spans="1:9" x14ac:dyDescent="0.2">
      <c r="A11849" t="str">
        <f>"Lce1k"</f>
        <v>Lce1k</v>
      </c>
      <c r="B11849" t="s">
        <v>14</v>
      </c>
      <c r="C11849" t="s">
        <v>22</v>
      </c>
      <c r="D11849" t="s">
        <v>11</v>
      </c>
      <c r="E11849" t="s">
        <v>12</v>
      </c>
      <c r="F11849">
        <v>92807891</v>
      </c>
      <c r="G11849">
        <v>92807904</v>
      </c>
      <c r="H11849">
        <v>92807891</v>
      </c>
      <c r="I11849">
        <v>92807904</v>
      </c>
    </row>
    <row r="11850" spans="1:9" x14ac:dyDescent="0.2">
      <c r="A11850" t="str">
        <f>"Lce1l"</f>
        <v>Lce1l</v>
      </c>
      <c r="B11850" t="s">
        <v>14</v>
      </c>
      <c r="C11850" t="s">
        <v>22</v>
      </c>
      <c r="D11850" t="s">
        <v>11</v>
      </c>
      <c r="E11850" t="s">
        <v>12</v>
      </c>
      <c r="F11850">
        <v>92851284</v>
      </c>
      <c r="G11850">
        <v>92851286</v>
      </c>
      <c r="H11850">
        <v>92851284</v>
      </c>
      <c r="I11850">
        <v>92851286</v>
      </c>
    </row>
    <row r="11851" spans="1:9" x14ac:dyDescent="0.2">
      <c r="A11851" t="str">
        <f>"Lce1m"</f>
        <v>Lce1m</v>
      </c>
      <c r="B11851" t="s">
        <v>14</v>
      </c>
      <c r="C11851" t="s">
        <v>22</v>
      </c>
      <c r="D11851" t="s">
        <v>11</v>
      </c>
      <c r="E11851" t="s">
        <v>12</v>
      </c>
      <c r="F11851">
        <v>93019057</v>
      </c>
      <c r="G11851">
        <v>93019060</v>
      </c>
      <c r="H11851">
        <v>93019057</v>
      </c>
      <c r="I11851">
        <v>93019060</v>
      </c>
    </row>
    <row r="11852" spans="1:9" x14ac:dyDescent="0.2">
      <c r="A11852" t="str">
        <f>"Lce3a"</f>
        <v>Lce3a</v>
      </c>
      <c r="B11852" t="s">
        <v>14</v>
      </c>
      <c r="C11852" t="s">
        <v>22</v>
      </c>
      <c r="D11852" t="s">
        <v>11</v>
      </c>
      <c r="E11852" t="s">
        <v>12</v>
      </c>
      <c r="F11852">
        <v>92926242</v>
      </c>
      <c r="G11852">
        <v>92926247</v>
      </c>
      <c r="H11852">
        <v>92926242</v>
      </c>
      <c r="I11852">
        <v>92926247</v>
      </c>
    </row>
    <row r="11853" spans="1:9" x14ac:dyDescent="0.2">
      <c r="A11853" t="str">
        <f>"Lce3b"</f>
        <v>Lce3b</v>
      </c>
      <c r="B11853" t="s">
        <v>14</v>
      </c>
      <c r="C11853" t="s">
        <v>22</v>
      </c>
      <c r="D11853" t="s">
        <v>17</v>
      </c>
      <c r="E11853" t="s">
        <v>12</v>
      </c>
      <c r="F11853">
        <v>92932975</v>
      </c>
      <c r="G11853">
        <v>92932983</v>
      </c>
      <c r="H11853">
        <v>92932975</v>
      </c>
      <c r="I11853">
        <v>92932983</v>
      </c>
    </row>
    <row r="11854" spans="1:9" x14ac:dyDescent="0.2">
      <c r="A11854" t="str">
        <f>"Lce3c"</f>
        <v>Lce3c</v>
      </c>
      <c r="B11854" t="s">
        <v>14</v>
      </c>
      <c r="C11854" t="s">
        <v>22</v>
      </c>
      <c r="D11854" t="s">
        <v>17</v>
      </c>
      <c r="E11854" t="s">
        <v>12</v>
      </c>
      <c r="F11854">
        <v>92944483</v>
      </c>
      <c r="G11854">
        <v>92944487</v>
      </c>
      <c r="H11854">
        <v>92944483</v>
      </c>
      <c r="I11854">
        <v>92944487</v>
      </c>
    </row>
    <row r="11855" spans="1:9" x14ac:dyDescent="0.2">
      <c r="A11855" t="str">
        <f>"Lce3d"</f>
        <v>Lce3d</v>
      </c>
      <c r="B11855" t="s">
        <v>4248</v>
      </c>
      <c r="C11855" t="s">
        <v>22</v>
      </c>
      <c r="D11855" t="s">
        <v>17</v>
      </c>
      <c r="E11855" t="s">
        <v>20</v>
      </c>
      <c r="F11855">
        <v>92957389</v>
      </c>
      <c r="G11855">
        <v>92957389</v>
      </c>
      <c r="H11855">
        <v>92957389</v>
      </c>
      <c r="I11855">
        <v>92957389</v>
      </c>
    </row>
    <row r="11856" spans="1:9" x14ac:dyDescent="0.2">
      <c r="A11856" t="str">
        <f>"Lce3e"</f>
        <v>Lce3e</v>
      </c>
      <c r="B11856" t="s">
        <v>4249</v>
      </c>
      <c r="C11856" t="s">
        <v>22</v>
      </c>
      <c r="D11856" t="s">
        <v>17</v>
      </c>
      <c r="E11856" t="s">
        <v>20</v>
      </c>
      <c r="F11856">
        <v>92967060</v>
      </c>
      <c r="G11856">
        <v>92967060</v>
      </c>
      <c r="H11856">
        <v>92967060</v>
      </c>
      <c r="I11856">
        <v>92967060</v>
      </c>
    </row>
    <row r="11857" spans="1:9" x14ac:dyDescent="0.2">
      <c r="A11857" t="str">
        <f>"Lce3f"</f>
        <v>Lce3f</v>
      </c>
      <c r="B11857" t="s">
        <v>14</v>
      </c>
      <c r="C11857" t="s">
        <v>22</v>
      </c>
      <c r="D11857" t="s">
        <v>17</v>
      </c>
      <c r="E11857" t="s">
        <v>12</v>
      </c>
      <c r="F11857">
        <v>92992213</v>
      </c>
      <c r="G11857">
        <v>92992221</v>
      </c>
      <c r="H11857">
        <v>92992213</v>
      </c>
      <c r="I11857">
        <v>92992221</v>
      </c>
    </row>
    <row r="11858" spans="1:9" x14ac:dyDescent="0.2">
      <c r="A11858" t="str">
        <f>"Lce6a"</f>
        <v>Lce6a</v>
      </c>
      <c r="B11858" t="s">
        <v>14</v>
      </c>
      <c r="C11858" t="s">
        <v>22</v>
      </c>
      <c r="D11858" t="s">
        <v>11</v>
      </c>
      <c r="E11858" t="s">
        <v>12</v>
      </c>
      <c r="F11858">
        <v>92621173</v>
      </c>
      <c r="G11858">
        <v>92621188</v>
      </c>
      <c r="H11858">
        <v>92621173</v>
      </c>
      <c r="I11858">
        <v>92621188</v>
      </c>
    </row>
    <row r="11859" spans="1:9" x14ac:dyDescent="0.2">
      <c r="A11859" t="str">
        <f>"Lck"</f>
        <v>Lck</v>
      </c>
      <c r="B11859" t="s">
        <v>9</v>
      </c>
      <c r="C11859" t="s">
        <v>23</v>
      </c>
      <c r="D11859" t="s">
        <v>11</v>
      </c>
      <c r="E11859" t="s">
        <v>12</v>
      </c>
      <c r="F11859">
        <v>129558355</v>
      </c>
      <c r="G11859">
        <v>129558378</v>
      </c>
      <c r="H11859">
        <v>129558355</v>
      </c>
      <c r="I11859">
        <v>129558378</v>
      </c>
    </row>
    <row r="11860" spans="1:9" x14ac:dyDescent="0.2">
      <c r="A11860" t="str">
        <f>"Lck"</f>
        <v>Lck</v>
      </c>
      <c r="B11860" t="s">
        <v>13</v>
      </c>
      <c r="C11860" t="s">
        <v>23</v>
      </c>
      <c r="D11860" t="s">
        <v>11</v>
      </c>
      <c r="E11860" t="s">
        <v>12</v>
      </c>
      <c r="F11860">
        <v>129573599</v>
      </c>
      <c r="G11860">
        <v>129573629</v>
      </c>
      <c r="H11860">
        <v>129573599</v>
      </c>
      <c r="I11860">
        <v>129573629</v>
      </c>
    </row>
    <row r="11861" spans="1:9" x14ac:dyDescent="0.2">
      <c r="A11861" t="str">
        <f>"Lclat1"</f>
        <v>Lclat1</v>
      </c>
      <c r="B11861" t="s">
        <v>14</v>
      </c>
      <c r="C11861" t="s">
        <v>28</v>
      </c>
      <c r="D11861" t="s">
        <v>17</v>
      </c>
      <c r="E11861" t="s">
        <v>12</v>
      </c>
      <c r="F11861">
        <v>73107982</v>
      </c>
      <c r="G11861">
        <v>73108080</v>
      </c>
      <c r="H11861">
        <v>73107982</v>
      </c>
      <c r="I11861">
        <v>73108080</v>
      </c>
    </row>
    <row r="11862" spans="1:9" x14ac:dyDescent="0.2">
      <c r="A11862" t="str">
        <f>"Lcmt1"</f>
        <v>Lcmt1</v>
      </c>
      <c r="B11862" t="s">
        <v>14</v>
      </c>
      <c r="C11862" t="s">
        <v>33</v>
      </c>
      <c r="D11862" t="s">
        <v>17</v>
      </c>
      <c r="E11862" t="s">
        <v>12</v>
      </c>
      <c r="F11862">
        <v>123378005</v>
      </c>
      <c r="G11862">
        <v>123378086</v>
      </c>
      <c r="H11862">
        <v>123378005</v>
      </c>
      <c r="I11862">
        <v>123378086</v>
      </c>
    </row>
    <row r="11863" spans="1:9" x14ac:dyDescent="0.2">
      <c r="A11863" t="str">
        <f>"Lcmt2"</f>
        <v>Lcmt2</v>
      </c>
      <c r="B11863" t="s">
        <v>14</v>
      </c>
      <c r="C11863" t="s">
        <v>26</v>
      </c>
      <c r="D11863" t="s">
        <v>11</v>
      </c>
      <c r="E11863" t="s">
        <v>12</v>
      </c>
      <c r="F11863">
        <v>121140649</v>
      </c>
      <c r="G11863">
        <v>121140690</v>
      </c>
      <c r="H11863">
        <v>121140371</v>
      </c>
      <c r="I11863">
        <v>121140394</v>
      </c>
    </row>
    <row r="11864" spans="1:9" x14ac:dyDescent="0.2">
      <c r="A11864" t="str">
        <f>"Lcn10"</f>
        <v>Lcn10</v>
      </c>
      <c r="B11864" t="s">
        <v>14</v>
      </c>
      <c r="C11864" t="s">
        <v>26</v>
      </c>
      <c r="D11864" t="s">
        <v>17</v>
      </c>
      <c r="E11864" t="s">
        <v>12</v>
      </c>
      <c r="F11864">
        <v>25682752</v>
      </c>
      <c r="G11864">
        <v>25682772</v>
      </c>
      <c r="H11864">
        <v>25682725</v>
      </c>
      <c r="I11864">
        <v>25682746</v>
      </c>
    </row>
    <row r="11865" spans="1:9" x14ac:dyDescent="0.2">
      <c r="A11865" t="str">
        <f>"Lcn11"</f>
        <v>Lcn11</v>
      </c>
      <c r="B11865" t="s">
        <v>14</v>
      </c>
      <c r="C11865" t="s">
        <v>26</v>
      </c>
      <c r="D11865" t="s">
        <v>17</v>
      </c>
      <c r="E11865" t="s">
        <v>12</v>
      </c>
      <c r="F11865">
        <v>25777015</v>
      </c>
      <c r="G11865">
        <v>25777021</v>
      </c>
      <c r="H11865">
        <v>25777015</v>
      </c>
      <c r="I11865">
        <v>25777021</v>
      </c>
    </row>
    <row r="11866" spans="1:9" x14ac:dyDescent="0.2">
      <c r="A11866" t="str">
        <f>"Lcn12"</f>
        <v>Lcn12</v>
      </c>
      <c r="B11866" t="s">
        <v>14</v>
      </c>
      <c r="C11866" t="s">
        <v>26</v>
      </c>
      <c r="D11866" t="s">
        <v>11</v>
      </c>
      <c r="E11866" t="s">
        <v>12</v>
      </c>
      <c r="F11866">
        <v>25493905</v>
      </c>
      <c r="G11866">
        <v>25493960</v>
      </c>
      <c r="H11866">
        <v>25493443</v>
      </c>
      <c r="I11866">
        <v>25493464</v>
      </c>
    </row>
    <row r="11867" spans="1:9" x14ac:dyDescent="0.2">
      <c r="A11867" t="str">
        <f>"Lcn2"</f>
        <v>Lcn2</v>
      </c>
      <c r="B11867" t="s">
        <v>14</v>
      </c>
      <c r="C11867" t="s">
        <v>26</v>
      </c>
      <c r="D11867" t="s">
        <v>11</v>
      </c>
      <c r="E11867" t="s">
        <v>12</v>
      </c>
      <c r="F11867">
        <v>32387760</v>
      </c>
      <c r="G11867">
        <v>32387778</v>
      </c>
      <c r="H11867">
        <v>32387760</v>
      </c>
      <c r="I11867">
        <v>32387778</v>
      </c>
    </row>
    <row r="11868" spans="1:9" x14ac:dyDescent="0.2">
      <c r="A11868" t="str">
        <f>"Lcn3"</f>
        <v>Lcn3</v>
      </c>
      <c r="B11868" t="s">
        <v>14</v>
      </c>
      <c r="C11868" t="s">
        <v>26</v>
      </c>
      <c r="D11868" t="s">
        <v>17</v>
      </c>
      <c r="E11868" t="s">
        <v>12</v>
      </c>
      <c r="F11868">
        <v>25765531</v>
      </c>
      <c r="G11868">
        <v>25765535</v>
      </c>
      <c r="H11868">
        <v>25765531</v>
      </c>
      <c r="I11868">
        <v>25765535</v>
      </c>
    </row>
    <row r="11869" spans="1:9" x14ac:dyDescent="0.2">
      <c r="A11869" t="str">
        <f>"Lcn4"</f>
        <v>Lcn4</v>
      </c>
      <c r="B11869" t="s">
        <v>14</v>
      </c>
      <c r="C11869" t="s">
        <v>26</v>
      </c>
      <c r="D11869" t="s">
        <v>11</v>
      </c>
      <c r="E11869" t="s">
        <v>12</v>
      </c>
      <c r="F11869">
        <v>26671318</v>
      </c>
      <c r="G11869">
        <v>26671323</v>
      </c>
      <c r="H11869">
        <v>26671318</v>
      </c>
      <c r="I11869">
        <v>26671323</v>
      </c>
    </row>
    <row r="11870" spans="1:9" x14ac:dyDescent="0.2">
      <c r="A11870" t="str">
        <f>"Lcn5"</f>
        <v>Lcn5</v>
      </c>
      <c r="B11870" t="s">
        <v>14</v>
      </c>
      <c r="C11870" t="s">
        <v>26</v>
      </c>
      <c r="D11870" t="s">
        <v>17</v>
      </c>
      <c r="E11870" t="s">
        <v>12</v>
      </c>
      <c r="F11870">
        <v>25657944</v>
      </c>
      <c r="G11870">
        <v>25657963</v>
      </c>
      <c r="H11870">
        <v>25657944</v>
      </c>
      <c r="I11870">
        <v>25657963</v>
      </c>
    </row>
    <row r="11871" spans="1:9" x14ac:dyDescent="0.2">
      <c r="A11871" t="str">
        <f>"Lcn6"</f>
        <v>Lcn6</v>
      </c>
      <c r="B11871" t="s">
        <v>14</v>
      </c>
      <c r="C11871" t="s">
        <v>26</v>
      </c>
      <c r="D11871" t="s">
        <v>17</v>
      </c>
      <c r="E11871" t="s">
        <v>12</v>
      </c>
      <c r="F11871">
        <v>25676785</v>
      </c>
      <c r="G11871">
        <v>25676797</v>
      </c>
      <c r="H11871">
        <v>25676785</v>
      </c>
      <c r="I11871">
        <v>25676797</v>
      </c>
    </row>
    <row r="11872" spans="1:9" x14ac:dyDescent="0.2">
      <c r="A11872" t="str">
        <f>"Lcn8"</f>
        <v>Lcn8</v>
      </c>
      <c r="B11872" t="s">
        <v>14</v>
      </c>
      <c r="C11872" t="s">
        <v>26</v>
      </c>
      <c r="D11872" t="s">
        <v>17</v>
      </c>
      <c r="E11872" t="s">
        <v>12</v>
      </c>
      <c r="F11872">
        <v>25653111</v>
      </c>
      <c r="G11872">
        <v>25653130</v>
      </c>
      <c r="H11872">
        <v>25653111</v>
      </c>
      <c r="I11872">
        <v>25653130</v>
      </c>
    </row>
    <row r="11873" spans="1:9" x14ac:dyDescent="0.2">
      <c r="A11873" t="str">
        <f>"Lcn9"</f>
        <v>Lcn9</v>
      </c>
      <c r="B11873" t="s">
        <v>14</v>
      </c>
      <c r="C11873" t="s">
        <v>26</v>
      </c>
      <c r="D11873" t="s">
        <v>17</v>
      </c>
      <c r="E11873" t="s">
        <v>12</v>
      </c>
      <c r="F11873">
        <v>25823144</v>
      </c>
      <c r="G11873">
        <v>25823160</v>
      </c>
      <c r="H11873">
        <v>25823144</v>
      </c>
      <c r="I11873">
        <v>25823160</v>
      </c>
    </row>
    <row r="11874" spans="1:9" x14ac:dyDescent="0.2">
      <c r="A11874" t="str">
        <f>"Lcor"</f>
        <v>Lcor</v>
      </c>
      <c r="B11874" t="s">
        <v>14</v>
      </c>
      <c r="C11874" t="s">
        <v>10</v>
      </c>
      <c r="D11874" t="s">
        <v>17</v>
      </c>
      <c r="E11874" t="s">
        <v>12</v>
      </c>
      <c r="F11874">
        <v>41482632</v>
      </c>
      <c r="G11874">
        <v>41482688</v>
      </c>
      <c r="H11874">
        <v>41482957</v>
      </c>
      <c r="I11874">
        <v>41483003</v>
      </c>
    </row>
    <row r="11875" spans="1:9" x14ac:dyDescent="0.2">
      <c r="A11875" t="str">
        <f>"Lcorl"</f>
        <v>Lcorl</v>
      </c>
      <c r="B11875" t="s">
        <v>14</v>
      </c>
      <c r="C11875" t="s">
        <v>46</v>
      </c>
      <c r="D11875" t="s">
        <v>11</v>
      </c>
      <c r="E11875" t="s">
        <v>12</v>
      </c>
      <c r="F11875">
        <v>45857473</v>
      </c>
      <c r="G11875">
        <v>45857511</v>
      </c>
      <c r="H11875">
        <v>45857699</v>
      </c>
      <c r="I11875">
        <v>45857711</v>
      </c>
    </row>
    <row r="11876" spans="1:9" x14ac:dyDescent="0.2">
      <c r="A11876" t="str">
        <f>"Lcp1"</f>
        <v>Lcp1</v>
      </c>
      <c r="B11876" t="s">
        <v>9</v>
      </c>
      <c r="C11876" t="s">
        <v>41</v>
      </c>
      <c r="D11876" t="s">
        <v>17</v>
      </c>
      <c r="E11876" t="s">
        <v>12</v>
      </c>
      <c r="F11876">
        <v>75131107</v>
      </c>
      <c r="G11876">
        <v>75131150</v>
      </c>
      <c r="H11876">
        <v>75131107</v>
      </c>
      <c r="I11876">
        <v>75131150</v>
      </c>
    </row>
    <row r="11877" spans="1:9" x14ac:dyDescent="0.2">
      <c r="A11877" t="str">
        <f>"Lcp1"</f>
        <v>Lcp1</v>
      </c>
      <c r="B11877" t="s">
        <v>13</v>
      </c>
      <c r="C11877" t="s">
        <v>41</v>
      </c>
      <c r="D11877" t="s">
        <v>17</v>
      </c>
      <c r="E11877" t="s">
        <v>12</v>
      </c>
      <c r="F11877">
        <v>75136526</v>
      </c>
      <c r="G11877">
        <v>75136558</v>
      </c>
      <c r="H11877">
        <v>75136526</v>
      </c>
      <c r="I11877">
        <v>75136558</v>
      </c>
    </row>
    <row r="11878" spans="1:9" x14ac:dyDescent="0.2">
      <c r="A11878" t="str">
        <f>"Lcp2"</f>
        <v>Lcp2</v>
      </c>
      <c r="B11878" t="s">
        <v>14</v>
      </c>
      <c r="C11878" t="s">
        <v>27</v>
      </c>
      <c r="D11878" t="s">
        <v>17</v>
      </c>
      <c r="E11878" t="s">
        <v>12</v>
      </c>
      <c r="F11878">
        <v>34047115</v>
      </c>
      <c r="G11878">
        <v>34047242</v>
      </c>
      <c r="H11878">
        <v>34047078</v>
      </c>
      <c r="I11878">
        <v>34047093</v>
      </c>
    </row>
    <row r="11879" spans="1:9" x14ac:dyDescent="0.2">
      <c r="A11879" t="str">
        <f>"Lct"</f>
        <v>Lct</v>
      </c>
      <c r="B11879" t="s">
        <v>14</v>
      </c>
      <c r="C11879" t="s">
        <v>19</v>
      </c>
      <c r="D11879" t="s">
        <v>11</v>
      </c>
      <c r="E11879" t="s">
        <v>12</v>
      </c>
      <c r="F11879">
        <v>128328311</v>
      </c>
      <c r="G11879">
        <v>128328326</v>
      </c>
      <c r="H11879">
        <v>128328311</v>
      </c>
      <c r="I11879">
        <v>128328326</v>
      </c>
    </row>
    <row r="11880" spans="1:9" x14ac:dyDescent="0.2">
      <c r="A11880" t="str">
        <f>"Lctl"</f>
        <v>Lctl</v>
      </c>
      <c r="B11880" t="s">
        <v>14</v>
      </c>
      <c r="C11880" t="s">
        <v>24</v>
      </c>
      <c r="D11880" t="s">
        <v>17</v>
      </c>
      <c r="E11880" t="s">
        <v>12</v>
      </c>
      <c r="F11880">
        <v>64117155</v>
      </c>
      <c r="G11880">
        <v>64117191</v>
      </c>
      <c r="H11880">
        <v>64117225</v>
      </c>
      <c r="I11880">
        <v>64117242</v>
      </c>
    </row>
    <row r="11881" spans="1:9" x14ac:dyDescent="0.2">
      <c r="A11881" t="str">
        <f>"Ldb1"</f>
        <v>Ldb1</v>
      </c>
      <c r="B11881" t="s">
        <v>9</v>
      </c>
      <c r="C11881" t="s">
        <v>10</v>
      </c>
      <c r="D11881" t="s">
        <v>11</v>
      </c>
      <c r="E11881" t="s">
        <v>12</v>
      </c>
      <c r="F11881">
        <v>46044992</v>
      </c>
      <c r="G11881">
        <v>46045127</v>
      </c>
      <c r="H11881">
        <v>46044992</v>
      </c>
      <c r="I11881">
        <v>46045127</v>
      </c>
    </row>
    <row r="11882" spans="1:9" x14ac:dyDescent="0.2">
      <c r="A11882" t="str">
        <f>"Ldb1"</f>
        <v>Ldb1</v>
      </c>
      <c r="B11882" t="s">
        <v>13</v>
      </c>
      <c r="C11882" t="s">
        <v>10</v>
      </c>
      <c r="D11882" t="s">
        <v>11</v>
      </c>
      <c r="E11882" t="s">
        <v>12</v>
      </c>
      <c r="F11882">
        <v>46039537</v>
      </c>
      <c r="G11882">
        <v>46039601</v>
      </c>
      <c r="H11882">
        <v>46039537</v>
      </c>
      <c r="I11882">
        <v>46039601</v>
      </c>
    </row>
    <row r="11883" spans="1:9" x14ac:dyDescent="0.2">
      <c r="A11883" t="str">
        <f>"Ldb2"</f>
        <v>Ldb2</v>
      </c>
      <c r="B11883" t="s">
        <v>14</v>
      </c>
      <c r="C11883" t="s">
        <v>46</v>
      </c>
      <c r="D11883" t="s">
        <v>11</v>
      </c>
      <c r="E11883" t="s">
        <v>12</v>
      </c>
      <c r="F11883">
        <v>44799643</v>
      </c>
      <c r="G11883">
        <v>44799666</v>
      </c>
      <c r="H11883">
        <v>44799643</v>
      </c>
      <c r="I11883">
        <v>44799666</v>
      </c>
    </row>
    <row r="11884" spans="1:9" x14ac:dyDescent="0.2">
      <c r="A11884" t="str">
        <f>"Ldb3"</f>
        <v>Ldb3</v>
      </c>
      <c r="B11884" t="s">
        <v>14</v>
      </c>
      <c r="C11884" t="s">
        <v>41</v>
      </c>
      <c r="D11884" t="s">
        <v>11</v>
      </c>
      <c r="E11884" t="s">
        <v>12</v>
      </c>
      <c r="F11884">
        <v>34588654</v>
      </c>
      <c r="G11884">
        <v>34588669</v>
      </c>
      <c r="H11884">
        <v>34588626</v>
      </c>
      <c r="I11884">
        <v>34588637</v>
      </c>
    </row>
    <row r="11885" spans="1:9" x14ac:dyDescent="0.2">
      <c r="A11885" t="str">
        <f>"Ldha"</f>
        <v>Ldha</v>
      </c>
      <c r="B11885" t="s">
        <v>9</v>
      </c>
      <c r="C11885" t="s">
        <v>33</v>
      </c>
      <c r="D11885" t="s">
        <v>17</v>
      </c>
      <c r="E11885" t="s">
        <v>12</v>
      </c>
      <c r="F11885">
        <v>46845832</v>
      </c>
      <c r="G11885">
        <v>46845848</v>
      </c>
      <c r="H11885">
        <v>46845832</v>
      </c>
      <c r="I11885">
        <v>46845848</v>
      </c>
    </row>
    <row r="11886" spans="1:9" x14ac:dyDescent="0.2">
      <c r="A11886" t="str">
        <f>"Ldha"</f>
        <v>Ldha</v>
      </c>
      <c r="B11886" t="s">
        <v>13</v>
      </c>
      <c r="C11886" t="s">
        <v>33</v>
      </c>
      <c r="D11886" t="s">
        <v>17</v>
      </c>
      <c r="E11886" t="s">
        <v>12</v>
      </c>
      <c r="F11886">
        <v>46847128</v>
      </c>
      <c r="G11886">
        <v>46847150</v>
      </c>
      <c r="H11886">
        <v>46847128</v>
      </c>
      <c r="I11886">
        <v>46847150</v>
      </c>
    </row>
    <row r="11887" spans="1:9" x14ac:dyDescent="0.2">
      <c r="A11887" t="str">
        <f>"Ldhb"</f>
        <v>Ldhb</v>
      </c>
      <c r="B11887" t="s">
        <v>14</v>
      </c>
      <c r="C11887" t="s">
        <v>32</v>
      </c>
      <c r="D11887" t="s">
        <v>11</v>
      </c>
      <c r="E11887" t="s">
        <v>12</v>
      </c>
      <c r="F11887">
        <v>142507910</v>
      </c>
      <c r="G11887">
        <v>142507962</v>
      </c>
      <c r="H11887">
        <v>142508053</v>
      </c>
      <c r="I11887">
        <v>142508079</v>
      </c>
    </row>
    <row r="11888" spans="1:9" x14ac:dyDescent="0.2">
      <c r="A11888" t="str">
        <f>"Ldhc"</f>
        <v>Ldhc</v>
      </c>
      <c r="B11888" t="s">
        <v>14</v>
      </c>
      <c r="C11888" t="s">
        <v>33</v>
      </c>
      <c r="D11888" t="s">
        <v>17</v>
      </c>
      <c r="E11888" t="s">
        <v>12</v>
      </c>
      <c r="F11888">
        <v>46861253</v>
      </c>
      <c r="G11888">
        <v>46861281</v>
      </c>
      <c r="H11888">
        <v>46861228</v>
      </c>
      <c r="I11888">
        <v>46861245</v>
      </c>
    </row>
    <row r="11889" spans="1:9" x14ac:dyDescent="0.2">
      <c r="A11889" t="str">
        <f>"Ldhd"</f>
        <v>Ldhd</v>
      </c>
      <c r="B11889" t="s">
        <v>14</v>
      </c>
      <c r="C11889" t="s">
        <v>30</v>
      </c>
      <c r="D11889" t="s">
        <v>11</v>
      </c>
      <c r="E11889" t="s">
        <v>12</v>
      </c>
      <c r="F11889">
        <v>111630325</v>
      </c>
      <c r="G11889">
        <v>111630344</v>
      </c>
      <c r="H11889">
        <v>111630325</v>
      </c>
      <c r="I11889">
        <v>111630344</v>
      </c>
    </row>
    <row r="11890" spans="1:9" x14ac:dyDescent="0.2">
      <c r="A11890" t="str">
        <f>"Ldlr"</f>
        <v>Ldlr</v>
      </c>
      <c r="B11890" t="s">
        <v>14</v>
      </c>
      <c r="C11890" t="s">
        <v>24</v>
      </c>
      <c r="D11890" t="s">
        <v>17</v>
      </c>
      <c r="E11890" t="s">
        <v>12</v>
      </c>
      <c r="F11890">
        <v>21723624</v>
      </c>
      <c r="G11890">
        <v>21723657</v>
      </c>
      <c r="H11890">
        <v>21723604</v>
      </c>
      <c r="I11890">
        <v>21723615</v>
      </c>
    </row>
    <row r="11891" spans="1:9" x14ac:dyDescent="0.2">
      <c r="A11891" t="str">
        <f>"Ldlrad1"</f>
        <v>Ldlrad1</v>
      </c>
      <c r="B11891" t="s">
        <v>14</v>
      </c>
      <c r="C11891" t="s">
        <v>23</v>
      </c>
      <c r="D11891" t="s">
        <v>17</v>
      </c>
      <c r="E11891" t="s">
        <v>12</v>
      </c>
      <c r="F11891">
        <v>107209138</v>
      </c>
      <c r="G11891">
        <v>107209159</v>
      </c>
      <c r="H11891">
        <v>107209138</v>
      </c>
      <c r="I11891">
        <v>107209159</v>
      </c>
    </row>
    <row r="11892" spans="1:9" x14ac:dyDescent="0.2">
      <c r="A11892" t="str">
        <f>"Ldlrad2"</f>
        <v>Ldlrad2</v>
      </c>
      <c r="B11892" t="s">
        <v>4250</v>
      </c>
      <c r="C11892" t="s">
        <v>23</v>
      </c>
      <c r="D11892" t="s">
        <v>11</v>
      </c>
      <c r="E11892" t="s">
        <v>20</v>
      </c>
      <c r="F11892">
        <v>137574568</v>
      </c>
      <c r="G11892">
        <v>137574568</v>
      </c>
      <c r="H11892">
        <v>137574568</v>
      </c>
      <c r="I11892">
        <v>137574568</v>
      </c>
    </row>
    <row r="11893" spans="1:9" x14ac:dyDescent="0.2">
      <c r="A11893" t="str">
        <f>"Ldlrad3"</f>
        <v>Ldlrad3</v>
      </c>
      <c r="B11893" t="s">
        <v>14</v>
      </c>
      <c r="C11893" t="s">
        <v>26</v>
      </c>
      <c r="D11893" t="s">
        <v>11</v>
      </c>
      <c r="E11893" t="s">
        <v>12</v>
      </c>
      <c r="F11893">
        <v>102186322</v>
      </c>
      <c r="G11893">
        <v>102186394</v>
      </c>
      <c r="H11893">
        <v>102186322</v>
      </c>
      <c r="I11893">
        <v>102186394</v>
      </c>
    </row>
    <row r="11894" spans="1:9" x14ac:dyDescent="0.2">
      <c r="A11894" t="str">
        <f>"Ldlrad4"</f>
        <v>Ldlrad4</v>
      </c>
      <c r="B11894" t="s">
        <v>14</v>
      </c>
      <c r="C11894" t="s">
        <v>43</v>
      </c>
      <c r="D11894" t="s">
        <v>17</v>
      </c>
      <c r="E11894" t="s">
        <v>67</v>
      </c>
      <c r="F11894">
        <v>67933038</v>
      </c>
      <c r="G11894">
        <v>67933101</v>
      </c>
      <c r="H11894">
        <v>67933038</v>
      </c>
      <c r="I11894">
        <v>67933101</v>
      </c>
    </row>
    <row r="11895" spans="1:9" x14ac:dyDescent="0.2">
      <c r="A11895" t="str">
        <f>"Ldlrap1"</f>
        <v>Ldlrap1</v>
      </c>
      <c r="B11895" t="s">
        <v>14</v>
      </c>
      <c r="C11895" t="s">
        <v>23</v>
      </c>
      <c r="D11895" t="s">
        <v>11</v>
      </c>
      <c r="E11895" t="s">
        <v>12</v>
      </c>
      <c r="F11895">
        <v>134767940</v>
      </c>
      <c r="G11895">
        <v>134768010</v>
      </c>
      <c r="H11895">
        <v>134767924</v>
      </c>
      <c r="I11895">
        <v>134767937</v>
      </c>
    </row>
    <row r="11896" spans="1:9" x14ac:dyDescent="0.2">
      <c r="A11896" t="str">
        <f>"Ldoc1"</f>
        <v>Ldoc1</v>
      </c>
      <c r="B11896" t="s">
        <v>14</v>
      </c>
      <c r="C11896" t="s">
        <v>37</v>
      </c>
      <c r="D11896" t="s">
        <v>17</v>
      </c>
      <c r="E11896" t="s">
        <v>12</v>
      </c>
      <c r="F11896">
        <v>61709597</v>
      </c>
      <c r="G11896">
        <v>61709620</v>
      </c>
      <c r="H11896">
        <v>61709491</v>
      </c>
      <c r="I11896">
        <v>61709517</v>
      </c>
    </row>
    <row r="11897" spans="1:9" x14ac:dyDescent="0.2">
      <c r="A11897" t="str">
        <f>"Ldoc1l"</f>
        <v>Ldoc1l</v>
      </c>
      <c r="B11897" t="s">
        <v>14</v>
      </c>
      <c r="C11897" t="s">
        <v>25</v>
      </c>
      <c r="D11897" t="s">
        <v>11</v>
      </c>
      <c r="E11897" t="s">
        <v>12</v>
      </c>
      <c r="F11897">
        <v>84557776</v>
      </c>
      <c r="G11897">
        <v>84557875</v>
      </c>
      <c r="H11897">
        <v>84557587</v>
      </c>
      <c r="I11897">
        <v>84557639</v>
      </c>
    </row>
    <row r="11898" spans="1:9" x14ac:dyDescent="0.2">
      <c r="A11898" t="str">
        <f>"Leap2"</f>
        <v>Leap2</v>
      </c>
      <c r="B11898" t="s">
        <v>14</v>
      </c>
      <c r="C11898" t="s">
        <v>27</v>
      </c>
      <c r="D11898" t="s">
        <v>11</v>
      </c>
      <c r="E11898" t="s">
        <v>12</v>
      </c>
      <c r="F11898">
        <v>53423123</v>
      </c>
      <c r="G11898">
        <v>53423135</v>
      </c>
      <c r="H11898">
        <v>53423123</v>
      </c>
      <c r="I11898">
        <v>53423135</v>
      </c>
    </row>
    <row r="11899" spans="1:9" x14ac:dyDescent="0.2">
      <c r="A11899" t="str">
        <f>"Lect1"</f>
        <v>Lect1</v>
      </c>
      <c r="B11899" t="s">
        <v>14</v>
      </c>
      <c r="C11899" t="s">
        <v>41</v>
      </c>
      <c r="D11899" t="s">
        <v>11</v>
      </c>
      <c r="E11899" t="s">
        <v>12</v>
      </c>
      <c r="F11899">
        <v>79662148</v>
      </c>
      <c r="G11899">
        <v>79662173</v>
      </c>
      <c r="H11899">
        <v>79662119</v>
      </c>
      <c r="I11899">
        <v>79662145</v>
      </c>
    </row>
    <row r="11900" spans="1:9" x14ac:dyDescent="0.2">
      <c r="A11900" t="str">
        <f>"Lect2"</f>
        <v>Lect2</v>
      </c>
      <c r="B11900" t="s">
        <v>14</v>
      </c>
      <c r="C11900" t="s">
        <v>39</v>
      </c>
      <c r="D11900" t="s">
        <v>11</v>
      </c>
      <c r="E11900" t="s">
        <v>12</v>
      </c>
      <c r="F11900">
        <v>56548418</v>
      </c>
      <c r="G11900">
        <v>56548468</v>
      </c>
      <c r="H11900">
        <v>56548502</v>
      </c>
      <c r="I11900">
        <v>56548518</v>
      </c>
    </row>
    <row r="11901" spans="1:9" x14ac:dyDescent="0.2">
      <c r="A11901" t="str">
        <f>"Lef1"</f>
        <v>Lef1</v>
      </c>
      <c r="B11901" t="s">
        <v>9</v>
      </c>
      <c r="C11901" t="s">
        <v>22</v>
      </c>
      <c r="D11901" t="s">
        <v>17</v>
      </c>
      <c r="E11901" t="s">
        <v>12</v>
      </c>
      <c r="F11901">
        <v>131110282</v>
      </c>
      <c r="G11901">
        <v>131110334</v>
      </c>
      <c r="H11901">
        <v>131110282</v>
      </c>
      <c r="I11901">
        <v>131110334</v>
      </c>
    </row>
    <row r="11902" spans="1:9" x14ac:dyDescent="0.2">
      <c r="A11902" t="str">
        <f>"Lef1"</f>
        <v>Lef1</v>
      </c>
      <c r="B11902" t="s">
        <v>13</v>
      </c>
      <c r="C11902" t="s">
        <v>22</v>
      </c>
      <c r="D11902" t="s">
        <v>17</v>
      </c>
      <c r="E11902" t="s">
        <v>12</v>
      </c>
      <c r="F11902">
        <v>131112785</v>
      </c>
      <c r="G11902">
        <v>131112803</v>
      </c>
      <c r="H11902">
        <v>131112785</v>
      </c>
      <c r="I11902">
        <v>131112803</v>
      </c>
    </row>
    <row r="11903" spans="1:9" x14ac:dyDescent="0.2">
      <c r="A11903" t="str">
        <f>"Lefty1"</f>
        <v>Lefty1</v>
      </c>
      <c r="B11903" t="s">
        <v>14</v>
      </c>
      <c r="C11903" t="s">
        <v>19</v>
      </c>
      <c r="D11903" t="s">
        <v>17</v>
      </c>
      <c r="E11903" t="s">
        <v>12</v>
      </c>
      <c r="F11903">
        <v>180936944</v>
      </c>
      <c r="G11903">
        <v>180936974</v>
      </c>
      <c r="H11903">
        <v>180936944</v>
      </c>
      <c r="I11903">
        <v>180936974</v>
      </c>
    </row>
    <row r="11904" spans="1:9" x14ac:dyDescent="0.2">
      <c r="A11904" t="str">
        <f>"Lefty2"</f>
        <v>Lefty2</v>
      </c>
      <c r="B11904" t="s">
        <v>14</v>
      </c>
      <c r="C11904" t="s">
        <v>19</v>
      </c>
      <c r="D11904" t="s">
        <v>17</v>
      </c>
      <c r="E11904" t="s">
        <v>12</v>
      </c>
      <c r="F11904">
        <v>180893107</v>
      </c>
      <c r="G11904">
        <v>180893108</v>
      </c>
      <c r="H11904">
        <v>180893107</v>
      </c>
      <c r="I11904">
        <v>180893108</v>
      </c>
    </row>
    <row r="11905" spans="1:9" x14ac:dyDescent="0.2">
      <c r="A11905" t="str">
        <f>"Lekr1"</f>
        <v>Lekr1</v>
      </c>
      <c r="B11905" t="s">
        <v>14</v>
      </c>
      <c r="C11905" t="s">
        <v>22</v>
      </c>
      <c r="D11905" t="s">
        <v>17</v>
      </c>
      <c r="E11905" t="s">
        <v>12</v>
      </c>
      <c r="F11905">
        <v>65666223</v>
      </c>
      <c r="G11905">
        <v>65666259</v>
      </c>
      <c r="H11905">
        <v>65666260</v>
      </c>
      <c r="I11905">
        <v>65666293</v>
      </c>
    </row>
    <row r="11906" spans="1:9" x14ac:dyDescent="0.2">
      <c r="A11906" t="str">
        <f>"Lelp1"</f>
        <v>Lelp1</v>
      </c>
      <c r="B11906" t="s">
        <v>14</v>
      </c>
      <c r="C11906" t="s">
        <v>22</v>
      </c>
      <c r="D11906" t="s">
        <v>11</v>
      </c>
      <c r="E11906" t="s">
        <v>12</v>
      </c>
      <c r="F11906">
        <v>92142738</v>
      </c>
      <c r="G11906">
        <v>92142766</v>
      </c>
      <c r="H11906">
        <v>92142738</v>
      </c>
      <c r="I11906">
        <v>92142766</v>
      </c>
    </row>
    <row r="11907" spans="1:9" x14ac:dyDescent="0.2">
      <c r="A11907" t="str">
        <f>"Lemd1"</f>
        <v>Lemd1</v>
      </c>
      <c r="B11907" t="s">
        <v>4251</v>
      </c>
      <c r="C11907" t="s">
        <v>19</v>
      </c>
      <c r="D11907" t="s">
        <v>17</v>
      </c>
      <c r="E11907" t="s">
        <v>35</v>
      </c>
      <c r="F11907">
        <v>132191320</v>
      </c>
      <c r="G11907">
        <v>132191329</v>
      </c>
      <c r="H11907">
        <v>132191439</v>
      </c>
      <c r="I11907">
        <v>132191456</v>
      </c>
    </row>
    <row r="11908" spans="1:9" x14ac:dyDescent="0.2">
      <c r="A11908" t="str">
        <f>"Lemd2"</f>
        <v>Lemd2</v>
      </c>
      <c r="B11908" t="s">
        <v>14</v>
      </c>
      <c r="C11908" t="s">
        <v>28</v>
      </c>
      <c r="D11908" t="s">
        <v>11</v>
      </c>
      <c r="E11908" t="s">
        <v>12</v>
      </c>
      <c r="F11908">
        <v>27204357</v>
      </c>
      <c r="G11908">
        <v>27204447</v>
      </c>
      <c r="H11908">
        <v>27204450</v>
      </c>
      <c r="I11908">
        <v>27204477</v>
      </c>
    </row>
    <row r="11909" spans="1:9" x14ac:dyDescent="0.2">
      <c r="A11909" t="str">
        <f>"Lemd3"</f>
        <v>Lemd3</v>
      </c>
      <c r="B11909" t="s">
        <v>14</v>
      </c>
      <c r="C11909" t="s">
        <v>15</v>
      </c>
      <c r="D11909" t="s">
        <v>11</v>
      </c>
      <c r="E11909" t="s">
        <v>12</v>
      </c>
      <c r="F11909">
        <v>120979327</v>
      </c>
      <c r="G11909">
        <v>120979373</v>
      </c>
      <c r="H11909">
        <v>120979592</v>
      </c>
      <c r="I11909">
        <v>120979601</v>
      </c>
    </row>
    <row r="11910" spans="1:9" x14ac:dyDescent="0.2">
      <c r="A11910" t="str">
        <f>"Lenep"</f>
        <v>Lenep</v>
      </c>
      <c r="B11910" t="s">
        <v>14</v>
      </c>
      <c r="C11910" t="s">
        <v>22</v>
      </c>
      <c r="D11910" t="s">
        <v>11</v>
      </c>
      <c r="E11910" t="s">
        <v>12</v>
      </c>
      <c r="F11910">
        <v>89402650</v>
      </c>
      <c r="G11910">
        <v>89402669</v>
      </c>
      <c r="H11910">
        <v>89402650</v>
      </c>
      <c r="I11910">
        <v>89402669</v>
      </c>
    </row>
    <row r="11911" spans="1:9" x14ac:dyDescent="0.2">
      <c r="A11911" t="str">
        <f>"Leng1"</f>
        <v>Leng1</v>
      </c>
      <c r="B11911" t="s">
        <v>14</v>
      </c>
      <c r="C11911" t="s">
        <v>33</v>
      </c>
      <c r="D11911" t="s">
        <v>11</v>
      </c>
      <c r="E11911" t="s">
        <v>12</v>
      </c>
      <c r="F11911">
        <v>3665444</v>
      </c>
      <c r="G11911">
        <v>3665488</v>
      </c>
      <c r="H11911">
        <v>3665444</v>
      </c>
      <c r="I11911">
        <v>3665488</v>
      </c>
    </row>
    <row r="11912" spans="1:9" x14ac:dyDescent="0.2">
      <c r="A11912" t="str">
        <f>"Leng8"</f>
        <v>Leng8</v>
      </c>
      <c r="B11912" t="s">
        <v>14</v>
      </c>
      <c r="C11912" t="s">
        <v>33</v>
      </c>
      <c r="D11912" t="s">
        <v>17</v>
      </c>
      <c r="E11912" t="s">
        <v>12</v>
      </c>
      <c r="F11912">
        <v>4137032</v>
      </c>
      <c r="G11912">
        <v>4137066</v>
      </c>
      <c r="H11912">
        <v>4137340</v>
      </c>
      <c r="I11912">
        <v>4137380</v>
      </c>
    </row>
    <row r="11913" spans="1:9" x14ac:dyDescent="0.2">
      <c r="A11913" t="str">
        <f>"Leng9"</f>
        <v>Leng9</v>
      </c>
      <c r="B11913" t="s">
        <v>14</v>
      </c>
      <c r="C11913" t="s">
        <v>33</v>
      </c>
      <c r="D11913" t="s">
        <v>11</v>
      </c>
      <c r="E11913" t="s">
        <v>12</v>
      </c>
      <c r="F11913">
        <v>4149781</v>
      </c>
      <c r="G11913">
        <v>4149829</v>
      </c>
      <c r="H11913">
        <v>4149842</v>
      </c>
      <c r="I11913">
        <v>4149863</v>
      </c>
    </row>
    <row r="11914" spans="1:9" x14ac:dyDescent="0.2">
      <c r="A11914" t="str">
        <f>"Leo1"</f>
        <v>Leo1</v>
      </c>
      <c r="B11914" t="s">
        <v>14</v>
      </c>
      <c r="C11914" t="s">
        <v>24</v>
      </c>
      <c r="D11914" t="s">
        <v>17</v>
      </c>
      <c r="E11914" t="s">
        <v>12</v>
      </c>
      <c r="F11914">
        <v>75441518</v>
      </c>
      <c r="G11914">
        <v>75441575</v>
      </c>
      <c r="H11914">
        <v>75441478</v>
      </c>
      <c r="I11914">
        <v>75441489</v>
      </c>
    </row>
    <row r="11915" spans="1:9" x14ac:dyDescent="0.2">
      <c r="A11915" t="str">
        <f>"Lep"</f>
        <v>Lep</v>
      </c>
      <c r="B11915" t="s">
        <v>14</v>
      </c>
      <c r="C11915" t="s">
        <v>32</v>
      </c>
      <c r="D11915" t="s">
        <v>17</v>
      </c>
      <c r="E11915" t="s">
        <v>12</v>
      </c>
      <c r="F11915">
        <v>29060217</v>
      </c>
      <c r="G11915">
        <v>29060223</v>
      </c>
      <c r="H11915">
        <v>29060217</v>
      </c>
      <c r="I11915">
        <v>29060223</v>
      </c>
    </row>
    <row r="11916" spans="1:9" x14ac:dyDescent="0.2">
      <c r="A11916" t="str">
        <f>"Lepr"</f>
        <v>Lepr</v>
      </c>
      <c r="B11916" t="s">
        <v>14</v>
      </c>
      <c r="C11916" t="s">
        <v>23</v>
      </c>
      <c r="D11916" t="s">
        <v>17</v>
      </c>
      <c r="E11916" t="s">
        <v>12</v>
      </c>
      <c r="F11916">
        <v>101717896</v>
      </c>
      <c r="G11916">
        <v>101717910</v>
      </c>
      <c r="H11916">
        <v>101717896</v>
      </c>
      <c r="I11916">
        <v>101717910</v>
      </c>
    </row>
    <row r="11917" spans="1:9" x14ac:dyDescent="0.2">
      <c r="A11917" t="str">
        <f>"Lepre1"</f>
        <v>Lepre1</v>
      </c>
      <c r="B11917" t="s">
        <v>14</v>
      </c>
      <c r="C11917" t="s">
        <v>23</v>
      </c>
      <c r="D11917" t="s">
        <v>17</v>
      </c>
      <c r="E11917" t="s">
        <v>12</v>
      </c>
      <c r="F11917">
        <v>119232896</v>
      </c>
      <c r="G11917">
        <v>119232956</v>
      </c>
      <c r="H11917">
        <v>119233817</v>
      </c>
      <c r="I11917">
        <v>119233842</v>
      </c>
    </row>
    <row r="11918" spans="1:9" x14ac:dyDescent="0.2">
      <c r="A11918" t="str">
        <f>"Leprel1"</f>
        <v>Leprel1</v>
      </c>
      <c r="B11918" t="s">
        <v>14</v>
      </c>
      <c r="C11918" t="s">
        <v>31</v>
      </c>
      <c r="D11918" t="s">
        <v>11</v>
      </c>
      <c r="E11918" t="s">
        <v>12</v>
      </c>
      <c r="F11918">
        <v>26105777</v>
      </c>
      <c r="G11918">
        <v>26105855</v>
      </c>
      <c r="H11918">
        <v>26105777</v>
      </c>
      <c r="I11918">
        <v>26105855</v>
      </c>
    </row>
    <row r="11919" spans="1:9" x14ac:dyDescent="0.2">
      <c r="A11919" t="str">
        <f>"Leprel2"</f>
        <v>Leprel2</v>
      </c>
      <c r="B11919" t="s">
        <v>14</v>
      </c>
      <c r="C11919" t="s">
        <v>32</v>
      </c>
      <c r="D11919" t="s">
        <v>11</v>
      </c>
      <c r="E11919" t="s">
        <v>12</v>
      </c>
      <c r="F11919">
        <v>124857707</v>
      </c>
      <c r="G11919">
        <v>124857755</v>
      </c>
      <c r="H11919">
        <v>124857687</v>
      </c>
      <c r="I11919">
        <v>124857705</v>
      </c>
    </row>
    <row r="11920" spans="1:9" x14ac:dyDescent="0.2">
      <c r="A11920" t="str">
        <f>"Leprel4"</f>
        <v>Leprel4</v>
      </c>
      <c r="B11920" t="s">
        <v>14</v>
      </c>
      <c r="C11920" t="s">
        <v>27</v>
      </c>
      <c r="D11920" t="s">
        <v>11</v>
      </c>
      <c r="E11920" t="s">
        <v>12</v>
      </c>
      <c r="F11920">
        <v>100414673</v>
      </c>
      <c r="G11920">
        <v>100414744</v>
      </c>
      <c r="H11920">
        <v>100414777</v>
      </c>
      <c r="I11920">
        <v>100414811</v>
      </c>
    </row>
    <row r="11921" spans="1:9" x14ac:dyDescent="0.2">
      <c r="A11921" t="str">
        <f>"Leprot"</f>
        <v>Leprot</v>
      </c>
      <c r="B11921" t="s">
        <v>14</v>
      </c>
      <c r="C11921" t="s">
        <v>23</v>
      </c>
      <c r="D11921" t="s">
        <v>17</v>
      </c>
      <c r="E11921" t="s">
        <v>12</v>
      </c>
      <c r="F11921">
        <v>101647763</v>
      </c>
      <c r="G11921">
        <v>101647797</v>
      </c>
      <c r="H11921">
        <v>101647712</v>
      </c>
      <c r="I11921">
        <v>101647736</v>
      </c>
    </row>
    <row r="11922" spans="1:9" x14ac:dyDescent="0.2">
      <c r="A11922" t="str">
        <f>"Leprotl1"</f>
        <v>Leprotl1</v>
      </c>
      <c r="B11922" t="s">
        <v>14</v>
      </c>
      <c r="C11922" t="s">
        <v>30</v>
      </c>
      <c r="D11922" t="s">
        <v>11</v>
      </c>
      <c r="E11922" t="s">
        <v>12</v>
      </c>
      <c r="F11922">
        <v>34146774</v>
      </c>
      <c r="G11922">
        <v>34146810</v>
      </c>
      <c r="H11922">
        <v>34146732</v>
      </c>
      <c r="I11922">
        <v>34146752</v>
      </c>
    </row>
    <row r="11923" spans="1:9" x14ac:dyDescent="0.2">
      <c r="A11923" t="str">
        <f>"Letm1"</f>
        <v>Letm1</v>
      </c>
      <c r="B11923" t="s">
        <v>14</v>
      </c>
      <c r="C11923" t="s">
        <v>46</v>
      </c>
      <c r="D11923" t="s">
        <v>11</v>
      </c>
      <c r="E11923" t="s">
        <v>12</v>
      </c>
      <c r="F11923">
        <v>33782709</v>
      </c>
      <c r="G11923">
        <v>33782749</v>
      </c>
      <c r="H11923">
        <v>33782810</v>
      </c>
      <c r="I11923">
        <v>33782826</v>
      </c>
    </row>
    <row r="11924" spans="1:9" x14ac:dyDescent="0.2">
      <c r="A11924" t="str">
        <f>"Letm2"</f>
        <v>Letm2</v>
      </c>
      <c r="B11924" t="s">
        <v>14</v>
      </c>
      <c r="C11924" t="s">
        <v>30</v>
      </c>
      <c r="D11924" t="s">
        <v>11</v>
      </c>
      <c r="E11924" t="s">
        <v>12</v>
      </c>
      <c r="F11924">
        <v>25597459</v>
      </c>
      <c r="G11924">
        <v>25597517</v>
      </c>
      <c r="H11924">
        <v>25597541</v>
      </c>
      <c r="I11924">
        <v>25597598</v>
      </c>
    </row>
    <row r="11925" spans="1:9" x14ac:dyDescent="0.2">
      <c r="A11925" t="str">
        <f>"Letmd1"</f>
        <v>Letmd1</v>
      </c>
      <c r="B11925" t="s">
        <v>14</v>
      </c>
      <c r="C11925" t="s">
        <v>25</v>
      </c>
      <c r="D11925" t="s">
        <v>17</v>
      </c>
      <c r="E11925" t="s">
        <v>12</v>
      </c>
      <c r="F11925">
        <v>100469081</v>
      </c>
      <c r="G11925">
        <v>100469126</v>
      </c>
      <c r="H11925">
        <v>100469056</v>
      </c>
      <c r="I11925">
        <v>100469075</v>
      </c>
    </row>
    <row r="11926" spans="1:9" x14ac:dyDescent="0.2">
      <c r="A11926" t="str">
        <f>"Lfng"</f>
        <v>Lfng</v>
      </c>
      <c r="B11926" t="s">
        <v>14</v>
      </c>
      <c r="C11926" t="s">
        <v>46</v>
      </c>
      <c r="D11926" t="s">
        <v>17</v>
      </c>
      <c r="E11926" t="s">
        <v>12</v>
      </c>
      <c r="F11926">
        <v>140607334</v>
      </c>
      <c r="G11926">
        <v>140607352</v>
      </c>
      <c r="H11926">
        <v>140607334</v>
      </c>
      <c r="I11926">
        <v>140607352</v>
      </c>
    </row>
    <row r="11927" spans="1:9" x14ac:dyDescent="0.2">
      <c r="A11927" t="str">
        <f>"Lgals1"</f>
        <v>Lgals1</v>
      </c>
      <c r="B11927" t="s">
        <v>14</v>
      </c>
      <c r="C11927" t="s">
        <v>25</v>
      </c>
      <c r="D11927" t="s">
        <v>17</v>
      </c>
      <c r="E11927" t="s">
        <v>12</v>
      </c>
      <c r="F11927">
        <v>78926720</v>
      </c>
      <c r="G11927">
        <v>78926735</v>
      </c>
      <c r="H11927">
        <v>78926720</v>
      </c>
      <c r="I11927">
        <v>78926735</v>
      </c>
    </row>
    <row r="11928" spans="1:9" x14ac:dyDescent="0.2">
      <c r="A11928" t="str">
        <f>"Lgals12"</f>
        <v>Lgals12</v>
      </c>
      <c r="B11928" t="s">
        <v>14</v>
      </c>
      <c r="C11928" t="s">
        <v>10</v>
      </c>
      <c r="D11928" t="s">
        <v>11</v>
      </c>
      <c r="E11928" t="s">
        <v>12</v>
      </c>
      <c r="F11928">
        <v>7607140</v>
      </c>
      <c r="G11928">
        <v>7607203</v>
      </c>
      <c r="H11928">
        <v>7607140</v>
      </c>
      <c r="I11928">
        <v>7607203</v>
      </c>
    </row>
    <row r="11929" spans="1:9" x14ac:dyDescent="0.2">
      <c r="A11929" t="str">
        <f>"Lgals2"</f>
        <v>Lgals2</v>
      </c>
      <c r="B11929" t="s">
        <v>14</v>
      </c>
      <c r="C11929" t="s">
        <v>25</v>
      </c>
      <c r="D11929" t="s">
        <v>11</v>
      </c>
      <c r="E11929" t="s">
        <v>12</v>
      </c>
      <c r="F11929">
        <v>78855517</v>
      </c>
      <c r="G11929">
        <v>78855536</v>
      </c>
      <c r="H11929">
        <v>78855517</v>
      </c>
      <c r="I11929">
        <v>78855536</v>
      </c>
    </row>
    <row r="11930" spans="1:9" x14ac:dyDescent="0.2">
      <c r="A11930" t="str">
        <f>"Lgals3"</f>
        <v>Lgals3</v>
      </c>
      <c r="B11930" t="s">
        <v>9</v>
      </c>
      <c r="C11930" t="s">
        <v>41</v>
      </c>
      <c r="D11930" t="s">
        <v>17</v>
      </c>
      <c r="E11930" t="s">
        <v>12</v>
      </c>
      <c r="F11930">
        <v>47373905</v>
      </c>
      <c r="G11930">
        <v>47373923</v>
      </c>
      <c r="H11930">
        <v>47373905</v>
      </c>
      <c r="I11930">
        <v>47373923</v>
      </c>
    </row>
    <row r="11931" spans="1:9" x14ac:dyDescent="0.2">
      <c r="A11931" t="str">
        <f>"Lgals3"</f>
        <v>Lgals3</v>
      </c>
      <c r="B11931" t="s">
        <v>13</v>
      </c>
      <c r="C11931" t="s">
        <v>41</v>
      </c>
      <c r="D11931" t="s">
        <v>17</v>
      </c>
      <c r="E11931" t="s">
        <v>12</v>
      </c>
      <c r="F11931">
        <v>47367776</v>
      </c>
      <c r="G11931">
        <v>47367790</v>
      </c>
      <c r="H11931">
        <v>47367776</v>
      </c>
      <c r="I11931">
        <v>47367790</v>
      </c>
    </row>
    <row r="11932" spans="1:9" x14ac:dyDescent="0.2">
      <c r="A11932" t="str">
        <f>"Lgals3bp"</f>
        <v>Lgals3bp</v>
      </c>
      <c r="B11932" t="s">
        <v>14</v>
      </c>
      <c r="C11932" t="s">
        <v>27</v>
      </c>
      <c r="D11932" t="s">
        <v>11</v>
      </c>
      <c r="E11932" t="s">
        <v>12</v>
      </c>
      <c r="F11932">
        <v>118401826</v>
      </c>
      <c r="G11932">
        <v>118401964</v>
      </c>
      <c r="H11932">
        <v>118401826</v>
      </c>
      <c r="I11932">
        <v>118401964</v>
      </c>
    </row>
    <row r="11933" spans="1:9" x14ac:dyDescent="0.2">
      <c r="A11933" t="str">
        <f>"Lgals4"</f>
        <v>Lgals4</v>
      </c>
      <c r="B11933" t="s">
        <v>14</v>
      </c>
      <c r="C11933" t="s">
        <v>33</v>
      </c>
      <c r="D11933" t="s">
        <v>17</v>
      </c>
      <c r="E11933" t="s">
        <v>12</v>
      </c>
      <c r="F11933">
        <v>28834125</v>
      </c>
      <c r="G11933">
        <v>28834146</v>
      </c>
      <c r="H11933">
        <v>28834125</v>
      </c>
      <c r="I11933">
        <v>28834146</v>
      </c>
    </row>
    <row r="11934" spans="1:9" x14ac:dyDescent="0.2">
      <c r="A11934" t="str">
        <f>"Lgals7"</f>
        <v>Lgals7</v>
      </c>
      <c r="B11934" t="s">
        <v>14</v>
      </c>
      <c r="C11934" t="s">
        <v>33</v>
      </c>
      <c r="D11934" t="s">
        <v>17</v>
      </c>
      <c r="E11934" t="s">
        <v>12</v>
      </c>
      <c r="F11934">
        <v>28864445</v>
      </c>
      <c r="G11934">
        <v>28864460</v>
      </c>
      <c r="H11934">
        <v>28864445</v>
      </c>
      <c r="I11934">
        <v>28864460</v>
      </c>
    </row>
    <row r="11935" spans="1:9" x14ac:dyDescent="0.2">
      <c r="A11935" t="str">
        <f>"Lgals8"</f>
        <v>Lgals8</v>
      </c>
      <c r="B11935" t="s">
        <v>14</v>
      </c>
      <c r="C11935" t="s">
        <v>39</v>
      </c>
      <c r="D11935" t="s">
        <v>11</v>
      </c>
      <c r="E11935" t="s">
        <v>12</v>
      </c>
      <c r="F11935">
        <v>12461432</v>
      </c>
      <c r="G11935">
        <v>12461520</v>
      </c>
      <c r="H11935">
        <v>12461409</v>
      </c>
      <c r="I11935">
        <v>12461421</v>
      </c>
    </row>
    <row r="11936" spans="1:9" x14ac:dyDescent="0.2">
      <c r="A11936" t="str">
        <f>"Lgals9"</f>
        <v>Lgals9</v>
      </c>
      <c r="B11936" t="s">
        <v>14</v>
      </c>
      <c r="C11936" t="s">
        <v>27</v>
      </c>
      <c r="D11936" t="s">
        <v>11</v>
      </c>
      <c r="E11936" t="s">
        <v>12</v>
      </c>
      <c r="F11936">
        <v>78984834</v>
      </c>
      <c r="G11936">
        <v>78984923</v>
      </c>
      <c r="H11936">
        <v>78984936</v>
      </c>
      <c r="I11936">
        <v>78984943</v>
      </c>
    </row>
    <row r="11937" spans="1:9" x14ac:dyDescent="0.2">
      <c r="A11937" t="str">
        <f>"Lgalsl"</f>
        <v>Lgalsl</v>
      </c>
      <c r="B11937" t="s">
        <v>14</v>
      </c>
      <c r="C11937" t="s">
        <v>27</v>
      </c>
      <c r="D11937" t="s">
        <v>11</v>
      </c>
      <c r="E11937" t="s">
        <v>67</v>
      </c>
      <c r="F11937">
        <v>20831009</v>
      </c>
      <c r="G11937">
        <v>20831053</v>
      </c>
      <c r="H11937">
        <v>20831173</v>
      </c>
      <c r="I11937">
        <v>20831189</v>
      </c>
    </row>
    <row r="11938" spans="1:9" x14ac:dyDescent="0.2">
      <c r="A11938" t="str">
        <f>"Lgi1"</f>
        <v>Lgi1</v>
      </c>
      <c r="B11938" t="s">
        <v>14</v>
      </c>
      <c r="C11938" t="s">
        <v>10</v>
      </c>
      <c r="D11938" t="s">
        <v>17</v>
      </c>
      <c r="E11938" t="s">
        <v>12</v>
      </c>
      <c r="F11938">
        <v>38264761</v>
      </c>
      <c r="G11938">
        <v>38264831</v>
      </c>
      <c r="H11938">
        <v>38264761</v>
      </c>
      <c r="I11938">
        <v>38264831</v>
      </c>
    </row>
    <row r="11939" spans="1:9" x14ac:dyDescent="0.2">
      <c r="A11939" t="str">
        <f>"Lgi2"</f>
        <v>Lgi2</v>
      </c>
      <c r="B11939" t="s">
        <v>14</v>
      </c>
      <c r="C11939" t="s">
        <v>46</v>
      </c>
      <c r="D11939" t="s">
        <v>11</v>
      </c>
      <c r="E11939" t="s">
        <v>12</v>
      </c>
      <c r="F11939">
        <v>52566220</v>
      </c>
      <c r="G11939">
        <v>52566262</v>
      </c>
      <c r="H11939">
        <v>52566264</v>
      </c>
      <c r="I11939">
        <v>52566312</v>
      </c>
    </row>
    <row r="11940" spans="1:9" x14ac:dyDescent="0.2">
      <c r="A11940" t="str">
        <f>"Lgi3"</f>
        <v>Lgi3</v>
      </c>
      <c r="B11940" t="s">
        <v>14</v>
      </c>
      <c r="C11940" t="s">
        <v>41</v>
      </c>
      <c r="D11940" t="s">
        <v>17</v>
      </c>
      <c r="E11940" t="s">
        <v>12</v>
      </c>
      <c r="F11940">
        <v>70530849</v>
      </c>
      <c r="G11940">
        <v>70530879</v>
      </c>
      <c r="H11940">
        <v>70530819</v>
      </c>
      <c r="I11940">
        <v>70530847</v>
      </c>
    </row>
    <row r="11941" spans="1:9" x14ac:dyDescent="0.2">
      <c r="A11941" t="str">
        <f>"Lgi4"</f>
        <v>Lgi4</v>
      </c>
      <c r="B11941" t="s">
        <v>14</v>
      </c>
      <c r="C11941" t="s">
        <v>33</v>
      </c>
      <c r="D11941" t="s">
        <v>17</v>
      </c>
      <c r="E11941" t="s">
        <v>12</v>
      </c>
      <c r="F11941">
        <v>31059547</v>
      </c>
      <c r="G11941">
        <v>31059635</v>
      </c>
      <c r="H11941">
        <v>31059388</v>
      </c>
      <c r="I11941">
        <v>31059410</v>
      </c>
    </row>
    <row r="11942" spans="1:9" x14ac:dyDescent="0.2">
      <c r="A11942" t="str">
        <f>"Lgmn"</f>
        <v>Lgmn</v>
      </c>
      <c r="B11942" t="s">
        <v>14</v>
      </c>
      <c r="C11942" t="s">
        <v>16</v>
      </c>
      <c r="D11942" t="s">
        <v>11</v>
      </c>
      <c r="E11942" t="s">
        <v>12</v>
      </c>
      <c r="F11942">
        <v>102439658</v>
      </c>
      <c r="G11942">
        <v>102439737</v>
      </c>
      <c r="H11942">
        <v>102439658</v>
      </c>
      <c r="I11942">
        <v>102439737</v>
      </c>
    </row>
    <row r="11943" spans="1:9" x14ac:dyDescent="0.2">
      <c r="A11943" t="str">
        <f>"Lgr4"</f>
        <v>Lgr4</v>
      </c>
      <c r="B11943" t="s">
        <v>14</v>
      </c>
      <c r="C11943" t="s">
        <v>26</v>
      </c>
      <c r="D11943" t="s">
        <v>17</v>
      </c>
      <c r="E11943" t="s">
        <v>12</v>
      </c>
      <c r="F11943">
        <v>109917596</v>
      </c>
      <c r="G11943">
        <v>109917638</v>
      </c>
      <c r="H11943">
        <v>109917639</v>
      </c>
      <c r="I11943">
        <v>109917656</v>
      </c>
    </row>
    <row r="11944" spans="1:9" x14ac:dyDescent="0.2">
      <c r="A11944" t="str">
        <f>"Lgr5"</f>
        <v>Lgr5</v>
      </c>
      <c r="B11944" t="s">
        <v>14</v>
      </c>
      <c r="C11944" t="s">
        <v>15</v>
      </c>
      <c r="D11944" t="s">
        <v>11</v>
      </c>
      <c r="E11944" t="s">
        <v>12</v>
      </c>
      <c r="F11944">
        <v>115587739</v>
      </c>
      <c r="G11944">
        <v>115587768</v>
      </c>
      <c r="H11944">
        <v>115587492</v>
      </c>
      <c r="I11944">
        <v>115587511</v>
      </c>
    </row>
    <row r="11945" spans="1:9" x14ac:dyDescent="0.2">
      <c r="A11945" t="str">
        <f>"Lgr6"</f>
        <v>Lgr6</v>
      </c>
      <c r="B11945" t="s">
        <v>14</v>
      </c>
      <c r="C11945" t="s">
        <v>19</v>
      </c>
      <c r="D11945" t="s">
        <v>11</v>
      </c>
      <c r="E11945" t="s">
        <v>12</v>
      </c>
      <c r="F11945">
        <v>135105333</v>
      </c>
      <c r="G11945">
        <v>135105349</v>
      </c>
      <c r="H11945">
        <v>135105179</v>
      </c>
      <c r="I11945">
        <v>135105207</v>
      </c>
    </row>
    <row r="11946" spans="1:9" x14ac:dyDescent="0.2">
      <c r="A11946" t="str">
        <f>"Lgsn"</f>
        <v>Lgsn</v>
      </c>
      <c r="B11946" t="s">
        <v>14</v>
      </c>
      <c r="C11946" t="s">
        <v>19</v>
      </c>
      <c r="D11946" t="s">
        <v>17</v>
      </c>
      <c r="E11946" t="s">
        <v>12</v>
      </c>
      <c r="F11946">
        <v>31176404</v>
      </c>
      <c r="G11946">
        <v>31176413</v>
      </c>
      <c r="H11946">
        <v>31176404</v>
      </c>
      <c r="I11946">
        <v>31176413</v>
      </c>
    </row>
    <row r="11947" spans="1:9" x14ac:dyDescent="0.2">
      <c r="A11947" t="str">
        <f>"Lhb"</f>
        <v>Lhb</v>
      </c>
      <c r="B11947" t="s">
        <v>9</v>
      </c>
      <c r="C11947" t="s">
        <v>33</v>
      </c>
      <c r="D11947" t="s">
        <v>17</v>
      </c>
      <c r="E11947" t="s">
        <v>12</v>
      </c>
      <c r="F11947">
        <v>45418328</v>
      </c>
      <c r="G11947">
        <v>45418360</v>
      </c>
      <c r="H11947">
        <v>45418328</v>
      </c>
      <c r="I11947">
        <v>45418360</v>
      </c>
    </row>
    <row r="11948" spans="1:9" x14ac:dyDescent="0.2">
      <c r="A11948" t="str">
        <f>"Lhb"</f>
        <v>Lhb</v>
      </c>
      <c r="B11948" t="s">
        <v>13</v>
      </c>
      <c r="C11948" t="s">
        <v>33</v>
      </c>
      <c r="D11948" t="s">
        <v>17</v>
      </c>
      <c r="E11948" t="s">
        <v>12</v>
      </c>
      <c r="F11948">
        <v>45420939</v>
      </c>
      <c r="G11948">
        <v>45420946</v>
      </c>
      <c r="H11948">
        <v>45420939</v>
      </c>
      <c r="I11948">
        <v>45420946</v>
      </c>
    </row>
    <row r="11949" spans="1:9" x14ac:dyDescent="0.2">
      <c r="A11949" t="str">
        <f>"Lhcgr"</f>
        <v>Lhcgr</v>
      </c>
      <c r="B11949" t="s">
        <v>14</v>
      </c>
      <c r="C11949" t="s">
        <v>28</v>
      </c>
      <c r="D11949" t="s">
        <v>11</v>
      </c>
      <c r="E11949" t="s">
        <v>12</v>
      </c>
      <c r="F11949">
        <v>88791978</v>
      </c>
      <c r="G11949">
        <v>88791996</v>
      </c>
      <c r="H11949">
        <v>88792007</v>
      </c>
      <c r="I11949">
        <v>88792022</v>
      </c>
    </row>
    <row r="11950" spans="1:9" x14ac:dyDescent="0.2">
      <c r="A11950" t="str">
        <f>"Lhfp"</f>
        <v>Lhfp</v>
      </c>
      <c r="B11950" t="s">
        <v>14</v>
      </c>
      <c r="C11950" t="s">
        <v>22</v>
      </c>
      <c r="D11950" t="s">
        <v>17</v>
      </c>
      <c r="E11950" t="s">
        <v>12</v>
      </c>
      <c r="F11950">
        <v>53041517</v>
      </c>
      <c r="G11950">
        <v>53041579</v>
      </c>
      <c r="H11950">
        <v>53041424</v>
      </c>
      <c r="I11950">
        <v>53041444</v>
      </c>
    </row>
    <row r="11951" spans="1:9" x14ac:dyDescent="0.2">
      <c r="A11951" t="str">
        <f>"Lhfpl1"</f>
        <v>Lhfpl1</v>
      </c>
      <c r="B11951" t="s">
        <v>14</v>
      </c>
      <c r="C11951" t="s">
        <v>37</v>
      </c>
      <c r="D11951" t="s">
        <v>11</v>
      </c>
      <c r="E11951" t="s">
        <v>12</v>
      </c>
      <c r="F11951">
        <v>145348894</v>
      </c>
      <c r="G11951">
        <v>145348928</v>
      </c>
      <c r="H11951">
        <v>145348932</v>
      </c>
      <c r="I11951">
        <v>145348944</v>
      </c>
    </row>
    <row r="11952" spans="1:9" x14ac:dyDescent="0.2">
      <c r="A11952" t="str">
        <f>"Lhfpl2"</f>
        <v>Lhfpl2</v>
      </c>
      <c r="B11952" t="s">
        <v>9</v>
      </c>
      <c r="C11952" t="s">
        <v>39</v>
      </c>
      <c r="D11952" t="s">
        <v>17</v>
      </c>
      <c r="E11952" t="s">
        <v>12</v>
      </c>
      <c r="F11952">
        <v>94057757</v>
      </c>
      <c r="G11952">
        <v>94057838</v>
      </c>
      <c r="H11952">
        <v>94057757</v>
      </c>
      <c r="I11952">
        <v>94057838</v>
      </c>
    </row>
    <row r="11953" spans="1:9" x14ac:dyDescent="0.2">
      <c r="A11953" t="str">
        <f>"Lhfpl2"</f>
        <v>Lhfpl2</v>
      </c>
      <c r="B11953" t="s">
        <v>13</v>
      </c>
      <c r="C11953" t="s">
        <v>39</v>
      </c>
      <c r="D11953" t="s">
        <v>17</v>
      </c>
      <c r="E11953" t="s">
        <v>12</v>
      </c>
      <c r="F11953">
        <v>94174042</v>
      </c>
      <c r="G11953">
        <v>94174061</v>
      </c>
      <c r="H11953">
        <v>94174042</v>
      </c>
      <c r="I11953">
        <v>94174061</v>
      </c>
    </row>
    <row r="11954" spans="1:9" x14ac:dyDescent="0.2">
      <c r="A11954" t="str">
        <f>"Lhfpl4"</f>
        <v>Lhfpl4</v>
      </c>
      <c r="B11954" t="s">
        <v>14</v>
      </c>
      <c r="C11954" t="s">
        <v>32</v>
      </c>
      <c r="D11954" t="s">
        <v>11</v>
      </c>
      <c r="E11954" t="s">
        <v>12</v>
      </c>
      <c r="F11954">
        <v>113195326</v>
      </c>
      <c r="G11954">
        <v>113195362</v>
      </c>
      <c r="H11954">
        <v>113195380</v>
      </c>
      <c r="I11954">
        <v>113195387</v>
      </c>
    </row>
    <row r="11955" spans="1:9" x14ac:dyDescent="0.2">
      <c r="A11955" t="str">
        <f>"Lhfpl5"</f>
        <v>Lhfpl5</v>
      </c>
      <c r="B11955" t="s">
        <v>14</v>
      </c>
      <c r="C11955" t="s">
        <v>28</v>
      </c>
      <c r="D11955" t="s">
        <v>17</v>
      </c>
      <c r="E11955" t="s">
        <v>12</v>
      </c>
      <c r="F11955">
        <v>28575752</v>
      </c>
      <c r="G11955">
        <v>28575772</v>
      </c>
      <c r="H11955">
        <v>28575725</v>
      </c>
      <c r="I11955">
        <v>28575743</v>
      </c>
    </row>
    <row r="11956" spans="1:9" x14ac:dyDescent="0.2">
      <c r="A11956" t="str">
        <f>"Lhpp"</f>
        <v>Lhpp</v>
      </c>
      <c r="B11956" t="s">
        <v>14</v>
      </c>
      <c r="C11956" t="s">
        <v>33</v>
      </c>
      <c r="D11956" t="s">
        <v>17</v>
      </c>
      <c r="E11956" t="s">
        <v>12</v>
      </c>
      <c r="F11956">
        <v>132610620</v>
      </c>
      <c r="G11956">
        <v>132610662</v>
      </c>
      <c r="H11956">
        <v>132610685</v>
      </c>
      <c r="I11956">
        <v>132610700</v>
      </c>
    </row>
    <row r="11957" spans="1:9" x14ac:dyDescent="0.2">
      <c r="A11957" t="str">
        <f>"Lhx1"</f>
        <v>Lhx1</v>
      </c>
      <c r="B11957" t="s">
        <v>14</v>
      </c>
      <c r="C11957" t="s">
        <v>27</v>
      </c>
      <c r="D11957" t="s">
        <v>11</v>
      </c>
      <c r="E11957" t="s">
        <v>12</v>
      </c>
      <c r="F11957">
        <v>84525514</v>
      </c>
      <c r="G11957">
        <v>84525542</v>
      </c>
      <c r="H11957">
        <v>84525894</v>
      </c>
      <c r="I11957">
        <v>84525930</v>
      </c>
    </row>
    <row r="11958" spans="1:9" x14ac:dyDescent="0.2">
      <c r="A11958" t="str">
        <f>"Lhx2"</f>
        <v>Lhx2</v>
      </c>
      <c r="B11958" t="s">
        <v>14</v>
      </c>
      <c r="C11958" t="s">
        <v>26</v>
      </c>
      <c r="D11958" t="s">
        <v>17</v>
      </c>
      <c r="E11958" t="s">
        <v>12</v>
      </c>
      <c r="F11958">
        <v>38351224</v>
      </c>
      <c r="G11958">
        <v>38351246</v>
      </c>
      <c r="H11958">
        <v>38351060</v>
      </c>
      <c r="I11958">
        <v>38351080</v>
      </c>
    </row>
    <row r="11959" spans="1:9" x14ac:dyDescent="0.2">
      <c r="A11959" t="str">
        <f>"Lhx3"</f>
        <v>Lhx3</v>
      </c>
      <c r="B11959" t="s">
        <v>9</v>
      </c>
      <c r="C11959" t="s">
        <v>26</v>
      </c>
      <c r="D11959" t="s">
        <v>11</v>
      </c>
      <c r="E11959" t="s">
        <v>12</v>
      </c>
      <c r="F11959">
        <v>26206535</v>
      </c>
      <c r="G11959">
        <v>26206580</v>
      </c>
      <c r="H11959">
        <v>26206535</v>
      </c>
      <c r="I11959">
        <v>26206580</v>
      </c>
    </row>
    <row r="11960" spans="1:9" x14ac:dyDescent="0.2">
      <c r="A11960" t="str">
        <f>"Lhx3"</f>
        <v>Lhx3</v>
      </c>
      <c r="B11960" t="s">
        <v>13</v>
      </c>
      <c r="C11960" t="s">
        <v>26</v>
      </c>
      <c r="D11960" t="s">
        <v>11</v>
      </c>
      <c r="E11960" t="s">
        <v>12</v>
      </c>
      <c r="F11960">
        <v>26208281</v>
      </c>
      <c r="G11960">
        <v>26208293</v>
      </c>
      <c r="H11960">
        <v>26208281</v>
      </c>
      <c r="I11960">
        <v>26208293</v>
      </c>
    </row>
    <row r="11961" spans="1:9" x14ac:dyDescent="0.2">
      <c r="A11961" t="str">
        <f>"Lhx4"</f>
        <v>Lhx4</v>
      </c>
      <c r="B11961" t="s">
        <v>14</v>
      </c>
      <c r="C11961" t="s">
        <v>19</v>
      </c>
      <c r="D11961" t="s">
        <v>11</v>
      </c>
      <c r="E11961" t="s">
        <v>12</v>
      </c>
      <c r="F11961">
        <v>155742001</v>
      </c>
      <c r="G11961">
        <v>155742046</v>
      </c>
      <c r="H11961">
        <v>155742125</v>
      </c>
      <c r="I11961">
        <v>155742136</v>
      </c>
    </row>
    <row r="11962" spans="1:9" x14ac:dyDescent="0.2">
      <c r="A11962" t="str">
        <f>"Lhx5"</f>
        <v>Lhx5</v>
      </c>
      <c r="B11962" t="s">
        <v>14</v>
      </c>
      <c r="C11962" t="s">
        <v>46</v>
      </c>
      <c r="D11962" t="s">
        <v>17</v>
      </c>
      <c r="E11962" t="s">
        <v>12</v>
      </c>
      <c r="F11962">
        <v>120431891</v>
      </c>
      <c r="G11962">
        <v>120431905</v>
      </c>
      <c r="H11962">
        <v>120431930</v>
      </c>
      <c r="I11962">
        <v>120431937</v>
      </c>
    </row>
    <row r="11963" spans="1:9" x14ac:dyDescent="0.2">
      <c r="A11963" t="str">
        <f>"Lhx6"</f>
        <v>Lhx6</v>
      </c>
      <c r="B11963" t="s">
        <v>9</v>
      </c>
      <c r="C11963" t="s">
        <v>26</v>
      </c>
      <c r="D11963" t="s">
        <v>11</v>
      </c>
      <c r="E11963" t="s">
        <v>12</v>
      </c>
      <c r="F11963">
        <v>36105399</v>
      </c>
      <c r="G11963">
        <v>36105434</v>
      </c>
      <c r="H11963">
        <v>36105399</v>
      </c>
      <c r="I11963">
        <v>36105434</v>
      </c>
    </row>
    <row r="11964" spans="1:9" x14ac:dyDescent="0.2">
      <c r="A11964" t="str">
        <f>"Lhx6"</f>
        <v>Lhx6</v>
      </c>
      <c r="B11964" t="s">
        <v>13</v>
      </c>
      <c r="C11964" t="s">
        <v>26</v>
      </c>
      <c r="D11964" t="s">
        <v>11</v>
      </c>
      <c r="E11964" t="s">
        <v>12</v>
      </c>
      <c r="F11964">
        <v>36104021</v>
      </c>
      <c r="G11964">
        <v>36104028</v>
      </c>
      <c r="H11964">
        <v>36104021</v>
      </c>
      <c r="I11964">
        <v>36104028</v>
      </c>
    </row>
    <row r="11965" spans="1:9" x14ac:dyDescent="0.2">
      <c r="A11965" t="str">
        <f>"Lhx8"</f>
        <v>Lhx8</v>
      </c>
      <c r="B11965" t="s">
        <v>9</v>
      </c>
      <c r="C11965" t="s">
        <v>22</v>
      </c>
      <c r="D11965" t="s">
        <v>11</v>
      </c>
      <c r="E11965" t="s">
        <v>12</v>
      </c>
      <c r="F11965">
        <v>154330543</v>
      </c>
      <c r="G11965">
        <v>154330576</v>
      </c>
      <c r="H11965">
        <v>154330543</v>
      </c>
      <c r="I11965">
        <v>154330576</v>
      </c>
    </row>
    <row r="11966" spans="1:9" x14ac:dyDescent="0.2">
      <c r="A11966" t="str">
        <f>"Lhx8"</f>
        <v>Lhx8</v>
      </c>
      <c r="B11966" t="s">
        <v>13</v>
      </c>
      <c r="C11966" t="s">
        <v>22</v>
      </c>
      <c r="D11966" t="s">
        <v>11</v>
      </c>
      <c r="E11966" t="s">
        <v>12</v>
      </c>
      <c r="F11966">
        <v>154328643</v>
      </c>
      <c r="G11966">
        <v>154328663</v>
      </c>
      <c r="H11966">
        <v>154328643</v>
      </c>
      <c r="I11966">
        <v>154328663</v>
      </c>
    </row>
    <row r="11967" spans="1:9" x14ac:dyDescent="0.2">
      <c r="A11967" t="str">
        <f>"Lhx9"</f>
        <v>Lhx9</v>
      </c>
      <c r="B11967" t="s">
        <v>14</v>
      </c>
      <c r="C11967" t="s">
        <v>19</v>
      </c>
      <c r="D11967" t="s">
        <v>11</v>
      </c>
      <c r="E11967" t="s">
        <v>12</v>
      </c>
      <c r="F11967">
        <v>138842437</v>
      </c>
      <c r="G11967">
        <v>138842455</v>
      </c>
      <c r="H11967">
        <v>138842465</v>
      </c>
      <c r="I11967">
        <v>138842477</v>
      </c>
    </row>
    <row r="11968" spans="1:9" x14ac:dyDescent="0.2">
      <c r="A11968" t="str">
        <f>"Lias"</f>
        <v>Lias</v>
      </c>
      <c r="B11968" t="s">
        <v>14</v>
      </c>
      <c r="C11968" t="s">
        <v>46</v>
      </c>
      <c r="D11968" t="s">
        <v>17</v>
      </c>
      <c r="E11968" t="s">
        <v>12</v>
      </c>
      <c r="F11968">
        <v>65391523</v>
      </c>
      <c r="G11968">
        <v>65391565</v>
      </c>
      <c r="H11968">
        <v>65391577</v>
      </c>
      <c r="I11968">
        <v>65391588</v>
      </c>
    </row>
    <row r="11969" spans="1:9" x14ac:dyDescent="0.2">
      <c r="A11969" t="str">
        <f>"Lif"</f>
        <v>Lif</v>
      </c>
      <c r="B11969" t="s">
        <v>14</v>
      </c>
      <c r="C11969" t="s">
        <v>27</v>
      </c>
      <c r="D11969" t="s">
        <v>17</v>
      </c>
      <c r="E11969" t="s">
        <v>12</v>
      </c>
      <c r="F11969">
        <v>4266525</v>
      </c>
      <c r="G11969">
        <v>4266544</v>
      </c>
      <c r="H11969">
        <v>4266525</v>
      </c>
      <c r="I11969">
        <v>4266544</v>
      </c>
    </row>
    <row r="11970" spans="1:9" x14ac:dyDescent="0.2">
      <c r="A11970" t="str">
        <f>"Lifr"</f>
        <v>Lifr</v>
      </c>
      <c r="B11970" t="s">
        <v>14</v>
      </c>
      <c r="C11970" t="s">
        <v>25</v>
      </c>
      <c r="D11970" t="s">
        <v>17</v>
      </c>
      <c r="E11970" t="s">
        <v>12</v>
      </c>
      <c r="F11970">
        <v>7129557</v>
      </c>
      <c r="G11970">
        <v>7129573</v>
      </c>
      <c r="H11970">
        <v>7129597</v>
      </c>
      <c r="I11970">
        <v>7129608</v>
      </c>
    </row>
    <row r="11971" spans="1:9" x14ac:dyDescent="0.2">
      <c r="A11971" t="str">
        <f>"Lig1"</f>
        <v>Lig1</v>
      </c>
      <c r="B11971" t="s">
        <v>14</v>
      </c>
      <c r="C11971" t="s">
        <v>33</v>
      </c>
      <c r="D11971" t="s">
        <v>17</v>
      </c>
      <c r="E11971" t="s">
        <v>12</v>
      </c>
      <c r="F11971">
        <v>13278778</v>
      </c>
      <c r="G11971">
        <v>13278874</v>
      </c>
      <c r="H11971">
        <v>13278876</v>
      </c>
      <c r="I11971">
        <v>13278900</v>
      </c>
    </row>
    <row r="11972" spans="1:9" x14ac:dyDescent="0.2">
      <c r="A11972" t="str">
        <f>"Lig3"</f>
        <v>Lig3</v>
      </c>
      <c r="B11972" t="s">
        <v>14</v>
      </c>
      <c r="C11972" t="s">
        <v>27</v>
      </c>
      <c r="D11972" t="s">
        <v>17</v>
      </c>
      <c r="E11972" t="s">
        <v>12</v>
      </c>
      <c r="F11972">
        <v>82781144</v>
      </c>
      <c r="G11972">
        <v>82781224</v>
      </c>
      <c r="H11972">
        <v>82781128</v>
      </c>
      <c r="I11972">
        <v>82781141</v>
      </c>
    </row>
    <row r="11973" spans="1:9" x14ac:dyDescent="0.2">
      <c r="A11973" t="str">
        <f>"Lig4"</f>
        <v>Lig4</v>
      </c>
      <c r="B11973" t="s">
        <v>14</v>
      </c>
      <c r="C11973" t="s">
        <v>30</v>
      </c>
      <c r="D11973" t="s">
        <v>11</v>
      </c>
      <c r="E11973" t="s">
        <v>12</v>
      </c>
      <c r="F11973">
        <v>9976294</v>
      </c>
      <c r="G11973">
        <v>9976335</v>
      </c>
      <c r="H11973">
        <v>9976215</v>
      </c>
      <c r="I11973">
        <v>9976254</v>
      </c>
    </row>
    <row r="11974" spans="1:9" x14ac:dyDescent="0.2">
      <c r="A11974" t="str">
        <f>"Lilra5"</f>
        <v>Lilra5</v>
      </c>
      <c r="B11974" t="s">
        <v>14</v>
      </c>
      <c r="C11974" t="s">
        <v>33</v>
      </c>
      <c r="D11974" t="s">
        <v>17</v>
      </c>
      <c r="E11974" t="s">
        <v>12</v>
      </c>
      <c r="F11974">
        <v>4237665</v>
      </c>
      <c r="G11974">
        <v>4237696</v>
      </c>
      <c r="H11974">
        <v>4237699</v>
      </c>
      <c r="I11974">
        <v>4237712</v>
      </c>
    </row>
    <row r="11975" spans="1:9" x14ac:dyDescent="0.2">
      <c r="A11975" t="str">
        <f>"Lilra6"</f>
        <v>Lilra6</v>
      </c>
      <c r="B11975" t="s">
        <v>4252</v>
      </c>
      <c r="C11975" t="s">
        <v>33</v>
      </c>
      <c r="D11975" t="s">
        <v>11</v>
      </c>
      <c r="E11975" t="s">
        <v>20</v>
      </c>
      <c r="F11975">
        <v>3915500</v>
      </c>
      <c r="G11975">
        <v>3915500</v>
      </c>
      <c r="H11975">
        <v>3915500</v>
      </c>
      <c r="I11975">
        <v>3915500</v>
      </c>
    </row>
    <row r="11976" spans="1:9" x14ac:dyDescent="0.2">
      <c r="A11976" t="str">
        <f>"Lilrb4"</f>
        <v>Lilrb4</v>
      </c>
      <c r="B11976" t="s">
        <v>4253</v>
      </c>
      <c r="C11976" t="s">
        <v>15</v>
      </c>
      <c r="D11976" t="s">
        <v>17</v>
      </c>
      <c r="E11976" t="s">
        <v>20</v>
      </c>
      <c r="F11976">
        <v>51491017</v>
      </c>
      <c r="G11976">
        <v>51491017</v>
      </c>
      <c r="H11976">
        <v>51491017</v>
      </c>
      <c r="I11976">
        <v>51491017</v>
      </c>
    </row>
    <row r="11977" spans="1:9" x14ac:dyDescent="0.2">
      <c r="A11977" t="str">
        <f>"Lilrb4"</f>
        <v>Lilrb4</v>
      </c>
      <c r="B11977" t="s">
        <v>4254</v>
      </c>
      <c r="C11977" t="s">
        <v>15</v>
      </c>
      <c r="D11977" t="s">
        <v>17</v>
      </c>
      <c r="E11977" t="s">
        <v>20</v>
      </c>
      <c r="F11977">
        <v>51480639</v>
      </c>
      <c r="G11977">
        <v>51480639</v>
      </c>
      <c r="H11977">
        <v>51480639</v>
      </c>
      <c r="I11977">
        <v>51480639</v>
      </c>
    </row>
    <row r="11978" spans="1:9" x14ac:dyDescent="0.2">
      <c r="A11978" t="str">
        <f>"Lim2"</f>
        <v>Lim2</v>
      </c>
      <c r="B11978" t="s">
        <v>14</v>
      </c>
      <c r="C11978" t="s">
        <v>33</v>
      </c>
      <c r="D11978" t="s">
        <v>17</v>
      </c>
      <c r="E11978" t="s">
        <v>12</v>
      </c>
      <c r="F11978">
        <v>43430092</v>
      </c>
      <c r="G11978">
        <v>43430114</v>
      </c>
      <c r="H11978">
        <v>43430067</v>
      </c>
      <c r="I11978">
        <v>43430082</v>
      </c>
    </row>
    <row r="11979" spans="1:9" x14ac:dyDescent="0.2">
      <c r="A11979" t="str">
        <f>"Lima1"</f>
        <v>Lima1</v>
      </c>
      <c r="B11979" t="s">
        <v>4255</v>
      </c>
      <c r="C11979" t="s">
        <v>25</v>
      </c>
      <c r="D11979" t="s">
        <v>11</v>
      </c>
      <c r="E11979" t="s">
        <v>35</v>
      </c>
      <c r="F11979">
        <v>99875382</v>
      </c>
      <c r="G11979">
        <v>99875447</v>
      </c>
      <c r="H11979">
        <v>99875382</v>
      </c>
      <c r="I11979">
        <v>99875447</v>
      </c>
    </row>
    <row r="11980" spans="1:9" x14ac:dyDescent="0.2">
      <c r="A11980" t="str">
        <f>"Limch1"</f>
        <v>Limch1</v>
      </c>
      <c r="B11980" t="s">
        <v>14</v>
      </c>
      <c r="C11980" t="s">
        <v>46</v>
      </c>
      <c r="D11980" t="s">
        <v>17</v>
      </c>
      <c r="E11980" t="s">
        <v>12</v>
      </c>
      <c r="F11980">
        <v>66745856</v>
      </c>
      <c r="G11980">
        <v>66745896</v>
      </c>
      <c r="H11980">
        <v>66745856</v>
      </c>
      <c r="I11980">
        <v>66745896</v>
      </c>
    </row>
    <row r="11981" spans="1:9" x14ac:dyDescent="0.2">
      <c r="A11981" t="str">
        <f>"Limd1"</f>
        <v>Limd1</v>
      </c>
      <c r="B11981" t="s">
        <v>14</v>
      </c>
      <c r="C11981" t="s">
        <v>24</v>
      </c>
      <c r="D11981" t="s">
        <v>17</v>
      </c>
      <c r="E11981" t="s">
        <v>12</v>
      </c>
      <c r="F11981">
        <v>123478738</v>
      </c>
      <c r="G11981">
        <v>123478782</v>
      </c>
      <c r="H11981">
        <v>123478693</v>
      </c>
      <c r="I11981">
        <v>123478733</v>
      </c>
    </row>
    <row r="11982" spans="1:9" x14ac:dyDescent="0.2">
      <c r="A11982" t="str">
        <f>"Limd2"</f>
        <v>Limd2</v>
      </c>
      <c r="B11982" t="s">
        <v>14</v>
      </c>
      <c r="C11982" t="s">
        <v>27</v>
      </c>
      <c r="D11982" t="s">
        <v>11</v>
      </c>
      <c r="E11982" t="s">
        <v>12</v>
      </c>
      <c r="F11982">
        <v>106160101</v>
      </c>
      <c r="G11982">
        <v>106160168</v>
      </c>
      <c r="H11982">
        <v>106159400</v>
      </c>
      <c r="I11982">
        <v>106159451</v>
      </c>
    </row>
    <row r="11983" spans="1:9" x14ac:dyDescent="0.2">
      <c r="A11983" t="str">
        <f>"Lime1"</f>
        <v>Lime1</v>
      </c>
      <c r="B11983" t="s">
        <v>14</v>
      </c>
      <c r="C11983" t="s">
        <v>26</v>
      </c>
      <c r="D11983" t="s">
        <v>17</v>
      </c>
      <c r="E11983" t="s">
        <v>12</v>
      </c>
      <c r="F11983">
        <v>181381307</v>
      </c>
      <c r="G11983">
        <v>181381365</v>
      </c>
      <c r="H11983">
        <v>181381307</v>
      </c>
      <c r="I11983">
        <v>181381365</v>
      </c>
    </row>
    <row r="11984" spans="1:9" x14ac:dyDescent="0.2">
      <c r="A11984" t="str">
        <f>"Limk1"</f>
        <v>Limk1</v>
      </c>
      <c r="B11984" t="s">
        <v>14</v>
      </c>
      <c r="C11984" t="s">
        <v>46</v>
      </c>
      <c r="D11984" t="s">
        <v>11</v>
      </c>
      <c r="E11984" t="s">
        <v>12</v>
      </c>
      <c r="F11984">
        <v>134688595</v>
      </c>
      <c r="G11984">
        <v>134688637</v>
      </c>
      <c r="H11984">
        <v>134688568</v>
      </c>
      <c r="I11984">
        <v>134688587</v>
      </c>
    </row>
    <row r="11985" spans="1:9" x14ac:dyDescent="0.2">
      <c r="A11985" t="str">
        <f>"Limk2"</f>
        <v>Limk2</v>
      </c>
      <c r="B11985" t="s">
        <v>4256</v>
      </c>
      <c r="C11985" t="s">
        <v>27</v>
      </c>
      <c r="D11985" t="s">
        <v>11</v>
      </c>
      <c r="E11985" t="s">
        <v>35</v>
      </c>
      <c r="F11985">
        <v>3409162</v>
      </c>
      <c r="G11985">
        <v>3409195</v>
      </c>
      <c r="H11985">
        <v>3409079</v>
      </c>
      <c r="I11985">
        <v>3409088</v>
      </c>
    </row>
    <row r="11986" spans="1:9" x14ac:dyDescent="0.2">
      <c r="A11986" t="str">
        <f>"Lims1"</f>
        <v>Lims1</v>
      </c>
      <c r="B11986" t="s">
        <v>14</v>
      </c>
      <c r="C11986" t="s">
        <v>15</v>
      </c>
      <c r="D11986" t="s">
        <v>17</v>
      </c>
      <c r="E11986" t="s">
        <v>12</v>
      </c>
      <c r="F11986">
        <v>58323540</v>
      </c>
      <c r="G11986">
        <v>58323607</v>
      </c>
      <c r="H11986">
        <v>58323540</v>
      </c>
      <c r="I11986">
        <v>58323607</v>
      </c>
    </row>
    <row r="11987" spans="1:9" x14ac:dyDescent="0.2">
      <c r="A11987" t="str">
        <f>"Lims2"</f>
        <v>Lims2</v>
      </c>
      <c r="B11987" t="s">
        <v>14</v>
      </c>
      <c r="C11987" t="s">
        <v>43</v>
      </c>
      <c r="D11987" t="s">
        <v>17</v>
      </c>
      <c r="E11987" t="s">
        <v>12</v>
      </c>
      <c r="F11987">
        <v>31931470</v>
      </c>
      <c r="G11987">
        <v>31931520</v>
      </c>
      <c r="H11987">
        <v>31931305</v>
      </c>
      <c r="I11987">
        <v>31931348</v>
      </c>
    </row>
    <row r="11988" spans="1:9" x14ac:dyDescent="0.2">
      <c r="A11988" t="str">
        <f>"Lin28a"</f>
        <v>Lin28a</v>
      </c>
      <c r="B11988" t="s">
        <v>14</v>
      </c>
      <c r="C11988" t="s">
        <v>23</v>
      </c>
      <c r="D11988" t="s">
        <v>11</v>
      </c>
      <c r="E11988" t="s">
        <v>12</v>
      </c>
      <c r="F11988">
        <v>134018798</v>
      </c>
      <c r="G11988">
        <v>134018823</v>
      </c>
      <c r="H11988">
        <v>134018747</v>
      </c>
      <c r="I11988">
        <v>134018754</v>
      </c>
    </row>
    <row r="11989" spans="1:9" x14ac:dyDescent="0.2">
      <c r="A11989" t="str">
        <f>"Lin28b"</f>
        <v>Lin28b</v>
      </c>
      <c r="B11989" t="s">
        <v>9</v>
      </c>
      <c r="C11989" t="s">
        <v>15</v>
      </c>
      <c r="D11989" t="s">
        <v>11</v>
      </c>
      <c r="E11989" t="s">
        <v>12</v>
      </c>
      <c r="F11989">
        <v>45470262</v>
      </c>
      <c r="G11989">
        <v>45470289</v>
      </c>
      <c r="H11989">
        <v>45470262</v>
      </c>
      <c r="I11989">
        <v>45470289</v>
      </c>
    </row>
    <row r="11990" spans="1:9" x14ac:dyDescent="0.2">
      <c r="A11990" t="str">
        <f>"Lin28b"</f>
        <v>Lin28b</v>
      </c>
      <c r="B11990" t="s">
        <v>13</v>
      </c>
      <c r="C11990" t="s">
        <v>15</v>
      </c>
      <c r="D11990" t="s">
        <v>11</v>
      </c>
      <c r="E11990" t="s">
        <v>12</v>
      </c>
      <c r="F11990">
        <v>45486442</v>
      </c>
      <c r="G11990">
        <v>45486461</v>
      </c>
      <c r="H11990">
        <v>45486442</v>
      </c>
      <c r="I11990">
        <v>45486461</v>
      </c>
    </row>
    <row r="11991" spans="1:9" x14ac:dyDescent="0.2">
      <c r="A11991" t="str">
        <f>"Lin37"</f>
        <v>Lin37</v>
      </c>
      <c r="B11991" t="s">
        <v>14</v>
      </c>
      <c r="C11991" t="s">
        <v>33</v>
      </c>
      <c r="D11991" t="s">
        <v>11</v>
      </c>
      <c r="E11991" t="s">
        <v>12</v>
      </c>
      <c r="F11991">
        <v>30559600</v>
      </c>
      <c r="G11991">
        <v>30559652</v>
      </c>
      <c r="H11991">
        <v>30559667</v>
      </c>
      <c r="I11991">
        <v>30559673</v>
      </c>
    </row>
    <row r="11992" spans="1:9" x14ac:dyDescent="0.2">
      <c r="A11992" t="str">
        <f>"Lin52"</f>
        <v>Lin52</v>
      </c>
      <c r="B11992" t="s">
        <v>14</v>
      </c>
      <c r="C11992" t="s">
        <v>16</v>
      </c>
      <c r="D11992" t="s">
        <v>17</v>
      </c>
      <c r="E11992" t="s">
        <v>12</v>
      </c>
      <c r="F11992">
        <v>84451485</v>
      </c>
      <c r="G11992">
        <v>84451518</v>
      </c>
      <c r="H11992">
        <v>84451329</v>
      </c>
      <c r="I11992">
        <v>84451345</v>
      </c>
    </row>
    <row r="11993" spans="1:9" x14ac:dyDescent="0.2">
      <c r="A11993" t="str">
        <f>"Lin54"</f>
        <v>Lin54</v>
      </c>
      <c r="B11993" t="s">
        <v>9</v>
      </c>
      <c r="C11993" t="s">
        <v>46</v>
      </c>
      <c r="D11993" t="s">
        <v>11</v>
      </c>
      <c r="E11993" t="s">
        <v>12</v>
      </c>
      <c r="F11993">
        <v>100500621</v>
      </c>
      <c r="G11993">
        <v>100500657</v>
      </c>
      <c r="H11993">
        <v>100500621</v>
      </c>
      <c r="I11993">
        <v>100500657</v>
      </c>
    </row>
    <row r="11994" spans="1:9" x14ac:dyDescent="0.2">
      <c r="A11994" t="str">
        <f>"Lin54"</f>
        <v>Lin54</v>
      </c>
      <c r="B11994" t="s">
        <v>13</v>
      </c>
      <c r="C11994" t="s">
        <v>46</v>
      </c>
      <c r="D11994" t="s">
        <v>11</v>
      </c>
      <c r="E11994" t="s">
        <v>12</v>
      </c>
      <c r="F11994">
        <v>100498570</v>
      </c>
      <c r="G11994">
        <v>100498604</v>
      </c>
      <c r="H11994">
        <v>100498570</v>
      </c>
      <c r="I11994">
        <v>100498604</v>
      </c>
    </row>
    <row r="11995" spans="1:9" x14ac:dyDescent="0.2">
      <c r="A11995" t="str">
        <f>"Lin7a"</f>
        <v>Lin7a</v>
      </c>
      <c r="B11995" t="s">
        <v>14</v>
      </c>
      <c r="C11995" t="s">
        <v>15</v>
      </c>
      <c r="D11995" t="s">
        <v>17</v>
      </c>
      <c r="E11995" t="s">
        <v>12</v>
      </c>
      <c r="F11995">
        <v>107271868</v>
      </c>
      <c r="G11995">
        <v>107271888</v>
      </c>
      <c r="H11995">
        <v>107271617</v>
      </c>
      <c r="I11995">
        <v>107271696</v>
      </c>
    </row>
    <row r="11996" spans="1:9" x14ac:dyDescent="0.2">
      <c r="A11996" t="str">
        <f>"Lin7b"</f>
        <v>Lin7b</v>
      </c>
      <c r="B11996" t="s">
        <v>14</v>
      </c>
      <c r="C11996" t="s">
        <v>33</v>
      </c>
      <c r="D11996" t="s">
        <v>11</v>
      </c>
      <c r="E11996" t="s">
        <v>12</v>
      </c>
      <c r="F11996">
        <v>45370559</v>
      </c>
      <c r="G11996">
        <v>45370617</v>
      </c>
      <c r="H11996">
        <v>45370371</v>
      </c>
      <c r="I11996">
        <v>45370385</v>
      </c>
    </row>
    <row r="11997" spans="1:9" x14ac:dyDescent="0.2">
      <c r="A11997" t="str">
        <f>"Lin7c"</f>
        <v>Lin7c</v>
      </c>
      <c r="B11997" t="s">
        <v>14</v>
      </c>
      <c r="C11997" t="s">
        <v>26</v>
      </c>
      <c r="D11997" t="s">
        <v>17</v>
      </c>
      <c r="E11997" t="s">
        <v>12</v>
      </c>
      <c r="F11997">
        <v>109890846</v>
      </c>
      <c r="G11997">
        <v>109890882</v>
      </c>
      <c r="H11997">
        <v>109890846</v>
      </c>
      <c r="I11997">
        <v>109890882</v>
      </c>
    </row>
    <row r="11998" spans="1:9" x14ac:dyDescent="0.2">
      <c r="A11998" t="str">
        <f>"Lin9"</f>
        <v>Lin9</v>
      </c>
      <c r="B11998" t="s">
        <v>14</v>
      </c>
      <c r="C11998" t="s">
        <v>19</v>
      </c>
      <c r="D11998" t="s">
        <v>17</v>
      </c>
      <c r="E11998" t="s">
        <v>12</v>
      </c>
      <c r="F11998">
        <v>180641330</v>
      </c>
      <c r="G11998">
        <v>180641374</v>
      </c>
      <c r="H11998">
        <v>180641330</v>
      </c>
      <c r="I11998">
        <v>180641374</v>
      </c>
    </row>
    <row r="11999" spans="1:9" x14ac:dyDescent="0.2">
      <c r="A11999" t="str">
        <f>"Lingo1"</f>
        <v>Lingo1</v>
      </c>
      <c r="B11999" t="s">
        <v>14</v>
      </c>
      <c r="C11999" t="s">
        <v>24</v>
      </c>
      <c r="D11999" t="s">
        <v>11</v>
      </c>
      <c r="E11999" t="s">
        <v>12</v>
      </c>
      <c r="F11999">
        <v>56635624</v>
      </c>
      <c r="G11999">
        <v>56635691</v>
      </c>
      <c r="H11999">
        <v>56635098</v>
      </c>
      <c r="I11999">
        <v>56635135</v>
      </c>
    </row>
    <row r="12000" spans="1:9" x14ac:dyDescent="0.2">
      <c r="A12000" t="str">
        <f>"Lingo3"</f>
        <v>Lingo3</v>
      </c>
      <c r="B12000" t="s">
        <v>14</v>
      </c>
      <c r="C12000" t="s">
        <v>15</v>
      </c>
      <c r="D12000" t="s">
        <v>11</v>
      </c>
      <c r="E12000" t="s">
        <v>12</v>
      </c>
      <c r="F12000">
        <v>80844025</v>
      </c>
      <c r="G12000">
        <v>80844067</v>
      </c>
      <c r="H12000">
        <v>80844007</v>
      </c>
      <c r="I12000">
        <v>80844021</v>
      </c>
    </row>
    <row r="12001" spans="1:9" x14ac:dyDescent="0.2">
      <c r="A12001" t="str">
        <f>"Lingo4"</f>
        <v>Lingo4</v>
      </c>
      <c r="B12001" t="s">
        <v>14</v>
      </c>
      <c r="C12001" t="s">
        <v>22</v>
      </c>
      <c r="D12001" t="s">
        <v>17</v>
      </c>
      <c r="E12001" t="s">
        <v>12</v>
      </c>
      <c r="F12001">
        <v>94398535</v>
      </c>
      <c r="G12001">
        <v>94398538</v>
      </c>
      <c r="H12001">
        <v>94398535</v>
      </c>
      <c r="I12001">
        <v>94398538</v>
      </c>
    </row>
    <row r="12002" spans="1:9" x14ac:dyDescent="0.2">
      <c r="A12002" t="str">
        <f>"Lins"</f>
        <v>Lins</v>
      </c>
      <c r="B12002" t="s">
        <v>14</v>
      </c>
      <c r="C12002" t="s">
        <v>33</v>
      </c>
      <c r="D12002" t="s">
        <v>17</v>
      </c>
      <c r="E12002" t="s">
        <v>12</v>
      </c>
      <c r="F12002">
        <v>66689915</v>
      </c>
      <c r="G12002">
        <v>66689980</v>
      </c>
      <c r="H12002">
        <v>66689883</v>
      </c>
      <c r="I12002">
        <v>66689897</v>
      </c>
    </row>
    <row r="12003" spans="1:9" x14ac:dyDescent="0.2">
      <c r="A12003" t="str">
        <f>"Lipa"</f>
        <v>Lipa</v>
      </c>
      <c r="B12003" t="s">
        <v>14</v>
      </c>
      <c r="C12003" t="s">
        <v>10</v>
      </c>
      <c r="D12003" t="s">
        <v>11</v>
      </c>
      <c r="E12003" t="s">
        <v>12</v>
      </c>
      <c r="F12003">
        <v>34527396</v>
      </c>
      <c r="G12003">
        <v>34527481</v>
      </c>
      <c r="H12003">
        <v>34527396</v>
      </c>
      <c r="I12003">
        <v>34527481</v>
      </c>
    </row>
    <row r="12004" spans="1:9" x14ac:dyDescent="0.2">
      <c r="A12004" t="str">
        <f>"Lipc"</f>
        <v>Lipc</v>
      </c>
      <c r="B12004" t="s">
        <v>14</v>
      </c>
      <c r="C12004" t="s">
        <v>24</v>
      </c>
      <c r="D12004" t="s">
        <v>11</v>
      </c>
      <c r="E12004" t="s">
        <v>12</v>
      </c>
      <c r="F12004">
        <v>70934598</v>
      </c>
      <c r="G12004">
        <v>70934624</v>
      </c>
      <c r="H12004">
        <v>70934808</v>
      </c>
      <c r="I12004">
        <v>70934847</v>
      </c>
    </row>
    <row r="12005" spans="1:9" x14ac:dyDescent="0.2">
      <c r="A12005" t="str">
        <f>"Lipe"</f>
        <v>Lipe</v>
      </c>
      <c r="B12005" t="s">
        <v>9</v>
      </c>
      <c r="C12005" t="s">
        <v>33</v>
      </c>
      <c r="D12005" t="s">
        <v>11</v>
      </c>
      <c r="E12005" t="s">
        <v>12</v>
      </c>
      <c r="F12005">
        <v>25390098</v>
      </c>
      <c r="G12005">
        <v>25390124</v>
      </c>
      <c r="H12005">
        <v>25390098</v>
      </c>
      <c r="I12005">
        <v>25390124</v>
      </c>
    </row>
    <row r="12006" spans="1:9" x14ac:dyDescent="0.2">
      <c r="A12006" t="str">
        <f>"Lipe"</f>
        <v>Lipe</v>
      </c>
      <c r="B12006" t="s">
        <v>13</v>
      </c>
      <c r="C12006" t="s">
        <v>33</v>
      </c>
      <c r="D12006" t="s">
        <v>11</v>
      </c>
      <c r="E12006" t="s">
        <v>12</v>
      </c>
      <c r="F12006">
        <v>25395610</v>
      </c>
      <c r="G12006">
        <v>25395695</v>
      </c>
      <c r="H12006">
        <v>25395610</v>
      </c>
      <c r="I12006">
        <v>25395695</v>
      </c>
    </row>
    <row r="12007" spans="1:9" x14ac:dyDescent="0.2">
      <c r="A12007" t="str">
        <f>"Lipf"</f>
        <v>Lipf</v>
      </c>
      <c r="B12007" t="s">
        <v>14</v>
      </c>
      <c r="C12007" t="s">
        <v>10</v>
      </c>
      <c r="D12007" t="s">
        <v>17</v>
      </c>
      <c r="E12007" t="s">
        <v>12</v>
      </c>
      <c r="F12007">
        <v>33961214</v>
      </c>
      <c r="G12007">
        <v>33961255</v>
      </c>
      <c r="H12007">
        <v>33961195</v>
      </c>
      <c r="I12007">
        <v>33961210</v>
      </c>
    </row>
    <row r="12008" spans="1:9" x14ac:dyDescent="0.2">
      <c r="A12008" t="str">
        <f>"Lipg"</f>
        <v>Lipg</v>
      </c>
      <c r="B12008" t="s">
        <v>14</v>
      </c>
      <c r="C12008" t="s">
        <v>43</v>
      </c>
      <c r="D12008" t="s">
        <v>11</v>
      </c>
      <c r="E12008" t="s">
        <v>12</v>
      </c>
      <c r="F12008">
        <v>74961252</v>
      </c>
      <c r="G12008">
        <v>74961268</v>
      </c>
      <c r="H12008">
        <v>74961065</v>
      </c>
      <c r="I12008">
        <v>74961066</v>
      </c>
    </row>
    <row r="12009" spans="1:9" x14ac:dyDescent="0.2">
      <c r="A12009" t="str">
        <f>"Liph"</f>
        <v>Liph</v>
      </c>
      <c r="B12009" t="s">
        <v>14</v>
      </c>
      <c r="C12009" t="s">
        <v>31</v>
      </c>
      <c r="D12009" t="s">
        <v>11</v>
      </c>
      <c r="E12009" t="s">
        <v>12</v>
      </c>
      <c r="F12009">
        <v>21995478</v>
      </c>
      <c r="G12009">
        <v>21995517</v>
      </c>
      <c r="H12009">
        <v>21995455</v>
      </c>
      <c r="I12009">
        <v>21995472</v>
      </c>
    </row>
    <row r="12010" spans="1:9" x14ac:dyDescent="0.2">
      <c r="A12010" t="str">
        <f>"Lipi"</f>
        <v>Lipi</v>
      </c>
      <c r="B12010" t="s">
        <v>14</v>
      </c>
      <c r="C12010" t="s">
        <v>31</v>
      </c>
      <c r="D12010" t="s">
        <v>11</v>
      </c>
      <c r="E12010" t="s">
        <v>12</v>
      </c>
      <c r="F12010">
        <v>75586017</v>
      </c>
      <c r="G12010">
        <v>75586037</v>
      </c>
      <c r="H12010">
        <v>75586017</v>
      </c>
      <c r="I12010">
        <v>75586037</v>
      </c>
    </row>
    <row r="12011" spans="1:9" x14ac:dyDescent="0.2">
      <c r="A12011" t="str">
        <f>"Lipk"</f>
        <v>Lipk</v>
      </c>
      <c r="B12011" t="s">
        <v>14</v>
      </c>
      <c r="C12011" t="s">
        <v>10</v>
      </c>
      <c r="D12011" t="s">
        <v>17</v>
      </c>
      <c r="E12011" t="s">
        <v>12</v>
      </c>
      <c r="F12011">
        <v>34008323</v>
      </c>
      <c r="G12011">
        <v>34008338</v>
      </c>
      <c r="H12011">
        <v>34008247</v>
      </c>
      <c r="I12011">
        <v>34008269</v>
      </c>
    </row>
    <row r="12012" spans="1:9" x14ac:dyDescent="0.2">
      <c r="A12012" t="str">
        <f>"Lipm"</f>
        <v>Lipm</v>
      </c>
      <c r="B12012" t="s">
        <v>14</v>
      </c>
      <c r="C12012" t="s">
        <v>10</v>
      </c>
      <c r="D12012" t="s">
        <v>17</v>
      </c>
      <c r="E12012" t="s">
        <v>12</v>
      </c>
      <c r="F12012">
        <v>34100955</v>
      </c>
      <c r="G12012">
        <v>34100983</v>
      </c>
      <c r="H12012">
        <v>34101005</v>
      </c>
      <c r="I12012">
        <v>34101016</v>
      </c>
    </row>
    <row r="12013" spans="1:9" x14ac:dyDescent="0.2">
      <c r="A12013" t="str">
        <f>"Lipn"</f>
        <v>Lipn</v>
      </c>
      <c r="B12013" t="s">
        <v>14</v>
      </c>
      <c r="C12013" t="s">
        <v>10</v>
      </c>
      <c r="D12013" t="s">
        <v>17</v>
      </c>
      <c r="E12013" t="s">
        <v>12</v>
      </c>
      <c r="F12013">
        <v>34067346</v>
      </c>
      <c r="G12013">
        <v>34067362</v>
      </c>
      <c r="H12013">
        <v>34067390</v>
      </c>
      <c r="I12013">
        <v>34067402</v>
      </c>
    </row>
    <row r="12014" spans="1:9" x14ac:dyDescent="0.2">
      <c r="A12014" t="str">
        <f>"Lipo1"</f>
        <v>Lipo1</v>
      </c>
      <c r="B12014" t="s">
        <v>4257</v>
      </c>
      <c r="C12014" t="s">
        <v>10</v>
      </c>
      <c r="D12014" t="s">
        <v>11</v>
      </c>
      <c r="E12014" t="s">
        <v>20</v>
      </c>
      <c r="F12014">
        <v>33761950</v>
      </c>
      <c r="G12014">
        <v>33761950</v>
      </c>
      <c r="H12014">
        <v>33761950</v>
      </c>
      <c r="I12014">
        <v>33761950</v>
      </c>
    </row>
    <row r="12015" spans="1:9" x14ac:dyDescent="0.2">
      <c r="A12015" t="str">
        <f>"Lipo1"</f>
        <v>Lipo1</v>
      </c>
      <c r="B12015" t="s">
        <v>4258</v>
      </c>
      <c r="C12015" t="s">
        <v>10</v>
      </c>
      <c r="D12015" t="s">
        <v>11</v>
      </c>
      <c r="E12015" t="s">
        <v>20</v>
      </c>
      <c r="F12015">
        <v>33590307</v>
      </c>
      <c r="G12015">
        <v>33590307</v>
      </c>
      <c r="H12015">
        <v>33590307</v>
      </c>
      <c r="I12015">
        <v>33590307</v>
      </c>
    </row>
    <row r="12016" spans="1:9" x14ac:dyDescent="0.2">
      <c r="A12016" t="str">
        <f>"Lipo2"</f>
        <v>Lipo2</v>
      </c>
      <c r="B12016" t="s">
        <v>4259</v>
      </c>
      <c r="C12016" t="s">
        <v>10</v>
      </c>
      <c r="D12016" t="s">
        <v>11</v>
      </c>
      <c r="E12016" t="s">
        <v>20</v>
      </c>
      <c r="F12016">
        <v>33761948</v>
      </c>
      <c r="G12016">
        <v>33761948</v>
      </c>
      <c r="H12016">
        <v>33761948</v>
      </c>
      <c r="I12016">
        <v>33761948</v>
      </c>
    </row>
    <row r="12017" spans="1:9" x14ac:dyDescent="0.2">
      <c r="A12017" t="str">
        <f>"Lipo4"</f>
        <v>Lipo4</v>
      </c>
      <c r="B12017" t="s">
        <v>4260</v>
      </c>
      <c r="C12017" t="s">
        <v>10</v>
      </c>
      <c r="D12017" t="s">
        <v>11</v>
      </c>
      <c r="E12017" t="s">
        <v>20</v>
      </c>
      <c r="F12017">
        <v>33517775</v>
      </c>
      <c r="G12017">
        <v>33517775</v>
      </c>
      <c r="H12017">
        <v>33517775</v>
      </c>
      <c r="I12017">
        <v>33517775</v>
      </c>
    </row>
    <row r="12018" spans="1:9" x14ac:dyDescent="0.2">
      <c r="A12018" t="str">
        <f>"Lipt1"</f>
        <v>Lipt1</v>
      </c>
      <c r="B12018" t="s">
        <v>14</v>
      </c>
      <c r="C12018" t="s">
        <v>19</v>
      </c>
      <c r="D12018" t="s">
        <v>17</v>
      </c>
      <c r="E12018" t="s">
        <v>12</v>
      </c>
      <c r="F12018">
        <v>37872208</v>
      </c>
      <c r="G12018">
        <v>37872233</v>
      </c>
      <c r="H12018">
        <v>37872333</v>
      </c>
      <c r="I12018">
        <v>37872371</v>
      </c>
    </row>
    <row r="12019" spans="1:9" x14ac:dyDescent="0.2">
      <c r="A12019" t="str">
        <f>"Lipt2"</f>
        <v>Lipt2</v>
      </c>
      <c r="B12019" t="s">
        <v>14</v>
      </c>
      <c r="C12019" t="s">
        <v>33</v>
      </c>
      <c r="D12019" t="s">
        <v>17</v>
      </c>
      <c r="E12019" t="s">
        <v>12</v>
      </c>
      <c r="F12019">
        <v>100159241</v>
      </c>
      <c r="G12019">
        <v>100159315</v>
      </c>
      <c r="H12019">
        <v>100159241</v>
      </c>
      <c r="I12019">
        <v>100159315</v>
      </c>
    </row>
    <row r="12020" spans="1:9" x14ac:dyDescent="0.2">
      <c r="A12020" t="str">
        <f>"Litaf"</f>
        <v>Litaf</v>
      </c>
      <c r="B12020" t="s">
        <v>14</v>
      </c>
      <c r="C12020" t="s">
        <v>31</v>
      </c>
      <c r="D12020" t="s">
        <v>11</v>
      </c>
      <c r="E12020" t="s">
        <v>12</v>
      </c>
      <c r="F12020">
        <v>10993070</v>
      </c>
      <c r="G12020">
        <v>10993094</v>
      </c>
      <c r="H12020">
        <v>10993100</v>
      </c>
      <c r="I12020">
        <v>10993111</v>
      </c>
    </row>
    <row r="12021" spans="1:9" x14ac:dyDescent="0.2">
      <c r="A12021" t="str">
        <f>"Lix1"</f>
        <v>Lix1</v>
      </c>
      <c r="B12021" t="s">
        <v>14</v>
      </c>
      <c r="C12021" t="s">
        <v>28</v>
      </c>
      <c r="D12021" t="s">
        <v>17</v>
      </c>
      <c r="E12021" t="s">
        <v>12</v>
      </c>
      <c r="F12021">
        <v>17402683</v>
      </c>
      <c r="G12021">
        <v>17402771</v>
      </c>
      <c r="H12021">
        <v>17402683</v>
      </c>
      <c r="I12021">
        <v>17402771</v>
      </c>
    </row>
    <row r="12022" spans="1:9" x14ac:dyDescent="0.2">
      <c r="A12022" t="str">
        <f>"Lix1l"</f>
        <v>Lix1l</v>
      </c>
      <c r="B12022" t="s">
        <v>14</v>
      </c>
      <c r="C12022" t="s">
        <v>22</v>
      </c>
      <c r="D12022" t="s">
        <v>17</v>
      </c>
      <c r="E12022" t="s">
        <v>12</v>
      </c>
      <c r="F12022">
        <v>96601084</v>
      </c>
      <c r="G12022">
        <v>96601139</v>
      </c>
      <c r="H12022">
        <v>96601084</v>
      </c>
      <c r="I12022">
        <v>96601139</v>
      </c>
    </row>
    <row r="12023" spans="1:9" x14ac:dyDescent="0.2">
      <c r="A12023" t="str">
        <f>"Llgl1"</f>
        <v>Llgl1</v>
      </c>
      <c r="B12023" t="s">
        <v>14</v>
      </c>
      <c r="C12023" t="s">
        <v>27</v>
      </c>
      <c r="D12023" t="s">
        <v>17</v>
      </c>
      <c r="E12023" t="s">
        <v>12</v>
      </c>
      <c r="F12023">
        <v>60699758</v>
      </c>
      <c r="G12023">
        <v>60699845</v>
      </c>
      <c r="H12023">
        <v>60699684</v>
      </c>
      <c r="I12023">
        <v>60699710</v>
      </c>
    </row>
    <row r="12024" spans="1:9" x14ac:dyDescent="0.2">
      <c r="A12024" t="str">
        <f>"Llgl2"</f>
        <v>Llgl2</v>
      </c>
      <c r="B12024" t="s">
        <v>9</v>
      </c>
      <c r="C12024" t="s">
        <v>27</v>
      </c>
      <c r="D12024" t="s">
        <v>17</v>
      </c>
      <c r="E12024" t="s">
        <v>12</v>
      </c>
      <c r="F12024">
        <v>115824029</v>
      </c>
      <c r="G12024">
        <v>115824097</v>
      </c>
      <c r="H12024">
        <v>115824029</v>
      </c>
      <c r="I12024">
        <v>115824097</v>
      </c>
    </row>
    <row r="12025" spans="1:9" x14ac:dyDescent="0.2">
      <c r="A12025" t="str">
        <f>"Llgl2"</f>
        <v>Llgl2</v>
      </c>
      <c r="B12025" t="s">
        <v>13</v>
      </c>
      <c r="C12025" t="s">
        <v>27</v>
      </c>
      <c r="D12025" t="s">
        <v>17</v>
      </c>
      <c r="E12025" t="s">
        <v>12</v>
      </c>
      <c r="F12025">
        <v>115834338</v>
      </c>
      <c r="G12025">
        <v>115834349</v>
      </c>
      <c r="H12025">
        <v>115834338</v>
      </c>
      <c r="I12025">
        <v>115834349</v>
      </c>
    </row>
    <row r="12026" spans="1:9" x14ac:dyDescent="0.2">
      <c r="A12026" t="str">
        <f>"Llph"</f>
        <v>Llph</v>
      </c>
      <c r="B12026" t="s">
        <v>14</v>
      </c>
      <c r="C12026" t="s">
        <v>15</v>
      </c>
      <c r="D12026" t="s">
        <v>17</v>
      </c>
      <c r="E12026" t="s">
        <v>12</v>
      </c>
      <c r="F12026">
        <v>120227030</v>
      </c>
      <c r="G12026">
        <v>120227081</v>
      </c>
      <c r="H12026">
        <v>120227109</v>
      </c>
      <c r="I12026">
        <v>120227148</v>
      </c>
    </row>
    <row r="12027" spans="1:9" x14ac:dyDescent="0.2">
      <c r="A12027" t="str">
        <f>"Lman1"</f>
        <v>Lman1</v>
      </c>
      <c r="B12027" t="s">
        <v>14</v>
      </c>
      <c r="C12027" t="s">
        <v>43</v>
      </c>
      <c r="D12027" t="s">
        <v>11</v>
      </c>
      <c r="E12027" t="s">
        <v>12</v>
      </c>
      <c r="F12027">
        <v>66002612</v>
      </c>
      <c r="G12027">
        <v>66002637</v>
      </c>
      <c r="H12027">
        <v>66002612</v>
      </c>
      <c r="I12027">
        <v>66002637</v>
      </c>
    </row>
    <row r="12028" spans="1:9" x14ac:dyDescent="0.2">
      <c r="A12028" t="str">
        <f>"Lman1l"</f>
        <v>Lman1l</v>
      </c>
      <c r="B12028" t="s">
        <v>14</v>
      </c>
      <c r="C12028" t="s">
        <v>24</v>
      </c>
      <c r="D12028" t="s">
        <v>11</v>
      </c>
      <c r="E12028" t="s">
        <v>12</v>
      </c>
      <c r="F12028">
        <v>57620760</v>
      </c>
      <c r="G12028">
        <v>57620778</v>
      </c>
      <c r="H12028">
        <v>57620721</v>
      </c>
      <c r="I12028">
        <v>57620724</v>
      </c>
    </row>
    <row r="12029" spans="1:9" x14ac:dyDescent="0.2">
      <c r="A12029" t="str">
        <f>"Lman2"</f>
        <v>Lman2</v>
      </c>
      <c r="B12029" t="s">
        <v>14</v>
      </c>
      <c r="C12029" t="s">
        <v>39</v>
      </c>
      <c r="D12029" t="s">
        <v>11</v>
      </c>
      <c r="E12029" t="s">
        <v>12</v>
      </c>
      <c r="F12029">
        <v>55362587</v>
      </c>
      <c r="G12029">
        <v>55362630</v>
      </c>
      <c r="H12029">
        <v>55362782</v>
      </c>
      <c r="I12029">
        <v>55362804</v>
      </c>
    </row>
    <row r="12030" spans="1:9" x14ac:dyDescent="0.2">
      <c r="A12030" t="str">
        <f>"Lman2l"</f>
        <v>Lman2l</v>
      </c>
      <c r="B12030" t="s">
        <v>14</v>
      </c>
      <c r="C12030" t="s">
        <v>19</v>
      </c>
      <c r="D12030" t="s">
        <v>11</v>
      </c>
      <c r="E12030" t="s">
        <v>12</v>
      </c>
      <c r="F12030">
        <v>36445248</v>
      </c>
      <c r="G12030">
        <v>36445264</v>
      </c>
      <c r="H12030">
        <v>36445231</v>
      </c>
      <c r="I12030">
        <v>36445242</v>
      </c>
    </row>
    <row r="12031" spans="1:9" x14ac:dyDescent="0.2">
      <c r="A12031" t="str">
        <f>"Lmbr1"</f>
        <v>Lmbr1</v>
      </c>
      <c r="B12031" t="s">
        <v>14</v>
      </c>
      <c r="C12031" t="s">
        <v>46</v>
      </c>
      <c r="D12031" t="s">
        <v>11</v>
      </c>
      <c r="E12031" t="s">
        <v>12</v>
      </c>
      <c r="F12031">
        <v>29378337</v>
      </c>
      <c r="G12031">
        <v>29378401</v>
      </c>
      <c r="H12031">
        <v>29378319</v>
      </c>
      <c r="I12031">
        <v>29378335</v>
      </c>
    </row>
    <row r="12032" spans="1:9" x14ac:dyDescent="0.2">
      <c r="A12032" t="str">
        <f>"Lmbr1l"</f>
        <v>Lmbr1l</v>
      </c>
      <c r="B12032" t="s">
        <v>14</v>
      </c>
      <c r="C12032" t="s">
        <v>25</v>
      </c>
      <c r="D12032" t="s">
        <v>11</v>
      </c>
      <c r="E12032" t="s">
        <v>12</v>
      </c>
      <c r="F12032">
        <v>98918014</v>
      </c>
      <c r="G12032">
        <v>98918103</v>
      </c>
      <c r="H12032">
        <v>98918219</v>
      </c>
      <c r="I12032">
        <v>98918234</v>
      </c>
    </row>
    <row r="12033" spans="1:9" x14ac:dyDescent="0.2">
      <c r="A12033" t="str">
        <f>"Lmbrd1"</f>
        <v>Lmbrd1</v>
      </c>
      <c r="B12033" t="s">
        <v>14</v>
      </c>
      <c r="C12033" t="s">
        <v>19</v>
      </c>
      <c r="D12033" t="s">
        <v>17</v>
      </c>
      <c r="E12033" t="s">
        <v>12</v>
      </c>
      <c r="F12033">
        <v>24678712</v>
      </c>
      <c r="G12033">
        <v>24678758</v>
      </c>
      <c r="H12033">
        <v>24678536</v>
      </c>
      <c r="I12033">
        <v>24678609</v>
      </c>
    </row>
    <row r="12034" spans="1:9" x14ac:dyDescent="0.2">
      <c r="A12034" t="str">
        <f>"Lmbrd2"</f>
        <v>Lmbrd2</v>
      </c>
      <c r="B12034" t="s">
        <v>14</v>
      </c>
      <c r="C12034" t="s">
        <v>25</v>
      </c>
      <c r="D12034" t="s">
        <v>17</v>
      </c>
      <c r="E12034" t="s">
        <v>12</v>
      </c>
      <c r="F12034">
        <v>9140527</v>
      </c>
      <c r="G12034">
        <v>9140577</v>
      </c>
      <c r="H12034">
        <v>9140600</v>
      </c>
      <c r="I12034">
        <v>9140613</v>
      </c>
    </row>
    <row r="12035" spans="1:9" x14ac:dyDescent="0.2">
      <c r="A12035" t="str">
        <f>"Lmcd1"</f>
        <v>Lmcd1</v>
      </c>
      <c r="B12035" t="s">
        <v>14</v>
      </c>
      <c r="C12035" t="s">
        <v>32</v>
      </c>
      <c r="D12035" t="s">
        <v>17</v>
      </c>
      <c r="E12035" t="s">
        <v>12</v>
      </c>
      <c r="F12035">
        <v>112273800</v>
      </c>
      <c r="G12035">
        <v>112273816</v>
      </c>
      <c r="H12035">
        <v>112273800</v>
      </c>
      <c r="I12035">
        <v>112273816</v>
      </c>
    </row>
    <row r="12036" spans="1:9" x14ac:dyDescent="0.2">
      <c r="A12036" t="str">
        <f>"Lmf1"</f>
        <v>Lmf1</v>
      </c>
      <c r="B12036" t="s">
        <v>14</v>
      </c>
      <c r="C12036" t="s">
        <v>28</v>
      </c>
      <c r="D12036" t="s">
        <v>17</v>
      </c>
      <c r="E12036" t="s">
        <v>12</v>
      </c>
      <c r="F12036">
        <v>25579161</v>
      </c>
      <c r="G12036">
        <v>25579209</v>
      </c>
      <c r="H12036">
        <v>25579259</v>
      </c>
      <c r="I12036">
        <v>25579263</v>
      </c>
    </row>
    <row r="12037" spans="1:9" x14ac:dyDescent="0.2">
      <c r="A12037" t="str">
        <f>"Lmf2"</f>
        <v>Lmf2</v>
      </c>
      <c r="B12037" t="s">
        <v>14</v>
      </c>
      <c r="C12037" t="s">
        <v>25</v>
      </c>
      <c r="D12037" t="s">
        <v>11</v>
      </c>
      <c r="E12037" t="s">
        <v>12</v>
      </c>
      <c r="F12037">
        <v>89355529</v>
      </c>
      <c r="G12037">
        <v>89355632</v>
      </c>
      <c r="H12037">
        <v>89355468</v>
      </c>
      <c r="I12037">
        <v>89355498</v>
      </c>
    </row>
    <row r="12038" spans="1:9" x14ac:dyDescent="0.2">
      <c r="A12038" t="str">
        <f>"Lmln"</f>
        <v>Lmln</v>
      </c>
      <c r="B12038" t="s">
        <v>14</v>
      </c>
      <c r="C12038" t="s">
        <v>31</v>
      </c>
      <c r="D12038" t="s">
        <v>17</v>
      </c>
      <c r="E12038" t="s">
        <v>12</v>
      </c>
      <c r="F12038">
        <v>33062512</v>
      </c>
      <c r="G12038">
        <v>33062549</v>
      </c>
      <c r="H12038">
        <v>33062401</v>
      </c>
      <c r="I12038">
        <v>33062407</v>
      </c>
    </row>
    <row r="12039" spans="1:9" x14ac:dyDescent="0.2">
      <c r="A12039" t="str">
        <f>"Lmna"</f>
        <v>Lmna</v>
      </c>
      <c r="B12039" t="s">
        <v>14</v>
      </c>
      <c r="C12039" t="s">
        <v>22</v>
      </c>
      <c r="D12039" t="s">
        <v>11</v>
      </c>
      <c r="E12039" t="s">
        <v>12</v>
      </c>
      <c r="F12039">
        <v>88503187</v>
      </c>
      <c r="G12039">
        <v>88503323</v>
      </c>
      <c r="H12039">
        <v>88503331</v>
      </c>
      <c r="I12039">
        <v>88503350</v>
      </c>
    </row>
    <row r="12040" spans="1:9" x14ac:dyDescent="0.2">
      <c r="A12040" t="str">
        <f>"Lmnb1"</f>
        <v>Lmnb1</v>
      </c>
      <c r="B12040" t="s">
        <v>14</v>
      </c>
      <c r="C12040" t="s">
        <v>43</v>
      </c>
      <c r="D12040" t="s">
        <v>17</v>
      </c>
      <c r="E12040" t="s">
        <v>12</v>
      </c>
      <c r="F12040">
        <v>56707725</v>
      </c>
      <c r="G12040">
        <v>56707940</v>
      </c>
      <c r="H12040">
        <v>56707941</v>
      </c>
      <c r="I12040">
        <v>56707988</v>
      </c>
    </row>
    <row r="12041" spans="1:9" x14ac:dyDescent="0.2">
      <c r="A12041" t="str">
        <f>"Lmnb2"</f>
        <v>Lmnb2</v>
      </c>
      <c r="B12041" t="s">
        <v>14</v>
      </c>
      <c r="C12041" t="s">
        <v>15</v>
      </c>
      <c r="D12041" t="s">
        <v>11</v>
      </c>
      <c r="E12041" t="s">
        <v>12</v>
      </c>
      <c r="F12041">
        <v>80918212</v>
      </c>
      <c r="G12041">
        <v>80918256</v>
      </c>
      <c r="H12041">
        <v>80918182</v>
      </c>
      <c r="I12041">
        <v>80918209</v>
      </c>
    </row>
    <row r="12042" spans="1:9" x14ac:dyDescent="0.2">
      <c r="A12042" t="str">
        <f>"Lmo1"</f>
        <v>Lmo1</v>
      </c>
      <c r="B12042" t="s">
        <v>14</v>
      </c>
      <c r="C12042" t="s">
        <v>33</v>
      </c>
      <c r="D12042" t="s">
        <v>11</v>
      </c>
      <c r="E12042" t="s">
        <v>12</v>
      </c>
      <c r="F12042">
        <v>109170529</v>
      </c>
      <c r="G12042">
        <v>109170557</v>
      </c>
      <c r="H12042">
        <v>109170529</v>
      </c>
      <c r="I12042">
        <v>109170557</v>
      </c>
    </row>
    <row r="12043" spans="1:9" x14ac:dyDescent="0.2">
      <c r="A12043" t="str">
        <f>"Lmo2"</f>
        <v>Lmo2</v>
      </c>
      <c r="B12043" t="s">
        <v>9</v>
      </c>
      <c r="C12043" t="s">
        <v>26</v>
      </c>
      <c r="D12043" t="s">
        <v>17</v>
      </c>
      <c r="E12043" t="s">
        <v>12</v>
      </c>
      <c r="F12043">
        <v>103957976</v>
      </c>
      <c r="G12043">
        <v>103958021</v>
      </c>
      <c r="H12043">
        <v>103957976</v>
      </c>
      <c r="I12043">
        <v>103958021</v>
      </c>
    </row>
    <row r="12044" spans="1:9" x14ac:dyDescent="0.2">
      <c r="A12044" t="str">
        <f>"Lmo2"</f>
        <v>Lmo2</v>
      </c>
      <c r="B12044" t="s">
        <v>13</v>
      </c>
      <c r="C12044" t="s">
        <v>26</v>
      </c>
      <c r="D12044" t="s">
        <v>17</v>
      </c>
      <c r="E12044" t="s">
        <v>12</v>
      </c>
      <c r="F12044">
        <v>103969547</v>
      </c>
      <c r="G12044">
        <v>103969567</v>
      </c>
      <c r="H12044">
        <v>103969547</v>
      </c>
      <c r="I12044">
        <v>103969567</v>
      </c>
    </row>
    <row r="12045" spans="1:9" x14ac:dyDescent="0.2">
      <c r="A12045" t="str">
        <f>"Lmo3"</f>
        <v>Lmo3</v>
      </c>
      <c r="B12045" t="s">
        <v>14</v>
      </c>
      <c r="C12045" t="s">
        <v>32</v>
      </c>
      <c r="D12045" t="s">
        <v>11</v>
      </c>
      <c r="E12045" t="s">
        <v>12</v>
      </c>
      <c r="F12045">
        <v>138422864</v>
      </c>
      <c r="G12045">
        <v>138422894</v>
      </c>
      <c r="H12045">
        <v>138422864</v>
      </c>
      <c r="I12045">
        <v>138422894</v>
      </c>
    </row>
    <row r="12046" spans="1:9" x14ac:dyDescent="0.2">
      <c r="A12046" t="str">
        <f>"Lmo4"</f>
        <v>Lmo4</v>
      </c>
      <c r="B12046" t="s">
        <v>14</v>
      </c>
      <c r="C12046" t="s">
        <v>22</v>
      </c>
      <c r="D12046" t="s">
        <v>11</v>
      </c>
      <c r="E12046" t="s">
        <v>12</v>
      </c>
      <c r="F12046">
        <v>144205165</v>
      </c>
      <c r="G12046">
        <v>144205208</v>
      </c>
      <c r="H12046">
        <v>144205507</v>
      </c>
      <c r="I12046">
        <v>144205530</v>
      </c>
    </row>
    <row r="12047" spans="1:9" x14ac:dyDescent="0.2">
      <c r="A12047" t="str">
        <f>"Lmo7"</f>
        <v>Lmo7</v>
      </c>
      <c r="B12047" t="s">
        <v>4261</v>
      </c>
      <c r="C12047" t="s">
        <v>41</v>
      </c>
      <c r="D12047" t="s">
        <v>17</v>
      </c>
      <c r="E12047" t="s">
        <v>35</v>
      </c>
      <c r="F12047">
        <v>101729889</v>
      </c>
      <c r="G12047">
        <v>101729896</v>
      </c>
      <c r="H12047">
        <v>101729907</v>
      </c>
      <c r="I12047">
        <v>101729958</v>
      </c>
    </row>
    <row r="12048" spans="1:9" x14ac:dyDescent="0.2">
      <c r="A12048" t="str">
        <f>"Lmod1"</f>
        <v>Lmod1</v>
      </c>
      <c r="B12048" t="s">
        <v>14</v>
      </c>
      <c r="C12048" t="s">
        <v>19</v>
      </c>
      <c r="D12048" t="s">
        <v>17</v>
      </c>
      <c r="E12048" t="s">
        <v>12</v>
      </c>
      <c r="F12048">
        <v>135324770</v>
      </c>
      <c r="G12048">
        <v>135324820</v>
      </c>
      <c r="H12048">
        <v>135324822</v>
      </c>
      <c r="I12048">
        <v>135324856</v>
      </c>
    </row>
    <row r="12049" spans="1:9" x14ac:dyDescent="0.2">
      <c r="A12049" t="str">
        <f>"Lmod2"</f>
        <v>Lmod2</v>
      </c>
      <c r="B12049" t="s">
        <v>14</v>
      </c>
      <c r="C12049" t="s">
        <v>32</v>
      </c>
      <c r="D12049" t="s">
        <v>17</v>
      </c>
      <c r="E12049" t="s">
        <v>12</v>
      </c>
      <c r="F12049">
        <v>24597754</v>
      </c>
      <c r="G12049">
        <v>24597778</v>
      </c>
      <c r="H12049">
        <v>24597754</v>
      </c>
      <c r="I12049">
        <v>24597778</v>
      </c>
    </row>
    <row r="12050" spans="1:9" x14ac:dyDescent="0.2">
      <c r="A12050" t="str">
        <f>"Lmod3"</f>
        <v>Lmod3</v>
      </c>
      <c r="B12050" t="s">
        <v>14</v>
      </c>
      <c r="C12050" t="s">
        <v>32</v>
      </c>
      <c r="D12050" t="s">
        <v>11</v>
      </c>
      <c r="E12050" t="s">
        <v>12</v>
      </c>
      <c r="F12050">
        <v>97252747</v>
      </c>
      <c r="G12050">
        <v>97252765</v>
      </c>
      <c r="H12050">
        <v>97252723</v>
      </c>
      <c r="I12050">
        <v>97252737</v>
      </c>
    </row>
    <row r="12051" spans="1:9" x14ac:dyDescent="0.2">
      <c r="A12051" t="str">
        <f>"Lmtk2"</f>
        <v>Lmtk2</v>
      </c>
      <c r="B12051" t="s">
        <v>14</v>
      </c>
      <c r="C12051" t="s">
        <v>46</v>
      </c>
      <c r="D12051" t="s">
        <v>17</v>
      </c>
      <c r="E12051" t="s">
        <v>12</v>
      </c>
      <c r="F12051">
        <v>144100353</v>
      </c>
      <c r="G12051">
        <v>144100383</v>
      </c>
      <c r="H12051">
        <v>144100387</v>
      </c>
      <c r="I12051">
        <v>144100396</v>
      </c>
    </row>
    <row r="12052" spans="1:9" x14ac:dyDescent="0.2">
      <c r="A12052" t="str">
        <f>"Lmtk3"</f>
        <v>Lmtk3</v>
      </c>
      <c r="B12052" t="s">
        <v>9</v>
      </c>
      <c r="C12052" t="s">
        <v>33</v>
      </c>
      <c r="D12052" t="s">
        <v>17</v>
      </c>
      <c r="E12052" t="s">
        <v>12</v>
      </c>
      <c r="F12052">
        <v>45785331</v>
      </c>
      <c r="G12052">
        <v>45785390</v>
      </c>
      <c r="H12052">
        <v>45785331</v>
      </c>
      <c r="I12052">
        <v>45785390</v>
      </c>
    </row>
    <row r="12053" spans="1:9" x14ac:dyDescent="0.2">
      <c r="A12053" t="str">
        <f>"Lmtk3"</f>
        <v>Lmtk3</v>
      </c>
      <c r="B12053" t="s">
        <v>13</v>
      </c>
      <c r="C12053" t="s">
        <v>33</v>
      </c>
      <c r="D12053" t="s">
        <v>17</v>
      </c>
      <c r="E12053" t="s">
        <v>12</v>
      </c>
      <c r="F12053">
        <v>45783883</v>
      </c>
      <c r="G12053">
        <v>45783944</v>
      </c>
      <c r="H12053">
        <v>45783883</v>
      </c>
      <c r="I12053">
        <v>45783944</v>
      </c>
    </row>
    <row r="12054" spans="1:9" x14ac:dyDescent="0.2">
      <c r="A12054" t="str">
        <f>"Lmx1a"</f>
        <v>Lmx1a</v>
      </c>
      <c r="B12054" t="s">
        <v>14</v>
      </c>
      <c r="C12054" t="s">
        <v>19</v>
      </c>
      <c r="D12054" t="s">
        <v>17</v>
      </c>
      <c r="E12054" t="s">
        <v>12</v>
      </c>
      <c r="F12054">
        <v>167689552</v>
      </c>
      <c r="G12054">
        <v>167689563</v>
      </c>
      <c r="H12054">
        <v>167689565</v>
      </c>
      <c r="I12054">
        <v>167689577</v>
      </c>
    </row>
    <row r="12055" spans="1:9" x14ac:dyDescent="0.2">
      <c r="A12055" t="str">
        <f>"Lmx1b"</f>
        <v>Lmx1b</v>
      </c>
      <c r="B12055" t="s">
        <v>14</v>
      </c>
      <c r="C12055" t="s">
        <v>26</v>
      </c>
      <c r="D12055" t="s">
        <v>11</v>
      </c>
      <c r="E12055" t="s">
        <v>12</v>
      </c>
      <c r="F12055">
        <v>33640866</v>
      </c>
      <c r="G12055">
        <v>33640890</v>
      </c>
      <c r="H12055">
        <v>33640866</v>
      </c>
      <c r="I12055">
        <v>33640890</v>
      </c>
    </row>
    <row r="12056" spans="1:9" x14ac:dyDescent="0.2">
      <c r="A12056" t="str">
        <f>"Lnp"</f>
        <v>Lnp</v>
      </c>
      <c r="B12056" t="s">
        <v>14</v>
      </c>
      <c r="C12056" t="s">
        <v>26</v>
      </c>
      <c r="D12056" t="s">
        <v>11</v>
      </c>
      <c r="E12056" t="s">
        <v>12</v>
      </c>
      <c r="F12056">
        <v>74578875</v>
      </c>
      <c r="G12056">
        <v>74578954</v>
      </c>
      <c r="H12056">
        <v>74578956</v>
      </c>
      <c r="I12056">
        <v>74578969</v>
      </c>
    </row>
    <row r="12057" spans="1:9" x14ac:dyDescent="0.2">
      <c r="A12057" t="str">
        <f>"Lnpep"</f>
        <v>Lnpep</v>
      </c>
      <c r="B12057" t="s">
        <v>14</v>
      </c>
      <c r="C12057" t="s">
        <v>28</v>
      </c>
      <c r="D12057" t="s">
        <v>11</v>
      </c>
      <c r="E12057" t="s">
        <v>12</v>
      </c>
      <c r="F12057">
        <v>17624458</v>
      </c>
      <c r="G12057">
        <v>17624496</v>
      </c>
      <c r="H12057">
        <v>17625031</v>
      </c>
      <c r="I12057">
        <v>17625067</v>
      </c>
    </row>
    <row r="12058" spans="1:9" x14ac:dyDescent="0.2">
      <c r="A12058" t="str">
        <f>"Lnx1"</f>
        <v>Lnx1</v>
      </c>
      <c r="B12058" t="s">
        <v>14</v>
      </c>
      <c r="C12058" t="s">
        <v>46</v>
      </c>
      <c r="D12058" t="s">
        <v>11</v>
      </c>
      <c r="E12058" t="s">
        <v>12</v>
      </c>
      <c r="F12058">
        <v>74702854</v>
      </c>
      <c r="G12058">
        <v>74702886</v>
      </c>
      <c r="H12058">
        <v>74702854</v>
      </c>
      <c r="I12058">
        <v>74702886</v>
      </c>
    </row>
    <row r="12059" spans="1:9" x14ac:dyDescent="0.2">
      <c r="A12059" t="str">
        <f>"Lnx2"</f>
        <v>Lnx2</v>
      </c>
      <c r="B12059" t="s">
        <v>14</v>
      </c>
      <c r="C12059" t="s">
        <v>46</v>
      </c>
      <c r="D12059" t="s">
        <v>11</v>
      </c>
      <c r="E12059" t="s">
        <v>12</v>
      </c>
      <c r="F12059">
        <v>147076482</v>
      </c>
      <c r="G12059">
        <v>147076565</v>
      </c>
      <c r="H12059">
        <v>147076581</v>
      </c>
      <c r="I12059">
        <v>147076589</v>
      </c>
    </row>
    <row r="12060" spans="1:9" x14ac:dyDescent="0.2">
      <c r="A12060" t="str">
        <f>"Loh12cr1"</f>
        <v>Loh12cr1</v>
      </c>
      <c r="B12060" t="s">
        <v>14</v>
      </c>
      <c r="C12060" t="s">
        <v>32</v>
      </c>
      <c r="D12060" t="s">
        <v>17</v>
      </c>
      <c r="E12060" t="s">
        <v>12</v>
      </c>
      <c r="F12060">
        <v>134641019</v>
      </c>
      <c r="G12060">
        <v>134641097</v>
      </c>
      <c r="H12060">
        <v>134640979</v>
      </c>
      <c r="I12060">
        <v>134641014</v>
      </c>
    </row>
    <row r="12061" spans="1:9" x14ac:dyDescent="0.2">
      <c r="A12061" t="str">
        <f>"Lonp1"</f>
        <v>Lonp1</v>
      </c>
      <c r="B12061" t="s">
        <v>14</v>
      </c>
      <c r="C12061" t="s">
        <v>28</v>
      </c>
      <c r="D12061" t="s">
        <v>11</v>
      </c>
      <c r="E12061" t="s">
        <v>12</v>
      </c>
      <c r="F12061">
        <v>56626872</v>
      </c>
      <c r="G12061">
        <v>56626893</v>
      </c>
      <c r="H12061">
        <v>56626516</v>
      </c>
      <c r="I12061">
        <v>56626557</v>
      </c>
    </row>
    <row r="12062" spans="1:9" x14ac:dyDescent="0.2">
      <c r="A12062" t="str">
        <f>"Lonp2"</f>
        <v>Lonp2</v>
      </c>
      <c r="B12062" t="s">
        <v>14</v>
      </c>
      <c r="C12062" t="s">
        <v>30</v>
      </c>
      <c r="D12062" t="s">
        <v>17</v>
      </c>
      <c r="E12062" t="s">
        <v>12</v>
      </c>
      <c r="F12062">
        <v>86624064</v>
      </c>
      <c r="G12062">
        <v>86624161</v>
      </c>
      <c r="H12062">
        <v>86624046</v>
      </c>
      <c r="I12062">
        <v>86624060</v>
      </c>
    </row>
    <row r="12063" spans="1:9" x14ac:dyDescent="0.2">
      <c r="A12063" t="str">
        <f>"Lonrf1"</f>
        <v>Lonrf1</v>
      </c>
      <c r="B12063" t="s">
        <v>14</v>
      </c>
      <c r="C12063" t="s">
        <v>30</v>
      </c>
      <c r="D12063" t="s">
        <v>11</v>
      </c>
      <c r="E12063" t="s">
        <v>12</v>
      </c>
      <c r="F12063">
        <v>36249506</v>
      </c>
      <c r="G12063">
        <v>36249530</v>
      </c>
      <c r="H12063">
        <v>36249506</v>
      </c>
      <c r="I12063">
        <v>36249530</v>
      </c>
    </row>
    <row r="12064" spans="1:9" x14ac:dyDescent="0.2">
      <c r="A12064" t="str">
        <f>"Lonrf2"</f>
        <v>Lonrf2</v>
      </c>
      <c r="B12064" t="s">
        <v>14</v>
      </c>
      <c r="C12064" t="s">
        <v>19</v>
      </c>
      <c r="D12064" t="s">
        <v>11</v>
      </c>
      <c r="E12064" t="s">
        <v>12</v>
      </c>
      <c r="F12064">
        <v>38836533</v>
      </c>
      <c r="G12064">
        <v>38836628</v>
      </c>
      <c r="H12064">
        <v>38836533</v>
      </c>
      <c r="I12064">
        <v>38836628</v>
      </c>
    </row>
    <row r="12065" spans="1:9" x14ac:dyDescent="0.2">
      <c r="A12065" t="str">
        <f>"Lonrf3"</f>
        <v>Lonrf3</v>
      </c>
      <c r="B12065" t="s">
        <v>14</v>
      </c>
      <c r="C12065" t="s">
        <v>37</v>
      </c>
      <c r="D12065" t="s">
        <v>17</v>
      </c>
      <c r="E12065" t="s">
        <v>12</v>
      </c>
      <c r="F12065">
        <v>36328399</v>
      </c>
      <c r="G12065">
        <v>36328418</v>
      </c>
      <c r="H12065">
        <v>36328420</v>
      </c>
      <c r="I12065">
        <v>36328441</v>
      </c>
    </row>
    <row r="12066" spans="1:9" x14ac:dyDescent="0.2">
      <c r="A12066" t="str">
        <f>"Lor"</f>
        <v>Lor</v>
      </c>
      <c r="B12066" t="s">
        <v>14</v>
      </c>
      <c r="C12066" t="s">
        <v>22</v>
      </c>
      <c r="D12066" t="s">
        <v>11</v>
      </c>
      <c r="E12066" t="s">
        <v>12</v>
      </c>
      <c r="F12066">
        <v>92083132</v>
      </c>
      <c r="G12066">
        <v>92083147</v>
      </c>
      <c r="H12066">
        <v>92083132</v>
      </c>
      <c r="I12066">
        <v>92083147</v>
      </c>
    </row>
    <row r="12067" spans="1:9" x14ac:dyDescent="0.2">
      <c r="A12067" t="str">
        <f>"Lox"</f>
        <v>Lox</v>
      </c>
      <c r="B12067" t="s">
        <v>14</v>
      </c>
      <c r="C12067" t="s">
        <v>43</v>
      </c>
      <c r="D12067" t="s">
        <v>11</v>
      </c>
      <c r="E12067" t="s">
        <v>12</v>
      </c>
      <c r="F12067">
        <v>52529595</v>
      </c>
      <c r="G12067">
        <v>52529618</v>
      </c>
      <c r="H12067">
        <v>52529656</v>
      </c>
      <c r="I12067">
        <v>52529673</v>
      </c>
    </row>
    <row r="12068" spans="1:9" x14ac:dyDescent="0.2">
      <c r="A12068" t="str">
        <f>"Loxhd1"</f>
        <v>Loxhd1</v>
      </c>
      <c r="B12068" t="s">
        <v>14</v>
      </c>
      <c r="C12068" t="s">
        <v>43</v>
      </c>
      <c r="D12068" t="s">
        <v>17</v>
      </c>
      <c r="E12068" t="s">
        <v>12</v>
      </c>
      <c r="F12068">
        <v>77281676</v>
      </c>
      <c r="G12068">
        <v>77281696</v>
      </c>
      <c r="H12068">
        <v>77281676</v>
      </c>
      <c r="I12068">
        <v>77281696</v>
      </c>
    </row>
    <row r="12069" spans="1:9" x14ac:dyDescent="0.2">
      <c r="A12069" t="str">
        <f>"Loxl1"</f>
        <v>Loxl1</v>
      </c>
      <c r="B12069" t="s">
        <v>14</v>
      </c>
      <c r="C12069" t="s">
        <v>24</v>
      </c>
      <c r="D12069" t="s">
        <v>11</v>
      </c>
      <c r="E12069" t="s">
        <v>12</v>
      </c>
      <c r="F12069">
        <v>58313189</v>
      </c>
      <c r="G12069">
        <v>58313212</v>
      </c>
      <c r="H12069">
        <v>58312961</v>
      </c>
      <c r="I12069">
        <v>58312973</v>
      </c>
    </row>
    <row r="12070" spans="1:9" x14ac:dyDescent="0.2">
      <c r="A12070" t="str">
        <f>"Loxl2"</f>
        <v>Loxl2</v>
      </c>
      <c r="B12070" t="s">
        <v>14</v>
      </c>
      <c r="C12070" t="s">
        <v>41</v>
      </c>
      <c r="D12070" t="s">
        <v>17</v>
      </c>
      <c r="E12070" t="s">
        <v>12</v>
      </c>
      <c r="F12070">
        <v>69609160</v>
      </c>
      <c r="G12070">
        <v>69609174</v>
      </c>
      <c r="H12070">
        <v>69609048</v>
      </c>
      <c r="I12070">
        <v>69609081</v>
      </c>
    </row>
    <row r="12071" spans="1:9" x14ac:dyDescent="0.2">
      <c r="A12071" t="str">
        <f>"Loxl3"</f>
        <v>Loxl3</v>
      </c>
      <c r="B12071" t="s">
        <v>9</v>
      </c>
      <c r="C12071" t="s">
        <v>32</v>
      </c>
      <c r="D12071" t="s">
        <v>17</v>
      </c>
      <c r="E12071" t="s">
        <v>12</v>
      </c>
      <c r="F12071">
        <v>83034188</v>
      </c>
      <c r="G12071">
        <v>83034252</v>
      </c>
      <c r="H12071">
        <v>83034188</v>
      </c>
      <c r="I12071">
        <v>83034252</v>
      </c>
    </row>
    <row r="12072" spans="1:9" x14ac:dyDescent="0.2">
      <c r="A12072" t="str">
        <f>"Loxl3"</f>
        <v>Loxl3</v>
      </c>
      <c r="B12072" t="s">
        <v>13</v>
      </c>
      <c r="C12072" t="s">
        <v>32</v>
      </c>
      <c r="D12072" t="s">
        <v>17</v>
      </c>
      <c r="E12072" t="s">
        <v>12</v>
      </c>
      <c r="F12072">
        <v>83048523</v>
      </c>
      <c r="G12072">
        <v>83048528</v>
      </c>
      <c r="H12072">
        <v>83048523</v>
      </c>
      <c r="I12072">
        <v>83048528</v>
      </c>
    </row>
    <row r="12073" spans="1:9" x14ac:dyDescent="0.2">
      <c r="A12073" t="str">
        <f>"Loxl4"</f>
        <v>Loxl4</v>
      </c>
      <c r="B12073" t="s">
        <v>14</v>
      </c>
      <c r="C12073" t="s">
        <v>10</v>
      </c>
      <c r="D12073" t="s">
        <v>11</v>
      </c>
      <c r="E12073" t="s">
        <v>12</v>
      </c>
      <c r="F12073">
        <v>42612766</v>
      </c>
      <c r="G12073">
        <v>42612781</v>
      </c>
      <c r="H12073">
        <v>42612847</v>
      </c>
      <c r="I12073">
        <v>42612859</v>
      </c>
    </row>
    <row r="12074" spans="1:9" x14ac:dyDescent="0.2">
      <c r="A12074" t="str">
        <f>"Lpar1"</f>
        <v>Lpar1</v>
      </c>
      <c r="B12074" t="s">
        <v>14</v>
      </c>
      <c r="C12074" t="s">
        <v>23</v>
      </c>
      <c r="D12074" t="s">
        <v>11</v>
      </c>
      <c r="E12074" t="s">
        <v>12</v>
      </c>
      <c r="F12074">
        <v>58553187</v>
      </c>
      <c r="G12074">
        <v>58553261</v>
      </c>
      <c r="H12074">
        <v>58553263</v>
      </c>
      <c r="I12074">
        <v>58553275</v>
      </c>
    </row>
    <row r="12075" spans="1:9" x14ac:dyDescent="0.2">
      <c r="A12075" t="str">
        <f>"Lpar2"</f>
        <v>Lpar2</v>
      </c>
      <c r="B12075" t="s">
        <v>14</v>
      </c>
      <c r="C12075" t="s">
        <v>30</v>
      </c>
      <c r="D12075" t="s">
        <v>17</v>
      </c>
      <c r="E12075" t="s">
        <v>12</v>
      </c>
      <c r="F12075">
        <v>69822597</v>
      </c>
      <c r="G12075">
        <v>69822635</v>
      </c>
      <c r="H12075">
        <v>69822562</v>
      </c>
      <c r="I12075">
        <v>69822592</v>
      </c>
    </row>
    <row r="12076" spans="1:9" x14ac:dyDescent="0.2">
      <c r="A12076" t="str">
        <f>"Lpar3"</f>
        <v>Lpar3</v>
      </c>
      <c r="B12076" t="s">
        <v>14</v>
      </c>
      <c r="C12076" t="s">
        <v>22</v>
      </c>
      <c r="D12076" t="s">
        <v>17</v>
      </c>
      <c r="E12076" t="s">
        <v>12</v>
      </c>
      <c r="F12076">
        <v>146220955</v>
      </c>
      <c r="G12076">
        <v>146221009</v>
      </c>
      <c r="H12076">
        <v>146220935</v>
      </c>
      <c r="I12076">
        <v>146220950</v>
      </c>
    </row>
    <row r="12077" spans="1:9" x14ac:dyDescent="0.2">
      <c r="A12077" t="str">
        <f>"Lpar4"</f>
        <v>Lpar4</v>
      </c>
      <c r="B12077" t="s">
        <v>14</v>
      </c>
      <c r="C12077" t="s">
        <v>37</v>
      </c>
      <c r="D12077" t="s">
        <v>17</v>
      </c>
      <c r="E12077" t="s">
        <v>12</v>
      </c>
      <c r="F12077">
        <v>106920643</v>
      </c>
      <c r="G12077">
        <v>106920699</v>
      </c>
      <c r="H12077">
        <v>106920618</v>
      </c>
      <c r="I12077">
        <v>106920632</v>
      </c>
    </row>
    <row r="12078" spans="1:9" x14ac:dyDescent="0.2">
      <c r="A12078" t="str">
        <f>"Lpar5"</f>
        <v>Lpar5</v>
      </c>
      <c r="B12078" t="s">
        <v>9</v>
      </c>
      <c r="C12078" t="s">
        <v>32</v>
      </c>
      <c r="D12078" t="s">
        <v>17</v>
      </c>
      <c r="E12078" t="s">
        <v>12</v>
      </c>
      <c r="F12078">
        <v>125067913</v>
      </c>
      <c r="G12078">
        <v>125067942</v>
      </c>
      <c r="H12078">
        <v>125067913</v>
      </c>
      <c r="I12078">
        <v>125067942</v>
      </c>
    </row>
    <row r="12079" spans="1:9" x14ac:dyDescent="0.2">
      <c r="A12079" t="str">
        <f>"Lpar5"</f>
        <v>Lpar5</v>
      </c>
      <c r="B12079" t="s">
        <v>13</v>
      </c>
      <c r="C12079" t="s">
        <v>32</v>
      </c>
      <c r="D12079" t="s">
        <v>17</v>
      </c>
      <c r="E12079" t="s">
        <v>12</v>
      </c>
      <c r="F12079">
        <v>125071326</v>
      </c>
      <c r="G12079">
        <v>125071345</v>
      </c>
      <c r="H12079">
        <v>125071326</v>
      </c>
      <c r="I12079">
        <v>125071345</v>
      </c>
    </row>
    <row r="12080" spans="1:9" x14ac:dyDescent="0.2">
      <c r="A12080" t="str">
        <f>"Lpar6"</f>
        <v>Lpar6</v>
      </c>
      <c r="B12080" t="s">
        <v>14</v>
      </c>
      <c r="C12080" t="s">
        <v>41</v>
      </c>
      <c r="D12080" t="s">
        <v>17</v>
      </c>
      <c r="E12080" t="s">
        <v>12</v>
      </c>
      <c r="F12080">
        <v>73237989</v>
      </c>
      <c r="G12080">
        <v>73238007</v>
      </c>
      <c r="H12080">
        <v>73238010</v>
      </c>
      <c r="I12080">
        <v>73238021</v>
      </c>
    </row>
    <row r="12081" spans="1:9" x14ac:dyDescent="0.2">
      <c r="A12081" t="str">
        <f>"Lpcat1"</f>
        <v>Lpcat1</v>
      </c>
      <c r="B12081" t="s">
        <v>14</v>
      </c>
      <c r="C12081" t="s">
        <v>39</v>
      </c>
      <c r="D12081" t="s">
        <v>17</v>
      </c>
      <c r="E12081" t="s">
        <v>12</v>
      </c>
      <c r="F12081">
        <v>73467214</v>
      </c>
      <c r="G12081">
        <v>73467316</v>
      </c>
      <c r="H12081">
        <v>73467214</v>
      </c>
      <c r="I12081">
        <v>73467316</v>
      </c>
    </row>
    <row r="12082" spans="1:9" x14ac:dyDescent="0.2">
      <c r="A12082" t="str">
        <f>"Lpcat2"</f>
        <v>Lpcat2</v>
      </c>
      <c r="B12082" t="s">
        <v>14</v>
      </c>
      <c r="C12082" t="s">
        <v>30</v>
      </c>
      <c r="D12082" t="s">
        <v>17</v>
      </c>
      <c r="E12082" t="s">
        <v>12</v>
      </c>
      <c r="F12082">
        <v>92855319</v>
      </c>
      <c r="G12082">
        <v>92855400</v>
      </c>
      <c r="H12082">
        <v>92855406</v>
      </c>
      <c r="I12082">
        <v>92855413</v>
      </c>
    </row>
    <row r="12083" spans="1:9" x14ac:dyDescent="0.2">
      <c r="A12083" t="str">
        <f>"Lpcat2b"</f>
        <v>Lpcat2b</v>
      </c>
      <c r="B12083" t="s">
        <v>14</v>
      </c>
      <c r="C12083" t="s">
        <v>46</v>
      </c>
      <c r="D12083" t="s">
        <v>17</v>
      </c>
      <c r="E12083" t="s">
        <v>12</v>
      </c>
      <c r="F12083">
        <v>107431541</v>
      </c>
      <c r="G12083">
        <v>107431558</v>
      </c>
      <c r="H12083">
        <v>107431565</v>
      </c>
      <c r="I12083">
        <v>107431571</v>
      </c>
    </row>
    <row r="12084" spans="1:9" x14ac:dyDescent="0.2">
      <c r="A12084" t="str">
        <f>"Lpcat3"</f>
        <v>Lpcat3</v>
      </c>
      <c r="B12084" t="s">
        <v>14</v>
      </c>
      <c r="C12084" t="s">
        <v>32</v>
      </c>
      <c r="D12084" t="s">
        <v>17</v>
      </c>
      <c r="E12084" t="s">
        <v>12</v>
      </c>
      <c r="F12084">
        <v>124663093</v>
      </c>
      <c r="G12084">
        <v>124663174</v>
      </c>
      <c r="H12084">
        <v>124663189</v>
      </c>
      <c r="I12084">
        <v>124663212</v>
      </c>
    </row>
    <row r="12085" spans="1:9" x14ac:dyDescent="0.2">
      <c r="A12085" t="str">
        <f>"Lpcat4"</f>
        <v>Lpcat4</v>
      </c>
      <c r="B12085" t="s">
        <v>14</v>
      </c>
      <c r="C12085" t="s">
        <v>26</v>
      </c>
      <c r="D12085" t="s">
        <v>17</v>
      </c>
      <c r="E12085" t="s">
        <v>12</v>
      </c>
      <c r="F12085">
        <v>112239815</v>
      </c>
      <c r="G12085">
        <v>112239860</v>
      </c>
      <c r="H12085">
        <v>112239784</v>
      </c>
      <c r="I12085">
        <v>112239795</v>
      </c>
    </row>
    <row r="12086" spans="1:9" x14ac:dyDescent="0.2">
      <c r="A12086" t="str">
        <f>"Lpgat1"</f>
        <v>Lpgat1</v>
      </c>
      <c r="B12086" t="s">
        <v>14</v>
      </c>
      <c r="C12086" t="s">
        <v>19</v>
      </c>
      <c r="D12086" t="s">
        <v>17</v>
      </c>
      <c r="E12086" t="s">
        <v>12</v>
      </c>
      <c r="F12086">
        <v>191718395</v>
      </c>
      <c r="G12086">
        <v>191718431</v>
      </c>
      <c r="H12086">
        <v>191717993</v>
      </c>
      <c r="I12086">
        <v>191718030</v>
      </c>
    </row>
    <row r="12087" spans="1:9" x14ac:dyDescent="0.2">
      <c r="A12087" t="str">
        <f>"Lphn1"</f>
        <v>Lphn1</v>
      </c>
      <c r="B12087" t="s">
        <v>14</v>
      </c>
      <c r="C12087" t="s">
        <v>30</v>
      </c>
      <c r="D12087" t="s">
        <v>17</v>
      </c>
      <c r="E12087" t="s">
        <v>12</v>
      </c>
      <c r="F12087">
        <v>83900114</v>
      </c>
      <c r="G12087">
        <v>83900165</v>
      </c>
      <c r="H12087">
        <v>83900096</v>
      </c>
      <c r="I12087">
        <v>83900110</v>
      </c>
    </row>
    <row r="12088" spans="1:9" x14ac:dyDescent="0.2">
      <c r="A12088" t="str">
        <f>"Lphn2"</f>
        <v>Lphn2</v>
      </c>
      <c r="B12088" t="s">
        <v>4262</v>
      </c>
      <c r="C12088" t="s">
        <v>22</v>
      </c>
      <c r="D12088" t="s">
        <v>11</v>
      </c>
      <c r="E12088" t="s">
        <v>20</v>
      </c>
      <c r="F12088">
        <v>148954634</v>
      </c>
      <c r="G12088">
        <v>148954634</v>
      </c>
      <c r="H12088">
        <v>148954634</v>
      </c>
      <c r="I12088">
        <v>148954634</v>
      </c>
    </row>
    <row r="12089" spans="1:9" x14ac:dyDescent="0.2">
      <c r="A12089" t="str">
        <f>"Lphn3"</f>
        <v>Lphn3</v>
      </c>
      <c r="B12089" t="s">
        <v>9</v>
      </c>
      <c r="C12089" t="s">
        <v>46</v>
      </c>
      <c r="D12089" t="s">
        <v>17</v>
      </c>
      <c r="E12089" t="s">
        <v>12</v>
      </c>
      <c r="F12089">
        <v>81019734</v>
      </c>
      <c r="G12089">
        <v>81019762</v>
      </c>
      <c r="H12089">
        <v>81019734</v>
      </c>
      <c r="I12089">
        <v>81019762</v>
      </c>
    </row>
    <row r="12090" spans="1:9" x14ac:dyDescent="0.2">
      <c r="A12090" t="str">
        <f>"Lphn3"</f>
        <v>Lphn3</v>
      </c>
      <c r="B12090" t="s">
        <v>13</v>
      </c>
      <c r="C12090" t="s">
        <v>46</v>
      </c>
      <c r="D12090" t="s">
        <v>17</v>
      </c>
      <c r="E12090" t="s">
        <v>12</v>
      </c>
      <c r="F12090">
        <v>81020746</v>
      </c>
      <c r="G12090">
        <v>81020761</v>
      </c>
      <c r="H12090">
        <v>81020746</v>
      </c>
      <c r="I12090">
        <v>81020761</v>
      </c>
    </row>
    <row r="12091" spans="1:9" x14ac:dyDescent="0.2">
      <c r="A12091" t="str">
        <f>"Lpin1"</f>
        <v>Lpin1</v>
      </c>
      <c r="B12091" t="s">
        <v>14</v>
      </c>
      <c r="C12091" t="s">
        <v>16</v>
      </c>
      <c r="D12091" t="s">
        <v>11</v>
      </c>
      <c r="E12091" t="s">
        <v>12</v>
      </c>
      <c r="F12091">
        <v>16589743</v>
      </c>
      <c r="G12091">
        <v>16589826</v>
      </c>
      <c r="H12091">
        <v>16589723</v>
      </c>
      <c r="I12091">
        <v>16589735</v>
      </c>
    </row>
    <row r="12092" spans="1:9" x14ac:dyDescent="0.2">
      <c r="A12092" t="str">
        <f>"Lpin2"</f>
        <v>Lpin2</v>
      </c>
      <c r="B12092" t="s">
        <v>14</v>
      </c>
      <c r="C12092" t="s">
        <v>28</v>
      </c>
      <c r="D12092" t="s">
        <v>17</v>
      </c>
      <c r="E12092" t="s">
        <v>12</v>
      </c>
      <c r="F12092">
        <v>71183576</v>
      </c>
      <c r="G12092">
        <v>71183598</v>
      </c>
      <c r="H12092">
        <v>71183545</v>
      </c>
      <c r="I12092">
        <v>71183570</v>
      </c>
    </row>
    <row r="12093" spans="1:9" x14ac:dyDescent="0.2">
      <c r="A12093" t="str">
        <f>"Lpin3"</f>
        <v>Lpin3</v>
      </c>
      <c r="B12093" t="s">
        <v>14</v>
      </c>
      <c r="C12093" t="s">
        <v>26</v>
      </c>
      <c r="D12093" t="s">
        <v>17</v>
      </c>
      <c r="E12093" t="s">
        <v>12</v>
      </c>
      <c r="F12093">
        <v>160888156</v>
      </c>
      <c r="G12093">
        <v>160888199</v>
      </c>
      <c r="H12093">
        <v>160888101</v>
      </c>
      <c r="I12093">
        <v>160888113</v>
      </c>
    </row>
    <row r="12094" spans="1:9" x14ac:dyDescent="0.2">
      <c r="A12094" t="str">
        <f>"Lpl"</f>
        <v>Lpl</v>
      </c>
      <c r="B12094" t="s">
        <v>14</v>
      </c>
      <c r="C12094" t="s">
        <v>30</v>
      </c>
      <c r="D12094" t="s">
        <v>17</v>
      </c>
      <c r="E12094" t="s">
        <v>12</v>
      </c>
      <c r="F12094">
        <v>68880548</v>
      </c>
      <c r="G12094">
        <v>68880564</v>
      </c>
      <c r="H12094">
        <v>68880650</v>
      </c>
      <c r="I12094">
        <v>68880672</v>
      </c>
    </row>
    <row r="12095" spans="1:9" x14ac:dyDescent="0.2">
      <c r="A12095" t="str">
        <f>"Lpo"</f>
        <v>Lpo</v>
      </c>
      <c r="B12095" t="s">
        <v>9</v>
      </c>
      <c r="C12095" t="s">
        <v>27</v>
      </c>
      <c r="D12095" t="s">
        <v>11</v>
      </c>
      <c r="E12095" t="s">
        <v>12</v>
      </c>
      <c r="F12095">
        <v>87825772</v>
      </c>
      <c r="G12095">
        <v>87825789</v>
      </c>
      <c r="H12095">
        <v>87825772</v>
      </c>
      <c r="I12095">
        <v>87825789</v>
      </c>
    </row>
    <row r="12096" spans="1:9" x14ac:dyDescent="0.2">
      <c r="A12096" t="str">
        <f>"Lpo"</f>
        <v>Lpo</v>
      </c>
      <c r="B12096" t="s">
        <v>13</v>
      </c>
      <c r="C12096" t="s">
        <v>27</v>
      </c>
      <c r="D12096" t="s">
        <v>11</v>
      </c>
      <c r="E12096" t="s">
        <v>12</v>
      </c>
      <c r="F12096">
        <v>87828309</v>
      </c>
      <c r="G12096">
        <v>87828324</v>
      </c>
      <c r="H12096">
        <v>87828309</v>
      </c>
      <c r="I12096">
        <v>87828324</v>
      </c>
    </row>
    <row r="12097" spans="1:9" x14ac:dyDescent="0.2">
      <c r="A12097" t="str">
        <f>"Lpp"</f>
        <v>Lpp</v>
      </c>
      <c r="B12097" t="s">
        <v>14</v>
      </c>
      <c r="C12097" t="s">
        <v>31</v>
      </c>
      <c r="D12097" t="s">
        <v>17</v>
      </c>
      <c r="E12097" t="s">
        <v>12</v>
      </c>
      <c r="F12097">
        <v>24393708</v>
      </c>
      <c r="G12097">
        <v>24393763</v>
      </c>
      <c r="H12097">
        <v>24393464</v>
      </c>
      <c r="I12097">
        <v>24393528</v>
      </c>
    </row>
    <row r="12098" spans="1:9" x14ac:dyDescent="0.2">
      <c r="A12098" t="str">
        <f>"Lpxn"</f>
        <v>Lpxn</v>
      </c>
      <c r="B12098" t="s">
        <v>14</v>
      </c>
      <c r="C12098" t="s">
        <v>10</v>
      </c>
      <c r="D12098" t="s">
        <v>17</v>
      </c>
      <c r="E12098" t="s">
        <v>12</v>
      </c>
      <c r="F12098">
        <v>12798574</v>
      </c>
      <c r="G12098">
        <v>12798589</v>
      </c>
      <c r="H12098">
        <v>12798574</v>
      </c>
      <c r="I12098">
        <v>12798589</v>
      </c>
    </row>
    <row r="12099" spans="1:9" x14ac:dyDescent="0.2">
      <c r="A12099" t="str">
        <f>"Lrat"</f>
        <v>Lrat</v>
      </c>
      <c r="B12099" t="s">
        <v>14</v>
      </c>
      <c r="C12099" t="s">
        <v>22</v>
      </c>
      <c r="D12099" t="s">
        <v>11</v>
      </c>
      <c r="E12099" t="s">
        <v>12</v>
      </c>
      <c r="F12099">
        <v>82903963</v>
      </c>
      <c r="G12099">
        <v>82903981</v>
      </c>
      <c r="H12099">
        <v>82903917</v>
      </c>
      <c r="I12099">
        <v>82903928</v>
      </c>
    </row>
    <row r="12100" spans="1:9" x14ac:dyDescent="0.2">
      <c r="A12100" t="str">
        <f>"Lrba"</f>
        <v>Lrba</v>
      </c>
      <c r="B12100" t="s">
        <v>14</v>
      </c>
      <c r="C12100" t="s">
        <v>22</v>
      </c>
      <c r="D12100" t="s">
        <v>17</v>
      </c>
      <c r="E12100" t="s">
        <v>12</v>
      </c>
      <c r="F12100">
        <v>86224665</v>
      </c>
      <c r="G12100">
        <v>86224717</v>
      </c>
      <c r="H12100">
        <v>86224199</v>
      </c>
      <c r="I12100">
        <v>86224243</v>
      </c>
    </row>
    <row r="12101" spans="1:9" x14ac:dyDescent="0.2">
      <c r="A12101" t="str">
        <f>"Lrch1"</f>
        <v>Lrch1</v>
      </c>
      <c r="B12101" t="s">
        <v>14</v>
      </c>
      <c r="C12101" t="s">
        <v>41</v>
      </c>
      <c r="D12101" t="s">
        <v>11</v>
      </c>
      <c r="E12101" t="s">
        <v>12</v>
      </c>
      <c r="F12101">
        <v>74947865</v>
      </c>
      <c r="G12101">
        <v>74947883</v>
      </c>
      <c r="H12101">
        <v>74947841</v>
      </c>
      <c r="I12101">
        <v>74947858</v>
      </c>
    </row>
    <row r="12102" spans="1:9" x14ac:dyDescent="0.2">
      <c r="A12102" t="str">
        <f>"Lrch2"</f>
        <v>Lrch2</v>
      </c>
      <c r="B12102" t="s">
        <v>14</v>
      </c>
      <c r="C12102" t="s">
        <v>37</v>
      </c>
      <c r="D12102" t="s">
        <v>11</v>
      </c>
      <c r="E12102" t="s">
        <v>12</v>
      </c>
      <c r="F12102">
        <v>147554051</v>
      </c>
      <c r="G12102">
        <v>147554087</v>
      </c>
      <c r="H12102">
        <v>147554097</v>
      </c>
      <c r="I12102">
        <v>147554110</v>
      </c>
    </row>
    <row r="12103" spans="1:9" x14ac:dyDescent="0.2">
      <c r="A12103" t="str">
        <f>"Lrch3"</f>
        <v>Lrch3</v>
      </c>
      <c r="B12103" t="s">
        <v>14</v>
      </c>
      <c r="C12103" t="s">
        <v>31</v>
      </c>
      <c r="D12103" t="s">
        <v>17</v>
      </c>
      <c r="E12103" t="s">
        <v>12</v>
      </c>
      <c r="F12103">
        <v>32914094</v>
      </c>
      <c r="G12103">
        <v>32914138</v>
      </c>
      <c r="H12103">
        <v>32914094</v>
      </c>
      <c r="I12103">
        <v>32914138</v>
      </c>
    </row>
    <row r="12104" spans="1:9" x14ac:dyDescent="0.2">
      <c r="A12104" t="str">
        <f>"Lrch4"</f>
        <v>Lrch4</v>
      </c>
      <c r="B12104" t="s">
        <v>14</v>
      </c>
      <c r="C12104" t="s">
        <v>46</v>
      </c>
      <c r="D12104" t="s">
        <v>17</v>
      </c>
      <c r="E12104" t="s">
        <v>12</v>
      </c>
      <c r="F12104">
        <v>137629169</v>
      </c>
      <c r="G12104">
        <v>137629202</v>
      </c>
      <c r="H12104">
        <v>137629149</v>
      </c>
      <c r="I12104">
        <v>137629160</v>
      </c>
    </row>
    <row r="12105" spans="1:9" x14ac:dyDescent="0.2">
      <c r="A12105" t="str">
        <f>"Lrcol1"</f>
        <v>Lrcol1</v>
      </c>
      <c r="B12105" t="s">
        <v>4263</v>
      </c>
      <c r="C12105" t="s">
        <v>46</v>
      </c>
      <c r="D12105" t="s">
        <v>17</v>
      </c>
      <c r="E12105" t="s">
        <v>20</v>
      </c>
      <c r="F12105">
        <v>110354095</v>
      </c>
      <c r="G12105">
        <v>110354095</v>
      </c>
      <c r="H12105">
        <v>110354095</v>
      </c>
      <c r="I12105">
        <v>110354095</v>
      </c>
    </row>
    <row r="12106" spans="1:9" x14ac:dyDescent="0.2">
      <c r="A12106" t="str">
        <f>"Lrdd"</f>
        <v>Lrdd</v>
      </c>
      <c r="B12106" t="s">
        <v>14</v>
      </c>
      <c r="C12106" t="s">
        <v>33</v>
      </c>
      <c r="D12106" t="s">
        <v>11</v>
      </c>
      <c r="E12106" t="s">
        <v>12</v>
      </c>
      <c r="F12106">
        <v>141443989</v>
      </c>
      <c r="G12106">
        <v>141444016</v>
      </c>
      <c r="H12106">
        <v>141443314</v>
      </c>
      <c r="I12106">
        <v>141443359</v>
      </c>
    </row>
    <row r="12107" spans="1:9" x14ac:dyDescent="0.2">
      <c r="A12107" t="str">
        <f>"Lrfn1"</f>
        <v>Lrfn1</v>
      </c>
      <c r="B12107" t="s">
        <v>14</v>
      </c>
      <c r="C12107" t="s">
        <v>33</v>
      </c>
      <c r="D12107" t="s">
        <v>17</v>
      </c>
      <c r="E12107" t="s">
        <v>12</v>
      </c>
      <c r="F12107">
        <v>28451943</v>
      </c>
      <c r="G12107">
        <v>28451989</v>
      </c>
      <c r="H12107">
        <v>28451762</v>
      </c>
      <c r="I12107">
        <v>28451801</v>
      </c>
    </row>
    <row r="12108" spans="1:9" x14ac:dyDescent="0.2">
      <c r="A12108" t="str">
        <f>"Lrfn2"</f>
        <v>Lrfn2</v>
      </c>
      <c r="B12108" t="s">
        <v>14</v>
      </c>
      <c r="C12108" t="s">
        <v>28</v>
      </c>
      <c r="D12108" t="s">
        <v>17</v>
      </c>
      <c r="E12108" t="s">
        <v>12</v>
      </c>
      <c r="F12108">
        <v>48932368</v>
      </c>
      <c r="G12108">
        <v>48932399</v>
      </c>
      <c r="H12108">
        <v>48932368</v>
      </c>
      <c r="I12108">
        <v>48932399</v>
      </c>
    </row>
    <row r="12109" spans="1:9" x14ac:dyDescent="0.2">
      <c r="A12109" t="str">
        <f>"Lrfn3"</f>
        <v>Lrfn3</v>
      </c>
      <c r="B12109" t="s">
        <v>14</v>
      </c>
      <c r="C12109" t="s">
        <v>33</v>
      </c>
      <c r="D12109" t="s">
        <v>11</v>
      </c>
      <c r="E12109" t="s">
        <v>12</v>
      </c>
      <c r="F12109">
        <v>30363090</v>
      </c>
      <c r="G12109">
        <v>30363137</v>
      </c>
      <c r="H12109">
        <v>30363090</v>
      </c>
      <c r="I12109">
        <v>30363137</v>
      </c>
    </row>
    <row r="12110" spans="1:9" x14ac:dyDescent="0.2">
      <c r="A12110" t="str">
        <f>"Lrfn4"</f>
        <v>Lrfn4</v>
      </c>
      <c r="B12110" t="s">
        <v>14</v>
      </c>
      <c r="C12110" t="s">
        <v>10</v>
      </c>
      <c r="D12110" t="s">
        <v>11</v>
      </c>
      <c r="E12110" t="s">
        <v>12</v>
      </c>
      <c r="F12110">
        <v>4615453</v>
      </c>
      <c r="G12110">
        <v>4615512</v>
      </c>
      <c r="H12110">
        <v>4615647</v>
      </c>
      <c r="I12110">
        <v>4615700</v>
      </c>
    </row>
    <row r="12111" spans="1:9" x14ac:dyDescent="0.2">
      <c r="A12111" t="str">
        <f>"Lrfn5"</f>
        <v>Lrfn5</v>
      </c>
      <c r="B12111" t="s">
        <v>14</v>
      </c>
      <c r="C12111" t="s">
        <v>16</v>
      </c>
      <c r="D12111" t="s">
        <v>17</v>
      </c>
      <c r="E12111" t="s">
        <v>12</v>
      </c>
      <c r="F12111">
        <v>61523112</v>
      </c>
      <c r="G12111">
        <v>61523184</v>
      </c>
      <c r="H12111">
        <v>61523112</v>
      </c>
      <c r="I12111">
        <v>61523184</v>
      </c>
    </row>
    <row r="12112" spans="1:9" x14ac:dyDescent="0.2">
      <c r="A12112" t="str">
        <f>"Lrg1"</f>
        <v>Lrg1</v>
      </c>
      <c r="B12112" t="s">
        <v>14</v>
      </c>
      <c r="C12112" t="s">
        <v>28</v>
      </c>
      <c r="D12112" t="s">
        <v>11</v>
      </c>
      <c r="E12112" t="s">
        <v>12</v>
      </c>
      <c r="F12112">
        <v>56121897</v>
      </c>
      <c r="G12112">
        <v>56121920</v>
      </c>
      <c r="H12112">
        <v>56121965</v>
      </c>
      <c r="I12112">
        <v>56121986</v>
      </c>
    </row>
    <row r="12113" spans="1:9" x14ac:dyDescent="0.2">
      <c r="A12113" t="str">
        <f>"Lrguk"</f>
        <v>Lrguk</v>
      </c>
      <c r="B12113" t="s">
        <v>14</v>
      </c>
      <c r="C12113" t="s">
        <v>32</v>
      </c>
      <c r="D12113" t="s">
        <v>17</v>
      </c>
      <c r="E12113" t="s">
        <v>12</v>
      </c>
      <c r="F12113">
        <v>34029421</v>
      </c>
      <c r="G12113">
        <v>34029456</v>
      </c>
      <c r="H12113">
        <v>34029421</v>
      </c>
      <c r="I12113">
        <v>34029456</v>
      </c>
    </row>
    <row r="12114" spans="1:9" x14ac:dyDescent="0.2">
      <c r="A12114" t="str">
        <f>"Lrif1"</f>
        <v>Lrif1</v>
      </c>
      <c r="B12114" t="s">
        <v>14</v>
      </c>
      <c r="C12114" t="s">
        <v>22</v>
      </c>
      <c r="D12114" t="s">
        <v>17</v>
      </c>
      <c r="E12114" t="s">
        <v>67</v>
      </c>
      <c r="F12114">
        <v>106721898</v>
      </c>
      <c r="G12114">
        <v>106721954</v>
      </c>
      <c r="H12114">
        <v>106721898</v>
      </c>
      <c r="I12114">
        <v>106721954</v>
      </c>
    </row>
    <row r="12115" spans="1:9" x14ac:dyDescent="0.2">
      <c r="A12115" t="str">
        <f>"Lrig1"</f>
        <v>Lrig1</v>
      </c>
      <c r="B12115" t="s">
        <v>14</v>
      </c>
      <c r="C12115" t="s">
        <v>32</v>
      </c>
      <c r="D12115" t="s">
        <v>11</v>
      </c>
      <c r="E12115" t="s">
        <v>12</v>
      </c>
      <c r="F12115">
        <v>94700154</v>
      </c>
      <c r="G12115">
        <v>94700176</v>
      </c>
      <c r="H12115">
        <v>94700154</v>
      </c>
      <c r="I12115">
        <v>94700176</v>
      </c>
    </row>
    <row r="12116" spans="1:9" x14ac:dyDescent="0.2">
      <c r="A12116" t="str">
        <f>"Lrig2"</f>
        <v>Lrig2</v>
      </c>
      <c r="B12116" t="s">
        <v>14</v>
      </c>
      <c r="C12116" t="s">
        <v>22</v>
      </c>
      <c r="D12116" t="s">
        <v>11</v>
      </c>
      <c r="E12116" t="s">
        <v>12</v>
      </c>
      <c r="F12116">
        <v>104511812</v>
      </c>
      <c r="G12116">
        <v>104511933</v>
      </c>
      <c r="H12116">
        <v>104511790</v>
      </c>
      <c r="I12116">
        <v>104511807</v>
      </c>
    </row>
    <row r="12117" spans="1:9" x14ac:dyDescent="0.2">
      <c r="A12117" t="str">
        <f>"Lrig3"</f>
        <v>Lrig3</v>
      </c>
      <c r="B12117" t="s">
        <v>14</v>
      </c>
      <c r="C12117" t="s">
        <v>15</v>
      </c>
      <c r="D12117" t="s">
        <v>17</v>
      </c>
      <c r="E12117" t="s">
        <v>12</v>
      </c>
      <c r="F12117">
        <v>125966214</v>
      </c>
      <c r="G12117">
        <v>125966272</v>
      </c>
      <c r="H12117">
        <v>125966189</v>
      </c>
      <c r="I12117">
        <v>125966207</v>
      </c>
    </row>
    <row r="12118" spans="1:9" x14ac:dyDescent="0.2">
      <c r="A12118" t="str">
        <f>"Lrit1"</f>
        <v>Lrit1</v>
      </c>
      <c r="B12118" t="s">
        <v>14</v>
      </c>
      <c r="C12118" t="s">
        <v>41</v>
      </c>
      <c r="D12118" t="s">
        <v>17</v>
      </c>
      <c r="E12118" t="s">
        <v>12</v>
      </c>
      <c r="F12118">
        <v>37054818</v>
      </c>
      <c r="G12118">
        <v>37054853</v>
      </c>
      <c r="H12118">
        <v>37054859</v>
      </c>
      <c r="I12118">
        <v>37054862</v>
      </c>
    </row>
    <row r="12119" spans="1:9" x14ac:dyDescent="0.2">
      <c r="A12119" t="str">
        <f>"Lrit2"</f>
        <v>Lrit2</v>
      </c>
      <c r="B12119" t="s">
        <v>14</v>
      </c>
      <c r="C12119" t="s">
        <v>41</v>
      </c>
      <c r="D12119" t="s">
        <v>17</v>
      </c>
      <c r="E12119" t="s">
        <v>12</v>
      </c>
      <c r="F12119">
        <v>37068042</v>
      </c>
      <c r="G12119">
        <v>37068054</v>
      </c>
      <c r="H12119">
        <v>37068013</v>
      </c>
      <c r="I12119">
        <v>37068024</v>
      </c>
    </row>
    <row r="12120" spans="1:9" x14ac:dyDescent="0.2">
      <c r="A12120" t="str">
        <f>"Lrit3"</f>
        <v>Lrit3</v>
      </c>
      <c r="B12120" t="s">
        <v>14</v>
      </c>
      <c r="C12120" t="s">
        <v>22</v>
      </c>
      <c r="D12120" t="s">
        <v>11</v>
      </c>
      <c r="E12120" t="s">
        <v>12</v>
      </c>
      <c r="F12120">
        <v>129804122</v>
      </c>
      <c r="G12120">
        <v>129804140</v>
      </c>
      <c r="H12120">
        <v>129804089</v>
      </c>
      <c r="I12120">
        <v>129804097</v>
      </c>
    </row>
    <row r="12121" spans="1:9" x14ac:dyDescent="0.2">
      <c r="A12121" t="str">
        <f>"Lrmp"</f>
        <v>Lrmp</v>
      </c>
      <c r="B12121" t="s">
        <v>14</v>
      </c>
      <c r="C12121" t="s">
        <v>32</v>
      </c>
      <c r="D12121" t="s">
        <v>17</v>
      </c>
      <c r="E12121" t="s">
        <v>12</v>
      </c>
      <c r="F12121">
        <v>145121762</v>
      </c>
      <c r="G12121">
        <v>145121795</v>
      </c>
      <c r="H12121">
        <v>145121762</v>
      </c>
      <c r="I12121">
        <v>145121795</v>
      </c>
    </row>
    <row r="12122" spans="1:9" x14ac:dyDescent="0.2">
      <c r="A12122" t="str">
        <f>"Lrp1"</f>
        <v>Lrp1</v>
      </c>
      <c r="B12122" t="s">
        <v>14</v>
      </c>
      <c r="C12122" t="s">
        <v>15</v>
      </c>
      <c r="D12122" t="s">
        <v>11</v>
      </c>
      <c r="E12122" t="s">
        <v>12</v>
      </c>
      <c r="F12122">
        <v>127620960</v>
      </c>
      <c r="G12122">
        <v>127621031</v>
      </c>
      <c r="H12122">
        <v>127621107</v>
      </c>
      <c r="I12122">
        <v>127621166</v>
      </c>
    </row>
    <row r="12123" spans="1:9" x14ac:dyDescent="0.2">
      <c r="A12123" t="str">
        <f>"Lrp10"</f>
        <v>Lrp10</v>
      </c>
      <c r="B12123" t="s">
        <v>14</v>
      </c>
      <c r="C12123" t="s">
        <v>41</v>
      </c>
      <c r="D12123" t="s">
        <v>17</v>
      </c>
      <c r="E12123" t="s">
        <v>12</v>
      </c>
      <c r="F12123">
        <v>54464141</v>
      </c>
      <c r="G12123">
        <v>54464222</v>
      </c>
      <c r="H12123">
        <v>54464141</v>
      </c>
      <c r="I12123">
        <v>54464222</v>
      </c>
    </row>
    <row r="12124" spans="1:9" x14ac:dyDescent="0.2">
      <c r="A12124" t="str">
        <f>"Lrp11"</f>
        <v>Lrp11</v>
      </c>
      <c r="B12124" t="s">
        <v>14</v>
      </c>
      <c r="C12124" t="s">
        <v>15</v>
      </c>
      <c r="D12124" t="s">
        <v>17</v>
      </c>
      <c r="E12124" t="s">
        <v>12</v>
      </c>
      <c r="F12124">
        <v>7589788</v>
      </c>
      <c r="G12124">
        <v>7589876</v>
      </c>
      <c r="H12124">
        <v>7589885</v>
      </c>
      <c r="I12124">
        <v>7589902</v>
      </c>
    </row>
    <row r="12125" spans="1:9" x14ac:dyDescent="0.2">
      <c r="A12125" t="str">
        <f>"Lrp12"</f>
        <v>Lrp12</v>
      </c>
      <c r="B12125" t="s">
        <v>14</v>
      </c>
      <c r="C12125" t="s">
        <v>25</v>
      </c>
      <c r="D12125" t="s">
        <v>11</v>
      </c>
      <c r="E12125" t="s">
        <v>12</v>
      </c>
      <c r="F12125">
        <v>39943689</v>
      </c>
      <c r="G12125">
        <v>39943777</v>
      </c>
      <c r="H12125">
        <v>39943963</v>
      </c>
      <c r="I12125">
        <v>39944029</v>
      </c>
    </row>
    <row r="12126" spans="1:9" x14ac:dyDescent="0.2">
      <c r="A12126" t="str">
        <f>"Lrp1b"</f>
        <v>Lrp1b</v>
      </c>
      <c r="B12126" t="s">
        <v>14</v>
      </c>
      <c r="C12126" t="s">
        <v>26</v>
      </c>
      <c r="D12126" t="s">
        <v>11</v>
      </c>
      <c r="E12126" t="s">
        <v>12</v>
      </c>
      <c r="F12126">
        <v>42653029</v>
      </c>
      <c r="G12126">
        <v>42653050</v>
      </c>
      <c r="H12126">
        <v>42652973</v>
      </c>
      <c r="I12126">
        <v>42652996</v>
      </c>
    </row>
    <row r="12127" spans="1:9" x14ac:dyDescent="0.2">
      <c r="A12127" t="str">
        <f>"Lrp2"</f>
        <v>Lrp2</v>
      </c>
      <c r="B12127" t="s">
        <v>14</v>
      </c>
      <c r="C12127" t="s">
        <v>26</v>
      </c>
      <c r="D12127" t="s">
        <v>11</v>
      </c>
      <c r="E12127" t="s">
        <v>12</v>
      </c>
      <c r="F12127">
        <v>69586021</v>
      </c>
      <c r="G12127">
        <v>69586037</v>
      </c>
      <c r="H12127">
        <v>69586230</v>
      </c>
      <c r="I12127">
        <v>69586278</v>
      </c>
    </row>
    <row r="12128" spans="1:9" x14ac:dyDescent="0.2">
      <c r="A12128" t="str">
        <f>"Lrp2bp"</f>
        <v>Lrp2bp</v>
      </c>
      <c r="B12128" t="s">
        <v>9</v>
      </c>
      <c r="C12128" t="s">
        <v>30</v>
      </c>
      <c r="D12128" t="s">
        <v>17</v>
      </c>
      <c r="E12128" t="s">
        <v>12</v>
      </c>
      <c r="F12128">
        <v>46010596</v>
      </c>
      <c r="G12128">
        <v>46010635</v>
      </c>
      <c r="H12128">
        <v>46010596</v>
      </c>
      <c r="I12128">
        <v>46010635</v>
      </c>
    </row>
    <row r="12129" spans="1:9" x14ac:dyDescent="0.2">
      <c r="A12129" t="str">
        <f>"Lrp2bp"</f>
        <v>Lrp2bp</v>
      </c>
      <c r="B12129" t="s">
        <v>13</v>
      </c>
      <c r="C12129" t="s">
        <v>30</v>
      </c>
      <c r="D12129" t="s">
        <v>17</v>
      </c>
      <c r="E12129" t="s">
        <v>12</v>
      </c>
      <c r="F12129">
        <v>45999297</v>
      </c>
      <c r="G12129">
        <v>45999313</v>
      </c>
      <c r="H12129">
        <v>45999297</v>
      </c>
      <c r="I12129">
        <v>45999313</v>
      </c>
    </row>
    <row r="12130" spans="1:9" x14ac:dyDescent="0.2">
      <c r="A12130" t="str">
        <f>"Lrp3"</f>
        <v>Lrp3</v>
      </c>
      <c r="B12130" t="s">
        <v>14</v>
      </c>
      <c r="C12130" t="s">
        <v>33</v>
      </c>
      <c r="D12130" t="s">
        <v>11</v>
      </c>
      <c r="E12130" t="s">
        <v>12</v>
      </c>
      <c r="F12130">
        <v>35215248</v>
      </c>
      <c r="G12130">
        <v>35215413</v>
      </c>
      <c r="H12130">
        <v>35215248</v>
      </c>
      <c r="I12130">
        <v>35215413</v>
      </c>
    </row>
    <row r="12131" spans="1:9" x14ac:dyDescent="0.2">
      <c r="A12131" t="str">
        <f>"Lrp4"</f>
        <v>Lrp4</v>
      </c>
      <c r="B12131" t="s">
        <v>14</v>
      </c>
      <c r="C12131" t="s">
        <v>26</v>
      </c>
      <c r="D12131" t="s">
        <v>17</v>
      </c>
      <c r="E12131" t="s">
        <v>12</v>
      </c>
      <c r="F12131">
        <v>91457501</v>
      </c>
      <c r="G12131">
        <v>91457549</v>
      </c>
      <c r="H12131">
        <v>91457501</v>
      </c>
      <c r="I12131">
        <v>91457549</v>
      </c>
    </row>
    <row r="12132" spans="1:9" x14ac:dyDescent="0.2">
      <c r="A12132" t="str">
        <f>"Lrp5"</f>
        <v>Lrp5</v>
      </c>
      <c r="B12132" t="s">
        <v>14</v>
      </c>
      <c r="C12132" t="s">
        <v>10</v>
      </c>
      <c r="D12132" t="s">
        <v>11</v>
      </c>
      <c r="E12132" t="s">
        <v>12</v>
      </c>
      <c r="F12132">
        <v>3686549</v>
      </c>
      <c r="G12132">
        <v>3686586</v>
      </c>
      <c r="H12132">
        <v>3686523</v>
      </c>
      <c r="I12132">
        <v>3686547</v>
      </c>
    </row>
    <row r="12133" spans="1:9" x14ac:dyDescent="0.2">
      <c r="A12133" t="str">
        <f>"Lrp6"</f>
        <v>Lrp6</v>
      </c>
      <c r="B12133" t="s">
        <v>14</v>
      </c>
      <c r="C12133" t="s">
        <v>32</v>
      </c>
      <c r="D12133" t="s">
        <v>11</v>
      </c>
      <c r="E12133" t="s">
        <v>12</v>
      </c>
      <c r="F12133">
        <v>134566916</v>
      </c>
      <c r="G12133">
        <v>134566995</v>
      </c>
      <c r="H12133">
        <v>134566817</v>
      </c>
      <c r="I12133">
        <v>134566845</v>
      </c>
    </row>
    <row r="12134" spans="1:9" x14ac:dyDescent="0.2">
      <c r="A12134" t="str">
        <f>"Lrp8"</f>
        <v>Lrp8</v>
      </c>
      <c r="B12134" t="s">
        <v>14</v>
      </c>
      <c r="C12134" t="s">
        <v>23</v>
      </c>
      <c r="D12134" t="s">
        <v>17</v>
      </c>
      <c r="E12134" t="s">
        <v>12</v>
      </c>
      <c r="F12134">
        <v>107802210</v>
      </c>
      <c r="G12134">
        <v>107802272</v>
      </c>
      <c r="H12134">
        <v>107802281</v>
      </c>
      <c r="I12134">
        <v>107802297</v>
      </c>
    </row>
    <row r="12135" spans="1:9" x14ac:dyDescent="0.2">
      <c r="A12135" t="str">
        <f>"Lrpap1"</f>
        <v>Lrpap1</v>
      </c>
      <c r="B12135" t="s">
        <v>14</v>
      </c>
      <c r="C12135" t="s">
        <v>46</v>
      </c>
      <c r="D12135" t="s">
        <v>11</v>
      </c>
      <c r="E12135" t="s">
        <v>12</v>
      </c>
      <c r="F12135">
        <v>35105691</v>
      </c>
      <c r="G12135">
        <v>35105720</v>
      </c>
      <c r="H12135">
        <v>35105511</v>
      </c>
      <c r="I12135">
        <v>35105530</v>
      </c>
    </row>
    <row r="12136" spans="1:9" x14ac:dyDescent="0.2">
      <c r="A12136" t="str">
        <f>"Lrpprc"</f>
        <v>Lrpprc</v>
      </c>
      <c r="B12136" t="s">
        <v>14</v>
      </c>
      <c r="C12136" t="s">
        <v>28</v>
      </c>
      <c r="D12136" t="s">
        <v>11</v>
      </c>
      <c r="E12136" t="s">
        <v>12</v>
      </c>
      <c r="F12136">
        <v>84790517</v>
      </c>
      <c r="G12136">
        <v>84790585</v>
      </c>
      <c r="H12136">
        <v>84790811</v>
      </c>
      <c r="I12136">
        <v>84790829</v>
      </c>
    </row>
    <row r="12137" spans="1:9" x14ac:dyDescent="0.2">
      <c r="A12137" t="str">
        <f>"Lrr1"</f>
        <v>Lrr1</v>
      </c>
      <c r="B12137" t="s">
        <v>14</v>
      </c>
      <c r="C12137" t="s">
        <v>16</v>
      </c>
      <c r="D12137" t="s">
        <v>17</v>
      </c>
      <c r="E12137" t="s">
        <v>12</v>
      </c>
      <c r="F12137">
        <v>69168808</v>
      </c>
      <c r="G12137">
        <v>69168839</v>
      </c>
      <c r="H12137">
        <v>69168841</v>
      </c>
      <c r="I12137">
        <v>69168854</v>
      </c>
    </row>
    <row r="12138" spans="1:9" x14ac:dyDescent="0.2">
      <c r="A12138" t="str">
        <f>"Lrrc1"</f>
        <v>Lrrc1</v>
      </c>
      <c r="B12138" t="s">
        <v>14</v>
      </c>
      <c r="C12138" t="s">
        <v>24</v>
      </c>
      <c r="D12138" t="s">
        <v>11</v>
      </c>
      <c r="E12138" t="s">
        <v>12</v>
      </c>
      <c r="F12138">
        <v>77544829</v>
      </c>
      <c r="G12138">
        <v>77544862</v>
      </c>
      <c r="H12138">
        <v>77544877</v>
      </c>
      <c r="I12138">
        <v>77544914</v>
      </c>
    </row>
    <row r="12139" spans="1:9" x14ac:dyDescent="0.2">
      <c r="A12139" t="str">
        <f>"Lrrc10"</f>
        <v>Lrrc10</v>
      </c>
      <c r="B12139" t="s">
        <v>14</v>
      </c>
      <c r="C12139" t="s">
        <v>15</v>
      </c>
      <c r="D12139" t="s">
        <v>17</v>
      </c>
      <c r="E12139" t="s">
        <v>12</v>
      </c>
      <c r="F12139">
        <v>117045346</v>
      </c>
      <c r="G12139">
        <v>117045363</v>
      </c>
      <c r="H12139">
        <v>117045346</v>
      </c>
      <c r="I12139">
        <v>117045363</v>
      </c>
    </row>
    <row r="12140" spans="1:9" x14ac:dyDescent="0.2">
      <c r="A12140" t="str">
        <f>"Lrrc10b"</f>
        <v>Lrrc10b</v>
      </c>
      <c r="B12140" t="s">
        <v>14</v>
      </c>
      <c r="C12140" t="s">
        <v>10</v>
      </c>
      <c r="D12140" t="s">
        <v>11</v>
      </c>
      <c r="E12140" t="s">
        <v>12</v>
      </c>
      <c r="F12140">
        <v>10457545</v>
      </c>
      <c r="G12140">
        <v>10457557</v>
      </c>
      <c r="H12140">
        <v>10457568</v>
      </c>
      <c r="I12140">
        <v>10457583</v>
      </c>
    </row>
    <row r="12141" spans="1:9" x14ac:dyDescent="0.2">
      <c r="A12141" t="str">
        <f>"Lrrc14"</f>
        <v>Lrrc14</v>
      </c>
      <c r="B12141" t="s">
        <v>14</v>
      </c>
      <c r="C12141" t="s">
        <v>25</v>
      </c>
      <c r="D12141" t="s">
        <v>17</v>
      </c>
      <c r="E12141" t="s">
        <v>12</v>
      </c>
      <c r="F12141">
        <v>76710610</v>
      </c>
      <c r="G12141">
        <v>76710665</v>
      </c>
      <c r="H12141">
        <v>76710667</v>
      </c>
      <c r="I12141">
        <v>76710681</v>
      </c>
    </row>
    <row r="12142" spans="1:9" x14ac:dyDescent="0.2">
      <c r="A12142" t="str">
        <f>"Lrrc14b"</f>
        <v>Lrrc14b</v>
      </c>
      <c r="B12142" t="s">
        <v>14</v>
      </c>
      <c r="C12142" t="s">
        <v>39</v>
      </c>
      <c r="D12142" t="s">
        <v>11</v>
      </c>
      <c r="E12142" t="s">
        <v>12</v>
      </c>
      <c r="F12142">
        <v>74363971</v>
      </c>
      <c r="G12142">
        <v>74363986</v>
      </c>
      <c r="H12142">
        <v>74363993</v>
      </c>
      <c r="I12142">
        <v>74364010</v>
      </c>
    </row>
    <row r="12143" spans="1:9" x14ac:dyDescent="0.2">
      <c r="A12143" t="str">
        <f>"Lrrc15"</f>
        <v>Lrrc15</v>
      </c>
      <c r="B12143" t="s">
        <v>14</v>
      </c>
      <c r="C12143" t="s">
        <v>31</v>
      </c>
      <c r="D12143" t="s">
        <v>11</v>
      </c>
      <c r="E12143" t="s">
        <v>12</v>
      </c>
      <c r="F12143">
        <v>30283251</v>
      </c>
      <c r="G12143">
        <v>30283266</v>
      </c>
      <c r="H12143">
        <v>30283166</v>
      </c>
      <c r="I12143">
        <v>30283171</v>
      </c>
    </row>
    <row r="12144" spans="1:9" x14ac:dyDescent="0.2">
      <c r="A12144" t="str">
        <f>"Lrrc16a"</f>
        <v>Lrrc16a</v>
      </c>
      <c r="B12144" t="s">
        <v>14</v>
      </c>
      <c r="C12144" t="s">
        <v>39</v>
      </c>
      <c r="D12144" t="s">
        <v>11</v>
      </c>
      <c r="E12144" t="s">
        <v>12</v>
      </c>
      <c r="F12144">
        <v>24280765</v>
      </c>
      <c r="G12144">
        <v>24280778</v>
      </c>
      <c r="H12144">
        <v>24280948</v>
      </c>
      <c r="I12144">
        <v>24280995</v>
      </c>
    </row>
    <row r="12145" spans="1:9" x14ac:dyDescent="0.2">
      <c r="A12145" t="str">
        <f>"Lrrc16b"</f>
        <v>Lrrc16b</v>
      </c>
      <c r="B12145" t="s">
        <v>14</v>
      </c>
      <c r="C12145" t="s">
        <v>41</v>
      </c>
      <c r="D12145" t="s">
        <v>17</v>
      </c>
      <c r="E12145" t="s">
        <v>12</v>
      </c>
      <c r="F12145">
        <v>55491062</v>
      </c>
      <c r="G12145">
        <v>55491136</v>
      </c>
      <c r="H12145">
        <v>55491036</v>
      </c>
      <c r="I12145">
        <v>55491060</v>
      </c>
    </row>
    <row r="12146" spans="1:9" x14ac:dyDescent="0.2">
      <c r="A12146" t="str">
        <f>"Lrrc17"</f>
        <v>Lrrc17</v>
      </c>
      <c r="B12146" t="s">
        <v>14</v>
      </c>
      <c r="C12146" t="s">
        <v>46</v>
      </c>
      <c r="D12146" t="s">
        <v>17</v>
      </c>
      <c r="E12146" t="s">
        <v>12</v>
      </c>
      <c r="F12146">
        <v>21543525</v>
      </c>
      <c r="G12146">
        <v>21543590</v>
      </c>
      <c r="H12146">
        <v>21543504</v>
      </c>
      <c r="I12146">
        <v>21543521</v>
      </c>
    </row>
    <row r="12147" spans="1:9" x14ac:dyDescent="0.2">
      <c r="A12147" t="str">
        <f>"Lrrc18"</f>
        <v>Lrrc18</v>
      </c>
      <c r="B12147" t="s">
        <v>14</v>
      </c>
      <c r="C12147" t="s">
        <v>41</v>
      </c>
      <c r="D12147" t="s">
        <v>17</v>
      </c>
      <c r="E12147" t="s">
        <v>12</v>
      </c>
      <c r="F12147">
        <v>32991430</v>
      </c>
      <c r="G12147">
        <v>32991454</v>
      </c>
      <c r="H12147">
        <v>32991412</v>
      </c>
      <c r="I12147">
        <v>32991423</v>
      </c>
    </row>
    <row r="12148" spans="1:9" x14ac:dyDescent="0.2">
      <c r="A12148" t="str">
        <f>"Lrrc19"</f>
        <v>Lrrc19</v>
      </c>
      <c r="B12148" t="s">
        <v>14</v>
      </c>
      <c r="C12148" t="s">
        <v>23</v>
      </c>
      <c r="D12148" t="s">
        <v>11</v>
      </c>
      <c r="E12148" t="s">
        <v>12</v>
      </c>
      <c r="F12148">
        <v>94650092</v>
      </c>
      <c r="G12148">
        <v>94650127</v>
      </c>
      <c r="H12148">
        <v>94650092</v>
      </c>
      <c r="I12148">
        <v>94650127</v>
      </c>
    </row>
    <row r="12149" spans="1:9" x14ac:dyDescent="0.2">
      <c r="A12149" t="str">
        <f>"Lrrc2"</f>
        <v>Lrrc2</v>
      </c>
      <c r="B12149" t="s">
        <v>4264</v>
      </c>
      <c r="C12149" t="s">
        <v>24</v>
      </c>
      <c r="D12149" t="s">
        <v>17</v>
      </c>
      <c r="E12149" t="s">
        <v>20</v>
      </c>
      <c r="F12149">
        <v>110951544</v>
      </c>
      <c r="G12149">
        <v>110951544</v>
      </c>
      <c r="H12149">
        <v>110951544</v>
      </c>
      <c r="I12149">
        <v>110951544</v>
      </c>
    </row>
    <row r="12150" spans="1:9" x14ac:dyDescent="0.2">
      <c r="A12150" t="str">
        <f>"Lrrc20"</f>
        <v>Lrrc20</v>
      </c>
      <c r="B12150" t="s">
        <v>14</v>
      </c>
      <c r="C12150" t="s">
        <v>15</v>
      </c>
      <c r="D12150" t="s">
        <v>17</v>
      </c>
      <c r="E12150" t="s">
        <v>12</v>
      </c>
      <c r="F12150">
        <v>61475782</v>
      </c>
      <c r="G12150">
        <v>61475834</v>
      </c>
      <c r="H12150">
        <v>61475782</v>
      </c>
      <c r="I12150">
        <v>61475834</v>
      </c>
    </row>
    <row r="12151" spans="1:9" x14ac:dyDescent="0.2">
      <c r="A12151" t="str">
        <f>"Lrrc23"</f>
        <v>Lrrc23</v>
      </c>
      <c r="B12151" t="s">
        <v>14</v>
      </c>
      <c r="C12151" t="s">
        <v>32</v>
      </c>
      <c r="D12151" t="s">
        <v>11</v>
      </c>
      <c r="E12151" t="s">
        <v>12</v>
      </c>
      <c r="F12151">
        <v>124779686</v>
      </c>
      <c r="G12151">
        <v>124779742</v>
      </c>
      <c r="H12151">
        <v>124779746</v>
      </c>
      <c r="I12151">
        <v>124779763</v>
      </c>
    </row>
    <row r="12152" spans="1:9" x14ac:dyDescent="0.2">
      <c r="A12152" t="str">
        <f>"Lrrc24"</f>
        <v>Lrrc24</v>
      </c>
      <c r="B12152" t="s">
        <v>14</v>
      </c>
      <c r="C12152" t="s">
        <v>25</v>
      </c>
      <c r="D12152" t="s">
        <v>11</v>
      </c>
      <c r="E12152" t="s">
        <v>12</v>
      </c>
      <c r="F12152">
        <v>76722161</v>
      </c>
      <c r="G12152">
        <v>76722199</v>
      </c>
      <c r="H12152">
        <v>76722371</v>
      </c>
      <c r="I12152">
        <v>76722385</v>
      </c>
    </row>
    <row r="12153" spans="1:9" x14ac:dyDescent="0.2">
      <c r="A12153" t="str">
        <f>"Lrrc25"</f>
        <v>Lrrc25</v>
      </c>
      <c r="B12153" t="s">
        <v>14</v>
      </c>
      <c r="C12153" t="s">
        <v>30</v>
      </c>
      <c r="D12153" t="s">
        <v>17</v>
      </c>
      <c r="E12153" t="s">
        <v>12</v>
      </c>
      <c r="F12153">
        <v>70616816</v>
      </c>
      <c r="G12153">
        <v>70616930</v>
      </c>
      <c r="H12153">
        <v>70616798</v>
      </c>
      <c r="I12153">
        <v>70616815</v>
      </c>
    </row>
    <row r="12154" spans="1:9" x14ac:dyDescent="0.2">
      <c r="A12154" t="str">
        <f>"Lrrc26"</f>
        <v>Lrrc26</v>
      </c>
      <c r="B12154" t="s">
        <v>14</v>
      </c>
      <c r="C12154" t="s">
        <v>26</v>
      </c>
      <c r="D12154" t="s">
        <v>17</v>
      </c>
      <c r="E12154" t="s">
        <v>12</v>
      </c>
      <c r="F12154">
        <v>25289899</v>
      </c>
      <c r="G12154">
        <v>25289935</v>
      </c>
      <c r="H12154">
        <v>25289899</v>
      </c>
      <c r="I12154">
        <v>25289935</v>
      </c>
    </row>
    <row r="12155" spans="1:9" x14ac:dyDescent="0.2">
      <c r="A12155" t="str">
        <f>"Lrrc27"</f>
        <v>Lrrc27</v>
      </c>
      <c r="B12155" t="s">
        <v>14</v>
      </c>
      <c r="C12155" t="s">
        <v>33</v>
      </c>
      <c r="D12155" t="s">
        <v>17</v>
      </c>
      <c r="E12155" t="s">
        <v>12</v>
      </c>
      <c r="F12155">
        <v>139213239</v>
      </c>
      <c r="G12155">
        <v>139213304</v>
      </c>
      <c r="H12155">
        <v>139213003</v>
      </c>
      <c r="I12155">
        <v>139213016</v>
      </c>
    </row>
    <row r="12156" spans="1:9" x14ac:dyDescent="0.2">
      <c r="A12156" t="str">
        <f>"Lrrc28"</f>
        <v>Lrrc28</v>
      </c>
      <c r="B12156" t="s">
        <v>14</v>
      </c>
      <c r="C12156" t="s">
        <v>33</v>
      </c>
      <c r="D12156" t="s">
        <v>11</v>
      </c>
      <c r="E12156" t="s">
        <v>12</v>
      </c>
      <c r="F12156">
        <v>67645195</v>
      </c>
      <c r="G12156">
        <v>67645273</v>
      </c>
      <c r="H12156">
        <v>67645280</v>
      </c>
      <c r="I12156">
        <v>67645332</v>
      </c>
    </row>
    <row r="12157" spans="1:9" x14ac:dyDescent="0.2">
      <c r="A12157" t="str">
        <f>"Lrrc29"</f>
        <v>Lrrc29</v>
      </c>
      <c r="B12157" t="s">
        <v>14</v>
      </c>
      <c r="C12157" t="s">
        <v>30</v>
      </c>
      <c r="D12157" t="s">
        <v>11</v>
      </c>
      <c r="E12157" t="s">
        <v>12</v>
      </c>
      <c r="F12157">
        <v>105326252</v>
      </c>
      <c r="G12157">
        <v>105326278</v>
      </c>
      <c r="H12157">
        <v>105326281</v>
      </c>
      <c r="I12157">
        <v>105326301</v>
      </c>
    </row>
    <row r="12158" spans="1:9" x14ac:dyDescent="0.2">
      <c r="A12158" t="str">
        <f>"Lrrc3"</f>
        <v>Lrrc3</v>
      </c>
      <c r="B12158" t="s">
        <v>14</v>
      </c>
      <c r="C12158" t="s">
        <v>15</v>
      </c>
      <c r="D12158" t="s">
        <v>11</v>
      </c>
      <c r="E12158" t="s">
        <v>12</v>
      </c>
      <c r="F12158">
        <v>77902467</v>
      </c>
      <c r="G12158">
        <v>77902529</v>
      </c>
      <c r="H12158">
        <v>77902428</v>
      </c>
      <c r="I12158">
        <v>77902461</v>
      </c>
    </row>
    <row r="12159" spans="1:9" x14ac:dyDescent="0.2">
      <c r="A12159" t="str">
        <f>"Lrrc30"</f>
        <v>Lrrc30</v>
      </c>
      <c r="B12159" t="s">
        <v>14</v>
      </c>
      <c r="C12159" t="s">
        <v>28</v>
      </c>
      <c r="D12159" t="s">
        <v>11</v>
      </c>
      <c r="E12159" t="s">
        <v>12</v>
      </c>
      <c r="F12159">
        <v>67632640</v>
      </c>
      <c r="G12159">
        <v>67632664</v>
      </c>
      <c r="H12159">
        <v>67632730</v>
      </c>
      <c r="I12159">
        <v>67632748</v>
      </c>
    </row>
    <row r="12160" spans="1:9" x14ac:dyDescent="0.2">
      <c r="A12160" t="str">
        <f>"Lrrc31"</f>
        <v>Lrrc31</v>
      </c>
      <c r="B12160" t="s">
        <v>14</v>
      </c>
      <c r="C12160" t="s">
        <v>22</v>
      </c>
      <c r="D12160" t="s">
        <v>11</v>
      </c>
      <c r="E12160" t="s">
        <v>67</v>
      </c>
      <c r="F12160">
        <v>30699855</v>
      </c>
      <c r="G12160">
        <v>30699872</v>
      </c>
      <c r="H12160">
        <v>30699895</v>
      </c>
      <c r="I12160">
        <v>30699904</v>
      </c>
    </row>
    <row r="12161" spans="1:9" x14ac:dyDescent="0.2">
      <c r="A12161" t="str">
        <f>"Lrrc32"</f>
        <v>Lrrc32</v>
      </c>
      <c r="B12161" t="s">
        <v>4265</v>
      </c>
      <c r="C12161" t="s">
        <v>33</v>
      </c>
      <c r="D12161" t="s">
        <v>17</v>
      </c>
      <c r="E12161" t="s">
        <v>20</v>
      </c>
      <c r="F12161">
        <v>98494221</v>
      </c>
      <c r="G12161">
        <v>98494221</v>
      </c>
      <c r="H12161">
        <v>98494221</v>
      </c>
      <c r="I12161">
        <v>98494221</v>
      </c>
    </row>
    <row r="12162" spans="1:9" x14ac:dyDescent="0.2">
      <c r="A12162" t="str">
        <f>"Lrrc34"</f>
        <v>Lrrc34</v>
      </c>
      <c r="B12162" t="s">
        <v>14</v>
      </c>
      <c r="C12162" t="s">
        <v>22</v>
      </c>
      <c r="D12162" t="s">
        <v>11</v>
      </c>
      <c r="E12162" t="s">
        <v>12</v>
      </c>
      <c r="F12162">
        <v>30647793</v>
      </c>
      <c r="G12162">
        <v>30647876</v>
      </c>
      <c r="H12162">
        <v>30647753</v>
      </c>
      <c r="I12162">
        <v>30647764</v>
      </c>
    </row>
    <row r="12163" spans="1:9" x14ac:dyDescent="0.2">
      <c r="A12163" t="str">
        <f>"Lrrc36"</f>
        <v>Lrrc36</v>
      </c>
      <c r="B12163" t="s">
        <v>14</v>
      </c>
      <c r="C12163" t="s">
        <v>30</v>
      </c>
      <c r="D12163" t="s">
        <v>17</v>
      </c>
      <c r="E12163" t="s">
        <v>12</v>
      </c>
      <c r="F12163">
        <v>105427587</v>
      </c>
      <c r="G12163">
        <v>105427619</v>
      </c>
      <c r="H12163">
        <v>105427648</v>
      </c>
      <c r="I12163">
        <v>105427672</v>
      </c>
    </row>
    <row r="12164" spans="1:9" x14ac:dyDescent="0.2">
      <c r="A12164" t="str">
        <f>"Lrrc37a"</f>
        <v>Lrrc37a</v>
      </c>
      <c r="B12164" t="s">
        <v>14</v>
      </c>
      <c r="C12164" t="s">
        <v>27</v>
      </c>
      <c r="D12164" t="s">
        <v>11</v>
      </c>
      <c r="E12164" t="s">
        <v>67</v>
      </c>
      <c r="F12164">
        <v>103504955</v>
      </c>
      <c r="G12164">
        <v>103504966</v>
      </c>
      <c r="H12164">
        <v>103504955</v>
      </c>
      <c r="I12164">
        <v>103504966</v>
      </c>
    </row>
    <row r="12165" spans="1:9" x14ac:dyDescent="0.2">
      <c r="A12165" t="str">
        <f>"Lrrc38"</f>
        <v>Lrrc38</v>
      </c>
      <c r="B12165" t="s">
        <v>14</v>
      </c>
      <c r="C12165" t="s">
        <v>23</v>
      </c>
      <c r="D12165" t="s">
        <v>17</v>
      </c>
      <c r="E12165" t="s">
        <v>12</v>
      </c>
      <c r="F12165">
        <v>143349808</v>
      </c>
      <c r="G12165">
        <v>143349834</v>
      </c>
      <c r="H12165">
        <v>143349845</v>
      </c>
      <c r="I12165">
        <v>143349854</v>
      </c>
    </row>
    <row r="12166" spans="1:9" x14ac:dyDescent="0.2">
      <c r="A12166" t="str">
        <f>"Lrrc39"</f>
        <v>Lrrc39</v>
      </c>
      <c r="B12166" t="s">
        <v>14</v>
      </c>
      <c r="C12166" t="s">
        <v>22</v>
      </c>
      <c r="D12166" t="s">
        <v>17</v>
      </c>
      <c r="E12166" t="s">
        <v>12</v>
      </c>
      <c r="F12166">
        <v>116562965</v>
      </c>
      <c r="G12166">
        <v>116563004</v>
      </c>
      <c r="H12166">
        <v>116563008</v>
      </c>
      <c r="I12166">
        <v>116563027</v>
      </c>
    </row>
    <row r="12167" spans="1:9" x14ac:dyDescent="0.2">
      <c r="A12167" t="str">
        <f>"Lrrc3b"</f>
        <v>Lrrc3b</v>
      </c>
      <c r="B12167" t="s">
        <v>14</v>
      </c>
      <c r="C12167" t="s">
        <v>41</v>
      </c>
      <c r="D12167" t="s">
        <v>11</v>
      </c>
      <c r="E12167" t="s">
        <v>12</v>
      </c>
      <c r="F12167">
        <v>15438974</v>
      </c>
      <c r="G12167">
        <v>15439002</v>
      </c>
      <c r="H12167">
        <v>15438974</v>
      </c>
      <c r="I12167">
        <v>15439002</v>
      </c>
    </row>
    <row r="12168" spans="1:9" x14ac:dyDescent="0.2">
      <c r="A12168" t="str">
        <f>"Lrrc4"</f>
        <v>Lrrc4</v>
      </c>
      <c r="B12168" t="s">
        <v>14</v>
      </c>
      <c r="C12168" t="s">
        <v>32</v>
      </c>
      <c r="D12168" t="s">
        <v>11</v>
      </c>
      <c r="E12168" t="s">
        <v>12</v>
      </c>
      <c r="F12168">
        <v>28831946</v>
      </c>
      <c r="G12168">
        <v>28831969</v>
      </c>
      <c r="H12168">
        <v>28831946</v>
      </c>
      <c r="I12168">
        <v>28831969</v>
      </c>
    </row>
    <row r="12169" spans="1:9" x14ac:dyDescent="0.2">
      <c r="A12169" t="str">
        <f>"Lrrc40"</f>
        <v>Lrrc40</v>
      </c>
      <c r="B12169" t="s">
        <v>14</v>
      </c>
      <c r="C12169" t="s">
        <v>22</v>
      </c>
      <c r="D12169" t="s">
        <v>17</v>
      </c>
      <c r="E12169" t="s">
        <v>12</v>
      </c>
      <c r="F12169">
        <v>158036694</v>
      </c>
      <c r="G12169">
        <v>158036728</v>
      </c>
      <c r="H12169">
        <v>158036694</v>
      </c>
      <c r="I12169">
        <v>158036728</v>
      </c>
    </row>
    <row r="12170" spans="1:9" x14ac:dyDescent="0.2">
      <c r="A12170" t="str">
        <f>"Lrrc41"</f>
        <v>Lrrc41</v>
      </c>
      <c r="B12170" t="s">
        <v>14</v>
      </c>
      <c r="C12170" t="s">
        <v>23</v>
      </c>
      <c r="D12170" t="s">
        <v>17</v>
      </c>
      <c r="E12170" t="s">
        <v>12</v>
      </c>
      <c r="F12170">
        <v>116075437</v>
      </c>
      <c r="G12170">
        <v>116075461</v>
      </c>
      <c r="H12170">
        <v>116075537</v>
      </c>
      <c r="I12170">
        <v>116075551</v>
      </c>
    </row>
    <row r="12171" spans="1:9" x14ac:dyDescent="0.2">
      <c r="A12171" t="str">
        <f>"Lrrc42"</f>
        <v>Lrrc42</v>
      </c>
      <c r="B12171" t="s">
        <v>14</v>
      </c>
      <c r="C12171" t="s">
        <v>23</v>
      </c>
      <c r="D12171" t="s">
        <v>11</v>
      </c>
      <c r="E12171" t="s">
        <v>12</v>
      </c>
      <c r="F12171">
        <v>107253441</v>
      </c>
      <c r="G12171">
        <v>107253491</v>
      </c>
      <c r="H12171">
        <v>107253327</v>
      </c>
      <c r="I12171">
        <v>107253356</v>
      </c>
    </row>
    <row r="12172" spans="1:9" x14ac:dyDescent="0.2">
      <c r="A12172" t="str">
        <f>"Lrrc43"</f>
        <v>Lrrc43</v>
      </c>
      <c r="B12172" t="s">
        <v>14</v>
      </c>
      <c r="C12172" t="s">
        <v>46</v>
      </c>
      <c r="D12172" t="s">
        <v>17</v>
      </c>
      <c r="E12172" t="s">
        <v>12</v>
      </c>
      <c r="F12172">
        <v>123489301</v>
      </c>
      <c r="G12172">
        <v>123489329</v>
      </c>
      <c r="H12172">
        <v>123489301</v>
      </c>
      <c r="I12172">
        <v>123489329</v>
      </c>
    </row>
    <row r="12173" spans="1:9" x14ac:dyDescent="0.2">
      <c r="A12173" t="str">
        <f>"Lrrc45"</f>
        <v>Lrrc45</v>
      </c>
      <c r="B12173" t="s">
        <v>14</v>
      </c>
      <c r="C12173" t="s">
        <v>27</v>
      </c>
      <c r="D12173" t="s">
        <v>17</v>
      </c>
      <c r="E12173" t="s">
        <v>12</v>
      </c>
      <c r="F12173">
        <v>120713919</v>
      </c>
      <c r="G12173">
        <v>120713965</v>
      </c>
      <c r="H12173">
        <v>120713971</v>
      </c>
      <c r="I12173">
        <v>120713976</v>
      </c>
    </row>
    <row r="12174" spans="1:9" x14ac:dyDescent="0.2">
      <c r="A12174" t="str">
        <f>"Lrrc46"</f>
        <v>Lrrc46</v>
      </c>
      <c r="B12174" t="s">
        <v>14</v>
      </c>
      <c r="C12174" t="s">
        <v>27</v>
      </c>
      <c r="D12174" t="s">
        <v>11</v>
      </c>
      <c r="E12174" t="s">
        <v>12</v>
      </c>
      <c r="F12174">
        <v>97041307</v>
      </c>
      <c r="G12174">
        <v>97041353</v>
      </c>
      <c r="H12174">
        <v>97041364</v>
      </c>
      <c r="I12174">
        <v>97041392</v>
      </c>
    </row>
    <row r="12175" spans="1:9" x14ac:dyDescent="0.2">
      <c r="A12175" t="str">
        <f>"Lrrc47"</f>
        <v>Lrrc47</v>
      </c>
      <c r="B12175" t="s">
        <v>14</v>
      </c>
      <c r="C12175" t="s">
        <v>23</v>
      </c>
      <c r="D12175" t="s">
        <v>17</v>
      </c>
      <c r="E12175" t="s">
        <v>12</v>
      </c>
      <c r="F12175">
        <v>154011771</v>
      </c>
      <c r="G12175">
        <v>154011818</v>
      </c>
      <c r="H12175">
        <v>154011771</v>
      </c>
      <c r="I12175">
        <v>154011818</v>
      </c>
    </row>
    <row r="12176" spans="1:9" x14ac:dyDescent="0.2">
      <c r="A12176" t="str">
        <f>"Lrrc48"</f>
        <v>Lrrc48</v>
      </c>
      <c r="B12176" t="s">
        <v>14</v>
      </c>
      <c r="C12176" t="s">
        <v>27</v>
      </c>
      <c r="D12176" t="s">
        <v>17</v>
      </c>
      <c r="E12176" t="s">
        <v>12</v>
      </c>
      <c r="F12176">
        <v>60353324</v>
      </c>
      <c r="G12176">
        <v>60353408</v>
      </c>
      <c r="H12176">
        <v>60353324</v>
      </c>
      <c r="I12176">
        <v>60353408</v>
      </c>
    </row>
    <row r="12177" spans="1:9" x14ac:dyDescent="0.2">
      <c r="A12177" t="str">
        <f>"Lrrc49"</f>
        <v>Lrrc49</v>
      </c>
      <c r="B12177" t="s">
        <v>14</v>
      </c>
      <c r="C12177" t="s">
        <v>24</v>
      </c>
      <c r="D12177" t="s">
        <v>11</v>
      </c>
      <c r="E12177" t="s">
        <v>12</v>
      </c>
      <c r="F12177">
        <v>60687877</v>
      </c>
      <c r="G12177">
        <v>60687946</v>
      </c>
      <c r="H12177">
        <v>60687877</v>
      </c>
      <c r="I12177">
        <v>60687946</v>
      </c>
    </row>
    <row r="12178" spans="1:9" x14ac:dyDescent="0.2">
      <c r="A12178" t="str">
        <f>"Lrrc4b"</f>
        <v>Lrrc4b</v>
      </c>
      <c r="B12178" t="s">
        <v>14</v>
      </c>
      <c r="C12178" t="s">
        <v>33</v>
      </c>
      <c r="D12178" t="s">
        <v>17</v>
      </c>
      <c r="E12178" t="s">
        <v>12</v>
      </c>
      <c r="F12178">
        <v>44441989</v>
      </c>
      <c r="G12178">
        <v>44442022</v>
      </c>
      <c r="H12178">
        <v>44441989</v>
      </c>
      <c r="I12178">
        <v>44442022</v>
      </c>
    </row>
    <row r="12179" spans="1:9" x14ac:dyDescent="0.2">
      <c r="A12179" t="str">
        <f>"Lrrc4c"</f>
        <v>Lrrc4c</v>
      </c>
      <c r="B12179" t="s">
        <v>14</v>
      </c>
      <c r="C12179" t="s">
        <v>26</v>
      </c>
      <c r="D12179" t="s">
        <v>17</v>
      </c>
      <c r="E12179" t="s">
        <v>12</v>
      </c>
      <c r="F12179">
        <v>96317886</v>
      </c>
      <c r="G12179">
        <v>96317930</v>
      </c>
      <c r="H12179">
        <v>96317886</v>
      </c>
      <c r="I12179">
        <v>96317930</v>
      </c>
    </row>
    <row r="12180" spans="1:9" x14ac:dyDescent="0.2">
      <c r="A12180" t="str">
        <f>"Lrrc51"</f>
        <v>Lrrc51</v>
      </c>
      <c r="B12180" t="s">
        <v>9</v>
      </c>
      <c r="C12180" t="s">
        <v>33</v>
      </c>
      <c r="D12180" t="s">
        <v>11</v>
      </c>
      <c r="E12180" t="s">
        <v>12</v>
      </c>
      <c r="F12180">
        <v>101933815</v>
      </c>
      <c r="G12180">
        <v>101933897</v>
      </c>
      <c r="H12180">
        <v>101933815</v>
      </c>
      <c r="I12180">
        <v>101933897</v>
      </c>
    </row>
    <row r="12181" spans="1:9" x14ac:dyDescent="0.2">
      <c r="A12181" t="str">
        <f>"Lrrc51"</f>
        <v>Lrrc51</v>
      </c>
      <c r="B12181" t="s">
        <v>13</v>
      </c>
      <c r="C12181" t="s">
        <v>33</v>
      </c>
      <c r="D12181" t="s">
        <v>11</v>
      </c>
      <c r="E12181" t="s">
        <v>12</v>
      </c>
      <c r="F12181">
        <v>101921186</v>
      </c>
      <c r="G12181">
        <v>101921230</v>
      </c>
      <c r="H12181">
        <v>101921186</v>
      </c>
      <c r="I12181">
        <v>101921230</v>
      </c>
    </row>
    <row r="12182" spans="1:9" x14ac:dyDescent="0.2">
      <c r="A12182" t="str">
        <f>"Lrrc52"</f>
        <v>Lrrc52</v>
      </c>
      <c r="B12182" t="s">
        <v>14</v>
      </c>
      <c r="C12182" t="s">
        <v>19</v>
      </c>
      <c r="D12182" t="s">
        <v>11</v>
      </c>
      <c r="E12182" t="s">
        <v>12</v>
      </c>
      <c r="F12182">
        <v>167466979</v>
      </c>
      <c r="G12182">
        <v>167466987</v>
      </c>
      <c r="H12182">
        <v>167466979</v>
      </c>
      <c r="I12182">
        <v>167466987</v>
      </c>
    </row>
    <row r="12183" spans="1:9" x14ac:dyDescent="0.2">
      <c r="A12183" t="str">
        <f>"Lrrc55"</f>
        <v>Lrrc55</v>
      </c>
      <c r="B12183" t="s">
        <v>14</v>
      </c>
      <c r="C12183" t="s">
        <v>26</v>
      </c>
      <c r="D12183" t="s">
        <v>11</v>
      </c>
      <c r="E12183" t="s">
        <v>12</v>
      </c>
      <c r="F12183">
        <v>85196697</v>
      </c>
      <c r="G12183">
        <v>85196708</v>
      </c>
      <c r="H12183">
        <v>85196727</v>
      </c>
      <c r="I12183">
        <v>85196732</v>
      </c>
    </row>
    <row r="12184" spans="1:9" x14ac:dyDescent="0.2">
      <c r="A12184" t="str">
        <f>"Lrrc56"</f>
        <v>Lrrc56</v>
      </c>
      <c r="B12184" t="s">
        <v>14</v>
      </c>
      <c r="C12184" t="s">
        <v>33</v>
      </c>
      <c r="D12184" t="s">
        <v>17</v>
      </c>
      <c r="E12184" t="s">
        <v>12</v>
      </c>
      <c r="F12184">
        <v>141194148</v>
      </c>
      <c r="G12184">
        <v>141194191</v>
      </c>
      <c r="H12184">
        <v>141195131</v>
      </c>
      <c r="I12184">
        <v>141195146</v>
      </c>
    </row>
    <row r="12185" spans="1:9" x14ac:dyDescent="0.2">
      <c r="A12185" t="str">
        <f>"Lrrc57"</f>
        <v>Lrrc57</v>
      </c>
      <c r="B12185" t="s">
        <v>14</v>
      </c>
      <c r="C12185" t="s">
        <v>26</v>
      </c>
      <c r="D12185" t="s">
        <v>11</v>
      </c>
      <c r="E12185" t="s">
        <v>12</v>
      </c>
      <c r="F12185">
        <v>120609319</v>
      </c>
      <c r="G12185">
        <v>120609380</v>
      </c>
      <c r="H12185">
        <v>120609283</v>
      </c>
      <c r="I12185">
        <v>120609317</v>
      </c>
    </row>
    <row r="12186" spans="1:9" x14ac:dyDescent="0.2">
      <c r="A12186" t="str">
        <f>"Lrrc58"</f>
        <v>Lrrc58</v>
      </c>
      <c r="B12186" t="s">
        <v>14</v>
      </c>
      <c r="C12186" t="s">
        <v>31</v>
      </c>
      <c r="D12186" t="s">
        <v>17</v>
      </c>
      <c r="E12186" t="s">
        <v>12</v>
      </c>
      <c r="F12186">
        <v>37868383</v>
      </c>
      <c r="G12186">
        <v>37868481</v>
      </c>
      <c r="H12186">
        <v>37868337</v>
      </c>
      <c r="I12186">
        <v>37868375</v>
      </c>
    </row>
    <row r="12187" spans="1:9" x14ac:dyDescent="0.2">
      <c r="A12187" t="str">
        <f>"Lrrc59"</f>
        <v>Lrrc59</v>
      </c>
      <c r="B12187" t="s">
        <v>14</v>
      </c>
      <c r="C12187" t="s">
        <v>27</v>
      </c>
      <c r="D12187" t="s">
        <v>17</v>
      </c>
      <c r="E12187" t="s">
        <v>12</v>
      </c>
      <c r="F12187">
        <v>94629741</v>
      </c>
      <c r="G12187">
        <v>94629834</v>
      </c>
      <c r="H12187">
        <v>94629741</v>
      </c>
      <c r="I12187">
        <v>94629834</v>
      </c>
    </row>
    <row r="12188" spans="1:9" x14ac:dyDescent="0.2">
      <c r="A12188" t="str">
        <f>"Lrrc6"</f>
        <v>Lrrc6</v>
      </c>
      <c r="B12188" t="s">
        <v>14</v>
      </c>
      <c r="C12188" t="s">
        <v>25</v>
      </c>
      <c r="D12188" t="s">
        <v>11</v>
      </c>
      <c r="E12188" t="s">
        <v>12</v>
      </c>
      <c r="F12188">
        <v>66500857</v>
      </c>
      <c r="G12188">
        <v>66500905</v>
      </c>
      <c r="H12188">
        <v>66500848</v>
      </c>
      <c r="I12188">
        <v>66500849</v>
      </c>
    </row>
    <row r="12189" spans="1:9" x14ac:dyDescent="0.2">
      <c r="A12189" t="str">
        <f>"Lrrc61"</f>
        <v>Lrrc61</v>
      </c>
      <c r="B12189" t="s">
        <v>14</v>
      </c>
      <c r="C12189" t="s">
        <v>32</v>
      </c>
      <c r="D12189" t="s">
        <v>17</v>
      </c>
      <c r="E12189" t="s">
        <v>12</v>
      </c>
      <c r="F12189">
        <v>48554776</v>
      </c>
      <c r="G12189">
        <v>48554845</v>
      </c>
      <c r="H12189">
        <v>48554930</v>
      </c>
      <c r="I12189">
        <v>48554962</v>
      </c>
    </row>
    <row r="12190" spans="1:9" x14ac:dyDescent="0.2">
      <c r="A12190" t="str">
        <f>"Lrrc63"</f>
        <v>Lrrc63</v>
      </c>
      <c r="B12190" t="s">
        <v>14</v>
      </c>
      <c r="C12190" t="s">
        <v>41</v>
      </c>
      <c r="D12190" t="s">
        <v>11</v>
      </c>
      <c r="E12190" t="s">
        <v>12</v>
      </c>
      <c r="F12190">
        <v>75130908</v>
      </c>
      <c r="G12190">
        <v>75130943</v>
      </c>
      <c r="H12190">
        <v>75131005</v>
      </c>
      <c r="I12190">
        <v>75131046</v>
      </c>
    </row>
    <row r="12191" spans="1:9" x14ac:dyDescent="0.2">
      <c r="A12191" t="str">
        <f>"Lrrc66"</f>
        <v>Lrrc66</v>
      </c>
      <c r="B12191" t="s">
        <v>9</v>
      </c>
      <c r="C12191" t="s">
        <v>46</v>
      </c>
      <c r="D12191" t="s">
        <v>11</v>
      </c>
      <c r="E12191" t="s">
        <v>12</v>
      </c>
      <c r="F12191">
        <v>73630303</v>
      </c>
      <c r="G12191">
        <v>73630343</v>
      </c>
      <c r="H12191">
        <v>73630303</v>
      </c>
      <c r="I12191">
        <v>73630343</v>
      </c>
    </row>
    <row r="12192" spans="1:9" x14ac:dyDescent="0.2">
      <c r="A12192" t="str">
        <f>"Lrrc66"</f>
        <v>Lrrc66</v>
      </c>
      <c r="B12192" t="s">
        <v>13</v>
      </c>
      <c r="C12192" t="s">
        <v>46</v>
      </c>
      <c r="D12192" t="s">
        <v>11</v>
      </c>
      <c r="E12192" t="s">
        <v>12</v>
      </c>
      <c r="F12192">
        <v>73632421</v>
      </c>
      <c r="G12192">
        <v>73632434</v>
      </c>
      <c r="H12192">
        <v>73632421</v>
      </c>
      <c r="I12192">
        <v>73632434</v>
      </c>
    </row>
    <row r="12193" spans="1:9" x14ac:dyDescent="0.2">
      <c r="A12193" t="str">
        <f>"Lrrc69"</f>
        <v>Lrrc69</v>
      </c>
      <c r="B12193" t="s">
        <v>14</v>
      </c>
      <c r="C12193" t="s">
        <v>23</v>
      </c>
      <c r="D12193" t="s">
        <v>11</v>
      </c>
      <c r="E12193" t="s">
        <v>12</v>
      </c>
      <c r="F12193">
        <v>14796053</v>
      </c>
      <c r="G12193">
        <v>14796065</v>
      </c>
      <c r="H12193">
        <v>14796053</v>
      </c>
      <c r="I12193">
        <v>14796065</v>
      </c>
    </row>
    <row r="12194" spans="1:9" x14ac:dyDescent="0.2">
      <c r="A12194" t="str">
        <f>"Lrrc7"</f>
        <v>Lrrc7</v>
      </c>
      <c r="B12194" t="s">
        <v>14</v>
      </c>
      <c r="C12194" t="s">
        <v>22</v>
      </c>
      <c r="D12194" t="s">
        <v>11</v>
      </c>
      <c r="E12194" t="s">
        <v>12</v>
      </c>
      <c r="F12194">
        <v>158561739</v>
      </c>
      <c r="G12194">
        <v>158561798</v>
      </c>
      <c r="H12194">
        <v>158561358</v>
      </c>
      <c r="I12194">
        <v>158561422</v>
      </c>
    </row>
    <row r="12195" spans="1:9" x14ac:dyDescent="0.2">
      <c r="A12195" t="str">
        <f>"Lrrc70"</f>
        <v>Lrrc70</v>
      </c>
      <c r="B12195" t="s">
        <v>4266</v>
      </c>
      <c r="C12195" t="s">
        <v>39</v>
      </c>
      <c r="D12195" t="s">
        <v>11</v>
      </c>
      <c r="E12195" t="s">
        <v>20</v>
      </c>
      <c r="F12195">
        <v>106847266</v>
      </c>
      <c r="G12195">
        <v>106847266</v>
      </c>
      <c r="H12195">
        <v>106847266</v>
      </c>
      <c r="I12195">
        <v>106847266</v>
      </c>
    </row>
    <row r="12196" spans="1:9" x14ac:dyDescent="0.2">
      <c r="A12196" t="str">
        <f>"Lrrc71"</f>
        <v>Lrrc71</v>
      </c>
      <c r="B12196" t="s">
        <v>14</v>
      </c>
      <c r="C12196" t="s">
        <v>22</v>
      </c>
      <c r="D12196" t="s">
        <v>11</v>
      </c>
      <c r="E12196" t="s">
        <v>67</v>
      </c>
      <c r="F12196">
        <v>87748577</v>
      </c>
      <c r="G12196">
        <v>87748598</v>
      </c>
      <c r="H12196">
        <v>87748556</v>
      </c>
      <c r="I12196">
        <v>87748568</v>
      </c>
    </row>
    <row r="12197" spans="1:9" x14ac:dyDescent="0.2">
      <c r="A12197" t="str">
        <f>"Lrrc72"</f>
        <v>Lrrc72</v>
      </c>
      <c r="B12197" t="s">
        <v>14</v>
      </c>
      <c r="C12197" t="s">
        <v>16</v>
      </c>
      <c r="D12197" t="s">
        <v>11</v>
      </c>
      <c r="E12197" t="s">
        <v>67</v>
      </c>
      <c r="F12197">
        <v>36218188</v>
      </c>
      <c r="G12197">
        <v>36218205</v>
      </c>
      <c r="H12197">
        <v>36218188</v>
      </c>
      <c r="I12197">
        <v>36218205</v>
      </c>
    </row>
    <row r="12198" spans="1:9" x14ac:dyDescent="0.2">
      <c r="A12198" t="str">
        <f>"Lrrc73"</f>
        <v>Lrrc73</v>
      </c>
      <c r="B12198" t="s">
        <v>14</v>
      </c>
      <c r="C12198" t="s">
        <v>28</v>
      </c>
      <c r="D12198" t="s">
        <v>17</v>
      </c>
      <c r="E12198" t="s">
        <v>67</v>
      </c>
      <c r="F12198">
        <v>46253917</v>
      </c>
      <c r="G12198">
        <v>46253978</v>
      </c>
      <c r="H12198">
        <v>46253917</v>
      </c>
      <c r="I12198">
        <v>46253978</v>
      </c>
    </row>
    <row r="12199" spans="1:9" x14ac:dyDescent="0.2">
      <c r="A12199" t="str">
        <f>"Lrrc8a"</f>
        <v>Lrrc8a</v>
      </c>
      <c r="B12199" t="s">
        <v>14</v>
      </c>
      <c r="C12199" t="s">
        <v>26</v>
      </c>
      <c r="D12199" t="s">
        <v>17</v>
      </c>
      <c r="E12199" t="s">
        <v>12</v>
      </c>
      <c r="F12199">
        <v>30237680</v>
      </c>
      <c r="G12199">
        <v>30237747</v>
      </c>
      <c r="H12199">
        <v>30237665</v>
      </c>
      <c r="I12199">
        <v>30237672</v>
      </c>
    </row>
    <row r="12200" spans="1:9" x14ac:dyDescent="0.2">
      <c r="A12200" t="str">
        <f>"Lrrc8b"</f>
        <v>Lrrc8b</v>
      </c>
      <c r="B12200" t="s">
        <v>14</v>
      </c>
      <c r="C12200" t="s">
        <v>46</v>
      </c>
      <c r="D12200" t="s">
        <v>17</v>
      </c>
      <c r="E12200" t="s">
        <v>12</v>
      </c>
      <c r="F12200">
        <v>105415738</v>
      </c>
      <c r="G12200">
        <v>105415849</v>
      </c>
      <c r="H12200">
        <v>105415690</v>
      </c>
      <c r="I12200">
        <v>105415730</v>
      </c>
    </row>
    <row r="12201" spans="1:9" x14ac:dyDescent="0.2">
      <c r="A12201" t="str">
        <f>"Lrrc8c"</f>
        <v>Lrrc8c</v>
      </c>
      <c r="B12201" t="s">
        <v>14</v>
      </c>
      <c r="C12201" t="s">
        <v>46</v>
      </c>
      <c r="D12201" t="s">
        <v>17</v>
      </c>
      <c r="E12201" t="s">
        <v>12</v>
      </c>
      <c r="F12201">
        <v>105519434</v>
      </c>
      <c r="G12201">
        <v>105519472</v>
      </c>
      <c r="H12201">
        <v>105519404</v>
      </c>
      <c r="I12201">
        <v>105519425</v>
      </c>
    </row>
    <row r="12202" spans="1:9" x14ac:dyDescent="0.2">
      <c r="A12202" t="str">
        <f>"Lrrc8d"</f>
        <v>Lrrc8d</v>
      </c>
      <c r="B12202" t="s">
        <v>14</v>
      </c>
      <c r="C12202" t="s">
        <v>46</v>
      </c>
      <c r="D12202" t="s">
        <v>17</v>
      </c>
      <c r="E12202" t="s">
        <v>12</v>
      </c>
      <c r="F12202">
        <v>105699945</v>
      </c>
      <c r="G12202">
        <v>105700041</v>
      </c>
      <c r="H12202">
        <v>105700758</v>
      </c>
      <c r="I12202">
        <v>105700835</v>
      </c>
    </row>
    <row r="12203" spans="1:9" x14ac:dyDescent="0.2">
      <c r="A12203" t="str">
        <f>"Lrrc8e"</f>
        <v>Lrrc8e</v>
      </c>
      <c r="B12203" t="s">
        <v>14</v>
      </c>
      <c r="C12203" t="s">
        <v>30</v>
      </c>
      <c r="D12203" t="s">
        <v>17</v>
      </c>
      <c r="E12203" t="s">
        <v>12</v>
      </c>
      <c r="F12203">
        <v>4226903</v>
      </c>
      <c r="G12203">
        <v>4226922</v>
      </c>
      <c r="H12203">
        <v>4226927</v>
      </c>
      <c r="I12203">
        <v>4226959</v>
      </c>
    </row>
    <row r="12204" spans="1:9" x14ac:dyDescent="0.2">
      <c r="A12204" t="str">
        <f>"Lrrc9"</f>
        <v>Lrrc9</v>
      </c>
      <c r="B12204" t="s">
        <v>14</v>
      </c>
      <c r="C12204" t="s">
        <v>16</v>
      </c>
      <c r="D12204" t="s">
        <v>17</v>
      </c>
      <c r="E12204" t="s">
        <v>12</v>
      </c>
      <c r="F12204">
        <v>72442352</v>
      </c>
      <c r="G12204">
        <v>72442367</v>
      </c>
      <c r="H12204">
        <v>72441871</v>
      </c>
      <c r="I12204">
        <v>72441896</v>
      </c>
    </row>
    <row r="12205" spans="1:9" x14ac:dyDescent="0.2">
      <c r="A12205" t="str">
        <f>"Lrrcc1"</f>
        <v>Lrrcc1</v>
      </c>
      <c r="B12205" t="s">
        <v>14</v>
      </c>
      <c r="C12205" t="s">
        <v>22</v>
      </c>
      <c r="D12205" t="s">
        <v>17</v>
      </c>
      <c r="E12205" t="s">
        <v>12</v>
      </c>
      <c r="F12205">
        <v>14533817</v>
      </c>
      <c r="G12205">
        <v>14533866</v>
      </c>
      <c r="H12205">
        <v>14533867</v>
      </c>
      <c r="I12205">
        <v>14533889</v>
      </c>
    </row>
    <row r="12206" spans="1:9" x14ac:dyDescent="0.2">
      <c r="A12206" t="str">
        <f>"Lrrd1"</f>
        <v>Lrrd1</v>
      </c>
      <c r="B12206" t="s">
        <v>14</v>
      </c>
      <c r="C12206" t="s">
        <v>46</v>
      </c>
      <c r="D12206" t="s">
        <v>17</v>
      </c>
      <c r="E12206" t="s">
        <v>67</v>
      </c>
      <c r="F12206">
        <v>3845171</v>
      </c>
      <c r="G12206">
        <v>3845192</v>
      </c>
      <c r="H12206">
        <v>3845195</v>
      </c>
      <c r="I12206">
        <v>3845202</v>
      </c>
    </row>
    <row r="12207" spans="1:9" x14ac:dyDescent="0.2">
      <c r="A12207" t="str">
        <f>"Lrrfip1"</f>
        <v>Lrrfip1</v>
      </c>
      <c r="B12207" t="s">
        <v>9</v>
      </c>
      <c r="C12207" t="s">
        <v>19</v>
      </c>
      <c r="D12207" t="s">
        <v>17</v>
      </c>
      <c r="E12207" t="s">
        <v>12</v>
      </c>
      <c r="F12207">
        <v>91053422</v>
      </c>
      <c r="G12207">
        <v>91053520</v>
      </c>
      <c r="H12207">
        <v>91053422</v>
      </c>
      <c r="I12207">
        <v>91053520</v>
      </c>
    </row>
    <row r="12208" spans="1:9" x14ac:dyDescent="0.2">
      <c r="A12208" t="str">
        <f>"Lrrfip1"</f>
        <v>Lrrfip1</v>
      </c>
      <c r="B12208" t="s">
        <v>13</v>
      </c>
      <c r="C12208" t="s">
        <v>19</v>
      </c>
      <c r="D12208" t="s">
        <v>17</v>
      </c>
      <c r="E12208" t="s">
        <v>12</v>
      </c>
      <c r="F12208">
        <v>90998722</v>
      </c>
      <c r="G12208">
        <v>90998796</v>
      </c>
      <c r="H12208">
        <v>90998722</v>
      </c>
      <c r="I12208">
        <v>90998796</v>
      </c>
    </row>
    <row r="12209" spans="1:9" x14ac:dyDescent="0.2">
      <c r="A12209" t="str">
        <f>"Lrrfip2"</f>
        <v>Lrrfip2</v>
      </c>
      <c r="B12209" t="s">
        <v>14</v>
      </c>
      <c r="C12209" t="s">
        <v>24</v>
      </c>
      <c r="D12209" t="s">
        <v>17</v>
      </c>
      <c r="E12209" t="s">
        <v>12</v>
      </c>
      <c r="F12209">
        <v>111118070</v>
      </c>
      <c r="G12209">
        <v>111118183</v>
      </c>
      <c r="H12209">
        <v>111118206</v>
      </c>
      <c r="I12209">
        <v>111118217</v>
      </c>
    </row>
    <row r="12210" spans="1:9" x14ac:dyDescent="0.2">
      <c r="A12210" t="str">
        <f>"Lrriq1"</f>
        <v>Lrriq1</v>
      </c>
      <c r="B12210" t="s">
        <v>14</v>
      </c>
      <c r="C12210" t="s">
        <v>15</v>
      </c>
      <c r="D12210" t="s">
        <v>11</v>
      </c>
      <c r="E12210" t="s">
        <v>12</v>
      </c>
      <c r="F12210">
        <v>103236280</v>
      </c>
      <c r="G12210">
        <v>103236327</v>
      </c>
      <c r="H12210">
        <v>103236345</v>
      </c>
      <c r="I12210">
        <v>103236354</v>
      </c>
    </row>
    <row r="12211" spans="1:9" x14ac:dyDescent="0.2">
      <c r="A12211" t="str">
        <f>"Lrriq3"</f>
        <v>Lrriq3</v>
      </c>
      <c r="B12211" t="s">
        <v>14</v>
      </c>
      <c r="C12211" t="s">
        <v>22</v>
      </c>
      <c r="D12211" t="s">
        <v>17</v>
      </c>
      <c r="E12211" t="s">
        <v>12</v>
      </c>
      <c r="F12211">
        <v>155093502</v>
      </c>
      <c r="G12211">
        <v>155093544</v>
      </c>
      <c r="H12211">
        <v>155093414</v>
      </c>
      <c r="I12211">
        <v>155093475</v>
      </c>
    </row>
    <row r="12212" spans="1:9" x14ac:dyDescent="0.2">
      <c r="A12212" t="str">
        <f>"Lrriq4"</f>
        <v>Lrriq4</v>
      </c>
      <c r="B12212" t="s">
        <v>14</v>
      </c>
      <c r="C12212" t="s">
        <v>22</v>
      </c>
      <c r="D12212" t="s">
        <v>17</v>
      </c>
      <c r="E12212" t="s">
        <v>12</v>
      </c>
      <c r="F12212">
        <v>30647923</v>
      </c>
      <c r="G12212">
        <v>30647934</v>
      </c>
      <c r="H12212">
        <v>30647894</v>
      </c>
      <c r="I12212">
        <v>30647901</v>
      </c>
    </row>
    <row r="12213" spans="1:9" x14ac:dyDescent="0.2">
      <c r="A12213" t="str">
        <f>"Lrrk1"</f>
        <v>Lrrk1</v>
      </c>
      <c r="B12213" t="s">
        <v>14</v>
      </c>
      <c r="C12213" t="s">
        <v>33</v>
      </c>
      <c r="D12213" t="s">
        <v>11</v>
      </c>
      <c r="E12213" t="s">
        <v>12</v>
      </c>
      <c r="F12213">
        <v>66388286</v>
      </c>
      <c r="G12213">
        <v>66388341</v>
      </c>
      <c r="H12213">
        <v>66388349</v>
      </c>
      <c r="I12213">
        <v>66388354</v>
      </c>
    </row>
    <row r="12214" spans="1:9" x14ac:dyDescent="0.2">
      <c r="A12214" t="str">
        <f>"Lrrk2"</f>
        <v>Lrrk2</v>
      </c>
      <c r="B12214" t="s">
        <v>14</v>
      </c>
      <c r="C12214" t="s">
        <v>25</v>
      </c>
      <c r="D12214" t="s">
        <v>17</v>
      </c>
      <c r="E12214" t="s">
        <v>12</v>
      </c>
      <c r="F12214">
        <v>91673185</v>
      </c>
      <c r="G12214">
        <v>91673268</v>
      </c>
      <c r="H12214">
        <v>91673082</v>
      </c>
      <c r="I12214">
        <v>91673105</v>
      </c>
    </row>
    <row r="12215" spans="1:9" x14ac:dyDescent="0.2">
      <c r="A12215" t="str">
        <f>"Lrrn1"</f>
        <v>Lrrn1</v>
      </c>
      <c r="B12215" t="s">
        <v>14</v>
      </c>
      <c r="C12215" t="s">
        <v>32</v>
      </c>
      <c r="D12215" t="s">
        <v>17</v>
      </c>
      <c r="E12215" t="s">
        <v>12</v>
      </c>
      <c r="F12215">
        <v>107529717</v>
      </c>
      <c r="G12215">
        <v>107529780</v>
      </c>
      <c r="H12215">
        <v>107529796</v>
      </c>
      <c r="I12215">
        <v>107529807</v>
      </c>
    </row>
    <row r="12216" spans="1:9" x14ac:dyDescent="0.2">
      <c r="A12216" t="str">
        <f>"Lrrn2"</f>
        <v>Lrrn2</v>
      </c>
      <c r="B12216" t="s">
        <v>14</v>
      </c>
      <c r="C12216" t="s">
        <v>19</v>
      </c>
      <c r="D12216" t="s">
        <v>17</v>
      </c>
      <c r="E12216" t="s">
        <v>12</v>
      </c>
      <c r="F12216">
        <v>132880344</v>
      </c>
      <c r="G12216">
        <v>132880366</v>
      </c>
      <c r="H12216">
        <v>132880400</v>
      </c>
      <c r="I12216">
        <v>132880454</v>
      </c>
    </row>
    <row r="12217" spans="1:9" x14ac:dyDescent="0.2">
      <c r="A12217" t="str">
        <f>"Lrrn3"</f>
        <v>Lrrn3</v>
      </c>
      <c r="B12217" t="s">
        <v>14</v>
      </c>
      <c r="C12217" t="s">
        <v>16</v>
      </c>
      <c r="D12217" t="s">
        <v>11</v>
      </c>
      <c r="E12217" t="s">
        <v>12</v>
      </c>
      <c r="F12217">
        <v>41485944</v>
      </c>
      <c r="G12217">
        <v>41485960</v>
      </c>
      <c r="H12217">
        <v>41485944</v>
      </c>
      <c r="I12217">
        <v>41485960</v>
      </c>
    </row>
    <row r="12218" spans="1:9" x14ac:dyDescent="0.2">
      <c r="A12218" t="str">
        <f>"Lrrn4"</f>
        <v>Lrrn4</v>
      </c>
      <c r="B12218" t="s">
        <v>14</v>
      </c>
      <c r="C12218" t="s">
        <v>26</v>
      </c>
      <c r="D12218" t="s">
        <v>11</v>
      </c>
      <c r="E12218" t="s">
        <v>12</v>
      </c>
      <c r="F12218">
        <v>132880847</v>
      </c>
      <c r="G12218">
        <v>132880907</v>
      </c>
      <c r="H12218">
        <v>132880914</v>
      </c>
      <c r="I12218">
        <v>132880919</v>
      </c>
    </row>
    <row r="12219" spans="1:9" x14ac:dyDescent="0.2">
      <c r="A12219" t="str">
        <f>"Lrrn4cl"</f>
        <v>Lrrn4cl</v>
      </c>
      <c r="B12219" t="s">
        <v>14</v>
      </c>
      <c r="C12219" t="s">
        <v>10</v>
      </c>
      <c r="D12219" t="s">
        <v>17</v>
      </c>
      <c r="E12219" t="s">
        <v>12</v>
      </c>
      <c r="F12219">
        <v>8850939</v>
      </c>
      <c r="G12219">
        <v>8850954</v>
      </c>
      <c r="H12219">
        <v>8850939</v>
      </c>
      <c r="I12219">
        <v>8850954</v>
      </c>
    </row>
    <row r="12220" spans="1:9" x14ac:dyDescent="0.2">
      <c r="A12220" t="str">
        <f>"Lrrtm1"</f>
        <v>Lrrtm1</v>
      </c>
      <c r="B12220" t="s">
        <v>14</v>
      </c>
      <c r="C12220" t="s">
        <v>32</v>
      </c>
      <c r="D12220" t="s">
        <v>17</v>
      </c>
      <c r="E12220" t="s">
        <v>12</v>
      </c>
      <c r="F12220">
        <v>77242644</v>
      </c>
      <c r="G12220">
        <v>77242697</v>
      </c>
      <c r="H12220">
        <v>77242715</v>
      </c>
      <c r="I12220">
        <v>77242729</v>
      </c>
    </row>
    <row r="12221" spans="1:9" x14ac:dyDescent="0.2">
      <c r="A12221" t="str">
        <f>"Lrrtm2"</f>
        <v>Lrrtm2</v>
      </c>
      <c r="B12221" t="s">
        <v>14</v>
      </c>
      <c r="C12221" t="s">
        <v>43</v>
      </c>
      <c r="D12221" t="s">
        <v>11</v>
      </c>
      <c r="E12221" t="s">
        <v>12</v>
      </c>
      <c r="F12221">
        <v>35215008</v>
      </c>
      <c r="G12221">
        <v>35215033</v>
      </c>
      <c r="H12221">
        <v>35215043</v>
      </c>
      <c r="I12221">
        <v>35215067</v>
      </c>
    </row>
    <row r="12222" spans="1:9" x14ac:dyDescent="0.2">
      <c r="A12222" t="str">
        <f>"Lrrtm3"</f>
        <v>Lrrtm3</v>
      </c>
      <c r="B12222" t="s">
        <v>14</v>
      </c>
      <c r="C12222" t="s">
        <v>15</v>
      </c>
      <c r="D12222" t="s">
        <v>11</v>
      </c>
      <c r="E12222" t="s">
        <v>12</v>
      </c>
      <c r="F12222">
        <v>64090265</v>
      </c>
      <c r="G12222">
        <v>64090297</v>
      </c>
      <c r="H12222">
        <v>64090241</v>
      </c>
      <c r="I12222">
        <v>64090262</v>
      </c>
    </row>
    <row r="12223" spans="1:9" x14ac:dyDescent="0.2">
      <c r="A12223" t="str">
        <f>"Lrrtm4"</f>
        <v>Lrrtm4</v>
      </c>
      <c r="B12223" t="s">
        <v>14</v>
      </c>
      <c r="C12223" t="s">
        <v>32</v>
      </c>
      <c r="D12223" t="s">
        <v>17</v>
      </c>
      <c r="E12223" t="s">
        <v>12</v>
      </c>
      <c r="F12223">
        <v>80018957</v>
      </c>
      <c r="G12223">
        <v>80018997</v>
      </c>
      <c r="H12223">
        <v>80018905</v>
      </c>
      <c r="I12223">
        <v>80018945</v>
      </c>
    </row>
    <row r="12224" spans="1:9" x14ac:dyDescent="0.2">
      <c r="A12224" t="str">
        <f>"Lrsam1"</f>
        <v>Lrsam1</v>
      </c>
      <c r="B12224" t="s">
        <v>14</v>
      </c>
      <c r="C12224" t="s">
        <v>26</v>
      </c>
      <c r="D12224" t="s">
        <v>11</v>
      </c>
      <c r="E12224" t="s">
        <v>12</v>
      </c>
      <c r="F12224">
        <v>32961594</v>
      </c>
      <c r="G12224">
        <v>32961620</v>
      </c>
      <c r="H12224">
        <v>32961635</v>
      </c>
      <c r="I12224">
        <v>32961646</v>
      </c>
    </row>
    <row r="12225" spans="1:9" x14ac:dyDescent="0.2">
      <c r="A12225" t="str">
        <f>"Lrtm1"</f>
        <v>Lrtm1</v>
      </c>
      <c r="B12225" t="s">
        <v>14</v>
      </c>
      <c r="C12225" t="s">
        <v>41</v>
      </c>
      <c r="D12225" t="s">
        <v>17</v>
      </c>
      <c r="E12225" t="s">
        <v>12</v>
      </c>
      <c r="F12225">
        <v>29018245</v>
      </c>
      <c r="G12225">
        <v>29018278</v>
      </c>
      <c r="H12225">
        <v>29018205</v>
      </c>
      <c r="I12225">
        <v>29018226</v>
      </c>
    </row>
    <row r="12226" spans="1:9" x14ac:dyDescent="0.2">
      <c r="A12226" t="str">
        <f>"Lrtm2"</f>
        <v>Lrtm2</v>
      </c>
      <c r="B12226" t="s">
        <v>14</v>
      </c>
      <c r="C12226" t="s">
        <v>32</v>
      </c>
      <c r="D12226" t="s">
        <v>11</v>
      </c>
      <c r="E12226" t="s">
        <v>12</v>
      </c>
      <c r="F12226">
        <v>119330723</v>
      </c>
      <c r="G12226">
        <v>119330800</v>
      </c>
      <c r="H12226">
        <v>119330593</v>
      </c>
      <c r="I12226">
        <v>119330607</v>
      </c>
    </row>
    <row r="12227" spans="1:9" x14ac:dyDescent="0.2">
      <c r="A12227" t="str">
        <f>"Lrwd1"</f>
        <v>Lrwd1</v>
      </c>
      <c r="B12227" t="s">
        <v>14</v>
      </c>
      <c r="C12227" t="s">
        <v>46</v>
      </c>
      <c r="D12227" t="s">
        <v>11</v>
      </c>
      <c r="E12227" t="s">
        <v>12</v>
      </c>
      <c r="F12227">
        <v>136135989</v>
      </c>
      <c r="G12227">
        <v>136136087</v>
      </c>
      <c r="H12227">
        <v>136135958</v>
      </c>
      <c r="I12227">
        <v>136135965</v>
      </c>
    </row>
    <row r="12228" spans="1:9" x14ac:dyDescent="0.2">
      <c r="A12228" t="str">
        <f>"Lsamp"</f>
        <v>Lsamp</v>
      </c>
      <c r="B12228" t="s">
        <v>14</v>
      </c>
      <c r="C12228" t="s">
        <v>31</v>
      </c>
      <c r="D12228" t="s">
        <v>17</v>
      </c>
      <c r="E12228" t="s">
        <v>12</v>
      </c>
      <c r="F12228">
        <v>41532999</v>
      </c>
      <c r="G12228">
        <v>41533069</v>
      </c>
      <c r="H12228">
        <v>41532999</v>
      </c>
      <c r="I12228">
        <v>41533069</v>
      </c>
    </row>
    <row r="12229" spans="1:9" x14ac:dyDescent="0.2">
      <c r="A12229" t="str">
        <f>"Lsg1"</f>
        <v>Lsg1</v>
      </c>
      <c r="B12229" t="s">
        <v>14</v>
      </c>
      <c r="C12229" t="s">
        <v>31</v>
      </c>
      <c r="D12229" t="s">
        <v>11</v>
      </c>
      <c r="E12229" t="s">
        <v>12</v>
      </c>
      <c r="F12229">
        <v>30587537</v>
      </c>
      <c r="G12229">
        <v>30587597</v>
      </c>
      <c r="H12229">
        <v>30587537</v>
      </c>
      <c r="I12229">
        <v>30587597</v>
      </c>
    </row>
    <row r="12230" spans="1:9" x14ac:dyDescent="0.2">
      <c r="A12230" t="str">
        <f>"Lsm1"</f>
        <v>Lsm1</v>
      </c>
      <c r="B12230" t="s">
        <v>14</v>
      </c>
      <c r="C12230" t="s">
        <v>30</v>
      </c>
      <c r="D12230" t="s">
        <v>17</v>
      </c>
      <c r="E12230" t="s">
        <v>12</v>
      </c>
      <c r="F12230">
        <v>25785538</v>
      </c>
      <c r="G12230">
        <v>25785587</v>
      </c>
      <c r="H12230">
        <v>25785289</v>
      </c>
      <c r="I12230">
        <v>25785319</v>
      </c>
    </row>
    <row r="12231" spans="1:9" x14ac:dyDescent="0.2">
      <c r="A12231" t="str">
        <f>"Lsm10"</f>
        <v>Lsm10</v>
      </c>
      <c r="B12231" t="s">
        <v>14</v>
      </c>
      <c r="C12231" t="s">
        <v>23</v>
      </c>
      <c r="D12231" t="s">
        <v>17</v>
      </c>
      <c r="E12231" t="s">
        <v>12</v>
      </c>
      <c r="F12231">
        <v>126096710</v>
      </c>
      <c r="G12231">
        <v>126096728</v>
      </c>
      <c r="H12231">
        <v>126096666</v>
      </c>
      <c r="I12231">
        <v>126096708</v>
      </c>
    </row>
    <row r="12232" spans="1:9" x14ac:dyDescent="0.2">
      <c r="A12232" t="str">
        <f>"Lsm11"</f>
        <v>Lsm11</v>
      </c>
      <c r="B12232" t="s">
        <v>14</v>
      </c>
      <c r="C12232" t="s">
        <v>27</v>
      </c>
      <c r="D12232" t="s">
        <v>11</v>
      </c>
      <c r="E12232" t="s">
        <v>12</v>
      </c>
      <c r="F12232">
        <v>45944910</v>
      </c>
      <c r="G12232">
        <v>45944960</v>
      </c>
      <c r="H12232">
        <v>45944976</v>
      </c>
      <c r="I12232">
        <v>45944982</v>
      </c>
    </row>
    <row r="12233" spans="1:9" x14ac:dyDescent="0.2">
      <c r="A12233" t="str">
        <f>"Lsm12"</f>
        <v>Lsm12</v>
      </c>
      <c r="B12233" t="s">
        <v>14</v>
      </c>
      <c r="C12233" t="s">
        <v>27</v>
      </c>
      <c r="D12233" t="s">
        <v>11</v>
      </c>
      <c r="E12233" t="s">
        <v>12</v>
      </c>
      <c r="F12233">
        <v>102185239</v>
      </c>
      <c r="G12233">
        <v>102185316</v>
      </c>
      <c r="H12233">
        <v>102185202</v>
      </c>
      <c r="I12233">
        <v>102185238</v>
      </c>
    </row>
    <row r="12234" spans="1:9" x14ac:dyDescent="0.2">
      <c r="A12234" t="str">
        <f>"Lsm14a"</f>
        <v>Lsm14a</v>
      </c>
      <c r="B12234" t="s">
        <v>14</v>
      </c>
      <c r="C12234" t="s">
        <v>33</v>
      </c>
      <c r="D12234" t="s">
        <v>11</v>
      </c>
      <c r="E12234" t="s">
        <v>12</v>
      </c>
      <c r="F12234">
        <v>34389575</v>
      </c>
      <c r="G12234">
        <v>34389638</v>
      </c>
      <c r="H12234">
        <v>34389699</v>
      </c>
      <c r="I12234">
        <v>34389720</v>
      </c>
    </row>
    <row r="12235" spans="1:9" x14ac:dyDescent="0.2">
      <c r="A12235" t="str">
        <f>"Lsm14b"</f>
        <v>Lsm14b</v>
      </c>
      <c r="B12235" t="s">
        <v>14</v>
      </c>
      <c r="C12235" t="s">
        <v>26</v>
      </c>
      <c r="D12235" t="s">
        <v>17</v>
      </c>
      <c r="E12235" t="s">
        <v>12</v>
      </c>
      <c r="F12235">
        <v>180024951</v>
      </c>
      <c r="G12235">
        <v>180025007</v>
      </c>
      <c r="H12235">
        <v>180024903</v>
      </c>
      <c r="I12235">
        <v>180024914</v>
      </c>
    </row>
    <row r="12236" spans="1:9" x14ac:dyDescent="0.2">
      <c r="A12236" t="str">
        <f>"Lsm2"</f>
        <v>Lsm2</v>
      </c>
      <c r="B12236" t="s">
        <v>14</v>
      </c>
      <c r="C12236" t="s">
        <v>28</v>
      </c>
      <c r="D12236" t="s">
        <v>17</v>
      </c>
      <c r="E12236" t="s">
        <v>12</v>
      </c>
      <c r="F12236">
        <v>34981847</v>
      </c>
      <c r="G12236">
        <v>34981897</v>
      </c>
      <c r="H12236">
        <v>34981898</v>
      </c>
      <c r="I12236">
        <v>34981940</v>
      </c>
    </row>
    <row r="12237" spans="1:9" x14ac:dyDescent="0.2">
      <c r="A12237" t="str">
        <f>"Lsm3"</f>
        <v>Lsm3</v>
      </c>
      <c r="B12237" t="s">
        <v>14</v>
      </c>
      <c r="C12237" t="s">
        <v>32</v>
      </c>
      <c r="D12237" t="s">
        <v>17</v>
      </c>
      <c r="E12237" t="s">
        <v>12</v>
      </c>
      <c r="F12237">
        <v>91516006</v>
      </c>
      <c r="G12237">
        <v>91516058</v>
      </c>
      <c r="H12237">
        <v>91516006</v>
      </c>
      <c r="I12237">
        <v>91516058</v>
      </c>
    </row>
    <row r="12238" spans="1:9" x14ac:dyDescent="0.2">
      <c r="A12238" t="str">
        <f>"Lsm4"</f>
        <v>Lsm4</v>
      </c>
      <c r="B12238" t="s">
        <v>14</v>
      </c>
      <c r="C12238" t="s">
        <v>30</v>
      </c>
      <c r="D12238" t="s">
        <v>17</v>
      </c>
      <c r="E12238" t="s">
        <v>12</v>
      </c>
      <c r="F12238">
        <v>70673364</v>
      </c>
      <c r="G12238">
        <v>70673428</v>
      </c>
      <c r="H12238">
        <v>70673198</v>
      </c>
      <c r="I12238">
        <v>70673267</v>
      </c>
    </row>
    <row r="12239" spans="1:9" x14ac:dyDescent="0.2">
      <c r="A12239" t="str">
        <f>"Lsm5"</f>
        <v>Lsm5</v>
      </c>
      <c r="B12239" t="s">
        <v>14</v>
      </c>
      <c r="C12239" t="s">
        <v>32</v>
      </c>
      <c r="D12239" t="s">
        <v>11</v>
      </c>
      <c r="E12239" t="s">
        <v>12</v>
      </c>
      <c r="F12239">
        <v>56704673</v>
      </c>
      <c r="G12239">
        <v>56704712</v>
      </c>
      <c r="H12239">
        <v>56704750</v>
      </c>
      <c r="I12239">
        <v>56704757</v>
      </c>
    </row>
    <row r="12240" spans="1:9" x14ac:dyDescent="0.2">
      <c r="A12240" t="str">
        <f>"Lsm6"</f>
        <v>Lsm6</v>
      </c>
      <c r="B12240" t="s">
        <v>9</v>
      </c>
      <c r="C12240" t="s">
        <v>30</v>
      </c>
      <c r="D12240" t="s">
        <v>11</v>
      </c>
      <c r="E12240" t="s">
        <v>12</v>
      </c>
      <c r="F12240">
        <v>78821078</v>
      </c>
      <c r="G12240">
        <v>78821119</v>
      </c>
      <c r="H12240">
        <v>78821078</v>
      </c>
      <c r="I12240">
        <v>78821119</v>
      </c>
    </row>
    <row r="12241" spans="1:9" x14ac:dyDescent="0.2">
      <c r="A12241" t="str">
        <f>"Lsm6"</f>
        <v>Lsm6</v>
      </c>
      <c r="B12241" t="s">
        <v>13</v>
      </c>
      <c r="C12241" t="s">
        <v>30</v>
      </c>
      <c r="D12241" t="s">
        <v>11</v>
      </c>
      <c r="E12241" t="s">
        <v>12</v>
      </c>
      <c r="F12241">
        <v>78813210</v>
      </c>
      <c r="G12241">
        <v>78813275</v>
      </c>
      <c r="H12241">
        <v>78813210</v>
      </c>
      <c r="I12241">
        <v>78813275</v>
      </c>
    </row>
    <row r="12242" spans="1:9" x14ac:dyDescent="0.2">
      <c r="A12242" t="str">
        <f>"Lsm7"</f>
        <v>Lsm7</v>
      </c>
      <c r="B12242" t="s">
        <v>14</v>
      </c>
      <c r="C12242" t="s">
        <v>15</v>
      </c>
      <c r="D12242" t="s">
        <v>11</v>
      </c>
      <c r="E12242" t="s">
        <v>12</v>
      </c>
      <c r="F12242">
        <v>80855187</v>
      </c>
      <c r="G12242">
        <v>80855220</v>
      </c>
      <c r="H12242">
        <v>80855187</v>
      </c>
      <c r="I12242">
        <v>80855220</v>
      </c>
    </row>
    <row r="12243" spans="1:9" x14ac:dyDescent="0.2">
      <c r="A12243" t="str">
        <f>"Lsmd1"</f>
        <v>Lsmd1</v>
      </c>
      <c r="B12243" t="s">
        <v>14</v>
      </c>
      <c r="C12243" t="s">
        <v>27</v>
      </c>
      <c r="D12243" t="s">
        <v>17</v>
      </c>
      <c r="E12243" t="s">
        <v>12</v>
      </c>
      <c r="F12243">
        <v>69395785</v>
      </c>
      <c r="G12243">
        <v>69395828</v>
      </c>
      <c r="H12243">
        <v>69396107</v>
      </c>
      <c r="I12243">
        <v>69396180</v>
      </c>
    </row>
    <row r="12244" spans="1:9" x14ac:dyDescent="0.2">
      <c r="A12244" t="str">
        <f>"Lsmem1"</f>
        <v>Lsmem1</v>
      </c>
      <c r="B12244" t="s">
        <v>14</v>
      </c>
      <c r="C12244" t="s">
        <v>16</v>
      </c>
      <c r="D12244" t="s">
        <v>11</v>
      </c>
      <c r="E12244" t="s">
        <v>67</v>
      </c>
      <c r="F12244">
        <v>40199268</v>
      </c>
      <c r="G12244">
        <v>40199312</v>
      </c>
      <c r="H12244">
        <v>40199268</v>
      </c>
      <c r="I12244">
        <v>40199312</v>
      </c>
    </row>
    <row r="12245" spans="1:9" x14ac:dyDescent="0.2">
      <c r="A12245" t="str">
        <f>"Lsp1"</f>
        <v>Lsp1</v>
      </c>
      <c r="B12245" t="s">
        <v>9</v>
      </c>
      <c r="C12245" t="s">
        <v>33</v>
      </c>
      <c r="D12245" t="s">
        <v>17</v>
      </c>
      <c r="E12245" t="s">
        <v>12</v>
      </c>
      <c r="F12245">
        <v>142460834</v>
      </c>
      <c r="G12245">
        <v>142460886</v>
      </c>
      <c r="H12245">
        <v>142460834</v>
      </c>
      <c r="I12245">
        <v>142460886</v>
      </c>
    </row>
    <row r="12246" spans="1:9" x14ac:dyDescent="0.2">
      <c r="A12246" t="str">
        <f>"Lsp1"</f>
        <v>Lsp1</v>
      </c>
      <c r="B12246" t="s">
        <v>13</v>
      </c>
      <c r="C12246" t="s">
        <v>33</v>
      </c>
      <c r="D12246" t="s">
        <v>17</v>
      </c>
      <c r="E12246" t="s">
        <v>12</v>
      </c>
      <c r="F12246">
        <v>142471838</v>
      </c>
      <c r="G12246">
        <v>142471910</v>
      </c>
      <c r="H12246">
        <v>142471838</v>
      </c>
      <c r="I12246">
        <v>142471910</v>
      </c>
    </row>
    <row r="12247" spans="1:9" x14ac:dyDescent="0.2">
      <c r="A12247" t="str">
        <f>"Lsr"</f>
        <v>Lsr</v>
      </c>
      <c r="B12247" t="s">
        <v>14</v>
      </c>
      <c r="C12247" t="s">
        <v>33</v>
      </c>
      <c r="D12247" t="s">
        <v>11</v>
      </c>
      <c r="E12247" t="s">
        <v>12</v>
      </c>
      <c r="F12247">
        <v>30973367</v>
      </c>
      <c r="G12247">
        <v>30973380</v>
      </c>
      <c r="H12247">
        <v>30973399</v>
      </c>
      <c r="I12247">
        <v>30973435</v>
      </c>
    </row>
    <row r="12248" spans="1:9" x14ac:dyDescent="0.2">
      <c r="A12248" t="str">
        <f>"Lss"</f>
        <v>Lss</v>
      </c>
      <c r="B12248" t="s">
        <v>14</v>
      </c>
      <c r="C12248" t="s">
        <v>15</v>
      </c>
      <c r="D12248" t="s">
        <v>17</v>
      </c>
      <c r="E12248" t="s">
        <v>12</v>
      </c>
      <c r="F12248">
        <v>76531593</v>
      </c>
      <c r="G12248">
        <v>76531635</v>
      </c>
      <c r="H12248">
        <v>76531637</v>
      </c>
      <c r="I12248">
        <v>76531657</v>
      </c>
    </row>
    <row r="12249" spans="1:9" x14ac:dyDescent="0.2">
      <c r="A12249" t="str">
        <f>"Lst1"</f>
        <v>Lst1</v>
      </c>
      <c r="B12249" t="s">
        <v>14</v>
      </c>
      <c r="C12249" t="s">
        <v>28</v>
      </c>
      <c r="D12249" t="s">
        <v>11</v>
      </c>
      <c r="E12249" t="s">
        <v>12</v>
      </c>
      <c r="F12249">
        <v>35188427</v>
      </c>
      <c r="G12249">
        <v>35188446</v>
      </c>
      <c r="H12249">
        <v>35188427</v>
      </c>
      <c r="I12249">
        <v>35188446</v>
      </c>
    </row>
    <row r="12250" spans="1:9" x14ac:dyDescent="0.2">
      <c r="A12250" t="str">
        <f>"Lta"</f>
        <v>Lta</v>
      </c>
      <c r="B12250" t="s">
        <v>14</v>
      </c>
      <c r="C12250" t="s">
        <v>28</v>
      </c>
      <c r="D12250" t="s">
        <v>11</v>
      </c>
      <c r="E12250" t="s">
        <v>12</v>
      </c>
      <c r="F12250">
        <v>35205165</v>
      </c>
      <c r="G12250">
        <v>35205223</v>
      </c>
      <c r="H12250">
        <v>35205165</v>
      </c>
      <c r="I12250">
        <v>35205223</v>
      </c>
    </row>
    <row r="12251" spans="1:9" x14ac:dyDescent="0.2">
      <c r="A12251" t="str">
        <f>"Lta4h"</f>
        <v>Lta4h</v>
      </c>
      <c r="B12251" t="s">
        <v>14</v>
      </c>
      <c r="C12251" t="s">
        <v>15</v>
      </c>
      <c r="D12251" t="s">
        <v>17</v>
      </c>
      <c r="E12251" t="s">
        <v>12</v>
      </c>
      <c r="F12251">
        <v>93453402</v>
      </c>
      <c r="G12251">
        <v>93453470</v>
      </c>
      <c r="H12251">
        <v>93453382</v>
      </c>
      <c r="I12251">
        <v>93453397</v>
      </c>
    </row>
    <row r="12252" spans="1:9" x14ac:dyDescent="0.2">
      <c r="A12252" t="str">
        <f>"Ltb"</f>
        <v>Ltb</v>
      </c>
      <c r="B12252" t="s">
        <v>14</v>
      </c>
      <c r="C12252" t="s">
        <v>28</v>
      </c>
      <c r="D12252" t="s">
        <v>17</v>
      </c>
      <c r="E12252" t="s">
        <v>12</v>
      </c>
      <c r="F12252">
        <v>35194502</v>
      </c>
      <c r="G12252">
        <v>35194521</v>
      </c>
      <c r="H12252">
        <v>35194324</v>
      </c>
      <c r="I12252">
        <v>35194339</v>
      </c>
    </row>
    <row r="12253" spans="1:9" x14ac:dyDescent="0.2">
      <c r="A12253" t="str">
        <f>"Ltb4r1"</f>
        <v>Ltb4r1</v>
      </c>
      <c r="B12253" t="s">
        <v>14</v>
      </c>
      <c r="C12253" t="s">
        <v>41</v>
      </c>
      <c r="D12253" t="s">
        <v>17</v>
      </c>
      <c r="E12253" t="s">
        <v>12</v>
      </c>
      <c r="F12253">
        <v>55765956</v>
      </c>
      <c r="G12253">
        <v>55765999</v>
      </c>
      <c r="H12253">
        <v>55765956</v>
      </c>
      <c r="I12253">
        <v>55765999</v>
      </c>
    </row>
    <row r="12254" spans="1:9" x14ac:dyDescent="0.2">
      <c r="A12254" t="str">
        <f>"Ltb4r2"</f>
        <v>Ltb4r2</v>
      </c>
      <c r="B12254" t="s">
        <v>14</v>
      </c>
      <c r="C12254" t="s">
        <v>41</v>
      </c>
      <c r="D12254" t="s">
        <v>17</v>
      </c>
      <c r="E12254" t="s">
        <v>12</v>
      </c>
      <c r="F12254">
        <v>55761408</v>
      </c>
      <c r="G12254">
        <v>55761436</v>
      </c>
      <c r="H12254">
        <v>55761385</v>
      </c>
      <c r="I12254">
        <v>55761401</v>
      </c>
    </row>
    <row r="12255" spans="1:9" x14ac:dyDescent="0.2">
      <c r="A12255" t="str">
        <f>"Ltbp1"</f>
        <v>Ltbp1</v>
      </c>
      <c r="B12255" t="s">
        <v>4267</v>
      </c>
      <c r="C12255" t="s">
        <v>28</v>
      </c>
      <c r="D12255" t="s">
        <v>17</v>
      </c>
      <c r="E12255" t="s">
        <v>35</v>
      </c>
      <c r="F12255">
        <v>75178718</v>
      </c>
      <c r="G12255">
        <v>75178731</v>
      </c>
      <c r="H12255">
        <v>75178834</v>
      </c>
      <c r="I12255">
        <v>75178856</v>
      </c>
    </row>
    <row r="12256" spans="1:9" x14ac:dyDescent="0.2">
      <c r="A12256" t="str">
        <f>"Ltbp2"</f>
        <v>Ltbp2</v>
      </c>
      <c r="B12256" t="s">
        <v>14</v>
      </c>
      <c r="C12256" t="s">
        <v>16</v>
      </c>
      <c r="D12256" t="s">
        <v>11</v>
      </c>
      <c r="E12256" t="s">
        <v>12</v>
      </c>
      <c r="F12256">
        <v>84876446</v>
      </c>
      <c r="G12256">
        <v>84876467</v>
      </c>
      <c r="H12256">
        <v>84876483</v>
      </c>
      <c r="I12256">
        <v>84876497</v>
      </c>
    </row>
    <row r="12257" spans="1:9" x14ac:dyDescent="0.2">
      <c r="A12257" t="str">
        <f>"Ltbp3"</f>
        <v>Ltbp3</v>
      </c>
      <c r="B12257" t="s">
        <v>14</v>
      </c>
      <c r="C12257" t="s">
        <v>10</v>
      </c>
      <c r="D12257" t="s">
        <v>17</v>
      </c>
      <c r="E12257" t="s">
        <v>12</v>
      </c>
      <c r="F12257">
        <v>5740885</v>
      </c>
      <c r="G12257">
        <v>5740904</v>
      </c>
      <c r="H12257">
        <v>5740935</v>
      </c>
      <c r="I12257">
        <v>5740949</v>
      </c>
    </row>
    <row r="12258" spans="1:9" x14ac:dyDescent="0.2">
      <c r="A12258" t="str">
        <f>"Ltbp4"</f>
        <v>Ltbp4</v>
      </c>
      <c r="B12258" t="s">
        <v>9</v>
      </c>
      <c r="C12258" t="s">
        <v>33</v>
      </c>
      <c r="D12258" t="s">
        <v>11</v>
      </c>
      <c r="E12258" t="s">
        <v>12</v>
      </c>
      <c r="F12258">
        <v>27333602</v>
      </c>
      <c r="G12258">
        <v>27333640</v>
      </c>
      <c r="H12258">
        <v>27333602</v>
      </c>
      <c r="I12258">
        <v>27333640</v>
      </c>
    </row>
    <row r="12259" spans="1:9" x14ac:dyDescent="0.2">
      <c r="A12259" t="str">
        <f>"Ltbp4"</f>
        <v>Ltbp4</v>
      </c>
      <c r="B12259" t="s">
        <v>13</v>
      </c>
      <c r="C12259" t="s">
        <v>33</v>
      </c>
      <c r="D12259" t="s">
        <v>11</v>
      </c>
      <c r="E12259" t="s">
        <v>12</v>
      </c>
      <c r="F12259">
        <v>27337582</v>
      </c>
      <c r="G12259">
        <v>27337616</v>
      </c>
      <c r="H12259">
        <v>27337582</v>
      </c>
      <c r="I12259">
        <v>27337616</v>
      </c>
    </row>
    <row r="12260" spans="1:9" x14ac:dyDescent="0.2">
      <c r="A12260" t="str">
        <f>"Ltbr"</f>
        <v>Ltbr</v>
      </c>
      <c r="B12260" t="s">
        <v>14</v>
      </c>
      <c r="C12260" t="s">
        <v>32</v>
      </c>
      <c r="D12260" t="s">
        <v>11</v>
      </c>
      <c r="E12260" t="s">
        <v>12</v>
      </c>
      <c r="F12260">
        <v>125313844</v>
      </c>
      <c r="G12260">
        <v>125313878</v>
      </c>
      <c r="H12260">
        <v>125313698</v>
      </c>
      <c r="I12260">
        <v>125313723</v>
      </c>
    </row>
    <row r="12261" spans="1:9" x14ac:dyDescent="0.2">
      <c r="A12261" t="str">
        <f>"Ltc4s"</f>
        <v>Ltc4s</v>
      </c>
      <c r="B12261" t="s">
        <v>14</v>
      </c>
      <c r="C12261" t="s">
        <v>27</v>
      </c>
      <c r="D12261" t="s">
        <v>11</v>
      </c>
      <c r="E12261" t="s">
        <v>12</v>
      </c>
      <c r="F12261">
        <v>50238480</v>
      </c>
      <c r="G12261">
        <v>50238522</v>
      </c>
      <c r="H12261">
        <v>50238451</v>
      </c>
      <c r="I12261">
        <v>50238469</v>
      </c>
    </row>
    <row r="12262" spans="1:9" x14ac:dyDescent="0.2">
      <c r="A12262" t="str">
        <f>"Ltf"</f>
        <v>Ltf</v>
      </c>
      <c r="B12262" t="s">
        <v>14</v>
      </c>
      <c r="C12262" t="s">
        <v>24</v>
      </c>
      <c r="D12262" t="s">
        <v>17</v>
      </c>
      <c r="E12262" t="s">
        <v>12</v>
      </c>
      <c r="F12262">
        <v>111019284</v>
      </c>
      <c r="G12262">
        <v>111019298</v>
      </c>
      <c r="H12262">
        <v>111019136</v>
      </c>
      <c r="I12262">
        <v>111019169</v>
      </c>
    </row>
    <row r="12263" spans="1:9" x14ac:dyDescent="0.2">
      <c r="A12263" t="str">
        <f>"Ltk"</f>
        <v>Ltk</v>
      </c>
      <c r="B12263" t="s">
        <v>14</v>
      </c>
      <c r="C12263" t="s">
        <v>26</v>
      </c>
      <c r="D12263" t="s">
        <v>11</v>
      </c>
      <c r="E12263" t="s">
        <v>12</v>
      </c>
      <c r="F12263">
        <v>119758502</v>
      </c>
      <c r="G12263">
        <v>119758537</v>
      </c>
      <c r="H12263">
        <v>119758502</v>
      </c>
      <c r="I12263">
        <v>119758537</v>
      </c>
    </row>
    <row r="12264" spans="1:9" x14ac:dyDescent="0.2">
      <c r="A12264" t="str">
        <f>"Ltn1"</f>
        <v>Ltn1</v>
      </c>
      <c r="B12264" t="s">
        <v>14</v>
      </c>
      <c r="C12264" t="s">
        <v>31</v>
      </c>
      <c r="D12264" t="s">
        <v>11</v>
      </c>
      <c r="E12264" t="s">
        <v>12</v>
      </c>
      <c r="F12264">
        <v>87432484</v>
      </c>
      <c r="G12264">
        <v>87432548</v>
      </c>
      <c r="H12264">
        <v>87432597</v>
      </c>
      <c r="I12264">
        <v>87432613</v>
      </c>
    </row>
    <row r="12265" spans="1:9" x14ac:dyDescent="0.2">
      <c r="A12265" t="str">
        <f>"Ltv1"</f>
        <v>Ltv1</v>
      </c>
      <c r="B12265" t="s">
        <v>14</v>
      </c>
      <c r="C12265" t="s">
        <v>15</v>
      </c>
      <c r="D12265" t="s">
        <v>11</v>
      </c>
      <c r="E12265" t="s">
        <v>12</v>
      </c>
      <c r="F12265">
        <v>13193096</v>
      </c>
      <c r="G12265">
        <v>13193155</v>
      </c>
      <c r="H12265">
        <v>13193156</v>
      </c>
      <c r="I12265">
        <v>13193167</v>
      </c>
    </row>
    <row r="12266" spans="1:9" x14ac:dyDescent="0.2">
      <c r="A12266" t="str">
        <f>"Luc7l"</f>
        <v>Luc7l</v>
      </c>
      <c r="B12266" t="s">
        <v>14</v>
      </c>
      <c r="C12266" t="s">
        <v>28</v>
      </c>
      <c r="D12266" t="s">
        <v>17</v>
      </c>
      <c r="E12266" t="s">
        <v>12</v>
      </c>
      <c r="F12266">
        <v>26252915</v>
      </c>
      <c r="G12266">
        <v>26252983</v>
      </c>
      <c r="H12266">
        <v>26252987</v>
      </c>
      <c r="I12266">
        <v>26252996</v>
      </c>
    </row>
    <row r="12267" spans="1:9" x14ac:dyDescent="0.2">
      <c r="A12267" t="str">
        <f>"Luc7l2"</f>
        <v>Luc7l2</v>
      </c>
      <c r="B12267" t="s">
        <v>14</v>
      </c>
      <c r="C12267" t="s">
        <v>32</v>
      </c>
      <c r="D12267" t="s">
        <v>17</v>
      </c>
      <c r="E12267" t="s">
        <v>12</v>
      </c>
      <c r="F12267">
        <v>38551432</v>
      </c>
      <c r="G12267">
        <v>38551493</v>
      </c>
      <c r="H12267">
        <v>38551503</v>
      </c>
      <c r="I12267">
        <v>38551536</v>
      </c>
    </row>
    <row r="12268" spans="1:9" x14ac:dyDescent="0.2">
      <c r="A12268" t="str">
        <f>"Luc7l3"</f>
        <v>Luc7l3</v>
      </c>
      <c r="B12268" t="s">
        <v>14</v>
      </c>
      <c r="C12268" t="s">
        <v>27</v>
      </c>
      <c r="D12268" t="s">
        <v>11</v>
      </c>
      <c r="E12268" t="s">
        <v>12</v>
      </c>
      <c r="F12268">
        <v>94321910</v>
      </c>
      <c r="G12268">
        <v>94321943</v>
      </c>
      <c r="H12268">
        <v>94321957</v>
      </c>
      <c r="I12268">
        <v>94321968</v>
      </c>
    </row>
    <row r="12269" spans="1:9" x14ac:dyDescent="0.2">
      <c r="A12269" t="str">
        <f>"Lum"</f>
        <v>Lum</v>
      </c>
      <c r="B12269" t="s">
        <v>14</v>
      </c>
      <c r="C12269" t="s">
        <v>15</v>
      </c>
      <c r="D12269" t="s">
        <v>17</v>
      </c>
      <c r="E12269" t="s">
        <v>12</v>
      </c>
      <c r="F12269">
        <v>97565778</v>
      </c>
      <c r="G12269">
        <v>97565820</v>
      </c>
      <c r="H12269">
        <v>97565436</v>
      </c>
      <c r="I12269">
        <v>97565546</v>
      </c>
    </row>
    <row r="12270" spans="1:9" x14ac:dyDescent="0.2">
      <c r="A12270" t="str">
        <f>"Lurap1"</f>
        <v>Lurap1</v>
      </c>
      <c r="B12270" t="s">
        <v>14</v>
      </c>
      <c r="C12270" t="s">
        <v>23</v>
      </c>
      <c r="D12270" t="s">
        <v>11</v>
      </c>
      <c r="E12270" t="s">
        <v>67</v>
      </c>
      <c r="F12270">
        <v>116144542</v>
      </c>
      <c r="G12270">
        <v>116144598</v>
      </c>
      <c r="H12270">
        <v>116144512</v>
      </c>
      <c r="I12270">
        <v>116144528</v>
      </c>
    </row>
    <row r="12271" spans="1:9" x14ac:dyDescent="0.2">
      <c r="A12271" t="str">
        <f>"Lurap1l"</f>
        <v>Lurap1l</v>
      </c>
      <c r="B12271" t="s">
        <v>14</v>
      </c>
      <c r="C12271" t="s">
        <v>23</v>
      </c>
      <c r="D12271" t="s">
        <v>17</v>
      </c>
      <c r="E12271" t="s">
        <v>67</v>
      </c>
      <c r="F12271">
        <v>80910670</v>
      </c>
      <c r="G12271">
        <v>80910685</v>
      </c>
      <c r="H12271">
        <v>80910844</v>
      </c>
      <c r="I12271">
        <v>80910859</v>
      </c>
    </row>
    <row r="12272" spans="1:9" x14ac:dyDescent="0.2">
      <c r="A12272" t="str">
        <f>"Luzp1"</f>
        <v>Luzp1</v>
      </c>
      <c r="B12272" t="s">
        <v>14</v>
      </c>
      <c r="C12272" t="s">
        <v>23</v>
      </c>
      <c r="D12272" t="s">
        <v>17</v>
      </c>
      <c r="E12272" t="s">
        <v>12</v>
      </c>
      <c r="F12272">
        <v>136469755</v>
      </c>
      <c r="G12272">
        <v>136469815</v>
      </c>
      <c r="H12272">
        <v>136469755</v>
      </c>
      <c r="I12272">
        <v>136469815</v>
      </c>
    </row>
    <row r="12273" spans="1:9" x14ac:dyDescent="0.2">
      <c r="A12273" t="str">
        <f>"Luzp2"</f>
        <v>Luzp2</v>
      </c>
      <c r="B12273" t="s">
        <v>14</v>
      </c>
      <c r="C12273" t="s">
        <v>33</v>
      </c>
      <c r="D12273" t="s">
        <v>17</v>
      </c>
      <c r="E12273" t="s">
        <v>12</v>
      </c>
      <c r="F12273">
        <v>54835627</v>
      </c>
      <c r="G12273">
        <v>54835667</v>
      </c>
      <c r="H12273">
        <v>54835627</v>
      </c>
      <c r="I12273">
        <v>54835667</v>
      </c>
    </row>
    <row r="12274" spans="1:9" x14ac:dyDescent="0.2">
      <c r="A12274" t="str">
        <f>"Luzp4"</f>
        <v>Luzp4</v>
      </c>
      <c r="B12274" t="s">
        <v>4268</v>
      </c>
      <c r="C12274" t="s">
        <v>37</v>
      </c>
      <c r="D12274" t="s">
        <v>17</v>
      </c>
      <c r="E12274" t="s">
        <v>20</v>
      </c>
      <c r="F12274">
        <v>148857639</v>
      </c>
      <c r="G12274">
        <v>148857639</v>
      </c>
      <c r="H12274">
        <v>148857639</v>
      </c>
      <c r="I12274">
        <v>148857639</v>
      </c>
    </row>
    <row r="12275" spans="1:9" x14ac:dyDescent="0.2">
      <c r="A12275" t="str">
        <f>"Luzp4"</f>
        <v>Luzp4</v>
      </c>
      <c r="B12275" t="s">
        <v>4269</v>
      </c>
      <c r="C12275" t="s">
        <v>37</v>
      </c>
      <c r="D12275" t="s">
        <v>17</v>
      </c>
      <c r="E12275" t="s">
        <v>20</v>
      </c>
      <c r="F12275">
        <v>148882575</v>
      </c>
      <c r="G12275">
        <v>148882575</v>
      </c>
      <c r="H12275">
        <v>148882575</v>
      </c>
      <c r="I12275">
        <v>148882575</v>
      </c>
    </row>
    <row r="12276" spans="1:9" x14ac:dyDescent="0.2">
      <c r="A12276" t="str">
        <f>"Lxn"</f>
        <v>Lxn</v>
      </c>
      <c r="B12276" t="s">
        <v>14</v>
      </c>
      <c r="C12276" t="s">
        <v>22</v>
      </c>
      <c r="D12276" t="s">
        <v>11</v>
      </c>
      <c r="E12276" t="s">
        <v>12</v>
      </c>
      <c r="F12276">
        <v>67463828</v>
      </c>
      <c r="G12276">
        <v>67463943</v>
      </c>
      <c r="H12276">
        <v>67463798</v>
      </c>
      <c r="I12276">
        <v>67463825</v>
      </c>
    </row>
    <row r="12277" spans="1:9" x14ac:dyDescent="0.2">
      <c r="A12277" t="str">
        <f>"Ly6a"</f>
        <v>Ly6a</v>
      </c>
      <c r="B12277" t="s">
        <v>4270</v>
      </c>
      <c r="C12277" t="s">
        <v>25</v>
      </c>
      <c r="D12277" t="s">
        <v>11</v>
      </c>
      <c r="E12277" t="s">
        <v>20</v>
      </c>
      <c r="F12277">
        <v>74997633</v>
      </c>
      <c r="G12277">
        <v>74997633</v>
      </c>
      <c r="H12277">
        <v>74997633</v>
      </c>
      <c r="I12277">
        <v>74997633</v>
      </c>
    </row>
    <row r="12278" spans="1:9" x14ac:dyDescent="0.2">
      <c r="A12278" t="str">
        <f>"Ly6c1"</f>
        <v>Ly6c1</v>
      </c>
      <c r="B12278" t="s">
        <v>14</v>
      </c>
      <c r="C12278" t="s">
        <v>25</v>
      </c>
      <c r="D12278" t="s">
        <v>11</v>
      </c>
      <c r="E12278" t="s">
        <v>12</v>
      </c>
      <c r="F12278">
        <v>75048809</v>
      </c>
      <c r="G12278">
        <v>75048841</v>
      </c>
      <c r="H12278">
        <v>75048809</v>
      </c>
      <c r="I12278">
        <v>75048841</v>
      </c>
    </row>
    <row r="12279" spans="1:9" x14ac:dyDescent="0.2">
      <c r="A12279" t="str">
        <f>"Ly6c2"</f>
        <v>Ly6c2</v>
      </c>
      <c r="B12279" t="s">
        <v>14</v>
      </c>
      <c r="C12279" t="s">
        <v>25</v>
      </c>
      <c r="D12279" t="s">
        <v>11</v>
      </c>
      <c r="E12279" t="s">
        <v>12</v>
      </c>
      <c r="F12279">
        <v>75111967</v>
      </c>
      <c r="G12279">
        <v>75111972</v>
      </c>
      <c r="H12279">
        <v>75111967</v>
      </c>
      <c r="I12279">
        <v>75111972</v>
      </c>
    </row>
    <row r="12280" spans="1:9" x14ac:dyDescent="0.2">
      <c r="A12280" t="str">
        <f>"Ly6d"</f>
        <v>Ly6d</v>
      </c>
      <c r="B12280" t="s">
        <v>14</v>
      </c>
      <c r="C12280" t="s">
        <v>25</v>
      </c>
      <c r="D12280" t="s">
        <v>11</v>
      </c>
      <c r="E12280" t="s">
        <v>12</v>
      </c>
      <c r="F12280">
        <v>74763574</v>
      </c>
      <c r="G12280">
        <v>74763588</v>
      </c>
      <c r="H12280">
        <v>74763574</v>
      </c>
      <c r="I12280">
        <v>74763588</v>
      </c>
    </row>
    <row r="12281" spans="1:9" x14ac:dyDescent="0.2">
      <c r="A12281" t="str">
        <f>"Ly6e"</f>
        <v>Ly6e</v>
      </c>
      <c r="B12281" t="s">
        <v>14</v>
      </c>
      <c r="C12281" t="s">
        <v>25</v>
      </c>
      <c r="D12281" t="s">
        <v>17</v>
      </c>
      <c r="E12281" t="s">
        <v>12</v>
      </c>
      <c r="F12281">
        <v>74955640</v>
      </c>
      <c r="G12281">
        <v>74955660</v>
      </c>
      <c r="H12281">
        <v>74955611</v>
      </c>
      <c r="I12281">
        <v>74955629</v>
      </c>
    </row>
    <row r="12282" spans="1:9" x14ac:dyDescent="0.2">
      <c r="A12282" t="str">
        <f>"Ly6f"</f>
        <v>Ly6f</v>
      </c>
      <c r="B12282" t="s">
        <v>14</v>
      </c>
      <c r="C12282" t="s">
        <v>25</v>
      </c>
      <c r="D12282" t="s">
        <v>17</v>
      </c>
      <c r="E12282" t="s">
        <v>12</v>
      </c>
      <c r="F12282">
        <v>75268379</v>
      </c>
      <c r="G12282">
        <v>75268402</v>
      </c>
      <c r="H12282">
        <v>75268379</v>
      </c>
      <c r="I12282">
        <v>75268402</v>
      </c>
    </row>
    <row r="12283" spans="1:9" x14ac:dyDescent="0.2">
      <c r="A12283" t="str">
        <f>"Ly6g"</f>
        <v>Ly6g</v>
      </c>
      <c r="B12283" t="s">
        <v>4271</v>
      </c>
      <c r="C12283" t="s">
        <v>25</v>
      </c>
      <c r="D12283" t="s">
        <v>17</v>
      </c>
      <c r="E12283" t="s">
        <v>20</v>
      </c>
      <c r="F12283">
        <v>75156692</v>
      </c>
      <c r="G12283">
        <v>75156692</v>
      </c>
      <c r="H12283">
        <v>75156692</v>
      </c>
      <c r="I12283">
        <v>75156692</v>
      </c>
    </row>
    <row r="12284" spans="1:9" x14ac:dyDescent="0.2">
      <c r="A12284" t="str">
        <f>"Ly6g5b"</f>
        <v>Ly6g5b</v>
      </c>
      <c r="B12284" t="s">
        <v>14</v>
      </c>
      <c r="C12284" t="s">
        <v>28</v>
      </c>
      <c r="D12284" t="s">
        <v>11</v>
      </c>
      <c r="E12284" t="s">
        <v>12</v>
      </c>
      <c r="F12284">
        <v>35115471</v>
      </c>
      <c r="G12284">
        <v>35115520</v>
      </c>
      <c r="H12284">
        <v>35115529</v>
      </c>
      <c r="I12284">
        <v>35115540</v>
      </c>
    </row>
    <row r="12285" spans="1:9" x14ac:dyDescent="0.2">
      <c r="A12285" t="str">
        <f>"Ly6g5c"</f>
        <v>Ly6g5c</v>
      </c>
      <c r="B12285" t="s">
        <v>14</v>
      </c>
      <c r="C12285" t="s">
        <v>28</v>
      </c>
      <c r="D12285" t="s">
        <v>17</v>
      </c>
      <c r="E12285" t="s">
        <v>12</v>
      </c>
      <c r="F12285">
        <v>35108288</v>
      </c>
      <c r="G12285">
        <v>35108308</v>
      </c>
      <c r="H12285">
        <v>35108288</v>
      </c>
      <c r="I12285">
        <v>35108308</v>
      </c>
    </row>
    <row r="12286" spans="1:9" x14ac:dyDescent="0.2">
      <c r="A12286" t="str">
        <f>"Ly6g6c"</f>
        <v>Ly6g6c</v>
      </c>
      <c r="B12286" t="s">
        <v>14</v>
      </c>
      <c r="C12286" t="s">
        <v>28</v>
      </c>
      <c r="D12286" t="s">
        <v>17</v>
      </c>
      <c r="E12286" t="s">
        <v>12</v>
      </c>
      <c r="F12286">
        <v>35067317</v>
      </c>
      <c r="G12286">
        <v>35067332</v>
      </c>
      <c r="H12286">
        <v>35067317</v>
      </c>
      <c r="I12286">
        <v>35067332</v>
      </c>
    </row>
    <row r="12287" spans="1:9" x14ac:dyDescent="0.2">
      <c r="A12287" t="str">
        <f>"Ly6g6d"</f>
        <v>Ly6g6d</v>
      </c>
      <c r="B12287" t="s">
        <v>9</v>
      </c>
      <c r="C12287" t="s">
        <v>28</v>
      </c>
      <c r="D12287" t="s">
        <v>11</v>
      </c>
      <c r="E12287" t="s">
        <v>12</v>
      </c>
      <c r="F12287">
        <v>35078019</v>
      </c>
      <c r="G12287">
        <v>35078071</v>
      </c>
      <c r="H12287">
        <v>35078019</v>
      </c>
      <c r="I12287">
        <v>35078071</v>
      </c>
    </row>
    <row r="12288" spans="1:9" x14ac:dyDescent="0.2">
      <c r="A12288" t="str">
        <f>"Ly6g6d"</f>
        <v>Ly6g6d</v>
      </c>
      <c r="B12288" t="s">
        <v>13</v>
      </c>
      <c r="C12288" t="s">
        <v>28</v>
      </c>
      <c r="D12288" t="s">
        <v>11</v>
      </c>
      <c r="E12288" t="s">
        <v>12</v>
      </c>
      <c r="F12288">
        <v>35074485</v>
      </c>
      <c r="G12288">
        <v>35074497</v>
      </c>
      <c r="H12288">
        <v>35074485</v>
      </c>
      <c r="I12288">
        <v>35074497</v>
      </c>
    </row>
    <row r="12289" spans="1:9" x14ac:dyDescent="0.2">
      <c r="A12289" t="str">
        <f>"Ly6g6e"</f>
        <v>Ly6g6e</v>
      </c>
      <c r="B12289" t="s">
        <v>14</v>
      </c>
      <c r="C12289" t="s">
        <v>28</v>
      </c>
      <c r="D12289" t="s">
        <v>17</v>
      </c>
      <c r="E12289" t="s">
        <v>12</v>
      </c>
      <c r="F12289">
        <v>35077080</v>
      </c>
      <c r="G12289">
        <v>35077153</v>
      </c>
      <c r="H12289">
        <v>35077060</v>
      </c>
      <c r="I12289">
        <v>35077073</v>
      </c>
    </row>
    <row r="12290" spans="1:9" x14ac:dyDescent="0.2">
      <c r="A12290" t="str">
        <f>"Ly6g6f"</f>
        <v>Ly6g6f</v>
      </c>
      <c r="B12290" t="s">
        <v>14</v>
      </c>
      <c r="C12290" t="s">
        <v>28</v>
      </c>
      <c r="D12290" t="s">
        <v>11</v>
      </c>
      <c r="E12290" t="s">
        <v>12</v>
      </c>
      <c r="F12290">
        <v>35085609</v>
      </c>
      <c r="G12290">
        <v>35085615</v>
      </c>
      <c r="H12290">
        <v>35085636</v>
      </c>
      <c r="I12290">
        <v>35085645</v>
      </c>
    </row>
    <row r="12291" spans="1:9" x14ac:dyDescent="0.2">
      <c r="A12291" t="str">
        <f>"Ly6h"</f>
        <v>Ly6h</v>
      </c>
      <c r="B12291" t="s">
        <v>14</v>
      </c>
      <c r="C12291" t="s">
        <v>25</v>
      </c>
      <c r="D12291" t="s">
        <v>11</v>
      </c>
      <c r="E12291" t="s">
        <v>12</v>
      </c>
      <c r="F12291">
        <v>75566811</v>
      </c>
      <c r="G12291">
        <v>75566896</v>
      </c>
      <c r="H12291">
        <v>75567176</v>
      </c>
      <c r="I12291">
        <v>75567259</v>
      </c>
    </row>
    <row r="12292" spans="1:9" x14ac:dyDescent="0.2">
      <c r="A12292" t="str">
        <f>"Ly6i"</f>
        <v>Ly6i</v>
      </c>
      <c r="B12292" t="s">
        <v>14</v>
      </c>
      <c r="C12292" t="s">
        <v>25</v>
      </c>
      <c r="D12292" t="s">
        <v>11</v>
      </c>
      <c r="E12292" t="s">
        <v>12</v>
      </c>
      <c r="F12292">
        <v>74983359</v>
      </c>
      <c r="G12292">
        <v>74983385</v>
      </c>
      <c r="H12292">
        <v>74983359</v>
      </c>
      <c r="I12292">
        <v>74983385</v>
      </c>
    </row>
    <row r="12293" spans="1:9" x14ac:dyDescent="0.2">
      <c r="A12293" t="str">
        <f>"Ly6k"</f>
        <v>Ly6k</v>
      </c>
      <c r="B12293" t="s">
        <v>14</v>
      </c>
      <c r="C12293" t="s">
        <v>25</v>
      </c>
      <c r="D12293" t="s">
        <v>11</v>
      </c>
      <c r="E12293" t="s">
        <v>12</v>
      </c>
      <c r="F12293">
        <v>74799808</v>
      </c>
      <c r="G12293">
        <v>74799852</v>
      </c>
      <c r="H12293">
        <v>74799857</v>
      </c>
      <c r="I12293">
        <v>74799871</v>
      </c>
    </row>
    <row r="12294" spans="1:9" x14ac:dyDescent="0.2">
      <c r="A12294" t="str">
        <f>"Ly75"</f>
        <v>Ly75</v>
      </c>
      <c r="B12294" t="s">
        <v>14</v>
      </c>
      <c r="C12294" t="s">
        <v>26</v>
      </c>
      <c r="D12294" t="s">
        <v>11</v>
      </c>
      <c r="E12294" t="s">
        <v>12</v>
      </c>
      <c r="F12294">
        <v>60383235</v>
      </c>
      <c r="G12294">
        <v>60383290</v>
      </c>
      <c r="H12294">
        <v>60383296</v>
      </c>
      <c r="I12294">
        <v>60383303</v>
      </c>
    </row>
    <row r="12295" spans="1:9" x14ac:dyDescent="0.2">
      <c r="A12295" t="str">
        <f>"Ly86"</f>
        <v>Ly86</v>
      </c>
      <c r="B12295" t="s">
        <v>14</v>
      </c>
      <c r="C12295" t="s">
        <v>39</v>
      </c>
      <c r="D12295" t="s">
        <v>17</v>
      </c>
      <c r="E12295" t="s">
        <v>12</v>
      </c>
      <c r="F12295">
        <v>37345415</v>
      </c>
      <c r="G12295">
        <v>37345432</v>
      </c>
      <c r="H12295">
        <v>37345384</v>
      </c>
      <c r="I12295">
        <v>37345407</v>
      </c>
    </row>
    <row r="12296" spans="1:9" x14ac:dyDescent="0.2">
      <c r="A12296" t="str">
        <f>"Ly9"</f>
        <v>Ly9</v>
      </c>
      <c r="B12296" t="s">
        <v>14</v>
      </c>
      <c r="C12296" t="s">
        <v>19</v>
      </c>
      <c r="D12296" t="s">
        <v>11</v>
      </c>
      <c r="E12296" t="s">
        <v>12</v>
      </c>
      <c r="F12296">
        <v>171607321</v>
      </c>
      <c r="G12296">
        <v>171607363</v>
      </c>
      <c r="H12296">
        <v>171607321</v>
      </c>
      <c r="I12296">
        <v>171607363</v>
      </c>
    </row>
    <row r="12297" spans="1:9" x14ac:dyDescent="0.2">
      <c r="A12297" t="str">
        <f>"Ly96"</f>
        <v>Ly96</v>
      </c>
      <c r="B12297" t="s">
        <v>14</v>
      </c>
      <c r="C12297" t="s">
        <v>19</v>
      </c>
      <c r="D12297" t="s">
        <v>17</v>
      </c>
      <c r="E12297" t="s">
        <v>12</v>
      </c>
      <c r="F12297">
        <v>16688405</v>
      </c>
      <c r="G12297">
        <v>16688458</v>
      </c>
      <c r="H12297">
        <v>16688459</v>
      </c>
      <c r="I12297">
        <v>16688471</v>
      </c>
    </row>
    <row r="12298" spans="1:9" x14ac:dyDescent="0.2">
      <c r="A12298" t="str">
        <f>"Lyar"</f>
        <v>Lyar</v>
      </c>
      <c r="B12298" t="s">
        <v>14</v>
      </c>
      <c r="C12298" t="s">
        <v>46</v>
      </c>
      <c r="D12298" t="s">
        <v>17</v>
      </c>
      <c r="E12298" t="s">
        <v>12</v>
      </c>
      <c r="F12298">
        <v>38220481</v>
      </c>
      <c r="G12298">
        <v>38220560</v>
      </c>
      <c r="H12298">
        <v>38220628</v>
      </c>
      <c r="I12298">
        <v>38220649</v>
      </c>
    </row>
    <row r="12299" spans="1:9" x14ac:dyDescent="0.2">
      <c r="A12299" t="str">
        <f>"Lyg1"</f>
        <v>Lyg1</v>
      </c>
      <c r="B12299" t="s">
        <v>14</v>
      </c>
      <c r="C12299" t="s">
        <v>19</v>
      </c>
      <c r="D12299" t="s">
        <v>11</v>
      </c>
      <c r="E12299" t="s">
        <v>12</v>
      </c>
      <c r="F12299">
        <v>37957757</v>
      </c>
      <c r="G12299">
        <v>37957760</v>
      </c>
      <c r="H12299">
        <v>37957757</v>
      </c>
      <c r="I12299">
        <v>37957760</v>
      </c>
    </row>
    <row r="12300" spans="1:9" x14ac:dyDescent="0.2">
      <c r="A12300" t="str">
        <f>"Lyg2"</f>
        <v>Lyg2</v>
      </c>
      <c r="B12300" t="s">
        <v>14</v>
      </c>
      <c r="C12300" t="s">
        <v>19</v>
      </c>
      <c r="D12300" t="s">
        <v>11</v>
      </c>
      <c r="E12300" t="s">
        <v>12</v>
      </c>
      <c r="F12300">
        <v>37916485</v>
      </c>
      <c r="G12300">
        <v>37916499</v>
      </c>
      <c r="H12300">
        <v>37916485</v>
      </c>
      <c r="I12300">
        <v>37916499</v>
      </c>
    </row>
    <row r="12301" spans="1:9" x14ac:dyDescent="0.2">
      <c r="A12301" t="str">
        <f>"Lyl1"</f>
        <v>Lyl1</v>
      </c>
      <c r="B12301" t="s">
        <v>14</v>
      </c>
      <c r="C12301" t="s">
        <v>30</v>
      </c>
      <c r="D12301" t="s">
        <v>17</v>
      </c>
      <c r="E12301" t="s">
        <v>12</v>
      </c>
      <c r="F12301">
        <v>84701430</v>
      </c>
      <c r="G12301">
        <v>84701497</v>
      </c>
      <c r="H12301">
        <v>84701430</v>
      </c>
      <c r="I12301">
        <v>84701497</v>
      </c>
    </row>
    <row r="12302" spans="1:9" x14ac:dyDescent="0.2">
      <c r="A12302" t="str">
        <f>"Lyn"</f>
        <v>Lyn</v>
      </c>
      <c r="B12302" t="s">
        <v>14</v>
      </c>
      <c r="C12302" t="s">
        <v>23</v>
      </c>
      <c r="D12302" t="s">
        <v>17</v>
      </c>
      <c r="E12302" t="s">
        <v>12</v>
      </c>
      <c r="F12302">
        <v>3678108</v>
      </c>
      <c r="G12302">
        <v>3678134</v>
      </c>
      <c r="H12302">
        <v>3678077</v>
      </c>
      <c r="I12302">
        <v>3678102</v>
      </c>
    </row>
    <row r="12303" spans="1:9" x14ac:dyDescent="0.2">
      <c r="A12303" t="str">
        <f>"Lynx1"</f>
        <v>Lynx1</v>
      </c>
      <c r="B12303" t="s">
        <v>14</v>
      </c>
      <c r="C12303" t="s">
        <v>25</v>
      </c>
      <c r="D12303" t="s">
        <v>11</v>
      </c>
      <c r="E12303" t="s">
        <v>12</v>
      </c>
      <c r="F12303">
        <v>74752963</v>
      </c>
      <c r="G12303">
        <v>74753029</v>
      </c>
      <c r="H12303">
        <v>74753031</v>
      </c>
      <c r="I12303">
        <v>74753034</v>
      </c>
    </row>
    <row r="12304" spans="1:9" x14ac:dyDescent="0.2">
      <c r="A12304" t="str">
        <f>"Lypd1"</f>
        <v>Lypd1</v>
      </c>
      <c r="B12304" t="s">
        <v>14</v>
      </c>
      <c r="C12304" t="s">
        <v>19</v>
      </c>
      <c r="D12304" t="s">
        <v>11</v>
      </c>
      <c r="E12304" t="s">
        <v>12</v>
      </c>
      <c r="F12304">
        <v>125912160</v>
      </c>
      <c r="G12304">
        <v>125912199</v>
      </c>
      <c r="H12304">
        <v>125913103</v>
      </c>
      <c r="I12304">
        <v>125913118</v>
      </c>
    </row>
    <row r="12305" spans="1:9" x14ac:dyDescent="0.2">
      <c r="A12305" t="str">
        <f>"Lypd2"</f>
        <v>Lypd2</v>
      </c>
      <c r="B12305" t="s">
        <v>14</v>
      </c>
      <c r="C12305" t="s">
        <v>25</v>
      </c>
      <c r="D12305" t="s">
        <v>11</v>
      </c>
      <c r="E12305" t="s">
        <v>12</v>
      </c>
      <c r="F12305">
        <v>74734314</v>
      </c>
      <c r="G12305">
        <v>74734335</v>
      </c>
      <c r="H12305">
        <v>74734292</v>
      </c>
      <c r="I12305">
        <v>74734299</v>
      </c>
    </row>
    <row r="12306" spans="1:9" x14ac:dyDescent="0.2">
      <c r="A12306" t="str">
        <f>"Lypd3"</f>
        <v>Lypd3</v>
      </c>
      <c r="B12306" t="s">
        <v>14</v>
      </c>
      <c r="C12306" t="s">
        <v>33</v>
      </c>
      <c r="D12306" t="s">
        <v>17</v>
      </c>
      <c r="E12306" t="s">
        <v>12</v>
      </c>
      <c r="F12306">
        <v>24636544</v>
      </c>
      <c r="G12306">
        <v>24636564</v>
      </c>
      <c r="H12306">
        <v>24636566</v>
      </c>
      <c r="I12306">
        <v>24636589</v>
      </c>
    </row>
    <row r="12307" spans="1:9" x14ac:dyDescent="0.2">
      <c r="A12307" t="str">
        <f>"Lypd4"</f>
        <v>Lypd4</v>
      </c>
      <c r="B12307" t="s">
        <v>14</v>
      </c>
      <c r="C12307" t="s">
        <v>33</v>
      </c>
      <c r="D12307" t="s">
        <v>11</v>
      </c>
      <c r="E12307" t="s">
        <v>12</v>
      </c>
      <c r="F12307">
        <v>24869692</v>
      </c>
      <c r="G12307">
        <v>24869795</v>
      </c>
      <c r="H12307">
        <v>24869938</v>
      </c>
      <c r="I12307">
        <v>24869978</v>
      </c>
    </row>
    <row r="12308" spans="1:9" x14ac:dyDescent="0.2">
      <c r="A12308" t="str">
        <f>"Lypd5"</f>
        <v>Lypd5</v>
      </c>
      <c r="B12308" t="s">
        <v>14</v>
      </c>
      <c r="C12308" t="s">
        <v>33</v>
      </c>
      <c r="D12308" t="s">
        <v>17</v>
      </c>
      <c r="E12308" t="s">
        <v>12</v>
      </c>
      <c r="F12308">
        <v>24349188</v>
      </c>
      <c r="G12308">
        <v>24349201</v>
      </c>
      <c r="H12308">
        <v>24349210</v>
      </c>
      <c r="I12308">
        <v>24349227</v>
      </c>
    </row>
    <row r="12309" spans="1:9" x14ac:dyDescent="0.2">
      <c r="A12309" t="str">
        <f>"Lypd6"</f>
        <v>Lypd6</v>
      </c>
      <c r="B12309" t="s">
        <v>14</v>
      </c>
      <c r="C12309" t="s">
        <v>26</v>
      </c>
      <c r="D12309" t="s">
        <v>17</v>
      </c>
      <c r="E12309" t="s">
        <v>12</v>
      </c>
      <c r="F12309">
        <v>50066446</v>
      </c>
      <c r="G12309">
        <v>50066469</v>
      </c>
      <c r="H12309">
        <v>50066436</v>
      </c>
      <c r="I12309">
        <v>50066443</v>
      </c>
    </row>
    <row r="12310" spans="1:9" x14ac:dyDescent="0.2">
      <c r="A12310" t="str">
        <f>"Lypd6b"</f>
        <v>Lypd6b</v>
      </c>
      <c r="B12310" t="s">
        <v>14</v>
      </c>
      <c r="C12310" t="s">
        <v>26</v>
      </c>
      <c r="D12310" t="s">
        <v>17</v>
      </c>
      <c r="E12310" t="s">
        <v>12</v>
      </c>
      <c r="F12310">
        <v>49787675</v>
      </c>
      <c r="G12310">
        <v>49787695</v>
      </c>
      <c r="H12310">
        <v>49787711</v>
      </c>
      <c r="I12310">
        <v>49787725</v>
      </c>
    </row>
    <row r="12311" spans="1:9" x14ac:dyDescent="0.2">
      <c r="A12311" t="str">
        <f>"Lypd8"</f>
        <v>Lypd8</v>
      </c>
      <c r="B12311" t="s">
        <v>14</v>
      </c>
      <c r="C12311" t="s">
        <v>27</v>
      </c>
      <c r="D12311" t="s">
        <v>17</v>
      </c>
      <c r="E12311" t="s">
        <v>67</v>
      </c>
      <c r="F12311">
        <v>58379036</v>
      </c>
      <c r="G12311">
        <v>58379052</v>
      </c>
      <c r="H12311">
        <v>58379036</v>
      </c>
      <c r="I12311">
        <v>58379052</v>
      </c>
    </row>
    <row r="12312" spans="1:9" x14ac:dyDescent="0.2">
      <c r="A12312" t="str">
        <f>"Lypla1"</f>
        <v>Lypla1</v>
      </c>
      <c r="B12312" t="s">
        <v>14</v>
      </c>
      <c r="C12312" t="s">
        <v>19</v>
      </c>
      <c r="D12312" t="s">
        <v>17</v>
      </c>
      <c r="E12312" t="s">
        <v>12</v>
      </c>
      <c r="F12312">
        <v>4807866</v>
      </c>
      <c r="G12312">
        <v>4807928</v>
      </c>
      <c r="H12312">
        <v>4808246</v>
      </c>
      <c r="I12312">
        <v>4808287</v>
      </c>
    </row>
    <row r="12313" spans="1:9" x14ac:dyDescent="0.2">
      <c r="A12313" t="str">
        <f>"Lypla2"</f>
        <v>Lypla2</v>
      </c>
      <c r="B12313" t="s">
        <v>14</v>
      </c>
      <c r="C12313" t="s">
        <v>23</v>
      </c>
      <c r="D12313" t="s">
        <v>11</v>
      </c>
      <c r="E12313" t="s">
        <v>12</v>
      </c>
      <c r="F12313">
        <v>135972574</v>
      </c>
      <c r="G12313">
        <v>135972618</v>
      </c>
      <c r="H12313">
        <v>135972548</v>
      </c>
      <c r="I12313">
        <v>135972567</v>
      </c>
    </row>
    <row r="12314" spans="1:9" x14ac:dyDescent="0.2">
      <c r="A12314" t="str">
        <f>"Lyplal1"</f>
        <v>Lyplal1</v>
      </c>
      <c r="B12314" t="s">
        <v>14</v>
      </c>
      <c r="C12314" t="s">
        <v>19</v>
      </c>
      <c r="D12314" t="s">
        <v>11</v>
      </c>
      <c r="E12314" t="s">
        <v>12</v>
      </c>
      <c r="F12314">
        <v>186117251</v>
      </c>
      <c r="G12314">
        <v>186117294</v>
      </c>
      <c r="H12314">
        <v>186117251</v>
      </c>
      <c r="I12314">
        <v>186117294</v>
      </c>
    </row>
    <row r="12315" spans="1:9" x14ac:dyDescent="0.2">
      <c r="A12315" t="str">
        <f>"Lyrm1"</f>
        <v>Lyrm1</v>
      </c>
      <c r="B12315" t="s">
        <v>14</v>
      </c>
      <c r="C12315" t="s">
        <v>33</v>
      </c>
      <c r="D12315" t="s">
        <v>17</v>
      </c>
      <c r="E12315" t="s">
        <v>12</v>
      </c>
      <c r="F12315">
        <v>119895836</v>
      </c>
      <c r="G12315">
        <v>119895884</v>
      </c>
      <c r="H12315">
        <v>119896118</v>
      </c>
      <c r="I12315">
        <v>119896147</v>
      </c>
    </row>
    <row r="12316" spans="1:9" x14ac:dyDescent="0.2">
      <c r="A12316" t="str">
        <f>"Lyrm2"</f>
        <v>Lyrm2</v>
      </c>
      <c r="B12316" t="s">
        <v>14</v>
      </c>
      <c r="C12316" t="s">
        <v>23</v>
      </c>
      <c r="D12316" t="s">
        <v>17</v>
      </c>
      <c r="E12316" t="s">
        <v>12</v>
      </c>
      <c r="F12316">
        <v>32800246</v>
      </c>
      <c r="G12316">
        <v>32800289</v>
      </c>
      <c r="H12316">
        <v>32800246</v>
      </c>
      <c r="I12316">
        <v>32800289</v>
      </c>
    </row>
    <row r="12317" spans="1:9" x14ac:dyDescent="0.2">
      <c r="A12317" t="str">
        <f>"Lyrm4"</f>
        <v>Lyrm4</v>
      </c>
      <c r="B12317" t="s">
        <v>14</v>
      </c>
      <c r="C12317" t="s">
        <v>39</v>
      </c>
      <c r="D12317" t="s">
        <v>11</v>
      </c>
      <c r="E12317" t="s">
        <v>12</v>
      </c>
      <c r="F12317">
        <v>36117484</v>
      </c>
      <c r="G12317">
        <v>36117587</v>
      </c>
      <c r="H12317">
        <v>36117269</v>
      </c>
      <c r="I12317">
        <v>36117270</v>
      </c>
    </row>
    <row r="12318" spans="1:9" x14ac:dyDescent="0.2">
      <c r="A12318" t="str">
        <f>"Lyrm5"</f>
        <v>Lyrm5</v>
      </c>
      <c r="B12318" t="s">
        <v>14</v>
      </c>
      <c r="C12318" t="s">
        <v>32</v>
      </c>
      <c r="D12318" t="s">
        <v>17</v>
      </c>
      <c r="E12318" t="s">
        <v>12</v>
      </c>
      <c r="F12318">
        <v>145211141</v>
      </c>
      <c r="G12318">
        <v>145211222</v>
      </c>
      <c r="H12318">
        <v>145211229</v>
      </c>
      <c r="I12318">
        <v>145211240</v>
      </c>
    </row>
    <row r="12319" spans="1:9" x14ac:dyDescent="0.2">
      <c r="A12319" t="str">
        <f>"Lyrm7"</f>
        <v>Lyrm7</v>
      </c>
      <c r="B12319" t="s">
        <v>9</v>
      </c>
      <c r="C12319" t="s">
        <v>27</v>
      </c>
      <c r="D12319" t="s">
        <v>11</v>
      </c>
      <c r="E12319" t="s">
        <v>12</v>
      </c>
      <c r="F12319">
        <v>54860564</v>
      </c>
      <c r="G12319">
        <v>54860603</v>
      </c>
      <c r="H12319">
        <v>54860564</v>
      </c>
      <c r="I12319">
        <v>54860603</v>
      </c>
    </row>
    <row r="12320" spans="1:9" x14ac:dyDescent="0.2">
      <c r="A12320" t="str">
        <f>"Lyrm7"</f>
        <v>Lyrm7</v>
      </c>
      <c r="B12320" t="s">
        <v>13</v>
      </c>
      <c r="C12320" t="s">
        <v>27</v>
      </c>
      <c r="D12320" t="s">
        <v>11</v>
      </c>
      <c r="E12320" t="s">
        <v>12</v>
      </c>
      <c r="F12320">
        <v>54850489</v>
      </c>
      <c r="G12320">
        <v>54850524</v>
      </c>
      <c r="H12320">
        <v>54850489</v>
      </c>
      <c r="I12320">
        <v>54850524</v>
      </c>
    </row>
    <row r="12321" spans="1:9" x14ac:dyDescent="0.2">
      <c r="A12321" t="str">
        <f>"Lyrm9"</f>
        <v>Lyrm9</v>
      </c>
      <c r="B12321" t="s">
        <v>14</v>
      </c>
      <c r="C12321" t="s">
        <v>27</v>
      </c>
      <c r="D12321" t="s">
        <v>17</v>
      </c>
      <c r="E12321" t="s">
        <v>67</v>
      </c>
      <c r="F12321">
        <v>78826575</v>
      </c>
      <c r="G12321">
        <v>78826618</v>
      </c>
      <c r="H12321">
        <v>78826575</v>
      </c>
      <c r="I12321">
        <v>78826618</v>
      </c>
    </row>
    <row r="12322" spans="1:9" x14ac:dyDescent="0.2">
      <c r="A12322" t="str">
        <f>"Lysmd1"</f>
        <v>Lysmd1</v>
      </c>
      <c r="B12322" t="s">
        <v>14</v>
      </c>
      <c r="C12322" t="s">
        <v>22</v>
      </c>
      <c r="D12322" t="s">
        <v>17</v>
      </c>
      <c r="E12322" t="s">
        <v>12</v>
      </c>
      <c r="F12322">
        <v>95134027</v>
      </c>
      <c r="G12322">
        <v>95134044</v>
      </c>
      <c r="H12322">
        <v>95134168</v>
      </c>
      <c r="I12322">
        <v>95134190</v>
      </c>
    </row>
    <row r="12323" spans="1:9" x14ac:dyDescent="0.2">
      <c r="A12323" t="str">
        <f>"Lysmd2"</f>
        <v>Lysmd2</v>
      </c>
      <c r="B12323" t="s">
        <v>14</v>
      </c>
      <c r="C12323" t="s">
        <v>24</v>
      </c>
      <c r="D12323" t="s">
        <v>17</v>
      </c>
      <c r="E12323" t="s">
        <v>12</v>
      </c>
      <c r="F12323">
        <v>75625707</v>
      </c>
      <c r="G12323">
        <v>75625770</v>
      </c>
      <c r="H12323">
        <v>75625842</v>
      </c>
      <c r="I12323">
        <v>75625885</v>
      </c>
    </row>
    <row r="12324" spans="1:9" x14ac:dyDescent="0.2">
      <c r="A12324" t="str">
        <f>"Lysmd3"</f>
        <v>Lysmd3</v>
      </c>
      <c r="B12324" t="s">
        <v>14</v>
      </c>
      <c r="C12324" t="s">
        <v>39</v>
      </c>
      <c r="D12324" t="s">
        <v>17</v>
      </c>
      <c r="E12324" t="s">
        <v>12</v>
      </c>
      <c r="F12324">
        <v>81657732</v>
      </c>
      <c r="G12324">
        <v>81657846</v>
      </c>
      <c r="H12324">
        <v>81657717</v>
      </c>
      <c r="I12324">
        <v>81657728</v>
      </c>
    </row>
    <row r="12325" spans="1:9" x14ac:dyDescent="0.2">
      <c r="A12325" t="str">
        <f>"Lysmd4"</f>
        <v>Lysmd4</v>
      </c>
      <c r="B12325" t="s">
        <v>14</v>
      </c>
      <c r="C12325" t="s">
        <v>33</v>
      </c>
      <c r="D12325" t="s">
        <v>17</v>
      </c>
      <c r="E12325" t="s">
        <v>12</v>
      </c>
      <c r="F12325">
        <v>67222574</v>
      </c>
      <c r="G12325">
        <v>67222635</v>
      </c>
      <c r="H12325">
        <v>67222636</v>
      </c>
      <c r="I12325">
        <v>67222647</v>
      </c>
    </row>
    <row r="12326" spans="1:9" x14ac:dyDescent="0.2">
      <c r="A12326" t="str">
        <f>"Lyst"</f>
        <v>Lyst</v>
      </c>
      <c r="B12326" t="s">
        <v>14</v>
      </c>
      <c r="C12326" t="s">
        <v>39</v>
      </c>
      <c r="D12326" t="s">
        <v>17</v>
      </c>
      <c r="E12326" t="s">
        <v>12</v>
      </c>
      <c r="F12326">
        <v>13590402</v>
      </c>
      <c r="G12326">
        <v>13590456</v>
      </c>
      <c r="H12326">
        <v>13590316</v>
      </c>
      <c r="I12326">
        <v>13590338</v>
      </c>
    </row>
    <row r="12327" spans="1:9" x14ac:dyDescent="0.2">
      <c r="A12327" t="str">
        <f>"Lyve1"</f>
        <v>Lyve1</v>
      </c>
      <c r="B12327" t="s">
        <v>14</v>
      </c>
      <c r="C12327" t="s">
        <v>33</v>
      </c>
      <c r="D12327" t="s">
        <v>11</v>
      </c>
      <c r="E12327" t="s">
        <v>12</v>
      </c>
      <c r="F12327">
        <v>110862944</v>
      </c>
      <c r="G12327">
        <v>110862960</v>
      </c>
      <c r="H12327">
        <v>110862921</v>
      </c>
      <c r="I12327">
        <v>110862938</v>
      </c>
    </row>
    <row r="12328" spans="1:9" x14ac:dyDescent="0.2">
      <c r="A12328" t="str">
        <f>"Lyz1"</f>
        <v>Lyz1</v>
      </c>
      <c r="B12328" t="s">
        <v>14</v>
      </c>
      <c r="C12328" t="s">
        <v>15</v>
      </c>
      <c r="D12328" t="s">
        <v>11</v>
      </c>
      <c r="E12328" t="s">
        <v>12</v>
      </c>
      <c r="F12328">
        <v>117292863</v>
      </c>
      <c r="G12328">
        <v>117292870</v>
      </c>
      <c r="H12328">
        <v>117292863</v>
      </c>
      <c r="I12328">
        <v>117292870</v>
      </c>
    </row>
    <row r="12329" spans="1:9" x14ac:dyDescent="0.2">
      <c r="A12329" t="str">
        <f>"Lyz2"</f>
        <v>Lyz2</v>
      </c>
      <c r="B12329" t="s">
        <v>14</v>
      </c>
      <c r="C12329" t="s">
        <v>15</v>
      </c>
      <c r="D12329" t="s">
        <v>11</v>
      </c>
      <c r="E12329" t="s">
        <v>12</v>
      </c>
      <c r="F12329">
        <v>117282262</v>
      </c>
      <c r="G12329">
        <v>117282280</v>
      </c>
      <c r="H12329">
        <v>117282243</v>
      </c>
      <c r="I12329">
        <v>117282257</v>
      </c>
    </row>
    <row r="12330" spans="1:9" x14ac:dyDescent="0.2">
      <c r="A12330" t="str">
        <f>"Lyzl1"</f>
        <v>Lyzl1</v>
      </c>
      <c r="B12330" t="s">
        <v>14</v>
      </c>
      <c r="C12330" t="s">
        <v>43</v>
      </c>
      <c r="D12330" t="s">
        <v>17</v>
      </c>
      <c r="E12330" t="s">
        <v>12</v>
      </c>
      <c r="F12330">
        <v>4165856</v>
      </c>
      <c r="G12330">
        <v>4165868</v>
      </c>
      <c r="H12330">
        <v>4165837</v>
      </c>
      <c r="I12330">
        <v>4165850</v>
      </c>
    </row>
    <row r="12331" spans="1:9" x14ac:dyDescent="0.2">
      <c r="A12331" t="str">
        <f>"Lyzl4"</f>
        <v>Lyzl4</v>
      </c>
      <c r="B12331" t="s">
        <v>14</v>
      </c>
      <c r="C12331" t="s">
        <v>24</v>
      </c>
      <c r="D12331" t="s">
        <v>11</v>
      </c>
      <c r="E12331" t="s">
        <v>12</v>
      </c>
      <c r="F12331">
        <v>121642590</v>
      </c>
      <c r="G12331">
        <v>121642610</v>
      </c>
      <c r="H12331">
        <v>121641593</v>
      </c>
      <c r="I12331">
        <v>121641602</v>
      </c>
    </row>
    <row r="12332" spans="1:9" x14ac:dyDescent="0.2">
      <c r="A12332" t="str">
        <f>"Lyzl6"</f>
        <v>Lyzl6</v>
      </c>
      <c r="B12332" t="s">
        <v>14</v>
      </c>
      <c r="C12332" t="s">
        <v>27</v>
      </c>
      <c r="D12332" t="s">
        <v>11</v>
      </c>
      <c r="E12332" t="s">
        <v>12</v>
      </c>
      <c r="F12332">
        <v>103638862</v>
      </c>
      <c r="G12332">
        <v>103638893</v>
      </c>
      <c r="H12332">
        <v>103638839</v>
      </c>
      <c r="I12332">
        <v>103638850</v>
      </c>
    </row>
    <row r="12333" spans="1:9" x14ac:dyDescent="0.2">
      <c r="A12333" t="str">
        <f>"Lzic"</f>
        <v>Lzic</v>
      </c>
      <c r="B12333" t="s">
        <v>14</v>
      </c>
      <c r="C12333" t="s">
        <v>23</v>
      </c>
      <c r="D12333" t="s">
        <v>17</v>
      </c>
      <c r="E12333" t="s">
        <v>12</v>
      </c>
      <c r="F12333">
        <v>149485215</v>
      </c>
      <c r="G12333">
        <v>149485254</v>
      </c>
      <c r="H12333">
        <v>149485260</v>
      </c>
      <c r="I12333">
        <v>149485307</v>
      </c>
    </row>
    <row r="12334" spans="1:9" x14ac:dyDescent="0.2">
      <c r="A12334" t="str">
        <f>"Lztfl1"</f>
        <v>Lztfl1</v>
      </c>
      <c r="B12334" t="s">
        <v>14</v>
      </c>
      <c r="C12334" t="s">
        <v>24</v>
      </c>
      <c r="D12334" t="s">
        <v>11</v>
      </c>
      <c r="E12334" t="s">
        <v>12</v>
      </c>
      <c r="F12334">
        <v>123717540</v>
      </c>
      <c r="G12334">
        <v>123717574</v>
      </c>
      <c r="H12334">
        <v>123717576</v>
      </c>
      <c r="I12334">
        <v>123717632</v>
      </c>
    </row>
    <row r="12335" spans="1:9" x14ac:dyDescent="0.2">
      <c r="A12335" t="str">
        <f>"Lztr1"</f>
        <v>Lztr1</v>
      </c>
      <c r="B12335" t="s">
        <v>14</v>
      </c>
      <c r="C12335" t="s">
        <v>31</v>
      </c>
      <c r="D12335" t="s">
        <v>17</v>
      </c>
      <c r="E12335" t="s">
        <v>12</v>
      </c>
      <c r="F12335">
        <v>17508947</v>
      </c>
      <c r="G12335">
        <v>17509007</v>
      </c>
      <c r="H12335">
        <v>17509215</v>
      </c>
      <c r="I12335">
        <v>17509240</v>
      </c>
    </row>
    <row r="12336" spans="1:9" x14ac:dyDescent="0.2">
      <c r="A12336" t="str">
        <f>"Lzts1"</f>
        <v>Lzts1</v>
      </c>
      <c r="B12336" t="s">
        <v>14</v>
      </c>
      <c r="C12336" t="s">
        <v>30</v>
      </c>
      <c r="D12336" t="s">
        <v>11</v>
      </c>
      <c r="E12336" t="s">
        <v>67</v>
      </c>
      <c r="F12336">
        <v>69184177</v>
      </c>
      <c r="G12336">
        <v>69184240</v>
      </c>
      <c r="H12336">
        <v>69184249</v>
      </c>
      <c r="I12336">
        <v>69184257</v>
      </c>
    </row>
    <row r="12337" spans="1:9" x14ac:dyDescent="0.2">
      <c r="A12337" t="str">
        <f>"Lzts2"</f>
        <v>Lzts2</v>
      </c>
      <c r="B12337" t="s">
        <v>9</v>
      </c>
      <c r="C12337" t="s">
        <v>10</v>
      </c>
      <c r="D12337" t="s">
        <v>17</v>
      </c>
      <c r="E12337" t="s">
        <v>12</v>
      </c>
      <c r="F12337">
        <v>45018114</v>
      </c>
      <c r="G12337">
        <v>45018153</v>
      </c>
      <c r="H12337">
        <v>45018114</v>
      </c>
      <c r="I12337">
        <v>45018153</v>
      </c>
    </row>
    <row r="12338" spans="1:9" x14ac:dyDescent="0.2">
      <c r="A12338" t="str">
        <f>"Lzts2"</f>
        <v>Lzts2</v>
      </c>
      <c r="B12338" t="s">
        <v>13</v>
      </c>
      <c r="C12338" t="s">
        <v>10</v>
      </c>
      <c r="D12338" t="s">
        <v>17</v>
      </c>
      <c r="E12338" t="s">
        <v>12</v>
      </c>
      <c r="F12338">
        <v>45015198</v>
      </c>
      <c r="G12338">
        <v>45015224</v>
      </c>
      <c r="H12338">
        <v>45015198</v>
      </c>
      <c r="I12338">
        <v>45015224</v>
      </c>
    </row>
    <row r="12339" spans="1:9" x14ac:dyDescent="0.2">
      <c r="A12339" t="str">
        <f>"Lzts3"</f>
        <v>Lzts3</v>
      </c>
      <c r="B12339" t="s">
        <v>14</v>
      </c>
      <c r="C12339" t="s">
        <v>26</v>
      </c>
      <c r="D12339" t="s">
        <v>11</v>
      </c>
      <c r="E12339" t="s">
        <v>67</v>
      </c>
      <c r="F12339">
        <v>130642770</v>
      </c>
      <c r="G12339">
        <v>130642811</v>
      </c>
      <c r="H12339">
        <v>130642770</v>
      </c>
      <c r="I12339">
        <v>130642811</v>
      </c>
    </row>
    <row r="12340" spans="1:9" x14ac:dyDescent="0.2">
      <c r="A12340" t="str">
        <f>"M1ap"</f>
        <v>M1ap</v>
      </c>
      <c r="B12340" t="s">
        <v>14</v>
      </c>
      <c r="C12340" t="s">
        <v>32</v>
      </c>
      <c r="D12340" t="s">
        <v>17</v>
      </c>
      <c r="E12340" t="s">
        <v>67</v>
      </c>
      <c r="F12340">
        <v>82946898</v>
      </c>
      <c r="G12340">
        <v>82946924</v>
      </c>
      <c r="H12340">
        <v>82946898</v>
      </c>
      <c r="I12340">
        <v>82946924</v>
      </c>
    </row>
    <row r="12341" spans="1:9" x14ac:dyDescent="0.2">
      <c r="A12341" t="str">
        <f>"M5C1000I18Rik"</f>
        <v>M5C1000I18Rik</v>
      </c>
      <c r="B12341" t="s">
        <v>14</v>
      </c>
      <c r="C12341" t="s">
        <v>24</v>
      </c>
      <c r="D12341" t="s">
        <v>11</v>
      </c>
      <c r="E12341" t="s">
        <v>67</v>
      </c>
      <c r="F12341">
        <v>67760207</v>
      </c>
      <c r="G12341">
        <v>67760224</v>
      </c>
      <c r="H12341">
        <v>67760157</v>
      </c>
      <c r="I12341">
        <v>67760160</v>
      </c>
    </row>
    <row r="12342" spans="1:9" x14ac:dyDescent="0.2">
      <c r="A12342" t="str">
        <f>"M6pr"</f>
        <v>M6pr</v>
      </c>
      <c r="B12342" t="s">
        <v>14</v>
      </c>
      <c r="C12342" t="s">
        <v>32</v>
      </c>
      <c r="D12342" t="s">
        <v>17</v>
      </c>
      <c r="E12342" t="s">
        <v>12</v>
      </c>
      <c r="F12342">
        <v>122308969</v>
      </c>
      <c r="G12342">
        <v>122309018</v>
      </c>
      <c r="H12342">
        <v>122308953</v>
      </c>
      <c r="I12342">
        <v>122308966</v>
      </c>
    </row>
    <row r="12343" spans="1:9" x14ac:dyDescent="0.2">
      <c r="A12343" t="str">
        <f>"MDGA2"</f>
        <v>MDGA2</v>
      </c>
      <c r="B12343" t="s">
        <v>4272</v>
      </c>
      <c r="C12343" t="s">
        <v>16</v>
      </c>
      <c r="D12343" t="s">
        <v>11</v>
      </c>
      <c r="E12343" t="s">
        <v>20</v>
      </c>
      <c r="F12343">
        <v>67221248</v>
      </c>
      <c r="G12343">
        <v>67221248</v>
      </c>
      <c r="H12343">
        <v>67221248</v>
      </c>
      <c r="I12343">
        <v>67221248</v>
      </c>
    </row>
    <row r="12344" spans="1:9" x14ac:dyDescent="0.2">
      <c r="A12344" t="str">
        <f>"Maats1"</f>
        <v>Maats1</v>
      </c>
      <c r="B12344" t="s">
        <v>14</v>
      </c>
      <c r="C12344" t="s">
        <v>31</v>
      </c>
      <c r="D12344" t="s">
        <v>11</v>
      </c>
      <c r="E12344" t="s">
        <v>67</v>
      </c>
      <c r="F12344">
        <v>38341813</v>
      </c>
      <c r="G12344">
        <v>38341859</v>
      </c>
      <c r="H12344">
        <v>38341864</v>
      </c>
      <c r="I12344">
        <v>38341871</v>
      </c>
    </row>
    <row r="12345" spans="1:9" x14ac:dyDescent="0.2">
      <c r="A12345" t="str">
        <f>"Mab21l1"</f>
        <v>Mab21l1</v>
      </c>
      <c r="B12345" t="s">
        <v>14</v>
      </c>
      <c r="C12345" t="s">
        <v>22</v>
      </c>
      <c r="D12345" t="s">
        <v>17</v>
      </c>
      <c r="E12345" t="s">
        <v>12</v>
      </c>
      <c r="F12345">
        <v>55782500</v>
      </c>
      <c r="G12345">
        <v>55782521</v>
      </c>
      <c r="H12345">
        <v>55782530</v>
      </c>
      <c r="I12345">
        <v>55782549</v>
      </c>
    </row>
    <row r="12346" spans="1:9" x14ac:dyDescent="0.2">
      <c r="A12346" t="str">
        <f>"Mab21l2"</f>
        <v>Mab21l2</v>
      </c>
      <c r="B12346" t="s">
        <v>14</v>
      </c>
      <c r="C12346" t="s">
        <v>22</v>
      </c>
      <c r="D12346" t="s">
        <v>11</v>
      </c>
      <c r="E12346" t="s">
        <v>12</v>
      </c>
      <c r="F12346">
        <v>86548268</v>
      </c>
      <c r="G12346">
        <v>86548290</v>
      </c>
      <c r="H12346">
        <v>86548268</v>
      </c>
      <c r="I12346">
        <v>86548290</v>
      </c>
    </row>
    <row r="12347" spans="1:9" x14ac:dyDescent="0.2">
      <c r="A12347" t="str">
        <f>"Mab21l3"</f>
        <v>Mab21l3</v>
      </c>
      <c r="B12347" t="s">
        <v>14</v>
      </c>
      <c r="C12347" t="s">
        <v>22</v>
      </c>
      <c r="D12347" t="s">
        <v>11</v>
      </c>
      <c r="E12347" t="s">
        <v>12</v>
      </c>
      <c r="F12347">
        <v>101836146</v>
      </c>
      <c r="G12347">
        <v>101836177</v>
      </c>
      <c r="H12347">
        <v>101836181</v>
      </c>
      <c r="I12347">
        <v>101836210</v>
      </c>
    </row>
    <row r="12348" spans="1:9" x14ac:dyDescent="0.2">
      <c r="A12348" t="str">
        <f>"Macc1"</f>
        <v>Macc1</v>
      </c>
      <c r="B12348" t="s">
        <v>4273</v>
      </c>
      <c r="C12348" t="s">
        <v>16</v>
      </c>
      <c r="D12348" t="s">
        <v>17</v>
      </c>
      <c r="E12348" t="s">
        <v>20</v>
      </c>
      <c r="F12348">
        <v>119443409</v>
      </c>
      <c r="G12348">
        <v>119443409</v>
      </c>
      <c r="H12348">
        <v>119443409</v>
      </c>
      <c r="I12348">
        <v>119443409</v>
      </c>
    </row>
    <row r="12349" spans="1:9" x14ac:dyDescent="0.2">
      <c r="A12349" t="str">
        <f>"Macf1"</f>
        <v>Macf1</v>
      </c>
      <c r="B12349" t="s">
        <v>14</v>
      </c>
      <c r="C12349" t="s">
        <v>23</v>
      </c>
      <c r="D12349" t="s">
        <v>11</v>
      </c>
      <c r="E12349" t="s">
        <v>12</v>
      </c>
      <c r="F12349">
        <v>123664725</v>
      </c>
      <c r="G12349">
        <v>123664805</v>
      </c>
      <c r="H12349">
        <v>123664725</v>
      </c>
      <c r="I12349">
        <v>123664805</v>
      </c>
    </row>
    <row r="12350" spans="1:9" x14ac:dyDescent="0.2">
      <c r="A12350" t="str">
        <f>"Macrod1"</f>
        <v>Macrod1</v>
      </c>
      <c r="B12350" t="s">
        <v>14</v>
      </c>
      <c r="C12350" t="s">
        <v>10</v>
      </c>
      <c r="D12350" t="s">
        <v>17</v>
      </c>
      <c r="E12350" t="s">
        <v>12</v>
      </c>
      <c r="F12350">
        <v>7056867</v>
      </c>
      <c r="G12350">
        <v>7056933</v>
      </c>
      <c r="H12350">
        <v>7056781</v>
      </c>
      <c r="I12350">
        <v>7056809</v>
      </c>
    </row>
    <row r="12351" spans="1:9" x14ac:dyDescent="0.2">
      <c r="A12351" t="str">
        <f>"Macrod2"</f>
        <v>Macrod2</v>
      </c>
      <c r="B12351" t="s">
        <v>14</v>
      </c>
      <c r="C12351" t="s">
        <v>26</v>
      </c>
      <c r="D12351" t="s">
        <v>17</v>
      </c>
      <c r="E12351" t="s">
        <v>12</v>
      </c>
      <c r="F12351">
        <v>140395446</v>
      </c>
      <c r="G12351">
        <v>140395465</v>
      </c>
      <c r="H12351">
        <v>140395421</v>
      </c>
      <c r="I12351">
        <v>140395438</v>
      </c>
    </row>
    <row r="12352" spans="1:9" x14ac:dyDescent="0.2">
      <c r="A12352" t="str">
        <f>"Mad1l1"</f>
        <v>Mad1l1</v>
      </c>
      <c r="B12352" t="s">
        <v>14</v>
      </c>
      <c r="C12352" t="s">
        <v>46</v>
      </c>
      <c r="D12352" t="s">
        <v>11</v>
      </c>
      <c r="E12352" t="s">
        <v>12</v>
      </c>
      <c r="F12352">
        <v>140321524</v>
      </c>
      <c r="G12352">
        <v>140321585</v>
      </c>
      <c r="H12352">
        <v>140321524</v>
      </c>
      <c r="I12352">
        <v>140321585</v>
      </c>
    </row>
    <row r="12353" spans="1:9" x14ac:dyDescent="0.2">
      <c r="A12353" t="str">
        <f>"Mad2l1"</f>
        <v>Mad2l1</v>
      </c>
      <c r="B12353" t="s">
        <v>14</v>
      </c>
      <c r="C12353" t="s">
        <v>32</v>
      </c>
      <c r="D12353" t="s">
        <v>17</v>
      </c>
      <c r="E12353" t="s">
        <v>12</v>
      </c>
      <c r="F12353">
        <v>66535418</v>
      </c>
      <c r="G12353">
        <v>66535482</v>
      </c>
      <c r="H12353">
        <v>66535392</v>
      </c>
      <c r="I12353">
        <v>66535412</v>
      </c>
    </row>
    <row r="12354" spans="1:9" x14ac:dyDescent="0.2">
      <c r="A12354" t="str">
        <f>"Mad2l1bp"</f>
        <v>Mad2l1bp</v>
      </c>
      <c r="B12354" t="s">
        <v>14</v>
      </c>
      <c r="C12354" t="s">
        <v>28</v>
      </c>
      <c r="D12354" t="s">
        <v>11</v>
      </c>
      <c r="E12354" t="s">
        <v>12</v>
      </c>
      <c r="F12354">
        <v>46153497</v>
      </c>
      <c r="G12354">
        <v>46153511</v>
      </c>
      <c r="H12354">
        <v>46153517</v>
      </c>
      <c r="I12354">
        <v>46153543</v>
      </c>
    </row>
    <row r="12355" spans="1:9" x14ac:dyDescent="0.2">
      <c r="A12355" t="str">
        <f>"Mad2l2"</f>
        <v>Mad2l2</v>
      </c>
      <c r="B12355" t="s">
        <v>9</v>
      </c>
      <c r="C12355" t="s">
        <v>23</v>
      </c>
      <c r="D12355" t="s">
        <v>17</v>
      </c>
      <c r="E12355" t="s">
        <v>12</v>
      </c>
      <c r="F12355">
        <v>148140699</v>
      </c>
      <c r="G12355">
        <v>148140767</v>
      </c>
      <c r="H12355">
        <v>148140699</v>
      </c>
      <c r="I12355">
        <v>148140767</v>
      </c>
    </row>
    <row r="12356" spans="1:9" x14ac:dyDescent="0.2">
      <c r="A12356" t="str">
        <f>"Mad2l2"</f>
        <v>Mad2l2</v>
      </c>
      <c r="B12356" t="s">
        <v>13</v>
      </c>
      <c r="C12356" t="s">
        <v>23</v>
      </c>
      <c r="D12356" t="s">
        <v>17</v>
      </c>
      <c r="E12356" t="s">
        <v>12</v>
      </c>
      <c r="F12356">
        <v>148130775</v>
      </c>
      <c r="G12356">
        <v>148130830</v>
      </c>
      <c r="H12356">
        <v>148130775</v>
      </c>
      <c r="I12356">
        <v>148130830</v>
      </c>
    </row>
    <row r="12357" spans="1:9" x14ac:dyDescent="0.2">
      <c r="A12357" t="str">
        <f>"Madcam1"</f>
        <v>Madcam1</v>
      </c>
      <c r="B12357" t="s">
        <v>14</v>
      </c>
      <c r="C12357" t="s">
        <v>15</v>
      </c>
      <c r="D12357" t="s">
        <v>17</v>
      </c>
      <c r="E12357" t="s">
        <v>12</v>
      </c>
      <c r="F12357">
        <v>79664587</v>
      </c>
      <c r="G12357">
        <v>79664603</v>
      </c>
      <c r="H12357">
        <v>79664553</v>
      </c>
      <c r="I12357">
        <v>79664564</v>
      </c>
    </row>
    <row r="12358" spans="1:9" x14ac:dyDescent="0.2">
      <c r="A12358" t="str">
        <f>"Madd"</f>
        <v>Madd</v>
      </c>
      <c r="B12358" t="s">
        <v>14</v>
      </c>
      <c r="C12358" t="s">
        <v>26</v>
      </c>
      <c r="D12358" t="s">
        <v>11</v>
      </c>
      <c r="E12358" t="s">
        <v>12</v>
      </c>
      <c r="F12358">
        <v>91182868</v>
      </c>
      <c r="G12358">
        <v>91182933</v>
      </c>
      <c r="H12358">
        <v>91183017</v>
      </c>
      <c r="I12358">
        <v>91183060</v>
      </c>
    </row>
    <row r="12359" spans="1:9" x14ac:dyDescent="0.2">
      <c r="A12359" t="str">
        <f>"Maea"</f>
        <v>Maea</v>
      </c>
      <c r="B12359" t="s">
        <v>14</v>
      </c>
      <c r="C12359" t="s">
        <v>46</v>
      </c>
      <c r="D12359" t="s">
        <v>17</v>
      </c>
      <c r="E12359" t="s">
        <v>12</v>
      </c>
      <c r="F12359">
        <v>33335540</v>
      </c>
      <c r="G12359">
        <v>33335571</v>
      </c>
      <c r="H12359">
        <v>33335540</v>
      </c>
      <c r="I12359">
        <v>33335571</v>
      </c>
    </row>
    <row r="12360" spans="1:9" x14ac:dyDescent="0.2">
      <c r="A12360" t="str">
        <f>"Mael"</f>
        <v>Mael</v>
      </c>
      <c r="B12360" t="s">
        <v>14</v>
      </c>
      <c r="C12360" t="s">
        <v>19</v>
      </c>
      <c r="D12360" t="s">
        <v>11</v>
      </c>
      <c r="E12360" t="s">
        <v>12</v>
      </c>
      <c r="F12360">
        <v>166238725</v>
      </c>
      <c r="G12360">
        <v>166238762</v>
      </c>
      <c r="H12360">
        <v>166238686</v>
      </c>
      <c r="I12360">
        <v>166238719</v>
      </c>
    </row>
    <row r="12361" spans="1:9" x14ac:dyDescent="0.2">
      <c r="A12361" t="str">
        <f>"Maf"</f>
        <v>Maf</v>
      </c>
      <c r="B12361" t="s">
        <v>14</v>
      </c>
      <c r="C12361" t="s">
        <v>30</v>
      </c>
      <c r="D12361" t="s">
        <v>11</v>
      </c>
      <c r="E12361" t="s">
        <v>12</v>
      </c>
      <c r="F12361">
        <v>115707823</v>
      </c>
      <c r="G12361">
        <v>115707840</v>
      </c>
      <c r="H12361">
        <v>115707778</v>
      </c>
      <c r="I12361">
        <v>115707792</v>
      </c>
    </row>
    <row r="12362" spans="1:9" x14ac:dyDescent="0.2">
      <c r="A12362" t="str">
        <f>"Maf1"</f>
        <v>Maf1</v>
      </c>
      <c r="B12362" t="s">
        <v>14</v>
      </c>
      <c r="C12362" t="s">
        <v>25</v>
      </c>
      <c r="D12362" t="s">
        <v>17</v>
      </c>
      <c r="E12362" t="s">
        <v>12</v>
      </c>
      <c r="F12362">
        <v>76351303</v>
      </c>
      <c r="G12362">
        <v>76351337</v>
      </c>
      <c r="H12362">
        <v>76351347</v>
      </c>
      <c r="I12362">
        <v>76351372</v>
      </c>
    </row>
    <row r="12363" spans="1:9" x14ac:dyDescent="0.2">
      <c r="A12363" t="str">
        <f>"Mafa"</f>
        <v>Mafa</v>
      </c>
      <c r="B12363" t="s">
        <v>14</v>
      </c>
      <c r="C12363" t="s">
        <v>25</v>
      </c>
      <c r="D12363" t="s">
        <v>11</v>
      </c>
      <c r="E12363" t="s">
        <v>12</v>
      </c>
      <c r="F12363">
        <v>75748318</v>
      </c>
      <c r="G12363">
        <v>75748322</v>
      </c>
      <c r="H12363">
        <v>75748318</v>
      </c>
      <c r="I12363">
        <v>75748322</v>
      </c>
    </row>
    <row r="12364" spans="1:9" x14ac:dyDescent="0.2">
      <c r="A12364" t="str">
        <f>"Mafb"</f>
        <v>Mafb</v>
      </c>
      <c r="B12364" t="s">
        <v>14</v>
      </c>
      <c r="C12364" t="s">
        <v>26</v>
      </c>
      <c r="D12364" t="s">
        <v>11</v>
      </c>
      <c r="E12364" t="s">
        <v>12</v>
      </c>
      <c r="F12364">
        <v>160367057</v>
      </c>
      <c r="G12364">
        <v>160367073</v>
      </c>
      <c r="H12364">
        <v>160367057</v>
      </c>
      <c r="I12364">
        <v>160367073</v>
      </c>
    </row>
    <row r="12365" spans="1:9" x14ac:dyDescent="0.2">
      <c r="A12365" t="str">
        <f>"Maff"</f>
        <v>Maff</v>
      </c>
      <c r="B12365" t="s">
        <v>14</v>
      </c>
      <c r="C12365" t="s">
        <v>25</v>
      </c>
      <c r="D12365" t="s">
        <v>17</v>
      </c>
      <c r="E12365" t="s">
        <v>12</v>
      </c>
      <c r="F12365">
        <v>79347534</v>
      </c>
      <c r="G12365">
        <v>79347556</v>
      </c>
      <c r="H12365">
        <v>79347630</v>
      </c>
      <c r="I12365">
        <v>79347644</v>
      </c>
    </row>
    <row r="12366" spans="1:9" x14ac:dyDescent="0.2">
      <c r="A12366" t="str">
        <f>"Mafk"</f>
        <v>Mafk</v>
      </c>
      <c r="B12366" t="s">
        <v>14</v>
      </c>
      <c r="C12366" t="s">
        <v>46</v>
      </c>
      <c r="D12366" t="s">
        <v>17</v>
      </c>
      <c r="E12366" t="s">
        <v>12</v>
      </c>
      <c r="F12366">
        <v>139791522</v>
      </c>
      <c r="G12366">
        <v>139791539</v>
      </c>
      <c r="H12366">
        <v>139791556</v>
      </c>
      <c r="I12366">
        <v>139791601</v>
      </c>
    </row>
    <row r="12367" spans="1:9" x14ac:dyDescent="0.2">
      <c r="A12367" t="str">
        <f>"Mag"</f>
        <v>Mag</v>
      </c>
      <c r="B12367" t="s">
        <v>14</v>
      </c>
      <c r="C12367" t="s">
        <v>33</v>
      </c>
      <c r="D12367" t="s">
        <v>11</v>
      </c>
      <c r="E12367" t="s">
        <v>12</v>
      </c>
      <c r="F12367">
        <v>30914832</v>
      </c>
      <c r="G12367">
        <v>30914878</v>
      </c>
      <c r="H12367">
        <v>30914832</v>
      </c>
      <c r="I12367">
        <v>30914878</v>
      </c>
    </row>
    <row r="12368" spans="1:9" x14ac:dyDescent="0.2">
      <c r="A12368" t="str">
        <f>"Magea1"</f>
        <v>Magea1</v>
      </c>
      <c r="B12368" t="s">
        <v>4274</v>
      </c>
      <c r="C12368" t="s">
        <v>37</v>
      </c>
      <c r="D12368" t="s">
        <v>11</v>
      </c>
      <c r="E12368" t="s">
        <v>20</v>
      </c>
      <c r="F12368">
        <v>155089792</v>
      </c>
      <c r="G12368">
        <v>155089792</v>
      </c>
      <c r="H12368">
        <v>155089792</v>
      </c>
      <c r="I12368">
        <v>155089792</v>
      </c>
    </row>
    <row r="12369" spans="1:9" x14ac:dyDescent="0.2">
      <c r="A12369" t="str">
        <f>"Magea10"</f>
        <v>Magea10</v>
      </c>
      <c r="B12369" t="s">
        <v>14</v>
      </c>
      <c r="C12369" t="s">
        <v>37</v>
      </c>
      <c r="D12369" t="s">
        <v>11</v>
      </c>
      <c r="E12369" t="s">
        <v>12</v>
      </c>
      <c r="F12369">
        <v>72386818</v>
      </c>
      <c r="G12369">
        <v>72386860</v>
      </c>
      <c r="H12369">
        <v>72386818</v>
      </c>
      <c r="I12369">
        <v>72386860</v>
      </c>
    </row>
    <row r="12370" spans="1:9" x14ac:dyDescent="0.2">
      <c r="A12370" t="str">
        <f>"Magea2"</f>
        <v>Magea2</v>
      </c>
      <c r="B12370" t="s">
        <v>4275</v>
      </c>
      <c r="C12370" t="s">
        <v>37</v>
      </c>
      <c r="D12370" t="s">
        <v>11</v>
      </c>
      <c r="E12370" t="s">
        <v>20</v>
      </c>
      <c r="F12370">
        <v>155033291</v>
      </c>
      <c r="G12370">
        <v>155033291</v>
      </c>
      <c r="H12370">
        <v>155033291</v>
      </c>
      <c r="I12370">
        <v>155033291</v>
      </c>
    </row>
    <row r="12371" spans="1:9" x14ac:dyDescent="0.2">
      <c r="A12371" t="str">
        <f>"Magea2"</f>
        <v>Magea2</v>
      </c>
      <c r="B12371" t="s">
        <v>4276</v>
      </c>
      <c r="C12371" t="s">
        <v>37</v>
      </c>
      <c r="D12371" t="s">
        <v>11</v>
      </c>
      <c r="E12371" t="s">
        <v>20</v>
      </c>
      <c r="F12371">
        <v>155032499</v>
      </c>
      <c r="G12371">
        <v>155032499</v>
      </c>
      <c r="H12371">
        <v>155032499</v>
      </c>
      <c r="I12371">
        <v>155032499</v>
      </c>
    </row>
    <row r="12372" spans="1:9" x14ac:dyDescent="0.2">
      <c r="A12372" t="str">
        <f>"Magea2"</f>
        <v>Magea2</v>
      </c>
      <c r="B12372" t="s">
        <v>4277</v>
      </c>
      <c r="C12372" t="s">
        <v>37</v>
      </c>
      <c r="D12372" t="s">
        <v>11</v>
      </c>
      <c r="E12372" t="s">
        <v>20</v>
      </c>
      <c r="F12372">
        <v>155093665</v>
      </c>
      <c r="G12372">
        <v>155093665</v>
      </c>
      <c r="H12372">
        <v>155093665</v>
      </c>
      <c r="I12372">
        <v>155093665</v>
      </c>
    </row>
    <row r="12373" spans="1:9" x14ac:dyDescent="0.2">
      <c r="A12373" t="str">
        <f>"Magea3"</f>
        <v>Magea3</v>
      </c>
      <c r="B12373" t="s">
        <v>4278</v>
      </c>
      <c r="C12373" t="s">
        <v>37</v>
      </c>
      <c r="D12373" t="s">
        <v>11</v>
      </c>
      <c r="E12373" t="s">
        <v>20</v>
      </c>
      <c r="F12373">
        <v>154949568</v>
      </c>
      <c r="G12373">
        <v>154949568</v>
      </c>
      <c r="H12373">
        <v>154949568</v>
      </c>
      <c r="I12373">
        <v>154949568</v>
      </c>
    </row>
    <row r="12374" spans="1:9" x14ac:dyDescent="0.2">
      <c r="A12374" t="str">
        <f>"Magea4"</f>
        <v>Magea4</v>
      </c>
      <c r="B12374" t="s">
        <v>4279</v>
      </c>
      <c r="C12374" t="s">
        <v>37</v>
      </c>
      <c r="D12374" t="s">
        <v>17</v>
      </c>
      <c r="E12374" t="s">
        <v>20</v>
      </c>
      <c r="F12374">
        <v>72222016</v>
      </c>
      <c r="G12374">
        <v>72222016</v>
      </c>
      <c r="H12374">
        <v>72222016</v>
      </c>
      <c r="I12374">
        <v>72222016</v>
      </c>
    </row>
    <row r="12375" spans="1:9" x14ac:dyDescent="0.2">
      <c r="A12375" t="str">
        <f>"Magea5"</f>
        <v>Magea5</v>
      </c>
      <c r="B12375" t="s">
        <v>4280</v>
      </c>
      <c r="C12375" t="s">
        <v>37</v>
      </c>
      <c r="D12375" t="s">
        <v>11</v>
      </c>
      <c r="E12375" t="s">
        <v>20</v>
      </c>
      <c r="F12375">
        <v>155063144</v>
      </c>
      <c r="G12375">
        <v>155063144</v>
      </c>
      <c r="H12375">
        <v>155063144</v>
      </c>
      <c r="I12375">
        <v>155063144</v>
      </c>
    </row>
    <row r="12376" spans="1:9" x14ac:dyDescent="0.2">
      <c r="A12376" t="str">
        <f>"Magea5"</f>
        <v>Magea5</v>
      </c>
      <c r="B12376" t="s">
        <v>4281</v>
      </c>
      <c r="C12376" t="s">
        <v>37</v>
      </c>
      <c r="D12376" t="s">
        <v>11</v>
      </c>
      <c r="E12376" t="s">
        <v>20</v>
      </c>
      <c r="F12376">
        <v>155061552</v>
      </c>
      <c r="G12376">
        <v>155061552</v>
      </c>
      <c r="H12376">
        <v>155061552</v>
      </c>
      <c r="I12376">
        <v>155061552</v>
      </c>
    </row>
    <row r="12377" spans="1:9" x14ac:dyDescent="0.2">
      <c r="A12377" t="str">
        <f>"Magea6"</f>
        <v>Magea6</v>
      </c>
      <c r="B12377" t="s">
        <v>4282</v>
      </c>
      <c r="C12377" t="s">
        <v>37</v>
      </c>
      <c r="D12377" t="s">
        <v>11</v>
      </c>
      <c r="E12377" t="s">
        <v>20</v>
      </c>
      <c r="F12377">
        <v>154926114</v>
      </c>
      <c r="G12377">
        <v>154926114</v>
      </c>
      <c r="H12377">
        <v>154926114</v>
      </c>
      <c r="I12377">
        <v>154926114</v>
      </c>
    </row>
    <row r="12378" spans="1:9" x14ac:dyDescent="0.2">
      <c r="A12378" t="str">
        <f>"Magea6"</f>
        <v>Magea6</v>
      </c>
      <c r="B12378" t="s">
        <v>4283</v>
      </c>
      <c r="C12378" t="s">
        <v>37</v>
      </c>
      <c r="D12378" t="s">
        <v>11</v>
      </c>
      <c r="E12378" t="s">
        <v>20</v>
      </c>
      <c r="F12378">
        <v>154935986</v>
      </c>
      <c r="G12378">
        <v>154935986</v>
      </c>
      <c r="H12378">
        <v>154935986</v>
      </c>
      <c r="I12378">
        <v>154935986</v>
      </c>
    </row>
    <row r="12379" spans="1:9" x14ac:dyDescent="0.2">
      <c r="A12379" t="str">
        <f>"Magea8"</f>
        <v>Magea8</v>
      </c>
      <c r="B12379" t="s">
        <v>4284</v>
      </c>
      <c r="C12379" t="s">
        <v>37</v>
      </c>
      <c r="D12379" t="s">
        <v>11</v>
      </c>
      <c r="E12379" t="s">
        <v>20</v>
      </c>
      <c r="F12379">
        <v>154995849</v>
      </c>
      <c r="G12379">
        <v>154995849</v>
      </c>
      <c r="H12379">
        <v>154995849</v>
      </c>
      <c r="I12379">
        <v>154995849</v>
      </c>
    </row>
    <row r="12380" spans="1:9" x14ac:dyDescent="0.2">
      <c r="A12380" t="str">
        <f>"Mageb1"</f>
        <v>Mageb1</v>
      </c>
      <c r="B12380" t="s">
        <v>4285</v>
      </c>
      <c r="C12380" t="s">
        <v>37</v>
      </c>
      <c r="D12380" t="s">
        <v>11</v>
      </c>
      <c r="E12380" t="s">
        <v>20</v>
      </c>
      <c r="F12380">
        <v>92016257</v>
      </c>
      <c r="G12380">
        <v>92016257</v>
      </c>
      <c r="H12380">
        <v>92016257</v>
      </c>
      <c r="I12380">
        <v>92016257</v>
      </c>
    </row>
    <row r="12381" spans="1:9" x14ac:dyDescent="0.2">
      <c r="A12381" t="str">
        <f>"Mageb16"</f>
        <v>Mageb16</v>
      </c>
      <c r="B12381" t="s">
        <v>14</v>
      </c>
      <c r="C12381" t="s">
        <v>37</v>
      </c>
      <c r="D12381" t="s">
        <v>11</v>
      </c>
      <c r="E12381" t="s">
        <v>12</v>
      </c>
      <c r="F12381">
        <v>79635575</v>
      </c>
      <c r="G12381">
        <v>79635587</v>
      </c>
      <c r="H12381">
        <v>79635547</v>
      </c>
      <c r="I12381">
        <v>79635558</v>
      </c>
    </row>
    <row r="12382" spans="1:9" x14ac:dyDescent="0.2">
      <c r="A12382" t="str">
        <f>"Mageb18"</f>
        <v>Mageb18</v>
      </c>
      <c r="B12382" t="s">
        <v>14</v>
      </c>
      <c r="C12382" t="s">
        <v>37</v>
      </c>
      <c r="D12382" t="s">
        <v>11</v>
      </c>
      <c r="E12382" t="s">
        <v>12</v>
      </c>
      <c r="F12382">
        <v>92599599</v>
      </c>
      <c r="G12382">
        <v>92599625</v>
      </c>
      <c r="H12382">
        <v>92599599</v>
      </c>
      <c r="I12382">
        <v>92599625</v>
      </c>
    </row>
    <row r="12383" spans="1:9" x14ac:dyDescent="0.2">
      <c r="A12383" t="str">
        <f>"Mageb2"</f>
        <v>Mageb2</v>
      </c>
      <c r="B12383" t="s">
        <v>4286</v>
      </c>
      <c r="C12383" t="s">
        <v>37</v>
      </c>
      <c r="D12383" t="s">
        <v>17</v>
      </c>
      <c r="E12383" t="s">
        <v>20</v>
      </c>
      <c r="F12383">
        <v>91331754</v>
      </c>
      <c r="G12383">
        <v>91331754</v>
      </c>
      <c r="H12383">
        <v>91331754</v>
      </c>
      <c r="I12383">
        <v>91331754</v>
      </c>
    </row>
    <row r="12384" spans="1:9" x14ac:dyDescent="0.2">
      <c r="A12384" t="str">
        <f>"Mageb3"</f>
        <v>Mageb3</v>
      </c>
      <c r="B12384" t="s">
        <v>14</v>
      </c>
      <c r="C12384" t="s">
        <v>26</v>
      </c>
      <c r="D12384" t="s">
        <v>11</v>
      </c>
      <c r="E12384" t="s">
        <v>12</v>
      </c>
      <c r="F12384">
        <v>121955846</v>
      </c>
      <c r="G12384">
        <v>121955871</v>
      </c>
      <c r="H12384">
        <v>121956502</v>
      </c>
      <c r="I12384">
        <v>121956512</v>
      </c>
    </row>
    <row r="12385" spans="1:9" x14ac:dyDescent="0.2">
      <c r="A12385" t="str">
        <f>"Mageb4"</f>
        <v>Mageb4</v>
      </c>
      <c r="B12385" t="s">
        <v>4287</v>
      </c>
      <c r="C12385" t="s">
        <v>37</v>
      </c>
      <c r="D12385" t="s">
        <v>11</v>
      </c>
      <c r="E12385" t="s">
        <v>20</v>
      </c>
      <c r="F12385">
        <v>86305092</v>
      </c>
      <c r="G12385">
        <v>86305092</v>
      </c>
      <c r="H12385">
        <v>86305092</v>
      </c>
      <c r="I12385">
        <v>86305092</v>
      </c>
    </row>
    <row r="12386" spans="1:9" x14ac:dyDescent="0.2">
      <c r="A12386" t="str">
        <f>"Mageb4"</f>
        <v>Mageb4</v>
      </c>
      <c r="B12386" t="s">
        <v>4288</v>
      </c>
      <c r="C12386" t="s">
        <v>37</v>
      </c>
      <c r="D12386" t="s">
        <v>11</v>
      </c>
      <c r="E12386" t="s">
        <v>20</v>
      </c>
      <c r="F12386">
        <v>86256218</v>
      </c>
      <c r="G12386">
        <v>86256218</v>
      </c>
      <c r="H12386">
        <v>86256218</v>
      </c>
      <c r="I12386">
        <v>86256218</v>
      </c>
    </row>
    <row r="12387" spans="1:9" x14ac:dyDescent="0.2">
      <c r="A12387" t="str">
        <f>"Mageb5"</f>
        <v>Mageb5</v>
      </c>
      <c r="B12387" t="s">
        <v>14</v>
      </c>
      <c r="C12387" t="s">
        <v>37</v>
      </c>
      <c r="D12387" t="s">
        <v>11</v>
      </c>
      <c r="E12387" t="s">
        <v>12</v>
      </c>
      <c r="F12387">
        <v>91782983</v>
      </c>
      <c r="G12387">
        <v>91783007</v>
      </c>
      <c r="H12387">
        <v>91782983</v>
      </c>
      <c r="I12387">
        <v>91783007</v>
      </c>
    </row>
    <row r="12388" spans="1:9" x14ac:dyDescent="0.2">
      <c r="A12388" t="str">
        <f>"Maged1"</f>
        <v>Maged1</v>
      </c>
      <c r="B12388" t="s">
        <v>14</v>
      </c>
      <c r="C12388" t="s">
        <v>37</v>
      </c>
      <c r="D12388" t="s">
        <v>11</v>
      </c>
      <c r="E12388" t="s">
        <v>12</v>
      </c>
      <c r="F12388">
        <v>94541984</v>
      </c>
      <c r="G12388">
        <v>94542031</v>
      </c>
      <c r="H12388">
        <v>94542037</v>
      </c>
      <c r="I12388">
        <v>94542042</v>
      </c>
    </row>
    <row r="12389" spans="1:9" x14ac:dyDescent="0.2">
      <c r="A12389" t="str">
        <f>"Maged2"</f>
        <v>Maged2</v>
      </c>
      <c r="B12389" t="s">
        <v>14</v>
      </c>
      <c r="C12389" t="s">
        <v>37</v>
      </c>
      <c r="D12389" t="s">
        <v>11</v>
      </c>
      <c r="E12389" t="s">
        <v>12</v>
      </c>
      <c r="F12389">
        <v>150814265</v>
      </c>
      <c r="G12389">
        <v>150814320</v>
      </c>
      <c r="H12389">
        <v>150813637</v>
      </c>
      <c r="I12389">
        <v>150813712</v>
      </c>
    </row>
    <row r="12390" spans="1:9" x14ac:dyDescent="0.2">
      <c r="A12390" t="str">
        <f>"Magee1"</f>
        <v>Magee1</v>
      </c>
      <c r="B12390" t="s">
        <v>14</v>
      </c>
      <c r="C12390" t="s">
        <v>37</v>
      </c>
      <c r="D12390" t="s">
        <v>17</v>
      </c>
      <c r="E12390" t="s">
        <v>12</v>
      </c>
      <c r="F12390">
        <v>105120361</v>
      </c>
      <c r="G12390">
        <v>105120429</v>
      </c>
      <c r="H12390">
        <v>105120361</v>
      </c>
      <c r="I12390">
        <v>105120429</v>
      </c>
    </row>
    <row r="12391" spans="1:9" x14ac:dyDescent="0.2">
      <c r="A12391" t="str">
        <f>"Magee2"</f>
        <v>Magee2</v>
      </c>
      <c r="B12391" t="s">
        <v>14</v>
      </c>
      <c r="C12391" t="s">
        <v>37</v>
      </c>
      <c r="D12391" t="s">
        <v>11</v>
      </c>
      <c r="E12391" t="s">
        <v>12</v>
      </c>
      <c r="F12391">
        <v>104857228</v>
      </c>
      <c r="G12391">
        <v>104857282</v>
      </c>
      <c r="H12391">
        <v>104857206</v>
      </c>
      <c r="I12391">
        <v>104857220</v>
      </c>
    </row>
    <row r="12392" spans="1:9" x14ac:dyDescent="0.2">
      <c r="A12392" t="str">
        <f>"Mageh1"</f>
        <v>Mageh1</v>
      </c>
      <c r="B12392" t="s">
        <v>14</v>
      </c>
      <c r="C12392" t="s">
        <v>37</v>
      </c>
      <c r="D12392" t="s">
        <v>11</v>
      </c>
      <c r="E12392" t="s">
        <v>12</v>
      </c>
      <c r="F12392">
        <v>153037549</v>
      </c>
      <c r="G12392">
        <v>153037581</v>
      </c>
      <c r="H12392">
        <v>153037489</v>
      </c>
      <c r="I12392">
        <v>153037547</v>
      </c>
    </row>
    <row r="12393" spans="1:9" x14ac:dyDescent="0.2">
      <c r="A12393" t="str">
        <f>"Magel2"</f>
        <v>Magel2</v>
      </c>
      <c r="B12393" t="s">
        <v>14</v>
      </c>
      <c r="C12393" t="s">
        <v>33</v>
      </c>
      <c r="D12393" t="s">
        <v>17</v>
      </c>
      <c r="E12393" t="s">
        <v>12</v>
      </c>
      <c r="F12393">
        <v>62376999</v>
      </c>
      <c r="G12393">
        <v>62377015</v>
      </c>
      <c r="H12393">
        <v>62377073</v>
      </c>
      <c r="I12393">
        <v>62377112</v>
      </c>
    </row>
    <row r="12394" spans="1:9" x14ac:dyDescent="0.2">
      <c r="A12394" t="str">
        <f>"Magi1"</f>
        <v>Magi1</v>
      </c>
      <c r="B12394" t="s">
        <v>14</v>
      </c>
      <c r="C12394" t="s">
        <v>32</v>
      </c>
      <c r="D12394" t="s">
        <v>11</v>
      </c>
      <c r="E12394" t="s">
        <v>12</v>
      </c>
      <c r="F12394">
        <v>94283848</v>
      </c>
      <c r="G12394">
        <v>94283936</v>
      </c>
      <c r="H12394">
        <v>94283741</v>
      </c>
      <c r="I12394">
        <v>94283791</v>
      </c>
    </row>
    <row r="12395" spans="1:9" x14ac:dyDescent="0.2">
      <c r="A12395" t="str">
        <f>"Magi2"</f>
        <v>Magi2</v>
      </c>
      <c r="B12395" t="s">
        <v>4289</v>
      </c>
      <c r="C12395" t="s">
        <v>46</v>
      </c>
      <c r="D12395" t="s">
        <v>17</v>
      </c>
      <c r="E12395" t="s">
        <v>35</v>
      </c>
      <c r="F12395">
        <v>20702108</v>
      </c>
      <c r="G12395">
        <v>20702128</v>
      </c>
      <c r="H12395">
        <v>20702252</v>
      </c>
      <c r="I12395">
        <v>20702277</v>
      </c>
    </row>
    <row r="12396" spans="1:9" x14ac:dyDescent="0.2">
      <c r="A12396" t="str">
        <f>"Magi3"</f>
        <v>Magi3</v>
      </c>
      <c r="B12396" t="s">
        <v>14</v>
      </c>
      <c r="C12396" t="s">
        <v>22</v>
      </c>
      <c r="D12396" t="s">
        <v>11</v>
      </c>
      <c r="E12396" t="s">
        <v>12</v>
      </c>
      <c r="F12396">
        <v>104220360</v>
      </c>
      <c r="G12396">
        <v>104220378</v>
      </c>
      <c r="H12396">
        <v>104220346</v>
      </c>
      <c r="I12396">
        <v>104220357</v>
      </c>
    </row>
    <row r="12397" spans="1:9" x14ac:dyDescent="0.2">
      <c r="A12397" t="str">
        <f>"Magix"</f>
        <v>Magix</v>
      </c>
      <c r="B12397" t="s">
        <v>14</v>
      </c>
      <c r="C12397" t="s">
        <v>37</v>
      </c>
      <c r="D12397" t="s">
        <v>11</v>
      </c>
      <c r="E12397" t="s">
        <v>12</v>
      </c>
      <c r="F12397">
        <v>7681002</v>
      </c>
      <c r="G12397">
        <v>7681032</v>
      </c>
      <c r="H12397">
        <v>7681230</v>
      </c>
      <c r="I12397">
        <v>7681256</v>
      </c>
    </row>
    <row r="12398" spans="1:9" x14ac:dyDescent="0.2">
      <c r="A12398" t="str">
        <f>"Magoh"</f>
        <v>Magoh</v>
      </c>
      <c r="B12398" t="s">
        <v>14</v>
      </c>
      <c r="C12398" t="s">
        <v>23</v>
      </c>
      <c r="D12398" t="s">
        <v>17</v>
      </c>
      <c r="E12398" t="s">
        <v>12</v>
      </c>
      <c r="F12398">
        <v>107879745</v>
      </c>
      <c r="G12398">
        <v>107879796</v>
      </c>
      <c r="H12398">
        <v>107879805</v>
      </c>
      <c r="I12398">
        <v>107879823</v>
      </c>
    </row>
    <row r="12399" spans="1:9" x14ac:dyDescent="0.2">
      <c r="A12399" t="str">
        <f>"Magohb"</f>
        <v>Magohb</v>
      </c>
      <c r="B12399" t="s">
        <v>14</v>
      </c>
      <c r="C12399" t="s">
        <v>32</v>
      </c>
      <c r="D12399" t="s">
        <v>11</v>
      </c>
      <c r="E12399" t="s">
        <v>12</v>
      </c>
      <c r="F12399">
        <v>131293187</v>
      </c>
      <c r="G12399">
        <v>131293248</v>
      </c>
      <c r="H12399">
        <v>131293187</v>
      </c>
      <c r="I12399">
        <v>131293248</v>
      </c>
    </row>
    <row r="12400" spans="1:9" x14ac:dyDescent="0.2">
      <c r="A12400" t="str">
        <f>"Magt1"</f>
        <v>Magt1</v>
      </c>
      <c r="B12400" t="s">
        <v>14</v>
      </c>
      <c r="C12400" t="s">
        <v>37</v>
      </c>
      <c r="D12400" t="s">
        <v>11</v>
      </c>
      <c r="E12400" t="s">
        <v>12</v>
      </c>
      <c r="F12400">
        <v>106011766</v>
      </c>
      <c r="G12400">
        <v>106011818</v>
      </c>
      <c r="H12400">
        <v>106011826</v>
      </c>
      <c r="I12400">
        <v>106011839</v>
      </c>
    </row>
    <row r="12401" spans="1:9" x14ac:dyDescent="0.2">
      <c r="A12401" t="str">
        <f>"Mak"</f>
        <v>Mak</v>
      </c>
      <c r="B12401" t="s">
        <v>14</v>
      </c>
      <c r="C12401" t="s">
        <v>39</v>
      </c>
      <c r="D12401" t="s">
        <v>11</v>
      </c>
      <c r="E12401" t="s">
        <v>12</v>
      </c>
      <c r="F12401">
        <v>41079628</v>
      </c>
      <c r="G12401">
        <v>41079662</v>
      </c>
      <c r="H12401">
        <v>41079600</v>
      </c>
      <c r="I12401">
        <v>41079622</v>
      </c>
    </row>
    <row r="12402" spans="1:9" x14ac:dyDescent="0.2">
      <c r="A12402" t="str">
        <f>"Mak16"</f>
        <v>Mak16</v>
      </c>
      <c r="B12402" t="s">
        <v>14</v>
      </c>
      <c r="C12402" t="s">
        <v>30</v>
      </c>
      <c r="D12402" t="s">
        <v>11</v>
      </c>
      <c r="E12402" t="s">
        <v>12</v>
      </c>
      <c r="F12402">
        <v>31168699</v>
      </c>
      <c r="G12402">
        <v>31168746</v>
      </c>
      <c r="H12402">
        <v>31168747</v>
      </c>
      <c r="I12402">
        <v>31168769</v>
      </c>
    </row>
    <row r="12403" spans="1:9" x14ac:dyDescent="0.2">
      <c r="A12403" t="str">
        <f>"Mal"</f>
        <v>Mal</v>
      </c>
      <c r="B12403" t="s">
        <v>14</v>
      </c>
      <c r="C12403" t="s">
        <v>26</v>
      </c>
      <c r="D12403" t="s">
        <v>11</v>
      </c>
      <c r="E12403" t="s">
        <v>12</v>
      </c>
      <c r="F12403">
        <v>127656209</v>
      </c>
      <c r="G12403">
        <v>127656232</v>
      </c>
      <c r="H12403">
        <v>127656182</v>
      </c>
      <c r="I12403">
        <v>127656196</v>
      </c>
    </row>
    <row r="12404" spans="1:9" x14ac:dyDescent="0.2">
      <c r="A12404" t="str">
        <f>"Mal2"</f>
        <v>Mal2</v>
      </c>
      <c r="B12404" t="s">
        <v>14</v>
      </c>
      <c r="C12404" t="s">
        <v>25</v>
      </c>
      <c r="D12404" t="s">
        <v>17</v>
      </c>
      <c r="E12404" t="s">
        <v>12</v>
      </c>
      <c r="F12404">
        <v>54571358</v>
      </c>
      <c r="G12404">
        <v>54571439</v>
      </c>
      <c r="H12404">
        <v>54571470</v>
      </c>
      <c r="I12404">
        <v>54571507</v>
      </c>
    </row>
    <row r="12405" spans="1:9" x14ac:dyDescent="0.2">
      <c r="A12405" t="str">
        <f>"Mall"</f>
        <v>Mall</v>
      </c>
      <c r="B12405" t="s">
        <v>14</v>
      </c>
      <c r="C12405" t="s">
        <v>26</v>
      </c>
      <c r="D12405" t="s">
        <v>11</v>
      </c>
      <c r="E12405" t="s">
        <v>12</v>
      </c>
      <c r="F12405">
        <v>127729872</v>
      </c>
      <c r="G12405">
        <v>127729936</v>
      </c>
      <c r="H12405">
        <v>127729872</v>
      </c>
      <c r="I12405">
        <v>127729936</v>
      </c>
    </row>
    <row r="12406" spans="1:9" x14ac:dyDescent="0.2">
      <c r="A12406" t="str">
        <f>"Malsu1"</f>
        <v>Malsu1</v>
      </c>
      <c r="B12406" t="s">
        <v>14</v>
      </c>
      <c r="C12406" t="s">
        <v>32</v>
      </c>
      <c r="D12406" t="s">
        <v>17</v>
      </c>
      <c r="E12406" t="s">
        <v>67</v>
      </c>
      <c r="F12406">
        <v>49073816</v>
      </c>
      <c r="G12406">
        <v>49073861</v>
      </c>
      <c r="H12406">
        <v>49074034</v>
      </c>
      <c r="I12406">
        <v>49074058</v>
      </c>
    </row>
    <row r="12407" spans="1:9" x14ac:dyDescent="0.2">
      <c r="A12407" t="str">
        <f>"Malt1"</f>
        <v>Malt1</v>
      </c>
      <c r="B12407" t="s">
        <v>14</v>
      </c>
      <c r="C12407" t="s">
        <v>43</v>
      </c>
      <c r="D12407" t="s">
        <v>17</v>
      </c>
      <c r="E12407" t="s">
        <v>12</v>
      </c>
      <c r="F12407">
        <v>65431012</v>
      </c>
      <c r="G12407">
        <v>65431037</v>
      </c>
      <c r="H12407">
        <v>65430984</v>
      </c>
      <c r="I12407">
        <v>65431011</v>
      </c>
    </row>
    <row r="12408" spans="1:9" x14ac:dyDescent="0.2">
      <c r="A12408" t="str">
        <f>"Mamdc2"</f>
        <v>Mamdc2</v>
      </c>
      <c r="B12408" t="s">
        <v>14</v>
      </c>
      <c r="C12408" t="s">
        <v>10</v>
      </c>
      <c r="D12408" t="s">
        <v>11</v>
      </c>
      <c r="E12408" t="s">
        <v>12</v>
      </c>
      <c r="F12408">
        <v>23448332</v>
      </c>
      <c r="G12408">
        <v>23448350</v>
      </c>
      <c r="H12408">
        <v>23448356</v>
      </c>
      <c r="I12408">
        <v>23448378</v>
      </c>
    </row>
    <row r="12409" spans="1:9" x14ac:dyDescent="0.2">
      <c r="A12409" t="str">
        <f>"Mamdc4"</f>
        <v>Mamdc4</v>
      </c>
      <c r="B12409" t="s">
        <v>9</v>
      </c>
      <c r="C12409" t="s">
        <v>26</v>
      </c>
      <c r="D12409" t="s">
        <v>11</v>
      </c>
      <c r="E12409" t="s">
        <v>12</v>
      </c>
      <c r="F12409">
        <v>25571301</v>
      </c>
      <c r="G12409">
        <v>25571321</v>
      </c>
      <c r="H12409">
        <v>25571301</v>
      </c>
      <c r="I12409">
        <v>25571321</v>
      </c>
    </row>
    <row r="12410" spans="1:9" x14ac:dyDescent="0.2">
      <c r="A12410" t="str">
        <f>"Mamdc4"</f>
        <v>Mamdc4</v>
      </c>
      <c r="B12410" t="s">
        <v>13</v>
      </c>
      <c r="C12410" t="s">
        <v>26</v>
      </c>
      <c r="D12410" t="s">
        <v>11</v>
      </c>
      <c r="E12410" t="s">
        <v>12</v>
      </c>
      <c r="F12410">
        <v>25574845</v>
      </c>
      <c r="G12410">
        <v>25574878</v>
      </c>
      <c r="H12410">
        <v>25574845</v>
      </c>
      <c r="I12410">
        <v>25574878</v>
      </c>
    </row>
    <row r="12411" spans="1:9" x14ac:dyDescent="0.2">
      <c r="A12411" t="str">
        <f>"Maml1"</f>
        <v>Maml1</v>
      </c>
      <c r="B12411" t="s">
        <v>14</v>
      </c>
      <c r="C12411" t="s">
        <v>27</v>
      </c>
      <c r="D12411" t="s">
        <v>11</v>
      </c>
      <c r="E12411" t="s">
        <v>12</v>
      </c>
      <c r="F12411">
        <v>50292302</v>
      </c>
      <c r="G12411">
        <v>50292363</v>
      </c>
      <c r="H12411">
        <v>50292296</v>
      </c>
      <c r="I12411">
        <v>50292299</v>
      </c>
    </row>
    <row r="12412" spans="1:9" x14ac:dyDescent="0.2">
      <c r="A12412" t="str">
        <f>"Maml2"</f>
        <v>Maml2</v>
      </c>
      <c r="B12412" t="s">
        <v>14</v>
      </c>
      <c r="C12412" t="s">
        <v>24</v>
      </c>
      <c r="D12412" t="s">
        <v>17</v>
      </c>
      <c r="E12412" t="s">
        <v>12</v>
      </c>
      <c r="F12412">
        <v>13662193</v>
      </c>
      <c r="G12412">
        <v>13662194</v>
      </c>
      <c r="H12412">
        <v>13662193</v>
      </c>
      <c r="I12412">
        <v>13662194</v>
      </c>
    </row>
    <row r="12413" spans="1:9" x14ac:dyDescent="0.2">
      <c r="A12413" t="str">
        <f>"Maml3"</f>
        <v>Maml3</v>
      </c>
      <c r="B12413" t="s">
        <v>14</v>
      </c>
      <c r="C12413" t="s">
        <v>22</v>
      </c>
      <c r="D12413" t="s">
        <v>11</v>
      </c>
      <c r="E12413" t="s">
        <v>12</v>
      </c>
      <c r="F12413">
        <v>52104984</v>
      </c>
      <c r="G12413">
        <v>52105032</v>
      </c>
      <c r="H12413">
        <v>52104903</v>
      </c>
      <c r="I12413">
        <v>52104922</v>
      </c>
    </row>
    <row r="12414" spans="1:9" x14ac:dyDescent="0.2">
      <c r="A12414" t="str">
        <f>"Mamld1"</f>
        <v>Mamld1</v>
      </c>
      <c r="B12414" t="s">
        <v>14</v>
      </c>
      <c r="C12414" t="s">
        <v>37</v>
      </c>
      <c r="D12414" t="s">
        <v>17</v>
      </c>
      <c r="E12414" t="s">
        <v>12</v>
      </c>
      <c r="F12414">
        <v>71050126</v>
      </c>
      <c r="G12414">
        <v>71050144</v>
      </c>
      <c r="H12414">
        <v>71050065</v>
      </c>
      <c r="I12414">
        <v>71050125</v>
      </c>
    </row>
    <row r="12415" spans="1:9" x14ac:dyDescent="0.2">
      <c r="A12415" t="str">
        <f>"Mamstr"</f>
        <v>Mamstr</v>
      </c>
      <c r="B12415" t="s">
        <v>14</v>
      </c>
      <c r="C12415" t="s">
        <v>33</v>
      </c>
      <c r="D12415" t="s">
        <v>17</v>
      </c>
      <c r="E12415" t="s">
        <v>12</v>
      </c>
      <c r="F12415">
        <v>45641739</v>
      </c>
      <c r="G12415">
        <v>45641787</v>
      </c>
      <c r="H12415">
        <v>45641739</v>
      </c>
      <c r="I12415">
        <v>45641787</v>
      </c>
    </row>
    <row r="12416" spans="1:9" x14ac:dyDescent="0.2">
      <c r="A12416" t="str">
        <f>"Man1a"</f>
        <v>Man1a</v>
      </c>
      <c r="B12416" t="s">
        <v>14</v>
      </c>
      <c r="C12416" t="s">
        <v>15</v>
      </c>
      <c r="D12416" t="s">
        <v>11</v>
      </c>
      <c r="E12416" t="s">
        <v>12</v>
      </c>
      <c r="F12416">
        <v>54075730</v>
      </c>
      <c r="G12416">
        <v>54075751</v>
      </c>
      <c r="H12416">
        <v>54075702</v>
      </c>
      <c r="I12416">
        <v>54075718</v>
      </c>
    </row>
    <row r="12417" spans="1:9" x14ac:dyDescent="0.2">
      <c r="A12417" t="str">
        <f>"Man1a2"</f>
        <v>Man1a2</v>
      </c>
      <c r="B12417" t="s">
        <v>14</v>
      </c>
      <c r="C12417" t="s">
        <v>22</v>
      </c>
      <c r="D12417" t="s">
        <v>11</v>
      </c>
      <c r="E12417" t="s">
        <v>12</v>
      </c>
      <c r="F12417">
        <v>100685431</v>
      </c>
      <c r="G12417">
        <v>100685494</v>
      </c>
      <c r="H12417">
        <v>100685919</v>
      </c>
      <c r="I12417">
        <v>100686013</v>
      </c>
    </row>
    <row r="12418" spans="1:9" x14ac:dyDescent="0.2">
      <c r="A12418" t="str">
        <f>"Man1b1"</f>
        <v>Man1b1</v>
      </c>
      <c r="B12418" t="s">
        <v>14</v>
      </c>
      <c r="C12418" t="s">
        <v>26</v>
      </c>
      <c r="D12418" t="s">
        <v>17</v>
      </c>
      <c r="E12418" t="s">
        <v>12</v>
      </c>
      <c r="F12418">
        <v>25332732</v>
      </c>
      <c r="G12418">
        <v>25332782</v>
      </c>
      <c r="H12418">
        <v>25332799</v>
      </c>
      <c r="I12418">
        <v>25332810</v>
      </c>
    </row>
    <row r="12419" spans="1:9" x14ac:dyDescent="0.2">
      <c r="A12419" t="str">
        <f>"Man1c1"</f>
        <v>Man1c1</v>
      </c>
      <c r="B12419" t="s">
        <v>14</v>
      </c>
      <c r="C12419" t="s">
        <v>23</v>
      </c>
      <c r="D12419" t="s">
        <v>11</v>
      </c>
      <c r="E12419" t="s">
        <v>12</v>
      </c>
      <c r="F12419">
        <v>134704235</v>
      </c>
      <c r="G12419">
        <v>134704295</v>
      </c>
      <c r="H12419">
        <v>134703786</v>
      </c>
      <c r="I12419">
        <v>134703795</v>
      </c>
    </row>
    <row r="12420" spans="1:9" x14ac:dyDescent="0.2">
      <c r="A12420" t="str">
        <f>"Man2a1"</f>
        <v>Man2a1</v>
      </c>
      <c r="B12420" t="s">
        <v>14</v>
      </c>
      <c r="C12420" t="s">
        <v>28</v>
      </c>
      <c r="D12420" t="s">
        <v>17</v>
      </c>
      <c r="E12420" t="s">
        <v>12</v>
      </c>
      <c r="F12420">
        <v>64600740</v>
      </c>
      <c r="G12420">
        <v>64600764</v>
      </c>
      <c r="H12420">
        <v>64600702</v>
      </c>
      <c r="I12420">
        <v>64600739</v>
      </c>
    </row>
    <row r="12421" spans="1:9" x14ac:dyDescent="0.2">
      <c r="A12421" t="str">
        <f>"Man2a2"</f>
        <v>Man2a2</v>
      </c>
      <c r="B12421" t="s">
        <v>14</v>
      </c>
      <c r="C12421" t="s">
        <v>33</v>
      </c>
      <c r="D12421" t="s">
        <v>11</v>
      </c>
      <c r="E12421" t="s">
        <v>12</v>
      </c>
      <c r="F12421">
        <v>80371197</v>
      </c>
      <c r="G12421">
        <v>80371368</v>
      </c>
      <c r="H12421">
        <v>80371482</v>
      </c>
      <c r="I12421">
        <v>80371497</v>
      </c>
    </row>
    <row r="12422" spans="1:9" x14ac:dyDescent="0.2">
      <c r="A12422" t="str">
        <f>"Man2b1"</f>
        <v>Man2b1</v>
      </c>
      <c r="B12422" t="s">
        <v>14</v>
      </c>
      <c r="C12422" t="s">
        <v>30</v>
      </c>
      <c r="D12422" t="s">
        <v>17</v>
      </c>
      <c r="E12422" t="s">
        <v>12</v>
      </c>
      <c r="F12422">
        <v>85083303</v>
      </c>
      <c r="G12422">
        <v>85083323</v>
      </c>
      <c r="H12422">
        <v>85083269</v>
      </c>
      <c r="I12422">
        <v>85083297</v>
      </c>
    </row>
    <row r="12423" spans="1:9" x14ac:dyDescent="0.2">
      <c r="A12423" t="str">
        <f>"Man2b2"</f>
        <v>Man2b2</v>
      </c>
      <c r="B12423" t="s">
        <v>14</v>
      </c>
      <c r="C12423" t="s">
        <v>46</v>
      </c>
      <c r="D12423" t="s">
        <v>11</v>
      </c>
      <c r="E12423" t="s">
        <v>12</v>
      </c>
      <c r="F12423">
        <v>36830573</v>
      </c>
      <c r="G12423">
        <v>36830646</v>
      </c>
      <c r="H12423">
        <v>36830647</v>
      </c>
      <c r="I12423">
        <v>36830657</v>
      </c>
    </row>
    <row r="12424" spans="1:9" x14ac:dyDescent="0.2">
      <c r="A12424" t="str">
        <f>"Man2c1"</f>
        <v>Man2c1</v>
      </c>
      <c r="B12424" t="s">
        <v>14</v>
      </c>
      <c r="C12424" t="s">
        <v>24</v>
      </c>
      <c r="D12424" t="s">
        <v>17</v>
      </c>
      <c r="E12424" t="s">
        <v>12</v>
      </c>
      <c r="F12424">
        <v>57130742</v>
      </c>
      <c r="G12424">
        <v>57130793</v>
      </c>
      <c r="H12424">
        <v>57130686</v>
      </c>
      <c r="I12424">
        <v>57130689</v>
      </c>
    </row>
    <row r="12425" spans="1:9" x14ac:dyDescent="0.2">
      <c r="A12425" t="str">
        <f>"Manba"</f>
        <v>Manba</v>
      </c>
      <c r="B12425" t="s">
        <v>14</v>
      </c>
      <c r="C12425" t="s">
        <v>22</v>
      </c>
      <c r="D12425" t="s">
        <v>17</v>
      </c>
      <c r="E12425" t="s">
        <v>12</v>
      </c>
      <c r="F12425">
        <v>135485605</v>
      </c>
      <c r="G12425">
        <v>135485668</v>
      </c>
      <c r="H12425">
        <v>135485605</v>
      </c>
      <c r="I12425">
        <v>135485668</v>
      </c>
    </row>
    <row r="12426" spans="1:9" x14ac:dyDescent="0.2">
      <c r="A12426" t="str">
        <f>"Manbal"</f>
        <v>Manbal</v>
      </c>
      <c r="B12426" t="s">
        <v>14</v>
      </c>
      <c r="C12426" t="s">
        <v>26</v>
      </c>
      <c r="D12426" t="s">
        <v>17</v>
      </c>
      <c r="E12426" t="s">
        <v>12</v>
      </c>
      <c r="F12426">
        <v>157367601</v>
      </c>
      <c r="G12426">
        <v>157367623</v>
      </c>
      <c r="H12426">
        <v>157367588</v>
      </c>
      <c r="I12426">
        <v>157367599</v>
      </c>
    </row>
    <row r="12427" spans="1:9" x14ac:dyDescent="0.2">
      <c r="A12427" t="str">
        <f>"Manea"</f>
        <v>Manea</v>
      </c>
      <c r="B12427" t="s">
        <v>14</v>
      </c>
      <c r="C12427" t="s">
        <v>23</v>
      </c>
      <c r="D12427" t="s">
        <v>11</v>
      </c>
      <c r="E12427" t="s">
        <v>12</v>
      </c>
      <c r="F12427">
        <v>26346841</v>
      </c>
      <c r="G12427">
        <v>26346874</v>
      </c>
      <c r="H12427">
        <v>26346635</v>
      </c>
      <c r="I12427">
        <v>26346678</v>
      </c>
    </row>
    <row r="12428" spans="1:9" x14ac:dyDescent="0.2">
      <c r="A12428" t="str">
        <f>"Maneal"</f>
        <v>Maneal</v>
      </c>
      <c r="B12428" t="s">
        <v>14</v>
      </c>
      <c r="C12428" t="s">
        <v>23</v>
      </c>
      <c r="D12428" t="s">
        <v>11</v>
      </c>
      <c r="E12428" t="s">
        <v>12</v>
      </c>
      <c r="F12428">
        <v>124862207</v>
      </c>
      <c r="G12428">
        <v>124862261</v>
      </c>
      <c r="H12428">
        <v>124862263</v>
      </c>
      <c r="I12428">
        <v>124862300</v>
      </c>
    </row>
    <row r="12429" spans="1:9" x14ac:dyDescent="0.2">
      <c r="A12429" t="str">
        <f>"Manf"</f>
        <v>Manf</v>
      </c>
      <c r="B12429" t="s">
        <v>14</v>
      </c>
      <c r="C12429" t="s">
        <v>24</v>
      </c>
      <c r="D12429" t="s">
        <v>11</v>
      </c>
      <c r="E12429" t="s">
        <v>12</v>
      </c>
      <c r="F12429">
        <v>106891931</v>
      </c>
      <c r="G12429">
        <v>106891947</v>
      </c>
      <c r="H12429">
        <v>106891908</v>
      </c>
      <c r="I12429">
        <v>106891920</v>
      </c>
    </row>
    <row r="12430" spans="1:9" x14ac:dyDescent="0.2">
      <c r="A12430" t="str">
        <f>"Mansc1"</f>
        <v>Mansc1</v>
      </c>
      <c r="B12430" t="s">
        <v>14</v>
      </c>
      <c r="C12430" t="s">
        <v>32</v>
      </c>
      <c r="D12430" t="s">
        <v>11</v>
      </c>
      <c r="E12430" t="s">
        <v>12</v>
      </c>
      <c r="F12430">
        <v>134632388</v>
      </c>
      <c r="G12430">
        <v>134632404</v>
      </c>
      <c r="H12430">
        <v>134632362</v>
      </c>
      <c r="I12430">
        <v>134632380</v>
      </c>
    </row>
    <row r="12431" spans="1:9" x14ac:dyDescent="0.2">
      <c r="A12431" t="str">
        <f>"Mansc4"</f>
        <v>Mansc4</v>
      </c>
      <c r="B12431" t="s">
        <v>14</v>
      </c>
      <c r="C12431" t="s">
        <v>32</v>
      </c>
      <c r="D12431" t="s">
        <v>11</v>
      </c>
      <c r="E12431" t="s">
        <v>67</v>
      </c>
      <c r="F12431">
        <v>147086965</v>
      </c>
      <c r="G12431">
        <v>147087002</v>
      </c>
      <c r="H12431">
        <v>147087023</v>
      </c>
      <c r="I12431">
        <v>147087037</v>
      </c>
    </row>
    <row r="12432" spans="1:9" x14ac:dyDescent="0.2">
      <c r="A12432" t="str">
        <f>"Maoa"</f>
        <v>Maoa</v>
      </c>
      <c r="B12432" t="s">
        <v>14</v>
      </c>
      <c r="C12432" t="s">
        <v>37</v>
      </c>
      <c r="D12432" t="s">
        <v>17</v>
      </c>
      <c r="E12432" t="s">
        <v>12</v>
      </c>
      <c r="F12432">
        <v>16619824</v>
      </c>
      <c r="G12432">
        <v>16619842</v>
      </c>
      <c r="H12432">
        <v>16619824</v>
      </c>
      <c r="I12432">
        <v>16619842</v>
      </c>
    </row>
    <row r="12433" spans="1:9" x14ac:dyDescent="0.2">
      <c r="A12433" t="str">
        <f>"Maob"</f>
        <v>Maob</v>
      </c>
      <c r="B12433" t="s">
        <v>14</v>
      </c>
      <c r="C12433" t="s">
        <v>37</v>
      </c>
      <c r="D12433" t="s">
        <v>11</v>
      </c>
      <c r="E12433" t="s">
        <v>12</v>
      </c>
      <c r="F12433">
        <v>16817339</v>
      </c>
      <c r="G12433">
        <v>16817373</v>
      </c>
      <c r="H12433">
        <v>16817380</v>
      </c>
      <c r="I12433">
        <v>16817403</v>
      </c>
    </row>
    <row r="12434" spans="1:9" x14ac:dyDescent="0.2">
      <c r="A12434" t="str">
        <f>"Map10"</f>
        <v>Map10</v>
      </c>
      <c r="B12434" t="s">
        <v>14</v>
      </c>
      <c r="C12434" t="s">
        <v>30</v>
      </c>
      <c r="D12434" t="s">
        <v>17</v>
      </c>
      <c r="E12434" t="s">
        <v>67</v>
      </c>
      <c r="F12434">
        <v>125669828</v>
      </c>
      <c r="G12434">
        <v>125669875</v>
      </c>
      <c r="H12434">
        <v>125669812</v>
      </c>
      <c r="I12434">
        <v>125669824</v>
      </c>
    </row>
    <row r="12435" spans="1:9" x14ac:dyDescent="0.2">
      <c r="A12435" t="str">
        <f>"Map1a"</f>
        <v>Map1a</v>
      </c>
      <c r="B12435" t="s">
        <v>4290</v>
      </c>
      <c r="C12435" t="s">
        <v>26</v>
      </c>
      <c r="D12435" t="s">
        <v>17</v>
      </c>
      <c r="E12435" t="s">
        <v>35</v>
      </c>
      <c r="F12435">
        <v>121289589</v>
      </c>
      <c r="G12435">
        <v>121289606</v>
      </c>
      <c r="H12435">
        <v>121289722</v>
      </c>
      <c r="I12435">
        <v>121289736</v>
      </c>
    </row>
    <row r="12436" spans="1:9" x14ac:dyDescent="0.2">
      <c r="A12436" t="str">
        <f>"Map1b"</f>
        <v>Map1b</v>
      </c>
      <c r="B12436" t="s">
        <v>14</v>
      </c>
      <c r="C12436" t="s">
        <v>39</v>
      </c>
      <c r="D12436" t="s">
        <v>11</v>
      </c>
      <c r="E12436" t="s">
        <v>67</v>
      </c>
      <c r="F12436">
        <v>99516537</v>
      </c>
      <c r="G12436">
        <v>99516579</v>
      </c>
      <c r="H12436">
        <v>99516512</v>
      </c>
      <c r="I12436">
        <v>99516523</v>
      </c>
    </row>
    <row r="12437" spans="1:9" x14ac:dyDescent="0.2">
      <c r="A12437" t="str">
        <f>"Map1lc3a"</f>
        <v>Map1lc3a</v>
      </c>
      <c r="B12437" t="s">
        <v>14</v>
      </c>
      <c r="C12437" t="s">
        <v>26</v>
      </c>
      <c r="D12437" t="s">
        <v>17</v>
      </c>
      <c r="E12437" t="s">
        <v>12</v>
      </c>
      <c r="F12437">
        <v>155276418</v>
      </c>
      <c r="G12437">
        <v>155276474</v>
      </c>
      <c r="H12437">
        <v>155276480</v>
      </c>
      <c r="I12437">
        <v>155276494</v>
      </c>
    </row>
    <row r="12438" spans="1:9" x14ac:dyDescent="0.2">
      <c r="A12438" t="str">
        <f>"Map1lc3b"</f>
        <v>Map1lc3b</v>
      </c>
      <c r="B12438" t="s">
        <v>14</v>
      </c>
      <c r="C12438" t="s">
        <v>30</v>
      </c>
      <c r="D12438" t="s">
        <v>17</v>
      </c>
      <c r="E12438" t="s">
        <v>12</v>
      </c>
      <c r="F12438">
        <v>121590424</v>
      </c>
      <c r="G12438">
        <v>121590469</v>
      </c>
      <c r="H12438">
        <v>121590342</v>
      </c>
      <c r="I12438">
        <v>121590377</v>
      </c>
    </row>
    <row r="12439" spans="1:9" x14ac:dyDescent="0.2">
      <c r="A12439" t="str">
        <f>"Map1s"</f>
        <v>Map1s</v>
      </c>
      <c r="B12439" t="s">
        <v>14</v>
      </c>
      <c r="C12439" t="s">
        <v>30</v>
      </c>
      <c r="D12439" t="s">
        <v>17</v>
      </c>
      <c r="E12439" t="s">
        <v>67</v>
      </c>
      <c r="F12439">
        <v>70905970</v>
      </c>
      <c r="G12439">
        <v>70906017</v>
      </c>
      <c r="H12439">
        <v>70905970</v>
      </c>
      <c r="I12439">
        <v>70906017</v>
      </c>
    </row>
    <row r="12440" spans="1:9" x14ac:dyDescent="0.2">
      <c r="A12440" t="str">
        <f>"Map2"</f>
        <v>Map2</v>
      </c>
      <c r="B12440" t="s">
        <v>9</v>
      </c>
      <c r="C12440" t="s">
        <v>19</v>
      </c>
      <c r="D12440" t="s">
        <v>17</v>
      </c>
      <c r="E12440" t="s">
        <v>67</v>
      </c>
      <c r="F12440">
        <v>66175286</v>
      </c>
      <c r="G12440">
        <v>66175348</v>
      </c>
      <c r="H12440">
        <v>66175286</v>
      </c>
      <c r="I12440">
        <v>66175348</v>
      </c>
    </row>
    <row r="12441" spans="1:9" x14ac:dyDescent="0.2">
      <c r="A12441" t="str">
        <f>"Map2"</f>
        <v>Map2</v>
      </c>
      <c r="B12441" t="s">
        <v>13</v>
      </c>
      <c r="C12441" t="s">
        <v>19</v>
      </c>
      <c r="D12441" t="s">
        <v>17</v>
      </c>
      <c r="E12441" t="s">
        <v>67</v>
      </c>
      <c r="F12441">
        <v>66321991</v>
      </c>
      <c r="G12441">
        <v>66322012</v>
      </c>
      <c r="H12441">
        <v>66321991</v>
      </c>
      <c r="I12441">
        <v>66322012</v>
      </c>
    </row>
    <row r="12442" spans="1:9" x14ac:dyDescent="0.2">
      <c r="A12442" t="str">
        <f>"Map2k1"</f>
        <v>Map2k1</v>
      </c>
      <c r="B12442" t="s">
        <v>14</v>
      </c>
      <c r="C12442" t="s">
        <v>24</v>
      </c>
      <c r="D12442" t="s">
        <v>11</v>
      </c>
      <c r="E12442" t="s">
        <v>12</v>
      </c>
      <c r="F12442">
        <v>64253568</v>
      </c>
      <c r="G12442">
        <v>64253614</v>
      </c>
      <c r="H12442">
        <v>64253617</v>
      </c>
      <c r="I12442">
        <v>64253635</v>
      </c>
    </row>
    <row r="12443" spans="1:9" x14ac:dyDescent="0.2">
      <c r="A12443" t="str">
        <f>"Map2k2"</f>
        <v>Map2k2</v>
      </c>
      <c r="B12443" t="s">
        <v>14</v>
      </c>
      <c r="C12443" t="s">
        <v>15</v>
      </c>
      <c r="D12443" t="s">
        <v>17</v>
      </c>
      <c r="E12443" t="s">
        <v>12</v>
      </c>
      <c r="F12443">
        <v>81105933</v>
      </c>
      <c r="G12443">
        <v>81106004</v>
      </c>
      <c r="H12443">
        <v>81105918</v>
      </c>
      <c r="I12443">
        <v>81105932</v>
      </c>
    </row>
    <row r="12444" spans="1:9" x14ac:dyDescent="0.2">
      <c r="A12444" t="str">
        <f>"Map2k3"</f>
        <v>Map2k3</v>
      </c>
      <c r="B12444" t="s">
        <v>14</v>
      </c>
      <c r="C12444" t="s">
        <v>27</v>
      </c>
      <c r="D12444" t="s">
        <v>17</v>
      </c>
      <c r="E12444" t="s">
        <v>12</v>
      </c>
      <c r="F12444">
        <v>60932045</v>
      </c>
      <c r="G12444">
        <v>60932123</v>
      </c>
      <c r="H12444">
        <v>60931998</v>
      </c>
      <c r="I12444">
        <v>60932038</v>
      </c>
    </row>
    <row r="12445" spans="1:9" x14ac:dyDescent="0.2">
      <c r="A12445" t="str">
        <f>"Map2k4"</f>
        <v>Map2k4</v>
      </c>
      <c r="B12445" t="s">
        <v>14</v>
      </c>
      <c r="C12445" t="s">
        <v>27</v>
      </c>
      <c r="D12445" t="s">
        <v>11</v>
      </c>
      <c r="E12445" t="s">
        <v>12</v>
      </c>
      <c r="F12445">
        <v>65788275</v>
      </c>
      <c r="G12445">
        <v>65788318</v>
      </c>
      <c r="H12445">
        <v>65788247</v>
      </c>
      <c r="I12445">
        <v>65788260</v>
      </c>
    </row>
    <row r="12446" spans="1:9" x14ac:dyDescent="0.2">
      <c r="A12446" t="str">
        <f>"Map2k5"</f>
        <v>Map2k5</v>
      </c>
      <c r="B12446" t="s">
        <v>14</v>
      </c>
      <c r="C12446" t="s">
        <v>24</v>
      </c>
      <c r="D12446" t="s">
        <v>11</v>
      </c>
      <c r="E12446" t="s">
        <v>12</v>
      </c>
      <c r="F12446">
        <v>63377835</v>
      </c>
      <c r="G12446">
        <v>63377914</v>
      </c>
      <c r="H12446">
        <v>63377624</v>
      </c>
      <c r="I12446">
        <v>63377766</v>
      </c>
    </row>
    <row r="12447" spans="1:9" x14ac:dyDescent="0.2">
      <c r="A12447" t="str">
        <f>"Map2k6"</f>
        <v>Map2k6</v>
      </c>
      <c r="B12447" t="s">
        <v>14</v>
      </c>
      <c r="C12447" t="s">
        <v>27</v>
      </c>
      <c r="D12447" t="s">
        <v>17</v>
      </c>
      <c r="E12447" t="s">
        <v>12</v>
      </c>
      <c r="F12447">
        <v>110399115</v>
      </c>
      <c r="G12447">
        <v>110399155</v>
      </c>
      <c r="H12447">
        <v>110399161</v>
      </c>
      <c r="I12447">
        <v>110399173</v>
      </c>
    </row>
    <row r="12448" spans="1:9" x14ac:dyDescent="0.2">
      <c r="A12448" t="str">
        <f>"Map2k7"</f>
        <v>Map2k7</v>
      </c>
      <c r="B12448" t="s">
        <v>14</v>
      </c>
      <c r="C12448" t="s">
        <v>30</v>
      </c>
      <c r="D12448" t="s">
        <v>17</v>
      </c>
      <c r="E12448" t="s">
        <v>12</v>
      </c>
      <c r="F12448">
        <v>4238815</v>
      </c>
      <c r="G12448">
        <v>4238886</v>
      </c>
      <c r="H12448">
        <v>4238733</v>
      </c>
      <c r="I12448">
        <v>4238767</v>
      </c>
    </row>
    <row r="12449" spans="1:9" x14ac:dyDescent="0.2">
      <c r="A12449" t="str">
        <f>"Map3k1"</f>
        <v>Map3k1</v>
      </c>
      <c r="B12449" t="s">
        <v>14</v>
      </c>
      <c r="C12449" t="s">
        <v>39</v>
      </c>
      <c r="D12449" t="s">
        <v>11</v>
      </c>
      <c r="E12449" t="s">
        <v>12</v>
      </c>
      <c r="F12449">
        <v>111808938</v>
      </c>
      <c r="G12449">
        <v>111809018</v>
      </c>
      <c r="H12449">
        <v>111808684</v>
      </c>
      <c r="I12449">
        <v>111808701</v>
      </c>
    </row>
    <row r="12450" spans="1:9" x14ac:dyDescent="0.2">
      <c r="A12450" t="str">
        <f>"Map3k10"</f>
        <v>Map3k10</v>
      </c>
      <c r="B12450" t="s">
        <v>14</v>
      </c>
      <c r="C12450" t="s">
        <v>33</v>
      </c>
      <c r="D12450" t="s">
        <v>11</v>
      </c>
      <c r="E12450" t="s">
        <v>12</v>
      </c>
      <c r="F12450">
        <v>27674516</v>
      </c>
      <c r="G12450">
        <v>27674630</v>
      </c>
      <c r="H12450">
        <v>27674356</v>
      </c>
      <c r="I12450">
        <v>27674375</v>
      </c>
    </row>
    <row r="12451" spans="1:9" x14ac:dyDescent="0.2">
      <c r="A12451" t="str">
        <f>"Map3k11"</f>
        <v>Map3k11</v>
      </c>
      <c r="B12451" t="s">
        <v>9</v>
      </c>
      <c r="C12451" t="s">
        <v>10</v>
      </c>
      <c r="D12451" t="s">
        <v>17</v>
      </c>
      <c r="E12451" t="s">
        <v>12</v>
      </c>
      <c r="F12451">
        <v>5689745</v>
      </c>
      <c r="G12451">
        <v>5689823</v>
      </c>
      <c r="H12451">
        <v>5689745</v>
      </c>
      <c r="I12451">
        <v>5689823</v>
      </c>
    </row>
    <row r="12452" spans="1:9" x14ac:dyDescent="0.2">
      <c r="A12452" t="str">
        <f>"Map3k11"</f>
        <v>Map3k11</v>
      </c>
      <c r="B12452" t="s">
        <v>13</v>
      </c>
      <c r="C12452" t="s">
        <v>10</v>
      </c>
      <c r="D12452" t="s">
        <v>17</v>
      </c>
      <c r="E12452" t="s">
        <v>12</v>
      </c>
      <c r="F12452">
        <v>5688723</v>
      </c>
      <c r="G12452">
        <v>5688770</v>
      </c>
      <c r="H12452">
        <v>5688723</v>
      </c>
      <c r="I12452">
        <v>5688770</v>
      </c>
    </row>
    <row r="12453" spans="1:9" x14ac:dyDescent="0.2">
      <c r="A12453" t="str">
        <f>"Map3k12"</f>
        <v>Map3k12</v>
      </c>
      <c r="B12453" t="s">
        <v>14</v>
      </c>
      <c r="C12453" t="s">
        <v>25</v>
      </c>
      <c r="D12453" t="s">
        <v>11</v>
      </c>
      <c r="E12453" t="s">
        <v>12</v>
      </c>
      <c r="F12453">
        <v>102516806</v>
      </c>
      <c r="G12453">
        <v>102516855</v>
      </c>
      <c r="H12453">
        <v>102516999</v>
      </c>
      <c r="I12453">
        <v>102517048</v>
      </c>
    </row>
    <row r="12454" spans="1:9" x14ac:dyDescent="0.2">
      <c r="A12454" t="str">
        <f>"Map3k13"</f>
        <v>Map3k13</v>
      </c>
      <c r="B12454" t="s">
        <v>4291</v>
      </c>
      <c r="C12454" t="s">
        <v>31</v>
      </c>
      <c r="D12454" t="s">
        <v>17</v>
      </c>
      <c r="E12454" t="s">
        <v>20</v>
      </c>
      <c r="F12454">
        <v>21891968</v>
      </c>
      <c r="G12454">
        <v>21891968</v>
      </c>
      <c r="H12454">
        <v>21891968</v>
      </c>
      <c r="I12454">
        <v>21891968</v>
      </c>
    </row>
    <row r="12455" spans="1:9" x14ac:dyDescent="0.2">
      <c r="A12455" t="str">
        <f>"Map3k14"</f>
        <v>Map3k14</v>
      </c>
      <c r="B12455" t="s">
        <v>14</v>
      </c>
      <c r="C12455" t="s">
        <v>27</v>
      </c>
      <c r="D12455" t="s">
        <v>11</v>
      </c>
      <c r="E12455" t="s">
        <v>12</v>
      </c>
      <c r="F12455">
        <v>103267364</v>
      </c>
      <c r="G12455">
        <v>103267391</v>
      </c>
      <c r="H12455">
        <v>103267393</v>
      </c>
      <c r="I12455">
        <v>103267404</v>
      </c>
    </row>
    <row r="12456" spans="1:9" x14ac:dyDescent="0.2">
      <c r="A12456" t="str">
        <f>"Map3k15"</f>
        <v>Map3k15</v>
      </c>
      <c r="B12456" t="s">
        <v>14</v>
      </c>
      <c r="C12456" t="s">
        <v>37</v>
      </c>
      <c r="D12456" t="s">
        <v>17</v>
      </c>
      <c r="E12456" t="s">
        <v>12</v>
      </c>
      <c r="F12456">
        <v>159988223</v>
      </c>
      <c r="G12456">
        <v>159988251</v>
      </c>
      <c r="H12456">
        <v>159988191</v>
      </c>
      <c r="I12456">
        <v>159988217</v>
      </c>
    </row>
    <row r="12457" spans="1:9" x14ac:dyDescent="0.2">
      <c r="A12457" t="str">
        <f>"Map3k19"</f>
        <v>Map3k19</v>
      </c>
      <c r="B12457" t="s">
        <v>4292</v>
      </c>
      <c r="C12457" t="s">
        <v>19</v>
      </c>
      <c r="D12457" t="s">
        <v>11</v>
      </c>
      <c r="E12457" t="s">
        <v>20</v>
      </c>
      <c r="F12457">
        <v>127840289</v>
      </c>
      <c r="G12457">
        <v>127840289</v>
      </c>
      <c r="H12457">
        <v>127840289</v>
      </c>
      <c r="I12457">
        <v>127840289</v>
      </c>
    </row>
    <row r="12458" spans="1:9" x14ac:dyDescent="0.2">
      <c r="A12458" t="str">
        <f>"Map3k2"</f>
        <v>Map3k2</v>
      </c>
      <c r="B12458" t="s">
        <v>14</v>
      </c>
      <c r="C12458" t="s">
        <v>43</v>
      </c>
      <c r="D12458" t="s">
        <v>17</v>
      </c>
      <c r="E12458" t="s">
        <v>12</v>
      </c>
      <c r="F12458">
        <v>32163073</v>
      </c>
      <c r="G12458">
        <v>32163115</v>
      </c>
      <c r="H12458">
        <v>32163062</v>
      </c>
      <c r="I12458">
        <v>32163069</v>
      </c>
    </row>
    <row r="12459" spans="1:9" x14ac:dyDescent="0.2">
      <c r="A12459" t="str">
        <f>"Map3k3"</f>
        <v>Map3k3</v>
      </c>
      <c r="B12459" t="s">
        <v>14</v>
      </c>
      <c r="C12459" t="s">
        <v>27</v>
      </c>
      <c r="D12459" t="s">
        <v>17</v>
      </c>
      <c r="E12459" t="s">
        <v>12</v>
      </c>
      <c r="F12459">
        <v>106084577</v>
      </c>
      <c r="G12459">
        <v>106084623</v>
      </c>
      <c r="H12459">
        <v>106084545</v>
      </c>
      <c r="I12459">
        <v>106084559</v>
      </c>
    </row>
    <row r="12460" spans="1:9" x14ac:dyDescent="0.2">
      <c r="A12460" t="str">
        <f>"Map3k4"</f>
        <v>Map3k4</v>
      </c>
      <c r="B12460" t="s">
        <v>4293</v>
      </c>
      <c r="C12460" t="s">
        <v>28</v>
      </c>
      <c r="D12460" t="s">
        <v>17</v>
      </c>
      <c r="E12460" t="s">
        <v>20</v>
      </c>
      <c r="F12460">
        <v>12232480</v>
      </c>
      <c r="G12460">
        <v>12232480</v>
      </c>
      <c r="H12460">
        <v>12232480</v>
      </c>
      <c r="I12460">
        <v>12232480</v>
      </c>
    </row>
    <row r="12461" spans="1:9" x14ac:dyDescent="0.2">
      <c r="A12461" t="str">
        <f>"Map3k5"</f>
        <v>Map3k5</v>
      </c>
      <c r="B12461" t="s">
        <v>14</v>
      </c>
      <c r="C12461" t="s">
        <v>15</v>
      </c>
      <c r="D12461" t="s">
        <v>17</v>
      </c>
      <c r="E12461" t="s">
        <v>12</v>
      </c>
      <c r="F12461">
        <v>19934234</v>
      </c>
      <c r="G12461">
        <v>19934286</v>
      </c>
      <c r="H12461">
        <v>19934320</v>
      </c>
      <c r="I12461">
        <v>19934367</v>
      </c>
    </row>
    <row r="12462" spans="1:9" x14ac:dyDescent="0.2">
      <c r="A12462" t="str">
        <f>"Map3k6"</f>
        <v>Map3k6</v>
      </c>
      <c r="B12462" t="s">
        <v>9</v>
      </c>
      <c r="C12462" t="s">
        <v>23</v>
      </c>
      <c r="D12462" t="s">
        <v>17</v>
      </c>
      <c r="E12462" t="s">
        <v>12</v>
      </c>
      <c r="F12462">
        <v>133240778</v>
      </c>
      <c r="G12462">
        <v>133240827</v>
      </c>
      <c r="H12462">
        <v>133240778</v>
      </c>
      <c r="I12462">
        <v>133240827</v>
      </c>
    </row>
    <row r="12463" spans="1:9" x14ac:dyDescent="0.2">
      <c r="A12463" t="str">
        <f>"Map3k6"</f>
        <v>Map3k6</v>
      </c>
      <c r="B12463" t="s">
        <v>13</v>
      </c>
      <c r="C12463" t="s">
        <v>23</v>
      </c>
      <c r="D12463" t="s">
        <v>17</v>
      </c>
      <c r="E12463" t="s">
        <v>12</v>
      </c>
      <c r="F12463">
        <v>133250872</v>
      </c>
      <c r="G12463">
        <v>133250883</v>
      </c>
      <c r="H12463">
        <v>133250872</v>
      </c>
      <c r="I12463">
        <v>133250883</v>
      </c>
    </row>
    <row r="12464" spans="1:9" x14ac:dyDescent="0.2">
      <c r="A12464" t="str">
        <f>"Map3k7"</f>
        <v>Map3k7</v>
      </c>
      <c r="B12464" t="s">
        <v>14</v>
      </c>
      <c r="C12464" t="s">
        <v>23</v>
      </c>
      <c r="D12464" t="s">
        <v>17</v>
      </c>
      <c r="E12464" t="s">
        <v>12</v>
      </c>
      <c r="F12464">
        <v>31964081</v>
      </c>
      <c r="G12464">
        <v>31964160</v>
      </c>
      <c r="H12464">
        <v>31963922</v>
      </c>
      <c r="I12464">
        <v>31963980</v>
      </c>
    </row>
    <row r="12465" spans="1:9" x14ac:dyDescent="0.2">
      <c r="A12465" t="str">
        <f>"Map3k7cl"</f>
        <v>Map3k7cl</v>
      </c>
      <c r="B12465" t="s">
        <v>14</v>
      </c>
      <c r="C12465" t="s">
        <v>31</v>
      </c>
      <c r="D12465" t="s">
        <v>17</v>
      </c>
      <c r="E12465" t="s">
        <v>67</v>
      </c>
      <c r="F12465">
        <v>87553415</v>
      </c>
      <c r="G12465">
        <v>87553472</v>
      </c>
      <c r="H12465">
        <v>87553313</v>
      </c>
      <c r="I12465">
        <v>87553342</v>
      </c>
    </row>
    <row r="12466" spans="1:9" x14ac:dyDescent="0.2">
      <c r="A12466" t="str">
        <f>"Map3k8"</f>
        <v>Map3k8</v>
      </c>
      <c r="B12466" t="s">
        <v>14</v>
      </c>
      <c r="C12466" t="s">
        <v>43</v>
      </c>
      <c r="D12466" t="s">
        <v>11</v>
      </c>
      <c r="E12466" t="s">
        <v>12</v>
      </c>
      <c r="F12466">
        <v>4352944</v>
      </c>
      <c r="G12466">
        <v>4352962</v>
      </c>
      <c r="H12466">
        <v>4352944</v>
      </c>
      <c r="I12466">
        <v>4352962</v>
      </c>
    </row>
    <row r="12467" spans="1:9" x14ac:dyDescent="0.2">
      <c r="A12467" t="str">
        <f>"Map3k9"</f>
        <v>Map3k9</v>
      </c>
      <c r="B12467" t="s">
        <v>14</v>
      </c>
      <c r="C12467" t="s">
        <v>16</v>
      </c>
      <c r="D12467" t="s">
        <v>11</v>
      </c>
      <c r="E12467" t="s">
        <v>12</v>
      </c>
      <c r="F12467">
        <v>81781121</v>
      </c>
      <c r="G12467">
        <v>81781176</v>
      </c>
      <c r="H12467">
        <v>81781043</v>
      </c>
      <c r="I12467">
        <v>81781066</v>
      </c>
    </row>
    <row r="12468" spans="1:9" x14ac:dyDescent="0.2">
      <c r="A12468" t="str">
        <f>"Map4k1"</f>
        <v>Map4k1</v>
      </c>
      <c r="B12468" t="s">
        <v>14</v>
      </c>
      <c r="C12468" t="s">
        <v>33</v>
      </c>
      <c r="D12468" t="s">
        <v>17</v>
      </c>
      <c r="E12468" t="s">
        <v>12</v>
      </c>
      <c r="F12468">
        <v>28982832</v>
      </c>
      <c r="G12468">
        <v>28982892</v>
      </c>
      <c r="H12468">
        <v>28982126</v>
      </c>
      <c r="I12468">
        <v>28982159</v>
      </c>
    </row>
    <row r="12469" spans="1:9" x14ac:dyDescent="0.2">
      <c r="A12469" t="str">
        <f>"Map4k2"</f>
        <v>Map4k2</v>
      </c>
      <c r="B12469" t="s">
        <v>14</v>
      </c>
      <c r="C12469" t="s">
        <v>10</v>
      </c>
      <c r="D12469" t="s">
        <v>17</v>
      </c>
      <c r="E12469" t="s">
        <v>12</v>
      </c>
      <c r="F12469">
        <v>6341121</v>
      </c>
      <c r="G12469">
        <v>6341247</v>
      </c>
      <c r="H12469">
        <v>6341423</v>
      </c>
      <c r="I12469">
        <v>6341486</v>
      </c>
    </row>
    <row r="12470" spans="1:9" x14ac:dyDescent="0.2">
      <c r="A12470" t="str">
        <f>"Map4k3"</f>
        <v>Map4k3</v>
      </c>
      <c r="B12470" t="s">
        <v>14</v>
      </c>
      <c r="C12470" t="s">
        <v>28</v>
      </c>
      <c r="D12470" t="s">
        <v>11</v>
      </c>
      <c r="E12470" t="s">
        <v>12</v>
      </c>
      <c r="F12470">
        <v>80728130</v>
      </c>
      <c r="G12470">
        <v>80728171</v>
      </c>
      <c r="H12470">
        <v>80728026</v>
      </c>
      <c r="I12470">
        <v>80728061</v>
      </c>
    </row>
    <row r="12471" spans="1:9" x14ac:dyDescent="0.2">
      <c r="A12471" t="str">
        <f>"Map4k4"</f>
        <v>Map4k4</v>
      </c>
      <c r="B12471" t="s">
        <v>14</v>
      </c>
      <c r="C12471" t="s">
        <v>19</v>
      </c>
      <c r="D12471" t="s">
        <v>17</v>
      </c>
      <c r="E12471" t="s">
        <v>12</v>
      </c>
      <c r="F12471">
        <v>39900883</v>
      </c>
      <c r="G12471">
        <v>39900963</v>
      </c>
      <c r="H12471">
        <v>39901029</v>
      </c>
      <c r="I12471">
        <v>39901074</v>
      </c>
    </row>
    <row r="12472" spans="1:9" x14ac:dyDescent="0.2">
      <c r="A12472" t="str">
        <f>"Map4k5"</f>
        <v>Map4k5</v>
      </c>
      <c r="B12472" t="s">
        <v>14</v>
      </c>
      <c r="C12472" t="s">
        <v>16</v>
      </c>
      <c r="D12472" t="s">
        <v>11</v>
      </c>
      <c r="E12472" t="s">
        <v>12</v>
      </c>
      <c r="F12472">
        <v>69892989</v>
      </c>
      <c r="G12472">
        <v>69893082</v>
      </c>
      <c r="H12472">
        <v>69893134</v>
      </c>
      <c r="I12472">
        <v>69893151</v>
      </c>
    </row>
    <row r="12473" spans="1:9" x14ac:dyDescent="0.2">
      <c r="A12473" t="str">
        <f>"Map6"</f>
        <v>Map6</v>
      </c>
      <c r="B12473" t="s">
        <v>14</v>
      </c>
      <c r="C12473" t="s">
        <v>33</v>
      </c>
      <c r="D12473" t="s">
        <v>17</v>
      </c>
      <c r="E12473" t="s">
        <v>67</v>
      </c>
      <c r="F12473">
        <v>99267470</v>
      </c>
      <c r="G12473">
        <v>99267517</v>
      </c>
      <c r="H12473">
        <v>99267470</v>
      </c>
      <c r="I12473">
        <v>99267517</v>
      </c>
    </row>
    <row r="12474" spans="1:9" x14ac:dyDescent="0.2">
      <c r="A12474" t="str">
        <f>"Map6d1"</f>
        <v>Map6d1</v>
      </c>
      <c r="B12474" t="s">
        <v>14</v>
      </c>
      <c r="C12474" t="s">
        <v>31</v>
      </c>
      <c r="D12474" t="s">
        <v>11</v>
      </c>
      <c r="E12474" t="s">
        <v>12</v>
      </c>
      <c r="F12474">
        <v>20241304</v>
      </c>
      <c r="G12474">
        <v>20241363</v>
      </c>
      <c r="H12474">
        <v>20241469</v>
      </c>
      <c r="I12474">
        <v>20241496</v>
      </c>
    </row>
    <row r="12475" spans="1:9" x14ac:dyDescent="0.2">
      <c r="A12475" t="str">
        <f>"Map7"</f>
        <v>Map7</v>
      </c>
      <c r="B12475" t="s">
        <v>14</v>
      </c>
      <c r="C12475" t="s">
        <v>15</v>
      </c>
      <c r="D12475" t="s">
        <v>17</v>
      </c>
      <c r="E12475" t="s">
        <v>67</v>
      </c>
      <c r="F12475">
        <v>20148978</v>
      </c>
      <c r="G12475">
        <v>20149014</v>
      </c>
      <c r="H12475">
        <v>20148978</v>
      </c>
      <c r="I12475">
        <v>20149014</v>
      </c>
    </row>
    <row r="12476" spans="1:9" x14ac:dyDescent="0.2">
      <c r="A12476" t="str">
        <f>"Map7d1"</f>
        <v>Map7d1</v>
      </c>
      <c r="B12476" t="s">
        <v>14</v>
      </c>
      <c r="C12476" t="s">
        <v>23</v>
      </c>
      <c r="D12476" t="s">
        <v>11</v>
      </c>
      <c r="E12476" t="s">
        <v>67</v>
      </c>
      <c r="F12476">
        <v>126256226</v>
      </c>
      <c r="G12476">
        <v>126256370</v>
      </c>
      <c r="H12476">
        <v>126256073</v>
      </c>
      <c r="I12476">
        <v>126256101</v>
      </c>
    </row>
    <row r="12477" spans="1:9" x14ac:dyDescent="0.2">
      <c r="A12477" t="str">
        <f>"Map7d2"</f>
        <v>Map7d2</v>
      </c>
      <c r="B12477" t="s">
        <v>14</v>
      </c>
      <c r="C12477" t="s">
        <v>37</v>
      </c>
      <c r="D12477" t="s">
        <v>17</v>
      </c>
      <c r="E12477" t="s">
        <v>67</v>
      </c>
      <c r="F12477">
        <v>159414659</v>
      </c>
      <c r="G12477">
        <v>159414711</v>
      </c>
      <c r="H12477">
        <v>159414637</v>
      </c>
      <c r="I12477">
        <v>159414655</v>
      </c>
    </row>
    <row r="12478" spans="1:9" x14ac:dyDescent="0.2">
      <c r="A12478" t="str">
        <f>"Map9"</f>
        <v>Map9</v>
      </c>
      <c r="B12478" t="s">
        <v>14</v>
      </c>
      <c r="C12478" t="s">
        <v>22</v>
      </c>
      <c r="D12478" t="s">
        <v>17</v>
      </c>
      <c r="E12478" t="s">
        <v>67</v>
      </c>
      <c r="F12478">
        <v>82358133</v>
      </c>
      <c r="G12478">
        <v>82358165</v>
      </c>
      <c r="H12478">
        <v>82358167</v>
      </c>
      <c r="I12478">
        <v>82358185</v>
      </c>
    </row>
    <row r="12479" spans="1:9" x14ac:dyDescent="0.2">
      <c r="A12479" t="str">
        <f>"Mapk1"</f>
        <v>Mapk1</v>
      </c>
      <c r="B12479" t="s">
        <v>14</v>
      </c>
      <c r="C12479" t="s">
        <v>31</v>
      </c>
      <c r="D12479" t="s">
        <v>17</v>
      </c>
      <c r="E12479" t="s">
        <v>12</v>
      </c>
      <c r="F12479">
        <v>16983395</v>
      </c>
      <c r="G12479">
        <v>16983416</v>
      </c>
      <c r="H12479">
        <v>16983417</v>
      </c>
      <c r="I12479">
        <v>16983428</v>
      </c>
    </row>
    <row r="12480" spans="1:9" x14ac:dyDescent="0.2">
      <c r="A12480" t="str">
        <f>"Mapk10"</f>
        <v>Mapk10</v>
      </c>
      <c r="B12480" t="s">
        <v>14</v>
      </c>
      <c r="C12480" t="s">
        <v>46</v>
      </c>
      <c r="D12480" t="s">
        <v>11</v>
      </c>
      <c r="E12480" t="s">
        <v>12</v>
      </c>
      <c r="F12480">
        <v>103211251</v>
      </c>
      <c r="G12480">
        <v>103211321</v>
      </c>
      <c r="H12480">
        <v>103211251</v>
      </c>
      <c r="I12480">
        <v>103211321</v>
      </c>
    </row>
    <row r="12481" spans="1:9" x14ac:dyDescent="0.2">
      <c r="A12481" t="str">
        <f>"Mapk11"</f>
        <v>Mapk11</v>
      </c>
      <c r="B12481" t="s">
        <v>14</v>
      </c>
      <c r="C12481" t="s">
        <v>25</v>
      </c>
      <c r="D12481" t="s">
        <v>11</v>
      </c>
      <c r="E12481" t="s">
        <v>12</v>
      </c>
      <c r="F12481">
        <v>89149557</v>
      </c>
      <c r="G12481">
        <v>89149650</v>
      </c>
      <c r="H12481">
        <v>89149689</v>
      </c>
      <c r="I12481">
        <v>89149708</v>
      </c>
    </row>
    <row r="12482" spans="1:9" x14ac:dyDescent="0.2">
      <c r="A12482" t="str">
        <f>"Mapk12"</f>
        <v>Mapk12</v>
      </c>
      <c r="B12482" t="s">
        <v>14</v>
      </c>
      <c r="C12482" t="s">
        <v>25</v>
      </c>
      <c r="D12482" t="s">
        <v>11</v>
      </c>
      <c r="E12482" t="s">
        <v>12</v>
      </c>
      <c r="F12482">
        <v>89140664</v>
      </c>
      <c r="G12482">
        <v>89140696</v>
      </c>
      <c r="H12482">
        <v>89140647</v>
      </c>
      <c r="I12482">
        <v>89140661</v>
      </c>
    </row>
    <row r="12483" spans="1:9" x14ac:dyDescent="0.2">
      <c r="A12483" t="str">
        <f>"Mapk13"</f>
        <v>Mapk13</v>
      </c>
      <c r="B12483" t="s">
        <v>14</v>
      </c>
      <c r="C12483" t="s">
        <v>28</v>
      </c>
      <c r="D12483" t="s">
        <v>17</v>
      </c>
      <c r="E12483" t="s">
        <v>12</v>
      </c>
      <c r="F12483">
        <v>28769327</v>
      </c>
      <c r="G12483">
        <v>28769376</v>
      </c>
      <c r="H12483">
        <v>28769382</v>
      </c>
      <c r="I12483">
        <v>28769385</v>
      </c>
    </row>
    <row r="12484" spans="1:9" x14ac:dyDescent="0.2">
      <c r="A12484" t="str">
        <f>"Mapk14"</f>
        <v>Mapk14</v>
      </c>
      <c r="B12484" t="s">
        <v>14</v>
      </c>
      <c r="C12484" t="s">
        <v>28</v>
      </c>
      <c r="D12484" t="s">
        <v>17</v>
      </c>
      <c r="E12484" t="s">
        <v>12</v>
      </c>
      <c r="F12484">
        <v>28691419</v>
      </c>
      <c r="G12484">
        <v>28691445</v>
      </c>
      <c r="H12484">
        <v>28691388</v>
      </c>
      <c r="I12484">
        <v>28691399</v>
      </c>
    </row>
    <row r="12485" spans="1:9" x14ac:dyDescent="0.2">
      <c r="A12485" t="str">
        <f>"Mapk15"</f>
        <v>Mapk15</v>
      </c>
      <c r="B12485" t="s">
        <v>9</v>
      </c>
      <c r="C12485" t="s">
        <v>25</v>
      </c>
      <c r="D12485" t="s">
        <v>17</v>
      </c>
      <c r="E12485" t="s">
        <v>12</v>
      </c>
      <c r="F12485">
        <v>75993756</v>
      </c>
      <c r="G12485">
        <v>75993832</v>
      </c>
      <c r="H12485">
        <v>75993756</v>
      </c>
      <c r="I12485">
        <v>75993832</v>
      </c>
    </row>
    <row r="12486" spans="1:9" x14ac:dyDescent="0.2">
      <c r="A12486" t="str">
        <f>"Mapk15"</f>
        <v>Mapk15</v>
      </c>
      <c r="B12486" t="s">
        <v>13</v>
      </c>
      <c r="C12486" t="s">
        <v>25</v>
      </c>
      <c r="D12486" t="s">
        <v>17</v>
      </c>
      <c r="E12486" t="s">
        <v>12</v>
      </c>
      <c r="F12486">
        <v>75996762</v>
      </c>
      <c r="G12486">
        <v>75996778</v>
      </c>
      <c r="H12486">
        <v>75996762</v>
      </c>
      <c r="I12486">
        <v>75996778</v>
      </c>
    </row>
    <row r="12487" spans="1:9" x14ac:dyDescent="0.2">
      <c r="A12487" t="str">
        <f>"Mapk1ip1"</f>
        <v>Mapk1ip1</v>
      </c>
      <c r="B12487" t="s">
        <v>14</v>
      </c>
      <c r="C12487" t="s">
        <v>33</v>
      </c>
      <c r="D12487" t="s">
        <v>11</v>
      </c>
      <c r="E12487" t="s">
        <v>12</v>
      </c>
      <c r="F12487">
        <v>138846202</v>
      </c>
      <c r="G12487">
        <v>138846293</v>
      </c>
      <c r="H12487">
        <v>138846167</v>
      </c>
      <c r="I12487">
        <v>138846199</v>
      </c>
    </row>
    <row r="12488" spans="1:9" x14ac:dyDescent="0.2">
      <c r="A12488" t="str">
        <f>"Mapk1ip1l"</f>
        <v>Mapk1ip1l</v>
      </c>
      <c r="B12488" t="s">
        <v>14</v>
      </c>
      <c r="C12488" t="s">
        <v>41</v>
      </c>
      <c r="D12488" t="s">
        <v>17</v>
      </c>
      <c r="E12488" t="s">
        <v>12</v>
      </c>
      <c r="F12488">
        <v>47298260</v>
      </c>
      <c r="G12488">
        <v>47298342</v>
      </c>
      <c r="H12488">
        <v>47298260</v>
      </c>
      <c r="I12488">
        <v>47298342</v>
      </c>
    </row>
    <row r="12489" spans="1:9" x14ac:dyDescent="0.2">
      <c r="A12489" t="str">
        <f>"Mapk3"</f>
        <v>Mapk3</v>
      </c>
      <c r="B12489" t="s">
        <v>14</v>
      </c>
      <c r="C12489" t="s">
        <v>33</v>
      </c>
      <c r="D12489" t="s">
        <v>17</v>
      </c>
      <c r="E12489" t="s">
        <v>12</v>
      </c>
      <c r="F12489">
        <v>126759613</v>
      </c>
      <c r="G12489">
        <v>126759651</v>
      </c>
      <c r="H12489">
        <v>126759729</v>
      </c>
      <c r="I12489">
        <v>126759762</v>
      </c>
    </row>
    <row r="12490" spans="1:9" x14ac:dyDescent="0.2">
      <c r="A12490" t="str">
        <f>"Mapk4"</f>
        <v>Mapk4</v>
      </c>
      <c r="B12490" t="s">
        <v>14</v>
      </c>
      <c r="C12490" t="s">
        <v>43</v>
      </c>
      <c r="D12490" t="s">
        <v>11</v>
      </c>
      <c r="E12490" t="s">
        <v>12</v>
      </c>
      <c r="F12490">
        <v>74064899</v>
      </c>
      <c r="G12490">
        <v>74064943</v>
      </c>
      <c r="H12490">
        <v>74064945</v>
      </c>
      <c r="I12490">
        <v>74064963</v>
      </c>
    </row>
    <row r="12491" spans="1:9" x14ac:dyDescent="0.2">
      <c r="A12491" t="str">
        <f>"Mapk6"</f>
        <v>Mapk6</v>
      </c>
      <c r="B12491" t="s">
        <v>14</v>
      </c>
      <c r="C12491" t="s">
        <v>24</v>
      </c>
      <c r="D12491" t="s">
        <v>11</v>
      </c>
      <c r="E12491" t="s">
        <v>12</v>
      </c>
      <c r="F12491">
        <v>75409951</v>
      </c>
      <c r="G12491">
        <v>75410039</v>
      </c>
      <c r="H12491">
        <v>75409282</v>
      </c>
      <c r="I12491">
        <v>75409336</v>
      </c>
    </row>
    <row r="12492" spans="1:9" x14ac:dyDescent="0.2">
      <c r="A12492" t="str">
        <f>"Mapk7"</f>
        <v>Mapk7</v>
      </c>
      <c r="B12492" t="s">
        <v>14</v>
      </c>
      <c r="C12492" t="s">
        <v>27</v>
      </c>
      <c r="D12492" t="s">
        <v>11</v>
      </c>
      <c r="E12492" t="s">
        <v>12</v>
      </c>
      <c r="F12492">
        <v>61494173</v>
      </c>
      <c r="G12492">
        <v>61494261</v>
      </c>
      <c r="H12492">
        <v>61493978</v>
      </c>
      <c r="I12492">
        <v>61494014</v>
      </c>
    </row>
    <row r="12493" spans="1:9" x14ac:dyDescent="0.2">
      <c r="A12493" t="str">
        <f>"Mapk8"</f>
        <v>Mapk8</v>
      </c>
      <c r="B12493" t="s">
        <v>14</v>
      </c>
      <c r="C12493" t="s">
        <v>41</v>
      </c>
      <c r="D12493" t="s">
        <v>11</v>
      </c>
      <c r="E12493" t="s">
        <v>12</v>
      </c>
      <c r="F12493">
        <v>33447142</v>
      </c>
      <c r="G12493">
        <v>33447179</v>
      </c>
      <c r="H12493">
        <v>33447120</v>
      </c>
      <c r="I12493">
        <v>33447133</v>
      </c>
    </row>
    <row r="12494" spans="1:9" x14ac:dyDescent="0.2">
      <c r="A12494" t="str">
        <f>"Mapk8ip1"</f>
        <v>Mapk8ip1</v>
      </c>
      <c r="B12494" t="s">
        <v>14</v>
      </c>
      <c r="C12494" t="s">
        <v>26</v>
      </c>
      <c r="D12494" t="s">
        <v>11</v>
      </c>
      <c r="E12494" t="s">
        <v>12</v>
      </c>
      <c r="F12494">
        <v>92401237</v>
      </c>
      <c r="G12494">
        <v>92401352</v>
      </c>
      <c r="H12494">
        <v>92401237</v>
      </c>
      <c r="I12494">
        <v>92401352</v>
      </c>
    </row>
    <row r="12495" spans="1:9" x14ac:dyDescent="0.2">
      <c r="A12495" t="str">
        <f>"Mapk8ip2"</f>
        <v>Mapk8ip2</v>
      </c>
      <c r="B12495" t="s">
        <v>14</v>
      </c>
      <c r="C12495" t="s">
        <v>25</v>
      </c>
      <c r="D12495" t="s">
        <v>17</v>
      </c>
      <c r="E12495" t="s">
        <v>12</v>
      </c>
      <c r="F12495">
        <v>89454019</v>
      </c>
      <c r="G12495">
        <v>89454095</v>
      </c>
      <c r="H12495">
        <v>89454019</v>
      </c>
      <c r="I12495">
        <v>89454095</v>
      </c>
    </row>
    <row r="12496" spans="1:9" x14ac:dyDescent="0.2">
      <c r="A12496" t="str">
        <f>"Mapk8ip3"</f>
        <v>Mapk8ip3</v>
      </c>
      <c r="B12496" t="s">
        <v>14</v>
      </c>
      <c r="C12496" t="s">
        <v>28</v>
      </c>
      <c r="D12496" t="s">
        <v>11</v>
      </c>
      <c r="E12496" t="s">
        <v>12</v>
      </c>
      <c r="F12496">
        <v>24936930</v>
      </c>
      <c r="G12496">
        <v>24936967</v>
      </c>
      <c r="H12496">
        <v>24936969</v>
      </c>
      <c r="I12496">
        <v>24937002</v>
      </c>
    </row>
    <row r="12497" spans="1:9" x14ac:dyDescent="0.2">
      <c r="A12497" t="str">
        <f>"Mapk9"</f>
        <v>Mapk9</v>
      </c>
      <c r="B12497" t="s">
        <v>14</v>
      </c>
      <c r="C12497" t="s">
        <v>27</v>
      </c>
      <c r="D12497" t="s">
        <v>17</v>
      </c>
      <c r="E12497" t="s">
        <v>12</v>
      </c>
      <c r="F12497">
        <v>49846764</v>
      </c>
      <c r="G12497">
        <v>49846799</v>
      </c>
      <c r="H12497">
        <v>49846732</v>
      </c>
      <c r="I12497">
        <v>49846758</v>
      </c>
    </row>
    <row r="12498" spans="1:9" x14ac:dyDescent="0.2">
      <c r="A12498" t="str">
        <f>"Mapkap1"</f>
        <v>Mapkap1</v>
      </c>
      <c r="B12498" t="s">
        <v>14</v>
      </c>
      <c r="C12498" t="s">
        <v>26</v>
      </c>
      <c r="D12498" t="s">
        <v>17</v>
      </c>
      <c r="E12498" t="s">
        <v>12</v>
      </c>
      <c r="F12498">
        <v>34406845</v>
      </c>
      <c r="G12498">
        <v>34406880</v>
      </c>
      <c r="H12498">
        <v>34406882</v>
      </c>
      <c r="I12498">
        <v>34406896</v>
      </c>
    </row>
    <row r="12499" spans="1:9" x14ac:dyDescent="0.2">
      <c r="A12499" t="str">
        <f>"Mapkapk2"</f>
        <v>Mapkapk2</v>
      </c>
      <c r="B12499" t="s">
        <v>14</v>
      </c>
      <c r="C12499" t="s">
        <v>19</v>
      </c>
      <c r="D12499" t="s">
        <v>11</v>
      </c>
      <c r="E12499" t="s">
        <v>12</v>
      </c>
      <c r="F12499">
        <v>131097826</v>
      </c>
      <c r="G12499">
        <v>131097844</v>
      </c>
      <c r="H12499">
        <v>131097826</v>
      </c>
      <c r="I12499">
        <v>131097844</v>
      </c>
    </row>
    <row r="12500" spans="1:9" x14ac:dyDescent="0.2">
      <c r="A12500" t="str">
        <f>"Mapkapk3"</f>
        <v>Mapkapk3</v>
      </c>
      <c r="B12500" t="s">
        <v>14</v>
      </c>
      <c r="C12500" t="s">
        <v>24</v>
      </c>
      <c r="D12500" t="s">
        <v>11</v>
      </c>
      <c r="E12500" t="s">
        <v>12</v>
      </c>
      <c r="F12500">
        <v>107289706</v>
      </c>
      <c r="G12500">
        <v>107289786</v>
      </c>
      <c r="H12500">
        <v>107289391</v>
      </c>
      <c r="I12500">
        <v>107289422</v>
      </c>
    </row>
    <row r="12501" spans="1:9" x14ac:dyDescent="0.2">
      <c r="A12501" t="str">
        <f>"Mapkapk5"</f>
        <v>Mapkapk5</v>
      </c>
      <c r="B12501" t="s">
        <v>14</v>
      </c>
      <c r="C12501" t="s">
        <v>46</v>
      </c>
      <c r="D12501" t="s">
        <v>11</v>
      </c>
      <c r="E12501" t="s">
        <v>12</v>
      </c>
      <c r="F12501">
        <v>121545713</v>
      </c>
      <c r="G12501">
        <v>121545748</v>
      </c>
      <c r="H12501">
        <v>121545873</v>
      </c>
      <c r="I12501">
        <v>121545915</v>
      </c>
    </row>
    <row r="12502" spans="1:9" x14ac:dyDescent="0.2">
      <c r="A12502" t="str">
        <f>"Mapkbp1"</f>
        <v>Mapkbp1</v>
      </c>
      <c r="B12502" t="s">
        <v>14</v>
      </c>
      <c r="C12502" t="s">
        <v>26</v>
      </c>
      <c r="D12502" t="s">
        <v>17</v>
      </c>
      <c r="E12502" t="s">
        <v>12</v>
      </c>
      <c r="F12502">
        <v>119972395</v>
      </c>
      <c r="G12502">
        <v>119972430</v>
      </c>
      <c r="H12502">
        <v>119972395</v>
      </c>
      <c r="I12502">
        <v>119972430</v>
      </c>
    </row>
    <row r="12503" spans="1:9" x14ac:dyDescent="0.2">
      <c r="A12503" t="str">
        <f>"Mapre1"</f>
        <v>Mapre1</v>
      </c>
      <c r="B12503" t="s">
        <v>14</v>
      </c>
      <c r="C12503" t="s">
        <v>26</v>
      </c>
      <c r="D12503" t="s">
        <v>17</v>
      </c>
      <c r="E12503" t="s">
        <v>12</v>
      </c>
      <c r="F12503">
        <v>153741334</v>
      </c>
      <c r="G12503">
        <v>153741375</v>
      </c>
      <c r="H12503">
        <v>153741278</v>
      </c>
      <c r="I12503">
        <v>153741294</v>
      </c>
    </row>
    <row r="12504" spans="1:9" x14ac:dyDescent="0.2">
      <c r="A12504" t="str">
        <f>"Mapre2"</f>
        <v>Mapre2</v>
      </c>
      <c r="B12504" t="s">
        <v>9</v>
      </c>
      <c r="C12504" t="s">
        <v>43</v>
      </c>
      <c r="D12504" t="s">
        <v>17</v>
      </c>
      <c r="E12504" t="s">
        <v>12</v>
      </c>
      <c r="F12504">
        <v>23803962</v>
      </c>
      <c r="G12504">
        <v>23804054</v>
      </c>
      <c r="H12504">
        <v>23803962</v>
      </c>
      <c r="I12504">
        <v>23804054</v>
      </c>
    </row>
    <row r="12505" spans="1:9" x14ac:dyDescent="0.2">
      <c r="A12505" t="str">
        <f>"Mapre2"</f>
        <v>Mapre2</v>
      </c>
      <c r="B12505" t="s">
        <v>13</v>
      </c>
      <c r="C12505" t="s">
        <v>43</v>
      </c>
      <c r="D12505" t="s">
        <v>17</v>
      </c>
      <c r="E12505" t="s">
        <v>12</v>
      </c>
      <c r="F12505">
        <v>23752361</v>
      </c>
      <c r="G12505">
        <v>23752401</v>
      </c>
      <c r="H12505">
        <v>23752361</v>
      </c>
      <c r="I12505">
        <v>23752401</v>
      </c>
    </row>
    <row r="12506" spans="1:9" x14ac:dyDescent="0.2">
      <c r="A12506" t="str">
        <f>"Mapre3"</f>
        <v>Mapre3</v>
      </c>
      <c r="B12506" t="s">
        <v>14</v>
      </c>
      <c r="C12506" t="s">
        <v>46</v>
      </c>
      <c r="D12506" t="s">
        <v>17</v>
      </c>
      <c r="E12506" t="s">
        <v>12</v>
      </c>
      <c r="F12506">
        <v>30814722</v>
      </c>
      <c r="G12506">
        <v>30814776</v>
      </c>
      <c r="H12506">
        <v>30814784</v>
      </c>
      <c r="I12506">
        <v>30814800</v>
      </c>
    </row>
    <row r="12507" spans="1:9" x14ac:dyDescent="0.2">
      <c r="A12507" t="str">
        <f>"Mapt"</f>
        <v>Mapt</v>
      </c>
      <c r="B12507" t="s">
        <v>14</v>
      </c>
      <c r="C12507" t="s">
        <v>27</v>
      </c>
      <c r="D12507" t="s">
        <v>17</v>
      </c>
      <c r="E12507" t="s">
        <v>12</v>
      </c>
      <c r="F12507">
        <v>104231465</v>
      </c>
      <c r="G12507">
        <v>104231507</v>
      </c>
      <c r="H12507">
        <v>104231442</v>
      </c>
      <c r="I12507">
        <v>104231453</v>
      </c>
    </row>
    <row r="12508" spans="1:9" x14ac:dyDescent="0.2">
      <c r="A12508" t="str">
        <f>"Marc1"</f>
        <v>Marc1</v>
      </c>
      <c r="B12508" t="s">
        <v>14</v>
      </c>
      <c r="C12508" t="s">
        <v>19</v>
      </c>
      <c r="D12508" t="s">
        <v>11</v>
      </c>
      <c r="E12508" t="s">
        <v>67</v>
      </c>
      <c r="F12508">
        <v>184811170</v>
      </c>
      <c r="G12508">
        <v>184811203</v>
      </c>
      <c r="H12508">
        <v>184811156</v>
      </c>
      <c r="I12508">
        <v>184811163</v>
      </c>
    </row>
    <row r="12509" spans="1:9" x14ac:dyDescent="0.2">
      <c r="A12509" t="str">
        <f>"Marc2"</f>
        <v>Marc2</v>
      </c>
      <c r="B12509" t="s">
        <v>14</v>
      </c>
      <c r="C12509" t="s">
        <v>19</v>
      </c>
      <c r="D12509" t="s">
        <v>11</v>
      </c>
      <c r="E12509" t="s">
        <v>67</v>
      </c>
      <c r="F12509">
        <v>184845838</v>
      </c>
      <c r="G12509">
        <v>184845854</v>
      </c>
      <c r="H12509">
        <v>184845838</v>
      </c>
      <c r="I12509">
        <v>184845854</v>
      </c>
    </row>
    <row r="12510" spans="1:9" x14ac:dyDescent="0.2">
      <c r="A12510" t="str">
        <f>"March1"</f>
        <v>March1</v>
      </c>
      <c r="B12510" t="s">
        <v>4294</v>
      </c>
      <c r="C12510" t="s">
        <v>30</v>
      </c>
      <c r="D12510" t="s">
        <v>17</v>
      </c>
      <c r="E12510" t="s">
        <v>20</v>
      </c>
      <c r="F12510">
        <v>65967156</v>
      </c>
      <c r="G12510">
        <v>65967156</v>
      </c>
      <c r="H12510">
        <v>65967156</v>
      </c>
      <c r="I12510">
        <v>65967156</v>
      </c>
    </row>
    <row r="12511" spans="1:9" x14ac:dyDescent="0.2">
      <c r="A12511" t="str">
        <f>"March10"</f>
        <v>March10</v>
      </c>
      <c r="B12511" t="s">
        <v>9</v>
      </c>
      <c r="C12511" t="s">
        <v>27</v>
      </c>
      <c r="D12511" t="s">
        <v>11</v>
      </c>
      <c r="E12511" t="s">
        <v>12</v>
      </c>
      <c r="F12511">
        <v>105456674</v>
      </c>
      <c r="G12511">
        <v>105456751</v>
      </c>
      <c r="H12511">
        <v>105456674</v>
      </c>
      <c r="I12511">
        <v>105456751</v>
      </c>
    </row>
    <row r="12512" spans="1:9" x14ac:dyDescent="0.2">
      <c r="A12512" t="str">
        <f>"March10"</f>
        <v>March10</v>
      </c>
      <c r="B12512" t="s">
        <v>13</v>
      </c>
      <c r="C12512" t="s">
        <v>27</v>
      </c>
      <c r="D12512" t="s">
        <v>11</v>
      </c>
      <c r="E12512" t="s">
        <v>12</v>
      </c>
      <c r="F12512">
        <v>105455299</v>
      </c>
      <c r="G12512">
        <v>105455325</v>
      </c>
      <c r="H12512">
        <v>105455299</v>
      </c>
      <c r="I12512">
        <v>105455325</v>
      </c>
    </row>
    <row r="12513" spans="1:9" x14ac:dyDescent="0.2">
      <c r="A12513" t="str">
        <f>"March11"</f>
        <v>March11</v>
      </c>
      <c r="B12513" t="s">
        <v>14</v>
      </c>
      <c r="C12513" t="s">
        <v>25</v>
      </c>
      <c r="D12513" t="s">
        <v>17</v>
      </c>
      <c r="E12513" t="s">
        <v>12</v>
      </c>
      <c r="F12513">
        <v>26309039</v>
      </c>
      <c r="G12513">
        <v>26309055</v>
      </c>
      <c r="H12513">
        <v>26309039</v>
      </c>
      <c r="I12513">
        <v>26309055</v>
      </c>
    </row>
    <row r="12514" spans="1:9" x14ac:dyDescent="0.2">
      <c r="A12514" t="str">
        <f>"March2"</f>
        <v>March2</v>
      </c>
      <c r="B12514" t="s">
        <v>14</v>
      </c>
      <c r="C12514" t="s">
        <v>28</v>
      </c>
      <c r="D12514" t="s">
        <v>11</v>
      </c>
      <c r="E12514" t="s">
        <v>12</v>
      </c>
      <c r="F12514">
        <v>33718637</v>
      </c>
      <c r="G12514">
        <v>33718690</v>
      </c>
      <c r="H12514">
        <v>33718695</v>
      </c>
      <c r="I12514">
        <v>33718712</v>
      </c>
    </row>
    <row r="12515" spans="1:9" x14ac:dyDescent="0.2">
      <c r="A12515" t="str">
        <f>"March3"</f>
        <v>March3</v>
      </c>
      <c r="B12515" t="s">
        <v>4295</v>
      </c>
      <c r="C12515" t="s">
        <v>43</v>
      </c>
      <c r="D12515" t="s">
        <v>11</v>
      </c>
      <c r="E12515" t="s">
        <v>20</v>
      </c>
      <c r="F12515">
        <v>56812018</v>
      </c>
      <c r="G12515">
        <v>56812018</v>
      </c>
      <c r="H12515">
        <v>56812018</v>
      </c>
      <c r="I12515">
        <v>56812018</v>
      </c>
    </row>
    <row r="12516" spans="1:9" x14ac:dyDescent="0.2">
      <c r="A12516" t="str">
        <f>"March4"</f>
        <v>March4</v>
      </c>
      <c r="B12516" t="s">
        <v>14</v>
      </c>
      <c r="C12516" t="s">
        <v>19</v>
      </c>
      <c r="D12516" t="s">
        <v>11</v>
      </c>
      <c r="E12516" t="s">
        <v>12</v>
      </c>
      <c r="F12516">
        <v>72537272</v>
      </c>
      <c r="G12516">
        <v>72537319</v>
      </c>
      <c r="H12516">
        <v>72537272</v>
      </c>
      <c r="I12516">
        <v>72537319</v>
      </c>
    </row>
    <row r="12517" spans="1:9" x14ac:dyDescent="0.2">
      <c r="A12517" t="str">
        <f>"March5"</f>
        <v>March5</v>
      </c>
      <c r="B12517" t="s">
        <v>14</v>
      </c>
      <c r="C12517" t="s">
        <v>10</v>
      </c>
      <c r="D12517" t="s">
        <v>17</v>
      </c>
      <c r="E12517" t="s">
        <v>12</v>
      </c>
      <c r="F12517">
        <v>37207528</v>
      </c>
      <c r="G12517">
        <v>37207587</v>
      </c>
      <c r="H12517">
        <v>37207654</v>
      </c>
      <c r="I12517">
        <v>37207693</v>
      </c>
    </row>
    <row r="12518" spans="1:9" x14ac:dyDescent="0.2">
      <c r="A12518" t="str">
        <f>"March6"</f>
        <v>March6</v>
      </c>
      <c r="B12518" t="s">
        <v>14</v>
      </c>
      <c r="C12518" t="s">
        <v>25</v>
      </c>
      <c r="D12518" t="s">
        <v>11</v>
      </c>
      <c r="E12518" t="s">
        <v>12</v>
      </c>
      <c r="F12518">
        <v>31530999</v>
      </c>
      <c r="G12518">
        <v>31531069</v>
      </c>
      <c r="H12518">
        <v>31530976</v>
      </c>
      <c r="I12518">
        <v>31530992</v>
      </c>
    </row>
    <row r="12519" spans="1:9" x14ac:dyDescent="0.2">
      <c r="A12519" t="str">
        <f>"March7"</f>
        <v>March7</v>
      </c>
      <c r="B12519" t="s">
        <v>14</v>
      </c>
      <c r="C12519" t="s">
        <v>26</v>
      </c>
      <c r="D12519" t="s">
        <v>17</v>
      </c>
      <c r="E12519" t="s">
        <v>12</v>
      </c>
      <c r="F12519">
        <v>60209893</v>
      </c>
      <c r="G12519">
        <v>60209966</v>
      </c>
      <c r="H12519">
        <v>60209893</v>
      </c>
      <c r="I12519">
        <v>60209966</v>
      </c>
    </row>
    <row r="12520" spans="1:9" x14ac:dyDescent="0.2">
      <c r="A12520" t="str">
        <f>"March8"</f>
        <v>March8</v>
      </c>
      <c r="B12520" t="s">
        <v>14</v>
      </c>
      <c r="C12520" t="s">
        <v>32</v>
      </c>
      <c r="D12520" t="s">
        <v>17</v>
      </c>
      <c r="E12520" t="s">
        <v>12</v>
      </c>
      <c r="F12520">
        <v>116338013</v>
      </c>
      <c r="G12520">
        <v>116338083</v>
      </c>
      <c r="H12520">
        <v>116338013</v>
      </c>
      <c r="I12520">
        <v>116338083</v>
      </c>
    </row>
    <row r="12521" spans="1:9" x14ac:dyDescent="0.2">
      <c r="A12521" t="str">
        <f>"March9"</f>
        <v>March9</v>
      </c>
      <c r="B12521" t="s">
        <v>14</v>
      </c>
      <c r="C12521" t="s">
        <v>15</v>
      </c>
      <c r="D12521" t="s">
        <v>11</v>
      </c>
      <c r="E12521" t="s">
        <v>12</v>
      </c>
      <c r="F12521">
        <v>127060163</v>
      </c>
      <c r="G12521">
        <v>127060206</v>
      </c>
      <c r="H12521">
        <v>127060258</v>
      </c>
      <c r="I12521">
        <v>127060306</v>
      </c>
    </row>
    <row r="12522" spans="1:9" x14ac:dyDescent="0.2">
      <c r="A12522" t="str">
        <f>"Marcks"</f>
        <v>Marcks</v>
      </c>
      <c r="B12522" t="s">
        <v>14</v>
      </c>
      <c r="C12522" t="s">
        <v>15</v>
      </c>
      <c r="D12522" t="s">
        <v>11</v>
      </c>
      <c r="E12522" t="s">
        <v>12</v>
      </c>
      <c r="F12522">
        <v>37138863</v>
      </c>
      <c r="G12522">
        <v>37138937</v>
      </c>
      <c r="H12522">
        <v>37138863</v>
      </c>
      <c r="I12522">
        <v>37138937</v>
      </c>
    </row>
    <row r="12523" spans="1:9" x14ac:dyDescent="0.2">
      <c r="A12523" t="str">
        <f>"Marcksl1"</f>
        <v>Marcksl1</v>
      </c>
      <c r="B12523" t="s">
        <v>14</v>
      </c>
      <c r="C12523" t="s">
        <v>23</v>
      </c>
      <c r="D12523" t="s">
        <v>17</v>
      </c>
      <c r="E12523" t="s">
        <v>12</v>
      </c>
      <c r="F12523">
        <v>129513624</v>
      </c>
      <c r="G12523">
        <v>129513644</v>
      </c>
      <c r="H12523">
        <v>129513432</v>
      </c>
      <c r="I12523">
        <v>129513444</v>
      </c>
    </row>
    <row r="12524" spans="1:9" x14ac:dyDescent="0.2">
      <c r="A12524" t="str">
        <f>"Marco"</f>
        <v>Marco</v>
      </c>
      <c r="B12524" t="s">
        <v>14</v>
      </c>
      <c r="C12524" t="s">
        <v>19</v>
      </c>
      <c r="D12524" t="s">
        <v>11</v>
      </c>
      <c r="E12524" t="s">
        <v>12</v>
      </c>
      <c r="F12524">
        <v>120504820</v>
      </c>
      <c r="G12524">
        <v>120504833</v>
      </c>
      <c r="H12524">
        <v>120504820</v>
      </c>
      <c r="I12524">
        <v>120504833</v>
      </c>
    </row>
    <row r="12525" spans="1:9" x14ac:dyDescent="0.2">
      <c r="A12525" t="str">
        <f>"Marf1"</f>
        <v>Marf1</v>
      </c>
      <c r="B12525" t="s">
        <v>14</v>
      </c>
      <c r="C12525" t="s">
        <v>31</v>
      </c>
      <c r="D12525" t="s">
        <v>11</v>
      </c>
      <c r="E12525" t="s">
        <v>67</v>
      </c>
      <c r="F12525">
        <v>14159232</v>
      </c>
      <c r="G12525">
        <v>14159286</v>
      </c>
      <c r="H12525">
        <v>14159173</v>
      </c>
      <c r="I12525">
        <v>14159196</v>
      </c>
    </row>
    <row r="12526" spans="1:9" x14ac:dyDescent="0.2">
      <c r="A12526" t="str">
        <f>"Mark1"</f>
        <v>Mark1</v>
      </c>
      <c r="B12526" t="s">
        <v>14</v>
      </c>
      <c r="C12526" t="s">
        <v>19</v>
      </c>
      <c r="D12526" t="s">
        <v>11</v>
      </c>
      <c r="E12526" t="s">
        <v>12</v>
      </c>
      <c r="F12526">
        <v>184999878</v>
      </c>
      <c r="G12526">
        <v>184999974</v>
      </c>
      <c r="H12526">
        <v>184999878</v>
      </c>
      <c r="I12526">
        <v>184999974</v>
      </c>
    </row>
    <row r="12527" spans="1:9" x14ac:dyDescent="0.2">
      <c r="A12527" t="str">
        <f>"Mark2"</f>
        <v>Mark2</v>
      </c>
      <c r="B12527" t="s">
        <v>9</v>
      </c>
      <c r="C12527" t="s">
        <v>10</v>
      </c>
      <c r="D12527" t="s">
        <v>11</v>
      </c>
      <c r="E12527" t="s">
        <v>12</v>
      </c>
      <c r="F12527">
        <v>7341571</v>
      </c>
      <c r="G12527">
        <v>7341647</v>
      </c>
      <c r="H12527">
        <v>7341571</v>
      </c>
      <c r="I12527">
        <v>7341647</v>
      </c>
    </row>
    <row r="12528" spans="1:9" x14ac:dyDescent="0.2">
      <c r="A12528" t="str">
        <f>"Mark2"</f>
        <v>Mark2</v>
      </c>
      <c r="B12528" t="s">
        <v>13</v>
      </c>
      <c r="C12528" t="s">
        <v>10</v>
      </c>
      <c r="D12528" t="s">
        <v>11</v>
      </c>
      <c r="E12528" t="s">
        <v>12</v>
      </c>
      <c r="F12528">
        <v>7295394</v>
      </c>
      <c r="G12528">
        <v>7295468</v>
      </c>
      <c r="H12528">
        <v>7295394</v>
      </c>
      <c r="I12528">
        <v>7295468</v>
      </c>
    </row>
    <row r="12529" spans="1:9" x14ac:dyDescent="0.2">
      <c r="A12529" t="str">
        <f>"Mark3"</f>
        <v>Mark3</v>
      </c>
      <c r="B12529" t="s">
        <v>14</v>
      </c>
      <c r="C12529" t="s">
        <v>16</v>
      </c>
      <c r="D12529" t="s">
        <v>17</v>
      </c>
      <c r="E12529" t="s">
        <v>12</v>
      </c>
      <c r="F12529">
        <v>111574491</v>
      </c>
      <c r="G12529">
        <v>111574542</v>
      </c>
      <c r="H12529">
        <v>111575004</v>
      </c>
      <c r="I12529">
        <v>111575018</v>
      </c>
    </row>
    <row r="12530" spans="1:9" x14ac:dyDescent="0.2">
      <c r="A12530" t="str">
        <f>"Mark4"</f>
        <v>Mark4</v>
      </c>
      <c r="B12530" t="s">
        <v>14</v>
      </c>
      <c r="C12530" t="s">
        <v>33</v>
      </c>
      <c r="D12530" t="s">
        <v>11</v>
      </c>
      <c r="E12530" t="s">
        <v>12</v>
      </c>
      <c r="F12530">
        <v>19458801</v>
      </c>
      <c r="G12530">
        <v>19458856</v>
      </c>
      <c r="H12530">
        <v>19458801</v>
      </c>
      <c r="I12530">
        <v>19458856</v>
      </c>
    </row>
    <row r="12531" spans="1:9" x14ac:dyDescent="0.2">
      <c r="A12531" t="str">
        <f>"Mars"</f>
        <v>Mars</v>
      </c>
      <c r="B12531" t="s">
        <v>14</v>
      </c>
      <c r="C12531" t="s">
        <v>15</v>
      </c>
      <c r="D12531" t="s">
        <v>11</v>
      </c>
      <c r="E12531" t="s">
        <v>12</v>
      </c>
      <c r="F12531">
        <v>127311617</v>
      </c>
      <c r="G12531">
        <v>127311722</v>
      </c>
      <c r="H12531">
        <v>127311740</v>
      </c>
      <c r="I12531">
        <v>127311763</v>
      </c>
    </row>
    <row r="12532" spans="1:9" x14ac:dyDescent="0.2">
      <c r="A12532" t="str">
        <f>"Mars2"</f>
        <v>Mars2</v>
      </c>
      <c r="B12532" t="s">
        <v>14</v>
      </c>
      <c r="C12532" t="s">
        <v>19</v>
      </c>
      <c r="D12532" t="s">
        <v>17</v>
      </c>
      <c r="E12532" t="s">
        <v>12</v>
      </c>
      <c r="F12532">
        <v>55237191</v>
      </c>
      <c r="G12532">
        <v>55237255</v>
      </c>
      <c r="H12532">
        <v>55237172</v>
      </c>
      <c r="I12532">
        <v>55237180</v>
      </c>
    </row>
    <row r="12533" spans="1:9" x14ac:dyDescent="0.2">
      <c r="A12533" t="str">
        <f>"Marveld1"</f>
        <v>Marveld1</v>
      </c>
      <c r="B12533" t="s">
        <v>14</v>
      </c>
      <c r="C12533" t="s">
        <v>10</v>
      </c>
      <c r="D12533" t="s">
        <v>17</v>
      </c>
      <c r="E12533" t="s">
        <v>12</v>
      </c>
      <c r="F12533">
        <v>42147432</v>
      </c>
      <c r="G12533">
        <v>42147454</v>
      </c>
      <c r="H12533">
        <v>42147413</v>
      </c>
      <c r="I12533">
        <v>42147426</v>
      </c>
    </row>
    <row r="12534" spans="1:9" x14ac:dyDescent="0.2">
      <c r="A12534" t="str">
        <f>"Marveld2"</f>
        <v>Marveld2</v>
      </c>
      <c r="B12534" t="s">
        <v>14</v>
      </c>
      <c r="C12534" t="s">
        <v>39</v>
      </c>
      <c r="D12534" t="s">
        <v>11</v>
      </c>
      <c r="E12534" t="s">
        <v>12</v>
      </c>
      <c r="F12534">
        <v>100616937</v>
      </c>
      <c r="G12534">
        <v>100616981</v>
      </c>
      <c r="H12534">
        <v>100616937</v>
      </c>
      <c r="I12534">
        <v>100616981</v>
      </c>
    </row>
    <row r="12535" spans="1:9" x14ac:dyDescent="0.2">
      <c r="A12535" t="str">
        <f>"Marveld3"</f>
        <v>Marveld3</v>
      </c>
      <c r="B12535" t="s">
        <v>14</v>
      </c>
      <c r="C12535" t="s">
        <v>30</v>
      </c>
      <c r="D12535" t="s">
        <v>11</v>
      </c>
      <c r="E12535" t="s">
        <v>12</v>
      </c>
      <c r="F12535">
        <v>109962127</v>
      </c>
      <c r="G12535">
        <v>109962213</v>
      </c>
      <c r="H12535">
        <v>109962084</v>
      </c>
      <c r="I12535">
        <v>109962126</v>
      </c>
    </row>
    <row r="12536" spans="1:9" x14ac:dyDescent="0.2">
      <c r="A12536" t="str">
        <f>"Mas1"</f>
        <v>Mas1</v>
      </c>
      <c r="B12536" t="s">
        <v>9</v>
      </c>
      <c r="C12536" t="s">
        <v>28</v>
      </c>
      <c r="D12536" t="s">
        <v>11</v>
      </c>
      <c r="E12536" t="s">
        <v>12</v>
      </c>
      <c r="F12536">
        <v>12851895</v>
      </c>
      <c r="G12536">
        <v>12851916</v>
      </c>
      <c r="H12536">
        <v>12851895</v>
      </c>
      <c r="I12536">
        <v>12851916</v>
      </c>
    </row>
    <row r="12537" spans="1:9" x14ac:dyDescent="0.2">
      <c r="A12537" t="str">
        <f>"Mas1"</f>
        <v>Mas1</v>
      </c>
      <c r="B12537" t="s">
        <v>13</v>
      </c>
      <c r="C12537" t="s">
        <v>28</v>
      </c>
      <c r="D12537" t="s">
        <v>11</v>
      </c>
      <c r="E12537" t="s">
        <v>12</v>
      </c>
      <c r="F12537">
        <v>12868126</v>
      </c>
      <c r="G12537">
        <v>12868148</v>
      </c>
      <c r="H12537">
        <v>12868126</v>
      </c>
      <c r="I12537">
        <v>12868148</v>
      </c>
    </row>
    <row r="12538" spans="1:9" x14ac:dyDescent="0.2">
      <c r="A12538" t="str">
        <f>"Masp1"</f>
        <v>Masp1</v>
      </c>
      <c r="B12538" t="s">
        <v>14</v>
      </c>
      <c r="C12538" t="s">
        <v>31</v>
      </c>
      <c r="D12538" t="s">
        <v>11</v>
      </c>
      <c r="E12538" t="s">
        <v>12</v>
      </c>
      <c r="F12538">
        <v>23520579</v>
      </c>
      <c r="G12538">
        <v>23520673</v>
      </c>
      <c r="H12538">
        <v>23520579</v>
      </c>
      <c r="I12538">
        <v>23520673</v>
      </c>
    </row>
    <row r="12539" spans="1:9" x14ac:dyDescent="0.2">
      <c r="A12539" t="str">
        <f>"Masp2"</f>
        <v>Masp2</v>
      </c>
      <c r="B12539" t="s">
        <v>14</v>
      </c>
      <c r="C12539" t="s">
        <v>23</v>
      </c>
      <c r="D12539" t="s">
        <v>17</v>
      </c>
      <c r="E12539" t="s">
        <v>12</v>
      </c>
      <c r="F12539">
        <v>148602527</v>
      </c>
      <c r="G12539">
        <v>148602583</v>
      </c>
      <c r="H12539">
        <v>148602527</v>
      </c>
      <c r="I12539">
        <v>148602583</v>
      </c>
    </row>
    <row r="12540" spans="1:9" x14ac:dyDescent="0.2">
      <c r="A12540" t="str">
        <f>"Mast1"</f>
        <v>Mast1</v>
      </c>
      <c r="B12540" t="s">
        <v>14</v>
      </c>
      <c r="C12540" t="s">
        <v>30</v>
      </c>
      <c r="D12540" t="s">
        <v>11</v>
      </c>
      <c r="E12540" t="s">
        <v>12</v>
      </c>
      <c r="F12540">
        <v>84937347</v>
      </c>
      <c r="G12540">
        <v>84937367</v>
      </c>
      <c r="H12540">
        <v>84937378</v>
      </c>
      <c r="I12540">
        <v>84937392</v>
      </c>
    </row>
    <row r="12541" spans="1:9" x14ac:dyDescent="0.2">
      <c r="A12541" t="str">
        <f>"Mast2"</f>
        <v>Mast2</v>
      </c>
      <c r="B12541" t="s">
        <v>14</v>
      </c>
      <c r="C12541" t="s">
        <v>23</v>
      </c>
      <c r="D12541" t="s">
        <v>11</v>
      </c>
      <c r="E12541" t="s">
        <v>12</v>
      </c>
      <c r="F12541">
        <v>116464151</v>
      </c>
      <c r="G12541">
        <v>116464274</v>
      </c>
      <c r="H12541">
        <v>116464151</v>
      </c>
      <c r="I12541">
        <v>116464274</v>
      </c>
    </row>
    <row r="12542" spans="1:9" x14ac:dyDescent="0.2">
      <c r="A12542" t="str">
        <f>"Mast3"</f>
        <v>Mast3</v>
      </c>
      <c r="B12542" t="s">
        <v>9</v>
      </c>
      <c r="C12542" t="s">
        <v>30</v>
      </c>
      <c r="D12542" t="s">
        <v>11</v>
      </c>
      <c r="E12542" t="s">
        <v>12</v>
      </c>
      <c r="F12542">
        <v>70792392</v>
      </c>
      <c r="G12542">
        <v>70792451</v>
      </c>
      <c r="H12542">
        <v>70792392</v>
      </c>
      <c r="I12542">
        <v>70792451</v>
      </c>
    </row>
    <row r="12543" spans="1:9" x14ac:dyDescent="0.2">
      <c r="A12543" t="str">
        <f>"Mast3"</f>
        <v>Mast3</v>
      </c>
      <c r="B12543" t="s">
        <v>13</v>
      </c>
      <c r="C12543" t="s">
        <v>30</v>
      </c>
      <c r="D12543" t="s">
        <v>11</v>
      </c>
      <c r="E12543" t="s">
        <v>12</v>
      </c>
      <c r="F12543">
        <v>70796992</v>
      </c>
      <c r="G12543">
        <v>70797019</v>
      </c>
      <c r="H12543">
        <v>70796992</v>
      </c>
      <c r="I12543">
        <v>70797019</v>
      </c>
    </row>
    <row r="12544" spans="1:9" x14ac:dyDescent="0.2">
      <c r="A12544" t="str">
        <f>"Mast4"</f>
        <v>Mast4</v>
      </c>
      <c r="B12544" t="s">
        <v>4296</v>
      </c>
      <c r="C12544" t="s">
        <v>39</v>
      </c>
      <c r="D12544" t="s">
        <v>11</v>
      </c>
      <c r="E12544" t="s">
        <v>35</v>
      </c>
      <c r="F12544">
        <v>103334429</v>
      </c>
      <c r="G12544">
        <v>103334500</v>
      </c>
      <c r="H12544">
        <v>103334429</v>
      </c>
      <c r="I12544">
        <v>103334500</v>
      </c>
    </row>
    <row r="12545" spans="1:9" x14ac:dyDescent="0.2">
      <c r="A12545" t="str">
        <f>"Mastl"</f>
        <v>Mastl</v>
      </c>
      <c r="B12545" t="s">
        <v>14</v>
      </c>
      <c r="C12545" t="s">
        <v>26</v>
      </c>
      <c r="D12545" t="s">
        <v>11</v>
      </c>
      <c r="E12545" t="s">
        <v>12</v>
      </c>
      <c r="F12545">
        <v>23155864</v>
      </c>
      <c r="G12545">
        <v>23155925</v>
      </c>
      <c r="H12545">
        <v>23155946</v>
      </c>
      <c r="I12545">
        <v>23155948</v>
      </c>
    </row>
    <row r="12546" spans="1:9" x14ac:dyDescent="0.2">
      <c r="A12546" t="str">
        <f>"Mat1a"</f>
        <v>Mat1a</v>
      </c>
      <c r="B12546" t="s">
        <v>14</v>
      </c>
      <c r="C12546" t="s">
        <v>41</v>
      </c>
      <c r="D12546" t="s">
        <v>17</v>
      </c>
      <c r="E12546" t="s">
        <v>12</v>
      </c>
      <c r="F12546">
        <v>41105359</v>
      </c>
      <c r="G12546">
        <v>41105378</v>
      </c>
      <c r="H12546">
        <v>41105359</v>
      </c>
      <c r="I12546">
        <v>41105378</v>
      </c>
    </row>
    <row r="12547" spans="1:9" x14ac:dyDescent="0.2">
      <c r="A12547" t="str">
        <f>"Mat2a"</f>
        <v>Mat2a</v>
      </c>
      <c r="B12547" t="s">
        <v>14</v>
      </c>
      <c r="C12547" t="s">
        <v>32</v>
      </c>
      <c r="D12547" t="s">
        <v>11</v>
      </c>
      <c r="E12547" t="s">
        <v>12</v>
      </c>
      <c r="F12547">
        <v>72439549</v>
      </c>
      <c r="G12547">
        <v>72439564</v>
      </c>
      <c r="H12547">
        <v>72439549</v>
      </c>
      <c r="I12547">
        <v>72439564</v>
      </c>
    </row>
    <row r="12548" spans="1:9" x14ac:dyDescent="0.2">
      <c r="A12548" t="str">
        <f>"Mat2b"</f>
        <v>Mat2b</v>
      </c>
      <c r="B12548" t="s">
        <v>9</v>
      </c>
      <c r="C12548" t="s">
        <v>27</v>
      </c>
      <c r="D12548" t="s">
        <v>11</v>
      </c>
      <c r="E12548" t="s">
        <v>12</v>
      </c>
      <c r="F12548">
        <v>40692579</v>
      </c>
      <c r="G12548">
        <v>40692664</v>
      </c>
      <c r="H12548">
        <v>40692579</v>
      </c>
      <c r="I12548">
        <v>40692664</v>
      </c>
    </row>
    <row r="12549" spans="1:9" x14ac:dyDescent="0.2">
      <c r="A12549" t="str">
        <f>"Mat2b"</f>
        <v>Mat2b</v>
      </c>
      <c r="B12549" t="s">
        <v>13</v>
      </c>
      <c r="C12549" t="s">
        <v>27</v>
      </c>
      <c r="D12549" t="s">
        <v>11</v>
      </c>
      <c r="E12549" t="s">
        <v>12</v>
      </c>
      <c r="F12549">
        <v>40694867</v>
      </c>
      <c r="G12549">
        <v>40694923</v>
      </c>
      <c r="H12549">
        <v>40694867</v>
      </c>
      <c r="I12549">
        <v>40694923</v>
      </c>
    </row>
    <row r="12550" spans="1:9" x14ac:dyDescent="0.2">
      <c r="A12550" t="str">
        <f>"Matk"</f>
        <v>Matk</v>
      </c>
      <c r="B12550" t="s">
        <v>14</v>
      </c>
      <c r="C12550" t="s">
        <v>15</v>
      </c>
      <c r="D12550" t="s">
        <v>17</v>
      </c>
      <c r="E12550" t="s">
        <v>12</v>
      </c>
      <c r="F12550">
        <v>81257456</v>
      </c>
      <c r="G12550">
        <v>81257526</v>
      </c>
      <c r="H12550">
        <v>81257277</v>
      </c>
      <c r="I12550">
        <v>81257309</v>
      </c>
    </row>
    <row r="12551" spans="1:9" x14ac:dyDescent="0.2">
      <c r="A12551" t="str">
        <f>"Matn1"</f>
        <v>Matn1</v>
      </c>
      <c r="B12551" t="s">
        <v>14</v>
      </c>
      <c r="C12551" t="s">
        <v>23</v>
      </c>
      <c r="D12551" t="s">
        <v>17</v>
      </c>
      <c r="E12551" t="s">
        <v>12</v>
      </c>
      <c r="F12551">
        <v>130944377</v>
      </c>
      <c r="G12551">
        <v>130944391</v>
      </c>
      <c r="H12551">
        <v>130944377</v>
      </c>
      <c r="I12551">
        <v>130944391</v>
      </c>
    </row>
    <row r="12552" spans="1:9" x14ac:dyDescent="0.2">
      <c r="A12552" t="str">
        <f>"Matn2"</f>
        <v>Matn2</v>
      </c>
      <c r="B12552" t="s">
        <v>14</v>
      </c>
      <c r="C12552" t="s">
        <v>25</v>
      </c>
      <c r="D12552" t="s">
        <v>17</v>
      </c>
      <c r="E12552" t="s">
        <v>12</v>
      </c>
      <c r="F12552">
        <v>34306666</v>
      </c>
      <c r="G12552">
        <v>34306757</v>
      </c>
      <c r="H12552">
        <v>34306767</v>
      </c>
      <c r="I12552">
        <v>34306784</v>
      </c>
    </row>
    <row r="12553" spans="1:9" x14ac:dyDescent="0.2">
      <c r="A12553" t="str">
        <f>"Matn3"</f>
        <v>Matn3</v>
      </c>
      <c r="B12553" t="s">
        <v>14</v>
      </c>
      <c r="C12553" t="s">
        <v>16</v>
      </c>
      <c r="D12553" t="s">
        <v>17</v>
      </c>
      <c r="E12553" t="s">
        <v>12</v>
      </c>
      <c r="F12553">
        <v>8947962</v>
      </c>
      <c r="G12553">
        <v>8947980</v>
      </c>
      <c r="H12553">
        <v>8947962</v>
      </c>
      <c r="I12553">
        <v>8947980</v>
      </c>
    </row>
    <row r="12554" spans="1:9" x14ac:dyDescent="0.2">
      <c r="A12554" t="str">
        <f>"Matn4"</f>
        <v>Matn4</v>
      </c>
      <c r="B12554" t="s">
        <v>14</v>
      </c>
      <c r="C12554" t="s">
        <v>26</v>
      </c>
      <c r="D12554" t="s">
        <v>11</v>
      </c>
      <c r="E12554" t="s">
        <v>12</v>
      </c>
      <c r="F12554">
        <v>164404606</v>
      </c>
      <c r="G12554">
        <v>164404621</v>
      </c>
      <c r="H12554">
        <v>164404825</v>
      </c>
      <c r="I12554">
        <v>164404857</v>
      </c>
    </row>
    <row r="12555" spans="1:9" x14ac:dyDescent="0.2">
      <c r="A12555" t="str">
        <f>"Matr3"</f>
        <v>Matr3</v>
      </c>
      <c r="B12555" t="s">
        <v>14</v>
      </c>
      <c r="C12555" t="s">
        <v>43</v>
      </c>
      <c r="D12555" t="s">
        <v>17</v>
      </c>
      <c r="E12555" t="s">
        <v>12</v>
      </c>
      <c r="F12555">
        <v>35562200</v>
      </c>
      <c r="G12555">
        <v>35562260</v>
      </c>
      <c r="H12555">
        <v>35562180</v>
      </c>
      <c r="I12555">
        <v>35562197</v>
      </c>
    </row>
    <row r="12556" spans="1:9" x14ac:dyDescent="0.2">
      <c r="A12556" t="str">
        <f>"Mau2"</f>
        <v>Mau2</v>
      </c>
      <c r="B12556" t="s">
        <v>14</v>
      </c>
      <c r="C12556" t="s">
        <v>30</v>
      </c>
      <c r="D12556" t="s">
        <v>11</v>
      </c>
      <c r="E12556" t="s">
        <v>12</v>
      </c>
      <c r="F12556">
        <v>70042689</v>
      </c>
      <c r="G12556">
        <v>70042713</v>
      </c>
      <c r="H12556">
        <v>70042439</v>
      </c>
      <c r="I12556">
        <v>70042450</v>
      </c>
    </row>
    <row r="12557" spans="1:9" x14ac:dyDescent="0.2">
      <c r="A12557" t="str">
        <f>"Mavs"</f>
        <v>Mavs</v>
      </c>
      <c r="B12557" t="s">
        <v>14</v>
      </c>
      <c r="C12557" t="s">
        <v>26</v>
      </c>
      <c r="D12557" t="s">
        <v>17</v>
      </c>
      <c r="E12557" t="s">
        <v>12</v>
      </c>
      <c r="F12557">
        <v>131234043</v>
      </c>
      <c r="G12557">
        <v>131234136</v>
      </c>
      <c r="H12557">
        <v>131234247</v>
      </c>
      <c r="I12557">
        <v>131234259</v>
      </c>
    </row>
    <row r="12558" spans="1:9" x14ac:dyDescent="0.2">
      <c r="A12558" t="str">
        <f>"Max"</f>
        <v>Max</v>
      </c>
      <c r="B12558" t="s">
        <v>14</v>
      </c>
      <c r="C12558" t="s">
        <v>16</v>
      </c>
      <c r="D12558" t="s">
        <v>11</v>
      </c>
      <c r="E12558" t="s">
        <v>12</v>
      </c>
      <c r="F12558">
        <v>76962178</v>
      </c>
      <c r="G12558">
        <v>76962240</v>
      </c>
      <c r="H12558">
        <v>76962159</v>
      </c>
      <c r="I12558">
        <v>76962172</v>
      </c>
    </row>
    <row r="12559" spans="1:9" x14ac:dyDescent="0.2">
      <c r="A12559" t="str">
        <f>"Maz"</f>
        <v>Maz</v>
      </c>
      <c r="B12559" t="s">
        <v>14</v>
      </c>
      <c r="C12559" t="s">
        <v>33</v>
      </c>
      <c r="D12559" t="s">
        <v>11</v>
      </c>
      <c r="E12559" t="s">
        <v>12</v>
      </c>
      <c r="F12559">
        <v>127026721</v>
      </c>
      <c r="G12559">
        <v>127026780</v>
      </c>
      <c r="H12559">
        <v>127026567</v>
      </c>
      <c r="I12559">
        <v>127026608</v>
      </c>
    </row>
    <row r="12560" spans="1:9" x14ac:dyDescent="0.2">
      <c r="A12560" t="str">
        <f>"Mb"</f>
        <v>Mb</v>
      </c>
      <c r="B12560" t="s">
        <v>14</v>
      </c>
      <c r="C12560" t="s">
        <v>25</v>
      </c>
      <c r="D12560" t="s">
        <v>11</v>
      </c>
      <c r="E12560" t="s">
        <v>12</v>
      </c>
      <c r="F12560">
        <v>77022632</v>
      </c>
      <c r="G12560">
        <v>77022648</v>
      </c>
      <c r="H12560">
        <v>77022632</v>
      </c>
      <c r="I12560">
        <v>77022648</v>
      </c>
    </row>
    <row r="12561" spans="1:9" x14ac:dyDescent="0.2">
      <c r="A12561" t="str">
        <f>"Mb21d1"</f>
        <v>Mb21d1</v>
      </c>
      <c r="B12561" t="s">
        <v>14</v>
      </c>
      <c r="C12561" t="s">
        <v>24</v>
      </c>
      <c r="D12561" t="s">
        <v>11</v>
      </c>
      <c r="E12561" t="s">
        <v>67</v>
      </c>
      <c r="F12561">
        <v>78443159</v>
      </c>
      <c r="G12561">
        <v>78443175</v>
      </c>
      <c r="H12561">
        <v>78443192</v>
      </c>
      <c r="I12561">
        <v>78443216</v>
      </c>
    </row>
    <row r="12562" spans="1:9" x14ac:dyDescent="0.2">
      <c r="A12562" t="str">
        <f>"Mb21d2"</f>
        <v>Mb21d2</v>
      </c>
      <c r="B12562" t="s">
        <v>14</v>
      </c>
      <c r="C12562" t="s">
        <v>31</v>
      </c>
      <c r="D12562" t="s">
        <v>11</v>
      </c>
      <c r="E12562" t="s">
        <v>67</v>
      </c>
      <c r="F12562">
        <v>28930013</v>
      </c>
      <c r="G12562">
        <v>28930080</v>
      </c>
      <c r="H12562">
        <v>28929658</v>
      </c>
      <c r="I12562">
        <v>28929698</v>
      </c>
    </row>
    <row r="12563" spans="1:9" x14ac:dyDescent="0.2">
      <c r="A12563" t="str">
        <f>"Mbd1"</f>
        <v>Mbd1</v>
      </c>
      <c r="B12563" t="s">
        <v>14</v>
      </c>
      <c r="C12563" t="s">
        <v>43</v>
      </c>
      <c r="D12563" t="s">
        <v>17</v>
      </c>
      <c r="E12563" t="s">
        <v>12</v>
      </c>
      <c r="F12563">
        <v>74268251</v>
      </c>
      <c r="G12563">
        <v>74268337</v>
      </c>
      <c r="H12563">
        <v>74268179</v>
      </c>
      <c r="I12563">
        <v>74268208</v>
      </c>
    </row>
    <row r="12564" spans="1:9" x14ac:dyDescent="0.2">
      <c r="A12564" t="str">
        <f>"Mbd2"</f>
        <v>Mbd2</v>
      </c>
      <c r="B12564" t="s">
        <v>14</v>
      </c>
      <c r="C12564" t="s">
        <v>43</v>
      </c>
      <c r="D12564" t="s">
        <v>17</v>
      </c>
      <c r="E12564" t="s">
        <v>12</v>
      </c>
      <c r="F12564">
        <v>70568268</v>
      </c>
      <c r="G12564">
        <v>70568398</v>
      </c>
      <c r="H12564">
        <v>70568426</v>
      </c>
      <c r="I12564">
        <v>70568506</v>
      </c>
    </row>
    <row r="12565" spans="1:9" x14ac:dyDescent="0.2">
      <c r="A12565" t="str">
        <f>"Mbd3"</f>
        <v>Mbd3</v>
      </c>
      <c r="B12565" t="s">
        <v>14</v>
      </c>
      <c r="C12565" t="s">
        <v>15</v>
      </c>
      <c r="D12565" t="s">
        <v>11</v>
      </c>
      <c r="E12565" t="s">
        <v>12</v>
      </c>
      <c r="F12565">
        <v>80399430</v>
      </c>
      <c r="G12565">
        <v>80399476</v>
      </c>
      <c r="H12565">
        <v>80399344</v>
      </c>
      <c r="I12565">
        <v>80399384</v>
      </c>
    </row>
    <row r="12566" spans="1:9" x14ac:dyDescent="0.2">
      <c r="A12566" t="str">
        <f>"Mbd3l1"</f>
        <v>Mbd3l1</v>
      </c>
      <c r="B12566" t="s">
        <v>14</v>
      </c>
      <c r="C12566" t="s">
        <v>24</v>
      </c>
      <c r="D12566" t="s">
        <v>17</v>
      </c>
      <c r="E12566" t="s">
        <v>12</v>
      </c>
      <c r="F12566">
        <v>18478363</v>
      </c>
      <c r="G12566">
        <v>18478377</v>
      </c>
      <c r="H12566">
        <v>18478382</v>
      </c>
      <c r="I12566">
        <v>18478401</v>
      </c>
    </row>
    <row r="12567" spans="1:9" x14ac:dyDescent="0.2">
      <c r="A12567" t="str">
        <f>"Mbd3l2"</f>
        <v>Mbd3l2</v>
      </c>
      <c r="B12567" t="s">
        <v>14</v>
      </c>
      <c r="C12567" t="s">
        <v>24</v>
      </c>
      <c r="D12567" t="s">
        <v>17</v>
      </c>
      <c r="E12567" t="s">
        <v>12</v>
      </c>
      <c r="F12567">
        <v>18430623</v>
      </c>
      <c r="G12567">
        <v>18430625</v>
      </c>
      <c r="H12567">
        <v>18430623</v>
      </c>
      <c r="I12567">
        <v>18430625</v>
      </c>
    </row>
    <row r="12568" spans="1:9" x14ac:dyDescent="0.2">
      <c r="A12568" t="str">
        <f>"Mbd4"</f>
        <v>Mbd4</v>
      </c>
      <c r="B12568" t="s">
        <v>14</v>
      </c>
      <c r="C12568" t="s">
        <v>32</v>
      </c>
      <c r="D12568" t="s">
        <v>11</v>
      </c>
      <c r="E12568" t="s">
        <v>12</v>
      </c>
      <c r="F12568">
        <v>115853346</v>
      </c>
      <c r="G12568">
        <v>115853389</v>
      </c>
      <c r="H12568">
        <v>115853299</v>
      </c>
      <c r="I12568">
        <v>115853343</v>
      </c>
    </row>
    <row r="12569" spans="1:9" x14ac:dyDescent="0.2">
      <c r="A12569" t="str">
        <f>"Mbd5"</f>
        <v>Mbd5</v>
      </c>
      <c r="B12569" t="s">
        <v>4297</v>
      </c>
      <c r="C12569" t="s">
        <v>26</v>
      </c>
      <c r="D12569" t="s">
        <v>17</v>
      </c>
      <c r="E12569" t="s">
        <v>20</v>
      </c>
      <c r="F12569">
        <v>49245811</v>
      </c>
      <c r="G12569">
        <v>49245811</v>
      </c>
      <c r="H12569">
        <v>49245811</v>
      </c>
      <c r="I12569">
        <v>49245811</v>
      </c>
    </row>
    <row r="12570" spans="1:9" x14ac:dyDescent="0.2">
      <c r="A12570" t="str">
        <f>"Mbd6"</f>
        <v>Mbd6</v>
      </c>
      <c r="B12570" t="s">
        <v>14</v>
      </c>
      <c r="C12570" t="s">
        <v>15</v>
      </c>
      <c r="D12570" t="s">
        <v>11</v>
      </c>
      <c r="E12570" t="s">
        <v>12</v>
      </c>
      <c r="F12570">
        <v>127288851</v>
      </c>
      <c r="G12570">
        <v>127288918</v>
      </c>
      <c r="H12570">
        <v>127288999</v>
      </c>
      <c r="I12570">
        <v>127289035</v>
      </c>
    </row>
    <row r="12571" spans="1:9" x14ac:dyDescent="0.2">
      <c r="A12571" t="str">
        <f>"Mbip"</f>
        <v>Mbip</v>
      </c>
      <c r="B12571" t="s">
        <v>14</v>
      </c>
      <c r="C12571" t="s">
        <v>16</v>
      </c>
      <c r="D12571" t="s">
        <v>11</v>
      </c>
      <c r="E12571" t="s">
        <v>12</v>
      </c>
      <c r="F12571">
        <v>56345792</v>
      </c>
      <c r="G12571">
        <v>56345842</v>
      </c>
      <c r="H12571">
        <v>56345862</v>
      </c>
      <c r="I12571">
        <v>56345888</v>
      </c>
    </row>
    <row r="12572" spans="1:9" x14ac:dyDescent="0.2">
      <c r="A12572" t="str">
        <f>"Mbl1"</f>
        <v>Mbl1</v>
      </c>
      <c r="B12572" t="s">
        <v>14</v>
      </c>
      <c r="C12572" t="s">
        <v>41</v>
      </c>
      <c r="D12572" t="s">
        <v>17</v>
      </c>
      <c r="E12572" t="s">
        <v>12</v>
      </c>
      <c r="F12572">
        <v>41151442</v>
      </c>
      <c r="G12572">
        <v>41151512</v>
      </c>
      <c r="H12572">
        <v>41151442</v>
      </c>
      <c r="I12572">
        <v>41151512</v>
      </c>
    </row>
    <row r="12573" spans="1:9" x14ac:dyDescent="0.2">
      <c r="A12573" t="str">
        <f>"Mbl2"</f>
        <v>Mbl2</v>
      </c>
      <c r="B12573" t="s">
        <v>14</v>
      </c>
      <c r="C12573" t="s">
        <v>10</v>
      </c>
      <c r="D12573" t="s">
        <v>17</v>
      </c>
      <c r="E12573" t="s">
        <v>12</v>
      </c>
      <c r="F12573">
        <v>30232921</v>
      </c>
      <c r="G12573">
        <v>30232940</v>
      </c>
      <c r="H12573">
        <v>30232921</v>
      </c>
      <c r="I12573">
        <v>30232940</v>
      </c>
    </row>
    <row r="12574" spans="1:9" x14ac:dyDescent="0.2">
      <c r="A12574" t="str">
        <f>"Mblac1"</f>
        <v>Mblac1</v>
      </c>
      <c r="B12574" t="s">
        <v>14</v>
      </c>
      <c r="C12574" t="s">
        <v>46</v>
      </c>
      <c r="D12574" t="s">
        <v>17</v>
      </c>
      <c r="E12574" t="s">
        <v>12</v>
      </c>
      <c r="F12574">
        <v>138194277</v>
      </c>
      <c r="G12574">
        <v>138194326</v>
      </c>
      <c r="H12574">
        <v>138194330</v>
      </c>
      <c r="I12574">
        <v>138194335</v>
      </c>
    </row>
    <row r="12575" spans="1:9" x14ac:dyDescent="0.2">
      <c r="A12575" t="str">
        <f>"Mblac2"</f>
        <v>Mblac2</v>
      </c>
      <c r="B12575" t="s">
        <v>14</v>
      </c>
      <c r="C12575" t="s">
        <v>39</v>
      </c>
      <c r="D12575" t="s">
        <v>17</v>
      </c>
      <c r="E12575" t="s">
        <v>12</v>
      </c>
      <c r="F12575">
        <v>81711407</v>
      </c>
      <c r="G12575">
        <v>81711457</v>
      </c>
      <c r="H12575">
        <v>81711407</v>
      </c>
      <c r="I12575">
        <v>81711457</v>
      </c>
    </row>
    <row r="12576" spans="1:9" x14ac:dyDescent="0.2">
      <c r="A12576" t="str">
        <f>"Mbnl1"</f>
        <v>Mbnl1</v>
      </c>
      <c r="B12576" t="s">
        <v>14</v>
      </c>
      <c r="C12576" t="s">
        <v>22</v>
      </c>
      <c r="D12576" t="s">
        <v>17</v>
      </c>
      <c r="E12576" t="s">
        <v>12</v>
      </c>
      <c r="F12576">
        <v>60501257</v>
      </c>
      <c r="G12576">
        <v>60501275</v>
      </c>
      <c r="H12576">
        <v>60501257</v>
      </c>
      <c r="I12576">
        <v>60501275</v>
      </c>
    </row>
    <row r="12577" spans="1:9" x14ac:dyDescent="0.2">
      <c r="A12577" t="str">
        <f>"Mbnl2"</f>
        <v>Mbnl2</v>
      </c>
      <c r="B12577" t="s">
        <v>14</v>
      </c>
      <c r="C12577" t="s">
        <v>41</v>
      </c>
      <c r="D12577" t="s">
        <v>17</v>
      </c>
      <c r="E12577" t="s">
        <v>12</v>
      </c>
      <c r="F12577">
        <v>120275698</v>
      </c>
      <c r="G12577">
        <v>120275714</v>
      </c>
      <c r="H12577">
        <v>120275698</v>
      </c>
      <c r="I12577">
        <v>120275714</v>
      </c>
    </row>
    <row r="12578" spans="1:9" x14ac:dyDescent="0.2">
      <c r="A12578" t="str">
        <f>"Mbnl3"</f>
        <v>Mbnl3</v>
      </c>
      <c r="B12578" t="s">
        <v>14</v>
      </c>
      <c r="C12578" t="s">
        <v>37</v>
      </c>
      <c r="D12578" t="s">
        <v>11</v>
      </c>
      <c r="E12578" t="s">
        <v>12</v>
      </c>
      <c r="F12578">
        <v>51205773</v>
      </c>
      <c r="G12578">
        <v>51205839</v>
      </c>
      <c r="H12578">
        <v>51205902</v>
      </c>
      <c r="I12578">
        <v>51205931</v>
      </c>
    </row>
    <row r="12579" spans="1:9" x14ac:dyDescent="0.2">
      <c r="A12579" t="str">
        <f>"Mboat1"</f>
        <v>Mboat1</v>
      </c>
      <c r="B12579" t="s">
        <v>14</v>
      </c>
      <c r="C12579" t="s">
        <v>39</v>
      </c>
      <c r="D12579" t="s">
        <v>17</v>
      </c>
      <c r="E12579" t="s">
        <v>12</v>
      </c>
      <c r="F12579">
        <v>30136529</v>
      </c>
      <c r="G12579">
        <v>30136594</v>
      </c>
      <c r="H12579">
        <v>30136506</v>
      </c>
      <c r="I12579">
        <v>30136527</v>
      </c>
    </row>
    <row r="12580" spans="1:9" x14ac:dyDescent="0.2">
      <c r="A12580" t="str">
        <f>"Mboat2"</f>
        <v>Mboat2</v>
      </c>
      <c r="B12580" t="s">
        <v>14</v>
      </c>
      <c r="C12580" t="s">
        <v>16</v>
      </c>
      <c r="D12580" t="s">
        <v>17</v>
      </c>
      <c r="E12580" t="s">
        <v>12</v>
      </c>
      <c r="F12580">
        <v>24831583</v>
      </c>
      <c r="G12580">
        <v>24831658</v>
      </c>
      <c r="H12580">
        <v>24831569</v>
      </c>
      <c r="I12580">
        <v>24831578</v>
      </c>
    </row>
    <row r="12581" spans="1:9" x14ac:dyDescent="0.2">
      <c r="A12581" t="str">
        <f>"Mboat4"</f>
        <v>Mboat4</v>
      </c>
      <c r="B12581" t="s">
        <v>14</v>
      </c>
      <c r="C12581" t="s">
        <v>30</v>
      </c>
      <c r="D12581" t="s">
        <v>17</v>
      </c>
      <c r="E12581" t="s">
        <v>12</v>
      </c>
      <c r="F12581">
        <v>34115028</v>
      </c>
      <c r="G12581">
        <v>34115035</v>
      </c>
      <c r="H12581">
        <v>34115028</v>
      </c>
      <c r="I12581">
        <v>34115035</v>
      </c>
    </row>
    <row r="12582" spans="1:9" x14ac:dyDescent="0.2">
      <c r="A12582" t="str">
        <f>"Mboat7"</f>
        <v>Mboat7</v>
      </c>
      <c r="B12582" t="s">
        <v>14</v>
      </c>
      <c r="C12582" t="s">
        <v>33</v>
      </c>
      <c r="D12582" t="s">
        <v>11</v>
      </c>
      <c r="E12582" t="s">
        <v>12</v>
      </c>
      <c r="F12582">
        <v>3692906</v>
      </c>
      <c r="G12582">
        <v>3693032</v>
      </c>
      <c r="H12582">
        <v>3692761</v>
      </c>
      <c r="I12582">
        <v>3692828</v>
      </c>
    </row>
    <row r="12583" spans="1:9" x14ac:dyDescent="0.2">
      <c r="A12583" t="str">
        <f>"Mbp"</f>
        <v>Mbp</v>
      </c>
      <c r="B12583" t="s">
        <v>14</v>
      </c>
      <c r="C12583" t="s">
        <v>43</v>
      </c>
      <c r="D12583" t="s">
        <v>17</v>
      </c>
      <c r="E12583" t="s">
        <v>12</v>
      </c>
      <c r="F12583">
        <v>82554521</v>
      </c>
      <c r="G12583">
        <v>82554539</v>
      </c>
      <c r="H12583">
        <v>82554521</v>
      </c>
      <c r="I12583">
        <v>82554539</v>
      </c>
    </row>
    <row r="12584" spans="1:9" x14ac:dyDescent="0.2">
      <c r="A12584" t="str">
        <f>"Mbtd1"</f>
        <v>Mbtd1</v>
      </c>
      <c r="B12584" t="s">
        <v>14</v>
      </c>
      <c r="C12584" t="s">
        <v>27</v>
      </c>
      <c r="D12584" t="s">
        <v>17</v>
      </c>
      <c r="E12584" t="s">
        <v>12</v>
      </c>
      <c r="F12584">
        <v>93886157</v>
      </c>
      <c r="G12584">
        <v>93886210</v>
      </c>
      <c r="H12584">
        <v>93885827</v>
      </c>
      <c r="I12584">
        <v>93885878</v>
      </c>
    </row>
    <row r="12585" spans="1:9" x14ac:dyDescent="0.2">
      <c r="A12585" t="str">
        <f>"Mbtps1"</f>
        <v>Mbtps1</v>
      </c>
      <c r="B12585" t="s">
        <v>14</v>
      </c>
      <c r="C12585" t="s">
        <v>30</v>
      </c>
      <c r="D12585" t="s">
        <v>11</v>
      </c>
      <c r="E12585" t="s">
        <v>12</v>
      </c>
      <c r="F12585">
        <v>119558718</v>
      </c>
      <c r="G12585">
        <v>119558766</v>
      </c>
      <c r="H12585">
        <v>119558794</v>
      </c>
      <c r="I12585">
        <v>119558807</v>
      </c>
    </row>
    <row r="12586" spans="1:9" x14ac:dyDescent="0.2">
      <c r="A12586" t="str">
        <f>"Mbtps2"</f>
        <v>Mbtps2</v>
      </c>
      <c r="B12586" t="s">
        <v>14</v>
      </c>
      <c r="C12586" t="s">
        <v>37</v>
      </c>
      <c r="D12586" t="s">
        <v>11</v>
      </c>
      <c r="E12586" t="s">
        <v>12</v>
      </c>
      <c r="F12586">
        <v>157598656</v>
      </c>
      <c r="G12586">
        <v>157598694</v>
      </c>
      <c r="H12586">
        <v>157598642</v>
      </c>
      <c r="I12586">
        <v>157598655</v>
      </c>
    </row>
    <row r="12587" spans="1:9" x14ac:dyDescent="0.2">
      <c r="A12587" t="str">
        <f>"Mc1r"</f>
        <v>Mc1r</v>
      </c>
      <c r="B12587" t="s">
        <v>14</v>
      </c>
      <c r="C12587" t="s">
        <v>30</v>
      </c>
      <c r="D12587" t="s">
        <v>17</v>
      </c>
      <c r="E12587" t="s">
        <v>12</v>
      </c>
      <c r="F12587">
        <v>123407093</v>
      </c>
      <c r="G12587">
        <v>123407114</v>
      </c>
      <c r="H12587">
        <v>123407093</v>
      </c>
      <c r="I12587">
        <v>123407114</v>
      </c>
    </row>
    <row r="12588" spans="1:9" x14ac:dyDescent="0.2">
      <c r="A12588" t="str">
        <f>"Mc2r"</f>
        <v>Mc2r</v>
      </c>
      <c r="B12588" t="s">
        <v>14</v>
      </c>
      <c r="C12588" t="s">
        <v>43</v>
      </c>
      <c r="D12588" t="s">
        <v>11</v>
      </c>
      <c r="E12588" t="s">
        <v>12</v>
      </c>
      <c r="F12588">
        <v>68429235</v>
      </c>
      <c r="G12588">
        <v>68429258</v>
      </c>
      <c r="H12588">
        <v>68429280</v>
      </c>
      <c r="I12588">
        <v>68429293</v>
      </c>
    </row>
    <row r="12589" spans="1:9" x14ac:dyDescent="0.2">
      <c r="A12589" t="str">
        <f>"Mc3r"</f>
        <v>Mc3r</v>
      </c>
      <c r="B12589" t="s">
        <v>14</v>
      </c>
      <c r="C12589" t="s">
        <v>26</v>
      </c>
      <c r="D12589" t="s">
        <v>17</v>
      </c>
      <c r="E12589" t="s">
        <v>12</v>
      </c>
      <c r="F12589">
        <v>172248476</v>
      </c>
      <c r="G12589">
        <v>172248513</v>
      </c>
      <c r="H12589">
        <v>172248476</v>
      </c>
      <c r="I12589">
        <v>172248513</v>
      </c>
    </row>
    <row r="12590" spans="1:9" x14ac:dyDescent="0.2">
      <c r="A12590" t="str">
        <f>"Mc4r"</f>
        <v>Mc4r</v>
      </c>
      <c r="B12590" t="s">
        <v>14</v>
      </c>
      <c r="C12590" t="s">
        <v>43</v>
      </c>
      <c r="D12590" t="s">
        <v>11</v>
      </c>
      <c r="E12590" t="s">
        <v>12</v>
      </c>
      <c r="F12590">
        <v>66860458</v>
      </c>
      <c r="G12590">
        <v>66860485</v>
      </c>
      <c r="H12590">
        <v>66860497</v>
      </c>
      <c r="I12590">
        <v>66860508</v>
      </c>
    </row>
    <row r="12591" spans="1:9" x14ac:dyDescent="0.2">
      <c r="A12591" t="str">
        <f>"Mc5r"</f>
        <v>Mc5r</v>
      </c>
      <c r="B12591" t="s">
        <v>14</v>
      </c>
      <c r="C12591" t="s">
        <v>43</v>
      </c>
      <c r="D12591" t="s">
        <v>17</v>
      </c>
      <c r="E12591" t="s">
        <v>12</v>
      </c>
      <c r="F12591">
        <v>68337504</v>
      </c>
      <c r="G12591">
        <v>68337517</v>
      </c>
      <c r="H12591">
        <v>68337475</v>
      </c>
      <c r="I12591">
        <v>68337484</v>
      </c>
    </row>
    <row r="12592" spans="1:9" x14ac:dyDescent="0.2">
      <c r="A12592" t="str">
        <f>"Mcam"</f>
        <v>Mcam</v>
      </c>
      <c r="B12592" t="s">
        <v>14</v>
      </c>
      <c r="C12592" t="s">
        <v>24</v>
      </c>
      <c r="D12592" t="s">
        <v>17</v>
      </c>
      <c r="E12592" t="s">
        <v>12</v>
      </c>
      <c r="F12592">
        <v>44134653</v>
      </c>
      <c r="G12592">
        <v>44134670</v>
      </c>
      <c r="H12592">
        <v>44134206</v>
      </c>
      <c r="I12592">
        <v>44134254</v>
      </c>
    </row>
    <row r="12593" spans="1:9" x14ac:dyDescent="0.2">
      <c r="A12593" t="str">
        <f>"Mcat"</f>
        <v>Mcat</v>
      </c>
      <c r="B12593" t="s">
        <v>14</v>
      </c>
      <c r="C12593" t="s">
        <v>25</v>
      </c>
      <c r="D12593" t="s">
        <v>11</v>
      </c>
      <c r="E12593" t="s">
        <v>12</v>
      </c>
      <c r="F12593">
        <v>83555681</v>
      </c>
      <c r="G12593">
        <v>83555743</v>
      </c>
      <c r="H12593">
        <v>83555681</v>
      </c>
      <c r="I12593">
        <v>83555743</v>
      </c>
    </row>
    <row r="12594" spans="1:9" x14ac:dyDescent="0.2">
      <c r="A12594" t="str">
        <f>"Mcc"</f>
        <v>Mcc</v>
      </c>
      <c r="B12594" t="s">
        <v>4298</v>
      </c>
      <c r="C12594" t="s">
        <v>43</v>
      </c>
      <c r="D12594" t="s">
        <v>11</v>
      </c>
      <c r="E12594" t="s">
        <v>35</v>
      </c>
      <c r="F12594">
        <v>44812215</v>
      </c>
      <c r="G12594">
        <v>44812235</v>
      </c>
      <c r="H12594">
        <v>44812074</v>
      </c>
      <c r="I12594">
        <v>44812077</v>
      </c>
    </row>
    <row r="12595" spans="1:9" x14ac:dyDescent="0.2">
      <c r="A12595" t="str">
        <f>"Mccc1"</f>
        <v>Mccc1</v>
      </c>
      <c r="B12595" t="s">
        <v>14</v>
      </c>
      <c r="C12595" t="s">
        <v>22</v>
      </c>
      <c r="D12595" t="s">
        <v>11</v>
      </c>
      <c r="E12595" t="s">
        <v>12</v>
      </c>
      <c r="F12595">
        <v>36000564</v>
      </c>
      <c r="G12595">
        <v>36000608</v>
      </c>
      <c r="H12595">
        <v>36000617</v>
      </c>
      <c r="I12595">
        <v>36000647</v>
      </c>
    </row>
    <row r="12596" spans="1:9" x14ac:dyDescent="0.2">
      <c r="A12596" t="str">
        <f>"Mccc2"</f>
        <v>Mccc2</v>
      </c>
      <c r="B12596" t="s">
        <v>14</v>
      </c>
      <c r="C12596" t="s">
        <v>39</v>
      </c>
      <c r="D12596" t="s">
        <v>11</v>
      </c>
      <c r="E12596" t="s">
        <v>12</v>
      </c>
      <c r="F12596">
        <v>100015562</v>
      </c>
      <c r="G12596">
        <v>100015647</v>
      </c>
      <c r="H12596">
        <v>100015562</v>
      </c>
      <c r="I12596">
        <v>100015647</v>
      </c>
    </row>
    <row r="12597" spans="1:9" x14ac:dyDescent="0.2">
      <c r="A12597" t="str">
        <f>"Mcee"</f>
        <v>Mcee</v>
      </c>
      <c r="B12597" t="s">
        <v>14</v>
      </c>
      <c r="C12597" t="s">
        <v>33</v>
      </c>
      <c r="D12597" t="s">
        <v>17</v>
      </c>
      <c r="E12597" t="s">
        <v>12</v>
      </c>
      <c r="F12597">
        <v>64392736</v>
      </c>
      <c r="G12597">
        <v>64392763</v>
      </c>
      <c r="H12597">
        <v>64392766</v>
      </c>
      <c r="I12597">
        <v>64392790</v>
      </c>
    </row>
    <row r="12598" spans="1:9" x14ac:dyDescent="0.2">
      <c r="A12598" t="str">
        <f>"Mcf2"</f>
        <v>Mcf2</v>
      </c>
      <c r="B12598" t="s">
        <v>14</v>
      </c>
      <c r="C12598" t="s">
        <v>37</v>
      </c>
      <c r="D12598" t="s">
        <v>11</v>
      </c>
      <c r="E12598" t="s">
        <v>12</v>
      </c>
      <c r="F12598">
        <v>60147836</v>
      </c>
      <c r="G12598">
        <v>60147870</v>
      </c>
      <c r="H12598">
        <v>60147836</v>
      </c>
      <c r="I12598">
        <v>60147870</v>
      </c>
    </row>
    <row r="12599" spans="1:9" x14ac:dyDescent="0.2">
      <c r="A12599" t="str">
        <f>"Mcf2l"</f>
        <v>Mcf2l</v>
      </c>
      <c r="B12599" t="s">
        <v>14</v>
      </c>
      <c r="C12599" t="s">
        <v>30</v>
      </c>
      <c r="D12599" t="s">
        <v>17</v>
      </c>
      <c r="E12599" t="s">
        <v>12</v>
      </c>
      <c r="F12599">
        <v>12915879</v>
      </c>
      <c r="G12599">
        <v>12915966</v>
      </c>
      <c r="H12599">
        <v>12915879</v>
      </c>
      <c r="I12599">
        <v>12915966</v>
      </c>
    </row>
    <row r="12600" spans="1:9" x14ac:dyDescent="0.2">
      <c r="A12600" t="str">
        <f>"Mcfd2"</f>
        <v>Mcfd2</v>
      </c>
      <c r="B12600" t="s">
        <v>14</v>
      </c>
      <c r="C12600" t="s">
        <v>28</v>
      </c>
      <c r="D12600" t="s">
        <v>11</v>
      </c>
      <c r="E12600" t="s">
        <v>12</v>
      </c>
      <c r="F12600">
        <v>87265866</v>
      </c>
      <c r="G12600">
        <v>87265921</v>
      </c>
      <c r="H12600">
        <v>87265866</v>
      </c>
      <c r="I12600">
        <v>87265921</v>
      </c>
    </row>
    <row r="12601" spans="1:9" x14ac:dyDescent="0.2">
      <c r="A12601" t="str">
        <f>"Mchr1"</f>
        <v>Mchr1</v>
      </c>
      <c r="B12601" t="s">
        <v>14</v>
      </c>
      <c r="C12601" t="s">
        <v>25</v>
      </c>
      <c r="D12601" t="s">
        <v>17</v>
      </c>
      <c r="E12601" t="s">
        <v>12</v>
      </c>
      <c r="F12601">
        <v>81235600</v>
      </c>
      <c r="G12601">
        <v>81235628</v>
      </c>
      <c r="H12601">
        <v>81235600</v>
      </c>
      <c r="I12601">
        <v>81235628</v>
      </c>
    </row>
    <row r="12602" spans="1:9" x14ac:dyDescent="0.2">
      <c r="A12602" t="str">
        <f>"Mcidas"</f>
        <v>Mcidas</v>
      </c>
      <c r="B12602" t="s">
        <v>14</v>
      </c>
      <c r="C12602" t="s">
        <v>39</v>
      </c>
      <c r="D12602" t="s">
        <v>17</v>
      </c>
      <c r="E12602" t="s">
        <v>67</v>
      </c>
      <c r="F12602">
        <v>112993842</v>
      </c>
      <c r="G12602">
        <v>112993868</v>
      </c>
      <c r="H12602">
        <v>112993798</v>
      </c>
      <c r="I12602">
        <v>112993810</v>
      </c>
    </row>
    <row r="12603" spans="1:9" x14ac:dyDescent="0.2">
      <c r="A12603" t="str">
        <f>"Mcl1"</f>
        <v>Mcl1</v>
      </c>
      <c r="B12603" t="s">
        <v>14</v>
      </c>
      <c r="C12603" t="s">
        <v>22</v>
      </c>
      <c r="D12603" t="s">
        <v>17</v>
      </c>
      <c r="E12603" t="s">
        <v>12</v>
      </c>
      <c r="F12603">
        <v>95658771</v>
      </c>
      <c r="G12603">
        <v>95658787</v>
      </c>
      <c r="H12603">
        <v>95658738</v>
      </c>
      <c r="I12603">
        <v>95658749</v>
      </c>
    </row>
    <row r="12604" spans="1:9" x14ac:dyDescent="0.2">
      <c r="A12604" t="str">
        <f>"Mcm10"</f>
        <v>Mcm10</v>
      </c>
      <c r="B12604" t="s">
        <v>9</v>
      </c>
      <c r="C12604" t="s">
        <v>26</v>
      </c>
      <c r="D12604" t="s">
        <v>11</v>
      </c>
      <c r="E12604" t="s">
        <v>12</v>
      </c>
      <c r="F12604">
        <v>5012716</v>
      </c>
      <c r="G12604">
        <v>5012766</v>
      </c>
      <c r="H12604">
        <v>5012716</v>
      </c>
      <c r="I12604">
        <v>5012766</v>
      </c>
    </row>
    <row r="12605" spans="1:9" x14ac:dyDescent="0.2">
      <c r="A12605" t="str">
        <f>"Mcm10"</f>
        <v>Mcm10</v>
      </c>
      <c r="B12605" t="s">
        <v>13</v>
      </c>
      <c r="C12605" t="s">
        <v>26</v>
      </c>
      <c r="D12605" t="s">
        <v>11</v>
      </c>
      <c r="E12605" t="s">
        <v>12</v>
      </c>
      <c r="F12605">
        <v>4995798</v>
      </c>
      <c r="G12605">
        <v>4995824</v>
      </c>
      <c r="H12605">
        <v>4995798</v>
      </c>
      <c r="I12605">
        <v>4995824</v>
      </c>
    </row>
    <row r="12606" spans="1:9" x14ac:dyDescent="0.2">
      <c r="A12606" t="str">
        <f>"Mcm2"</f>
        <v>Mcm2</v>
      </c>
      <c r="B12606" t="s">
        <v>14</v>
      </c>
      <c r="C12606" t="s">
        <v>32</v>
      </c>
      <c r="D12606" t="s">
        <v>11</v>
      </c>
      <c r="E12606" t="s">
        <v>12</v>
      </c>
      <c r="F12606">
        <v>88898664</v>
      </c>
      <c r="G12606">
        <v>88898713</v>
      </c>
      <c r="H12606">
        <v>88898664</v>
      </c>
      <c r="I12606">
        <v>88898713</v>
      </c>
    </row>
    <row r="12607" spans="1:9" x14ac:dyDescent="0.2">
      <c r="A12607" t="str">
        <f>"Mcm3"</f>
        <v>Mcm3</v>
      </c>
      <c r="B12607" t="s">
        <v>14</v>
      </c>
      <c r="C12607" t="s">
        <v>19</v>
      </c>
      <c r="D12607" t="s">
        <v>11</v>
      </c>
      <c r="E12607" t="s">
        <v>12</v>
      </c>
      <c r="F12607">
        <v>20820213</v>
      </c>
      <c r="G12607">
        <v>20820286</v>
      </c>
      <c r="H12607">
        <v>20820213</v>
      </c>
      <c r="I12607">
        <v>20820286</v>
      </c>
    </row>
    <row r="12608" spans="1:9" x14ac:dyDescent="0.2">
      <c r="A12608" t="str">
        <f>"Mcm3ap"</f>
        <v>Mcm3ap</v>
      </c>
      <c r="B12608" t="s">
        <v>14</v>
      </c>
      <c r="C12608" t="s">
        <v>15</v>
      </c>
      <c r="D12608" t="s">
        <v>17</v>
      </c>
      <c r="E12608" t="s">
        <v>12</v>
      </c>
      <c r="F12608">
        <v>76468866</v>
      </c>
      <c r="G12608">
        <v>76468993</v>
      </c>
      <c r="H12608">
        <v>76469043</v>
      </c>
      <c r="I12608">
        <v>76469061</v>
      </c>
    </row>
    <row r="12609" spans="1:9" x14ac:dyDescent="0.2">
      <c r="A12609" t="str">
        <f>"Mcm4"</f>
        <v>Mcm4</v>
      </c>
      <c r="B12609" t="s">
        <v>14</v>
      </c>
      <c r="C12609" t="s">
        <v>31</v>
      </c>
      <c r="D12609" t="s">
        <v>11</v>
      </c>
      <c r="E12609" t="s">
        <v>12</v>
      </c>
      <c r="F12609">
        <v>15637277</v>
      </c>
      <c r="G12609">
        <v>15637385</v>
      </c>
      <c r="H12609">
        <v>15637277</v>
      </c>
      <c r="I12609">
        <v>15637385</v>
      </c>
    </row>
    <row r="12610" spans="1:9" x14ac:dyDescent="0.2">
      <c r="A12610" t="str">
        <f>"Mcm5"</f>
        <v>Mcm5</v>
      </c>
      <c r="B12610" t="s">
        <v>14</v>
      </c>
      <c r="C12610" t="s">
        <v>30</v>
      </c>
      <c r="D12610" t="s">
        <v>17</v>
      </c>
      <c r="E12610" t="s">
        <v>12</v>
      </c>
      <c r="F12610">
        <v>75109559</v>
      </c>
      <c r="G12610">
        <v>75109601</v>
      </c>
      <c r="H12610">
        <v>75109672</v>
      </c>
      <c r="I12610">
        <v>75109688</v>
      </c>
    </row>
    <row r="12611" spans="1:9" x14ac:dyDescent="0.2">
      <c r="A12611" t="str">
        <f>"Mcm6"</f>
        <v>Mcm6</v>
      </c>
      <c r="B12611" t="s">
        <v>14</v>
      </c>
      <c r="C12611" t="s">
        <v>19</v>
      </c>
      <c r="D12611" t="s">
        <v>11</v>
      </c>
      <c r="E12611" t="s">
        <v>12</v>
      </c>
      <c r="F12611">
        <v>128359610</v>
      </c>
      <c r="G12611">
        <v>128359698</v>
      </c>
      <c r="H12611">
        <v>128359597</v>
      </c>
      <c r="I12611">
        <v>128359609</v>
      </c>
    </row>
    <row r="12612" spans="1:9" x14ac:dyDescent="0.2">
      <c r="A12612" t="str">
        <f>"Mcm7"</f>
        <v>Mcm7</v>
      </c>
      <c r="B12612" t="s">
        <v>14</v>
      </c>
      <c r="C12612" t="s">
        <v>46</v>
      </c>
      <c r="D12612" t="s">
        <v>11</v>
      </c>
      <c r="E12612" t="s">
        <v>12</v>
      </c>
      <c r="F12612">
        <v>138171844</v>
      </c>
      <c r="G12612">
        <v>138171887</v>
      </c>
      <c r="H12612">
        <v>138170992</v>
      </c>
      <c r="I12612">
        <v>138171033</v>
      </c>
    </row>
    <row r="12613" spans="1:9" x14ac:dyDescent="0.2">
      <c r="A12613" t="str">
        <f>"Mcm8"</f>
        <v>Mcm8</v>
      </c>
      <c r="B12613" t="s">
        <v>14</v>
      </c>
      <c r="C12613" t="s">
        <v>26</v>
      </c>
      <c r="D12613" t="s">
        <v>17</v>
      </c>
      <c r="E12613" t="s">
        <v>12</v>
      </c>
      <c r="F12613">
        <v>132816136</v>
      </c>
      <c r="G12613">
        <v>132816240</v>
      </c>
      <c r="H12613">
        <v>132816290</v>
      </c>
      <c r="I12613">
        <v>132816308</v>
      </c>
    </row>
    <row r="12614" spans="1:9" x14ac:dyDescent="0.2">
      <c r="A12614" t="str">
        <f>"Mcm9"</f>
        <v>Mcm9</v>
      </c>
      <c r="B12614" t="s">
        <v>14</v>
      </c>
      <c r="C12614" t="s">
        <v>15</v>
      </c>
      <c r="D12614" t="s">
        <v>11</v>
      </c>
      <c r="E12614" t="s">
        <v>12</v>
      </c>
      <c r="F12614">
        <v>53629942</v>
      </c>
      <c r="G12614">
        <v>53629981</v>
      </c>
      <c r="H12614">
        <v>53629987</v>
      </c>
      <c r="I12614">
        <v>53630022</v>
      </c>
    </row>
    <row r="12615" spans="1:9" x14ac:dyDescent="0.2">
      <c r="A12615" t="str">
        <f>"Mcmbp"</f>
        <v>Mcmbp</v>
      </c>
      <c r="B12615" t="s">
        <v>14</v>
      </c>
      <c r="C12615" t="s">
        <v>33</v>
      </c>
      <c r="D12615" t="s">
        <v>11</v>
      </c>
      <c r="E12615" t="s">
        <v>12</v>
      </c>
      <c r="F12615">
        <v>128740471</v>
      </c>
      <c r="G12615">
        <v>128740525</v>
      </c>
      <c r="H12615">
        <v>128740434</v>
      </c>
      <c r="I12615">
        <v>128740470</v>
      </c>
    </row>
    <row r="12616" spans="1:9" x14ac:dyDescent="0.2">
      <c r="A12616" t="str">
        <f>"Mcmdc2"</f>
        <v>Mcmdc2</v>
      </c>
      <c r="B12616" t="s">
        <v>14</v>
      </c>
      <c r="C12616" t="s">
        <v>19</v>
      </c>
      <c r="D12616" t="s">
        <v>17</v>
      </c>
      <c r="E12616" t="s">
        <v>67</v>
      </c>
      <c r="F12616">
        <v>9908624</v>
      </c>
      <c r="G12616">
        <v>9908645</v>
      </c>
      <c r="H12616">
        <v>9908654</v>
      </c>
      <c r="I12616">
        <v>9908669</v>
      </c>
    </row>
    <row r="12617" spans="1:9" x14ac:dyDescent="0.2">
      <c r="A12617" t="str">
        <f>"Mcoln1"</f>
        <v>Mcoln1</v>
      </c>
      <c r="B12617" t="s">
        <v>14</v>
      </c>
      <c r="C12617" t="s">
        <v>30</v>
      </c>
      <c r="D12617" t="s">
        <v>17</v>
      </c>
      <c r="E12617" t="s">
        <v>12</v>
      </c>
      <c r="F12617">
        <v>3500451</v>
      </c>
      <c r="G12617">
        <v>3500524</v>
      </c>
      <c r="H12617">
        <v>3500530</v>
      </c>
      <c r="I12617">
        <v>3500548</v>
      </c>
    </row>
    <row r="12618" spans="1:9" x14ac:dyDescent="0.2">
      <c r="A12618" t="str">
        <f>"Mcoln2"</f>
        <v>Mcoln2</v>
      </c>
      <c r="B12618" t="s">
        <v>14</v>
      </c>
      <c r="C12618" t="s">
        <v>22</v>
      </c>
      <c r="D12618" t="s">
        <v>17</v>
      </c>
      <c r="E12618" t="s">
        <v>12</v>
      </c>
      <c r="F12618">
        <v>146150256</v>
      </c>
      <c r="G12618">
        <v>146150285</v>
      </c>
      <c r="H12618">
        <v>146150228</v>
      </c>
      <c r="I12618">
        <v>146150249</v>
      </c>
    </row>
    <row r="12619" spans="1:9" x14ac:dyDescent="0.2">
      <c r="A12619" t="str">
        <f>"Mcoln3"</f>
        <v>Mcoln3</v>
      </c>
      <c r="B12619" t="s">
        <v>9</v>
      </c>
      <c r="C12619" t="s">
        <v>22</v>
      </c>
      <c r="D12619" t="s">
        <v>17</v>
      </c>
      <c r="E12619" t="s">
        <v>12</v>
      </c>
      <c r="F12619">
        <v>146117468</v>
      </c>
      <c r="G12619">
        <v>146117521</v>
      </c>
      <c r="H12619">
        <v>146117468</v>
      </c>
      <c r="I12619">
        <v>146117521</v>
      </c>
    </row>
    <row r="12620" spans="1:9" x14ac:dyDescent="0.2">
      <c r="A12620" t="str">
        <f>"Mcoln3"</f>
        <v>Mcoln3</v>
      </c>
      <c r="B12620" t="s">
        <v>13</v>
      </c>
      <c r="C12620" t="s">
        <v>22</v>
      </c>
      <c r="D12620" t="s">
        <v>17</v>
      </c>
      <c r="E12620" t="s">
        <v>12</v>
      </c>
      <c r="F12620">
        <v>146121695</v>
      </c>
      <c r="G12620">
        <v>146121715</v>
      </c>
      <c r="H12620">
        <v>146121695</v>
      </c>
      <c r="I12620">
        <v>146121715</v>
      </c>
    </row>
    <row r="12621" spans="1:9" x14ac:dyDescent="0.2">
      <c r="A12621" t="str">
        <f>"Mcph1"</f>
        <v>Mcph1</v>
      </c>
      <c r="B12621" t="s">
        <v>14</v>
      </c>
      <c r="C12621" t="s">
        <v>30</v>
      </c>
      <c r="D12621" t="s">
        <v>17</v>
      </c>
      <c r="E12621" t="s">
        <v>12</v>
      </c>
      <c r="F12621">
        <v>18595526</v>
      </c>
      <c r="G12621">
        <v>18595583</v>
      </c>
      <c r="H12621">
        <v>18595144</v>
      </c>
      <c r="I12621">
        <v>18595186</v>
      </c>
    </row>
    <row r="12622" spans="1:9" x14ac:dyDescent="0.2">
      <c r="A12622" t="str">
        <f>"Mcpt1"</f>
        <v>Mcpt1</v>
      </c>
      <c r="B12622" t="s">
        <v>14</v>
      </c>
      <c r="C12622" t="s">
        <v>41</v>
      </c>
      <c r="D12622" t="s">
        <v>17</v>
      </c>
      <c r="E12622" t="s">
        <v>12</v>
      </c>
      <c r="F12622">
        <v>56017965</v>
      </c>
      <c r="G12622">
        <v>56017970</v>
      </c>
      <c r="H12622">
        <v>56017965</v>
      </c>
      <c r="I12622">
        <v>56017970</v>
      </c>
    </row>
    <row r="12623" spans="1:9" x14ac:dyDescent="0.2">
      <c r="A12623" t="str">
        <f>"Mcpt2"</f>
        <v>Mcpt2</v>
      </c>
      <c r="B12623" t="s">
        <v>14</v>
      </c>
      <c r="C12623" t="s">
        <v>41</v>
      </c>
      <c r="D12623" t="s">
        <v>17</v>
      </c>
      <c r="E12623" t="s">
        <v>12</v>
      </c>
      <c r="F12623">
        <v>56042111</v>
      </c>
      <c r="G12623">
        <v>56042126</v>
      </c>
      <c r="H12623">
        <v>56042111</v>
      </c>
      <c r="I12623">
        <v>56042126</v>
      </c>
    </row>
    <row r="12624" spans="1:9" x14ac:dyDescent="0.2">
      <c r="A12624" t="str">
        <f>"Mcpt4"</f>
        <v>Mcpt4</v>
      </c>
      <c r="B12624" t="s">
        <v>14</v>
      </c>
      <c r="C12624" t="s">
        <v>41</v>
      </c>
      <c r="D12624" t="s">
        <v>11</v>
      </c>
      <c r="E12624" t="s">
        <v>12</v>
      </c>
      <c r="F12624">
        <v>56062307</v>
      </c>
      <c r="G12624">
        <v>56062313</v>
      </c>
      <c r="H12624">
        <v>56062307</v>
      </c>
      <c r="I12624">
        <v>56062313</v>
      </c>
    </row>
    <row r="12625" spans="1:9" x14ac:dyDescent="0.2">
      <c r="A12625" t="str">
        <f>"Mcpt8"</f>
        <v>Mcpt8</v>
      </c>
      <c r="B12625" t="s">
        <v>14</v>
      </c>
      <c r="C12625" t="s">
        <v>41</v>
      </c>
      <c r="D12625" t="s">
        <v>11</v>
      </c>
      <c r="E12625" t="s">
        <v>12</v>
      </c>
      <c r="F12625">
        <v>56085214</v>
      </c>
      <c r="G12625">
        <v>56085217</v>
      </c>
      <c r="H12625">
        <v>56085214</v>
      </c>
      <c r="I12625">
        <v>56085217</v>
      </c>
    </row>
    <row r="12626" spans="1:9" x14ac:dyDescent="0.2">
      <c r="A12626" t="str">
        <f>"Mcpt9"</f>
        <v>Mcpt9</v>
      </c>
      <c r="B12626" t="s">
        <v>4299</v>
      </c>
      <c r="C12626" t="s">
        <v>41</v>
      </c>
      <c r="D12626" t="s">
        <v>11</v>
      </c>
      <c r="E12626" t="s">
        <v>20</v>
      </c>
      <c r="F12626">
        <v>56030494</v>
      </c>
      <c r="G12626">
        <v>56030494</v>
      </c>
      <c r="H12626">
        <v>56030494</v>
      </c>
      <c r="I12626">
        <v>56030494</v>
      </c>
    </row>
    <row r="12627" spans="1:9" x14ac:dyDescent="0.2">
      <c r="A12627" t="str">
        <f>"Mcrs1"</f>
        <v>Mcrs1</v>
      </c>
      <c r="B12627" t="s">
        <v>9</v>
      </c>
      <c r="C12627" t="s">
        <v>25</v>
      </c>
      <c r="D12627" t="s">
        <v>11</v>
      </c>
      <c r="E12627" t="s">
        <v>12</v>
      </c>
      <c r="F12627">
        <v>99251929</v>
      </c>
      <c r="G12627">
        <v>99251968</v>
      </c>
      <c r="H12627">
        <v>99251929</v>
      </c>
      <c r="I12627">
        <v>99251968</v>
      </c>
    </row>
    <row r="12628" spans="1:9" x14ac:dyDescent="0.2">
      <c r="A12628" t="str">
        <f>"Mcrs1"</f>
        <v>Mcrs1</v>
      </c>
      <c r="B12628" t="s">
        <v>13</v>
      </c>
      <c r="C12628" t="s">
        <v>25</v>
      </c>
      <c r="D12628" t="s">
        <v>11</v>
      </c>
      <c r="E12628" t="s">
        <v>12</v>
      </c>
      <c r="F12628">
        <v>99248952</v>
      </c>
      <c r="G12628">
        <v>99248972</v>
      </c>
      <c r="H12628">
        <v>99248952</v>
      </c>
      <c r="I12628">
        <v>99248972</v>
      </c>
    </row>
    <row r="12629" spans="1:9" x14ac:dyDescent="0.2">
      <c r="A12629" t="str">
        <f>"Mctp1"</f>
        <v>Mctp1</v>
      </c>
      <c r="B12629" t="s">
        <v>14</v>
      </c>
      <c r="C12629" t="s">
        <v>39</v>
      </c>
      <c r="D12629" t="s">
        <v>17</v>
      </c>
      <c r="E12629" t="s">
        <v>12</v>
      </c>
      <c r="F12629">
        <v>76579589</v>
      </c>
      <c r="G12629">
        <v>76579622</v>
      </c>
      <c r="H12629">
        <v>76579589</v>
      </c>
      <c r="I12629">
        <v>76579622</v>
      </c>
    </row>
    <row r="12630" spans="1:9" x14ac:dyDescent="0.2">
      <c r="A12630" t="str">
        <f>"Mctp2"</f>
        <v>Mctp2</v>
      </c>
      <c r="B12630" t="s">
        <v>14</v>
      </c>
      <c r="C12630" t="s">
        <v>33</v>
      </c>
      <c r="D12630" t="s">
        <v>11</v>
      </c>
      <c r="E12630" t="s">
        <v>12</v>
      </c>
      <c r="F12630">
        <v>72306600</v>
      </c>
      <c r="G12630">
        <v>72306647</v>
      </c>
      <c r="H12630">
        <v>72306586</v>
      </c>
      <c r="I12630">
        <v>72306599</v>
      </c>
    </row>
    <row r="12631" spans="1:9" x14ac:dyDescent="0.2">
      <c r="A12631" t="str">
        <f>"Mcts1"</f>
        <v>Mcts1</v>
      </c>
      <c r="B12631" t="s">
        <v>14</v>
      </c>
      <c r="C12631" t="s">
        <v>37</v>
      </c>
      <c r="D12631" t="s">
        <v>17</v>
      </c>
      <c r="E12631" t="s">
        <v>12</v>
      </c>
      <c r="F12631">
        <v>38600626</v>
      </c>
      <c r="G12631">
        <v>38600691</v>
      </c>
      <c r="H12631">
        <v>38600626</v>
      </c>
      <c r="I12631">
        <v>38600691</v>
      </c>
    </row>
    <row r="12632" spans="1:9" x14ac:dyDescent="0.2">
      <c r="A12632" t="str">
        <f>"Mcts2"</f>
        <v>Mcts2</v>
      </c>
      <c r="B12632" t="s">
        <v>14</v>
      </c>
      <c r="C12632" t="s">
        <v>26</v>
      </c>
      <c r="D12632" t="s">
        <v>17</v>
      </c>
      <c r="E12632" t="s">
        <v>12</v>
      </c>
      <c r="F12632">
        <v>152687163</v>
      </c>
      <c r="G12632">
        <v>152687177</v>
      </c>
      <c r="H12632">
        <v>152687178</v>
      </c>
      <c r="I12632">
        <v>152687200</v>
      </c>
    </row>
    <row r="12633" spans="1:9" x14ac:dyDescent="0.2">
      <c r="A12633" t="str">
        <f>"Mcu"</f>
        <v>Mcu</v>
      </c>
      <c r="B12633" t="s">
        <v>14</v>
      </c>
      <c r="C12633" t="s">
        <v>15</v>
      </c>
      <c r="D12633" t="s">
        <v>11</v>
      </c>
      <c r="E12633" t="s">
        <v>67</v>
      </c>
      <c r="F12633">
        <v>59616667</v>
      </c>
      <c r="G12633">
        <v>59616695</v>
      </c>
      <c r="H12633">
        <v>59616559</v>
      </c>
      <c r="I12633">
        <v>59616570</v>
      </c>
    </row>
    <row r="12634" spans="1:9" x14ac:dyDescent="0.2">
      <c r="A12634" t="str">
        <f>"Mcur1"</f>
        <v>Mcur1</v>
      </c>
      <c r="B12634" t="s">
        <v>14</v>
      </c>
      <c r="C12634" t="s">
        <v>39</v>
      </c>
      <c r="D12634" t="s">
        <v>11</v>
      </c>
      <c r="E12634" t="s">
        <v>67</v>
      </c>
      <c r="F12634">
        <v>43560114</v>
      </c>
      <c r="G12634">
        <v>43560171</v>
      </c>
      <c r="H12634">
        <v>43560174</v>
      </c>
      <c r="I12634">
        <v>43560231</v>
      </c>
    </row>
    <row r="12635" spans="1:9" x14ac:dyDescent="0.2">
      <c r="A12635" t="str">
        <f>"Mdc1"</f>
        <v>Mdc1</v>
      </c>
      <c r="B12635" t="s">
        <v>14</v>
      </c>
      <c r="C12635" t="s">
        <v>28</v>
      </c>
      <c r="D12635" t="s">
        <v>17</v>
      </c>
      <c r="E12635" t="s">
        <v>12</v>
      </c>
      <c r="F12635">
        <v>35841603</v>
      </c>
      <c r="G12635">
        <v>35841659</v>
      </c>
      <c r="H12635">
        <v>35841668</v>
      </c>
      <c r="I12635">
        <v>35841683</v>
      </c>
    </row>
    <row r="12636" spans="1:9" x14ac:dyDescent="0.2">
      <c r="A12636" t="str">
        <f>"Mdfi"</f>
        <v>Mdfi</v>
      </c>
      <c r="B12636" t="s">
        <v>14</v>
      </c>
      <c r="C12636" t="s">
        <v>28</v>
      </c>
      <c r="D12636" t="s">
        <v>11</v>
      </c>
      <c r="E12636" t="s">
        <v>12</v>
      </c>
      <c r="F12636">
        <v>47833225</v>
      </c>
      <c r="G12636">
        <v>47833254</v>
      </c>
      <c r="H12636">
        <v>47833256</v>
      </c>
      <c r="I12636">
        <v>47833279</v>
      </c>
    </row>
    <row r="12637" spans="1:9" x14ac:dyDescent="0.2">
      <c r="A12637" t="str">
        <f>"Mdfic"</f>
        <v>Mdfic</v>
      </c>
      <c r="B12637" t="s">
        <v>14</v>
      </c>
      <c r="C12637" t="s">
        <v>32</v>
      </c>
      <c r="D12637" t="s">
        <v>17</v>
      </c>
      <c r="E12637" t="s">
        <v>12</v>
      </c>
      <c r="F12637">
        <v>15720654</v>
      </c>
      <c r="G12637">
        <v>15720747</v>
      </c>
      <c r="H12637">
        <v>15721103</v>
      </c>
      <c r="I12637">
        <v>15721197</v>
      </c>
    </row>
    <row r="12638" spans="1:9" x14ac:dyDescent="0.2">
      <c r="A12638" t="str">
        <f>"Mdga1"</f>
        <v>Mdga1</v>
      </c>
      <c r="B12638" t="s">
        <v>14</v>
      </c>
      <c r="C12638" t="s">
        <v>28</v>
      </c>
      <c r="D12638" t="s">
        <v>11</v>
      </c>
      <c r="E12638" t="s">
        <v>12</v>
      </c>
      <c r="F12638">
        <v>29888570</v>
      </c>
      <c r="G12638">
        <v>29888593</v>
      </c>
      <c r="H12638">
        <v>29888390</v>
      </c>
      <c r="I12638">
        <v>29888411</v>
      </c>
    </row>
    <row r="12639" spans="1:9" x14ac:dyDescent="0.2">
      <c r="A12639" t="str">
        <f>"Mdga2"</f>
        <v>Mdga2</v>
      </c>
      <c r="B12639" t="s">
        <v>4300</v>
      </c>
      <c r="C12639" t="s">
        <v>16</v>
      </c>
      <c r="D12639" t="s">
        <v>11</v>
      </c>
      <c r="E12639" t="s">
        <v>20</v>
      </c>
      <c r="F12639">
        <v>66471057</v>
      </c>
      <c r="G12639">
        <v>66471057</v>
      </c>
      <c r="H12639">
        <v>66471057</v>
      </c>
      <c r="I12639">
        <v>66471057</v>
      </c>
    </row>
    <row r="12640" spans="1:9" x14ac:dyDescent="0.2">
      <c r="A12640" t="str">
        <f>"Mdh1"</f>
        <v>Mdh1</v>
      </c>
      <c r="B12640" t="s">
        <v>14</v>
      </c>
      <c r="C12640" t="s">
        <v>27</v>
      </c>
      <c r="D12640" t="s">
        <v>11</v>
      </c>
      <c r="E12640" t="s">
        <v>12</v>
      </c>
      <c r="F12640">
        <v>21571798</v>
      </c>
      <c r="G12640">
        <v>21571827</v>
      </c>
      <c r="H12640">
        <v>21571798</v>
      </c>
      <c r="I12640">
        <v>21571827</v>
      </c>
    </row>
    <row r="12641" spans="1:9" x14ac:dyDescent="0.2">
      <c r="A12641" t="str">
        <f>"Mdh1b"</f>
        <v>Mdh1b</v>
      </c>
      <c r="B12641" t="s">
        <v>14</v>
      </c>
      <c r="C12641" t="s">
        <v>19</v>
      </c>
      <c r="D12641" t="s">
        <v>11</v>
      </c>
      <c r="E12641" t="s">
        <v>12</v>
      </c>
      <c r="F12641">
        <v>63730306</v>
      </c>
      <c r="G12641">
        <v>63730342</v>
      </c>
      <c r="H12641">
        <v>63730346</v>
      </c>
      <c r="I12641">
        <v>63730354</v>
      </c>
    </row>
    <row r="12642" spans="1:9" x14ac:dyDescent="0.2">
      <c r="A12642" t="str">
        <f>"Mdh2"</f>
        <v>Mdh2</v>
      </c>
      <c r="B12642" t="s">
        <v>14</v>
      </c>
      <c r="C12642" t="s">
        <v>46</v>
      </c>
      <c r="D12642" t="s">
        <v>17</v>
      </c>
      <c r="E12642" t="s">
        <v>12</v>
      </c>
      <c r="F12642">
        <v>135778647</v>
      </c>
      <c r="G12642">
        <v>135778663</v>
      </c>
      <c r="H12642">
        <v>135778674</v>
      </c>
      <c r="I12642">
        <v>135778689</v>
      </c>
    </row>
    <row r="12643" spans="1:9" x14ac:dyDescent="0.2">
      <c r="A12643" t="str">
        <f>"Mdk"</f>
        <v>Mdk</v>
      </c>
      <c r="B12643" t="s">
        <v>14</v>
      </c>
      <c r="C12643" t="s">
        <v>26</v>
      </c>
      <c r="D12643" t="s">
        <v>11</v>
      </c>
      <c r="E12643" t="s">
        <v>12</v>
      </c>
      <c r="F12643">
        <v>91931728</v>
      </c>
      <c r="G12643">
        <v>91931772</v>
      </c>
      <c r="H12643">
        <v>91931696</v>
      </c>
      <c r="I12643">
        <v>91931723</v>
      </c>
    </row>
    <row r="12644" spans="1:9" x14ac:dyDescent="0.2">
      <c r="A12644" t="str">
        <f>"Mdm1"</f>
        <v>Mdm1</v>
      </c>
      <c r="B12644" t="s">
        <v>14</v>
      </c>
      <c r="C12644" t="s">
        <v>15</v>
      </c>
      <c r="D12644" t="s">
        <v>17</v>
      </c>
      <c r="E12644" t="s">
        <v>12</v>
      </c>
      <c r="F12644">
        <v>118141802</v>
      </c>
      <c r="G12644">
        <v>118141870</v>
      </c>
      <c r="H12644">
        <v>118141885</v>
      </c>
      <c r="I12644">
        <v>118141898</v>
      </c>
    </row>
    <row r="12645" spans="1:9" x14ac:dyDescent="0.2">
      <c r="A12645" t="str">
        <f>"Mdm2"</f>
        <v>Mdm2</v>
      </c>
      <c r="B12645" t="s">
        <v>14</v>
      </c>
      <c r="C12645" t="s">
        <v>15</v>
      </c>
      <c r="D12645" t="s">
        <v>11</v>
      </c>
      <c r="E12645" t="s">
        <v>12</v>
      </c>
      <c r="F12645">
        <v>117710674</v>
      </c>
      <c r="G12645">
        <v>117710736</v>
      </c>
      <c r="H12645">
        <v>117710015</v>
      </c>
      <c r="I12645">
        <v>117710032</v>
      </c>
    </row>
    <row r="12646" spans="1:9" x14ac:dyDescent="0.2">
      <c r="A12646" t="str">
        <f>"Mdm4"</f>
        <v>Mdm4</v>
      </c>
      <c r="B12646" t="s">
        <v>14</v>
      </c>
      <c r="C12646" t="s">
        <v>19</v>
      </c>
      <c r="D12646" t="s">
        <v>11</v>
      </c>
      <c r="E12646" t="s">
        <v>12</v>
      </c>
      <c r="F12646">
        <v>133025330</v>
      </c>
      <c r="G12646">
        <v>133025391</v>
      </c>
      <c r="H12646">
        <v>133025330</v>
      </c>
      <c r="I12646">
        <v>133025391</v>
      </c>
    </row>
    <row r="12647" spans="1:9" x14ac:dyDescent="0.2">
      <c r="A12647" t="str">
        <f>"Mdn1"</f>
        <v>Mdn1</v>
      </c>
      <c r="B12647" t="s">
        <v>14</v>
      </c>
      <c r="C12647" t="s">
        <v>23</v>
      </c>
      <c r="D12647" t="s">
        <v>17</v>
      </c>
      <c r="E12647" t="s">
        <v>12</v>
      </c>
      <c r="F12647">
        <v>32657107</v>
      </c>
      <c r="G12647">
        <v>32657166</v>
      </c>
      <c r="H12647">
        <v>32657184</v>
      </c>
      <c r="I12647">
        <v>32657194</v>
      </c>
    </row>
    <row r="12648" spans="1:9" x14ac:dyDescent="0.2">
      <c r="A12648" t="str">
        <f>"Mdp1"</f>
        <v>Mdp1</v>
      </c>
      <c r="B12648" t="s">
        <v>14</v>
      </c>
      <c r="C12648" t="s">
        <v>41</v>
      </c>
      <c r="D12648" t="s">
        <v>11</v>
      </c>
      <c r="E12648" t="s">
        <v>12</v>
      </c>
      <c r="F12648">
        <v>55660397</v>
      </c>
      <c r="G12648">
        <v>55660466</v>
      </c>
      <c r="H12648">
        <v>55660397</v>
      </c>
      <c r="I12648">
        <v>55660466</v>
      </c>
    </row>
    <row r="12649" spans="1:9" x14ac:dyDescent="0.2">
      <c r="A12649" t="str">
        <f>"Me1"</f>
        <v>Me1</v>
      </c>
      <c r="B12649" t="s">
        <v>14</v>
      </c>
      <c r="C12649" t="s">
        <v>24</v>
      </c>
      <c r="D12649" t="s">
        <v>11</v>
      </c>
      <c r="E12649" t="s">
        <v>12</v>
      </c>
      <c r="F12649">
        <v>86695771</v>
      </c>
      <c r="G12649">
        <v>86695789</v>
      </c>
      <c r="H12649">
        <v>86695897</v>
      </c>
      <c r="I12649">
        <v>86695958</v>
      </c>
    </row>
    <row r="12650" spans="1:9" x14ac:dyDescent="0.2">
      <c r="A12650" t="str">
        <f>"Me2"</f>
        <v>Me2</v>
      </c>
      <c r="B12650" t="s">
        <v>14</v>
      </c>
      <c r="C12650" t="s">
        <v>43</v>
      </c>
      <c r="D12650" t="s">
        <v>11</v>
      </c>
      <c r="E12650" t="s">
        <v>12</v>
      </c>
      <c r="F12650">
        <v>73815430</v>
      </c>
      <c r="G12650">
        <v>73815453</v>
      </c>
      <c r="H12650">
        <v>73815755</v>
      </c>
      <c r="I12650">
        <v>73815794</v>
      </c>
    </row>
    <row r="12651" spans="1:9" x14ac:dyDescent="0.2">
      <c r="A12651" t="str">
        <f>"Me3"</f>
        <v>Me3</v>
      </c>
      <c r="B12651" t="s">
        <v>14</v>
      </c>
      <c r="C12651" t="s">
        <v>33</v>
      </c>
      <c r="D12651" t="s">
        <v>17</v>
      </c>
      <c r="E12651" t="s">
        <v>12</v>
      </c>
      <c r="F12651">
        <v>89632689</v>
      </c>
      <c r="G12651">
        <v>89632731</v>
      </c>
      <c r="H12651">
        <v>89632875</v>
      </c>
      <c r="I12651">
        <v>89632912</v>
      </c>
    </row>
    <row r="12652" spans="1:9" x14ac:dyDescent="0.2">
      <c r="A12652" t="str">
        <f>"Mea1"</f>
        <v>Mea1</v>
      </c>
      <c r="B12652" t="s">
        <v>14</v>
      </c>
      <c r="C12652" t="s">
        <v>28</v>
      </c>
      <c r="D12652" t="s">
        <v>17</v>
      </c>
      <c r="E12652" t="s">
        <v>12</v>
      </c>
      <c r="F12652">
        <v>46681038</v>
      </c>
      <c r="G12652">
        <v>46681184</v>
      </c>
      <c r="H12652">
        <v>46680980</v>
      </c>
      <c r="I12652">
        <v>46681011</v>
      </c>
    </row>
    <row r="12653" spans="1:9" x14ac:dyDescent="0.2">
      <c r="A12653" t="str">
        <f>"Meaf6"</f>
        <v>Meaf6</v>
      </c>
      <c r="B12653" t="s">
        <v>14</v>
      </c>
      <c r="C12653" t="s">
        <v>23</v>
      </c>
      <c r="D12653" t="s">
        <v>17</v>
      </c>
      <c r="E12653" t="s">
        <v>12</v>
      </c>
      <c r="F12653">
        <v>125085136</v>
      </c>
      <c r="G12653">
        <v>125085173</v>
      </c>
      <c r="H12653">
        <v>125085111</v>
      </c>
      <c r="I12653">
        <v>125085122</v>
      </c>
    </row>
    <row r="12654" spans="1:9" x14ac:dyDescent="0.2">
      <c r="A12654" t="str">
        <f>"Mecom"</f>
        <v>Mecom</v>
      </c>
      <c r="B12654" t="s">
        <v>14</v>
      </c>
      <c r="C12654" t="s">
        <v>22</v>
      </c>
      <c r="D12654" t="s">
        <v>11</v>
      </c>
      <c r="E12654" t="s">
        <v>12</v>
      </c>
      <c r="F12654">
        <v>30509681</v>
      </c>
      <c r="G12654">
        <v>30509746</v>
      </c>
      <c r="H12654">
        <v>30509752</v>
      </c>
      <c r="I12654">
        <v>30509794</v>
      </c>
    </row>
    <row r="12655" spans="1:9" x14ac:dyDescent="0.2">
      <c r="A12655" t="str">
        <f>"Mecp2"</f>
        <v>Mecp2</v>
      </c>
      <c r="B12655" t="s">
        <v>14</v>
      </c>
      <c r="C12655" t="s">
        <v>37</v>
      </c>
      <c r="D12655" t="s">
        <v>11</v>
      </c>
      <c r="E12655" t="s">
        <v>12</v>
      </c>
      <c r="F12655">
        <v>74085586</v>
      </c>
      <c r="G12655">
        <v>74085652</v>
      </c>
      <c r="H12655">
        <v>74085656</v>
      </c>
      <c r="I12655">
        <v>74085672</v>
      </c>
    </row>
    <row r="12656" spans="1:9" x14ac:dyDescent="0.2">
      <c r="A12656" t="str">
        <f>"Mecr"</f>
        <v>Mecr</v>
      </c>
      <c r="B12656" t="s">
        <v>14</v>
      </c>
      <c r="C12656" t="s">
        <v>23</v>
      </c>
      <c r="D12656" t="s">
        <v>17</v>
      </c>
      <c r="E12656" t="s">
        <v>12</v>
      </c>
      <c r="F12656">
        <v>131843459</v>
      </c>
      <c r="G12656">
        <v>131843503</v>
      </c>
      <c r="H12656">
        <v>131843459</v>
      </c>
      <c r="I12656">
        <v>131843503</v>
      </c>
    </row>
    <row r="12657" spans="1:9" x14ac:dyDescent="0.2">
      <c r="A12657" t="str">
        <f>"Med1"</f>
        <v>Med1</v>
      </c>
      <c r="B12657" t="s">
        <v>14</v>
      </c>
      <c r="C12657" t="s">
        <v>27</v>
      </c>
      <c r="D12657" t="s">
        <v>11</v>
      </c>
      <c r="E12657" t="s">
        <v>12</v>
      </c>
      <c r="F12657">
        <v>98193267</v>
      </c>
      <c r="G12657">
        <v>98193298</v>
      </c>
      <c r="H12657">
        <v>98192917</v>
      </c>
      <c r="I12657">
        <v>98192940</v>
      </c>
    </row>
    <row r="12658" spans="1:9" x14ac:dyDescent="0.2">
      <c r="A12658" t="str">
        <f>"Med10"</f>
        <v>Med10</v>
      </c>
      <c r="B12658" t="s">
        <v>14</v>
      </c>
      <c r="C12658" t="s">
        <v>39</v>
      </c>
      <c r="D12658" t="s">
        <v>17</v>
      </c>
      <c r="E12658" t="s">
        <v>12</v>
      </c>
      <c r="F12658">
        <v>69809863</v>
      </c>
      <c r="G12658">
        <v>69809899</v>
      </c>
      <c r="H12658">
        <v>69809848</v>
      </c>
      <c r="I12658">
        <v>69809859</v>
      </c>
    </row>
    <row r="12659" spans="1:9" x14ac:dyDescent="0.2">
      <c r="A12659" t="str">
        <f>"Med11"</f>
        <v>Med11</v>
      </c>
      <c r="B12659" t="s">
        <v>14</v>
      </c>
      <c r="C12659" t="s">
        <v>27</v>
      </c>
      <c r="D12659" t="s">
        <v>17</v>
      </c>
      <c r="E12659" t="s">
        <v>12</v>
      </c>
      <c r="F12659">
        <v>70451905</v>
      </c>
      <c r="G12659">
        <v>70451950</v>
      </c>
      <c r="H12659">
        <v>70451955</v>
      </c>
      <c r="I12659">
        <v>70451974</v>
      </c>
    </row>
    <row r="12660" spans="1:9" x14ac:dyDescent="0.2">
      <c r="A12660" t="str">
        <f>"Med12"</f>
        <v>Med12</v>
      </c>
      <c r="B12660" t="s">
        <v>14</v>
      </c>
      <c r="C12660" t="s">
        <v>37</v>
      </c>
      <c r="D12660" t="s">
        <v>17</v>
      </c>
      <c r="E12660" t="s">
        <v>12</v>
      </c>
      <c r="F12660">
        <v>101274198</v>
      </c>
      <c r="G12660">
        <v>101274252</v>
      </c>
      <c r="H12660">
        <v>101274106</v>
      </c>
      <c r="I12660">
        <v>101274148</v>
      </c>
    </row>
    <row r="12661" spans="1:9" x14ac:dyDescent="0.2">
      <c r="A12661" t="str">
        <f>"Med12l"</f>
        <v>Med12l</v>
      </c>
      <c r="B12661" t="s">
        <v>14</v>
      </c>
      <c r="C12661" t="s">
        <v>22</v>
      </c>
      <c r="D12661" t="s">
        <v>17</v>
      </c>
      <c r="E12661" t="s">
        <v>12</v>
      </c>
      <c r="F12661">
        <v>59005813</v>
      </c>
      <c r="G12661">
        <v>59005865</v>
      </c>
      <c r="H12661">
        <v>59005813</v>
      </c>
      <c r="I12661">
        <v>59005865</v>
      </c>
    </row>
    <row r="12662" spans="1:9" x14ac:dyDescent="0.2">
      <c r="A12662" t="str">
        <f>"Med13"</f>
        <v>Med13</v>
      </c>
      <c r="B12662" t="s">
        <v>14</v>
      </c>
      <c r="C12662" t="s">
        <v>27</v>
      </c>
      <c r="D12662" t="s">
        <v>11</v>
      </c>
      <c r="E12662" t="s">
        <v>12</v>
      </c>
      <c r="F12662">
        <v>86357570</v>
      </c>
      <c r="G12662">
        <v>86357614</v>
      </c>
      <c r="H12662">
        <v>86357570</v>
      </c>
      <c r="I12662">
        <v>86357614</v>
      </c>
    </row>
    <row r="12663" spans="1:9" x14ac:dyDescent="0.2">
      <c r="A12663" t="str">
        <f>"Med13l"</f>
        <v>Med13l</v>
      </c>
      <c r="B12663" t="s">
        <v>14</v>
      </c>
      <c r="C12663" t="s">
        <v>46</v>
      </c>
      <c r="D12663" t="s">
        <v>17</v>
      </c>
      <c r="E12663" t="s">
        <v>12</v>
      </c>
      <c r="F12663">
        <v>118560281</v>
      </c>
      <c r="G12663">
        <v>118560307</v>
      </c>
      <c r="H12663">
        <v>118560281</v>
      </c>
      <c r="I12663">
        <v>118560307</v>
      </c>
    </row>
    <row r="12664" spans="1:9" x14ac:dyDescent="0.2">
      <c r="A12664" t="str">
        <f>"Med14"</f>
        <v>Med14</v>
      </c>
      <c r="B12664" t="s">
        <v>14</v>
      </c>
      <c r="C12664" t="s">
        <v>37</v>
      </c>
      <c r="D12664" t="s">
        <v>11</v>
      </c>
      <c r="E12664" t="s">
        <v>12</v>
      </c>
      <c r="F12664">
        <v>12761783</v>
      </c>
      <c r="G12664">
        <v>12761842</v>
      </c>
      <c r="H12664">
        <v>12761996</v>
      </c>
      <c r="I12664">
        <v>12762040</v>
      </c>
    </row>
    <row r="12665" spans="1:9" x14ac:dyDescent="0.2">
      <c r="A12665" t="str">
        <f>"Med15"</f>
        <v>Med15</v>
      </c>
      <c r="B12665" t="s">
        <v>14</v>
      </c>
      <c r="C12665" t="s">
        <v>31</v>
      </c>
      <c r="D12665" t="s">
        <v>11</v>
      </c>
      <c r="E12665" t="s">
        <v>12</v>
      </c>
      <c r="F12665">
        <v>17722879</v>
      </c>
      <c r="G12665">
        <v>17722936</v>
      </c>
      <c r="H12665">
        <v>17722945</v>
      </c>
      <c r="I12665">
        <v>17722948</v>
      </c>
    </row>
    <row r="12666" spans="1:9" x14ac:dyDescent="0.2">
      <c r="A12666" t="str">
        <f>"Med16"</f>
        <v>Med16</v>
      </c>
      <c r="B12666" t="s">
        <v>14</v>
      </c>
      <c r="C12666" t="s">
        <v>15</v>
      </c>
      <c r="D12666" t="s">
        <v>11</v>
      </c>
      <c r="E12666" t="s">
        <v>12</v>
      </c>
      <c r="F12666">
        <v>79908891</v>
      </c>
      <c r="G12666">
        <v>79908936</v>
      </c>
      <c r="H12666">
        <v>79908573</v>
      </c>
      <c r="I12666">
        <v>79908593</v>
      </c>
    </row>
    <row r="12667" spans="1:9" x14ac:dyDescent="0.2">
      <c r="A12667" t="str">
        <f>"Med17"</f>
        <v>Med17</v>
      </c>
      <c r="B12667" t="s">
        <v>14</v>
      </c>
      <c r="C12667" t="s">
        <v>24</v>
      </c>
      <c r="D12667" t="s">
        <v>11</v>
      </c>
      <c r="E12667" t="s">
        <v>12</v>
      </c>
      <c r="F12667">
        <v>15279888</v>
      </c>
      <c r="G12667">
        <v>15279919</v>
      </c>
      <c r="H12667">
        <v>15279860</v>
      </c>
      <c r="I12667">
        <v>15279877</v>
      </c>
    </row>
    <row r="12668" spans="1:9" x14ac:dyDescent="0.2">
      <c r="A12668" t="str">
        <f>"Med18"</f>
        <v>Med18</v>
      </c>
      <c r="B12668" t="s">
        <v>14</v>
      </c>
      <c r="C12668" t="s">
        <v>23</v>
      </c>
      <c r="D12668" t="s">
        <v>11</v>
      </c>
      <c r="E12668" t="s">
        <v>12</v>
      </c>
      <c r="F12668">
        <v>132463873</v>
      </c>
      <c r="G12668">
        <v>132463929</v>
      </c>
      <c r="H12668">
        <v>132463614</v>
      </c>
      <c r="I12668">
        <v>132463648</v>
      </c>
    </row>
    <row r="12669" spans="1:9" x14ac:dyDescent="0.2">
      <c r="A12669" t="str">
        <f>"Med19"</f>
        <v>Med19</v>
      </c>
      <c r="B12669" t="s">
        <v>14</v>
      </c>
      <c r="C12669" t="s">
        <v>26</v>
      </c>
      <c r="D12669" t="s">
        <v>17</v>
      </c>
      <c r="E12669" t="s">
        <v>12</v>
      </c>
      <c r="F12669">
        <v>84678396</v>
      </c>
      <c r="G12669">
        <v>84678450</v>
      </c>
      <c r="H12669">
        <v>84678396</v>
      </c>
      <c r="I12669">
        <v>84678450</v>
      </c>
    </row>
    <row r="12670" spans="1:9" x14ac:dyDescent="0.2">
      <c r="A12670" t="str">
        <f>"Med20"</f>
        <v>Med20</v>
      </c>
      <c r="B12670" t="s">
        <v>14</v>
      </c>
      <c r="C12670" t="s">
        <v>28</v>
      </c>
      <c r="D12670" t="s">
        <v>17</v>
      </c>
      <c r="E12670" t="s">
        <v>12</v>
      </c>
      <c r="F12670">
        <v>47611570</v>
      </c>
      <c r="G12670">
        <v>47611619</v>
      </c>
      <c r="H12670">
        <v>47611557</v>
      </c>
      <c r="I12670">
        <v>47611568</v>
      </c>
    </row>
    <row r="12671" spans="1:9" x14ac:dyDescent="0.2">
      <c r="A12671" t="str">
        <f>"Med21"</f>
        <v>Med21</v>
      </c>
      <c r="B12671" t="s">
        <v>14</v>
      </c>
      <c r="C12671" t="s">
        <v>32</v>
      </c>
      <c r="D12671" t="s">
        <v>17</v>
      </c>
      <c r="E12671" t="s">
        <v>12</v>
      </c>
      <c r="F12671">
        <v>146642572</v>
      </c>
      <c r="G12671">
        <v>146642596</v>
      </c>
      <c r="H12671">
        <v>146642605</v>
      </c>
      <c r="I12671">
        <v>146642616</v>
      </c>
    </row>
    <row r="12672" spans="1:9" x14ac:dyDescent="0.2">
      <c r="A12672" t="str">
        <f>"Med22"</f>
        <v>Med22</v>
      </c>
      <c r="B12672" t="s">
        <v>14</v>
      </c>
      <c r="C12672" t="s">
        <v>26</v>
      </c>
      <c r="D12672" t="s">
        <v>11</v>
      </c>
      <c r="E12672" t="s">
        <v>12</v>
      </c>
      <c r="F12672">
        <v>26910574</v>
      </c>
      <c r="G12672">
        <v>26910650</v>
      </c>
      <c r="H12672">
        <v>26910533</v>
      </c>
      <c r="I12672">
        <v>26910563</v>
      </c>
    </row>
    <row r="12673" spans="1:9" x14ac:dyDescent="0.2">
      <c r="A12673" t="str">
        <f>"Med23"</f>
        <v>Med23</v>
      </c>
      <c r="B12673" t="s">
        <v>14</v>
      </c>
      <c r="C12673" t="s">
        <v>15</v>
      </c>
      <c r="D12673" t="s">
        <v>17</v>
      </c>
      <c r="E12673" t="s">
        <v>12</v>
      </c>
      <c r="F12673">
        <v>24869998</v>
      </c>
      <c r="G12673">
        <v>24870050</v>
      </c>
      <c r="H12673">
        <v>24869982</v>
      </c>
      <c r="I12673">
        <v>24869989</v>
      </c>
    </row>
    <row r="12674" spans="1:9" x14ac:dyDescent="0.2">
      <c r="A12674" t="str">
        <f>"Med24"</f>
        <v>Med24</v>
      </c>
      <c r="B12674" t="s">
        <v>14</v>
      </c>
      <c r="C12674" t="s">
        <v>27</v>
      </c>
      <c r="D12674" t="s">
        <v>11</v>
      </c>
      <c r="E12674" t="s">
        <v>12</v>
      </c>
      <c r="F12674">
        <v>98729401</v>
      </c>
      <c r="G12674">
        <v>98729432</v>
      </c>
      <c r="H12674">
        <v>98729401</v>
      </c>
      <c r="I12674">
        <v>98729432</v>
      </c>
    </row>
    <row r="12675" spans="1:9" x14ac:dyDescent="0.2">
      <c r="A12675" t="str">
        <f>"Med25"</f>
        <v>Med25</v>
      </c>
      <c r="B12675" t="s">
        <v>14</v>
      </c>
      <c r="C12675" t="s">
        <v>33</v>
      </c>
      <c r="D12675" t="s">
        <v>11</v>
      </c>
      <c r="E12675" t="s">
        <v>12</v>
      </c>
      <c r="F12675">
        <v>44892358</v>
      </c>
      <c r="G12675">
        <v>44892429</v>
      </c>
      <c r="H12675">
        <v>44892674</v>
      </c>
      <c r="I12675">
        <v>44892692</v>
      </c>
    </row>
    <row r="12676" spans="1:9" x14ac:dyDescent="0.2">
      <c r="A12676" t="str">
        <f>"Med26"</f>
        <v>Med26</v>
      </c>
      <c r="B12676" t="s">
        <v>14</v>
      </c>
      <c r="C12676" t="s">
        <v>30</v>
      </c>
      <c r="D12676" t="s">
        <v>11</v>
      </c>
      <c r="E12676" t="s">
        <v>12</v>
      </c>
      <c r="F12676">
        <v>72548224</v>
      </c>
      <c r="G12676">
        <v>72548287</v>
      </c>
      <c r="H12676">
        <v>72547978</v>
      </c>
      <c r="I12676">
        <v>72547992</v>
      </c>
    </row>
    <row r="12677" spans="1:9" x14ac:dyDescent="0.2">
      <c r="A12677" t="str">
        <f>"Med27"</f>
        <v>Med27</v>
      </c>
      <c r="B12677" t="s">
        <v>14</v>
      </c>
      <c r="C12677" t="s">
        <v>26</v>
      </c>
      <c r="D12677" t="s">
        <v>17</v>
      </c>
      <c r="E12677" t="s">
        <v>12</v>
      </c>
      <c r="F12677">
        <v>29346803</v>
      </c>
      <c r="G12677">
        <v>29346842</v>
      </c>
      <c r="H12677">
        <v>29346803</v>
      </c>
      <c r="I12677">
        <v>29346842</v>
      </c>
    </row>
    <row r="12678" spans="1:9" x14ac:dyDescent="0.2">
      <c r="A12678" t="str">
        <f>"Med28"</f>
        <v>Med28</v>
      </c>
      <c r="B12678" t="s">
        <v>14</v>
      </c>
      <c r="C12678" t="s">
        <v>46</v>
      </c>
      <c r="D12678" t="s">
        <v>17</v>
      </c>
      <c r="E12678" t="s">
        <v>12</v>
      </c>
      <c r="F12678">
        <v>45520282</v>
      </c>
      <c r="G12678">
        <v>45520327</v>
      </c>
      <c r="H12678">
        <v>45520282</v>
      </c>
      <c r="I12678">
        <v>45520327</v>
      </c>
    </row>
    <row r="12679" spans="1:9" x14ac:dyDescent="0.2">
      <c r="A12679" t="str">
        <f>"Med29"</f>
        <v>Med29</v>
      </c>
      <c r="B12679" t="s">
        <v>14</v>
      </c>
      <c r="C12679" t="s">
        <v>33</v>
      </c>
      <c r="D12679" t="s">
        <v>11</v>
      </c>
      <c r="E12679" t="s">
        <v>12</v>
      </c>
      <c r="F12679">
        <v>28392688</v>
      </c>
      <c r="G12679">
        <v>28392708</v>
      </c>
      <c r="H12679">
        <v>28392771</v>
      </c>
      <c r="I12679">
        <v>28392772</v>
      </c>
    </row>
    <row r="12680" spans="1:9" x14ac:dyDescent="0.2">
      <c r="A12680" t="str">
        <f>"Med30"</f>
        <v>Med30</v>
      </c>
      <c r="B12680" t="s">
        <v>14</v>
      </c>
      <c r="C12680" t="s">
        <v>25</v>
      </c>
      <c r="D12680" t="s">
        <v>17</v>
      </c>
      <c r="E12680" t="s">
        <v>12</v>
      </c>
      <c r="F12680">
        <v>52712401</v>
      </c>
      <c r="G12680">
        <v>52712429</v>
      </c>
      <c r="H12680">
        <v>52712434</v>
      </c>
      <c r="I12680">
        <v>52712477</v>
      </c>
    </row>
    <row r="12681" spans="1:9" x14ac:dyDescent="0.2">
      <c r="A12681" t="str">
        <f>"Med31"</f>
        <v>Med31</v>
      </c>
      <c r="B12681" t="s">
        <v>14</v>
      </c>
      <c r="C12681" t="s">
        <v>27</v>
      </c>
      <c r="D12681" t="s">
        <v>11</v>
      </c>
      <c r="E12681" t="s">
        <v>12</v>
      </c>
      <c r="F12681">
        <v>72215026</v>
      </c>
      <c r="G12681">
        <v>72215068</v>
      </c>
      <c r="H12681">
        <v>72214985</v>
      </c>
      <c r="I12681">
        <v>72215020</v>
      </c>
    </row>
    <row r="12682" spans="1:9" x14ac:dyDescent="0.2">
      <c r="A12682" t="str">
        <f>"Med4"</f>
        <v>Med4</v>
      </c>
      <c r="B12682" t="s">
        <v>14</v>
      </c>
      <c r="C12682" t="s">
        <v>41</v>
      </c>
      <c r="D12682" t="s">
        <v>17</v>
      </c>
      <c r="E12682" t="s">
        <v>12</v>
      </c>
      <c r="F12682">
        <v>73510014</v>
      </c>
      <c r="G12682">
        <v>73510055</v>
      </c>
      <c r="H12682">
        <v>73510014</v>
      </c>
      <c r="I12682">
        <v>73510055</v>
      </c>
    </row>
    <row r="12683" spans="1:9" x14ac:dyDescent="0.2">
      <c r="A12683" t="str">
        <f>"Med6"</f>
        <v>Med6</v>
      </c>
      <c r="B12683" t="s">
        <v>14</v>
      </c>
      <c r="C12683" t="s">
        <v>16</v>
      </c>
      <c r="D12683" t="s">
        <v>11</v>
      </c>
      <c r="E12683" t="s">
        <v>12</v>
      </c>
      <c r="F12683">
        <v>81594964</v>
      </c>
      <c r="G12683">
        <v>81595020</v>
      </c>
      <c r="H12683">
        <v>81594964</v>
      </c>
      <c r="I12683">
        <v>81595020</v>
      </c>
    </row>
    <row r="12684" spans="1:9" x14ac:dyDescent="0.2">
      <c r="A12684" t="str">
        <f>"Med7"</f>
        <v>Med7</v>
      </c>
      <c r="B12684" t="s">
        <v>14</v>
      </c>
      <c r="C12684" t="s">
        <v>27</v>
      </c>
      <c r="D12684" t="s">
        <v>17</v>
      </c>
      <c r="E12684" t="s">
        <v>12</v>
      </c>
      <c r="F12684">
        <v>46436942</v>
      </c>
      <c r="G12684">
        <v>46437017</v>
      </c>
      <c r="H12684">
        <v>46436930</v>
      </c>
      <c r="I12684">
        <v>46436941</v>
      </c>
    </row>
    <row r="12685" spans="1:9" x14ac:dyDescent="0.2">
      <c r="A12685" t="str">
        <f>"Med8"</f>
        <v>Med8</v>
      </c>
      <c r="B12685" t="s">
        <v>14</v>
      </c>
      <c r="C12685" t="s">
        <v>23</v>
      </c>
      <c r="D12685" t="s">
        <v>17</v>
      </c>
      <c r="E12685" t="s">
        <v>12</v>
      </c>
      <c r="F12685">
        <v>118409331</v>
      </c>
      <c r="G12685">
        <v>118409374</v>
      </c>
      <c r="H12685">
        <v>118409331</v>
      </c>
      <c r="I12685">
        <v>118409374</v>
      </c>
    </row>
    <row r="12686" spans="1:9" x14ac:dyDescent="0.2">
      <c r="A12686" t="str">
        <f>"Med9"</f>
        <v>Med9</v>
      </c>
      <c r="B12686" t="s">
        <v>14</v>
      </c>
      <c r="C12686" t="s">
        <v>27</v>
      </c>
      <c r="D12686" t="s">
        <v>17</v>
      </c>
      <c r="E12686" t="s">
        <v>12</v>
      </c>
      <c r="F12686">
        <v>59948209</v>
      </c>
      <c r="G12686">
        <v>59948261</v>
      </c>
      <c r="H12686">
        <v>59948209</v>
      </c>
      <c r="I12686">
        <v>59948261</v>
      </c>
    </row>
    <row r="12687" spans="1:9" x14ac:dyDescent="0.2">
      <c r="A12687" t="str">
        <f>"Medag"</f>
        <v>Medag</v>
      </c>
      <c r="B12687" t="s">
        <v>14</v>
      </c>
      <c r="C12687" t="s">
        <v>46</v>
      </c>
      <c r="D12687" t="s">
        <v>17</v>
      </c>
      <c r="E12687" t="s">
        <v>67</v>
      </c>
      <c r="F12687">
        <v>149411791</v>
      </c>
      <c r="G12687">
        <v>149411811</v>
      </c>
      <c r="H12687">
        <v>149411791</v>
      </c>
      <c r="I12687">
        <v>149411811</v>
      </c>
    </row>
    <row r="12688" spans="1:9" x14ac:dyDescent="0.2">
      <c r="A12688" t="str">
        <f>"Mef2a"</f>
        <v>Mef2a</v>
      </c>
      <c r="B12688" t="s">
        <v>14</v>
      </c>
      <c r="C12688" t="s">
        <v>33</v>
      </c>
      <c r="D12688" t="s">
        <v>11</v>
      </c>
      <c r="E12688" t="s">
        <v>12</v>
      </c>
      <c r="F12688">
        <v>67372772</v>
      </c>
      <c r="G12688">
        <v>67372845</v>
      </c>
      <c r="H12688">
        <v>67372772</v>
      </c>
      <c r="I12688">
        <v>67372845</v>
      </c>
    </row>
    <row r="12689" spans="1:9" x14ac:dyDescent="0.2">
      <c r="A12689" t="str">
        <f>"Mef2b"</f>
        <v>Mef2b</v>
      </c>
      <c r="B12689" t="s">
        <v>14</v>
      </c>
      <c r="C12689" t="s">
        <v>30</v>
      </c>
      <c r="D12689" t="s">
        <v>17</v>
      </c>
      <c r="E12689" t="s">
        <v>12</v>
      </c>
      <c r="F12689">
        <v>70139687</v>
      </c>
      <c r="G12689">
        <v>70139734</v>
      </c>
      <c r="H12689">
        <v>70139448</v>
      </c>
      <c r="I12689">
        <v>70139499</v>
      </c>
    </row>
    <row r="12690" spans="1:9" x14ac:dyDescent="0.2">
      <c r="A12690" t="str">
        <f>"Mef2c"</f>
        <v>Mef2c</v>
      </c>
      <c r="B12690" t="s">
        <v>14</v>
      </c>
      <c r="C12690" t="s">
        <v>39</v>
      </c>
      <c r="D12690" t="s">
        <v>17</v>
      </c>
      <c r="E12690" t="s">
        <v>12</v>
      </c>
      <c r="F12690">
        <v>83524846</v>
      </c>
      <c r="G12690">
        <v>83524871</v>
      </c>
      <c r="H12690">
        <v>83524812</v>
      </c>
      <c r="I12690">
        <v>83524838</v>
      </c>
    </row>
    <row r="12691" spans="1:9" x14ac:dyDescent="0.2">
      <c r="A12691" t="str">
        <f>"Mef2d"</f>
        <v>Mef2d</v>
      </c>
      <c r="B12691" t="s">
        <v>14</v>
      </c>
      <c r="C12691" t="s">
        <v>22</v>
      </c>
      <c r="D12691" t="s">
        <v>17</v>
      </c>
      <c r="E12691" t="s">
        <v>12</v>
      </c>
      <c r="F12691">
        <v>88142328</v>
      </c>
      <c r="G12691">
        <v>88142483</v>
      </c>
      <c r="H12691">
        <v>88142328</v>
      </c>
      <c r="I12691">
        <v>88142483</v>
      </c>
    </row>
    <row r="12692" spans="1:9" x14ac:dyDescent="0.2">
      <c r="A12692" t="str">
        <f>"Mefv"</f>
        <v>Mefv</v>
      </c>
      <c r="B12692" t="s">
        <v>14</v>
      </c>
      <c r="C12692" t="s">
        <v>31</v>
      </c>
      <c r="D12692" t="s">
        <v>11</v>
      </c>
      <c r="E12692" t="s">
        <v>12</v>
      </c>
      <c r="F12692">
        <v>3718105</v>
      </c>
      <c r="G12692">
        <v>3718150</v>
      </c>
      <c r="H12692">
        <v>3718153</v>
      </c>
      <c r="I12692">
        <v>3718164</v>
      </c>
    </row>
    <row r="12693" spans="1:9" x14ac:dyDescent="0.2">
      <c r="A12693" t="str">
        <f>"Megf10"</f>
        <v>Megf10</v>
      </c>
      <c r="B12693" t="s">
        <v>14</v>
      </c>
      <c r="C12693" t="s">
        <v>43</v>
      </c>
      <c r="D12693" t="s">
        <v>17</v>
      </c>
      <c r="E12693" t="s">
        <v>12</v>
      </c>
      <c r="F12693">
        <v>57132969</v>
      </c>
      <c r="G12693">
        <v>57133003</v>
      </c>
      <c r="H12693">
        <v>57132969</v>
      </c>
      <c r="I12693">
        <v>57133003</v>
      </c>
    </row>
    <row r="12694" spans="1:9" x14ac:dyDescent="0.2">
      <c r="A12694" t="str">
        <f>"Megf11"</f>
        <v>Megf11</v>
      </c>
      <c r="B12694" t="s">
        <v>14</v>
      </c>
      <c r="C12694" t="s">
        <v>24</v>
      </c>
      <c r="D12694" t="s">
        <v>17</v>
      </c>
      <c r="E12694" t="s">
        <v>12</v>
      </c>
      <c r="F12694">
        <v>64385675</v>
      </c>
      <c r="G12694">
        <v>64385698</v>
      </c>
      <c r="H12694">
        <v>64385646</v>
      </c>
      <c r="I12694">
        <v>64385657</v>
      </c>
    </row>
    <row r="12695" spans="1:9" x14ac:dyDescent="0.2">
      <c r="A12695" t="str">
        <f>"Megf6"</f>
        <v>Megf6</v>
      </c>
      <c r="B12695" t="s">
        <v>4301</v>
      </c>
      <c r="C12695" t="s">
        <v>23</v>
      </c>
      <c r="D12695" t="s">
        <v>17</v>
      </c>
      <c r="E12695" t="s">
        <v>35</v>
      </c>
      <c r="F12695">
        <v>154170731</v>
      </c>
      <c r="G12695">
        <v>154170742</v>
      </c>
      <c r="H12695">
        <v>154170770</v>
      </c>
      <c r="I12695">
        <v>154170806</v>
      </c>
    </row>
    <row r="12696" spans="1:9" x14ac:dyDescent="0.2">
      <c r="A12696" t="str">
        <f>"Megf8"</f>
        <v>Megf8</v>
      </c>
      <c r="B12696" t="s">
        <v>14</v>
      </c>
      <c r="C12696" t="s">
        <v>33</v>
      </c>
      <c r="D12696" t="s">
        <v>17</v>
      </c>
      <c r="E12696" t="s">
        <v>12</v>
      </c>
      <c r="F12696">
        <v>25316757</v>
      </c>
      <c r="G12696">
        <v>25316903</v>
      </c>
      <c r="H12696">
        <v>25317067</v>
      </c>
      <c r="I12696">
        <v>25317131</v>
      </c>
    </row>
    <row r="12697" spans="1:9" x14ac:dyDescent="0.2">
      <c r="A12697" t="str">
        <f>"Megf9"</f>
        <v>Megf9</v>
      </c>
      <c r="B12697" t="s">
        <v>14</v>
      </c>
      <c r="C12697" t="s">
        <v>23</v>
      </c>
      <c r="D12697" t="s">
        <v>11</v>
      </c>
      <c r="E12697" t="s">
        <v>12</v>
      </c>
      <c r="F12697">
        <v>70534904</v>
      </c>
      <c r="G12697">
        <v>70534987</v>
      </c>
      <c r="H12697">
        <v>70534870</v>
      </c>
      <c r="I12697">
        <v>70534885</v>
      </c>
    </row>
    <row r="12698" spans="1:9" x14ac:dyDescent="0.2">
      <c r="A12698" t="str">
        <f>"Mei1"</f>
        <v>Mei1</v>
      </c>
      <c r="B12698" t="s">
        <v>14</v>
      </c>
      <c r="C12698" t="s">
        <v>25</v>
      </c>
      <c r="D12698" t="s">
        <v>17</v>
      </c>
      <c r="E12698" t="s">
        <v>12</v>
      </c>
      <c r="F12698">
        <v>82070079</v>
      </c>
      <c r="G12698">
        <v>82070128</v>
      </c>
      <c r="H12698">
        <v>82070079</v>
      </c>
      <c r="I12698">
        <v>82070128</v>
      </c>
    </row>
    <row r="12699" spans="1:9" x14ac:dyDescent="0.2">
      <c r="A12699" t="str">
        <f>"Mei4"</f>
        <v>Mei4</v>
      </c>
      <c r="B12699" t="s">
        <v>14</v>
      </c>
      <c r="C12699" t="s">
        <v>24</v>
      </c>
      <c r="D12699" t="s">
        <v>17</v>
      </c>
      <c r="E12699" t="s">
        <v>12</v>
      </c>
      <c r="F12699">
        <v>81863675</v>
      </c>
      <c r="G12699">
        <v>81863695</v>
      </c>
      <c r="H12699">
        <v>81863698</v>
      </c>
      <c r="I12699">
        <v>81863714</v>
      </c>
    </row>
    <row r="12700" spans="1:9" x14ac:dyDescent="0.2">
      <c r="A12700" t="str">
        <f>"Meig1"</f>
        <v>Meig1</v>
      </c>
      <c r="B12700" t="s">
        <v>14</v>
      </c>
      <c r="C12700" t="s">
        <v>26</v>
      </c>
      <c r="D12700" t="s">
        <v>11</v>
      </c>
      <c r="E12700" t="s">
        <v>12</v>
      </c>
      <c r="F12700">
        <v>3419024</v>
      </c>
      <c r="G12700">
        <v>3419061</v>
      </c>
      <c r="H12700">
        <v>3419066</v>
      </c>
      <c r="I12700">
        <v>3419073</v>
      </c>
    </row>
    <row r="12701" spans="1:9" x14ac:dyDescent="0.2">
      <c r="A12701" t="str">
        <f>"Meiob"</f>
        <v>Meiob</v>
      </c>
      <c r="B12701" t="s">
        <v>14</v>
      </c>
      <c r="C12701" t="s">
        <v>28</v>
      </c>
      <c r="D12701" t="s">
        <v>17</v>
      </c>
      <c r="E12701" t="s">
        <v>67</v>
      </c>
      <c r="F12701">
        <v>24804291</v>
      </c>
      <c r="G12701">
        <v>24804309</v>
      </c>
      <c r="H12701">
        <v>24804312</v>
      </c>
      <c r="I12701">
        <v>24804325</v>
      </c>
    </row>
    <row r="12702" spans="1:9" x14ac:dyDescent="0.2">
      <c r="A12702" t="str">
        <f>"Meis1"</f>
        <v>Meis1</v>
      </c>
      <c r="B12702" t="s">
        <v>14</v>
      </c>
      <c r="C12702" t="s">
        <v>27</v>
      </c>
      <c r="D12702" t="s">
        <v>11</v>
      </c>
      <c r="E12702" t="s">
        <v>12</v>
      </c>
      <c r="F12702">
        <v>19018914</v>
      </c>
      <c r="G12702">
        <v>19018941</v>
      </c>
      <c r="H12702">
        <v>19018956</v>
      </c>
      <c r="I12702">
        <v>19018973</v>
      </c>
    </row>
    <row r="12703" spans="1:9" x14ac:dyDescent="0.2">
      <c r="A12703" t="str">
        <f>"Meis2"</f>
        <v>Meis2</v>
      </c>
      <c r="B12703" t="s">
        <v>14</v>
      </c>
      <c r="C12703" t="s">
        <v>26</v>
      </c>
      <c r="D12703" t="s">
        <v>11</v>
      </c>
      <c r="E12703" t="s">
        <v>12</v>
      </c>
      <c r="F12703">
        <v>116065798</v>
      </c>
      <c r="G12703">
        <v>116065853</v>
      </c>
      <c r="H12703">
        <v>116065798</v>
      </c>
      <c r="I12703">
        <v>116065853</v>
      </c>
    </row>
    <row r="12704" spans="1:9" x14ac:dyDescent="0.2">
      <c r="A12704" t="str">
        <f>"Meis3"</f>
        <v>Meis3</v>
      </c>
      <c r="B12704" t="s">
        <v>14</v>
      </c>
      <c r="C12704" t="s">
        <v>33</v>
      </c>
      <c r="D12704" t="s">
        <v>17</v>
      </c>
      <c r="E12704" t="s">
        <v>12</v>
      </c>
      <c r="F12704">
        <v>16175358</v>
      </c>
      <c r="G12704">
        <v>16175438</v>
      </c>
      <c r="H12704">
        <v>16175358</v>
      </c>
      <c r="I12704">
        <v>16175438</v>
      </c>
    </row>
    <row r="12705" spans="1:9" x14ac:dyDescent="0.2">
      <c r="A12705" t="str">
        <f>"Melk"</f>
        <v>Melk</v>
      </c>
      <c r="B12705" t="s">
        <v>14</v>
      </c>
      <c r="C12705" t="s">
        <v>23</v>
      </c>
      <c r="D12705" t="s">
        <v>17</v>
      </c>
      <c r="E12705" t="s">
        <v>12</v>
      </c>
      <c r="F12705">
        <v>44300940</v>
      </c>
      <c r="G12705">
        <v>44301002</v>
      </c>
      <c r="H12705">
        <v>44300903</v>
      </c>
      <c r="I12705">
        <v>44300936</v>
      </c>
    </row>
    <row r="12706" spans="1:9" x14ac:dyDescent="0.2">
      <c r="A12706" t="str">
        <f>"Memo1"</f>
        <v>Memo1</v>
      </c>
      <c r="B12706" t="s">
        <v>14</v>
      </c>
      <c r="C12706" t="s">
        <v>28</v>
      </c>
      <c r="D12706" t="s">
        <v>11</v>
      </c>
      <c r="E12706" t="s">
        <v>12</v>
      </c>
      <c r="F12706">
        <v>74294776</v>
      </c>
      <c r="G12706">
        <v>74294806</v>
      </c>
      <c r="H12706">
        <v>74295094</v>
      </c>
      <c r="I12706">
        <v>74295121</v>
      </c>
    </row>
    <row r="12707" spans="1:9" x14ac:dyDescent="0.2">
      <c r="A12707" t="str">
        <f>"Men1"</f>
        <v>Men1</v>
      </c>
      <c r="B12707" t="s">
        <v>14</v>
      </c>
      <c r="C12707" t="s">
        <v>10</v>
      </c>
      <c r="D12707" t="s">
        <v>17</v>
      </c>
      <c r="E12707" t="s">
        <v>12</v>
      </c>
      <c r="F12707">
        <v>6335015</v>
      </c>
      <c r="G12707">
        <v>6335070</v>
      </c>
      <c r="H12707">
        <v>6335093</v>
      </c>
      <c r="I12707">
        <v>6335113</v>
      </c>
    </row>
    <row r="12708" spans="1:9" x14ac:dyDescent="0.2">
      <c r="A12708" t="str">
        <f>"Meox1"</f>
        <v>Meox1</v>
      </c>
      <c r="B12708" t="s">
        <v>14</v>
      </c>
      <c r="C12708" t="s">
        <v>27</v>
      </c>
      <c r="D12708" t="s">
        <v>11</v>
      </c>
      <c r="E12708" t="s">
        <v>12</v>
      </c>
      <c r="F12708">
        <v>101894355</v>
      </c>
      <c r="G12708">
        <v>101894372</v>
      </c>
      <c r="H12708">
        <v>101894396</v>
      </c>
      <c r="I12708">
        <v>101894401</v>
      </c>
    </row>
    <row r="12709" spans="1:9" x14ac:dyDescent="0.2">
      <c r="A12709" t="str">
        <f>"Meox2"</f>
        <v>Meox2</v>
      </c>
      <c r="B12709" t="s">
        <v>14</v>
      </c>
      <c r="C12709" t="s">
        <v>16</v>
      </c>
      <c r="D12709" t="s">
        <v>17</v>
      </c>
      <c r="E12709" t="s">
        <v>12</v>
      </c>
      <c r="F12709">
        <v>37108554</v>
      </c>
      <c r="G12709">
        <v>37108607</v>
      </c>
      <c r="H12709">
        <v>37108533</v>
      </c>
      <c r="I12709">
        <v>37108546</v>
      </c>
    </row>
    <row r="12710" spans="1:9" x14ac:dyDescent="0.2">
      <c r="A12710" t="str">
        <f>"Mep1a"</f>
        <v>Mep1a</v>
      </c>
      <c r="B12710" t="s">
        <v>14</v>
      </c>
      <c r="C12710" t="s">
        <v>28</v>
      </c>
      <c r="D12710" t="s">
        <v>11</v>
      </c>
      <c r="E12710" t="s">
        <v>12</v>
      </c>
      <c r="F12710">
        <v>43502717</v>
      </c>
      <c r="G12710">
        <v>43502739</v>
      </c>
      <c r="H12710">
        <v>43502717</v>
      </c>
      <c r="I12710">
        <v>43502739</v>
      </c>
    </row>
    <row r="12711" spans="1:9" x14ac:dyDescent="0.2">
      <c r="A12711" t="str">
        <f>"Mep1b"</f>
        <v>Mep1b</v>
      </c>
      <c r="B12711" t="s">
        <v>14</v>
      </c>
      <c r="C12711" t="s">
        <v>43</v>
      </c>
      <c r="D12711" t="s">
        <v>17</v>
      </c>
      <c r="E12711" t="s">
        <v>12</v>
      </c>
      <c r="F12711">
        <v>21072329</v>
      </c>
      <c r="G12711">
        <v>21072351</v>
      </c>
      <c r="H12711">
        <v>21072329</v>
      </c>
      <c r="I12711">
        <v>21072351</v>
      </c>
    </row>
    <row r="12712" spans="1:9" x14ac:dyDescent="0.2">
      <c r="A12712" t="str">
        <f>"Mepce"</f>
        <v>Mepce</v>
      </c>
      <c r="B12712" t="s">
        <v>14</v>
      </c>
      <c r="C12712" t="s">
        <v>46</v>
      </c>
      <c r="D12712" t="s">
        <v>11</v>
      </c>
      <c r="E12712" t="s">
        <v>12</v>
      </c>
      <c r="F12712">
        <v>137786651</v>
      </c>
      <c r="G12712">
        <v>137786668</v>
      </c>
      <c r="H12712">
        <v>137786681</v>
      </c>
      <c r="I12712">
        <v>137786706</v>
      </c>
    </row>
    <row r="12713" spans="1:9" x14ac:dyDescent="0.2">
      <c r="A12713" t="str">
        <f>"Mepe"</f>
        <v>Mepe</v>
      </c>
      <c r="B12713" t="s">
        <v>14</v>
      </c>
      <c r="C12713" t="s">
        <v>46</v>
      </c>
      <c r="D12713" t="s">
        <v>17</v>
      </c>
      <c r="E12713" t="s">
        <v>12</v>
      </c>
      <c r="F12713">
        <v>104325360</v>
      </c>
      <c r="G12713">
        <v>104325368</v>
      </c>
      <c r="H12713">
        <v>104325360</v>
      </c>
      <c r="I12713">
        <v>104325368</v>
      </c>
    </row>
    <row r="12714" spans="1:9" x14ac:dyDescent="0.2">
      <c r="A12714" t="str">
        <f>"Mertk"</f>
        <v>Mertk</v>
      </c>
      <c r="B12714" t="s">
        <v>14</v>
      </c>
      <c r="C12714" t="s">
        <v>26</v>
      </c>
      <c r="D12714" t="s">
        <v>17</v>
      </c>
      <c r="E12714" t="s">
        <v>12</v>
      </c>
      <c r="F12714">
        <v>128698903</v>
      </c>
      <c r="G12714">
        <v>128698924</v>
      </c>
      <c r="H12714">
        <v>128698865</v>
      </c>
      <c r="I12714">
        <v>128698897</v>
      </c>
    </row>
    <row r="12715" spans="1:9" x14ac:dyDescent="0.2">
      <c r="A12715" t="str">
        <f>"Mesdc1"</f>
        <v>Mesdc1</v>
      </c>
      <c r="B12715" t="s">
        <v>14</v>
      </c>
      <c r="C12715" t="s">
        <v>33</v>
      </c>
      <c r="D12715" t="s">
        <v>11</v>
      </c>
      <c r="E12715" t="s">
        <v>12</v>
      </c>
      <c r="F12715">
        <v>83884289</v>
      </c>
      <c r="G12715">
        <v>83884315</v>
      </c>
      <c r="H12715">
        <v>83884213</v>
      </c>
      <c r="I12715">
        <v>83884253</v>
      </c>
    </row>
    <row r="12716" spans="1:9" x14ac:dyDescent="0.2">
      <c r="A12716" t="str">
        <f>"Mesdc2"</f>
        <v>Mesdc2</v>
      </c>
      <c r="B12716" t="s">
        <v>14</v>
      </c>
      <c r="C12716" t="s">
        <v>33</v>
      </c>
      <c r="D12716" t="s">
        <v>17</v>
      </c>
      <c r="E12716" t="s">
        <v>12</v>
      </c>
      <c r="F12716">
        <v>83892241</v>
      </c>
      <c r="G12716">
        <v>83892290</v>
      </c>
      <c r="H12716">
        <v>83891983</v>
      </c>
      <c r="I12716">
        <v>83892033</v>
      </c>
    </row>
    <row r="12717" spans="1:9" x14ac:dyDescent="0.2">
      <c r="A12717" t="str">
        <f>"Mesp1"</f>
        <v>Mesp1</v>
      </c>
      <c r="B12717" t="s">
        <v>4302</v>
      </c>
      <c r="C12717" t="s">
        <v>33</v>
      </c>
      <c r="D12717" t="s">
        <v>11</v>
      </c>
      <c r="E12717" t="s">
        <v>20</v>
      </c>
      <c r="F12717">
        <v>79793787</v>
      </c>
      <c r="G12717">
        <v>79793787</v>
      </c>
      <c r="H12717">
        <v>79793787</v>
      </c>
      <c r="I12717">
        <v>79793787</v>
      </c>
    </row>
    <row r="12718" spans="1:9" x14ac:dyDescent="0.2">
      <c r="A12718" t="str">
        <f>"Mesp2"</f>
        <v>Mesp2</v>
      </c>
      <c r="B12718" t="s">
        <v>4303</v>
      </c>
      <c r="C12718" t="s">
        <v>33</v>
      </c>
      <c r="D12718" t="s">
        <v>17</v>
      </c>
      <c r="E12718" t="s">
        <v>20</v>
      </c>
      <c r="F12718">
        <v>79810726</v>
      </c>
      <c r="G12718">
        <v>79810726</v>
      </c>
      <c r="H12718">
        <v>79810726</v>
      </c>
      <c r="I12718">
        <v>79810726</v>
      </c>
    </row>
    <row r="12719" spans="1:9" x14ac:dyDescent="0.2">
      <c r="A12719" t="str">
        <f>"Mest"</f>
        <v>Mest</v>
      </c>
      <c r="B12719" t="s">
        <v>9</v>
      </c>
      <c r="C12719" t="s">
        <v>32</v>
      </c>
      <c r="D12719" t="s">
        <v>17</v>
      </c>
      <c r="E12719" t="s">
        <v>12</v>
      </c>
      <c r="F12719">
        <v>30738044</v>
      </c>
      <c r="G12719">
        <v>30738059</v>
      </c>
      <c r="H12719">
        <v>30738044</v>
      </c>
      <c r="I12719">
        <v>30738059</v>
      </c>
    </row>
    <row r="12720" spans="1:9" x14ac:dyDescent="0.2">
      <c r="A12720" t="str">
        <f>"Mest"</f>
        <v>Mest</v>
      </c>
      <c r="B12720" t="s">
        <v>13</v>
      </c>
      <c r="C12720" t="s">
        <v>32</v>
      </c>
      <c r="D12720" t="s">
        <v>17</v>
      </c>
      <c r="E12720" t="s">
        <v>12</v>
      </c>
      <c r="F12720">
        <v>30740715</v>
      </c>
      <c r="G12720">
        <v>30740756</v>
      </c>
      <c r="H12720">
        <v>30740715</v>
      </c>
      <c r="I12720">
        <v>30740756</v>
      </c>
    </row>
    <row r="12721" spans="1:9" x14ac:dyDescent="0.2">
      <c r="A12721" t="str">
        <f>"Met"</f>
        <v>Met</v>
      </c>
      <c r="B12721" t="s">
        <v>14</v>
      </c>
      <c r="C12721" t="s">
        <v>32</v>
      </c>
      <c r="D12721" t="s">
        <v>17</v>
      </c>
      <c r="E12721" t="s">
        <v>12</v>
      </c>
      <c r="F12721">
        <v>17463927</v>
      </c>
      <c r="G12721">
        <v>17464071</v>
      </c>
      <c r="H12721">
        <v>17463749</v>
      </c>
      <c r="I12721">
        <v>17463809</v>
      </c>
    </row>
    <row r="12722" spans="1:9" x14ac:dyDescent="0.2">
      <c r="A12722" t="str">
        <f>"Metap1"</f>
        <v>Metap1</v>
      </c>
      <c r="B12722" t="s">
        <v>14</v>
      </c>
      <c r="C12722" t="s">
        <v>22</v>
      </c>
      <c r="D12722" t="s">
        <v>11</v>
      </c>
      <c r="E12722" t="s">
        <v>12</v>
      </c>
      <c r="F12722">
        <v>138489372</v>
      </c>
      <c r="G12722">
        <v>138489411</v>
      </c>
      <c r="H12722">
        <v>138489372</v>
      </c>
      <c r="I12722">
        <v>138489411</v>
      </c>
    </row>
    <row r="12723" spans="1:9" x14ac:dyDescent="0.2">
      <c r="A12723" t="str">
        <f>"Metap1d"</f>
        <v>Metap1d</v>
      </c>
      <c r="B12723" t="s">
        <v>14</v>
      </c>
      <c r="C12723" t="s">
        <v>26</v>
      </c>
      <c r="D12723" t="s">
        <v>17</v>
      </c>
      <c r="E12723" t="s">
        <v>12</v>
      </c>
      <c r="F12723">
        <v>71453323</v>
      </c>
      <c r="G12723">
        <v>71453370</v>
      </c>
      <c r="H12723">
        <v>71453323</v>
      </c>
      <c r="I12723">
        <v>71453370</v>
      </c>
    </row>
    <row r="12724" spans="1:9" x14ac:dyDescent="0.2">
      <c r="A12724" t="str">
        <f>"Metap2"</f>
        <v>Metap2</v>
      </c>
      <c r="B12724" t="s">
        <v>14</v>
      </c>
      <c r="C12724" t="s">
        <v>15</v>
      </c>
      <c r="D12724" t="s">
        <v>11</v>
      </c>
      <c r="E12724" t="s">
        <v>12</v>
      </c>
      <c r="F12724">
        <v>93889758</v>
      </c>
      <c r="G12724">
        <v>93889826</v>
      </c>
      <c r="H12724">
        <v>93889758</v>
      </c>
      <c r="I12724">
        <v>93889826</v>
      </c>
    </row>
    <row r="12725" spans="1:9" x14ac:dyDescent="0.2">
      <c r="A12725" t="str">
        <f>"Metrn"</f>
        <v>Metrn</v>
      </c>
      <c r="B12725" t="s">
        <v>14</v>
      </c>
      <c r="C12725" t="s">
        <v>28</v>
      </c>
      <c r="D12725" t="s">
        <v>11</v>
      </c>
      <c r="E12725" t="s">
        <v>12</v>
      </c>
      <c r="F12725">
        <v>25796964</v>
      </c>
      <c r="G12725">
        <v>25796981</v>
      </c>
      <c r="H12725">
        <v>25797032</v>
      </c>
      <c r="I12725">
        <v>25797075</v>
      </c>
    </row>
    <row r="12726" spans="1:9" x14ac:dyDescent="0.2">
      <c r="A12726" t="str">
        <f>"Metrnl"</f>
        <v>Metrnl</v>
      </c>
      <c r="B12726" t="s">
        <v>14</v>
      </c>
      <c r="C12726" t="s">
        <v>27</v>
      </c>
      <c r="D12726" t="s">
        <v>17</v>
      </c>
      <c r="E12726" t="s">
        <v>12</v>
      </c>
      <c r="F12726">
        <v>121702418</v>
      </c>
      <c r="G12726">
        <v>121702434</v>
      </c>
      <c r="H12726">
        <v>121702453</v>
      </c>
      <c r="I12726">
        <v>121702467</v>
      </c>
    </row>
    <row r="12727" spans="1:9" x14ac:dyDescent="0.2">
      <c r="A12727" t="str">
        <f>"Mettl1"</f>
        <v>Mettl1</v>
      </c>
      <c r="B12727" t="s">
        <v>14</v>
      </c>
      <c r="C12727" t="s">
        <v>15</v>
      </c>
      <c r="D12727" t="s">
        <v>17</v>
      </c>
      <c r="E12727" t="s">
        <v>12</v>
      </c>
      <c r="F12727">
        <v>127041931</v>
      </c>
      <c r="G12727">
        <v>127041972</v>
      </c>
      <c r="H12727">
        <v>127041506</v>
      </c>
      <c r="I12727">
        <v>127041547</v>
      </c>
    </row>
    <row r="12728" spans="1:9" x14ac:dyDescent="0.2">
      <c r="A12728" t="str">
        <f>"Mettl10"</f>
        <v>Mettl10</v>
      </c>
      <c r="B12728" t="s">
        <v>14</v>
      </c>
      <c r="C12728" t="s">
        <v>33</v>
      </c>
      <c r="D12728" t="s">
        <v>11</v>
      </c>
      <c r="E12728" t="s">
        <v>12</v>
      </c>
      <c r="F12728">
        <v>132852606</v>
      </c>
      <c r="G12728">
        <v>132852655</v>
      </c>
      <c r="H12728">
        <v>132852657</v>
      </c>
      <c r="I12728">
        <v>132852668</v>
      </c>
    </row>
    <row r="12729" spans="1:9" x14ac:dyDescent="0.2">
      <c r="A12729" t="str">
        <f>"Mettl11b"</f>
        <v>Mettl11b</v>
      </c>
      <c r="B12729" t="s">
        <v>14</v>
      </c>
      <c r="C12729" t="s">
        <v>19</v>
      </c>
      <c r="D12729" t="s">
        <v>11</v>
      </c>
      <c r="E12729" t="s">
        <v>12</v>
      </c>
      <c r="F12729">
        <v>163725123</v>
      </c>
      <c r="G12729">
        <v>163725136</v>
      </c>
      <c r="H12729">
        <v>163725146</v>
      </c>
      <c r="I12729">
        <v>163725158</v>
      </c>
    </row>
    <row r="12730" spans="1:9" x14ac:dyDescent="0.2">
      <c r="A12730" t="str">
        <f>"Mettl13"</f>
        <v>Mettl13</v>
      </c>
      <c r="B12730" t="s">
        <v>14</v>
      </c>
      <c r="C12730" t="s">
        <v>19</v>
      </c>
      <c r="D12730" t="s">
        <v>11</v>
      </c>
      <c r="E12730" t="s">
        <v>12</v>
      </c>
      <c r="F12730">
        <v>162548484</v>
      </c>
      <c r="G12730">
        <v>162548545</v>
      </c>
      <c r="H12730">
        <v>162548427</v>
      </c>
      <c r="I12730">
        <v>162548450</v>
      </c>
    </row>
    <row r="12731" spans="1:9" x14ac:dyDescent="0.2">
      <c r="A12731" t="str">
        <f>"Mettl14"</f>
        <v>Mettl14</v>
      </c>
      <c r="B12731" t="s">
        <v>14</v>
      </c>
      <c r="C12731" t="s">
        <v>22</v>
      </c>
      <c r="D12731" t="s">
        <v>11</v>
      </c>
      <c r="E12731" t="s">
        <v>12</v>
      </c>
      <c r="F12731">
        <v>123385925</v>
      </c>
      <c r="G12731">
        <v>123385993</v>
      </c>
      <c r="H12731">
        <v>123385994</v>
      </c>
      <c r="I12731">
        <v>123386010</v>
      </c>
    </row>
    <row r="12732" spans="1:9" x14ac:dyDescent="0.2">
      <c r="A12732" t="str">
        <f>"Mettl15"</f>
        <v>Mettl15</v>
      </c>
      <c r="B12732" t="s">
        <v>9</v>
      </c>
      <c r="C12732" t="s">
        <v>26</v>
      </c>
      <c r="D12732" t="s">
        <v>11</v>
      </c>
      <c r="E12732" t="s">
        <v>12</v>
      </c>
      <c r="F12732">
        <v>109278274</v>
      </c>
      <c r="G12732">
        <v>109278305</v>
      </c>
      <c r="H12732">
        <v>109278274</v>
      </c>
      <c r="I12732">
        <v>109278305</v>
      </c>
    </row>
    <row r="12733" spans="1:9" x14ac:dyDescent="0.2">
      <c r="A12733" t="str">
        <f>"Mettl15"</f>
        <v>Mettl15</v>
      </c>
      <c r="B12733" t="s">
        <v>13</v>
      </c>
      <c r="C12733" t="s">
        <v>26</v>
      </c>
      <c r="D12733" t="s">
        <v>11</v>
      </c>
      <c r="E12733" t="s">
        <v>12</v>
      </c>
      <c r="F12733">
        <v>109280718</v>
      </c>
      <c r="G12733">
        <v>109280767</v>
      </c>
      <c r="H12733">
        <v>109280718</v>
      </c>
      <c r="I12733">
        <v>109280767</v>
      </c>
    </row>
    <row r="12734" spans="1:9" x14ac:dyDescent="0.2">
      <c r="A12734" t="str">
        <f>"Mettl16"</f>
        <v>Mettl16</v>
      </c>
      <c r="B12734" t="s">
        <v>14</v>
      </c>
      <c r="C12734" t="s">
        <v>27</v>
      </c>
      <c r="D12734" t="s">
        <v>17</v>
      </c>
      <c r="E12734" t="s">
        <v>12</v>
      </c>
      <c r="F12734">
        <v>74770822</v>
      </c>
      <c r="G12734">
        <v>74770876</v>
      </c>
      <c r="H12734">
        <v>74770881</v>
      </c>
      <c r="I12734">
        <v>74770907</v>
      </c>
    </row>
    <row r="12735" spans="1:9" x14ac:dyDescent="0.2">
      <c r="A12735" t="str">
        <f>"Mettl17"</f>
        <v>Mettl17</v>
      </c>
      <c r="B12735" t="s">
        <v>14</v>
      </c>
      <c r="C12735" t="s">
        <v>41</v>
      </c>
      <c r="D12735" t="s">
        <v>17</v>
      </c>
      <c r="E12735" t="s">
        <v>12</v>
      </c>
      <c r="F12735">
        <v>51884905</v>
      </c>
      <c r="G12735">
        <v>51884949</v>
      </c>
      <c r="H12735">
        <v>51884982</v>
      </c>
      <c r="I12735">
        <v>51884993</v>
      </c>
    </row>
    <row r="12736" spans="1:9" x14ac:dyDescent="0.2">
      <c r="A12736" t="str">
        <f>"Mettl18"</f>
        <v>Mettl18</v>
      </c>
      <c r="B12736" t="s">
        <v>14</v>
      </c>
      <c r="C12736" t="s">
        <v>19</v>
      </c>
      <c r="D12736" t="s">
        <v>17</v>
      </c>
      <c r="E12736" t="s">
        <v>67</v>
      </c>
      <c r="F12736">
        <v>163994866</v>
      </c>
      <c r="G12736">
        <v>163994904</v>
      </c>
      <c r="H12736">
        <v>163994924</v>
      </c>
      <c r="I12736">
        <v>163994935</v>
      </c>
    </row>
    <row r="12737" spans="1:9" x14ac:dyDescent="0.2">
      <c r="A12737" t="str">
        <f>"Mettl2"</f>
        <v>Mettl2</v>
      </c>
      <c r="B12737" t="s">
        <v>14</v>
      </c>
      <c r="C12737" t="s">
        <v>27</v>
      </c>
      <c r="D12737" t="s">
        <v>17</v>
      </c>
      <c r="E12737" t="s">
        <v>12</v>
      </c>
      <c r="F12737">
        <v>105126467</v>
      </c>
      <c r="G12737">
        <v>105126519</v>
      </c>
      <c r="H12737">
        <v>105126644</v>
      </c>
      <c r="I12737">
        <v>105126664</v>
      </c>
    </row>
    <row r="12738" spans="1:9" x14ac:dyDescent="0.2">
      <c r="A12738" t="str">
        <f>"Mettl20"</f>
        <v>Mettl20</v>
      </c>
      <c r="B12738" t="s">
        <v>14</v>
      </c>
      <c r="C12738" t="s">
        <v>32</v>
      </c>
      <c r="D12738" t="s">
        <v>17</v>
      </c>
      <c r="E12738" t="s">
        <v>67</v>
      </c>
      <c r="F12738">
        <v>149141535</v>
      </c>
      <c r="G12738">
        <v>149141619</v>
      </c>
      <c r="H12738">
        <v>149141535</v>
      </c>
      <c r="I12738">
        <v>149141619</v>
      </c>
    </row>
    <row r="12739" spans="1:9" x14ac:dyDescent="0.2">
      <c r="A12739" t="str">
        <f>"Mettl21a"</f>
        <v>Mettl21a</v>
      </c>
      <c r="B12739" t="s">
        <v>14</v>
      </c>
      <c r="C12739" t="s">
        <v>19</v>
      </c>
      <c r="D12739" t="s">
        <v>11</v>
      </c>
      <c r="E12739" t="s">
        <v>12</v>
      </c>
      <c r="F12739">
        <v>64617153</v>
      </c>
      <c r="G12739">
        <v>64617238</v>
      </c>
      <c r="H12739">
        <v>64617262</v>
      </c>
      <c r="I12739">
        <v>64617265</v>
      </c>
    </row>
    <row r="12740" spans="1:9" x14ac:dyDescent="0.2">
      <c r="A12740" t="str">
        <f>"Mettl21b"</f>
        <v>Mettl21b</v>
      </c>
      <c r="B12740" t="s">
        <v>14</v>
      </c>
      <c r="C12740" t="s">
        <v>15</v>
      </c>
      <c r="D12740" t="s">
        <v>11</v>
      </c>
      <c r="E12740" t="s">
        <v>67</v>
      </c>
      <c r="F12740">
        <v>127041437</v>
      </c>
      <c r="G12740">
        <v>127041506</v>
      </c>
      <c r="H12740">
        <v>127041791</v>
      </c>
      <c r="I12740">
        <v>127041839</v>
      </c>
    </row>
    <row r="12741" spans="1:9" x14ac:dyDescent="0.2">
      <c r="A12741" t="str">
        <f>"Mettl21c"</f>
        <v>Mettl21c</v>
      </c>
      <c r="B12741" t="s">
        <v>14</v>
      </c>
      <c r="C12741" t="s">
        <v>19</v>
      </c>
      <c r="D12741" t="s">
        <v>11</v>
      </c>
      <c r="E12741" t="s">
        <v>67</v>
      </c>
      <c r="F12741">
        <v>44019929</v>
      </c>
      <c r="G12741">
        <v>44019940</v>
      </c>
      <c r="H12741">
        <v>44019990</v>
      </c>
      <c r="I12741">
        <v>44020002</v>
      </c>
    </row>
    <row r="12742" spans="1:9" x14ac:dyDescent="0.2">
      <c r="A12742" t="str">
        <f>"Mettl21d"</f>
        <v>Mettl21d</v>
      </c>
      <c r="B12742" t="s">
        <v>14</v>
      </c>
      <c r="C12742" t="s">
        <v>16</v>
      </c>
      <c r="D12742" t="s">
        <v>11</v>
      </c>
      <c r="E12742" t="s">
        <v>12</v>
      </c>
      <c r="F12742">
        <v>69582985</v>
      </c>
      <c r="G12742">
        <v>69583050</v>
      </c>
      <c r="H12742">
        <v>69582783</v>
      </c>
      <c r="I12742">
        <v>69582792</v>
      </c>
    </row>
    <row r="12743" spans="1:9" x14ac:dyDescent="0.2">
      <c r="A12743" t="str">
        <f>"Mettl21e"</f>
        <v>Mettl21e</v>
      </c>
      <c r="B12743" t="s">
        <v>14</v>
      </c>
      <c r="C12743" t="s">
        <v>19</v>
      </c>
      <c r="D12743" t="s">
        <v>11</v>
      </c>
      <c r="E12743" t="s">
        <v>67</v>
      </c>
      <c r="F12743">
        <v>44218905</v>
      </c>
      <c r="G12743">
        <v>44218951</v>
      </c>
      <c r="H12743">
        <v>44218952</v>
      </c>
      <c r="I12743">
        <v>44218961</v>
      </c>
    </row>
    <row r="12744" spans="1:9" x14ac:dyDescent="0.2">
      <c r="A12744" t="str">
        <f>"Mettl22"</f>
        <v>Mettl22</v>
      </c>
      <c r="B12744" t="s">
        <v>14</v>
      </c>
      <c r="C12744" t="s">
        <v>31</v>
      </c>
      <c r="D12744" t="s">
        <v>17</v>
      </c>
      <c r="E12744" t="s">
        <v>12</v>
      </c>
      <c r="F12744">
        <v>8470763</v>
      </c>
      <c r="G12744">
        <v>8470807</v>
      </c>
      <c r="H12744">
        <v>8470763</v>
      </c>
      <c r="I12744">
        <v>8470807</v>
      </c>
    </row>
    <row r="12745" spans="1:9" x14ac:dyDescent="0.2">
      <c r="A12745" t="str">
        <f>"Mettl23"</f>
        <v>Mettl23</v>
      </c>
      <c r="B12745" t="s">
        <v>14</v>
      </c>
      <c r="C12745" t="s">
        <v>27</v>
      </c>
      <c r="D12745" t="s">
        <v>17</v>
      </c>
      <c r="E12745" t="s">
        <v>67</v>
      </c>
      <c r="F12745">
        <v>116843519</v>
      </c>
      <c r="G12745">
        <v>116843569</v>
      </c>
      <c r="H12745">
        <v>116843651</v>
      </c>
      <c r="I12745">
        <v>116843677</v>
      </c>
    </row>
    <row r="12746" spans="1:9" x14ac:dyDescent="0.2">
      <c r="A12746" t="str">
        <f>"Mettl24"</f>
        <v>Mettl24</v>
      </c>
      <c r="B12746" t="s">
        <v>14</v>
      </c>
      <c r="C12746" t="s">
        <v>15</v>
      </c>
      <c r="D12746" t="s">
        <v>17</v>
      </c>
      <c r="E12746" t="s">
        <v>67</v>
      </c>
      <c r="F12746">
        <v>40683253</v>
      </c>
      <c r="G12746">
        <v>40683267</v>
      </c>
      <c r="H12746">
        <v>40683282</v>
      </c>
      <c r="I12746">
        <v>40683301</v>
      </c>
    </row>
    <row r="12747" spans="1:9" x14ac:dyDescent="0.2">
      <c r="A12747" t="str">
        <f>"Mettl25"</f>
        <v>Mettl25</v>
      </c>
      <c r="B12747" t="s">
        <v>14</v>
      </c>
      <c r="C12747" t="s">
        <v>15</v>
      </c>
      <c r="D12747" t="s">
        <v>11</v>
      </c>
      <c r="E12747" t="s">
        <v>67</v>
      </c>
      <c r="F12747">
        <v>105841323</v>
      </c>
      <c r="G12747">
        <v>105841372</v>
      </c>
      <c r="H12747">
        <v>105841313</v>
      </c>
      <c r="I12747">
        <v>105841321</v>
      </c>
    </row>
    <row r="12748" spans="1:9" x14ac:dyDescent="0.2">
      <c r="A12748" t="str">
        <f>"Mettl3"</f>
        <v>Mettl3</v>
      </c>
      <c r="B12748" t="s">
        <v>14</v>
      </c>
      <c r="C12748" t="s">
        <v>41</v>
      </c>
      <c r="D12748" t="s">
        <v>11</v>
      </c>
      <c r="E12748" t="s">
        <v>12</v>
      </c>
      <c r="F12748">
        <v>52305056</v>
      </c>
      <c r="G12748">
        <v>52305130</v>
      </c>
      <c r="H12748">
        <v>52305056</v>
      </c>
      <c r="I12748">
        <v>52305130</v>
      </c>
    </row>
    <row r="12749" spans="1:9" x14ac:dyDescent="0.2">
      <c r="A12749" t="str">
        <f>"Mettl4"</f>
        <v>Mettl4</v>
      </c>
      <c r="B12749" t="s">
        <v>14</v>
      </c>
      <c r="C12749" t="s">
        <v>28</v>
      </c>
      <c r="D12749" t="s">
        <v>11</v>
      </c>
      <c r="E12749" t="s">
        <v>12</v>
      </c>
      <c r="F12749">
        <v>94749971</v>
      </c>
      <c r="G12749">
        <v>94750046</v>
      </c>
      <c r="H12749">
        <v>94749506</v>
      </c>
      <c r="I12749">
        <v>94749509</v>
      </c>
    </row>
    <row r="12750" spans="1:9" x14ac:dyDescent="0.2">
      <c r="A12750" t="str">
        <f>"Mettl5"</f>
        <v>Mettl5</v>
      </c>
      <c r="B12750" t="s">
        <v>14</v>
      </c>
      <c r="C12750" t="s">
        <v>26</v>
      </c>
      <c r="D12750" t="s">
        <v>11</v>
      </c>
      <c r="E12750" t="s">
        <v>12</v>
      </c>
      <c r="F12750">
        <v>69885557</v>
      </c>
      <c r="G12750">
        <v>69885630</v>
      </c>
      <c r="H12750">
        <v>69885557</v>
      </c>
      <c r="I12750">
        <v>69885630</v>
      </c>
    </row>
    <row r="12751" spans="1:9" x14ac:dyDescent="0.2">
      <c r="A12751" t="str">
        <f>"Mettl6"</f>
        <v>Mettl6</v>
      </c>
      <c r="B12751" t="s">
        <v>14</v>
      </c>
      <c r="C12751" t="s">
        <v>41</v>
      </c>
      <c r="D12751" t="s">
        <v>11</v>
      </c>
      <c r="E12751" t="s">
        <v>12</v>
      </c>
      <c r="F12751">
        <v>31494992</v>
      </c>
      <c r="G12751">
        <v>31495054</v>
      </c>
      <c r="H12751">
        <v>31494960</v>
      </c>
      <c r="I12751">
        <v>31494985</v>
      </c>
    </row>
    <row r="12752" spans="1:9" x14ac:dyDescent="0.2">
      <c r="A12752" t="str">
        <f>"Mettl7a1"</f>
        <v>Mettl7a1</v>
      </c>
      <c r="B12752" t="s">
        <v>14</v>
      </c>
      <c r="C12752" t="s">
        <v>25</v>
      </c>
      <c r="D12752" t="s">
        <v>17</v>
      </c>
      <c r="E12752" t="s">
        <v>12</v>
      </c>
      <c r="F12752">
        <v>100304782</v>
      </c>
      <c r="G12752">
        <v>100304848</v>
      </c>
      <c r="H12752">
        <v>100304782</v>
      </c>
      <c r="I12752">
        <v>100304848</v>
      </c>
    </row>
    <row r="12753" spans="1:9" x14ac:dyDescent="0.2">
      <c r="A12753" t="str">
        <f>"Mettl7a2"</f>
        <v>Mettl7a2</v>
      </c>
      <c r="B12753" t="s">
        <v>9</v>
      </c>
      <c r="C12753" t="s">
        <v>25</v>
      </c>
      <c r="D12753" t="s">
        <v>17</v>
      </c>
      <c r="E12753" t="s">
        <v>12</v>
      </c>
      <c r="F12753">
        <v>100364538</v>
      </c>
      <c r="G12753">
        <v>100364551</v>
      </c>
      <c r="H12753">
        <v>100364538</v>
      </c>
      <c r="I12753">
        <v>100364551</v>
      </c>
    </row>
    <row r="12754" spans="1:9" x14ac:dyDescent="0.2">
      <c r="A12754" t="str">
        <f>"Mettl7a2"</f>
        <v>Mettl7a2</v>
      </c>
      <c r="B12754" t="s">
        <v>13</v>
      </c>
      <c r="C12754" t="s">
        <v>25</v>
      </c>
      <c r="D12754" t="s">
        <v>17</v>
      </c>
      <c r="E12754" t="s">
        <v>12</v>
      </c>
      <c r="F12754">
        <v>100353145</v>
      </c>
      <c r="G12754">
        <v>100353185</v>
      </c>
      <c r="H12754">
        <v>100353145</v>
      </c>
      <c r="I12754">
        <v>100353185</v>
      </c>
    </row>
    <row r="12755" spans="1:9" x14ac:dyDescent="0.2">
      <c r="A12755" t="str">
        <f>"Mettl7a3"</f>
        <v>Mettl7a3</v>
      </c>
      <c r="B12755" t="s">
        <v>14</v>
      </c>
      <c r="C12755" t="s">
        <v>25</v>
      </c>
      <c r="D12755" t="s">
        <v>17</v>
      </c>
      <c r="E12755" t="s">
        <v>12</v>
      </c>
      <c r="F12755">
        <v>100334892</v>
      </c>
      <c r="G12755">
        <v>100334903</v>
      </c>
      <c r="H12755">
        <v>100334892</v>
      </c>
      <c r="I12755">
        <v>100334903</v>
      </c>
    </row>
    <row r="12756" spans="1:9" x14ac:dyDescent="0.2">
      <c r="A12756" t="str">
        <f>"Mettl7b"</f>
        <v>Mettl7b</v>
      </c>
      <c r="B12756" t="s">
        <v>14</v>
      </c>
      <c r="C12756" t="s">
        <v>15</v>
      </c>
      <c r="D12756" t="s">
        <v>11</v>
      </c>
      <c r="E12756" t="s">
        <v>12</v>
      </c>
      <c r="F12756">
        <v>128960965</v>
      </c>
      <c r="G12756">
        <v>128960982</v>
      </c>
      <c r="H12756">
        <v>128960948</v>
      </c>
      <c r="I12756">
        <v>128960959</v>
      </c>
    </row>
    <row r="12757" spans="1:9" x14ac:dyDescent="0.2">
      <c r="A12757" t="str">
        <f>"Mettl8"</f>
        <v>Mettl8</v>
      </c>
      <c r="B12757" t="s">
        <v>14</v>
      </c>
      <c r="C12757" t="s">
        <v>26</v>
      </c>
      <c r="D12757" t="s">
        <v>11</v>
      </c>
      <c r="E12757" t="s">
        <v>12</v>
      </c>
      <c r="F12757">
        <v>71055534</v>
      </c>
      <c r="G12757">
        <v>71055611</v>
      </c>
      <c r="H12757">
        <v>71055516</v>
      </c>
      <c r="I12757">
        <v>71055529</v>
      </c>
    </row>
    <row r="12758" spans="1:9" x14ac:dyDescent="0.2">
      <c r="A12758" t="str">
        <f>"Mettl9"</f>
        <v>Mettl9</v>
      </c>
      <c r="B12758" t="s">
        <v>14</v>
      </c>
      <c r="C12758" t="s">
        <v>33</v>
      </c>
      <c r="D12758" t="s">
        <v>17</v>
      </c>
      <c r="E12758" t="s">
        <v>12</v>
      </c>
      <c r="F12758">
        <v>121034581</v>
      </c>
      <c r="G12758">
        <v>121034718</v>
      </c>
      <c r="H12758">
        <v>121034542</v>
      </c>
      <c r="I12758">
        <v>121034580</v>
      </c>
    </row>
    <row r="12759" spans="1:9" x14ac:dyDescent="0.2">
      <c r="A12759" t="str">
        <f>"Mex3a"</f>
        <v>Mex3a</v>
      </c>
      <c r="B12759" t="s">
        <v>14</v>
      </c>
      <c r="C12759" t="s">
        <v>22</v>
      </c>
      <c r="D12759" t="s">
        <v>17</v>
      </c>
      <c r="E12759" t="s">
        <v>12</v>
      </c>
      <c r="F12759">
        <v>88531904</v>
      </c>
      <c r="G12759">
        <v>88531995</v>
      </c>
      <c r="H12759">
        <v>88532314</v>
      </c>
      <c r="I12759">
        <v>88532396</v>
      </c>
    </row>
    <row r="12760" spans="1:9" x14ac:dyDescent="0.2">
      <c r="A12760" t="str">
        <f>"Mex3b"</f>
        <v>Mex3b</v>
      </c>
      <c r="B12760" t="s">
        <v>14</v>
      </c>
      <c r="C12760" t="s">
        <v>33</v>
      </c>
      <c r="D12760" t="s">
        <v>17</v>
      </c>
      <c r="E12760" t="s">
        <v>12</v>
      </c>
      <c r="F12760">
        <v>82867327</v>
      </c>
      <c r="G12760">
        <v>82867357</v>
      </c>
      <c r="H12760">
        <v>82867206</v>
      </c>
      <c r="I12760">
        <v>82867217</v>
      </c>
    </row>
    <row r="12761" spans="1:9" x14ac:dyDescent="0.2">
      <c r="A12761" t="str">
        <f>"Mex3c"</f>
        <v>Mex3c</v>
      </c>
      <c r="B12761" t="s">
        <v>14</v>
      </c>
      <c r="C12761" t="s">
        <v>43</v>
      </c>
      <c r="D12761" t="s">
        <v>17</v>
      </c>
      <c r="E12761" t="s">
        <v>12</v>
      </c>
      <c r="F12761">
        <v>73572755</v>
      </c>
      <c r="G12761">
        <v>73572836</v>
      </c>
      <c r="H12761">
        <v>73572842</v>
      </c>
      <c r="I12761">
        <v>73572882</v>
      </c>
    </row>
    <row r="12762" spans="1:9" x14ac:dyDescent="0.2">
      <c r="A12762" t="str">
        <f>"Mex3d"</f>
        <v>Mex3d</v>
      </c>
      <c r="B12762" t="s">
        <v>14</v>
      </c>
      <c r="C12762" t="s">
        <v>15</v>
      </c>
      <c r="D12762" t="s">
        <v>11</v>
      </c>
      <c r="E12762" t="s">
        <v>12</v>
      </c>
      <c r="F12762">
        <v>80387586</v>
      </c>
      <c r="G12762">
        <v>80387630</v>
      </c>
      <c r="H12762">
        <v>80387642</v>
      </c>
      <c r="I12762">
        <v>80387666</v>
      </c>
    </row>
    <row r="12763" spans="1:9" x14ac:dyDescent="0.2">
      <c r="A12763" t="str">
        <f>"Mfap1a"</f>
        <v>Mfap1a</v>
      </c>
      <c r="B12763" t="s">
        <v>14</v>
      </c>
      <c r="C12763" t="s">
        <v>26</v>
      </c>
      <c r="D12763" t="s">
        <v>11</v>
      </c>
      <c r="E12763" t="s">
        <v>12</v>
      </c>
      <c r="F12763">
        <v>121506639</v>
      </c>
      <c r="G12763">
        <v>121506667</v>
      </c>
      <c r="H12763">
        <v>121506639</v>
      </c>
      <c r="I12763">
        <v>121506667</v>
      </c>
    </row>
    <row r="12764" spans="1:9" x14ac:dyDescent="0.2">
      <c r="A12764" t="str">
        <f>"Mfap1b"</f>
        <v>Mfap1b</v>
      </c>
      <c r="B12764" t="s">
        <v>14</v>
      </c>
      <c r="C12764" t="s">
        <v>26</v>
      </c>
      <c r="D12764" t="s">
        <v>11</v>
      </c>
      <c r="E12764" t="s">
        <v>12</v>
      </c>
      <c r="F12764">
        <v>121473993</v>
      </c>
      <c r="G12764">
        <v>121474037</v>
      </c>
      <c r="H12764">
        <v>121473993</v>
      </c>
      <c r="I12764">
        <v>121474037</v>
      </c>
    </row>
    <row r="12765" spans="1:9" x14ac:dyDescent="0.2">
      <c r="A12765" t="str">
        <f>"Mfap2"</f>
        <v>Mfap2</v>
      </c>
      <c r="B12765" t="s">
        <v>14</v>
      </c>
      <c r="C12765" t="s">
        <v>23</v>
      </c>
      <c r="D12765" t="s">
        <v>17</v>
      </c>
      <c r="E12765" t="s">
        <v>12</v>
      </c>
      <c r="F12765">
        <v>141010673</v>
      </c>
      <c r="G12765">
        <v>141010696</v>
      </c>
      <c r="H12765">
        <v>141010517</v>
      </c>
      <c r="I12765">
        <v>141010523</v>
      </c>
    </row>
    <row r="12766" spans="1:9" x14ac:dyDescent="0.2">
      <c r="A12766" t="str">
        <f>"Mfap3"</f>
        <v>Mfap3</v>
      </c>
      <c r="B12766" t="s">
        <v>14</v>
      </c>
      <c r="C12766" t="s">
        <v>27</v>
      </c>
      <c r="D12766" t="s">
        <v>17</v>
      </c>
      <c r="E12766" t="s">
        <v>12</v>
      </c>
      <c r="F12766">
        <v>57518657</v>
      </c>
      <c r="G12766">
        <v>57518722</v>
      </c>
      <c r="H12766">
        <v>57518657</v>
      </c>
      <c r="I12766">
        <v>57518722</v>
      </c>
    </row>
    <row r="12767" spans="1:9" x14ac:dyDescent="0.2">
      <c r="A12767" t="str">
        <f>"Mfap3l"</f>
        <v>Mfap3l</v>
      </c>
      <c r="B12767" t="s">
        <v>14</v>
      </c>
      <c r="C12767" t="s">
        <v>30</v>
      </c>
      <c r="D12767" t="s">
        <v>17</v>
      </c>
      <c r="E12767" t="s">
        <v>12</v>
      </c>
      <c r="F12767">
        <v>60632856</v>
      </c>
      <c r="G12767">
        <v>60632905</v>
      </c>
      <c r="H12767">
        <v>60632818</v>
      </c>
      <c r="I12767">
        <v>60632836</v>
      </c>
    </row>
    <row r="12768" spans="1:9" x14ac:dyDescent="0.2">
      <c r="A12768" t="str">
        <f>"Mfap4"</f>
        <v>Mfap4</v>
      </c>
      <c r="B12768" t="s">
        <v>14</v>
      </c>
      <c r="C12768" t="s">
        <v>27</v>
      </c>
      <c r="D12768" t="s">
        <v>17</v>
      </c>
      <c r="E12768" t="s">
        <v>12</v>
      </c>
      <c r="F12768">
        <v>61485438</v>
      </c>
      <c r="G12768">
        <v>61485452</v>
      </c>
      <c r="H12768">
        <v>61485438</v>
      </c>
      <c r="I12768">
        <v>61485452</v>
      </c>
    </row>
    <row r="12769" spans="1:9" x14ac:dyDescent="0.2">
      <c r="A12769" t="str">
        <f>"Mfap5"</f>
        <v>Mfap5</v>
      </c>
      <c r="B12769" t="s">
        <v>14</v>
      </c>
      <c r="C12769" t="s">
        <v>32</v>
      </c>
      <c r="D12769" t="s">
        <v>17</v>
      </c>
      <c r="E12769" t="s">
        <v>12</v>
      </c>
      <c r="F12769">
        <v>122513643</v>
      </c>
      <c r="G12769">
        <v>122513668</v>
      </c>
      <c r="H12769">
        <v>122513643</v>
      </c>
      <c r="I12769">
        <v>122513668</v>
      </c>
    </row>
    <row r="12770" spans="1:9" x14ac:dyDescent="0.2">
      <c r="A12770" t="str">
        <f>"Mff"</f>
        <v>Mff</v>
      </c>
      <c r="B12770" t="s">
        <v>14</v>
      </c>
      <c r="C12770" t="s">
        <v>19</v>
      </c>
      <c r="D12770" t="s">
        <v>17</v>
      </c>
      <c r="E12770" t="s">
        <v>12</v>
      </c>
      <c r="F12770">
        <v>82724909</v>
      </c>
      <c r="G12770">
        <v>82724943</v>
      </c>
      <c r="H12770">
        <v>82724881</v>
      </c>
      <c r="I12770">
        <v>82724895</v>
      </c>
    </row>
    <row r="12771" spans="1:9" x14ac:dyDescent="0.2">
      <c r="A12771" t="str">
        <f>"Mfge8"</f>
        <v>Mfge8</v>
      </c>
      <c r="B12771" t="s">
        <v>14</v>
      </c>
      <c r="C12771" t="s">
        <v>33</v>
      </c>
      <c r="D12771" t="s">
        <v>11</v>
      </c>
      <c r="E12771" t="s">
        <v>12</v>
      </c>
      <c r="F12771">
        <v>79149015</v>
      </c>
      <c r="G12771">
        <v>79149029</v>
      </c>
      <c r="H12771">
        <v>79149042</v>
      </c>
      <c r="I12771">
        <v>79149062</v>
      </c>
    </row>
    <row r="12772" spans="1:9" x14ac:dyDescent="0.2">
      <c r="A12772" t="str">
        <f>"Mfhas1"</f>
        <v>Mfhas1</v>
      </c>
      <c r="B12772" t="s">
        <v>14</v>
      </c>
      <c r="C12772" t="s">
        <v>30</v>
      </c>
      <c r="D12772" t="s">
        <v>17</v>
      </c>
      <c r="E12772" t="s">
        <v>12</v>
      </c>
      <c r="F12772">
        <v>35587780</v>
      </c>
      <c r="G12772">
        <v>35587825</v>
      </c>
      <c r="H12772">
        <v>35587828</v>
      </c>
      <c r="I12772">
        <v>35587850</v>
      </c>
    </row>
    <row r="12773" spans="1:9" x14ac:dyDescent="0.2">
      <c r="A12773" t="str">
        <f>"Mfi2"</f>
        <v>Mfi2</v>
      </c>
      <c r="B12773" t="s">
        <v>14</v>
      </c>
      <c r="C12773" t="s">
        <v>31</v>
      </c>
      <c r="D12773" t="s">
        <v>17</v>
      </c>
      <c r="E12773" t="s">
        <v>12</v>
      </c>
      <c r="F12773">
        <v>31878868</v>
      </c>
      <c r="G12773">
        <v>31878883</v>
      </c>
      <c r="H12773">
        <v>31878868</v>
      </c>
      <c r="I12773">
        <v>31878883</v>
      </c>
    </row>
    <row r="12774" spans="1:9" x14ac:dyDescent="0.2">
      <c r="A12774" t="str">
        <f>"Mfn1"</f>
        <v>Mfn1</v>
      </c>
      <c r="B12774" t="s">
        <v>14</v>
      </c>
      <c r="C12774" t="s">
        <v>22</v>
      </c>
      <c r="D12774" t="s">
        <v>17</v>
      </c>
      <c r="E12774" t="s">
        <v>12</v>
      </c>
      <c r="F12774">
        <v>32529452</v>
      </c>
      <c r="G12774">
        <v>32529527</v>
      </c>
      <c r="H12774">
        <v>32529579</v>
      </c>
      <c r="I12774">
        <v>32529628</v>
      </c>
    </row>
    <row r="12775" spans="1:9" x14ac:dyDescent="0.2">
      <c r="A12775" t="str">
        <f>"Mfn2"</f>
        <v>Mfn2</v>
      </c>
      <c r="B12775" t="s">
        <v>14</v>
      </c>
      <c r="C12775" t="s">
        <v>23</v>
      </c>
      <c r="D12775" t="s">
        <v>11</v>
      </c>
      <c r="E12775" t="s">
        <v>12</v>
      </c>
      <c r="F12775">
        <v>147904680</v>
      </c>
      <c r="G12775">
        <v>147904710</v>
      </c>
      <c r="H12775">
        <v>147904867</v>
      </c>
      <c r="I12775">
        <v>147904923</v>
      </c>
    </row>
    <row r="12776" spans="1:9" x14ac:dyDescent="0.2">
      <c r="A12776" t="str">
        <f>"Mfng"</f>
        <v>Mfng</v>
      </c>
      <c r="B12776" t="s">
        <v>14</v>
      </c>
      <c r="C12776" t="s">
        <v>25</v>
      </c>
      <c r="D12776" t="s">
        <v>11</v>
      </c>
      <c r="E12776" t="s">
        <v>12</v>
      </c>
      <c r="F12776">
        <v>78773452</v>
      </c>
      <c r="G12776">
        <v>78773486</v>
      </c>
      <c r="H12776">
        <v>78773411</v>
      </c>
      <c r="I12776">
        <v>78773422</v>
      </c>
    </row>
    <row r="12777" spans="1:9" x14ac:dyDescent="0.2">
      <c r="A12777" t="str">
        <f>"Mfrp"</f>
        <v>Mfrp</v>
      </c>
      <c r="B12777" t="s">
        <v>14</v>
      </c>
      <c r="C12777" t="s">
        <v>24</v>
      </c>
      <c r="D12777" t="s">
        <v>17</v>
      </c>
      <c r="E12777" t="s">
        <v>12</v>
      </c>
      <c r="F12777">
        <v>44101722</v>
      </c>
      <c r="G12777">
        <v>44101735</v>
      </c>
      <c r="H12777">
        <v>44101722</v>
      </c>
      <c r="I12777">
        <v>44101735</v>
      </c>
    </row>
    <row r="12778" spans="1:9" x14ac:dyDescent="0.2">
      <c r="A12778" t="str">
        <f>"Mfsd1"</f>
        <v>Mfsd1</v>
      </c>
      <c r="B12778" t="s">
        <v>14</v>
      </c>
      <c r="C12778" t="s">
        <v>22</v>
      </c>
      <c r="D12778" t="s">
        <v>17</v>
      </c>
      <c r="E12778" t="s">
        <v>12</v>
      </c>
      <c r="F12778">
        <v>67582770</v>
      </c>
      <c r="G12778">
        <v>67582816</v>
      </c>
      <c r="H12778">
        <v>67582737</v>
      </c>
      <c r="I12778">
        <v>67582768</v>
      </c>
    </row>
    <row r="12779" spans="1:9" x14ac:dyDescent="0.2">
      <c r="A12779" t="str">
        <f>"Mfsd10"</f>
        <v>Mfsd10</v>
      </c>
      <c r="B12779" t="s">
        <v>14</v>
      </c>
      <c r="C12779" t="s">
        <v>46</v>
      </c>
      <c r="D12779" t="s">
        <v>11</v>
      </c>
      <c r="E12779" t="s">
        <v>12</v>
      </c>
      <c r="F12779">
        <v>34637107</v>
      </c>
      <c r="G12779">
        <v>34637200</v>
      </c>
      <c r="H12779">
        <v>34636489</v>
      </c>
      <c r="I12779">
        <v>34636540</v>
      </c>
    </row>
    <row r="12780" spans="1:9" x14ac:dyDescent="0.2">
      <c r="A12780" t="str">
        <f>"Mfsd11"</f>
        <v>Mfsd11</v>
      </c>
      <c r="B12780" t="s">
        <v>9</v>
      </c>
      <c r="C12780" t="s">
        <v>27</v>
      </c>
      <c r="D12780" t="s">
        <v>17</v>
      </c>
      <c r="E12780" t="s">
        <v>12</v>
      </c>
      <c r="F12780">
        <v>116853752</v>
      </c>
      <c r="G12780">
        <v>116853836</v>
      </c>
      <c r="H12780">
        <v>116853752</v>
      </c>
      <c r="I12780">
        <v>116853836</v>
      </c>
    </row>
    <row r="12781" spans="1:9" x14ac:dyDescent="0.2">
      <c r="A12781" t="str">
        <f>"Mfsd11"</f>
        <v>Mfsd11</v>
      </c>
      <c r="B12781" t="s">
        <v>13</v>
      </c>
      <c r="C12781" t="s">
        <v>27</v>
      </c>
      <c r="D12781" t="s">
        <v>17</v>
      </c>
      <c r="E12781" t="s">
        <v>12</v>
      </c>
      <c r="F12781">
        <v>116852485</v>
      </c>
      <c r="G12781">
        <v>116852574</v>
      </c>
      <c r="H12781">
        <v>116852485</v>
      </c>
      <c r="I12781">
        <v>116852574</v>
      </c>
    </row>
    <row r="12782" spans="1:9" x14ac:dyDescent="0.2">
      <c r="A12782" t="str">
        <f>"Mfsd12"</f>
        <v>Mfsd12</v>
      </c>
      <c r="B12782" t="s">
        <v>14</v>
      </c>
      <c r="C12782" t="s">
        <v>15</v>
      </c>
      <c r="D12782" t="s">
        <v>17</v>
      </c>
      <c r="E12782" t="s">
        <v>67</v>
      </c>
      <c r="F12782">
        <v>81357503</v>
      </c>
      <c r="G12782">
        <v>81357585</v>
      </c>
      <c r="H12782">
        <v>81357503</v>
      </c>
      <c r="I12782">
        <v>81357585</v>
      </c>
    </row>
    <row r="12783" spans="1:9" x14ac:dyDescent="0.2">
      <c r="A12783" t="str">
        <f>"Mfsd2a"</f>
        <v>Mfsd2a</v>
      </c>
      <c r="B12783" t="s">
        <v>14</v>
      </c>
      <c r="C12783" t="s">
        <v>23</v>
      </c>
      <c r="D12783" t="s">
        <v>11</v>
      </c>
      <c r="E12783" t="s">
        <v>12</v>
      </c>
      <c r="F12783">
        <v>122961173</v>
      </c>
      <c r="G12783">
        <v>122961193</v>
      </c>
      <c r="H12783">
        <v>122961449</v>
      </c>
      <c r="I12783">
        <v>122961453</v>
      </c>
    </row>
    <row r="12784" spans="1:9" x14ac:dyDescent="0.2">
      <c r="A12784" t="str">
        <f>"Mfsd2b"</f>
        <v>Mfsd2b</v>
      </c>
      <c r="B12784" t="s">
        <v>14</v>
      </c>
      <c r="C12784" t="s">
        <v>16</v>
      </c>
      <c r="D12784" t="s">
        <v>11</v>
      </c>
      <c r="E12784" t="s">
        <v>12</v>
      </c>
      <c r="F12784">
        <v>4874341</v>
      </c>
      <c r="G12784">
        <v>4874367</v>
      </c>
      <c r="H12784">
        <v>4874341</v>
      </c>
      <c r="I12784">
        <v>4874367</v>
      </c>
    </row>
    <row r="12785" spans="1:9" x14ac:dyDescent="0.2">
      <c r="A12785" t="str">
        <f>"Mfsd3"</f>
        <v>Mfsd3</v>
      </c>
      <c r="B12785" t="s">
        <v>14</v>
      </c>
      <c r="C12785" t="s">
        <v>25</v>
      </c>
      <c r="D12785" t="s">
        <v>17</v>
      </c>
      <c r="E12785" t="s">
        <v>12</v>
      </c>
      <c r="F12785">
        <v>76701455</v>
      </c>
      <c r="G12785">
        <v>76701496</v>
      </c>
      <c r="H12785">
        <v>76701552</v>
      </c>
      <c r="I12785">
        <v>76701572</v>
      </c>
    </row>
    <row r="12786" spans="1:9" x14ac:dyDescent="0.2">
      <c r="A12786" t="str">
        <f>"Mfsd4"</f>
        <v>Mfsd4</v>
      </c>
      <c r="B12786" t="s">
        <v>14</v>
      </c>
      <c r="C12786" t="s">
        <v>19</v>
      </c>
      <c r="D12786" t="s">
        <v>11</v>
      </c>
      <c r="E12786" t="s">
        <v>12</v>
      </c>
      <c r="F12786">
        <v>132067924</v>
      </c>
      <c r="G12786">
        <v>132067948</v>
      </c>
      <c r="H12786">
        <v>132067956</v>
      </c>
      <c r="I12786">
        <v>132067974</v>
      </c>
    </row>
    <row r="12787" spans="1:9" x14ac:dyDescent="0.2">
      <c r="A12787" t="str">
        <f>"Mfsd5"</f>
        <v>Mfsd5</v>
      </c>
      <c r="B12787" t="s">
        <v>14</v>
      </c>
      <c r="C12787" t="s">
        <v>25</v>
      </c>
      <c r="D12787" t="s">
        <v>17</v>
      </c>
      <c r="E12787" t="s">
        <v>12</v>
      </c>
      <c r="F12787">
        <v>102279495</v>
      </c>
      <c r="G12787">
        <v>102279548</v>
      </c>
      <c r="H12787">
        <v>102279446</v>
      </c>
      <c r="I12787">
        <v>102279475</v>
      </c>
    </row>
    <row r="12788" spans="1:9" x14ac:dyDescent="0.2">
      <c r="A12788" t="str">
        <f>"Mfsd6"</f>
        <v>Mfsd6</v>
      </c>
      <c r="B12788" t="s">
        <v>14</v>
      </c>
      <c r="C12788" t="s">
        <v>19</v>
      </c>
      <c r="D12788" t="s">
        <v>11</v>
      </c>
      <c r="E12788" t="s">
        <v>12</v>
      </c>
      <c r="F12788">
        <v>52727296</v>
      </c>
      <c r="G12788">
        <v>52727382</v>
      </c>
      <c r="H12788">
        <v>52727296</v>
      </c>
      <c r="I12788">
        <v>52727382</v>
      </c>
    </row>
    <row r="12789" spans="1:9" x14ac:dyDescent="0.2">
      <c r="A12789" t="str">
        <f>"Mfsd6l"</f>
        <v>Mfsd6l</v>
      </c>
      <c r="B12789" t="s">
        <v>14</v>
      </c>
      <c r="C12789" t="s">
        <v>27</v>
      </c>
      <c r="D12789" t="s">
        <v>17</v>
      </c>
      <c r="E12789" t="s">
        <v>12</v>
      </c>
      <c r="F12789">
        <v>68556166</v>
      </c>
      <c r="G12789">
        <v>68556182</v>
      </c>
      <c r="H12789">
        <v>68556235</v>
      </c>
      <c r="I12789">
        <v>68556256</v>
      </c>
    </row>
    <row r="12790" spans="1:9" x14ac:dyDescent="0.2">
      <c r="A12790" t="str">
        <f>"Mfsd7a"</f>
        <v>Mfsd7a</v>
      </c>
      <c r="B12790" t="s">
        <v>14</v>
      </c>
      <c r="C12790" t="s">
        <v>46</v>
      </c>
      <c r="D12790" t="s">
        <v>11</v>
      </c>
      <c r="E12790" t="s">
        <v>12</v>
      </c>
      <c r="F12790">
        <v>108448882</v>
      </c>
      <c r="G12790">
        <v>108448912</v>
      </c>
      <c r="H12790">
        <v>108448861</v>
      </c>
      <c r="I12790">
        <v>108448876</v>
      </c>
    </row>
    <row r="12791" spans="1:9" x14ac:dyDescent="0.2">
      <c r="A12791" t="str">
        <f>"Mfsd7b"</f>
        <v>Mfsd7b</v>
      </c>
      <c r="B12791" t="s">
        <v>14</v>
      </c>
      <c r="C12791" t="s">
        <v>19</v>
      </c>
      <c r="D12791" t="s">
        <v>11</v>
      </c>
      <c r="E12791" t="s">
        <v>12</v>
      </c>
      <c r="F12791">
        <v>191026181</v>
      </c>
      <c r="G12791">
        <v>191026197</v>
      </c>
      <c r="H12791">
        <v>191026020</v>
      </c>
      <c r="I12791">
        <v>191026064</v>
      </c>
    </row>
    <row r="12792" spans="1:9" x14ac:dyDescent="0.2">
      <c r="A12792" t="str">
        <f>"Mfsd7c"</f>
        <v>Mfsd7c</v>
      </c>
      <c r="B12792" t="s">
        <v>14</v>
      </c>
      <c r="C12792" t="s">
        <v>16</v>
      </c>
      <c r="D12792" t="s">
        <v>17</v>
      </c>
      <c r="E12792" t="s">
        <v>12</v>
      </c>
      <c r="F12792">
        <v>85746574</v>
      </c>
      <c r="G12792">
        <v>85746604</v>
      </c>
      <c r="H12792">
        <v>85746552</v>
      </c>
      <c r="I12792">
        <v>85746572</v>
      </c>
    </row>
    <row r="12793" spans="1:9" x14ac:dyDescent="0.2">
      <c r="A12793" t="str">
        <f>"Mfsd8"</f>
        <v>Mfsd8</v>
      </c>
      <c r="B12793" t="s">
        <v>14</v>
      </c>
      <c r="C12793" t="s">
        <v>22</v>
      </c>
      <c r="D12793" t="s">
        <v>11</v>
      </c>
      <c r="E12793" t="s">
        <v>12</v>
      </c>
      <c r="F12793">
        <v>40846847</v>
      </c>
      <c r="G12793">
        <v>40846860</v>
      </c>
      <c r="H12793">
        <v>40846793</v>
      </c>
      <c r="I12793">
        <v>40846822</v>
      </c>
    </row>
    <row r="12794" spans="1:9" x14ac:dyDescent="0.2">
      <c r="A12794" t="str">
        <f>"Mfsd9"</f>
        <v>Mfsd9</v>
      </c>
      <c r="B12794" t="s">
        <v>14</v>
      </c>
      <c r="C12794" t="s">
        <v>19</v>
      </c>
      <c r="D12794" t="s">
        <v>11</v>
      </c>
      <c r="E12794" t="s">
        <v>12</v>
      </c>
      <c r="F12794">
        <v>40790642</v>
      </c>
      <c r="G12794">
        <v>40790686</v>
      </c>
      <c r="H12794">
        <v>40790636</v>
      </c>
      <c r="I12794">
        <v>40790639</v>
      </c>
    </row>
    <row r="12795" spans="1:9" x14ac:dyDescent="0.2">
      <c r="A12795" t="str">
        <f>"Mga"</f>
        <v>Mga</v>
      </c>
      <c r="B12795" t="s">
        <v>9</v>
      </c>
      <c r="C12795" t="s">
        <v>26</v>
      </c>
      <c r="D12795" t="s">
        <v>17</v>
      </c>
      <c r="E12795" t="s">
        <v>12</v>
      </c>
      <c r="F12795">
        <v>119897212</v>
      </c>
      <c r="G12795">
        <v>119897292</v>
      </c>
      <c r="H12795">
        <v>119897212</v>
      </c>
      <c r="I12795">
        <v>119897292</v>
      </c>
    </row>
    <row r="12796" spans="1:9" x14ac:dyDescent="0.2">
      <c r="A12796" t="str">
        <f>"Mga"</f>
        <v>Mga</v>
      </c>
      <c r="B12796" t="s">
        <v>13</v>
      </c>
      <c r="C12796" t="s">
        <v>26</v>
      </c>
      <c r="D12796" t="s">
        <v>17</v>
      </c>
      <c r="E12796" t="s">
        <v>12</v>
      </c>
      <c r="F12796">
        <v>119872505</v>
      </c>
      <c r="G12796">
        <v>119872555</v>
      </c>
      <c r="H12796">
        <v>119872505</v>
      </c>
      <c r="I12796">
        <v>119872555</v>
      </c>
    </row>
    <row r="12797" spans="1:9" x14ac:dyDescent="0.2">
      <c r="A12797" t="str">
        <f>"Mgam"</f>
        <v>Mgam</v>
      </c>
      <c r="B12797" t="s">
        <v>14</v>
      </c>
      <c r="C12797" t="s">
        <v>32</v>
      </c>
      <c r="D12797" t="s">
        <v>17</v>
      </c>
      <c r="E12797" t="s">
        <v>12</v>
      </c>
      <c r="F12797">
        <v>40628824</v>
      </c>
      <c r="G12797">
        <v>40628839</v>
      </c>
      <c r="H12797">
        <v>40628824</v>
      </c>
      <c r="I12797">
        <v>40628839</v>
      </c>
    </row>
    <row r="12798" spans="1:9" x14ac:dyDescent="0.2">
      <c r="A12798" t="str">
        <f>"Mgarp"</f>
        <v>Mgarp</v>
      </c>
      <c r="B12798" t="s">
        <v>14</v>
      </c>
      <c r="C12798" t="s">
        <v>22</v>
      </c>
      <c r="D12798" t="s">
        <v>11</v>
      </c>
      <c r="E12798" t="s">
        <v>67</v>
      </c>
      <c r="F12798">
        <v>51396503</v>
      </c>
      <c r="G12798">
        <v>51396526</v>
      </c>
      <c r="H12798">
        <v>51396528</v>
      </c>
      <c r="I12798">
        <v>51396551</v>
      </c>
    </row>
    <row r="12799" spans="1:9" x14ac:dyDescent="0.2">
      <c r="A12799" t="str">
        <f>"Mgat1"</f>
        <v>Mgat1</v>
      </c>
      <c r="B12799" t="s">
        <v>14</v>
      </c>
      <c r="C12799" t="s">
        <v>27</v>
      </c>
      <c r="D12799" t="s">
        <v>17</v>
      </c>
      <c r="E12799" t="s">
        <v>12</v>
      </c>
      <c r="F12799">
        <v>49250583</v>
      </c>
      <c r="G12799">
        <v>49250597</v>
      </c>
      <c r="H12799">
        <v>49250542</v>
      </c>
      <c r="I12799">
        <v>49250572</v>
      </c>
    </row>
    <row r="12800" spans="1:9" x14ac:dyDescent="0.2">
      <c r="A12800" t="str">
        <f>"Mgat2"</f>
        <v>Mgat2</v>
      </c>
      <c r="B12800" t="s">
        <v>14</v>
      </c>
      <c r="C12800" t="s">
        <v>16</v>
      </c>
      <c r="D12800" t="s">
        <v>17</v>
      </c>
      <c r="E12800" t="s">
        <v>12</v>
      </c>
      <c r="F12800">
        <v>69184177</v>
      </c>
      <c r="G12800">
        <v>69184218</v>
      </c>
      <c r="H12800">
        <v>69184159</v>
      </c>
      <c r="I12800">
        <v>69184170</v>
      </c>
    </row>
    <row r="12801" spans="1:9" x14ac:dyDescent="0.2">
      <c r="A12801" t="str">
        <f>"Mgat3"</f>
        <v>Mgat3</v>
      </c>
      <c r="B12801" t="s">
        <v>14</v>
      </c>
      <c r="C12801" t="s">
        <v>25</v>
      </c>
      <c r="D12801" t="s">
        <v>17</v>
      </c>
      <c r="E12801" t="s">
        <v>12</v>
      </c>
      <c r="F12801">
        <v>80173304</v>
      </c>
      <c r="G12801">
        <v>80173410</v>
      </c>
      <c r="H12801">
        <v>80173552</v>
      </c>
      <c r="I12801">
        <v>80173580</v>
      </c>
    </row>
    <row r="12802" spans="1:9" x14ac:dyDescent="0.2">
      <c r="A12802" t="str">
        <f>"Mgat4a"</f>
        <v>Mgat4a</v>
      </c>
      <c r="B12802" t="s">
        <v>9</v>
      </c>
      <c r="C12802" t="s">
        <v>19</v>
      </c>
      <c r="D12802" t="s">
        <v>11</v>
      </c>
      <c r="E12802" t="s">
        <v>12</v>
      </c>
      <c r="F12802">
        <v>37536232</v>
      </c>
      <c r="G12802">
        <v>37536236</v>
      </c>
      <c r="H12802">
        <v>37536232</v>
      </c>
      <c r="I12802">
        <v>37536236</v>
      </c>
    </row>
    <row r="12803" spans="1:9" x14ac:dyDescent="0.2">
      <c r="A12803" t="str">
        <f>"Mgat4a"</f>
        <v>Mgat4a</v>
      </c>
      <c r="B12803" t="s">
        <v>13</v>
      </c>
      <c r="C12803" t="s">
        <v>19</v>
      </c>
      <c r="D12803" t="s">
        <v>11</v>
      </c>
      <c r="E12803" t="s">
        <v>12</v>
      </c>
      <c r="F12803">
        <v>37541003</v>
      </c>
      <c r="G12803">
        <v>37541046</v>
      </c>
      <c r="H12803">
        <v>37541003</v>
      </c>
      <c r="I12803">
        <v>37541046</v>
      </c>
    </row>
    <row r="12804" spans="1:9" x14ac:dyDescent="0.2">
      <c r="A12804" t="str">
        <f>"Mgat4b"</f>
        <v>Mgat4b</v>
      </c>
      <c r="B12804" t="s">
        <v>14</v>
      </c>
      <c r="C12804" t="s">
        <v>27</v>
      </c>
      <c r="D12804" t="s">
        <v>17</v>
      </c>
      <c r="E12804" t="s">
        <v>12</v>
      </c>
      <c r="F12804">
        <v>50225315</v>
      </c>
      <c r="G12804">
        <v>50225429</v>
      </c>
      <c r="H12804">
        <v>50225475</v>
      </c>
      <c r="I12804">
        <v>50225492</v>
      </c>
    </row>
    <row r="12805" spans="1:9" x14ac:dyDescent="0.2">
      <c r="A12805" t="str">
        <f>"Mgat4c"</f>
        <v>Mgat4c</v>
      </c>
      <c r="B12805" t="s">
        <v>9</v>
      </c>
      <c r="C12805" t="s">
        <v>15</v>
      </c>
      <c r="D12805" t="s">
        <v>17</v>
      </c>
      <c r="E12805" t="s">
        <v>12</v>
      </c>
      <c r="F12805">
        <v>102374429</v>
      </c>
      <c r="G12805">
        <v>102374445</v>
      </c>
      <c r="H12805">
        <v>102374429</v>
      </c>
      <c r="I12805">
        <v>102374445</v>
      </c>
    </row>
    <row r="12806" spans="1:9" x14ac:dyDescent="0.2">
      <c r="A12806" t="str">
        <f>"Mgat4c"</f>
        <v>Mgat4c</v>
      </c>
      <c r="B12806" t="s">
        <v>13</v>
      </c>
      <c r="C12806" t="s">
        <v>15</v>
      </c>
      <c r="D12806" t="s">
        <v>17</v>
      </c>
      <c r="E12806" t="s">
        <v>12</v>
      </c>
      <c r="F12806">
        <v>102158894</v>
      </c>
      <c r="G12806">
        <v>102158916</v>
      </c>
      <c r="H12806">
        <v>102158894</v>
      </c>
      <c r="I12806">
        <v>102158916</v>
      </c>
    </row>
    <row r="12807" spans="1:9" x14ac:dyDescent="0.2">
      <c r="A12807" t="str">
        <f>"Mgat5"</f>
        <v>Mgat5</v>
      </c>
      <c r="B12807" t="s">
        <v>14</v>
      </c>
      <c r="C12807" t="s">
        <v>19</v>
      </c>
      <c r="D12807" t="s">
        <v>17</v>
      </c>
      <c r="E12807" t="s">
        <v>12</v>
      </c>
      <c r="F12807">
        <v>127204989</v>
      </c>
      <c r="G12807">
        <v>127205051</v>
      </c>
      <c r="H12807">
        <v>127205197</v>
      </c>
      <c r="I12807">
        <v>127205294</v>
      </c>
    </row>
    <row r="12808" spans="1:9" x14ac:dyDescent="0.2">
      <c r="A12808" t="str">
        <f>"Mgat5b"</f>
        <v>Mgat5b</v>
      </c>
      <c r="B12808" t="s">
        <v>14</v>
      </c>
      <c r="C12808" t="s">
        <v>27</v>
      </c>
      <c r="D12808" t="s">
        <v>17</v>
      </c>
      <c r="E12808" t="s">
        <v>12</v>
      </c>
      <c r="F12808">
        <v>116918844</v>
      </c>
      <c r="G12808">
        <v>116918888</v>
      </c>
      <c r="H12808">
        <v>116918826</v>
      </c>
      <c r="I12808">
        <v>116918837</v>
      </c>
    </row>
    <row r="12809" spans="1:9" x14ac:dyDescent="0.2">
      <c r="A12809" t="str">
        <f>"Mgea5"</f>
        <v>Mgea5</v>
      </c>
      <c r="B12809" t="s">
        <v>14</v>
      </c>
      <c r="C12809" t="s">
        <v>10</v>
      </c>
      <c r="D12809" t="s">
        <v>11</v>
      </c>
      <c r="E12809" t="s">
        <v>12</v>
      </c>
      <c r="F12809">
        <v>45783512</v>
      </c>
      <c r="G12809">
        <v>45783558</v>
      </c>
      <c r="H12809">
        <v>45783500</v>
      </c>
      <c r="I12809">
        <v>45783511</v>
      </c>
    </row>
    <row r="12810" spans="1:9" x14ac:dyDescent="0.2">
      <c r="A12810" t="str">
        <f>"Mgl2"</f>
        <v>Mgl2</v>
      </c>
      <c r="B12810" t="s">
        <v>14</v>
      </c>
      <c r="C12810" t="s">
        <v>27</v>
      </c>
      <c r="D12810" t="s">
        <v>17</v>
      </c>
      <c r="E12810" t="s">
        <v>12</v>
      </c>
      <c r="F12810">
        <v>70130392</v>
      </c>
      <c r="G12810">
        <v>70130411</v>
      </c>
      <c r="H12810">
        <v>70130392</v>
      </c>
      <c r="I12810">
        <v>70130411</v>
      </c>
    </row>
    <row r="12811" spans="1:9" x14ac:dyDescent="0.2">
      <c r="A12811" t="str">
        <f>"Mgll"</f>
        <v>Mgll</v>
      </c>
      <c r="B12811" t="s">
        <v>14</v>
      </c>
      <c r="C12811" t="s">
        <v>32</v>
      </c>
      <c r="D12811" t="s">
        <v>17</v>
      </c>
      <c r="E12811" t="s">
        <v>12</v>
      </c>
      <c r="F12811">
        <v>88724462</v>
      </c>
      <c r="G12811">
        <v>88724478</v>
      </c>
      <c r="H12811">
        <v>88724667</v>
      </c>
      <c r="I12811">
        <v>88724751</v>
      </c>
    </row>
    <row r="12812" spans="1:9" x14ac:dyDescent="0.2">
      <c r="A12812" t="str">
        <f>"Mgme1"</f>
        <v>Mgme1</v>
      </c>
      <c r="B12812" t="s">
        <v>14</v>
      </c>
      <c r="C12812" t="s">
        <v>26</v>
      </c>
      <c r="D12812" t="s">
        <v>17</v>
      </c>
      <c r="E12812" t="s">
        <v>67</v>
      </c>
      <c r="F12812">
        <v>144271011</v>
      </c>
      <c r="G12812">
        <v>144271055</v>
      </c>
      <c r="H12812">
        <v>144270881</v>
      </c>
      <c r="I12812">
        <v>144270948</v>
      </c>
    </row>
    <row r="12813" spans="1:9" x14ac:dyDescent="0.2">
      <c r="A12813" t="str">
        <f>"Mgmt"</f>
        <v>Mgmt</v>
      </c>
      <c r="B12813" t="s">
        <v>14</v>
      </c>
      <c r="C12813" t="s">
        <v>33</v>
      </c>
      <c r="D12813" t="s">
        <v>17</v>
      </c>
      <c r="E12813" t="s">
        <v>12</v>
      </c>
      <c r="F12813">
        <v>136894598</v>
      </c>
      <c r="G12813">
        <v>136894639</v>
      </c>
      <c r="H12813">
        <v>136894575</v>
      </c>
      <c r="I12813">
        <v>136894597</v>
      </c>
    </row>
    <row r="12814" spans="1:9" x14ac:dyDescent="0.2">
      <c r="A12814" t="str">
        <f>"Mgp"</f>
        <v>Mgp</v>
      </c>
      <c r="B12814" t="s">
        <v>14</v>
      </c>
      <c r="C12814" t="s">
        <v>32</v>
      </c>
      <c r="D12814" t="s">
        <v>11</v>
      </c>
      <c r="E12814" t="s">
        <v>12</v>
      </c>
      <c r="F12814">
        <v>136875794</v>
      </c>
      <c r="G12814">
        <v>136875811</v>
      </c>
      <c r="H12814">
        <v>136875794</v>
      </c>
      <c r="I12814">
        <v>136875811</v>
      </c>
    </row>
    <row r="12815" spans="1:9" x14ac:dyDescent="0.2">
      <c r="A12815" t="str">
        <f>"Mgrn1"</f>
        <v>Mgrn1</v>
      </c>
      <c r="B12815" t="s">
        <v>14</v>
      </c>
      <c r="C12815" t="s">
        <v>31</v>
      </c>
      <c r="D12815" t="s">
        <v>17</v>
      </c>
      <c r="E12815" t="s">
        <v>12</v>
      </c>
      <c r="F12815">
        <v>4886239</v>
      </c>
      <c r="G12815">
        <v>4886268</v>
      </c>
      <c r="H12815">
        <v>4886271</v>
      </c>
      <c r="I12815">
        <v>4886284</v>
      </c>
    </row>
    <row r="12816" spans="1:9" x14ac:dyDescent="0.2">
      <c r="A12816" t="str">
        <f>"Mgst1"</f>
        <v>Mgst1</v>
      </c>
      <c r="B12816" t="s">
        <v>14</v>
      </c>
      <c r="C12816" t="s">
        <v>32</v>
      </c>
      <c r="D12816" t="s">
        <v>17</v>
      </c>
      <c r="E12816" t="s">
        <v>12</v>
      </c>
      <c r="F12816">
        <v>138140521</v>
      </c>
      <c r="G12816">
        <v>138140581</v>
      </c>
      <c r="H12816">
        <v>138140298</v>
      </c>
      <c r="I12816">
        <v>138140320</v>
      </c>
    </row>
    <row r="12817" spans="1:9" x14ac:dyDescent="0.2">
      <c r="A12817" t="str">
        <f>"Mgst2"</f>
        <v>Mgst2</v>
      </c>
      <c r="B12817" t="s">
        <v>14</v>
      </c>
      <c r="C12817" t="s">
        <v>22</v>
      </c>
      <c r="D12817" t="s">
        <v>17</v>
      </c>
      <c r="E12817" t="s">
        <v>12</v>
      </c>
      <c r="F12817">
        <v>51661167</v>
      </c>
      <c r="G12817">
        <v>51661189</v>
      </c>
      <c r="H12817">
        <v>51661209</v>
      </c>
      <c r="I12817">
        <v>51661250</v>
      </c>
    </row>
    <row r="12818" spans="1:9" x14ac:dyDescent="0.2">
      <c r="A12818" t="str">
        <f>"Mgst3"</f>
        <v>Mgst3</v>
      </c>
      <c r="B12818" t="s">
        <v>14</v>
      </c>
      <c r="C12818" t="s">
        <v>19</v>
      </c>
      <c r="D12818" t="s">
        <v>11</v>
      </c>
      <c r="E12818" t="s">
        <v>12</v>
      </c>
      <c r="F12818">
        <v>167393775</v>
      </c>
      <c r="G12818">
        <v>167393824</v>
      </c>
      <c r="H12818">
        <v>167393826</v>
      </c>
      <c r="I12818">
        <v>167393835</v>
      </c>
    </row>
    <row r="12819" spans="1:9" x14ac:dyDescent="0.2">
      <c r="A12819" t="str">
        <f>"Mia"</f>
        <v>Mia</v>
      </c>
      <c r="B12819" t="s">
        <v>14</v>
      </c>
      <c r="C12819" t="s">
        <v>33</v>
      </c>
      <c r="D12819" t="s">
        <v>11</v>
      </c>
      <c r="E12819" t="s">
        <v>67</v>
      </c>
      <c r="F12819">
        <v>27181047</v>
      </c>
      <c r="G12819">
        <v>27181137</v>
      </c>
      <c r="H12819">
        <v>27181151</v>
      </c>
      <c r="I12819">
        <v>27181162</v>
      </c>
    </row>
    <row r="12820" spans="1:9" x14ac:dyDescent="0.2">
      <c r="A12820" t="str">
        <f>"Mia2"</f>
        <v>Mia2</v>
      </c>
      <c r="B12820" t="s">
        <v>14</v>
      </c>
      <c r="C12820" t="s">
        <v>16</v>
      </c>
      <c r="D12820" t="s">
        <v>17</v>
      </c>
      <c r="E12820" t="s">
        <v>12</v>
      </c>
      <c r="F12820">
        <v>59095571</v>
      </c>
      <c r="G12820">
        <v>59095633</v>
      </c>
      <c r="H12820">
        <v>59095571</v>
      </c>
      <c r="I12820">
        <v>59095633</v>
      </c>
    </row>
    <row r="12821" spans="1:9" x14ac:dyDescent="0.2">
      <c r="A12821" t="str">
        <f>"Mia3"</f>
        <v>Mia3</v>
      </c>
      <c r="B12821" t="s">
        <v>4304</v>
      </c>
      <c r="C12821" t="s">
        <v>19</v>
      </c>
      <c r="D12821" t="s">
        <v>11</v>
      </c>
      <c r="E12821" t="s">
        <v>20</v>
      </c>
      <c r="F12821">
        <v>183345295</v>
      </c>
      <c r="G12821">
        <v>183345295</v>
      </c>
      <c r="H12821">
        <v>183345295</v>
      </c>
      <c r="I12821">
        <v>183345295</v>
      </c>
    </row>
    <row r="12822" spans="1:9" x14ac:dyDescent="0.2">
      <c r="A12822" t="str">
        <f>"Mib1"</f>
        <v>Mib1</v>
      </c>
      <c r="B12822" t="s">
        <v>14</v>
      </c>
      <c r="C12822" t="s">
        <v>43</v>
      </c>
      <c r="D12822" t="s">
        <v>17</v>
      </c>
      <c r="E12822" t="s">
        <v>12</v>
      </c>
      <c r="F12822">
        <v>10725614</v>
      </c>
      <c r="G12822">
        <v>10725636</v>
      </c>
      <c r="H12822">
        <v>10725577</v>
      </c>
      <c r="I12822">
        <v>10725607</v>
      </c>
    </row>
    <row r="12823" spans="1:9" x14ac:dyDescent="0.2">
      <c r="A12823" t="str">
        <f>"Mib2"</f>
        <v>Mib2</v>
      </c>
      <c r="B12823" t="s">
        <v>14</v>
      </c>
      <c r="C12823" t="s">
        <v>23</v>
      </c>
      <c r="D12823" t="s">
        <v>11</v>
      </c>
      <c r="E12823" t="s">
        <v>12</v>
      </c>
      <c r="F12823">
        <v>155669171</v>
      </c>
      <c r="G12823">
        <v>155669231</v>
      </c>
      <c r="H12823">
        <v>155669119</v>
      </c>
      <c r="I12823">
        <v>155669163</v>
      </c>
    </row>
    <row r="12824" spans="1:9" x14ac:dyDescent="0.2">
      <c r="A12824" t="str">
        <f>"Mical1"</f>
        <v>Mical1</v>
      </c>
      <c r="B12824" t="s">
        <v>14</v>
      </c>
      <c r="C12824" t="s">
        <v>15</v>
      </c>
      <c r="D12824" t="s">
        <v>17</v>
      </c>
      <c r="E12824" t="s">
        <v>12</v>
      </c>
      <c r="F12824">
        <v>41476326</v>
      </c>
      <c r="G12824">
        <v>41476392</v>
      </c>
      <c r="H12824">
        <v>41476663</v>
      </c>
      <c r="I12824">
        <v>41476702</v>
      </c>
    </row>
    <row r="12825" spans="1:9" x14ac:dyDescent="0.2">
      <c r="A12825" t="str">
        <f>"Mical2"</f>
        <v>Mical2</v>
      </c>
      <c r="B12825" t="s">
        <v>14</v>
      </c>
      <c r="C12825" t="s">
        <v>33</v>
      </c>
      <c r="D12825" t="s">
        <v>17</v>
      </c>
      <c r="E12825" t="s">
        <v>12</v>
      </c>
      <c r="F12825">
        <v>112225857</v>
      </c>
      <c r="G12825">
        <v>112225900</v>
      </c>
      <c r="H12825">
        <v>112225837</v>
      </c>
      <c r="I12825">
        <v>112225848</v>
      </c>
    </row>
    <row r="12826" spans="1:9" x14ac:dyDescent="0.2">
      <c r="A12826" t="str">
        <f>"Mical3"</f>
        <v>Mical3</v>
      </c>
      <c r="B12826" t="s">
        <v>14</v>
      </c>
      <c r="C12826" t="s">
        <v>32</v>
      </c>
      <c r="D12826" t="s">
        <v>11</v>
      </c>
      <c r="E12826" t="s">
        <v>12</v>
      </c>
      <c r="F12826">
        <v>121110102</v>
      </c>
      <c r="G12826">
        <v>121110171</v>
      </c>
      <c r="H12826">
        <v>121110102</v>
      </c>
      <c r="I12826">
        <v>121110171</v>
      </c>
    </row>
    <row r="12827" spans="1:9" x14ac:dyDescent="0.2">
      <c r="A12827" t="str">
        <f>"Micalcl"</f>
        <v>Micalcl</v>
      </c>
      <c r="B12827" t="s">
        <v>14</v>
      </c>
      <c r="C12827" t="s">
        <v>33</v>
      </c>
      <c r="D12827" t="s">
        <v>17</v>
      </c>
      <c r="E12827" t="s">
        <v>12</v>
      </c>
      <c r="F12827">
        <v>112374839</v>
      </c>
      <c r="G12827">
        <v>112374864</v>
      </c>
      <c r="H12827">
        <v>112374839</v>
      </c>
      <c r="I12827">
        <v>112374864</v>
      </c>
    </row>
    <row r="12828" spans="1:9" x14ac:dyDescent="0.2">
      <c r="A12828" t="str">
        <f>"Micall1"</f>
        <v>Micall1</v>
      </c>
      <c r="B12828" t="s">
        <v>14</v>
      </c>
      <c r="C12828" t="s">
        <v>25</v>
      </c>
      <c r="D12828" t="s">
        <v>17</v>
      </c>
      <c r="E12828" t="s">
        <v>12</v>
      </c>
      <c r="F12828">
        <v>79108911</v>
      </c>
      <c r="G12828">
        <v>79108982</v>
      </c>
      <c r="H12828">
        <v>79109145</v>
      </c>
      <c r="I12828">
        <v>79109180</v>
      </c>
    </row>
    <row r="12829" spans="1:9" x14ac:dyDescent="0.2">
      <c r="A12829" t="str">
        <f>"Micall2"</f>
        <v>Micall2</v>
      </c>
      <c r="B12829" t="s">
        <v>14</v>
      </c>
      <c r="C12829" t="s">
        <v>46</v>
      </c>
      <c r="D12829" t="s">
        <v>11</v>
      </c>
      <c r="E12829" t="s">
        <v>12</v>
      </c>
      <c r="F12829">
        <v>139736291</v>
      </c>
      <c r="G12829">
        <v>139736332</v>
      </c>
      <c r="H12829">
        <v>139736266</v>
      </c>
      <c r="I12829">
        <v>139736287</v>
      </c>
    </row>
    <row r="12830" spans="1:9" x14ac:dyDescent="0.2">
      <c r="A12830" t="str">
        <f>"Micu1"</f>
        <v>Micu1</v>
      </c>
      <c r="B12830" t="s">
        <v>14</v>
      </c>
      <c r="C12830" t="s">
        <v>15</v>
      </c>
      <c r="D12830" t="s">
        <v>17</v>
      </c>
      <c r="E12830" t="s">
        <v>67</v>
      </c>
      <c r="F12830">
        <v>59702558</v>
      </c>
      <c r="G12830">
        <v>59702628</v>
      </c>
      <c r="H12830">
        <v>59702645</v>
      </c>
      <c r="I12830">
        <v>59702663</v>
      </c>
    </row>
    <row r="12831" spans="1:9" x14ac:dyDescent="0.2">
      <c r="A12831" t="str">
        <f>"Micu2"</f>
        <v>Micu2</v>
      </c>
      <c r="B12831" t="s">
        <v>14</v>
      </c>
      <c r="C12831" t="s">
        <v>41</v>
      </c>
      <c r="D12831" t="s">
        <v>11</v>
      </c>
      <c r="E12831" t="s">
        <v>67</v>
      </c>
      <c r="F12831">
        <v>57999236</v>
      </c>
      <c r="G12831">
        <v>57999273</v>
      </c>
      <c r="H12831">
        <v>57999236</v>
      </c>
      <c r="I12831">
        <v>57999273</v>
      </c>
    </row>
    <row r="12832" spans="1:9" x14ac:dyDescent="0.2">
      <c r="A12832" t="str">
        <f>"Micu3"</f>
        <v>Micu3</v>
      </c>
      <c r="B12832" t="s">
        <v>4305</v>
      </c>
      <c r="C12832" t="s">
        <v>30</v>
      </c>
      <c r="D12832" t="s">
        <v>17</v>
      </c>
      <c r="E12832" t="s">
        <v>35</v>
      </c>
      <c r="F12832">
        <v>40307580</v>
      </c>
      <c r="G12832">
        <v>40307593</v>
      </c>
      <c r="H12832">
        <v>40307580</v>
      </c>
      <c r="I12832">
        <v>40307593</v>
      </c>
    </row>
    <row r="12833" spans="1:9" x14ac:dyDescent="0.2">
      <c r="A12833" t="str">
        <f>"Mid1"</f>
        <v>Mid1</v>
      </c>
      <c r="B12833" t="s">
        <v>9</v>
      </c>
      <c r="C12833" t="s">
        <v>37</v>
      </c>
      <c r="D12833" t="s">
        <v>17</v>
      </c>
      <c r="E12833" t="s">
        <v>12</v>
      </c>
      <c r="F12833">
        <v>169879596</v>
      </c>
      <c r="G12833">
        <v>169879656</v>
      </c>
      <c r="H12833">
        <v>169879596</v>
      </c>
      <c r="I12833">
        <v>169879656</v>
      </c>
    </row>
    <row r="12834" spans="1:9" x14ac:dyDescent="0.2">
      <c r="A12834" t="str">
        <f>"Mid1"</f>
        <v>Mid1</v>
      </c>
      <c r="B12834" t="s">
        <v>13</v>
      </c>
      <c r="C12834" t="s">
        <v>37</v>
      </c>
      <c r="D12834" t="s">
        <v>17</v>
      </c>
      <c r="E12834" t="s">
        <v>12</v>
      </c>
      <c r="F12834">
        <v>169685191</v>
      </c>
      <c r="G12834">
        <v>169685250</v>
      </c>
      <c r="H12834">
        <v>169685191</v>
      </c>
      <c r="I12834">
        <v>169685250</v>
      </c>
    </row>
    <row r="12835" spans="1:9" x14ac:dyDescent="0.2">
      <c r="A12835" t="str">
        <f>"Mid1ip1"</f>
        <v>Mid1ip1</v>
      </c>
      <c r="B12835" t="s">
        <v>14</v>
      </c>
      <c r="C12835" t="s">
        <v>37</v>
      </c>
      <c r="D12835" t="s">
        <v>17</v>
      </c>
      <c r="E12835" t="s">
        <v>12</v>
      </c>
      <c r="F12835">
        <v>10717578</v>
      </c>
      <c r="G12835">
        <v>10717596</v>
      </c>
      <c r="H12835">
        <v>10717451</v>
      </c>
      <c r="I12835">
        <v>10717491</v>
      </c>
    </row>
    <row r="12836" spans="1:9" x14ac:dyDescent="0.2">
      <c r="A12836" t="str">
        <f>"Mid2"</f>
        <v>Mid2</v>
      </c>
      <c r="B12836" t="s">
        <v>14</v>
      </c>
      <c r="C12836" t="s">
        <v>37</v>
      </c>
      <c r="D12836" t="s">
        <v>17</v>
      </c>
      <c r="E12836" t="s">
        <v>12</v>
      </c>
      <c r="F12836">
        <v>140664908</v>
      </c>
      <c r="G12836">
        <v>140664942</v>
      </c>
      <c r="H12836">
        <v>140664565</v>
      </c>
      <c r="I12836">
        <v>140664601</v>
      </c>
    </row>
    <row r="12837" spans="1:9" x14ac:dyDescent="0.2">
      <c r="A12837" t="str">
        <f>"Midn"</f>
        <v>Midn</v>
      </c>
      <c r="B12837" t="s">
        <v>9</v>
      </c>
      <c r="C12837" t="s">
        <v>15</v>
      </c>
      <c r="D12837" t="s">
        <v>17</v>
      </c>
      <c r="E12837" t="s">
        <v>12</v>
      </c>
      <c r="F12837">
        <v>80149658</v>
      </c>
      <c r="G12837">
        <v>80149685</v>
      </c>
      <c r="H12837">
        <v>80149658</v>
      </c>
      <c r="I12837">
        <v>80149685</v>
      </c>
    </row>
    <row r="12838" spans="1:9" x14ac:dyDescent="0.2">
      <c r="A12838" t="str">
        <f>"Midn"</f>
        <v>Midn</v>
      </c>
      <c r="B12838" t="s">
        <v>13</v>
      </c>
      <c r="C12838" t="s">
        <v>15</v>
      </c>
      <c r="D12838" t="s">
        <v>17</v>
      </c>
      <c r="E12838" t="s">
        <v>12</v>
      </c>
      <c r="F12838">
        <v>80148263</v>
      </c>
      <c r="G12838">
        <v>80148279</v>
      </c>
      <c r="H12838">
        <v>80148263</v>
      </c>
      <c r="I12838">
        <v>80148279</v>
      </c>
    </row>
    <row r="12839" spans="1:9" x14ac:dyDescent="0.2">
      <c r="A12839" t="str">
        <f>"Mief1"</f>
        <v>Mief1</v>
      </c>
      <c r="B12839" t="s">
        <v>14</v>
      </c>
      <c r="C12839" t="s">
        <v>25</v>
      </c>
      <c r="D12839" t="s">
        <v>17</v>
      </c>
      <c r="E12839" t="s">
        <v>67</v>
      </c>
      <c r="F12839">
        <v>80234071</v>
      </c>
      <c r="G12839">
        <v>80234146</v>
      </c>
      <c r="H12839">
        <v>80234016</v>
      </c>
      <c r="I12839">
        <v>80234035</v>
      </c>
    </row>
    <row r="12840" spans="1:9" x14ac:dyDescent="0.2">
      <c r="A12840" t="str">
        <f>"Mief2"</f>
        <v>Mief2</v>
      </c>
      <c r="B12840" t="s">
        <v>14</v>
      </c>
      <c r="C12840" t="s">
        <v>27</v>
      </c>
      <c r="D12840" t="s">
        <v>17</v>
      </c>
      <c r="E12840" t="s">
        <v>67</v>
      </c>
      <c r="F12840">
        <v>60728413</v>
      </c>
      <c r="G12840">
        <v>60728454</v>
      </c>
      <c r="H12840">
        <v>60728481</v>
      </c>
      <c r="I12840">
        <v>60728502</v>
      </c>
    </row>
    <row r="12841" spans="1:9" x14ac:dyDescent="0.2">
      <c r="A12841" t="str">
        <f>"Mien1"</f>
        <v>Mien1</v>
      </c>
      <c r="B12841" t="s">
        <v>14</v>
      </c>
      <c r="C12841" t="s">
        <v>27</v>
      </c>
      <c r="D12841" t="s">
        <v>11</v>
      </c>
      <c r="E12841" t="s">
        <v>67</v>
      </c>
      <c r="F12841">
        <v>98438941</v>
      </c>
      <c r="G12841">
        <v>98439008</v>
      </c>
      <c r="H12841">
        <v>98438941</v>
      </c>
      <c r="I12841">
        <v>98439008</v>
      </c>
    </row>
    <row r="12842" spans="1:9" x14ac:dyDescent="0.2">
      <c r="A12842" t="str">
        <f>"Mier1"</f>
        <v>Mier1</v>
      </c>
      <c r="B12842" t="s">
        <v>9</v>
      </c>
      <c r="C12842" t="s">
        <v>23</v>
      </c>
      <c r="D12842" t="s">
        <v>17</v>
      </c>
      <c r="E12842" t="s">
        <v>12</v>
      </c>
      <c r="F12842">
        <v>103114402</v>
      </c>
      <c r="G12842">
        <v>103114445</v>
      </c>
      <c r="H12842">
        <v>103114402</v>
      </c>
      <c r="I12842">
        <v>103114445</v>
      </c>
    </row>
    <row r="12843" spans="1:9" x14ac:dyDescent="0.2">
      <c r="A12843" t="str">
        <f>"Mier1"</f>
        <v>Mier1</v>
      </c>
      <c r="B12843" t="s">
        <v>13</v>
      </c>
      <c r="C12843" t="s">
        <v>23</v>
      </c>
      <c r="D12843" t="s">
        <v>17</v>
      </c>
      <c r="E12843" t="s">
        <v>12</v>
      </c>
      <c r="F12843">
        <v>103119371</v>
      </c>
      <c r="G12843">
        <v>103119403</v>
      </c>
      <c r="H12843">
        <v>103119371</v>
      </c>
      <c r="I12843">
        <v>103119403</v>
      </c>
    </row>
    <row r="12844" spans="1:9" x14ac:dyDescent="0.2">
      <c r="A12844" t="str">
        <f>"Mier2"</f>
        <v>Mier2</v>
      </c>
      <c r="B12844" t="s">
        <v>14</v>
      </c>
      <c r="C12844" t="s">
        <v>15</v>
      </c>
      <c r="D12844" t="s">
        <v>11</v>
      </c>
      <c r="E12844" t="s">
        <v>12</v>
      </c>
      <c r="F12844">
        <v>79555088</v>
      </c>
      <c r="G12844">
        <v>79555126</v>
      </c>
      <c r="H12844">
        <v>79554842</v>
      </c>
      <c r="I12844">
        <v>79554864</v>
      </c>
    </row>
    <row r="12845" spans="1:9" x14ac:dyDescent="0.2">
      <c r="A12845" t="str">
        <f>"Mier3"</f>
        <v>Mier3</v>
      </c>
      <c r="B12845" t="s">
        <v>14</v>
      </c>
      <c r="C12845" t="s">
        <v>39</v>
      </c>
      <c r="D12845" t="s">
        <v>17</v>
      </c>
      <c r="E12845" t="s">
        <v>12</v>
      </c>
      <c r="F12845">
        <v>111686303</v>
      </c>
      <c r="G12845">
        <v>111686346</v>
      </c>
      <c r="H12845">
        <v>111686225</v>
      </c>
      <c r="I12845">
        <v>111686240</v>
      </c>
    </row>
    <row r="12846" spans="1:9" x14ac:dyDescent="0.2">
      <c r="A12846" t="str">
        <f>"Mif"</f>
        <v>Mif</v>
      </c>
      <c r="B12846" t="s">
        <v>14</v>
      </c>
      <c r="C12846" t="s">
        <v>15</v>
      </c>
      <c r="D12846" t="s">
        <v>11</v>
      </c>
      <c r="E12846" t="s">
        <v>12</v>
      </c>
      <c r="F12846">
        <v>75860254</v>
      </c>
      <c r="G12846">
        <v>75860289</v>
      </c>
      <c r="H12846">
        <v>75860214</v>
      </c>
      <c r="I12846">
        <v>75860221</v>
      </c>
    </row>
    <row r="12847" spans="1:9" x14ac:dyDescent="0.2">
      <c r="A12847" t="str">
        <f>"Mif4gd"</f>
        <v>Mif4gd</v>
      </c>
      <c r="B12847" t="s">
        <v>14</v>
      </c>
      <c r="C12847" t="s">
        <v>27</v>
      </c>
      <c r="D12847" t="s">
        <v>11</v>
      </c>
      <c r="E12847" t="s">
        <v>12</v>
      </c>
      <c r="F12847">
        <v>115612913</v>
      </c>
      <c r="G12847">
        <v>115612937</v>
      </c>
      <c r="H12847">
        <v>115612940</v>
      </c>
      <c r="I12847">
        <v>115612975</v>
      </c>
    </row>
    <row r="12848" spans="1:9" x14ac:dyDescent="0.2">
      <c r="A12848" t="str">
        <f>"Miip"</f>
        <v>Miip</v>
      </c>
      <c r="B12848" t="s">
        <v>14</v>
      </c>
      <c r="C12848" t="s">
        <v>23</v>
      </c>
      <c r="D12848" t="s">
        <v>11</v>
      </c>
      <c r="E12848" t="s">
        <v>12</v>
      </c>
      <c r="F12848">
        <v>147868469</v>
      </c>
      <c r="G12848">
        <v>147868551</v>
      </c>
      <c r="H12848">
        <v>147868631</v>
      </c>
      <c r="I12848">
        <v>147868695</v>
      </c>
    </row>
    <row r="12849" spans="1:9" x14ac:dyDescent="0.2">
      <c r="A12849" t="str">
        <f>"Mill1"</f>
        <v>Mill1</v>
      </c>
      <c r="B12849" t="s">
        <v>14</v>
      </c>
      <c r="C12849" t="s">
        <v>33</v>
      </c>
      <c r="D12849" t="s">
        <v>17</v>
      </c>
      <c r="E12849" t="s">
        <v>12</v>
      </c>
      <c r="F12849">
        <v>18245202</v>
      </c>
      <c r="G12849">
        <v>18245216</v>
      </c>
      <c r="H12849">
        <v>18245385</v>
      </c>
      <c r="I12849">
        <v>18245402</v>
      </c>
    </row>
    <row r="12850" spans="1:9" x14ac:dyDescent="0.2">
      <c r="A12850" t="str">
        <f>"Mill2"</f>
        <v>Mill2</v>
      </c>
      <c r="B12850" t="s">
        <v>14</v>
      </c>
      <c r="C12850" t="s">
        <v>33</v>
      </c>
      <c r="D12850" t="s">
        <v>17</v>
      </c>
      <c r="E12850" t="s">
        <v>12</v>
      </c>
      <c r="F12850">
        <v>18839954</v>
      </c>
      <c r="G12850">
        <v>18840006</v>
      </c>
      <c r="H12850">
        <v>18840011</v>
      </c>
      <c r="I12850">
        <v>18840020</v>
      </c>
    </row>
    <row r="12851" spans="1:9" x14ac:dyDescent="0.2">
      <c r="A12851" t="str">
        <f>"Milr1"</f>
        <v>Milr1</v>
      </c>
      <c r="B12851" t="s">
        <v>14</v>
      </c>
      <c r="C12851" t="s">
        <v>27</v>
      </c>
      <c r="D12851" t="s">
        <v>17</v>
      </c>
      <c r="E12851" t="s">
        <v>67</v>
      </c>
      <c r="F12851">
        <v>106751255</v>
      </c>
      <c r="G12851">
        <v>106751280</v>
      </c>
      <c r="H12851">
        <v>106751242</v>
      </c>
      <c r="I12851">
        <v>106751251</v>
      </c>
    </row>
    <row r="12852" spans="1:9" x14ac:dyDescent="0.2">
      <c r="A12852" t="str">
        <f>"Mina"</f>
        <v>Mina</v>
      </c>
      <c r="B12852" t="s">
        <v>14</v>
      </c>
      <c r="C12852" t="s">
        <v>31</v>
      </c>
      <c r="D12852" t="s">
        <v>17</v>
      </c>
      <c r="E12852" t="s">
        <v>12</v>
      </c>
      <c r="F12852">
        <v>59471778</v>
      </c>
      <c r="G12852">
        <v>59471861</v>
      </c>
      <c r="H12852">
        <v>59472095</v>
      </c>
      <c r="I12852">
        <v>59472097</v>
      </c>
    </row>
    <row r="12853" spans="1:9" x14ac:dyDescent="0.2">
      <c r="A12853" t="str">
        <f>"Mink1"</f>
        <v>Mink1</v>
      </c>
      <c r="B12853" t="s">
        <v>14</v>
      </c>
      <c r="C12853" t="s">
        <v>27</v>
      </c>
      <c r="D12853" t="s">
        <v>17</v>
      </c>
      <c r="E12853" t="s">
        <v>12</v>
      </c>
      <c r="F12853">
        <v>70562840</v>
      </c>
      <c r="G12853">
        <v>70562897</v>
      </c>
      <c r="H12853">
        <v>70562980</v>
      </c>
      <c r="I12853">
        <v>70563031</v>
      </c>
    </row>
    <row r="12854" spans="1:9" x14ac:dyDescent="0.2">
      <c r="A12854" t="str">
        <f>"Minos1"</f>
        <v>Minos1</v>
      </c>
      <c r="B12854" t="s">
        <v>14</v>
      </c>
      <c r="C12854" t="s">
        <v>23</v>
      </c>
      <c r="D12854" t="s">
        <v>11</v>
      </c>
      <c r="E12854" t="s">
        <v>12</v>
      </c>
      <c r="F12854">
        <v>139130985</v>
      </c>
      <c r="G12854">
        <v>139131021</v>
      </c>
      <c r="H12854">
        <v>139131029</v>
      </c>
      <c r="I12854">
        <v>139131056</v>
      </c>
    </row>
    <row r="12855" spans="1:9" x14ac:dyDescent="0.2">
      <c r="A12855" t="str">
        <f>"Minpp1"</f>
        <v>Minpp1</v>
      </c>
      <c r="B12855" t="s">
        <v>14</v>
      </c>
      <c r="C12855" t="s">
        <v>10</v>
      </c>
      <c r="D12855" t="s">
        <v>17</v>
      </c>
      <c r="E12855" t="s">
        <v>12</v>
      </c>
      <c r="F12855">
        <v>32485883</v>
      </c>
      <c r="G12855">
        <v>32485984</v>
      </c>
      <c r="H12855">
        <v>32485787</v>
      </c>
      <c r="I12855">
        <v>32485802</v>
      </c>
    </row>
    <row r="12856" spans="1:9" x14ac:dyDescent="0.2">
      <c r="A12856" t="str">
        <f>"Mios"</f>
        <v>Mios</v>
      </c>
      <c r="B12856" t="s">
        <v>14</v>
      </c>
      <c r="C12856" t="s">
        <v>32</v>
      </c>
      <c r="D12856" t="s">
        <v>17</v>
      </c>
      <c r="E12856" t="s">
        <v>12</v>
      </c>
      <c r="F12856">
        <v>8209216</v>
      </c>
      <c r="G12856">
        <v>8209263</v>
      </c>
      <c r="H12856">
        <v>8209289</v>
      </c>
      <c r="I12856">
        <v>8209351</v>
      </c>
    </row>
    <row r="12857" spans="1:9" x14ac:dyDescent="0.2">
      <c r="A12857" t="str">
        <f>"Miox"</f>
        <v>Miox</v>
      </c>
      <c r="B12857" t="s">
        <v>14</v>
      </c>
      <c r="C12857" t="s">
        <v>25</v>
      </c>
      <c r="D12857" t="s">
        <v>17</v>
      </c>
      <c r="E12857" t="s">
        <v>12</v>
      </c>
      <c r="F12857">
        <v>89334453</v>
      </c>
      <c r="G12857">
        <v>89334472</v>
      </c>
      <c r="H12857">
        <v>89334986</v>
      </c>
      <c r="I12857">
        <v>89335017</v>
      </c>
    </row>
    <row r="12858" spans="1:9" x14ac:dyDescent="0.2">
      <c r="A12858" t="str">
        <f>"Mip"</f>
        <v>Mip</v>
      </c>
      <c r="B12858" t="s">
        <v>14</v>
      </c>
      <c r="C12858" t="s">
        <v>15</v>
      </c>
      <c r="D12858" t="s">
        <v>17</v>
      </c>
      <c r="E12858" t="s">
        <v>12</v>
      </c>
      <c r="F12858">
        <v>128225830</v>
      </c>
      <c r="G12858">
        <v>128225845</v>
      </c>
      <c r="H12858">
        <v>128225830</v>
      </c>
      <c r="I12858">
        <v>128225845</v>
      </c>
    </row>
    <row r="12859" spans="1:9" x14ac:dyDescent="0.2">
      <c r="A12859" t="str">
        <f>"Mipep"</f>
        <v>Mipep</v>
      </c>
      <c r="B12859" t="s">
        <v>14</v>
      </c>
      <c r="C12859" t="s">
        <v>41</v>
      </c>
      <c r="D12859" t="s">
        <v>17</v>
      </c>
      <c r="E12859" t="s">
        <v>12</v>
      </c>
      <c r="F12859">
        <v>60784558</v>
      </c>
      <c r="G12859">
        <v>60784675</v>
      </c>
      <c r="H12859">
        <v>60784680</v>
      </c>
      <c r="I12859">
        <v>60784694</v>
      </c>
    </row>
    <row r="12860" spans="1:9" x14ac:dyDescent="0.2">
      <c r="A12860" t="str">
        <f>"Mipol1"</f>
        <v>Mipol1</v>
      </c>
      <c r="B12860" t="s">
        <v>14</v>
      </c>
      <c r="C12860" t="s">
        <v>16</v>
      </c>
      <c r="D12860" t="s">
        <v>17</v>
      </c>
      <c r="E12860" t="s">
        <v>12</v>
      </c>
      <c r="F12860">
        <v>57230406</v>
      </c>
      <c r="G12860">
        <v>57230460</v>
      </c>
      <c r="H12860">
        <v>57230514</v>
      </c>
      <c r="I12860">
        <v>57230564</v>
      </c>
    </row>
    <row r="12861" spans="1:9" x14ac:dyDescent="0.2">
      <c r="A12861" t="str">
        <f>"Mis12"</f>
        <v>Mis12</v>
      </c>
      <c r="B12861" t="s">
        <v>14</v>
      </c>
      <c r="C12861" t="s">
        <v>27</v>
      </c>
      <c r="D12861" t="s">
        <v>17</v>
      </c>
      <c r="E12861" t="s">
        <v>12</v>
      </c>
      <c r="F12861">
        <v>71019593</v>
      </c>
      <c r="G12861">
        <v>71019617</v>
      </c>
      <c r="H12861">
        <v>71019895</v>
      </c>
      <c r="I12861">
        <v>71019938</v>
      </c>
    </row>
    <row r="12862" spans="1:9" x14ac:dyDescent="0.2">
      <c r="A12862" t="str">
        <f>"Mis18a"</f>
        <v>Mis18a</v>
      </c>
      <c r="B12862" t="s">
        <v>14</v>
      </c>
      <c r="C12862" t="s">
        <v>31</v>
      </c>
      <c r="D12862" t="s">
        <v>11</v>
      </c>
      <c r="E12862" t="s">
        <v>67</v>
      </c>
      <c r="F12862">
        <v>90727329</v>
      </c>
      <c r="G12862">
        <v>90727386</v>
      </c>
      <c r="H12862">
        <v>90726962</v>
      </c>
      <c r="I12862">
        <v>90726965</v>
      </c>
    </row>
    <row r="12863" spans="1:9" x14ac:dyDescent="0.2">
      <c r="A12863" t="str">
        <f>"Mis18bp1"</f>
        <v>Mis18bp1</v>
      </c>
      <c r="B12863" t="s">
        <v>14</v>
      </c>
      <c r="C12863" t="s">
        <v>16</v>
      </c>
      <c r="D12863" t="s">
        <v>11</v>
      </c>
      <c r="E12863" t="s">
        <v>12</v>
      </c>
      <c r="F12863">
        <v>65172560</v>
      </c>
      <c r="G12863">
        <v>65172618</v>
      </c>
      <c r="H12863">
        <v>65172541</v>
      </c>
      <c r="I12863">
        <v>65172552</v>
      </c>
    </row>
    <row r="12864" spans="1:9" x14ac:dyDescent="0.2">
      <c r="A12864" t="str">
        <f>"Misp"</f>
        <v>Misp</v>
      </c>
      <c r="B12864" t="s">
        <v>9</v>
      </c>
      <c r="C12864" t="s">
        <v>15</v>
      </c>
      <c r="D12864" t="s">
        <v>17</v>
      </c>
      <c r="E12864" t="s">
        <v>67</v>
      </c>
      <c r="F12864">
        <v>79821006</v>
      </c>
      <c r="G12864">
        <v>79821029</v>
      </c>
      <c r="H12864">
        <v>79821006</v>
      </c>
      <c r="I12864">
        <v>79821029</v>
      </c>
    </row>
    <row r="12865" spans="1:9" x14ac:dyDescent="0.2">
      <c r="A12865" t="str">
        <f>"Misp"</f>
        <v>Misp</v>
      </c>
      <c r="B12865" t="s">
        <v>13</v>
      </c>
      <c r="C12865" t="s">
        <v>15</v>
      </c>
      <c r="D12865" t="s">
        <v>17</v>
      </c>
      <c r="E12865" t="s">
        <v>67</v>
      </c>
      <c r="F12865">
        <v>79822617</v>
      </c>
      <c r="G12865">
        <v>79822679</v>
      </c>
      <c r="H12865">
        <v>79822617</v>
      </c>
      <c r="I12865">
        <v>79822679</v>
      </c>
    </row>
    <row r="12866" spans="1:9" x14ac:dyDescent="0.2">
      <c r="A12866" t="str">
        <f>"Mitd1"</f>
        <v>Mitd1</v>
      </c>
      <c r="B12866" t="s">
        <v>14</v>
      </c>
      <c r="C12866" t="s">
        <v>19</v>
      </c>
      <c r="D12866" t="s">
        <v>11</v>
      </c>
      <c r="E12866" t="s">
        <v>12</v>
      </c>
      <c r="F12866">
        <v>37890333</v>
      </c>
      <c r="G12866">
        <v>37890416</v>
      </c>
      <c r="H12866">
        <v>37890310</v>
      </c>
      <c r="I12866">
        <v>37890322</v>
      </c>
    </row>
    <row r="12867" spans="1:9" x14ac:dyDescent="0.2">
      <c r="A12867" t="str">
        <f>"Mitf"</f>
        <v>Mitf</v>
      </c>
      <c r="B12867" t="s">
        <v>14</v>
      </c>
      <c r="C12867" t="s">
        <v>32</v>
      </c>
      <c r="D12867" t="s">
        <v>17</v>
      </c>
      <c r="E12867" t="s">
        <v>12</v>
      </c>
      <c r="F12867">
        <v>97807014</v>
      </c>
      <c r="G12867">
        <v>97807067</v>
      </c>
      <c r="H12867">
        <v>97807014</v>
      </c>
      <c r="I12867">
        <v>97807067</v>
      </c>
    </row>
    <row r="12868" spans="1:9" x14ac:dyDescent="0.2">
      <c r="A12868" t="str">
        <f>"Mixl1"</f>
        <v>Mixl1</v>
      </c>
      <c r="B12868" t="s">
        <v>14</v>
      </c>
      <c r="C12868" t="s">
        <v>19</v>
      </c>
      <c r="D12868" t="s">
        <v>11</v>
      </c>
      <c r="E12868" t="s">
        <v>12</v>
      </c>
      <c r="F12868">
        <v>180697184</v>
      </c>
      <c r="G12868">
        <v>180697201</v>
      </c>
      <c r="H12868">
        <v>180697184</v>
      </c>
      <c r="I12868">
        <v>180697201</v>
      </c>
    </row>
    <row r="12869" spans="1:9" x14ac:dyDescent="0.2">
      <c r="A12869" t="str">
        <f>"Mki67"</f>
        <v>Mki67</v>
      </c>
      <c r="B12869" t="s">
        <v>14</v>
      </c>
      <c r="C12869" t="s">
        <v>33</v>
      </c>
      <c r="D12869" t="s">
        <v>11</v>
      </c>
      <c r="E12869" t="s">
        <v>12</v>
      </c>
      <c r="F12869">
        <v>135716411</v>
      </c>
      <c r="G12869">
        <v>135716472</v>
      </c>
      <c r="H12869">
        <v>135716374</v>
      </c>
      <c r="I12869">
        <v>135716386</v>
      </c>
    </row>
    <row r="12870" spans="1:9" x14ac:dyDescent="0.2">
      <c r="A12870" t="str">
        <f>"Mki67ip"</f>
        <v>Mki67ip</v>
      </c>
      <c r="B12870" t="s">
        <v>14</v>
      </c>
      <c r="C12870" t="s">
        <v>19</v>
      </c>
      <c r="D12870" t="s">
        <v>17</v>
      </c>
      <c r="E12870" t="s">
        <v>12</v>
      </c>
      <c r="F12870">
        <v>118321834</v>
      </c>
      <c r="G12870">
        <v>118321882</v>
      </c>
      <c r="H12870">
        <v>118321834</v>
      </c>
      <c r="I12870">
        <v>118321882</v>
      </c>
    </row>
    <row r="12871" spans="1:9" x14ac:dyDescent="0.2">
      <c r="A12871" t="str">
        <f>"Mkks"</f>
        <v>Mkks</v>
      </c>
      <c r="B12871" t="s">
        <v>14</v>
      </c>
      <c r="C12871" t="s">
        <v>26</v>
      </c>
      <c r="D12871" t="s">
        <v>11</v>
      </c>
      <c r="E12871" t="s">
        <v>12</v>
      </c>
      <c r="F12871">
        <v>136891131</v>
      </c>
      <c r="G12871">
        <v>136891186</v>
      </c>
      <c r="H12871">
        <v>136891363</v>
      </c>
      <c r="I12871">
        <v>136891413</v>
      </c>
    </row>
    <row r="12872" spans="1:9" x14ac:dyDescent="0.2">
      <c r="A12872" t="str">
        <f>"Mkl1"</f>
        <v>Mkl1</v>
      </c>
      <c r="B12872" t="s">
        <v>4306</v>
      </c>
      <c r="C12872" t="s">
        <v>25</v>
      </c>
      <c r="D12872" t="s">
        <v>11</v>
      </c>
      <c r="E12872" t="s">
        <v>20</v>
      </c>
      <c r="F12872">
        <v>81105082</v>
      </c>
      <c r="G12872">
        <v>81105082</v>
      </c>
      <c r="H12872">
        <v>81105082</v>
      </c>
      <c r="I12872">
        <v>81105082</v>
      </c>
    </row>
    <row r="12873" spans="1:9" x14ac:dyDescent="0.2">
      <c r="A12873" t="str">
        <f>"Mkl2"</f>
        <v>Mkl2</v>
      </c>
      <c r="B12873" t="s">
        <v>9</v>
      </c>
      <c r="C12873" t="s">
        <v>31</v>
      </c>
      <c r="D12873" t="s">
        <v>17</v>
      </c>
      <c r="E12873" t="s">
        <v>12</v>
      </c>
      <c r="F12873">
        <v>13256485</v>
      </c>
      <c r="G12873">
        <v>13256526</v>
      </c>
      <c r="H12873">
        <v>13256485</v>
      </c>
      <c r="I12873">
        <v>13256526</v>
      </c>
    </row>
    <row r="12874" spans="1:9" x14ac:dyDescent="0.2">
      <c r="A12874" t="str">
        <f>"Mkl2"</f>
        <v>Mkl2</v>
      </c>
      <c r="B12874" t="s">
        <v>13</v>
      </c>
      <c r="C12874" t="s">
        <v>31</v>
      </c>
      <c r="D12874" t="s">
        <v>17</v>
      </c>
      <c r="E12874" t="s">
        <v>12</v>
      </c>
      <c r="F12874">
        <v>13358375</v>
      </c>
      <c r="G12874">
        <v>13358439</v>
      </c>
      <c r="H12874">
        <v>13358375</v>
      </c>
      <c r="I12874">
        <v>13358439</v>
      </c>
    </row>
    <row r="12875" spans="1:9" x14ac:dyDescent="0.2">
      <c r="A12875" t="str">
        <f>"Mkln1"</f>
        <v>Mkln1</v>
      </c>
      <c r="B12875" t="s">
        <v>14</v>
      </c>
      <c r="C12875" t="s">
        <v>32</v>
      </c>
      <c r="D12875" t="s">
        <v>17</v>
      </c>
      <c r="E12875" t="s">
        <v>12</v>
      </c>
      <c r="F12875">
        <v>31398817</v>
      </c>
      <c r="G12875">
        <v>31398856</v>
      </c>
      <c r="H12875">
        <v>31398817</v>
      </c>
      <c r="I12875">
        <v>31398856</v>
      </c>
    </row>
    <row r="12876" spans="1:9" x14ac:dyDescent="0.2">
      <c r="A12876" t="str">
        <f>"Mknk1"</f>
        <v>Mknk1</v>
      </c>
      <c r="B12876" t="s">
        <v>14</v>
      </c>
      <c r="C12876" t="s">
        <v>23</v>
      </c>
      <c r="D12876" t="s">
        <v>17</v>
      </c>
      <c r="E12876" t="s">
        <v>12</v>
      </c>
      <c r="F12876">
        <v>115839192</v>
      </c>
      <c r="G12876">
        <v>115839238</v>
      </c>
      <c r="H12876">
        <v>115839192</v>
      </c>
      <c r="I12876">
        <v>115839238</v>
      </c>
    </row>
    <row r="12877" spans="1:9" x14ac:dyDescent="0.2">
      <c r="A12877" t="str">
        <f>"Mknk2"</f>
        <v>Mknk2</v>
      </c>
      <c r="B12877" t="s">
        <v>14</v>
      </c>
      <c r="C12877" t="s">
        <v>15</v>
      </c>
      <c r="D12877" t="s">
        <v>11</v>
      </c>
      <c r="E12877" t="s">
        <v>12</v>
      </c>
      <c r="F12877">
        <v>80676290</v>
      </c>
      <c r="G12877">
        <v>80676295</v>
      </c>
      <c r="H12877">
        <v>80675898</v>
      </c>
      <c r="I12877">
        <v>80675912</v>
      </c>
    </row>
    <row r="12878" spans="1:9" x14ac:dyDescent="0.2">
      <c r="A12878" t="str">
        <f>"Mkrn1"</f>
        <v>Mkrn1</v>
      </c>
      <c r="B12878" t="s">
        <v>14</v>
      </c>
      <c r="C12878" t="s">
        <v>32</v>
      </c>
      <c r="D12878" t="s">
        <v>11</v>
      </c>
      <c r="E12878" t="s">
        <v>12</v>
      </c>
      <c r="F12878">
        <v>39420418</v>
      </c>
      <c r="G12878">
        <v>39420481</v>
      </c>
      <c r="H12878">
        <v>39420281</v>
      </c>
      <c r="I12878">
        <v>39420329</v>
      </c>
    </row>
    <row r="12879" spans="1:9" x14ac:dyDescent="0.2">
      <c r="A12879" t="str">
        <f>"Mkrn2"</f>
        <v>Mkrn2</v>
      </c>
      <c r="B12879" t="s">
        <v>14</v>
      </c>
      <c r="C12879" t="s">
        <v>32</v>
      </c>
      <c r="D12879" t="s">
        <v>17</v>
      </c>
      <c r="E12879" t="s">
        <v>12</v>
      </c>
      <c r="F12879">
        <v>115601951</v>
      </c>
      <c r="G12879">
        <v>115601979</v>
      </c>
      <c r="H12879">
        <v>115601907</v>
      </c>
      <c r="I12879">
        <v>115601940</v>
      </c>
    </row>
    <row r="12880" spans="1:9" x14ac:dyDescent="0.2">
      <c r="A12880" t="str">
        <f>"Mkrn3"</f>
        <v>Mkrn3</v>
      </c>
      <c r="B12880" t="s">
        <v>14</v>
      </c>
      <c r="C12880" t="s">
        <v>33</v>
      </c>
      <c r="D12880" t="s">
        <v>11</v>
      </c>
      <c r="E12880" t="s">
        <v>12</v>
      </c>
      <c r="F12880">
        <v>62420142</v>
      </c>
      <c r="G12880">
        <v>62420157</v>
      </c>
      <c r="H12880">
        <v>62420142</v>
      </c>
      <c r="I12880">
        <v>62420157</v>
      </c>
    </row>
    <row r="12881" spans="1:9" x14ac:dyDescent="0.2">
      <c r="A12881" t="str">
        <f>"Mks1"</f>
        <v>Mks1</v>
      </c>
      <c r="B12881" t="s">
        <v>14</v>
      </c>
      <c r="C12881" t="s">
        <v>27</v>
      </c>
      <c r="D12881" t="s">
        <v>17</v>
      </c>
      <c r="E12881" t="s">
        <v>12</v>
      </c>
      <c r="F12881">
        <v>87853207</v>
      </c>
      <c r="G12881">
        <v>87853249</v>
      </c>
      <c r="H12881">
        <v>87853207</v>
      </c>
      <c r="I12881">
        <v>87853249</v>
      </c>
    </row>
    <row r="12882" spans="1:9" x14ac:dyDescent="0.2">
      <c r="A12882" t="str">
        <f>"Mkx"</f>
        <v>Mkx</v>
      </c>
      <c r="B12882" t="s">
        <v>14</v>
      </c>
      <c r="C12882" t="s">
        <v>43</v>
      </c>
      <c r="D12882" t="s">
        <v>11</v>
      </c>
      <c r="E12882" t="s">
        <v>12</v>
      </c>
      <c r="F12882">
        <v>7004717</v>
      </c>
      <c r="G12882">
        <v>7004733</v>
      </c>
      <c r="H12882">
        <v>7004741</v>
      </c>
      <c r="I12882">
        <v>7004770</v>
      </c>
    </row>
    <row r="12883" spans="1:9" x14ac:dyDescent="0.2">
      <c r="A12883" t="str">
        <f>"Mlana"</f>
        <v>Mlana</v>
      </c>
      <c r="B12883" t="s">
        <v>14</v>
      </c>
      <c r="C12883" t="s">
        <v>10</v>
      </c>
      <c r="D12883" t="s">
        <v>17</v>
      </c>
      <c r="E12883" t="s">
        <v>12</v>
      </c>
      <c r="F12883">
        <v>29697905</v>
      </c>
      <c r="G12883">
        <v>29697927</v>
      </c>
      <c r="H12883">
        <v>29697905</v>
      </c>
      <c r="I12883">
        <v>29697927</v>
      </c>
    </row>
    <row r="12884" spans="1:9" x14ac:dyDescent="0.2">
      <c r="A12884" t="str">
        <f>"Mlc1"</f>
        <v>Mlc1</v>
      </c>
      <c r="B12884" t="s">
        <v>14</v>
      </c>
      <c r="C12884" t="s">
        <v>25</v>
      </c>
      <c r="D12884" t="s">
        <v>11</v>
      </c>
      <c r="E12884" t="s">
        <v>12</v>
      </c>
      <c r="F12884">
        <v>88978542</v>
      </c>
      <c r="G12884">
        <v>88978564</v>
      </c>
      <c r="H12884">
        <v>88978567</v>
      </c>
      <c r="I12884">
        <v>88978597</v>
      </c>
    </row>
    <row r="12885" spans="1:9" x14ac:dyDescent="0.2">
      <c r="A12885" t="str">
        <f>"Mlec"</f>
        <v>Mlec</v>
      </c>
      <c r="B12885" t="s">
        <v>14</v>
      </c>
      <c r="C12885" t="s">
        <v>46</v>
      </c>
      <c r="D12885" t="s">
        <v>11</v>
      </c>
      <c r="E12885" t="s">
        <v>12</v>
      </c>
      <c r="F12885">
        <v>115158135</v>
      </c>
      <c r="G12885">
        <v>115158159</v>
      </c>
      <c r="H12885">
        <v>115158169</v>
      </c>
      <c r="I12885">
        <v>115158180</v>
      </c>
    </row>
    <row r="12886" spans="1:9" x14ac:dyDescent="0.2">
      <c r="A12886" t="str">
        <f>"Mlf1"</f>
        <v>Mlf1</v>
      </c>
      <c r="B12886" t="s">
        <v>14</v>
      </c>
      <c r="C12886" t="s">
        <v>22</v>
      </c>
      <c r="D12886" t="s">
        <v>17</v>
      </c>
      <c r="E12886" t="s">
        <v>12</v>
      </c>
      <c r="F12886">
        <v>67374116</v>
      </c>
      <c r="G12886">
        <v>67374154</v>
      </c>
      <c r="H12886">
        <v>67374091</v>
      </c>
      <c r="I12886">
        <v>67374102</v>
      </c>
    </row>
    <row r="12887" spans="1:9" x14ac:dyDescent="0.2">
      <c r="A12887" t="str">
        <f>"Mlf1ip"</f>
        <v>Mlf1ip</v>
      </c>
      <c r="B12887" t="s">
        <v>14</v>
      </c>
      <c r="C12887" t="s">
        <v>30</v>
      </c>
      <c r="D12887" t="s">
        <v>17</v>
      </c>
      <c r="E12887" t="s">
        <v>12</v>
      </c>
      <c r="F12887">
        <v>46552024</v>
      </c>
      <c r="G12887">
        <v>46552079</v>
      </c>
      <c r="H12887">
        <v>46552024</v>
      </c>
      <c r="I12887">
        <v>46552079</v>
      </c>
    </row>
    <row r="12888" spans="1:9" x14ac:dyDescent="0.2">
      <c r="A12888" t="str">
        <f>"Mlf2"</f>
        <v>Mlf2</v>
      </c>
      <c r="B12888" t="s">
        <v>14</v>
      </c>
      <c r="C12888" t="s">
        <v>32</v>
      </c>
      <c r="D12888" t="s">
        <v>17</v>
      </c>
      <c r="E12888" t="s">
        <v>12</v>
      </c>
      <c r="F12888">
        <v>124931378</v>
      </c>
      <c r="G12888">
        <v>124931425</v>
      </c>
      <c r="H12888">
        <v>124931426</v>
      </c>
      <c r="I12888">
        <v>124931451</v>
      </c>
    </row>
    <row r="12889" spans="1:9" x14ac:dyDescent="0.2">
      <c r="A12889" t="str">
        <f>"Mlh1"</f>
        <v>Mlh1</v>
      </c>
      <c r="B12889" t="s">
        <v>14</v>
      </c>
      <c r="C12889" t="s">
        <v>24</v>
      </c>
      <c r="D12889" t="s">
        <v>11</v>
      </c>
      <c r="E12889" t="s">
        <v>12</v>
      </c>
      <c r="F12889">
        <v>111271522</v>
      </c>
      <c r="G12889">
        <v>111271562</v>
      </c>
      <c r="H12889">
        <v>111271568</v>
      </c>
      <c r="I12889">
        <v>111271591</v>
      </c>
    </row>
    <row r="12890" spans="1:9" x14ac:dyDescent="0.2">
      <c r="A12890" t="str">
        <f>"Mlh3"</f>
        <v>Mlh3</v>
      </c>
      <c r="B12890" t="s">
        <v>14</v>
      </c>
      <c r="C12890" t="s">
        <v>16</v>
      </c>
      <c r="D12890" t="s">
        <v>11</v>
      </c>
      <c r="E12890" t="s">
        <v>12</v>
      </c>
      <c r="F12890">
        <v>85270585</v>
      </c>
      <c r="G12890">
        <v>85270608</v>
      </c>
      <c r="H12890">
        <v>85270612</v>
      </c>
      <c r="I12890">
        <v>85270643</v>
      </c>
    </row>
    <row r="12891" spans="1:9" x14ac:dyDescent="0.2">
      <c r="A12891" t="str">
        <f>"Mlip"</f>
        <v>Mlip</v>
      </c>
      <c r="B12891" t="s">
        <v>14</v>
      </c>
      <c r="C12891" t="s">
        <v>24</v>
      </c>
      <c r="D12891" t="s">
        <v>11</v>
      </c>
      <c r="E12891" t="s">
        <v>67</v>
      </c>
      <c r="F12891">
        <v>77347816</v>
      </c>
      <c r="G12891">
        <v>77347887</v>
      </c>
      <c r="H12891">
        <v>77347787</v>
      </c>
      <c r="I12891">
        <v>77347815</v>
      </c>
    </row>
    <row r="12892" spans="1:9" x14ac:dyDescent="0.2">
      <c r="A12892" t="str">
        <f>"Mlkl"</f>
        <v>Mlkl</v>
      </c>
      <c r="B12892" t="s">
        <v>14</v>
      </c>
      <c r="C12892" t="s">
        <v>30</v>
      </c>
      <c r="D12892" t="s">
        <v>11</v>
      </c>
      <c r="E12892" t="s">
        <v>12</v>
      </c>
      <c r="F12892">
        <v>111338152</v>
      </c>
      <c r="G12892">
        <v>111338231</v>
      </c>
      <c r="H12892">
        <v>111337883</v>
      </c>
      <c r="I12892">
        <v>111337914</v>
      </c>
    </row>
    <row r="12893" spans="1:9" x14ac:dyDescent="0.2">
      <c r="A12893" t="str">
        <f>"Mllt1"</f>
        <v>Mllt1</v>
      </c>
      <c r="B12893" t="s">
        <v>14</v>
      </c>
      <c r="C12893" t="s">
        <v>28</v>
      </c>
      <c r="D12893" t="s">
        <v>11</v>
      </c>
      <c r="E12893" t="s">
        <v>12</v>
      </c>
      <c r="F12893">
        <v>56935413</v>
      </c>
      <c r="G12893">
        <v>56935504</v>
      </c>
      <c r="H12893">
        <v>56935530</v>
      </c>
      <c r="I12893">
        <v>56935533</v>
      </c>
    </row>
    <row r="12894" spans="1:9" x14ac:dyDescent="0.2">
      <c r="A12894" t="str">
        <f>"Mllt10"</f>
        <v>Mllt10</v>
      </c>
      <c r="B12894" t="s">
        <v>14</v>
      </c>
      <c r="C12894" t="s">
        <v>26</v>
      </c>
      <c r="D12894" t="s">
        <v>17</v>
      </c>
      <c r="E12894" t="s">
        <v>12</v>
      </c>
      <c r="F12894">
        <v>18064564</v>
      </c>
      <c r="G12894">
        <v>18064644</v>
      </c>
      <c r="H12894">
        <v>18064645</v>
      </c>
      <c r="I12894">
        <v>18064705</v>
      </c>
    </row>
    <row r="12895" spans="1:9" x14ac:dyDescent="0.2">
      <c r="A12895" t="str">
        <f>"Mllt11"</f>
        <v>Mllt11</v>
      </c>
      <c r="B12895" t="s">
        <v>14</v>
      </c>
      <c r="C12895" t="s">
        <v>22</v>
      </c>
      <c r="D12895" t="s">
        <v>11</v>
      </c>
      <c r="E12895" t="s">
        <v>12</v>
      </c>
      <c r="F12895">
        <v>95228169</v>
      </c>
      <c r="G12895">
        <v>95228261</v>
      </c>
      <c r="H12895">
        <v>95228636</v>
      </c>
      <c r="I12895">
        <v>95228719</v>
      </c>
    </row>
    <row r="12896" spans="1:9" x14ac:dyDescent="0.2">
      <c r="A12896" t="str">
        <f>"Mllt3"</f>
        <v>Mllt3</v>
      </c>
      <c r="B12896" t="s">
        <v>14</v>
      </c>
      <c r="C12896" t="s">
        <v>23</v>
      </c>
      <c r="D12896" t="s">
        <v>11</v>
      </c>
      <c r="E12896" t="s">
        <v>12</v>
      </c>
      <c r="F12896">
        <v>88033328</v>
      </c>
      <c r="G12896">
        <v>88033373</v>
      </c>
      <c r="H12896">
        <v>88033328</v>
      </c>
      <c r="I12896">
        <v>88033373</v>
      </c>
    </row>
    <row r="12897" spans="1:9" x14ac:dyDescent="0.2">
      <c r="A12897" t="str">
        <f>"Mllt4"</f>
        <v>Mllt4</v>
      </c>
      <c r="B12897" t="s">
        <v>14</v>
      </c>
      <c r="C12897" t="s">
        <v>28</v>
      </c>
      <c r="D12897" t="s">
        <v>17</v>
      </c>
      <c r="E12897" t="s">
        <v>12</v>
      </c>
      <c r="F12897">
        <v>13760502</v>
      </c>
      <c r="G12897">
        <v>13760600</v>
      </c>
      <c r="H12897">
        <v>13760502</v>
      </c>
      <c r="I12897">
        <v>13760600</v>
      </c>
    </row>
    <row r="12898" spans="1:9" x14ac:dyDescent="0.2">
      <c r="A12898" t="str">
        <f>"Mllt6"</f>
        <v>Mllt6</v>
      </c>
      <c r="B12898" t="s">
        <v>14</v>
      </c>
      <c r="C12898" t="s">
        <v>27</v>
      </c>
      <c r="D12898" t="s">
        <v>17</v>
      </c>
      <c r="E12898" t="s">
        <v>12</v>
      </c>
      <c r="F12898">
        <v>97663195</v>
      </c>
      <c r="G12898">
        <v>97663281</v>
      </c>
      <c r="H12898">
        <v>97663101</v>
      </c>
      <c r="I12898">
        <v>97663141</v>
      </c>
    </row>
    <row r="12899" spans="1:9" x14ac:dyDescent="0.2">
      <c r="A12899" t="str">
        <f>"Mlph"</f>
        <v>Mlph</v>
      </c>
      <c r="B12899" t="s">
        <v>14</v>
      </c>
      <c r="C12899" t="s">
        <v>19</v>
      </c>
      <c r="D12899" t="s">
        <v>17</v>
      </c>
      <c r="E12899" t="s">
        <v>12</v>
      </c>
      <c r="F12899">
        <v>90915064</v>
      </c>
      <c r="G12899">
        <v>90915114</v>
      </c>
      <c r="H12899">
        <v>90915115</v>
      </c>
      <c r="I12899">
        <v>90915135</v>
      </c>
    </row>
    <row r="12900" spans="1:9" x14ac:dyDescent="0.2">
      <c r="A12900" t="str">
        <f>"Mlst8"</f>
        <v>Mlst8</v>
      </c>
      <c r="B12900" t="s">
        <v>14</v>
      </c>
      <c r="C12900" t="s">
        <v>28</v>
      </c>
      <c r="D12900" t="s">
        <v>11</v>
      </c>
      <c r="E12900" t="s">
        <v>12</v>
      </c>
      <c r="F12900">
        <v>24479034</v>
      </c>
      <c r="G12900">
        <v>24479083</v>
      </c>
      <c r="H12900">
        <v>24478747</v>
      </c>
      <c r="I12900">
        <v>24478795</v>
      </c>
    </row>
    <row r="12901" spans="1:9" x14ac:dyDescent="0.2">
      <c r="A12901" t="str">
        <f>"Mlx"</f>
        <v>Mlx</v>
      </c>
      <c r="B12901" t="s">
        <v>14</v>
      </c>
      <c r="C12901" t="s">
        <v>27</v>
      </c>
      <c r="D12901" t="s">
        <v>17</v>
      </c>
      <c r="E12901" t="s">
        <v>12</v>
      </c>
      <c r="F12901">
        <v>101087283</v>
      </c>
      <c r="G12901">
        <v>101087323</v>
      </c>
      <c r="H12901">
        <v>101087283</v>
      </c>
      <c r="I12901">
        <v>101087323</v>
      </c>
    </row>
    <row r="12902" spans="1:9" x14ac:dyDescent="0.2">
      <c r="A12902" t="str">
        <f>"Mlxip"</f>
        <v>Mlxip</v>
      </c>
      <c r="B12902" t="s">
        <v>14</v>
      </c>
      <c r="C12902" t="s">
        <v>46</v>
      </c>
      <c r="D12902" t="s">
        <v>17</v>
      </c>
      <c r="E12902" t="s">
        <v>12</v>
      </c>
      <c r="F12902">
        <v>123394782</v>
      </c>
      <c r="G12902">
        <v>123394826</v>
      </c>
      <c r="H12902">
        <v>123394770</v>
      </c>
      <c r="I12902">
        <v>123394781</v>
      </c>
    </row>
    <row r="12903" spans="1:9" x14ac:dyDescent="0.2">
      <c r="A12903" t="str">
        <f>"Mlxipl"</f>
        <v>Mlxipl</v>
      </c>
      <c r="B12903" t="s">
        <v>14</v>
      </c>
      <c r="C12903" t="s">
        <v>46</v>
      </c>
      <c r="D12903" t="s">
        <v>17</v>
      </c>
      <c r="E12903" t="s">
        <v>12</v>
      </c>
      <c r="F12903">
        <v>135106881</v>
      </c>
      <c r="G12903">
        <v>135106918</v>
      </c>
      <c r="H12903">
        <v>135107134</v>
      </c>
      <c r="I12903">
        <v>135107157</v>
      </c>
    </row>
    <row r="12904" spans="1:9" x14ac:dyDescent="0.2">
      <c r="A12904" t="str">
        <f>"Mlycd"</f>
        <v>Mlycd</v>
      </c>
      <c r="B12904" t="s">
        <v>14</v>
      </c>
      <c r="C12904" t="s">
        <v>30</v>
      </c>
      <c r="D12904" t="s">
        <v>17</v>
      </c>
      <c r="E12904" t="s">
        <v>12</v>
      </c>
      <c r="F12904">
        <v>119394866</v>
      </c>
      <c r="G12904">
        <v>119394954</v>
      </c>
      <c r="H12904">
        <v>119395023</v>
      </c>
      <c r="I12904">
        <v>119395054</v>
      </c>
    </row>
    <row r="12905" spans="1:9" x14ac:dyDescent="0.2">
      <c r="A12905" t="str">
        <f>"Mmaa"</f>
        <v>Mmaa</v>
      </c>
      <c r="B12905" t="s">
        <v>14</v>
      </c>
      <c r="C12905" t="s">
        <v>30</v>
      </c>
      <c r="D12905" t="s">
        <v>11</v>
      </c>
      <c r="E12905" t="s">
        <v>12</v>
      </c>
      <c r="F12905">
        <v>79294928</v>
      </c>
      <c r="G12905">
        <v>79294961</v>
      </c>
      <c r="H12905">
        <v>79294889</v>
      </c>
      <c r="I12905">
        <v>79294924</v>
      </c>
    </row>
    <row r="12906" spans="1:9" x14ac:dyDescent="0.2">
      <c r="A12906" t="str">
        <f>"Mmab"</f>
        <v>Mmab</v>
      </c>
      <c r="B12906" t="s">
        <v>14</v>
      </c>
      <c r="C12906" t="s">
        <v>46</v>
      </c>
      <c r="D12906" t="s">
        <v>11</v>
      </c>
      <c r="E12906" t="s">
        <v>12</v>
      </c>
      <c r="F12906">
        <v>114443993</v>
      </c>
      <c r="G12906">
        <v>114444033</v>
      </c>
      <c r="H12906">
        <v>114444036</v>
      </c>
      <c r="I12906">
        <v>114444053</v>
      </c>
    </row>
    <row r="12907" spans="1:9" x14ac:dyDescent="0.2">
      <c r="A12907" t="str">
        <f>"Mmachc"</f>
        <v>Mmachc</v>
      </c>
      <c r="B12907" t="s">
        <v>14</v>
      </c>
      <c r="C12907" t="s">
        <v>23</v>
      </c>
      <c r="D12907" t="s">
        <v>11</v>
      </c>
      <c r="E12907" t="s">
        <v>12</v>
      </c>
      <c r="F12907">
        <v>116708312</v>
      </c>
      <c r="G12907">
        <v>116708356</v>
      </c>
      <c r="H12907">
        <v>116708262</v>
      </c>
      <c r="I12907">
        <v>116708269</v>
      </c>
    </row>
    <row r="12908" spans="1:9" x14ac:dyDescent="0.2">
      <c r="A12908" t="str">
        <f>"Mmadhc"</f>
        <v>Mmadhc</v>
      </c>
      <c r="B12908" t="s">
        <v>14</v>
      </c>
      <c r="C12908" t="s">
        <v>26</v>
      </c>
      <c r="D12908" t="s">
        <v>11</v>
      </c>
      <c r="E12908" t="s">
        <v>12</v>
      </c>
      <c r="F12908">
        <v>50296680</v>
      </c>
      <c r="G12908">
        <v>50296736</v>
      </c>
      <c r="H12908">
        <v>50296680</v>
      </c>
      <c r="I12908">
        <v>50296736</v>
      </c>
    </row>
    <row r="12909" spans="1:9" x14ac:dyDescent="0.2">
      <c r="A12909" t="str">
        <f>"Mmd"</f>
        <v>Mmd</v>
      </c>
      <c r="B12909" t="s">
        <v>14</v>
      </c>
      <c r="C12909" t="s">
        <v>27</v>
      </c>
      <c r="D12909" t="s">
        <v>17</v>
      </c>
      <c r="E12909" t="s">
        <v>12</v>
      </c>
      <c r="F12909">
        <v>90249513</v>
      </c>
      <c r="G12909">
        <v>90249532</v>
      </c>
      <c r="H12909">
        <v>90249487</v>
      </c>
      <c r="I12909">
        <v>90249503</v>
      </c>
    </row>
    <row r="12910" spans="1:9" x14ac:dyDescent="0.2">
      <c r="A12910" t="str">
        <f>"Mmd2"</f>
        <v>Mmd2</v>
      </c>
      <c r="B12910" t="s">
        <v>14</v>
      </c>
      <c r="C12910" t="s">
        <v>46</v>
      </c>
      <c r="D12910" t="s">
        <v>11</v>
      </c>
      <c r="E12910" t="s">
        <v>12</v>
      </c>
      <c r="F12910">
        <v>142608748</v>
      </c>
      <c r="G12910">
        <v>142608780</v>
      </c>
      <c r="H12910">
        <v>142608785</v>
      </c>
      <c r="I12910">
        <v>142608808</v>
      </c>
    </row>
    <row r="12911" spans="1:9" x14ac:dyDescent="0.2">
      <c r="A12911" t="str">
        <f>"Mme"</f>
        <v>Mme</v>
      </c>
      <c r="B12911" t="s">
        <v>9</v>
      </c>
      <c r="C12911" t="s">
        <v>22</v>
      </c>
      <c r="D12911" t="s">
        <v>17</v>
      </c>
      <c r="E12911" t="s">
        <v>12</v>
      </c>
      <c r="F12911">
        <v>63299750</v>
      </c>
      <c r="G12911">
        <v>63299765</v>
      </c>
      <c r="H12911">
        <v>63299750</v>
      </c>
      <c r="I12911">
        <v>63299765</v>
      </c>
    </row>
    <row r="12912" spans="1:9" x14ac:dyDescent="0.2">
      <c r="A12912" t="str">
        <f>"Mme"</f>
        <v>Mme</v>
      </c>
      <c r="B12912" t="s">
        <v>13</v>
      </c>
      <c r="C12912" t="s">
        <v>22</v>
      </c>
      <c r="D12912" t="s">
        <v>17</v>
      </c>
      <c r="E12912" t="s">
        <v>12</v>
      </c>
      <c r="F12912">
        <v>63296201</v>
      </c>
      <c r="G12912">
        <v>63296223</v>
      </c>
      <c r="H12912">
        <v>63296201</v>
      </c>
      <c r="I12912">
        <v>63296223</v>
      </c>
    </row>
    <row r="12913" spans="1:9" x14ac:dyDescent="0.2">
      <c r="A12913" t="str">
        <f>"Mmel1"</f>
        <v>Mmel1</v>
      </c>
      <c r="B12913" t="s">
        <v>9</v>
      </c>
      <c r="C12913" t="s">
        <v>23</v>
      </c>
      <c r="D12913" t="s">
        <v>17</v>
      </c>
      <c r="E12913" t="s">
        <v>12</v>
      </c>
      <c r="F12913">
        <v>154869588</v>
      </c>
      <c r="G12913">
        <v>154869634</v>
      </c>
      <c r="H12913">
        <v>154869588</v>
      </c>
      <c r="I12913">
        <v>154869634</v>
      </c>
    </row>
    <row r="12914" spans="1:9" x14ac:dyDescent="0.2">
      <c r="A12914" t="str">
        <f>"Mmel1"</f>
        <v>Mmel1</v>
      </c>
      <c r="B12914" t="s">
        <v>13</v>
      </c>
      <c r="C12914" t="s">
        <v>23</v>
      </c>
      <c r="D12914" t="s">
        <v>17</v>
      </c>
      <c r="E12914" t="s">
        <v>12</v>
      </c>
      <c r="F12914">
        <v>154882249</v>
      </c>
      <c r="G12914">
        <v>154882265</v>
      </c>
      <c r="H12914">
        <v>154882249</v>
      </c>
      <c r="I12914">
        <v>154882265</v>
      </c>
    </row>
    <row r="12915" spans="1:9" x14ac:dyDescent="0.2">
      <c r="A12915" t="str">
        <f>"Mmgt1"</f>
        <v>Mmgt1</v>
      </c>
      <c r="B12915" t="s">
        <v>14</v>
      </c>
      <c r="C12915" t="s">
        <v>37</v>
      </c>
      <c r="D12915" t="s">
        <v>11</v>
      </c>
      <c r="E12915" t="s">
        <v>12</v>
      </c>
      <c r="F12915">
        <v>56597880</v>
      </c>
      <c r="G12915">
        <v>56597971</v>
      </c>
      <c r="H12915">
        <v>56598081</v>
      </c>
      <c r="I12915">
        <v>56598107</v>
      </c>
    </row>
    <row r="12916" spans="1:9" x14ac:dyDescent="0.2">
      <c r="A12916" t="str">
        <f>"Mmgt2"</f>
        <v>Mmgt2</v>
      </c>
      <c r="B12916" t="s">
        <v>14</v>
      </c>
      <c r="C12916" t="s">
        <v>27</v>
      </c>
      <c r="D12916" t="s">
        <v>17</v>
      </c>
      <c r="E12916" t="s">
        <v>12</v>
      </c>
      <c r="F12916">
        <v>62648811</v>
      </c>
      <c r="G12916">
        <v>62648828</v>
      </c>
      <c r="H12916">
        <v>62648656</v>
      </c>
      <c r="I12916">
        <v>62648685</v>
      </c>
    </row>
    <row r="12917" spans="1:9" x14ac:dyDescent="0.2">
      <c r="A12917" t="str">
        <f>"Mmp10"</f>
        <v>Mmp10</v>
      </c>
      <c r="B12917" t="s">
        <v>14</v>
      </c>
      <c r="C12917" t="s">
        <v>24</v>
      </c>
      <c r="D12917" t="s">
        <v>17</v>
      </c>
      <c r="E12917" t="s">
        <v>12</v>
      </c>
      <c r="F12917">
        <v>7502340</v>
      </c>
      <c r="G12917">
        <v>7502345</v>
      </c>
      <c r="H12917">
        <v>7502340</v>
      </c>
      <c r="I12917">
        <v>7502345</v>
      </c>
    </row>
    <row r="12918" spans="1:9" x14ac:dyDescent="0.2">
      <c r="A12918" t="str">
        <f>"Mmp11"</f>
        <v>Mmp11</v>
      </c>
      <c r="B12918" t="s">
        <v>14</v>
      </c>
      <c r="C12918" t="s">
        <v>15</v>
      </c>
      <c r="D12918" t="s">
        <v>11</v>
      </c>
      <c r="E12918" t="s">
        <v>12</v>
      </c>
      <c r="F12918">
        <v>75932468</v>
      </c>
      <c r="G12918">
        <v>75932484</v>
      </c>
      <c r="H12918">
        <v>75932468</v>
      </c>
      <c r="I12918">
        <v>75932484</v>
      </c>
    </row>
    <row r="12919" spans="1:9" x14ac:dyDescent="0.2">
      <c r="A12919" t="str">
        <f>"Mmp12"</f>
        <v>Mmp12</v>
      </c>
      <c r="B12919" t="s">
        <v>14</v>
      </c>
      <c r="C12919" t="s">
        <v>24</v>
      </c>
      <c r="D12919" t="s">
        <v>17</v>
      </c>
      <c r="E12919" t="s">
        <v>12</v>
      </c>
      <c r="F12919">
        <v>7347404</v>
      </c>
      <c r="G12919">
        <v>7347410</v>
      </c>
      <c r="H12919">
        <v>7347404</v>
      </c>
      <c r="I12919">
        <v>7347410</v>
      </c>
    </row>
    <row r="12920" spans="1:9" x14ac:dyDescent="0.2">
      <c r="A12920" t="str">
        <f>"Mmp13"</f>
        <v>Mmp13</v>
      </c>
      <c r="B12920" t="s">
        <v>14</v>
      </c>
      <c r="C12920" t="s">
        <v>24</v>
      </c>
      <c r="D12920" t="s">
        <v>17</v>
      </c>
      <c r="E12920" t="s">
        <v>12</v>
      </c>
      <c r="F12920">
        <v>7272520</v>
      </c>
      <c r="G12920">
        <v>7272537</v>
      </c>
      <c r="H12920">
        <v>7272520</v>
      </c>
      <c r="I12920">
        <v>7272537</v>
      </c>
    </row>
    <row r="12921" spans="1:9" x14ac:dyDescent="0.2">
      <c r="A12921" t="str">
        <f>"Mmp14"</f>
        <v>Mmp14</v>
      </c>
      <c r="B12921" t="s">
        <v>14</v>
      </c>
      <c r="C12921" t="s">
        <v>41</v>
      </c>
      <c r="D12921" t="s">
        <v>17</v>
      </c>
      <c r="E12921" t="s">
        <v>12</v>
      </c>
      <c r="F12921">
        <v>54431597</v>
      </c>
      <c r="G12921">
        <v>54431673</v>
      </c>
      <c r="H12921">
        <v>54431696</v>
      </c>
      <c r="I12921">
        <v>54431707</v>
      </c>
    </row>
    <row r="12922" spans="1:9" x14ac:dyDescent="0.2">
      <c r="A12922" t="str">
        <f>"Mmp15"</f>
        <v>Mmp15</v>
      </c>
      <c r="B12922" t="s">
        <v>14</v>
      </c>
      <c r="C12922" t="s">
        <v>30</v>
      </c>
      <c r="D12922" t="s">
        <v>17</v>
      </c>
      <c r="E12922" t="s">
        <v>12</v>
      </c>
      <c r="F12922">
        <v>95352258</v>
      </c>
      <c r="G12922">
        <v>95352329</v>
      </c>
      <c r="H12922">
        <v>95352236</v>
      </c>
      <c r="I12922">
        <v>95352251</v>
      </c>
    </row>
    <row r="12923" spans="1:9" x14ac:dyDescent="0.2">
      <c r="A12923" t="str">
        <f>"Mmp16"</f>
        <v>Mmp16</v>
      </c>
      <c r="B12923" t="s">
        <v>14</v>
      </c>
      <c r="C12923" t="s">
        <v>23</v>
      </c>
      <c r="D12923" t="s">
        <v>17</v>
      </c>
      <c r="E12923" t="s">
        <v>12</v>
      </c>
      <c r="F12923">
        <v>17853284</v>
      </c>
      <c r="G12923">
        <v>17853325</v>
      </c>
      <c r="H12923">
        <v>17853246</v>
      </c>
      <c r="I12923">
        <v>17853282</v>
      </c>
    </row>
    <row r="12924" spans="1:9" x14ac:dyDescent="0.2">
      <c r="A12924" t="str">
        <f>"Mmp17"</f>
        <v>Mmp17</v>
      </c>
      <c r="B12924" t="s">
        <v>14</v>
      </c>
      <c r="C12924" t="s">
        <v>46</v>
      </c>
      <c r="D12924" t="s">
        <v>17</v>
      </c>
      <c r="E12924" t="s">
        <v>12</v>
      </c>
      <c r="F12924">
        <v>129584173</v>
      </c>
      <c r="G12924">
        <v>129584232</v>
      </c>
      <c r="H12924">
        <v>129584173</v>
      </c>
      <c r="I12924">
        <v>129584232</v>
      </c>
    </row>
    <row r="12925" spans="1:9" x14ac:dyDescent="0.2">
      <c r="A12925" t="str">
        <f>"Mmp19"</f>
        <v>Mmp19</v>
      </c>
      <c r="B12925" t="s">
        <v>14</v>
      </c>
      <c r="C12925" t="s">
        <v>15</v>
      </c>
      <c r="D12925" t="s">
        <v>17</v>
      </c>
      <c r="E12925" t="s">
        <v>12</v>
      </c>
      <c r="F12925">
        <v>128790903</v>
      </c>
      <c r="G12925">
        <v>128790968</v>
      </c>
      <c r="H12925">
        <v>128790903</v>
      </c>
      <c r="I12925">
        <v>128790968</v>
      </c>
    </row>
    <row r="12926" spans="1:9" x14ac:dyDescent="0.2">
      <c r="A12926" t="str">
        <f>"Mmp1a"</f>
        <v>Mmp1a</v>
      </c>
      <c r="B12926" t="s">
        <v>14</v>
      </c>
      <c r="C12926" t="s">
        <v>24</v>
      </c>
      <c r="D12926" t="s">
        <v>17</v>
      </c>
      <c r="E12926" t="s">
        <v>12</v>
      </c>
      <c r="F12926">
        <v>7464140</v>
      </c>
      <c r="G12926">
        <v>7464143</v>
      </c>
      <c r="H12926">
        <v>7464140</v>
      </c>
      <c r="I12926">
        <v>7464143</v>
      </c>
    </row>
    <row r="12927" spans="1:9" x14ac:dyDescent="0.2">
      <c r="A12927" t="str">
        <f>"Mmp1b"</f>
        <v>Mmp1b</v>
      </c>
      <c r="B12927" t="s">
        <v>4307</v>
      </c>
      <c r="C12927" t="s">
        <v>24</v>
      </c>
      <c r="D12927" t="s">
        <v>11</v>
      </c>
      <c r="E12927" t="s">
        <v>20</v>
      </c>
      <c r="F12927">
        <v>7388046</v>
      </c>
      <c r="G12927">
        <v>7388046</v>
      </c>
      <c r="H12927">
        <v>7388046</v>
      </c>
      <c r="I12927">
        <v>7388046</v>
      </c>
    </row>
    <row r="12928" spans="1:9" x14ac:dyDescent="0.2">
      <c r="A12928" t="str">
        <f>"Mmp2"</f>
        <v>Mmp2</v>
      </c>
      <c r="B12928" t="s">
        <v>14</v>
      </c>
      <c r="C12928" t="s">
        <v>30</v>
      </c>
      <c r="D12928" t="s">
        <v>17</v>
      </c>
      <c r="E12928" t="s">
        <v>12</v>
      </c>
      <c r="F12928">
        <v>92827273</v>
      </c>
      <c r="G12928">
        <v>92827395</v>
      </c>
      <c r="H12928">
        <v>92827273</v>
      </c>
      <c r="I12928">
        <v>92827395</v>
      </c>
    </row>
    <row r="12929" spans="1:9" x14ac:dyDescent="0.2">
      <c r="A12929" t="str">
        <f>"Mmp20"</f>
        <v>Mmp20</v>
      </c>
      <c r="B12929" t="s">
        <v>14</v>
      </c>
      <c r="C12929" t="s">
        <v>24</v>
      </c>
      <c r="D12929" t="s">
        <v>17</v>
      </c>
      <c r="E12929" t="s">
        <v>12</v>
      </c>
      <c r="F12929">
        <v>7628200</v>
      </c>
      <c r="G12929">
        <v>7628204</v>
      </c>
      <c r="H12929">
        <v>7628200</v>
      </c>
      <c r="I12929">
        <v>7628204</v>
      </c>
    </row>
    <row r="12930" spans="1:9" x14ac:dyDescent="0.2">
      <c r="A12930" t="str">
        <f>"Mmp21"</f>
        <v>Mmp21</v>
      </c>
      <c r="B12930" t="s">
        <v>4308</v>
      </c>
      <c r="C12930" t="s">
        <v>33</v>
      </c>
      <c r="D12930" t="s">
        <v>11</v>
      </c>
      <c r="E12930" t="s">
        <v>20</v>
      </c>
      <c r="F12930">
        <v>133680060</v>
      </c>
      <c r="G12930">
        <v>133680060</v>
      </c>
      <c r="H12930">
        <v>133680060</v>
      </c>
      <c r="I12930">
        <v>133680060</v>
      </c>
    </row>
    <row r="12931" spans="1:9" x14ac:dyDescent="0.2">
      <c r="A12931" t="str">
        <f>"Mmp23"</f>
        <v>Mmp23</v>
      </c>
      <c r="B12931" t="s">
        <v>14</v>
      </c>
      <c r="C12931" t="s">
        <v>23</v>
      </c>
      <c r="D12931" t="s">
        <v>11</v>
      </c>
      <c r="E12931" t="s">
        <v>12</v>
      </c>
      <c r="F12931">
        <v>155653184</v>
      </c>
      <c r="G12931">
        <v>155653236</v>
      </c>
      <c r="H12931">
        <v>155653602</v>
      </c>
      <c r="I12931">
        <v>155653633</v>
      </c>
    </row>
    <row r="12932" spans="1:9" x14ac:dyDescent="0.2">
      <c r="A12932" t="str">
        <f>"Mmp24"</f>
        <v>Mmp24</v>
      </c>
      <c r="B12932" t="s">
        <v>14</v>
      </c>
      <c r="C12932" t="s">
        <v>26</v>
      </c>
      <c r="D12932" t="s">
        <v>17</v>
      </c>
      <c r="E12932" t="s">
        <v>12</v>
      </c>
      <c r="F12932">
        <v>155775333</v>
      </c>
      <c r="G12932">
        <v>155775392</v>
      </c>
      <c r="H12932">
        <v>155775317</v>
      </c>
      <c r="I12932">
        <v>155775325</v>
      </c>
    </row>
    <row r="12933" spans="1:9" x14ac:dyDescent="0.2">
      <c r="A12933" t="str">
        <f>"Mmp25"</f>
        <v>Mmp25</v>
      </c>
      <c r="B12933" t="s">
        <v>14</v>
      </c>
      <c r="C12933" t="s">
        <v>28</v>
      </c>
      <c r="D12933" t="s">
        <v>11</v>
      </c>
      <c r="E12933" t="s">
        <v>12</v>
      </c>
      <c r="F12933">
        <v>23644999</v>
      </c>
      <c r="G12933">
        <v>23645037</v>
      </c>
      <c r="H12933">
        <v>23645264</v>
      </c>
      <c r="I12933">
        <v>23645309</v>
      </c>
    </row>
    <row r="12934" spans="1:9" x14ac:dyDescent="0.2">
      <c r="A12934" t="str">
        <f>"Mmp27"</f>
        <v>Mmp27</v>
      </c>
      <c r="B12934" t="s">
        <v>14</v>
      </c>
      <c r="C12934" t="s">
        <v>24</v>
      </c>
      <c r="D12934" t="s">
        <v>17</v>
      </c>
      <c r="E12934" t="s">
        <v>12</v>
      </c>
      <c r="F12934">
        <v>7571458</v>
      </c>
      <c r="G12934">
        <v>7571487</v>
      </c>
      <c r="H12934">
        <v>7571458</v>
      </c>
      <c r="I12934">
        <v>7571487</v>
      </c>
    </row>
    <row r="12935" spans="1:9" x14ac:dyDescent="0.2">
      <c r="A12935" t="str">
        <f>"Mmp28"</f>
        <v>Mmp28</v>
      </c>
      <c r="B12935" t="s">
        <v>14</v>
      </c>
      <c r="C12935" t="s">
        <v>27</v>
      </c>
      <c r="D12935" t="s">
        <v>11</v>
      </c>
      <c r="E12935" t="s">
        <v>12</v>
      </c>
      <c r="F12935">
        <v>83462981</v>
      </c>
      <c r="G12935">
        <v>83463038</v>
      </c>
      <c r="H12935">
        <v>83463040</v>
      </c>
      <c r="I12935">
        <v>83463043</v>
      </c>
    </row>
    <row r="12936" spans="1:9" x14ac:dyDescent="0.2">
      <c r="A12936" t="str">
        <f>"Mmp3"</f>
        <v>Mmp3</v>
      </c>
      <c r="B12936" t="s">
        <v>14</v>
      </c>
      <c r="C12936" t="s">
        <v>24</v>
      </c>
      <c r="D12936" t="s">
        <v>17</v>
      </c>
      <c r="E12936" t="s">
        <v>12</v>
      </c>
      <c r="F12936">
        <v>7445837</v>
      </c>
      <c r="G12936">
        <v>7445855</v>
      </c>
      <c r="H12936">
        <v>7445837</v>
      </c>
      <c r="I12936">
        <v>7445855</v>
      </c>
    </row>
    <row r="12937" spans="1:9" x14ac:dyDescent="0.2">
      <c r="A12937" t="str">
        <f>"Mmp7"</f>
        <v>Mmp7</v>
      </c>
      <c r="B12937" t="s">
        <v>14</v>
      </c>
      <c r="C12937" t="s">
        <v>24</v>
      </c>
      <c r="D12937" t="s">
        <v>17</v>
      </c>
      <c r="E12937" t="s">
        <v>12</v>
      </c>
      <c r="F12937">
        <v>7692086</v>
      </c>
      <c r="G12937">
        <v>7692103</v>
      </c>
      <c r="H12937">
        <v>7692086</v>
      </c>
      <c r="I12937">
        <v>7692103</v>
      </c>
    </row>
    <row r="12938" spans="1:9" x14ac:dyDescent="0.2">
      <c r="A12938" t="str">
        <f>"Mmp8"</f>
        <v>Mmp8</v>
      </c>
      <c r="B12938" t="s">
        <v>14</v>
      </c>
      <c r="C12938" t="s">
        <v>24</v>
      </c>
      <c r="D12938" t="s">
        <v>17</v>
      </c>
      <c r="E12938" t="s">
        <v>12</v>
      </c>
      <c r="F12938">
        <v>7558448</v>
      </c>
      <c r="G12938">
        <v>7558465</v>
      </c>
      <c r="H12938">
        <v>7558448</v>
      </c>
      <c r="I12938">
        <v>7558465</v>
      </c>
    </row>
    <row r="12939" spans="1:9" x14ac:dyDescent="0.2">
      <c r="A12939" t="str">
        <f>"Mmp9"</f>
        <v>Mmp9</v>
      </c>
      <c r="B12939" t="s">
        <v>14</v>
      </c>
      <c r="C12939" t="s">
        <v>26</v>
      </c>
      <c r="D12939" t="s">
        <v>17</v>
      </c>
      <c r="E12939" t="s">
        <v>12</v>
      </c>
      <c r="F12939">
        <v>164948231</v>
      </c>
      <c r="G12939">
        <v>164948245</v>
      </c>
      <c r="H12939">
        <v>164948231</v>
      </c>
      <c r="I12939">
        <v>164948245</v>
      </c>
    </row>
    <row r="12940" spans="1:9" x14ac:dyDescent="0.2">
      <c r="A12940" t="str">
        <f>"Mmrn1"</f>
        <v>Mmrn1</v>
      </c>
      <c r="B12940" t="s">
        <v>14</v>
      </c>
      <c r="C12940" t="s">
        <v>32</v>
      </c>
      <c r="D12940" t="s">
        <v>17</v>
      </c>
      <c r="E12940" t="s">
        <v>12</v>
      </c>
      <c r="F12940">
        <v>60944472</v>
      </c>
      <c r="G12940">
        <v>60944489</v>
      </c>
      <c r="H12940">
        <v>60944472</v>
      </c>
      <c r="I12940">
        <v>60944489</v>
      </c>
    </row>
    <row r="12941" spans="1:9" x14ac:dyDescent="0.2">
      <c r="A12941" t="str">
        <f>"Mmrn2"</f>
        <v>Mmrn2</v>
      </c>
      <c r="B12941" t="s">
        <v>14</v>
      </c>
      <c r="C12941" t="s">
        <v>41</v>
      </c>
      <c r="D12941" t="s">
        <v>17</v>
      </c>
      <c r="E12941" t="s">
        <v>12</v>
      </c>
      <c r="F12941">
        <v>34375517</v>
      </c>
      <c r="G12941">
        <v>34375582</v>
      </c>
      <c r="H12941">
        <v>34375517</v>
      </c>
      <c r="I12941">
        <v>34375582</v>
      </c>
    </row>
    <row r="12942" spans="1:9" x14ac:dyDescent="0.2">
      <c r="A12942" t="str">
        <f>"Mms19"</f>
        <v>Mms19</v>
      </c>
      <c r="B12942" t="s">
        <v>14</v>
      </c>
      <c r="C12942" t="s">
        <v>10</v>
      </c>
      <c r="D12942" t="s">
        <v>11</v>
      </c>
      <c r="E12942" t="s">
        <v>12</v>
      </c>
      <c r="F12942">
        <v>41981119</v>
      </c>
      <c r="G12942">
        <v>41981150</v>
      </c>
      <c r="H12942">
        <v>41981119</v>
      </c>
      <c r="I12942">
        <v>41981150</v>
      </c>
    </row>
    <row r="12943" spans="1:9" x14ac:dyDescent="0.2">
      <c r="A12943" t="str">
        <f>"Mms22l"</f>
        <v>Mms22l</v>
      </c>
      <c r="B12943" t="s">
        <v>14</v>
      </c>
      <c r="C12943" t="s">
        <v>23</v>
      </c>
      <c r="D12943" t="s">
        <v>17</v>
      </c>
      <c r="E12943" t="s">
        <v>12</v>
      </c>
      <c r="F12943">
        <v>24496434</v>
      </c>
      <c r="G12943">
        <v>24496499</v>
      </c>
      <c r="H12943">
        <v>24496522</v>
      </c>
      <c r="I12943">
        <v>24496531</v>
      </c>
    </row>
    <row r="12944" spans="1:9" x14ac:dyDescent="0.2">
      <c r="A12944" t="str">
        <f>"Mn1"</f>
        <v>Mn1</v>
      </c>
      <c r="B12944" t="s">
        <v>14</v>
      </c>
      <c r="C12944" t="s">
        <v>46</v>
      </c>
      <c r="D12944" t="s">
        <v>17</v>
      </c>
      <c r="E12944" t="s">
        <v>12</v>
      </c>
      <c r="F12944">
        <v>111417263</v>
      </c>
      <c r="G12944">
        <v>111417306</v>
      </c>
      <c r="H12944">
        <v>111417263</v>
      </c>
      <c r="I12944">
        <v>111417306</v>
      </c>
    </row>
    <row r="12945" spans="1:9" x14ac:dyDescent="0.2">
      <c r="A12945" t="str">
        <f>"Mnat1"</f>
        <v>Mnat1</v>
      </c>
      <c r="B12945" t="s">
        <v>14</v>
      </c>
      <c r="C12945" t="s">
        <v>16</v>
      </c>
      <c r="D12945" t="s">
        <v>17</v>
      </c>
      <c r="E12945" t="s">
        <v>12</v>
      </c>
      <c r="F12945">
        <v>73123709</v>
      </c>
      <c r="G12945">
        <v>73123761</v>
      </c>
      <c r="H12945">
        <v>73123694</v>
      </c>
      <c r="I12945">
        <v>73123705</v>
      </c>
    </row>
    <row r="12946" spans="1:9" x14ac:dyDescent="0.2">
      <c r="A12946" t="str">
        <f>"Mnd1"</f>
        <v>Mnd1</v>
      </c>
      <c r="B12946" t="s">
        <v>14</v>
      </c>
      <c r="C12946" t="s">
        <v>22</v>
      </c>
      <c r="D12946" t="s">
        <v>11</v>
      </c>
      <c r="E12946" t="s">
        <v>12</v>
      </c>
      <c r="F12946">
        <v>84155762</v>
      </c>
      <c r="G12946">
        <v>84155796</v>
      </c>
      <c r="H12946">
        <v>84155735</v>
      </c>
      <c r="I12946">
        <v>84155754</v>
      </c>
    </row>
    <row r="12947" spans="1:9" x14ac:dyDescent="0.2">
      <c r="A12947" t="str">
        <f>"Mnda"</f>
        <v>Mnda</v>
      </c>
      <c r="B12947" t="s">
        <v>14</v>
      </c>
      <c r="C12947" t="s">
        <v>19</v>
      </c>
      <c r="D12947" t="s">
        <v>11</v>
      </c>
      <c r="E12947" t="s">
        <v>12</v>
      </c>
      <c r="F12947">
        <v>173912904</v>
      </c>
      <c r="G12947">
        <v>173912932</v>
      </c>
      <c r="H12947">
        <v>173913028</v>
      </c>
      <c r="I12947">
        <v>173913042</v>
      </c>
    </row>
    <row r="12948" spans="1:9" x14ac:dyDescent="0.2">
      <c r="A12948" t="str">
        <f>"Mndal"</f>
        <v>Mndal</v>
      </c>
      <c r="B12948" t="s">
        <v>14</v>
      </c>
      <c r="C12948" t="s">
        <v>19</v>
      </c>
      <c r="D12948" t="s">
        <v>11</v>
      </c>
      <c r="E12948" t="s">
        <v>67</v>
      </c>
      <c r="F12948">
        <v>173942445</v>
      </c>
      <c r="G12948">
        <v>173942472</v>
      </c>
      <c r="H12948">
        <v>173942445</v>
      </c>
      <c r="I12948">
        <v>173942472</v>
      </c>
    </row>
    <row r="12949" spans="1:9" x14ac:dyDescent="0.2">
      <c r="A12949" t="str">
        <f>"Mns1"</f>
        <v>Mns1</v>
      </c>
      <c r="B12949" t="s">
        <v>14</v>
      </c>
      <c r="C12949" t="s">
        <v>24</v>
      </c>
      <c r="D12949" t="s">
        <v>17</v>
      </c>
      <c r="E12949" t="s">
        <v>12</v>
      </c>
      <c r="F12949">
        <v>72438534</v>
      </c>
      <c r="G12949">
        <v>72438578</v>
      </c>
      <c r="H12949">
        <v>72438579</v>
      </c>
      <c r="I12949">
        <v>72438598</v>
      </c>
    </row>
    <row r="12950" spans="1:9" x14ac:dyDescent="0.2">
      <c r="A12950" t="str">
        <f>"Mnt"</f>
        <v>Mnt</v>
      </c>
      <c r="B12950" t="s">
        <v>14</v>
      </c>
      <c r="C12950" t="s">
        <v>27</v>
      </c>
      <c r="D12950" t="s">
        <v>17</v>
      </c>
      <c r="E12950" t="s">
        <v>12</v>
      </c>
      <c r="F12950">
        <v>74830935</v>
      </c>
      <c r="G12950">
        <v>74831005</v>
      </c>
      <c r="H12950">
        <v>74830935</v>
      </c>
      <c r="I12950">
        <v>74831005</v>
      </c>
    </row>
    <row r="12951" spans="1:9" x14ac:dyDescent="0.2">
      <c r="A12951" t="str">
        <f>"Mnx1"</f>
        <v>Mnx1</v>
      </c>
      <c r="B12951" t="s">
        <v>14</v>
      </c>
      <c r="C12951" t="s">
        <v>46</v>
      </c>
      <c r="D12951" t="s">
        <v>11</v>
      </c>
      <c r="E12951" t="s">
        <v>12</v>
      </c>
      <c r="F12951">
        <v>29478578</v>
      </c>
      <c r="G12951">
        <v>29478597</v>
      </c>
      <c r="H12951">
        <v>29478630</v>
      </c>
      <c r="I12951">
        <v>29478638</v>
      </c>
    </row>
    <row r="12952" spans="1:9" x14ac:dyDescent="0.2">
      <c r="A12952" t="str">
        <f>"Moap1"</f>
        <v>Moap1</v>
      </c>
      <c r="B12952" t="s">
        <v>9</v>
      </c>
      <c r="C12952" t="s">
        <v>16</v>
      </c>
      <c r="D12952" t="s">
        <v>11</v>
      </c>
      <c r="E12952" t="s">
        <v>12</v>
      </c>
      <c r="F12952">
        <v>102757769</v>
      </c>
      <c r="G12952">
        <v>102757809</v>
      </c>
      <c r="H12952">
        <v>102757769</v>
      </c>
      <c r="I12952">
        <v>102757809</v>
      </c>
    </row>
    <row r="12953" spans="1:9" x14ac:dyDescent="0.2">
      <c r="A12953" t="str">
        <f>"Moap1"</f>
        <v>Moap1</v>
      </c>
      <c r="B12953" t="s">
        <v>13</v>
      </c>
      <c r="C12953" t="s">
        <v>16</v>
      </c>
      <c r="D12953" t="s">
        <v>11</v>
      </c>
      <c r="E12953" t="s">
        <v>12</v>
      </c>
      <c r="F12953">
        <v>102743625</v>
      </c>
      <c r="G12953">
        <v>102743688</v>
      </c>
      <c r="H12953">
        <v>102743625</v>
      </c>
      <c r="I12953">
        <v>102743688</v>
      </c>
    </row>
    <row r="12954" spans="1:9" x14ac:dyDescent="0.2">
      <c r="A12954" t="str">
        <f>"Mob1a"</f>
        <v>Mob1a</v>
      </c>
      <c r="B12954" t="s">
        <v>14</v>
      </c>
      <c r="C12954" t="s">
        <v>32</v>
      </c>
      <c r="D12954" t="s">
        <v>17</v>
      </c>
      <c r="E12954" t="s">
        <v>12</v>
      </c>
      <c r="F12954">
        <v>83326029</v>
      </c>
      <c r="G12954">
        <v>83326064</v>
      </c>
      <c r="H12954">
        <v>83326071</v>
      </c>
      <c r="I12954">
        <v>83326085</v>
      </c>
    </row>
    <row r="12955" spans="1:9" x14ac:dyDescent="0.2">
      <c r="A12955" t="str">
        <f>"Mob1b"</f>
        <v>Mob1b</v>
      </c>
      <c r="B12955" t="s">
        <v>14</v>
      </c>
      <c r="C12955" t="s">
        <v>46</v>
      </c>
      <c r="D12955" t="s">
        <v>17</v>
      </c>
      <c r="E12955" t="s">
        <v>12</v>
      </c>
      <c r="F12955">
        <v>88720929</v>
      </c>
      <c r="G12955">
        <v>88720977</v>
      </c>
      <c r="H12955">
        <v>88720879</v>
      </c>
      <c r="I12955">
        <v>88720925</v>
      </c>
    </row>
    <row r="12956" spans="1:9" x14ac:dyDescent="0.2">
      <c r="A12956" t="str">
        <f>"Mob2"</f>
        <v>Mob2</v>
      </c>
      <c r="B12956" t="s">
        <v>14</v>
      </c>
      <c r="C12956" t="s">
        <v>33</v>
      </c>
      <c r="D12956" t="s">
        <v>11</v>
      </c>
      <c r="E12956" t="s">
        <v>12</v>
      </c>
      <c r="F12956">
        <v>142061021</v>
      </c>
      <c r="G12956">
        <v>142061071</v>
      </c>
      <c r="H12956">
        <v>142061021</v>
      </c>
      <c r="I12956">
        <v>142061071</v>
      </c>
    </row>
    <row r="12957" spans="1:9" x14ac:dyDescent="0.2">
      <c r="A12957" t="str">
        <f>"Mob3a"</f>
        <v>Mob3a</v>
      </c>
      <c r="B12957" t="s">
        <v>14</v>
      </c>
      <c r="C12957" t="s">
        <v>15</v>
      </c>
      <c r="D12957" t="s">
        <v>11</v>
      </c>
      <c r="E12957" t="s">
        <v>12</v>
      </c>
      <c r="F12957">
        <v>80701811</v>
      </c>
      <c r="G12957">
        <v>80701878</v>
      </c>
      <c r="H12957">
        <v>80701936</v>
      </c>
      <c r="I12957">
        <v>80701986</v>
      </c>
    </row>
    <row r="12958" spans="1:9" x14ac:dyDescent="0.2">
      <c r="A12958" t="str">
        <f>"Mob3b"</f>
        <v>Mob3b</v>
      </c>
      <c r="B12958" t="s">
        <v>14</v>
      </c>
      <c r="C12958" t="s">
        <v>23</v>
      </c>
      <c r="D12958" t="s">
        <v>11</v>
      </c>
      <c r="E12958" t="s">
        <v>12</v>
      </c>
      <c r="F12958">
        <v>35157404</v>
      </c>
      <c r="G12958">
        <v>35157500</v>
      </c>
      <c r="H12958">
        <v>35157378</v>
      </c>
      <c r="I12958">
        <v>35157389</v>
      </c>
    </row>
    <row r="12959" spans="1:9" x14ac:dyDescent="0.2">
      <c r="A12959" t="str">
        <f>"Mob3c"</f>
        <v>Mob3c</v>
      </c>
      <c r="B12959" t="s">
        <v>14</v>
      </c>
      <c r="C12959" t="s">
        <v>23</v>
      </c>
      <c r="D12959" t="s">
        <v>17</v>
      </c>
      <c r="E12959" t="s">
        <v>12</v>
      </c>
      <c r="F12959">
        <v>115828061</v>
      </c>
      <c r="G12959">
        <v>115828103</v>
      </c>
      <c r="H12959">
        <v>115828115</v>
      </c>
      <c r="I12959">
        <v>115828130</v>
      </c>
    </row>
    <row r="12960" spans="1:9" x14ac:dyDescent="0.2">
      <c r="A12960" t="str">
        <f>"Mob4"</f>
        <v>Mob4</v>
      </c>
      <c r="B12960" t="s">
        <v>14</v>
      </c>
      <c r="C12960" t="s">
        <v>19</v>
      </c>
      <c r="D12960" t="s">
        <v>17</v>
      </c>
      <c r="E12960" t="s">
        <v>12</v>
      </c>
      <c r="F12960">
        <v>55131253</v>
      </c>
      <c r="G12960">
        <v>55131302</v>
      </c>
      <c r="H12960">
        <v>55131237</v>
      </c>
      <c r="I12960">
        <v>55131249</v>
      </c>
    </row>
    <row r="12961" spans="1:9" x14ac:dyDescent="0.2">
      <c r="A12961" t="str">
        <f>"Mobp"</f>
        <v>Mobp</v>
      </c>
      <c r="B12961" t="s">
        <v>14</v>
      </c>
      <c r="C12961" t="s">
        <v>24</v>
      </c>
      <c r="D12961" t="s">
        <v>17</v>
      </c>
      <c r="E12961" t="s">
        <v>12</v>
      </c>
      <c r="F12961">
        <v>120149733</v>
      </c>
      <c r="G12961">
        <v>120149748</v>
      </c>
      <c r="H12961">
        <v>120149733</v>
      </c>
      <c r="I12961">
        <v>120149748</v>
      </c>
    </row>
    <row r="12962" spans="1:9" x14ac:dyDescent="0.2">
      <c r="A12962" t="str">
        <f>"Mocos"</f>
        <v>Mocos</v>
      </c>
      <c r="B12962" t="s">
        <v>14</v>
      </c>
      <c r="C12962" t="s">
        <v>43</v>
      </c>
      <c r="D12962" t="s">
        <v>17</v>
      </c>
      <c r="E12962" t="s">
        <v>12</v>
      </c>
      <c r="F12962">
        <v>24653856</v>
      </c>
      <c r="G12962">
        <v>24653883</v>
      </c>
      <c r="H12962">
        <v>24653830</v>
      </c>
      <c r="I12962">
        <v>24653843</v>
      </c>
    </row>
    <row r="12963" spans="1:9" x14ac:dyDescent="0.2">
      <c r="A12963" t="str">
        <f>"Mocs1"</f>
        <v>Mocs1</v>
      </c>
      <c r="B12963" t="s">
        <v>14</v>
      </c>
      <c r="C12963" t="s">
        <v>28</v>
      </c>
      <c r="D12963" t="s">
        <v>17</v>
      </c>
      <c r="E12963" t="s">
        <v>12</v>
      </c>
      <c r="F12963">
        <v>49428359</v>
      </c>
      <c r="G12963">
        <v>49428445</v>
      </c>
      <c r="H12963">
        <v>49428359</v>
      </c>
      <c r="I12963">
        <v>49428445</v>
      </c>
    </row>
    <row r="12964" spans="1:9" x14ac:dyDescent="0.2">
      <c r="A12964" t="str">
        <f>"Mocs2"</f>
        <v>Mocs2</v>
      </c>
      <c r="B12964" t="s">
        <v>14</v>
      </c>
      <c r="C12964" t="s">
        <v>39</v>
      </c>
      <c r="D12964" t="s">
        <v>17</v>
      </c>
      <c r="E12964" t="s">
        <v>12</v>
      </c>
      <c r="F12964">
        <v>114818232</v>
      </c>
      <c r="G12964">
        <v>114818303</v>
      </c>
      <c r="H12964">
        <v>114818232</v>
      </c>
      <c r="I12964">
        <v>114818303</v>
      </c>
    </row>
    <row r="12965" spans="1:9" x14ac:dyDescent="0.2">
      <c r="A12965" t="str">
        <f>"Mocs3"</f>
        <v>Mocs3</v>
      </c>
      <c r="B12965" t="s">
        <v>14</v>
      </c>
      <c r="C12965" t="s">
        <v>26</v>
      </c>
      <c r="D12965" t="s">
        <v>17</v>
      </c>
      <c r="E12965" t="s">
        <v>12</v>
      </c>
      <c r="F12965">
        <v>168230597</v>
      </c>
      <c r="G12965">
        <v>168230639</v>
      </c>
      <c r="H12965">
        <v>168230597</v>
      </c>
      <c r="I12965">
        <v>168230639</v>
      </c>
    </row>
    <row r="12966" spans="1:9" x14ac:dyDescent="0.2">
      <c r="A12966" t="str">
        <f>"Mog"</f>
        <v>Mog</v>
      </c>
      <c r="B12966" t="s">
        <v>14</v>
      </c>
      <c r="C12966" t="s">
        <v>28</v>
      </c>
      <c r="D12966" t="s">
        <v>11</v>
      </c>
      <c r="E12966" t="s">
        <v>12</v>
      </c>
      <c r="F12966">
        <v>37023238</v>
      </c>
      <c r="G12966">
        <v>37023320</v>
      </c>
      <c r="H12966">
        <v>37023349</v>
      </c>
      <c r="I12966">
        <v>37023371</v>
      </c>
    </row>
    <row r="12967" spans="1:9" x14ac:dyDescent="0.2">
      <c r="A12967" t="str">
        <f>"Mogat1"</f>
        <v>Mogat1</v>
      </c>
      <c r="B12967" t="s">
        <v>14</v>
      </c>
      <c r="C12967" t="s">
        <v>19</v>
      </c>
      <c r="D12967" t="s">
        <v>17</v>
      </c>
      <c r="E12967" t="s">
        <v>12</v>
      </c>
      <c r="F12967">
        <v>78511904</v>
      </c>
      <c r="G12967">
        <v>78511921</v>
      </c>
      <c r="H12967">
        <v>78511865</v>
      </c>
      <c r="I12967">
        <v>78511896</v>
      </c>
    </row>
    <row r="12968" spans="1:9" x14ac:dyDescent="0.2">
      <c r="A12968" t="str">
        <f>"Mogat2"</f>
        <v>Mogat2</v>
      </c>
      <c r="B12968" t="s">
        <v>14</v>
      </c>
      <c r="C12968" t="s">
        <v>33</v>
      </c>
      <c r="D12968" t="s">
        <v>11</v>
      </c>
      <c r="E12968" t="s">
        <v>12</v>
      </c>
      <c r="F12968">
        <v>99238564</v>
      </c>
      <c r="G12968">
        <v>99238623</v>
      </c>
      <c r="H12968">
        <v>99238564</v>
      </c>
      <c r="I12968">
        <v>99238623</v>
      </c>
    </row>
    <row r="12969" spans="1:9" x14ac:dyDescent="0.2">
      <c r="A12969" t="str">
        <f>"Mogs"</f>
        <v>Mogs</v>
      </c>
      <c r="B12969" t="s">
        <v>14</v>
      </c>
      <c r="C12969" t="s">
        <v>32</v>
      </c>
      <c r="D12969" t="s">
        <v>17</v>
      </c>
      <c r="E12969" t="s">
        <v>12</v>
      </c>
      <c r="F12969">
        <v>83115495</v>
      </c>
      <c r="G12969">
        <v>83115574</v>
      </c>
      <c r="H12969">
        <v>83115479</v>
      </c>
      <c r="I12969">
        <v>83115488</v>
      </c>
    </row>
    <row r="12970" spans="1:9" x14ac:dyDescent="0.2">
      <c r="A12970" t="str">
        <f>"Mon1a"</f>
        <v>Mon1a</v>
      </c>
      <c r="B12970" t="s">
        <v>14</v>
      </c>
      <c r="C12970" t="s">
        <v>24</v>
      </c>
      <c r="D12970" t="s">
        <v>17</v>
      </c>
      <c r="E12970" t="s">
        <v>12</v>
      </c>
      <c r="F12970">
        <v>107888136</v>
      </c>
      <c r="G12970">
        <v>107888211</v>
      </c>
      <c r="H12970">
        <v>107888121</v>
      </c>
      <c r="I12970">
        <v>107888134</v>
      </c>
    </row>
    <row r="12971" spans="1:9" x14ac:dyDescent="0.2">
      <c r="A12971" t="str">
        <f>"Mon1b"</f>
        <v>Mon1b</v>
      </c>
      <c r="B12971" t="s">
        <v>14</v>
      </c>
      <c r="C12971" t="s">
        <v>30</v>
      </c>
      <c r="D12971" t="s">
        <v>17</v>
      </c>
      <c r="E12971" t="s">
        <v>12</v>
      </c>
      <c r="F12971">
        <v>113635787</v>
      </c>
      <c r="G12971">
        <v>113635842</v>
      </c>
      <c r="H12971">
        <v>113635550</v>
      </c>
      <c r="I12971">
        <v>113635597</v>
      </c>
    </row>
    <row r="12972" spans="1:9" x14ac:dyDescent="0.2">
      <c r="A12972" t="str">
        <f>"Mon2"</f>
        <v>Mon2</v>
      </c>
      <c r="B12972" t="s">
        <v>14</v>
      </c>
      <c r="C12972" t="s">
        <v>15</v>
      </c>
      <c r="D12972" t="s">
        <v>11</v>
      </c>
      <c r="E12972" t="s">
        <v>12</v>
      </c>
      <c r="F12972">
        <v>123076367</v>
      </c>
      <c r="G12972">
        <v>123076391</v>
      </c>
      <c r="H12972">
        <v>123076798</v>
      </c>
      <c r="I12972">
        <v>123076832</v>
      </c>
    </row>
    <row r="12973" spans="1:9" x14ac:dyDescent="0.2">
      <c r="A12973" t="str">
        <f>"Morc1"</f>
        <v>Morc1</v>
      </c>
      <c r="B12973" t="s">
        <v>14</v>
      </c>
      <c r="C12973" t="s">
        <v>31</v>
      </c>
      <c r="D12973" t="s">
        <v>17</v>
      </c>
      <c r="E12973" t="s">
        <v>12</v>
      </c>
      <c r="F12973">
        <v>48431281</v>
      </c>
      <c r="G12973">
        <v>48431323</v>
      </c>
      <c r="H12973">
        <v>48431330</v>
      </c>
      <c r="I12973">
        <v>48431339</v>
      </c>
    </row>
    <row r="12974" spans="1:9" x14ac:dyDescent="0.2">
      <c r="A12974" t="str">
        <f>"Morc2a"</f>
        <v>Morc2a</v>
      </c>
      <c r="B12974" t="s">
        <v>14</v>
      </c>
      <c r="C12974" t="s">
        <v>27</v>
      </c>
      <c r="D12974" t="s">
        <v>17</v>
      </c>
      <c r="E12974" t="s">
        <v>12</v>
      </c>
      <c r="F12974">
        <v>3649198</v>
      </c>
      <c r="G12974">
        <v>3649295</v>
      </c>
      <c r="H12974">
        <v>3649507</v>
      </c>
      <c r="I12974">
        <v>3649536</v>
      </c>
    </row>
    <row r="12975" spans="1:9" x14ac:dyDescent="0.2">
      <c r="A12975" t="str">
        <f>"Morc2b"</f>
        <v>Morc2b</v>
      </c>
      <c r="B12975" t="s">
        <v>14</v>
      </c>
      <c r="C12975" t="s">
        <v>28</v>
      </c>
      <c r="D12975" t="s">
        <v>11</v>
      </c>
      <c r="E12975" t="s">
        <v>12</v>
      </c>
      <c r="F12975">
        <v>33139617</v>
      </c>
      <c r="G12975">
        <v>33139670</v>
      </c>
      <c r="H12975">
        <v>33139672</v>
      </c>
      <c r="I12975">
        <v>33139675</v>
      </c>
    </row>
    <row r="12976" spans="1:9" x14ac:dyDescent="0.2">
      <c r="A12976" t="str">
        <f>"Morc3"</f>
        <v>Morc3</v>
      </c>
      <c r="B12976" t="s">
        <v>14</v>
      </c>
      <c r="C12976" t="s">
        <v>31</v>
      </c>
      <c r="D12976" t="s">
        <v>17</v>
      </c>
      <c r="E12976" t="s">
        <v>12</v>
      </c>
      <c r="F12976">
        <v>93832221</v>
      </c>
      <c r="G12976">
        <v>93832308</v>
      </c>
      <c r="H12976">
        <v>93832079</v>
      </c>
      <c r="I12976">
        <v>93832122</v>
      </c>
    </row>
    <row r="12977" spans="1:9" x14ac:dyDescent="0.2">
      <c r="A12977" t="str">
        <f>"Morc4"</f>
        <v>Morc4</v>
      </c>
      <c r="B12977" t="s">
        <v>14</v>
      </c>
      <c r="C12977" t="s">
        <v>37</v>
      </c>
      <c r="D12977" t="s">
        <v>11</v>
      </c>
      <c r="E12977" t="s">
        <v>12</v>
      </c>
      <c r="F12977">
        <v>139871615</v>
      </c>
      <c r="G12977">
        <v>139871630</v>
      </c>
      <c r="H12977">
        <v>139871637</v>
      </c>
      <c r="I12977">
        <v>139871670</v>
      </c>
    </row>
    <row r="12978" spans="1:9" x14ac:dyDescent="0.2">
      <c r="A12978" t="str">
        <f>"Morf4l1"</f>
        <v>Morf4l1</v>
      </c>
      <c r="B12978" t="s">
        <v>14</v>
      </c>
      <c r="C12978" t="s">
        <v>24</v>
      </c>
      <c r="D12978" t="s">
        <v>11</v>
      </c>
      <c r="E12978" t="s">
        <v>12</v>
      </c>
      <c r="F12978">
        <v>90114677</v>
      </c>
      <c r="G12978">
        <v>90114786</v>
      </c>
      <c r="H12978">
        <v>90114788</v>
      </c>
      <c r="I12978">
        <v>90114797</v>
      </c>
    </row>
    <row r="12979" spans="1:9" x14ac:dyDescent="0.2">
      <c r="A12979" t="str">
        <f>"Morf4l2"</f>
        <v>Morf4l2</v>
      </c>
      <c r="B12979" t="s">
        <v>9</v>
      </c>
      <c r="C12979" t="s">
        <v>37</v>
      </c>
      <c r="D12979" t="s">
        <v>11</v>
      </c>
      <c r="E12979" t="s">
        <v>12</v>
      </c>
      <c r="F12979">
        <v>136741279</v>
      </c>
      <c r="G12979">
        <v>136741307</v>
      </c>
      <c r="H12979">
        <v>136741279</v>
      </c>
      <c r="I12979">
        <v>136741307</v>
      </c>
    </row>
    <row r="12980" spans="1:9" x14ac:dyDescent="0.2">
      <c r="A12980" t="str">
        <f>"Morf4l2"</f>
        <v>Morf4l2</v>
      </c>
      <c r="B12980" t="s">
        <v>13</v>
      </c>
      <c r="C12980" t="s">
        <v>37</v>
      </c>
      <c r="D12980" t="s">
        <v>11</v>
      </c>
      <c r="E12980" t="s">
        <v>12</v>
      </c>
      <c r="F12980">
        <v>136743675</v>
      </c>
      <c r="G12980">
        <v>136743692</v>
      </c>
      <c r="H12980">
        <v>136743675</v>
      </c>
      <c r="I12980">
        <v>136743692</v>
      </c>
    </row>
    <row r="12981" spans="1:9" x14ac:dyDescent="0.2">
      <c r="A12981" t="str">
        <f>"Morn1"</f>
        <v>Morn1</v>
      </c>
      <c r="B12981" t="s">
        <v>14</v>
      </c>
      <c r="C12981" t="s">
        <v>23</v>
      </c>
      <c r="D12981" t="s">
        <v>17</v>
      </c>
      <c r="E12981" t="s">
        <v>12</v>
      </c>
      <c r="F12981">
        <v>155086578</v>
      </c>
      <c r="G12981">
        <v>155086610</v>
      </c>
      <c r="H12981">
        <v>155086653</v>
      </c>
      <c r="I12981">
        <v>155086657</v>
      </c>
    </row>
    <row r="12982" spans="1:9" x14ac:dyDescent="0.2">
      <c r="A12982" t="str">
        <f>"Morn2"</f>
        <v>Morn2</v>
      </c>
      <c r="B12982" t="s">
        <v>14</v>
      </c>
      <c r="C12982" t="s">
        <v>28</v>
      </c>
      <c r="D12982" t="s">
        <v>17</v>
      </c>
      <c r="E12982" t="s">
        <v>12</v>
      </c>
      <c r="F12982">
        <v>80290206</v>
      </c>
      <c r="G12982">
        <v>80290279</v>
      </c>
      <c r="H12982">
        <v>80290034</v>
      </c>
      <c r="I12982">
        <v>80290066</v>
      </c>
    </row>
    <row r="12983" spans="1:9" x14ac:dyDescent="0.2">
      <c r="A12983" t="str">
        <f>"Morn3"</f>
        <v>Morn3</v>
      </c>
      <c r="B12983" t="s">
        <v>14</v>
      </c>
      <c r="C12983" t="s">
        <v>46</v>
      </c>
      <c r="D12983" t="s">
        <v>11</v>
      </c>
      <c r="E12983" t="s">
        <v>12</v>
      </c>
      <c r="F12983">
        <v>123046966</v>
      </c>
      <c r="G12983">
        <v>123046988</v>
      </c>
      <c r="H12983">
        <v>123046999</v>
      </c>
      <c r="I12983">
        <v>123047025</v>
      </c>
    </row>
    <row r="12984" spans="1:9" x14ac:dyDescent="0.2">
      <c r="A12984" t="str">
        <f>"Morn4"</f>
        <v>Morn4</v>
      </c>
      <c r="B12984" t="s">
        <v>14</v>
      </c>
      <c r="C12984" t="s">
        <v>10</v>
      </c>
      <c r="D12984" t="s">
        <v>11</v>
      </c>
      <c r="E12984" t="s">
        <v>12</v>
      </c>
      <c r="F12984">
        <v>42086338</v>
      </c>
      <c r="G12984">
        <v>42086375</v>
      </c>
      <c r="H12984">
        <v>42086319</v>
      </c>
      <c r="I12984">
        <v>42086334</v>
      </c>
    </row>
    <row r="12985" spans="1:9" x14ac:dyDescent="0.2">
      <c r="A12985" t="str">
        <f>"Morn5"</f>
        <v>Morn5</v>
      </c>
      <c r="B12985" t="s">
        <v>14</v>
      </c>
      <c r="C12985" t="s">
        <v>26</v>
      </c>
      <c r="D12985" t="s">
        <v>17</v>
      </c>
      <c r="E12985" t="s">
        <v>12</v>
      </c>
      <c r="F12985">
        <v>36049453</v>
      </c>
      <c r="G12985">
        <v>36049507</v>
      </c>
      <c r="H12985">
        <v>36049453</v>
      </c>
      <c r="I12985">
        <v>36049507</v>
      </c>
    </row>
    <row r="12986" spans="1:9" x14ac:dyDescent="0.2">
      <c r="A12986" t="str">
        <f>"Mos"</f>
        <v>Mos</v>
      </c>
      <c r="B12986" t="s">
        <v>14</v>
      </c>
      <c r="C12986" t="s">
        <v>23</v>
      </c>
      <c r="D12986" t="s">
        <v>11</v>
      </c>
      <c r="E12986" t="s">
        <v>12</v>
      </c>
      <c r="F12986">
        <v>3871893</v>
      </c>
      <c r="G12986">
        <v>3871904</v>
      </c>
      <c r="H12986">
        <v>3871893</v>
      </c>
      <c r="I12986">
        <v>3871904</v>
      </c>
    </row>
    <row r="12987" spans="1:9" x14ac:dyDescent="0.2">
      <c r="A12987" t="str">
        <f>"Mospd1"</f>
        <v>Mospd1</v>
      </c>
      <c r="B12987" t="s">
        <v>14</v>
      </c>
      <c r="C12987" t="s">
        <v>37</v>
      </c>
      <c r="D12987" t="s">
        <v>11</v>
      </c>
      <c r="E12987" t="s">
        <v>12</v>
      </c>
      <c r="F12987">
        <v>53370470</v>
      </c>
      <c r="G12987">
        <v>53370501</v>
      </c>
      <c r="H12987">
        <v>53370442</v>
      </c>
      <c r="I12987">
        <v>53370466</v>
      </c>
    </row>
    <row r="12988" spans="1:9" x14ac:dyDescent="0.2">
      <c r="A12988" t="str">
        <f>"Mospd2"</f>
        <v>Mospd2</v>
      </c>
      <c r="B12988" t="s">
        <v>14</v>
      </c>
      <c r="C12988" t="s">
        <v>37</v>
      </c>
      <c r="D12988" t="s">
        <v>11</v>
      </c>
      <c r="E12988" t="s">
        <v>12</v>
      </c>
      <c r="F12988">
        <v>164980310</v>
      </c>
      <c r="G12988">
        <v>164980355</v>
      </c>
      <c r="H12988">
        <v>164980279</v>
      </c>
      <c r="I12988">
        <v>164980309</v>
      </c>
    </row>
    <row r="12989" spans="1:9" x14ac:dyDescent="0.2">
      <c r="A12989" t="str">
        <f>"Mospd3"</f>
        <v>Mospd3</v>
      </c>
      <c r="B12989" t="s">
        <v>14</v>
      </c>
      <c r="C12989" t="s">
        <v>46</v>
      </c>
      <c r="D12989" t="s">
        <v>11</v>
      </c>
      <c r="E12989" t="s">
        <v>12</v>
      </c>
      <c r="F12989">
        <v>137600650</v>
      </c>
      <c r="G12989">
        <v>137600740</v>
      </c>
      <c r="H12989">
        <v>137601043</v>
      </c>
      <c r="I12989">
        <v>137601075</v>
      </c>
    </row>
    <row r="12990" spans="1:9" x14ac:dyDescent="0.2">
      <c r="A12990" t="str">
        <f>"Mov10"</f>
        <v>Mov10</v>
      </c>
      <c r="B12990" t="s">
        <v>14</v>
      </c>
      <c r="C12990" t="s">
        <v>22</v>
      </c>
      <c r="D12990" t="s">
        <v>11</v>
      </c>
      <c r="E12990" t="s">
        <v>12</v>
      </c>
      <c r="F12990">
        <v>104818266</v>
      </c>
      <c r="G12990">
        <v>104818293</v>
      </c>
      <c r="H12990">
        <v>104818539</v>
      </c>
      <c r="I12990">
        <v>104818572</v>
      </c>
    </row>
    <row r="12991" spans="1:9" x14ac:dyDescent="0.2">
      <c r="A12991" t="str">
        <f>"Mov10l1"</f>
        <v>Mov10l1</v>
      </c>
      <c r="B12991" t="s">
        <v>14</v>
      </c>
      <c r="C12991" t="s">
        <v>25</v>
      </c>
      <c r="D12991" t="s">
        <v>17</v>
      </c>
      <c r="E12991" t="s">
        <v>12</v>
      </c>
      <c r="F12991">
        <v>88982894</v>
      </c>
      <c r="G12991">
        <v>88982962</v>
      </c>
      <c r="H12991">
        <v>88982894</v>
      </c>
      <c r="I12991">
        <v>88982962</v>
      </c>
    </row>
    <row r="12992" spans="1:9" x14ac:dyDescent="0.2">
      <c r="A12992" t="str">
        <f>"Moxd1"</f>
        <v>Moxd1</v>
      </c>
      <c r="B12992" t="s">
        <v>14</v>
      </c>
      <c r="C12992" t="s">
        <v>15</v>
      </c>
      <c r="D12992" t="s">
        <v>17</v>
      </c>
      <c r="E12992" t="s">
        <v>12</v>
      </c>
      <c r="F12992">
        <v>24223539</v>
      </c>
      <c r="G12992">
        <v>24223601</v>
      </c>
      <c r="H12992">
        <v>24223398</v>
      </c>
      <c r="I12992">
        <v>24223428</v>
      </c>
    </row>
    <row r="12993" spans="1:9" x14ac:dyDescent="0.2">
      <c r="A12993" t="str">
        <f>"Moxd2"</f>
        <v>Moxd2</v>
      </c>
      <c r="B12993" t="s">
        <v>14</v>
      </c>
      <c r="C12993" t="s">
        <v>32</v>
      </c>
      <c r="D12993" t="s">
        <v>11</v>
      </c>
      <c r="E12993" t="s">
        <v>12</v>
      </c>
      <c r="F12993">
        <v>40887525</v>
      </c>
      <c r="G12993">
        <v>40887526</v>
      </c>
      <c r="H12993">
        <v>40887525</v>
      </c>
      <c r="I12993">
        <v>40887526</v>
      </c>
    </row>
    <row r="12994" spans="1:9" x14ac:dyDescent="0.2">
      <c r="A12994" t="str">
        <f>"Mpc1"</f>
        <v>Mpc1</v>
      </c>
      <c r="B12994" t="s">
        <v>14</v>
      </c>
      <c r="C12994" t="s">
        <v>28</v>
      </c>
      <c r="D12994" t="s">
        <v>17</v>
      </c>
      <c r="E12994" t="s">
        <v>67</v>
      </c>
      <c r="F12994">
        <v>8283770</v>
      </c>
      <c r="G12994">
        <v>8283829</v>
      </c>
      <c r="H12994">
        <v>8283770</v>
      </c>
      <c r="I12994">
        <v>8283829</v>
      </c>
    </row>
    <row r="12995" spans="1:9" x14ac:dyDescent="0.2">
      <c r="A12995" t="str">
        <f>"Mpc2"</f>
        <v>Mpc2</v>
      </c>
      <c r="B12995" t="s">
        <v>14</v>
      </c>
      <c r="C12995" t="s">
        <v>19</v>
      </c>
      <c r="D12995" t="s">
        <v>17</v>
      </c>
      <c r="E12995" t="s">
        <v>67</v>
      </c>
      <c r="F12995">
        <v>165461241</v>
      </c>
      <c r="G12995">
        <v>165461271</v>
      </c>
      <c r="H12995">
        <v>165461190</v>
      </c>
      <c r="I12995">
        <v>165461239</v>
      </c>
    </row>
    <row r="12996" spans="1:9" x14ac:dyDescent="0.2">
      <c r="A12996" t="str">
        <f>"Mpdu1"</f>
        <v>Mpdu1</v>
      </c>
      <c r="B12996" t="s">
        <v>14</v>
      </c>
      <c r="C12996" t="s">
        <v>27</v>
      </c>
      <c r="D12996" t="s">
        <v>11</v>
      </c>
      <c r="E12996" t="s">
        <v>12</v>
      </c>
      <c r="F12996">
        <v>69662569</v>
      </c>
      <c r="G12996">
        <v>69662596</v>
      </c>
      <c r="H12996">
        <v>69662625</v>
      </c>
      <c r="I12996">
        <v>69662636</v>
      </c>
    </row>
    <row r="12997" spans="1:9" x14ac:dyDescent="0.2">
      <c r="A12997" t="str">
        <f>"Mpdz"</f>
        <v>Mpdz</v>
      </c>
      <c r="B12997" t="s">
        <v>14</v>
      </c>
      <c r="C12997" t="s">
        <v>23</v>
      </c>
      <c r="D12997" t="s">
        <v>11</v>
      </c>
      <c r="E12997" t="s">
        <v>12</v>
      </c>
      <c r="F12997">
        <v>81442756</v>
      </c>
      <c r="G12997">
        <v>81442836</v>
      </c>
      <c r="H12997">
        <v>81442838</v>
      </c>
      <c r="I12997">
        <v>81442857</v>
      </c>
    </row>
    <row r="12998" spans="1:9" x14ac:dyDescent="0.2">
      <c r="A12998" t="str">
        <f>"Mpeg1"</f>
        <v>Mpeg1</v>
      </c>
      <c r="B12998" t="s">
        <v>14</v>
      </c>
      <c r="C12998" t="s">
        <v>10</v>
      </c>
      <c r="D12998" t="s">
        <v>17</v>
      </c>
      <c r="E12998" t="s">
        <v>12</v>
      </c>
      <c r="F12998">
        <v>12460749</v>
      </c>
      <c r="G12998">
        <v>12460783</v>
      </c>
      <c r="H12998">
        <v>12460749</v>
      </c>
      <c r="I12998">
        <v>12460783</v>
      </c>
    </row>
    <row r="12999" spans="1:9" x14ac:dyDescent="0.2">
      <c r="A12999" t="str">
        <f>"Mpg"</f>
        <v>Mpg</v>
      </c>
      <c r="B12999" t="s">
        <v>14</v>
      </c>
      <c r="C12999" t="s">
        <v>27</v>
      </c>
      <c r="D12999" t="s">
        <v>17</v>
      </c>
      <c r="E12999" t="s">
        <v>12</v>
      </c>
      <c r="F12999">
        <v>32226481</v>
      </c>
      <c r="G12999">
        <v>32226545</v>
      </c>
      <c r="H12999">
        <v>32226647</v>
      </c>
      <c r="I12999">
        <v>32226648</v>
      </c>
    </row>
    <row r="13000" spans="1:9" x14ac:dyDescent="0.2">
      <c r="A13000" t="str">
        <f>"Mphosph10"</f>
        <v>Mphosph10</v>
      </c>
      <c r="B13000" t="s">
        <v>14</v>
      </c>
      <c r="C13000" t="s">
        <v>33</v>
      </c>
      <c r="D13000" t="s">
        <v>11</v>
      </c>
      <c r="E13000" t="s">
        <v>12</v>
      </c>
      <c r="F13000">
        <v>64392214</v>
      </c>
      <c r="G13000">
        <v>64392259</v>
      </c>
      <c r="H13000">
        <v>64392196</v>
      </c>
      <c r="I13000">
        <v>64392205</v>
      </c>
    </row>
    <row r="13001" spans="1:9" x14ac:dyDescent="0.2">
      <c r="A13001" t="str">
        <f>"Mphosph6"</f>
        <v>Mphosph6</v>
      </c>
      <c r="B13001" t="s">
        <v>14</v>
      </c>
      <c r="C13001" t="s">
        <v>30</v>
      </c>
      <c r="D13001" t="s">
        <v>11</v>
      </c>
      <c r="E13001" t="s">
        <v>12</v>
      </c>
      <c r="F13001">
        <v>117801903</v>
      </c>
      <c r="G13001">
        <v>117801949</v>
      </c>
      <c r="H13001">
        <v>117801962</v>
      </c>
      <c r="I13001">
        <v>117801973</v>
      </c>
    </row>
    <row r="13002" spans="1:9" x14ac:dyDescent="0.2">
      <c r="A13002" t="str">
        <f>"Mphosph8"</f>
        <v>Mphosph8</v>
      </c>
      <c r="B13002" t="s">
        <v>9</v>
      </c>
      <c r="C13002" t="s">
        <v>41</v>
      </c>
      <c r="D13002" t="s">
        <v>17</v>
      </c>
      <c r="E13002" t="s">
        <v>12</v>
      </c>
      <c r="F13002">
        <v>56668242</v>
      </c>
      <c r="G13002">
        <v>56668349</v>
      </c>
      <c r="H13002">
        <v>56668242</v>
      </c>
      <c r="I13002">
        <v>56668349</v>
      </c>
    </row>
    <row r="13003" spans="1:9" x14ac:dyDescent="0.2">
      <c r="A13003" t="str">
        <f>"Mphosph8"</f>
        <v>Mphosph8</v>
      </c>
      <c r="B13003" t="s">
        <v>13</v>
      </c>
      <c r="C13003" t="s">
        <v>41</v>
      </c>
      <c r="D13003" t="s">
        <v>17</v>
      </c>
      <c r="E13003" t="s">
        <v>12</v>
      </c>
      <c r="F13003">
        <v>56672459</v>
      </c>
      <c r="G13003">
        <v>56672473</v>
      </c>
      <c r="H13003">
        <v>56672459</v>
      </c>
      <c r="I13003">
        <v>56672473</v>
      </c>
    </row>
    <row r="13004" spans="1:9" x14ac:dyDescent="0.2">
      <c r="A13004" t="str">
        <f>"Mphosph9"</f>
        <v>Mphosph9</v>
      </c>
      <c r="B13004" t="s">
        <v>14</v>
      </c>
      <c r="C13004" t="s">
        <v>46</v>
      </c>
      <c r="D13004" t="s">
        <v>11</v>
      </c>
      <c r="E13004" t="s">
        <v>12</v>
      </c>
      <c r="F13004">
        <v>124327812</v>
      </c>
      <c r="G13004">
        <v>124327879</v>
      </c>
      <c r="H13004">
        <v>124327883</v>
      </c>
      <c r="I13004">
        <v>124327894</v>
      </c>
    </row>
    <row r="13005" spans="1:9" x14ac:dyDescent="0.2">
      <c r="A13005" t="str">
        <f>"Mpi"</f>
        <v>Mpi</v>
      </c>
      <c r="B13005" t="s">
        <v>14</v>
      </c>
      <c r="C13005" t="s">
        <v>24</v>
      </c>
      <c r="D13005" t="s">
        <v>11</v>
      </c>
      <c r="E13005" t="s">
        <v>12</v>
      </c>
      <c r="F13005">
        <v>57552722</v>
      </c>
      <c r="G13005">
        <v>57552757</v>
      </c>
      <c r="H13005">
        <v>57552760</v>
      </c>
      <c r="I13005">
        <v>57552771</v>
      </c>
    </row>
    <row r="13006" spans="1:9" x14ac:dyDescent="0.2">
      <c r="A13006" t="str">
        <f>"Mpl"</f>
        <v>Mpl</v>
      </c>
      <c r="B13006" t="s">
        <v>14</v>
      </c>
      <c r="C13006" t="s">
        <v>23</v>
      </c>
      <c r="D13006" t="s">
        <v>11</v>
      </c>
      <c r="E13006" t="s">
        <v>12</v>
      </c>
      <c r="F13006">
        <v>118457467</v>
      </c>
      <c r="G13006">
        <v>118457507</v>
      </c>
      <c r="H13006">
        <v>118457509</v>
      </c>
      <c r="I13006">
        <v>118457515</v>
      </c>
    </row>
    <row r="13007" spans="1:9" x14ac:dyDescent="0.2">
      <c r="A13007" t="str">
        <f>"Mplkip"</f>
        <v>Mplkip</v>
      </c>
      <c r="B13007" t="s">
        <v>14</v>
      </c>
      <c r="C13007" t="s">
        <v>39</v>
      </c>
      <c r="D13007" t="s">
        <v>17</v>
      </c>
      <c r="E13007" t="s">
        <v>67</v>
      </c>
      <c r="F13007">
        <v>17695409</v>
      </c>
      <c r="G13007">
        <v>17695436</v>
      </c>
      <c r="H13007">
        <v>17695409</v>
      </c>
      <c r="I13007">
        <v>17695436</v>
      </c>
    </row>
    <row r="13008" spans="1:9" x14ac:dyDescent="0.2">
      <c r="A13008" t="str">
        <f>"Mpnd"</f>
        <v>Mpnd</v>
      </c>
      <c r="B13008" t="s">
        <v>14</v>
      </c>
      <c r="C13008" t="s">
        <v>28</v>
      </c>
      <c r="D13008" t="s">
        <v>17</v>
      </c>
      <c r="E13008" t="s">
        <v>12</v>
      </c>
      <c r="F13008">
        <v>56009199</v>
      </c>
      <c r="G13008">
        <v>56009243</v>
      </c>
      <c r="H13008">
        <v>56009305</v>
      </c>
      <c r="I13008">
        <v>56009320</v>
      </c>
    </row>
    <row r="13009" spans="1:9" x14ac:dyDescent="0.2">
      <c r="A13009" t="str">
        <f>"Mpo"</f>
        <v>Mpo</v>
      </c>
      <c r="B13009" t="s">
        <v>14</v>
      </c>
      <c r="C13009" t="s">
        <v>27</v>
      </c>
      <c r="D13009" t="s">
        <v>17</v>
      </c>
      <c r="E13009" t="s">
        <v>12</v>
      </c>
      <c r="F13009">
        <v>87793722</v>
      </c>
      <c r="G13009">
        <v>87793805</v>
      </c>
      <c r="H13009">
        <v>87793722</v>
      </c>
      <c r="I13009">
        <v>87793805</v>
      </c>
    </row>
    <row r="13010" spans="1:9" x14ac:dyDescent="0.2">
      <c r="A13010" t="str">
        <f>"Mpp1"</f>
        <v>Mpp1</v>
      </c>
      <c r="B13010" t="s">
        <v>14</v>
      </c>
      <c r="C13010" t="s">
        <v>37</v>
      </c>
      <c r="D13010" t="s">
        <v>11</v>
      </c>
      <c r="E13010" t="s">
        <v>12</v>
      </c>
      <c r="F13010">
        <v>75130914</v>
      </c>
      <c r="G13010">
        <v>75130994</v>
      </c>
      <c r="H13010">
        <v>75130892</v>
      </c>
      <c r="I13010">
        <v>75130905</v>
      </c>
    </row>
    <row r="13011" spans="1:9" x14ac:dyDescent="0.2">
      <c r="A13011" t="str">
        <f>"Mpp2"</f>
        <v>Mpp2</v>
      </c>
      <c r="B13011" t="s">
        <v>14</v>
      </c>
      <c r="C13011" t="s">
        <v>27</v>
      </c>
      <c r="D13011" t="s">
        <v>11</v>
      </c>
      <c r="E13011" t="s">
        <v>12</v>
      </c>
      <c r="F13011">
        <v>102088471</v>
      </c>
      <c r="G13011">
        <v>102088530</v>
      </c>
      <c r="H13011">
        <v>102088439</v>
      </c>
      <c r="I13011">
        <v>102088470</v>
      </c>
    </row>
    <row r="13012" spans="1:9" x14ac:dyDescent="0.2">
      <c r="A13012" t="str">
        <f>"Mpp3"</f>
        <v>Mpp3</v>
      </c>
      <c r="B13012" t="s">
        <v>14</v>
      </c>
      <c r="C13012" t="s">
        <v>27</v>
      </c>
      <c r="D13012" t="s">
        <v>11</v>
      </c>
      <c r="E13012" t="s">
        <v>12</v>
      </c>
      <c r="F13012">
        <v>102026924</v>
      </c>
      <c r="G13012">
        <v>102026962</v>
      </c>
      <c r="H13012">
        <v>102026878</v>
      </c>
      <c r="I13012">
        <v>102026902</v>
      </c>
    </row>
    <row r="13013" spans="1:9" x14ac:dyDescent="0.2">
      <c r="A13013" t="str">
        <f>"Mpp4"</f>
        <v>Mpp4</v>
      </c>
      <c r="B13013" t="s">
        <v>14</v>
      </c>
      <c r="C13013" t="s">
        <v>19</v>
      </c>
      <c r="D13013" t="s">
        <v>11</v>
      </c>
      <c r="E13013" t="s">
        <v>12</v>
      </c>
      <c r="F13013">
        <v>59161594</v>
      </c>
      <c r="G13013">
        <v>59161628</v>
      </c>
      <c r="H13013">
        <v>59161559</v>
      </c>
      <c r="I13013">
        <v>59161593</v>
      </c>
    </row>
    <row r="13014" spans="1:9" x14ac:dyDescent="0.2">
      <c r="A13014" t="str">
        <f>"Mpp5"</f>
        <v>Mpp5</v>
      </c>
      <c r="B13014" t="s">
        <v>14</v>
      </c>
      <c r="C13014" t="s">
        <v>16</v>
      </c>
      <c r="D13014" t="s">
        <v>17</v>
      </c>
      <c r="E13014" t="s">
        <v>12</v>
      </c>
      <c r="F13014">
        <v>78748865</v>
      </c>
      <c r="G13014">
        <v>78748920</v>
      </c>
      <c r="H13014">
        <v>78748996</v>
      </c>
      <c r="I13014">
        <v>78749019</v>
      </c>
    </row>
    <row r="13015" spans="1:9" x14ac:dyDescent="0.2">
      <c r="A13015" t="str">
        <f>"Mpp6"</f>
        <v>Mpp6</v>
      </c>
      <c r="B13015" t="s">
        <v>14</v>
      </c>
      <c r="C13015" t="s">
        <v>32</v>
      </c>
      <c r="D13015" t="s">
        <v>17</v>
      </c>
      <c r="E13015" t="s">
        <v>12</v>
      </c>
      <c r="F13015">
        <v>50110186</v>
      </c>
      <c r="G13015">
        <v>50110295</v>
      </c>
      <c r="H13015">
        <v>50110635</v>
      </c>
      <c r="I13015">
        <v>50110692</v>
      </c>
    </row>
    <row r="13016" spans="1:9" x14ac:dyDescent="0.2">
      <c r="A13016" t="str">
        <f>"Mpp7"</f>
        <v>Mpp7</v>
      </c>
      <c r="B13016" t="s">
        <v>14</v>
      </c>
      <c r="C13016" t="s">
        <v>43</v>
      </c>
      <c r="D13016" t="s">
        <v>11</v>
      </c>
      <c r="E13016" t="s">
        <v>12</v>
      </c>
      <c r="F13016">
        <v>7626809</v>
      </c>
      <c r="G13016">
        <v>7626880</v>
      </c>
      <c r="H13016">
        <v>7626777</v>
      </c>
      <c r="I13016">
        <v>7626792</v>
      </c>
    </row>
    <row r="13017" spans="1:9" x14ac:dyDescent="0.2">
      <c r="A13017" t="str">
        <f>"Mppe1"</f>
        <v>Mppe1</v>
      </c>
      <c r="B13017" t="s">
        <v>14</v>
      </c>
      <c r="C13017" t="s">
        <v>43</v>
      </c>
      <c r="D13017" t="s">
        <v>11</v>
      </c>
      <c r="E13017" t="s">
        <v>12</v>
      </c>
      <c r="F13017">
        <v>67245600</v>
      </c>
      <c r="G13017">
        <v>67245690</v>
      </c>
      <c r="H13017">
        <v>67245448</v>
      </c>
      <c r="I13017">
        <v>67245489</v>
      </c>
    </row>
    <row r="13018" spans="1:9" x14ac:dyDescent="0.2">
      <c r="A13018" t="str">
        <f>"Mpped1"</f>
        <v>Mpped1</v>
      </c>
      <c r="B13018" t="s">
        <v>14</v>
      </c>
      <c r="C13018" t="s">
        <v>25</v>
      </c>
      <c r="D13018" t="s">
        <v>17</v>
      </c>
      <c r="E13018" t="s">
        <v>12</v>
      </c>
      <c r="F13018">
        <v>83780034</v>
      </c>
      <c r="G13018">
        <v>83780086</v>
      </c>
      <c r="H13018">
        <v>83779999</v>
      </c>
      <c r="I13018">
        <v>83780033</v>
      </c>
    </row>
    <row r="13019" spans="1:9" x14ac:dyDescent="0.2">
      <c r="A13019" t="str">
        <f>"Mpped2"</f>
        <v>Mpped2</v>
      </c>
      <c r="B13019" t="s">
        <v>14</v>
      </c>
      <c r="C13019" t="s">
        <v>26</v>
      </c>
      <c r="D13019" t="s">
        <v>17</v>
      </c>
      <c r="E13019" t="s">
        <v>12</v>
      </c>
      <c r="F13019">
        <v>106693445</v>
      </c>
      <c r="G13019">
        <v>106693499</v>
      </c>
      <c r="H13019">
        <v>106693185</v>
      </c>
      <c r="I13019">
        <v>106693278</v>
      </c>
    </row>
    <row r="13020" spans="1:9" x14ac:dyDescent="0.2">
      <c r="A13020" t="str">
        <f>"Mprip"</f>
        <v>Mprip</v>
      </c>
      <c r="B13020" t="s">
        <v>14</v>
      </c>
      <c r="C13020" t="s">
        <v>27</v>
      </c>
      <c r="D13020" t="s">
        <v>17</v>
      </c>
      <c r="E13020" t="s">
        <v>12</v>
      </c>
      <c r="F13020">
        <v>59662471</v>
      </c>
      <c r="G13020">
        <v>59662543</v>
      </c>
      <c r="H13020">
        <v>59662699</v>
      </c>
      <c r="I13020">
        <v>59662759</v>
      </c>
    </row>
    <row r="13021" spans="1:9" x14ac:dyDescent="0.2">
      <c r="A13021" t="str">
        <f>"Mpst"</f>
        <v>Mpst</v>
      </c>
      <c r="B13021" t="s">
        <v>9</v>
      </c>
      <c r="C13021" t="s">
        <v>25</v>
      </c>
      <c r="D13021" t="s">
        <v>17</v>
      </c>
      <c r="E13021" t="s">
        <v>12</v>
      </c>
      <c r="F13021">
        <v>78409954</v>
      </c>
      <c r="G13021">
        <v>78410038</v>
      </c>
      <c r="H13021">
        <v>78409954</v>
      </c>
      <c r="I13021">
        <v>78410038</v>
      </c>
    </row>
    <row r="13022" spans="1:9" x14ac:dyDescent="0.2">
      <c r="A13022" t="str">
        <f>"Mpst"</f>
        <v>Mpst</v>
      </c>
      <c r="B13022" t="s">
        <v>13</v>
      </c>
      <c r="C13022" t="s">
        <v>25</v>
      </c>
      <c r="D13022" t="s">
        <v>17</v>
      </c>
      <c r="E13022" t="s">
        <v>12</v>
      </c>
      <c r="F13022">
        <v>78406695</v>
      </c>
      <c r="G13022">
        <v>78406732</v>
      </c>
      <c r="H13022">
        <v>78406695</v>
      </c>
      <c r="I13022">
        <v>78406732</v>
      </c>
    </row>
    <row r="13023" spans="1:9" x14ac:dyDescent="0.2">
      <c r="A13023" t="str">
        <f>"Mptx1"</f>
        <v>Mptx1</v>
      </c>
      <c r="B13023" t="s">
        <v>14</v>
      </c>
      <c r="C13023" t="s">
        <v>19</v>
      </c>
      <c r="D13023" t="s">
        <v>17</v>
      </c>
      <c r="E13023" t="s">
        <v>67</v>
      </c>
      <c r="F13023">
        <v>174330518</v>
      </c>
      <c r="G13023">
        <v>174330521</v>
      </c>
      <c r="H13023">
        <v>174330518</v>
      </c>
      <c r="I13023">
        <v>174330521</v>
      </c>
    </row>
    <row r="13024" spans="1:9" x14ac:dyDescent="0.2">
      <c r="A13024" t="str">
        <f>"Mptx2"</f>
        <v>Mptx2</v>
      </c>
      <c r="B13024" t="s">
        <v>4309</v>
      </c>
      <c r="C13024" t="s">
        <v>19</v>
      </c>
      <c r="D13024" t="s">
        <v>11</v>
      </c>
      <c r="E13024" t="s">
        <v>20</v>
      </c>
      <c r="F13024">
        <v>173277755</v>
      </c>
      <c r="G13024">
        <v>173277755</v>
      </c>
      <c r="H13024">
        <v>173277755</v>
      </c>
      <c r="I13024">
        <v>173277755</v>
      </c>
    </row>
    <row r="13025" spans="1:9" x14ac:dyDescent="0.2">
      <c r="A13025" t="str">
        <f>"Mpv17"</f>
        <v>Mpv17</v>
      </c>
      <c r="B13025" t="s">
        <v>14</v>
      </c>
      <c r="C13025" t="s">
        <v>46</v>
      </c>
      <c r="D13025" t="s">
        <v>11</v>
      </c>
      <c r="E13025" t="s">
        <v>12</v>
      </c>
      <c r="F13025">
        <v>31154205</v>
      </c>
      <c r="G13025">
        <v>31154253</v>
      </c>
      <c r="H13025">
        <v>31154205</v>
      </c>
      <c r="I13025">
        <v>31154253</v>
      </c>
    </row>
    <row r="13026" spans="1:9" x14ac:dyDescent="0.2">
      <c r="A13026" t="str">
        <f>"Mpv17l"</f>
        <v>Mpv17l</v>
      </c>
      <c r="B13026" t="s">
        <v>4310</v>
      </c>
      <c r="C13026" t="s">
        <v>31</v>
      </c>
      <c r="D13026" t="s">
        <v>17</v>
      </c>
      <c r="E13026" t="s">
        <v>35</v>
      </c>
      <c r="F13026">
        <v>13940737</v>
      </c>
      <c r="G13026">
        <v>13940746</v>
      </c>
      <c r="H13026">
        <v>13940737</v>
      </c>
      <c r="I13026">
        <v>13940746</v>
      </c>
    </row>
    <row r="13027" spans="1:9" x14ac:dyDescent="0.2">
      <c r="A13027" t="str">
        <f>"Mpv17l2"</f>
        <v>Mpv17l2</v>
      </c>
      <c r="B13027" t="s">
        <v>14</v>
      </c>
      <c r="C13027" t="s">
        <v>30</v>
      </c>
      <c r="D13027" t="s">
        <v>11</v>
      </c>
      <c r="E13027" t="s">
        <v>12</v>
      </c>
      <c r="F13027">
        <v>70760889</v>
      </c>
      <c r="G13027">
        <v>70760953</v>
      </c>
      <c r="H13027">
        <v>70760955</v>
      </c>
      <c r="I13027">
        <v>70760968</v>
      </c>
    </row>
    <row r="13028" spans="1:9" x14ac:dyDescent="0.2">
      <c r="A13028" t="str">
        <f>"Mpz"</f>
        <v>Mpz</v>
      </c>
      <c r="B13028" t="s">
        <v>14</v>
      </c>
      <c r="C13028" t="s">
        <v>19</v>
      </c>
      <c r="D13028" t="s">
        <v>17</v>
      </c>
      <c r="E13028" t="s">
        <v>12</v>
      </c>
      <c r="F13028">
        <v>171155512</v>
      </c>
      <c r="G13028">
        <v>171155529</v>
      </c>
      <c r="H13028">
        <v>171155512</v>
      </c>
      <c r="I13028">
        <v>171155529</v>
      </c>
    </row>
    <row r="13029" spans="1:9" x14ac:dyDescent="0.2">
      <c r="A13029" t="str">
        <f>"Mpzl1"</f>
        <v>Mpzl1</v>
      </c>
      <c r="B13029" t="s">
        <v>14</v>
      </c>
      <c r="C13029" t="s">
        <v>19</v>
      </c>
      <c r="D13029" t="s">
        <v>11</v>
      </c>
      <c r="E13029" t="s">
        <v>12</v>
      </c>
      <c r="F13029">
        <v>165634451</v>
      </c>
      <c r="G13029">
        <v>165634576</v>
      </c>
      <c r="H13029">
        <v>165634451</v>
      </c>
      <c r="I13029">
        <v>165634576</v>
      </c>
    </row>
    <row r="13030" spans="1:9" x14ac:dyDescent="0.2">
      <c r="A13030" t="str">
        <f>"Mpzl2"</f>
        <v>Mpzl2</v>
      </c>
      <c r="B13030" t="s">
        <v>14</v>
      </c>
      <c r="C13030" t="s">
        <v>24</v>
      </c>
      <c r="D13030" t="s">
        <v>17</v>
      </c>
      <c r="E13030" t="s">
        <v>12</v>
      </c>
      <c r="F13030">
        <v>45042565</v>
      </c>
      <c r="G13030">
        <v>45042623</v>
      </c>
      <c r="H13030">
        <v>45042565</v>
      </c>
      <c r="I13030">
        <v>45042623</v>
      </c>
    </row>
    <row r="13031" spans="1:9" x14ac:dyDescent="0.2">
      <c r="A13031" t="str">
        <f>"Mpzl3"</f>
        <v>Mpzl3</v>
      </c>
      <c r="B13031" t="s">
        <v>14</v>
      </c>
      <c r="C13031" t="s">
        <v>24</v>
      </c>
      <c r="D13031" t="s">
        <v>17</v>
      </c>
      <c r="E13031" t="s">
        <v>12</v>
      </c>
      <c r="F13031">
        <v>45055228</v>
      </c>
      <c r="G13031">
        <v>45055243</v>
      </c>
      <c r="H13031">
        <v>45055166</v>
      </c>
      <c r="I13031">
        <v>45055195</v>
      </c>
    </row>
    <row r="13032" spans="1:9" x14ac:dyDescent="0.2">
      <c r="A13032" t="str">
        <f>"Mr1"</f>
        <v>Mr1</v>
      </c>
      <c r="B13032" t="s">
        <v>14</v>
      </c>
      <c r="C13032" t="s">
        <v>19</v>
      </c>
      <c r="D13032" t="s">
        <v>11</v>
      </c>
      <c r="E13032" t="s">
        <v>12</v>
      </c>
      <c r="F13032">
        <v>155146791</v>
      </c>
      <c r="G13032">
        <v>155146820</v>
      </c>
      <c r="H13032">
        <v>155146755</v>
      </c>
      <c r="I13032">
        <v>155146789</v>
      </c>
    </row>
    <row r="13033" spans="1:9" x14ac:dyDescent="0.2">
      <c r="A13033" t="str">
        <f>"Mrap"</f>
        <v>Mrap</v>
      </c>
      <c r="B13033" t="s">
        <v>14</v>
      </c>
      <c r="C13033" t="s">
        <v>31</v>
      </c>
      <c r="D13033" t="s">
        <v>17</v>
      </c>
      <c r="E13033" t="s">
        <v>12</v>
      </c>
      <c r="F13033">
        <v>90738344</v>
      </c>
      <c r="G13033">
        <v>90738430</v>
      </c>
      <c r="H13033">
        <v>90738440</v>
      </c>
      <c r="I13033">
        <v>90738458</v>
      </c>
    </row>
    <row r="13034" spans="1:9" x14ac:dyDescent="0.2">
      <c r="A13034" t="str">
        <f>"Mrap2"</f>
        <v>Mrap2</v>
      </c>
      <c r="B13034" t="s">
        <v>14</v>
      </c>
      <c r="C13034" t="s">
        <v>24</v>
      </c>
      <c r="D13034" t="s">
        <v>17</v>
      </c>
      <c r="E13034" t="s">
        <v>12</v>
      </c>
      <c r="F13034">
        <v>87144285</v>
      </c>
      <c r="G13034">
        <v>87144317</v>
      </c>
      <c r="H13034">
        <v>87144120</v>
      </c>
      <c r="I13034">
        <v>87144152</v>
      </c>
    </row>
    <row r="13035" spans="1:9" x14ac:dyDescent="0.2">
      <c r="A13035" t="str">
        <f>"Mras"</f>
        <v>Mras</v>
      </c>
      <c r="B13035" t="s">
        <v>14</v>
      </c>
      <c r="C13035" t="s">
        <v>24</v>
      </c>
      <c r="D13035" t="s">
        <v>11</v>
      </c>
      <c r="E13035" t="s">
        <v>12</v>
      </c>
      <c r="F13035">
        <v>99436687</v>
      </c>
      <c r="G13035">
        <v>99436733</v>
      </c>
      <c r="H13035">
        <v>99436470</v>
      </c>
      <c r="I13035">
        <v>99436533</v>
      </c>
    </row>
    <row r="13036" spans="1:9" x14ac:dyDescent="0.2">
      <c r="A13036" t="str">
        <f>"Mrc1"</f>
        <v>Mrc1</v>
      </c>
      <c r="B13036" t="s">
        <v>14</v>
      </c>
      <c r="C13036" t="s">
        <v>26</v>
      </c>
      <c r="D13036" t="s">
        <v>17</v>
      </c>
      <c r="E13036" t="s">
        <v>12</v>
      </c>
      <c r="F13036">
        <v>14229390</v>
      </c>
      <c r="G13036">
        <v>14229404</v>
      </c>
      <c r="H13036">
        <v>14229390</v>
      </c>
      <c r="I13036">
        <v>14229404</v>
      </c>
    </row>
    <row r="13037" spans="1:9" x14ac:dyDescent="0.2">
      <c r="A13037" t="str">
        <f>"Mrc2"</f>
        <v>Mrc2</v>
      </c>
      <c r="B13037" t="s">
        <v>14</v>
      </c>
      <c r="C13037" t="s">
        <v>27</v>
      </c>
      <c r="D13037" t="s">
        <v>17</v>
      </c>
      <c r="E13037" t="s">
        <v>12</v>
      </c>
      <c r="F13037">
        <v>105292637</v>
      </c>
      <c r="G13037">
        <v>105292669</v>
      </c>
      <c r="H13037">
        <v>105292677</v>
      </c>
      <c r="I13037">
        <v>105292692</v>
      </c>
    </row>
    <row r="13038" spans="1:9" x14ac:dyDescent="0.2">
      <c r="A13038" t="str">
        <f>"Mre11a"</f>
        <v>Mre11a</v>
      </c>
      <c r="B13038" t="s">
        <v>14</v>
      </c>
      <c r="C13038" t="s">
        <v>24</v>
      </c>
      <c r="D13038" t="s">
        <v>17</v>
      </c>
      <c r="E13038" t="s">
        <v>12</v>
      </c>
      <c r="F13038">
        <v>14784660</v>
      </c>
      <c r="G13038">
        <v>14784702</v>
      </c>
      <c r="H13038">
        <v>14784718</v>
      </c>
      <c r="I13038">
        <v>14784758</v>
      </c>
    </row>
    <row r="13039" spans="1:9" x14ac:dyDescent="0.2">
      <c r="A13039" t="str">
        <f>"Mreg"</f>
        <v>Mreg</v>
      </c>
      <c r="B13039" t="s">
        <v>14</v>
      </c>
      <c r="C13039" t="s">
        <v>19</v>
      </c>
      <c r="D13039" t="s">
        <v>11</v>
      </c>
      <c r="E13039" t="s">
        <v>12</v>
      </c>
      <c r="F13039">
        <v>72212249</v>
      </c>
      <c r="G13039">
        <v>72212267</v>
      </c>
      <c r="H13039">
        <v>72212311</v>
      </c>
      <c r="I13039">
        <v>72212316</v>
      </c>
    </row>
    <row r="13040" spans="1:9" x14ac:dyDescent="0.2">
      <c r="A13040" t="str">
        <f>"Mrfap1"</f>
        <v>Mrfap1</v>
      </c>
      <c r="B13040" t="s">
        <v>14</v>
      </c>
      <c r="C13040" t="s">
        <v>46</v>
      </c>
      <c r="D13040" t="s">
        <v>11</v>
      </c>
      <c r="E13040" t="s">
        <v>12</v>
      </c>
      <c r="F13040">
        <v>36796722</v>
      </c>
      <c r="G13040">
        <v>36796744</v>
      </c>
      <c r="H13040">
        <v>36796703</v>
      </c>
      <c r="I13040">
        <v>36796706</v>
      </c>
    </row>
    <row r="13041" spans="1:9" x14ac:dyDescent="0.2">
      <c r="A13041" t="str">
        <f>"Mrgbp"</f>
        <v>Mrgbp</v>
      </c>
      <c r="B13041" t="s">
        <v>14</v>
      </c>
      <c r="C13041" t="s">
        <v>26</v>
      </c>
      <c r="D13041" t="s">
        <v>17</v>
      </c>
      <c r="E13041" t="s">
        <v>67</v>
      </c>
      <c r="F13041">
        <v>180582750</v>
      </c>
      <c r="G13041">
        <v>180582777</v>
      </c>
      <c r="H13041">
        <v>180582726</v>
      </c>
      <c r="I13041">
        <v>180582742</v>
      </c>
    </row>
    <row r="13042" spans="1:9" x14ac:dyDescent="0.2">
      <c r="A13042" t="str">
        <f>"Mrgpra1"</f>
        <v>Mrgpra1</v>
      </c>
      <c r="B13042" t="s">
        <v>14</v>
      </c>
      <c r="C13042" t="s">
        <v>33</v>
      </c>
      <c r="D13042" t="s">
        <v>11</v>
      </c>
      <c r="E13042" t="s">
        <v>12</v>
      </c>
      <c r="F13042">
        <v>47354279</v>
      </c>
      <c r="G13042">
        <v>47354281</v>
      </c>
      <c r="H13042">
        <v>47354279</v>
      </c>
      <c r="I13042">
        <v>47354281</v>
      </c>
    </row>
    <row r="13043" spans="1:9" x14ac:dyDescent="0.2">
      <c r="A13043" t="str">
        <f>"Mrgpra2a"</f>
        <v>Mrgpra2a</v>
      </c>
      <c r="B13043" t="s">
        <v>4311</v>
      </c>
      <c r="C13043" t="s">
        <v>33</v>
      </c>
      <c r="D13043" t="s">
        <v>11</v>
      </c>
      <c r="E13043" t="s">
        <v>20</v>
      </c>
      <c r="F13043">
        <v>47452138</v>
      </c>
      <c r="G13043">
        <v>47452138</v>
      </c>
      <c r="H13043">
        <v>47452138</v>
      </c>
      <c r="I13043">
        <v>47452138</v>
      </c>
    </row>
    <row r="13044" spans="1:9" x14ac:dyDescent="0.2">
      <c r="A13044" t="str">
        <f>"Mrgpra2b"</f>
        <v>Mrgpra2b</v>
      </c>
      <c r="B13044" t="s">
        <v>4312</v>
      </c>
      <c r="C13044" t="s">
        <v>33</v>
      </c>
      <c r="D13044" t="s">
        <v>11</v>
      </c>
      <c r="E13044" t="s">
        <v>20</v>
      </c>
      <c r="F13044">
        <v>47489585</v>
      </c>
      <c r="G13044">
        <v>47489585</v>
      </c>
      <c r="H13044">
        <v>47489585</v>
      </c>
      <c r="I13044">
        <v>47489585</v>
      </c>
    </row>
    <row r="13045" spans="1:9" x14ac:dyDescent="0.2">
      <c r="A13045" t="str">
        <f>"Mrgpra2b"</f>
        <v>Mrgpra2b</v>
      </c>
      <c r="B13045" t="s">
        <v>4313</v>
      </c>
      <c r="C13045" t="s">
        <v>33</v>
      </c>
      <c r="D13045" t="s">
        <v>11</v>
      </c>
      <c r="E13045" t="s">
        <v>20</v>
      </c>
      <c r="F13045">
        <v>47528861</v>
      </c>
      <c r="G13045">
        <v>47528861</v>
      </c>
      <c r="H13045">
        <v>47528861</v>
      </c>
      <c r="I13045">
        <v>47528861</v>
      </c>
    </row>
    <row r="13046" spans="1:9" x14ac:dyDescent="0.2">
      <c r="A13046" t="str">
        <f>"Mrgpra3"</f>
        <v>Mrgpra3</v>
      </c>
      <c r="B13046" t="s">
        <v>4314</v>
      </c>
      <c r="C13046" t="s">
        <v>33</v>
      </c>
      <c r="D13046" t="s">
        <v>11</v>
      </c>
      <c r="E13046" t="s">
        <v>20</v>
      </c>
      <c r="F13046">
        <v>47601371</v>
      </c>
      <c r="G13046">
        <v>47601371</v>
      </c>
      <c r="H13046">
        <v>47601371</v>
      </c>
      <c r="I13046">
        <v>47601371</v>
      </c>
    </row>
    <row r="13047" spans="1:9" x14ac:dyDescent="0.2">
      <c r="A13047" t="str">
        <f>"Mrgpra4"</f>
        <v>Mrgpra4</v>
      </c>
      <c r="B13047" t="s">
        <v>4315</v>
      </c>
      <c r="C13047" t="s">
        <v>33</v>
      </c>
      <c r="D13047" t="s">
        <v>11</v>
      </c>
      <c r="E13047" t="s">
        <v>20</v>
      </c>
      <c r="F13047">
        <v>47982295</v>
      </c>
      <c r="G13047">
        <v>47982295</v>
      </c>
      <c r="H13047">
        <v>47982295</v>
      </c>
      <c r="I13047">
        <v>47982295</v>
      </c>
    </row>
    <row r="13048" spans="1:9" x14ac:dyDescent="0.2">
      <c r="A13048" t="str">
        <f>"Mrgpra6"</f>
        <v>Mrgpra6</v>
      </c>
      <c r="B13048" t="s">
        <v>4316</v>
      </c>
      <c r="C13048" t="s">
        <v>33</v>
      </c>
      <c r="D13048" t="s">
        <v>11</v>
      </c>
      <c r="E13048" t="s">
        <v>20</v>
      </c>
      <c r="F13048">
        <v>47189415</v>
      </c>
      <c r="G13048">
        <v>47189415</v>
      </c>
      <c r="H13048">
        <v>47189415</v>
      </c>
      <c r="I13048">
        <v>47189415</v>
      </c>
    </row>
    <row r="13049" spans="1:9" x14ac:dyDescent="0.2">
      <c r="A13049" t="str">
        <f>"Mrgpra9"</f>
        <v>Mrgpra9</v>
      </c>
      <c r="B13049" t="s">
        <v>14</v>
      </c>
      <c r="C13049" t="s">
        <v>33</v>
      </c>
      <c r="D13049" t="s">
        <v>11</v>
      </c>
      <c r="E13049" t="s">
        <v>12</v>
      </c>
      <c r="F13049">
        <v>47252850</v>
      </c>
      <c r="G13049">
        <v>47252861</v>
      </c>
      <c r="H13049">
        <v>47252874</v>
      </c>
      <c r="I13049">
        <v>47252883</v>
      </c>
    </row>
    <row r="13050" spans="1:9" x14ac:dyDescent="0.2">
      <c r="A13050" t="str">
        <f>"Mrgprb1"</f>
        <v>Mrgprb1</v>
      </c>
      <c r="B13050" t="s">
        <v>14</v>
      </c>
      <c r="C13050" t="s">
        <v>33</v>
      </c>
      <c r="D13050" t="s">
        <v>11</v>
      </c>
      <c r="E13050" t="s">
        <v>12</v>
      </c>
      <c r="F13050">
        <v>48456290</v>
      </c>
      <c r="G13050">
        <v>48456319</v>
      </c>
      <c r="H13050">
        <v>48456331</v>
      </c>
      <c r="I13050">
        <v>48456345</v>
      </c>
    </row>
    <row r="13051" spans="1:9" x14ac:dyDescent="0.2">
      <c r="A13051" t="str">
        <f>"Mrgprb2"</f>
        <v>Mrgprb2</v>
      </c>
      <c r="B13051" t="s">
        <v>14</v>
      </c>
      <c r="C13051" t="s">
        <v>33</v>
      </c>
      <c r="D13051" t="s">
        <v>11</v>
      </c>
      <c r="E13051" t="s">
        <v>12</v>
      </c>
      <c r="F13051">
        <v>48558066</v>
      </c>
      <c r="G13051">
        <v>48558094</v>
      </c>
      <c r="H13051">
        <v>48558066</v>
      </c>
      <c r="I13051">
        <v>48558094</v>
      </c>
    </row>
    <row r="13052" spans="1:9" x14ac:dyDescent="0.2">
      <c r="A13052" t="str">
        <f>"Mrgprb3"</f>
        <v>Mrgprb3</v>
      </c>
      <c r="B13052" t="s">
        <v>4317</v>
      </c>
      <c r="C13052" t="s">
        <v>33</v>
      </c>
      <c r="D13052" t="s">
        <v>11</v>
      </c>
      <c r="E13052" t="s">
        <v>20</v>
      </c>
      <c r="F13052">
        <v>48643800</v>
      </c>
      <c r="G13052">
        <v>48643800</v>
      </c>
      <c r="H13052">
        <v>48643800</v>
      </c>
      <c r="I13052">
        <v>48643800</v>
      </c>
    </row>
    <row r="13053" spans="1:9" x14ac:dyDescent="0.2">
      <c r="A13053" t="str">
        <f>"Mrgprb4"</f>
        <v>Mrgprb4</v>
      </c>
      <c r="B13053" t="s">
        <v>4318</v>
      </c>
      <c r="C13053" t="s">
        <v>33</v>
      </c>
      <c r="D13053" t="s">
        <v>11</v>
      </c>
      <c r="E13053" t="s">
        <v>20</v>
      </c>
      <c r="F13053">
        <v>48199177</v>
      </c>
      <c r="G13053">
        <v>48199177</v>
      </c>
      <c r="H13053">
        <v>48199177</v>
      </c>
      <c r="I13053">
        <v>48199177</v>
      </c>
    </row>
    <row r="13054" spans="1:9" x14ac:dyDescent="0.2">
      <c r="A13054" t="str">
        <f>"Mrgprb5"</f>
        <v>Mrgprb5</v>
      </c>
      <c r="B13054" t="s">
        <v>4319</v>
      </c>
      <c r="C13054" t="s">
        <v>33</v>
      </c>
      <c r="D13054" t="s">
        <v>11</v>
      </c>
      <c r="E13054" t="s">
        <v>20</v>
      </c>
      <c r="F13054">
        <v>48169013</v>
      </c>
      <c r="G13054">
        <v>48169013</v>
      </c>
      <c r="H13054">
        <v>48169013</v>
      </c>
      <c r="I13054">
        <v>48169013</v>
      </c>
    </row>
    <row r="13055" spans="1:9" x14ac:dyDescent="0.2">
      <c r="A13055" t="str">
        <f>"Mrgprb8"</f>
        <v>Mrgprb8</v>
      </c>
      <c r="B13055" t="s">
        <v>4320</v>
      </c>
      <c r="C13055" t="s">
        <v>33</v>
      </c>
      <c r="D13055" t="s">
        <v>17</v>
      </c>
      <c r="E13055" t="s">
        <v>20</v>
      </c>
      <c r="F13055">
        <v>48388525</v>
      </c>
      <c r="G13055">
        <v>48388525</v>
      </c>
      <c r="H13055">
        <v>48388525</v>
      </c>
      <c r="I13055">
        <v>48388525</v>
      </c>
    </row>
    <row r="13056" spans="1:9" x14ac:dyDescent="0.2">
      <c r="A13056" t="str">
        <f>"Mrgprd"</f>
        <v>Mrgprd</v>
      </c>
      <c r="B13056" t="s">
        <v>4321</v>
      </c>
      <c r="C13056" t="s">
        <v>33</v>
      </c>
      <c r="D13056" t="s">
        <v>17</v>
      </c>
      <c r="E13056" t="s">
        <v>20</v>
      </c>
      <c r="F13056">
        <v>145314834</v>
      </c>
      <c r="G13056">
        <v>145314834</v>
      </c>
      <c r="H13056">
        <v>145314834</v>
      </c>
      <c r="I13056">
        <v>145314834</v>
      </c>
    </row>
    <row r="13057" spans="1:9" x14ac:dyDescent="0.2">
      <c r="A13057" t="str">
        <f>"Mrgpre"</f>
        <v>Mrgpre</v>
      </c>
      <c r="B13057" t="s">
        <v>14</v>
      </c>
      <c r="C13057" t="s">
        <v>33</v>
      </c>
      <c r="D13057" t="s">
        <v>11</v>
      </c>
      <c r="E13057" t="s">
        <v>12</v>
      </c>
      <c r="F13057">
        <v>143784275</v>
      </c>
      <c r="G13057">
        <v>143784326</v>
      </c>
      <c r="H13057">
        <v>143784275</v>
      </c>
      <c r="I13057">
        <v>143784326</v>
      </c>
    </row>
    <row r="13058" spans="1:9" x14ac:dyDescent="0.2">
      <c r="A13058" t="str">
        <f>"Mrgprf"</f>
        <v>Mrgprf</v>
      </c>
      <c r="B13058" t="s">
        <v>14</v>
      </c>
      <c r="C13058" t="s">
        <v>33</v>
      </c>
      <c r="D13058" t="s">
        <v>17</v>
      </c>
      <c r="E13058" t="s">
        <v>12</v>
      </c>
      <c r="F13058">
        <v>145300889</v>
      </c>
      <c r="G13058">
        <v>145300910</v>
      </c>
      <c r="H13058">
        <v>145300806</v>
      </c>
      <c r="I13058">
        <v>145300831</v>
      </c>
    </row>
    <row r="13059" spans="1:9" x14ac:dyDescent="0.2">
      <c r="A13059" t="str">
        <f>"Mrgprg"</f>
        <v>Mrgprg</v>
      </c>
      <c r="B13059" t="s">
        <v>14</v>
      </c>
      <c r="C13059" t="s">
        <v>33</v>
      </c>
      <c r="D13059" t="s">
        <v>11</v>
      </c>
      <c r="E13059" t="s">
        <v>12</v>
      </c>
      <c r="F13059">
        <v>143766916</v>
      </c>
      <c r="G13059">
        <v>143766928</v>
      </c>
      <c r="H13059">
        <v>143766985</v>
      </c>
      <c r="I13059">
        <v>143766996</v>
      </c>
    </row>
    <row r="13060" spans="1:9" x14ac:dyDescent="0.2">
      <c r="A13060" t="str">
        <f>"Mrgprh"</f>
        <v>Mrgprh</v>
      </c>
      <c r="B13060" t="s">
        <v>4322</v>
      </c>
      <c r="C13060" t="s">
        <v>28</v>
      </c>
      <c r="D13060" t="s">
        <v>17</v>
      </c>
      <c r="E13060" t="s">
        <v>20</v>
      </c>
      <c r="F13060">
        <v>12876033</v>
      </c>
      <c r="G13060">
        <v>12876033</v>
      </c>
      <c r="H13060">
        <v>12876033</v>
      </c>
      <c r="I13060">
        <v>12876033</v>
      </c>
    </row>
    <row r="13061" spans="1:9" x14ac:dyDescent="0.2">
      <c r="A13061" t="str">
        <f>"Mrgprx1"</f>
        <v>Mrgprx1</v>
      </c>
      <c r="B13061" t="s">
        <v>14</v>
      </c>
      <c r="C13061" t="s">
        <v>33</v>
      </c>
      <c r="D13061" t="s">
        <v>11</v>
      </c>
      <c r="E13061" t="s">
        <v>12</v>
      </c>
      <c r="F13061">
        <v>48027609</v>
      </c>
      <c r="G13061">
        <v>48027619</v>
      </c>
      <c r="H13061">
        <v>48027609</v>
      </c>
      <c r="I13061">
        <v>48027619</v>
      </c>
    </row>
    <row r="13062" spans="1:9" x14ac:dyDescent="0.2">
      <c r="A13062" t="str">
        <f>"Mrgprx2"</f>
        <v>Mrgprx2</v>
      </c>
      <c r="B13062" t="s">
        <v>14</v>
      </c>
      <c r="C13062" t="s">
        <v>33</v>
      </c>
      <c r="D13062" t="s">
        <v>11</v>
      </c>
      <c r="E13062" t="s">
        <v>12</v>
      </c>
      <c r="F13062">
        <v>48499244</v>
      </c>
      <c r="G13062">
        <v>48499268</v>
      </c>
      <c r="H13062">
        <v>48499244</v>
      </c>
      <c r="I13062">
        <v>48499268</v>
      </c>
    </row>
    <row r="13063" spans="1:9" x14ac:dyDescent="0.2">
      <c r="A13063" t="str">
        <f>"Mrgprx3-ps"</f>
        <v>Mrgprx3-ps</v>
      </c>
      <c r="B13063" t="s">
        <v>4323</v>
      </c>
      <c r="C13063" t="s">
        <v>33</v>
      </c>
      <c r="D13063" t="s">
        <v>11</v>
      </c>
      <c r="E13063" t="s">
        <v>20</v>
      </c>
      <c r="F13063">
        <v>47310240</v>
      </c>
      <c r="G13063">
        <v>47310240</v>
      </c>
      <c r="H13063">
        <v>47310240</v>
      </c>
      <c r="I13063">
        <v>47310240</v>
      </c>
    </row>
    <row r="13064" spans="1:9" x14ac:dyDescent="0.2">
      <c r="A13064" t="str">
        <f>"Mri1"</f>
        <v>Mri1</v>
      </c>
      <c r="B13064" t="s">
        <v>14</v>
      </c>
      <c r="C13064" t="s">
        <v>30</v>
      </c>
      <c r="D13064" t="s">
        <v>11</v>
      </c>
      <c r="E13064" t="s">
        <v>12</v>
      </c>
      <c r="F13064">
        <v>84257262</v>
      </c>
      <c r="G13064">
        <v>84257301</v>
      </c>
      <c r="H13064">
        <v>84257311</v>
      </c>
      <c r="I13064">
        <v>84257325</v>
      </c>
    </row>
    <row r="13065" spans="1:9" x14ac:dyDescent="0.2">
      <c r="A13065" t="str">
        <f>"Mrm1"</f>
        <v>Mrm1</v>
      </c>
      <c r="B13065" t="s">
        <v>14</v>
      </c>
      <c r="C13065" t="s">
        <v>27</v>
      </c>
      <c r="D13065" t="s">
        <v>11</v>
      </c>
      <c r="E13065" t="s">
        <v>12</v>
      </c>
      <c r="F13065">
        <v>84819390</v>
      </c>
      <c r="G13065">
        <v>84819415</v>
      </c>
      <c r="H13065">
        <v>84819475</v>
      </c>
      <c r="I13065">
        <v>84819505</v>
      </c>
    </row>
    <row r="13066" spans="1:9" x14ac:dyDescent="0.2">
      <c r="A13066" t="str">
        <f>"Mro"</f>
        <v>Mro</v>
      </c>
      <c r="B13066" t="s">
        <v>9</v>
      </c>
      <c r="C13066" t="s">
        <v>43</v>
      </c>
      <c r="D13066" t="s">
        <v>17</v>
      </c>
      <c r="E13066" t="s">
        <v>12</v>
      </c>
      <c r="F13066">
        <v>73859366</v>
      </c>
      <c r="G13066">
        <v>73859399</v>
      </c>
      <c r="H13066">
        <v>73859366</v>
      </c>
      <c r="I13066">
        <v>73859399</v>
      </c>
    </row>
    <row r="13067" spans="1:9" x14ac:dyDescent="0.2">
      <c r="A13067" t="str">
        <f>"Mro"</f>
        <v>Mro</v>
      </c>
      <c r="B13067" t="s">
        <v>13</v>
      </c>
      <c r="C13067" t="s">
        <v>43</v>
      </c>
      <c r="D13067" t="s">
        <v>17</v>
      </c>
      <c r="E13067" t="s">
        <v>12</v>
      </c>
      <c r="F13067">
        <v>73863615</v>
      </c>
      <c r="G13067">
        <v>73863648</v>
      </c>
      <c r="H13067">
        <v>73863615</v>
      </c>
      <c r="I13067">
        <v>73863648</v>
      </c>
    </row>
    <row r="13068" spans="1:9" x14ac:dyDescent="0.2">
      <c r="A13068" t="str">
        <f>"Mroh1"</f>
        <v>Mroh1</v>
      </c>
      <c r="B13068" t="s">
        <v>14</v>
      </c>
      <c r="C13068" t="s">
        <v>25</v>
      </c>
      <c r="D13068" t="s">
        <v>17</v>
      </c>
      <c r="E13068" t="s">
        <v>67</v>
      </c>
      <c r="F13068">
        <v>76380492</v>
      </c>
      <c r="G13068">
        <v>76380542</v>
      </c>
      <c r="H13068">
        <v>76380492</v>
      </c>
      <c r="I13068">
        <v>76380542</v>
      </c>
    </row>
    <row r="13069" spans="1:9" x14ac:dyDescent="0.2">
      <c r="A13069" t="str">
        <f>"Mroh2a"</f>
        <v>Mroh2a</v>
      </c>
      <c r="B13069" t="s">
        <v>14</v>
      </c>
      <c r="C13069" t="s">
        <v>19</v>
      </c>
      <c r="D13069" t="s">
        <v>17</v>
      </c>
      <c r="E13069" t="s">
        <v>67</v>
      </c>
      <c r="F13069">
        <v>88227005</v>
      </c>
      <c r="G13069">
        <v>88227064</v>
      </c>
      <c r="H13069">
        <v>88227005</v>
      </c>
      <c r="I13069">
        <v>88227064</v>
      </c>
    </row>
    <row r="13070" spans="1:9" x14ac:dyDescent="0.2">
      <c r="A13070" t="str">
        <f>"Mroh2b"</f>
        <v>Mroh2b</v>
      </c>
      <c r="B13070" t="s">
        <v>14</v>
      </c>
      <c r="C13070" t="s">
        <v>25</v>
      </c>
      <c r="D13070" t="s">
        <v>17</v>
      </c>
      <c r="E13070" t="s">
        <v>67</v>
      </c>
      <c r="F13070">
        <v>4898678</v>
      </c>
      <c r="G13070">
        <v>4898757</v>
      </c>
      <c r="H13070">
        <v>4898678</v>
      </c>
      <c r="I13070">
        <v>4898757</v>
      </c>
    </row>
    <row r="13071" spans="1:9" x14ac:dyDescent="0.2">
      <c r="A13071" t="str">
        <f>"Mroh3"</f>
        <v>Mroh3</v>
      </c>
      <c r="B13071" t="s">
        <v>4324</v>
      </c>
      <c r="C13071" t="s">
        <v>19</v>
      </c>
      <c r="D13071" t="s">
        <v>11</v>
      </c>
      <c r="E13071" t="s">
        <v>20</v>
      </c>
      <c r="F13071">
        <v>136190711</v>
      </c>
      <c r="G13071">
        <v>136190711</v>
      </c>
      <c r="H13071">
        <v>136190711</v>
      </c>
      <c r="I13071">
        <v>136190711</v>
      </c>
    </row>
    <row r="13072" spans="1:9" x14ac:dyDescent="0.2">
      <c r="A13072" t="str">
        <f>"Mroh3"</f>
        <v>Mroh3</v>
      </c>
      <c r="B13072" t="s">
        <v>4325</v>
      </c>
      <c r="C13072" t="s">
        <v>19</v>
      </c>
      <c r="D13072" t="s">
        <v>11</v>
      </c>
      <c r="E13072" t="s">
        <v>20</v>
      </c>
      <c r="F13072">
        <v>136199597</v>
      </c>
      <c r="G13072">
        <v>136199597</v>
      </c>
      <c r="H13072">
        <v>136199597</v>
      </c>
      <c r="I13072">
        <v>136199597</v>
      </c>
    </row>
    <row r="13073" spans="1:9" x14ac:dyDescent="0.2">
      <c r="A13073" t="str">
        <f>"Mroh3"</f>
        <v>Mroh3</v>
      </c>
      <c r="B13073" t="s">
        <v>4326</v>
      </c>
      <c r="C13073" t="s">
        <v>19</v>
      </c>
      <c r="D13073" t="s">
        <v>11</v>
      </c>
      <c r="E13073" t="s">
        <v>20</v>
      </c>
      <c r="F13073">
        <v>136207096</v>
      </c>
      <c r="G13073">
        <v>136207096</v>
      </c>
      <c r="H13073">
        <v>136207096</v>
      </c>
      <c r="I13073">
        <v>136207096</v>
      </c>
    </row>
    <row r="13074" spans="1:9" x14ac:dyDescent="0.2">
      <c r="A13074" t="str">
        <f>"Mroh4"</f>
        <v>Mroh4</v>
      </c>
      <c r="B13074" t="s">
        <v>14</v>
      </c>
      <c r="C13074" t="s">
        <v>25</v>
      </c>
      <c r="D13074" t="s">
        <v>11</v>
      </c>
      <c r="E13074" t="s">
        <v>67</v>
      </c>
      <c r="F13074">
        <v>74636292</v>
      </c>
      <c r="G13074">
        <v>74636330</v>
      </c>
      <c r="H13074">
        <v>74636241</v>
      </c>
      <c r="I13074">
        <v>74636267</v>
      </c>
    </row>
    <row r="13075" spans="1:9" x14ac:dyDescent="0.2">
      <c r="A13075" t="str">
        <f>"Mroh5"</f>
        <v>Mroh5</v>
      </c>
      <c r="B13075" t="s">
        <v>4327</v>
      </c>
      <c r="C13075" t="s">
        <v>25</v>
      </c>
      <c r="D13075" t="s">
        <v>11</v>
      </c>
      <c r="E13075" t="s">
        <v>20</v>
      </c>
      <c r="F13075">
        <v>73839670</v>
      </c>
      <c r="G13075">
        <v>73839670</v>
      </c>
      <c r="H13075">
        <v>73839670</v>
      </c>
      <c r="I13075">
        <v>73839670</v>
      </c>
    </row>
    <row r="13076" spans="1:9" x14ac:dyDescent="0.2">
      <c r="A13076" t="str">
        <f>"Mroh5"</f>
        <v>Mroh5</v>
      </c>
      <c r="B13076" t="s">
        <v>4328</v>
      </c>
      <c r="C13076" t="s">
        <v>25</v>
      </c>
      <c r="D13076" t="s">
        <v>11</v>
      </c>
      <c r="E13076" t="s">
        <v>20</v>
      </c>
      <c r="F13076">
        <v>73819409</v>
      </c>
      <c r="G13076">
        <v>73819409</v>
      </c>
      <c r="H13076">
        <v>73819409</v>
      </c>
      <c r="I13076">
        <v>73819409</v>
      </c>
    </row>
    <row r="13077" spans="1:9" x14ac:dyDescent="0.2">
      <c r="A13077" t="str">
        <f>"Mroh6"</f>
        <v>Mroh6</v>
      </c>
      <c r="B13077" t="s">
        <v>4329</v>
      </c>
      <c r="C13077" t="s">
        <v>25</v>
      </c>
      <c r="D13077" t="s">
        <v>11</v>
      </c>
      <c r="E13077" t="s">
        <v>20</v>
      </c>
      <c r="F13077">
        <v>75888769</v>
      </c>
      <c r="G13077">
        <v>75888769</v>
      </c>
      <c r="H13077">
        <v>75888769</v>
      </c>
      <c r="I13077">
        <v>75888769</v>
      </c>
    </row>
    <row r="13078" spans="1:9" x14ac:dyDescent="0.2">
      <c r="A13078" t="str">
        <f>"Mroh7"</f>
        <v>Mroh7</v>
      </c>
      <c r="B13078" t="s">
        <v>4330</v>
      </c>
      <c r="C13078" t="s">
        <v>23</v>
      </c>
      <c r="D13078" t="s">
        <v>11</v>
      </c>
      <c r="E13078" t="s">
        <v>35</v>
      </c>
      <c r="F13078">
        <v>106727907</v>
      </c>
      <c r="G13078">
        <v>106727955</v>
      </c>
      <c r="H13078">
        <v>106727907</v>
      </c>
      <c r="I13078">
        <v>106727955</v>
      </c>
    </row>
    <row r="13079" spans="1:9" x14ac:dyDescent="0.2">
      <c r="A13079" t="str">
        <f>"Mroh8"</f>
        <v>Mroh8</v>
      </c>
      <c r="B13079" t="s">
        <v>14</v>
      </c>
      <c r="C13079" t="s">
        <v>26</v>
      </c>
      <c r="D13079" t="s">
        <v>11</v>
      </c>
      <c r="E13079" t="s">
        <v>67</v>
      </c>
      <c r="F13079">
        <v>157279519</v>
      </c>
      <c r="G13079">
        <v>157279555</v>
      </c>
      <c r="H13079">
        <v>157279556</v>
      </c>
      <c r="I13079">
        <v>157279578</v>
      </c>
    </row>
    <row r="13080" spans="1:9" x14ac:dyDescent="0.2">
      <c r="A13080" t="str">
        <f>"Mroh9"</f>
        <v>Mroh9</v>
      </c>
      <c r="B13080" t="s">
        <v>14</v>
      </c>
      <c r="C13080" t="s">
        <v>19</v>
      </c>
      <c r="D13080" t="s">
        <v>11</v>
      </c>
      <c r="E13080" t="s">
        <v>67</v>
      </c>
      <c r="F13080">
        <v>163085643</v>
      </c>
      <c r="G13080">
        <v>163085674</v>
      </c>
      <c r="H13080">
        <v>163085643</v>
      </c>
      <c r="I13080">
        <v>163085674</v>
      </c>
    </row>
    <row r="13081" spans="1:9" x14ac:dyDescent="0.2">
      <c r="A13081" t="str">
        <f>"Mrp63"</f>
        <v>Mrp63</v>
      </c>
      <c r="B13081" t="s">
        <v>14</v>
      </c>
      <c r="C13081" t="s">
        <v>41</v>
      </c>
      <c r="D13081" t="s">
        <v>17</v>
      </c>
      <c r="E13081" t="s">
        <v>12</v>
      </c>
      <c r="F13081">
        <v>57826210</v>
      </c>
      <c r="G13081">
        <v>57826272</v>
      </c>
      <c r="H13081">
        <v>57825976</v>
      </c>
      <c r="I13081">
        <v>57826017</v>
      </c>
    </row>
    <row r="13082" spans="1:9" x14ac:dyDescent="0.2">
      <c r="A13082" t="str">
        <f>"Mrpl1"</f>
        <v>Mrpl1</v>
      </c>
      <c r="B13082" t="s">
        <v>14</v>
      </c>
      <c r="C13082" t="s">
        <v>46</v>
      </c>
      <c r="D13082" t="s">
        <v>17</v>
      </c>
      <c r="E13082" t="s">
        <v>12</v>
      </c>
      <c r="F13082">
        <v>96210128</v>
      </c>
      <c r="G13082">
        <v>96210161</v>
      </c>
      <c r="H13082">
        <v>96210128</v>
      </c>
      <c r="I13082">
        <v>96210161</v>
      </c>
    </row>
    <row r="13083" spans="1:9" x14ac:dyDescent="0.2">
      <c r="A13083" t="str">
        <f>"Mrpl10"</f>
        <v>Mrpl10</v>
      </c>
      <c r="B13083" t="s">
        <v>14</v>
      </c>
      <c r="C13083" t="s">
        <v>27</v>
      </c>
      <c r="D13083" t="s">
        <v>17</v>
      </c>
      <c r="E13083" t="s">
        <v>12</v>
      </c>
      <c r="F13083">
        <v>97041569</v>
      </c>
      <c r="G13083">
        <v>97041602</v>
      </c>
      <c r="H13083">
        <v>97041554</v>
      </c>
      <c r="I13083">
        <v>97041563</v>
      </c>
    </row>
    <row r="13084" spans="1:9" x14ac:dyDescent="0.2">
      <c r="A13084" t="str">
        <f>"Mrpl11"</f>
        <v>Mrpl11</v>
      </c>
      <c r="B13084" t="s">
        <v>14</v>
      </c>
      <c r="C13084" t="s">
        <v>10</v>
      </c>
      <c r="D13084" t="s">
        <v>17</v>
      </c>
      <c r="E13084" t="s">
        <v>12</v>
      </c>
      <c r="F13084">
        <v>4962308</v>
      </c>
      <c r="G13084">
        <v>4962332</v>
      </c>
      <c r="H13084">
        <v>4962334</v>
      </c>
      <c r="I13084">
        <v>4962362</v>
      </c>
    </row>
    <row r="13085" spans="1:9" x14ac:dyDescent="0.2">
      <c r="A13085" t="str">
        <f>"Mrpl12"</f>
        <v>Mrpl12</v>
      </c>
      <c r="B13085" t="s">
        <v>14</v>
      </c>
      <c r="C13085" t="s">
        <v>27</v>
      </c>
      <c r="D13085" t="s">
        <v>17</v>
      </c>
      <c r="E13085" t="s">
        <v>12</v>
      </c>
      <c r="F13085">
        <v>120484651</v>
      </c>
      <c r="G13085">
        <v>120484696</v>
      </c>
      <c r="H13085">
        <v>120484635</v>
      </c>
      <c r="I13085">
        <v>120484646</v>
      </c>
    </row>
    <row r="13086" spans="1:9" x14ac:dyDescent="0.2">
      <c r="A13086" t="str">
        <f>"Mrpl13"</f>
        <v>Mrpl13</v>
      </c>
      <c r="B13086" t="s">
        <v>14</v>
      </c>
      <c r="C13086" t="s">
        <v>25</v>
      </c>
      <c r="D13086" t="s">
        <v>11</v>
      </c>
      <c r="E13086" t="s">
        <v>12</v>
      </c>
      <c r="F13086">
        <v>55557296</v>
      </c>
      <c r="G13086">
        <v>55557332</v>
      </c>
      <c r="H13086">
        <v>55557343</v>
      </c>
      <c r="I13086">
        <v>55557354</v>
      </c>
    </row>
    <row r="13087" spans="1:9" x14ac:dyDescent="0.2">
      <c r="A13087" t="str">
        <f>"Mrpl14"</f>
        <v>Mrpl14</v>
      </c>
      <c r="B13087" t="s">
        <v>9</v>
      </c>
      <c r="C13087" t="s">
        <v>28</v>
      </c>
      <c r="D13087" t="s">
        <v>17</v>
      </c>
      <c r="E13087" t="s">
        <v>12</v>
      </c>
      <c r="F13087">
        <v>45686335</v>
      </c>
      <c r="G13087">
        <v>45686402</v>
      </c>
      <c r="H13087">
        <v>45686335</v>
      </c>
      <c r="I13087">
        <v>45686402</v>
      </c>
    </row>
    <row r="13088" spans="1:9" x14ac:dyDescent="0.2">
      <c r="A13088" t="str">
        <f>"Mrpl14"</f>
        <v>Mrpl14</v>
      </c>
      <c r="B13088" t="s">
        <v>13</v>
      </c>
      <c r="C13088" t="s">
        <v>28</v>
      </c>
      <c r="D13088" t="s">
        <v>17</v>
      </c>
      <c r="E13088" t="s">
        <v>12</v>
      </c>
      <c r="F13088">
        <v>45695396</v>
      </c>
      <c r="G13088">
        <v>45695407</v>
      </c>
      <c r="H13088">
        <v>45695396</v>
      </c>
      <c r="I13088">
        <v>45695407</v>
      </c>
    </row>
    <row r="13089" spans="1:9" x14ac:dyDescent="0.2">
      <c r="A13089" t="str">
        <f>"Mrpl15"</f>
        <v>Mrpl15</v>
      </c>
      <c r="B13089" t="s">
        <v>14</v>
      </c>
      <c r="C13089" t="s">
        <v>19</v>
      </c>
      <c r="D13089" t="s">
        <v>11</v>
      </c>
      <c r="E13089" t="s">
        <v>12</v>
      </c>
      <c r="F13089">
        <v>4785671</v>
      </c>
      <c r="G13089">
        <v>4785744</v>
      </c>
      <c r="H13089">
        <v>4785671</v>
      </c>
      <c r="I13089">
        <v>4785744</v>
      </c>
    </row>
    <row r="13090" spans="1:9" x14ac:dyDescent="0.2">
      <c r="A13090" t="str">
        <f>"Mrpl16"</f>
        <v>Mrpl16</v>
      </c>
      <c r="B13090" t="s">
        <v>14</v>
      </c>
      <c r="C13090" t="s">
        <v>10</v>
      </c>
      <c r="D13090" t="s">
        <v>17</v>
      </c>
      <c r="E13090" t="s">
        <v>12</v>
      </c>
      <c r="F13090">
        <v>11770357</v>
      </c>
      <c r="G13090">
        <v>11770406</v>
      </c>
      <c r="H13090">
        <v>11770418</v>
      </c>
      <c r="I13090">
        <v>11770440</v>
      </c>
    </row>
    <row r="13091" spans="1:9" x14ac:dyDescent="0.2">
      <c r="A13091" t="str">
        <f>"Mrpl17"</f>
        <v>Mrpl17</v>
      </c>
      <c r="B13091" t="s">
        <v>14</v>
      </c>
      <c r="C13091" t="s">
        <v>33</v>
      </c>
      <c r="D13091" t="s">
        <v>11</v>
      </c>
      <c r="E13091" t="s">
        <v>12</v>
      </c>
      <c r="F13091">
        <v>105810947</v>
      </c>
      <c r="G13091">
        <v>105811095</v>
      </c>
      <c r="H13091">
        <v>105810947</v>
      </c>
      <c r="I13091">
        <v>105811095</v>
      </c>
    </row>
    <row r="13092" spans="1:9" x14ac:dyDescent="0.2">
      <c r="A13092" t="str">
        <f>"Mrpl18"</f>
        <v>Mrpl18</v>
      </c>
      <c r="B13092" t="s">
        <v>14</v>
      </c>
      <c r="C13092" t="s">
        <v>28</v>
      </c>
      <c r="D13092" t="s">
        <v>11</v>
      </c>
      <c r="E13092" t="s">
        <v>12</v>
      </c>
      <c r="F13092">
        <v>12916091</v>
      </c>
      <c r="G13092">
        <v>12916119</v>
      </c>
      <c r="H13092">
        <v>12916002</v>
      </c>
      <c r="I13092">
        <v>12916044</v>
      </c>
    </row>
    <row r="13093" spans="1:9" x14ac:dyDescent="0.2">
      <c r="A13093" t="str">
        <f>"Mrpl19"</f>
        <v>Mrpl19</v>
      </c>
      <c r="B13093" t="s">
        <v>14</v>
      </c>
      <c r="C13093" t="s">
        <v>32</v>
      </c>
      <c r="D13093" t="s">
        <v>11</v>
      </c>
      <c r="E13093" t="s">
        <v>12</v>
      </c>
      <c r="F13093">
        <v>81965925</v>
      </c>
      <c r="G13093">
        <v>81965962</v>
      </c>
      <c r="H13093">
        <v>81965665</v>
      </c>
      <c r="I13093">
        <v>81965679</v>
      </c>
    </row>
    <row r="13094" spans="1:9" x14ac:dyDescent="0.2">
      <c r="A13094" t="str">
        <f>"Mrpl2"</f>
        <v>Mrpl2</v>
      </c>
      <c r="B13094" t="s">
        <v>14</v>
      </c>
      <c r="C13094" t="s">
        <v>28</v>
      </c>
      <c r="D13094" t="s">
        <v>17</v>
      </c>
      <c r="E13094" t="s">
        <v>12</v>
      </c>
      <c r="F13094">
        <v>46646225</v>
      </c>
      <c r="G13094">
        <v>46646272</v>
      </c>
      <c r="H13094">
        <v>46646288</v>
      </c>
      <c r="I13094">
        <v>46646296</v>
      </c>
    </row>
    <row r="13095" spans="1:9" x14ac:dyDescent="0.2">
      <c r="A13095" t="str">
        <f>"Mrpl20"</f>
        <v>Mrpl20</v>
      </c>
      <c r="B13095" t="s">
        <v>14</v>
      </c>
      <c r="C13095" t="s">
        <v>23</v>
      </c>
      <c r="D13095" t="s">
        <v>17</v>
      </c>
      <c r="E13095" t="s">
        <v>12</v>
      </c>
      <c r="F13095">
        <v>155803600</v>
      </c>
      <c r="G13095">
        <v>155803640</v>
      </c>
      <c r="H13095">
        <v>155803600</v>
      </c>
      <c r="I13095">
        <v>155803640</v>
      </c>
    </row>
    <row r="13096" spans="1:9" x14ac:dyDescent="0.2">
      <c r="A13096" t="str">
        <f>"Mrpl21"</f>
        <v>Mrpl21</v>
      </c>
      <c r="B13096" t="s">
        <v>14</v>
      </c>
      <c r="C13096" t="s">
        <v>10</v>
      </c>
      <c r="D13096" t="s">
        <v>17</v>
      </c>
      <c r="E13096" t="s">
        <v>12</v>
      </c>
      <c r="F13096">
        <v>3283035</v>
      </c>
      <c r="G13096">
        <v>3283071</v>
      </c>
      <c r="H13096">
        <v>3282874</v>
      </c>
      <c r="I13096">
        <v>3282893</v>
      </c>
    </row>
    <row r="13097" spans="1:9" x14ac:dyDescent="0.2">
      <c r="A13097" t="str">
        <f>"Mrpl22"</f>
        <v>Mrpl22</v>
      </c>
      <c r="B13097" t="s">
        <v>14</v>
      </c>
      <c r="C13097" t="s">
        <v>27</v>
      </c>
      <c r="D13097" t="s">
        <v>17</v>
      </c>
      <c r="E13097" t="s">
        <v>12</v>
      </c>
      <c r="F13097">
        <v>58171648</v>
      </c>
      <c r="G13097">
        <v>58171688</v>
      </c>
      <c r="H13097">
        <v>58171648</v>
      </c>
      <c r="I13097">
        <v>58171688</v>
      </c>
    </row>
    <row r="13098" spans="1:9" x14ac:dyDescent="0.2">
      <c r="A13098" t="str">
        <f>"Mrpl23"</f>
        <v>Mrpl23</v>
      </c>
      <c r="B13098" t="s">
        <v>14</v>
      </c>
      <c r="C13098" t="s">
        <v>33</v>
      </c>
      <c r="D13098" t="s">
        <v>17</v>
      </c>
      <c r="E13098" t="s">
        <v>12</v>
      </c>
      <c r="F13098">
        <v>142533144</v>
      </c>
      <c r="G13098">
        <v>142533174</v>
      </c>
      <c r="H13098">
        <v>142533043</v>
      </c>
      <c r="I13098">
        <v>142533054</v>
      </c>
    </row>
    <row r="13099" spans="1:9" x14ac:dyDescent="0.2">
      <c r="A13099" t="str">
        <f>"Mrpl24"</f>
        <v>Mrpl24</v>
      </c>
      <c r="B13099" t="s">
        <v>14</v>
      </c>
      <c r="C13099" t="s">
        <v>22</v>
      </c>
      <c r="D13099" t="s">
        <v>17</v>
      </c>
      <c r="E13099" t="s">
        <v>12</v>
      </c>
      <c r="F13099">
        <v>87919528</v>
      </c>
      <c r="G13099">
        <v>87919558</v>
      </c>
      <c r="H13099">
        <v>87919693</v>
      </c>
      <c r="I13099">
        <v>87919713</v>
      </c>
    </row>
    <row r="13100" spans="1:9" x14ac:dyDescent="0.2">
      <c r="A13100" t="str">
        <f>"Mrpl27"</f>
        <v>Mrpl27</v>
      </c>
      <c r="B13100" t="s">
        <v>14</v>
      </c>
      <c r="C13100" t="s">
        <v>27</v>
      </c>
      <c r="D13100" t="s">
        <v>17</v>
      </c>
      <c r="E13100" t="s">
        <v>12</v>
      </c>
      <c r="F13100">
        <v>94654032</v>
      </c>
      <c r="G13100">
        <v>94654052</v>
      </c>
      <c r="H13100">
        <v>94654004</v>
      </c>
      <c r="I13100">
        <v>94654024</v>
      </c>
    </row>
    <row r="13101" spans="1:9" x14ac:dyDescent="0.2">
      <c r="A13101" t="str">
        <f>"Mrpl28"</f>
        <v>Mrpl28</v>
      </c>
      <c r="B13101" t="s">
        <v>14</v>
      </c>
      <c r="C13101" t="s">
        <v>28</v>
      </c>
      <c r="D13101" t="s">
        <v>17</v>
      </c>
      <c r="E13101" t="s">
        <v>12</v>
      </c>
      <c r="F13101">
        <v>26123514</v>
      </c>
      <c r="G13101">
        <v>26123554</v>
      </c>
      <c r="H13101">
        <v>26123504</v>
      </c>
      <c r="I13101">
        <v>26123513</v>
      </c>
    </row>
    <row r="13102" spans="1:9" x14ac:dyDescent="0.2">
      <c r="A13102" t="str">
        <f>"Mrpl3"</f>
        <v>Mrpl3</v>
      </c>
      <c r="B13102" t="s">
        <v>14</v>
      </c>
      <c r="C13102" t="s">
        <v>24</v>
      </c>
      <c r="D13102" t="s">
        <v>17</v>
      </c>
      <c r="E13102" t="s">
        <v>12</v>
      </c>
      <c r="F13102">
        <v>105053260</v>
      </c>
      <c r="G13102">
        <v>105053303</v>
      </c>
      <c r="H13102">
        <v>105053248</v>
      </c>
      <c r="I13102">
        <v>105053259</v>
      </c>
    </row>
    <row r="13103" spans="1:9" x14ac:dyDescent="0.2">
      <c r="A13103" t="str">
        <f>"Mrpl30"</f>
        <v>Mrpl30</v>
      </c>
      <c r="B13103" t="s">
        <v>14</v>
      </c>
      <c r="C13103" t="s">
        <v>19</v>
      </c>
      <c r="D13103" t="s">
        <v>17</v>
      </c>
      <c r="E13103" t="s">
        <v>12</v>
      </c>
      <c r="F13103">
        <v>37890519</v>
      </c>
      <c r="G13103">
        <v>37890542</v>
      </c>
      <c r="H13103">
        <v>37890519</v>
      </c>
      <c r="I13103">
        <v>37890542</v>
      </c>
    </row>
    <row r="13104" spans="1:9" x14ac:dyDescent="0.2">
      <c r="A13104" t="str">
        <f>"Mrpl32"</f>
        <v>Mrpl32</v>
      </c>
      <c r="B13104" t="s">
        <v>14</v>
      </c>
      <c r="C13104" t="s">
        <v>39</v>
      </c>
      <c r="D13104" t="s">
        <v>11</v>
      </c>
      <c r="E13104" t="s">
        <v>12</v>
      </c>
      <c r="F13104">
        <v>14613017</v>
      </c>
      <c r="G13104">
        <v>14613056</v>
      </c>
      <c r="H13104">
        <v>14613017</v>
      </c>
      <c r="I13104">
        <v>14613056</v>
      </c>
    </row>
    <row r="13105" spans="1:9" x14ac:dyDescent="0.2">
      <c r="A13105" t="str">
        <f>"Mrpl33"</f>
        <v>Mrpl33</v>
      </c>
      <c r="B13105" t="s">
        <v>14</v>
      </c>
      <c r="C13105" t="s">
        <v>46</v>
      </c>
      <c r="D13105" t="s">
        <v>17</v>
      </c>
      <c r="E13105" t="s">
        <v>12</v>
      </c>
      <c r="F13105">
        <v>31613949</v>
      </c>
      <c r="G13105">
        <v>31613979</v>
      </c>
      <c r="H13105">
        <v>31613990</v>
      </c>
      <c r="I13105">
        <v>31614001</v>
      </c>
    </row>
    <row r="13106" spans="1:9" x14ac:dyDescent="0.2">
      <c r="A13106" t="str">
        <f>"Mrpl34"</f>
        <v>Mrpl34</v>
      </c>
      <c r="B13106" t="s">
        <v>14</v>
      </c>
      <c r="C13106" t="s">
        <v>30</v>
      </c>
      <c r="D13106" t="s">
        <v>17</v>
      </c>
      <c r="E13106" t="s">
        <v>12</v>
      </c>
      <c r="F13106">
        <v>71464910</v>
      </c>
      <c r="G13106">
        <v>71465000</v>
      </c>
      <c r="H13106">
        <v>71464910</v>
      </c>
      <c r="I13106">
        <v>71465000</v>
      </c>
    </row>
    <row r="13107" spans="1:9" x14ac:dyDescent="0.2">
      <c r="A13107" t="str">
        <f>"Mrpl35"</f>
        <v>Mrpl35</v>
      </c>
      <c r="B13107" t="s">
        <v>14</v>
      </c>
      <c r="C13107" t="s">
        <v>32</v>
      </c>
      <c r="D13107" t="s">
        <v>11</v>
      </c>
      <c r="E13107" t="s">
        <v>12</v>
      </c>
      <c r="F13107">
        <v>71823756</v>
      </c>
      <c r="G13107">
        <v>71823793</v>
      </c>
      <c r="H13107">
        <v>71823805</v>
      </c>
      <c r="I13107">
        <v>71823814</v>
      </c>
    </row>
    <row r="13108" spans="1:9" x14ac:dyDescent="0.2">
      <c r="A13108" t="str">
        <f>"Mrpl36"</f>
        <v>Mrpl36</v>
      </c>
      <c r="B13108" t="s">
        <v>14</v>
      </c>
      <c r="C13108" t="s">
        <v>39</v>
      </c>
      <c r="D13108" t="s">
        <v>17</v>
      </c>
      <c r="E13108" t="s">
        <v>12</v>
      </c>
      <c r="F13108">
        <v>73330982</v>
      </c>
      <c r="G13108">
        <v>73331057</v>
      </c>
      <c r="H13108">
        <v>73330982</v>
      </c>
      <c r="I13108">
        <v>73331057</v>
      </c>
    </row>
    <row r="13109" spans="1:9" x14ac:dyDescent="0.2">
      <c r="A13109" t="str">
        <f>"Mrpl37"</f>
        <v>Mrpl37</v>
      </c>
      <c r="B13109" t="s">
        <v>14</v>
      </c>
      <c r="C13109" t="s">
        <v>23</v>
      </c>
      <c r="D13109" t="s">
        <v>11</v>
      </c>
      <c r="E13109" t="s">
        <v>12</v>
      </c>
      <c r="F13109">
        <v>107066837</v>
      </c>
      <c r="G13109">
        <v>107066866</v>
      </c>
      <c r="H13109">
        <v>107066601</v>
      </c>
      <c r="I13109">
        <v>107066647</v>
      </c>
    </row>
    <row r="13110" spans="1:9" x14ac:dyDescent="0.2">
      <c r="A13110" t="str">
        <f>"Mrpl38"</f>
        <v>Mrpl38</v>
      </c>
      <c r="B13110" t="s">
        <v>14</v>
      </c>
      <c r="C13110" t="s">
        <v>27</v>
      </c>
      <c r="D13110" t="s">
        <v>11</v>
      </c>
      <c r="E13110" t="s">
        <v>12</v>
      </c>
      <c r="F13110">
        <v>116138789</v>
      </c>
      <c r="G13110">
        <v>116138848</v>
      </c>
      <c r="H13110">
        <v>116138775</v>
      </c>
      <c r="I13110">
        <v>116138788</v>
      </c>
    </row>
    <row r="13111" spans="1:9" x14ac:dyDescent="0.2">
      <c r="A13111" t="str">
        <f>"Mrpl39"</f>
        <v>Mrpl39</v>
      </c>
      <c r="B13111" t="s">
        <v>14</v>
      </c>
      <c r="C13111" t="s">
        <v>31</v>
      </c>
      <c r="D13111" t="s">
        <v>11</v>
      </c>
      <c r="E13111" t="s">
        <v>12</v>
      </c>
      <c r="F13111">
        <v>84735216</v>
      </c>
      <c r="G13111">
        <v>84735266</v>
      </c>
      <c r="H13111">
        <v>84735755</v>
      </c>
      <c r="I13111">
        <v>84735795</v>
      </c>
    </row>
    <row r="13112" spans="1:9" x14ac:dyDescent="0.2">
      <c r="A13112" t="str">
        <f>"Mrpl4"</f>
        <v>Mrpl4</v>
      </c>
      <c r="B13112" t="s">
        <v>14</v>
      </c>
      <c r="C13112" t="s">
        <v>24</v>
      </c>
      <c r="D13112" t="s">
        <v>17</v>
      </c>
      <c r="E13112" t="s">
        <v>12</v>
      </c>
      <c r="F13112">
        <v>21002893</v>
      </c>
      <c r="G13112">
        <v>21002909</v>
      </c>
      <c r="H13112">
        <v>21002893</v>
      </c>
      <c r="I13112">
        <v>21002909</v>
      </c>
    </row>
    <row r="13113" spans="1:9" x14ac:dyDescent="0.2">
      <c r="A13113" t="str">
        <f>"Mrpl40"</f>
        <v>Mrpl40</v>
      </c>
      <c r="B13113" t="s">
        <v>14</v>
      </c>
      <c r="C13113" t="s">
        <v>31</v>
      </c>
      <c r="D13113" t="s">
        <v>11</v>
      </c>
      <c r="E13113" t="s">
        <v>12</v>
      </c>
      <c r="F13113">
        <v>18876522</v>
      </c>
      <c r="G13113">
        <v>18876570</v>
      </c>
      <c r="H13113">
        <v>18876619</v>
      </c>
      <c r="I13113">
        <v>18876653</v>
      </c>
    </row>
    <row r="13114" spans="1:9" x14ac:dyDescent="0.2">
      <c r="A13114" t="str">
        <f>"Mrpl41"</f>
        <v>Mrpl41</v>
      </c>
      <c r="B13114" t="s">
        <v>14</v>
      </c>
      <c r="C13114" t="s">
        <v>26</v>
      </c>
      <c r="D13114" t="s">
        <v>11</v>
      </c>
      <c r="E13114" t="s">
        <v>12</v>
      </c>
      <c r="F13114">
        <v>24974991</v>
      </c>
      <c r="G13114">
        <v>24975071</v>
      </c>
      <c r="H13114">
        <v>24975084</v>
      </c>
      <c r="I13114">
        <v>24975095</v>
      </c>
    </row>
    <row r="13115" spans="1:9" x14ac:dyDescent="0.2">
      <c r="A13115" t="str">
        <f>"Mrpl42"</f>
        <v>Mrpl42</v>
      </c>
      <c r="B13115" t="s">
        <v>14</v>
      </c>
      <c r="C13115" t="s">
        <v>15</v>
      </c>
      <c r="D13115" t="s">
        <v>11</v>
      </c>
      <c r="E13115" t="s">
        <v>12</v>
      </c>
      <c r="F13115">
        <v>95501921</v>
      </c>
      <c r="G13115">
        <v>95501953</v>
      </c>
      <c r="H13115">
        <v>95501957</v>
      </c>
      <c r="I13115">
        <v>95501966</v>
      </c>
    </row>
    <row r="13116" spans="1:9" x14ac:dyDescent="0.2">
      <c r="A13116" t="str">
        <f>"Mrpl43"</f>
        <v>Mrpl43</v>
      </c>
      <c r="B13116" t="s">
        <v>14</v>
      </c>
      <c r="C13116" t="s">
        <v>10</v>
      </c>
      <c r="D13116" t="s">
        <v>11</v>
      </c>
      <c r="E13116" t="s">
        <v>12</v>
      </c>
      <c r="F13116">
        <v>45006385</v>
      </c>
      <c r="G13116">
        <v>45006450</v>
      </c>
      <c r="H13116">
        <v>45006385</v>
      </c>
      <c r="I13116">
        <v>45006450</v>
      </c>
    </row>
    <row r="13117" spans="1:9" x14ac:dyDescent="0.2">
      <c r="A13117" t="str">
        <f>"Mrpl44"</f>
        <v>Mrpl44</v>
      </c>
      <c r="B13117" t="s">
        <v>14</v>
      </c>
      <c r="C13117" t="s">
        <v>19</v>
      </c>
      <c r="D13117" t="s">
        <v>17</v>
      </c>
      <c r="E13117" t="s">
        <v>12</v>
      </c>
      <c r="F13117">
        <v>79776096</v>
      </c>
      <c r="G13117">
        <v>79776132</v>
      </c>
      <c r="H13117">
        <v>79776096</v>
      </c>
      <c r="I13117">
        <v>79776132</v>
      </c>
    </row>
    <row r="13118" spans="1:9" x14ac:dyDescent="0.2">
      <c r="A13118" t="str">
        <f>"Mrpl45"</f>
        <v>Mrpl45</v>
      </c>
      <c r="B13118" t="s">
        <v>14</v>
      </c>
      <c r="C13118" t="s">
        <v>27</v>
      </c>
      <c r="D13118" t="s">
        <v>17</v>
      </c>
      <c r="E13118" t="s">
        <v>12</v>
      </c>
      <c r="F13118">
        <v>97315839</v>
      </c>
      <c r="G13118">
        <v>97315870</v>
      </c>
      <c r="H13118">
        <v>97315779</v>
      </c>
      <c r="I13118">
        <v>97315788</v>
      </c>
    </row>
    <row r="13119" spans="1:9" x14ac:dyDescent="0.2">
      <c r="A13119" t="str">
        <f>"Mrpl46"</f>
        <v>Mrpl46</v>
      </c>
      <c r="B13119" t="s">
        <v>14</v>
      </c>
      <c r="C13119" t="s">
        <v>33</v>
      </c>
      <c r="D13119" t="s">
        <v>11</v>
      </c>
      <c r="E13119" t="s">
        <v>12</v>
      </c>
      <c r="F13119">
        <v>78783026</v>
      </c>
      <c r="G13119">
        <v>78783057</v>
      </c>
      <c r="H13119">
        <v>78783061</v>
      </c>
      <c r="I13119">
        <v>78783066</v>
      </c>
    </row>
    <row r="13120" spans="1:9" x14ac:dyDescent="0.2">
      <c r="A13120" t="str">
        <f>"Mrpl47"</f>
        <v>Mrpl47</v>
      </c>
      <c r="B13120" t="s">
        <v>14</v>
      </c>
      <c r="C13120" t="s">
        <v>22</v>
      </c>
      <c r="D13120" t="s">
        <v>11</v>
      </c>
      <c r="E13120" t="s">
        <v>12</v>
      </c>
      <c r="F13120">
        <v>32736743</v>
      </c>
      <c r="G13120">
        <v>32736777</v>
      </c>
      <c r="H13120">
        <v>32736779</v>
      </c>
      <c r="I13120">
        <v>32736782</v>
      </c>
    </row>
    <row r="13121" spans="1:9" x14ac:dyDescent="0.2">
      <c r="A13121" t="str">
        <f>"Mrpl48"</f>
        <v>Mrpl48</v>
      </c>
      <c r="B13121" t="s">
        <v>9</v>
      </c>
      <c r="C13121" t="s">
        <v>33</v>
      </c>
      <c r="D13121" t="s">
        <v>11</v>
      </c>
      <c r="E13121" t="s">
        <v>12</v>
      </c>
      <c r="F13121">
        <v>100583072</v>
      </c>
      <c r="G13121">
        <v>100583124</v>
      </c>
      <c r="H13121">
        <v>100583072</v>
      </c>
      <c r="I13121">
        <v>100583124</v>
      </c>
    </row>
    <row r="13122" spans="1:9" x14ac:dyDescent="0.2">
      <c r="A13122" t="str">
        <f>"Mrpl48"</f>
        <v>Mrpl48</v>
      </c>
      <c r="B13122" t="s">
        <v>13</v>
      </c>
      <c r="C13122" t="s">
        <v>33</v>
      </c>
      <c r="D13122" t="s">
        <v>11</v>
      </c>
      <c r="E13122" t="s">
        <v>12</v>
      </c>
      <c r="F13122">
        <v>100608229</v>
      </c>
      <c r="G13122">
        <v>100608268</v>
      </c>
      <c r="H13122">
        <v>100608229</v>
      </c>
      <c r="I13122">
        <v>100608268</v>
      </c>
    </row>
    <row r="13123" spans="1:9" x14ac:dyDescent="0.2">
      <c r="A13123" t="str">
        <f>"Mrpl49"</f>
        <v>Mrpl49</v>
      </c>
      <c r="B13123" t="s">
        <v>14</v>
      </c>
      <c r="C13123" t="s">
        <v>10</v>
      </c>
      <c r="D13123" t="s">
        <v>11</v>
      </c>
      <c r="E13123" t="s">
        <v>12</v>
      </c>
      <c r="F13123">
        <v>6057736</v>
      </c>
      <c r="G13123">
        <v>6057769</v>
      </c>
      <c r="H13123">
        <v>6057736</v>
      </c>
      <c r="I13123">
        <v>6057769</v>
      </c>
    </row>
    <row r="13124" spans="1:9" x14ac:dyDescent="0.2">
      <c r="A13124" t="str">
        <f>"Mrpl50"</f>
        <v>Mrpl50</v>
      </c>
      <c r="B13124" t="s">
        <v>14</v>
      </c>
      <c r="C13124" t="s">
        <v>23</v>
      </c>
      <c r="D13124" t="s">
        <v>11</v>
      </c>
      <c r="E13124" t="s">
        <v>12</v>
      </c>
      <c r="F13124">
        <v>49521036</v>
      </c>
      <c r="G13124">
        <v>49521089</v>
      </c>
      <c r="H13124">
        <v>49521036</v>
      </c>
      <c r="I13124">
        <v>49521089</v>
      </c>
    </row>
    <row r="13125" spans="1:9" x14ac:dyDescent="0.2">
      <c r="A13125" t="str">
        <f>"Mrpl51"</f>
        <v>Mrpl51</v>
      </c>
      <c r="B13125" t="s">
        <v>14</v>
      </c>
      <c r="C13125" t="s">
        <v>32</v>
      </c>
      <c r="D13125" t="s">
        <v>17</v>
      </c>
      <c r="E13125" t="s">
        <v>12</v>
      </c>
      <c r="F13125">
        <v>125192177</v>
      </c>
      <c r="G13125">
        <v>125192210</v>
      </c>
      <c r="H13125">
        <v>125192154</v>
      </c>
      <c r="I13125">
        <v>125192170</v>
      </c>
    </row>
    <row r="13126" spans="1:9" x14ac:dyDescent="0.2">
      <c r="A13126" t="str">
        <f>"Mrpl52"</f>
        <v>Mrpl52</v>
      </c>
      <c r="B13126" t="s">
        <v>14</v>
      </c>
      <c r="C13126" t="s">
        <v>41</v>
      </c>
      <c r="D13126" t="s">
        <v>17</v>
      </c>
      <c r="E13126" t="s">
        <v>12</v>
      </c>
      <c r="F13126">
        <v>54426902</v>
      </c>
      <c r="G13126">
        <v>54426930</v>
      </c>
      <c r="H13126">
        <v>54427174</v>
      </c>
      <c r="I13126">
        <v>54427201</v>
      </c>
    </row>
    <row r="13127" spans="1:9" x14ac:dyDescent="0.2">
      <c r="A13127" t="str">
        <f>"Mrpl53"</f>
        <v>Mrpl53</v>
      </c>
      <c r="B13127" t="s">
        <v>14</v>
      </c>
      <c r="C13127" t="s">
        <v>32</v>
      </c>
      <c r="D13127" t="s">
        <v>17</v>
      </c>
      <c r="E13127" t="s">
        <v>12</v>
      </c>
      <c r="F13127">
        <v>83109071</v>
      </c>
      <c r="G13127">
        <v>83109114</v>
      </c>
      <c r="H13127">
        <v>83108872</v>
      </c>
      <c r="I13127">
        <v>83108893</v>
      </c>
    </row>
    <row r="13128" spans="1:9" x14ac:dyDescent="0.2">
      <c r="A13128" t="str">
        <f>"Mrpl54"</f>
        <v>Mrpl54</v>
      </c>
      <c r="B13128" t="s">
        <v>14</v>
      </c>
      <c r="C13128" t="s">
        <v>15</v>
      </c>
      <c r="D13128" t="s">
        <v>11</v>
      </c>
      <c r="E13128" t="s">
        <v>12</v>
      </c>
      <c r="F13128">
        <v>81266906</v>
      </c>
      <c r="G13128">
        <v>81266933</v>
      </c>
      <c r="H13128">
        <v>81266906</v>
      </c>
      <c r="I13128">
        <v>81266933</v>
      </c>
    </row>
    <row r="13129" spans="1:9" x14ac:dyDescent="0.2">
      <c r="A13129" t="str">
        <f>"Mrpl55"</f>
        <v>Mrpl55</v>
      </c>
      <c r="B13129" t="s">
        <v>14</v>
      </c>
      <c r="C13129" t="s">
        <v>27</v>
      </c>
      <c r="D13129" t="s">
        <v>17</v>
      </c>
      <c r="E13129" t="s">
        <v>12</v>
      </c>
      <c r="F13129">
        <v>59202480</v>
      </c>
      <c r="G13129">
        <v>59202529</v>
      </c>
      <c r="H13129">
        <v>59202480</v>
      </c>
      <c r="I13129">
        <v>59202529</v>
      </c>
    </row>
    <row r="13130" spans="1:9" x14ac:dyDescent="0.2">
      <c r="A13130" t="str">
        <f>"Mrpl9"</f>
        <v>Mrpl9</v>
      </c>
      <c r="B13130" t="s">
        <v>14</v>
      </c>
      <c r="C13130" t="s">
        <v>22</v>
      </c>
      <c r="D13130" t="s">
        <v>17</v>
      </c>
      <c r="E13130" t="s">
        <v>12</v>
      </c>
      <c r="F13130">
        <v>94443315</v>
      </c>
      <c r="G13130">
        <v>94443345</v>
      </c>
      <c r="H13130">
        <v>94443286</v>
      </c>
      <c r="I13130">
        <v>94443295</v>
      </c>
    </row>
    <row r="13131" spans="1:9" x14ac:dyDescent="0.2">
      <c r="A13131" t="str">
        <f>"Mrps10"</f>
        <v>Mrps10</v>
      </c>
      <c r="B13131" t="s">
        <v>14</v>
      </c>
      <c r="C13131" t="s">
        <v>28</v>
      </c>
      <c r="D13131" t="s">
        <v>17</v>
      </c>
      <c r="E13131" t="s">
        <v>12</v>
      </c>
      <c r="F13131">
        <v>47368882</v>
      </c>
      <c r="G13131">
        <v>47368910</v>
      </c>
      <c r="H13131">
        <v>47369174</v>
      </c>
      <c r="I13131">
        <v>47369208</v>
      </c>
    </row>
    <row r="13132" spans="1:9" x14ac:dyDescent="0.2">
      <c r="A13132" t="str">
        <f>"Mrps11"</f>
        <v>Mrps11</v>
      </c>
      <c r="B13132" t="s">
        <v>14</v>
      </c>
      <c r="C13132" t="s">
        <v>33</v>
      </c>
      <c r="D13132" t="s">
        <v>17</v>
      </c>
      <c r="E13132" t="s">
        <v>12</v>
      </c>
      <c r="F13132">
        <v>78783343</v>
      </c>
      <c r="G13132">
        <v>78783367</v>
      </c>
      <c r="H13132">
        <v>78783303</v>
      </c>
      <c r="I13132">
        <v>78783341</v>
      </c>
    </row>
    <row r="13133" spans="1:9" x14ac:dyDescent="0.2">
      <c r="A13133" t="str">
        <f>"Mrps12"</f>
        <v>Mrps12</v>
      </c>
      <c r="B13133" t="s">
        <v>14</v>
      </c>
      <c r="C13133" t="s">
        <v>33</v>
      </c>
      <c r="D13133" t="s">
        <v>11</v>
      </c>
      <c r="E13133" t="s">
        <v>12</v>
      </c>
      <c r="F13133">
        <v>28741780</v>
      </c>
      <c r="G13133">
        <v>28741843</v>
      </c>
      <c r="H13133">
        <v>28741749</v>
      </c>
      <c r="I13133">
        <v>28741777</v>
      </c>
    </row>
    <row r="13134" spans="1:9" x14ac:dyDescent="0.2">
      <c r="A13134" t="str">
        <f>"Mrps14"</f>
        <v>Mrps14</v>
      </c>
      <c r="B13134" t="s">
        <v>14</v>
      </c>
      <c r="C13134" t="s">
        <v>19</v>
      </c>
      <c r="D13134" t="s">
        <v>17</v>
      </c>
      <c r="E13134" t="s">
        <v>12</v>
      </c>
      <c r="F13134">
        <v>160195237</v>
      </c>
      <c r="G13134">
        <v>160195266</v>
      </c>
      <c r="H13134">
        <v>160195237</v>
      </c>
      <c r="I13134">
        <v>160195266</v>
      </c>
    </row>
    <row r="13135" spans="1:9" x14ac:dyDescent="0.2">
      <c r="A13135" t="str">
        <f>"Mrps15"</f>
        <v>Mrps15</v>
      </c>
      <c r="B13135" t="s">
        <v>14</v>
      </c>
      <c r="C13135" t="s">
        <v>23</v>
      </c>
      <c r="D13135" t="s">
        <v>17</v>
      </c>
      <c r="E13135" t="s">
        <v>12</v>
      </c>
      <c r="F13135">
        <v>126046903</v>
      </c>
      <c r="G13135">
        <v>126047023</v>
      </c>
      <c r="H13135">
        <v>126047026</v>
      </c>
      <c r="I13135">
        <v>126047037</v>
      </c>
    </row>
    <row r="13136" spans="1:9" x14ac:dyDescent="0.2">
      <c r="A13136" t="str">
        <f>"Mrps16"</f>
        <v>Mrps16</v>
      </c>
      <c r="B13136" t="s">
        <v>14</v>
      </c>
      <c r="C13136" t="s">
        <v>41</v>
      </c>
      <c r="D13136" t="s">
        <v>11</v>
      </c>
      <c r="E13136" t="s">
        <v>12</v>
      </c>
      <c r="F13136">
        <v>20393473</v>
      </c>
      <c r="G13136">
        <v>20393572</v>
      </c>
      <c r="H13136">
        <v>20393603</v>
      </c>
      <c r="I13136">
        <v>20393643</v>
      </c>
    </row>
    <row r="13137" spans="1:9" x14ac:dyDescent="0.2">
      <c r="A13137" t="str">
        <f>"Mrps17"</f>
        <v>Mrps17</v>
      </c>
      <c r="B13137" t="s">
        <v>14</v>
      </c>
      <c r="C13137" t="s">
        <v>46</v>
      </c>
      <c r="D13137" t="s">
        <v>17</v>
      </c>
      <c r="E13137" t="s">
        <v>12</v>
      </c>
      <c r="F13137">
        <v>129715488</v>
      </c>
      <c r="G13137">
        <v>129715539</v>
      </c>
      <c r="H13137">
        <v>129715488</v>
      </c>
      <c r="I13137">
        <v>129715539</v>
      </c>
    </row>
    <row r="13138" spans="1:9" x14ac:dyDescent="0.2">
      <c r="A13138" t="str">
        <f>"Mrps18a"</f>
        <v>Mrps18a</v>
      </c>
      <c r="B13138" t="s">
        <v>9</v>
      </c>
      <c r="C13138" t="s">
        <v>28</v>
      </c>
      <c r="D13138" t="s">
        <v>17</v>
      </c>
      <c r="E13138" t="s">
        <v>12</v>
      </c>
      <c r="F13138">
        <v>46110982</v>
      </c>
      <c r="G13138">
        <v>46111022</v>
      </c>
      <c r="H13138">
        <v>46110982</v>
      </c>
      <c r="I13138">
        <v>46111022</v>
      </c>
    </row>
    <row r="13139" spans="1:9" x14ac:dyDescent="0.2">
      <c r="A13139" t="str">
        <f>"Mrps18a"</f>
        <v>Mrps18a</v>
      </c>
      <c r="B13139" t="s">
        <v>13</v>
      </c>
      <c r="C13139" t="s">
        <v>28</v>
      </c>
      <c r="D13139" t="s">
        <v>17</v>
      </c>
      <c r="E13139" t="s">
        <v>12</v>
      </c>
      <c r="F13139">
        <v>46122750</v>
      </c>
      <c r="G13139">
        <v>46122774</v>
      </c>
      <c r="H13139">
        <v>46122750</v>
      </c>
      <c r="I13139">
        <v>46122774</v>
      </c>
    </row>
    <row r="13140" spans="1:9" x14ac:dyDescent="0.2">
      <c r="A13140" t="str">
        <f>"Mrps18b"</f>
        <v>Mrps18b</v>
      </c>
      <c r="B13140" t="s">
        <v>14</v>
      </c>
      <c r="C13140" t="s">
        <v>28</v>
      </c>
      <c r="D13140" t="s">
        <v>11</v>
      </c>
      <c r="E13140" t="s">
        <v>12</v>
      </c>
      <c r="F13140">
        <v>35916340</v>
      </c>
      <c r="G13140">
        <v>35916411</v>
      </c>
      <c r="H13140">
        <v>35916340</v>
      </c>
      <c r="I13140">
        <v>35916411</v>
      </c>
    </row>
    <row r="13141" spans="1:9" x14ac:dyDescent="0.2">
      <c r="A13141" t="str">
        <f>"Mrps18c"</f>
        <v>Mrps18c</v>
      </c>
      <c r="B13141" t="s">
        <v>14</v>
      </c>
      <c r="C13141" t="s">
        <v>46</v>
      </c>
      <c r="D13141" t="s">
        <v>17</v>
      </c>
      <c r="E13141" t="s">
        <v>12</v>
      </c>
      <c r="F13141">
        <v>100798735</v>
      </c>
      <c r="G13141">
        <v>100798770</v>
      </c>
      <c r="H13141">
        <v>100798674</v>
      </c>
      <c r="I13141">
        <v>100798681</v>
      </c>
    </row>
    <row r="13142" spans="1:9" x14ac:dyDescent="0.2">
      <c r="A13142" t="str">
        <f>"Mrps2"</f>
        <v>Mrps2</v>
      </c>
      <c r="B13142" t="s">
        <v>14</v>
      </c>
      <c r="C13142" t="s">
        <v>26</v>
      </c>
      <c r="D13142" t="s">
        <v>17</v>
      </c>
      <c r="E13142" t="s">
        <v>12</v>
      </c>
      <c r="F13142">
        <v>28468056</v>
      </c>
      <c r="G13142">
        <v>28468094</v>
      </c>
      <c r="H13142">
        <v>28468056</v>
      </c>
      <c r="I13142">
        <v>28468094</v>
      </c>
    </row>
    <row r="13143" spans="1:9" x14ac:dyDescent="0.2">
      <c r="A13143" t="str">
        <f>"Mrps21"</f>
        <v>Mrps21</v>
      </c>
      <c r="B13143" t="s">
        <v>14</v>
      </c>
      <c r="C13143" t="s">
        <v>22</v>
      </c>
      <c r="D13143" t="s">
        <v>11</v>
      </c>
      <c r="E13143" t="s">
        <v>12</v>
      </c>
      <c r="F13143">
        <v>95871470</v>
      </c>
      <c r="G13143">
        <v>95871511</v>
      </c>
      <c r="H13143">
        <v>95871660</v>
      </c>
      <c r="I13143">
        <v>95871681</v>
      </c>
    </row>
    <row r="13144" spans="1:9" x14ac:dyDescent="0.2">
      <c r="A13144" t="str">
        <f>"Mrps22"</f>
        <v>Mrps22</v>
      </c>
      <c r="B13144" t="s">
        <v>14</v>
      </c>
      <c r="C13144" t="s">
        <v>24</v>
      </c>
      <c r="D13144" t="s">
        <v>11</v>
      </c>
      <c r="E13144" t="s">
        <v>12</v>
      </c>
      <c r="F13144">
        <v>98601642</v>
      </c>
      <c r="G13144">
        <v>98601677</v>
      </c>
      <c r="H13144">
        <v>98601642</v>
      </c>
      <c r="I13144">
        <v>98601677</v>
      </c>
    </row>
    <row r="13145" spans="1:9" x14ac:dyDescent="0.2">
      <c r="A13145" t="str">
        <f>"Mrps23"</f>
        <v>Mrps23</v>
      </c>
      <c r="B13145" t="s">
        <v>14</v>
      </c>
      <c r="C13145" t="s">
        <v>27</v>
      </c>
      <c r="D13145" t="s">
        <v>17</v>
      </c>
      <c r="E13145" t="s">
        <v>12</v>
      </c>
      <c r="F13145">
        <v>88204396</v>
      </c>
      <c r="G13145">
        <v>88204437</v>
      </c>
      <c r="H13145">
        <v>88204380</v>
      </c>
      <c r="I13145">
        <v>88204391</v>
      </c>
    </row>
    <row r="13146" spans="1:9" x14ac:dyDescent="0.2">
      <c r="A13146" t="str">
        <f>"Mrps24"</f>
        <v>Mrps24</v>
      </c>
      <c r="B13146" t="s">
        <v>14</v>
      </c>
      <c r="C13146" t="s">
        <v>27</v>
      </c>
      <c r="D13146" t="s">
        <v>11</v>
      </c>
      <c r="E13146" t="s">
        <v>12</v>
      </c>
      <c r="F13146">
        <v>5707658</v>
      </c>
      <c r="G13146">
        <v>5707708</v>
      </c>
      <c r="H13146">
        <v>5707337</v>
      </c>
      <c r="I13146">
        <v>5707376</v>
      </c>
    </row>
    <row r="13147" spans="1:9" x14ac:dyDescent="0.2">
      <c r="A13147" t="str">
        <f>"Mrps25"</f>
        <v>Mrps25</v>
      </c>
      <c r="B13147" t="s">
        <v>14</v>
      </c>
      <c r="C13147" t="s">
        <v>32</v>
      </c>
      <c r="D13147" t="s">
        <v>11</v>
      </c>
      <c r="E13147" t="s">
        <v>12</v>
      </c>
      <c r="F13147">
        <v>92183972</v>
      </c>
      <c r="G13147">
        <v>92184038</v>
      </c>
      <c r="H13147">
        <v>92183972</v>
      </c>
      <c r="I13147">
        <v>92184038</v>
      </c>
    </row>
    <row r="13148" spans="1:9" x14ac:dyDescent="0.2">
      <c r="A13148" t="str">
        <f>"Mrps26"</f>
        <v>Mrps26</v>
      </c>
      <c r="B13148" t="s">
        <v>14</v>
      </c>
      <c r="C13148" t="s">
        <v>26</v>
      </c>
      <c r="D13148" t="s">
        <v>17</v>
      </c>
      <c r="E13148" t="s">
        <v>12</v>
      </c>
      <c r="F13148">
        <v>130563732</v>
      </c>
      <c r="G13148">
        <v>130563798</v>
      </c>
      <c r="H13148">
        <v>130563866</v>
      </c>
      <c r="I13148">
        <v>130563884</v>
      </c>
    </row>
    <row r="13149" spans="1:9" x14ac:dyDescent="0.2">
      <c r="A13149" t="str">
        <f>"Mrps27"</f>
        <v>Mrps27</v>
      </c>
      <c r="B13149" t="s">
        <v>14</v>
      </c>
      <c r="C13149" t="s">
        <v>39</v>
      </c>
      <c r="D13149" t="s">
        <v>17</v>
      </c>
      <c r="E13149" t="s">
        <v>12</v>
      </c>
      <c r="F13149">
        <v>99344775</v>
      </c>
      <c r="G13149">
        <v>99344806</v>
      </c>
      <c r="H13149">
        <v>99344775</v>
      </c>
      <c r="I13149">
        <v>99344806</v>
      </c>
    </row>
    <row r="13150" spans="1:9" x14ac:dyDescent="0.2">
      <c r="A13150" t="str">
        <f>"Mrps28"</f>
        <v>Mrps28</v>
      </c>
      <c r="B13150" t="s">
        <v>14</v>
      </c>
      <c r="C13150" t="s">
        <v>22</v>
      </c>
      <c r="D13150" t="s">
        <v>11</v>
      </c>
      <c r="E13150" t="s">
        <v>12</v>
      </c>
      <c r="F13150">
        <v>8923796</v>
      </c>
      <c r="G13150">
        <v>8923822</v>
      </c>
      <c r="H13150">
        <v>8923796</v>
      </c>
      <c r="I13150">
        <v>8923822</v>
      </c>
    </row>
    <row r="13151" spans="1:9" x14ac:dyDescent="0.2">
      <c r="A13151" t="str">
        <f>"Mrps30"</f>
        <v>Mrps30</v>
      </c>
      <c r="B13151" t="s">
        <v>14</v>
      </c>
      <c r="C13151" t="s">
        <v>39</v>
      </c>
      <c r="D13151" t="s">
        <v>11</v>
      </c>
      <c r="E13151" t="s">
        <v>12</v>
      </c>
      <c r="F13151">
        <v>118387224</v>
      </c>
      <c r="G13151">
        <v>118387275</v>
      </c>
      <c r="H13151">
        <v>118387224</v>
      </c>
      <c r="I13151">
        <v>118387275</v>
      </c>
    </row>
    <row r="13152" spans="1:9" x14ac:dyDescent="0.2">
      <c r="A13152" t="str">
        <f>"Mrps31"</f>
        <v>Mrps31</v>
      </c>
      <c r="B13152" t="s">
        <v>14</v>
      </c>
      <c r="C13152" t="s">
        <v>30</v>
      </c>
      <c r="D13152" t="s">
        <v>17</v>
      </c>
      <c r="E13152" t="s">
        <v>12</v>
      </c>
      <c r="F13152">
        <v>22411378</v>
      </c>
      <c r="G13152">
        <v>22411460</v>
      </c>
      <c r="H13152">
        <v>22411378</v>
      </c>
      <c r="I13152">
        <v>22411460</v>
      </c>
    </row>
    <row r="13153" spans="1:9" x14ac:dyDescent="0.2">
      <c r="A13153" t="str">
        <f>"Mrps33"</f>
        <v>Mrps33</v>
      </c>
      <c r="B13153" t="s">
        <v>14</v>
      </c>
      <c r="C13153" t="s">
        <v>32</v>
      </c>
      <c r="D13153" t="s">
        <v>11</v>
      </c>
      <c r="E13153" t="s">
        <v>12</v>
      </c>
      <c r="F13153">
        <v>39810881</v>
      </c>
      <c r="G13153">
        <v>39810905</v>
      </c>
      <c r="H13153">
        <v>39810865</v>
      </c>
      <c r="I13153">
        <v>39810876</v>
      </c>
    </row>
    <row r="13154" spans="1:9" x14ac:dyDescent="0.2">
      <c r="A13154" t="str">
        <f>"Mrps34"</f>
        <v>Mrps34</v>
      </c>
      <c r="B13154" t="s">
        <v>14</v>
      </c>
      <c r="C13154" t="s">
        <v>28</v>
      </c>
      <c r="D13154" t="s">
        <v>17</v>
      </c>
      <c r="E13154" t="s">
        <v>12</v>
      </c>
      <c r="F13154">
        <v>24895117</v>
      </c>
      <c r="G13154">
        <v>24895167</v>
      </c>
      <c r="H13154">
        <v>24895117</v>
      </c>
      <c r="I13154">
        <v>24895167</v>
      </c>
    </row>
    <row r="13155" spans="1:9" x14ac:dyDescent="0.2">
      <c r="A13155" t="str">
        <f>"Mrps35"</f>
        <v>Mrps35</v>
      </c>
      <c r="B13155" t="s">
        <v>14</v>
      </c>
      <c r="C13155" t="s">
        <v>32</v>
      </c>
      <c r="D13155" t="s">
        <v>17</v>
      </c>
      <c r="E13155" t="s">
        <v>12</v>
      </c>
      <c r="F13155">
        <v>147042755</v>
      </c>
      <c r="G13155">
        <v>147042797</v>
      </c>
      <c r="H13155">
        <v>147042745</v>
      </c>
      <c r="I13155">
        <v>147042750</v>
      </c>
    </row>
    <row r="13156" spans="1:9" x14ac:dyDescent="0.2">
      <c r="A13156" t="str">
        <f>"Mrps36"</f>
        <v>Mrps36</v>
      </c>
      <c r="B13156" t="s">
        <v>14</v>
      </c>
      <c r="C13156" t="s">
        <v>39</v>
      </c>
      <c r="D13156" t="s">
        <v>11</v>
      </c>
      <c r="E13156" t="s">
        <v>12</v>
      </c>
      <c r="F13156">
        <v>100744588</v>
      </c>
      <c r="G13156">
        <v>100744663</v>
      </c>
      <c r="H13156">
        <v>100744089</v>
      </c>
      <c r="I13156">
        <v>100744129</v>
      </c>
    </row>
    <row r="13157" spans="1:9" x14ac:dyDescent="0.2">
      <c r="A13157" t="str">
        <f>"Mrps36-ps1"</f>
        <v>Mrps36-ps1</v>
      </c>
      <c r="B13157" t="s">
        <v>14</v>
      </c>
      <c r="C13157" t="s">
        <v>28</v>
      </c>
      <c r="D13157" t="s">
        <v>11</v>
      </c>
      <c r="E13157" t="s">
        <v>67</v>
      </c>
      <c r="F13157">
        <v>53867040</v>
      </c>
      <c r="G13157">
        <v>53867041</v>
      </c>
      <c r="H13157">
        <v>53867040</v>
      </c>
      <c r="I13157">
        <v>53867041</v>
      </c>
    </row>
    <row r="13158" spans="1:9" x14ac:dyDescent="0.2">
      <c r="A13158" t="str">
        <f>"Mrps5"</f>
        <v>Mrps5</v>
      </c>
      <c r="B13158" t="s">
        <v>14</v>
      </c>
      <c r="C13158" t="s">
        <v>26</v>
      </c>
      <c r="D13158" t="s">
        <v>17</v>
      </c>
      <c r="E13158" t="s">
        <v>12</v>
      </c>
      <c r="F13158">
        <v>127587395</v>
      </c>
      <c r="G13158">
        <v>127587430</v>
      </c>
      <c r="H13158">
        <v>127587214</v>
      </c>
      <c r="I13158">
        <v>127587263</v>
      </c>
    </row>
    <row r="13159" spans="1:9" x14ac:dyDescent="0.2">
      <c r="A13159" t="str">
        <f>"Mrps6"</f>
        <v>Mrps6</v>
      </c>
      <c r="B13159" t="s">
        <v>14</v>
      </c>
      <c r="C13159" t="s">
        <v>31</v>
      </c>
      <c r="D13159" t="s">
        <v>17</v>
      </c>
      <c r="E13159" t="s">
        <v>12</v>
      </c>
      <c r="F13159">
        <v>92058313</v>
      </c>
      <c r="G13159">
        <v>92058328</v>
      </c>
      <c r="H13159">
        <v>92057968</v>
      </c>
      <c r="I13159">
        <v>92057975</v>
      </c>
    </row>
    <row r="13160" spans="1:9" x14ac:dyDescent="0.2">
      <c r="A13160" t="str">
        <f>"Mrps7"</f>
        <v>Mrps7</v>
      </c>
      <c r="B13160" t="s">
        <v>14</v>
      </c>
      <c r="C13160" t="s">
        <v>27</v>
      </c>
      <c r="D13160" t="s">
        <v>17</v>
      </c>
      <c r="E13160" t="s">
        <v>12</v>
      </c>
      <c r="F13160">
        <v>115604130</v>
      </c>
      <c r="G13160">
        <v>115604164</v>
      </c>
      <c r="H13160">
        <v>115603920</v>
      </c>
      <c r="I13160">
        <v>115603969</v>
      </c>
    </row>
    <row r="13161" spans="1:9" x14ac:dyDescent="0.2">
      <c r="A13161" t="str">
        <f>"Mrps9"</f>
        <v>Mrps9</v>
      </c>
      <c r="B13161" t="s">
        <v>14</v>
      </c>
      <c r="C13161" t="s">
        <v>19</v>
      </c>
      <c r="D13161" t="s">
        <v>17</v>
      </c>
      <c r="E13161" t="s">
        <v>12</v>
      </c>
      <c r="F13161">
        <v>42851253</v>
      </c>
      <c r="G13161">
        <v>42851295</v>
      </c>
      <c r="H13161">
        <v>42851253</v>
      </c>
      <c r="I13161">
        <v>42851295</v>
      </c>
    </row>
    <row r="13162" spans="1:9" x14ac:dyDescent="0.2">
      <c r="A13162" t="str">
        <f>"Mrrf"</f>
        <v>Mrrf</v>
      </c>
      <c r="B13162" t="s">
        <v>14</v>
      </c>
      <c r="C13162" t="s">
        <v>26</v>
      </c>
      <c r="D13162" t="s">
        <v>17</v>
      </c>
      <c r="E13162" t="s">
        <v>12</v>
      </c>
      <c r="F13162">
        <v>36136620</v>
      </c>
      <c r="G13162">
        <v>36136672</v>
      </c>
      <c r="H13162">
        <v>36136384</v>
      </c>
      <c r="I13162">
        <v>36136428</v>
      </c>
    </row>
    <row r="13163" spans="1:9" x14ac:dyDescent="0.2">
      <c r="A13163" t="str">
        <f>"Mrs2"</f>
        <v>Mrs2</v>
      </c>
      <c r="B13163" t="s">
        <v>4331</v>
      </c>
      <c r="C13163" t="s">
        <v>39</v>
      </c>
      <c r="D13163" t="s">
        <v>11</v>
      </c>
      <c r="E13163" t="s">
        <v>35</v>
      </c>
      <c r="F13163">
        <v>25020289</v>
      </c>
      <c r="G13163">
        <v>25020346</v>
      </c>
      <c r="H13163">
        <v>25020289</v>
      </c>
      <c r="I13163">
        <v>25020346</v>
      </c>
    </row>
    <row r="13164" spans="1:9" x14ac:dyDescent="0.2">
      <c r="A13164" t="str">
        <f>"Mrto4"</f>
        <v>Mrto4</v>
      </c>
      <c r="B13164" t="s">
        <v>14</v>
      </c>
      <c r="C13164" t="s">
        <v>23</v>
      </c>
      <c r="D13164" t="s">
        <v>11</v>
      </c>
      <c r="E13164" t="s">
        <v>12</v>
      </c>
      <c r="F13164">
        <v>139352538</v>
      </c>
      <c r="G13164">
        <v>139352586</v>
      </c>
      <c r="H13164">
        <v>139352317</v>
      </c>
      <c r="I13164">
        <v>139352346</v>
      </c>
    </row>
    <row r="13165" spans="1:9" x14ac:dyDescent="0.2">
      <c r="A13165" t="str">
        <f>"Mrvi1"</f>
        <v>Mrvi1</v>
      </c>
      <c r="B13165" t="s">
        <v>14</v>
      </c>
      <c r="C13165" t="s">
        <v>33</v>
      </c>
      <c r="D13165" t="s">
        <v>11</v>
      </c>
      <c r="E13165" t="s">
        <v>12</v>
      </c>
      <c r="F13165">
        <v>110982049</v>
      </c>
      <c r="G13165">
        <v>110982108</v>
      </c>
      <c r="H13165">
        <v>110982472</v>
      </c>
      <c r="I13165">
        <v>110982483</v>
      </c>
    </row>
    <row r="13166" spans="1:9" x14ac:dyDescent="0.2">
      <c r="A13166" t="str">
        <f>"Ms4a1"</f>
        <v>Ms4a1</v>
      </c>
      <c r="B13166" t="s">
        <v>14</v>
      </c>
      <c r="C13166" t="s">
        <v>10</v>
      </c>
      <c r="D13166" t="s">
        <v>11</v>
      </c>
      <c r="E13166" t="s">
        <v>12</v>
      </c>
      <c r="F13166">
        <v>11266122</v>
      </c>
      <c r="G13166">
        <v>11266161</v>
      </c>
      <c r="H13166">
        <v>11266168</v>
      </c>
      <c r="I13166">
        <v>11266197</v>
      </c>
    </row>
    <row r="13167" spans="1:9" x14ac:dyDescent="0.2">
      <c r="A13167" t="str">
        <f>"Ms4a10"</f>
        <v>Ms4a10</v>
      </c>
      <c r="B13167" t="s">
        <v>14</v>
      </c>
      <c r="C13167" t="s">
        <v>10</v>
      </c>
      <c r="D13167" t="s">
        <v>11</v>
      </c>
      <c r="E13167" t="s">
        <v>12</v>
      </c>
      <c r="F13167">
        <v>10974664</v>
      </c>
      <c r="G13167">
        <v>10974710</v>
      </c>
      <c r="H13167">
        <v>10974649</v>
      </c>
      <c r="I13167">
        <v>10974662</v>
      </c>
    </row>
    <row r="13168" spans="1:9" x14ac:dyDescent="0.2">
      <c r="A13168" t="str">
        <f>"Ms4a13"</f>
        <v>Ms4a13</v>
      </c>
      <c r="B13168" t="s">
        <v>14</v>
      </c>
      <c r="C13168" t="s">
        <v>10</v>
      </c>
      <c r="D13168" t="s">
        <v>11</v>
      </c>
      <c r="E13168" t="s">
        <v>12</v>
      </c>
      <c r="F13168">
        <v>11196700</v>
      </c>
      <c r="G13168">
        <v>11196742</v>
      </c>
      <c r="H13168">
        <v>11196684</v>
      </c>
      <c r="I13168">
        <v>11196692</v>
      </c>
    </row>
    <row r="13169" spans="1:9" x14ac:dyDescent="0.2">
      <c r="A13169" t="str">
        <f>"Ms4a15"</f>
        <v>Ms4a15</v>
      </c>
      <c r="B13169" t="s">
        <v>14</v>
      </c>
      <c r="C13169" t="s">
        <v>10</v>
      </c>
      <c r="D13169" t="s">
        <v>11</v>
      </c>
      <c r="E13169" t="s">
        <v>12</v>
      </c>
      <c r="F13169">
        <v>10993176</v>
      </c>
      <c r="G13169">
        <v>10993186</v>
      </c>
      <c r="H13169">
        <v>10993227</v>
      </c>
      <c r="I13169">
        <v>10993234</v>
      </c>
    </row>
    <row r="13170" spans="1:9" x14ac:dyDescent="0.2">
      <c r="A13170" t="str">
        <f>"Ms4a18"</f>
        <v>Ms4a18</v>
      </c>
      <c r="B13170" t="s">
        <v>14</v>
      </c>
      <c r="C13170" t="s">
        <v>10</v>
      </c>
      <c r="D13170" t="s">
        <v>11</v>
      </c>
      <c r="E13170" t="s">
        <v>12</v>
      </c>
      <c r="F13170">
        <v>11017933</v>
      </c>
      <c r="G13170">
        <v>11017980</v>
      </c>
      <c r="H13170">
        <v>11018026</v>
      </c>
      <c r="I13170">
        <v>11018040</v>
      </c>
    </row>
    <row r="13171" spans="1:9" x14ac:dyDescent="0.2">
      <c r="A13171" t="str">
        <f>"Ms4a2"</f>
        <v>Ms4a2</v>
      </c>
      <c r="B13171" t="s">
        <v>14</v>
      </c>
      <c r="C13171" t="s">
        <v>10</v>
      </c>
      <c r="D13171" t="s">
        <v>11</v>
      </c>
      <c r="E13171" t="s">
        <v>12</v>
      </c>
      <c r="F13171">
        <v>11623678</v>
      </c>
      <c r="G13171">
        <v>11623709</v>
      </c>
      <c r="H13171">
        <v>11623660</v>
      </c>
      <c r="I13171">
        <v>11623664</v>
      </c>
    </row>
    <row r="13172" spans="1:9" x14ac:dyDescent="0.2">
      <c r="A13172" t="str">
        <f>"Ms4a3"</f>
        <v>Ms4a3</v>
      </c>
      <c r="B13172" t="s">
        <v>14</v>
      </c>
      <c r="C13172" t="s">
        <v>10</v>
      </c>
      <c r="D13172" t="s">
        <v>11</v>
      </c>
      <c r="E13172" t="s">
        <v>12</v>
      </c>
      <c r="F13172">
        <v>11640727</v>
      </c>
      <c r="G13172">
        <v>11640744</v>
      </c>
      <c r="H13172">
        <v>11640844</v>
      </c>
      <c r="I13172">
        <v>11640856</v>
      </c>
    </row>
    <row r="13173" spans="1:9" x14ac:dyDescent="0.2">
      <c r="A13173" t="str">
        <f>"Ms4a4b"</f>
        <v>Ms4a4b</v>
      </c>
      <c r="B13173" t="s">
        <v>14</v>
      </c>
      <c r="C13173" t="s">
        <v>10</v>
      </c>
      <c r="D13173" t="s">
        <v>17</v>
      </c>
      <c r="E13173" t="s">
        <v>12</v>
      </c>
      <c r="F13173">
        <v>11443577</v>
      </c>
      <c r="G13173">
        <v>11443593</v>
      </c>
      <c r="H13173">
        <v>11443596</v>
      </c>
      <c r="I13173">
        <v>11443609</v>
      </c>
    </row>
    <row r="13174" spans="1:9" x14ac:dyDescent="0.2">
      <c r="A13174" t="str">
        <f>"Ms4a4c"</f>
        <v>Ms4a4c</v>
      </c>
      <c r="B13174" t="s">
        <v>14</v>
      </c>
      <c r="C13174" t="s">
        <v>10</v>
      </c>
      <c r="D13174" t="s">
        <v>17</v>
      </c>
      <c r="E13174" t="s">
        <v>12</v>
      </c>
      <c r="F13174">
        <v>11407652</v>
      </c>
      <c r="G13174">
        <v>11407700</v>
      </c>
      <c r="H13174">
        <v>11407703</v>
      </c>
      <c r="I13174">
        <v>11407716</v>
      </c>
    </row>
    <row r="13175" spans="1:9" x14ac:dyDescent="0.2">
      <c r="A13175" t="str">
        <f>"Ms4a4d"</f>
        <v>Ms4a4d</v>
      </c>
      <c r="B13175" t="s">
        <v>14</v>
      </c>
      <c r="C13175" t="s">
        <v>10</v>
      </c>
      <c r="D13175" t="s">
        <v>17</v>
      </c>
      <c r="E13175" t="s">
        <v>12</v>
      </c>
      <c r="F13175">
        <v>11536769</v>
      </c>
      <c r="G13175">
        <v>11536846</v>
      </c>
      <c r="H13175">
        <v>11536769</v>
      </c>
      <c r="I13175">
        <v>11536846</v>
      </c>
    </row>
    <row r="13176" spans="1:9" x14ac:dyDescent="0.2">
      <c r="A13176" t="str">
        <f>"Ms4a5"</f>
        <v>Ms4a5</v>
      </c>
      <c r="B13176" t="s">
        <v>14</v>
      </c>
      <c r="C13176" t="s">
        <v>10</v>
      </c>
      <c r="D13176" t="s">
        <v>11</v>
      </c>
      <c r="E13176" t="s">
        <v>12</v>
      </c>
      <c r="F13176">
        <v>11283866</v>
      </c>
      <c r="G13176">
        <v>11283879</v>
      </c>
      <c r="H13176">
        <v>11283881</v>
      </c>
      <c r="I13176">
        <v>11283884</v>
      </c>
    </row>
    <row r="13177" spans="1:9" x14ac:dyDescent="0.2">
      <c r="A13177" t="str">
        <f>"Ms4a6b"</f>
        <v>Ms4a6b</v>
      </c>
      <c r="B13177" t="s">
        <v>14</v>
      </c>
      <c r="C13177" t="s">
        <v>10</v>
      </c>
      <c r="D13177" t="s">
        <v>17</v>
      </c>
      <c r="E13177" t="s">
        <v>12</v>
      </c>
      <c r="F13177">
        <v>11518493</v>
      </c>
      <c r="G13177">
        <v>11518534</v>
      </c>
      <c r="H13177">
        <v>11518493</v>
      </c>
      <c r="I13177">
        <v>11518534</v>
      </c>
    </row>
    <row r="13178" spans="1:9" x14ac:dyDescent="0.2">
      <c r="A13178" t="str">
        <f>"Ms4a6c"</f>
        <v>Ms4a6c</v>
      </c>
      <c r="B13178" t="s">
        <v>14</v>
      </c>
      <c r="C13178" t="s">
        <v>10</v>
      </c>
      <c r="D13178" t="s">
        <v>17</v>
      </c>
      <c r="E13178" t="s">
        <v>12</v>
      </c>
      <c r="F13178">
        <v>11469387</v>
      </c>
      <c r="G13178">
        <v>11469403</v>
      </c>
      <c r="H13178">
        <v>11469469</v>
      </c>
      <c r="I13178">
        <v>11469502</v>
      </c>
    </row>
    <row r="13179" spans="1:9" x14ac:dyDescent="0.2">
      <c r="A13179" t="str">
        <f>"Ms4a6d"</f>
        <v>Ms4a6d</v>
      </c>
      <c r="B13179" t="s">
        <v>14</v>
      </c>
      <c r="C13179" t="s">
        <v>10</v>
      </c>
      <c r="D13179" t="s">
        <v>11</v>
      </c>
      <c r="E13179" t="s">
        <v>12</v>
      </c>
      <c r="F13179">
        <v>11604768</v>
      </c>
      <c r="G13179">
        <v>11604793</v>
      </c>
      <c r="H13179">
        <v>11604749</v>
      </c>
      <c r="I13179">
        <v>11604766</v>
      </c>
    </row>
    <row r="13180" spans="1:9" x14ac:dyDescent="0.2">
      <c r="A13180" t="str">
        <f>"Ms4a7"</f>
        <v>Ms4a7</v>
      </c>
      <c r="B13180" t="s">
        <v>14</v>
      </c>
      <c r="C13180" t="s">
        <v>10</v>
      </c>
      <c r="D13180" t="s">
        <v>11</v>
      </c>
      <c r="E13180" t="s">
        <v>12</v>
      </c>
      <c r="F13180">
        <v>11336107</v>
      </c>
      <c r="G13180">
        <v>11336124</v>
      </c>
      <c r="H13180">
        <v>11336052</v>
      </c>
      <c r="I13180">
        <v>11336069</v>
      </c>
    </row>
    <row r="13181" spans="1:9" x14ac:dyDescent="0.2">
      <c r="A13181" t="str">
        <f>"Ms4a8a"</f>
        <v>Ms4a8a</v>
      </c>
      <c r="B13181" t="s">
        <v>14</v>
      </c>
      <c r="C13181" t="s">
        <v>10</v>
      </c>
      <c r="D13181" t="s">
        <v>11</v>
      </c>
      <c r="E13181" t="s">
        <v>12</v>
      </c>
      <c r="F13181">
        <v>11081088</v>
      </c>
      <c r="G13181">
        <v>11081111</v>
      </c>
      <c r="H13181">
        <v>11081088</v>
      </c>
      <c r="I13181">
        <v>11081111</v>
      </c>
    </row>
    <row r="13182" spans="1:9" x14ac:dyDescent="0.2">
      <c r="A13182" t="str">
        <f>"Msantd1"</f>
        <v>Msantd1</v>
      </c>
      <c r="B13182" t="s">
        <v>4332</v>
      </c>
      <c r="C13182" t="s">
        <v>46</v>
      </c>
      <c r="D13182" t="s">
        <v>17</v>
      </c>
      <c r="E13182" t="s">
        <v>20</v>
      </c>
      <c r="F13182">
        <v>34915914</v>
      </c>
      <c r="G13182">
        <v>34915914</v>
      </c>
      <c r="H13182">
        <v>34915914</v>
      </c>
      <c r="I13182">
        <v>34915914</v>
      </c>
    </row>
    <row r="13183" spans="1:9" x14ac:dyDescent="0.2">
      <c r="A13183" t="str">
        <f>"Msantd2"</f>
        <v>Msantd2</v>
      </c>
      <c r="B13183" t="s">
        <v>14</v>
      </c>
      <c r="C13183" t="s">
        <v>24</v>
      </c>
      <c r="D13183" t="s">
        <v>17</v>
      </c>
      <c r="E13183" t="s">
        <v>67</v>
      </c>
      <c r="F13183">
        <v>37489281</v>
      </c>
      <c r="G13183">
        <v>37489326</v>
      </c>
      <c r="H13183">
        <v>37489281</v>
      </c>
      <c r="I13183">
        <v>37489326</v>
      </c>
    </row>
    <row r="13184" spans="1:9" x14ac:dyDescent="0.2">
      <c r="A13184" t="str">
        <f>"Msantd3"</f>
        <v>Msantd3</v>
      </c>
      <c r="B13184" t="s">
        <v>14</v>
      </c>
      <c r="C13184" t="s">
        <v>23</v>
      </c>
      <c r="D13184" t="s">
        <v>17</v>
      </c>
      <c r="E13184" t="s">
        <v>67</v>
      </c>
      <c r="F13184">
        <v>48540419</v>
      </c>
      <c r="G13184">
        <v>48540499</v>
      </c>
      <c r="H13184">
        <v>48540067</v>
      </c>
      <c r="I13184">
        <v>48540086</v>
      </c>
    </row>
    <row r="13185" spans="1:9" x14ac:dyDescent="0.2">
      <c r="A13185" t="str">
        <f>"Msantd4"</f>
        <v>Msantd4</v>
      </c>
      <c r="B13185" t="s">
        <v>4333</v>
      </c>
      <c r="C13185" t="s">
        <v>24</v>
      </c>
      <c r="D13185" t="s">
        <v>17</v>
      </c>
      <c r="E13185" t="s">
        <v>20</v>
      </c>
      <c r="F13185">
        <v>4383534</v>
      </c>
      <c r="G13185">
        <v>4383534</v>
      </c>
      <c r="H13185">
        <v>4383534</v>
      </c>
      <c r="I13185">
        <v>4383534</v>
      </c>
    </row>
    <row r="13186" spans="1:9" x14ac:dyDescent="0.2">
      <c r="A13186" t="str">
        <f>"Msc"</f>
        <v>Msc</v>
      </c>
      <c r="B13186" t="s">
        <v>14</v>
      </c>
      <c r="C13186" t="s">
        <v>19</v>
      </c>
      <c r="D13186" t="s">
        <v>11</v>
      </c>
      <c r="E13186" t="s">
        <v>12</v>
      </c>
      <c r="F13186">
        <v>14755984</v>
      </c>
      <c r="G13186">
        <v>14755998</v>
      </c>
      <c r="H13186">
        <v>14755951</v>
      </c>
      <c r="I13186">
        <v>14755961</v>
      </c>
    </row>
    <row r="13187" spans="1:9" x14ac:dyDescent="0.2">
      <c r="A13187" t="str">
        <f>"Msgn1"</f>
        <v>Msgn1</v>
      </c>
      <c r="B13187" t="s">
        <v>14</v>
      </c>
      <c r="C13187" t="s">
        <v>16</v>
      </c>
      <c r="D13187" t="s">
        <v>11</v>
      </c>
      <c r="E13187" t="s">
        <v>12</v>
      </c>
      <c r="F13187">
        <v>11209002</v>
      </c>
      <c r="G13187">
        <v>11209003</v>
      </c>
      <c r="H13187">
        <v>11209002</v>
      </c>
      <c r="I13187">
        <v>11209003</v>
      </c>
    </row>
    <row r="13188" spans="1:9" x14ac:dyDescent="0.2">
      <c r="A13188" t="str">
        <f>"Msh2"</f>
        <v>Msh2</v>
      </c>
      <c r="B13188" t="s">
        <v>14</v>
      </c>
      <c r="C13188" t="s">
        <v>28</v>
      </c>
      <c r="D13188" t="s">
        <v>17</v>
      </c>
      <c r="E13188" t="s">
        <v>12</v>
      </c>
      <c r="F13188">
        <v>87672523</v>
      </c>
      <c r="G13188">
        <v>87672580</v>
      </c>
      <c r="H13188">
        <v>87672757</v>
      </c>
      <c r="I13188">
        <v>87672758</v>
      </c>
    </row>
    <row r="13189" spans="1:9" x14ac:dyDescent="0.2">
      <c r="A13189" t="str">
        <f>"Msh3"</f>
        <v>Msh3</v>
      </c>
      <c r="B13189" t="s">
        <v>14</v>
      </c>
      <c r="C13189" t="s">
        <v>39</v>
      </c>
      <c r="D13189" t="s">
        <v>11</v>
      </c>
      <c r="E13189" t="s">
        <v>12</v>
      </c>
      <c r="F13189">
        <v>92354943</v>
      </c>
      <c r="G13189">
        <v>92355025</v>
      </c>
      <c r="H13189">
        <v>92354599</v>
      </c>
      <c r="I13189">
        <v>92354640</v>
      </c>
    </row>
    <row r="13190" spans="1:9" x14ac:dyDescent="0.2">
      <c r="A13190" t="str">
        <f>"Msh4"</f>
        <v>Msh4</v>
      </c>
      <c r="B13190" t="s">
        <v>4334</v>
      </c>
      <c r="C13190" t="s">
        <v>22</v>
      </c>
      <c r="D13190" t="s">
        <v>11</v>
      </c>
      <c r="E13190" t="s">
        <v>20</v>
      </c>
      <c r="F13190">
        <v>153906137</v>
      </c>
      <c r="G13190">
        <v>153906137</v>
      </c>
      <c r="H13190">
        <v>153906137</v>
      </c>
      <c r="I13190">
        <v>153906137</v>
      </c>
    </row>
    <row r="13191" spans="1:9" x14ac:dyDescent="0.2">
      <c r="A13191" t="str">
        <f>"Msh5"</f>
        <v>Msh5</v>
      </c>
      <c r="B13191" t="s">
        <v>14</v>
      </c>
      <c r="C13191" t="s">
        <v>28</v>
      </c>
      <c r="D13191" t="s">
        <v>11</v>
      </c>
      <c r="E13191" t="s">
        <v>12</v>
      </c>
      <c r="F13191">
        <v>35046737</v>
      </c>
      <c r="G13191">
        <v>35046763</v>
      </c>
      <c r="H13191">
        <v>35046539</v>
      </c>
      <c r="I13191">
        <v>35046559</v>
      </c>
    </row>
    <row r="13192" spans="1:9" x14ac:dyDescent="0.2">
      <c r="A13192" t="str">
        <f>"Msh6"</f>
        <v>Msh6</v>
      </c>
      <c r="B13192" t="s">
        <v>14</v>
      </c>
      <c r="C13192" t="s">
        <v>28</v>
      </c>
      <c r="D13192" t="s">
        <v>17</v>
      </c>
      <c r="E13192" t="s">
        <v>12</v>
      </c>
      <c r="F13192">
        <v>87975044</v>
      </c>
      <c r="G13192">
        <v>87975085</v>
      </c>
      <c r="H13192">
        <v>87975086</v>
      </c>
      <c r="I13192">
        <v>87975107</v>
      </c>
    </row>
    <row r="13193" spans="1:9" x14ac:dyDescent="0.2">
      <c r="A13193" t="str">
        <f>"Msi1"</f>
        <v>Msi1</v>
      </c>
      <c r="B13193" t="s">
        <v>14</v>
      </c>
      <c r="C13193" t="s">
        <v>46</v>
      </c>
      <c r="D13193" t="s">
        <v>17</v>
      </c>
      <c r="E13193" t="s">
        <v>12</v>
      </c>
      <c r="F13193">
        <v>115429622</v>
      </c>
      <c r="G13193">
        <v>115429683</v>
      </c>
      <c r="H13193">
        <v>115429585</v>
      </c>
      <c r="I13193">
        <v>115429613</v>
      </c>
    </row>
    <row r="13194" spans="1:9" x14ac:dyDescent="0.2">
      <c r="A13194" t="str">
        <f>"Msi2"</f>
        <v>Msi2</v>
      </c>
      <c r="B13194" t="s">
        <v>14</v>
      </c>
      <c r="C13194" t="s">
        <v>27</v>
      </c>
      <c r="D13194" t="s">
        <v>11</v>
      </c>
      <c r="E13194" t="s">
        <v>12</v>
      </c>
      <c r="F13194">
        <v>88718223</v>
      </c>
      <c r="G13194">
        <v>88718294</v>
      </c>
      <c r="H13194">
        <v>88718165</v>
      </c>
      <c r="I13194">
        <v>88718196</v>
      </c>
    </row>
    <row r="13195" spans="1:9" x14ac:dyDescent="0.2">
      <c r="A13195" t="str">
        <f>"Msl1"</f>
        <v>Msl1</v>
      </c>
      <c r="B13195" t="s">
        <v>14</v>
      </c>
      <c r="C13195" t="s">
        <v>27</v>
      </c>
      <c r="D13195" t="s">
        <v>17</v>
      </c>
      <c r="E13195" t="s">
        <v>12</v>
      </c>
      <c r="F13195">
        <v>98795495</v>
      </c>
      <c r="G13195">
        <v>98795574</v>
      </c>
      <c r="H13195">
        <v>98795495</v>
      </c>
      <c r="I13195">
        <v>98795574</v>
      </c>
    </row>
    <row r="13196" spans="1:9" x14ac:dyDescent="0.2">
      <c r="A13196" t="str">
        <f>"Msl2"</f>
        <v>Msl2</v>
      </c>
      <c r="B13196" t="s">
        <v>14</v>
      </c>
      <c r="C13196" t="s">
        <v>24</v>
      </c>
      <c r="D13196" t="s">
        <v>17</v>
      </c>
      <c r="E13196" t="s">
        <v>12</v>
      </c>
      <c r="F13196">
        <v>101074777</v>
      </c>
      <c r="G13196">
        <v>101074808</v>
      </c>
      <c r="H13196">
        <v>101074777</v>
      </c>
      <c r="I13196">
        <v>101074808</v>
      </c>
    </row>
    <row r="13197" spans="1:9" x14ac:dyDescent="0.2">
      <c r="A13197" t="str">
        <f>"Msl3"</f>
        <v>Msl3</v>
      </c>
      <c r="B13197" t="s">
        <v>9</v>
      </c>
      <c r="C13197" t="s">
        <v>37</v>
      </c>
      <c r="D13197" t="s">
        <v>11</v>
      </c>
      <c r="E13197" t="s">
        <v>12</v>
      </c>
      <c r="F13197">
        <v>168673828</v>
      </c>
      <c r="G13197">
        <v>168673896</v>
      </c>
      <c r="H13197">
        <v>168673828</v>
      </c>
      <c r="I13197">
        <v>168673896</v>
      </c>
    </row>
    <row r="13198" spans="1:9" x14ac:dyDescent="0.2">
      <c r="A13198" t="str">
        <f>"Msl3"</f>
        <v>Msl3</v>
      </c>
      <c r="B13198" t="s">
        <v>13</v>
      </c>
      <c r="C13198" t="s">
        <v>37</v>
      </c>
      <c r="D13198" t="s">
        <v>11</v>
      </c>
      <c r="E13198" t="s">
        <v>12</v>
      </c>
      <c r="F13198">
        <v>168672482</v>
      </c>
      <c r="G13198">
        <v>168672507</v>
      </c>
      <c r="H13198">
        <v>168672482</v>
      </c>
      <c r="I13198">
        <v>168672507</v>
      </c>
    </row>
    <row r="13199" spans="1:9" x14ac:dyDescent="0.2">
      <c r="A13199" t="str">
        <f>"Msl3l2"</f>
        <v>Msl3l2</v>
      </c>
      <c r="B13199" t="s">
        <v>14</v>
      </c>
      <c r="C13199" t="s">
        <v>15</v>
      </c>
      <c r="D13199" t="s">
        <v>17</v>
      </c>
      <c r="E13199" t="s">
        <v>12</v>
      </c>
      <c r="F13199">
        <v>56106883</v>
      </c>
      <c r="G13199">
        <v>56106937</v>
      </c>
      <c r="H13199">
        <v>56106945</v>
      </c>
      <c r="I13199">
        <v>56106959</v>
      </c>
    </row>
    <row r="13200" spans="1:9" x14ac:dyDescent="0.2">
      <c r="A13200" t="str">
        <f>"Msln"</f>
        <v>Msln</v>
      </c>
      <c r="B13200" t="s">
        <v>14</v>
      </c>
      <c r="C13200" t="s">
        <v>28</v>
      </c>
      <c r="D13200" t="s">
        <v>11</v>
      </c>
      <c r="E13200" t="s">
        <v>12</v>
      </c>
      <c r="F13200">
        <v>25754343</v>
      </c>
      <c r="G13200">
        <v>25754382</v>
      </c>
      <c r="H13200">
        <v>25754327</v>
      </c>
      <c r="I13200">
        <v>25754338</v>
      </c>
    </row>
    <row r="13201" spans="1:9" x14ac:dyDescent="0.2">
      <c r="A13201" t="str">
        <f>"Mslnl"</f>
        <v>Mslnl</v>
      </c>
      <c r="B13201" t="s">
        <v>14</v>
      </c>
      <c r="C13201" t="s">
        <v>28</v>
      </c>
      <c r="D13201" t="s">
        <v>17</v>
      </c>
      <c r="E13201" t="s">
        <v>12</v>
      </c>
      <c r="F13201">
        <v>25735920</v>
      </c>
      <c r="G13201">
        <v>25735951</v>
      </c>
      <c r="H13201">
        <v>25736004</v>
      </c>
      <c r="I13201">
        <v>25736014</v>
      </c>
    </row>
    <row r="13202" spans="1:9" x14ac:dyDescent="0.2">
      <c r="A13202" t="str">
        <f>"Msmb"</f>
        <v>Msmb</v>
      </c>
      <c r="B13202" t="s">
        <v>14</v>
      </c>
      <c r="C13202" t="s">
        <v>41</v>
      </c>
      <c r="D13202" t="s">
        <v>17</v>
      </c>
      <c r="E13202" t="s">
        <v>12</v>
      </c>
      <c r="F13202">
        <v>32142021</v>
      </c>
      <c r="G13202">
        <v>32142025</v>
      </c>
      <c r="H13202">
        <v>32142021</v>
      </c>
      <c r="I13202">
        <v>32142025</v>
      </c>
    </row>
    <row r="13203" spans="1:9" x14ac:dyDescent="0.2">
      <c r="A13203" t="str">
        <f>"Msmp"</f>
        <v>Msmp</v>
      </c>
      <c r="B13203" t="s">
        <v>14</v>
      </c>
      <c r="C13203" t="s">
        <v>23</v>
      </c>
      <c r="D13203" t="s">
        <v>11</v>
      </c>
      <c r="E13203" t="s">
        <v>12</v>
      </c>
      <c r="F13203">
        <v>43584386</v>
      </c>
      <c r="G13203">
        <v>43584393</v>
      </c>
      <c r="H13203">
        <v>43584479</v>
      </c>
      <c r="I13203">
        <v>43584481</v>
      </c>
    </row>
    <row r="13204" spans="1:9" x14ac:dyDescent="0.2">
      <c r="A13204" t="str">
        <f>"Msn"</f>
        <v>Msn</v>
      </c>
      <c r="B13204" t="s">
        <v>14</v>
      </c>
      <c r="C13204" t="s">
        <v>37</v>
      </c>
      <c r="D13204" t="s">
        <v>17</v>
      </c>
      <c r="E13204" t="s">
        <v>12</v>
      </c>
      <c r="F13204">
        <v>96096082</v>
      </c>
      <c r="G13204">
        <v>96096116</v>
      </c>
      <c r="H13204">
        <v>96096034</v>
      </c>
      <c r="I13204">
        <v>96096056</v>
      </c>
    </row>
    <row r="13205" spans="1:9" x14ac:dyDescent="0.2">
      <c r="A13205" t="str">
        <f>"Msr1"</f>
        <v>Msr1</v>
      </c>
      <c r="B13205" t="s">
        <v>14</v>
      </c>
      <c r="C13205" t="s">
        <v>30</v>
      </c>
      <c r="D13205" t="s">
        <v>11</v>
      </c>
      <c r="E13205" t="s">
        <v>12</v>
      </c>
      <c r="F13205">
        <v>39642669</v>
      </c>
      <c r="G13205">
        <v>39642673</v>
      </c>
      <c r="H13205">
        <v>39642717</v>
      </c>
      <c r="I13205">
        <v>39642749</v>
      </c>
    </row>
    <row r="13206" spans="1:9" x14ac:dyDescent="0.2">
      <c r="A13206" t="str">
        <f>"Msra"</f>
        <v>Msra</v>
      </c>
      <c r="B13206" t="s">
        <v>14</v>
      </c>
      <c r="C13206" t="s">
        <v>41</v>
      </c>
      <c r="D13206" t="s">
        <v>11</v>
      </c>
      <c r="E13206" t="s">
        <v>12</v>
      </c>
      <c r="F13206">
        <v>64440868</v>
      </c>
      <c r="G13206">
        <v>64440923</v>
      </c>
      <c r="H13206">
        <v>64440848</v>
      </c>
      <c r="I13206">
        <v>64440863</v>
      </c>
    </row>
    <row r="13207" spans="1:9" x14ac:dyDescent="0.2">
      <c r="A13207" t="str">
        <f>"Msrb1"</f>
        <v>Msrb1</v>
      </c>
      <c r="B13207" t="s">
        <v>14</v>
      </c>
      <c r="C13207" t="s">
        <v>28</v>
      </c>
      <c r="D13207" t="s">
        <v>17</v>
      </c>
      <c r="E13207" t="s">
        <v>67</v>
      </c>
      <c r="F13207">
        <v>24736673</v>
      </c>
      <c r="G13207">
        <v>24736695</v>
      </c>
      <c r="H13207">
        <v>24736660</v>
      </c>
      <c r="I13207">
        <v>24736671</v>
      </c>
    </row>
    <row r="13208" spans="1:9" x14ac:dyDescent="0.2">
      <c r="A13208" t="str">
        <f>"Msrb2"</f>
        <v>Msrb2</v>
      </c>
      <c r="B13208" t="s">
        <v>14</v>
      </c>
      <c r="C13208" t="s">
        <v>26</v>
      </c>
      <c r="D13208" t="s">
        <v>17</v>
      </c>
      <c r="E13208" t="s">
        <v>12</v>
      </c>
      <c r="F13208">
        <v>19371640</v>
      </c>
      <c r="G13208">
        <v>19371685</v>
      </c>
      <c r="H13208">
        <v>19371423</v>
      </c>
      <c r="I13208">
        <v>19371448</v>
      </c>
    </row>
    <row r="13209" spans="1:9" x14ac:dyDescent="0.2">
      <c r="A13209" t="str">
        <f>"Msrb3"</f>
        <v>Msrb3</v>
      </c>
      <c r="B13209" t="s">
        <v>14</v>
      </c>
      <c r="C13209" t="s">
        <v>15</v>
      </c>
      <c r="D13209" t="s">
        <v>11</v>
      </c>
      <c r="E13209" t="s">
        <v>12</v>
      </c>
      <c r="F13209">
        <v>120898910</v>
      </c>
      <c r="G13209">
        <v>120898954</v>
      </c>
      <c r="H13209">
        <v>120898964</v>
      </c>
      <c r="I13209">
        <v>120898988</v>
      </c>
    </row>
    <row r="13210" spans="1:9" x14ac:dyDescent="0.2">
      <c r="A13210" t="str">
        <f>"Mss51"</f>
        <v>Mss51</v>
      </c>
      <c r="B13210" t="s">
        <v>14</v>
      </c>
      <c r="C13210" t="s">
        <v>41</v>
      </c>
      <c r="D13210" t="s">
        <v>11</v>
      </c>
      <c r="E13210" t="s">
        <v>67</v>
      </c>
      <c r="F13210">
        <v>20496670</v>
      </c>
      <c r="G13210">
        <v>20496686</v>
      </c>
      <c r="H13210">
        <v>20496670</v>
      </c>
      <c r="I13210">
        <v>20496686</v>
      </c>
    </row>
    <row r="13211" spans="1:9" x14ac:dyDescent="0.2">
      <c r="A13211" t="str">
        <f>"Mst1"</f>
        <v>Mst1</v>
      </c>
      <c r="B13211" t="s">
        <v>14</v>
      </c>
      <c r="C13211" t="s">
        <v>24</v>
      </c>
      <c r="D13211" t="s">
        <v>17</v>
      </c>
      <c r="E13211" t="s">
        <v>12</v>
      </c>
      <c r="F13211">
        <v>108080446</v>
      </c>
      <c r="G13211">
        <v>108080462</v>
      </c>
      <c r="H13211">
        <v>108080467</v>
      </c>
      <c r="I13211">
        <v>108080478</v>
      </c>
    </row>
    <row r="13212" spans="1:9" x14ac:dyDescent="0.2">
      <c r="A13212" t="str">
        <f>"Mst1r"</f>
        <v>Mst1r</v>
      </c>
      <c r="B13212" t="s">
        <v>14</v>
      </c>
      <c r="C13212" t="s">
        <v>24</v>
      </c>
      <c r="D13212" t="s">
        <v>17</v>
      </c>
      <c r="E13212" t="s">
        <v>12</v>
      </c>
      <c r="F13212">
        <v>107906866</v>
      </c>
      <c r="G13212">
        <v>107906918</v>
      </c>
      <c r="H13212">
        <v>107906971</v>
      </c>
      <c r="I13212">
        <v>107906980</v>
      </c>
    </row>
    <row r="13213" spans="1:9" x14ac:dyDescent="0.2">
      <c r="A13213" t="str">
        <f>"Mstn"</f>
        <v>Mstn</v>
      </c>
      <c r="B13213" t="s">
        <v>14</v>
      </c>
      <c r="C13213" t="s">
        <v>19</v>
      </c>
      <c r="D13213" t="s">
        <v>17</v>
      </c>
      <c r="E13213" t="s">
        <v>12</v>
      </c>
      <c r="F13213">
        <v>53061637</v>
      </c>
      <c r="G13213">
        <v>53061642</v>
      </c>
      <c r="H13213">
        <v>53061637</v>
      </c>
      <c r="I13213">
        <v>53061642</v>
      </c>
    </row>
    <row r="13214" spans="1:9" x14ac:dyDescent="0.2">
      <c r="A13214" t="str">
        <f>"Msto1"</f>
        <v>Msto1</v>
      </c>
      <c r="B13214" t="s">
        <v>14</v>
      </c>
      <c r="C13214" t="s">
        <v>22</v>
      </c>
      <c r="D13214" t="s">
        <v>11</v>
      </c>
      <c r="E13214" t="s">
        <v>12</v>
      </c>
      <c r="F13214">
        <v>88913885</v>
      </c>
      <c r="G13214">
        <v>88913948</v>
      </c>
      <c r="H13214">
        <v>88913977</v>
      </c>
      <c r="I13214">
        <v>88914004</v>
      </c>
    </row>
    <row r="13215" spans="1:9" x14ac:dyDescent="0.2">
      <c r="A13215" t="str">
        <f>"Msx1"</f>
        <v>Msx1</v>
      </c>
      <c r="B13215" t="s">
        <v>14</v>
      </c>
      <c r="C13215" t="s">
        <v>46</v>
      </c>
      <c r="D13215" t="s">
        <v>11</v>
      </c>
      <c r="E13215" t="s">
        <v>12</v>
      </c>
      <c r="F13215">
        <v>37824580</v>
      </c>
      <c r="G13215">
        <v>37824584</v>
      </c>
      <c r="H13215">
        <v>37824580</v>
      </c>
      <c r="I13215">
        <v>37824584</v>
      </c>
    </row>
    <row r="13216" spans="1:9" x14ac:dyDescent="0.2">
      <c r="A13216" t="str">
        <f>"Msx2"</f>
        <v>Msx2</v>
      </c>
      <c r="B13216" t="s">
        <v>14</v>
      </c>
      <c r="C13216" t="s">
        <v>39</v>
      </c>
      <c r="D13216" t="s">
        <v>11</v>
      </c>
      <c r="E13216" t="s">
        <v>12</v>
      </c>
      <c r="F13216">
        <v>53472735</v>
      </c>
      <c r="G13216">
        <v>53472787</v>
      </c>
      <c r="H13216">
        <v>53472822</v>
      </c>
      <c r="I13216">
        <v>53472850</v>
      </c>
    </row>
    <row r="13217" spans="1:9" x14ac:dyDescent="0.2">
      <c r="A13217" t="str">
        <f>"Msx3"</f>
        <v>Msx3</v>
      </c>
      <c r="B13217" t="s">
        <v>14</v>
      </c>
      <c r="C13217" t="s">
        <v>33</v>
      </c>
      <c r="D13217" t="s">
        <v>11</v>
      </c>
      <c r="E13217" t="s">
        <v>12</v>
      </c>
      <c r="F13217">
        <v>140049083</v>
      </c>
      <c r="G13217">
        <v>140049089</v>
      </c>
      <c r="H13217">
        <v>140049148</v>
      </c>
      <c r="I13217">
        <v>140049180</v>
      </c>
    </row>
    <row r="13218" spans="1:9" x14ac:dyDescent="0.2">
      <c r="A13218" t="str">
        <f>"Mt1"</f>
        <v>Mt1</v>
      </c>
      <c r="B13218" t="s">
        <v>14</v>
      </c>
      <c r="C13218" t="s">
        <v>30</v>
      </c>
      <c r="D13218" t="s">
        <v>17</v>
      </c>
      <c r="E13218" t="s">
        <v>12</v>
      </c>
      <c r="F13218">
        <v>94179234</v>
      </c>
      <c r="G13218">
        <v>94179248</v>
      </c>
      <c r="H13218">
        <v>94178818</v>
      </c>
      <c r="I13218">
        <v>94178826</v>
      </c>
    </row>
    <row r="13219" spans="1:9" x14ac:dyDescent="0.2">
      <c r="A13219" t="str">
        <f>"Mt2"</f>
        <v>Mt2</v>
      </c>
      <c r="B13219" t="s">
        <v>14</v>
      </c>
      <c r="C13219" t="s">
        <v>30</v>
      </c>
      <c r="D13219" t="s">
        <v>17</v>
      </c>
      <c r="E13219" t="s">
        <v>12</v>
      </c>
      <c r="F13219">
        <v>94172774</v>
      </c>
      <c r="G13219">
        <v>94172792</v>
      </c>
      <c r="H13219">
        <v>94172774</v>
      </c>
      <c r="I13219">
        <v>94172792</v>
      </c>
    </row>
    <row r="13220" spans="1:9" x14ac:dyDescent="0.2">
      <c r="A13220" t="str">
        <f>"Mt3"</f>
        <v>Mt3</v>
      </c>
      <c r="B13220" t="s">
        <v>14</v>
      </c>
      <c r="C13220" t="s">
        <v>30</v>
      </c>
      <c r="D13220" t="s">
        <v>17</v>
      </c>
      <c r="E13220" t="s">
        <v>12</v>
      </c>
      <c r="F13220">
        <v>94152735</v>
      </c>
      <c r="G13220">
        <v>94152751</v>
      </c>
      <c r="H13220">
        <v>94152735</v>
      </c>
      <c r="I13220">
        <v>94152751</v>
      </c>
    </row>
    <row r="13221" spans="1:9" x14ac:dyDescent="0.2">
      <c r="A13221" t="str">
        <f>"Mt4"</f>
        <v>Mt4</v>
      </c>
      <c r="B13221" t="s">
        <v>14</v>
      </c>
      <c r="C13221" t="s">
        <v>30</v>
      </c>
      <c r="D13221" t="s">
        <v>17</v>
      </c>
      <c r="E13221" t="s">
        <v>12</v>
      </c>
      <c r="F13221">
        <v>94137197</v>
      </c>
      <c r="G13221">
        <v>94137213</v>
      </c>
      <c r="H13221">
        <v>94137197</v>
      </c>
      <c r="I13221">
        <v>94137213</v>
      </c>
    </row>
    <row r="13222" spans="1:9" x14ac:dyDescent="0.2">
      <c r="A13222" t="str">
        <f>"Mta1"</f>
        <v>Mta1</v>
      </c>
      <c r="B13222" t="s">
        <v>14</v>
      </c>
      <c r="C13222" t="s">
        <v>16</v>
      </c>
      <c r="D13222" t="s">
        <v>17</v>
      </c>
      <c r="E13222" t="s">
        <v>12</v>
      </c>
      <c r="F13222">
        <v>113098199</v>
      </c>
      <c r="G13222">
        <v>113098267</v>
      </c>
      <c r="H13222">
        <v>113098199</v>
      </c>
      <c r="I13222">
        <v>113098267</v>
      </c>
    </row>
    <row r="13223" spans="1:9" x14ac:dyDescent="0.2">
      <c r="A13223" t="str">
        <f>"Mta2"</f>
        <v>Mta2</v>
      </c>
      <c r="B13223" t="s">
        <v>14</v>
      </c>
      <c r="C13223" t="s">
        <v>10</v>
      </c>
      <c r="D13223" t="s">
        <v>17</v>
      </c>
      <c r="E13223" t="s">
        <v>12</v>
      </c>
      <c r="F13223">
        <v>8941865</v>
      </c>
      <c r="G13223">
        <v>8942050</v>
      </c>
      <c r="H13223">
        <v>8942485</v>
      </c>
      <c r="I13223">
        <v>8942514</v>
      </c>
    </row>
    <row r="13224" spans="1:9" x14ac:dyDescent="0.2">
      <c r="A13224" t="str">
        <f>"Mta3"</f>
        <v>Mta3</v>
      </c>
      <c r="B13224" t="s">
        <v>14</v>
      </c>
      <c r="C13224" t="s">
        <v>28</v>
      </c>
      <c r="D13224" t="s">
        <v>17</v>
      </c>
      <c r="E13224" t="s">
        <v>12</v>
      </c>
      <c r="F13224">
        <v>83706211</v>
      </c>
      <c r="G13224">
        <v>83706260</v>
      </c>
      <c r="H13224">
        <v>83706170</v>
      </c>
      <c r="I13224">
        <v>83706200</v>
      </c>
    </row>
    <row r="13225" spans="1:9" x14ac:dyDescent="0.2">
      <c r="A13225" t="str">
        <f>"Mtap"</f>
        <v>Mtap</v>
      </c>
      <c r="B13225" t="s">
        <v>14</v>
      </c>
      <c r="C13225" t="s">
        <v>23</v>
      </c>
      <c r="D13225" t="s">
        <v>17</v>
      </c>
      <c r="E13225" t="s">
        <v>12</v>
      </c>
      <c r="F13225">
        <v>89137374</v>
      </c>
      <c r="G13225">
        <v>89137447</v>
      </c>
      <c r="H13225">
        <v>89137374</v>
      </c>
      <c r="I13225">
        <v>89137447</v>
      </c>
    </row>
    <row r="13226" spans="1:9" x14ac:dyDescent="0.2">
      <c r="A13226" t="str">
        <f>"Mtap7d3"</f>
        <v>Mtap7d3</v>
      </c>
      <c r="B13226" t="s">
        <v>14</v>
      </c>
      <c r="C13226" t="s">
        <v>37</v>
      </c>
      <c r="D13226" t="s">
        <v>11</v>
      </c>
      <c r="E13226" t="s">
        <v>12</v>
      </c>
      <c r="F13226">
        <v>56822308</v>
      </c>
      <c r="G13226">
        <v>56822346</v>
      </c>
      <c r="H13226">
        <v>56822308</v>
      </c>
      <c r="I13226">
        <v>56822346</v>
      </c>
    </row>
    <row r="13227" spans="1:9" x14ac:dyDescent="0.2">
      <c r="A13227" t="str">
        <f>"Mtbp"</f>
        <v>Mtbp</v>
      </c>
      <c r="B13227" t="s">
        <v>14</v>
      </c>
      <c r="C13227" t="s">
        <v>25</v>
      </c>
      <c r="D13227" t="s">
        <v>17</v>
      </c>
      <c r="E13227" t="s">
        <v>12</v>
      </c>
      <c r="F13227">
        <v>55557575</v>
      </c>
      <c r="G13227">
        <v>55557604</v>
      </c>
      <c r="H13227">
        <v>55557554</v>
      </c>
      <c r="I13227">
        <v>55557574</v>
      </c>
    </row>
    <row r="13228" spans="1:9" x14ac:dyDescent="0.2">
      <c r="A13228" t="str">
        <f>"Mtch1"</f>
        <v>Mtch1</v>
      </c>
      <c r="B13228" t="s">
        <v>14</v>
      </c>
      <c r="C13228" t="s">
        <v>28</v>
      </c>
      <c r="D13228" t="s">
        <v>11</v>
      </c>
      <c r="E13228" t="s">
        <v>12</v>
      </c>
      <c r="F13228">
        <v>29347753</v>
      </c>
      <c r="G13228">
        <v>29347792</v>
      </c>
      <c r="H13228">
        <v>29347902</v>
      </c>
      <c r="I13228">
        <v>29347940</v>
      </c>
    </row>
    <row r="13229" spans="1:9" x14ac:dyDescent="0.2">
      <c r="A13229" t="str">
        <f>"Mtch2"</f>
        <v>Mtch2</v>
      </c>
      <c r="B13229" t="s">
        <v>14</v>
      </c>
      <c r="C13229" t="s">
        <v>26</v>
      </c>
      <c r="D13229" t="s">
        <v>17</v>
      </c>
      <c r="E13229" t="s">
        <v>12</v>
      </c>
      <c r="F13229">
        <v>90847207</v>
      </c>
      <c r="G13229">
        <v>90847294</v>
      </c>
      <c r="H13229">
        <v>90847149</v>
      </c>
      <c r="I13229">
        <v>90847160</v>
      </c>
    </row>
    <row r="13230" spans="1:9" x14ac:dyDescent="0.2">
      <c r="A13230" t="str">
        <f>"Mtcp1"</f>
        <v>Mtcp1</v>
      </c>
      <c r="B13230" t="s">
        <v>14</v>
      </c>
      <c r="C13230" t="s">
        <v>37</v>
      </c>
      <c r="D13230" t="s">
        <v>11</v>
      </c>
      <c r="E13230" t="s">
        <v>12</v>
      </c>
      <c r="F13230">
        <v>75416562</v>
      </c>
      <c r="G13230">
        <v>75416591</v>
      </c>
      <c r="H13230">
        <v>75416359</v>
      </c>
      <c r="I13230">
        <v>75416420</v>
      </c>
    </row>
    <row r="13231" spans="1:9" x14ac:dyDescent="0.2">
      <c r="A13231" t="str">
        <f>"Mtdh"</f>
        <v>Mtdh</v>
      </c>
      <c r="B13231" t="s">
        <v>14</v>
      </c>
      <c r="C13231" t="s">
        <v>25</v>
      </c>
      <c r="D13231" t="s">
        <v>17</v>
      </c>
      <c r="E13231" t="s">
        <v>12</v>
      </c>
      <c r="F13231">
        <v>34082664</v>
      </c>
      <c r="G13231">
        <v>34082734</v>
      </c>
      <c r="H13231">
        <v>34082789</v>
      </c>
      <c r="I13231">
        <v>34082836</v>
      </c>
    </row>
    <row r="13232" spans="1:9" x14ac:dyDescent="0.2">
      <c r="A13232" t="str">
        <f>"Mterf"</f>
        <v>Mterf</v>
      </c>
      <c r="B13232" t="s">
        <v>4335</v>
      </c>
      <c r="C13232" t="s">
        <v>46</v>
      </c>
      <c r="D13232" t="s">
        <v>11</v>
      </c>
      <c r="E13232" t="s">
        <v>20</v>
      </c>
      <c r="F13232">
        <v>3893919</v>
      </c>
      <c r="G13232">
        <v>3893919</v>
      </c>
      <c r="H13232">
        <v>3893919</v>
      </c>
      <c r="I13232">
        <v>3893919</v>
      </c>
    </row>
    <row r="13233" spans="1:9" x14ac:dyDescent="0.2">
      <c r="A13233" t="str">
        <f>"Mterfd1"</f>
        <v>Mterfd1</v>
      </c>
      <c r="B13233" t="s">
        <v>14</v>
      </c>
      <c r="C13233" t="s">
        <v>39</v>
      </c>
      <c r="D13233" t="s">
        <v>11</v>
      </c>
      <c r="E13233" t="s">
        <v>12</v>
      </c>
      <c r="F13233">
        <v>66933014</v>
      </c>
      <c r="G13233">
        <v>66933069</v>
      </c>
      <c r="H13233">
        <v>66933080</v>
      </c>
      <c r="I13233">
        <v>66933092</v>
      </c>
    </row>
    <row r="13234" spans="1:9" x14ac:dyDescent="0.2">
      <c r="A13234" t="str">
        <f>"Mterfd2"</f>
        <v>Mterfd2</v>
      </c>
      <c r="B13234" t="s">
        <v>14</v>
      </c>
      <c r="C13234" t="s">
        <v>19</v>
      </c>
      <c r="D13234" t="s">
        <v>11</v>
      </c>
      <c r="E13234" t="s">
        <v>12</v>
      </c>
      <c r="F13234">
        <v>93305850</v>
      </c>
      <c r="G13234">
        <v>93305885</v>
      </c>
      <c r="H13234">
        <v>93305850</v>
      </c>
      <c r="I13234">
        <v>93305885</v>
      </c>
    </row>
    <row r="13235" spans="1:9" x14ac:dyDescent="0.2">
      <c r="A13235" t="str">
        <f>"Mterfd3"</f>
        <v>Mterfd3</v>
      </c>
      <c r="B13235" t="s">
        <v>14</v>
      </c>
      <c r="C13235" t="s">
        <v>15</v>
      </c>
      <c r="D13235" t="s">
        <v>11</v>
      </c>
      <c r="E13235" t="s">
        <v>12</v>
      </c>
      <c r="F13235">
        <v>85127977</v>
      </c>
      <c r="G13235">
        <v>85128035</v>
      </c>
      <c r="H13235">
        <v>85128045</v>
      </c>
      <c r="I13235">
        <v>85128054</v>
      </c>
    </row>
    <row r="13236" spans="1:9" x14ac:dyDescent="0.2">
      <c r="A13236" t="str">
        <f>"Mtf1"</f>
        <v>Mtf1</v>
      </c>
      <c r="B13236" t="s">
        <v>14</v>
      </c>
      <c r="C13236" t="s">
        <v>23</v>
      </c>
      <c r="D13236" t="s">
        <v>17</v>
      </c>
      <c r="E13236" t="s">
        <v>12</v>
      </c>
      <c r="F13236">
        <v>124802543</v>
      </c>
      <c r="G13236">
        <v>124802588</v>
      </c>
      <c r="H13236">
        <v>124802109</v>
      </c>
      <c r="I13236">
        <v>124802124</v>
      </c>
    </row>
    <row r="13237" spans="1:9" x14ac:dyDescent="0.2">
      <c r="A13237" t="str">
        <f>"Mtf2"</f>
        <v>Mtf2</v>
      </c>
      <c r="B13237" t="s">
        <v>14</v>
      </c>
      <c r="C13237" t="s">
        <v>46</v>
      </c>
      <c r="D13237" t="s">
        <v>17</v>
      </c>
      <c r="E13237" t="s">
        <v>12</v>
      </c>
      <c r="F13237">
        <v>108065696</v>
      </c>
      <c r="G13237">
        <v>108065738</v>
      </c>
      <c r="H13237">
        <v>108065746</v>
      </c>
      <c r="I13237">
        <v>108065767</v>
      </c>
    </row>
    <row r="13238" spans="1:9" x14ac:dyDescent="0.2">
      <c r="A13238" t="str">
        <f>"Mtfmt"</f>
        <v>Mtfmt</v>
      </c>
      <c r="B13238" t="s">
        <v>14</v>
      </c>
      <c r="C13238" t="s">
        <v>24</v>
      </c>
      <c r="D13238" t="s">
        <v>17</v>
      </c>
      <c r="E13238" t="s">
        <v>12</v>
      </c>
      <c r="F13238">
        <v>65435797</v>
      </c>
      <c r="G13238">
        <v>65435845</v>
      </c>
      <c r="H13238">
        <v>65435766</v>
      </c>
      <c r="I13238">
        <v>65435793</v>
      </c>
    </row>
    <row r="13239" spans="1:9" x14ac:dyDescent="0.2">
      <c r="A13239" t="str">
        <f>"Mtfp1"</f>
        <v>Mtfp1</v>
      </c>
      <c r="B13239" t="s">
        <v>14</v>
      </c>
      <c r="C13239" t="s">
        <v>27</v>
      </c>
      <c r="D13239" t="s">
        <v>11</v>
      </c>
      <c r="E13239" t="s">
        <v>12</v>
      </c>
      <c r="F13239">
        <v>4095344</v>
      </c>
      <c r="G13239">
        <v>4095440</v>
      </c>
      <c r="H13239">
        <v>4095608</v>
      </c>
      <c r="I13239">
        <v>4095632</v>
      </c>
    </row>
    <row r="13240" spans="1:9" x14ac:dyDescent="0.2">
      <c r="A13240" t="str">
        <f>"Mtfr1"</f>
        <v>Mtfr1</v>
      </c>
      <c r="B13240" t="s">
        <v>14</v>
      </c>
      <c r="C13240" t="s">
        <v>22</v>
      </c>
      <c r="D13240" t="s">
        <v>17</v>
      </c>
      <c r="E13240" t="s">
        <v>12</v>
      </c>
      <c r="F13240">
        <v>19188226</v>
      </c>
      <c r="G13240">
        <v>19188273</v>
      </c>
      <c r="H13240">
        <v>19188214</v>
      </c>
      <c r="I13240">
        <v>19188225</v>
      </c>
    </row>
    <row r="13241" spans="1:9" x14ac:dyDescent="0.2">
      <c r="A13241" t="str">
        <f>"Mtfr1l"</f>
        <v>Mtfr1l</v>
      </c>
      <c r="B13241" t="s">
        <v>14</v>
      </c>
      <c r="C13241" t="s">
        <v>23</v>
      </c>
      <c r="D13241" t="s">
        <v>11</v>
      </c>
      <c r="E13241" t="s">
        <v>67</v>
      </c>
      <c r="F13241">
        <v>134535268</v>
      </c>
      <c r="G13241">
        <v>134535314</v>
      </c>
      <c r="H13241">
        <v>134535198</v>
      </c>
      <c r="I13241">
        <v>134535267</v>
      </c>
    </row>
    <row r="13242" spans="1:9" x14ac:dyDescent="0.2">
      <c r="A13242" t="str">
        <f>"Mtfr2"</f>
        <v>Mtfr2</v>
      </c>
      <c r="B13242" t="s">
        <v>14</v>
      </c>
      <c r="C13242" t="s">
        <v>15</v>
      </c>
      <c r="D13242" t="s">
        <v>17</v>
      </c>
      <c r="E13242" t="s">
        <v>67</v>
      </c>
      <c r="F13242">
        <v>20347788</v>
      </c>
      <c r="G13242">
        <v>20347859</v>
      </c>
      <c r="H13242">
        <v>20347999</v>
      </c>
      <c r="I13242">
        <v>20348007</v>
      </c>
    </row>
    <row r="13243" spans="1:9" x14ac:dyDescent="0.2">
      <c r="A13243" t="str">
        <f>"Mtg1"</f>
        <v>Mtg1</v>
      </c>
      <c r="B13243" t="s">
        <v>14</v>
      </c>
      <c r="C13243" t="s">
        <v>33</v>
      </c>
      <c r="D13243" t="s">
        <v>17</v>
      </c>
      <c r="E13243" t="s">
        <v>12</v>
      </c>
      <c r="F13243">
        <v>140137595</v>
      </c>
      <c r="G13243">
        <v>140137668</v>
      </c>
      <c r="H13243">
        <v>140137559</v>
      </c>
      <c r="I13243">
        <v>140137593</v>
      </c>
    </row>
    <row r="13244" spans="1:9" x14ac:dyDescent="0.2">
      <c r="A13244" t="str">
        <f>"Mtg2"</f>
        <v>Mtg2</v>
      </c>
      <c r="B13244" t="s">
        <v>4336</v>
      </c>
      <c r="C13244" t="s">
        <v>26</v>
      </c>
      <c r="D13244" t="s">
        <v>17</v>
      </c>
      <c r="E13244" t="s">
        <v>20</v>
      </c>
      <c r="F13244">
        <v>180078622</v>
      </c>
      <c r="G13244">
        <v>180078622</v>
      </c>
      <c r="H13244">
        <v>180078622</v>
      </c>
      <c r="I13244">
        <v>180078622</v>
      </c>
    </row>
    <row r="13245" spans="1:9" x14ac:dyDescent="0.2">
      <c r="A13245" t="str">
        <f>"Mtg2"</f>
        <v>Mtg2</v>
      </c>
      <c r="B13245" t="s">
        <v>4337</v>
      </c>
      <c r="C13245" t="s">
        <v>26</v>
      </c>
      <c r="D13245" t="s">
        <v>17</v>
      </c>
      <c r="E13245" t="s">
        <v>20</v>
      </c>
      <c r="F13245">
        <v>180071792</v>
      </c>
      <c r="G13245">
        <v>180071792</v>
      </c>
      <c r="H13245">
        <v>180071792</v>
      </c>
      <c r="I13245">
        <v>180071792</v>
      </c>
    </row>
    <row r="13246" spans="1:9" x14ac:dyDescent="0.2">
      <c r="A13246" t="str">
        <f>"Mthfd1"</f>
        <v>Mthfd1</v>
      </c>
      <c r="B13246" t="s">
        <v>14</v>
      </c>
      <c r="C13246" t="s">
        <v>16</v>
      </c>
      <c r="D13246" t="s">
        <v>17</v>
      </c>
      <c r="E13246" t="s">
        <v>12</v>
      </c>
      <c r="F13246">
        <v>76255371</v>
      </c>
      <c r="G13246">
        <v>76255436</v>
      </c>
      <c r="H13246">
        <v>76255244</v>
      </c>
      <c r="I13246">
        <v>76255257</v>
      </c>
    </row>
    <row r="13247" spans="1:9" x14ac:dyDescent="0.2">
      <c r="A13247" t="str">
        <f>"Mthfd1l"</f>
        <v>Mthfd1l</v>
      </c>
      <c r="B13247" t="s">
        <v>14</v>
      </c>
      <c r="C13247" t="s">
        <v>15</v>
      </c>
      <c r="D13247" t="s">
        <v>17</v>
      </c>
      <c r="E13247" t="s">
        <v>12</v>
      </c>
      <c r="F13247">
        <v>3973086</v>
      </c>
      <c r="G13247">
        <v>3973157</v>
      </c>
      <c r="H13247">
        <v>3973215</v>
      </c>
      <c r="I13247">
        <v>3973245</v>
      </c>
    </row>
    <row r="13248" spans="1:9" x14ac:dyDescent="0.2">
      <c r="A13248" t="str">
        <f>"Mthfd2"</f>
        <v>Mthfd2</v>
      </c>
      <c r="B13248" t="s">
        <v>14</v>
      </c>
      <c r="C13248" t="s">
        <v>32</v>
      </c>
      <c r="D13248" t="s">
        <v>11</v>
      </c>
      <c r="E13248" t="s">
        <v>12</v>
      </c>
      <c r="F13248">
        <v>83317538</v>
      </c>
      <c r="G13248">
        <v>83317588</v>
      </c>
      <c r="H13248">
        <v>83317589</v>
      </c>
      <c r="I13248">
        <v>83317602</v>
      </c>
    </row>
    <row r="13249" spans="1:9" x14ac:dyDescent="0.2">
      <c r="A13249" t="str">
        <f>"Mthfd2l"</f>
        <v>Mthfd2l</v>
      </c>
      <c r="B13249" t="s">
        <v>14</v>
      </c>
      <c r="C13249" t="s">
        <v>46</v>
      </c>
      <c r="D13249" t="s">
        <v>17</v>
      </c>
      <c r="E13249" t="s">
        <v>12</v>
      </c>
      <c r="F13249">
        <v>90931209</v>
      </c>
      <c r="G13249">
        <v>90931311</v>
      </c>
      <c r="H13249">
        <v>90931089</v>
      </c>
      <c r="I13249">
        <v>90931112</v>
      </c>
    </row>
    <row r="13250" spans="1:9" x14ac:dyDescent="0.2">
      <c r="A13250" t="str">
        <f>"Mthfr"</f>
        <v>Mthfr</v>
      </c>
      <c r="B13250" t="s">
        <v>9</v>
      </c>
      <c r="C13250" t="s">
        <v>23</v>
      </c>
      <c r="D13250" t="s">
        <v>17</v>
      </c>
      <c r="E13250" t="s">
        <v>12</v>
      </c>
      <c r="F13250">
        <v>148039097</v>
      </c>
      <c r="G13250">
        <v>148039190</v>
      </c>
      <c r="H13250">
        <v>148039097</v>
      </c>
      <c r="I13250">
        <v>148039190</v>
      </c>
    </row>
    <row r="13251" spans="1:9" x14ac:dyDescent="0.2">
      <c r="A13251" t="str">
        <f>"Mthfr"</f>
        <v>Mthfr</v>
      </c>
      <c r="B13251" t="s">
        <v>13</v>
      </c>
      <c r="C13251" t="s">
        <v>23</v>
      </c>
      <c r="D13251" t="s">
        <v>17</v>
      </c>
      <c r="E13251" t="s">
        <v>12</v>
      </c>
      <c r="F13251">
        <v>148041172</v>
      </c>
      <c r="G13251">
        <v>148041198</v>
      </c>
      <c r="H13251">
        <v>148041172</v>
      </c>
      <c r="I13251">
        <v>148041198</v>
      </c>
    </row>
    <row r="13252" spans="1:9" x14ac:dyDescent="0.2">
      <c r="A13252" t="str">
        <f>"Mthfs"</f>
        <v>Mthfs</v>
      </c>
      <c r="B13252" t="s">
        <v>9</v>
      </c>
      <c r="C13252" t="s">
        <v>24</v>
      </c>
      <c r="D13252" t="s">
        <v>17</v>
      </c>
      <c r="E13252" t="s">
        <v>12</v>
      </c>
      <c r="F13252">
        <v>89211164</v>
      </c>
      <c r="G13252">
        <v>89211192</v>
      </c>
      <c r="H13252">
        <v>89211164</v>
      </c>
      <c r="I13252">
        <v>89211192</v>
      </c>
    </row>
    <row r="13253" spans="1:9" x14ac:dyDescent="0.2">
      <c r="A13253" t="str">
        <f>"Mthfs"</f>
        <v>Mthfs</v>
      </c>
      <c r="B13253" t="s">
        <v>13</v>
      </c>
      <c r="C13253" t="s">
        <v>24</v>
      </c>
      <c r="D13253" t="s">
        <v>17</v>
      </c>
      <c r="E13253" t="s">
        <v>12</v>
      </c>
      <c r="F13253">
        <v>89199319</v>
      </c>
      <c r="G13253">
        <v>89199332</v>
      </c>
      <c r="H13253">
        <v>89199319</v>
      </c>
      <c r="I13253">
        <v>89199332</v>
      </c>
    </row>
    <row r="13254" spans="1:9" x14ac:dyDescent="0.2">
      <c r="A13254" t="str">
        <f>"Mthfsd"</f>
        <v>Mthfsd</v>
      </c>
      <c r="B13254" t="s">
        <v>14</v>
      </c>
      <c r="C13254" t="s">
        <v>30</v>
      </c>
      <c r="D13254" t="s">
        <v>11</v>
      </c>
      <c r="E13254" t="s">
        <v>12</v>
      </c>
      <c r="F13254">
        <v>121108301</v>
      </c>
      <c r="G13254">
        <v>121108359</v>
      </c>
      <c r="H13254">
        <v>121108361</v>
      </c>
      <c r="I13254">
        <v>121108406</v>
      </c>
    </row>
    <row r="13255" spans="1:9" x14ac:dyDescent="0.2">
      <c r="A13255" t="str">
        <f>"Mtif2"</f>
        <v>Mtif2</v>
      </c>
      <c r="B13255" t="s">
        <v>14</v>
      </c>
      <c r="C13255" t="s">
        <v>27</v>
      </c>
      <c r="D13255" t="s">
        <v>17</v>
      </c>
      <c r="E13255" t="s">
        <v>12</v>
      </c>
      <c r="F13255">
        <v>29526423</v>
      </c>
      <c r="G13255">
        <v>29526474</v>
      </c>
      <c r="H13255">
        <v>29526407</v>
      </c>
      <c r="I13255">
        <v>29526420</v>
      </c>
    </row>
    <row r="13256" spans="1:9" x14ac:dyDescent="0.2">
      <c r="A13256" t="str">
        <f>"Mtif3"</f>
        <v>Mtif3</v>
      </c>
      <c r="B13256" t="s">
        <v>14</v>
      </c>
      <c r="C13256" t="s">
        <v>46</v>
      </c>
      <c r="D13256" t="s">
        <v>11</v>
      </c>
      <c r="E13256" t="s">
        <v>12</v>
      </c>
      <c r="F13256">
        <v>146963742</v>
      </c>
      <c r="G13256">
        <v>146963805</v>
      </c>
      <c r="H13256">
        <v>146963742</v>
      </c>
      <c r="I13256">
        <v>146963805</v>
      </c>
    </row>
    <row r="13257" spans="1:9" x14ac:dyDescent="0.2">
      <c r="A13257" t="str">
        <f>"Mtl5"</f>
        <v>Mtl5</v>
      </c>
      <c r="B13257" t="s">
        <v>14</v>
      </c>
      <c r="C13257" t="s">
        <v>10</v>
      </c>
      <c r="D13257" t="s">
        <v>17</v>
      </c>
      <c r="E13257" t="s">
        <v>12</v>
      </c>
      <c r="F13257">
        <v>3388861</v>
      </c>
      <c r="G13257">
        <v>3388904</v>
      </c>
      <c r="H13257">
        <v>3388922</v>
      </c>
      <c r="I13257">
        <v>3388931</v>
      </c>
    </row>
    <row r="13258" spans="1:9" x14ac:dyDescent="0.2">
      <c r="A13258" t="str">
        <f>"Mtm1"</f>
        <v>Mtm1</v>
      </c>
      <c r="B13258" t="s">
        <v>14</v>
      </c>
      <c r="C13258" t="s">
        <v>37</v>
      </c>
      <c r="D13258" t="s">
        <v>17</v>
      </c>
      <c r="E13258" t="s">
        <v>12</v>
      </c>
      <c r="F13258">
        <v>71215021</v>
      </c>
      <c r="G13258">
        <v>71215063</v>
      </c>
      <c r="H13258">
        <v>71215068</v>
      </c>
      <c r="I13258">
        <v>71215079</v>
      </c>
    </row>
    <row r="13259" spans="1:9" x14ac:dyDescent="0.2">
      <c r="A13259" t="str">
        <f>"Mtmr1"</f>
        <v>Mtmr1</v>
      </c>
      <c r="B13259" t="s">
        <v>14</v>
      </c>
      <c r="C13259" t="s">
        <v>37</v>
      </c>
      <c r="D13259" t="s">
        <v>17</v>
      </c>
      <c r="E13259" t="s">
        <v>12</v>
      </c>
      <c r="F13259">
        <v>71364745</v>
      </c>
      <c r="G13259">
        <v>71364794</v>
      </c>
      <c r="H13259">
        <v>71364858</v>
      </c>
      <c r="I13259">
        <v>71364894</v>
      </c>
    </row>
    <row r="13260" spans="1:9" x14ac:dyDescent="0.2">
      <c r="A13260" t="str">
        <f>"Mtmr10"</f>
        <v>Mtmr10</v>
      </c>
      <c r="B13260" t="s">
        <v>14</v>
      </c>
      <c r="C13260" t="s">
        <v>33</v>
      </c>
      <c r="D13260" t="s">
        <v>17</v>
      </c>
      <c r="E13260" t="s">
        <v>12</v>
      </c>
      <c r="F13260">
        <v>64287677</v>
      </c>
      <c r="G13260">
        <v>64287715</v>
      </c>
      <c r="H13260">
        <v>64287728</v>
      </c>
      <c r="I13260">
        <v>64287749</v>
      </c>
    </row>
    <row r="13261" spans="1:9" x14ac:dyDescent="0.2">
      <c r="A13261" t="str">
        <f>"Mtmr11"</f>
        <v>Mtmr11</v>
      </c>
      <c r="B13261" t="s">
        <v>14</v>
      </c>
      <c r="C13261" t="s">
        <v>22</v>
      </c>
      <c r="D13261" t="s">
        <v>17</v>
      </c>
      <c r="E13261" t="s">
        <v>12</v>
      </c>
      <c r="F13261">
        <v>96161981</v>
      </c>
      <c r="G13261">
        <v>96162023</v>
      </c>
      <c r="H13261">
        <v>96162447</v>
      </c>
      <c r="I13261">
        <v>96162477</v>
      </c>
    </row>
    <row r="13262" spans="1:9" x14ac:dyDescent="0.2">
      <c r="A13262" t="str">
        <f>"Mtmr12"</f>
        <v>Mtmr12</v>
      </c>
      <c r="B13262" t="s">
        <v>14</v>
      </c>
      <c r="C13262" t="s">
        <v>25</v>
      </c>
      <c r="D13262" t="s">
        <v>17</v>
      </c>
      <c r="E13262" t="s">
        <v>12</v>
      </c>
      <c r="F13262">
        <v>12205068</v>
      </c>
      <c r="G13262">
        <v>12205119</v>
      </c>
      <c r="H13262">
        <v>12205009</v>
      </c>
      <c r="I13262">
        <v>12205040</v>
      </c>
    </row>
    <row r="13263" spans="1:9" x14ac:dyDescent="0.2">
      <c r="A13263" t="str">
        <f>"Mtmr14"</f>
        <v>Mtmr14</v>
      </c>
      <c r="B13263" t="s">
        <v>14</v>
      </c>
      <c r="C13263" t="s">
        <v>32</v>
      </c>
      <c r="D13263" t="s">
        <v>17</v>
      </c>
      <c r="E13263" t="s">
        <v>12</v>
      </c>
      <c r="F13263">
        <v>113237845</v>
      </c>
      <c r="G13263">
        <v>113237874</v>
      </c>
      <c r="H13263">
        <v>113237876</v>
      </c>
      <c r="I13263">
        <v>113237907</v>
      </c>
    </row>
    <row r="13264" spans="1:9" x14ac:dyDescent="0.2">
      <c r="A13264" t="str">
        <f>"Mtmr2"</f>
        <v>Mtmr2</v>
      </c>
      <c r="B13264" t="s">
        <v>14</v>
      </c>
      <c r="C13264" t="s">
        <v>24</v>
      </c>
      <c r="D13264" t="s">
        <v>17</v>
      </c>
      <c r="E13264" t="s">
        <v>12</v>
      </c>
      <c r="F13264">
        <v>13749154</v>
      </c>
      <c r="G13264">
        <v>13749205</v>
      </c>
      <c r="H13264">
        <v>13749244</v>
      </c>
      <c r="I13264">
        <v>13749275</v>
      </c>
    </row>
    <row r="13265" spans="1:9" x14ac:dyDescent="0.2">
      <c r="A13265" t="str">
        <f>"Mtmr3"</f>
        <v>Mtmr3</v>
      </c>
      <c r="B13265" t="s">
        <v>14</v>
      </c>
      <c r="C13265" t="s">
        <v>27</v>
      </c>
      <c r="D13265" t="s">
        <v>11</v>
      </c>
      <c r="E13265" t="s">
        <v>12</v>
      </c>
      <c r="F13265">
        <v>4594750</v>
      </c>
      <c r="G13265">
        <v>4594820</v>
      </c>
      <c r="H13265">
        <v>4594857</v>
      </c>
      <c r="I13265">
        <v>4594875</v>
      </c>
    </row>
    <row r="13266" spans="1:9" x14ac:dyDescent="0.2">
      <c r="A13266" t="str">
        <f>"Mtmr4"</f>
        <v>Mtmr4</v>
      </c>
      <c r="B13266" t="s">
        <v>9</v>
      </c>
      <c r="C13266" t="s">
        <v>27</v>
      </c>
      <c r="D13266" t="s">
        <v>17</v>
      </c>
      <c r="E13266" t="s">
        <v>12</v>
      </c>
      <c r="F13266">
        <v>87592145</v>
      </c>
      <c r="G13266">
        <v>87592229</v>
      </c>
      <c r="H13266">
        <v>87592145</v>
      </c>
      <c r="I13266">
        <v>87592229</v>
      </c>
    </row>
    <row r="13267" spans="1:9" x14ac:dyDescent="0.2">
      <c r="A13267" t="str">
        <f>"Mtmr4"</f>
        <v>Mtmr4</v>
      </c>
      <c r="B13267" t="s">
        <v>13</v>
      </c>
      <c r="C13267" t="s">
        <v>27</v>
      </c>
      <c r="D13267" t="s">
        <v>17</v>
      </c>
      <c r="E13267" t="s">
        <v>12</v>
      </c>
      <c r="F13267">
        <v>87595664</v>
      </c>
      <c r="G13267">
        <v>87595719</v>
      </c>
      <c r="H13267">
        <v>87595664</v>
      </c>
      <c r="I13267">
        <v>87595719</v>
      </c>
    </row>
    <row r="13268" spans="1:9" x14ac:dyDescent="0.2">
      <c r="A13268" t="str">
        <f>"Mtmr6"</f>
        <v>Mtmr6</v>
      </c>
      <c r="B13268" t="s">
        <v>14</v>
      </c>
      <c r="C13268" t="s">
        <v>41</v>
      </c>
      <c r="D13268" t="s">
        <v>17</v>
      </c>
      <c r="E13268" t="s">
        <v>12</v>
      </c>
      <c r="F13268">
        <v>60265216</v>
      </c>
      <c r="G13268">
        <v>60265336</v>
      </c>
      <c r="H13268">
        <v>60265189</v>
      </c>
      <c r="I13268">
        <v>60265215</v>
      </c>
    </row>
    <row r="13269" spans="1:9" x14ac:dyDescent="0.2">
      <c r="A13269" t="str">
        <f>"Mtmr7"</f>
        <v>Mtmr7</v>
      </c>
      <c r="B13269" t="s">
        <v>14</v>
      </c>
      <c r="C13269" t="s">
        <v>30</v>
      </c>
      <c r="D13269" t="s">
        <v>11</v>
      </c>
      <c r="E13269" t="s">
        <v>12</v>
      </c>
      <c r="F13269">
        <v>40634776</v>
      </c>
      <c r="G13269">
        <v>40634806</v>
      </c>
      <c r="H13269">
        <v>40634729</v>
      </c>
      <c r="I13269">
        <v>40634744</v>
      </c>
    </row>
    <row r="13270" spans="1:9" x14ac:dyDescent="0.2">
      <c r="A13270" t="str">
        <f>"Mtmr9"</f>
        <v>Mtmr9</v>
      </c>
      <c r="B13270" t="s">
        <v>14</v>
      </c>
      <c r="C13270" t="s">
        <v>41</v>
      </c>
      <c r="D13270" t="s">
        <v>11</v>
      </c>
      <c r="E13270" t="s">
        <v>12</v>
      </c>
      <c r="F13270">
        <v>63543931</v>
      </c>
      <c r="G13270">
        <v>63543991</v>
      </c>
      <c r="H13270">
        <v>63543685</v>
      </c>
      <c r="I13270">
        <v>63543747</v>
      </c>
    </row>
    <row r="13271" spans="1:9" x14ac:dyDescent="0.2">
      <c r="A13271" t="str">
        <f>"Mtnr1a"</f>
        <v>Mtnr1a</v>
      </c>
      <c r="B13271" t="s">
        <v>14</v>
      </c>
      <c r="C13271" t="s">
        <v>30</v>
      </c>
      <c r="D13271" t="s">
        <v>17</v>
      </c>
      <c r="E13271" t="s">
        <v>12</v>
      </c>
      <c r="F13271">
        <v>45069132</v>
      </c>
      <c r="G13271">
        <v>45069144</v>
      </c>
      <c r="H13271">
        <v>45069101</v>
      </c>
      <c r="I13271">
        <v>45069109</v>
      </c>
    </row>
    <row r="13272" spans="1:9" x14ac:dyDescent="0.2">
      <c r="A13272" t="str">
        <f>"Mtnr1b"</f>
        <v>Mtnr1b</v>
      </c>
      <c r="B13272" t="s">
        <v>4338</v>
      </c>
      <c r="C13272" t="s">
        <v>24</v>
      </c>
      <c r="D13272" t="s">
        <v>11</v>
      </c>
      <c r="E13272" t="s">
        <v>20</v>
      </c>
      <c r="F13272">
        <v>15874459</v>
      </c>
      <c r="G13272">
        <v>15874459</v>
      </c>
      <c r="H13272">
        <v>15874459</v>
      </c>
      <c r="I13272">
        <v>15874459</v>
      </c>
    </row>
    <row r="13273" spans="1:9" x14ac:dyDescent="0.2">
      <c r="A13273" t="str">
        <f>"Mto1"</f>
        <v>Mto1</v>
      </c>
      <c r="B13273" t="s">
        <v>14</v>
      </c>
      <c r="C13273" t="s">
        <v>24</v>
      </c>
      <c r="D13273" t="s">
        <v>17</v>
      </c>
      <c r="E13273" t="s">
        <v>12</v>
      </c>
      <c r="F13273">
        <v>78448192</v>
      </c>
      <c r="G13273">
        <v>78448228</v>
      </c>
      <c r="H13273">
        <v>78448391</v>
      </c>
      <c r="I13273">
        <v>78448417</v>
      </c>
    </row>
    <row r="13274" spans="1:9" x14ac:dyDescent="0.2">
      <c r="A13274" t="str">
        <f>"Mtor"</f>
        <v>Mtor</v>
      </c>
      <c r="B13274" t="s">
        <v>14</v>
      </c>
      <c r="C13274" t="s">
        <v>23</v>
      </c>
      <c r="D13274" t="s">
        <v>17</v>
      </c>
      <c r="E13274" t="s">
        <v>12</v>
      </c>
      <c r="F13274">
        <v>148448564</v>
      </c>
      <c r="G13274">
        <v>148448598</v>
      </c>
      <c r="H13274">
        <v>148448605</v>
      </c>
      <c r="I13274">
        <v>148448637</v>
      </c>
    </row>
    <row r="13275" spans="1:9" x14ac:dyDescent="0.2">
      <c r="A13275" t="str">
        <f>"Mtpap"</f>
        <v>Mtpap</v>
      </c>
      <c r="B13275" t="s">
        <v>14</v>
      </c>
      <c r="C13275" t="s">
        <v>43</v>
      </c>
      <c r="D13275" t="s">
        <v>17</v>
      </c>
      <c r="E13275" t="s">
        <v>12</v>
      </c>
      <c r="F13275">
        <v>4375583</v>
      </c>
      <c r="G13275">
        <v>4375623</v>
      </c>
      <c r="H13275">
        <v>4375583</v>
      </c>
      <c r="I13275">
        <v>4375623</v>
      </c>
    </row>
    <row r="13276" spans="1:9" x14ac:dyDescent="0.2">
      <c r="A13276" t="str">
        <f>"Mtpn"</f>
        <v>Mtpn</v>
      </c>
      <c r="B13276" t="s">
        <v>14</v>
      </c>
      <c r="C13276" t="s">
        <v>32</v>
      </c>
      <c r="D13276" t="s">
        <v>11</v>
      </c>
      <c r="E13276" t="s">
        <v>12</v>
      </c>
      <c r="F13276">
        <v>35539765</v>
      </c>
      <c r="G13276">
        <v>35539823</v>
      </c>
      <c r="H13276">
        <v>35539747</v>
      </c>
      <c r="I13276">
        <v>35539760</v>
      </c>
    </row>
    <row r="13277" spans="1:9" x14ac:dyDescent="0.2">
      <c r="A13277" t="str">
        <f>"Mtr"</f>
        <v>Mtr</v>
      </c>
      <c r="B13277" t="s">
        <v>14</v>
      </c>
      <c r="C13277" t="s">
        <v>39</v>
      </c>
      <c r="D13277" t="s">
        <v>11</v>
      </c>
      <c r="E13277" t="s">
        <v>12</v>
      </c>
      <c r="F13277">
        <v>12258135</v>
      </c>
      <c r="G13277">
        <v>12258185</v>
      </c>
      <c r="H13277">
        <v>12258093</v>
      </c>
      <c r="I13277">
        <v>12258134</v>
      </c>
    </row>
    <row r="13278" spans="1:9" x14ac:dyDescent="0.2">
      <c r="A13278" t="str">
        <f>"Mtrf1"</f>
        <v>Mtrf1</v>
      </c>
      <c r="B13278" t="s">
        <v>14</v>
      </c>
      <c r="C13278" t="s">
        <v>41</v>
      </c>
      <c r="D13278" t="s">
        <v>17</v>
      </c>
      <c r="E13278" t="s">
        <v>12</v>
      </c>
      <c r="F13278">
        <v>79397948</v>
      </c>
      <c r="G13278">
        <v>79397991</v>
      </c>
      <c r="H13278">
        <v>79397764</v>
      </c>
      <c r="I13278">
        <v>79397830</v>
      </c>
    </row>
    <row r="13279" spans="1:9" x14ac:dyDescent="0.2">
      <c r="A13279" t="str">
        <f>"Mtrf1l"</f>
        <v>Mtrf1l</v>
      </c>
      <c r="B13279" t="s">
        <v>14</v>
      </c>
      <c r="C13279" t="s">
        <v>15</v>
      </c>
      <c r="D13279" t="s">
        <v>11</v>
      </c>
      <c r="E13279" t="s">
        <v>12</v>
      </c>
      <c r="F13279">
        <v>5823819</v>
      </c>
      <c r="G13279">
        <v>5823873</v>
      </c>
      <c r="H13279">
        <v>5823880</v>
      </c>
      <c r="I13279">
        <v>5823937</v>
      </c>
    </row>
    <row r="13280" spans="1:9" x14ac:dyDescent="0.2">
      <c r="A13280" t="str">
        <f>"Mtrr"</f>
        <v>Mtrr</v>
      </c>
      <c r="B13280" t="s">
        <v>14</v>
      </c>
      <c r="C13280" t="s">
        <v>39</v>
      </c>
      <c r="D13280" t="s">
        <v>11</v>
      </c>
      <c r="E13280" t="s">
        <v>12</v>
      </c>
      <c r="F13280">
        <v>68582087</v>
      </c>
      <c r="G13280">
        <v>68582147</v>
      </c>
      <c r="H13280">
        <v>68581981</v>
      </c>
      <c r="I13280">
        <v>68582018</v>
      </c>
    </row>
    <row r="13281" spans="1:9" x14ac:dyDescent="0.2">
      <c r="A13281" t="str">
        <f>"Mtss1"</f>
        <v>Mtss1</v>
      </c>
      <c r="B13281" t="s">
        <v>14</v>
      </c>
      <c r="C13281" t="s">
        <v>25</v>
      </c>
      <c r="D13281" t="s">
        <v>11</v>
      </c>
      <c r="E13281" t="s">
        <v>12</v>
      </c>
      <c r="F13281">
        <v>59082026</v>
      </c>
      <c r="G13281">
        <v>59082090</v>
      </c>
      <c r="H13281">
        <v>59081992</v>
      </c>
      <c r="I13281">
        <v>59082017</v>
      </c>
    </row>
    <row r="13282" spans="1:9" x14ac:dyDescent="0.2">
      <c r="A13282" t="str">
        <f>"Mtss1l"</f>
        <v>Mtss1l</v>
      </c>
      <c r="B13282" t="s">
        <v>14</v>
      </c>
      <c r="C13282" t="s">
        <v>30</v>
      </c>
      <c r="D13282" t="s">
        <v>17</v>
      </c>
      <c r="E13282" t="s">
        <v>12</v>
      </c>
      <c r="F13282">
        <v>110721462</v>
      </c>
      <c r="G13282">
        <v>110721486</v>
      </c>
      <c r="H13282">
        <v>110721422</v>
      </c>
      <c r="I13282">
        <v>110721444</v>
      </c>
    </row>
    <row r="13283" spans="1:9" x14ac:dyDescent="0.2">
      <c r="A13283" t="str">
        <f>"Mttp"</f>
        <v>Mttp</v>
      </c>
      <c r="B13283" t="s">
        <v>14</v>
      </c>
      <c r="C13283" t="s">
        <v>22</v>
      </c>
      <c r="D13283" t="s">
        <v>11</v>
      </c>
      <c r="E13283" t="s">
        <v>12</v>
      </c>
      <c r="F13283">
        <v>138131356</v>
      </c>
      <c r="G13283">
        <v>138131381</v>
      </c>
      <c r="H13283">
        <v>138131332</v>
      </c>
      <c r="I13283">
        <v>138131355</v>
      </c>
    </row>
    <row r="13284" spans="1:9" x14ac:dyDescent="0.2">
      <c r="A13284" t="str">
        <f>"Mtus1"</f>
        <v>Mtus1</v>
      </c>
      <c r="B13284" t="s">
        <v>9</v>
      </c>
      <c r="C13284" t="s">
        <v>30</v>
      </c>
      <c r="D13284" t="s">
        <v>11</v>
      </c>
      <c r="E13284" t="s">
        <v>12</v>
      </c>
      <c r="F13284">
        <v>41041881</v>
      </c>
      <c r="G13284">
        <v>41041913</v>
      </c>
      <c r="H13284">
        <v>41041881</v>
      </c>
      <c r="I13284">
        <v>41041913</v>
      </c>
    </row>
    <row r="13285" spans="1:9" x14ac:dyDescent="0.2">
      <c r="A13285" t="str">
        <f>"Mtus1"</f>
        <v>Mtus1</v>
      </c>
      <c r="B13285" t="s">
        <v>13</v>
      </c>
      <c r="C13285" t="s">
        <v>30</v>
      </c>
      <c r="D13285" t="s">
        <v>11</v>
      </c>
      <c r="E13285" t="s">
        <v>12</v>
      </c>
      <c r="F13285">
        <v>41133697</v>
      </c>
      <c r="G13285">
        <v>41133755</v>
      </c>
      <c r="H13285">
        <v>41133697</v>
      </c>
      <c r="I13285">
        <v>41133755</v>
      </c>
    </row>
    <row r="13286" spans="1:9" x14ac:dyDescent="0.2">
      <c r="A13286" t="str">
        <f>"Mtus2"</f>
        <v>Mtus2</v>
      </c>
      <c r="B13286" t="s">
        <v>14</v>
      </c>
      <c r="C13286" t="s">
        <v>46</v>
      </c>
      <c r="D13286" t="s">
        <v>17</v>
      </c>
      <c r="E13286" t="s">
        <v>12</v>
      </c>
      <c r="F13286">
        <v>148265202</v>
      </c>
      <c r="G13286">
        <v>148265263</v>
      </c>
      <c r="H13286">
        <v>148265265</v>
      </c>
      <c r="I13286">
        <v>148265305</v>
      </c>
    </row>
    <row r="13287" spans="1:9" x14ac:dyDescent="0.2">
      <c r="A13287" t="str">
        <f>"Mtx1"</f>
        <v>Mtx1</v>
      </c>
      <c r="B13287" t="s">
        <v>14</v>
      </c>
      <c r="C13287" t="s">
        <v>22</v>
      </c>
      <c r="D13287" t="s">
        <v>11</v>
      </c>
      <c r="E13287" t="s">
        <v>12</v>
      </c>
      <c r="F13287">
        <v>89213892</v>
      </c>
      <c r="G13287">
        <v>89213923</v>
      </c>
      <c r="H13287">
        <v>89214329</v>
      </c>
      <c r="I13287">
        <v>89214372</v>
      </c>
    </row>
    <row r="13288" spans="1:9" x14ac:dyDescent="0.2">
      <c r="A13288" t="str">
        <f>"Mtx2"</f>
        <v>Mtx2</v>
      </c>
      <c r="B13288" t="s">
        <v>14</v>
      </c>
      <c r="C13288" t="s">
        <v>26</v>
      </c>
      <c r="D13288" t="s">
        <v>17</v>
      </c>
      <c r="E13288" t="s">
        <v>12</v>
      </c>
      <c r="F13288">
        <v>74825802</v>
      </c>
      <c r="G13288">
        <v>74825858</v>
      </c>
      <c r="H13288">
        <v>74825864</v>
      </c>
      <c r="I13288">
        <v>74825879</v>
      </c>
    </row>
    <row r="13289" spans="1:9" x14ac:dyDescent="0.2">
      <c r="A13289" t="str">
        <f>"Mtx3"</f>
        <v>Mtx3</v>
      </c>
      <c r="B13289" t="s">
        <v>14</v>
      </c>
      <c r="C13289" t="s">
        <v>39</v>
      </c>
      <c r="D13289" t="s">
        <v>17</v>
      </c>
      <c r="E13289" t="s">
        <v>12</v>
      </c>
      <c r="F13289">
        <v>92844750</v>
      </c>
      <c r="G13289">
        <v>92844790</v>
      </c>
      <c r="H13289">
        <v>92844750</v>
      </c>
      <c r="I13289">
        <v>92844790</v>
      </c>
    </row>
    <row r="13290" spans="1:9" x14ac:dyDescent="0.2">
      <c r="A13290" t="str">
        <f>"Muc1"</f>
        <v>Muc1</v>
      </c>
      <c r="B13290" t="s">
        <v>14</v>
      </c>
      <c r="C13290" t="s">
        <v>22</v>
      </c>
      <c r="D13290" t="s">
        <v>17</v>
      </c>
      <c r="E13290" t="s">
        <v>12</v>
      </c>
      <c r="F13290">
        <v>89229046</v>
      </c>
      <c r="G13290">
        <v>89229066</v>
      </c>
      <c r="H13290">
        <v>89228612</v>
      </c>
      <c r="I13290">
        <v>89228634</v>
      </c>
    </row>
    <row r="13291" spans="1:9" x14ac:dyDescent="0.2">
      <c r="A13291" t="str">
        <f>"Muc13"</f>
        <v>Muc13</v>
      </c>
      <c r="B13291" t="s">
        <v>14</v>
      </c>
      <c r="C13291" t="s">
        <v>31</v>
      </c>
      <c r="D13291" t="s">
        <v>17</v>
      </c>
      <c r="E13291" t="s">
        <v>12</v>
      </c>
      <c r="F13291">
        <v>33794481</v>
      </c>
      <c r="G13291">
        <v>33794496</v>
      </c>
      <c r="H13291">
        <v>33794481</v>
      </c>
      <c r="I13291">
        <v>33794496</v>
      </c>
    </row>
    <row r="13292" spans="1:9" x14ac:dyDescent="0.2">
      <c r="A13292" t="str">
        <f>"Muc15"</f>
        <v>Muc15</v>
      </c>
      <c r="B13292" t="s">
        <v>14</v>
      </c>
      <c r="C13292" t="s">
        <v>26</v>
      </c>
      <c r="D13292" t="s">
        <v>17</v>
      </c>
      <c r="E13292" t="s">
        <v>12</v>
      </c>
      <c r="F13292">
        <v>110721587</v>
      </c>
      <c r="G13292">
        <v>110721619</v>
      </c>
      <c r="H13292">
        <v>110721473</v>
      </c>
      <c r="I13292">
        <v>110721490</v>
      </c>
    </row>
    <row r="13293" spans="1:9" x14ac:dyDescent="0.2">
      <c r="A13293" t="str">
        <f>"Muc16"</f>
        <v>Muc16</v>
      </c>
      <c r="B13293" t="s">
        <v>14</v>
      </c>
      <c r="C13293" t="s">
        <v>24</v>
      </c>
      <c r="D13293" t="s">
        <v>11</v>
      </c>
      <c r="E13293" t="s">
        <v>12</v>
      </c>
      <c r="F13293">
        <v>18512853</v>
      </c>
      <c r="G13293">
        <v>18512856</v>
      </c>
      <c r="H13293">
        <v>18512853</v>
      </c>
      <c r="I13293">
        <v>18512856</v>
      </c>
    </row>
    <row r="13294" spans="1:9" x14ac:dyDescent="0.2">
      <c r="A13294" t="str">
        <f>"Muc19"</f>
        <v>Muc19</v>
      </c>
      <c r="B13294" t="s">
        <v>4339</v>
      </c>
      <c r="C13294" t="s">
        <v>25</v>
      </c>
      <c r="D13294" t="s">
        <v>17</v>
      </c>
      <c r="E13294" t="s">
        <v>20</v>
      </c>
      <c r="F13294">
        <v>91870470</v>
      </c>
      <c r="G13294">
        <v>91870470</v>
      </c>
      <c r="H13294">
        <v>91870470</v>
      </c>
      <c r="I13294">
        <v>91870470</v>
      </c>
    </row>
    <row r="13295" spans="1:9" x14ac:dyDescent="0.2">
      <c r="A13295" t="str">
        <f>"Muc2"</f>
        <v>Muc2</v>
      </c>
      <c r="B13295" t="s">
        <v>4340</v>
      </c>
      <c r="C13295" t="s">
        <v>33</v>
      </c>
      <c r="D13295" t="s">
        <v>17</v>
      </c>
      <c r="E13295" t="s">
        <v>20</v>
      </c>
      <c r="F13295">
        <v>141746831</v>
      </c>
      <c r="G13295">
        <v>141746831</v>
      </c>
      <c r="H13295">
        <v>141746831</v>
      </c>
      <c r="I13295">
        <v>141746831</v>
      </c>
    </row>
    <row r="13296" spans="1:9" x14ac:dyDescent="0.2">
      <c r="A13296" t="str">
        <f>"Muc20"</f>
        <v>Muc20</v>
      </c>
      <c r="B13296" t="s">
        <v>14</v>
      </c>
      <c r="C13296" t="s">
        <v>31</v>
      </c>
      <c r="D13296" t="s">
        <v>11</v>
      </c>
      <c r="E13296" t="s">
        <v>12</v>
      </c>
      <c r="F13296">
        <v>32797413</v>
      </c>
      <c r="G13296">
        <v>32797461</v>
      </c>
      <c r="H13296">
        <v>32797413</v>
      </c>
      <c r="I13296">
        <v>32797461</v>
      </c>
    </row>
    <row r="13297" spans="1:9" x14ac:dyDescent="0.2">
      <c r="A13297" t="str">
        <f>"Muc3"</f>
        <v>Muc3</v>
      </c>
      <c r="B13297" t="s">
        <v>9</v>
      </c>
      <c r="C13297" t="s">
        <v>46</v>
      </c>
      <c r="D13297" t="s">
        <v>11</v>
      </c>
      <c r="E13297" t="s">
        <v>12</v>
      </c>
      <c r="F13297">
        <v>137149809</v>
      </c>
      <c r="G13297">
        <v>137149841</v>
      </c>
      <c r="H13297">
        <v>137149809</v>
      </c>
      <c r="I13297">
        <v>137149841</v>
      </c>
    </row>
    <row r="13298" spans="1:9" x14ac:dyDescent="0.2">
      <c r="A13298" t="str">
        <f>"Muc3"</f>
        <v>Muc3</v>
      </c>
      <c r="B13298" t="s">
        <v>13</v>
      </c>
      <c r="C13298" t="s">
        <v>46</v>
      </c>
      <c r="D13298" t="s">
        <v>11</v>
      </c>
      <c r="E13298" t="s">
        <v>12</v>
      </c>
      <c r="F13298">
        <v>137139121</v>
      </c>
      <c r="G13298">
        <v>137139140</v>
      </c>
      <c r="H13298">
        <v>137139121</v>
      </c>
      <c r="I13298">
        <v>137139140</v>
      </c>
    </row>
    <row r="13299" spans="1:9" x14ac:dyDescent="0.2">
      <c r="A13299" t="str">
        <f>"Muc4"</f>
        <v>Muc4</v>
      </c>
      <c r="B13299" t="s">
        <v>14</v>
      </c>
      <c r="C13299" t="s">
        <v>31</v>
      </c>
      <c r="D13299" t="s">
        <v>17</v>
      </c>
      <c r="E13299" t="s">
        <v>12</v>
      </c>
      <c r="F13299">
        <v>32736263</v>
      </c>
      <c r="G13299">
        <v>32736281</v>
      </c>
      <c r="H13299">
        <v>32736286</v>
      </c>
      <c r="I13299">
        <v>32736304</v>
      </c>
    </row>
    <row r="13300" spans="1:9" x14ac:dyDescent="0.2">
      <c r="A13300" t="str">
        <f>"Muc5ac"</f>
        <v>Muc5ac</v>
      </c>
      <c r="B13300" t="s">
        <v>14</v>
      </c>
      <c r="C13300" t="s">
        <v>33</v>
      </c>
      <c r="D13300" t="s">
        <v>17</v>
      </c>
      <c r="E13300" t="s">
        <v>12</v>
      </c>
      <c r="F13300">
        <v>141788961</v>
      </c>
      <c r="G13300">
        <v>141788979</v>
      </c>
      <c r="H13300">
        <v>141788961</v>
      </c>
      <c r="I13300">
        <v>141788979</v>
      </c>
    </row>
    <row r="13301" spans="1:9" x14ac:dyDescent="0.2">
      <c r="A13301" t="str">
        <f>"Muc5b"</f>
        <v>Muc5b</v>
      </c>
      <c r="B13301" t="s">
        <v>14</v>
      </c>
      <c r="C13301" t="s">
        <v>33</v>
      </c>
      <c r="D13301" t="s">
        <v>17</v>
      </c>
      <c r="E13301" t="s">
        <v>12</v>
      </c>
      <c r="F13301">
        <v>141839065</v>
      </c>
      <c r="G13301">
        <v>141839082</v>
      </c>
      <c r="H13301">
        <v>141839065</v>
      </c>
      <c r="I13301">
        <v>141839082</v>
      </c>
    </row>
    <row r="13302" spans="1:9" x14ac:dyDescent="0.2">
      <c r="A13302" t="str">
        <f>"Muc6"</f>
        <v>Muc6</v>
      </c>
      <c r="B13302" t="s">
        <v>14</v>
      </c>
      <c r="C13302" t="s">
        <v>33</v>
      </c>
      <c r="D13302" t="s">
        <v>11</v>
      </c>
      <c r="E13302" t="s">
        <v>12</v>
      </c>
      <c r="F13302">
        <v>141655389</v>
      </c>
      <c r="G13302">
        <v>141655395</v>
      </c>
      <c r="H13302">
        <v>141655389</v>
      </c>
      <c r="I13302">
        <v>141655395</v>
      </c>
    </row>
    <row r="13303" spans="1:9" x14ac:dyDescent="0.2">
      <c r="A13303" t="str">
        <f>"Mucl1"</f>
        <v>Mucl1</v>
      </c>
      <c r="B13303" t="s">
        <v>4341</v>
      </c>
      <c r="C13303" t="s">
        <v>25</v>
      </c>
      <c r="D13303" t="s">
        <v>11</v>
      </c>
      <c r="E13303" t="s">
        <v>20</v>
      </c>
      <c r="F13303">
        <v>103755438</v>
      </c>
      <c r="G13303">
        <v>103755438</v>
      </c>
      <c r="H13303">
        <v>103755438</v>
      </c>
      <c r="I13303">
        <v>103755438</v>
      </c>
    </row>
    <row r="13304" spans="1:9" x14ac:dyDescent="0.2">
      <c r="A13304" t="str">
        <f>"Mug1"</f>
        <v>Mug1</v>
      </c>
      <c r="B13304" t="s">
        <v>14</v>
      </c>
      <c r="C13304" t="s">
        <v>32</v>
      </c>
      <c r="D13304" t="s">
        <v>17</v>
      </c>
      <c r="E13304" t="s">
        <v>12</v>
      </c>
      <c r="F13304">
        <v>121838625</v>
      </c>
      <c r="G13304">
        <v>121838639</v>
      </c>
      <c r="H13304">
        <v>121838450</v>
      </c>
      <c r="I13304">
        <v>121838470</v>
      </c>
    </row>
    <row r="13305" spans="1:9" x14ac:dyDescent="0.2">
      <c r="A13305" t="str">
        <f>"Mug2"</f>
        <v>Mug2</v>
      </c>
      <c r="B13305" t="s">
        <v>4342</v>
      </c>
      <c r="C13305" t="s">
        <v>32</v>
      </c>
      <c r="D13305" t="s">
        <v>17</v>
      </c>
      <c r="E13305" t="s">
        <v>20</v>
      </c>
      <c r="F13305">
        <v>122006797</v>
      </c>
      <c r="G13305">
        <v>122006797</v>
      </c>
      <c r="H13305">
        <v>122006797</v>
      </c>
      <c r="I13305">
        <v>122006797</v>
      </c>
    </row>
    <row r="13306" spans="1:9" x14ac:dyDescent="0.2">
      <c r="A13306" t="str">
        <f>"Mul1"</f>
        <v>Mul1</v>
      </c>
      <c r="B13306" t="s">
        <v>14</v>
      </c>
      <c r="C13306" t="s">
        <v>23</v>
      </c>
      <c r="D13306" t="s">
        <v>17</v>
      </c>
      <c r="E13306" t="s">
        <v>12</v>
      </c>
      <c r="F13306">
        <v>138434647</v>
      </c>
      <c r="G13306">
        <v>138434748</v>
      </c>
      <c r="H13306">
        <v>138434647</v>
      </c>
      <c r="I13306">
        <v>138434748</v>
      </c>
    </row>
    <row r="13307" spans="1:9" x14ac:dyDescent="0.2">
      <c r="A13307" t="str">
        <f>"Mum1"</f>
        <v>Mum1</v>
      </c>
      <c r="B13307" t="s">
        <v>14</v>
      </c>
      <c r="C13307" t="s">
        <v>15</v>
      </c>
      <c r="D13307" t="s">
        <v>17</v>
      </c>
      <c r="E13307" t="s">
        <v>12</v>
      </c>
      <c r="F13307">
        <v>80226644</v>
      </c>
      <c r="G13307">
        <v>80226752</v>
      </c>
      <c r="H13307">
        <v>80226765</v>
      </c>
      <c r="I13307">
        <v>80226783</v>
      </c>
    </row>
    <row r="13308" spans="1:9" x14ac:dyDescent="0.2">
      <c r="A13308" t="str">
        <f>"Mum1l1"</f>
        <v>Mum1l1</v>
      </c>
      <c r="B13308" t="s">
        <v>14</v>
      </c>
      <c r="C13308" t="s">
        <v>37</v>
      </c>
      <c r="D13308" t="s">
        <v>17</v>
      </c>
      <c r="E13308" t="s">
        <v>12</v>
      </c>
      <c r="F13308">
        <v>139210031</v>
      </c>
      <c r="G13308">
        <v>139210046</v>
      </c>
      <c r="H13308">
        <v>139210031</v>
      </c>
      <c r="I13308">
        <v>139210046</v>
      </c>
    </row>
    <row r="13309" spans="1:9" x14ac:dyDescent="0.2">
      <c r="A13309" t="str">
        <f>"Mup1"</f>
        <v>Mup1</v>
      </c>
      <c r="B13309" t="s">
        <v>4343</v>
      </c>
      <c r="C13309" t="s">
        <v>23</v>
      </c>
      <c r="D13309" t="s">
        <v>11</v>
      </c>
      <c r="E13309" t="s">
        <v>20</v>
      </c>
      <c r="F13309">
        <v>60501959</v>
      </c>
      <c r="G13309">
        <v>60501959</v>
      </c>
      <c r="H13309">
        <v>60501959</v>
      </c>
      <c r="I13309">
        <v>60501959</v>
      </c>
    </row>
    <row r="13310" spans="1:9" x14ac:dyDescent="0.2">
      <c r="A13310" t="str">
        <f>"Mup10"</f>
        <v>Mup10</v>
      </c>
      <c r="B13310" t="s">
        <v>14</v>
      </c>
      <c r="C13310" t="s">
        <v>23</v>
      </c>
      <c r="D13310" t="s">
        <v>11</v>
      </c>
      <c r="E13310" t="s">
        <v>12</v>
      </c>
      <c r="F13310">
        <v>60582152</v>
      </c>
      <c r="G13310">
        <v>60582153</v>
      </c>
      <c r="H13310">
        <v>60582152</v>
      </c>
      <c r="I13310">
        <v>60582153</v>
      </c>
    </row>
    <row r="13311" spans="1:9" x14ac:dyDescent="0.2">
      <c r="A13311" t="str">
        <f>"Mup11"</f>
        <v>Mup11</v>
      </c>
      <c r="B13311" t="s">
        <v>4344</v>
      </c>
      <c r="C13311" t="s">
        <v>23</v>
      </c>
      <c r="D13311" t="s">
        <v>11</v>
      </c>
      <c r="E13311" t="s">
        <v>20</v>
      </c>
      <c r="F13311">
        <v>60662410</v>
      </c>
      <c r="G13311">
        <v>60662410</v>
      </c>
      <c r="H13311">
        <v>60662410</v>
      </c>
      <c r="I13311">
        <v>60662410</v>
      </c>
    </row>
    <row r="13312" spans="1:9" x14ac:dyDescent="0.2">
      <c r="A13312" t="str">
        <f>"Mup12"</f>
        <v>Mup12</v>
      </c>
      <c r="B13312" t="s">
        <v>14</v>
      </c>
      <c r="C13312" t="s">
        <v>23</v>
      </c>
      <c r="D13312" t="s">
        <v>11</v>
      </c>
      <c r="E13312" t="s">
        <v>67</v>
      </c>
      <c r="F13312">
        <v>60741419</v>
      </c>
      <c r="G13312">
        <v>60741421</v>
      </c>
      <c r="H13312">
        <v>60741419</v>
      </c>
      <c r="I13312">
        <v>60741421</v>
      </c>
    </row>
    <row r="13313" spans="1:9" x14ac:dyDescent="0.2">
      <c r="A13313" t="str">
        <f>"Mup13"</f>
        <v>Mup13</v>
      </c>
      <c r="B13313" t="s">
        <v>4345</v>
      </c>
      <c r="C13313" t="s">
        <v>23</v>
      </c>
      <c r="D13313" t="s">
        <v>11</v>
      </c>
      <c r="E13313" t="s">
        <v>20</v>
      </c>
      <c r="F13313">
        <v>61228277</v>
      </c>
      <c r="G13313">
        <v>61228277</v>
      </c>
      <c r="H13313">
        <v>61228277</v>
      </c>
      <c r="I13313">
        <v>61228277</v>
      </c>
    </row>
    <row r="13314" spans="1:9" x14ac:dyDescent="0.2">
      <c r="A13314" t="str">
        <f>"Mup14"</f>
        <v>Mup14</v>
      </c>
      <c r="B13314" t="s">
        <v>4346</v>
      </c>
      <c r="C13314" t="s">
        <v>23</v>
      </c>
      <c r="D13314" t="s">
        <v>11</v>
      </c>
      <c r="E13314" t="s">
        <v>20</v>
      </c>
      <c r="F13314">
        <v>61303998</v>
      </c>
      <c r="G13314">
        <v>61303998</v>
      </c>
      <c r="H13314">
        <v>61303998</v>
      </c>
      <c r="I13314">
        <v>61303998</v>
      </c>
    </row>
    <row r="13315" spans="1:9" x14ac:dyDescent="0.2">
      <c r="A13315" t="str">
        <f>"Mup15"</f>
        <v>Mup15</v>
      </c>
      <c r="B13315" t="s">
        <v>4347</v>
      </c>
      <c r="C13315" t="s">
        <v>23</v>
      </c>
      <c r="D13315" t="s">
        <v>11</v>
      </c>
      <c r="E13315" t="s">
        <v>20</v>
      </c>
      <c r="F13315">
        <v>61439742</v>
      </c>
      <c r="G13315">
        <v>61439742</v>
      </c>
      <c r="H13315">
        <v>61439742</v>
      </c>
      <c r="I13315">
        <v>61439742</v>
      </c>
    </row>
    <row r="13316" spans="1:9" x14ac:dyDescent="0.2">
      <c r="A13316" t="str">
        <f>"Mup16"</f>
        <v>Mup16</v>
      </c>
      <c r="B13316" t="s">
        <v>4348</v>
      </c>
      <c r="C13316" t="s">
        <v>23</v>
      </c>
      <c r="D13316" t="s">
        <v>11</v>
      </c>
      <c r="E13316" t="s">
        <v>20</v>
      </c>
      <c r="F13316">
        <v>61519498</v>
      </c>
      <c r="G13316">
        <v>61519498</v>
      </c>
      <c r="H13316">
        <v>61519498</v>
      </c>
      <c r="I13316">
        <v>61519498</v>
      </c>
    </row>
    <row r="13317" spans="1:9" x14ac:dyDescent="0.2">
      <c r="A13317" t="str">
        <f>"Mup17"</f>
        <v>Mup17</v>
      </c>
      <c r="B13317" t="s">
        <v>4349</v>
      </c>
      <c r="C13317" t="s">
        <v>23</v>
      </c>
      <c r="D13317" t="s">
        <v>11</v>
      </c>
      <c r="E13317" t="s">
        <v>20</v>
      </c>
      <c r="F13317">
        <v>61595870</v>
      </c>
      <c r="G13317">
        <v>61595870</v>
      </c>
      <c r="H13317">
        <v>61595870</v>
      </c>
      <c r="I13317">
        <v>61595870</v>
      </c>
    </row>
    <row r="13318" spans="1:9" x14ac:dyDescent="0.2">
      <c r="A13318" t="str">
        <f>"Mup18"</f>
        <v>Mup18</v>
      </c>
      <c r="B13318" t="s">
        <v>14</v>
      </c>
      <c r="C13318" t="s">
        <v>23</v>
      </c>
      <c r="D13318" t="s">
        <v>11</v>
      </c>
      <c r="E13318" t="s">
        <v>67</v>
      </c>
      <c r="F13318">
        <v>61674094</v>
      </c>
      <c r="G13318">
        <v>61674097</v>
      </c>
      <c r="H13318">
        <v>61674094</v>
      </c>
      <c r="I13318">
        <v>61674097</v>
      </c>
    </row>
    <row r="13319" spans="1:9" x14ac:dyDescent="0.2">
      <c r="A13319" t="str">
        <f>"Mup19"</f>
        <v>Mup19</v>
      </c>
      <c r="B13319" t="s">
        <v>4350</v>
      </c>
      <c r="C13319" t="s">
        <v>23</v>
      </c>
      <c r="D13319" t="s">
        <v>11</v>
      </c>
      <c r="E13319" t="s">
        <v>35</v>
      </c>
      <c r="F13319">
        <v>61782222</v>
      </c>
      <c r="G13319">
        <v>61782226</v>
      </c>
      <c r="H13319">
        <v>61782222</v>
      </c>
      <c r="I13319">
        <v>61782226</v>
      </c>
    </row>
    <row r="13320" spans="1:9" x14ac:dyDescent="0.2">
      <c r="A13320" t="str">
        <f>"Mup2"</f>
        <v>Mup2</v>
      </c>
      <c r="B13320" t="s">
        <v>4351</v>
      </c>
      <c r="C13320" t="s">
        <v>23</v>
      </c>
      <c r="D13320" t="s">
        <v>11</v>
      </c>
      <c r="E13320" t="s">
        <v>20</v>
      </c>
      <c r="F13320">
        <v>60139876</v>
      </c>
      <c r="G13320">
        <v>60139876</v>
      </c>
      <c r="H13320">
        <v>60139876</v>
      </c>
      <c r="I13320">
        <v>60139876</v>
      </c>
    </row>
    <row r="13321" spans="1:9" x14ac:dyDescent="0.2">
      <c r="A13321" t="str">
        <f>"Mup20"</f>
        <v>Mup20</v>
      </c>
      <c r="B13321" t="s">
        <v>14</v>
      </c>
      <c r="C13321" t="s">
        <v>23</v>
      </c>
      <c r="D13321" t="s">
        <v>11</v>
      </c>
      <c r="E13321" t="s">
        <v>12</v>
      </c>
      <c r="F13321">
        <v>62054112</v>
      </c>
      <c r="G13321">
        <v>62054117</v>
      </c>
      <c r="H13321">
        <v>62054112</v>
      </c>
      <c r="I13321">
        <v>62054117</v>
      </c>
    </row>
    <row r="13322" spans="1:9" x14ac:dyDescent="0.2">
      <c r="A13322" t="str">
        <f>"Mup21"</f>
        <v>Mup21</v>
      </c>
      <c r="B13322" t="s">
        <v>14</v>
      </c>
      <c r="C13322" t="s">
        <v>23</v>
      </c>
      <c r="D13322" t="s">
        <v>11</v>
      </c>
      <c r="E13322" t="s">
        <v>12</v>
      </c>
      <c r="F13322">
        <v>62150810</v>
      </c>
      <c r="G13322">
        <v>62150826</v>
      </c>
      <c r="H13322">
        <v>62150908</v>
      </c>
      <c r="I13322">
        <v>62150920</v>
      </c>
    </row>
    <row r="13323" spans="1:9" x14ac:dyDescent="0.2">
      <c r="A13323" t="str">
        <f>"Mup3"</f>
        <v>Mup3</v>
      </c>
      <c r="B13323" t="s">
        <v>14</v>
      </c>
      <c r="C13323" t="s">
        <v>23</v>
      </c>
      <c r="D13323" t="s">
        <v>11</v>
      </c>
      <c r="E13323" t="s">
        <v>12</v>
      </c>
      <c r="F13323">
        <v>62087288</v>
      </c>
      <c r="G13323">
        <v>62087306</v>
      </c>
      <c r="H13323">
        <v>62087288</v>
      </c>
      <c r="I13323">
        <v>62087306</v>
      </c>
    </row>
    <row r="13324" spans="1:9" x14ac:dyDescent="0.2">
      <c r="A13324" t="str">
        <f>"Mup4"</f>
        <v>Mup4</v>
      </c>
      <c r="B13324" t="s">
        <v>14</v>
      </c>
      <c r="C13324" t="s">
        <v>23</v>
      </c>
      <c r="D13324" t="s">
        <v>11</v>
      </c>
      <c r="E13324" t="s">
        <v>12</v>
      </c>
      <c r="F13324">
        <v>59960659</v>
      </c>
      <c r="G13324">
        <v>59960668</v>
      </c>
      <c r="H13324">
        <v>59960659</v>
      </c>
      <c r="I13324">
        <v>59960668</v>
      </c>
    </row>
    <row r="13325" spans="1:9" x14ac:dyDescent="0.2">
      <c r="A13325" t="str">
        <f>"Mup5"</f>
        <v>Mup5</v>
      </c>
      <c r="B13325" t="s">
        <v>14</v>
      </c>
      <c r="C13325" t="s">
        <v>23</v>
      </c>
      <c r="D13325" t="s">
        <v>11</v>
      </c>
      <c r="E13325" t="s">
        <v>12</v>
      </c>
      <c r="F13325">
        <v>61835185</v>
      </c>
      <c r="G13325">
        <v>61835190</v>
      </c>
      <c r="H13325">
        <v>61835185</v>
      </c>
      <c r="I13325">
        <v>61835190</v>
      </c>
    </row>
    <row r="13326" spans="1:9" x14ac:dyDescent="0.2">
      <c r="A13326" t="str">
        <f>"Mup6"</f>
        <v>Mup6</v>
      </c>
      <c r="B13326" t="s">
        <v>14</v>
      </c>
      <c r="C13326" t="s">
        <v>23</v>
      </c>
      <c r="D13326" t="s">
        <v>17</v>
      </c>
      <c r="E13326" t="s">
        <v>12</v>
      </c>
      <c r="F13326">
        <v>60003478</v>
      </c>
      <c r="G13326">
        <v>60003486</v>
      </c>
      <c r="H13326">
        <v>60003478</v>
      </c>
      <c r="I13326">
        <v>60003486</v>
      </c>
    </row>
    <row r="13327" spans="1:9" x14ac:dyDescent="0.2">
      <c r="A13327" t="str">
        <f>"Mup7"</f>
        <v>Mup7</v>
      </c>
      <c r="B13327" t="s">
        <v>14</v>
      </c>
      <c r="C13327" t="s">
        <v>23</v>
      </c>
      <c r="D13327" t="s">
        <v>11</v>
      </c>
      <c r="E13327" t="s">
        <v>12</v>
      </c>
      <c r="F13327">
        <v>60070461</v>
      </c>
      <c r="G13327">
        <v>60070481</v>
      </c>
      <c r="H13327">
        <v>60070461</v>
      </c>
      <c r="I13327">
        <v>60070481</v>
      </c>
    </row>
    <row r="13328" spans="1:9" x14ac:dyDescent="0.2">
      <c r="A13328" t="str">
        <f>"Mup8"</f>
        <v>Mup8</v>
      </c>
      <c r="B13328" t="s">
        <v>4352</v>
      </c>
      <c r="C13328" t="s">
        <v>23</v>
      </c>
      <c r="D13328" t="s">
        <v>11</v>
      </c>
      <c r="E13328" t="s">
        <v>20</v>
      </c>
      <c r="F13328">
        <v>60222588</v>
      </c>
      <c r="G13328">
        <v>60222588</v>
      </c>
      <c r="H13328">
        <v>60222588</v>
      </c>
      <c r="I13328">
        <v>60222588</v>
      </c>
    </row>
    <row r="13329" spans="1:9" x14ac:dyDescent="0.2">
      <c r="A13329" t="str">
        <f>"Mup9"</f>
        <v>Mup9</v>
      </c>
      <c r="B13329" t="s">
        <v>14</v>
      </c>
      <c r="C13329" t="s">
        <v>23</v>
      </c>
      <c r="D13329" t="s">
        <v>11</v>
      </c>
      <c r="E13329" t="s">
        <v>12</v>
      </c>
      <c r="F13329">
        <v>60421948</v>
      </c>
      <c r="G13329">
        <v>60421955</v>
      </c>
      <c r="H13329">
        <v>60421948</v>
      </c>
      <c r="I13329">
        <v>60421955</v>
      </c>
    </row>
    <row r="13330" spans="1:9" x14ac:dyDescent="0.2">
      <c r="A13330" t="str">
        <f>"Murc"</f>
        <v>Murc</v>
      </c>
      <c r="B13330" t="s">
        <v>14</v>
      </c>
      <c r="C13330" t="s">
        <v>23</v>
      </c>
      <c r="D13330" t="s">
        <v>17</v>
      </c>
      <c r="E13330" t="s">
        <v>12</v>
      </c>
      <c r="F13330">
        <v>48663546</v>
      </c>
      <c r="G13330">
        <v>48663563</v>
      </c>
      <c r="H13330">
        <v>48663502</v>
      </c>
      <c r="I13330">
        <v>48663525</v>
      </c>
    </row>
    <row r="13331" spans="1:9" x14ac:dyDescent="0.2">
      <c r="A13331" t="str">
        <f>"Mus81"</f>
        <v>Mus81</v>
      </c>
      <c r="B13331" t="s">
        <v>14</v>
      </c>
      <c r="C13331" t="s">
        <v>10</v>
      </c>
      <c r="D13331" t="s">
        <v>11</v>
      </c>
      <c r="E13331" t="s">
        <v>12</v>
      </c>
      <c r="F13331">
        <v>5488271</v>
      </c>
      <c r="G13331">
        <v>5488396</v>
      </c>
      <c r="H13331">
        <v>5487908</v>
      </c>
      <c r="I13331">
        <v>5487929</v>
      </c>
    </row>
    <row r="13332" spans="1:9" x14ac:dyDescent="0.2">
      <c r="A13332" t="str">
        <f>"Musk"</f>
        <v>Musk</v>
      </c>
      <c r="B13332" t="s">
        <v>14</v>
      </c>
      <c r="C13332" t="s">
        <v>23</v>
      </c>
      <c r="D13332" t="s">
        <v>17</v>
      </c>
      <c r="E13332" t="s">
        <v>12</v>
      </c>
      <c r="F13332">
        <v>58285930</v>
      </c>
      <c r="G13332">
        <v>58285975</v>
      </c>
      <c r="H13332">
        <v>58285930</v>
      </c>
      <c r="I13332">
        <v>58285975</v>
      </c>
    </row>
    <row r="13333" spans="1:9" x14ac:dyDescent="0.2">
      <c r="A13333" t="str">
        <f>"Mustn1"</f>
        <v>Mustn1</v>
      </c>
      <c r="B13333" t="s">
        <v>14</v>
      </c>
      <c r="C13333" t="s">
        <v>41</v>
      </c>
      <c r="D13333" t="s">
        <v>17</v>
      </c>
      <c r="E13333" t="s">
        <v>12</v>
      </c>
      <c r="F13333">
        <v>30879533</v>
      </c>
      <c r="G13333">
        <v>30879549</v>
      </c>
      <c r="H13333">
        <v>30879533</v>
      </c>
      <c r="I13333">
        <v>30879549</v>
      </c>
    </row>
    <row r="13334" spans="1:9" x14ac:dyDescent="0.2">
      <c r="A13334" t="str">
        <f>"Mut"</f>
        <v>Mut</v>
      </c>
      <c r="B13334" t="s">
        <v>14</v>
      </c>
      <c r="C13334" t="s">
        <v>28</v>
      </c>
      <c r="D13334" t="s">
        <v>17</v>
      </c>
      <c r="E13334" t="s">
        <v>12</v>
      </c>
      <c r="F13334">
        <v>40934676</v>
      </c>
      <c r="G13334">
        <v>40934751</v>
      </c>
      <c r="H13334">
        <v>40934535</v>
      </c>
      <c r="I13334">
        <v>40934549</v>
      </c>
    </row>
    <row r="13335" spans="1:9" x14ac:dyDescent="0.2">
      <c r="A13335" t="str">
        <f>"Mutyh"</f>
        <v>Mutyh</v>
      </c>
      <c r="B13335" t="s">
        <v>14</v>
      </c>
      <c r="C13335" t="s">
        <v>23</v>
      </c>
      <c r="D13335" t="s">
        <v>17</v>
      </c>
      <c r="E13335" t="s">
        <v>12</v>
      </c>
      <c r="F13335">
        <v>116807728</v>
      </c>
      <c r="G13335">
        <v>116807751</v>
      </c>
      <c r="H13335">
        <v>116807714</v>
      </c>
      <c r="I13335">
        <v>116807726</v>
      </c>
    </row>
    <row r="13336" spans="1:9" x14ac:dyDescent="0.2">
      <c r="A13336" t="str">
        <f>"Mvb12a"</f>
        <v>Mvb12a</v>
      </c>
      <c r="B13336" t="s">
        <v>14</v>
      </c>
      <c r="C13336" t="s">
        <v>30</v>
      </c>
      <c r="D13336" t="s">
        <v>17</v>
      </c>
      <c r="E13336" t="s">
        <v>67</v>
      </c>
      <c r="F13336">
        <v>71542911</v>
      </c>
      <c r="G13336">
        <v>71542973</v>
      </c>
      <c r="H13336">
        <v>71542911</v>
      </c>
      <c r="I13336">
        <v>71542973</v>
      </c>
    </row>
    <row r="13337" spans="1:9" x14ac:dyDescent="0.2">
      <c r="A13337" t="str">
        <f>"Mvb12b"</f>
        <v>Mvb12b</v>
      </c>
      <c r="B13337" t="s">
        <v>14</v>
      </c>
      <c r="C13337" t="s">
        <v>26</v>
      </c>
      <c r="D13337" t="s">
        <v>11</v>
      </c>
      <c r="E13337" t="s">
        <v>67</v>
      </c>
      <c r="F13337">
        <v>33887435</v>
      </c>
      <c r="G13337">
        <v>33887515</v>
      </c>
      <c r="H13337">
        <v>33887553</v>
      </c>
      <c r="I13337">
        <v>33887586</v>
      </c>
    </row>
    <row r="13338" spans="1:9" x14ac:dyDescent="0.2">
      <c r="A13338" t="str">
        <f>"Mvd"</f>
        <v>Mvd</v>
      </c>
      <c r="B13338" t="s">
        <v>14</v>
      </c>
      <c r="C13338" t="s">
        <v>30</v>
      </c>
      <c r="D13338" t="s">
        <v>11</v>
      </c>
      <c r="E13338" t="s">
        <v>12</v>
      </c>
      <c r="F13338">
        <v>122443363</v>
      </c>
      <c r="G13338">
        <v>122443403</v>
      </c>
      <c r="H13338">
        <v>122443404</v>
      </c>
      <c r="I13338">
        <v>122443426</v>
      </c>
    </row>
    <row r="13339" spans="1:9" x14ac:dyDescent="0.2">
      <c r="A13339" t="str">
        <f>"Mvk"</f>
        <v>Mvk</v>
      </c>
      <c r="B13339" t="s">
        <v>14</v>
      </c>
      <c r="C13339" t="s">
        <v>46</v>
      </c>
      <c r="D13339" t="s">
        <v>17</v>
      </c>
      <c r="E13339" t="s">
        <v>12</v>
      </c>
      <c r="F13339">
        <v>114444266</v>
      </c>
      <c r="G13339">
        <v>114444306</v>
      </c>
      <c r="H13339">
        <v>114444324</v>
      </c>
      <c r="I13339">
        <v>114444342</v>
      </c>
    </row>
    <row r="13340" spans="1:9" x14ac:dyDescent="0.2">
      <c r="A13340" t="str">
        <f>"Mvp"</f>
        <v>Mvp</v>
      </c>
      <c r="B13340" t="s">
        <v>14</v>
      </c>
      <c r="C13340" t="s">
        <v>33</v>
      </c>
      <c r="D13340" t="s">
        <v>11</v>
      </c>
      <c r="E13340" t="s">
        <v>12</v>
      </c>
      <c r="F13340">
        <v>127014535</v>
      </c>
      <c r="G13340">
        <v>127014583</v>
      </c>
      <c r="H13340">
        <v>127014585</v>
      </c>
      <c r="I13340">
        <v>127014605</v>
      </c>
    </row>
    <row r="13341" spans="1:9" x14ac:dyDescent="0.2">
      <c r="A13341" t="str">
        <f>"Mx1"</f>
        <v>Mx1</v>
      </c>
      <c r="B13341" t="s">
        <v>14</v>
      </c>
      <c r="C13341" t="s">
        <v>31</v>
      </c>
      <c r="D13341" t="s">
        <v>11</v>
      </c>
      <c r="E13341" t="s">
        <v>12</v>
      </c>
      <c r="F13341">
        <v>97462903</v>
      </c>
      <c r="G13341">
        <v>97462908</v>
      </c>
      <c r="H13341">
        <v>97462903</v>
      </c>
      <c r="I13341">
        <v>97462908</v>
      </c>
    </row>
    <row r="13342" spans="1:9" x14ac:dyDescent="0.2">
      <c r="A13342" t="str">
        <f>"Mx2"</f>
        <v>Mx2</v>
      </c>
      <c r="B13342" t="s">
        <v>14</v>
      </c>
      <c r="C13342" t="s">
        <v>31</v>
      </c>
      <c r="D13342" t="s">
        <v>17</v>
      </c>
      <c r="E13342" t="s">
        <v>12</v>
      </c>
      <c r="F13342">
        <v>97536079</v>
      </c>
      <c r="G13342">
        <v>97536085</v>
      </c>
      <c r="H13342">
        <v>97536079</v>
      </c>
      <c r="I13342">
        <v>97536085</v>
      </c>
    </row>
    <row r="13343" spans="1:9" x14ac:dyDescent="0.2">
      <c r="A13343" t="str">
        <f>"Mxd1"</f>
        <v>Mxd1</v>
      </c>
      <c r="B13343" t="s">
        <v>14</v>
      </c>
      <c r="C13343" t="s">
        <v>32</v>
      </c>
      <c r="D13343" t="s">
        <v>11</v>
      </c>
      <c r="E13343" t="s">
        <v>12</v>
      </c>
      <c r="F13343">
        <v>86669110</v>
      </c>
      <c r="G13343">
        <v>86669125</v>
      </c>
      <c r="H13343">
        <v>86669136</v>
      </c>
      <c r="I13343">
        <v>86669164</v>
      </c>
    </row>
    <row r="13344" spans="1:9" x14ac:dyDescent="0.2">
      <c r="A13344" t="str">
        <f>"Mxd3"</f>
        <v>Mxd3</v>
      </c>
      <c r="B13344" t="s">
        <v>14</v>
      </c>
      <c r="C13344" t="s">
        <v>39</v>
      </c>
      <c r="D13344" t="s">
        <v>11</v>
      </c>
      <c r="E13344" t="s">
        <v>12</v>
      </c>
      <c r="F13344">
        <v>55329723</v>
      </c>
      <c r="G13344">
        <v>55329776</v>
      </c>
      <c r="H13344">
        <v>55329723</v>
      </c>
      <c r="I13344">
        <v>55329776</v>
      </c>
    </row>
    <row r="13345" spans="1:9" x14ac:dyDescent="0.2">
      <c r="A13345" t="str">
        <f>"Mxd4"</f>
        <v>Mxd4</v>
      </c>
      <c r="B13345" t="s">
        <v>14</v>
      </c>
      <c r="C13345" t="s">
        <v>46</v>
      </c>
      <c r="D13345" t="s">
        <v>11</v>
      </c>
      <c r="E13345" t="s">
        <v>12</v>
      </c>
      <c r="F13345">
        <v>34187670</v>
      </c>
      <c r="G13345">
        <v>34187749</v>
      </c>
      <c r="H13345">
        <v>34187644</v>
      </c>
      <c r="I13345">
        <v>34187669</v>
      </c>
    </row>
    <row r="13346" spans="1:9" x14ac:dyDescent="0.2">
      <c r="A13346" t="str">
        <f>"Mxi1"</f>
        <v>Mxi1</v>
      </c>
      <c r="B13346" t="s">
        <v>9</v>
      </c>
      <c r="C13346" t="s">
        <v>10</v>
      </c>
      <c r="D13346" t="s">
        <v>17</v>
      </c>
      <c r="E13346" t="s">
        <v>12</v>
      </c>
      <c r="F13346">
        <v>53310495</v>
      </c>
      <c r="G13346">
        <v>53310552</v>
      </c>
      <c r="H13346">
        <v>53310495</v>
      </c>
      <c r="I13346">
        <v>53310552</v>
      </c>
    </row>
    <row r="13347" spans="1:9" x14ac:dyDescent="0.2">
      <c r="A13347" t="str">
        <f>"Mxi1"</f>
        <v>Mxi1</v>
      </c>
      <c r="B13347" t="s">
        <v>13</v>
      </c>
      <c r="C13347" t="s">
        <v>10</v>
      </c>
      <c r="D13347" t="s">
        <v>17</v>
      </c>
      <c r="E13347" t="s">
        <v>12</v>
      </c>
      <c r="F13347">
        <v>53329424</v>
      </c>
      <c r="G13347">
        <v>53329478</v>
      </c>
      <c r="H13347">
        <v>53329424</v>
      </c>
      <c r="I13347">
        <v>53329478</v>
      </c>
    </row>
    <row r="13348" spans="1:9" x14ac:dyDescent="0.2">
      <c r="A13348" t="str">
        <f>"Mxra7"</f>
        <v>Mxra7</v>
      </c>
      <c r="B13348" t="s">
        <v>14</v>
      </c>
      <c r="C13348" t="s">
        <v>27</v>
      </c>
      <c r="D13348" t="s">
        <v>11</v>
      </c>
      <c r="E13348" t="s">
        <v>12</v>
      </c>
      <c r="F13348">
        <v>116828000</v>
      </c>
      <c r="G13348">
        <v>116828071</v>
      </c>
      <c r="H13348">
        <v>116828073</v>
      </c>
      <c r="I13348">
        <v>116828080</v>
      </c>
    </row>
    <row r="13349" spans="1:9" x14ac:dyDescent="0.2">
      <c r="A13349" t="str">
        <f>"Mxra8"</f>
        <v>Mxra8</v>
      </c>
      <c r="B13349" t="s">
        <v>14</v>
      </c>
      <c r="C13349" t="s">
        <v>23</v>
      </c>
      <c r="D13349" t="s">
        <v>17</v>
      </c>
      <c r="E13349" t="s">
        <v>12</v>
      </c>
      <c r="F13349">
        <v>155839769</v>
      </c>
      <c r="G13349">
        <v>155839824</v>
      </c>
      <c r="H13349">
        <v>155839724</v>
      </c>
      <c r="I13349">
        <v>155839762</v>
      </c>
    </row>
    <row r="13350" spans="1:9" x14ac:dyDescent="0.2">
      <c r="A13350" t="str">
        <f>"Myadm"</f>
        <v>Myadm</v>
      </c>
      <c r="B13350" t="s">
        <v>14</v>
      </c>
      <c r="C13350" t="s">
        <v>33</v>
      </c>
      <c r="D13350" t="s">
        <v>17</v>
      </c>
      <c r="E13350" t="s">
        <v>12</v>
      </c>
      <c r="F13350">
        <v>3290553</v>
      </c>
      <c r="G13350">
        <v>3290586</v>
      </c>
      <c r="H13350">
        <v>3290588</v>
      </c>
      <c r="I13350">
        <v>3290614</v>
      </c>
    </row>
    <row r="13351" spans="1:9" x14ac:dyDescent="0.2">
      <c r="A13351" t="str">
        <f>"Myadml2"</f>
        <v>Myadml2</v>
      </c>
      <c r="B13351" t="s">
        <v>14</v>
      </c>
      <c r="C13351" t="s">
        <v>27</v>
      </c>
      <c r="D13351" t="s">
        <v>11</v>
      </c>
      <c r="E13351" t="s">
        <v>12</v>
      </c>
      <c r="F13351">
        <v>120648104</v>
      </c>
      <c r="G13351">
        <v>120648137</v>
      </c>
      <c r="H13351">
        <v>120648336</v>
      </c>
      <c r="I13351">
        <v>120648376</v>
      </c>
    </row>
    <row r="13352" spans="1:9" x14ac:dyDescent="0.2">
      <c r="A13352" t="str">
        <f>"Myb"</f>
        <v>Myb</v>
      </c>
      <c r="B13352" t="s">
        <v>14</v>
      </c>
      <c r="C13352" t="s">
        <v>15</v>
      </c>
      <c r="D13352" t="s">
        <v>11</v>
      </c>
      <c r="E13352" t="s">
        <v>12</v>
      </c>
      <c r="F13352">
        <v>21160823</v>
      </c>
      <c r="G13352">
        <v>21160877</v>
      </c>
      <c r="H13352">
        <v>21160925</v>
      </c>
      <c r="I13352">
        <v>21160969</v>
      </c>
    </row>
    <row r="13353" spans="1:9" x14ac:dyDescent="0.2">
      <c r="A13353" t="str">
        <f>"Mybbp1a"</f>
        <v>Mybbp1a</v>
      </c>
      <c r="B13353" t="s">
        <v>14</v>
      </c>
      <c r="C13353" t="s">
        <v>27</v>
      </c>
      <c r="D13353" t="s">
        <v>17</v>
      </c>
      <c r="E13353" t="s">
        <v>12</v>
      </c>
      <c r="F13353">
        <v>72441341</v>
      </c>
      <c r="G13353">
        <v>72441386</v>
      </c>
      <c r="H13353">
        <v>72441341</v>
      </c>
      <c r="I13353">
        <v>72441386</v>
      </c>
    </row>
    <row r="13354" spans="1:9" x14ac:dyDescent="0.2">
      <c r="A13354" t="str">
        <f>"Mybl1"</f>
        <v>Mybl1</v>
      </c>
      <c r="B13354" t="s">
        <v>14</v>
      </c>
      <c r="C13354" t="s">
        <v>19</v>
      </c>
      <c r="D13354" t="s">
        <v>11</v>
      </c>
      <c r="E13354" t="s">
        <v>12</v>
      </c>
      <c r="F13354">
        <v>9700343</v>
      </c>
      <c r="G13354">
        <v>9700386</v>
      </c>
      <c r="H13354">
        <v>9700317</v>
      </c>
      <c r="I13354">
        <v>9700329</v>
      </c>
    </row>
    <row r="13355" spans="1:9" x14ac:dyDescent="0.2">
      <c r="A13355" t="str">
        <f>"Mybl2"</f>
        <v>Mybl2</v>
      </c>
      <c r="B13355" t="s">
        <v>14</v>
      </c>
      <c r="C13355" t="s">
        <v>26</v>
      </c>
      <c r="D13355" t="s">
        <v>17</v>
      </c>
      <c r="E13355" t="s">
        <v>12</v>
      </c>
      <c r="F13355">
        <v>163054651</v>
      </c>
      <c r="G13355">
        <v>163054677</v>
      </c>
      <c r="H13355">
        <v>163054591</v>
      </c>
      <c r="I13355">
        <v>163054649</v>
      </c>
    </row>
    <row r="13356" spans="1:9" x14ac:dyDescent="0.2">
      <c r="A13356" t="str">
        <f>"Mybpc1"</f>
        <v>Mybpc1</v>
      </c>
      <c r="B13356" t="s">
        <v>14</v>
      </c>
      <c r="C13356" t="s">
        <v>15</v>
      </c>
      <c r="D13356" t="s">
        <v>11</v>
      </c>
      <c r="E13356" t="s">
        <v>12</v>
      </c>
      <c r="F13356">
        <v>88605017</v>
      </c>
      <c r="G13356">
        <v>88605033</v>
      </c>
      <c r="H13356">
        <v>88605017</v>
      </c>
      <c r="I13356">
        <v>88605033</v>
      </c>
    </row>
    <row r="13357" spans="1:9" x14ac:dyDescent="0.2">
      <c r="A13357" t="str">
        <f>"Mybpc2"</f>
        <v>Mybpc2</v>
      </c>
      <c r="B13357" t="s">
        <v>14</v>
      </c>
      <c r="C13357" t="s">
        <v>33</v>
      </c>
      <c r="D13357" t="s">
        <v>11</v>
      </c>
      <c r="E13357" t="s">
        <v>12</v>
      </c>
      <c r="F13357">
        <v>44524642</v>
      </c>
      <c r="G13357">
        <v>44524663</v>
      </c>
      <c r="H13357">
        <v>44524642</v>
      </c>
      <c r="I13357">
        <v>44524663</v>
      </c>
    </row>
    <row r="13358" spans="1:9" x14ac:dyDescent="0.2">
      <c r="A13358" t="str">
        <f>"Mybpc3"</f>
        <v>Mybpc3</v>
      </c>
      <c r="B13358" t="s">
        <v>14</v>
      </c>
      <c r="C13358" t="s">
        <v>26</v>
      </c>
      <c r="D13358" t="s">
        <v>17</v>
      </c>
      <c r="E13358" t="s">
        <v>12</v>
      </c>
      <c r="F13358">
        <v>91118136</v>
      </c>
      <c r="G13358">
        <v>91118150</v>
      </c>
      <c r="H13358">
        <v>91118136</v>
      </c>
      <c r="I13358">
        <v>91118150</v>
      </c>
    </row>
    <row r="13359" spans="1:9" x14ac:dyDescent="0.2">
      <c r="A13359" t="str">
        <f>"Mybph"</f>
        <v>Mybph</v>
      </c>
      <c r="B13359" t="s">
        <v>14</v>
      </c>
      <c r="C13359" t="s">
        <v>19</v>
      </c>
      <c r="D13359" t="s">
        <v>17</v>
      </c>
      <c r="E13359" t="s">
        <v>12</v>
      </c>
      <c r="F13359">
        <v>134193432</v>
      </c>
      <c r="G13359">
        <v>134193445</v>
      </c>
      <c r="H13359">
        <v>134193432</v>
      </c>
      <c r="I13359">
        <v>134193445</v>
      </c>
    </row>
    <row r="13360" spans="1:9" x14ac:dyDescent="0.2">
      <c r="A13360" t="str">
        <f>"Mybphl"</f>
        <v>Mybphl</v>
      </c>
      <c r="B13360" t="s">
        <v>14</v>
      </c>
      <c r="C13360" t="s">
        <v>22</v>
      </c>
      <c r="D13360" t="s">
        <v>17</v>
      </c>
      <c r="E13360" t="s">
        <v>12</v>
      </c>
      <c r="F13360">
        <v>108364913</v>
      </c>
      <c r="G13360">
        <v>108364943</v>
      </c>
      <c r="H13360">
        <v>108364882</v>
      </c>
      <c r="I13360">
        <v>108364911</v>
      </c>
    </row>
    <row r="13361" spans="1:9" x14ac:dyDescent="0.2">
      <c r="A13361" t="str">
        <f>"Myc"</f>
        <v>Myc</v>
      </c>
      <c r="B13361" t="s">
        <v>14</v>
      </c>
      <c r="C13361" t="s">
        <v>25</v>
      </c>
      <c r="D13361" t="s">
        <v>17</v>
      </c>
      <c r="E13361" t="s">
        <v>12</v>
      </c>
      <c r="F13361">
        <v>61985540</v>
      </c>
      <c r="G13361">
        <v>61985556</v>
      </c>
      <c r="H13361">
        <v>61985377</v>
      </c>
      <c r="I13361">
        <v>61985397</v>
      </c>
    </row>
    <row r="13362" spans="1:9" x14ac:dyDescent="0.2">
      <c r="A13362" t="str">
        <f>"Mycbp"</f>
        <v>Mycbp</v>
      </c>
      <c r="B13362" t="s">
        <v>14</v>
      </c>
      <c r="C13362" t="s">
        <v>23</v>
      </c>
      <c r="D13362" t="s">
        <v>17</v>
      </c>
      <c r="E13362" t="s">
        <v>12</v>
      </c>
      <c r="F13362">
        <v>123904989</v>
      </c>
      <c r="G13362">
        <v>123905051</v>
      </c>
      <c r="H13362">
        <v>123905130</v>
      </c>
      <c r="I13362">
        <v>123905150</v>
      </c>
    </row>
    <row r="13363" spans="1:9" x14ac:dyDescent="0.2">
      <c r="A13363" t="str">
        <f>"Mycbp2"</f>
        <v>Mycbp2</v>
      </c>
      <c r="B13363" t="s">
        <v>14</v>
      </c>
      <c r="C13363" t="s">
        <v>41</v>
      </c>
      <c r="D13363" t="s">
        <v>11</v>
      </c>
      <c r="E13363" t="s">
        <v>12</v>
      </c>
      <c r="F13363">
        <v>103346765</v>
      </c>
      <c r="G13363">
        <v>103346841</v>
      </c>
      <c r="H13363">
        <v>103346639</v>
      </c>
      <c r="I13363">
        <v>103346661</v>
      </c>
    </row>
    <row r="13364" spans="1:9" x14ac:dyDescent="0.2">
      <c r="A13364" t="str">
        <f>"Mycbpap"</f>
        <v>Mycbpap</v>
      </c>
      <c r="B13364" t="s">
        <v>14</v>
      </c>
      <c r="C13364" t="s">
        <v>27</v>
      </c>
      <c r="D13364" t="s">
        <v>11</v>
      </c>
      <c r="E13364" t="s">
        <v>12</v>
      </c>
      <c r="F13364">
        <v>94521472</v>
      </c>
      <c r="G13364">
        <v>94521516</v>
      </c>
      <c r="H13364">
        <v>94521719</v>
      </c>
      <c r="I13364">
        <v>94521769</v>
      </c>
    </row>
    <row r="13365" spans="1:9" x14ac:dyDescent="0.2">
      <c r="A13365" t="str">
        <f>"Mycl"</f>
        <v>Mycl</v>
      </c>
      <c r="B13365" t="s">
        <v>14</v>
      </c>
      <c r="C13365" t="s">
        <v>23</v>
      </c>
      <c r="D13365" t="s">
        <v>17</v>
      </c>
      <c r="E13365" t="s">
        <v>67</v>
      </c>
      <c r="F13365">
        <v>122996035</v>
      </c>
      <c r="G13365">
        <v>122996093</v>
      </c>
      <c r="H13365">
        <v>122995944</v>
      </c>
      <c r="I13365">
        <v>122995958</v>
      </c>
    </row>
    <row r="13366" spans="1:9" x14ac:dyDescent="0.2">
      <c r="A13366" t="str">
        <f>"Mycn"</f>
        <v>Mycn</v>
      </c>
      <c r="B13366" t="s">
        <v>14</v>
      </c>
      <c r="C13366" t="s">
        <v>16</v>
      </c>
      <c r="D13366" t="s">
        <v>11</v>
      </c>
      <c r="E13366" t="s">
        <v>12</v>
      </c>
      <c r="F13366">
        <v>12941827</v>
      </c>
      <c r="G13366">
        <v>12941845</v>
      </c>
      <c r="H13366">
        <v>12941827</v>
      </c>
      <c r="I13366">
        <v>12941845</v>
      </c>
    </row>
    <row r="13367" spans="1:9" x14ac:dyDescent="0.2">
      <c r="A13367" t="str">
        <f>"Mycs"</f>
        <v>Mycs</v>
      </c>
      <c r="B13367" t="s">
        <v>4353</v>
      </c>
      <c r="C13367" t="s">
        <v>37</v>
      </c>
      <c r="D13367" t="s">
        <v>11</v>
      </c>
      <c r="E13367" t="s">
        <v>20</v>
      </c>
      <c r="F13367">
        <v>5469264</v>
      </c>
      <c r="G13367">
        <v>5469264</v>
      </c>
      <c r="H13367">
        <v>5469264</v>
      </c>
      <c r="I13367">
        <v>5469264</v>
      </c>
    </row>
    <row r="13368" spans="1:9" x14ac:dyDescent="0.2">
      <c r="A13368" t="str">
        <f>"Myct1"</f>
        <v>Myct1</v>
      </c>
      <c r="B13368" t="s">
        <v>14</v>
      </c>
      <c r="C13368" t="s">
        <v>15</v>
      </c>
      <c r="D13368" t="s">
        <v>17</v>
      </c>
      <c r="E13368" t="s">
        <v>12</v>
      </c>
      <c r="F13368">
        <v>5593764</v>
      </c>
      <c r="G13368">
        <v>5593809</v>
      </c>
      <c r="H13368">
        <v>5593823</v>
      </c>
      <c r="I13368">
        <v>5593855</v>
      </c>
    </row>
    <row r="13369" spans="1:9" x14ac:dyDescent="0.2">
      <c r="A13369" t="str">
        <f>"Myd88"</f>
        <v>Myd88</v>
      </c>
      <c r="B13369" t="s">
        <v>14</v>
      </c>
      <c r="C13369" t="s">
        <v>24</v>
      </c>
      <c r="D13369" t="s">
        <v>11</v>
      </c>
      <c r="E13369" t="s">
        <v>12</v>
      </c>
      <c r="F13369">
        <v>119339989</v>
      </c>
      <c r="G13369">
        <v>119340035</v>
      </c>
      <c r="H13369">
        <v>119339989</v>
      </c>
      <c r="I13369">
        <v>119340035</v>
      </c>
    </row>
    <row r="13370" spans="1:9" x14ac:dyDescent="0.2">
      <c r="A13370" t="str">
        <f>"Myef2"</f>
        <v>Myef2</v>
      </c>
      <c r="B13370" t="s">
        <v>14</v>
      </c>
      <c r="C13370" t="s">
        <v>26</v>
      </c>
      <c r="D13370" t="s">
        <v>11</v>
      </c>
      <c r="E13370" t="s">
        <v>12</v>
      </c>
      <c r="F13370">
        <v>125123581</v>
      </c>
      <c r="G13370">
        <v>125123617</v>
      </c>
      <c r="H13370">
        <v>125123618</v>
      </c>
      <c r="I13370">
        <v>125123648</v>
      </c>
    </row>
    <row r="13371" spans="1:9" x14ac:dyDescent="0.2">
      <c r="A13371" t="str">
        <f>"Myeov2"</f>
        <v>Myeov2</v>
      </c>
      <c r="B13371" t="s">
        <v>14</v>
      </c>
      <c r="C13371" t="s">
        <v>19</v>
      </c>
      <c r="D13371" t="s">
        <v>11</v>
      </c>
      <c r="E13371" t="s">
        <v>12</v>
      </c>
      <c r="F13371">
        <v>92641942</v>
      </c>
      <c r="G13371">
        <v>92641976</v>
      </c>
      <c r="H13371">
        <v>92641744</v>
      </c>
      <c r="I13371">
        <v>92641752</v>
      </c>
    </row>
    <row r="13372" spans="1:9" x14ac:dyDescent="0.2">
      <c r="A13372" t="str">
        <f>"Myf5"</f>
        <v>Myf5</v>
      </c>
      <c r="B13372" t="s">
        <v>14</v>
      </c>
      <c r="C13372" t="s">
        <v>15</v>
      </c>
      <c r="D13372" t="s">
        <v>11</v>
      </c>
      <c r="E13372" t="s">
        <v>12</v>
      </c>
      <c r="F13372">
        <v>107486077</v>
      </c>
      <c r="G13372">
        <v>107486090</v>
      </c>
      <c r="H13372">
        <v>107486077</v>
      </c>
      <c r="I13372">
        <v>107486090</v>
      </c>
    </row>
    <row r="13373" spans="1:9" x14ac:dyDescent="0.2">
      <c r="A13373" t="str">
        <f>"Myf6"</f>
        <v>Myf6</v>
      </c>
      <c r="B13373" t="s">
        <v>14</v>
      </c>
      <c r="C13373" t="s">
        <v>15</v>
      </c>
      <c r="D13373" t="s">
        <v>11</v>
      </c>
      <c r="E13373" t="s">
        <v>12</v>
      </c>
      <c r="F13373">
        <v>107494719</v>
      </c>
      <c r="G13373">
        <v>107494742</v>
      </c>
      <c r="H13373">
        <v>107494747</v>
      </c>
      <c r="I13373">
        <v>107494761</v>
      </c>
    </row>
    <row r="13374" spans="1:9" x14ac:dyDescent="0.2">
      <c r="A13374" t="str">
        <f>"Myg1"</f>
        <v>Myg1</v>
      </c>
      <c r="B13374" t="s">
        <v>14</v>
      </c>
      <c r="C13374" t="s">
        <v>25</v>
      </c>
      <c r="D13374" t="s">
        <v>17</v>
      </c>
      <c r="E13374" t="s">
        <v>12</v>
      </c>
      <c r="F13374">
        <v>102331700</v>
      </c>
      <c r="G13374">
        <v>102331777</v>
      </c>
      <c r="H13374">
        <v>102331922</v>
      </c>
      <c r="I13374">
        <v>102331954</v>
      </c>
    </row>
    <row r="13375" spans="1:9" x14ac:dyDescent="0.2">
      <c r="A13375" t="str">
        <f>"Myh1"</f>
        <v>Myh1</v>
      </c>
      <c r="B13375" t="s">
        <v>14</v>
      </c>
      <c r="C13375" t="s">
        <v>27</v>
      </c>
      <c r="D13375" t="s">
        <v>17</v>
      </c>
      <c r="E13375" t="s">
        <v>12</v>
      </c>
      <c r="F13375">
        <v>67200091</v>
      </c>
      <c r="G13375">
        <v>67200107</v>
      </c>
      <c r="H13375">
        <v>67200137</v>
      </c>
      <c r="I13375">
        <v>67200148</v>
      </c>
    </row>
    <row r="13376" spans="1:9" x14ac:dyDescent="0.2">
      <c r="A13376" t="str">
        <f>"Myh10"</f>
        <v>Myh10</v>
      </c>
      <c r="B13376" t="s">
        <v>14</v>
      </c>
      <c r="C13376" t="s">
        <v>27</v>
      </c>
      <c r="D13376" t="s">
        <v>17</v>
      </c>
      <c r="E13376" t="s">
        <v>12</v>
      </c>
      <c r="F13376">
        <v>68692097</v>
      </c>
      <c r="G13376">
        <v>68692126</v>
      </c>
      <c r="H13376">
        <v>68691946</v>
      </c>
      <c r="I13376">
        <v>68691979</v>
      </c>
    </row>
    <row r="13377" spans="1:9" x14ac:dyDescent="0.2">
      <c r="A13377" t="str">
        <f>"Myh11"</f>
        <v>Myh11</v>
      </c>
      <c r="B13377" t="s">
        <v>14</v>
      </c>
      <c r="C13377" t="s">
        <v>31</v>
      </c>
      <c r="D13377" t="s">
        <v>11</v>
      </c>
      <c r="E13377" t="s">
        <v>12</v>
      </c>
      <c r="F13377">
        <v>14291355</v>
      </c>
      <c r="G13377">
        <v>14291371</v>
      </c>
      <c r="H13377">
        <v>14291355</v>
      </c>
      <c r="I13377">
        <v>14291371</v>
      </c>
    </row>
    <row r="13378" spans="1:9" x14ac:dyDescent="0.2">
      <c r="A13378" t="str">
        <f>"Myh13"</f>
        <v>Myh13</v>
      </c>
      <c r="B13378" t="s">
        <v>14</v>
      </c>
      <c r="C13378" t="s">
        <v>27</v>
      </c>
      <c r="D13378" t="s">
        <v>17</v>
      </c>
      <c r="E13378" t="s">
        <v>12</v>
      </c>
      <c r="F13378">
        <v>67321778</v>
      </c>
      <c r="G13378">
        <v>67321783</v>
      </c>
      <c r="H13378">
        <v>67321778</v>
      </c>
      <c r="I13378">
        <v>67321783</v>
      </c>
    </row>
    <row r="13379" spans="1:9" x14ac:dyDescent="0.2">
      <c r="A13379" t="str">
        <f>"Myh14"</f>
        <v>Myh14</v>
      </c>
      <c r="B13379" t="s">
        <v>9</v>
      </c>
      <c r="C13379" t="s">
        <v>33</v>
      </c>
      <c r="D13379" t="s">
        <v>11</v>
      </c>
      <c r="E13379" t="s">
        <v>12</v>
      </c>
      <c r="F13379">
        <v>44669308</v>
      </c>
      <c r="G13379">
        <v>44669331</v>
      </c>
      <c r="H13379">
        <v>44669308</v>
      </c>
      <c r="I13379">
        <v>44669331</v>
      </c>
    </row>
    <row r="13380" spans="1:9" x14ac:dyDescent="0.2">
      <c r="A13380" t="str">
        <f>"Myh14"</f>
        <v>Myh14</v>
      </c>
      <c r="B13380" t="s">
        <v>13</v>
      </c>
      <c r="C13380" t="s">
        <v>33</v>
      </c>
      <c r="D13380" t="s">
        <v>11</v>
      </c>
      <c r="E13380" t="s">
        <v>12</v>
      </c>
      <c r="F13380">
        <v>44670820</v>
      </c>
      <c r="G13380">
        <v>44670862</v>
      </c>
      <c r="H13380">
        <v>44670820</v>
      </c>
      <c r="I13380">
        <v>44670862</v>
      </c>
    </row>
    <row r="13381" spans="1:9" x14ac:dyDescent="0.2">
      <c r="A13381" t="str">
        <f>"Myh15"</f>
        <v>Myh15</v>
      </c>
      <c r="B13381" t="s">
        <v>14</v>
      </c>
      <c r="C13381" t="s">
        <v>31</v>
      </c>
      <c r="D13381" t="s">
        <v>17</v>
      </c>
      <c r="E13381" t="s">
        <v>12</v>
      </c>
      <c r="F13381">
        <v>49057399</v>
      </c>
      <c r="G13381">
        <v>49057413</v>
      </c>
      <c r="H13381">
        <v>49057399</v>
      </c>
      <c r="I13381">
        <v>49057413</v>
      </c>
    </row>
    <row r="13382" spans="1:9" x14ac:dyDescent="0.2">
      <c r="A13382" t="str">
        <f>"Myh2"</f>
        <v>Myh2</v>
      </c>
      <c r="B13382" t="s">
        <v>14</v>
      </c>
      <c r="C13382" t="s">
        <v>27</v>
      </c>
      <c r="D13382" t="s">
        <v>17</v>
      </c>
      <c r="E13382" t="s">
        <v>12</v>
      </c>
      <c r="F13382">
        <v>67171095</v>
      </c>
      <c r="G13382">
        <v>67171112</v>
      </c>
      <c r="H13382">
        <v>67171059</v>
      </c>
      <c r="I13382">
        <v>67171071</v>
      </c>
    </row>
    <row r="13383" spans="1:9" x14ac:dyDescent="0.2">
      <c r="A13383" t="str">
        <f>"Myh3"</f>
        <v>Myh3</v>
      </c>
      <c r="B13383" t="s">
        <v>14</v>
      </c>
      <c r="C13383" t="s">
        <v>27</v>
      </c>
      <c r="D13383" t="s">
        <v>17</v>
      </c>
      <c r="E13383" t="s">
        <v>12</v>
      </c>
      <c r="F13383">
        <v>67078293</v>
      </c>
      <c r="G13383">
        <v>67078307</v>
      </c>
      <c r="H13383">
        <v>67078293</v>
      </c>
      <c r="I13383">
        <v>67078307</v>
      </c>
    </row>
    <row r="13384" spans="1:9" x14ac:dyDescent="0.2">
      <c r="A13384" t="str">
        <f>"Myh4"</f>
        <v>Myh4</v>
      </c>
      <c r="B13384" t="s">
        <v>14</v>
      </c>
      <c r="C13384" t="s">
        <v>27</v>
      </c>
      <c r="D13384" t="s">
        <v>17</v>
      </c>
      <c r="E13384" t="s">
        <v>12</v>
      </c>
      <c r="F13384">
        <v>67237800</v>
      </c>
      <c r="G13384">
        <v>67237818</v>
      </c>
      <c r="H13384">
        <v>67237852</v>
      </c>
      <c r="I13384">
        <v>67237864</v>
      </c>
    </row>
    <row r="13385" spans="1:9" x14ac:dyDescent="0.2">
      <c r="A13385" t="str">
        <f>"Myh6"</f>
        <v>Myh6</v>
      </c>
      <c r="B13385" t="s">
        <v>14</v>
      </c>
      <c r="C13385" t="s">
        <v>41</v>
      </c>
      <c r="D13385" t="s">
        <v>11</v>
      </c>
      <c r="E13385" t="s">
        <v>12</v>
      </c>
      <c r="F13385">
        <v>54966570</v>
      </c>
      <c r="G13385">
        <v>54966585</v>
      </c>
      <c r="H13385">
        <v>54966570</v>
      </c>
      <c r="I13385">
        <v>54966585</v>
      </c>
    </row>
    <row r="13386" spans="1:9" x14ac:dyDescent="0.2">
      <c r="A13386" t="str">
        <f>"Myh7"</f>
        <v>Myh7</v>
      </c>
      <c r="B13386" t="s">
        <v>9</v>
      </c>
      <c r="C13386" t="s">
        <v>41</v>
      </c>
      <c r="D13386" t="s">
        <v>11</v>
      </c>
      <c r="E13386" t="s">
        <v>12</v>
      </c>
      <c r="F13386">
        <v>54994541</v>
      </c>
      <c r="G13386">
        <v>54994557</v>
      </c>
      <c r="H13386">
        <v>54994541</v>
      </c>
      <c r="I13386">
        <v>54994557</v>
      </c>
    </row>
    <row r="13387" spans="1:9" x14ac:dyDescent="0.2">
      <c r="A13387" t="str">
        <f>"Myh7"</f>
        <v>Myh7</v>
      </c>
      <c r="B13387" t="s">
        <v>13</v>
      </c>
      <c r="C13387" t="s">
        <v>41</v>
      </c>
      <c r="D13387" t="s">
        <v>11</v>
      </c>
      <c r="E13387" t="s">
        <v>12</v>
      </c>
      <c r="F13387">
        <v>54987276</v>
      </c>
      <c r="G13387">
        <v>54987294</v>
      </c>
      <c r="H13387">
        <v>54987276</v>
      </c>
      <c r="I13387">
        <v>54987294</v>
      </c>
    </row>
    <row r="13388" spans="1:9" x14ac:dyDescent="0.2">
      <c r="A13388" t="str">
        <f>"Myh7b"</f>
        <v>Myh7b</v>
      </c>
      <c r="B13388" t="s">
        <v>14</v>
      </c>
      <c r="C13388" t="s">
        <v>26</v>
      </c>
      <c r="D13388" t="s">
        <v>17</v>
      </c>
      <c r="E13388" t="s">
        <v>12</v>
      </c>
      <c r="F13388">
        <v>155611175</v>
      </c>
      <c r="G13388">
        <v>155611216</v>
      </c>
      <c r="H13388">
        <v>155611222</v>
      </c>
      <c r="I13388">
        <v>155611231</v>
      </c>
    </row>
    <row r="13389" spans="1:9" x14ac:dyDescent="0.2">
      <c r="A13389" t="str">
        <f>"Myh8"</f>
        <v>Myh8</v>
      </c>
      <c r="B13389" t="s">
        <v>14</v>
      </c>
      <c r="C13389" t="s">
        <v>27</v>
      </c>
      <c r="D13389" t="s">
        <v>17</v>
      </c>
      <c r="E13389" t="s">
        <v>12</v>
      </c>
      <c r="F13389">
        <v>67277206</v>
      </c>
      <c r="G13389">
        <v>67277223</v>
      </c>
      <c r="H13389">
        <v>67277402</v>
      </c>
      <c r="I13389">
        <v>67277434</v>
      </c>
    </row>
    <row r="13390" spans="1:9" x14ac:dyDescent="0.2">
      <c r="A13390" t="str">
        <f>"Myh9"</f>
        <v>Myh9</v>
      </c>
      <c r="B13390" t="s">
        <v>14</v>
      </c>
      <c r="C13390" t="s">
        <v>25</v>
      </c>
      <c r="D13390" t="s">
        <v>11</v>
      </c>
      <c r="E13390" t="s">
        <v>12</v>
      </c>
      <c r="F13390">
        <v>77842088</v>
      </c>
      <c r="G13390">
        <v>77842123</v>
      </c>
      <c r="H13390">
        <v>77842133</v>
      </c>
      <c r="I13390">
        <v>77842154</v>
      </c>
    </row>
    <row r="13391" spans="1:9" x14ac:dyDescent="0.2">
      <c r="A13391" t="str">
        <f>"Myl1"</f>
        <v>Myl1</v>
      </c>
      <c r="B13391" t="s">
        <v>14</v>
      </c>
      <c r="C13391" t="s">
        <v>19</v>
      </c>
      <c r="D13391" t="s">
        <v>11</v>
      </c>
      <c r="E13391" t="s">
        <v>12</v>
      </c>
      <c r="F13391">
        <v>66945019</v>
      </c>
      <c r="G13391">
        <v>66945038</v>
      </c>
      <c r="H13391">
        <v>66945019</v>
      </c>
      <c r="I13391">
        <v>66945038</v>
      </c>
    </row>
    <row r="13392" spans="1:9" x14ac:dyDescent="0.2">
      <c r="A13392" t="str">
        <f>"Myl10"</f>
        <v>Myl10</v>
      </c>
      <c r="B13392" t="s">
        <v>9</v>
      </c>
      <c r="C13392" t="s">
        <v>46</v>
      </c>
      <c r="D13392" t="s">
        <v>17</v>
      </c>
      <c r="E13392" t="s">
        <v>12</v>
      </c>
      <c r="F13392">
        <v>136693614</v>
      </c>
      <c r="G13392">
        <v>136693642</v>
      </c>
      <c r="H13392">
        <v>136693614</v>
      </c>
      <c r="I13392">
        <v>136693642</v>
      </c>
    </row>
    <row r="13393" spans="1:9" x14ac:dyDescent="0.2">
      <c r="A13393" t="str">
        <f>"Myl10"</f>
        <v>Myl10</v>
      </c>
      <c r="B13393" t="s">
        <v>13</v>
      </c>
      <c r="C13393" t="s">
        <v>46</v>
      </c>
      <c r="D13393" t="s">
        <v>17</v>
      </c>
      <c r="E13393" t="s">
        <v>12</v>
      </c>
      <c r="F13393">
        <v>136697829</v>
      </c>
      <c r="G13393">
        <v>136697882</v>
      </c>
      <c r="H13393">
        <v>136697829</v>
      </c>
      <c r="I13393">
        <v>136697882</v>
      </c>
    </row>
    <row r="13394" spans="1:9" x14ac:dyDescent="0.2">
      <c r="A13394" t="str">
        <f>"Myl12a"</f>
        <v>Myl12a</v>
      </c>
      <c r="B13394" t="s">
        <v>9</v>
      </c>
      <c r="C13394" t="s">
        <v>28</v>
      </c>
      <c r="D13394" t="s">
        <v>11</v>
      </c>
      <c r="E13394" t="s">
        <v>12</v>
      </c>
      <c r="F13394">
        <v>71002126</v>
      </c>
      <c r="G13394">
        <v>71002285</v>
      </c>
      <c r="H13394">
        <v>71002126</v>
      </c>
      <c r="I13394">
        <v>71002285</v>
      </c>
    </row>
    <row r="13395" spans="1:9" x14ac:dyDescent="0.2">
      <c r="A13395" t="str">
        <f>"Myl12a"</f>
        <v>Myl12a</v>
      </c>
      <c r="B13395" t="s">
        <v>13</v>
      </c>
      <c r="C13395" t="s">
        <v>28</v>
      </c>
      <c r="D13395" t="s">
        <v>11</v>
      </c>
      <c r="E13395" t="s">
        <v>12</v>
      </c>
      <c r="F13395">
        <v>70997919</v>
      </c>
      <c r="G13395">
        <v>70997955</v>
      </c>
      <c r="H13395">
        <v>70997919</v>
      </c>
      <c r="I13395">
        <v>70997955</v>
      </c>
    </row>
    <row r="13396" spans="1:9" x14ac:dyDescent="0.2">
      <c r="A13396" t="str">
        <f>"Myl12b"</f>
        <v>Myl12b</v>
      </c>
      <c r="B13396" t="s">
        <v>14</v>
      </c>
      <c r="C13396" t="s">
        <v>28</v>
      </c>
      <c r="D13396" t="s">
        <v>11</v>
      </c>
      <c r="E13396" t="s">
        <v>12</v>
      </c>
      <c r="F13396">
        <v>70990507</v>
      </c>
      <c r="G13396">
        <v>70990548</v>
      </c>
      <c r="H13396">
        <v>70990549</v>
      </c>
      <c r="I13396">
        <v>70990562</v>
      </c>
    </row>
    <row r="13397" spans="1:9" x14ac:dyDescent="0.2">
      <c r="A13397" t="str">
        <f>"Myl2"</f>
        <v>Myl2</v>
      </c>
      <c r="B13397" t="s">
        <v>14</v>
      </c>
      <c r="C13397" t="s">
        <v>46</v>
      </c>
      <c r="D13397" t="s">
        <v>17</v>
      </c>
      <c r="E13397" t="s">
        <v>12</v>
      </c>
      <c r="F13397">
        <v>122100972</v>
      </c>
      <c r="G13397">
        <v>122100986</v>
      </c>
      <c r="H13397">
        <v>122100972</v>
      </c>
      <c r="I13397">
        <v>122100986</v>
      </c>
    </row>
    <row r="13398" spans="1:9" x14ac:dyDescent="0.2">
      <c r="A13398" t="str">
        <f>"Myl3"</f>
        <v>Myl3</v>
      </c>
      <c r="B13398" t="s">
        <v>14</v>
      </c>
      <c r="C13398" t="s">
        <v>24</v>
      </c>
      <c r="D13398" t="s">
        <v>17</v>
      </c>
      <c r="E13398" t="s">
        <v>12</v>
      </c>
      <c r="F13398">
        <v>110763670</v>
      </c>
      <c r="G13398">
        <v>110763702</v>
      </c>
      <c r="H13398">
        <v>110763670</v>
      </c>
      <c r="I13398">
        <v>110763702</v>
      </c>
    </row>
    <row r="13399" spans="1:9" x14ac:dyDescent="0.2">
      <c r="A13399" t="str">
        <f>"Myl4"</f>
        <v>Myl4</v>
      </c>
      <c r="B13399" t="s">
        <v>14</v>
      </c>
      <c r="C13399" t="s">
        <v>27</v>
      </c>
      <c r="D13399" t="s">
        <v>17</v>
      </c>
      <c r="E13399" t="s">
        <v>12</v>
      </c>
      <c r="F13399">
        <v>104577367</v>
      </c>
      <c r="G13399">
        <v>104577387</v>
      </c>
      <c r="H13399">
        <v>104577003</v>
      </c>
      <c r="I13399">
        <v>104577022</v>
      </c>
    </row>
    <row r="13400" spans="1:9" x14ac:dyDescent="0.2">
      <c r="A13400" t="str">
        <f>"Myl6"</f>
        <v>Myl6</v>
      </c>
      <c r="B13400" t="s">
        <v>14</v>
      </c>
      <c r="C13400" t="s">
        <v>15</v>
      </c>
      <c r="D13400" t="s">
        <v>11</v>
      </c>
      <c r="E13400" t="s">
        <v>12</v>
      </c>
      <c r="F13400">
        <v>128493834</v>
      </c>
      <c r="G13400">
        <v>128493908</v>
      </c>
      <c r="H13400">
        <v>128493834</v>
      </c>
      <c r="I13400">
        <v>128493908</v>
      </c>
    </row>
    <row r="13401" spans="1:9" x14ac:dyDescent="0.2">
      <c r="A13401" t="str">
        <f>"Myl6b"</f>
        <v>Myl6b</v>
      </c>
      <c r="B13401" t="s">
        <v>14</v>
      </c>
      <c r="C13401" t="s">
        <v>15</v>
      </c>
      <c r="D13401" t="s">
        <v>11</v>
      </c>
      <c r="E13401" t="s">
        <v>12</v>
      </c>
      <c r="F13401">
        <v>128498647</v>
      </c>
      <c r="G13401">
        <v>128498675</v>
      </c>
      <c r="H13401">
        <v>128498676</v>
      </c>
      <c r="I13401">
        <v>128498709</v>
      </c>
    </row>
    <row r="13402" spans="1:9" x14ac:dyDescent="0.2">
      <c r="A13402" t="str">
        <f>"Myl7"</f>
        <v>Myl7</v>
      </c>
      <c r="B13402" t="s">
        <v>14</v>
      </c>
      <c r="C13402" t="s">
        <v>27</v>
      </c>
      <c r="D13402" t="s">
        <v>11</v>
      </c>
      <c r="E13402" t="s">
        <v>12</v>
      </c>
      <c r="F13402">
        <v>5898771</v>
      </c>
      <c r="G13402">
        <v>5898788</v>
      </c>
      <c r="H13402">
        <v>5898771</v>
      </c>
      <c r="I13402">
        <v>5898788</v>
      </c>
    </row>
    <row r="13403" spans="1:9" x14ac:dyDescent="0.2">
      <c r="A13403" t="str">
        <f>"Myl9"</f>
        <v>Myl9</v>
      </c>
      <c r="B13403" t="s">
        <v>14</v>
      </c>
      <c r="C13403" t="s">
        <v>26</v>
      </c>
      <c r="D13403" t="s">
        <v>17</v>
      </c>
      <c r="E13403" t="s">
        <v>12</v>
      </c>
      <c r="F13403">
        <v>156775443</v>
      </c>
      <c r="G13403">
        <v>156775469</v>
      </c>
      <c r="H13403">
        <v>156775409</v>
      </c>
      <c r="I13403">
        <v>156775432</v>
      </c>
    </row>
    <row r="13404" spans="1:9" x14ac:dyDescent="0.2">
      <c r="A13404" t="str">
        <f>"Mylip"</f>
        <v>Mylip</v>
      </c>
      <c r="B13404" t="s">
        <v>14</v>
      </c>
      <c r="C13404" t="s">
        <v>39</v>
      </c>
      <c r="D13404" t="s">
        <v>17</v>
      </c>
      <c r="E13404" t="s">
        <v>12</v>
      </c>
      <c r="F13404">
        <v>45389734</v>
      </c>
      <c r="G13404">
        <v>45389750</v>
      </c>
      <c r="H13404">
        <v>45389734</v>
      </c>
      <c r="I13404">
        <v>45389750</v>
      </c>
    </row>
    <row r="13405" spans="1:9" x14ac:dyDescent="0.2">
      <c r="A13405" t="str">
        <f>"Mylk"</f>
        <v>Mylk</v>
      </c>
      <c r="B13405" t="s">
        <v>4354</v>
      </c>
      <c r="C13405" t="s">
        <v>31</v>
      </c>
      <c r="D13405" t="s">
        <v>17</v>
      </c>
      <c r="E13405" t="s">
        <v>35</v>
      </c>
      <c r="F13405">
        <v>34784876</v>
      </c>
      <c r="G13405">
        <v>34784886</v>
      </c>
      <c r="H13405">
        <v>34784917</v>
      </c>
      <c r="I13405">
        <v>34784935</v>
      </c>
    </row>
    <row r="13406" spans="1:9" x14ac:dyDescent="0.2">
      <c r="A13406" t="str">
        <f>"Mylk2"</f>
        <v>Mylk2</v>
      </c>
      <c r="B13406" t="s">
        <v>14</v>
      </c>
      <c r="C13406" t="s">
        <v>26</v>
      </c>
      <c r="D13406" t="s">
        <v>17</v>
      </c>
      <c r="E13406" t="s">
        <v>12</v>
      </c>
      <c r="F13406">
        <v>152911311</v>
      </c>
      <c r="G13406">
        <v>152911366</v>
      </c>
      <c r="H13406">
        <v>152911385</v>
      </c>
      <c r="I13406">
        <v>152911396</v>
      </c>
    </row>
    <row r="13407" spans="1:9" x14ac:dyDescent="0.2">
      <c r="A13407" t="str">
        <f>"Mylk3"</f>
        <v>Mylk3</v>
      </c>
      <c r="B13407" t="s">
        <v>14</v>
      </c>
      <c r="C13407" t="s">
        <v>30</v>
      </c>
      <c r="D13407" t="s">
        <v>11</v>
      </c>
      <c r="E13407" t="s">
        <v>12</v>
      </c>
      <c r="F13407">
        <v>85365317</v>
      </c>
      <c r="G13407">
        <v>85365334</v>
      </c>
      <c r="H13407">
        <v>85365382</v>
      </c>
      <c r="I13407">
        <v>85365411</v>
      </c>
    </row>
    <row r="13408" spans="1:9" x14ac:dyDescent="0.2">
      <c r="A13408" t="str">
        <f>"Mylk4"</f>
        <v>Mylk4</v>
      </c>
      <c r="B13408" t="s">
        <v>14</v>
      </c>
      <c r="C13408" t="s">
        <v>39</v>
      </c>
      <c r="D13408" t="s">
        <v>11</v>
      </c>
      <c r="E13408" t="s">
        <v>12</v>
      </c>
      <c r="F13408">
        <v>32783957</v>
      </c>
      <c r="G13408">
        <v>32783975</v>
      </c>
      <c r="H13408">
        <v>32783917</v>
      </c>
      <c r="I13408">
        <v>32783929</v>
      </c>
    </row>
    <row r="13409" spans="1:9" x14ac:dyDescent="0.2">
      <c r="A13409" t="str">
        <f>"Mylpf"</f>
        <v>Mylpf</v>
      </c>
      <c r="B13409" t="s">
        <v>9</v>
      </c>
      <c r="C13409" t="s">
        <v>33</v>
      </c>
      <c r="D13409" t="s">
        <v>17</v>
      </c>
      <c r="E13409" t="s">
        <v>12</v>
      </c>
      <c r="F13409">
        <v>127211697</v>
      </c>
      <c r="G13409">
        <v>127211711</v>
      </c>
      <c r="H13409">
        <v>127211697</v>
      </c>
      <c r="I13409">
        <v>127211711</v>
      </c>
    </row>
    <row r="13410" spans="1:9" x14ac:dyDescent="0.2">
      <c r="A13410" t="str">
        <f>"Mylpf"</f>
        <v>Mylpf</v>
      </c>
      <c r="B13410" t="s">
        <v>13</v>
      </c>
      <c r="C13410" t="s">
        <v>33</v>
      </c>
      <c r="D13410" t="s">
        <v>17</v>
      </c>
      <c r="E13410" t="s">
        <v>12</v>
      </c>
      <c r="F13410">
        <v>127213156</v>
      </c>
      <c r="G13410">
        <v>127213189</v>
      </c>
      <c r="H13410">
        <v>127213156</v>
      </c>
      <c r="I13410">
        <v>127213189</v>
      </c>
    </row>
    <row r="13411" spans="1:9" x14ac:dyDescent="0.2">
      <c r="A13411" t="str">
        <f>"Mynn"</f>
        <v>Mynn</v>
      </c>
      <c r="B13411" t="s">
        <v>14</v>
      </c>
      <c r="C13411" t="s">
        <v>22</v>
      </c>
      <c r="D13411" t="s">
        <v>17</v>
      </c>
      <c r="E13411" t="s">
        <v>12</v>
      </c>
      <c r="F13411">
        <v>30602056</v>
      </c>
      <c r="G13411">
        <v>30602096</v>
      </c>
      <c r="H13411">
        <v>30602056</v>
      </c>
      <c r="I13411">
        <v>30602096</v>
      </c>
    </row>
    <row r="13412" spans="1:9" x14ac:dyDescent="0.2">
      <c r="A13412" t="str">
        <f>"Myo10"</f>
        <v>Myo10</v>
      </c>
      <c r="B13412" t="s">
        <v>14</v>
      </c>
      <c r="C13412" t="s">
        <v>25</v>
      </c>
      <c r="D13412" t="s">
        <v>17</v>
      </c>
      <c r="E13412" t="s">
        <v>12</v>
      </c>
      <c r="F13412">
        <v>25622525</v>
      </c>
      <c r="G13412">
        <v>25622558</v>
      </c>
      <c r="H13412">
        <v>25622566</v>
      </c>
      <c r="I13412">
        <v>25622581</v>
      </c>
    </row>
    <row r="13413" spans="1:9" x14ac:dyDescent="0.2">
      <c r="A13413" t="str">
        <f>"Myo15"</f>
        <v>Myo15</v>
      </c>
      <c r="B13413" t="s">
        <v>4355</v>
      </c>
      <c r="C13413" t="s">
        <v>27</v>
      </c>
      <c r="D13413" t="s">
        <v>17</v>
      </c>
      <c r="E13413" t="s">
        <v>35</v>
      </c>
      <c r="F13413">
        <v>60469364</v>
      </c>
      <c r="G13413">
        <v>60469373</v>
      </c>
      <c r="H13413">
        <v>60469451</v>
      </c>
      <c r="I13413">
        <v>60469459</v>
      </c>
    </row>
    <row r="13414" spans="1:9" x14ac:dyDescent="0.2">
      <c r="A13414" t="str">
        <f>"Myo15b"</f>
        <v>Myo15b</v>
      </c>
      <c r="B13414" t="s">
        <v>14</v>
      </c>
      <c r="C13414" t="s">
        <v>27</v>
      </c>
      <c r="D13414" t="s">
        <v>17</v>
      </c>
      <c r="E13414" t="s">
        <v>67</v>
      </c>
      <c r="F13414">
        <v>115877497</v>
      </c>
      <c r="G13414">
        <v>115877548</v>
      </c>
      <c r="H13414">
        <v>115877497</v>
      </c>
      <c r="I13414">
        <v>115877548</v>
      </c>
    </row>
    <row r="13415" spans="1:9" x14ac:dyDescent="0.2">
      <c r="A13415" t="str">
        <f>"Myo16"</f>
        <v>Myo16</v>
      </c>
      <c r="B13415" t="s">
        <v>4356</v>
      </c>
      <c r="C13415" t="s">
        <v>30</v>
      </c>
      <c r="D13415" t="s">
        <v>17</v>
      </c>
      <c r="E13415" t="s">
        <v>20</v>
      </c>
      <c r="F13415">
        <v>10272571</v>
      </c>
      <c r="G13415">
        <v>10272571</v>
      </c>
      <c r="H13415">
        <v>10272571</v>
      </c>
      <c r="I13415">
        <v>10272571</v>
      </c>
    </row>
    <row r="13416" spans="1:9" x14ac:dyDescent="0.2">
      <c r="A13416" t="str">
        <f>"Myo18a"</f>
        <v>Myo18a</v>
      </c>
      <c r="B13416" t="s">
        <v>9</v>
      </c>
      <c r="C13416" t="s">
        <v>27</v>
      </c>
      <c r="D13416" t="s">
        <v>17</v>
      </c>
      <c r="E13416" t="s">
        <v>12</v>
      </c>
      <c r="F13416">
        <v>77763269</v>
      </c>
      <c r="G13416">
        <v>77763339</v>
      </c>
      <c r="H13416">
        <v>77763269</v>
      </c>
      <c r="I13416">
        <v>77763339</v>
      </c>
    </row>
    <row r="13417" spans="1:9" x14ac:dyDescent="0.2">
      <c r="A13417" t="str">
        <f>"Myo18a"</f>
        <v>Myo18a</v>
      </c>
      <c r="B13417" t="s">
        <v>13</v>
      </c>
      <c r="C13417" t="s">
        <v>27</v>
      </c>
      <c r="D13417" t="s">
        <v>17</v>
      </c>
      <c r="E13417" t="s">
        <v>12</v>
      </c>
      <c r="F13417">
        <v>77801325</v>
      </c>
      <c r="G13417">
        <v>77801355</v>
      </c>
      <c r="H13417">
        <v>77801325</v>
      </c>
      <c r="I13417">
        <v>77801355</v>
      </c>
    </row>
    <row r="13418" spans="1:9" x14ac:dyDescent="0.2">
      <c r="A13418" t="str">
        <f>"Myo18b"</f>
        <v>Myo18b</v>
      </c>
      <c r="B13418" t="s">
        <v>14</v>
      </c>
      <c r="C13418" t="s">
        <v>46</v>
      </c>
      <c r="D13418" t="s">
        <v>11</v>
      </c>
      <c r="E13418" t="s">
        <v>12</v>
      </c>
      <c r="F13418">
        <v>112896350</v>
      </c>
      <c r="G13418">
        <v>112896405</v>
      </c>
      <c r="H13418">
        <v>112896413</v>
      </c>
      <c r="I13418">
        <v>112896424</v>
      </c>
    </row>
    <row r="13419" spans="1:9" x14ac:dyDescent="0.2">
      <c r="A13419" t="str">
        <f>"Myo19"</f>
        <v>Myo19</v>
      </c>
      <c r="B13419" t="s">
        <v>14</v>
      </c>
      <c r="C13419" t="s">
        <v>27</v>
      </c>
      <c r="D13419" t="s">
        <v>17</v>
      </c>
      <c r="E13419" t="s">
        <v>12</v>
      </c>
      <c r="F13419">
        <v>84880308</v>
      </c>
      <c r="G13419">
        <v>84880373</v>
      </c>
      <c r="H13419">
        <v>84879880</v>
      </c>
      <c r="I13419">
        <v>84879922</v>
      </c>
    </row>
    <row r="13420" spans="1:9" x14ac:dyDescent="0.2">
      <c r="A13420" t="str">
        <f>"Myo1a"</f>
        <v>Myo1a</v>
      </c>
      <c r="B13420" t="s">
        <v>14</v>
      </c>
      <c r="C13420" t="s">
        <v>15</v>
      </c>
      <c r="D13420" t="s">
        <v>17</v>
      </c>
      <c r="E13420" t="s">
        <v>12</v>
      </c>
      <c r="F13420">
        <v>127704762</v>
      </c>
      <c r="G13420">
        <v>127704780</v>
      </c>
      <c r="H13420">
        <v>127704762</v>
      </c>
      <c r="I13420">
        <v>127704780</v>
      </c>
    </row>
    <row r="13421" spans="1:9" x14ac:dyDescent="0.2">
      <c r="A13421" t="str">
        <f>"Myo1b"</f>
        <v>Myo1b</v>
      </c>
      <c r="B13421" t="s">
        <v>14</v>
      </c>
      <c r="C13421" t="s">
        <v>19</v>
      </c>
      <c r="D13421" t="s">
        <v>11</v>
      </c>
      <c r="E13421" t="s">
        <v>12</v>
      </c>
      <c r="F13421">
        <v>51915901</v>
      </c>
      <c r="G13421">
        <v>51915958</v>
      </c>
      <c r="H13421">
        <v>51915968</v>
      </c>
      <c r="I13421">
        <v>51915978</v>
      </c>
    </row>
    <row r="13422" spans="1:9" x14ac:dyDescent="0.2">
      <c r="A13422" t="str">
        <f>"Myo1c"</f>
        <v>Myo1c</v>
      </c>
      <c r="B13422" t="s">
        <v>9</v>
      </c>
      <c r="C13422" t="s">
        <v>27</v>
      </c>
      <c r="D13422" t="s">
        <v>17</v>
      </c>
      <c r="E13422" t="s">
        <v>12</v>
      </c>
      <c r="F13422">
        <v>75656103</v>
      </c>
      <c r="G13422">
        <v>75656177</v>
      </c>
      <c r="H13422">
        <v>75656103</v>
      </c>
      <c r="I13422">
        <v>75656177</v>
      </c>
    </row>
    <row r="13423" spans="1:9" x14ac:dyDescent="0.2">
      <c r="A13423" t="str">
        <f>"Myo1c"</f>
        <v>Myo1c</v>
      </c>
      <c r="B13423" t="s">
        <v>13</v>
      </c>
      <c r="C13423" t="s">
        <v>27</v>
      </c>
      <c r="D13423" t="s">
        <v>17</v>
      </c>
      <c r="E13423" t="s">
        <v>12</v>
      </c>
      <c r="F13423">
        <v>75651541</v>
      </c>
      <c r="G13423">
        <v>75651613</v>
      </c>
      <c r="H13423">
        <v>75651541</v>
      </c>
      <c r="I13423">
        <v>75651613</v>
      </c>
    </row>
    <row r="13424" spans="1:9" x14ac:dyDescent="0.2">
      <c r="A13424" t="str">
        <f>"Myo1d"</f>
        <v>Myo1d</v>
      </c>
      <c r="B13424" t="s">
        <v>14</v>
      </c>
      <c r="C13424" t="s">
        <v>27</v>
      </c>
      <c r="D13424" t="s">
        <v>11</v>
      </c>
      <c r="E13424" t="s">
        <v>12</v>
      </c>
      <c r="F13424">
        <v>80779967</v>
      </c>
      <c r="G13424">
        <v>80779984</v>
      </c>
      <c r="H13424">
        <v>80779989</v>
      </c>
      <c r="I13424">
        <v>80780033</v>
      </c>
    </row>
    <row r="13425" spans="1:9" x14ac:dyDescent="0.2">
      <c r="A13425" t="str">
        <f>"Myo1e"</f>
        <v>Myo1e</v>
      </c>
      <c r="B13425" t="s">
        <v>14</v>
      </c>
      <c r="C13425" t="s">
        <v>24</v>
      </c>
      <c r="D13425" t="s">
        <v>17</v>
      </c>
      <c r="E13425" t="s">
        <v>12</v>
      </c>
      <c r="F13425">
        <v>70207342</v>
      </c>
      <c r="G13425">
        <v>70207356</v>
      </c>
      <c r="H13425">
        <v>70207610</v>
      </c>
      <c r="I13425">
        <v>70207651</v>
      </c>
    </row>
    <row r="13426" spans="1:9" x14ac:dyDescent="0.2">
      <c r="A13426" t="str">
        <f>"Myo1f"</f>
        <v>Myo1f</v>
      </c>
      <c r="B13426" t="s">
        <v>14</v>
      </c>
      <c r="C13426" t="s">
        <v>28</v>
      </c>
      <c r="D13426" t="s">
        <v>17</v>
      </c>
      <c r="E13426" t="s">
        <v>12</v>
      </c>
      <c r="F13426">
        <v>33555727</v>
      </c>
      <c r="G13426">
        <v>33555796</v>
      </c>
      <c r="H13426">
        <v>33555727</v>
      </c>
      <c r="I13426">
        <v>33555796</v>
      </c>
    </row>
    <row r="13427" spans="1:9" x14ac:dyDescent="0.2">
      <c r="A13427" t="str">
        <f>"Myo1g"</f>
        <v>Myo1g</v>
      </c>
      <c r="B13427" t="s">
        <v>14</v>
      </c>
      <c r="C13427" t="s">
        <v>27</v>
      </c>
      <c r="D13427" t="s">
        <v>11</v>
      </c>
      <c r="E13427" t="s">
        <v>12</v>
      </c>
      <c r="F13427">
        <v>6520894</v>
      </c>
      <c r="G13427">
        <v>6520969</v>
      </c>
      <c r="H13427">
        <v>6520872</v>
      </c>
      <c r="I13427">
        <v>6520891</v>
      </c>
    </row>
    <row r="13428" spans="1:9" x14ac:dyDescent="0.2">
      <c r="A13428" t="str">
        <f>"Myo1h"</f>
        <v>Myo1h</v>
      </c>
      <c r="B13428" t="s">
        <v>4357</v>
      </c>
      <c r="C13428" t="s">
        <v>46</v>
      </c>
      <c r="D13428" t="s">
        <v>17</v>
      </c>
      <c r="E13428" t="s">
        <v>20</v>
      </c>
      <c r="F13428">
        <v>114314940</v>
      </c>
      <c r="G13428">
        <v>114314940</v>
      </c>
      <c r="H13428">
        <v>114314940</v>
      </c>
      <c r="I13428">
        <v>114314940</v>
      </c>
    </row>
    <row r="13429" spans="1:9" x14ac:dyDescent="0.2">
      <c r="A13429" t="str">
        <f>"Myo3a"</f>
        <v>Myo3a</v>
      </c>
      <c r="B13429" t="s">
        <v>14</v>
      </c>
      <c r="C13429" t="s">
        <v>26</v>
      </c>
      <c r="D13429" t="s">
        <v>17</v>
      </c>
      <c r="E13429" t="s">
        <v>12</v>
      </c>
      <c r="F13429">
        <v>22227540</v>
      </c>
      <c r="G13429">
        <v>22227582</v>
      </c>
      <c r="H13429">
        <v>22227503</v>
      </c>
      <c r="I13429">
        <v>22227512</v>
      </c>
    </row>
    <row r="13430" spans="1:9" x14ac:dyDescent="0.2">
      <c r="A13430" t="str">
        <f>"Myo3b"</f>
        <v>Myo3b</v>
      </c>
      <c r="B13430" t="s">
        <v>14</v>
      </c>
      <c r="C13430" t="s">
        <v>26</v>
      </c>
      <c r="D13430" t="s">
        <v>17</v>
      </c>
      <c r="E13430" t="s">
        <v>12</v>
      </c>
      <c r="F13430">
        <v>70039267</v>
      </c>
      <c r="G13430">
        <v>70039306</v>
      </c>
      <c r="H13430">
        <v>70039114</v>
      </c>
      <c r="I13430">
        <v>70039125</v>
      </c>
    </row>
    <row r="13431" spans="1:9" x14ac:dyDescent="0.2">
      <c r="A13431" t="str">
        <f>"Myo5a"</f>
        <v>Myo5a</v>
      </c>
      <c r="B13431" t="s">
        <v>14</v>
      </c>
      <c r="C13431" t="s">
        <v>24</v>
      </c>
      <c r="D13431" t="s">
        <v>17</v>
      </c>
      <c r="E13431" t="s">
        <v>12</v>
      </c>
      <c r="F13431">
        <v>75071527</v>
      </c>
      <c r="G13431">
        <v>75071569</v>
      </c>
      <c r="H13431">
        <v>75071148</v>
      </c>
      <c r="I13431">
        <v>75071228</v>
      </c>
    </row>
    <row r="13432" spans="1:9" x14ac:dyDescent="0.2">
      <c r="A13432" t="str">
        <f>"Myo5b"</f>
        <v>Myo5b</v>
      </c>
      <c r="B13432" t="s">
        <v>14</v>
      </c>
      <c r="C13432" t="s">
        <v>43</v>
      </c>
      <c r="D13432" t="s">
        <v>17</v>
      </c>
      <c r="E13432" t="s">
        <v>12</v>
      </c>
      <c r="F13432">
        <v>74442551</v>
      </c>
      <c r="G13432">
        <v>74442631</v>
      </c>
      <c r="H13432">
        <v>74442551</v>
      </c>
      <c r="I13432">
        <v>74442631</v>
      </c>
    </row>
    <row r="13433" spans="1:9" x14ac:dyDescent="0.2">
      <c r="A13433" t="str">
        <f>"Myo5c"</f>
        <v>Myo5c</v>
      </c>
      <c r="B13433" t="s">
        <v>14</v>
      </c>
      <c r="C13433" t="s">
        <v>24</v>
      </c>
      <c r="D13433" t="s">
        <v>17</v>
      </c>
      <c r="E13433" t="s">
        <v>12</v>
      </c>
      <c r="F13433">
        <v>75232050</v>
      </c>
      <c r="G13433">
        <v>75232084</v>
      </c>
      <c r="H13433">
        <v>75232013</v>
      </c>
      <c r="I13433">
        <v>75232033</v>
      </c>
    </row>
    <row r="13434" spans="1:9" x14ac:dyDescent="0.2">
      <c r="A13434" t="str">
        <f>"Myo6"</f>
        <v>Myo6</v>
      </c>
      <c r="B13434" t="s">
        <v>4358</v>
      </c>
      <c r="C13434" t="s">
        <v>24</v>
      </c>
      <c r="D13434" t="s">
        <v>17</v>
      </c>
      <c r="E13434" t="s">
        <v>35</v>
      </c>
      <c r="F13434">
        <v>80217648</v>
      </c>
      <c r="G13434">
        <v>80217670</v>
      </c>
      <c r="H13434">
        <v>80217648</v>
      </c>
      <c r="I13434">
        <v>80217670</v>
      </c>
    </row>
    <row r="13435" spans="1:9" x14ac:dyDescent="0.2">
      <c r="A13435" t="str">
        <f>"Myo7a"</f>
        <v>Myo7a</v>
      </c>
      <c r="B13435" t="s">
        <v>14</v>
      </c>
      <c r="C13435" t="s">
        <v>33</v>
      </c>
      <c r="D13435" t="s">
        <v>11</v>
      </c>
      <c r="E13435" t="s">
        <v>12</v>
      </c>
      <c r="F13435">
        <v>98119482</v>
      </c>
      <c r="G13435">
        <v>98119502</v>
      </c>
      <c r="H13435">
        <v>98119482</v>
      </c>
      <c r="I13435">
        <v>98119502</v>
      </c>
    </row>
    <row r="13436" spans="1:9" x14ac:dyDescent="0.2">
      <c r="A13436" t="str">
        <f>"Myo7b"</f>
        <v>Myo7b</v>
      </c>
      <c r="B13436" t="s">
        <v>14</v>
      </c>
      <c r="C13436" t="s">
        <v>43</v>
      </c>
      <c r="D13436" t="s">
        <v>11</v>
      </c>
      <c r="E13436" t="s">
        <v>12</v>
      </c>
      <c r="F13436">
        <v>32036941</v>
      </c>
      <c r="G13436">
        <v>32037019</v>
      </c>
      <c r="H13436">
        <v>32036941</v>
      </c>
      <c r="I13436">
        <v>32037019</v>
      </c>
    </row>
    <row r="13437" spans="1:9" x14ac:dyDescent="0.2">
      <c r="A13437" t="str">
        <f>"Myo9a"</f>
        <v>Myo9a</v>
      </c>
      <c r="B13437" t="s">
        <v>14</v>
      </c>
      <c r="C13437" t="s">
        <v>24</v>
      </c>
      <c r="D13437" t="s">
        <v>17</v>
      </c>
      <c r="E13437" t="s">
        <v>12</v>
      </c>
      <c r="F13437">
        <v>59751142</v>
      </c>
      <c r="G13437">
        <v>59751225</v>
      </c>
      <c r="H13437">
        <v>59750951</v>
      </c>
      <c r="I13437">
        <v>59750999</v>
      </c>
    </row>
    <row r="13438" spans="1:9" x14ac:dyDescent="0.2">
      <c r="A13438" t="str">
        <f>"Myo9b"</f>
        <v>Myo9b</v>
      </c>
      <c r="B13438" t="s">
        <v>14</v>
      </c>
      <c r="C13438" t="s">
        <v>30</v>
      </c>
      <c r="D13438" t="s">
        <v>17</v>
      </c>
      <c r="E13438" t="s">
        <v>12</v>
      </c>
      <c r="F13438">
        <v>71272690</v>
      </c>
      <c r="G13438">
        <v>71272746</v>
      </c>
      <c r="H13438">
        <v>71272749</v>
      </c>
      <c r="I13438">
        <v>71272784</v>
      </c>
    </row>
    <row r="13439" spans="1:9" x14ac:dyDescent="0.2">
      <c r="A13439" t="str">
        <f>"Myoc"</f>
        <v>Myoc</v>
      </c>
      <c r="B13439" t="s">
        <v>14</v>
      </c>
      <c r="C13439" t="s">
        <v>19</v>
      </c>
      <c r="D13439" t="s">
        <v>17</v>
      </c>
      <c r="E13439" t="s">
        <v>12</v>
      </c>
      <c r="F13439">
        <v>162639148</v>
      </c>
      <c r="G13439">
        <v>162639158</v>
      </c>
      <c r="H13439">
        <v>162639148</v>
      </c>
      <c r="I13439">
        <v>162639158</v>
      </c>
    </row>
    <row r="13440" spans="1:9" x14ac:dyDescent="0.2">
      <c r="A13440" t="str">
        <f>"Myocd"</f>
        <v>Myocd</v>
      </c>
      <c r="B13440" t="s">
        <v>14</v>
      </c>
      <c r="C13440" t="s">
        <v>27</v>
      </c>
      <c r="D13440" t="s">
        <v>11</v>
      </c>
      <c r="E13440" t="s">
        <v>12</v>
      </c>
      <c r="F13440">
        <v>65269984</v>
      </c>
      <c r="G13440">
        <v>65270002</v>
      </c>
      <c r="H13440">
        <v>65269863</v>
      </c>
      <c r="I13440">
        <v>65269879</v>
      </c>
    </row>
    <row r="13441" spans="1:9" x14ac:dyDescent="0.2">
      <c r="A13441" t="str">
        <f>"Myod1"</f>
        <v>Myod1</v>
      </c>
      <c r="B13441" t="s">
        <v>14</v>
      </c>
      <c r="C13441" t="s">
        <v>33</v>
      </c>
      <c r="D13441" t="s">
        <v>17</v>
      </c>
      <c r="E13441" t="s">
        <v>12</v>
      </c>
      <c r="F13441">
        <v>46376467</v>
      </c>
      <c r="G13441">
        <v>46376480</v>
      </c>
      <c r="H13441">
        <v>46376448</v>
      </c>
      <c r="I13441">
        <v>46376459</v>
      </c>
    </row>
    <row r="13442" spans="1:9" x14ac:dyDescent="0.2">
      <c r="A13442" t="str">
        <f>"Myof"</f>
        <v>Myof</v>
      </c>
      <c r="B13442" t="s">
        <v>14</v>
      </c>
      <c r="C13442" t="s">
        <v>10</v>
      </c>
      <c r="D13442" t="s">
        <v>11</v>
      </c>
      <c r="E13442" t="s">
        <v>12</v>
      </c>
      <c r="F13442">
        <v>38043324</v>
      </c>
      <c r="G13442">
        <v>38043384</v>
      </c>
      <c r="H13442">
        <v>38043385</v>
      </c>
      <c r="I13442">
        <v>38043418</v>
      </c>
    </row>
    <row r="13443" spans="1:9" x14ac:dyDescent="0.2">
      <c r="A13443" t="str">
        <f>"Myog"</f>
        <v>Myog</v>
      </c>
      <c r="B13443" t="s">
        <v>14</v>
      </c>
      <c r="C13443" t="s">
        <v>19</v>
      </c>
      <c r="D13443" t="s">
        <v>17</v>
      </c>
      <c r="E13443" t="s">
        <v>12</v>
      </c>
      <c r="F13443">
        <v>134289997</v>
      </c>
      <c r="G13443">
        <v>134290015</v>
      </c>
      <c r="H13443">
        <v>134289968</v>
      </c>
      <c r="I13443">
        <v>134289977</v>
      </c>
    </row>
    <row r="13444" spans="1:9" x14ac:dyDescent="0.2">
      <c r="A13444" t="str">
        <f>"Myom1"</f>
        <v>Myom1</v>
      </c>
      <c r="B13444" t="s">
        <v>14</v>
      </c>
      <c r="C13444" t="s">
        <v>28</v>
      </c>
      <c r="D13444" t="s">
        <v>17</v>
      </c>
      <c r="E13444" t="s">
        <v>12</v>
      </c>
      <c r="F13444">
        <v>71019583</v>
      </c>
      <c r="G13444">
        <v>71019600</v>
      </c>
      <c r="H13444">
        <v>71019481</v>
      </c>
      <c r="I13444">
        <v>71019498</v>
      </c>
    </row>
    <row r="13445" spans="1:9" x14ac:dyDescent="0.2">
      <c r="A13445" t="str">
        <f>"Myom2"</f>
        <v>Myom2</v>
      </c>
      <c r="B13445" t="s">
        <v>14</v>
      </c>
      <c r="C13445" t="s">
        <v>30</v>
      </c>
      <c r="D13445" t="s">
        <v>17</v>
      </c>
      <c r="E13445" t="s">
        <v>12</v>
      </c>
      <c r="F13445">
        <v>15057646</v>
      </c>
      <c r="G13445">
        <v>15057660</v>
      </c>
      <c r="H13445">
        <v>15057667</v>
      </c>
      <c r="I13445">
        <v>15057691</v>
      </c>
    </row>
    <row r="13446" spans="1:9" x14ac:dyDescent="0.2">
      <c r="A13446" t="str">
        <f>"Myom3"</f>
        <v>Myom3</v>
      </c>
      <c r="B13446" t="s">
        <v>14</v>
      </c>
      <c r="C13446" t="s">
        <v>23</v>
      </c>
      <c r="D13446" t="s">
        <v>17</v>
      </c>
      <c r="E13446" t="s">
        <v>12</v>
      </c>
      <c r="F13446">
        <v>135759705</v>
      </c>
      <c r="G13446">
        <v>135759720</v>
      </c>
      <c r="H13446">
        <v>135759723</v>
      </c>
      <c r="I13446">
        <v>135759737</v>
      </c>
    </row>
    <row r="13447" spans="1:9" x14ac:dyDescent="0.2">
      <c r="A13447" t="str">
        <f>"Myot"</f>
        <v>Myot</v>
      </c>
      <c r="B13447" t="s">
        <v>14</v>
      </c>
      <c r="C13447" t="s">
        <v>43</v>
      </c>
      <c r="D13447" t="s">
        <v>17</v>
      </c>
      <c r="E13447" t="s">
        <v>12</v>
      </c>
      <c r="F13447">
        <v>44334062</v>
      </c>
      <c r="G13447">
        <v>44334081</v>
      </c>
      <c r="H13447">
        <v>44334062</v>
      </c>
      <c r="I13447">
        <v>44334081</v>
      </c>
    </row>
    <row r="13448" spans="1:9" x14ac:dyDescent="0.2">
      <c r="A13448" t="str">
        <f>"Myoz1"</f>
        <v>Myoz1</v>
      </c>
      <c r="B13448" t="s">
        <v>14</v>
      </c>
      <c r="C13448" t="s">
        <v>41</v>
      </c>
      <c r="D13448" t="s">
        <v>11</v>
      </c>
      <c r="E13448" t="s">
        <v>12</v>
      </c>
      <c r="F13448">
        <v>20656488</v>
      </c>
      <c r="G13448">
        <v>20656508</v>
      </c>
      <c r="H13448">
        <v>20656655</v>
      </c>
      <c r="I13448">
        <v>20656668</v>
      </c>
    </row>
    <row r="13449" spans="1:9" x14ac:dyDescent="0.2">
      <c r="A13449" t="str">
        <f>"Myoz2"</f>
        <v>Myoz2</v>
      </c>
      <c r="B13449" t="s">
        <v>14</v>
      </c>
      <c r="C13449" t="s">
        <v>22</v>
      </c>
      <c r="D13449" t="s">
        <v>11</v>
      </c>
      <c r="E13449" t="s">
        <v>12</v>
      </c>
      <c r="F13449">
        <v>123034943</v>
      </c>
      <c r="G13449">
        <v>123034995</v>
      </c>
      <c r="H13449">
        <v>123034943</v>
      </c>
      <c r="I13449">
        <v>123034995</v>
      </c>
    </row>
    <row r="13450" spans="1:9" x14ac:dyDescent="0.2">
      <c r="A13450" t="str">
        <f>"Myoz3"</f>
        <v>Myoz3</v>
      </c>
      <c r="B13450" t="s">
        <v>14</v>
      </c>
      <c r="C13450" t="s">
        <v>43</v>
      </c>
      <c r="D13450" t="s">
        <v>11</v>
      </c>
      <c r="E13450" t="s">
        <v>12</v>
      </c>
      <c r="F13450">
        <v>60591783</v>
      </c>
      <c r="G13450">
        <v>60591867</v>
      </c>
      <c r="H13450">
        <v>60591763</v>
      </c>
      <c r="I13450">
        <v>60591778</v>
      </c>
    </row>
    <row r="13451" spans="1:9" x14ac:dyDescent="0.2">
      <c r="A13451" t="str">
        <f>"Mypn"</f>
        <v>Mypn</v>
      </c>
      <c r="B13451" t="s">
        <v>14</v>
      </c>
      <c r="C13451" t="s">
        <v>15</v>
      </c>
      <c r="D13451" t="s">
        <v>11</v>
      </c>
      <c r="E13451" t="s">
        <v>12</v>
      </c>
      <c r="F13451">
        <v>63203899</v>
      </c>
      <c r="G13451">
        <v>63203920</v>
      </c>
      <c r="H13451">
        <v>63203930</v>
      </c>
      <c r="I13451">
        <v>63203956</v>
      </c>
    </row>
    <row r="13452" spans="1:9" x14ac:dyDescent="0.2">
      <c r="A13452" t="str">
        <f>"Mypop"</f>
        <v>Mypop</v>
      </c>
      <c r="B13452" t="s">
        <v>14</v>
      </c>
      <c r="C13452" t="s">
        <v>33</v>
      </c>
      <c r="D13452" t="s">
        <v>17</v>
      </c>
      <c r="E13452" t="s">
        <v>12</v>
      </c>
      <c r="F13452">
        <v>18991289</v>
      </c>
      <c r="G13452">
        <v>18991314</v>
      </c>
      <c r="H13452">
        <v>18991150</v>
      </c>
      <c r="I13452">
        <v>18991164</v>
      </c>
    </row>
    <row r="13453" spans="1:9" x14ac:dyDescent="0.2">
      <c r="A13453" t="str">
        <f>"Myrf"</f>
        <v>Myrf</v>
      </c>
      <c r="B13453" t="s">
        <v>14</v>
      </c>
      <c r="C13453" t="s">
        <v>10</v>
      </c>
      <c r="D13453" t="s">
        <v>11</v>
      </c>
      <c r="E13453" t="s">
        <v>67</v>
      </c>
      <c r="F13453">
        <v>10240689</v>
      </c>
      <c r="G13453">
        <v>10240751</v>
      </c>
      <c r="H13453">
        <v>10240762</v>
      </c>
      <c r="I13453">
        <v>10240776</v>
      </c>
    </row>
    <row r="13454" spans="1:9" x14ac:dyDescent="0.2">
      <c r="A13454" t="str">
        <f>"Myrfl"</f>
        <v>Myrfl</v>
      </c>
      <c r="B13454" t="s">
        <v>14</v>
      </c>
      <c r="C13454" t="s">
        <v>15</v>
      </c>
      <c r="D13454" t="s">
        <v>11</v>
      </c>
      <c r="E13454" t="s">
        <v>67</v>
      </c>
      <c r="F13454">
        <v>116896908</v>
      </c>
      <c r="G13454">
        <v>116896956</v>
      </c>
      <c r="H13454">
        <v>116896897</v>
      </c>
      <c r="I13454">
        <v>116896904</v>
      </c>
    </row>
    <row r="13455" spans="1:9" x14ac:dyDescent="0.2">
      <c r="A13455" t="str">
        <f>"Myrip"</f>
        <v>Myrip</v>
      </c>
      <c r="B13455" t="s">
        <v>14</v>
      </c>
      <c r="C13455" t="s">
        <v>24</v>
      </c>
      <c r="D13455" t="s">
        <v>17</v>
      </c>
      <c r="E13455" t="s">
        <v>12</v>
      </c>
      <c r="F13455">
        <v>120303965</v>
      </c>
      <c r="G13455">
        <v>120304021</v>
      </c>
      <c r="H13455">
        <v>120303896</v>
      </c>
      <c r="I13455">
        <v>120303960</v>
      </c>
    </row>
    <row r="13456" spans="1:9" x14ac:dyDescent="0.2">
      <c r="A13456" t="str">
        <f>"Mysm1"</f>
        <v>Mysm1</v>
      </c>
      <c r="B13456" t="s">
        <v>14</v>
      </c>
      <c r="C13456" t="s">
        <v>23</v>
      </c>
      <c r="D13456" t="s">
        <v>11</v>
      </c>
      <c r="E13456" t="s">
        <v>12</v>
      </c>
      <c r="F13456">
        <v>94979063</v>
      </c>
      <c r="G13456">
        <v>94979106</v>
      </c>
      <c r="H13456">
        <v>94979063</v>
      </c>
      <c r="I13456">
        <v>94979106</v>
      </c>
    </row>
    <row r="13457" spans="1:9" x14ac:dyDescent="0.2">
      <c r="A13457" t="str">
        <f>"Myt1"</f>
        <v>Myt1</v>
      </c>
      <c r="B13457" t="s">
        <v>14</v>
      </c>
      <c r="C13457" t="s">
        <v>26</v>
      </c>
      <c r="D13457" t="s">
        <v>17</v>
      </c>
      <c r="E13457" t="s">
        <v>12</v>
      </c>
      <c r="F13457">
        <v>181767040</v>
      </c>
      <c r="G13457">
        <v>181767073</v>
      </c>
      <c r="H13457">
        <v>181767005</v>
      </c>
      <c r="I13457">
        <v>181767037</v>
      </c>
    </row>
    <row r="13458" spans="1:9" x14ac:dyDescent="0.2">
      <c r="A13458" t="str">
        <f>"Myt1l"</f>
        <v>Myt1l</v>
      </c>
      <c r="B13458" t="s">
        <v>14</v>
      </c>
      <c r="C13458" t="s">
        <v>16</v>
      </c>
      <c r="D13458" t="s">
        <v>17</v>
      </c>
      <c r="E13458" t="s">
        <v>12</v>
      </c>
      <c r="F13458">
        <v>29528382</v>
      </c>
      <c r="G13458">
        <v>29528468</v>
      </c>
      <c r="H13458">
        <v>29528382</v>
      </c>
      <c r="I13458">
        <v>29528468</v>
      </c>
    </row>
    <row r="13459" spans="1:9" x14ac:dyDescent="0.2">
      <c r="A13459" t="str">
        <f>"Myzap"</f>
        <v>Myzap</v>
      </c>
      <c r="B13459" t="s">
        <v>14</v>
      </c>
      <c r="C13459" t="s">
        <v>24</v>
      </c>
      <c r="D13459" t="s">
        <v>11</v>
      </c>
      <c r="E13459" t="s">
        <v>67</v>
      </c>
      <c r="F13459">
        <v>71592346</v>
      </c>
      <c r="G13459">
        <v>71592372</v>
      </c>
      <c r="H13459">
        <v>71592312</v>
      </c>
      <c r="I13459">
        <v>71592343</v>
      </c>
    </row>
    <row r="13460" spans="1:9" x14ac:dyDescent="0.2">
      <c r="A13460" t="str">
        <f>"Mzb1"</f>
        <v>Mzb1</v>
      </c>
      <c r="B13460" t="s">
        <v>14</v>
      </c>
      <c r="C13460" t="s">
        <v>43</v>
      </c>
      <c r="D13460" t="s">
        <v>11</v>
      </c>
      <c r="E13460" t="s">
        <v>67</v>
      </c>
      <c r="F13460">
        <v>35649349</v>
      </c>
      <c r="G13460">
        <v>35649374</v>
      </c>
      <c r="H13460">
        <v>35649349</v>
      </c>
      <c r="I13460">
        <v>35649374</v>
      </c>
    </row>
    <row r="13461" spans="1:9" x14ac:dyDescent="0.2">
      <c r="A13461" t="str">
        <f>"Mzf1"</f>
        <v>Mzf1</v>
      </c>
      <c r="B13461" t="s">
        <v>14</v>
      </c>
      <c r="C13461" t="s">
        <v>33</v>
      </c>
      <c r="D13461" t="s">
        <v>11</v>
      </c>
      <c r="E13461" t="s">
        <v>12</v>
      </c>
      <c r="F13461">
        <v>13054615</v>
      </c>
      <c r="G13461">
        <v>13054658</v>
      </c>
      <c r="H13461">
        <v>13054820</v>
      </c>
      <c r="I13461">
        <v>13054837</v>
      </c>
    </row>
    <row r="13462" spans="1:9" x14ac:dyDescent="0.2">
      <c r="A13462" t="str">
        <f>"Mzt1"</f>
        <v>Mzt1</v>
      </c>
      <c r="B13462" t="s">
        <v>14</v>
      </c>
      <c r="C13462" t="s">
        <v>41</v>
      </c>
      <c r="D13462" t="s">
        <v>11</v>
      </c>
      <c r="E13462" t="s">
        <v>12</v>
      </c>
      <c r="F13462">
        <v>99046055</v>
      </c>
      <c r="G13462">
        <v>99046098</v>
      </c>
      <c r="H13462">
        <v>99046110</v>
      </c>
      <c r="I13462">
        <v>99046141</v>
      </c>
    </row>
    <row r="13463" spans="1:9" x14ac:dyDescent="0.2">
      <c r="A13463" t="str">
        <f>"Mzt2"</f>
        <v>Mzt2</v>
      </c>
      <c r="B13463" t="s">
        <v>14</v>
      </c>
      <c r="C13463" t="s">
        <v>31</v>
      </c>
      <c r="D13463" t="s">
        <v>11</v>
      </c>
      <c r="E13463" t="s">
        <v>12</v>
      </c>
      <c r="F13463">
        <v>15863293</v>
      </c>
      <c r="G13463">
        <v>15863339</v>
      </c>
      <c r="H13463">
        <v>15863293</v>
      </c>
      <c r="I13463">
        <v>15863339</v>
      </c>
    </row>
    <row r="13464" spans="1:9" x14ac:dyDescent="0.2">
      <c r="A13464" t="str">
        <f>"N28178"</f>
        <v>N28178</v>
      </c>
      <c r="B13464" t="s">
        <v>14</v>
      </c>
      <c r="C13464" t="s">
        <v>23</v>
      </c>
      <c r="D13464" t="s">
        <v>17</v>
      </c>
      <c r="E13464" t="s">
        <v>12</v>
      </c>
      <c r="F13464">
        <v>42917234</v>
      </c>
      <c r="G13464">
        <v>42917333</v>
      </c>
      <c r="H13464">
        <v>42916647</v>
      </c>
      <c r="I13464">
        <v>42916712</v>
      </c>
    </row>
    <row r="13465" spans="1:9" x14ac:dyDescent="0.2">
      <c r="A13465" t="str">
        <f>"N4bp1"</f>
        <v>N4bp1</v>
      </c>
      <c r="B13465" t="s">
        <v>14</v>
      </c>
      <c r="C13465" t="s">
        <v>30</v>
      </c>
      <c r="D13465" t="s">
        <v>11</v>
      </c>
      <c r="E13465" t="s">
        <v>12</v>
      </c>
      <c r="F13465">
        <v>86885222</v>
      </c>
      <c r="G13465">
        <v>86885282</v>
      </c>
      <c r="H13465">
        <v>86885283</v>
      </c>
      <c r="I13465">
        <v>86885307</v>
      </c>
    </row>
    <row r="13466" spans="1:9" x14ac:dyDescent="0.2">
      <c r="A13466" t="str">
        <f>"N4bp2"</f>
        <v>N4bp2</v>
      </c>
      <c r="B13466" t="s">
        <v>14</v>
      </c>
      <c r="C13466" t="s">
        <v>46</v>
      </c>
      <c r="D13466" t="s">
        <v>17</v>
      </c>
      <c r="E13466" t="s">
        <v>12</v>
      </c>
      <c r="F13466">
        <v>65764073</v>
      </c>
      <c r="G13466">
        <v>65764158</v>
      </c>
      <c r="H13466">
        <v>65764036</v>
      </c>
      <c r="I13466">
        <v>65764060</v>
      </c>
    </row>
    <row r="13467" spans="1:9" x14ac:dyDescent="0.2">
      <c r="A13467" t="str">
        <f>"N4bp2l1"</f>
        <v>N4bp2l1</v>
      </c>
      <c r="B13467" t="s">
        <v>14</v>
      </c>
      <c r="C13467" t="s">
        <v>46</v>
      </c>
      <c r="D13467" t="s">
        <v>11</v>
      </c>
      <c r="E13467" t="s">
        <v>12</v>
      </c>
      <c r="F13467">
        <v>150594493</v>
      </c>
      <c r="G13467">
        <v>150594535</v>
      </c>
      <c r="H13467">
        <v>150594471</v>
      </c>
      <c r="I13467">
        <v>150594488</v>
      </c>
    </row>
    <row r="13468" spans="1:9" x14ac:dyDescent="0.2">
      <c r="A13468" t="str">
        <f>"N4bp2l2"</f>
        <v>N4bp2l2</v>
      </c>
      <c r="B13468" t="s">
        <v>14</v>
      </c>
      <c r="C13468" t="s">
        <v>46</v>
      </c>
      <c r="D13468" t="s">
        <v>11</v>
      </c>
      <c r="E13468" t="s">
        <v>12</v>
      </c>
      <c r="F13468">
        <v>150665560</v>
      </c>
      <c r="G13468">
        <v>150665606</v>
      </c>
      <c r="H13468">
        <v>150665315</v>
      </c>
      <c r="I13468">
        <v>150665377</v>
      </c>
    </row>
    <row r="13469" spans="1:9" x14ac:dyDescent="0.2">
      <c r="A13469" t="str">
        <f>"N4bp3"</f>
        <v>N4bp3</v>
      </c>
      <c r="B13469" t="s">
        <v>14</v>
      </c>
      <c r="C13469" t="s">
        <v>27</v>
      </c>
      <c r="D13469" t="s">
        <v>11</v>
      </c>
      <c r="E13469" t="s">
        <v>12</v>
      </c>
      <c r="F13469">
        <v>51650813</v>
      </c>
      <c r="G13469">
        <v>51650851</v>
      </c>
      <c r="H13469">
        <v>51650858</v>
      </c>
      <c r="I13469">
        <v>51650877</v>
      </c>
    </row>
    <row r="13470" spans="1:9" x14ac:dyDescent="0.2">
      <c r="A13470" t="str">
        <f>"N6amt1"</f>
        <v>N6amt1</v>
      </c>
      <c r="B13470" t="s">
        <v>14</v>
      </c>
      <c r="C13470" t="s">
        <v>31</v>
      </c>
      <c r="D13470" t="s">
        <v>17</v>
      </c>
      <c r="E13470" t="s">
        <v>12</v>
      </c>
      <c r="F13470">
        <v>87354204</v>
      </c>
      <c r="G13470">
        <v>87354249</v>
      </c>
      <c r="H13470">
        <v>87354204</v>
      </c>
      <c r="I13470">
        <v>87354249</v>
      </c>
    </row>
    <row r="13471" spans="1:9" x14ac:dyDescent="0.2">
      <c r="A13471" t="str">
        <f>"N6amt2"</f>
        <v>N6amt2</v>
      </c>
      <c r="B13471" t="s">
        <v>14</v>
      </c>
      <c r="C13471" t="s">
        <v>41</v>
      </c>
      <c r="D13471" t="s">
        <v>11</v>
      </c>
      <c r="E13471" t="s">
        <v>12</v>
      </c>
      <c r="F13471">
        <v>57571551</v>
      </c>
      <c r="G13471">
        <v>57571588</v>
      </c>
      <c r="H13471">
        <v>57571551</v>
      </c>
      <c r="I13471">
        <v>57571588</v>
      </c>
    </row>
    <row r="13472" spans="1:9" x14ac:dyDescent="0.2">
      <c r="A13472" t="str">
        <f>"Naa10"</f>
        <v>Naa10</v>
      </c>
      <c r="B13472" t="s">
        <v>14</v>
      </c>
      <c r="C13472" t="s">
        <v>37</v>
      </c>
      <c r="D13472" t="s">
        <v>11</v>
      </c>
      <c r="E13472" t="s">
        <v>12</v>
      </c>
      <c r="F13472">
        <v>73921839</v>
      </c>
      <c r="G13472">
        <v>73921916</v>
      </c>
      <c r="H13472">
        <v>73921930</v>
      </c>
      <c r="I13472">
        <v>73921941</v>
      </c>
    </row>
    <row r="13473" spans="1:9" x14ac:dyDescent="0.2">
      <c r="A13473" t="str">
        <f>"Naa11"</f>
        <v>Naa11</v>
      </c>
      <c r="B13473" t="s">
        <v>14</v>
      </c>
      <c r="C13473" t="s">
        <v>46</v>
      </c>
      <c r="D13473" t="s">
        <v>11</v>
      </c>
      <c r="E13473" t="s">
        <v>12</v>
      </c>
      <c r="F13473">
        <v>97392332</v>
      </c>
      <c r="G13473">
        <v>97392352</v>
      </c>
      <c r="H13473">
        <v>97392355</v>
      </c>
      <c r="I13473">
        <v>97392365</v>
      </c>
    </row>
    <row r="13474" spans="1:9" x14ac:dyDescent="0.2">
      <c r="A13474" t="str">
        <f>"Naa15"</f>
        <v>Naa15</v>
      </c>
      <c r="B13474" t="s">
        <v>14</v>
      </c>
      <c r="C13474" t="s">
        <v>22</v>
      </c>
      <c r="D13474" t="s">
        <v>17</v>
      </c>
      <c r="E13474" t="s">
        <v>12</v>
      </c>
      <c r="F13474">
        <v>51415986</v>
      </c>
      <c r="G13474">
        <v>51416044</v>
      </c>
      <c r="H13474">
        <v>51415962</v>
      </c>
      <c r="I13474">
        <v>51415973</v>
      </c>
    </row>
    <row r="13475" spans="1:9" x14ac:dyDescent="0.2">
      <c r="A13475" t="str">
        <f>"Naa16"</f>
        <v>Naa16</v>
      </c>
      <c r="B13475" t="s">
        <v>14</v>
      </c>
      <c r="C13475" t="s">
        <v>41</v>
      </c>
      <c r="D13475" t="s">
        <v>11</v>
      </c>
      <c r="E13475" t="s">
        <v>12</v>
      </c>
      <c r="F13475">
        <v>79390666</v>
      </c>
      <c r="G13475">
        <v>79390743</v>
      </c>
      <c r="H13475">
        <v>79390745</v>
      </c>
      <c r="I13475">
        <v>79390774</v>
      </c>
    </row>
    <row r="13476" spans="1:9" x14ac:dyDescent="0.2">
      <c r="A13476" t="str">
        <f>"Naa20"</f>
        <v>Naa20</v>
      </c>
      <c r="B13476" t="s">
        <v>14</v>
      </c>
      <c r="C13476" t="s">
        <v>26</v>
      </c>
      <c r="D13476" t="s">
        <v>17</v>
      </c>
      <c r="E13476" t="s">
        <v>12</v>
      </c>
      <c r="F13476">
        <v>145903234</v>
      </c>
      <c r="G13476">
        <v>145903300</v>
      </c>
      <c r="H13476">
        <v>145903222</v>
      </c>
      <c r="I13476">
        <v>145903227</v>
      </c>
    </row>
    <row r="13477" spans="1:9" x14ac:dyDescent="0.2">
      <c r="A13477" t="str">
        <f>"Naa25"</f>
        <v>Naa25</v>
      </c>
      <c r="B13477" t="s">
        <v>14</v>
      </c>
      <c r="C13477" t="s">
        <v>46</v>
      </c>
      <c r="D13477" t="s">
        <v>17</v>
      </c>
      <c r="E13477" t="s">
        <v>12</v>
      </c>
      <c r="F13477">
        <v>121397965</v>
      </c>
      <c r="G13477">
        <v>121398004</v>
      </c>
      <c r="H13477">
        <v>121397965</v>
      </c>
      <c r="I13477">
        <v>121398004</v>
      </c>
    </row>
    <row r="13478" spans="1:9" x14ac:dyDescent="0.2">
      <c r="A13478" t="str">
        <f>"Naa30"</f>
        <v>Naa30</v>
      </c>
      <c r="B13478" t="s">
        <v>14</v>
      </c>
      <c r="C13478" t="s">
        <v>41</v>
      </c>
      <c r="D13478" t="s">
        <v>17</v>
      </c>
      <c r="E13478" t="s">
        <v>12</v>
      </c>
      <c r="F13478">
        <v>49172202</v>
      </c>
      <c r="G13478">
        <v>49172254</v>
      </c>
      <c r="H13478">
        <v>49172462</v>
      </c>
      <c r="I13478">
        <v>49172481</v>
      </c>
    </row>
    <row r="13479" spans="1:9" x14ac:dyDescent="0.2">
      <c r="A13479" t="str">
        <f>"Naa35"</f>
        <v>Naa35</v>
      </c>
      <c r="B13479" t="s">
        <v>14</v>
      </c>
      <c r="C13479" t="s">
        <v>39</v>
      </c>
      <c r="D13479" t="s">
        <v>17</v>
      </c>
      <c r="E13479" t="s">
        <v>12</v>
      </c>
      <c r="F13479">
        <v>59585348</v>
      </c>
      <c r="G13479">
        <v>59585441</v>
      </c>
      <c r="H13479">
        <v>59585301</v>
      </c>
      <c r="I13479">
        <v>59585324</v>
      </c>
    </row>
    <row r="13480" spans="1:9" x14ac:dyDescent="0.2">
      <c r="A13480" t="str">
        <f>"Naa38"</f>
        <v>Naa38</v>
      </c>
      <c r="B13480" t="s">
        <v>14</v>
      </c>
      <c r="C13480" t="s">
        <v>32</v>
      </c>
      <c r="D13480" t="s">
        <v>17</v>
      </c>
      <c r="E13480" t="s">
        <v>12</v>
      </c>
      <c r="F13480">
        <v>18848604</v>
      </c>
      <c r="G13480">
        <v>18848693</v>
      </c>
      <c r="H13480">
        <v>18848571</v>
      </c>
      <c r="I13480">
        <v>18848582</v>
      </c>
    </row>
    <row r="13481" spans="1:9" x14ac:dyDescent="0.2">
      <c r="A13481" t="str">
        <f>"Naa40"</f>
        <v>Naa40</v>
      </c>
      <c r="B13481" t="s">
        <v>14</v>
      </c>
      <c r="C13481" t="s">
        <v>10</v>
      </c>
      <c r="D13481" t="s">
        <v>11</v>
      </c>
      <c r="E13481" t="s">
        <v>12</v>
      </c>
      <c r="F13481">
        <v>7240998</v>
      </c>
      <c r="G13481">
        <v>7241076</v>
      </c>
      <c r="H13481">
        <v>7241162</v>
      </c>
      <c r="I13481">
        <v>7241199</v>
      </c>
    </row>
    <row r="13482" spans="1:9" x14ac:dyDescent="0.2">
      <c r="A13482" t="str">
        <f>"Naa50"</f>
        <v>Naa50</v>
      </c>
      <c r="B13482" t="s">
        <v>14</v>
      </c>
      <c r="C13482" t="s">
        <v>31</v>
      </c>
      <c r="D13482" t="s">
        <v>17</v>
      </c>
      <c r="E13482" t="s">
        <v>12</v>
      </c>
      <c r="F13482">
        <v>44139821</v>
      </c>
      <c r="G13482">
        <v>44139900</v>
      </c>
      <c r="H13482">
        <v>44140042</v>
      </c>
      <c r="I13482">
        <v>44140061</v>
      </c>
    </row>
    <row r="13483" spans="1:9" x14ac:dyDescent="0.2">
      <c r="A13483" t="str">
        <f>"Naa60"</f>
        <v>Naa60</v>
      </c>
      <c r="B13483" t="s">
        <v>4359</v>
      </c>
      <c r="C13483" t="s">
        <v>31</v>
      </c>
      <c r="D13483" t="s">
        <v>17</v>
      </c>
      <c r="E13483" t="s">
        <v>20</v>
      </c>
      <c r="F13483">
        <v>3894374</v>
      </c>
      <c r="G13483">
        <v>3894374</v>
      </c>
      <c r="H13483">
        <v>3894374</v>
      </c>
      <c r="I13483">
        <v>3894374</v>
      </c>
    </row>
    <row r="13484" spans="1:9" x14ac:dyDescent="0.2">
      <c r="A13484" t="str">
        <f>"Naaa"</f>
        <v>Naaa</v>
      </c>
      <c r="B13484" t="s">
        <v>14</v>
      </c>
      <c r="C13484" t="s">
        <v>46</v>
      </c>
      <c r="D13484" t="s">
        <v>11</v>
      </c>
      <c r="E13484" t="s">
        <v>12</v>
      </c>
      <c r="F13484">
        <v>92278155</v>
      </c>
      <c r="G13484">
        <v>92278171</v>
      </c>
      <c r="H13484">
        <v>92278188</v>
      </c>
      <c r="I13484">
        <v>92278204</v>
      </c>
    </row>
    <row r="13485" spans="1:9" x14ac:dyDescent="0.2">
      <c r="A13485" t="str">
        <f>"Naalad2"</f>
        <v>Naalad2</v>
      </c>
      <c r="B13485" t="s">
        <v>14</v>
      </c>
      <c r="C13485" t="s">
        <v>24</v>
      </c>
      <c r="D13485" t="s">
        <v>11</v>
      </c>
      <c r="E13485" t="s">
        <v>12</v>
      </c>
      <c r="F13485">
        <v>18385981</v>
      </c>
      <c r="G13485">
        <v>18386068</v>
      </c>
      <c r="H13485">
        <v>18385955</v>
      </c>
      <c r="I13485">
        <v>18385978</v>
      </c>
    </row>
    <row r="13486" spans="1:9" x14ac:dyDescent="0.2">
      <c r="A13486" t="str">
        <f>"Naaladl1"</f>
        <v>Naaladl1</v>
      </c>
      <c r="B13486" t="s">
        <v>14</v>
      </c>
      <c r="C13486" t="s">
        <v>10</v>
      </c>
      <c r="D13486" t="s">
        <v>17</v>
      </c>
      <c r="E13486" t="s">
        <v>12</v>
      </c>
      <c r="F13486">
        <v>6105774</v>
      </c>
      <c r="G13486">
        <v>6105789</v>
      </c>
      <c r="H13486">
        <v>6105774</v>
      </c>
      <c r="I13486">
        <v>6105789</v>
      </c>
    </row>
    <row r="13487" spans="1:9" x14ac:dyDescent="0.2">
      <c r="A13487" t="str">
        <f>"Nab1"</f>
        <v>Nab1</v>
      </c>
      <c r="B13487" t="s">
        <v>14</v>
      </c>
      <c r="C13487" t="s">
        <v>19</v>
      </c>
      <c r="D13487" t="s">
        <v>11</v>
      </c>
      <c r="E13487" t="s">
        <v>12</v>
      </c>
      <c r="F13487">
        <v>52500353</v>
      </c>
      <c r="G13487">
        <v>52500449</v>
      </c>
      <c r="H13487">
        <v>52500236</v>
      </c>
      <c r="I13487">
        <v>52500276</v>
      </c>
    </row>
    <row r="13488" spans="1:9" x14ac:dyDescent="0.2">
      <c r="A13488" t="str">
        <f>"Nab2"</f>
        <v>Nab2</v>
      </c>
      <c r="B13488" t="s">
        <v>14</v>
      </c>
      <c r="C13488" t="s">
        <v>15</v>
      </c>
      <c r="D13488" t="s">
        <v>11</v>
      </c>
      <c r="E13488" t="s">
        <v>12</v>
      </c>
      <c r="F13488">
        <v>127666673</v>
      </c>
      <c r="G13488">
        <v>127666746</v>
      </c>
      <c r="H13488">
        <v>127666598</v>
      </c>
      <c r="I13488">
        <v>127666623</v>
      </c>
    </row>
    <row r="13489" spans="1:9" x14ac:dyDescent="0.2">
      <c r="A13489" t="str">
        <f>"Nabp1"</f>
        <v>Nabp1</v>
      </c>
      <c r="B13489" t="s">
        <v>14</v>
      </c>
      <c r="C13489" t="s">
        <v>19</v>
      </c>
      <c r="D13489" t="s">
        <v>11</v>
      </c>
      <c r="E13489" t="s">
        <v>67</v>
      </c>
      <c r="F13489">
        <v>51478390</v>
      </c>
      <c r="G13489">
        <v>51478406</v>
      </c>
      <c r="H13489">
        <v>51478123</v>
      </c>
      <c r="I13489">
        <v>51478131</v>
      </c>
    </row>
    <row r="13490" spans="1:9" x14ac:dyDescent="0.2">
      <c r="A13490" t="str">
        <f>"Nabp2"</f>
        <v>Nabp2</v>
      </c>
      <c r="B13490" t="s">
        <v>14</v>
      </c>
      <c r="C13490" t="s">
        <v>15</v>
      </c>
      <c r="D13490" t="s">
        <v>11</v>
      </c>
      <c r="E13490" t="s">
        <v>67</v>
      </c>
      <c r="F13490">
        <v>128409766</v>
      </c>
      <c r="G13490">
        <v>128409862</v>
      </c>
      <c r="H13490">
        <v>128409766</v>
      </c>
      <c r="I13490">
        <v>128409862</v>
      </c>
    </row>
    <row r="13491" spans="1:9" x14ac:dyDescent="0.2">
      <c r="A13491" t="str">
        <f>"Naca"</f>
        <v>Naca</v>
      </c>
      <c r="B13491" t="s">
        <v>14</v>
      </c>
      <c r="C13491" t="s">
        <v>15</v>
      </c>
      <c r="D13491" t="s">
        <v>17</v>
      </c>
      <c r="E13491" t="s">
        <v>12</v>
      </c>
      <c r="F13491">
        <v>128035637</v>
      </c>
      <c r="G13491">
        <v>128035655</v>
      </c>
      <c r="H13491">
        <v>128035637</v>
      </c>
      <c r="I13491">
        <v>128035655</v>
      </c>
    </row>
    <row r="13492" spans="1:9" x14ac:dyDescent="0.2">
      <c r="A13492" t="str">
        <f>"Nacad"</f>
        <v>Nacad</v>
      </c>
      <c r="B13492" t="s">
        <v>14</v>
      </c>
      <c r="C13492" t="s">
        <v>27</v>
      </c>
      <c r="D13492" t="s">
        <v>11</v>
      </c>
      <c r="E13492" t="s">
        <v>12</v>
      </c>
      <c r="F13492">
        <v>6606059</v>
      </c>
      <c r="G13492">
        <v>6606073</v>
      </c>
      <c r="H13492">
        <v>6605887</v>
      </c>
      <c r="I13492">
        <v>6605930</v>
      </c>
    </row>
    <row r="13493" spans="1:9" x14ac:dyDescent="0.2">
      <c r="A13493" t="str">
        <f>"Nacc1"</f>
        <v>Nacc1</v>
      </c>
      <c r="B13493" t="s">
        <v>14</v>
      </c>
      <c r="C13493" t="s">
        <v>30</v>
      </c>
      <c r="D13493" t="s">
        <v>11</v>
      </c>
      <c r="E13493" t="s">
        <v>12</v>
      </c>
      <c r="F13493">
        <v>84687839</v>
      </c>
      <c r="G13493">
        <v>84687884</v>
      </c>
      <c r="H13493">
        <v>84687899</v>
      </c>
      <c r="I13493">
        <v>84687910</v>
      </c>
    </row>
    <row r="13494" spans="1:9" x14ac:dyDescent="0.2">
      <c r="A13494" t="str">
        <f>"Nacc2"</f>
        <v>Nacc2</v>
      </c>
      <c r="B13494" t="s">
        <v>9</v>
      </c>
      <c r="C13494" t="s">
        <v>26</v>
      </c>
      <c r="D13494" t="s">
        <v>11</v>
      </c>
      <c r="E13494" t="s">
        <v>12</v>
      </c>
      <c r="F13494">
        <v>26122769</v>
      </c>
      <c r="G13494">
        <v>26122838</v>
      </c>
      <c r="H13494">
        <v>26122769</v>
      </c>
      <c r="I13494">
        <v>26122838</v>
      </c>
    </row>
    <row r="13495" spans="1:9" x14ac:dyDescent="0.2">
      <c r="A13495" t="str">
        <f>"Nacc2"</f>
        <v>Nacc2</v>
      </c>
      <c r="B13495" t="s">
        <v>13</v>
      </c>
      <c r="C13495" t="s">
        <v>26</v>
      </c>
      <c r="D13495" t="s">
        <v>11</v>
      </c>
      <c r="E13495" t="s">
        <v>12</v>
      </c>
      <c r="F13495">
        <v>26091961</v>
      </c>
      <c r="G13495">
        <v>26091988</v>
      </c>
      <c r="H13495">
        <v>26091961</v>
      </c>
      <c r="I13495">
        <v>26091988</v>
      </c>
    </row>
    <row r="13496" spans="1:9" x14ac:dyDescent="0.2">
      <c r="A13496" t="str">
        <f>"Nadk"</f>
        <v>Nadk</v>
      </c>
      <c r="B13496" t="s">
        <v>14</v>
      </c>
      <c r="C13496" t="s">
        <v>23</v>
      </c>
      <c r="D13496" t="s">
        <v>17</v>
      </c>
      <c r="E13496" t="s">
        <v>12</v>
      </c>
      <c r="F13496">
        <v>155563798</v>
      </c>
      <c r="G13496">
        <v>155563865</v>
      </c>
      <c r="H13496">
        <v>155563798</v>
      </c>
      <c r="I13496">
        <v>155563865</v>
      </c>
    </row>
    <row r="13497" spans="1:9" x14ac:dyDescent="0.2">
      <c r="A13497" t="str">
        <f>"Nadk2"</f>
        <v>Nadk2</v>
      </c>
      <c r="B13497" t="s">
        <v>14</v>
      </c>
      <c r="C13497" t="s">
        <v>25</v>
      </c>
      <c r="D13497" t="s">
        <v>17</v>
      </c>
      <c r="E13497" t="s">
        <v>67</v>
      </c>
      <c r="F13497">
        <v>9071393</v>
      </c>
      <c r="G13497">
        <v>9071471</v>
      </c>
      <c r="H13497">
        <v>9071252</v>
      </c>
      <c r="I13497">
        <v>9071273</v>
      </c>
    </row>
    <row r="13498" spans="1:9" x14ac:dyDescent="0.2">
      <c r="A13498" t="str">
        <f>"Nadsyn1"</f>
        <v>Nadsyn1</v>
      </c>
      <c r="B13498" t="s">
        <v>14</v>
      </c>
      <c r="C13498" t="s">
        <v>33</v>
      </c>
      <c r="D13498" t="s">
        <v>11</v>
      </c>
      <c r="E13498" t="s">
        <v>12</v>
      </c>
      <c r="F13498">
        <v>143822793</v>
      </c>
      <c r="G13498">
        <v>143822857</v>
      </c>
      <c r="H13498">
        <v>143822793</v>
      </c>
      <c r="I13498">
        <v>143822857</v>
      </c>
    </row>
    <row r="13499" spans="1:9" x14ac:dyDescent="0.2">
      <c r="A13499" t="str">
        <f>"Nae1"</f>
        <v>Nae1</v>
      </c>
      <c r="B13499" t="s">
        <v>14</v>
      </c>
      <c r="C13499" t="s">
        <v>30</v>
      </c>
      <c r="D13499" t="s">
        <v>11</v>
      </c>
      <c r="E13499" t="s">
        <v>12</v>
      </c>
      <c r="F13499">
        <v>104534568</v>
      </c>
      <c r="G13499">
        <v>104534624</v>
      </c>
      <c r="H13499">
        <v>104534630</v>
      </c>
      <c r="I13499">
        <v>104534646</v>
      </c>
    </row>
    <row r="13500" spans="1:9" x14ac:dyDescent="0.2">
      <c r="A13500" t="str">
        <f>"Naf1"</f>
        <v>Naf1</v>
      </c>
      <c r="B13500" t="s">
        <v>14</v>
      </c>
      <c r="C13500" t="s">
        <v>30</v>
      </c>
      <c r="D13500" t="s">
        <v>17</v>
      </c>
      <c r="E13500" t="s">
        <v>12</v>
      </c>
      <c r="F13500">
        <v>66860215</v>
      </c>
      <c r="G13500">
        <v>66860287</v>
      </c>
      <c r="H13500">
        <v>66860294</v>
      </c>
      <c r="I13500">
        <v>66860314</v>
      </c>
    </row>
    <row r="13501" spans="1:9" x14ac:dyDescent="0.2">
      <c r="A13501" t="str">
        <f>"Naga"</f>
        <v>Naga</v>
      </c>
      <c r="B13501" t="s">
        <v>14</v>
      </c>
      <c r="C13501" t="s">
        <v>25</v>
      </c>
      <c r="D13501" t="s">
        <v>11</v>
      </c>
      <c r="E13501" t="s">
        <v>12</v>
      </c>
      <c r="F13501">
        <v>82338770</v>
      </c>
      <c r="G13501">
        <v>82338791</v>
      </c>
      <c r="H13501">
        <v>82338801</v>
      </c>
      <c r="I13501">
        <v>82338854</v>
      </c>
    </row>
    <row r="13502" spans="1:9" x14ac:dyDescent="0.2">
      <c r="A13502" t="str">
        <f>"Nagk"</f>
        <v>Nagk</v>
      </c>
      <c r="B13502" t="s">
        <v>14</v>
      </c>
      <c r="C13502" t="s">
        <v>32</v>
      </c>
      <c r="D13502" t="s">
        <v>17</v>
      </c>
      <c r="E13502" t="s">
        <v>12</v>
      </c>
      <c r="F13502">
        <v>83795205</v>
      </c>
      <c r="G13502">
        <v>83795238</v>
      </c>
      <c r="H13502">
        <v>83795182</v>
      </c>
      <c r="I13502">
        <v>83795204</v>
      </c>
    </row>
    <row r="13503" spans="1:9" x14ac:dyDescent="0.2">
      <c r="A13503" t="str">
        <f>"Naglu"</f>
        <v>Naglu</v>
      </c>
      <c r="B13503" t="s">
        <v>14</v>
      </c>
      <c r="C13503" t="s">
        <v>27</v>
      </c>
      <c r="D13503" t="s">
        <v>17</v>
      </c>
      <c r="E13503" t="s">
        <v>12</v>
      </c>
      <c r="F13503">
        <v>101070081</v>
      </c>
      <c r="G13503">
        <v>101070121</v>
      </c>
      <c r="H13503">
        <v>101070081</v>
      </c>
      <c r="I13503">
        <v>101070121</v>
      </c>
    </row>
    <row r="13504" spans="1:9" x14ac:dyDescent="0.2">
      <c r="A13504" t="str">
        <f>"Nagpa"</f>
        <v>Nagpa</v>
      </c>
      <c r="B13504" t="s">
        <v>14</v>
      </c>
      <c r="C13504" t="s">
        <v>31</v>
      </c>
      <c r="D13504" t="s">
        <v>11</v>
      </c>
      <c r="E13504" t="s">
        <v>12</v>
      </c>
      <c r="F13504">
        <v>5203981</v>
      </c>
      <c r="G13504">
        <v>5204017</v>
      </c>
      <c r="H13504">
        <v>5203947</v>
      </c>
      <c r="I13504">
        <v>5203964</v>
      </c>
    </row>
    <row r="13505" spans="1:9" x14ac:dyDescent="0.2">
      <c r="A13505" t="str">
        <f>"Nags"</f>
        <v>Nags</v>
      </c>
      <c r="B13505" t="s">
        <v>14</v>
      </c>
      <c r="C13505" t="s">
        <v>27</v>
      </c>
      <c r="D13505" t="s">
        <v>17</v>
      </c>
      <c r="E13505" t="s">
        <v>12</v>
      </c>
      <c r="F13505">
        <v>102145473</v>
      </c>
      <c r="G13505">
        <v>102145501</v>
      </c>
      <c r="H13505">
        <v>102145530</v>
      </c>
      <c r="I13505">
        <v>102145541</v>
      </c>
    </row>
    <row r="13506" spans="1:9" x14ac:dyDescent="0.2">
      <c r="A13506" t="str">
        <f>"Naif1"</f>
        <v>Naif1</v>
      </c>
      <c r="B13506" t="s">
        <v>14</v>
      </c>
      <c r="C13506" t="s">
        <v>26</v>
      </c>
      <c r="D13506" t="s">
        <v>17</v>
      </c>
      <c r="E13506" t="s">
        <v>12</v>
      </c>
      <c r="F13506">
        <v>32450444</v>
      </c>
      <c r="G13506">
        <v>32450462</v>
      </c>
      <c r="H13506">
        <v>32450466</v>
      </c>
      <c r="I13506">
        <v>32450475</v>
      </c>
    </row>
    <row r="13507" spans="1:9" x14ac:dyDescent="0.2">
      <c r="A13507" t="str">
        <f>"Naip1"</f>
        <v>Naip1</v>
      </c>
      <c r="B13507" t="s">
        <v>14</v>
      </c>
      <c r="C13507" t="s">
        <v>39</v>
      </c>
      <c r="D13507" t="s">
        <v>11</v>
      </c>
      <c r="E13507" t="s">
        <v>12</v>
      </c>
      <c r="F13507">
        <v>100452849</v>
      </c>
      <c r="G13507">
        <v>100452860</v>
      </c>
      <c r="H13507">
        <v>100452881</v>
      </c>
      <c r="I13507">
        <v>100452890</v>
      </c>
    </row>
    <row r="13508" spans="1:9" x14ac:dyDescent="0.2">
      <c r="A13508" t="str">
        <f>"Naip2"</f>
        <v>Naip2</v>
      </c>
      <c r="B13508" t="s">
        <v>14</v>
      </c>
      <c r="C13508" t="s">
        <v>39</v>
      </c>
      <c r="D13508" t="s">
        <v>11</v>
      </c>
      <c r="E13508" t="s">
        <v>12</v>
      </c>
      <c r="F13508">
        <v>100202110</v>
      </c>
      <c r="G13508">
        <v>100202128</v>
      </c>
      <c r="H13508">
        <v>100202110</v>
      </c>
      <c r="I13508">
        <v>100202128</v>
      </c>
    </row>
    <row r="13509" spans="1:9" x14ac:dyDescent="0.2">
      <c r="A13509" t="str">
        <f>"Naip5"</f>
        <v>Naip5</v>
      </c>
      <c r="B13509" t="s">
        <v>14</v>
      </c>
      <c r="C13509" t="s">
        <v>39</v>
      </c>
      <c r="D13509" t="s">
        <v>11</v>
      </c>
      <c r="E13509" t="s">
        <v>12</v>
      </c>
      <c r="F13509">
        <v>100247332</v>
      </c>
      <c r="G13509">
        <v>100247343</v>
      </c>
      <c r="H13509">
        <v>100247332</v>
      </c>
      <c r="I13509">
        <v>100247343</v>
      </c>
    </row>
    <row r="13510" spans="1:9" x14ac:dyDescent="0.2">
      <c r="A13510" t="str">
        <f>"Naip6"</f>
        <v>Naip6</v>
      </c>
      <c r="B13510" t="s">
        <v>14</v>
      </c>
      <c r="C13510" t="s">
        <v>39</v>
      </c>
      <c r="D13510" t="s">
        <v>11</v>
      </c>
      <c r="E13510" t="s">
        <v>12</v>
      </c>
      <c r="F13510">
        <v>100316578</v>
      </c>
      <c r="G13510">
        <v>100316622</v>
      </c>
      <c r="H13510">
        <v>100316578</v>
      </c>
      <c r="I13510">
        <v>100316622</v>
      </c>
    </row>
    <row r="13511" spans="1:9" x14ac:dyDescent="0.2">
      <c r="A13511" t="str">
        <f>"Nalcn"</f>
        <v>Nalcn</v>
      </c>
      <c r="B13511" t="s">
        <v>14</v>
      </c>
      <c r="C13511" t="s">
        <v>41</v>
      </c>
      <c r="D13511" t="s">
        <v>11</v>
      </c>
      <c r="E13511" t="s">
        <v>12</v>
      </c>
      <c r="F13511">
        <v>123627059</v>
      </c>
      <c r="G13511">
        <v>123627154</v>
      </c>
      <c r="H13511">
        <v>123627059</v>
      </c>
      <c r="I13511">
        <v>123627154</v>
      </c>
    </row>
    <row r="13512" spans="1:9" x14ac:dyDescent="0.2">
      <c r="A13512" t="str">
        <f>"Nampt"</f>
        <v>Nampt</v>
      </c>
      <c r="B13512" t="s">
        <v>14</v>
      </c>
      <c r="C13512" t="s">
        <v>16</v>
      </c>
      <c r="D13512" t="s">
        <v>17</v>
      </c>
      <c r="E13512" t="s">
        <v>12</v>
      </c>
      <c r="F13512">
        <v>32820497</v>
      </c>
      <c r="G13512">
        <v>32820519</v>
      </c>
      <c r="H13512">
        <v>32820437</v>
      </c>
      <c r="I13512">
        <v>32820486</v>
      </c>
    </row>
    <row r="13513" spans="1:9" x14ac:dyDescent="0.2">
      <c r="A13513" t="str">
        <f>"Nanog"</f>
        <v>Nanog</v>
      </c>
      <c r="B13513" t="s">
        <v>14</v>
      </c>
      <c r="C13513" t="s">
        <v>32</v>
      </c>
      <c r="D13513" t="s">
        <v>17</v>
      </c>
      <c r="E13513" t="s">
        <v>12</v>
      </c>
      <c r="F13513">
        <v>122707592</v>
      </c>
      <c r="G13513">
        <v>122707608</v>
      </c>
      <c r="H13513">
        <v>122707646</v>
      </c>
      <c r="I13513">
        <v>122707655</v>
      </c>
    </row>
    <row r="13514" spans="1:9" x14ac:dyDescent="0.2">
      <c r="A13514" t="str">
        <f>"Nanos1"</f>
        <v>Nanos1</v>
      </c>
      <c r="B13514" t="s">
        <v>14</v>
      </c>
      <c r="C13514" t="s">
        <v>10</v>
      </c>
      <c r="D13514" t="s">
        <v>17</v>
      </c>
      <c r="E13514" t="s">
        <v>12</v>
      </c>
      <c r="F13514">
        <v>60755947</v>
      </c>
      <c r="G13514">
        <v>60755979</v>
      </c>
      <c r="H13514">
        <v>60755947</v>
      </c>
      <c r="I13514">
        <v>60755979</v>
      </c>
    </row>
    <row r="13515" spans="1:9" x14ac:dyDescent="0.2">
      <c r="A13515" t="str">
        <f>"Nanos2"</f>
        <v>Nanos2</v>
      </c>
      <c r="B13515" t="s">
        <v>14</v>
      </c>
      <c r="C13515" t="s">
        <v>33</v>
      </c>
      <c r="D13515" t="s">
        <v>17</v>
      </c>
      <c r="E13515" t="s">
        <v>12</v>
      </c>
      <c r="F13515">
        <v>18987518</v>
      </c>
      <c r="G13515">
        <v>18987524</v>
      </c>
      <c r="H13515">
        <v>18987518</v>
      </c>
      <c r="I13515">
        <v>18987524</v>
      </c>
    </row>
    <row r="13516" spans="1:9" x14ac:dyDescent="0.2">
      <c r="A13516" t="str">
        <f>"Nanos3"</f>
        <v>Nanos3</v>
      </c>
      <c r="B13516" t="s">
        <v>14</v>
      </c>
      <c r="C13516" t="s">
        <v>30</v>
      </c>
      <c r="D13516" t="s">
        <v>11</v>
      </c>
      <c r="E13516" t="s">
        <v>12</v>
      </c>
      <c r="F13516">
        <v>84176582</v>
      </c>
      <c r="G13516">
        <v>84176609</v>
      </c>
      <c r="H13516">
        <v>84176550</v>
      </c>
      <c r="I13516">
        <v>84176554</v>
      </c>
    </row>
    <row r="13517" spans="1:9" x14ac:dyDescent="0.2">
      <c r="A13517" t="str">
        <f>"Nanp"</f>
        <v>Nanp</v>
      </c>
      <c r="B13517" t="s">
        <v>14</v>
      </c>
      <c r="C13517" t="s">
        <v>26</v>
      </c>
      <c r="D13517" t="s">
        <v>11</v>
      </c>
      <c r="E13517" t="s">
        <v>12</v>
      </c>
      <c r="F13517">
        <v>151039363</v>
      </c>
      <c r="G13517">
        <v>151039403</v>
      </c>
      <c r="H13517">
        <v>151039363</v>
      </c>
      <c r="I13517">
        <v>151039403</v>
      </c>
    </row>
    <row r="13518" spans="1:9" x14ac:dyDescent="0.2">
      <c r="A13518" t="str">
        <f>"Nans"</f>
        <v>Nans</v>
      </c>
      <c r="B13518" t="s">
        <v>14</v>
      </c>
      <c r="C13518" t="s">
        <v>23</v>
      </c>
      <c r="D13518" t="s">
        <v>17</v>
      </c>
      <c r="E13518" t="s">
        <v>12</v>
      </c>
      <c r="F13518">
        <v>46489274</v>
      </c>
      <c r="G13518">
        <v>46489356</v>
      </c>
      <c r="H13518">
        <v>46489375</v>
      </c>
      <c r="I13518">
        <v>46489382</v>
      </c>
    </row>
    <row r="13519" spans="1:9" x14ac:dyDescent="0.2">
      <c r="A13519" t="str">
        <f>"Nap1l1"</f>
        <v>Nap1l1</v>
      </c>
      <c r="B13519" t="s">
        <v>14</v>
      </c>
      <c r="C13519" t="s">
        <v>15</v>
      </c>
      <c r="D13519" t="s">
        <v>17</v>
      </c>
      <c r="E13519" t="s">
        <v>12</v>
      </c>
      <c r="F13519">
        <v>111473220</v>
      </c>
      <c r="G13519">
        <v>111473242</v>
      </c>
      <c r="H13519">
        <v>111473186</v>
      </c>
      <c r="I13519">
        <v>111473201</v>
      </c>
    </row>
    <row r="13520" spans="1:9" x14ac:dyDescent="0.2">
      <c r="A13520" t="str">
        <f>"Nap1l2"</f>
        <v>Nap1l2</v>
      </c>
      <c r="B13520" t="s">
        <v>14</v>
      </c>
      <c r="C13520" t="s">
        <v>37</v>
      </c>
      <c r="D13520" t="s">
        <v>11</v>
      </c>
      <c r="E13520" t="s">
        <v>12</v>
      </c>
      <c r="F13520">
        <v>103186618</v>
      </c>
      <c r="G13520">
        <v>103186671</v>
      </c>
      <c r="H13520">
        <v>103186555</v>
      </c>
      <c r="I13520">
        <v>103186616</v>
      </c>
    </row>
    <row r="13521" spans="1:9" x14ac:dyDescent="0.2">
      <c r="A13521" t="str">
        <f>"Nap1l3"</f>
        <v>Nap1l3</v>
      </c>
      <c r="B13521" t="s">
        <v>14</v>
      </c>
      <c r="C13521" t="s">
        <v>37</v>
      </c>
      <c r="D13521" t="s">
        <v>11</v>
      </c>
      <c r="E13521" t="s">
        <v>12</v>
      </c>
      <c r="F13521">
        <v>122397351</v>
      </c>
      <c r="G13521">
        <v>122397425</v>
      </c>
      <c r="H13521">
        <v>122397308</v>
      </c>
      <c r="I13521">
        <v>122397328</v>
      </c>
    </row>
    <row r="13522" spans="1:9" x14ac:dyDescent="0.2">
      <c r="A13522" t="str">
        <f>"Nap1l4"</f>
        <v>Nap1l4</v>
      </c>
      <c r="B13522" t="s">
        <v>14</v>
      </c>
      <c r="C13522" t="s">
        <v>33</v>
      </c>
      <c r="D13522" t="s">
        <v>11</v>
      </c>
      <c r="E13522" t="s">
        <v>12</v>
      </c>
      <c r="F13522">
        <v>143549055</v>
      </c>
      <c r="G13522">
        <v>143549125</v>
      </c>
      <c r="H13522">
        <v>143548792</v>
      </c>
      <c r="I13522">
        <v>143548839</v>
      </c>
    </row>
    <row r="13523" spans="1:9" x14ac:dyDescent="0.2">
      <c r="A13523" t="str">
        <f>"Nap1l5"</f>
        <v>Nap1l5</v>
      </c>
      <c r="B13523" t="s">
        <v>14</v>
      </c>
      <c r="C13523" t="s">
        <v>32</v>
      </c>
      <c r="D13523" t="s">
        <v>11</v>
      </c>
      <c r="E13523" t="s">
        <v>12</v>
      </c>
      <c r="F13523">
        <v>58907053</v>
      </c>
      <c r="G13523">
        <v>58907098</v>
      </c>
      <c r="H13523">
        <v>58907025</v>
      </c>
      <c r="I13523">
        <v>58907042</v>
      </c>
    </row>
    <row r="13524" spans="1:9" x14ac:dyDescent="0.2">
      <c r="A13524" t="str">
        <f>"Napa"</f>
        <v>Napa</v>
      </c>
      <c r="B13524" t="s">
        <v>14</v>
      </c>
      <c r="C13524" t="s">
        <v>33</v>
      </c>
      <c r="D13524" t="s">
        <v>17</v>
      </c>
      <c r="E13524" t="s">
        <v>12</v>
      </c>
      <c r="F13524">
        <v>16098595</v>
      </c>
      <c r="G13524">
        <v>16098672</v>
      </c>
      <c r="H13524">
        <v>16098574</v>
      </c>
      <c r="I13524">
        <v>16098585</v>
      </c>
    </row>
    <row r="13525" spans="1:9" x14ac:dyDescent="0.2">
      <c r="A13525" t="str">
        <f>"Napb"</f>
        <v>Napb</v>
      </c>
      <c r="B13525" t="s">
        <v>14</v>
      </c>
      <c r="C13525" t="s">
        <v>26</v>
      </c>
      <c r="D13525" t="s">
        <v>11</v>
      </c>
      <c r="E13525" t="s">
        <v>12</v>
      </c>
      <c r="F13525">
        <v>148732378</v>
      </c>
      <c r="G13525">
        <v>148732455</v>
      </c>
      <c r="H13525">
        <v>148732457</v>
      </c>
      <c r="I13525">
        <v>148732463</v>
      </c>
    </row>
    <row r="13526" spans="1:9" x14ac:dyDescent="0.2">
      <c r="A13526" t="str">
        <f>"Napepld"</f>
        <v>Napepld</v>
      </c>
      <c r="B13526" t="s">
        <v>14</v>
      </c>
      <c r="C13526" t="s">
        <v>46</v>
      </c>
      <c r="D13526" t="s">
        <v>11</v>
      </c>
      <c r="E13526" t="s">
        <v>12</v>
      </c>
      <c r="F13526">
        <v>21701332</v>
      </c>
      <c r="G13526">
        <v>21701404</v>
      </c>
      <c r="H13526">
        <v>21701857</v>
      </c>
      <c r="I13526">
        <v>21701886</v>
      </c>
    </row>
    <row r="13527" spans="1:9" x14ac:dyDescent="0.2">
      <c r="A13527" t="str">
        <f>"Napg"</f>
        <v>Napg</v>
      </c>
      <c r="B13527" t="s">
        <v>14</v>
      </c>
      <c r="C13527" t="s">
        <v>43</v>
      </c>
      <c r="D13527" t="s">
        <v>17</v>
      </c>
      <c r="E13527" t="s">
        <v>12</v>
      </c>
      <c r="F13527">
        <v>62977854</v>
      </c>
      <c r="G13527">
        <v>62977931</v>
      </c>
      <c r="H13527">
        <v>62977934</v>
      </c>
      <c r="I13527">
        <v>62977952</v>
      </c>
    </row>
    <row r="13528" spans="1:9" x14ac:dyDescent="0.2">
      <c r="A13528" t="str">
        <f>"Naprt1"</f>
        <v>Naprt1</v>
      </c>
      <c r="B13528" t="s">
        <v>14</v>
      </c>
      <c r="C13528" t="s">
        <v>25</v>
      </c>
      <c r="D13528" t="s">
        <v>11</v>
      </c>
      <c r="E13528" t="s">
        <v>12</v>
      </c>
      <c r="F13528">
        <v>75894232</v>
      </c>
      <c r="G13528">
        <v>75894322</v>
      </c>
      <c r="H13528">
        <v>75894474</v>
      </c>
      <c r="I13528">
        <v>75894529</v>
      </c>
    </row>
    <row r="13529" spans="1:9" x14ac:dyDescent="0.2">
      <c r="A13529" t="str">
        <f>"Napsa"</f>
        <v>Napsa</v>
      </c>
      <c r="B13529" t="s">
        <v>14</v>
      </c>
      <c r="C13529" t="s">
        <v>33</v>
      </c>
      <c r="D13529" t="s">
        <v>17</v>
      </c>
      <c r="E13529" t="s">
        <v>12</v>
      </c>
      <c r="F13529">
        <v>44572584</v>
      </c>
      <c r="G13529">
        <v>44572617</v>
      </c>
      <c r="H13529">
        <v>44572584</v>
      </c>
      <c r="I13529">
        <v>44572617</v>
      </c>
    </row>
    <row r="13530" spans="1:9" x14ac:dyDescent="0.2">
      <c r="A13530" t="str">
        <f>"Narf"</f>
        <v>Narf</v>
      </c>
      <c r="B13530" t="s">
        <v>14</v>
      </c>
      <c r="C13530" t="s">
        <v>27</v>
      </c>
      <c r="D13530" t="s">
        <v>17</v>
      </c>
      <c r="E13530" t="s">
        <v>12</v>
      </c>
      <c r="F13530">
        <v>121237216</v>
      </c>
      <c r="G13530">
        <v>121237289</v>
      </c>
      <c r="H13530">
        <v>121237305</v>
      </c>
      <c r="I13530">
        <v>121237317</v>
      </c>
    </row>
    <row r="13531" spans="1:9" x14ac:dyDescent="0.2">
      <c r="A13531" t="str">
        <f>"Narfl"</f>
        <v>Narfl</v>
      </c>
      <c r="B13531" t="s">
        <v>14</v>
      </c>
      <c r="C13531" t="s">
        <v>28</v>
      </c>
      <c r="D13531" t="s">
        <v>17</v>
      </c>
      <c r="E13531" t="s">
        <v>12</v>
      </c>
      <c r="F13531">
        <v>25773787</v>
      </c>
      <c r="G13531">
        <v>25773824</v>
      </c>
      <c r="H13531">
        <v>25773769</v>
      </c>
      <c r="I13531">
        <v>25773778</v>
      </c>
    </row>
    <row r="13532" spans="1:9" x14ac:dyDescent="0.2">
      <c r="A13532" t="str">
        <f>"Narg2"</f>
        <v>Narg2</v>
      </c>
      <c r="B13532" t="s">
        <v>14</v>
      </c>
      <c r="C13532" t="s">
        <v>24</v>
      </c>
      <c r="D13532" t="s">
        <v>17</v>
      </c>
      <c r="E13532" t="s">
        <v>12</v>
      </c>
      <c r="F13532">
        <v>69397897</v>
      </c>
      <c r="G13532">
        <v>69397928</v>
      </c>
      <c r="H13532">
        <v>69397938</v>
      </c>
      <c r="I13532">
        <v>69397972</v>
      </c>
    </row>
    <row r="13533" spans="1:9" x14ac:dyDescent="0.2">
      <c r="A13533" t="str">
        <f>"Nars"</f>
        <v>Nars</v>
      </c>
      <c r="B13533" t="s">
        <v>14</v>
      </c>
      <c r="C13533" t="s">
        <v>43</v>
      </c>
      <c r="D13533" t="s">
        <v>11</v>
      </c>
      <c r="E13533" t="s">
        <v>12</v>
      </c>
      <c r="F13533">
        <v>64516492</v>
      </c>
      <c r="G13533">
        <v>64516545</v>
      </c>
      <c r="H13533">
        <v>64516547</v>
      </c>
      <c r="I13533">
        <v>64516565</v>
      </c>
    </row>
    <row r="13534" spans="1:9" x14ac:dyDescent="0.2">
      <c r="A13534" t="str">
        <f>"Nars2"</f>
        <v>Nars2</v>
      </c>
      <c r="B13534" t="s">
        <v>14</v>
      </c>
      <c r="C13534" t="s">
        <v>33</v>
      </c>
      <c r="D13534" t="s">
        <v>17</v>
      </c>
      <c r="E13534" t="s">
        <v>12</v>
      </c>
      <c r="F13534">
        <v>96951552</v>
      </c>
      <c r="G13534">
        <v>96951597</v>
      </c>
      <c r="H13534">
        <v>96951534</v>
      </c>
      <c r="I13534">
        <v>96951548</v>
      </c>
    </row>
    <row r="13535" spans="1:9" x14ac:dyDescent="0.2">
      <c r="A13535" t="str">
        <f>"Nasp"</f>
        <v>Nasp</v>
      </c>
      <c r="B13535" t="s">
        <v>14</v>
      </c>
      <c r="C13535" t="s">
        <v>23</v>
      </c>
      <c r="D13535" t="s">
        <v>11</v>
      </c>
      <c r="E13535" t="s">
        <v>12</v>
      </c>
      <c r="F13535">
        <v>116627486</v>
      </c>
      <c r="G13535">
        <v>116627503</v>
      </c>
      <c r="H13535">
        <v>116627921</v>
      </c>
      <c r="I13535">
        <v>116627956</v>
      </c>
    </row>
    <row r="13536" spans="1:9" x14ac:dyDescent="0.2">
      <c r="A13536" t="str">
        <f>"Nat1"</f>
        <v>Nat1</v>
      </c>
      <c r="B13536" t="s">
        <v>4360</v>
      </c>
      <c r="C13536" t="s">
        <v>30</v>
      </c>
      <c r="D13536" t="s">
        <v>17</v>
      </c>
      <c r="E13536" t="s">
        <v>20</v>
      </c>
      <c r="F13536">
        <v>67490757</v>
      </c>
      <c r="G13536">
        <v>67490757</v>
      </c>
      <c r="H13536">
        <v>67490757</v>
      </c>
      <c r="I13536">
        <v>67490757</v>
      </c>
    </row>
    <row r="13537" spans="1:9" x14ac:dyDescent="0.2">
      <c r="A13537" t="str">
        <f>"Nat10"</f>
        <v>Nat10</v>
      </c>
      <c r="B13537" t="s">
        <v>14</v>
      </c>
      <c r="C13537" t="s">
        <v>26</v>
      </c>
      <c r="D13537" t="s">
        <v>11</v>
      </c>
      <c r="E13537" t="s">
        <v>12</v>
      </c>
      <c r="F13537">
        <v>103761178</v>
      </c>
      <c r="G13537">
        <v>103761286</v>
      </c>
      <c r="H13537">
        <v>103761163</v>
      </c>
      <c r="I13537">
        <v>103761172</v>
      </c>
    </row>
    <row r="13538" spans="1:9" x14ac:dyDescent="0.2">
      <c r="A13538" t="str">
        <f>"Nat14"</f>
        <v>Nat14</v>
      </c>
      <c r="B13538" t="s">
        <v>14</v>
      </c>
      <c r="C13538" t="s">
        <v>33</v>
      </c>
      <c r="D13538" t="s">
        <v>17</v>
      </c>
      <c r="E13538" t="s">
        <v>12</v>
      </c>
      <c r="F13538">
        <v>4922844</v>
      </c>
      <c r="G13538">
        <v>4922896</v>
      </c>
      <c r="H13538">
        <v>4922844</v>
      </c>
      <c r="I13538">
        <v>4922896</v>
      </c>
    </row>
    <row r="13539" spans="1:9" x14ac:dyDescent="0.2">
      <c r="A13539" t="str">
        <f>"Nat2"</f>
        <v>Nat2</v>
      </c>
      <c r="B13539" t="s">
        <v>14</v>
      </c>
      <c r="C13539" t="s">
        <v>30</v>
      </c>
      <c r="D13539" t="s">
        <v>17</v>
      </c>
      <c r="E13539" t="s">
        <v>12</v>
      </c>
      <c r="F13539">
        <v>67494843</v>
      </c>
      <c r="G13539">
        <v>67494883</v>
      </c>
      <c r="H13539">
        <v>67494843</v>
      </c>
      <c r="I13539">
        <v>67494883</v>
      </c>
    </row>
    <row r="13540" spans="1:9" x14ac:dyDescent="0.2">
      <c r="A13540" t="str">
        <f>"Nat3"</f>
        <v>Nat3</v>
      </c>
      <c r="B13540" t="s">
        <v>4361</v>
      </c>
      <c r="C13540" t="s">
        <v>30</v>
      </c>
      <c r="D13540" t="s">
        <v>17</v>
      </c>
      <c r="E13540" t="s">
        <v>20</v>
      </c>
      <c r="F13540">
        <v>67523853</v>
      </c>
      <c r="G13540">
        <v>67523853</v>
      </c>
      <c r="H13540">
        <v>67523853</v>
      </c>
      <c r="I13540">
        <v>67523853</v>
      </c>
    </row>
    <row r="13541" spans="1:9" x14ac:dyDescent="0.2">
      <c r="A13541" t="str">
        <f>"Nat6"</f>
        <v>Nat6</v>
      </c>
      <c r="B13541" t="s">
        <v>14</v>
      </c>
      <c r="C13541" t="s">
        <v>24</v>
      </c>
      <c r="D13541" t="s">
        <v>17</v>
      </c>
      <c r="E13541" t="s">
        <v>12</v>
      </c>
      <c r="F13541">
        <v>107579884</v>
      </c>
      <c r="G13541">
        <v>107579926</v>
      </c>
      <c r="H13541">
        <v>107579884</v>
      </c>
      <c r="I13541">
        <v>107579926</v>
      </c>
    </row>
    <row r="13542" spans="1:9" x14ac:dyDescent="0.2">
      <c r="A13542" t="str">
        <f>"Nat8"</f>
        <v>Nat8</v>
      </c>
      <c r="B13542" t="s">
        <v>14</v>
      </c>
      <c r="C13542" t="s">
        <v>32</v>
      </c>
      <c r="D13542" t="s">
        <v>11</v>
      </c>
      <c r="E13542" t="s">
        <v>12</v>
      </c>
      <c r="F13542">
        <v>85831825</v>
      </c>
      <c r="G13542">
        <v>85831859</v>
      </c>
      <c r="H13542">
        <v>85831825</v>
      </c>
      <c r="I13542">
        <v>85831859</v>
      </c>
    </row>
    <row r="13543" spans="1:9" x14ac:dyDescent="0.2">
      <c r="A13543" t="str">
        <f>"Nat8b"</f>
        <v>Nat8b</v>
      </c>
      <c r="B13543" t="s">
        <v>4362</v>
      </c>
      <c r="C13543" t="s">
        <v>32</v>
      </c>
      <c r="D13543" t="s">
        <v>11</v>
      </c>
      <c r="E13543" t="s">
        <v>20</v>
      </c>
      <c r="F13543">
        <v>85933378</v>
      </c>
      <c r="G13543">
        <v>85933378</v>
      </c>
      <c r="H13543">
        <v>85933378</v>
      </c>
      <c r="I13543">
        <v>85933378</v>
      </c>
    </row>
    <row r="13544" spans="1:9" x14ac:dyDescent="0.2">
      <c r="A13544" t="str">
        <f>"Nat8l"</f>
        <v>Nat8l</v>
      </c>
      <c r="B13544" t="s">
        <v>14</v>
      </c>
      <c r="C13544" t="s">
        <v>46</v>
      </c>
      <c r="D13544" t="s">
        <v>17</v>
      </c>
      <c r="E13544" t="s">
        <v>12</v>
      </c>
      <c r="F13544">
        <v>33996009</v>
      </c>
      <c r="G13544">
        <v>33996030</v>
      </c>
      <c r="H13544">
        <v>33996048</v>
      </c>
      <c r="I13544">
        <v>33996061</v>
      </c>
    </row>
    <row r="13545" spans="1:9" x14ac:dyDescent="0.2">
      <c r="A13545" t="str">
        <f>"Nat9"</f>
        <v>Nat9</v>
      </c>
      <c r="B13545" t="s">
        <v>14</v>
      </c>
      <c r="C13545" t="s">
        <v>27</v>
      </c>
      <c r="D13545" t="s">
        <v>11</v>
      </c>
      <c r="E13545" t="s">
        <v>12</v>
      </c>
      <c r="F13545">
        <v>115187321</v>
      </c>
      <c r="G13545">
        <v>115187359</v>
      </c>
      <c r="H13545">
        <v>115187290</v>
      </c>
      <c r="I13545">
        <v>115187318</v>
      </c>
    </row>
    <row r="13546" spans="1:9" x14ac:dyDescent="0.2">
      <c r="A13546" t="str">
        <f>"Nav1"</f>
        <v>Nav1</v>
      </c>
      <c r="B13546" t="s">
        <v>14</v>
      </c>
      <c r="C13546" t="s">
        <v>19</v>
      </c>
      <c r="D13546" t="s">
        <v>11</v>
      </c>
      <c r="E13546" t="s">
        <v>67</v>
      </c>
      <c r="F13546">
        <v>135688094</v>
      </c>
      <c r="G13546">
        <v>135688149</v>
      </c>
      <c r="H13546">
        <v>135688094</v>
      </c>
      <c r="I13546">
        <v>135688149</v>
      </c>
    </row>
    <row r="13547" spans="1:9" x14ac:dyDescent="0.2">
      <c r="A13547" t="str">
        <f>"Nav2"</f>
        <v>Nav2</v>
      </c>
      <c r="B13547" t="s">
        <v>14</v>
      </c>
      <c r="C13547" t="s">
        <v>33</v>
      </c>
      <c r="D13547" t="s">
        <v>17</v>
      </c>
      <c r="E13547" t="s">
        <v>12</v>
      </c>
      <c r="F13547">
        <v>49246131</v>
      </c>
      <c r="G13547">
        <v>49246202</v>
      </c>
      <c r="H13547">
        <v>49246131</v>
      </c>
      <c r="I13547">
        <v>49246202</v>
      </c>
    </row>
    <row r="13548" spans="1:9" x14ac:dyDescent="0.2">
      <c r="A13548" t="str">
        <f>"Nav3"</f>
        <v>Nav3</v>
      </c>
      <c r="B13548" t="s">
        <v>4363</v>
      </c>
      <c r="C13548" t="s">
        <v>15</v>
      </c>
      <c r="D13548" t="s">
        <v>11</v>
      </c>
      <c r="E13548" t="s">
        <v>20</v>
      </c>
      <c r="F13548">
        <v>110000218</v>
      </c>
      <c r="G13548">
        <v>110000218</v>
      </c>
      <c r="H13548">
        <v>110000218</v>
      </c>
      <c r="I13548">
        <v>110000218</v>
      </c>
    </row>
    <row r="13549" spans="1:9" x14ac:dyDescent="0.2">
      <c r="A13549" t="str">
        <f>"Nbas"</f>
        <v>Nbas</v>
      </c>
      <c r="B13549" t="s">
        <v>14</v>
      </c>
      <c r="C13549" t="s">
        <v>16</v>
      </c>
      <c r="D13549" t="s">
        <v>17</v>
      </c>
      <c r="E13549" t="s">
        <v>12</v>
      </c>
      <c r="F13549">
        <v>13269111</v>
      </c>
      <c r="G13549">
        <v>13269154</v>
      </c>
      <c r="H13549">
        <v>13269111</v>
      </c>
      <c r="I13549">
        <v>13269154</v>
      </c>
    </row>
    <row r="13550" spans="1:9" x14ac:dyDescent="0.2">
      <c r="A13550" t="str">
        <f>"Nbea"</f>
        <v>Nbea</v>
      </c>
      <c r="B13550" t="s">
        <v>14</v>
      </c>
      <c r="C13550" t="s">
        <v>22</v>
      </c>
      <c r="D13550" t="s">
        <v>11</v>
      </c>
      <c r="E13550" t="s">
        <v>12</v>
      </c>
      <c r="F13550">
        <v>56183708</v>
      </c>
      <c r="G13550">
        <v>56183757</v>
      </c>
      <c r="H13550">
        <v>56183678</v>
      </c>
      <c r="I13550">
        <v>56183695</v>
      </c>
    </row>
    <row r="13551" spans="1:9" x14ac:dyDescent="0.2">
      <c r="A13551" t="str">
        <f>"Nbeal1"</f>
        <v>Nbeal1</v>
      </c>
      <c r="B13551" t="s">
        <v>9</v>
      </c>
      <c r="C13551" t="s">
        <v>19</v>
      </c>
      <c r="D13551" t="s">
        <v>17</v>
      </c>
      <c r="E13551" t="s">
        <v>12</v>
      </c>
      <c r="F13551">
        <v>60181581</v>
      </c>
      <c r="G13551">
        <v>60181591</v>
      </c>
      <c r="H13551">
        <v>60181581</v>
      </c>
      <c r="I13551">
        <v>60181591</v>
      </c>
    </row>
    <row r="13552" spans="1:9" x14ac:dyDescent="0.2">
      <c r="A13552" t="str">
        <f>"Nbeal1"</f>
        <v>Nbeal1</v>
      </c>
      <c r="B13552" t="s">
        <v>13</v>
      </c>
      <c r="C13552" t="s">
        <v>19</v>
      </c>
      <c r="D13552" t="s">
        <v>17</v>
      </c>
      <c r="E13552" t="s">
        <v>12</v>
      </c>
      <c r="F13552">
        <v>60180565</v>
      </c>
      <c r="G13552">
        <v>60180618</v>
      </c>
      <c r="H13552">
        <v>60180565</v>
      </c>
      <c r="I13552">
        <v>60180618</v>
      </c>
    </row>
    <row r="13553" spans="1:9" x14ac:dyDescent="0.2">
      <c r="A13553" t="str">
        <f>"Nbeal2"</f>
        <v>Nbeal2</v>
      </c>
      <c r="B13553" t="s">
        <v>14</v>
      </c>
      <c r="C13553" t="s">
        <v>24</v>
      </c>
      <c r="D13553" t="s">
        <v>11</v>
      </c>
      <c r="E13553" t="s">
        <v>12</v>
      </c>
      <c r="F13553">
        <v>110653957</v>
      </c>
      <c r="G13553">
        <v>110654005</v>
      </c>
      <c r="H13553">
        <v>110654169</v>
      </c>
      <c r="I13553">
        <v>110654212</v>
      </c>
    </row>
    <row r="13554" spans="1:9" x14ac:dyDescent="0.2">
      <c r="A13554" t="str">
        <f>"Nbl1"</f>
        <v>Nbl1</v>
      </c>
      <c r="B13554" t="s">
        <v>14</v>
      </c>
      <c r="C13554" t="s">
        <v>23</v>
      </c>
      <c r="D13554" t="s">
        <v>11</v>
      </c>
      <c r="E13554" t="s">
        <v>12</v>
      </c>
      <c r="F13554">
        <v>139092958</v>
      </c>
      <c r="G13554">
        <v>139092977</v>
      </c>
      <c r="H13554">
        <v>139093010</v>
      </c>
      <c r="I13554">
        <v>139093021</v>
      </c>
    </row>
    <row r="13555" spans="1:9" x14ac:dyDescent="0.2">
      <c r="A13555" t="str">
        <f>"Nbn"</f>
        <v>Nbn</v>
      </c>
      <c r="B13555" t="s">
        <v>14</v>
      </c>
      <c r="C13555" t="s">
        <v>23</v>
      </c>
      <c r="D13555" t="s">
        <v>17</v>
      </c>
      <c r="E13555" t="s">
        <v>12</v>
      </c>
      <c r="F13555">
        <v>15957923</v>
      </c>
      <c r="G13555">
        <v>15958016</v>
      </c>
      <c r="H13555">
        <v>15958057</v>
      </c>
      <c r="I13555">
        <v>15958060</v>
      </c>
    </row>
    <row r="13556" spans="1:9" x14ac:dyDescent="0.2">
      <c r="A13556" t="str">
        <f>"Nbr1"</f>
        <v>Nbr1</v>
      </c>
      <c r="B13556" t="s">
        <v>14</v>
      </c>
      <c r="C13556" t="s">
        <v>27</v>
      </c>
      <c r="D13556" t="s">
        <v>17</v>
      </c>
      <c r="E13556" t="s">
        <v>12</v>
      </c>
      <c r="F13556">
        <v>101552849</v>
      </c>
      <c r="G13556">
        <v>101552874</v>
      </c>
      <c r="H13556">
        <v>101552188</v>
      </c>
      <c r="I13556">
        <v>101552207</v>
      </c>
    </row>
    <row r="13557" spans="1:9" x14ac:dyDescent="0.2">
      <c r="A13557" t="str">
        <f>"Ncald"</f>
        <v>Ncald</v>
      </c>
      <c r="B13557" t="s">
        <v>9</v>
      </c>
      <c r="C13557" t="s">
        <v>25</v>
      </c>
      <c r="D13557" t="s">
        <v>11</v>
      </c>
      <c r="E13557" t="s">
        <v>12</v>
      </c>
      <c r="F13557">
        <v>37459327</v>
      </c>
      <c r="G13557">
        <v>37459380</v>
      </c>
      <c r="H13557">
        <v>37459327</v>
      </c>
      <c r="I13557">
        <v>37459380</v>
      </c>
    </row>
    <row r="13558" spans="1:9" x14ac:dyDescent="0.2">
      <c r="A13558" t="str">
        <f>"Ncald"</f>
        <v>Ncald</v>
      </c>
      <c r="B13558" t="s">
        <v>13</v>
      </c>
      <c r="C13558" t="s">
        <v>25</v>
      </c>
      <c r="D13558" t="s">
        <v>11</v>
      </c>
      <c r="E13558" t="s">
        <v>12</v>
      </c>
      <c r="F13558">
        <v>37792019</v>
      </c>
      <c r="G13558">
        <v>37792036</v>
      </c>
      <c r="H13558">
        <v>37792019</v>
      </c>
      <c r="I13558">
        <v>37792036</v>
      </c>
    </row>
    <row r="13559" spans="1:9" x14ac:dyDescent="0.2">
      <c r="A13559" t="str">
        <f>"Ncam1"</f>
        <v>Ncam1</v>
      </c>
      <c r="B13559" t="s">
        <v>14</v>
      </c>
      <c r="C13559" t="s">
        <v>24</v>
      </c>
      <c r="D13559" t="s">
        <v>11</v>
      </c>
      <c r="E13559" t="s">
        <v>12</v>
      </c>
      <c r="F13559">
        <v>49798905</v>
      </c>
      <c r="G13559">
        <v>49798931</v>
      </c>
      <c r="H13559">
        <v>49798821</v>
      </c>
      <c r="I13559">
        <v>49798855</v>
      </c>
    </row>
    <row r="13560" spans="1:9" x14ac:dyDescent="0.2">
      <c r="A13560" t="str">
        <f>"Ncam2"</f>
        <v>Ncam2</v>
      </c>
      <c r="B13560" t="s">
        <v>14</v>
      </c>
      <c r="C13560" t="s">
        <v>31</v>
      </c>
      <c r="D13560" t="s">
        <v>17</v>
      </c>
      <c r="E13560" t="s">
        <v>12</v>
      </c>
      <c r="F13560">
        <v>81200747</v>
      </c>
      <c r="G13560">
        <v>81200766</v>
      </c>
      <c r="H13560">
        <v>81200664</v>
      </c>
      <c r="I13560">
        <v>81200680</v>
      </c>
    </row>
    <row r="13561" spans="1:9" x14ac:dyDescent="0.2">
      <c r="A13561" t="str">
        <f>"Ncan"</f>
        <v>Ncan</v>
      </c>
      <c r="B13561" t="s">
        <v>14</v>
      </c>
      <c r="C13561" t="s">
        <v>30</v>
      </c>
      <c r="D13561" t="s">
        <v>11</v>
      </c>
      <c r="E13561" t="s">
        <v>12</v>
      </c>
      <c r="F13561">
        <v>70120816</v>
      </c>
      <c r="G13561">
        <v>70120832</v>
      </c>
      <c r="H13561">
        <v>70120816</v>
      </c>
      <c r="I13561">
        <v>70120832</v>
      </c>
    </row>
    <row r="13562" spans="1:9" x14ac:dyDescent="0.2">
      <c r="A13562" t="str">
        <f>"Ncapd2"</f>
        <v>Ncapd2</v>
      </c>
      <c r="B13562" t="s">
        <v>14</v>
      </c>
      <c r="C13562" t="s">
        <v>32</v>
      </c>
      <c r="D13562" t="s">
        <v>11</v>
      </c>
      <c r="E13562" t="s">
        <v>12</v>
      </c>
      <c r="F13562">
        <v>125191535</v>
      </c>
      <c r="G13562">
        <v>125191620</v>
      </c>
      <c r="H13562">
        <v>125191621</v>
      </c>
      <c r="I13562">
        <v>125191663</v>
      </c>
    </row>
    <row r="13563" spans="1:9" x14ac:dyDescent="0.2">
      <c r="A13563" t="str">
        <f>"Ncapd3"</f>
        <v>Ncapd3</v>
      </c>
      <c r="B13563" t="s">
        <v>14</v>
      </c>
      <c r="C13563" t="s">
        <v>24</v>
      </c>
      <c r="D13563" t="s">
        <v>17</v>
      </c>
      <c r="E13563" t="s">
        <v>12</v>
      </c>
      <c r="F13563">
        <v>27030159</v>
      </c>
      <c r="G13563">
        <v>27030197</v>
      </c>
      <c r="H13563">
        <v>27030159</v>
      </c>
      <c r="I13563">
        <v>27030197</v>
      </c>
    </row>
    <row r="13564" spans="1:9" x14ac:dyDescent="0.2">
      <c r="A13564" t="str">
        <f>"Ncapg"</f>
        <v>Ncapg</v>
      </c>
      <c r="B13564" t="s">
        <v>14</v>
      </c>
      <c r="C13564" t="s">
        <v>46</v>
      </c>
      <c r="D13564" t="s">
        <v>17</v>
      </c>
      <c r="E13564" t="s">
        <v>12</v>
      </c>
      <c r="F13564">
        <v>45669907</v>
      </c>
      <c r="G13564">
        <v>45669945</v>
      </c>
      <c r="H13564">
        <v>45669884</v>
      </c>
      <c r="I13564">
        <v>45669901</v>
      </c>
    </row>
    <row r="13565" spans="1:9" x14ac:dyDescent="0.2">
      <c r="A13565" t="str">
        <f>"Ncapg2"</f>
        <v>Ncapg2</v>
      </c>
      <c r="B13565" t="s">
        <v>14</v>
      </c>
      <c r="C13565" t="s">
        <v>16</v>
      </c>
      <c r="D13565" t="s">
        <v>17</v>
      </c>
      <c r="E13565" t="s">
        <v>12</v>
      </c>
      <c r="F13565">
        <v>116405397</v>
      </c>
      <c r="G13565">
        <v>116405466</v>
      </c>
      <c r="H13565">
        <v>116405341</v>
      </c>
      <c r="I13565">
        <v>116405363</v>
      </c>
    </row>
    <row r="13566" spans="1:9" x14ac:dyDescent="0.2">
      <c r="A13566" t="str">
        <f>"Ncaph"</f>
        <v>Ncaph</v>
      </c>
      <c r="B13566" t="s">
        <v>14</v>
      </c>
      <c r="C13566" t="s">
        <v>26</v>
      </c>
      <c r="D13566" t="s">
        <v>11</v>
      </c>
      <c r="E13566" t="s">
        <v>12</v>
      </c>
      <c r="F13566">
        <v>127133909</v>
      </c>
      <c r="G13566">
        <v>127133952</v>
      </c>
      <c r="H13566">
        <v>127133884</v>
      </c>
      <c r="I13566">
        <v>127133908</v>
      </c>
    </row>
    <row r="13567" spans="1:9" x14ac:dyDescent="0.2">
      <c r="A13567" t="str">
        <f>"Ncaph2"</f>
        <v>Ncaph2</v>
      </c>
      <c r="B13567" t="s">
        <v>14</v>
      </c>
      <c r="C13567" t="s">
        <v>25</v>
      </c>
      <c r="D13567" t="s">
        <v>17</v>
      </c>
      <c r="E13567" t="s">
        <v>12</v>
      </c>
      <c r="F13567">
        <v>89355755</v>
      </c>
      <c r="G13567">
        <v>89355782</v>
      </c>
      <c r="H13567">
        <v>89355730</v>
      </c>
      <c r="I13567">
        <v>89355741</v>
      </c>
    </row>
    <row r="13568" spans="1:9" x14ac:dyDescent="0.2">
      <c r="A13568" t="str">
        <f>"Ncbp1"</f>
        <v>Ncbp1</v>
      </c>
      <c r="B13568" t="s">
        <v>14</v>
      </c>
      <c r="C13568" t="s">
        <v>23</v>
      </c>
      <c r="D13568" t="s">
        <v>17</v>
      </c>
      <c r="E13568" t="s">
        <v>12</v>
      </c>
      <c r="F13568">
        <v>46138712</v>
      </c>
      <c r="G13568">
        <v>46138794</v>
      </c>
      <c r="H13568">
        <v>46138484</v>
      </c>
      <c r="I13568">
        <v>46138521</v>
      </c>
    </row>
    <row r="13569" spans="1:9" x14ac:dyDescent="0.2">
      <c r="A13569" t="str">
        <f>"Ncbp2"</f>
        <v>Ncbp2</v>
      </c>
      <c r="B13569" t="s">
        <v>14</v>
      </c>
      <c r="C13569" t="s">
        <v>31</v>
      </c>
      <c r="D13569" t="s">
        <v>17</v>
      </c>
      <c r="E13569" t="s">
        <v>12</v>
      </c>
      <c r="F13569">
        <v>31948572</v>
      </c>
      <c r="G13569">
        <v>31948618</v>
      </c>
      <c r="H13569">
        <v>31948624</v>
      </c>
      <c r="I13569">
        <v>31948641</v>
      </c>
    </row>
    <row r="13570" spans="1:9" x14ac:dyDescent="0.2">
      <c r="A13570" t="str">
        <f>"Nccrp1"</f>
        <v>Nccrp1</v>
      </c>
      <c r="B13570" t="s">
        <v>4364</v>
      </c>
      <c r="C13570" t="s">
        <v>33</v>
      </c>
      <c r="D13570" t="s">
        <v>11</v>
      </c>
      <c r="E13570" t="s">
        <v>20</v>
      </c>
      <c r="F13570">
        <v>28547253</v>
      </c>
      <c r="G13570">
        <v>28547253</v>
      </c>
      <c r="H13570">
        <v>28547253</v>
      </c>
      <c r="I13570">
        <v>28547253</v>
      </c>
    </row>
    <row r="13571" spans="1:9" x14ac:dyDescent="0.2">
      <c r="A13571" t="str">
        <f>"Ncdn"</f>
        <v>Ncdn</v>
      </c>
      <c r="B13571" t="s">
        <v>14</v>
      </c>
      <c r="C13571" t="s">
        <v>23</v>
      </c>
      <c r="D13571" t="s">
        <v>11</v>
      </c>
      <c r="E13571" t="s">
        <v>12</v>
      </c>
      <c r="F13571">
        <v>126753372</v>
      </c>
      <c r="G13571">
        <v>126753440</v>
      </c>
      <c r="H13571">
        <v>126753372</v>
      </c>
      <c r="I13571">
        <v>126753440</v>
      </c>
    </row>
    <row r="13572" spans="1:9" x14ac:dyDescent="0.2">
      <c r="A13572" t="str">
        <f>"Nceh1"</f>
        <v>Nceh1</v>
      </c>
      <c r="B13572" t="s">
        <v>14</v>
      </c>
      <c r="C13572" t="s">
        <v>22</v>
      </c>
      <c r="D13572" t="s">
        <v>17</v>
      </c>
      <c r="E13572" t="s">
        <v>12</v>
      </c>
      <c r="F13572">
        <v>27182994</v>
      </c>
      <c r="G13572">
        <v>27183017</v>
      </c>
      <c r="H13572">
        <v>27182973</v>
      </c>
      <c r="I13572">
        <v>27182986</v>
      </c>
    </row>
    <row r="13573" spans="1:9" x14ac:dyDescent="0.2">
      <c r="A13573" t="str">
        <f>"Ncf1"</f>
        <v>Ncf1</v>
      </c>
      <c r="B13573" t="s">
        <v>14</v>
      </c>
      <c r="C13573" t="s">
        <v>46</v>
      </c>
      <c r="D13573" t="s">
        <v>11</v>
      </c>
      <c r="E13573" t="s">
        <v>12</v>
      </c>
      <c r="F13573">
        <v>134229581</v>
      </c>
      <c r="G13573">
        <v>134229599</v>
      </c>
      <c r="H13573">
        <v>134229581</v>
      </c>
      <c r="I13573">
        <v>134229599</v>
      </c>
    </row>
    <row r="13574" spans="1:9" x14ac:dyDescent="0.2">
      <c r="A13574" t="str">
        <f>"Ncf2"</f>
        <v>Ncf2</v>
      </c>
      <c r="B13574" t="s">
        <v>14</v>
      </c>
      <c r="C13574" t="s">
        <v>19</v>
      </c>
      <c r="D13574" t="s">
        <v>17</v>
      </c>
      <c r="E13574" t="s">
        <v>12</v>
      </c>
      <c r="F13574">
        <v>152807827</v>
      </c>
      <c r="G13574">
        <v>152807876</v>
      </c>
      <c r="H13574">
        <v>152807918</v>
      </c>
      <c r="I13574">
        <v>152807934</v>
      </c>
    </row>
    <row r="13575" spans="1:9" x14ac:dyDescent="0.2">
      <c r="A13575" t="str">
        <f>"Ncf4"</f>
        <v>Ncf4</v>
      </c>
      <c r="B13575" t="s">
        <v>14</v>
      </c>
      <c r="C13575" t="s">
        <v>25</v>
      </c>
      <c r="D13575" t="s">
        <v>17</v>
      </c>
      <c r="E13575" t="s">
        <v>12</v>
      </c>
      <c r="F13575">
        <v>78244781</v>
      </c>
      <c r="G13575">
        <v>78244837</v>
      </c>
      <c r="H13575">
        <v>78244948</v>
      </c>
      <c r="I13575">
        <v>78245006</v>
      </c>
    </row>
    <row r="13576" spans="1:9" x14ac:dyDescent="0.2">
      <c r="A13576" t="str">
        <f>"Nck1"</f>
        <v>Nck1</v>
      </c>
      <c r="B13576" t="s">
        <v>14</v>
      </c>
      <c r="C13576" t="s">
        <v>24</v>
      </c>
      <c r="D13576" t="s">
        <v>11</v>
      </c>
      <c r="E13576" t="s">
        <v>12</v>
      </c>
      <c r="F13576">
        <v>100546093</v>
      </c>
      <c r="G13576">
        <v>100546139</v>
      </c>
      <c r="H13576">
        <v>100546054</v>
      </c>
      <c r="I13576">
        <v>100546092</v>
      </c>
    </row>
    <row r="13577" spans="1:9" x14ac:dyDescent="0.2">
      <c r="A13577" t="str">
        <f>"Nck2"</f>
        <v>Nck2</v>
      </c>
      <c r="B13577" t="s">
        <v>9</v>
      </c>
      <c r="C13577" t="s">
        <v>19</v>
      </c>
      <c r="D13577" t="s">
        <v>17</v>
      </c>
      <c r="E13577" t="s">
        <v>12</v>
      </c>
      <c r="F13577">
        <v>43445736</v>
      </c>
      <c r="G13577">
        <v>43445830</v>
      </c>
      <c r="H13577">
        <v>43445736</v>
      </c>
      <c r="I13577">
        <v>43445830</v>
      </c>
    </row>
    <row r="13578" spans="1:9" x14ac:dyDescent="0.2">
      <c r="A13578" t="str">
        <f>"Nck2"</f>
        <v>Nck2</v>
      </c>
      <c r="B13578" t="s">
        <v>13</v>
      </c>
      <c r="C13578" t="s">
        <v>19</v>
      </c>
      <c r="D13578" t="s">
        <v>17</v>
      </c>
      <c r="E13578" t="s">
        <v>12</v>
      </c>
      <c r="F13578">
        <v>43457248</v>
      </c>
      <c r="G13578">
        <v>43457282</v>
      </c>
      <c r="H13578">
        <v>43457248</v>
      </c>
      <c r="I13578">
        <v>43457282</v>
      </c>
    </row>
    <row r="13579" spans="1:9" x14ac:dyDescent="0.2">
      <c r="A13579" t="str">
        <f>"Nckap1"</f>
        <v>Nckap1</v>
      </c>
      <c r="B13579" t="s">
        <v>14</v>
      </c>
      <c r="C13579" t="s">
        <v>26</v>
      </c>
      <c r="D13579" t="s">
        <v>11</v>
      </c>
      <c r="E13579" t="s">
        <v>12</v>
      </c>
      <c r="F13579">
        <v>80581068</v>
      </c>
      <c r="G13579">
        <v>80581181</v>
      </c>
      <c r="H13579">
        <v>80581234</v>
      </c>
      <c r="I13579">
        <v>80581266</v>
      </c>
    </row>
    <row r="13580" spans="1:9" x14ac:dyDescent="0.2">
      <c r="A13580" t="str">
        <f>"Nckap1l"</f>
        <v>Nckap1l</v>
      </c>
      <c r="B13580" t="s">
        <v>9</v>
      </c>
      <c r="C13580" t="s">
        <v>25</v>
      </c>
      <c r="D13580" t="s">
        <v>17</v>
      </c>
      <c r="E13580" t="s">
        <v>12</v>
      </c>
      <c r="F13580">
        <v>103453782</v>
      </c>
      <c r="G13580">
        <v>103453860</v>
      </c>
      <c r="H13580">
        <v>103453782</v>
      </c>
      <c r="I13580">
        <v>103453860</v>
      </c>
    </row>
    <row r="13581" spans="1:9" x14ac:dyDescent="0.2">
      <c r="A13581" t="str">
        <f>"Nckap1l"</f>
        <v>Nckap1l</v>
      </c>
      <c r="B13581" t="s">
        <v>13</v>
      </c>
      <c r="C13581" t="s">
        <v>25</v>
      </c>
      <c r="D13581" t="s">
        <v>17</v>
      </c>
      <c r="E13581" t="s">
        <v>12</v>
      </c>
      <c r="F13581">
        <v>103479129</v>
      </c>
      <c r="G13581">
        <v>103479144</v>
      </c>
      <c r="H13581">
        <v>103479129</v>
      </c>
      <c r="I13581">
        <v>103479144</v>
      </c>
    </row>
    <row r="13582" spans="1:9" x14ac:dyDescent="0.2">
      <c r="A13582" t="str">
        <f>"Nckap5"</f>
        <v>Nckap5</v>
      </c>
      <c r="B13582" t="s">
        <v>4365</v>
      </c>
      <c r="C13582" t="s">
        <v>19</v>
      </c>
      <c r="D13582" t="s">
        <v>11</v>
      </c>
      <c r="E13582" t="s">
        <v>35</v>
      </c>
      <c r="F13582">
        <v>126830786</v>
      </c>
      <c r="G13582">
        <v>126830798</v>
      </c>
      <c r="H13582">
        <v>126830428</v>
      </c>
      <c r="I13582">
        <v>126830437</v>
      </c>
    </row>
    <row r="13583" spans="1:9" x14ac:dyDescent="0.2">
      <c r="A13583" t="str">
        <f>"Nckap5"</f>
        <v>Nckap5</v>
      </c>
      <c r="B13583" t="s">
        <v>4366</v>
      </c>
      <c r="C13583" t="s">
        <v>19</v>
      </c>
      <c r="D13583" t="s">
        <v>11</v>
      </c>
      <c r="E13583" t="s">
        <v>35</v>
      </c>
      <c r="F13583">
        <v>126492953</v>
      </c>
      <c r="G13583">
        <v>126492963</v>
      </c>
      <c r="H13583">
        <v>126492726</v>
      </c>
      <c r="I13583">
        <v>126492749</v>
      </c>
    </row>
    <row r="13584" spans="1:9" x14ac:dyDescent="0.2">
      <c r="A13584" t="str">
        <f>"Nckap5l"</f>
        <v>Nckap5l</v>
      </c>
      <c r="B13584" t="s">
        <v>14</v>
      </c>
      <c r="C13584" t="s">
        <v>25</v>
      </c>
      <c r="D13584" t="s">
        <v>11</v>
      </c>
      <c r="E13584" t="s">
        <v>12</v>
      </c>
      <c r="F13584">
        <v>99457720</v>
      </c>
      <c r="G13584">
        <v>99457736</v>
      </c>
      <c r="H13584">
        <v>99457758</v>
      </c>
      <c r="I13584">
        <v>99457777</v>
      </c>
    </row>
    <row r="13585" spans="1:9" x14ac:dyDescent="0.2">
      <c r="A13585" t="str">
        <f>"Nckipsd"</f>
        <v>Nckipsd</v>
      </c>
      <c r="B13585" t="s">
        <v>14</v>
      </c>
      <c r="C13585" t="s">
        <v>24</v>
      </c>
      <c r="D13585" t="s">
        <v>17</v>
      </c>
      <c r="E13585" t="s">
        <v>12</v>
      </c>
      <c r="F13585">
        <v>108808356</v>
      </c>
      <c r="G13585">
        <v>108808441</v>
      </c>
      <c r="H13585">
        <v>108808340</v>
      </c>
      <c r="I13585">
        <v>108808351</v>
      </c>
    </row>
    <row r="13586" spans="1:9" x14ac:dyDescent="0.2">
      <c r="A13586" t="str">
        <f>"Ncl"</f>
        <v>Ncl</v>
      </c>
      <c r="B13586" t="s">
        <v>14</v>
      </c>
      <c r="C13586" t="s">
        <v>19</v>
      </c>
      <c r="D13586" t="s">
        <v>11</v>
      </c>
      <c r="E13586" t="s">
        <v>12</v>
      </c>
      <c r="F13586">
        <v>86359358</v>
      </c>
      <c r="G13586">
        <v>86359381</v>
      </c>
      <c r="H13586">
        <v>86359481</v>
      </c>
      <c r="I13586">
        <v>86359486</v>
      </c>
    </row>
    <row r="13587" spans="1:9" x14ac:dyDescent="0.2">
      <c r="A13587" t="str">
        <f>"Ncln"</f>
        <v>Ncln</v>
      </c>
      <c r="B13587" t="s">
        <v>14</v>
      </c>
      <c r="C13587" t="s">
        <v>15</v>
      </c>
      <c r="D13587" t="s">
        <v>11</v>
      </c>
      <c r="E13587" t="s">
        <v>12</v>
      </c>
      <c r="F13587">
        <v>81496329</v>
      </c>
      <c r="G13587">
        <v>81496387</v>
      </c>
      <c r="H13587">
        <v>81496313</v>
      </c>
      <c r="I13587">
        <v>81496324</v>
      </c>
    </row>
    <row r="13588" spans="1:9" x14ac:dyDescent="0.2">
      <c r="A13588" t="str">
        <f>"Ncmap"</f>
        <v>Ncmap</v>
      </c>
      <c r="B13588" t="s">
        <v>9</v>
      </c>
      <c r="C13588" t="s">
        <v>23</v>
      </c>
      <c r="D13588" t="s">
        <v>11</v>
      </c>
      <c r="E13588" t="s">
        <v>67</v>
      </c>
      <c r="F13588">
        <v>135398195</v>
      </c>
      <c r="G13588">
        <v>135398235</v>
      </c>
      <c r="H13588">
        <v>135398195</v>
      </c>
      <c r="I13588">
        <v>135398235</v>
      </c>
    </row>
    <row r="13589" spans="1:9" x14ac:dyDescent="0.2">
      <c r="A13589" t="str">
        <f>"Ncmap"</f>
        <v>Ncmap</v>
      </c>
      <c r="B13589" t="s">
        <v>13</v>
      </c>
      <c r="C13589" t="s">
        <v>23</v>
      </c>
      <c r="D13589" t="s">
        <v>11</v>
      </c>
      <c r="E13589" t="s">
        <v>67</v>
      </c>
      <c r="F13589">
        <v>135385647</v>
      </c>
      <c r="G13589">
        <v>135385662</v>
      </c>
      <c r="H13589">
        <v>135385647</v>
      </c>
      <c r="I13589">
        <v>135385662</v>
      </c>
    </row>
    <row r="13590" spans="1:9" x14ac:dyDescent="0.2">
      <c r="A13590" t="str">
        <f>"Ncoa1"</f>
        <v>Ncoa1</v>
      </c>
      <c r="B13590" t="s">
        <v>14</v>
      </c>
      <c r="C13590" t="s">
        <v>16</v>
      </c>
      <c r="D13590" t="s">
        <v>11</v>
      </c>
      <c r="E13590" t="s">
        <v>12</v>
      </c>
      <c r="F13590">
        <v>4477138</v>
      </c>
      <c r="G13590">
        <v>4477196</v>
      </c>
      <c r="H13590">
        <v>4477138</v>
      </c>
      <c r="I13590">
        <v>4477196</v>
      </c>
    </row>
    <row r="13591" spans="1:9" x14ac:dyDescent="0.2">
      <c r="A13591" t="str">
        <f>"Ncoa2"</f>
        <v>Ncoa2</v>
      </c>
      <c r="B13591" t="s">
        <v>9</v>
      </c>
      <c r="C13591" t="s">
        <v>19</v>
      </c>
      <c r="D13591" t="s">
        <v>11</v>
      </c>
      <c r="E13591" t="s">
        <v>12</v>
      </c>
      <c r="F13591">
        <v>13374027</v>
      </c>
      <c r="G13591">
        <v>13374069</v>
      </c>
      <c r="H13591">
        <v>13374027</v>
      </c>
      <c r="I13591">
        <v>13374069</v>
      </c>
    </row>
    <row r="13592" spans="1:9" x14ac:dyDescent="0.2">
      <c r="A13592" t="str">
        <f>"Ncoa2"</f>
        <v>Ncoa2</v>
      </c>
      <c r="B13592" t="s">
        <v>13</v>
      </c>
      <c r="C13592" t="s">
        <v>19</v>
      </c>
      <c r="D13592" t="s">
        <v>11</v>
      </c>
      <c r="E13592" t="s">
        <v>12</v>
      </c>
      <c r="F13592">
        <v>13372434</v>
      </c>
      <c r="G13592">
        <v>13372457</v>
      </c>
      <c r="H13592">
        <v>13372434</v>
      </c>
      <c r="I13592">
        <v>13372457</v>
      </c>
    </row>
    <row r="13593" spans="1:9" x14ac:dyDescent="0.2">
      <c r="A13593" t="str">
        <f>"Ncoa3"</f>
        <v>Ncoa3</v>
      </c>
      <c r="B13593" t="s">
        <v>14</v>
      </c>
      <c r="C13593" t="s">
        <v>26</v>
      </c>
      <c r="D13593" t="s">
        <v>17</v>
      </c>
      <c r="E13593" t="s">
        <v>12</v>
      </c>
      <c r="F13593">
        <v>165992625</v>
      </c>
      <c r="G13593">
        <v>165992667</v>
      </c>
      <c r="H13593">
        <v>165992608</v>
      </c>
      <c r="I13593">
        <v>165992619</v>
      </c>
    </row>
    <row r="13594" spans="1:9" x14ac:dyDescent="0.2">
      <c r="A13594" t="str">
        <f>"Ncoa4"</f>
        <v>Ncoa4</v>
      </c>
      <c r="B13594" t="s">
        <v>9</v>
      </c>
      <c r="C13594" t="s">
        <v>41</v>
      </c>
      <c r="D13594" t="s">
        <v>17</v>
      </c>
      <c r="E13594" t="s">
        <v>12</v>
      </c>
      <c r="F13594">
        <v>32159901</v>
      </c>
      <c r="G13594">
        <v>32159989</v>
      </c>
      <c r="H13594">
        <v>32159901</v>
      </c>
      <c r="I13594">
        <v>32159989</v>
      </c>
    </row>
    <row r="13595" spans="1:9" x14ac:dyDescent="0.2">
      <c r="A13595" t="str">
        <f>"Ncoa4"</f>
        <v>Ncoa4</v>
      </c>
      <c r="B13595" t="s">
        <v>13</v>
      </c>
      <c r="C13595" t="s">
        <v>41</v>
      </c>
      <c r="D13595" t="s">
        <v>17</v>
      </c>
      <c r="E13595" t="s">
        <v>12</v>
      </c>
      <c r="F13595">
        <v>32165784</v>
      </c>
      <c r="G13595">
        <v>32165798</v>
      </c>
      <c r="H13595">
        <v>32165784</v>
      </c>
      <c r="I13595">
        <v>32165798</v>
      </c>
    </row>
    <row r="13596" spans="1:9" x14ac:dyDescent="0.2">
      <c r="A13596" t="str">
        <f>"Ncoa5"</f>
        <v>Ncoa5</v>
      </c>
      <c r="B13596" t="s">
        <v>14</v>
      </c>
      <c r="C13596" t="s">
        <v>26</v>
      </c>
      <c r="D13596" t="s">
        <v>11</v>
      </c>
      <c r="E13596" t="s">
        <v>12</v>
      </c>
      <c r="F13596">
        <v>165034770</v>
      </c>
      <c r="G13596">
        <v>165034820</v>
      </c>
      <c r="H13596">
        <v>165034821</v>
      </c>
      <c r="I13596">
        <v>165034859</v>
      </c>
    </row>
    <row r="13597" spans="1:9" x14ac:dyDescent="0.2">
      <c r="A13597" t="str">
        <f>"Ncoa6"</f>
        <v>Ncoa6</v>
      </c>
      <c r="B13597" t="s">
        <v>14</v>
      </c>
      <c r="C13597" t="s">
        <v>26</v>
      </c>
      <c r="D13597" t="s">
        <v>11</v>
      </c>
      <c r="E13597" t="s">
        <v>12</v>
      </c>
      <c r="F13597">
        <v>155473788</v>
      </c>
      <c r="G13597">
        <v>155473835</v>
      </c>
      <c r="H13597">
        <v>155473764</v>
      </c>
      <c r="I13597">
        <v>155473778</v>
      </c>
    </row>
    <row r="13598" spans="1:9" x14ac:dyDescent="0.2">
      <c r="A13598" t="str">
        <f>"Ncoa7"</f>
        <v>Ncoa7</v>
      </c>
      <c r="B13598" t="s">
        <v>14</v>
      </c>
      <c r="C13598" t="s">
        <v>15</v>
      </c>
      <c r="D13598" t="s">
        <v>11</v>
      </c>
      <c r="E13598" t="s">
        <v>12</v>
      </c>
      <c r="F13598">
        <v>30803075</v>
      </c>
      <c r="G13598">
        <v>30803154</v>
      </c>
      <c r="H13598">
        <v>30802884</v>
      </c>
      <c r="I13598">
        <v>30802946</v>
      </c>
    </row>
    <row r="13599" spans="1:9" x14ac:dyDescent="0.2">
      <c r="A13599" t="str">
        <f>"Ncor1"</f>
        <v>Ncor1</v>
      </c>
      <c r="B13599" t="s">
        <v>9</v>
      </c>
      <c r="C13599" t="s">
        <v>27</v>
      </c>
      <c r="D13599" t="s">
        <v>11</v>
      </c>
      <c r="E13599" t="s">
        <v>12</v>
      </c>
      <c r="F13599">
        <v>62457289</v>
      </c>
      <c r="G13599">
        <v>62457332</v>
      </c>
      <c r="H13599">
        <v>62457289</v>
      </c>
      <c r="I13599">
        <v>62457332</v>
      </c>
    </row>
    <row r="13600" spans="1:9" x14ac:dyDescent="0.2">
      <c r="A13600" t="str">
        <f>"Ncor1"</f>
        <v>Ncor1</v>
      </c>
      <c r="B13600" t="s">
        <v>13</v>
      </c>
      <c r="C13600" t="s">
        <v>27</v>
      </c>
      <c r="D13600" t="s">
        <v>11</v>
      </c>
      <c r="E13600" t="s">
        <v>12</v>
      </c>
      <c r="F13600">
        <v>62458508</v>
      </c>
      <c r="G13600">
        <v>62458548</v>
      </c>
      <c r="H13600">
        <v>62458508</v>
      </c>
      <c r="I13600">
        <v>62458548</v>
      </c>
    </row>
    <row r="13601" spans="1:9" x14ac:dyDescent="0.2">
      <c r="A13601" t="str">
        <f>"Ncor2"</f>
        <v>Ncor2</v>
      </c>
      <c r="B13601" t="s">
        <v>14</v>
      </c>
      <c r="C13601" t="s">
        <v>46</v>
      </c>
      <c r="D13601" t="s">
        <v>11</v>
      </c>
      <c r="E13601" t="s">
        <v>12</v>
      </c>
      <c r="F13601">
        <v>125179155</v>
      </c>
      <c r="G13601">
        <v>125179229</v>
      </c>
      <c r="H13601">
        <v>125179155</v>
      </c>
      <c r="I13601">
        <v>125179229</v>
      </c>
    </row>
    <row r="13602" spans="1:9" x14ac:dyDescent="0.2">
      <c r="A13602" t="str">
        <f>"Ncr1"</f>
        <v>Ncr1</v>
      </c>
      <c r="B13602" t="s">
        <v>14</v>
      </c>
      <c r="C13602" t="s">
        <v>33</v>
      </c>
      <c r="D13602" t="s">
        <v>17</v>
      </c>
      <c r="E13602" t="s">
        <v>12</v>
      </c>
      <c r="F13602">
        <v>4337710</v>
      </c>
      <c r="G13602">
        <v>4337736</v>
      </c>
      <c r="H13602">
        <v>4337739</v>
      </c>
      <c r="I13602">
        <v>4337761</v>
      </c>
    </row>
    <row r="13603" spans="1:9" x14ac:dyDescent="0.2">
      <c r="A13603" t="str">
        <f>"Ncs1"</f>
        <v>Ncs1</v>
      </c>
      <c r="B13603" t="s">
        <v>14</v>
      </c>
      <c r="C13603" t="s">
        <v>26</v>
      </c>
      <c r="D13603" t="s">
        <v>17</v>
      </c>
      <c r="E13603" t="s">
        <v>12</v>
      </c>
      <c r="F13603">
        <v>31245801</v>
      </c>
      <c r="G13603">
        <v>31245900</v>
      </c>
      <c r="H13603">
        <v>31246069</v>
      </c>
      <c r="I13603">
        <v>31246120</v>
      </c>
    </row>
    <row r="13604" spans="1:9" x14ac:dyDescent="0.2">
      <c r="A13604" t="str">
        <f>"Ncstn"</f>
        <v>Ncstn</v>
      </c>
      <c r="B13604" t="s">
        <v>14</v>
      </c>
      <c r="C13604" t="s">
        <v>19</v>
      </c>
      <c r="D13604" t="s">
        <v>11</v>
      </c>
      <c r="E13604" t="s">
        <v>12</v>
      </c>
      <c r="F13604">
        <v>172082678</v>
      </c>
      <c r="G13604">
        <v>172082720</v>
      </c>
      <c r="H13604">
        <v>172082757</v>
      </c>
      <c r="I13604">
        <v>172082770</v>
      </c>
    </row>
    <row r="13605" spans="1:9" x14ac:dyDescent="0.2">
      <c r="A13605" t="str">
        <f>"Ndc1"</f>
        <v>Ndc1</v>
      </c>
      <c r="B13605" t="s">
        <v>14</v>
      </c>
      <c r="C13605" t="s">
        <v>23</v>
      </c>
      <c r="D13605" t="s">
        <v>17</v>
      </c>
      <c r="E13605" t="s">
        <v>67</v>
      </c>
      <c r="F13605">
        <v>107368039</v>
      </c>
      <c r="G13605">
        <v>107368057</v>
      </c>
      <c r="H13605">
        <v>107368004</v>
      </c>
      <c r="I13605">
        <v>107368038</v>
      </c>
    </row>
    <row r="13606" spans="1:9" x14ac:dyDescent="0.2">
      <c r="A13606" t="str">
        <f>"Ndc80"</f>
        <v>Ndc80</v>
      </c>
      <c r="B13606" t="s">
        <v>14</v>
      </c>
      <c r="C13606" t="s">
        <v>28</v>
      </c>
      <c r="D13606" t="s">
        <v>11</v>
      </c>
      <c r="E13606" t="s">
        <v>12</v>
      </c>
      <c r="F13606">
        <v>71526758</v>
      </c>
      <c r="G13606">
        <v>71526817</v>
      </c>
      <c r="H13606">
        <v>71526819</v>
      </c>
      <c r="I13606">
        <v>71526837</v>
      </c>
    </row>
    <row r="13607" spans="1:9" x14ac:dyDescent="0.2">
      <c r="A13607" t="str">
        <f>"Nde1"</f>
        <v>Nde1</v>
      </c>
      <c r="B13607" t="s">
        <v>14</v>
      </c>
      <c r="C13607" t="s">
        <v>31</v>
      </c>
      <c r="D13607" t="s">
        <v>17</v>
      </c>
      <c r="E13607" t="s">
        <v>12</v>
      </c>
      <c r="F13607">
        <v>14163316</v>
      </c>
      <c r="G13607">
        <v>14163352</v>
      </c>
      <c r="H13607">
        <v>14163287</v>
      </c>
      <c r="I13607">
        <v>14163307</v>
      </c>
    </row>
    <row r="13608" spans="1:9" x14ac:dyDescent="0.2">
      <c r="A13608" t="str">
        <f>"Ndel1"</f>
        <v>Ndel1</v>
      </c>
      <c r="B13608" t="s">
        <v>14</v>
      </c>
      <c r="C13608" t="s">
        <v>27</v>
      </c>
      <c r="D13608" t="s">
        <v>11</v>
      </c>
      <c r="E13608" t="s">
        <v>12</v>
      </c>
      <c r="F13608">
        <v>68853019</v>
      </c>
      <c r="G13608">
        <v>68853101</v>
      </c>
      <c r="H13608">
        <v>68853119</v>
      </c>
      <c r="I13608">
        <v>68853140</v>
      </c>
    </row>
    <row r="13609" spans="1:9" x14ac:dyDescent="0.2">
      <c r="A13609" t="str">
        <f>"Ndfip1"</f>
        <v>Ndfip1</v>
      </c>
      <c r="B13609" t="s">
        <v>14</v>
      </c>
      <c r="C13609" t="s">
        <v>43</v>
      </c>
      <c r="D13609" t="s">
        <v>17</v>
      </c>
      <c r="E13609" t="s">
        <v>12</v>
      </c>
      <c r="F13609">
        <v>38418946</v>
      </c>
      <c r="G13609">
        <v>38418985</v>
      </c>
      <c r="H13609">
        <v>38418927</v>
      </c>
      <c r="I13609">
        <v>38418938</v>
      </c>
    </row>
    <row r="13610" spans="1:9" x14ac:dyDescent="0.2">
      <c r="A13610" t="str">
        <f>"Ndfip2"</f>
        <v>Ndfip2</v>
      </c>
      <c r="B13610" t="s">
        <v>14</v>
      </c>
      <c r="C13610" t="s">
        <v>41</v>
      </c>
      <c r="D13610" t="s">
        <v>17</v>
      </c>
      <c r="E13610" t="s">
        <v>12</v>
      </c>
      <c r="F13610">
        <v>105258712</v>
      </c>
      <c r="G13610">
        <v>105258758</v>
      </c>
      <c r="H13610">
        <v>105258849</v>
      </c>
      <c r="I13610">
        <v>105258890</v>
      </c>
    </row>
    <row r="13611" spans="1:9" x14ac:dyDescent="0.2">
      <c r="A13611" t="str">
        <f>"Ndn"</f>
        <v>Ndn</v>
      </c>
      <c r="B13611" t="s">
        <v>14</v>
      </c>
      <c r="C13611" t="s">
        <v>33</v>
      </c>
      <c r="D13611" t="s">
        <v>17</v>
      </c>
      <c r="E13611" t="s">
        <v>12</v>
      </c>
      <c r="F13611">
        <v>62348278</v>
      </c>
      <c r="G13611">
        <v>62348332</v>
      </c>
      <c r="H13611">
        <v>62348278</v>
      </c>
      <c r="I13611">
        <v>62348332</v>
      </c>
    </row>
    <row r="13612" spans="1:9" x14ac:dyDescent="0.2">
      <c r="A13612" t="str">
        <f>"Ndnf"</f>
        <v>Ndnf</v>
      </c>
      <c r="B13612" t="s">
        <v>14</v>
      </c>
      <c r="C13612" t="s">
        <v>32</v>
      </c>
      <c r="D13612" t="s">
        <v>17</v>
      </c>
      <c r="E13612" t="s">
        <v>67</v>
      </c>
      <c r="F13612">
        <v>65671603</v>
      </c>
      <c r="G13612">
        <v>65671618</v>
      </c>
      <c r="H13612">
        <v>65671756</v>
      </c>
      <c r="I13612">
        <v>65671770</v>
      </c>
    </row>
    <row r="13613" spans="1:9" x14ac:dyDescent="0.2">
      <c r="A13613" t="str">
        <f>"Ndnl2"</f>
        <v>Ndnl2</v>
      </c>
      <c r="B13613" t="s">
        <v>14</v>
      </c>
      <c r="C13613" t="s">
        <v>33</v>
      </c>
      <c r="D13613" t="s">
        <v>11</v>
      </c>
      <c r="E13613" t="s">
        <v>12</v>
      </c>
      <c r="F13613">
        <v>64872993</v>
      </c>
      <c r="G13613">
        <v>64873037</v>
      </c>
      <c r="H13613">
        <v>64872959</v>
      </c>
      <c r="I13613">
        <v>64872987</v>
      </c>
    </row>
    <row r="13614" spans="1:9" x14ac:dyDescent="0.2">
      <c r="A13614" t="str">
        <f>"Ndor1"</f>
        <v>Ndor1</v>
      </c>
      <c r="B13614" t="s">
        <v>14</v>
      </c>
      <c r="C13614" t="s">
        <v>26</v>
      </c>
      <c r="D13614" t="s">
        <v>11</v>
      </c>
      <c r="E13614" t="s">
        <v>12</v>
      </c>
      <c r="F13614">
        <v>25255348</v>
      </c>
      <c r="G13614">
        <v>25255397</v>
      </c>
      <c r="H13614">
        <v>25255413</v>
      </c>
      <c r="I13614">
        <v>25255423</v>
      </c>
    </row>
    <row r="13615" spans="1:9" x14ac:dyDescent="0.2">
      <c r="A13615" t="str">
        <f>"Ndp"</f>
        <v>Ndp</v>
      </c>
      <c r="B13615" t="s">
        <v>14</v>
      </c>
      <c r="C13615" t="s">
        <v>37</v>
      </c>
      <c r="D13615" t="s">
        <v>11</v>
      </c>
      <c r="E13615" t="s">
        <v>12</v>
      </c>
      <c r="F13615">
        <v>16911466</v>
      </c>
      <c r="G13615">
        <v>16911478</v>
      </c>
      <c r="H13615">
        <v>16911674</v>
      </c>
      <c r="I13615">
        <v>16911690</v>
      </c>
    </row>
    <row r="13616" spans="1:9" x14ac:dyDescent="0.2">
      <c r="A13616" t="str">
        <f>"Ndrg1"</f>
        <v>Ndrg1</v>
      </c>
      <c r="B13616" t="s">
        <v>14</v>
      </c>
      <c r="C13616" t="s">
        <v>25</v>
      </c>
      <c r="D13616" t="s">
        <v>11</v>
      </c>
      <c r="E13616" t="s">
        <v>12</v>
      </c>
      <c r="F13616">
        <v>66969632</v>
      </c>
      <c r="G13616">
        <v>66969647</v>
      </c>
      <c r="H13616">
        <v>66969736</v>
      </c>
      <c r="I13616">
        <v>66969756</v>
      </c>
    </row>
    <row r="13617" spans="1:9" x14ac:dyDescent="0.2">
      <c r="A13617" t="str">
        <f>"Ndrg2"</f>
        <v>Ndrg2</v>
      </c>
      <c r="B13617" t="s">
        <v>14</v>
      </c>
      <c r="C13617" t="s">
        <v>41</v>
      </c>
      <c r="D13617" t="s">
        <v>11</v>
      </c>
      <c r="E13617" t="s">
        <v>12</v>
      </c>
      <c r="F13617">
        <v>51913348</v>
      </c>
      <c r="G13617">
        <v>51913391</v>
      </c>
      <c r="H13617">
        <v>51913945</v>
      </c>
      <c r="I13617">
        <v>51914012</v>
      </c>
    </row>
    <row r="13618" spans="1:9" x14ac:dyDescent="0.2">
      <c r="A13618" t="str">
        <f>"Ndrg3"</f>
        <v>Ndrg3</v>
      </c>
      <c r="B13618" t="s">
        <v>14</v>
      </c>
      <c r="C13618" t="s">
        <v>26</v>
      </c>
      <c r="D13618" t="s">
        <v>11</v>
      </c>
      <c r="E13618" t="s">
        <v>12</v>
      </c>
      <c r="F13618">
        <v>156992021</v>
      </c>
      <c r="G13618">
        <v>156992119</v>
      </c>
      <c r="H13618">
        <v>156991806</v>
      </c>
      <c r="I13618">
        <v>156991835</v>
      </c>
    </row>
    <row r="13619" spans="1:9" x14ac:dyDescent="0.2">
      <c r="A13619" t="str">
        <f>"Ndrg4"</f>
        <v>Ndrg4</v>
      </c>
      <c r="B13619" t="s">
        <v>9</v>
      </c>
      <c r="C13619" t="s">
        <v>30</v>
      </c>
      <c r="D13619" t="s">
        <v>17</v>
      </c>
      <c r="E13619" t="s">
        <v>12</v>
      </c>
      <c r="F13619">
        <v>95703047</v>
      </c>
      <c r="G13619">
        <v>95703063</v>
      </c>
      <c r="H13619">
        <v>95703047</v>
      </c>
      <c r="I13619">
        <v>95703063</v>
      </c>
    </row>
    <row r="13620" spans="1:9" x14ac:dyDescent="0.2">
      <c r="A13620" t="str">
        <f>"Ndrg4"</f>
        <v>Ndrg4</v>
      </c>
      <c r="B13620" t="s">
        <v>13</v>
      </c>
      <c r="C13620" t="s">
        <v>30</v>
      </c>
      <c r="D13620" t="s">
        <v>17</v>
      </c>
      <c r="E13620" t="s">
        <v>12</v>
      </c>
      <c r="F13620">
        <v>95677745</v>
      </c>
      <c r="G13620">
        <v>95677808</v>
      </c>
      <c r="H13620">
        <v>95677745</v>
      </c>
      <c r="I13620">
        <v>95677808</v>
      </c>
    </row>
    <row r="13621" spans="1:9" x14ac:dyDescent="0.2">
      <c r="A13621" t="str">
        <f>"Ndst1"</f>
        <v>Ndst1</v>
      </c>
      <c r="B13621" t="s">
        <v>4367</v>
      </c>
      <c r="C13621" t="s">
        <v>43</v>
      </c>
      <c r="D13621" t="s">
        <v>11</v>
      </c>
      <c r="E13621" t="s">
        <v>20</v>
      </c>
      <c r="F13621">
        <v>60713388</v>
      </c>
      <c r="G13621">
        <v>60713388</v>
      </c>
      <c r="H13621">
        <v>60713388</v>
      </c>
      <c r="I13621">
        <v>60713388</v>
      </c>
    </row>
    <row r="13622" spans="1:9" x14ac:dyDescent="0.2">
      <c r="A13622" t="str">
        <f>"Ndst2"</f>
        <v>Ndst2</v>
      </c>
      <c r="B13622" t="s">
        <v>14</v>
      </c>
      <c r="C13622" t="s">
        <v>41</v>
      </c>
      <c r="D13622" t="s">
        <v>11</v>
      </c>
      <c r="E13622" t="s">
        <v>12</v>
      </c>
      <c r="F13622">
        <v>20734317</v>
      </c>
      <c r="G13622">
        <v>20734361</v>
      </c>
      <c r="H13622">
        <v>20734557</v>
      </c>
      <c r="I13622">
        <v>20734584</v>
      </c>
    </row>
    <row r="13623" spans="1:9" x14ac:dyDescent="0.2">
      <c r="A13623" t="str">
        <f>"Ndst3"</f>
        <v>Ndst3</v>
      </c>
      <c r="B13623" t="s">
        <v>14</v>
      </c>
      <c r="C13623" t="s">
        <v>22</v>
      </c>
      <c r="D13623" t="s">
        <v>11</v>
      </c>
      <c r="E13623" t="s">
        <v>12</v>
      </c>
      <c r="F13623">
        <v>123690741</v>
      </c>
      <c r="G13623">
        <v>123690800</v>
      </c>
      <c r="H13623">
        <v>123690806</v>
      </c>
      <c r="I13623">
        <v>123690847</v>
      </c>
    </row>
    <row r="13624" spans="1:9" x14ac:dyDescent="0.2">
      <c r="A13624" t="str">
        <f>"Ndst4"</f>
        <v>Ndst4</v>
      </c>
      <c r="B13624" t="s">
        <v>14</v>
      </c>
      <c r="C13624" t="s">
        <v>22</v>
      </c>
      <c r="D13624" t="s">
        <v>17</v>
      </c>
      <c r="E13624" t="s">
        <v>12</v>
      </c>
      <c r="F13624">
        <v>125404072</v>
      </c>
      <c r="G13624">
        <v>125404131</v>
      </c>
      <c r="H13624">
        <v>125404072</v>
      </c>
      <c r="I13624">
        <v>125404131</v>
      </c>
    </row>
    <row r="13625" spans="1:9" x14ac:dyDescent="0.2">
      <c r="A13625" t="str">
        <f>"Ndufa1"</f>
        <v>Ndufa1</v>
      </c>
      <c r="B13625" t="s">
        <v>14</v>
      </c>
      <c r="C13625" t="s">
        <v>37</v>
      </c>
      <c r="D13625" t="s">
        <v>11</v>
      </c>
      <c r="E13625" t="s">
        <v>12</v>
      </c>
      <c r="F13625">
        <v>37191104</v>
      </c>
      <c r="G13625">
        <v>37191148</v>
      </c>
      <c r="H13625">
        <v>37191160</v>
      </c>
      <c r="I13625">
        <v>37191196</v>
      </c>
    </row>
    <row r="13626" spans="1:9" x14ac:dyDescent="0.2">
      <c r="A13626" t="str">
        <f>"Ndufa10"</f>
        <v>Ndufa10</v>
      </c>
      <c r="B13626" t="s">
        <v>14</v>
      </c>
      <c r="C13626" t="s">
        <v>19</v>
      </c>
      <c r="D13626" t="s">
        <v>11</v>
      </c>
      <c r="E13626" t="s">
        <v>12</v>
      </c>
      <c r="F13626">
        <v>92473736</v>
      </c>
      <c r="G13626">
        <v>92473799</v>
      </c>
      <c r="H13626">
        <v>92473801</v>
      </c>
      <c r="I13626">
        <v>92473808</v>
      </c>
    </row>
    <row r="13627" spans="1:9" x14ac:dyDescent="0.2">
      <c r="A13627" t="str">
        <f>"Ndufa11"</f>
        <v>Ndufa11</v>
      </c>
      <c r="B13627" t="s">
        <v>14</v>
      </c>
      <c r="C13627" t="s">
        <v>28</v>
      </c>
      <c r="D13627" t="s">
        <v>17</v>
      </c>
      <c r="E13627" t="s">
        <v>12</v>
      </c>
      <c r="F13627">
        <v>56717759</v>
      </c>
      <c r="G13627">
        <v>56717819</v>
      </c>
      <c r="H13627">
        <v>56717759</v>
      </c>
      <c r="I13627">
        <v>56717819</v>
      </c>
    </row>
    <row r="13628" spans="1:9" x14ac:dyDescent="0.2">
      <c r="A13628" t="str">
        <f>"Ndufa12"</f>
        <v>Ndufa12</v>
      </c>
      <c r="B13628" t="s">
        <v>14</v>
      </c>
      <c r="C13628" t="s">
        <v>15</v>
      </c>
      <c r="D13628" t="s">
        <v>17</v>
      </c>
      <c r="E13628" t="s">
        <v>12</v>
      </c>
      <c r="F13628">
        <v>94199027</v>
      </c>
      <c r="G13628">
        <v>94199043</v>
      </c>
      <c r="H13628">
        <v>94199027</v>
      </c>
      <c r="I13628">
        <v>94199043</v>
      </c>
    </row>
    <row r="13629" spans="1:9" x14ac:dyDescent="0.2">
      <c r="A13629" t="str">
        <f>"Ndufa13"</f>
        <v>Ndufa13</v>
      </c>
      <c r="B13629" t="s">
        <v>14</v>
      </c>
      <c r="C13629" t="s">
        <v>30</v>
      </c>
      <c r="D13629" t="s">
        <v>11</v>
      </c>
      <c r="E13629" t="s">
        <v>12</v>
      </c>
      <c r="F13629">
        <v>69902835</v>
      </c>
      <c r="G13629">
        <v>69902854</v>
      </c>
      <c r="H13629">
        <v>69902714</v>
      </c>
      <c r="I13629">
        <v>69902729</v>
      </c>
    </row>
    <row r="13630" spans="1:9" x14ac:dyDescent="0.2">
      <c r="A13630" t="str">
        <f>"Ndufa2"</f>
        <v>Ndufa2</v>
      </c>
      <c r="B13630" t="s">
        <v>14</v>
      </c>
      <c r="C13630" t="s">
        <v>43</v>
      </c>
      <c r="D13630" t="s">
        <v>11</v>
      </c>
      <c r="E13630" t="s">
        <v>12</v>
      </c>
      <c r="F13630">
        <v>36744518</v>
      </c>
      <c r="G13630">
        <v>36744553</v>
      </c>
      <c r="H13630">
        <v>36744518</v>
      </c>
      <c r="I13630">
        <v>36744553</v>
      </c>
    </row>
    <row r="13631" spans="1:9" x14ac:dyDescent="0.2">
      <c r="A13631" t="str">
        <f>"Ndufa3"</f>
        <v>Ndufa3</v>
      </c>
      <c r="B13631" t="s">
        <v>14</v>
      </c>
      <c r="C13631" t="s">
        <v>33</v>
      </c>
      <c r="D13631" t="s">
        <v>17</v>
      </c>
      <c r="E13631" t="s">
        <v>12</v>
      </c>
      <c r="F13631">
        <v>3617357</v>
      </c>
      <c r="G13631">
        <v>3617389</v>
      </c>
      <c r="H13631">
        <v>3617573</v>
      </c>
      <c r="I13631">
        <v>3617587</v>
      </c>
    </row>
    <row r="13632" spans="1:9" x14ac:dyDescent="0.2">
      <c r="A13632" t="str">
        <f>"Ndufa4"</f>
        <v>Ndufa4</v>
      </c>
      <c r="B13632" t="s">
        <v>14</v>
      </c>
      <c r="C13632" t="s">
        <v>32</v>
      </c>
      <c r="D13632" t="s">
        <v>11</v>
      </c>
      <c r="E13632" t="s">
        <v>12</v>
      </c>
      <c r="F13632">
        <v>11907419</v>
      </c>
      <c r="G13632">
        <v>11907484</v>
      </c>
      <c r="H13632">
        <v>11907419</v>
      </c>
      <c r="I13632">
        <v>11907484</v>
      </c>
    </row>
    <row r="13633" spans="1:9" x14ac:dyDescent="0.2">
      <c r="A13633" t="str">
        <f>"Ndufa4l2"</f>
        <v>Ndufa4l2</v>
      </c>
      <c r="B13633" t="s">
        <v>14</v>
      </c>
      <c r="C13633" t="s">
        <v>15</v>
      </c>
      <c r="D13633" t="s">
        <v>17</v>
      </c>
      <c r="E13633" t="s">
        <v>12</v>
      </c>
      <c r="F13633">
        <v>127514951</v>
      </c>
      <c r="G13633">
        <v>127514979</v>
      </c>
      <c r="H13633">
        <v>127514951</v>
      </c>
      <c r="I13633">
        <v>127514979</v>
      </c>
    </row>
    <row r="13634" spans="1:9" x14ac:dyDescent="0.2">
      <c r="A13634" t="str">
        <f>"Ndufa5"</f>
        <v>Ndufa5</v>
      </c>
      <c r="B13634" t="s">
        <v>14</v>
      </c>
      <c r="C13634" t="s">
        <v>32</v>
      </c>
      <c r="D13634" t="s">
        <v>11</v>
      </c>
      <c r="E13634" t="s">
        <v>12</v>
      </c>
      <c r="F13634">
        <v>24527546</v>
      </c>
      <c r="G13634">
        <v>24527585</v>
      </c>
      <c r="H13634">
        <v>24528025</v>
      </c>
      <c r="I13634">
        <v>24528034</v>
      </c>
    </row>
    <row r="13635" spans="1:9" x14ac:dyDescent="0.2">
      <c r="A13635" t="str">
        <f>"Ndufa6"</f>
        <v>Ndufa6</v>
      </c>
      <c r="B13635" t="s">
        <v>14</v>
      </c>
      <c r="C13635" t="s">
        <v>25</v>
      </c>
      <c r="D13635" t="s">
        <v>11</v>
      </c>
      <c r="E13635" t="s">
        <v>12</v>
      </c>
      <c r="F13635">
        <v>82354225</v>
      </c>
      <c r="G13635">
        <v>82354261</v>
      </c>
      <c r="H13635">
        <v>82354280</v>
      </c>
      <c r="I13635">
        <v>82354291</v>
      </c>
    </row>
    <row r="13636" spans="1:9" x14ac:dyDescent="0.2">
      <c r="A13636" t="str">
        <f>"Ndufa7"</f>
        <v>Ndufa7</v>
      </c>
      <c r="B13636" t="s">
        <v>14</v>
      </c>
      <c r="C13636" t="s">
        <v>28</v>
      </c>
      <c r="D13636" t="s">
        <v>17</v>
      </c>
      <c r="E13636" t="s">
        <v>12</v>
      </c>
      <c r="F13636">
        <v>33824609</v>
      </c>
      <c r="G13636">
        <v>33824644</v>
      </c>
      <c r="H13636">
        <v>33824563</v>
      </c>
      <c r="I13636">
        <v>33824597</v>
      </c>
    </row>
    <row r="13637" spans="1:9" x14ac:dyDescent="0.2">
      <c r="A13637" t="str">
        <f>"Ndufa8"</f>
        <v>Ndufa8</v>
      </c>
      <c r="B13637" t="s">
        <v>14</v>
      </c>
      <c r="C13637" t="s">
        <v>26</v>
      </c>
      <c r="D13637" t="s">
        <v>11</v>
      </c>
      <c r="E13637" t="s">
        <v>12</v>
      </c>
      <c r="F13637">
        <v>36049277</v>
      </c>
      <c r="G13637">
        <v>36049357</v>
      </c>
      <c r="H13637">
        <v>36049365</v>
      </c>
      <c r="I13637">
        <v>36049376</v>
      </c>
    </row>
    <row r="13638" spans="1:9" x14ac:dyDescent="0.2">
      <c r="A13638" t="str">
        <f>"Ndufa9"</f>
        <v>Ndufa9</v>
      </c>
      <c r="B13638" t="s">
        <v>14</v>
      </c>
      <c r="C13638" t="s">
        <v>32</v>
      </c>
      <c r="D13638" t="s">
        <v>11</v>
      </c>
      <c r="E13638" t="s">
        <v>12</v>
      </c>
      <c r="F13638">
        <v>126849109</v>
      </c>
      <c r="G13638">
        <v>126849141</v>
      </c>
      <c r="H13638">
        <v>126849147</v>
      </c>
      <c r="I13638">
        <v>126849149</v>
      </c>
    </row>
    <row r="13639" spans="1:9" x14ac:dyDescent="0.2">
      <c r="A13639" t="str">
        <f>"Ndufab1"</f>
        <v>Ndufab1</v>
      </c>
      <c r="B13639" t="s">
        <v>14</v>
      </c>
      <c r="C13639" t="s">
        <v>33</v>
      </c>
      <c r="D13639" t="s">
        <v>11</v>
      </c>
      <c r="E13639" t="s">
        <v>12</v>
      </c>
      <c r="F13639">
        <v>122101827</v>
      </c>
      <c r="G13639">
        <v>122101859</v>
      </c>
      <c r="H13639">
        <v>122101827</v>
      </c>
      <c r="I13639">
        <v>122101859</v>
      </c>
    </row>
    <row r="13640" spans="1:9" x14ac:dyDescent="0.2">
      <c r="A13640" t="str">
        <f>"Ndufaf1"</f>
        <v>Ndufaf1</v>
      </c>
      <c r="B13640" t="s">
        <v>14</v>
      </c>
      <c r="C13640" t="s">
        <v>26</v>
      </c>
      <c r="D13640" t="s">
        <v>11</v>
      </c>
      <c r="E13640" t="s">
        <v>12</v>
      </c>
      <c r="F13640">
        <v>119662756</v>
      </c>
      <c r="G13640">
        <v>119662835</v>
      </c>
      <c r="H13640">
        <v>119662844</v>
      </c>
      <c r="I13640">
        <v>119662856</v>
      </c>
    </row>
    <row r="13641" spans="1:9" x14ac:dyDescent="0.2">
      <c r="A13641" t="str">
        <f>"Ndufaf2"</f>
        <v>Ndufaf2</v>
      </c>
      <c r="B13641" t="s">
        <v>14</v>
      </c>
      <c r="C13641" t="s">
        <v>39</v>
      </c>
      <c r="D13641" t="s">
        <v>11</v>
      </c>
      <c r="E13641" t="s">
        <v>12</v>
      </c>
      <c r="F13641">
        <v>108158584</v>
      </c>
      <c r="G13641">
        <v>108158630</v>
      </c>
      <c r="H13641">
        <v>108158584</v>
      </c>
      <c r="I13641">
        <v>108158630</v>
      </c>
    </row>
    <row r="13642" spans="1:9" x14ac:dyDescent="0.2">
      <c r="A13642" t="str">
        <f>"Ndufaf3"</f>
        <v>Ndufaf3</v>
      </c>
      <c r="B13642" t="s">
        <v>14</v>
      </c>
      <c r="C13642" t="s">
        <v>24</v>
      </c>
      <c r="D13642" t="s">
        <v>11</v>
      </c>
      <c r="E13642" t="s">
        <v>12</v>
      </c>
      <c r="F13642">
        <v>108566927</v>
      </c>
      <c r="G13642">
        <v>108566978</v>
      </c>
      <c r="H13642">
        <v>108567362</v>
      </c>
      <c r="I13642">
        <v>108567449</v>
      </c>
    </row>
    <row r="13643" spans="1:9" x14ac:dyDescent="0.2">
      <c r="A13643" t="str">
        <f>"Ndufaf4"</f>
        <v>Ndufaf4</v>
      </c>
      <c r="B13643" t="s">
        <v>14</v>
      </c>
      <c r="C13643" t="s">
        <v>23</v>
      </c>
      <c r="D13643" t="s">
        <v>17</v>
      </c>
      <c r="E13643" t="s">
        <v>12</v>
      </c>
      <c r="F13643">
        <v>24898080</v>
      </c>
      <c r="G13643">
        <v>24898158</v>
      </c>
      <c r="H13643">
        <v>24898080</v>
      </c>
      <c r="I13643">
        <v>24898158</v>
      </c>
    </row>
    <row r="13644" spans="1:9" x14ac:dyDescent="0.2">
      <c r="A13644" t="str">
        <f>"Ndufaf5"</f>
        <v>Ndufaf5</v>
      </c>
      <c r="B13644" t="s">
        <v>14</v>
      </c>
      <c r="C13644" t="s">
        <v>26</v>
      </c>
      <c r="D13644" t="s">
        <v>17</v>
      </c>
      <c r="E13644" t="s">
        <v>67</v>
      </c>
      <c r="F13644">
        <v>140170641</v>
      </c>
      <c r="G13644">
        <v>140170701</v>
      </c>
      <c r="H13644">
        <v>140171016</v>
      </c>
      <c r="I13644">
        <v>140171043</v>
      </c>
    </row>
    <row r="13645" spans="1:9" x14ac:dyDescent="0.2">
      <c r="A13645" t="str">
        <f>"Ndufaf6"</f>
        <v>Ndufaf6</v>
      </c>
      <c r="B13645" t="s">
        <v>14</v>
      </c>
      <c r="C13645" t="s">
        <v>23</v>
      </c>
      <c r="D13645" t="s">
        <v>11</v>
      </c>
      <c r="E13645" t="s">
        <v>67</v>
      </c>
      <c r="F13645">
        <v>11076160</v>
      </c>
      <c r="G13645">
        <v>11076211</v>
      </c>
      <c r="H13645">
        <v>11076131</v>
      </c>
      <c r="I13645">
        <v>11076138</v>
      </c>
    </row>
    <row r="13646" spans="1:9" x14ac:dyDescent="0.2">
      <c r="A13646" t="str">
        <f>"Ndufaf7"</f>
        <v>Ndufaf7</v>
      </c>
      <c r="B13646" t="s">
        <v>14</v>
      </c>
      <c r="C13646" t="s">
        <v>28</v>
      </c>
      <c r="D13646" t="s">
        <v>17</v>
      </c>
      <c r="E13646" t="s">
        <v>67</v>
      </c>
      <c r="F13646">
        <v>78937124</v>
      </c>
      <c r="G13646">
        <v>78937183</v>
      </c>
      <c r="H13646">
        <v>78937124</v>
      </c>
      <c r="I13646">
        <v>78937183</v>
      </c>
    </row>
    <row r="13647" spans="1:9" x14ac:dyDescent="0.2">
      <c r="A13647" t="str">
        <f>"Ndufb10"</f>
        <v>Ndufb10</v>
      </c>
      <c r="B13647" t="s">
        <v>14</v>
      </c>
      <c r="C13647" t="s">
        <v>28</v>
      </c>
      <c r="D13647" t="s">
        <v>11</v>
      </c>
      <c r="E13647" t="s">
        <v>12</v>
      </c>
      <c r="F13647">
        <v>24724374</v>
      </c>
      <c r="G13647">
        <v>24724455</v>
      </c>
      <c r="H13647">
        <v>24724333</v>
      </c>
      <c r="I13647">
        <v>24724344</v>
      </c>
    </row>
    <row r="13648" spans="1:9" x14ac:dyDescent="0.2">
      <c r="A13648" t="str">
        <f>"Ndufb11"</f>
        <v>Ndufb11</v>
      </c>
      <c r="B13648" t="s">
        <v>14</v>
      </c>
      <c r="C13648" t="s">
        <v>37</v>
      </c>
      <c r="D13648" t="s">
        <v>11</v>
      </c>
      <c r="E13648" t="s">
        <v>12</v>
      </c>
      <c r="F13648">
        <v>20617262</v>
      </c>
      <c r="G13648">
        <v>20617289</v>
      </c>
      <c r="H13648">
        <v>20617574</v>
      </c>
      <c r="I13648">
        <v>20617618</v>
      </c>
    </row>
    <row r="13649" spans="1:9" x14ac:dyDescent="0.2">
      <c r="A13649" t="str">
        <f>"Ndufb2"</f>
        <v>Ndufb2</v>
      </c>
      <c r="B13649" t="s">
        <v>14</v>
      </c>
      <c r="C13649" t="s">
        <v>32</v>
      </c>
      <c r="D13649" t="s">
        <v>17</v>
      </c>
      <c r="E13649" t="s">
        <v>12</v>
      </c>
      <c r="F13649">
        <v>39592590</v>
      </c>
      <c r="G13649">
        <v>39592617</v>
      </c>
      <c r="H13649">
        <v>39592569</v>
      </c>
      <c r="I13649">
        <v>39592588</v>
      </c>
    </row>
    <row r="13650" spans="1:9" x14ac:dyDescent="0.2">
      <c r="A13650" t="str">
        <f>"Ndufb3"</f>
        <v>Ndufb3</v>
      </c>
      <c r="B13650" t="s">
        <v>14</v>
      </c>
      <c r="C13650" t="s">
        <v>19</v>
      </c>
      <c r="D13650" t="s">
        <v>17</v>
      </c>
      <c r="E13650" t="s">
        <v>12</v>
      </c>
      <c r="F13650">
        <v>58586591</v>
      </c>
      <c r="G13650">
        <v>58586625</v>
      </c>
      <c r="H13650">
        <v>58586405</v>
      </c>
      <c r="I13650">
        <v>58586446</v>
      </c>
    </row>
    <row r="13651" spans="1:9" x14ac:dyDescent="0.2">
      <c r="A13651" t="str">
        <f>"Ndufb4"</f>
        <v>Ndufb4</v>
      </c>
      <c r="B13651" t="s">
        <v>14</v>
      </c>
      <c r="C13651" t="s">
        <v>31</v>
      </c>
      <c r="D13651" t="s">
        <v>11</v>
      </c>
      <c r="E13651" t="s">
        <v>12</v>
      </c>
      <c r="F13651">
        <v>37654408</v>
      </c>
      <c r="G13651">
        <v>37654450</v>
      </c>
      <c r="H13651">
        <v>37654393</v>
      </c>
      <c r="I13651">
        <v>37654406</v>
      </c>
    </row>
    <row r="13652" spans="1:9" x14ac:dyDescent="0.2">
      <c r="A13652" t="str">
        <f>"Ndufb5"</f>
        <v>Ndufb5</v>
      </c>
      <c r="B13652" t="s">
        <v>14</v>
      </c>
      <c r="C13652" t="s">
        <v>22</v>
      </c>
      <c r="D13652" t="s">
        <v>17</v>
      </c>
      <c r="E13652" t="s">
        <v>12</v>
      </c>
      <c r="F13652">
        <v>32737045</v>
      </c>
      <c r="G13652">
        <v>32737082</v>
      </c>
      <c r="H13652">
        <v>32737045</v>
      </c>
      <c r="I13652">
        <v>32737082</v>
      </c>
    </row>
    <row r="13653" spans="1:9" x14ac:dyDescent="0.2">
      <c r="A13653" t="str">
        <f>"Ndufb6"</f>
        <v>Ndufb6</v>
      </c>
      <c r="B13653" t="s">
        <v>14</v>
      </c>
      <c r="C13653" t="s">
        <v>23</v>
      </c>
      <c r="D13653" t="s">
        <v>11</v>
      </c>
      <c r="E13653" t="s">
        <v>12</v>
      </c>
      <c r="F13653">
        <v>40279340</v>
      </c>
      <c r="G13653">
        <v>40279381</v>
      </c>
      <c r="H13653">
        <v>40279389</v>
      </c>
      <c r="I13653">
        <v>40279434</v>
      </c>
    </row>
    <row r="13654" spans="1:9" x14ac:dyDescent="0.2">
      <c r="A13654" t="str">
        <f>"Ndufb7"</f>
        <v>Ndufb7</v>
      </c>
      <c r="B13654" t="s">
        <v>14</v>
      </c>
      <c r="C13654" t="s">
        <v>30</v>
      </c>
      <c r="D13654" t="s">
        <v>17</v>
      </c>
      <c r="E13654" t="s">
        <v>12</v>
      </c>
      <c r="F13654">
        <v>83566724</v>
      </c>
      <c r="G13654">
        <v>83566815</v>
      </c>
      <c r="H13654">
        <v>83566866</v>
      </c>
      <c r="I13654">
        <v>83566881</v>
      </c>
    </row>
    <row r="13655" spans="1:9" x14ac:dyDescent="0.2">
      <c r="A13655" t="str">
        <f>"Ndufb8"</f>
        <v>Ndufb8</v>
      </c>
      <c r="B13655" t="s">
        <v>14</v>
      </c>
      <c r="C13655" t="s">
        <v>10</v>
      </c>
      <c r="D13655" t="s">
        <v>11</v>
      </c>
      <c r="E13655" t="s">
        <v>12</v>
      </c>
      <c r="F13655">
        <v>44555398</v>
      </c>
      <c r="G13655">
        <v>44555437</v>
      </c>
      <c r="H13655">
        <v>44555398</v>
      </c>
      <c r="I13655">
        <v>44555437</v>
      </c>
    </row>
    <row r="13656" spans="1:9" x14ac:dyDescent="0.2">
      <c r="A13656" t="str">
        <f>"Ndufb9"</f>
        <v>Ndufb9</v>
      </c>
      <c r="B13656" t="s">
        <v>14</v>
      </c>
      <c r="C13656" t="s">
        <v>25</v>
      </c>
      <c r="D13656" t="s">
        <v>17</v>
      </c>
      <c r="E13656" t="s">
        <v>12</v>
      </c>
      <c r="F13656">
        <v>58933774</v>
      </c>
      <c r="G13656">
        <v>58933836</v>
      </c>
      <c r="H13656">
        <v>58933774</v>
      </c>
      <c r="I13656">
        <v>58933836</v>
      </c>
    </row>
    <row r="13657" spans="1:9" x14ac:dyDescent="0.2">
      <c r="A13657" t="str">
        <f>"Ndufc1"</f>
        <v>Ndufc1</v>
      </c>
      <c r="B13657" t="s">
        <v>14</v>
      </c>
      <c r="C13657" t="s">
        <v>22</v>
      </c>
      <c r="D13657" t="s">
        <v>11</v>
      </c>
      <c r="E13657" t="s">
        <v>12</v>
      </c>
      <c r="F13657">
        <v>51408925</v>
      </c>
      <c r="G13657">
        <v>51408984</v>
      </c>
      <c r="H13657">
        <v>51408830</v>
      </c>
      <c r="I13657">
        <v>51408855</v>
      </c>
    </row>
    <row r="13658" spans="1:9" x14ac:dyDescent="0.2">
      <c r="A13658" t="str">
        <f>"Ndufc2"</f>
        <v>Ndufc2</v>
      </c>
      <c r="B13658" t="s">
        <v>14</v>
      </c>
      <c r="C13658" t="s">
        <v>33</v>
      </c>
      <c r="D13658" t="s">
        <v>17</v>
      </c>
      <c r="E13658" t="s">
        <v>12</v>
      </c>
      <c r="F13658">
        <v>97400049</v>
      </c>
      <c r="G13658">
        <v>97400115</v>
      </c>
      <c r="H13658">
        <v>97400125</v>
      </c>
      <c r="I13658">
        <v>97400136</v>
      </c>
    </row>
    <row r="13659" spans="1:9" x14ac:dyDescent="0.2">
      <c r="A13659" t="str">
        <f>"Ndufs1"</f>
        <v>Ndufs1</v>
      </c>
      <c r="B13659" t="s">
        <v>14</v>
      </c>
      <c r="C13659" t="s">
        <v>19</v>
      </c>
      <c r="D13659" t="s">
        <v>11</v>
      </c>
      <c r="E13659" t="s">
        <v>12</v>
      </c>
      <c r="F13659">
        <v>63176653</v>
      </c>
      <c r="G13659">
        <v>63176707</v>
      </c>
      <c r="H13659">
        <v>63177006</v>
      </c>
      <c r="I13659">
        <v>63177049</v>
      </c>
    </row>
    <row r="13660" spans="1:9" x14ac:dyDescent="0.2">
      <c r="A13660" t="str">
        <f>"Ndufs2"</f>
        <v>Ndufs2</v>
      </c>
      <c r="B13660" t="s">
        <v>9</v>
      </c>
      <c r="C13660" t="s">
        <v>19</v>
      </c>
      <c r="D13660" t="s">
        <v>11</v>
      </c>
      <c r="E13660" t="s">
        <v>12</v>
      </c>
      <c r="F13660">
        <v>171247096</v>
      </c>
      <c r="G13660">
        <v>171247121</v>
      </c>
      <c r="H13660">
        <v>171247096</v>
      </c>
      <c r="I13660">
        <v>171247121</v>
      </c>
    </row>
    <row r="13661" spans="1:9" x14ac:dyDescent="0.2">
      <c r="A13661" t="str">
        <f>"Ndufs2"</f>
        <v>Ndufs2</v>
      </c>
      <c r="B13661" t="s">
        <v>13</v>
      </c>
      <c r="C13661" t="s">
        <v>19</v>
      </c>
      <c r="D13661" t="s">
        <v>11</v>
      </c>
      <c r="E13661" t="s">
        <v>12</v>
      </c>
      <c r="F13661">
        <v>171237607</v>
      </c>
      <c r="G13661">
        <v>171237624</v>
      </c>
      <c r="H13661">
        <v>171237607</v>
      </c>
      <c r="I13661">
        <v>171237624</v>
      </c>
    </row>
    <row r="13662" spans="1:9" x14ac:dyDescent="0.2">
      <c r="A13662" t="str">
        <f>"Ndufs3"</f>
        <v>Ndufs3</v>
      </c>
      <c r="B13662" t="s">
        <v>14</v>
      </c>
      <c r="C13662" t="s">
        <v>26</v>
      </c>
      <c r="D13662" t="s">
        <v>11</v>
      </c>
      <c r="E13662" t="s">
        <v>12</v>
      </c>
      <c r="F13662">
        <v>90904649</v>
      </c>
      <c r="G13662">
        <v>90904727</v>
      </c>
      <c r="H13662">
        <v>90904919</v>
      </c>
      <c r="I13662">
        <v>90904940</v>
      </c>
    </row>
    <row r="13663" spans="1:9" x14ac:dyDescent="0.2">
      <c r="A13663" t="str">
        <f>"Ndufs4"</f>
        <v>Ndufs4</v>
      </c>
      <c r="B13663" t="s">
        <v>14</v>
      </c>
      <c r="C13663" t="s">
        <v>39</v>
      </c>
      <c r="D13663" t="s">
        <v>11</v>
      </c>
      <c r="E13663" t="s">
        <v>12</v>
      </c>
      <c r="F13663">
        <v>114388057</v>
      </c>
      <c r="G13663">
        <v>114388089</v>
      </c>
      <c r="H13663">
        <v>114388057</v>
      </c>
      <c r="I13663">
        <v>114388089</v>
      </c>
    </row>
    <row r="13664" spans="1:9" x14ac:dyDescent="0.2">
      <c r="A13664" t="str">
        <f>"Ndufs5"</f>
        <v>Ndufs5</v>
      </c>
      <c r="B13664" t="s">
        <v>14</v>
      </c>
      <c r="C13664" t="s">
        <v>23</v>
      </c>
      <c r="D13664" t="s">
        <v>11</v>
      </c>
      <c r="E13664" t="s">
        <v>12</v>
      </c>
      <c r="F13664">
        <v>123718181</v>
      </c>
      <c r="G13664">
        <v>123718195</v>
      </c>
      <c r="H13664">
        <v>123718198</v>
      </c>
      <c r="I13664">
        <v>123718209</v>
      </c>
    </row>
    <row r="13665" spans="1:9" x14ac:dyDescent="0.2">
      <c r="A13665" t="str">
        <f>"Ndufs6"</f>
        <v>Ndufs6</v>
      </c>
      <c r="B13665" t="s">
        <v>14</v>
      </c>
      <c r="C13665" t="s">
        <v>39</v>
      </c>
      <c r="D13665" t="s">
        <v>11</v>
      </c>
      <c r="E13665" t="s">
        <v>12</v>
      </c>
      <c r="F13665">
        <v>73328442</v>
      </c>
      <c r="G13665">
        <v>73328467</v>
      </c>
      <c r="H13665">
        <v>73328442</v>
      </c>
      <c r="I13665">
        <v>73328467</v>
      </c>
    </row>
    <row r="13666" spans="1:9" x14ac:dyDescent="0.2">
      <c r="A13666" t="str">
        <f>"Ndufs7"</f>
        <v>Ndufs7</v>
      </c>
      <c r="B13666" t="s">
        <v>14</v>
      </c>
      <c r="C13666" t="s">
        <v>15</v>
      </c>
      <c r="D13666" t="s">
        <v>17</v>
      </c>
      <c r="E13666" t="s">
        <v>12</v>
      </c>
      <c r="F13666">
        <v>80249441</v>
      </c>
      <c r="G13666">
        <v>80249468</v>
      </c>
      <c r="H13666">
        <v>80249106</v>
      </c>
      <c r="I13666">
        <v>80249124</v>
      </c>
    </row>
    <row r="13667" spans="1:9" x14ac:dyDescent="0.2">
      <c r="A13667" t="str">
        <f>"Ndufs8"</f>
        <v>Ndufs8</v>
      </c>
      <c r="B13667" t="s">
        <v>14</v>
      </c>
      <c r="C13667" t="s">
        <v>10</v>
      </c>
      <c r="D13667" t="s">
        <v>11</v>
      </c>
      <c r="E13667" t="s">
        <v>12</v>
      </c>
      <c r="F13667">
        <v>3912733</v>
      </c>
      <c r="G13667">
        <v>3912779</v>
      </c>
      <c r="H13667">
        <v>3912711</v>
      </c>
      <c r="I13667">
        <v>3912722</v>
      </c>
    </row>
    <row r="13668" spans="1:9" x14ac:dyDescent="0.2">
      <c r="A13668" t="str">
        <f>"Ndufv1"</f>
        <v>Ndufv1</v>
      </c>
      <c r="B13668" t="s">
        <v>14</v>
      </c>
      <c r="C13668" t="s">
        <v>10</v>
      </c>
      <c r="D13668" t="s">
        <v>11</v>
      </c>
      <c r="E13668" t="s">
        <v>12</v>
      </c>
      <c r="F13668">
        <v>4012656</v>
      </c>
      <c r="G13668">
        <v>4012736</v>
      </c>
      <c r="H13668">
        <v>4012656</v>
      </c>
      <c r="I13668">
        <v>4012736</v>
      </c>
    </row>
    <row r="13669" spans="1:9" x14ac:dyDescent="0.2">
      <c r="A13669" t="str">
        <f>"Ndufv2"</f>
        <v>Ndufv2</v>
      </c>
      <c r="B13669" t="s">
        <v>14</v>
      </c>
      <c r="C13669" t="s">
        <v>28</v>
      </c>
      <c r="D13669" t="s">
        <v>11</v>
      </c>
      <c r="E13669" t="s">
        <v>12</v>
      </c>
      <c r="F13669">
        <v>66101466</v>
      </c>
      <c r="G13669">
        <v>66101534</v>
      </c>
      <c r="H13669">
        <v>66101466</v>
      </c>
      <c r="I13669">
        <v>66101534</v>
      </c>
    </row>
    <row r="13670" spans="1:9" x14ac:dyDescent="0.2">
      <c r="A13670" t="str">
        <f>"Ndufv3"</f>
        <v>Ndufv3</v>
      </c>
      <c r="B13670" t="s">
        <v>14</v>
      </c>
      <c r="C13670" t="s">
        <v>28</v>
      </c>
      <c r="D13670" t="s">
        <v>17</v>
      </c>
      <c r="E13670" t="s">
        <v>12</v>
      </c>
      <c r="F13670">
        <v>31520170</v>
      </c>
      <c r="G13670">
        <v>31520211</v>
      </c>
      <c r="H13670">
        <v>31520133</v>
      </c>
      <c r="I13670">
        <v>31520169</v>
      </c>
    </row>
    <row r="13671" spans="1:9" x14ac:dyDescent="0.2">
      <c r="A13671" t="str">
        <f>"Neb"</f>
        <v>Neb</v>
      </c>
      <c r="B13671" t="s">
        <v>14</v>
      </c>
      <c r="C13671" t="s">
        <v>26</v>
      </c>
      <c r="D13671" t="s">
        <v>11</v>
      </c>
      <c r="E13671" t="s">
        <v>12</v>
      </c>
      <c r="F13671">
        <v>52335752</v>
      </c>
      <c r="G13671">
        <v>52335767</v>
      </c>
      <c r="H13671">
        <v>52335263</v>
      </c>
      <c r="I13671">
        <v>52335283</v>
      </c>
    </row>
    <row r="13672" spans="1:9" x14ac:dyDescent="0.2">
      <c r="A13672" t="str">
        <f>"Nebl"</f>
        <v>Nebl</v>
      </c>
      <c r="B13672" t="s">
        <v>4368</v>
      </c>
      <c r="C13672" t="s">
        <v>26</v>
      </c>
      <c r="D13672" t="s">
        <v>11</v>
      </c>
      <c r="E13672" t="s">
        <v>35</v>
      </c>
      <c r="F13672">
        <v>17731220</v>
      </c>
      <c r="G13672">
        <v>17731229</v>
      </c>
      <c r="H13672">
        <v>17730907</v>
      </c>
      <c r="I13672">
        <v>17730933</v>
      </c>
    </row>
    <row r="13673" spans="1:9" x14ac:dyDescent="0.2">
      <c r="A13673" t="str">
        <f>"Necab1"</f>
        <v>Necab1</v>
      </c>
      <c r="B13673" t="s">
        <v>14</v>
      </c>
      <c r="C13673" t="s">
        <v>23</v>
      </c>
      <c r="D13673" t="s">
        <v>11</v>
      </c>
      <c r="E13673" t="s">
        <v>12</v>
      </c>
      <c r="F13673">
        <v>15149011</v>
      </c>
      <c r="G13673">
        <v>15149045</v>
      </c>
      <c r="H13673">
        <v>15148977</v>
      </c>
      <c r="I13673">
        <v>15149009</v>
      </c>
    </row>
    <row r="13674" spans="1:9" x14ac:dyDescent="0.2">
      <c r="A13674" t="str">
        <f>"Necab2"</f>
        <v>Necab2</v>
      </c>
      <c r="B13674" t="s">
        <v>14</v>
      </c>
      <c r="C13674" t="s">
        <v>30</v>
      </c>
      <c r="D13674" t="s">
        <v>17</v>
      </c>
      <c r="E13674" t="s">
        <v>12</v>
      </c>
      <c r="F13674">
        <v>119447038</v>
      </c>
      <c r="G13674">
        <v>119447135</v>
      </c>
      <c r="H13674">
        <v>119447038</v>
      </c>
      <c r="I13674">
        <v>119447135</v>
      </c>
    </row>
    <row r="13675" spans="1:9" x14ac:dyDescent="0.2">
      <c r="A13675" t="str">
        <f>"Necab3"</f>
        <v>Necab3</v>
      </c>
      <c r="B13675" t="s">
        <v>14</v>
      </c>
      <c r="C13675" t="s">
        <v>26</v>
      </c>
      <c r="D13675" t="s">
        <v>11</v>
      </c>
      <c r="E13675" t="s">
        <v>12</v>
      </c>
      <c r="F13675">
        <v>154558834</v>
      </c>
      <c r="G13675">
        <v>154558897</v>
      </c>
      <c r="H13675">
        <v>154558815</v>
      </c>
      <c r="I13675">
        <v>154558820</v>
      </c>
    </row>
    <row r="13676" spans="1:9" x14ac:dyDescent="0.2">
      <c r="A13676" t="str">
        <f>"Necap1"</f>
        <v>Necap1</v>
      </c>
      <c r="B13676" t="s">
        <v>14</v>
      </c>
      <c r="C13676" t="s">
        <v>32</v>
      </c>
      <c r="D13676" t="s">
        <v>17</v>
      </c>
      <c r="E13676" t="s">
        <v>12</v>
      </c>
      <c r="F13676">
        <v>122874526</v>
      </c>
      <c r="G13676">
        <v>122874573</v>
      </c>
      <c r="H13676">
        <v>122874526</v>
      </c>
      <c r="I13676">
        <v>122874573</v>
      </c>
    </row>
    <row r="13677" spans="1:9" x14ac:dyDescent="0.2">
      <c r="A13677" t="str">
        <f>"Necap2"</f>
        <v>Necap2</v>
      </c>
      <c r="B13677" t="s">
        <v>14</v>
      </c>
      <c r="C13677" t="s">
        <v>23</v>
      </c>
      <c r="D13677" t="s">
        <v>11</v>
      </c>
      <c r="E13677" t="s">
        <v>12</v>
      </c>
      <c r="F13677">
        <v>141078302</v>
      </c>
      <c r="G13677">
        <v>141078338</v>
      </c>
      <c r="H13677">
        <v>141078302</v>
      </c>
      <c r="I13677">
        <v>141078338</v>
      </c>
    </row>
    <row r="13678" spans="1:9" x14ac:dyDescent="0.2">
      <c r="A13678" t="str">
        <f>"Nedd1"</f>
        <v>Nedd1</v>
      </c>
      <c r="B13678" t="s">
        <v>14</v>
      </c>
      <c r="C13678" t="s">
        <v>15</v>
      </c>
      <c r="D13678" t="s">
        <v>11</v>
      </c>
      <c r="E13678" t="s">
        <v>12</v>
      </c>
      <c r="F13678">
        <v>92722356</v>
      </c>
      <c r="G13678">
        <v>92722409</v>
      </c>
      <c r="H13678">
        <v>92722411</v>
      </c>
      <c r="I13678">
        <v>92722423</v>
      </c>
    </row>
    <row r="13679" spans="1:9" x14ac:dyDescent="0.2">
      <c r="A13679" t="str">
        <f>"Nedd4"</f>
        <v>Nedd4</v>
      </c>
      <c r="B13679" t="s">
        <v>14</v>
      </c>
      <c r="C13679" t="s">
        <v>24</v>
      </c>
      <c r="D13679" t="s">
        <v>17</v>
      </c>
      <c r="E13679" t="s">
        <v>12</v>
      </c>
      <c r="F13679">
        <v>72662420</v>
      </c>
      <c r="G13679">
        <v>72662468</v>
      </c>
      <c r="H13679">
        <v>72662473</v>
      </c>
      <c r="I13679">
        <v>72662523</v>
      </c>
    </row>
    <row r="13680" spans="1:9" x14ac:dyDescent="0.2">
      <c r="A13680" t="str">
        <f>"Nedd4l"</f>
        <v>Nedd4l</v>
      </c>
      <c r="B13680" t="s">
        <v>4369</v>
      </c>
      <c r="C13680" t="s">
        <v>43</v>
      </c>
      <c r="D13680" t="s">
        <v>17</v>
      </c>
      <c r="E13680" t="s">
        <v>35</v>
      </c>
      <c r="F13680">
        <v>64887658</v>
      </c>
      <c r="G13680">
        <v>64887683</v>
      </c>
      <c r="H13680">
        <v>64887933</v>
      </c>
      <c r="I13680">
        <v>64887952</v>
      </c>
    </row>
    <row r="13681" spans="1:9" x14ac:dyDescent="0.2">
      <c r="A13681" t="str">
        <f>"Nedd8"</f>
        <v>Nedd8</v>
      </c>
      <c r="B13681" t="s">
        <v>14</v>
      </c>
      <c r="C13681" t="s">
        <v>41</v>
      </c>
      <c r="D13681" t="s">
        <v>11</v>
      </c>
      <c r="E13681" t="s">
        <v>12</v>
      </c>
      <c r="F13681">
        <v>55671873</v>
      </c>
      <c r="G13681">
        <v>55671918</v>
      </c>
      <c r="H13681">
        <v>55671873</v>
      </c>
      <c r="I13681">
        <v>55671918</v>
      </c>
    </row>
    <row r="13682" spans="1:9" x14ac:dyDescent="0.2">
      <c r="A13682" t="str">
        <f>"Nedd9"</f>
        <v>Nedd9</v>
      </c>
      <c r="B13682" t="s">
        <v>9</v>
      </c>
      <c r="C13682" t="s">
        <v>39</v>
      </c>
      <c r="D13682" t="s">
        <v>11</v>
      </c>
      <c r="E13682" t="s">
        <v>12</v>
      </c>
      <c r="F13682">
        <v>41358990</v>
      </c>
      <c r="G13682">
        <v>41359006</v>
      </c>
      <c r="H13682">
        <v>41358990</v>
      </c>
      <c r="I13682">
        <v>41359006</v>
      </c>
    </row>
    <row r="13683" spans="1:9" x14ac:dyDescent="0.2">
      <c r="A13683" t="str">
        <f>"Nedd9"</f>
        <v>Nedd9</v>
      </c>
      <c r="B13683" t="s">
        <v>13</v>
      </c>
      <c r="C13683" t="s">
        <v>39</v>
      </c>
      <c r="D13683" t="s">
        <v>11</v>
      </c>
      <c r="E13683" t="s">
        <v>12</v>
      </c>
      <c r="F13683">
        <v>41487306</v>
      </c>
      <c r="G13683">
        <v>41487346</v>
      </c>
      <c r="H13683">
        <v>41487306</v>
      </c>
      <c r="I13683">
        <v>41487346</v>
      </c>
    </row>
    <row r="13684" spans="1:9" x14ac:dyDescent="0.2">
      <c r="A13684" t="str">
        <f>"Nefh"</f>
        <v>Nefh</v>
      </c>
      <c r="B13684" t="s">
        <v>14</v>
      </c>
      <c r="C13684" t="s">
        <v>27</v>
      </c>
      <c r="D13684" t="s">
        <v>11</v>
      </c>
      <c r="E13684" t="s">
        <v>12</v>
      </c>
      <c r="F13684">
        <v>4947991</v>
      </c>
      <c r="G13684">
        <v>4948009</v>
      </c>
      <c r="H13684">
        <v>4948121</v>
      </c>
      <c r="I13684">
        <v>4948171</v>
      </c>
    </row>
    <row r="13685" spans="1:9" x14ac:dyDescent="0.2">
      <c r="A13685" t="str">
        <f>"Nefl"</f>
        <v>Nefl</v>
      </c>
      <c r="B13685" t="s">
        <v>14</v>
      </c>
      <c r="C13685" t="s">
        <v>41</v>
      </c>
      <c r="D13685" t="s">
        <v>17</v>
      </c>
      <c r="E13685" t="s">
        <v>12</v>
      </c>
      <c r="F13685">
        <v>68083853</v>
      </c>
      <c r="G13685">
        <v>68083870</v>
      </c>
      <c r="H13685">
        <v>68083853</v>
      </c>
      <c r="I13685">
        <v>68083870</v>
      </c>
    </row>
    <row r="13686" spans="1:9" x14ac:dyDescent="0.2">
      <c r="A13686" t="str">
        <f>"Nefm"</f>
        <v>Nefm</v>
      </c>
      <c r="B13686" t="s">
        <v>14</v>
      </c>
      <c r="C13686" t="s">
        <v>41</v>
      </c>
      <c r="D13686" t="s">
        <v>11</v>
      </c>
      <c r="E13686" t="s">
        <v>12</v>
      </c>
      <c r="F13686">
        <v>68124836</v>
      </c>
      <c r="G13686">
        <v>68124856</v>
      </c>
      <c r="H13686">
        <v>68125241</v>
      </c>
      <c r="I13686">
        <v>68125242</v>
      </c>
    </row>
    <row r="13687" spans="1:9" x14ac:dyDescent="0.2">
      <c r="A13687" t="str">
        <f>"Negr1"</f>
        <v>Negr1</v>
      </c>
      <c r="B13687" t="s">
        <v>14</v>
      </c>
      <c r="C13687" t="s">
        <v>22</v>
      </c>
      <c r="D13687" t="s">
        <v>17</v>
      </c>
      <c r="E13687" t="s">
        <v>12</v>
      </c>
      <c r="F13687">
        <v>156561792</v>
      </c>
      <c r="G13687">
        <v>156561869</v>
      </c>
      <c r="H13687">
        <v>156561792</v>
      </c>
      <c r="I13687">
        <v>156561869</v>
      </c>
    </row>
    <row r="13688" spans="1:9" x14ac:dyDescent="0.2">
      <c r="A13688" t="str">
        <f>"Neil1"</f>
        <v>Neil1</v>
      </c>
      <c r="B13688" t="s">
        <v>14</v>
      </c>
      <c r="C13688" t="s">
        <v>24</v>
      </c>
      <c r="D13688" t="s">
        <v>11</v>
      </c>
      <c r="E13688" t="s">
        <v>12</v>
      </c>
      <c r="F13688">
        <v>57148101</v>
      </c>
      <c r="G13688">
        <v>57148151</v>
      </c>
      <c r="H13688">
        <v>57148295</v>
      </c>
      <c r="I13688">
        <v>57148325</v>
      </c>
    </row>
    <row r="13689" spans="1:9" x14ac:dyDescent="0.2">
      <c r="A13689" t="str">
        <f>"Neil2"</f>
        <v>Neil2</v>
      </c>
      <c r="B13689" t="s">
        <v>14</v>
      </c>
      <c r="C13689" t="s">
        <v>41</v>
      </c>
      <c r="D13689" t="s">
        <v>11</v>
      </c>
      <c r="E13689" t="s">
        <v>12</v>
      </c>
      <c r="F13689">
        <v>63193822</v>
      </c>
      <c r="G13689">
        <v>63193870</v>
      </c>
      <c r="H13689">
        <v>63193489</v>
      </c>
      <c r="I13689">
        <v>63193507</v>
      </c>
    </row>
    <row r="13690" spans="1:9" x14ac:dyDescent="0.2">
      <c r="A13690" t="str">
        <f>"Neil3"</f>
        <v>Neil3</v>
      </c>
      <c r="B13690" t="s">
        <v>14</v>
      </c>
      <c r="C13690" t="s">
        <v>30</v>
      </c>
      <c r="D13690" t="s">
        <v>11</v>
      </c>
      <c r="E13690" t="s">
        <v>12</v>
      </c>
      <c r="F13690">
        <v>53638945</v>
      </c>
      <c r="G13690">
        <v>53639021</v>
      </c>
      <c r="H13690">
        <v>53638945</v>
      </c>
      <c r="I13690">
        <v>53639021</v>
      </c>
    </row>
    <row r="13691" spans="1:9" x14ac:dyDescent="0.2">
      <c r="A13691" t="str">
        <f>"Nek1"</f>
        <v>Nek1</v>
      </c>
      <c r="B13691" t="s">
        <v>14</v>
      </c>
      <c r="C13691" t="s">
        <v>30</v>
      </c>
      <c r="D13691" t="s">
        <v>17</v>
      </c>
      <c r="E13691" t="s">
        <v>12</v>
      </c>
      <c r="F13691">
        <v>60993189</v>
      </c>
      <c r="G13691">
        <v>60993247</v>
      </c>
      <c r="H13691">
        <v>60993189</v>
      </c>
      <c r="I13691">
        <v>60993247</v>
      </c>
    </row>
    <row r="13692" spans="1:9" x14ac:dyDescent="0.2">
      <c r="A13692" t="str">
        <f>"Nek10"</f>
        <v>Nek10</v>
      </c>
      <c r="B13692" t="s">
        <v>4370</v>
      </c>
      <c r="C13692" t="s">
        <v>41</v>
      </c>
      <c r="D13692" t="s">
        <v>17</v>
      </c>
      <c r="E13692" t="s">
        <v>20</v>
      </c>
      <c r="F13692">
        <v>14820814</v>
      </c>
      <c r="G13692">
        <v>14820814</v>
      </c>
      <c r="H13692">
        <v>14820814</v>
      </c>
      <c r="I13692">
        <v>14820814</v>
      </c>
    </row>
    <row r="13693" spans="1:9" x14ac:dyDescent="0.2">
      <c r="A13693" t="str">
        <f>"Nek11"</f>
        <v>Nek11</v>
      </c>
      <c r="B13693" t="s">
        <v>14</v>
      </c>
      <c r="C13693" t="s">
        <v>24</v>
      </c>
      <c r="D13693" t="s">
        <v>11</v>
      </c>
      <c r="E13693" t="s">
        <v>12</v>
      </c>
      <c r="F13693">
        <v>105395237</v>
      </c>
      <c r="G13693">
        <v>105395289</v>
      </c>
      <c r="H13693">
        <v>105395490</v>
      </c>
      <c r="I13693">
        <v>105395530</v>
      </c>
    </row>
    <row r="13694" spans="1:9" x14ac:dyDescent="0.2">
      <c r="A13694" t="str">
        <f>"Nek2"</f>
        <v>Nek2</v>
      </c>
      <c r="B13694" t="s">
        <v>14</v>
      </c>
      <c r="C13694" t="s">
        <v>19</v>
      </c>
      <c r="D13694" t="s">
        <v>17</v>
      </c>
      <c r="E13694" t="s">
        <v>12</v>
      </c>
      <c r="F13694">
        <v>191821492</v>
      </c>
      <c r="G13694">
        <v>191821568</v>
      </c>
      <c r="H13694">
        <v>191821476</v>
      </c>
      <c r="I13694">
        <v>191821489</v>
      </c>
    </row>
    <row r="13695" spans="1:9" x14ac:dyDescent="0.2">
      <c r="A13695" t="str">
        <f>"Nek3"</f>
        <v>Nek3</v>
      </c>
      <c r="B13695" t="s">
        <v>14</v>
      </c>
      <c r="C13695" t="s">
        <v>30</v>
      </c>
      <c r="D13695" t="s">
        <v>11</v>
      </c>
      <c r="E13695" t="s">
        <v>12</v>
      </c>
      <c r="F13695">
        <v>22166413</v>
      </c>
      <c r="G13695">
        <v>22166435</v>
      </c>
      <c r="H13695">
        <v>22166399</v>
      </c>
      <c r="I13695">
        <v>22166408</v>
      </c>
    </row>
    <row r="13696" spans="1:9" x14ac:dyDescent="0.2">
      <c r="A13696" t="str">
        <f>"Nek4"</f>
        <v>Nek4</v>
      </c>
      <c r="B13696" t="s">
        <v>14</v>
      </c>
      <c r="C13696" t="s">
        <v>41</v>
      </c>
      <c r="D13696" t="s">
        <v>17</v>
      </c>
      <c r="E13696" t="s">
        <v>12</v>
      </c>
      <c r="F13696">
        <v>30951452</v>
      </c>
      <c r="G13696">
        <v>30951469</v>
      </c>
      <c r="H13696">
        <v>30951487</v>
      </c>
      <c r="I13696">
        <v>30951510</v>
      </c>
    </row>
    <row r="13697" spans="1:9" x14ac:dyDescent="0.2">
      <c r="A13697" t="str">
        <f>"Nek5"</f>
        <v>Nek5</v>
      </c>
      <c r="B13697" t="s">
        <v>14</v>
      </c>
      <c r="C13697" t="s">
        <v>30</v>
      </c>
      <c r="D13697" t="s">
        <v>11</v>
      </c>
      <c r="E13697" t="s">
        <v>12</v>
      </c>
      <c r="F13697">
        <v>22125030</v>
      </c>
      <c r="G13697">
        <v>22125073</v>
      </c>
      <c r="H13697">
        <v>22125009</v>
      </c>
      <c r="I13697">
        <v>22125017</v>
      </c>
    </row>
    <row r="13698" spans="1:9" x14ac:dyDescent="0.2">
      <c r="A13698" t="str">
        <f>"Nek6"</f>
        <v>Nek6</v>
      </c>
      <c r="B13698" t="s">
        <v>14</v>
      </c>
      <c r="C13698" t="s">
        <v>26</v>
      </c>
      <c r="D13698" t="s">
        <v>17</v>
      </c>
      <c r="E13698" t="s">
        <v>12</v>
      </c>
      <c r="F13698">
        <v>38511670</v>
      </c>
      <c r="G13698">
        <v>38511747</v>
      </c>
      <c r="H13698">
        <v>38511872</v>
      </c>
      <c r="I13698">
        <v>38511886</v>
      </c>
    </row>
    <row r="13699" spans="1:9" x14ac:dyDescent="0.2">
      <c r="A13699" t="str">
        <f>"Nek7"</f>
        <v>Nek7</v>
      </c>
      <c r="B13699" t="s">
        <v>14</v>
      </c>
      <c r="C13699" t="s">
        <v>19</v>
      </c>
      <c r="D13699" t="s">
        <v>11</v>
      </c>
      <c r="E13699" t="s">
        <v>12</v>
      </c>
      <c r="F13699">
        <v>138619687</v>
      </c>
      <c r="G13699">
        <v>138619759</v>
      </c>
      <c r="H13699">
        <v>138619665</v>
      </c>
      <c r="I13699">
        <v>138619683</v>
      </c>
    </row>
    <row r="13700" spans="1:9" x14ac:dyDescent="0.2">
      <c r="A13700" t="str">
        <f>"Nek8"</f>
        <v>Nek8</v>
      </c>
      <c r="B13700" t="s">
        <v>14</v>
      </c>
      <c r="C13700" t="s">
        <v>27</v>
      </c>
      <c r="D13700" t="s">
        <v>11</v>
      </c>
      <c r="E13700" t="s">
        <v>12</v>
      </c>
      <c r="F13700">
        <v>78176619</v>
      </c>
      <c r="G13700">
        <v>78176660</v>
      </c>
      <c r="H13700">
        <v>78176619</v>
      </c>
      <c r="I13700">
        <v>78176660</v>
      </c>
    </row>
    <row r="13701" spans="1:9" x14ac:dyDescent="0.2">
      <c r="A13701" t="str">
        <f>"Nek9"</f>
        <v>Nek9</v>
      </c>
      <c r="B13701" t="s">
        <v>14</v>
      </c>
      <c r="C13701" t="s">
        <v>16</v>
      </c>
      <c r="D13701" t="s">
        <v>11</v>
      </c>
      <c r="E13701" t="s">
        <v>12</v>
      </c>
      <c r="F13701">
        <v>85339346</v>
      </c>
      <c r="G13701">
        <v>85339391</v>
      </c>
      <c r="H13701">
        <v>85339316</v>
      </c>
      <c r="I13701">
        <v>85339327</v>
      </c>
    </row>
    <row r="13702" spans="1:9" x14ac:dyDescent="0.2">
      <c r="A13702" t="str">
        <f>"Nelfa"</f>
        <v>Nelfa</v>
      </c>
      <c r="B13702" t="s">
        <v>14</v>
      </c>
      <c r="C13702" t="s">
        <v>46</v>
      </c>
      <c r="D13702" t="s">
        <v>11</v>
      </c>
      <c r="E13702" t="s">
        <v>67</v>
      </c>
      <c r="F13702">
        <v>33936230</v>
      </c>
      <c r="G13702">
        <v>33936296</v>
      </c>
      <c r="H13702">
        <v>33936301</v>
      </c>
      <c r="I13702">
        <v>33936353</v>
      </c>
    </row>
    <row r="13703" spans="1:9" x14ac:dyDescent="0.2">
      <c r="A13703" t="str">
        <f>"Nelfb"</f>
        <v>Nelfb</v>
      </c>
      <c r="B13703" t="s">
        <v>14</v>
      </c>
      <c r="C13703" t="s">
        <v>26</v>
      </c>
      <c r="D13703" t="s">
        <v>11</v>
      </c>
      <c r="E13703" t="s">
        <v>67</v>
      </c>
      <c r="F13703">
        <v>25211367</v>
      </c>
      <c r="G13703">
        <v>25211436</v>
      </c>
      <c r="H13703">
        <v>25211344</v>
      </c>
      <c r="I13703">
        <v>25211357</v>
      </c>
    </row>
    <row r="13704" spans="1:9" x14ac:dyDescent="0.2">
      <c r="A13704" t="str">
        <f>"Nelfcd"</f>
        <v>Nelfcd</v>
      </c>
      <c r="B13704" t="s">
        <v>14</v>
      </c>
      <c r="C13704" t="s">
        <v>26</v>
      </c>
      <c r="D13704" t="s">
        <v>17</v>
      </c>
      <c r="E13704" t="s">
        <v>67</v>
      </c>
      <c r="F13704">
        <v>174415815</v>
      </c>
      <c r="G13704">
        <v>174415871</v>
      </c>
      <c r="H13704">
        <v>174415815</v>
      </c>
      <c r="I13704">
        <v>174415871</v>
      </c>
    </row>
    <row r="13705" spans="1:9" x14ac:dyDescent="0.2">
      <c r="A13705" t="str">
        <f>"Nelfe"</f>
        <v>Nelfe</v>
      </c>
      <c r="B13705" t="s">
        <v>14</v>
      </c>
      <c r="C13705" t="s">
        <v>28</v>
      </c>
      <c r="D13705" t="s">
        <v>17</v>
      </c>
      <c r="E13705" t="s">
        <v>67</v>
      </c>
      <c r="F13705">
        <v>34850373</v>
      </c>
      <c r="G13705">
        <v>34850422</v>
      </c>
      <c r="H13705">
        <v>34850425</v>
      </c>
      <c r="I13705">
        <v>34850445</v>
      </c>
    </row>
    <row r="13706" spans="1:9" x14ac:dyDescent="0.2">
      <c r="A13706" t="str">
        <f>"Nell1"</f>
        <v>Nell1</v>
      </c>
      <c r="B13706" t="s">
        <v>14</v>
      </c>
      <c r="C13706" t="s">
        <v>33</v>
      </c>
      <c r="D13706" t="s">
        <v>17</v>
      </c>
      <c r="E13706" t="s">
        <v>12</v>
      </c>
      <c r="F13706">
        <v>49975228</v>
      </c>
      <c r="G13706">
        <v>49975340</v>
      </c>
      <c r="H13706">
        <v>49975010</v>
      </c>
      <c r="I13706">
        <v>49975102</v>
      </c>
    </row>
    <row r="13707" spans="1:9" x14ac:dyDescent="0.2">
      <c r="A13707" t="str">
        <f>"Nell2"</f>
        <v>Nell2</v>
      </c>
      <c r="B13707" t="s">
        <v>14</v>
      </c>
      <c r="C13707" t="s">
        <v>25</v>
      </c>
      <c r="D13707" t="s">
        <v>11</v>
      </c>
      <c r="E13707" t="s">
        <v>12</v>
      </c>
      <c r="F13707">
        <v>95528702</v>
      </c>
      <c r="G13707">
        <v>95528777</v>
      </c>
      <c r="H13707">
        <v>95528228</v>
      </c>
      <c r="I13707">
        <v>95528266</v>
      </c>
    </row>
    <row r="13708" spans="1:9" x14ac:dyDescent="0.2">
      <c r="A13708" t="str">
        <f>"Nemf"</f>
        <v>Nemf</v>
      </c>
      <c r="B13708" t="s">
        <v>14</v>
      </c>
      <c r="C13708" t="s">
        <v>16</v>
      </c>
      <c r="D13708" t="s">
        <v>11</v>
      </c>
      <c r="E13708" t="s">
        <v>12</v>
      </c>
      <c r="F13708">
        <v>69357120</v>
      </c>
      <c r="G13708">
        <v>69357181</v>
      </c>
      <c r="H13708">
        <v>69357120</v>
      </c>
      <c r="I13708">
        <v>69357181</v>
      </c>
    </row>
    <row r="13709" spans="1:9" x14ac:dyDescent="0.2">
      <c r="A13709" t="str">
        <f>"Nenf"</f>
        <v>Nenf</v>
      </c>
      <c r="B13709" t="s">
        <v>14</v>
      </c>
      <c r="C13709" t="s">
        <v>19</v>
      </c>
      <c r="D13709" t="s">
        <v>11</v>
      </c>
      <c r="E13709" t="s">
        <v>12</v>
      </c>
      <c r="F13709">
        <v>191318090</v>
      </c>
      <c r="G13709">
        <v>191318126</v>
      </c>
      <c r="H13709">
        <v>191318314</v>
      </c>
      <c r="I13709">
        <v>191318323</v>
      </c>
    </row>
    <row r="13710" spans="1:9" x14ac:dyDescent="0.2">
      <c r="A13710" t="str">
        <f>"Neo1"</f>
        <v>Neo1</v>
      </c>
      <c r="B13710" t="s">
        <v>14</v>
      </c>
      <c r="C13710" t="s">
        <v>24</v>
      </c>
      <c r="D13710" t="s">
        <v>11</v>
      </c>
      <c r="E13710" t="s">
        <v>12</v>
      </c>
      <c r="F13710">
        <v>59036387</v>
      </c>
      <c r="G13710">
        <v>59036460</v>
      </c>
      <c r="H13710">
        <v>59036202</v>
      </c>
      <c r="I13710">
        <v>59036221</v>
      </c>
    </row>
    <row r="13711" spans="1:9" x14ac:dyDescent="0.2">
      <c r="A13711" t="str">
        <f>"Nepn"</f>
        <v>Nepn</v>
      </c>
      <c r="B13711" t="s">
        <v>9</v>
      </c>
      <c r="C13711" t="s">
        <v>15</v>
      </c>
      <c r="D13711" t="s">
        <v>17</v>
      </c>
      <c r="E13711" t="s">
        <v>12</v>
      </c>
      <c r="F13711">
        <v>52391606</v>
      </c>
      <c r="G13711">
        <v>52391610</v>
      </c>
      <c r="H13711">
        <v>52391606</v>
      </c>
      <c r="I13711">
        <v>52391610</v>
      </c>
    </row>
    <row r="13712" spans="1:9" x14ac:dyDescent="0.2">
      <c r="A13712" t="str">
        <f>"Nepn"</f>
        <v>Nepn</v>
      </c>
      <c r="B13712" t="s">
        <v>13</v>
      </c>
      <c r="C13712" t="s">
        <v>15</v>
      </c>
      <c r="D13712" t="s">
        <v>17</v>
      </c>
      <c r="E13712" t="s">
        <v>12</v>
      </c>
      <c r="F13712">
        <v>52388963</v>
      </c>
      <c r="G13712">
        <v>52388977</v>
      </c>
      <c r="H13712">
        <v>52388963</v>
      </c>
      <c r="I13712">
        <v>52388977</v>
      </c>
    </row>
    <row r="13713" spans="1:9" x14ac:dyDescent="0.2">
      <c r="A13713" t="str">
        <f>"Nes"</f>
        <v>Nes</v>
      </c>
      <c r="B13713" t="s">
        <v>14</v>
      </c>
      <c r="C13713" t="s">
        <v>22</v>
      </c>
      <c r="D13713" t="s">
        <v>17</v>
      </c>
      <c r="E13713" t="s">
        <v>12</v>
      </c>
      <c r="F13713">
        <v>87971071</v>
      </c>
      <c r="G13713">
        <v>87971089</v>
      </c>
      <c r="H13713">
        <v>87971154</v>
      </c>
      <c r="I13713">
        <v>87971165</v>
      </c>
    </row>
    <row r="13714" spans="1:9" x14ac:dyDescent="0.2">
      <c r="A13714" t="str">
        <f>"Net1"</f>
        <v>Net1</v>
      </c>
      <c r="B13714" t="s">
        <v>9</v>
      </c>
      <c r="C13714" t="s">
        <v>39</v>
      </c>
      <c r="D13714" t="s">
        <v>11</v>
      </c>
      <c r="E13714" t="s">
        <v>12</v>
      </c>
      <c r="F13714">
        <v>3918157</v>
      </c>
      <c r="G13714">
        <v>3918219</v>
      </c>
      <c r="H13714">
        <v>3918157</v>
      </c>
      <c r="I13714">
        <v>3918219</v>
      </c>
    </row>
    <row r="13715" spans="1:9" x14ac:dyDescent="0.2">
      <c r="A13715" t="str">
        <f>"Net1"</f>
        <v>Net1</v>
      </c>
      <c r="B13715" t="s">
        <v>13</v>
      </c>
      <c r="C13715" t="s">
        <v>39</v>
      </c>
      <c r="D13715" t="s">
        <v>11</v>
      </c>
      <c r="E13715" t="s">
        <v>12</v>
      </c>
      <c r="F13715">
        <v>3893506</v>
      </c>
      <c r="G13715">
        <v>3893553</v>
      </c>
      <c r="H13715">
        <v>3893506</v>
      </c>
      <c r="I13715">
        <v>3893553</v>
      </c>
    </row>
    <row r="13716" spans="1:9" x14ac:dyDescent="0.2">
      <c r="A13716" t="str">
        <f>"Neto1"</f>
        <v>Neto1</v>
      </c>
      <c r="B13716" t="s">
        <v>14</v>
      </c>
      <c r="C13716" t="s">
        <v>43</v>
      </c>
      <c r="D13716" t="s">
        <v>17</v>
      </c>
      <c r="E13716" t="s">
        <v>12</v>
      </c>
      <c r="F13716">
        <v>86394810</v>
      </c>
      <c r="G13716">
        <v>86394863</v>
      </c>
      <c r="H13716">
        <v>86394952</v>
      </c>
      <c r="I13716">
        <v>86394968</v>
      </c>
    </row>
    <row r="13717" spans="1:9" x14ac:dyDescent="0.2">
      <c r="A13717" t="str">
        <f>"Neto2"</f>
        <v>Neto2</v>
      </c>
      <c r="B13717" t="s">
        <v>14</v>
      </c>
      <c r="C13717" t="s">
        <v>30</v>
      </c>
      <c r="D13717" t="s">
        <v>11</v>
      </c>
      <c r="E13717" t="s">
        <v>12</v>
      </c>
      <c r="F13717">
        <v>85700885</v>
      </c>
      <c r="G13717">
        <v>85700900</v>
      </c>
      <c r="H13717">
        <v>85700799</v>
      </c>
      <c r="I13717">
        <v>85700819</v>
      </c>
    </row>
    <row r="13718" spans="1:9" x14ac:dyDescent="0.2">
      <c r="A13718" t="str">
        <f>"Neu1"</f>
        <v>Neu1</v>
      </c>
      <c r="B13718" t="s">
        <v>14</v>
      </c>
      <c r="C13718" t="s">
        <v>28</v>
      </c>
      <c r="D13718" t="s">
        <v>17</v>
      </c>
      <c r="E13718" t="s">
        <v>12</v>
      </c>
      <c r="F13718">
        <v>34931348</v>
      </c>
      <c r="G13718">
        <v>34931384</v>
      </c>
      <c r="H13718">
        <v>34931331</v>
      </c>
      <c r="I13718">
        <v>34931343</v>
      </c>
    </row>
    <row r="13719" spans="1:9" x14ac:dyDescent="0.2">
      <c r="A13719" t="str">
        <f>"Neu2"</f>
        <v>Neu2</v>
      </c>
      <c r="B13719" t="s">
        <v>9</v>
      </c>
      <c r="C13719" t="s">
        <v>19</v>
      </c>
      <c r="D13719" t="s">
        <v>17</v>
      </c>
      <c r="E13719" t="s">
        <v>12</v>
      </c>
      <c r="F13719">
        <v>87574016</v>
      </c>
      <c r="G13719">
        <v>87574032</v>
      </c>
      <c r="H13719">
        <v>87574016</v>
      </c>
      <c r="I13719">
        <v>87574032</v>
      </c>
    </row>
    <row r="13720" spans="1:9" x14ac:dyDescent="0.2">
      <c r="A13720" t="str">
        <f>"Neu2"</f>
        <v>Neu2</v>
      </c>
      <c r="B13720" t="s">
        <v>13</v>
      </c>
      <c r="C13720" t="s">
        <v>19</v>
      </c>
      <c r="D13720" t="s">
        <v>17</v>
      </c>
      <c r="E13720" t="s">
        <v>12</v>
      </c>
      <c r="F13720">
        <v>87594545</v>
      </c>
      <c r="G13720">
        <v>87594556</v>
      </c>
      <c r="H13720">
        <v>87594545</v>
      </c>
      <c r="I13720">
        <v>87594556</v>
      </c>
    </row>
    <row r="13721" spans="1:9" x14ac:dyDescent="0.2">
      <c r="A13721" t="str">
        <f>"Neu3"</f>
        <v>Neu3</v>
      </c>
      <c r="B13721" t="s">
        <v>14</v>
      </c>
      <c r="C13721" t="s">
        <v>33</v>
      </c>
      <c r="D13721" t="s">
        <v>11</v>
      </c>
      <c r="E13721" t="s">
        <v>12</v>
      </c>
      <c r="F13721">
        <v>99828344</v>
      </c>
      <c r="G13721">
        <v>99828384</v>
      </c>
      <c r="H13721">
        <v>99828287</v>
      </c>
      <c r="I13721">
        <v>99828308</v>
      </c>
    </row>
    <row r="13722" spans="1:9" x14ac:dyDescent="0.2">
      <c r="A13722" t="str">
        <f>"Neu4"</f>
        <v>Neu4</v>
      </c>
      <c r="B13722" t="s">
        <v>14</v>
      </c>
      <c r="C13722" t="s">
        <v>19</v>
      </c>
      <c r="D13722" t="s">
        <v>17</v>
      </c>
      <c r="E13722" t="s">
        <v>12</v>
      </c>
      <c r="F13722">
        <v>94020459</v>
      </c>
      <c r="G13722">
        <v>94020485</v>
      </c>
      <c r="H13722">
        <v>94020517</v>
      </c>
      <c r="I13722">
        <v>94020527</v>
      </c>
    </row>
    <row r="13723" spans="1:9" x14ac:dyDescent="0.2">
      <c r="A13723" t="str">
        <f>"Neurl1a"</f>
        <v>Neurl1a</v>
      </c>
      <c r="B13723" t="s">
        <v>14</v>
      </c>
      <c r="C13723" t="s">
        <v>10</v>
      </c>
      <c r="D13723" t="s">
        <v>17</v>
      </c>
      <c r="E13723" t="s">
        <v>12</v>
      </c>
      <c r="F13723">
        <v>47179116</v>
      </c>
      <c r="G13723">
        <v>47179176</v>
      </c>
      <c r="H13723">
        <v>47178947</v>
      </c>
      <c r="I13723">
        <v>47178997</v>
      </c>
    </row>
    <row r="13724" spans="1:9" x14ac:dyDescent="0.2">
      <c r="A13724" t="str">
        <f>"Neurl1b"</f>
        <v>Neurl1b</v>
      </c>
      <c r="B13724" t="s">
        <v>14</v>
      </c>
      <c r="C13724" t="s">
        <v>28</v>
      </c>
      <c r="D13724" t="s">
        <v>17</v>
      </c>
      <c r="E13724" t="s">
        <v>12</v>
      </c>
      <c r="F13724">
        <v>26414820</v>
      </c>
      <c r="G13724">
        <v>26414895</v>
      </c>
      <c r="H13724">
        <v>26414761</v>
      </c>
      <c r="I13724">
        <v>26414779</v>
      </c>
    </row>
    <row r="13725" spans="1:9" x14ac:dyDescent="0.2">
      <c r="A13725" t="str">
        <f>"Neurl2"</f>
        <v>Neurl2</v>
      </c>
      <c r="B13725" t="s">
        <v>14</v>
      </c>
      <c r="C13725" t="s">
        <v>26</v>
      </c>
      <c r="D13725" t="s">
        <v>11</v>
      </c>
      <c r="E13725" t="s">
        <v>12</v>
      </c>
      <c r="F13725">
        <v>164833438</v>
      </c>
      <c r="G13725">
        <v>164833480</v>
      </c>
      <c r="H13725">
        <v>164833733</v>
      </c>
      <c r="I13725">
        <v>164833758</v>
      </c>
    </row>
    <row r="13726" spans="1:9" x14ac:dyDescent="0.2">
      <c r="A13726" t="str">
        <f>"Neurl3"</f>
        <v>Neurl3</v>
      </c>
      <c r="B13726" t="s">
        <v>14</v>
      </c>
      <c r="C13726" t="s">
        <v>19</v>
      </c>
      <c r="D13726" t="s">
        <v>11</v>
      </c>
      <c r="E13726" t="s">
        <v>12</v>
      </c>
      <c r="F13726">
        <v>36273427</v>
      </c>
      <c r="G13726">
        <v>36273443</v>
      </c>
      <c r="H13726">
        <v>36273427</v>
      </c>
      <c r="I13726">
        <v>36273443</v>
      </c>
    </row>
    <row r="13727" spans="1:9" x14ac:dyDescent="0.2">
      <c r="A13727" t="str">
        <f>"Neurl4"</f>
        <v>Neurl4</v>
      </c>
      <c r="B13727" t="s">
        <v>14</v>
      </c>
      <c r="C13727" t="s">
        <v>27</v>
      </c>
      <c r="D13727" t="s">
        <v>17</v>
      </c>
      <c r="E13727" t="s">
        <v>12</v>
      </c>
      <c r="F13727">
        <v>69901848</v>
      </c>
      <c r="G13727">
        <v>69901894</v>
      </c>
      <c r="H13727">
        <v>69901704</v>
      </c>
      <c r="I13727">
        <v>69901758</v>
      </c>
    </row>
    <row r="13728" spans="1:9" x14ac:dyDescent="0.2">
      <c r="A13728" t="str">
        <f>"Neurod1"</f>
        <v>Neurod1</v>
      </c>
      <c r="B13728" t="s">
        <v>14</v>
      </c>
      <c r="C13728" t="s">
        <v>26</v>
      </c>
      <c r="D13728" t="s">
        <v>11</v>
      </c>
      <c r="E13728" t="s">
        <v>12</v>
      </c>
      <c r="F13728">
        <v>79456626</v>
      </c>
      <c r="G13728">
        <v>79456644</v>
      </c>
      <c r="H13728">
        <v>79456750</v>
      </c>
      <c r="I13728">
        <v>79456761</v>
      </c>
    </row>
    <row r="13729" spans="1:9" x14ac:dyDescent="0.2">
      <c r="A13729" t="str">
        <f>"Neurod2"</f>
        <v>Neurod2</v>
      </c>
      <c r="B13729" t="s">
        <v>14</v>
      </c>
      <c r="C13729" t="s">
        <v>27</v>
      </c>
      <c r="D13729" t="s">
        <v>11</v>
      </c>
      <c r="E13729" t="s">
        <v>12</v>
      </c>
      <c r="F13729">
        <v>98329604</v>
      </c>
      <c r="G13729">
        <v>98329637</v>
      </c>
      <c r="H13729">
        <v>98329641</v>
      </c>
      <c r="I13729">
        <v>98329654</v>
      </c>
    </row>
    <row r="13730" spans="1:9" x14ac:dyDescent="0.2">
      <c r="A13730" t="str">
        <f>"Neurod4"</f>
        <v>Neurod4</v>
      </c>
      <c r="B13730" t="s">
        <v>14</v>
      </c>
      <c r="C13730" t="s">
        <v>15</v>
      </c>
      <c r="D13730" t="s">
        <v>11</v>
      </c>
      <c r="E13730" t="s">
        <v>12</v>
      </c>
      <c r="F13730">
        <v>130280218</v>
      </c>
      <c r="G13730">
        <v>130280242</v>
      </c>
      <c r="H13730">
        <v>130280252</v>
      </c>
      <c r="I13730">
        <v>130280263</v>
      </c>
    </row>
    <row r="13731" spans="1:9" x14ac:dyDescent="0.2">
      <c r="A13731" t="str">
        <f>"Neurod6"</f>
        <v>Neurod6</v>
      </c>
      <c r="B13731" t="s">
        <v>14</v>
      </c>
      <c r="C13731" t="s">
        <v>32</v>
      </c>
      <c r="D13731" t="s">
        <v>11</v>
      </c>
      <c r="E13731" t="s">
        <v>12</v>
      </c>
      <c r="F13731">
        <v>55681048</v>
      </c>
      <c r="G13731">
        <v>55681108</v>
      </c>
      <c r="H13731">
        <v>55681257</v>
      </c>
      <c r="I13731">
        <v>55681271</v>
      </c>
    </row>
    <row r="13732" spans="1:9" x14ac:dyDescent="0.2">
      <c r="A13732" t="str">
        <f>"Neurog1"</f>
        <v>Neurog1</v>
      </c>
      <c r="B13732" t="s">
        <v>14</v>
      </c>
      <c r="C13732" t="s">
        <v>39</v>
      </c>
      <c r="D13732" t="s">
        <v>11</v>
      </c>
      <c r="E13732" t="s">
        <v>12</v>
      </c>
      <c r="F13732">
        <v>56252175</v>
      </c>
      <c r="G13732">
        <v>56252181</v>
      </c>
      <c r="H13732">
        <v>56252271</v>
      </c>
      <c r="I13732">
        <v>56252273</v>
      </c>
    </row>
    <row r="13733" spans="1:9" x14ac:dyDescent="0.2">
      <c r="A13733" t="str">
        <f>"Neurog2"</f>
        <v>Neurog2</v>
      </c>
      <c r="B13733" t="s">
        <v>14</v>
      </c>
      <c r="C13733" t="s">
        <v>22</v>
      </c>
      <c r="D13733" t="s">
        <v>17</v>
      </c>
      <c r="E13733" t="s">
        <v>12</v>
      </c>
      <c r="F13733">
        <v>127633134</v>
      </c>
      <c r="G13733">
        <v>127633140</v>
      </c>
      <c r="H13733">
        <v>127633134</v>
      </c>
      <c r="I13733">
        <v>127633140</v>
      </c>
    </row>
    <row r="13734" spans="1:9" x14ac:dyDescent="0.2">
      <c r="A13734" t="str">
        <f>"Neurog3"</f>
        <v>Neurog3</v>
      </c>
      <c r="B13734" t="s">
        <v>14</v>
      </c>
      <c r="C13734" t="s">
        <v>15</v>
      </c>
      <c r="D13734" t="s">
        <v>17</v>
      </c>
      <c r="E13734" t="s">
        <v>12</v>
      </c>
      <c r="F13734">
        <v>62133082</v>
      </c>
      <c r="G13734">
        <v>62133098</v>
      </c>
      <c r="H13734">
        <v>62133082</v>
      </c>
      <c r="I13734">
        <v>62133098</v>
      </c>
    </row>
    <row r="13735" spans="1:9" x14ac:dyDescent="0.2">
      <c r="A13735" t="str">
        <f>"Nexn"</f>
        <v>Nexn</v>
      </c>
      <c r="B13735" t="s">
        <v>9</v>
      </c>
      <c r="C13735" t="s">
        <v>22</v>
      </c>
      <c r="D13735" t="s">
        <v>11</v>
      </c>
      <c r="E13735" t="s">
        <v>12</v>
      </c>
      <c r="F13735">
        <v>152248351</v>
      </c>
      <c r="G13735">
        <v>152248374</v>
      </c>
      <c r="H13735">
        <v>152248351</v>
      </c>
      <c r="I13735">
        <v>152248374</v>
      </c>
    </row>
    <row r="13736" spans="1:9" x14ac:dyDescent="0.2">
      <c r="A13736" t="str">
        <f>"Nexn"</f>
        <v>Nexn</v>
      </c>
      <c r="B13736" t="s">
        <v>13</v>
      </c>
      <c r="C13736" t="s">
        <v>22</v>
      </c>
      <c r="D13736" t="s">
        <v>11</v>
      </c>
      <c r="E13736" t="s">
        <v>12</v>
      </c>
      <c r="F13736">
        <v>152253719</v>
      </c>
      <c r="G13736">
        <v>152253750</v>
      </c>
      <c r="H13736">
        <v>152253719</v>
      </c>
      <c r="I13736">
        <v>152253750</v>
      </c>
    </row>
    <row r="13737" spans="1:9" x14ac:dyDescent="0.2">
      <c r="A13737" t="str">
        <f>"Nf1"</f>
        <v>Nf1</v>
      </c>
      <c r="B13737" t="s">
        <v>14</v>
      </c>
      <c r="C13737" t="s">
        <v>27</v>
      </c>
      <c r="D13737" t="s">
        <v>17</v>
      </c>
      <c r="E13737" t="s">
        <v>12</v>
      </c>
      <c r="F13737">
        <v>79339641</v>
      </c>
      <c r="G13737">
        <v>79339693</v>
      </c>
      <c r="H13737">
        <v>79339582</v>
      </c>
      <c r="I13737">
        <v>79339635</v>
      </c>
    </row>
    <row r="13738" spans="1:9" x14ac:dyDescent="0.2">
      <c r="A13738" t="str">
        <f>"Nf2"</f>
        <v>Nf2</v>
      </c>
      <c r="B13738" t="s">
        <v>14</v>
      </c>
      <c r="C13738" t="s">
        <v>27</v>
      </c>
      <c r="D13738" t="s">
        <v>11</v>
      </c>
      <c r="E13738" t="s">
        <v>12</v>
      </c>
      <c r="F13738">
        <v>4849345</v>
      </c>
      <c r="G13738">
        <v>4849473</v>
      </c>
      <c r="H13738">
        <v>4849323</v>
      </c>
      <c r="I13738">
        <v>4849343</v>
      </c>
    </row>
    <row r="13739" spans="1:9" x14ac:dyDescent="0.2">
      <c r="A13739" t="str">
        <f>"Nfam1"</f>
        <v>Nfam1</v>
      </c>
      <c r="B13739" t="s">
        <v>14</v>
      </c>
      <c r="C13739" t="s">
        <v>25</v>
      </c>
      <c r="D13739" t="s">
        <v>11</v>
      </c>
      <c r="E13739" t="s">
        <v>12</v>
      </c>
      <c r="F13739">
        <v>83033294</v>
      </c>
      <c r="G13739">
        <v>83033312</v>
      </c>
      <c r="H13739">
        <v>83033252</v>
      </c>
      <c r="I13739">
        <v>83033274</v>
      </c>
    </row>
    <row r="13740" spans="1:9" x14ac:dyDescent="0.2">
      <c r="A13740" t="str">
        <f>"Nfasc"</f>
        <v>Nfasc</v>
      </c>
      <c r="B13740" t="s">
        <v>14</v>
      </c>
      <c r="C13740" t="s">
        <v>19</v>
      </c>
      <c r="D13740" t="s">
        <v>11</v>
      </c>
      <c r="E13740" t="s">
        <v>12</v>
      </c>
      <c r="F13740">
        <v>132741750</v>
      </c>
      <c r="G13740">
        <v>132741806</v>
      </c>
      <c r="H13740">
        <v>132741750</v>
      </c>
      <c r="I13740">
        <v>132741806</v>
      </c>
    </row>
    <row r="13741" spans="1:9" x14ac:dyDescent="0.2">
      <c r="A13741" t="str">
        <f>"Nfat5"</f>
        <v>Nfat5</v>
      </c>
      <c r="B13741" t="s">
        <v>4371</v>
      </c>
      <c r="C13741" t="s">
        <v>30</v>
      </c>
      <c r="D13741" t="s">
        <v>17</v>
      </c>
      <c r="E13741" t="s">
        <v>35</v>
      </c>
      <c r="F13741">
        <v>107338815</v>
      </c>
      <c r="G13741">
        <v>107338832</v>
      </c>
      <c r="H13741">
        <v>107338839</v>
      </c>
      <c r="I13741">
        <v>107338851</v>
      </c>
    </row>
    <row r="13742" spans="1:9" x14ac:dyDescent="0.2">
      <c r="A13742" t="str">
        <f>"Nfatc1"</f>
        <v>Nfatc1</v>
      </c>
      <c r="B13742" t="s">
        <v>9</v>
      </c>
      <c r="C13742" t="s">
        <v>43</v>
      </c>
      <c r="D13742" t="s">
        <v>11</v>
      </c>
      <c r="E13742" t="s">
        <v>12</v>
      </c>
      <c r="F13742">
        <v>80713062</v>
      </c>
      <c r="G13742">
        <v>80713080</v>
      </c>
      <c r="H13742">
        <v>80713062</v>
      </c>
      <c r="I13742">
        <v>80713080</v>
      </c>
    </row>
    <row r="13743" spans="1:9" x14ac:dyDescent="0.2">
      <c r="A13743" t="str">
        <f>"Nfatc1"</f>
        <v>Nfatc1</v>
      </c>
      <c r="B13743" t="s">
        <v>13</v>
      </c>
      <c r="C13743" t="s">
        <v>43</v>
      </c>
      <c r="D13743" t="s">
        <v>11</v>
      </c>
      <c r="E13743" t="s">
        <v>12</v>
      </c>
      <c r="F13743">
        <v>80708115</v>
      </c>
      <c r="G13743">
        <v>80708180</v>
      </c>
      <c r="H13743">
        <v>80708115</v>
      </c>
      <c r="I13743">
        <v>80708180</v>
      </c>
    </row>
    <row r="13744" spans="1:9" x14ac:dyDescent="0.2">
      <c r="A13744" t="str">
        <f>"Nfatc2"</f>
        <v>Nfatc2</v>
      </c>
      <c r="B13744" t="s">
        <v>9</v>
      </c>
      <c r="C13744" t="s">
        <v>26</v>
      </c>
      <c r="D13744" t="s">
        <v>11</v>
      </c>
      <c r="E13744" t="s">
        <v>12</v>
      </c>
      <c r="F13744">
        <v>168590315</v>
      </c>
      <c r="G13744">
        <v>168590372</v>
      </c>
      <c r="H13744">
        <v>168590315</v>
      </c>
      <c r="I13744">
        <v>168590372</v>
      </c>
    </row>
    <row r="13745" spans="1:9" x14ac:dyDescent="0.2">
      <c r="A13745" t="str">
        <f>"Nfatc2"</f>
        <v>Nfatc2</v>
      </c>
      <c r="B13745" t="s">
        <v>13</v>
      </c>
      <c r="C13745" t="s">
        <v>26</v>
      </c>
      <c r="D13745" t="s">
        <v>11</v>
      </c>
      <c r="E13745" t="s">
        <v>12</v>
      </c>
      <c r="F13745">
        <v>168601752</v>
      </c>
      <c r="G13745">
        <v>168601773</v>
      </c>
      <c r="H13745">
        <v>168601752</v>
      </c>
      <c r="I13745">
        <v>168601773</v>
      </c>
    </row>
    <row r="13746" spans="1:9" x14ac:dyDescent="0.2">
      <c r="A13746" t="str">
        <f>"Nfatc2ip"</f>
        <v>Nfatc2ip</v>
      </c>
      <c r="B13746" t="s">
        <v>14</v>
      </c>
      <c r="C13746" t="s">
        <v>33</v>
      </c>
      <c r="D13746" t="s">
        <v>11</v>
      </c>
      <c r="E13746" t="s">
        <v>12</v>
      </c>
      <c r="F13746">
        <v>126396715</v>
      </c>
      <c r="G13746">
        <v>126396762</v>
      </c>
      <c r="H13746">
        <v>126396773</v>
      </c>
      <c r="I13746">
        <v>126396782</v>
      </c>
    </row>
    <row r="13747" spans="1:9" x14ac:dyDescent="0.2">
      <c r="A13747" t="str">
        <f>"Nfatc3"</f>
        <v>Nfatc3</v>
      </c>
      <c r="B13747" t="s">
        <v>14</v>
      </c>
      <c r="C13747" t="s">
        <v>30</v>
      </c>
      <c r="D13747" t="s">
        <v>17</v>
      </c>
      <c r="E13747" t="s">
        <v>12</v>
      </c>
      <c r="F13747">
        <v>106059562</v>
      </c>
      <c r="G13747">
        <v>106059623</v>
      </c>
      <c r="H13747">
        <v>106059650</v>
      </c>
      <c r="I13747">
        <v>106059695</v>
      </c>
    </row>
    <row r="13748" spans="1:9" x14ac:dyDescent="0.2">
      <c r="A13748" t="str">
        <f>"Nfatc4"</f>
        <v>Nfatc4</v>
      </c>
      <c r="B13748" t="s">
        <v>14</v>
      </c>
      <c r="C13748" t="s">
        <v>41</v>
      </c>
      <c r="D13748" t="s">
        <v>17</v>
      </c>
      <c r="E13748" t="s">
        <v>12</v>
      </c>
      <c r="F13748">
        <v>55824969</v>
      </c>
      <c r="G13748">
        <v>55825011</v>
      </c>
      <c r="H13748">
        <v>55824861</v>
      </c>
      <c r="I13748">
        <v>55824889</v>
      </c>
    </row>
    <row r="13749" spans="1:9" x14ac:dyDescent="0.2">
      <c r="A13749" t="str">
        <f>"Nfe2"</f>
        <v>Nfe2</v>
      </c>
      <c r="B13749" t="s">
        <v>14</v>
      </c>
      <c r="C13749" t="s">
        <v>25</v>
      </c>
      <c r="D13749" t="s">
        <v>11</v>
      </c>
      <c r="E13749" t="s">
        <v>12</v>
      </c>
      <c r="F13749">
        <v>103255229</v>
      </c>
      <c r="G13749">
        <v>103255250</v>
      </c>
      <c r="H13749">
        <v>103255229</v>
      </c>
      <c r="I13749">
        <v>103255250</v>
      </c>
    </row>
    <row r="13750" spans="1:9" x14ac:dyDescent="0.2">
      <c r="A13750" t="str">
        <f>"Nfe2l1"</f>
        <v>Nfe2l1</v>
      </c>
      <c r="B13750" t="s">
        <v>14</v>
      </c>
      <c r="C13750" t="s">
        <v>27</v>
      </c>
      <c r="D13750" t="s">
        <v>11</v>
      </c>
      <c r="E13750" t="s">
        <v>12</v>
      </c>
      <c r="F13750">
        <v>96829483</v>
      </c>
      <c r="G13750">
        <v>96829499</v>
      </c>
      <c r="H13750">
        <v>96829904</v>
      </c>
      <c r="I13750">
        <v>96829951</v>
      </c>
    </row>
    <row r="13751" spans="1:9" x14ac:dyDescent="0.2">
      <c r="A13751" t="str">
        <f>"Nfe2l2"</f>
        <v>Nfe2l2</v>
      </c>
      <c r="B13751" t="s">
        <v>14</v>
      </c>
      <c r="C13751" t="s">
        <v>26</v>
      </c>
      <c r="D13751" t="s">
        <v>11</v>
      </c>
      <c r="E13751" t="s">
        <v>12</v>
      </c>
      <c r="F13751">
        <v>75704470</v>
      </c>
      <c r="G13751">
        <v>75704533</v>
      </c>
      <c r="H13751">
        <v>75704535</v>
      </c>
      <c r="I13751">
        <v>75704552</v>
      </c>
    </row>
    <row r="13752" spans="1:9" x14ac:dyDescent="0.2">
      <c r="A13752" t="str">
        <f>"Nfe2l3"</f>
        <v>Nfe2l3</v>
      </c>
      <c r="B13752" t="s">
        <v>14</v>
      </c>
      <c r="C13752" t="s">
        <v>32</v>
      </c>
      <c r="D13752" t="s">
        <v>17</v>
      </c>
      <c r="E13752" t="s">
        <v>12</v>
      </c>
      <c r="F13752">
        <v>51432678</v>
      </c>
      <c r="G13752">
        <v>51432784</v>
      </c>
      <c r="H13752">
        <v>51432823</v>
      </c>
      <c r="I13752">
        <v>51432834</v>
      </c>
    </row>
    <row r="13753" spans="1:9" x14ac:dyDescent="0.2">
      <c r="A13753" t="str">
        <f>"Nfia"</f>
        <v>Nfia</v>
      </c>
      <c r="B13753" t="s">
        <v>14</v>
      </c>
      <c r="C13753" t="s">
        <v>23</v>
      </c>
      <c r="D13753" t="s">
        <v>17</v>
      </c>
      <c r="E13753" t="s">
        <v>12</v>
      </c>
      <c r="F13753">
        <v>97777780</v>
      </c>
      <c r="G13753">
        <v>97777823</v>
      </c>
      <c r="H13753">
        <v>97777606</v>
      </c>
      <c r="I13753">
        <v>97777632</v>
      </c>
    </row>
    <row r="13754" spans="1:9" x14ac:dyDescent="0.2">
      <c r="A13754" t="str">
        <f>"Nfib"</f>
        <v>Nfib</v>
      </c>
      <c r="B13754" t="s">
        <v>14</v>
      </c>
      <c r="C13754" t="s">
        <v>23</v>
      </c>
      <c r="D13754" t="s">
        <v>11</v>
      </c>
      <c r="E13754" t="s">
        <v>12</v>
      </c>
      <c r="F13754">
        <v>82505274</v>
      </c>
      <c r="G13754">
        <v>82505358</v>
      </c>
      <c r="H13754">
        <v>82505749</v>
      </c>
      <c r="I13754">
        <v>82505802</v>
      </c>
    </row>
    <row r="13755" spans="1:9" x14ac:dyDescent="0.2">
      <c r="A13755" t="str">
        <f>"Nfic"</f>
        <v>Nfic</v>
      </c>
      <c r="B13755" t="s">
        <v>9</v>
      </c>
      <c r="C13755" t="s">
        <v>15</v>
      </c>
      <c r="D13755" t="s">
        <v>11</v>
      </c>
      <c r="E13755" t="s">
        <v>12</v>
      </c>
      <c r="F13755">
        <v>81427122</v>
      </c>
      <c r="G13755">
        <v>81427179</v>
      </c>
      <c r="H13755">
        <v>81427122</v>
      </c>
      <c r="I13755">
        <v>81427179</v>
      </c>
    </row>
    <row r="13756" spans="1:9" x14ac:dyDescent="0.2">
      <c r="A13756" t="str">
        <f>"Nfic"</f>
        <v>Nfic</v>
      </c>
      <c r="B13756" t="s">
        <v>13</v>
      </c>
      <c r="C13756" t="s">
        <v>15</v>
      </c>
      <c r="D13756" t="s">
        <v>11</v>
      </c>
      <c r="E13756" t="s">
        <v>12</v>
      </c>
      <c r="F13756">
        <v>81430804</v>
      </c>
      <c r="G13756">
        <v>81430845</v>
      </c>
      <c r="H13756">
        <v>81430804</v>
      </c>
      <c r="I13756">
        <v>81430845</v>
      </c>
    </row>
    <row r="13757" spans="1:9" x14ac:dyDescent="0.2">
      <c r="A13757" t="str">
        <f>"Nfil3"</f>
        <v>Nfil3</v>
      </c>
      <c r="B13757" t="s">
        <v>14</v>
      </c>
      <c r="C13757" t="s">
        <v>39</v>
      </c>
      <c r="D13757" t="s">
        <v>11</v>
      </c>
      <c r="E13757" t="s">
        <v>12</v>
      </c>
      <c r="F13757">
        <v>52981027</v>
      </c>
      <c r="G13757">
        <v>52981083</v>
      </c>
      <c r="H13757">
        <v>52981013</v>
      </c>
      <c r="I13757">
        <v>52981024</v>
      </c>
    </row>
    <row r="13758" spans="1:9" x14ac:dyDescent="0.2">
      <c r="A13758" t="str">
        <f>"Nfix"</f>
        <v>Nfix</v>
      </c>
      <c r="B13758" t="s">
        <v>9</v>
      </c>
      <c r="C13758" t="s">
        <v>30</v>
      </c>
      <c r="D13758" t="s">
        <v>11</v>
      </c>
      <c r="E13758" t="s">
        <v>12</v>
      </c>
      <c r="F13758">
        <v>84800344</v>
      </c>
      <c r="G13758">
        <v>84800378</v>
      </c>
      <c r="H13758">
        <v>84800344</v>
      </c>
      <c r="I13758">
        <v>84800378</v>
      </c>
    </row>
    <row r="13759" spans="1:9" x14ac:dyDescent="0.2">
      <c r="A13759" t="str">
        <f>"Nfix"</f>
        <v>Nfix</v>
      </c>
      <c r="B13759" t="s">
        <v>13</v>
      </c>
      <c r="C13759" t="s">
        <v>30</v>
      </c>
      <c r="D13759" t="s">
        <v>11</v>
      </c>
      <c r="E13759" t="s">
        <v>12</v>
      </c>
      <c r="F13759">
        <v>84773381</v>
      </c>
      <c r="G13759">
        <v>84773427</v>
      </c>
      <c r="H13759">
        <v>84773381</v>
      </c>
      <c r="I13759">
        <v>84773427</v>
      </c>
    </row>
    <row r="13760" spans="1:9" x14ac:dyDescent="0.2">
      <c r="A13760" t="str">
        <f>"Nfkb1"</f>
        <v>Nfkb1</v>
      </c>
      <c r="B13760" t="s">
        <v>14</v>
      </c>
      <c r="C13760" t="s">
        <v>22</v>
      </c>
      <c r="D13760" t="s">
        <v>11</v>
      </c>
      <c r="E13760" t="s">
        <v>12</v>
      </c>
      <c r="F13760">
        <v>135691420</v>
      </c>
      <c r="G13760">
        <v>135691479</v>
      </c>
      <c r="H13760">
        <v>135691512</v>
      </c>
      <c r="I13760">
        <v>135691564</v>
      </c>
    </row>
    <row r="13761" spans="1:9" x14ac:dyDescent="0.2">
      <c r="A13761" t="str">
        <f>"Nfkb2"</f>
        <v>Nfkb2</v>
      </c>
      <c r="B13761" t="s">
        <v>14</v>
      </c>
      <c r="C13761" t="s">
        <v>10</v>
      </c>
      <c r="D13761" t="s">
        <v>17</v>
      </c>
      <c r="E13761" t="s">
        <v>12</v>
      </c>
      <c r="F13761">
        <v>46304709</v>
      </c>
      <c r="G13761">
        <v>46304811</v>
      </c>
      <c r="H13761">
        <v>46305682</v>
      </c>
      <c r="I13761">
        <v>46305741</v>
      </c>
    </row>
    <row r="13762" spans="1:9" x14ac:dyDescent="0.2">
      <c r="A13762" t="str">
        <f>"Nfkbia"</f>
        <v>Nfkbia</v>
      </c>
      <c r="B13762" t="s">
        <v>14</v>
      </c>
      <c r="C13762" t="s">
        <v>16</v>
      </c>
      <c r="D13762" t="s">
        <v>11</v>
      </c>
      <c r="E13762" t="s">
        <v>12</v>
      </c>
      <c r="F13762">
        <v>55492587</v>
      </c>
      <c r="G13762">
        <v>55492605</v>
      </c>
      <c r="H13762">
        <v>55492747</v>
      </c>
      <c r="I13762">
        <v>55492756</v>
      </c>
    </row>
    <row r="13763" spans="1:9" x14ac:dyDescent="0.2">
      <c r="A13763" t="str">
        <f>"Nfkbib"</f>
        <v>Nfkbib</v>
      </c>
      <c r="B13763" t="s">
        <v>14</v>
      </c>
      <c r="C13763" t="s">
        <v>33</v>
      </c>
      <c r="D13763" t="s">
        <v>11</v>
      </c>
      <c r="E13763" t="s">
        <v>12</v>
      </c>
      <c r="F13763">
        <v>28766469</v>
      </c>
      <c r="G13763">
        <v>28766510</v>
      </c>
      <c r="H13763">
        <v>28766445</v>
      </c>
      <c r="I13763">
        <v>28766468</v>
      </c>
    </row>
    <row r="13764" spans="1:9" x14ac:dyDescent="0.2">
      <c r="A13764" t="str">
        <f>"Nfkbid"</f>
        <v>Nfkbid</v>
      </c>
      <c r="B13764" t="s">
        <v>9</v>
      </c>
      <c r="C13764" t="s">
        <v>33</v>
      </c>
      <c r="D13764" t="s">
        <v>17</v>
      </c>
      <c r="E13764" t="s">
        <v>12</v>
      </c>
      <c r="F13764">
        <v>30421724</v>
      </c>
      <c r="G13764">
        <v>30421742</v>
      </c>
      <c r="H13764">
        <v>30421724</v>
      </c>
      <c r="I13764">
        <v>30421742</v>
      </c>
    </row>
    <row r="13765" spans="1:9" x14ac:dyDescent="0.2">
      <c r="A13765" t="str">
        <f>"Nfkbid"</f>
        <v>Nfkbid</v>
      </c>
      <c r="B13765" t="s">
        <v>13</v>
      </c>
      <c r="C13765" t="s">
        <v>33</v>
      </c>
      <c r="D13765" t="s">
        <v>17</v>
      </c>
      <c r="E13765" t="s">
        <v>12</v>
      </c>
      <c r="F13765">
        <v>30423428</v>
      </c>
      <c r="G13765">
        <v>30423477</v>
      </c>
      <c r="H13765">
        <v>30423428</v>
      </c>
      <c r="I13765">
        <v>30423477</v>
      </c>
    </row>
    <row r="13766" spans="1:9" x14ac:dyDescent="0.2">
      <c r="A13766" t="str">
        <f>"Nfkbie"</f>
        <v>Nfkbie</v>
      </c>
      <c r="B13766" t="s">
        <v>14</v>
      </c>
      <c r="C13766" t="s">
        <v>28</v>
      </c>
      <c r="D13766" t="s">
        <v>17</v>
      </c>
      <c r="E13766" t="s">
        <v>12</v>
      </c>
      <c r="F13766">
        <v>45555693</v>
      </c>
      <c r="G13766">
        <v>45555714</v>
      </c>
      <c r="H13766">
        <v>45555727</v>
      </c>
      <c r="I13766">
        <v>45555746</v>
      </c>
    </row>
    <row r="13767" spans="1:9" x14ac:dyDescent="0.2">
      <c r="A13767" t="str">
        <f>"Nfkbil1"</f>
        <v>Nfkbil1</v>
      </c>
      <c r="B13767" t="s">
        <v>14</v>
      </c>
      <c r="C13767" t="s">
        <v>28</v>
      </c>
      <c r="D13767" t="s">
        <v>11</v>
      </c>
      <c r="E13767" t="s">
        <v>12</v>
      </c>
      <c r="F13767">
        <v>35235755</v>
      </c>
      <c r="G13767">
        <v>35235817</v>
      </c>
      <c r="H13767">
        <v>35235694</v>
      </c>
      <c r="I13767">
        <v>35235707</v>
      </c>
    </row>
    <row r="13768" spans="1:9" x14ac:dyDescent="0.2">
      <c r="A13768" t="str">
        <f>"Nfkbiz"</f>
        <v>Nfkbiz</v>
      </c>
      <c r="B13768" t="s">
        <v>9</v>
      </c>
      <c r="C13768" t="s">
        <v>31</v>
      </c>
      <c r="D13768" t="s">
        <v>11</v>
      </c>
      <c r="E13768" t="s">
        <v>12</v>
      </c>
      <c r="F13768">
        <v>55822128</v>
      </c>
      <c r="G13768">
        <v>55822145</v>
      </c>
      <c r="H13768">
        <v>55822128</v>
      </c>
      <c r="I13768">
        <v>55822145</v>
      </c>
    </row>
    <row r="13769" spans="1:9" x14ac:dyDescent="0.2">
      <c r="A13769" t="str">
        <f>"Nfkbiz"</f>
        <v>Nfkbiz</v>
      </c>
      <c r="B13769" t="s">
        <v>13</v>
      </c>
      <c r="C13769" t="s">
        <v>31</v>
      </c>
      <c r="D13769" t="s">
        <v>11</v>
      </c>
      <c r="E13769" t="s">
        <v>12</v>
      </c>
      <c r="F13769">
        <v>55838644</v>
      </c>
      <c r="G13769">
        <v>55838661</v>
      </c>
      <c r="H13769">
        <v>55838644</v>
      </c>
      <c r="I13769">
        <v>55838661</v>
      </c>
    </row>
    <row r="13770" spans="1:9" x14ac:dyDescent="0.2">
      <c r="A13770" t="str">
        <f>"Nfrkb"</f>
        <v>Nfrkb</v>
      </c>
      <c r="B13770" t="s">
        <v>14</v>
      </c>
      <c r="C13770" t="s">
        <v>24</v>
      </c>
      <c r="D13770" t="s">
        <v>17</v>
      </c>
      <c r="E13770" t="s">
        <v>12</v>
      </c>
      <c r="F13770">
        <v>31386187</v>
      </c>
      <c r="G13770">
        <v>31386235</v>
      </c>
      <c r="H13770">
        <v>31386183</v>
      </c>
      <c r="I13770">
        <v>31386185</v>
      </c>
    </row>
    <row r="13771" spans="1:9" x14ac:dyDescent="0.2">
      <c r="A13771" t="str">
        <f>"Nfs1"</f>
        <v>Nfs1</v>
      </c>
      <c r="B13771" t="s">
        <v>14</v>
      </c>
      <c r="C13771" t="s">
        <v>26</v>
      </c>
      <c r="D13771" t="s">
        <v>11</v>
      </c>
      <c r="E13771" t="s">
        <v>12</v>
      </c>
      <c r="F13771">
        <v>156144138</v>
      </c>
      <c r="G13771">
        <v>156144192</v>
      </c>
      <c r="H13771">
        <v>156144138</v>
      </c>
      <c r="I13771">
        <v>156144192</v>
      </c>
    </row>
    <row r="13772" spans="1:9" x14ac:dyDescent="0.2">
      <c r="A13772" t="str">
        <f>"Nfu1"</f>
        <v>Nfu1</v>
      </c>
      <c r="B13772" t="s">
        <v>14</v>
      </c>
      <c r="C13772" t="s">
        <v>32</v>
      </c>
      <c r="D13772" t="s">
        <v>17</v>
      </c>
      <c r="E13772" t="s">
        <v>12</v>
      </c>
      <c r="F13772">
        <v>87009872</v>
      </c>
      <c r="G13772">
        <v>87009893</v>
      </c>
      <c r="H13772">
        <v>87009872</v>
      </c>
      <c r="I13772">
        <v>87009893</v>
      </c>
    </row>
    <row r="13773" spans="1:9" x14ac:dyDescent="0.2">
      <c r="A13773" t="str">
        <f>"Nfx1"</f>
        <v>Nfx1</v>
      </c>
      <c r="B13773" t="s">
        <v>14</v>
      </c>
      <c r="C13773" t="s">
        <v>23</v>
      </c>
      <c r="D13773" t="s">
        <v>17</v>
      </c>
      <c r="E13773" t="s">
        <v>12</v>
      </c>
      <c r="F13773">
        <v>40970955</v>
      </c>
      <c r="G13773">
        <v>40971027</v>
      </c>
      <c r="H13773">
        <v>40970666</v>
      </c>
      <c r="I13773">
        <v>40970671</v>
      </c>
    </row>
    <row r="13774" spans="1:9" x14ac:dyDescent="0.2">
      <c r="A13774" t="str">
        <f>"Nfxl1"</f>
        <v>Nfxl1</v>
      </c>
      <c r="B13774" t="s">
        <v>14</v>
      </c>
      <c r="C13774" t="s">
        <v>46</v>
      </c>
      <c r="D13774" t="s">
        <v>11</v>
      </c>
      <c r="E13774" t="s">
        <v>12</v>
      </c>
      <c r="F13774">
        <v>72559614</v>
      </c>
      <c r="G13774">
        <v>72559691</v>
      </c>
      <c r="H13774">
        <v>72559583</v>
      </c>
      <c r="I13774">
        <v>72559585</v>
      </c>
    </row>
    <row r="13775" spans="1:9" x14ac:dyDescent="0.2">
      <c r="A13775" t="str">
        <f>"Nfya"</f>
        <v>Nfya</v>
      </c>
      <c r="B13775" t="s">
        <v>14</v>
      </c>
      <c r="C13775" t="s">
        <v>28</v>
      </c>
      <c r="D13775" t="s">
        <v>11</v>
      </c>
      <c r="E13775" t="s">
        <v>12</v>
      </c>
      <c r="F13775">
        <v>48409729</v>
      </c>
      <c r="G13775">
        <v>48409766</v>
      </c>
      <c r="H13775">
        <v>48409656</v>
      </c>
      <c r="I13775">
        <v>48409663</v>
      </c>
    </row>
    <row r="13776" spans="1:9" x14ac:dyDescent="0.2">
      <c r="A13776" t="str">
        <f>"Nfyb"</f>
        <v>Nfyb</v>
      </c>
      <c r="B13776" t="s">
        <v>14</v>
      </c>
      <c r="C13776" t="s">
        <v>15</v>
      </c>
      <c r="D13776" t="s">
        <v>11</v>
      </c>
      <c r="E13776" t="s">
        <v>12</v>
      </c>
      <c r="F13776">
        <v>82764036</v>
      </c>
      <c r="G13776">
        <v>82764080</v>
      </c>
      <c r="H13776">
        <v>82763904</v>
      </c>
      <c r="I13776">
        <v>82763949</v>
      </c>
    </row>
    <row r="13777" spans="1:9" x14ac:dyDescent="0.2">
      <c r="A13777" t="str">
        <f>"Nfyc"</f>
        <v>Nfyc</v>
      </c>
      <c r="B13777" t="s">
        <v>9</v>
      </c>
      <c r="C13777" t="s">
        <v>23</v>
      </c>
      <c r="D13777" t="s">
        <v>11</v>
      </c>
      <c r="E13777" t="s">
        <v>12</v>
      </c>
      <c r="F13777">
        <v>120815703</v>
      </c>
      <c r="G13777">
        <v>120815761</v>
      </c>
      <c r="H13777">
        <v>120815703</v>
      </c>
      <c r="I13777">
        <v>120815761</v>
      </c>
    </row>
    <row r="13778" spans="1:9" x14ac:dyDescent="0.2">
      <c r="A13778" t="str">
        <f>"Nfyc"</f>
        <v>Nfyc</v>
      </c>
      <c r="B13778" t="s">
        <v>13</v>
      </c>
      <c r="C13778" t="s">
        <v>23</v>
      </c>
      <c r="D13778" t="s">
        <v>11</v>
      </c>
      <c r="E13778" t="s">
        <v>12</v>
      </c>
      <c r="F13778">
        <v>120825751</v>
      </c>
      <c r="G13778">
        <v>120825796</v>
      </c>
      <c r="H13778">
        <v>120825751</v>
      </c>
      <c r="I13778">
        <v>120825796</v>
      </c>
    </row>
    <row r="13779" spans="1:9" x14ac:dyDescent="0.2">
      <c r="A13779" t="str">
        <f>"Ngb"</f>
        <v>Ngb</v>
      </c>
      <c r="B13779" t="s">
        <v>14</v>
      </c>
      <c r="C13779" t="s">
        <v>16</v>
      </c>
      <c r="D13779" t="s">
        <v>11</v>
      </c>
      <c r="E13779" t="s">
        <v>12</v>
      </c>
      <c r="F13779">
        <v>87102337</v>
      </c>
      <c r="G13779">
        <v>87102366</v>
      </c>
      <c r="H13779">
        <v>87102460</v>
      </c>
      <c r="I13779">
        <v>87102476</v>
      </c>
    </row>
    <row r="13780" spans="1:9" x14ac:dyDescent="0.2">
      <c r="A13780" t="str">
        <f>"Ngdn"</f>
        <v>Ngdn</v>
      </c>
      <c r="B13780" t="s">
        <v>14</v>
      </c>
      <c r="C13780" t="s">
        <v>41</v>
      </c>
      <c r="D13780" t="s">
        <v>17</v>
      </c>
      <c r="E13780" t="s">
        <v>12</v>
      </c>
      <c r="F13780">
        <v>55015530</v>
      </c>
      <c r="G13780">
        <v>55015571</v>
      </c>
      <c r="H13780">
        <v>55015501</v>
      </c>
      <c r="I13780">
        <v>55015504</v>
      </c>
    </row>
    <row r="13781" spans="1:9" x14ac:dyDescent="0.2">
      <c r="A13781" t="str">
        <f>"Ngef"</f>
        <v>Ngef</v>
      </c>
      <c r="B13781" t="s">
        <v>14</v>
      </c>
      <c r="C13781" t="s">
        <v>19</v>
      </c>
      <c r="D13781" t="s">
        <v>11</v>
      </c>
      <c r="E13781" t="s">
        <v>12</v>
      </c>
      <c r="F13781">
        <v>87510306</v>
      </c>
      <c r="G13781">
        <v>87510373</v>
      </c>
      <c r="H13781">
        <v>87510306</v>
      </c>
      <c r="I13781">
        <v>87510373</v>
      </c>
    </row>
    <row r="13782" spans="1:9" x14ac:dyDescent="0.2">
      <c r="A13782" t="str">
        <f>"Ngf"</f>
        <v>Ngf</v>
      </c>
      <c r="B13782" t="s">
        <v>14</v>
      </c>
      <c r="C13782" t="s">
        <v>22</v>
      </c>
      <c r="D13782" t="s">
        <v>17</v>
      </c>
      <c r="E13782" t="s">
        <v>12</v>
      </c>
      <c r="F13782">
        <v>102469918</v>
      </c>
      <c r="G13782">
        <v>102469932</v>
      </c>
      <c r="H13782">
        <v>102469898</v>
      </c>
      <c r="I13782">
        <v>102469912</v>
      </c>
    </row>
    <row r="13783" spans="1:9" x14ac:dyDescent="0.2">
      <c r="A13783" t="str">
        <f>"Ngfr"</f>
        <v>Ngfr</v>
      </c>
      <c r="B13783" t="s">
        <v>14</v>
      </c>
      <c r="C13783" t="s">
        <v>27</v>
      </c>
      <c r="D13783" t="s">
        <v>11</v>
      </c>
      <c r="E13783" t="s">
        <v>12</v>
      </c>
      <c r="F13783">
        <v>95587691</v>
      </c>
      <c r="G13783">
        <v>95587707</v>
      </c>
      <c r="H13783">
        <v>95587691</v>
      </c>
      <c r="I13783">
        <v>95587707</v>
      </c>
    </row>
    <row r="13784" spans="1:9" x14ac:dyDescent="0.2">
      <c r="A13784" t="str">
        <f>"Ngfrap1"</f>
        <v>Ngfrap1</v>
      </c>
      <c r="B13784" t="s">
        <v>14</v>
      </c>
      <c r="C13784" t="s">
        <v>37</v>
      </c>
      <c r="D13784" t="s">
        <v>17</v>
      </c>
      <c r="E13784" t="s">
        <v>12</v>
      </c>
      <c r="F13784">
        <v>136270302</v>
      </c>
      <c r="G13784">
        <v>136270352</v>
      </c>
      <c r="H13784">
        <v>136270213</v>
      </c>
      <c r="I13784">
        <v>136270226</v>
      </c>
    </row>
    <row r="13785" spans="1:9" x14ac:dyDescent="0.2">
      <c r="A13785" t="str">
        <f>"Ngly1"</f>
        <v>Ngly1</v>
      </c>
      <c r="B13785" t="s">
        <v>14</v>
      </c>
      <c r="C13785" t="s">
        <v>41</v>
      </c>
      <c r="D13785" t="s">
        <v>17</v>
      </c>
      <c r="E13785" t="s">
        <v>12</v>
      </c>
      <c r="F13785">
        <v>16249259</v>
      </c>
      <c r="G13785">
        <v>16249366</v>
      </c>
      <c r="H13785">
        <v>16249254</v>
      </c>
      <c r="I13785">
        <v>16249257</v>
      </c>
    </row>
    <row r="13786" spans="1:9" x14ac:dyDescent="0.2">
      <c r="A13786" t="str">
        <f>"Ngp"</f>
        <v>Ngp</v>
      </c>
      <c r="B13786" t="s">
        <v>14</v>
      </c>
      <c r="C13786" t="s">
        <v>24</v>
      </c>
      <c r="D13786" t="s">
        <v>17</v>
      </c>
      <c r="E13786" t="s">
        <v>12</v>
      </c>
      <c r="F13786">
        <v>110419841</v>
      </c>
      <c r="G13786">
        <v>110419862</v>
      </c>
      <c r="H13786">
        <v>110419841</v>
      </c>
      <c r="I13786">
        <v>110419862</v>
      </c>
    </row>
    <row r="13787" spans="1:9" x14ac:dyDescent="0.2">
      <c r="A13787" t="str">
        <f>"Ngrn"</f>
        <v>Ngrn</v>
      </c>
      <c r="B13787" t="s">
        <v>14</v>
      </c>
      <c r="C13787" t="s">
        <v>33</v>
      </c>
      <c r="D13787" t="s">
        <v>17</v>
      </c>
      <c r="E13787" t="s">
        <v>12</v>
      </c>
      <c r="F13787">
        <v>80261202</v>
      </c>
      <c r="G13787">
        <v>80261257</v>
      </c>
      <c r="H13787">
        <v>80261484</v>
      </c>
      <c r="I13787">
        <v>80261492</v>
      </c>
    </row>
    <row r="13788" spans="1:9" x14ac:dyDescent="0.2">
      <c r="A13788" t="str">
        <f>"Nhej1"</f>
        <v>Nhej1</v>
      </c>
      <c r="B13788" t="s">
        <v>4372</v>
      </c>
      <c r="C13788" t="s">
        <v>19</v>
      </c>
      <c r="D13788" t="s">
        <v>11</v>
      </c>
      <c r="E13788" t="s">
        <v>20</v>
      </c>
      <c r="F13788">
        <v>75046638</v>
      </c>
      <c r="G13788">
        <v>75046638</v>
      </c>
      <c r="H13788">
        <v>75046638</v>
      </c>
      <c r="I13788">
        <v>75046638</v>
      </c>
    </row>
    <row r="13789" spans="1:9" x14ac:dyDescent="0.2">
      <c r="A13789" t="str">
        <f>"Nhlh1"</f>
        <v>Nhlh1</v>
      </c>
      <c r="B13789" t="s">
        <v>14</v>
      </c>
      <c r="C13789" t="s">
        <v>19</v>
      </c>
      <c r="D13789" t="s">
        <v>11</v>
      </c>
      <c r="E13789" t="s">
        <v>12</v>
      </c>
      <c r="F13789">
        <v>172057589</v>
      </c>
      <c r="G13789">
        <v>172057598</v>
      </c>
      <c r="H13789">
        <v>172057589</v>
      </c>
      <c r="I13789">
        <v>172057598</v>
      </c>
    </row>
    <row r="13790" spans="1:9" x14ac:dyDescent="0.2">
      <c r="A13790" t="str">
        <f>"Nhlh2"</f>
        <v>Nhlh2</v>
      </c>
      <c r="B13790" t="s">
        <v>14</v>
      </c>
      <c r="C13790" t="s">
        <v>22</v>
      </c>
      <c r="D13790" t="s">
        <v>17</v>
      </c>
      <c r="E13790" t="s">
        <v>12</v>
      </c>
      <c r="F13790">
        <v>102010138</v>
      </c>
      <c r="G13790">
        <v>102010171</v>
      </c>
      <c r="H13790">
        <v>102010114</v>
      </c>
      <c r="I13790">
        <v>102010123</v>
      </c>
    </row>
    <row r="13791" spans="1:9" x14ac:dyDescent="0.2">
      <c r="A13791" t="str">
        <f>"Nhlrc1"</f>
        <v>Nhlrc1</v>
      </c>
      <c r="B13791" t="s">
        <v>14</v>
      </c>
      <c r="C13791" t="s">
        <v>39</v>
      </c>
      <c r="D13791" t="s">
        <v>11</v>
      </c>
      <c r="E13791" t="s">
        <v>12</v>
      </c>
      <c r="F13791">
        <v>47014814</v>
      </c>
      <c r="G13791">
        <v>47014863</v>
      </c>
      <c r="H13791">
        <v>47014869</v>
      </c>
      <c r="I13791">
        <v>47014872</v>
      </c>
    </row>
    <row r="13792" spans="1:9" x14ac:dyDescent="0.2">
      <c r="A13792" t="str">
        <f>"Nhlrc2"</f>
        <v>Nhlrc2</v>
      </c>
      <c r="B13792" t="s">
        <v>14</v>
      </c>
      <c r="C13792" t="s">
        <v>10</v>
      </c>
      <c r="D13792" t="s">
        <v>17</v>
      </c>
      <c r="E13792" t="s">
        <v>12</v>
      </c>
      <c r="F13792">
        <v>56548435</v>
      </c>
      <c r="G13792">
        <v>56548512</v>
      </c>
      <c r="H13792">
        <v>56548632</v>
      </c>
      <c r="I13792">
        <v>56548684</v>
      </c>
    </row>
    <row r="13793" spans="1:9" x14ac:dyDescent="0.2">
      <c r="A13793" t="str">
        <f>"Nhlrc3"</f>
        <v>Nhlrc3</v>
      </c>
      <c r="B13793" t="s">
        <v>14</v>
      </c>
      <c r="C13793" t="s">
        <v>22</v>
      </c>
      <c r="D13793" t="s">
        <v>11</v>
      </c>
      <c r="E13793" t="s">
        <v>12</v>
      </c>
      <c r="F13793">
        <v>53463234</v>
      </c>
      <c r="G13793">
        <v>53463306</v>
      </c>
      <c r="H13793">
        <v>53463200</v>
      </c>
      <c r="I13793">
        <v>53463232</v>
      </c>
    </row>
    <row r="13794" spans="1:9" x14ac:dyDescent="0.2">
      <c r="A13794" t="str">
        <f>"Nhlrc4"</f>
        <v>Nhlrc4</v>
      </c>
      <c r="B13794" t="s">
        <v>14</v>
      </c>
      <c r="C13794" t="s">
        <v>28</v>
      </c>
      <c r="D13794" t="s">
        <v>11</v>
      </c>
      <c r="E13794" t="s">
        <v>12</v>
      </c>
      <c r="F13794">
        <v>25944911</v>
      </c>
      <c r="G13794">
        <v>25944944</v>
      </c>
      <c r="H13794">
        <v>25944898</v>
      </c>
      <c r="I13794">
        <v>25944906</v>
      </c>
    </row>
    <row r="13795" spans="1:9" x14ac:dyDescent="0.2">
      <c r="A13795" t="str">
        <f>"Nhp2"</f>
        <v>Nhp2</v>
      </c>
      <c r="B13795" t="s">
        <v>14</v>
      </c>
      <c r="C13795" t="s">
        <v>27</v>
      </c>
      <c r="D13795" t="s">
        <v>17</v>
      </c>
      <c r="E13795" t="s">
        <v>12</v>
      </c>
      <c r="F13795">
        <v>51619731</v>
      </c>
      <c r="G13795">
        <v>51619813</v>
      </c>
      <c r="H13795">
        <v>51619707</v>
      </c>
      <c r="I13795">
        <v>51619714</v>
      </c>
    </row>
    <row r="13796" spans="1:9" x14ac:dyDescent="0.2">
      <c r="A13796" t="str">
        <f>"Nhp2l1"</f>
        <v>Nhp2l1</v>
      </c>
      <c r="B13796" t="s">
        <v>14</v>
      </c>
      <c r="C13796" t="s">
        <v>25</v>
      </c>
      <c r="D13796" t="s">
        <v>11</v>
      </c>
      <c r="E13796" t="s">
        <v>12</v>
      </c>
      <c r="F13796">
        <v>82047582</v>
      </c>
      <c r="G13796">
        <v>82047610</v>
      </c>
      <c r="H13796">
        <v>82047545</v>
      </c>
      <c r="I13796">
        <v>82047563</v>
      </c>
    </row>
    <row r="13797" spans="1:9" x14ac:dyDescent="0.2">
      <c r="A13797" t="str">
        <f>"Nhs"</f>
        <v>Nhs</v>
      </c>
      <c r="B13797" t="s">
        <v>14</v>
      </c>
      <c r="C13797" t="s">
        <v>37</v>
      </c>
      <c r="D13797" t="s">
        <v>11</v>
      </c>
      <c r="E13797" t="s">
        <v>12</v>
      </c>
      <c r="F13797">
        <v>162159929</v>
      </c>
      <c r="G13797">
        <v>162160009</v>
      </c>
      <c r="H13797">
        <v>162159717</v>
      </c>
      <c r="I13797">
        <v>162159732</v>
      </c>
    </row>
    <row r="13798" spans="1:9" x14ac:dyDescent="0.2">
      <c r="A13798" t="str">
        <f>"Nhsl1"</f>
        <v>Nhsl1</v>
      </c>
      <c r="B13798" t="s">
        <v>9</v>
      </c>
      <c r="C13798" t="s">
        <v>15</v>
      </c>
      <c r="D13798" t="s">
        <v>17</v>
      </c>
      <c r="E13798" t="s">
        <v>12</v>
      </c>
      <c r="F13798">
        <v>18469958</v>
      </c>
      <c r="G13798">
        <v>18469974</v>
      </c>
      <c r="H13798">
        <v>18469958</v>
      </c>
      <c r="I13798">
        <v>18469974</v>
      </c>
    </row>
    <row r="13799" spans="1:9" x14ac:dyDescent="0.2">
      <c r="A13799" t="str">
        <f>"Nhsl1"</f>
        <v>Nhsl1</v>
      </c>
      <c r="B13799" t="s">
        <v>13</v>
      </c>
      <c r="C13799" t="s">
        <v>15</v>
      </c>
      <c r="D13799" t="s">
        <v>17</v>
      </c>
      <c r="E13799" t="s">
        <v>12</v>
      </c>
      <c r="F13799">
        <v>18407658</v>
      </c>
      <c r="G13799">
        <v>18407715</v>
      </c>
      <c r="H13799">
        <v>18407658</v>
      </c>
      <c r="I13799">
        <v>18407715</v>
      </c>
    </row>
    <row r="13800" spans="1:9" x14ac:dyDescent="0.2">
      <c r="A13800" t="str">
        <f>"Nhsl2"</f>
        <v>Nhsl2</v>
      </c>
      <c r="B13800" t="s">
        <v>14</v>
      </c>
      <c r="C13800" t="s">
        <v>37</v>
      </c>
      <c r="D13800" t="s">
        <v>17</v>
      </c>
      <c r="E13800" t="s">
        <v>12</v>
      </c>
      <c r="F13800">
        <v>101849343</v>
      </c>
      <c r="G13800">
        <v>101849367</v>
      </c>
      <c r="H13800">
        <v>101849375</v>
      </c>
      <c r="I13800">
        <v>101849393</v>
      </c>
    </row>
    <row r="13801" spans="1:9" x14ac:dyDescent="0.2">
      <c r="A13801" t="str">
        <f>"Niacr1"</f>
        <v>Niacr1</v>
      </c>
      <c r="B13801" t="s">
        <v>14</v>
      </c>
      <c r="C13801" t="s">
        <v>46</v>
      </c>
      <c r="D13801" t="s">
        <v>11</v>
      </c>
      <c r="E13801" t="s">
        <v>12</v>
      </c>
      <c r="F13801">
        <v>123865491</v>
      </c>
      <c r="G13801">
        <v>123865518</v>
      </c>
      <c r="H13801">
        <v>123865462</v>
      </c>
      <c r="I13801">
        <v>123865473</v>
      </c>
    </row>
    <row r="13802" spans="1:9" x14ac:dyDescent="0.2">
      <c r="A13802" t="str">
        <f>"Nicn1"</f>
        <v>Nicn1</v>
      </c>
      <c r="B13802" t="s">
        <v>14</v>
      </c>
      <c r="C13802" t="s">
        <v>24</v>
      </c>
      <c r="D13802" t="s">
        <v>17</v>
      </c>
      <c r="E13802" t="s">
        <v>12</v>
      </c>
      <c r="F13802">
        <v>108290433</v>
      </c>
      <c r="G13802">
        <v>108290497</v>
      </c>
      <c r="H13802">
        <v>108290409</v>
      </c>
      <c r="I13802">
        <v>108290416</v>
      </c>
    </row>
    <row r="13803" spans="1:9" x14ac:dyDescent="0.2">
      <c r="A13803" t="str">
        <f>"Nid1"</f>
        <v>Nid1</v>
      </c>
      <c r="B13803" t="s">
        <v>14</v>
      </c>
      <c r="C13803" t="s">
        <v>39</v>
      </c>
      <c r="D13803" t="s">
        <v>17</v>
      </c>
      <c r="E13803" t="s">
        <v>12</v>
      </c>
      <c r="F13803">
        <v>13437601</v>
      </c>
      <c r="G13803">
        <v>13437622</v>
      </c>
      <c r="H13803">
        <v>13437601</v>
      </c>
      <c r="I13803">
        <v>13437622</v>
      </c>
    </row>
    <row r="13804" spans="1:9" x14ac:dyDescent="0.2">
      <c r="A13804" t="str">
        <f>"Nid2"</f>
        <v>Nid2</v>
      </c>
      <c r="B13804" t="s">
        <v>14</v>
      </c>
      <c r="C13804" t="s">
        <v>41</v>
      </c>
      <c r="D13804" t="s">
        <v>17</v>
      </c>
      <c r="E13804" t="s">
        <v>12</v>
      </c>
      <c r="F13804">
        <v>19751276</v>
      </c>
      <c r="G13804">
        <v>19751292</v>
      </c>
      <c r="H13804">
        <v>19751276</v>
      </c>
      <c r="I13804">
        <v>19751292</v>
      </c>
    </row>
    <row r="13805" spans="1:9" x14ac:dyDescent="0.2">
      <c r="A13805" t="str">
        <f>"Nif3l1"</f>
        <v>Nif3l1</v>
      </c>
      <c r="B13805" t="s">
        <v>14</v>
      </c>
      <c r="C13805" t="s">
        <v>19</v>
      </c>
      <c r="D13805" t="s">
        <v>17</v>
      </c>
      <c r="E13805" t="s">
        <v>12</v>
      </c>
      <c r="F13805">
        <v>58445531</v>
      </c>
      <c r="G13805">
        <v>58445618</v>
      </c>
      <c r="H13805">
        <v>58445259</v>
      </c>
      <c r="I13805">
        <v>58445307</v>
      </c>
    </row>
    <row r="13806" spans="1:9" x14ac:dyDescent="0.2">
      <c r="A13806" t="str">
        <f>"Nim1"</f>
        <v>Nim1</v>
      </c>
      <c r="B13806" t="s">
        <v>4373</v>
      </c>
      <c r="C13806" t="s">
        <v>39</v>
      </c>
      <c r="D13806" t="s">
        <v>11</v>
      </c>
      <c r="E13806" t="s">
        <v>20</v>
      </c>
      <c r="F13806">
        <v>119755881</v>
      </c>
      <c r="G13806">
        <v>119755881</v>
      </c>
      <c r="H13806">
        <v>119755881</v>
      </c>
      <c r="I13806">
        <v>119755881</v>
      </c>
    </row>
    <row r="13807" spans="1:9" x14ac:dyDescent="0.2">
      <c r="A13807" t="str">
        <f>"Nin"</f>
        <v>Nin</v>
      </c>
      <c r="B13807" t="s">
        <v>14</v>
      </c>
      <c r="C13807" t="s">
        <v>16</v>
      </c>
      <c r="D13807" t="s">
        <v>11</v>
      </c>
      <c r="E13807" t="s">
        <v>12</v>
      </c>
      <c r="F13807">
        <v>70111965</v>
      </c>
      <c r="G13807">
        <v>70112039</v>
      </c>
      <c r="H13807">
        <v>70111952</v>
      </c>
      <c r="I13807">
        <v>70111960</v>
      </c>
    </row>
    <row r="13808" spans="1:9" x14ac:dyDescent="0.2">
      <c r="A13808" t="str">
        <f>"Ninj1"</f>
        <v>Ninj1</v>
      </c>
      <c r="B13808" t="s">
        <v>14</v>
      </c>
      <c r="C13808" t="s">
        <v>39</v>
      </c>
      <c r="D13808" t="s">
        <v>17</v>
      </c>
      <c r="E13808" t="s">
        <v>12</v>
      </c>
      <c r="F13808">
        <v>49187485</v>
      </c>
      <c r="G13808">
        <v>49187539</v>
      </c>
      <c r="H13808">
        <v>49187485</v>
      </c>
      <c r="I13808">
        <v>49187539</v>
      </c>
    </row>
    <row r="13809" spans="1:9" x14ac:dyDescent="0.2">
      <c r="A13809" t="str">
        <f>"Ninj2"</f>
        <v>Ninj2</v>
      </c>
      <c r="B13809" t="s">
        <v>14</v>
      </c>
      <c r="C13809" t="s">
        <v>32</v>
      </c>
      <c r="D13809" t="s">
        <v>17</v>
      </c>
      <c r="E13809" t="s">
        <v>12</v>
      </c>
      <c r="F13809">
        <v>120093320</v>
      </c>
      <c r="G13809">
        <v>120093340</v>
      </c>
      <c r="H13809">
        <v>120093370</v>
      </c>
      <c r="I13809">
        <v>120093381</v>
      </c>
    </row>
    <row r="13810" spans="1:9" x14ac:dyDescent="0.2">
      <c r="A13810" t="str">
        <f>"Ninl"</f>
        <v>Ninl</v>
      </c>
      <c r="B13810" t="s">
        <v>9</v>
      </c>
      <c r="C13810" t="s">
        <v>26</v>
      </c>
      <c r="D13810" t="s">
        <v>11</v>
      </c>
      <c r="E13810" t="s">
        <v>12</v>
      </c>
      <c r="F13810">
        <v>151039363</v>
      </c>
      <c r="G13810">
        <v>151039403</v>
      </c>
      <c r="H13810">
        <v>151039363</v>
      </c>
      <c r="I13810">
        <v>151039403</v>
      </c>
    </row>
    <row r="13811" spans="1:9" x14ac:dyDescent="0.2">
      <c r="A13811" t="str">
        <f>"Ninl"</f>
        <v>Ninl</v>
      </c>
      <c r="B13811" t="s">
        <v>13</v>
      </c>
      <c r="C13811" t="s">
        <v>26</v>
      </c>
      <c r="D13811" t="s">
        <v>11</v>
      </c>
      <c r="E13811" t="s">
        <v>12</v>
      </c>
      <c r="F13811">
        <v>151009340</v>
      </c>
      <c r="G13811">
        <v>151009356</v>
      </c>
      <c r="H13811">
        <v>151009340</v>
      </c>
      <c r="I13811">
        <v>151009356</v>
      </c>
    </row>
    <row r="13812" spans="1:9" x14ac:dyDescent="0.2">
      <c r="A13812" t="str">
        <f>"Nip7"</f>
        <v>Nip7</v>
      </c>
      <c r="B13812" t="s">
        <v>14</v>
      </c>
      <c r="C13812" t="s">
        <v>30</v>
      </c>
      <c r="D13812" t="s">
        <v>17</v>
      </c>
      <c r="E13812" t="s">
        <v>12</v>
      </c>
      <c r="F13812">
        <v>107056870</v>
      </c>
      <c r="G13812">
        <v>107056913</v>
      </c>
      <c r="H13812">
        <v>107056931</v>
      </c>
      <c r="I13812">
        <v>107056934</v>
      </c>
    </row>
    <row r="13813" spans="1:9" x14ac:dyDescent="0.2">
      <c r="A13813" t="str">
        <f>"Nipa1"</f>
        <v>Nipa1</v>
      </c>
      <c r="B13813" t="s">
        <v>14</v>
      </c>
      <c r="C13813" t="s">
        <v>33</v>
      </c>
      <c r="D13813" t="s">
        <v>11</v>
      </c>
      <c r="E13813" t="s">
        <v>12</v>
      </c>
      <c r="F13813">
        <v>56019559</v>
      </c>
      <c r="G13813">
        <v>56019605</v>
      </c>
      <c r="H13813">
        <v>56019621</v>
      </c>
      <c r="I13813">
        <v>56019626</v>
      </c>
    </row>
    <row r="13814" spans="1:9" x14ac:dyDescent="0.2">
      <c r="A13814" t="str">
        <f>"Nipa2"</f>
        <v>Nipa2</v>
      </c>
      <c r="B13814" t="s">
        <v>14</v>
      </c>
      <c r="C13814" t="s">
        <v>33</v>
      </c>
      <c r="D13814" t="s">
        <v>11</v>
      </c>
      <c r="E13814" t="s">
        <v>12</v>
      </c>
      <c r="F13814">
        <v>55962424</v>
      </c>
      <c r="G13814">
        <v>55962461</v>
      </c>
      <c r="H13814">
        <v>55962466</v>
      </c>
      <c r="I13814">
        <v>55962481</v>
      </c>
    </row>
    <row r="13815" spans="1:9" x14ac:dyDescent="0.2">
      <c r="A13815" t="str">
        <f>"Nipal1"</f>
        <v>Nipal1</v>
      </c>
      <c r="B13815" t="s">
        <v>14</v>
      </c>
      <c r="C13815" t="s">
        <v>46</v>
      </c>
      <c r="D13815" t="s">
        <v>17</v>
      </c>
      <c r="E13815" t="s">
        <v>12</v>
      </c>
      <c r="F13815">
        <v>72647810</v>
      </c>
      <c r="G13815">
        <v>72647853</v>
      </c>
      <c r="H13815">
        <v>72647779</v>
      </c>
      <c r="I13815">
        <v>72647801</v>
      </c>
    </row>
    <row r="13816" spans="1:9" x14ac:dyDescent="0.2">
      <c r="A13816" t="str">
        <f>"Nipal2"</f>
        <v>Nipal2</v>
      </c>
      <c r="B13816" t="s">
        <v>14</v>
      </c>
      <c r="C13816" t="s">
        <v>25</v>
      </c>
      <c r="D13816" t="s">
        <v>11</v>
      </c>
      <c r="E13816" t="s">
        <v>12</v>
      </c>
      <c r="F13816">
        <v>34678694</v>
      </c>
      <c r="G13816">
        <v>34678746</v>
      </c>
      <c r="H13816">
        <v>34678755</v>
      </c>
      <c r="I13816">
        <v>34678802</v>
      </c>
    </row>
    <row r="13817" spans="1:9" x14ac:dyDescent="0.2">
      <c r="A13817" t="str">
        <f>"Nipal3"</f>
        <v>Nipal3</v>
      </c>
      <c r="B13817" t="s">
        <v>14</v>
      </c>
      <c r="C13817" t="s">
        <v>23</v>
      </c>
      <c r="D13817" t="s">
        <v>11</v>
      </c>
      <c r="E13817" t="s">
        <v>12</v>
      </c>
      <c r="F13817">
        <v>135494499</v>
      </c>
      <c r="G13817">
        <v>135494583</v>
      </c>
      <c r="H13817">
        <v>135494459</v>
      </c>
      <c r="I13817">
        <v>135494494</v>
      </c>
    </row>
    <row r="13818" spans="1:9" x14ac:dyDescent="0.2">
      <c r="A13818" t="str">
        <f>"Nipal4"</f>
        <v>Nipal4</v>
      </c>
      <c r="B13818" t="s">
        <v>14</v>
      </c>
      <c r="C13818" t="s">
        <v>27</v>
      </c>
      <c r="D13818" t="s">
        <v>11</v>
      </c>
      <c r="E13818" t="s">
        <v>12</v>
      </c>
      <c r="F13818">
        <v>46166328</v>
      </c>
      <c r="G13818">
        <v>46166384</v>
      </c>
      <c r="H13818">
        <v>46166520</v>
      </c>
      <c r="I13818">
        <v>46166550</v>
      </c>
    </row>
    <row r="13819" spans="1:9" x14ac:dyDescent="0.2">
      <c r="A13819" t="str">
        <f>"Nipbl"</f>
        <v>Nipbl</v>
      </c>
      <c r="B13819" t="s">
        <v>14</v>
      </c>
      <c r="C13819" t="s">
        <v>25</v>
      </c>
      <c r="D13819" t="s">
        <v>11</v>
      </c>
      <c r="E13819" t="s">
        <v>12</v>
      </c>
      <c r="F13819">
        <v>8444609</v>
      </c>
      <c r="G13819">
        <v>8444668</v>
      </c>
      <c r="H13819">
        <v>8444449</v>
      </c>
      <c r="I13819">
        <v>8444506</v>
      </c>
    </row>
    <row r="13820" spans="1:9" x14ac:dyDescent="0.2">
      <c r="A13820" t="str">
        <f>"Nipsnap1"</f>
        <v>Nipsnap1</v>
      </c>
      <c r="B13820" t="s">
        <v>9</v>
      </c>
      <c r="C13820" t="s">
        <v>27</v>
      </c>
      <c r="D13820" t="s">
        <v>17</v>
      </c>
      <c r="E13820" t="s">
        <v>12</v>
      </c>
      <c r="F13820">
        <v>4873960</v>
      </c>
      <c r="G13820">
        <v>4874005</v>
      </c>
      <c r="H13820">
        <v>4873960</v>
      </c>
      <c r="I13820">
        <v>4874005</v>
      </c>
    </row>
    <row r="13821" spans="1:9" x14ac:dyDescent="0.2">
      <c r="A13821" t="str">
        <f>"Nipsnap1"</f>
        <v>Nipsnap1</v>
      </c>
      <c r="B13821" t="s">
        <v>13</v>
      </c>
      <c r="C13821" t="s">
        <v>27</v>
      </c>
      <c r="D13821" t="s">
        <v>17</v>
      </c>
      <c r="E13821" t="s">
        <v>12</v>
      </c>
      <c r="F13821">
        <v>4883186</v>
      </c>
      <c r="G13821">
        <v>4883222</v>
      </c>
      <c r="H13821">
        <v>4883186</v>
      </c>
      <c r="I13821">
        <v>4883222</v>
      </c>
    </row>
    <row r="13822" spans="1:9" x14ac:dyDescent="0.2">
      <c r="A13822" t="str">
        <f>"Nipsnap3a"</f>
        <v>Nipsnap3a</v>
      </c>
      <c r="B13822" t="s">
        <v>14</v>
      </c>
      <c r="C13822" t="s">
        <v>23</v>
      </c>
      <c r="D13822" t="s">
        <v>17</v>
      </c>
      <c r="E13822" t="s">
        <v>12</v>
      </c>
      <c r="F13822">
        <v>52989271</v>
      </c>
      <c r="G13822">
        <v>52989308</v>
      </c>
      <c r="H13822">
        <v>52989271</v>
      </c>
      <c r="I13822">
        <v>52989308</v>
      </c>
    </row>
    <row r="13823" spans="1:9" x14ac:dyDescent="0.2">
      <c r="A13823" t="str">
        <f>"Nipsnap3b"</f>
        <v>Nipsnap3b</v>
      </c>
      <c r="B13823" t="s">
        <v>14</v>
      </c>
      <c r="C13823" t="s">
        <v>23</v>
      </c>
      <c r="D13823" t="s">
        <v>17</v>
      </c>
      <c r="E13823" t="s">
        <v>12</v>
      </c>
      <c r="F13823">
        <v>53011916</v>
      </c>
      <c r="G13823">
        <v>53011978</v>
      </c>
      <c r="H13823">
        <v>53011894</v>
      </c>
      <c r="I13823">
        <v>53011907</v>
      </c>
    </row>
    <row r="13824" spans="1:9" x14ac:dyDescent="0.2">
      <c r="A13824" t="str">
        <f>"Nisch"</f>
        <v>Nisch</v>
      </c>
      <c r="B13824" t="s">
        <v>14</v>
      </c>
      <c r="C13824" t="s">
        <v>41</v>
      </c>
      <c r="D13824" t="s">
        <v>11</v>
      </c>
      <c r="E13824" t="s">
        <v>12</v>
      </c>
      <c r="F13824">
        <v>31206666</v>
      </c>
      <c r="G13824">
        <v>31206709</v>
      </c>
      <c r="H13824">
        <v>31206782</v>
      </c>
      <c r="I13824">
        <v>31206815</v>
      </c>
    </row>
    <row r="13825" spans="1:9" x14ac:dyDescent="0.2">
      <c r="A13825" t="str">
        <f>"Nit1"</f>
        <v>Nit1</v>
      </c>
      <c r="B13825" t="s">
        <v>14</v>
      </c>
      <c r="C13825" t="s">
        <v>19</v>
      </c>
      <c r="D13825" t="s">
        <v>11</v>
      </c>
      <c r="E13825" t="s">
        <v>12</v>
      </c>
      <c r="F13825">
        <v>171345631</v>
      </c>
      <c r="G13825">
        <v>171345653</v>
      </c>
      <c r="H13825">
        <v>171345600</v>
      </c>
      <c r="I13825">
        <v>171345628</v>
      </c>
    </row>
    <row r="13826" spans="1:9" x14ac:dyDescent="0.2">
      <c r="A13826" t="str">
        <f>"Nit2"</f>
        <v>Nit2</v>
      </c>
      <c r="B13826" t="s">
        <v>14</v>
      </c>
      <c r="C13826" t="s">
        <v>31</v>
      </c>
      <c r="D13826" t="s">
        <v>11</v>
      </c>
      <c r="E13826" t="s">
        <v>12</v>
      </c>
      <c r="F13826">
        <v>57167307</v>
      </c>
      <c r="G13826">
        <v>57167367</v>
      </c>
      <c r="H13826">
        <v>57167307</v>
      </c>
      <c r="I13826">
        <v>57167367</v>
      </c>
    </row>
    <row r="13827" spans="1:9" x14ac:dyDescent="0.2">
      <c r="A13827" t="str">
        <f>"Nkain1"</f>
        <v>Nkain1</v>
      </c>
      <c r="B13827" t="s">
        <v>14</v>
      </c>
      <c r="C13827" t="s">
        <v>23</v>
      </c>
      <c r="D13827" t="s">
        <v>11</v>
      </c>
      <c r="E13827" t="s">
        <v>12</v>
      </c>
      <c r="F13827">
        <v>130574150</v>
      </c>
      <c r="G13827">
        <v>130574237</v>
      </c>
      <c r="H13827">
        <v>130574124</v>
      </c>
      <c r="I13827">
        <v>130574144</v>
      </c>
    </row>
    <row r="13828" spans="1:9" x14ac:dyDescent="0.2">
      <c r="A13828" t="str">
        <f>"Nkain2"</f>
        <v>Nkain2</v>
      </c>
      <c r="B13828" t="s">
        <v>14</v>
      </c>
      <c r="C13828" t="s">
        <v>15</v>
      </c>
      <c r="D13828" t="s">
        <v>11</v>
      </c>
      <c r="E13828" t="s">
        <v>12</v>
      </c>
      <c r="F13828">
        <v>32890080</v>
      </c>
      <c r="G13828">
        <v>32890172</v>
      </c>
      <c r="H13828">
        <v>32889674</v>
      </c>
      <c r="I13828">
        <v>32889727</v>
      </c>
    </row>
    <row r="13829" spans="1:9" x14ac:dyDescent="0.2">
      <c r="A13829" t="str">
        <f>"Nkain3"</f>
        <v>Nkain3</v>
      </c>
      <c r="B13829" t="s">
        <v>14</v>
      </c>
      <c r="C13829" t="s">
        <v>23</v>
      </c>
      <c r="D13829" t="s">
        <v>11</v>
      </c>
      <c r="E13829" t="s">
        <v>12</v>
      </c>
      <c r="F13829">
        <v>20778527</v>
      </c>
      <c r="G13829">
        <v>20778593</v>
      </c>
      <c r="H13829">
        <v>20778852</v>
      </c>
      <c r="I13829">
        <v>20778876</v>
      </c>
    </row>
    <row r="13830" spans="1:9" x14ac:dyDescent="0.2">
      <c r="A13830" t="str">
        <f>"Nkain4"</f>
        <v>Nkain4</v>
      </c>
      <c r="B13830" t="s">
        <v>14</v>
      </c>
      <c r="C13830" t="s">
        <v>26</v>
      </c>
      <c r="D13830" t="s">
        <v>11</v>
      </c>
      <c r="E13830" t="s">
        <v>12</v>
      </c>
      <c r="F13830">
        <v>180954647</v>
      </c>
      <c r="G13830">
        <v>180954670</v>
      </c>
      <c r="H13830">
        <v>180954676</v>
      </c>
      <c r="I13830">
        <v>180954708</v>
      </c>
    </row>
    <row r="13831" spans="1:9" x14ac:dyDescent="0.2">
      <c r="A13831" t="str">
        <f>"Nkap"</f>
        <v>Nkap</v>
      </c>
      <c r="B13831" t="s">
        <v>14</v>
      </c>
      <c r="C13831" t="s">
        <v>37</v>
      </c>
      <c r="D13831" t="s">
        <v>17</v>
      </c>
      <c r="E13831" t="s">
        <v>12</v>
      </c>
      <c r="F13831">
        <v>37126803</v>
      </c>
      <c r="G13831">
        <v>37126836</v>
      </c>
      <c r="H13831">
        <v>37126777</v>
      </c>
      <c r="I13831">
        <v>37126795</v>
      </c>
    </row>
    <row r="13832" spans="1:9" x14ac:dyDescent="0.2">
      <c r="A13832" t="str">
        <f>"Nkapl"</f>
        <v>Nkapl</v>
      </c>
      <c r="B13832" t="s">
        <v>14</v>
      </c>
      <c r="C13832" t="s">
        <v>39</v>
      </c>
      <c r="D13832" t="s">
        <v>11</v>
      </c>
      <c r="E13832" t="s">
        <v>12</v>
      </c>
      <c r="F13832">
        <v>21468474</v>
      </c>
      <c r="G13832">
        <v>21468508</v>
      </c>
      <c r="H13832">
        <v>21468510</v>
      </c>
      <c r="I13832">
        <v>21468551</v>
      </c>
    </row>
    <row r="13833" spans="1:9" x14ac:dyDescent="0.2">
      <c r="A13833" t="str">
        <f>"Nkd1"</f>
        <v>Nkd1</v>
      </c>
      <c r="B13833" t="s">
        <v>14</v>
      </c>
      <c r="C13833" t="s">
        <v>30</v>
      </c>
      <c r="D13833" t="s">
        <v>17</v>
      </c>
      <c r="E13833" t="s">
        <v>12</v>
      </c>
      <c r="F13833">
        <v>88521348</v>
      </c>
      <c r="G13833">
        <v>88521371</v>
      </c>
      <c r="H13833">
        <v>88521249</v>
      </c>
      <c r="I13833">
        <v>88521279</v>
      </c>
    </row>
    <row r="13834" spans="1:9" x14ac:dyDescent="0.2">
      <c r="A13834" t="str">
        <f>"Nkd2"</f>
        <v>Nkd2</v>
      </c>
      <c r="B13834" t="s">
        <v>14</v>
      </c>
      <c r="C13834" t="s">
        <v>39</v>
      </c>
      <c r="D13834" t="s">
        <v>11</v>
      </c>
      <c r="E13834" t="s">
        <v>12</v>
      </c>
      <c r="F13834">
        <v>73847603</v>
      </c>
      <c r="G13834">
        <v>73847619</v>
      </c>
      <c r="H13834">
        <v>73847552</v>
      </c>
      <c r="I13834">
        <v>73847559</v>
      </c>
    </row>
    <row r="13835" spans="1:9" x14ac:dyDescent="0.2">
      <c r="A13835" t="str">
        <f>"Nkg7"</f>
        <v>Nkg7</v>
      </c>
      <c r="B13835" t="s">
        <v>14</v>
      </c>
      <c r="C13835" t="s">
        <v>33</v>
      </c>
      <c r="D13835" t="s">
        <v>17</v>
      </c>
      <c r="E13835" t="s">
        <v>12</v>
      </c>
      <c r="F13835">
        <v>43437132</v>
      </c>
      <c r="G13835">
        <v>43437174</v>
      </c>
      <c r="H13835">
        <v>43436966</v>
      </c>
      <c r="I13835">
        <v>43436981</v>
      </c>
    </row>
    <row r="13836" spans="1:9" x14ac:dyDescent="0.2">
      <c r="A13836" t="str">
        <f>"Nkiras1"</f>
        <v>Nkiras1</v>
      </c>
      <c r="B13836" t="s">
        <v>14</v>
      </c>
      <c r="C13836" t="s">
        <v>41</v>
      </c>
      <c r="D13836" t="s">
        <v>17</v>
      </c>
      <c r="E13836" t="s">
        <v>12</v>
      </c>
      <c r="F13836">
        <v>18271201</v>
      </c>
      <c r="G13836">
        <v>18271290</v>
      </c>
      <c r="H13836">
        <v>18271122</v>
      </c>
      <c r="I13836">
        <v>18271178</v>
      </c>
    </row>
    <row r="13837" spans="1:9" x14ac:dyDescent="0.2">
      <c r="A13837" t="str">
        <f>"Nkiras2"</f>
        <v>Nkiras2</v>
      </c>
      <c r="B13837" t="s">
        <v>14</v>
      </c>
      <c r="C13837" t="s">
        <v>27</v>
      </c>
      <c r="D13837" t="s">
        <v>17</v>
      </c>
      <c r="E13837" t="s">
        <v>12</v>
      </c>
      <c r="F13837">
        <v>100622883</v>
      </c>
      <c r="G13837">
        <v>100622920</v>
      </c>
      <c r="H13837">
        <v>100622921</v>
      </c>
      <c r="I13837">
        <v>100622970</v>
      </c>
    </row>
    <row r="13838" spans="1:9" x14ac:dyDescent="0.2">
      <c r="A13838" t="str">
        <f>"Nkpd1"</f>
        <v>Nkpd1</v>
      </c>
      <c r="B13838" t="s">
        <v>14</v>
      </c>
      <c r="C13838" t="s">
        <v>33</v>
      </c>
      <c r="D13838" t="s">
        <v>17</v>
      </c>
      <c r="E13838" t="s">
        <v>12</v>
      </c>
      <c r="F13838">
        <v>19518693</v>
      </c>
      <c r="G13838">
        <v>19518694</v>
      </c>
      <c r="H13838">
        <v>19518693</v>
      </c>
      <c r="I13838">
        <v>19518694</v>
      </c>
    </row>
    <row r="13839" spans="1:9" x14ac:dyDescent="0.2">
      <c r="A13839" t="str">
        <f>"Nkrf"</f>
        <v>Nkrf</v>
      </c>
      <c r="B13839" t="s">
        <v>14</v>
      </c>
      <c r="C13839" t="s">
        <v>37</v>
      </c>
      <c r="D13839" t="s">
        <v>11</v>
      </c>
      <c r="E13839" t="s">
        <v>12</v>
      </c>
      <c r="F13839">
        <v>36902877</v>
      </c>
      <c r="G13839">
        <v>36902904</v>
      </c>
      <c r="H13839">
        <v>36903344</v>
      </c>
      <c r="I13839">
        <v>36903353</v>
      </c>
    </row>
    <row r="13840" spans="1:9" x14ac:dyDescent="0.2">
      <c r="A13840" t="str">
        <f>"Nktr"</f>
        <v>Nktr</v>
      </c>
      <c r="B13840" t="s">
        <v>14</v>
      </c>
      <c r="C13840" t="s">
        <v>24</v>
      </c>
      <c r="D13840" t="s">
        <v>17</v>
      </c>
      <c r="E13840" t="s">
        <v>12</v>
      </c>
      <c r="F13840">
        <v>121719172</v>
      </c>
      <c r="G13840">
        <v>121719278</v>
      </c>
      <c r="H13840">
        <v>121719403</v>
      </c>
      <c r="I13840">
        <v>121719471</v>
      </c>
    </row>
    <row r="13841" spans="1:9" x14ac:dyDescent="0.2">
      <c r="A13841" t="str">
        <f>"Nkx1-1"</f>
        <v>Nkx1-1</v>
      </c>
      <c r="B13841" t="s">
        <v>14</v>
      </c>
      <c r="C13841" t="s">
        <v>46</v>
      </c>
      <c r="D13841" t="s">
        <v>11</v>
      </c>
      <c r="E13841" t="s">
        <v>12</v>
      </c>
      <c r="F13841">
        <v>33434225</v>
      </c>
      <c r="G13841">
        <v>33434230</v>
      </c>
      <c r="H13841">
        <v>33434225</v>
      </c>
      <c r="I13841">
        <v>33434230</v>
      </c>
    </row>
    <row r="13842" spans="1:9" x14ac:dyDescent="0.2">
      <c r="A13842" t="str">
        <f>"Nkx1-2"</f>
        <v>Nkx1-2</v>
      </c>
      <c r="B13842" t="s">
        <v>14</v>
      </c>
      <c r="C13842" t="s">
        <v>33</v>
      </c>
      <c r="D13842" t="s">
        <v>11</v>
      </c>
      <c r="E13842" t="s">
        <v>12</v>
      </c>
      <c r="F13842">
        <v>132599619</v>
      </c>
      <c r="G13842">
        <v>132599633</v>
      </c>
      <c r="H13842">
        <v>132599619</v>
      </c>
      <c r="I13842">
        <v>132599633</v>
      </c>
    </row>
    <row r="13843" spans="1:9" x14ac:dyDescent="0.2">
      <c r="A13843" t="str">
        <f>"Nkx2-1"</f>
        <v>Nkx2-1</v>
      </c>
      <c r="B13843" t="s">
        <v>14</v>
      </c>
      <c r="C13843" t="s">
        <v>16</v>
      </c>
      <c r="D13843" t="s">
        <v>11</v>
      </c>
      <c r="E13843" t="s">
        <v>12</v>
      </c>
      <c r="F13843">
        <v>56535047</v>
      </c>
      <c r="G13843">
        <v>56535100</v>
      </c>
      <c r="H13843">
        <v>56535047</v>
      </c>
      <c r="I13843">
        <v>56535100</v>
      </c>
    </row>
    <row r="13844" spans="1:9" x14ac:dyDescent="0.2">
      <c r="A13844" t="str">
        <f>"Nkx2-2"</f>
        <v>Nkx2-2</v>
      </c>
      <c r="B13844" t="s">
        <v>9</v>
      </c>
      <c r="C13844" t="s">
        <v>26</v>
      </c>
      <c r="D13844" t="s">
        <v>11</v>
      </c>
      <c r="E13844" t="s">
        <v>12</v>
      </c>
      <c r="F13844">
        <v>147186389</v>
      </c>
      <c r="G13844">
        <v>147186413</v>
      </c>
      <c r="H13844">
        <v>147186389</v>
      </c>
      <c r="I13844">
        <v>147186413</v>
      </c>
    </row>
    <row r="13845" spans="1:9" x14ac:dyDescent="0.2">
      <c r="A13845" t="str">
        <f>"Nkx2-2"</f>
        <v>Nkx2-2</v>
      </c>
      <c r="B13845" t="s">
        <v>13</v>
      </c>
      <c r="C13845" t="s">
        <v>26</v>
      </c>
      <c r="D13845" t="s">
        <v>11</v>
      </c>
      <c r="E13845" t="s">
        <v>12</v>
      </c>
      <c r="F13845">
        <v>147194241</v>
      </c>
      <c r="G13845">
        <v>147194249</v>
      </c>
      <c r="H13845">
        <v>147194241</v>
      </c>
      <c r="I13845">
        <v>147194249</v>
      </c>
    </row>
    <row r="13846" spans="1:9" x14ac:dyDescent="0.2">
      <c r="A13846" t="str">
        <f>"Nkx2-3"</f>
        <v>Nkx2-3</v>
      </c>
      <c r="B13846" t="s">
        <v>14</v>
      </c>
      <c r="C13846" t="s">
        <v>10</v>
      </c>
      <c r="D13846" t="s">
        <v>17</v>
      </c>
      <c r="E13846" t="s">
        <v>12</v>
      </c>
      <c r="F13846">
        <v>43612299</v>
      </c>
      <c r="G13846">
        <v>43612321</v>
      </c>
      <c r="H13846">
        <v>43612392</v>
      </c>
      <c r="I13846">
        <v>43612416</v>
      </c>
    </row>
    <row r="13847" spans="1:9" x14ac:dyDescent="0.2">
      <c r="A13847" t="str">
        <f>"Nkx2-4"</f>
        <v>Nkx2-4</v>
      </c>
      <c r="B13847" t="s">
        <v>14</v>
      </c>
      <c r="C13847" t="s">
        <v>26</v>
      </c>
      <c r="D13847" t="s">
        <v>11</v>
      </c>
      <c r="E13847" t="s">
        <v>12</v>
      </c>
      <c r="F13847">
        <v>147085464</v>
      </c>
      <c r="G13847">
        <v>147085483</v>
      </c>
      <c r="H13847">
        <v>147085444</v>
      </c>
      <c r="I13847">
        <v>147085452</v>
      </c>
    </row>
    <row r="13848" spans="1:9" x14ac:dyDescent="0.2">
      <c r="A13848" t="str">
        <f>"Nkx2-5"</f>
        <v>Nkx2-5</v>
      </c>
      <c r="B13848" t="s">
        <v>14</v>
      </c>
      <c r="C13848" t="s">
        <v>28</v>
      </c>
      <c r="D13848" t="s">
        <v>11</v>
      </c>
      <c r="E13848" t="s">
        <v>12</v>
      </c>
      <c r="F13848">
        <v>26841464</v>
      </c>
      <c r="G13848">
        <v>26841497</v>
      </c>
      <c r="H13848">
        <v>26841576</v>
      </c>
      <c r="I13848">
        <v>26841591</v>
      </c>
    </row>
    <row r="13849" spans="1:9" x14ac:dyDescent="0.2">
      <c r="A13849" t="str">
        <f>"Nkx2-6"</f>
        <v>Nkx2-6</v>
      </c>
      <c r="B13849" t="s">
        <v>14</v>
      </c>
      <c r="C13849" t="s">
        <v>41</v>
      </c>
      <c r="D13849" t="s">
        <v>17</v>
      </c>
      <c r="E13849" t="s">
        <v>12</v>
      </c>
      <c r="F13849">
        <v>69171939</v>
      </c>
      <c r="G13849">
        <v>69171964</v>
      </c>
      <c r="H13849">
        <v>69171978</v>
      </c>
      <c r="I13849">
        <v>69171993</v>
      </c>
    </row>
    <row r="13850" spans="1:9" x14ac:dyDescent="0.2">
      <c r="A13850" t="str">
        <f>"Nkx2-9"</f>
        <v>Nkx2-9</v>
      </c>
      <c r="B13850" t="s">
        <v>14</v>
      </c>
      <c r="C13850" t="s">
        <v>16</v>
      </c>
      <c r="D13850" t="s">
        <v>11</v>
      </c>
      <c r="E13850" t="s">
        <v>12</v>
      </c>
      <c r="F13850">
        <v>56613270</v>
      </c>
      <c r="G13850">
        <v>56613291</v>
      </c>
      <c r="H13850">
        <v>56613301</v>
      </c>
      <c r="I13850">
        <v>56613318</v>
      </c>
    </row>
    <row r="13851" spans="1:9" x14ac:dyDescent="0.2">
      <c r="A13851" t="str">
        <f>"Nkx3-1"</f>
        <v>Nkx3-1</v>
      </c>
      <c r="B13851" t="s">
        <v>14</v>
      </c>
      <c r="C13851" t="s">
        <v>41</v>
      </c>
      <c r="D13851" t="s">
        <v>17</v>
      </c>
      <c r="E13851" t="s">
        <v>12</v>
      </c>
      <c r="F13851">
        <v>69190668</v>
      </c>
      <c r="G13851">
        <v>69190691</v>
      </c>
      <c r="H13851">
        <v>69190702</v>
      </c>
      <c r="I13851">
        <v>69190712</v>
      </c>
    </row>
    <row r="13852" spans="1:9" x14ac:dyDescent="0.2">
      <c r="A13852" t="str">
        <f>"Nkx3-2"</f>
        <v>Nkx3-2</v>
      </c>
      <c r="B13852" t="s">
        <v>14</v>
      </c>
      <c r="C13852" t="s">
        <v>46</v>
      </c>
      <c r="D13852" t="s">
        <v>11</v>
      </c>
      <c r="E13852" t="s">
        <v>12</v>
      </c>
      <c r="F13852">
        <v>41764549</v>
      </c>
      <c r="G13852">
        <v>41764561</v>
      </c>
      <c r="H13852">
        <v>41764038</v>
      </c>
      <c r="I13852">
        <v>41764042</v>
      </c>
    </row>
    <row r="13853" spans="1:9" x14ac:dyDescent="0.2">
      <c r="A13853" t="str">
        <f>"Nkx6-1"</f>
        <v>Nkx6-1</v>
      </c>
      <c r="B13853" t="s">
        <v>14</v>
      </c>
      <c r="C13853" t="s">
        <v>46</v>
      </c>
      <c r="D13853" t="s">
        <v>11</v>
      </c>
      <c r="E13853" t="s">
        <v>12</v>
      </c>
      <c r="F13853">
        <v>101665195</v>
      </c>
      <c r="G13853">
        <v>101665211</v>
      </c>
      <c r="H13853">
        <v>101665265</v>
      </c>
      <c r="I13853">
        <v>101665276</v>
      </c>
    </row>
    <row r="13854" spans="1:9" x14ac:dyDescent="0.2">
      <c r="A13854" t="str">
        <f>"Nkx6-2"</f>
        <v>Nkx6-2</v>
      </c>
      <c r="B13854" t="s">
        <v>14</v>
      </c>
      <c r="C13854" t="s">
        <v>33</v>
      </c>
      <c r="D13854" t="s">
        <v>11</v>
      </c>
      <c r="E13854" t="s">
        <v>12</v>
      </c>
      <c r="F13854">
        <v>139582792</v>
      </c>
      <c r="G13854">
        <v>139582808</v>
      </c>
      <c r="H13854">
        <v>139582725</v>
      </c>
      <c r="I13854">
        <v>139582730</v>
      </c>
    </row>
    <row r="13855" spans="1:9" x14ac:dyDescent="0.2">
      <c r="A13855" t="str">
        <f>"Nkx6-3"</f>
        <v>Nkx6-3</v>
      </c>
      <c r="B13855" t="s">
        <v>14</v>
      </c>
      <c r="C13855" t="s">
        <v>30</v>
      </c>
      <c r="D13855" t="s">
        <v>17</v>
      </c>
      <c r="E13855" t="s">
        <v>12</v>
      </c>
      <c r="F13855">
        <v>23153269</v>
      </c>
      <c r="G13855">
        <v>23153301</v>
      </c>
      <c r="H13855">
        <v>23153269</v>
      </c>
      <c r="I13855">
        <v>23153301</v>
      </c>
    </row>
    <row r="13856" spans="1:9" x14ac:dyDescent="0.2">
      <c r="A13856" t="str">
        <f>"Nle1"</f>
        <v>Nle1</v>
      </c>
      <c r="B13856" t="s">
        <v>14</v>
      </c>
      <c r="C13856" t="s">
        <v>27</v>
      </c>
      <c r="D13856" t="s">
        <v>11</v>
      </c>
      <c r="E13856" t="s">
        <v>12</v>
      </c>
      <c r="F13856">
        <v>82908360</v>
      </c>
      <c r="G13856">
        <v>82908400</v>
      </c>
      <c r="H13856">
        <v>82908230</v>
      </c>
      <c r="I13856">
        <v>82908249</v>
      </c>
    </row>
    <row r="13857" spans="1:9" x14ac:dyDescent="0.2">
      <c r="A13857" t="str">
        <f>"Nlgn1"</f>
        <v>Nlgn1</v>
      </c>
      <c r="B13857" t="s">
        <v>4374</v>
      </c>
      <c r="C13857" t="s">
        <v>22</v>
      </c>
      <c r="D13857" t="s">
        <v>11</v>
      </c>
      <c r="E13857" t="s">
        <v>20</v>
      </c>
      <c r="F13857">
        <v>26133733</v>
      </c>
      <c r="G13857">
        <v>26133733</v>
      </c>
      <c r="H13857">
        <v>26133733</v>
      </c>
      <c r="I13857">
        <v>26133733</v>
      </c>
    </row>
    <row r="13858" spans="1:9" x14ac:dyDescent="0.2">
      <c r="A13858" t="str">
        <f>"Nlgn2"</f>
        <v>Nlgn2</v>
      </c>
      <c r="B13858" t="s">
        <v>14</v>
      </c>
      <c r="C13858" t="s">
        <v>27</v>
      </c>
      <c r="D13858" t="s">
        <v>11</v>
      </c>
      <c r="E13858" t="s">
        <v>12</v>
      </c>
      <c r="F13858">
        <v>69837736</v>
      </c>
      <c r="G13858">
        <v>69837764</v>
      </c>
      <c r="H13858">
        <v>69837766</v>
      </c>
      <c r="I13858">
        <v>69837776</v>
      </c>
    </row>
    <row r="13859" spans="1:9" x14ac:dyDescent="0.2">
      <c r="A13859" t="str">
        <f>"Nlgn3"</f>
        <v>Nlgn3</v>
      </c>
      <c r="B13859" t="s">
        <v>14</v>
      </c>
      <c r="C13859" t="s">
        <v>37</v>
      </c>
      <c r="D13859" t="s">
        <v>17</v>
      </c>
      <c r="E13859" t="s">
        <v>12</v>
      </c>
      <c r="F13859">
        <v>101299143</v>
      </c>
      <c r="G13859">
        <v>101299201</v>
      </c>
      <c r="H13859">
        <v>101299207</v>
      </c>
      <c r="I13859">
        <v>101299218</v>
      </c>
    </row>
    <row r="13860" spans="1:9" x14ac:dyDescent="0.2">
      <c r="A13860" t="str">
        <f>"Nlk"</f>
        <v>Nlk</v>
      </c>
      <c r="B13860" t="s">
        <v>14</v>
      </c>
      <c r="C13860" t="s">
        <v>27</v>
      </c>
      <c r="D13860" t="s">
        <v>11</v>
      </c>
      <c r="E13860" t="s">
        <v>12</v>
      </c>
      <c r="F13860">
        <v>78697370</v>
      </c>
      <c r="G13860">
        <v>78697475</v>
      </c>
      <c r="H13860">
        <v>78697283</v>
      </c>
      <c r="I13860">
        <v>78697290</v>
      </c>
    </row>
    <row r="13861" spans="1:9" x14ac:dyDescent="0.2">
      <c r="A13861" t="str">
        <f>"Nln"</f>
        <v>Nln</v>
      </c>
      <c r="B13861" t="s">
        <v>14</v>
      </c>
      <c r="C13861" t="s">
        <v>39</v>
      </c>
      <c r="D13861" t="s">
        <v>11</v>
      </c>
      <c r="E13861" t="s">
        <v>12</v>
      </c>
      <c r="F13861">
        <v>104109513</v>
      </c>
      <c r="G13861">
        <v>104109574</v>
      </c>
      <c r="H13861">
        <v>104109576</v>
      </c>
      <c r="I13861">
        <v>104109619</v>
      </c>
    </row>
    <row r="13862" spans="1:9" x14ac:dyDescent="0.2">
      <c r="A13862" t="str">
        <f>"Nlrc3"</f>
        <v>Nlrc3</v>
      </c>
      <c r="B13862" t="s">
        <v>14</v>
      </c>
      <c r="C13862" t="s">
        <v>31</v>
      </c>
      <c r="D13862" t="s">
        <v>11</v>
      </c>
      <c r="E13862" t="s">
        <v>12</v>
      </c>
      <c r="F13862">
        <v>3976541</v>
      </c>
      <c r="G13862">
        <v>3976567</v>
      </c>
      <c r="H13862">
        <v>3976519</v>
      </c>
      <c r="I13862">
        <v>3976535</v>
      </c>
    </row>
    <row r="13863" spans="1:9" x14ac:dyDescent="0.2">
      <c r="A13863" t="str">
        <f>"Nlrc4"</f>
        <v>Nlrc4</v>
      </c>
      <c r="B13863" t="s">
        <v>14</v>
      </c>
      <c r="C13863" t="s">
        <v>28</v>
      </c>
      <c r="D13863" t="s">
        <v>11</v>
      </c>
      <c r="E13863" t="s">
        <v>12</v>
      </c>
      <c r="F13863">
        <v>74459096</v>
      </c>
      <c r="G13863">
        <v>74459127</v>
      </c>
      <c r="H13863">
        <v>74459136</v>
      </c>
      <c r="I13863">
        <v>74459170</v>
      </c>
    </row>
    <row r="13864" spans="1:9" x14ac:dyDescent="0.2">
      <c r="A13864" t="str">
        <f>"Nlrc5"</f>
        <v>Nlrc5</v>
      </c>
      <c r="B13864" t="s">
        <v>14</v>
      </c>
      <c r="C13864" t="s">
        <v>30</v>
      </c>
      <c r="D13864" t="s">
        <v>17</v>
      </c>
      <c r="E13864" t="s">
        <v>67</v>
      </c>
      <c r="F13864">
        <v>94472863</v>
      </c>
      <c r="G13864">
        <v>94472864</v>
      </c>
      <c r="H13864">
        <v>94472863</v>
      </c>
      <c r="I13864">
        <v>94472864</v>
      </c>
    </row>
    <row r="13865" spans="1:9" x14ac:dyDescent="0.2">
      <c r="A13865" t="str">
        <f>"Nlrp10"</f>
        <v>Nlrp10</v>
      </c>
      <c r="B13865" t="s">
        <v>14</v>
      </c>
      <c r="C13865" t="s">
        <v>33</v>
      </c>
      <c r="D13865" t="s">
        <v>11</v>
      </c>
      <c r="E13865" t="s">
        <v>12</v>
      </c>
      <c r="F13865">
        <v>108930151</v>
      </c>
      <c r="G13865">
        <v>108930164</v>
      </c>
      <c r="H13865">
        <v>108930151</v>
      </c>
      <c r="I13865">
        <v>108930164</v>
      </c>
    </row>
    <row r="13866" spans="1:9" x14ac:dyDescent="0.2">
      <c r="A13866" t="str">
        <f>"Nlrp12"</f>
        <v>Nlrp12</v>
      </c>
      <c r="B13866" t="s">
        <v>14</v>
      </c>
      <c r="C13866" t="s">
        <v>33</v>
      </c>
      <c r="D13866" t="s">
        <v>11</v>
      </c>
      <c r="E13866" t="s">
        <v>12</v>
      </c>
      <c r="F13866">
        <v>3249711</v>
      </c>
      <c r="G13866">
        <v>3249755</v>
      </c>
      <c r="H13866">
        <v>3249659</v>
      </c>
      <c r="I13866">
        <v>3249672</v>
      </c>
    </row>
    <row r="13867" spans="1:9" x14ac:dyDescent="0.2">
      <c r="A13867" t="str">
        <f>"Nlrp14"</f>
        <v>Nlrp14</v>
      </c>
      <c r="B13867" t="s">
        <v>14</v>
      </c>
      <c r="C13867" t="s">
        <v>33</v>
      </c>
      <c r="D13867" t="s">
        <v>17</v>
      </c>
      <c r="E13867" t="s">
        <v>12</v>
      </c>
      <c r="F13867">
        <v>107187093</v>
      </c>
      <c r="G13867">
        <v>107187146</v>
      </c>
      <c r="H13867">
        <v>107187093</v>
      </c>
      <c r="I13867">
        <v>107187146</v>
      </c>
    </row>
    <row r="13868" spans="1:9" x14ac:dyDescent="0.2">
      <c r="A13868" t="str">
        <f>"Nlrp1a"</f>
        <v>Nlrp1a</v>
      </c>
      <c r="B13868" t="s">
        <v>14</v>
      </c>
      <c r="C13868" t="s">
        <v>27</v>
      </c>
      <c r="D13868" t="s">
        <v>11</v>
      </c>
      <c r="E13868" t="s">
        <v>12</v>
      </c>
      <c r="F13868">
        <v>71144779</v>
      </c>
      <c r="G13868">
        <v>71144793</v>
      </c>
      <c r="H13868">
        <v>71144758</v>
      </c>
      <c r="I13868">
        <v>71144773</v>
      </c>
    </row>
    <row r="13869" spans="1:9" x14ac:dyDescent="0.2">
      <c r="A13869" t="str">
        <f>"Nlrp1b"</f>
        <v>Nlrp1b</v>
      </c>
      <c r="B13869" t="s">
        <v>14</v>
      </c>
      <c r="C13869" t="s">
        <v>27</v>
      </c>
      <c r="D13869" t="s">
        <v>11</v>
      </c>
      <c r="E13869" t="s">
        <v>12</v>
      </c>
      <c r="F13869">
        <v>71230800</v>
      </c>
      <c r="G13869">
        <v>71230837</v>
      </c>
      <c r="H13869">
        <v>71230800</v>
      </c>
      <c r="I13869">
        <v>71230837</v>
      </c>
    </row>
    <row r="13870" spans="1:9" x14ac:dyDescent="0.2">
      <c r="A13870" t="str">
        <f>"Nlrp2"</f>
        <v>Nlrp2</v>
      </c>
      <c r="B13870" t="s">
        <v>14</v>
      </c>
      <c r="C13870" t="s">
        <v>33</v>
      </c>
      <c r="D13870" t="s">
        <v>11</v>
      </c>
      <c r="E13870" t="s">
        <v>12</v>
      </c>
      <c r="F13870">
        <v>5351034</v>
      </c>
      <c r="G13870">
        <v>5351045</v>
      </c>
      <c r="H13870">
        <v>5351034</v>
      </c>
      <c r="I13870">
        <v>5351045</v>
      </c>
    </row>
    <row r="13871" spans="1:9" x14ac:dyDescent="0.2">
      <c r="A13871" t="str">
        <f>"Nlrp3"</f>
        <v>Nlrp3</v>
      </c>
      <c r="B13871" t="s">
        <v>9</v>
      </c>
      <c r="C13871" t="s">
        <v>27</v>
      </c>
      <c r="D13871" t="s">
        <v>17</v>
      </c>
      <c r="E13871" t="s">
        <v>12</v>
      </c>
      <c r="F13871">
        <v>59541578</v>
      </c>
      <c r="G13871">
        <v>59541591</v>
      </c>
      <c r="H13871">
        <v>59541578</v>
      </c>
      <c r="I13871">
        <v>59541591</v>
      </c>
    </row>
    <row r="13872" spans="1:9" x14ac:dyDescent="0.2">
      <c r="A13872" t="str">
        <f>"Nlrp3"</f>
        <v>Nlrp3</v>
      </c>
      <c r="B13872" t="s">
        <v>13</v>
      </c>
      <c r="C13872" t="s">
        <v>27</v>
      </c>
      <c r="D13872" t="s">
        <v>17</v>
      </c>
      <c r="E13872" t="s">
        <v>12</v>
      </c>
      <c r="F13872">
        <v>59542701</v>
      </c>
      <c r="G13872">
        <v>59542726</v>
      </c>
      <c r="H13872">
        <v>59542701</v>
      </c>
      <c r="I13872">
        <v>59542726</v>
      </c>
    </row>
    <row r="13873" spans="1:9" x14ac:dyDescent="0.2">
      <c r="A13873" t="str">
        <f>"Nlrp4a"</f>
        <v>Nlrp4a</v>
      </c>
      <c r="B13873" t="s">
        <v>14</v>
      </c>
      <c r="C13873" t="s">
        <v>33</v>
      </c>
      <c r="D13873" t="s">
        <v>17</v>
      </c>
      <c r="E13873" t="s">
        <v>12</v>
      </c>
      <c r="F13873">
        <v>26435619</v>
      </c>
      <c r="G13873">
        <v>26435620</v>
      </c>
      <c r="H13873">
        <v>26435619</v>
      </c>
      <c r="I13873">
        <v>26435620</v>
      </c>
    </row>
    <row r="13874" spans="1:9" x14ac:dyDescent="0.2">
      <c r="A13874" t="str">
        <f>"Nlrp4b"</f>
        <v>Nlrp4b</v>
      </c>
      <c r="B13874" t="s">
        <v>14</v>
      </c>
      <c r="C13874" t="s">
        <v>33</v>
      </c>
      <c r="D13874" t="s">
        <v>17</v>
      </c>
      <c r="E13874" t="s">
        <v>12</v>
      </c>
      <c r="F13874">
        <v>10687791</v>
      </c>
      <c r="G13874">
        <v>10687792</v>
      </c>
      <c r="H13874">
        <v>10687791</v>
      </c>
      <c r="I13874">
        <v>10687792</v>
      </c>
    </row>
    <row r="13875" spans="1:9" x14ac:dyDescent="0.2">
      <c r="A13875" t="str">
        <f>"Nlrp4c"</f>
        <v>Nlrp4c</v>
      </c>
      <c r="B13875" t="s">
        <v>14</v>
      </c>
      <c r="C13875" t="s">
        <v>33</v>
      </c>
      <c r="D13875" t="s">
        <v>17</v>
      </c>
      <c r="E13875" t="s">
        <v>12</v>
      </c>
      <c r="F13875">
        <v>6045168</v>
      </c>
      <c r="G13875">
        <v>6045197</v>
      </c>
      <c r="H13875">
        <v>6045168</v>
      </c>
      <c r="I13875">
        <v>6045197</v>
      </c>
    </row>
    <row r="13876" spans="1:9" x14ac:dyDescent="0.2">
      <c r="A13876" t="str">
        <f>"Nlrp4e"</f>
        <v>Nlrp4e</v>
      </c>
      <c r="B13876" t="s">
        <v>4375</v>
      </c>
      <c r="C13876" t="s">
        <v>33</v>
      </c>
      <c r="D13876" t="s">
        <v>17</v>
      </c>
      <c r="E13876" t="s">
        <v>20</v>
      </c>
      <c r="F13876">
        <v>23301274</v>
      </c>
      <c r="G13876">
        <v>23301274</v>
      </c>
      <c r="H13876">
        <v>23301274</v>
      </c>
      <c r="I13876">
        <v>23301274</v>
      </c>
    </row>
    <row r="13877" spans="1:9" x14ac:dyDescent="0.2">
      <c r="A13877" t="str">
        <f>"Nlrp4f"</f>
        <v>Nlrp4f</v>
      </c>
      <c r="B13877" t="s">
        <v>14</v>
      </c>
      <c r="C13877" t="s">
        <v>39</v>
      </c>
      <c r="D13877" t="s">
        <v>11</v>
      </c>
      <c r="E13877" t="s">
        <v>12</v>
      </c>
      <c r="F13877">
        <v>65205961</v>
      </c>
      <c r="G13877">
        <v>65205969</v>
      </c>
      <c r="H13877">
        <v>65205961</v>
      </c>
      <c r="I13877">
        <v>65205969</v>
      </c>
    </row>
    <row r="13878" spans="1:9" x14ac:dyDescent="0.2">
      <c r="A13878" t="str">
        <f>"Nlrp4g"</f>
        <v>Nlrp4g</v>
      </c>
      <c r="B13878" t="s">
        <v>4376</v>
      </c>
      <c r="C13878" t="s">
        <v>24</v>
      </c>
      <c r="D13878" t="s">
        <v>17</v>
      </c>
      <c r="E13878" t="s">
        <v>20</v>
      </c>
      <c r="F13878">
        <v>124348830</v>
      </c>
      <c r="G13878">
        <v>124348830</v>
      </c>
      <c r="H13878">
        <v>124348830</v>
      </c>
      <c r="I13878">
        <v>124348830</v>
      </c>
    </row>
    <row r="13879" spans="1:9" x14ac:dyDescent="0.2">
      <c r="A13879" t="str">
        <f>"Nlrp5"</f>
        <v>Nlrp5</v>
      </c>
      <c r="B13879" t="s">
        <v>14</v>
      </c>
      <c r="C13879" t="s">
        <v>33</v>
      </c>
      <c r="D13879" t="s">
        <v>17</v>
      </c>
      <c r="E13879" t="s">
        <v>12</v>
      </c>
      <c r="F13879">
        <v>23385888</v>
      </c>
      <c r="G13879">
        <v>23385895</v>
      </c>
      <c r="H13879">
        <v>23385863</v>
      </c>
      <c r="I13879">
        <v>23385864</v>
      </c>
    </row>
    <row r="13880" spans="1:9" x14ac:dyDescent="0.2">
      <c r="A13880" t="str">
        <f>"Nlrp6"</f>
        <v>Nlrp6</v>
      </c>
      <c r="B13880" t="s">
        <v>14</v>
      </c>
      <c r="C13880" t="s">
        <v>33</v>
      </c>
      <c r="D13880" t="s">
        <v>17</v>
      </c>
      <c r="E13880" t="s">
        <v>12</v>
      </c>
      <c r="F13880">
        <v>140920896</v>
      </c>
      <c r="G13880">
        <v>140920911</v>
      </c>
      <c r="H13880">
        <v>140920857</v>
      </c>
      <c r="I13880">
        <v>140920881</v>
      </c>
    </row>
    <row r="13881" spans="1:9" x14ac:dyDescent="0.2">
      <c r="A13881" t="str">
        <f>"Nlrp9a"</f>
        <v>Nlrp9a</v>
      </c>
      <c r="B13881" t="s">
        <v>4377</v>
      </c>
      <c r="C13881" t="s">
        <v>33</v>
      </c>
      <c r="D13881" t="s">
        <v>17</v>
      </c>
      <c r="E13881" t="s">
        <v>20</v>
      </c>
      <c r="F13881">
        <v>26535043</v>
      </c>
      <c r="G13881">
        <v>26535043</v>
      </c>
      <c r="H13881">
        <v>26535043</v>
      </c>
      <c r="I13881">
        <v>26535043</v>
      </c>
    </row>
    <row r="13882" spans="1:9" x14ac:dyDescent="0.2">
      <c r="A13882" t="str">
        <f>"Nlrp9a"</f>
        <v>Nlrp9a</v>
      </c>
      <c r="B13882" t="s">
        <v>4378</v>
      </c>
      <c r="C13882" t="s">
        <v>33</v>
      </c>
      <c r="D13882" t="s">
        <v>17</v>
      </c>
      <c r="E13882" t="s">
        <v>20</v>
      </c>
      <c r="F13882">
        <v>26550811</v>
      </c>
      <c r="G13882">
        <v>26550811</v>
      </c>
      <c r="H13882">
        <v>26550811</v>
      </c>
      <c r="I13882">
        <v>26550811</v>
      </c>
    </row>
    <row r="13883" spans="1:9" x14ac:dyDescent="0.2">
      <c r="A13883" t="str">
        <f>"Nlrp9b"</f>
        <v>Nlrp9b</v>
      </c>
      <c r="B13883" t="s">
        <v>4379</v>
      </c>
      <c r="C13883" t="s">
        <v>33</v>
      </c>
      <c r="D13883" t="s">
        <v>17</v>
      </c>
      <c r="E13883" t="s">
        <v>20</v>
      </c>
      <c r="F13883">
        <v>20008022</v>
      </c>
      <c r="G13883">
        <v>20008022</v>
      </c>
      <c r="H13883">
        <v>20008022</v>
      </c>
      <c r="I13883">
        <v>20008022</v>
      </c>
    </row>
    <row r="13884" spans="1:9" x14ac:dyDescent="0.2">
      <c r="A13884" t="str">
        <f>"Nlrp9c"</f>
        <v>Nlrp9c</v>
      </c>
      <c r="B13884" t="s">
        <v>4380</v>
      </c>
      <c r="C13884" t="s">
        <v>33</v>
      </c>
      <c r="D13884" t="s">
        <v>11</v>
      </c>
      <c r="E13884" t="s">
        <v>20</v>
      </c>
      <c r="F13884">
        <v>26394242</v>
      </c>
      <c r="G13884">
        <v>26394242</v>
      </c>
      <c r="H13884">
        <v>26394242</v>
      </c>
      <c r="I13884">
        <v>26394242</v>
      </c>
    </row>
    <row r="13885" spans="1:9" x14ac:dyDescent="0.2">
      <c r="A13885" t="str">
        <f>"Nlrx1"</f>
        <v>Nlrx1</v>
      </c>
      <c r="B13885" t="s">
        <v>14</v>
      </c>
      <c r="C13885" t="s">
        <v>24</v>
      </c>
      <c r="D13885" t="s">
        <v>11</v>
      </c>
      <c r="E13885" t="s">
        <v>12</v>
      </c>
      <c r="F13885">
        <v>44268051</v>
      </c>
      <c r="G13885">
        <v>44268111</v>
      </c>
      <c r="H13885">
        <v>44268182</v>
      </c>
      <c r="I13885">
        <v>44268227</v>
      </c>
    </row>
    <row r="13886" spans="1:9" x14ac:dyDescent="0.2">
      <c r="A13886" t="str">
        <f>"Nmb"</f>
        <v>Nmb</v>
      </c>
      <c r="B13886" t="s">
        <v>14</v>
      </c>
      <c r="C13886" t="s">
        <v>33</v>
      </c>
      <c r="D13886" t="s">
        <v>11</v>
      </c>
      <c r="E13886" t="s">
        <v>12</v>
      </c>
      <c r="F13886">
        <v>80905012</v>
      </c>
      <c r="G13886">
        <v>80905026</v>
      </c>
      <c r="H13886">
        <v>80905060</v>
      </c>
      <c r="I13886">
        <v>80905081</v>
      </c>
    </row>
    <row r="13887" spans="1:9" x14ac:dyDescent="0.2">
      <c r="A13887" t="str">
        <f>"Nmbr"</f>
        <v>Nmbr</v>
      </c>
      <c r="B13887" t="s">
        <v>14</v>
      </c>
      <c r="C13887" t="s">
        <v>15</v>
      </c>
      <c r="D13887" t="s">
        <v>17</v>
      </c>
      <c r="E13887" t="s">
        <v>12</v>
      </c>
      <c r="F13887">
        <v>14760226</v>
      </c>
      <c r="G13887">
        <v>14760232</v>
      </c>
      <c r="H13887">
        <v>14760226</v>
      </c>
      <c r="I13887">
        <v>14760232</v>
      </c>
    </row>
    <row r="13888" spans="1:9" x14ac:dyDescent="0.2">
      <c r="A13888" t="str">
        <f>"Nmd3"</f>
        <v>Nmd3</v>
      </c>
      <c r="B13888" t="s">
        <v>14</v>
      </c>
      <c r="C13888" t="s">
        <v>22</v>
      </c>
      <c r="D13888" t="s">
        <v>17</v>
      </c>
      <c r="E13888" t="s">
        <v>12</v>
      </c>
      <c r="F13888">
        <v>69721996</v>
      </c>
      <c r="G13888">
        <v>69722071</v>
      </c>
      <c r="H13888">
        <v>69722089</v>
      </c>
      <c r="I13888">
        <v>69722101</v>
      </c>
    </row>
    <row r="13889" spans="1:9" x14ac:dyDescent="0.2">
      <c r="A13889" t="str">
        <f>"Nme1"</f>
        <v>Nme1</v>
      </c>
      <c r="B13889" t="s">
        <v>9</v>
      </c>
      <c r="C13889" t="s">
        <v>27</v>
      </c>
      <c r="D13889" t="s">
        <v>11</v>
      </c>
      <c r="E13889" t="s">
        <v>12</v>
      </c>
      <c r="F13889">
        <v>93968242</v>
      </c>
      <c r="G13889">
        <v>93968281</v>
      </c>
      <c r="H13889">
        <v>93968242</v>
      </c>
      <c r="I13889">
        <v>93968281</v>
      </c>
    </row>
    <row r="13890" spans="1:9" x14ac:dyDescent="0.2">
      <c r="A13890" t="str">
        <f>"Nme1"</f>
        <v>Nme1</v>
      </c>
      <c r="B13890" t="s">
        <v>13</v>
      </c>
      <c r="C13890" t="s">
        <v>27</v>
      </c>
      <c r="D13890" t="s">
        <v>11</v>
      </c>
      <c r="E13890" t="s">
        <v>12</v>
      </c>
      <c r="F13890">
        <v>93965932</v>
      </c>
      <c r="G13890">
        <v>93965956</v>
      </c>
      <c r="H13890">
        <v>93965932</v>
      </c>
      <c r="I13890">
        <v>93965956</v>
      </c>
    </row>
    <row r="13891" spans="1:9" x14ac:dyDescent="0.2">
      <c r="A13891" t="str">
        <f>"Nme2"</f>
        <v>Nme2</v>
      </c>
      <c r="B13891" t="s">
        <v>14</v>
      </c>
      <c r="C13891" t="s">
        <v>27</v>
      </c>
      <c r="D13891" t="s">
        <v>11</v>
      </c>
      <c r="E13891" t="s">
        <v>12</v>
      </c>
      <c r="F13891">
        <v>93955900</v>
      </c>
      <c r="G13891">
        <v>93955930</v>
      </c>
      <c r="H13891">
        <v>93955873</v>
      </c>
      <c r="I13891">
        <v>93955888</v>
      </c>
    </row>
    <row r="13892" spans="1:9" x14ac:dyDescent="0.2">
      <c r="A13892" t="str">
        <f>"Nme3"</f>
        <v>Nme3</v>
      </c>
      <c r="B13892" t="s">
        <v>14</v>
      </c>
      <c r="C13892" t="s">
        <v>28</v>
      </c>
      <c r="D13892" t="s">
        <v>17</v>
      </c>
      <c r="E13892" t="s">
        <v>12</v>
      </c>
      <c r="F13892">
        <v>24896488</v>
      </c>
      <c r="G13892">
        <v>24896530</v>
      </c>
      <c r="H13892">
        <v>24896535</v>
      </c>
      <c r="I13892">
        <v>24896549</v>
      </c>
    </row>
    <row r="13893" spans="1:9" x14ac:dyDescent="0.2">
      <c r="A13893" t="str">
        <f>"Nme4"</f>
        <v>Nme4</v>
      </c>
      <c r="B13893" t="s">
        <v>14</v>
      </c>
      <c r="C13893" t="s">
        <v>28</v>
      </c>
      <c r="D13893" t="s">
        <v>11</v>
      </c>
      <c r="E13893" t="s">
        <v>12</v>
      </c>
      <c r="F13893">
        <v>26095464</v>
      </c>
      <c r="G13893">
        <v>26095480</v>
      </c>
      <c r="H13893">
        <v>26095487</v>
      </c>
      <c r="I13893">
        <v>26095514</v>
      </c>
    </row>
    <row r="13894" spans="1:9" x14ac:dyDescent="0.2">
      <c r="A13894" t="str">
        <f>"Nme5"</f>
        <v>Nme5</v>
      </c>
      <c r="B13894" t="s">
        <v>14</v>
      </c>
      <c r="C13894" t="s">
        <v>43</v>
      </c>
      <c r="D13894" t="s">
        <v>11</v>
      </c>
      <c r="E13894" t="s">
        <v>12</v>
      </c>
      <c r="F13894">
        <v>34579072</v>
      </c>
      <c r="G13894">
        <v>34579130</v>
      </c>
      <c r="H13894">
        <v>34579072</v>
      </c>
      <c r="I13894">
        <v>34579130</v>
      </c>
    </row>
    <row r="13895" spans="1:9" x14ac:dyDescent="0.2">
      <c r="A13895" t="str">
        <f>"Nme6"</f>
        <v>Nme6</v>
      </c>
      <c r="B13895" t="s">
        <v>14</v>
      </c>
      <c r="C13895" t="s">
        <v>24</v>
      </c>
      <c r="D13895" t="s">
        <v>17</v>
      </c>
      <c r="E13895" t="s">
        <v>12</v>
      </c>
      <c r="F13895">
        <v>109832756</v>
      </c>
      <c r="G13895">
        <v>109832802</v>
      </c>
      <c r="H13895">
        <v>109832998</v>
      </c>
      <c r="I13895">
        <v>109833058</v>
      </c>
    </row>
    <row r="13896" spans="1:9" x14ac:dyDescent="0.2">
      <c r="A13896" t="str">
        <f>"Nme7"</f>
        <v>Nme7</v>
      </c>
      <c r="B13896" t="s">
        <v>14</v>
      </c>
      <c r="C13896" t="s">
        <v>19</v>
      </c>
      <c r="D13896" t="s">
        <v>17</v>
      </c>
      <c r="E13896" t="s">
        <v>12</v>
      </c>
      <c r="F13896">
        <v>164307682</v>
      </c>
      <c r="G13896">
        <v>164307737</v>
      </c>
      <c r="H13896">
        <v>164307664</v>
      </c>
      <c r="I13896">
        <v>164307680</v>
      </c>
    </row>
    <row r="13897" spans="1:9" x14ac:dyDescent="0.2">
      <c r="A13897" t="str">
        <f>"Nme8"</f>
        <v>Nme8</v>
      </c>
      <c r="B13897" t="s">
        <v>14</v>
      </c>
      <c r="C13897" t="s">
        <v>39</v>
      </c>
      <c r="D13897" t="s">
        <v>11</v>
      </c>
      <c r="E13897" t="s">
        <v>67</v>
      </c>
      <c r="F13897">
        <v>19697733</v>
      </c>
      <c r="G13897">
        <v>19697771</v>
      </c>
      <c r="H13897">
        <v>19697733</v>
      </c>
      <c r="I13897">
        <v>19697771</v>
      </c>
    </row>
    <row r="13898" spans="1:9" x14ac:dyDescent="0.2">
      <c r="A13898" t="str">
        <f>"Nmi"</f>
        <v>Nmi</v>
      </c>
      <c r="B13898" t="s">
        <v>14</v>
      </c>
      <c r="C13898" t="s">
        <v>26</v>
      </c>
      <c r="D13898" t="s">
        <v>11</v>
      </c>
      <c r="E13898" t="s">
        <v>12</v>
      </c>
      <c r="F13898">
        <v>51972929</v>
      </c>
      <c r="G13898">
        <v>51972981</v>
      </c>
      <c r="H13898">
        <v>51972990</v>
      </c>
      <c r="I13898">
        <v>51973022</v>
      </c>
    </row>
    <row r="13899" spans="1:9" x14ac:dyDescent="0.2">
      <c r="A13899" t="str">
        <f>"Nmnat1"</f>
        <v>Nmnat1</v>
      </c>
      <c r="B13899" t="s">
        <v>14</v>
      </c>
      <c r="C13899" t="s">
        <v>23</v>
      </c>
      <c r="D13899" t="s">
        <v>11</v>
      </c>
      <c r="E13899" t="s">
        <v>12</v>
      </c>
      <c r="F13899">
        <v>149485157</v>
      </c>
      <c r="G13899">
        <v>149485199</v>
      </c>
      <c r="H13899">
        <v>149485202</v>
      </c>
      <c r="I13899">
        <v>149485223</v>
      </c>
    </row>
    <row r="13900" spans="1:9" x14ac:dyDescent="0.2">
      <c r="A13900" t="str">
        <f>"Nmnat2"</f>
        <v>Nmnat2</v>
      </c>
      <c r="B13900" t="s">
        <v>14</v>
      </c>
      <c r="C13900" t="s">
        <v>19</v>
      </c>
      <c r="D13900" t="s">
        <v>17</v>
      </c>
      <c r="E13900" t="s">
        <v>12</v>
      </c>
      <c r="F13900">
        <v>152954966</v>
      </c>
      <c r="G13900">
        <v>152955059</v>
      </c>
      <c r="H13900">
        <v>152955090</v>
      </c>
      <c r="I13900">
        <v>152955094</v>
      </c>
    </row>
    <row r="13901" spans="1:9" x14ac:dyDescent="0.2">
      <c r="A13901" t="str">
        <f>"Nmnat3"</f>
        <v>Nmnat3</v>
      </c>
      <c r="B13901" t="s">
        <v>14</v>
      </c>
      <c r="C13901" t="s">
        <v>24</v>
      </c>
      <c r="D13901" t="s">
        <v>17</v>
      </c>
      <c r="E13901" t="s">
        <v>12</v>
      </c>
      <c r="F13901">
        <v>98296590</v>
      </c>
      <c r="G13901">
        <v>98296647</v>
      </c>
      <c r="H13901">
        <v>98296590</v>
      </c>
      <c r="I13901">
        <v>98296647</v>
      </c>
    </row>
    <row r="13902" spans="1:9" x14ac:dyDescent="0.2">
      <c r="A13902" t="str">
        <f>"Nmral1"</f>
        <v>Nmral1</v>
      </c>
      <c r="B13902" t="s">
        <v>14</v>
      </c>
      <c r="C13902" t="s">
        <v>31</v>
      </c>
      <c r="D13902" t="s">
        <v>11</v>
      </c>
      <c r="E13902" t="s">
        <v>12</v>
      </c>
      <c r="F13902">
        <v>4719078</v>
      </c>
      <c r="G13902">
        <v>4719126</v>
      </c>
      <c r="H13902">
        <v>4719128</v>
      </c>
      <c r="I13902">
        <v>4719146</v>
      </c>
    </row>
    <row r="13903" spans="1:9" x14ac:dyDescent="0.2">
      <c r="A13903" t="str">
        <f>"Nmrk1"</f>
        <v>Nmrk1</v>
      </c>
      <c r="B13903" t="s">
        <v>14</v>
      </c>
      <c r="C13903" t="s">
        <v>10</v>
      </c>
      <c r="D13903" t="s">
        <v>17</v>
      </c>
      <c r="E13903" t="s">
        <v>67</v>
      </c>
      <c r="F13903">
        <v>18631979</v>
      </c>
      <c r="G13903">
        <v>18632008</v>
      </c>
      <c r="H13903">
        <v>18631927</v>
      </c>
      <c r="I13903">
        <v>18631963</v>
      </c>
    </row>
    <row r="13904" spans="1:9" x14ac:dyDescent="0.2">
      <c r="A13904" t="str">
        <f>"Nmrk2"</f>
        <v>Nmrk2</v>
      </c>
      <c r="B13904" t="s">
        <v>14</v>
      </c>
      <c r="C13904" t="s">
        <v>15</v>
      </c>
      <c r="D13904" t="s">
        <v>11</v>
      </c>
      <c r="E13904" t="s">
        <v>67</v>
      </c>
      <c r="F13904">
        <v>81202044</v>
      </c>
      <c r="G13904">
        <v>81202059</v>
      </c>
      <c r="H13904">
        <v>81202044</v>
      </c>
      <c r="I13904">
        <v>81202059</v>
      </c>
    </row>
    <row r="13905" spans="1:9" x14ac:dyDescent="0.2">
      <c r="A13905" t="str">
        <f>"Nms"</f>
        <v>Nms</v>
      </c>
      <c r="B13905" t="s">
        <v>14</v>
      </c>
      <c r="C13905" t="s">
        <v>19</v>
      </c>
      <c r="D13905" t="s">
        <v>17</v>
      </c>
      <c r="E13905" t="s">
        <v>12</v>
      </c>
      <c r="F13905">
        <v>38939177</v>
      </c>
      <c r="G13905">
        <v>38939179</v>
      </c>
      <c r="H13905">
        <v>38939177</v>
      </c>
      <c r="I13905">
        <v>38939179</v>
      </c>
    </row>
    <row r="13906" spans="1:9" x14ac:dyDescent="0.2">
      <c r="A13906" t="str">
        <f>"Nmt1"</f>
        <v>Nmt1</v>
      </c>
      <c r="B13906" t="s">
        <v>14</v>
      </c>
      <c r="C13906" t="s">
        <v>27</v>
      </c>
      <c r="D13906" t="s">
        <v>17</v>
      </c>
      <c r="E13906" t="s">
        <v>12</v>
      </c>
      <c r="F13906">
        <v>103028542</v>
      </c>
      <c r="G13906">
        <v>103028573</v>
      </c>
      <c r="H13906">
        <v>103028327</v>
      </c>
      <c r="I13906">
        <v>103028368</v>
      </c>
    </row>
    <row r="13907" spans="1:9" x14ac:dyDescent="0.2">
      <c r="A13907" t="str">
        <f>"Nmt2"</f>
        <v>Nmt2</v>
      </c>
      <c r="B13907" t="s">
        <v>14</v>
      </c>
      <c r="C13907" t="s">
        <v>26</v>
      </c>
      <c r="D13907" t="s">
        <v>17</v>
      </c>
      <c r="E13907" t="s">
        <v>12</v>
      </c>
      <c r="F13907">
        <v>3284232</v>
      </c>
      <c r="G13907">
        <v>3284290</v>
      </c>
      <c r="H13907">
        <v>3284202</v>
      </c>
      <c r="I13907">
        <v>3284220</v>
      </c>
    </row>
    <row r="13908" spans="1:9" x14ac:dyDescent="0.2">
      <c r="A13908" t="str">
        <f>"Nmu"</f>
        <v>Nmu</v>
      </c>
      <c r="B13908" t="s">
        <v>14</v>
      </c>
      <c r="C13908" t="s">
        <v>46</v>
      </c>
      <c r="D13908" t="s">
        <v>11</v>
      </c>
      <c r="E13908" t="s">
        <v>12</v>
      </c>
      <c r="F13908">
        <v>76363787</v>
      </c>
      <c r="G13908">
        <v>76363791</v>
      </c>
      <c r="H13908">
        <v>76363693</v>
      </c>
      <c r="I13908">
        <v>76363708</v>
      </c>
    </row>
    <row r="13909" spans="1:9" x14ac:dyDescent="0.2">
      <c r="A13909" t="str">
        <f>"Nmur1"</f>
        <v>Nmur1</v>
      </c>
      <c r="B13909" t="s">
        <v>4381</v>
      </c>
      <c r="C13909" t="s">
        <v>19</v>
      </c>
      <c r="D13909" t="s">
        <v>11</v>
      </c>
      <c r="E13909" t="s">
        <v>20</v>
      </c>
      <c r="F13909">
        <v>86388161</v>
      </c>
      <c r="G13909">
        <v>86388161</v>
      </c>
      <c r="H13909">
        <v>86388161</v>
      </c>
      <c r="I13909">
        <v>86388161</v>
      </c>
    </row>
    <row r="13910" spans="1:9" x14ac:dyDescent="0.2">
      <c r="A13910" t="str">
        <f>"Nmur2"</f>
        <v>Nmur2</v>
      </c>
      <c r="B13910" t="s">
        <v>14</v>
      </c>
      <c r="C13910" t="s">
        <v>27</v>
      </c>
      <c r="D13910" t="s">
        <v>11</v>
      </c>
      <c r="E13910" t="s">
        <v>12</v>
      </c>
      <c r="F13910">
        <v>56040985</v>
      </c>
      <c r="G13910">
        <v>56041023</v>
      </c>
      <c r="H13910">
        <v>56040947</v>
      </c>
      <c r="I13910">
        <v>56040959</v>
      </c>
    </row>
    <row r="13911" spans="1:9" x14ac:dyDescent="0.2">
      <c r="A13911" t="str">
        <f>"Nnat"</f>
        <v>Nnat</v>
      </c>
      <c r="B13911" t="s">
        <v>14</v>
      </c>
      <c r="C13911" t="s">
        <v>26</v>
      </c>
      <c r="D13911" t="s">
        <v>17</v>
      </c>
      <c r="E13911" t="s">
        <v>12</v>
      </c>
      <c r="F13911">
        <v>157560102</v>
      </c>
      <c r="G13911">
        <v>157560119</v>
      </c>
      <c r="H13911">
        <v>157560102</v>
      </c>
      <c r="I13911">
        <v>157560119</v>
      </c>
    </row>
    <row r="13912" spans="1:9" x14ac:dyDescent="0.2">
      <c r="A13912" t="str">
        <f>"Nnmt"</f>
        <v>Nnmt</v>
      </c>
      <c r="B13912" t="s">
        <v>14</v>
      </c>
      <c r="C13912" t="s">
        <v>24</v>
      </c>
      <c r="D13912" t="s">
        <v>11</v>
      </c>
      <c r="E13912" t="s">
        <v>12</v>
      </c>
      <c r="F13912">
        <v>48604979</v>
      </c>
      <c r="G13912">
        <v>48605000</v>
      </c>
      <c r="H13912">
        <v>48605085</v>
      </c>
      <c r="I13912">
        <v>48605100</v>
      </c>
    </row>
    <row r="13913" spans="1:9" x14ac:dyDescent="0.2">
      <c r="A13913" t="str">
        <f>"Nnt"</f>
        <v>Nnt</v>
      </c>
      <c r="B13913" t="s">
        <v>14</v>
      </c>
      <c r="C13913" t="s">
        <v>39</v>
      </c>
      <c r="D13913" t="s">
        <v>11</v>
      </c>
      <c r="E13913" t="s">
        <v>12</v>
      </c>
      <c r="F13913">
        <v>119409184</v>
      </c>
      <c r="G13913">
        <v>119409246</v>
      </c>
      <c r="H13913">
        <v>119409444</v>
      </c>
      <c r="I13913">
        <v>119409465</v>
      </c>
    </row>
    <row r="13914" spans="1:9" x14ac:dyDescent="0.2">
      <c r="A13914" t="str">
        <f>"Noa1"</f>
        <v>Noa1</v>
      </c>
      <c r="B13914" t="s">
        <v>14</v>
      </c>
      <c r="C13914" t="s">
        <v>46</v>
      </c>
      <c r="D13914" t="s">
        <v>11</v>
      </c>
      <c r="E13914" t="s">
        <v>12</v>
      </c>
      <c r="F13914">
        <v>77310049</v>
      </c>
      <c r="G13914">
        <v>77310094</v>
      </c>
      <c r="H13914">
        <v>77310384</v>
      </c>
      <c r="I13914">
        <v>77310432</v>
      </c>
    </row>
    <row r="13915" spans="1:9" x14ac:dyDescent="0.2">
      <c r="A13915" t="str">
        <f>"Nob1"</f>
        <v>Nob1</v>
      </c>
      <c r="B13915" t="s">
        <v>14</v>
      </c>
      <c r="C13915" t="s">
        <v>30</v>
      </c>
      <c r="D13915" t="s">
        <v>11</v>
      </c>
      <c r="E13915" t="s">
        <v>12</v>
      </c>
      <c r="F13915">
        <v>107425029</v>
      </c>
      <c r="G13915">
        <v>107425056</v>
      </c>
      <c r="H13915">
        <v>107425029</v>
      </c>
      <c r="I13915">
        <v>107425056</v>
      </c>
    </row>
    <row r="13916" spans="1:9" x14ac:dyDescent="0.2">
      <c r="A13916" t="str">
        <f>"Nobox"</f>
        <v>Nobox</v>
      </c>
      <c r="B13916" t="s">
        <v>14</v>
      </c>
      <c r="C13916" t="s">
        <v>32</v>
      </c>
      <c r="D13916" t="s">
        <v>11</v>
      </c>
      <c r="E13916" t="s">
        <v>12</v>
      </c>
      <c r="F13916">
        <v>43309549</v>
      </c>
      <c r="G13916">
        <v>43309552</v>
      </c>
      <c r="H13916">
        <v>43309549</v>
      </c>
      <c r="I13916">
        <v>43309552</v>
      </c>
    </row>
    <row r="13917" spans="1:9" x14ac:dyDescent="0.2">
      <c r="A13917" t="str">
        <f>"Noc2l"</f>
        <v>Noc2l</v>
      </c>
      <c r="B13917" t="s">
        <v>4382</v>
      </c>
      <c r="C13917" t="s">
        <v>23</v>
      </c>
      <c r="D13917" t="s">
        <v>17</v>
      </c>
      <c r="E13917" t="s">
        <v>35</v>
      </c>
      <c r="F13917">
        <v>156235999</v>
      </c>
      <c r="G13917">
        <v>156236050</v>
      </c>
      <c r="H13917">
        <v>156235999</v>
      </c>
      <c r="I13917">
        <v>156236050</v>
      </c>
    </row>
    <row r="13918" spans="1:9" x14ac:dyDescent="0.2">
      <c r="A13918" t="str">
        <f>"Noc3l"</f>
        <v>Noc3l</v>
      </c>
      <c r="B13918" t="s">
        <v>14</v>
      </c>
      <c r="C13918" t="s">
        <v>10</v>
      </c>
      <c r="D13918" t="s">
        <v>11</v>
      </c>
      <c r="E13918" t="s">
        <v>12</v>
      </c>
      <c r="F13918">
        <v>38819156</v>
      </c>
      <c r="G13918">
        <v>38819242</v>
      </c>
      <c r="H13918">
        <v>38819156</v>
      </c>
      <c r="I13918">
        <v>38819242</v>
      </c>
    </row>
    <row r="13919" spans="1:9" x14ac:dyDescent="0.2">
      <c r="A13919" t="str">
        <f>"Noc4l"</f>
        <v>Noc4l</v>
      </c>
      <c r="B13919" t="s">
        <v>14</v>
      </c>
      <c r="C13919" t="s">
        <v>46</v>
      </c>
      <c r="D13919" t="s">
        <v>11</v>
      </c>
      <c r="E13919" t="s">
        <v>12</v>
      </c>
      <c r="F13919">
        <v>110653348</v>
      </c>
      <c r="G13919">
        <v>110653422</v>
      </c>
      <c r="H13919">
        <v>110653348</v>
      </c>
      <c r="I13919">
        <v>110653422</v>
      </c>
    </row>
    <row r="13920" spans="1:9" x14ac:dyDescent="0.2">
      <c r="A13920" t="str">
        <f>"Nod1"</f>
        <v>Nod1</v>
      </c>
      <c r="B13920" t="s">
        <v>14</v>
      </c>
      <c r="C13920" t="s">
        <v>32</v>
      </c>
      <c r="D13920" t="s">
        <v>11</v>
      </c>
      <c r="E13920" t="s">
        <v>12</v>
      </c>
      <c r="F13920">
        <v>54972428</v>
      </c>
      <c r="G13920">
        <v>54972466</v>
      </c>
      <c r="H13920">
        <v>54972396</v>
      </c>
      <c r="I13920">
        <v>54972424</v>
      </c>
    </row>
    <row r="13921" spans="1:9" x14ac:dyDescent="0.2">
      <c r="A13921" t="str">
        <f>"Nod2"</f>
        <v>Nod2</v>
      </c>
      <c r="B13921" t="s">
        <v>14</v>
      </c>
      <c r="C13921" t="s">
        <v>30</v>
      </c>
      <c r="D13921" t="s">
        <v>17</v>
      </c>
      <c r="E13921" t="s">
        <v>12</v>
      </c>
      <c r="F13921">
        <v>88647356</v>
      </c>
      <c r="G13921">
        <v>88647387</v>
      </c>
      <c r="H13921">
        <v>88647339</v>
      </c>
      <c r="I13921">
        <v>88647348</v>
      </c>
    </row>
    <row r="13922" spans="1:9" x14ac:dyDescent="0.2">
      <c r="A13922" t="str">
        <f>"Nodal"</f>
        <v>Nodal</v>
      </c>
      <c r="B13922" t="s">
        <v>14</v>
      </c>
      <c r="C13922" t="s">
        <v>15</v>
      </c>
      <c r="D13922" t="s">
        <v>17</v>
      </c>
      <c r="E13922" t="s">
        <v>12</v>
      </c>
      <c r="F13922">
        <v>61418283</v>
      </c>
      <c r="G13922">
        <v>61418289</v>
      </c>
      <c r="H13922">
        <v>61418283</v>
      </c>
      <c r="I13922">
        <v>61418289</v>
      </c>
    </row>
    <row r="13923" spans="1:9" x14ac:dyDescent="0.2">
      <c r="A13923" t="str">
        <f>"Nog"</f>
        <v>Nog</v>
      </c>
      <c r="B13923" t="s">
        <v>14</v>
      </c>
      <c r="C13923" t="s">
        <v>27</v>
      </c>
      <c r="D13923" t="s">
        <v>11</v>
      </c>
      <c r="E13923" t="s">
        <v>12</v>
      </c>
      <c r="F13923">
        <v>89302545</v>
      </c>
      <c r="G13923">
        <v>89302567</v>
      </c>
      <c r="H13923">
        <v>89302903</v>
      </c>
      <c r="I13923">
        <v>89302915</v>
      </c>
    </row>
    <row r="13924" spans="1:9" x14ac:dyDescent="0.2">
      <c r="A13924" t="str">
        <f>"Nol10"</f>
        <v>Nol10</v>
      </c>
      <c r="B13924" t="s">
        <v>14</v>
      </c>
      <c r="C13924" t="s">
        <v>16</v>
      </c>
      <c r="D13924" t="s">
        <v>17</v>
      </c>
      <c r="E13924" t="s">
        <v>12</v>
      </c>
      <c r="F13924">
        <v>17348422</v>
      </c>
      <c r="G13924">
        <v>17348526</v>
      </c>
      <c r="H13924">
        <v>17348422</v>
      </c>
      <c r="I13924">
        <v>17348526</v>
      </c>
    </row>
    <row r="13925" spans="1:9" x14ac:dyDescent="0.2">
      <c r="A13925" t="str">
        <f>"Nol11"</f>
        <v>Nol11</v>
      </c>
      <c r="B13925" t="s">
        <v>14</v>
      </c>
      <c r="C13925" t="s">
        <v>27</v>
      </c>
      <c r="D13925" t="s">
        <v>11</v>
      </c>
      <c r="E13925" t="s">
        <v>12</v>
      </c>
      <c r="F13925">
        <v>107189255</v>
      </c>
      <c r="G13925">
        <v>107189307</v>
      </c>
      <c r="H13925">
        <v>107189325</v>
      </c>
      <c r="I13925">
        <v>107189340</v>
      </c>
    </row>
    <row r="13926" spans="1:9" x14ac:dyDescent="0.2">
      <c r="A13926" t="str">
        <f>"Nol12"</f>
        <v>Nol12</v>
      </c>
      <c r="B13926" t="s">
        <v>14</v>
      </c>
      <c r="C13926" t="s">
        <v>25</v>
      </c>
      <c r="D13926" t="s">
        <v>17</v>
      </c>
      <c r="E13926" t="s">
        <v>12</v>
      </c>
      <c r="F13926">
        <v>78934919</v>
      </c>
      <c r="G13926">
        <v>78934992</v>
      </c>
      <c r="H13926">
        <v>78935177</v>
      </c>
      <c r="I13926">
        <v>78935221</v>
      </c>
    </row>
    <row r="13927" spans="1:9" x14ac:dyDescent="0.2">
      <c r="A13927" t="str">
        <f>"Nol3"</f>
        <v>Nol3</v>
      </c>
      <c r="B13927" t="s">
        <v>14</v>
      </c>
      <c r="C13927" t="s">
        <v>30</v>
      </c>
      <c r="D13927" t="s">
        <v>17</v>
      </c>
      <c r="E13927" t="s">
        <v>12</v>
      </c>
      <c r="F13927">
        <v>105276438</v>
      </c>
      <c r="G13927">
        <v>105276482</v>
      </c>
      <c r="H13927">
        <v>105276383</v>
      </c>
      <c r="I13927">
        <v>105276426</v>
      </c>
    </row>
    <row r="13928" spans="1:9" x14ac:dyDescent="0.2">
      <c r="A13928" t="str">
        <f>"Nol4"</f>
        <v>Nol4</v>
      </c>
      <c r="B13928" t="s">
        <v>9</v>
      </c>
      <c r="C13928" t="s">
        <v>43</v>
      </c>
      <c r="D13928" t="s">
        <v>11</v>
      </c>
      <c r="E13928" t="s">
        <v>12</v>
      </c>
      <c r="F13928">
        <v>23041641</v>
      </c>
      <c r="G13928">
        <v>23041671</v>
      </c>
      <c r="H13928">
        <v>23041641</v>
      </c>
      <c r="I13928">
        <v>23041671</v>
      </c>
    </row>
    <row r="13929" spans="1:9" x14ac:dyDescent="0.2">
      <c r="A13929" t="str">
        <f>"Nol4"</f>
        <v>Nol4</v>
      </c>
      <c r="B13929" t="s">
        <v>13</v>
      </c>
      <c r="C13929" t="s">
        <v>43</v>
      </c>
      <c r="D13929" t="s">
        <v>11</v>
      </c>
      <c r="E13929" t="s">
        <v>12</v>
      </c>
      <c r="F13929">
        <v>23038658</v>
      </c>
      <c r="G13929">
        <v>23038676</v>
      </c>
      <c r="H13929">
        <v>23038658</v>
      </c>
      <c r="I13929">
        <v>23038676</v>
      </c>
    </row>
    <row r="13930" spans="1:9" x14ac:dyDescent="0.2">
      <c r="A13930" t="str">
        <f>"Nol6"</f>
        <v>Nol6</v>
      </c>
      <c r="B13930" t="s">
        <v>14</v>
      </c>
      <c r="C13930" t="s">
        <v>23</v>
      </c>
      <c r="D13930" t="s">
        <v>11</v>
      </c>
      <c r="E13930" t="s">
        <v>12</v>
      </c>
      <c r="F13930">
        <v>41124224</v>
      </c>
      <c r="G13930">
        <v>41124285</v>
      </c>
      <c r="H13930">
        <v>41124292</v>
      </c>
      <c r="I13930">
        <v>41124316</v>
      </c>
    </row>
    <row r="13931" spans="1:9" x14ac:dyDescent="0.2">
      <c r="A13931" t="str">
        <f>"Nol7"</f>
        <v>Nol7</v>
      </c>
      <c r="B13931" t="s">
        <v>14</v>
      </c>
      <c r="C13931" t="s">
        <v>39</v>
      </c>
      <c r="D13931" t="s">
        <v>17</v>
      </c>
      <c r="E13931" t="s">
        <v>12</v>
      </c>
      <c r="F13931">
        <v>43398375</v>
      </c>
      <c r="G13931">
        <v>43398402</v>
      </c>
      <c r="H13931">
        <v>43398300</v>
      </c>
      <c r="I13931">
        <v>43398306</v>
      </c>
    </row>
    <row r="13932" spans="1:9" x14ac:dyDescent="0.2">
      <c r="A13932" t="str">
        <f>"Nol8"</f>
        <v>Nol8</v>
      </c>
      <c r="B13932" t="s">
        <v>14</v>
      </c>
      <c r="C13932" t="s">
        <v>39</v>
      </c>
      <c r="D13932" t="s">
        <v>17</v>
      </c>
      <c r="E13932" t="s">
        <v>12</v>
      </c>
      <c r="F13932">
        <v>49653297</v>
      </c>
      <c r="G13932">
        <v>49653367</v>
      </c>
      <c r="H13932">
        <v>49653067</v>
      </c>
      <c r="I13932">
        <v>49653097</v>
      </c>
    </row>
    <row r="13933" spans="1:9" x14ac:dyDescent="0.2">
      <c r="A13933" t="str">
        <f>"Nol9"</f>
        <v>Nol9</v>
      </c>
      <c r="B13933" t="s">
        <v>14</v>
      </c>
      <c r="C13933" t="s">
        <v>23</v>
      </c>
      <c r="D13933" t="s">
        <v>17</v>
      </c>
      <c r="E13933" t="s">
        <v>12</v>
      </c>
      <c r="F13933">
        <v>152039315</v>
      </c>
      <c r="G13933">
        <v>152039356</v>
      </c>
      <c r="H13933">
        <v>152039358</v>
      </c>
      <c r="I13933">
        <v>152039367</v>
      </c>
    </row>
    <row r="13934" spans="1:9" x14ac:dyDescent="0.2">
      <c r="A13934" t="str">
        <f>"Nolc1"</f>
        <v>Nolc1</v>
      </c>
      <c r="B13934" t="s">
        <v>14</v>
      </c>
      <c r="C13934" t="s">
        <v>10</v>
      </c>
      <c r="D13934" t="s">
        <v>17</v>
      </c>
      <c r="E13934" t="s">
        <v>12</v>
      </c>
      <c r="F13934">
        <v>46075999</v>
      </c>
      <c r="G13934">
        <v>46076020</v>
      </c>
      <c r="H13934">
        <v>46075978</v>
      </c>
      <c r="I13934">
        <v>46075991</v>
      </c>
    </row>
    <row r="13935" spans="1:9" x14ac:dyDescent="0.2">
      <c r="A13935" t="str">
        <f>"Nom1"</f>
        <v>Nom1</v>
      </c>
      <c r="B13935" t="s">
        <v>14</v>
      </c>
      <c r="C13935" t="s">
        <v>46</v>
      </c>
      <c r="D13935" t="s">
        <v>17</v>
      </c>
      <c r="E13935" t="s">
        <v>12</v>
      </c>
      <c r="F13935">
        <v>29434669</v>
      </c>
      <c r="G13935">
        <v>29434745</v>
      </c>
      <c r="H13935">
        <v>29434669</v>
      </c>
      <c r="I13935">
        <v>29434745</v>
      </c>
    </row>
    <row r="13936" spans="1:9" x14ac:dyDescent="0.2">
      <c r="A13936" t="str">
        <f>"Nomo1"</f>
        <v>Nomo1</v>
      </c>
      <c r="B13936" t="s">
        <v>14</v>
      </c>
      <c r="C13936" t="s">
        <v>33</v>
      </c>
      <c r="D13936" t="s">
        <v>17</v>
      </c>
      <c r="E13936" t="s">
        <v>12</v>
      </c>
      <c r="F13936">
        <v>46033717</v>
      </c>
      <c r="G13936">
        <v>46033823</v>
      </c>
      <c r="H13936">
        <v>46033826</v>
      </c>
      <c r="I13936">
        <v>46033846</v>
      </c>
    </row>
    <row r="13937" spans="1:9" x14ac:dyDescent="0.2">
      <c r="A13937" t="str">
        <f>"Nono"</f>
        <v>Nono</v>
      </c>
      <c r="B13937" t="s">
        <v>14</v>
      </c>
      <c r="C13937" t="s">
        <v>37</v>
      </c>
      <c r="D13937" t="s">
        <v>17</v>
      </c>
      <c r="E13937" t="s">
        <v>12</v>
      </c>
      <c r="F13937">
        <v>101429654</v>
      </c>
      <c r="G13937">
        <v>101429708</v>
      </c>
      <c r="H13937">
        <v>101429477</v>
      </c>
      <c r="I13937">
        <v>101429517</v>
      </c>
    </row>
    <row r="13938" spans="1:9" x14ac:dyDescent="0.2">
      <c r="A13938" t="str">
        <f>"Nop10"</f>
        <v>Nop10</v>
      </c>
      <c r="B13938" t="s">
        <v>14</v>
      </c>
      <c r="C13938" t="s">
        <v>26</v>
      </c>
      <c r="D13938" t="s">
        <v>17</v>
      </c>
      <c r="E13938" t="s">
        <v>12</v>
      </c>
      <c r="F13938">
        <v>112261957</v>
      </c>
      <c r="G13938">
        <v>112261974</v>
      </c>
      <c r="H13938">
        <v>112261945</v>
      </c>
      <c r="I13938">
        <v>112261951</v>
      </c>
    </row>
    <row r="13939" spans="1:9" x14ac:dyDescent="0.2">
      <c r="A13939" t="str">
        <f>"Nop14"</f>
        <v>Nop14</v>
      </c>
      <c r="B13939" t="s">
        <v>14</v>
      </c>
      <c r="C13939" t="s">
        <v>46</v>
      </c>
      <c r="D13939" t="s">
        <v>11</v>
      </c>
      <c r="E13939" t="s">
        <v>12</v>
      </c>
      <c r="F13939">
        <v>34660068</v>
      </c>
      <c r="G13939">
        <v>34660138</v>
      </c>
      <c r="H13939">
        <v>34660564</v>
      </c>
      <c r="I13939">
        <v>34660595</v>
      </c>
    </row>
    <row r="13940" spans="1:9" x14ac:dyDescent="0.2">
      <c r="A13940" t="str">
        <f>"Nop16"</f>
        <v>Nop16</v>
      </c>
      <c r="B13940" t="s">
        <v>14</v>
      </c>
      <c r="C13940" t="s">
        <v>39</v>
      </c>
      <c r="D13940" t="s">
        <v>11</v>
      </c>
      <c r="E13940" t="s">
        <v>12</v>
      </c>
      <c r="F13940">
        <v>54590047</v>
      </c>
      <c r="G13940">
        <v>54590089</v>
      </c>
      <c r="H13940">
        <v>54590013</v>
      </c>
      <c r="I13940">
        <v>54590034</v>
      </c>
    </row>
    <row r="13941" spans="1:9" x14ac:dyDescent="0.2">
      <c r="A13941" t="str">
        <f>"Nop2"</f>
        <v>Nop2</v>
      </c>
      <c r="B13941" t="s">
        <v>14</v>
      </c>
      <c r="C13941" t="s">
        <v>32</v>
      </c>
      <c r="D13941" t="s">
        <v>17</v>
      </c>
      <c r="E13941" t="s">
        <v>12</v>
      </c>
      <c r="F13941">
        <v>125131869</v>
      </c>
      <c r="G13941">
        <v>125131953</v>
      </c>
      <c r="H13941">
        <v>125131440</v>
      </c>
      <c r="I13941">
        <v>125131460</v>
      </c>
    </row>
    <row r="13942" spans="1:9" x14ac:dyDescent="0.2">
      <c r="A13942" t="str">
        <f>"Nop56"</f>
        <v>Nop56</v>
      </c>
      <c r="B13942" t="s">
        <v>14</v>
      </c>
      <c r="C13942" t="s">
        <v>26</v>
      </c>
      <c r="D13942" t="s">
        <v>17</v>
      </c>
      <c r="E13942" t="s">
        <v>12</v>
      </c>
      <c r="F13942">
        <v>130274437</v>
      </c>
      <c r="G13942">
        <v>130274454</v>
      </c>
      <c r="H13942">
        <v>130274424</v>
      </c>
      <c r="I13942">
        <v>130274435</v>
      </c>
    </row>
    <row r="13943" spans="1:9" x14ac:dyDescent="0.2">
      <c r="A13943" t="str">
        <f>"Nop58"</f>
        <v>Nop58</v>
      </c>
      <c r="B13943" t="s">
        <v>14</v>
      </c>
      <c r="C13943" t="s">
        <v>19</v>
      </c>
      <c r="D13943" t="s">
        <v>17</v>
      </c>
      <c r="E13943" t="s">
        <v>12</v>
      </c>
      <c r="F13943">
        <v>59684949</v>
      </c>
      <c r="G13943">
        <v>59685023</v>
      </c>
      <c r="H13943">
        <v>59684949</v>
      </c>
      <c r="I13943">
        <v>59685023</v>
      </c>
    </row>
    <row r="13944" spans="1:9" x14ac:dyDescent="0.2">
      <c r="A13944" t="str">
        <f>"Nop9"</f>
        <v>Nop9</v>
      </c>
      <c r="B13944" t="s">
        <v>14</v>
      </c>
      <c r="C13944" t="s">
        <v>41</v>
      </c>
      <c r="D13944" t="s">
        <v>17</v>
      </c>
      <c r="E13944" t="s">
        <v>67</v>
      </c>
      <c r="F13944">
        <v>55745678</v>
      </c>
      <c r="G13944">
        <v>55745776</v>
      </c>
      <c r="H13944">
        <v>55745678</v>
      </c>
      <c r="I13944">
        <v>55745776</v>
      </c>
    </row>
    <row r="13945" spans="1:9" x14ac:dyDescent="0.2">
      <c r="A13945" t="str">
        <f>"Nos1"</f>
        <v>Nos1</v>
      </c>
      <c r="B13945" t="s">
        <v>14</v>
      </c>
      <c r="C13945" t="s">
        <v>46</v>
      </c>
      <c r="D13945" t="s">
        <v>17</v>
      </c>
      <c r="E13945" t="s">
        <v>12</v>
      </c>
      <c r="F13945">
        <v>117841884</v>
      </c>
      <c r="G13945">
        <v>117841925</v>
      </c>
      <c r="H13945">
        <v>117841884</v>
      </c>
      <c r="I13945">
        <v>117841925</v>
      </c>
    </row>
    <row r="13946" spans="1:9" x14ac:dyDescent="0.2">
      <c r="A13946" t="str">
        <f>"Nos1ap"</f>
        <v>Nos1ap</v>
      </c>
      <c r="B13946" t="s">
        <v>14</v>
      </c>
      <c r="C13946" t="s">
        <v>19</v>
      </c>
      <c r="D13946" t="s">
        <v>11</v>
      </c>
      <c r="E13946" t="s">
        <v>12</v>
      </c>
      <c r="F13946">
        <v>170589791</v>
      </c>
      <c r="G13946">
        <v>170589854</v>
      </c>
      <c r="H13946">
        <v>170589751</v>
      </c>
      <c r="I13946">
        <v>170589769</v>
      </c>
    </row>
    <row r="13947" spans="1:9" x14ac:dyDescent="0.2">
      <c r="A13947" t="str">
        <f>"Nos2"</f>
        <v>Nos2</v>
      </c>
      <c r="B13947" t="s">
        <v>14</v>
      </c>
      <c r="C13947" t="s">
        <v>27</v>
      </c>
      <c r="D13947" t="s">
        <v>17</v>
      </c>
      <c r="E13947" t="s">
        <v>12</v>
      </c>
      <c r="F13947">
        <v>78920819</v>
      </c>
      <c r="G13947">
        <v>78920834</v>
      </c>
      <c r="H13947">
        <v>78920819</v>
      </c>
      <c r="I13947">
        <v>78920834</v>
      </c>
    </row>
    <row r="13948" spans="1:9" x14ac:dyDescent="0.2">
      <c r="A13948" t="str">
        <f>"Nos3"</f>
        <v>Nos3</v>
      </c>
      <c r="B13948" t="s">
        <v>14</v>
      </c>
      <c r="C13948" t="s">
        <v>46</v>
      </c>
      <c r="D13948" t="s">
        <v>17</v>
      </c>
      <c r="E13948" t="s">
        <v>12</v>
      </c>
      <c r="F13948">
        <v>24364804</v>
      </c>
      <c r="G13948">
        <v>24364824</v>
      </c>
      <c r="H13948">
        <v>24364804</v>
      </c>
      <c r="I13948">
        <v>24364824</v>
      </c>
    </row>
    <row r="13949" spans="1:9" x14ac:dyDescent="0.2">
      <c r="A13949" t="str">
        <f>"Nosip"</f>
        <v>Nosip</v>
      </c>
      <c r="B13949" t="s">
        <v>14</v>
      </c>
      <c r="C13949" t="s">
        <v>33</v>
      </c>
      <c r="D13949" t="s">
        <v>17</v>
      </c>
      <c r="E13949" t="s">
        <v>12</v>
      </c>
      <c r="F13949">
        <v>45062463</v>
      </c>
      <c r="G13949">
        <v>45062500</v>
      </c>
      <c r="H13949">
        <v>45062463</v>
      </c>
      <c r="I13949">
        <v>45062500</v>
      </c>
    </row>
    <row r="13950" spans="1:9" x14ac:dyDescent="0.2">
      <c r="A13950" t="str">
        <f>"Nostrin"</f>
        <v>Nostrin</v>
      </c>
      <c r="B13950" t="s">
        <v>14</v>
      </c>
      <c r="C13950" t="s">
        <v>26</v>
      </c>
      <c r="D13950" t="s">
        <v>17</v>
      </c>
      <c r="E13950" t="s">
        <v>12</v>
      </c>
      <c r="F13950">
        <v>69135799</v>
      </c>
      <c r="G13950">
        <v>69135861</v>
      </c>
      <c r="H13950">
        <v>69135863</v>
      </c>
      <c r="I13950">
        <v>69135887</v>
      </c>
    </row>
    <row r="13951" spans="1:9" x14ac:dyDescent="0.2">
      <c r="A13951" t="str">
        <f>"Notch1"</f>
        <v>Notch1</v>
      </c>
      <c r="B13951" t="s">
        <v>14</v>
      </c>
      <c r="C13951" t="s">
        <v>26</v>
      </c>
      <c r="D13951" t="s">
        <v>11</v>
      </c>
      <c r="E13951" t="s">
        <v>12</v>
      </c>
      <c r="F13951">
        <v>26503814</v>
      </c>
      <c r="G13951">
        <v>26503836</v>
      </c>
      <c r="H13951">
        <v>26503789</v>
      </c>
      <c r="I13951">
        <v>26503800</v>
      </c>
    </row>
    <row r="13952" spans="1:9" x14ac:dyDescent="0.2">
      <c r="A13952" t="str">
        <f>"Notch2"</f>
        <v>Notch2</v>
      </c>
      <c r="B13952" t="s">
        <v>14</v>
      </c>
      <c r="C13952" t="s">
        <v>22</v>
      </c>
      <c r="D13952" t="s">
        <v>17</v>
      </c>
      <c r="E13952" t="s">
        <v>12</v>
      </c>
      <c r="F13952">
        <v>98013503</v>
      </c>
      <c r="G13952">
        <v>98013547</v>
      </c>
      <c r="H13952">
        <v>98013550</v>
      </c>
      <c r="I13952">
        <v>98013574</v>
      </c>
    </row>
    <row r="13953" spans="1:9" x14ac:dyDescent="0.2">
      <c r="A13953" t="str">
        <f>"Notch3"</f>
        <v>Notch3</v>
      </c>
      <c r="B13953" t="s">
        <v>14</v>
      </c>
      <c r="C13953" t="s">
        <v>28</v>
      </c>
      <c r="D13953" t="s">
        <v>11</v>
      </c>
      <c r="E13953" t="s">
        <v>12</v>
      </c>
      <c r="F13953">
        <v>32166879</v>
      </c>
      <c r="G13953">
        <v>32166898</v>
      </c>
      <c r="H13953">
        <v>32166800</v>
      </c>
      <c r="I13953">
        <v>32166817</v>
      </c>
    </row>
    <row r="13954" spans="1:9" x14ac:dyDescent="0.2">
      <c r="A13954" t="str">
        <f>"Notch4"</f>
        <v>Notch4</v>
      </c>
      <c r="B13954" t="s">
        <v>14</v>
      </c>
      <c r="C13954" t="s">
        <v>28</v>
      </c>
      <c r="D13954" t="s">
        <v>17</v>
      </c>
      <c r="E13954" t="s">
        <v>12</v>
      </c>
      <c r="F13954">
        <v>34564300</v>
      </c>
      <c r="G13954">
        <v>34564319</v>
      </c>
      <c r="H13954">
        <v>34564346</v>
      </c>
      <c r="I13954">
        <v>34564360</v>
      </c>
    </row>
    <row r="13955" spans="1:9" x14ac:dyDescent="0.2">
      <c r="A13955" t="str">
        <f>"Noto"</f>
        <v>Noto</v>
      </c>
      <c r="B13955" t="s">
        <v>14</v>
      </c>
      <c r="C13955" t="s">
        <v>32</v>
      </c>
      <c r="D13955" t="s">
        <v>17</v>
      </c>
      <c r="E13955" t="s">
        <v>12</v>
      </c>
      <c r="F13955">
        <v>85423885</v>
      </c>
      <c r="G13955">
        <v>85423886</v>
      </c>
      <c r="H13955">
        <v>85423885</v>
      </c>
      <c r="I13955">
        <v>85423886</v>
      </c>
    </row>
    <row r="13956" spans="1:9" x14ac:dyDescent="0.2">
      <c r="A13956" t="str">
        <f>"Notum"</f>
        <v>Notum</v>
      </c>
      <c r="B13956" t="s">
        <v>14</v>
      </c>
      <c r="C13956" t="s">
        <v>27</v>
      </c>
      <c r="D13956" t="s">
        <v>11</v>
      </c>
      <c r="E13956" t="s">
        <v>12</v>
      </c>
      <c r="F13956">
        <v>120660565</v>
      </c>
      <c r="G13956">
        <v>120660587</v>
      </c>
      <c r="H13956">
        <v>120661184</v>
      </c>
      <c r="I13956">
        <v>120661199</v>
      </c>
    </row>
    <row r="13957" spans="1:9" x14ac:dyDescent="0.2">
      <c r="A13957" t="str">
        <f>"Nov"</f>
        <v>Nov</v>
      </c>
      <c r="B13957" t="s">
        <v>14</v>
      </c>
      <c r="C13957" t="s">
        <v>25</v>
      </c>
      <c r="D13957" t="s">
        <v>17</v>
      </c>
      <c r="E13957" t="s">
        <v>12</v>
      </c>
      <c r="F13957">
        <v>54745902</v>
      </c>
      <c r="G13957">
        <v>54745916</v>
      </c>
      <c r="H13957">
        <v>54745870</v>
      </c>
      <c r="I13957">
        <v>54745881</v>
      </c>
    </row>
    <row r="13958" spans="1:9" x14ac:dyDescent="0.2">
      <c r="A13958" t="str">
        <f>"Nova1"</f>
        <v>Nova1</v>
      </c>
      <c r="B13958" t="s">
        <v>14</v>
      </c>
      <c r="C13958" t="s">
        <v>16</v>
      </c>
      <c r="D13958" t="s">
        <v>11</v>
      </c>
      <c r="E13958" t="s">
        <v>12</v>
      </c>
      <c r="F13958">
        <v>46819188</v>
      </c>
      <c r="G13958">
        <v>46819204</v>
      </c>
      <c r="H13958">
        <v>46819188</v>
      </c>
      <c r="I13958">
        <v>46819204</v>
      </c>
    </row>
    <row r="13959" spans="1:9" x14ac:dyDescent="0.2">
      <c r="A13959" t="str">
        <f>"Nova2"</f>
        <v>Nova2</v>
      </c>
      <c r="B13959" t="s">
        <v>14</v>
      </c>
      <c r="C13959" t="s">
        <v>33</v>
      </c>
      <c r="D13959" t="s">
        <v>17</v>
      </c>
      <c r="E13959" t="s">
        <v>12</v>
      </c>
      <c r="F13959">
        <v>18925407</v>
      </c>
      <c r="G13959">
        <v>18925459</v>
      </c>
      <c r="H13959">
        <v>18925863</v>
      </c>
      <c r="I13959">
        <v>18925899</v>
      </c>
    </row>
    <row r="13960" spans="1:9" x14ac:dyDescent="0.2">
      <c r="A13960" t="str">
        <f>"Nox1"</f>
        <v>Nox1</v>
      </c>
      <c r="B13960" t="s">
        <v>14</v>
      </c>
      <c r="C13960" t="s">
        <v>37</v>
      </c>
      <c r="D13960" t="s">
        <v>11</v>
      </c>
      <c r="E13960" t="s">
        <v>12</v>
      </c>
      <c r="F13960">
        <v>134111766</v>
      </c>
      <c r="G13960">
        <v>134111788</v>
      </c>
      <c r="H13960">
        <v>134111852</v>
      </c>
      <c r="I13960">
        <v>134111873</v>
      </c>
    </row>
    <row r="13961" spans="1:9" x14ac:dyDescent="0.2">
      <c r="A13961" t="str">
        <f>"Nox3"</f>
        <v>Nox3</v>
      </c>
      <c r="B13961" t="s">
        <v>4383</v>
      </c>
      <c r="C13961" t="s">
        <v>28</v>
      </c>
      <c r="D13961" t="s">
        <v>11</v>
      </c>
      <c r="E13961" t="s">
        <v>20</v>
      </c>
      <c r="F13961">
        <v>3696260</v>
      </c>
      <c r="G13961">
        <v>3696260</v>
      </c>
      <c r="H13961">
        <v>3696260</v>
      </c>
      <c r="I13961">
        <v>3696260</v>
      </c>
    </row>
    <row r="13962" spans="1:9" x14ac:dyDescent="0.2">
      <c r="A13962" t="str">
        <f>"Nox4"</f>
        <v>Nox4</v>
      </c>
      <c r="B13962" t="s">
        <v>14</v>
      </c>
      <c r="C13962" t="s">
        <v>33</v>
      </c>
      <c r="D13962" t="s">
        <v>17</v>
      </c>
      <c r="E13962" t="s">
        <v>12</v>
      </c>
      <c r="F13962">
        <v>87246788</v>
      </c>
      <c r="G13962">
        <v>87246807</v>
      </c>
      <c r="H13962">
        <v>87246708</v>
      </c>
      <c r="I13962">
        <v>87246719</v>
      </c>
    </row>
    <row r="13963" spans="1:9" x14ac:dyDescent="0.2">
      <c r="A13963" t="str">
        <f>"Noxa1"</f>
        <v>Noxa1</v>
      </c>
      <c r="B13963" t="s">
        <v>14</v>
      </c>
      <c r="C13963" t="s">
        <v>26</v>
      </c>
      <c r="D13963" t="s">
        <v>11</v>
      </c>
      <c r="E13963" t="s">
        <v>12</v>
      </c>
      <c r="F13963">
        <v>25095152</v>
      </c>
      <c r="G13963">
        <v>25095169</v>
      </c>
      <c r="H13963">
        <v>25095125</v>
      </c>
      <c r="I13963">
        <v>25095138</v>
      </c>
    </row>
    <row r="13964" spans="1:9" x14ac:dyDescent="0.2">
      <c r="A13964" t="str">
        <f>"Noxo1"</f>
        <v>Noxo1</v>
      </c>
      <c r="B13964" t="s">
        <v>9</v>
      </c>
      <c r="C13964" t="s">
        <v>28</v>
      </c>
      <c r="D13964" t="s">
        <v>17</v>
      </c>
      <c r="E13964" t="s">
        <v>12</v>
      </c>
      <c r="F13964">
        <v>24698294</v>
      </c>
      <c r="G13964">
        <v>24698345</v>
      </c>
      <c r="H13964">
        <v>24698294</v>
      </c>
      <c r="I13964">
        <v>24698345</v>
      </c>
    </row>
    <row r="13965" spans="1:9" x14ac:dyDescent="0.2">
      <c r="A13965" t="str">
        <f>"Noxo1"</f>
        <v>Noxo1</v>
      </c>
      <c r="B13965" t="s">
        <v>13</v>
      </c>
      <c r="C13965" t="s">
        <v>28</v>
      </c>
      <c r="D13965" t="s">
        <v>17</v>
      </c>
      <c r="E13965" t="s">
        <v>12</v>
      </c>
      <c r="F13965">
        <v>24696276</v>
      </c>
      <c r="G13965">
        <v>24696320</v>
      </c>
      <c r="H13965">
        <v>24696276</v>
      </c>
      <c r="I13965">
        <v>24696320</v>
      </c>
    </row>
    <row r="13966" spans="1:9" x14ac:dyDescent="0.2">
      <c r="A13966" t="str">
        <f>"Noxred1"</f>
        <v>Noxred1</v>
      </c>
      <c r="B13966" t="s">
        <v>4384</v>
      </c>
      <c r="C13966" t="s">
        <v>16</v>
      </c>
      <c r="D13966" t="s">
        <v>11</v>
      </c>
      <c r="E13966" t="s">
        <v>20</v>
      </c>
      <c r="F13966">
        <v>87233555</v>
      </c>
      <c r="G13966">
        <v>87233555</v>
      </c>
      <c r="H13966">
        <v>87233555</v>
      </c>
      <c r="I13966">
        <v>87233555</v>
      </c>
    </row>
    <row r="13967" spans="1:9" x14ac:dyDescent="0.2">
      <c r="A13967" t="str">
        <f>"Npas1"</f>
        <v>Npas1</v>
      </c>
      <c r="B13967" t="s">
        <v>14</v>
      </c>
      <c r="C13967" t="s">
        <v>33</v>
      </c>
      <c r="D13967" t="s">
        <v>11</v>
      </c>
      <c r="E13967" t="s">
        <v>12</v>
      </c>
      <c r="F13967">
        <v>16476765</v>
      </c>
      <c r="G13967">
        <v>16476792</v>
      </c>
      <c r="H13967">
        <v>16476753</v>
      </c>
      <c r="I13967">
        <v>16476764</v>
      </c>
    </row>
    <row r="13968" spans="1:9" x14ac:dyDescent="0.2">
      <c r="A13968" t="str">
        <f>"Npas2"</f>
        <v>Npas2</v>
      </c>
      <c r="B13968" t="s">
        <v>14</v>
      </c>
      <c r="C13968" t="s">
        <v>19</v>
      </c>
      <c r="D13968" t="s">
        <v>17</v>
      </c>
      <c r="E13968" t="s">
        <v>12</v>
      </c>
      <c r="F13968">
        <v>39193739</v>
      </c>
      <c r="G13968">
        <v>39193798</v>
      </c>
      <c r="H13968">
        <v>39193806</v>
      </c>
      <c r="I13968">
        <v>39193814</v>
      </c>
    </row>
    <row r="13969" spans="1:9" x14ac:dyDescent="0.2">
      <c r="A13969" t="str">
        <f>"Npas3"</f>
        <v>Npas3</v>
      </c>
      <c r="B13969" t="s">
        <v>14</v>
      </c>
      <c r="C13969" t="s">
        <v>16</v>
      </c>
      <c r="D13969" t="s">
        <v>17</v>
      </c>
      <c r="E13969" t="s">
        <v>12</v>
      </c>
      <c r="F13969">
        <v>53248423</v>
      </c>
      <c r="G13969">
        <v>53248474</v>
      </c>
      <c r="H13969">
        <v>53248423</v>
      </c>
      <c r="I13969">
        <v>53248474</v>
      </c>
    </row>
    <row r="13970" spans="1:9" x14ac:dyDescent="0.2">
      <c r="A13970" t="str">
        <f>"Npas4"</f>
        <v>Npas4</v>
      </c>
      <c r="B13970" t="s">
        <v>14</v>
      </c>
      <c r="C13970" t="s">
        <v>10</v>
      </c>
      <c r="D13970" t="s">
        <v>11</v>
      </c>
      <c r="E13970" t="s">
        <v>12</v>
      </c>
      <c r="F13970">
        <v>4989964</v>
      </c>
      <c r="G13970">
        <v>4989972</v>
      </c>
      <c r="H13970">
        <v>4989964</v>
      </c>
      <c r="I13970">
        <v>4989972</v>
      </c>
    </row>
    <row r="13971" spans="1:9" x14ac:dyDescent="0.2">
      <c r="A13971" t="str">
        <f>"Npat"</f>
        <v>Npat</v>
      </c>
      <c r="B13971" t="s">
        <v>14</v>
      </c>
      <c r="C13971" t="s">
        <v>24</v>
      </c>
      <c r="D13971" t="s">
        <v>17</v>
      </c>
      <c r="E13971" t="s">
        <v>12</v>
      </c>
      <c r="F13971">
        <v>53537021</v>
      </c>
      <c r="G13971">
        <v>53537074</v>
      </c>
      <c r="H13971">
        <v>53537083</v>
      </c>
      <c r="I13971">
        <v>53537094</v>
      </c>
    </row>
    <row r="13972" spans="1:9" x14ac:dyDescent="0.2">
      <c r="A13972" t="str">
        <f>"Npb"</f>
        <v>Npb</v>
      </c>
      <c r="B13972" t="s">
        <v>14</v>
      </c>
      <c r="C13972" t="s">
        <v>27</v>
      </c>
      <c r="D13972" t="s">
        <v>17</v>
      </c>
      <c r="E13972" t="s">
        <v>12</v>
      </c>
      <c r="F13972">
        <v>120608469</v>
      </c>
      <c r="G13972">
        <v>120608487</v>
      </c>
      <c r="H13972">
        <v>120608492</v>
      </c>
      <c r="I13972">
        <v>120608502</v>
      </c>
    </row>
    <row r="13973" spans="1:9" x14ac:dyDescent="0.2">
      <c r="A13973" t="str">
        <f>"Npbwr1"</f>
        <v>Npbwr1</v>
      </c>
      <c r="B13973" t="s">
        <v>14</v>
      </c>
      <c r="C13973" t="s">
        <v>19</v>
      </c>
      <c r="D13973" t="s">
        <v>11</v>
      </c>
      <c r="E13973" t="s">
        <v>12</v>
      </c>
      <c r="F13973">
        <v>5917384</v>
      </c>
      <c r="G13973">
        <v>5917430</v>
      </c>
      <c r="H13973">
        <v>5917384</v>
      </c>
      <c r="I13973">
        <v>5917430</v>
      </c>
    </row>
    <row r="13974" spans="1:9" x14ac:dyDescent="0.2">
      <c r="A13974" t="str">
        <f>"Npc1"</f>
        <v>Npc1</v>
      </c>
      <c r="B13974" t="s">
        <v>14</v>
      </c>
      <c r="C13974" t="s">
        <v>43</v>
      </c>
      <c r="D13974" t="s">
        <v>11</v>
      </c>
      <c r="E13974" t="s">
        <v>12</v>
      </c>
      <c r="F13974">
        <v>12236301</v>
      </c>
      <c r="G13974">
        <v>12236405</v>
      </c>
      <c r="H13974">
        <v>12236486</v>
      </c>
      <c r="I13974">
        <v>12236501</v>
      </c>
    </row>
    <row r="13975" spans="1:9" x14ac:dyDescent="0.2">
      <c r="A13975" t="str">
        <f>"Npc1l1"</f>
        <v>Npc1l1</v>
      </c>
      <c r="B13975" t="s">
        <v>14</v>
      </c>
      <c r="C13975" t="s">
        <v>27</v>
      </c>
      <c r="D13975" t="s">
        <v>11</v>
      </c>
      <c r="E13975" t="s">
        <v>12</v>
      </c>
      <c r="F13975">
        <v>6230174</v>
      </c>
      <c r="G13975">
        <v>6230242</v>
      </c>
      <c r="H13975">
        <v>6230127</v>
      </c>
      <c r="I13975">
        <v>6230160</v>
      </c>
    </row>
    <row r="13976" spans="1:9" x14ac:dyDescent="0.2">
      <c r="A13976" t="str">
        <f>"Npc2"</f>
        <v>Npc2</v>
      </c>
      <c r="B13976" t="s">
        <v>14</v>
      </c>
      <c r="C13976" t="s">
        <v>16</v>
      </c>
      <c r="D13976" t="s">
        <v>11</v>
      </c>
      <c r="E13976" t="s">
        <v>12</v>
      </c>
      <c r="F13976">
        <v>84772888</v>
      </c>
      <c r="G13976">
        <v>84772910</v>
      </c>
      <c r="H13976">
        <v>84772925</v>
      </c>
      <c r="I13976">
        <v>84772951</v>
      </c>
    </row>
    <row r="13977" spans="1:9" x14ac:dyDescent="0.2">
      <c r="A13977" t="str">
        <f>"Npcd"</f>
        <v>Npcd</v>
      </c>
      <c r="B13977" t="s">
        <v>14</v>
      </c>
      <c r="C13977" t="s">
        <v>25</v>
      </c>
      <c r="D13977" t="s">
        <v>11</v>
      </c>
      <c r="E13977" t="s">
        <v>12</v>
      </c>
      <c r="F13977">
        <v>79834224</v>
      </c>
      <c r="G13977">
        <v>79834245</v>
      </c>
      <c r="H13977">
        <v>79834208</v>
      </c>
      <c r="I13977">
        <v>79834219</v>
      </c>
    </row>
    <row r="13978" spans="1:9" x14ac:dyDescent="0.2">
      <c r="A13978" t="str">
        <f>"Npdc1"</f>
        <v>Npdc1</v>
      </c>
      <c r="B13978" t="s">
        <v>14</v>
      </c>
      <c r="C13978" t="s">
        <v>26</v>
      </c>
      <c r="D13978" t="s">
        <v>17</v>
      </c>
      <c r="E13978" t="s">
        <v>12</v>
      </c>
      <c r="F13978">
        <v>25403128</v>
      </c>
      <c r="G13978">
        <v>25403200</v>
      </c>
      <c r="H13978">
        <v>25403044</v>
      </c>
      <c r="I13978">
        <v>25403115</v>
      </c>
    </row>
    <row r="13979" spans="1:9" x14ac:dyDescent="0.2">
      <c r="A13979" t="str">
        <f>"Npepl1"</f>
        <v>Npepl1</v>
      </c>
      <c r="B13979" t="s">
        <v>14</v>
      </c>
      <c r="C13979" t="s">
        <v>26</v>
      </c>
      <c r="D13979" t="s">
        <v>17</v>
      </c>
      <c r="E13979" t="s">
        <v>12</v>
      </c>
      <c r="F13979">
        <v>174110340</v>
      </c>
      <c r="G13979">
        <v>174110394</v>
      </c>
      <c r="H13979">
        <v>174111109</v>
      </c>
      <c r="I13979">
        <v>174111135</v>
      </c>
    </row>
    <row r="13980" spans="1:9" x14ac:dyDescent="0.2">
      <c r="A13980" t="str">
        <f>"Npepps"</f>
        <v>Npepps</v>
      </c>
      <c r="B13980" t="s">
        <v>14</v>
      </c>
      <c r="C13980" t="s">
        <v>27</v>
      </c>
      <c r="D13980" t="s">
        <v>11</v>
      </c>
      <c r="E13980" t="s">
        <v>12</v>
      </c>
      <c r="F13980">
        <v>97280470</v>
      </c>
      <c r="G13980">
        <v>97280606</v>
      </c>
      <c r="H13980">
        <v>97280332</v>
      </c>
      <c r="I13980">
        <v>97280407</v>
      </c>
    </row>
    <row r="13981" spans="1:9" x14ac:dyDescent="0.2">
      <c r="A13981" t="str">
        <f>"Npff"</f>
        <v>Npff</v>
      </c>
      <c r="B13981" t="s">
        <v>14</v>
      </c>
      <c r="C13981" t="s">
        <v>25</v>
      </c>
      <c r="D13981" t="s">
        <v>11</v>
      </c>
      <c r="E13981" t="s">
        <v>12</v>
      </c>
      <c r="F13981">
        <v>102524615</v>
      </c>
      <c r="G13981">
        <v>102524619</v>
      </c>
      <c r="H13981">
        <v>102524615</v>
      </c>
      <c r="I13981">
        <v>102524619</v>
      </c>
    </row>
    <row r="13982" spans="1:9" x14ac:dyDescent="0.2">
      <c r="A13982" t="str">
        <f>"Npffr1"</f>
        <v>Npffr1</v>
      </c>
      <c r="B13982" t="s">
        <v>14</v>
      </c>
      <c r="C13982" t="s">
        <v>15</v>
      </c>
      <c r="D13982" t="s">
        <v>17</v>
      </c>
      <c r="E13982" t="s">
        <v>12</v>
      </c>
      <c r="F13982">
        <v>61595293</v>
      </c>
      <c r="G13982">
        <v>61595297</v>
      </c>
      <c r="H13982">
        <v>61595293</v>
      </c>
      <c r="I13982">
        <v>61595297</v>
      </c>
    </row>
    <row r="13983" spans="1:9" x14ac:dyDescent="0.2">
      <c r="A13983" t="str">
        <f>"Npffr2"</f>
        <v>Npffr2</v>
      </c>
      <c r="B13983" t="s">
        <v>14</v>
      </c>
      <c r="C13983" t="s">
        <v>46</v>
      </c>
      <c r="D13983" t="s">
        <v>17</v>
      </c>
      <c r="E13983" t="s">
        <v>12</v>
      </c>
      <c r="F13983">
        <v>89526972</v>
      </c>
      <c r="G13983">
        <v>89526996</v>
      </c>
      <c r="H13983">
        <v>89526972</v>
      </c>
      <c r="I13983">
        <v>89526996</v>
      </c>
    </row>
    <row r="13984" spans="1:9" x14ac:dyDescent="0.2">
      <c r="A13984" t="str">
        <f>"Nphp1"</f>
        <v>Nphp1</v>
      </c>
      <c r="B13984" t="s">
        <v>14</v>
      </c>
      <c r="C13984" t="s">
        <v>26</v>
      </c>
      <c r="D13984" t="s">
        <v>11</v>
      </c>
      <c r="E13984" t="s">
        <v>12</v>
      </c>
      <c r="F13984">
        <v>127788854</v>
      </c>
      <c r="G13984">
        <v>127788900</v>
      </c>
      <c r="H13984">
        <v>127788854</v>
      </c>
      <c r="I13984">
        <v>127788900</v>
      </c>
    </row>
    <row r="13985" spans="1:9" x14ac:dyDescent="0.2">
      <c r="A13985" t="str">
        <f>"Nphp3"</f>
        <v>Nphp3</v>
      </c>
      <c r="B13985" t="s">
        <v>14</v>
      </c>
      <c r="C13985" t="s">
        <v>24</v>
      </c>
      <c r="D13985" t="s">
        <v>17</v>
      </c>
      <c r="E13985" t="s">
        <v>12</v>
      </c>
      <c r="F13985">
        <v>104002725</v>
      </c>
      <c r="G13985">
        <v>104002776</v>
      </c>
      <c r="H13985">
        <v>104002625</v>
      </c>
      <c r="I13985">
        <v>104002652</v>
      </c>
    </row>
    <row r="13986" spans="1:9" x14ac:dyDescent="0.2">
      <c r="A13986" t="str">
        <f>"Nphp4"</f>
        <v>Nphp4</v>
      </c>
      <c r="B13986" t="s">
        <v>14</v>
      </c>
      <c r="C13986" t="s">
        <v>23</v>
      </c>
      <c r="D13986" t="s">
        <v>17</v>
      </c>
      <c r="E13986" t="s">
        <v>12</v>
      </c>
      <c r="F13986">
        <v>152477732</v>
      </c>
      <c r="G13986">
        <v>152477766</v>
      </c>
      <c r="H13986">
        <v>152477732</v>
      </c>
      <c r="I13986">
        <v>152477766</v>
      </c>
    </row>
    <row r="13987" spans="1:9" x14ac:dyDescent="0.2">
      <c r="A13987" t="str">
        <f>"Nphs1"</f>
        <v>Nphs1</v>
      </c>
      <c r="B13987" t="s">
        <v>14</v>
      </c>
      <c r="C13987" t="s">
        <v>33</v>
      </c>
      <c r="D13987" t="s">
        <v>17</v>
      </c>
      <c r="E13987" t="s">
        <v>12</v>
      </c>
      <c r="F13987">
        <v>30459713</v>
      </c>
      <c r="G13987">
        <v>30459745</v>
      </c>
      <c r="H13987">
        <v>30459752</v>
      </c>
      <c r="I13987">
        <v>30459763</v>
      </c>
    </row>
    <row r="13988" spans="1:9" x14ac:dyDescent="0.2">
      <c r="A13988" t="str">
        <f>"Nphs2"</f>
        <v>Nphs2</v>
      </c>
      <c r="B13988" t="s">
        <v>14</v>
      </c>
      <c r="C13988" t="s">
        <v>19</v>
      </c>
      <c r="D13988" t="s">
        <v>17</v>
      </c>
      <c r="E13988" t="s">
        <v>12</v>
      </c>
      <c r="F13988">
        <v>156310716</v>
      </c>
      <c r="G13988">
        <v>156310734</v>
      </c>
      <c r="H13988">
        <v>156310716</v>
      </c>
      <c r="I13988">
        <v>156310734</v>
      </c>
    </row>
    <row r="13989" spans="1:9" x14ac:dyDescent="0.2">
      <c r="A13989" t="str">
        <f>"Npl"</f>
        <v>Npl</v>
      </c>
      <c r="B13989" t="s">
        <v>14</v>
      </c>
      <c r="C13989" t="s">
        <v>19</v>
      </c>
      <c r="D13989" t="s">
        <v>11</v>
      </c>
      <c r="E13989" t="s">
        <v>12</v>
      </c>
      <c r="F13989">
        <v>153549697</v>
      </c>
      <c r="G13989">
        <v>153549724</v>
      </c>
      <c r="H13989">
        <v>153549734</v>
      </c>
      <c r="I13989">
        <v>153549745</v>
      </c>
    </row>
    <row r="13990" spans="1:9" x14ac:dyDescent="0.2">
      <c r="A13990" t="str">
        <f>"Nploc4"</f>
        <v>Nploc4</v>
      </c>
      <c r="B13990" t="s">
        <v>14</v>
      </c>
      <c r="C13990" t="s">
        <v>27</v>
      </c>
      <c r="D13990" t="s">
        <v>11</v>
      </c>
      <c r="E13990" t="s">
        <v>12</v>
      </c>
      <c r="F13990">
        <v>120437656</v>
      </c>
      <c r="G13990">
        <v>120437731</v>
      </c>
      <c r="H13990">
        <v>120437633</v>
      </c>
      <c r="I13990">
        <v>120437654</v>
      </c>
    </row>
    <row r="13991" spans="1:9" x14ac:dyDescent="0.2">
      <c r="A13991" t="str">
        <f>"Npm1"</f>
        <v>Npm1</v>
      </c>
      <c r="B13991" t="s">
        <v>14</v>
      </c>
      <c r="C13991" t="s">
        <v>27</v>
      </c>
      <c r="D13991" t="s">
        <v>11</v>
      </c>
      <c r="E13991" t="s">
        <v>12</v>
      </c>
      <c r="F13991">
        <v>33163072</v>
      </c>
      <c r="G13991">
        <v>33163087</v>
      </c>
      <c r="H13991">
        <v>33163194</v>
      </c>
      <c r="I13991">
        <v>33163231</v>
      </c>
    </row>
    <row r="13992" spans="1:9" x14ac:dyDescent="0.2">
      <c r="A13992" t="str">
        <f>"Npm2"</f>
        <v>Npm2</v>
      </c>
      <c r="B13992" t="s">
        <v>14</v>
      </c>
      <c r="C13992" t="s">
        <v>41</v>
      </c>
      <c r="D13992" t="s">
        <v>11</v>
      </c>
      <c r="E13992" t="s">
        <v>12</v>
      </c>
      <c r="F13992">
        <v>70659207</v>
      </c>
      <c r="G13992">
        <v>70659244</v>
      </c>
      <c r="H13992">
        <v>70659207</v>
      </c>
      <c r="I13992">
        <v>70659244</v>
      </c>
    </row>
    <row r="13993" spans="1:9" x14ac:dyDescent="0.2">
      <c r="A13993" t="str">
        <f>"Npm3"</f>
        <v>Npm3</v>
      </c>
      <c r="B13993" t="s">
        <v>14</v>
      </c>
      <c r="C13993" t="s">
        <v>10</v>
      </c>
      <c r="D13993" t="s">
        <v>11</v>
      </c>
      <c r="E13993" t="s">
        <v>12</v>
      </c>
      <c r="F13993">
        <v>45749563</v>
      </c>
      <c r="G13993">
        <v>45749576</v>
      </c>
      <c r="H13993">
        <v>45749378</v>
      </c>
      <c r="I13993">
        <v>45749418</v>
      </c>
    </row>
    <row r="13994" spans="1:9" x14ac:dyDescent="0.2">
      <c r="A13994" t="str">
        <f>"Npn2"</f>
        <v>Npn2</v>
      </c>
      <c r="B13994" t="s">
        <v>4385</v>
      </c>
      <c r="C13994" t="s">
        <v>32</v>
      </c>
      <c r="D13994" t="s">
        <v>11</v>
      </c>
      <c r="E13994" t="s">
        <v>20</v>
      </c>
      <c r="F13994">
        <v>34726904</v>
      </c>
      <c r="G13994">
        <v>34726904</v>
      </c>
      <c r="H13994">
        <v>34726904</v>
      </c>
      <c r="I13994">
        <v>34726904</v>
      </c>
    </row>
    <row r="13995" spans="1:9" x14ac:dyDescent="0.2">
      <c r="A13995" t="str">
        <f>"Npnt"</f>
        <v>Npnt</v>
      </c>
      <c r="B13995" t="s">
        <v>14</v>
      </c>
      <c r="C13995" t="s">
        <v>22</v>
      </c>
      <c r="D13995" t="s">
        <v>11</v>
      </c>
      <c r="E13995" t="s">
        <v>12</v>
      </c>
      <c r="F13995">
        <v>132950167</v>
      </c>
      <c r="G13995">
        <v>132950181</v>
      </c>
      <c r="H13995">
        <v>132950167</v>
      </c>
      <c r="I13995">
        <v>132950181</v>
      </c>
    </row>
    <row r="13996" spans="1:9" x14ac:dyDescent="0.2">
      <c r="A13996" t="str">
        <f>"Nppa"</f>
        <v>Nppa</v>
      </c>
      <c r="B13996" t="s">
        <v>14</v>
      </c>
      <c r="C13996" t="s">
        <v>23</v>
      </c>
      <c r="D13996" t="s">
        <v>17</v>
      </c>
      <c r="E13996" t="s">
        <v>12</v>
      </c>
      <c r="F13996">
        <v>148000735</v>
      </c>
      <c r="G13996">
        <v>148000754</v>
      </c>
      <c r="H13996">
        <v>148000633</v>
      </c>
      <c r="I13996">
        <v>148000641</v>
      </c>
    </row>
    <row r="13997" spans="1:9" x14ac:dyDescent="0.2">
      <c r="A13997" t="str">
        <f>"Nppb"</f>
        <v>Nppb</v>
      </c>
      <c r="B13997" t="s">
        <v>14</v>
      </c>
      <c r="C13997" t="s">
        <v>23</v>
      </c>
      <c r="D13997" t="s">
        <v>17</v>
      </c>
      <c r="E13997" t="s">
        <v>12</v>
      </c>
      <c r="F13997">
        <v>147985892</v>
      </c>
      <c r="G13997">
        <v>147985903</v>
      </c>
      <c r="H13997">
        <v>147985892</v>
      </c>
      <c r="I13997">
        <v>147985903</v>
      </c>
    </row>
    <row r="13998" spans="1:9" x14ac:dyDescent="0.2">
      <c r="A13998" t="str">
        <f>"Nppc"</f>
        <v>Nppc</v>
      </c>
      <c r="B13998" t="s">
        <v>14</v>
      </c>
      <c r="C13998" t="s">
        <v>19</v>
      </c>
      <c r="D13998" t="s">
        <v>11</v>
      </c>
      <c r="E13998" t="s">
        <v>12</v>
      </c>
      <c r="F13998">
        <v>86670565</v>
      </c>
      <c r="G13998">
        <v>86670579</v>
      </c>
      <c r="H13998">
        <v>86670495</v>
      </c>
      <c r="I13998">
        <v>86670514</v>
      </c>
    </row>
    <row r="13999" spans="1:9" x14ac:dyDescent="0.2">
      <c r="A13999" t="str">
        <f>"Npr1"</f>
        <v>Npr1</v>
      </c>
      <c r="B13999" t="s">
        <v>14</v>
      </c>
      <c r="C13999" t="s">
        <v>22</v>
      </c>
      <c r="D13999" t="s">
        <v>11</v>
      </c>
      <c r="E13999" t="s">
        <v>12</v>
      </c>
      <c r="F13999">
        <v>90465858</v>
      </c>
      <c r="G13999">
        <v>90465874</v>
      </c>
      <c r="H13999">
        <v>90465832</v>
      </c>
      <c r="I13999">
        <v>90465846</v>
      </c>
    </row>
    <row r="14000" spans="1:9" x14ac:dyDescent="0.2">
      <c r="A14000" t="str">
        <f>"Npr2"</f>
        <v>Npr2</v>
      </c>
      <c r="B14000" t="s">
        <v>14</v>
      </c>
      <c r="C14000" t="s">
        <v>23</v>
      </c>
      <c r="D14000" t="s">
        <v>17</v>
      </c>
      <c r="E14000" t="s">
        <v>12</v>
      </c>
      <c r="F14000">
        <v>43631792</v>
      </c>
      <c r="G14000">
        <v>43631830</v>
      </c>
      <c r="H14000">
        <v>43631976</v>
      </c>
      <c r="I14000">
        <v>43632012</v>
      </c>
    </row>
    <row r="14001" spans="1:9" x14ac:dyDescent="0.2">
      <c r="A14001" t="str">
        <f>"Npr3"</f>
        <v>Npr3</v>
      </c>
      <c r="B14001" t="s">
        <v>14</v>
      </c>
      <c r="C14001" t="s">
        <v>25</v>
      </c>
      <c r="D14001" t="s">
        <v>11</v>
      </c>
      <c r="E14001" t="s">
        <v>12</v>
      </c>
      <c r="F14001">
        <v>11906098</v>
      </c>
      <c r="G14001">
        <v>11906115</v>
      </c>
      <c r="H14001">
        <v>11906098</v>
      </c>
      <c r="I14001">
        <v>11906115</v>
      </c>
    </row>
    <row r="14002" spans="1:9" x14ac:dyDescent="0.2">
      <c r="A14002" t="str">
        <f>"Nprl2"</f>
        <v>Nprl2</v>
      </c>
      <c r="B14002" t="s">
        <v>14</v>
      </c>
      <c r="C14002" t="s">
        <v>24</v>
      </c>
      <c r="D14002" t="s">
        <v>17</v>
      </c>
      <c r="E14002" t="s">
        <v>12</v>
      </c>
      <c r="F14002">
        <v>107542218</v>
      </c>
      <c r="G14002">
        <v>107542258</v>
      </c>
      <c r="H14002">
        <v>107542218</v>
      </c>
      <c r="I14002">
        <v>107542258</v>
      </c>
    </row>
    <row r="14003" spans="1:9" x14ac:dyDescent="0.2">
      <c r="A14003" t="str">
        <f>"Nprl3"</f>
        <v>Nprl3</v>
      </c>
      <c r="B14003" t="s">
        <v>14</v>
      </c>
      <c r="C14003" t="s">
        <v>27</v>
      </c>
      <c r="D14003" t="s">
        <v>11</v>
      </c>
      <c r="E14003" t="s">
        <v>12</v>
      </c>
      <c r="F14003">
        <v>32267583</v>
      </c>
      <c r="G14003">
        <v>32267677</v>
      </c>
      <c r="H14003">
        <v>32267583</v>
      </c>
      <c r="I14003">
        <v>32267677</v>
      </c>
    </row>
    <row r="14004" spans="1:9" x14ac:dyDescent="0.2">
      <c r="A14004" t="str">
        <f>"Nps"</f>
        <v>Nps</v>
      </c>
      <c r="B14004" t="s">
        <v>14</v>
      </c>
      <c r="C14004" t="s">
        <v>33</v>
      </c>
      <c r="D14004" t="s">
        <v>17</v>
      </c>
      <c r="E14004" t="s">
        <v>12</v>
      </c>
      <c r="F14004">
        <v>135268579</v>
      </c>
      <c r="G14004">
        <v>135268581</v>
      </c>
      <c r="H14004">
        <v>135268579</v>
      </c>
      <c r="I14004">
        <v>135268581</v>
      </c>
    </row>
    <row r="14005" spans="1:9" x14ac:dyDescent="0.2">
      <c r="A14005" t="str">
        <f>"Npsr1"</f>
        <v>Npsr1</v>
      </c>
      <c r="B14005" t="s">
        <v>14</v>
      </c>
      <c r="C14005" t="s">
        <v>24</v>
      </c>
      <c r="D14005" t="s">
        <v>17</v>
      </c>
      <c r="E14005" t="s">
        <v>12</v>
      </c>
      <c r="F14005">
        <v>24097962</v>
      </c>
      <c r="G14005">
        <v>24097972</v>
      </c>
      <c r="H14005">
        <v>24098006</v>
      </c>
      <c r="I14005">
        <v>24098019</v>
      </c>
    </row>
    <row r="14006" spans="1:9" x14ac:dyDescent="0.2">
      <c r="A14006" t="str">
        <f>"Nptn"</f>
        <v>Nptn</v>
      </c>
      <c r="B14006" t="s">
        <v>14</v>
      </c>
      <c r="C14006" t="s">
        <v>24</v>
      </c>
      <c r="D14006" t="s">
        <v>17</v>
      </c>
      <c r="E14006" t="s">
        <v>12</v>
      </c>
      <c r="F14006">
        <v>58582397</v>
      </c>
      <c r="G14006">
        <v>58582416</v>
      </c>
      <c r="H14006">
        <v>58582258</v>
      </c>
      <c r="I14006">
        <v>58582269</v>
      </c>
    </row>
    <row r="14007" spans="1:9" x14ac:dyDescent="0.2">
      <c r="A14007" t="str">
        <f>"Nptx1"</f>
        <v>Nptx1</v>
      </c>
      <c r="B14007" t="s">
        <v>14</v>
      </c>
      <c r="C14007" t="s">
        <v>27</v>
      </c>
      <c r="D14007" t="s">
        <v>11</v>
      </c>
      <c r="E14007" t="s">
        <v>12</v>
      </c>
      <c r="F14007">
        <v>119547744</v>
      </c>
      <c r="G14007">
        <v>119547759</v>
      </c>
      <c r="H14007">
        <v>119547636</v>
      </c>
      <c r="I14007">
        <v>119547672</v>
      </c>
    </row>
    <row r="14008" spans="1:9" x14ac:dyDescent="0.2">
      <c r="A14008" t="str">
        <f>"Nptx2"</f>
        <v>Nptx2</v>
      </c>
      <c r="B14008" t="s">
        <v>14</v>
      </c>
      <c r="C14008" t="s">
        <v>46</v>
      </c>
      <c r="D14008" t="s">
        <v>17</v>
      </c>
      <c r="E14008" t="s">
        <v>12</v>
      </c>
      <c r="F14008">
        <v>144545883</v>
      </c>
      <c r="G14008">
        <v>144545889</v>
      </c>
      <c r="H14008">
        <v>144546014</v>
      </c>
      <c r="I14008">
        <v>144546022</v>
      </c>
    </row>
    <row r="14009" spans="1:9" x14ac:dyDescent="0.2">
      <c r="A14009" t="str">
        <f>"Nptxr"</f>
        <v>Nptxr</v>
      </c>
      <c r="B14009" t="s">
        <v>14</v>
      </c>
      <c r="C14009" t="s">
        <v>25</v>
      </c>
      <c r="D14009" t="s">
        <v>11</v>
      </c>
      <c r="E14009" t="s">
        <v>12</v>
      </c>
      <c r="F14009">
        <v>79804717</v>
      </c>
      <c r="G14009">
        <v>79804732</v>
      </c>
      <c r="H14009">
        <v>79804455</v>
      </c>
      <c r="I14009">
        <v>79804503</v>
      </c>
    </row>
    <row r="14010" spans="1:9" x14ac:dyDescent="0.2">
      <c r="A14010" t="str">
        <f>"Npvf"</f>
        <v>Npvf</v>
      </c>
      <c r="B14010" t="s">
        <v>14</v>
      </c>
      <c r="C14010" t="s">
        <v>32</v>
      </c>
      <c r="D14010" t="s">
        <v>11</v>
      </c>
      <c r="E14010" t="s">
        <v>12</v>
      </c>
      <c r="F14010">
        <v>50654438</v>
      </c>
      <c r="G14010">
        <v>50654448</v>
      </c>
      <c r="H14010">
        <v>50654438</v>
      </c>
      <c r="I14010">
        <v>50654448</v>
      </c>
    </row>
    <row r="14011" spans="1:9" x14ac:dyDescent="0.2">
      <c r="A14011" t="str">
        <f>"Npw"</f>
        <v>Npw</v>
      </c>
      <c r="B14011" t="s">
        <v>14</v>
      </c>
      <c r="C14011" t="s">
        <v>28</v>
      </c>
      <c r="D14011" t="s">
        <v>11</v>
      </c>
      <c r="E14011" t="s">
        <v>12</v>
      </c>
      <c r="F14011">
        <v>24658539</v>
      </c>
      <c r="G14011">
        <v>24658557</v>
      </c>
      <c r="H14011">
        <v>24658506</v>
      </c>
      <c r="I14011">
        <v>24658516</v>
      </c>
    </row>
    <row r="14012" spans="1:9" x14ac:dyDescent="0.2">
      <c r="A14012" t="str">
        <f>"Npy"</f>
        <v>Npy</v>
      </c>
      <c r="B14012" t="s">
        <v>14</v>
      </c>
      <c r="C14012" t="s">
        <v>32</v>
      </c>
      <c r="D14012" t="s">
        <v>17</v>
      </c>
      <c r="E14012" t="s">
        <v>12</v>
      </c>
      <c r="F14012">
        <v>49822711</v>
      </c>
      <c r="G14012">
        <v>49822727</v>
      </c>
      <c r="H14012">
        <v>49822711</v>
      </c>
      <c r="I14012">
        <v>49822727</v>
      </c>
    </row>
    <row r="14013" spans="1:9" x14ac:dyDescent="0.2">
      <c r="A14013" t="str">
        <f>"Npy1r"</f>
        <v>Npy1r</v>
      </c>
      <c r="B14013" t="s">
        <v>14</v>
      </c>
      <c r="C14013" t="s">
        <v>30</v>
      </c>
      <c r="D14013" t="s">
        <v>17</v>
      </c>
      <c r="E14013" t="s">
        <v>12</v>
      </c>
      <c r="F14013">
        <v>66697444</v>
      </c>
      <c r="G14013">
        <v>66697461</v>
      </c>
      <c r="H14013">
        <v>66697404</v>
      </c>
      <c r="I14013">
        <v>66697428</v>
      </c>
    </row>
    <row r="14014" spans="1:9" x14ac:dyDescent="0.2">
      <c r="A14014" t="str">
        <f>"Npy2r"</f>
        <v>Npy2r</v>
      </c>
      <c r="B14014" t="s">
        <v>14</v>
      </c>
      <c r="C14014" t="s">
        <v>22</v>
      </c>
      <c r="D14014" t="s">
        <v>11</v>
      </c>
      <c r="E14014" t="s">
        <v>12</v>
      </c>
      <c r="F14014">
        <v>82548036</v>
      </c>
      <c r="G14014">
        <v>82548054</v>
      </c>
      <c r="H14014">
        <v>82548091</v>
      </c>
      <c r="I14014">
        <v>82548102</v>
      </c>
    </row>
    <row r="14015" spans="1:9" x14ac:dyDescent="0.2">
      <c r="A14015" t="str">
        <f>"Npy4r"</f>
        <v>Npy4r</v>
      </c>
      <c r="B14015" t="s">
        <v>14</v>
      </c>
      <c r="C14015" t="s">
        <v>41</v>
      </c>
      <c r="D14015" t="s">
        <v>11</v>
      </c>
      <c r="E14015" t="s">
        <v>67</v>
      </c>
      <c r="F14015">
        <v>34152473</v>
      </c>
      <c r="G14015">
        <v>34152486</v>
      </c>
      <c r="H14015">
        <v>34152494</v>
      </c>
      <c r="I14015">
        <v>34152499</v>
      </c>
    </row>
    <row r="14016" spans="1:9" x14ac:dyDescent="0.2">
      <c r="A14016" t="str">
        <f>"Npy5r"</f>
        <v>Npy5r</v>
      </c>
      <c r="B14016" t="s">
        <v>14</v>
      </c>
      <c r="C14016" t="s">
        <v>30</v>
      </c>
      <c r="D14016" t="s">
        <v>11</v>
      </c>
      <c r="E14016" t="s">
        <v>12</v>
      </c>
      <c r="F14016">
        <v>66688024</v>
      </c>
      <c r="G14016">
        <v>66688044</v>
      </c>
      <c r="H14016">
        <v>66688048</v>
      </c>
      <c r="I14016">
        <v>66688067</v>
      </c>
    </row>
    <row r="14017" spans="1:9" x14ac:dyDescent="0.2">
      <c r="A14017" t="str">
        <f>"Npy6r"</f>
        <v>Npy6r</v>
      </c>
      <c r="B14017" t="s">
        <v>14</v>
      </c>
      <c r="C14017" t="s">
        <v>43</v>
      </c>
      <c r="D14017" t="s">
        <v>17</v>
      </c>
      <c r="E14017" t="s">
        <v>12</v>
      </c>
      <c r="F14017">
        <v>44270102</v>
      </c>
      <c r="G14017">
        <v>44270135</v>
      </c>
      <c r="H14017">
        <v>44270078</v>
      </c>
      <c r="I14017">
        <v>44270083</v>
      </c>
    </row>
    <row r="14018" spans="1:9" x14ac:dyDescent="0.2">
      <c r="A14018" t="str">
        <f>"Nqo1"</f>
        <v>Nqo1</v>
      </c>
      <c r="B14018" t="s">
        <v>14</v>
      </c>
      <c r="C14018" t="s">
        <v>30</v>
      </c>
      <c r="D14018" t="s">
        <v>11</v>
      </c>
      <c r="E14018" t="s">
        <v>12</v>
      </c>
      <c r="F14018">
        <v>107403197</v>
      </c>
      <c r="G14018">
        <v>107403213</v>
      </c>
      <c r="H14018">
        <v>107403090</v>
      </c>
      <c r="I14018">
        <v>107403096</v>
      </c>
    </row>
    <row r="14019" spans="1:9" x14ac:dyDescent="0.2">
      <c r="A14019" t="str">
        <f>"Nqo2"</f>
        <v>Nqo2</v>
      </c>
      <c r="B14019" t="s">
        <v>14</v>
      </c>
      <c r="C14019" t="s">
        <v>39</v>
      </c>
      <c r="D14019" t="s">
        <v>17</v>
      </c>
      <c r="E14019" t="s">
        <v>12</v>
      </c>
      <c r="F14019">
        <v>33964708</v>
      </c>
      <c r="G14019">
        <v>33964750</v>
      </c>
      <c r="H14019">
        <v>33964684</v>
      </c>
      <c r="I14019">
        <v>33964704</v>
      </c>
    </row>
    <row r="14020" spans="1:9" x14ac:dyDescent="0.2">
      <c r="A14020" t="str">
        <f>"Nr0b1"</f>
        <v>Nr0b1</v>
      </c>
      <c r="B14020" t="s">
        <v>14</v>
      </c>
      <c r="C14020" t="s">
        <v>37</v>
      </c>
      <c r="D14020" t="s">
        <v>17</v>
      </c>
      <c r="E14020" t="s">
        <v>12</v>
      </c>
      <c r="F14020">
        <v>86191766</v>
      </c>
      <c r="G14020">
        <v>86191782</v>
      </c>
      <c r="H14020">
        <v>86191731</v>
      </c>
      <c r="I14020">
        <v>86191739</v>
      </c>
    </row>
    <row r="14021" spans="1:9" x14ac:dyDescent="0.2">
      <c r="A14021" t="str">
        <f>"Nr0b2"</f>
        <v>Nr0b2</v>
      </c>
      <c r="B14021" t="s">
        <v>14</v>
      </c>
      <c r="C14021" t="s">
        <v>23</v>
      </c>
      <c r="D14021" t="s">
        <v>17</v>
      </c>
      <c r="E14021" t="s">
        <v>12</v>
      </c>
      <c r="F14021">
        <v>133553370</v>
      </c>
      <c r="G14021">
        <v>133553393</v>
      </c>
      <c r="H14021">
        <v>133553412</v>
      </c>
      <c r="I14021">
        <v>133553423</v>
      </c>
    </row>
    <row r="14022" spans="1:9" x14ac:dyDescent="0.2">
      <c r="A14022" t="str">
        <f>"Nr1d1"</f>
        <v>Nr1d1</v>
      </c>
      <c r="B14022" t="s">
        <v>14</v>
      </c>
      <c r="C14022" t="s">
        <v>27</v>
      </c>
      <c r="D14022" t="s">
        <v>11</v>
      </c>
      <c r="E14022" t="s">
        <v>12</v>
      </c>
      <c r="F14022">
        <v>98775217</v>
      </c>
      <c r="G14022">
        <v>98775245</v>
      </c>
      <c r="H14022">
        <v>98775261</v>
      </c>
      <c r="I14022">
        <v>98775293</v>
      </c>
    </row>
    <row r="14023" spans="1:9" x14ac:dyDescent="0.2">
      <c r="A14023" t="str">
        <f>"Nr1d2"</f>
        <v>Nr1d2</v>
      </c>
      <c r="B14023" t="s">
        <v>14</v>
      </c>
      <c r="C14023" t="s">
        <v>41</v>
      </c>
      <c r="D14023" t="s">
        <v>11</v>
      </c>
      <c r="E14023" t="s">
        <v>12</v>
      </c>
      <c r="F14023">
        <v>18238952</v>
      </c>
      <c r="G14023">
        <v>18239036</v>
      </c>
      <c r="H14023">
        <v>18239053</v>
      </c>
      <c r="I14023">
        <v>18239098</v>
      </c>
    </row>
    <row r="14024" spans="1:9" x14ac:dyDescent="0.2">
      <c r="A14024" t="str">
        <f>"Nr1h2"</f>
        <v>Nr1h2</v>
      </c>
      <c r="B14024" t="s">
        <v>14</v>
      </c>
      <c r="C14024" t="s">
        <v>33</v>
      </c>
      <c r="D14024" t="s">
        <v>11</v>
      </c>
      <c r="E14024" t="s">
        <v>12</v>
      </c>
      <c r="F14024">
        <v>44553901</v>
      </c>
      <c r="G14024">
        <v>44553955</v>
      </c>
      <c r="H14024">
        <v>44553645</v>
      </c>
      <c r="I14024">
        <v>44553673</v>
      </c>
    </row>
    <row r="14025" spans="1:9" x14ac:dyDescent="0.2">
      <c r="A14025" t="str">
        <f>"Nr1h3"</f>
        <v>Nr1h3</v>
      </c>
      <c r="B14025" t="s">
        <v>14</v>
      </c>
      <c r="C14025" t="s">
        <v>26</v>
      </c>
      <c r="D14025" t="s">
        <v>11</v>
      </c>
      <c r="E14025" t="s">
        <v>12</v>
      </c>
      <c r="F14025">
        <v>91195040</v>
      </c>
      <c r="G14025">
        <v>91195080</v>
      </c>
      <c r="H14025">
        <v>91194767</v>
      </c>
      <c r="I14025">
        <v>91194789</v>
      </c>
    </row>
    <row r="14026" spans="1:9" x14ac:dyDescent="0.2">
      <c r="A14026" t="str">
        <f>"Nr1h4"</f>
        <v>Nr1h4</v>
      </c>
      <c r="B14026" t="s">
        <v>9</v>
      </c>
      <c r="C14026" t="s">
        <v>15</v>
      </c>
      <c r="D14026" t="s">
        <v>11</v>
      </c>
      <c r="E14026" t="s">
        <v>12</v>
      </c>
      <c r="F14026">
        <v>89506631</v>
      </c>
      <c r="G14026">
        <v>89506650</v>
      </c>
      <c r="H14026">
        <v>89506631</v>
      </c>
      <c r="I14026">
        <v>89506650</v>
      </c>
    </row>
    <row r="14027" spans="1:9" x14ac:dyDescent="0.2">
      <c r="A14027" t="str">
        <f>"Nr1h4"</f>
        <v>Nr1h4</v>
      </c>
      <c r="B14027" t="s">
        <v>13</v>
      </c>
      <c r="C14027" t="s">
        <v>15</v>
      </c>
      <c r="D14027" t="s">
        <v>11</v>
      </c>
      <c r="E14027" t="s">
        <v>12</v>
      </c>
      <c r="F14027">
        <v>89533591</v>
      </c>
      <c r="G14027">
        <v>89533635</v>
      </c>
      <c r="H14027">
        <v>89533591</v>
      </c>
      <c r="I14027">
        <v>89533635</v>
      </c>
    </row>
    <row r="14028" spans="1:9" x14ac:dyDescent="0.2">
      <c r="A14028" t="str">
        <f>"Nr1h5"</f>
        <v>Nr1h5</v>
      </c>
      <c r="B14028" t="s">
        <v>14</v>
      </c>
      <c r="C14028" t="s">
        <v>22</v>
      </c>
      <c r="D14028" t="s">
        <v>11</v>
      </c>
      <c r="E14028" t="s">
        <v>12</v>
      </c>
      <c r="F14028">
        <v>102964124</v>
      </c>
      <c r="G14028">
        <v>102964137</v>
      </c>
      <c r="H14028">
        <v>102964242</v>
      </c>
      <c r="I14028">
        <v>102964251</v>
      </c>
    </row>
    <row r="14029" spans="1:9" x14ac:dyDescent="0.2">
      <c r="A14029" t="str">
        <f>"Nr1i2"</f>
        <v>Nr1i2</v>
      </c>
      <c r="B14029" t="s">
        <v>14</v>
      </c>
      <c r="C14029" t="s">
        <v>31</v>
      </c>
      <c r="D14029" t="s">
        <v>11</v>
      </c>
      <c r="E14029" t="s">
        <v>12</v>
      </c>
      <c r="F14029">
        <v>38294774</v>
      </c>
      <c r="G14029">
        <v>38294838</v>
      </c>
      <c r="H14029">
        <v>38294774</v>
      </c>
      <c r="I14029">
        <v>38294838</v>
      </c>
    </row>
    <row r="14030" spans="1:9" x14ac:dyDescent="0.2">
      <c r="A14030" t="str">
        <f>"Nr1i3"</f>
        <v>Nr1i3</v>
      </c>
      <c r="B14030" t="s">
        <v>14</v>
      </c>
      <c r="C14030" t="s">
        <v>19</v>
      </c>
      <c r="D14030" t="s">
        <v>17</v>
      </c>
      <c r="E14030" t="s">
        <v>12</v>
      </c>
      <c r="F14030">
        <v>171214013</v>
      </c>
      <c r="G14030">
        <v>171214045</v>
      </c>
      <c r="H14030">
        <v>171213969</v>
      </c>
      <c r="I14030">
        <v>171214007</v>
      </c>
    </row>
    <row r="14031" spans="1:9" x14ac:dyDescent="0.2">
      <c r="A14031" t="str">
        <f>"Nr2c1"</f>
        <v>Nr2c1</v>
      </c>
      <c r="B14031" t="s">
        <v>14</v>
      </c>
      <c r="C14031" t="s">
        <v>15</v>
      </c>
      <c r="D14031" t="s">
        <v>17</v>
      </c>
      <c r="E14031" t="s">
        <v>12</v>
      </c>
      <c r="F14031">
        <v>94147907</v>
      </c>
      <c r="G14031">
        <v>94147966</v>
      </c>
      <c r="H14031">
        <v>94147982</v>
      </c>
      <c r="I14031">
        <v>94148009</v>
      </c>
    </row>
    <row r="14032" spans="1:9" x14ac:dyDescent="0.2">
      <c r="A14032" t="str">
        <f>"Nr2c2"</f>
        <v>Nr2c2</v>
      </c>
      <c r="B14032" t="s">
        <v>14</v>
      </c>
      <c r="C14032" t="s">
        <v>32</v>
      </c>
      <c r="D14032" t="s">
        <v>17</v>
      </c>
      <c r="E14032" t="s">
        <v>12</v>
      </c>
      <c r="F14032">
        <v>92091436</v>
      </c>
      <c r="G14032">
        <v>92091466</v>
      </c>
      <c r="H14032">
        <v>92091405</v>
      </c>
      <c r="I14032">
        <v>92091423</v>
      </c>
    </row>
    <row r="14033" spans="1:9" x14ac:dyDescent="0.2">
      <c r="A14033" t="str">
        <f>"Nr2c2ap"</f>
        <v>Nr2c2ap</v>
      </c>
      <c r="B14033" t="s">
        <v>14</v>
      </c>
      <c r="C14033" t="s">
        <v>30</v>
      </c>
      <c r="D14033" t="s">
        <v>17</v>
      </c>
      <c r="E14033" t="s">
        <v>12</v>
      </c>
      <c r="F14033">
        <v>70131327</v>
      </c>
      <c r="G14033">
        <v>70131392</v>
      </c>
      <c r="H14033">
        <v>70131322</v>
      </c>
      <c r="I14033">
        <v>70131326</v>
      </c>
    </row>
    <row r="14034" spans="1:9" x14ac:dyDescent="0.2">
      <c r="A14034" t="str">
        <f>"Nr2e1"</f>
        <v>Nr2e1</v>
      </c>
      <c r="B14034" t="s">
        <v>14</v>
      </c>
      <c r="C14034" t="s">
        <v>15</v>
      </c>
      <c r="D14034" t="s">
        <v>11</v>
      </c>
      <c r="E14034" t="s">
        <v>12</v>
      </c>
      <c r="F14034">
        <v>42583579</v>
      </c>
      <c r="G14034">
        <v>42583595</v>
      </c>
      <c r="H14034">
        <v>42583646</v>
      </c>
      <c r="I14034">
        <v>42583664</v>
      </c>
    </row>
    <row r="14035" spans="1:9" x14ac:dyDescent="0.2">
      <c r="A14035" t="str">
        <f>"Nr2e3"</f>
        <v>Nr2e3</v>
      </c>
      <c r="B14035" t="s">
        <v>14</v>
      </c>
      <c r="C14035" t="s">
        <v>24</v>
      </c>
      <c r="D14035" t="s">
        <v>11</v>
      </c>
      <c r="E14035" t="s">
        <v>12</v>
      </c>
      <c r="F14035">
        <v>59950068</v>
      </c>
      <c r="G14035">
        <v>59950122</v>
      </c>
      <c r="H14035">
        <v>59950068</v>
      </c>
      <c r="I14035">
        <v>59950122</v>
      </c>
    </row>
    <row r="14036" spans="1:9" x14ac:dyDescent="0.2">
      <c r="A14036" t="str">
        <f>"Nr2f1"</f>
        <v>Nr2f1</v>
      </c>
      <c r="B14036" t="s">
        <v>14</v>
      </c>
      <c r="C14036" t="s">
        <v>39</v>
      </c>
      <c r="D14036" t="s">
        <v>11</v>
      </c>
      <c r="E14036" t="s">
        <v>12</v>
      </c>
      <c r="F14036">
        <v>78200215</v>
      </c>
      <c r="G14036">
        <v>78200254</v>
      </c>
      <c r="H14036">
        <v>78200215</v>
      </c>
      <c r="I14036">
        <v>78200254</v>
      </c>
    </row>
    <row r="14037" spans="1:9" x14ac:dyDescent="0.2">
      <c r="A14037" t="str">
        <f>"Nr2f2"</f>
        <v>Nr2f2</v>
      </c>
      <c r="B14037" t="s">
        <v>14</v>
      </c>
      <c r="C14037" t="s">
        <v>33</v>
      </c>
      <c r="D14037" t="s">
        <v>11</v>
      </c>
      <c r="E14037" t="s">
        <v>12</v>
      </c>
      <c r="F14037">
        <v>70360731</v>
      </c>
      <c r="G14037">
        <v>70360746</v>
      </c>
      <c r="H14037">
        <v>70360731</v>
      </c>
      <c r="I14037">
        <v>70360746</v>
      </c>
    </row>
    <row r="14038" spans="1:9" x14ac:dyDescent="0.2">
      <c r="A14038" t="str">
        <f>"Nr2f6"</f>
        <v>Nr2f6</v>
      </c>
      <c r="B14038" t="s">
        <v>14</v>
      </c>
      <c r="C14038" t="s">
        <v>30</v>
      </c>
      <c r="D14038" t="s">
        <v>11</v>
      </c>
      <c r="E14038" t="s">
        <v>12</v>
      </c>
      <c r="F14038">
        <v>71381907</v>
      </c>
      <c r="G14038">
        <v>71381977</v>
      </c>
      <c r="H14038">
        <v>71381907</v>
      </c>
      <c r="I14038">
        <v>71381977</v>
      </c>
    </row>
    <row r="14039" spans="1:9" x14ac:dyDescent="0.2">
      <c r="A14039" t="str">
        <f>"Nr3c1"</f>
        <v>Nr3c1</v>
      </c>
      <c r="B14039" t="s">
        <v>14</v>
      </c>
      <c r="C14039" t="s">
        <v>43</v>
      </c>
      <c r="D14039" t="s">
        <v>11</v>
      </c>
      <c r="E14039" t="s">
        <v>12</v>
      </c>
      <c r="F14039">
        <v>39490649</v>
      </c>
      <c r="G14039">
        <v>39490717</v>
      </c>
      <c r="H14039">
        <v>39489776</v>
      </c>
      <c r="I14039">
        <v>39489868</v>
      </c>
    </row>
    <row r="14040" spans="1:9" x14ac:dyDescent="0.2">
      <c r="A14040" t="str">
        <f>"Nr3c2"</f>
        <v>Nr3c2</v>
      </c>
      <c r="B14040" t="s">
        <v>9</v>
      </c>
      <c r="C14040" t="s">
        <v>30</v>
      </c>
      <c r="D14040" t="s">
        <v>17</v>
      </c>
      <c r="E14040" t="s">
        <v>12</v>
      </c>
      <c r="F14040">
        <v>76902277</v>
      </c>
      <c r="G14040">
        <v>76902376</v>
      </c>
      <c r="H14040">
        <v>76902277</v>
      </c>
      <c r="I14040">
        <v>76902376</v>
      </c>
    </row>
    <row r="14041" spans="1:9" x14ac:dyDescent="0.2">
      <c r="A14041" t="str">
        <f>"Nr3c2"</f>
        <v>Nr3c2</v>
      </c>
      <c r="B14041" t="s">
        <v>13</v>
      </c>
      <c r="C14041" t="s">
        <v>30</v>
      </c>
      <c r="D14041" t="s">
        <v>17</v>
      </c>
      <c r="E14041" t="s">
        <v>12</v>
      </c>
      <c r="F14041">
        <v>76899773</v>
      </c>
      <c r="G14041">
        <v>76899828</v>
      </c>
      <c r="H14041">
        <v>76899773</v>
      </c>
      <c r="I14041">
        <v>76899828</v>
      </c>
    </row>
    <row r="14042" spans="1:9" x14ac:dyDescent="0.2">
      <c r="A14042" t="str">
        <f>"Nr4a1"</f>
        <v>Nr4a1</v>
      </c>
      <c r="B14042" t="s">
        <v>14</v>
      </c>
      <c r="C14042" t="s">
        <v>25</v>
      </c>
      <c r="D14042" t="s">
        <v>17</v>
      </c>
      <c r="E14042" t="s">
        <v>12</v>
      </c>
      <c r="F14042">
        <v>101266839</v>
      </c>
      <c r="G14042">
        <v>101266859</v>
      </c>
      <c r="H14042">
        <v>101266839</v>
      </c>
      <c r="I14042">
        <v>101266859</v>
      </c>
    </row>
    <row r="14043" spans="1:9" x14ac:dyDescent="0.2">
      <c r="A14043" t="str">
        <f>"Nr4a2"</f>
        <v>Nr4a2</v>
      </c>
      <c r="B14043" t="s">
        <v>9</v>
      </c>
      <c r="C14043" t="s">
        <v>26</v>
      </c>
      <c r="D14043" t="s">
        <v>11</v>
      </c>
      <c r="E14043" t="s">
        <v>12</v>
      </c>
      <c r="F14043">
        <v>57114923</v>
      </c>
      <c r="G14043">
        <v>57114955</v>
      </c>
      <c r="H14043">
        <v>57114923</v>
      </c>
      <c r="I14043">
        <v>57114955</v>
      </c>
    </row>
    <row r="14044" spans="1:9" x14ac:dyDescent="0.2">
      <c r="A14044" t="str">
        <f>"Nr4a2"</f>
        <v>Nr4a2</v>
      </c>
      <c r="B14044" t="s">
        <v>13</v>
      </c>
      <c r="C14044" t="s">
        <v>26</v>
      </c>
      <c r="D14044" t="s">
        <v>11</v>
      </c>
      <c r="E14044" t="s">
        <v>12</v>
      </c>
      <c r="F14044">
        <v>57124132</v>
      </c>
      <c r="G14044">
        <v>57124147</v>
      </c>
      <c r="H14044">
        <v>57124132</v>
      </c>
      <c r="I14044">
        <v>57124147</v>
      </c>
    </row>
    <row r="14045" spans="1:9" x14ac:dyDescent="0.2">
      <c r="A14045" t="str">
        <f>"Nr4a3"</f>
        <v>Nr4a3</v>
      </c>
      <c r="B14045" t="s">
        <v>14</v>
      </c>
      <c r="C14045" t="s">
        <v>23</v>
      </c>
      <c r="D14045" t="s">
        <v>17</v>
      </c>
      <c r="E14045" t="s">
        <v>12</v>
      </c>
      <c r="F14045">
        <v>48045175</v>
      </c>
      <c r="G14045">
        <v>48045190</v>
      </c>
      <c r="H14045">
        <v>48045257</v>
      </c>
      <c r="I14045">
        <v>48045307</v>
      </c>
    </row>
    <row r="14046" spans="1:9" x14ac:dyDescent="0.2">
      <c r="A14046" t="str">
        <f>"Nr5a1"</f>
        <v>Nr5a1</v>
      </c>
      <c r="B14046" t="s">
        <v>14</v>
      </c>
      <c r="C14046" t="s">
        <v>26</v>
      </c>
      <c r="D14046" t="s">
        <v>11</v>
      </c>
      <c r="E14046" t="s">
        <v>12</v>
      </c>
      <c r="F14046">
        <v>38714491</v>
      </c>
      <c r="G14046">
        <v>38714514</v>
      </c>
      <c r="H14046">
        <v>38714491</v>
      </c>
      <c r="I14046">
        <v>38714514</v>
      </c>
    </row>
    <row r="14047" spans="1:9" x14ac:dyDescent="0.2">
      <c r="A14047" t="str">
        <f>"Nr5a2"</f>
        <v>Nr5a2</v>
      </c>
      <c r="B14047" t="s">
        <v>14</v>
      </c>
      <c r="C14047" t="s">
        <v>19</v>
      </c>
      <c r="D14047" t="s">
        <v>11</v>
      </c>
      <c r="E14047" t="s">
        <v>12</v>
      </c>
      <c r="F14047">
        <v>136960499</v>
      </c>
      <c r="G14047">
        <v>136960528</v>
      </c>
      <c r="H14047">
        <v>136960471</v>
      </c>
      <c r="I14047">
        <v>136960494</v>
      </c>
    </row>
    <row r="14048" spans="1:9" x14ac:dyDescent="0.2">
      <c r="A14048" t="str">
        <f>"Nr6a1"</f>
        <v>Nr6a1</v>
      </c>
      <c r="B14048" t="s">
        <v>14</v>
      </c>
      <c r="C14048" t="s">
        <v>26</v>
      </c>
      <c r="D14048" t="s">
        <v>11</v>
      </c>
      <c r="E14048" t="s">
        <v>12</v>
      </c>
      <c r="F14048">
        <v>38926396</v>
      </c>
      <c r="G14048">
        <v>38926454</v>
      </c>
      <c r="H14048">
        <v>38926361</v>
      </c>
      <c r="I14048">
        <v>38926384</v>
      </c>
    </row>
    <row r="14049" spans="1:9" x14ac:dyDescent="0.2">
      <c r="A14049" t="str">
        <f>"Nradd"</f>
        <v>Nradd</v>
      </c>
      <c r="B14049" t="s">
        <v>14</v>
      </c>
      <c r="C14049" t="s">
        <v>24</v>
      </c>
      <c r="D14049" t="s">
        <v>11</v>
      </c>
      <c r="E14049" t="s">
        <v>12</v>
      </c>
      <c r="F14049">
        <v>110624361</v>
      </c>
      <c r="G14049">
        <v>110624439</v>
      </c>
      <c r="H14049">
        <v>110624350</v>
      </c>
      <c r="I14049">
        <v>110624358</v>
      </c>
    </row>
    <row r="14050" spans="1:9" x14ac:dyDescent="0.2">
      <c r="A14050" t="str">
        <f>"Nrap"</f>
        <v>Nrap</v>
      </c>
      <c r="B14050" t="s">
        <v>14</v>
      </c>
      <c r="C14050" t="s">
        <v>10</v>
      </c>
      <c r="D14050" t="s">
        <v>11</v>
      </c>
      <c r="E14050" t="s">
        <v>12</v>
      </c>
      <c r="F14050">
        <v>56390027</v>
      </c>
      <c r="G14050">
        <v>56390043</v>
      </c>
      <c r="H14050">
        <v>56390027</v>
      </c>
      <c r="I14050">
        <v>56390043</v>
      </c>
    </row>
    <row r="14051" spans="1:9" x14ac:dyDescent="0.2">
      <c r="A14051" t="str">
        <f>"Nrarp"</f>
        <v>Nrarp</v>
      </c>
      <c r="B14051" t="s">
        <v>14</v>
      </c>
      <c r="C14051" t="s">
        <v>26</v>
      </c>
      <c r="D14051" t="s">
        <v>17</v>
      </c>
      <c r="E14051" t="s">
        <v>12</v>
      </c>
      <c r="F14051">
        <v>25180737</v>
      </c>
      <c r="G14051">
        <v>25180764</v>
      </c>
      <c r="H14051">
        <v>25180737</v>
      </c>
      <c r="I14051">
        <v>25180764</v>
      </c>
    </row>
    <row r="14052" spans="1:9" x14ac:dyDescent="0.2">
      <c r="A14052" t="str">
        <f>"Nras"</f>
        <v>Nras</v>
      </c>
      <c r="B14052" t="s">
        <v>14</v>
      </c>
      <c r="C14052" t="s">
        <v>22</v>
      </c>
      <c r="D14052" t="s">
        <v>17</v>
      </c>
      <c r="E14052" t="s">
        <v>12</v>
      </c>
      <c r="F14052">
        <v>103058302</v>
      </c>
      <c r="G14052">
        <v>103058352</v>
      </c>
      <c r="H14052">
        <v>103058353</v>
      </c>
      <c r="I14052">
        <v>103058365</v>
      </c>
    </row>
    <row r="14053" spans="1:9" x14ac:dyDescent="0.2">
      <c r="A14053" t="str">
        <f>"Nrbf2"</f>
        <v>Nrbf2</v>
      </c>
      <c r="B14053" t="s">
        <v>14</v>
      </c>
      <c r="C14053" t="s">
        <v>15</v>
      </c>
      <c r="D14053" t="s">
        <v>11</v>
      </c>
      <c r="E14053" t="s">
        <v>12</v>
      </c>
      <c r="F14053">
        <v>67285248</v>
      </c>
      <c r="G14053">
        <v>67285316</v>
      </c>
      <c r="H14053">
        <v>67285248</v>
      </c>
      <c r="I14053">
        <v>67285316</v>
      </c>
    </row>
    <row r="14054" spans="1:9" x14ac:dyDescent="0.2">
      <c r="A14054" t="str">
        <f>"Nrbp1"</f>
        <v>Nrbp1</v>
      </c>
      <c r="B14054" t="s">
        <v>14</v>
      </c>
      <c r="C14054" t="s">
        <v>46</v>
      </c>
      <c r="D14054" t="s">
        <v>17</v>
      </c>
      <c r="E14054" t="s">
        <v>12</v>
      </c>
      <c r="F14054">
        <v>31240886</v>
      </c>
      <c r="G14054">
        <v>31240941</v>
      </c>
      <c r="H14054">
        <v>31240948</v>
      </c>
      <c r="I14054">
        <v>31240959</v>
      </c>
    </row>
    <row r="14055" spans="1:9" x14ac:dyDescent="0.2">
      <c r="A14055" t="str">
        <f>"Nrbp2"</f>
        <v>Nrbp2</v>
      </c>
      <c r="B14055" t="s">
        <v>14</v>
      </c>
      <c r="C14055" t="s">
        <v>25</v>
      </c>
      <c r="D14055" t="s">
        <v>11</v>
      </c>
      <c r="E14055" t="s">
        <v>12</v>
      </c>
      <c r="F14055">
        <v>76091594</v>
      </c>
      <c r="G14055">
        <v>76091653</v>
      </c>
      <c r="H14055">
        <v>76091684</v>
      </c>
      <c r="I14055">
        <v>76091741</v>
      </c>
    </row>
    <row r="14056" spans="1:9" x14ac:dyDescent="0.2">
      <c r="A14056" t="str">
        <f>"Nrcam"</f>
        <v>Nrcam</v>
      </c>
      <c r="B14056" t="s">
        <v>14</v>
      </c>
      <c r="C14056" t="s">
        <v>16</v>
      </c>
      <c r="D14056" t="s">
        <v>17</v>
      </c>
      <c r="E14056" t="s">
        <v>12</v>
      </c>
      <c r="F14056">
        <v>44328882</v>
      </c>
      <c r="G14056">
        <v>44328954</v>
      </c>
      <c r="H14056">
        <v>44328964</v>
      </c>
      <c r="I14056">
        <v>44329009</v>
      </c>
    </row>
    <row r="14057" spans="1:9" x14ac:dyDescent="0.2">
      <c r="A14057" t="str">
        <f>"Nrd1"</f>
        <v>Nrd1</v>
      </c>
      <c r="B14057" t="s">
        <v>14</v>
      </c>
      <c r="C14057" t="s">
        <v>23</v>
      </c>
      <c r="D14057" t="s">
        <v>17</v>
      </c>
      <c r="E14057" t="s">
        <v>12</v>
      </c>
      <c r="F14057">
        <v>109000606</v>
      </c>
      <c r="G14057">
        <v>109000706</v>
      </c>
      <c r="H14057">
        <v>109000809</v>
      </c>
      <c r="I14057">
        <v>109000864</v>
      </c>
    </row>
    <row r="14058" spans="1:9" x14ac:dyDescent="0.2">
      <c r="A14058" t="str">
        <f>"Nrde2"</f>
        <v>Nrde2</v>
      </c>
      <c r="B14058" t="s">
        <v>14</v>
      </c>
      <c r="C14058" t="s">
        <v>16</v>
      </c>
      <c r="D14058" t="s">
        <v>11</v>
      </c>
      <c r="E14058" t="s">
        <v>67</v>
      </c>
      <c r="F14058">
        <v>100159601</v>
      </c>
      <c r="G14058">
        <v>100159672</v>
      </c>
      <c r="H14058">
        <v>100159601</v>
      </c>
      <c r="I14058">
        <v>100159672</v>
      </c>
    </row>
    <row r="14059" spans="1:9" x14ac:dyDescent="0.2">
      <c r="A14059" t="str">
        <f>"Nrep"</f>
        <v>Nrep</v>
      </c>
      <c r="B14059" t="s">
        <v>14</v>
      </c>
      <c r="C14059" t="s">
        <v>43</v>
      </c>
      <c r="D14059" t="s">
        <v>11</v>
      </c>
      <c r="E14059" t="s">
        <v>67</v>
      </c>
      <c r="F14059">
        <v>33463415</v>
      </c>
      <c r="G14059">
        <v>33463443</v>
      </c>
      <c r="H14059">
        <v>33463615</v>
      </c>
      <c r="I14059">
        <v>33463630</v>
      </c>
    </row>
    <row r="14060" spans="1:9" x14ac:dyDescent="0.2">
      <c r="A14060" t="str">
        <f>"Nrf1"</f>
        <v>Nrf1</v>
      </c>
      <c r="B14060" t="s">
        <v>14</v>
      </c>
      <c r="C14060" t="s">
        <v>32</v>
      </c>
      <c r="D14060" t="s">
        <v>17</v>
      </c>
      <c r="E14060" t="s">
        <v>12</v>
      </c>
      <c r="F14060">
        <v>30047979</v>
      </c>
      <c r="G14060">
        <v>30048049</v>
      </c>
      <c r="H14060">
        <v>30048062</v>
      </c>
      <c r="I14060">
        <v>30048078</v>
      </c>
    </row>
    <row r="14061" spans="1:9" x14ac:dyDescent="0.2">
      <c r="A14061" t="str">
        <f>"Nrg1"</f>
        <v>Nrg1</v>
      </c>
      <c r="B14061" t="s">
        <v>4386</v>
      </c>
      <c r="C14061" t="s">
        <v>30</v>
      </c>
      <c r="D14061" t="s">
        <v>11</v>
      </c>
      <c r="E14061" t="s">
        <v>20</v>
      </c>
      <c r="F14061">
        <v>31918202</v>
      </c>
      <c r="G14061">
        <v>31918202</v>
      </c>
      <c r="H14061">
        <v>31918202</v>
      </c>
      <c r="I14061">
        <v>31918202</v>
      </c>
    </row>
    <row r="14062" spans="1:9" x14ac:dyDescent="0.2">
      <c r="A14062" t="str">
        <f>"Nrg2"</f>
        <v>Nrg2</v>
      </c>
      <c r="B14062" t="s">
        <v>14</v>
      </c>
      <c r="C14062" t="s">
        <v>43</v>
      </c>
      <c r="D14062" t="s">
        <v>11</v>
      </c>
      <c r="E14062" t="s">
        <v>12</v>
      </c>
      <c r="F14062">
        <v>36197343</v>
      </c>
      <c r="G14062">
        <v>36197403</v>
      </c>
      <c r="H14062">
        <v>36197315</v>
      </c>
      <c r="I14062">
        <v>36197329</v>
      </c>
    </row>
    <row r="14063" spans="1:9" x14ac:dyDescent="0.2">
      <c r="A14063" t="str">
        <f>"Nrg3"</f>
        <v>Nrg3</v>
      </c>
      <c r="B14063" t="s">
        <v>14</v>
      </c>
      <c r="C14063" t="s">
        <v>41</v>
      </c>
      <c r="D14063" t="s">
        <v>11</v>
      </c>
      <c r="E14063" t="s">
        <v>12</v>
      </c>
      <c r="F14063">
        <v>39472902</v>
      </c>
      <c r="G14063">
        <v>39472956</v>
      </c>
      <c r="H14063">
        <v>39472902</v>
      </c>
      <c r="I14063">
        <v>39472956</v>
      </c>
    </row>
    <row r="14064" spans="1:9" x14ac:dyDescent="0.2">
      <c r="A14064" t="str">
        <f>"Nrg4"</f>
        <v>Nrg4</v>
      </c>
      <c r="B14064" t="s">
        <v>14</v>
      </c>
      <c r="C14064" t="s">
        <v>24</v>
      </c>
      <c r="D14064" t="s">
        <v>11</v>
      </c>
      <c r="E14064" t="s">
        <v>12</v>
      </c>
      <c r="F14064">
        <v>55283582</v>
      </c>
      <c r="G14064">
        <v>55283630</v>
      </c>
      <c r="H14064">
        <v>55283566</v>
      </c>
      <c r="I14064">
        <v>55283580</v>
      </c>
    </row>
    <row r="14065" spans="1:9" x14ac:dyDescent="0.2">
      <c r="A14065" t="str">
        <f>"Nrgn"</f>
        <v>Nrgn</v>
      </c>
      <c r="B14065" t="s">
        <v>14</v>
      </c>
      <c r="C14065" t="s">
        <v>24</v>
      </c>
      <c r="D14065" t="s">
        <v>11</v>
      </c>
      <c r="E14065" t="s">
        <v>12</v>
      </c>
      <c r="F14065">
        <v>37552664</v>
      </c>
      <c r="G14065">
        <v>37552711</v>
      </c>
      <c r="H14065">
        <v>37552725</v>
      </c>
      <c r="I14065">
        <v>37552741</v>
      </c>
    </row>
    <row r="14066" spans="1:9" x14ac:dyDescent="0.2">
      <c r="A14066" t="str">
        <f>"Nrip1"</f>
        <v>Nrip1</v>
      </c>
      <c r="B14066" t="s">
        <v>14</v>
      </c>
      <c r="C14066" t="s">
        <v>31</v>
      </c>
      <c r="D14066" t="s">
        <v>11</v>
      </c>
      <c r="E14066" t="s">
        <v>12</v>
      </c>
      <c r="F14066">
        <v>76373014</v>
      </c>
      <c r="G14066">
        <v>76373103</v>
      </c>
      <c r="H14066">
        <v>76373872</v>
      </c>
      <c r="I14066">
        <v>76373886</v>
      </c>
    </row>
    <row r="14067" spans="1:9" x14ac:dyDescent="0.2">
      <c r="A14067" t="str">
        <f>"Nrip2"</f>
        <v>Nrip2</v>
      </c>
      <c r="B14067" t="s">
        <v>14</v>
      </c>
      <c r="C14067" t="s">
        <v>32</v>
      </c>
      <c r="D14067" t="s">
        <v>17</v>
      </c>
      <c r="E14067" t="s">
        <v>12</v>
      </c>
      <c r="F14067">
        <v>128399881</v>
      </c>
      <c r="G14067">
        <v>128399919</v>
      </c>
      <c r="H14067">
        <v>128399788</v>
      </c>
      <c r="I14067">
        <v>128399825</v>
      </c>
    </row>
    <row r="14068" spans="1:9" x14ac:dyDescent="0.2">
      <c r="A14068" t="str">
        <f>"Nrip3"</f>
        <v>Nrip3</v>
      </c>
      <c r="B14068" t="s">
        <v>14</v>
      </c>
      <c r="C14068" t="s">
        <v>33</v>
      </c>
      <c r="D14068" t="s">
        <v>11</v>
      </c>
      <c r="E14068" t="s">
        <v>12</v>
      </c>
      <c r="F14068">
        <v>109781538</v>
      </c>
      <c r="G14068">
        <v>109781554</v>
      </c>
      <c r="H14068">
        <v>109782029</v>
      </c>
      <c r="I14068">
        <v>109782074</v>
      </c>
    </row>
    <row r="14069" spans="1:9" x14ac:dyDescent="0.2">
      <c r="A14069" t="str">
        <f>"Nrk"</f>
        <v>Nrk</v>
      </c>
      <c r="B14069" t="s">
        <v>14</v>
      </c>
      <c r="C14069" t="s">
        <v>37</v>
      </c>
      <c r="D14069" t="s">
        <v>17</v>
      </c>
      <c r="E14069" t="s">
        <v>12</v>
      </c>
      <c r="F14069">
        <v>138914422</v>
      </c>
      <c r="G14069">
        <v>138914438</v>
      </c>
      <c r="H14069">
        <v>138914445</v>
      </c>
      <c r="I14069">
        <v>138914460</v>
      </c>
    </row>
    <row r="14070" spans="1:9" x14ac:dyDescent="0.2">
      <c r="A14070" t="str">
        <f>"Nrl"</f>
        <v>Nrl</v>
      </c>
      <c r="B14070" t="s">
        <v>14</v>
      </c>
      <c r="C14070" t="s">
        <v>41</v>
      </c>
      <c r="D14070" t="s">
        <v>11</v>
      </c>
      <c r="E14070" t="s">
        <v>12</v>
      </c>
      <c r="F14070">
        <v>55524209</v>
      </c>
      <c r="G14070">
        <v>55524223</v>
      </c>
      <c r="H14070">
        <v>55524938</v>
      </c>
      <c r="I14070">
        <v>55524967</v>
      </c>
    </row>
    <row r="14071" spans="1:9" x14ac:dyDescent="0.2">
      <c r="A14071" t="str">
        <f>"Nrm"</f>
        <v>Nrm</v>
      </c>
      <c r="B14071" t="s">
        <v>14</v>
      </c>
      <c r="C14071" t="s">
        <v>28</v>
      </c>
      <c r="D14071" t="s">
        <v>17</v>
      </c>
      <c r="E14071" t="s">
        <v>12</v>
      </c>
      <c r="F14071">
        <v>35861343</v>
      </c>
      <c r="G14071">
        <v>35861380</v>
      </c>
      <c r="H14071">
        <v>35861325</v>
      </c>
      <c r="I14071">
        <v>35861339</v>
      </c>
    </row>
    <row r="14072" spans="1:9" x14ac:dyDescent="0.2">
      <c r="A14072" t="str">
        <f>"Nrn1"</f>
        <v>Nrn1</v>
      </c>
      <c r="B14072" t="s">
        <v>14</v>
      </c>
      <c r="C14072" t="s">
        <v>39</v>
      </c>
      <c r="D14072" t="s">
        <v>11</v>
      </c>
      <c r="E14072" t="s">
        <v>12</v>
      </c>
      <c r="F14072">
        <v>36734450</v>
      </c>
      <c r="G14072">
        <v>36734492</v>
      </c>
      <c r="H14072">
        <v>36734426</v>
      </c>
      <c r="I14072">
        <v>36734447</v>
      </c>
    </row>
    <row r="14073" spans="1:9" x14ac:dyDescent="0.2">
      <c r="A14073" t="str">
        <f>"Nrn1l"</f>
        <v>Nrn1l</v>
      </c>
      <c r="B14073" t="s">
        <v>14</v>
      </c>
      <c r="C14073" t="s">
        <v>30</v>
      </c>
      <c r="D14073" t="s">
        <v>17</v>
      </c>
      <c r="E14073" t="s">
        <v>12</v>
      </c>
      <c r="F14073">
        <v>105893542</v>
      </c>
      <c r="G14073">
        <v>105893575</v>
      </c>
      <c r="H14073">
        <v>105893542</v>
      </c>
      <c r="I14073">
        <v>105893575</v>
      </c>
    </row>
    <row r="14074" spans="1:9" x14ac:dyDescent="0.2">
      <c r="A14074" t="str">
        <f>"Nrp1"</f>
        <v>Nrp1</v>
      </c>
      <c r="B14074" t="s">
        <v>14</v>
      </c>
      <c r="C14074" t="s">
        <v>30</v>
      </c>
      <c r="D14074" t="s">
        <v>17</v>
      </c>
      <c r="E14074" t="s">
        <v>12</v>
      </c>
      <c r="F14074">
        <v>128359065</v>
      </c>
      <c r="G14074">
        <v>128359085</v>
      </c>
      <c r="H14074">
        <v>128359385</v>
      </c>
      <c r="I14074">
        <v>128359406</v>
      </c>
    </row>
    <row r="14075" spans="1:9" x14ac:dyDescent="0.2">
      <c r="A14075" t="str">
        <f>"Nrp2"</f>
        <v>Nrp2</v>
      </c>
      <c r="B14075" t="s">
        <v>14</v>
      </c>
      <c r="C14075" t="s">
        <v>19</v>
      </c>
      <c r="D14075" t="s">
        <v>17</v>
      </c>
      <c r="E14075" t="s">
        <v>12</v>
      </c>
      <c r="F14075">
        <v>62703382</v>
      </c>
      <c r="G14075">
        <v>62703399</v>
      </c>
      <c r="H14075">
        <v>62703332</v>
      </c>
      <c r="I14075">
        <v>62703351</v>
      </c>
    </row>
    <row r="14076" spans="1:9" x14ac:dyDescent="0.2">
      <c r="A14076" t="str">
        <f>"Nrros"</f>
        <v>Nrros</v>
      </c>
      <c r="B14076" t="s">
        <v>14</v>
      </c>
      <c r="C14076" t="s">
        <v>31</v>
      </c>
      <c r="D14076" t="s">
        <v>11</v>
      </c>
      <c r="E14076" t="s">
        <v>67</v>
      </c>
      <c r="F14076">
        <v>32165454</v>
      </c>
      <c r="G14076">
        <v>32165494</v>
      </c>
      <c r="H14076">
        <v>32165454</v>
      </c>
      <c r="I14076">
        <v>32165494</v>
      </c>
    </row>
    <row r="14077" spans="1:9" x14ac:dyDescent="0.2">
      <c r="A14077" t="str">
        <f>"Nrsn1"</f>
        <v>Nrsn1</v>
      </c>
      <c r="B14077" t="s">
        <v>14</v>
      </c>
      <c r="C14077" t="s">
        <v>39</v>
      </c>
      <c r="D14077" t="s">
        <v>11</v>
      </c>
      <c r="E14077" t="s">
        <v>12</v>
      </c>
      <c r="F14077">
        <v>25269920</v>
      </c>
      <c r="G14077">
        <v>25270025</v>
      </c>
      <c r="H14077">
        <v>25270036</v>
      </c>
      <c r="I14077">
        <v>25270050</v>
      </c>
    </row>
    <row r="14078" spans="1:9" x14ac:dyDescent="0.2">
      <c r="A14078" t="str">
        <f>"Nrsn2"</f>
        <v>Nrsn2</v>
      </c>
      <c r="B14078" t="s">
        <v>14</v>
      </c>
      <c r="C14078" t="s">
        <v>26</v>
      </c>
      <c r="D14078" t="s">
        <v>11</v>
      </c>
      <c r="E14078" t="s">
        <v>12</v>
      </c>
      <c r="F14078">
        <v>152376569</v>
      </c>
      <c r="G14078">
        <v>152376637</v>
      </c>
      <c r="H14078">
        <v>152376569</v>
      </c>
      <c r="I14078">
        <v>152376637</v>
      </c>
    </row>
    <row r="14079" spans="1:9" x14ac:dyDescent="0.2">
      <c r="A14079" t="str">
        <f>"Nrtn"</f>
        <v>Nrtn</v>
      </c>
      <c r="B14079" t="s">
        <v>14</v>
      </c>
      <c r="C14079" t="s">
        <v>28</v>
      </c>
      <c r="D14079" t="s">
        <v>11</v>
      </c>
      <c r="E14079" t="s">
        <v>12</v>
      </c>
      <c r="F14079">
        <v>56757516</v>
      </c>
      <c r="G14079">
        <v>56757532</v>
      </c>
      <c r="H14079">
        <v>56757543</v>
      </c>
      <c r="I14079">
        <v>56757569</v>
      </c>
    </row>
    <row r="14080" spans="1:9" x14ac:dyDescent="0.2">
      <c r="A14080" t="str">
        <f>"Nrxn1"</f>
        <v>Nrxn1</v>
      </c>
      <c r="B14080" t="s">
        <v>14</v>
      </c>
      <c r="C14080" t="s">
        <v>28</v>
      </c>
      <c r="D14080" t="s">
        <v>11</v>
      </c>
      <c r="E14080" t="s">
        <v>12</v>
      </c>
      <c r="F14080">
        <v>91092715</v>
      </c>
      <c r="G14080">
        <v>91092822</v>
      </c>
      <c r="H14080">
        <v>91092715</v>
      </c>
      <c r="I14080">
        <v>91092822</v>
      </c>
    </row>
    <row r="14081" spans="1:9" x14ac:dyDescent="0.2">
      <c r="A14081" t="str">
        <f>"Nrxn2"</f>
        <v>Nrxn2</v>
      </c>
      <c r="B14081" t="s">
        <v>4387</v>
      </c>
      <c r="C14081" t="s">
        <v>10</v>
      </c>
      <c r="D14081" t="s">
        <v>17</v>
      </c>
      <c r="E14081" t="s">
        <v>35</v>
      </c>
      <c r="F14081">
        <v>6427805</v>
      </c>
      <c r="G14081">
        <v>6427816</v>
      </c>
      <c r="H14081">
        <v>6427884</v>
      </c>
      <c r="I14081">
        <v>6427908</v>
      </c>
    </row>
    <row r="14082" spans="1:9" x14ac:dyDescent="0.2">
      <c r="A14082" t="str">
        <f>"Nrxn3"</f>
        <v>Nrxn3</v>
      </c>
      <c r="B14082" t="s">
        <v>4388</v>
      </c>
      <c r="C14082" t="s">
        <v>16</v>
      </c>
      <c r="D14082" t="s">
        <v>17</v>
      </c>
      <c r="E14082" t="s">
        <v>35</v>
      </c>
      <c r="F14082">
        <v>88794626</v>
      </c>
      <c r="G14082">
        <v>88794631</v>
      </c>
      <c r="H14082">
        <v>88794626</v>
      </c>
      <c r="I14082">
        <v>88794631</v>
      </c>
    </row>
    <row r="14083" spans="1:9" x14ac:dyDescent="0.2">
      <c r="A14083" t="str">
        <f>"Nsa2"</f>
        <v>Nsa2</v>
      </c>
      <c r="B14083" t="s">
        <v>14</v>
      </c>
      <c r="C14083" t="s">
        <v>39</v>
      </c>
      <c r="D14083" t="s">
        <v>11</v>
      </c>
      <c r="E14083" t="s">
        <v>12</v>
      </c>
      <c r="F14083">
        <v>97137877</v>
      </c>
      <c r="G14083">
        <v>97137916</v>
      </c>
      <c r="H14083">
        <v>97137923</v>
      </c>
      <c r="I14083">
        <v>97137932</v>
      </c>
    </row>
    <row r="14084" spans="1:9" x14ac:dyDescent="0.2">
      <c r="A14084" t="str">
        <f>"Nsd1"</f>
        <v>Nsd1</v>
      </c>
      <c r="B14084" t="s">
        <v>14</v>
      </c>
      <c r="C14084" t="s">
        <v>39</v>
      </c>
      <c r="D14084" t="s">
        <v>17</v>
      </c>
      <c r="E14084" t="s">
        <v>12</v>
      </c>
      <c r="F14084">
        <v>55211785</v>
      </c>
      <c r="G14084">
        <v>55211861</v>
      </c>
      <c r="H14084">
        <v>55212053</v>
      </c>
      <c r="I14084">
        <v>55212086</v>
      </c>
    </row>
    <row r="14085" spans="1:9" x14ac:dyDescent="0.2">
      <c r="A14085" t="str">
        <f>"Nsdhl"</f>
        <v>Nsdhl</v>
      </c>
      <c r="B14085" t="s">
        <v>14</v>
      </c>
      <c r="C14085" t="s">
        <v>37</v>
      </c>
      <c r="D14085" t="s">
        <v>17</v>
      </c>
      <c r="E14085" t="s">
        <v>12</v>
      </c>
      <c r="F14085">
        <v>72918627</v>
      </c>
      <c r="G14085">
        <v>72918648</v>
      </c>
      <c r="H14085">
        <v>72918582</v>
      </c>
      <c r="I14085">
        <v>72918612</v>
      </c>
    </row>
    <row r="14086" spans="1:9" x14ac:dyDescent="0.2">
      <c r="A14086" t="str">
        <f>"Nsf"</f>
        <v>Nsf</v>
      </c>
      <c r="B14086" t="s">
        <v>14</v>
      </c>
      <c r="C14086" t="s">
        <v>27</v>
      </c>
      <c r="D14086" t="s">
        <v>11</v>
      </c>
      <c r="E14086" t="s">
        <v>12</v>
      </c>
      <c r="F14086">
        <v>103954015</v>
      </c>
      <c r="G14086">
        <v>103954034</v>
      </c>
      <c r="H14086">
        <v>103953997</v>
      </c>
      <c r="I14086">
        <v>103954014</v>
      </c>
    </row>
    <row r="14087" spans="1:9" x14ac:dyDescent="0.2">
      <c r="A14087" t="str">
        <f>"Nsfl1c"</f>
        <v>Nsfl1c</v>
      </c>
      <c r="B14087" t="s">
        <v>14</v>
      </c>
      <c r="C14087" t="s">
        <v>26</v>
      </c>
      <c r="D14087" t="s">
        <v>17</v>
      </c>
      <c r="E14087" t="s">
        <v>12</v>
      </c>
      <c r="F14087">
        <v>151494274</v>
      </c>
      <c r="G14087">
        <v>151494304</v>
      </c>
      <c r="H14087">
        <v>151494183</v>
      </c>
      <c r="I14087">
        <v>151494203</v>
      </c>
    </row>
    <row r="14088" spans="1:9" x14ac:dyDescent="0.2">
      <c r="A14088" t="str">
        <f>"Nsg1"</f>
        <v>Nsg1</v>
      </c>
      <c r="B14088" t="s">
        <v>14</v>
      </c>
      <c r="C14088" t="s">
        <v>46</v>
      </c>
      <c r="D14088" t="s">
        <v>11</v>
      </c>
      <c r="E14088" t="s">
        <v>12</v>
      </c>
      <c r="F14088">
        <v>38159457</v>
      </c>
      <c r="G14088">
        <v>38159491</v>
      </c>
      <c r="H14088">
        <v>38159407</v>
      </c>
      <c r="I14088">
        <v>38159454</v>
      </c>
    </row>
    <row r="14089" spans="1:9" x14ac:dyDescent="0.2">
      <c r="A14089" t="str">
        <f>"Nsg2"</f>
        <v>Nsg2</v>
      </c>
      <c r="B14089" t="s">
        <v>14</v>
      </c>
      <c r="C14089" t="s">
        <v>27</v>
      </c>
      <c r="D14089" t="s">
        <v>17</v>
      </c>
      <c r="E14089" t="s">
        <v>12</v>
      </c>
      <c r="F14089">
        <v>32000452</v>
      </c>
      <c r="G14089">
        <v>32000470</v>
      </c>
      <c r="H14089">
        <v>32000418</v>
      </c>
      <c r="I14089">
        <v>32000445</v>
      </c>
    </row>
    <row r="14090" spans="1:9" x14ac:dyDescent="0.2">
      <c r="A14090" t="str">
        <f>"Nsl1"</f>
        <v>Nsl1</v>
      </c>
      <c r="B14090" t="s">
        <v>14</v>
      </c>
      <c r="C14090" t="s">
        <v>19</v>
      </c>
      <c r="D14090" t="s">
        <v>17</v>
      </c>
      <c r="E14090" t="s">
        <v>12</v>
      </c>
      <c r="F14090">
        <v>191063001</v>
      </c>
      <c r="G14090">
        <v>191063038</v>
      </c>
      <c r="H14090">
        <v>191063001</v>
      </c>
      <c r="I14090">
        <v>191063038</v>
      </c>
    </row>
    <row r="14091" spans="1:9" x14ac:dyDescent="0.2">
      <c r="A14091" t="str">
        <f>"Nsmaf"</f>
        <v>Nsmaf</v>
      </c>
      <c r="B14091" t="s">
        <v>14</v>
      </c>
      <c r="C14091" t="s">
        <v>23</v>
      </c>
      <c r="D14091" t="s">
        <v>11</v>
      </c>
      <c r="E14091" t="s">
        <v>12</v>
      </c>
      <c r="F14091">
        <v>6454262</v>
      </c>
      <c r="G14091">
        <v>6454330</v>
      </c>
      <c r="H14091">
        <v>6454158</v>
      </c>
      <c r="I14091">
        <v>6454226</v>
      </c>
    </row>
    <row r="14092" spans="1:9" x14ac:dyDescent="0.2">
      <c r="A14092" t="str">
        <f>"Nsmce1"</f>
        <v>Nsmce1</v>
      </c>
      <c r="B14092" t="s">
        <v>14</v>
      </c>
      <c r="C14092" t="s">
        <v>33</v>
      </c>
      <c r="D14092" t="s">
        <v>11</v>
      </c>
      <c r="E14092" t="s">
        <v>12</v>
      </c>
      <c r="F14092">
        <v>125491414</v>
      </c>
      <c r="G14092">
        <v>125491458</v>
      </c>
      <c r="H14092">
        <v>125491475</v>
      </c>
      <c r="I14092">
        <v>125491486</v>
      </c>
    </row>
    <row r="14093" spans="1:9" x14ac:dyDescent="0.2">
      <c r="A14093" t="str">
        <f>"Nsmce2"</f>
        <v>Nsmce2</v>
      </c>
      <c r="B14093" t="s">
        <v>14</v>
      </c>
      <c r="C14093" t="s">
        <v>25</v>
      </c>
      <c r="D14093" t="s">
        <v>17</v>
      </c>
      <c r="E14093" t="s">
        <v>12</v>
      </c>
      <c r="F14093">
        <v>59374231</v>
      </c>
      <c r="G14093">
        <v>59374279</v>
      </c>
      <c r="H14093">
        <v>59374289</v>
      </c>
      <c r="I14093">
        <v>59374302</v>
      </c>
    </row>
    <row r="14094" spans="1:9" x14ac:dyDescent="0.2">
      <c r="A14094" t="str">
        <f>"Nsmce4a"</f>
        <v>Nsmce4a</v>
      </c>
      <c r="B14094" t="s">
        <v>14</v>
      </c>
      <c r="C14094" t="s">
        <v>33</v>
      </c>
      <c r="D14094" t="s">
        <v>11</v>
      </c>
      <c r="E14094" t="s">
        <v>12</v>
      </c>
      <c r="F14094">
        <v>130547273</v>
      </c>
      <c r="G14094">
        <v>130547350</v>
      </c>
      <c r="H14094">
        <v>130547358</v>
      </c>
      <c r="I14094">
        <v>130547386</v>
      </c>
    </row>
    <row r="14095" spans="1:9" x14ac:dyDescent="0.2">
      <c r="A14095" t="str">
        <f>"Nsmf"</f>
        <v>Nsmf</v>
      </c>
      <c r="B14095" t="s">
        <v>14</v>
      </c>
      <c r="C14095" t="s">
        <v>26</v>
      </c>
      <c r="D14095" t="s">
        <v>17</v>
      </c>
      <c r="E14095" t="s">
        <v>67</v>
      </c>
      <c r="F14095">
        <v>25054396</v>
      </c>
      <c r="G14095">
        <v>25054440</v>
      </c>
      <c r="H14095">
        <v>25054374</v>
      </c>
      <c r="I14095">
        <v>25054391</v>
      </c>
    </row>
    <row r="14096" spans="1:9" x14ac:dyDescent="0.2">
      <c r="A14096" t="str">
        <f>"Nsun2"</f>
        <v>Nsun2</v>
      </c>
      <c r="B14096" t="s">
        <v>14</v>
      </c>
      <c r="C14096" t="s">
        <v>39</v>
      </c>
      <c r="D14096" t="s">
        <v>17</v>
      </c>
      <c r="E14096" t="s">
        <v>12</v>
      </c>
      <c r="F14096">
        <v>69612009</v>
      </c>
      <c r="G14096">
        <v>69612067</v>
      </c>
      <c r="H14096">
        <v>69612068</v>
      </c>
      <c r="I14096">
        <v>69612083</v>
      </c>
    </row>
    <row r="14097" spans="1:9" x14ac:dyDescent="0.2">
      <c r="A14097" t="str">
        <f>"Nsun3"</f>
        <v>Nsun3</v>
      </c>
      <c r="B14097" t="s">
        <v>14</v>
      </c>
      <c r="C14097" t="s">
        <v>31</v>
      </c>
      <c r="D14097" t="s">
        <v>11</v>
      </c>
      <c r="E14097" t="s">
        <v>12</v>
      </c>
      <c r="F14097">
        <v>62786742</v>
      </c>
      <c r="G14097">
        <v>62786797</v>
      </c>
      <c r="H14097">
        <v>62786702</v>
      </c>
      <c r="I14097">
        <v>62786713</v>
      </c>
    </row>
    <row r="14098" spans="1:9" x14ac:dyDescent="0.2">
      <c r="A14098" t="str">
        <f>"Nsun4"</f>
        <v>Nsun4</v>
      </c>
      <c r="B14098" t="s">
        <v>14</v>
      </c>
      <c r="C14098" t="s">
        <v>23</v>
      </c>
      <c r="D14098" t="s">
        <v>11</v>
      </c>
      <c r="E14098" t="s">
        <v>12</v>
      </c>
      <c r="F14098">
        <v>116053776</v>
      </c>
      <c r="G14098">
        <v>116053822</v>
      </c>
      <c r="H14098">
        <v>116053825</v>
      </c>
      <c r="I14098">
        <v>116053849</v>
      </c>
    </row>
    <row r="14099" spans="1:9" x14ac:dyDescent="0.2">
      <c r="A14099" t="str">
        <f>"Nsun5"</f>
        <v>Nsun5</v>
      </c>
      <c r="B14099" t="s">
        <v>14</v>
      </c>
      <c r="C14099" t="s">
        <v>46</v>
      </c>
      <c r="D14099" t="s">
        <v>17</v>
      </c>
      <c r="E14099" t="s">
        <v>12</v>
      </c>
      <c r="F14099">
        <v>135369942</v>
      </c>
      <c r="G14099">
        <v>135369997</v>
      </c>
      <c r="H14099">
        <v>135369942</v>
      </c>
      <c r="I14099">
        <v>135369997</v>
      </c>
    </row>
    <row r="14100" spans="1:9" x14ac:dyDescent="0.2">
      <c r="A14100" t="str">
        <f>"Nsun6"</f>
        <v>Nsun6</v>
      </c>
      <c r="B14100" t="s">
        <v>9</v>
      </c>
      <c r="C14100" t="s">
        <v>26</v>
      </c>
      <c r="D14100" t="s">
        <v>11</v>
      </c>
      <c r="E14100" t="s">
        <v>12</v>
      </c>
      <c r="F14100">
        <v>15049254</v>
      </c>
      <c r="G14100">
        <v>15049339</v>
      </c>
      <c r="H14100">
        <v>15049254</v>
      </c>
      <c r="I14100">
        <v>15049339</v>
      </c>
    </row>
    <row r="14101" spans="1:9" x14ac:dyDescent="0.2">
      <c r="A14101" t="str">
        <f>"Nsun6"</f>
        <v>Nsun6</v>
      </c>
      <c r="B14101" t="s">
        <v>13</v>
      </c>
      <c r="C14101" t="s">
        <v>26</v>
      </c>
      <c r="D14101" t="s">
        <v>11</v>
      </c>
      <c r="E14101" t="s">
        <v>12</v>
      </c>
      <c r="F14101">
        <v>15055059</v>
      </c>
      <c r="G14101">
        <v>15055079</v>
      </c>
      <c r="H14101">
        <v>15055059</v>
      </c>
      <c r="I14101">
        <v>15055079</v>
      </c>
    </row>
    <row r="14102" spans="1:9" x14ac:dyDescent="0.2">
      <c r="A14102" t="str">
        <f>"Nsun7"</f>
        <v>Nsun7</v>
      </c>
      <c r="B14102" t="s">
        <v>14</v>
      </c>
      <c r="C14102" t="s">
        <v>46</v>
      </c>
      <c r="D14102" t="s">
        <v>17</v>
      </c>
      <c r="E14102" t="s">
        <v>12</v>
      </c>
      <c r="F14102">
        <v>66259890</v>
      </c>
      <c r="G14102">
        <v>66259904</v>
      </c>
      <c r="H14102">
        <v>66260121</v>
      </c>
      <c r="I14102">
        <v>66260170</v>
      </c>
    </row>
    <row r="14103" spans="1:9" x14ac:dyDescent="0.2">
      <c r="A14103" t="str">
        <f>"Nt5c"</f>
        <v>Nt5c</v>
      </c>
      <c r="B14103" t="s">
        <v>14</v>
      </c>
      <c r="C14103" t="s">
        <v>27</v>
      </c>
      <c r="D14103" t="s">
        <v>11</v>
      </c>
      <c r="E14103" t="s">
        <v>12</v>
      </c>
      <c r="F14103">
        <v>115491796</v>
      </c>
      <c r="G14103">
        <v>115491865</v>
      </c>
      <c r="H14103">
        <v>115491796</v>
      </c>
      <c r="I14103">
        <v>115491865</v>
      </c>
    </row>
    <row r="14104" spans="1:9" x14ac:dyDescent="0.2">
      <c r="A14104" t="str">
        <f>"Nt5c1a"</f>
        <v>Nt5c1a</v>
      </c>
      <c r="B14104" t="s">
        <v>14</v>
      </c>
      <c r="C14104" t="s">
        <v>23</v>
      </c>
      <c r="D14104" t="s">
        <v>17</v>
      </c>
      <c r="E14104" t="s">
        <v>12</v>
      </c>
      <c r="F14104">
        <v>123201450</v>
      </c>
      <c r="G14104">
        <v>123201493</v>
      </c>
      <c r="H14104">
        <v>123201503</v>
      </c>
      <c r="I14104">
        <v>123201529</v>
      </c>
    </row>
    <row r="14105" spans="1:9" x14ac:dyDescent="0.2">
      <c r="A14105" t="str">
        <f>"Nt5c1b"</f>
        <v>Nt5c1b</v>
      </c>
      <c r="B14105" t="s">
        <v>14</v>
      </c>
      <c r="C14105" t="s">
        <v>16</v>
      </c>
      <c r="D14105" t="s">
        <v>17</v>
      </c>
      <c r="E14105" t="s">
        <v>12</v>
      </c>
      <c r="F14105">
        <v>10369967</v>
      </c>
      <c r="G14105">
        <v>10369984</v>
      </c>
      <c r="H14105">
        <v>10369967</v>
      </c>
      <c r="I14105">
        <v>10369984</v>
      </c>
    </row>
    <row r="14106" spans="1:9" x14ac:dyDescent="0.2">
      <c r="A14106" t="str">
        <f>"Nt5c2"</f>
        <v>Nt5c2</v>
      </c>
      <c r="B14106" t="s">
        <v>14</v>
      </c>
      <c r="C14106" t="s">
        <v>10</v>
      </c>
      <c r="D14106" t="s">
        <v>11</v>
      </c>
      <c r="E14106" t="s">
        <v>12</v>
      </c>
      <c r="F14106">
        <v>46962301</v>
      </c>
      <c r="G14106">
        <v>46962317</v>
      </c>
      <c r="H14106">
        <v>46962301</v>
      </c>
      <c r="I14106">
        <v>46962317</v>
      </c>
    </row>
    <row r="14107" spans="1:9" x14ac:dyDescent="0.2">
      <c r="A14107" t="str">
        <f>"Nt5c3"</f>
        <v>Nt5c3</v>
      </c>
      <c r="B14107" t="s">
        <v>14</v>
      </c>
      <c r="C14107" t="s">
        <v>32</v>
      </c>
      <c r="D14107" t="s">
        <v>11</v>
      </c>
      <c r="E14107" t="s">
        <v>12</v>
      </c>
      <c r="F14107">
        <v>56923821</v>
      </c>
      <c r="G14107">
        <v>56923926</v>
      </c>
      <c r="H14107">
        <v>56923821</v>
      </c>
      <c r="I14107">
        <v>56923926</v>
      </c>
    </row>
    <row r="14108" spans="1:9" x14ac:dyDescent="0.2">
      <c r="A14108" t="str">
        <f>"Nt5c3b"</f>
        <v>Nt5c3b</v>
      </c>
      <c r="B14108" t="s">
        <v>14</v>
      </c>
      <c r="C14108" t="s">
        <v>27</v>
      </c>
      <c r="D14108" t="s">
        <v>11</v>
      </c>
      <c r="E14108" t="s">
        <v>67</v>
      </c>
      <c r="F14108">
        <v>100441058</v>
      </c>
      <c r="G14108">
        <v>100441110</v>
      </c>
      <c r="H14108">
        <v>100441006</v>
      </c>
      <c r="I14108">
        <v>100441038</v>
      </c>
    </row>
    <row r="14109" spans="1:9" x14ac:dyDescent="0.2">
      <c r="A14109" t="str">
        <f>"Nt5dc1"</f>
        <v>Nt5dc1</v>
      </c>
      <c r="B14109" t="s">
        <v>14</v>
      </c>
      <c r="C14109" t="s">
        <v>15</v>
      </c>
      <c r="D14109" t="s">
        <v>11</v>
      </c>
      <c r="E14109" t="s">
        <v>12</v>
      </c>
      <c r="F14109">
        <v>34418465</v>
      </c>
      <c r="G14109">
        <v>34418567</v>
      </c>
      <c r="H14109">
        <v>34418465</v>
      </c>
      <c r="I14109">
        <v>34418567</v>
      </c>
    </row>
    <row r="14110" spans="1:9" x14ac:dyDescent="0.2">
      <c r="A14110" t="str">
        <f>"Nt5dc2"</f>
        <v>Nt5dc2</v>
      </c>
      <c r="B14110" t="s">
        <v>14</v>
      </c>
      <c r="C14110" t="s">
        <v>41</v>
      </c>
      <c r="D14110" t="s">
        <v>17</v>
      </c>
      <c r="E14110" t="s">
        <v>12</v>
      </c>
      <c r="F14110">
        <v>31134732</v>
      </c>
      <c r="G14110">
        <v>31134761</v>
      </c>
      <c r="H14110">
        <v>31134732</v>
      </c>
      <c r="I14110">
        <v>31134761</v>
      </c>
    </row>
    <row r="14111" spans="1:9" x14ac:dyDescent="0.2">
      <c r="A14111" t="str">
        <f>"Nt5dc3"</f>
        <v>Nt5dc3</v>
      </c>
      <c r="B14111" t="s">
        <v>14</v>
      </c>
      <c r="C14111" t="s">
        <v>15</v>
      </c>
      <c r="D14111" t="s">
        <v>17</v>
      </c>
      <c r="E14111" t="s">
        <v>12</v>
      </c>
      <c r="F14111">
        <v>86779019</v>
      </c>
      <c r="G14111">
        <v>86779044</v>
      </c>
      <c r="H14111">
        <v>86779075</v>
      </c>
      <c r="I14111">
        <v>86779095</v>
      </c>
    </row>
    <row r="14112" spans="1:9" x14ac:dyDescent="0.2">
      <c r="A14112" t="str">
        <f>"Nt5e"</f>
        <v>Nt5e</v>
      </c>
      <c r="B14112" t="s">
        <v>14</v>
      </c>
      <c r="C14112" t="s">
        <v>24</v>
      </c>
      <c r="D14112" t="s">
        <v>17</v>
      </c>
      <c r="E14112" t="s">
        <v>12</v>
      </c>
      <c r="F14112">
        <v>88327632</v>
      </c>
      <c r="G14112">
        <v>88327663</v>
      </c>
      <c r="H14112">
        <v>88327592</v>
      </c>
      <c r="I14112">
        <v>88327622</v>
      </c>
    </row>
    <row r="14113" spans="1:9" x14ac:dyDescent="0.2">
      <c r="A14113" t="str">
        <f>"Nt5m"</f>
        <v>Nt5m</v>
      </c>
      <c r="B14113" t="s">
        <v>14</v>
      </c>
      <c r="C14113" t="s">
        <v>27</v>
      </c>
      <c r="D14113" t="s">
        <v>17</v>
      </c>
      <c r="E14113" t="s">
        <v>12</v>
      </c>
      <c r="F14113">
        <v>59848040</v>
      </c>
      <c r="G14113">
        <v>59848102</v>
      </c>
      <c r="H14113">
        <v>59848276</v>
      </c>
      <c r="I14113">
        <v>59848328</v>
      </c>
    </row>
    <row r="14114" spans="1:9" x14ac:dyDescent="0.2">
      <c r="A14114" t="str">
        <f>"Ntan1"</f>
        <v>Ntan1</v>
      </c>
      <c r="B14114" t="s">
        <v>14</v>
      </c>
      <c r="C14114" t="s">
        <v>31</v>
      </c>
      <c r="D14114" t="s">
        <v>17</v>
      </c>
      <c r="E14114" t="s">
        <v>12</v>
      </c>
      <c r="F14114">
        <v>13819306</v>
      </c>
      <c r="G14114">
        <v>13819369</v>
      </c>
      <c r="H14114">
        <v>13818855</v>
      </c>
      <c r="I14114">
        <v>13818883</v>
      </c>
    </row>
    <row r="14115" spans="1:9" x14ac:dyDescent="0.2">
      <c r="A14115" t="str">
        <f>"Ntf3"</f>
        <v>Ntf3</v>
      </c>
      <c r="B14115" t="s">
        <v>9</v>
      </c>
      <c r="C14115" t="s">
        <v>32</v>
      </c>
      <c r="D14115" t="s">
        <v>11</v>
      </c>
      <c r="E14115" t="s">
        <v>12</v>
      </c>
      <c r="F14115">
        <v>126164948</v>
      </c>
      <c r="G14115">
        <v>126164965</v>
      </c>
      <c r="H14115">
        <v>126164948</v>
      </c>
      <c r="I14115">
        <v>126164965</v>
      </c>
    </row>
    <row r="14116" spans="1:9" x14ac:dyDescent="0.2">
      <c r="A14116" t="str">
        <f>"Ntf3"</f>
        <v>Ntf3</v>
      </c>
      <c r="B14116" t="s">
        <v>13</v>
      </c>
      <c r="C14116" t="s">
        <v>32</v>
      </c>
      <c r="D14116" t="s">
        <v>11</v>
      </c>
      <c r="E14116" t="s">
        <v>12</v>
      </c>
      <c r="F14116">
        <v>126166726</v>
      </c>
      <c r="G14116">
        <v>126166761</v>
      </c>
      <c r="H14116">
        <v>126166726</v>
      </c>
      <c r="I14116">
        <v>126166761</v>
      </c>
    </row>
    <row r="14117" spans="1:9" x14ac:dyDescent="0.2">
      <c r="A14117" t="str">
        <f>"Ntf5"</f>
        <v>Ntf5</v>
      </c>
      <c r="B14117" t="s">
        <v>14</v>
      </c>
      <c r="C14117" t="s">
        <v>33</v>
      </c>
      <c r="D14117" t="s">
        <v>17</v>
      </c>
      <c r="E14117" t="s">
        <v>12</v>
      </c>
      <c r="F14117">
        <v>45413657</v>
      </c>
      <c r="G14117">
        <v>45413705</v>
      </c>
      <c r="H14117">
        <v>45413706</v>
      </c>
      <c r="I14117">
        <v>45413719</v>
      </c>
    </row>
    <row r="14118" spans="1:9" x14ac:dyDescent="0.2">
      <c r="A14118" t="str">
        <f>"Nthl1"</f>
        <v>Nthl1</v>
      </c>
      <c r="B14118" t="s">
        <v>14</v>
      </c>
      <c r="C14118" t="s">
        <v>28</v>
      </c>
      <c r="D14118" t="s">
        <v>17</v>
      </c>
      <c r="E14118" t="s">
        <v>12</v>
      </c>
      <c r="F14118">
        <v>24632671</v>
      </c>
      <c r="G14118">
        <v>24632712</v>
      </c>
      <c r="H14118">
        <v>24632725</v>
      </c>
      <c r="I14118">
        <v>24632744</v>
      </c>
    </row>
    <row r="14119" spans="1:9" x14ac:dyDescent="0.2">
      <c r="A14119" t="str">
        <f>"Ntm"</f>
        <v>Ntm</v>
      </c>
      <c r="B14119" t="s">
        <v>4389</v>
      </c>
      <c r="C14119" t="s">
        <v>24</v>
      </c>
      <c r="D14119" t="s">
        <v>11</v>
      </c>
      <c r="E14119" t="s">
        <v>35</v>
      </c>
      <c r="F14119">
        <v>29412324</v>
      </c>
      <c r="G14119">
        <v>29412331</v>
      </c>
      <c r="H14119">
        <v>29412001</v>
      </c>
      <c r="I14119">
        <v>29412008</v>
      </c>
    </row>
    <row r="14120" spans="1:9" x14ac:dyDescent="0.2">
      <c r="A14120" t="str">
        <f>"Ntmt1"</f>
        <v>Ntmt1</v>
      </c>
      <c r="B14120" t="s">
        <v>14</v>
      </c>
      <c r="C14120" t="s">
        <v>26</v>
      </c>
      <c r="D14120" t="s">
        <v>17</v>
      </c>
      <c r="E14120" t="s">
        <v>67</v>
      </c>
      <c r="F14120">
        <v>30807928</v>
      </c>
      <c r="G14120">
        <v>30807999</v>
      </c>
      <c r="H14120">
        <v>30807917</v>
      </c>
      <c r="I14120">
        <v>30807922</v>
      </c>
    </row>
    <row r="14121" spans="1:9" x14ac:dyDescent="0.2">
      <c r="A14121" t="str">
        <f>"Ntn1"</f>
        <v>Ntn1</v>
      </c>
      <c r="B14121" t="s">
        <v>14</v>
      </c>
      <c r="C14121" t="s">
        <v>27</v>
      </c>
      <c r="D14121" t="s">
        <v>11</v>
      </c>
      <c r="E14121" t="s">
        <v>12</v>
      </c>
      <c r="F14121">
        <v>68386974</v>
      </c>
      <c r="G14121">
        <v>68387002</v>
      </c>
      <c r="H14121">
        <v>68386841</v>
      </c>
      <c r="I14121">
        <v>68386860</v>
      </c>
    </row>
    <row r="14122" spans="1:9" x14ac:dyDescent="0.2">
      <c r="A14122" t="str">
        <f>"Ntn3"</f>
        <v>Ntn3</v>
      </c>
      <c r="B14122" t="s">
        <v>14</v>
      </c>
      <c r="C14122" t="s">
        <v>28</v>
      </c>
      <c r="D14122" t="s">
        <v>11</v>
      </c>
      <c r="E14122" t="s">
        <v>12</v>
      </c>
      <c r="F14122">
        <v>24209377</v>
      </c>
      <c r="G14122">
        <v>24209416</v>
      </c>
      <c r="H14122">
        <v>24209282</v>
      </c>
      <c r="I14122">
        <v>24209315</v>
      </c>
    </row>
    <row r="14123" spans="1:9" x14ac:dyDescent="0.2">
      <c r="A14123" t="str">
        <f>"Ntn4"</f>
        <v>Ntn4</v>
      </c>
      <c r="B14123" t="s">
        <v>14</v>
      </c>
      <c r="C14123" t="s">
        <v>15</v>
      </c>
      <c r="D14123" t="s">
        <v>17</v>
      </c>
      <c r="E14123" t="s">
        <v>12</v>
      </c>
      <c r="F14123">
        <v>93641041</v>
      </c>
      <c r="G14123">
        <v>93641056</v>
      </c>
      <c r="H14123">
        <v>93640977</v>
      </c>
      <c r="I14123">
        <v>93641002</v>
      </c>
    </row>
    <row r="14124" spans="1:9" x14ac:dyDescent="0.2">
      <c r="A14124" t="str">
        <f>"Ntn5"</f>
        <v>Ntn5</v>
      </c>
      <c r="B14124" t="s">
        <v>14</v>
      </c>
      <c r="C14124" t="s">
        <v>33</v>
      </c>
      <c r="D14124" t="s">
        <v>17</v>
      </c>
      <c r="E14124" t="s">
        <v>12</v>
      </c>
      <c r="F14124">
        <v>45684369</v>
      </c>
      <c r="G14124">
        <v>45684393</v>
      </c>
      <c r="H14124">
        <v>45684398</v>
      </c>
      <c r="I14124">
        <v>45684421</v>
      </c>
    </row>
    <row r="14125" spans="1:9" x14ac:dyDescent="0.2">
      <c r="A14125" t="str">
        <f>"Ntng1"</f>
        <v>Ntng1</v>
      </c>
      <c r="B14125" t="s">
        <v>14</v>
      </c>
      <c r="C14125" t="s">
        <v>22</v>
      </c>
      <c r="D14125" t="s">
        <v>11</v>
      </c>
      <c r="E14125" t="s">
        <v>12</v>
      </c>
      <c r="F14125">
        <v>110143786</v>
      </c>
      <c r="G14125">
        <v>110143842</v>
      </c>
      <c r="H14125">
        <v>110142996</v>
      </c>
      <c r="I14125">
        <v>110143010</v>
      </c>
    </row>
    <row r="14126" spans="1:9" x14ac:dyDescent="0.2">
      <c r="A14126" t="str">
        <f>"Ntng2"</f>
        <v>Ntng2</v>
      </c>
      <c r="B14126" t="s">
        <v>14</v>
      </c>
      <c r="C14126" t="s">
        <v>26</v>
      </c>
      <c r="D14126" t="s">
        <v>11</v>
      </c>
      <c r="E14126" t="s">
        <v>12</v>
      </c>
      <c r="F14126">
        <v>29253001</v>
      </c>
      <c r="G14126">
        <v>29253013</v>
      </c>
      <c r="H14126">
        <v>29253001</v>
      </c>
      <c r="I14126">
        <v>29253013</v>
      </c>
    </row>
    <row r="14127" spans="1:9" x14ac:dyDescent="0.2">
      <c r="A14127" t="str">
        <f>"Ntpcr"</f>
        <v>Ntpcr</v>
      </c>
      <c r="B14127" t="s">
        <v>9</v>
      </c>
      <c r="C14127" t="s">
        <v>30</v>
      </c>
      <c r="D14127" t="s">
        <v>17</v>
      </c>
      <c r="E14127" t="s">
        <v>12</v>
      </c>
      <c r="F14127">
        <v>125734213</v>
      </c>
      <c r="G14127">
        <v>125734307</v>
      </c>
      <c r="H14127">
        <v>125734213</v>
      </c>
      <c r="I14127">
        <v>125734307</v>
      </c>
    </row>
    <row r="14128" spans="1:9" x14ac:dyDescent="0.2">
      <c r="A14128" t="str">
        <f>"Ntpcr"</f>
        <v>Ntpcr</v>
      </c>
      <c r="B14128" t="s">
        <v>13</v>
      </c>
      <c r="C14128" t="s">
        <v>30</v>
      </c>
      <c r="D14128" t="s">
        <v>17</v>
      </c>
      <c r="E14128" t="s">
        <v>12</v>
      </c>
      <c r="F14128">
        <v>125730005</v>
      </c>
      <c r="G14128">
        <v>125730026</v>
      </c>
      <c r="H14128">
        <v>125730005</v>
      </c>
      <c r="I14128">
        <v>125730026</v>
      </c>
    </row>
    <row r="14129" spans="1:9" x14ac:dyDescent="0.2">
      <c r="A14129" t="str">
        <f>"Ntrk1"</f>
        <v>Ntrk1</v>
      </c>
      <c r="B14129" t="s">
        <v>14</v>
      </c>
      <c r="C14129" t="s">
        <v>22</v>
      </c>
      <c r="D14129" t="s">
        <v>11</v>
      </c>
      <c r="E14129" t="s">
        <v>12</v>
      </c>
      <c r="F14129">
        <v>87795206</v>
      </c>
      <c r="G14129">
        <v>87795222</v>
      </c>
      <c r="H14129">
        <v>87795179</v>
      </c>
      <c r="I14129">
        <v>87795195</v>
      </c>
    </row>
    <row r="14130" spans="1:9" x14ac:dyDescent="0.2">
      <c r="A14130" t="str">
        <f>"Ntrk2"</f>
        <v>Ntrk2</v>
      </c>
      <c r="B14130" t="s">
        <v>14</v>
      </c>
      <c r="C14130" t="s">
        <v>39</v>
      </c>
      <c r="D14130" t="s">
        <v>17</v>
      </c>
      <c r="E14130" t="s">
        <v>12</v>
      </c>
      <c r="F14130">
        <v>58807861</v>
      </c>
      <c r="G14130">
        <v>58807883</v>
      </c>
      <c r="H14130">
        <v>58808683</v>
      </c>
      <c r="I14130">
        <v>58808752</v>
      </c>
    </row>
    <row r="14131" spans="1:9" x14ac:dyDescent="0.2">
      <c r="A14131" t="str">
        <f>"Ntrk3"</f>
        <v>Ntrk3</v>
      </c>
      <c r="B14131" t="s">
        <v>14</v>
      </c>
      <c r="C14131" t="s">
        <v>33</v>
      </c>
      <c r="D14131" t="s">
        <v>11</v>
      </c>
      <c r="E14131" t="s">
        <v>12</v>
      </c>
      <c r="F14131">
        <v>78578308</v>
      </c>
      <c r="G14131">
        <v>78578400</v>
      </c>
      <c r="H14131">
        <v>78577771</v>
      </c>
      <c r="I14131">
        <v>78577828</v>
      </c>
    </row>
    <row r="14132" spans="1:9" x14ac:dyDescent="0.2">
      <c r="A14132" t="str">
        <f>"Nts"</f>
        <v>Nts</v>
      </c>
      <c r="B14132" t="s">
        <v>14</v>
      </c>
      <c r="C14132" t="s">
        <v>15</v>
      </c>
      <c r="D14132" t="s">
        <v>11</v>
      </c>
      <c r="E14132" t="s">
        <v>12</v>
      </c>
      <c r="F14132">
        <v>102490425</v>
      </c>
      <c r="G14132">
        <v>102490440</v>
      </c>
      <c r="H14132">
        <v>102490425</v>
      </c>
      <c r="I14132">
        <v>102490440</v>
      </c>
    </row>
    <row r="14133" spans="1:9" x14ac:dyDescent="0.2">
      <c r="A14133" t="str">
        <f>"Ntsr1"</f>
        <v>Ntsr1</v>
      </c>
      <c r="B14133" t="s">
        <v>14</v>
      </c>
      <c r="C14133" t="s">
        <v>26</v>
      </c>
      <c r="D14133" t="s">
        <v>17</v>
      </c>
      <c r="E14133" t="s">
        <v>12</v>
      </c>
      <c r="F14133">
        <v>180499893</v>
      </c>
      <c r="G14133">
        <v>180499919</v>
      </c>
      <c r="H14133">
        <v>180499920</v>
      </c>
      <c r="I14133">
        <v>180499939</v>
      </c>
    </row>
    <row r="14134" spans="1:9" x14ac:dyDescent="0.2">
      <c r="A14134" t="str">
        <f>"Ntsr2"</f>
        <v>Ntsr2</v>
      </c>
      <c r="B14134" t="s">
        <v>14</v>
      </c>
      <c r="C14134" t="s">
        <v>16</v>
      </c>
      <c r="D14134" t="s">
        <v>17</v>
      </c>
      <c r="E14134" t="s">
        <v>12</v>
      </c>
      <c r="F14134">
        <v>16653475</v>
      </c>
      <c r="G14134">
        <v>16653486</v>
      </c>
      <c r="H14134">
        <v>16653475</v>
      </c>
      <c r="I14134">
        <v>16653486</v>
      </c>
    </row>
    <row r="14135" spans="1:9" x14ac:dyDescent="0.2">
      <c r="A14135" t="str">
        <f>"Nuak1"</f>
        <v>Nuak1</v>
      </c>
      <c r="B14135" t="s">
        <v>14</v>
      </c>
      <c r="C14135" t="s">
        <v>15</v>
      </c>
      <c r="D14135" t="s">
        <v>11</v>
      </c>
      <c r="E14135" t="s">
        <v>12</v>
      </c>
      <c r="F14135">
        <v>84440659</v>
      </c>
      <c r="G14135">
        <v>84440675</v>
      </c>
      <c r="H14135">
        <v>84440591</v>
      </c>
      <c r="I14135">
        <v>84440604</v>
      </c>
    </row>
    <row r="14136" spans="1:9" x14ac:dyDescent="0.2">
      <c r="A14136" t="str">
        <f>"Nuak2"</f>
        <v>Nuak2</v>
      </c>
      <c r="B14136" t="s">
        <v>14</v>
      </c>
      <c r="C14136" t="s">
        <v>19</v>
      </c>
      <c r="D14136" t="s">
        <v>17</v>
      </c>
      <c r="E14136" t="s">
        <v>12</v>
      </c>
      <c r="F14136">
        <v>132316112</v>
      </c>
      <c r="G14136">
        <v>132316144</v>
      </c>
      <c r="H14136">
        <v>132316200</v>
      </c>
      <c r="I14136">
        <v>132316211</v>
      </c>
    </row>
    <row r="14137" spans="1:9" x14ac:dyDescent="0.2">
      <c r="A14137" t="str">
        <f>"Nub1"</f>
        <v>Nub1</v>
      </c>
      <c r="B14137" t="s">
        <v>14</v>
      </c>
      <c r="C14137" t="s">
        <v>46</v>
      </c>
      <c r="D14137" t="s">
        <v>17</v>
      </c>
      <c r="E14137" t="s">
        <v>12</v>
      </c>
      <c r="F14137">
        <v>24685954</v>
      </c>
      <c r="G14137">
        <v>24686004</v>
      </c>
      <c r="H14137">
        <v>24685833</v>
      </c>
      <c r="I14137">
        <v>24685853</v>
      </c>
    </row>
    <row r="14138" spans="1:9" x14ac:dyDescent="0.2">
      <c r="A14138" t="str">
        <f>"Nubp1"</f>
        <v>Nubp1</v>
      </c>
      <c r="B14138" t="s">
        <v>14</v>
      </c>
      <c r="C14138" t="s">
        <v>31</v>
      </c>
      <c r="D14138" t="s">
        <v>17</v>
      </c>
      <c r="E14138" t="s">
        <v>12</v>
      </c>
      <c r="F14138">
        <v>10411928</v>
      </c>
      <c r="G14138">
        <v>10411965</v>
      </c>
      <c r="H14138">
        <v>10411928</v>
      </c>
      <c r="I14138">
        <v>10411965</v>
      </c>
    </row>
    <row r="14139" spans="1:9" x14ac:dyDescent="0.2">
      <c r="A14139" t="str">
        <f>"Nubp2"</f>
        <v>Nubp2</v>
      </c>
      <c r="B14139" t="s">
        <v>14</v>
      </c>
      <c r="C14139" t="s">
        <v>28</v>
      </c>
      <c r="D14139" t="s">
        <v>11</v>
      </c>
      <c r="E14139" t="s">
        <v>12</v>
      </c>
      <c r="F14139">
        <v>24886304</v>
      </c>
      <c r="G14139">
        <v>24886353</v>
      </c>
      <c r="H14139">
        <v>24886374</v>
      </c>
      <c r="I14139">
        <v>24886381</v>
      </c>
    </row>
    <row r="14140" spans="1:9" x14ac:dyDescent="0.2">
      <c r="A14140" t="str">
        <f>"Nubpl"</f>
        <v>Nubpl</v>
      </c>
      <c r="B14140" t="s">
        <v>14</v>
      </c>
      <c r="C14140" t="s">
        <v>16</v>
      </c>
      <c r="D14140" t="s">
        <v>17</v>
      </c>
      <c r="E14140" t="s">
        <v>12</v>
      </c>
      <c r="F14140">
        <v>52097737</v>
      </c>
      <c r="G14140">
        <v>52097775</v>
      </c>
      <c r="H14140">
        <v>52097729</v>
      </c>
      <c r="I14140">
        <v>52097736</v>
      </c>
    </row>
    <row r="14141" spans="1:9" x14ac:dyDescent="0.2">
      <c r="A14141" t="str">
        <f>"Nucb1"</f>
        <v>Nucb1</v>
      </c>
      <c r="B14141" t="s">
        <v>14</v>
      </c>
      <c r="C14141" t="s">
        <v>33</v>
      </c>
      <c r="D14141" t="s">
        <v>11</v>
      </c>
      <c r="E14141" t="s">
        <v>12</v>
      </c>
      <c r="F14141">
        <v>45510366</v>
      </c>
      <c r="G14141">
        <v>45510399</v>
      </c>
      <c r="H14141">
        <v>45510400</v>
      </c>
      <c r="I14141">
        <v>45510413</v>
      </c>
    </row>
    <row r="14142" spans="1:9" x14ac:dyDescent="0.2">
      <c r="A14142" t="str">
        <f>"Nucb2"</f>
        <v>Nucb2</v>
      </c>
      <c r="B14142" t="s">
        <v>14</v>
      </c>
      <c r="C14142" t="s">
        <v>33</v>
      </c>
      <c r="D14142" t="s">
        <v>17</v>
      </c>
      <c r="E14142" t="s">
        <v>12</v>
      </c>
      <c r="F14142">
        <v>116504363</v>
      </c>
      <c r="G14142">
        <v>116504397</v>
      </c>
      <c r="H14142">
        <v>116504409</v>
      </c>
      <c r="I14142">
        <v>116504430</v>
      </c>
    </row>
    <row r="14143" spans="1:9" x14ac:dyDescent="0.2">
      <c r="A14143" t="str">
        <f>"Nucks1"</f>
        <v>Nucks1</v>
      </c>
      <c r="B14143" t="s">
        <v>14</v>
      </c>
      <c r="C14143" t="s">
        <v>19</v>
      </c>
      <c r="D14143" t="s">
        <v>17</v>
      </c>
      <c r="E14143" t="s">
        <v>12</v>
      </c>
      <c r="F14143">
        <v>131910483</v>
      </c>
      <c r="G14143">
        <v>131910539</v>
      </c>
      <c r="H14143">
        <v>131910558</v>
      </c>
      <c r="I14143">
        <v>131910572</v>
      </c>
    </row>
    <row r="14144" spans="1:9" x14ac:dyDescent="0.2">
      <c r="A14144" t="str">
        <f>"Nudc"</f>
        <v>Nudc</v>
      </c>
      <c r="B14144" t="s">
        <v>14</v>
      </c>
      <c r="C14144" t="s">
        <v>23</v>
      </c>
      <c r="D14144" t="s">
        <v>11</v>
      </c>
      <c r="E14144" t="s">
        <v>12</v>
      </c>
      <c r="F14144">
        <v>133545906</v>
      </c>
      <c r="G14144">
        <v>133546011</v>
      </c>
      <c r="H14144">
        <v>133545906</v>
      </c>
      <c r="I14144">
        <v>133546011</v>
      </c>
    </row>
    <row r="14145" spans="1:9" x14ac:dyDescent="0.2">
      <c r="A14145" t="str">
        <f>"Nudcd1"</f>
        <v>Nudcd1</v>
      </c>
      <c r="B14145" t="s">
        <v>14</v>
      </c>
      <c r="C14145" t="s">
        <v>25</v>
      </c>
      <c r="D14145" t="s">
        <v>11</v>
      </c>
      <c r="E14145" t="s">
        <v>12</v>
      </c>
      <c r="F14145">
        <v>44427827</v>
      </c>
      <c r="G14145">
        <v>44427912</v>
      </c>
      <c r="H14145">
        <v>44427794</v>
      </c>
      <c r="I14145">
        <v>44427813</v>
      </c>
    </row>
    <row r="14146" spans="1:9" x14ac:dyDescent="0.2">
      <c r="A14146" t="str">
        <f>"Nudcd2"</f>
        <v>Nudcd2</v>
      </c>
      <c r="B14146" t="s">
        <v>14</v>
      </c>
      <c r="C14146" t="s">
        <v>27</v>
      </c>
      <c r="D14146" t="s">
        <v>17</v>
      </c>
      <c r="E14146" t="s">
        <v>12</v>
      </c>
      <c r="F14146">
        <v>40733877</v>
      </c>
      <c r="G14146">
        <v>40733931</v>
      </c>
      <c r="H14146">
        <v>40733639</v>
      </c>
      <c r="I14146">
        <v>40733703</v>
      </c>
    </row>
    <row r="14147" spans="1:9" x14ac:dyDescent="0.2">
      <c r="A14147" t="str">
        <f>"Nudcd3"</f>
        <v>Nudcd3</v>
      </c>
      <c r="B14147" t="s">
        <v>14</v>
      </c>
      <c r="C14147" t="s">
        <v>27</v>
      </c>
      <c r="D14147" t="s">
        <v>11</v>
      </c>
      <c r="E14147" t="s">
        <v>12</v>
      </c>
      <c r="F14147">
        <v>6200145</v>
      </c>
      <c r="G14147">
        <v>6200210</v>
      </c>
      <c r="H14147">
        <v>6200411</v>
      </c>
      <c r="I14147">
        <v>6200446</v>
      </c>
    </row>
    <row r="14148" spans="1:9" x14ac:dyDescent="0.2">
      <c r="A14148" t="str">
        <f>"Nudt1"</f>
        <v>Nudt1</v>
      </c>
      <c r="B14148" t="s">
        <v>14</v>
      </c>
      <c r="C14148" t="s">
        <v>46</v>
      </c>
      <c r="D14148" t="s">
        <v>17</v>
      </c>
      <c r="E14148" t="s">
        <v>12</v>
      </c>
      <c r="F14148">
        <v>140331898</v>
      </c>
      <c r="G14148">
        <v>140331939</v>
      </c>
      <c r="H14148">
        <v>140331898</v>
      </c>
      <c r="I14148">
        <v>140331939</v>
      </c>
    </row>
    <row r="14149" spans="1:9" x14ac:dyDescent="0.2">
      <c r="A14149" t="str">
        <f>"Nudt10"</f>
        <v>Nudt10</v>
      </c>
      <c r="B14149" t="s">
        <v>4390</v>
      </c>
      <c r="C14149" t="s">
        <v>37</v>
      </c>
      <c r="D14149" t="s">
        <v>11</v>
      </c>
      <c r="E14149" t="s">
        <v>20</v>
      </c>
      <c r="F14149">
        <v>6173014</v>
      </c>
      <c r="G14149">
        <v>6173014</v>
      </c>
      <c r="H14149">
        <v>6173014</v>
      </c>
      <c r="I14149">
        <v>6173014</v>
      </c>
    </row>
    <row r="14150" spans="1:9" x14ac:dyDescent="0.2">
      <c r="A14150" t="str">
        <f>"Nudt11"</f>
        <v>Nudt11</v>
      </c>
      <c r="B14150" t="s">
        <v>14</v>
      </c>
      <c r="C14150" t="s">
        <v>37</v>
      </c>
      <c r="D14150" t="s">
        <v>17</v>
      </c>
      <c r="E14150" t="s">
        <v>12</v>
      </c>
      <c r="F14150">
        <v>6047758</v>
      </c>
      <c r="G14150">
        <v>6047761</v>
      </c>
      <c r="H14150">
        <v>6047758</v>
      </c>
      <c r="I14150">
        <v>6047761</v>
      </c>
    </row>
    <row r="14151" spans="1:9" x14ac:dyDescent="0.2">
      <c r="A14151" t="str">
        <f>"Nudt12"</f>
        <v>Nudt12</v>
      </c>
      <c r="B14151" t="s">
        <v>14</v>
      </c>
      <c r="C14151" t="s">
        <v>28</v>
      </c>
      <c r="D14151" t="s">
        <v>11</v>
      </c>
      <c r="E14151" t="s">
        <v>12</v>
      </c>
      <c r="F14151">
        <v>59013264</v>
      </c>
      <c r="G14151">
        <v>59013343</v>
      </c>
      <c r="H14151">
        <v>59013264</v>
      </c>
      <c r="I14151">
        <v>59013343</v>
      </c>
    </row>
    <row r="14152" spans="1:9" x14ac:dyDescent="0.2">
      <c r="A14152" t="str">
        <f>"Nudt13"</f>
        <v>Nudt13</v>
      </c>
      <c r="B14152" t="s">
        <v>14</v>
      </c>
      <c r="C14152" t="s">
        <v>41</v>
      </c>
      <c r="D14152" t="s">
        <v>17</v>
      </c>
      <c r="E14152" t="s">
        <v>12</v>
      </c>
      <c r="F14152">
        <v>20294706</v>
      </c>
      <c r="G14152">
        <v>20294745</v>
      </c>
      <c r="H14152">
        <v>20294684</v>
      </c>
      <c r="I14152">
        <v>20294695</v>
      </c>
    </row>
    <row r="14153" spans="1:9" x14ac:dyDescent="0.2">
      <c r="A14153" t="str">
        <f>"Nudt14"</f>
        <v>Nudt14</v>
      </c>
      <c r="B14153" t="s">
        <v>14</v>
      </c>
      <c r="C14153" t="s">
        <v>16</v>
      </c>
      <c r="D14153" t="s">
        <v>11</v>
      </c>
      <c r="E14153" t="s">
        <v>12</v>
      </c>
      <c r="F14153">
        <v>112942102</v>
      </c>
      <c r="G14153">
        <v>112942150</v>
      </c>
      <c r="H14153">
        <v>112942090</v>
      </c>
      <c r="I14153">
        <v>112942097</v>
      </c>
    </row>
    <row r="14154" spans="1:9" x14ac:dyDescent="0.2">
      <c r="A14154" t="str">
        <f>"Nudt15"</f>
        <v>Nudt15</v>
      </c>
      <c r="B14154" t="s">
        <v>14</v>
      </c>
      <c r="C14154" t="s">
        <v>41</v>
      </c>
      <c r="D14154" t="s">
        <v>11</v>
      </c>
      <c r="E14154" t="s">
        <v>12</v>
      </c>
      <c r="F14154">
        <v>73548201</v>
      </c>
      <c r="G14154">
        <v>73548251</v>
      </c>
      <c r="H14154">
        <v>73548201</v>
      </c>
      <c r="I14154">
        <v>73548251</v>
      </c>
    </row>
    <row r="14155" spans="1:9" x14ac:dyDescent="0.2">
      <c r="A14155" t="str">
        <f>"Nudt16"</f>
        <v>Nudt16</v>
      </c>
      <c r="B14155" t="s">
        <v>14</v>
      </c>
      <c r="C14155" t="s">
        <v>24</v>
      </c>
      <c r="D14155" t="s">
        <v>11</v>
      </c>
      <c r="E14155" t="s">
        <v>12</v>
      </c>
      <c r="F14155">
        <v>105131775</v>
      </c>
      <c r="G14155">
        <v>105131833</v>
      </c>
      <c r="H14155">
        <v>105131662</v>
      </c>
      <c r="I14155">
        <v>105131669</v>
      </c>
    </row>
    <row r="14156" spans="1:9" x14ac:dyDescent="0.2">
      <c r="A14156" t="str">
        <f>"Nudt16l1"</f>
        <v>Nudt16l1</v>
      </c>
      <c r="B14156" t="s">
        <v>14</v>
      </c>
      <c r="C14156" t="s">
        <v>31</v>
      </c>
      <c r="D14156" t="s">
        <v>17</v>
      </c>
      <c r="E14156" t="s">
        <v>12</v>
      </c>
      <c r="F14156">
        <v>4939099</v>
      </c>
      <c r="G14156">
        <v>4939142</v>
      </c>
      <c r="H14156">
        <v>4939099</v>
      </c>
      <c r="I14156">
        <v>4939142</v>
      </c>
    </row>
    <row r="14157" spans="1:9" x14ac:dyDescent="0.2">
      <c r="A14157" t="str">
        <f>"Nudt17"</f>
        <v>Nudt17</v>
      </c>
      <c r="B14157" t="s">
        <v>14</v>
      </c>
      <c r="C14157" t="s">
        <v>22</v>
      </c>
      <c r="D14157" t="s">
        <v>11</v>
      </c>
      <c r="E14157" t="s">
        <v>12</v>
      </c>
      <c r="F14157">
        <v>96708524</v>
      </c>
      <c r="G14157">
        <v>96708553</v>
      </c>
      <c r="H14157">
        <v>96708554</v>
      </c>
      <c r="I14157">
        <v>96708560</v>
      </c>
    </row>
    <row r="14158" spans="1:9" x14ac:dyDescent="0.2">
      <c r="A14158" t="str">
        <f>"Nudt18"</f>
        <v>Nudt18</v>
      </c>
      <c r="B14158" t="s">
        <v>14</v>
      </c>
      <c r="C14158" t="s">
        <v>41</v>
      </c>
      <c r="D14158" t="s">
        <v>17</v>
      </c>
      <c r="E14158" t="s">
        <v>12</v>
      </c>
      <c r="F14158">
        <v>70577839</v>
      </c>
      <c r="G14158">
        <v>70577891</v>
      </c>
      <c r="H14158">
        <v>70577810</v>
      </c>
      <c r="I14158">
        <v>70577838</v>
      </c>
    </row>
    <row r="14159" spans="1:9" x14ac:dyDescent="0.2">
      <c r="A14159" t="str">
        <f>"Nudt19"</f>
        <v>Nudt19</v>
      </c>
      <c r="B14159" t="s">
        <v>14</v>
      </c>
      <c r="C14159" t="s">
        <v>33</v>
      </c>
      <c r="D14159" t="s">
        <v>11</v>
      </c>
      <c r="E14159" t="s">
        <v>12</v>
      </c>
      <c r="F14159">
        <v>35555834</v>
      </c>
      <c r="G14159">
        <v>35555939</v>
      </c>
      <c r="H14159">
        <v>35555834</v>
      </c>
      <c r="I14159">
        <v>35555939</v>
      </c>
    </row>
    <row r="14160" spans="1:9" x14ac:dyDescent="0.2">
      <c r="A14160" t="str">
        <f>"Nudt2"</f>
        <v>Nudt2</v>
      </c>
      <c r="B14160" t="s">
        <v>14</v>
      </c>
      <c r="C14160" t="s">
        <v>23</v>
      </c>
      <c r="D14160" t="s">
        <v>17</v>
      </c>
      <c r="E14160" t="s">
        <v>12</v>
      </c>
      <c r="F14160">
        <v>41465134</v>
      </c>
      <c r="G14160">
        <v>41465159</v>
      </c>
      <c r="H14160">
        <v>41465134</v>
      </c>
      <c r="I14160">
        <v>41465159</v>
      </c>
    </row>
    <row r="14161" spans="1:9" x14ac:dyDescent="0.2">
      <c r="A14161" t="str">
        <f>"Nudt21"</f>
        <v>Nudt21</v>
      </c>
      <c r="B14161" t="s">
        <v>14</v>
      </c>
      <c r="C14161" t="s">
        <v>30</v>
      </c>
      <c r="D14161" t="s">
        <v>11</v>
      </c>
      <c r="E14161" t="s">
        <v>12</v>
      </c>
      <c r="F14161">
        <v>94037007</v>
      </c>
      <c r="G14161">
        <v>94037027</v>
      </c>
      <c r="H14161">
        <v>94037007</v>
      </c>
      <c r="I14161">
        <v>94037027</v>
      </c>
    </row>
    <row r="14162" spans="1:9" x14ac:dyDescent="0.2">
      <c r="A14162" t="str">
        <f>"Nudt22"</f>
        <v>Nudt22</v>
      </c>
      <c r="B14162" t="s">
        <v>14</v>
      </c>
      <c r="C14162" t="s">
        <v>10</v>
      </c>
      <c r="D14162" t="s">
        <v>11</v>
      </c>
      <c r="E14162" t="s">
        <v>12</v>
      </c>
      <c r="F14162">
        <v>6996025</v>
      </c>
      <c r="G14162">
        <v>6996096</v>
      </c>
      <c r="H14162">
        <v>6996025</v>
      </c>
      <c r="I14162">
        <v>6996096</v>
      </c>
    </row>
    <row r="14163" spans="1:9" x14ac:dyDescent="0.2">
      <c r="A14163" t="str">
        <f>"Nudt3"</f>
        <v>Nudt3</v>
      </c>
      <c r="B14163" t="s">
        <v>14</v>
      </c>
      <c r="C14163" t="s">
        <v>28</v>
      </c>
      <c r="D14163" t="s">
        <v>11</v>
      </c>
      <c r="E14163" t="s">
        <v>12</v>
      </c>
      <c r="F14163">
        <v>27623441</v>
      </c>
      <c r="G14163">
        <v>27623495</v>
      </c>
      <c r="H14163">
        <v>27623391</v>
      </c>
      <c r="I14163">
        <v>27623416</v>
      </c>
    </row>
    <row r="14164" spans="1:9" x14ac:dyDescent="0.2">
      <c r="A14164" t="str">
        <f>"Nudt4"</f>
        <v>Nudt4</v>
      </c>
      <c r="B14164" t="s">
        <v>14</v>
      </c>
      <c r="C14164" t="s">
        <v>15</v>
      </c>
      <c r="D14164" t="s">
        <v>11</v>
      </c>
      <c r="E14164" t="s">
        <v>12</v>
      </c>
      <c r="F14164">
        <v>95564135</v>
      </c>
      <c r="G14164">
        <v>95564154</v>
      </c>
      <c r="H14164">
        <v>95564099</v>
      </c>
      <c r="I14164">
        <v>95564121</v>
      </c>
    </row>
    <row r="14165" spans="1:9" x14ac:dyDescent="0.2">
      <c r="A14165" t="str">
        <f>"Nudt5"</f>
        <v>Nudt5</v>
      </c>
      <c r="B14165" t="s">
        <v>14</v>
      </c>
      <c r="C14165" t="s">
        <v>26</v>
      </c>
      <c r="D14165" t="s">
        <v>17</v>
      </c>
      <c r="E14165" t="s">
        <v>12</v>
      </c>
      <c r="F14165">
        <v>5845243</v>
      </c>
      <c r="G14165">
        <v>5845311</v>
      </c>
      <c r="H14165">
        <v>5845017</v>
      </c>
      <c r="I14165">
        <v>5845062</v>
      </c>
    </row>
    <row r="14166" spans="1:9" x14ac:dyDescent="0.2">
      <c r="A14166" t="str">
        <f>"Nudt6"</f>
        <v>Nudt6</v>
      </c>
      <c r="B14166" t="s">
        <v>14</v>
      </c>
      <c r="C14166" t="s">
        <v>22</v>
      </c>
      <c r="D14166" t="s">
        <v>11</v>
      </c>
      <c r="E14166" t="s">
        <v>12</v>
      </c>
      <c r="F14166">
        <v>37419573</v>
      </c>
      <c r="G14166">
        <v>37419605</v>
      </c>
      <c r="H14166">
        <v>37419549</v>
      </c>
      <c r="I14166">
        <v>37419571</v>
      </c>
    </row>
    <row r="14167" spans="1:9" x14ac:dyDescent="0.2">
      <c r="A14167" t="str">
        <f>"Nudt7"</f>
        <v>Nudt7</v>
      </c>
      <c r="B14167" t="s">
        <v>14</v>
      </c>
      <c r="C14167" t="s">
        <v>30</v>
      </c>
      <c r="D14167" t="s">
        <v>17</v>
      </c>
      <c r="E14167" t="s">
        <v>12</v>
      </c>
      <c r="F14167">
        <v>114133601</v>
      </c>
      <c r="G14167">
        <v>114133630</v>
      </c>
      <c r="H14167">
        <v>114133635</v>
      </c>
      <c r="I14167">
        <v>114133662</v>
      </c>
    </row>
    <row r="14168" spans="1:9" x14ac:dyDescent="0.2">
      <c r="A14168" t="str">
        <f>"Nudt8"</f>
        <v>Nudt8</v>
      </c>
      <c r="B14168" t="s">
        <v>14</v>
      </c>
      <c r="C14168" t="s">
        <v>10</v>
      </c>
      <c r="D14168" t="s">
        <v>17</v>
      </c>
      <c r="E14168" t="s">
        <v>12</v>
      </c>
      <c r="F14168">
        <v>4000582</v>
      </c>
      <c r="G14168">
        <v>4000659</v>
      </c>
      <c r="H14168">
        <v>4000582</v>
      </c>
      <c r="I14168">
        <v>4000659</v>
      </c>
    </row>
    <row r="14169" spans="1:9" x14ac:dyDescent="0.2">
      <c r="A14169" t="str">
        <f>"Nudt9"</f>
        <v>Nudt9</v>
      </c>
      <c r="B14169" t="s">
        <v>14</v>
      </c>
      <c r="C14169" t="s">
        <v>46</v>
      </c>
      <c r="D14169" t="s">
        <v>17</v>
      </c>
      <c r="E14169" t="s">
        <v>12</v>
      </c>
      <c r="F14169">
        <v>104046918</v>
      </c>
      <c r="G14169">
        <v>104046975</v>
      </c>
      <c r="H14169">
        <v>104046980</v>
      </c>
      <c r="I14169">
        <v>104047044</v>
      </c>
    </row>
    <row r="14170" spans="1:9" x14ac:dyDescent="0.2">
      <c r="A14170" t="str">
        <f>"Nuf2"</f>
        <v>Nuf2</v>
      </c>
      <c r="B14170" t="s">
        <v>14</v>
      </c>
      <c r="C14170" t="s">
        <v>19</v>
      </c>
      <c r="D14170" t="s">
        <v>11</v>
      </c>
      <c r="E14170" t="s">
        <v>12</v>
      </c>
      <c r="F14170">
        <v>169531343</v>
      </c>
      <c r="G14170">
        <v>169531437</v>
      </c>
      <c r="H14170">
        <v>169531447</v>
      </c>
      <c r="I14170">
        <v>169531460</v>
      </c>
    </row>
    <row r="14171" spans="1:9" x14ac:dyDescent="0.2">
      <c r="A14171" t="str">
        <f>"Nufip1"</f>
        <v>Nufip1</v>
      </c>
      <c r="B14171" t="s">
        <v>14</v>
      </c>
      <c r="C14171" t="s">
        <v>41</v>
      </c>
      <c r="D14171" t="s">
        <v>17</v>
      </c>
      <c r="E14171" t="s">
        <v>12</v>
      </c>
      <c r="F14171">
        <v>76110885</v>
      </c>
      <c r="G14171">
        <v>76110928</v>
      </c>
      <c r="H14171">
        <v>76110873</v>
      </c>
      <c r="I14171">
        <v>76110882</v>
      </c>
    </row>
    <row r="14172" spans="1:9" x14ac:dyDescent="0.2">
      <c r="A14172" t="str">
        <f>"Nufip2"</f>
        <v>Nufip2</v>
      </c>
      <c r="B14172" t="s">
        <v>14</v>
      </c>
      <c r="C14172" t="s">
        <v>27</v>
      </c>
      <c r="D14172" t="s">
        <v>17</v>
      </c>
      <c r="E14172" t="s">
        <v>12</v>
      </c>
      <c r="F14172">
        <v>77686161</v>
      </c>
      <c r="G14172">
        <v>77686179</v>
      </c>
      <c r="H14172">
        <v>77686132</v>
      </c>
      <c r="I14172">
        <v>77686146</v>
      </c>
    </row>
    <row r="14173" spans="1:9" x14ac:dyDescent="0.2">
      <c r="A14173" t="str">
        <f>"Nuggc"</f>
        <v>Nuggc</v>
      </c>
      <c r="B14173" t="s">
        <v>14</v>
      </c>
      <c r="C14173" t="s">
        <v>41</v>
      </c>
      <c r="D14173" t="s">
        <v>17</v>
      </c>
      <c r="E14173" t="s">
        <v>67</v>
      </c>
      <c r="F14173">
        <v>65598501</v>
      </c>
      <c r="G14173">
        <v>65598517</v>
      </c>
      <c r="H14173">
        <v>65598501</v>
      </c>
      <c r="I14173">
        <v>65598517</v>
      </c>
    </row>
    <row r="14174" spans="1:9" x14ac:dyDescent="0.2">
      <c r="A14174" t="str">
        <f>"Numa1"</f>
        <v>Numa1</v>
      </c>
      <c r="B14174" t="s">
        <v>4391</v>
      </c>
      <c r="C14174" t="s">
        <v>33</v>
      </c>
      <c r="D14174" t="s">
        <v>17</v>
      </c>
      <c r="E14174" t="s">
        <v>35</v>
      </c>
      <c r="F14174">
        <v>101969636</v>
      </c>
      <c r="G14174">
        <v>101969674</v>
      </c>
      <c r="H14174">
        <v>101970005</v>
      </c>
      <c r="I14174">
        <v>101970031</v>
      </c>
    </row>
    <row r="14175" spans="1:9" x14ac:dyDescent="0.2">
      <c r="A14175" t="str">
        <f>"Numb"</f>
        <v>Numb</v>
      </c>
      <c r="B14175" t="s">
        <v>4392</v>
      </c>
      <c r="C14175" t="s">
        <v>16</v>
      </c>
      <c r="D14175" t="s">
        <v>11</v>
      </c>
      <c r="E14175" t="s">
        <v>20</v>
      </c>
      <c r="F14175">
        <v>83842342</v>
      </c>
      <c r="G14175">
        <v>83842342</v>
      </c>
      <c r="H14175">
        <v>83842342</v>
      </c>
      <c r="I14175">
        <v>83842342</v>
      </c>
    </row>
    <row r="14176" spans="1:9" x14ac:dyDescent="0.2">
      <c r="A14176" t="str">
        <f>"Numbl"</f>
        <v>Numbl</v>
      </c>
      <c r="B14176" t="s">
        <v>14</v>
      </c>
      <c r="C14176" t="s">
        <v>33</v>
      </c>
      <c r="D14176" t="s">
        <v>17</v>
      </c>
      <c r="E14176" t="s">
        <v>12</v>
      </c>
      <c r="F14176">
        <v>27258761</v>
      </c>
      <c r="G14176">
        <v>27258815</v>
      </c>
      <c r="H14176">
        <v>27258840</v>
      </c>
      <c r="I14176">
        <v>27258859</v>
      </c>
    </row>
    <row r="14177" spans="1:9" x14ac:dyDescent="0.2">
      <c r="A14177" t="str">
        <f>"Nup107"</f>
        <v>Nup107</v>
      </c>
      <c r="B14177" t="s">
        <v>14</v>
      </c>
      <c r="C14177" t="s">
        <v>15</v>
      </c>
      <c r="D14177" t="s">
        <v>11</v>
      </c>
      <c r="E14177" t="s">
        <v>12</v>
      </c>
      <c r="F14177">
        <v>117792663</v>
      </c>
      <c r="G14177">
        <v>117792717</v>
      </c>
      <c r="H14177">
        <v>117792647</v>
      </c>
      <c r="I14177">
        <v>117792658</v>
      </c>
    </row>
    <row r="14178" spans="1:9" x14ac:dyDescent="0.2">
      <c r="A14178" t="str">
        <f>"Nup133"</f>
        <v>Nup133</v>
      </c>
      <c r="B14178" t="s">
        <v>14</v>
      </c>
      <c r="C14178" t="s">
        <v>30</v>
      </c>
      <c r="D14178" t="s">
        <v>11</v>
      </c>
      <c r="E14178" t="s">
        <v>12</v>
      </c>
      <c r="F14178">
        <v>123949201</v>
      </c>
      <c r="G14178">
        <v>123949287</v>
      </c>
      <c r="H14178">
        <v>123949201</v>
      </c>
      <c r="I14178">
        <v>123949287</v>
      </c>
    </row>
    <row r="14179" spans="1:9" x14ac:dyDescent="0.2">
      <c r="A14179" t="str">
        <f>"Nup153"</f>
        <v>Nup153</v>
      </c>
      <c r="B14179" t="s">
        <v>14</v>
      </c>
      <c r="C14179" t="s">
        <v>39</v>
      </c>
      <c r="D14179" t="s">
        <v>11</v>
      </c>
      <c r="E14179" t="s">
        <v>12</v>
      </c>
      <c r="F14179">
        <v>46727932</v>
      </c>
      <c r="G14179">
        <v>46728005</v>
      </c>
      <c r="H14179">
        <v>46727795</v>
      </c>
      <c r="I14179">
        <v>46727862</v>
      </c>
    </row>
    <row r="14180" spans="1:9" x14ac:dyDescent="0.2">
      <c r="A14180" t="str">
        <f>"Nup155"</f>
        <v>Nup155</v>
      </c>
      <c r="B14180" t="s">
        <v>14</v>
      </c>
      <c r="C14180" t="s">
        <v>25</v>
      </c>
      <c r="D14180" t="s">
        <v>17</v>
      </c>
      <c r="E14180" t="s">
        <v>12</v>
      </c>
      <c r="F14180">
        <v>8109322</v>
      </c>
      <c r="G14180">
        <v>8109356</v>
      </c>
      <c r="H14180">
        <v>8109367</v>
      </c>
      <c r="I14180">
        <v>8109374</v>
      </c>
    </row>
    <row r="14181" spans="1:9" x14ac:dyDescent="0.2">
      <c r="A14181" t="str">
        <f>"Nup160"</f>
        <v>Nup160</v>
      </c>
      <c r="B14181" t="s">
        <v>14</v>
      </c>
      <c r="C14181" t="s">
        <v>26</v>
      </c>
      <c r="D14181" t="s">
        <v>17</v>
      </c>
      <c r="E14181" t="s">
        <v>12</v>
      </c>
      <c r="F14181">
        <v>90679369</v>
      </c>
      <c r="G14181">
        <v>90679412</v>
      </c>
      <c r="H14181">
        <v>90679369</v>
      </c>
      <c r="I14181">
        <v>90679412</v>
      </c>
    </row>
    <row r="14182" spans="1:9" x14ac:dyDescent="0.2">
      <c r="A14182" t="str">
        <f>"Nup188"</f>
        <v>Nup188</v>
      </c>
      <c r="B14182" t="s">
        <v>14</v>
      </c>
      <c r="C14182" t="s">
        <v>26</v>
      </c>
      <c r="D14182" t="s">
        <v>17</v>
      </c>
      <c r="E14182" t="s">
        <v>12</v>
      </c>
      <c r="F14182">
        <v>30286406</v>
      </c>
      <c r="G14182">
        <v>30286442</v>
      </c>
      <c r="H14182">
        <v>30286383</v>
      </c>
      <c r="I14182">
        <v>30286394</v>
      </c>
    </row>
    <row r="14183" spans="1:9" x14ac:dyDescent="0.2">
      <c r="A14183" t="str">
        <f>"Nup205"</f>
        <v>Nup205</v>
      </c>
      <c r="B14183" t="s">
        <v>14</v>
      </c>
      <c r="C14183" t="s">
        <v>32</v>
      </c>
      <c r="D14183" t="s">
        <v>17</v>
      </c>
      <c r="E14183" t="s">
        <v>12</v>
      </c>
      <c r="F14183">
        <v>35177610</v>
      </c>
      <c r="G14183">
        <v>35177627</v>
      </c>
      <c r="H14183">
        <v>35177386</v>
      </c>
      <c r="I14183">
        <v>35177426</v>
      </c>
    </row>
    <row r="14184" spans="1:9" x14ac:dyDescent="0.2">
      <c r="A14184" t="str">
        <f>"Nup210"</f>
        <v>Nup210</v>
      </c>
      <c r="B14184" t="s">
        <v>14</v>
      </c>
      <c r="C14184" t="s">
        <v>32</v>
      </c>
      <c r="D14184" t="s">
        <v>11</v>
      </c>
      <c r="E14184" t="s">
        <v>12</v>
      </c>
      <c r="F14184">
        <v>91116785</v>
      </c>
      <c r="G14184">
        <v>91116832</v>
      </c>
      <c r="H14184">
        <v>91116836</v>
      </c>
      <c r="I14184">
        <v>91116858</v>
      </c>
    </row>
    <row r="14185" spans="1:9" x14ac:dyDescent="0.2">
      <c r="A14185" t="str">
        <f>"Nup210l"</f>
        <v>Nup210l</v>
      </c>
      <c r="B14185" t="s">
        <v>14</v>
      </c>
      <c r="C14185" t="s">
        <v>22</v>
      </c>
      <c r="D14185" t="s">
        <v>17</v>
      </c>
      <c r="E14185" t="s">
        <v>12</v>
      </c>
      <c r="F14185">
        <v>90104128</v>
      </c>
      <c r="G14185">
        <v>90104143</v>
      </c>
      <c r="H14185">
        <v>90104154</v>
      </c>
      <c r="I14185">
        <v>90104165</v>
      </c>
    </row>
    <row r="14186" spans="1:9" x14ac:dyDescent="0.2">
      <c r="A14186" t="str">
        <f>"Nup214"</f>
        <v>Nup214</v>
      </c>
      <c r="B14186" t="s">
        <v>14</v>
      </c>
      <c r="C14186" t="s">
        <v>26</v>
      </c>
      <c r="D14186" t="s">
        <v>17</v>
      </c>
      <c r="E14186" t="s">
        <v>12</v>
      </c>
      <c r="F14186">
        <v>31974450</v>
      </c>
      <c r="G14186">
        <v>31974498</v>
      </c>
      <c r="H14186">
        <v>31974427</v>
      </c>
      <c r="I14186">
        <v>31974448</v>
      </c>
    </row>
    <row r="14187" spans="1:9" x14ac:dyDescent="0.2">
      <c r="A14187" t="str">
        <f>"Nup35"</f>
        <v>Nup35</v>
      </c>
      <c r="B14187" t="s">
        <v>9</v>
      </c>
      <c r="C14187" t="s">
        <v>26</v>
      </c>
      <c r="D14187" t="s">
        <v>17</v>
      </c>
      <c r="E14187" t="s">
        <v>12</v>
      </c>
      <c r="F14187">
        <v>80617185</v>
      </c>
      <c r="G14187">
        <v>80617290</v>
      </c>
      <c r="H14187">
        <v>80617185</v>
      </c>
      <c r="I14187">
        <v>80617290</v>
      </c>
    </row>
    <row r="14188" spans="1:9" x14ac:dyDescent="0.2">
      <c r="A14188" t="str">
        <f>"Nup35"</f>
        <v>Nup35</v>
      </c>
      <c r="B14188" t="s">
        <v>13</v>
      </c>
      <c r="C14188" t="s">
        <v>26</v>
      </c>
      <c r="D14188" t="s">
        <v>17</v>
      </c>
      <c r="E14188" t="s">
        <v>12</v>
      </c>
      <c r="F14188">
        <v>80638798</v>
      </c>
      <c r="G14188">
        <v>80638834</v>
      </c>
      <c r="H14188">
        <v>80638798</v>
      </c>
      <c r="I14188">
        <v>80638834</v>
      </c>
    </row>
    <row r="14189" spans="1:9" x14ac:dyDescent="0.2">
      <c r="A14189" t="str">
        <f>"Nup37"</f>
        <v>Nup37</v>
      </c>
      <c r="B14189" t="s">
        <v>14</v>
      </c>
      <c r="C14189" t="s">
        <v>15</v>
      </c>
      <c r="D14189" t="s">
        <v>17</v>
      </c>
      <c r="E14189" t="s">
        <v>12</v>
      </c>
      <c r="F14189">
        <v>88146995</v>
      </c>
      <c r="G14189">
        <v>88147037</v>
      </c>
      <c r="H14189">
        <v>88147061</v>
      </c>
      <c r="I14189">
        <v>88147076</v>
      </c>
    </row>
    <row r="14190" spans="1:9" x14ac:dyDescent="0.2">
      <c r="A14190" t="str">
        <f>"Nup43"</f>
        <v>Nup43</v>
      </c>
      <c r="B14190" t="s">
        <v>14</v>
      </c>
      <c r="C14190" t="s">
        <v>15</v>
      </c>
      <c r="D14190" t="s">
        <v>17</v>
      </c>
      <c r="E14190" t="s">
        <v>12</v>
      </c>
      <c r="F14190">
        <v>7667506</v>
      </c>
      <c r="G14190">
        <v>7667558</v>
      </c>
      <c r="H14190">
        <v>7667499</v>
      </c>
      <c r="I14190">
        <v>7667504</v>
      </c>
    </row>
    <row r="14191" spans="1:9" x14ac:dyDescent="0.2">
      <c r="A14191" t="str">
        <f>"Nup50"</f>
        <v>Nup50</v>
      </c>
      <c r="B14191" t="s">
        <v>14</v>
      </c>
      <c r="C14191" t="s">
        <v>25</v>
      </c>
      <c r="D14191" t="s">
        <v>17</v>
      </c>
      <c r="E14191" t="s">
        <v>12</v>
      </c>
      <c r="F14191">
        <v>84923383</v>
      </c>
      <c r="G14191">
        <v>84923422</v>
      </c>
      <c r="H14191">
        <v>84923440</v>
      </c>
      <c r="I14191">
        <v>84923451</v>
      </c>
    </row>
    <row r="14192" spans="1:9" x14ac:dyDescent="0.2">
      <c r="A14192" t="str">
        <f>"Nup54"</f>
        <v>Nup54</v>
      </c>
      <c r="B14192" t="s">
        <v>14</v>
      </c>
      <c r="C14192" t="s">
        <v>46</v>
      </c>
      <c r="D14192" t="s">
        <v>11</v>
      </c>
      <c r="E14192" t="s">
        <v>12</v>
      </c>
      <c r="F14192">
        <v>92435075</v>
      </c>
      <c r="G14192">
        <v>92435103</v>
      </c>
      <c r="H14192">
        <v>92435114</v>
      </c>
      <c r="I14192">
        <v>92435130</v>
      </c>
    </row>
    <row r="14193" spans="1:9" x14ac:dyDescent="0.2">
      <c r="A14193" t="str">
        <f>"Nup62"</f>
        <v>Nup62</v>
      </c>
      <c r="B14193" t="s">
        <v>14</v>
      </c>
      <c r="C14193" t="s">
        <v>33</v>
      </c>
      <c r="D14193" t="s">
        <v>17</v>
      </c>
      <c r="E14193" t="s">
        <v>12</v>
      </c>
      <c r="F14193">
        <v>44816386</v>
      </c>
      <c r="G14193">
        <v>44816406</v>
      </c>
      <c r="H14193">
        <v>44816290</v>
      </c>
      <c r="I14193">
        <v>44816308</v>
      </c>
    </row>
    <row r="14194" spans="1:9" x14ac:dyDescent="0.2">
      <c r="A14194" t="str">
        <f>"Nup62cl"</f>
        <v>Nup62cl</v>
      </c>
      <c r="B14194" t="s">
        <v>14</v>
      </c>
      <c r="C14194" t="s">
        <v>37</v>
      </c>
      <c r="D14194" t="s">
        <v>11</v>
      </c>
      <c r="E14194" t="s">
        <v>12</v>
      </c>
      <c r="F14194">
        <v>140062584</v>
      </c>
      <c r="G14194">
        <v>140062605</v>
      </c>
      <c r="H14194">
        <v>140062550</v>
      </c>
      <c r="I14194">
        <v>140062583</v>
      </c>
    </row>
    <row r="14195" spans="1:9" x14ac:dyDescent="0.2">
      <c r="A14195" t="str">
        <f>"Nup85"</f>
        <v>Nup85</v>
      </c>
      <c r="B14195" t="s">
        <v>9</v>
      </c>
      <c r="C14195" t="s">
        <v>27</v>
      </c>
      <c r="D14195" t="s">
        <v>17</v>
      </c>
      <c r="E14195" t="s">
        <v>12</v>
      </c>
      <c r="F14195">
        <v>115564437</v>
      </c>
      <c r="G14195">
        <v>115564490</v>
      </c>
      <c r="H14195">
        <v>115564437</v>
      </c>
      <c r="I14195">
        <v>115564490</v>
      </c>
    </row>
    <row r="14196" spans="1:9" x14ac:dyDescent="0.2">
      <c r="A14196" t="str">
        <f>"Nup85"</f>
        <v>Nup85</v>
      </c>
      <c r="B14196" t="s">
        <v>13</v>
      </c>
      <c r="C14196" t="s">
        <v>27</v>
      </c>
      <c r="D14196" t="s">
        <v>17</v>
      </c>
      <c r="E14196" t="s">
        <v>12</v>
      </c>
      <c r="F14196">
        <v>115581765</v>
      </c>
      <c r="G14196">
        <v>115581776</v>
      </c>
      <c r="H14196">
        <v>115581765</v>
      </c>
      <c r="I14196">
        <v>115581776</v>
      </c>
    </row>
    <row r="14197" spans="1:9" x14ac:dyDescent="0.2">
      <c r="A14197" t="str">
        <f>"Nup88"</f>
        <v>Nup88</v>
      </c>
      <c r="B14197" t="s">
        <v>14</v>
      </c>
      <c r="C14197" t="s">
        <v>27</v>
      </c>
      <c r="D14197" t="s">
        <v>11</v>
      </c>
      <c r="E14197" t="s">
        <v>12</v>
      </c>
      <c r="F14197">
        <v>70969953</v>
      </c>
      <c r="G14197">
        <v>70969978</v>
      </c>
      <c r="H14197">
        <v>70969953</v>
      </c>
      <c r="I14197">
        <v>70969978</v>
      </c>
    </row>
    <row r="14198" spans="1:9" x14ac:dyDescent="0.2">
      <c r="A14198" t="str">
        <f>"Nup93"</f>
        <v>Nup93</v>
      </c>
      <c r="B14198" t="s">
        <v>14</v>
      </c>
      <c r="C14198" t="s">
        <v>30</v>
      </c>
      <c r="D14198" t="s">
        <v>17</v>
      </c>
      <c r="E14198" t="s">
        <v>12</v>
      </c>
      <c r="F14198">
        <v>94214567</v>
      </c>
      <c r="G14198">
        <v>94214608</v>
      </c>
      <c r="H14198">
        <v>94214547</v>
      </c>
      <c r="I14198">
        <v>94214558</v>
      </c>
    </row>
    <row r="14199" spans="1:9" x14ac:dyDescent="0.2">
      <c r="A14199" t="str">
        <f>"Nup98"</f>
        <v>Nup98</v>
      </c>
      <c r="B14199" t="s">
        <v>14</v>
      </c>
      <c r="C14199" t="s">
        <v>33</v>
      </c>
      <c r="D14199" t="s">
        <v>11</v>
      </c>
      <c r="E14199" t="s">
        <v>12</v>
      </c>
      <c r="F14199">
        <v>102210120</v>
      </c>
      <c r="G14199">
        <v>102210157</v>
      </c>
      <c r="H14199">
        <v>102209861</v>
      </c>
      <c r="I14199">
        <v>102209888</v>
      </c>
    </row>
    <row r="14200" spans="1:9" x14ac:dyDescent="0.2">
      <c r="A14200" t="str">
        <f>"Nupl1"</f>
        <v>Nupl1</v>
      </c>
      <c r="B14200" t="s">
        <v>14</v>
      </c>
      <c r="C14200" t="s">
        <v>41</v>
      </c>
      <c r="D14200" t="s">
        <v>11</v>
      </c>
      <c r="E14200" t="s">
        <v>12</v>
      </c>
      <c r="F14200">
        <v>60251375</v>
      </c>
      <c r="G14200">
        <v>60251445</v>
      </c>
      <c r="H14200">
        <v>60251447</v>
      </c>
      <c r="I14200">
        <v>60251458</v>
      </c>
    </row>
    <row r="14201" spans="1:9" x14ac:dyDescent="0.2">
      <c r="A14201" t="str">
        <f>"Nupl2"</f>
        <v>Nupl2</v>
      </c>
      <c r="B14201" t="s">
        <v>14</v>
      </c>
      <c r="C14201" t="s">
        <v>46</v>
      </c>
      <c r="D14201" t="s">
        <v>17</v>
      </c>
      <c r="E14201" t="s">
        <v>12</v>
      </c>
      <c r="F14201">
        <v>24164985</v>
      </c>
      <c r="G14201">
        <v>24165044</v>
      </c>
      <c r="H14201">
        <v>24165048</v>
      </c>
      <c r="I14201">
        <v>24165055</v>
      </c>
    </row>
    <row r="14202" spans="1:9" x14ac:dyDescent="0.2">
      <c r="A14202" t="str">
        <f>"Nupr1"</f>
        <v>Nupr1</v>
      </c>
      <c r="B14202" t="s">
        <v>14</v>
      </c>
      <c r="C14202" t="s">
        <v>33</v>
      </c>
      <c r="D14202" t="s">
        <v>11</v>
      </c>
      <c r="E14202" t="s">
        <v>12</v>
      </c>
      <c r="F14202">
        <v>126625482</v>
      </c>
      <c r="G14202">
        <v>126625496</v>
      </c>
      <c r="H14202">
        <v>126625482</v>
      </c>
      <c r="I14202">
        <v>126625496</v>
      </c>
    </row>
    <row r="14203" spans="1:9" x14ac:dyDescent="0.2">
      <c r="A14203" t="str">
        <f>"Nupr1l"</f>
        <v>Nupr1l</v>
      </c>
      <c r="B14203" t="s">
        <v>14</v>
      </c>
      <c r="C14203" t="s">
        <v>46</v>
      </c>
      <c r="D14203" t="s">
        <v>17</v>
      </c>
      <c r="E14203" t="s">
        <v>67</v>
      </c>
      <c r="F14203">
        <v>129908538</v>
      </c>
      <c r="G14203">
        <v>129908593</v>
      </c>
      <c r="H14203">
        <v>129908538</v>
      </c>
      <c r="I14203">
        <v>129908593</v>
      </c>
    </row>
    <row r="14204" spans="1:9" x14ac:dyDescent="0.2">
      <c r="A14204" t="str">
        <f>"Nus1"</f>
        <v>Nus1</v>
      </c>
      <c r="B14204" t="s">
        <v>14</v>
      </c>
      <c r="C14204" t="s">
        <v>15</v>
      </c>
      <c r="D14204" t="s">
        <v>17</v>
      </c>
      <c r="E14204" t="s">
        <v>12</v>
      </c>
      <c r="F14204">
        <v>52417532</v>
      </c>
      <c r="G14204">
        <v>52417580</v>
      </c>
      <c r="H14204">
        <v>52417589</v>
      </c>
      <c r="I14204">
        <v>52417611</v>
      </c>
    </row>
    <row r="14205" spans="1:9" x14ac:dyDescent="0.2">
      <c r="A14205" t="str">
        <f>"Nusap1"</f>
        <v>Nusap1</v>
      </c>
      <c r="B14205" t="s">
        <v>14</v>
      </c>
      <c r="C14205" t="s">
        <v>26</v>
      </c>
      <c r="D14205" t="s">
        <v>17</v>
      </c>
      <c r="E14205" t="s">
        <v>12</v>
      </c>
      <c r="F14205">
        <v>119618721</v>
      </c>
      <c r="G14205">
        <v>119618737</v>
      </c>
      <c r="H14205">
        <v>119618721</v>
      </c>
      <c r="I14205">
        <v>119618737</v>
      </c>
    </row>
    <row r="14206" spans="1:9" x14ac:dyDescent="0.2">
      <c r="A14206" t="str">
        <f>"Nutf2"</f>
        <v>Nutf2</v>
      </c>
      <c r="B14206" t="s">
        <v>14</v>
      </c>
      <c r="C14206" t="s">
        <v>30</v>
      </c>
      <c r="D14206" t="s">
        <v>17</v>
      </c>
      <c r="E14206" t="s">
        <v>12</v>
      </c>
      <c r="F14206">
        <v>105860597</v>
      </c>
      <c r="G14206">
        <v>105860608</v>
      </c>
      <c r="H14206">
        <v>105860472</v>
      </c>
      <c r="I14206">
        <v>105860492</v>
      </c>
    </row>
    <row r="14207" spans="1:9" x14ac:dyDescent="0.2">
      <c r="A14207" t="str">
        <f>"Nutf2-ps1"</f>
        <v>Nutf2-ps1</v>
      </c>
      <c r="B14207" t="s">
        <v>4393</v>
      </c>
      <c r="C14207" t="s">
        <v>10</v>
      </c>
      <c r="D14207" t="s">
        <v>11</v>
      </c>
      <c r="E14207" t="s">
        <v>20</v>
      </c>
      <c r="F14207">
        <v>53589066</v>
      </c>
      <c r="G14207">
        <v>53589066</v>
      </c>
      <c r="H14207">
        <v>53589066</v>
      </c>
      <c r="I14207">
        <v>53589066</v>
      </c>
    </row>
    <row r="14208" spans="1:9" x14ac:dyDescent="0.2">
      <c r="A14208" t="str">
        <f>"Nutm1"</f>
        <v>Nutm1</v>
      </c>
      <c r="B14208" t="s">
        <v>14</v>
      </c>
      <c r="C14208" t="s">
        <v>26</v>
      </c>
      <c r="D14208" t="s">
        <v>11</v>
      </c>
      <c r="E14208" t="s">
        <v>67</v>
      </c>
      <c r="F14208">
        <v>112259281</v>
      </c>
      <c r="G14208">
        <v>112259312</v>
      </c>
      <c r="H14208">
        <v>112259281</v>
      </c>
      <c r="I14208">
        <v>112259312</v>
      </c>
    </row>
    <row r="14209" spans="1:9" x14ac:dyDescent="0.2">
      <c r="A14209" t="str">
        <f>"Nvl"</f>
        <v>Nvl</v>
      </c>
      <c r="B14209" t="s">
        <v>14</v>
      </c>
      <c r="C14209" t="s">
        <v>19</v>
      </c>
      <c r="D14209" t="s">
        <v>11</v>
      </c>
      <c r="E14209" t="s">
        <v>12</v>
      </c>
      <c r="F14209">
        <v>181144133</v>
      </c>
      <c r="G14209">
        <v>181144183</v>
      </c>
      <c r="H14209">
        <v>181144198</v>
      </c>
      <c r="I14209">
        <v>181144209</v>
      </c>
    </row>
    <row r="14210" spans="1:9" x14ac:dyDescent="0.2">
      <c r="A14210" t="str">
        <f>"Nwd1"</f>
        <v>Nwd1</v>
      </c>
      <c r="B14210" t="s">
        <v>14</v>
      </c>
      <c r="C14210" t="s">
        <v>30</v>
      </c>
      <c r="D14210" t="s">
        <v>17</v>
      </c>
      <c r="E14210" t="s">
        <v>12</v>
      </c>
      <c r="F14210">
        <v>72646679</v>
      </c>
      <c r="G14210">
        <v>72646725</v>
      </c>
      <c r="H14210">
        <v>72646728</v>
      </c>
      <c r="I14210">
        <v>72646781</v>
      </c>
    </row>
    <row r="14211" spans="1:9" x14ac:dyDescent="0.2">
      <c r="A14211" t="str">
        <f>"Nxf1"</f>
        <v>Nxf1</v>
      </c>
      <c r="B14211" t="s">
        <v>14</v>
      </c>
      <c r="C14211" t="s">
        <v>10</v>
      </c>
      <c r="D14211" t="s">
        <v>17</v>
      </c>
      <c r="E14211" t="s">
        <v>12</v>
      </c>
      <c r="F14211">
        <v>8757139</v>
      </c>
      <c r="G14211">
        <v>8757155</v>
      </c>
      <c r="H14211">
        <v>8757099</v>
      </c>
      <c r="I14211">
        <v>8757126</v>
      </c>
    </row>
    <row r="14212" spans="1:9" x14ac:dyDescent="0.2">
      <c r="A14212" t="str">
        <f>"Nxf2"</f>
        <v>Nxf2</v>
      </c>
      <c r="B14212" t="s">
        <v>14</v>
      </c>
      <c r="C14212" t="s">
        <v>37</v>
      </c>
      <c r="D14212" t="s">
        <v>11</v>
      </c>
      <c r="E14212" t="s">
        <v>12</v>
      </c>
      <c r="F14212">
        <v>134964695</v>
      </c>
      <c r="G14212">
        <v>134964726</v>
      </c>
      <c r="H14212">
        <v>134964742</v>
      </c>
      <c r="I14212">
        <v>134964767</v>
      </c>
    </row>
    <row r="14213" spans="1:9" x14ac:dyDescent="0.2">
      <c r="A14213" t="str">
        <f>"Nxf3"</f>
        <v>Nxf3</v>
      </c>
      <c r="B14213" t="s">
        <v>14</v>
      </c>
      <c r="C14213" t="s">
        <v>37</v>
      </c>
      <c r="D14213" t="s">
        <v>11</v>
      </c>
      <c r="E14213" t="s">
        <v>12</v>
      </c>
      <c r="F14213">
        <v>136085206</v>
      </c>
      <c r="G14213">
        <v>136085250</v>
      </c>
      <c r="H14213">
        <v>136085206</v>
      </c>
      <c r="I14213">
        <v>136085250</v>
      </c>
    </row>
    <row r="14214" spans="1:9" x14ac:dyDescent="0.2">
      <c r="A14214" t="str">
        <f>"Nxf7"</f>
        <v>Nxf7</v>
      </c>
      <c r="B14214" t="s">
        <v>14</v>
      </c>
      <c r="C14214" t="s">
        <v>37</v>
      </c>
      <c r="D14214" t="s">
        <v>11</v>
      </c>
      <c r="E14214" t="s">
        <v>12</v>
      </c>
      <c r="F14214">
        <v>135598778</v>
      </c>
      <c r="G14214">
        <v>135598786</v>
      </c>
      <c r="H14214">
        <v>135598778</v>
      </c>
      <c r="I14214">
        <v>135598786</v>
      </c>
    </row>
    <row r="14215" spans="1:9" x14ac:dyDescent="0.2">
      <c r="A14215" t="str">
        <f>"Nxn"</f>
        <v>Nxn</v>
      </c>
      <c r="B14215" t="s">
        <v>14</v>
      </c>
      <c r="C14215" t="s">
        <v>27</v>
      </c>
      <c r="D14215" t="s">
        <v>11</v>
      </c>
      <c r="E14215" t="s">
        <v>12</v>
      </c>
      <c r="F14215">
        <v>76399107</v>
      </c>
      <c r="G14215">
        <v>76399183</v>
      </c>
      <c r="H14215">
        <v>76399078</v>
      </c>
      <c r="I14215">
        <v>76399103</v>
      </c>
    </row>
    <row r="14216" spans="1:9" x14ac:dyDescent="0.2">
      <c r="A14216" t="str">
        <f>"Nxnl1"</f>
        <v>Nxnl1</v>
      </c>
      <c r="B14216" t="s">
        <v>14</v>
      </c>
      <c r="C14216" t="s">
        <v>30</v>
      </c>
      <c r="D14216" t="s">
        <v>11</v>
      </c>
      <c r="E14216" t="s">
        <v>12</v>
      </c>
      <c r="F14216">
        <v>71566641</v>
      </c>
      <c r="G14216">
        <v>71566652</v>
      </c>
      <c r="H14216">
        <v>71566615</v>
      </c>
      <c r="I14216">
        <v>71566626</v>
      </c>
    </row>
    <row r="14217" spans="1:9" x14ac:dyDescent="0.2">
      <c r="A14217" t="str">
        <f>"Nxnl2"</f>
        <v>Nxnl2</v>
      </c>
      <c r="B14217" t="s">
        <v>14</v>
      </c>
      <c r="C14217" t="s">
        <v>39</v>
      </c>
      <c r="D14217" t="s">
        <v>17</v>
      </c>
      <c r="E14217" t="s">
        <v>12</v>
      </c>
      <c r="F14217">
        <v>51171234</v>
      </c>
      <c r="G14217">
        <v>51171258</v>
      </c>
      <c r="H14217">
        <v>51170832</v>
      </c>
      <c r="I14217">
        <v>51170878</v>
      </c>
    </row>
    <row r="14218" spans="1:9" x14ac:dyDescent="0.2">
      <c r="A14218" t="str">
        <f>"Nxpe2"</f>
        <v>Nxpe2</v>
      </c>
      <c r="B14218" t="s">
        <v>14</v>
      </c>
      <c r="C14218" t="s">
        <v>24</v>
      </c>
      <c r="D14218" t="s">
        <v>11</v>
      </c>
      <c r="E14218" t="s">
        <v>67</v>
      </c>
      <c r="F14218">
        <v>48340814</v>
      </c>
      <c r="G14218">
        <v>48340842</v>
      </c>
      <c r="H14218">
        <v>48340774</v>
      </c>
      <c r="I14218">
        <v>48340791</v>
      </c>
    </row>
    <row r="14219" spans="1:9" x14ac:dyDescent="0.2">
      <c r="A14219" t="str">
        <f>"Nxpe3"</f>
        <v>Nxpe3</v>
      </c>
      <c r="B14219" t="s">
        <v>14</v>
      </c>
      <c r="C14219" t="s">
        <v>31</v>
      </c>
      <c r="D14219" t="s">
        <v>11</v>
      </c>
      <c r="E14219" t="s">
        <v>67</v>
      </c>
      <c r="F14219">
        <v>55895355</v>
      </c>
      <c r="G14219">
        <v>55895410</v>
      </c>
      <c r="H14219">
        <v>55895184</v>
      </c>
      <c r="I14219">
        <v>55895214</v>
      </c>
    </row>
    <row r="14220" spans="1:9" x14ac:dyDescent="0.2">
      <c r="A14220" t="str">
        <f>"Nxpe4"</f>
        <v>Nxpe4</v>
      </c>
      <c r="B14220" t="s">
        <v>4394</v>
      </c>
      <c r="C14220" t="s">
        <v>24</v>
      </c>
      <c r="D14220" t="s">
        <v>17</v>
      </c>
      <c r="E14220" t="s">
        <v>20</v>
      </c>
      <c r="F14220">
        <v>48362040</v>
      </c>
      <c r="G14220">
        <v>48362040</v>
      </c>
      <c r="H14220">
        <v>48362040</v>
      </c>
      <c r="I14220">
        <v>48362040</v>
      </c>
    </row>
    <row r="14221" spans="1:9" x14ac:dyDescent="0.2">
      <c r="A14221" t="str">
        <f>"Nxpe5"</f>
        <v>Nxpe5</v>
      </c>
      <c r="B14221" t="s">
        <v>14</v>
      </c>
      <c r="C14221" t="s">
        <v>46</v>
      </c>
      <c r="D14221" t="s">
        <v>17</v>
      </c>
      <c r="E14221" t="s">
        <v>67</v>
      </c>
      <c r="F14221">
        <v>138229867</v>
      </c>
      <c r="G14221">
        <v>138229881</v>
      </c>
      <c r="H14221">
        <v>138229834</v>
      </c>
      <c r="I14221">
        <v>138229849</v>
      </c>
    </row>
    <row r="14222" spans="1:9" x14ac:dyDescent="0.2">
      <c r="A14222" t="str">
        <f>"Nxph1"</f>
        <v>Nxph1</v>
      </c>
      <c r="B14222" t="s">
        <v>14</v>
      </c>
      <c r="C14222" t="s">
        <v>32</v>
      </c>
      <c r="D14222" t="s">
        <v>17</v>
      </c>
      <c r="E14222" t="s">
        <v>12</v>
      </c>
      <c r="F14222">
        <v>8949812</v>
      </c>
      <c r="G14222">
        <v>8949830</v>
      </c>
      <c r="H14222">
        <v>8949691</v>
      </c>
      <c r="I14222">
        <v>8949735</v>
      </c>
    </row>
    <row r="14223" spans="1:9" x14ac:dyDescent="0.2">
      <c r="A14223" t="str">
        <f>"Nxph2"</f>
        <v>Nxph2</v>
      </c>
      <c r="B14223" t="s">
        <v>14</v>
      </c>
      <c r="C14223" t="s">
        <v>26</v>
      </c>
      <c r="D14223" t="s">
        <v>17</v>
      </c>
      <c r="E14223" t="s">
        <v>12</v>
      </c>
      <c r="F14223">
        <v>23321401</v>
      </c>
      <c r="G14223">
        <v>23321417</v>
      </c>
      <c r="H14223">
        <v>23321243</v>
      </c>
      <c r="I14223">
        <v>23321247</v>
      </c>
    </row>
    <row r="14224" spans="1:9" x14ac:dyDescent="0.2">
      <c r="A14224" t="str">
        <f>"Nxph3"</f>
        <v>Nxph3</v>
      </c>
      <c r="B14224" t="s">
        <v>14</v>
      </c>
      <c r="C14224" t="s">
        <v>27</v>
      </c>
      <c r="D14224" t="s">
        <v>11</v>
      </c>
      <c r="E14224" t="s">
        <v>12</v>
      </c>
      <c r="F14224">
        <v>95514542</v>
      </c>
      <c r="G14224">
        <v>95514569</v>
      </c>
      <c r="H14224">
        <v>95514574</v>
      </c>
      <c r="I14224">
        <v>95514591</v>
      </c>
    </row>
    <row r="14225" spans="1:9" x14ac:dyDescent="0.2">
      <c r="A14225" t="str">
        <f>"Nxph4"</f>
        <v>Nxph4</v>
      </c>
      <c r="B14225" t="s">
        <v>14</v>
      </c>
      <c r="C14225" t="s">
        <v>15</v>
      </c>
      <c r="D14225" t="s">
        <v>11</v>
      </c>
      <c r="E14225" t="s">
        <v>12</v>
      </c>
      <c r="F14225">
        <v>127534570</v>
      </c>
      <c r="G14225">
        <v>127534594</v>
      </c>
      <c r="H14225">
        <v>127534540</v>
      </c>
      <c r="I14225">
        <v>127534566</v>
      </c>
    </row>
    <row r="14226" spans="1:9" x14ac:dyDescent="0.2">
      <c r="A14226" t="str">
        <f>"Nxt1"</f>
        <v>Nxt1</v>
      </c>
      <c r="B14226" t="s">
        <v>14</v>
      </c>
      <c r="C14226" t="s">
        <v>26</v>
      </c>
      <c r="D14226" t="s">
        <v>17</v>
      </c>
      <c r="E14226" t="s">
        <v>12</v>
      </c>
      <c r="F14226">
        <v>148672634</v>
      </c>
      <c r="G14226">
        <v>148672722</v>
      </c>
      <c r="H14226">
        <v>148672758</v>
      </c>
      <c r="I14226">
        <v>148672763</v>
      </c>
    </row>
    <row r="14227" spans="1:9" x14ac:dyDescent="0.2">
      <c r="A14227" t="str">
        <f>"Nxt2"</f>
        <v>Nxt2</v>
      </c>
      <c r="B14227" t="s">
        <v>14</v>
      </c>
      <c r="C14227" t="s">
        <v>37</v>
      </c>
      <c r="D14227" t="s">
        <v>17</v>
      </c>
      <c r="E14227" t="s">
        <v>12</v>
      </c>
      <c r="F14227">
        <v>142228182</v>
      </c>
      <c r="G14227">
        <v>142228250</v>
      </c>
      <c r="H14227">
        <v>142227923</v>
      </c>
      <c r="I14227">
        <v>142227951</v>
      </c>
    </row>
    <row r="14228" spans="1:9" x14ac:dyDescent="0.2">
      <c r="A14228" t="str">
        <f>"Nyap1"</f>
        <v>Nyap1</v>
      </c>
      <c r="B14228" t="s">
        <v>14</v>
      </c>
      <c r="C14228" t="s">
        <v>46</v>
      </c>
      <c r="D14228" t="s">
        <v>11</v>
      </c>
      <c r="E14228" t="s">
        <v>67</v>
      </c>
      <c r="F14228">
        <v>137741109</v>
      </c>
      <c r="G14228">
        <v>137741185</v>
      </c>
      <c r="H14228">
        <v>137741601</v>
      </c>
      <c r="I14228">
        <v>137741617</v>
      </c>
    </row>
    <row r="14229" spans="1:9" x14ac:dyDescent="0.2">
      <c r="A14229" t="str">
        <f>"Nyap2"</f>
        <v>Nyap2</v>
      </c>
      <c r="B14229" t="s">
        <v>14</v>
      </c>
      <c r="C14229" t="s">
        <v>19</v>
      </c>
      <c r="D14229" t="s">
        <v>17</v>
      </c>
      <c r="E14229" t="s">
        <v>67</v>
      </c>
      <c r="F14229">
        <v>81077274</v>
      </c>
      <c r="G14229">
        <v>81077327</v>
      </c>
      <c r="H14229">
        <v>81077217</v>
      </c>
      <c r="I14229">
        <v>81077252</v>
      </c>
    </row>
    <row r="14230" spans="1:9" x14ac:dyDescent="0.2">
      <c r="A14230" t="str">
        <f>"Nynrin"</f>
        <v>Nynrin</v>
      </c>
      <c r="B14230" t="s">
        <v>14</v>
      </c>
      <c r="C14230" t="s">
        <v>41</v>
      </c>
      <c r="D14230" t="s">
        <v>17</v>
      </c>
      <c r="E14230" t="s">
        <v>12</v>
      </c>
      <c r="F14230">
        <v>55854125</v>
      </c>
      <c r="G14230">
        <v>55854206</v>
      </c>
      <c r="H14230">
        <v>55853997</v>
      </c>
      <c r="I14230">
        <v>55854033</v>
      </c>
    </row>
    <row r="14231" spans="1:9" x14ac:dyDescent="0.2">
      <c r="A14231" t="str">
        <f>"Nyx"</f>
        <v>Nyx</v>
      </c>
      <c r="B14231" t="s">
        <v>14</v>
      </c>
      <c r="C14231" t="s">
        <v>37</v>
      </c>
      <c r="D14231" t="s">
        <v>17</v>
      </c>
      <c r="E14231" t="s">
        <v>12</v>
      </c>
      <c r="F14231">
        <v>13467684</v>
      </c>
      <c r="G14231">
        <v>13467718</v>
      </c>
      <c r="H14231">
        <v>13467642</v>
      </c>
      <c r="I14231">
        <v>13467645</v>
      </c>
    </row>
    <row r="14232" spans="1:9" x14ac:dyDescent="0.2">
      <c r="A14232" t="str">
        <f>"Oacyl"</f>
        <v>Oacyl</v>
      </c>
      <c r="B14232" t="s">
        <v>14</v>
      </c>
      <c r="C14232" t="s">
        <v>43</v>
      </c>
      <c r="D14232" t="s">
        <v>17</v>
      </c>
      <c r="E14232" t="s">
        <v>67</v>
      </c>
      <c r="F14232">
        <v>65698253</v>
      </c>
      <c r="G14232">
        <v>65698277</v>
      </c>
      <c r="H14232">
        <v>65698253</v>
      </c>
      <c r="I14232">
        <v>65698277</v>
      </c>
    </row>
    <row r="14233" spans="1:9" x14ac:dyDescent="0.2">
      <c r="A14233" t="str">
        <f>"Oaf"</f>
        <v>Oaf</v>
      </c>
      <c r="B14233" t="s">
        <v>14</v>
      </c>
      <c r="C14233" t="s">
        <v>24</v>
      </c>
      <c r="D14233" t="s">
        <v>11</v>
      </c>
      <c r="E14233" t="s">
        <v>12</v>
      </c>
      <c r="F14233">
        <v>43239795</v>
      </c>
      <c r="G14233">
        <v>43239810</v>
      </c>
      <c r="H14233">
        <v>43239817</v>
      </c>
      <c r="I14233">
        <v>43239842</v>
      </c>
    </row>
    <row r="14234" spans="1:9" x14ac:dyDescent="0.2">
      <c r="A14234" t="str">
        <f>"Oard1"</f>
        <v>Oard1</v>
      </c>
      <c r="B14234" t="s">
        <v>14</v>
      </c>
      <c r="C14234" t="s">
        <v>28</v>
      </c>
      <c r="D14234" t="s">
        <v>17</v>
      </c>
      <c r="E14234" t="s">
        <v>67</v>
      </c>
      <c r="F14234">
        <v>48409980</v>
      </c>
      <c r="G14234">
        <v>48410104</v>
      </c>
      <c r="H14234">
        <v>48410206</v>
      </c>
      <c r="I14234">
        <v>48410262</v>
      </c>
    </row>
    <row r="14235" spans="1:9" x14ac:dyDescent="0.2">
      <c r="A14235" t="str">
        <f>"Oas1a"</f>
        <v>Oas1a</v>
      </c>
      <c r="B14235" t="s">
        <v>14</v>
      </c>
      <c r="C14235" t="s">
        <v>46</v>
      </c>
      <c r="D14235" t="s">
        <v>11</v>
      </c>
      <c r="E14235" t="s">
        <v>12</v>
      </c>
      <c r="F14235">
        <v>120907510</v>
      </c>
      <c r="G14235">
        <v>120907533</v>
      </c>
      <c r="H14235">
        <v>120907510</v>
      </c>
      <c r="I14235">
        <v>120907533</v>
      </c>
    </row>
    <row r="14236" spans="1:9" x14ac:dyDescent="0.2">
      <c r="A14236" t="str">
        <f>"Oas1c"</f>
        <v>Oas1c</v>
      </c>
      <c r="B14236" t="s">
        <v>14</v>
      </c>
      <c r="C14236" t="s">
        <v>46</v>
      </c>
      <c r="D14236" t="s">
        <v>11</v>
      </c>
      <c r="E14236" t="s">
        <v>12</v>
      </c>
      <c r="F14236">
        <v>120812506</v>
      </c>
      <c r="G14236">
        <v>120812539</v>
      </c>
      <c r="H14236">
        <v>120812484</v>
      </c>
      <c r="I14236">
        <v>120812493</v>
      </c>
    </row>
    <row r="14237" spans="1:9" x14ac:dyDescent="0.2">
      <c r="A14237" t="str">
        <f>"Oas1d"</f>
        <v>Oas1d</v>
      </c>
      <c r="B14237" t="s">
        <v>4395</v>
      </c>
      <c r="C14237" t="s">
        <v>46</v>
      </c>
      <c r="D14237" t="s">
        <v>17</v>
      </c>
      <c r="E14237" t="s">
        <v>20</v>
      </c>
      <c r="F14237">
        <v>120914535</v>
      </c>
      <c r="G14237">
        <v>120914535</v>
      </c>
      <c r="H14237">
        <v>120914535</v>
      </c>
      <c r="I14237">
        <v>120914535</v>
      </c>
    </row>
    <row r="14238" spans="1:9" x14ac:dyDescent="0.2">
      <c r="A14238" t="str">
        <f>"Oas1e"</f>
        <v>Oas1e</v>
      </c>
      <c r="B14238" t="s">
        <v>4396</v>
      </c>
      <c r="C14238" t="s">
        <v>46</v>
      </c>
      <c r="D14238" t="s">
        <v>11</v>
      </c>
      <c r="E14238" t="s">
        <v>20</v>
      </c>
      <c r="F14238">
        <v>120795529</v>
      </c>
      <c r="G14238">
        <v>120795529</v>
      </c>
      <c r="H14238">
        <v>120795529</v>
      </c>
      <c r="I14238">
        <v>120795529</v>
      </c>
    </row>
    <row r="14239" spans="1:9" x14ac:dyDescent="0.2">
      <c r="A14239" t="str">
        <f>"Oas1f"</f>
        <v>Oas1f</v>
      </c>
      <c r="B14239" t="s">
        <v>14</v>
      </c>
      <c r="C14239" t="s">
        <v>46</v>
      </c>
      <c r="D14239" t="s">
        <v>17</v>
      </c>
      <c r="E14239" t="s">
        <v>12</v>
      </c>
      <c r="F14239">
        <v>120847364</v>
      </c>
      <c r="G14239">
        <v>120847391</v>
      </c>
      <c r="H14239">
        <v>120847351</v>
      </c>
      <c r="I14239">
        <v>120847355</v>
      </c>
    </row>
    <row r="14240" spans="1:9" x14ac:dyDescent="0.2">
      <c r="A14240" t="str">
        <f>"Oas1g"</f>
        <v>Oas1g</v>
      </c>
      <c r="B14240" t="s">
        <v>14</v>
      </c>
      <c r="C14240" t="s">
        <v>46</v>
      </c>
      <c r="D14240" t="s">
        <v>11</v>
      </c>
      <c r="E14240" t="s">
        <v>12</v>
      </c>
      <c r="F14240">
        <v>120887598</v>
      </c>
      <c r="G14240">
        <v>120887612</v>
      </c>
      <c r="H14240">
        <v>120887598</v>
      </c>
      <c r="I14240">
        <v>120887612</v>
      </c>
    </row>
    <row r="14241" spans="1:9" x14ac:dyDescent="0.2">
      <c r="A14241" t="str">
        <f>"Oas1h"</f>
        <v>Oas1h</v>
      </c>
      <c r="B14241" t="s">
        <v>14</v>
      </c>
      <c r="C14241" t="s">
        <v>46</v>
      </c>
      <c r="D14241" t="s">
        <v>17</v>
      </c>
      <c r="E14241" t="s">
        <v>12</v>
      </c>
      <c r="F14241">
        <v>120861420</v>
      </c>
      <c r="G14241">
        <v>120861427</v>
      </c>
      <c r="H14241">
        <v>120861420</v>
      </c>
      <c r="I14241">
        <v>120861427</v>
      </c>
    </row>
    <row r="14242" spans="1:9" x14ac:dyDescent="0.2">
      <c r="A14242" t="str">
        <f>"Oas2"</f>
        <v>Oas2</v>
      </c>
      <c r="B14242" t="s">
        <v>14</v>
      </c>
      <c r="C14242" t="s">
        <v>46</v>
      </c>
      <c r="D14242" t="s">
        <v>11</v>
      </c>
      <c r="E14242" t="s">
        <v>12</v>
      </c>
      <c r="F14242">
        <v>120749810</v>
      </c>
      <c r="G14242">
        <v>120749845</v>
      </c>
      <c r="H14242">
        <v>120749848</v>
      </c>
      <c r="I14242">
        <v>120749868</v>
      </c>
    </row>
    <row r="14243" spans="1:9" x14ac:dyDescent="0.2">
      <c r="A14243" t="str">
        <f>"Oas3"</f>
        <v>Oas3</v>
      </c>
      <c r="B14243" t="s">
        <v>14</v>
      </c>
      <c r="C14243" t="s">
        <v>46</v>
      </c>
      <c r="D14243" t="s">
        <v>11</v>
      </c>
      <c r="E14243" t="s">
        <v>12</v>
      </c>
      <c r="F14243">
        <v>120777628</v>
      </c>
      <c r="G14243">
        <v>120777664</v>
      </c>
      <c r="H14243">
        <v>120777628</v>
      </c>
      <c r="I14243">
        <v>120777664</v>
      </c>
    </row>
    <row r="14244" spans="1:9" x14ac:dyDescent="0.2">
      <c r="A14244" t="str">
        <f>"Oasl1"</f>
        <v>Oasl1</v>
      </c>
      <c r="B14244" t="s">
        <v>14</v>
      </c>
      <c r="C14244" t="s">
        <v>46</v>
      </c>
      <c r="D14244" t="s">
        <v>17</v>
      </c>
      <c r="E14244" t="s">
        <v>12</v>
      </c>
      <c r="F14244">
        <v>114923387</v>
      </c>
      <c r="G14244">
        <v>114923400</v>
      </c>
      <c r="H14244">
        <v>114923343</v>
      </c>
      <c r="I14244">
        <v>114923354</v>
      </c>
    </row>
    <row r="14245" spans="1:9" x14ac:dyDescent="0.2">
      <c r="A14245" t="str">
        <f>"Oasl2"</f>
        <v>Oasl2</v>
      </c>
      <c r="B14245" t="s">
        <v>14</v>
      </c>
      <c r="C14245" t="s">
        <v>46</v>
      </c>
      <c r="D14245" t="s">
        <v>17</v>
      </c>
      <c r="E14245" t="s">
        <v>12</v>
      </c>
      <c r="F14245">
        <v>114897521</v>
      </c>
      <c r="G14245">
        <v>114897599</v>
      </c>
      <c r="H14245">
        <v>114897521</v>
      </c>
      <c r="I14245">
        <v>114897599</v>
      </c>
    </row>
    <row r="14246" spans="1:9" x14ac:dyDescent="0.2">
      <c r="A14246" t="str">
        <f>"Oat"</f>
        <v>Oat</v>
      </c>
      <c r="B14246" t="s">
        <v>14</v>
      </c>
      <c r="C14246" t="s">
        <v>33</v>
      </c>
      <c r="D14246" t="s">
        <v>11</v>
      </c>
      <c r="E14246" t="s">
        <v>12</v>
      </c>
      <c r="F14246">
        <v>132576337</v>
      </c>
      <c r="G14246">
        <v>132576355</v>
      </c>
      <c r="H14246">
        <v>132576372</v>
      </c>
      <c r="I14246">
        <v>132576392</v>
      </c>
    </row>
    <row r="14247" spans="1:9" x14ac:dyDescent="0.2">
      <c r="A14247" t="str">
        <f>"Oaz1"</f>
        <v>Oaz1</v>
      </c>
      <c r="B14247" t="s">
        <v>14</v>
      </c>
      <c r="C14247" t="s">
        <v>15</v>
      </c>
      <c r="D14247" t="s">
        <v>17</v>
      </c>
      <c r="E14247" t="s">
        <v>12</v>
      </c>
      <c r="F14247">
        <v>80826669</v>
      </c>
      <c r="G14247">
        <v>80826693</v>
      </c>
      <c r="H14247">
        <v>80826657</v>
      </c>
      <c r="I14247">
        <v>80826668</v>
      </c>
    </row>
    <row r="14248" spans="1:9" x14ac:dyDescent="0.2">
      <c r="A14248" t="str">
        <f>"Oaz2"</f>
        <v>Oaz2</v>
      </c>
      <c r="B14248" t="s">
        <v>14</v>
      </c>
      <c r="C14248" t="s">
        <v>24</v>
      </c>
      <c r="D14248" t="s">
        <v>17</v>
      </c>
      <c r="E14248" t="s">
        <v>67</v>
      </c>
      <c r="F14248">
        <v>65676566</v>
      </c>
      <c r="G14248">
        <v>65676621</v>
      </c>
      <c r="H14248">
        <v>65676566</v>
      </c>
      <c r="I14248">
        <v>65676621</v>
      </c>
    </row>
    <row r="14249" spans="1:9" x14ac:dyDescent="0.2">
      <c r="A14249" t="str">
        <f>"Oaz3"</f>
        <v>Oaz3</v>
      </c>
      <c r="B14249" t="s">
        <v>14</v>
      </c>
      <c r="C14249" t="s">
        <v>22</v>
      </c>
      <c r="D14249" t="s">
        <v>11</v>
      </c>
      <c r="E14249" t="s">
        <v>12</v>
      </c>
      <c r="F14249">
        <v>94436574</v>
      </c>
      <c r="G14249">
        <v>94436592</v>
      </c>
      <c r="H14249">
        <v>94436574</v>
      </c>
      <c r="I14249">
        <v>94436592</v>
      </c>
    </row>
    <row r="14250" spans="1:9" x14ac:dyDescent="0.2">
      <c r="A14250" t="str">
        <f>"Obfc1"</f>
        <v>Obfc1</v>
      </c>
      <c r="B14250" t="s">
        <v>14</v>
      </c>
      <c r="C14250" t="s">
        <v>10</v>
      </c>
      <c r="D14250" t="s">
        <v>11</v>
      </c>
      <c r="E14250" t="s">
        <v>12</v>
      </c>
      <c r="F14250">
        <v>47536997</v>
      </c>
      <c r="G14250">
        <v>47537049</v>
      </c>
      <c r="H14250">
        <v>47537091</v>
      </c>
      <c r="I14250">
        <v>47537103</v>
      </c>
    </row>
    <row r="14251" spans="1:9" x14ac:dyDescent="0.2">
      <c r="A14251" t="str">
        <f>"Obox1"</f>
        <v>Obox1</v>
      </c>
      <c r="B14251" t="s">
        <v>4397</v>
      </c>
      <c r="C14251" t="s">
        <v>33</v>
      </c>
      <c r="D14251" t="s">
        <v>17</v>
      </c>
      <c r="E14251" t="s">
        <v>20</v>
      </c>
      <c r="F14251">
        <v>15547029</v>
      </c>
      <c r="G14251">
        <v>15547029</v>
      </c>
      <c r="H14251">
        <v>15547029</v>
      </c>
      <c r="I14251">
        <v>15547029</v>
      </c>
    </row>
    <row r="14252" spans="1:9" x14ac:dyDescent="0.2">
      <c r="A14252" t="str">
        <f>"Obox1"</f>
        <v>Obox1</v>
      </c>
      <c r="B14252" t="s">
        <v>4398</v>
      </c>
      <c r="C14252" t="s">
        <v>33</v>
      </c>
      <c r="D14252" t="s">
        <v>17</v>
      </c>
      <c r="E14252" t="s">
        <v>20</v>
      </c>
      <c r="F14252">
        <v>15547288</v>
      </c>
      <c r="G14252">
        <v>15547288</v>
      </c>
      <c r="H14252">
        <v>15547288</v>
      </c>
      <c r="I14252">
        <v>15547288</v>
      </c>
    </row>
    <row r="14253" spans="1:9" x14ac:dyDescent="0.2">
      <c r="A14253" t="str">
        <f>"Obox1"</f>
        <v>Obox1</v>
      </c>
      <c r="B14253" t="s">
        <v>4399</v>
      </c>
      <c r="C14253" t="s">
        <v>33</v>
      </c>
      <c r="D14253" t="s">
        <v>17</v>
      </c>
      <c r="E14253" t="s">
        <v>20</v>
      </c>
      <c r="F14253">
        <v>15512339</v>
      </c>
      <c r="G14253">
        <v>15512339</v>
      </c>
      <c r="H14253">
        <v>15512339</v>
      </c>
      <c r="I14253">
        <v>15512339</v>
      </c>
    </row>
    <row r="14254" spans="1:9" x14ac:dyDescent="0.2">
      <c r="A14254" t="str">
        <f>"Obox1"</f>
        <v>Obox1</v>
      </c>
      <c r="B14254" t="s">
        <v>4400</v>
      </c>
      <c r="C14254" t="s">
        <v>33</v>
      </c>
      <c r="D14254" t="s">
        <v>17</v>
      </c>
      <c r="E14254" t="s">
        <v>20</v>
      </c>
      <c r="F14254">
        <v>15388947</v>
      </c>
      <c r="G14254">
        <v>15388947</v>
      </c>
      <c r="H14254">
        <v>15388947</v>
      </c>
      <c r="I14254">
        <v>15388947</v>
      </c>
    </row>
    <row r="14255" spans="1:9" x14ac:dyDescent="0.2">
      <c r="A14255" t="str">
        <f>"Obox2"</f>
        <v>Obox2</v>
      </c>
      <c r="B14255" t="s">
        <v>4401</v>
      </c>
      <c r="C14255" t="s">
        <v>33</v>
      </c>
      <c r="D14255" t="s">
        <v>17</v>
      </c>
      <c r="E14255" t="s">
        <v>20</v>
      </c>
      <c r="F14255">
        <v>15388720</v>
      </c>
      <c r="G14255">
        <v>15388720</v>
      </c>
      <c r="H14255">
        <v>15388720</v>
      </c>
      <c r="I14255">
        <v>15388720</v>
      </c>
    </row>
    <row r="14256" spans="1:9" x14ac:dyDescent="0.2">
      <c r="A14256" t="str">
        <f>"Obox2"</f>
        <v>Obox2</v>
      </c>
      <c r="B14256" t="s">
        <v>4402</v>
      </c>
      <c r="C14256" t="s">
        <v>33</v>
      </c>
      <c r="D14256" t="s">
        <v>17</v>
      </c>
      <c r="E14256" t="s">
        <v>20</v>
      </c>
      <c r="F14256">
        <v>15390175</v>
      </c>
      <c r="G14256">
        <v>15390175</v>
      </c>
      <c r="H14256">
        <v>15390175</v>
      </c>
      <c r="I14256">
        <v>15390175</v>
      </c>
    </row>
    <row r="14257" spans="1:9" x14ac:dyDescent="0.2">
      <c r="A14257" t="str">
        <f>"Obox2"</f>
        <v>Obox2</v>
      </c>
      <c r="B14257" t="s">
        <v>4403</v>
      </c>
      <c r="C14257" t="s">
        <v>33</v>
      </c>
      <c r="D14257" t="s">
        <v>17</v>
      </c>
      <c r="E14257" t="s">
        <v>20</v>
      </c>
      <c r="F14257">
        <v>15388979</v>
      </c>
      <c r="G14257">
        <v>15388979</v>
      </c>
      <c r="H14257">
        <v>15388979</v>
      </c>
      <c r="I14257">
        <v>15388979</v>
      </c>
    </row>
    <row r="14258" spans="1:9" x14ac:dyDescent="0.2">
      <c r="A14258" t="str">
        <f>"Obox3"</f>
        <v>Obox3</v>
      </c>
      <c r="B14258" t="s">
        <v>4404</v>
      </c>
      <c r="C14258" t="s">
        <v>33</v>
      </c>
      <c r="D14258" t="s">
        <v>11</v>
      </c>
      <c r="E14258" t="s">
        <v>20</v>
      </c>
      <c r="F14258">
        <v>15627875</v>
      </c>
      <c r="G14258">
        <v>15627875</v>
      </c>
      <c r="H14258">
        <v>15627875</v>
      </c>
      <c r="I14258">
        <v>15627875</v>
      </c>
    </row>
    <row r="14259" spans="1:9" x14ac:dyDescent="0.2">
      <c r="A14259" t="str">
        <f>"Obox3"</f>
        <v>Obox3</v>
      </c>
      <c r="B14259" t="s">
        <v>4405</v>
      </c>
      <c r="C14259" t="s">
        <v>33</v>
      </c>
      <c r="D14259" t="s">
        <v>11</v>
      </c>
      <c r="E14259" t="s">
        <v>20</v>
      </c>
      <c r="F14259">
        <v>15639776</v>
      </c>
      <c r="G14259">
        <v>15639776</v>
      </c>
      <c r="H14259">
        <v>15639776</v>
      </c>
      <c r="I14259">
        <v>15639776</v>
      </c>
    </row>
    <row r="14260" spans="1:9" x14ac:dyDescent="0.2">
      <c r="A14260" t="str">
        <f>"Obox3"</f>
        <v>Obox3</v>
      </c>
      <c r="B14260" t="s">
        <v>4406</v>
      </c>
      <c r="C14260" t="s">
        <v>33</v>
      </c>
      <c r="D14260" t="s">
        <v>11</v>
      </c>
      <c r="E14260" t="s">
        <v>20</v>
      </c>
      <c r="F14260">
        <v>15639901</v>
      </c>
      <c r="G14260">
        <v>15639901</v>
      </c>
      <c r="H14260">
        <v>15639901</v>
      </c>
      <c r="I14260">
        <v>15639901</v>
      </c>
    </row>
    <row r="14261" spans="1:9" x14ac:dyDescent="0.2">
      <c r="A14261" t="str">
        <f>"Obox5"</f>
        <v>Obox5</v>
      </c>
      <c r="B14261" t="s">
        <v>14</v>
      </c>
      <c r="C14261" t="s">
        <v>33</v>
      </c>
      <c r="D14261" t="s">
        <v>17</v>
      </c>
      <c r="E14261" t="s">
        <v>12</v>
      </c>
      <c r="F14261">
        <v>15750367</v>
      </c>
      <c r="G14261">
        <v>15750370</v>
      </c>
      <c r="H14261">
        <v>15750367</v>
      </c>
      <c r="I14261">
        <v>15750370</v>
      </c>
    </row>
    <row r="14262" spans="1:9" x14ac:dyDescent="0.2">
      <c r="A14262" t="str">
        <f>"Obox6"</f>
        <v>Obox6</v>
      </c>
      <c r="B14262" t="s">
        <v>4407</v>
      </c>
      <c r="C14262" t="s">
        <v>33</v>
      </c>
      <c r="D14262" t="s">
        <v>11</v>
      </c>
      <c r="E14262" t="s">
        <v>20</v>
      </c>
      <c r="F14262">
        <v>15839677</v>
      </c>
      <c r="G14262">
        <v>15839677</v>
      </c>
      <c r="H14262">
        <v>15839677</v>
      </c>
      <c r="I14262">
        <v>15839677</v>
      </c>
    </row>
    <row r="14263" spans="1:9" x14ac:dyDescent="0.2">
      <c r="A14263" t="str">
        <f>"Obp1a"</f>
        <v>Obp1a</v>
      </c>
      <c r="B14263" t="s">
        <v>14</v>
      </c>
      <c r="C14263" t="s">
        <v>37</v>
      </c>
      <c r="D14263" t="s">
        <v>11</v>
      </c>
      <c r="E14263" t="s">
        <v>12</v>
      </c>
      <c r="F14263">
        <v>78091365</v>
      </c>
      <c r="G14263">
        <v>78091377</v>
      </c>
      <c r="H14263">
        <v>78091365</v>
      </c>
      <c r="I14263">
        <v>78091377</v>
      </c>
    </row>
    <row r="14264" spans="1:9" x14ac:dyDescent="0.2">
      <c r="A14264" t="str">
        <f>"Obp1b"</f>
        <v>Obp1b</v>
      </c>
      <c r="B14264" t="s">
        <v>4408</v>
      </c>
      <c r="C14264" t="s">
        <v>37</v>
      </c>
      <c r="D14264" t="s">
        <v>17</v>
      </c>
      <c r="E14264" t="s">
        <v>20</v>
      </c>
      <c r="F14264">
        <v>78186776</v>
      </c>
      <c r="G14264">
        <v>78186776</v>
      </c>
      <c r="H14264">
        <v>78186776</v>
      </c>
      <c r="I14264">
        <v>78186776</v>
      </c>
    </row>
    <row r="14265" spans="1:9" x14ac:dyDescent="0.2">
      <c r="A14265" t="str">
        <f>"Obp2a"</f>
        <v>Obp2a</v>
      </c>
      <c r="B14265" t="s">
        <v>14</v>
      </c>
      <c r="C14265" t="s">
        <v>26</v>
      </c>
      <c r="D14265" t="s">
        <v>17</v>
      </c>
      <c r="E14265" t="s">
        <v>67</v>
      </c>
      <c r="F14265">
        <v>25700039</v>
      </c>
      <c r="G14265">
        <v>25700042</v>
      </c>
      <c r="H14265">
        <v>25700039</v>
      </c>
      <c r="I14265">
        <v>25700042</v>
      </c>
    </row>
    <row r="14266" spans="1:9" x14ac:dyDescent="0.2">
      <c r="A14266" t="str">
        <f>"Obp2b"</f>
        <v>Obp2b</v>
      </c>
      <c r="B14266" t="s">
        <v>14</v>
      </c>
      <c r="C14266" t="s">
        <v>26</v>
      </c>
      <c r="D14266" t="s">
        <v>17</v>
      </c>
      <c r="E14266" t="s">
        <v>67</v>
      </c>
      <c r="F14266">
        <v>25737005</v>
      </c>
      <c r="G14266">
        <v>25737008</v>
      </c>
      <c r="H14266">
        <v>25737005</v>
      </c>
      <c r="I14266">
        <v>25737008</v>
      </c>
    </row>
    <row r="14267" spans="1:9" x14ac:dyDescent="0.2">
      <c r="A14267" t="str">
        <f>"Obscn"</f>
        <v>Obscn</v>
      </c>
      <c r="B14267" t="s">
        <v>14</v>
      </c>
      <c r="C14267" t="s">
        <v>27</v>
      </c>
      <c r="D14267" t="s">
        <v>11</v>
      </c>
      <c r="E14267" t="s">
        <v>12</v>
      </c>
      <c r="F14267">
        <v>59136397</v>
      </c>
      <c r="G14267">
        <v>59136402</v>
      </c>
      <c r="H14267">
        <v>59136397</v>
      </c>
      <c r="I14267">
        <v>59136402</v>
      </c>
    </row>
    <row r="14268" spans="1:9" x14ac:dyDescent="0.2">
      <c r="A14268" t="str">
        <f>"Obsl1"</f>
        <v>Obsl1</v>
      </c>
      <c r="B14268" t="s">
        <v>14</v>
      </c>
      <c r="C14268" t="s">
        <v>19</v>
      </c>
      <c r="D14268" t="s">
        <v>11</v>
      </c>
      <c r="E14268" t="s">
        <v>12</v>
      </c>
      <c r="F14268">
        <v>75506331</v>
      </c>
      <c r="G14268">
        <v>75506402</v>
      </c>
      <c r="H14268">
        <v>75506434</v>
      </c>
      <c r="I14268">
        <v>75506459</v>
      </c>
    </row>
    <row r="14269" spans="1:9" x14ac:dyDescent="0.2">
      <c r="A14269" t="str">
        <f>"Oc90"</f>
        <v>Oc90</v>
      </c>
      <c r="B14269" t="s">
        <v>14</v>
      </c>
      <c r="C14269" t="s">
        <v>25</v>
      </c>
      <c r="D14269" t="s">
        <v>11</v>
      </c>
      <c r="E14269" t="s">
        <v>12</v>
      </c>
      <c r="F14269">
        <v>65912285</v>
      </c>
      <c r="G14269">
        <v>65912292</v>
      </c>
      <c r="H14269">
        <v>65912424</v>
      </c>
      <c r="I14269">
        <v>65912433</v>
      </c>
    </row>
    <row r="14270" spans="1:9" x14ac:dyDescent="0.2">
      <c r="A14270" t="str">
        <f>"Oca2"</f>
        <v>Oca2</v>
      </c>
      <c r="B14270" t="s">
        <v>14</v>
      </c>
      <c r="C14270" t="s">
        <v>33</v>
      </c>
      <c r="D14270" t="s">
        <v>17</v>
      </c>
      <c r="E14270" t="s">
        <v>12</v>
      </c>
      <c r="F14270">
        <v>56239743</v>
      </c>
      <c r="G14270">
        <v>56239781</v>
      </c>
      <c r="H14270">
        <v>56239784</v>
      </c>
      <c r="I14270">
        <v>56239828</v>
      </c>
    </row>
    <row r="14271" spans="1:9" x14ac:dyDescent="0.2">
      <c r="A14271" t="str">
        <f>"Ocel1"</f>
        <v>Ocel1</v>
      </c>
      <c r="B14271" t="s">
        <v>14</v>
      </c>
      <c r="C14271" t="s">
        <v>30</v>
      </c>
      <c r="D14271" t="s">
        <v>17</v>
      </c>
      <c r="E14271" t="s">
        <v>12</v>
      </c>
      <c r="F14271">
        <v>71371283</v>
      </c>
      <c r="G14271">
        <v>71371359</v>
      </c>
      <c r="H14271">
        <v>71371283</v>
      </c>
      <c r="I14271">
        <v>71371359</v>
      </c>
    </row>
    <row r="14272" spans="1:9" x14ac:dyDescent="0.2">
      <c r="A14272" t="str">
        <f>"Ociad1"</f>
        <v>Ociad1</v>
      </c>
      <c r="B14272" t="s">
        <v>14</v>
      </c>
      <c r="C14272" t="s">
        <v>46</v>
      </c>
      <c r="D14272" t="s">
        <v>17</v>
      </c>
      <c r="E14272" t="s">
        <v>12</v>
      </c>
      <c r="F14272">
        <v>73292794</v>
      </c>
      <c r="G14272">
        <v>73292819</v>
      </c>
      <c r="H14272">
        <v>73292821</v>
      </c>
      <c r="I14272">
        <v>73292846</v>
      </c>
    </row>
    <row r="14273" spans="1:9" x14ac:dyDescent="0.2">
      <c r="A14273" t="str">
        <f>"Ociad2"</f>
        <v>Ociad2</v>
      </c>
      <c r="B14273" t="s">
        <v>14</v>
      </c>
      <c r="C14273" t="s">
        <v>46</v>
      </c>
      <c r="D14273" t="s">
        <v>11</v>
      </c>
      <c r="E14273" t="s">
        <v>12</v>
      </c>
      <c r="F14273">
        <v>73338580</v>
      </c>
      <c r="G14273">
        <v>73338640</v>
      </c>
      <c r="H14273">
        <v>73338554</v>
      </c>
      <c r="I14273">
        <v>73338576</v>
      </c>
    </row>
    <row r="14274" spans="1:9" x14ac:dyDescent="0.2">
      <c r="A14274" t="str">
        <f>"Ocln"</f>
        <v>Ocln</v>
      </c>
      <c r="B14274" t="s">
        <v>14</v>
      </c>
      <c r="C14274" t="s">
        <v>39</v>
      </c>
      <c r="D14274" t="s">
        <v>11</v>
      </c>
      <c r="E14274" t="s">
        <v>12</v>
      </c>
      <c r="F14274">
        <v>100552598</v>
      </c>
      <c r="G14274">
        <v>100552656</v>
      </c>
      <c r="H14274">
        <v>100552442</v>
      </c>
      <c r="I14274">
        <v>100552479</v>
      </c>
    </row>
    <row r="14275" spans="1:9" x14ac:dyDescent="0.2">
      <c r="A14275" t="str">
        <f>"Ocm"</f>
        <v>Ocm</v>
      </c>
      <c r="B14275" t="s">
        <v>14</v>
      </c>
      <c r="C14275" t="s">
        <v>46</v>
      </c>
      <c r="D14275" t="s">
        <v>11</v>
      </c>
      <c r="E14275" t="s">
        <v>12</v>
      </c>
      <c r="F14275">
        <v>144050629</v>
      </c>
      <c r="G14275">
        <v>144050646</v>
      </c>
      <c r="H14275">
        <v>144050629</v>
      </c>
      <c r="I14275">
        <v>144050646</v>
      </c>
    </row>
    <row r="14276" spans="1:9" x14ac:dyDescent="0.2">
      <c r="A14276" t="str">
        <f>"Ocrl"</f>
        <v>Ocrl</v>
      </c>
      <c r="B14276" t="s">
        <v>14</v>
      </c>
      <c r="C14276" t="s">
        <v>37</v>
      </c>
      <c r="D14276" t="s">
        <v>17</v>
      </c>
      <c r="E14276" t="s">
        <v>12</v>
      </c>
      <c r="F14276">
        <v>47912445</v>
      </c>
      <c r="G14276">
        <v>47912464</v>
      </c>
      <c r="H14276">
        <v>47912469</v>
      </c>
      <c r="I14276">
        <v>47912481</v>
      </c>
    </row>
    <row r="14277" spans="1:9" x14ac:dyDescent="0.2">
      <c r="A14277" t="str">
        <f>"Ocstamp"</f>
        <v>Ocstamp</v>
      </c>
      <c r="B14277" t="s">
        <v>14</v>
      </c>
      <c r="C14277" t="s">
        <v>26</v>
      </c>
      <c r="D14277" t="s">
        <v>11</v>
      </c>
      <c r="E14277" t="s">
        <v>67</v>
      </c>
      <c r="F14277">
        <v>165400398</v>
      </c>
      <c r="G14277">
        <v>165400410</v>
      </c>
      <c r="H14277">
        <v>165400398</v>
      </c>
      <c r="I14277">
        <v>165400410</v>
      </c>
    </row>
    <row r="14278" spans="1:9" x14ac:dyDescent="0.2">
      <c r="A14278" t="str">
        <f>"Odam"</f>
        <v>Odam</v>
      </c>
      <c r="B14278" t="s">
        <v>14</v>
      </c>
      <c r="C14278" t="s">
        <v>46</v>
      </c>
      <c r="D14278" t="s">
        <v>17</v>
      </c>
      <c r="E14278" t="s">
        <v>12</v>
      </c>
      <c r="F14278">
        <v>87887491</v>
      </c>
      <c r="G14278">
        <v>87887520</v>
      </c>
      <c r="H14278">
        <v>87887491</v>
      </c>
      <c r="I14278">
        <v>87887520</v>
      </c>
    </row>
    <row r="14279" spans="1:9" x14ac:dyDescent="0.2">
      <c r="A14279" t="str">
        <f>"Odc1"</f>
        <v>Odc1</v>
      </c>
      <c r="B14279" t="s">
        <v>14</v>
      </c>
      <c r="C14279" t="s">
        <v>16</v>
      </c>
      <c r="D14279" t="s">
        <v>17</v>
      </c>
      <c r="E14279" t="s">
        <v>12</v>
      </c>
      <c r="F14279">
        <v>17544894</v>
      </c>
      <c r="G14279">
        <v>17544951</v>
      </c>
      <c r="H14279">
        <v>17544958</v>
      </c>
      <c r="I14279">
        <v>17544971</v>
      </c>
    </row>
    <row r="14280" spans="1:9" x14ac:dyDescent="0.2">
      <c r="A14280" t="str">
        <f>"Odf1"</f>
        <v>Odf1</v>
      </c>
      <c r="B14280" t="s">
        <v>14</v>
      </c>
      <c r="C14280" t="s">
        <v>25</v>
      </c>
      <c r="D14280" t="s">
        <v>17</v>
      </c>
      <c r="E14280" t="s">
        <v>12</v>
      </c>
      <c r="F14280">
        <v>38219326</v>
      </c>
      <c r="G14280">
        <v>38219346</v>
      </c>
      <c r="H14280">
        <v>38219307</v>
      </c>
      <c r="I14280">
        <v>38219320</v>
      </c>
    </row>
    <row r="14281" spans="1:9" x14ac:dyDescent="0.2">
      <c r="A14281" t="str">
        <f>"Odf2"</f>
        <v>Odf2</v>
      </c>
      <c r="B14281" t="s">
        <v>14</v>
      </c>
      <c r="C14281" t="s">
        <v>26</v>
      </c>
      <c r="D14281" t="s">
        <v>17</v>
      </c>
      <c r="E14281" t="s">
        <v>12</v>
      </c>
      <c r="F14281">
        <v>29889802</v>
      </c>
      <c r="G14281">
        <v>29889836</v>
      </c>
      <c r="H14281">
        <v>29890066</v>
      </c>
      <c r="I14281">
        <v>29890081</v>
      </c>
    </row>
    <row r="14282" spans="1:9" x14ac:dyDescent="0.2">
      <c r="A14282" t="str">
        <f>"Odf2l"</f>
        <v>Odf2l</v>
      </c>
      <c r="B14282" t="s">
        <v>14</v>
      </c>
      <c r="C14282" t="s">
        <v>22</v>
      </c>
      <c r="D14282" t="s">
        <v>17</v>
      </c>
      <c r="E14282" t="s">
        <v>12</v>
      </c>
      <c r="F14282">
        <v>145118564</v>
      </c>
      <c r="G14282">
        <v>145118622</v>
      </c>
      <c r="H14282">
        <v>145118634</v>
      </c>
      <c r="I14282">
        <v>145118643</v>
      </c>
    </row>
    <row r="14283" spans="1:9" x14ac:dyDescent="0.2">
      <c r="A14283" t="str">
        <f>"Odf3"</f>
        <v>Odf3</v>
      </c>
      <c r="B14283" t="s">
        <v>14</v>
      </c>
      <c r="C14283" t="s">
        <v>33</v>
      </c>
      <c r="D14283" t="s">
        <v>17</v>
      </c>
      <c r="E14283" t="s">
        <v>12</v>
      </c>
      <c r="F14283">
        <v>140847816</v>
      </c>
      <c r="G14283">
        <v>140847829</v>
      </c>
      <c r="H14283">
        <v>140847801</v>
      </c>
      <c r="I14283">
        <v>140847813</v>
      </c>
    </row>
    <row r="14284" spans="1:9" x14ac:dyDescent="0.2">
      <c r="A14284" t="str">
        <f>"Odf3b"</f>
        <v>Odf3b</v>
      </c>
      <c r="B14284" t="s">
        <v>14</v>
      </c>
      <c r="C14284" t="s">
        <v>25</v>
      </c>
      <c r="D14284" t="s">
        <v>11</v>
      </c>
      <c r="E14284" t="s">
        <v>12</v>
      </c>
      <c r="F14284">
        <v>89379264</v>
      </c>
      <c r="G14284">
        <v>89379300</v>
      </c>
      <c r="H14284">
        <v>89378996</v>
      </c>
      <c r="I14284">
        <v>89379028</v>
      </c>
    </row>
    <row r="14285" spans="1:9" x14ac:dyDescent="0.2">
      <c r="A14285" t="str">
        <f>"Odf3l1"</f>
        <v>Odf3l1</v>
      </c>
      <c r="B14285" t="s">
        <v>14</v>
      </c>
      <c r="C14285" t="s">
        <v>24</v>
      </c>
      <c r="D14285" t="s">
        <v>11</v>
      </c>
      <c r="E14285" t="s">
        <v>12</v>
      </c>
      <c r="F14285">
        <v>56851945</v>
      </c>
      <c r="G14285">
        <v>56852018</v>
      </c>
      <c r="H14285">
        <v>56852033</v>
      </c>
      <c r="I14285">
        <v>56852036</v>
      </c>
    </row>
    <row r="14286" spans="1:9" x14ac:dyDescent="0.2">
      <c r="A14286" t="str">
        <f>"Odf3l2"</f>
        <v>Odf3l2</v>
      </c>
      <c r="B14286" t="s">
        <v>14</v>
      </c>
      <c r="C14286" t="s">
        <v>15</v>
      </c>
      <c r="D14286" t="s">
        <v>11</v>
      </c>
      <c r="E14286" t="s">
        <v>12</v>
      </c>
      <c r="F14286">
        <v>79645749</v>
      </c>
      <c r="G14286">
        <v>79645762</v>
      </c>
      <c r="H14286">
        <v>79645732</v>
      </c>
      <c r="I14286">
        <v>79645744</v>
      </c>
    </row>
    <row r="14287" spans="1:9" x14ac:dyDescent="0.2">
      <c r="A14287" t="str">
        <f>"Odf4"</f>
        <v>Odf4</v>
      </c>
      <c r="B14287" t="s">
        <v>14</v>
      </c>
      <c r="C14287" t="s">
        <v>27</v>
      </c>
      <c r="D14287" t="s">
        <v>11</v>
      </c>
      <c r="E14287" t="s">
        <v>12</v>
      </c>
      <c r="F14287">
        <v>68927061</v>
      </c>
      <c r="G14287">
        <v>68927101</v>
      </c>
      <c r="H14287">
        <v>68927061</v>
      </c>
      <c r="I14287">
        <v>68927101</v>
      </c>
    </row>
    <row r="14288" spans="1:9" x14ac:dyDescent="0.2">
      <c r="A14288" t="str">
        <f>"Ofcc1"</f>
        <v>Ofcc1</v>
      </c>
      <c r="B14288" t="s">
        <v>4409</v>
      </c>
      <c r="C14288" t="s">
        <v>39</v>
      </c>
      <c r="D14288" t="s">
        <v>11</v>
      </c>
      <c r="E14288" t="s">
        <v>20</v>
      </c>
      <c r="F14288">
        <v>40288010</v>
      </c>
      <c r="G14288">
        <v>40288010</v>
      </c>
      <c r="H14288">
        <v>40288010</v>
      </c>
      <c r="I14288">
        <v>40288010</v>
      </c>
    </row>
    <row r="14289" spans="1:9" x14ac:dyDescent="0.2">
      <c r="A14289" t="str">
        <f>"Ofd1"</f>
        <v>Ofd1</v>
      </c>
      <c r="B14289" t="s">
        <v>14</v>
      </c>
      <c r="C14289" t="s">
        <v>37</v>
      </c>
      <c r="D14289" t="s">
        <v>11</v>
      </c>
      <c r="E14289" t="s">
        <v>12</v>
      </c>
      <c r="F14289">
        <v>166440671</v>
      </c>
      <c r="G14289">
        <v>166440715</v>
      </c>
      <c r="H14289">
        <v>166440642</v>
      </c>
      <c r="I14289">
        <v>166440670</v>
      </c>
    </row>
    <row r="14290" spans="1:9" x14ac:dyDescent="0.2">
      <c r="A14290" t="str">
        <f>"Ogdh"</f>
        <v>Ogdh</v>
      </c>
      <c r="B14290" t="s">
        <v>14</v>
      </c>
      <c r="C14290" t="s">
        <v>27</v>
      </c>
      <c r="D14290" t="s">
        <v>17</v>
      </c>
      <c r="E14290" t="s">
        <v>12</v>
      </c>
      <c r="F14290">
        <v>6291607</v>
      </c>
      <c r="G14290">
        <v>6291655</v>
      </c>
      <c r="H14290">
        <v>6291660</v>
      </c>
      <c r="I14290">
        <v>6291687</v>
      </c>
    </row>
    <row r="14291" spans="1:9" x14ac:dyDescent="0.2">
      <c r="A14291" t="str">
        <f>"Ogdhl"</f>
        <v>Ogdhl</v>
      </c>
      <c r="B14291" t="s">
        <v>14</v>
      </c>
      <c r="C14291" t="s">
        <v>41</v>
      </c>
      <c r="D14291" t="s">
        <v>17</v>
      </c>
      <c r="E14291" t="s">
        <v>12</v>
      </c>
      <c r="F14291">
        <v>32321987</v>
      </c>
      <c r="G14291">
        <v>32322042</v>
      </c>
      <c r="H14291">
        <v>32322053</v>
      </c>
      <c r="I14291">
        <v>32322069</v>
      </c>
    </row>
    <row r="14292" spans="1:9" x14ac:dyDescent="0.2">
      <c r="A14292" t="str">
        <f>"Ogfod1"</f>
        <v>Ogfod1</v>
      </c>
      <c r="B14292" t="s">
        <v>14</v>
      </c>
      <c r="C14292" t="s">
        <v>30</v>
      </c>
      <c r="D14292" t="s">
        <v>17</v>
      </c>
      <c r="E14292" t="s">
        <v>12</v>
      </c>
      <c r="F14292">
        <v>94037221</v>
      </c>
      <c r="G14292">
        <v>94037288</v>
      </c>
      <c r="H14292">
        <v>94036736</v>
      </c>
      <c r="I14292">
        <v>94036777</v>
      </c>
    </row>
    <row r="14293" spans="1:9" x14ac:dyDescent="0.2">
      <c r="A14293" t="str">
        <f>"Ogfod2"</f>
        <v>Ogfod2</v>
      </c>
      <c r="B14293" t="s">
        <v>14</v>
      </c>
      <c r="C14293" t="s">
        <v>46</v>
      </c>
      <c r="D14293" t="s">
        <v>17</v>
      </c>
      <c r="E14293" t="s">
        <v>12</v>
      </c>
      <c r="F14293">
        <v>124112298</v>
      </c>
      <c r="G14293">
        <v>124112351</v>
      </c>
      <c r="H14293">
        <v>124111954</v>
      </c>
      <c r="I14293">
        <v>124111991</v>
      </c>
    </row>
    <row r="14294" spans="1:9" x14ac:dyDescent="0.2">
      <c r="A14294" t="str">
        <f>"Ogfod3"</f>
        <v>Ogfod3</v>
      </c>
      <c r="B14294" t="s">
        <v>14</v>
      </c>
      <c r="C14294" t="s">
        <v>27</v>
      </c>
      <c r="D14294" t="s">
        <v>11</v>
      </c>
      <c r="E14294" t="s">
        <v>67</v>
      </c>
      <c r="F14294">
        <v>121204626</v>
      </c>
      <c r="G14294">
        <v>121204717</v>
      </c>
      <c r="H14294">
        <v>121204930</v>
      </c>
      <c r="I14294">
        <v>121204977</v>
      </c>
    </row>
    <row r="14295" spans="1:9" x14ac:dyDescent="0.2">
      <c r="A14295" t="str">
        <f>"Ogfr"</f>
        <v>Ogfr</v>
      </c>
      <c r="B14295" t="s">
        <v>14</v>
      </c>
      <c r="C14295" t="s">
        <v>26</v>
      </c>
      <c r="D14295" t="s">
        <v>17</v>
      </c>
      <c r="E14295" t="s">
        <v>12</v>
      </c>
      <c r="F14295">
        <v>180589423</v>
      </c>
      <c r="G14295">
        <v>180589479</v>
      </c>
      <c r="H14295">
        <v>180589217</v>
      </c>
      <c r="I14295">
        <v>180589251</v>
      </c>
    </row>
    <row r="14296" spans="1:9" x14ac:dyDescent="0.2">
      <c r="A14296" t="str">
        <f>"Ogfrl1"</f>
        <v>Ogfrl1</v>
      </c>
      <c r="B14296" t="s">
        <v>14</v>
      </c>
      <c r="C14296" t="s">
        <v>19</v>
      </c>
      <c r="D14296" t="s">
        <v>11</v>
      </c>
      <c r="E14296" t="s">
        <v>12</v>
      </c>
      <c r="F14296">
        <v>23383149</v>
      </c>
      <c r="G14296">
        <v>23383225</v>
      </c>
      <c r="H14296">
        <v>23383129</v>
      </c>
      <c r="I14296">
        <v>23383146</v>
      </c>
    </row>
    <row r="14297" spans="1:9" x14ac:dyDescent="0.2">
      <c r="A14297" t="str">
        <f>"Ogg1"</f>
        <v>Ogg1</v>
      </c>
      <c r="B14297" t="s">
        <v>14</v>
      </c>
      <c r="C14297" t="s">
        <v>32</v>
      </c>
      <c r="D14297" t="s">
        <v>17</v>
      </c>
      <c r="E14297" t="s">
        <v>12</v>
      </c>
      <c r="F14297">
        <v>113326990</v>
      </c>
      <c r="G14297">
        <v>113327013</v>
      </c>
      <c r="H14297">
        <v>113326990</v>
      </c>
      <c r="I14297">
        <v>113327013</v>
      </c>
    </row>
    <row r="14298" spans="1:9" x14ac:dyDescent="0.2">
      <c r="A14298" t="str">
        <f>"Ogn"</f>
        <v>Ogn</v>
      </c>
      <c r="B14298" t="s">
        <v>14</v>
      </c>
      <c r="C14298" t="s">
        <v>39</v>
      </c>
      <c r="D14298" t="s">
        <v>17</v>
      </c>
      <c r="E14298" t="s">
        <v>12</v>
      </c>
      <c r="F14298">
        <v>49608030</v>
      </c>
      <c r="G14298">
        <v>49608063</v>
      </c>
      <c r="H14298">
        <v>49608005</v>
      </c>
      <c r="I14298">
        <v>49608024</v>
      </c>
    </row>
    <row r="14299" spans="1:9" x14ac:dyDescent="0.2">
      <c r="A14299" t="str">
        <f>"Ogt"</f>
        <v>Ogt</v>
      </c>
      <c r="B14299" t="s">
        <v>14</v>
      </c>
      <c r="C14299" t="s">
        <v>37</v>
      </c>
      <c r="D14299" t="s">
        <v>17</v>
      </c>
      <c r="E14299" t="s">
        <v>12</v>
      </c>
      <c r="F14299">
        <v>101640056</v>
      </c>
      <c r="G14299">
        <v>101640108</v>
      </c>
      <c r="H14299">
        <v>101640056</v>
      </c>
      <c r="I14299">
        <v>101640108</v>
      </c>
    </row>
    <row r="14300" spans="1:9" x14ac:dyDescent="0.2">
      <c r="A14300" t="str">
        <f>"Oip5"</f>
        <v>Oip5</v>
      </c>
      <c r="B14300" t="s">
        <v>14</v>
      </c>
      <c r="C14300" t="s">
        <v>26</v>
      </c>
      <c r="D14300" t="s">
        <v>11</v>
      </c>
      <c r="E14300" t="s">
        <v>12</v>
      </c>
      <c r="F14300">
        <v>119618455</v>
      </c>
      <c r="G14300">
        <v>119618510</v>
      </c>
      <c r="H14300">
        <v>119618433</v>
      </c>
      <c r="I14300">
        <v>119618446</v>
      </c>
    </row>
    <row r="14301" spans="1:9" x14ac:dyDescent="0.2">
      <c r="A14301" t="str">
        <f>"Oit1"</f>
        <v>Oit1</v>
      </c>
      <c r="B14301" t="s">
        <v>14</v>
      </c>
      <c r="C14301" t="s">
        <v>41</v>
      </c>
      <c r="D14301" t="s">
        <v>11</v>
      </c>
      <c r="E14301" t="s">
        <v>12</v>
      </c>
      <c r="F14301">
        <v>8378753</v>
      </c>
      <c r="G14301">
        <v>8378804</v>
      </c>
      <c r="H14301">
        <v>8378851</v>
      </c>
      <c r="I14301">
        <v>8378870</v>
      </c>
    </row>
    <row r="14302" spans="1:9" x14ac:dyDescent="0.2">
      <c r="A14302" t="str">
        <f>"Oit3"</f>
        <v>Oit3</v>
      </c>
      <c r="B14302" t="s">
        <v>14</v>
      </c>
      <c r="C14302" t="s">
        <v>15</v>
      </c>
      <c r="D14302" t="s">
        <v>11</v>
      </c>
      <c r="E14302" t="s">
        <v>12</v>
      </c>
      <c r="F14302">
        <v>59441748</v>
      </c>
      <c r="G14302">
        <v>59441782</v>
      </c>
      <c r="H14302">
        <v>59441748</v>
      </c>
      <c r="I14302">
        <v>59441782</v>
      </c>
    </row>
    <row r="14303" spans="1:9" x14ac:dyDescent="0.2">
      <c r="A14303" t="str">
        <f>"Ola1"</f>
        <v>Ola1</v>
      </c>
      <c r="B14303" t="s">
        <v>14</v>
      </c>
      <c r="C14303" t="s">
        <v>26</v>
      </c>
      <c r="D14303" t="s">
        <v>11</v>
      </c>
      <c r="E14303" t="s">
        <v>12</v>
      </c>
      <c r="F14303">
        <v>73214346</v>
      </c>
      <c r="G14303">
        <v>73214387</v>
      </c>
      <c r="H14303">
        <v>73214323</v>
      </c>
      <c r="I14303">
        <v>73214332</v>
      </c>
    </row>
    <row r="14304" spans="1:9" x14ac:dyDescent="0.2">
      <c r="A14304" t="str">
        <f>"Olah"</f>
        <v>Olah</v>
      </c>
      <c r="B14304" t="s">
        <v>14</v>
      </c>
      <c r="C14304" t="s">
        <v>26</v>
      </c>
      <c r="D14304" t="s">
        <v>11</v>
      </c>
      <c r="E14304" t="s">
        <v>12</v>
      </c>
      <c r="F14304">
        <v>3366574</v>
      </c>
      <c r="G14304">
        <v>3366587</v>
      </c>
      <c r="H14304">
        <v>3366599</v>
      </c>
      <c r="I14304">
        <v>3366613</v>
      </c>
    </row>
    <row r="14305" spans="1:9" x14ac:dyDescent="0.2">
      <c r="A14305" t="str">
        <f>"Olfm1"</f>
        <v>Olfm1</v>
      </c>
      <c r="B14305" t="s">
        <v>9</v>
      </c>
      <c r="C14305" t="s">
        <v>26</v>
      </c>
      <c r="D14305" t="s">
        <v>17</v>
      </c>
      <c r="E14305" t="s">
        <v>12</v>
      </c>
      <c r="F14305">
        <v>28205648</v>
      </c>
      <c r="G14305">
        <v>28205672</v>
      </c>
      <c r="H14305">
        <v>28205648</v>
      </c>
      <c r="I14305">
        <v>28205672</v>
      </c>
    </row>
    <row r="14306" spans="1:9" x14ac:dyDescent="0.2">
      <c r="A14306" t="str">
        <f>"Olfm1"</f>
        <v>Olfm1</v>
      </c>
      <c r="B14306" t="s">
        <v>13</v>
      </c>
      <c r="C14306" t="s">
        <v>26</v>
      </c>
      <c r="D14306" t="s">
        <v>17</v>
      </c>
      <c r="E14306" t="s">
        <v>12</v>
      </c>
      <c r="F14306">
        <v>28192938</v>
      </c>
      <c r="G14306">
        <v>28192970</v>
      </c>
      <c r="H14306">
        <v>28192938</v>
      </c>
      <c r="I14306">
        <v>28192970</v>
      </c>
    </row>
    <row r="14307" spans="1:9" x14ac:dyDescent="0.2">
      <c r="A14307" t="str">
        <f>"Olfm2"</f>
        <v>Olfm2</v>
      </c>
      <c r="B14307" t="s">
        <v>14</v>
      </c>
      <c r="C14307" t="s">
        <v>24</v>
      </c>
      <c r="D14307" t="s">
        <v>11</v>
      </c>
      <c r="E14307" t="s">
        <v>12</v>
      </c>
      <c r="F14307">
        <v>20728243</v>
      </c>
      <c r="G14307">
        <v>20728245</v>
      </c>
      <c r="H14307">
        <v>20728243</v>
      </c>
      <c r="I14307">
        <v>20728245</v>
      </c>
    </row>
    <row r="14308" spans="1:9" x14ac:dyDescent="0.2">
      <c r="A14308" t="str">
        <f>"Olfm3"</f>
        <v>Olfm3</v>
      </c>
      <c r="B14308" t="s">
        <v>14</v>
      </c>
      <c r="C14308" t="s">
        <v>22</v>
      </c>
      <c r="D14308" t="s">
        <v>17</v>
      </c>
      <c r="E14308" t="s">
        <v>12</v>
      </c>
      <c r="F14308">
        <v>114904062</v>
      </c>
      <c r="G14308">
        <v>114904142</v>
      </c>
      <c r="H14308">
        <v>114904352</v>
      </c>
      <c r="I14308">
        <v>114904381</v>
      </c>
    </row>
    <row r="14309" spans="1:9" x14ac:dyDescent="0.2">
      <c r="A14309" t="str">
        <f>"Olfm4"</f>
        <v>Olfm4</v>
      </c>
      <c r="B14309" t="s">
        <v>14</v>
      </c>
      <c r="C14309" t="s">
        <v>41</v>
      </c>
      <c r="D14309" t="s">
        <v>17</v>
      </c>
      <c r="E14309" t="s">
        <v>12</v>
      </c>
      <c r="F14309">
        <v>80000292</v>
      </c>
      <c r="G14309">
        <v>80000309</v>
      </c>
      <c r="H14309">
        <v>80000292</v>
      </c>
      <c r="I14309">
        <v>80000309</v>
      </c>
    </row>
    <row r="14310" spans="1:9" x14ac:dyDescent="0.2">
      <c r="A14310" t="str">
        <f>"Olfml1"</f>
        <v>Olfml1</v>
      </c>
      <c r="B14310" t="s">
        <v>14</v>
      </c>
      <c r="C14310" t="s">
        <v>33</v>
      </c>
      <c r="D14310" t="s">
        <v>17</v>
      </c>
      <c r="E14310" t="s">
        <v>12</v>
      </c>
      <c r="F14310">
        <v>107567424</v>
      </c>
      <c r="G14310">
        <v>107567440</v>
      </c>
      <c r="H14310">
        <v>107567424</v>
      </c>
      <c r="I14310">
        <v>107567440</v>
      </c>
    </row>
    <row r="14311" spans="1:9" x14ac:dyDescent="0.2">
      <c r="A14311" t="str">
        <f>"Olfml2a"</f>
        <v>Olfml2a</v>
      </c>
      <c r="B14311" t="s">
        <v>14</v>
      </c>
      <c r="C14311" t="s">
        <v>26</v>
      </c>
      <c r="D14311" t="s">
        <v>17</v>
      </c>
      <c r="E14311" t="s">
        <v>12</v>
      </c>
      <c r="F14311">
        <v>38931975</v>
      </c>
      <c r="G14311">
        <v>38932007</v>
      </c>
      <c r="H14311">
        <v>38932015</v>
      </c>
      <c r="I14311">
        <v>38932031</v>
      </c>
    </row>
    <row r="14312" spans="1:9" x14ac:dyDescent="0.2">
      <c r="A14312" t="str">
        <f>"Olfml2b"</f>
        <v>Olfml2b</v>
      </c>
      <c r="B14312" t="s">
        <v>14</v>
      </c>
      <c r="C14312" t="s">
        <v>19</v>
      </c>
      <c r="D14312" t="s">
        <v>17</v>
      </c>
      <c r="E14312" t="s">
        <v>12</v>
      </c>
      <c r="F14312">
        <v>170644523</v>
      </c>
      <c r="G14312">
        <v>170644570</v>
      </c>
      <c r="H14312">
        <v>170644523</v>
      </c>
      <c r="I14312">
        <v>170644570</v>
      </c>
    </row>
    <row r="14313" spans="1:9" x14ac:dyDescent="0.2">
      <c r="A14313" t="str">
        <f>"Olfml3"</f>
        <v>Olfml3</v>
      </c>
      <c r="B14313" t="s">
        <v>14</v>
      </c>
      <c r="C14313" t="s">
        <v>22</v>
      </c>
      <c r="D14313" t="s">
        <v>11</v>
      </c>
      <c r="E14313" t="s">
        <v>12</v>
      </c>
      <c r="F14313">
        <v>103737938</v>
      </c>
      <c r="G14313">
        <v>103737974</v>
      </c>
      <c r="H14313">
        <v>103737995</v>
      </c>
      <c r="I14313">
        <v>103738006</v>
      </c>
    </row>
    <row r="14314" spans="1:9" x14ac:dyDescent="0.2">
      <c r="A14314" t="str">
        <f>"Olfr1"</f>
        <v>Olfr1</v>
      </c>
      <c r="B14314" t="s">
        <v>4410</v>
      </c>
      <c r="C14314" t="s">
        <v>27</v>
      </c>
      <c r="D14314" t="s">
        <v>11</v>
      </c>
      <c r="E14314" t="s">
        <v>20</v>
      </c>
      <c r="F14314">
        <v>73399494</v>
      </c>
      <c r="G14314">
        <v>73399494</v>
      </c>
      <c r="H14314">
        <v>73399494</v>
      </c>
      <c r="I14314">
        <v>73399494</v>
      </c>
    </row>
    <row r="14315" spans="1:9" x14ac:dyDescent="0.2">
      <c r="A14315" t="str">
        <f>"Olfr10"</f>
        <v>Olfr10</v>
      </c>
      <c r="B14315" t="s">
        <v>4411</v>
      </c>
      <c r="C14315" t="s">
        <v>27</v>
      </c>
      <c r="D14315" t="s">
        <v>17</v>
      </c>
      <c r="E14315" t="s">
        <v>20</v>
      </c>
      <c r="F14315">
        <v>49317547</v>
      </c>
      <c r="G14315">
        <v>49317547</v>
      </c>
      <c r="H14315">
        <v>49317547</v>
      </c>
      <c r="I14315">
        <v>49317547</v>
      </c>
    </row>
    <row r="14316" spans="1:9" x14ac:dyDescent="0.2">
      <c r="A14316" t="str">
        <f>"Olfr1000"</f>
        <v>Olfr1000</v>
      </c>
      <c r="B14316" t="s">
        <v>4412</v>
      </c>
      <c r="C14316" t="s">
        <v>26</v>
      </c>
      <c r="D14316" t="s">
        <v>11</v>
      </c>
      <c r="E14316" t="s">
        <v>20</v>
      </c>
      <c r="F14316">
        <v>85608907</v>
      </c>
      <c r="G14316">
        <v>85608907</v>
      </c>
      <c r="H14316">
        <v>85608907</v>
      </c>
      <c r="I14316">
        <v>85608907</v>
      </c>
    </row>
    <row r="14317" spans="1:9" x14ac:dyDescent="0.2">
      <c r="A14317" t="str">
        <f>"Olfr1002"</f>
        <v>Olfr1002</v>
      </c>
      <c r="B14317" t="s">
        <v>4413</v>
      </c>
      <c r="C14317" t="s">
        <v>26</v>
      </c>
      <c r="D14317" t="s">
        <v>11</v>
      </c>
      <c r="E14317" t="s">
        <v>20</v>
      </c>
      <c r="F14317">
        <v>85648318</v>
      </c>
      <c r="G14317">
        <v>85648318</v>
      </c>
      <c r="H14317">
        <v>85648318</v>
      </c>
      <c r="I14317">
        <v>85648318</v>
      </c>
    </row>
    <row r="14318" spans="1:9" x14ac:dyDescent="0.2">
      <c r="A14318" t="str">
        <f>"Olfr1006"</f>
        <v>Olfr1006</v>
      </c>
      <c r="B14318" t="s">
        <v>4414</v>
      </c>
      <c r="C14318" t="s">
        <v>26</v>
      </c>
      <c r="D14318" t="s">
        <v>11</v>
      </c>
      <c r="E14318" t="s">
        <v>20</v>
      </c>
      <c r="F14318">
        <v>85678740</v>
      </c>
      <c r="G14318">
        <v>85678740</v>
      </c>
      <c r="H14318">
        <v>85678740</v>
      </c>
      <c r="I14318">
        <v>85678740</v>
      </c>
    </row>
    <row r="14319" spans="1:9" x14ac:dyDescent="0.2">
      <c r="A14319" t="str">
        <f>"Olfr1008"</f>
        <v>Olfr1008</v>
      </c>
      <c r="B14319" t="s">
        <v>4415</v>
      </c>
      <c r="C14319" t="s">
        <v>26</v>
      </c>
      <c r="D14319" t="s">
        <v>17</v>
      </c>
      <c r="E14319" t="s">
        <v>20</v>
      </c>
      <c r="F14319">
        <v>85689430</v>
      </c>
      <c r="G14319">
        <v>85689430</v>
      </c>
      <c r="H14319">
        <v>85689430</v>
      </c>
      <c r="I14319">
        <v>85689430</v>
      </c>
    </row>
    <row r="14320" spans="1:9" x14ac:dyDescent="0.2">
      <c r="A14320" t="str">
        <f>"Olfr1009"</f>
        <v>Olfr1009</v>
      </c>
      <c r="B14320" t="s">
        <v>4416</v>
      </c>
      <c r="C14320" t="s">
        <v>26</v>
      </c>
      <c r="D14320" t="s">
        <v>17</v>
      </c>
      <c r="E14320" t="s">
        <v>20</v>
      </c>
      <c r="F14320">
        <v>85721406</v>
      </c>
      <c r="G14320">
        <v>85721406</v>
      </c>
      <c r="H14320">
        <v>85721406</v>
      </c>
      <c r="I14320">
        <v>85721406</v>
      </c>
    </row>
    <row r="14321" spans="1:9" x14ac:dyDescent="0.2">
      <c r="A14321" t="str">
        <f>"Olfr101"</f>
        <v>Olfr101</v>
      </c>
      <c r="B14321" t="s">
        <v>4417</v>
      </c>
      <c r="C14321" t="s">
        <v>28</v>
      </c>
      <c r="D14321" t="s">
        <v>11</v>
      </c>
      <c r="E14321" t="s">
        <v>20</v>
      </c>
      <c r="F14321">
        <v>37300483</v>
      </c>
      <c r="G14321">
        <v>37300483</v>
      </c>
      <c r="H14321">
        <v>37300483</v>
      </c>
      <c r="I14321">
        <v>37300483</v>
      </c>
    </row>
    <row r="14322" spans="1:9" x14ac:dyDescent="0.2">
      <c r="A14322" t="str">
        <f>"Olfr1012"</f>
        <v>Olfr1012</v>
      </c>
      <c r="B14322" t="s">
        <v>4418</v>
      </c>
      <c r="C14322" t="s">
        <v>26</v>
      </c>
      <c r="D14322" t="s">
        <v>11</v>
      </c>
      <c r="E14322" t="s">
        <v>20</v>
      </c>
      <c r="F14322">
        <v>85760373</v>
      </c>
      <c r="G14322">
        <v>85760373</v>
      </c>
      <c r="H14322">
        <v>85760373</v>
      </c>
      <c r="I14322">
        <v>85760373</v>
      </c>
    </row>
    <row r="14323" spans="1:9" x14ac:dyDescent="0.2">
      <c r="A14323" t="str">
        <f>"Olfr1013"</f>
        <v>Olfr1013</v>
      </c>
      <c r="B14323" t="s">
        <v>4419</v>
      </c>
      <c r="C14323" t="s">
        <v>26</v>
      </c>
      <c r="D14323" t="s">
        <v>17</v>
      </c>
      <c r="E14323" t="s">
        <v>20</v>
      </c>
      <c r="F14323">
        <v>85769802</v>
      </c>
      <c r="G14323">
        <v>85769802</v>
      </c>
      <c r="H14323">
        <v>85769802</v>
      </c>
      <c r="I14323">
        <v>85769802</v>
      </c>
    </row>
    <row r="14324" spans="1:9" x14ac:dyDescent="0.2">
      <c r="A14324" t="str">
        <f>"Olfr1014"</f>
        <v>Olfr1014</v>
      </c>
      <c r="B14324" t="s">
        <v>4420</v>
      </c>
      <c r="C14324" t="s">
        <v>26</v>
      </c>
      <c r="D14324" t="s">
        <v>17</v>
      </c>
      <c r="E14324" t="s">
        <v>20</v>
      </c>
      <c r="F14324">
        <v>85776585</v>
      </c>
      <c r="G14324">
        <v>85776585</v>
      </c>
      <c r="H14324">
        <v>85776585</v>
      </c>
      <c r="I14324">
        <v>85776585</v>
      </c>
    </row>
    <row r="14325" spans="1:9" x14ac:dyDescent="0.2">
      <c r="A14325" t="str">
        <f>"Olfr1015"</f>
        <v>Olfr1015</v>
      </c>
      <c r="B14325" t="s">
        <v>4421</v>
      </c>
      <c r="C14325" t="s">
        <v>26</v>
      </c>
      <c r="D14325" t="s">
        <v>17</v>
      </c>
      <c r="E14325" t="s">
        <v>20</v>
      </c>
      <c r="F14325">
        <v>85785473</v>
      </c>
      <c r="G14325">
        <v>85785473</v>
      </c>
      <c r="H14325">
        <v>85785473</v>
      </c>
      <c r="I14325">
        <v>85785473</v>
      </c>
    </row>
    <row r="14326" spans="1:9" x14ac:dyDescent="0.2">
      <c r="A14326" t="str">
        <f>"Olfr1016"</f>
        <v>Olfr1016</v>
      </c>
      <c r="B14326" t="s">
        <v>4422</v>
      </c>
      <c r="C14326" t="s">
        <v>26</v>
      </c>
      <c r="D14326" t="s">
        <v>11</v>
      </c>
      <c r="E14326" t="s">
        <v>20</v>
      </c>
      <c r="F14326">
        <v>85800267</v>
      </c>
      <c r="G14326">
        <v>85800267</v>
      </c>
      <c r="H14326">
        <v>85800267</v>
      </c>
      <c r="I14326">
        <v>85800267</v>
      </c>
    </row>
    <row r="14327" spans="1:9" x14ac:dyDescent="0.2">
      <c r="A14327" t="str">
        <f>"Olfr1018"</f>
        <v>Olfr1018</v>
      </c>
      <c r="B14327" t="s">
        <v>4423</v>
      </c>
      <c r="C14327" t="s">
        <v>26</v>
      </c>
      <c r="D14327" t="s">
        <v>17</v>
      </c>
      <c r="E14327" t="s">
        <v>20</v>
      </c>
      <c r="F14327">
        <v>85822972</v>
      </c>
      <c r="G14327">
        <v>85822972</v>
      </c>
      <c r="H14327">
        <v>85822972</v>
      </c>
      <c r="I14327">
        <v>85822972</v>
      </c>
    </row>
    <row r="14328" spans="1:9" x14ac:dyDescent="0.2">
      <c r="A14328" t="str">
        <f>"Olfr1019"</f>
        <v>Olfr1019</v>
      </c>
      <c r="B14328" t="s">
        <v>4424</v>
      </c>
      <c r="C14328" t="s">
        <v>26</v>
      </c>
      <c r="D14328" t="s">
        <v>11</v>
      </c>
      <c r="E14328" t="s">
        <v>20</v>
      </c>
      <c r="F14328">
        <v>85841788</v>
      </c>
      <c r="G14328">
        <v>85841788</v>
      </c>
      <c r="H14328">
        <v>85841788</v>
      </c>
      <c r="I14328">
        <v>85841788</v>
      </c>
    </row>
    <row r="14329" spans="1:9" x14ac:dyDescent="0.2">
      <c r="A14329" t="str">
        <f>"Olfr102"</f>
        <v>Olfr102</v>
      </c>
      <c r="B14329" t="s">
        <v>4425</v>
      </c>
      <c r="C14329" t="s">
        <v>28</v>
      </c>
      <c r="D14329" t="s">
        <v>11</v>
      </c>
      <c r="E14329" t="s">
        <v>20</v>
      </c>
      <c r="F14329">
        <v>37314436</v>
      </c>
      <c r="G14329">
        <v>37314436</v>
      </c>
      <c r="H14329">
        <v>37314436</v>
      </c>
      <c r="I14329">
        <v>37314436</v>
      </c>
    </row>
    <row r="14330" spans="1:9" x14ac:dyDescent="0.2">
      <c r="A14330" t="str">
        <f>"Olfr1020"</f>
        <v>Olfr1020</v>
      </c>
      <c r="B14330" t="s">
        <v>4426</v>
      </c>
      <c r="C14330" t="s">
        <v>26</v>
      </c>
      <c r="D14330" t="s">
        <v>17</v>
      </c>
      <c r="E14330" t="s">
        <v>20</v>
      </c>
      <c r="F14330">
        <v>85849419</v>
      </c>
      <c r="G14330">
        <v>85849419</v>
      </c>
      <c r="H14330">
        <v>85849419</v>
      </c>
      <c r="I14330">
        <v>85849419</v>
      </c>
    </row>
    <row r="14331" spans="1:9" x14ac:dyDescent="0.2">
      <c r="A14331" t="str">
        <f>"Olfr1022"</f>
        <v>Olfr1022</v>
      </c>
      <c r="B14331" t="s">
        <v>4427</v>
      </c>
      <c r="C14331" t="s">
        <v>26</v>
      </c>
      <c r="D14331" t="s">
        <v>17</v>
      </c>
      <c r="E14331" t="s">
        <v>20</v>
      </c>
      <c r="F14331">
        <v>85868593</v>
      </c>
      <c r="G14331">
        <v>85868593</v>
      </c>
      <c r="H14331">
        <v>85868593</v>
      </c>
      <c r="I14331">
        <v>85868593</v>
      </c>
    </row>
    <row r="14332" spans="1:9" x14ac:dyDescent="0.2">
      <c r="A14332" t="str">
        <f>"Olfr1023"</f>
        <v>Olfr1023</v>
      </c>
      <c r="B14332" t="s">
        <v>4428</v>
      </c>
      <c r="C14332" t="s">
        <v>26</v>
      </c>
      <c r="D14332" t="s">
        <v>17</v>
      </c>
      <c r="E14332" t="s">
        <v>20</v>
      </c>
      <c r="F14332">
        <v>85886801</v>
      </c>
      <c r="G14332">
        <v>85886801</v>
      </c>
      <c r="H14332">
        <v>85886801</v>
      </c>
      <c r="I14332">
        <v>85886801</v>
      </c>
    </row>
    <row r="14333" spans="1:9" x14ac:dyDescent="0.2">
      <c r="A14333" t="str">
        <f>"Olfr1024"</f>
        <v>Olfr1024</v>
      </c>
      <c r="B14333" t="s">
        <v>4429</v>
      </c>
      <c r="C14333" t="s">
        <v>26</v>
      </c>
      <c r="D14333" t="s">
        <v>11</v>
      </c>
      <c r="E14333" t="s">
        <v>20</v>
      </c>
      <c r="F14333">
        <v>85905051</v>
      </c>
      <c r="G14333">
        <v>85905051</v>
      </c>
      <c r="H14333">
        <v>85905051</v>
      </c>
      <c r="I14333">
        <v>85905051</v>
      </c>
    </row>
    <row r="14334" spans="1:9" x14ac:dyDescent="0.2">
      <c r="A14334" t="str">
        <f>"Olfr1025-ps1"</f>
        <v>Olfr1025-ps1</v>
      </c>
      <c r="B14334" t="s">
        <v>4430</v>
      </c>
      <c r="C14334" t="s">
        <v>26</v>
      </c>
      <c r="D14334" t="s">
        <v>17</v>
      </c>
      <c r="E14334" t="s">
        <v>20</v>
      </c>
      <c r="F14334">
        <v>85917926</v>
      </c>
      <c r="G14334">
        <v>85917926</v>
      </c>
      <c r="H14334">
        <v>85917926</v>
      </c>
      <c r="I14334">
        <v>85917926</v>
      </c>
    </row>
    <row r="14335" spans="1:9" x14ac:dyDescent="0.2">
      <c r="A14335" t="str">
        <f>"Olfr1026"</f>
        <v>Olfr1026</v>
      </c>
      <c r="B14335" t="s">
        <v>4431</v>
      </c>
      <c r="C14335" t="s">
        <v>26</v>
      </c>
      <c r="D14335" t="s">
        <v>17</v>
      </c>
      <c r="E14335" t="s">
        <v>20</v>
      </c>
      <c r="F14335">
        <v>85923269</v>
      </c>
      <c r="G14335">
        <v>85923269</v>
      </c>
      <c r="H14335">
        <v>85923269</v>
      </c>
      <c r="I14335">
        <v>85923269</v>
      </c>
    </row>
    <row r="14336" spans="1:9" x14ac:dyDescent="0.2">
      <c r="A14336" t="str">
        <f>"Olfr1028"</f>
        <v>Olfr1028</v>
      </c>
      <c r="B14336" t="s">
        <v>4432</v>
      </c>
      <c r="C14336" t="s">
        <v>26</v>
      </c>
      <c r="D14336" t="s">
        <v>17</v>
      </c>
      <c r="E14336" t="s">
        <v>20</v>
      </c>
      <c r="F14336">
        <v>85951064</v>
      </c>
      <c r="G14336">
        <v>85951064</v>
      </c>
      <c r="H14336">
        <v>85951064</v>
      </c>
      <c r="I14336">
        <v>85951064</v>
      </c>
    </row>
    <row r="14337" spans="1:9" x14ac:dyDescent="0.2">
      <c r="A14337" t="str">
        <f>"Olfr1029"</f>
        <v>Olfr1029</v>
      </c>
      <c r="B14337" t="s">
        <v>4433</v>
      </c>
      <c r="C14337" t="s">
        <v>26</v>
      </c>
      <c r="D14337" t="s">
        <v>17</v>
      </c>
      <c r="E14337" t="s">
        <v>20</v>
      </c>
      <c r="F14337">
        <v>85975212</v>
      </c>
      <c r="G14337">
        <v>85975212</v>
      </c>
      <c r="H14337">
        <v>85975212</v>
      </c>
      <c r="I14337">
        <v>85975212</v>
      </c>
    </row>
    <row r="14338" spans="1:9" x14ac:dyDescent="0.2">
      <c r="A14338" t="str">
        <f>"Olfr103"</f>
        <v>Olfr103</v>
      </c>
      <c r="B14338" t="s">
        <v>4434</v>
      </c>
      <c r="C14338" t="s">
        <v>28</v>
      </c>
      <c r="D14338" t="s">
        <v>11</v>
      </c>
      <c r="E14338" t="s">
        <v>20</v>
      </c>
      <c r="F14338">
        <v>37337229</v>
      </c>
      <c r="G14338">
        <v>37337229</v>
      </c>
      <c r="H14338">
        <v>37337229</v>
      </c>
      <c r="I14338">
        <v>37337229</v>
      </c>
    </row>
    <row r="14339" spans="1:9" x14ac:dyDescent="0.2">
      <c r="A14339" t="str">
        <f>"Olfr103"</f>
        <v>Olfr103</v>
      </c>
      <c r="B14339" t="s">
        <v>4435</v>
      </c>
      <c r="C14339" t="s">
        <v>28</v>
      </c>
      <c r="D14339" t="s">
        <v>11</v>
      </c>
      <c r="E14339" t="s">
        <v>20</v>
      </c>
      <c r="F14339">
        <v>37339677</v>
      </c>
      <c r="G14339">
        <v>37339677</v>
      </c>
      <c r="H14339">
        <v>37339677</v>
      </c>
      <c r="I14339">
        <v>37339677</v>
      </c>
    </row>
    <row r="14340" spans="1:9" x14ac:dyDescent="0.2">
      <c r="A14340" t="str">
        <f>"Olfr1030"</f>
        <v>Olfr1030</v>
      </c>
      <c r="B14340" t="s">
        <v>4436</v>
      </c>
      <c r="C14340" t="s">
        <v>26</v>
      </c>
      <c r="D14340" t="s">
        <v>17</v>
      </c>
      <c r="E14340" t="s">
        <v>20</v>
      </c>
      <c r="F14340">
        <v>85983841</v>
      </c>
      <c r="G14340">
        <v>85983841</v>
      </c>
      <c r="H14340">
        <v>85983841</v>
      </c>
      <c r="I14340">
        <v>85983841</v>
      </c>
    </row>
    <row r="14341" spans="1:9" x14ac:dyDescent="0.2">
      <c r="A14341" t="str">
        <f>"Olfr1030"</f>
        <v>Olfr1030</v>
      </c>
      <c r="B14341" t="s">
        <v>4437</v>
      </c>
      <c r="C14341" t="s">
        <v>26</v>
      </c>
      <c r="D14341" t="s">
        <v>17</v>
      </c>
      <c r="E14341" t="s">
        <v>20</v>
      </c>
      <c r="F14341">
        <v>85979311</v>
      </c>
      <c r="G14341">
        <v>85979311</v>
      </c>
      <c r="H14341">
        <v>85979311</v>
      </c>
      <c r="I14341">
        <v>85979311</v>
      </c>
    </row>
    <row r="14342" spans="1:9" x14ac:dyDescent="0.2">
      <c r="A14342" t="str">
        <f>"Olfr1031"</f>
        <v>Olfr1031</v>
      </c>
      <c r="B14342" t="s">
        <v>4438</v>
      </c>
      <c r="C14342" t="s">
        <v>26</v>
      </c>
      <c r="D14342" t="s">
        <v>17</v>
      </c>
      <c r="E14342" t="s">
        <v>20</v>
      </c>
      <c r="F14342">
        <v>85991818</v>
      </c>
      <c r="G14342">
        <v>85991818</v>
      </c>
      <c r="H14342">
        <v>85991818</v>
      </c>
      <c r="I14342">
        <v>85991818</v>
      </c>
    </row>
    <row r="14343" spans="1:9" x14ac:dyDescent="0.2">
      <c r="A14343" t="str">
        <f>"Olfr1032"</f>
        <v>Olfr1032</v>
      </c>
      <c r="B14343" t="s">
        <v>4439</v>
      </c>
      <c r="C14343" t="s">
        <v>26</v>
      </c>
      <c r="D14343" t="s">
        <v>17</v>
      </c>
      <c r="E14343" t="s">
        <v>20</v>
      </c>
      <c r="F14343">
        <v>86007777</v>
      </c>
      <c r="G14343">
        <v>86007777</v>
      </c>
      <c r="H14343">
        <v>86007777</v>
      </c>
      <c r="I14343">
        <v>86007777</v>
      </c>
    </row>
    <row r="14344" spans="1:9" x14ac:dyDescent="0.2">
      <c r="A14344" t="str">
        <f>"Olfr1033"</f>
        <v>Olfr1033</v>
      </c>
      <c r="B14344" t="s">
        <v>14</v>
      </c>
      <c r="C14344" t="s">
        <v>26</v>
      </c>
      <c r="D14344" t="s">
        <v>17</v>
      </c>
      <c r="E14344" t="s">
        <v>12</v>
      </c>
      <c r="F14344">
        <v>86020625</v>
      </c>
      <c r="G14344">
        <v>86020641</v>
      </c>
      <c r="H14344">
        <v>86020625</v>
      </c>
      <c r="I14344">
        <v>86020641</v>
      </c>
    </row>
    <row r="14345" spans="1:9" x14ac:dyDescent="0.2">
      <c r="A14345" t="str">
        <f>"Olfr1034"</f>
        <v>Olfr1034</v>
      </c>
      <c r="B14345" t="s">
        <v>4440</v>
      </c>
      <c r="C14345" t="s">
        <v>26</v>
      </c>
      <c r="D14345" t="s">
        <v>17</v>
      </c>
      <c r="E14345" t="s">
        <v>20</v>
      </c>
      <c r="F14345">
        <v>86046450</v>
      </c>
      <c r="G14345">
        <v>86046450</v>
      </c>
      <c r="H14345">
        <v>86046450</v>
      </c>
      <c r="I14345">
        <v>86046450</v>
      </c>
    </row>
    <row r="14346" spans="1:9" x14ac:dyDescent="0.2">
      <c r="A14346" t="str">
        <f>"Olfr1036"</f>
        <v>Olfr1036</v>
      </c>
      <c r="B14346" t="s">
        <v>4441</v>
      </c>
      <c r="C14346" t="s">
        <v>26</v>
      </c>
      <c r="D14346" t="s">
        <v>17</v>
      </c>
      <c r="E14346" t="s">
        <v>20</v>
      </c>
      <c r="F14346">
        <v>86074714</v>
      </c>
      <c r="G14346">
        <v>86074714</v>
      </c>
      <c r="H14346">
        <v>86074714</v>
      </c>
      <c r="I14346">
        <v>86074714</v>
      </c>
    </row>
    <row r="14347" spans="1:9" x14ac:dyDescent="0.2">
      <c r="A14347" t="str">
        <f>"Olfr1037"</f>
        <v>Olfr1037</v>
      </c>
      <c r="B14347" t="s">
        <v>4442</v>
      </c>
      <c r="C14347" t="s">
        <v>26</v>
      </c>
      <c r="D14347" t="s">
        <v>11</v>
      </c>
      <c r="E14347" t="s">
        <v>20</v>
      </c>
      <c r="F14347">
        <v>86085853</v>
      </c>
      <c r="G14347">
        <v>86085853</v>
      </c>
      <c r="H14347">
        <v>86085853</v>
      </c>
      <c r="I14347">
        <v>86085853</v>
      </c>
    </row>
    <row r="14348" spans="1:9" x14ac:dyDescent="0.2">
      <c r="A14348" t="str">
        <f>"Olfr1039"</f>
        <v>Olfr1039</v>
      </c>
      <c r="B14348" t="s">
        <v>4443</v>
      </c>
      <c r="C14348" t="s">
        <v>26</v>
      </c>
      <c r="D14348" t="s">
        <v>11</v>
      </c>
      <c r="E14348" t="s">
        <v>20</v>
      </c>
      <c r="F14348">
        <v>86131660</v>
      </c>
      <c r="G14348">
        <v>86131660</v>
      </c>
      <c r="H14348">
        <v>86131660</v>
      </c>
      <c r="I14348">
        <v>86131660</v>
      </c>
    </row>
    <row r="14349" spans="1:9" x14ac:dyDescent="0.2">
      <c r="A14349" t="str">
        <f>"Olfr1040"</f>
        <v>Olfr1040</v>
      </c>
      <c r="B14349" t="s">
        <v>4444</v>
      </c>
      <c r="C14349" t="s">
        <v>26</v>
      </c>
      <c r="D14349" t="s">
        <v>11</v>
      </c>
      <c r="E14349" t="s">
        <v>20</v>
      </c>
      <c r="F14349">
        <v>86146731</v>
      </c>
      <c r="G14349">
        <v>86146731</v>
      </c>
      <c r="H14349">
        <v>86146731</v>
      </c>
      <c r="I14349">
        <v>86146731</v>
      </c>
    </row>
    <row r="14350" spans="1:9" x14ac:dyDescent="0.2">
      <c r="A14350" t="str">
        <f>"Olfr1042"</f>
        <v>Olfr1042</v>
      </c>
      <c r="B14350" t="s">
        <v>4445</v>
      </c>
      <c r="C14350" t="s">
        <v>26</v>
      </c>
      <c r="D14350" t="s">
        <v>11</v>
      </c>
      <c r="E14350" t="s">
        <v>20</v>
      </c>
      <c r="F14350">
        <v>86160440</v>
      </c>
      <c r="G14350">
        <v>86160440</v>
      </c>
      <c r="H14350">
        <v>86160440</v>
      </c>
      <c r="I14350">
        <v>86160440</v>
      </c>
    </row>
    <row r="14351" spans="1:9" x14ac:dyDescent="0.2">
      <c r="A14351" t="str">
        <f>"Olfr1043"</f>
        <v>Olfr1043</v>
      </c>
      <c r="B14351" t="s">
        <v>4446</v>
      </c>
      <c r="C14351" t="s">
        <v>26</v>
      </c>
      <c r="D14351" t="s">
        <v>11</v>
      </c>
      <c r="E14351" t="s">
        <v>20</v>
      </c>
      <c r="F14351">
        <v>86162946</v>
      </c>
      <c r="G14351">
        <v>86162946</v>
      </c>
      <c r="H14351">
        <v>86162946</v>
      </c>
      <c r="I14351">
        <v>86162946</v>
      </c>
    </row>
    <row r="14352" spans="1:9" x14ac:dyDescent="0.2">
      <c r="A14352" t="str">
        <f>"Olfr1044"</f>
        <v>Olfr1044</v>
      </c>
      <c r="B14352" t="s">
        <v>4447</v>
      </c>
      <c r="C14352" t="s">
        <v>26</v>
      </c>
      <c r="D14352" t="s">
        <v>11</v>
      </c>
      <c r="E14352" t="s">
        <v>20</v>
      </c>
      <c r="F14352">
        <v>86171814</v>
      </c>
      <c r="G14352">
        <v>86171814</v>
      </c>
      <c r="H14352">
        <v>86171814</v>
      </c>
      <c r="I14352">
        <v>86171814</v>
      </c>
    </row>
    <row r="14353" spans="1:9" x14ac:dyDescent="0.2">
      <c r="A14353" t="str">
        <f>"Olfr1045"</f>
        <v>Olfr1045</v>
      </c>
      <c r="B14353" t="s">
        <v>4448</v>
      </c>
      <c r="C14353" t="s">
        <v>26</v>
      </c>
      <c r="D14353" t="s">
        <v>11</v>
      </c>
      <c r="E14353" t="s">
        <v>20</v>
      </c>
      <c r="F14353">
        <v>86198749</v>
      </c>
      <c r="G14353">
        <v>86198749</v>
      </c>
      <c r="H14353">
        <v>86198749</v>
      </c>
      <c r="I14353">
        <v>86198749</v>
      </c>
    </row>
    <row r="14354" spans="1:9" x14ac:dyDescent="0.2">
      <c r="A14354" t="str">
        <f>"Olfr1046"</f>
        <v>Olfr1046</v>
      </c>
      <c r="B14354" t="s">
        <v>4449</v>
      </c>
      <c r="C14354" t="s">
        <v>26</v>
      </c>
      <c r="D14354" t="s">
        <v>11</v>
      </c>
      <c r="E14354" t="s">
        <v>20</v>
      </c>
      <c r="F14354">
        <v>86217707</v>
      </c>
      <c r="G14354">
        <v>86217707</v>
      </c>
      <c r="H14354">
        <v>86217707</v>
      </c>
      <c r="I14354">
        <v>86217707</v>
      </c>
    </row>
    <row r="14355" spans="1:9" x14ac:dyDescent="0.2">
      <c r="A14355" t="str">
        <f>"Olfr1047"</f>
        <v>Olfr1047</v>
      </c>
      <c r="B14355" t="s">
        <v>4450</v>
      </c>
      <c r="C14355" t="s">
        <v>26</v>
      </c>
      <c r="D14355" t="s">
        <v>11</v>
      </c>
      <c r="E14355" t="s">
        <v>20</v>
      </c>
      <c r="F14355">
        <v>86228968</v>
      </c>
      <c r="G14355">
        <v>86228968</v>
      </c>
      <c r="H14355">
        <v>86228968</v>
      </c>
      <c r="I14355">
        <v>86228968</v>
      </c>
    </row>
    <row r="14356" spans="1:9" x14ac:dyDescent="0.2">
      <c r="A14356" t="str">
        <f>"Olfr1048"</f>
        <v>Olfr1048</v>
      </c>
      <c r="B14356" t="s">
        <v>4451</v>
      </c>
      <c r="C14356" t="s">
        <v>26</v>
      </c>
      <c r="D14356" t="s">
        <v>11</v>
      </c>
      <c r="E14356" t="s">
        <v>20</v>
      </c>
      <c r="F14356">
        <v>86236832</v>
      </c>
      <c r="G14356">
        <v>86236832</v>
      </c>
      <c r="H14356">
        <v>86236832</v>
      </c>
      <c r="I14356">
        <v>86236832</v>
      </c>
    </row>
    <row r="14357" spans="1:9" x14ac:dyDescent="0.2">
      <c r="A14357" t="str">
        <f>"Olfr1049"</f>
        <v>Olfr1049</v>
      </c>
      <c r="B14357" t="s">
        <v>4452</v>
      </c>
      <c r="C14357" t="s">
        <v>26</v>
      </c>
      <c r="D14357" t="s">
        <v>11</v>
      </c>
      <c r="E14357" t="s">
        <v>20</v>
      </c>
      <c r="F14357">
        <v>86255690</v>
      </c>
      <c r="G14357">
        <v>86255690</v>
      </c>
      <c r="H14357">
        <v>86255690</v>
      </c>
      <c r="I14357">
        <v>86255690</v>
      </c>
    </row>
    <row r="14358" spans="1:9" x14ac:dyDescent="0.2">
      <c r="A14358" t="str">
        <f>"Olfr1051"</f>
        <v>Olfr1051</v>
      </c>
      <c r="B14358" t="s">
        <v>4453</v>
      </c>
      <c r="C14358" t="s">
        <v>26</v>
      </c>
      <c r="D14358" t="s">
        <v>11</v>
      </c>
      <c r="E14358" t="s">
        <v>20</v>
      </c>
      <c r="F14358">
        <v>86276484</v>
      </c>
      <c r="G14358">
        <v>86276484</v>
      </c>
      <c r="H14358">
        <v>86276484</v>
      </c>
      <c r="I14358">
        <v>86276484</v>
      </c>
    </row>
    <row r="14359" spans="1:9" x14ac:dyDescent="0.2">
      <c r="A14359" t="str">
        <f>"Olfr1052"</f>
        <v>Olfr1052</v>
      </c>
      <c r="B14359" t="s">
        <v>4454</v>
      </c>
      <c r="C14359" t="s">
        <v>26</v>
      </c>
      <c r="D14359" t="s">
        <v>17</v>
      </c>
      <c r="E14359" t="s">
        <v>20</v>
      </c>
      <c r="F14359">
        <v>86297816</v>
      </c>
      <c r="G14359">
        <v>86297816</v>
      </c>
      <c r="H14359">
        <v>86297816</v>
      </c>
      <c r="I14359">
        <v>86297816</v>
      </c>
    </row>
    <row r="14360" spans="1:9" x14ac:dyDescent="0.2">
      <c r="A14360" t="str">
        <f>"Olfr1053"</f>
        <v>Olfr1053</v>
      </c>
      <c r="B14360" t="s">
        <v>4455</v>
      </c>
      <c r="C14360" t="s">
        <v>26</v>
      </c>
      <c r="D14360" t="s">
        <v>11</v>
      </c>
      <c r="E14360" t="s">
        <v>20</v>
      </c>
      <c r="F14360">
        <v>86315284</v>
      </c>
      <c r="G14360">
        <v>86315284</v>
      </c>
      <c r="H14360">
        <v>86315284</v>
      </c>
      <c r="I14360">
        <v>86315284</v>
      </c>
    </row>
    <row r="14361" spans="1:9" x14ac:dyDescent="0.2">
      <c r="A14361" t="str">
        <f>"Olfr1054"</f>
        <v>Olfr1054</v>
      </c>
      <c r="B14361" t="s">
        <v>4456</v>
      </c>
      <c r="C14361" t="s">
        <v>26</v>
      </c>
      <c r="D14361" t="s">
        <v>11</v>
      </c>
      <c r="E14361" t="s">
        <v>20</v>
      </c>
      <c r="F14361">
        <v>86333353</v>
      </c>
      <c r="G14361">
        <v>86333353</v>
      </c>
      <c r="H14361">
        <v>86333353</v>
      </c>
      <c r="I14361">
        <v>86333353</v>
      </c>
    </row>
    <row r="14362" spans="1:9" x14ac:dyDescent="0.2">
      <c r="A14362" t="str">
        <f>"Olfr1055"</f>
        <v>Olfr1055</v>
      </c>
      <c r="B14362" t="s">
        <v>4457</v>
      </c>
      <c r="C14362" t="s">
        <v>26</v>
      </c>
      <c r="D14362" t="s">
        <v>11</v>
      </c>
      <c r="E14362" t="s">
        <v>20</v>
      </c>
      <c r="F14362">
        <v>86347763</v>
      </c>
      <c r="G14362">
        <v>86347763</v>
      </c>
      <c r="H14362">
        <v>86347763</v>
      </c>
      <c r="I14362">
        <v>86347763</v>
      </c>
    </row>
    <row r="14363" spans="1:9" x14ac:dyDescent="0.2">
      <c r="A14363" t="str">
        <f>"Olfr1056"</f>
        <v>Olfr1056</v>
      </c>
      <c r="B14363" t="s">
        <v>4458</v>
      </c>
      <c r="C14363" t="s">
        <v>26</v>
      </c>
      <c r="D14363" t="s">
        <v>11</v>
      </c>
      <c r="E14363" t="s">
        <v>20</v>
      </c>
      <c r="F14363">
        <v>86356436</v>
      </c>
      <c r="G14363">
        <v>86356436</v>
      </c>
      <c r="H14363">
        <v>86356436</v>
      </c>
      <c r="I14363">
        <v>86356436</v>
      </c>
    </row>
    <row r="14364" spans="1:9" x14ac:dyDescent="0.2">
      <c r="A14364" t="str">
        <f>"Olfr1057"</f>
        <v>Olfr1057</v>
      </c>
      <c r="B14364" t="s">
        <v>4459</v>
      </c>
      <c r="C14364" t="s">
        <v>26</v>
      </c>
      <c r="D14364" t="s">
        <v>11</v>
      </c>
      <c r="E14364" t="s">
        <v>20</v>
      </c>
      <c r="F14364">
        <v>86375409</v>
      </c>
      <c r="G14364">
        <v>86375409</v>
      </c>
      <c r="H14364">
        <v>86375409</v>
      </c>
      <c r="I14364">
        <v>86375409</v>
      </c>
    </row>
    <row r="14365" spans="1:9" x14ac:dyDescent="0.2">
      <c r="A14365" t="str">
        <f>"Olfr1058"</f>
        <v>Olfr1058</v>
      </c>
      <c r="B14365" t="s">
        <v>4460</v>
      </c>
      <c r="C14365" t="s">
        <v>26</v>
      </c>
      <c r="D14365" t="s">
        <v>11</v>
      </c>
      <c r="E14365" t="s">
        <v>20</v>
      </c>
      <c r="F14365">
        <v>86386415</v>
      </c>
      <c r="G14365">
        <v>86386415</v>
      </c>
      <c r="H14365">
        <v>86386415</v>
      </c>
      <c r="I14365">
        <v>86386415</v>
      </c>
    </row>
    <row r="14366" spans="1:9" x14ac:dyDescent="0.2">
      <c r="A14366" t="str">
        <f>"Olfr1061"</f>
        <v>Olfr1061</v>
      </c>
      <c r="B14366" t="s">
        <v>4461</v>
      </c>
      <c r="C14366" t="s">
        <v>26</v>
      </c>
      <c r="D14366" t="s">
        <v>11</v>
      </c>
      <c r="E14366" t="s">
        <v>20</v>
      </c>
      <c r="F14366">
        <v>86414049</v>
      </c>
      <c r="G14366">
        <v>86414049</v>
      </c>
      <c r="H14366">
        <v>86414049</v>
      </c>
      <c r="I14366">
        <v>86414049</v>
      </c>
    </row>
    <row r="14367" spans="1:9" x14ac:dyDescent="0.2">
      <c r="A14367" t="str">
        <f>"Olfr1062"</f>
        <v>Olfr1062</v>
      </c>
      <c r="B14367" t="s">
        <v>4462</v>
      </c>
      <c r="C14367" t="s">
        <v>26</v>
      </c>
      <c r="D14367" t="s">
        <v>11</v>
      </c>
      <c r="E14367" t="s">
        <v>20</v>
      </c>
      <c r="F14367">
        <v>86423673</v>
      </c>
      <c r="G14367">
        <v>86423673</v>
      </c>
      <c r="H14367">
        <v>86423673</v>
      </c>
      <c r="I14367">
        <v>86423673</v>
      </c>
    </row>
    <row r="14368" spans="1:9" x14ac:dyDescent="0.2">
      <c r="A14368" t="str">
        <f>"Olfr1065"</f>
        <v>Olfr1065</v>
      </c>
      <c r="B14368" t="s">
        <v>4463</v>
      </c>
      <c r="C14368" t="s">
        <v>26</v>
      </c>
      <c r="D14368" t="s">
        <v>11</v>
      </c>
      <c r="E14368" t="s">
        <v>20</v>
      </c>
      <c r="F14368">
        <v>86446003</v>
      </c>
      <c r="G14368">
        <v>86446003</v>
      </c>
      <c r="H14368">
        <v>86446003</v>
      </c>
      <c r="I14368">
        <v>86446003</v>
      </c>
    </row>
    <row r="14369" spans="1:9" x14ac:dyDescent="0.2">
      <c r="A14369" t="str">
        <f>"Olfr1066"</f>
        <v>Olfr1066</v>
      </c>
      <c r="B14369" t="s">
        <v>4464</v>
      </c>
      <c r="C14369" t="s">
        <v>26</v>
      </c>
      <c r="D14369" t="s">
        <v>11</v>
      </c>
      <c r="E14369" t="s">
        <v>20</v>
      </c>
      <c r="F14369">
        <v>86456268</v>
      </c>
      <c r="G14369">
        <v>86456268</v>
      </c>
      <c r="H14369">
        <v>86456268</v>
      </c>
      <c r="I14369">
        <v>86456268</v>
      </c>
    </row>
    <row r="14370" spans="1:9" x14ac:dyDescent="0.2">
      <c r="A14370" t="str">
        <f>"Olfr107"</f>
        <v>Olfr107</v>
      </c>
      <c r="B14370" t="s">
        <v>4465</v>
      </c>
      <c r="C14370" t="s">
        <v>28</v>
      </c>
      <c r="D14370" t="s">
        <v>17</v>
      </c>
      <c r="E14370" t="s">
        <v>20</v>
      </c>
      <c r="F14370">
        <v>37405476</v>
      </c>
      <c r="G14370">
        <v>37405476</v>
      </c>
      <c r="H14370">
        <v>37405476</v>
      </c>
      <c r="I14370">
        <v>37405476</v>
      </c>
    </row>
    <row r="14371" spans="1:9" x14ac:dyDescent="0.2">
      <c r="A14371" t="str">
        <f>"Olfr1076"</f>
        <v>Olfr1076</v>
      </c>
      <c r="B14371" t="s">
        <v>4466</v>
      </c>
      <c r="C14371" t="s">
        <v>26</v>
      </c>
      <c r="D14371" t="s">
        <v>17</v>
      </c>
      <c r="E14371" t="s">
        <v>20</v>
      </c>
      <c r="F14371">
        <v>86508460</v>
      </c>
      <c r="G14371">
        <v>86508460</v>
      </c>
      <c r="H14371">
        <v>86508460</v>
      </c>
      <c r="I14371">
        <v>86508460</v>
      </c>
    </row>
    <row r="14372" spans="1:9" x14ac:dyDescent="0.2">
      <c r="A14372" t="str">
        <f>"Olfr1079"</f>
        <v>Olfr1079</v>
      </c>
      <c r="B14372" t="s">
        <v>4467</v>
      </c>
      <c r="C14372" t="s">
        <v>26</v>
      </c>
      <c r="D14372" t="s">
        <v>11</v>
      </c>
      <c r="E14372" t="s">
        <v>20</v>
      </c>
      <c r="F14372">
        <v>86538912</v>
      </c>
      <c r="G14372">
        <v>86538912</v>
      </c>
      <c r="H14372">
        <v>86538912</v>
      </c>
      <c r="I14372">
        <v>86538912</v>
      </c>
    </row>
    <row r="14373" spans="1:9" x14ac:dyDescent="0.2">
      <c r="A14373" t="str">
        <f>"Olfr1079"</f>
        <v>Olfr1079</v>
      </c>
      <c r="B14373" t="s">
        <v>4468</v>
      </c>
      <c r="C14373" t="s">
        <v>26</v>
      </c>
      <c r="D14373" t="s">
        <v>11</v>
      </c>
      <c r="E14373" t="s">
        <v>20</v>
      </c>
      <c r="F14373">
        <v>86542479</v>
      </c>
      <c r="G14373">
        <v>86542479</v>
      </c>
      <c r="H14373">
        <v>86542479</v>
      </c>
      <c r="I14373">
        <v>86542479</v>
      </c>
    </row>
    <row r="14374" spans="1:9" x14ac:dyDescent="0.2">
      <c r="A14374" t="str">
        <f>"Olfr108"</f>
        <v>Olfr108</v>
      </c>
      <c r="B14374" t="s">
        <v>4469</v>
      </c>
      <c r="C14374" t="s">
        <v>28</v>
      </c>
      <c r="D14374" t="s">
        <v>17</v>
      </c>
      <c r="E14374" t="s">
        <v>20</v>
      </c>
      <c r="F14374">
        <v>37445479</v>
      </c>
      <c r="G14374">
        <v>37445479</v>
      </c>
      <c r="H14374">
        <v>37445479</v>
      </c>
      <c r="I14374">
        <v>37445479</v>
      </c>
    </row>
    <row r="14375" spans="1:9" x14ac:dyDescent="0.2">
      <c r="A14375" t="str">
        <f>"Olfr1080"</f>
        <v>Olfr1080</v>
      </c>
      <c r="B14375" t="s">
        <v>4470</v>
      </c>
      <c r="C14375" t="s">
        <v>26</v>
      </c>
      <c r="D14375" t="s">
        <v>11</v>
      </c>
      <c r="E14375" t="s">
        <v>20</v>
      </c>
      <c r="F14375">
        <v>86554121</v>
      </c>
      <c r="G14375">
        <v>86554121</v>
      </c>
      <c r="H14375">
        <v>86554121</v>
      </c>
      <c r="I14375">
        <v>86554121</v>
      </c>
    </row>
    <row r="14376" spans="1:9" x14ac:dyDescent="0.2">
      <c r="A14376" t="str">
        <f>"Olfr1080"</f>
        <v>Olfr1080</v>
      </c>
      <c r="B14376" t="s">
        <v>4471</v>
      </c>
      <c r="C14376" t="s">
        <v>26</v>
      </c>
      <c r="D14376" t="s">
        <v>11</v>
      </c>
      <c r="E14376" t="s">
        <v>20</v>
      </c>
      <c r="F14376">
        <v>86558137</v>
      </c>
      <c r="G14376">
        <v>86558137</v>
      </c>
      <c r="H14376">
        <v>86558137</v>
      </c>
      <c r="I14376">
        <v>86558137</v>
      </c>
    </row>
    <row r="14377" spans="1:9" x14ac:dyDescent="0.2">
      <c r="A14377" t="str">
        <f>"Olfr1082"</f>
        <v>Olfr1082</v>
      </c>
      <c r="B14377" t="s">
        <v>4472</v>
      </c>
      <c r="C14377" t="s">
        <v>26</v>
      </c>
      <c r="D14377" t="s">
        <v>11</v>
      </c>
      <c r="E14377" t="s">
        <v>20</v>
      </c>
      <c r="F14377">
        <v>86594825</v>
      </c>
      <c r="G14377">
        <v>86594825</v>
      </c>
      <c r="H14377">
        <v>86594825</v>
      </c>
      <c r="I14377">
        <v>86594825</v>
      </c>
    </row>
    <row r="14378" spans="1:9" x14ac:dyDescent="0.2">
      <c r="A14378" t="str">
        <f>"Olfr1082"</f>
        <v>Olfr1082</v>
      </c>
      <c r="B14378" t="s">
        <v>4473</v>
      </c>
      <c r="C14378" t="s">
        <v>26</v>
      </c>
      <c r="D14378" t="s">
        <v>11</v>
      </c>
      <c r="E14378" t="s">
        <v>20</v>
      </c>
      <c r="F14378">
        <v>86598808</v>
      </c>
      <c r="G14378">
        <v>86598808</v>
      </c>
      <c r="H14378">
        <v>86598808</v>
      </c>
      <c r="I14378">
        <v>86598808</v>
      </c>
    </row>
    <row r="14379" spans="1:9" x14ac:dyDescent="0.2">
      <c r="A14379" t="str">
        <f>"Olfr1084"</f>
        <v>Olfr1084</v>
      </c>
      <c r="B14379" t="s">
        <v>4474</v>
      </c>
      <c r="C14379" t="s">
        <v>26</v>
      </c>
      <c r="D14379" t="s">
        <v>11</v>
      </c>
      <c r="E14379" t="s">
        <v>20</v>
      </c>
      <c r="F14379">
        <v>86639717</v>
      </c>
      <c r="G14379">
        <v>86639717</v>
      </c>
      <c r="H14379">
        <v>86639717</v>
      </c>
      <c r="I14379">
        <v>86639717</v>
      </c>
    </row>
    <row r="14380" spans="1:9" x14ac:dyDescent="0.2">
      <c r="A14380" t="str">
        <f>"Olfr1085"</f>
        <v>Olfr1085</v>
      </c>
      <c r="B14380" t="s">
        <v>4475</v>
      </c>
      <c r="C14380" t="s">
        <v>26</v>
      </c>
      <c r="D14380" t="s">
        <v>11</v>
      </c>
      <c r="E14380" t="s">
        <v>20</v>
      </c>
      <c r="F14380">
        <v>86658455</v>
      </c>
      <c r="G14380">
        <v>86658455</v>
      </c>
      <c r="H14380">
        <v>86658455</v>
      </c>
      <c r="I14380">
        <v>86658455</v>
      </c>
    </row>
    <row r="14381" spans="1:9" x14ac:dyDescent="0.2">
      <c r="A14381" t="str">
        <f>"Olfr1086"</f>
        <v>Olfr1086</v>
      </c>
      <c r="B14381" t="s">
        <v>4476</v>
      </c>
      <c r="C14381" t="s">
        <v>26</v>
      </c>
      <c r="D14381" t="s">
        <v>11</v>
      </c>
      <c r="E14381" t="s">
        <v>20</v>
      </c>
      <c r="F14381">
        <v>86677330</v>
      </c>
      <c r="G14381">
        <v>86677330</v>
      </c>
      <c r="H14381">
        <v>86677330</v>
      </c>
      <c r="I14381">
        <v>86677330</v>
      </c>
    </row>
    <row r="14382" spans="1:9" x14ac:dyDescent="0.2">
      <c r="A14382" t="str">
        <f>"Olfr1087"</f>
        <v>Olfr1087</v>
      </c>
      <c r="B14382" t="s">
        <v>4477</v>
      </c>
      <c r="C14382" t="s">
        <v>26</v>
      </c>
      <c r="D14382" t="s">
        <v>11</v>
      </c>
      <c r="E14382" t="s">
        <v>20</v>
      </c>
      <c r="F14382">
        <v>86690972</v>
      </c>
      <c r="G14382">
        <v>86690972</v>
      </c>
      <c r="H14382">
        <v>86690972</v>
      </c>
      <c r="I14382">
        <v>86690972</v>
      </c>
    </row>
    <row r="14383" spans="1:9" x14ac:dyDescent="0.2">
      <c r="A14383" t="str">
        <f>"Olfr1089"</f>
        <v>Olfr1089</v>
      </c>
      <c r="B14383" t="s">
        <v>4478</v>
      </c>
      <c r="C14383" t="s">
        <v>26</v>
      </c>
      <c r="D14383" t="s">
        <v>11</v>
      </c>
      <c r="E14383" t="s">
        <v>20</v>
      </c>
      <c r="F14383">
        <v>86733609</v>
      </c>
      <c r="G14383">
        <v>86733609</v>
      </c>
      <c r="H14383">
        <v>86733609</v>
      </c>
      <c r="I14383">
        <v>86733609</v>
      </c>
    </row>
    <row r="14384" spans="1:9" x14ac:dyDescent="0.2">
      <c r="A14384" t="str">
        <f>"Olfr109"</f>
        <v>Olfr109</v>
      </c>
      <c r="B14384" t="s">
        <v>4479</v>
      </c>
      <c r="C14384" t="s">
        <v>28</v>
      </c>
      <c r="D14384" t="s">
        <v>17</v>
      </c>
      <c r="E14384" t="s">
        <v>20</v>
      </c>
      <c r="F14384">
        <v>37466207</v>
      </c>
      <c r="G14384">
        <v>37466207</v>
      </c>
      <c r="H14384">
        <v>37466207</v>
      </c>
      <c r="I14384">
        <v>37466207</v>
      </c>
    </row>
    <row r="14385" spans="1:9" x14ac:dyDescent="0.2">
      <c r="A14385" t="str">
        <f>"Olfr1090"</f>
        <v>Olfr1090</v>
      </c>
      <c r="B14385" t="s">
        <v>4480</v>
      </c>
      <c r="C14385" t="s">
        <v>26</v>
      </c>
      <c r="D14385" t="s">
        <v>11</v>
      </c>
      <c r="E14385" t="s">
        <v>20</v>
      </c>
      <c r="F14385">
        <v>86754735</v>
      </c>
      <c r="G14385">
        <v>86754735</v>
      </c>
      <c r="H14385">
        <v>86754735</v>
      </c>
      <c r="I14385">
        <v>86754735</v>
      </c>
    </row>
    <row r="14386" spans="1:9" x14ac:dyDescent="0.2">
      <c r="A14386" t="str">
        <f>"Olfr1093"</f>
        <v>Olfr1093</v>
      </c>
      <c r="B14386" t="s">
        <v>4481</v>
      </c>
      <c r="C14386" t="s">
        <v>26</v>
      </c>
      <c r="D14386" t="s">
        <v>17</v>
      </c>
      <c r="E14386" t="s">
        <v>20</v>
      </c>
      <c r="F14386">
        <v>86785731</v>
      </c>
      <c r="G14386">
        <v>86785731</v>
      </c>
      <c r="H14386">
        <v>86785731</v>
      </c>
      <c r="I14386">
        <v>86785731</v>
      </c>
    </row>
    <row r="14387" spans="1:9" x14ac:dyDescent="0.2">
      <c r="A14387" t="str">
        <f>"Olfr1094"</f>
        <v>Olfr1094</v>
      </c>
      <c r="B14387" t="s">
        <v>4482</v>
      </c>
      <c r="C14387" t="s">
        <v>26</v>
      </c>
      <c r="D14387" t="s">
        <v>17</v>
      </c>
      <c r="E14387" t="s">
        <v>20</v>
      </c>
      <c r="F14387">
        <v>86828675</v>
      </c>
      <c r="G14387">
        <v>86828675</v>
      </c>
      <c r="H14387">
        <v>86828675</v>
      </c>
      <c r="I14387">
        <v>86828675</v>
      </c>
    </row>
    <row r="14388" spans="1:9" x14ac:dyDescent="0.2">
      <c r="A14388" t="str">
        <f>"Olfr1095"</f>
        <v>Olfr1095</v>
      </c>
      <c r="B14388" t="s">
        <v>4483</v>
      </c>
      <c r="C14388" t="s">
        <v>26</v>
      </c>
      <c r="D14388" t="s">
        <v>11</v>
      </c>
      <c r="E14388" t="s">
        <v>20</v>
      </c>
      <c r="F14388">
        <v>86851695</v>
      </c>
      <c r="G14388">
        <v>86851695</v>
      </c>
      <c r="H14388">
        <v>86851695</v>
      </c>
      <c r="I14388">
        <v>86851695</v>
      </c>
    </row>
    <row r="14389" spans="1:9" x14ac:dyDescent="0.2">
      <c r="A14389" t="str">
        <f>"Olfr1097"</f>
        <v>Olfr1097</v>
      </c>
      <c r="B14389" t="s">
        <v>4484</v>
      </c>
      <c r="C14389" t="s">
        <v>26</v>
      </c>
      <c r="D14389" t="s">
        <v>11</v>
      </c>
      <c r="E14389" t="s">
        <v>20</v>
      </c>
      <c r="F14389">
        <v>86892162</v>
      </c>
      <c r="G14389">
        <v>86892162</v>
      </c>
      <c r="H14389">
        <v>86892162</v>
      </c>
      <c r="I14389">
        <v>86892162</v>
      </c>
    </row>
    <row r="14390" spans="1:9" x14ac:dyDescent="0.2">
      <c r="A14390" t="str">
        <f>"Olfr1098"</f>
        <v>Olfr1098</v>
      </c>
      <c r="B14390" t="s">
        <v>4485</v>
      </c>
      <c r="C14390" t="s">
        <v>26</v>
      </c>
      <c r="D14390" t="s">
        <v>11</v>
      </c>
      <c r="E14390" t="s">
        <v>20</v>
      </c>
      <c r="F14390">
        <v>86923529</v>
      </c>
      <c r="G14390">
        <v>86923529</v>
      </c>
      <c r="H14390">
        <v>86923529</v>
      </c>
      <c r="I14390">
        <v>86923529</v>
      </c>
    </row>
    <row r="14391" spans="1:9" x14ac:dyDescent="0.2">
      <c r="A14391" t="str">
        <f>"Olfr1098"</f>
        <v>Olfr1098</v>
      </c>
      <c r="B14391" t="s">
        <v>4486</v>
      </c>
      <c r="C14391" t="s">
        <v>26</v>
      </c>
      <c r="D14391" t="s">
        <v>11</v>
      </c>
      <c r="E14391" t="s">
        <v>20</v>
      </c>
      <c r="F14391">
        <v>86924497</v>
      </c>
      <c r="G14391">
        <v>86924497</v>
      </c>
      <c r="H14391">
        <v>86924497</v>
      </c>
      <c r="I14391">
        <v>86924497</v>
      </c>
    </row>
    <row r="14392" spans="1:9" x14ac:dyDescent="0.2">
      <c r="A14392" t="str">
        <f>"Olfr1099"</f>
        <v>Olfr1099</v>
      </c>
      <c r="B14392" t="s">
        <v>4487</v>
      </c>
      <c r="C14392" t="s">
        <v>26</v>
      </c>
      <c r="D14392" t="s">
        <v>11</v>
      </c>
      <c r="E14392" t="s">
        <v>20</v>
      </c>
      <c r="F14392">
        <v>86959477</v>
      </c>
      <c r="G14392">
        <v>86959477</v>
      </c>
      <c r="H14392">
        <v>86959477</v>
      </c>
      <c r="I14392">
        <v>86959477</v>
      </c>
    </row>
    <row r="14393" spans="1:9" x14ac:dyDescent="0.2">
      <c r="A14393" t="str">
        <f>"Olfr11"</f>
        <v>Olfr11</v>
      </c>
      <c r="B14393" t="s">
        <v>4488</v>
      </c>
      <c r="C14393" t="s">
        <v>39</v>
      </c>
      <c r="D14393" t="s">
        <v>11</v>
      </c>
      <c r="E14393" t="s">
        <v>20</v>
      </c>
      <c r="F14393">
        <v>21639520</v>
      </c>
      <c r="G14393">
        <v>21639520</v>
      </c>
      <c r="H14393">
        <v>21639520</v>
      </c>
      <c r="I14393">
        <v>21639520</v>
      </c>
    </row>
    <row r="14394" spans="1:9" x14ac:dyDescent="0.2">
      <c r="A14394" t="str">
        <f>"Olfr110"</f>
        <v>Olfr110</v>
      </c>
      <c r="B14394" t="s">
        <v>14</v>
      </c>
      <c r="C14394" t="s">
        <v>28</v>
      </c>
      <c r="D14394" t="s">
        <v>17</v>
      </c>
      <c r="E14394" t="s">
        <v>12</v>
      </c>
      <c r="F14394">
        <v>37492401</v>
      </c>
      <c r="G14394">
        <v>37492402</v>
      </c>
      <c r="H14394">
        <v>37492401</v>
      </c>
      <c r="I14394">
        <v>37492402</v>
      </c>
    </row>
    <row r="14395" spans="1:9" x14ac:dyDescent="0.2">
      <c r="A14395" t="str">
        <f>"Olfr1100"</f>
        <v>Olfr1100</v>
      </c>
      <c r="B14395" t="s">
        <v>4489</v>
      </c>
      <c r="C14395" t="s">
        <v>26</v>
      </c>
      <c r="D14395" t="s">
        <v>11</v>
      </c>
      <c r="E14395" t="s">
        <v>20</v>
      </c>
      <c r="F14395">
        <v>86978796</v>
      </c>
      <c r="G14395">
        <v>86978796</v>
      </c>
      <c r="H14395">
        <v>86978796</v>
      </c>
      <c r="I14395">
        <v>86978796</v>
      </c>
    </row>
    <row r="14396" spans="1:9" x14ac:dyDescent="0.2">
      <c r="A14396" t="str">
        <f>"Olfr1101"</f>
        <v>Olfr1101</v>
      </c>
      <c r="B14396" t="s">
        <v>4490</v>
      </c>
      <c r="C14396" t="s">
        <v>26</v>
      </c>
      <c r="D14396" t="s">
        <v>11</v>
      </c>
      <c r="E14396" t="s">
        <v>20</v>
      </c>
      <c r="F14396">
        <v>86989173</v>
      </c>
      <c r="G14396">
        <v>86989173</v>
      </c>
      <c r="H14396">
        <v>86989173</v>
      </c>
      <c r="I14396">
        <v>86989173</v>
      </c>
    </row>
    <row r="14397" spans="1:9" x14ac:dyDescent="0.2">
      <c r="A14397" t="str">
        <f>"Olfr1102"</f>
        <v>Olfr1102</v>
      </c>
      <c r="B14397" t="s">
        <v>4491</v>
      </c>
      <c r="C14397" t="s">
        <v>26</v>
      </c>
      <c r="D14397" t="s">
        <v>17</v>
      </c>
      <c r="E14397" t="s">
        <v>20</v>
      </c>
      <c r="F14397">
        <v>87001931</v>
      </c>
      <c r="G14397">
        <v>87001931</v>
      </c>
      <c r="H14397">
        <v>87001931</v>
      </c>
      <c r="I14397">
        <v>87001931</v>
      </c>
    </row>
    <row r="14398" spans="1:9" x14ac:dyDescent="0.2">
      <c r="A14398" t="str">
        <f>"Olfr1104"</f>
        <v>Olfr1104</v>
      </c>
      <c r="B14398" t="s">
        <v>4492</v>
      </c>
      <c r="C14398" t="s">
        <v>26</v>
      </c>
      <c r="D14398" t="s">
        <v>11</v>
      </c>
      <c r="E14398" t="s">
        <v>20</v>
      </c>
      <c r="F14398">
        <v>87022541</v>
      </c>
      <c r="G14398">
        <v>87022541</v>
      </c>
      <c r="H14398">
        <v>87022541</v>
      </c>
      <c r="I14398">
        <v>87022541</v>
      </c>
    </row>
    <row r="14399" spans="1:9" x14ac:dyDescent="0.2">
      <c r="A14399" t="str">
        <f>"Olfr1105"</f>
        <v>Olfr1105</v>
      </c>
      <c r="B14399" t="s">
        <v>4493</v>
      </c>
      <c r="C14399" t="s">
        <v>26</v>
      </c>
      <c r="D14399" t="s">
        <v>11</v>
      </c>
      <c r="E14399" t="s">
        <v>20</v>
      </c>
      <c r="F14399">
        <v>87034218</v>
      </c>
      <c r="G14399">
        <v>87034218</v>
      </c>
      <c r="H14399">
        <v>87034218</v>
      </c>
      <c r="I14399">
        <v>87034218</v>
      </c>
    </row>
    <row r="14400" spans="1:9" x14ac:dyDescent="0.2">
      <c r="A14400" t="str">
        <f>"Olfr1106"</f>
        <v>Olfr1106</v>
      </c>
      <c r="B14400" t="s">
        <v>4494</v>
      </c>
      <c r="C14400" t="s">
        <v>26</v>
      </c>
      <c r="D14400" t="s">
        <v>11</v>
      </c>
      <c r="E14400" t="s">
        <v>20</v>
      </c>
      <c r="F14400">
        <v>87049233</v>
      </c>
      <c r="G14400">
        <v>87049233</v>
      </c>
      <c r="H14400">
        <v>87049233</v>
      </c>
      <c r="I14400">
        <v>87049233</v>
      </c>
    </row>
    <row r="14401" spans="1:9" x14ac:dyDescent="0.2">
      <c r="A14401" t="str">
        <f>"Olfr1107"</f>
        <v>Olfr1107</v>
      </c>
      <c r="B14401" t="s">
        <v>4495</v>
      </c>
      <c r="C14401" t="s">
        <v>26</v>
      </c>
      <c r="D14401" t="s">
        <v>11</v>
      </c>
      <c r="E14401" t="s">
        <v>20</v>
      </c>
      <c r="F14401">
        <v>87072222</v>
      </c>
      <c r="G14401">
        <v>87072222</v>
      </c>
      <c r="H14401">
        <v>87072222</v>
      </c>
      <c r="I14401">
        <v>87072222</v>
      </c>
    </row>
    <row r="14402" spans="1:9" x14ac:dyDescent="0.2">
      <c r="A14402" t="str">
        <f>"Olfr1109"</f>
        <v>Olfr1109</v>
      </c>
      <c r="B14402" t="s">
        <v>4496</v>
      </c>
      <c r="C14402" t="s">
        <v>26</v>
      </c>
      <c r="D14402" t="s">
        <v>11</v>
      </c>
      <c r="E14402" t="s">
        <v>20</v>
      </c>
      <c r="F14402">
        <v>87093394</v>
      </c>
      <c r="G14402">
        <v>87093394</v>
      </c>
      <c r="H14402">
        <v>87093394</v>
      </c>
      <c r="I14402">
        <v>87093394</v>
      </c>
    </row>
    <row r="14403" spans="1:9" x14ac:dyDescent="0.2">
      <c r="A14403" t="str">
        <f>"Olfr111"</f>
        <v>Olfr111</v>
      </c>
      <c r="B14403" t="s">
        <v>4497</v>
      </c>
      <c r="C14403" t="s">
        <v>28</v>
      </c>
      <c r="D14403" t="s">
        <v>17</v>
      </c>
      <c r="E14403" t="s">
        <v>20</v>
      </c>
      <c r="F14403">
        <v>37529956</v>
      </c>
      <c r="G14403">
        <v>37529956</v>
      </c>
      <c r="H14403">
        <v>37529956</v>
      </c>
      <c r="I14403">
        <v>37529956</v>
      </c>
    </row>
    <row r="14404" spans="1:9" x14ac:dyDescent="0.2">
      <c r="A14404" t="str">
        <f>"Olfr1110"</f>
        <v>Olfr1110</v>
      </c>
      <c r="B14404" t="s">
        <v>4498</v>
      </c>
      <c r="C14404" t="s">
        <v>26</v>
      </c>
      <c r="D14404" t="s">
        <v>11</v>
      </c>
      <c r="E14404" t="s">
        <v>20</v>
      </c>
      <c r="F14404">
        <v>87136318</v>
      </c>
      <c r="G14404">
        <v>87136318</v>
      </c>
      <c r="H14404">
        <v>87136318</v>
      </c>
      <c r="I14404">
        <v>87136318</v>
      </c>
    </row>
    <row r="14405" spans="1:9" x14ac:dyDescent="0.2">
      <c r="A14405" t="str">
        <f>"Olfr1111"</f>
        <v>Olfr1111</v>
      </c>
      <c r="B14405" t="s">
        <v>4499</v>
      </c>
      <c r="C14405" t="s">
        <v>26</v>
      </c>
      <c r="D14405" t="s">
        <v>11</v>
      </c>
      <c r="E14405" t="s">
        <v>20</v>
      </c>
      <c r="F14405">
        <v>87150658</v>
      </c>
      <c r="G14405">
        <v>87150658</v>
      </c>
      <c r="H14405">
        <v>87150658</v>
      </c>
      <c r="I14405">
        <v>87150658</v>
      </c>
    </row>
    <row r="14406" spans="1:9" x14ac:dyDescent="0.2">
      <c r="A14406" t="str">
        <f>"Olfr1112"</f>
        <v>Olfr1112</v>
      </c>
      <c r="B14406" t="s">
        <v>4500</v>
      </c>
      <c r="C14406" t="s">
        <v>26</v>
      </c>
      <c r="D14406" t="s">
        <v>17</v>
      </c>
      <c r="E14406" t="s">
        <v>20</v>
      </c>
      <c r="F14406">
        <v>87191688</v>
      </c>
      <c r="G14406">
        <v>87191688</v>
      </c>
      <c r="H14406">
        <v>87191688</v>
      </c>
      <c r="I14406">
        <v>87191688</v>
      </c>
    </row>
    <row r="14407" spans="1:9" x14ac:dyDescent="0.2">
      <c r="A14407" t="str">
        <f>"Olfr1113"</f>
        <v>Olfr1113</v>
      </c>
      <c r="B14407" t="s">
        <v>4501</v>
      </c>
      <c r="C14407" t="s">
        <v>26</v>
      </c>
      <c r="D14407" t="s">
        <v>17</v>
      </c>
      <c r="E14407" t="s">
        <v>20</v>
      </c>
      <c r="F14407">
        <v>87212893</v>
      </c>
      <c r="G14407">
        <v>87212893</v>
      </c>
      <c r="H14407">
        <v>87212893</v>
      </c>
      <c r="I14407">
        <v>87212893</v>
      </c>
    </row>
    <row r="14408" spans="1:9" x14ac:dyDescent="0.2">
      <c r="A14408" t="str">
        <f>"Olfr1115"</f>
        <v>Olfr1115</v>
      </c>
      <c r="B14408" t="s">
        <v>4502</v>
      </c>
      <c r="C14408" t="s">
        <v>26</v>
      </c>
      <c r="D14408" t="s">
        <v>17</v>
      </c>
      <c r="E14408" t="s">
        <v>20</v>
      </c>
      <c r="F14408">
        <v>87251839</v>
      </c>
      <c r="G14408">
        <v>87251839</v>
      </c>
      <c r="H14408">
        <v>87251839</v>
      </c>
      <c r="I14408">
        <v>87251839</v>
      </c>
    </row>
    <row r="14409" spans="1:9" x14ac:dyDescent="0.2">
      <c r="A14409" t="str">
        <f>"Olfr1118"</f>
        <v>Olfr1118</v>
      </c>
      <c r="B14409" t="s">
        <v>4503</v>
      </c>
      <c r="C14409" t="s">
        <v>26</v>
      </c>
      <c r="D14409" t="s">
        <v>17</v>
      </c>
      <c r="E14409" t="s">
        <v>20</v>
      </c>
      <c r="F14409">
        <v>87308763</v>
      </c>
      <c r="G14409">
        <v>87308763</v>
      </c>
      <c r="H14409">
        <v>87308763</v>
      </c>
      <c r="I14409">
        <v>87308763</v>
      </c>
    </row>
    <row r="14410" spans="1:9" x14ac:dyDescent="0.2">
      <c r="A14410" t="str">
        <f>"Olfr112"</f>
        <v>Olfr112</v>
      </c>
      <c r="B14410" t="s">
        <v>14</v>
      </c>
      <c r="C14410" t="s">
        <v>28</v>
      </c>
      <c r="D14410" t="s">
        <v>11</v>
      </c>
      <c r="E14410" t="s">
        <v>12</v>
      </c>
      <c r="F14410">
        <v>37569451</v>
      </c>
      <c r="G14410">
        <v>37569460</v>
      </c>
      <c r="H14410">
        <v>37569440</v>
      </c>
      <c r="I14410">
        <v>37569448</v>
      </c>
    </row>
    <row r="14411" spans="1:9" x14ac:dyDescent="0.2">
      <c r="A14411" t="str">
        <f>"Olfr1120"</f>
        <v>Olfr1120</v>
      </c>
      <c r="B14411" t="s">
        <v>4504</v>
      </c>
      <c r="C14411" t="s">
        <v>26</v>
      </c>
      <c r="D14411" t="s">
        <v>17</v>
      </c>
      <c r="E14411" t="s">
        <v>20</v>
      </c>
      <c r="F14411">
        <v>87357425</v>
      </c>
      <c r="G14411">
        <v>87357425</v>
      </c>
      <c r="H14411">
        <v>87357425</v>
      </c>
      <c r="I14411">
        <v>87357425</v>
      </c>
    </row>
    <row r="14412" spans="1:9" x14ac:dyDescent="0.2">
      <c r="A14412" t="str">
        <f>"Olfr1121"</f>
        <v>Olfr1121</v>
      </c>
      <c r="B14412" t="s">
        <v>4505</v>
      </c>
      <c r="C14412" t="s">
        <v>26</v>
      </c>
      <c r="D14412" t="s">
        <v>17</v>
      </c>
      <c r="E14412" t="s">
        <v>20</v>
      </c>
      <c r="F14412">
        <v>87371533</v>
      </c>
      <c r="G14412">
        <v>87371533</v>
      </c>
      <c r="H14412">
        <v>87371533</v>
      </c>
      <c r="I14412">
        <v>87371533</v>
      </c>
    </row>
    <row r="14413" spans="1:9" x14ac:dyDescent="0.2">
      <c r="A14413" t="str">
        <f>"Olfr1122"</f>
        <v>Olfr1122</v>
      </c>
      <c r="B14413" t="s">
        <v>4506</v>
      </c>
      <c r="C14413" t="s">
        <v>26</v>
      </c>
      <c r="D14413" t="s">
        <v>17</v>
      </c>
      <c r="E14413" t="s">
        <v>20</v>
      </c>
      <c r="F14413">
        <v>87387655</v>
      </c>
      <c r="G14413">
        <v>87387655</v>
      </c>
      <c r="H14413">
        <v>87387655</v>
      </c>
      <c r="I14413">
        <v>87387655</v>
      </c>
    </row>
    <row r="14414" spans="1:9" x14ac:dyDescent="0.2">
      <c r="A14414" t="str">
        <f>"Olfr1123"</f>
        <v>Olfr1123</v>
      </c>
      <c r="B14414" t="s">
        <v>4507</v>
      </c>
      <c r="C14414" t="s">
        <v>26</v>
      </c>
      <c r="D14414" t="s">
        <v>17</v>
      </c>
      <c r="E14414" t="s">
        <v>20</v>
      </c>
      <c r="F14414">
        <v>87418049</v>
      </c>
      <c r="G14414">
        <v>87418049</v>
      </c>
      <c r="H14414">
        <v>87418049</v>
      </c>
      <c r="I14414">
        <v>87418049</v>
      </c>
    </row>
    <row r="14415" spans="1:9" x14ac:dyDescent="0.2">
      <c r="A14415" t="str">
        <f>"Olfr1124"</f>
        <v>Olfr1124</v>
      </c>
      <c r="B14415" t="s">
        <v>4508</v>
      </c>
      <c r="C14415" t="s">
        <v>26</v>
      </c>
      <c r="D14415" t="s">
        <v>17</v>
      </c>
      <c r="E14415" t="s">
        <v>20</v>
      </c>
      <c r="F14415">
        <v>87434488</v>
      </c>
      <c r="G14415">
        <v>87434488</v>
      </c>
      <c r="H14415">
        <v>87434488</v>
      </c>
      <c r="I14415">
        <v>87434488</v>
      </c>
    </row>
    <row r="14416" spans="1:9" x14ac:dyDescent="0.2">
      <c r="A14416" t="str">
        <f>"Olfr1126"</f>
        <v>Olfr1126</v>
      </c>
      <c r="B14416" t="s">
        <v>4509</v>
      </c>
      <c r="C14416" t="s">
        <v>26</v>
      </c>
      <c r="D14416" t="s">
        <v>17</v>
      </c>
      <c r="E14416" t="s">
        <v>20</v>
      </c>
      <c r="F14416">
        <v>87457166</v>
      </c>
      <c r="G14416">
        <v>87457166</v>
      </c>
      <c r="H14416">
        <v>87457166</v>
      </c>
      <c r="I14416">
        <v>87457166</v>
      </c>
    </row>
    <row r="14417" spans="1:9" x14ac:dyDescent="0.2">
      <c r="A14417" t="str">
        <f>"Olfr1128"</f>
        <v>Olfr1128</v>
      </c>
      <c r="B14417" t="s">
        <v>4510</v>
      </c>
      <c r="C14417" t="s">
        <v>26</v>
      </c>
      <c r="D14417" t="s">
        <v>11</v>
      </c>
      <c r="E14417" t="s">
        <v>20</v>
      </c>
      <c r="F14417">
        <v>87545541</v>
      </c>
      <c r="G14417">
        <v>87545541</v>
      </c>
      <c r="H14417">
        <v>87545541</v>
      </c>
      <c r="I14417">
        <v>87545541</v>
      </c>
    </row>
    <row r="14418" spans="1:9" x14ac:dyDescent="0.2">
      <c r="A14418" t="str">
        <f>"Olfr1129"</f>
        <v>Olfr1129</v>
      </c>
      <c r="B14418" t="s">
        <v>4511</v>
      </c>
      <c r="C14418" t="s">
        <v>26</v>
      </c>
      <c r="D14418" t="s">
        <v>17</v>
      </c>
      <c r="E14418" t="s">
        <v>20</v>
      </c>
      <c r="F14418">
        <v>87575085</v>
      </c>
      <c r="G14418">
        <v>87575085</v>
      </c>
      <c r="H14418">
        <v>87575085</v>
      </c>
      <c r="I14418">
        <v>87575085</v>
      </c>
    </row>
    <row r="14419" spans="1:9" x14ac:dyDescent="0.2">
      <c r="A14419" t="str">
        <f>"Olfr1130"</f>
        <v>Olfr1130</v>
      </c>
      <c r="B14419" t="s">
        <v>4512</v>
      </c>
      <c r="C14419" t="s">
        <v>26</v>
      </c>
      <c r="D14419" t="s">
        <v>17</v>
      </c>
      <c r="E14419" t="s">
        <v>20</v>
      </c>
      <c r="F14419">
        <v>87607389</v>
      </c>
      <c r="G14419">
        <v>87607389</v>
      </c>
      <c r="H14419">
        <v>87607389</v>
      </c>
      <c r="I14419">
        <v>87607389</v>
      </c>
    </row>
    <row r="14420" spans="1:9" x14ac:dyDescent="0.2">
      <c r="A14420" t="str">
        <f>"Olfr1130"</f>
        <v>Olfr1130</v>
      </c>
      <c r="B14420" t="s">
        <v>4513</v>
      </c>
      <c r="C14420" t="s">
        <v>26</v>
      </c>
      <c r="D14420" t="s">
        <v>17</v>
      </c>
      <c r="E14420" t="s">
        <v>20</v>
      </c>
      <c r="F14420">
        <v>87606211</v>
      </c>
      <c r="G14420">
        <v>87606211</v>
      </c>
      <c r="H14420">
        <v>87606211</v>
      </c>
      <c r="I14420">
        <v>87606211</v>
      </c>
    </row>
    <row r="14421" spans="1:9" x14ac:dyDescent="0.2">
      <c r="A14421" t="str">
        <f>"Olfr1131"</f>
        <v>Olfr1131</v>
      </c>
      <c r="B14421" t="s">
        <v>4514</v>
      </c>
      <c r="C14421" t="s">
        <v>26</v>
      </c>
      <c r="D14421" t="s">
        <v>17</v>
      </c>
      <c r="E14421" t="s">
        <v>20</v>
      </c>
      <c r="F14421">
        <v>87628464</v>
      </c>
      <c r="G14421">
        <v>87628464</v>
      </c>
      <c r="H14421">
        <v>87628464</v>
      </c>
      <c r="I14421">
        <v>87628464</v>
      </c>
    </row>
    <row r="14422" spans="1:9" x14ac:dyDescent="0.2">
      <c r="A14422" t="str">
        <f>"Olfr1132"</f>
        <v>Olfr1132</v>
      </c>
      <c r="B14422" t="s">
        <v>4515</v>
      </c>
      <c r="C14422" t="s">
        <v>26</v>
      </c>
      <c r="D14422" t="s">
        <v>11</v>
      </c>
      <c r="E14422" t="s">
        <v>20</v>
      </c>
      <c r="F14422">
        <v>87635744</v>
      </c>
      <c r="G14422">
        <v>87635744</v>
      </c>
      <c r="H14422">
        <v>87635744</v>
      </c>
      <c r="I14422">
        <v>87635744</v>
      </c>
    </row>
    <row r="14423" spans="1:9" x14ac:dyDescent="0.2">
      <c r="A14423" t="str">
        <f>"Olfr1133"</f>
        <v>Olfr1133</v>
      </c>
      <c r="B14423" t="s">
        <v>4516</v>
      </c>
      <c r="C14423" t="s">
        <v>26</v>
      </c>
      <c r="D14423" t="s">
        <v>11</v>
      </c>
      <c r="E14423" t="s">
        <v>20</v>
      </c>
      <c r="F14423">
        <v>87646120</v>
      </c>
      <c r="G14423">
        <v>87646120</v>
      </c>
      <c r="H14423">
        <v>87646120</v>
      </c>
      <c r="I14423">
        <v>87646120</v>
      </c>
    </row>
    <row r="14424" spans="1:9" x14ac:dyDescent="0.2">
      <c r="A14424" t="str">
        <f>"Olfr1134"</f>
        <v>Olfr1134</v>
      </c>
      <c r="B14424" t="s">
        <v>4517</v>
      </c>
      <c r="C14424" t="s">
        <v>26</v>
      </c>
      <c r="D14424" t="s">
        <v>11</v>
      </c>
      <c r="E14424" t="s">
        <v>20</v>
      </c>
      <c r="F14424">
        <v>87656918</v>
      </c>
      <c r="G14424">
        <v>87656918</v>
      </c>
      <c r="H14424">
        <v>87656918</v>
      </c>
      <c r="I14424">
        <v>87656918</v>
      </c>
    </row>
    <row r="14425" spans="1:9" x14ac:dyDescent="0.2">
      <c r="A14425" t="str">
        <f>"Olfr1134"</f>
        <v>Olfr1134</v>
      </c>
      <c r="B14425" t="s">
        <v>4518</v>
      </c>
      <c r="C14425" t="s">
        <v>26</v>
      </c>
      <c r="D14425" t="s">
        <v>11</v>
      </c>
      <c r="E14425" t="s">
        <v>20</v>
      </c>
      <c r="F14425">
        <v>87658456</v>
      </c>
      <c r="G14425">
        <v>87658456</v>
      </c>
      <c r="H14425">
        <v>87658456</v>
      </c>
      <c r="I14425">
        <v>87658456</v>
      </c>
    </row>
    <row r="14426" spans="1:9" x14ac:dyDescent="0.2">
      <c r="A14426" t="str">
        <f>"Olfr1135"</f>
        <v>Olfr1135</v>
      </c>
      <c r="B14426" t="s">
        <v>4519</v>
      </c>
      <c r="C14426" t="s">
        <v>26</v>
      </c>
      <c r="D14426" t="s">
        <v>11</v>
      </c>
      <c r="E14426" t="s">
        <v>20</v>
      </c>
      <c r="F14426">
        <v>87672364</v>
      </c>
      <c r="G14426">
        <v>87672364</v>
      </c>
      <c r="H14426">
        <v>87672364</v>
      </c>
      <c r="I14426">
        <v>87672364</v>
      </c>
    </row>
    <row r="14427" spans="1:9" x14ac:dyDescent="0.2">
      <c r="A14427" t="str">
        <f>"Olfr1136"</f>
        <v>Olfr1136</v>
      </c>
      <c r="B14427" t="s">
        <v>4520</v>
      </c>
      <c r="C14427" t="s">
        <v>26</v>
      </c>
      <c r="D14427" t="s">
        <v>11</v>
      </c>
      <c r="E14427" t="s">
        <v>20</v>
      </c>
      <c r="F14427">
        <v>87693946</v>
      </c>
      <c r="G14427">
        <v>87693946</v>
      </c>
      <c r="H14427">
        <v>87693946</v>
      </c>
      <c r="I14427">
        <v>87693946</v>
      </c>
    </row>
    <row r="14428" spans="1:9" x14ac:dyDescent="0.2">
      <c r="A14428" t="str">
        <f>"Olfr1137"</f>
        <v>Olfr1137</v>
      </c>
      <c r="B14428" t="s">
        <v>4521</v>
      </c>
      <c r="C14428" t="s">
        <v>26</v>
      </c>
      <c r="D14428" t="s">
        <v>11</v>
      </c>
      <c r="E14428" t="s">
        <v>20</v>
      </c>
      <c r="F14428">
        <v>87711903</v>
      </c>
      <c r="G14428">
        <v>87711903</v>
      </c>
      <c r="H14428">
        <v>87711903</v>
      </c>
      <c r="I14428">
        <v>87711903</v>
      </c>
    </row>
    <row r="14429" spans="1:9" x14ac:dyDescent="0.2">
      <c r="A14429" t="str">
        <f>"Olfr1138"</f>
        <v>Olfr1138</v>
      </c>
      <c r="B14429" t="s">
        <v>4522</v>
      </c>
      <c r="C14429" t="s">
        <v>26</v>
      </c>
      <c r="D14429" t="s">
        <v>11</v>
      </c>
      <c r="E14429" t="s">
        <v>20</v>
      </c>
      <c r="F14429">
        <v>87738321</v>
      </c>
      <c r="G14429">
        <v>87738321</v>
      </c>
      <c r="H14429">
        <v>87738321</v>
      </c>
      <c r="I14429">
        <v>87738321</v>
      </c>
    </row>
    <row r="14430" spans="1:9" x14ac:dyDescent="0.2">
      <c r="A14430" t="str">
        <f>"Olfr114"</f>
        <v>Olfr114</v>
      </c>
      <c r="B14430" t="s">
        <v>4523</v>
      </c>
      <c r="C14430" t="s">
        <v>28</v>
      </c>
      <c r="D14430" t="s">
        <v>11</v>
      </c>
      <c r="E14430" t="s">
        <v>20</v>
      </c>
      <c r="F14430">
        <v>37590380</v>
      </c>
      <c r="G14430">
        <v>37590380</v>
      </c>
      <c r="H14430">
        <v>37590380</v>
      </c>
      <c r="I14430">
        <v>37590380</v>
      </c>
    </row>
    <row r="14431" spans="1:9" x14ac:dyDescent="0.2">
      <c r="A14431" t="str">
        <f>"Olfr1140"</f>
        <v>Olfr1140</v>
      </c>
      <c r="B14431" t="s">
        <v>4524</v>
      </c>
      <c r="C14431" t="s">
        <v>26</v>
      </c>
      <c r="D14431" t="s">
        <v>17</v>
      </c>
      <c r="E14431" t="s">
        <v>20</v>
      </c>
      <c r="F14431">
        <v>87746160</v>
      </c>
      <c r="G14431">
        <v>87746160</v>
      </c>
      <c r="H14431">
        <v>87746160</v>
      </c>
      <c r="I14431">
        <v>87746160</v>
      </c>
    </row>
    <row r="14432" spans="1:9" x14ac:dyDescent="0.2">
      <c r="A14432" t="str">
        <f>"Olfr1141"</f>
        <v>Olfr1141</v>
      </c>
      <c r="B14432" t="s">
        <v>4525</v>
      </c>
      <c r="C14432" t="s">
        <v>26</v>
      </c>
      <c r="D14432" t="s">
        <v>11</v>
      </c>
      <c r="E14432" t="s">
        <v>20</v>
      </c>
      <c r="F14432">
        <v>87753990</v>
      </c>
      <c r="G14432">
        <v>87753990</v>
      </c>
      <c r="H14432">
        <v>87753990</v>
      </c>
      <c r="I14432">
        <v>87753990</v>
      </c>
    </row>
    <row r="14433" spans="1:9" x14ac:dyDescent="0.2">
      <c r="A14433" t="str">
        <f>"Olfr1143"</f>
        <v>Olfr1143</v>
      </c>
      <c r="B14433" t="s">
        <v>4526</v>
      </c>
      <c r="C14433" t="s">
        <v>26</v>
      </c>
      <c r="D14433" t="s">
        <v>17</v>
      </c>
      <c r="E14433" t="s">
        <v>20</v>
      </c>
      <c r="F14433">
        <v>87802390</v>
      </c>
      <c r="G14433">
        <v>87802390</v>
      </c>
      <c r="H14433">
        <v>87802390</v>
      </c>
      <c r="I14433">
        <v>87802390</v>
      </c>
    </row>
    <row r="14434" spans="1:9" x14ac:dyDescent="0.2">
      <c r="A14434" t="str">
        <f>"Olfr1145"</f>
        <v>Olfr1145</v>
      </c>
      <c r="B14434" t="s">
        <v>4527</v>
      </c>
      <c r="C14434" t="s">
        <v>26</v>
      </c>
      <c r="D14434" t="s">
        <v>17</v>
      </c>
      <c r="E14434" t="s">
        <v>20</v>
      </c>
      <c r="F14434">
        <v>87809821</v>
      </c>
      <c r="G14434">
        <v>87809821</v>
      </c>
      <c r="H14434">
        <v>87809821</v>
      </c>
      <c r="I14434">
        <v>87809821</v>
      </c>
    </row>
    <row r="14435" spans="1:9" x14ac:dyDescent="0.2">
      <c r="A14435" t="str">
        <f>"Olfr1148"</f>
        <v>Olfr1148</v>
      </c>
      <c r="B14435" t="s">
        <v>4528</v>
      </c>
      <c r="C14435" t="s">
        <v>26</v>
      </c>
      <c r="D14435" t="s">
        <v>17</v>
      </c>
      <c r="E14435" t="s">
        <v>20</v>
      </c>
      <c r="F14435">
        <v>87833040</v>
      </c>
      <c r="G14435">
        <v>87833040</v>
      </c>
      <c r="H14435">
        <v>87833040</v>
      </c>
      <c r="I14435">
        <v>87833040</v>
      </c>
    </row>
    <row r="14436" spans="1:9" x14ac:dyDescent="0.2">
      <c r="A14436" t="str">
        <f>"Olfr1151"</f>
        <v>Olfr1151</v>
      </c>
      <c r="B14436" t="s">
        <v>4529</v>
      </c>
      <c r="C14436" t="s">
        <v>26</v>
      </c>
      <c r="D14436" t="s">
        <v>17</v>
      </c>
      <c r="E14436" t="s">
        <v>20</v>
      </c>
      <c r="F14436">
        <v>87857176</v>
      </c>
      <c r="G14436">
        <v>87857176</v>
      </c>
      <c r="H14436">
        <v>87857176</v>
      </c>
      <c r="I14436">
        <v>87857176</v>
      </c>
    </row>
    <row r="14437" spans="1:9" x14ac:dyDescent="0.2">
      <c r="A14437" t="str">
        <f>"Olfr1152"</f>
        <v>Olfr1152</v>
      </c>
      <c r="B14437" t="s">
        <v>4530</v>
      </c>
      <c r="C14437" t="s">
        <v>26</v>
      </c>
      <c r="D14437" t="s">
        <v>17</v>
      </c>
      <c r="E14437" t="s">
        <v>20</v>
      </c>
      <c r="F14437">
        <v>87867992</v>
      </c>
      <c r="G14437">
        <v>87867992</v>
      </c>
      <c r="H14437">
        <v>87867992</v>
      </c>
      <c r="I14437">
        <v>87867992</v>
      </c>
    </row>
    <row r="14438" spans="1:9" x14ac:dyDescent="0.2">
      <c r="A14438" t="str">
        <f>"Olfr1153"</f>
        <v>Olfr1153</v>
      </c>
      <c r="B14438" t="s">
        <v>4531</v>
      </c>
      <c r="C14438" t="s">
        <v>26</v>
      </c>
      <c r="D14438" t="s">
        <v>17</v>
      </c>
      <c r="E14438" t="s">
        <v>20</v>
      </c>
      <c r="F14438">
        <v>87896176</v>
      </c>
      <c r="G14438">
        <v>87896176</v>
      </c>
      <c r="H14438">
        <v>87896176</v>
      </c>
      <c r="I14438">
        <v>87896176</v>
      </c>
    </row>
    <row r="14439" spans="1:9" x14ac:dyDescent="0.2">
      <c r="A14439" t="str">
        <f>"Olfr1154"</f>
        <v>Olfr1154</v>
      </c>
      <c r="B14439" t="s">
        <v>4532</v>
      </c>
      <c r="C14439" t="s">
        <v>26</v>
      </c>
      <c r="D14439" t="s">
        <v>11</v>
      </c>
      <c r="E14439" t="s">
        <v>20</v>
      </c>
      <c r="F14439">
        <v>87903673</v>
      </c>
      <c r="G14439">
        <v>87903673</v>
      </c>
      <c r="H14439">
        <v>87903673</v>
      </c>
      <c r="I14439">
        <v>87903673</v>
      </c>
    </row>
    <row r="14440" spans="1:9" x14ac:dyDescent="0.2">
      <c r="A14440" t="str">
        <f>"Olfr1155"</f>
        <v>Olfr1155</v>
      </c>
      <c r="B14440" t="s">
        <v>4533</v>
      </c>
      <c r="C14440" t="s">
        <v>26</v>
      </c>
      <c r="D14440" t="s">
        <v>11</v>
      </c>
      <c r="E14440" t="s">
        <v>20</v>
      </c>
      <c r="F14440">
        <v>87943625</v>
      </c>
      <c r="G14440">
        <v>87943625</v>
      </c>
      <c r="H14440">
        <v>87943625</v>
      </c>
      <c r="I14440">
        <v>87943625</v>
      </c>
    </row>
    <row r="14441" spans="1:9" x14ac:dyDescent="0.2">
      <c r="A14441" t="str">
        <f>"Olfr1156"</f>
        <v>Olfr1156</v>
      </c>
      <c r="B14441" t="s">
        <v>4534</v>
      </c>
      <c r="C14441" t="s">
        <v>26</v>
      </c>
      <c r="D14441" t="s">
        <v>11</v>
      </c>
      <c r="E14441" t="s">
        <v>20</v>
      </c>
      <c r="F14441">
        <v>87950264</v>
      </c>
      <c r="G14441">
        <v>87950264</v>
      </c>
      <c r="H14441">
        <v>87950264</v>
      </c>
      <c r="I14441">
        <v>87950264</v>
      </c>
    </row>
    <row r="14442" spans="1:9" x14ac:dyDescent="0.2">
      <c r="A14442" t="str">
        <f>"Olfr1157"</f>
        <v>Olfr1157</v>
      </c>
      <c r="B14442" t="s">
        <v>4535</v>
      </c>
      <c r="C14442" t="s">
        <v>26</v>
      </c>
      <c r="D14442" t="s">
        <v>11</v>
      </c>
      <c r="E14442" t="s">
        <v>20</v>
      </c>
      <c r="F14442">
        <v>87962889</v>
      </c>
      <c r="G14442">
        <v>87962889</v>
      </c>
      <c r="H14442">
        <v>87962889</v>
      </c>
      <c r="I14442">
        <v>87962889</v>
      </c>
    </row>
    <row r="14443" spans="1:9" x14ac:dyDescent="0.2">
      <c r="A14443" t="str">
        <f>"Olfr1157"</f>
        <v>Olfr1157</v>
      </c>
      <c r="B14443" t="s">
        <v>4536</v>
      </c>
      <c r="C14443" t="s">
        <v>26</v>
      </c>
      <c r="D14443" t="s">
        <v>11</v>
      </c>
      <c r="E14443" t="s">
        <v>20</v>
      </c>
      <c r="F14443">
        <v>87968256</v>
      </c>
      <c r="G14443">
        <v>87968256</v>
      </c>
      <c r="H14443">
        <v>87968256</v>
      </c>
      <c r="I14443">
        <v>87968256</v>
      </c>
    </row>
    <row r="14444" spans="1:9" x14ac:dyDescent="0.2">
      <c r="A14444" t="str">
        <f>"Olfr1158"</f>
        <v>Olfr1158</v>
      </c>
      <c r="B14444" t="s">
        <v>4537</v>
      </c>
      <c r="C14444" t="s">
        <v>26</v>
      </c>
      <c r="D14444" t="s">
        <v>17</v>
      </c>
      <c r="E14444" t="s">
        <v>20</v>
      </c>
      <c r="F14444">
        <v>87990112</v>
      </c>
      <c r="G14444">
        <v>87990112</v>
      </c>
      <c r="H14444">
        <v>87990112</v>
      </c>
      <c r="I14444">
        <v>87990112</v>
      </c>
    </row>
    <row r="14445" spans="1:9" x14ac:dyDescent="0.2">
      <c r="A14445" t="str">
        <f>"Olfr116"</f>
        <v>Olfr116</v>
      </c>
      <c r="B14445" t="s">
        <v>4538</v>
      </c>
      <c r="C14445" t="s">
        <v>28</v>
      </c>
      <c r="D14445" t="s">
        <v>11</v>
      </c>
      <c r="E14445" t="s">
        <v>20</v>
      </c>
      <c r="F14445">
        <v>37624632</v>
      </c>
      <c r="G14445">
        <v>37624632</v>
      </c>
      <c r="H14445">
        <v>37624632</v>
      </c>
      <c r="I14445">
        <v>37624632</v>
      </c>
    </row>
    <row r="14446" spans="1:9" x14ac:dyDescent="0.2">
      <c r="A14446" t="str">
        <f>"Olfr1160"</f>
        <v>Olfr1160</v>
      </c>
      <c r="B14446" t="s">
        <v>4539</v>
      </c>
      <c r="C14446" t="s">
        <v>26</v>
      </c>
      <c r="D14446" t="s">
        <v>11</v>
      </c>
      <c r="E14446" t="s">
        <v>20</v>
      </c>
      <c r="F14446">
        <v>88006775</v>
      </c>
      <c r="G14446">
        <v>88006775</v>
      </c>
      <c r="H14446">
        <v>88006775</v>
      </c>
      <c r="I14446">
        <v>88006775</v>
      </c>
    </row>
    <row r="14447" spans="1:9" x14ac:dyDescent="0.2">
      <c r="A14447" t="str">
        <f>"Olfr1161"</f>
        <v>Olfr1161</v>
      </c>
      <c r="B14447" t="s">
        <v>4540</v>
      </c>
      <c r="C14447" t="s">
        <v>26</v>
      </c>
      <c r="D14447" t="s">
        <v>17</v>
      </c>
      <c r="E14447" t="s">
        <v>20</v>
      </c>
      <c r="F14447">
        <v>88024701</v>
      </c>
      <c r="G14447">
        <v>88024701</v>
      </c>
      <c r="H14447">
        <v>88024701</v>
      </c>
      <c r="I14447">
        <v>88024701</v>
      </c>
    </row>
    <row r="14448" spans="1:9" x14ac:dyDescent="0.2">
      <c r="A14448" t="str">
        <f>"Olfr1162"</f>
        <v>Olfr1162</v>
      </c>
      <c r="B14448" t="s">
        <v>4541</v>
      </c>
      <c r="C14448" t="s">
        <v>26</v>
      </c>
      <c r="D14448" t="s">
        <v>11</v>
      </c>
      <c r="E14448" t="s">
        <v>20</v>
      </c>
      <c r="F14448">
        <v>88050621</v>
      </c>
      <c r="G14448">
        <v>88050621</v>
      </c>
      <c r="H14448">
        <v>88050621</v>
      </c>
      <c r="I14448">
        <v>88050621</v>
      </c>
    </row>
    <row r="14449" spans="1:9" x14ac:dyDescent="0.2">
      <c r="A14449" t="str">
        <f>"Olfr1162"</f>
        <v>Olfr1162</v>
      </c>
      <c r="B14449" t="s">
        <v>4542</v>
      </c>
      <c r="C14449" t="s">
        <v>26</v>
      </c>
      <c r="D14449" t="s">
        <v>11</v>
      </c>
      <c r="E14449" t="s">
        <v>20</v>
      </c>
      <c r="F14449">
        <v>88051111</v>
      </c>
      <c r="G14449">
        <v>88051111</v>
      </c>
      <c r="H14449">
        <v>88051111</v>
      </c>
      <c r="I14449">
        <v>88051111</v>
      </c>
    </row>
    <row r="14450" spans="1:9" x14ac:dyDescent="0.2">
      <c r="A14450" t="str">
        <f>"Olfr1163"</f>
        <v>Olfr1163</v>
      </c>
      <c r="B14450" t="s">
        <v>4543</v>
      </c>
      <c r="C14450" t="s">
        <v>26</v>
      </c>
      <c r="D14450" t="s">
        <v>11</v>
      </c>
      <c r="E14450" t="s">
        <v>20</v>
      </c>
      <c r="F14450">
        <v>88071406</v>
      </c>
      <c r="G14450">
        <v>88071406</v>
      </c>
      <c r="H14450">
        <v>88071406</v>
      </c>
      <c r="I14450">
        <v>88071406</v>
      </c>
    </row>
    <row r="14451" spans="1:9" x14ac:dyDescent="0.2">
      <c r="A14451" t="str">
        <f>"Olfr1164"</f>
        <v>Olfr1164</v>
      </c>
      <c r="B14451" t="s">
        <v>4544</v>
      </c>
      <c r="C14451" t="s">
        <v>26</v>
      </c>
      <c r="D14451" t="s">
        <v>11</v>
      </c>
      <c r="E14451" t="s">
        <v>20</v>
      </c>
      <c r="F14451">
        <v>88093965</v>
      </c>
      <c r="G14451">
        <v>88093965</v>
      </c>
      <c r="H14451">
        <v>88093965</v>
      </c>
      <c r="I14451">
        <v>88093965</v>
      </c>
    </row>
    <row r="14452" spans="1:9" x14ac:dyDescent="0.2">
      <c r="A14452" t="str">
        <f>"Olfr1166"</f>
        <v>Olfr1166</v>
      </c>
      <c r="B14452" t="s">
        <v>4545</v>
      </c>
      <c r="C14452" t="s">
        <v>26</v>
      </c>
      <c r="D14452" t="s">
        <v>11</v>
      </c>
      <c r="E14452" t="s">
        <v>20</v>
      </c>
      <c r="F14452">
        <v>88124992</v>
      </c>
      <c r="G14452">
        <v>88124992</v>
      </c>
      <c r="H14452">
        <v>88124992</v>
      </c>
      <c r="I14452">
        <v>88124992</v>
      </c>
    </row>
    <row r="14453" spans="1:9" x14ac:dyDescent="0.2">
      <c r="A14453" t="str">
        <f>"Olfr1167"</f>
        <v>Olfr1167</v>
      </c>
      <c r="B14453" t="s">
        <v>4546</v>
      </c>
      <c r="C14453" t="s">
        <v>26</v>
      </c>
      <c r="D14453" t="s">
        <v>11</v>
      </c>
      <c r="E14453" t="s">
        <v>20</v>
      </c>
      <c r="F14453">
        <v>88150082</v>
      </c>
      <c r="G14453">
        <v>88150082</v>
      </c>
      <c r="H14453">
        <v>88150082</v>
      </c>
      <c r="I14453">
        <v>88150082</v>
      </c>
    </row>
    <row r="14454" spans="1:9" x14ac:dyDescent="0.2">
      <c r="A14454" t="str">
        <f>"Olfr1168"</f>
        <v>Olfr1168</v>
      </c>
      <c r="B14454" t="s">
        <v>4547</v>
      </c>
      <c r="C14454" t="s">
        <v>26</v>
      </c>
      <c r="D14454" t="s">
        <v>17</v>
      </c>
      <c r="E14454" t="s">
        <v>20</v>
      </c>
      <c r="F14454">
        <v>88184878</v>
      </c>
      <c r="G14454">
        <v>88184878</v>
      </c>
      <c r="H14454">
        <v>88184878</v>
      </c>
      <c r="I14454">
        <v>88184878</v>
      </c>
    </row>
    <row r="14455" spans="1:9" x14ac:dyDescent="0.2">
      <c r="A14455" t="str">
        <f>"Olfr117"</f>
        <v>Olfr117</v>
      </c>
      <c r="B14455" t="s">
        <v>4548</v>
      </c>
      <c r="C14455" t="s">
        <v>28</v>
      </c>
      <c r="D14455" t="s">
        <v>11</v>
      </c>
      <c r="E14455" t="s">
        <v>20</v>
      </c>
      <c r="F14455">
        <v>37660330</v>
      </c>
      <c r="G14455">
        <v>37660330</v>
      </c>
      <c r="H14455">
        <v>37660330</v>
      </c>
      <c r="I14455">
        <v>37660330</v>
      </c>
    </row>
    <row r="14456" spans="1:9" x14ac:dyDescent="0.2">
      <c r="A14456" t="str">
        <f>"Olfr1170"</f>
        <v>Olfr1170</v>
      </c>
      <c r="B14456" t="s">
        <v>4549</v>
      </c>
      <c r="C14456" t="s">
        <v>26</v>
      </c>
      <c r="D14456" t="s">
        <v>11</v>
      </c>
      <c r="E14456" t="s">
        <v>20</v>
      </c>
      <c r="F14456">
        <v>88225029</v>
      </c>
      <c r="G14456">
        <v>88225029</v>
      </c>
      <c r="H14456">
        <v>88225029</v>
      </c>
      <c r="I14456">
        <v>88225029</v>
      </c>
    </row>
    <row r="14457" spans="1:9" x14ac:dyDescent="0.2">
      <c r="A14457" t="str">
        <f>"Olfr1173"</f>
        <v>Olfr1173</v>
      </c>
      <c r="B14457" t="s">
        <v>4550</v>
      </c>
      <c r="C14457" t="s">
        <v>26</v>
      </c>
      <c r="D14457" t="s">
        <v>11</v>
      </c>
      <c r="E14457" t="s">
        <v>20</v>
      </c>
      <c r="F14457">
        <v>88275046</v>
      </c>
      <c r="G14457">
        <v>88275046</v>
      </c>
      <c r="H14457">
        <v>88275046</v>
      </c>
      <c r="I14457">
        <v>88275046</v>
      </c>
    </row>
    <row r="14458" spans="1:9" x14ac:dyDescent="0.2">
      <c r="A14458" t="str">
        <f>"Olfr1176"</f>
        <v>Olfr1176</v>
      </c>
      <c r="B14458" t="s">
        <v>4551</v>
      </c>
      <c r="C14458" t="s">
        <v>26</v>
      </c>
      <c r="D14458" t="s">
        <v>17</v>
      </c>
      <c r="E14458" t="s">
        <v>20</v>
      </c>
      <c r="F14458">
        <v>88339565</v>
      </c>
      <c r="G14458">
        <v>88339565</v>
      </c>
      <c r="H14458">
        <v>88339565</v>
      </c>
      <c r="I14458">
        <v>88339565</v>
      </c>
    </row>
    <row r="14459" spans="1:9" x14ac:dyDescent="0.2">
      <c r="A14459" t="str">
        <f>"Olfr1178"</f>
        <v>Olfr1178</v>
      </c>
      <c r="B14459" t="s">
        <v>4552</v>
      </c>
      <c r="C14459" t="s">
        <v>26</v>
      </c>
      <c r="D14459" t="s">
        <v>17</v>
      </c>
      <c r="E14459" t="s">
        <v>20</v>
      </c>
      <c r="F14459">
        <v>88391248</v>
      </c>
      <c r="G14459">
        <v>88391248</v>
      </c>
      <c r="H14459">
        <v>88391248</v>
      </c>
      <c r="I14459">
        <v>88391248</v>
      </c>
    </row>
    <row r="14460" spans="1:9" x14ac:dyDescent="0.2">
      <c r="A14460" t="str">
        <f>"Olfr1179"</f>
        <v>Olfr1179</v>
      </c>
      <c r="B14460" t="s">
        <v>4553</v>
      </c>
      <c r="C14460" t="s">
        <v>26</v>
      </c>
      <c r="D14460" t="s">
        <v>11</v>
      </c>
      <c r="E14460" t="s">
        <v>20</v>
      </c>
      <c r="F14460">
        <v>88402931</v>
      </c>
      <c r="G14460">
        <v>88402931</v>
      </c>
      <c r="H14460">
        <v>88402931</v>
      </c>
      <c r="I14460">
        <v>88402931</v>
      </c>
    </row>
    <row r="14461" spans="1:9" x14ac:dyDescent="0.2">
      <c r="A14461" t="str">
        <f>"Olfr118"</f>
        <v>Olfr118</v>
      </c>
      <c r="B14461" t="s">
        <v>4554</v>
      </c>
      <c r="C14461" t="s">
        <v>28</v>
      </c>
      <c r="D14461" t="s">
        <v>17</v>
      </c>
      <c r="E14461" t="s">
        <v>20</v>
      </c>
      <c r="F14461">
        <v>37672024</v>
      </c>
      <c r="G14461">
        <v>37672024</v>
      </c>
      <c r="H14461">
        <v>37672024</v>
      </c>
      <c r="I14461">
        <v>37672024</v>
      </c>
    </row>
    <row r="14462" spans="1:9" x14ac:dyDescent="0.2">
      <c r="A14462" t="str">
        <f>"Olfr1180"</f>
        <v>Olfr1180</v>
      </c>
      <c r="B14462" t="s">
        <v>4555</v>
      </c>
      <c r="C14462" t="s">
        <v>26</v>
      </c>
      <c r="D14462" t="s">
        <v>11</v>
      </c>
      <c r="E14462" t="s">
        <v>20</v>
      </c>
      <c r="F14462">
        <v>88412688</v>
      </c>
      <c r="G14462">
        <v>88412688</v>
      </c>
      <c r="H14462">
        <v>88412688</v>
      </c>
      <c r="I14462">
        <v>88412688</v>
      </c>
    </row>
    <row r="14463" spans="1:9" x14ac:dyDescent="0.2">
      <c r="A14463" t="str">
        <f>"Olfr1181"</f>
        <v>Olfr1181</v>
      </c>
      <c r="B14463" t="s">
        <v>4556</v>
      </c>
      <c r="C14463" t="s">
        <v>26</v>
      </c>
      <c r="D14463" t="s">
        <v>11</v>
      </c>
      <c r="E14463" t="s">
        <v>20</v>
      </c>
      <c r="F14463">
        <v>88424022</v>
      </c>
      <c r="G14463">
        <v>88424022</v>
      </c>
      <c r="H14463">
        <v>88424022</v>
      </c>
      <c r="I14463">
        <v>88424022</v>
      </c>
    </row>
    <row r="14464" spans="1:9" x14ac:dyDescent="0.2">
      <c r="A14464" t="str">
        <f>"Olfr1182"</f>
        <v>Olfr1182</v>
      </c>
      <c r="B14464" t="s">
        <v>4557</v>
      </c>
      <c r="C14464" t="s">
        <v>26</v>
      </c>
      <c r="D14464" t="s">
        <v>11</v>
      </c>
      <c r="E14464" t="s">
        <v>20</v>
      </c>
      <c r="F14464">
        <v>88446935</v>
      </c>
      <c r="G14464">
        <v>88446935</v>
      </c>
      <c r="H14464">
        <v>88446935</v>
      </c>
      <c r="I14464">
        <v>88446935</v>
      </c>
    </row>
    <row r="14465" spans="1:9" x14ac:dyDescent="0.2">
      <c r="A14465" t="str">
        <f>"Olfr1182"</f>
        <v>Olfr1182</v>
      </c>
      <c r="B14465" t="s">
        <v>4558</v>
      </c>
      <c r="C14465" t="s">
        <v>26</v>
      </c>
      <c r="D14465" t="s">
        <v>11</v>
      </c>
      <c r="E14465" t="s">
        <v>20</v>
      </c>
      <c r="F14465">
        <v>88449120</v>
      </c>
      <c r="G14465">
        <v>88449120</v>
      </c>
      <c r="H14465">
        <v>88449120</v>
      </c>
      <c r="I14465">
        <v>88449120</v>
      </c>
    </row>
    <row r="14466" spans="1:9" x14ac:dyDescent="0.2">
      <c r="A14466" t="str">
        <f>"Olfr1183"</f>
        <v>Olfr1183</v>
      </c>
      <c r="B14466" t="s">
        <v>4559</v>
      </c>
      <c r="C14466" t="s">
        <v>26</v>
      </c>
      <c r="D14466" t="s">
        <v>17</v>
      </c>
      <c r="E14466" t="s">
        <v>20</v>
      </c>
      <c r="F14466">
        <v>88461341</v>
      </c>
      <c r="G14466">
        <v>88461341</v>
      </c>
      <c r="H14466">
        <v>88461341</v>
      </c>
      <c r="I14466">
        <v>88461341</v>
      </c>
    </row>
    <row r="14467" spans="1:9" x14ac:dyDescent="0.2">
      <c r="A14467" t="str">
        <f>"Olfr1184"</f>
        <v>Olfr1184</v>
      </c>
      <c r="B14467" t="s">
        <v>4560</v>
      </c>
      <c r="C14467" t="s">
        <v>26</v>
      </c>
      <c r="D14467" t="s">
        <v>17</v>
      </c>
      <c r="E14467" t="s">
        <v>20</v>
      </c>
      <c r="F14467">
        <v>88486733</v>
      </c>
      <c r="G14467">
        <v>88486733</v>
      </c>
      <c r="H14467">
        <v>88486733</v>
      </c>
      <c r="I14467">
        <v>88486733</v>
      </c>
    </row>
    <row r="14468" spans="1:9" x14ac:dyDescent="0.2">
      <c r="A14468" t="str">
        <f>"Olfr1186"</f>
        <v>Olfr1186</v>
      </c>
      <c r="B14468" t="s">
        <v>4561</v>
      </c>
      <c r="C14468" t="s">
        <v>26</v>
      </c>
      <c r="D14468" t="s">
        <v>17</v>
      </c>
      <c r="E14468" t="s">
        <v>20</v>
      </c>
      <c r="F14468">
        <v>88525500</v>
      </c>
      <c r="G14468">
        <v>88525500</v>
      </c>
      <c r="H14468">
        <v>88525500</v>
      </c>
      <c r="I14468">
        <v>88525500</v>
      </c>
    </row>
    <row r="14469" spans="1:9" x14ac:dyDescent="0.2">
      <c r="A14469" t="str">
        <f>"Olfr1187-ps1"</f>
        <v>Olfr1187-ps1</v>
      </c>
      <c r="B14469" t="s">
        <v>4562</v>
      </c>
      <c r="C14469" t="s">
        <v>26</v>
      </c>
      <c r="D14469" t="s">
        <v>11</v>
      </c>
      <c r="E14469" t="s">
        <v>20</v>
      </c>
      <c r="F14469">
        <v>88540428</v>
      </c>
      <c r="G14469">
        <v>88540428</v>
      </c>
      <c r="H14469">
        <v>88540428</v>
      </c>
      <c r="I14469">
        <v>88540428</v>
      </c>
    </row>
    <row r="14470" spans="1:9" x14ac:dyDescent="0.2">
      <c r="A14470" t="str">
        <f>"Olfr1188"</f>
        <v>Olfr1188</v>
      </c>
      <c r="B14470" t="s">
        <v>4563</v>
      </c>
      <c r="C14470" t="s">
        <v>26</v>
      </c>
      <c r="D14470" t="s">
        <v>17</v>
      </c>
      <c r="E14470" t="s">
        <v>20</v>
      </c>
      <c r="F14470">
        <v>88559450</v>
      </c>
      <c r="G14470">
        <v>88559450</v>
      </c>
      <c r="H14470">
        <v>88559450</v>
      </c>
      <c r="I14470">
        <v>88559450</v>
      </c>
    </row>
    <row r="14471" spans="1:9" x14ac:dyDescent="0.2">
      <c r="A14471" t="str">
        <f>"Olfr1189"</f>
        <v>Olfr1189</v>
      </c>
      <c r="B14471" t="s">
        <v>4564</v>
      </c>
      <c r="C14471" t="s">
        <v>26</v>
      </c>
      <c r="D14471" t="s">
        <v>17</v>
      </c>
      <c r="E14471" t="s">
        <v>20</v>
      </c>
      <c r="F14471">
        <v>88591805</v>
      </c>
      <c r="G14471">
        <v>88591805</v>
      </c>
      <c r="H14471">
        <v>88591805</v>
      </c>
      <c r="I14471">
        <v>88591805</v>
      </c>
    </row>
    <row r="14472" spans="1:9" x14ac:dyDescent="0.2">
      <c r="A14472" t="str">
        <f>"Olfr119"</f>
        <v>Olfr119</v>
      </c>
      <c r="B14472" t="s">
        <v>4565</v>
      </c>
      <c r="C14472" t="s">
        <v>28</v>
      </c>
      <c r="D14472" t="s">
        <v>17</v>
      </c>
      <c r="E14472" t="s">
        <v>20</v>
      </c>
      <c r="F14472">
        <v>37696663</v>
      </c>
      <c r="G14472">
        <v>37696663</v>
      </c>
      <c r="H14472">
        <v>37696663</v>
      </c>
      <c r="I14472">
        <v>37696663</v>
      </c>
    </row>
    <row r="14473" spans="1:9" x14ac:dyDescent="0.2">
      <c r="A14473" t="str">
        <f>"Olfr1193"</f>
        <v>Olfr1193</v>
      </c>
      <c r="B14473" t="s">
        <v>4566</v>
      </c>
      <c r="C14473" t="s">
        <v>26</v>
      </c>
      <c r="D14473" t="s">
        <v>17</v>
      </c>
      <c r="E14473" t="s">
        <v>20</v>
      </c>
      <c r="F14473">
        <v>88677856</v>
      </c>
      <c r="G14473">
        <v>88677856</v>
      </c>
      <c r="H14473">
        <v>88677856</v>
      </c>
      <c r="I14473">
        <v>88677856</v>
      </c>
    </row>
    <row r="14474" spans="1:9" x14ac:dyDescent="0.2">
      <c r="A14474" t="str">
        <f>"Olfr1195"</f>
        <v>Olfr1195</v>
      </c>
      <c r="B14474" t="s">
        <v>4567</v>
      </c>
      <c r="C14474" t="s">
        <v>26</v>
      </c>
      <c r="D14474" t="s">
        <v>11</v>
      </c>
      <c r="E14474" t="s">
        <v>20</v>
      </c>
      <c r="F14474">
        <v>88683729</v>
      </c>
      <c r="G14474">
        <v>88683729</v>
      </c>
      <c r="H14474">
        <v>88683729</v>
      </c>
      <c r="I14474">
        <v>88683729</v>
      </c>
    </row>
    <row r="14475" spans="1:9" x14ac:dyDescent="0.2">
      <c r="A14475" t="str">
        <f>"Olfr1196"</f>
        <v>Olfr1196</v>
      </c>
      <c r="B14475" t="s">
        <v>4568</v>
      </c>
      <c r="C14475" t="s">
        <v>26</v>
      </c>
      <c r="D14475" t="s">
        <v>11</v>
      </c>
      <c r="E14475" t="s">
        <v>20</v>
      </c>
      <c r="F14475">
        <v>88701326</v>
      </c>
      <c r="G14475">
        <v>88701326</v>
      </c>
      <c r="H14475">
        <v>88701326</v>
      </c>
      <c r="I14475">
        <v>88701326</v>
      </c>
    </row>
    <row r="14476" spans="1:9" x14ac:dyDescent="0.2">
      <c r="A14476" t="str">
        <f>"Olfr1197"</f>
        <v>Olfr1197</v>
      </c>
      <c r="B14476" t="s">
        <v>4569</v>
      </c>
      <c r="C14476" t="s">
        <v>26</v>
      </c>
      <c r="D14476" t="s">
        <v>11</v>
      </c>
      <c r="E14476" t="s">
        <v>20</v>
      </c>
      <c r="F14476">
        <v>88729596</v>
      </c>
      <c r="G14476">
        <v>88729596</v>
      </c>
      <c r="H14476">
        <v>88729596</v>
      </c>
      <c r="I14476">
        <v>88729596</v>
      </c>
    </row>
    <row r="14477" spans="1:9" x14ac:dyDescent="0.2">
      <c r="A14477" t="str">
        <f>"Olfr1198"</f>
        <v>Olfr1198</v>
      </c>
      <c r="B14477" t="s">
        <v>4570</v>
      </c>
      <c r="C14477" t="s">
        <v>26</v>
      </c>
      <c r="D14477" t="s">
        <v>11</v>
      </c>
      <c r="E14477" t="s">
        <v>20</v>
      </c>
      <c r="F14477">
        <v>88746885</v>
      </c>
      <c r="G14477">
        <v>88746885</v>
      </c>
      <c r="H14477">
        <v>88746885</v>
      </c>
      <c r="I14477">
        <v>88746885</v>
      </c>
    </row>
    <row r="14478" spans="1:9" x14ac:dyDescent="0.2">
      <c r="A14478" t="str">
        <f>"Olfr1199"</f>
        <v>Olfr1199</v>
      </c>
      <c r="B14478" t="s">
        <v>4571</v>
      </c>
      <c r="C14478" t="s">
        <v>26</v>
      </c>
      <c r="D14478" t="s">
        <v>11</v>
      </c>
      <c r="E14478" t="s">
        <v>20</v>
      </c>
      <c r="F14478">
        <v>88756672</v>
      </c>
      <c r="G14478">
        <v>88756672</v>
      </c>
      <c r="H14478">
        <v>88756672</v>
      </c>
      <c r="I14478">
        <v>88756672</v>
      </c>
    </row>
    <row r="14479" spans="1:9" x14ac:dyDescent="0.2">
      <c r="A14479" t="str">
        <f>"Olfr12"</f>
        <v>Olfr12</v>
      </c>
      <c r="B14479" t="s">
        <v>4572</v>
      </c>
      <c r="C14479" t="s">
        <v>19</v>
      </c>
      <c r="D14479" t="s">
        <v>17</v>
      </c>
      <c r="E14479" t="s">
        <v>20</v>
      </c>
      <c r="F14479">
        <v>92619880</v>
      </c>
      <c r="G14479">
        <v>92619880</v>
      </c>
      <c r="H14479">
        <v>92619880</v>
      </c>
      <c r="I14479">
        <v>92619880</v>
      </c>
    </row>
    <row r="14480" spans="1:9" x14ac:dyDescent="0.2">
      <c r="A14480" t="str">
        <f>"Olfr120"</f>
        <v>Olfr120</v>
      </c>
      <c r="B14480" t="s">
        <v>4573</v>
      </c>
      <c r="C14480" t="s">
        <v>28</v>
      </c>
      <c r="D14480" t="s">
        <v>17</v>
      </c>
      <c r="E14480" t="s">
        <v>20</v>
      </c>
      <c r="F14480">
        <v>37725998</v>
      </c>
      <c r="G14480">
        <v>37725998</v>
      </c>
      <c r="H14480">
        <v>37725998</v>
      </c>
      <c r="I14480">
        <v>37725998</v>
      </c>
    </row>
    <row r="14481" spans="1:9" x14ac:dyDescent="0.2">
      <c r="A14481" t="str">
        <f>"Olfr1200"</f>
        <v>Olfr1200</v>
      </c>
      <c r="B14481" t="s">
        <v>4574</v>
      </c>
      <c r="C14481" t="s">
        <v>26</v>
      </c>
      <c r="D14481" t="s">
        <v>11</v>
      </c>
      <c r="E14481" t="s">
        <v>20</v>
      </c>
      <c r="F14481">
        <v>88768312</v>
      </c>
      <c r="G14481">
        <v>88768312</v>
      </c>
      <c r="H14481">
        <v>88768312</v>
      </c>
      <c r="I14481">
        <v>88768312</v>
      </c>
    </row>
    <row r="14482" spans="1:9" x14ac:dyDescent="0.2">
      <c r="A14482" t="str">
        <f>"Olfr1201"</f>
        <v>Olfr1201</v>
      </c>
      <c r="B14482" t="s">
        <v>4575</v>
      </c>
      <c r="C14482" t="s">
        <v>26</v>
      </c>
      <c r="D14482" t="s">
        <v>17</v>
      </c>
      <c r="E14482" t="s">
        <v>20</v>
      </c>
      <c r="F14482">
        <v>88794383</v>
      </c>
      <c r="G14482">
        <v>88794383</v>
      </c>
      <c r="H14482">
        <v>88794383</v>
      </c>
      <c r="I14482">
        <v>88794383</v>
      </c>
    </row>
    <row r="14483" spans="1:9" x14ac:dyDescent="0.2">
      <c r="A14483" t="str">
        <f>"Olfr1202"</f>
        <v>Olfr1202</v>
      </c>
      <c r="B14483" t="s">
        <v>4576</v>
      </c>
      <c r="C14483" t="s">
        <v>26</v>
      </c>
      <c r="D14483" t="s">
        <v>17</v>
      </c>
      <c r="E14483" t="s">
        <v>20</v>
      </c>
      <c r="F14483">
        <v>88817172</v>
      </c>
      <c r="G14483">
        <v>88817172</v>
      </c>
      <c r="H14483">
        <v>88817172</v>
      </c>
      <c r="I14483">
        <v>88817172</v>
      </c>
    </row>
    <row r="14484" spans="1:9" x14ac:dyDescent="0.2">
      <c r="A14484" t="str">
        <f>"Olfr1204"</f>
        <v>Olfr1204</v>
      </c>
      <c r="B14484" t="s">
        <v>4577</v>
      </c>
      <c r="C14484" t="s">
        <v>26</v>
      </c>
      <c r="D14484" t="s">
        <v>17</v>
      </c>
      <c r="E14484" t="s">
        <v>20</v>
      </c>
      <c r="F14484">
        <v>88851951</v>
      </c>
      <c r="G14484">
        <v>88851951</v>
      </c>
      <c r="H14484">
        <v>88851951</v>
      </c>
      <c r="I14484">
        <v>88851951</v>
      </c>
    </row>
    <row r="14485" spans="1:9" x14ac:dyDescent="0.2">
      <c r="A14485" t="str">
        <f>"Olfr1205"</f>
        <v>Olfr1205</v>
      </c>
      <c r="B14485" t="s">
        <v>4578</v>
      </c>
      <c r="C14485" t="s">
        <v>26</v>
      </c>
      <c r="D14485" t="s">
        <v>17</v>
      </c>
      <c r="E14485" t="s">
        <v>20</v>
      </c>
      <c r="F14485">
        <v>88831118</v>
      </c>
      <c r="G14485">
        <v>88831118</v>
      </c>
      <c r="H14485">
        <v>88831118</v>
      </c>
      <c r="I14485">
        <v>88831118</v>
      </c>
    </row>
    <row r="14486" spans="1:9" x14ac:dyDescent="0.2">
      <c r="A14486" t="str">
        <f>"Olfr1206"</f>
        <v>Olfr1206</v>
      </c>
      <c r="B14486" t="s">
        <v>4579</v>
      </c>
      <c r="C14486" t="s">
        <v>26</v>
      </c>
      <c r="D14486" t="s">
        <v>17</v>
      </c>
      <c r="E14486" t="s">
        <v>20</v>
      </c>
      <c r="F14486">
        <v>88864606</v>
      </c>
      <c r="G14486">
        <v>88864606</v>
      </c>
      <c r="H14486">
        <v>88864606</v>
      </c>
      <c r="I14486">
        <v>88864606</v>
      </c>
    </row>
    <row r="14487" spans="1:9" x14ac:dyDescent="0.2">
      <c r="A14487" t="str">
        <f>"Olfr1208"</f>
        <v>Olfr1208</v>
      </c>
      <c r="B14487" t="s">
        <v>4580</v>
      </c>
      <c r="C14487" t="s">
        <v>26</v>
      </c>
      <c r="D14487" t="s">
        <v>11</v>
      </c>
      <c r="E14487" t="s">
        <v>20</v>
      </c>
      <c r="F14487">
        <v>88897647</v>
      </c>
      <c r="G14487">
        <v>88897647</v>
      </c>
      <c r="H14487">
        <v>88897647</v>
      </c>
      <c r="I14487">
        <v>88897647</v>
      </c>
    </row>
    <row r="14488" spans="1:9" x14ac:dyDescent="0.2">
      <c r="A14488" t="str">
        <f>"Olfr1209"</f>
        <v>Olfr1209</v>
      </c>
      <c r="B14488" t="s">
        <v>4581</v>
      </c>
      <c r="C14488" t="s">
        <v>26</v>
      </c>
      <c r="D14488" t="s">
        <v>11</v>
      </c>
      <c r="E14488" t="s">
        <v>20</v>
      </c>
      <c r="F14488">
        <v>88910390</v>
      </c>
      <c r="G14488">
        <v>88910390</v>
      </c>
      <c r="H14488">
        <v>88910390</v>
      </c>
      <c r="I14488">
        <v>88910390</v>
      </c>
    </row>
    <row r="14489" spans="1:9" x14ac:dyDescent="0.2">
      <c r="A14489" t="str">
        <f>"Olfr121"</f>
        <v>Olfr121</v>
      </c>
      <c r="B14489" t="s">
        <v>4582</v>
      </c>
      <c r="C14489" t="s">
        <v>28</v>
      </c>
      <c r="D14489" t="s">
        <v>17</v>
      </c>
      <c r="E14489" t="s">
        <v>20</v>
      </c>
      <c r="F14489">
        <v>37748865</v>
      </c>
      <c r="G14489">
        <v>37748865</v>
      </c>
      <c r="H14489">
        <v>37748865</v>
      </c>
      <c r="I14489">
        <v>37748865</v>
      </c>
    </row>
    <row r="14490" spans="1:9" x14ac:dyDescent="0.2">
      <c r="A14490" t="str">
        <f>"Olfr1211"</f>
        <v>Olfr1211</v>
      </c>
      <c r="B14490" t="s">
        <v>4583</v>
      </c>
      <c r="C14490" t="s">
        <v>26</v>
      </c>
      <c r="D14490" t="s">
        <v>11</v>
      </c>
      <c r="E14490" t="s">
        <v>20</v>
      </c>
      <c r="F14490">
        <v>88930312</v>
      </c>
      <c r="G14490">
        <v>88930312</v>
      </c>
      <c r="H14490">
        <v>88930312</v>
      </c>
      <c r="I14490">
        <v>88930312</v>
      </c>
    </row>
    <row r="14491" spans="1:9" x14ac:dyDescent="0.2">
      <c r="A14491" t="str">
        <f>"Olfr1212"</f>
        <v>Olfr1212</v>
      </c>
      <c r="B14491" t="s">
        <v>4584</v>
      </c>
      <c r="C14491" t="s">
        <v>26</v>
      </c>
      <c r="D14491" t="s">
        <v>17</v>
      </c>
      <c r="E14491" t="s">
        <v>20</v>
      </c>
      <c r="F14491">
        <v>88958467</v>
      </c>
      <c r="G14491">
        <v>88958467</v>
      </c>
      <c r="H14491">
        <v>88958467</v>
      </c>
      <c r="I14491">
        <v>88958467</v>
      </c>
    </row>
    <row r="14492" spans="1:9" x14ac:dyDescent="0.2">
      <c r="A14492" t="str">
        <f>"Olfr1213"</f>
        <v>Olfr1213</v>
      </c>
      <c r="B14492" t="s">
        <v>4585</v>
      </c>
      <c r="C14492" t="s">
        <v>26</v>
      </c>
      <c r="D14492" t="s">
        <v>11</v>
      </c>
      <c r="E14492" t="s">
        <v>20</v>
      </c>
      <c r="F14492">
        <v>88973888</v>
      </c>
      <c r="G14492">
        <v>88973888</v>
      </c>
      <c r="H14492">
        <v>88973888</v>
      </c>
      <c r="I14492">
        <v>88973888</v>
      </c>
    </row>
    <row r="14493" spans="1:9" x14ac:dyDescent="0.2">
      <c r="A14493" t="str">
        <f>"Olfr1213"</f>
        <v>Olfr1213</v>
      </c>
      <c r="B14493" t="s">
        <v>4586</v>
      </c>
      <c r="C14493" t="s">
        <v>26</v>
      </c>
      <c r="D14493" t="s">
        <v>11</v>
      </c>
      <c r="E14493" t="s">
        <v>20</v>
      </c>
      <c r="F14493">
        <v>88980256</v>
      </c>
      <c r="G14493">
        <v>88980256</v>
      </c>
      <c r="H14493">
        <v>88980256</v>
      </c>
      <c r="I14493">
        <v>88980256</v>
      </c>
    </row>
    <row r="14494" spans="1:9" x14ac:dyDescent="0.2">
      <c r="A14494" t="str">
        <f>"Olfr1214"</f>
        <v>Olfr1214</v>
      </c>
      <c r="B14494" t="s">
        <v>4587</v>
      </c>
      <c r="C14494" t="s">
        <v>26</v>
      </c>
      <c r="D14494" t="s">
        <v>11</v>
      </c>
      <c r="E14494" t="s">
        <v>20</v>
      </c>
      <c r="F14494">
        <v>88988199</v>
      </c>
      <c r="G14494">
        <v>88988199</v>
      </c>
      <c r="H14494">
        <v>88988199</v>
      </c>
      <c r="I14494">
        <v>88988199</v>
      </c>
    </row>
    <row r="14495" spans="1:9" x14ac:dyDescent="0.2">
      <c r="A14495" t="str">
        <f>"Olfr1215"</f>
        <v>Olfr1215</v>
      </c>
      <c r="B14495" t="s">
        <v>4588</v>
      </c>
      <c r="C14495" t="s">
        <v>26</v>
      </c>
      <c r="D14495" t="s">
        <v>11</v>
      </c>
      <c r="E14495" t="s">
        <v>20</v>
      </c>
      <c r="F14495">
        <v>89002289</v>
      </c>
      <c r="G14495">
        <v>89002289</v>
      </c>
      <c r="H14495">
        <v>89002289</v>
      </c>
      <c r="I14495">
        <v>89002289</v>
      </c>
    </row>
    <row r="14496" spans="1:9" x14ac:dyDescent="0.2">
      <c r="A14496" t="str">
        <f>"Olfr1216"</f>
        <v>Olfr1216</v>
      </c>
      <c r="B14496" t="s">
        <v>4589</v>
      </c>
      <c r="C14496" t="s">
        <v>26</v>
      </c>
      <c r="D14496" t="s">
        <v>11</v>
      </c>
      <c r="E14496" t="s">
        <v>20</v>
      </c>
      <c r="F14496">
        <v>89014061</v>
      </c>
      <c r="G14496">
        <v>89014061</v>
      </c>
      <c r="H14496">
        <v>89014061</v>
      </c>
      <c r="I14496">
        <v>89014061</v>
      </c>
    </row>
    <row r="14497" spans="1:9" x14ac:dyDescent="0.2">
      <c r="A14497" t="str">
        <f>"Olfr1217"</f>
        <v>Olfr1217</v>
      </c>
      <c r="B14497" t="s">
        <v>4590</v>
      </c>
      <c r="C14497" t="s">
        <v>26</v>
      </c>
      <c r="D14497" t="s">
        <v>11</v>
      </c>
      <c r="E14497" t="s">
        <v>20</v>
      </c>
      <c r="F14497">
        <v>89024098</v>
      </c>
      <c r="G14497">
        <v>89024098</v>
      </c>
      <c r="H14497">
        <v>89024098</v>
      </c>
      <c r="I14497">
        <v>89024098</v>
      </c>
    </row>
    <row r="14498" spans="1:9" x14ac:dyDescent="0.2">
      <c r="A14498" t="str">
        <f>"Olfr1218"</f>
        <v>Olfr1218</v>
      </c>
      <c r="B14498" t="s">
        <v>4591</v>
      </c>
      <c r="C14498" t="s">
        <v>26</v>
      </c>
      <c r="D14498" t="s">
        <v>11</v>
      </c>
      <c r="E14498" t="s">
        <v>20</v>
      </c>
      <c r="F14498">
        <v>89055423</v>
      </c>
      <c r="G14498">
        <v>89055423</v>
      </c>
      <c r="H14498">
        <v>89055423</v>
      </c>
      <c r="I14498">
        <v>89055423</v>
      </c>
    </row>
    <row r="14499" spans="1:9" x14ac:dyDescent="0.2">
      <c r="A14499" t="str">
        <f>"Olfr1219"</f>
        <v>Olfr1219</v>
      </c>
      <c r="B14499" t="s">
        <v>4592</v>
      </c>
      <c r="C14499" t="s">
        <v>26</v>
      </c>
      <c r="D14499" t="s">
        <v>11</v>
      </c>
      <c r="E14499" t="s">
        <v>20</v>
      </c>
      <c r="F14499">
        <v>89075088</v>
      </c>
      <c r="G14499">
        <v>89075088</v>
      </c>
      <c r="H14499">
        <v>89075088</v>
      </c>
      <c r="I14499">
        <v>89075088</v>
      </c>
    </row>
    <row r="14500" spans="1:9" x14ac:dyDescent="0.2">
      <c r="A14500" t="str">
        <f>"Olfr122"</f>
        <v>Olfr122</v>
      </c>
      <c r="B14500" t="s">
        <v>4593</v>
      </c>
      <c r="C14500" t="s">
        <v>28</v>
      </c>
      <c r="D14500" t="s">
        <v>17</v>
      </c>
      <c r="E14500" t="s">
        <v>20</v>
      </c>
      <c r="F14500">
        <v>37771627</v>
      </c>
      <c r="G14500">
        <v>37771627</v>
      </c>
      <c r="H14500">
        <v>37771627</v>
      </c>
      <c r="I14500">
        <v>37771627</v>
      </c>
    </row>
    <row r="14501" spans="1:9" x14ac:dyDescent="0.2">
      <c r="A14501" t="str">
        <f>"Olfr1220"</f>
        <v>Olfr1220</v>
      </c>
      <c r="B14501" t="s">
        <v>4594</v>
      </c>
      <c r="C14501" t="s">
        <v>26</v>
      </c>
      <c r="D14501" t="s">
        <v>11</v>
      </c>
      <c r="E14501" t="s">
        <v>20</v>
      </c>
      <c r="F14501">
        <v>89097962</v>
      </c>
      <c r="G14501">
        <v>89097962</v>
      </c>
      <c r="H14501">
        <v>89097962</v>
      </c>
      <c r="I14501">
        <v>89097962</v>
      </c>
    </row>
    <row r="14502" spans="1:9" x14ac:dyDescent="0.2">
      <c r="A14502" t="str">
        <f>"Olfr1221"</f>
        <v>Olfr1221</v>
      </c>
      <c r="B14502" t="s">
        <v>4595</v>
      </c>
      <c r="C14502" t="s">
        <v>26</v>
      </c>
      <c r="D14502" t="s">
        <v>11</v>
      </c>
      <c r="E14502" t="s">
        <v>20</v>
      </c>
      <c r="F14502">
        <v>89112509</v>
      </c>
      <c r="G14502">
        <v>89112509</v>
      </c>
      <c r="H14502">
        <v>89112509</v>
      </c>
      <c r="I14502">
        <v>89112509</v>
      </c>
    </row>
    <row r="14503" spans="1:9" x14ac:dyDescent="0.2">
      <c r="A14503" t="str">
        <f>"Olfr1222"</f>
        <v>Olfr1222</v>
      </c>
      <c r="B14503" t="s">
        <v>4596</v>
      </c>
      <c r="C14503" t="s">
        <v>26</v>
      </c>
      <c r="D14503" t="s">
        <v>11</v>
      </c>
      <c r="E14503" t="s">
        <v>20</v>
      </c>
      <c r="F14503">
        <v>89125728</v>
      </c>
      <c r="G14503">
        <v>89125728</v>
      </c>
      <c r="H14503">
        <v>89125728</v>
      </c>
      <c r="I14503">
        <v>89125728</v>
      </c>
    </row>
    <row r="14504" spans="1:9" x14ac:dyDescent="0.2">
      <c r="A14504" t="str">
        <f>"Olfr1223"</f>
        <v>Olfr1223</v>
      </c>
      <c r="B14504" t="s">
        <v>4597</v>
      </c>
      <c r="C14504" t="s">
        <v>26</v>
      </c>
      <c r="D14504" t="s">
        <v>11</v>
      </c>
      <c r="E14504" t="s">
        <v>20</v>
      </c>
      <c r="F14504">
        <v>89145020</v>
      </c>
      <c r="G14504">
        <v>89145020</v>
      </c>
      <c r="H14504">
        <v>89145020</v>
      </c>
      <c r="I14504">
        <v>89145020</v>
      </c>
    </row>
    <row r="14505" spans="1:9" x14ac:dyDescent="0.2">
      <c r="A14505" t="str">
        <f>"Olfr1223"</f>
        <v>Olfr1223</v>
      </c>
      <c r="B14505" t="s">
        <v>4598</v>
      </c>
      <c r="C14505" t="s">
        <v>26</v>
      </c>
      <c r="D14505" t="s">
        <v>11</v>
      </c>
      <c r="E14505" t="s">
        <v>20</v>
      </c>
      <c r="F14505">
        <v>89151335</v>
      </c>
      <c r="G14505">
        <v>89151335</v>
      </c>
      <c r="H14505">
        <v>89151335</v>
      </c>
      <c r="I14505">
        <v>89151335</v>
      </c>
    </row>
    <row r="14506" spans="1:9" x14ac:dyDescent="0.2">
      <c r="A14506" t="str">
        <f>"Olfr1224-ps1"</f>
        <v>Olfr1224-ps1</v>
      </c>
      <c r="B14506" t="s">
        <v>4599</v>
      </c>
      <c r="C14506" t="s">
        <v>26</v>
      </c>
      <c r="D14506" t="s">
        <v>11</v>
      </c>
      <c r="E14506" t="s">
        <v>20</v>
      </c>
      <c r="F14506">
        <v>89157172</v>
      </c>
      <c r="G14506">
        <v>89157172</v>
      </c>
      <c r="H14506">
        <v>89157172</v>
      </c>
      <c r="I14506">
        <v>89157172</v>
      </c>
    </row>
    <row r="14507" spans="1:9" x14ac:dyDescent="0.2">
      <c r="A14507" t="str">
        <f>"Olfr1225"</f>
        <v>Olfr1225</v>
      </c>
      <c r="B14507" t="s">
        <v>4600</v>
      </c>
      <c r="C14507" t="s">
        <v>26</v>
      </c>
      <c r="D14507" t="s">
        <v>11</v>
      </c>
      <c r="E14507" t="s">
        <v>20</v>
      </c>
      <c r="F14507">
        <v>89171244</v>
      </c>
      <c r="G14507">
        <v>89171244</v>
      </c>
      <c r="H14507">
        <v>89171244</v>
      </c>
      <c r="I14507">
        <v>89171244</v>
      </c>
    </row>
    <row r="14508" spans="1:9" x14ac:dyDescent="0.2">
      <c r="A14508" t="str">
        <f>"Olfr1226"</f>
        <v>Olfr1226</v>
      </c>
      <c r="B14508" t="s">
        <v>4601</v>
      </c>
      <c r="C14508" t="s">
        <v>26</v>
      </c>
      <c r="D14508" t="s">
        <v>11</v>
      </c>
      <c r="E14508" t="s">
        <v>20</v>
      </c>
      <c r="F14508">
        <v>89194031</v>
      </c>
      <c r="G14508">
        <v>89194031</v>
      </c>
      <c r="H14508">
        <v>89194031</v>
      </c>
      <c r="I14508">
        <v>89194031</v>
      </c>
    </row>
    <row r="14509" spans="1:9" x14ac:dyDescent="0.2">
      <c r="A14509" t="str">
        <f>"Olfr1228"</f>
        <v>Olfr1228</v>
      </c>
      <c r="B14509" t="s">
        <v>4602</v>
      </c>
      <c r="C14509" t="s">
        <v>26</v>
      </c>
      <c r="D14509" t="s">
        <v>11</v>
      </c>
      <c r="E14509" t="s">
        <v>20</v>
      </c>
      <c r="F14509">
        <v>89249774</v>
      </c>
      <c r="G14509">
        <v>89249774</v>
      </c>
      <c r="H14509">
        <v>89249774</v>
      </c>
      <c r="I14509">
        <v>89249774</v>
      </c>
    </row>
    <row r="14510" spans="1:9" x14ac:dyDescent="0.2">
      <c r="A14510" t="str">
        <f>"Olfr1229"</f>
        <v>Olfr1229</v>
      </c>
      <c r="B14510" t="s">
        <v>4603</v>
      </c>
      <c r="C14510" t="s">
        <v>26</v>
      </c>
      <c r="D14510" t="s">
        <v>11</v>
      </c>
      <c r="E14510" t="s">
        <v>20</v>
      </c>
      <c r="F14510">
        <v>89283156</v>
      </c>
      <c r="G14510">
        <v>89283156</v>
      </c>
      <c r="H14510">
        <v>89283156</v>
      </c>
      <c r="I14510">
        <v>89283156</v>
      </c>
    </row>
    <row r="14511" spans="1:9" x14ac:dyDescent="0.2">
      <c r="A14511" t="str">
        <f>"Olfr123"</f>
        <v>Olfr123</v>
      </c>
      <c r="B14511" t="s">
        <v>4604</v>
      </c>
      <c r="C14511" t="s">
        <v>28</v>
      </c>
      <c r="D14511" t="s">
        <v>17</v>
      </c>
      <c r="E14511" t="s">
        <v>20</v>
      </c>
      <c r="F14511">
        <v>37795434</v>
      </c>
      <c r="G14511">
        <v>37795434</v>
      </c>
      <c r="H14511">
        <v>37795434</v>
      </c>
      <c r="I14511">
        <v>37795434</v>
      </c>
    </row>
    <row r="14512" spans="1:9" x14ac:dyDescent="0.2">
      <c r="A14512" t="str">
        <f>"Olfr1230"</f>
        <v>Olfr1230</v>
      </c>
      <c r="B14512" t="s">
        <v>4605</v>
      </c>
      <c r="C14512" t="s">
        <v>26</v>
      </c>
      <c r="D14512" t="s">
        <v>11</v>
      </c>
      <c r="E14512" t="s">
        <v>20</v>
      </c>
      <c r="F14512">
        <v>89297267</v>
      </c>
      <c r="G14512">
        <v>89297267</v>
      </c>
      <c r="H14512">
        <v>89297267</v>
      </c>
      <c r="I14512">
        <v>89297267</v>
      </c>
    </row>
    <row r="14513" spans="1:9" x14ac:dyDescent="0.2">
      <c r="A14513" t="str">
        <f>"Olfr1231"</f>
        <v>Olfr1231</v>
      </c>
      <c r="B14513" t="s">
        <v>4606</v>
      </c>
      <c r="C14513" t="s">
        <v>26</v>
      </c>
      <c r="D14513" t="s">
        <v>11</v>
      </c>
      <c r="E14513" t="s">
        <v>20</v>
      </c>
      <c r="F14513">
        <v>89303589</v>
      </c>
      <c r="G14513">
        <v>89303589</v>
      </c>
      <c r="H14513">
        <v>89303589</v>
      </c>
      <c r="I14513">
        <v>89303589</v>
      </c>
    </row>
    <row r="14514" spans="1:9" x14ac:dyDescent="0.2">
      <c r="A14514" t="str">
        <f>"Olfr1232"</f>
        <v>Olfr1232</v>
      </c>
      <c r="B14514" t="s">
        <v>4607</v>
      </c>
      <c r="C14514" t="s">
        <v>26</v>
      </c>
      <c r="D14514" t="s">
        <v>11</v>
      </c>
      <c r="E14514" t="s">
        <v>20</v>
      </c>
      <c r="F14514">
        <v>89326177</v>
      </c>
      <c r="G14514">
        <v>89326177</v>
      </c>
      <c r="H14514">
        <v>89326177</v>
      </c>
      <c r="I14514">
        <v>89326177</v>
      </c>
    </row>
    <row r="14515" spans="1:9" x14ac:dyDescent="0.2">
      <c r="A14515" t="str">
        <f>"Olfr1233"</f>
        <v>Olfr1233</v>
      </c>
      <c r="B14515" t="s">
        <v>4608</v>
      </c>
      <c r="C14515" t="s">
        <v>26</v>
      </c>
      <c r="D14515" t="s">
        <v>11</v>
      </c>
      <c r="E14515" t="s">
        <v>20</v>
      </c>
      <c r="F14515">
        <v>89340347</v>
      </c>
      <c r="G14515">
        <v>89340347</v>
      </c>
      <c r="H14515">
        <v>89340347</v>
      </c>
      <c r="I14515">
        <v>89340347</v>
      </c>
    </row>
    <row r="14516" spans="1:9" x14ac:dyDescent="0.2">
      <c r="A14516" t="str">
        <f>"Olfr1234"</f>
        <v>Olfr1234</v>
      </c>
      <c r="B14516" t="s">
        <v>4609</v>
      </c>
      <c r="C14516" t="s">
        <v>26</v>
      </c>
      <c r="D14516" t="s">
        <v>11</v>
      </c>
      <c r="E14516" t="s">
        <v>20</v>
      </c>
      <c r="F14516">
        <v>89363426</v>
      </c>
      <c r="G14516">
        <v>89363426</v>
      </c>
      <c r="H14516">
        <v>89363426</v>
      </c>
      <c r="I14516">
        <v>89363426</v>
      </c>
    </row>
    <row r="14517" spans="1:9" x14ac:dyDescent="0.2">
      <c r="A14517" t="str">
        <f>"Olfr1234"</f>
        <v>Olfr1234</v>
      </c>
      <c r="B14517" t="s">
        <v>4610</v>
      </c>
      <c r="C14517" t="s">
        <v>26</v>
      </c>
      <c r="D14517" t="s">
        <v>11</v>
      </c>
      <c r="E14517" t="s">
        <v>20</v>
      </c>
      <c r="F14517">
        <v>89364860</v>
      </c>
      <c r="G14517">
        <v>89364860</v>
      </c>
      <c r="H14517">
        <v>89364860</v>
      </c>
      <c r="I14517">
        <v>89364860</v>
      </c>
    </row>
    <row r="14518" spans="1:9" x14ac:dyDescent="0.2">
      <c r="A14518" t="str">
        <f>"Olfr1238"</f>
        <v>Olfr1238</v>
      </c>
      <c r="B14518" t="s">
        <v>4611</v>
      </c>
      <c r="C14518" t="s">
        <v>26</v>
      </c>
      <c r="D14518" t="s">
        <v>11</v>
      </c>
      <c r="E14518" t="s">
        <v>20</v>
      </c>
      <c r="F14518">
        <v>89407077</v>
      </c>
      <c r="G14518">
        <v>89407077</v>
      </c>
      <c r="H14518">
        <v>89407077</v>
      </c>
      <c r="I14518">
        <v>89407077</v>
      </c>
    </row>
    <row r="14519" spans="1:9" x14ac:dyDescent="0.2">
      <c r="A14519" t="str">
        <f>"Olfr1239"</f>
        <v>Olfr1239</v>
      </c>
      <c r="B14519" t="s">
        <v>4612</v>
      </c>
      <c r="C14519" t="s">
        <v>26</v>
      </c>
      <c r="D14519" t="s">
        <v>11</v>
      </c>
      <c r="E14519" t="s">
        <v>20</v>
      </c>
      <c r="F14519">
        <v>89418410</v>
      </c>
      <c r="G14519">
        <v>89418410</v>
      </c>
      <c r="H14519">
        <v>89418410</v>
      </c>
      <c r="I14519">
        <v>89418410</v>
      </c>
    </row>
    <row r="14520" spans="1:9" x14ac:dyDescent="0.2">
      <c r="A14520" t="str">
        <f>"Olfr124"</f>
        <v>Olfr124</v>
      </c>
      <c r="B14520" t="s">
        <v>4613</v>
      </c>
      <c r="C14520" t="s">
        <v>28</v>
      </c>
      <c r="D14520" t="s">
        <v>17</v>
      </c>
      <c r="E14520" t="s">
        <v>20</v>
      </c>
      <c r="F14520">
        <v>37805068</v>
      </c>
      <c r="G14520">
        <v>37805068</v>
      </c>
      <c r="H14520">
        <v>37805068</v>
      </c>
      <c r="I14520">
        <v>37805068</v>
      </c>
    </row>
    <row r="14521" spans="1:9" x14ac:dyDescent="0.2">
      <c r="A14521" t="str">
        <f>"Olfr1240"</f>
        <v>Olfr1240</v>
      </c>
      <c r="B14521" t="s">
        <v>4614</v>
      </c>
      <c r="C14521" t="s">
        <v>26</v>
      </c>
      <c r="D14521" t="s">
        <v>11</v>
      </c>
      <c r="E14521" t="s">
        <v>20</v>
      </c>
      <c r="F14521">
        <v>89440342</v>
      </c>
      <c r="G14521">
        <v>89440342</v>
      </c>
      <c r="H14521">
        <v>89440342</v>
      </c>
      <c r="I14521">
        <v>89440342</v>
      </c>
    </row>
    <row r="14522" spans="1:9" x14ac:dyDescent="0.2">
      <c r="A14522" t="str">
        <f>"Olfr1241"</f>
        <v>Olfr1241</v>
      </c>
      <c r="B14522" t="s">
        <v>4615</v>
      </c>
      <c r="C14522" t="s">
        <v>26</v>
      </c>
      <c r="D14522" t="s">
        <v>11</v>
      </c>
      <c r="E14522" t="s">
        <v>20</v>
      </c>
      <c r="F14522">
        <v>89483132</v>
      </c>
      <c r="G14522">
        <v>89483132</v>
      </c>
      <c r="H14522">
        <v>89483132</v>
      </c>
      <c r="I14522">
        <v>89483132</v>
      </c>
    </row>
    <row r="14523" spans="1:9" x14ac:dyDescent="0.2">
      <c r="A14523" t="str">
        <f>"Olfr1242"</f>
        <v>Olfr1242</v>
      </c>
      <c r="B14523" t="s">
        <v>4616</v>
      </c>
      <c r="C14523" t="s">
        <v>26</v>
      </c>
      <c r="D14523" t="s">
        <v>11</v>
      </c>
      <c r="E14523" t="s">
        <v>20</v>
      </c>
      <c r="F14523">
        <v>89494345</v>
      </c>
      <c r="G14523">
        <v>89494345</v>
      </c>
      <c r="H14523">
        <v>89494345</v>
      </c>
      <c r="I14523">
        <v>89494345</v>
      </c>
    </row>
    <row r="14524" spans="1:9" x14ac:dyDescent="0.2">
      <c r="A14524" t="str">
        <f>"Olfr1242"</f>
        <v>Olfr1242</v>
      </c>
      <c r="B14524" t="s">
        <v>4617</v>
      </c>
      <c r="C14524" t="s">
        <v>26</v>
      </c>
      <c r="D14524" t="s">
        <v>11</v>
      </c>
      <c r="E14524" t="s">
        <v>20</v>
      </c>
      <c r="F14524">
        <v>89498212</v>
      </c>
      <c r="G14524">
        <v>89498212</v>
      </c>
      <c r="H14524">
        <v>89498212</v>
      </c>
      <c r="I14524">
        <v>89498212</v>
      </c>
    </row>
    <row r="14525" spans="1:9" x14ac:dyDescent="0.2">
      <c r="A14525" t="str">
        <f>"Olfr1243"</f>
        <v>Olfr1243</v>
      </c>
      <c r="B14525" t="s">
        <v>4618</v>
      </c>
      <c r="C14525" t="s">
        <v>26</v>
      </c>
      <c r="D14525" t="s">
        <v>11</v>
      </c>
      <c r="E14525" t="s">
        <v>20</v>
      </c>
      <c r="F14525">
        <v>89528407</v>
      </c>
      <c r="G14525">
        <v>89528407</v>
      </c>
      <c r="H14525">
        <v>89528407</v>
      </c>
      <c r="I14525">
        <v>89528407</v>
      </c>
    </row>
    <row r="14526" spans="1:9" x14ac:dyDescent="0.2">
      <c r="A14526" t="str">
        <f>"Olfr1245"</f>
        <v>Olfr1245</v>
      </c>
      <c r="B14526" t="s">
        <v>4619</v>
      </c>
      <c r="C14526" t="s">
        <v>26</v>
      </c>
      <c r="D14526" t="s">
        <v>11</v>
      </c>
      <c r="E14526" t="s">
        <v>20</v>
      </c>
      <c r="F14526">
        <v>89575772</v>
      </c>
      <c r="G14526">
        <v>89575772</v>
      </c>
      <c r="H14526">
        <v>89575772</v>
      </c>
      <c r="I14526">
        <v>89575772</v>
      </c>
    </row>
    <row r="14527" spans="1:9" x14ac:dyDescent="0.2">
      <c r="A14527" t="str">
        <f>"Olfr1246"</f>
        <v>Olfr1246</v>
      </c>
      <c r="B14527" t="s">
        <v>4620</v>
      </c>
      <c r="C14527" t="s">
        <v>26</v>
      </c>
      <c r="D14527" t="s">
        <v>11</v>
      </c>
      <c r="E14527" t="s">
        <v>20</v>
      </c>
      <c r="F14527">
        <v>89591145</v>
      </c>
      <c r="G14527">
        <v>89591145</v>
      </c>
      <c r="H14527">
        <v>89591145</v>
      </c>
      <c r="I14527">
        <v>89591145</v>
      </c>
    </row>
    <row r="14528" spans="1:9" x14ac:dyDescent="0.2">
      <c r="A14528" t="str">
        <f>"Olfr1247"</f>
        <v>Olfr1247</v>
      </c>
      <c r="B14528" t="s">
        <v>4621</v>
      </c>
      <c r="C14528" t="s">
        <v>26</v>
      </c>
      <c r="D14528" t="s">
        <v>11</v>
      </c>
      <c r="E14528" t="s">
        <v>20</v>
      </c>
      <c r="F14528">
        <v>89610099</v>
      </c>
      <c r="G14528">
        <v>89610099</v>
      </c>
      <c r="H14528">
        <v>89610099</v>
      </c>
      <c r="I14528">
        <v>89610099</v>
      </c>
    </row>
    <row r="14529" spans="1:9" x14ac:dyDescent="0.2">
      <c r="A14529" t="str">
        <f>"Olfr1247"</f>
        <v>Olfr1247</v>
      </c>
      <c r="B14529" t="s">
        <v>4622</v>
      </c>
      <c r="C14529" t="s">
        <v>26</v>
      </c>
      <c r="D14529" t="s">
        <v>11</v>
      </c>
      <c r="E14529" t="s">
        <v>20</v>
      </c>
      <c r="F14529">
        <v>89614021</v>
      </c>
      <c r="G14529">
        <v>89614021</v>
      </c>
      <c r="H14529">
        <v>89614021</v>
      </c>
      <c r="I14529">
        <v>89614021</v>
      </c>
    </row>
    <row r="14530" spans="1:9" x14ac:dyDescent="0.2">
      <c r="A14530" t="str">
        <f>"Olfr1248"</f>
        <v>Olfr1248</v>
      </c>
      <c r="B14530" t="s">
        <v>4623</v>
      </c>
      <c r="C14530" t="s">
        <v>26</v>
      </c>
      <c r="D14530" t="s">
        <v>11</v>
      </c>
      <c r="E14530" t="s">
        <v>20</v>
      </c>
      <c r="F14530">
        <v>89618244</v>
      </c>
      <c r="G14530">
        <v>89618244</v>
      </c>
      <c r="H14530">
        <v>89618244</v>
      </c>
      <c r="I14530">
        <v>89618244</v>
      </c>
    </row>
    <row r="14531" spans="1:9" x14ac:dyDescent="0.2">
      <c r="A14531" t="str">
        <f>"Olfr1249"</f>
        <v>Olfr1249</v>
      </c>
      <c r="B14531" t="s">
        <v>4624</v>
      </c>
      <c r="C14531" t="s">
        <v>26</v>
      </c>
      <c r="D14531" t="s">
        <v>11</v>
      </c>
      <c r="E14531" t="s">
        <v>20</v>
      </c>
      <c r="F14531">
        <v>89630895</v>
      </c>
      <c r="G14531">
        <v>89630895</v>
      </c>
      <c r="H14531">
        <v>89630895</v>
      </c>
      <c r="I14531">
        <v>89630895</v>
      </c>
    </row>
    <row r="14532" spans="1:9" x14ac:dyDescent="0.2">
      <c r="A14532" t="str">
        <f>"Olfr125"</f>
        <v>Olfr125</v>
      </c>
      <c r="B14532" t="s">
        <v>4625</v>
      </c>
      <c r="C14532" t="s">
        <v>28</v>
      </c>
      <c r="D14532" t="s">
        <v>17</v>
      </c>
      <c r="E14532" t="s">
        <v>20</v>
      </c>
      <c r="F14532">
        <v>37834910</v>
      </c>
      <c r="G14532">
        <v>37834910</v>
      </c>
      <c r="H14532">
        <v>37834910</v>
      </c>
      <c r="I14532">
        <v>37834910</v>
      </c>
    </row>
    <row r="14533" spans="1:9" x14ac:dyDescent="0.2">
      <c r="A14533" t="str">
        <f>"Olfr1250"</f>
        <v>Olfr1250</v>
      </c>
      <c r="B14533" t="s">
        <v>4626</v>
      </c>
      <c r="C14533" t="s">
        <v>26</v>
      </c>
      <c r="D14533" t="s">
        <v>11</v>
      </c>
      <c r="E14533" t="s">
        <v>20</v>
      </c>
      <c r="F14533">
        <v>89657532</v>
      </c>
      <c r="G14533">
        <v>89657532</v>
      </c>
      <c r="H14533">
        <v>89657532</v>
      </c>
      <c r="I14533">
        <v>89657532</v>
      </c>
    </row>
    <row r="14534" spans="1:9" x14ac:dyDescent="0.2">
      <c r="A14534" t="str">
        <f>"Olfr1250"</f>
        <v>Olfr1250</v>
      </c>
      <c r="B14534" t="s">
        <v>4627</v>
      </c>
      <c r="C14534" t="s">
        <v>26</v>
      </c>
      <c r="D14534" t="s">
        <v>11</v>
      </c>
      <c r="E14534" t="s">
        <v>20</v>
      </c>
      <c r="F14534">
        <v>89661215</v>
      </c>
      <c r="G14534">
        <v>89661215</v>
      </c>
      <c r="H14534">
        <v>89661215</v>
      </c>
      <c r="I14534">
        <v>89661215</v>
      </c>
    </row>
    <row r="14535" spans="1:9" x14ac:dyDescent="0.2">
      <c r="A14535" t="str">
        <f>"Olfr1251"</f>
        <v>Olfr1251</v>
      </c>
      <c r="B14535" t="s">
        <v>4628</v>
      </c>
      <c r="C14535" t="s">
        <v>26</v>
      </c>
      <c r="D14535" t="s">
        <v>11</v>
      </c>
      <c r="E14535" t="s">
        <v>20</v>
      </c>
      <c r="F14535">
        <v>89667939</v>
      </c>
      <c r="G14535">
        <v>89667939</v>
      </c>
      <c r="H14535">
        <v>89667939</v>
      </c>
      <c r="I14535">
        <v>89667939</v>
      </c>
    </row>
    <row r="14536" spans="1:9" x14ac:dyDescent="0.2">
      <c r="A14536" t="str">
        <f>"Olfr1252"</f>
        <v>Olfr1252</v>
      </c>
      <c r="B14536" t="s">
        <v>4629</v>
      </c>
      <c r="C14536" t="s">
        <v>26</v>
      </c>
      <c r="D14536" t="s">
        <v>11</v>
      </c>
      <c r="E14536" t="s">
        <v>20</v>
      </c>
      <c r="F14536">
        <v>89722200</v>
      </c>
      <c r="G14536">
        <v>89722200</v>
      </c>
      <c r="H14536">
        <v>89722200</v>
      </c>
      <c r="I14536">
        <v>89722200</v>
      </c>
    </row>
    <row r="14537" spans="1:9" x14ac:dyDescent="0.2">
      <c r="A14537" t="str">
        <f>"Olfr1253"</f>
        <v>Olfr1253</v>
      </c>
      <c r="B14537" t="s">
        <v>4630</v>
      </c>
      <c r="C14537" t="s">
        <v>26</v>
      </c>
      <c r="D14537" t="s">
        <v>11</v>
      </c>
      <c r="E14537" t="s">
        <v>20</v>
      </c>
      <c r="F14537">
        <v>89752825</v>
      </c>
      <c r="G14537">
        <v>89752825</v>
      </c>
      <c r="H14537">
        <v>89752825</v>
      </c>
      <c r="I14537">
        <v>89752825</v>
      </c>
    </row>
    <row r="14538" spans="1:9" x14ac:dyDescent="0.2">
      <c r="A14538" t="str">
        <f>"Olfr1254"</f>
        <v>Olfr1254</v>
      </c>
      <c r="B14538" t="s">
        <v>4631</v>
      </c>
      <c r="C14538" t="s">
        <v>26</v>
      </c>
      <c r="D14538" t="s">
        <v>11</v>
      </c>
      <c r="E14538" t="s">
        <v>20</v>
      </c>
      <c r="F14538">
        <v>89789349</v>
      </c>
      <c r="G14538">
        <v>89789349</v>
      </c>
      <c r="H14538">
        <v>89789349</v>
      </c>
      <c r="I14538">
        <v>89789349</v>
      </c>
    </row>
    <row r="14539" spans="1:9" x14ac:dyDescent="0.2">
      <c r="A14539" t="str">
        <f>"Olfr1254"</f>
        <v>Olfr1254</v>
      </c>
      <c r="B14539" t="s">
        <v>4632</v>
      </c>
      <c r="C14539" t="s">
        <v>26</v>
      </c>
      <c r="D14539" t="s">
        <v>11</v>
      </c>
      <c r="E14539" t="s">
        <v>20</v>
      </c>
      <c r="F14539">
        <v>89793169</v>
      </c>
      <c r="G14539">
        <v>89793169</v>
      </c>
      <c r="H14539">
        <v>89793169</v>
      </c>
      <c r="I14539">
        <v>89793169</v>
      </c>
    </row>
    <row r="14540" spans="1:9" x14ac:dyDescent="0.2">
      <c r="A14540" t="str">
        <f>"Olfr1255"</f>
        <v>Olfr1255</v>
      </c>
      <c r="B14540" t="s">
        <v>4633</v>
      </c>
      <c r="C14540" t="s">
        <v>26</v>
      </c>
      <c r="D14540" t="s">
        <v>17</v>
      </c>
      <c r="E14540" t="s">
        <v>20</v>
      </c>
      <c r="F14540">
        <v>89816327</v>
      </c>
      <c r="G14540">
        <v>89816327</v>
      </c>
      <c r="H14540">
        <v>89816327</v>
      </c>
      <c r="I14540">
        <v>89816327</v>
      </c>
    </row>
    <row r="14541" spans="1:9" x14ac:dyDescent="0.2">
      <c r="A14541" t="str">
        <f>"Olfr1256"</f>
        <v>Olfr1256</v>
      </c>
      <c r="B14541" t="s">
        <v>4634</v>
      </c>
      <c r="C14541" t="s">
        <v>26</v>
      </c>
      <c r="D14541" t="s">
        <v>11</v>
      </c>
      <c r="E14541" t="s">
        <v>20</v>
      </c>
      <c r="F14541">
        <v>89835942</v>
      </c>
      <c r="G14541">
        <v>89835942</v>
      </c>
      <c r="H14541">
        <v>89835942</v>
      </c>
      <c r="I14541">
        <v>89835942</v>
      </c>
    </row>
    <row r="14542" spans="1:9" x14ac:dyDescent="0.2">
      <c r="A14542" t="str">
        <f>"Olfr1256"</f>
        <v>Olfr1256</v>
      </c>
      <c r="B14542" t="s">
        <v>4635</v>
      </c>
      <c r="C14542" t="s">
        <v>26</v>
      </c>
      <c r="D14542" t="s">
        <v>11</v>
      </c>
      <c r="E14542" t="s">
        <v>20</v>
      </c>
      <c r="F14542">
        <v>89841132</v>
      </c>
      <c r="G14542">
        <v>89841132</v>
      </c>
      <c r="H14542">
        <v>89841132</v>
      </c>
      <c r="I14542">
        <v>89841132</v>
      </c>
    </row>
    <row r="14543" spans="1:9" x14ac:dyDescent="0.2">
      <c r="A14543" t="str">
        <f>"Olfr1257"</f>
        <v>Olfr1257</v>
      </c>
      <c r="B14543" t="s">
        <v>4636</v>
      </c>
      <c r="C14543" t="s">
        <v>26</v>
      </c>
      <c r="D14543" t="s">
        <v>17</v>
      </c>
      <c r="E14543" t="s">
        <v>20</v>
      </c>
      <c r="F14543">
        <v>89880793</v>
      </c>
      <c r="G14543">
        <v>89880793</v>
      </c>
      <c r="H14543">
        <v>89880793</v>
      </c>
      <c r="I14543">
        <v>89880793</v>
      </c>
    </row>
    <row r="14544" spans="1:9" x14ac:dyDescent="0.2">
      <c r="A14544" t="str">
        <f>"Olfr1257"</f>
        <v>Olfr1257</v>
      </c>
      <c r="B14544" t="s">
        <v>4637</v>
      </c>
      <c r="C14544" t="s">
        <v>26</v>
      </c>
      <c r="D14544" t="s">
        <v>17</v>
      </c>
      <c r="E14544" t="s">
        <v>20</v>
      </c>
      <c r="F14544">
        <v>89878443</v>
      </c>
      <c r="G14544">
        <v>89878443</v>
      </c>
      <c r="H14544">
        <v>89878443</v>
      </c>
      <c r="I14544">
        <v>89878443</v>
      </c>
    </row>
    <row r="14545" spans="1:9" x14ac:dyDescent="0.2">
      <c r="A14545" t="str">
        <f>"Olfr1258"</f>
        <v>Olfr1258</v>
      </c>
      <c r="B14545" t="s">
        <v>4638</v>
      </c>
      <c r="C14545" t="s">
        <v>26</v>
      </c>
      <c r="D14545" t="s">
        <v>17</v>
      </c>
      <c r="E14545" t="s">
        <v>20</v>
      </c>
      <c r="F14545">
        <v>89927318</v>
      </c>
      <c r="G14545">
        <v>89927318</v>
      </c>
      <c r="H14545">
        <v>89927318</v>
      </c>
      <c r="I14545">
        <v>89927318</v>
      </c>
    </row>
    <row r="14546" spans="1:9" x14ac:dyDescent="0.2">
      <c r="A14546" t="str">
        <f>"Olfr1258"</f>
        <v>Olfr1258</v>
      </c>
      <c r="B14546" t="s">
        <v>4639</v>
      </c>
      <c r="C14546" t="s">
        <v>26</v>
      </c>
      <c r="D14546" t="s">
        <v>17</v>
      </c>
      <c r="E14546" t="s">
        <v>20</v>
      </c>
      <c r="F14546">
        <v>89929810</v>
      </c>
      <c r="G14546">
        <v>89929810</v>
      </c>
      <c r="H14546">
        <v>89929810</v>
      </c>
      <c r="I14546">
        <v>89929810</v>
      </c>
    </row>
    <row r="14547" spans="1:9" x14ac:dyDescent="0.2">
      <c r="A14547" t="str">
        <f>"Olfr1259"</f>
        <v>Olfr1259</v>
      </c>
      <c r="B14547" t="s">
        <v>4640</v>
      </c>
      <c r="C14547" t="s">
        <v>26</v>
      </c>
      <c r="D14547" t="s">
        <v>11</v>
      </c>
      <c r="E14547" t="s">
        <v>20</v>
      </c>
      <c r="F14547">
        <v>89944112</v>
      </c>
      <c r="G14547">
        <v>89944112</v>
      </c>
      <c r="H14547">
        <v>89944112</v>
      </c>
      <c r="I14547">
        <v>89944112</v>
      </c>
    </row>
    <row r="14548" spans="1:9" x14ac:dyDescent="0.2">
      <c r="A14548" t="str">
        <f>"Olfr126"</f>
        <v>Olfr126</v>
      </c>
      <c r="B14548" t="s">
        <v>4641</v>
      </c>
      <c r="C14548" t="s">
        <v>28</v>
      </c>
      <c r="D14548" t="s">
        <v>17</v>
      </c>
      <c r="E14548" t="s">
        <v>20</v>
      </c>
      <c r="F14548">
        <v>37850593</v>
      </c>
      <c r="G14548">
        <v>37850593</v>
      </c>
      <c r="H14548">
        <v>37850593</v>
      </c>
      <c r="I14548">
        <v>37850593</v>
      </c>
    </row>
    <row r="14549" spans="1:9" x14ac:dyDescent="0.2">
      <c r="A14549" t="str">
        <f>"Olfr1260"</f>
        <v>Olfr1260</v>
      </c>
      <c r="B14549" t="s">
        <v>4642</v>
      </c>
      <c r="C14549" t="s">
        <v>26</v>
      </c>
      <c r="D14549" t="s">
        <v>17</v>
      </c>
      <c r="E14549" t="s">
        <v>20</v>
      </c>
      <c r="F14549">
        <v>89977779</v>
      </c>
      <c r="G14549">
        <v>89977779</v>
      </c>
      <c r="H14549">
        <v>89977779</v>
      </c>
      <c r="I14549">
        <v>89977779</v>
      </c>
    </row>
    <row r="14550" spans="1:9" x14ac:dyDescent="0.2">
      <c r="A14550" t="str">
        <f>"Olfr1260"</f>
        <v>Olfr1260</v>
      </c>
      <c r="B14550" t="s">
        <v>4643</v>
      </c>
      <c r="C14550" t="s">
        <v>26</v>
      </c>
      <c r="D14550" t="s">
        <v>17</v>
      </c>
      <c r="E14550" t="s">
        <v>20</v>
      </c>
      <c r="F14550">
        <v>89974708</v>
      </c>
      <c r="G14550">
        <v>89974708</v>
      </c>
      <c r="H14550">
        <v>89974708</v>
      </c>
      <c r="I14550">
        <v>89974708</v>
      </c>
    </row>
    <row r="14551" spans="1:9" x14ac:dyDescent="0.2">
      <c r="A14551" t="str">
        <f>"Olfr1261"</f>
        <v>Olfr1261</v>
      </c>
      <c r="B14551" t="s">
        <v>4644</v>
      </c>
      <c r="C14551" t="s">
        <v>26</v>
      </c>
      <c r="D14551" t="s">
        <v>17</v>
      </c>
      <c r="E14551" t="s">
        <v>20</v>
      </c>
      <c r="F14551">
        <v>89993394</v>
      </c>
      <c r="G14551">
        <v>89993394</v>
      </c>
      <c r="H14551">
        <v>89993394</v>
      </c>
      <c r="I14551">
        <v>89993394</v>
      </c>
    </row>
    <row r="14552" spans="1:9" x14ac:dyDescent="0.2">
      <c r="A14552" t="str">
        <f>"Olfr1261"</f>
        <v>Olfr1261</v>
      </c>
      <c r="B14552" t="s">
        <v>4645</v>
      </c>
      <c r="C14552" t="s">
        <v>26</v>
      </c>
      <c r="D14552" t="s">
        <v>17</v>
      </c>
      <c r="E14552" t="s">
        <v>20</v>
      </c>
      <c r="F14552">
        <v>89991237</v>
      </c>
      <c r="G14552">
        <v>89991237</v>
      </c>
      <c r="H14552">
        <v>89991237</v>
      </c>
      <c r="I14552">
        <v>89991237</v>
      </c>
    </row>
    <row r="14553" spans="1:9" x14ac:dyDescent="0.2">
      <c r="A14553" t="str">
        <f>"Olfr1262"</f>
        <v>Olfr1262</v>
      </c>
      <c r="B14553" t="s">
        <v>4646</v>
      </c>
      <c r="C14553" t="s">
        <v>26</v>
      </c>
      <c r="D14553" t="s">
        <v>17</v>
      </c>
      <c r="E14553" t="s">
        <v>20</v>
      </c>
      <c r="F14553">
        <v>90002407</v>
      </c>
      <c r="G14553">
        <v>90002407</v>
      </c>
      <c r="H14553">
        <v>90002407</v>
      </c>
      <c r="I14553">
        <v>90002407</v>
      </c>
    </row>
    <row r="14554" spans="1:9" x14ac:dyDescent="0.2">
      <c r="A14554" t="str">
        <f>"Olfr1262"</f>
        <v>Olfr1262</v>
      </c>
      <c r="B14554" t="s">
        <v>4647</v>
      </c>
      <c r="C14554" t="s">
        <v>26</v>
      </c>
      <c r="D14554" t="s">
        <v>17</v>
      </c>
      <c r="E14554" t="s">
        <v>20</v>
      </c>
      <c r="F14554">
        <v>90000144</v>
      </c>
      <c r="G14554">
        <v>90000144</v>
      </c>
      <c r="H14554">
        <v>90000144</v>
      </c>
      <c r="I14554">
        <v>90000144</v>
      </c>
    </row>
    <row r="14555" spans="1:9" x14ac:dyDescent="0.2">
      <c r="A14555" t="str">
        <f>"Olfr1263"</f>
        <v>Olfr1263</v>
      </c>
      <c r="B14555" t="s">
        <v>4648</v>
      </c>
      <c r="C14555" t="s">
        <v>26</v>
      </c>
      <c r="D14555" t="s">
        <v>17</v>
      </c>
      <c r="E14555" t="s">
        <v>20</v>
      </c>
      <c r="F14555">
        <v>90014890</v>
      </c>
      <c r="G14555">
        <v>90014890</v>
      </c>
      <c r="H14555">
        <v>90014890</v>
      </c>
      <c r="I14555">
        <v>90014890</v>
      </c>
    </row>
    <row r="14556" spans="1:9" x14ac:dyDescent="0.2">
      <c r="A14556" t="str">
        <f>"Olfr1264"</f>
        <v>Olfr1264</v>
      </c>
      <c r="B14556" t="s">
        <v>4649</v>
      </c>
      <c r="C14556" t="s">
        <v>26</v>
      </c>
      <c r="D14556" t="s">
        <v>11</v>
      </c>
      <c r="E14556" t="s">
        <v>20</v>
      </c>
      <c r="F14556">
        <v>90022063</v>
      </c>
      <c r="G14556">
        <v>90022063</v>
      </c>
      <c r="H14556">
        <v>90022063</v>
      </c>
      <c r="I14556">
        <v>90022063</v>
      </c>
    </row>
    <row r="14557" spans="1:9" x14ac:dyDescent="0.2">
      <c r="A14557" t="str">
        <f>"Olfr1265"</f>
        <v>Olfr1265</v>
      </c>
      <c r="B14557" t="s">
        <v>4650</v>
      </c>
      <c r="C14557" t="s">
        <v>26</v>
      </c>
      <c r="D14557" t="s">
        <v>17</v>
      </c>
      <c r="E14557" t="s">
        <v>20</v>
      </c>
      <c r="F14557">
        <v>90036920</v>
      </c>
      <c r="G14557">
        <v>90036920</v>
      </c>
      <c r="H14557">
        <v>90036920</v>
      </c>
      <c r="I14557">
        <v>90036920</v>
      </c>
    </row>
    <row r="14558" spans="1:9" x14ac:dyDescent="0.2">
      <c r="A14558" t="str">
        <f>"Olfr1269"</f>
        <v>Olfr1269</v>
      </c>
      <c r="B14558" t="s">
        <v>4651</v>
      </c>
      <c r="C14558" t="s">
        <v>26</v>
      </c>
      <c r="D14558" t="s">
        <v>11</v>
      </c>
      <c r="E14558" t="s">
        <v>20</v>
      </c>
      <c r="F14558">
        <v>90119616</v>
      </c>
      <c r="G14558">
        <v>90119616</v>
      </c>
      <c r="H14558">
        <v>90119616</v>
      </c>
      <c r="I14558">
        <v>90119616</v>
      </c>
    </row>
    <row r="14559" spans="1:9" x14ac:dyDescent="0.2">
      <c r="A14559" t="str">
        <f>"Olfr127"</f>
        <v>Olfr127</v>
      </c>
      <c r="B14559" t="s">
        <v>4652</v>
      </c>
      <c r="C14559" t="s">
        <v>28</v>
      </c>
      <c r="D14559" t="s">
        <v>17</v>
      </c>
      <c r="E14559" t="s">
        <v>20</v>
      </c>
      <c r="F14559">
        <v>37903521</v>
      </c>
      <c r="G14559">
        <v>37903521</v>
      </c>
      <c r="H14559">
        <v>37903521</v>
      </c>
      <c r="I14559">
        <v>37903521</v>
      </c>
    </row>
    <row r="14560" spans="1:9" x14ac:dyDescent="0.2">
      <c r="A14560" t="str">
        <f>"Olfr1270"</f>
        <v>Olfr1270</v>
      </c>
      <c r="B14560" t="s">
        <v>4653</v>
      </c>
      <c r="C14560" t="s">
        <v>26</v>
      </c>
      <c r="D14560" t="s">
        <v>11</v>
      </c>
      <c r="E14560" t="s">
        <v>20</v>
      </c>
      <c r="F14560">
        <v>90150035</v>
      </c>
      <c r="G14560">
        <v>90150035</v>
      </c>
      <c r="H14560">
        <v>90150035</v>
      </c>
      <c r="I14560">
        <v>90150035</v>
      </c>
    </row>
    <row r="14561" spans="1:9" x14ac:dyDescent="0.2">
      <c r="A14561" t="str">
        <f>"Olfr1271"</f>
        <v>Olfr1271</v>
      </c>
      <c r="B14561" t="s">
        <v>4654</v>
      </c>
      <c r="C14561" t="s">
        <v>26</v>
      </c>
      <c r="D14561" t="s">
        <v>11</v>
      </c>
      <c r="E14561" t="s">
        <v>20</v>
      </c>
      <c r="F14561">
        <v>90266427</v>
      </c>
      <c r="G14561">
        <v>90266427</v>
      </c>
      <c r="H14561">
        <v>90266427</v>
      </c>
      <c r="I14561">
        <v>90266427</v>
      </c>
    </row>
    <row r="14562" spans="1:9" x14ac:dyDescent="0.2">
      <c r="A14562" t="str">
        <f>"Olfr1272"</f>
        <v>Olfr1272</v>
      </c>
      <c r="B14562" t="s">
        <v>4655</v>
      </c>
      <c r="C14562" t="s">
        <v>26</v>
      </c>
      <c r="D14562" t="s">
        <v>11</v>
      </c>
      <c r="E14562" t="s">
        <v>20</v>
      </c>
      <c r="F14562">
        <v>90282572</v>
      </c>
      <c r="G14562">
        <v>90282572</v>
      </c>
      <c r="H14562">
        <v>90282572</v>
      </c>
      <c r="I14562">
        <v>90282572</v>
      </c>
    </row>
    <row r="14563" spans="1:9" x14ac:dyDescent="0.2">
      <c r="A14563" t="str">
        <f>"Olfr1275"</f>
        <v>Olfr1275</v>
      </c>
      <c r="B14563" t="s">
        <v>4656</v>
      </c>
      <c r="C14563" t="s">
        <v>26</v>
      </c>
      <c r="D14563" t="s">
        <v>11</v>
      </c>
      <c r="E14563" t="s">
        <v>20</v>
      </c>
      <c r="F14563">
        <v>111231836</v>
      </c>
      <c r="G14563">
        <v>111231836</v>
      </c>
      <c r="H14563">
        <v>111231836</v>
      </c>
      <c r="I14563">
        <v>111231836</v>
      </c>
    </row>
    <row r="14564" spans="1:9" x14ac:dyDescent="0.2">
      <c r="A14564" t="str">
        <f>"Olfr1276"</f>
        <v>Olfr1276</v>
      </c>
      <c r="B14564" t="s">
        <v>4657</v>
      </c>
      <c r="C14564" t="s">
        <v>26</v>
      </c>
      <c r="D14564" t="s">
        <v>17</v>
      </c>
      <c r="E14564" t="s">
        <v>20</v>
      </c>
      <c r="F14564">
        <v>111257116</v>
      </c>
      <c r="G14564">
        <v>111257116</v>
      </c>
      <c r="H14564">
        <v>111257116</v>
      </c>
      <c r="I14564">
        <v>111257116</v>
      </c>
    </row>
    <row r="14565" spans="1:9" x14ac:dyDescent="0.2">
      <c r="A14565" t="str">
        <f>"Olfr1277"</f>
        <v>Olfr1277</v>
      </c>
      <c r="B14565" t="s">
        <v>4658</v>
      </c>
      <c r="C14565" t="s">
        <v>26</v>
      </c>
      <c r="D14565" t="s">
        <v>11</v>
      </c>
      <c r="E14565" t="s">
        <v>20</v>
      </c>
      <c r="F14565">
        <v>111270387</v>
      </c>
      <c r="G14565">
        <v>111270387</v>
      </c>
      <c r="H14565">
        <v>111270387</v>
      </c>
      <c r="I14565">
        <v>111270387</v>
      </c>
    </row>
    <row r="14566" spans="1:9" x14ac:dyDescent="0.2">
      <c r="A14566" t="str">
        <f>"Olfr1278"</f>
        <v>Olfr1278</v>
      </c>
      <c r="B14566" t="s">
        <v>4659</v>
      </c>
      <c r="C14566" t="s">
        <v>26</v>
      </c>
      <c r="D14566" t="s">
        <v>17</v>
      </c>
      <c r="E14566" t="s">
        <v>20</v>
      </c>
      <c r="F14566">
        <v>111292269</v>
      </c>
      <c r="G14566">
        <v>111292269</v>
      </c>
      <c r="H14566">
        <v>111292269</v>
      </c>
      <c r="I14566">
        <v>111292269</v>
      </c>
    </row>
    <row r="14567" spans="1:9" x14ac:dyDescent="0.2">
      <c r="A14567" t="str">
        <f>"Olfr1279"</f>
        <v>Olfr1279</v>
      </c>
      <c r="B14567" t="s">
        <v>4660</v>
      </c>
      <c r="C14567" t="s">
        <v>26</v>
      </c>
      <c r="D14567" t="s">
        <v>17</v>
      </c>
      <c r="E14567" t="s">
        <v>20</v>
      </c>
      <c r="F14567">
        <v>111306200</v>
      </c>
      <c r="G14567">
        <v>111306200</v>
      </c>
      <c r="H14567">
        <v>111306200</v>
      </c>
      <c r="I14567">
        <v>111306200</v>
      </c>
    </row>
    <row r="14568" spans="1:9" x14ac:dyDescent="0.2">
      <c r="A14568" t="str">
        <f>"Olfr128"</f>
        <v>Olfr128</v>
      </c>
      <c r="B14568" t="s">
        <v>4661</v>
      </c>
      <c r="C14568" t="s">
        <v>28</v>
      </c>
      <c r="D14568" t="s">
        <v>17</v>
      </c>
      <c r="E14568" t="s">
        <v>20</v>
      </c>
      <c r="F14568">
        <v>37923537</v>
      </c>
      <c r="G14568">
        <v>37923537</v>
      </c>
      <c r="H14568">
        <v>37923537</v>
      </c>
      <c r="I14568">
        <v>37923537</v>
      </c>
    </row>
    <row r="14569" spans="1:9" x14ac:dyDescent="0.2">
      <c r="A14569" t="str">
        <f>"Olfr1280"</f>
        <v>Olfr1280</v>
      </c>
      <c r="B14569" t="s">
        <v>4662</v>
      </c>
      <c r="C14569" t="s">
        <v>26</v>
      </c>
      <c r="D14569" t="s">
        <v>17</v>
      </c>
      <c r="E14569" t="s">
        <v>20</v>
      </c>
      <c r="F14569">
        <v>111315437</v>
      </c>
      <c r="G14569">
        <v>111315437</v>
      </c>
      <c r="H14569">
        <v>111315437</v>
      </c>
      <c r="I14569">
        <v>111315437</v>
      </c>
    </row>
    <row r="14570" spans="1:9" x14ac:dyDescent="0.2">
      <c r="A14570" t="str">
        <f>"Olfr1281"</f>
        <v>Olfr1281</v>
      </c>
      <c r="B14570" t="s">
        <v>4663</v>
      </c>
      <c r="C14570" t="s">
        <v>26</v>
      </c>
      <c r="D14570" t="s">
        <v>17</v>
      </c>
      <c r="E14570" t="s">
        <v>20</v>
      </c>
      <c r="F14570">
        <v>111328420</v>
      </c>
      <c r="G14570">
        <v>111328420</v>
      </c>
      <c r="H14570">
        <v>111328420</v>
      </c>
      <c r="I14570">
        <v>111328420</v>
      </c>
    </row>
    <row r="14571" spans="1:9" x14ac:dyDescent="0.2">
      <c r="A14571" t="str">
        <f>"Olfr1282"</f>
        <v>Olfr1282</v>
      </c>
      <c r="B14571" t="s">
        <v>4664</v>
      </c>
      <c r="C14571" t="s">
        <v>26</v>
      </c>
      <c r="D14571" t="s">
        <v>11</v>
      </c>
      <c r="E14571" t="s">
        <v>20</v>
      </c>
      <c r="F14571">
        <v>111336075</v>
      </c>
      <c r="G14571">
        <v>111336075</v>
      </c>
      <c r="H14571">
        <v>111336075</v>
      </c>
      <c r="I14571">
        <v>111336075</v>
      </c>
    </row>
    <row r="14572" spans="1:9" x14ac:dyDescent="0.2">
      <c r="A14572" t="str">
        <f>"Olfr1283"</f>
        <v>Olfr1283</v>
      </c>
      <c r="B14572" t="s">
        <v>4665</v>
      </c>
      <c r="C14572" t="s">
        <v>26</v>
      </c>
      <c r="D14572" t="s">
        <v>17</v>
      </c>
      <c r="E14572" t="s">
        <v>20</v>
      </c>
      <c r="F14572">
        <v>111368590</v>
      </c>
      <c r="G14572">
        <v>111368590</v>
      </c>
      <c r="H14572">
        <v>111368590</v>
      </c>
      <c r="I14572">
        <v>111368590</v>
      </c>
    </row>
    <row r="14573" spans="1:9" x14ac:dyDescent="0.2">
      <c r="A14573" t="str">
        <f>"Olfr1284"</f>
        <v>Olfr1284</v>
      </c>
      <c r="B14573" t="s">
        <v>4666</v>
      </c>
      <c r="C14573" t="s">
        <v>26</v>
      </c>
      <c r="D14573" t="s">
        <v>17</v>
      </c>
      <c r="E14573" t="s">
        <v>20</v>
      </c>
      <c r="F14573">
        <v>111378966</v>
      </c>
      <c r="G14573">
        <v>111378966</v>
      </c>
      <c r="H14573">
        <v>111378966</v>
      </c>
      <c r="I14573">
        <v>111378966</v>
      </c>
    </row>
    <row r="14574" spans="1:9" x14ac:dyDescent="0.2">
      <c r="A14574" t="str">
        <f>"Olfr1286"</f>
        <v>Olfr1286</v>
      </c>
      <c r="B14574" t="s">
        <v>4667</v>
      </c>
      <c r="C14574" t="s">
        <v>26</v>
      </c>
      <c r="D14574" t="s">
        <v>11</v>
      </c>
      <c r="E14574" t="s">
        <v>20</v>
      </c>
      <c r="F14574">
        <v>111420948</v>
      </c>
      <c r="G14574">
        <v>111420948</v>
      </c>
      <c r="H14574">
        <v>111420948</v>
      </c>
      <c r="I14574">
        <v>111420948</v>
      </c>
    </row>
    <row r="14575" spans="1:9" x14ac:dyDescent="0.2">
      <c r="A14575" t="str">
        <f>"Olfr1287"</f>
        <v>Olfr1287</v>
      </c>
      <c r="B14575" t="s">
        <v>4668</v>
      </c>
      <c r="C14575" t="s">
        <v>26</v>
      </c>
      <c r="D14575" t="s">
        <v>17</v>
      </c>
      <c r="E14575" t="s">
        <v>20</v>
      </c>
      <c r="F14575">
        <v>111449141</v>
      </c>
      <c r="G14575">
        <v>111449141</v>
      </c>
      <c r="H14575">
        <v>111449141</v>
      </c>
      <c r="I14575">
        <v>111449141</v>
      </c>
    </row>
    <row r="14576" spans="1:9" x14ac:dyDescent="0.2">
      <c r="A14576" t="str">
        <f>"Olfr1288"</f>
        <v>Olfr1288</v>
      </c>
      <c r="B14576" t="s">
        <v>4669</v>
      </c>
      <c r="C14576" t="s">
        <v>26</v>
      </c>
      <c r="D14576" t="s">
        <v>17</v>
      </c>
      <c r="E14576" t="s">
        <v>20</v>
      </c>
      <c r="F14576">
        <v>111478785</v>
      </c>
      <c r="G14576">
        <v>111478785</v>
      </c>
      <c r="H14576">
        <v>111478785</v>
      </c>
      <c r="I14576">
        <v>111478785</v>
      </c>
    </row>
    <row r="14577" spans="1:9" x14ac:dyDescent="0.2">
      <c r="A14577" t="str">
        <f>"Olfr1289"</f>
        <v>Olfr1289</v>
      </c>
      <c r="B14577" t="s">
        <v>4670</v>
      </c>
      <c r="C14577" t="s">
        <v>26</v>
      </c>
      <c r="D14577" t="s">
        <v>17</v>
      </c>
      <c r="E14577" t="s">
        <v>20</v>
      </c>
      <c r="F14577">
        <v>111483349</v>
      </c>
      <c r="G14577">
        <v>111483349</v>
      </c>
      <c r="H14577">
        <v>111483349</v>
      </c>
      <c r="I14577">
        <v>111483349</v>
      </c>
    </row>
    <row r="14578" spans="1:9" x14ac:dyDescent="0.2">
      <c r="A14578" t="str">
        <f>"Olfr129"</f>
        <v>Olfr129</v>
      </c>
      <c r="B14578" t="s">
        <v>4671</v>
      </c>
      <c r="C14578" t="s">
        <v>28</v>
      </c>
      <c r="D14578" t="s">
        <v>11</v>
      </c>
      <c r="E14578" t="s">
        <v>20</v>
      </c>
      <c r="F14578">
        <v>38055743</v>
      </c>
      <c r="G14578">
        <v>38055743</v>
      </c>
      <c r="H14578">
        <v>38055743</v>
      </c>
      <c r="I14578">
        <v>38055743</v>
      </c>
    </row>
    <row r="14579" spans="1:9" x14ac:dyDescent="0.2">
      <c r="A14579" t="str">
        <f>"Olfr1290"</f>
        <v>Olfr1290</v>
      </c>
      <c r="B14579" t="s">
        <v>4672</v>
      </c>
      <c r="C14579" t="s">
        <v>26</v>
      </c>
      <c r="D14579" t="s">
        <v>11</v>
      </c>
      <c r="E14579" t="s">
        <v>20</v>
      </c>
      <c r="F14579">
        <v>111490155</v>
      </c>
      <c r="G14579">
        <v>111490155</v>
      </c>
      <c r="H14579">
        <v>111490155</v>
      </c>
      <c r="I14579">
        <v>111490155</v>
      </c>
    </row>
    <row r="14580" spans="1:9" x14ac:dyDescent="0.2">
      <c r="A14580" t="str">
        <f>"Olfr1294"</f>
        <v>Olfr1294</v>
      </c>
      <c r="B14580" t="s">
        <v>4673</v>
      </c>
      <c r="C14580" t="s">
        <v>26</v>
      </c>
      <c r="D14580" t="s">
        <v>11</v>
      </c>
      <c r="E14580" t="s">
        <v>20</v>
      </c>
      <c r="F14580">
        <v>111538289</v>
      </c>
      <c r="G14580">
        <v>111538289</v>
      </c>
      <c r="H14580">
        <v>111538289</v>
      </c>
      <c r="I14580">
        <v>111538289</v>
      </c>
    </row>
    <row r="14581" spans="1:9" x14ac:dyDescent="0.2">
      <c r="A14581" t="str">
        <f>"Olfr1295"</f>
        <v>Olfr1295</v>
      </c>
      <c r="B14581" t="s">
        <v>4674</v>
      </c>
      <c r="C14581" t="s">
        <v>26</v>
      </c>
      <c r="D14581" t="s">
        <v>11</v>
      </c>
      <c r="E14581" t="s">
        <v>20</v>
      </c>
      <c r="F14581">
        <v>111565510</v>
      </c>
      <c r="G14581">
        <v>111565510</v>
      </c>
      <c r="H14581">
        <v>111565510</v>
      </c>
      <c r="I14581">
        <v>111565510</v>
      </c>
    </row>
    <row r="14582" spans="1:9" x14ac:dyDescent="0.2">
      <c r="A14582" t="str">
        <f>"Olfr1297"</f>
        <v>Olfr1297</v>
      </c>
      <c r="B14582" t="s">
        <v>4675</v>
      </c>
      <c r="C14582" t="s">
        <v>26</v>
      </c>
      <c r="D14582" t="s">
        <v>11</v>
      </c>
      <c r="E14582" t="s">
        <v>20</v>
      </c>
      <c r="F14582">
        <v>111622071</v>
      </c>
      <c r="G14582">
        <v>111622071</v>
      </c>
      <c r="H14582">
        <v>111622071</v>
      </c>
      <c r="I14582">
        <v>111622071</v>
      </c>
    </row>
    <row r="14583" spans="1:9" x14ac:dyDescent="0.2">
      <c r="A14583" t="str">
        <f>"Olfr1298"</f>
        <v>Olfr1298</v>
      </c>
      <c r="B14583" t="s">
        <v>4676</v>
      </c>
      <c r="C14583" t="s">
        <v>26</v>
      </c>
      <c r="D14583" t="s">
        <v>11</v>
      </c>
      <c r="E14583" t="s">
        <v>20</v>
      </c>
      <c r="F14583">
        <v>111645994</v>
      </c>
      <c r="G14583">
        <v>111645994</v>
      </c>
      <c r="H14583">
        <v>111645994</v>
      </c>
      <c r="I14583">
        <v>111645994</v>
      </c>
    </row>
    <row r="14584" spans="1:9" x14ac:dyDescent="0.2">
      <c r="A14584" t="str">
        <f>"Olfr1299"</f>
        <v>Olfr1299</v>
      </c>
      <c r="B14584" t="s">
        <v>4677</v>
      </c>
      <c r="C14584" t="s">
        <v>26</v>
      </c>
      <c r="D14584" t="s">
        <v>17</v>
      </c>
      <c r="E14584" t="s">
        <v>20</v>
      </c>
      <c r="F14584">
        <v>111664227</v>
      </c>
      <c r="G14584">
        <v>111664227</v>
      </c>
      <c r="H14584">
        <v>111664227</v>
      </c>
      <c r="I14584">
        <v>111664227</v>
      </c>
    </row>
    <row r="14585" spans="1:9" x14ac:dyDescent="0.2">
      <c r="A14585" t="str">
        <f>"Olfr1299"</f>
        <v>Olfr1299</v>
      </c>
      <c r="B14585" t="s">
        <v>4678</v>
      </c>
      <c r="C14585" t="s">
        <v>26</v>
      </c>
      <c r="D14585" t="s">
        <v>17</v>
      </c>
      <c r="E14585" t="s">
        <v>20</v>
      </c>
      <c r="F14585">
        <v>111661452</v>
      </c>
      <c r="G14585">
        <v>111661452</v>
      </c>
      <c r="H14585">
        <v>111661452</v>
      </c>
      <c r="I14585">
        <v>111661452</v>
      </c>
    </row>
    <row r="14586" spans="1:9" x14ac:dyDescent="0.2">
      <c r="A14586" t="str">
        <f>"Olfr13"</f>
        <v>Olfr13</v>
      </c>
      <c r="B14586" t="s">
        <v>4679</v>
      </c>
      <c r="C14586" t="s">
        <v>32</v>
      </c>
      <c r="D14586" t="s">
        <v>17</v>
      </c>
      <c r="E14586" t="s">
        <v>20</v>
      </c>
      <c r="F14586">
        <v>43173951</v>
      </c>
      <c r="G14586">
        <v>43173951</v>
      </c>
      <c r="H14586">
        <v>43173951</v>
      </c>
      <c r="I14586">
        <v>43173951</v>
      </c>
    </row>
    <row r="14587" spans="1:9" x14ac:dyDescent="0.2">
      <c r="A14587" t="str">
        <f>"Olfr130"</f>
        <v>Olfr130</v>
      </c>
      <c r="B14587" t="s">
        <v>4680</v>
      </c>
      <c r="C14587" t="s">
        <v>28</v>
      </c>
      <c r="D14587" t="s">
        <v>17</v>
      </c>
      <c r="E14587" t="s">
        <v>20</v>
      </c>
      <c r="F14587">
        <v>38067172</v>
      </c>
      <c r="G14587">
        <v>38067172</v>
      </c>
      <c r="H14587">
        <v>38067172</v>
      </c>
      <c r="I14587">
        <v>38067172</v>
      </c>
    </row>
    <row r="14588" spans="1:9" x14ac:dyDescent="0.2">
      <c r="A14588" t="str">
        <f>"Olfr1301"</f>
        <v>Olfr1301</v>
      </c>
      <c r="B14588" t="s">
        <v>4681</v>
      </c>
      <c r="C14588" t="s">
        <v>26</v>
      </c>
      <c r="D14588" t="s">
        <v>17</v>
      </c>
      <c r="E14588" t="s">
        <v>20</v>
      </c>
      <c r="F14588">
        <v>111754250</v>
      </c>
      <c r="G14588">
        <v>111754250</v>
      </c>
      <c r="H14588">
        <v>111754250</v>
      </c>
      <c r="I14588">
        <v>111754250</v>
      </c>
    </row>
    <row r="14589" spans="1:9" x14ac:dyDescent="0.2">
      <c r="A14589" t="str">
        <f>"Olfr1302"</f>
        <v>Olfr1302</v>
      </c>
      <c r="B14589" t="s">
        <v>4682</v>
      </c>
      <c r="C14589" t="s">
        <v>26</v>
      </c>
      <c r="D14589" t="s">
        <v>17</v>
      </c>
      <c r="E14589" t="s">
        <v>20</v>
      </c>
      <c r="F14589">
        <v>111780312</v>
      </c>
      <c r="G14589">
        <v>111780312</v>
      </c>
      <c r="H14589">
        <v>111780312</v>
      </c>
      <c r="I14589">
        <v>111780312</v>
      </c>
    </row>
    <row r="14590" spans="1:9" x14ac:dyDescent="0.2">
      <c r="A14590" t="str">
        <f>"Olfr1303"</f>
        <v>Olfr1303</v>
      </c>
      <c r="B14590" t="s">
        <v>4683</v>
      </c>
      <c r="C14590" t="s">
        <v>26</v>
      </c>
      <c r="D14590" t="s">
        <v>11</v>
      </c>
      <c r="E14590" t="s">
        <v>20</v>
      </c>
      <c r="F14590">
        <v>111814723</v>
      </c>
      <c r="G14590">
        <v>111814723</v>
      </c>
      <c r="H14590">
        <v>111814723</v>
      </c>
      <c r="I14590">
        <v>111814723</v>
      </c>
    </row>
    <row r="14591" spans="1:9" x14ac:dyDescent="0.2">
      <c r="A14591" t="str">
        <f>"Olfr1305"</f>
        <v>Olfr1305</v>
      </c>
      <c r="B14591" t="s">
        <v>4684</v>
      </c>
      <c r="C14591" t="s">
        <v>26</v>
      </c>
      <c r="D14591" t="s">
        <v>11</v>
      </c>
      <c r="E14591" t="s">
        <v>20</v>
      </c>
      <c r="F14591">
        <v>111873852</v>
      </c>
      <c r="G14591">
        <v>111873852</v>
      </c>
      <c r="H14591">
        <v>111873852</v>
      </c>
      <c r="I14591">
        <v>111873852</v>
      </c>
    </row>
    <row r="14592" spans="1:9" x14ac:dyDescent="0.2">
      <c r="A14592" t="str">
        <f>"Olfr1306"</f>
        <v>Olfr1306</v>
      </c>
      <c r="B14592" t="s">
        <v>4685</v>
      </c>
      <c r="C14592" t="s">
        <v>26</v>
      </c>
      <c r="D14592" t="s">
        <v>11</v>
      </c>
      <c r="E14592" t="s">
        <v>20</v>
      </c>
      <c r="F14592">
        <v>111912927</v>
      </c>
      <c r="G14592">
        <v>111912927</v>
      </c>
      <c r="H14592">
        <v>111912927</v>
      </c>
      <c r="I14592">
        <v>111912927</v>
      </c>
    </row>
    <row r="14593" spans="1:9" x14ac:dyDescent="0.2">
      <c r="A14593" t="str">
        <f>"Olfr1307"</f>
        <v>Olfr1307</v>
      </c>
      <c r="B14593" t="s">
        <v>4686</v>
      </c>
      <c r="C14593" t="s">
        <v>26</v>
      </c>
      <c r="D14593" t="s">
        <v>11</v>
      </c>
      <c r="E14593" t="s">
        <v>20</v>
      </c>
      <c r="F14593">
        <v>111945453</v>
      </c>
      <c r="G14593">
        <v>111945453</v>
      </c>
      <c r="H14593">
        <v>111945453</v>
      </c>
      <c r="I14593">
        <v>111945453</v>
      </c>
    </row>
    <row r="14594" spans="1:9" x14ac:dyDescent="0.2">
      <c r="A14594" t="str">
        <f>"Olfr1308"</f>
        <v>Olfr1308</v>
      </c>
      <c r="B14594" t="s">
        <v>4687</v>
      </c>
      <c r="C14594" t="s">
        <v>26</v>
      </c>
      <c r="D14594" t="s">
        <v>11</v>
      </c>
      <c r="E14594" t="s">
        <v>20</v>
      </c>
      <c r="F14594">
        <v>111961070</v>
      </c>
      <c r="G14594">
        <v>111961070</v>
      </c>
      <c r="H14594">
        <v>111961070</v>
      </c>
      <c r="I14594">
        <v>111961070</v>
      </c>
    </row>
    <row r="14595" spans="1:9" x14ac:dyDescent="0.2">
      <c r="A14595" t="str">
        <f>"Olfr1309"</f>
        <v>Olfr1309</v>
      </c>
      <c r="B14595" t="s">
        <v>4688</v>
      </c>
      <c r="C14595" t="s">
        <v>26</v>
      </c>
      <c r="D14595" t="s">
        <v>11</v>
      </c>
      <c r="E14595" t="s">
        <v>20</v>
      </c>
      <c r="F14595">
        <v>111984096</v>
      </c>
      <c r="G14595">
        <v>111984096</v>
      </c>
      <c r="H14595">
        <v>111984096</v>
      </c>
      <c r="I14595">
        <v>111984096</v>
      </c>
    </row>
    <row r="14596" spans="1:9" x14ac:dyDescent="0.2">
      <c r="A14596" t="str">
        <f>"Olfr131"</f>
        <v>Olfr131</v>
      </c>
      <c r="B14596" t="s">
        <v>4689</v>
      </c>
      <c r="C14596" t="s">
        <v>28</v>
      </c>
      <c r="D14596" t="s">
        <v>11</v>
      </c>
      <c r="E14596" t="s">
        <v>20</v>
      </c>
      <c r="F14596">
        <v>38082998</v>
      </c>
      <c r="G14596">
        <v>38082998</v>
      </c>
      <c r="H14596">
        <v>38082998</v>
      </c>
      <c r="I14596">
        <v>38082998</v>
      </c>
    </row>
    <row r="14597" spans="1:9" x14ac:dyDescent="0.2">
      <c r="A14597" t="str">
        <f>"Olfr131"</f>
        <v>Olfr131</v>
      </c>
      <c r="B14597" t="s">
        <v>4690</v>
      </c>
      <c r="C14597" t="s">
        <v>28</v>
      </c>
      <c r="D14597" t="s">
        <v>11</v>
      </c>
      <c r="E14597" t="s">
        <v>20</v>
      </c>
      <c r="F14597">
        <v>38088692</v>
      </c>
      <c r="G14597">
        <v>38088692</v>
      </c>
      <c r="H14597">
        <v>38088692</v>
      </c>
      <c r="I14597">
        <v>38088692</v>
      </c>
    </row>
    <row r="14598" spans="1:9" x14ac:dyDescent="0.2">
      <c r="A14598" t="str">
        <f>"Olfr1310"</f>
        <v>Olfr1310</v>
      </c>
      <c r="B14598" t="s">
        <v>4691</v>
      </c>
      <c r="C14598" t="s">
        <v>26</v>
      </c>
      <c r="D14598" t="s">
        <v>11</v>
      </c>
      <c r="E14598" t="s">
        <v>20</v>
      </c>
      <c r="F14598">
        <v>112009209</v>
      </c>
      <c r="G14598">
        <v>112009209</v>
      </c>
      <c r="H14598">
        <v>112009209</v>
      </c>
      <c r="I14598">
        <v>112009209</v>
      </c>
    </row>
    <row r="14599" spans="1:9" x14ac:dyDescent="0.2">
      <c r="A14599" t="str">
        <f>"Olfr1311"</f>
        <v>Olfr1311</v>
      </c>
      <c r="B14599" t="s">
        <v>4692</v>
      </c>
      <c r="C14599" t="s">
        <v>26</v>
      </c>
      <c r="D14599" t="s">
        <v>11</v>
      </c>
      <c r="E14599" t="s">
        <v>20</v>
      </c>
      <c r="F14599">
        <v>112021855</v>
      </c>
      <c r="G14599">
        <v>112021855</v>
      </c>
      <c r="H14599">
        <v>112021855</v>
      </c>
      <c r="I14599">
        <v>112021855</v>
      </c>
    </row>
    <row r="14600" spans="1:9" x14ac:dyDescent="0.2">
      <c r="A14600" t="str">
        <f>"Olfr1312"</f>
        <v>Olfr1312</v>
      </c>
      <c r="B14600" t="s">
        <v>4693</v>
      </c>
      <c r="C14600" t="s">
        <v>26</v>
      </c>
      <c r="D14600" t="s">
        <v>11</v>
      </c>
      <c r="E14600" t="s">
        <v>20</v>
      </c>
      <c r="F14600">
        <v>112043029</v>
      </c>
      <c r="G14600">
        <v>112043029</v>
      </c>
      <c r="H14600">
        <v>112043029</v>
      </c>
      <c r="I14600">
        <v>112043029</v>
      </c>
    </row>
    <row r="14601" spans="1:9" x14ac:dyDescent="0.2">
      <c r="A14601" t="str">
        <f>"Olfr1313"</f>
        <v>Olfr1313</v>
      </c>
      <c r="B14601" t="s">
        <v>4694</v>
      </c>
      <c r="C14601" t="s">
        <v>26</v>
      </c>
      <c r="D14601" t="s">
        <v>11</v>
      </c>
      <c r="E14601" t="s">
        <v>20</v>
      </c>
      <c r="F14601">
        <v>112072582</v>
      </c>
      <c r="G14601">
        <v>112072582</v>
      </c>
      <c r="H14601">
        <v>112072582</v>
      </c>
      <c r="I14601">
        <v>112072582</v>
      </c>
    </row>
    <row r="14602" spans="1:9" x14ac:dyDescent="0.2">
      <c r="A14602" t="str">
        <f>"Olfr1314"</f>
        <v>Olfr1314</v>
      </c>
      <c r="B14602" t="s">
        <v>4695</v>
      </c>
      <c r="C14602" t="s">
        <v>26</v>
      </c>
      <c r="D14602" t="s">
        <v>11</v>
      </c>
      <c r="E14602" t="s">
        <v>20</v>
      </c>
      <c r="F14602">
        <v>112092698</v>
      </c>
      <c r="G14602">
        <v>112092698</v>
      </c>
      <c r="H14602">
        <v>112092698</v>
      </c>
      <c r="I14602">
        <v>112092698</v>
      </c>
    </row>
    <row r="14603" spans="1:9" x14ac:dyDescent="0.2">
      <c r="A14603" t="str">
        <f>"Olfr1316"</f>
        <v>Olfr1316</v>
      </c>
      <c r="B14603" t="s">
        <v>4696</v>
      </c>
      <c r="C14603" t="s">
        <v>26</v>
      </c>
      <c r="D14603" t="s">
        <v>11</v>
      </c>
      <c r="E14603" t="s">
        <v>20</v>
      </c>
      <c r="F14603">
        <v>112130814</v>
      </c>
      <c r="G14603">
        <v>112130814</v>
      </c>
      <c r="H14603">
        <v>112130814</v>
      </c>
      <c r="I14603">
        <v>112130814</v>
      </c>
    </row>
    <row r="14604" spans="1:9" x14ac:dyDescent="0.2">
      <c r="A14604" t="str">
        <f>"Olfr1317"</f>
        <v>Olfr1317</v>
      </c>
      <c r="B14604" t="s">
        <v>4697</v>
      </c>
      <c r="C14604" t="s">
        <v>26</v>
      </c>
      <c r="D14604" t="s">
        <v>17</v>
      </c>
      <c r="E14604" t="s">
        <v>20</v>
      </c>
      <c r="F14604">
        <v>112141946</v>
      </c>
      <c r="G14604">
        <v>112141946</v>
      </c>
      <c r="H14604">
        <v>112141946</v>
      </c>
      <c r="I14604">
        <v>112141946</v>
      </c>
    </row>
    <row r="14605" spans="1:9" x14ac:dyDescent="0.2">
      <c r="A14605" t="str">
        <f>"Olfr1318"</f>
        <v>Olfr1318</v>
      </c>
      <c r="B14605" t="s">
        <v>4698</v>
      </c>
      <c r="C14605" t="s">
        <v>26</v>
      </c>
      <c r="D14605" t="s">
        <v>17</v>
      </c>
      <c r="E14605" t="s">
        <v>20</v>
      </c>
      <c r="F14605">
        <v>112155897</v>
      </c>
      <c r="G14605">
        <v>112155897</v>
      </c>
      <c r="H14605">
        <v>112155897</v>
      </c>
      <c r="I14605">
        <v>112155897</v>
      </c>
    </row>
    <row r="14606" spans="1:9" x14ac:dyDescent="0.2">
      <c r="A14606" t="str">
        <f>"Olfr132"</f>
        <v>Olfr132</v>
      </c>
      <c r="B14606" t="s">
        <v>4699</v>
      </c>
      <c r="C14606" t="s">
        <v>28</v>
      </c>
      <c r="D14606" t="s">
        <v>11</v>
      </c>
      <c r="E14606" t="s">
        <v>20</v>
      </c>
      <c r="F14606">
        <v>38131189</v>
      </c>
      <c r="G14606">
        <v>38131189</v>
      </c>
      <c r="H14606">
        <v>38131189</v>
      </c>
      <c r="I14606">
        <v>38131189</v>
      </c>
    </row>
    <row r="14607" spans="1:9" x14ac:dyDescent="0.2">
      <c r="A14607" t="str">
        <f>"Olfr1320"</f>
        <v>Olfr1320</v>
      </c>
      <c r="B14607" t="s">
        <v>4700</v>
      </c>
      <c r="C14607" t="s">
        <v>37</v>
      </c>
      <c r="D14607" t="s">
        <v>17</v>
      </c>
      <c r="E14607" t="s">
        <v>20</v>
      </c>
      <c r="F14607">
        <v>49683503</v>
      </c>
      <c r="G14607">
        <v>49683503</v>
      </c>
      <c r="H14607">
        <v>49683503</v>
      </c>
      <c r="I14607">
        <v>49683503</v>
      </c>
    </row>
    <row r="14608" spans="1:9" x14ac:dyDescent="0.2">
      <c r="A14608" t="str">
        <f>"Olfr1321"</f>
        <v>Olfr1321</v>
      </c>
      <c r="B14608" t="s">
        <v>4701</v>
      </c>
      <c r="C14608" t="s">
        <v>37</v>
      </c>
      <c r="D14608" t="s">
        <v>11</v>
      </c>
      <c r="E14608" t="s">
        <v>20</v>
      </c>
      <c r="F14608">
        <v>49727998</v>
      </c>
      <c r="G14608">
        <v>49727998</v>
      </c>
      <c r="H14608">
        <v>49727998</v>
      </c>
      <c r="I14608">
        <v>49727998</v>
      </c>
    </row>
    <row r="14609" spans="1:9" x14ac:dyDescent="0.2">
      <c r="A14609" t="str">
        <f>"Olfr1322"</f>
        <v>Olfr1322</v>
      </c>
      <c r="B14609" t="s">
        <v>4702</v>
      </c>
      <c r="C14609" t="s">
        <v>37</v>
      </c>
      <c r="D14609" t="s">
        <v>11</v>
      </c>
      <c r="E14609" t="s">
        <v>20</v>
      </c>
      <c r="F14609">
        <v>49886400</v>
      </c>
      <c r="G14609">
        <v>49886400</v>
      </c>
      <c r="H14609">
        <v>49886400</v>
      </c>
      <c r="I14609">
        <v>49886400</v>
      </c>
    </row>
    <row r="14610" spans="1:9" x14ac:dyDescent="0.2">
      <c r="A14610" t="str">
        <f>"Olfr1323"</f>
        <v>Olfr1323</v>
      </c>
      <c r="B14610" t="s">
        <v>4703</v>
      </c>
      <c r="C14610" t="s">
        <v>37</v>
      </c>
      <c r="D14610" t="s">
        <v>11</v>
      </c>
      <c r="E14610" t="s">
        <v>20</v>
      </c>
      <c r="F14610">
        <v>50010234</v>
      </c>
      <c r="G14610">
        <v>50010234</v>
      </c>
      <c r="H14610">
        <v>50010234</v>
      </c>
      <c r="I14610">
        <v>50010234</v>
      </c>
    </row>
    <row r="14611" spans="1:9" x14ac:dyDescent="0.2">
      <c r="A14611" t="str">
        <f>"Olfr1324"</f>
        <v>Olfr1324</v>
      </c>
      <c r="B14611" t="s">
        <v>4704</v>
      </c>
      <c r="C14611" t="s">
        <v>37</v>
      </c>
      <c r="D14611" t="s">
        <v>11</v>
      </c>
      <c r="E14611" t="s">
        <v>20</v>
      </c>
      <c r="F14611">
        <v>50426581</v>
      </c>
      <c r="G14611">
        <v>50426581</v>
      </c>
      <c r="H14611">
        <v>50426581</v>
      </c>
      <c r="I14611">
        <v>50426581</v>
      </c>
    </row>
    <row r="14612" spans="1:9" x14ac:dyDescent="0.2">
      <c r="A14612" t="str">
        <f>"Olfr1325"</f>
        <v>Olfr1325</v>
      </c>
      <c r="B14612" t="s">
        <v>4705</v>
      </c>
      <c r="C14612" t="s">
        <v>37</v>
      </c>
      <c r="D14612" t="s">
        <v>17</v>
      </c>
      <c r="E14612" t="s">
        <v>20</v>
      </c>
      <c r="F14612">
        <v>74594327</v>
      </c>
      <c r="G14612">
        <v>74594327</v>
      </c>
      <c r="H14612">
        <v>74594327</v>
      </c>
      <c r="I14612">
        <v>74594327</v>
      </c>
    </row>
    <row r="14613" spans="1:9" x14ac:dyDescent="0.2">
      <c r="A14613" t="str">
        <f>"Olfr1326-ps1"</f>
        <v>Olfr1326-ps1</v>
      </c>
      <c r="B14613" t="s">
        <v>4706</v>
      </c>
      <c r="C14613" t="s">
        <v>37</v>
      </c>
      <c r="D14613" t="s">
        <v>11</v>
      </c>
      <c r="E14613" t="s">
        <v>20</v>
      </c>
      <c r="F14613">
        <v>74571573</v>
      </c>
      <c r="G14613">
        <v>74571573</v>
      </c>
      <c r="H14613">
        <v>74571573</v>
      </c>
      <c r="I14613">
        <v>74571573</v>
      </c>
    </row>
    <row r="14614" spans="1:9" x14ac:dyDescent="0.2">
      <c r="A14614" t="str">
        <f>"Olfr1328"</f>
        <v>Olfr1328</v>
      </c>
      <c r="B14614" t="s">
        <v>4707</v>
      </c>
      <c r="C14614" t="s">
        <v>23</v>
      </c>
      <c r="D14614" t="s">
        <v>11</v>
      </c>
      <c r="E14614" t="s">
        <v>20</v>
      </c>
      <c r="F14614">
        <v>118934839</v>
      </c>
      <c r="G14614">
        <v>118934839</v>
      </c>
      <c r="H14614">
        <v>118934839</v>
      </c>
      <c r="I14614">
        <v>118934839</v>
      </c>
    </row>
    <row r="14615" spans="1:9" x14ac:dyDescent="0.2">
      <c r="A14615" t="str">
        <f>"Olfr1329"</f>
        <v>Olfr1329</v>
      </c>
      <c r="B14615" t="s">
        <v>4708</v>
      </c>
      <c r="C14615" t="s">
        <v>23</v>
      </c>
      <c r="D14615" t="s">
        <v>11</v>
      </c>
      <c r="E14615" t="s">
        <v>20</v>
      </c>
      <c r="F14615">
        <v>118917464</v>
      </c>
      <c r="G14615">
        <v>118917464</v>
      </c>
      <c r="H14615">
        <v>118917464</v>
      </c>
      <c r="I14615">
        <v>118917464</v>
      </c>
    </row>
    <row r="14616" spans="1:9" x14ac:dyDescent="0.2">
      <c r="A14616" t="str">
        <f>"Olfr133"</f>
        <v>Olfr133</v>
      </c>
      <c r="B14616" t="s">
        <v>4709</v>
      </c>
      <c r="C14616" t="s">
        <v>28</v>
      </c>
      <c r="D14616" t="s">
        <v>17</v>
      </c>
      <c r="E14616" t="s">
        <v>20</v>
      </c>
      <c r="F14616">
        <v>38148500</v>
      </c>
      <c r="G14616">
        <v>38148500</v>
      </c>
      <c r="H14616">
        <v>38148500</v>
      </c>
      <c r="I14616">
        <v>38148500</v>
      </c>
    </row>
    <row r="14617" spans="1:9" x14ac:dyDescent="0.2">
      <c r="A14617" t="str">
        <f>"Olfr1330"</f>
        <v>Olfr1330</v>
      </c>
      <c r="B14617" t="s">
        <v>4710</v>
      </c>
      <c r="C14617" t="s">
        <v>23</v>
      </c>
      <c r="D14617" t="s">
        <v>17</v>
      </c>
      <c r="E14617" t="s">
        <v>20</v>
      </c>
      <c r="F14617">
        <v>118893084</v>
      </c>
      <c r="G14617">
        <v>118893084</v>
      </c>
      <c r="H14617">
        <v>118893084</v>
      </c>
      <c r="I14617">
        <v>118893084</v>
      </c>
    </row>
    <row r="14618" spans="1:9" x14ac:dyDescent="0.2">
      <c r="A14618" t="str">
        <f>"Olfr1331"</f>
        <v>Olfr1331</v>
      </c>
      <c r="B14618" t="s">
        <v>4711</v>
      </c>
      <c r="C14618" t="s">
        <v>23</v>
      </c>
      <c r="D14618" t="s">
        <v>17</v>
      </c>
      <c r="E14618" t="s">
        <v>20</v>
      </c>
      <c r="F14618">
        <v>118868782</v>
      </c>
      <c r="G14618">
        <v>118868782</v>
      </c>
      <c r="H14618">
        <v>118868782</v>
      </c>
      <c r="I14618">
        <v>118868782</v>
      </c>
    </row>
    <row r="14619" spans="1:9" x14ac:dyDescent="0.2">
      <c r="A14619" t="str">
        <f>"Olfr1331"</f>
        <v>Olfr1331</v>
      </c>
      <c r="B14619" t="s">
        <v>4712</v>
      </c>
      <c r="C14619" t="s">
        <v>23</v>
      </c>
      <c r="D14619" t="s">
        <v>17</v>
      </c>
      <c r="E14619" t="s">
        <v>20</v>
      </c>
      <c r="F14619">
        <v>118864657</v>
      </c>
      <c r="G14619">
        <v>118864657</v>
      </c>
      <c r="H14619">
        <v>118864657</v>
      </c>
      <c r="I14619">
        <v>118864657</v>
      </c>
    </row>
    <row r="14620" spans="1:9" x14ac:dyDescent="0.2">
      <c r="A14620" t="str">
        <f>"Olfr1333"</f>
        <v>Olfr1333</v>
      </c>
      <c r="B14620" t="s">
        <v>4713</v>
      </c>
      <c r="C14620" t="s">
        <v>23</v>
      </c>
      <c r="D14620" t="s">
        <v>11</v>
      </c>
      <c r="E14620" t="s">
        <v>20</v>
      </c>
      <c r="F14620">
        <v>118830439</v>
      </c>
      <c r="G14620">
        <v>118830439</v>
      </c>
      <c r="H14620">
        <v>118830439</v>
      </c>
      <c r="I14620">
        <v>118830439</v>
      </c>
    </row>
    <row r="14621" spans="1:9" x14ac:dyDescent="0.2">
      <c r="A14621" t="str">
        <f>"Olfr1333"</f>
        <v>Olfr1333</v>
      </c>
      <c r="B14621" t="s">
        <v>4714</v>
      </c>
      <c r="C14621" t="s">
        <v>23</v>
      </c>
      <c r="D14621" t="s">
        <v>11</v>
      </c>
      <c r="E14621" t="s">
        <v>20</v>
      </c>
      <c r="F14621">
        <v>118836272</v>
      </c>
      <c r="G14621">
        <v>118836272</v>
      </c>
      <c r="H14621">
        <v>118836272</v>
      </c>
      <c r="I14621">
        <v>118836272</v>
      </c>
    </row>
    <row r="14622" spans="1:9" x14ac:dyDescent="0.2">
      <c r="A14622" t="str">
        <f>"Olfr1335"</f>
        <v>Olfr1335</v>
      </c>
      <c r="B14622" t="s">
        <v>4715</v>
      </c>
      <c r="C14622" t="s">
        <v>23</v>
      </c>
      <c r="D14622" t="s">
        <v>11</v>
      </c>
      <c r="E14622" t="s">
        <v>20</v>
      </c>
      <c r="F14622">
        <v>118809813</v>
      </c>
      <c r="G14622">
        <v>118809813</v>
      </c>
      <c r="H14622">
        <v>118809813</v>
      </c>
      <c r="I14622">
        <v>118809813</v>
      </c>
    </row>
    <row r="14623" spans="1:9" x14ac:dyDescent="0.2">
      <c r="A14623" t="str">
        <f>"Olfr1336"</f>
        <v>Olfr1336</v>
      </c>
      <c r="B14623" t="s">
        <v>4716</v>
      </c>
      <c r="C14623" t="s">
        <v>33</v>
      </c>
      <c r="D14623" t="s">
        <v>17</v>
      </c>
      <c r="E14623" t="s">
        <v>20</v>
      </c>
      <c r="F14623">
        <v>6460510</v>
      </c>
      <c r="G14623">
        <v>6460510</v>
      </c>
      <c r="H14623">
        <v>6460510</v>
      </c>
      <c r="I14623">
        <v>6460510</v>
      </c>
    </row>
    <row r="14624" spans="1:9" x14ac:dyDescent="0.2">
      <c r="A14624" t="str">
        <f>"Olfr1337"</f>
        <v>Olfr1337</v>
      </c>
      <c r="B14624" t="s">
        <v>4717</v>
      </c>
      <c r="C14624" t="s">
        <v>23</v>
      </c>
      <c r="D14624" t="s">
        <v>11</v>
      </c>
      <c r="E14624" t="s">
        <v>20</v>
      </c>
      <c r="F14624">
        <v>118782582</v>
      </c>
      <c r="G14624">
        <v>118782582</v>
      </c>
      <c r="H14624">
        <v>118782582</v>
      </c>
      <c r="I14624">
        <v>118782582</v>
      </c>
    </row>
    <row r="14625" spans="1:9" x14ac:dyDescent="0.2">
      <c r="A14625" t="str">
        <f>"Olfr1338"</f>
        <v>Olfr1338</v>
      </c>
      <c r="B14625" t="s">
        <v>4718</v>
      </c>
      <c r="C14625" t="s">
        <v>23</v>
      </c>
      <c r="D14625" t="s">
        <v>11</v>
      </c>
      <c r="E14625" t="s">
        <v>20</v>
      </c>
      <c r="F14625">
        <v>118754535</v>
      </c>
      <c r="G14625">
        <v>118754535</v>
      </c>
      <c r="H14625">
        <v>118754535</v>
      </c>
      <c r="I14625">
        <v>118754535</v>
      </c>
    </row>
    <row r="14626" spans="1:9" x14ac:dyDescent="0.2">
      <c r="A14626" t="str">
        <f>"Olfr1339"</f>
        <v>Olfr1339</v>
      </c>
      <c r="B14626" t="s">
        <v>4719</v>
      </c>
      <c r="C14626" t="s">
        <v>23</v>
      </c>
      <c r="D14626" t="s">
        <v>17</v>
      </c>
      <c r="E14626" t="s">
        <v>20</v>
      </c>
      <c r="F14626">
        <v>118734530</v>
      </c>
      <c r="G14626">
        <v>118734530</v>
      </c>
      <c r="H14626">
        <v>118734530</v>
      </c>
      <c r="I14626">
        <v>118734530</v>
      </c>
    </row>
    <row r="14627" spans="1:9" x14ac:dyDescent="0.2">
      <c r="A14627" t="str">
        <f>"Olfr134"</f>
        <v>Olfr134</v>
      </c>
      <c r="B14627" t="s">
        <v>4720</v>
      </c>
      <c r="C14627" t="s">
        <v>28</v>
      </c>
      <c r="D14627" t="s">
        <v>17</v>
      </c>
      <c r="E14627" t="s">
        <v>20</v>
      </c>
      <c r="F14627">
        <v>38175085</v>
      </c>
      <c r="G14627">
        <v>38175085</v>
      </c>
      <c r="H14627">
        <v>38175085</v>
      </c>
      <c r="I14627">
        <v>38175085</v>
      </c>
    </row>
    <row r="14628" spans="1:9" x14ac:dyDescent="0.2">
      <c r="A14628" t="str">
        <f>"Olfr1340"</f>
        <v>Olfr1340</v>
      </c>
      <c r="B14628" t="s">
        <v>4721</v>
      </c>
      <c r="C14628" t="s">
        <v>23</v>
      </c>
      <c r="D14628" t="s">
        <v>17</v>
      </c>
      <c r="E14628" t="s">
        <v>20</v>
      </c>
      <c r="F14628">
        <v>118726248</v>
      </c>
      <c r="G14628">
        <v>118726248</v>
      </c>
      <c r="H14628">
        <v>118726248</v>
      </c>
      <c r="I14628">
        <v>118726248</v>
      </c>
    </row>
    <row r="14629" spans="1:9" x14ac:dyDescent="0.2">
      <c r="A14629" t="str">
        <f>"Olfr1341"</f>
        <v>Olfr1341</v>
      </c>
      <c r="B14629" t="s">
        <v>4722</v>
      </c>
      <c r="C14629" t="s">
        <v>23</v>
      </c>
      <c r="D14629" t="s">
        <v>17</v>
      </c>
      <c r="E14629" t="s">
        <v>20</v>
      </c>
      <c r="F14629">
        <v>118709408</v>
      </c>
      <c r="G14629">
        <v>118709408</v>
      </c>
      <c r="H14629">
        <v>118709408</v>
      </c>
      <c r="I14629">
        <v>118709408</v>
      </c>
    </row>
    <row r="14630" spans="1:9" x14ac:dyDescent="0.2">
      <c r="A14630" t="str">
        <f>"Olfr1342"</f>
        <v>Olfr1342</v>
      </c>
      <c r="B14630" t="s">
        <v>4723</v>
      </c>
      <c r="C14630" t="s">
        <v>23</v>
      </c>
      <c r="D14630" t="s">
        <v>11</v>
      </c>
      <c r="E14630" t="s">
        <v>20</v>
      </c>
      <c r="F14630">
        <v>118690462</v>
      </c>
      <c r="G14630">
        <v>118690462</v>
      </c>
      <c r="H14630">
        <v>118690462</v>
      </c>
      <c r="I14630">
        <v>118690462</v>
      </c>
    </row>
    <row r="14631" spans="1:9" x14ac:dyDescent="0.2">
      <c r="A14631" t="str">
        <f>"Olfr1344"</f>
        <v>Olfr1344</v>
      </c>
      <c r="B14631" t="s">
        <v>14</v>
      </c>
      <c r="C14631" t="s">
        <v>33</v>
      </c>
      <c r="D14631" t="s">
        <v>17</v>
      </c>
      <c r="E14631" t="s">
        <v>12</v>
      </c>
      <c r="F14631">
        <v>6410218</v>
      </c>
      <c r="G14631">
        <v>6410229</v>
      </c>
      <c r="H14631">
        <v>6410206</v>
      </c>
      <c r="I14631">
        <v>6410208</v>
      </c>
    </row>
    <row r="14632" spans="1:9" x14ac:dyDescent="0.2">
      <c r="A14632" t="str">
        <f>"Olfr1346"</f>
        <v>Olfr1346</v>
      </c>
      <c r="B14632" t="s">
        <v>4724</v>
      </c>
      <c r="C14632" t="s">
        <v>33</v>
      </c>
      <c r="D14632" t="s">
        <v>17</v>
      </c>
      <c r="E14632" t="s">
        <v>20</v>
      </c>
      <c r="F14632">
        <v>6474087</v>
      </c>
      <c r="G14632">
        <v>6474087</v>
      </c>
      <c r="H14632">
        <v>6474087</v>
      </c>
      <c r="I14632">
        <v>6474087</v>
      </c>
    </row>
    <row r="14633" spans="1:9" x14ac:dyDescent="0.2">
      <c r="A14633" t="str">
        <f>"Olfr1347"</f>
        <v>Olfr1347</v>
      </c>
      <c r="B14633" t="s">
        <v>4725</v>
      </c>
      <c r="C14633" t="s">
        <v>33</v>
      </c>
      <c r="D14633" t="s">
        <v>11</v>
      </c>
      <c r="E14633" t="s">
        <v>20</v>
      </c>
      <c r="F14633">
        <v>6488875</v>
      </c>
      <c r="G14633">
        <v>6488875</v>
      </c>
      <c r="H14633">
        <v>6488875</v>
      </c>
      <c r="I14633">
        <v>6488875</v>
      </c>
    </row>
    <row r="14634" spans="1:9" x14ac:dyDescent="0.2">
      <c r="A14634" t="str">
        <f>"Olfr1348"</f>
        <v>Olfr1348</v>
      </c>
      <c r="B14634" t="s">
        <v>4726</v>
      </c>
      <c r="C14634" t="s">
        <v>33</v>
      </c>
      <c r="D14634" t="s">
        <v>11</v>
      </c>
      <c r="E14634" t="s">
        <v>20</v>
      </c>
      <c r="F14634">
        <v>6502324</v>
      </c>
      <c r="G14634">
        <v>6502324</v>
      </c>
      <c r="H14634">
        <v>6502324</v>
      </c>
      <c r="I14634">
        <v>6502324</v>
      </c>
    </row>
    <row r="14635" spans="1:9" x14ac:dyDescent="0.2">
      <c r="A14635" t="str">
        <f>"Olfr1349"</f>
        <v>Olfr1349</v>
      </c>
      <c r="B14635" t="s">
        <v>4727</v>
      </c>
      <c r="C14635" t="s">
        <v>33</v>
      </c>
      <c r="D14635" t="s">
        <v>11</v>
      </c>
      <c r="E14635" t="s">
        <v>20</v>
      </c>
      <c r="F14635">
        <v>6515448</v>
      </c>
      <c r="G14635">
        <v>6515448</v>
      </c>
      <c r="H14635">
        <v>6515448</v>
      </c>
      <c r="I14635">
        <v>6515448</v>
      </c>
    </row>
    <row r="14636" spans="1:9" x14ac:dyDescent="0.2">
      <c r="A14636" t="str">
        <f>"Olfr135"</f>
        <v>Olfr135</v>
      </c>
      <c r="B14636" t="s">
        <v>4728</v>
      </c>
      <c r="C14636" t="s">
        <v>28</v>
      </c>
      <c r="D14636" t="s">
        <v>17</v>
      </c>
      <c r="E14636" t="s">
        <v>20</v>
      </c>
      <c r="F14636">
        <v>38208168</v>
      </c>
      <c r="G14636">
        <v>38208168</v>
      </c>
      <c r="H14636">
        <v>38208168</v>
      </c>
      <c r="I14636">
        <v>38208168</v>
      </c>
    </row>
    <row r="14637" spans="1:9" x14ac:dyDescent="0.2">
      <c r="A14637" t="str">
        <f>"Olfr1350"</f>
        <v>Olfr1350</v>
      </c>
      <c r="B14637" t="s">
        <v>4729</v>
      </c>
      <c r="C14637" t="s">
        <v>33</v>
      </c>
      <c r="D14637" t="s">
        <v>17</v>
      </c>
      <c r="E14637" t="s">
        <v>20</v>
      </c>
      <c r="F14637">
        <v>6569992</v>
      </c>
      <c r="G14637">
        <v>6569992</v>
      </c>
      <c r="H14637">
        <v>6569992</v>
      </c>
      <c r="I14637">
        <v>6569992</v>
      </c>
    </row>
    <row r="14638" spans="1:9" x14ac:dyDescent="0.2">
      <c r="A14638" t="str">
        <f>"Olfr1351"</f>
        <v>Olfr1351</v>
      </c>
      <c r="B14638" t="s">
        <v>4730</v>
      </c>
      <c r="C14638" t="s">
        <v>15</v>
      </c>
      <c r="D14638" t="s">
        <v>17</v>
      </c>
      <c r="E14638" t="s">
        <v>20</v>
      </c>
      <c r="F14638">
        <v>79017323</v>
      </c>
      <c r="G14638">
        <v>79017323</v>
      </c>
      <c r="H14638">
        <v>79017323</v>
      </c>
      <c r="I14638">
        <v>79017323</v>
      </c>
    </row>
    <row r="14639" spans="1:9" x14ac:dyDescent="0.2">
      <c r="A14639" t="str">
        <f>"Olfr1352"</f>
        <v>Olfr1352</v>
      </c>
      <c r="B14639" t="s">
        <v>4731</v>
      </c>
      <c r="C14639" t="s">
        <v>15</v>
      </c>
      <c r="D14639" t="s">
        <v>17</v>
      </c>
      <c r="E14639" t="s">
        <v>20</v>
      </c>
      <c r="F14639">
        <v>78981049</v>
      </c>
      <c r="G14639">
        <v>78981049</v>
      </c>
      <c r="H14639">
        <v>78981049</v>
      </c>
      <c r="I14639">
        <v>78981049</v>
      </c>
    </row>
    <row r="14640" spans="1:9" x14ac:dyDescent="0.2">
      <c r="A14640" t="str">
        <f>"Olfr1353"</f>
        <v>Olfr1353</v>
      </c>
      <c r="B14640" t="s">
        <v>4732</v>
      </c>
      <c r="C14640" t="s">
        <v>15</v>
      </c>
      <c r="D14640" t="s">
        <v>17</v>
      </c>
      <c r="E14640" t="s">
        <v>20</v>
      </c>
      <c r="F14640">
        <v>78963308</v>
      </c>
      <c r="G14640">
        <v>78963308</v>
      </c>
      <c r="H14640">
        <v>78963308</v>
      </c>
      <c r="I14640">
        <v>78963308</v>
      </c>
    </row>
    <row r="14641" spans="1:9" x14ac:dyDescent="0.2">
      <c r="A14641" t="str">
        <f>"Olfr1354"</f>
        <v>Olfr1354</v>
      </c>
      <c r="B14641" t="s">
        <v>4733</v>
      </c>
      <c r="C14641" t="s">
        <v>15</v>
      </c>
      <c r="D14641" t="s">
        <v>17</v>
      </c>
      <c r="E14641" t="s">
        <v>20</v>
      </c>
      <c r="F14641">
        <v>78916841</v>
      </c>
      <c r="G14641">
        <v>78916841</v>
      </c>
      <c r="H14641">
        <v>78916841</v>
      </c>
      <c r="I14641">
        <v>78916841</v>
      </c>
    </row>
    <row r="14642" spans="1:9" x14ac:dyDescent="0.2">
      <c r="A14642" t="str">
        <f>"Olfr1355"</f>
        <v>Olfr1355</v>
      </c>
      <c r="B14642" t="s">
        <v>4734</v>
      </c>
      <c r="C14642" t="s">
        <v>15</v>
      </c>
      <c r="D14642" t="s">
        <v>17</v>
      </c>
      <c r="E14642" t="s">
        <v>20</v>
      </c>
      <c r="F14642">
        <v>78875548</v>
      </c>
      <c r="G14642">
        <v>78875548</v>
      </c>
      <c r="H14642">
        <v>78875548</v>
      </c>
      <c r="I14642">
        <v>78875548</v>
      </c>
    </row>
    <row r="14643" spans="1:9" x14ac:dyDescent="0.2">
      <c r="A14643" t="str">
        <f>"Olfr1356"</f>
        <v>Olfr1356</v>
      </c>
      <c r="B14643" t="s">
        <v>4735</v>
      </c>
      <c r="C14643" t="s">
        <v>15</v>
      </c>
      <c r="D14643" t="s">
        <v>11</v>
      </c>
      <c r="E14643" t="s">
        <v>20</v>
      </c>
      <c r="F14643">
        <v>78847912</v>
      </c>
      <c r="G14643">
        <v>78847912</v>
      </c>
      <c r="H14643">
        <v>78847912</v>
      </c>
      <c r="I14643">
        <v>78847912</v>
      </c>
    </row>
    <row r="14644" spans="1:9" x14ac:dyDescent="0.2">
      <c r="A14644" t="str">
        <f>"Olfr1357"</f>
        <v>Olfr1357</v>
      </c>
      <c r="B14644" t="s">
        <v>4736</v>
      </c>
      <c r="C14644" t="s">
        <v>15</v>
      </c>
      <c r="D14644" t="s">
        <v>11</v>
      </c>
      <c r="E14644" t="s">
        <v>20</v>
      </c>
      <c r="F14644">
        <v>78618073</v>
      </c>
      <c r="G14644">
        <v>78618073</v>
      </c>
      <c r="H14644">
        <v>78618073</v>
      </c>
      <c r="I14644">
        <v>78618073</v>
      </c>
    </row>
    <row r="14645" spans="1:9" x14ac:dyDescent="0.2">
      <c r="A14645" t="str">
        <f>"Olfr1359"</f>
        <v>Olfr1359</v>
      </c>
      <c r="B14645" t="s">
        <v>4737</v>
      </c>
      <c r="C14645" t="s">
        <v>39</v>
      </c>
      <c r="D14645" t="s">
        <v>17</v>
      </c>
      <c r="E14645" t="s">
        <v>20</v>
      </c>
      <c r="F14645">
        <v>21702974</v>
      </c>
      <c r="G14645">
        <v>21702974</v>
      </c>
      <c r="H14645">
        <v>21702974</v>
      </c>
      <c r="I14645">
        <v>21702974</v>
      </c>
    </row>
    <row r="14646" spans="1:9" x14ac:dyDescent="0.2">
      <c r="A14646" t="str">
        <f>"Olfr136"</f>
        <v>Olfr136</v>
      </c>
      <c r="B14646" t="s">
        <v>4738</v>
      </c>
      <c r="C14646" t="s">
        <v>28</v>
      </c>
      <c r="D14646" t="s">
        <v>17</v>
      </c>
      <c r="E14646" t="s">
        <v>20</v>
      </c>
      <c r="F14646">
        <v>38335158</v>
      </c>
      <c r="G14646">
        <v>38335158</v>
      </c>
      <c r="H14646">
        <v>38335158</v>
      </c>
      <c r="I14646">
        <v>38335158</v>
      </c>
    </row>
    <row r="14647" spans="1:9" x14ac:dyDescent="0.2">
      <c r="A14647" t="str">
        <f>"Olfr1360"</f>
        <v>Olfr1360</v>
      </c>
      <c r="B14647" t="s">
        <v>4739</v>
      </c>
      <c r="C14647" t="s">
        <v>39</v>
      </c>
      <c r="D14647" t="s">
        <v>11</v>
      </c>
      <c r="E14647" t="s">
        <v>20</v>
      </c>
      <c r="F14647">
        <v>21674979</v>
      </c>
      <c r="G14647">
        <v>21674979</v>
      </c>
      <c r="H14647">
        <v>21674979</v>
      </c>
      <c r="I14647">
        <v>21674979</v>
      </c>
    </row>
    <row r="14648" spans="1:9" x14ac:dyDescent="0.2">
      <c r="A14648" t="str">
        <f>"Olfr1361"</f>
        <v>Olfr1361</v>
      </c>
      <c r="B14648" t="s">
        <v>4740</v>
      </c>
      <c r="C14648" t="s">
        <v>39</v>
      </c>
      <c r="D14648" t="s">
        <v>11</v>
      </c>
      <c r="E14648" t="s">
        <v>20</v>
      </c>
      <c r="F14648">
        <v>21659320</v>
      </c>
      <c r="G14648">
        <v>21659320</v>
      </c>
      <c r="H14648">
        <v>21659320</v>
      </c>
      <c r="I14648">
        <v>21659320</v>
      </c>
    </row>
    <row r="14649" spans="1:9" x14ac:dyDescent="0.2">
      <c r="A14649" t="str">
        <f>"Olfr1362"</f>
        <v>Olfr1362</v>
      </c>
      <c r="B14649" t="s">
        <v>4741</v>
      </c>
      <c r="C14649" t="s">
        <v>39</v>
      </c>
      <c r="D14649" t="s">
        <v>11</v>
      </c>
      <c r="E14649" t="s">
        <v>20</v>
      </c>
      <c r="F14649">
        <v>21612003</v>
      </c>
      <c r="G14649">
        <v>21612003</v>
      </c>
      <c r="H14649">
        <v>21612003</v>
      </c>
      <c r="I14649">
        <v>21612003</v>
      </c>
    </row>
    <row r="14650" spans="1:9" x14ac:dyDescent="0.2">
      <c r="A14650" t="str">
        <f>"Olfr1364"</f>
        <v>Olfr1364</v>
      </c>
      <c r="B14650" t="s">
        <v>4742</v>
      </c>
      <c r="C14650" t="s">
        <v>39</v>
      </c>
      <c r="D14650" t="s">
        <v>11</v>
      </c>
      <c r="E14650" t="s">
        <v>20</v>
      </c>
      <c r="F14650">
        <v>21574453</v>
      </c>
      <c r="G14650">
        <v>21574453</v>
      </c>
      <c r="H14650">
        <v>21574453</v>
      </c>
      <c r="I14650">
        <v>21574453</v>
      </c>
    </row>
    <row r="14651" spans="1:9" x14ac:dyDescent="0.2">
      <c r="A14651" t="str">
        <f>"Olfr1366"</f>
        <v>Olfr1366</v>
      </c>
      <c r="B14651" t="s">
        <v>4743</v>
      </c>
      <c r="C14651" t="s">
        <v>39</v>
      </c>
      <c r="D14651" t="s">
        <v>11</v>
      </c>
      <c r="E14651" t="s">
        <v>20</v>
      </c>
      <c r="F14651">
        <v>21538026</v>
      </c>
      <c r="G14651">
        <v>21538026</v>
      </c>
      <c r="H14651">
        <v>21538026</v>
      </c>
      <c r="I14651">
        <v>21538026</v>
      </c>
    </row>
    <row r="14652" spans="1:9" x14ac:dyDescent="0.2">
      <c r="A14652" t="str">
        <f>"Olfr1367"</f>
        <v>Olfr1367</v>
      </c>
      <c r="B14652" t="s">
        <v>4744</v>
      </c>
      <c r="C14652" t="s">
        <v>39</v>
      </c>
      <c r="D14652" t="s">
        <v>17</v>
      </c>
      <c r="E14652" t="s">
        <v>20</v>
      </c>
      <c r="F14652">
        <v>21346909</v>
      </c>
      <c r="G14652">
        <v>21346909</v>
      </c>
      <c r="H14652">
        <v>21346909</v>
      </c>
      <c r="I14652">
        <v>21346909</v>
      </c>
    </row>
    <row r="14653" spans="1:9" x14ac:dyDescent="0.2">
      <c r="A14653" t="str">
        <f>"Olfr1368"</f>
        <v>Olfr1368</v>
      </c>
      <c r="B14653" t="s">
        <v>4745</v>
      </c>
      <c r="C14653" t="s">
        <v>39</v>
      </c>
      <c r="D14653" t="s">
        <v>11</v>
      </c>
      <c r="E14653" t="s">
        <v>20</v>
      </c>
      <c r="F14653">
        <v>21143080</v>
      </c>
      <c r="G14653">
        <v>21143080</v>
      </c>
      <c r="H14653">
        <v>21143080</v>
      </c>
      <c r="I14653">
        <v>21143080</v>
      </c>
    </row>
    <row r="14654" spans="1:9" x14ac:dyDescent="0.2">
      <c r="A14654" t="str">
        <f>"Olfr1369-ps1"</f>
        <v>Olfr1369-ps1</v>
      </c>
      <c r="B14654" t="s">
        <v>4746</v>
      </c>
      <c r="C14654" t="s">
        <v>39</v>
      </c>
      <c r="D14654" t="s">
        <v>17</v>
      </c>
      <c r="E14654" t="s">
        <v>20</v>
      </c>
      <c r="F14654">
        <v>21115693</v>
      </c>
      <c r="G14654">
        <v>21115693</v>
      </c>
      <c r="H14654">
        <v>21115693</v>
      </c>
      <c r="I14654">
        <v>21115693</v>
      </c>
    </row>
    <row r="14655" spans="1:9" x14ac:dyDescent="0.2">
      <c r="A14655" t="str">
        <f>"Olfr137"</f>
        <v>Olfr137</v>
      </c>
      <c r="B14655" t="s">
        <v>4747</v>
      </c>
      <c r="C14655" t="s">
        <v>28</v>
      </c>
      <c r="D14655" t="s">
        <v>11</v>
      </c>
      <c r="E14655" t="s">
        <v>20</v>
      </c>
      <c r="F14655">
        <v>38305459</v>
      </c>
      <c r="G14655">
        <v>38305459</v>
      </c>
      <c r="H14655">
        <v>38305459</v>
      </c>
      <c r="I14655">
        <v>38305459</v>
      </c>
    </row>
    <row r="14656" spans="1:9" x14ac:dyDescent="0.2">
      <c r="A14656" t="str">
        <f>"Olfr1370"</f>
        <v>Olfr1370</v>
      </c>
      <c r="B14656" t="s">
        <v>4748</v>
      </c>
      <c r="C14656" t="s">
        <v>39</v>
      </c>
      <c r="D14656" t="s">
        <v>11</v>
      </c>
      <c r="E14656" t="s">
        <v>20</v>
      </c>
      <c r="F14656">
        <v>21073298</v>
      </c>
      <c r="G14656">
        <v>21073298</v>
      </c>
      <c r="H14656">
        <v>21073298</v>
      </c>
      <c r="I14656">
        <v>21073298</v>
      </c>
    </row>
    <row r="14657" spans="1:9" x14ac:dyDescent="0.2">
      <c r="A14657" t="str">
        <f>"Olfr1371"</f>
        <v>Olfr1371</v>
      </c>
      <c r="B14657" t="s">
        <v>4749</v>
      </c>
      <c r="C14657" t="s">
        <v>27</v>
      </c>
      <c r="D14657" t="s">
        <v>11</v>
      </c>
      <c r="E14657" t="s">
        <v>20</v>
      </c>
      <c r="F14657">
        <v>52213986</v>
      </c>
      <c r="G14657">
        <v>52213986</v>
      </c>
      <c r="H14657">
        <v>52213986</v>
      </c>
      <c r="I14657">
        <v>52213986</v>
      </c>
    </row>
    <row r="14658" spans="1:9" x14ac:dyDescent="0.2">
      <c r="A14658" t="str">
        <f>"Olfr1373"</f>
        <v>Olfr1373</v>
      </c>
      <c r="B14658" t="s">
        <v>4750</v>
      </c>
      <c r="C14658" t="s">
        <v>27</v>
      </c>
      <c r="D14658" t="s">
        <v>11</v>
      </c>
      <c r="E14658" t="s">
        <v>20</v>
      </c>
      <c r="F14658">
        <v>52145527</v>
      </c>
      <c r="G14658">
        <v>52145527</v>
      </c>
      <c r="H14658">
        <v>52145527</v>
      </c>
      <c r="I14658">
        <v>52145527</v>
      </c>
    </row>
    <row r="14659" spans="1:9" x14ac:dyDescent="0.2">
      <c r="A14659" t="str">
        <f>"Olfr1377"</f>
        <v>Olfr1377</v>
      </c>
      <c r="B14659" t="s">
        <v>4751</v>
      </c>
      <c r="C14659" t="s">
        <v>27</v>
      </c>
      <c r="D14659" t="s">
        <v>17</v>
      </c>
      <c r="E14659" t="s">
        <v>20</v>
      </c>
      <c r="F14659">
        <v>50984657</v>
      </c>
      <c r="G14659">
        <v>50984657</v>
      </c>
      <c r="H14659">
        <v>50984657</v>
      </c>
      <c r="I14659">
        <v>50984657</v>
      </c>
    </row>
    <row r="14660" spans="1:9" x14ac:dyDescent="0.2">
      <c r="A14660" t="str">
        <f>"Olfr1378"</f>
        <v>Olfr1378</v>
      </c>
      <c r="B14660" t="s">
        <v>4752</v>
      </c>
      <c r="C14660" t="s">
        <v>27</v>
      </c>
      <c r="D14660" t="s">
        <v>17</v>
      </c>
      <c r="E14660" t="s">
        <v>20</v>
      </c>
      <c r="F14660">
        <v>50969019</v>
      </c>
      <c r="G14660">
        <v>50969019</v>
      </c>
      <c r="H14660">
        <v>50969019</v>
      </c>
      <c r="I14660">
        <v>50969019</v>
      </c>
    </row>
    <row r="14661" spans="1:9" x14ac:dyDescent="0.2">
      <c r="A14661" t="str">
        <f>"Olfr138"</f>
        <v>Olfr138</v>
      </c>
      <c r="B14661" t="s">
        <v>4753</v>
      </c>
      <c r="C14661" t="s">
        <v>28</v>
      </c>
      <c r="D14661" t="s">
        <v>17</v>
      </c>
      <c r="E14661" t="s">
        <v>20</v>
      </c>
      <c r="F14661">
        <v>38274772</v>
      </c>
      <c r="G14661">
        <v>38274772</v>
      </c>
      <c r="H14661">
        <v>38274772</v>
      </c>
      <c r="I14661">
        <v>38274772</v>
      </c>
    </row>
    <row r="14662" spans="1:9" x14ac:dyDescent="0.2">
      <c r="A14662" t="str">
        <f>"Olfr138"</f>
        <v>Olfr138</v>
      </c>
      <c r="B14662" t="s">
        <v>4754</v>
      </c>
      <c r="C14662" t="s">
        <v>28</v>
      </c>
      <c r="D14662" t="s">
        <v>17</v>
      </c>
      <c r="E14662" t="s">
        <v>20</v>
      </c>
      <c r="F14662">
        <v>38261067</v>
      </c>
      <c r="G14662">
        <v>38261067</v>
      </c>
      <c r="H14662">
        <v>38261067</v>
      </c>
      <c r="I14662">
        <v>38261067</v>
      </c>
    </row>
    <row r="14663" spans="1:9" x14ac:dyDescent="0.2">
      <c r="A14663" t="str">
        <f>"Olfr1380"</f>
        <v>Olfr1380</v>
      </c>
      <c r="B14663" t="s">
        <v>4755</v>
      </c>
      <c r="C14663" t="s">
        <v>27</v>
      </c>
      <c r="D14663" t="s">
        <v>17</v>
      </c>
      <c r="E14663" t="s">
        <v>20</v>
      </c>
      <c r="F14663">
        <v>49563922</v>
      </c>
      <c r="G14663">
        <v>49563922</v>
      </c>
      <c r="H14663">
        <v>49563922</v>
      </c>
      <c r="I14663">
        <v>49563922</v>
      </c>
    </row>
    <row r="14664" spans="1:9" x14ac:dyDescent="0.2">
      <c r="A14664" t="str">
        <f>"Olfr1381"</f>
        <v>Olfr1381</v>
      </c>
      <c r="B14664" t="s">
        <v>4756</v>
      </c>
      <c r="C14664" t="s">
        <v>27</v>
      </c>
      <c r="D14664" t="s">
        <v>17</v>
      </c>
      <c r="E14664" t="s">
        <v>20</v>
      </c>
      <c r="F14664">
        <v>49551748</v>
      </c>
      <c r="G14664">
        <v>49551748</v>
      </c>
      <c r="H14664">
        <v>49551748</v>
      </c>
      <c r="I14664">
        <v>49551748</v>
      </c>
    </row>
    <row r="14665" spans="1:9" x14ac:dyDescent="0.2">
      <c r="A14665" t="str">
        <f>"Olfr1382"</f>
        <v>Olfr1382</v>
      </c>
      <c r="B14665" t="s">
        <v>4757</v>
      </c>
      <c r="C14665" t="s">
        <v>27</v>
      </c>
      <c r="D14665" t="s">
        <v>17</v>
      </c>
      <c r="E14665" t="s">
        <v>20</v>
      </c>
      <c r="F14665">
        <v>49535186</v>
      </c>
      <c r="G14665">
        <v>49535186</v>
      </c>
      <c r="H14665">
        <v>49535186</v>
      </c>
      <c r="I14665">
        <v>49535186</v>
      </c>
    </row>
    <row r="14666" spans="1:9" x14ac:dyDescent="0.2">
      <c r="A14666" t="str">
        <f>"Olfr1383"</f>
        <v>Olfr1383</v>
      </c>
      <c r="B14666" t="s">
        <v>4758</v>
      </c>
      <c r="C14666" t="s">
        <v>27</v>
      </c>
      <c r="D14666" t="s">
        <v>17</v>
      </c>
      <c r="E14666" t="s">
        <v>20</v>
      </c>
      <c r="F14666">
        <v>49523720</v>
      </c>
      <c r="G14666">
        <v>49523720</v>
      </c>
      <c r="H14666">
        <v>49523720</v>
      </c>
      <c r="I14666">
        <v>49523720</v>
      </c>
    </row>
    <row r="14667" spans="1:9" x14ac:dyDescent="0.2">
      <c r="A14667" t="str">
        <f>"Olfr1384"</f>
        <v>Olfr1384</v>
      </c>
      <c r="B14667" t="s">
        <v>4759</v>
      </c>
      <c r="C14667" t="s">
        <v>27</v>
      </c>
      <c r="D14667" t="s">
        <v>17</v>
      </c>
      <c r="E14667" t="s">
        <v>20</v>
      </c>
      <c r="F14667">
        <v>49513617</v>
      </c>
      <c r="G14667">
        <v>49513617</v>
      </c>
      <c r="H14667">
        <v>49513617</v>
      </c>
      <c r="I14667">
        <v>49513617</v>
      </c>
    </row>
    <row r="14668" spans="1:9" x14ac:dyDescent="0.2">
      <c r="A14668" t="str">
        <f>"Olfr1385"</f>
        <v>Olfr1385</v>
      </c>
      <c r="B14668" t="s">
        <v>4760</v>
      </c>
      <c r="C14668" t="s">
        <v>27</v>
      </c>
      <c r="D14668" t="s">
        <v>17</v>
      </c>
      <c r="E14668" t="s">
        <v>20</v>
      </c>
      <c r="F14668">
        <v>49494534</v>
      </c>
      <c r="G14668">
        <v>49494534</v>
      </c>
      <c r="H14668">
        <v>49494534</v>
      </c>
      <c r="I14668">
        <v>49494534</v>
      </c>
    </row>
    <row r="14669" spans="1:9" x14ac:dyDescent="0.2">
      <c r="A14669" t="str">
        <f>"Olfr1386"</f>
        <v>Olfr1386</v>
      </c>
      <c r="B14669" t="s">
        <v>4761</v>
      </c>
      <c r="C14669" t="s">
        <v>27</v>
      </c>
      <c r="D14669" t="s">
        <v>17</v>
      </c>
      <c r="E14669" t="s">
        <v>20</v>
      </c>
      <c r="F14669">
        <v>49470053</v>
      </c>
      <c r="G14669">
        <v>49470053</v>
      </c>
      <c r="H14669">
        <v>49470053</v>
      </c>
      <c r="I14669">
        <v>49470053</v>
      </c>
    </row>
    <row r="14670" spans="1:9" x14ac:dyDescent="0.2">
      <c r="A14670" t="str">
        <f>"Olfr1387"</f>
        <v>Olfr1387</v>
      </c>
      <c r="B14670" t="s">
        <v>4762</v>
      </c>
      <c r="C14670" t="s">
        <v>27</v>
      </c>
      <c r="D14670" t="s">
        <v>17</v>
      </c>
      <c r="E14670" t="s">
        <v>20</v>
      </c>
      <c r="F14670">
        <v>49459680</v>
      </c>
      <c r="G14670">
        <v>49459680</v>
      </c>
      <c r="H14670">
        <v>49459680</v>
      </c>
      <c r="I14670">
        <v>49459680</v>
      </c>
    </row>
    <row r="14671" spans="1:9" x14ac:dyDescent="0.2">
      <c r="A14671" t="str">
        <f>"Olfr1388"</f>
        <v>Olfr1388</v>
      </c>
      <c r="B14671" t="s">
        <v>4763</v>
      </c>
      <c r="C14671" t="s">
        <v>27</v>
      </c>
      <c r="D14671" t="s">
        <v>17</v>
      </c>
      <c r="E14671" t="s">
        <v>20</v>
      </c>
      <c r="F14671">
        <v>49443852</v>
      </c>
      <c r="G14671">
        <v>49443852</v>
      </c>
      <c r="H14671">
        <v>49443852</v>
      </c>
      <c r="I14671">
        <v>49443852</v>
      </c>
    </row>
    <row r="14672" spans="1:9" x14ac:dyDescent="0.2">
      <c r="A14672" t="str">
        <f>"Olfr1389"</f>
        <v>Olfr1389</v>
      </c>
      <c r="B14672" t="s">
        <v>4764</v>
      </c>
      <c r="C14672" t="s">
        <v>27</v>
      </c>
      <c r="D14672" t="s">
        <v>17</v>
      </c>
      <c r="E14672" t="s">
        <v>20</v>
      </c>
      <c r="F14672">
        <v>49430426</v>
      </c>
      <c r="G14672">
        <v>49430426</v>
      </c>
      <c r="H14672">
        <v>49430426</v>
      </c>
      <c r="I14672">
        <v>49430426</v>
      </c>
    </row>
    <row r="14673" spans="1:9" x14ac:dyDescent="0.2">
      <c r="A14673" t="str">
        <f>"Olfr139"</f>
        <v>Olfr139</v>
      </c>
      <c r="B14673" t="s">
        <v>4765</v>
      </c>
      <c r="C14673" t="s">
        <v>27</v>
      </c>
      <c r="D14673" t="s">
        <v>11</v>
      </c>
      <c r="E14673" t="s">
        <v>20</v>
      </c>
      <c r="F14673">
        <v>74045271</v>
      </c>
      <c r="G14673">
        <v>74045271</v>
      </c>
      <c r="H14673">
        <v>74045271</v>
      </c>
      <c r="I14673">
        <v>74045271</v>
      </c>
    </row>
    <row r="14674" spans="1:9" x14ac:dyDescent="0.2">
      <c r="A14674" t="str">
        <f>"Olfr1390"</f>
        <v>Olfr1390</v>
      </c>
      <c r="B14674" t="s">
        <v>4766</v>
      </c>
      <c r="C14674" t="s">
        <v>27</v>
      </c>
      <c r="D14674" t="s">
        <v>17</v>
      </c>
      <c r="E14674" t="s">
        <v>20</v>
      </c>
      <c r="F14674">
        <v>49340533</v>
      </c>
      <c r="G14674">
        <v>49340533</v>
      </c>
      <c r="H14674">
        <v>49340533</v>
      </c>
      <c r="I14674">
        <v>49340533</v>
      </c>
    </row>
    <row r="14675" spans="1:9" x14ac:dyDescent="0.2">
      <c r="A14675" t="str">
        <f>"Olfr1391"</f>
        <v>Olfr1391</v>
      </c>
      <c r="B14675" t="s">
        <v>4767</v>
      </c>
      <c r="C14675" t="s">
        <v>27</v>
      </c>
      <c r="D14675" t="s">
        <v>17</v>
      </c>
      <c r="E14675" t="s">
        <v>20</v>
      </c>
      <c r="F14675">
        <v>49327410</v>
      </c>
      <c r="G14675">
        <v>49327410</v>
      </c>
      <c r="H14675">
        <v>49327410</v>
      </c>
      <c r="I14675">
        <v>49327410</v>
      </c>
    </row>
    <row r="14676" spans="1:9" x14ac:dyDescent="0.2">
      <c r="A14676" t="str">
        <f>"Olfr1392"</f>
        <v>Olfr1392</v>
      </c>
      <c r="B14676" t="s">
        <v>4768</v>
      </c>
      <c r="C14676" t="s">
        <v>27</v>
      </c>
      <c r="D14676" t="s">
        <v>17</v>
      </c>
      <c r="E14676" t="s">
        <v>20</v>
      </c>
      <c r="F14676">
        <v>49293296</v>
      </c>
      <c r="G14676">
        <v>49293296</v>
      </c>
      <c r="H14676">
        <v>49293296</v>
      </c>
      <c r="I14676">
        <v>49293296</v>
      </c>
    </row>
    <row r="14677" spans="1:9" x14ac:dyDescent="0.2">
      <c r="A14677" t="str">
        <f>"Olfr1393"</f>
        <v>Olfr1393</v>
      </c>
      <c r="B14677" t="s">
        <v>4769</v>
      </c>
      <c r="C14677" t="s">
        <v>27</v>
      </c>
      <c r="D14677" t="s">
        <v>17</v>
      </c>
      <c r="E14677" t="s">
        <v>20</v>
      </c>
      <c r="F14677">
        <v>49280149</v>
      </c>
      <c r="G14677">
        <v>49280149</v>
      </c>
      <c r="H14677">
        <v>49280149</v>
      </c>
      <c r="I14677">
        <v>49280149</v>
      </c>
    </row>
    <row r="14678" spans="1:9" x14ac:dyDescent="0.2">
      <c r="A14678" t="str">
        <f>"Olfr1394"</f>
        <v>Olfr1394</v>
      </c>
      <c r="B14678" t="s">
        <v>4770</v>
      </c>
      <c r="C14678" t="s">
        <v>27</v>
      </c>
      <c r="D14678" t="s">
        <v>17</v>
      </c>
      <c r="E14678" t="s">
        <v>20</v>
      </c>
      <c r="F14678">
        <v>49160015</v>
      </c>
      <c r="G14678">
        <v>49160015</v>
      </c>
      <c r="H14678">
        <v>49160015</v>
      </c>
      <c r="I14678">
        <v>49160015</v>
      </c>
    </row>
    <row r="14679" spans="1:9" x14ac:dyDescent="0.2">
      <c r="A14679" t="str">
        <f>"Olfr1395"</f>
        <v>Olfr1395</v>
      </c>
      <c r="B14679" t="s">
        <v>4771</v>
      </c>
      <c r="C14679" t="s">
        <v>27</v>
      </c>
      <c r="D14679" t="s">
        <v>17</v>
      </c>
      <c r="E14679" t="s">
        <v>20</v>
      </c>
      <c r="F14679">
        <v>49148258</v>
      </c>
      <c r="G14679">
        <v>49148258</v>
      </c>
      <c r="H14679">
        <v>49148258</v>
      </c>
      <c r="I14679">
        <v>49148258</v>
      </c>
    </row>
    <row r="14680" spans="1:9" x14ac:dyDescent="0.2">
      <c r="A14680" t="str">
        <f>"Olfr1396"</f>
        <v>Olfr1396</v>
      </c>
      <c r="B14680" t="s">
        <v>14</v>
      </c>
      <c r="C14680" t="s">
        <v>27</v>
      </c>
      <c r="D14680" t="s">
        <v>11</v>
      </c>
      <c r="E14680" t="s">
        <v>12</v>
      </c>
      <c r="F14680">
        <v>49114866</v>
      </c>
      <c r="G14680">
        <v>49114874</v>
      </c>
      <c r="H14680">
        <v>49114866</v>
      </c>
      <c r="I14680">
        <v>49114874</v>
      </c>
    </row>
    <row r="14681" spans="1:9" x14ac:dyDescent="0.2">
      <c r="A14681" t="str">
        <f>"Olfr140"</f>
        <v>Olfr140</v>
      </c>
      <c r="B14681" t="s">
        <v>4772</v>
      </c>
      <c r="C14681" t="s">
        <v>26</v>
      </c>
      <c r="D14681" t="s">
        <v>11</v>
      </c>
      <c r="E14681" t="s">
        <v>20</v>
      </c>
      <c r="F14681">
        <v>90052321</v>
      </c>
      <c r="G14681">
        <v>90052321</v>
      </c>
      <c r="H14681">
        <v>90052321</v>
      </c>
      <c r="I14681">
        <v>90052321</v>
      </c>
    </row>
    <row r="14682" spans="1:9" x14ac:dyDescent="0.2">
      <c r="A14682" t="str">
        <f>"Olfr140"</f>
        <v>Olfr140</v>
      </c>
      <c r="B14682" t="s">
        <v>4773</v>
      </c>
      <c r="C14682" t="s">
        <v>26</v>
      </c>
      <c r="D14682" t="s">
        <v>11</v>
      </c>
      <c r="E14682" t="s">
        <v>20</v>
      </c>
      <c r="F14682">
        <v>90063593</v>
      </c>
      <c r="G14682">
        <v>90063593</v>
      </c>
      <c r="H14682">
        <v>90063593</v>
      </c>
      <c r="I14682">
        <v>90063593</v>
      </c>
    </row>
    <row r="14683" spans="1:9" x14ac:dyDescent="0.2">
      <c r="A14683" t="str">
        <f>"Olfr1402"</f>
        <v>Olfr1402</v>
      </c>
      <c r="B14683" t="s">
        <v>4774</v>
      </c>
      <c r="C14683" t="s">
        <v>22</v>
      </c>
      <c r="D14683" t="s">
        <v>11</v>
      </c>
      <c r="E14683" t="s">
        <v>20</v>
      </c>
      <c r="F14683">
        <v>97411178</v>
      </c>
      <c r="G14683">
        <v>97411178</v>
      </c>
      <c r="H14683">
        <v>97411178</v>
      </c>
      <c r="I14683">
        <v>97411178</v>
      </c>
    </row>
    <row r="14684" spans="1:9" x14ac:dyDescent="0.2">
      <c r="A14684" t="str">
        <f>"Olfr1404"</f>
        <v>Olfr1404</v>
      </c>
      <c r="B14684" t="s">
        <v>4775</v>
      </c>
      <c r="C14684" t="s">
        <v>19</v>
      </c>
      <c r="D14684" t="s">
        <v>17</v>
      </c>
      <c r="E14684" t="s">
        <v>20</v>
      </c>
      <c r="F14684">
        <v>173215606</v>
      </c>
      <c r="G14684">
        <v>173215606</v>
      </c>
      <c r="H14684">
        <v>173215606</v>
      </c>
      <c r="I14684">
        <v>173215606</v>
      </c>
    </row>
    <row r="14685" spans="1:9" x14ac:dyDescent="0.2">
      <c r="A14685" t="str">
        <f>"Olfr1406"</f>
        <v>Olfr1406</v>
      </c>
      <c r="B14685" t="s">
        <v>4776</v>
      </c>
      <c r="C14685" t="s">
        <v>19</v>
      </c>
      <c r="D14685" t="s">
        <v>11</v>
      </c>
      <c r="E14685" t="s">
        <v>20</v>
      </c>
      <c r="F14685">
        <v>173184503</v>
      </c>
      <c r="G14685">
        <v>173184503</v>
      </c>
      <c r="H14685">
        <v>173184503</v>
      </c>
      <c r="I14685">
        <v>173184503</v>
      </c>
    </row>
    <row r="14686" spans="1:9" x14ac:dyDescent="0.2">
      <c r="A14686" t="str">
        <f>"Olfr1408"</f>
        <v>Olfr1408</v>
      </c>
      <c r="B14686" t="s">
        <v>4777</v>
      </c>
      <c r="C14686" t="s">
        <v>19</v>
      </c>
      <c r="D14686" t="s">
        <v>11</v>
      </c>
      <c r="E14686" t="s">
        <v>20</v>
      </c>
      <c r="F14686">
        <v>173131235</v>
      </c>
      <c r="G14686">
        <v>173131235</v>
      </c>
      <c r="H14686">
        <v>173131235</v>
      </c>
      <c r="I14686">
        <v>173131235</v>
      </c>
    </row>
    <row r="14687" spans="1:9" x14ac:dyDescent="0.2">
      <c r="A14687" t="str">
        <f>"Olfr141"</f>
        <v>Olfr141</v>
      </c>
      <c r="B14687" t="s">
        <v>4778</v>
      </c>
      <c r="C14687" t="s">
        <v>26</v>
      </c>
      <c r="D14687" t="s">
        <v>11</v>
      </c>
      <c r="E14687" t="s">
        <v>20</v>
      </c>
      <c r="F14687">
        <v>86806996</v>
      </c>
      <c r="G14687">
        <v>86806996</v>
      </c>
      <c r="H14687">
        <v>86806996</v>
      </c>
      <c r="I14687">
        <v>86806996</v>
      </c>
    </row>
    <row r="14688" spans="1:9" x14ac:dyDescent="0.2">
      <c r="A14688" t="str">
        <f>"Olfr1410"</f>
        <v>Olfr1410</v>
      </c>
      <c r="B14688" t="s">
        <v>4779</v>
      </c>
      <c r="C14688" t="s">
        <v>19</v>
      </c>
      <c r="D14688" t="s">
        <v>17</v>
      </c>
      <c r="E14688" t="s">
        <v>20</v>
      </c>
      <c r="F14688">
        <v>92607838</v>
      </c>
      <c r="G14688">
        <v>92607838</v>
      </c>
      <c r="H14688">
        <v>92607838</v>
      </c>
      <c r="I14688">
        <v>92607838</v>
      </c>
    </row>
    <row r="14689" spans="1:9" x14ac:dyDescent="0.2">
      <c r="A14689" t="str">
        <f>"Olfr1411"</f>
        <v>Olfr1411</v>
      </c>
      <c r="B14689" t="s">
        <v>4780</v>
      </c>
      <c r="C14689" t="s">
        <v>19</v>
      </c>
      <c r="D14689" t="s">
        <v>17</v>
      </c>
      <c r="E14689" t="s">
        <v>20</v>
      </c>
      <c r="F14689">
        <v>92596520</v>
      </c>
      <c r="G14689">
        <v>92596520</v>
      </c>
      <c r="H14689">
        <v>92596520</v>
      </c>
      <c r="I14689">
        <v>92596520</v>
      </c>
    </row>
    <row r="14690" spans="1:9" x14ac:dyDescent="0.2">
      <c r="A14690" t="str">
        <f>"Olfr1412"</f>
        <v>Olfr1412</v>
      </c>
      <c r="B14690" t="s">
        <v>4781</v>
      </c>
      <c r="C14690" t="s">
        <v>19</v>
      </c>
      <c r="D14690" t="s">
        <v>17</v>
      </c>
      <c r="E14690" t="s">
        <v>20</v>
      </c>
      <c r="F14690">
        <v>92588331</v>
      </c>
      <c r="G14690">
        <v>92588331</v>
      </c>
      <c r="H14690">
        <v>92588331</v>
      </c>
      <c r="I14690">
        <v>92588331</v>
      </c>
    </row>
    <row r="14691" spans="1:9" x14ac:dyDescent="0.2">
      <c r="A14691" t="str">
        <f>"Olfr1413"</f>
        <v>Olfr1413</v>
      </c>
      <c r="B14691" t="s">
        <v>4782</v>
      </c>
      <c r="C14691" t="s">
        <v>19</v>
      </c>
      <c r="D14691" t="s">
        <v>17</v>
      </c>
      <c r="E14691" t="s">
        <v>20</v>
      </c>
      <c r="F14691">
        <v>92573124</v>
      </c>
      <c r="G14691">
        <v>92573124</v>
      </c>
      <c r="H14691">
        <v>92573124</v>
      </c>
      <c r="I14691">
        <v>92573124</v>
      </c>
    </row>
    <row r="14692" spans="1:9" x14ac:dyDescent="0.2">
      <c r="A14692" t="str">
        <f>"Olfr1414"</f>
        <v>Olfr1414</v>
      </c>
      <c r="B14692" t="s">
        <v>4783</v>
      </c>
      <c r="C14692" t="s">
        <v>19</v>
      </c>
      <c r="D14692" t="s">
        <v>11</v>
      </c>
      <c r="E14692" t="s">
        <v>20</v>
      </c>
      <c r="F14692">
        <v>92518514</v>
      </c>
      <c r="G14692">
        <v>92518514</v>
      </c>
      <c r="H14692">
        <v>92518514</v>
      </c>
      <c r="I14692">
        <v>92518514</v>
      </c>
    </row>
    <row r="14693" spans="1:9" x14ac:dyDescent="0.2">
      <c r="A14693" t="str">
        <f>"Olfr1415"</f>
        <v>Olfr1415</v>
      </c>
      <c r="B14693" t="s">
        <v>4784</v>
      </c>
      <c r="C14693" t="s">
        <v>19</v>
      </c>
      <c r="D14693" t="s">
        <v>11</v>
      </c>
      <c r="E14693" t="s">
        <v>20</v>
      </c>
      <c r="F14693">
        <v>92491752</v>
      </c>
      <c r="G14693">
        <v>92491752</v>
      </c>
      <c r="H14693">
        <v>92491752</v>
      </c>
      <c r="I14693">
        <v>92491752</v>
      </c>
    </row>
    <row r="14694" spans="1:9" x14ac:dyDescent="0.2">
      <c r="A14694" t="str">
        <f>"Olfr1416"</f>
        <v>Olfr1416</v>
      </c>
      <c r="B14694" t="s">
        <v>4785</v>
      </c>
      <c r="C14694" t="s">
        <v>19</v>
      </c>
      <c r="D14694" t="s">
        <v>11</v>
      </c>
      <c r="E14694" t="s">
        <v>20</v>
      </c>
      <c r="F14694">
        <v>92480618</v>
      </c>
      <c r="G14694">
        <v>92480618</v>
      </c>
      <c r="H14694">
        <v>92480618</v>
      </c>
      <c r="I14694">
        <v>92480618</v>
      </c>
    </row>
    <row r="14695" spans="1:9" x14ac:dyDescent="0.2">
      <c r="A14695" t="str">
        <f>"Olfr1417"</f>
        <v>Olfr1417</v>
      </c>
      <c r="B14695" t="s">
        <v>4786</v>
      </c>
      <c r="C14695" t="s">
        <v>10</v>
      </c>
      <c r="D14695" t="s">
        <v>11</v>
      </c>
      <c r="E14695" t="s">
        <v>20</v>
      </c>
      <c r="F14695">
        <v>11829023</v>
      </c>
      <c r="G14695">
        <v>11829023</v>
      </c>
      <c r="H14695">
        <v>11829023</v>
      </c>
      <c r="I14695">
        <v>11829023</v>
      </c>
    </row>
    <row r="14696" spans="1:9" x14ac:dyDescent="0.2">
      <c r="A14696" t="str">
        <f>"Olfr1418"</f>
        <v>Olfr1418</v>
      </c>
      <c r="B14696" t="s">
        <v>4787</v>
      </c>
      <c r="C14696" t="s">
        <v>10</v>
      </c>
      <c r="D14696" t="s">
        <v>11</v>
      </c>
      <c r="E14696" t="s">
        <v>20</v>
      </c>
      <c r="F14696">
        <v>11856000</v>
      </c>
      <c r="G14696">
        <v>11856000</v>
      </c>
      <c r="H14696">
        <v>11856000</v>
      </c>
      <c r="I14696">
        <v>11856000</v>
      </c>
    </row>
    <row r="14697" spans="1:9" x14ac:dyDescent="0.2">
      <c r="A14697" t="str">
        <f>"Olfr1419"</f>
        <v>Olfr1419</v>
      </c>
      <c r="B14697" t="s">
        <v>4788</v>
      </c>
      <c r="C14697" t="s">
        <v>10</v>
      </c>
      <c r="D14697" t="s">
        <v>11</v>
      </c>
      <c r="E14697" t="s">
        <v>20</v>
      </c>
      <c r="F14697">
        <v>11871304</v>
      </c>
      <c r="G14697">
        <v>11871304</v>
      </c>
      <c r="H14697">
        <v>11871304</v>
      </c>
      <c r="I14697">
        <v>11871304</v>
      </c>
    </row>
    <row r="14698" spans="1:9" x14ac:dyDescent="0.2">
      <c r="A14698" t="str">
        <f>"Olfr142"</f>
        <v>Olfr142</v>
      </c>
      <c r="B14698" t="s">
        <v>4789</v>
      </c>
      <c r="C14698" t="s">
        <v>26</v>
      </c>
      <c r="D14698" t="s">
        <v>11</v>
      </c>
      <c r="E14698" t="s">
        <v>20</v>
      </c>
      <c r="F14698">
        <v>90252985</v>
      </c>
      <c r="G14698">
        <v>90252985</v>
      </c>
      <c r="H14698">
        <v>90252985</v>
      </c>
      <c r="I14698">
        <v>90252985</v>
      </c>
    </row>
    <row r="14699" spans="1:9" x14ac:dyDescent="0.2">
      <c r="A14699" t="str">
        <f>"Olfr1420"</f>
        <v>Olfr1420</v>
      </c>
      <c r="B14699" t="s">
        <v>4790</v>
      </c>
      <c r="C14699" t="s">
        <v>10</v>
      </c>
      <c r="D14699" t="s">
        <v>17</v>
      </c>
      <c r="E14699" t="s">
        <v>20</v>
      </c>
      <c r="F14699">
        <v>11895998</v>
      </c>
      <c r="G14699">
        <v>11895998</v>
      </c>
      <c r="H14699">
        <v>11895998</v>
      </c>
      <c r="I14699">
        <v>11895998</v>
      </c>
    </row>
    <row r="14700" spans="1:9" x14ac:dyDescent="0.2">
      <c r="A14700" t="str">
        <f>"Olfr1423"</f>
        <v>Olfr1423</v>
      </c>
      <c r="B14700" t="s">
        <v>4791</v>
      </c>
      <c r="C14700" t="s">
        <v>10</v>
      </c>
      <c r="D14700" t="s">
        <v>11</v>
      </c>
      <c r="E14700" t="s">
        <v>20</v>
      </c>
      <c r="F14700">
        <v>12036739</v>
      </c>
      <c r="G14700">
        <v>12036739</v>
      </c>
      <c r="H14700">
        <v>12036739</v>
      </c>
      <c r="I14700">
        <v>12036739</v>
      </c>
    </row>
    <row r="14701" spans="1:9" x14ac:dyDescent="0.2">
      <c r="A14701" t="str">
        <f>"Olfr1424"</f>
        <v>Olfr1424</v>
      </c>
      <c r="B14701" t="s">
        <v>4792</v>
      </c>
      <c r="C14701" t="s">
        <v>10</v>
      </c>
      <c r="D14701" t="s">
        <v>11</v>
      </c>
      <c r="E14701" t="s">
        <v>20</v>
      </c>
      <c r="F14701">
        <v>12059749</v>
      </c>
      <c r="G14701">
        <v>12059749</v>
      </c>
      <c r="H14701">
        <v>12059749</v>
      </c>
      <c r="I14701">
        <v>12059749</v>
      </c>
    </row>
    <row r="14702" spans="1:9" x14ac:dyDescent="0.2">
      <c r="A14702" t="str">
        <f>"Olfr1425"</f>
        <v>Olfr1425</v>
      </c>
      <c r="B14702" t="s">
        <v>4793</v>
      </c>
      <c r="C14702" t="s">
        <v>10</v>
      </c>
      <c r="D14702" t="s">
        <v>11</v>
      </c>
      <c r="E14702" t="s">
        <v>20</v>
      </c>
      <c r="F14702">
        <v>12074632</v>
      </c>
      <c r="G14702">
        <v>12074632</v>
      </c>
      <c r="H14702">
        <v>12074632</v>
      </c>
      <c r="I14702">
        <v>12074632</v>
      </c>
    </row>
    <row r="14703" spans="1:9" x14ac:dyDescent="0.2">
      <c r="A14703" t="str">
        <f>"Olfr1426"</f>
        <v>Olfr1426</v>
      </c>
      <c r="B14703" t="s">
        <v>4794</v>
      </c>
      <c r="C14703" t="s">
        <v>10</v>
      </c>
      <c r="D14703" t="s">
        <v>11</v>
      </c>
      <c r="E14703" t="s">
        <v>20</v>
      </c>
      <c r="F14703">
        <v>12091846</v>
      </c>
      <c r="G14703">
        <v>12091846</v>
      </c>
      <c r="H14703">
        <v>12091846</v>
      </c>
      <c r="I14703">
        <v>12091846</v>
      </c>
    </row>
    <row r="14704" spans="1:9" x14ac:dyDescent="0.2">
      <c r="A14704" t="str">
        <f>"Olfr1427"</f>
        <v>Olfr1427</v>
      </c>
      <c r="B14704" t="s">
        <v>4795</v>
      </c>
      <c r="C14704" t="s">
        <v>10</v>
      </c>
      <c r="D14704" t="s">
        <v>11</v>
      </c>
      <c r="E14704" t="s">
        <v>20</v>
      </c>
      <c r="F14704">
        <v>12099638</v>
      </c>
      <c r="G14704">
        <v>12099638</v>
      </c>
      <c r="H14704">
        <v>12099638</v>
      </c>
      <c r="I14704">
        <v>12099638</v>
      </c>
    </row>
    <row r="14705" spans="1:9" x14ac:dyDescent="0.2">
      <c r="A14705" t="str">
        <f>"Olfr1428"</f>
        <v>Olfr1428</v>
      </c>
      <c r="B14705" t="s">
        <v>4796</v>
      </c>
      <c r="C14705" t="s">
        <v>10</v>
      </c>
      <c r="D14705" t="s">
        <v>11</v>
      </c>
      <c r="E14705" t="s">
        <v>20</v>
      </c>
      <c r="F14705">
        <v>12109543</v>
      </c>
      <c r="G14705">
        <v>12109543</v>
      </c>
      <c r="H14705">
        <v>12109543</v>
      </c>
      <c r="I14705">
        <v>12109543</v>
      </c>
    </row>
    <row r="14706" spans="1:9" x14ac:dyDescent="0.2">
      <c r="A14706" t="str">
        <f>"Olfr143"</f>
        <v>Olfr143</v>
      </c>
      <c r="B14706" t="s">
        <v>4797</v>
      </c>
      <c r="C14706" t="s">
        <v>24</v>
      </c>
      <c r="D14706" t="s">
        <v>17</v>
      </c>
      <c r="E14706" t="s">
        <v>20</v>
      </c>
      <c r="F14706">
        <v>38253418</v>
      </c>
      <c r="G14706">
        <v>38253418</v>
      </c>
      <c r="H14706">
        <v>38253418</v>
      </c>
      <c r="I14706">
        <v>38253418</v>
      </c>
    </row>
    <row r="14707" spans="1:9" x14ac:dyDescent="0.2">
      <c r="A14707" t="str">
        <f>"Olfr1431"</f>
        <v>Olfr1431</v>
      </c>
      <c r="B14707" t="s">
        <v>4798</v>
      </c>
      <c r="C14707" t="s">
        <v>10</v>
      </c>
      <c r="D14707" t="s">
        <v>17</v>
      </c>
      <c r="E14707" t="s">
        <v>20</v>
      </c>
      <c r="F14707">
        <v>12209567</v>
      </c>
      <c r="G14707">
        <v>12209567</v>
      </c>
      <c r="H14707">
        <v>12209567</v>
      </c>
      <c r="I14707">
        <v>12209567</v>
      </c>
    </row>
    <row r="14708" spans="1:9" x14ac:dyDescent="0.2">
      <c r="A14708" t="str">
        <f>"Olfr1433"</f>
        <v>Olfr1433</v>
      </c>
      <c r="B14708" t="s">
        <v>4799</v>
      </c>
      <c r="C14708" t="s">
        <v>10</v>
      </c>
      <c r="D14708" t="s">
        <v>17</v>
      </c>
      <c r="E14708" t="s">
        <v>20</v>
      </c>
      <c r="F14708">
        <v>12279853</v>
      </c>
      <c r="G14708">
        <v>12279853</v>
      </c>
      <c r="H14708">
        <v>12279853</v>
      </c>
      <c r="I14708">
        <v>12279853</v>
      </c>
    </row>
    <row r="14709" spans="1:9" x14ac:dyDescent="0.2">
      <c r="A14709" t="str">
        <f>"Olfr1436"</f>
        <v>Olfr1436</v>
      </c>
      <c r="B14709" t="s">
        <v>4800</v>
      </c>
      <c r="C14709" t="s">
        <v>10</v>
      </c>
      <c r="D14709" t="s">
        <v>11</v>
      </c>
      <c r="E14709" t="s">
        <v>20</v>
      </c>
      <c r="F14709">
        <v>12299129</v>
      </c>
      <c r="G14709">
        <v>12299129</v>
      </c>
      <c r="H14709">
        <v>12299129</v>
      </c>
      <c r="I14709">
        <v>12299129</v>
      </c>
    </row>
    <row r="14710" spans="1:9" x14ac:dyDescent="0.2">
      <c r="A14710" t="str">
        <f>"Olfr1437"</f>
        <v>Olfr1437</v>
      </c>
      <c r="B14710" t="s">
        <v>4801</v>
      </c>
      <c r="C14710" t="s">
        <v>10</v>
      </c>
      <c r="D14710" t="s">
        <v>11</v>
      </c>
      <c r="E14710" t="s">
        <v>20</v>
      </c>
      <c r="F14710">
        <v>12322824</v>
      </c>
      <c r="G14710">
        <v>12322824</v>
      </c>
      <c r="H14710">
        <v>12322824</v>
      </c>
      <c r="I14710">
        <v>12322824</v>
      </c>
    </row>
    <row r="14711" spans="1:9" x14ac:dyDescent="0.2">
      <c r="A14711" t="str">
        <f>"Olfr1440"</f>
        <v>Olfr1440</v>
      </c>
      <c r="B14711" t="s">
        <v>4802</v>
      </c>
      <c r="C14711" t="s">
        <v>10</v>
      </c>
      <c r="D14711" t="s">
        <v>17</v>
      </c>
      <c r="E14711" t="s">
        <v>20</v>
      </c>
      <c r="F14711">
        <v>12394264</v>
      </c>
      <c r="G14711">
        <v>12394264</v>
      </c>
      <c r="H14711">
        <v>12394264</v>
      </c>
      <c r="I14711">
        <v>12394264</v>
      </c>
    </row>
    <row r="14712" spans="1:9" x14ac:dyDescent="0.2">
      <c r="A14712" t="str">
        <f>"Olfr1441"</f>
        <v>Olfr1441</v>
      </c>
      <c r="B14712" t="s">
        <v>4803</v>
      </c>
      <c r="C14712" t="s">
        <v>10</v>
      </c>
      <c r="D14712" t="s">
        <v>17</v>
      </c>
      <c r="E14712" t="s">
        <v>20</v>
      </c>
      <c r="F14712">
        <v>12422264</v>
      </c>
      <c r="G14712">
        <v>12422264</v>
      </c>
      <c r="H14712">
        <v>12422264</v>
      </c>
      <c r="I14712">
        <v>12422264</v>
      </c>
    </row>
    <row r="14713" spans="1:9" x14ac:dyDescent="0.2">
      <c r="A14713" t="str">
        <f>"Olfr1442"</f>
        <v>Olfr1442</v>
      </c>
      <c r="B14713" t="s">
        <v>4804</v>
      </c>
      <c r="C14713" t="s">
        <v>10</v>
      </c>
      <c r="D14713" t="s">
        <v>17</v>
      </c>
      <c r="E14713" t="s">
        <v>20</v>
      </c>
      <c r="F14713">
        <v>12674178</v>
      </c>
      <c r="G14713">
        <v>12674178</v>
      </c>
      <c r="H14713">
        <v>12674178</v>
      </c>
      <c r="I14713">
        <v>12674178</v>
      </c>
    </row>
    <row r="14714" spans="1:9" x14ac:dyDescent="0.2">
      <c r="A14714" t="str">
        <f>"Olfr1443"</f>
        <v>Olfr1443</v>
      </c>
      <c r="B14714" t="s">
        <v>4805</v>
      </c>
      <c r="C14714" t="s">
        <v>10</v>
      </c>
      <c r="D14714" t="s">
        <v>17</v>
      </c>
      <c r="E14714" t="s">
        <v>20</v>
      </c>
      <c r="F14714">
        <v>12678165</v>
      </c>
      <c r="G14714">
        <v>12678165</v>
      </c>
      <c r="H14714">
        <v>12678165</v>
      </c>
      <c r="I14714">
        <v>12678165</v>
      </c>
    </row>
    <row r="14715" spans="1:9" x14ac:dyDescent="0.2">
      <c r="A14715" t="str">
        <f>"Olfr1444"</f>
        <v>Olfr1444</v>
      </c>
      <c r="B14715" t="s">
        <v>4806</v>
      </c>
      <c r="C14715" t="s">
        <v>10</v>
      </c>
      <c r="D14715" t="s">
        <v>17</v>
      </c>
      <c r="E14715" t="s">
        <v>20</v>
      </c>
      <c r="F14715">
        <v>12861741</v>
      </c>
      <c r="G14715">
        <v>12861741</v>
      </c>
      <c r="H14715">
        <v>12861741</v>
      </c>
      <c r="I14715">
        <v>12861741</v>
      </c>
    </row>
    <row r="14716" spans="1:9" x14ac:dyDescent="0.2">
      <c r="A14716" t="str">
        <f>"Olfr1445"</f>
        <v>Olfr1445</v>
      </c>
      <c r="B14716" t="s">
        <v>4807</v>
      </c>
      <c r="C14716" t="s">
        <v>10</v>
      </c>
      <c r="D14716" t="s">
        <v>17</v>
      </c>
      <c r="E14716" t="s">
        <v>20</v>
      </c>
      <c r="F14716">
        <v>12883854</v>
      </c>
      <c r="G14716">
        <v>12883854</v>
      </c>
      <c r="H14716">
        <v>12883854</v>
      </c>
      <c r="I14716">
        <v>12883854</v>
      </c>
    </row>
    <row r="14717" spans="1:9" x14ac:dyDescent="0.2">
      <c r="A14717" t="str">
        <f>"Olfr1446"</f>
        <v>Olfr1446</v>
      </c>
      <c r="B14717" t="s">
        <v>4808</v>
      </c>
      <c r="C14717" t="s">
        <v>10</v>
      </c>
      <c r="D14717" t="s">
        <v>11</v>
      </c>
      <c r="E14717" t="s">
        <v>20</v>
      </c>
      <c r="F14717">
        <v>12890657</v>
      </c>
      <c r="G14717">
        <v>12890657</v>
      </c>
      <c r="H14717">
        <v>12890657</v>
      </c>
      <c r="I14717">
        <v>12890657</v>
      </c>
    </row>
    <row r="14718" spans="1:9" x14ac:dyDescent="0.2">
      <c r="A14718" t="str">
        <f>"Olfr1447"</f>
        <v>Olfr1447</v>
      </c>
      <c r="B14718" t="s">
        <v>4809</v>
      </c>
      <c r="C14718" t="s">
        <v>10</v>
      </c>
      <c r="D14718" t="s">
        <v>11</v>
      </c>
      <c r="E14718" t="s">
        <v>20</v>
      </c>
      <c r="F14718">
        <v>12901860</v>
      </c>
      <c r="G14718">
        <v>12901860</v>
      </c>
      <c r="H14718">
        <v>12901860</v>
      </c>
      <c r="I14718">
        <v>12901860</v>
      </c>
    </row>
    <row r="14719" spans="1:9" x14ac:dyDescent="0.2">
      <c r="A14719" t="str">
        <f>"Olfr1448"</f>
        <v>Olfr1448</v>
      </c>
      <c r="B14719" t="s">
        <v>4810</v>
      </c>
      <c r="C14719" t="s">
        <v>10</v>
      </c>
      <c r="D14719" t="s">
        <v>11</v>
      </c>
      <c r="E14719" t="s">
        <v>20</v>
      </c>
      <c r="F14719">
        <v>12920306</v>
      </c>
      <c r="G14719">
        <v>12920306</v>
      </c>
      <c r="H14719">
        <v>12920306</v>
      </c>
      <c r="I14719">
        <v>12920306</v>
      </c>
    </row>
    <row r="14720" spans="1:9" x14ac:dyDescent="0.2">
      <c r="A14720" t="str">
        <f>"Olfr1449"</f>
        <v>Olfr1449</v>
      </c>
      <c r="B14720" t="s">
        <v>4811</v>
      </c>
      <c r="C14720" t="s">
        <v>10</v>
      </c>
      <c r="D14720" t="s">
        <v>17</v>
      </c>
      <c r="E14720" t="s">
        <v>20</v>
      </c>
      <c r="F14720">
        <v>12934736</v>
      </c>
      <c r="G14720">
        <v>12934736</v>
      </c>
      <c r="H14720">
        <v>12934736</v>
      </c>
      <c r="I14720">
        <v>12934736</v>
      </c>
    </row>
    <row r="14721" spans="1:9" x14ac:dyDescent="0.2">
      <c r="A14721" t="str">
        <f>"Olfr145"</f>
        <v>Olfr145</v>
      </c>
      <c r="B14721" t="s">
        <v>4812</v>
      </c>
      <c r="C14721" t="s">
        <v>24</v>
      </c>
      <c r="D14721" t="s">
        <v>17</v>
      </c>
      <c r="E14721" t="s">
        <v>20</v>
      </c>
      <c r="F14721">
        <v>37897324</v>
      </c>
      <c r="G14721">
        <v>37897324</v>
      </c>
      <c r="H14721">
        <v>37897324</v>
      </c>
      <c r="I14721">
        <v>37897324</v>
      </c>
    </row>
    <row r="14722" spans="1:9" x14ac:dyDescent="0.2">
      <c r="A14722" t="str">
        <f>"Olfr1450"</f>
        <v>Olfr1450</v>
      </c>
      <c r="B14722" t="s">
        <v>4813</v>
      </c>
      <c r="C14722" t="s">
        <v>10</v>
      </c>
      <c r="D14722" t="s">
        <v>17</v>
      </c>
      <c r="E14722" t="s">
        <v>20</v>
      </c>
      <c r="F14722">
        <v>12953590</v>
      </c>
      <c r="G14722">
        <v>12953590</v>
      </c>
      <c r="H14722">
        <v>12953590</v>
      </c>
      <c r="I14722">
        <v>12953590</v>
      </c>
    </row>
    <row r="14723" spans="1:9" x14ac:dyDescent="0.2">
      <c r="A14723" t="str">
        <f>"Olfr1451"</f>
        <v>Olfr1451</v>
      </c>
      <c r="B14723" t="s">
        <v>4814</v>
      </c>
      <c r="C14723" t="s">
        <v>10</v>
      </c>
      <c r="D14723" t="s">
        <v>17</v>
      </c>
      <c r="E14723" t="s">
        <v>20</v>
      </c>
      <c r="F14723">
        <v>12998987</v>
      </c>
      <c r="G14723">
        <v>12998987</v>
      </c>
      <c r="H14723">
        <v>12998987</v>
      </c>
      <c r="I14723">
        <v>12998987</v>
      </c>
    </row>
    <row r="14724" spans="1:9" x14ac:dyDescent="0.2">
      <c r="A14724" t="str">
        <f>"Olfr1453"</f>
        <v>Olfr1453</v>
      </c>
      <c r="B14724" t="s">
        <v>4815</v>
      </c>
      <c r="C14724" t="s">
        <v>10</v>
      </c>
      <c r="D14724" t="s">
        <v>11</v>
      </c>
      <c r="E14724" t="s">
        <v>20</v>
      </c>
      <c r="F14724">
        <v>13028326</v>
      </c>
      <c r="G14724">
        <v>13028326</v>
      </c>
      <c r="H14724">
        <v>13028326</v>
      </c>
      <c r="I14724">
        <v>13028326</v>
      </c>
    </row>
    <row r="14725" spans="1:9" x14ac:dyDescent="0.2">
      <c r="A14725" t="str">
        <f>"Olfr1454"</f>
        <v>Olfr1454</v>
      </c>
      <c r="B14725" t="s">
        <v>4816</v>
      </c>
      <c r="C14725" t="s">
        <v>10</v>
      </c>
      <c r="D14725" t="s">
        <v>17</v>
      </c>
      <c r="E14725" t="s">
        <v>20</v>
      </c>
      <c r="F14725">
        <v>13063412</v>
      </c>
      <c r="G14725">
        <v>13063412</v>
      </c>
      <c r="H14725">
        <v>13063412</v>
      </c>
      <c r="I14725">
        <v>13063412</v>
      </c>
    </row>
    <row r="14726" spans="1:9" x14ac:dyDescent="0.2">
      <c r="A14726" t="str">
        <f>"Olfr1457"</f>
        <v>Olfr1457</v>
      </c>
      <c r="B14726" t="s">
        <v>4817</v>
      </c>
      <c r="C14726" t="s">
        <v>10</v>
      </c>
      <c r="D14726" t="s">
        <v>11</v>
      </c>
      <c r="E14726" t="s">
        <v>20</v>
      </c>
      <c r="F14726">
        <v>13095645</v>
      </c>
      <c r="G14726">
        <v>13095645</v>
      </c>
      <c r="H14726">
        <v>13095645</v>
      </c>
      <c r="I14726">
        <v>13095645</v>
      </c>
    </row>
    <row r="14727" spans="1:9" x14ac:dyDescent="0.2">
      <c r="A14727" t="str">
        <f>"Olfr1458"</f>
        <v>Olfr1458</v>
      </c>
      <c r="B14727" t="s">
        <v>4818</v>
      </c>
      <c r="C14727" t="s">
        <v>10</v>
      </c>
      <c r="D14727" t="s">
        <v>11</v>
      </c>
      <c r="E14727" t="s">
        <v>20</v>
      </c>
      <c r="F14727">
        <v>13103283</v>
      </c>
      <c r="G14727">
        <v>13103283</v>
      </c>
      <c r="H14727">
        <v>13103283</v>
      </c>
      <c r="I14727">
        <v>13103283</v>
      </c>
    </row>
    <row r="14728" spans="1:9" x14ac:dyDescent="0.2">
      <c r="A14728" t="str">
        <f>"Olfr1459"</f>
        <v>Olfr1459</v>
      </c>
      <c r="B14728" t="s">
        <v>4819</v>
      </c>
      <c r="C14728" t="s">
        <v>10</v>
      </c>
      <c r="D14728" t="s">
        <v>11</v>
      </c>
      <c r="E14728" t="s">
        <v>20</v>
      </c>
      <c r="F14728">
        <v>13146742</v>
      </c>
      <c r="G14728">
        <v>13146742</v>
      </c>
      <c r="H14728">
        <v>13146742</v>
      </c>
      <c r="I14728">
        <v>13146742</v>
      </c>
    </row>
    <row r="14729" spans="1:9" x14ac:dyDescent="0.2">
      <c r="A14729" t="str">
        <f>"Olfr146"</f>
        <v>Olfr146</v>
      </c>
      <c r="B14729" t="s">
        <v>4820</v>
      </c>
      <c r="C14729" t="s">
        <v>24</v>
      </c>
      <c r="D14729" t="s">
        <v>11</v>
      </c>
      <c r="E14729" t="s">
        <v>20</v>
      </c>
      <c r="F14729">
        <v>39019618</v>
      </c>
      <c r="G14729">
        <v>39019618</v>
      </c>
      <c r="H14729">
        <v>39019618</v>
      </c>
      <c r="I14729">
        <v>39019618</v>
      </c>
    </row>
    <row r="14730" spans="1:9" x14ac:dyDescent="0.2">
      <c r="A14730" t="str">
        <f>"Olfr1461"</f>
        <v>Olfr1461</v>
      </c>
      <c r="B14730" t="s">
        <v>4821</v>
      </c>
      <c r="C14730" t="s">
        <v>10</v>
      </c>
      <c r="D14730" t="s">
        <v>17</v>
      </c>
      <c r="E14730" t="s">
        <v>20</v>
      </c>
      <c r="F14730">
        <v>13165015</v>
      </c>
      <c r="G14730">
        <v>13165015</v>
      </c>
      <c r="H14730">
        <v>13165015</v>
      </c>
      <c r="I14730">
        <v>13165015</v>
      </c>
    </row>
    <row r="14731" spans="1:9" x14ac:dyDescent="0.2">
      <c r="A14731" t="str">
        <f>"Olfr1462"</f>
        <v>Olfr1462</v>
      </c>
      <c r="B14731" t="s">
        <v>4822</v>
      </c>
      <c r="C14731" t="s">
        <v>10</v>
      </c>
      <c r="D14731" t="s">
        <v>17</v>
      </c>
      <c r="E14731" t="s">
        <v>20</v>
      </c>
      <c r="F14731">
        <v>13190668</v>
      </c>
      <c r="G14731">
        <v>13190668</v>
      </c>
      <c r="H14731">
        <v>13190668</v>
      </c>
      <c r="I14731">
        <v>13190668</v>
      </c>
    </row>
    <row r="14732" spans="1:9" x14ac:dyDescent="0.2">
      <c r="A14732" t="str">
        <f>"Olfr1463"</f>
        <v>Olfr1463</v>
      </c>
      <c r="B14732" t="s">
        <v>4823</v>
      </c>
      <c r="C14732" t="s">
        <v>10</v>
      </c>
      <c r="D14732" t="s">
        <v>17</v>
      </c>
      <c r="E14732" t="s">
        <v>20</v>
      </c>
      <c r="F14732">
        <v>13234251</v>
      </c>
      <c r="G14732">
        <v>13234251</v>
      </c>
      <c r="H14732">
        <v>13234251</v>
      </c>
      <c r="I14732">
        <v>13234251</v>
      </c>
    </row>
    <row r="14733" spans="1:9" x14ac:dyDescent="0.2">
      <c r="A14733" t="str">
        <f>"Olfr1465"</f>
        <v>Olfr1465</v>
      </c>
      <c r="B14733" t="s">
        <v>4824</v>
      </c>
      <c r="C14733" t="s">
        <v>10</v>
      </c>
      <c r="D14733" t="s">
        <v>11</v>
      </c>
      <c r="E14733" t="s">
        <v>20</v>
      </c>
      <c r="F14733">
        <v>13314282</v>
      </c>
      <c r="G14733">
        <v>13314282</v>
      </c>
      <c r="H14733">
        <v>13314282</v>
      </c>
      <c r="I14733">
        <v>13314282</v>
      </c>
    </row>
    <row r="14734" spans="1:9" x14ac:dyDescent="0.2">
      <c r="A14734" t="str">
        <f>"Olfr1466"</f>
        <v>Olfr1466</v>
      </c>
      <c r="B14734" t="s">
        <v>4825</v>
      </c>
      <c r="C14734" t="s">
        <v>10</v>
      </c>
      <c r="D14734" t="s">
        <v>17</v>
      </c>
      <c r="E14734" t="s">
        <v>20</v>
      </c>
      <c r="F14734">
        <v>13341759</v>
      </c>
      <c r="G14734">
        <v>13341759</v>
      </c>
      <c r="H14734">
        <v>13341759</v>
      </c>
      <c r="I14734">
        <v>13341759</v>
      </c>
    </row>
    <row r="14735" spans="1:9" x14ac:dyDescent="0.2">
      <c r="A14735" t="str">
        <f>"Olfr1467"</f>
        <v>Olfr1467</v>
      </c>
      <c r="B14735" t="s">
        <v>4826</v>
      </c>
      <c r="C14735" t="s">
        <v>10</v>
      </c>
      <c r="D14735" t="s">
        <v>17</v>
      </c>
      <c r="E14735" t="s">
        <v>20</v>
      </c>
      <c r="F14735">
        <v>13364629</v>
      </c>
      <c r="G14735">
        <v>13364629</v>
      </c>
      <c r="H14735">
        <v>13364629</v>
      </c>
      <c r="I14735">
        <v>13364629</v>
      </c>
    </row>
    <row r="14736" spans="1:9" x14ac:dyDescent="0.2">
      <c r="A14736" t="str">
        <f>"Olfr1469"</f>
        <v>Olfr1469</v>
      </c>
      <c r="B14736" t="s">
        <v>4827</v>
      </c>
      <c r="C14736" t="s">
        <v>10</v>
      </c>
      <c r="D14736" t="s">
        <v>17</v>
      </c>
      <c r="E14736" t="s">
        <v>20</v>
      </c>
      <c r="F14736">
        <v>13410570</v>
      </c>
      <c r="G14736">
        <v>13410570</v>
      </c>
      <c r="H14736">
        <v>13410570</v>
      </c>
      <c r="I14736">
        <v>13410570</v>
      </c>
    </row>
    <row r="14737" spans="1:9" x14ac:dyDescent="0.2">
      <c r="A14737" t="str">
        <f>"Olfr147"</f>
        <v>Olfr147</v>
      </c>
      <c r="B14737" t="s">
        <v>4828</v>
      </c>
      <c r="C14737" t="s">
        <v>24</v>
      </c>
      <c r="D14737" t="s">
        <v>17</v>
      </c>
      <c r="E14737" t="s">
        <v>20</v>
      </c>
      <c r="F14737">
        <v>38401719</v>
      </c>
      <c r="G14737">
        <v>38401719</v>
      </c>
      <c r="H14737">
        <v>38401719</v>
      </c>
      <c r="I14737">
        <v>38401719</v>
      </c>
    </row>
    <row r="14738" spans="1:9" x14ac:dyDescent="0.2">
      <c r="A14738" t="str">
        <f>"Olfr1471"</f>
        <v>Olfr1471</v>
      </c>
      <c r="B14738" t="s">
        <v>4829</v>
      </c>
      <c r="C14738" t="s">
        <v>10</v>
      </c>
      <c r="D14738" t="s">
        <v>17</v>
      </c>
      <c r="E14738" t="s">
        <v>20</v>
      </c>
      <c r="F14738">
        <v>13445013</v>
      </c>
      <c r="G14738">
        <v>13445013</v>
      </c>
      <c r="H14738">
        <v>13445013</v>
      </c>
      <c r="I14738">
        <v>13445013</v>
      </c>
    </row>
    <row r="14739" spans="1:9" x14ac:dyDescent="0.2">
      <c r="A14739" t="str">
        <f>"Olfr1472"</f>
        <v>Olfr1472</v>
      </c>
      <c r="B14739" t="s">
        <v>4830</v>
      </c>
      <c r="C14739" t="s">
        <v>10</v>
      </c>
      <c r="D14739" t="s">
        <v>11</v>
      </c>
      <c r="E14739" t="s">
        <v>20</v>
      </c>
      <c r="F14739">
        <v>13454514</v>
      </c>
      <c r="G14739">
        <v>13454514</v>
      </c>
      <c r="H14739">
        <v>13454514</v>
      </c>
      <c r="I14739">
        <v>13454514</v>
      </c>
    </row>
    <row r="14740" spans="1:9" x14ac:dyDescent="0.2">
      <c r="A14740" t="str">
        <f>"Olfr1474"</f>
        <v>Olfr1474</v>
      </c>
      <c r="B14740" t="s">
        <v>4831</v>
      </c>
      <c r="C14740" t="s">
        <v>10</v>
      </c>
      <c r="D14740" t="s">
        <v>17</v>
      </c>
      <c r="E14740" t="s">
        <v>20</v>
      </c>
      <c r="F14740">
        <v>13470971</v>
      </c>
      <c r="G14740">
        <v>13470971</v>
      </c>
      <c r="H14740">
        <v>13470971</v>
      </c>
      <c r="I14740">
        <v>13470971</v>
      </c>
    </row>
    <row r="14741" spans="1:9" x14ac:dyDescent="0.2">
      <c r="A14741" t="str">
        <f>"Olfr1475"</f>
        <v>Olfr1475</v>
      </c>
      <c r="B14741" t="s">
        <v>4832</v>
      </c>
      <c r="C14741" t="s">
        <v>10</v>
      </c>
      <c r="D14741" t="s">
        <v>11</v>
      </c>
      <c r="E14741" t="s">
        <v>20</v>
      </c>
      <c r="F14741">
        <v>13480195</v>
      </c>
      <c r="G14741">
        <v>13480195</v>
      </c>
      <c r="H14741">
        <v>13480195</v>
      </c>
      <c r="I14741">
        <v>13480195</v>
      </c>
    </row>
    <row r="14742" spans="1:9" x14ac:dyDescent="0.2">
      <c r="A14742" t="str">
        <f>"Olfr1477"</f>
        <v>Olfr1477</v>
      </c>
      <c r="B14742" t="s">
        <v>4833</v>
      </c>
      <c r="C14742" t="s">
        <v>10</v>
      </c>
      <c r="D14742" t="s">
        <v>17</v>
      </c>
      <c r="E14742" t="s">
        <v>20</v>
      </c>
      <c r="F14742">
        <v>13500545</v>
      </c>
      <c r="G14742">
        <v>13500545</v>
      </c>
      <c r="H14742">
        <v>13500545</v>
      </c>
      <c r="I14742">
        <v>13500545</v>
      </c>
    </row>
    <row r="14743" spans="1:9" x14ac:dyDescent="0.2">
      <c r="A14743" t="str">
        <f>"Olfr148"</f>
        <v>Olfr148</v>
      </c>
      <c r="B14743" t="s">
        <v>4834</v>
      </c>
      <c r="C14743" t="s">
        <v>24</v>
      </c>
      <c r="D14743" t="s">
        <v>17</v>
      </c>
      <c r="E14743" t="s">
        <v>20</v>
      </c>
      <c r="F14743">
        <v>39613543</v>
      </c>
      <c r="G14743">
        <v>39613543</v>
      </c>
      <c r="H14743">
        <v>39613543</v>
      </c>
      <c r="I14743">
        <v>39613543</v>
      </c>
    </row>
    <row r="14744" spans="1:9" x14ac:dyDescent="0.2">
      <c r="A14744" t="str">
        <f>"Olfr1480"</f>
        <v>Olfr1480</v>
      </c>
      <c r="B14744" t="s">
        <v>4835</v>
      </c>
      <c r="C14744" t="s">
        <v>10</v>
      </c>
      <c r="D14744" t="s">
        <v>17</v>
      </c>
      <c r="E14744" t="s">
        <v>20</v>
      </c>
      <c r="F14744">
        <v>13529674</v>
      </c>
      <c r="G14744">
        <v>13529674</v>
      </c>
      <c r="H14744">
        <v>13529674</v>
      </c>
      <c r="I14744">
        <v>13529674</v>
      </c>
    </row>
    <row r="14745" spans="1:9" x14ac:dyDescent="0.2">
      <c r="A14745" t="str">
        <f>"Olfr1484"</f>
        <v>Olfr1484</v>
      </c>
      <c r="B14745" t="s">
        <v>4836</v>
      </c>
      <c r="C14745" t="s">
        <v>10</v>
      </c>
      <c r="D14745" t="s">
        <v>17</v>
      </c>
      <c r="E14745" t="s">
        <v>20</v>
      </c>
      <c r="F14745">
        <v>13585305</v>
      </c>
      <c r="G14745">
        <v>13585305</v>
      </c>
      <c r="H14745">
        <v>13585305</v>
      </c>
      <c r="I14745">
        <v>13585305</v>
      </c>
    </row>
    <row r="14746" spans="1:9" x14ac:dyDescent="0.2">
      <c r="A14746" t="str">
        <f>"Olfr1487"</f>
        <v>Olfr1487</v>
      </c>
      <c r="B14746" t="s">
        <v>4837</v>
      </c>
      <c r="C14746" t="s">
        <v>10</v>
      </c>
      <c r="D14746" t="s">
        <v>17</v>
      </c>
      <c r="E14746" t="s">
        <v>20</v>
      </c>
      <c r="F14746">
        <v>13619163</v>
      </c>
      <c r="G14746">
        <v>13619163</v>
      </c>
      <c r="H14746">
        <v>13619163</v>
      </c>
      <c r="I14746">
        <v>13619163</v>
      </c>
    </row>
    <row r="14747" spans="1:9" x14ac:dyDescent="0.2">
      <c r="A14747" t="str">
        <f>"Olfr1489"</f>
        <v>Olfr1489</v>
      </c>
      <c r="B14747" t="s">
        <v>4838</v>
      </c>
      <c r="C14747" t="s">
        <v>10</v>
      </c>
      <c r="D14747" t="s">
        <v>17</v>
      </c>
      <c r="E14747" t="s">
        <v>20</v>
      </c>
      <c r="F14747">
        <v>13633112</v>
      </c>
      <c r="G14747">
        <v>13633112</v>
      </c>
      <c r="H14747">
        <v>13633112</v>
      </c>
      <c r="I14747">
        <v>13633112</v>
      </c>
    </row>
    <row r="14748" spans="1:9" x14ac:dyDescent="0.2">
      <c r="A14748" t="str">
        <f>"Olfr149"</f>
        <v>Olfr149</v>
      </c>
      <c r="B14748" t="s">
        <v>4839</v>
      </c>
      <c r="C14748" t="s">
        <v>24</v>
      </c>
      <c r="D14748" t="s">
        <v>11</v>
      </c>
      <c r="E14748" t="s">
        <v>20</v>
      </c>
      <c r="F14748">
        <v>39702821</v>
      </c>
      <c r="G14748">
        <v>39702821</v>
      </c>
      <c r="H14748">
        <v>39702821</v>
      </c>
      <c r="I14748">
        <v>39702821</v>
      </c>
    </row>
    <row r="14749" spans="1:9" x14ac:dyDescent="0.2">
      <c r="A14749" t="str">
        <f>"Olfr1490"</f>
        <v>Olfr1490</v>
      </c>
      <c r="B14749" t="s">
        <v>4840</v>
      </c>
      <c r="C14749" t="s">
        <v>10</v>
      </c>
      <c r="D14749" t="s">
        <v>17</v>
      </c>
      <c r="E14749" t="s">
        <v>20</v>
      </c>
      <c r="F14749">
        <v>13654445</v>
      </c>
      <c r="G14749">
        <v>13654445</v>
      </c>
      <c r="H14749">
        <v>13654445</v>
      </c>
      <c r="I14749">
        <v>13654445</v>
      </c>
    </row>
    <row r="14750" spans="1:9" x14ac:dyDescent="0.2">
      <c r="A14750" t="str">
        <f>"Olfr1491"</f>
        <v>Olfr1491</v>
      </c>
      <c r="B14750" t="s">
        <v>4841</v>
      </c>
      <c r="C14750" t="s">
        <v>10</v>
      </c>
      <c r="D14750" t="s">
        <v>17</v>
      </c>
      <c r="E14750" t="s">
        <v>20</v>
      </c>
      <c r="F14750">
        <v>13704828</v>
      </c>
      <c r="G14750">
        <v>13704828</v>
      </c>
      <c r="H14750">
        <v>13704828</v>
      </c>
      <c r="I14750">
        <v>13704828</v>
      </c>
    </row>
    <row r="14751" spans="1:9" x14ac:dyDescent="0.2">
      <c r="A14751" t="str">
        <f>"Olfr1494"</f>
        <v>Olfr1494</v>
      </c>
      <c r="B14751" t="s">
        <v>4842</v>
      </c>
      <c r="C14751" t="s">
        <v>10</v>
      </c>
      <c r="D14751" t="s">
        <v>17</v>
      </c>
      <c r="E14751" t="s">
        <v>20</v>
      </c>
      <c r="F14751">
        <v>13749107</v>
      </c>
      <c r="G14751">
        <v>13749107</v>
      </c>
      <c r="H14751">
        <v>13749107</v>
      </c>
      <c r="I14751">
        <v>13749107</v>
      </c>
    </row>
    <row r="14752" spans="1:9" x14ac:dyDescent="0.2">
      <c r="A14752" t="str">
        <f>"Olfr1495"</f>
        <v>Olfr1495</v>
      </c>
      <c r="B14752" t="s">
        <v>4843</v>
      </c>
      <c r="C14752" t="s">
        <v>10</v>
      </c>
      <c r="D14752" t="s">
        <v>17</v>
      </c>
      <c r="E14752" t="s">
        <v>20</v>
      </c>
      <c r="F14752">
        <v>13768306</v>
      </c>
      <c r="G14752">
        <v>13768306</v>
      </c>
      <c r="H14752">
        <v>13768306</v>
      </c>
      <c r="I14752">
        <v>13768306</v>
      </c>
    </row>
    <row r="14753" spans="1:9" x14ac:dyDescent="0.2">
      <c r="A14753" t="str">
        <f>"Olfr1496"</f>
        <v>Olfr1496</v>
      </c>
      <c r="B14753" t="s">
        <v>4844</v>
      </c>
      <c r="C14753" t="s">
        <v>10</v>
      </c>
      <c r="D14753" t="s">
        <v>17</v>
      </c>
      <c r="E14753" t="s">
        <v>20</v>
      </c>
      <c r="F14753">
        <v>13780547</v>
      </c>
      <c r="G14753">
        <v>13780547</v>
      </c>
      <c r="H14753">
        <v>13780547</v>
      </c>
      <c r="I14753">
        <v>13780547</v>
      </c>
    </row>
    <row r="14754" spans="1:9" x14ac:dyDescent="0.2">
      <c r="A14754" t="str">
        <f>"Olfr1497"</f>
        <v>Olfr1497</v>
      </c>
      <c r="B14754" t="s">
        <v>4845</v>
      </c>
      <c r="C14754" t="s">
        <v>10</v>
      </c>
      <c r="D14754" t="s">
        <v>11</v>
      </c>
      <c r="E14754" t="s">
        <v>20</v>
      </c>
      <c r="F14754">
        <v>13795608</v>
      </c>
      <c r="G14754">
        <v>13795608</v>
      </c>
      <c r="H14754">
        <v>13795608</v>
      </c>
      <c r="I14754">
        <v>13795608</v>
      </c>
    </row>
    <row r="14755" spans="1:9" x14ac:dyDescent="0.2">
      <c r="A14755" t="str">
        <f>"Olfr1499"</f>
        <v>Olfr1499</v>
      </c>
      <c r="B14755" t="s">
        <v>4846</v>
      </c>
      <c r="C14755" t="s">
        <v>10</v>
      </c>
      <c r="D14755" t="s">
        <v>11</v>
      </c>
      <c r="E14755" t="s">
        <v>20</v>
      </c>
      <c r="F14755">
        <v>13815657</v>
      </c>
      <c r="G14755">
        <v>13815657</v>
      </c>
      <c r="H14755">
        <v>13815657</v>
      </c>
      <c r="I14755">
        <v>13815657</v>
      </c>
    </row>
    <row r="14756" spans="1:9" x14ac:dyDescent="0.2">
      <c r="A14756" t="str">
        <f>"Olfr15"</f>
        <v>Olfr15</v>
      </c>
      <c r="B14756" t="s">
        <v>4847</v>
      </c>
      <c r="C14756" t="s">
        <v>31</v>
      </c>
      <c r="D14756" t="s">
        <v>17</v>
      </c>
      <c r="E14756" t="s">
        <v>20</v>
      </c>
      <c r="F14756">
        <v>3838974</v>
      </c>
      <c r="G14756">
        <v>3838974</v>
      </c>
      <c r="H14756">
        <v>3838974</v>
      </c>
      <c r="I14756">
        <v>3838974</v>
      </c>
    </row>
    <row r="14757" spans="1:9" x14ac:dyDescent="0.2">
      <c r="A14757" t="str">
        <f>"Olfr150"</f>
        <v>Olfr150</v>
      </c>
      <c r="B14757" t="s">
        <v>4848</v>
      </c>
      <c r="C14757" t="s">
        <v>24</v>
      </c>
      <c r="D14757" t="s">
        <v>17</v>
      </c>
      <c r="E14757" t="s">
        <v>20</v>
      </c>
      <c r="F14757">
        <v>39736816</v>
      </c>
      <c r="G14757">
        <v>39736816</v>
      </c>
      <c r="H14757">
        <v>39736816</v>
      </c>
      <c r="I14757">
        <v>39736816</v>
      </c>
    </row>
    <row r="14758" spans="1:9" x14ac:dyDescent="0.2">
      <c r="A14758" t="str">
        <f>"Olfr1500"</f>
        <v>Olfr1500</v>
      </c>
      <c r="B14758" t="s">
        <v>4849</v>
      </c>
      <c r="C14758" t="s">
        <v>10</v>
      </c>
      <c r="D14758" t="s">
        <v>11</v>
      </c>
      <c r="E14758" t="s">
        <v>20</v>
      </c>
      <c r="F14758">
        <v>13828458</v>
      </c>
      <c r="G14758">
        <v>13828458</v>
      </c>
      <c r="H14758">
        <v>13828458</v>
      </c>
      <c r="I14758">
        <v>13828458</v>
      </c>
    </row>
    <row r="14759" spans="1:9" x14ac:dyDescent="0.2">
      <c r="A14759" t="str">
        <f>"Olfr1501"</f>
        <v>Olfr1501</v>
      </c>
      <c r="B14759" t="s">
        <v>4850</v>
      </c>
      <c r="C14759" t="s">
        <v>10</v>
      </c>
      <c r="D14759" t="s">
        <v>11</v>
      </c>
      <c r="E14759" t="s">
        <v>20</v>
      </c>
      <c r="F14759">
        <v>13839170</v>
      </c>
      <c r="G14759">
        <v>13839170</v>
      </c>
      <c r="H14759">
        <v>13839170</v>
      </c>
      <c r="I14759">
        <v>13839170</v>
      </c>
    </row>
    <row r="14760" spans="1:9" x14ac:dyDescent="0.2">
      <c r="A14760" t="str">
        <f>"Olfr1502"</f>
        <v>Olfr1502</v>
      </c>
      <c r="B14760" t="s">
        <v>4851</v>
      </c>
      <c r="C14760" t="s">
        <v>10</v>
      </c>
      <c r="D14760" t="s">
        <v>17</v>
      </c>
      <c r="E14760" t="s">
        <v>20</v>
      </c>
      <c r="F14760">
        <v>13861794</v>
      </c>
      <c r="G14760">
        <v>13861794</v>
      </c>
      <c r="H14760">
        <v>13861794</v>
      </c>
      <c r="I14760">
        <v>13861794</v>
      </c>
    </row>
    <row r="14761" spans="1:9" x14ac:dyDescent="0.2">
      <c r="A14761" t="str">
        <f>"Olfr1504"</f>
        <v>Olfr1504</v>
      </c>
      <c r="B14761" t="s">
        <v>4852</v>
      </c>
      <c r="C14761" t="s">
        <v>10</v>
      </c>
      <c r="D14761" t="s">
        <v>11</v>
      </c>
      <c r="E14761" t="s">
        <v>20</v>
      </c>
      <c r="F14761">
        <v>13888304</v>
      </c>
      <c r="G14761">
        <v>13888304</v>
      </c>
      <c r="H14761">
        <v>13888304</v>
      </c>
      <c r="I14761">
        <v>13888304</v>
      </c>
    </row>
    <row r="14762" spans="1:9" x14ac:dyDescent="0.2">
      <c r="A14762" t="str">
        <f>"Olfr1505"</f>
        <v>Olfr1505</v>
      </c>
      <c r="B14762" t="s">
        <v>4853</v>
      </c>
      <c r="C14762" t="s">
        <v>10</v>
      </c>
      <c r="D14762" t="s">
        <v>17</v>
      </c>
      <c r="E14762" t="s">
        <v>20</v>
      </c>
      <c r="F14762">
        <v>13918941</v>
      </c>
      <c r="G14762">
        <v>13918941</v>
      </c>
      <c r="H14762">
        <v>13918941</v>
      </c>
      <c r="I14762">
        <v>13918941</v>
      </c>
    </row>
    <row r="14763" spans="1:9" x14ac:dyDescent="0.2">
      <c r="A14763" t="str">
        <f>"Olfr1506"</f>
        <v>Olfr1506</v>
      </c>
      <c r="B14763" t="s">
        <v>4854</v>
      </c>
      <c r="C14763" t="s">
        <v>26</v>
      </c>
      <c r="D14763" t="s">
        <v>11</v>
      </c>
      <c r="E14763" t="s">
        <v>20</v>
      </c>
      <c r="F14763">
        <v>90224470</v>
      </c>
      <c r="G14763">
        <v>90224470</v>
      </c>
      <c r="H14763">
        <v>90224470</v>
      </c>
      <c r="I14763">
        <v>90224470</v>
      </c>
    </row>
    <row r="14764" spans="1:9" x14ac:dyDescent="0.2">
      <c r="A14764" t="str">
        <f>"Olfr1507"</f>
        <v>Olfr1507</v>
      </c>
      <c r="B14764" t="s">
        <v>4855</v>
      </c>
      <c r="C14764" t="s">
        <v>41</v>
      </c>
      <c r="D14764" t="s">
        <v>11</v>
      </c>
      <c r="E14764" t="s">
        <v>20</v>
      </c>
      <c r="F14764">
        <v>52495694</v>
      </c>
      <c r="G14764">
        <v>52495694</v>
      </c>
      <c r="H14764">
        <v>52495694</v>
      </c>
      <c r="I14764">
        <v>52495694</v>
      </c>
    </row>
    <row r="14765" spans="1:9" x14ac:dyDescent="0.2">
      <c r="A14765" t="str">
        <f>"Olfr1508"</f>
        <v>Olfr1508</v>
      </c>
      <c r="B14765" t="s">
        <v>4856</v>
      </c>
      <c r="C14765" t="s">
        <v>41</v>
      </c>
      <c r="D14765" t="s">
        <v>11</v>
      </c>
      <c r="E14765" t="s">
        <v>20</v>
      </c>
      <c r="F14765">
        <v>52467460</v>
      </c>
      <c r="G14765">
        <v>52467460</v>
      </c>
      <c r="H14765">
        <v>52467460</v>
      </c>
      <c r="I14765">
        <v>52467460</v>
      </c>
    </row>
    <row r="14766" spans="1:9" x14ac:dyDescent="0.2">
      <c r="A14766" t="str">
        <f>"Olfr1509"</f>
        <v>Olfr1509</v>
      </c>
      <c r="B14766" t="s">
        <v>4857</v>
      </c>
      <c r="C14766" t="s">
        <v>41</v>
      </c>
      <c r="D14766" t="s">
        <v>17</v>
      </c>
      <c r="E14766" t="s">
        <v>20</v>
      </c>
      <c r="F14766">
        <v>52450392</v>
      </c>
      <c r="G14766">
        <v>52450392</v>
      </c>
      <c r="H14766">
        <v>52450392</v>
      </c>
      <c r="I14766">
        <v>52450392</v>
      </c>
    </row>
    <row r="14767" spans="1:9" x14ac:dyDescent="0.2">
      <c r="A14767" t="str">
        <f>"Olfr1510"</f>
        <v>Olfr1510</v>
      </c>
      <c r="B14767" t="s">
        <v>4858</v>
      </c>
      <c r="C14767" t="s">
        <v>41</v>
      </c>
      <c r="D14767" t="s">
        <v>11</v>
      </c>
      <c r="E14767" t="s">
        <v>20</v>
      </c>
      <c r="F14767">
        <v>52410926</v>
      </c>
      <c r="G14767">
        <v>52410926</v>
      </c>
      <c r="H14767">
        <v>52410926</v>
      </c>
      <c r="I14767">
        <v>52410926</v>
      </c>
    </row>
    <row r="14768" spans="1:9" x14ac:dyDescent="0.2">
      <c r="A14768" t="str">
        <f>"Olfr1511"</f>
        <v>Olfr1511</v>
      </c>
      <c r="B14768" t="s">
        <v>4859</v>
      </c>
      <c r="C14768" t="s">
        <v>41</v>
      </c>
      <c r="D14768" t="s">
        <v>11</v>
      </c>
      <c r="E14768" t="s">
        <v>20</v>
      </c>
      <c r="F14768">
        <v>52390770</v>
      </c>
      <c r="G14768">
        <v>52390770</v>
      </c>
      <c r="H14768">
        <v>52390770</v>
      </c>
      <c r="I14768">
        <v>52390770</v>
      </c>
    </row>
    <row r="14769" spans="1:9" x14ac:dyDescent="0.2">
      <c r="A14769" t="str">
        <f>"Olfr1512"</f>
        <v>Olfr1512</v>
      </c>
      <c r="B14769" t="s">
        <v>4860</v>
      </c>
      <c r="C14769" t="s">
        <v>41</v>
      </c>
      <c r="D14769" t="s">
        <v>11</v>
      </c>
      <c r="E14769" t="s">
        <v>20</v>
      </c>
      <c r="F14769">
        <v>52373050</v>
      </c>
      <c r="G14769">
        <v>52373050</v>
      </c>
      <c r="H14769">
        <v>52373050</v>
      </c>
      <c r="I14769">
        <v>52373050</v>
      </c>
    </row>
    <row r="14770" spans="1:9" x14ac:dyDescent="0.2">
      <c r="A14770" t="str">
        <f>"Olfr1513"</f>
        <v>Olfr1513</v>
      </c>
      <c r="B14770" t="s">
        <v>4861</v>
      </c>
      <c r="C14770" t="s">
        <v>41</v>
      </c>
      <c r="D14770" t="s">
        <v>11</v>
      </c>
      <c r="E14770" t="s">
        <v>20</v>
      </c>
      <c r="F14770">
        <v>52350043</v>
      </c>
      <c r="G14770">
        <v>52350043</v>
      </c>
      <c r="H14770">
        <v>52350043</v>
      </c>
      <c r="I14770">
        <v>52350043</v>
      </c>
    </row>
    <row r="14771" spans="1:9" x14ac:dyDescent="0.2">
      <c r="A14771" t="str">
        <f>"Olfr152"</f>
        <v>Olfr152</v>
      </c>
      <c r="B14771" t="s">
        <v>4862</v>
      </c>
      <c r="C14771" t="s">
        <v>26</v>
      </c>
      <c r="D14771" t="s">
        <v>17</v>
      </c>
      <c r="E14771" t="s">
        <v>20</v>
      </c>
      <c r="F14771">
        <v>87782538</v>
      </c>
      <c r="G14771">
        <v>87782538</v>
      </c>
      <c r="H14771">
        <v>87782538</v>
      </c>
      <c r="I14771">
        <v>87782538</v>
      </c>
    </row>
    <row r="14772" spans="1:9" x14ac:dyDescent="0.2">
      <c r="A14772" t="str">
        <f>"Olfr153"</f>
        <v>Olfr153</v>
      </c>
      <c r="B14772" t="s">
        <v>4863</v>
      </c>
      <c r="C14772" t="s">
        <v>26</v>
      </c>
      <c r="D14772" t="s">
        <v>17</v>
      </c>
      <c r="E14772" t="s">
        <v>20</v>
      </c>
      <c r="F14772">
        <v>87531795</v>
      </c>
      <c r="G14772">
        <v>87531795</v>
      </c>
      <c r="H14772">
        <v>87531795</v>
      </c>
      <c r="I14772">
        <v>87531795</v>
      </c>
    </row>
    <row r="14773" spans="1:9" x14ac:dyDescent="0.2">
      <c r="A14773" t="str">
        <f>"Olfr1532-ps1"</f>
        <v>Olfr1532-ps1</v>
      </c>
      <c r="B14773" t="s">
        <v>4864</v>
      </c>
      <c r="C14773" t="s">
        <v>33</v>
      </c>
      <c r="D14773" t="s">
        <v>17</v>
      </c>
      <c r="E14773" t="s">
        <v>20</v>
      </c>
      <c r="F14773">
        <v>106914199</v>
      </c>
      <c r="G14773">
        <v>106914199</v>
      </c>
      <c r="H14773">
        <v>106914199</v>
      </c>
      <c r="I14773">
        <v>106914199</v>
      </c>
    </row>
    <row r="14774" spans="1:9" x14ac:dyDescent="0.2">
      <c r="A14774" t="str">
        <f>"Olfr1535"</f>
        <v>Olfr1535</v>
      </c>
      <c r="B14774" t="s">
        <v>4865</v>
      </c>
      <c r="C14774" t="s">
        <v>39</v>
      </c>
      <c r="D14774" t="s">
        <v>11</v>
      </c>
      <c r="E14774" t="s">
        <v>20</v>
      </c>
      <c r="F14774">
        <v>21556019</v>
      </c>
      <c r="G14774">
        <v>21556019</v>
      </c>
      <c r="H14774">
        <v>21556019</v>
      </c>
      <c r="I14774">
        <v>21556019</v>
      </c>
    </row>
    <row r="14775" spans="1:9" x14ac:dyDescent="0.2">
      <c r="A14775" t="str">
        <f>"Olfr1537"</f>
        <v>Olfr1537</v>
      </c>
      <c r="B14775" t="s">
        <v>4866</v>
      </c>
      <c r="C14775" t="s">
        <v>24</v>
      </c>
      <c r="D14775" t="s">
        <v>11</v>
      </c>
      <c r="E14775" t="s">
        <v>20</v>
      </c>
      <c r="F14775">
        <v>39238430</v>
      </c>
      <c r="G14775">
        <v>39238430</v>
      </c>
      <c r="H14775">
        <v>39238430</v>
      </c>
      <c r="I14775">
        <v>39238430</v>
      </c>
    </row>
    <row r="14776" spans="1:9" x14ac:dyDescent="0.2">
      <c r="A14776" t="str">
        <f>"Olfr154"</f>
        <v>Olfr154</v>
      </c>
      <c r="B14776" t="s">
        <v>4867</v>
      </c>
      <c r="C14776" t="s">
        <v>26</v>
      </c>
      <c r="D14776" t="s">
        <v>11</v>
      </c>
      <c r="E14776" t="s">
        <v>20</v>
      </c>
      <c r="F14776">
        <v>85664454</v>
      </c>
      <c r="G14776">
        <v>85664454</v>
      </c>
      <c r="H14776">
        <v>85664454</v>
      </c>
      <c r="I14776">
        <v>85664454</v>
      </c>
    </row>
    <row r="14777" spans="1:9" x14ac:dyDescent="0.2">
      <c r="A14777" t="str">
        <f>"Olfr155"</f>
        <v>Olfr155</v>
      </c>
      <c r="B14777" t="s">
        <v>4868</v>
      </c>
      <c r="C14777" t="s">
        <v>23</v>
      </c>
      <c r="D14777" t="s">
        <v>17</v>
      </c>
      <c r="E14777" t="s">
        <v>20</v>
      </c>
      <c r="F14777">
        <v>43854291</v>
      </c>
      <c r="G14777">
        <v>43854291</v>
      </c>
      <c r="H14777">
        <v>43854291</v>
      </c>
      <c r="I14777">
        <v>43854291</v>
      </c>
    </row>
    <row r="14778" spans="1:9" x14ac:dyDescent="0.2">
      <c r="A14778" t="str">
        <f>"Olfr155"</f>
        <v>Olfr155</v>
      </c>
      <c r="B14778" t="s">
        <v>4869</v>
      </c>
      <c r="C14778" t="s">
        <v>23</v>
      </c>
      <c r="D14778" t="s">
        <v>17</v>
      </c>
      <c r="E14778" t="s">
        <v>20</v>
      </c>
      <c r="F14778">
        <v>43851564</v>
      </c>
      <c r="G14778">
        <v>43851564</v>
      </c>
      <c r="H14778">
        <v>43851564</v>
      </c>
      <c r="I14778">
        <v>43851564</v>
      </c>
    </row>
    <row r="14779" spans="1:9" x14ac:dyDescent="0.2">
      <c r="A14779" t="str">
        <f>"Olfr156"</f>
        <v>Olfr156</v>
      </c>
      <c r="B14779" t="s">
        <v>4870</v>
      </c>
      <c r="C14779" t="s">
        <v>23</v>
      </c>
      <c r="D14779" t="s">
        <v>11</v>
      </c>
      <c r="E14779" t="s">
        <v>20</v>
      </c>
      <c r="F14779">
        <v>43821432</v>
      </c>
      <c r="G14779">
        <v>43821432</v>
      </c>
      <c r="H14779">
        <v>43821432</v>
      </c>
      <c r="I14779">
        <v>43821432</v>
      </c>
    </row>
    <row r="14780" spans="1:9" x14ac:dyDescent="0.2">
      <c r="A14780" t="str">
        <f>"Olfr157"</f>
        <v>Olfr157</v>
      </c>
      <c r="B14780" t="s">
        <v>4871</v>
      </c>
      <c r="C14780" t="s">
        <v>23</v>
      </c>
      <c r="D14780" t="s">
        <v>11</v>
      </c>
      <c r="E14780" t="s">
        <v>20</v>
      </c>
      <c r="F14780">
        <v>43836516</v>
      </c>
      <c r="G14780">
        <v>43836516</v>
      </c>
      <c r="H14780">
        <v>43836516</v>
      </c>
      <c r="I14780">
        <v>43836516</v>
      </c>
    </row>
    <row r="14781" spans="1:9" x14ac:dyDescent="0.2">
      <c r="A14781" t="str">
        <f>"Olfr159"</f>
        <v>Olfr159</v>
      </c>
      <c r="B14781" t="s">
        <v>4872</v>
      </c>
      <c r="C14781" t="s">
        <v>23</v>
      </c>
      <c r="D14781" t="s">
        <v>11</v>
      </c>
      <c r="E14781" t="s">
        <v>20</v>
      </c>
      <c r="F14781">
        <v>43771008</v>
      </c>
      <c r="G14781">
        <v>43771008</v>
      </c>
      <c r="H14781">
        <v>43771008</v>
      </c>
      <c r="I14781">
        <v>43771008</v>
      </c>
    </row>
    <row r="14782" spans="1:9" x14ac:dyDescent="0.2">
      <c r="A14782" t="str">
        <f>"Olfr16"</f>
        <v>Olfr16</v>
      </c>
      <c r="B14782" t="s">
        <v>4873</v>
      </c>
      <c r="C14782" t="s">
        <v>19</v>
      </c>
      <c r="D14782" t="s">
        <v>17</v>
      </c>
      <c r="E14782" t="s">
        <v>20</v>
      </c>
      <c r="F14782">
        <v>172956767</v>
      </c>
      <c r="G14782">
        <v>172956767</v>
      </c>
      <c r="H14782">
        <v>172956767</v>
      </c>
      <c r="I14782">
        <v>172956767</v>
      </c>
    </row>
    <row r="14783" spans="1:9" x14ac:dyDescent="0.2">
      <c r="A14783" t="str">
        <f>"Olfr160"</f>
        <v>Olfr160</v>
      </c>
      <c r="B14783" t="s">
        <v>4874</v>
      </c>
      <c r="C14783" t="s">
        <v>24</v>
      </c>
      <c r="D14783" t="s">
        <v>11</v>
      </c>
      <c r="E14783" t="s">
        <v>20</v>
      </c>
      <c r="F14783">
        <v>37712276</v>
      </c>
      <c r="G14783">
        <v>37712276</v>
      </c>
      <c r="H14783">
        <v>37712276</v>
      </c>
      <c r="I14783">
        <v>37712276</v>
      </c>
    </row>
    <row r="14784" spans="1:9" x14ac:dyDescent="0.2">
      <c r="A14784" t="str">
        <f>"Olfr161"</f>
        <v>Olfr161</v>
      </c>
      <c r="B14784" t="s">
        <v>4875</v>
      </c>
      <c r="C14784" t="s">
        <v>31</v>
      </c>
      <c r="D14784" t="s">
        <v>17</v>
      </c>
      <c r="E14784" t="s">
        <v>20</v>
      </c>
      <c r="F14784">
        <v>3592397</v>
      </c>
      <c r="G14784">
        <v>3592397</v>
      </c>
      <c r="H14784">
        <v>3592397</v>
      </c>
      <c r="I14784">
        <v>3592397</v>
      </c>
    </row>
    <row r="14785" spans="1:9" x14ac:dyDescent="0.2">
      <c r="A14785" t="str">
        <f>"Olfr164"</f>
        <v>Olfr164</v>
      </c>
      <c r="B14785" t="s">
        <v>4876</v>
      </c>
      <c r="C14785" t="s">
        <v>31</v>
      </c>
      <c r="D14785" t="s">
        <v>11</v>
      </c>
      <c r="E14785" t="s">
        <v>20</v>
      </c>
      <c r="F14785">
        <v>19286836</v>
      </c>
      <c r="G14785">
        <v>19286836</v>
      </c>
      <c r="H14785">
        <v>19286836</v>
      </c>
      <c r="I14785">
        <v>19286836</v>
      </c>
    </row>
    <row r="14786" spans="1:9" x14ac:dyDescent="0.2">
      <c r="A14786" t="str">
        <f>"Olfr165"</f>
        <v>Olfr165</v>
      </c>
      <c r="B14786" t="s">
        <v>4877</v>
      </c>
      <c r="C14786" t="s">
        <v>31</v>
      </c>
      <c r="D14786" t="s">
        <v>11</v>
      </c>
      <c r="E14786" t="s">
        <v>20</v>
      </c>
      <c r="F14786">
        <v>19408077</v>
      </c>
      <c r="G14786">
        <v>19408077</v>
      </c>
      <c r="H14786">
        <v>19408077</v>
      </c>
      <c r="I14786">
        <v>19408077</v>
      </c>
    </row>
    <row r="14787" spans="1:9" x14ac:dyDescent="0.2">
      <c r="A14787" t="str">
        <f>"Olfr166"</f>
        <v>Olfr166</v>
      </c>
      <c r="B14787" t="s">
        <v>4878</v>
      </c>
      <c r="C14787" t="s">
        <v>31</v>
      </c>
      <c r="D14787" t="s">
        <v>17</v>
      </c>
      <c r="E14787" t="s">
        <v>20</v>
      </c>
      <c r="F14787">
        <v>19486792</v>
      </c>
      <c r="G14787">
        <v>19486792</v>
      </c>
      <c r="H14787">
        <v>19486792</v>
      </c>
      <c r="I14787">
        <v>19486792</v>
      </c>
    </row>
    <row r="14788" spans="1:9" x14ac:dyDescent="0.2">
      <c r="A14788" t="str">
        <f>"Olfr167"</f>
        <v>Olfr167</v>
      </c>
      <c r="B14788" t="s">
        <v>4879</v>
      </c>
      <c r="C14788" t="s">
        <v>31</v>
      </c>
      <c r="D14788" t="s">
        <v>11</v>
      </c>
      <c r="E14788" t="s">
        <v>20</v>
      </c>
      <c r="F14788">
        <v>19515633</v>
      </c>
      <c r="G14788">
        <v>19515633</v>
      </c>
      <c r="H14788">
        <v>19515633</v>
      </c>
      <c r="I14788">
        <v>19515633</v>
      </c>
    </row>
    <row r="14789" spans="1:9" x14ac:dyDescent="0.2">
      <c r="A14789" t="str">
        <f>"Olfr168"</f>
        <v>Olfr168</v>
      </c>
      <c r="B14789" t="s">
        <v>4880</v>
      </c>
      <c r="C14789" t="s">
        <v>31</v>
      </c>
      <c r="D14789" t="s">
        <v>11</v>
      </c>
      <c r="E14789" t="s">
        <v>20</v>
      </c>
      <c r="F14789">
        <v>19530917</v>
      </c>
      <c r="G14789">
        <v>19530917</v>
      </c>
      <c r="H14789">
        <v>19530917</v>
      </c>
      <c r="I14789">
        <v>19530917</v>
      </c>
    </row>
    <row r="14790" spans="1:9" x14ac:dyDescent="0.2">
      <c r="A14790" t="str">
        <f>"Olfr169"</f>
        <v>Olfr169</v>
      </c>
      <c r="B14790" t="s">
        <v>4881</v>
      </c>
      <c r="C14790" t="s">
        <v>31</v>
      </c>
      <c r="D14790" t="s">
        <v>11</v>
      </c>
      <c r="E14790" t="s">
        <v>20</v>
      </c>
      <c r="F14790">
        <v>19566880</v>
      </c>
      <c r="G14790">
        <v>19566880</v>
      </c>
      <c r="H14790">
        <v>19566880</v>
      </c>
      <c r="I14790">
        <v>19566880</v>
      </c>
    </row>
    <row r="14791" spans="1:9" x14ac:dyDescent="0.2">
      <c r="A14791" t="str">
        <f>"Olfr17"</f>
        <v>Olfr17</v>
      </c>
      <c r="B14791" t="s">
        <v>4882</v>
      </c>
      <c r="C14791" t="s">
        <v>33</v>
      </c>
      <c r="D14791" t="s">
        <v>17</v>
      </c>
      <c r="E14791" t="s">
        <v>20</v>
      </c>
      <c r="F14791">
        <v>107097466</v>
      </c>
      <c r="G14791">
        <v>107097466</v>
      </c>
      <c r="H14791">
        <v>107097466</v>
      </c>
      <c r="I14791">
        <v>107097466</v>
      </c>
    </row>
    <row r="14792" spans="1:9" x14ac:dyDescent="0.2">
      <c r="A14792" t="str">
        <f>"Olfr170"</f>
        <v>Olfr170</v>
      </c>
      <c r="B14792" t="s">
        <v>4883</v>
      </c>
      <c r="C14792" t="s">
        <v>31</v>
      </c>
      <c r="D14792" t="s">
        <v>11</v>
      </c>
      <c r="E14792" t="s">
        <v>20</v>
      </c>
      <c r="F14792">
        <v>19606702</v>
      </c>
      <c r="G14792">
        <v>19606702</v>
      </c>
      <c r="H14792">
        <v>19606702</v>
      </c>
      <c r="I14792">
        <v>19606702</v>
      </c>
    </row>
    <row r="14793" spans="1:9" x14ac:dyDescent="0.2">
      <c r="A14793" t="str">
        <f>"Olfr171"</f>
        <v>Olfr171</v>
      </c>
      <c r="B14793" t="s">
        <v>4884</v>
      </c>
      <c r="C14793" t="s">
        <v>31</v>
      </c>
      <c r="D14793" t="s">
        <v>11</v>
      </c>
      <c r="E14793" t="s">
        <v>20</v>
      </c>
      <c r="F14793">
        <v>19625100</v>
      </c>
      <c r="G14793">
        <v>19625100</v>
      </c>
      <c r="H14793">
        <v>19625100</v>
      </c>
      <c r="I14793">
        <v>19625100</v>
      </c>
    </row>
    <row r="14794" spans="1:9" x14ac:dyDescent="0.2">
      <c r="A14794" t="str">
        <f>"Olfr172"</f>
        <v>Olfr172</v>
      </c>
      <c r="B14794" t="s">
        <v>4885</v>
      </c>
      <c r="C14794" t="s">
        <v>31</v>
      </c>
      <c r="D14794" t="s">
        <v>11</v>
      </c>
      <c r="E14794" t="s">
        <v>20</v>
      </c>
      <c r="F14794">
        <v>58761239</v>
      </c>
      <c r="G14794">
        <v>58761239</v>
      </c>
      <c r="H14794">
        <v>58761239</v>
      </c>
      <c r="I14794">
        <v>58761239</v>
      </c>
    </row>
    <row r="14795" spans="1:9" x14ac:dyDescent="0.2">
      <c r="A14795" t="str">
        <f>"Olfr173"</f>
        <v>Olfr173</v>
      </c>
      <c r="B14795" t="s">
        <v>4886</v>
      </c>
      <c r="C14795" t="s">
        <v>31</v>
      </c>
      <c r="D14795" t="s">
        <v>11</v>
      </c>
      <c r="E14795" t="s">
        <v>20</v>
      </c>
      <c r="F14795">
        <v>58797941</v>
      </c>
      <c r="G14795">
        <v>58797941</v>
      </c>
      <c r="H14795">
        <v>58797941</v>
      </c>
      <c r="I14795">
        <v>58797941</v>
      </c>
    </row>
    <row r="14796" spans="1:9" x14ac:dyDescent="0.2">
      <c r="A14796" t="str">
        <f>"Olfr175-ps1"</f>
        <v>Olfr175-ps1</v>
      </c>
      <c r="B14796" t="s">
        <v>4887</v>
      </c>
      <c r="C14796" t="s">
        <v>31</v>
      </c>
      <c r="D14796" t="s">
        <v>11</v>
      </c>
      <c r="E14796" t="s">
        <v>20</v>
      </c>
      <c r="F14796">
        <v>58826760</v>
      </c>
      <c r="G14796">
        <v>58826760</v>
      </c>
      <c r="H14796">
        <v>58826760</v>
      </c>
      <c r="I14796">
        <v>58826760</v>
      </c>
    </row>
    <row r="14797" spans="1:9" x14ac:dyDescent="0.2">
      <c r="A14797" t="str">
        <f>"Olfr177"</f>
        <v>Olfr177</v>
      </c>
      <c r="B14797" t="s">
        <v>4888</v>
      </c>
      <c r="C14797" t="s">
        <v>31</v>
      </c>
      <c r="D14797" t="s">
        <v>11</v>
      </c>
      <c r="E14797" t="s">
        <v>20</v>
      </c>
      <c r="F14797">
        <v>58873147</v>
      </c>
      <c r="G14797">
        <v>58873147</v>
      </c>
      <c r="H14797">
        <v>58873147</v>
      </c>
      <c r="I14797">
        <v>58873147</v>
      </c>
    </row>
    <row r="14798" spans="1:9" x14ac:dyDescent="0.2">
      <c r="A14798" t="str">
        <f>"Olfr178"</f>
        <v>Olfr178</v>
      </c>
      <c r="B14798" t="s">
        <v>4889</v>
      </c>
      <c r="C14798" t="s">
        <v>31</v>
      </c>
      <c r="D14798" t="s">
        <v>11</v>
      </c>
      <c r="E14798" t="s">
        <v>20</v>
      </c>
      <c r="F14798">
        <v>58890217</v>
      </c>
      <c r="G14798">
        <v>58890217</v>
      </c>
      <c r="H14798">
        <v>58890217</v>
      </c>
      <c r="I14798">
        <v>58890217</v>
      </c>
    </row>
    <row r="14799" spans="1:9" x14ac:dyDescent="0.2">
      <c r="A14799" t="str">
        <f>"Olfr18"</f>
        <v>Olfr18</v>
      </c>
      <c r="B14799" t="s">
        <v>4890</v>
      </c>
      <c r="C14799" t="s">
        <v>24</v>
      </c>
      <c r="D14799" t="s">
        <v>11</v>
      </c>
      <c r="E14799" t="s">
        <v>20</v>
      </c>
      <c r="F14799">
        <v>20336093</v>
      </c>
      <c r="G14799">
        <v>20336093</v>
      </c>
      <c r="H14799">
        <v>20336093</v>
      </c>
      <c r="I14799">
        <v>20336093</v>
      </c>
    </row>
    <row r="14800" spans="1:9" x14ac:dyDescent="0.2">
      <c r="A14800" t="str">
        <f>"Olfr180"</f>
        <v>Olfr180</v>
      </c>
      <c r="B14800" t="s">
        <v>14</v>
      </c>
      <c r="C14800" t="s">
        <v>31</v>
      </c>
      <c r="D14800" t="s">
        <v>11</v>
      </c>
      <c r="E14800" t="s">
        <v>12</v>
      </c>
      <c r="F14800">
        <v>58929354</v>
      </c>
      <c r="G14800">
        <v>58929367</v>
      </c>
      <c r="H14800">
        <v>58929354</v>
      </c>
      <c r="I14800">
        <v>58929367</v>
      </c>
    </row>
    <row r="14801" spans="1:9" x14ac:dyDescent="0.2">
      <c r="A14801" t="str">
        <f>"Olfr181"</f>
        <v>Olfr181</v>
      </c>
      <c r="B14801" t="s">
        <v>4891</v>
      </c>
      <c r="C14801" t="s">
        <v>31</v>
      </c>
      <c r="D14801" t="s">
        <v>11</v>
      </c>
      <c r="E14801" t="s">
        <v>20</v>
      </c>
      <c r="F14801">
        <v>58928643</v>
      </c>
      <c r="G14801">
        <v>58928643</v>
      </c>
      <c r="H14801">
        <v>58928643</v>
      </c>
      <c r="I14801">
        <v>58928643</v>
      </c>
    </row>
    <row r="14802" spans="1:9" x14ac:dyDescent="0.2">
      <c r="A14802" t="str">
        <f>"Olfr183"</f>
        <v>Olfr183</v>
      </c>
      <c r="B14802" t="s">
        <v>4892</v>
      </c>
      <c r="C14802" t="s">
        <v>31</v>
      </c>
      <c r="D14802" t="s">
        <v>17</v>
      </c>
      <c r="E14802" t="s">
        <v>20</v>
      </c>
      <c r="F14802">
        <v>58995403</v>
      </c>
      <c r="G14802">
        <v>58995403</v>
      </c>
      <c r="H14802">
        <v>58995403</v>
      </c>
      <c r="I14802">
        <v>58995403</v>
      </c>
    </row>
    <row r="14803" spans="1:9" x14ac:dyDescent="0.2">
      <c r="A14803" t="str">
        <f>"Olfr186"</f>
        <v>Olfr186</v>
      </c>
      <c r="B14803" t="s">
        <v>4893</v>
      </c>
      <c r="C14803" t="s">
        <v>31</v>
      </c>
      <c r="D14803" t="s">
        <v>11</v>
      </c>
      <c r="E14803" t="s">
        <v>20</v>
      </c>
      <c r="F14803">
        <v>59027926</v>
      </c>
      <c r="G14803">
        <v>59027926</v>
      </c>
      <c r="H14803">
        <v>59027926</v>
      </c>
      <c r="I14803">
        <v>59027926</v>
      </c>
    </row>
    <row r="14804" spans="1:9" x14ac:dyDescent="0.2">
      <c r="A14804" t="str">
        <f>"Olfr187"</f>
        <v>Olfr187</v>
      </c>
      <c r="B14804" t="s">
        <v>4894</v>
      </c>
      <c r="C14804" t="s">
        <v>31</v>
      </c>
      <c r="D14804" t="s">
        <v>11</v>
      </c>
      <c r="E14804" t="s">
        <v>20</v>
      </c>
      <c r="F14804">
        <v>59039748</v>
      </c>
      <c r="G14804">
        <v>59039748</v>
      </c>
      <c r="H14804">
        <v>59039748</v>
      </c>
      <c r="I14804">
        <v>59039748</v>
      </c>
    </row>
    <row r="14805" spans="1:9" x14ac:dyDescent="0.2">
      <c r="A14805" t="str">
        <f>"Olfr19"</f>
        <v>Olfr19</v>
      </c>
      <c r="B14805" t="s">
        <v>4895</v>
      </c>
      <c r="C14805" t="s">
        <v>31</v>
      </c>
      <c r="D14805" t="s">
        <v>11</v>
      </c>
      <c r="E14805" t="s">
        <v>20</v>
      </c>
      <c r="F14805">
        <v>16674016</v>
      </c>
      <c r="G14805">
        <v>16674016</v>
      </c>
      <c r="H14805">
        <v>16674016</v>
      </c>
      <c r="I14805">
        <v>16674016</v>
      </c>
    </row>
    <row r="14806" spans="1:9" x14ac:dyDescent="0.2">
      <c r="A14806" t="str">
        <f>"Olfr190"</f>
        <v>Olfr190</v>
      </c>
      <c r="B14806" t="s">
        <v>4896</v>
      </c>
      <c r="C14806" t="s">
        <v>31</v>
      </c>
      <c r="D14806" t="s">
        <v>11</v>
      </c>
      <c r="E14806" t="s">
        <v>20</v>
      </c>
      <c r="F14806">
        <v>59075077</v>
      </c>
      <c r="G14806">
        <v>59075077</v>
      </c>
      <c r="H14806">
        <v>59075077</v>
      </c>
      <c r="I14806">
        <v>59075077</v>
      </c>
    </row>
    <row r="14807" spans="1:9" x14ac:dyDescent="0.2">
      <c r="A14807" t="str">
        <f>"Olfr191"</f>
        <v>Olfr191</v>
      </c>
      <c r="B14807" t="s">
        <v>4897</v>
      </c>
      <c r="C14807" t="s">
        <v>31</v>
      </c>
      <c r="D14807" t="s">
        <v>11</v>
      </c>
      <c r="E14807" t="s">
        <v>20</v>
      </c>
      <c r="F14807">
        <v>59086480</v>
      </c>
      <c r="G14807">
        <v>59086480</v>
      </c>
      <c r="H14807">
        <v>59086480</v>
      </c>
      <c r="I14807">
        <v>59086480</v>
      </c>
    </row>
    <row r="14808" spans="1:9" x14ac:dyDescent="0.2">
      <c r="A14808" t="str">
        <f>"Olfr193"</f>
        <v>Olfr193</v>
      </c>
      <c r="B14808" t="s">
        <v>4898</v>
      </c>
      <c r="C14808" t="s">
        <v>31</v>
      </c>
      <c r="D14808" t="s">
        <v>11</v>
      </c>
      <c r="E14808" t="s">
        <v>20</v>
      </c>
      <c r="F14808">
        <v>59110630</v>
      </c>
      <c r="G14808">
        <v>59110630</v>
      </c>
      <c r="H14808">
        <v>59110630</v>
      </c>
      <c r="I14808">
        <v>59110630</v>
      </c>
    </row>
    <row r="14809" spans="1:9" x14ac:dyDescent="0.2">
      <c r="A14809" t="str">
        <f>"Olfr194"</f>
        <v>Olfr194</v>
      </c>
      <c r="B14809" t="s">
        <v>4899</v>
      </c>
      <c r="C14809" t="s">
        <v>31</v>
      </c>
      <c r="D14809" t="s">
        <v>11</v>
      </c>
      <c r="E14809" t="s">
        <v>20</v>
      </c>
      <c r="F14809">
        <v>59120067</v>
      </c>
      <c r="G14809">
        <v>59120067</v>
      </c>
      <c r="H14809">
        <v>59120067</v>
      </c>
      <c r="I14809">
        <v>59120067</v>
      </c>
    </row>
    <row r="14810" spans="1:9" x14ac:dyDescent="0.2">
      <c r="A14810" t="str">
        <f>"Olfr195"</f>
        <v>Olfr195</v>
      </c>
      <c r="B14810" t="s">
        <v>4900</v>
      </c>
      <c r="C14810" t="s">
        <v>31</v>
      </c>
      <c r="D14810" t="s">
        <v>17</v>
      </c>
      <c r="E14810" t="s">
        <v>20</v>
      </c>
      <c r="F14810">
        <v>59148828</v>
      </c>
      <c r="G14810">
        <v>59148828</v>
      </c>
      <c r="H14810">
        <v>59148828</v>
      </c>
      <c r="I14810">
        <v>59148828</v>
      </c>
    </row>
    <row r="14811" spans="1:9" x14ac:dyDescent="0.2">
      <c r="A14811" t="str">
        <f>"Olfr196"</f>
        <v>Olfr196</v>
      </c>
      <c r="B14811" t="s">
        <v>4901</v>
      </c>
      <c r="C14811" t="s">
        <v>31</v>
      </c>
      <c r="D14811" t="s">
        <v>11</v>
      </c>
      <c r="E14811" t="s">
        <v>20</v>
      </c>
      <c r="F14811">
        <v>59168140</v>
      </c>
      <c r="G14811">
        <v>59168140</v>
      </c>
      <c r="H14811">
        <v>59168140</v>
      </c>
      <c r="I14811">
        <v>59168140</v>
      </c>
    </row>
    <row r="14812" spans="1:9" x14ac:dyDescent="0.2">
      <c r="A14812" t="str">
        <f>"Olfr198"</f>
        <v>Olfr198</v>
      </c>
      <c r="B14812" t="s">
        <v>4902</v>
      </c>
      <c r="C14812" t="s">
        <v>31</v>
      </c>
      <c r="D14812" t="s">
        <v>11</v>
      </c>
      <c r="E14812" t="s">
        <v>20</v>
      </c>
      <c r="F14812">
        <v>59202518</v>
      </c>
      <c r="G14812">
        <v>59202518</v>
      </c>
      <c r="H14812">
        <v>59202518</v>
      </c>
      <c r="I14812">
        <v>59202518</v>
      </c>
    </row>
    <row r="14813" spans="1:9" x14ac:dyDescent="0.2">
      <c r="A14813" t="str">
        <f>"Olfr199"</f>
        <v>Olfr199</v>
      </c>
      <c r="B14813" t="s">
        <v>4903</v>
      </c>
      <c r="C14813" t="s">
        <v>31</v>
      </c>
      <c r="D14813" t="s">
        <v>11</v>
      </c>
      <c r="E14813" t="s">
        <v>20</v>
      </c>
      <c r="F14813">
        <v>59216614</v>
      </c>
      <c r="G14813">
        <v>59216614</v>
      </c>
      <c r="H14813">
        <v>59216614</v>
      </c>
      <c r="I14813">
        <v>59216614</v>
      </c>
    </row>
    <row r="14814" spans="1:9" x14ac:dyDescent="0.2">
      <c r="A14814" t="str">
        <f>"Olfr2"</f>
        <v>Olfr2</v>
      </c>
      <c r="B14814" t="s">
        <v>4904</v>
      </c>
      <c r="C14814" t="s">
        <v>33</v>
      </c>
      <c r="D14814" t="s">
        <v>11</v>
      </c>
      <c r="E14814" t="s">
        <v>20</v>
      </c>
      <c r="F14814">
        <v>107002604</v>
      </c>
      <c r="G14814">
        <v>107002604</v>
      </c>
      <c r="H14814">
        <v>107002604</v>
      </c>
      <c r="I14814">
        <v>107002604</v>
      </c>
    </row>
    <row r="14815" spans="1:9" x14ac:dyDescent="0.2">
      <c r="A14815" t="str">
        <f>"Olfr20"</f>
        <v>Olfr20</v>
      </c>
      <c r="B14815" t="s">
        <v>4905</v>
      </c>
      <c r="C14815" t="s">
        <v>27</v>
      </c>
      <c r="D14815" t="s">
        <v>17</v>
      </c>
      <c r="E14815" t="s">
        <v>20</v>
      </c>
      <c r="F14815">
        <v>73350838</v>
      </c>
      <c r="G14815">
        <v>73350838</v>
      </c>
      <c r="H14815">
        <v>73350838</v>
      </c>
      <c r="I14815">
        <v>73350838</v>
      </c>
    </row>
    <row r="14816" spans="1:9" x14ac:dyDescent="0.2">
      <c r="A14816" t="str">
        <f>"Olfr201"</f>
        <v>Olfr201</v>
      </c>
      <c r="B14816" t="s">
        <v>4906</v>
      </c>
      <c r="C14816" t="s">
        <v>31</v>
      </c>
      <c r="D14816" t="s">
        <v>11</v>
      </c>
      <c r="E14816" t="s">
        <v>20</v>
      </c>
      <c r="F14816">
        <v>59269664</v>
      </c>
      <c r="G14816">
        <v>59269664</v>
      </c>
      <c r="H14816">
        <v>59269664</v>
      </c>
      <c r="I14816">
        <v>59269664</v>
      </c>
    </row>
    <row r="14817" spans="1:9" x14ac:dyDescent="0.2">
      <c r="A14817" t="str">
        <f>"Olfr202"</f>
        <v>Olfr202</v>
      </c>
      <c r="B14817" t="s">
        <v>4907</v>
      </c>
      <c r="C14817" t="s">
        <v>31</v>
      </c>
      <c r="D14817" t="s">
        <v>11</v>
      </c>
      <c r="E14817" t="s">
        <v>20</v>
      </c>
      <c r="F14817">
        <v>59284494</v>
      </c>
      <c r="G14817">
        <v>59284494</v>
      </c>
      <c r="H14817">
        <v>59284494</v>
      </c>
      <c r="I14817">
        <v>59284494</v>
      </c>
    </row>
    <row r="14818" spans="1:9" x14ac:dyDescent="0.2">
      <c r="A14818" t="str">
        <f>"Olfr203"</f>
        <v>Olfr203</v>
      </c>
      <c r="B14818" t="s">
        <v>4908</v>
      </c>
      <c r="C14818" t="s">
        <v>31</v>
      </c>
      <c r="D14818" t="s">
        <v>17</v>
      </c>
      <c r="E14818" t="s">
        <v>20</v>
      </c>
      <c r="F14818">
        <v>59303151</v>
      </c>
      <c r="G14818">
        <v>59303151</v>
      </c>
      <c r="H14818">
        <v>59303151</v>
      </c>
      <c r="I14818">
        <v>59303151</v>
      </c>
    </row>
    <row r="14819" spans="1:9" x14ac:dyDescent="0.2">
      <c r="A14819" t="str">
        <f>"Olfr204"</f>
        <v>Olfr204</v>
      </c>
      <c r="B14819" t="s">
        <v>4909</v>
      </c>
      <c r="C14819" t="s">
        <v>31</v>
      </c>
      <c r="D14819" t="s">
        <v>11</v>
      </c>
      <c r="E14819" t="s">
        <v>20</v>
      </c>
      <c r="F14819">
        <v>59315404</v>
      </c>
      <c r="G14819">
        <v>59315404</v>
      </c>
      <c r="H14819">
        <v>59315404</v>
      </c>
      <c r="I14819">
        <v>59315404</v>
      </c>
    </row>
    <row r="14820" spans="1:9" x14ac:dyDescent="0.2">
      <c r="A14820" t="str">
        <f>"Olfr205"</f>
        <v>Olfr205</v>
      </c>
      <c r="B14820" t="s">
        <v>4910</v>
      </c>
      <c r="C14820" t="s">
        <v>31</v>
      </c>
      <c r="D14820" t="s">
        <v>11</v>
      </c>
      <c r="E14820" t="s">
        <v>20</v>
      </c>
      <c r="F14820">
        <v>59329506</v>
      </c>
      <c r="G14820">
        <v>59329506</v>
      </c>
      <c r="H14820">
        <v>59329506</v>
      </c>
      <c r="I14820">
        <v>59329506</v>
      </c>
    </row>
    <row r="14821" spans="1:9" x14ac:dyDescent="0.2">
      <c r="A14821" t="str">
        <f>"Olfr206"</f>
        <v>Olfr206</v>
      </c>
      <c r="B14821" t="s">
        <v>4911</v>
      </c>
      <c r="C14821" t="s">
        <v>31</v>
      </c>
      <c r="D14821" t="s">
        <v>11</v>
      </c>
      <c r="E14821" t="s">
        <v>20</v>
      </c>
      <c r="F14821">
        <v>59345725</v>
      </c>
      <c r="G14821">
        <v>59345725</v>
      </c>
      <c r="H14821">
        <v>59345725</v>
      </c>
      <c r="I14821">
        <v>59345725</v>
      </c>
    </row>
    <row r="14822" spans="1:9" x14ac:dyDescent="0.2">
      <c r="A14822" t="str">
        <f>"Olfr209"</f>
        <v>Olfr209</v>
      </c>
      <c r="B14822" t="s">
        <v>4912</v>
      </c>
      <c r="C14822" t="s">
        <v>31</v>
      </c>
      <c r="D14822" t="s">
        <v>11</v>
      </c>
      <c r="E14822" t="s">
        <v>20</v>
      </c>
      <c r="F14822">
        <v>59362215</v>
      </c>
      <c r="G14822">
        <v>59362215</v>
      </c>
      <c r="H14822">
        <v>59362215</v>
      </c>
      <c r="I14822">
        <v>59362215</v>
      </c>
    </row>
    <row r="14823" spans="1:9" x14ac:dyDescent="0.2">
      <c r="A14823" t="str">
        <f>"Olfr211"</f>
        <v>Olfr211</v>
      </c>
      <c r="B14823" t="s">
        <v>4913</v>
      </c>
      <c r="C14823" t="s">
        <v>32</v>
      </c>
      <c r="D14823" t="s">
        <v>17</v>
      </c>
      <c r="E14823" t="s">
        <v>20</v>
      </c>
      <c r="F14823">
        <v>116493610</v>
      </c>
      <c r="G14823">
        <v>116493610</v>
      </c>
      <c r="H14823">
        <v>116493610</v>
      </c>
      <c r="I14823">
        <v>116493610</v>
      </c>
    </row>
    <row r="14824" spans="1:9" x14ac:dyDescent="0.2">
      <c r="A14824" t="str">
        <f>"Olfr212"</f>
        <v>Olfr212</v>
      </c>
      <c r="B14824" t="s">
        <v>4914</v>
      </c>
      <c r="C14824" t="s">
        <v>32</v>
      </c>
      <c r="D14824" t="s">
        <v>17</v>
      </c>
      <c r="E14824" t="s">
        <v>20</v>
      </c>
      <c r="F14824">
        <v>116506515</v>
      </c>
      <c r="G14824">
        <v>116506515</v>
      </c>
      <c r="H14824">
        <v>116506515</v>
      </c>
      <c r="I14824">
        <v>116506515</v>
      </c>
    </row>
    <row r="14825" spans="1:9" x14ac:dyDescent="0.2">
      <c r="A14825" t="str">
        <f>"Olfr213"</f>
        <v>Olfr213</v>
      </c>
      <c r="B14825" t="s">
        <v>4915</v>
      </c>
      <c r="C14825" t="s">
        <v>32</v>
      </c>
      <c r="D14825" t="s">
        <v>17</v>
      </c>
      <c r="E14825" t="s">
        <v>20</v>
      </c>
      <c r="F14825">
        <v>116540454</v>
      </c>
      <c r="G14825">
        <v>116540454</v>
      </c>
      <c r="H14825">
        <v>116540454</v>
      </c>
      <c r="I14825">
        <v>116540454</v>
      </c>
    </row>
    <row r="14826" spans="1:9" x14ac:dyDescent="0.2">
      <c r="A14826" t="str">
        <f>"Olfr214"</f>
        <v>Olfr214</v>
      </c>
      <c r="B14826" t="s">
        <v>4916</v>
      </c>
      <c r="C14826" t="s">
        <v>32</v>
      </c>
      <c r="D14826" t="s">
        <v>17</v>
      </c>
      <c r="E14826" t="s">
        <v>20</v>
      </c>
      <c r="F14826">
        <v>116556404</v>
      </c>
      <c r="G14826">
        <v>116556404</v>
      </c>
      <c r="H14826">
        <v>116556404</v>
      </c>
      <c r="I14826">
        <v>116556404</v>
      </c>
    </row>
    <row r="14827" spans="1:9" x14ac:dyDescent="0.2">
      <c r="A14827" t="str">
        <f>"Olfr215"</f>
        <v>Olfr215</v>
      </c>
      <c r="B14827" t="s">
        <v>4917</v>
      </c>
      <c r="C14827" t="s">
        <v>32</v>
      </c>
      <c r="D14827" t="s">
        <v>11</v>
      </c>
      <c r="E14827" t="s">
        <v>20</v>
      </c>
      <c r="F14827">
        <v>116583030</v>
      </c>
      <c r="G14827">
        <v>116583030</v>
      </c>
      <c r="H14827">
        <v>116583030</v>
      </c>
      <c r="I14827">
        <v>116583030</v>
      </c>
    </row>
    <row r="14828" spans="1:9" x14ac:dyDescent="0.2">
      <c r="A14828" t="str">
        <f>"Olfr218"</f>
        <v>Olfr218</v>
      </c>
      <c r="B14828" t="s">
        <v>4918</v>
      </c>
      <c r="C14828" t="s">
        <v>19</v>
      </c>
      <c r="D14828" t="s">
        <v>17</v>
      </c>
      <c r="E14828" t="s">
        <v>20</v>
      </c>
      <c r="F14828">
        <v>173203357</v>
      </c>
      <c r="G14828">
        <v>173203357</v>
      </c>
      <c r="H14828">
        <v>173203357</v>
      </c>
      <c r="I14828">
        <v>173203357</v>
      </c>
    </row>
    <row r="14829" spans="1:9" x14ac:dyDescent="0.2">
      <c r="A14829" t="str">
        <f>"Olfr220"</f>
        <v>Olfr220</v>
      </c>
      <c r="B14829" t="s">
        <v>4919</v>
      </c>
      <c r="C14829" t="s">
        <v>19</v>
      </c>
      <c r="D14829" t="s">
        <v>17</v>
      </c>
      <c r="E14829" t="s">
        <v>20</v>
      </c>
      <c r="F14829">
        <v>174448624</v>
      </c>
      <c r="G14829">
        <v>174448624</v>
      </c>
      <c r="H14829">
        <v>174448624</v>
      </c>
      <c r="I14829">
        <v>174448624</v>
      </c>
    </row>
    <row r="14830" spans="1:9" x14ac:dyDescent="0.2">
      <c r="A14830" t="str">
        <f>"Olfr221"</f>
        <v>Olfr221</v>
      </c>
      <c r="B14830" t="s">
        <v>4920</v>
      </c>
      <c r="C14830" t="s">
        <v>41</v>
      </c>
      <c r="D14830" t="s">
        <v>11</v>
      </c>
      <c r="E14830" t="s">
        <v>20</v>
      </c>
      <c r="F14830">
        <v>52036142</v>
      </c>
      <c r="G14830">
        <v>52036142</v>
      </c>
      <c r="H14830">
        <v>52036142</v>
      </c>
      <c r="I14830">
        <v>52036142</v>
      </c>
    </row>
    <row r="14831" spans="1:9" x14ac:dyDescent="0.2">
      <c r="A14831" t="str">
        <f>"Olfr222"</f>
        <v>Olfr222</v>
      </c>
      <c r="B14831" t="s">
        <v>14</v>
      </c>
      <c r="C14831" t="s">
        <v>27</v>
      </c>
      <c r="D14831" t="s">
        <v>11</v>
      </c>
      <c r="E14831" t="s">
        <v>12</v>
      </c>
      <c r="F14831">
        <v>59571752</v>
      </c>
      <c r="G14831">
        <v>59571768</v>
      </c>
      <c r="H14831">
        <v>59571752</v>
      </c>
      <c r="I14831">
        <v>59571768</v>
      </c>
    </row>
    <row r="14832" spans="1:9" x14ac:dyDescent="0.2">
      <c r="A14832" t="str">
        <f>"Olfr223"</f>
        <v>Olfr223</v>
      </c>
      <c r="B14832" t="s">
        <v>4921</v>
      </c>
      <c r="C14832" t="s">
        <v>27</v>
      </c>
      <c r="D14832" t="s">
        <v>11</v>
      </c>
      <c r="E14832" t="s">
        <v>20</v>
      </c>
      <c r="F14832">
        <v>59590167</v>
      </c>
      <c r="G14832">
        <v>59590167</v>
      </c>
      <c r="H14832">
        <v>59590167</v>
      </c>
      <c r="I14832">
        <v>59590167</v>
      </c>
    </row>
    <row r="14833" spans="1:9" x14ac:dyDescent="0.2">
      <c r="A14833" t="str">
        <f>"Olfr224"</f>
        <v>Olfr224</v>
      </c>
      <c r="B14833" t="s">
        <v>4922</v>
      </c>
      <c r="C14833" t="s">
        <v>27</v>
      </c>
      <c r="D14833" t="s">
        <v>11</v>
      </c>
      <c r="E14833" t="s">
        <v>20</v>
      </c>
      <c r="F14833">
        <v>58567342</v>
      </c>
      <c r="G14833">
        <v>58567342</v>
      </c>
      <c r="H14833">
        <v>58567342</v>
      </c>
      <c r="I14833">
        <v>58567342</v>
      </c>
    </row>
    <row r="14834" spans="1:9" x14ac:dyDescent="0.2">
      <c r="A14834" t="str">
        <f>"Olfr224"</f>
        <v>Olfr224</v>
      </c>
      <c r="B14834" t="s">
        <v>4923</v>
      </c>
      <c r="C14834" t="s">
        <v>27</v>
      </c>
      <c r="D14834" t="s">
        <v>11</v>
      </c>
      <c r="E14834" t="s">
        <v>20</v>
      </c>
      <c r="F14834">
        <v>58570558</v>
      </c>
      <c r="G14834">
        <v>58570558</v>
      </c>
      <c r="H14834">
        <v>58570558</v>
      </c>
      <c r="I14834">
        <v>58570558</v>
      </c>
    </row>
    <row r="14835" spans="1:9" x14ac:dyDescent="0.2">
      <c r="A14835" t="str">
        <f>"Olfr224"</f>
        <v>Olfr224</v>
      </c>
      <c r="B14835" t="s">
        <v>4924</v>
      </c>
      <c r="C14835" t="s">
        <v>27</v>
      </c>
      <c r="D14835" t="s">
        <v>11</v>
      </c>
      <c r="E14835" t="s">
        <v>20</v>
      </c>
      <c r="F14835">
        <v>58568796</v>
      </c>
      <c r="G14835">
        <v>58568796</v>
      </c>
      <c r="H14835">
        <v>58568796</v>
      </c>
      <c r="I14835">
        <v>58568796</v>
      </c>
    </row>
    <row r="14836" spans="1:9" x14ac:dyDescent="0.2">
      <c r="A14836" t="str">
        <f>"Olfr225"</f>
        <v>Olfr225</v>
      </c>
      <c r="B14836" t="s">
        <v>4925</v>
      </c>
      <c r="C14836" t="s">
        <v>27</v>
      </c>
      <c r="D14836" t="s">
        <v>17</v>
      </c>
      <c r="E14836" t="s">
        <v>20</v>
      </c>
      <c r="F14836">
        <v>59612965</v>
      </c>
      <c r="G14836">
        <v>59612965</v>
      </c>
      <c r="H14836">
        <v>59612965</v>
      </c>
      <c r="I14836">
        <v>59612965</v>
      </c>
    </row>
    <row r="14837" spans="1:9" x14ac:dyDescent="0.2">
      <c r="A14837" t="str">
        <f>"Olfr228"</f>
        <v>Olfr228</v>
      </c>
      <c r="B14837" t="s">
        <v>4926</v>
      </c>
      <c r="C14837" t="s">
        <v>26</v>
      </c>
      <c r="D14837" t="s">
        <v>11</v>
      </c>
      <c r="E14837" t="s">
        <v>20</v>
      </c>
      <c r="F14837">
        <v>86483766</v>
      </c>
      <c r="G14837">
        <v>86483766</v>
      </c>
      <c r="H14837">
        <v>86483766</v>
      </c>
      <c r="I14837">
        <v>86483766</v>
      </c>
    </row>
    <row r="14838" spans="1:9" x14ac:dyDescent="0.2">
      <c r="A14838" t="str">
        <f>"Olfr229"</f>
        <v>Olfr229</v>
      </c>
      <c r="B14838" t="s">
        <v>4927</v>
      </c>
      <c r="C14838" t="s">
        <v>24</v>
      </c>
      <c r="D14838" t="s">
        <v>17</v>
      </c>
      <c r="E14838" t="s">
        <v>20</v>
      </c>
      <c r="F14838">
        <v>39909804</v>
      </c>
      <c r="G14838">
        <v>39909804</v>
      </c>
      <c r="H14838">
        <v>39909804</v>
      </c>
      <c r="I14838">
        <v>39909804</v>
      </c>
    </row>
    <row r="14839" spans="1:9" x14ac:dyDescent="0.2">
      <c r="A14839" t="str">
        <f>"Olfr23"</f>
        <v>Olfr23</v>
      </c>
      <c r="B14839" t="s">
        <v>4928</v>
      </c>
      <c r="C14839" t="s">
        <v>27</v>
      </c>
      <c r="D14839" t="s">
        <v>17</v>
      </c>
      <c r="E14839" t="s">
        <v>20</v>
      </c>
      <c r="F14839">
        <v>73940247</v>
      </c>
      <c r="G14839">
        <v>73940247</v>
      </c>
      <c r="H14839">
        <v>73940247</v>
      </c>
      <c r="I14839">
        <v>73940247</v>
      </c>
    </row>
    <row r="14840" spans="1:9" x14ac:dyDescent="0.2">
      <c r="A14840" t="str">
        <f>"Olfr231"</f>
        <v>Olfr231</v>
      </c>
      <c r="B14840" t="s">
        <v>4929</v>
      </c>
      <c r="C14840" t="s">
        <v>19</v>
      </c>
      <c r="D14840" t="s">
        <v>11</v>
      </c>
      <c r="E14840" t="s">
        <v>20</v>
      </c>
      <c r="F14840">
        <v>174118013</v>
      </c>
      <c r="G14840">
        <v>174118013</v>
      </c>
      <c r="H14840">
        <v>174118013</v>
      </c>
      <c r="I14840">
        <v>174118013</v>
      </c>
    </row>
    <row r="14841" spans="1:9" x14ac:dyDescent="0.2">
      <c r="A14841" t="str">
        <f>"Olfr235"</f>
        <v>Olfr235</v>
      </c>
      <c r="B14841" t="s">
        <v>4930</v>
      </c>
      <c r="C14841" t="s">
        <v>10</v>
      </c>
      <c r="D14841" t="s">
        <v>17</v>
      </c>
      <c r="E14841" t="s">
        <v>20</v>
      </c>
      <c r="F14841">
        <v>12268162</v>
      </c>
      <c r="G14841">
        <v>12268162</v>
      </c>
      <c r="H14841">
        <v>12268162</v>
      </c>
      <c r="I14841">
        <v>12268162</v>
      </c>
    </row>
    <row r="14842" spans="1:9" x14ac:dyDescent="0.2">
      <c r="A14842" t="str">
        <f>"Olfr237-ps1"</f>
        <v>Olfr237-ps1</v>
      </c>
      <c r="B14842" t="s">
        <v>4931</v>
      </c>
      <c r="C14842" t="s">
        <v>32</v>
      </c>
      <c r="D14842" t="s">
        <v>17</v>
      </c>
      <c r="E14842" t="s">
        <v>20</v>
      </c>
      <c r="F14842">
        <v>43153261</v>
      </c>
      <c r="G14842">
        <v>43153261</v>
      </c>
      <c r="H14842">
        <v>43153261</v>
      </c>
      <c r="I14842">
        <v>43153261</v>
      </c>
    </row>
    <row r="14843" spans="1:9" x14ac:dyDescent="0.2">
      <c r="A14843" t="str">
        <f>"Olfr239"</f>
        <v>Olfr239</v>
      </c>
      <c r="B14843" t="s">
        <v>4932</v>
      </c>
      <c r="C14843" t="s">
        <v>28</v>
      </c>
      <c r="D14843" t="s">
        <v>17</v>
      </c>
      <c r="E14843" t="s">
        <v>20</v>
      </c>
      <c r="F14843">
        <v>33199061</v>
      </c>
      <c r="G14843">
        <v>33199061</v>
      </c>
      <c r="H14843">
        <v>33199061</v>
      </c>
      <c r="I14843">
        <v>33199061</v>
      </c>
    </row>
    <row r="14844" spans="1:9" x14ac:dyDescent="0.2">
      <c r="A14844" t="str">
        <f>"Olfr24"</f>
        <v>Olfr24</v>
      </c>
      <c r="B14844" t="s">
        <v>4933</v>
      </c>
      <c r="C14844" t="s">
        <v>24</v>
      </c>
      <c r="D14844" t="s">
        <v>11</v>
      </c>
      <c r="E14844" t="s">
        <v>20</v>
      </c>
      <c r="F14844">
        <v>18755708</v>
      </c>
      <c r="G14844">
        <v>18755708</v>
      </c>
      <c r="H14844">
        <v>18755708</v>
      </c>
      <c r="I14844">
        <v>18755708</v>
      </c>
    </row>
    <row r="14845" spans="1:9" x14ac:dyDescent="0.2">
      <c r="A14845" t="str">
        <f>"Olfr243"</f>
        <v>Olfr243</v>
      </c>
      <c r="B14845" t="s">
        <v>4934</v>
      </c>
      <c r="C14845" t="s">
        <v>33</v>
      </c>
      <c r="D14845" t="s">
        <v>17</v>
      </c>
      <c r="E14845" t="s">
        <v>20</v>
      </c>
      <c r="F14845">
        <v>103716595</v>
      </c>
      <c r="G14845">
        <v>103716595</v>
      </c>
      <c r="H14845">
        <v>103716595</v>
      </c>
      <c r="I14845">
        <v>103716595</v>
      </c>
    </row>
    <row r="14846" spans="1:9" x14ac:dyDescent="0.2">
      <c r="A14846" t="str">
        <f>"Olfr247"</f>
        <v>Olfr247</v>
      </c>
      <c r="B14846" t="s">
        <v>4935</v>
      </c>
      <c r="C14846" t="s">
        <v>15</v>
      </c>
      <c r="D14846" t="s">
        <v>11</v>
      </c>
      <c r="E14846" t="s">
        <v>20</v>
      </c>
      <c r="F14846">
        <v>129975566</v>
      </c>
      <c r="G14846">
        <v>129975566</v>
      </c>
      <c r="H14846">
        <v>129975566</v>
      </c>
      <c r="I14846">
        <v>129975566</v>
      </c>
    </row>
    <row r="14847" spans="1:9" x14ac:dyDescent="0.2">
      <c r="A14847" t="str">
        <f>"Olfr248"</f>
        <v>Olfr248</v>
      </c>
      <c r="B14847" t="s">
        <v>4936</v>
      </c>
      <c r="C14847" t="s">
        <v>19</v>
      </c>
      <c r="D14847" t="s">
        <v>17</v>
      </c>
      <c r="E14847" t="s">
        <v>20</v>
      </c>
      <c r="F14847">
        <v>174391045</v>
      </c>
      <c r="G14847">
        <v>174391045</v>
      </c>
      <c r="H14847">
        <v>174391045</v>
      </c>
      <c r="I14847">
        <v>174391045</v>
      </c>
    </row>
    <row r="14848" spans="1:9" x14ac:dyDescent="0.2">
      <c r="A14848" t="str">
        <f>"Olfr25"</f>
        <v>Olfr25</v>
      </c>
      <c r="B14848" t="s">
        <v>4937</v>
      </c>
      <c r="C14848" t="s">
        <v>24</v>
      </c>
      <c r="D14848" t="s">
        <v>17</v>
      </c>
      <c r="E14848" t="s">
        <v>20</v>
      </c>
      <c r="F14848">
        <v>38329491</v>
      </c>
      <c r="G14848">
        <v>38329491</v>
      </c>
      <c r="H14848">
        <v>38329491</v>
      </c>
      <c r="I14848">
        <v>38329491</v>
      </c>
    </row>
    <row r="14849" spans="1:9" x14ac:dyDescent="0.2">
      <c r="A14849" t="str">
        <f>"Olfr250"</f>
        <v>Olfr250</v>
      </c>
      <c r="B14849" t="s">
        <v>4938</v>
      </c>
      <c r="C14849" t="s">
        <v>24</v>
      </c>
      <c r="D14849" t="s">
        <v>17</v>
      </c>
      <c r="E14849" t="s">
        <v>20</v>
      </c>
      <c r="F14849">
        <v>38367547</v>
      </c>
      <c r="G14849">
        <v>38367547</v>
      </c>
      <c r="H14849">
        <v>38367547</v>
      </c>
      <c r="I14849">
        <v>38367547</v>
      </c>
    </row>
    <row r="14850" spans="1:9" x14ac:dyDescent="0.2">
      <c r="A14850" t="str">
        <f>"Olfr251"</f>
        <v>Olfr251</v>
      </c>
      <c r="B14850" t="s">
        <v>4939</v>
      </c>
      <c r="C14850" t="s">
        <v>24</v>
      </c>
      <c r="D14850" t="s">
        <v>17</v>
      </c>
      <c r="E14850" t="s">
        <v>20</v>
      </c>
      <c r="F14850">
        <v>38377882</v>
      </c>
      <c r="G14850">
        <v>38377882</v>
      </c>
      <c r="H14850">
        <v>38377882</v>
      </c>
      <c r="I14850">
        <v>38377882</v>
      </c>
    </row>
    <row r="14851" spans="1:9" x14ac:dyDescent="0.2">
      <c r="A14851" t="str">
        <f>"Olfr259"</f>
        <v>Olfr259</v>
      </c>
      <c r="B14851" t="s">
        <v>4940</v>
      </c>
      <c r="C14851" t="s">
        <v>26</v>
      </c>
      <c r="D14851" t="s">
        <v>11</v>
      </c>
      <c r="E14851" t="s">
        <v>20</v>
      </c>
      <c r="F14851">
        <v>87108384</v>
      </c>
      <c r="G14851">
        <v>87108384</v>
      </c>
      <c r="H14851">
        <v>87108384</v>
      </c>
      <c r="I14851">
        <v>87108384</v>
      </c>
    </row>
    <row r="14852" spans="1:9" x14ac:dyDescent="0.2">
      <c r="A14852" t="str">
        <f>"Olfr26"</f>
        <v>Olfr26</v>
      </c>
      <c r="B14852" t="s">
        <v>4941</v>
      </c>
      <c r="C14852" t="s">
        <v>24</v>
      </c>
      <c r="D14852" t="s">
        <v>17</v>
      </c>
      <c r="E14852" t="s">
        <v>20</v>
      </c>
      <c r="F14852">
        <v>38855059</v>
      </c>
      <c r="G14852">
        <v>38855059</v>
      </c>
      <c r="H14852">
        <v>38855059</v>
      </c>
      <c r="I14852">
        <v>38855059</v>
      </c>
    </row>
    <row r="14853" spans="1:9" x14ac:dyDescent="0.2">
      <c r="A14853" t="str">
        <f>"Olfr262"</f>
        <v>Olfr262</v>
      </c>
      <c r="B14853" t="s">
        <v>4942</v>
      </c>
      <c r="C14853" t="s">
        <v>10</v>
      </c>
      <c r="D14853" t="s">
        <v>11</v>
      </c>
      <c r="E14853" t="s">
        <v>20</v>
      </c>
      <c r="F14853">
        <v>12241658</v>
      </c>
      <c r="G14853">
        <v>12241658</v>
      </c>
      <c r="H14853">
        <v>12241658</v>
      </c>
      <c r="I14853">
        <v>12241658</v>
      </c>
    </row>
    <row r="14854" spans="1:9" x14ac:dyDescent="0.2">
      <c r="A14854" t="str">
        <f>"Olfr263"</f>
        <v>Olfr263</v>
      </c>
      <c r="B14854" t="s">
        <v>4943</v>
      </c>
      <c r="C14854" t="s">
        <v>39</v>
      </c>
      <c r="D14854" t="s">
        <v>17</v>
      </c>
      <c r="E14854" t="s">
        <v>20</v>
      </c>
      <c r="F14854">
        <v>21132697</v>
      </c>
      <c r="G14854">
        <v>21132697</v>
      </c>
      <c r="H14854">
        <v>21132697</v>
      </c>
      <c r="I14854">
        <v>21132697</v>
      </c>
    </row>
    <row r="14855" spans="1:9" x14ac:dyDescent="0.2">
      <c r="A14855" t="str">
        <f>"Olfr266"</f>
        <v>Olfr266</v>
      </c>
      <c r="B14855" t="s">
        <v>4944</v>
      </c>
      <c r="C14855" t="s">
        <v>22</v>
      </c>
      <c r="D14855" t="s">
        <v>11</v>
      </c>
      <c r="E14855" t="s">
        <v>20</v>
      </c>
      <c r="F14855">
        <v>106822581</v>
      </c>
      <c r="G14855">
        <v>106822581</v>
      </c>
      <c r="H14855">
        <v>106822581</v>
      </c>
      <c r="I14855">
        <v>106822581</v>
      </c>
    </row>
    <row r="14856" spans="1:9" x14ac:dyDescent="0.2">
      <c r="A14856" t="str">
        <f>"Olfr267"</f>
        <v>Olfr267</v>
      </c>
      <c r="B14856" t="s">
        <v>4945</v>
      </c>
      <c r="C14856" t="s">
        <v>23</v>
      </c>
      <c r="D14856" t="s">
        <v>11</v>
      </c>
      <c r="E14856" t="s">
        <v>20</v>
      </c>
      <c r="F14856">
        <v>58785721</v>
      </c>
      <c r="G14856">
        <v>58785721</v>
      </c>
      <c r="H14856">
        <v>58785721</v>
      </c>
      <c r="I14856">
        <v>58785721</v>
      </c>
    </row>
    <row r="14857" spans="1:9" x14ac:dyDescent="0.2">
      <c r="A14857" t="str">
        <f>"Olfr27"</f>
        <v>Olfr27</v>
      </c>
      <c r="B14857" t="s">
        <v>4946</v>
      </c>
      <c r="C14857" t="s">
        <v>24</v>
      </c>
      <c r="D14857" t="s">
        <v>17</v>
      </c>
      <c r="E14857" t="s">
        <v>20</v>
      </c>
      <c r="F14857">
        <v>39128166</v>
      </c>
      <c r="G14857">
        <v>39128166</v>
      </c>
      <c r="H14857">
        <v>39128166</v>
      </c>
      <c r="I14857">
        <v>39128166</v>
      </c>
    </row>
    <row r="14858" spans="1:9" x14ac:dyDescent="0.2">
      <c r="A14858" t="str">
        <f>"Olfr270"</f>
        <v>Olfr270</v>
      </c>
      <c r="B14858" t="s">
        <v>4947</v>
      </c>
      <c r="C14858" t="s">
        <v>23</v>
      </c>
      <c r="D14858" t="s">
        <v>17</v>
      </c>
      <c r="E14858" t="s">
        <v>20</v>
      </c>
      <c r="F14858">
        <v>52970625</v>
      </c>
      <c r="G14858">
        <v>52970625</v>
      </c>
      <c r="H14858">
        <v>52970625</v>
      </c>
      <c r="I14858">
        <v>52970625</v>
      </c>
    </row>
    <row r="14859" spans="1:9" x14ac:dyDescent="0.2">
      <c r="A14859" t="str">
        <f>"Olfr272"</f>
        <v>Olfr272</v>
      </c>
      <c r="B14859" t="s">
        <v>4948</v>
      </c>
      <c r="C14859" t="s">
        <v>23</v>
      </c>
      <c r="D14859" t="s">
        <v>11</v>
      </c>
      <c r="E14859" t="s">
        <v>20</v>
      </c>
      <c r="F14859">
        <v>52911793</v>
      </c>
      <c r="G14859">
        <v>52911793</v>
      </c>
      <c r="H14859">
        <v>52911793</v>
      </c>
      <c r="I14859">
        <v>52911793</v>
      </c>
    </row>
    <row r="14860" spans="1:9" x14ac:dyDescent="0.2">
      <c r="A14860" t="str">
        <f>"Olfr272"</f>
        <v>Olfr272</v>
      </c>
      <c r="B14860" t="s">
        <v>4949</v>
      </c>
      <c r="C14860" t="s">
        <v>23</v>
      </c>
      <c r="D14860" t="s">
        <v>11</v>
      </c>
      <c r="E14860" t="s">
        <v>20</v>
      </c>
      <c r="F14860">
        <v>52919171</v>
      </c>
      <c r="G14860">
        <v>52919171</v>
      </c>
      <c r="H14860">
        <v>52919171</v>
      </c>
      <c r="I14860">
        <v>52919171</v>
      </c>
    </row>
    <row r="14861" spans="1:9" x14ac:dyDescent="0.2">
      <c r="A14861" t="str">
        <f>"Olfr273"</f>
        <v>Olfr273</v>
      </c>
      <c r="B14861" t="s">
        <v>4950</v>
      </c>
      <c r="C14861" t="s">
        <v>23</v>
      </c>
      <c r="D14861" t="s">
        <v>11</v>
      </c>
      <c r="E14861" t="s">
        <v>20</v>
      </c>
      <c r="F14861">
        <v>52856571</v>
      </c>
      <c r="G14861">
        <v>52856571</v>
      </c>
      <c r="H14861">
        <v>52856571</v>
      </c>
      <c r="I14861">
        <v>52856571</v>
      </c>
    </row>
    <row r="14862" spans="1:9" x14ac:dyDescent="0.2">
      <c r="A14862" t="str">
        <f>"Olfr273"</f>
        <v>Olfr273</v>
      </c>
      <c r="B14862" t="s">
        <v>4951</v>
      </c>
      <c r="C14862" t="s">
        <v>23</v>
      </c>
      <c r="D14862" t="s">
        <v>11</v>
      </c>
      <c r="E14862" t="s">
        <v>20</v>
      </c>
      <c r="F14862">
        <v>52858465</v>
      </c>
      <c r="G14862">
        <v>52858465</v>
      </c>
      <c r="H14862">
        <v>52858465</v>
      </c>
      <c r="I14862">
        <v>52858465</v>
      </c>
    </row>
    <row r="14863" spans="1:9" x14ac:dyDescent="0.2">
      <c r="A14863" t="str">
        <f>"Olfr275"</f>
        <v>Olfr275</v>
      </c>
      <c r="B14863" t="s">
        <v>4952</v>
      </c>
      <c r="C14863" t="s">
        <v>23</v>
      </c>
      <c r="D14863" t="s">
        <v>17</v>
      </c>
      <c r="E14863" t="s">
        <v>20</v>
      </c>
      <c r="F14863">
        <v>52825398</v>
      </c>
      <c r="G14863">
        <v>52825398</v>
      </c>
      <c r="H14863">
        <v>52825398</v>
      </c>
      <c r="I14863">
        <v>52825398</v>
      </c>
    </row>
    <row r="14864" spans="1:9" x14ac:dyDescent="0.2">
      <c r="A14864" t="str">
        <f>"Olfr279"</f>
        <v>Olfr279</v>
      </c>
      <c r="B14864" t="s">
        <v>4953</v>
      </c>
      <c r="C14864" t="s">
        <v>25</v>
      </c>
      <c r="D14864" t="s">
        <v>17</v>
      </c>
      <c r="E14864" t="s">
        <v>20</v>
      </c>
      <c r="F14864">
        <v>98497473</v>
      </c>
      <c r="G14864">
        <v>98497473</v>
      </c>
      <c r="H14864">
        <v>98497473</v>
      </c>
      <c r="I14864">
        <v>98497473</v>
      </c>
    </row>
    <row r="14865" spans="1:9" x14ac:dyDescent="0.2">
      <c r="A14865" t="str">
        <f>"Olfr281"</f>
        <v>Olfr281</v>
      </c>
      <c r="B14865" t="s">
        <v>4954</v>
      </c>
      <c r="C14865" t="s">
        <v>25</v>
      </c>
      <c r="D14865" t="s">
        <v>17</v>
      </c>
      <c r="E14865" t="s">
        <v>20</v>
      </c>
      <c r="F14865">
        <v>98456311</v>
      </c>
      <c r="G14865">
        <v>98456311</v>
      </c>
      <c r="H14865">
        <v>98456311</v>
      </c>
      <c r="I14865">
        <v>98456311</v>
      </c>
    </row>
    <row r="14866" spans="1:9" x14ac:dyDescent="0.2">
      <c r="A14866" t="str">
        <f>"Olfr282"</f>
        <v>Olfr282</v>
      </c>
      <c r="B14866" t="s">
        <v>4955</v>
      </c>
      <c r="C14866" t="s">
        <v>25</v>
      </c>
      <c r="D14866" t="s">
        <v>17</v>
      </c>
      <c r="E14866" t="s">
        <v>20</v>
      </c>
      <c r="F14866">
        <v>98437469</v>
      </c>
      <c r="G14866">
        <v>98437469</v>
      </c>
      <c r="H14866">
        <v>98437469</v>
      </c>
      <c r="I14866">
        <v>98437469</v>
      </c>
    </row>
    <row r="14867" spans="1:9" x14ac:dyDescent="0.2">
      <c r="A14867" t="str">
        <f>"Olfr283"</f>
        <v>Olfr283</v>
      </c>
      <c r="B14867" t="s">
        <v>4956</v>
      </c>
      <c r="C14867" t="s">
        <v>25</v>
      </c>
      <c r="D14867" t="s">
        <v>11</v>
      </c>
      <c r="E14867" t="s">
        <v>20</v>
      </c>
      <c r="F14867">
        <v>98379196</v>
      </c>
      <c r="G14867">
        <v>98379196</v>
      </c>
      <c r="H14867">
        <v>98379196</v>
      </c>
      <c r="I14867">
        <v>98379196</v>
      </c>
    </row>
    <row r="14868" spans="1:9" x14ac:dyDescent="0.2">
      <c r="A14868" t="str">
        <f>"Olfr284"</f>
        <v>Olfr284</v>
      </c>
      <c r="B14868" t="s">
        <v>4957</v>
      </c>
      <c r="C14868" t="s">
        <v>25</v>
      </c>
      <c r="D14868" t="s">
        <v>11</v>
      </c>
      <c r="E14868" t="s">
        <v>20</v>
      </c>
      <c r="F14868">
        <v>98340938</v>
      </c>
      <c r="G14868">
        <v>98340938</v>
      </c>
      <c r="H14868">
        <v>98340938</v>
      </c>
      <c r="I14868">
        <v>98340938</v>
      </c>
    </row>
    <row r="14869" spans="1:9" x14ac:dyDescent="0.2">
      <c r="A14869" t="str">
        <f>"Olfr285"</f>
        <v>Olfr285</v>
      </c>
      <c r="B14869" t="s">
        <v>4958</v>
      </c>
      <c r="C14869" t="s">
        <v>25</v>
      </c>
      <c r="D14869" t="s">
        <v>11</v>
      </c>
      <c r="E14869" t="s">
        <v>20</v>
      </c>
      <c r="F14869">
        <v>98313547</v>
      </c>
      <c r="G14869">
        <v>98313547</v>
      </c>
      <c r="H14869">
        <v>98313547</v>
      </c>
      <c r="I14869">
        <v>98313547</v>
      </c>
    </row>
    <row r="14870" spans="1:9" x14ac:dyDescent="0.2">
      <c r="A14870" t="str">
        <f>"Olfr286"</f>
        <v>Olfr286</v>
      </c>
      <c r="B14870" t="s">
        <v>4959</v>
      </c>
      <c r="C14870" t="s">
        <v>25</v>
      </c>
      <c r="D14870" t="s">
        <v>11</v>
      </c>
      <c r="E14870" t="s">
        <v>20</v>
      </c>
      <c r="F14870">
        <v>98227642</v>
      </c>
      <c r="G14870">
        <v>98227642</v>
      </c>
      <c r="H14870">
        <v>98227642</v>
      </c>
      <c r="I14870">
        <v>98227642</v>
      </c>
    </row>
    <row r="14871" spans="1:9" x14ac:dyDescent="0.2">
      <c r="A14871" t="str">
        <f>"Olfr287"</f>
        <v>Olfr287</v>
      </c>
      <c r="B14871" t="s">
        <v>14</v>
      </c>
      <c r="C14871" t="s">
        <v>25</v>
      </c>
      <c r="D14871" t="s">
        <v>11</v>
      </c>
      <c r="E14871" t="s">
        <v>12</v>
      </c>
      <c r="F14871">
        <v>98220949</v>
      </c>
      <c r="G14871">
        <v>98220957</v>
      </c>
      <c r="H14871">
        <v>98220949</v>
      </c>
      <c r="I14871">
        <v>98220957</v>
      </c>
    </row>
    <row r="14872" spans="1:9" x14ac:dyDescent="0.2">
      <c r="A14872" t="str">
        <f>"Olfr288"</f>
        <v>Olfr288</v>
      </c>
      <c r="B14872" t="s">
        <v>14</v>
      </c>
      <c r="C14872" t="s">
        <v>25</v>
      </c>
      <c r="D14872" t="s">
        <v>11</v>
      </c>
      <c r="E14872" t="s">
        <v>12</v>
      </c>
      <c r="F14872">
        <v>98220982</v>
      </c>
      <c r="G14872">
        <v>98221008</v>
      </c>
      <c r="H14872">
        <v>98220982</v>
      </c>
      <c r="I14872">
        <v>98221008</v>
      </c>
    </row>
    <row r="14873" spans="1:9" x14ac:dyDescent="0.2">
      <c r="A14873" t="str">
        <f>"Olfr290"</f>
        <v>Olfr290</v>
      </c>
      <c r="B14873" t="s">
        <v>4960</v>
      </c>
      <c r="C14873" t="s">
        <v>33</v>
      </c>
      <c r="D14873" t="s">
        <v>17</v>
      </c>
      <c r="E14873" t="s">
        <v>20</v>
      </c>
      <c r="F14873">
        <v>84915780</v>
      </c>
      <c r="G14873">
        <v>84915780</v>
      </c>
      <c r="H14873">
        <v>84915780</v>
      </c>
      <c r="I14873">
        <v>84915780</v>
      </c>
    </row>
    <row r="14874" spans="1:9" x14ac:dyDescent="0.2">
      <c r="A14874" t="str">
        <f>"Olfr291"</f>
        <v>Olfr291</v>
      </c>
      <c r="B14874" t="s">
        <v>4961</v>
      </c>
      <c r="C14874" t="s">
        <v>33</v>
      </c>
      <c r="D14874" t="s">
        <v>17</v>
      </c>
      <c r="E14874" t="s">
        <v>20</v>
      </c>
      <c r="F14874">
        <v>84853572</v>
      </c>
      <c r="G14874">
        <v>84853572</v>
      </c>
      <c r="H14874">
        <v>84853572</v>
      </c>
      <c r="I14874">
        <v>84853572</v>
      </c>
    </row>
    <row r="14875" spans="1:9" x14ac:dyDescent="0.2">
      <c r="A14875" t="str">
        <f>"Olfr292"</f>
        <v>Olfr292</v>
      </c>
      <c r="B14875" t="s">
        <v>4962</v>
      </c>
      <c r="C14875" t="s">
        <v>33</v>
      </c>
      <c r="D14875" t="s">
        <v>17</v>
      </c>
      <c r="E14875" t="s">
        <v>20</v>
      </c>
      <c r="F14875">
        <v>86688339</v>
      </c>
      <c r="G14875">
        <v>86688339</v>
      </c>
      <c r="H14875">
        <v>86688339</v>
      </c>
      <c r="I14875">
        <v>86688339</v>
      </c>
    </row>
    <row r="14876" spans="1:9" x14ac:dyDescent="0.2">
      <c r="A14876" t="str">
        <f>"Olfr293"</f>
        <v>Olfr293</v>
      </c>
      <c r="B14876" t="s">
        <v>4963</v>
      </c>
      <c r="C14876" t="s">
        <v>33</v>
      </c>
      <c r="D14876" t="s">
        <v>17</v>
      </c>
      <c r="E14876" t="s">
        <v>20</v>
      </c>
      <c r="F14876">
        <v>86663663</v>
      </c>
      <c r="G14876">
        <v>86663663</v>
      </c>
      <c r="H14876">
        <v>86663663</v>
      </c>
      <c r="I14876">
        <v>86663663</v>
      </c>
    </row>
    <row r="14877" spans="1:9" x14ac:dyDescent="0.2">
      <c r="A14877" t="str">
        <f>"Olfr294"</f>
        <v>Olfr294</v>
      </c>
      <c r="B14877" t="s">
        <v>4964</v>
      </c>
      <c r="C14877" t="s">
        <v>33</v>
      </c>
      <c r="D14877" t="s">
        <v>11</v>
      </c>
      <c r="E14877" t="s">
        <v>20</v>
      </c>
      <c r="F14877">
        <v>86616642</v>
      </c>
      <c r="G14877">
        <v>86616642</v>
      </c>
      <c r="H14877">
        <v>86616642</v>
      </c>
      <c r="I14877">
        <v>86616642</v>
      </c>
    </row>
    <row r="14878" spans="1:9" x14ac:dyDescent="0.2">
      <c r="A14878" t="str">
        <f>"Olfr295"</f>
        <v>Olfr295</v>
      </c>
      <c r="B14878" t="s">
        <v>4965</v>
      </c>
      <c r="C14878" t="s">
        <v>33</v>
      </c>
      <c r="D14878" t="s">
        <v>17</v>
      </c>
      <c r="E14878" t="s">
        <v>20</v>
      </c>
      <c r="F14878">
        <v>86585276</v>
      </c>
      <c r="G14878">
        <v>86585276</v>
      </c>
      <c r="H14878">
        <v>86585276</v>
      </c>
      <c r="I14878">
        <v>86585276</v>
      </c>
    </row>
    <row r="14879" spans="1:9" x14ac:dyDescent="0.2">
      <c r="A14879" t="str">
        <f>"Olfr295"</f>
        <v>Olfr295</v>
      </c>
      <c r="B14879" t="s">
        <v>4966</v>
      </c>
      <c r="C14879" t="s">
        <v>33</v>
      </c>
      <c r="D14879" t="s">
        <v>17</v>
      </c>
      <c r="E14879" t="s">
        <v>20</v>
      </c>
      <c r="F14879">
        <v>86583902</v>
      </c>
      <c r="G14879">
        <v>86583902</v>
      </c>
      <c r="H14879">
        <v>86583902</v>
      </c>
      <c r="I14879">
        <v>86583902</v>
      </c>
    </row>
    <row r="14880" spans="1:9" x14ac:dyDescent="0.2">
      <c r="A14880" t="str">
        <f>"Olfr297"</f>
        <v>Olfr297</v>
      </c>
      <c r="B14880" t="s">
        <v>4967</v>
      </c>
      <c r="C14880" t="s">
        <v>33</v>
      </c>
      <c r="D14880" t="s">
        <v>17</v>
      </c>
      <c r="E14880" t="s">
        <v>20</v>
      </c>
      <c r="F14880">
        <v>86526758</v>
      </c>
      <c r="G14880">
        <v>86526758</v>
      </c>
      <c r="H14880">
        <v>86526758</v>
      </c>
      <c r="I14880">
        <v>86526758</v>
      </c>
    </row>
    <row r="14881" spans="1:9" x14ac:dyDescent="0.2">
      <c r="A14881" t="str">
        <f>"Olfr298"</f>
        <v>Olfr298</v>
      </c>
      <c r="B14881" t="s">
        <v>4968</v>
      </c>
      <c r="C14881" t="s">
        <v>33</v>
      </c>
      <c r="D14881" t="s">
        <v>11</v>
      </c>
      <c r="E14881" t="s">
        <v>20</v>
      </c>
      <c r="F14881">
        <v>86489548</v>
      </c>
      <c r="G14881">
        <v>86489548</v>
      </c>
      <c r="H14881">
        <v>86489548</v>
      </c>
      <c r="I14881">
        <v>86489548</v>
      </c>
    </row>
    <row r="14882" spans="1:9" x14ac:dyDescent="0.2">
      <c r="A14882" t="str">
        <f>"Olfr299"</f>
        <v>Olfr299</v>
      </c>
      <c r="B14882" t="s">
        <v>4969</v>
      </c>
      <c r="C14882" t="s">
        <v>33</v>
      </c>
      <c r="D14882" t="s">
        <v>17</v>
      </c>
      <c r="E14882" t="s">
        <v>20</v>
      </c>
      <c r="F14882">
        <v>86465412</v>
      </c>
      <c r="G14882">
        <v>86465412</v>
      </c>
      <c r="H14882">
        <v>86465412</v>
      </c>
      <c r="I14882">
        <v>86465412</v>
      </c>
    </row>
    <row r="14883" spans="1:9" x14ac:dyDescent="0.2">
      <c r="A14883" t="str">
        <f>"Olfr3"</f>
        <v>Olfr3</v>
      </c>
      <c r="B14883" t="s">
        <v>4970</v>
      </c>
      <c r="C14883" t="s">
        <v>26</v>
      </c>
      <c r="D14883" t="s">
        <v>11</v>
      </c>
      <c r="E14883" t="s">
        <v>20</v>
      </c>
      <c r="F14883">
        <v>36813089</v>
      </c>
      <c r="G14883">
        <v>36813089</v>
      </c>
      <c r="H14883">
        <v>36813089</v>
      </c>
      <c r="I14883">
        <v>36813089</v>
      </c>
    </row>
    <row r="14884" spans="1:9" x14ac:dyDescent="0.2">
      <c r="A14884" t="str">
        <f>"Olfr30"</f>
        <v>Olfr30</v>
      </c>
      <c r="B14884" t="s">
        <v>4971</v>
      </c>
      <c r="C14884" t="s">
        <v>27</v>
      </c>
      <c r="D14884" t="s">
        <v>11</v>
      </c>
      <c r="E14884" t="s">
        <v>20</v>
      </c>
      <c r="F14884">
        <v>58455979</v>
      </c>
      <c r="G14884">
        <v>58455979</v>
      </c>
      <c r="H14884">
        <v>58455979</v>
      </c>
      <c r="I14884">
        <v>58455979</v>
      </c>
    </row>
    <row r="14885" spans="1:9" x14ac:dyDescent="0.2">
      <c r="A14885" t="str">
        <f>"Olfr301"</f>
        <v>Olfr301</v>
      </c>
      <c r="B14885" t="s">
        <v>4972</v>
      </c>
      <c r="C14885" t="s">
        <v>33</v>
      </c>
      <c r="D14885" t="s">
        <v>17</v>
      </c>
      <c r="E14885" t="s">
        <v>20</v>
      </c>
      <c r="F14885">
        <v>86403848</v>
      </c>
      <c r="G14885">
        <v>86403848</v>
      </c>
      <c r="H14885">
        <v>86403848</v>
      </c>
      <c r="I14885">
        <v>86403848</v>
      </c>
    </row>
    <row r="14886" spans="1:9" x14ac:dyDescent="0.2">
      <c r="A14886" t="str">
        <f>"Olfr303"</f>
        <v>Olfr303</v>
      </c>
      <c r="B14886" t="s">
        <v>4973</v>
      </c>
      <c r="C14886" t="s">
        <v>33</v>
      </c>
      <c r="D14886" t="s">
        <v>11</v>
      </c>
      <c r="E14886" t="s">
        <v>20</v>
      </c>
      <c r="F14886">
        <v>86395534</v>
      </c>
      <c r="G14886">
        <v>86395534</v>
      </c>
      <c r="H14886">
        <v>86395534</v>
      </c>
      <c r="I14886">
        <v>86395534</v>
      </c>
    </row>
    <row r="14887" spans="1:9" x14ac:dyDescent="0.2">
      <c r="A14887" t="str">
        <f>"Olfr304"</f>
        <v>Olfr304</v>
      </c>
      <c r="B14887" t="s">
        <v>4974</v>
      </c>
      <c r="C14887" t="s">
        <v>33</v>
      </c>
      <c r="D14887" t="s">
        <v>11</v>
      </c>
      <c r="E14887" t="s">
        <v>20</v>
      </c>
      <c r="F14887">
        <v>86386657</v>
      </c>
      <c r="G14887">
        <v>86386657</v>
      </c>
      <c r="H14887">
        <v>86386657</v>
      </c>
      <c r="I14887">
        <v>86386657</v>
      </c>
    </row>
    <row r="14888" spans="1:9" x14ac:dyDescent="0.2">
      <c r="A14888" t="str">
        <f>"Olfr305"</f>
        <v>Olfr305</v>
      </c>
      <c r="B14888" t="s">
        <v>4975</v>
      </c>
      <c r="C14888" t="s">
        <v>33</v>
      </c>
      <c r="D14888" t="s">
        <v>11</v>
      </c>
      <c r="E14888" t="s">
        <v>20</v>
      </c>
      <c r="F14888">
        <v>86364334</v>
      </c>
      <c r="G14888">
        <v>86364334</v>
      </c>
      <c r="H14888">
        <v>86364334</v>
      </c>
      <c r="I14888">
        <v>86364334</v>
      </c>
    </row>
    <row r="14889" spans="1:9" x14ac:dyDescent="0.2">
      <c r="A14889" t="str">
        <f>"Olfr307"</f>
        <v>Olfr307</v>
      </c>
      <c r="B14889" t="s">
        <v>4976</v>
      </c>
      <c r="C14889" t="s">
        <v>33</v>
      </c>
      <c r="D14889" t="s">
        <v>11</v>
      </c>
      <c r="E14889" t="s">
        <v>20</v>
      </c>
      <c r="F14889">
        <v>86336416</v>
      </c>
      <c r="G14889">
        <v>86336416</v>
      </c>
      <c r="H14889">
        <v>86336416</v>
      </c>
      <c r="I14889">
        <v>86336416</v>
      </c>
    </row>
    <row r="14890" spans="1:9" x14ac:dyDescent="0.2">
      <c r="A14890" t="str">
        <f>"Olfr308"</f>
        <v>Olfr308</v>
      </c>
      <c r="B14890" t="s">
        <v>4977</v>
      </c>
      <c r="C14890" t="s">
        <v>33</v>
      </c>
      <c r="D14890" t="s">
        <v>11</v>
      </c>
      <c r="E14890" t="s">
        <v>20</v>
      </c>
      <c r="F14890">
        <v>86322049</v>
      </c>
      <c r="G14890">
        <v>86322049</v>
      </c>
      <c r="H14890">
        <v>86322049</v>
      </c>
      <c r="I14890">
        <v>86322049</v>
      </c>
    </row>
    <row r="14891" spans="1:9" x14ac:dyDescent="0.2">
      <c r="A14891" t="str">
        <f>"Olfr309"</f>
        <v>Olfr309</v>
      </c>
      <c r="B14891" t="s">
        <v>4978</v>
      </c>
      <c r="C14891" t="s">
        <v>33</v>
      </c>
      <c r="D14891" t="s">
        <v>11</v>
      </c>
      <c r="E14891" t="s">
        <v>20</v>
      </c>
      <c r="F14891">
        <v>86307110</v>
      </c>
      <c r="G14891">
        <v>86307110</v>
      </c>
      <c r="H14891">
        <v>86307110</v>
      </c>
      <c r="I14891">
        <v>86307110</v>
      </c>
    </row>
    <row r="14892" spans="1:9" x14ac:dyDescent="0.2">
      <c r="A14892" t="str">
        <f>"Olfr309"</f>
        <v>Olfr309</v>
      </c>
      <c r="B14892" t="s">
        <v>4979</v>
      </c>
      <c r="C14892" t="s">
        <v>33</v>
      </c>
      <c r="D14892" t="s">
        <v>11</v>
      </c>
      <c r="E14892" t="s">
        <v>20</v>
      </c>
      <c r="F14892">
        <v>86313508</v>
      </c>
      <c r="G14892">
        <v>86313508</v>
      </c>
      <c r="H14892">
        <v>86313508</v>
      </c>
      <c r="I14892">
        <v>86313508</v>
      </c>
    </row>
    <row r="14893" spans="1:9" x14ac:dyDescent="0.2">
      <c r="A14893" t="str">
        <f>"Olfr31"</f>
        <v>Olfr31</v>
      </c>
      <c r="B14893" t="s">
        <v>4980</v>
      </c>
      <c r="C14893" t="s">
        <v>41</v>
      </c>
      <c r="D14893" t="s">
        <v>17</v>
      </c>
      <c r="E14893" t="s">
        <v>20</v>
      </c>
      <c r="F14893">
        <v>14328112</v>
      </c>
      <c r="G14893">
        <v>14328112</v>
      </c>
      <c r="H14893">
        <v>14328112</v>
      </c>
      <c r="I14893">
        <v>14328112</v>
      </c>
    </row>
    <row r="14894" spans="1:9" x14ac:dyDescent="0.2">
      <c r="A14894" t="str">
        <f>"Olfr310"</f>
        <v>Olfr310</v>
      </c>
      <c r="B14894" t="s">
        <v>4981</v>
      </c>
      <c r="C14894" t="s">
        <v>33</v>
      </c>
      <c r="D14894" t="s">
        <v>11</v>
      </c>
      <c r="E14894" t="s">
        <v>20</v>
      </c>
      <c r="F14894">
        <v>86269810</v>
      </c>
      <c r="G14894">
        <v>86269810</v>
      </c>
      <c r="H14894">
        <v>86269810</v>
      </c>
      <c r="I14894">
        <v>86269810</v>
      </c>
    </row>
    <row r="14895" spans="1:9" x14ac:dyDescent="0.2">
      <c r="A14895" t="str">
        <f>"Olfr311"</f>
        <v>Olfr311</v>
      </c>
      <c r="B14895" t="s">
        <v>4982</v>
      </c>
      <c r="C14895" t="s">
        <v>27</v>
      </c>
      <c r="D14895" t="s">
        <v>17</v>
      </c>
      <c r="E14895" t="s">
        <v>20</v>
      </c>
      <c r="F14895">
        <v>58841115</v>
      </c>
      <c r="G14895">
        <v>58841115</v>
      </c>
      <c r="H14895">
        <v>58841115</v>
      </c>
      <c r="I14895">
        <v>58841115</v>
      </c>
    </row>
    <row r="14896" spans="1:9" x14ac:dyDescent="0.2">
      <c r="A14896" t="str">
        <f>"Olfr312"</f>
        <v>Olfr312</v>
      </c>
      <c r="B14896" t="s">
        <v>4983</v>
      </c>
      <c r="C14896" t="s">
        <v>27</v>
      </c>
      <c r="D14896" t="s">
        <v>17</v>
      </c>
      <c r="E14896" t="s">
        <v>20</v>
      </c>
      <c r="F14896">
        <v>58831155</v>
      </c>
      <c r="G14896">
        <v>58831155</v>
      </c>
      <c r="H14896">
        <v>58831155</v>
      </c>
      <c r="I14896">
        <v>58831155</v>
      </c>
    </row>
    <row r="14897" spans="1:9" x14ac:dyDescent="0.2">
      <c r="A14897" t="str">
        <f>"Olfr313"</f>
        <v>Olfr313</v>
      </c>
      <c r="B14897" t="s">
        <v>4984</v>
      </c>
      <c r="C14897" t="s">
        <v>27</v>
      </c>
      <c r="D14897" t="s">
        <v>17</v>
      </c>
      <c r="E14897" t="s">
        <v>20</v>
      </c>
      <c r="F14897">
        <v>58816927</v>
      </c>
      <c r="G14897">
        <v>58816927</v>
      </c>
      <c r="H14897">
        <v>58816927</v>
      </c>
      <c r="I14897">
        <v>58816927</v>
      </c>
    </row>
    <row r="14898" spans="1:9" x14ac:dyDescent="0.2">
      <c r="A14898" t="str">
        <f>"Olfr314"</f>
        <v>Olfr314</v>
      </c>
      <c r="B14898" t="s">
        <v>4985</v>
      </c>
      <c r="C14898" t="s">
        <v>27</v>
      </c>
      <c r="D14898" t="s">
        <v>17</v>
      </c>
      <c r="E14898" t="s">
        <v>20</v>
      </c>
      <c r="F14898">
        <v>58786138</v>
      </c>
      <c r="G14898">
        <v>58786138</v>
      </c>
      <c r="H14898">
        <v>58786138</v>
      </c>
      <c r="I14898">
        <v>58786138</v>
      </c>
    </row>
    <row r="14899" spans="1:9" x14ac:dyDescent="0.2">
      <c r="A14899" t="str">
        <f>"Olfr315"</f>
        <v>Olfr315</v>
      </c>
      <c r="B14899" t="s">
        <v>4986</v>
      </c>
      <c r="C14899" t="s">
        <v>27</v>
      </c>
      <c r="D14899" t="s">
        <v>17</v>
      </c>
      <c r="E14899" t="s">
        <v>20</v>
      </c>
      <c r="F14899">
        <v>58778088</v>
      </c>
      <c r="G14899">
        <v>58778088</v>
      </c>
      <c r="H14899">
        <v>58778088</v>
      </c>
      <c r="I14899">
        <v>58778088</v>
      </c>
    </row>
    <row r="14900" spans="1:9" x14ac:dyDescent="0.2">
      <c r="A14900" t="str">
        <f>"Olfr316"</f>
        <v>Olfr316</v>
      </c>
      <c r="B14900" t="s">
        <v>4987</v>
      </c>
      <c r="C14900" t="s">
        <v>27</v>
      </c>
      <c r="D14900" t="s">
        <v>17</v>
      </c>
      <c r="E14900" t="s">
        <v>20</v>
      </c>
      <c r="F14900">
        <v>58757603</v>
      </c>
      <c r="G14900">
        <v>58757603</v>
      </c>
      <c r="H14900">
        <v>58757603</v>
      </c>
      <c r="I14900">
        <v>58757603</v>
      </c>
    </row>
    <row r="14901" spans="1:9" x14ac:dyDescent="0.2">
      <c r="A14901" t="str">
        <f>"Olfr317"</f>
        <v>Olfr317</v>
      </c>
      <c r="B14901" t="s">
        <v>4988</v>
      </c>
      <c r="C14901" t="s">
        <v>27</v>
      </c>
      <c r="D14901" t="s">
        <v>11</v>
      </c>
      <c r="E14901" t="s">
        <v>20</v>
      </c>
      <c r="F14901">
        <v>58733222</v>
      </c>
      <c r="G14901">
        <v>58733222</v>
      </c>
      <c r="H14901">
        <v>58733222</v>
      </c>
      <c r="I14901">
        <v>58733222</v>
      </c>
    </row>
    <row r="14902" spans="1:9" x14ac:dyDescent="0.2">
      <c r="A14902" t="str">
        <f>"Olfr318"</f>
        <v>Olfr318</v>
      </c>
      <c r="B14902" t="s">
        <v>4989</v>
      </c>
      <c r="C14902" t="s">
        <v>27</v>
      </c>
      <c r="D14902" t="s">
        <v>11</v>
      </c>
      <c r="E14902" t="s">
        <v>20</v>
      </c>
      <c r="F14902">
        <v>58721093</v>
      </c>
      <c r="G14902">
        <v>58721093</v>
      </c>
      <c r="H14902">
        <v>58721093</v>
      </c>
      <c r="I14902">
        <v>58721093</v>
      </c>
    </row>
    <row r="14903" spans="1:9" x14ac:dyDescent="0.2">
      <c r="A14903" t="str">
        <f>"Olfr319"</f>
        <v>Olfr319</v>
      </c>
      <c r="B14903" t="s">
        <v>4990</v>
      </c>
      <c r="C14903" t="s">
        <v>27</v>
      </c>
      <c r="D14903" t="s">
        <v>17</v>
      </c>
      <c r="E14903" t="s">
        <v>20</v>
      </c>
      <c r="F14903">
        <v>58701702</v>
      </c>
      <c r="G14903">
        <v>58701702</v>
      </c>
      <c r="H14903">
        <v>58701702</v>
      </c>
      <c r="I14903">
        <v>58701702</v>
      </c>
    </row>
    <row r="14904" spans="1:9" x14ac:dyDescent="0.2">
      <c r="A14904" t="str">
        <f>"Olfr32"</f>
        <v>Olfr32</v>
      </c>
      <c r="B14904" t="s">
        <v>4991</v>
      </c>
      <c r="C14904" t="s">
        <v>26</v>
      </c>
      <c r="D14904" t="s">
        <v>11</v>
      </c>
      <c r="E14904" t="s">
        <v>20</v>
      </c>
      <c r="F14904">
        <v>90139136</v>
      </c>
      <c r="G14904">
        <v>90139136</v>
      </c>
      <c r="H14904">
        <v>90139136</v>
      </c>
      <c r="I14904">
        <v>90139136</v>
      </c>
    </row>
    <row r="14905" spans="1:9" x14ac:dyDescent="0.2">
      <c r="A14905" t="str">
        <f>"Olfr32"</f>
        <v>Olfr32</v>
      </c>
      <c r="B14905" t="s">
        <v>4992</v>
      </c>
      <c r="C14905" t="s">
        <v>26</v>
      </c>
      <c r="D14905" t="s">
        <v>11</v>
      </c>
      <c r="E14905" t="s">
        <v>20</v>
      </c>
      <c r="F14905">
        <v>90142292</v>
      </c>
      <c r="G14905">
        <v>90142292</v>
      </c>
      <c r="H14905">
        <v>90142292</v>
      </c>
      <c r="I14905">
        <v>90142292</v>
      </c>
    </row>
    <row r="14906" spans="1:9" x14ac:dyDescent="0.2">
      <c r="A14906" t="str">
        <f>"Olfr320"</f>
        <v>Olfr320</v>
      </c>
      <c r="B14906" t="s">
        <v>4993</v>
      </c>
      <c r="C14906" t="s">
        <v>27</v>
      </c>
      <c r="D14906" t="s">
        <v>17</v>
      </c>
      <c r="E14906" t="s">
        <v>20</v>
      </c>
      <c r="F14906">
        <v>58683874</v>
      </c>
      <c r="G14906">
        <v>58683874</v>
      </c>
      <c r="H14906">
        <v>58683874</v>
      </c>
      <c r="I14906">
        <v>58683874</v>
      </c>
    </row>
    <row r="14907" spans="1:9" x14ac:dyDescent="0.2">
      <c r="A14907" t="str">
        <f>"Olfr322"</f>
        <v>Olfr322</v>
      </c>
      <c r="B14907" t="s">
        <v>4994</v>
      </c>
      <c r="C14907" t="s">
        <v>27</v>
      </c>
      <c r="D14907" t="s">
        <v>17</v>
      </c>
      <c r="E14907" t="s">
        <v>20</v>
      </c>
      <c r="F14907">
        <v>58665560</v>
      </c>
      <c r="G14907">
        <v>58665560</v>
      </c>
      <c r="H14907">
        <v>58665560</v>
      </c>
      <c r="I14907">
        <v>58665560</v>
      </c>
    </row>
    <row r="14908" spans="1:9" x14ac:dyDescent="0.2">
      <c r="A14908" t="str">
        <f>"Olfr323"</f>
        <v>Olfr323</v>
      </c>
      <c r="B14908" t="s">
        <v>4995</v>
      </c>
      <c r="C14908" t="s">
        <v>27</v>
      </c>
      <c r="D14908" t="s">
        <v>11</v>
      </c>
      <c r="E14908" t="s">
        <v>20</v>
      </c>
      <c r="F14908">
        <v>58626043</v>
      </c>
      <c r="G14908">
        <v>58626043</v>
      </c>
      <c r="H14908">
        <v>58626043</v>
      </c>
      <c r="I14908">
        <v>58626043</v>
      </c>
    </row>
    <row r="14909" spans="1:9" x14ac:dyDescent="0.2">
      <c r="A14909" t="str">
        <f>"Olfr324"</f>
        <v>Olfr324</v>
      </c>
      <c r="B14909" t="s">
        <v>4996</v>
      </c>
      <c r="C14909" t="s">
        <v>27</v>
      </c>
      <c r="D14909" t="s">
        <v>17</v>
      </c>
      <c r="E14909" t="s">
        <v>20</v>
      </c>
      <c r="F14909">
        <v>58597344</v>
      </c>
      <c r="G14909">
        <v>58597344</v>
      </c>
      <c r="H14909">
        <v>58597344</v>
      </c>
      <c r="I14909">
        <v>58597344</v>
      </c>
    </row>
    <row r="14910" spans="1:9" x14ac:dyDescent="0.2">
      <c r="A14910" t="str">
        <f>"Olfr325"</f>
        <v>Olfr325</v>
      </c>
      <c r="B14910" t="s">
        <v>4997</v>
      </c>
      <c r="C14910" t="s">
        <v>27</v>
      </c>
      <c r="D14910" t="s">
        <v>17</v>
      </c>
      <c r="E14910" t="s">
        <v>20</v>
      </c>
      <c r="F14910">
        <v>58580836</v>
      </c>
      <c r="G14910">
        <v>58580836</v>
      </c>
      <c r="H14910">
        <v>58580836</v>
      </c>
      <c r="I14910">
        <v>58580836</v>
      </c>
    </row>
    <row r="14911" spans="1:9" x14ac:dyDescent="0.2">
      <c r="A14911" t="str">
        <f>"Olfr328"</f>
        <v>Olfr328</v>
      </c>
      <c r="B14911" t="s">
        <v>14</v>
      </c>
      <c r="C14911" t="s">
        <v>27</v>
      </c>
      <c r="D14911" t="s">
        <v>11</v>
      </c>
      <c r="E14911" t="s">
        <v>12</v>
      </c>
      <c r="F14911">
        <v>58553638</v>
      </c>
      <c r="G14911">
        <v>58553684</v>
      </c>
      <c r="H14911">
        <v>58553638</v>
      </c>
      <c r="I14911">
        <v>58553684</v>
      </c>
    </row>
    <row r="14912" spans="1:9" x14ac:dyDescent="0.2">
      <c r="A14912" t="str">
        <f>"Olfr33"</f>
        <v>Olfr33</v>
      </c>
      <c r="B14912" t="s">
        <v>4998</v>
      </c>
      <c r="C14912" t="s">
        <v>33</v>
      </c>
      <c r="D14912" t="s">
        <v>11</v>
      </c>
      <c r="E14912" t="s">
        <v>20</v>
      </c>
      <c r="F14912">
        <v>102714410</v>
      </c>
      <c r="G14912">
        <v>102714410</v>
      </c>
      <c r="H14912">
        <v>102714410</v>
      </c>
      <c r="I14912">
        <v>102714410</v>
      </c>
    </row>
    <row r="14913" spans="1:9" x14ac:dyDescent="0.2">
      <c r="A14913" t="str">
        <f>"Olfr330"</f>
        <v>Olfr330</v>
      </c>
      <c r="B14913" t="s">
        <v>4999</v>
      </c>
      <c r="C14913" t="s">
        <v>27</v>
      </c>
      <c r="D14913" t="s">
        <v>11</v>
      </c>
      <c r="E14913" t="s">
        <v>20</v>
      </c>
      <c r="F14913">
        <v>58529983</v>
      </c>
      <c r="G14913">
        <v>58529983</v>
      </c>
      <c r="H14913">
        <v>58529983</v>
      </c>
      <c r="I14913">
        <v>58529983</v>
      </c>
    </row>
    <row r="14914" spans="1:9" x14ac:dyDescent="0.2">
      <c r="A14914" t="str">
        <f>"Olfr330"</f>
        <v>Olfr330</v>
      </c>
      <c r="B14914" t="s">
        <v>5000</v>
      </c>
      <c r="C14914" t="s">
        <v>27</v>
      </c>
      <c r="D14914" t="s">
        <v>11</v>
      </c>
      <c r="E14914" t="s">
        <v>20</v>
      </c>
      <c r="F14914">
        <v>58534824</v>
      </c>
      <c r="G14914">
        <v>58534824</v>
      </c>
      <c r="H14914">
        <v>58534824</v>
      </c>
      <c r="I14914">
        <v>58534824</v>
      </c>
    </row>
    <row r="14915" spans="1:9" x14ac:dyDescent="0.2">
      <c r="A14915" t="str">
        <f>"Olfr331"</f>
        <v>Olfr331</v>
      </c>
      <c r="B14915" t="s">
        <v>5001</v>
      </c>
      <c r="C14915" t="s">
        <v>27</v>
      </c>
      <c r="D14915" t="s">
        <v>11</v>
      </c>
      <c r="E14915" t="s">
        <v>20</v>
      </c>
      <c r="F14915">
        <v>58502571</v>
      </c>
      <c r="G14915">
        <v>58502571</v>
      </c>
      <c r="H14915">
        <v>58502571</v>
      </c>
      <c r="I14915">
        <v>58502571</v>
      </c>
    </row>
    <row r="14916" spans="1:9" x14ac:dyDescent="0.2">
      <c r="A14916" t="str">
        <f>"Olfr332"</f>
        <v>Olfr332</v>
      </c>
      <c r="B14916" t="s">
        <v>5002</v>
      </c>
      <c r="C14916" t="s">
        <v>27</v>
      </c>
      <c r="D14916" t="s">
        <v>11</v>
      </c>
      <c r="E14916" t="s">
        <v>20</v>
      </c>
      <c r="F14916">
        <v>58492498</v>
      </c>
      <c r="G14916">
        <v>58492498</v>
      </c>
      <c r="H14916">
        <v>58492498</v>
      </c>
      <c r="I14916">
        <v>58492498</v>
      </c>
    </row>
    <row r="14917" spans="1:9" x14ac:dyDescent="0.2">
      <c r="A14917" t="str">
        <f>"Olfr338"</f>
        <v>Olfr338</v>
      </c>
      <c r="B14917" t="s">
        <v>5003</v>
      </c>
      <c r="C14917" t="s">
        <v>26</v>
      </c>
      <c r="D14917" t="s">
        <v>17</v>
      </c>
      <c r="E14917" t="s">
        <v>20</v>
      </c>
      <c r="F14917">
        <v>36376777</v>
      </c>
      <c r="G14917">
        <v>36376777</v>
      </c>
      <c r="H14917">
        <v>36376777</v>
      </c>
      <c r="I14917">
        <v>36376777</v>
      </c>
    </row>
    <row r="14918" spans="1:9" x14ac:dyDescent="0.2">
      <c r="A14918" t="str">
        <f>"Olfr339"</f>
        <v>Olfr339</v>
      </c>
      <c r="B14918" t="s">
        <v>5004</v>
      </c>
      <c r="C14918" t="s">
        <v>26</v>
      </c>
      <c r="D14918" t="s">
        <v>17</v>
      </c>
      <c r="E14918" t="s">
        <v>20</v>
      </c>
      <c r="F14918">
        <v>36421399</v>
      </c>
      <c r="G14918">
        <v>36421399</v>
      </c>
      <c r="H14918">
        <v>36421399</v>
      </c>
      <c r="I14918">
        <v>36421399</v>
      </c>
    </row>
    <row r="14919" spans="1:9" x14ac:dyDescent="0.2">
      <c r="A14919" t="str">
        <f>"Olfr340"</f>
        <v>Olfr340</v>
      </c>
      <c r="B14919" t="s">
        <v>5005</v>
      </c>
      <c r="C14919" t="s">
        <v>26</v>
      </c>
      <c r="D14919" t="s">
        <v>17</v>
      </c>
      <c r="E14919" t="s">
        <v>20</v>
      </c>
      <c r="F14919">
        <v>36452586</v>
      </c>
      <c r="G14919">
        <v>36452586</v>
      </c>
      <c r="H14919">
        <v>36452586</v>
      </c>
      <c r="I14919">
        <v>36452586</v>
      </c>
    </row>
    <row r="14920" spans="1:9" x14ac:dyDescent="0.2">
      <c r="A14920" t="str">
        <f>"Olfr341"</f>
        <v>Olfr341</v>
      </c>
      <c r="B14920" t="s">
        <v>5006</v>
      </c>
      <c r="C14920" t="s">
        <v>26</v>
      </c>
      <c r="D14920" t="s">
        <v>11</v>
      </c>
      <c r="E14920" t="s">
        <v>20</v>
      </c>
      <c r="F14920">
        <v>36480127</v>
      </c>
      <c r="G14920">
        <v>36480127</v>
      </c>
      <c r="H14920">
        <v>36480127</v>
      </c>
      <c r="I14920">
        <v>36480127</v>
      </c>
    </row>
    <row r="14921" spans="1:9" x14ac:dyDescent="0.2">
      <c r="A14921" t="str">
        <f>"Olfr342"</f>
        <v>Olfr342</v>
      </c>
      <c r="B14921" t="s">
        <v>5007</v>
      </c>
      <c r="C14921" t="s">
        <v>26</v>
      </c>
      <c r="D14921" t="s">
        <v>17</v>
      </c>
      <c r="E14921" t="s">
        <v>20</v>
      </c>
      <c r="F14921">
        <v>36527387</v>
      </c>
      <c r="G14921">
        <v>36527387</v>
      </c>
      <c r="H14921">
        <v>36527387</v>
      </c>
      <c r="I14921">
        <v>36527387</v>
      </c>
    </row>
    <row r="14922" spans="1:9" x14ac:dyDescent="0.2">
      <c r="A14922" t="str">
        <f>"Olfr344"</f>
        <v>Olfr344</v>
      </c>
      <c r="B14922" t="s">
        <v>5008</v>
      </c>
      <c r="C14922" t="s">
        <v>26</v>
      </c>
      <c r="D14922" t="s">
        <v>17</v>
      </c>
      <c r="E14922" t="s">
        <v>20</v>
      </c>
      <c r="F14922">
        <v>36568599</v>
      </c>
      <c r="G14922">
        <v>36568599</v>
      </c>
      <c r="H14922">
        <v>36568599</v>
      </c>
      <c r="I14922">
        <v>36568599</v>
      </c>
    </row>
    <row r="14923" spans="1:9" x14ac:dyDescent="0.2">
      <c r="A14923" t="str">
        <f>"Olfr345"</f>
        <v>Olfr345</v>
      </c>
      <c r="B14923" t="s">
        <v>5009</v>
      </c>
      <c r="C14923" t="s">
        <v>26</v>
      </c>
      <c r="D14923" t="s">
        <v>17</v>
      </c>
      <c r="E14923" t="s">
        <v>20</v>
      </c>
      <c r="F14923">
        <v>36640040</v>
      </c>
      <c r="G14923">
        <v>36640040</v>
      </c>
      <c r="H14923">
        <v>36640040</v>
      </c>
      <c r="I14923">
        <v>36640040</v>
      </c>
    </row>
    <row r="14924" spans="1:9" x14ac:dyDescent="0.2">
      <c r="A14924" t="str">
        <f>"Olfr346"</f>
        <v>Olfr346</v>
      </c>
      <c r="B14924" t="s">
        <v>5010</v>
      </c>
      <c r="C14924" t="s">
        <v>26</v>
      </c>
      <c r="D14924" t="s">
        <v>17</v>
      </c>
      <c r="E14924" t="s">
        <v>20</v>
      </c>
      <c r="F14924">
        <v>36688003</v>
      </c>
      <c r="G14924">
        <v>36688003</v>
      </c>
      <c r="H14924">
        <v>36688003</v>
      </c>
      <c r="I14924">
        <v>36688003</v>
      </c>
    </row>
    <row r="14925" spans="1:9" x14ac:dyDescent="0.2">
      <c r="A14925" t="str">
        <f>"Olfr347"</f>
        <v>Olfr347</v>
      </c>
      <c r="B14925" t="s">
        <v>5011</v>
      </c>
      <c r="C14925" t="s">
        <v>26</v>
      </c>
      <c r="D14925" t="s">
        <v>17</v>
      </c>
      <c r="E14925" t="s">
        <v>20</v>
      </c>
      <c r="F14925">
        <v>36734318</v>
      </c>
      <c r="G14925">
        <v>36734318</v>
      </c>
      <c r="H14925">
        <v>36734318</v>
      </c>
      <c r="I14925">
        <v>36734318</v>
      </c>
    </row>
    <row r="14926" spans="1:9" x14ac:dyDescent="0.2">
      <c r="A14926" t="str">
        <f>"Olfr348"</f>
        <v>Olfr348</v>
      </c>
      <c r="B14926" t="s">
        <v>5012</v>
      </c>
      <c r="C14926" t="s">
        <v>26</v>
      </c>
      <c r="D14926" t="s">
        <v>17</v>
      </c>
      <c r="E14926" t="s">
        <v>20</v>
      </c>
      <c r="F14926">
        <v>36786526</v>
      </c>
      <c r="G14926">
        <v>36786526</v>
      </c>
      <c r="H14926">
        <v>36786526</v>
      </c>
      <c r="I14926">
        <v>36786526</v>
      </c>
    </row>
    <row r="14927" spans="1:9" x14ac:dyDescent="0.2">
      <c r="A14927" t="str">
        <f>"Olfr348"</f>
        <v>Olfr348</v>
      </c>
      <c r="B14927" t="s">
        <v>5013</v>
      </c>
      <c r="C14927" t="s">
        <v>26</v>
      </c>
      <c r="D14927" t="s">
        <v>17</v>
      </c>
      <c r="E14927" t="s">
        <v>20</v>
      </c>
      <c r="F14927">
        <v>36784275</v>
      </c>
      <c r="G14927">
        <v>36784275</v>
      </c>
      <c r="H14927">
        <v>36784275</v>
      </c>
      <c r="I14927">
        <v>36784275</v>
      </c>
    </row>
    <row r="14928" spans="1:9" x14ac:dyDescent="0.2">
      <c r="A14928" t="str">
        <f>"Olfr350"</f>
        <v>Olfr350</v>
      </c>
      <c r="B14928" t="s">
        <v>5014</v>
      </c>
      <c r="C14928" t="s">
        <v>26</v>
      </c>
      <c r="D14928" t="s">
        <v>17</v>
      </c>
      <c r="E14928" t="s">
        <v>20</v>
      </c>
      <c r="F14928">
        <v>36850047</v>
      </c>
      <c r="G14928">
        <v>36850047</v>
      </c>
      <c r="H14928">
        <v>36850047</v>
      </c>
      <c r="I14928">
        <v>36850047</v>
      </c>
    </row>
    <row r="14929" spans="1:9" x14ac:dyDescent="0.2">
      <c r="A14929" t="str">
        <f>"Olfr351"</f>
        <v>Olfr351</v>
      </c>
      <c r="B14929" t="s">
        <v>5015</v>
      </c>
      <c r="C14929" t="s">
        <v>26</v>
      </c>
      <c r="D14929" t="s">
        <v>11</v>
      </c>
      <c r="E14929" t="s">
        <v>20</v>
      </c>
      <c r="F14929">
        <v>36860345</v>
      </c>
      <c r="G14929">
        <v>36860345</v>
      </c>
      <c r="H14929">
        <v>36860345</v>
      </c>
      <c r="I14929">
        <v>36860345</v>
      </c>
    </row>
    <row r="14930" spans="1:9" x14ac:dyDescent="0.2">
      <c r="A14930" t="str">
        <f>"Olfr352"</f>
        <v>Olfr352</v>
      </c>
      <c r="B14930" t="s">
        <v>5016</v>
      </c>
      <c r="C14930" t="s">
        <v>26</v>
      </c>
      <c r="D14930" t="s">
        <v>17</v>
      </c>
      <c r="E14930" t="s">
        <v>20</v>
      </c>
      <c r="F14930">
        <v>36869567</v>
      </c>
      <c r="G14930">
        <v>36869567</v>
      </c>
      <c r="H14930">
        <v>36869567</v>
      </c>
      <c r="I14930">
        <v>36869567</v>
      </c>
    </row>
    <row r="14931" spans="1:9" x14ac:dyDescent="0.2">
      <c r="A14931" t="str">
        <f>"Olfr353"</f>
        <v>Olfr353</v>
      </c>
      <c r="B14931" t="s">
        <v>5017</v>
      </c>
      <c r="C14931" t="s">
        <v>26</v>
      </c>
      <c r="D14931" t="s">
        <v>11</v>
      </c>
      <c r="E14931" t="s">
        <v>20</v>
      </c>
      <c r="F14931">
        <v>36890845</v>
      </c>
      <c r="G14931">
        <v>36890845</v>
      </c>
      <c r="H14931">
        <v>36890845</v>
      </c>
      <c r="I14931">
        <v>36890845</v>
      </c>
    </row>
    <row r="14932" spans="1:9" x14ac:dyDescent="0.2">
      <c r="A14932" t="str">
        <f>"Olfr354"</f>
        <v>Olfr354</v>
      </c>
      <c r="B14932" t="s">
        <v>5018</v>
      </c>
      <c r="C14932" t="s">
        <v>26</v>
      </c>
      <c r="D14932" t="s">
        <v>17</v>
      </c>
      <c r="E14932" t="s">
        <v>20</v>
      </c>
      <c r="F14932">
        <v>36906910</v>
      </c>
      <c r="G14932">
        <v>36906910</v>
      </c>
      <c r="H14932">
        <v>36906910</v>
      </c>
      <c r="I14932">
        <v>36906910</v>
      </c>
    </row>
    <row r="14933" spans="1:9" x14ac:dyDescent="0.2">
      <c r="A14933" t="str">
        <f>"Olfr355"</f>
        <v>Olfr355</v>
      </c>
      <c r="B14933" t="s">
        <v>5019</v>
      </c>
      <c r="C14933" t="s">
        <v>26</v>
      </c>
      <c r="D14933" t="s">
        <v>11</v>
      </c>
      <c r="E14933" t="s">
        <v>20</v>
      </c>
      <c r="F14933">
        <v>36928111</v>
      </c>
      <c r="G14933">
        <v>36928111</v>
      </c>
      <c r="H14933">
        <v>36928111</v>
      </c>
      <c r="I14933">
        <v>36928111</v>
      </c>
    </row>
    <row r="14934" spans="1:9" x14ac:dyDescent="0.2">
      <c r="A14934" t="str">
        <f>"Olfr356"</f>
        <v>Olfr356</v>
      </c>
      <c r="B14934" t="s">
        <v>5020</v>
      </c>
      <c r="C14934" t="s">
        <v>26</v>
      </c>
      <c r="D14934" t="s">
        <v>17</v>
      </c>
      <c r="E14934" t="s">
        <v>20</v>
      </c>
      <c r="F14934">
        <v>36937120</v>
      </c>
      <c r="G14934">
        <v>36937120</v>
      </c>
      <c r="H14934">
        <v>36937120</v>
      </c>
      <c r="I14934">
        <v>36937120</v>
      </c>
    </row>
    <row r="14935" spans="1:9" x14ac:dyDescent="0.2">
      <c r="A14935" t="str">
        <f>"Olfr357"</f>
        <v>Olfr357</v>
      </c>
      <c r="B14935" t="s">
        <v>5021</v>
      </c>
      <c r="C14935" t="s">
        <v>26</v>
      </c>
      <c r="D14935" t="s">
        <v>17</v>
      </c>
      <c r="E14935" t="s">
        <v>20</v>
      </c>
      <c r="F14935">
        <v>36996726</v>
      </c>
      <c r="G14935">
        <v>36996726</v>
      </c>
      <c r="H14935">
        <v>36996726</v>
      </c>
      <c r="I14935">
        <v>36996726</v>
      </c>
    </row>
    <row r="14936" spans="1:9" x14ac:dyDescent="0.2">
      <c r="A14936" t="str">
        <f>"Olfr358"</f>
        <v>Olfr358</v>
      </c>
      <c r="B14936" t="s">
        <v>5022</v>
      </c>
      <c r="C14936" t="s">
        <v>26</v>
      </c>
      <c r="D14936" t="s">
        <v>11</v>
      </c>
      <c r="E14936" t="s">
        <v>20</v>
      </c>
      <c r="F14936">
        <v>37005646</v>
      </c>
      <c r="G14936">
        <v>37005646</v>
      </c>
      <c r="H14936">
        <v>37005646</v>
      </c>
      <c r="I14936">
        <v>37005646</v>
      </c>
    </row>
    <row r="14937" spans="1:9" x14ac:dyDescent="0.2">
      <c r="A14937" t="str">
        <f>"Olfr360"</f>
        <v>Olfr360</v>
      </c>
      <c r="B14937" t="s">
        <v>5023</v>
      </c>
      <c r="C14937" t="s">
        <v>26</v>
      </c>
      <c r="D14937" t="s">
        <v>17</v>
      </c>
      <c r="E14937" t="s">
        <v>20</v>
      </c>
      <c r="F14937">
        <v>37065745</v>
      </c>
      <c r="G14937">
        <v>37065745</v>
      </c>
      <c r="H14937">
        <v>37065745</v>
      </c>
      <c r="I14937">
        <v>37065745</v>
      </c>
    </row>
    <row r="14938" spans="1:9" x14ac:dyDescent="0.2">
      <c r="A14938" t="str">
        <f>"Olfr360"</f>
        <v>Olfr360</v>
      </c>
      <c r="B14938" t="s">
        <v>5024</v>
      </c>
      <c r="C14938" t="s">
        <v>26</v>
      </c>
      <c r="D14938" t="s">
        <v>17</v>
      </c>
      <c r="E14938" t="s">
        <v>20</v>
      </c>
      <c r="F14938">
        <v>37068306</v>
      </c>
      <c r="G14938">
        <v>37068306</v>
      </c>
      <c r="H14938">
        <v>37068306</v>
      </c>
      <c r="I14938">
        <v>37068306</v>
      </c>
    </row>
    <row r="14939" spans="1:9" x14ac:dyDescent="0.2">
      <c r="A14939" t="str">
        <f>"Olfr361"</f>
        <v>Olfr361</v>
      </c>
      <c r="B14939" t="s">
        <v>5025</v>
      </c>
      <c r="C14939" t="s">
        <v>26</v>
      </c>
      <c r="D14939" t="s">
        <v>11</v>
      </c>
      <c r="E14939" t="s">
        <v>20</v>
      </c>
      <c r="F14939">
        <v>37085745</v>
      </c>
      <c r="G14939">
        <v>37085745</v>
      </c>
      <c r="H14939">
        <v>37085745</v>
      </c>
      <c r="I14939">
        <v>37085745</v>
      </c>
    </row>
    <row r="14940" spans="1:9" x14ac:dyDescent="0.2">
      <c r="A14940" t="str">
        <f>"Olfr362"</f>
        <v>Olfr362</v>
      </c>
      <c r="B14940" t="s">
        <v>5026</v>
      </c>
      <c r="C14940" t="s">
        <v>26</v>
      </c>
      <c r="D14940" t="s">
        <v>11</v>
      </c>
      <c r="E14940" t="s">
        <v>20</v>
      </c>
      <c r="F14940">
        <v>37105647</v>
      </c>
      <c r="G14940">
        <v>37105647</v>
      </c>
      <c r="H14940">
        <v>37105647</v>
      </c>
      <c r="I14940">
        <v>37105647</v>
      </c>
    </row>
    <row r="14941" spans="1:9" x14ac:dyDescent="0.2">
      <c r="A14941" t="str">
        <f>"Olfr364-ps1"</f>
        <v>Olfr364-ps1</v>
      </c>
      <c r="B14941" t="s">
        <v>5027</v>
      </c>
      <c r="C14941" t="s">
        <v>26</v>
      </c>
      <c r="D14941" t="s">
        <v>17</v>
      </c>
      <c r="E14941" t="s">
        <v>20</v>
      </c>
      <c r="F14941">
        <v>37146213</v>
      </c>
      <c r="G14941">
        <v>37146213</v>
      </c>
      <c r="H14941">
        <v>37146213</v>
      </c>
      <c r="I14941">
        <v>37146213</v>
      </c>
    </row>
    <row r="14942" spans="1:9" x14ac:dyDescent="0.2">
      <c r="A14942" t="str">
        <f>"Olfr365"</f>
        <v>Olfr365</v>
      </c>
      <c r="B14942" t="s">
        <v>5028</v>
      </c>
      <c r="C14942" t="s">
        <v>26</v>
      </c>
      <c r="D14942" t="s">
        <v>17</v>
      </c>
      <c r="E14942" t="s">
        <v>20</v>
      </c>
      <c r="F14942">
        <v>37201242</v>
      </c>
      <c r="G14942">
        <v>37201242</v>
      </c>
      <c r="H14942">
        <v>37201242</v>
      </c>
      <c r="I14942">
        <v>37201242</v>
      </c>
    </row>
    <row r="14943" spans="1:9" x14ac:dyDescent="0.2">
      <c r="A14943" t="str">
        <f>"Olfr366"</f>
        <v>Olfr366</v>
      </c>
      <c r="B14943" t="s">
        <v>5029</v>
      </c>
      <c r="C14943" t="s">
        <v>26</v>
      </c>
      <c r="D14943" t="s">
        <v>17</v>
      </c>
      <c r="E14943" t="s">
        <v>20</v>
      </c>
      <c r="F14943">
        <v>37219490</v>
      </c>
      <c r="G14943">
        <v>37219490</v>
      </c>
      <c r="H14943">
        <v>37219490</v>
      </c>
      <c r="I14943">
        <v>37219490</v>
      </c>
    </row>
    <row r="14944" spans="1:9" x14ac:dyDescent="0.2">
      <c r="A14944" t="str">
        <f>"Olfr368"</f>
        <v>Olfr368</v>
      </c>
      <c r="B14944" t="s">
        <v>5030</v>
      </c>
      <c r="C14944" t="s">
        <v>26</v>
      </c>
      <c r="D14944" t="s">
        <v>17</v>
      </c>
      <c r="E14944" t="s">
        <v>20</v>
      </c>
      <c r="F14944">
        <v>37331748</v>
      </c>
      <c r="G14944">
        <v>37331748</v>
      </c>
      <c r="H14944">
        <v>37331748</v>
      </c>
      <c r="I14944">
        <v>37331748</v>
      </c>
    </row>
    <row r="14945" spans="1:9" x14ac:dyDescent="0.2">
      <c r="A14945" t="str">
        <f>"Olfr370"</f>
        <v>Olfr370</v>
      </c>
      <c r="B14945" t="s">
        <v>5031</v>
      </c>
      <c r="C14945" t="s">
        <v>30</v>
      </c>
      <c r="D14945" t="s">
        <v>17</v>
      </c>
      <c r="E14945" t="s">
        <v>20</v>
      </c>
      <c r="F14945">
        <v>83541092</v>
      </c>
      <c r="G14945">
        <v>83541092</v>
      </c>
      <c r="H14945">
        <v>83541092</v>
      </c>
      <c r="I14945">
        <v>83541092</v>
      </c>
    </row>
    <row r="14946" spans="1:9" x14ac:dyDescent="0.2">
      <c r="A14946" t="str">
        <f>"Olfr371"</f>
        <v>Olfr371</v>
      </c>
      <c r="B14946" t="s">
        <v>5032</v>
      </c>
      <c r="C14946" t="s">
        <v>30</v>
      </c>
      <c r="D14946" t="s">
        <v>17</v>
      </c>
      <c r="E14946" t="s">
        <v>20</v>
      </c>
      <c r="F14946">
        <v>85230496</v>
      </c>
      <c r="G14946">
        <v>85230496</v>
      </c>
      <c r="H14946">
        <v>85230496</v>
      </c>
      <c r="I14946">
        <v>85230496</v>
      </c>
    </row>
    <row r="14947" spans="1:9" x14ac:dyDescent="0.2">
      <c r="A14947" t="str">
        <f>"Olfr372"</f>
        <v>Olfr372</v>
      </c>
      <c r="B14947" t="s">
        <v>5033</v>
      </c>
      <c r="C14947" t="s">
        <v>30</v>
      </c>
      <c r="D14947" t="s">
        <v>17</v>
      </c>
      <c r="E14947" t="s">
        <v>20</v>
      </c>
      <c r="F14947">
        <v>72057659</v>
      </c>
      <c r="G14947">
        <v>72057659</v>
      </c>
      <c r="H14947">
        <v>72057659</v>
      </c>
      <c r="I14947">
        <v>72057659</v>
      </c>
    </row>
    <row r="14948" spans="1:9" x14ac:dyDescent="0.2">
      <c r="A14948" t="str">
        <f>"Olfr373"</f>
        <v>Olfr373</v>
      </c>
      <c r="B14948" t="s">
        <v>5034</v>
      </c>
      <c r="C14948" t="s">
        <v>30</v>
      </c>
      <c r="D14948" t="s">
        <v>17</v>
      </c>
      <c r="E14948" t="s">
        <v>20</v>
      </c>
      <c r="F14948">
        <v>72099761</v>
      </c>
      <c r="G14948">
        <v>72099761</v>
      </c>
      <c r="H14948">
        <v>72099761</v>
      </c>
      <c r="I14948">
        <v>72099761</v>
      </c>
    </row>
    <row r="14949" spans="1:9" x14ac:dyDescent="0.2">
      <c r="A14949" t="str">
        <f>"Olfr374"</f>
        <v>Olfr374</v>
      </c>
      <c r="B14949" t="s">
        <v>5035</v>
      </c>
      <c r="C14949" t="s">
        <v>30</v>
      </c>
      <c r="D14949" t="s">
        <v>17</v>
      </c>
      <c r="E14949" t="s">
        <v>20</v>
      </c>
      <c r="F14949">
        <v>72107039</v>
      </c>
      <c r="G14949">
        <v>72107039</v>
      </c>
      <c r="H14949">
        <v>72107039</v>
      </c>
      <c r="I14949">
        <v>72107039</v>
      </c>
    </row>
    <row r="14950" spans="1:9" x14ac:dyDescent="0.2">
      <c r="A14950" t="str">
        <f>"Olfr376"</f>
        <v>Olfr376</v>
      </c>
      <c r="B14950" t="s">
        <v>5036</v>
      </c>
      <c r="C14950" t="s">
        <v>27</v>
      </c>
      <c r="D14950" t="s">
        <v>17</v>
      </c>
      <c r="E14950" t="s">
        <v>20</v>
      </c>
      <c r="F14950">
        <v>73371245</v>
      </c>
      <c r="G14950">
        <v>73371245</v>
      </c>
      <c r="H14950">
        <v>73371245</v>
      </c>
      <c r="I14950">
        <v>73371245</v>
      </c>
    </row>
    <row r="14951" spans="1:9" x14ac:dyDescent="0.2">
      <c r="A14951" t="str">
        <f>"Olfr378"</f>
        <v>Olfr378</v>
      </c>
      <c r="B14951" t="s">
        <v>5037</v>
      </c>
      <c r="C14951" t="s">
        <v>27</v>
      </c>
      <c r="D14951" t="s">
        <v>11</v>
      </c>
      <c r="E14951" t="s">
        <v>20</v>
      </c>
      <c r="F14951">
        <v>73428476</v>
      </c>
      <c r="G14951">
        <v>73428476</v>
      </c>
      <c r="H14951">
        <v>73428476</v>
      </c>
      <c r="I14951">
        <v>73428476</v>
      </c>
    </row>
    <row r="14952" spans="1:9" x14ac:dyDescent="0.2">
      <c r="A14952" t="str">
        <f>"Olfr38"</f>
        <v>Olfr38</v>
      </c>
      <c r="B14952" t="s">
        <v>5038</v>
      </c>
      <c r="C14952" t="s">
        <v>32</v>
      </c>
      <c r="D14952" t="s">
        <v>17</v>
      </c>
      <c r="E14952" t="s">
        <v>20</v>
      </c>
      <c r="F14952">
        <v>42762053</v>
      </c>
      <c r="G14952">
        <v>42762053</v>
      </c>
      <c r="H14952">
        <v>42762053</v>
      </c>
      <c r="I14952">
        <v>42762053</v>
      </c>
    </row>
    <row r="14953" spans="1:9" x14ac:dyDescent="0.2">
      <c r="A14953" t="str">
        <f>"Olfr380"</f>
        <v>Olfr380</v>
      </c>
      <c r="B14953" t="s">
        <v>5039</v>
      </c>
      <c r="C14953" t="s">
        <v>27</v>
      </c>
      <c r="D14953" t="s">
        <v>11</v>
      </c>
      <c r="E14953" t="s">
        <v>20</v>
      </c>
      <c r="F14953">
        <v>73454209</v>
      </c>
      <c r="G14953">
        <v>73454209</v>
      </c>
      <c r="H14953">
        <v>73454209</v>
      </c>
      <c r="I14953">
        <v>73454209</v>
      </c>
    </row>
    <row r="14954" spans="1:9" x14ac:dyDescent="0.2">
      <c r="A14954" t="str">
        <f>"Olfr380"</f>
        <v>Olfr380</v>
      </c>
      <c r="B14954" t="s">
        <v>5040</v>
      </c>
      <c r="C14954" t="s">
        <v>27</v>
      </c>
      <c r="D14954" t="s">
        <v>11</v>
      </c>
      <c r="E14954" t="s">
        <v>20</v>
      </c>
      <c r="F14954">
        <v>73457457</v>
      </c>
      <c r="G14954">
        <v>73457457</v>
      </c>
      <c r="H14954">
        <v>73457457</v>
      </c>
      <c r="I14954">
        <v>73457457</v>
      </c>
    </row>
    <row r="14955" spans="1:9" x14ac:dyDescent="0.2">
      <c r="A14955" t="str">
        <f>"Olfr381"</f>
        <v>Olfr381</v>
      </c>
      <c r="B14955" t="s">
        <v>5041</v>
      </c>
      <c r="C14955" t="s">
        <v>27</v>
      </c>
      <c r="D14955" t="s">
        <v>11</v>
      </c>
      <c r="E14955" t="s">
        <v>20</v>
      </c>
      <c r="F14955">
        <v>73486821</v>
      </c>
      <c r="G14955">
        <v>73486821</v>
      </c>
      <c r="H14955">
        <v>73486821</v>
      </c>
      <c r="I14955">
        <v>73486821</v>
      </c>
    </row>
    <row r="14956" spans="1:9" x14ac:dyDescent="0.2">
      <c r="A14956" t="str">
        <f>"Olfr381"</f>
        <v>Olfr381</v>
      </c>
      <c r="B14956" t="s">
        <v>5042</v>
      </c>
      <c r="C14956" t="s">
        <v>27</v>
      </c>
      <c r="D14956" t="s">
        <v>11</v>
      </c>
      <c r="E14956" t="s">
        <v>20</v>
      </c>
      <c r="F14956">
        <v>73491476</v>
      </c>
      <c r="G14956">
        <v>73491476</v>
      </c>
      <c r="H14956">
        <v>73491476</v>
      </c>
      <c r="I14956">
        <v>73491476</v>
      </c>
    </row>
    <row r="14957" spans="1:9" x14ac:dyDescent="0.2">
      <c r="A14957" t="str">
        <f>"Olfr382"</f>
        <v>Olfr382</v>
      </c>
      <c r="B14957" t="s">
        <v>5043</v>
      </c>
      <c r="C14957" t="s">
        <v>27</v>
      </c>
      <c r="D14957" t="s">
        <v>11</v>
      </c>
      <c r="E14957" t="s">
        <v>20</v>
      </c>
      <c r="F14957">
        <v>73517196</v>
      </c>
      <c r="G14957">
        <v>73517196</v>
      </c>
      <c r="H14957">
        <v>73517196</v>
      </c>
      <c r="I14957">
        <v>73517196</v>
      </c>
    </row>
    <row r="14958" spans="1:9" x14ac:dyDescent="0.2">
      <c r="A14958" t="str">
        <f>"Olfr384"</f>
        <v>Olfr384</v>
      </c>
      <c r="B14958" t="s">
        <v>5044</v>
      </c>
      <c r="C14958" t="s">
        <v>27</v>
      </c>
      <c r="D14958" t="s">
        <v>17</v>
      </c>
      <c r="E14958" t="s">
        <v>20</v>
      </c>
      <c r="F14958">
        <v>73602581</v>
      </c>
      <c r="G14958">
        <v>73602581</v>
      </c>
      <c r="H14958">
        <v>73602581</v>
      </c>
      <c r="I14958">
        <v>73602581</v>
      </c>
    </row>
    <row r="14959" spans="1:9" x14ac:dyDescent="0.2">
      <c r="A14959" t="str">
        <f>"Olfr385"</f>
        <v>Olfr385</v>
      </c>
      <c r="B14959" t="s">
        <v>5045</v>
      </c>
      <c r="C14959" t="s">
        <v>27</v>
      </c>
      <c r="D14959" t="s">
        <v>11</v>
      </c>
      <c r="E14959" t="s">
        <v>20</v>
      </c>
      <c r="F14959">
        <v>73589735</v>
      </c>
      <c r="G14959">
        <v>73589735</v>
      </c>
      <c r="H14959">
        <v>73589735</v>
      </c>
      <c r="I14959">
        <v>73589735</v>
      </c>
    </row>
    <row r="14960" spans="1:9" x14ac:dyDescent="0.2">
      <c r="A14960" t="str">
        <f>"Olfr389"</f>
        <v>Olfr389</v>
      </c>
      <c r="B14960" t="s">
        <v>5046</v>
      </c>
      <c r="C14960" t="s">
        <v>27</v>
      </c>
      <c r="D14960" t="s">
        <v>11</v>
      </c>
      <c r="E14960" t="s">
        <v>20</v>
      </c>
      <c r="F14960">
        <v>73780588</v>
      </c>
      <c r="G14960">
        <v>73780588</v>
      </c>
      <c r="H14960">
        <v>73780588</v>
      </c>
      <c r="I14960">
        <v>73780588</v>
      </c>
    </row>
    <row r="14961" spans="1:9" x14ac:dyDescent="0.2">
      <c r="A14961" t="str">
        <f>"Olfr39"</f>
        <v>Olfr39</v>
      </c>
      <c r="B14961" t="s">
        <v>5047</v>
      </c>
      <c r="C14961" t="s">
        <v>24</v>
      </c>
      <c r="D14961" t="s">
        <v>17</v>
      </c>
      <c r="E14961" t="s">
        <v>20</v>
      </c>
      <c r="F14961">
        <v>20282350</v>
      </c>
      <c r="G14961">
        <v>20282350</v>
      </c>
      <c r="H14961">
        <v>20282350</v>
      </c>
      <c r="I14961">
        <v>20282350</v>
      </c>
    </row>
    <row r="14962" spans="1:9" x14ac:dyDescent="0.2">
      <c r="A14962" t="str">
        <f>"Olfr390"</f>
        <v>Olfr390</v>
      </c>
      <c r="B14962" t="s">
        <v>5048</v>
      </c>
      <c r="C14962" t="s">
        <v>27</v>
      </c>
      <c r="D14962" t="s">
        <v>17</v>
      </c>
      <c r="E14962" t="s">
        <v>20</v>
      </c>
      <c r="F14962">
        <v>73786939</v>
      </c>
      <c r="G14962">
        <v>73786939</v>
      </c>
      <c r="H14962">
        <v>73786939</v>
      </c>
      <c r="I14962">
        <v>73786939</v>
      </c>
    </row>
    <row r="14963" spans="1:9" x14ac:dyDescent="0.2">
      <c r="A14963" t="str">
        <f>"Olfr390"</f>
        <v>Olfr390</v>
      </c>
      <c r="B14963" t="s">
        <v>5049</v>
      </c>
      <c r="C14963" t="s">
        <v>27</v>
      </c>
      <c r="D14963" t="s">
        <v>17</v>
      </c>
      <c r="E14963" t="s">
        <v>20</v>
      </c>
      <c r="F14963">
        <v>73782965</v>
      </c>
      <c r="G14963">
        <v>73782965</v>
      </c>
      <c r="H14963">
        <v>73782965</v>
      </c>
      <c r="I14963">
        <v>73782965</v>
      </c>
    </row>
    <row r="14964" spans="1:9" x14ac:dyDescent="0.2">
      <c r="A14964" t="str">
        <f>"Olfr392"</f>
        <v>Olfr392</v>
      </c>
      <c r="B14964" t="s">
        <v>5050</v>
      </c>
      <c r="C14964" t="s">
        <v>27</v>
      </c>
      <c r="D14964" t="s">
        <v>11</v>
      </c>
      <c r="E14964" t="s">
        <v>20</v>
      </c>
      <c r="F14964">
        <v>73816879</v>
      </c>
      <c r="G14964">
        <v>73816879</v>
      </c>
      <c r="H14964">
        <v>73816879</v>
      </c>
      <c r="I14964">
        <v>73816879</v>
      </c>
    </row>
    <row r="14965" spans="1:9" x14ac:dyDescent="0.2">
      <c r="A14965" t="str">
        <f>"Olfr393"</f>
        <v>Olfr393</v>
      </c>
      <c r="B14965" t="s">
        <v>5051</v>
      </c>
      <c r="C14965" t="s">
        <v>27</v>
      </c>
      <c r="D14965" t="s">
        <v>11</v>
      </c>
      <c r="E14965" t="s">
        <v>20</v>
      </c>
      <c r="F14965">
        <v>73848122</v>
      </c>
      <c r="G14965">
        <v>73848122</v>
      </c>
      <c r="H14965">
        <v>73848122</v>
      </c>
      <c r="I14965">
        <v>73848122</v>
      </c>
    </row>
    <row r="14966" spans="1:9" x14ac:dyDescent="0.2">
      <c r="A14966" t="str">
        <f>"Olfr394"</f>
        <v>Olfr394</v>
      </c>
      <c r="B14966" t="s">
        <v>5052</v>
      </c>
      <c r="C14966" t="s">
        <v>27</v>
      </c>
      <c r="D14966" t="s">
        <v>11</v>
      </c>
      <c r="E14966" t="s">
        <v>20</v>
      </c>
      <c r="F14966">
        <v>73888369</v>
      </c>
      <c r="G14966">
        <v>73888369</v>
      </c>
      <c r="H14966">
        <v>73888369</v>
      </c>
      <c r="I14966">
        <v>73888369</v>
      </c>
    </row>
    <row r="14967" spans="1:9" x14ac:dyDescent="0.2">
      <c r="A14967" t="str">
        <f>"Olfr395"</f>
        <v>Olfr395</v>
      </c>
      <c r="B14967" t="s">
        <v>5053</v>
      </c>
      <c r="C14967" t="s">
        <v>27</v>
      </c>
      <c r="D14967" t="s">
        <v>11</v>
      </c>
      <c r="E14967" t="s">
        <v>20</v>
      </c>
      <c r="F14967">
        <v>73907489</v>
      </c>
      <c r="G14967">
        <v>73907489</v>
      </c>
      <c r="H14967">
        <v>73907489</v>
      </c>
      <c r="I14967">
        <v>73907489</v>
      </c>
    </row>
    <row r="14968" spans="1:9" x14ac:dyDescent="0.2">
      <c r="A14968" t="str">
        <f>"Olfr397"</f>
        <v>Olfr397</v>
      </c>
      <c r="B14968" t="s">
        <v>5054</v>
      </c>
      <c r="C14968" t="s">
        <v>27</v>
      </c>
      <c r="D14968" t="s">
        <v>17</v>
      </c>
      <c r="E14968" t="s">
        <v>20</v>
      </c>
      <c r="F14968">
        <v>73964529</v>
      </c>
      <c r="G14968">
        <v>73964529</v>
      </c>
      <c r="H14968">
        <v>73964529</v>
      </c>
      <c r="I14968">
        <v>73964529</v>
      </c>
    </row>
    <row r="14969" spans="1:9" x14ac:dyDescent="0.2">
      <c r="A14969" t="str">
        <f>"Olfr398"</f>
        <v>Olfr398</v>
      </c>
      <c r="B14969" t="s">
        <v>5055</v>
      </c>
      <c r="C14969" t="s">
        <v>27</v>
      </c>
      <c r="D14969" t="s">
        <v>11</v>
      </c>
      <c r="E14969" t="s">
        <v>20</v>
      </c>
      <c r="F14969">
        <v>73984605</v>
      </c>
      <c r="G14969">
        <v>73984605</v>
      </c>
      <c r="H14969">
        <v>73984605</v>
      </c>
      <c r="I14969">
        <v>73984605</v>
      </c>
    </row>
    <row r="14970" spans="1:9" x14ac:dyDescent="0.2">
      <c r="A14970" t="str">
        <f>"Olfr398"</f>
        <v>Olfr398</v>
      </c>
      <c r="B14970" t="s">
        <v>5056</v>
      </c>
      <c r="C14970" t="s">
        <v>27</v>
      </c>
      <c r="D14970" t="s">
        <v>11</v>
      </c>
      <c r="E14970" t="s">
        <v>20</v>
      </c>
      <c r="F14970">
        <v>73990058</v>
      </c>
      <c r="G14970">
        <v>73990058</v>
      </c>
      <c r="H14970">
        <v>73990058</v>
      </c>
      <c r="I14970">
        <v>73990058</v>
      </c>
    </row>
    <row r="14971" spans="1:9" x14ac:dyDescent="0.2">
      <c r="A14971" t="str">
        <f>"Olfr399"</f>
        <v>Olfr399</v>
      </c>
      <c r="B14971" t="s">
        <v>5057</v>
      </c>
      <c r="C14971" t="s">
        <v>27</v>
      </c>
      <c r="D14971" t="s">
        <v>11</v>
      </c>
      <c r="E14971" t="s">
        <v>20</v>
      </c>
      <c r="F14971">
        <v>74054777</v>
      </c>
      <c r="G14971">
        <v>74054777</v>
      </c>
      <c r="H14971">
        <v>74054777</v>
      </c>
      <c r="I14971">
        <v>74054777</v>
      </c>
    </row>
    <row r="14972" spans="1:9" x14ac:dyDescent="0.2">
      <c r="A14972" t="str">
        <f>"Olfr401"</f>
        <v>Olfr401</v>
      </c>
      <c r="B14972" t="s">
        <v>5058</v>
      </c>
      <c r="C14972" t="s">
        <v>27</v>
      </c>
      <c r="D14972" t="s">
        <v>17</v>
      </c>
      <c r="E14972" t="s">
        <v>20</v>
      </c>
      <c r="F14972">
        <v>74121290</v>
      </c>
      <c r="G14972">
        <v>74121290</v>
      </c>
      <c r="H14972">
        <v>74121290</v>
      </c>
      <c r="I14972">
        <v>74121290</v>
      </c>
    </row>
    <row r="14973" spans="1:9" x14ac:dyDescent="0.2">
      <c r="A14973" t="str">
        <f>"Olfr402"</f>
        <v>Olfr402</v>
      </c>
      <c r="B14973" t="s">
        <v>5059</v>
      </c>
      <c r="C14973" t="s">
        <v>27</v>
      </c>
      <c r="D14973" t="s">
        <v>17</v>
      </c>
      <c r="E14973" t="s">
        <v>20</v>
      </c>
      <c r="F14973">
        <v>74155126</v>
      </c>
      <c r="G14973">
        <v>74155126</v>
      </c>
      <c r="H14973">
        <v>74155126</v>
      </c>
      <c r="I14973">
        <v>74155126</v>
      </c>
    </row>
    <row r="14974" spans="1:9" x14ac:dyDescent="0.2">
      <c r="A14974" t="str">
        <f>"Olfr403"</f>
        <v>Olfr403</v>
      </c>
      <c r="B14974" t="s">
        <v>5060</v>
      </c>
      <c r="C14974" t="s">
        <v>27</v>
      </c>
      <c r="D14974" t="s">
        <v>17</v>
      </c>
      <c r="E14974" t="s">
        <v>20</v>
      </c>
      <c r="F14974">
        <v>74195504</v>
      </c>
      <c r="G14974">
        <v>74195504</v>
      </c>
      <c r="H14974">
        <v>74195504</v>
      </c>
      <c r="I14974">
        <v>74195504</v>
      </c>
    </row>
    <row r="14975" spans="1:9" x14ac:dyDescent="0.2">
      <c r="A14975" t="str">
        <f>"Olfr406"</f>
        <v>Olfr406</v>
      </c>
      <c r="B14975" t="s">
        <v>5061</v>
      </c>
      <c r="C14975" t="s">
        <v>27</v>
      </c>
      <c r="D14975" t="s">
        <v>17</v>
      </c>
      <c r="E14975" t="s">
        <v>20</v>
      </c>
      <c r="F14975">
        <v>74269343</v>
      </c>
      <c r="G14975">
        <v>74269343</v>
      </c>
      <c r="H14975">
        <v>74269343</v>
      </c>
      <c r="I14975">
        <v>74269343</v>
      </c>
    </row>
    <row r="14976" spans="1:9" x14ac:dyDescent="0.2">
      <c r="A14976" t="str">
        <f>"Olfr410"</f>
        <v>Olfr410</v>
      </c>
      <c r="B14976" t="s">
        <v>5062</v>
      </c>
      <c r="C14976" t="s">
        <v>27</v>
      </c>
      <c r="D14976" t="s">
        <v>11</v>
      </c>
      <c r="E14976" t="s">
        <v>20</v>
      </c>
      <c r="F14976">
        <v>74335228</v>
      </c>
      <c r="G14976">
        <v>74335228</v>
      </c>
      <c r="H14976">
        <v>74335228</v>
      </c>
      <c r="I14976">
        <v>74335228</v>
      </c>
    </row>
    <row r="14977" spans="1:9" x14ac:dyDescent="0.2">
      <c r="A14977" t="str">
        <f>"Olfr411"</f>
        <v>Olfr411</v>
      </c>
      <c r="B14977" t="s">
        <v>5063</v>
      </c>
      <c r="C14977" t="s">
        <v>27</v>
      </c>
      <c r="D14977" t="s">
        <v>11</v>
      </c>
      <c r="E14977" t="s">
        <v>20</v>
      </c>
      <c r="F14977">
        <v>74347671</v>
      </c>
      <c r="G14977">
        <v>74347671</v>
      </c>
      <c r="H14977">
        <v>74347671</v>
      </c>
      <c r="I14977">
        <v>74347671</v>
      </c>
    </row>
    <row r="14978" spans="1:9" x14ac:dyDescent="0.2">
      <c r="A14978" t="str">
        <f>"Olfr412"</f>
        <v>Olfr412</v>
      </c>
      <c r="B14978" t="s">
        <v>5064</v>
      </c>
      <c r="C14978" t="s">
        <v>27</v>
      </c>
      <c r="D14978" t="s">
        <v>17</v>
      </c>
      <c r="E14978" t="s">
        <v>20</v>
      </c>
      <c r="F14978">
        <v>74364670</v>
      </c>
      <c r="G14978">
        <v>74364670</v>
      </c>
      <c r="H14978">
        <v>74364670</v>
      </c>
      <c r="I14978">
        <v>74364670</v>
      </c>
    </row>
    <row r="14979" spans="1:9" x14ac:dyDescent="0.2">
      <c r="A14979" t="str">
        <f>"Olfr414"</f>
        <v>Olfr414</v>
      </c>
      <c r="B14979" t="s">
        <v>5065</v>
      </c>
      <c r="C14979" t="s">
        <v>19</v>
      </c>
      <c r="D14979" t="s">
        <v>17</v>
      </c>
      <c r="E14979" t="s">
        <v>20</v>
      </c>
      <c r="F14979">
        <v>174430429</v>
      </c>
      <c r="G14979">
        <v>174430429</v>
      </c>
      <c r="H14979">
        <v>174430429</v>
      </c>
      <c r="I14979">
        <v>174430429</v>
      </c>
    </row>
    <row r="14980" spans="1:9" x14ac:dyDescent="0.2">
      <c r="A14980" t="str">
        <f>"Olfr417"</f>
        <v>Olfr417</v>
      </c>
      <c r="B14980" t="s">
        <v>5066</v>
      </c>
      <c r="C14980" t="s">
        <v>19</v>
      </c>
      <c r="D14980" t="s">
        <v>17</v>
      </c>
      <c r="E14980" t="s">
        <v>20</v>
      </c>
      <c r="F14980">
        <v>174368918</v>
      </c>
      <c r="G14980">
        <v>174368918</v>
      </c>
      <c r="H14980">
        <v>174368918</v>
      </c>
      <c r="I14980">
        <v>174368918</v>
      </c>
    </row>
    <row r="14981" spans="1:9" x14ac:dyDescent="0.2">
      <c r="A14981" t="str">
        <f>"Olfr418-ps1"</f>
        <v>Olfr418-ps1</v>
      </c>
      <c r="B14981" t="s">
        <v>5067</v>
      </c>
      <c r="C14981" t="s">
        <v>19</v>
      </c>
      <c r="D14981" t="s">
        <v>17</v>
      </c>
      <c r="E14981" t="s">
        <v>20</v>
      </c>
      <c r="F14981">
        <v>173270146</v>
      </c>
      <c r="G14981">
        <v>173270146</v>
      </c>
      <c r="H14981">
        <v>173270146</v>
      </c>
      <c r="I14981">
        <v>173270146</v>
      </c>
    </row>
    <row r="14982" spans="1:9" x14ac:dyDescent="0.2">
      <c r="A14982" t="str">
        <f>"Olfr419"</f>
        <v>Olfr419</v>
      </c>
      <c r="B14982" t="s">
        <v>5068</v>
      </c>
      <c r="C14982" t="s">
        <v>19</v>
      </c>
      <c r="D14982" t="s">
        <v>11</v>
      </c>
      <c r="E14982" t="s">
        <v>20</v>
      </c>
      <c r="F14982">
        <v>174250975</v>
      </c>
      <c r="G14982">
        <v>174250975</v>
      </c>
      <c r="H14982">
        <v>174250975</v>
      </c>
      <c r="I14982">
        <v>174250975</v>
      </c>
    </row>
    <row r="14983" spans="1:9" x14ac:dyDescent="0.2">
      <c r="A14983" t="str">
        <f>"Olfr420"</f>
        <v>Olfr420</v>
      </c>
      <c r="B14983" t="s">
        <v>5069</v>
      </c>
      <c r="C14983" t="s">
        <v>19</v>
      </c>
      <c r="D14983" t="s">
        <v>17</v>
      </c>
      <c r="E14983" t="s">
        <v>20</v>
      </c>
      <c r="F14983">
        <v>174158721</v>
      </c>
      <c r="G14983">
        <v>174158721</v>
      </c>
      <c r="H14983">
        <v>174158721</v>
      </c>
      <c r="I14983">
        <v>174158721</v>
      </c>
    </row>
    <row r="14984" spans="1:9" x14ac:dyDescent="0.2">
      <c r="A14984" t="str">
        <f>"Olfr424"</f>
        <v>Olfr424</v>
      </c>
      <c r="B14984" t="s">
        <v>5070</v>
      </c>
      <c r="C14984" t="s">
        <v>19</v>
      </c>
      <c r="D14984" t="s">
        <v>17</v>
      </c>
      <c r="E14984" t="s">
        <v>20</v>
      </c>
      <c r="F14984">
        <v>174136745</v>
      </c>
      <c r="G14984">
        <v>174136745</v>
      </c>
      <c r="H14984">
        <v>174136745</v>
      </c>
      <c r="I14984">
        <v>174136745</v>
      </c>
    </row>
    <row r="14985" spans="1:9" x14ac:dyDescent="0.2">
      <c r="A14985" t="str">
        <f>"Olfr427"</f>
        <v>Olfr427</v>
      </c>
      <c r="B14985" t="s">
        <v>5071</v>
      </c>
      <c r="C14985" t="s">
        <v>19</v>
      </c>
      <c r="D14985" t="s">
        <v>17</v>
      </c>
      <c r="E14985" t="s">
        <v>20</v>
      </c>
      <c r="F14985">
        <v>174099459</v>
      </c>
      <c r="G14985">
        <v>174099459</v>
      </c>
      <c r="H14985">
        <v>174099459</v>
      </c>
      <c r="I14985">
        <v>174099459</v>
      </c>
    </row>
    <row r="14986" spans="1:9" x14ac:dyDescent="0.2">
      <c r="A14986" t="str">
        <f>"Olfr429"</f>
        <v>Olfr429</v>
      </c>
      <c r="B14986" t="s">
        <v>5072</v>
      </c>
      <c r="C14986" t="s">
        <v>19</v>
      </c>
      <c r="D14986" t="s">
        <v>17</v>
      </c>
      <c r="E14986" t="s">
        <v>20</v>
      </c>
      <c r="F14986">
        <v>174089037</v>
      </c>
      <c r="G14986">
        <v>174089037</v>
      </c>
      <c r="H14986">
        <v>174089037</v>
      </c>
      <c r="I14986">
        <v>174089037</v>
      </c>
    </row>
    <row r="14987" spans="1:9" x14ac:dyDescent="0.2">
      <c r="A14987" t="str">
        <f>"Olfr43"</f>
        <v>Olfr43</v>
      </c>
      <c r="B14987" t="s">
        <v>5073</v>
      </c>
      <c r="C14987" t="s">
        <v>27</v>
      </c>
      <c r="D14987" t="s">
        <v>11</v>
      </c>
      <c r="E14987" t="s">
        <v>20</v>
      </c>
      <c r="F14987">
        <v>74207288</v>
      </c>
      <c r="G14987">
        <v>74207288</v>
      </c>
      <c r="H14987">
        <v>74207288</v>
      </c>
      <c r="I14987">
        <v>74207288</v>
      </c>
    </row>
    <row r="14988" spans="1:9" x14ac:dyDescent="0.2">
      <c r="A14988" t="str">
        <f>"Olfr430"</f>
        <v>Olfr430</v>
      </c>
      <c r="B14988" t="s">
        <v>5074</v>
      </c>
      <c r="C14988" t="s">
        <v>19</v>
      </c>
      <c r="D14988" t="s">
        <v>17</v>
      </c>
      <c r="E14988" t="s">
        <v>20</v>
      </c>
      <c r="F14988">
        <v>174069299</v>
      </c>
      <c r="G14988">
        <v>174069299</v>
      </c>
      <c r="H14988">
        <v>174069299</v>
      </c>
      <c r="I14988">
        <v>174069299</v>
      </c>
    </row>
    <row r="14989" spans="1:9" x14ac:dyDescent="0.2">
      <c r="A14989" t="str">
        <f>"Olfr432"</f>
        <v>Olfr432</v>
      </c>
      <c r="B14989" t="s">
        <v>5075</v>
      </c>
      <c r="C14989" t="s">
        <v>19</v>
      </c>
      <c r="D14989" t="s">
        <v>17</v>
      </c>
      <c r="E14989" t="s">
        <v>20</v>
      </c>
      <c r="F14989">
        <v>174050374</v>
      </c>
      <c r="G14989">
        <v>174050374</v>
      </c>
      <c r="H14989">
        <v>174050374</v>
      </c>
      <c r="I14989">
        <v>174050374</v>
      </c>
    </row>
    <row r="14990" spans="1:9" x14ac:dyDescent="0.2">
      <c r="A14990" t="str">
        <f>"Olfr433"</f>
        <v>Olfr433</v>
      </c>
      <c r="B14990" t="s">
        <v>5076</v>
      </c>
      <c r="C14990" t="s">
        <v>19</v>
      </c>
      <c r="D14990" t="s">
        <v>17</v>
      </c>
      <c r="E14990" t="s">
        <v>20</v>
      </c>
      <c r="F14990">
        <v>174041932</v>
      </c>
      <c r="G14990">
        <v>174041932</v>
      </c>
      <c r="H14990">
        <v>174041932</v>
      </c>
      <c r="I14990">
        <v>174041932</v>
      </c>
    </row>
    <row r="14991" spans="1:9" x14ac:dyDescent="0.2">
      <c r="A14991" t="str">
        <f>"Olfr434"</f>
        <v>Olfr434</v>
      </c>
      <c r="B14991" t="s">
        <v>5077</v>
      </c>
      <c r="C14991" t="s">
        <v>32</v>
      </c>
      <c r="D14991" t="s">
        <v>17</v>
      </c>
      <c r="E14991" t="s">
        <v>20</v>
      </c>
      <c r="F14991">
        <v>43216882</v>
      </c>
      <c r="G14991">
        <v>43216882</v>
      </c>
      <c r="H14991">
        <v>43216882</v>
      </c>
      <c r="I14991">
        <v>43216882</v>
      </c>
    </row>
    <row r="14992" spans="1:9" x14ac:dyDescent="0.2">
      <c r="A14992" t="str">
        <f>"Olfr435"</f>
        <v>Olfr435</v>
      </c>
      <c r="B14992" t="s">
        <v>5078</v>
      </c>
      <c r="C14992" t="s">
        <v>32</v>
      </c>
      <c r="D14992" t="s">
        <v>17</v>
      </c>
      <c r="E14992" t="s">
        <v>20</v>
      </c>
      <c r="F14992">
        <v>43201645</v>
      </c>
      <c r="G14992">
        <v>43201645</v>
      </c>
      <c r="H14992">
        <v>43201645</v>
      </c>
      <c r="I14992">
        <v>43201645</v>
      </c>
    </row>
    <row r="14993" spans="1:9" x14ac:dyDescent="0.2">
      <c r="A14993" t="str">
        <f>"Olfr437"</f>
        <v>Olfr437</v>
      </c>
      <c r="B14993" t="s">
        <v>5079</v>
      </c>
      <c r="C14993" t="s">
        <v>32</v>
      </c>
      <c r="D14993" t="s">
        <v>17</v>
      </c>
      <c r="E14993" t="s">
        <v>20</v>
      </c>
      <c r="F14993">
        <v>43167009</v>
      </c>
      <c r="G14993">
        <v>43167009</v>
      </c>
      <c r="H14993">
        <v>43167009</v>
      </c>
      <c r="I14993">
        <v>43167009</v>
      </c>
    </row>
    <row r="14994" spans="1:9" x14ac:dyDescent="0.2">
      <c r="A14994" t="str">
        <f>"Olfr44"</f>
        <v>Olfr44</v>
      </c>
      <c r="B14994" t="s">
        <v>5080</v>
      </c>
      <c r="C14994" t="s">
        <v>24</v>
      </c>
      <c r="D14994" t="s">
        <v>11</v>
      </c>
      <c r="E14994" t="s">
        <v>20</v>
      </c>
      <c r="F14994">
        <v>39493987</v>
      </c>
      <c r="G14994">
        <v>39493987</v>
      </c>
      <c r="H14994">
        <v>39493987</v>
      </c>
      <c r="I14994">
        <v>39493987</v>
      </c>
    </row>
    <row r="14995" spans="1:9" x14ac:dyDescent="0.2">
      <c r="A14995" t="str">
        <f>"Olfr441"</f>
        <v>Olfr441</v>
      </c>
      <c r="B14995" t="s">
        <v>5081</v>
      </c>
      <c r="C14995" t="s">
        <v>32</v>
      </c>
      <c r="D14995" t="s">
        <v>17</v>
      </c>
      <c r="E14995" t="s">
        <v>20</v>
      </c>
      <c r="F14995">
        <v>43115743</v>
      </c>
      <c r="G14995">
        <v>43115743</v>
      </c>
      <c r="H14995">
        <v>43115743</v>
      </c>
      <c r="I14995">
        <v>43115743</v>
      </c>
    </row>
    <row r="14996" spans="1:9" x14ac:dyDescent="0.2">
      <c r="A14996" t="str">
        <f>"Olfr443-ps1"</f>
        <v>Olfr443-ps1</v>
      </c>
      <c r="B14996" t="s">
        <v>5082</v>
      </c>
      <c r="C14996" t="s">
        <v>32</v>
      </c>
      <c r="D14996" t="s">
        <v>17</v>
      </c>
      <c r="E14996" t="s">
        <v>20</v>
      </c>
      <c r="F14996">
        <v>43094434</v>
      </c>
      <c r="G14996">
        <v>43094434</v>
      </c>
      <c r="H14996">
        <v>43094434</v>
      </c>
      <c r="I14996">
        <v>43094434</v>
      </c>
    </row>
    <row r="14997" spans="1:9" x14ac:dyDescent="0.2">
      <c r="A14997" t="str">
        <f>"Olfr444"</f>
        <v>Olfr444</v>
      </c>
      <c r="B14997" t="s">
        <v>5083</v>
      </c>
      <c r="C14997" t="s">
        <v>32</v>
      </c>
      <c r="D14997" t="s">
        <v>17</v>
      </c>
      <c r="E14997" t="s">
        <v>20</v>
      </c>
      <c r="F14997">
        <v>42955458</v>
      </c>
      <c r="G14997">
        <v>42955458</v>
      </c>
      <c r="H14997">
        <v>42955458</v>
      </c>
      <c r="I14997">
        <v>42955458</v>
      </c>
    </row>
    <row r="14998" spans="1:9" x14ac:dyDescent="0.2">
      <c r="A14998" t="str">
        <f>"Olfr446"</f>
        <v>Olfr446</v>
      </c>
      <c r="B14998" t="s">
        <v>5084</v>
      </c>
      <c r="C14998" t="s">
        <v>32</v>
      </c>
      <c r="D14998" t="s">
        <v>17</v>
      </c>
      <c r="E14998" t="s">
        <v>20</v>
      </c>
      <c r="F14998">
        <v>42927232</v>
      </c>
      <c r="G14998">
        <v>42927232</v>
      </c>
      <c r="H14998">
        <v>42927232</v>
      </c>
      <c r="I14998">
        <v>42927232</v>
      </c>
    </row>
    <row r="14999" spans="1:9" x14ac:dyDescent="0.2">
      <c r="A14999" t="str">
        <f>"Olfr447"</f>
        <v>Olfr447</v>
      </c>
      <c r="B14999" t="s">
        <v>5085</v>
      </c>
      <c r="C14999" t="s">
        <v>32</v>
      </c>
      <c r="D14999" t="s">
        <v>17</v>
      </c>
      <c r="E14999" t="s">
        <v>20</v>
      </c>
      <c r="F14999">
        <v>42911524</v>
      </c>
      <c r="G14999">
        <v>42911524</v>
      </c>
      <c r="H14999">
        <v>42911524</v>
      </c>
      <c r="I14999">
        <v>42911524</v>
      </c>
    </row>
    <row r="15000" spans="1:9" x14ac:dyDescent="0.2">
      <c r="A15000" t="str">
        <f>"Olfr448"</f>
        <v>Olfr448</v>
      </c>
      <c r="B15000" t="s">
        <v>5086</v>
      </c>
      <c r="C15000" t="s">
        <v>32</v>
      </c>
      <c r="D15000" t="s">
        <v>17</v>
      </c>
      <c r="E15000" t="s">
        <v>20</v>
      </c>
      <c r="F15000">
        <v>42896452</v>
      </c>
      <c r="G15000">
        <v>42896452</v>
      </c>
      <c r="H15000">
        <v>42896452</v>
      </c>
      <c r="I15000">
        <v>42896452</v>
      </c>
    </row>
    <row r="15001" spans="1:9" x14ac:dyDescent="0.2">
      <c r="A15001" t="str">
        <f>"Olfr449"</f>
        <v>Olfr449</v>
      </c>
      <c r="B15001" t="s">
        <v>5087</v>
      </c>
      <c r="C15001" t="s">
        <v>32</v>
      </c>
      <c r="D15001" t="s">
        <v>17</v>
      </c>
      <c r="E15001" t="s">
        <v>20</v>
      </c>
      <c r="F15001">
        <v>42837851</v>
      </c>
      <c r="G15001">
        <v>42837851</v>
      </c>
      <c r="H15001">
        <v>42837851</v>
      </c>
      <c r="I15001">
        <v>42837851</v>
      </c>
    </row>
    <row r="15002" spans="1:9" x14ac:dyDescent="0.2">
      <c r="A15002" t="str">
        <f>"Olfr45"</f>
        <v>Olfr45</v>
      </c>
      <c r="B15002" t="s">
        <v>5088</v>
      </c>
      <c r="C15002" t="s">
        <v>33</v>
      </c>
      <c r="D15002" t="s">
        <v>17</v>
      </c>
      <c r="E15002" t="s">
        <v>20</v>
      </c>
      <c r="F15002">
        <v>140690883</v>
      </c>
      <c r="G15002">
        <v>140690883</v>
      </c>
      <c r="H15002">
        <v>140690883</v>
      </c>
      <c r="I15002">
        <v>140690883</v>
      </c>
    </row>
    <row r="15003" spans="1:9" x14ac:dyDescent="0.2">
      <c r="A15003" t="str">
        <f>"Olfr450"</f>
        <v>Olfr450</v>
      </c>
      <c r="B15003" t="s">
        <v>5089</v>
      </c>
      <c r="C15003" t="s">
        <v>32</v>
      </c>
      <c r="D15003" t="s">
        <v>17</v>
      </c>
      <c r="E15003" t="s">
        <v>20</v>
      </c>
      <c r="F15003">
        <v>42817472</v>
      </c>
      <c r="G15003">
        <v>42817472</v>
      </c>
      <c r="H15003">
        <v>42817472</v>
      </c>
      <c r="I15003">
        <v>42817472</v>
      </c>
    </row>
    <row r="15004" spans="1:9" x14ac:dyDescent="0.2">
      <c r="A15004" t="str">
        <f>"Olfr452"</f>
        <v>Olfr452</v>
      </c>
      <c r="B15004" t="s">
        <v>5090</v>
      </c>
      <c r="C15004" t="s">
        <v>32</v>
      </c>
      <c r="D15004" t="s">
        <v>17</v>
      </c>
      <c r="E15004" t="s">
        <v>20</v>
      </c>
      <c r="F15004">
        <v>42790014</v>
      </c>
      <c r="G15004">
        <v>42790014</v>
      </c>
      <c r="H15004">
        <v>42790014</v>
      </c>
      <c r="I15004">
        <v>42790014</v>
      </c>
    </row>
    <row r="15005" spans="1:9" x14ac:dyDescent="0.2">
      <c r="A15005" t="str">
        <f>"Olfr453"</f>
        <v>Olfr453</v>
      </c>
      <c r="B15005" t="s">
        <v>5091</v>
      </c>
      <c r="C15005" t="s">
        <v>32</v>
      </c>
      <c r="D15005" t="s">
        <v>17</v>
      </c>
      <c r="E15005" t="s">
        <v>20</v>
      </c>
      <c r="F15005">
        <v>42744038</v>
      </c>
      <c r="G15005">
        <v>42744038</v>
      </c>
      <c r="H15005">
        <v>42744038</v>
      </c>
      <c r="I15005">
        <v>42744038</v>
      </c>
    </row>
    <row r="15006" spans="1:9" x14ac:dyDescent="0.2">
      <c r="A15006" t="str">
        <f>"Olfr455"</f>
        <v>Olfr455</v>
      </c>
      <c r="B15006" t="s">
        <v>5092</v>
      </c>
      <c r="C15006" t="s">
        <v>32</v>
      </c>
      <c r="D15006" t="s">
        <v>11</v>
      </c>
      <c r="E15006" t="s">
        <v>20</v>
      </c>
      <c r="F15006">
        <v>42539019</v>
      </c>
      <c r="G15006">
        <v>42539019</v>
      </c>
      <c r="H15006">
        <v>42539019</v>
      </c>
      <c r="I15006">
        <v>42539019</v>
      </c>
    </row>
    <row r="15007" spans="1:9" x14ac:dyDescent="0.2">
      <c r="A15007" t="str">
        <f>"Olfr456"</f>
        <v>Olfr456</v>
      </c>
      <c r="B15007" t="s">
        <v>5093</v>
      </c>
      <c r="C15007" t="s">
        <v>32</v>
      </c>
      <c r="D15007" t="s">
        <v>11</v>
      </c>
      <c r="E15007" t="s">
        <v>20</v>
      </c>
      <c r="F15007">
        <v>42487213</v>
      </c>
      <c r="G15007">
        <v>42487213</v>
      </c>
      <c r="H15007">
        <v>42487213</v>
      </c>
      <c r="I15007">
        <v>42487213</v>
      </c>
    </row>
    <row r="15008" spans="1:9" x14ac:dyDescent="0.2">
      <c r="A15008" t="str">
        <f>"Olfr457"</f>
        <v>Olfr457</v>
      </c>
      <c r="B15008" t="s">
        <v>5094</v>
      </c>
      <c r="C15008" t="s">
        <v>32</v>
      </c>
      <c r="D15008" t="s">
        <v>11</v>
      </c>
      <c r="E15008" t="s">
        <v>20</v>
      </c>
      <c r="F15008">
        <v>42472199</v>
      </c>
      <c r="G15008">
        <v>42472199</v>
      </c>
      <c r="H15008">
        <v>42472199</v>
      </c>
      <c r="I15008">
        <v>42472199</v>
      </c>
    </row>
    <row r="15009" spans="1:9" x14ac:dyDescent="0.2">
      <c r="A15009" t="str">
        <f>"Olfr458"</f>
        <v>Olfr458</v>
      </c>
      <c r="B15009" t="s">
        <v>5095</v>
      </c>
      <c r="C15009" t="s">
        <v>32</v>
      </c>
      <c r="D15009" t="s">
        <v>11</v>
      </c>
      <c r="E15009" t="s">
        <v>20</v>
      </c>
      <c r="F15009">
        <v>42461016</v>
      </c>
      <c r="G15009">
        <v>42461016</v>
      </c>
      <c r="H15009">
        <v>42461016</v>
      </c>
      <c r="I15009">
        <v>42461016</v>
      </c>
    </row>
    <row r="15010" spans="1:9" x14ac:dyDescent="0.2">
      <c r="A15010" t="str">
        <f>"Olfr459"</f>
        <v>Olfr459</v>
      </c>
      <c r="B15010" t="s">
        <v>5096</v>
      </c>
      <c r="C15010" t="s">
        <v>32</v>
      </c>
      <c r="D15010" t="s">
        <v>11</v>
      </c>
      <c r="E15010" t="s">
        <v>20</v>
      </c>
      <c r="F15010">
        <v>41772365</v>
      </c>
      <c r="G15010">
        <v>41772365</v>
      </c>
      <c r="H15010">
        <v>41772365</v>
      </c>
      <c r="I15010">
        <v>41772365</v>
      </c>
    </row>
    <row r="15011" spans="1:9" x14ac:dyDescent="0.2">
      <c r="A15011" t="str">
        <f>"Olfr46"</f>
        <v>Olfr46</v>
      </c>
      <c r="B15011" t="s">
        <v>5097</v>
      </c>
      <c r="C15011" t="s">
        <v>33</v>
      </c>
      <c r="D15011" t="s">
        <v>17</v>
      </c>
      <c r="E15011" t="s">
        <v>20</v>
      </c>
      <c r="F15011">
        <v>140610167</v>
      </c>
      <c r="G15011">
        <v>140610167</v>
      </c>
      <c r="H15011">
        <v>140610167</v>
      </c>
      <c r="I15011">
        <v>140610167</v>
      </c>
    </row>
    <row r="15012" spans="1:9" x14ac:dyDescent="0.2">
      <c r="A15012" t="str">
        <f>"Olfr460"</f>
        <v>Olfr460</v>
      </c>
      <c r="B15012" t="s">
        <v>5098</v>
      </c>
      <c r="C15012" t="s">
        <v>32</v>
      </c>
      <c r="D15012" t="s">
        <v>17</v>
      </c>
      <c r="E15012" t="s">
        <v>20</v>
      </c>
      <c r="F15012">
        <v>40571356</v>
      </c>
      <c r="G15012">
        <v>40571356</v>
      </c>
      <c r="H15012">
        <v>40571356</v>
      </c>
      <c r="I15012">
        <v>40571356</v>
      </c>
    </row>
    <row r="15013" spans="1:9" x14ac:dyDescent="0.2">
      <c r="A15013" t="str">
        <f>"Olfr461"</f>
        <v>Olfr461</v>
      </c>
      <c r="B15013" t="s">
        <v>5099</v>
      </c>
      <c r="C15013" t="s">
        <v>32</v>
      </c>
      <c r="D15013" t="s">
        <v>11</v>
      </c>
      <c r="E15013" t="s">
        <v>20</v>
      </c>
      <c r="F15013">
        <v>40544976</v>
      </c>
      <c r="G15013">
        <v>40544976</v>
      </c>
      <c r="H15013">
        <v>40544976</v>
      </c>
      <c r="I15013">
        <v>40544976</v>
      </c>
    </row>
    <row r="15014" spans="1:9" x14ac:dyDescent="0.2">
      <c r="A15014" t="str">
        <f>"Olfr462"</f>
        <v>Olfr462</v>
      </c>
      <c r="B15014" t="s">
        <v>5100</v>
      </c>
      <c r="C15014" t="s">
        <v>27</v>
      </c>
      <c r="D15014" t="s">
        <v>11</v>
      </c>
      <c r="E15014" t="s">
        <v>20</v>
      </c>
      <c r="F15014">
        <v>87889893</v>
      </c>
      <c r="G15014">
        <v>87889893</v>
      </c>
      <c r="H15014">
        <v>87889893</v>
      </c>
      <c r="I15014">
        <v>87889893</v>
      </c>
    </row>
    <row r="15015" spans="1:9" x14ac:dyDescent="0.2">
      <c r="A15015" t="str">
        <f>"Olfr463"</f>
        <v>Olfr463</v>
      </c>
      <c r="B15015" t="s">
        <v>5101</v>
      </c>
      <c r="C15015" t="s">
        <v>27</v>
      </c>
      <c r="D15015" t="s">
        <v>11</v>
      </c>
      <c r="E15015" t="s">
        <v>20</v>
      </c>
      <c r="F15015">
        <v>87893921</v>
      </c>
      <c r="G15015">
        <v>87893921</v>
      </c>
      <c r="H15015">
        <v>87893921</v>
      </c>
      <c r="I15015">
        <v>87893921</v>
      </c>
    </row>
    <row r="15016" spans="1:9" x14ac:dyDescent="0.2">
      <c r="A15016" t="str">
        <f>"Olfr464"</f>
        <v>Olfr464</v>
      </c>
      <c r="B15016" t="s">
        <v>5102</v>
      </c>
      <c r="C15016" t="s">
        <v>27</v>
      </c>
      <c r="D15016" t="s">
        <v>11</v>
      </c>
      <c r="E15016" t="s">
        <v>20</v>
      </c>
      <c r="F15016">
        <v>87915002</v>
      </c>
      <c r="G15016">
        <v>87915002</v>
      </c>
      <c r="H15016">
        <v>87915002</v>
      </c>
      <c r="I15016">
        <v>87915002</v>
      </c>
    </row>
    <row r="15017" spans="1:9" x14ac:dyDescent="0.2">
      <c r="A15017" t="str">
        <f>"Olfr466"</f>
        <v>Olfr466</v>
      </c>
      <c r="B15017" t="s">
        <v>5103</v>
      </c>
      <c r="C15017" t="s">
        <v>39</v>
      </c>
      <c r="D15017" t="s">
        <v>17</v>
      </c>
      <c r="E15017" t="s">
        <v>20</v>
      </c>
      <c r="F15017">
        <v>65152225</v>
      </c>
      <c r="G15017">
        <v>65152225</v>
      </c>
      <c r="H15017">
        <v>65152225</v>
      </c>
      <c r="I15017">
        <v>65152225</v>
      </c>
    </row>
    <row r="15018" spans="1:9" x14ac:dyDescent="0.2">
      <c r="A15018" t="str">
        <f>"Olfr467"</f>
        <v>Olfr467</v>
      </c>
      <c r="B15018" t="s">
        <v>5104</v>
      </c>
      <c r="C15018" t="s">
        <v>33</v>
      </c>
      <c r="D15018" t="s">
        <v>17</v>
      </c>
      <c r="E15018" t="s">
        <v>20</v>
      </c>
      <c r="F15018">
        <v>107814579</v>
      </c>
      <c r="G15018">
        <v>107814579</v>
      </c>
      <c r="H15018">
        <v>107814579</v>
      </c>
      <c r="I15018">
        <v>107814579</v>
      </c>
    </row>
    <row r="15019" spans="1:9" x14ac:dyDescent="0.2">
      <c r="A15019" t="str">
        <f>"Olfr469"</f>
        <v>Olfr469</v>
      </c>
      <c r="B15019" t="s">
        <v>5105</v>
      </c>
      <c r="C15019" t="s">
        <v>33</v>
      </c>
      <c r="D15019" t="s">
        <v>11</v>
      </c>
      <c r="E15019" t="s">
        <v>20</v>
      </c>
      <c r="F15019">
        <v>107823466</v>
      </c>
      <c r="G15019">
        <v>107823466</v>
      </c>
      <c r="H15019">
        <v>107823466</v>
      </c>
      <c r="I15019">
        <v>107823466</v>
      </c>
    </row>
    <row r="15020" spans="1:9" x14ac:dyDescent="0.2">
      <c r="A15020" t="str">
        <f>"Olfr47"</f>
        <v>Olfr47</v>
      </c>
      <c r="B15020" t="s">
        <v>5106</v>
      </c>
      <c r="C15020" t="s">
        <v>32</v>
      </c>
      <c r="D15020" t="s">
        <v>17</v>
      </c>
      <c r="E15020" t="s">
        <v>20</v>
      </c>
      <c r="F15020">
        <v>43235577</v>
      </c>
      <c r="G15020">
        <v>43235577</v>
      </c>
      <c r="H15020">
        <v>43235577</v>
      </c>
      <c r="I15020">
        <v>43235577</v>
      </c>
    </row>
    <row r="15021" spans="1:9" x14ac:dyDescent="0.2">
      <c r="A15021" t="str">
        <f>"Olfr470"</f>
        <v>Olfr470</v>
      </c>
      <c r="B15021" t="s">
        <v>5107</v>
      </c>
      <c r="C15021" t="s">
        <v>33</v>
      </c>
      <c r="D15021" t="s">
        <v>11</v>
      </c>
      <c r="E15021" t="s">
        <v>20</v>
      </c>
      <c r="F15021">
        <v>107845730</v>
      </c>
      <c r="G15021">
        <v>107845730</v>
      </c>
      <c r="H15021">
        <v>107845730</v>
      </c>
      <c r="I15021">
        <v>107845730</v>
      </c>
    </row>
    <row r="15022" spans="1:9" x14ac:dyDescent="0.2">
      <c r="A15022" t="str">
        <f>"Olfr472"</f>
        <v>Olfr472</v>
      </c>
      <c r="B15022" t="s">
        <v>5108</v>
      </c>
      <c r="C15022" t="s">
        <v>33</v>
      </c>
      <c r="D15022" t="s">
        <v>17</v>
      </c>
      <c r="E15022" t="s">
        <v>20</v>
      </c>
      <c r="F15022">
        <v>107902626</v>
      </c>
      <c r="G15022">
        <v>107902626</v>
      </c>
      <c r="H15022">
        <v>107902626</v>
      </c>
      <c r="I15022">
        <v>107902626</v>
      </c>
    </row>
    <row r="15023" spans="1:9" x14ac:dyDescent="0.2">
      <c r="A15023" t="str">
        <f>"Olfr473"</f>
        <v>Olfr473</v>
      </c>
      <c r="B15023" t="s">
        <v>5109</v>
      </c>
      <c r="C15023" t="s">
        <v>33</v>
      </c>
      <c r="D15023" t="s">
        <v>17</v>
      </c>
      <c r="E15023" t="s">
        <v>20</v>
      </c>
      <c r="F15023">
        <v>107933521</v>
      </c>
      <c r="G15023">
        <v>107933521</v>
      </c>
      <c r="H15023">
        <v>107933521</v>
      </c>
      <c r="I15023">
        <v>107933521</v>
      </c>
    </row>
    <row r="15024" spans="1:9" x14ac:dyDescent="0.2">
      <c r="A15024" t="str">
        <f>"Olfr474"</f>
        <v>Olfr474</v>
      </c>
      <c r="B15024" t="s">
        <v>5110</v>
      </c>
      <c r="C15024" t="s">
        <v>33</v>
      </c>
      <c r="D15024" t="s">
        <v>17</v>
      </c>
      <c r="E15024" t="s">
        <v>20</v>
      </c>
      <c r="F15024">
        <v>107954642</v>
      </c>
      <c r="G15024">
        <v>107954642</v>
      </c>
      <c r="H15024">
        <v>107954642</v>
      </c>
      <c r="I15024">
        <v>107954642</v>
      </c>
    </row>
    <row r="15025" spans="1:9" x14ac:dyDescent="0.2">
      <c r="A15025" t="str">
        <f>"Olfr476"</f>
        <v>Olfr476</v>
      </c>
      <c r="B15025" t="s">
        <v>5111</v>
      </c>
      <c r="C15025" t="s">
        <v>33</v>
      </c>
      <c r="D15025" t="s">
        <v>17</v>
      </c>
      <c r="E15025" t="s">
        <v>20</v>
      </c>
      <c r="F15025">
        <v>107967398</v>
      </c>
      <c r="G15025">
        <v>107967398</v>
      </c>
      <c r="H15025">
        <v>107967398</v>
      </c>
      <c r="I15025">
        <v>107967398</v>
      </c>
    </row>
    <row r="15026" spans="1:9" x14ac:dyDescent="0.2">
      <c r="A15026" t="str">
        <f>"Olfr477"</f>
        <v>Olfr477</v>
      </c>
      <c r="B15026" t="s">
        <v>5112</v>
      </c>
      <c r="C15026" t="s">
        <v>33</v>
      </c>
      <c r="D15026" t="s">
        <v>17</v>
      </c>
      <c r="E15026" t="s">
        <v>20</v>
      </c>
      <c r="F15026">
        <v>107990366</v>
      </c>
      <c r="G15026">
        <v>107990366</v>
      </c>
      <c r="H15026">
        <v>107990366</v>
      </c>
      <c r="I15026">
        <v>107990366</v>
      </c>
    </row>
    <row r="15027" spans="1:9" x14ac:dyDescent="0.2">
      <c r="A15027" t="str">
        <f>"Olfr478"</f>
        <v>Olfr478</v>
      </c>
      <c r="B15027" t="s">
        <v>5113</v>
      </c>
      <c r="C15027" t="s">
        <v>33</v>
      </c>
      <c r="D15027" t="s">
        <v>11</v>
      </c>
      <c r="E15027" t="s">
        <v>20</v>
      </c>
      <c r="F15027">
        <v>108032340</v>
      </c>
      <c r="G15027">
        <v>108032340</v>
      </c>
      <c r="H15027">
        <v>108032340</v>
      </c>
      <c r="I15027">
        <v>108032340</v>
      </c>
    </row>
    <row r="15028" spans="1:9" x14ac:dyDescent="0.2">
      <c r="A15028" t="str">
        <f>"Olfr479"</f>
        <v>Olfr479</v>
      </c>
      <c r="B15028" t="s">
        <v>5114</v>
      </c>
      <c r="C15028" t="s">
        <v>33</v>
      </c>
      <c r="D15028" t="s">
        <v>17</v>
      </c>
      <c r="E15028" t="s">
        <v>20</v>
      </c>
      <c r="F15028">
        <v>108054956</v>
      </c>
      <c r="G15028">
        <v>108054956</v>
      </c>
      <c r="H15028">
        <v>108054956</v>
      </c>
      <c r="I15028">
        <v>108054956</v>
      </c>
    </row>
    <row r="15029" spans="1:9" x14ac:dyDescent="0.2">
      <c r="A15029" t="str">
        <f>"Olfr48"</f>
        <v>Olfr48</v>
      </c>
      <c r="B15029" t="s">
        <v>5115</v>
      </c>
      <c r="C15029" t="s">
        <v>26</v>
      </c>
      <c r="D15029" t="s">
        <v>11</v>
      </c>
      <c r="E15029" t="s">
        <v>20</v>
      </c>
      <c r="F15029">
        <v>89844970</v>
      </c>
      <c r="G15029">
        <v>89844970</v>
      </c>
      <c r="H15029">
        <v>89844970</v>
      </c>
      <c r="I15029">
        <v>89844970</v>
      </c>
    </row>
    <row r="15030" spans="1:9" x14ac:dyDescent="0.2">
      <c r="A15030" t="str">
        <f>"Olfr480"</f>
        <v>Olfr480</v>
      </c>
      <c r="B15030" t="s">
        <v>5116</v>
      </c>
      <c r="C15030" t="s">
        <v>33</v>
      </c>
      <c r="D15030" t="s">
        <v>11</v>
      </c>
      <c r="E15030" t="s">
        <v>20</v>
      </c>
      <c r="F15030">
        <v>108066795</v>
      </c>
      <c r="G15030">
        <v>108066795</v>
      </c>
      <c r="H15030">
        <v>108066795</v>
      </c>
      <c r="I15030">
        <v>108066795</v>
      </c>
    </row>
    <row r="15031" spans="1:9" x14ac:dyDescent="0.2">
      <c r="A15031" t="str">
        <f>"Olfr481"</f>
        <v>Olfr481</v>
      </c>
      <c r="B15031" t="s">
        <v>5117</v>
      </c>
      <c r="C15031" t="s">
        <v>33</v>
      </c>
      <c r="D15031" t="s">
        <v>17</v>
      </c>
      <c r="E15031" t="s">
        <v>20</v>
      </c>
      <c r="F15031">
        <v>108080795</v>
      </c>
      <c r="G15031">
        <v>108080795</v>
      </c>
      <c r="H15031">
        <v>108080795</v>
      </c>
      <c r="I15031">
        <v>108080795</v>
      </c>
    </row>
    <row r="15032" spans="1:9" x14ac:dyDescent="0.2">
      <c r="A15032" t="str">
        <f>"Olfr482"</f>
        <v>Olfr482</v>
      </c>
      <c r="B15032" t="s">
        <v>5118</v>
      </c>
      <c r="C15032" t="s">
        <v>33</v>
      </c>
      <c r="D15032" t="s">
        <v>11</v>
      </c>
      <c r="E15032" t="s">
        <v>20</v>
      </c>
      <c r="F15032">
        <v>108095567</v>
      </c>
      <c r="G15032">
        <v>108095567</v>
      </c>
      <c r="H15032">
        <v>108095567</v>
      </c>
      <c r="I15032">
        <v>108095567</v>
      </c>
    </row>
    <row r="15033" spans="1:9" x14ac:dyDescent="0.2">
      <c r="A15033" t="str">
        <f>"Olfr483"</f>
        <v>Olfr483</v>
      </c>
      <c r="B15033" t="s">
        <v>5119</v>
      </c>
      <c r="C15033" t="s">
        <v>33</v>
      </c>
      <c r="D15033" t="s">
        <v>17</v>
      </c>
      <c r="E15033" t="s">
        <v>20</v>
      </c>
      <c r="F15033">
        <v>108103278</v>
      </c>
      <c r="G15033">
        <v>108103278</v>
      </c>
      <c r="H15033">
        <v>108103278</v>
      </c>
      <c r="I15033">
        <v>108103278</v>
      </c>
    </row>
    <row r="15034" spans="1:9" x14ac:dyDescent="0.2">
      <c r="A15034" t="str">
        <f>"Olfr484"</f>
        <v>Olfr484</v>
      </c>
      <c r="B15034" t="s">
        <v>5120</v>
      </c>
      <c r="C15034" t="s">
        <v>33</v>
      </c>
      <c r="D15034" t="s">
        <v>11</v>
      </c>
      <c r="E15034" t="s">
        <v>20</v>
      </c>
      <c r="F15034">
        <v>108125295</v>
      </c>
      <c r="G15034">
        <v>108125295</v>
      </c>
      <c r="H15034">
        <v>108125295</v>
      </c>
      <c r="I15034">
        <v>108125295</v>
      </c>
    </row>
    <row r="15035" spans="1:9" x14ac:dyDescent="0.2">
      <c r="A15035" t="str">
        <f>"Olfr486"</f>
        <v>Olfr486</v>
      </c>
      <c r="B15035" t="s">
        <v>5121</v>
      </c>
      <c r="C15035" t="s">
        <v>33</v>
      </c>
      <c r="D15035" t="s">
        <v>11</v>
      </c>
      <c r="E15035" t="s">
        <v>20</v>
      </c>
      <c r="F15035">
        <v>108172741</v>
      </c>
      <c r="G15035">
        <v>108172741</v>
      </c>
      <c r="H15035">
        <v>108172741</v>
      </c>
      <c r="I15035">
        <v>108172741</v>
      </c>
    </row>
    <row r="15036" spans="1:9" x14ac:dyDescent="0.2">
      <c r="A15036" t="str">
        <f>"Olfr487"</f>
        <v>Olfr487</v>
      </c>
      <c r="B15036" t="s">
        <v>5122</v>
      </c>
      <c r="C15036" t="s">
        <v>33</v>
      </c>
      <c r="D15036" t="s">
        <v>11</v>
      </c>
      <c r="E15036" t="s">
        <v>20</v>
      </c>
      <c r="F15036">
        <v>108212526</v>
      </c>
      <c r="G15036">
        <v>108212526</v>
      </c>
      <c r="H15036">
        <v>108212526</v>
      </c>
      <c r="I15036">
        <v>108212526</v>
      </c>
    </row>
    <row r="15037" spans="1:9" x14ac:dyDescent="0.2">
      <c r="A15037" t="str">
        <f>"Olfr488"</f>
        <v>Olfr488</v>
      </c>
      <c r="B15037" t="s">
        <v>5123</v>
      </c>
      <c r="C15037" t="s">
        <v>33</v>
      </c>
      <c r="D15037" t="s">
        <v>11</v>
      </c>
      <c r="E15037" t="s">
        <v>20</v>
      </c>
      <c r="F15037">
        <v>108256135</v>
      </c>
      <c r="G15037">
        <v>108256135</v>
      </c>
      <c r="H15037">
        <v>108256135</v>
      </c>
      <c r="I15037">
        <v>108256135</v>
      </c>
    </row>
    <row r="15038" spans="1:9" x14ac:dyDescent="0.2">
      <c r="A15038" t="str">
        <f>"Olfr49"</f>
        <v>Olfr49</v>
      </c>
      <c r="B15038" t="s">
        <v>5124</v>
      </c>
      <c r="C15038" t="s">
        <v>41</v>
      </c>
      <c r="D15038" t="s">
        <v>11</v>
      </c>
      <c r="E15038" t="s">
        <v>20</v>
      </c>
      <c r="F15038">
        <v>54282924</v>
      </c>
      <c r="G15038">
        <v>54282924</v>
      </c>
      <c r="H15038">
        <v>54282924</v>
      </c>
      <c r="I15038">
        <v>54282924</v>
      </c>
    </row>
    <row r="15039" spans="1:9" x14ac:dyDescent="0.2">
      <c r="A15039" t="str">
        <f>"Olfr490"</f>
        <v>Olfr490</v>
      </c>
      <c r="B15039" t="s">
        <v>5125</v>
      </c>
      <c r="C15039" t="s">
        <v>33</v>
      </c>
      <c r="D15039" t="s">
        <v>11</v>
      </c>
      <c r="E15039" t="s">
        <v>20</v>
      </c>
      <c r="F15039">
        <v>108287123</v>
      </c>
      <c r="G15039">
        <v>108287123</v>
      </c>
      <c r="H15039">
        <v>108287123</v>
      </c>
      <c r="I15039">
        <v>108287123</v>
      </c>
    </row>
    <row r="15040" spans="1:9" x14ac:dyDescent="0.2">
      <c r="A15040" t="str">
        <f>"Olfr491"</f>
        <v>Olfr491</v>
      </c>
      <c r="B15040" t="s">
        <v>5126</v>
      </c>
      <c r="C15040" t="s">
        <v>33</v>
      </c>
      <c r="D15040" t="s">
        <v>17</v>
      </c>
      <c r="E15040" t="s">
        <v>20</v>
      </c>
      <c r="F15040">
        <v>108316895</v>
      </c>
      <c r="G15040">
        <v>108316895</v>
      </c>
      <c r="H15040">
        <v>108316895</v>
      </c>
      <c r="I15040">
        <v>108316895</v>
      </c>
    </row>
    <row r="15041" spans="1:9" x14ac:dyDescent="0.2">
      <c r="A15041" t="str">
        <f>"Olfr493"</f>
        <v>Olfr493</v>
      </c>
      <c r="B15041" t="s">
        <v>5127</v>
      </c>
      <c r="C15041" t="s">
        <v>33</v>
      </c>
      <c r="D15041" t="s">
        <v>11</v>
      </c>
      <c r="E15041" t="s">
        <v>20</v>
      </c>
      <c r="F15041">
        <v>108346978</v>
      </c>
      <c r="G15041">
        <v>108346978</v>
      </c>
      <c r="H15041">
        <v>108346978</v>
      </c>
      <c r="I15041">
        <v>108346978</v>
      </c>
    </row>
    <row r="15042" spans="1:9" x14ac:dyDescent="0.2">
      <c r="A15042" t="str">
        <f>"Olfr494"</f>
        <v>Olfr494</v>
      </c>
      <c r="B15042" t="s">
        <v>5128</v>
      </c>
      <c r="C15042" t="s">
        <v>33</v>
      </c>
      <c r="D15042" t="s">
        <v>17</v>
      </c>
      <c r="E15042" t="s">
        <v>20</v>
      </c>
      <c r="F15042">
        <v>108367489</v>
      </c>
      <c r="G15042">
        <v>108367489</v>
      </c>
      <c r="H15042">
        <v>108367489</v>
      </c>
      <c r="I15042">
        <v>108367489</v>
      </c>
    </row>
    <row r="15043" spans="1:9" x14ac:dyDescent="0.2">
      <c r="A15043" t="str">
        <f>"Olfr495"</f>
        <v>Olfr495</v>
      </c>
      <c r="B15043" t="s">
        <v>5129</v>
      </c>
      <c r="C15043" t="s">
        <v>33</v>
      </c>
      <c r="D15043" t="s">
        <v>17</v>
      </c>
      <c r="E15043" t="s">
        <v>20</v>
      </c>
      <c r="F15043">
        <v>108395121</v>
      </c>
      <c r="G15043">
        <v>108395121</v>
      </c>
      <c r="H15043">
        <v>108395121</v>
      </c>
      <c r="I15043">
        <v>108395121</v>
      </c>
    </row>
    <row r="15044" spans="1:9" x14ac:dyDescent="0.2">
      <c r="A15044" t="str">
        <f>"Olfr497"</f>
        <v>Olfr497</v>
      </c>
      <c r="B15044" t="s">
        <v>5130</v>
      </c>
      <c r="C15044" t="s">
        <v>33</v>
      </c>
      <c r="D15044" t="s">
        <v>17</v>
      </c>
      <c r="E15044" t="s">
        <v>20</v>
      </c>
      <c r="F15044">
        <v>108422572</v>
      </c>
      <c r="G15044">
        <v>108422572</v>
      </c>
      <c r="H15044">
        <v>108422572</v>
      </c>
      <c r="I15044">
        <v>108422572</v>
      </c>
    </row>
    <row r="15045" spans="1:9" x14ac:dyDescent="0.2">
      <c r="A15045" t="str">
        <f>"Olfr498"</f>
        <v>Olfr498</v>
      </c>
      <c r="B15045" t="s">
        <v>5131</v>
      </c>
      <c r="C15045" t="s">
        <v>33</v>
      </c>
      <c r="D15045" t="s">
        <v>17</v>
      </c>
      <c r="E15045" t="s">
        <v>20</v>
      </c>
      <c r="F15045">
        <v>108465325</v>
      </c>
      <c r="G15045">
        <v>108465325</v>
      </c>
      <c r="H15045">
        <v>108465325</v>
      </c>
      <c r="I15045">
        <v>108465325</v>
      </c>
    </row>
    <row r="15046" spans="1:9" x14ac:dyDescent="0.2">
      <c r="A15046" t="str">
        <f>"Olfr5"</f>
        <v>Olfr5</v>
      </c>
      <c r="B15046" t="s">
        <v>5132</v>
      </c>
      <c r="C15046" t="s">
        <v>33</v>
      </c>
      <c r="D15046" t="s">
        <v>11</v>
      </c>
      <c r="E15046" t="s">
        <v>20</v>
      </c>
      <c r="F15046">
        <v>6486812</v>
      </c>
      <c r="G15046">
        <v>6486812</v>
      </c>
      <c r="H15046">
        <v>6486812</v>
      </c>
      <c r="I15046">
        <v>6486812</v>
      </c>
    </row>
    <row r="15047" spans="1:9" x14ac:dyDescent="0.2">
      <c r="A15047" t="str">
        <f>"Olfr50"</f>
        <v>Olfr50</v>
      </c>
      <c r="B15047" t="s">
        <v>5133</v>
      </c>
      <c r="C15047" t="s">
        <v>26</v>
      </c>
      <c r="D15047" t="s">
        <v>17</v>
      </c>
      <c r="E15047" t="s">
        <v>20</v>
      </c>
      <c r="F15047">
        <v>36793237</v>
      </c>
      <c r="G15047">
        <v>36793237</v>
      </c>
      <c r="H15047">
        <v>36793237</v>
      </c>
      <c r="I15047">
        <v>36793237</v>
      </c>
    </row>
    <row r="15048" spans="1:9" x14ac:dyDescent="0.2">
      <c r="A15048" t="str">
        <f>"Olfr502"</f>
        <v>Olfr502</v>
      </c>
      <c r="B15048" t="s">
        <v>5134</v>
      </c>
      <c r="C15048" t="s">
        <v>33</v>
      </c>
      <c r="D15048" t="s">
        <v>11</v>
      </c>
      <c r="E15048" t="s">
        <v>20</v>
      </c>
      <c r="F15048">
        <v>108523966</v>
      </c>
      <c r="G15048">
        <v>108523966</v>
      </c>
      <c r="H15048">
        <v>108523966</v>
      </c>
      <c r="I15048">
        <v>108523966</v>
      </c>
    </row>
    <row r="15049" spans="1:9" x14ac:dyDescent="0.2">
      <c r="A15049" t="str">
        <f>"Olfr503"</f>
        <v>Olfr503</v>
      </c>
      <c r="B15049" t="s">
        <v>5135</v>
      </c>
      <c r="C15049" t="s">
        <v>33</v>
      </c>
      <c r="D15049" t="s">
        <v>17</v>
      </c>
      <c r="E15049" t="s">
        <v>20</v>
      </c>
      <c r="F15049">
        <v>108544526</v>
      </c>
      <c r="G15049">
        <v>108544526</v>
      </c>
      <c r="H15049">
        <v>108544526</v>
      </c>
      <c r="I15049">
        <v>108544526</v>
      </c>
    </row>
    <row r="15050" spans="1:9" x14ac:dyDescent="0.2">
      <c r="A15050" t="str">
        <f>"Olfr504"</f>
        <v>Olfr504</v>
      </c>
      <c r="B15050" t="s">
        <v>5136</v>
      </c>
      <c r="C15050" t="s">
        <v>33</v>
      </c>
      <c r="D15050" t="s">
        <v>11</v>
      </c>
      <c r="E15050" t="s">
        <v>20</v>
      </c>
      <c r="F15050">
        <v>108565792</v>
      </c>
      <c r="G15050">
        <v>108565792</v>
      </c>
      <c r="H15050">
        <v>108565792</v>
      </c>
      <c r="I15050">
        <v>108565792</v>
      </c>
    </row>
    <row r="15051" spans="1:9" x14ac:dyDescent="0.2">
      <c r="A15051" t="str">
        <f>"Olfr506"</f>
        <v>Olfr506</v>
      </c>
      <c r="B15051" t="s">
        <v>5137</v>
      </c>
      <c r="C15051" t="s">
        <v>33</v>
      </c>
      <c r="D15051" t="s">
        <v>17</v>
      </c>
      <c r="E15051" t="s">
        <v>20</v>
      </c>
      <c r="F15051">
        <v>108612279</v>
      </c>
      <c r="G15051">
        <v>108612279</v>
      </c>
      <c r="H15051">
        <v>108612279</v>
      </c>
      <c r="I15051">
        <v>108612279</v>
      </c>
    </row>
    <row r="15052" spans="1:9" x14ac:dyDescent="0.2">
      <c r="A15052" t="str">
        <f>"Olfr507"</f>
        <v>Olfr507</v>
      </c>
      <c r="B15052" t="s">
        <v>5138</v>
      </c>
      <c r="C15052" t="s">
        <v>33</v>
      </c>
      <c r="D15052" t="s">
        <v>17</v>
      </c>
      <c r="E15052" t="s">
        <v>20</v>
      </c>
      <c r="F15052">
        <v>108621813</v>
      </c>
      <c r="G15052">
        <v>108621813</v>
      </c>
      <c r="H15052">
        <v>108621813</v>
      </c>
      <c r="I15052">
        <v>108621813</v>
      </c>
    </row>
    <row r="15053" spans="1:9" x14ac:dyDescent="0.2">
      <c r="A15053" t="str">
        <f>"Olfr508"</f>
        <v>Olfr508</v>
      </c>
      <c r="B15053" t="s">
        <v>5139</v>
      </c>
      <c r="C15053" t="s">
        <v>33</v>
      </c>
      <c r="D15053" t="s">
        <v>17</v>
      </c>
      <c r="E15053" t="s">
        <v>20</v>
      </c>
      <c r="F15053">
        <v>108629993</v>
      </c>
      <c r="G15053">
        <v>108629993</v>
      </c>
      <c r="H15053">
        <v>108629993</v>
      </c>
      <c r="I15053">
        <v>108629993</v>
      </c>
    </row>
    <row r="15054" spans="1:9" x14ac:dyDescent="0.2">
      <c r="A15054" t="str">
        <f>"Olfr509"</f>
        <v>Olfr509</v>
      </c>
      <c r="B15054" t="s">
        <v>5140</v>
      </c>
      <c r="C15054" t="s">
        <v>33</v>
      </c>
      <c r="D15054" t="s">
        <v>11</v>
      </c>
      <c r="E15054" t="s">
        <v>20</v>
      </c>
      <c r="F15054">
        <v>108646657</v>
      </c>
      <c r="G15054">
        <v>108646657</v>
      </c>
      <c r="H15054">
        <v>108646657</v>
      </c>
      <c r="I15054">
        <v>108646657</v>
      </c>
    </row>
    <row r="15055" spans="1:9" x14ac:dyDescent="0.2">
      <c r="A15055" t="str">
        <f>"Olfr51"</f>
        <v>Olfr51</v>
      </c>
      <c r="B15055" t="s">
        <v>5141</v>
      </c>
      <c r="C15055" t="s">
        <v>27</v>
      </c>
      <c r="D15055" t="s">
        <v>17</v>
      </c>
      <c r="E15055" t="s">
        <v>20</v>
      </c>
      <c r="F15055">
        <v>51006973</v>
      </c>
      <c r="G15055">
        <v>51006973</v>
      </c>
      <c r="H15055">
        <v>51006973</v>
      </c>
      <c r="I15055">
        <v>51006973</v>
      </c>
    </row>
    <row r="15056" spans="1:9" x14ac:dyDescent="0.2">
      <c r="A15056" t="str">
        <f>"Olfr510"</f>
        <v>Olfr510</v>
      </c>
      <c r="B15056" t="s">
        <v>5142</v>
      </c>
      <c r="C15056" t="s">
        <v>33</v>
      </c>
      <c r="D15056" t="s">
        <v>17</v>
      </c>
      <c r="E15056" t="s">
        <v>20</v>
      </c>
      <c r="F15056">
        <v>108667417</v>
      </c>
      <c r="G15056">
        <v>108667417</v>
      </c>
      <c r="H15056">
        <v>108667417</v>
      </c>
      <c r="I15056">
        <v>108667417</v>
      </c>
    </row>
    <row r="15057" spans="1:9" x14ac:dyDescent="0.2">
      <c r="A15057" t="str">
        <f>"Olfr512"</f>
        <v>Olfr512</v>
      </c>
      <c r="B15057" t="s">
        <v>5143</v>
      </c>
      <c r="C15057" t="s">
        <v>33</v>
      </c>
      <c r="D15057" t="s">
        <v>17</v>
      </c>
      <c r="E15057" t="s">
        <v>20</v>
      </c>
      <c r="F15057">
        <v>108713319</v>
      </c>
      <c r="G15057">
        <v>108713319</v>
      </c>
      <c r="H15057">
        <v>108713319</v>
      </c>
      <c r="I15057">
        <v>108713319</v>
      </c>
    </row>
    <row r="15058" spans="1:9" x14ac:dyDescent="0.2">
      <c r="A15058" t="str">
        <f>"Olfr513"</f>
        <v>Olfr513</v>
      </c>
      <c r="B15058" t="s">
        <v>5144</v>
      </c>
      <c r="C15058" t="s">
        <v>33</v>
      </c>
      <c r="D15058" t="s">
        <v>17</v>
      </c>
      <c r="E15058" t="s">
        <v>20</v>
      </c>
      <c r="F15058">
        <v>108754857</v>
      </c>
      <c r="G15058">
        <v>108754857</v>
      </c>
      <c r="H15058">
        <v>108754857</v>
      </c>
      <c r="I15058">
        <v>108754857</v>
      </c>
    </row>
    <row r="15059" spans="1:9" x14ac:dyDescent="0.2">
      <c r="A15059" t="str">
        <f>"Olfr514"</f>
        <v>Olfr514</v>
      </c>
      <c r="B15059" t="s">
        <v>5145</v>
      </c>
      <c r="C15059" t="s">
        <v>33</v>
      </c>
      <c r="D15059" t="s">
        <v>11</v>
      </c>
      <c r="E15059" t="s">
        <v>20</v>
      </c>
      <c r="F15059">
        <v>108825996</v>
      </c>
      <c r="G15059">
        <v>108825996</v>
      </c>
      <c r="H15059">
        <v>108825996</v>
      </c>
      <c r="I15059">
        <v>108825996</v>
      </c>
    </row>
    <row r="15060" spans="1:9" x14ac:dyDescent="0.2">
      <c r="A15060" t="str">
        <f>"Olfr516"</f>
        <v>Olfr516</v>
      </c>
      <c r="B15060" t="s">
        <v>5146</v>
      </c>
      <c r="C15060" t="s">
        <v>33</v>
      </c>
      <c r="D15060" t="s">
        <v>11</v>
      </c>
      <c r="E15060" t="s">
        <v>20</v>
      </c>
      <c r="F15060">
        <v>108846007</v>
      </c>
      <c r="G15060">
        <v>108846007</v>
      </c>
      <c r="H15060">
        <v>108846007</v>
      </c>
      <c r="I15060">
        <v>108846007</v>
      </c>
    </row>
    <row r="15061" spans="1:9" x14ac:dyDescent="0.2">
      <c r="A15061" t="str">
        <f>"Olfr517"</f>
        <v>Olfr517</v>
      </c>
      <c r="B15061" t="s">
        <v>5147</v>
      </c>
      <c r="C15061" t="s">
        <v>33</v>
      </c>
      <c r="D15061" t="s">
        <v>11</v>
      </c>
      <c r="E15061" t="s">
        <v>20</v>
      </c>
      <c r="F15061">
        <v>108869174</v>
      </c>
      <c r="G15061">
        <v>108869174</v>
      </c>
      <c r="H15061">
        <v>108869174</v>
      </c>
      <c r="I15061">
        <v>108869174</v>
      </c>
    </row>
    <row r="15062" spans="1:9" x14ac:dyDescent="0.2">
      <c r="A15062" t="str">
        <f>"Olfr518"</f>
        <v>Olfr518</v>
      </c>
      <c r="B15062" t="s">
        <v>5148</v>
      </c>
      <c r="C15062" t="s">
        <v>33</v>
      </c>
      <c r="D15062" t="s">
        <v>11</v>
      </c>
      <c r="E15062" t="s">
        <v>20</v>
      </c>
      <c r="F15062">
        <v>108881603</v>
      </c>
      <c r="G15062">
        <v>108881603</v>
      </c>
      <c r="H15062">
        <v>108881603</v>
      </c>
      <c r="I15062">
        <v>108881603</v>
      </c>
    </row>
    <row r="15063" spans="1:9" x14ac:dyDescent="0.2">
      <c r="A15063" t="str">
        <f>"Olfr519"</f>
        <v>Olfr519</v>
      </c>
      <c r="B15063" t="s">
        <v>5149</v>
      </c>
      <c r="C15063" t="s">
        <v>33</v>
      </c>
      <c r="D15063" t="s">
        <v>11</v>
      </c>
      <c r="E15063" t="s">
        <v>20</v>
      </c>
      <c r="F15063">
        <v>108894419</v>
      </c>
      <c r="G15063">
        <v>108894419</v>
      </c>
      <c r="H15063">
        <v>108894419</v>
      </c>
      <c r="I15063">
        <v>108894419</v>
      </c>
    </row>
    <row r="15064" spans="1:9" x14ac:dyDescent="0.2">
      <c r="A15064" t="str">
        <f>"Olfr52"</f>
        <v>Olfr52</v>
      </c>
      <c r="B15064" t="s">
        <v>5150</v>
      </c>
      <c r="C15064" t="s">
        <v>26</v>
      </c>
      <c r="D15064" t="s">
        <v>11</v>
      </c>
      <c r="E15064" t="s">
        <v>20</v>
      </c>
      <c r="F15064">
        <v>86182108</v>
      </c>
      <c r="G15064">
        <v>86182108</v>
      </c>
      <c r="H15064">
        <v>86182108</v>
      </c>
      <c r="I15064">
        <v>86182108</v>
      </c>
    </row>
    <row r="15065" spans="1:9" x14ac:dyDescent="0.2">
      <c r="A15065" t="str">
        <f>"Olfr520"</f>
        <v>Olfr520</v>
      </c>
      <c r="B15065" t="s">
        <v>5151</v>
      </c>
      <c r="C15065" t="s">
        <v>33</v>
      </c>
      <c r="D15065" t="s">
        <v>17</v>
      </c>
      <c r="E15065" t="s">
        <v>20</v>
      </c>
      <c r="F15065">
        <v>99735144</v>
      </c>
      <c r="G15065">
        <v>99735144</v>
      </c>
      <c r="H15065">
        <v>99735144</v>
      </c>
      <c r="I15065">
        <v>99735144</v>
      </c>
    </row>
    <row r="15066" spans="1:9" x14ac:dyDescent="0.2">
      <c r="A15066" t="str">
        <f>"Olfr521"</f>
        <v>Olfr521</v>
      </c>
      <c r="B15066" t="s">
        <v>5152</v>
      </c>
      <c r="C15066" t="s">
        <v>33</v>
      </c>
      <c r="D15066" t="s">
        <v>17</v>
      </c>
      <c r="E15066" t="s">
        <v>20</v>
      </c>
      <c r="F15066">
        <v>99767163</v>
      </c>
      <c r="G15066">
        <v>99767163</v>
      </c>
      <c r="H15066">
        <v>99767163</v>
      </c>
      <c r="I15066">
        <v>99767163</v>
      </c>
    </row>
    <row r="15067" spans="1:9" x14ac:dyDescent="0.2">
      <c r="A15067" t="str">
        <f>"Olfr522"</f>
        <v>Olfr522</v>
      </c>
      <c r="B15067" t="s">
        <v>5153</v>
      </c>
      <c r="C15067" t="s">
        <v>33</v>
      </c>
      <c r="D15067" t="s">
        <v>11</v>
      </c>
      <c r="E15067" t="s">
        <v>20</v>
      </c>
      <c r="F15067">
        <v>140163013</v>
      </c>
      <c r="G15067">
        <v>140163013</v>
      </c>
      <c r="H15067">
        <v>140163013</v>
      </c>
      <c r="I15067">
        <v>140163013</v>
      </c>
    </row>
    <row r="15068" spans="1:9" x14ac:dyDescent="0.2">
      <c r="A15068" t="str">
        <f>"Olfr523"</f>
        <v>Olfr523</v>
      </c>
      <c r="B15068" t="s">
        <v>5154</v>
      </c>
      <c r="C15068" t="s">
        <v>33</v>
      </c>
      <c r="D15068" t="s">
        <v>17</v>
      </c>
      <c r="E15068" t="s">
        <v>20</v>
      </c>
      <c r="F15068">
        <v>140176060</v>
      </c>
      <c r="G15068">
        <v>140176060</v>
      </c>
      <c r="H15068">
        <v>140176060</v>
      </c>
      <c r="I15068">
        <v>140176060</v>
      </c>
    </row>
    <row r="15069" spans="1:9" x14ac:dyDescent="0.2">
      <c r="A15069" t="str">
        <f>"Olfr524"</f>
        <v>Olfr524</v>
      </c>
      <c r="B15069" t="s">
        <v>5155</v>
      </c>
      <c r="C15069" t="s">
        <v>33</v>
      </c>
      <c r="D15069" t="s">
        <v>11</v>
      </c>
      <c r="E15069" t="s">
        <v>20</v>
      </c>
      <c r="F15069">
        <v>140202799</v>
      </c>
      <c r="G15069">
        <v>140202799</v>
      </c>
      <c r="H15069">
        <v>140202799</v>
      </c>
      <c r="I15069">
        <v>140202799</v>
      </c>
    </row>
    <row r="15070" spans="1:9" x14ac:dyDescent="0.2">
      <c r="A15070" t="str">
        <f>"Olfr525"</f>
        <v>Olfr525</v>
      </c>
      <c r="B15070" t="s">
        <v>5156</v>
      </c>
      <c r="C15070" t="s">
        <v>33</v>
      </c>
      <c r="D15070" t="s">
        <v>17</v>
      </c>
      <c r="E15070" t="s">
        <v>20</v>
      </c>
      <c r="F15070">
        <v>140322601</v>
      </c>
      <c r="G15070">
        <v>140322601</v>
      </c>
      <c r="H15070">
        <v>140322601</v>
      </c>
      <c r="I15070">
        <v>140322601</v>
      </c>
    </row>
    <row r="15071" spans="1:9" x14ac:dyDescent="0.2">
      <c r="A15071" t="str">
        <f>"Olfr527"</f>
        <v>Olfr527</v>
      </c>
      <c r="B15071" t="s">
        <v>5157</v>
      </c>
      <c r="C15071" t="s">
        <v>33</v>
      </c>
      <c r="D15071" t="s">
        <v>17</v>
      </c>
      <c r="E15071" t="s">
        <v>20</v>
      </c>
      <c r="F15071">
        <v>140335842</v>
      </c>
      <c r="G15071">
        <v>140335842</v>
      </c>
      <c r="H15071">
        <v>140335842</v>
      </c>
      <c r="I15071">
        <v>140335842</v>
      </c>
    </row>
    <row r="15072" spans="1:9" x14ac:dyDescent="0.2">
      <c r="A15072" t="str">
        <f>"Olfr53"</f>
        <v>Olfr53</v>
      </c>
      <c r="B15072" t="s">
        <v>5158</v>
      </c>
      <c r="C15072" t="s">
        <v>33</v>
      </c>
      <c r="D15072" t="s">
        <v>17</v>
      </c>
      <c r="E15072" t="s">
        <v>20</v>
      </c>
      <c r="F15072">
        <v>140646451</v>
      </c>
      <c r="G15072">
        <v>140646451</v>
      </c>
      <c r="H15072">
        <v>140646451</v>
      </c>
      <c r="I15072">
        <v>140646451</v>
      </c>
    </row>
    <row r="15073" spans="1:9" x14ac:dyDescent="0.2">
      <c r="A15073" t="str">
        <f>"Olfr530"</f>
        <v>Olfr530</v>
      </c>
      <c r="B15073" t="s">
        <v>5159</v>
      </c>
      <c r="C15073" t="s">
        <v>33</v>
      </c>
      <c r="D15073" t="s">
        <v>11</v>
      </c>
      <c r="E15073" t="s">
        <v>20</v>
      </c>
      <c r="F15073">
        <v>140373665</v>
      </c>
      <c r="G15073">
        <v>140373665</v>
      </c>
      <c r="H15073">
        <v>140373665</v>
      </c>
      <c r="I15073">
        <v>140373665</v>
      </c>
    </row>
    <row r="15074" spans="1:9" x14ac:dyDescent="0.2">
      <c r="A15074" t="str">
        <f>"Olfr531"</f>
        <v>Olfr531</v>
      </c>
      <c r="B15074" t="s">
        <v>5160</v>
      </c>
      <c r="C15074" t="s">
        <v>33</v>
      </c>
      <c r="D15074" t="s">
        <v>11</v>
      </c>
      <c r="E15074" t="s">
        <v>20</v>
      </c>
      <c r="F15074">
        <v>140401043</v>
      </c>
      <c r="G15074">
        <v>140401043</v>
      </c>
      <c r="H15074">
        <v>140401043</v>
      </c>
      <c r="I15074">
        <v>140401043</v>
      </c>
    </row>
    <row r="15075" spans="1:9" x14ac:dyDescent="0.2">
      <c r="A15075" t="str">
        <f>"Olfr532"</f>
        <v>Olfr532</v>
      </c>
      <c r="B15075" t="s">
        <v>5161</v>
      </c>
      <c r="C15075" t="s">
        <v>33</v>
      </c>
      <c r="D15075" t="s">
        <v>11</v>
      </c>
      <c r="E15075" t="s">
        <v>20</v>
      </c>
      <c r="F15075">
        <v>140419770</v>
      </c>
      <c r="G15075">
        <v>140419770</v>
      </c>
      <c r="H15075">
        <v>140419770</v>
      </c>
      <c r="I15075">
        <v>140419770</v>
      </c>
    </row>
    <row r="15076" spans="1:9" x14ac:dyDescent="0.2">
      <c r="A15076" t="str">
        <f>"Olfr533"</f>
        <v>Olfr533</v>
      </c>
      <c r="B15076" t="s">
        <v>5162</v>
      </c>
      <c r="C15076" t="s">
        <v>33</v>
      </c>
      <c r="D15076" t="s">
        <v>17</v>
      </c>
      <c r="E15076" t="s">
        <v>20</v>
      </c>
      <c r="F15076">
        <v>140466157</v>
      </c>
      <c r="G15076">
        <v>140466157</v>
      </c>
      <c r="H15076">
        <v>140466157</v>
      </c>
      <c r="I15076">
        <v>140466157</v>
      </c>
    </row>
    <row r="15077" spans="1:9" x14ac:dyDescent="0.2">
      <c r="A15077" t="str">
        <f>"Olfr535"</f>
        <v>Olfr535</v>
      </c>
      <c r="B15077" t="s">
        <v>5163</v>
      </c>
      <c r="C15077" t="s">
        <v>33</v>
      </c>
      <c r="D15077" t="s">
        <v>17</v>
      </c>
      <c r="E15077" t="s">
        <v>20</v>
      </c>
      <c r="F15077">
        <v>140492616</v>
      </c>
      <c r="G15077">
        <v>140492616</v>
      </c>
      <c r="H15077">
        <v>140492616</v>
      </c>
      <c r="I15077">
        <v>140492616</v>
      </c>
    </row>
    <row r="15078" spans="1:9" x14ac:dyDescent="0.2">
      <c r="A15078" t="str">
        <f>"Olfr536"</f>
        <v>Olfr536</v>
      </c>
      <c r="B15078" t="s">
        <v>5164</v>
      </c>
      <c r="C15078" t="s">
        <v>33</v>
      </c>
      <c r="D15078" t="s">
        <v>11</v>
      </c>
      <c r="E15078" t="s">
        <v>20</v>
      </c>
      <c r="F15078">
        <v>140507317</v>
      </c>
      <c r="G15078">
        <v>140507317</v>
      </c>
      <c r="H15078">
        <v>140507317</v>
      </c>
      <c r="I15078">
        <v>140507317</v>
      </c>
    </row>
    <row r="15079" spans="1:9" x14ac:dyDescent="0.2">
      <c r="A15079" t="str">
        <f>"Olfr538"</f>
        <v>Olfr538</v>
      </c>
      <c r="B15079" t="s">
        <v>5165</v>
      </c>
      <c r="C15079" t="s">
        <v>33</v>
      </c>
      <c r="D15079" t="s">
        <v>17</v>
      </c>
      <c r="E15079" t="s">
        <v>20</v>
      </c>
      <c r="F15079">
        <v>140574154</v>
      </c>
      <c r="G15079">
        <v>140574154</v>
      </c>
      <c r="H15079">
        <v>140574154</v>
      </c>
      <c r="I15079">
        <v>140574154</v>
      </c>
    </row>
    <row r="15080" spans="1:9" x14ac:dyDescent="0.2">
      <c r="A15080" t="str">
        <f>"Olfr539"</f>
        <v>Olfr539</v>
      </c>
      <c r="B15080" t="s">
        <v>5166</v>
      </c>
      <c r="C15080" t="s">
        <v>33</v>
      </c>
      <c r="D15080" t="s">
        <v>17</v>
      </c>
      <c r="E15080" t="s">
        <v>20</v>
      </c>
      <c r="F15080">
        <v>140667288</v>
      </c>
      <c r="G15080">
        <v>140667288</v>
      </c>
      <c r="H15080">
        <v>140667288</v>
      </c>
      <c r="I15080">
        <v>140667288</v>
      </c>
    </row>
    <row r="15081" spans="1:9" x14ac:dyDescent="0.2">
      <c r="A15081" t="str">
        <f>"Olfr54"</f>
        <v>Olfr54</v>
      </c>
      <c r="B15081" t="s">
        <v>5167</v>
      </c>
      <c r="C15081" t="s">
        <v>27</v>
      </c>
      <c r="D15081" t="s">
        <v>17</v>
      </c>
      <c r="E15081" t="s">
        <v>20</v>
      </c>
      <c r="F15081">
        <v>51027003</v>
      </c>
      <c r="G15081">
        <v>51027003</v>
      </c>
      <c r="H15081">
        <v>51027003</v>
      </c>
      <c r="I15081">
        <v>51027003</v>
      </c>
    </row>
    <row r="15082" spans="1:9" x14ac:dyDescent="0.2">
      <c r="A15082" t="str">
        <f>"Olfr541"</f>
        <v>Olfr541</v>
      </c>
      <c r="B15082" t="s">
        <v>5168</v>
      </c>
      <c r="C15082" t="s">
        <v>33</v>
      </c>
      <c r="D15082" t="s">
        <v>17</v>
      </c>
      <c r="E15082" t="s">
        <v>20</v>
      </c>
      <c r="F15082">
        <v>140704164</v>
      </c>
      <c r="G15082">
        <v>140704164</v>
      </c>
      <c r="H15082">
        <v>140704164</v>
      </c>
      <c r="I15082">
        <v>140704164</v>
      </c>
    </row>
    <row r="15083" spans="1:9" x14ac:dyDescent="0.2">
      <c r="A15083" t="str">
        <f>"Olfr543"</f>
        <v>Olfr543</v>
      </c>
      <c r="B15083" t="s">
        <v>5169</v>
      </c>
      <c r="C15083" t="s">
        <v>33</v>
      </c>
      <c r="D15083" t="s">
        <v>11</v>
      </c>
      <c r="E15083" t="s">
        <v>20</v>
      </c>
      <c r="F15083">
        <v>102477901</v>
      </c>
      <c r="G15083">
        <v>102477901</v>
      </c>
      <c r="H15083">
        <v>102477901</v>
      </c>
      <c r="I15083">
        <v>102477901</v>
      </c>
    </row>
    <row r="15084" spans="1:9" x14ac:dyDescent="0.2">
      <c r="A15084" t="str">
        <f>"Olfr544"</f>
        <v>Olfr544</v>
      </c>
      <c r="B15084" t="s">
        <v>5170</v>
      </c>
      <c r="C15084" t="s">
        <v>33</v>
      </c>
      <c r="D15084" t="s">
        <v>11</v>
      </c>
      <c r="E15084" t="s">
        <v>20</v>
      </c>
      <c r="F15084">
        <v>102488306</v>
      </c>
      <c r="G15084">
        <v>102488306</v>
      </c>
      <c r="H15084">
        <v>102488306</v>
      </c>
      <c r="I15084">
        <v>102488306</v>
      </c>
    </row>
    <row r="15085" spans="1:9" x14ac:dyDescent="0.2">
      <c r="A15085" t="str">
        <f>"Olfr545"</f>
        <v>Olfr545</v>
      </c>
      <c r="B15085" t="s">
        <v>5171</v>
      </c>
      <c r="C15085" t="s">
        <v>33</v>
      </c>
      <c r="D15085" t="s">
        <v>11</v>
      </c>
      <c r="E15085" t="s">
        <v>20</v>
      </c>
      <c r="F15085">
        <v>102494772</v>
      </c>
      <c r="G15085">
        <v>102494772</v>
      </c>
      <c r="H15085">
        <v>102494772</v>
      </c>
      <c r="I15085">
        <v>102494772</v>
      </c>
    </row>
    <row r="15086" spans="1:9" x14ac:dyDescent="0.2">
      <c r="A15086" t="str">
        <f>"Olfr547"</f>
        <v>Olfr547</v>
      </c>
      <c r="B15086" t="s">
        <v>5172</v>
      </c>
      <c r="C15086" t="s">
        <v>33</v>
      </c>
      <c r="D15086" t="s">
        <v>17</v>
      </c>
      <c r="E15086" t="s">
        <v>20</v>
      </c>
      <c r="F15086">
        <v>102534748</v>
      </c>
      <c r="G15086">
        <v>102534748</v>
      </c>
      <c r="H15086">
        <v>102534748</v>
      </c>
      <c r="I15086">
        <v>102534748</v>
      </c>
    </row>
    <row r="15087" spans="1:9" x14ac:dyDescent="0.2">
      <c r="A15087" t="str">
        <f>"Olfr548-ps1"</f>
        <v>Olfr548-ps1</v>
      </c>
      <c r="B15087" t="s">
        <v>5173</v>
      </c>
      <c r="C15087" t="s">
        <v>33</v>
      </c>
      <c r="D15087" t="s">
        <v>17</v>
      </c>
      <c r="E15087" t="s">
        <v>20</v>
      </c>
      <c r="F15087">
        <v>102541937</v>
      </c>
      <c r="G15087">
        <v>102541937</v>
      </c>
      <c r="H15087">
        <v>102541937</v>
      </c>
      <c r="I15087">
        <v>102541937</v>
      </c>
    </row>
    <row r="15088" spans="1:9" x14ac:dyDescent="0.2">
      <c r="A15088" t="str">
        <f>"Olfr549"</f>
        <v>Olfr549</v>
      </c>
      <c r="B15088" t="s">
        <v>5174</v>
      </c>
      <c r="C15088" t="s">
        <v>33</v>
      </c>
      <c r="D15088" t="s">
        <v>17</v>
      </c>
      <c r="E15088" t="s">
        <v>20</v>
      </c>
      <c r="F15088">
        <v>102554285</v>
      </c>
      <c r="G15088">
        <v>102554285</v>
      </c>
      <c r="H15088">
        <v>102554285</v>
      </c>
      <c r="I15088">
        <v>102554285</v>
      </c>
    </row>
    <row r="15089" spans="1:9" x14ac:dyDescent="0.2">
      <c r="A15089" t="str">
        <f>"Olfr55"</f>
        <v>Olfr55</v>
      </c>
      <c r="B15089" t="s">
        <v>5175</v>
      </c>
      <c r="C15089" t="s">
        <v>28</v>
      </c>
      <c r="D15089" t="s">
        <v>17</v>
      </c>
      <c r="E15089" t="s">
        <v>20</v>
      </c>
      <c r="F15089">
        <v>33176415</v>
      </c>
      <c r="G15089">
        <v>33176415</v>
      </c>
      <c r="H15089">
        <v>33176415</v>
      </c>
      <c r="I15089">
        <v>33176415</v>
      </c>
    </row>
    <row r="15090" spans="1:9" x14ac:dyDescent="0.2">
      <c r="A15090" t="str">
        <f>"Olfr550"</f>
        <v>Olfr550</v>
      </c>
      <c r="B15090" t="s">
        <v>5176</v>
      </c>
      <c r="C15090" t="s">
        <v>33</v>
      </c>
      <c r="D15090" t="s">
        <v>17</v>
      </c>
      <c r="E15090" t="s">
        <v>20</v>
      </c>
      <c r="F15090">
        <v>102578468</v>
      </c>
      <c r="G15090">
        <v>102578468</v>
      </c>
      <c r="H15090">
        <v>102578468</v>
      </c>
      <c r="I15090">
        <v>102578468</v>
      </c>
    </row>
    <row r="15091" spans="1:9" x14ac:dyDescent="0.2">
      <c r="A15091" t="str">
        <f>"Olfr551"</f>
        <v>Olfr551</v>
      </c>
      <c r="B15091" t="s">
        <v>5177</v>
      </c>
      <c r="C15091" t="s">
        <v>33</v>
      </c>
      <c r="D15091" t="s">
        <v>11</v>
      </c>
      <c r="E15091" t="s">
        <v>20</v>
      </c>
      <c r="F15091">
        <v>102588818</v>
      </c>
      <c r="G15091">
        <v>102588818</v>
      </c>
      <c r="H15091">
        <v>102588818</v>
      </c>
      <c r="I15091">
        <v>102588818</v>
      </c>
    </row>
    <row r="15092" spans="1:9" x14ac:dyDescent="0.2">
      <c r="A15092" t="str">
        <f>"Olfr552"</f>
        <v>Olfr552</v>
      </c>
      <c r="B15092" t="s">
        <v>5178</v>
      </c>
      <c r="C15092" t="s">
        <v>33</v>
      </c>
      <c r="D15092" t="s">
        <v>17</v>
      </c>
      <c r="E15092" t="s">
        <v>20</v>
      </c>
      <c r="F15092">
        <v>102604355</v>
      </c>
      <c r="G15092">
        <v>102604355</v>
      </c>
      <c r="H15092">
        <v>102604355</v>
      </c>
      <c r="I15092">
        <v>102604355</v>
      </c>
    </row>
    <row r="15093" spans="1:9" x14ac:dyDescent="0.2">
      <c r="A15093" t="str">
        <f>"Olfr553"</f>
        <v>Olfr553</v>
      </c>
      <c r="B15093" t="s">
        <v>5179</v>
      </c>
      <c r="C15093" t="s">
        <v>33</v>
      </c>
      <c r="D15093" t="s">
        <v>11</v>
      </c>
      <c r="E15093" t="s">
        <v>20</v>
      </c>
      <c r="F15093">
        <v>102614986</v>
      </c>
      <c r="G15093">
        <v>102614986</v>
      </c>
      <c r="H15093">
        <v>102614986</v>
      </c>
      <c r="I15093">
        <v>102614986</v>
      </c>
    </row>
    <row r="15094" spans="1:9" x14ac:dyDescent="0.2">
      <c r="A15094" t="str">
        <f>"Olfr554"</f>
        <v>Olfr554</v>
      </c>
      <c r="B15094" t="s">
        <v>5180</v>
      </c>
      <c r="C15094" t="s">
        <v>33</v>
      </c>
      <c r="D15094" t="s">
        <v>17</v>
      </c>
      <c r="E15094" t="s">
        <v>20</v>
      </c>
      <c r="F15094">
        <v>102640247</v>
      </c>
      <c r="G15094">
        <v>102640247</v>
      </c>
      <c r="H15094">
        <v>102640247</v>
      </c>
      <c r="I15094">
        <v>102640247</v>
      </c>
    </row>
    <row r="15095" spans="1:9" x14ac:dyDescent="0.2">
      <c r="A15095" t="str">
        <f>"Olfr555"</f>
        <v>Olfr555</v>
      </c>
      <c r="B15095" t="s">
        <v>5181</v>
      </c>
      <c r="C15095" t="s">
        <v>33</v>
      </c>
      <c r="D15095" t="s">
        <v>17</v>
      </c>
      <c r="E15095" t="s">
        <v>20</v>
      </c>
      <c r="F15095">
        <v>102658822</v>
      </c>
      <c r="G15095">
        <v>102658822</v>
      </c>
      <c r="H15095">
        <v>102658822</v>
      </c>
      <c r="I15095">
        <v>102658822</v>
      </c>
    </row>
    <row r="15096" spans="1:9" x14ac:dyDescent="0.2">
      <c r="A15096" t="str">
        <f>"Olfr556"</f>
        <v>Olfr556</v>
      </c>
      <c r="B15096" t="s">
        <v>5182</v>
      </c>
      <c r="C15096" t="s">
        <v>33</v>
      </c>
      <c r="D15096" t="s">
        <v>17</v>
      </c>
      <c r="E15096" t="s">
        <v>20</v>
      </c>
      <c r="F15096">
        <v>102669900</v>
      </c>
      <c r="G15096">
        <v>102669900</v>
      </c>
      <c r="H15096">
        <v>102669900</v>
      </c>
      <c r="I15096">
        <v>102669900</v>
      </c>
    </row>
    <row r="15097" spans="1:9" x14ac:dyDescent="0.2">
      <c r="A15097" t="str">
        <f>"Olfr557"</f>
        <v>Olfr557</v>
      </c>
      <c r="B15097" t="s">
        <v>5183</v>
      </c>
      <c r="C15097" t="s">
        <v>33</v>
      </c>
      <c r="D15097" t="s">
        <v>17</v>
      </c>
      <c r="E15097" t="s">
        <v>20</v>
      </c>
      <c r="F15097">
        <v>102698215</v>
      </c>
      <c r="G15097">
        <v>102698215</v>
      </c>
      <c r="H15097">
        <v>102698215</v>
      </c>
      <c r="I15097">
        <v>102698215</v>
      </c>
    </row>
    <row r="15098" spans="1:9" x14ac:dyDescent="0.2">
      <c r="A15098" t="str">
        <f>"Olfr558"</f>
        <v>Olfr558</v>
      </c>
      <c r="B15098" t="s">
        <v>14</v>
      </c>
      <c r="C15098" t="s">
        <v>33</v>
      </c>
      <c r="D15098" t="s">
        <v>17</v>
      </c>
      <c r="E15098" t="s">
        <v>12</v>
      </c>
      <c r="F15098">
        <v>102702368</v>
      </c>
      <c r="G15098">
        <v>102702390</v>
      </c>
      <c r="H15098">
        <v>102702368</v>
      </c>
      <c r="I15098">
        <v>102702390</v>
      </c>
    </row>
    <row r="15099" spans="1:9" x14ac:dyDescent="0.2">
      <c r="A15099" t="str">
        <f>"Olfr559"</f>
        <v>Olfr559</v>
      </c>
      <c r="B15099" t="s">
        <v>5184</v>
      </c>
      <c r="C15099" t="s">
        <v>33</v>
      </c>
      <c r="D15099" t="s">
        <v>11</v>
      </c>
      <c r="E15099" t="s">
        <v>20</v>
      </c>
      <c r="F15099">
        <v>102724509</v>
      </c>
      <c r="G15099">
        <v>102724509</v>
      </c>
      <c r="H15099">
        <v>102724509</v>
      </c>
      <c r="I15099">
        <v>102724509</v>
      </c>
    </row>
    <row r="15100" spans="1:9" x14ac:dyDescent="0.2">
      <c r="A15100" t="str">
        <f>"Olfr56"</f>
        <v>Olfr56</v>
      </c>
      <c r="B15100" t="s">
        <v>5185</v>
      </c>
      <c r="C15100" t="s">
        <v>27</v>
      </c>
      <c r="D15100" t="s">
        <v>17</v>
      </c>
      <c r="E15100" t="s">
        <v>20</v>
      </c>
      <c r="F15100">
        <v>49050732</v>
      </c>
      <c r="G15100">
        <v>49050732</v>
      </c>
      <c r="H15100">
        <v>49050732</v>
      </c>
      <c r="I15100">
        <v>49050732</v>
      </c>
    </row>
    <row r="15101" spans="1:9" x14ac:dyDescent="0.2">
      <c r="A15101" t="str">
        <f>"Olfr56"</f>
        <v>Olfr56</v>
      </c>
      <c r="B15101" t="s">
        <v>5186</v>
      </c>
      <c r="C15101" t="s">
        <v>27</v>
      </c>
      <c r="D15101" t="s">
        <v>17</v>
      </c>
      <c r="E15101" t="s">
        <v>20</v>
      </c>
      <c r="F15101">
        <v>48978888</v>
      </c>
      <c r="G15101">
        <v>48978888</v>
      </c>
      <c r="H15101">
        <v>48978888</v>
      </c>
      <c r="I15101">
        <v>48978888</v>
      </c>
    </row>
    <row r="15102" spans="1:9" x14ac:dyDescent="0.2">
      <c r="A15102" t="str">
        <f>"Olfr561"</f>
        <v>Olfr561</v>
      </c>
      <c r="B15102" t="s">
        <v>5187</v>
      </c>
      <c r="C15102" t="s">
        <v>33</v>
      </c>
      <c r="D15102" t="s">
        <v>17</v>
      </c>
      <c r="E15102" t="s">
        <v>20</v>
      </c>
      <c r="F15102">
        <v>102774494</v>
      </c>
      <c r="G15102">
        <v>102774494</v>
      </c>
      <c r="H15102">
        <v>102774494</v>
      </c>
      <c r="I15102">
        <v>102774494</v>
      </c>
    </row>
    <row r="15103" spans="1:9" x14ac:dyDescent="0.2">
      <c r="A15103" t="str">
        <f>"Olfr564"</f>
        <v>Olfr564</v>
      </c>
      <c r="B15103" t="s">
        <v>5188</v>
      </c>
      <c r="C15103" t="s">
        <v>33</v>
      </c>
      <c r="D15103" t="s">
        <v>17</v>
      </c>
      <c r="E15103" t="s">
        <v>20</v>
      </c>
      <c r="F15103">
        <v>102803479</v>
      </c>
      <c r="G15103">
        <v>102803479</v>
      </c>
      <c r="H15103">
        <v>102803479</v>
      </c>
      <c r="I15103">
        <v>102803479</v>
      </c>
    </row>
    <row r="15104" spans="1:9" x14ac:dyDescent="0.2">
      <c r="A15104" t="str">
        <f>"Olfr566"</f>
        <v>Olfr566</v>
      </c>
      <c r="B15104" t="s">
        <v>5189</v>
      </c>
      <c r="C15104" t="s">
        <v>33</v>
      </c>
      <c r="D15104" t="s">
        <v>11</v>
      </c>
      <c r="E15104" t="s">
        <v>20</v>
      </c>
      <c r="F15104">
        <v>102857270</v>
      </c>
      <c r="G15104">
        <v>102857270</v>
      </c>
      <c r="H15104">
        <v>102857270</v>
      </c>
      <c r="I15104">
        <v>102857270</v>
      </c>
    </row>
    <row r="15105" spans="1:9" x14ac:dyDescent="0.2">
      <c r="A15105" t="str">
        <f>"Olfr568"</f>
        <v>Olfr568</v>
      </c>
      <c r="B15105" t="s">
        <v>14</v>
      </c>
      <c r="C15105" t="s">
        <v>33</v>
      </c>
      <c r="D15105" t="s">
        <v>17</v>
      </c>
      <c r="E15105" t="s">
        <v>12</v>
      </c>
      <c r="F15105">
        <v>102876868</v>
      </c>
      <c r="G15105">
        <v>102876870</v>
      </c>
      <c r="H15105">
        <v>102876868</v>
      </c>
      <c r="I15105">
        <v>102876870</v>
      </c>
    </row>
    <row r="15106" spans="1:9" x14ac:dyDescent="0.2">
      <c r="A15106" t="str">
        <f>"Olfr569"</f>
        <v>Olfr569</v>
      </c>
      <c r="B15106" t="s">
        <v>5190</v>
      </c>
      <c r="C15106" t="s">
        <v>33</v>
      </c>
      <c r="D15106" t="s">
        <v>11</v>
      </c>
      <c r="E15106" t="s">
        <v>20</v>
      </c>
      <c r="F15106">
        <v>102888150</v>
      </c>
      <c r="G15106">
        <v>102888150</v>
      </c>
      <c r="H15106">
        <v>102888150</v>
      </c>
      <c r="I15106">
        <v>102888150</v>
      </c>
    </row>
    <row r="15107" spans="1:9" x14ac:dyDescent="0.2">
      <c r="A15107" t="str">
        <f>"Olfr57"</f>
        <v>Olfr57</v>
      </c>
      <c r="B15107" t="s">
        <v>5191</v>
      </c>
      <c r="C15107" t="s">
        <v>15</v>
      </c>
      <c r="D15107" t="s">
        <v>17</v>
      </c>
      <c r="E15107" t="s">
        <v>20</v>
      </c>
      <c r="F15107">
        <v>79034722</v>
      </c>
      <c r="G15107">
        <v>79034722</v>
      </c>
      <c r="H15107">
        <v>79034722</v>
      </c>
      <c r="I15107">
        <v>79034722</v>
      </c>
    </row>
    <row r="15108" spans="1:9" x14ac:dyDescent="0.2">
      <c r="A15108" t="str">
        <f>"Olfr570"</f>
        <v>Olfr570</v>
      </c>
      <c r="B15108" t="s">
        <v>5192</v>
      </c>
      <c r="C15108" t="s">
        <v>33</v>
      </c>
      <c r="D15108" t="s">
        <v>17</v>
      </c>
      <c r="E15108" t="s">
        <v>20</v>
      </c>
      <c r="F15108">
        <v>102900341</v>
      </c>
      <c r="G15108">
        <v>102900341</v>
      </c>
      <c r="H15108">
        <v>102900341</v>
      </c>
      <c r="I15108">
        <v>102900341</v>
      </c>
    </row>
    <row r="15109" spans="1:9" x14ac:dyDescent="0.2">
      <c r="A15109" t="str">
        <f>"Olfr571"</f>
        <v>Olfr571</v>
      </c>
      <c r="B15109" t="s">
        <v>5193</v>
      </c>
      <c r="C15109" t="s">
        <v>33</v>
      </c>
      <c r="D15109" t="s">
        <v>11</v>
      </c>
      <c r="E15109" t="s">
        <v>20</v>
      </c>
      <c r="F15109">
        <v>102909836</v>
      </c>
      <c r="G15109">
        <v>102909836</v>
      </c>
      <c r="H15109">
        <v>102909836</v>
      </c>
      <c r="I15109">
        <v>102909836</v>
      </c>
    </row>
    <row r="15110" spans="1:9" x14ac:dyDescent="0.2">
      <c r="A15110" t="str">
        <f>"Olfr572"</f>
        <v>Olfr572</v>
      </c>
      <c r="B15110" t="s">
        <v>5194</v>
      </c>
      <c r="C15110" t="s">
        <v>33</v>
      </c>
      <c r="D15110" t="s">
        <v>17</v>
      </c>
      <c r="E15110" t="s">
        <v>20</v>
      </c>
      <c r="F15110">
        <v>102927629</v>
      </c>
      <c r="G15110">
        <v>102927629</v>
      </c>
      <c r="H15110">
        <v>102927629</v>
      </c>
      <c r="I15110">
        <v>102927629</v>
      </c>
    </row>
    <row r="15111" spans="1:9" x14ac:dyDescent="0.2">
      <c r="A15111" t="str">
        <f>"Olfr573-ps1"</f>
        <v>Olfr573-ps1</v>
      </c>
      <c r="B15111" t="s">
        <v>5195</v>
      </c>
      <c r="C15111" t="s">
        <v>33</v>
      </c>
      <c r="D15111" t="s">
        <v>11</v>
      </c>
      <c r="E15111" t="s">
        <v>20</v>
      </c>
      <c r="F15111">
        <v>102942574</v>
      </c>
      <c r="G15111">
        <v>102942574</v>
      </c>
      <c r="H15111">
        <v>102942574</v>
      </c>
      <c r="I15111">
        <v>102942574</v>
      </c>
    </row>
    <row r="15112" spans="1:9" x14ac:dyDescent="0.2">
      <c r="A15112" t="str">
        <f>"Olfr574"</f>
        <v>Olfr574</v>
      </c>
      <c r="B15112" t="s">
        <v>5196</v>
      </c>
      <c r="C15112" t="s">
        <v>33</v>
      </c>
      <c r="D15112" t="s">
        <v>17</v>
      </c>
      <c r="E15112" t="s">
        <v>20</v>
      </c>
      <c r="F15112">
        <v>102948466</v>
      </c>
      <c r="G15112">
        <v>102948466</v>
      </c>
      <c r="H15112">
        <v>102948466</v>
      </c>
      <c r="I15112">
        <v>102948466</v>
      </c>
    </row>
    <row r="15113" spans="1:9" x14ac:dyDescent="0.2">
      <c r="A15113" t="str">
        <f>"Olfr575"</f>
        <v>Olfr575</v>
      </c>
      <c r="B15113" t="s">
        <v>5197</v>
      </c>
      <c r="C15113" t="s">
        <v>33</v>
      </c>
      <c r="D15113" t="s">
        <v>11</v>
      </c>
      <c r="E15113" t="s">
        <v>20</v>
      </c>
      <c r="F15113">
        <v>102955619</v>
      </c>
      <c r="G15113">
        <v>102955619</v>
      </c>
      <c r="H15113">
        <v>102955619</v>
      </c>
      <c r="I15113">
        <v>102955619</v>
      </c>
    </row>
    <row r="15114" spans="1:9" x14ac:dyDescent="0.2">
      <c r="A15114" t="str">
        <f>"Olfr576"</f>
        <v>Olfr576</v>
      </c>
      <c r="B15114" t="s">
        <v>5198</v>
      </c>
      <c r="C15114" t="s">
        <v>33</v>
      </c>
      <c r="D15114" t="s">
        <v>17</v>
      </c>
      <c r="E15114" t="s">
        <v>20</v>
      </c>
      <c r="F15114">
        <v>102965101</v>
      </c>
      <c r="G15114">
        <v>102965101</v>
      </c>
      <c r="H15114">
        <v>102965101</v>
      </c>
      <c r="I15114">
        <v>102965101</v>
      </c>
    </row>
    <row r="15115" spans="1:9" x14ac:dyDescent="0.2">
      <c r="A15115" t="str">
        <f>"Olfr577"</f>
        <v>Olfr577</v>
      </c>
      <c r="B15115" t="s">
        <v>5199</v>
      </c>
      <c r="C15115" t="s">
        <v>33</v>
      </c>
      <c r="D15115" t="s">
        <v>11</v>
      </c>
      <c r="E15115" t="s">
        <v>20</v>
      </c>
      <c r="F15115">
        <v>102973989</v>
      </c>
      <c r="G15115">
        <v>102973989</v>
      </c>
      <c r="H15115">
        <v>102973989</v>
      </c>
      <c r="I15115">
        <v>102973989</v>
      </c>
    </row>
    <row r="15116" spans="1:9" x14ac:dyDescent="0.2">
      <c r="A15116" t="str">
        <f>"Olfr578"</f>
        <v>Olfr578</v>
      </c>
      <c r="B15116" t="s">
        <v>5200</v>
      </c>
      <c r="C15116" t="s">
        <v>33</v>
      </c>
      <c r="D15116" t="s">
        <v>11</v>
      </c>
      <c r="E15116" t="s">
        <v>20</v>
      </c>
      <c r="F15116">
        <v>102985161</v>
      </c>
      <c r="G15116">
        <v>102985161</v>
      </c>
      <c r="H15116">
        <v>102985161</v>
      </c>
      <c r="I15116">
        <v>102985161</v>
      </c>
    </row>
    <row r="15117" spans="1:9" x14ac:dyDescent="0.2">
      <c r="A15117" t="str">
        <f>"Olfr58"</f>
        <v>Olfr58</v>
      </c>
      <c r="B15117" t="s">
        <v>5201</v>
      </c>
      <c r="C15117" t="s">
        <v>24</v>
      </c>
      <c r="D15117" t="s">
        <v>17</v>
      </c>
      <c r="E15117" t="s">
        <v>20</v>
      </c>
      <c r="F15117">
        <v>19780282</v>
      </c>
      <c r="G15117">
        <v>19780282</v>
      </c>
      <c r="H15117">
        <v>19780282</v>
      </c>
      <c r="I15117">
        <v>19780282</v>
      </c>
    </row>
    <row r="15118" spans="1:9" x14ac:dyDescent="0.2">
      <c r="A15118" t="str">
        <f>"Olfr582"</f>
        <v>Olfr582</v>
      </c>
      <c r="B15118" t="s">
        <v>5202</v>
      </c>
      <c r="C15118" t="s">
        <v>33</v>
      </c>
      <c r="D15118" t="s">
        <v>17</v>
      </c>
      <c r="E15118" t="s">
        <v>20</v>
      </c>
      <c r="F15118">
        <v>103041480</v>
      </c>
      <c r="G15118">
        <v>103041480</v>
      </c>
      <c r="H15118">
        <v>103041480</v>
      </c>
      <c r="I15118">
        <v>103041480</v>
      </c>
    </row>
    <row r="15119" spans="1:9" x14ac:dyDescent="0.2">
      <c r="A15119" t="str">
        <f>"Olfr583"</f>
        <v>Olfr583</v>
      </c>
      <c r="B15119" t="s">
        <v>5203</v>
      </c>
      <c r="C15119" t="s">
        <v>33</v>
      </c>
      <c r="D15119" t="s">
        <v>17</v>
      </c>
      <c r="E15119" t="s">
        <v>20</v>
      </c>
      <c r="F15119">
        <v>103051299</v>
      </c>
      <c r="G15119">
        <v>103051299</v>
      </c>
      <c r="H15119">
        <v>103051299</v>
      </c>
      <c r="I15119">
        <v>103051299</v>
      </c>
    </row>
    <row r="15120" spans="1:9" x14ac:dyDescent="0.2">
      <c r="A15120" t="str">
        <f>"Olfr584"</f>
        <v>Olfr584</v>
      </c>
      <c r="B15120" t="s">
        <v>5204</v>
      </c>
      <c r="C15120" t="s">
        <v>33</v>
      </c>
      <c r="D15120" t="s">
        <v>17</v>
      </c>
      <c r="E15120" t="s">
        <v>20</v>
      </c>
      <c r="F15120">
        <v>103085515</v>
      </c>
      <c r="G15120">
        <v>103085515</v>
      </c>
      <c r="H15120">
        <v>103085515</v>
      </c>
      <c r="I15120">
        <v>103085515</v>
      </c>
    </row>
    <row r="15121" spans="1:9" x14ac:dyDescent="0.2">
      <c r="A15121" t="str">
        <f>"Olfr585"</f>
        <v>Olfr585</v>
      </c>
      <c r="B15121" t="s">
        <v>5205</v>
      </c>
      <c r="C15121" t="s">
        <v>33</v>
      </c>
      <c r="D15121" t="s">
        <v>17</v>
      </c>
      <c r="E15121" t="s">
        <v>20</v>
      </c>
      <c r="F15121">
        <v>103097719</v>
      </c>
      <c r="G15121">
        <v>103097719</v>
      </c>
      <c r="H15121">
        <v>103097719</v>
      </c>
      <c r="I15121">
        <v>103097719</v>
      </c>
    </row>
    <row r="15122" spans="1:9" x14ac:dyDescent="0.2">
      <c r="A15122" t="str">
        <f>"Olfr586"</f>
        <v>Olfr586</v>
      </c>
      <c r="B15122" t="s">
        <v>5206</v>
      </c>
      <c r="C15122" t="s">
        <v>33</v>
      </c>
      <c r="D15122" t="s">
        <v>11</v>
      </c>
      <c r="E15122" t="s">
        <v>20</v>
      </c>
      <c r="F15122">
        <v>103122781</v>
      </c>
      <c r="G15122">
        <v>103122781</v>
      </c>
      <c r="H15122">
        <v>103122781</v>
      </c>
      <c r="I15122">
        <v>103122781</v>
      </c>
    </row>
    <row r="15123" spans="1:9" x14ac:dyDescent="0.2">
      <c r="A15123" t="str">
        <f>"Olfr589"</f>
        <v>Olfr589</v>
      </c>
      <c r="B15123" t="s">
        <v>5207</v>
      </c>
      <c r="C15123" t="s">
        <v>33</v>
      </c>
      <c r="D15123" t="s">
        <v>11</v>
      </c>
      <c r="E15123" t="s">
        <v>20</v>
      </c>
      <c r="F15123">
        <v>103155744</v>
      </c>
      <c r="G15123">
        <v>103155744</v>
      </c>
      <c r="H15123">
        <v>103155744</v>
      </c>
      <c r="I15123">
        <v>103155744</v>
      </c>
    </row>
    <row r="15124" spans="1:9" x14ac:dyDescent="0.2">
      <c r="A15124" t="str">
        <f>"Olfr59"</f>
        <v>Olfr59</v>
      </c>
      <c r="B15124" t="s">
        <v>5208</v>
      </c>
      <c r="C15124" t="s">
        <v>27</v>
      </c>
      <c r="D15124" t="s">
        <v>17</v>
      </c>
      <c r="E15124" t="s">
        <v>20</v>
      </c>
      <c r="F15124">
        <v>74283793</v>
      </c>
      <c r="G15124">
        <v>74283793</v>
      </c>
      <c r="H15124">
        <v>74283793</v>
      </c>
      <c r="I15124">
        <v>74283793</v>
      </c>
    </row>
    <row r="15125" spans="1:9" x14ac:dyDescent="0.2">
      <c r="A15125" t="str">
        <f>"Olfr591"</f>
        <v>Olfr591</v>
      </c>
      <c r="B15125" t="s">
        <v>5209</v>
      </c>
      <c r="C15125" t="s">
        <v>33</v>
      </c>
      <c r="D15125" t="s">
        <v>11</v>
      </c>
      <c r="E15125" t="s">
        <v>20</v>
      </c>
      <c r="F15125">
        <v>103173634</v>
      </c>
      <c r="G15125">
        <v>103173634</v>
      </c>
      <c r="H15125">
        <v>103173634</v>
      </c>
      <c r="I15125">
        <v>103173634</v>
      </c>
    </row>
    <row r="15126" spans="1:9" x14ac:dyDescent="0.2">
      <c r="A15126" t="str">
        <f>"Olfr592"</f>
        <v>Olfr592</v>
      </c>
      <c r="B15126" t="s">
        <v>5210</v>
      </c>
      <c r="C15126" t="s">
        <v>33</v>
      </c>
      <c r="D15126" t="s">
        <v>17</v>
      </c>
      <c r="E15126" t="s">
        <v>20</v>
      </c>
      <c r="F15126">
        <v>103186602</v>
      </c>
      <c r="G15126">
        <v>103186602</v>
      </c>
      <c r="H15126">
        <v>103186602</v>
      </c>
      <c r="I15126">
        <v>103186602</v>
      </c>
    </row>
    <row r="15127" spans="1:9" x14ac:dyDescent="0.2">
      <c r="A15127" t="str">
        <f>"Olfr592"</f>
        <v>Olfr592</v>
      </c>
      <c r="B15127" t="s">
        <v>5211</v>
      </c>
      <c r="C15127" t="s">
        <v>33</v>
      </c>
      <c r="D15127" t="s">
        <v>17</v>
      </c>
      <c r="E15127" t="s">
        <v>20</v>
      </c>
      <c r="F15127">
        <v>103184802</v>
      </c>
      <c r="G15127">
        <v>103184802</v>
      </c>
      <c r="H15127">
        <v>103184802</v>
      </c>
      <c r="I15127">
        <v>103184802</v>
      </c>
    </row>
    <row r="15128" spans="1:9" x14ac:dyDescent="0.2">
      <c r="A15128" t="str">
        <f>"Olfr593"</f>
        <v>Olfr593</v>
      </c>
      <c r="B15128" t="s">
        <v>5212</v>
      </c>
      <c r="C15128" t="s">
        <v>33</v>
      </c>
      <c r="D15128" t="s">
        <v>17</v>
      </c>
      <c r="E15128" t="s">
        <v>20</v>
      </c>
      <c r="F15128">
        <v>103211861</v>
      </c>
      <c r="G15128">
        <v>103211861</v>
      </c>
      <c r="H15128">
        <v>103211861</v>
      </c>
      <c r="I15128">
        <v>103211861</v>
      </c>
    </row>
    <row r="15129" spans="1:9" x14ac:dyDescent="0.2">
      <c r="A15129" t="str">
        <f>"Olfr594"</f>
        <v>Olfr594</v>
      </c>
      <c r="B15129" t="s">
        <v>5213</v>
      </c>
      <c r="C15129" t="s">
        <v>33</v>
      </c>
      <c r="D15129" t="s">
        <v>17</v>
      </c>
      <c r="E15129" t="s">
        <v>20</v>
      </c>
      <c r="F15129">
        <v>103219642</v>
      </c>
      <c r="G15129">
        <v>103219642</v>
      </c>
      <c r="H15129">
        <v>103219642</v>
      </c>
      <c r="I15129">
        <v>103219642</v>
      </c>
    </row>
    <row r="15130" spans="1:9" x14ac:dyDescent="0.2">
      <c r="A15130" t="str">
        <f>"Olfr596"</f>
        <v>Olfr596</v>
      </c>
      <c r="B15130" t="s">
        <v>5214</v>
      </c>
      <c r="C15130" t="s">
        <v>33</v>
      </c>
      <c r="D15130" t="s">
        <v>17</v>
      </c>
      <c r="E15130" t="s">
        <v>20</v>
      </c>
      <c r="F15130">
        <v>103309722</v>
      </c>
      <c r="G15130">
        <v>103309722</v>
      </c>
      <c r="H15130">
        <v>103309722</v>
      </c>
      <c r="I15130">
        <v>103309722</v>
      </c>
    </row>
    <row r="15131" spans="1:9" x14ac:dyDescent="0.2">
      <c r="A15131" t="str">
        <f>"Olfr597"</f>
        <v>Olfr597</v>
      </c>
      <c r="B15131" t="s">
        <v>5215</v>
      </c>
      <c r="C15131" t="s">
        <v>33</v>
      </c>
      <c r="D15131" t="s">
        <v>17</v>
      </c>
      <c r="E15131" t="s">
        <v>20</v>
      </c>
      <c r="F15131">
        <v>103320412</v>
      </c>
      <c r="G15131">
        <v>103320412</v>
      </c>
      <c r="H15131">
        <v>103320412</v>
      </c>
      <c r="I15131">
        <v>103320412</v>
      </c>
    </row>
    <row r="15132" spans="1:9" x14ac:dyDescent="0.2">
      <c r="A15132" t="str">
        <f>"Olfr598"</f>
        <v>Olfr598</v>
      </c>
      <c r="B15132" t="s">
        <v>5216</v>
      </c>
      <c r="C15132" t="s">
        <v>33</v>
      </c>
      <c r="D15132" t="s">
        <v>17</v>
      </c>
      <c r="E15132" t="s">
        <v>20</v>
      </c>
      <c r="F15132">
        <v>103328487</v>
      </c>
      <c r="G15132">
        <v>103328487</v>
      </c>
      <c r="H15132">
        <v>103328487</v>
      </c>
      <c r="I15132">
        <v>103328487</v>
      </c>
    </row>
    <row r="15133" spans="1:9" x14ac:dyDescent="0.2">
      <c r="A15133" t="str">
        <f>"Olfr599"</f>
        <v>Olfr599</v>
      </c>
      <c r="B15133" t="s">
        <v>5217</v>
      </c>
      <c r="C15133" t="s">
        <v>33</v>
      </c>
      <c r="D15133" t="s">
        <v>17</v>
      </c>
      <c r="E15133" t="s">
        <v>20</v>
      </c>
      <c r="F15133">
        <v>103338011</v>
      </c>
      <c r="G15133">
        <v>103338011</v>
      </c>
      <c r="H15133">
        <v>103338011</v>
      </c>
      <c r="I15133">
        <v>103338011</v>
      </c>
    </row>
    <row r="15134" spans="1:9" x14ac:dyDescent="0.2">
      <c r="A15134" t="str">
        <f>"Olfr6"</f>
        <v>Olfr6</v>
      </c>
      <c r="B15134" t="s">
        <v>5218</v>
      </c>
      <c r="C15134" t="s">
        <v>33</v>
      </c>
      <c r="D15134" t="s">
        <v>11</v>
      </c>
      <c r="E15134" t="s">
        <v>20</v>
      </c>
      <c r="F15134">
        <v>106956933</v>
      </c>
      <c r="G15134">
        <v>106956933</v>
      </c>
      <c r="H15134">
        <v>106956933</v>
      </c>
      <c r="I15134">
        <v>106956933</v>
      </c>
    </row>
    <row r="15135" spans="1:9" x14ac:dyDescent="0.2">
      <c r="A15135" t="str">
        <f>"Olfr60"</f>
        <v>Olfr60</v>
      </c>
      <c r="B15135" t="s">
        <v>5219</v>
      </c>
      <c r="C15135" t="s">
        <v>33</v>
      </c>
      <c r="D15135" t="s">
        <v>11</v>
      </c>
      <c r="E15135" t="s">
        <v>20</v>
      </c>
      <c r="F15135">
        <v>140345986</v>
      </c>
      <c r="G15135">
        <v>140345986</v>
      </c>
      <c r="H15135">
        <v>140345986</v>
      </c>
      <c r="I15135">
        <v>140345986</v>
      </c>
    </row>
    <row r="15136" spans="1:9" x14ac:dyDescent="0.2">
      <c r="A15136" t="str">
        <f>"Olfr600"</f>
        <v>Olfr600</v>
      </c>
      <c r="B15136" t="s">
        <v>5220</v>
      </c>
      <c r="C15136" t="s">
        <v>33</v>
      </c>
      <c r="D15136" t="s">
        <v>11</v>
      </c>
      <c r="E15136" t="s">
        <v>20</v>
      </c>
      <c r="F15136">
        <v>103346928</v>
      </c>
      <c r="G15136">
        <v>103346928</v>
      </c>
      <c r="H15136">
        <v>103346928</v>
      </c>
      <c r="I15136">
        <v>103346928</v>
      </c>
    </row>
    <row r="15137" spans="1:9" x14ac:dyDescent="0.2">
      <c r="A15137" t="str">
        <f>"Olfr601"</f>
        <v>Olfr601</v>
      </c>
      <c r="B15137" t="s">
        <v>5221</v>
      </c>
      <c r="C15137" t="s">
        <v>33</v>
      </c>
      <c r="D15137" t="s">
        <v>11</v>
      </c>
      <c r="E15137" t="s">
        <v>20</v>
      </c>
      <c r="F15137">
        <v>103359212</v>
      </c>
      <c r="G15137">
        <v>103359212</v>
      </c>
      <c r="H15137">
        <v>103359212</v>
      </c>
      <c r="I15137">
        <v>103359212</v>
      </c>
    </row>
    <row r="15138" spans="1:9" x14ac:dyDescent="0.2">
      <c r="A15138" t="str">
        <f>"Olfr603"</f>
        <v>Olfr603</v>
      </c>
      <c r="B15138" t="s">
        <v>5222</v>
      </c>
      <c r="C15138" t="s">
        <v>33</v>
      </c>
      <c r="D15138" t="s">
        <v>11</v>
      </c>
      <c r="E15138" t="s">
        <v>20</v>
      </c>
      <c r="F15138">
        <v>103383999</v>
      </c>
      <c r="G15138">
        <v>103383999</v>
      </c>
      <c r="H15138">
        <v>103383999</v>
      </c>
      <c r="I15138">
        <v>103383999</v>
      </c>
    </row>
    <row r="15139" spans="1:9" x14ac:dyDescent="0.2">
      <c r="A15139" t="str">
        <f>"Olfr605"</f>
        <v>Olfr605</v>
      </c>
      <c r="B15139" t="s">
        <v>5223</v>
      </c>
      <c r="C15139" t="s">
        <v>33</v>
      </c>
      <c r="D15139" t="s">
        <v>11</v>
      </c>
      <c r="E15139" t="s">
        <v>20</v>
      </c>
      <c r="F15139">
        <v>103443149</v>
      </c>
      <c r="G15139">
        <v>103443149</v>
      </c>
      <c r="H15139">
        <v>103443149</v>
      </c>
      <c r="I15139">
        <v>103443149</v>
      </c>
    </row>
    <row r="15140" spans="1:9" x14ac:dyDescent="0.2">
      <c r="A15140" t="str">
        <f>"Olfr606"</f>
        <v>Olfr606</v>
      </c>
      <c r="B15140" t="s">
        <v>5224</v>
      </c>
      <c r="C15140" t="s">
        <v>33</v>
      </c>
      <c r="D15140" t="s">
        <v>17</v>
      </c>
      <c r="E15140" t="s">
        <v>20</v>
      </c>
      <c r="F15140">
        <v>103451338</v>
      </c>
      <c r="G15140">
        <v>103451338</v>
      </c>
      <c r="H15140">
        <v>103451338</v>
      </c>
      <c r="I15140">
        <v>103451338</v>
      </c>
    </row>
    <row r="15141" spans="1:9" x14ac:dyDescent="0.2">
      <c r="A15141" t="str">
        <f>"Olfr607"</f>
        <v>Olfr607</v>
      </c>
      <c r="B15141" t="s">
        <v>5225</v>
      </c>
      <c r="C15141" t="s">
        <v>33</v>
      </c>
      <c r="D15141" t="s">
        <v>11</v>
      </c>
      <c r="E15141" t="s">
        <v>20</v>
      </c>
      <c r="F15141">
        <v>103461190</v>
      </c>
      <c r="G15141">
        <v>103461190</v>
      </c>
      <c r="H15141">
        <v>103461190</v>
      </c>
      <c r="I15141">
        <v>103461190</v>
      </c>
    </row>
    <row r="15142" spans="1:9" x14ac:dyDescent="0.2">
      <c r="A15142" t="str">
        <f>"Olfr608"</f>
        <v>Olfr608</v>
      </c>
      <c r="B15142" t="s">
        <v>5226</v>
      </c>
      <c r="C15142" t="s">
        <v>33</v>
      </c>
      <c r="D15142" t="s">
        <v>17</v>
      </c>
      <c r="E15142" t="s">
        <v>20</v>
      </c>
      <c r="F15142">
        <v>103470040</v>
      </c>
      <c r="G15142">
        <v>103470040</v>
      </c>
      <c r="H15142">
        <v>103470040</v>
      </c>
      <c r="I15142">
        <v>103470040</v>
      </c>
    </row>
    <row r="15143" spans="1:9" x14ac:dyDescent="0.2">
      <c r="A15143" t="str">
        <f>"Olfr609"</f>
        <v>Olfr609</v>
      </c>
      <c r="B15143" t="s">
        <v>5227</v>
      </c>
      <c r="C15143" t="s">
        <v>33</v>
      </c>
      <c r="D15143" t="s">
        <v>11</v>
      </c>
      <c r="E15143" t="s">
        <v>20</v>
      </c>
      <c r="F15143">
        <v>103492878</v>
      </c>
      <c r="G15143">
        <v>103492878</v>
      </c>
      <c r="H15143">
        <v>103492878</v>
      </c>
      <c r="I15143">
        <v>103492878</v>
      </c>
    </row>
    <row r="15144" spans="1:9" x14ac:dyDescent="0.2">
      <c r="A15144" t="str">
        <f>"Olfr61"</f>
        <v>Olfr61</v>
      </c>
      <c r="B15144" t="s">
        <v>5228</v>
      </c>
      <c r="C15144" t="s">
        <v>33</v>
      </c>
      <c r="D15144" t="s">
        <v>17</v>
      </c>
      <c r="E15144" t="s">
        <v>20</v>
      </c>
      <c r="F15144">
        <v>140637702</v>
      </c>
      <c r="G15144">
        <v>140637702</v>
      </c>
      <c r="H15144">
        <v>140637702</v>
      </c>
      <c r="I15144">
        <v>140637702</v>
      </c>
    </row>
    <row r="15145" spans="1:9" x14ac:dyDescent="0.2">
      <c r="A15145" t="str">
        <f>"Olfr610"</f>
        <v>Olfr610</v>
      </c>
      <c r="B15145" t="s">
        <v>5229</v>
      </c>
      <c r="C15145" t="s">
        <v>33</v>
      </c>
      <c r="D15145" t="s">
        <v>11</v>
      </c>
      <c r="E15145" t="s">
        <v>20</v>
      </c>
      <c r="F15145">
        <v>103506943</v>
      </c>
      <c r="G15145">
        <v>103506943</v>
      </c>
      <c r="H15145">
        <v>103506943</v>
      </c>
      <c r="I15145">
        <v>103506943</v>
      </c>
    </row>
    <row r="15146" spans="1:9" x14ac:dyDescent="0.2">
      <c r="A15146" t="str">
        <f>"Olfr611"</f>
        <v>Olfr611</v>
      </c>
      <c r="B15146" t="s">
        <v>5230</v>
      </c>
      <c r="C15146" t="s">
        <v>33</v>
      </c>
      <c r="D15146" t="s">
        <v>11</v>
      </c>
      <c r="E15146" t="s">
        <v>20</v>
      </c>
      <c r="F15146">
        <v>103518381</v>
      </c>
      <c r="G15146">
        <v>103518381</v>
      </c>
      <c r="H15146">
        <v>103518381</v>
      </c>
      <c r="I15146">
        <v>103518381</v>
      </c>
    </row>
    <row r="15147" spans="1:9" x14ac:dyDescent="0.2">
      <c r="A15147" t="str">
        <f>"Olfr612"</f>
        <v>Olfr612</v>
      </c>
      <c r="B15147" t="s">
        <v>5231</v>
      </c>
      <c r="C15147" t="s">
        <v>33</v>
      </c>
      <c r="D15147" t="s">
        <v>11</v>
      </c>
      <c r="E15147" t="s">
        <v>20</v>
      </c>
      <c r="F15147">
        <v>103539231</v>
      </c>
      <c r="G15147">
        <v>103539231</v>
      </c>
      <c r="H15147">
        <v>103539231</v>
      </c>
      <c r="I15147">
        <v>103539231</v>
      </c>
    </row>
    <row r="15148" spans="1:9" x14ac:dyDescent="0.2">
      <c r="A15148" t="str">
        <f>"Olfr613"</f>
        <v>Olfr613</v>
      </c>
      <c r="B15148" t="s">
        <v>5232</v>
      </c>
      <c r="C15148" t="s">
        <v>33</v>
      </c>
      <c r="D15148" t="s">
        <v>17</v>
      </c>
      <c r="E15148" t="s">
        <v>20</v>
      </c>
      <c r="F15148">
        <v>103550367</v>
      </c>
      <c r="G15148">
        <v>103550367</v>
      </c>
      <c r="H15148">
        <v>103550367</v>
      </c>
      <c r="I15148">
        <v>103550367</v>
      </c>
    </row>
    <row r="15149" spans="1:9" x14ac:dyDescent="0.2">
      <c r="A15149" t="str">
        <f>"Olfr615"</f>
        <v>Olfr615</v>
      </c>
      <c r="B15149" t="s">
        <v>5233</v>
      </c>
      <c r="C15149" t="s">
        <v>33</v>
      </c>
      <c r="D15149" t="s">
        <v>17</v>
      </c>
      <c r="E15149" t="s">
        <v>20</v>
      </c>
      <c r="F15149">
        <v>103560478</v>
      </c>
      <c r="G15149">
        <v>103560478</v>
      </c>
      <c r="H15149">
        <v>103560478</v>
      </c>
      <c r="I15149">
        <v>103560478</v>
      </c>
    </row>
    <row r="15150" spans="1:9" x14ac:dyDescent="0.2">
      <c r="A15150" t="str">
        <f>"Olfr616"</f>
        <v>Olfr616</v>
      </c>
      <c r="B15150" t="s">
        <v>5234</v>
      </c>
      <c r="C15150" t="s">
        <v>33</v>
      </c>
      <c r="D15150" t="s">
        <v>11</v>
      </c>
      <c r="E15150" t="s">
        <v>20</v>
      </c>
      <c r="F15150">
        <v>103565276</v>
      </c>
      <c r="G15150">
        <v>103565276</v>
      </c>
      <c r="H15150">
        <v>103565276</v>
      </c>
      <c r="I15150">
        <v>103565276</v>
      </c>
    </row>
    <row r="15151" spans="1:9" x14ac:dyDescent="0.2">
      <c r="A15151" t="str">
        <f>"Olfr617"</f>
        <v>Olfr617</v>
      </c>
      <c r="B15151" t="s">
        <v>5235</v>
      </c>
      <c r="C15151" t="s">
        <v>33</v>
      </c>
      <c r="D15151" t="s">
        <v>17</v>
      </c>
      <c r="E15151" t="s">
        <v>20</v>
      </c>
      <c r="F15151">
        <v>103584023</v>
      </c>
      <c r="G15151">
        <v>103584023</v>
      </c>
      <c r="H15151">
        <v>103584023</v>
      </c>
      <c r="I15151">
        <v>103584023</v>
      </c>
    </row>
    <row r="15152" spans="1:9" x14ac:dyDescent="0.2">
      <c r="A15152" t="str">
        <f>"Olfr618"</f>
        <v>Olfr618</v>
      </c>
      <c r="B15152" t="s">
        <v>5236</v>
      </c>
      <c r="C15152" t="s">
        <v>33</v>
      </c>
      <c r="D15152" t="s">
        <v>17</v>
      </c>
      <c r="E15152" t="s">
        <v>20</v>
      </c>
      <c r="F15152">
        <v>103597317</v>
      </c>
      <c r="G15152">
        <v>103597317</v>
      </c>
      <c r="H15152">
        <v>103597317</v>
      </c>
      <c r="I15152">
        <v>103597317</v>
      </c>
    </row>
    <row r="15153" spans="1:9" x14ac:dyDescent="0.2">
      <c r="A15153" t="str">
        <f>"Olfr619"</f>
        <v>Olfr619</v>
      </c>
      <c r="B15153" t="s">
        <v>5237</v>
      </c>
      <c r="C15153" t="s">
        <v>33</v>
      </c>
      <c r="D15153" t="s">
        <v>17</v>
      </c>
      <c r="E15153" t="s">
        <v>20</v>
      </c>
      <c r="F15153">
        <v>103603588</v>
      </c>
      <c r="G15153">
        <v>103603588</v>
      </c>
      <c r="H15153">
        <v>103603588</v>
      </c>
      <c r="I15153">
        <v>103603588</v>
      </c>
    </row>
    <row r="15154" spans="1:9" x14ac:dyDescent="0.2">
      <c r="A15154" t="str">
        <f>"Olfr62"</f>
        <v>Olfr62</v>
      </c>
      <c r="B15154" t="s">
        <v>5238</v>
      </c>
      <c r="C15154" t="s">
        <v>23</v>
      </c>
      <c r="D15154" t="s">
        <v>17</v>
      </c>
      <c r="E15154" t="s">
        <v>20</v>
      </c>
      <c r="F15154">
        <v>118665518</v>
      </c>
      <c r="G15154">
        <v>118665518</v>
      </c>
      <c r="H15154">
        <v>118665518</v>
      </c>
      <c r="I15154">
        <v>118665518</v>
      </c>
    </row>
    <row r="15155" spans="1:9" x14ac:dyDescent="0.2">
      <c r="A15155" t="str">
        <f>"Olfr620"</f>
        <v>Olfr620</v>
      </c>
      <c r="B15155" t="s">
        <v>5239</v>
      </c>
      <c r="C15155" t="s">
        <v>33</v>
      </c>
      <c r="D15155" t="s">
        <v>11</v>
      </c>
      <c r="E15155" t="s">
        <v>20</v>
      </c>
      <c r="F15155">
        <v>103612350</v>
      </c>
      <c r="G15155">
        <v>103612350</v>
      </c>
      <c r="H15155">
        <v>103612350</v>
      </c>
      <c r="I15155">
        <v>103612350</v>
      </c>
    </row>
    <row r="15156" spans="1:9" x14ac:dyDescent="0.2">
      <c r="A15156" t="str">
        <f>"Olfr622"</f>
        <v>Olfr622</v>
      </c>
      <c r="B15156" t="s">
        <v>5240</v>
      </c>
      <c r="C15156" t="s">
        <v>33</v>
      </c>
      <c r="D15156" t="s">
        <v>11</v>
      </c>
      <c r="E15156" t="s">
        <v>20</v>
      </c>
      <c r="F15156">
        <v>103640235</v>
      </c>
      <c r="G15156">
        <v>103640235</v>
      </c>
      <c r="H15156">
        <v>103640235</v>
      </c>
      <c r="I15156">
        <v>103640235</v>
      </c>
    </row>
    <row r="15157" spans="1:9" x14ac:dyDescent="0.2">
      <c r="A15157" t="str">
        <f>"Olfr623"</f>
        <v>Olfr623</v>
      </c>
      <c r="B15157" t="s">
        <v>5241</v>
      </c>
      <c r="C15157" t="s">
        <v>33</v>
      </c>
      <c r="D15157" t="s">
        <v>11</v>
      </c>
      <c r="E15157" t="s">
        <v>20</v>
      </c>
      <c r="F15157">
        <v>103661317</v>
      </c>
      <c r="G15157">
        <v>103661317</v>
      </c>
      <c r="H15157">
        <v>103661317</v>
      </c>
      <c r="I15157">
        <v>103661317</v>
      </c>
    </row>
    <row r="15158" spans="1:9" x14ac:dyDescent="0.2">
      <c r="A15158" t="str">
        <f>"Olfr624"</f>
        <v>Olfr624</v>
      </c>
      <c r="B15158" t="s">
        <v>5242</v>
      </c>
      <c r="C15158" t="s">
        <v>33</v>
      </c>
      <c r="D15158" t="s">
        <v>11</v>
      </c>
      <c r="E15158" t="s">
        <v>20</v>
      </c>
      <c r="F15158">
        <v>103671028</v>
      </c>
      <c r="G15158">
        <v>103671028</v>
      </c>
      <c r="H15158">
        <v>103671028</v>
      </c>
      <c r="I15158">
        <v>103671028</v>
      </c>
    </row>
    <row r="15159" spans="1:9" x14ac:dyDescent="0.2">
      <c r="A15159" t="str">
        <f>"Olfr625-ps1"</f>
        <v>Olfr625-ps1</v>
      </c>
      <c r="B15159" t="s">
        <v>5243</v>
      </c>
      <c r="C15159" t="s">
        <v>33</v>
      </c>
      <c r="D15159" t="s">
        <v>17</v>
      </c>
      <c r="E15159" t="s">
        <v>20</v>
      </c>
      <c r="F15159">
        <v>103682719</v>
      </c>
      <c r="G15159">
        <v>103682719</v>
      </c>
      <c r="H15159">
        <v>103682719</v>
      </c>
      <c r="I15159">
        <v>103682719</v>
      </c>
    </row>
    <row r="15160" spans="1:9" x14ac:dyDescent="0.2">
      <c r="A15160" t="str">
        <f>"Olfr628"</f>
        <v>Olfr628</v>
      </c>
      <c r="B15160" t="s">
        <v>5244</v>
      </c>
      <c r="C15160" t="s">
        <v>33</v>
      </c>
      <c r="D15160" t="s">
        <v>17</v>
      </c>
      <c r="E15160" t="s">
        <v>20</v>
      </c>
      <c r="F15160">
        <v>103731927</v>
      </c>
      <c r="G15160">
        <v>103731927</v>
      </c>
      <c r="H15160">
        <v>103731927</v>
      </c>
      <c r="I15160">
        <v>103731927</v>
      </c>
    </row>
    <row r="15161" spans="1:9" x14ac:dyDescent="0.2">
      <c r="A15161" t="str">
        <f>"Olfr629"</f>
        <v>Olfr629</v>
      </c>
      <c r="B15161" t="s">
        <v>5245</v>
      </c>
      <c r="C15161" t="s">
        <v>33</v>
      </c>
      <c r="D15161" t="s">
        <v>11</v>
      </c>
      <c r="E15161" t="s">
        <v>20</v>
      </c>
      <c r="F15161">
        <v>103741321</v>
      </c>
      <c r="G15161">
        <v>103741321</v>
      </c>
      <c r="H15161">
        <v>103741321</v>
      </c>
      <c r="I15161">
        <v>103741321</v>
      </c>
    </row>
    <row r="15162" spans="1:9" x14ac:dyDescent="0.2">
      <c r="A15162" t="str">
        <f>"Olfr63"</f>
        <v>Olfr63</v>
      </c>
      <c r="B15162" t="s">
        <v>5246</v>
      </c>
      <c r="C15162" t="s">
        <v>28</v>
      </c>
      <c r="D15162" t="s">
        <v>17</v>
      </c>
      <c r="E15162" t="s">
        <v>20</v>
      </c>
      <c r="F15162">
        <v>33268721</v>
      </c>
      <c r="G15162">
        <v>33268721</v>
      </c>
      <c r="H15162">
        <v>33268721</v>
      </c>
      <c r="I15162">
        <v>33268721</v>
      </c>
    </row>
    <row r="15163" spans="1:9" x14ac:dyDescent="0.2">
      <c r="A15163" t="str">
        <f>"Olfr630"</f>
        <v>Olfr630</v>
      </c>
      <c r="B15163" t="s">
        <v>5247</v>
      </c>
      <c r="C15163" t="s">
        <v>33</v>
      </c>
      <c r="D15163" t="s">
        <v>11</v>
      </c>
      <c r="E15163" t="s">
        <v>20</v>
      </c>
      <c r="F15163">
        <v>103757349</v>
      </c>
      <c r="G15163">
        <v>103757349</v>
      </c>
      <c r="H15163">
        <v>103757349</v>
      </c>
      <c r="I15163">
        <v>103757349</v>
      </c>
    </row>
    <row r="15164" spans="1:9" x14ac:dyDescent="0.2">
      <c r="A15164" t="str">
        <f>"Olfr630"</f>
        <v>Olfr630</v>
      </c>
      <c r="B15164" t="s">
        <v>5248</v>
      </c>
      <c r="C15164" t="s">
        <v>33</v>
      </c>
      <c r="D15164" t="s">
        <v>11</v>
      </c>
      <c r="E15164" t="s">
        <v>20</v>
      </c>
      <c r="F15164">
        <v>103755651</v>
      </c>
      <c r="G15164">
        <v>103755651</v>
      </c>
      <c r="H15164">
        <v>103755651</v>
      </c>
      <c r="I15164">
        <v>103755651</v>
      </c>
    </row>
    <row r="15165" spans="1:9" x14ac:dyDescent="0.2">
      <c r="A15165" t="str">
        <f>"Olfr631"</f>
        <v>Olfr631</v>
      </c>
      <c r="B15165" t="s">
        <v>5249</v>
      </c>
      <c r="C15165" t="s">
        <v>33</v>
      </c>
      <c r="D15165" t="s">
        <v>17</v>
      </c>
      <c r="E15165" t="s">
        <v>20</v>
      </c>
      <c r="F15165">
        <v>103915061</v>
      </c>
      <c r="G15165">
        <v>103915061</v>
      </c>
      <c r="H15165">
        <v>103915061</v>
      </c>
      <c r="I15165">
        <v>103915061</v>
      </c>
    </row>
    <row r="15166" spans="1:9" x14ac:dyDescent="0.2">
      <c r="A15166" t="str">
        <f>"Olfr631"</f>
        <v>Olfr631</v>
      </c>
      <c r="B15166" t="s">
        <v>5250</v>
      </c>
      <c r="C15166" t="s">
        <v>33</v>
      </c>
      <c r="D15166" t="s">
        <v>17</v>
      </c>
      <c r="E15166" t="s">
        <v>20</v>
      </c>
      <c r="F15166">
        <v>103928824</v>
      </c>
      <c r="G15166">
        <v>103928824</v>
      </c>
      <c r="H15166">
        <v>103928824</v>
      </c>
      <c r="I15166">
        <v>103928824</v>
      </c>
    </row>
    <row r="15167" spans="1:9" x14ac:dyDescent="0.2">
      <c r="A15167" t="str">
        <f>"Olfr632"</f>
        <v>Olfr632</v>
      </c>
      <c r="B15167" t="s">
        <v>5251</v>
      </c>
      <c r="C15167" t="s">
        <v>33</v>
      </c>
      <c r="D15167" t="s">
        <v>17</v>
      </c>
      <c r="E15167" t="s">
        <v>20</v>
      </c>
      <c r="F15167">
        <v>103937381</v>
      </c>
      <c r="G15167">
        <v>103937381</v>
      </c>
      <c r="H15167">
        <v>103937381</v>
      </c>
      <c r="I15167">
        <v>103937381</v>
      </c>
    </row>
    <row r="15168" spans="1:9" x14ac:dyDescent="0.2">
      <c r="A15168" t="str">
        <f>"Olfr633"</f>
        <v>Olfr633</v>
      </c>
      <c r="B15168" t="s">
        <v>5252</v>
      </c>
      <c r="C15168" t="s">
        <v>33</v>
      </c>
      <c r="D15168" t="s">
        <v>17</v>
      </c>
      <c r="E15168" t="s">
        <v>20</v>
      </c>
      <c r="F15168">
        <v>103946567</v>
      </c>
      <c r="G15168">
        <v>103946567</v>
      </c>
      <c r="H15168">
        <v>103946567</v>
      </c>
      <c r="I15168">
        <v>103946567</v>
      </c>
    </row>
    <row r="15169" spans="1:9" x14ac:dyDescent="0.2">
      <c r="A15169" t="str">
        <f>"Olfr635"</f>
        <v>Olfr635</v>
      </c>
      <c r="B15169" t="s">
        <v>5253</v>
      </c>
      <c r="C15169" t="s">
        <v>33</v>
      </c>
      <c r="D15169" t="s">
        <v>17</v>
      </c>
      <c r="E15169" t="s">
        <v>20</v>
      </c>
      <c r="F15169">
        <v>103979175</v>
      </c>
      <c r="G15169">
        <v>103979175</v>
      </c>
      <c r="H15169">
        <v>103979175</v>
      </c>
      <c r="I15169">
        <v>103979175</v>
      </c>
    </row>
    <row r="15170" spans="1:9" x14ac:dyDescent="0.2">
      <c r="A15170" t="str">
        <f>"Olfr638"</f>
        <v>Olfr638</v>
      </c>
      <c r="B15170" t="s">
        <v>5254</v>
      </c>
      <c r="C15170" t="s">
        <v>33</v>
      </c>
      <c r="D15170" t="s">
        <v>17</v>
      </c>
      <c r="E15170" t="s">
        <v>20</v>
      </c>
      <c r="F15170">
        <v>104003258</v>
      </c>
      <c r="G15170">
        <v>104003258</v>
      </c>
      <c r="H15170">
        <v>104003258</v>
      </c>
      <c r="I15170">
        <v>104003258</v>
      </c>
    </row>
    <row r="15171" spans="1:9" x14ac:dyDescent="0.2">
      <c r="A15171" t="str">
        <f>"Olfr639"</f>
        <v>Olfr639</v>
      </c>
      <c r="B15171" t="s">
        <v>5255</v>
      </c>
      <c r="C15171" t="s">
        <v>33</v>
      </c>
      <c r="D15171" t="s">
        <v>11</v>
      </c>
      <c r="E15171" t="s">
        <v>20</v>
      </c>
      <c r="F15171">
        <v>104012699</v>
      </c>
      <c r="G15171">
        <v>104012699</v>
      </c>
      <c r="H15171">
        <v>104012699</v>
      </c>
      <c r="I15171">
        <v>104012699</v>
      </c>
    </row>
    <row r="15172" spans="1:9" x14ac:dyDescent="0.2">
      <c r="A15172" t="str">
        <f>"Olfr64"</f>
        <v>Olfr64</v>
      </c>
      <c r="B15172" t="s">
        <v>5256</v>
      </c>
      <c r="C15172" t="s">
        <v>33</v>
      </c>
      <c r="D15172" t="s">
        <v>11</v>
      </c>
      <c r="E15172" t="s">
        <v>20</v>
      </c>
      <c r="F15172">
        <v>103894470</v>
      </c>
      <c r="G15172">
        <v>103894470</v>
      </c>
      <c r="H15172">
        <v>103894470</v>
      </c>
      <c r="I15172">
        <v>103894470</v>
      </c>
    </row>
    <row r="15173" spans="1:9" x14ac:dyDescent="0.2">
      <c r="A15173" t="str">
        <f>"Olfr640"</f>
        <v>Olfr640</v>
      </c>
      <c r="B15173" t="s">
        <v>5257</v>
      </c>
      <c r="C15173" t="s">
        <v>33</v>
      </c>
      <c r="D15173" t="s">
        <v>11</v>
      </c>
      <c r="E15173" t="s">
        <v>20</v>
      </c>
      <c r="F15173">
        <v>104022315</v>
      </c>
      <c r="G15173">
        <v>104022315</v>
      </c>
      <c r="H15173">
        <v>104022315</v>
      </c>
      <c r="I15173">
        <v>104022315</v>
      </c>
    </row>
    <row r="15174" spans="1:9" x14ac:dyDescent="0.2">
      <c r="A15174" t="str">
        <f>"Olfr641"</f>
        <v>Olfr641</v>
      </c>
      <c r="B15174" t="s">
        <v>5258</v>
      </c>
      <c r="C15174" t="s">
        <v>33</v>
      </c>
      <c r="D15174" t="s">
        <v>17</v>
      </c>
      <c r="E15174" t="s">
        <v>20</v>
      </c>
      <c r="F15174">
        <v>104039797</v>
      </c>
      <c r="G15174">
        <v>104039797</v>
      </c>
      <c r="H15174">
        <v>104039797</v>
      </c>
      <c r="I15174">
        <v>104039797</v>
      </c>
    </row>
    <row r="15175" spans="1:9" x14ac:dyDescent="0.2">
      <c r="A15175" t="str">
        <f>"Olfr642"</f>
        <v>Olfr642</v>
      </c>
      <c r="B15175" t="s">
        <v>5259</v>
      </c>
      <c r="C15175" t="s">
        <v>33</v>
      </c>
      <c r="D15175" t="s">
        <v>11</v>
      </c>
      <c r="E15175" t="s">
        <v>20</v>
      </c>
      <c r="F15175">
        <v>104050351</v>
      </c>
      <c r="G15175">
        <v>104050351</v>
      </c>
      <c r="H15175">
        <v>104050351</v>
      </c>
      <c r="I15175">
        <v>104050351</v>
      </c>
    </row>
    <row r="15176" spans="1:9" x14ac:dyDescent="0.2">
      <c r="A15176" t="str">
        <f>"Olfr643"</f>
        <v>Olfr643</v>
      </c>
      <c r="B15176" t="s">
        <v>5260</v>
      </c>
      <c r="C15176" t="s">
        <v>33</v>
      </c>
      <c r="D15176" t="s">
        <v>11</v>
      </c>
      <c r="E15176" t="s">
        <v>20</v>
      </c>
      <c r="F15176">
        <v>104059599</v>
      </c>
      <c r="G15176">
        <v>104059599</v>
      </c>
      <c r="H15176">
        <v>104059599</v>
      </c>
      <c r="I15176">
        <v>104059599</v>
      </c>
    </row>
    <row r="15177" spans="1:9" x14ac:dyDescent="0.2">
      <c r="A15177" t="str">
        <f>"Olfr644"</f>
        <v>Olfr644</v>
      </c>
      <c r="B15177" t="s">
        <v>5261</v>
      </c>
      <c r="C15177" t="s">
        <v>33</v>
      </c>
      <c r="D15177" t="s">
        <v>11</v>
      </c>
      <c r="E15177" t="s">
        <v>20</v>
      </c>
      <c r="F15177">
        <v>104069028</v>
      </c>
      <c r="G15177">
        <v>104069028</v>
      </c>
      <c r="H15177">
        <v>104069028</v>
      </c>
      <c r="I15177">
        <v>104069028</v>
      </c>
    </row>
    <row r="15178" spans="1:9" x14ac:dyDescent="0.2">
      <c r="A15178" t="str">
        <f>"Olfr645"</f>
        <v>Olfr645</v>
      </c>
      <c r="B15178" t="s">
        <v>5262</v>
      </c>
      <c r="C15178" t="s">
        <v>33</v>
      </c>
      <c r="D15178" t="s">
        <v>11</v>
      </c>
      <c r="E15178" t="s">
        <v>20</v>
      </c>
      <c r="F15178">
        <v>104085174</v>
      </c>
      <c r="G15178">
        <v>104085174</v>
      </c>
      <c r="H15178">
        <v>104085174</v>
      </c>
      <c r="I15178">
        <v>104085174</v>
      </c>
    </row>
    <row r="15179" spans="1:9" x14ac:dyDescent="0.2">
      <c r="A15179" t="str">
        <f>"Olfr646"</f>
        <v>Olfr646</v>
      </c>
      <c r="B15179" t="s">
        <v>5263</v>
      </c>
      <c r="C15179" t="s">
        <v>33</v>
      </c>
      <c r="D15179" t="s">
        <v>17</v>
      </c>
      <c r="E15179" t="s">
        <v>20</v>
      </c>
      <c r="F15179">
        <v>104106280</v>
      </c>
      <c r="G15179">
        <v>104106280</v>
      </c>
      <c r="H15179">
        <v>104106280</v>
      </c>
      <c r="I15179">
        <v>104106280</v>
      </c>
    </row>
    <row r="15180" spans="1:9" x14ac:dyDescent="0.2">
      <c r="A15180" t="str">
        <f>"Olfr648"</f>
        <v>Olfr648</v>
      </c>
      <c r="B15180" t="s">
        <v>5264</v>
      </c>
      <c r="C15180" t="s">
        <v>33</v>
      </c>
      <c r="D15180" t="s">
        <v>11</v>
      </c>
      <c r="E15180" t="s">
        <v>20</v>
      </c>
      <c r="F15180">
        <v>104180405</v>
      </c>
      <c r="G15180">
        <v>104180405</v>
      </c>
      <c r="H15180">
        <v>104180405</v>
      </c>
      <c r="I15180">
        <v>104180405</v>
      </c>
    </row>
    <row r="15181" spans="1:9" x14ac:dyDescent="0.2">
      <c r="A15181" t="str">
        <f>"Olfr649"</f>
        <v>Olfr649</v>
      </c>
      <c r="B15181" t="s">
        <v>5265</v>
      </c>
      <c r="C15181" t="s">
        <v>33</v>
      </c>
      <c r="D15181" t="s">
        <v>11</v>
      </c>
      <c r="E15181" t="s">
        <v>20</v>
      </c>
      <c r="F15181">
        <v>104190204</v>
      </c>
      <c r="G15181">
        <v>104190204</v>
      </c>
      <c r="H15181">
        <v>104190204</v>
      </c>
      <c r="I15181">
        <v>104190204</v>
      </c>
    </row>
    <row r="15182" spans="1:9" x14ac:dyDescent="0.2">
      <c r="A15182" t="str">
        <f>"Olfr649"</f>
        <v>Olfr649</v>
      </c>
      <c r="B15182" t="s">
        <v>5266</v>
      </c>
      <c r="C15182" t="s">
        <v>33</v>
      </c>
      <c r="D15182" t="s">
        <v>11</v>
      </c>
      <c r="E15182" t="s">
        <v>20</v>
      </c>
      <c r="F15182">
        <v>104195959</v>
      </c>
      <c r="G15182">
        <v>104195959</v>
      </c>
      <c r="H15182">
        <v>104195959</v>
      </c>
      <c r="I15182">
        <v>104195959</v>
      </c>
    </row>
    <row r="15183" spans="1:9" x14ac:dyDescent="0.2">
      <c r="A15183" t="str">
        <f>"Olfr65"</f>
        <v>Olfr65</v>
      </c>
      <c r="B15183" t="s">
        <v>5267</v>
      </c>
      <c r="C15183" t="s">
        <v>33</v>
      </c>
      <c r="D15183" t="s">
        <v>17</v>
      </c>
      <c r="E15183" t="s">
        <v>20</v>
      </c>
      <c r="F15183">
        <v>103906341</v>
      </c>
      <c r="G15183">
        <v>103906341</v>
      </c>
      <c r="H15183">
        <v>103906341</v>
      </c>
      <c r="I15183">
        <v>103906341</v>
      </c>
    </row>
    <row r="15184" spans="1:9" x14ac:dyDescent="0.2">
      <c r="A15184" t="str">
        <f>"Olfr651"</f>
        <v>Olfr651</v>
      </c>
      <c r="B15184" t="s">
        <v>5268</v>
      </c>
      <c r="C15184" t="s">
        <v>33</v>
      </c>
      <c r="D15184" t="s">
        <v>17</v>
      </c>
      <c r="E15184" t="s">
        <v>20</v>
      </c>
      <c r="F15184">
        <v>104552883</v>
      </c>
      <c r="G15184">
        <v>104552883</v>
      </c>
      <c r="H15184">
        <v>104552883</v>
      </c>
      <c r="I15184">
        <v>104552883</v>
      </c>
    </row>
    <row r="15185" spans="1:9" x14ac:dyDescent="0.2">
      <c r="A15185" t="str">
        <f>"Olfr652"</f>
        <v>Olfr652</v>
      </c>
      <c r="B15185" t="s">
        <v>5269</v>
      </c>
      <c r="C15185" t="s">
        <v>33</v>
      </c>
      <c r="D15185" t="s">
        <v>17</v>
      </c>
      <c r="E15185" t="s">
        <v>20</v>
      </c>
      <c r="F15185">
        <v>104564191</v>
      </c>
      <c r="G15185">
        <v>104564191</v>
      </c>
      <c r="H15185">
        <v>104564191</v>
      </c>
      <c r="I15185">
        <v>104564191</v>
      </c>
    </row>
    <row r="15186" spans="1:9" x14ac:dyDescent="0.2">
      <c r="A15186" t="str">
        <f>"Olfr653"</f>
        <v>Olfr653</v>
      </c>
      <c r="B15186" t="s">
        <v>5270</v>
      </c>
      <c r="C15186" t="s">
        <v>33</v>
      </c>
      <c r="D15186" t="s">
        <v>17</v>
      </c>
      <c r="E15186" t="s">
        <v>20</v>
      </c>
      <c r="F15186">
        <v>104579623</v>
      </c>
      <c r="G15186">
        <v>104579623</v>
      </c>
      <c r="H15186">
        <v>104579623</v>
      </c>
      <c r="I15186">
        <v>104579623</v>
      </c>
    </row>
    <row r="15187" spans="1:9" x14ac:dyDescent="0.2">
      <c r="A15187" t="str">
        <f>"Olfr654"</f>
        <v>Olfr654</v>
      </c>
      <c r="B15187" t="s">
        <v>5271</v>
      </c>
      <c r="C15187" t="s">
        <v>33</v>
      </c>
      <c r="D15187" t="s">
        <v>17</v>
      </c>
      <c r="E15187" t="s">
        <v>20</v>
      </c>
      <c r="F15187">
        <v>104587718</v>
      </c>
      <c r="G15187">
        <v>104587718</v>
      </c>
      <c r="H15187">
        <v>104587718</v>
      </c>
      <c r="I15187">
        <v>104587718</v>
      </c>
    </row>
    <row r="15188" spans="1:9" x14ac:dyDescent="0.2">
      <c r="A15188" t="str">
        <f>"Olfr655"</f>
        <v>Olfr655</v>
      </c>
      <c r="B15188" t="s">
        <v>5272</v>
      </c>
      <c r="C15188" t="s">
        <v>33</v>
      </c>
      <c r="D15188" t="s">
        <v>11</v>
      </c>
      <c r="E15188" t="s">
        <v>20</v>
      </c>
      <c r="F15188">
        <v>104597178</v>
      </c>
      <c r="G15188">
        <v>104597178</v>
      </c>
      <c r="H15188">
        <v>104597178</v>
      </c>
      <c r="I15188">
        <v>104597178</v>
      </c>
    </row>
    <row r="15189" spans="1:9" x14ac:dyDescent="0.2">
      <c r="A15189" t="str">
        <f>"Olfr656"</f>
        <v>Olfr656</v>
      </c>
      <c r="B15189" t="s">
        <v>5273</v>
      </c>
      <c r="C15189" t="s">
        <v>33</v>
      </c>
      <c r="D15189" t="s">
        <v>17</v>
      </c>
      <c r="E15189" t="s">
        <v>20</v>
      </c>
      <c r="F15189">
        <v>104617656</v>
      </c>
      <c r="G15189">
        <v>104617656</v>
      </c>
      <c r="H15189">
        <v>104617656</v>
      </c>
      <c r="I15189">
        <v>104617656</v>
      </c>
    </row>
    <row r="15190" spans="1:9" x14ac:dyDescent="0.2">
      <c r="A15190" t="str">
        <f>"Olfr657"</f>
        <v>Olfr657</v>
      </c>
      <c r="B15190" t="s">
        <v>5274</v>
      </c>
      <c r="C15190" t="s">
        <v>33</v>
      </c>
      <c r="D15190" t="s">
        <v>17</v>
      </c>
      <c r="E15190" t="s">
        <v>20</v>
      </c>
      <c r="F15190">
        <v>104635675</v>
      </c>
      <c r="G15190">
        <v>104635675</v>
      </c>
      <c r="H15190">
        <v>104635675</v>
      </c>
      <c r="I15190">
        <v>104635675</v>
      </c>
    </row>
    <row r="15191" spans="1:9" x14ac:dyDescent="0.2">
      <c r="A15191" t="str">
        <f>"Olfr658"</f>
        <v>Olfr658</v>
      </c>
      <c r="B15191" t="s">
        <v>14</v>
      </c>
      <c r="C15191" t="s">
        <v>33</v>
      </c>
      <c r="D15191" t="s">
        <v>11</v>
      </c>
      <c r="E15191" t="s">
        <v>12</v>
      </c>
      <c r="F15191">
        <v>104647285</v>
      </c>
      <c r="G15191">
        <v>104647326</v>
      </c>
      <c r="H15191">
        <v>104647285</v>
      </c>
      <c r="I15191">
        <v>104647326</v>
      </c>
    </row>
    <row r="15192" spans="1:9" x14ac:dyDescent="0.2">
      <c r="A15192" t="str">
        <f>"Olfr659"</f>
        <v>Olfr659</v>
      </c>
      <c r="B15192" t="s">
        <v>5275</v>
      </c>
      <c r="C15192" t="s">
        <v>33</v>
      </c>
      <c r="D15192" t="s">
        <v>17</v>
      </c>
      <c r="E15192" t="s">
        <v>20</v>
      </c>
      <c r="F15192">
        <v>104670703</v>
      </c>
      <c r="G15192">
        <v>104670703</v>
      </c>
      <c r="H15192">
        <v>104670703</v>
      </c>
      <c r="I15192">
        <v>104670703</v>
      </c>
    </row>
    <row r="15193" spans="1:9" x14ac:dyDescent="0.2">
      <c r="A15193" t="str">
        <f>"Olfr66"</f>
        <v>Olfr66</v>
      </c>
      <c r="B15193" t="s">
        <v>5276</v>
      </c>
      <c r="C15193" t="s">
        <v>33</v>
      </c>
      <c r="D15193" t="s">
        <v>11</v>
      </c>
      <c r="E15193" t="s">
        <v>20</v>
      </c>
      <c r="F15193">
        <v>103882240</v>
      </c>
      <c r="G15193">
        <v>103882240</v>
      </c>
      <c r="H15193">
        <v>103882240</v>
      </c>
      <c r="I15193">
        <v>103882240</v>
      </c>
    </row>
    <row r="15194" spans="1:9" x14ac:dyDescent="0.2">
      <c r="A15194" t="str">
        <f>"Olfr661"</f>
        <v>Olfr661</v>
      </c>
      <c r="B15194" t="s">
        <v>5277</v>
      </c>
      <c r="C15194" t="s">
        <v>33</v>
      </c>
      <c r="D15194" t="s">
        <v>17</v>
      </c>
      <c r="E15194" t="s">
        <v>20</v>
      </c>
      <c r="F15194">
        <v>104688012</v>
      </c>
      <c r="G15194">
        <v>104688012</v>
      </c>
      <c r="H15194">
        <v>104688012</v>
      </c>
      <c r="I15194">
        <v>104688012</v>
      </c>
    </row>
    <row r="15195" spans="1:9" x14ac:dyDescent="0.2">
      <c r="A15195" t="str">
        <f>"Olfr665"</f>
        <v>Olfr665</v>
      </c>
      <c r="B15195" t="s">
        <v>5278</v>
      </c>
      <c r="C15195" t="s">
        <v>33</v>
      </c>
      <c r="D15195" t="s">
        <v>17</v>
      </c>
      <c r="E15195" t="s">
        <v>20</v>
      </c>
      <c r="F15195">
        <v>104880708</v>
      </c>
      <c r="G15195">
        <v>104880708</v>
      </c>
      <c r="H15195">
        <v>104880708</v>
      </c>
      <c r="I15195">
        <v>104880708</v>
      </c>
    </row>
    <row r="15196" spans="1:9" x14ac:dyDescent="0.2">
      <c r="A15196" t="str">
        <f>"Olfr666"</f>
        <v>Olfr666</v>
      </c>
      <c r="B15196" t="s">
        <v>5279</v>
      </c>
      <c r="C15196" t="s">
        <v>33</v>
      </c>
      <c r="D15196" t="s">
        <v>11</v>
      </c>
      <c r="E15196" t="s">
        <v>20</v>
      </c>
      <c r="F15196">
        <v>104893625</v>
      </c>
      <c r="G15196">
        <v>104893625</v>
      </c>
      <c r="H15196">
        <v>104893625</v>
      </c>
      <c r="I15196">
        <v>104893625</v>
      </c>
    </row>
    <row r="15197" spans="1:9" x14ac:dyDescent="0.2">
      <c r="A15197" t="str">
        <f>"Olfr667"</f>
        <v>Olfr667</v>
      </c>
      <c r="B15197" t="s">
        <v>5280</v>
      </c>
      <c r="C15197" t="s">
        <v>33</v>
      </c>
      <c r="D15197" t="s">
        <v>11</v>
      </c>
      <c r="E15197" t="s">
        <v>20</v>
      </c>
      <c r="F15197">
        <v>104917293</v>
      </c>
      <c r="G15197">
        <v>104917293</v>
      </c>
      <c r="H15197">
        <v>104917293</v>
      </c>
      <c r="I15197">
        <v>104917293</v>
      </c>
    </row>
    <row r="15198" spans="1:9" x14ac:dyDescent="0.2">
      <c r="A15198" t="str">
        <f>"Olfr668"</f>
        <v>Olfr668</v>
      </c>
      <c r="B15198" t="s">
        <v>5281</v>
      </c>
      <c r="C15198" t="s">
        <v>33</v>
      </c>
      <c r="D15198" t="s">
        <v>11</v>
      </c>
      <c r="E15198" t="s">
        <v>20</v>
      </c>
      <c r="F15198">
        <v>104925761</v>
      </c>
      <c r="G15198">
        <v>104925761</v>
      </c>
      <c r="H15198">
        <v>104925761</v>
      </c>
      <c r="I15198">
        <v>104925761</v>
      </c>
    </row>
    <row r="15199" spans="1:9" x14ac:dyDescent="0.2">
      <c r="A15199" t="str">
        <f>"Olfr669"</f>
        <v>Olfr669</v>
      </c>
      <c r="B15199" t="s">
        <v>5282</v>
      </c>
      <c r="C15199" t="s">
        <v>33</v>
      </c>
      <c r="D15199" t="s">
        <v>17</v>
      </c>
      <c r="E15199" t="s">
        <v>20</v>
      </c>
      <c r="F15199">
        <v>104938527</v>
      </c>
      <c r="G15199">
        <v>104938527</v>
      </c>
      <c r="H15199">
        <v>104938527</v>
      </c>
      <c r="I15199">
        <v>104938527</v>
      </c>
    </row>
    <row r="15200" spans="1:9" x14ac:dyDescent="0.2">
      <c r="A15200" t="str">
        <f>"Olfr67"</f>
        <v>Olfr67</v>
      </c>
      <c r="B15200" t="s">
        <v>5283</v>
      </c>
      <c r="C15200" t="s">
        <v>33</v>
      </c>
      <c r="D15200" t="s">
        <v>11</v>
      </c>
      <c r="E15200" t="s">
        <v>20</v>
      </c>
      <c r="F15200">
        <v>103791829</v>
      </c>
      <c r="G15200">
        <v>103791829</v>
      </c>
      <c r="H15200">
        <v>103791829</v>
      </c>
      <c r="I15200">
        <v>103791829</v>
      </c>
    </row>
    <row r="15201" spans="1:9" x14ac:dyDescent="0.2">
      <c r="A15201" t="str">
        <f>"Olfr67"</f>
        <v>Olfr67</v>
      </c>
      <c r="B15201" t="s">
        <v>5284</v>
      </c>
      <c r="C15201" t="s">
        <v>33</v>
      </c>
      <c r="D15201" t="s">
        <v>11</v>
      </c>
      <c r="E15201" t="s">
        <v>20</v>
      </c>
      <c r="F15201">
        <v>103788274</v>
      </c>
      <c r="G15201">
        <v>103788274</v>
      </c>
      <c r="H15201">
        <v>103788274</v>
      </c>
      <c r="I15201">
        <v>103788274</v>
      </c>
    </row>
    <row r="15202" spans="1:9" x14ac:dyDescent="0.2">
      <c r="A15202" t="str">
        <f>"Olfr670"</f>
        <v>Olfr670</v>
      </c>
      <c r="B15202" t="s">
        <v>5285</v>
      </c>
      <c r="C15202" t="s">
        <v>33</v>
      </c>
      <c r="D15202" t="s">
        <v>11</v>
      </c>
      <c r="E15202" t="s">
        <v>20</v>
      </c>
      <c r="F15202">
        <v>104960729</v>
      </c>
      <c r="G15202">
        <v>104960729</v>
      </c>
      <c r="H15202">
        <v>104960729</v>
      </c>
      <c r="I15202">
        <v>104960729</v>
      </c>
    </row>
    <row r="15203" spans="1:9" x14ac:dyDescent="0.2">
      <c r="A15203" t="str">
        <f>"Olfr671"</f>
        <v>Olfr671</v>
      </c>
      <c r="B15203" t="s">
        <v>5286</v>
      </c>
      <c r="C15203" t="s">
        <v>33</v>
      </c>
      <c r="D15203" t="s">
        <v>11</v>
      </c>
      <c r="E15203" t="s">
        <v>20</v>
      </c>
      <c r="F15203">
        <v>104975982</v>
      </c>
      <c r="G15203">
        <v>104975982</v>
      </c>
      <c r="H15203">
        <v>104975982</v>
      </c>
      <c r="I15203">
        <v>104975982</v>
      </c>
    </row>
    <row r="15204" spans="1:9" x14ac:dyDescent="0.2">
      <c r="A15204" t="str">
        <f>"Olfr672"</f>
        <v>Olfr672</v>
      </c>
      <c r="B15204" t="s">
        <v>5287</v>
      </c>
      <c r="C15204" t="s">
        <v>33</v>
      </c>
      <c r="D15204" t="s">
        <v>11</v>
      </c>
      <c r="E15204" t="s">
        <v>20</v>
      </c>
      <c r="F15204">
        <v>104996901</v>
      </c>
      <c r="G15204">
        <v>104996901</v>
      </c>
      <c r="H15204">
        <v>104996901</v>
      </c>
      <c r="I15204">
        <v>104996901</v>
      </c>
    </row>
    <row r="15205" spans="1:9" x14ac:dyDescent="0.2">
      <c r="A15205" t="str">
        <f>"Olfr675"</f>
        <v>Olfr675</v>
      </c>
      <c r="B15205" t="s">
        <v>5288</v>
      </c>
      <c r="C15205" t="s">
        <v>33</v>
      </c>
      <c r="D15205" t="s">
        <v>11</v>
      </c>
      <c r="E15205" t="s">
        <v>20</v>
      </c>
      <c r="F15205">
        <v>105024965</v>
      </c>
      <c r="G15205">
        <v>105024965</v>
      </c>
      <c r="H15205">
        <v>105024965</v>
      </c>
      <c r="I15205">
        <v>105024965</v>
      </c>
    </row>
    <row r="15206" spans="1:9" x14ac:dyDescent="0.2">
      <c r="A15206" t="str">
        <f>"Olfr676"</f>
        <v>Olfr676</v>
      </c>
      <c r="B15206" t="s">
        <v>5289</v>
      </c>
      <c r="C15206" t="s">
        <v>33</v>
      </c>
      <c r="D15206" t="s">
        <v>17</v>
      </c>
      <c r="E15206" t="s">
        <v>20</v>
      </c>
      <c r="F15206">
        <v>105035199</v>
      </c>
      <c r="G15206">
        <v>105035199</v>
      </c>
      <c r="H15206">
        <v>105035199</v>
      </c>
      <c r="I15206">
        <v>105035199</v>
      </c>
    </row>
    <row r="15207" spans="1:9" x14ac:dyDescent="0.2">
      <c r="A15207" t="str">
        <f>"Olfr677"</f>
        <v>Olfr677</v>
      </c>
      <c r="B15207" t="s">
        <v>5290</v>
      </c>
      <c r="C15207" t="s">
        <v>33</v>
      </c>
      <c r="D15207" t="s">
        <v>17</v>
      </c>
      <c r="E15207" t="s">
        <v>20</v>
      </c>
      <c r="F15207">
        <v>105056247</v>
      </c>
      <c r="G15207">
        <v>105056247</v>
      </c>
      <c r="H15207">
        <v>105056247</v>
      </c>
      <c r="I15207">
        <v>105056247</v>
      </c>
    </row>
    <row r="15208" spans="1:9" x14ac:dyDescent="0.2">
      <c r="A15208" t="str">
        <f>"Olfr678"</f>
        <v>Olfr678</v>
      </c>
      <c r="B15208" t="s">
        <v>5291</v>
      </c>
      <c r="C15208" t="s">
        <v>33</v>
      </c>
      <c r="D15208" t="s">
        <v>17</v>
      </c>
      <c r="E15208" t="s">
        <v>20</v>
      </c>
      <c r="F15208">
        <v>105069468</v>
      </c>
      <c r="G15208">
        <v>105069468</v>
      </c>
      <c r="H15208">
        <v>105069468</v>
      </c>
      <c r="I15208">
        <v>105069468</v>
      </c>
    </row>
    <row r="15209" spans="1:9" x14ac:dyDescent="0.2">
      <c r="A15209" t="str">
        <f>"Olfr679"</f>
        <v>Olfr679</v>
      </c>
      <c r="B15209" t="s">
        <v>5292</v>
      </c>
      <c r="C15209" t="s">
        <v>33</v>
      </c>
      <c r="D15209" t="s">
        <v>17</v>
      </c>
      <c r="E15209" t="s">
        <v>20</v>
      </c>
      <c r="F15209">
        <v>105085713</v>
      </c>
      <c r="G15209">
        <v>105085713</v>
      </c>
      <c r="H15209">
        <v>105085713</v>
      </c>
      <c r="I15209">
        <v>105085713</v>
      </c>
    </row>
    <row r="15210" spans="1:9" x14ac:dyDescent="0.2">
      <c r="A15210" t="str">
        <f>"Olfr68"</f>
        <v>Olfr68</v>
      </c>
      <c r="B15210" t="s">
        <v>5293</v>
      </c>
      <c r="C15210" t="s">
        <v>33</v>
      </c>
      <c r="D15210" t="s">
        <v>11</v>
      </c>
      <c r="E15210" t="s">
        <v>20</v>
      </c>
      <c r="F15210">
        <v>103778342</v>
      </c>
      <c r="G15210">
        <v>103778342</v>
      </c>
      <c r="H15210">
        <v>103778342</v>
      </c>
      <c r="I15210">
        <v>103778342</v>
      </c>
    </row>
    <row r="15211" spans="1:9" x14ac:dyDescent="0.2">
      <c r="A15211" t="str">
        <f>"Olfr681"</f>
        <v>Olfr681</v>
      </c>
      <c r="B15211" t="s">
        <v>5294</v>
      </c>
      <c r="C15211" t="s">
        <v>33</v>
      </c>
      <c r="D15211" t="s">
        <v>17</v>
      </c>
      <c r="E15211" t="s">
        <v>20</v>
      </c>
      <c r="F15211">
        <v>105121458</v>
      </c>
      <c r="G15211">
        <v>105121458</v>
      </c>
      <c r="H15211">
        <v>105121458</v>
      </c>
      <c r="I15211">
        <v>105121458</v>
      </c>
    </row>
    <row r="15212" spans="1:9" x14ac:dyDescent="0.2">
      <c r="A15212" t="str">
        <f>"Olfr682-ps1"</f>
        <v>Olfr682-ps1</v>
      </c>
      <c r="B15212" t="s">
        <v>5295</v>
      </c>
      <c r="C15212" t="s">
        <v>33</v>
      </c>
      <c r="D15212" t="s">
        <v>11</v>
      </c>
      <c r="E15212" t="s">
        <v>20</v>
      </c>
      <c r="F15212">
        <v>105128404</v>
      </c>
      <c r="G15212">
        <v>105128404</v>
      </c>
      <c r="H15212">
        <v>105128404</v>
      </c>
      <c r="I15212">
        <v>105128404</v>
      </c>
    </row>
    <row r="15213" spans="1:9" x14ac:dyDescent="0.2">
      <c r="A15213" t="str">
        <f>"Olfr683"</f>
        <v>Olfr683</v>
      </c>
      <c r="B15213" t="s">
        <v>5296</v>
      </c>
      <c r="C15213" t="s">
        <v>33</v>
      </c>
      <c r="D15213" t="s">
        <v>11</v>
      </c>
      <c r="E15213" t="s">
        <v>20</v>
      </c>
      <c r="F15213">
        <v>105144308</v>
      </c>
      <c r="G15213">
        <v>105144308</v>
      </c>
      <c r="H15213">
        <v>105144308</v>
      </c>
      <c r="I15213">
        <v>105144308</v>
      </c>
    </row>
    <row r="15214" spans="1:9" x14ac:dyDescent="0.2">
      <c r="A15214" t="str">
        <f>"Olfr684"</f>
        <v>Olfr684</v>
      </c>
      <c r="B15214" t="s">
        <v>5297</v>
      </c>
      <c r="C15214" t="s">
        <v>33</v>
      </c>
      <c r="D15214" t="s">
        <v>11</v>
      </c>
      <c r="E15214" t="s">
        <v>20</v>
      </c>
      <c r="F15214">
        <v>105157679</v>
      </c>
      <c r="G15214">
        <v>105157679</v>
      </c>
      <c r="H15214">
        <v>105157679</v>
      </c>
      <c r="I15214">
        <v>105157679</v>
      </c>
    </row>
    <row r="15215" spans="1:9" x14ac:dyDescent="0.2">
      <c r="A15215" t="str">
        <f>"Olfr685"</f>
        <v>Olfr685</v>
      </c>
      <c r="B15215" t="s">
        <v>5298</v>
      </c>
      <c r="C15215" t="s">
        <v>33</v>
      </c>
      <c r="D15215" t="s">
        <v>11</v>
      </c>
      <c r="E15215" t="s">
        <v>20</v>
      </c>
      <c r="F15215">
        <v>105181399</v>
      </c>
      <c r="G15215">
        <v>105181399</v>
      </c>
      <c r="H15215">
        <v>105181399</v>
      </c>
      <c r="I15215">
        <v>105181399</v>
      </c>
    </row>
    <row r="15216" spans="1:9" x14ac:dyDescent="0.2">
      <c r="A15216" t="str">
        <f>"Olfr686"</f>
        <v>Olfr686</v>
      </c>
      <c r="B15216" t="s">
        <v>5299</v>
      </c>
      <c r="C15216" t="s">
        <v>33</v>
      </c>
      <c r="D15216" t="s">
        <v>11</v>
      </c>
      <c r="E15216" t="s">
        <v>20</v>
      </c>
      <c r="F15216">
        <v>105204375</v>
      </c>
      <c r="G15216">
        <v>105204375</v>
      </c>
      <c r="H15216">
        <v>105204375</v>
      </c>
      <c r="I15216">
        <v>105204375</v>
      </c>
    </row>
    <row r="15217" spans="1:9" x14ac:dyDescent="0.2">
      <c r="A15217" t="str">
        <f>"Olfr687"</f>
        <v>Olfr687</v>
      </c>
      <c r="B15217" t="s">
        <v>5300</v>
      </c>
      <c r="C15217" t="s">
        <v>33</v>
      </c>
      <c r="D15217" t="s">
        <v>17</v>
      </c>
      <c r="E15217" t="s">
        <v>20</v>
      </c>
      <c r="F15217">
        <v>105275516</v>
      </c>
      <c r="G15217">
        <v>105275516</v>
      </c>
      <c r="H15217">
        <v>105275516</v>
      </c>
      <c r="I15217">
        <v>105275516</v>
      </c>
    </row>
    <row r="15218" spans="1:9" x14ac:dyDescent="0.2">
      <c r="A15218" t="str">
        <f>"Olfr688"</f>
        <v>Olfr688</v>
      </c>
      <c r="B15218" t="s">
        <v>5301</v>
      </c>
      <c r="C15218" t="s">
        <v>33</v>
      </c>
      <c r="D15218" t="s">
        <v>17</v>
      </c>
      <c r="E15218" t="s">
        <v>20</v>
      </c>
      <c r="F15218">
        <v>105288094</v>
      </c>
      <c r="G15218">
        <v>105288094</v>
      </c>
      <c r="H15218">
        <v>105288094</v>
      </c>
      <c r="I15218">
        <v>105288094</v>
      </c>
    </row>
    <row r="15219" spans="1:9" x14ac:dyDescent="0.2">
      <c r="A15219" t="str">
        <f>"Olfr689"</f>
        <v>Olfr689</v>
      </c>
      <c r="B15219" t="s">
        <v>5302</v>
      </c>
      <c r="C15219" t="s">
        <v>33</v>
      </c>
      <c r="D15219" t="s">
        <v>17</v>
      </c>
      <c r="E15219" t="s">
        <v>20</v>
      </c>
      <c r="F15219">
        <v>105313981</v>
      </c>
      <c r="G15219">
        <v>105313981</v>
      </c>
      <c r="H15219">
        <v>105313981</v>
      </c>
      <c r="I15219">
        <v>105313981</v>
      </c>
    </row>
    <row r="15220" spans="1:9" x14ac:dyDescent="0.2">
      <c r="A15220" t="str">
        <f>"Olfr69"</f>
        <v>Olfr69</v>
      </c>
      <c r="B15220" t="s">
        <v>5303</v>
      </c>
      <c r="C15220" t="s">
        <v>33</v>
      </c>
      <c r="D15220" t="s">
        <v>11</v>
      </c>
      <c r="E15220" t="s">
        <v>20</v>
      </c>
      <c r="F15220">
        <v>103771593</v>
      </c>
      <c r="G15220">
        <v>103771593</v>
      </c>
      <c r="H15220">
        <v>103771593</v>
      </c>
      <c r="I15220">
        <v>103771593</v>
      </c>
    </row>
    <row r="15221" spans="1:9" x14ac:dyDescent="0.2">
      <c r="A15221" t="str">
        <f>"Olfr69"</f>
        <v>Olfr69</v>
      </c>
      <c r="B15221" t="s">
        <v>5304</v>
      </c>
      <c r="C15221" t="s">
        <v>33</v>
      </c>
      <c r="D15221" t="s">
        <v>11</v>
      </c>
      <c r="E15221" t="s">
        <v>20</v>
      </c>
      <c r="F15221">
        <v>103768394</v>
      </c>
      <c r="G15221">
        <v>103768394</v>
      </c>
      <c r="H15221">
        <v>103768394</v>
      </c>
      <c r="I15221">
        <v>103768394</v>
      </c>
    </row>
    <row r="15222" spans="1:9" x14ac:dyDescent="0.2">
      <c r="A15222" t="str">
        <f>"Olfr690"</f>
        <v>Olfr690</v>
      </c>
      <c r="B15222" t="s">
        <v>5305</v>
      </c>
      <c r="C15222" t="s">
        <v>33</v>
      </c>
      <c r="D15222" t="s">
        <v>11</v>
      </c>
      <c r="E15222" t="s">
        <v>20</v>
      </c>
      <c r="F15222">
        <v>105330277</v>
      </c>
      <c r="G15222">
        <v>105330277</v>
      </c>
      <c r="H15222">
        <v>105330277</v>
      </c>
      <c r="I15222">
        <v>105330277</v>
      </c>
    </row>
    <row r="15223" spans="1:9" x14ac:dyDescent="0.2">
      <c r="A15223" t="str">
        <f>"Olfr691"</f>
        <v>Olfr691</v>
      </c>
      <c r="B15223" t="s">
        <v>5306</v>
      </c>
      <c r="C15223" t="s">
        <v>33</v>
      </c>
      <c r="D15223" t="s">
        <v>11</v>
      </c>
      <c r="E15223" t="s">
        <v>20</v>
      </c>
      <c r="F15223">
        <v>105337713</v>
      </c>
      <c r="G15223">
        <v>105337713</v>
      </c>
      <c r="H15223">
        <v>105337713</v>
      </c>
      <c r="I15223">
        <v>105337713</v>
      </c>
    </row>
    <row r="15224" spans="1:9" x14ac:dyDescent="0.2">
      <c r="A15224" t="str">
        <f>"Olfr692"</f>
        <v>Olfr692</v>
      </c>
      <c r="B15224" t="s">
        <v>5307</v>
      </c>
      <c r="C15224" t="s">
        <v>33</v>
      </c>
      <c r="D15224" t="s">
        <v>17</v>
      </c>
      <c r="E15224" t="s">
        <v>20</v>
      </c>
      <c r="F15224">
        <v>105368229</v>
      </c>
      <c r="G15224">
        <v>105368229</v>
      </c>
      <c r="H15224">
        <v>105368229</v>
      </c>
      <c r="I15224">
        <v>105368229</v>
      </c>
    </row>
    <row r="15225" spans="1:9" x14ac:dyDescent="0.2">
      <c r="A15225" t="str">
        <f>"Olfr693"</f>
        <v>Olfr693</v>
      </c>
      <c r="B15225" t="s">
        <v>5308</v>
      </c>
      <c r="C15225" t="s">
        <v>33</v>
      </c>
      <c r="D15225" t="s">
        <v>11</v>
      </c>
      <c r="E15225" t="s">
        <v>20</v>
      </c>
      <c r="F15225">
        <v>106678484</v>
      </c>
      <c r="G15225">
        <v>106678484</v>
      </c>
      <c r="H15225">
        <v>106678484</v>
      </c>
      <c r="I15225">
        <v>106678484</v>
      </c>
    </row>
    <row r="15226" spans="1:9" x14ac:dyDescent="0.2">
      <c r="A15226" t="str">
        <f>"Olfr694"</f>
        <v>Olfr694</v>
      </c>
      <c r="B15226" t="s">
        <v>5309</v>
      </c>
      <c r="C15226" t="s">
        <v>33</v>
      </c>
      <c r="D15226" t="s">
        <v>11</v>
      </c>
      <c r="E15226" t="s">
        <v>20</v>
      </c>
      <c r="F15226">
        <v>106689728</v>
      </c>
      <c r="G15226">
        <v>106689728</v>
      </c>
      <c r="H15226">
        <v>106689728</v>
      </c>
      <c r="I15226">
        <v>106689728</v>
      </c>
    </row>
    <row r="15227" spans="1:9" x14ac:dyDescent="0.2">
      <c r="A15227" t="str">
        <f>"Olfr695"</f>
        <v>Olfr695</v>
      </c>
      <c r="B15227" t="s">
        <v>5310</v>
      </c>
      <c r="C15227" t="s">
        <v>33</v>
      </c>
      <c r="D15227" t="s">
        <v>11</v>
      </c>
      <c r="E15227" t="s">
        <v>20</v>
      </c>
      <c r="F15227">
        <v>106716344</v>
      </c>
      <c r="G15227">
        <v>106716344</v>
      </c>
      <c r="H15227">
        <v>106716344</v>
      </c>
      <c r="I15227">
        <v>106716344</v>
      </c>
    </row>
    <row r="15228" spans="1:9" x14ac:dyDescent="0.2">
      <c r="A15228" t="str">
        <f>"Olfr697"</f>
        <v>Olfr697</v>
      </c>
      <c r="B15228" t="s">
        <v>5311</v>
      </c>
      <c r="C15228" t="s">
        <v>33</v>
      </c>
      <c r="D15228" t="s">
        <v>11</v>
      </c>
      <c r="E15228" t="s">
        <v>20</v>
      </c>
      <c r="F15228">
        <v>106741955</v>
      </c>
      <c r="G15228">
        <v>106741955</v>
      </c>
      <c r="H15228">
        <v>106741955</v>
      </c>
      <c r="I15228">
        <v>106741955</v>
      </c>
    </row>
    <row r="15229" spans="1:9" x14ac:dyDescent="0.2">
      <c r="A15229" t="str">
        <f>"Olfr698"</f>
        <v>Olfr698</v>
      </c>
      <c r="B15229" t="s">
        <v>5312</v>
      </c>
      <c r="C15229" t="s">
        <v>33</v>
      </c>
      <c r="D15229" t="s">
        <v>11</v>
      </c>
      <c r="E15229" t="s">
        <v>20</v>
      </c>
      <c r="F15229">
        <v>106753385</v>
      </c>
      <c r="G15229">
        <v>106753385</v>
      </c>
      <c r="H15229">
        <v>106753385</v>
      </c>
      <c r="I15229">
        <v>106753385</v>
      </c>
    </row>
    <row r="15230" spans="1:9" x14ac:dyDescent="0.2">
      <c r="A15230" t="str">
        <f>"Olfr699"</f>
        <v>Olfr699</v>
      </c>
      <c r="B15230" t="s">
        <v>5313</v>
      </c>
      <c r="C15230" t="s">
        <v>33</v>
      </c>
      <c r="D15230" t="s">
        <v>11</v>
      </c>
      <c r="E15230" t="s">
        <v>20</v>
      </c>
      <c r="F15230">
        <v>106790998</v>
      </c>
      <c r="G15230">
        <v>106790998</v>
      </c>
      <c r="H15230">
        <v>106790998</v>
      </c>
      <c r="I15230">
        <v>106790998</v>
      </c>
    </row>
    <row r="15231" spans="1:9" x14ac:dyDescent="0.2">
      <c r="A15231" t="str">
        <f>"Olfr70"</f>
        <v>Olfr70</v>
      </c>
      <c r="B15231" t="s">
        <v>5314</v>
      </c>
      <c r="C15231" t="s">
        <v>23</v>
      </c>
      <c r="D15231" t="s">
        <v>11</v>
      </c>
      <c r="E15231" t="s">
        <v>20</v>
      </c>
      <c r="F15231">
        <v>43700806</v>
      </c>
      <c r="G15231">
        <v>43700806</v>
      </c>
      <c r="H15231">
        <v>43700806</v>
      </c>
      <c r="I15231">
        <v>43700806</v>
      </c>
    </row>
    <row r="15232" spans="1:9" x14ac:dyDescent="0.2">
      <c r="A15232" t="str">
        <f>"Olfr700"</f>
        <v>Olfr700</v>
      </c>
      <c r="B15232" t="s">
        <v>5315</v>
      </c>
      <c r="C15232" t="s">
        <v>33</v>
      </c>
      <c r="D15232" t="s">
        <v>11</v>
      </c>
      <c r="E15232" t="s">
        <v>20</v>
      </c>
      <c r="F15232">
        <v>106806459</v>
      </c>
      <c r="G15232">
        <v>106806459</v>
      </c>
      <c r="H15232">
        <v>106806459</v>
      </c>
      <c r="I15232">
        <v>106806459</v>
      </c>
    </row>
    <row r="15233" spans="1:9" x14ac:dyDescent="0.2">
      <c r="A15233" t="str">
        <f>"Olfr701"</f>
        <v>Olfr701</v>
      </c>
      <c r="B15233" t="s">
        <v>14</v>
      </c>
      <c r="C15233" t="s">
        <v>33</v>
      </c>
      <c r="D15233" t="s">
        <v>17</v>
      </c>
      <c r="E15233" t="s">
        <v>12</v>
      </c>
      <c r="F15233">
        <v>106814135</v>
      </c>
      <c r="G15233">
        <v>106814160</v>
      </c>
      <c r="H15233">
        <v>106814135</v>
      </c>
      <c r="I15233">
        <v>106814160</v>
      </c>
    </row>
    <row r="15234" spans="1:9" x14ac:dyDescent="0.2">
      <c r="A15234" t="str">
        <f>"Olfr702"</f>
        <v>Olfr702</v>
      </c>
      <c r="B15234" t="s">
        <v>5316</v>
      </c>
      <c r="C15234" t="s">
        <v>33</v>
      </c>
      <c r="D15234" t="s">
        <v>11</v>
      </c>
      <c r="E15234" t="s">
        <v>20</v>
      </c>
      <c r="F15234">
        <v>106826742</v>
      </c>
      <c r="G15234">
        <v>106826742</v>
      </c>
      <c r="H15234">
        <v>106826742</v>
      </c>
      <c r="I15234">
        <v>106826742</v>
      </c>
    </row>
    <row r="15235" spans="1:9" x14ac:dyDescent="0.2">
      <c r="A15235" t="str">
        <f>"Olfr703"</f>
        <v>Olfr703</v>
      </c>
      <c r="B15235" t="s">
        <v>5317</v>
      </c>
      <c r="C15235" t="s">
        <v>33</v>
      </c>
      <c r="D15235" t="s">
        <v>17</v>
      </c>
      <c r="E15235" t="s">
        <v>20</v>
      </c>
      <c r="F15235">
        <v>106844612</v>
      </c>
      <c r="G15235">
        <v>106844612</v>
      </c>
      <c r="H15235">
        <v>106844612</v>
      </c>
      <c r="I15235">
        <v>106844612</v>
      </c>
    </row>
    <row r="15236" spans="1:9" x14ac:dyDescent="0.2">
      <c r="A15236" t="str">
        <f>"Olfr704"</f>
        <v>Olfr704</v>
      </c>
      <c r="B15236" t="s">
        <v>5318</v>
      </c>
      <c r="C15236" t="s">
        <v>33</v>
      </c>
      <c r="D15236" t="s">
        <v>17</v>
      </c>
      <c r="E15236" t="s">
        <v>20</v>
      </c>
      <c r="F15236">
        <v>106864981</v>
      </c>
      <c r="G15236">
        <v>106864981</v>
      </c>
      <c r="H15236">
        <v>106864981</v>
      </c>
      <c r="I15236">
        <v>106864981</v>
      </c>
    </row>
    <row r="15237" spans="1:9" x14ac:dyDescent="0.2">
      <c r="A15237" t="str">
        <f>"Olfr705"</f>
        <v>Olfr705</v>
      </c>
      <c r="B15237" t="s">
        <v>5319</v>
      </c>
      <c r="C15237" t="s">
        <v>33</v>
      </c>
      <c r="D15237" t="s">
        <v>11</v>
      </c>
      <c r="E15237" t="s">
        <v>20</v>
      </c>
      <c r="F15237">
        <v>106874242</v>
      </c>
      <c r="G15237">
        <v>106874242</v>
      </c>
      <c r="H15237">
        <v>106874242</v>
      </c>
      <c r="I15237">
        <v>106874242</v>
      </c>
    </row>
    <row r="15238" spans="1:9" x14ac:dyDescent="0.2">
      <c r="A15238" t="str">
        <f>"Olfr706"</f>
        <v>Olfr706</v>
      </c>
      <c r="B15238" t="s">
        <v>5320</v>
      </c>
      <c r="C15238" t="s">
        <v>33</v>
      </c>
      <c r="D15238" t="s">
        <v>11</v>
      </c>
      <c r="E15238" t="s">
        <v>20</v>
      </c>
      <c r="F15238">
        <v>106886814</v>
      </c>
      <c r="G15238">
        <v>106886814</v>
      </c>
      <c r="H15238">
        <v>106886814</v>
      </c>
      <c r="I15238">
        <v>106886814</v>
      </c>
    </row>
    <row r="15239" spans="1:9" x14ac:dyDescent="0.2">
      <c r="A15239" t="str">
        <f>"Olfr707"</f>
        <v>Olfr707</v>
      </c>
      <c r="B15239" t="s">
        <v>5321</v>
      </c>
      <c r="C15239" t="s">
        <v>33</v>
      </c>
      <c r="D15239" t="s">
        <v>11</v>
      </c>
      <c r="E15239" t="s">
        <v>20</v>
      </c>
      <c r="F15239">
        <v>106892106</v>
      </c>
      <c r="G15239">
        <v>106892106</v>
      </c>
      <c r="H15239">
        <v>106892106</v>
      </c>
      <c r="I15239">
        <v>106892106</v>
      </c>
    </row>
    <row r="15240" spans="1:9" x14ac:dyDescent="0.2">
      <c r="A15240" t="str">
        <f>"Olfr709-ps1"</f>
        <v>Olfr709-ps1</v>
      </c>
      <c r="B15240" t="s">
        <v>5322</v>
      </c>
      <c r="C15240" t="s">
        <v>33</v>
      </c>
      <c r="D15240" t="s">
        <v>11</v>
      </c>
      <c r="E15240" t="s">
        <v>20</v>
      </c>
      <c r="F15240">
        <v>106927456</v>
      </c>
      <c r="G15240">
        <v>106927456</v>
      </c>
      <c r="H15240">
        <v>106927456</v>
      </c>
      <c r="I15240">
        <v>106927456</v>
      </c>
    </row>
    <row r="15241" spans="1:9" x14ac:dyDescent="0.2">
      <c r="A15241" t="str">
        <f>"Olfr71"</f>
        <v>Olfr71</v>
      </c>
      <c r="B15241" t="s">
        <v>5323</v>
      </c>
      <c r="C15241" t="s">
        <v>23</v>
      </c>
      <c r="D15241" t="s">
        <v>11</v>
      </c>
      <c r="E15241" t="s">
        <v>20</v>
      </c>
      <c r="F15241">
        <v>43706565</v>
      </c>
      <c r="G15241">
        <v>43706565</v>
      </c>
      <c r="H15241">
        <v>43706565</v>
      </c>
      <c r="I15241">
        <v>43706565</v>
      </c>
    </row>
    <row r="15242" spans="1:9" x14ac:dyDescent="0.2">
      <c r="A15242" t="str">
        <f>"Olfr71"</f>
        <v>Olfr71</v>
      </c>
      <c r="B15242" t="s">
        <v>5324</v>
      </c>
      <c r="C15242" t="s">
        <v>23</v>
      </c>
      <c r="D15242" t="s">
        <v>11</v>
      </c>
      <c r="E15242" t="s">
        <v>20</v>
      </c>
      <c r="F15242">
        <v>43710230</v>
      </c>
      <c r="G15242">
        <v>43710230</v>
      </c>
      <c r="H15242">
        <v>43710230</v>
      </c>
      <c r="I15242">
        <v>43710230</v>
      </c>
    </row>
    <row r="15243" spans="1:9" x14ac:dyDescent="0.2">
      <c r="A15243" t="str">
        <f>"Olfr710"</f>
        <v>Olfr710</v>
      </c>
      <c r="B15243" t="s">
        <v>5325</v>
      </c>
      <c r="C15243" t="s">
        <v>33</v>
      </c>
      <c r="D15243" t="s">
        <v>11</v>
      </c>
      <c r="E15243" t="s">
        <v>20</v>
      </c>
      <c r="F15243">
        <v>106948311</v>
      </c>
      <c r="G15243">
        <v>106948311</v>
      </c>
      <c r="H15243">
        <v>106948311</v>
      </c>
      <c r="I15243">
        <v>106948311</v>
      </c>
    </row>
    <row r="15244" spans="1:9" x14ac:dyDescent="0.2">
      <c r="A15244" t="str">
        <f>"Olfr711"</f>
        <v>Olfr711</v>
      </c>
      <c r="B15244" t="s">
        <v>5326</v>
      </c>
      <c r="C15244" t="s">
        <v>33</v>
      </c>
      <c r="D15244" t="s">
        <v>11</v>
      </c>
      <c r="E15244" t="s">
        <v>20</v>
      </c>
      <c r="F15244">
        <v>106975450</v>
      </c>
      <c r="G15244">
        <v>106975450</v>
      </c>
      <c r="H15244">
        <v>106975450</v>
      </c>
      <c r="I15244">
        <v>106975450</v>
      </c>
    </row>
    <row r="15245" spans="1:9" x14ac:dyDescent="0.2">
      <c r="A15245" t="str">
        <f>"Olfr713"</f>
        <v>Olfr713</v>
      </c>
      <c r="B15245" t="s">
        <v>5327</v>
      </c>
      <c r="C15245" t="s">
        <v>33</v>
      </c>
      <c r="D15245" t="s">
        <v>17</v>
      </c>
      <c r="E15245" t="s">
        <v>20</v>
      </c>
      <c r="F15245">
        <v>107036135</v>
      </c>
      <c r="G15245">
        <v>107036135</v>
      </c>
      <c r="H15245">
        <v>107036135</v>
      </c>
      <c r="I15245">
        <v>107036135</v>
      </c>
    </row>
    <row r="15246" spans="1:9" x14ac:dyDescent="0.2">
      <c r="A15246" t="str">
        <f>"Olfr714"</f>
        <v>Olfr714</v>
      </c>
      <c r="B15246" t="s">
        <v>5328</v>
      </c>
      <c r="C15246" t="s">
        <v>33</v>
      </c>
      <c r="D15246" t="s">
        <v>17</v>
      </c>
      <c r="E15246" t="s">
        <v>20</v>
      </c>
      <c r="F15246">
        <v>107073829</v>
      </c>
      <c r="G15246">
        <v>107073829</v>
      </c>
      <c r="H15246">
        <v>107073829</v>
      </c>
      <c r="I15246">
        <v>107073829</v>
      </c>
    </row>
    <row r="15247" spans="1:9" x14ac:dyDescent="0.2">
      <c r="A15247" t="str">
        <f>"Olfr715"</f>
        <v>Olfr715</v>
      </c>
      <c r="B15247" t="s">
        <v>5329</v>
      </c>
      <c r="C15247" t="s">
        <v>33</v>
      </c>
      <c r="D15247" t="s">
        <v>11</v>
      </c>
      <c r="E15247" t="s">
        <v>20</v>
      </c>
      <c r="F15247">
        <v>107129481</v>
      </c>
      <c r="G15247">
        <v>107129481</v>
      </c>
      <c r="H15247">
        <v>107129481</v>
      </c>
      <c r="I15247">
        <v>107129481</v>
      </c>
    </row>
    <row r="15248" spans="1:9" x14ac:dyDescent="0.2">
      <c r="A15248" t="str">
        <f>"Olfr716"</f>
        <v>Olfr716</v>
      </c>
      <c r="B15248" t="s">
        <v>5330</v>
      </c>
      <c r="C15248" t="s">
        <v>33</v>
      </c>
      <c r="D15248" t="s">
        <v>17</v>
      </c>
      <c r="E15248" t="s">
        <v>20</v>
      </c>
      <c r="F15248">
        <v>107147225</v>
      </c>
      <c r="G15248">
        <v>107147225</v>
      </c>
      <c r="H15248">
        <v>107147225</v>
      </c>
      <c r="I15248">
        <v>107147225</v>
      </c>
    </row>
    <row r="15249" spans="1:9" x14ac:dyDescent="0.2">
      <c r="A15249" t="str">
        <f>"Olfr718-ps1"</f>
        <v>Olfr718-ps1</v>
      </c>
      <c r="B15249" t="s">
        <v>5331</v>
      </c>
      <c r="C15249" t="s">
        <v>46</v>
      </c>
      <c r="D15249" t="s">
        <v>11</v>
      </c>
      <c r="E15249" t="s">
        <v>20</v>
      </c>
      <c r="F15249">
        <v>143138199</v>
      </c>
      <c r="G15249">
        <v>143138199</v>
      </c>
      <c r="H15249">
        <v>143138199</v>
      </c>
      <c r="I15249">
        <v>143138199</v>
      </c>
    </row>
    <row r="15250" spans="1:9" x14ac:dyDescent="0.2">
      <c r="A15250" t="str">
        <f>"Olfr720"</f>
        <v>Olfr720</v>
      </c>
      <c r="B15250" t="s">
        <v>5332</v>
      </c>
      <c r="C15250" t="s">
        <v>41</v>
      </c>
      <c r="D15250" t="s">
        <v>11</v>
      </c>
      <c r="E15250" t="s">
        <v>20</v>
      </c>
      <c r="F15250">
        <v>14176116</v>
      </c>
      <c r="G15250">
        <v>14176116</v>
      </c>
      <c r="H15250">
        <v>14176116</v>
      </c>
      <c r="I15250">
        <v>14176116</v>
      </c>
    </row>
    <row r="15251" spans="1:9" x14ac:dyDescent="0.2">
      <c r="A15251" t="str">
        <f>"Olfr721-ps1"</f>
        <v>Olfr721-ps1</v>
      </c>
      <c r="B15251" t="s">
        <v>5333</v>
      </c>
      <c r="C15251" t="s">
        <v>41</v>
      </c>
      <c r="D15251" t="s">
        <v>17</v>
      </c>
      <c r="E15251" t="s">
        <v>20</v>
      </c>
      <c r="F15251">
        <v>14407223</v>
      </c>
      <c r="G15251">
        <v>14407223</v>
      </c>
      <c r="H15251">
        <v>14407223</v>
      </c>
      <c r="I15251">
        <v>14407223</v>
      </c>
    </row>
    <row r="15252" spans="1:9" x14ac:dyDescent="0.2">
      <c r="A15252" t="str">
        <f>"Olfr722"</f>
        <v>Olfr722</v>
      </c>
      <c r="B15252" t="s">
        <v>5334</v>
      </c>
      <c r="C15252" t="s">
        <v>41</v>
      </c>
      <c r="D15252" t="s">
        <v>11</v>
      </c>
      <c r="E15252" t="s">
        <v>20</v>
      </c>
      <c r="F15252">
        <v>49901940</v>
      </c>
      <c r="G15252">
        <v>49901940</v>
      </c>
      <c r="H15252">
        <v>49901940</v>
      </c>
      <c r="I15252">
        <v>49901940</v>
      </c>
    </row>
    <row r="15253" spans="1:9" x14ac:dyDescent="0.2">
      <c r="A15253" t="str">
        <f>"Olfr723"</f>
        <v>Olfr723</v>
      </c>
      <c r="B15253" t="s">
        <v>5335</v>
      </c>
      <c r="C15253" t="s">
        <v>41</v>
      </c>
      <c r="D15253" t="s">
        <v>11</v>
      </c>
      <c r="E15253" t="s">
        <v>20</v>
      </c>
      <c r="F15253">
        <v>49929567</v>
      </c>
      <c r="G15253">
        <v>49929567</v>
      </c>
      <c r="H15253">
        <v>49929567</v>
      </c>
      <c r="I15253">
        <v>49929567</v>
      </c>
    </row>
    <row r="15254" spans="1:9" x14ac:dyDescent="0.2">
      <c r="A15254" t="str">
        <f>"Olfr724"</f>
        <v>Olfr724</v>
      </c>
      <c r="B15254" t="s">
        <v>5336</v>
      </c>
      <c r="C15254" t="s">
        <v>41</v>
      </c>
      <c r="D15254" t="s">
        <v>11</v>
      </c>
      <c r="E15254" t="s">
        <v>20</v>
      </c>
      <c r="F15254">
        <v>49961095</v>
      </c>
      <c r="G15254">
        <v>49961095</v>
      </c>
      <c r="H15254">
        <v>49961095</v>
      </c>
      <c r="I15254">
        <v>49961095</v>
      </c>
    </row>
    <row r="15255" spans="1:9" x14ac:dyDescent="0.2">
      <c r="A15255" t="str">
        <f>"Olfr725"</f>
        <v>Olfr725</v>
      </c>
      <c r="B15255" t="s">
        <v>5337</v>
      </c>
      <c r="C15255" t="s">
        <v>41</v>
      </c>
      <c r="D15255" t="s">
        <v>11</v>
      </c>
      <c r="E15255" t="s">
        <v>20</v>
      </c>
      <c r="F15255">
        <v>50035499</v>
      </c>
      <c r="G15255">
        <v>50035499</v>
      </c>
      <c r="H15255">
        <v>50035499</v>
      </c>
      <c r="I15255">
        <v>50035499</v>
      </c>
    </row>
    <row r="15256" spans="1:9" x14ac:dyDescent="0.2">
      <c r="A15256" t="str">
        <f>"Olfr726"</f>
        <v>Olfr726</v>
      </c>
      <c r="B15256" t="s">
        <v>5338</v>
      </c>
      <c r="C15256" t="s">
        <v>41</v>
      </c>
      <c r="D15256" t="s">
        <v>11</v>
      </c>
      <c r="E15256" t="s">
        <v>20</v>
      </c>
      <c r="F15256">
        <v>50084678</v>
      </c>
      <c r="G15256">
        <v>50084678</v>
      </c>
      <c r="H15256">
        <v>50084678</v>
      </c>
      <c r="I15256">
        <v>50084678</v>
      </c>
    </row>
    <row r="15257" spans="1:9" x14ac:dyDescent="0.2">
      <c r="A15257" t="str">
        <f>"Olfr727"</f>
        <v>Olfr727</v>
      </c>
      <c r="B15257" t="s">
        <v>5339</v>
      </c>
      <c r="C15257" t="s">
        <v>41</v>
      </c>
      <c r="D15257" t="s">
        <v>17</v>
      </c>
      <c r="E15257" t="s">
        <v>20</v>
      </c>
      <c r="F15257">
        <v>50126552</v>
      </c>
      <c r="G15257">
        <v>50126552</v>
      </c>
      <c r="H15257">
        <v>50126552</v>
      </c>
      <c r="I15257">
        <v>50126552</v>
      </c>
    </row>
    <row r="15258" spans="1:9" x14ac:dyDescent="0.2">
      <c r="A15258" t="str">
        <f>"Olfr728"</f>
        <v>Olfr728</v>
      </c>
      <c r="B15258" t="s">
        <v>5340</v>
      </c>
      <c r="C15258" t="s">
        <v>41</v>
      </c>
      <c r="D15258" t="s">
        <v>11</v>
      </c>
      <c r="E15258" t="s">
        <v>20</v>
      </c>
      <c r="F15258">
        <v>50140636</v>
      </c>
      <c r="G15258">
        <v>50140636</v>
      </c>
      <c r="H15258">
        <v>50140636</v>
      </c>
      <c r="I15258">
        <v>50140636</v>
      </c>
    </row>
    <row r="15259" spans="1:9" x14ac:dyDescent="0.2">
      <c r="A15259" t="str">
        <f>"Olfr729"</f>
        <v>Olfr729</v>
      </c>
      <c r="B15259" t="s">
        <v>5341</v>
      </c>
      <c r="C15259" t="s">
        <v>41</v>
      </c>
      <c r="D15259" t="s">
        <v>11</v>
      </c>
      <c r="E15259" t="s">
        <v>20</v>
      </c>
      <c r="F15259">
        <v>50148871</v>
      </c>
      <c r="G15259">
        <v>50148871</v>
      </c>
      <c r="H15259">
        <v>50148871</v>
      </c>
      <c r="I15259">
        <v>50148871</v>
      </c>
    </row>
    <row r="15260" spans="1:9" x14ac:dyDescent="0.2">
      <c r="A15260" t="str">
        <f>"Olfr73"</f>
        <v>Olfr73</v>
      </c>
      <c r="B15260" t="s">
        <v>5342</v>
      </c>
      <c r="C15260" t="s">
        <v>26</v>
      </c>
      <c r="D15260" t="s">
        <v>11</v>
      </c>
      <c r="E15260" t="s">
        <v>20</v>
      </c>
      <c r="F15260">
        <v>88035136</v>
      </c>
      <c r="G15260">
        <v>88035136</v>
      </c>
      <c r="H15260">
        <v>88035136</v>
      </c>
      <c r="I15260">
        <v>88035136</v>
      </c>
    </row>
    <row r="15261" spans="1:9" x14ac:dyDescent="0.2">
      <c r="A15261" t="str">
        <f>"Olfr730"</f>
        <v>Olfr730</v>
      </c>
      <c r="B15261" t="s">
        <v>5343</v>
      </c>
      <c r="C15261" t="s">
        <v>41</v>
      </c>
      <c r="D15261" t="s">
        <v>11</v>
      </c>
      <c r="E15261" t="s">
        <v>20</v>
      </c>
      <c r="F15261">
        <v>50187217</v>
      </c>
      <c r="G15261">
        <v>50187217</v>
      </c>
      <c r="H15261">
        <v>50187217</v>
      </c>
      <c r="I15261">
        <v>50187217</v>
      </c>
    </row>
    <row r="15262" spans="1:9" x14ac:dyDescent="0.2">
      <c r="A15262" t="str">
        <f>"Olfr731"</f>
        <v>Olfr731</v>
      </c>
      <c r="B15262" t="s">
        <v>5344</v>
      </c>
      <c r="C15262" t="s">
        <v>41</v>
      </c>
      <c r="D15262" t="s">
        <v>11</v>
      </c>
      <c r="E15262" t="s">
        <v>20</v>
      </c>
      <c r="F15262">
        <v>50238882</v>
      </c>
      <c r="G15262">
        <v>50238882</v>
      </c>
      <c r="H15262">
        <v>50238882</v>
      </c>
      <c r="I15262">
        <v>50238882</v>
      </c>
    </row>
    <row r="15263" spans="1:9" x14ac:dyDescent="0.2">
      <c r="A15263" t="str">
        <f>"Olfr732"</f>
        <v>Olfr732</v>
      </c>
      <c r="B15263" t="s">
        <v>5345</v>
      </c>
      <c r="C15263" t="s">
        <v>41</v>
      </c>
      <c r="D15263" t="s">
        <v>11</v>
      </c>
      <c r="E15263" t="s">
        <v>20</v>
      </c>
      <c r="F15263">
        <v>50282270</v>
      </c>
      <c r="G15263">
        <v>50282270</v>
      </c>
      <c r="H15263">
        <v>50282270</v>
      </c>
      <c r="I15263">
        <v>50282270</v>
      </c>
    </row>
    <row r="15264" spans="1:9" x14ac:dyDescent="0.2">
      <c r="A15264" t="str">
        <f>"Olfr733"</f>
        <v>Olfr733</v>
      </c>
      <c r="B15264" t="s">
        <v>5346</v>
      </c>
      <c r="C15264" t="s">
        <v>41</v>
      </c>
      <c r="D15264" t="s">
        <v>11</v>
      </c>
      <c r="E15264" t="s">
        <v>20</v>
      </c>
      <c r="F15264">
        <v>50299329</v>
      </c>
      <c r="G15264">
        <v>50299329</v>
      </c>
      <c r="H15264">
        <v>50299329</v>
      </c>
      <c r="I15264">
        <v>50299329</v>
      </c>
    </row>
    <row r="15265" spans="1:9" x14ac:dyDescent="0.2">
      <c r="A15265" t="str">
        <f>"Olfr734"</f>
        <v>Olfr734</v>
      </c>
      <c r="B15265" t="s">
        <v>5347</v>
      </c>
      <c r="C15265" t="s">
        <v>41</v>
      </c>
      <c r="D15265" t="s">
        <v>11</v>
      </c>
      <c r="E15265" t="s">
        <v>20</v>
      </c>
      <c r="F15265">
        <v>50320867</v>
      </c>
      <c r="G15265">
        <v>50320867</v>
      </c>
      <c r="H15265">
        <v>50320867</v>
      </c>
      <c r="I15265">
        <v>50320867</v>
      </c>
    </row>
    <row r="15266" spans="1:9" x14ac:dyDescent="0.2">
      <c r="A15266" t="str">
        <f>"Olfr735"</f>
        <v>Olfr735</v>
      </c>
      <c r="B15266" t="s">
        <v>5348</v>
      </c>
      <c r="C15266" t="s">
        <v>41</v>
      </c>
      <c r="D15266" t="s">
        <v>11</v>
      </c>
      <c r="E15266" t="s">
        <v>20</v>
      </c>
      <c r="F15266">
        <v>50346439</v>
      </c>
      <c r="G15266">
        <v>50346439</v>
      </c>
      <c r="H15266">
        <v>50346439</v>
      </c>
      <c r="I15266">
        <v>50346439</v>
      </c>
    </row>
    <row r="15267" spans="1:9" x14ac:dyDescent="0.2">
      <c r="A15267" t="str">
        <f>"Olfr736"</f>
        <v>Olfr736</v>
      </c>
      <c r="B15267" t="s">
        <v>5349</v>
      </c>
      <c r="C15267" t="s">
        <v>41</v>
      </c>
      <c r="D15267" t="s">
        <v>17</v>
      </c>
      <c r="E15267" t="s">
        <v>20</v>
      </c>
      <c r="F15267">
        <v>50392757</v>
      </c>
      <c r="G15267">
        <v>50392757</v>
      </c>
      <c r="H15267">
        <v>50392757</v>
      </c>
      <c r="I15267">
        <v>50392757</v>
      </c>
    </row>
    <row r="15268" spans="1:9" x14ac:dyDescent="0.2">
      <c r="A15268" t="str">
        <f>"Olfr738"</f>
        <v>Olfr738</v>
      </c>
      <c r="B15268" t="s">
        <v>5350</v>
      </c>
      <c r="C15268" t="s">
        <v>41</v>
      </c>
      <c r="D15268" t="s">
        <v>17</v>
      </c>
      <c r="E15268" t="s">
        <v>20</v>
      </c>
      <c r="F15268">
        <v>50413545</v>
      </c>
      <c r="G15268">
        <v>50413545</v>
      </c>
      <c r="H15268">
        <v>50413545</v>
      </c>
      <c r="I15268">
        <v>50413545</v>
      </c>
    </row>
    <row r="15269" spans="1:9" x14ac:dyDescent="0.2">
      <c r="A15269" t="str">
        <f>"Olfr739"</f>
        <v>Olfr739</v>
      </c>
      <c r="B15269" t="s">
        <v>5351</v>
      </c>
      <c r="C15269" t="s">
        <v>41</v>
      </c>
      <c r="D15269" t="s">
        <v>17</v>
      </c>
      <c r="E15269" t="s">
        <v>20</v>
      </c>
      <c r="F15269">
        <v>50424520</v>
      </c>
      <c r="G15269">
        <v>50424520</v>
      </c>
      <c r="H15269">
        <v>50424520</v>
      </c>
      <c r="I15269">
        <v>50424520</v>
      </c>
    </row>
    <row r="15270" spans="1:9" x14ac:dyDescent="0.2">
      <c r="A15270" t="str">
        <f>"Olfr74"</f>
        <v>Olfr74</v>
      </c>
      <c r="B15270" t="s">
        <v>5352</v>
      </c>
      <c r="C15270" t="s">
        <v>26</v>
      </c>
      <c r="D15270" t="s">
        <v>11</v>
      </c>
      <c r="E15270" t="s">
        <v>20</v>
      </c>
      <c r="F15270">
        <v>87974662</v>
      </c>
      <c r="G15270">
        <v>87974662</v>
      </c>
      <c r="H15270">
        <v>87974662</v>
      </c>
      <c r="I15270">
        <v>87974662</v>
      </c>
    </row>
    <row r="15271" spans="1:9" x14ac:dyDescent="0.2">
      <c r="A15271" t="str">
        <f>"Olfr740"</f>
        <v>Olfr740</v>
      </c>
      <c r="B15271" t="s">
        <v>5353</v>
      </c>
      <c r="C15271" t="s">
        <v>41</v>
      </c>
      <c r="D15271" t="s">
        <v>17</v>
      </c>
      <c r="E15271" t="s">
        <v>20</v>
      </c>
      <c r="F15271">
        <v>50453053</v>
      </c>
      <c r="G15271">
        <v>50453053</v>
      </c>
      <c r="H15271">
        <v>50453053</v>
      </c>
      <c r="I15271">
        <v>50453053</v>
      </c>
    </row>
    <row r="15272" spans="1:9" x14ac:dyDescent="0.2">
      <c r="A15272" t="str">
        <f>"Olfr741"</f>
        <v>Olfr741</v>
      </c>
      <c r="B15272" t="s">
        <v>5354</v>
      </c>
      <c r="C15272" t="s">
        <v>41</v>
      </c>
      <c r="D15272" t="s">
        <v>17</v>
      </c>
      <c r="E15272" t="s">
        <v>20</v>
      </c>
      <c r="F15272">
        <v>50485459</v>
      </c>
      <c r="G15272">
        <v>50485459</v>
      </c>
      <c r="H15272">
        <v>50485459</v>
      </c>
      <c r="I15272">
        <v>50485459</v>
      </c>
    </row>
    <row r="15273" spans="1:9" x14ac:dyDescent="0.2">
      <c r="A15273" t="str">
        <f>"Olfr742"</f>
        <v>Olfr742</v>
      </c>
      <c r="B15273" t="s">
        <v>5355</v>
      </c>
      <c r="C15273" t="s">
        <v>41</v>
      </c>
      <c r="D15273" t="s">
        <v>17</v>
      </c>
      <c r="E15273" t="s">
        <v>20</v>
      </c>
      <c r="F15273">
        <v>50515120</v>
      </c>
      <c r="G15273">
        <v>50515120</v>
      </c>
      <c r="H15273">
        <v>50515120</v>
      </c>
      <c r="I15273">
        <v>50515120</v>
      </c>
    </row>
    <row r="15274" spans="1:9" x14ac:dyDescent="0.2">
      <c r="A15274" t="str">
        <f>"Olfr743"</f>
        <v>Olfr743</v>
      </c>
      <c r="B15274" t="s">
        <v>5356</v>
      </c>
      <c r="C15274" t="s">
        <v>41</v>
      </c>
      <c r="D15274" t="s">
        <v>17</v>
      </c>
      <c r="E15274" t="s">
        <v>20</v>
      </c>
      <c r="F15274">
        <v>50533413</v>
      </c>
      <c r="G15274">
        <v>50533413</v>
      </c>
      <c r="H15274">
        <v>50533413</v>
      </c>
      <c r="I15274">
        <v>50533413</v>
      </c>
    </row>
    <row r="15275" spans="1:9" x14ac:dyDescent="0.2">
      <c r="A15275" t="str">
        <f>"Olfr744"</f>
        <v>Olfr744</v>
      </c>
      <c r="B15275" t="s">
        <v>5357</v>
      </c>
      <c r="C15275" t="s">
        <v>41</v>
      </c>
      <c r="D15275" t="s">
        <v>17</v>
      </c>
      <c r="E15275" t="s">
        <v>20</v>
      </c>
      <c r="F15275">
        <v>50618160</v>
      </c>
      <c r="G15275">
        <v>50618160</v>
      </c>
      <c r="H15275">
        <v>50618160</v>
      </c>
      <c r="I15275">
        <v>50618160</v>
      </c>
    </row>
    <row r="15276" spans="1:9" x14ac:dyDescent="0.2">
      <c r="A15276" t="str">
        <f>"Olfr745"</f>
        <v>Olfr745</v>
      </c>
      <c r="B15276" t="s">
        <v>5358</v>
      </c>
      <c r="C15276" t="s">
        <v>41</v>
      </c>
      <c r="D15276" t="s">
        <v>17</v>
      </c>
      <c r="E15276" t="s">
        <v>20</v>
      </c>
      <c r="F15276">
        <v>50642194</v>
      </c>
      <c r="G15276">
        <v>50642194</v>
      </c>
      <c r="H15276">
        <v>50642194</v>
      </c>
      <c r="I15276">
        <v>50642194</v>
      </c>
    </row>
    <row r="15277" spans="1:9" x14ac:dyDescent="0.2">
      <c r="A15277" t="str">
        <f>"Olfr746"</f>
        <v>Olfr746</v>
      </c>
      <c r="B15277" t="s">
        <v>5359</v>
      </c>
      <c r="C15277" t="s">
        <v>41</v>
      </c>
      <c r="D15277" t="s">
        <v>17</v>
      </c>
      <c r="E15277" t="s">
        <v>20</v>
      </c>
      <c r="F15277">
        <v>50653238</v>
      </c>
      <c r="G15277">
        <v>50653238</v>
      </c>
      <c r="H15277">
        <v>50653238</v>
      </c>
      <c r="I15277">
        <v>50653238</v>
      </c>
    </row>
    <row r="15278" spans="1:9" x14ac:dyDescent="0.2">
      <c r="A15278" t="str">
        <f>"Olfr747"</f>
        <v>Olfr747</v>
      </c>
      <c r="B15278" t="s">
        <v>5360</v>
      </c>
      <c r="C15278" t="s">
        <v>41</v>
      </c>
      <c r="D15278" t="s">
        <v>11</v>
      </c>
      <c r="E15278" t="s">
        <v>20</v>
      </c>
      <c r="F15278">
        <v>50681644</v>
      </c>
      <c r="G15278">
        <v>50681644</v>
      </c>
      <c r="H15278">
        <v>50681644</v>
      </c>
      <c r="I15278">
        <v>50681644</v>
      </c>
    </row>
    <row r="15279" spans="1:9" x14ac:dyDescent="0.2">
      <c r="A15279" t="str">
        <f>"Olfr748"</f>
        <v>Olfr748</v>
      </c>
      <c r="B15279" t="s">
        <v>5361</v>
      </c>
      <c r="C15279" t="s">
        <v>41</v>
      </c>
      <c r="D15279" t="s">
        <v>17</v>
      </c>
      <c r="E15279" t="s">
        <v>20</v>
      </c>
      <c r="F15279">
        <v>50710331</v>
      </c>
      <c r="G15279">
        <v>50710331</v>
      </c>
      <c r="H15279">
        <v>50710331</v>
      </c>
      <c r="I15279">
        <v>50710331</v>
      </c>
    </row>
    <row r="15280" spans="1:9" x14ac:dyDescent="0.2">
      <c r="A15280" t="str">
        <f>"Olfr749"</f>
        <v>Olfr749</v>
      </c>
      <c r="B15280" t="s">
        <v>5362</v>
      </c>
      <c r="C15280" t="s">
        <v>41</v>
      </c>
      <c r="D15280" t="s">
        <v>11</v>
      </c>
      <c r="E15280" t="s">
        <v>20</v>
      </c>
      <c r="F15280">
        <v>50744323</v>
      </c>
      <c r="G15280">
        <v>50744323</v>
      </c>
      <c r="H15280">
        <v>50744323</v>
      </c>
      <c r="I15280">
        <v>50744323</v>
      </c>
    </row>
    <row r="15281" spans="1:9" x14ac:dyDescent="0.2">
      <c r="A15281" t="str">
        <f>"Olfr750"</f>
        <v>Olfr750</v>
      </c>
      <c r="B15281" t="s">
        <v>5363</v>
      </c>
      <c r="C15281" t="s">
        <v>41</v>
      </c>
      <c r="D15281" t="s">
        <v>11</v>
      </c>
      <c r="E15281" t="s">
        <v>20</v>
      </c>
      <c r="F15281">
        <v>51071441</v>
      </c>
      <c r="G15281">
        <v>51071441</v>
      </c>
      <c r="H15281">
        <v>51071441</v>
      </c>
      <c r="I15281">
        <v>51071441</v>
      </c>
    </row>
    <row r="15282" spans="1:9" x14ac:dyDescent="0.2">
      <c r="A15282" t="str">
        <f>"Olfr76"</f>
        <v>Olfr76</v>
      </c>
      <c r="B15282" t="s">
        <v>5364</v>
      </c>
      <c r="C15282" t="s">
        <v>10</v>
      </c>
      <c r="D15282" t="s">
        <v>11</v>
      </c>
      <c r="E15282" t="s">
        <v>20</v>
      </c>
      <c r="F15282">
        <v>12120699</v>
      </c>
      <c r="G15282">
        <v>12120699</v>
      </c>
      <c r="H15282">
        <v>12120699</v>
      </c>
      <c r="I15282">
        <v>12120699</v>
      </c>
    </row>
    <row r="15283" spans="1:9" x14ac:dyDescent="0.2">
      <c r="A15283" t="str">
        <f>"Olfr761"</f>
        <v>Olfr761</v>
      </c>
      <c r="B15283" t="s">
        <v>5365</v>
      </c>
      <c r="C15283" t="s">
        <v>28</v>
      </c>
      <c r="D15283" t="s">
        <v>11</v>
      </c>
      <c r="E15283" t="s">
        <v>20</v>
      </c>
      <c r="F15283">
        <v>37953021</v>
      </c>
      <c r="G15283">
        <v>37953021</v>
      </c>
      <c r="H15283">
        <v>37953021</v>
      </c>
      <c r="I15283">
        <v>37953021</v>
      </c>
    </row>
    <row r="15284" spans="1:9" x14ac:dyDescent="0.2">
      <c r="A15284" t="str">
        <f>"Olfr763"</f>
        <v>Olfr763</v>
      </c>
      <c r="B15284" t="s">
        <v>5366</v>
      </c>
      <c r="C15284" t="s">
        <v>15</v>
      </c>
      <c r="D15284" t="s">
        <v>17</v>
      </c>
      <c r="E15284" t="s">
        <v>20</v>
      </c>
      <c r="F15284">
        <v>129011221</v>
      </c>
      <c r="G15284">
        <v>129011221</v>
      </c>
      <c r="H15284">
        <v>129011221</v>
      </c>
      <c r="I15284">
        <v>129011221</v>
      </c>
    </row>
    <row r="15285" spans="1:9" x14ac:dyDescent="0.2">
      <c r="A15285" t="str">
        <f>"Olfr765"</f>
        <v>Olfr765</v>
      </c>
      <c r="B15285" t="s">
        <v>5367</v>
      </c>
      <c r="C15285" t="s">
        <v>15</v>
      </c>
      <c r="D15285" t="s">
        <v>11</v>
      </c>
      <c r="E15285" t="s">
        <v>20</v>
      </c>
      <c r="F15285">
        <v>129047060</v>
      </c>
      <c r="G15285">
        <v>129047060</v>
      </c>
      <c r="H15285">
        <v>129047060</v>
      </c>
      <c r="I15285">
        <v>129047060</v>
      </c>
    </row>
    <row r="15286" spans="1:9" x14ac:dyDescent="0.2">
      <c r="A15286" t="str">
        <f>"Olfr767"</f>
        <v>Olfr767</v>
      </c>
      <c r="B15286" t="s">
        <v>5368</v>
      </c>
      <c r="C15286" t="s">
        <v>15</v>
      </c>
      <c r="D15286" t="s">
        <v>11</v>
      </c>
      <c r="E15286" t="s">
        <v>20</v>
      </c>
      <c r="F15286">
        <v>129080056</v>
      </c>
      <c r="G15286">
        <v>129080056</v>
      </c>
      <c r="H15286">
        <v>129080056</v>
      </c>
      <c r="I15286">
        <v>129080056</v>
      </c>
    </row>
    <row r="15287" spans="1:9" x14ac:dyDescent="0.2">
      <c r="A15287" t="str">
        <f>"Olfr768"</f>
        <v>Olfr768</v>
      </c>
      <c r="B15287" t="s">
        <v>5369</v>
      </c>
      <c r="C15287" t="s">
        <v>15</v>
      </c>
      <c r="D15287" t="s">
        <v>11</v>
      </c>
      <c r="E15287" t="s">
        <v>20</v>
      </c>
      <c r="F15287">
        <v>129093971</v>
      </c>
      <c r="G15287">
        <v>129093971</v>
      </c>
      <c r="H15287">
        <v>129093971</v>
      </c>
      <c r="I15287">
        <v>129093971</v>
      </c>
    </row>
    <row r="15288" spans="1:9" x14ac:dyDescent="0.2">
      <c r="A15288" t="str">
        <f>"Olfr769"</f>
        <v>Olfr769</v>
      </c>
      <c r="B15288" t="s">
        <v>5370</v>
      </c>
      <c r="C15288" t="s">
        <v>15</v>
      </c>
      <c r="D15288" t="s">
        <v>11</v>
      </c>
      <c r="E15288" t="s">
        <v>20</v>
      </c>
      <c r="F15288">
        <v>129112510</v>
      </c>
      <c r="G15288">
        <v>129112510</v>
      </c>
      <c r="H15288">
        <v>129112510</v>
      </c>
      <c r="I15288">
        <v>129112510</v>
      </c>
    </row>
    <row r="15289" spans="1:9" x14ac:dyDescent="0.2">
      <c r="A15289" t="str">
        <f>"Olfr77"</f>
        <v>Olfr77</v>
      </c>
      <c r="B15289" t="s">
        <v>5371</v>
      </c>
      <c r="C15289" t="s">
        <v>24</v>
      </c>
      <c r="D15289" t="s">
        <v>17</v>
      </c>
      <c r="E15289" t="s">
        <v>20</v>
      </c>
      <c r="F15289">
        <v>19917228</v>
      </c>
      <c r="G15289">
        <v>19917228</v>
      </c>
      <c r="H15289">
        <v>19917228</v>
      </c>
      <c r="I15289">
        <v>19917228</v>
      </c>
    </row>
    <row r="15290" spans="1:9" x14ac:dyDescent="0.2">
      <c r="A15290" t="str">
        <f>"Olfr770"</f>
        <v>Olfr770</v>
      </c>
      <c r="B15290" t="s">
        <v>5372</v>
      </c>
      <c r="C15290" t="s">
        <v>15</v>
      </c>
      <c r="D15290" t="s">
        <v>11</v>
      </c>
      <c r="E15290" t="s">
        <v>20</v>
      </c>
      <c r="F15290">
        <v>129133765</v>
      </c>
      <c r="G15290">
        <v>129133765</v>
      </c>
      <c r="H15290">
        <v>129133765</v>
      </c>
      <c r="I15290">
        <v>129133765</v>
      </c>
    </row>
    <row r="15291" spans="1:9" x14ac:dyDescent="0.2">
      <c r="A15291" t="str">
        <f>"Olfr771"</f>
        <v>Olfr771</v>
      </c>
      <c r="B15291" t="s">
        <v>5373</v>
      </c>
      <c r="C15291" t="s">
        <v>15</v>
      </c>
      <c r="D15291" t="s">
        <v>11</v>
      </c>
      <c r="E15291" t="s">
        <v>20</v>
      </c>
      <c r="F15291">
        <v>129160981</v>
      </c>
      <c r="G15291">
        <v>129160981</v>
      </c>
      <c r="H15291">
        <v>129160981</v>
      </c>
      <c r="I15291">
        <v>129160981</v>
      </c>
    </row>
    <row r="15292" spans="1:9" x14ac:dyDescent="0.2">
      <c r="A15292" t="str">
        <f>"Olfr772"</f>
        <v>Olfr772</v>
      </c>
      <c r="B15292" t="s">
        <v>5374</v>
      </c>
      <c r="C15292" t="s">
        <v>15</v>
      </c>
      <c r="D15292" t="s">
        <v>11</v>
      </c>
      <c r="E15292" t="s">
        <v>20</v>
      </c>
      <c r="F15292">
        <v>129175053</v>
      </c>
      <c r="G15292">
        <v>129175053</v>
      </c>
      <c r="H15292">
        <v>129175053</v>
      </c>
      <c r="I15292">
        <v>129175053</v>
      </c>
    </row>
    <row r="15293" spans="1:9" x14ac:dyDescent="0.2">
      <c r="A15293" t="str">
        <f>"Olfr773"</f>
        <v>Olfr773</v>
      </c>
      <c r="B15293" t="s">
        <v>5375</v>
      </c>
      <c r="C15293" t="s">
        <v>15</v>
      </c>
      <c r="D15293" t="s">
        <v>11</v>
      </c>
      <c r="E15293" t="s">
        <v>20</v>
      </c>
      <c r="F15293">
        <v>129187418</v>
      </c>
      <c r="G15293">
        <v>129187418</v>
      </c>
      <c r="H15293">
        <v>129187418</v>
      </c>
      <c r="I15293">
        <v>129187418</v>
      </c>
    </row>
    <row r="15294" spans="1:9" x14ac:dyDescent="0.2">
      <c r="A15294" t="str">
        <f>"Olfr774"</f>
        <v>Olfr774</v>
      </c>
      <c r="B15294" t="s">
        <v>5376</v>
      </c>
      <c r="C15294" t="s">
        <v>15</v>
      </c>
      <c r="D15294" t="s">
        <v>17</v>
      </c>
      <c r="E15294" t="s">
        <v>20</v>
      </c>
      <c r="F15294">
        <v>129238150</v>
      </c>
      <c r="G15294">
        <v>129238150</v>
      </c>
      <c r="H15294">
        <v>129238150</v>
      </c>
      <c r="I15294">
        <v>129238150</v>
      </c>
    </row>
    <row r="15295" spans="1:9" x14ac:dyDescent="0.2">
      <c r="A15295" t="str">
        <f>"Olfr775"</f>
        <v>Olfr775</v>
      </c>
      <c r="B15295" t="s">
        <v>5377</v>
      </c>
      <c r="C15295" t="s">
        <v>15</v>
      </c>
      <c r="D15295" t="s">
        <v>17</v>
      </c>
      <c r="E15295" t="s">
        <v>20</v>
      </c>
      <c r="F15295">
        <v>129250535</v>
      </c>
      <c r="G15295">
        <v>129250535</v>
      </c>
      <c r="H15295">
        <v>129250535</v>
      </c>
      <c r="I15295">
        <v>129250535</v>
      </c>
    </row>
    <row r="15296" spans="1:9" x14ac:dyDescent="0.2">
      <c r="A15296" t="str">
        <f>"Olfr776"</f>
        <v>Olfr776</v>
      </c>
      <c r="B15296" t="s">
        <v>5378</v>
      </c>
      <c r="C15296" t="s">
        <v>15</v>
      </c>
      <c r="D15296" t="s">
        <v>17</v>
      </c>
      <c r="E15296" t="s">
        <v>20</v>
      </c>
      <c r="F15296">
        <v>129260962</v>
      </c>
      <c r="G15296">
        <v>129260962</v>
      </c>
      <c r="H15296">
        <v>129260962</v>
      </c>
      <c r="I15296">
        <v>129260962</v>
      </c>
    </row>
    <row r="15297" spans="1:9" x14ac:dyDescent="0.2">
      <c r="A15297" t="str">
        <f>"Olfr777"</f>
        <v>Olfr777</v>
      </c>
      <c r="B15297" t="s">
        <v>5379</v>
      </c>
      <c r="C15297" t="s">
        <v>15</v>
      </c>
      <c r="D15297" t="s">
        <v>11</v>
      </c>
      <c r="E15297" t="s">
        <v>20</v>
      </c>
      <c r="F15297">
        <v>129269320</v>
      </c>
      <c r="G15297">
        <v>129269320</v>
      </c>
      <c r="H15297">
        <v>129269320</v>
      </c>
      <c r="I15297">
        <v>129269320</v>
      </c>
    </row>
    <row r="15298" spans="1:9" x14ac:dyDescent="0.2">
      <c r="A15298" t="str">
        <f>"Olfr779"</f>
        <v>Olfr779</v>
      </c>
      <c r="B15298" t="s">
        <v>5380</v>
      </c>
      <c r="C15298" t="s">
        <v>15</v>
      </c>
      <c r="D15298" t="s">
        <v>17</v>
      </c>
      <c r="E15298" t="s">
        <v>20</v>
      </c>
      <c r="F15298">
        <v>129311508</v>
      </c>
      <c r="G15298">
        <v>129311508</v>
      </c>
      <c r="H15298">
        <v>129311508</v>
      </c>
      <c r="I15298">
        <v>129311508</v>
      </c>
    </row>
    <row r="15299" spans="1:9" x14ac:dyDescent="0.2">
      <c r="A15299" t="str">
        <f>"Olfr78"</f>
        <v>Olfr78</v>
      </c>
      <c r="B15299" t="s">
        <v>14</v>
      </c>
      <c r="C15299" t="s">
        <v>33</v>
      </c>
      <c r="D15299" t="s">
        <v>11</v>
      </c>
      <c r="E15299" t="s">
        <v>12</v>
      </c>
      <c r="F15299">
        <v>102759489</v>
      </c>
      <c r="G15299">
        <v>102759502</v>
      </c>
      <c r="H15299">
        <v>102759465</v>
      </c>
      <c r="I15299">
        <v>102759478</v>
      </c>
    </row>
    <row r="15300" spans="1:9" x14ac:dyDescent="0.2">
      <c r="A15300" t="str">
        <f>"Olfr780"</f>
        <v>Olfr780</v>
      </c>
      <c r="B15300" t="s">
        <v>5381</v>
      </c>
      <c r="C15300" t="s">
        <v>15</v>
      </c>
      <c r="D15300" t="s">
        <v>17</v>
      </c>
      <c r="E15300" t="s">
        <v>20</v>
      </c>
      <c r="F15300">
        <v>129321568</v>
      </c>
      <c r="G15300">
        <v>129321568</v>
      </c>
      <c r="H15300">
        <v>129321568</v>
      </c>
      <c r="I15300">
        <v>129321568</v>
      </c>
    </row>
    <row r="15301" spans="1:9" x14ac:dyDescent="0.2">
      <c r="A15301" t="str">
        <f>"Olfr781"</f>
        <v>Olfr781</v>
      </c>
      <c r="B15301" t="s">
        <v>5382</v>
      </c>
      <c r="C15301" t="s">
        <v>15</v>
      </c>
      <c r="D15301" t="s">
        <v>17</v>
      </c>
      <c r="E15301" t="s">
        <v>20</v>
      </c>
      <c r="F15301">
        <v>129332882</v>
      </c>
      <c r="G15301">
        <v>129332882</v>
      </c>
      <c r="H15301">
        <v>129332882</v>
      </c>
      <c r="I15301">
        <v>129332882</v>
      </c>
    </row>
    <row r="15302" spans="1:9" x14ac:dyDescent="0.2">
      <c r="A15302" t="str">
        <f>"Olfr782"</f>
        <v>Olfr782</v>
      </c>
      <c r="B15302" t="s">
        <v>5383</v>
      </c>
      <c r="C15302" t="s">
        <v>15</v>
      </c>
      <c r="D15302" t="s">
        <v>17</v>
      </c>
      <c r="E15302" t="s">
        <v>20</v>
      </c>
      <c r="F15302">
        <v>129350564</v>
      </c>
      <c r="G15302">
        <v>129350564</v>
      </c>
      <c r="H15302">
        <v>129350564</v>
      </c>
      <c r="I15302">
        <v>129350564</v>
      </c>
    </row>
    <row r="15303" spans="1:9" x14ac:dyDescent="0.2">
      <c r="A15303" t="str">
        <f>"Olfr784"</f>
        <v>Olfr784</v>
      </c>
      <c r="B15303" t="s">
        <v>5384</v>
      </c>
      <c r="C15303" t="s">
        <v>15</v>
      </c>
      <c r="D15303" t="s">
        <v>17</v>
      </c>
      <c r="E15303" t="s">
        <v>20</v>
      </c>
      <c r="F15303">
        <v>129387634</v>
      </c>
      <c r="G15303">
        <v>129387634</v>
      </c>
      <c r="H15303">
        <v>129387634</v>
      </c>
      <c r="I15303">
        <v>129387634</v>
      </c>
    </row>
    <row r="15304" spans="1:9" x14ac:dyDescent="0.2">
      <c r="A15304" t="str">
        <f>"Olfr786"</f>
        <v>Olfr786</v>
      </c>
      <c r="B15304" t="s">
        <v>5385</v>
      </c>
      <c r="C15304" t="s">
        <v>15</v>
      </c>
      <c r="D15304" t="s">
        <v>17</v>
      </c>
      <c r="E15304" t="s">
        <v>20</v>
      </c>
      <c r="F15304">
        <v>129436813</v>
      </c>
      <c r="G15304">
        <v>129436813</v>
      </c>
      <c r="H15304">
        <v>129436813</v>
      </c>
      <c r="I15304">
        <v>129436813</v>
      </c>
    </row>
    <row r="15305" spans="1:9" x14ac:dyDescent="0.2">
      <c r="A15305" t="str">
        <f>"Olfr787"</f>
        <v>Olfr787</v>
      </c>
      <c r="B15305" t="s">
        <v>5386</v>
      </c>
      <c r="C15305" t="s">
        <v>15</v>
      </c>
      <c r="D15305" t="s">
        <v>17</v>
      </c>
      <c r="E15305" t="s">
        <v>20</v>
      </c>
      <c r="F15305">
        <v>129462677</v>
      </c>
      <c r="G15305">
        <v>129462677</v>
      </c>
      <c r="H15305">
        <v>129462677</v>
      </c>
      <c r="I15305">
        <v>129462677</v>
      </c>
    </row>
    <row r="15306" spans="1:9" x14ac:dyDescent="0.2">
      <c r="A15306" t="str">
        <f>"Olfr788"</f>
        <v>Olfr788</v>
      </c>
      <c r="B15306" t="s">
        <v>5387</v>
      </c>
      <c r="C15306" t="s">
        <v>15</v>
      </c>
      <c r="D15306" t="s">
        <v>17</v>
      </c>
      <c r="E15306" t="s">
        <v>20</v>
      </c>
      <c r="F15306">
        <v>129472693</v>
      </c>
      <c r="G15306">
        <v>129472693</v>
      </c>
      <c r="H15306">
        <v>129472693</v>
      </c>
      <c r="I15306">
        <v>129472693</v>
      </c>
    </row>
    <row r="15307" spans="1:9" x14ac:dyDescent="0.2">
      <c r="A15307" t="str">
        <f>"Olfr790"</f>
        <v>Olfr790</v>
      </c>
      <c r="B15307" t="s">
        <v>5388</v>
      </c>
      <c r="C15307" t="s">
        <v>15</v>
      </c>
      <c r="D15307" t="s">
        <v>17</v>
      </c>
      <c r="E15307" t="s">
        <v>20</v>
      </c>
      <c r="F15307">
        <v>129500812</v>
      </c>
      <c r="G15307">
        <v>129500812</v>
      </c>
      <c r="H15307">
        <v>129500812</v>
      </c>
      <c r="I15307">
        <v>129500812</v>
      </c>
    </row>
    <row r="15308" spans="1:9" x14ac:dyDescent="0.2">
      <c r="A15308" t="str">
        <f>"Olfr791"</f>
        <v>Olfr791</v>
      </c>
      <c r="B15308" t="s">
        <v>5389</v>
      </c>
      <c r="C15308" t="s">
        <v>15</v>
      </c>
      <c r="D15308" t="s">
        <v>17</v>
      </c>
      <c r="E15308" t="s">
        <v>20</v>
      </c>
      <c r="F15308">
        <v>129526228</v>
      </c>
      <c r="G15308">
        <v>129526228</v>
      </c>
      <c r="H15308">
        <v>129526228</v>
      </c>
      <c r="I15308">
        <v>129526228</v>
      </c>
    </row>
    <row r="15309" spans="1:9" x14ac:dyDescent="0.2">
      <c r="A15309" t="str">
        <f>"Olfr792"</f>
        <v>Olfr792</v>
      </c>
      <c r="B15309" t="s">
        <v>5390</v>
      </c>
      <c r="C15309" t="s">
        <v>15</v>
      </c>
      <c r="D15309" t="s">
        <v>17</v>
      </c>
      <c r="E15309" t="s">
        <v>20</v>
      </c>
      <c r="F15309">
        <v>129540538</v>
      </c>
      <c r="G15309">
        <v>129540538</v>
      </c>
      <c r="H15309">
        <v>129540538</v>
      </c>
      <c r="I15309">
        <v>129540538</v>
      </c>
    </row>
    <row r="15310" spans="1:9" x14ac:dyDescent="0.2">
      <c r="A15310" t="str">
        <f>"Olfr794"</f>
        <v>Olfr794</v>
      </c>
      <c r="B15310" t="s">
        <v>5391</v>
      </c>
      <c r="C15310" t="s">
        <v>15</v>
      </c>
      <c r="D15310" t="s">
        <v>17</v>
      </c>
      <c r="E15310" t="s">
        <v>20</v>
      </c>
      <c r="F15310">
        <v>129570656</v>
      </c>
      <c r="G15310">
        <v>129570656</v>
      </c>
      <c r="H15310">
        <v>129570656</v>
      </c>
      <c r="I15310">
        <v>129570656</v>
      </c>
    </row>
    <row r="15311" spans="1:9" x14ac:dyDescent="0.2">
      <c r="A15311" t="str">
        <f>"Olfr796"</f>
        <v>Olfr796</v>
      </c>
      <c r="B15311" t="s">
        <v>5392</v>
      </c>
      <c r="C15311" t="s">
        <v>15</v>
      </c>
      <c r="D15311" t="s">
        <v>11</v>
      </c>
      <c r="E15311" t="s">
        <v>20</v>
      </c>
      <c r="F15311">
        <v>129608478</v>
      </c>
      <c r="G15311">
        <v>129608478</v>
      </c>
      <c r="H15311">
        <v>129608478</v>
      </c>
      <c r="I15311">
        <v>129608478</v>
      </c>
    </row>
    <row r="15312" spans="1:9" x14ac:dyDescent="0.2">
      <c r="A15312" t="str">
        <f>"Olfr798"</f>
        <v>Olfr798</v>
      </c>
      <c r="B15312" t="s">
        <v>5393</v>
      </c>
      <c r="C15312" t="s">
        <v>15</v>
      </c>
      <c r="D15312" t="s">
        <v>11</v>
      </c>
      <c r="E15312" t="s">
        <v>20</v>
      </c>
      <c r="F15312">
        <v>129626058</v>
      </c>
      <c r="G15312">
        <v>129626058</v>
      </c>
      <c r="H15312">
        <v>129626058</v>
      </c>
      <c r="I15312">
        <v>129626058</v>
      </c>
    </row>
    <row r="15313" spans="1:9" x14ac:dyDescent="0.2">
      <c r="A15313" t="str">
        <f>"Olfr799"</f>
        <v>Olfr799</v>
      </c>
      <c r="B15313" t="s">
        <v>5394</v>
      </c>
      <c r="C15313" t="s">
        <v>15</v>
      </c>
      <c r="D15313" t="s">
        <v>17</v>
      </c>
      <c r="E15313" t="s">
        <v>20</v>
      </c>
      <c r="F15313">
        <v>129647129</v>
      </c>
      <c r="G15313">
        <v>129647129</v>
      </c>
      <c r="H15313">
        <v>129647129</v>
      </c>
      <c r="I15313">
        <v>129647129</v>
      </c>
    </row>
    <row r="15314" spans="1:9" x14ac:dyDescent="0.2">
      <c r="A15314" t="str">
        <f>"Olfr8"</f>
        <v>Olfr8</v>
      </c>
      <c r="B15314" t="s">
        <v>5395</v>
      </c>
      <c r="C15314" t="s">
        <v>15</v>
      </c>
      <c r="D15314" t="s">
        <v>17</v>
      </c>
      <c r="E15314" t="s">
        <v>20</v>
      </c>
      <c r="F15314">
        <v>78955206</v>
      </c>
      <c r="G15314">
        <v>78955206</v>
      </c>
      <c r="H15314">
        <v>78955206</v>
      </c>
      <c r="I15314">
        <v>78955206</v>
      </c>
    </row>
    <row r="15315" spans="1:9" x14ac:dyDescent="0.2">
      <c r="A15315" t="str">
        <f>"Olfr800"</f>
        <v>Olfr800</v>
      </c>
      <c r="B15315" t="s">
        <v>5396</v>
      </c>
      <c r="C15315" t="s">
        <v>15</v>
      </c>
      <c r="D15315" t="s">
        <v>17</v>
      </c>
      <c r="E15315" t="s">
        <v>20</v>
      </c>
      <c r="F15315">
        <v>129659803</v>
      </c>
      <c r="G15315">
        <v>129659803</v>
      </c>
      <c r="H15315">
        <v>129659803</v>
      </c>
      <c r="I15315">
        <v>129659803</v>
      </c>
    </row>
    <row r="15316" spans="1:9" x14ac:dyDescent="0.2">
      <c r="A15316" t="str">
        <f>"Olfr801"</f>
        <v>Olfr801</v>
      </c>
      <c r="B15316" t="s">
        <v>5397</v>
      </c>
      <c r="C15316" t="s">
        <v>15</v>
      </c>
      <c r="D15316" t="s">
        <v>11</v>
      </c>
      <c r="E15316" t="s">
        <v>20</v>
      </c>
      <c r="F15316">
        <v>129670516</v>
      </c>
      <c r="G15316">
        <v>129670516</v>
      </c>
      <c r="H15316">
        <v>129670516</v>
      </c>
      <c r="I15316">
        <v>129670516</v>
      </c>
    </row>
    <row r="15317" spans="1:9" x14ac:dyDescent="0.2">
      <c r="A15317" t="str">
        <f>"Olfr802"</f>
        <v>Olfr802</v>
      </c>
      <c r="B15317" t="s">
        <v>5398</v>
      </c>
      <c r="C15317" t="s">
        <v>15</v>
      </c>
      <c r="D15317" t="s">
        <v>11</v>
      </c>
      <c r="E15317" t="s">
        <v>20</v>
      </c>
      <c r="F15317">
        <v>129682736</v>
      </c>
      <c r="G15317">
        <v>129682736</v>
      </c>
      <c r="H15317">
        <v>129682736</v>
      </c>
      <c r="I15317">
        <v>129682736</v>
      </c>
    </row>
    <row r="15318" spans="1:9" x14ac:dyDescent="0.2">
      <c r="A15318" t="str">
        <f>"Olfr803"</f>
        <v>Olfr803</v>
      </c>
      <c r="B15318" t="s">
        <v>5399</v>
      </c>
      <c r="C15318" t="s">
        <v>15</v>
      </c>
      <c r="D15318" t="s">
        <v>11</v>
      </c>
      <c r="E15318" t="s">
        <v>20</v>
      </c>
      <c r="F15318">
        <v>129692038</v>
      </c>
      <c r="G15318">
        <v>129692038</v>
      </c>
      <c r="H15318">
        <v>129692038</v>
      </c>
      <c r="I15318">
        <v>129692038</v>
      </c>
    </row>
    <row r="15319" spans="1:9" x14ac:dyDescent="0.2">
      <c r="A15319" t="str">
        <f>"Olfr804"</f>
        <v>Olfr804</v>
      </c>
      <c r="B15319" t="s">
        <v>5400</v>
      </c>
      <c r="C15319" t="s">
        <v>15</v>
      </c>
      <c r="D15319" t="s">
        <v>17</v>
      </c>
      <c r="E15319" t="s">
        <v>20</v>
      </c>
      <c r="F15319">
        <v>129704879</v>
      </c>
      <c r="G15319">
        <v>129704879</v>
      </c>
      <c r="H15319">
        <v>129704879</v>
      </c>
      <c r="I15319">
        <v>129704879</v>
      </c>
    </row>
    <row r="15320" spans="1:9" x14ac:dyDescent="0.2">
      <c r="A15320" t="str">
        <f>"Olfr805"</f>
        <v>Olfr805</v>
      </c>
      <c r="B15320" t="s">
        <v>5401</v>
      </c>
      <c r="C15320" t="s">
        <v>15</v>
      </c>
      <c r="D15320" t="s">
        <v>11</v>
      </c>
      <c r="E15320" t="s">
        <v>20</v>
      </c>
      <c r="F15320">
        <v>129723541</v>
      </c>
      <c r="G15320">
        <v>129723541</v>
      </c>
      <c r="H15320">
        <v>129723541</v>
      </c>
      <c r="I15320">
        <v>129723541</v>
      </c>
    </row>
    <row r="15321" spans="1:9" x14ac:dyDescent="0.2">
      <c r="A15321" t="str">
        <f>"Olfr806"</f>
        <v>Olfr806</v>
      </c>
      <c r="B15321" t="s">
        <v>5402</v>
      </c>
      <c r="C15321" t="s">
        <v>15</v>
      </c>
      <c r="D15321" t="s">
        <v>11</v>
      </c>
      <c r="E15321" t="s">
        <v>20</v>
      </c>
      <c r="F15321">
        <v>129738914</v>
      </c>
      <c r="G15321">
        <v>129738914</v>
      </c>
      <c r="H15321">
        <v>129738914</v>
      </c>
      <c r="I15321">
        <v>129738914</v>
      </c>
    </row>
    <row r="15322" spans="1:9" x14ac:dyDescent="0.2">
      <c r="A15322" t="str">
        <f>"Olfr807"</f>
        <v>Olfr807</v>
      </c>
      <c r="B15322" t="s">
        <v>5403</v>
      </c>
      <c r="C15322" t="s">
        <v>15</v>
      </c>
      <c r="D15322" t="s">
        <v>11</v>
      </c>
      <c r="E15322" t="s">
        <v>20</v>
      </c>
      <c r="F15322">
        <v>129755484</v>
      </c>
      <c r="G15322">
        <v>129755484</v>
      </c>
      <c r="H15322">
        <v>129755484</v>
      </c>
      <c r="I15322">
        <v>129755484</v>
      </c>
    </row>
    <row r="15323" spans="1:9" x14ac:dyDescent="0.2">
      <c r="A15323" t="str">
        <f>"Olfr808"</f>
        <v>Olfr808</v>
      </c>
      <c r="B15323" t="s">
        <v>5404</v>
      </c>
      <c r="C15323" t="s">
        <v>15</v>
      </c>
      <c r="D15323" t="s">
        <v>17</v>
      </c>
      <c r="E15323" t="s">
        <v>20</v>
      </c>
      <c r="F15323">
        <v>129767497</v>
      </c>
      <c r="G15323">
        <v>129767497</v>
      </c>
      <c r="H15323">
        <v>129767497</v>
      </c>
      <c r="I15323">
        <v>129767497</v>
      </c>
    </row>
    <row r="15324" spans="1:9" x14ac:dyDescent="0.2">
      <c r="A15324" t="str">
        <f>"Olfr809"</f>
        <v>Olfr809</v>
      </c>
      <c r="B15324" t="s">
        <v>5405</v>
      </c>
      <c r="C15324" t="s">
        <v>15</v>
      </c>
      <c r="D15324" t="s">
        <v>17</v>
      </c>
      <c r="E15324" t="s">
        <v>20</v>
      </c>
      <c r="F15324">
        <v>129775826</v>
      </c>
      <c r="G15324">
        <v>129775826</v>
      </c>
      <c r="H15324">
        <v>129775826</v>
      </c>
      <c r="I15324">
        <v>129775826</v>
      </c>
    </row>
    <row r="15325" spans="1:9" x14ac:dyDescent="0.2">
      <c r="A15325" t="str">
        <f>"Olfr810"</f>
        <v>Olfr810</v>
      </c>
      <c r="B15325" t="s">
        <v>5406</v>
      </c>
      <c r="C15325" t="s">
        <v>15</v>
      </c>
      <c r="D15325" t="s">
        <v>11</v>
      </c>
      <c r="E15325" t="s">
        <v>20</v>
      </c>
      <c r="F15325">
        <v>129791613</v>
      </c>
      <c r="G15325">
        <v>129791613</v>
      </c>
      <c r="H15325">
        <v>129791613</v>
      </c>
      <c r="I15325">
        <v>129791613</v>
      </c>
    </row>
    <row r="15326" spans="1:9" x14ac:dyDescent="0.2">
      <c r="A15326" t="str">
        <f>"Olfr811"</f>
        <v>Olfr811</v>
      </c>
      <c r="B15326" t="s">
        <v>5407</v>
      </c>
      <c r="C15326" t="s">
        <v>15</v>
      </c>
      <c r="D15326" t="s">
        <v>11</v>
      </c>
      <c r="E15326" t="s">
        <v>20</v>
      </c>
      <c r="F15326">
        <v>129802522</v>
      </c>
      <c r="G15326">
        <v>129802522</v>
      </c>
      <c r="H15326">
        <v>129802522</v>
      </c>
      <c r="I15326">
        <v>129802522</v>
      </c>
    </row>
    <row r="15327" spans="1:9" x14ac:dyDescent="0.2">
      <c r="A15327" t="str">
        <f>"Olfr812"</f>
        <v>Olfr812</v>
      </c>
      <c r="B15327" t="s">
        <v>5408</v>
      </c>
      <c r="C15327" t="s">
        <v>15</v>
      </c>
      <c r="D15327" t="s">
        <v>11</v>
      </c>
      <c r="E15327" t="s">
        <v>20</v>
      </c>
      <c r="F15327">
        <v>129843061</v>
      </c>
      <c r="G15327">
        <v>129843061</v>
      </c>
      <c r="H15327">
        <v>129843061</v>
      </c>
      <c r="I15327">
        <v>129843061</v>
      </c>
    </row>
    <row r="15328" spans="1:9" x14ac:dyDescent="0.2">
      <c r="A15328" t="str">
        <f>"Olfr813"</f>
        <v>Olfr813</v>
      </c>
      <c r="B15328" t="s">
        <v>5409</v>
      </c>
      <c r="C15328" t="s">
        <v>15</v>
      </c>
      <c r="D15328" t="s">
        <v>17</v>
      </c>
      <c r="E15328" t="s">
        <v>20</v>
      </c>
      <c r="F15328">
        <v>129856519</v>
      </c>
      <c r="G15328">
        <v>129856519</v>
      </c>
      <c r="H15328">
        <v>129856519</v>
      </c>
      <c r="I15328">
        <v>129856519</v>
      </c>
    </row>
    <row r="15329" spans="1:9" x14ac:dyDescent="0.2">
      <c r="A15329" t="str">
        <f>"Olfr814"</f>
        <v>Olfr814</v>
      </c>
      <c r="B15329" t="s">
        <v>5410</v>
      </c>
      <c r="C15329" t="s">
        <v>15</v>
      </c>
      <c r="D15329" t="s">
        <v>11</v>
      </c>
      <c r="E15329" t="s">
        <v>20</v>
      </c>
      <c r="F15329">
        <v>129874754</v>
      </c>
      <c r="G15329">
        <v>129874754</v>
      </c>
      <c r="H15329">
        <v>129874754</v>
      </c>
      <c r="I15329">
        <v>129874754</v>
      </c>
    </row>
    <row r="15330" spans="1:9" x14ac:dyDescent="0.2">
      <c r="A15330" t="str">
        <f>"Olfr815"</f>
        <v>Olfr815</v>
      </c>
      <c r="B15330" t="s">
        <v>5411</v>
      </c>
      <c r="C15330" t="s">
        <v>15</v>
      </c>
      <c r="D15330" t="s">
        <v>11</v>
      </c>
      <c r="E15330" t="s">
        <v>20</v>
      </c>
      <c r="F15330">
        <v>129902725</v>
      </c>
      <c r="G15330">
        <v>129902725</v>
      </c>
      <c r="H15330">
        <v>129902725</v>
      </c>
      <c r="I15330">
        <v>129902725</v>
      </c>
    </row>
    <row r="15331" spans="1:9" x14ac:dyDescent="0.2">
      <c r="A15331" t="str">
        <f>"Olfr816"</f>
        <v>Olfr816</v>
      </c>
      <c r="B15331" t="s">
        <v>5412</v>
      </c>
      <c r="C15331" t="s">
        <v>15</v>
      </c>
      <c r="D15331" t="s">
        <v>11</v>
      </c>
      <c r="E15331" t="s">
        <v>20</v>
      </c>
      <c r="F15331">
        <v>129912275</v>
      </c>
      <c r="G15331">
        <v>129912275</v>
      </c>
      <c r="H15331">
        <v>129912275</v>
      </c>
      <c r="I15331">
        <v>129912275</v>
      </c>
    </row>
    <row r="15332" spans="1:9" x14ac:dyDescent="0.2">
      <c r="A15332" t="str">
        <f>"Olfr818"</f>
        <v>Olfr818</v>
      </c>
      <c r="B15332" t="s">
        <v>5413</v>
      </c>
      <c r="C15332" t="s">
        <v>15</v>
      </c>
      <c r="D15332" t="s">
        <v>11</v>
      </c>
      <c r="E15332" t="s">
        <v>20</v>
      </c>
      <c r="F15332">
        <v>129946059</v>
      </c>
      <c r="G15332">
        <v>129946059</v>
      </c>
      <c r="H15332">
        <v>129946059</v>
      </c>
      <c r="I15332">
        <v>129946059</v>
      </c>
    </row>
    <row r="15333" spans="1:9" x14ac:dyDescent="0.2">
      <c r="A15333" t="str">
        <f>"Olfr819"</f>
        <v>Olfr819</v>
      </c>
      <c r="B15333" t="s">
        <v>5414</v>
      </c>
      <c r="C15333" t="s">
        <v>15</v>
      </c>
      <c r="D15333" t="s">
        <v>11</v>
      </c>
      <c r="E15333" t="s">
        <v>20</v>
      </c>
      <c r="F15333">
        <v>129966697</v>
      </c>
      <c r="G15333">
        <v>129966697</v>
      </c>
      <c r="H15333">
        <v>129966697</v>
      </c>
      <c r="I15333">
        <v>129966697</v>
      </c>
    </row>
    <row r="15334" spans="1:9" x14ac:dyDescent="0.2">
      <c r="A15334" t="str">
        <f>"Olfr820"</f>
        <v>Olfr820</v>
      </c>
      <c r="B15334" t="s">
        <v>5415</v>
      </c>
      <c r="C15334" t="s">
        <v>15</v>
      </c>
      <c r="D15334" t="s">
        <v>17</v>
      </c>
      <c r="E15334" t="s">
        <v>20</v>
      </c>
      <c r="F15334">
        <v>130017300</v>
      </c>
      <c r="G15334">
        <v>130017300</v>
      </c>
      <c r="H15334">
        <v>130017300</v>
      </c>
      <c r="I15334">
        <v>130017300</v>
      </c>
    </row>
    <row r="15335" spans="1:9" x14ac:dyDescent="0.2">
      <c r="A15335" t="str">
        <f>"Olfr821"</f>
        <v>Olfr821</v>
      </c>
      <c r="B15335" t="s">
        <v>5416</v>
      </c>
      <c r="C15335" t="s">
        <v>15</v>
      </c>
      <c r="D15335" t="s">
        <v>17</v>
      </c>
      <c r="E15335" t="s">
        <v>20</v>
      </c>
      <c r="F15335">
        <v>130033627</v>
      </c>
      <c r="G15335">
        <v>130033627</v>
      </c>
      <c r="H15335">
        <v>130033627</v>
      </c>
      <c r="I15335">
        <v>130033627</v>
      </c>
    </row>
    <row r="15336" spans="1:9" x14ac:dyDescent="0.2">
      <c r="A15336" t="str">
        <f>"Olfr822"</f>
        <v>Olfr822</v>
      </c>
      <c r="B15336" t="s">
        <v>5417</v>
      </c>
      <c r="C15336" t="s">
        <v>15</v>
      </c>
      <c r="D15336" t="s">
        <v>17</v>
      </c>
      <c r="E15336" t="s">
        <v>20</v>
      </c>
      <c r="F15336">
        <v>130074408</v>
      </c>
      <c r="G15336">
        <v>130074408</v>
      </c>
      <c r="H15336">
        <v>130074408</v>
      </c>
      <c r="I15336">
        <v>130074408</v>
      </c>
    </row>
    <row r="15337" spans="1:9" x14ac:dyDescent="0.2">
      <c r="A15337" t="str">
        <f>"Olfr823"</f>
        <v>Olfr823</v>
      </c>
      <c r="B15337" t="s">
        <v>5418</v>
      </c>
      <c r="C15337" t="s">
        <v>15</v>
      </c>
      <c r="D15337" t="s">
        <v>11</v>
      </c>
      <c r="E15337" t="s">
        <v>20</v>
      </c>
      <c r="F15337">
        <v>130112787</v>
      </c>
      <c r="G15337">
        <v>130112787</v>
      </c>
      <c r="H15337">
        <v>130112787</v>
      </c>
      <c r="I15337">
        <v>130112787</v>
      </c>
    </row>
    <row r="15338" spans="1:9" x14ac:dyDescent="0.2">
      <c r="A15338" t="str">
        <f>"Olfr824"</f>
        <v>Olfr824</v>
      </c>
      <c r="B15338" t="s">
        <v>5419</v>
      </c>
      <c r="C15338" t="s">
        <v>15</v>
      </c>
      <c r="D15338" t="s">
        <v>11</v>
      </c>
      <c r="E15338" t="s">
        <v>20</v>
      </c>
      <c r="F15338">
        <v>130127054</v>
      </c>
      <c r="G15338">
        <v>130127054</v>
      </c>
      <c r="H15338">
        <v>130127054</v>
      </c>
      <c r="I15338">
        <v>130127054</v>
      </c>
    </row>
    <row r="15339" spans="1:9" x14ac:dyDescent="0.2">
      <c r="A15339" t="str">
        <f>"Olfr825"</f>
        <v>Olfr825</v>
      </c>
      <c r="B15339" t="s">
        <v>5420</v>
      </c>
      <c r="C15339" t="s">
        <v>15</v>
      </c>
      <c r="D15339" t="s">
        <v>11</v>
      </c>
      <c r="E15339" t="s">
        <v>20</v>
      </c>
      <c r="F15339">
        <v>130163323</v>
      </c>
      <c r="G15339">
        <v>130163323</v>
      </c>
      <c r="H15339">
        <v>130163323</v>
      </c>
      <c r="I15339">
        <v>130163323</v>
      </c>
    </row>
    <row r="15340" spans="1:9" x14ac:dyDescent="0.2">
      <c r="A15340" t="str">
        <f>"Olfr826"</f>
        <v>Olfr826</v>
      </c>
      <c r="B15340" t="s">
        <v>5421</v>
      </c>
      <c r="C15340" t="s">
        <v>15</v>
      </c>
      <c r="D15340" t="s">
        <v>11</v>
      </c>
      <c r="E15340" t="s">
        <v>20</v>
      </c>
      <c r="F15340">
        <v>130180877</v>
      </c>
      <c r="G15340">
        <v>130180877</v>
      </c>
      <c r="H15340">
        <v>130180877</v>
      </c>
      <c r="I15340">
        <v>130180877</v>
      </c>
    </row>
    <row r="15341" spans="1:9" x14ac:dyDescent="0.2">
      <c r="A15341" t="str">
        <f>"Olfr827"</f>
        <v>Olfr827</v>
      </c>
      <c r="B15341" t="s">
        <v>5422</v>
      </c>
      <c r="C15341" t="s">
        <v>15</v>
      </c>
      <c r="D15341" t="s">
        <v>11</v>
      </c>
      <c r="E15341" t="s">
        <v>20</v>
      </c>
      <c r="F15341">
        <v>130211148</v>
      </c>
      <c r="G15341">
        <v>130211148</v>
      </c>
      <c r="H15341">
        <v>130211148</v>
      </c>
      <c r="I15341">
        <v>130211148</v>
      </c>
    </row>
    <row r="15342" spans="1:9" x14ac:dyDescent="0.2">
      <c r="A15342" t="str">
        <f>"Olfr828"</f>
        <v>Olfr828</v>
      </c>
      <c r="B15342" t="s">
        <v>5423</v>
      </c>
      <c r="C15342" t="s">
        <v>24</v>
      </c>
      <c r="D15342" t="s">
        <v>11</v>
      </c>
      <c r="E15342" t="s">
        <v>20</v>
      </c>
      <c r="F15342">
        <v>18816291</v>
      </c>
      <c r="G15342">
        <v>18816291</v>
      </c>
      <c r="H15342">
        <v>18816291</v>
      </c>
      <c r="I15342">
        <v>18816291</v>
      </c>
    </row>
    <row r="15343" spans="1:9" x14ac:dyDescent="0.2">
      <c r="A15343" t="str">
        <f>"Olfr829"</f>
        <v>Olfr829</v>
      </c>
      <c r="B15343" t="s">
        <v>5424</v>
      </c>
      <c r="C15343" t="s">
        <v>24</v>
      </c>
      <c r="D15343" t="s">
        <v>17</v>
      </c>
      <c r="E15343" t="s">
        <v>20</v>
      </c>
      <c r="F15343">
        <v>18856626</v>
      </c>
      <c r="G15343">
        <v>18856626</v>
      </c>
      <c r="H15343">
        <v>18856626</v>
      </c>
      <c r="I15343">
        <v>18856626</v>
      </c>
    </row>
    <row r="15344" spans="1:9" x14ac:dyDescent="0.2">
      <c r="A15344" t="str">
        <f>"Olfr830"</f>
        <v>Olfr830</v>
      </c>
      <c r="B15344" t="s">
        <v>5425</v>
      </c>
      <c r="C15344" t="s">
        <v>24</v>
      </c>
      <c r="D15344" t="s">
        <v>17</v>
      </c>
      <c r="E15344" t="s">
        <v>20</v>
      </c>
      <c r="F15344">
        <v>18875328</v>
      </c>
      <c r="G15344">
        <v>18875328</v>
      </c>
      <c r="H15344">
        <v>18875328</v>
      </c>
      <c r="I15344">
        <v>18875328</v>
      </c>
    </row>
    <row r="15345" spans="1:9" x14ac:dyDescent="0.2">
      <c r="A15345" t="str">
        <f>"Olfr831-ps1"</f>
        <v>Olfr831-ps1</v>
      </c>
      <c r="B15345" t="s">
        <v>5426</v>
      </c>
      <c r="C15345" t="s">
        <v>24</v>
      </c>
      <c r="D15345" t="s">
        <v>11</v>
      </c>
      <c r="E15345" t="s">
        <v>20</v>
      </c>
      <c r="F15345">
        <v>18945091</v>
      </c>
      <c r="G15345">
        <v>18945091</v>
      </c>
      <c r="H15345">
        <v>18945091</v>
      </c>
      <c r="I15345">
        <v>18945091</v>
      </c>
    </row>
    <row r="15346" spans="1:9" x14ac:dyDescent="0.2">
      <c r="A15346" t="str">
        <f>"Olfr832"</f>
        <v>Olfr832</v>
      </c>
      <c r="B15346" t="s">
        <v>5427</v>
      </c>
      <c r="C15346" t="s">
        <v>24</v>
      </c>
      <c r="D15346" t="s">
        <v>17</v>
      </c>
      <c r="E15346" t="s">
        <v>20</v>
      </c>
      <c r="F15346">
        <v>18944649</v>
      </c>
      <c r="G15346">
        <v>18944649</v>
      </c>
      <c r="H15346">
        <v>18944649</v>
      </c>
      <c r="I15346">
        <v>18944649</v>
      </c>
    </row>
    <row r="15347" spans="1:9" x14ac:dyDescent="0.2">
      <c r="A15347" t="str">
        <f>"Olfr834"</f>
        <v>Olfr834</v>
      </c>
      <c r="B15347" t="s">
        <v>5428</v>
      </c>
      <c r="C15347" t="s">
        <v>24</v>
      </c>
      <c r="D15347" t="s">
        <v>17</v>
      </c>
      <c r="E15347" t="s">
        <v>20</v>
      </c>
      <c r="F15347">
        <v>18987989</v>
      </c>
      <c r="G15347">
        <v>18987989</v>
      </c>
      <c r="H15347">
        <v>18987989</v>
      </c>
      <c r="I15347">
        <v>18987989</v>
      </c>
    </row>
    <row r="15348" spans="1:9" x14ac:dyDescent="0.2">
      <c r="A15348" t="str">
        <f>"Olfr835"</f>
        <v>Olfr835</v>
      </c>
      <c r="B15348" t="s">
        <v>5429</v>
      </c>
      <c r="C15348" t="s">
        <v>24</v>
      </c>
      <c r="D15348" t="s">
        <v>17</v>
      </c>
      <c r="E15348" t="s">
        <v>20</v>
      </c>
      <c r="F15348">
        <v>19035124</v>
      </c>
      <c r="G15348">
        <v>19035124</v>
      </c>
      <c r="H15348">
        <v>19035124</v>
      </c>
      <c r="I15348">
        <v>19035124</v>
      </c>
    </row>
    <row r="15349" spans="1:9" x14ac:dyDescent="0.2">
      <c r="A15349" t="str">
        <f>"Olfr836"</f>
        <v>Olfr836</v>
      </c>
      <c r="B15349" t="s">
        <v>5430</v>
      </c>
      <c r="C15349" t="s">
        <v>24</v>
      </c>
      <c r="D15349" t="s">
        <v>17</v>
      </c>
      <c r="E15349" t="s">
        <v>20</v>
      </c>
      <c r="F15349">
        <v>19120956</v>
      </c>
      <c r="G15349">
        <v>19120956</v>
      </c>
      <c r="H15349">
        <v>19120956</v>
      </c>
      <c r="I15349">
        <v>19120956</v>
      </c>
    </row>
    <row r="15350" spans="1:9" x14ac:dyDescent="0.2">
      <c r="A15350" t="str">
        <f>"Olfr843"</f>
        <v>Olfr843</v>
      </c>
      <c r="B15350" t="s">
        <v>5431</v>
      </c>
      <c r="C15350" t="s">
        <v>24</v>
      </c>
      <c r="D15350" t="s">
        <v>11</v>
      </c>
      <c r="E15350" t="s">
        <v>20</v>
      </c>
      <c r="F15350">
        <v>19249462</v>
      </c>
      <c r="G15350">
        <v>19249462</v>
      </c>
      <c r="H15350">
        <v>19249462</v>
      </c>
      <c r="I15350">
        <v>19249462</v>
      </c>
    </row>
    <row r="15351" spans="1:9" x14ac:dyDescent="0.2">
      <c r="A15351" t="str">
        <f>"Olfr844"</f>
        <v>Olfr844</v>
      </c>
      <c r="B15351" t="s">
        <v>5432</v>
      </c>
      <c r="C15351" t="s">
        <v>24</v>
      </c>
      <c r="D15351" t="s">
        <v>17</v>
      </c>
      <c r="E15351" t="s">
        <v>20</v>
      </c>
      <c r="F15351">
        <v>19318535</v>
      </c>
      <c r="G15351">
        <v>19318535</v>
      </c>
      <c r="H15351">
        <v>19318535</v>
      </c>
      <c r="I15351">
        <v>19318535</v>
      </c>
    </row>
    <row r="15352" spans="1:9" x14ac:dyDescent="0.2">
      <c r="A15352" t="str">
        <f>"Olfr845"</f>
        <v>Olfr845</v>
      </c>
      <c r="B15352" t="s">
        <v>5433</v>
      </c>
      <c r="C15352" t="s">
        <v>24</v>
      </c>
      <c r="D15352" t="s">
        <v>17</v>
      </c>
      <c r="E15352" t="s">
        <v>20</v>
      </c>
      <c r="F15352">
        <v>19338458</v>
      </c>
      <c r="G15352">
        <v>19338458</v>
      </c>
      <c r="H15352">
        <v>19338458</v>
      </c>
      <c r="I15352">
        <v>19338458</v>
      </c>
    </row>
    <row r="15353" spans="1:9" x14ac:dyDescent="0.2">
      <c r="A15353" t="str">
        <f>"Olfr846"</f>
        <v>Olfr846</v>
      </c>
      <c r="B15353" t="s">
        <v>5434</v>
      </c>
      <c r="C15353" t="s">
        <v>24</v>
      </c>
      <c r="D15353" t="s">
        <v>11</v>
      </c>
      <c r="E15353" t="s">
        <v>20</v>
      </c>
      <c r="F15353">
        <v>19361355</v>
      </c>
      <c r="G15353">
        <v>19361355</v>
      </c>
      <c r="H15353">
        <v>19361355</v>
      </c>
      <c r="I15353">
        <v>19361355</v>
      </c>
    </row>
    <row r="15354" spans="1:9" x14ac:dyDescent="0.2">
      <c r="A15354" t="str">
        <f>"Olfr847"</f>
        <v>Olfr847</v>
      </c>
      <c r="B15354" t="s">
        <v>5435</v>
      </c>
      <c r="C15354" t="s">
        <v>24</v>
      </c>
      <c r="D15354" t="s">
        <v>11</v>
      </c>
      <c r="E15354" t="s">
        <v>20</v>
      </c>
      <c r="F15354">
        <v>19375878</v>
      </c>
      <c r="G15354">
        <v>19375878</v>
      </c>
      <c r="H15354">
        <v>19375878</v>
      </c>
      <c r="I15354">
        <v>19375878</v>
      </c>
    </row>
    <row r="15355" spans="1:9" x14ac:dyDescent="0.2">
      <c r="A15355" t="str">
        <f>"Olfr849"</f>
        <v>Olfr849</v>
      </c>
      <c r="B15355" t="s">
        <v>5436</v>
      </c>
      <c r="C15355" t="s">
        <v>24</v>
      </c>
      <c r="D15355" t="s">
        <v>17</v>
      </c>
      <c r="E15355" t="s">
        <v>20</v>
      </c>
      <c r="F15355">
        <v>19440914</v>
      </c>
      <c r="G15355">
        <v>19440914</v>
      </c>
      <c r="H15355">
        <v>19440914</v>
      </c>
      <c r="I15355">
        <v>19440914</v>
      </c>
    </row>
    <row r="15356" spans="1:9" x14ac:dyDescent="0.2">
      <c r="A15356" t="str">
        <f>"Olfr850"</f>
        <v>Olfr850</v>
      </c>
      <c r="B15356" t="s">
        <v>5437</v>
      </c>
      <c r="C15356" t="s">
        <v>24</v>
      </c>
      <c r="D15356" t="s">
        <v>11</v>
      </c>
      <c r="E15356" t="s">
        <v>20</v>
      </c>
      <c r="F15356">
        <v>19478247</v>
      </c>
      <c r="G15356">
        <v>19478247</v>
      </c>
      <c r="H15356">
        <v>19478247</v>
      </c>
      <c r="I15356">
        <v>19478247</v>
      </c>
    </row>
    <row r="15357" spans="1:9" x14ac:dyDescent="0.2">
      <c r="A15357" t="str">
        <f>"Olfr851"</f>
        <v>Olfr851</v>
      </c>
      <c r="B15357" t="s">
        <v>5438</v>
      </c>
      <c r="C15357" t="s">
        <v>24</v>
      </c>
      <c r="D15357" t="s">
        <v>17</v>
      </c>
      <c r="E15357" t="s">
        <v>20</v>
      </c>
      <c r="F15357">
        <v>19496749</v>
      </c>
      <c r="G15357">
        <v>19496749</v>
      </c>
      <c r="H15357">
        <v>19496749</v>
      </c>
      <c r="I15357">
        <v>19496749</v>
      </c>
    </row>
    <row r="15358" spans="1:9" x14ac:dyDescent="0.2">
      <c r="A15358" t="str">
        <f>"Olfr853"</f>
        <v>Olfr853</v>
      </c>
      <c r="B15358" t="s">
        <v>5439</v>
      </c>
      <c r="C15358" t="s">
        <v>24</v>
      </c>
      <c r="D15358" t="s">
        <v>11</v>
      </c>
      <c r="E15358" t="s">
        <v>20</v>
      </c>
      <c r="F15358">
        <v>19537927</v>
      </c>
      <c r="G15358">
        <v>19537927</v>
      </c>
      <c r="H15358">
        <v>19537927</v>
      </c>
      <c r="I15358">
        <v>19537927</v>
      </c>
    </row>
    <row r="15359" spans="1:9" x14ac:dyDescent="0.2">
      <c r="A15359" t="str">
        <f>"Olfr854"</f>
        <v>Olfr854</v>
      </c>
      <c r="B15359" t="s">
        <v>5440</v>
      </c>
      <c r="C15359" t="s">
        <v>24</v>
      </c>
      <c r="D15359" t="s">
        <v>11</v>
      </c>
      <c r="E15359" t="s">
        <v>20</v>
      </c>
      <c r="F15359">
        <v>19567381</v>
      </c>
      <c r="G15359">
        <v>19567381</v>
      </c>
      <c r="H15359">
        <v>19567381</v>
      </c>
      <c r="I15359">
        <v>19567381</v>
      </c>
    </row>
    <row r="15360" spans="1:9" x14ac:dyDescent="0.2">
      <c r="A15360" t="str">
        <f>"Olfr855"</f>
        <v>Olfr855</v>
      </c>
      <c r="B15360" t="s">
        <v>5441</v>
      </c>
      <c r="C15360" t="s">
        <v>24</v>
      </c>
      <c r="D15360" t="s">
        <v>17</v>
      </c>
      <c r="E15360" t="s">
        <v>20</v>
      </c>
      <c r="F15360">
        <v>19584510</v>
      </c>
      <c r="G15360">
        <v>19584510</v>
      </c>
      <c r="H15360">
        <v>19584510</v>
      </c>
      <c r="I15360">
        <v>19584510</v>
      </c>
    </row>
    <row r="15361" spans="1:9" x14ac:dyDescent="0.2">
      <c r="A15361" t="str">
        <f>"Olfr857"</f>
        <v>Olfr857</v>
      </c>
      <c r="B15361" t="s">
        <v>5442</v>
      </c>
      <c r="C15361" t="s">
        <v>24</v>
      </c>
      <c r="D15361" t="s">
        <v>17</v>
      </c>
      <c r="E15361" t="s">
        <v>20</v>
      </c>
      <c r="F15361">
        <v>19712828</v>
      </c>
      <c r="G15361">
        <v>19712828</v>
      </c>
      <c r="H15361">
        <v>19712828</v>
      </c>
      <c r="I15361">
        <v>19712828</v>
      </c>
    </row>
    <row r="15362" spans="1:9" x14ac:dyDescent="0.2">
      <c r="A15362" t="str">
        <f>"Olfr859"</f>
        <v>Olfr859</v>
      </c>
      <c r="B15362" t="s">
        <v>5443</v>
      </c>
      <c r="C15362" t="s">
        <v>24</v>
      </c>
      <c r="D15362" t="s">
        <v>17</v>
      </c>
      <c r="E15362" t="s">
        <v>20</v>
      </c>
      <c r="F15362">
        <v>19808319</v>
      </c>
      <c r="G15362">
        <v>19808319</v>
      </c>
      <c r="H15362">
        <v>19808319</v>
      </c>
      <c r="I15362">
        <v>19808319</v>
      </c>
    </row>
    <row r="15363" spans="1:9" x14ac:dyDescent="0.2">
      <c r="A15363" t="str">
        <f>"Olfr860"</f>
        <v>Olfr860</v>
      </c>
      <c r="B15363" t="s">
        <v>5444</v>
      </c>
      <c r="C15363" t="s">
        <v>24</v>
      </c>
      <c r="D15363" t="s">
        <v>11</v>
      </c>
      <c r="E15363" t="s">
        <v>20</v>
      </c>
      <c r="F15363">
        <v>19849746</v>
      </c>
      <c r="G15363">
        <v>19849746</v>
      </c>
      <c r="H15363">
        <v>19849746</v>
      </c>
      <c r="I15363">
        <v>19849746</v>
      </c>
    </row>
    <row r="15364" spans="1:9" x14ac:dyDescent="0.2">
      <c r="A15364" t="str">
        <f>"Olfr862"</f>
        <v>Olfr862</v>
      </c>
      <c r="B15364" t="s">
        <v>5445</v>
      </c>
      <c r="C15364" t="s">
        <v>24</v>
      </c>
      <c r="D15364" t="s">
        <v>11</v>
      </c>
      <c r="E15364" t="s">
        <v>20</v>
      </c>
      <c r="F15364">
        <v>19884342</v>
      </c>
      <c r="G15364">
        <v>19884342</v>
      </c>
      <c r="H15364">
        <v>19884342</v>
      </c>
      <c r="I15364">
        <v>19884342</v>
      </c>
    </row>
    <row r="15365" spans="1:9" x14ac:dyDescent="0.2">
      <c r="A15365" t="str">
        <f>"Olfr866"</f>
        <v>Olfr866</v>
      </c>
      <c r="B15365" t="s">
        <v>5446</v>
      </c>
      <c r="C15365" t="s">
        <v>24</v>
      </c>
      <c r="D15365" t="s">
        <v>11</v>
      </c>
      <c r="E15365" t="s">
        <v>20</v>
      </c>
      <c r="F15365">
        <v>20028034</v>
      </c>
      <c r="G15365">
        <v>20028034</v>
      </c>
      <c r="H15365">
        <v>20028034</v>
      </c>
      <c r="I15365">
        <v>20028034</v>
      </c>
    </row>
    <row r="15366" spans="1:9" x14ac:dyDescent="0.2">
      <c r="A15366" t="str">
        <f>"Olfr867"</f>
        <v>Olfr867</v>
      </c>
      <c r="B15366" t="s">
        <v>5447</v>
      </c>
      <c r="C15366" t="s">
        <v>24</v>
      </c>
      <c r="D15366" t="s">
        <v>11</v>
      </c>
      <c r="E15366" t="s">
        <v>20</v>
      </c>
      <c r="F15366">
        <v>20055460</v>
      </c>
      <c r="G15366">
        <v>20055460</v>
      </c>
      <c r="H15366">
        <v>20055460</v>
      </c>
      <c r="I15366">
        <v>20055460</v>
      </c>
    </row>
    <row r="15367" spans="1:9" x14ac:dyDescent="0.2">
      <c r="A15367" t="str">
        <f>"Olfr868"</f>
        <v>Olfr868</v>
      </c>
      <c r="B15367" t="s">
        <v>5448</v>
      </c>
      <c r="C15367" t="s">
        <v>24</v>
      </c>
      <c r="D15367" t="s">
        <v>17</v>
      </c>
      <c r="E15367" t="s">
        <v>20</v>
      </c>
      <c r="F15367">
        <v>20098625</v>
      </c>
      <c r="G15367">
        <v>20098625</v>
      </c>
      <c r="H15367">
        <v>20098625</v>
      </c>
      <c r="I15367">
        <v>20098625</v>
      </c>
    </row>
    <row r="15368" spans="1:9" x14ac:dyDescent="0.2">
      <c r="A15368" t="str">
        <f>"Olfr869"</f>
        <v>Olfr869</v>
      </c>
      <c r="B15368" t="s">
        <v>5449</v>
      </c>
      <c r="C15368" t="s">
        <v>24</v>
      </c>
      <c r="D15368" t="s">
        <v>17</v>
      </c>
      <c r="E15368" t="s">
        <v>20</v>
      </c>
      <c r="F15368">
        <v>20129100</v>
      </c>
      <c r="G15368">
        <v>20129100</v>
      </c>
      <c r="H15368">
        <v>20129100</v>
      </c>
      <c r="I15368">
        <v>20129100</v>
      </c>
    </row>
    <row r="15369" spans="1:9" x14ac:dyDescent="0.2">
      <c r="A15369" t="str">
        <f>"Olfr870"</f>
        <v>Olfr870</v>
      </c>
      <c r="B15369" t="s">
        <v>5450</v>
      </c>
      <c r="C15369" t="s">
        <v>24</v>
      </c>
      <c r="D15369" t="s">
        <v>11</v>
      </c>
      <c r="E15369" t="s">
        <v>20</v>
      </c>
      <c r="F15369">
        <v>20171568</v>
      </c>
      <c r="G15369">
        <v>20171568</v>
      </c>
      <c r="H15369">
        <v>20171568</v>
      </c>
      <c r="I15369">
        <v>20171568</v>
      </c>
    </row>
    <row r="15370" spans="1:9" x14ac:dyDescent="0.2">
      <c r="A15370" t="str">
        <f>"Olfr871"</f>
        <v>Olfr871</v>
      </c>
      <c r="B15370" t="s">
        <v>5451</v>
      </c>
      <c r="C15370" t="s">
        <v>24</v>
      </c>
      <c r="D15370" t="s">
        <v>17</v>
      </c>
      <c r="E15370" t="s">
        <v>20</v>
      </c>
      <c r="F15370">
        <v>20212206</v>
      </c>
      <c r="G15370">
        <v>20212206</v>
      </c>
      <c r="H15370">
        <v>20212206</v>
      </c>
      <c r="I15370">
        <v>20212206</v>
      </c>
    </row>
    <row r="15371" spans="1:9" x14ac:dyDescent="0.2">
      <c r="A15371" t="str">
        <f>"Olfr872"</f>
        <v>Olfr872</v>
      </c>
      <c r="B15371" t="s">
        <v>5452</v>
      </c>
      <c r="C15371" t="s">
        <v>24</v>
      </c>
      <c r="D15371" t="s">
        <v>17</v>
      </c>
      <c r="E15371" t="s">
        <v>20</v>
      </c>
      <c r="F15371">
        <v>20237161</v>
      </c>
      <c r="G15371">
        <v>20237161</v>
      </c>
      <c r="H15371">
        <v>20237161</v>
      </c>
      <c r="I15371">
        <v>20237161</v>
      </c>
    </row>
    <row r="15372" spans="1:9" x14ac:dyDescent="0.2">
      <c r="A15372" t="str">
        <f>"Olfr873"</f>
        <v>Olfr873</v>
      </c>
      <c r="B15372" t="s">
        <v>5453</v>
      </c>
      <c r="C15372" t="s">
        <v>24</v>
      </c>
      <c r="D15372" t="s">
        <v>17</v>
      </c>
      <c r="E15372" t="s">
        <v>20</v>
      </c>
      <c r="F15372">
        <v>20300128</v>
      </c>
      <c r="G15372">
        <v>20300128</v>
      </c>
      <c r="H15372">
        <v>20300128</v>
      </c>
      <c r="I15372">
        <v>20300128</v>
      </c>
    </row>
    <row r="15373" spans="1:9" x14ac:dyDescent="0.2">
      <c r="A15373" t="str">
        <f>"Olfr874"</f>
        <v>Olfr874</v>
      </c>
      <c r="B15373" t="s">
        <v>5454</v>
      </c>
      <c r="C15373" t="s">
        <v>24</v>
      </c>
      <c r="D15373" t="s">
        <v>17</v>
      </c>
      <c r="E15373" t="s">
        <v>20</v>
      </c>
      <c r="F15373">
        <v>37746135</v>
      </c>
      <c r="G15373">
        <v>37746135</v>
      </c>
      <c r="H15373">
        <v>37746135</v>
      </c>
      <c r="I15373">
        <v>37746135</v>
      </c>
    </row>
    <row r="15374" spans="1:9" x14ac:dyDescent="0.2">
      <c r="A15374" t="str">
        <f>"Olfr875"</f>
        <v>Olfr875</v>
      </c>
      <c r="B15374" t="s">
        <v>5455</v>
      </c>
      <c r="C15374" t="s">
        <v>24</v>
      </c>
      <c r="D15374" t="s">
        <v>17</v>
      </c>
      <c r="E15374" t="s">
        <v>20</v>
      </c>
      <c r="F15374">
        <v>37772636</v>
      </c>
      <c r="G15374">
        <v>37772636</v>
      </c>
      <c r="H15374">
        <v>37772636</v>
      </c>
      <c r="I15374">
        <v>37772636</v>
      </c>
    </row>
    <row r="15375" spans="1:9" x14ac:dyDescent="0.2">
      <c r="A15375" t="str">
        <f>"Olfr876"</f>
        <v>Olfr876</v>
      </c>
      <c r="B15375" t="s">
        <v>5456</v>
      </c>
      <c r="C15375" t="s">
        <v>24</v>
      </c>
      <c r="D15375" t="s">
        <v>17</v>
      </c>
      <c r="E15375" t="s">
        <v>20</v>
      </c>
      <c r="F15375">
        <v>37803888</v>
      </c>
      <c r="G15375">
        <v>37803888</v>
      </c>
      <c r="H15375">
        <v>37803888</v>
      </c>
      <c r="I15375">
        <v>37803888</v>
      </c>
    </row>
    <row r="15376" spans="1:9" x14ac:dyDescent="0.2">
      <c r="A15376" t="str">
        <f>"Olfr877"</f>
        <v>Olfr877</v>
      </c>
      <c r="B15376" t="s">
        <v>5457</v>
      </c>
      <c r="C15376" t="s">
        <v>24</v>
      </c>
      <c r="D15376" t="s">
        <v>17</v>
      </c>
      <c r="E15376" t="s">
        <v>20</v>
      </c>
      <c r="F15376">
        <v>37854819</v>
      </c>
      <c r="G15376">
        <v>37854819</v>
      </c>
      <c r="H15376">
        <v>37854819</v>
      </c>
      <c r="I15376">
        <v>37854819</v>
      </c>
    </row>
    <row r="15377" spans="1:9" x14ac:dyDescent="0.2">
      <c r="A15377" t="str">
        <f>"Olfr878"</f>
        <v>Olfr878</v>
      </c>
      <c r="B15377" t="s">
        <v>5458</v>
      </c>
      <c r="C15377" t="s">
        <v>24</v>
      </c>
      <c r="D15377" t="s">
        <v>17</v>
      </c>
      <c r="E15377" t="s">
        <v>20</v>
      </c>
      <c r="F15377">
        <v>37918547</v>
      </c>
      <c r="G15377">
        <v>37918547</v>
      </c>
      <c r="H15377">
        <v>37918547</v>
      </c>
      <c r="I15377">
        <v>37918547</v>
      </c>
    </row>
    <row r="15378" spans="1:9" x14ac:dyDescent="0.2">
      <c r="A15378" t="str">
        <f>"Olfr881"</f>
        <v>Olfr881</v>
      </c>
      <c r="B15378" t="s">
        <v>5459</v>
      </c>
      <c r="C15378" t="s">
        <v>24</v>
      </c>
      <c r="D15378" t="s">
        <v>17</v>
      </c>
      <c r="E15378" t="s">
        <v>20</v>
      </c>
      <c r="F15378">
        <v>37992491</v>
      </c>
      <c r="G15378">
        <v>37992491</v>
      </c>
      <c r="H15378">
        <v>37992491</v>
      </c>
      <c r="I15378">
        <v>37992491</v>
      </c>
    </row>
    <row r="15379" spans="1:9" x14ac:dyDescent="0.2">
      <c r="A15379" t="str">
        <f>"Olfr883"</f>
        <v>Olfr883</v>
      </c>
      <c r="B15379" t="s">
        <v>5460</v>
      </c>
      <c r="C15379" t="s">
        <v>24</v>
      </c>
      <c r="D15379" t="s">
        <v>17</v>
      </c>
      <c r="E15379" t="s">
        <v>20</v>
      </c>
      <c r="F15379">
        <v>38025807</v>
      </c>
      <c r="G15379">
        <v>38025807</v>
      </c>
      <c r="H15379">
        <v>38025807</v>
      </c>
      <c r="I15379">
        <v>38025807</v>
      </c>
    </row>
    <row r="15380" spans="1:9" x14ac:dyDescent="0.2">
      <c r="A15380" t="str">
        <f>"Olfr884"</f>
        <v>Olfr884</v>
      </c>
      <c r="B15380" t="s">
        <v>5461</v>
      </c>
      <c r="C15380" t="s">
        <v>24</v>
      </c>
      <c r="D15380" t="s">
        <v>17</v>
      </c>
      <c r="E15380" t="s">
        <v>20</v>
      </c>
      <c r="F15380">
        <v>38047223</v>
      </c>
      <c r="G15380">
        <v>38047223</v>
      </c>
      <c r="H15380">
        <v>38047223</v>
      </c>
      <c r="I15380">
        <v>38047223</v>
      </c>
    </row>
    <row r="15381" spans="1:9" x14ac:dyDescent="0.2">
      <c r="A15381" t="str">
        <f>"Olfr884"</f>
        <v>Olfr884</v>
      </c>
      <c r="B15381" t="s">
        <v>5462</v>
      </c>
      <c r="C15381" t="s">
        <v>24</v>
      </c>
      <c r="D15381" t="s">
        <v>17</v>
      </c>
      <c r="E15381" t="s">
        <v>20</v>
      </c>
      <c r="F15381">
        <v>38046580</v>
      </c>
      <c r="G15381">
        <v>38046580</v>
      </c>
      <c r="H15381">
        <v>38046580</v>
      </c>
      <c r="I15381">
        <v>38046580</v>
      </c>
    </row>
    <row r="15382" spans="1:9" x14ac:dyDescent="0.2">
      <c r="A15382" t="str">
        <f>"Olfr885"</f>
        <v>Olfr885</v>
      </c>
      <c r="B15382" t="s">
        <v>5463</v>
      </c>
      <c r="C15382" t="s">
        <v>24</v>
      </c>
      <c r="D15382" t="s">
        <v>17</v>
      </c>
      <c r="E15382" t="s">
        <v>20</v>
      </c>
      <c r="F15382">
        <v>38061321</v>
      </c>
      <c r="G15382">
        <v>38061321</v>
      </c>
      <c r="H15382">
        <v>38061321</v>
      </c>
      <c r="I15382">
        <v>38061321</v>
      </c>
    </row>
    <row r="15383" spans="1:9" x14ac:dyDescent="0.2">
      <c r="A15383" t="str">
        <f>"Olfr887"</f>
        <v>Olfr887</v>
      </c>
      <c r="B15383" t="s">
        <v>5464</v>
      </c>
      <c r="C15383" t="s">
        <v>24</v>
      </c>
      <c r="D15383" t="s">
        <v>17</v>
      </c>
      <c r="E15383" t="s">
        <v>20</v>
      </c>
      <c r="F15383">
        <v>38084837</v>
      </c>
      <c r="G15383">
        <v>38084837</v>
      </c>
      <c r="H15383">
        <v>38084837</v>
      </c>
      <c r="I15383">
        <v>38084837</v>
      </c>
    </row>
    <row r="15384" spans="1:9" x14ac:dyDescent="0.2">
      <c r="A15384" t="str">
        <f>"Olfr888"</f>
        <v>Olfr888</v>
      </c>
      <c r="B15384" t="s">
        <v>5465</v>
      </c>
      <c r="C15384" t="s">
        <v>24</v>
      </c>
      <c r="D15384" t="s">
        <v>17</v>
      </c>
      <c r="E15384" t="s">
        <v>20</v>
      </c>
      <c r="F15384">
        <v>38108687</v>
      </c>
      <c r="G15384">
        <v>38108687</v>
      </c>
      <c r="H15384">
        <v>38108687</v>
      </c>
      <c r="I15384">
        <v>38108687</v>
      </c>
    </row>
    <row r="15385" spans="1:9" x14ac:dyDescent="0.2">
      <c r="A15385" t="str">
        <f>"Olfr889"</f>
        <v>Olfr889</v>
      </c>
      <c r="B15385" t="s">
        <v>5466</v>
      </c>
      <c r="C15385" t="s">
        <v>24</v>
      </c>
      <c r="D15385" t="s">
        <v>17</v>
      </c>
      <c r="E15385" t="s">
        <v>20</v>
      </c>
      <c r="F15385">
        <v>38115691</v>
      </c>
      <c r="G15385">
        <v>38115691</v>
      </c>
      <c r="H15385">
        <v>38115691</v>
      </c>
      <c r="I15385">
        <v>38115691</v>
      </c>
    </row>
    <row r="15386" spans="1:9" x14ac:dyDescent="0.2">
      <c r="A15386" t="str">
        <f>"Olfr890"</f>
        <v>Olfr890</v>
      </c>
      <c r="B15386" t="s">
        <v>5467</v>
      </c>
      <c r="C15386" t="s">
        <v>24</v>
      </c>
      <c r="D15386" t="s">
        <v>17</v>
      </c>
      <c r="E15386" t="s">
        <v>20</v>
      </c>
      <c r="F15386">
        <v>38143136</v>
      </c>
      <c r="G15386">
        <v>38143136</v>
      </c>
      <c r="H15386">
        <v>38143136</v>
      </c>
      <c r="I15386">
        <v>38143136</v>
      </c>
    </row>
    <row r="15387" spans="1:9" x14ac:dyDescent="0.2">
      <c r="A15387" t="str">
        <f>"Olfr891"</f>
        <v>Olfr891</v>
      </c>
      <c r="B15387" t="s">
        <v>5468</v>
      </c>
      <c r="C15387" t="s">
        <v>24</v>
      </c>
      <c r="D15387" t="s">
        <v>11</v>
      </c>
      <c r="E15387" t="s">
        <v>20</v>
      </c>
      <c r="F15387">
        <v>38180820</v>
      </c>
      <c r="G15387">
        <v>38180820</v>
      </c>
      <c r="H15387">
        <v>38180820</v>
      </c>
      <c r="I15387">
        <v>38180820</v>
      </c>
    </row>
    <row r="15388" spans="1:9" x14ac:dyDescent="0.2">
      <c r="A15388" t="str">
        <f>"Olfr893"</f>
        <v>Olfr893</v>
      </c>
      <c r="B15388" t="s">
        <v>5469</v>
      </c>
      <c r="C15388" t="s">
        <v>24</v>
      </c>
      <c r="D15388" t="s">
        <v>17</v>
      </c>
      <c r="E15388" t="s">
        <v>20</v>
      </c>
      <c r="F15388">
        <v>38209051</v>
      </c>
      <c r="G15388">
        <v>38209051</v>
      </c>
      <c r="H15388">
        <v>38209051</v>
      </c>
      <c r="I15388">
        <v>38209051</v>
      </c>
    </row>
    <row r="15389" spans="1:9" x14ac:dyDescent="0.2">
      <c r="A15389" t="str">
        <f>"Olfr894"</f>
        <v>Olfr894</v>
      </c>
      <c r="B15389" t="s">
        <v>5470</v>
      </c>
      <c r="C15389" t="s">
        <v>24</v>
      </c>
      <c r="D15389" t="s">
        <v>17</v>
      </c>
      <c r="E15389" t="s">
        <v>20</v>
      </c>
      <c r="F15389">
        <v>38218817</v>
      </c>
      <c r="G15389">
        <v>38218817</v>
      </c>
      <c r="H15389">
        <v>38218817</v>
      </c>
      <c r="I15389">
        <v>38218817</v>
      </c>
    </row>
    <row r="15390" spans="1:9" x14ac:dyDescent="0.2">
      <c r="A15390" t="str">
        <f>"Olfr895"</f>
        <v>Olfr895</v>
      </c>
      <c r="B15390" t="s">
        <v>5471</v>
      </c>
      <c r="C15390" t="s">
        <v>24</v>
      </c>
      <c r="D15390" t="s">
        <v>17</v>
      </c>
      <c r="E15390" t="s">
        <v>20</v>
      </c>
      <c r="F15390">
        <v>38268514</v>
      </c>
      <c r="G15390">
        <v>38268514</v>
      </c>
      <c r="H15390">
        <v>38268514</v>
      </c>
      <c r="I15390">
        <v>38268514</v>
      </c>
    </row>
    <row r="15391" spans="1:9" x14ac:dyDescent="0.2">
      <c r="A15391" t="str">
        <f>"Olfr898"</f>
        <v>Olfr898</v>
      </c>
      <c r="B15391" t="s">
        <v>5472</v>
      </c>
      <c r="C15391" t="s">
        <v>24</v>
      </c>
      <c r="D15391" t="s">
        <v>17</v>
      </c>
      <c r="E15391" t="s">
        <v>20</v>
      </c>
      <c r="F15391">
        <v>38349084</v>
      </c>
      <c r="G15391">
        <v>38349084</v>
      </c>
      <c r="H15391">
        <v>38349084</v>
      </c>
      <c r="I15391">
        <v>38349084</v>
      </c>
    </row>
    <row r="15392" spans="1:9" x14ac:dyDescent="0.2">
      <c r="A15392" t="str">
        <f>"Olfr9"</f>
        <v>Olfr9</v>
      </c>
      <c r="B15392" t="s">
        <v>5473</v>
      </c>
      <c r="C15392" t="s">
        <v>15</v>
      </c>
      <c r="D15392" t="s">
        <v>17</v>
      </c>
      <c r="E15392" t="s">
        <v>20</v>
      </c>
      <c r="F15392">
        <v>128989848</v>
      </c>
      <c r="G15392">
        <v>128989848</v>
      </c>
      <c r="H15392">
        <v>128989848</v>
      </c>
      <c r="I15392">
        <v>128989848</v>
      </c>
    </row>
    <row r="15393" spans="1:9" x14ac:dyDescent="0.2">
      <c r="A15393" t="str">
        <f>"Olfr90"</f>
        <v>Olfr90</v>
      </c>
      <c r="B15393" t="s">
        <v>5474</v>
      </c>
      <c r="C15393" t="s">
        <v>28</v>
      </c>
      <c r="D15393" t="s">
        <v>11</v>
      </c>
      <c r="E15393" t="s">
        <v>20</v>
      </c>
      <c r="F15393">
        <v>37086235</v>
      </c>
      <c r="G15393">
        <v>37086235</v>
      </c>
      <c r="H15393">
        <v>37086235</v>
      </c>
      <c r="I15393">
        <v>37086235</v>
      </c>
    </row>
    <row r="15394" spans="1:9" x14ac:dyDescent="0.2">
      <c r="A15394" t="str">
        <f>"Olfr901"</f>
        <v>Olfr901</v>
      </c>
      <c r="B15394" t="s">
        <v>5475</v>
      </c>
      <c r="C15394" t="s">
        <v>24</v>
      </c>
      <c r="D15394" t="s">
        <v>17</v>
      </c>
      <c r="E15394" t="s">
        <v>20</v>
      </c>
      <c r="F15394">
        <v>38430283</v>
      </c>
      <c r="G15394">
        <v>38430283</v>
      </c>
      <c r="H15394">
        <v>38430283</v>
      </c>
      <c r="I15394">
        <v>38430283</v>
      </c>
    </row>
    <row r="15395" spans="1:9" x14ac:dyDescent="0.2">
      <c r="A15395" t="str">
        <f>"Olfr902"</f>
        <v>Olfr902</v>
      </c>
      <c r="B15395" t="s">
        <v>5476</v>
      </c>
      <c r="C15395" t="s">
        <v>24</v>
      </c>
      <c r="D15395" t="s">
        <v>17</v>
      </c>
      <c r="E15395" t="s">
        <v>20</v>
      </c>
      <c r="F15395">
        <v>38448791</v>
      </c>
      <c r="G15395">
        <v>38448791</v>
      </c>
      <c r="H15395">
        <v>38448791</v>
      </c>
      <c r="I15395">
        <v>38448791</v>
      </c>
    </row>
    <row r="15396" spans="1:9" x14ac:dyDescent="0.2">
      <c r="A15396" t="str">
        <f>"Olfr904"</f>
        <v>Olfr904</v>
      </c>
      <c r="B15396" t="s">
        <v>5477</v>
      </c>
      <c r="C15396" t="s">
        <v>24</v>
      </c>
      <c r="D15396" t="s">
        <v>17</v>
      </c>
      <c r="E15396" t="s">
        <v>20</v>
      </c>
      <c r="F15396">
        <v>38464042</v>
      </c>
      <c r="G15396">
        <v>38464042</v>
      </c>
      <c r="H15396">
        <v>38464042</v>
      </c>
      <c r="I15396">
        <v>38464042</v>
      </c>
    </row>
    <row r="15397" spans="1:9" x14ac:dyDescent="0.2">
      <c r="A15397" t="str">
        <f>"Olfr905"</f>
        <v>Olfr905</v>
      </c>
      <c r="B15397" t="s">
        <v>5478</v>
      </c>
      <c r="C15397" t="s">
        <v>24</v>
      </c>
      <c r="D15397" t="s">
        <v>17</v>
      </c>
      <c r="E15397" t="s">
        <v>20</v>
      </c>
      <c r="F15397">
        <v>38472744</v>
      </c>
      <c r="G15397">
        <v>38472744</v>
      </c>
      <c r="H15397">
        <v>38472744</v>
      </c>
      <c r="I15397">
        <v>38472744</v>
      </c>
    </row>
    <row r="15398" spans="1:9" x14ac:dyDescent="0.2">
      <c r="A15398" t="str">
        <f>"Olfr906"</f>
        <v>Olfr906</v>
      </c>
      <c r="B15398" t="s">
        <v>5479</v>
      </c>
      <c r="C15398" t="s">
        <v>24</v>
      </c>
      <c r="D15398" t="s">
        <v>17</v>
      </c>
      <c r="E15398" t="s">
        <v>20</v>
      </c>
      <c r="F15398">
        <v>38488030</v>
      </c>
      <c r="G15398">
        <v>38488030</v>
      </c>
      <c r="H15398">
        <v>38488030</v>
      </c>
      <c r="I15398">
        <v>38488030</v>
      </c>
    </row>
    <row r="15399" spans="1:9" x14ac:dyDescent="0.2">
      <c r="A15399" t="str">
        <f>"Olfr907"</f>
        <v>Olfr907</v>
      </c>
      <c r="B15399" t="s">
        <v>5480</v>
      </c>
      <c r="C15399" t="s">
        <v>24</v>
      </c>
      <c r="D15399" t="s">
        <v>17</v>
      </c>
      <c r="E15399" t="s">
        <v>20</v>
      </c>
      <c r="F15399">
        <v>38498670</v>
      </c>
      <c r="G15399">
        <v>38498670</v>
      </c>
      <c r="H15399">
        <v>38498670</v>
      </c>
      <c r="I15399">
        <v>38498670</v>
      </c>
    </row>
    <row r="15400" spans="1:9" x14ac:dyDescent="0.2">
      <c r="A15400" t="str">
        <f>"Olfr91"</f>
        <v>Olfr91</v>
      </c>
      <c r="B15400" t="s">
        <v>5481</v>
      </c>
      <c r="C15400" t="s">
        <v>28</v>
      </c>
      <c r="D15400" t="s">
        <v>11</v>
      </c>
      <c r="E15400" t="s">
        <v>20</v>
      </c>
      <c r="F15400">
        <v>37093871</v>
      </c>
      <c r="G15400">
        <v>37093871</v>
      </c>
      <c r="H15400">
        <v>37093871</v>
      </c>
      <c r="I15400">
        <v>37093871</v>
      </c>
    </row>
    <row r="15401" spans="1:9" x14ac:dyDescent="0.2">
      <c r="A15401" t="str">
        <f>"Olfr910"</f>
        <v>Olfr910</v>
      </c>
      <c r="B15401" t="s">
        <v>5482</v>
      </c>
      <c r="C15401" t="s">
        <v>24</v>
      </c>
      <c r="D15401" t="s">
        <v>17</v>
      </c>
      <c r="E15401" t="s">
        <v>20</v>
      </c>
      <c r="F15401">
        <v>38537881</v>
      </c>
      <c r="G15401">
        <v>38537881</v>
      </c>
      <c r="H15401">
        <v>38537881</v>
      </c>
      <c r="I15401">
        <v>38537881</v>
      </c>
    </row>
    <row r="15402" spans="1:9" x14ac:dyDescent="0.2">
      <c r="A15402" t="str">
        <f>"Olfr911-ps1"</f>
        <v>Olfr911-ps1</v>
      </c>
      <c r="B15402" t="s">
        <v>5483</v>
      </c>
      <c r="C15402" t="s">
        <v>24</v>
      </c>
      <c r="D15402" t="s">
        <v>17</v>
      </c>
      <c r="E15402" t="s">
        <v>20</v>
      </c>
      <c r="F15402">
        <v>38523729</v>
      </c>
      <c r="G15402">
        <v>38523729</v>
      </c>
      <c r="H15402">
        <v>38523729</v>
      </c>
      <c r="I15402">
        <v>38523729</v>
      </c>
    </row>
    <row r="15403" spans="1:9" x14ac:dyDescent="0.2">
      <c r="A15403" t="str">
        <f>"Olfr912"</f>
        <v>Olfr912</v>
      </c>
      <c r="B15403" t="s">
        <v>5484</v>
      </c>
      <c r="C15403" t="s">
        <v>24</v>
      </c>
      <c r="D15403" t="s">
        <v>17</v>
      </c>
      <c r="E15403" t="s">
        <v>20</v>
      </c>
      <c r="F15403">
        <v>38580243</v>
      </c>
      <c r="G15403">
        <v>38580243</v>
      </c>
      <c r="H15403">
        <v>38580243</v>
      </c>
      <c r="I15403">
        <v>38580243</v>
      </c>
    </row>
    <row r="15404" spans="1:9" x14ac:dyDescent="0.2">
      <c r="A15404" t="str">
        <f>"Olfr913"</f>
        <v>Olfr913</v>
      </c>
      <c r="B15404" t="s">
        <v>5485</v>
      </c>
      <c r="C15404" t="s">
        <v>24</v>
      </c>
      <c r="D15404" t="s">
        <v>17</v>
      </c>
      <c r="E15404" t="s">
        <v>20</v>
      </c>
      <c r="F15404">
        <v>38592802</v>
      </c>
      <c r="G15404">
        <v>38592802</v>
      </c>
      <c r="H15404">
        <v>38592802</v>
      </c>
      <c r="I15404">
        <v>38592802</v>
      </c>
    </row>
    <row r="15405" spans="1:9" x14ac:dyDescent="0.2">
      <c r="A15405" t="str">
        <f>"Olfr914"</f>
        <v>Olfr914</v>
      </c>
      <c r="B15405" t="s">
        <v>5486</v>
      </c>
      <c r="C15405" t="s">
        <v>24</v>
      </c>
      <c r="D15405" t="s">
        <v>17</v>
      </c>
      <c r="E15405" t="s">
        <v>20</v>
      </c>
      <c r="F15405">
        <v>38606466</v>
      </c>
      <c r="G15405">
        <v>38606466</v>
      </c>
      <c r="H15405">
        <v>38606466</v>
      </c>
      <c r="I15405">
        <v>38606466</v>
      </c>
    </row>
    <row r="15406" spans="1:9" x14ac:dyDescent="0.2">
      <c r="A15406" t="str">
        <f>"Olfr916"</f>
        <v>Olfr916</v>
      </c>
      <c r="B15406" t="s">
        <v>5487</v>
      </c>
      <c r="C15406" t="s">
        <v>24</v>
      </c>
      <c r="D15406" t="s">
        <v>11</v>
      </c>
      <c r="E15406" t="s">
        <v>20</v>
      </c>
      <c r="F15406">
        <v>38658389</v>
      </c>
      <c r="G15406">
        <v>38658389</v>
      </c>
      <c r="H15406">
        <v>38658389</v>
      </c>
      <c r="I15406">
        <v>38658389</v>
      </c>
    </row>
    <row r="15407" spans="1:9" x14ac:dyDescent="0.2">
      <c r="A15407" t="str">
        <f>"Olfr917"</f>
        <v>Olfr917</v>
      </c>
      <c r="B15407" t="s">
        <v>5488</v>
      </c>
      <c r="C15407" t="s">
        <v>24</v>
      </c>
      <c r="D15407" t="s">
        <v>11</v>
      </c>
      <c r="E15407" t="s">
        <v>20</v>
      </c>
      <c r="F15407">
        <v>38665841</v>
      </c>
      <c r="G15407">
        <v>38665841</v>
      </c>
      <c r="H15407">
        <v>38665841</v>
      </c>
      <c r="I15407">
        <v>38665841</v>
      </c>
    </row>
    <row r="15408" spans="1:9" x14ac:dyDescent="0.2">
      <c r="A15408" t="str">
        <f>"Olfr918"</f>
        <v>Olfr918</v>
      </c>
      <c r="B15408" t="s">
        <v>5489</v>
      </c>
      <c r="C15408" t="s">
        <v>24</v>
      </c>
      <c r="D15408" t="s">
        <v>11</v>
      </c>
      <c r="E15408" t="s">
        <v>20</v>
      </c>
      <c r="F15408">
        <v>38673480</v>
      </c>
      <c r="G15408">
        <v>38673480</v>
      </c>
      <c r="H15408">
        <v>38673480</v>
      </c>
      <c r="I15408">
        <v>38673480</v>
      </c>
    </row>
    <row r="15409" spans="1:9" x14ac:dyDescent="0.2">
      <c r="A15409" t="str">
        <f>"Olfr919"</f>
        <v>Olfr919</v>
      </c>
      <c r="B15409" t="s">
        <v>5490</v>
      </c>
      <c r="C15409" t="s">
        <v>24</v>
      </c>
      <c r="D15409" t="s">
        <v>11</v>
      </c>
      <c r="E15409" t="s">
        <v>20</v>
      </c>
      <c r="F15409">
        <v>38698375</v>
      </c>
      <c r="G15409">
        <v>38698375</v>
      </c>
      <c r="H15409">
        <v>38698375</v>
      </c>
      <c r="I15409">
        <v>38698375</v>
      </c>
    </row>
    <row r="15410" spans="1:9" x14ac:dyDescent="0.2">
      <c r="A15410" t="str">
        <f>"Olfr92"</f>
        <v>Olfr92</v>
      </c>
      <c r="B15410" t="s">
        <v>5491</v>
      </c>
      <c r="C15410" t="s">
        <v>28</v>
      </c>
      <c r="D15410" t="s">
        <v>11</v>
      </c>
      <c r="E15410" t="s">
        <v>20</v>
      </c>
      <c r="F15410">
        <v>37111979</v>
      </c>
      <c r="G15410">
        <v>37111979</v>
      </c>
      <c r="H15410">
        <v>37111979</v>
      </c>
      <c r="I15410">
        <v>37111979</v>
      </c>
    </row>
    <row r="15411" spans="1:9" x14ac:dyDescent="0.2">
      <c r="A15411" t="str">
        <f>"Olfr920"</f>
        <v>Olfr920</v>
      </c>
      <c r="B15411" t="s">
        <v>5492</v>
      </c>
      <c r="C15411" t="s">
        <v>24</v>
      </c>
      <c r="D15411" t="s">
        <v>17</v>
      </c>
      <c r="E15411" t="s">
        <v>20</v>
      </c>
      <c r="F15411">
        <v>38752795</v>
      </c>
      <c r="G15411">
        <v>38752795</v>
      </c>
      <c r="H15411">
        <v>38752795</v>
      </c>
      <c r="I15411">
        <v>38752795</v>
      </c>
    </row>
    <row r="15412" spans="1:9" x14ac:dyDescent="0.2">
      <c r="A15412" t="str">
        <f>"Olfr921"</f>
        <v>Olfr921</v>
      </c>
      <c r="B15412" t="s">
        <v>5493</v>
      </c>
      <c r="C15412" t="s">
        <v>24</v>
      </c>
      <c r="D15412" t="s">
        <v>17</v>
      </c>
      <c r="E15412" t="s">
        <v>20</v>
      </c>
      <c r="F15412">
        <v>38773087</v>
      </c>
      <c r="G15412">
        <v>38773087</v>
      </c>
      <c r="H15412">
        <v>38773087</v>
      </c>
      <c r="I15412">
        <v>38773087</v>
      </c>
    </row>
    <row r="15413" spans="1:9" x14ac:dyDescent="0.2">
      <c r="A15413" t="str">
        <f>"Olfr922"</f>
        <v>Olfr922</v>
      </c>
      <c r="B15413" t="s">
        <v>5494</v>
      </c>
      <c r="C15413" t="s">
        <v>24</v>
      </c>
      <c r="D15413" t="s">
        <v>17</v>
      </c>
      <c r="E15413" t="s">
        <v>20</v>
      </c>
      <c r="F15413">
        <v>38815407</v>
      </c>
      <c r="G15413">
        <v>38815407</v>
      </c>
      <c r="H15413">
        <v>38815407</v>
      </c>
      <c r="I15413">
        <v>38815407</v>
      </c>
    </row>
    <row r="15414" spans="1:9" x14ac:dyDescent="0.2">
      <c r="A15414" t="str">
        <f>"Olfr923"</f>
        <v>Olfr923</v>
      </c>
      <c r="B15414" t="s">
        <v>5495</v>
      </c>
      <c r="C15414" t="s">
        <v>24</v>
      </c>
      <c r="D15414" t="s">
        <v>17</v>
      </c>
      <c r="E15414" t="s">
        <v>20</v>
      </c>
      <c r="F15414">
        <v>38827614</v>
      </c>
      <c r="G15414">
        <v>38827614</v>
      </c>
      <c r="H15414">
        <v>38827614</v>
      </c>
      <c r="I15414">
        <v>38827614</v>
      </c>
    </row>
    <row r="15415" spans="1:9" x14ac:dyDescent="0.2">
      <c r="A15415" t="str">
        <f>"Olfr924"</f>
        <v>Olfr924</v>
      </c>
      <c r="B15415" t="s">
        <v>5496</v>
      </c>
      <c r="C15415" t="s">
        <v>24</v>
      </c>
      <c r="D15415" t="s">
        <v>17</v>
      </c>
      <c r="E15415" t="s">
        <v>20</v>
      </c>
      <c r="F15415">
        <v>38848115</v>
      </c>
      <c r="G15415">
        <v>38848115</v>
      </c>
      <c r="H15415">
        <v>38848115</v>
      </c>
      <c r="I15415">
        <v>38848115</v>
      </c>
    </row>
    <row r="15416" spans="1:9" x14ac:dyDescent="0.2">
      <c r="A15416" t="str">
        <f>"Olfr926"</f>
        <v>Olfr926</v>
      </c>
      <c r="B15416" t="s">
        <v>5497</v>
      </c>
      <c r="C15416" t="s">
        <v>24</v>
      </c>
      <c r="D15416" t="s">
        <v>17</v>
      </c>
      <c r="E15416" t="s">
        <v>20</v>
      </c>
      <c r="F15416">
        <v>38877125</v>
      </c>
      <c r="G15416">
        <v>38877125</v>
      </c>
      <c r="H15416">
        <v>38877125</v>
      </c>
      <c r="I15416">
        <v>38877125</v>
      </c>
    </row>
    <row r="15417" spans="1:9" x14ac:dyDescent="0.2">
      <c r="A15417" t="str">
        <f>"Olfr93"</f>
        <v>Olfr93</v>
      </c>
      <c r="B15417" t="s">
        <v>5498</v>
      </c>
      <c r="C15417" t="s">
        <v>28</v>
      </c>
      <c r="D15417" t="s">
        <v>11</v>
      </c>
      <c r="E15417" t="s">
        <v>20</v>
      </c>
      <c r="F15417">
        <v>37152050</v>
      </c>
      <c r="G15417">
        <v>37152050</v>
      </c>
      <c r="H15417">
        <v>37152050</v>
      </c>
      <c r="I15417">
        <v>37152050</v>
      </c>
    </row>
    <row r="15418" spans="1:9" x14ac:dyDescent="0.2">
      <c r="A15418" t="str">
        <f>"Olfr930"</f>
        <v>Olfr930</v>
      </c>
      <c r="B15418" t="s">
        <v>5499</v>
      </c>
      <c r="C15418" t="s">
        <v>24</v>
      </c>
      <c r="D15418" t="s">
        <v>17</v>
      </c>
      <c r="E15418" t="s">
        <v>20</v>
      </c>
      <c r="F15418">
        <v>38930172</v>
      </c>
      <c r="G15418">
        <v>38930172</v>
      </c>
      <c r="H15418">
        <v>38930172</v>
      </c>
      <c r="I15418">
        <v>38930172</v>
      </c>
    </row>
    <row r="15419" spans="1:9" x14ac:dyDescent="0.2">
      <c r="A15419" t="str">
        <f>"Olfr933"</f>
        <v>Olfr933</v>
      </c>
      <c r="B15419" t="s">
        <v>5500</v>
      </c>
      <c r="C15419" t="s">
        <v>24</v>
      </c>
      <c r="D15419" t="s">
        <v>17</v>
      </c>
      <c r="E15419" t="s">
        <v>20</v>
      </c>
      <c r="F15419">
        <v>38975650</v>
      </c>
      <c r="G15419">
        <v>38975650</v>
      </c>
      <c r="H15419">
        <v>38975650</v>
      </c>
      <c r="I15419">
        <v>38975650</v>
      </c>
    </row>
    <row r="15420" spans="1:9" x14ac:dyDescent="0.2">
      <c r="A15420" t="str">
        <f>"Olfr934"</f>
        <v>Olfr934</v>
      </c>
      <c r="B15420" t="s">
        <v>5501</v>
      </c>
      <c r="C15420" t="s">
        <v>24</v>
      </c>
      <c r="D15420" t="s">
        <v>11</v>
      </c>
      <c r="E15420" t="s">
        <v>20</v>
      </c>
      <c r="F15420">
        <v>38983041</v>
      </c>
      <c r="G15420">
        <v>38983041</v>
      </c>
      <c r="H15420">
        <v>38983041</v>
      </c>
      <c r="I15420">
        <v>38983041</v>
      </c>
    </row>
    <row r="15421" spans="1:9" x14ac:dyDescent="0.2">
      <c r="A15421" t="str">
        <f>"Olfr935"</f>
        <v>Olfr935</v>
      </c>
      <c r="B15421" t="s">
        <v>5502</v>
      </c>
      <c r="C15421" t="s">
        <v>24</v>
      </c>
      <c r="D15421" t="s">
        <v>11</v>
      </c>
      <c r="E15421" t="s">
        <v>20</v>
      </c>
      <c r="F15421">
        <v>38995432</v>
      </c>
      <c r="G15421">
        <v>38995432</v>
      </c>
      <c r="H15421">
        <v>38995432</v>
      </c>
      <c r="I15421">
        <v>38995432</v>
      </c>
    </row>
    <row r="15422" spans="1:9" x14ac:dyDescent="0.2">
      <c r="A15422" t="str">
        <f>"Olfr936"</f>
        <v>Olfr936</v>
      </c>
      <c r="B15422" t="s">
        <v>5503</v>
      </c>
      <c r="C15422" t="s">
        <v>24</v>
      </c>
      <c r="D15422" t="s">
        <v>11</v>
      </c>
      <c r="E15422" t="s">
        <v>20</v>
      </c>
      <c r="F15422">
        <v>39047548</v>
      </c>
      <c r="G15422">
        <v>39047548</v>
      </c>
      <c r="H15422">
        <v>39047548</v>
      </c>
      <c r="I15422">
        <v>39047548</v>
      </c>
    </row>
    <row r="15423" spans="1:9" x14ac:dyDescent="0.2">
      <c r="A15423" t="str">
        <f>"Olfr937"</f>
        <v>Olfr937</v>
      </c>
      <c r="B15423" t="s">
        <v>5504</v>
      </c>
      <c r="C15423" t="s">
        <v>24</v>
      </c>
      <c r="D15423" t="s">
        <v>11</v>
      </c>
      <c r="E15423" t="s">
        <v>20</v>
      </c>
      <c r="F15423">
        <v>39060663</v>
      </c>
      <c r="G15423">
        <v>39060663</v>
      </c>
      <c r="H15423">
        <v>39060663</v>
      </c>
      <c r="I15423">
        <v>39060663</v>
      </c>
    </row>
    <row r="15424" spans="1:9" x14ac:dyDescent="0.2">
      <c r="A15424" t="str">
        <f>"Olfr938"</f>
        <v>Olfr938</v>
      </c>
      <c r="B15424" t="s">
        <v>5505</v>
      </c>
      <c r="C15424" t="s">
        <v>24</v>
      </c>
      <c r="D15424" t="s">
        <v>11</v>
      </c>
      <c r="E15424" t="s">
        <v>20</v>
      </c>
      <c r="F15424">
        <v>39078815</v>
      </c>
      <c r="G15424">
        <v>39078815</v>
      </c>
      <c r="H15424">
        <v>39078815</v>
      </c>
      <c r="I15424">
        <v>39078815</v>
      </c>
    </row>
    <row r="15425" spans="1:9" x14ac:dyDescent="0.2">
      <c r="A15425" t="str">
        <f>"Olfr94"</f>
        <v>Olfr94</v>
      </c>
      <c r="B15425" t="s">
        <v>5506</v>
      </c>
      <c r="C15425" t="s">
        <v>28</v>
      </c>
      <c r="D15425" t="s">
        <v>11</v>
      </c>
      <c r="E15425" t="s">
        <v>20</v>
      </c>
      <c r="F15425">
        <v>37198010</v>
      </c>
      <c r="G15425">
        <v>37198010</v>
      </c>
      <c r="H15425">
        <v>37198010</v>
      </c>
      <c r="I15425">
        <v>37198010</v>
      </c>
    </row>
    <row r="15426" spans="1:9" x14ac:dyDescent="0.2">
      <c r="A15426" t="str">
        <f>"Olfr943"</f>
        <v>Olfr943</v>
      </c>
      <c r="B15426" t="s">
        <v>5507</v>
      </c>
      <c r="C15426" t="s">
        <v>24</v>
      </c>
      <c r="D15426" t="s">
        <v>17</v>
      </c>
      <c r="E15426" t="s">
        <v>20</v>
      </c>
      <c r="F15426">
        <v>39166309</v>
      </c>
      <c r="G15426">
        <v>39166309</v>
      </c>
      <c r="H15426">
        <v>39166309</v>
      </c>
      <c r="I15426">
        <v>39166309</v>
      </c>
    </row>
    <row r="15427" spans="1:9" x14ac:dyDescent="0.2">
      <c r="A15427" t="str">
        <f>"Olfr944"</f>
        <v>Olfr944</v>
      </c>
      <c r="B15427" t="s">
        <v>5508</v>
      </c>
      <c r="C15427" t="s">
        <v>24</v>
      </c>
      <c r="D15427" t="s">
        <v>17</v>
      </c>
      <c r="E15427" t="s">
        <v>20</v>
      </c>
      <c r="F15427">
        <v>39217358</v>
      </c>
      <c r="G15427">
        <v>39217358</v>
      </c>
      <c r="H15427">
        <v>39217358</v>
      </c>
      <c r="I15427">
        <v>39217358</v>
      </c>
    </row>
    <row r="15428" spans="1:9" x14ac:dyDescent="0.2">
      <c r="A15428" t="str">
        <f>"Olfr945"</f>
        <v>Olfr945</v>
      </c>
      <c r="B15428" t="s">
        <v>5509</v>
      </c>
      <c r="C15428" t="s">
        <v>24</v>
      </c>
      <c r="D15428" t="s">
        <v>11</v>
      </c>
      <c r="E15428" t="s">
        <v>20</v>
      </c>
      <c r="F15428">
        <v>39258681</v>
      </c>
      <c r="G15428">
        <v>39258681</v>
      </c>
      <c r="H15428">
        <v>39258681</v>
      </c>
      <c r="I15428">
        <v>39258681</v>
      </c>
    </row>
    <row r="15429" spans="1:9" x14ac:dyDescent="0.2">
      <c r="A15429" t="str">
        <f>"Olfr948"</f>
        <v>Olfr948</v>
      </c>
      <c r="B15429" t="s">
        <v>5510</v>
      </c>
      <c r="C15429" t="s">
        <v>24</v>
      </c>
      <c r="D15429" t="s">
        <v>11</v>
      </c>
      <c r="E15429" t="s">
        <v>20</v>
      </c>
      <c r="F15429">
        <v>39319611</v>
      </c>
      <c r="G15429">
        <v>39319611</v>
      </c>
      <c r="H15429">
        <v>39319611</v>
      </c>
      <c r="I15429">
        <v>39319611</v>
      </c>
    </row>
    <row r="15430" spans="1:9" x14ac:dyDescent="0.2">
      <c r="A15430" t="str">
        <f>"Olfr95"</f>
        <v>Olfr95</v>
      </c>
      <c r="B15430" t="s">
        <v>5511</v>
      </c>
      <c r="C15430" t="s">
        <v>28</v>
      </c>
      <c r="D15430" t="s">
        <v>11</v>
      </c>
      <c r="E15430" t="s">
        <v>20</v>
      </c>
      <c r="F15430">
        <v>37211866</v>
      </c>
      <c r="G15430">
        <v>37211866</v>
      </c>
      <c r="H15430">
        <v>37211866</v>
      </c>
      <c r="I15430">
        <v>37211866</v>
      </c>
    </row>
    <row r="15431" spans="1:9" x14ac:dyDescent="0.2">
      <c r="A15431" t="str">
        <f>"Olfr951"</f>
        <v>Olfr951</v>
      </c>
      <c r="B15431" t="s">
        <v>5512</v>
      </c>
      <c r="C15431" t="s">
        <v>24</v>
      </c>
      <c r="D15431" t="s">
        <v>17</v>
      </c>
      <c r="E15431" t="s">
        <v>20</v>
      </c>
      <c r="F15431">
        <v>39393792</v>
      </c>
      <c r="G15431">
        <v>39393792</v>
      </c>
      <c r="H15431">
        <v>39393792</v>
      </c>
      <c r="I15431">
        <v>39393792</v>
      </c>
    </row>
    <row r="15432" spans="1:9" x14ac:dyDescent="0.2">
      <c r="A15432" t="str">
        <f>"Olfr952"</f>
        <v>Olfr952</v>
      </c>
      <c r="B15432" t="s">
        <v>5513</v>
      </c>
      <c r="C15432" t="s">
        <v>24</v>
      </c>
      <c r="D15432" t="s">
        <v>11</v>
      </c>
      <c r="E15432" t="s">
        <v>20</v>
      </c>
      <c r="F15432">
        <v>39427147</v>
      </c>
      <c r="G15432">
        <v>39427147</v>
      </c>
      <c r="H15432">
        <v>39427147</v>
      </c>
      <c r="I15432">
        <v>39427147</v>
      </c>
    </row>
    <row r="15433" spans="1:9" x14ac:dyDescent="0.2">
      <c r="A15433" t="str">
        <f>"Olfr954"</f>
        <v>Olfr954</v>
      </c>
      <c r="B15433" t="s">
        <v>5514</v>
      </c>
      <c r="C15433" t="s">
        <v>24</v>
      </c>
      <c r="D15433" t="s">
        <v>17</v>
      </c>
      <c r="E15433" t="s">
        <v>20</v>
      </c>
      <c r="F15433">
        <v>39461432</v>
      </c>
      <c r="G15433">
        <v>39461432</v>
      </c>
      <c r="H15433">
        <v>39461432</v>
      </c>
      <c r="I15433">
        <v>39461432</v>
      </c>
    </row>
    <row r="15434" spans="1:9" x14ac:dyDescent="0.2">
      <c r="A15434" t="str">
        <f>"Olfr955"</f>
        <v>Olfr955</v>
      </c>
      <c r="B15434" t="s">
        <v>5515</v>
      </c>
      <c r="C15434" t="s">
        <v>24</v>
      </c>
      <c r="D15434" t="s">
        <v>11</v>
      </c>
      <c r="E15434" t="s">
        <v>20</v>
      </c>
      <c r="F15434">
        <v>39470723</v>
      </c>
      <c r="G15434">
        <v>39470723</v>
      </c>
      <c r="H15434">
        <v>39470723</v>
      </c>
      <c r="I15434">
        <v>39470723</v>
      </c>
    </row>
    <row r="15435" spans="1:9" x14ac:dyDescent="0.2">
      <c r="A15435" t="str">
        <f>"Olfr957"</f>
        <v>Olfr957</v>
      </c>
      <c r="B15435" t="s">
        <v>5516</v>
      </c>
      <c r="C15435" t="s">
        <v>24</v>
      </c>
      <c r="D15435" t="s">
        <v>11</v>
      </c>
      <c r="E15435" t="s">
        <v>20</v>
      </c>
      <c r="F15435">
        <v>39511717</v>
      </c>
      <c r="G15435">
        <v>39511717</v>
      </c>
      <c r="H15435">
        <v>39511717</v>
      </c>
      <c r="I15435">
        <v>39511717</v>
      </c>
    </row>
    <row r="15436" spans="1:9" x14ac:dyDescent="0.2">
      <c r="A15436" t="str">
        <f>"Olfr958"</f>
        <v>Olfr958</v>
      </c>
      <c r="B15436" t="s">
        <v>5517</v>
      </c>
      <c r="C15436" t="s">
        <v>24</v>
      </c>
      <c r="D15436" t="s">
        <v>11</v>
      </c>
      <c r="E15436" t="s">
        <v>20</v>
      </c>
      <c r="F15436">
        <v>39550868</v>
      </c>
      <c r="G15436">
        <v>39550868</v>
      </c>
      <c r="H15436">
        <v>39550868</v>
      </c>
      <c r="I15436">
        <v>39550868</v>
      </c>
    </row>
    <row r="15437" spans="1:9" x14ac:dyDescent="0.2">
      <c r="A15437" t="str">
        <f>"Olfr959"</f>
        <v>Olfr959</v>
      </c>
      <c r="B15437" t="s">
        <v>5518</v>
      </c>
      <c r="C15437" t="s">
        <v>24</v>
      </c>
      <c r="D15437" t="s">
        <v>11</v>
      </c>
      <c r="E15437" t="s">
        <v>20</v>
      </c>
      <c r="F15437">
        <v>39573313</v>
      </c>
      <c r="G15437">
        <v>39573313</v>
      </c>
      <c r="H15437">
        <v>39573313</v>
      </c>
      <c r="I15437">
        <v>39573313</v>
      </c>
    </row>
    <row r="15438" spans="1:9" x14ac:dyDescent="0.2">
      <c r="A15438" t="str">
        <f>"Olfr96"</f>
        <v>Olfr96</v>
      </c>
      <c r="B15438" t="s">
        <v>5519</v>
      </c>
      <c r="C15438" t="s">
        <v>28</v>
      </c>
      <c r="D15438" t="s">
        <v>17</v>
      </c>
      <c r="E15438" t="s">
        <v>20</v>
      </c>
      <c r="F15438">
        <v>37225090</v>
      </c>
      <c r="G15438">
        <v>37225090</v>
      </c>
      <c r="H15438">
        <v>37225090</v>
      </c>
      <c r="I15438">
        <v>37225090</v>
      </c>
    </row>
    <row r="15439" spans="1:9" x14ac:dyDescent="0.2">
      <c r="A15439" t="str">
        <f>"Olfr960"</f>
        <v>Olfr960</v>
      </c>
      <c r="B15439" t="s">
        <v>5520</v>
      </c>
      <c r="C15439" t="s">
        <v>24</v>
      </c>
      <c r="D15439" t="s">
        <v>17</v>
      </c>
      <c r="E15439" t="s">
        <v>20</v>
      </c>
      <c r="F15439">
        <v>39623104</v>
      </c>
      <c r="G15439">
        <v>39623104</v>
      </c>
      <c r="H15439">
        <v>39623104</v>
      </c>
      <c r="I15439">
        <v>39623104</v>
      </c>
    </row>
    <row r="15440" spans="1:9" x14ac:dyDescent="0.2">
      <c r="A15440" t="str">
        <f>"Olfr961"</f>
        <v>Olfr961</v>
      </c>
      <c r="B15440" t="s">
        <v>5521</v>
      </c>
      <c r="C15440" t="s">
        <v>24</v>
      </c>
      <c r="D15440" t="s">
        <v>17</v>
      </c>
      <c r="E15440" t="s">
        <v>20</v>
      </c>
      <c r="F15440">
        <v>39646723</v>
      </c>
      <c r="G15440">
        <v>39646723</v>
      </c>
      <c r="H15440">
        <v>39646723</v>
      </c>
      <c r="I15440">
        <v>39646723</v>
      </c>
    </row>
    <row r="15441" spans="1:9" x14ac:dyDescent="0.2">
      <c r="A15441" t="str">
        <f>"Olfr963"</f>
        <v>Olfr963</v>
      </c>
      <c r="B15441" t="s">
        <v>5522</v>
      </c>
      <c r="C15441" t="s">
        <v>24</v>
      </c>
      <c r="D15441" t="s">
        <v>17</v>
      </c>
      <c r="E15441" t="s">
        <v>20</v>
      </c>
      <c r="F15441">
        <v>39669058</v>
      </c>
      <c r="G15441">
        <v>39669058</v>
      </c>
      <c r="H15441">
        <v>39669058</v>
      </c>
      <c r="I15441">
        <v>39669058</v>
      </c>
    </row>
    <row r="15442" spans="1:9" x14ac:dyDescent="0.2">
      <c r="A15442" t="str">
        <f>"Olfr965"</f>
        <v>Olfr965</v>
      </c>
      <c r="B15442" t="s">
        <v>5523</v>
      </c>
      <c r="C15442" t="s">
        <v>24</v>
      </c>
      <c r="D15442" t="s">
        <v>17</v>
      </c>
      <c r="E15442" t="s">
        <v>20</v>
      </c>
      <c r="F15442">
        <v>39719228</v>
      </c>
      <c r="G15442">
        <v>39719228</v>
      </c>
      <c r="H15442">
        <v>39719228</v>
      </c>
      <c r="I15442">
        <v>39719228</v>
      </c>
    </row>
    <row r="15443" spans="1:9" x14ac:dyDescent="0.2">
      <c r="A15443" t="str">
        <f>"Olfr967"</f>
        <v>Olfr967</v>
      </c>
      <c r="B15443" t="s">
        <v>5524</v>
      </c>
      <c r="C15443" t="s">
        <v>24</v>
      </c>
      <c r="D15443" t="s">
        <v>17</v>
      </c>
      <c r="E15443" t="s">
        <v>20</v>
      </c>
      <c r="F15443">
        <v>39750387</v>
      </c>
      <c r="G15443">
        <v>39750387</v>
      </c>
      <c r="H15443">
        <v>39750387</v>
      </c>
      <c r="I15443">
        <v>39750387</v>
      </c>
    </row>
    <row r="15444" spans="1:9" x14ac:dyDescent="0.2">
      <c r="A15444" t="str">
        <f>"Olfr968"</f>
        <v>Olfr968</v>
      </c>
      <c r="B15444" t="s">
        <v>5525</v>
      </c>
      <c r="C15444" t="s">
        <v>24</v>
      </c>
      <c r="D15444" t="s">
        <v>11</v>
      </c>
      <c r="E15444" t="s">
        <v>20</v>
      </c>
      <c r="F15444">
        <v>39772797</v>
      </c>
      <c r="G15444">
        <v>39772797</v>
      </c>
      <c r="H15444">
        <v>39772797</v>
      </c>
      <c r="I15444">
        <v>39772797</v>
      </c>
    </row>
    <row r="15445" spans="1:9" x14ac:dyDescent="0.2">
      <c r="A15445" t="str">
        <f>"Olfr969"</f>
        <v>Olfr969</v>
      </c>
      <c r="B15445" t="s">
        <v>5526</v>
      </c>
      <c r="C15445" t="s">
        <v>24</v>
      </c>
      <c r="D15445" t="s">
        <v>17</v>
      </c>
      <c r="E15445" t="s">
        <v>20</v>
      </c>
      <c r="F15445">
        <v>39795376</v>
      </c>
      <c r="G15445">
        <v>39795376</v>
      </c>
      <c r="H15445">
        <v>39795376</v>
      </c>
      <c r="I15445">
        <v>39795376</v>
      </c>
    </row>
    <row r="15446" spans="1:9" x14ac:dyDescent="0.2">
      <c r="A15446" t="str">
        <f>"Olfr97"</f>
        <v>Olfr97</v>
      </c>
      <c r="B15446" t="s">
        <v>5527</v>
      </c>
      <c r="C15446" t="s">
        <v>28</v>
      </c>
      <c r="D15446" t="s">
        <v>11</v>
      </c>
      <c r="E15446" t="s">
        <v>20</v>
      </c>
      <c r="F15446">
        <v>37232471</v>
      </c>
      <c r="G15446">
        <v>37232471</v>
      </c>
      <c r="H15446">
        <v>37232471</v>
      </c>
      <c r="I15446">
        <v>37232471</v>
      </c>
    </row>
    <row r="15447" spans="1:9" x14ac:dyDescent="0.2">
      <c r="A15447" t="str">
        <f>"Olfr970"</f>
        <v>Olfr970</v>
      </c>
      <c r="B15447" t="s">
        <v>5528</v>
      </c>
      <c r="C15447" t="s">
        <v>24</v>
      </c>
      <c r="D15447" t="s">
        <v>17</v>
      </c>
      <c r="E15447" t="s">
        <v>20</v>
      </c>
      <c r="F15447">
        <v>39819640</v>
      </c>
      <c r="G15447">
        <v>39819640</v>
      </c>
      <c r="H15447">
        <v>39819640</v>
      </c>
      <c r="I15447">
        <v>39819640</v>
      </c>
    </row>
    <row r="15448" spans="1:9" x14ac:dyDescent="0.2">
      <c r="A15448" t="str">
        <f>"Olfr971"</f>
        <v>Olfr971</v>
      </c>
      <c r="B15448" t="s">
        <v>5529</v>
      </c>
      <c r="C15448" t="s">
        <v>24</v>
      </c>
      <c r="D15448" t="s">
        <v>17</v>
      </c>
      <c r="E15448" t="s">
        <v>20</v>
      </c>
      <c r="F15448">
        <v>39839435</v>
      </c>
      <c r="G15448">
        <v>39839435</v>
      </c>
      <c r="H15448">
        <v>39839435</v>
      </c>
      <c r="I15448">
        <v>39839435</v>
      </c>
    </row>
    <row r="15449" spans="1:9" x14ac:dyDescent="0.2">
      <c r="A15449" t="str">
        <f>"Olfr972"</f>
        <v>Olfr972</v>
      </c>
      <c r="B15449" t="s">
        <v>5530</v>
      </c>
      <c r="C15449" t="s">
        <v>24</v>
      </c>
      <c r="D15449" t="s">
        <v>17</v>
      </c>
      <c r="E15449" t="s">
        <v>20</v>
      </c>
      <c r="F15449">
        <v>39873276</v>
      </c>
      <c r="G15449">
        <v>39873276</v>
      </c>
      <c r="H15449">
        <v>39873276</v>
      </c>
      <c r="I15449">
        <v>39873276</v>
      </c>
    </row>
    <row r="15450" spans="1:9" x14ac:dyDescent="0.2">
      <c r="A15450" t="str">
        <f>"Olfr974"</f>
        <v>Olfr974</v>
      </c>
      <c r="B15450" t="s">
        <v>5531</v>
      </c>
      <c r="C15450" t="s">
        <v>24</v>
      </c>
      <c r="D15450" t="s">
        <v>17</v>
      </c>
      <c r="E15450" t="s">
        <v>20</v>
      </c>
      <c r="F15450">
        <v>39942214</v>
      </c>
      <c r="G15450">
        <v>39942214</v>
      </c>
      <c r="H15450">
        <v>39942214</v>
      </c>
      <c r="I15450">
        <v>39942214</v>
      </c>
    </row>
    <row r="15451" spans="1:9" x14ac:dyDescent="0.2">
      <c r="A15451" t="str">
        <f>"Olfr975"</f>
        <v>Olfr975</v>
      </c>
      <c r="B15451" t="s">
        <v>5532</v>
      </c>
      <c r="C15451" t="s">
        <v>24</v>
      </c>
      <c r="D15451" t="s">
        <v>11</v>
      </c>
      <c r="E15451" t="s">
        <v>20</v>
      </c>
      <c r="F15451">
        <v>39950768</v>
      </c>
      <c r="G15451">
        <v>39950768</v>
      </c>
      <c r="H15451">
        <v>39950768</v>
      </c>
      <c r="I15451">
        <v>39950768</v>
      </c>
    </row>
    <row r="15452" spans="1:9" x14ac:dyDescent="0.2">
      <c r="A15452" t="str">
        <f>"Olfr976"</f>
        <v>Olfr976</v>
      </c>
      <c r="B15452" t="s">
        <v>5533</v>
      </c>
      <c r="C15452" t="s">
        <v>24</v>
      </c>
      <c r="D15452" t="s">
        <v>11</v>
      </c>
      <c r="E15452" t="s">
        <v>20</v>
      </c>
      <c r="F15452">
        <v>39957068</v>
      </c>
      <c r="G15452">
        <v>39957068</v>
      </c>
      <c r="H15452">
        <v>39957068</v>
      </c>
      <c r="I15452">
        <v>39957068</v>
      </c>
    </row>
    <row r="15453" spans="1:9" x14ac:dyDescent="0.2">
      <c r="A15453" t="str">
        <f>"Olfr978"</f>
        <v>Olfr978</v>
      </c>
      <c r="B15453" t="s">
        <v>5534</v>
      </c>
      <c r="C15453" t="s">
        <v>24</v>
      </c>
      <c r="D15453" t="s">
        <v>17</v>
      </c>
      <c r="E15453" t="s">
        <v>20</v>
      </c>
      <c r="F15453">
        <v>39993811</v>
      </c>
      <c r="G15453">
        <v>39993811</v>
      </c>
      <c r="H15453">
        <v>39993811</v>
      </c>
      <c r="I15453">
        <v>39993811</v>
      </c>
    </row>
    <row r="15454" spans="1:9" x14ac:dyDescent="0.2">
      <c r="A15454" t="str">
        <f>"Olfr979"</f>
        <v>Olfr979</v>
      </c>
      <c r="B15454" t="s">
        <v>5535</v>
      </c>
      <c r="C15454" t="s">
        <v>24</v>
      </c>
      <c r="D15454" t="s">
        <v>11</v>
      </c>
      <c r="E15454" t="s">
        <v>20</v>
      </c>
      <c r="F15454">
        <v>40001249</v>
      </c>
      <c r="G15454">
        <v>40001249</v>
      </c>
      <c r="H15454">
        <v>40001249</v>
      </c>
      <c r="I15454">
        <v>40001249</v>
      </c>
    </row>
    <row r="15455" spans="1:9" x14ac:dyDescent="0.2">
      <c r="A15455" t="str">
        <f>"Olfr98"</f>
        <v>Olfr98</v>
      </c>
      <c r="B15455" t="s">
        <v>5536</v>
      </c>
      <c r="C15455" t="s">
        <v>28</v>
      </c>
      <c r="D15455" t="s">
        <v>11</v>
      </c>
      <c r="E15455" t="s">
        <v>20</v>
      </c>
      <c r="F15455">
        <v>37263748</v>
      </c>
      <c r="G15455">
        <v>37263748</v>
      </c>
      <c r="H15455">
        <v>37263748</v>
      </c>
      <c r="I15455">
        <v>37263748</v>
      </c>
    </row>
    <row r="15456" spans="1:9" x14ac:dyDescent="0.2">
      <c r="A15456" t="str">
        <f>"Olfr980"</f>
        <v>Olfr980</v>
      </c>
      <c r="B15456" t="s">
        <v>5537</v>
      </c>
      <c r="C15456" t="s">
        <v>24</v>
      </c>
      <c r="D15456" t="s">
        <v>11</v>
      </c>
      <c r="E15456" t="s">
        <v>20</v>
      </c>
      <c r="F15456">
        <v>40006946</v>
      </c>
      <c r="G15456">
        <v>40006946</v>
      </c>
      <c r="H15456">
        <v>40006946</v>
      </c>
      <c r="I15456">
        <v>40006946</v>
      </c>
    </row>
    <row r="15457" spans="1:9" x14ac:dyDescent="0.2">
      <c r="A15457" t="str">
        <f>"Olfr981"</f>
        <v>Olfr981</v>
      </c>
      <c r="B15457" t="s">
        <v>5538</v>
      </c>
      <c r="C15457" t="s">
        <v>24</v>
      </c>
      <c r="D15457" t="s">
        <v>17</v>
      </c>
      <c r="E15457" t="s">
        <v>20</v>
      </c>
      <c r="F15457">
        <v>40022351</v>
      </c>
      <c r="G15457">
        <v>40022351</v>
      </c>
      <c r="H15457">
        <v>40022351</v>
      </c>
      <c r="I15457">
        <v>40022351</v>
      </c>
    </row>
    <row r="15458" spans="1:9" x14ac:dyDescent="0.2">
      <c r="A15458" t="str">
        <f>"Olfr982"</f>
        <v>Olfr982</v>
      </c>
      <c r="B15458" t="s">
        <v>5539</v>
      </c>
      <c r="C15458" t="s">
        <v>24</v>
      </c>
      <c r="D15458" t="s">
        <v>17</v>
      </c>
      <c r="E15458" t="s">
        <v>20</v>
      </c>
      <c r="F15458">
        <v>40074296</v>
      </c>
      <c r="G15458">
        <v>40074296</v>
      </c>
      <c r="H15458">
        <v>40074296</v>
      </c>
      <c r="I15458">
        <v>40074296</v>
      </c>
    </row>
    <row r="15459" spans="1:9" x14ac:dyDescent="0.2">
      <c r="A15459" t="str">
        <f>"Olfr983"</f>
        <v>Olfr983</v>
      </c>
      <c r="B15459" t="s">
        <v>5540</v>
      </c>
      <c r="C15459" t="s">
        <v>24</v>
      </c>
      <c r="D15459" t="s">
        <v>11</v>
      </c>
      <c r="E15459" t="s">
        <v>20</v>
      </c>
      <c r="F15459">
        <v>40093557</v>
      </c>
      <c r="G15459">
        <v>40093557</v>
      </c>
      <c r="H15459">
        <v>40093557</v>
      </c>
      <c r="I15459">
        <v>40093557</v>
      </c>
    </row>
    <row r="15460" spans="1:9" x14ac:dyDescent="0.2">
      <c r="A15460" t="str">
        <f>"Olfr984"</f>
        <v>Olfr984</v>
      </c>
      <c r="B15460" t="s">
        <v>5541</v>
      </c>
      <c r="C15460" t="s">
        <v>24</v>
      </c>
      <c r="D15460" t="s">
        <v>11</v>
      </c>
      <c r="E15460" t="s">
        <v>20</v>
      </c>
      <c r="F15460">
        <v>40101487</v>
      </c>
      <c r="G15460">
        <v>40101487</v>
      </c>
      <c r="H15460">
        <v>40101487</v>
      </c>
      <c r="I15460">
        <v>40101487</v>
      </c>
    </row>
    <row r="15461" spans="1:9" x14ac:dyDescent="0.2">
      <c r="A15461" t="str">
        <f>"Olfr985"</f>
        <v>Olfr985</v>
      </c>
      <c r="B15461" t="s">
        <v>5542</v>
      </c>
      <c r="C15461" t="s">
        <v>24</v>
      </c>
      <c r="D15461" t="s">
        <v>11</v>
      </c>
      <c r="E15461" t="s">
        <v>20</v>
      </c>
      <c r="F15461">
        <v>40128038</v>
      </c>
      <c r="G15461">
        <v>40128038</v>
      </c>
      <c r="H15461">
        <v>40128038</v>
      </c>
      <c r="I15461">
        <v>40128038</v>
      </c>
    </row>
    <row r="15462" spans="1:9" x14ac:dyDescent="0.2">
      <c r="A15462" t="str">
        <f>"Olfr986"</f>
        <v>Olfr986</v>
      </c>
      <c r="B15462" t="s">
        <v>5543</v>
      </c>
      <c r="C15462" t="s">
        <v>24</v>
      </c>
      <c r="D15462" t="s">
        <v>17</v>
      </c>
      <c r="E15462" t="s">
        <v>20</v>
      </c>
      <c r="F15462">
        <v>40187078</v>
      </c>
      <c r="G15462">
        <v>40187078</v>
      </c>
      <c r="H15462">
        <v>40187078</v>
      </c>
      <c r="I15462">
        <v>40187078</v>
      </c>
    </row>
    <row r="15463" spans="1:9" x14ac:dyDescent="0.2">
      <c r="A15463" t="str">
        <f>"Olfr987"</f>
        <v>Olfr987</v>
      </c>
      <c r="B15463" t="s">
        <v>5544</v>
      </c>
      <c r="C15463" t="s">
        <v>26</v>
      </c>
      <c r="D15463" t="s">
        <v>11</v>
      </c>
      <c r="E15463" t="s">
        <v>20</v>
      </c>
      <c r="F15463">
        <v>85331970</v>
      </c>
      <c r="G15463">
        <v>85331970</v>
      </c>
      <c r="H15463">
        <v>85331970</v>
      </c>
      <c r="I15463">
        <v>85331970</v>
      </c>
    </row>
    <row r="15464" spans="1:9" x14ac:dyDescent="0.2">
      <c r="A15464" t="str">
        <f>"Olfr987"</f>
        <v>Olfr987</v>
      </c>
      <c r="B15464" t="s">
        <v>5545</v>
      </c>
      <c r="C15464" t="s">
        <v>26</v>
      </c>
      <c r="D15464" t="s">
        <v>11</v>
      </c>
      <c r="E15464" t="s">
        <v>20</v>
      </c>
      <c r="F15464">
        <v>85339294</v>
      </c>
      <c r="G15464">
        <v>85339294</v>
      </c>
      <c r="H15464">
        <v>85339294</v>
      </c>
      <c r="I15464">
        <v>85339294</v>
      </c>
    </row>
    <row r="15465" spans="1:9" x14ac:dyDescent="0.2">
      <c r="A15465" t="str">
        <f>"Olfr988"</f>
        <v>Olfr988</v>
      </c>
      <c r="B15465" t="s">
        <v>5546</v>
      </c>
      <c r="C15465" t="s">
        <v>26</v>
      </c>
      <c r="D15465" t="s">
        <v>11</v>
      </c>
      <c r="E15465" t="s">
        <v>20</v>
      </c>
      <c r="F15465">
        <v>85353999</v>
      </c>
      <c r="G15465">
        <v>85353999</v>
      </c>
      <c r="H15465">
        <v>85353999</v>
      </c>
      <c r="I15465">
        <v>85353999</v>
      </c>
    </row>
    <row r="15466" spans="1:9" x14ac:dyDescent="0.2">
      <c r="A15466" t="str">
        <f>"Olfr988"</f>
        <v>Olfr988</v>
      </c>
      <c r="B15466" t="s">
        <v>5547</v>
      </c>
      <c r="C15466" t="s">
        <v>26</v>
      </c>
      <c r="D15466" t="s">
        <v>11</v>
      </c>
      <c r="E15466" t="s">
        <v>20</v>
      </c>
      <c r="F15466">
        <v>85363057</v>
      </c>
      <c r="G15466">
        <v>85363057</v>
      </c>
      <c r="H15466">
        <v>85363057</v>
      </c>
      <c r="I15466">
        <v>85363057</v>
      </c>
    </row>
    <row r="15467" spans="1:9" x14ac:dyDescent="0.2">
      <c r="A15467" t="str">
        <f>"Olfr99"</f>
        <v>Olfr99</v>
      </c>
      <c r="B15467" t="s">
        <v>5548</v>
      </c>
      <c r="C15467" t="s">
        <v>28</v>
      </c>
      <c r="D15467" t="s">
        <v>11</v>
      </c>
      <c r="E15467" t="s">
        <v>20</v>
      </c>
      <c r="F15467">
        <v>37280417</v>
      </c>
      <c r="G15467">
        <v>37280417</v>
      </c>
      <c r="H15467">
        <v>37280417</v>
      </c>
      <c r="I15467">
        <v>37280417</v>
      </c>
    </row>
    <row r="15468" spans="1:9" x14ac:dyDescent="0.2">
      <c r="A15468" t="str">
        <f>"Olfr992"</f>
        <v>Olfr992</v>
      </c>
      <c r="B15468" t="s">
        <v>5549</v>
      </c>
      <c r="C15468" t="s">
        <v>26</v>
      </c>
      <c r="D15468" t="s">
        <v>11</v>
      </c>
      <c r="E15468" t="s">
        <v>20</v>
      </c>
      <c r="F15468">
        <v>85400530</v>
      </c>
      <c r="G15468">
        <v>85400530</v>
      </c>
      <c r="H15468">
        <v>85400530</v>
      </c>
      <c r="I15468">
        <v>85400530</v>
      </c>
    </row>
    <row r="15469" spans="1:9" x14ac:dyDescent="0.2">
      <c r="A15469" t="str">
        <f>"Olfr993"</f>
        <v>Olfr993</v>
      </c>
      <c r="B15469" t="s">
        <v>5550</v>
      </c>
      <c r="C15469" t="s">
        <v>26</v>
      </c>
      <c r="D15469" t="s">
        <v>11</v>
      </c>
      <c r="E15469" t="s">
        <v>20</v>
      </c>
      <c r="F15469">
        <v>85414876</v>
      </c>
      <c r="G15469">
        <v>85414876</v>
      </c>
      <c r="H15469">
        <v>85414876</v>
      </c>
      <c r="I15469">
        <v>85414876</v>
      </c>
    </row>
    <row r="15470" spans="1:9" x14ac:dyDescent="0.2">
      <c r="A15470" t="str">
        <f>"Olfr994"</f>
        <v>Olfr994</v>
      </c>
      <c r="B15470" t="s">
        <v>5551</v>
      </c>
      <c r="C15470" t="s">
        <v>26</v>
      </c>
      <c r="D15470" t="s">
        <v>11</v>
      </c>
      <c r="E15470" t="s">
        <v>20</v>
      </c>
      <c r="F15470">
        <v>85430826</v>
      </c>
      <c r="G15470">
        <v>85430826</v>
      </c>
      <c r="H15470">
        <v>85430826</v>
      </c>
      <c r="I15470">
        <v>85430826</v>
      </c>
    </row>
    <row r="15471" spans="1:9" x14ac:dyDescent="0.2">
      <c r="A15471" t="str">
        <f>"Olfr995"</f>
        <v>Olfr995</v>
      </c>
      <c r="B15471" t="s">
        <v>5552</v>
      </c>
      <c r="C15471" t="s">
        <v>26</v>
      </c>
      <c r="D15471" t="s">
        <v>11</v>
      </c>
      <c r="E15471" t="s">
        <v>20</v>
      </c>
      <c r="F15471">
        <v>85439236</v>
      </c>
      <c r="G15471">
        <v>85439236</v>
      </c>
      <c r="H15471">
        <v>85439236</v>
      </c>
      <c r="I15471">
        <v>85439236</v>
      </c>
    </row>
    <row r="15472" spans="1:9" x14ac:dyDescent="0.2">
      <c r="A15472" t="str">
        <f>"Olfr996"</f>
        <v>Olfr996</v>
      </c>
      <c r="B15472" t="s">
        <v>5553</v>
      </c>
      <c r="C15472" t="s">
        <v>26</v>
      </c>
      <c r="D15472" t="s">
        <v>17</v>
      </c>
      <c r="E15472" t="s">
        <v>20</v>
      </c>
      <c r="F15472">
        <v>85579214</v>
      </c>
      <c r="G15472">
        <v>85579214</v>
      </c>
      <c r="H15472">
        <v>85579214</v>
      </c>
      <c r="I15472">
        <v>85579214</v>
      </c>
    </row>
    <row r="15473" spans="1:9" x14ac:dyDescent="0.2">
      <c r="A15473" t="str">
        <f>"Olfr998"</f>
        <v>Olfr998</v>
      </c>
      <c r="B15473" t="s">
        <v>5554</v>
      </c>
      <c r="C15473" t="s">
        <v>26</v>
      </c>
      <c r="D15473" t="s">
        <v>17</v>
      </c>
      <c r="E15473" t="s">
        <v>20</v>
      </c>
      <c r="F15473">
        <v>85590509</v>
      </c>
      <c r="G15473">
        <v>85590509</v>
      </c>
      <c r="H15473">
        <v>85590509</v>
      </c>
      <c r="I15473">
        <v>85590509</v>
      </c>
    </row>
    <row r="15474" spans="1:9" x14ac:dyDescent="0.2">
      <c r="A15474" t="str">
        <f>"Olig1"</f>
        <v>Olig1</v>
      </c>
      <c r="B15474" t="s">
        <v>14</v>
      </c>
      <c r="C15474" t="s">
        <v>31</v>
      </c>
      <c r="D15474" t="s">
        <v>17</v>
      </c>
      <c r="E15474" t="s">
        <v>12</v>
      </c>
      <c r="F15474">
        <v>91269759</v>
      </c>
      <c r="G15474">
        <v>91269778</v>
      </c>
      <c r="H15474">
        <v>91269846</v>
      </c>
      <c r="I15474">
        <v>91269898</v>
      </c>
    </row>
    <row r="15475" spans="1:9" x14ac:dyDescent="0.2">
      <c r="A15475" t="str">
        <f>"Olig2"</f>
        <v>Olig2</v>
      </c>
      <c r="B15475" t="s">
        <v>14</v>
      </c>
      <c r="C15475" t="s">
        <v>31</v>
      </c>
      <c r="D15475" t="s">
        <v>17</v>
      </c>
      <c r="E15475" t="s">
        <v>12</v>
      </c>
      <c r="F15475">
        <v>91225563</v>
      </c>
      <c r="G15475">
        <v>91225579</v>
      </c>
      <c r="H15475">
        <v>91225409</v>
      </c>
      <c r="I15475">
        <v>91225426</v>
      </c>
    </row>
    <row r="15476" spans="1:9" x14ac:dyDescent="0.2">
      <c r="A15476" t="str">
        <f>"Olig3"</f>
        <v>Olig3</v>
      </c>
      <c r="B15476" t="s">
        <v>14</v>
      </c>
      <c r="C15476" t="s">
        <v>15</v>
      </c>
      <c r="D15476" t="s">
        <v>17</v>
      </c>
      <c r="E15476" t="s">
        <v>12</v>
      </c>
      <c r="F15476">
        <v>19356558</v>
      </c>
      <c r="G15476">
        <v>19356565</v>
      </c>
      <c r="H15476">
        <v>19356558</v>
      </c>
      <c r="I15476">
        <v>19356565</v>
      </c>
    </row>
    <row r="15477" spans="1:9" x14ac:dyDescent="0.2">
      <c r="A15477" t="str">
        <f>"Olr1"</f>
        <v>Olr1</v>
      </c>
      <c r="B15477" t="s">
        <v>14</v>
      </c>
      <c r="C15477" t="s">
        <v>32</v>
      </c>
      <c r="D15477" t="s">
        <v>11</v>
      </c>
      <c r="E15477" t="s">
        <v>12</v>
      </c>
      <c r="F15477">
        <v>129507156</v>
      </c>
      <c r="G15477">
        <v>129507171</v>
      </c>
      <c r="H15477">
        <v>129507177</v>
      </c>
      <c r="I15477">
        <v>129507181</v>
      </c>
    </row>
    <row r="15478" spans="1:9" x14ac:dyDescent="0.2">
      <c r="A15478" t="str">
        <f>"Oma1"</f>
        <v>Oma1</v>
      </c>
      <c r="B15478" t="s">
        <v>14</v>
      </c>
      <c r="C15478" t="s">
        <v>23</v>
      </c>
      <c r="D15478" t="s">
        <v>17</v>
      </c>
      <c r="E15478" t="s">
        <v>12</v>
      </c>
      <c r="F15478">
        <v>103313827</v>
      </c>
      <c r="G15478">
        <v>103313856</v>
      </c>
      <c r="H15478">
        <v>103313806</v>
      </c>
      <c r="I15478">
        <v>103313820</v>
      </c>
    </row>
    <row r="15479" spans="1:9" x14ac:dyDescent="0.2">
      <c r="A15479" t="str">
        <f>"Omd"</f>
        <v>Omd</v>
      </c>
      <c r="B15479" t="s">
        <v>14</v>
      </c>
      <c r="C15479" t="s">
        <v>39</v>
      </c>
      <c r="D15479" t="s">
        <v>17</v>
      </c>
      <c r="E15479" t="s">
        <v>12</v>
      </c>
      <c r="F15479">
        <v>49582668</v>
      </c>
      <c r="G15479">
        <v>49582707</v>
      </c>
      <c r="H15479">
        <v>49582745</v>
      </c>
      <c r="I15479">
        <v>49582778</v>
      </c>
    </row>
    <row r="15480" spans="1:9" x14ac:dyDescent="0.2">
      <c r="A15480" t="str">
        <f>"Omg"</f>
        <v>Omg</v>
      </c>
      <c r="B15480" t="s">
        <v>14</v>
      </c>
      <c r="C15480" t="s">
        <v>27</v>
      </c>
      <c r="D15480" t="s">
        <v>11</v>
      </c>
      <c r="E15480" t="s">
        <v>12</v>
      </c>
      <c r="F15480">
        <v>79503984</v>
      </c>
      <c r="G15480">
        <v>79504056</v>
      </c>
      <c r="H15480">
        <v>79503984</v>
      </c>
      <c r="I15480">
        <v>79504056</v>
      </c>
    </row>
    <row r="15481" spans="1:9" x14ac:dyDescent="0.2">
      <c r="A15481" t="str">
        <f>"Omp"</f>
        <v>Omp</v>
      </c>
      <c r="B15481" t="s">
        <v>14</v>
      </c>
      <c r="C15481" t="s">
        <v>33</v>
      </c>
      <c r="D15481" t="s">
        <v>11</v>
      </c>
      <c r="E15481" t="s">
        <v>12</v>
      </c>
      <c r="F15481">
        <v>98145472</v>
      </c>
      <c r="G15481">
        <v>98145479</v>
      </c>
      <c r="H15481">
        <v>98145472</v>
      </c>
      <c r="I15481">
        <v>98145479</v>
      </c>
    </row>
    <row r="15482" spans="1:9" x14ac:dyDescent="0.2">
      <c r="A15482" t="str">
        <f>"Omt2a"</f>
        <v>Omt2a</v>
      </c>
      <c r="B15482" t="s">
        <v>14</v>
      </c>
      <c r="C15482" t="s">
        <v>24</v>
      </c>
      <c r="D15482" t="s">
        <v>11</v>
      </c>
      <c r="E15482" t="s">
        <v>12</v>
      </c>
      <c r="F15482">
        <v>78313471</v>
      </c>
      <c r="G15482">
        <v>78313473</v>
      </c>
      <c r="H15482">
        <v>78313415</v>
      </c>
      <c r="I15482">
        <v>78313416</v>
      </c>
    </row>
    <row r="15483" spans="1:9" x14ac:dyDescent="0.2">
      <c r="A15483" t="str">
        <f>"Omt2b"</f>
        <v>Omt2b</v>
      </c>
      <c r="B15483" t="s">
        <v>14</v>
      </c>
      <c r="C15483" t="s">
        <v>24</v>
      </c>
      <c r="D15483" t="s">
        <v>17</v>
      </c>
      <c r="E15483" t="s">
        <v>12</v>
      </c>
      <c r="F15483">
        <v>78328124</v>
      </c>
      <c r="G15483">
        <v>78328125</v>
      </c>
      <c r="H15483">
        <v>78328124</v>
      </c>
      <c r="I15483">
        <v>78328125</v>
      </c>
    </row>
    <row r="15484" spans="1:9" x14ac:dyDescent="0.2">
      <c r="A15484" t="str">
        <f>"Onecut1"</f>
        <v>Onecut1</v>
      </c>
      <c r="B15484" t="s">
        <v>9</v>
      </c>
      <c r="C15484" t="s">
        <v>24</v>
      </c>
      <c r="D15484" t="s">
        <v>17</v>
      </c>
      <c r="E15484" t="s">
        <v>12</v>
      </c>
      <c r="F15484">
        <v>74861888</v>
      </c>
      <c r="G15484">
        <v>74861915</v>
      </c>
      <c r="H15484">
        <v>74861888</v>
      </c>
      <c r="I15484">
        <v>74861915</v>
      </c>
    </row>
    <row r="15485" spans="1:9" x14ac:dyDescent="0.2">
      <c r="A15485" t="str">
        <f>"Onecut1"</f>
        <v>Onecut1</v>
      </c>
      <c r="B15485" t="s">
        <v>13</v>
      </c>
      <c r="C15485" t="s">
        <v>24</v>
      </c>
      <c r="D15485" t="s">
        <v>17</v>
      </c>
      <c r="E15485" t="s">
        <v>12</v>
      </c>
      <c r="F15485">
        <v>74866496</v>
      </c>
      <c r="G15485">
        <v>74866511</v>
      </c>
      <c r="H15485">
        <v>74866496</v>
      </c>
      <c r="I15485">
        <v>74866511</v>
      </c>
    </row>
    <row r="15486" spans="1:9" x14ac:dyDescent="0.2">
      <c r="A15486" t="str">
        <f>"Onecut2"</f>
        <v>Onecut2</v>
      </c>
      <c r="B15486" t="s">
        <v>14</v>
      </c>
      <c r="C15486" t="s">
        <v>43</v>
      </c>
      <c r="D15486" t="s">
        <v>17</v>
      </c>
      <c r="E15486" t="s">
        <v>12</v>
      </c>
      <c r="F15486">
        <v>64340020</v>
      </c>
      <c r="G15486">
        <v>64340042</v>
      </c>
      <c r="H15486">
        <v>64340020</v>
      </c>
      <c r="I15486">
        <v>64340042</v>
      </c>
    </row>
    <row r="15487" spans="1:9" x14ac:dyDescent="0.2">
      <c r="A15487" t="str">
        <f>"Onecut3"</f>
        <v>Onecut3</v>
      </c>
      <c r="B15487" t="s">
        <v>14</v>
      </c>
      <c r="C15487" t="s">
        <v>15</v>
      </c>
      <c r="D15487" t="s">
        <v>17</v>
      </c>
      <c r="E15487" t="s">
        <v>12</v>
      </c>
      <c r="F15487">
        <v>80494855</v>
      </c>
      <c r="G15487">
        <v>80494873</v>
      </c>
      <c r="H15487">
        <v>80494855</v>
      </c>
      <c r="I15487">
        <v>80494873</v>
      </c>
    </row>
    <row r="15488" spans="1:9" x14ac:dyDescent="0.2">
      <c r="A15488" t="str">
        <f>"Ooep"</f>
        <v>Ooep</v>
      </c>
      <c r="B15488" t="s">
        <v>14</v>
      </c>
      <c r="C15488" t="s">
        <v>24</v>
      </c>
      <c r="D15488" t="s">
        <v>11</v>
      </c>
      <c r="E15488" t="s">
        <v>12</v>
      </c>
      <c r="F15488">
        <v>78378546</v>
      </c>
      <c r="G15488">
        <v>78378562</v>
      </c>
      <c r="H15488">
        <v>78378526</v>
      </c>
      <c r="I15488">
        <v>78378545</v>
      </c>
    </row>
    <row r="15489" spans="1:9" x14ac:dyDescent="0.2">
      <c r="A15489" t="str">
        <f>"Oog1"</f>
        <v>Oog1</v>
      </c>
      <c r="B15489" t="s">
        <v>5555</v>
      </c>
      <c r="C15489" t="s">
        <v>16</v>
      </c>
      <c r="D15489" t="s">
        <v>17</v>
      </c>
      <c r="E15489" t="s">
        <v>20</v>
      </c>
      <c r="F15489">
        <v>87602687</v>
      </c>
      <c r="G15489">
        <v>87602687</v>
      </c>
      <c r="H15489">
        <v>87602687</v>
      </c>
      <c r="I15489">
        <v>87602687</v>
      </c>
    </row>
    <row r="15490" spans="1:9" x14ac:dyDescent="0.2">
      <c r="A15490" t="str">
        <f>"Oog2"</f>
        <v>Oog2</v>
      </c>
      <c r="B15490" t="s">
        <v>5556</v>
      </c>
      <c r="C15490" t="s">
        <v>23</v>
      </c>
      <c r="D15490" t="s">
        <v>17</v>
      </c>
      <c r="E15490" t="s">
        <v>20</v>
      </c>
      <c r="F15490">
        <v>144190728</v>
      </c>
      <c r="G15490">
        <v>144190728</v>
      </c>
      <c r="H15490">
        <v>144190728</v>
      </c>
      <c r="I15490">
        <v>144190728</v>
      </c>
    </row>
    <row r="15491" spans="1:9" x14ac:dyDescent="0.2">
      <c r="A15491" t="str">
        <f>"Oog3"</f>
        <v>Oog3</v>
      </c>
      <c r="B15491" t="s">
        <v>14</v>
      </c>
      <c r="C15491" t="s">
        <v>23</v>
      </c>
      <c r="D15491" t="s">
        <v>11</v>
      </c>
      <c r="E15491" t="s">
        <v>12</v>
      </c>
      <c r="F15491">
        <v>144162646</v>
      </c>
      <c r="G15491">
        <v>144162651</v>
      </c>
      <c r="H15491">
        <v>144162646</v>
      </c>
      <c r="I15491">
        <v>144162651</v>
      </c>
    </row>
    <row r="15492" spans="1:9" x14ac:dyDescent="0.2">
      <c r="A15492" t="str">
        <f>"Oog4"</f>
        <v>Oog4</v>
      </c>
      <c r="B15492" t="s">
        <v>14</v>
      </c>
      <c r="C15492" t="s">
        <v>23</v>
      </c>
      <c r="D15492" t="s">
        <v>11</v>
      </c>
      <c r="E15492" t="s">
        <v>12</v>
      </c>
      <c r="F15492">
        <v>143450324</v>
      </c>
      <c r="G15492">
        <v>143450326</v>
      </c>
      <c r="H15492">
        <v>143450324</v>
      </c>
      <c r="I15492">
        <v>143450326</v>
      </c>
    </row>
    <row r="15493" spans="1:9" x14ac:dyDescent="0.2">
      <c r="A15493" t="str">
        <f>"Oosp1"</f>
        <v>Oosp1</v>
      </c>
      <c r="B15493" t="s">
        <v>14</v>
      </c>
      <c r="C15493" t="s">
        <v>10</v>
      </c>
      <c r="D15493" t="s">
        <v>11</v>
      </c>
      <c r="E15493" t="s">
        <v>12</v>
      </c>
      <c r="F15493">
        <v>11691026</v>
      </c>
      <c r="G15493">
        <v>11691058</v>
      </c>
      <c r="H15493">
        <v>11691026</v>
      </c>
      <c r="I15493">
        <v>11691058</v>
      </c>
    </row>
    <row r="15494" spans="1:9" x14ac:dyDescent="0.2">
      <c r="A15494" t="str">
        <f>"Opa1"</f>
        <v>Opa1</v>
      </c>
      <c r="B15494" t="s">
        <v>14</v>
      </c>
      <c r="C15494" t="s">
        <v>31</v>
      </c>
      <c r="D15494" t="s">
        <v>17</v>
      </c>
      <c r="E15494" t="s">
        <v>12</v>
      </c>
      <c r="F15494">
        <v>29579347</v>
      </c>
      <c r="G15494">
        <v>29579417</v>
      </c>
      <c r="H15494">
        <v>29579441</v>
      </c>
      <c r="I15494">
        <v>29579459</v>
      </c>
    </row>
    <row r="15495" spans="1:9" x14ac:dyDescent="0.2">
      <c r="A15495" t="str">
        <f>"Opa3"</f>
        <v>Opa3</v>
      </c>
      <c r="B15495" t="s">
        <v>14</v>
      </c>
      <c r="C15495" t="s">
        <v>33</v>
      </c>
      <c r="D15495" t="s">
        <v>17</v>
      </c>
      <c r="E15495" t="s">
        <v>12</v>
      </c>
      <c r="F15495">
        <v>19228376</v>
      </c>
      <c r="G15495">
        <v>19228416</v>
      </c>
      <c r="H15495">
        <v>19228329</v>
      </c>
      <c r="I15495">
        <v>19228346</v>
      </c>
    </row>
    <row r="15496" spans="1:9" x14ac:dyDescent="0.2">
      <c r="A15496" t="str">
        <f>"Opalin"</f>
        <v>Opalin</v>
      </c>
      <c r="B15496" t="s">
        <v>14</v>
      </c>
      <c r="C15496" t="s">
        <v>10</v>
      </c>
      <c r="D15496" t="s">
        <v>11</v>
      </c>
      <c r="E15496" t="s">
        <v>12</v>
      </c>
      <c r="F15496">
        <v>41077063</v>
      </c>
      <c r="G15496">
        <v>41077078</v>
      </c>
      <c r="H15496">
        <v>41077106</v>
      </c>
      <c r="I15496">
        <v>41077118</v>
      </c>
    </row>
    <row r="15497" spans="1:9" x14ac:dyDescent="0.2">
      <c r="A15497" t="str">
        <f>"Opcml"</f>
        <v>Opcml</v>
      </c>
      <c r="B15497" t="s">
        <v>5557</v>
      </c>
      <c r="C15497" t="s">
        <v>24</v>
      </c>
      <c r="D15497" t="s">
        <v>17</v>
      </c>
      <c r="E15497" t="s">
        <v>35</v>
      </c>
      <c r="F15497">
        <v>28403617</v>
      </c>
      <c r="G15497">
        <v>28403624</v>
      </c>
      <c r="H15497">
        <v>28403912</v>
      </c>
      <c r="I15497">
        <v>28403931</v>
      </c>
    </row>
    <row r="15498" spans="1:9" x14ac:dyDescent="0.2">
      <c r="A15498" t="str">
        <f>"Ophn1"</f>
        <v>Ophn1</v>
      </c>
      <c r="B15498" t="s">
        <v>14</v>
      </c>
      <c r="C15498" t="s">
        <v>37</v>
      </c>
      <c r="D15498" t="s">
        <v>11</v>
      </c>
      <c r="E15498" t="s">
        <v>12</v>
      </c>
      <c r="F15498">
        <v>98890913</v>
      </c>
      <c r="G15498">
        <v>98890991</v>
      </c>
      <c r="H15498">
        <v>98890430</v>
      </c>
      <c r="I15498">
        <v>98890488</v>
      </c>
    </row>
    <row r="15499" spans="1:9" x14ac:dyDescent="0.2">
      <c r="A15499" t="str">
        <f>"Oplah"</f>
        <v>Oplah</v>
      </c>
      <c r="B15499" t="s">
        <v>14</v>
      </c>
      <c r="C15499" t="s">
        <v>25</v>
      </c>
      <c r="D15499" t="s">
        <v>11</v>
      </c>
      <c r="E15499" t="s">
        <v>12</v>
      </c>
      <c r="F15499">
        <v>76307231</v>
      </c>
      <c r="G15499">
        <v>76307296</v>
      </c>
      <c r="H15499">
        <v>76307358</v>
      </c>
      <c r="I15499">
        <v>76307401</v>
      </c>
    </row>
    <row r="15500" spans="1:9" x14ac:dyDescent="0.2">
      <c r="A15500" t="str">
        <f>"Opn1mw"</f>
        <v>Opn1mw</v>
      </c>
      <c r="B15500" t="s">
        <v>14</v>
      </c>
      <c r="C15500" t="s">
        <v>37</v>
      </c>
      <c r="D15500" t="s">
        <v>17</v>
      </c>
      <c r="E15500" t="s">
        <v>12</v>
      </c>
      <c r="F15500">
        <v>74127463</v>
      </c>
      <c r="G15500">
        <v>74127469</v>
      </c>
      <c r="H15500">
        <v>74127463</v>
      </c>
      <c r="I15500">
        <v>74127469</v>
      </c>
    </row>
    <row r="15501" spans="1:9" x14ac:dyDescent="0.2">
      <c r="A15501" t="str">
        <f>"Opn1sw"</f>
        <v>Opn1sw</v>
      </c>
      <c r="B15501" t="s">
        <v>14</v>
      </c>
      <c r="C15501" t="s">
        <v>32</v>
      </c>
      <c r="D15501" t="s">
        <v>11</v>
      </c>
      <c r="E15501" t="s">
        <v>12</v>
      </c>
      <c r="F15501">
        <v>29380468</v>
      </c>
      <c r="G15501">
        <v>29380485</v>
      </c>
      <c r="H15501">
        <v>29380426</v>
      </c>
      <c r="I15501">
        <v>29380435</v>
      </c>
    </row>
    <row r="15502" spans="1:9" x14ac:dyDescent="0.2">
      <c r="A15502" t="str">
        <f>"Opn3"</f>
        <v>Opn3</v>
      </c>
      <c r="B15502" t="s">
        <v>14</v>
      </c>
      <c r="C15502" t="s">
        <v>19</v>
      </c>
      <c r="D15502" t="s">
        <v>11</v>
      </c>
      <c r="E15502" t="s">
        <v>12</v>
      </c>
      <c r="F15502">
        <v>175692624</v>
      </c>
      <c r="G15502">
        <v>175692663</v>
      </c>
      <c r="H15502">
        <v>175692590</v>
      </c>
      <c r="I15502">
        <v>175692615</v>
      </c>
    </row>
    <row r="15503" spans="1:9" x14ac:dyDescent="0.2">
      <c r="A15503" t="str">
        <f>"Opn4"</f>
        <v>Opn4</v>
      </c>
      <c r="B15503" t="s">
        <v>14</v>
      </c>
      <c r="C15503" t="s">
        <v>41</v>
      </c>
      <c r="D15503" t="s">
        <v>11</v>
      </c>
      <c r="E15503" t="s">
        <v>12</v>
      </c>
      <c r="F15503">
        <v>34600136</v>
      </c>
      <c r="G15503">
        <v>34600147</v>
      </c>
      <c r="H15503">
        <v>34600136</v>
      </c>
      <c r="I15503">
        <v>34600147</v>
      </c>
    </row>
    <row r="15504" spans="1:9" x14ac:dyDescent="0.2">
      <c r="A15504" t="str">
        <f>"Opn5"</f>
        <v>Opn5</v>
      </c>
      <c r="B15504" t="s">
        <v>5558</v>
      </c>
      <c r="C15504" t="s">
        <v>28</v>
      </c>
      <c r="D15504" t="s">
        <v>11</v>
      </c>
      <c r="E15504" t="s">
        <v>20</v>
      </c>
      <c r="F15504">
        <v>42611312</v>
      </c>
      <c r="G15504">
        <v>42611312</v>
      </c>
      <c r="H15504">
        <v>42611312</v>
      </c>
      <c r="I15504">
        <v>42611312</v>
      </c>
    </row>
    <row r="15505" spans="1:9" x14ac:dyDescent="0.2">
      <c r="A15505" t="str">
        <f>"Oprd1"</f>
        <v>Oprd1</v>
      </c>
      <c r="B15505" t="s">
        <v>14</v>
      </c>
      <c r="C15505" t="s">
        <v>23</v>
      </c>
      <c r="D15505" t="s">
        <v>11</v>
      </c>
      <c r="E15505" t="s">
        <v>12</v>
      </c>
      <c r="F15505">
        <v>132144519</v>
      </c>
      <c r="G15505">
        <v>132144531</v>
      </c>
      <c r="H15505">
        <v>132144649</v>
      </c>
      <c r="I15505">
        <v>132144694</v>
      </c>
    </row>
    <row r="15506" spans="1:9" x14ac:dyDescent="0.2">
      <c r="A15506" t="str">
        <f>"Oprk1"</f>
        <v>Oprk1</v>
      </c>
      <c r="B15506" t="s">
        <v>14</v>
      </c>
      <c r="C15506" t="s">
        <v>19</v>
      </c>
      <c r="D15506" t="s">
        <v>17</v>
      </c>
      <c r="E15506" t="s">
        <v>12</v>
      </c>
      <c r="F15506">
        <v>5588457</v>
      </c>
      <c r="G15506">
        <v>5588515</v>
      </c>
      <c r="H15506">
        <v>5588529</v>
      </c>
      <c r="I15506">
        <v>5588531</v>
      </c>
    </row>
    <row r="15507" spans="1:9" x14ac:dyDescent="0.2">
      <c r="A15507" t="str">
        <f>"Oprl1"</f>
        <v>Oprl1</v>
      </c>
      <c r="B15507" t="s">
        <v>14</v>
      </c>
      <c r="C15507" t="s">
        <v>26</v>
      </c>
      <c r="D15507" t="s">
        <v>17</v>
      </c>
      <c r="E15507" t="s">
        <v>12</v>
      </c>
      <c r="F15507">
        <v>181715005</v>
      </c>
      <c r="G15507">
        <v>181715082</v>
      </c>
      <c r="H15507">
        <v>181715086</v>
      </c>
      <c r="I15507">
        <v>181715102</v>
      </c>
    </row>
    <row r="15508" spans="1:9" x14ac:dyDescent="0.2">
      <c r="A15508" t="str">
        <f>"Oprm1"</f>
        <v>Oprm1</v>
      </c>
      <c r="B15508" t="s">
        <v>14</v>
      </c>
      <c r="C15508" t="s">
        <v>15</v>
      </c>
      <c r="D15508" t="s">
        <v>17</v>
      </c>
      <c r="E15508" t="s">
        <v>12</v>
      </c>
      <c r="F15508">
        <v>6788578</v>
      </c>
      <c r="G15508">
        <v>6788617</v>
      </c>
      <c r="H15508">
        <v>6788578</v>
      </c>
      <c r="I15508">
        <v>6788617</v>
      </c>
    </row>
    <row r="15509" spans="1:9" x14ac:dyDescent="0.2">
      <c r="A15509" t="str">
        <f>"Optc"</f>
        <v>Optc</v>
      </c>
      <c r="B15509" t="s">
        <v>14</v>
      </c>
      <c r="C15509" t="s">
        <v>19</v>
      </c>
      <c r="D15509" t="s">
        <v>11</v>
      </c>
      <c r="E15509" t="s">
        <v>12</v>
      </c>
      <c r="F15509">
        <v>133906973</v>
      </c>
      <c r="G15509">
        <v>133907014</v>
      </c>
      <c r="H15509">
        <v>133906973</v>
      </c>
      <c r="I15509">
        <v>133907014</v>
      </c>
    </row>
    <row r="15510" spans="1:9" x14ac:dyDescent="0.2">
      <c r="A15510" t="str">
        <f>"Optn"</f>
        <v>Optn</v>
      </c>
      <c r="B15510" t="s">
        <v>14</v>
      </c>
      <c r="C15510" t="s">
        <v>26</v>
      </c>
      <c r="D15510" t="s">
        <v>11</v>
      </c>
      <c r="E15510" t="s">
        <v>12</v>
      </c>
      <c r="F15510">
        <v>5064052</v>
      </c>
      <c r="G15510">
        <v>5064075</v>
      </c>
      <c r="H15510">
        <v>5063996</v>
      </c>
      <c r="I15510">
        <v>5064048</v>
      </c>
    </row>
    <row r="15511" spans="1:9" x14ac:dyDescent="0.2">
      <c r="A15511" t="str">
        <f>"Orai1"</f>
        <v>Orai1</v>
      </c>
      <c r="B15511" t="s">
        <v>14</v>
      </c>
      <c r="C15511" t="s">
        <v>46</v>
      </c>
      <c r="D15511" t="s">
        <v>17</v>
      </c>
      <c r="E15511" t="s">
        <v>12</v>
      </c>
      <c r="F15511">
        <v>123015010</v>
      </c>
      <c r="G15511">
        <v>123015118</v>
      </c>
      <c r="H15511">
        <v>123015312</v>
      </c>
      <c r="I15511">
        <v>123015335</v>
      </c>
    </row>
    <row r="15512" spans="1:9" x14ac:dyDescent="0.2">
      <c r="A15512" t="str">
        <f>"Orai2"</f>
        <v>Orai2</v>
      </c>
      <c r="B15512" t="s">
        <v>14</v>
      </c>
      <c r="C15512" t="s">
        <v>46</v>
      </c>
      <c r="D15512" t="s">
        <v>11</v>
      </c>
      <c r="E15512" t="s">
        <v>12</v>
      </c>
      <c r="F15512">
        <v>136170671</v>
      </c>
      <c r="G15512">
        <v>136170698</v>
      </c>
      <c r="H15512">
        <v>136170634</v>
      </c>
      <c r="I15512">
        <v>136170661</v>
      </c>
    </row>
    <row r="15513" spans="1:9" x14ac:dyDescent="0.2">
      <c r="A15513" t="str">
        <f>"Orai3"</f>
        <v>Orai3</v>
      </c>
      <c r="B15513" t="s">
        <v>14</v>
      </c>
      <c r="C15513" t="s">
        <v>33</v>
      </c>
      <c r="D15513" t="s">
        <v>17</v>
      </c>
      <c r="E15513" t="s">
        <v>12</v>
      </c>
      <c r="F15513">
        <v>127769809</v>
      </c>
      <c r="G15513">
        <v>127769854</v>
      </c>
      <c r="H15513">
        <v>127769858</v>
      </c>
      <c r="I15513">
        <v>127769863</v>
      </c>
    </row>
    <row r="15514" spans="1:9" x14ac:dyDescent="0.2">
      <c r="A15514" t="str">
        <f>"Oraov1"</f>
        <v>Oraov1</v>
      </c>
      <c r="B15514" t="s">
        <v>14</v>
      </c>
      <c r="C15514" t="s">
        <v>33</v>
      </c>
      <c r="D15514" t="s">
        <v>17</v>
      </c>
      <c r="E15514" t="s">
        <v>12</v>
      </c>
      <c r="F15514">
        <v>144915124</v>
      </c>
      <c r="G15514">
        <v>144915193</v>
      </c>
      <c r="H15514">
        <v>144915112</v>
      </c>
      <c r="I15514">
        <v>144915121</v>
      </c>
    </row>
    <row r="15515" spans="1:9" x14ac:dyDescent="0.2">
      <c r="A15515" t="str">
        <f>"Orc1"</f>
        <v>Orc1</v>
      </c>
      <c r="B15515" t="s">
        <v>14</v>
      </c>
      <c r="C15515" t="s">
        <v>23</v>
      </c>
      <c r="D15515" t="s">
        <v>17</v>
      </c>
      <c r="E15515" t="s">
        <v>12</v>
      </c>
      <c r="F15515">
        <v>108579445</v>
      </c>
      <c r="G15515">
        <v>108579470</v>
      </c>
      <c r="H15515">
        <v>108579481</v>
      </c>
      <c r="I15515">
        <v>108579489</v>
      </c>
    </row>
    <row r="15516" spans="1:9" x14ac:dyDescent="0.2">
      <c r="A15516" t="str">
        <f>"Orc2"</f>
        <v>Orc2</v>
      </c>
      <c r="B15516" t="s">
        <v>14</v>
      </c>
      <c r="C15516" t="s">
        <v>19</v>
      </c>
      <c r="D15516" t="s">
        <v>11</v>
      </c>
      <c r="E15516" t="s">
        <v>12</v>
      </c>
      <c r="F15516">
        <v>58504919</v>
      </c>
      <c r="G15516">
        <v>58504942</v>
      </c>
      <c r="H15516">
        <v>58504946</v>
      </c>
      <c r="I15516">
        <v>58504965</v>
      </c>
    </row>
    <row r="15517" spans="1:9" x14ac:dyDescent="0.2">
      <c r="A15517" t="str">
        <f>"Orc3"</f>
        <v>Orc3</v>
      </c>
      <c r="B15517" t="s">
        <v>14</v>
      </c>
      <c r="C15517" t="s">
        <v>23</v>
      </c>
      <c r="D15517" t="s">
        <v>11</v>
      </c>
      <c r="E15517" t="s">
        <v>12</v>
      </c>
      <c r="F15517">
        <v>34614886</v>
      </c>
      <c r="G15517">
        <v>34614931</v>
      </c>
      <c r="H15517">
        <v>34614886</v>
      </c>
      <c r="I15517">
        <v>34614931</v>
      </c>
    </row>
    <row r="15518" spans="1:9" x14ac:dyDescent="0.2">
      <c r="A15518" t="str">
        <f>"Orc4"</f>
        <v>Orc4</v>
      </c>
      <c r="B15518" t="s">
        <v>14</v>
      </c>
      <c r="C15518" t="s">
        <v>26</v>
      </c>
      <c r="D15518" t="s">
        <v>11</v>
      </c>
      <c r="E15518" t="s">
        <v>12</v>
      </c>
      <c r="F15518">
        <v>48949206</v>
      </c>
      <c r="G15518">
        <v>48949256</v>
      </c>
      <c r="H15518">
        <v>48949206</v>
      </c>
      <c r="I15518">
        <v>48949256</v>
      </c>
    </row>
    <row r="15519" spans="1:9" x14ac:dyDescent="0.2">
      <c r="A15519" t="str">
        <f>"Orc5"</f>
        <v>Orc5</v>
      </c>
      <c r="B15519" t="s">
        <v>14</v>
      </c>
      <c r="C15519" t="s">
        <v>46</v>
      </c>
      <c r="D15519" t="s">
        <v>11</v>
      </c>
      <c r="E15519" t="s">
        <v>12</v>
      </c>
      <c r="F15519">
        <v>22550279</v>
      </c>
      <c r="G15519">
        <v>22550386</v>
      </c>
      <c r="H15519">
        <v>22550250</v>
      </c>
      <c r="I15519">
        <v>22550261</v>
      </c>
    </row>
    <row r="15520" spans="1:9" x14ac:dyDescent="0.2">
      <c r="A15520" t="str">
        <f>"Orc6"</f>
        <v>Orc6</v>
      </c>
      <c r="B15520" t="s">
        <v>14</v>
      </c>
      <c r="C15520" t="s">
        <v>30</v>
      </c>
      <c r="D15520" t="s">
        <v>17</v>
      </c>
      <c r="E15520" t="s">
        <v>12</v>
      </c>
      <c r="F15520">
        <v>85299892</v>
      </c>
      <c r="G15520">
        <v>85299928</v>
      </c>
      <c r="H15520">
        <v>85299645</v>
      </c>
      <c r="I15520">
        <v>85299667</v>
      </c>
    </row>
    <row r="15521" spans="1:9" x14ac:dyDescent="0.2">
      <c r="A15521" t="str">
        <f>"Orm1"</f>
        <v>Orm1</v>
      </c>
      <c r="B15521" t="s">
        <v>14</v>
      </c>
      <c r="C15521" t="s">
        <v>23</v>
      </c>
      <c r="D15521" t="s">
        <v>17</v>
      </c>
      <c r="E15521" t="s">
        <v>12</v>
      </c>
      <c r="F15521">
        <v>63344548</v>
      </c>
      <c r="G15521">
        <v>63344593</v>
      </c>
      <c r="H15521">
        <v>63344548</v>
      </c>
      <c r="I15521">
        <v>63344593</v>
      </c>
    </row>
    <row r="15522" spans="1:9" x14ac:dyDescent="0.2">
      <c r="A15522" t="str">
        <f>"Orm2"</f>
        <v>Orm2</v>
      </c>
      <c r="B15522" t="s">
        <v>14</v>
      </c>
      <c r="C15522" t="s">
        <v>23</v>
      </c>
      <c r="D15522" t="s">
        <v>17</v>
      </c>
      <c r="E15522" t="s">
        <v>12</v>
      </c>
      <c r="F15522">
        <v>63362443</v>
      </c>
      <c r="G15522">
        <v>63362451</v>
      </c>
      <c r="H15522">
        <v>63362443</v>
      </c>
      <c r="I15522">
        <v>63362451</v>
      </c>
    </row>
    <row r="15523" spans="1:9" x14ac:dyDescent="0.2">
      <c r="A15523" t="str">
        <f>"Orm3"</f>
        <v>Orm3</v>
      </c>
      <c r="B15523" t="s">
        <v>14</v>
      </c>
      <c r="C15523" t="s">
        <v>23</v>
      </c>
      <c r="D15523" t="s">
        <v>17</v>
      </c>
      <c r="E15523" t="s">
        <v>12</v>
      </c>
      <c r="F15523">
        <v>63356152</v>
      </c>
      <c r="G15523">
        <v>63356168</v>
      </c>
      <c r="H15523">
        <v>63356152</v>
      </c>
      <c r="I15523">
        <v>63356168</v>
      </c>
    </row>
    <row r="15524" spans="1:9" x14ac:dyDescent="0.2">
      <c r="A15524" t="str">
        <f>"Ormdl1"</f>
        <v>Ormdl1</v>
      </c>
      <c r="B15524" t="s">
        <v>14</v>
      </c>
      <c r="C15524" t="s">
        <v>19</v>
      </c>
      <c r="D15524" t="s">
        <v>17</v>
      </c>
      <c r="E15524" t="s">
        <v>12</v>
      </c>
      <c r="F15524">
        <v>53297096</v>
      </c>
      <c r="G15524">
        <v>53297124</v>
      </c>
      <c r="H15524">
        <v>53297070</v>
      </c>
      <c r="I15524">
        <v>53297094</v>
      </c>
    </row>
    <row r="15525" spans="1:9" x14ac:dyDescent="0.2">
      <c r="A15525" t="str">
        <f>"Ormdl2"</f>
        <v>Ormdl2</v>
      </c>
      <c r="B15525" t="s">
        <v>14</v>
      </c>
      <c r="C15525" t="s">
        <v>15</v>
      </c>
      <c r="D15525" t="s">
        <v>11</v>
      </c>
      <c r="E15525" t="s">
        <v>12</v>
      </c>
      <c r="F15525">
        <v>128821576</v>
      </c>
      <c r="G15525">
        <v>128821632</v>
      </c>
      <c r="H15525">
        <v>128821576</v>
      </c>
      <c r="I15525">
        <v>128821632</v>
      </c>
    </row>
    <row r="15526" spans="1:9" x14ac:dyDescent="0.2">
      <c r="A15526" t="str">
        <f>"Ormdl3"</f>
        <v>Ormdl3</v>
      </c>
      <c r="B15526" t="s">
        <v>14</v>
      </c>
      <c r="C15526" t="s">
        <v>27</v>
      </c>
      <c r="D15526" t="s">
        <v>11</v>
      </c>
      <c r="E15526" t="s">
        <v>12</v>
      </c>
      <c r="F15526">
        <v>98587193</v>
      </c>
      <c r="G15526">
        <v>98587253</v>
      </c>
      <c r="H15526">
        <v>98587370</v>
      </c>
      <c r="I15526">
        <v>98587393</v>
      </c>
    </row>
    <row r="15527" spans="1:9" x14ac:dyDescent="0.2">
      <c r="A15527" t="str">
        <f>"Os9"</f>
        <v>Os9</v>
      </c>
      <c r="B15527" t="s">
        <v>14</v>
      </c>
      <c r="C15527" t="s">
        <v>15</v>
      </c>
      <c r="D15527" t="s">
        <v>11</v>
      </c>
      <c r="E15527" t="s">
        <v>12</v>
      </c>
      <c r="F15527">
        <v>127121125</v>
      </c>
      <c r="G15527">
        <v>127121149</v>
      </c>
      <c r="H15527">
        <v>127121125</v>
      </c>
      <c r="I15527">
        <v>127121149</v>
      </c>
    </row>
    <row r="15528" spans="1:9" x14ac:dyDescent="0.2">
      <c r="A15528" t="str">
        <f>"Osbp"</f>
        <v>Osbp</v>
      </c>
      <c r="B15528" t="s">
        <v>14</v>
      </c>
      <c r="C15528" t="s">
        <v>10</v>
      </c>
      <c r="D15528" t="s">
        <v>17</v>
      </c>
      <c r="E15528" t="s">
        <v>12</v>
      </c>
      <c r="F15528">
        <v>11965817</v>
      </c>
      <c r="G15528">
        <v>11965887</v>
      </c>
      <c r="H15528">
        <v>11965788</v>
      </c>
      <c r="I15528">
        <v>11965811</v>
      </c>
    </row>
    <row r="15529" spans="1:9" x14ac:dyDescent="0.2">
      <c r="A15529" t="str">
        <f>"Osbp2"</f>
        <v>Osbp2</v>
      </c>
      <c r="B15529" t="s">
        <v>5559</v>
      </c>
      <c r="C15529" t="s">
        <v>27</v>
      </c>
      <c r="D15529" t="s">
        <v>11</v>
      </c>
      <c r="E15529" t="s">
        <v>35</v>
      </c>
      <c r="F15529">
        <v>3863895</v>
      </c>
      <c r="G15529">
        <v>3863910</v>
      </c>
      <c r="H15529">
        <v>3863716</v>
      </c>
      <c r="I15529">
        <v>3863727</v>
      </c>
    </row>
    <row r="15530" spans="1:9" x14ac:dyDescent="0.2">
      <c r="A15530" t="str">
        <f>"Osbpl10"</f>
        <v>Osbpl10</v>
      </c>
      <c r="B15530" t="s">
        <v>5560</v>
      </c>
      <c r="C15530" t="s">
        <v>24</v>
      </c>
      <c r="D15530" t="s">
        <v>17</v>
      </c>
      <c r="E15530" t="s">
        <v>35</v>
      </c>
      <c r="F15530">
        <v>114978558</v>
      </c>
      <c r="G15530">
        <v>114978575</v>
      </c>
      <c r="H15530">
        <v>114978558</v>
      </c>
      <c r="I15530">
        <v>114978575</v>
      </c>
    </row>
    <row r="15531" spans="1:9" x14ac:dyDescent="0.2">
      <c r="A15531" t="str">
        <f>"Osbpl11"</f>
        <v>Osbpl11</v>
      </c>
      <c r="B15531" t="s">
        <v>14</v>
      </c>
      <c r="C15531" t="s">
        <v>31</v>
      </c>
      <c r="D15531" t="s">
        <v>17</v>
      </c>
      <c r="E15531" t="s">
        <v>12</v>
      </c>
      <c r="F15531">
        <v>33185045</v>
      </c>
      <c r="G15531">
        <v>33185153</v>
      </c>
      <c r="H15531">
        <v>33185156</v>
      </c>
      <c r="I15531">
        <v>33185168</v>
      </c>
    </row>
    <row r="15532" spans="1:9" x14ac:dyDescent="0.2">
      <c r="A15532" t="str">
        <f>"Osbpl1a"</f>
        <v>Osbpl1a</v>
      </c>
      <c r="B15532" t="s">
        <v>5561</v>
      </c>
      <c r="C15532" t="s">
        <v>43</v>
      </c>
      <c r="D15532" t="s">
        <v>11</v>
      </c>
      <c r="E15532" t="s">
        <v>35</v>
      </c>
      <c r="F15532">
        <v>12941867</v>
      </c>
      <c r="G15532">
        <v>12941870</v>
      </c>
      <c r="H15532">
        <v>12941665</v>
      </c>
      <c r="I15532">
        <v>12941693</v>
      </c>
    </row>
    <row r="15533" spans="1:9" x14ac:dyDescent="0.2">
      <c r="A15533" t="str">
        <f>"Osbpl2"</f>
        <v>Osbpl2</v>
      </c>
      <c r="B15533" t="s">
        <v>14</v>
      </c>
      <c r="C15533" t="s">
        <v>26</v>
      </c>
      <c r="D15533" t="s">
        <v>17</v>
      </c>
      <c r="E15533" t="s">
        <v>12</v>
      </c>
      <c r="F15533">
        <v>180119301</v>
      </c>
      <c r="G15533">
        <v>180119407</v>
      </c>
      <c r="H15533">
        <v>180119292</v>
      </c>
      <c r="I15533">
        <v>180119295</v>
      </c>
    </row>
    <row r="15534" spans="1:9" x14ac:dyDescent="0.2">
      <c r="A15534" t="str">
        <f>"Osbpl3"</f>
        <v>Osbpl3</v>
      </c>
      <c r="B15534" t="s">
        <v>5562</v>
      </c>
      <c r="C15534" t="s">
        <v>32</v>
      </c>
      <c r="D15534" t="s">
        <v>11</v>
      </c>
      <c r="E15534" t="s">
        <v>20</v>
      </c>
      <c r="F15534">
        <v>50370214</v>
      </c>
      <c r="G15534">
        <v>50370214</v>
      </c>
      <c r="H15534">
        <v>50370214</v>
      </c>
      <c r="I15534">
        <v>50370214</v>
      </c>
    </row>
    <row r="15535" spans="1:9" x14ac:dyDescent="0.2">
      <c r="A15535" t="str">
        <f>"Osbpl5"</f>
        <v>Osbpl5</v>
      </c>
      <c r="B15535" t="s">
        <v>14</v>
      </c>
      <c r="C15535" t="s">
        <v>33</v>
      </c>
      <c r="D15535" t="s">
        <v>11</v>
      </c>
      <c r="E15535" t="s">
        <v>12</v>
      </c>
      <c r="F15535">
        <v>143740316</v>
      </c>
      <c r="G15535">
        <v>143740368</v>
      </c>
      <c r="H15535">
        <v>143740369</v>
      </c>
      <c r="I15535">
        <v>143740389</v>
      </c>
    </row>
    <row r="15536" spans="1:9" x14ac:dyDescent="0.2">
      <c r="A15536" t="str">
        <f>"Osbpl6"</f>
        <v>Osbpl6</v>
      </c>
      <c r="B15536" t="s">
        <v>14</v>
      </c>
      <c r="C15536" t="s">
        <v>26</v>
      </c>
      <c r="D15536" t="s">
        <v>17</v>
      </c>
      <c r="E15536" t="s">
        <v>12</v>
      </c>
      <c r="F15536">
        <v>76406529</v>
      </c>
      <c r="G15536">
        <v>76406580</v>
      </c>
      <c r="H15536">
        <v>76406529</v>
      </c>
      <c r="I15536">
        <v>76406580</v>
      </c>
    </row>
    <row r="15537" spans="1:9" x14ac:dyDescent="0.2">
      <c r="A15537" t="str">
        <f>"Osbpl7"</f>
        <v>Osbpl7</v>
      </c>
      <c r="B15537" t="s">
        <v>14</v>
      </c>
      <c r="C15537" t="s">
        <v>27</v>
      </c>
      <c r="D15537" t="s">
        <v>17</v>
      </c>
      <c r="E15537" t="s">
        <v>12</v>
      </c>
      <c r="F15537">
        <v>97050811</v>
      </c>
      <c r="G15537">
        <v>97050856</v>
      </c>
      <c r="H15537">
        <v>97050857</v>
      </c>
      <c r="I15537">
        <v>97050877</v>
      </c>
    </row>
    <row r="15538" spans="1:9" x14ac:dyDescent="0.2">
      <c r="A15538" t="str">
        <f>"Osbpl8"</f>
        <v>Osbpl8</v>
      </c>
      <c r="B15538" t="s">
        <v>14</v>
      </c>
      <c r="C15538" t="s">
        <v>15</v>
      </c>
      <c r="D15538" t="s">
        <v>17</v>
      </c>
      <c r="E15538" t="s">
        <v>12</v>
      </c>
      <c r="F15538">
        <v>111164794</v>
      </c>
      <c r="G15538">
        <v>111164811</v>
      </c>
      <c r="H15538">
        <v>111164822</v>
      </c>
      <c r="I15538">
        <v>111164868</v>
      </c>
    </row>
    <row r="15539" spans="1:9" x14ac:dyDescent="0.2">
      <c r="A15539" t="str">
        <f>"Osbpl9"</f>
        <v>Osbpl9</v>
      </c>
      <c r="B15539" t="s">
        <v>14</v>
      </c>
      <c r="C15539" t="s">
        <v>23</v>
      </c>
      <c r="D15539" t="s">
        <v>11</v>
      </c>
      <c r="E15539" t="s">
        <v>12</v>
      </c>
      <c r="F15539">
        <v>109202225</v>
      </c>
      <c r="G15539">
        <v>109202246</v>
      </c>
      <c r="H15539">
        <v>109202225</v>
      </c>
      <c r="I15539">
        <v>109202246</v>
      </c>
    </row>
    <row r="15540" spans="1:9" x14ac:dyDescent="0.2">
      <c r="A15540" t="str">
        <f>"Oscar"</f>
        <v>Oscar</v>
      </c>
      <c r="B15540" t="s">
        <v>14</v>
      </c>
      <c r="C15540" t="s">
        <v>33</v>
      </c>
      <c r="D15540" t="s">
        <v>11</v>
      </c>
      <c r="E15540" t="s">
        <v>12</v>
      </c>
      <c r="F15540">
        <v>3616135</v>
      </c>
      <c r="G15540">
        <v>3616152</v>
      </c>
      <c r="H15540">
        <v>3616105</v>
      </c>
      <c r="I15540">
        <v>3616116</v>
      </c>
    </row>
    <row r="15541" spans="1:9" x14ac:dyDescent="0.2">
      <c r="A15541" t="str">
        <f>"Oscp1"</f>
        <v>Oscp1</v>
      </c>
      <c r="B15541" t="s">
        <v>14</v>
      </c>
      <c r="C15541" t="s">
        <v>23</v>
      </c>
      <c r="D15541" t="s">
        <v>17</v>
      </c>
      <c r="E15541" t="s">
        <v>12</v>
      </c>
      <c r="F15541">
        <v>126058557</v>
      </c>
      <c r="G15541">
        <v>126058613</v>
      </c>
      <c r="H15541">
        <v>126058615</v>
      </c>
      <c r="I15541">
        <v>126058624</v>
      </c>
    </row>
    <row r="15542" spans="1:9" x14ac:dyDescent="0.2">
      <c r="A15542" t="str">
        <f>"Oser1"</f>
        <v>Oser1</v>
      </c>
      <c r="B15542" t="s">
        <v>14</v>
      </c>
      <c r="C15542" t="s">
        <v>26</v>
      </c>
      <c r="D15542" t="s">
        <v>11</v>
      </c>
      <c r="E15542" t="s">
        <v>67</v>
      </c>
      <c r="F15542">
        <v>163419508</v>
      </c>
      <c r="G15542">
        <v>163419548</v>
      </c>
      <c r="H15542">
        <v>163419114</v>
      </c>
      <c r="I15542">
        <v>163419166</v>
      </c>
    </row>
    <row r="15543" spans="1:9" x14ac:dyDescent="0.2">
      <c r="A15543" t="str">
        <f>"Osgep"</f>
        <v>Osgep</v>
      </c>
      <c r="B15543" t="s">
        <v>14</v>
      </c>
      <c r="C15543" t="s">
        <v>41</v>
      </c>
      <c r="D15543" t="s">
        <v>11</v>
      </c>
      <c r="E15543" t="s">
        <v>12</v>
      </c>
      <c r="F15543">
        <v>50924805</v>
      </c>
      <c r="G15543">
        <v>50924896</v>
      </c>
      <c r="H15543">
        <v>50924899</v>
      </c>
      <c r="I15543">
        <v>50924907</v>
      </c>
    </row>
    <row r="15544" spans="1:9" x14ac:dyDescent="0.2">
      <c r="A15544" t="str">
        <f>"Osgepl1"</f>
        <v>Osgepl1</v>
      </c>
      <c r="B15544" t="s">
        <v>14</v>
      </c>
      <c r="C15544" t="s">
        <v>19</v>
      </c>
      <c r="D15544" t="s">
        <v>17</v>
      </c>
      <c r="E15544" t="s">
        <v>12</v>
      </c>
      <c r="F15544">
        <v>53313636</v>
      </c>
      <c r="G15544">
        <v>53313682</v>
      </c>
      <c r="H15544">
        <v>53313622</v>
      </c>
      <c r="I15544">
        <v>53313635</v>
      </c>
    </row>
    <row r="15545" spans="1:9" x14ac:dyDescent="0.2">
      <c r="A15545" t="str">
        <f>"Osgin1"</f>
        <v>Osgin1</v>
      </c>
      <c r="B15545" t="s">
        <v>14</v>
      </c>
      <c r="C15545" t="s">
        <v>30</v>
      </c>
      <c r="D15545" t="s">
        <v>17</v>
      </c>
      <c r="E15545" t="s">
        <v>12</v>
      </c>
      <c r="F15545">
        <v>119437139</v>
      </c>
      <c r="G15545">
        <v>119437154</v>
      </c>
      <c r="H15545">
        <v>119437139</v>
      </c>
      <c r="I15545">
        <v>119437154</v>
      </c>
    </row>
    <row r="15546" spans="1:9" x14ac:dyDescent="0.2">
      <c r="A15546" t="str">
        <f>"Osgin2"</f>
        <v>Osgin2</v>
      </c>
      <c r="B15546" t="s">
        <v>14</v>
      </c>
      <c r="C15546" t="s">
        <v>23</v>
      </c>
      <c r="D15546" t="s">
        <v>11</v>
      </c>
      <c r="E15546" t="s">
        <v>12</v>
      </c>
      <c r="F15546">
        <v>16013811</v>
      </c>
      <c r="G15546">
        <v>16013830</v>
      </c>
      <c r="H15546">
        <v>16013868</v>
      </c>
      <c r="I15546">
        <v>16013884</v>
      </c>
    </row>
    <row r="15547" spans="1:9" x14ac:dyDescent="0.2">
      <c r="A15547" t="str">
        <f>"Osm"</f>
        <v>Osm</v>
      </c>
      <c r="B15547" t="s">
        <v>14</v>
      </c>
      <c r="C15547" t="s">
        <v>27</v>
      </c>
      <c r="D15547" t="s">
        <v>17</v>
      </c>
      <c r="E15547" t="s">
        <v>12</v>
      </c>
      <c r="F15547">
        <v>4236823</v>
      </c>
      <c r="G15547">
        <v>4236837</v>
      </c>
      <c r="H15547">
        <v>4236411</v>
      </c>
      <c r="I15547">
        <v>4236433</v>
      </c>
    </row>
    <row r="15548" spans="1:9" x14ac:dyDescent="0.2">
      <c r="A15548" t="str">
        <f>"Osmr"</f>
        <v>Osmr</v>
      </c>
      <c r="B15548" t="s">
        <v>14</v>
      </c>
      <c r="C15548" t="s">
        <v>25</v>
      </c>
      <c r="D15548" t="s">
        <v>11</v>
      </c>
      <c r="E15548" t="s">
        <v>12</v>
      </c>
      <c r="F15548">
        <v>6874260</v>
      </c>
      <c r="G15548">
        <v>6874285</v>
      </c>
      <c r="H15548">
        <v>6874231</v>
      </c>
      <c r="I15548">
        <v>6874248</v>
      </c>
    </row>
    <row r="15549" spans="1:9" x14ac:dyDescent="0.2">
      <c r="A15549" t="str">
        <f>"Osr1"</f>
        <v>Osr1</v>
      </c>
      <c r="B15549" t="s">
        <v>14</v>
      </c>
      <c r="C15549" t="s">
        <v>16</v>
      </c>
      <c r="D15549" t="s">
        <v>17</v>
      </c>
      <c r="E15549" t="s">
        <v>12</v>
      </c>
      <c r="F15549">
        <v>9574456</v>
      </c>
      <c r="G15549">
        <v>9574476</v>
      </c>
      <c r="H15549">
        <v>9574478</v>
      </c>
      <c r="I15549">
        <v>9574497</v>
      </c>
    </row>
    <row r="15550" spans="1:9" x14ac:dyDescent="0.2">
      <c r="A15550" t="str">
        <f>"Osr2"</f>
        <v>Osr2</v>
      </c>
      <c r="B15550" t="s">
        <v>14</v>
      </c>
      <c r="C15550" t="s">
        <v>25</v>
      </c>
      <c r="D15550" t="s">
        <v>17</v>
      </c>
      <c r="E15550" t="s">
        <v>12</v>
      </c>
      <c r="F15550">
        <v>35296090</v>
      </c>
      <c r="G15550">
        <v>35296112</v>
      </c>
      <c r="H15550">
        <v>35296118</v>
      </c>
      <c r="I15550">
        <v>35296134</v>
      </c>
    </row>
    <row r="15551" spans="1:9" x14ac:dyDescent="0.2">
      <c r="A15551" t="str">
        <f>"Ost4"</f>
        <v>Ost4</v>
      </c>
      <c r="B15551" t="s">
        <v>14</v>
      </c>
      <c r="C15551" t="s">
        <v>46</v>
      </c>
      <c r="D15551" t="s">
        <v>11</v>
      </c>
      <c r="E15551" t="s">
        <v>12</v>
      </c>
      <c r="F15551">
        <v>30907692</v>
      </c>
      <c r="G15551">
        <v>30907753</v>
      </c>
      <c r="H15551">
        <v>30907680</v>
      </c>
      <c r="I15551">
        <v>30907691</v>
      </c>
    </row>
    <row r="15552" spans="1:9" x14ac:dyDescent="0.2">
      <c r="A15552" t="str">
        <f>"Ostc"</f>
        <v>Ostc</v>
      </c>
      <c r="B15552" t="s">
        <v>14</v>
      </c>
      <c r="C15552" t="s">
        <v>22</v>
      </c>
      <c r="D15552" t="s">
        <v>11</v>
      </c>
      <c r="E15552" t="s">
        <v>12</v>
      </c>
      <c r="F15552">
        <v>130709392</v>
      </c>
      <c r="G15552">
        <v>130709417</v>
      </c>
      <c r="H15552">
        <v>130709419</v>
      </c>
      <c r="I15552">
        <v>130709451</v>
      </c>
    </row>
    <row r="15553" spans="1:9" x14ac:dyDescent="0.2">
      <c r="A15553" t="str">
        <f>"Ostf1"</f>
        <v>Ostf1</v>
      </c>
      <c r="B15553" t="s">
        <v>14</v>
      </c>
      <c r="C15553" t="s">
        <v>10</v>
      </c>
      <c r="D15553" t="s">
        <v>11</v>
      </c>
      <c r="E15553" t="s">
        <v>12</v>
      </c>
      <c r="F15553">
        <v>18631754</v>
      </c>
      <c r="G15553">
        <v>18631824</v>
      </c>
      <c r="H15553">
        <v>18631834</v>
      </c>
      <c r="I15553">
        <v>18631847</v>
      </c>
    </row>
    <row r="15554" spans="1:9" x14ac:dyDescent="0.2">
      <c r="A15554" t="str">
        <f>"Ostm1"</f>
        <v>Ostm1</v>
      </c>
      <c r="B15554" t="s">
        <v>14</v>
      </c>
      <c r="C15554" t="s">
        <v>15</v>
      </c>
      <c r="D15554" t="s">
        <v>17</v>
      </c>
      <c r="E15554" t="s">
        <v>12</v>
      </c>
      <c r="F15554">
        <v>42678890</v>
      </c>
      <c r="G15554">
        <v>42678948</v>
      </c>
      <c r="H15554">
        <v>42678951</v>
      </c>
      <c r="I15554">
        <v>42678975</v>
      </c>
    </row>
    <row r="15555" spans="1:9" x14ac:dyDescent="0.2">
      <c r="A15555" t="str">
        <f>"Ostn"</f>
        <v>Ostn</v>
      </c>
      <c r="B15555" t="s">
        <v>14</v>
      </c>
      <c r="C15555" t="s">
        <v>31</v>
      </c>
      <c r="D15555" t="s">
        <v>17</v>
      </c>
      <c r="E15555" t="s">
        <v>12</v>
      </c>
      <c r="F15555">
        <v>27307632</v>
      </c>
      <c r="G15555">
        <v>27307650</v>
      </c>
      <c r="H15555">
        <v>27307632</v>
      </c>
      <c r="I15555">
        <v>27307650</v>
      </c>
    </row>
    <row r="15556" spans="1:9" x14ac:dyDescent="0.2">
      <c r="A15556" t="str">
        <f>"Otc"</f>
        <v>Otc</v>
      </c>
      <c r="B15556" t="s">
        <v>14</v>
      </c>
      <c r="C15556" t="s">
        <v>37</v>
      </c>
      <c r="D15556" t="s">
        <v>17</v>
      </c>
      <c r="E15556" t="s">
        <v>12</v>
      </c>
      <c r="F15556">
        <v>10252334</v>
      </c>
      <c r="G15556">
        <v>10252357</v>
      </c>
      <c r="H15556">
        <v>10252361</v>
      </c>
      <c r="I15556">
        <v>10252383</v>
      </c>
    </row>
    <row r="15557" spans="1:9" x14ac:dyDescent="0.2">
      <c r="A15557" t="str">
        <f>"Otoa"</f>
        <v>Otoa</v>
      </c>
      <c r="B15557" t="s">
        <v>14</v>
      </c>
      <c r="C15557" t="s">
        <v>33</v>
      </c>
      <c r="D15557" t="s">
        <v>17</v>
      </c>
      <c r="E15557" t="s">
        <v>12</v>
      </c>
      <c r="F15557">
        <v>121083414</v>
      </c>
      <c r="G15557">
        <v>121083434</v>
      </c>
      <c r="H15557">
        <v>121083403</v>
      </c>
      <c r="I15557">
        <v>121083404</v>
      </c>
    </row>
    <row r="15558" spans="1:9" x14ac:dyDescent="0.2">
      <c r="A15558" t="str">
        <f>"Otof"</f>
        <v>Otof</v>
      </c>
      <c r="B15558" t="s">
        <v>14</v>
      </c>
      <c r="C15558" t="s">
        <v>46</v>
      </c>
      <c r="D15558" t="s">
        <v>11</v>
      </c>
      <c r="E15558" t="s">
        <v>12</v>
      </c>
      <c r="F15558">
        <v>30461909</v>
      </c>
      <c r="G15558">
        <v>30461942</v>
      </c>
      <c r="H15558">
        <v>30461909</v>
      </c>
      <c r="I15558">
        <v>30461942</v>
      </c>
    </row>
    <row r="15559" spans="1:9" x14ac:dyDescent="0.2">
      <c r="A15559" t="str">
        <f>"Otog"</f>
        <v>Otog</v>
      </c>
      <c r="B15559" t="s">
        <v>14</v>
      </c>
      <c r="C15559" t="s">
        <v>33</v>
      </c>
      <c r="D15559" t="s">
        <v>17</v>
      </c>
      <c r="E15559" t="s">
        <v>12</v>
      </c>
      <c r="F15559">
        <v>46240956</v>
      </c>
      <c r="G15559">
        <v>46240970</v>
      </c>
      <c r="H15559">
        <v>46240956</v>
      </c>
      <c r="I15559">
        <v>46240970</v>
      </c>
    </row>
    <row r="15560" spans="1:9" x14ac:dyDescent="0.2">
      <c r="A15560" t="str">
        <f>"Otogl"</f>
        <v>Otogl</v>
      </c>
      <c r="B15560" t="s">
        <v>14</v>
      </c>
      <c r="C15560" t="s">
        <v>15</v>
      </c>
      <c r="D15560" t="s">
        <v>11</v>
      </c>
      <c r="E15560" t="s">
        <v>12</v>
      </c>
      <c r="F15560">
        <v>107912322</v>
      </c>
      <c r="G15560">
        <v>107912334</v>
      </c>
      <c r="H15560">
        <v>107912322</v>
      </c>
      <c r="I15560">
        <v>107912334</v>
      </c>
    </row>
    <row r="15561" spans="1:9" x14ac:dyDescent="0.2">
      <c r="A15561" t="str">
        <f>"Otol1"</f>
        <v>Otol1</v>
      </c>
      <c r="B15561" t="s">
        <v>14</v>
      </c>
      <c r="C15561" t="s">
        <v>22</v>
      </c>
      <c r="D15561" t="s">
        <v>17</v>
      </c>
      <c r="E15561" t="s">
        <v>12</v>
      </c>
      <c r="F15561">
        <v>70007668</v>
      </c>
      <c r="G15561">
        <v>70007679</v>
      </c>
      <c r="H15561">
        <v>70007684</v>
      </c>
      <c r="I15561">
        <v>70007694</v>
      </c>
    </row>
    <row r="15562" spans="1:9" x14ac:dyDescent="0.2">
      <c r="A15562" t="str">
        <f>"Otop1"</f>
        <v>Otop1</v>
      </c>
      <c r="B15562" t="s">
        <v>14</v>
      </c>
      <c r="C15562" t="s">
        <v>46</v>
      </c>
      <c r="D15562" t="s">
        <v>17</v>
      </c>
      <c r="E15562" t="s">
        <v>12</v>
      </c>
      <c r="F15562">
        <v>38277397</v>
      </c>
      <c r="G15562">
        <v>38277423</v>
      </c>
      <c r="H15562">
        <v>38277167</v>
      </c>
      <c r="I15562">
        <v>38277190</v>
      </c>
    </row>
    <row r="15563" spans="1:9" x14ac:dyDescent="0.2">
      <c r="A15563" t="str">
        <f>"Otop2"</f>
        <v>Otop2</v>
      </c>
      <c r="B15563" t="s">
        <v>14</v>
      </c>
      <c r="C15563" t="s">
        <v>27</v>
      </c>
      <c r="D15563" t="s">
        <v>17</v>
      </c>
      <c r="E15563" t="s">
        <v>12</v>
      </c>
      <c r="F15563">
        <v>115307207</v>
      </c>
      <c r="G15563">
        <v>115307227</v>
      </c>
      <c r="H15563">
        <v>115307155</v>
      </c>
      <c r="I15563">
        <v>115307164</v>
      </c>
    </row>
    <row r="15564" spans="1:9" x14ac:dyDescent="0.2">
      <c r="A15564" t="str">
        <f>"Otop3"</f>
        <v>Otop3</v>
      </c>
      <c r="B15564" t="s">
        <v>14</v>
      </c>
      <c r="C15564" t="s">
        <v>27</v>
      </c>
      <c r="D15564" t="s">
        <v>17</v>
      </c>
      <c r="E15564" t="s">
        <v>12</v>
      </c>
      <c r="F15564">
        <v>115334788</v>
      </c>
      <c r="G15564">
        <v>115334849</v>
      </c>
      <c r="H15564">
        <v>115334727</v>
      </c>
      <c r="I15564">
        <v>115334736</v>
      </c>
    </row>
    <row r="15565" spans="1:9" x14ac:dyDescent="0.2">
      <c r="A15565" t="str">
        <f>"Otor"</f>
        <v>Otor</v>
      </c>
      <c r="B15565" t="s">
        <v>14</v>
      </c>
      <c r="C15565" t="s">
        <v>26</v>
      </c>
      <c r="D15565" t="s">
        <v>17</v>
      </c>
      <c r="E15565" t="s">
        <v>12</v>
      </c>
      <c r="F15565">
        <v>143078467</v>
      </c>
      <c r="G15565">
        <v>143078482</v>
      </c>
      <c r="H15565">
        <v>143078467</v>
      </c>
      <c r="I15565">
        <v>143078482</v>
      </c>
    </row>
    <row r="15566" spans="1:9" x14ac:dyDescent="0.2">
      <c r="A15566" t="str">
        <f>"Otos"</f>
        <v>Otos</v>
      </c>
      <c r="B15566" t="s">
        <v>14</v>
      </c>
      <c r="C15566" t="s">
        <v>19</v>
      </c>
      <c r="D15566" t="s">
        <v>11</v>
      </c>
      <c r="E15566" t="s">
        <v>12</v>
      </c>
      <c r="F15566">
        <v>92648214</v>
      </c>
      <c r="G15566">
        <v>92648223</v>
      </c>
      <c r="H15566">
        <v>92648251</v>
      </c>
      <c r="I15566">
        <v>92648257</v>
      </c>
    </row>
    <row r="15567" spans="1:9" x14ac:dyDescent="0.2">
      <c r="A15567" t="str">
        <f>"Otp"</f>
        <v>Otp</v>
      </c>
      <c r="B15567" t="s">
        <v>14</v>
      </c>
      <c r="C15567" t="s">
        <v>39</v>
      </c>
      <c r="D15567" t="s">
        <v>17</v>
      </c>
      <c r="E15567" t="s">
        <v>12</v>
      </c>
      <c r="F15567">
        <v>94875625</v>
      </c>
      <c r="G15567">
        <v>94875643</v>
      </c>
      <c r="H15567">
        <v>94875653</v>
      </c>
      <c r="I15567">
        <v>94875661</v>
      </c>
    </row>
    <row r="15568" spans="1:9" x14ac:dyDescent="0.2">
      <c r="A15568" t="str">
        <f>"Ott"</f>
        <v>Ott</v>
      </c>
      <c r="B15568" t="s">
        <v>5563</v>
      </c>
      <c r="C15568" t="s">
        <v>37</v>
      </c>
      <c r="D15568" t="s">
        <v>17</v>
      </c>
      <c r="E15568" t="s">
        <v>20</v>
      </c>
      <c r="F15568">
        <v>149097951</v>
      </c>
      <c r="G15568">
        <v>149097951</v>
      </c>
      <c r="H15568">
        <v>149097951</v>
      </c>
      <c r="I15568">
        <v>149097951</v>
      </c>
    </row>
    <row r="15569" spans="1:9" x14ac:dyDescent="0.2">
      <c r="A15569" t="str">
        <f>"Ott"</f>
        <v>Ott</v>
      </c>
      <c r="B15569" t="s">
        <v>5564</v>
      </c>
      <c r="C15569" t="s">
        <v>37</v>
      </c>
      <c r="D15569" t="s">
        <v>17</v>
      </c>
      <c r="E15569" t="s">
        <v>20</v>
      </c>
      <c r="F15569">
        <v>149088314</v>
      </c>
      <c r="G15569">
        <v>149088314</v>
      </c>
      <c r="H15569">
        <v>149088314</v>
      </c>
      <c r="I15569">
        <v>149088314</v>
      </c>
    </row>
    <row r="15570" spans="1:9" x14ac:dyDescent="0.2">
      <c r="A15570" t="str">
        <f>"Ott"</f>
        <v>Ott</v>
      </c>
      <c r="B15570" t="s">
        <v>5565</v>
      </c>
      <c r="C15570" t="s">
        <v>37</v>
      </c>
      <c r="D15570" t="s">
        <v>17</v>
      </c>
      <c r="E15570" t="s">
        <v>20</v>
      </c>
      <c r="F15570">
        <v>149074281</v>
      </c>
      <c r="G15570">
        <v>149074281</v>
      </c>
      <c r="H15570">
        <v>149074281</v>
      </c>
      <c r="I15570">
        <v>149074281</v>
      </c>
    </row>
    <row r="15571" spans="1:9" x14ac:dyDescent="0.2">
      <c r="A15571" t="str">
        <f>"Otub1"</f>
        <v>Otub1</v>
      </c>
      <c r="B15571" t="s">
        <v>14</v>
      </c>
      <c r="C15571" t="s">
        <v>10</v>
      </c>
      <c r="D15571" t="s">
        <v>11</v>
      </c>
      <c r="E15571" t="s">
        <v>12</v>
      </c>
      <c r="F15571">
        <v>7206261</v>
      </c>
      <c r="G15571">
        <v>7206301</v>
      </c>
      <c r="H15571">
        <v>7206261</v>
      </c>
      <c r="I15571">
        <v>7206301</v>
      </c>
    </row>
    <row r="15572" spans="1:9" x14ac:dyDescent="0.2">
      <c r="A15572" t="str">
        <f>"Otub2"</f>
        <v>Otub2</v>
      </c>
      <c r="B15572" t="s">
        <v>14</v>
      </c>
      <c r="C15572" t="s">
        <v>16</v>
      </c>
      <c r="D15572" t="s">
        <v>17</v>
      </c>
      <c r="E15572" t="s">
        <v>12</v>
      </c>
      <c r="F15572">
        <v>103388656</v>
      </c>
      <c r="G15572">
        <v>103388723</v>
      </c>
      <c r="H15572">
        <v>103388727</v>
      </c>
      <c r="I15572">
        <v>103388765</v>
      </c>
    </row>
    <row r="15573" spans="1:9" x14ac:dyDescent="0.2">
      <c r="A15573" t="str">
        <f>"Otud1"</f>
        <v>Otud1</v>
      </c>
      <c r="B15573" t="s">
        <v>14</v>
      </c>
      <c r="C15573" t="s">
        <v>26</v>
      </c>
      <c r="D15573" t="s">
        <v>17</v>
      </c>
      <c r="E15573" t="s">
        <v>12</v>
      </c>
      <c r="F15573">
        <v>19657720</v>
      </c>
      <c r="G15573">
        <v>19657784</v>
      </c>
      <c r="H15573">
        <v>19657720</v>
      </c>
      <c r="I15573">
        <v>19657784</v>
      </c>
    </row>
    <row r="15574" spans="1:9" x14ac:dyDescent="0.2">
      <c r="A15574" t="str">
        <f>"Otud3"</f>
        <v>Otud3</v>
      </c>
      <c r="B15574" t="s">
        <v>14</v>
      </c>
      <c r="C15574" t="s">
        <v>23</v>
      </c>
      <c r="D15574" t="s">
        <v>11</v>
      </c>
      <c r="E15574" t="s">
        <v>12</v>
      </c>
      <c r="F15574">
        <v>138913915</v>
      </c>
      <c r="G15574">
        <v>138913983</v>
      </c>
      <c r="H15574">
        <v>138913854</v>
      </c>
      <c r="I15574">
        <v>138913860</v>
      </c>
    </row>
    <row r="15575" spans="1:9" x14ac:dyDescent="0.2">
      <c r="A15575" t="str">
        <f>"Otud4"</f>
        <v>Otud4</v>
      </c>
      <c r="B15575" t="s">
        <v>14</v>
      </c>
      <c r="C15575" t="s">
        <v>30</v>
      </c>
      <c r="D15575" t="s">
        <v>17</v>
      </c>
      <c r="E15575" t="s">
        <v>12</v>
      </c>
      <c r="F15575">
        <v>79639351</v>
      </c>
      <c r="G15575">
        <v>79639398</v>
      </c>
      <c r="H15575">
        <v>79639426</v>
      </c>
      <c r="I15575">
        <v>79639471</v>
      </c>
    </row>
    <row r="15576" spans="1:9" x14ac:dyDescent="0.2">
      <c r="A15576" t="str">
        <f>"Otud5"</f>
        <v>Otud5</v>
      </c>
      <c r="B15576" t="s">
        <v>14</v>
      </c>
      <c r="C15576" t="s">
        <v>37</v>
      </c>
      <c r="D15576" t="s">
        <v>17</v>
      </c>
      <c r="E15576" t="s">
        <v>12</v>
      </c>
      <c r="F15576">
        <v>7842067</v>
      </c>
      <c r="G15576">
        <v>7842128</v>
      </c>
      <c r="H15576">
        <v>7841800</v>
      </c>
      <c r="I15576">
        <v>7841866</v>
      </c>
    </row>
    <row r="15577" spans="1:9" x14ac:dyDescent="0.2">
      <c r="A15577" t="str">
        <f>"Otud6a"</f>
        <v>Otud6a</v>
      </c>
      <c r="B15577" t="s">
        <v>14</v>
      </c>
      <c r="C15577" t="s">
        <v>37</v>
      </c>
      <c r="D15577" t="s">
        <v>17</v>
      </c>
      <c r="E15577" t="s">
        <v>12</v>
      </c>
      <c r="F15577">
        <v>100428906</v>
      </c>
      <c r="G15577">
        <v>100428912</v>
      </c>
      <c r="H15577">
        <v>100428906</v>
      </c>
      <c r="I15577">
        <v>100428912</v>
      </c>
    </row>
    <row r="15578" spans="1:9" x14ac:dyDescent="0.2">
      <c r="A15578" t="str">
        <f>"Otud6b"</f>
        <v>Otud6b</v>
      </c>
      <c r="B15578" t="s">
        <v>14</v>
      </c>
      <c r="C15578" t="s">
        <v>23</v>
      </c>
      <c r="D15578" t="s">
        <v>11</v>
      </c>
      <c r="E15578" t="s">
        <v>12</v>
      </c>
      <c r="F15578">
        <v>14826390</v>
      </c>
      <c r="G15578">
        <v>14826447</v>
      </c>
      <c r="H15578">
        <v>14826544</v>
      </c>
      <c r="I15578">
        <v>14826555</v>
      </c>
    </row>
    <row r="15579" spans="1:9" x14ac:dyDescent="0.2">
      <c r="A15579" t="str">
        <f>"Otud7a"</f>
        <v>Otud7a</v>
      </c>
      <c r="B15579" t="s">
        <v>14</v>
      </c>
      <c r="C15579" t="s">
        <v>33</v>
      </c>
      <c r="D15579" t="s">
        <v>17</v>
      </c>
      <c r="E15579" t="s">
        <v>12</v>
      </c>
      <c r="F15579">
        <v>63444826</v>
      </c>
      <c r="G15579">
        <v>63444871</v>
      </c>
      <c r="H15579">
        <v>63444770</v>
      </c>
      <c r="I15579">
        <v>63444792</v>
      </c>
    </row>
    <row r="15580" spans="1:9" x14ac:dyDescent="0.2">
      <c r="A15580" t="str">
        <f>"Otud7b"</f>
        <v>Otud7b</v>
      </c>
      <c r="B15580" t="s">
        <v>14</v>
      </c>
      <c r="C15580" t="s">
        <v>22</v>
      </c>
      <c r="D15580" t="s">
        <v>17</v>
      </c>
      <c r="E15580" t="s">
        <v>12</v>
      </c>
      <c r="F15580">
        <v>96104498</v>
      </c>
      <c r="G15580">
        <v>96104571</v>
      </c>
      <c r="H15580">
        <v>96104478</v>
      </c>
      <c r="I15580">
        <v>96104489</v>
      </c>
    </row>
    <row r="15581" spans="1:9" x14ac:dyDescent="0.2">
      <c r="A15581" t="str">
        <f>"Otx1"</f>
        <v>Otx1</v>
      </c>
      <c r="B15581" t="s">
        <v>14</v>
      </c>
      <c r="C15581" t="s">
        <v>27</v>
      </c>
      <c r="D15581" t="s">
        <v>11</v>
      </c>
      <c r="E15581" t="s">
        <v>12</v>
      </c>
      <c r="F15581">
        <v>22001605</v>
      </c>
      <c r="G15581">
        <v>22001631</v>
      </c>
      <c r="H15581">
        <v>22001584</v>
      </c>
      <c r="I15581">
        <v>22001601</v>
      </c>
    </row>
    <row r="15582" spans="1:9" x14ac:dyDescent="0.2">
      <c r="A15582" t="str">
        <f>"Otx2"</f>
        <v>Otx2</v>
      </c>
      <c r="B15582" t="s">
        <v>9</v>
      </c>
      <c r="C15582" t="s">
        <v>41</v>
      </c>
      <c r="D15582" t="s">
        <v>11</v>
      </c>
      <c r="E15582" t="s">
        <v>12</v>
      </c>
      <c r="F15582">
        <v>48667511</v>
      </c>
      <c r="G15582">
        <v>48667550</v>
      </c>
      <c r="H15582">
        <v>48667511</v>
      </c>
      <c r="I15582">
        <v>48667550</v>
      </c>
    </row>
    <row r="15583" spans="1:9" x14ac:dyDescent="0.2">
      <c r="A15583" t="str">
        <f>"Otx2"</f>
        <v>Otx2</v>
      </c>
      <c r="B15583" t="s">
        <v>13</v>
      </c>
      <c r="C15583" t="s">
        <v>41</v>
      </c>
      <c r="D15583" t="s">
        <v>11</v>
      </c>
      <c r="E15583" t="s">
        <v>12</v>
      </c>
      <c r="F15583">
        <v>48665098</v>
      </c>
      <c r="G15583">
        <v>48665115</v>
      </c>
      <c r="H15583">
        <v>48665098</v>
      </c>
      <c r="I15583">
        <v>48665115</v>
      </c>
    </row>
    <row r="15584" spans="1:9" x14ac:dyDescent="0.2">
      <c r="A15584" t="str">
        <f>"Ovca2"</f>
        <v>Ovca2</v>
      </c>
      <c r="B15584" t="s">
        <v>9</v>
      </c>
      <c r="C15584" t="s">
        <v>27</v>
      </c>
      <c r="D15584" t="s">
        <v>11</v>
      </c>
      <c r="E15584" t="s">
        <v>12</v>
      </c>
      <c r="F15584">
        <v>75190458</v>
      </c>
      <c r="G15584">
        <v>75190488</v>
      </c>
      <c r="H15584">
        <v>75190458</v>
      </c>
      <c r="I15584">
        <v>75190488</v>
      </c>
    </row>
    <row r="15585" spans="1:9" x14ac:dyDescent="0.2">
      <c r="A15585" t="str">
        <f>"Ovca2"</f>
        <v>Ovca2</v>
      </c>
      <c r="B15585" t="s">
        <v>13</v>
      </c>
      <c r="C15585" t="s">
        <v>27</v>
      </c>
      <c r="D15585" t="s">
        <v>11</v>
      </c>
      <c r="E15585" t="s">
        <v>12</v>
      </c>
      <c r="F15585">
        <v>75178792</v>
      </c>
      <c r="G15585">
        <v>75178830</v>
      </c>
      <c r="H15585">
        <v>75178792</v>
      </c>
      <c r="I15585">
        <v>75178830</v>
      </c>
    </row>
    <row r="15586" spans="1:9" x14ac:dyDescent="0.2">
      <c r="A15586" t="str">
        <f>"Ovch2"</f>
        <v>Ovch2</v>
      </c>
      <c r="B15586" t="s">
        <v>14</v>
      </c>
      <c r="C15586" t="s">
        <v>33</v>
      </c>
      <c r="D15586" t="s">
        <v>11</v>
      </c>
      <c r="E15586" t="s">
        <v>12</v>
      </c>
      <c r="F15586">
        <v>107801214</v>
      </c>
      <c r="G15586">
        <v>107801238</v>
      </c>
      <c r="H15586">
        <v>107801247</v>
      </c>
      <c r="I15586">
        <v>107801261</v>
      </c>
    </row>
    <row r="15587" spans="1:9" x14ac:dyDescent="0.2">
      <c r="A15587" t="str">
        <f>"Ovgp1"</f>
        <v>Ovgp1</v>
      </c>
      <c r="B15587" t="s">
        <v>9</v>
      </c>
      <c r="C15587" t="s">
        <v>22</v>
      </c>
      <c r="D15587" t="s">
        <v>17</v>
      </c>
      <c r="E15587" t="s">
        <v>12</v>
      </c>
      <c r="F15587">
        <v>105973790</v>
      </c>
      <c r="G15587">
        <v>105973809</v>
      </c>
      <c r="H15587">
        <v>105973790</v>
      </c>
      <c r="I15587">
        <v>105973809</v>
      </c>
    </row>
    <row r="15588" spans="1:9" x14ac:dyDescent="0.2">
      <c r="A15588" t="str">
        <f>"Ovgp1"</f>
        <v>Ovgp1</v>
      </c>
      <c r="B15588" t="s">
        <v>13</v>
      </c>
      <c r="C15588" t="s">
        <v>22</v>
      </c>
      <c r="D15588" t="s">
        <v>17</v>
      </c>
      <c r="E15588" t="s">
        <v>12</v>
      </c>
      <c r="F15588">
        <v>105980162</v>
      </c>
      <c r="G15588">
        <v>105980171</v>
      </c>
      <c r="H15588">
        <v>105980162</v>
      </c>
      <c r="I15588">
        <v>105980171</v>
      </c>
    </row>
    <row r="15589" spans="1:9" x14ac:dyDescent="0.2">
      <c r="A15589" t="str">
        <f>"Ovol1"</f>
        <v>Ovol1</v>
      </c>
      <c r="B15589" t="s">
        <v>14</v>
      </c>
      <c r="C15589" t="s">
        <v>10</v>
      </c>
      <c r="D15589" t="s">
        <v>11</v>
      </c>
      <c r="E15589" t="s">
        <v>12</v>
      </c>
      <c r="F15589">
        <v>5560600</v>
      </c>
      <c r="G15589">
        <v>5560617</v>
      </c>
      <c r="H15589">
        <v>5560570</v>
      </c>
      <c r="I15589">
        <v>5560582</v>
      </c>
    </row>
    <row r="15590" spans="1:9" x14ac:dyDescent="0.2">
      <c r="A15590" t="str">
        <f>"Ovol2"</f>
        <v>Ovol2</v>
      </c>
      <c r="B15590" t="s">
        <v>9</v>
      </c>
      <c r="C15590" t="s">
        <v>26</v>
      </c>
      <c r="D15590" t="s">
        <v>11</v>
      </c>
      <c r="E15590" t="s">
        <v>12</v>
      </c>
      <c r="F15590">
        <v>144332099</v>
      </c>
      <c r="G15590">
        <v>144332150</v>
      </c>
      <c r="H15590">
        <v>144332099</v>
      </c>
      <c r="I15590">
        <v>144332150</v>
      </c>
    </row>
    <row r="15591" spans="1:9" x14ac:dyDescent="0.2">
      <c r="A15591" t="str">
        <f>"Ovol2"</f>
        <v>Ovol2</v>
      </c>
      <c r="B15591" t="s">
        <v>13</v>
      </c>
      <c r="C15591" t="s">
        <v>26</v>
      </c>
      <c r="D15591" t="s">
        <v>11</v>
      </c>
      <c r="E15591" t="s">
        <v>12</v>
      </c>
      <c r="F15591">
        <v>144331073</v>
      </c>
      <c r="G15591">
        <v>144331100</v>
      </c>
      <c r="H15591">
        <v>144331073</v>
      </c>
      <c r="I15591">
        <v>144331100</v>
      </c>
    </row>
    <row r="15592" spans="1:9" x14ac:dyDescent="0.2">
      <c r="A15592" t="str">
        <f>"Oxa1l"</f>
        <v>Oxa1l</v>
      </c>
      <c r="B15592" t="s">
        <v>14</v>
      </c>
      <c r="C15592" t="s">
        <v>41</v>
      </c>
      <c r="D15592" t="s">
        <v>17</v>
      </c>
      <c r="E15592" t="s">
        <v>12</v>
      </c>
      <c r="F15592">
        <v>54360826</v>
      </c>
      <c r="G15592">
        <v>54360851</v>
      </c>
      <c r="H15592">
        <v>54360826</v>
      </c>
      <c r="I15592">
        <v>54360851</v>
      </c>
    </row>
    <row r="15593" spans="1:9" x14ac:dyDescent="0.2">
      <c r="A15593" t="str">
        <f>"Oxct1"</f>
        <v>Oxct1</v>
      </c>
      <c r="B15593" t="s">
        <v>14</v>
      </c>
      <c r="C15593" t="s">
        <v>25</v>
      </c>
      <c r="D15593" t="s">
        <v>17</v>
      </c>
      <c r="E15593" t="s">
        <v>12</v>
      </c>
      <c r="F15593">
        <v>4026612</v>
      </c>
      <c r="G15593">
        <v>4026695</v>
      </c>
      <c r="H15593">
        <v>4026696</v>
      </c>
      <c r="I15593">
        <v>4026763</v>
      </c>
    </row>
    <row r="15594" spans="1:9" x14ac:dyDescent="0.2">
      <c r="A15594" t="str">
        <f>"Oxct2a"</f>
        <v>Oxct2a</v>
      </c>
      <c r="B15594" t="s">
        <v>14</v>
      </c>
      <c r="C15594" t="s">
        <v>23</v>
      </c>
      <c r="D15594" t="s">
        <v>11</v>
      </c>
      <c r="E15594" t="s">
        <v>12</v>
      </c>
      <c r="F15594">
        <v>123323603</v>
      </c>
      <c r="G15594">
        <v>123323639</v>
      </c>
      <c r="H15594">
        <v>123323596</v>
      </c>
      <c r="I15594">
        <v>123323601</v>
      </c>
    </row>
    <row r="15595" spans="1:9" x14ac:dyDescent="0.2">
      <c r="A15595" t="str">
        <f>"Oxct2b"</f>
        <v>Oxct2b</v>
      </c>
      <c r="B15595" t="s">
        <v>14</v>
      </c>
      <c r="C15595" t="s">
        <v>23</v>
      </c>
      <c r="D15595" t="s">
        <v>17</v>
      </c>
      <c r="E15595" t="s">
        <v>12</v>
      </c>
      <c r="F15595">
        <v>123116246</v>
      </c>
      <c r="G15595">
        <v>123116265</v>
      </c>
      <c r="H15595">
        <v>123116272</v>
      </c>
      <c r="I15595">
        <v>123116277</v>
      </c>
    </row>
    <row r="15596" spans="1:9" x14ac:dyDescent="0.2">
      <c r="A15596" t="str">
        <f>"Oxgr1"</f>
        <v>Oxgr1</v>
      </c>
      <c r="B15596" t="s">
        <v>14</v>
      </c>
      <c r="C15596" t="s">
        <v>41</v>
      </c>
      <c r="D15596" t="s">
        <v>11</v>
      </c>
      <c r="E15596" t="s">
        <v>12</v>
      </c>
      <c r="F15596">
        <v>120042429</v>
      </c>
      <c r="G15596">
        <v>120042471</v>
      </c>
      <c r="H15596">
        <v>120042429</v>
      </c>
      <c r="I15596">
        <v>120042471</v>
      </c>
    </row>
    <row r="15597" spans="1:9" x14ac:dyDescent="0.2">
      <c r="A15597" t="str">
        <f>"Oxld1"</f>
        <v>Oxld1</v>
      </c>
      <c r="B15597" t="s">
        <v>14</v>
      </c>
      <c r="C15597" t="s">
        <v>27</v>
      </c>
      <c r="D15597" t="s">
        <v>11</v>
      </c>
      <c r="E15597" t="s">
        <v>67</v>
      </c>
      <c r="F15597">
        <v>120458038</v>
      </c>
      <c r="G15597">
        <v>120458082</v>
      </c>
      <c r="H15597">
        <v>120458027</v>
      </c>
      <c r="I15597">
        <v>120458036</v>
      </c>
    </row>
    <row r="15598" spans="1:9" x14ac:dyDescent="0.2">
      <c r="A15598" t="str">
        <f>"Oxnad1"</f>
        <v>Oxnad1</v>
      </c>
      <c r="B15598" t="s">
        <v>14</v>
      </c>
      <c r="C15598" t="s">
        <v>41</v>
      </c>
      <c r="D15598" t="s">
        <v>17</v>
      </c>
      <c r="E15598" t="s">
        <v>12</v>
      </c>
      <c r="F15598">
        <v>32085804</v>
      </c>
      <c r="G15598">
        <v>32085865</v>
      </c>
      <c r="H15598">
        <v>32085753</v>
      </c>
      <c r="I15598">
        <v>32085800</v>
      </c>
    </row>
    <row r="15599" spans="1:9" x14ac:dyDescent="0.2">
      <c r="A15599" t="str">
        <f>"Oxr1"</f>
        <v>Oxr1</v>
      </c>
      <c r="B15599" t="s">
        <v>5566</v>
      </c>
      <c r="C15599" t="s">
        <v>25</v>
      </c>
      <c r="D15599" t="s">
        <v>17</v>
      </c>
      <c r="E15599" t="s">
        <v>35</v>
      </c>
      <c r="F15599">
        <v>41789481</v>
      </c>
      <c r="G15599">
        <v>41789486</v>
      </c>
      <c r="H15599">
        <v>41789495</v>
      </c>
      <c r="I15599">
        <v>41789527</v>
      </c>
    </row>
    <row r="15600" spans="1:9" x14ac:dyDescent="0.2">
      <c r="A15600" t="str">
        <f>"Oxr1"</f>
        <v>Oxr1</v>
      </c>
      <c r="B15600" t="s">
        <v>5567</v>
      </c>
      <c r="C15600" t="s">
        <v>25</v>
      </c>
      <c r="D15600" t="s">
        <v>17</v>
      </c>
      <c r="E15600" t="s">
        <v>35</v>
      </c>
      <c r="F15600">
        <v>41447301</v>
      </c>
      <c r="G15600">
        <v>41447308</v>
      </c>
      <c r="H15600">
        <v>41447548</v>
      </c>
      <c r="I15600">
        <v>41447565</v>
      </c>
    </row>
    <row r="15601" spans="1:9" x14ac:dyDescent="0.2">
      <c r="A15601" t="str">
        <f>"Oxr1"</f>
        <v>Oxr1</v>
      </c>
      <c r="B15601" t="s">
        <v>5568</v>
      </c>
      <c r="C15601" t="s">
        <v>25</v>
      </c>
      <c r="D15601" t="s">
        <v>17</v>
      </c>
      <c r="E15601" t="s">
        <v>35</v>
      </c>
      <c r="F15601">
        <v>41788840</v>
      </c>
      <c r="G15601">
        <v>41788860</v>
      </c>
      <c r="H15601">
        <v>41788996</v>
      </c>
      <c r="I15601">
        <v>41789015</v>
      </c>
    </row>
    <row r="15602" spans="1:9" x14ac:dyDescent="0.2">
      <c r="A15602" t="str">
        <f>"Oxr1"</f>
        <v>Oxr1</v>
      </c>
      <c r="B15602" t="s">
        <v>5569</v>
      </c>
      <c r="C15602" t="s">
        <v>25</v>
      </c>
      <c r="D15602" t="s">
        <v>17</v>
      </c>
      <c r="E15602" t="s">
        <v>20</v>
      </c>
      <c r="F15602">
        <v>41449026</v>
      </c>
      <c r="G15602">
        <v>41449026</v>
      </c>
      <c r="H15602">
        <v>41449026</v>
      </c>
      <c r="I15602">
        <v>41449026</v>
      </c>
    </row>
    <row r="15603" spans="1:9" x14ac:dyDescent="0.2">
      <c r="A15603" t="str">
        <f>"Oxsm"</f>
        <v>Oxsm</v>
      </c>
      <c r="B15603" t="s">
        <v>9</v>
      </c>
      <c r="C15603" t="s">
        <v>41</v>
      </c>
      <c r="D15603" t="s">
        <v>11</v>
      </c>
      <c r="E15603" t="s">
        <v>12</v>
      </c>
      <c r="F15603">
        <v>16243309</v>
      </c>
      <c r="G15603">
        <v>16243344</v>
      </c>
      <c r="H15603">
        <v>16243309</v>
      </c>
      <c r="I15603">
        <v>16243344</v>
      </c>
    </row>
    <row r="15604" spans="1:9" x14ac:dyDescent="0.2">
      <c r="A15604" t="str">
        <f>"Oxsm"</f>
        <v>Oxsm</v>
      </c>
      <c r="B15604" t="s">
        <v>13</v>
      </c>
      <c r="C15604" t="s">
        <v>41</v>
      </c>
      <c r="D15604" t="s">
        <v>11</v>
      </c>
      <c r="E15604" t="s">
        <v>12</v>
      </c>
      <c r="F15604">
        <v>16249154</v>
      </c>
      <c r="G15604">
        <v>16249182</v>
      </c>
      <c r="H15604">
        <v>16249154</v>
      </c>
      <c r="I15604">
        <v>16249182</v>
      </c>
    </row>
    <row r="15605" spans="1:9" x14ac:dyDescent="0.2">
      <c r="A15605" t="str">
        <f>"Oxsr1"</f>
        <v>Oxsr1</v>
      </c>
      <c r="B15605" t="s">
        <v>14</v>
      </c>
      <c r="C15605" t="s">
        <v>24</v>
      </c>
      <c r="D15605" t="s">
        <v>11</v>
      </c>
      <c r="E15605" t="s">
        <v>12</v>
      </c>
      <c r="F15605">
        <v>119322421</v>
      </c>
      <c r="G15605">
        <v>119322449</v>
      </c>
      <c r="H15605">
        <v>119322376</v>
      </c>
      <c r="I15605">
        <v>119322417</v>
      </c>
    </row>
    <row r="15606" spans="1:9" x14ac:dyDescent="0.2">
      <c r="A15606" t="str">
        <f>"Oxt"</f>
        <v>Oxt</v>
      </c>
      <c r="B15606" t="s">
        <v>14</v>
      </c>
      <c r="C15606" t="s">
        <v>26</v>
      </c>
      <c r="D15606" t="s">
        <v>17</v>
      </c>
      <c r="E15606" t="s">
        <v>12</v>
      </c>
      <c r="F15606">
        <v>130576170</v>
      </c>
      <c r="G15606">
        <v>130576176</v>
      </c>
      <c r="H15606">
        <v>130576170</v>
      </c>
      <c r="I15606">
        <v>130576176</v>
      </c>
    </row>
    <row r="15607" spans="1:9" x14ac:dyDescent="0.2">
      <c r="A15607" t="str">
        <f>"Oxtr"</f>
        <v>Oxtr</v>
      </c>
      <c r="B15607" t="s">
        <v>14</v>
      </c>
      <c r="C15607" t="s">
        <v>32</v>
      </c>
      <c r="D15607" t="s">
        <v>11</v>
      </c>
      <c r="E15607" t="s">
        <v>12</v>
      </c>
      <c r="F15607">
        <v>112490831</v>
      </c>
      <c r="G15607">
        <v>112490844</v>
      </c>
      <c r="H15607">
        <v>112490804</v>
      </c>
      <c r="I15607">
        <v>112490829</v>
      </c>
    </row>
    <row r="15608" spans="1:9" x14ac:dyDescent="0.2">
      <c r="A15608" t="str">
        <f>"P2rx1"</f>
        <v>P2rx1</v>
      </c>
      <c r="B15608" t="s">
        <v>9</v>
      </c>
      <c r="C15608" t="s">
        <v>27</v>
      </c>
      <c r="D15608" t="s">
        <v>17</v>
      </c>
      <c r="E15608" t="s">
        <v>12</v>
      </c>
      <c r="F15608">
        <v>73009749</v>
      </c>
      <c r="G15608">
        <v>73009798</v>
      </c>
      <c r="H15608">
        <v>73009749</v>
      </c>
      <c r="I15608">
        <v>73009798</v>
      </c>
    </row>
    <row r="15609" spans="1:9" x14ac:dyDescent="0.2">
      <c r="A15609" t="str">
        <f>"P2rx1"</f>
        <v>P2rx1</v>
      </c>
      <c r="B15609" t="s">
        <v>13</v>
      </c>
      <c r="C15609" t="s">
        <v>27</v>
      </c>
      <c r="D15609" t="s">
        <v>17</v>
      </c>
      <c r="E15609" t="s">
        <v>12</v>
      </c>
      <c r="F15609">
        <v>72999069</v>
      </c>
      <c r="G15609">
        <v>72999092</v>
      </c>
      <c r="H15609">
        <v>72999069</v>
      </c>
      <c r="I15609">
        <v>72999092</v>
      </c>
    </row>
    <row r="15610" spans="1:9" x14ac:dyDescent="0.2">
      <c r="A15610" t="str">
        <f>"P2rx2"</f>
        <v>P2rx2</v>
      </c>
      <c r="B15610" t="s">
        <v>14</v>
      </c>
      <c r="C15610" t="s">
        <v>46</v>
      </c>
      <c r="D15610" t="s">
        <v>11</v>
      </c>
      <c r="E15610" t="s">
        <v>12</v>
      </c>
      <c r="F15610">
        <v>110342963</v>
      </c>
      <c r="G15610">
        <v>110343007</v>
      </c>
      <c r="H15610">
        <v>110343009</v>
      </c>
      <c r="I15610">
        <v>110343039</v>
      </c>
    </row>
    <row r="15611" spans="1:9" x14ac:dyDescent="0.2">
      <c r="A15611" t="str">
        <f>"P2rx3"</f>
        <v>P2rx3</v>
      </c>
      <c r="B15611" t="s">
        <v>14</v>
      </c>
      <c r="C15611" t="s">
        <v>26</v>
      </c>
      <c r="D15611" t="s">
        <v>11</v>
      </c>
      <c r="E15611" t="s">
        <v>12</v>
      </c>
      <c r="F15611">
        <v>85035491</v>
      </c>
      <c r="G15611">
        <v>85035506</v>
      </c>
      <c r="H15611">
        <v>85035491</v>
      </c>
      <c r="I15611">
        <v>85035506</v>
      </c>
    </row>
    <row r="15612" spans="1:9" x14ac:dyDescent="0.2">
      <c r="A15612" t="str">
        <f>"P2rx4"</f>
        <v>P2rx4</v>
      </c>
      <c r="B15612" t="s">
        <v>14</v>
      </c>
      <c r="C15612" t="s">
        <v>46</v>
      </c>
      <c r="D15612" t="s">
        <v>17</v>
      </c>
      <c r="E15612" t="s">
        <v>12</v>
      </c>
      <c r="F15612">
        <v>122707546</v>
      </c>
      <c r="G15612">
        <v>122707627</v>
      </c>
      <c r="H15612">
        <v>122707546</v>
      </c>
      <c r="I15612">
        <v>122707627</v>
      </c>
    </row>
    <row r="15613" spans="1:9" x14ac:dyDescent="0.2">
      <c r="A15613" t="str">
        <f>"P2rx5"</f>
        <v>P2rx5</v>
      </c>
      <c r="B15613" t="s">
        <v>14</v>
      </c>
      <c r="C15613" t="s">
        <v>27</v>
      </c>
      <c r="D15613" t="s">
        <v>17</v>
      </c>
      <c r="E15613" t="s">
        <v>12</v>
      </c>
      <c r="F15613">
        <v>73160308</v>
      </c>
      <c r="G15613">
        <v>73160341</v>
      </c>
      <c r="H15613">
        <v>73160403</v>
      </c>
      <c r="I15613">
        <v>73160420</v>
      </c>
    </row>
    <row r="15614" spans="1:9" x14ac:dyDescent="0.2">
      <c r="A15614" t="str">
        <f>"P2rx6"</f>
        <v>P2rx6</v>
      </c>
      <c r="B15614" t="s">
        <v>14</v>
      </c>
      <c r="C15614" t="s">
        <v>31</v>
      </c>
      <c r="D15614" t="s">
        <v>17</v>
      </c>
      <c r="E15614" t="s">
        <v>12</v>
      </c>
      <c r="F15614">
        <v>17561992</v>
      </c>
      <c r="G15614">
        <v>17562042</v>
      </c>
      <c r="H15614">
        <v>17561910</v>
      </c>
      <c r="I15614">
        <v>17561933</v>
      </c>
    </row>
    <row r="15615" spans="1:9" x14ac:dyDescent="0.2">
      <c r="A15615" t="str">
        <f>"P2rx7"</f>
        <v>P2rx7</v>
      </c>
      <c r="B15615" t="s">
        <v>14</v>
      </c>
      <c r="C15615" t="s">
        <v>46</v>
      </c>
      <c r="D15615" t="s">
        <v>17</v>
      </c>
      <c r="E15615" t="s">
        <v>12</v>
      </c>
      <c r="F15615">
        <v>122643878</v>
      </c>
      <c r="G15615">
        <v>122643984</v>
      </c>
      <c r="H15615">
        <v>122643878</v>
      </c>
      <c r="I15615">
        <v>122643984</v>
      </c>
    </row>
    <row r="15616" spans="1:9" x14ac:dyDescent="0.2">
      <c r="A15616" t="str">
        <f>"P2ry1"</f>
        <v>P2ry1</v>
      </c>
      <c r="B15616" t="s">
        <v>14</v>
      </c>
      <c r="C15616" t="s">
        <v>22</v>
      </c>
      <c r="D15616" t="s">
        <v>17</v>
      </c>
      <c r="E15616" t="s">
        <v>12</v>
      </c>
      <c r="F15616">
        <v>61002786</v>
      </c>
      <c r="G15616">
        <v>61002811</v>
      </c>
      <c r="H15616">
        <v>61002778</v>
      </c>
      <c r="I15616">
        <v>61002783</v>
      </c>
    </row>
    <row r="15617" spans="1:9" x14ac:dyDescent="0.2">
      <c r="A15617" t="str">
        <f>"P2ry10"</f>
        <v>P2ry10</v>
      </c>
      <c r="B15617" t="s">
        <v>14</v>
      </c>
      <c r="C15617" t="s">
        <v>37</v>
      </c>
      <c r="D15617" t="s">
        <v>17</v>
      </c>
      <c r="E15617" t="s">
        <v>12</v>
      </c>
      <c r="F15617">
        <v>107089342</v>
      </c>
      <c r="G15617">
        <v>107089383</v>
      </c>
      <c r="H15617">
        <v>107089386</v>
      </c>
      <c r="I15617">
        <v>107089409</v>
      </c>
    </row>
    <row r="15618" spans="1:9" x14ac:dyDescent="0.2">
      <c r="A15618" t="str">
        <f>"P2ry12"</f>
        <v>P2ry12</v>
      </c>
      <c r="B15618" t="s">
        <v>14</v>
      </c>
      <c r="C15618" t="s">
        <v>22</v>
      </c>
      <c r="D15618" t="s">
        <v>11</v>
      </c>
      <c r="E15618" t="s">
        <v>12</v>
      </c>
      <c r="F15618">
        <v>59262825</v>
      </c>
      <c r="G15618">
        <v>59262851</v>
      </c>
      <c r="H15618">
        <v>59262825</v>
      </c>
      <c r="I15618">
        <v>59262851</v>
      </c>
    </row>
    <row r="15619" spans="1:9" x14ac:dyDescent="0.2">
      <c r="A15619" t="str">
        <f>"P2ry13"</f>
        <v>P2ry13</v>
      </c>
      <c r="B15619" t="s">
        <v>14</v>
      </c>
      <c r="C15619" t="s">
        <v>22</v>
      </c>
      <c r="D15619" t="s">
        <v>11</v>
      </c>
      <c r="E15619" t="s">
        <v>12</v>
      </c>
      <c r="F15619">
        <v>59210881</v>
      </c>
      <c r="G15619">
        <v>59210883</v>
      </c>
      <c r="H15619">
        <v>59210881</v>
      </c>
      <c r="I15619">
        <v>59210883</v>
      </c>
    </row>
    <row r="15620" spans="1:9" x14ac:dyDescent="0.2">
      <c r="A15620" t="str">
        <f>"P2ry14"</f>
        <v>P2ry14</v>
      </c>
      <c r="B15620" t="s">
        <v>14</v>
      </c>
      <c r="C15620" t="s">
        <v>22</v>
      </c>
      <c r="D15620" t="s">
        <v>11</v>
      </c>
      <c r="E15620" t="s">
        <v>12</v>
      </c>
      <c r="F15620">
        <v>59130610</v>
      </c>
      <c r="G15620">
        <v>59130628</v>
      </c>
      <c r="H15620">
        <v>59130574</v>
      </c>
      <c r="I15620">
        <v>59130603</v>
      </c>
    </row>
    <row r="15621" spans="1:9" x14ac:dyDescent="0.2">
      <c r="A15621" t="str">
        <f>"P2ry2"</f>
        <v>P2ry2</v>
      </c>
      <c r="B15621" t="s">
        <v>14</v>
      </c>
      <c r="C15621" t="s">
        <v>33</v>
      </c>
      <c r="D15621" t="s">
        <v>11</v>
      </c>
      <c r="E15621" t="s">
        <v>12</v>
      </c>
      <c r="F15621">
        <v>101011984</v>
      </c>
      <c r="G15621">
        <v>101012004</v>
      </c>
      <c r="H15621">
        <v>101011984</v>
      </c>
      <c r="I15621">
        <v>101012004</v>
      </c>
    </row>
    <row r="15622" spans="1:9" x14ac:dyDescent="0.2">
      <c r="A15622" t="str">
        <f>"P2ry4"</f>
        <v>P2ry4</v>
      </c>
      <c r="B15622" t="s">
        <v>14</v>
      </c>
      <c r="C15622" t="s">
        <v>37</v>
      </c>
      <c r="D15622" t="s">
        <v>11</v>
      </c>
      <c r="E15622" t="s">
        <v>12</v>
      </c>
      <c r="F15622">
        <v>100594860</v>
      </c>
      <c r="G15622">
        <v>100594876</v>
      </c>
      <c r="H15622">
        <v>100594826</v>
      </c>
      <c r="I15622">
        <v>100594835</v>
      </c>
    </row>
    <row r="15623" spans="1:9" x14ac:dyDescent="0.2">
      <c r="A15623" t="str">
        <f>"P2ry6"</f>
        <v>P2ry6</v>
      </c>
      <c r="B15623" t="s">
        <v>14</v>
      </c>
      <c r="C15623" t="s">
        <v>33</v>
      </c>
      <c r="D15623" t="s">
        <v>11</v>
      </c>
      <c r="E15623" t="s">
        <v>12</v>
      </c>
      <c r="F15623">
        <v>100964306</v>
      </c>
      <c r="G15623">
        <v>100964341</v>
      </c>
      <c r="H15623">
        <v>100964371</v>
      </c>
      <c r="I15623">
        <v>100964395</v>
      </c>
    </row>
    <row r="15624" spans="1:9" x14ac:dyDescent="0.2">
      <c r="A15624" t="str">
        <f>"P4ha1"</f>
        <v>P4ha1</v>
      </c>
      <c r="B15624" t="s">
        <v>14</v>
      </c>
      <c r="C15624" t="s">
        <v>15</v>
      </c>
      <c r="D15624" t="s">
        <v>17</v>
      </c>
      <c r="E15624" t="s">
        <v>12</v>
      </c>
      <c r="F15624">
        <v>59323357</v>
      </c>
      <c r="G15624">
        <v>59323374</v>
      </c>
      <c r="H15624">
        <v>59323259</v>
      </c>
      <c r="I15624">
        <v>59323279</v>
      </c>
    </row>
    <row r="15625" spans="1:9" x14ac:dyDescent="0.2">
      <c r="A15625" t="str">
        <f>"P4ha2"</f>
        <v>P4ha2</v>
      </c>
      <c r="B15625" t="s">
        <v>9</v>
      </c>
      <c r="C15625" t="s">
        <v>27</v>
      </c>
      <c r="D15625" t="s">
        <v>17</v>
      </c>
      <c r="E15625" t="s">
        <v>12</v>
      </c>
      <c r="F15625">
        <v>54100969</v>
      </c>
      <c r="G15625">
        <v>54101025</v>
      </c>
      <c r="H15625">
        <v>54100969</v>
      </c>
      <c r="I15625">
        <v>54101025</v>
      </c>
    </row>
    <row r="15626" spans="1:9" x14ac:dyDescent="0.2">
      <c r="A15626" t="str">
        <f>"P4ha2"</f>
        <v>P4ha2</v>
      </c>
      <c r="B15626" t="s">
        <v>13</v>
      </c>
      <c r="C15626" t="s">
        <v>27</v>
      </c>
      <c r="D15626" t="s">
        <v>17</v>
      </c>
      <c r="E15626" t="s">
        <v>12</v>
      </c>
      <c r="F15626">
        <v>54113180</v>
      </c>
      <c r="G15626">
        <v>54113218</v>
      </c>
      <c r="H15626">
        <v>54113180</v>
      </c>
      <c r="I15626">
        <v>54113218</v>
      </c>
    </row>
    <row r="15627" spans="1:9" x14ac:dyDescent="0.2">
      <c r="A15627" t="str">
        <f>"P4ha3"</f>
        <v>P4ha3</v>
      </c>
      <c r="B15627" t="s">
        <v>14</v>
      </c>
      <c r="C15627" t="s">
        <v>33</v>
      </c>
      <c r="D15627" t="s">
        <v>17</v>
      </c>
      <c r="E15627" t="s">
        <v>12</v>
      </c>
      <c r="F15627">
        <v>100285478</v>
      </c>
      <c r="G15627">
        <v>100285564</v>
      </c>
      <c r="H15627">
        <v>100285605</v>
      </c>
      <c r="I15627">
        <v>100285619</v>
      </c>
    </row>
    <row r="15628" spans="1:9" x14ac:dyDescent="0.2">
      <c r="A15628" t="str">
        <f>"P4hb"</f>
        <v>P4hb</v>
      </c>
      <c r="B15628" t="s">
        <v>14</v>
      </c>
      <c r="C15628" t="s">
        <v>27</v>
      </c>
      <c r="D15628" t="s">
        <v>11</v>
      </c>
      <c r="E15628" t="s">
        <v>12</v>
      </c>
      <c r="F15628">
        <v>120572864</v>
      </c>
      <c r="G15628">
        <v>120572881</v>
      </c>
      <c r="H15628">
        <v>120572822</v>
      </c>
      <c r="I15628">
        <v>120572842</v>
      </c>
    </row>
    <row r="15629" spans="1:9" x14ac:dyDescent="0.2">
      <c r="A15629" t="str">
        <f>"P4htm"</f>
        <v>P4htm</v>
      </c>
      <c r="B15629" t="s">
        <v>14</v>
      </c>
      <c r="C15629" t="s">
        <v>24</v>
      </c>
      <c r="D15629" t="s">
        <v>11</v>
      </c>
      <c r="E15629" t="s">
        <v>12</v>
      </c>
      <c r="F15629">
        <v>108597558</v>
      </c>
      <c r="G15629">
        <v>108597604</v>
      </c>
      <c r="H15629">
        <v>108597558</v>
      </c>
      <c r="I15629">
        <v>108597604</v>
      </c>
    </row>
    <row r="15630" spans="1:9" x14ac:dyDescent="0.2">
      <c r="A15630" t="str">
        <f>"PLA2G4B"</f>
        <v>PLA2G4B</v>
      </c>
      <c r="B15630" t="s">
        <v>5570</v>
      </c>
      <c r="C15630" t="s">
        <v>26</v>
      </c>
      <c r="D15630" t="s">
        <v>17</v>
      </c>
      <c r="E15630" t="s">
        <v>35</v>
      </c>
      <c r="F15630">
        <v>120033403</v>
      </c>
      <c r="G15630">
        <v>120033410</v>
      </c>
      <c r="H15630">
        <v>120033453</v>
      </c>
      <c r="I15630">
        <v>120033466</v>
      </c>
    </row>
    <row r="15631" spans="1:9" x14ac:dyDescent="0.2">
      <c r="A15631" t="str">
        <f>"POU6F1"</f>
        <v>POU6F1</v>
      </c>
      <c r="B15631" t="s">
        <v>5571</v>
      </c>
      <c r="C15631" t="s">
        <v>25</v>
      </c>
      <c r="D15631" t="s">
        <v>11</v>
      </c>
      <c r="E15631" t="s">
        <v>20</v>
      </c>
      <c r="F15631">
        <v>100584074</v>
      </c>
      <c r="G15631">
        <v>100584074</v>
      </c>
      <c r="H15631">
        <v>100584074</v>
      </c>
      <c r="I15631">
        <v>100584074</v>
      </c>
    </row>
    <row r="15632" spans="1:9" x14ac:dyDescent="0.2">
      <c r="A15632" t="str">
        <f>"PRND"</f>
        <v>PRND</v>
      </c>
      <c r="B15632" t="s">
        <v>14</v>
      </c>
      <c r="C15632" t="s">
        <v>26</v>
      </c>
      <c r="D15632" t="s">
        <v>17</v>
      </c>
      <c r="E15632" t="s">
        <v>67</v>
      </c>
      <c r="F15632">
        <v>131909951</v>
      </c>
      <c r="G15632">
        <v>131909979</v>
      </c>
      <c r="H15632">
        <v>131909951</v>
      </c>
      <c r="I15632">
        <v>131909979</v>
      </c>
    </row>
    <row r="15633" spans="1:9" x14ac:dyDescent="0.2">
      <c r="A15633" t="str">
        <f>"PYURF"</f>
        <v>PYURF</v>
      </c>
      <c r="B15633" t="s">
        <v>14</v>
      </c>
      <c r="C15633" t="s">
        <v>32</v>
      </c>
      <c r="D15633" t="s">
        <v>11</v>
      </c>
      <c r="E15633" t="s">
        <v>67</v>
      </c>
      <c r="F15633">
        <v>57692007</v>
      </c>
      <c r="G15633">
        <v>57692084</v>
      </c>
      <c r="H15633">
        <v>57692007</v>
      </c>
      <c r="I15633">
        <v>57692084</v>
      </c>
    </row>
    <row r="15634" spans="1:9" x14ac:dyDescent="0.2">
      <c r="A15634" t="str">
        <f>"Pa2g4"</f>
        <v>Pa2g4</v>
      </c>
      <c r="B15634" t="s">
        <v>14</v>
      </c>
      <c r="C15634" t="s">
        <v>15</v>
      </c>
      <c r="D15634" t="s">
        <v>11</v>
      </c>
      <c r="E15634" t="s">
        <v>12</v>
      </c>
      <c r="F15634">
        <v>128565904</v>
      </c>
      <c r="G15634">
        <v>128565999</v>
      </c>
      <c r="H15634">
        <v>128566004</v>
      </c>
      <c r="I15634">
        <v>128566019</v>
      </c>
    </row>
    <row r="15635" spans="1:9" x14ac:dyDescent="0.2">
      <c r="A15635" t="str">
        <f>"Pabpc1"</f>
        <v>Pabpc1</v>
      </c>
      <c r="B15635" t="s">
        <v>14</v>
      </c>
      <c r="C15635" t="s">
        <v>25</v>
      </c>
      <c r="D15635" t="s">
        <v>11</v>
      </c>
      <c r="E15635" t="s">
        <v>12</v>
      </c>
      <c r="F15635">
        <v>36608959</v>
      </c>
      <c r="G15635">
        <v>36608983</v>
      </c>
      <c r="H15635">
        <v>36608959</v>
      </c>
      <c r="I15635">
        <v>36608983</v>
      </c>
    </row>
    <row r="15636" spans="1:9" x14ac:dyDescent="0.2">
      <c r="A15636" t="str">
        <f>"Pabpc1l"</f>
        <v>Pabpc1l</v>
      </c>
      <c r="B15636" t="s">
        <v>14</v>
      </c>
      <c r="C15636" t="s">
        <v>26</v>
      </c>
      <c r="D15636" t="s">
        <v>17</v>
      </c>
      <c r="E15636" t="s">
        <v>12</v>
      </c>
      <c r="F15636">
        <v>164047345</v>
      </c>
      <c r="G15636">
        <v>164047401</v>
      </c>
      <c r="H15636">
        <v>164047345</v>
      </c>
      <c r="I15636">
        <v>164047401</v>
      </c>
    </row>
    <row r="15637" spans="1:9" x14ac:dyDescent="0.2">
      <c r="A15637" t="str">
        <f>"Pabpc2"</f>
        <v>Pabpc2</v>
      </c>
      <c r="B15637" t="s">
        <v>14</v>
      </c>
      <c r="C15637" t="s">
        <v>43</v>
      </c>
      <c r="D15637" t="s">
        <v>17</v>
      </c>
      <c r="E15637" t="s">
        <v>12</v>
      </c>
      <c r="F15637">
        <v>39773505</v>
      </c>
      <c r="G15637">
        <v>39773576</v>
      </c>
      <c r="H15637">
        <v>39773578</v>
      </c>
      <c r="I15637">
        <v>39773594</v>
      </c>
    </row>
    <row r="15638" spans="1:9" x14ac:dyDescent="0.2">
      <c r="A15638" t="str">
        <f>"Pabpc4"</f>
        <v>Pabpc4</v>
      </c>
      <c r="B15638" t="s">
        <v>14</v>
      </c>
      <c r="C15638" t="s">
        <v>23</v>
      </c>
      <c r="D15638" t="s">
        <v>17</v>
      </c>
      <c r="E15638" t="s">
        <v>12</v>
      </c>
      <c r="F15638">
        <v>123282678</v>
      </c>
      <c r="G15638">
        <v>123282734</v>
      </c>
      <c r="H15638">
        <v>123282778</v>
      </c>
      <c r="I15638">
        <v>123282795</v>
      </c>
    </row>
    <row r="15639" spans="1:9" x14ac:dyDescent="0.2">
      <c r="A15639" t="str">
        <f>"Pabpc4l"</f>
        <v>Pabpc4l</v>
      </c>
      <c r="B15639" t="s">
        <v>14</v>
      </c>
      <c r="C15639" t="s">
        <v>22</v>
      </c>
      <c r="D15639" t="s">
        <v>11</v>
      </c>
      <c r="E15639" t="s">
        <v>12</v>
      </c>
      <c r="F15639">
        <v>46447939</v>
      </c>
      <c r="G15639">
        <v>46447980</v>
      </c>
      <c r="H15639">
        <v>46447848</v>
      </c>
      <c r="I15639">
        <v>46447883</v>
      </c>
    </row>
    <row r="15640" spans="1:9" x14ac:dyDescent="0.2">
      <c r="A15640" t="str">
        <f>"Pabpc5"</f>
        <v>Pabpc5</v>
      </c>
      <c r="B15640" t="s">
        <v>14</v>
      </c>
      <c r="C15640" t="s">
        <v>37</v>
      </c>
      <c r="D15640" t="s">
        <v>17</v>
      </c>
      <c r="E15640" t="s">
        <v>12</v>
      </c>
      <c r="F15640">
        <v>119927206</v>
      </c>
      <c r="G15640">
        <v>119927226</v>
      </c>
      <c r="H15640">
        <v>119927237</v>
      </c>
      <c r="I15640">
        <v>119927246</v>
      </c>
    </row>
    <row r="15641" spans="1:9" x14ac:dyDescent="0.2">
      <c r="A15641" t="str">
        <f>"Pabpc6"</f>
        <v>Pabpc6</v>
      </c>
      <c r="B15641" t="s">
        <v>14</v>
      </c>
      <c r="C15641" t="s">
        <v>28</v>
      </c>
      <c r="D15641" t="s">
        <v>11</v>
      </c>
      <c r="E15641" t="s">
        <v>12</v>
      </c>
      <c r="F15641">
        <v>9669668</v>
      </c>
      <c r="G15641">
        <v>9669705</v>
      </c>
      <c r="H15641">
        <v>9669649</v>
      </c>
      <c r="I15641">
        <v>9669663</v>
      </c>
    </row>
    <row r="15642" spans="1:9" x14ac:dyDescent="0.2">
      <c r="A15642" t="str">
        <f>"Pabpn1"</f>
        <v>Pabpn1</v>
      </c>
      <c r="B15642" t="s">
        <v>14</v>
      </c>
      <c r="C15642" t="s">
        <v>41</v>
      </c>
      <c r="D15642" t="s">
        <v>17</v>
      </c>
      <c r="E15642" t="s">
        <v>12</v>
      </c>
      <c r="F15642">
        <v>54894133</v>
      </c>
      <c r="G15642">
        <v>54894153</v>
      </c>
      <c r="H15642">
        <v>54894578</v>
      </c>
      <c r="I15642">
        <v>54894627</v>
      </c>
    </row>
    <row r="15643" spans="1:9" x14ac:dyDescent="0.2">
      <c r="A15643" t="str">
        <f>"Pabpn1l"</f>
        <v>Pabpn1l</v>
      </c>
      <c r="B15643" t="s">
        <v>14</v>
      </c>
      <c r="C15643" t="s">
        <v>30</v>
      </c>
      <c r="D15643" t="s">
        <v>11</v>
      </c>
      <c r="E15643" t="s">
        <v>12</v>
      </c>
      <c r="F15643">
        <v>122622743</v>
      </c>
      <c r="G15643">
        <v>122622748</v>
      </c>
      <c r="H15643">
        <v>122622743</v>
      </c>
      <c r="I15643">
        <v>122622748</v>
      </c>
    </row>
    <row r="15644" spans="1:9" x14ac:dyDescent="0.2">
      <c r="A15644" t="str">
        <f>"Pacrg"</f>
        <v>Pacrg</v>
      </c>
      <c r="B15644" t="s">
        <v>14</v>
      </c>
      <c r="C15644" t="s">
        <v>28</v>
      </c>
      <c r="D15644" t="s">
        <v>11</v>
      </c>
      <c r="E15644" t="s">
        <v>12</v>
      </c>
      <c r="F15644">
        <v>10840125</v>
      </c>
      <c r="G15644">
        <v>10840197</v>
      </c>
      <c r="H15644">
        <v>10840106</v>
      </c>
      <c r="I15644">
        <v>10840120</v>
      </c>
    </row>
    <row r="15645" spans="1:9" x14ac:dyDescent="0.2">
      <c r="A15645" t="str">
        <f>"Pacrgl"</f>
        <v>Pacrgl</v>
      </c>
      <c r="B15645" t="s">
        <v>14</v>
      </c>
      <c r="C15645" t="s">
        <v>46</v>
      </c>
      <c r="D15645" t="s">
        <v>17</v>
      </c>
      <c r="E15645" t="s">
        <v>12</v>
      </c>
      <c r="F15645">
        <v>48372363</v>
      </c>
      <c r="G15645">
        <v>48372420</v>
      </c>
      <c r="H15645">
        <v>48372339</v>
      </c>
      <c r="I15645">
        <v>48372362</v>
      </c>
    </row>
    <row r="15646" spans="1:9" x14ac:dyDescent="0.2">
      <c r="A15646" t="str">
        <f>"Pacs1"</f>
        <v>Pacs1</v>
      </c>
      <c r="B15646" t="s">
        <v>14</v>
      </c>
      <c r="C15646" t="s">
        <v>10</v>
      </c>
      <c r="D15646" t="s">
        <v>11</v>
      </c>
      <c r="E15646" t="s">
        <v>12</v>
      </c>
      <c r="F15646">
        <v>5273080</v>
      </c>
      <c r="G15646">
        <v>5273129</v>
      </c>
      <c r="H15646">
        <v>5273007</v>
      </c>
      <c r="I15646">
        <v>5273037</v>
      </c>
    </row>
    <row r="15647" spans="1:9" x14ac:dyDescent="0.2">
      <c r="A15647" t="str">
        <f>"Pacs2"</f>
        <v>Pacs2</v>
      </c>
      <c r="B15647" t="s">
        <v>14</v>
      </c>
      <c r="C15647" t="s">
        <v>16</v>
      </c>
      <c r="D15647" t="s">
        <v>17</v>
      </c>
      <c r="E15647" t="s">
        <v>12</v>
      </c>
      <c r="F15647">
        <v>113014385</v>
      </c>
      <c r="G15647">
        <v>113014470</v>
      </c>
      <c r="H15647">
        <v>113014515</v>
      </c>
      <c r="I15647">
        <v>113014539</v>
      </c>
    </row>
    <row r="15648" spans="1:9" x14ac:dyDescent="0.2">
      <c r="A15648" t="str">
        <f>"Pacsin1"</f>
        <v>Pacsin1</v>
      </c>
      <c r="B15648" t="s">
        <v>9</v>
      </c>
      <c r="C15648" t="s">
        <v>28</v>
      </c>
      <c r="D15648" t="s">
        <v>17</v>
      </c>
      <c r="E15648" t="s">
        <v>12</v>
      </c>
      <c r="F15648">
        <v>27655572</v>
      </c>
      <c r="G15648">
        <v>27655622</v>
      </c>
      <c r="H15648">
        <v>27655572</v>
      </c>
      <c r="I15648">
        <v>27655622</v>
      </c>
    </row>
    <row r="15649" spans="1:9" x14ac:dyDescent="0.2">
      <c r="A15649" t="str">
        <f>"Pacsin1"</f>
        <v>Pacsin1</v>
      </c>
      <c r="B15649" t="s">
        <v>13</v>
      </c>
      <c r="C15649" t="s">
        <v>28</v>
      </c>
      <c r="D15649" t="s">
        <v>17</v>
      </c>
      <c r="E15649" t="s">
        <v>12</v>
      </c>
      <c r="F15649">
        <v>27685218</v>
      </c>
      <c r="G15649">
        <v>27685233</v>
      </c>
      <c r="H15649">
        <v>27685218</v>
      </c>
      <c r="I15649">
        <v>27685233</v>
      </c>
    </row>
    <row r="15650" spans="1:9" x14ac:dyDescent="0.2">
      <c r="A15650" t="str">
        <f>"Pacsin2"</f>
        <v>Pacsin2</v>
      </c>
      <c r="B15650" t="s">
        <v>14</v>
      </c>
      <c r="C15650" t="s">
        <v>25</v>
      </c>
      <c r="D15650" t="s">
        <v>11</v>
      </c>
      <c r="E15650" t="s">
        <v>12</v>
      </c>
      <c r="F15650">
        <v>83464576</v>
      </c>
      <c r="G15650">
        <v>83464591</v>
      </c>
      <c r="H15650">
        <v>83464595</v>
      </c>
      <c r="I15650">
        <v>83464614</v>
      </c>
    </row>
    <row r="15651" spans="1:9" x14ac:dyDescent="0.2">
      <c r="A15651" t="str">
        <f>"Pacsin3"</f>
        <v>Pacsin3</v>
      </c>
      <c r="B15651" t="s">
        <v>9</v>
      </c>
      <c r="C15651" t="s">
        <v>26</v>
      </c>
      <c r="D15651" t="s">
        <v>17</v>
      </c>
      <c r="E15651" t="s">
        <v>12</v>
      </c>
      <c r="F15651">
        <v>91256828</v>
      </c>
      <c r="G15651">
        <v>91256877</v>
      </c>
      <c r="H15651">
        <v>91256828</v>
      </c>
      <c r="I15651">
        <v>91256877</v>
      </c>
    </row>
    <row r="15652" spans="1:9" x14ac:dyDescent="0.2">
      <c r="A15652" t="str">
        <f>"Pacsin3"</f>
        <v>Pacsin3</v>
      </c>
      <c r="B15652" t="s">
        <v>13</v>
      </c>
      <c r="C15652" t="s">
        <v>26</v>
      </c>
      <c r="D15652" t="s">
        <v>17</v>
      </c>
      <c r="E15652" t="s">
        <v>12</v>
      </c>
      <c r="F15652">
        <v>91259822</v>
      </c>
      <c r="G15652">
        <v>91259860</v>
      </c>
      <c r="H15652">
        <v>91259822</v>
      </c>
      <c r="I15652">
        <v>91259860</v>
      </c>
    </row>
    <row r="15653" spans="1:9" x14ac:dyDescent="0.2">
      <c r="A15653" t="str">
        <f>"Padi1"</f>
        <v>Padi1</v>
      </c>
      <c r="B15653" t="s">
        <v>14</v>
      </c>
      <c r="C15653" t="s">
        <v>23</v>
      </c>
      <c r="D15653" t="s">
        <v>11</v>
      </c>
      <c r="E15653" t="s">
        <v>12</v>
      </c>
      <c r="F15653">
        <v>140845770</v>
      </c>
      <c r="G15653">
        <v>140845785</v>
      </c>
      <c r="H15653">
        <v>140845770</v>
      </c>
      <c r="I15653">
        <v>140845785</v>
      </c>
    </row>
    <row r="15654" spans="1:9" x14ac:dyDescent="0.2">
      <c r="A15654" t="str">
        <f>"Padi2"</f>
        <v>Padi2</v>
      </c>
      <c r="B15654" t="s">
        <v>9</v>
      </c>
      <c r="C15654" t="s">
        <v>23</v>
      </c>
      <c r="D15654" t="s">
        <v>17</v>
      </c>
      <c r="E15654" t="s">
        <v>12</v>
      </c>
      <c r="F15654">
        <v>140906364</v>
      </c>
      <c r="G15654">
        <v>140906382</v>
      </c>
      <c r="H15654">
        <v>140906364</v>
      </c>
      <c r="I15654">
        <v>140906382</v>
      </c>
    </row>
    <row r="15655" spans="1:9" x14ac:dyDescent="0.2">
      <c r="A15655" t="str">
        <f>"Padi2"</f>
        <v>Padi2</v>
      </c>
      <c r="B15655" t="s">
        <v>13</v>
      </c>
      <c r="C15655" t="s">
        <v>23</v>
      </c>
      <c r="D15655" t="s">
        <v>17</v>
      </c>
      <c r="E15655" t="s">
        <v>12</v>
      </c>
      <c r="F15655">
        <v>140924288</v>
      </c>
      <c r="G15655">
        <v>140924311</v>
      </c>
      <c r="H15655">
        <v>140924288</v>
      </c>
      <c r="I15655">
        <v>140924311</v>
      </c>
    </row>
    <row r="15656" spans="1:9" x14ac:dyDescent="0.2">
      <c r="A15656" t="str">
        <f>"Padi3"</f>
        <v>Padi3</v>
      </c>
      <c r="B15656" t="s">
        <v>14</v>
      </c>
      <c r="C15656" t="s">
        <v>23</v>
      </c>
      <c r="D15656" t="s">
        <v>11</v>
      </c>
      <c r="E15656" t="s">
        <v>12</v>
      </c>
      <c r="F15656">
        <v>140810646</v>
      </c>
      <c r="G15656">
        <v>140810649</v>
      </c>
      <c r="H15656">
        <v>140810646</v>
      </c>
      <c r="I15656">
        <v>140810649</v>
      </c>
    </row>
    <row r="15657" spans="1:9" x14ac:dyDescent="0.2">
      <c r="A15657" t="str">
        <f>"Padi4"</f>
        <v>Padi4</v>
      </c>
      <c r="B15657" t="s">
        <v>9</v>
      </c>
      <c r="C15657" t="s">
        <v>23</v>
      </c>
      <c r="D15657" t="s">
        <v>11</v>
      </c>
      <c r="E15657" t="s">
        <v>12</v>
      </c>
      <c r="F15657">
        <v>140774196</v>
      </c>
      <c r="G15657">
        <v>140774212</v>
      </c>
      <c r="H15657">
        <v>140774196</v>
      </c>
      <c r="I15657">
        <v>140774212</v>
      </c>
    </row>
    <row r="15658" spans="1:9" x14ac:dyDescent="0.2">
      <c r="A15658" t="str">
        <f>"Padi4"</f>
        <v>Padi4</v>
      </c>
      <c r="B15658" t="s">
        <v>13</v>
      </c>
      <c r="C15658" t="s">
        <v>23</v>
      </c>
      <c r="D15658" t="s">
        <v>11</v>
      </c>
      <c r="E15658" t="s">
        <v>12</v>
      </c>
      <c r="F15658">
        <v>140750569</v>
      </c>
      <c r="G15658">
        <v>140750587</v>
      </c>
      <c r="H15658">
        <v>140750569</v>
      </c>
      <c r="I15658">
        <v>140750587</v>
      </c>
    </row>
    <row r="15659" spans="1:9" x14ac:dyDescent="0.2">
      <c r="A15659" t="str">
        <f>"Padi6"</f>
        <v>Padi6</v>
      </c>
      <c r="B15659" t="s">
        <v>14</v>
      </c>
      <c r="C15659" t="s">
        <v>23</v>
      </c>
      <c r="D15659" t="s">
        <v>11</v>
      </c>
      <c r="E15659" t="s">
        <v>12</v>
      </c>
      <c r="F15659">
        <v>140742639</v>
      </c>
      <c r="G15659">
        <v>140742644</v>
      </c>
      <c r="H15659">
        <v>140742639</v>
      </c>
      <c r="I15659">
        <v>140742644</v>
      </c>
    </row>
    <row r="15660" spans="1:9" x14ac:dyDescent="0.2">
      <c r="A15660" t="str">
        <f>"Paf1"</f>
        <v>Paf1</v>
      </c>
      <c r="B15660" t="s">
        <v>9</v>
      </c>
      <c r="C15660" t="s">
        <v>33</v>
      </c>
      <c r="D15660" t="s">
        <v>17</v>
      </c>
      <c r="E15660" t="s">
        <v>12</v>
      </c>
      <c r="F15660">
        <v>28392916</v>
      </c>
      <c r="G15660">
        <v>28393013</v>
      </c>
      <c r="H15660">
        <v>28392916</v>
      </c>
      <c r="I15660">
        <v>28393013</v>
      </c>
    </row>
    <row r="15661" spans="1:9" x14ac:dyDescent="0.2">
      <c r="A15661" t="str">
        <f>"Paf1"</f>
        <v>Paf1</v>
      </c>
      <c r="B15661" t="s">
        <v>13</v>
      </c>
      <c r="C15661" t="s">
        <v>33</v>
      </c>
      <c r="D15661" t="s">
        <v>17</v>
      </c>
      <c r="E15661" t="s">
        <v>12</v>
      </c>
      <c r="F15661">
        <v>28398465</v>
      </c>
      <c r="G15661">
        <v>28398497</v>
      </c>
      <c r="H15661">
        <v>28398465</v>
      </c>
      <c r="I15661">
        <v>28398497</v>
      </c>
    </row>
    <row r="15662" spans="1:9" x14ac:dyDescent="0.2">
      <c r="A15662" t="str">
        <f>"Pafah1b1"</f>
        <v>Pafah1b1</v>
      </c>
      <c r="B15662" t="s">
        <v>14</v>
      </c>
      <c r="C15662" t="s">
        <v>27</v>
      </c>
      <c r="D15662" t="s">
        <v>11</v>
      </c>
      <c r="E15662" t="s">
        <v>12</v>
      </c>
      <c r="F15662">
        <v>74724332</v>
      </c>
      <c r="G15662">
        <v>74724393</v>
      </c>
      <c r="H15662">
        <v>74724305</v>
      </c>
      <c r="I15662">
        <v>74724329</v>
      </c>
    </row>
    <row r="15663" spans="1:9" x14ac:dyDescent="0.2">
      <c r="A15663" t="str">
        <f>"Pafah1b2"</f>
        <v>Pafah1b2</v>
      </c>
      <c r="B15663" t="s">
        <v>14</v>
      </c>
      <c r="C15663" t="s">
        <v>24</v>
      </c>
      <c r="D15663" t="s">
        <v>11</v>
      </c>
      <c r="E15663" t="s">
        <v>12</v>
      </c>
      <c r="F15663">
        <v>45984816</v>
      </c>
      <c r="G15663">
        <v>45984855</v>
      </c>
      <c r="H15663">
        <v>45984777</v>
      </c>
      <c r="I15663">
        <v>45984808</v>
      </c>
    </row>
    <row r="15664" spans="1:9" x14ac:dyDescent="0.2">
      <c r="A15664" t="str">
        <f>"Pafah1b3"</f>
        <v>Pafah1b3</v>
      </c>
      <c r="B15664" t="s">
        <v>14</v>
      </c>
      <c r="C15664" t="s">
        <v>33</v>
      </c>
      <c r="D15664" t="s">
        <v>11</v>
      </c>
      <c r="E15664" t="s">
        <v>12</v>
      </c>
      <c r="F15664">
        <v>25297866</v>
      </c>
      <c r="G15664">
        <v>25297958</v>
      </c>
      <c r="H15664">
        <v>25297967</v>
      </c>
      <c r="I15664">
        <v>25298005</v>
      </c>
    </row>
    <row r="15665" spans="1:9" x14ac:dyDescent="0.2">
      <c r="A15665" t="str">
        <f>"Pafah2"</f>
        <v>Pafah2</v>
      </c>
      <c r="B15665" t="s">
        <v>9</v>
      </c>
      <c r="C15665" t="s">
        <v>23</v>
      </c>
      <c r="D15665" t="s">
        <v>17</v>
      </c>
      <c r="E15665" t="s">
        <v>12</v>
      </c>
      <c r="F15665">
        <v>134396359</v>
      </c>
      <c r="G15665">
        <v>134396409</v>
      </c>
      <c r="H15665">
        <v>134396359</v>
      </c>
      <c r="I15665">
        <v>134396409</v>
      </c>
    </row>
    <row r="15666" spans="1:9" x14ac:dyDescent="0.2">
      <c r="A15666" t="str">
        <f>"Pafah2"</f>
        <v>Pafah2</v>
      </c>
      <c r="B15666" t="s">
        <v>13</v>
      </c>
      <c r="C15666" t="s">
        <v>23</v>
      </c>
      <c r="D15666" t="s">
        <v>17</v>
      </c>
      <c r="E15666" t="s">
        <v>12</v>
      </c>
      <c r="F15666">
        <v>134397380</v>
      </c>
      <c r="G15666">
        <v>134397400</v>
      </c>
      <c r="H15666">
        <v>134397380</v>
      </c>
      <c r="I15666">
        <v>134397400</v>
      </c>
    </row>
    <row r="15667" spans="1:9" x14ac:dyDescent="0.2">
      <c r="A15667" t="str">
        <f>"Pag1"</f>
        <v>Pag1</v>
      </c>
      <c r="B15667" t="s">
        <v>14</v>
      </c>
      <c r="C15667" t="s">
        <v>22</v>
      </c>
      <c r="D15667" t="s">
        <v>11</v>
      </c>
      <c r="E15667" t="s">
        <v>12</v>
      </c>
      <c r="F15667">
        <v>9833617</v>
      </c>
      <c r="G15667">
        <v>9833638</v>
      </c>
      <c r="H15667">
        <v>9833596</v>
      </c>
      <c r="I15667">
        <v>9833611</v>
      </c>
    </row>
    <row r="15668" spans="1:9" x14ac:dyDescent="0.2">
      <c r="A15668" t="str">
        <f>"Pagr1a"</f>
        <v>Pagr1a</v>
      </c>
      <c r="B15668" t="s">
        <v>5572</v>
      </c>
      <c r="C15668" t="s">
        <v>33</v>
      </c>
      <c r="D15668" t="s">
        <v>11</v>
      </c>
      <c r="E15668" t="s">
        <v>35</v>
      </c>
      <c r="F15668">
        <v>127020321</v>
      </c>
      <c r="G15668">
        <v>127020336</v>
      </c>
      <c r="H15668">
        <v>127020308</v>
      </c>
      <c r="I15668">
        <v>127020320</v>
      </c>
    </row>
    <row r="15669" spans="1:9" x14ac:dyDescent="0.2">
      <c r="A15669" t="str">
        <f>"Pagr1b"</f>
        <v>Pagr1b</v>
      </c>
      <c r="B15669" t="s">
        <v>5573</v>
      </c>
      <c r="C15669" t="s">
        <v>33</v>
      </c>
      <c r="D15669" t="s">
        <v>11</v>
      </c>
      <c r="E15669" t="s">
        <v>35</v>
      </c>
      <c r="F15669">
        <v>127016611</v>
      </c>
      <c r="G15669">
        <v>127016622</v>
      </c>
      <c r="H15669">
        <v>127016611</v>
      </c>
      <c r="I15669">
        <v>127016622</v>
      </c>
    </row>
    <row r="15670" spans="1:9" x14ac:dyDescent="0.2">
      <c r="A15670" t="str">
        <f>"Pah"</f>
        <v>Pah</v>
      </c>
      <c r="B15670" t="s">
        <v>14</v>
      </c>
      <c r="C15670" t="s">
        <v>15</v>
      </c>
      <c r="D15670" t="s">
        <v>17</v>
      </c>
      <c r="E15670" t="s">
        <v>12</v>
      </c>
      <c r="F15670">
        <v>87521920</v>
      </c>
      <c r="G15670">
        <v>87521937</v>
      </c>
      <c r="H15670">
        <v>87521954</v>
      </c>
      <c r="I15670">
        <v>87521977</v>
      </c>
    </row>
    <row r="15671" spans="1:9" x14ac:dyDescent="0.2">
      <c r="A15671" t="str">
        <f>"Paics"</f>
        <v>Paics</v>
      </c>
      <c r="B15671" t="s">
        <v>14</v>
      </c>
      <c r="C15671" t="s">
        <v>46</v>
      </c>
      <c r="D15671" t="s">
        <v>17</v>
      </c>
      <c r="E15671" t="s">
        <v>12</v>
      </c>
      <c r="F15671">
        <v>76951716</v>
      </c>
      <c r="G15671">
        <v>76951795</v>
      </c>
      <c r="H15671">
        <v>76951325</v>
      </c>
      <c r="I15671">
        <v>76951363</v>
      </c>
    </row>
    <row r="15672" spans="1:9" x14ac:dyDescent="0.2">
      <c r="A15672" t="str">
        <f>"Paip1"</f>
        <v>Paip1</v>
      </c>
      <c r="B15672" t="s">
        <v>14</v>
      </c>
      <c r="C15672" t="s">
        <v>39</v>
      </c>
      <c r="D15672" t="s">
        <v>17</v>
      </c>
      <c r="E15672" t="s">
        <v>12</v>
      </c>
      <c r="F15672">
        <v>119428888</v>
      </c>
      <c r="G15672">
        <v>119428960</v>
      </c>
      <c r="H15672">
        <v>119428583</v>
      </c>
      <c r="I15672">
        <v>119428612</v>
      </c>
    </row>
    <row r="15673" spans="1:9" x14ac:dyDescent="0.2">
      <c r="A15673" t="str">
        <f>"Paip2"</f>
        <v>Paip2</v>
      </c>
      <c r="B15673" t="s">
        <v>14</v>
      </c>
      <c r="C15673" t="s">
        <v>43</v>
      </c>
      <c r="D15673" t="s">
        <v>17</v>
      </c>
      <c r="E15673" t="s">
        <v>12</v>
      </c>
      <c r="F15673">
        <v>35598607</v>
      </c>
      <c r="G15673">
        <v>35598653</v>
      </c>
      <c r="H15673">
        <v>35598654</v>
      </c>
      <c r="I15673">
        <v>35598672</v>
      </c>
    </row>
    <row r="15674" spans="1:9" x14ac:dyDescent="0.2">
      <c r="A15674" t="str">
        <f>"Paip2b"</f>
        <v>Paip2b</v>
      </c>
      <c r="B15674" t="s">
        <v>14</v>
      </c>
      <c r="C15674" t="s">
        <v>32</v>
      </c>
      <c r="D15674" t="s">
        <v>11</v>
      </c>
      <c r="E15674" t="s">
        <v>12</v>
      </c>
      <c r="F15674">
        <v>83831683</v>
      </c>
      <c r="G15674">
        <v>83831702</v>
      </c>
      <c r="H15674">
        <v>83831705</v>
      </c>
      <c r="I15674">
        <v>83831720</v>
      </c>
    </row>
    <row r="15675" spans="1:9" x14ac:dyDescent="0.2">
      <c r="A15675" t="str">
        <f>"Pak1"</f>
        <v>Pak1</v>
      </c>
      <c r="B15675" t="s">
        <v>14</v>
      </c>
      <c r="C15675" t="s">
        <v>33</v>
      </c>
      <c r="D15675" t="s">
        <v>17</v>
      </c>
      <c r="E15675" t="s">
        <v>12</v>
      </c>
      <c r="F15675">
        <v>97842917</v>
      </c>
      <c r="G15675">
        <v>97842980</v>
      </c>
      <c r="H15675">
        <v>97842917</v>
      </c>
      <c r="I15675">
        <v>97842980</v>
      </c>
    </row>
    <row r="15676" spans="1:9" x14ac:dyDescent="0.2">
      <c r="A15676" t="str">
        <f>"Pak1ip1"</f>
        <v>Pak1ip1</v>
      </c>
      <c r="B15676" t="s">
        <v>14</v>
      </c>
      <c r="C15676" t="s">
        <v>39</v>
      </c>
      <c r="D15676" t="s">
        <v>17</v>
      </c>
      <c r="E15676" t="s">
        <v>12</v>
      </c>
      <c r="F15676">
        <v>41001251</v>
      </c>
      <c r="G15676">
        <v>41001298</v>
      </c>
      <c r="H15676">
        <v>41001002</v>
      </c>
      <c r="I15676">
        <v>41001052</v>
      </c>
    </row>
    <row r="15677" spans="1:9" x14ac:dyDescent="0.2">
      <c r="A15677" t="str">
        <f>"Pak2"</f>
        <v>Pak2</v>
      </c>
      <c r="B15677" t="s">
        <v>14</v>
      </c>
      <c r="C15677" t="s">
        <v>31</v>
      </c>
      <c r="D15677" t="s">
        <v>11</v>
      </c>
      <c r="E15677" t="s">
        <v>12</v>
      </c>
      <c r="F15677">
        <v>32079270</v>
      </c>
      <c r="G15677">
        <v>32079368</v>
      </c>
      <c r="H15677">
        <v>32079124</v>
      </c>
      <c r="I15677">
        <v>32079159</v>
      </c>
    </row>
    <row r="15678" spans="1:9" x14ac:dyDescent="0.2">
      <c r="A15678" t="str">
        <f>"Pak3"</f>
        <v>Pak3</v>
      </c>
      <c r="B15678" t="s">
        <v>9</v>
      </c>
      <c r="C15678" t="s">
        <v>37</v>
      </c>
      <c r="D15678" t="s">
        <v>17</v>
      </c>
      <c r="E15678" t="s">
        <v>12</v>
      </c>
      <c r="F15678">
        <v>143664365</v>
      </c>
      <c r="G15678">
        <v>143664399</v>
      </c>
      <c r="H15678">
        <v>143664365</v>
      </c>
      <c r="I15678">
        <v>143664399</v>
      </c>
    </row>
    <row r="15679" spans="1:9" x14ac:dyDescent="0.2">
      <c r="A15679" t="str">
        <f>"Pak3"</f>
        <v>Pak3</v>
      </c>
      <c r="B15679" t="s">
        <v>13</v>
      </c>
      <c r="C15679" t="s">
        <v>37</v>
      </c>
      <c r="D15679" t="s">
        <v>17</v>
      </c>
      <c r="E15679" t="s">
        <v>12</v>
      </c>
      <c r="F15679">
        <v>143518539</v>
      </c>
      <c r="G15679">
        <v>143518556</v>
      </c>
      <c r="H15679">
        <v>143518539</v>
      </c>
      <c r="I15679">
        <v>143518556</v>
      </c>
    </row>
    <row r="15680" spans="1:9" x14ac:dyDescent="0.2">
      <c r="A15680" t="str">
        <f>"Pak4"</f>
        <v>Pak4</v>
      </c>
      <c r="B15680" t="s">
        <v>14</v>
      </c>
      <c r="C15680" t="s">
        <v>33</v>
      </c>
      <c r="D15680" t="s">
        <v>11</v>
      </c>
      <c r="E15680" t="s">
        <v>12</v>
      </c>
      <c r="F15680">
        <v>28598140</v>
      </c>
      <c r="G15680">
        <v>28598176</v>
      </c>
      <c r="H15680">
        <v>28598131</v>
      </c>
      <c r="I15680">
        <v>28598138</v>
      </c>
    </row>
    <row r="15681" spans="1:9" x14ac:dyDescent="0.2">
      <c r="A15681" t="str">
        <f>"Pak6"</f>
        <v>Pak6</v>
      </c>
      <c r="B15681" t="s">
        <v>9</v>
      </c>
      <c r="C15681" t="s">
        <v>26</v>
      </c>
      <c r="D15681" t="s">
        <v>17</v>
      </c>
      <c r="E15681" t="s">
        <v>12</v>
      </c>
      <c r="F15681">
        <v>118663235</v>
      </c>
      <c r="G15681">
        <v>118663309</v>
      </c>
      <c r="H15681">
        <v>118663235</v>
      </c>
      <c r="I15681">
        <v>118663309</v>
      </c>
    </row>
    <row r="15682" spans="1:9" x14ac:dyDescent="0.2">
      <c r="A15682" t="str">
        <f>"Pak6"</f>
        <v>Pak6</v>
      </c>
      <c r="B15682" t="s">
        <v>13</v>
      </c>
      <c r="C15682" t="s">
        <v>26</v>
      </c>
      <c r="D15682" t="s">
        <v>17</v>
      </c>
      <c r="E15682" t="s">
        <v>12</v>
      </c>
      <c r="F15682">
        <v>118677231</v>
      </c>
      <c r="G15682">
        <v>118677283</v>
      </c>
      <c r="H15682">
        <v>118677231</v>
      </c>
      <c r="I15682">
        <v>118677283</v>
      </c>
    </row>
    <row r="15683" spans="1:9" x14ac:dyDescent="0.2">
      <c r="A15683" t="str">
        <f>"Pak7"</f>
        <v>Pak7</v>
      </c>
      <c r="B15683" t="s">
        <v>14</v>
      </c>
      <c r="C15683" t="s">
        <v>26</v>
      </c>
      <c r="D15683" t="s">
        <v>11</v>
      </c>
      <c r="E15683" t="s">
        <v>12</v>
      </c>
      <c r="F15683">
        <v>136387740</v>
      </c>
      <c r="G15683">
        <v>136387798</v>
      </c>
      <c r="H15683">
        <v>136387929</v>
      </c>
      <c r="I15683">
        <v>136387985</v>
      </c>
    </row>
    <row r="15684" spans="1:9" x14ac:dyDescent="0.2">
      <c r="A15684" t="str">
        <f>"Palb2"</f>
        <v>Palb2</v>
      </c>
      <c r="B15684" t="s">
        <v>14</v>
      </c>
      <c r="C15684" t="s">
        <v>33</v>
      </c>
      <c r="D15684" t="s">
        <v>11</v>
      </c>
      <c r="E15684" t="s">
        <v>12</v>
      </c>
      <c r="F15684">
        <v>122132863</v>
      </c>
      <c r="G15684">
        <v>122132943</v>
      </c>
      <c r="H15684">
        <v>122132850</v>
      </c>
      <c r="I15684">
        <v>122132862</v>
      </c>
    </row>
    <row r="15685" spans="1:9" x14ac:dyDescent="0.2">
      <c r="A15685" t="str">
        <f>"Pald1"</f>
        <v>Pald1</v>
      </c>
      <c r="B15685" t="s">
        <v>14</v>
      </c>
      <c r="C15685" t="s">
        <v>15</v>
      </c>
      <c r="D15685" t="s">
        <v>11</v>
      </c>
      <c r="E15685" t="s">
        <v>67</v>
      </c>
      <c r="F15685">
        <v>61383332</v>
      </c>
      <c r="G15685">
        <v>61383372</v>
      </c>
      <c r="H15685">
        <v>61383332</v>
      </c>
      <c r="I15685">
        <v>61383372</v>
      </c>
    </row>
    <row r="15686" spans="1:9" x14ac:dyDescent="0.2">
      <c r="A15686" t="str">
        <f>"Palld"</f>
        <v>Palld</v>
      </c>
      <c r="B15686" t="s">
        <v>5574</v>
      </c>
      <c r="C15686" t="s">
        <v>30</v>
      </c>
      <c r="D15686" t="s">
        <v>11</v>
      </c>
      <c r="E15686" t="s">
        <v>20</v>
      </c>
      <c r="F15686">
        <v>61902678</v>
      </c>
      <c r="G15686">
        <v>61902678</v>
      </c>
      <c r="H15686">
        <v>61902678</v>
      </c>
      <c r="I15686">
        <v>61902678</v>
      </c>
    </row>
    <row r="15687" spans="1:9" x14ac:dyDescent="0.2">
      <c r="A15687" t="str">
        <f>"Palm"</f>
        <v>Palm</v>
      </c>
      <c r="B15687" t="s">
        <v>14</v>
      </c>
      <c r="C15687" t="s">
        <v>15</v>
      </c>
      <c r="D15687" t="s">
        <v>17</v>
      </c>
      <c r="E15687" t="s">
        <v>12</v>
      </c>
      <c r="F15687">
        <v>79793553</v>
      </c>
      <c r="G15687">
        <v>79793621</v>
      </c>
      <c r="H15687">
        <v>79793677</v>
      </c>
      <c r="I15687">
        <v>79793721</v>
      </c>
    </row>
    <row r="15688" spans="1:9" x14ac:dyDescent="0.2">
      <c r="A15688" t="str">
        <f>"Palm2"</f>
        <v>Palm2</v>
      </c>
      <c r="B15688" t="s">
        <v>9</v>
      </c>
      <c r="C15688" t="s">
        <v>23</v>
      </c>
      <c r="D15688" t="s">
        <v>17</v>
      </c>
      <c r="E15688" t="s">
        <v>12</v>
      </c>
      <c r="F15688">
        <v>57568011</v>
      </c>
      <c r="G15688">
        <v>57568093</v>
      </c>
      <c r="H15688">
        <v>57568011</v>
      </c>
      <c r="I15688">
        <v>57568093</v>
      </c>
    </row>
    <row r="15689" spans="1:9" x14ac:dyDescent="0.2">
      <c r="A15689" t="str">
        <f>"Palm2"</f>
        <v>Palm2</v>
      </c>
      <c r="B15689" t="s">
        <v>13</v>
      </c>
      <c r="C15689" t="s">
        <v>23</v>
      </c>
      <c r="D15689" t="s">
        <v>17</v>
      </c>
      <c r="E15689" t="s">
        <v>12</v>
      </c>
      <c r="F15689">
        <v>57434467</v>
      </c>
      <c r="G15689">
        <v>57434482</v>
      </c>
      <c r="H15689">
        <v>57434467</v>
      </c>
      <c r="I15689">
        <v>57434482</v>
      </c>
    </row>
    <row r="15690" spans="1:9" x14ac:dyDescent="0.2">
      <c r="A15690" t="str">
        <f>"Palm3"</f>
        <v>Palm3</v>
      </c>
      <c r="B15690" t="s">
        <v>9</v>
      </c>
      <c r="C15690" t="s">
        <v>30</v>
      </c>
      <c r="D15690" t="s">
        <v>17</v>
      </c>
      <c r="E15690" t="s">
        <v>12</v>
      </c>
      <c r="F15690">
        <v>84021444</v>
      </c>
      <c r="G15690">
        <v>84021475</v>
      </c>
      <c r="H15690">
        <v>84021444</v>
      </c>
      <c r="I15690">
        <v>84021475</v>
      </c>
    </row>
    <row r="15691" spans="1:9" x14ac:dyDescent="0.2">
      <c r="A15691" t="str">
        <f>"Palm3"</f>
        <v>Palm3</v>
      </c>
      <c r="B15691" t="s">
        <v>13</v>
      </c>
      <c r="C15691" t="s">
        <v>30</v>
      </c>
      <c r="D15691" t="s">
        <v>17</v>
      </c>
      <c r="E15691" t="s">
        <v>12</v>
      </c>
      <c r="F15691">
        <v>84026067</v>
      </c>
      <c r="G15691">
        <v>84026085</v>
      </c>
      <c r="H15691">
        <v>84026067</v>
      </c>
      <c r="I15691">
        <v>84026085</v>
      </c>
    </row>
    <row r="15692" spans="1:9" x14ac:dyDescent="0.2">
      <c r="A15692" t="str">
        <f>"Palmd"</f>
        <v>Palmd</v>
      </c>
      <c r="B15692" t="s">
        <v>14</v>
      </c>
      <c r="C15692" t="s">
        <v>22</v>
      </c>
      <c r="D15692" t="s">
        <v>11</v>
      </c>
      <c r="E15692" t="s">
        <v>12</v>
      </c>
      <c r="F15692">
        <v>116968712</v>
      </c>
      <c r="G15692">
        <v>116968768</v>
      </c>
      <c r="H15692">
        <v>116968790</v>
      </c>
      <c r="I15692">
        <v>116968815</v>
      </c>
    </row>
    <row r="15693" spans="1:9" x14ac:dyDescent="0.2">
      <c r="A15693" t="str">
        <f>"Pam"</f>
        <v>Pam</v>
      </c>
      <c r="B15693" t="s">
        <v>5575</v>
      </c>
      <c r="C15693" t="s">
        <v>19</v>
      </c>
      <c r="D15693" t="s">
        <v>11</v>
      </c>
      <c r="E15693" t="s">
        <v>35</v>
      </c>
      <c r="F15693">
        <v>98095596</v>
      </c>
      <c r="G15693">
        <v>98095648</v>
      </c>
      <c r="H15693">
        <v>98095506</v>
      </c>
      <c r="I15693">
        <v>98095533</v>
      </c>
    </row>
    <row r="15694" spans="1:9" x14ac:dyDescent="0.2">
      <c r="A15694" t="str">
        <f>"Pam16"</f>
        <v>Pam16</v>
      </c>
      <c r="B15694" t="s">
        <v>14</v>
      </c>
      <c r="C15694" t="s">
        <v>31</v>
      </c>
      <c r="D15694" t="s">
        <v>11</v>
      </c>
      <c r="E15694" t="s">
        <v>12</v>
      </c>
      <c r="F15694">
        <v>4624938</v>
      </c>
      <c r="G15694">
        <v>4624972</v>
      </c>
      <c r="H15694">
        <v>4624984</v>
      </c>
      <c r="I15694">
        <v>4624991</v>
      </c>
    </row>
    <row r="15695" spans="1:9" x14ac:dyDescent="0.2">
      <c r="A15695" t="str">
        <f>"Pamr1"</f>
        <v>Pamr1</v>
      </c>
      <c r="B15695" t="s">
        <v>14</v>
      </c>
      <c r="C15695" t="s">
        <v>26</v>
      </c>
      <c r="D15695" t="s">
        <v>17</v>
      </c>
      <c r="E15695" t="s">
        <v>12</v>
      </c>
      <c r="F15695">
        <v>102550138</v>
      </c>
      <c r="G15695">
        <v>102550168</v>
      </c>
      <c r="H15695">
        <v>102550045</v>
      </c>
      <c r="I15695">
        <v>102550080</v>
      </c>
    </row>
    <row r="15696" spans="1:9" x14ac:dyDescent="0.2">
      <c r="A15696" t="str">
        <f>"Pan2"</f>
        <v>Pan2</v>
      </c>
      <c r="B15696" t="s">
        <v>14</v>
      </c>
      <c r="C15696" t="s">
        <v>15</v>
      </c>
      <c r="D15696" t="s">
        <v>17</v>
      </c>
      <c r="E15696" t="s">
        <v>12</v>
      </c>
      <c r="F15696">
        <v>128303358</v>
      </c>
      <c r="G15696">
        <v>128303418</v>
      </c>
      <c r="H15696">
        <v>128303322</v>
      </c>
      <c r="I15696">
        <v>128303352</v>
      </c>
    </row>
    <row r="15697" spans="1:9" x14ac:dyDescent="0.2">
      <c r="A15697" t="str">
        <f>"Pan3"</f>
        <v>Pan3</v>
      </c>
      <c r="B15697" t="s">
        <v>14</v>
      </c>
      <c r="C15697" t="s">
        <v>46</v>
      </c>
      <c r="D15697" t="s">
        <v>17</v>
      </c>
      <c r="E15697" t="s">
        <v>12</v>
      </c>
      <c r="F15697">
        <v>147430153</v>
      </c>
      <c r="G15697">
        <v>147430217</v>
      </c>
      <c r="H15697">
        <v>147430407</v>
      </c>
      <c r="I15697">
        <v>147430545</v>
      </c>
    </row>
    <row r="15698" spans="1:9" x14ac:dyDescent="0.2">
      <c r="A15698" t="str">
        <f>"Pank1"</f>
        <v>Pank1</v>
      </c>
      <c r="B15698" t="s">
        <v>14</v>
      </c>
      <c r="C15698" t="s">
        <v>10</v>
      </c>
      <c r="D15698" t="s">
        <v>11</v>
      </c>
      <c r="E15698" t="s">
        <v>12</v>
      </c>
      <c r="F15698">
        <v>34877843</v>
      </c>
      <c r="G15698">
        <v>34877861</v>
      </c>
      <c r="H15698">
        <v>34877880</v>
      </c>
      <c r="I15698">
        <v>34877923</v>
      </c>
    </row>
    <row r="15699" spans="1:9" x14ac:dyDescent="0.2">
      <c r="A15699" t="str">
        <f>"Pank2"</f>
        <v>Pank2</v>
      </c>
      <c r="B15699" t="s">
        <v>14</v>
      </c>
      <c r="C15699" t="s">
        <v>26</v>
      </c>
      <c r="D15699" t="s">
        <v>17</v>
      </c>
      <c r="E15699" t="s">
        <v>12</v>
      </c>
      <c r="F15699">
        <v>131262469</v>
      </c>
      <c r="G15699">
        <v>131262563</v>
      </c>
      <c r="H15699">
        <v>131262747</v>
      </c>
      <c r="I15699">
        <v>131262771</v>
      </c>
    </row>
    <row r="15700" spans="1:9" x14ac:dyDescent="0.2">
      <c r="A15700" t="str">
        <f>"Pank3"</f>
        <v>Pank3</v>
      </c>
      <c r="B15700" t="s">
        <v>14</v>
      </c>
      <c r="C15700" t="s">
        <v>27</v>
      </c>
      <c r="D15700" t="s">
        <v>17</v>
      </c>
      <c r="E15700" t="s">
        <v>12</v>
      </c>
      <c r="F15700">
        <v>35769820</v>
      </c>
      <c r="G15700">
        <v>35769869</v>
      </c>
      <c r="H15700">
        <v>35769574</v>
      </c>
      <c r="I15700">
        <v>35769616</v>
      </c>
    </row>
    <row r="15701" spans="1:9" x14ac:dyDescent="0.2">
      <c r="A15701" t="str">
        <f>"Pank4"</f>
        <v>Pank4</v>
      </c>
      <c r="B15701" t="s">
        <v>14</v>
      </c>
      <c r="C15701" t="s">
        <v>23</v>
      </c>
      <c r="D15701" t="s">
        <v>17</v>
      </c>
      <c r="E15701" t="s">
        <v>12</v>
      </c>
      <c r="F15701">
        <v>154964117</v>
      </c>
      <c r="G15701">
        <v>154964147</v>
      </c>
      <c r="H15701">
        <v>154964117</v>
      </c>
      <c r="I15701">
        <v>154964147</v>
      </c>
    </row>
    <row r="15702" spans="1:9" x14ac:dyDescent="0.2">
      <c r="A15702" t="str">
        <f>"Panx1"</f>
        <v>Panx1</v>
      </c>
      <c r="B15702" t="s">
        <v>14</v>
      </c>
      <c r="C15702" t="s">
        <v>24</v>
      </c>
      <c r="D15702" t="s">
        <v>11</v>
      </c>
      <c r="E15702" t="s">
        <v>12</v>
      </c>
      <c r="F15702">
        <v>15045378</v>
      </c>
      <c r="G15702">
        <v>15045502</v>
      </c>
      <c r="H15702">
        <v>15045106</v>
      </c>
      <c r="I15702">
        <v>15045135</v>
      </c>
    </row>
    <row r="15703" spans="1:9" x14ac:dyDescent="0.2">
      <c r="A15703" t="str">
        <f>"Panx2"</f>
        <v>Panx2</v>
      </c>
      <c r="B15703" t="s">
        <v>14</v>
      </c>
      <c r="C15703" t="s">
        <v>25</v>
      </c>
      <c r="D15703" t="s">
        <v>17</v>
      </c>
      <c r="E15703" t="s">
        <v>12</v>
      </c>
      <c r="F15703">
        <v>89059712</v>
      </c>
      <c r="G15703">
        <v>89059760</v>
      </c>
      <c r="H15703">
        <v>89060068</v>
      </c>
      <c r="I15703">
        <v>89060100</v>
      </c>
    </row>
    <row r="15704" spans="1:9" x14ac:dyDescent="0.2">
      <c r="A15704" t="str">
        <f>"Panx3"</f>
        <v>Panx3</v>
      </c>
      <c r="B15704" t="s">
        <v>14</v>
      </c>
      <c r="C15704" t="s">
        <v>24</v>
      </c>
      <c r="D15704" t="s">
        <v>11</v>
      </c>
      <c r="E15704" t="s">
        <v>12</v>
      </c>
      <c r="F15704">
        <v>37669170</v>
      </c>
      <c r="G15704">
        <v>37669226</v>
      </c>
      <c r="H15704">
        <v>37669158</v>
      </c>
      <c r="I15704">
        <v>37669167</v>
      </c>
    </row>
    <row r="15705" spans="1:9" x14ac:dyDescent="0.2">
      <c r="A15705" t="str">
        <f>"Paox"</f>
        <v>Paox</v>
      </c>
      <c r="B15705" t="s">
        <v>9</v>
      </c>
      <c r="C15705" t="s">
        <v>33</v>
      </c>
      <c r="D15705" t="s">
        <v>17</v>
      </c>
      <c r="E15705" t="s">
        <v>12</v>
      </c>
      <c r="F15705">
        <v>140125651</v>
      </c>
      <c r="G15705">
        <v>140125727</v>
      </c>
      <c r="H15705">
        <v>140125651</v>
      </c>
      <c r="I15705">
        <v>140125727</v>
      </c>
    </row>
    <row r="15706" spans="1:9" x14ac:dyDescent="0.2">
      <c r="A15706" t="str">
        <f>"Paox"</f>
        <v>Paox</v>
      </c>
      <c r="B15706" t="s">
        <v>13</v>
      </c>
      <c r="C15706" t="s">
        <v>33</v>
      </c>
      <c r="D15706" t="s">
        <v>17</v>
      </c>
      <c r="E15706" t="s">
        <v>12</v>
      </c>
      <c r="F15706">
        <v>140115873</v>
      </c>
      <c r="G15706">
        <v>140115889</v>
      </c>
      <c r="H15706">
        <v>140115873</v>
      </c>
      <c r="I15706">
        <v>140115889</v>
      </c>
    </row>
    <row r="15707" spans="1:9" x14ac:dyDescent="0.2">
      <c r="A15707" t="str">
        <f>"Papd4"</f>
        <v>Papd4</v>
      </c>
      <c r="B15707" t="s">
        <v>14</v>
      </c>
      <c r="C15707" t="s">
        <v>39</v>
      </c>
      <c r="D15707" t="s">
        <v>11</v>
      </c>
      <c r="E15707" t="s">
        <v>12</v>
      </c>
      <c r="F15707">
        <v>93192375</v>
      </c>
      <c r="G15707">
        <v>93192424</v>
      </c>
      <c r="H15707">
        <v>93192270</v>
      </c>
      <c r="I15707">
        <v>93192328</v>
      </c>
    </row>
    <row r="15708" spans="1:9" x14ac:dyDescent="0.2">
      <c r="A15708" t="str">
        <f>"Papd5"</f>
        <v>Papd5</v>
      </c>
      <c r="B15708" t="s">
        <v>14</v>
      </c>
      <c r="C15708" t="s">
        <v>30</v>
      </c>
      <c r="D15708" t="s">
        <v>17</v>
      </c>
      <c r="E15708" t="s">
        <v>12</v>
      </c>
      <c r="F15708">
        <v>88199194</v>
      </c>
      <c r="G15708">
        <v>88199224</v>
      </c>
      <c r="H15708">
        <v>88199236</v>
      </c>
      <c r="I15708">
        <v>88199247</v>
      </c>
    </row>
    <row r="15709" spans="1:9" x14ac:dyDescent="0.2">
      <c r="A15709" t="str">
        <f>"Papd7"</f>
        <v>Papd7</v>
      </c>
      <c r="B15709" t="s">
        <v>14</v>
      </c>
      <c r="C15709" t="s">
        <v>39</v>
      </c>
      <c r="D15709" t="s">
        <v>11</v>
      </c>
      <c r="E15709" t="s">
        <v>12</v>
      </c>
      <c r="F15709">
        <v>69534165</v>
      </c>
      <c r="G15709">
        <v>69534191</v>
      </c>
      <c r="H15709">
        <v>69534165</v>
      </c>
      <c r="I15709">
        <v>69534191</v>
      </c>
    </row>
    <row r="15710" spans="1:9" x14ac:dyDescent="0.2">
      <c r="A15710" t="str">
        <f>"Papl"</f>
        <v>Papl</v>
      </c>
      <c r="B15710" t="s">
        <v>5576</v>
      </c>
      <c r="C15710" t="s">
        <v>33</v>
      </c>
      <c r="D15710" t="s">
        <v>11</v>
      </c>
      <c r="E15710" t="s">
        <v>35</v>
      </c>
      <c r="F15710">
        <v>28630906</v>
      </c>
      <c r="G15710">
        <v>28630917</v>
      </c>
      <c r="H15710">
        <v>28630906</v>
      </c>
      <c r="I15710">
        <v>28630917</v>
      </c>
    </row>
    <row r="15711" spans="1:9" x14ac:dyDescent="0.2">
      <c r="A15711" t="str">
        <f>"Papln"</f>
        <v>Papln</v>
      </c>
      <c r="B15711" t="s">
        <v>14</v>
      </c>
      <c r="C15711" t="s">
        <v>16</v>
      </c>
      <c r="D15711" t="s">
        <v>17</v>
      </c>
      <c r="E15711" t="s">
        <v>12</v>
      </c>
      <c r="F15711">
        <v>83763628</v>
      </c>
      <c r="G15711">
        <v>83763648</v>
      </c>
      <c r="H15711">
        <v>83763656</v>
      </c>
      <c r="I15711">
        <v>83763671</v>
      </c>
    </row>
    <row r="15712" spans="1:9" x14ac:dyDescent="0.2">
      <c r="A15712" t="str">
        <f>"Papola"</f>
        <v>Papola</v>
      </c>
      <c r="B15712" t="s">
        <v>14</v>
      </c>
      <c r="C15712" t="s">
        <v>16</v>
      </c>
      <c r="D15712" t="s">
        <v>17</v>
      </c>
      <c r="E15712" t="s">
        <v>12</v>
      </c>
      <c r="F15712">
        <v>105784695</v>
      </c>
      <c r="G15712">
        <v>105784743</v>
      </c>
      <c r="H15712">
        <v>105784695</v>
      </c>
      <c r="I15712">
        <v>105784743</v>
      </c>
    </row>
    <row r="15713" spans="1:9" x14ac:dyDescent="0.2">
      <c r="A15713" t="str">
        <f>"Papolb"</f>
        <v>Papolb</v>
      </c>
      <c r="B15713" t="s">
        <v>14</v>
      </c>
      <c r="C15713" t="s">
        <v>46</v>
      </c>
      <c r="D15713" t="s">
        <v>11</v>
      </c>
      <c r="E15713" t="s">
        <v>12</v>
      </c>
      <c r="F15713">
        <v>142530041</v>
      </c>
      <c r="G15713">
        <v>142530084</v>
      </c>
      <c r="H15713">
        <v>142530094</v>
      </c>
      <c r="I15713">
        <v>142530100</v>
      </c>
    </row>
    <row r="15714" spans="1:9" x14ac:dyDescent="0.2">
      <c r="A15714" t="str">
        <f>"Papolg"</f>
        <v>Papolg</v>
      </c>
      <c r="B15714" t="s">
        <v>14</v>
      </c>
      <c r="C15714" t="s">
        <v>27</v>
      </c>
      <c r="D15714" t="s">
        <v>11</v>
      </c>
      <c r="E15714" t="s">
        <v>12</v>
      </c>
      <c r="F15714">
        <v>23895208</v>
      </c>
      <c r="G15714">
        <v>23895280</v>
      </c>
      <c r="H15714">
        <v>23895175</v>
      </c>
      <c r="I15714">
        <v>23895189</v>
      </c>
    </row>
    <row r="15715" spans="1:9" x14ac:dyDescent="0.2">
      <c r="A15715" t="str">
        <f>"Pappa"</f>
        <v>Pappa</v>
      </c>
      <c r="B15715" t="s">
        <v>14</v>
      </c>
      <c r="C15715" t="s">
        <v>23</v>
      </c>
      <c r="D15715" t="s">
        <v>17</v>
      </c>
      <c r="E15715" t="s">
        <v>12</v>
      </c>
      <c r="F15715">
        <v>65124526</v>
      </c>
      <c r="G15715">
        <v>65124558</v>
      </c>
      <c r="H15715">
        <v>65123748</v>
      </c>
      <c r="I15715">
        <v>65123768</v>
      </c>
    </row>
    <row r="15716" spans="1:9" x14ac:dyDescent="0.2">
      <c r="A15716" t="str">
        <f>"Pappa2"</f>
        <v>Pappa2</v>
      </c>
      <c r="B15716" t="s">
        <v>14</v>
      </c>
      <c r="C15716" t="s">
        <v>19</v>
      </c>
      <c r="D15716" t="s">
        <v>11</v>
      </c>
      <c r="E15716" t="s">
        <v>12</v>
      </c>
      <c r="F15716">
        <v>158958169</v>
      </c>
      <c r="G15716">
        <v>158958180</v>
      </c>
      <c r="H15716">
        <v>158958169</v>
      </c>
      <c r="I15716">
        <v>158958180</v>
      </c>
    </row>
    <row r="15717" spans="1:9" x14ac:dyDescent="0.2">
      <c r="A15717" t="str">
        <f>"Papss1"</f>
        <v>Papss1</v>
      </c>
      <c r="B15717" t="s">
        <v>14</v>
      </c>
      <c r="C15717" t="s">
        <v>22</v>
      </c>
      <c r="D15717" t="s">
        <v>17</v>
      </c>
      <c r="E15717" t="s">
        <v>12</v>
      </c>
      <c r="F15717">
        <v>131564857</v>
      </c>
      <c r="G15717">
        <v>131564883</v>
      </c>
      <c r="H15717">
        <v>131564887</v>
      </c>
      <c r="I15717">
        <v>131564910</v>
      </c>
    </row>
    <row r="15718" spans="1:9" x14ac:dyDescent="0.2">
      <c r="A15718" t="str">
        <f>"Papss2"</f>
        <v>Papss2</v>
      </c>
      <c r="B15718" t="s">
        <v>9</v>
      </c>
      <c r="C15718" t="s">
        <v>10</v>
      </c>
      <c r="D15718" t="s">
        <v>17</v>
      </c>
      <c r="E15718" t="s">
        <v>12</v>
      </c>
      <c r="F15718">
        <v>32595782</v>
      </c>
      <c r="G15718">
        <v>32595799</v>
      </c>
      <c r="H15718">
        <v>32595782</v>
      </c>
      <c r="I15718">
        <v>32595799</v>
      </c>
    </row>
    <row r="15719" spans="1:9" x14ac:dyDescent="0.2">
      <c r="A15719" t="str">
        <f>"Papss2"</f>
        <v>Papss2</v>
      </c>
      <c r="B15719" t="s">
        <v>13</v>
      </c>
      <c r="C15719" t="s">
        <v>10</v>
      </c>
      <c r="D15719" t="s">
        <v>17</v>
      </c>
      <c r="E15719" t="s">
        <v>12</v>
      </c>
      <c r="F15719">
        <v>32619997</v>
      </c>
      <c r="G15719">
        <v>32620031</v>
      </c>
      <c r="H15719">
        <v>32619997</v>
      </c>
      <c r="I15719">
        <v>32620031</v>
      </c>
    </row>
    <row r="15720" spans="1:9" x14ac:dyDescent="0.2">
      <c r="A15720" t="str">
        <f>"Paqr3"</f>
        <v>Paqr3</v>
      </c>
      <c r="B15720" t="s">
        <v>14</v>
      </c>
      <c r="C15720" t="s">
        <v>46</v>
      </c>
      <c r="D15720" t="s">
        <v>11</v>
      </c>
      <c r="E15720" t="s">
        <v>12</v>
      </c>
      <c r="F15720">
        <v>97111589</v>
      </c>
      <c r="G15720">
        <v>97111632</v>
      </c>
      <c r="H15720">
        <v>97111565</v>
      </c>
      <c r="I15720">
        <v>97111586</v>
      </c>
    </row>
    <row r="15721" spans="1:9" x14ac:dyDescent="0.2">
      <c r="A15721" t="str">
        <f>"Paqr4"</f>
        <v>Paqr4</v>
      </c>
      <c r="B15721" t="s">
        <v>14</v>
      </c>
      <c r="C15721" t="s">
        <v>28</v>
      </c>
      <c r="D15721" t="s">
        <v>11</v>
      </c>
      <c r="E15721" t="s">
        <v>12</v>
      </c>
      <c r="F15721">
        <v>23740301</v>
      </c>
      <c r="G15721">
        <v>23740359</v>
      </c>
      <c r="H15721">
        <v>23740365</v>
      </c>
      <c r="I15721">
        <v>23740385</v>
      </c>
    </row>
    <row r="15722" spans="1:9" x14ac:dyDescent="0.2">
      <c r="A15722" t="str">
        <f>"Paqr5"</f>
        <v>Paqr5</v>
      </c>
      <c r="B15722" t="s">
        <v>14</v>
      </c>
      <c r="C15722" t="s">
        <v>24</v>
      </c>
      <c r="D15722" t="s">
        <v>11</v>
      </c>
      <c r="E15722" t="s">
        <v>12</v>
      </c>
      <c r="F15722">
        <v>62026788</v>
      </c>
      <c r="G15722">
        <v>62026833</v>
      </c>
      <c r="H15722">
        <v>62026788</v>
      </c>
      <c r="I15722">
        <v>62026833</v>
      </c>
    </row>
    <row r="15723" spans="1:9" x14ac:dyDescent="0.2">
      <c r="A15723" t="str">
        <f>"Paqr6"</f>
        <v>Paqr6</v>
      </c>
      <c r="B15723" t="s">
        <v>14</v>
      </c>
      <c r="C15723" t="s">
        <v>22</v>
      </c>
      <c r="D15723" t="s">
        <v>17</v>
      </c>
      <c r="E15723" t="s">
        <v>12</v>
      </c>
      <c r="F15723">
        <v>88364548</v>
      </c>
      <c r="G15723">
        <v>88364606</v>
      </c>
      <c r="H15723">
        <v>88364548</v>
      </c>
      <c r="I15723">
        <v>88364606</v>
      </c>
    </row>
    <row r="15724" spans="1:9" x14ac:dyDescent="0.2">
      <c r="A15724" t="str">
        <f>"Paqr7"</f>
        <v>Paqr7</v>
      </c>
      <c r="B15724" t="s">
        <v>14</v>
      </c>
      <c r="C15724" t="s">
        <v>23</v>
      </c>
      <c r="D15724" t="s">
        <v>17</v>
      </c>
      <c r="E15724" t="s">
        <v>12</v>
      </c>
      <c r="F15724">
        <v>134496996</v>
      </c>
      <c r="G15724">
        <v>134497013</v>
      </c>
      <c r="H15724">
        <v>134496966</v>
      </c>
      <c r="I15724">
        <v>134496988</v>
      </c>
    </row>
    <row r="15725" spans="1:9" x14ac:dyDescent="0.2">
      <c r="A15725" t="str">
        <f>"Paqr8"</f>
        <v>Paqr8</v>
      </c>
      <c r="B15725" t="s">
        <v>14</v>
      </c>
      <c r="C15725" t="s">
        <v>19</v>
      </c>
      <c r="D15725" t="s">
        <v>17</v>
      </c>
      <c r="E15725" t="s">
        <v>12</v>
      </c>
      <c r="F15725">
        <v>20890595</v>
      </c>
      <c r="G15725">
        <v>20890617</v>
      </c>
      <c r="H15725">
        <v>20890562</v>
      </c>
      <c r="I15725">
        <v>20890587</v>
      </c>
    </row>
    <row r="15726" spans="1:9" x14ac:dyDescent="0.2">
      <c r="A15726" t="str">
        <f>"Paqr9"</f>
        <v>Paqr9</v>
      </c>
      <c r="B15726" t="s">
        <v>14</v>
      </c>
      <c r="C15726" t="s">
        <v>24</v>
      </c>
      <c r="D15726" t="s">
        <v>17</v>
      </c>
      <c r="E15726" t="s">
        <v>12</v>
      </c>
      <c r="F15726">
        <v>95559661</v>
      </c>
      <c r="G15726">
        <v>95559705</v>
      </c>
      <c r="H15726">
        <v>95559661</v>
      </c>
      <c r="I15726">
        <v>95559705</v>
      </c>
    </row>
    <row r="15727" spans="1:9" x14ac:dyDescent="0.2">
      <c r="A15727" t="str">
        <f>"Pard3"</f>
        <v>Pard3</v>
      </c>
      <c r="B15727" t="s">
        <v>14</v>
      </c>
      <c r="C15727" t="s">
        <v>30</v>
      </c>
      <c r="D15727" t="s">
        <v>17</v>
      </c>
      <c r="E15727" t="s">
        <v>12</v>
      </c>
      <c r="F15727">
        <v>127064022</v>
      </c>
      <c r="G15727">
        <v>127064086</v>
      </c>
      <c r="H15727">
        <v>127064089</v>
      </c>
      <c r="I15727">
        <v>127064105</v>
      </c>
    </row>
    <row r="15728" spans="1:9" x14ac:dyDescent="0.2">
      <c r="A15728" t="str">
        <f>"Pard3b"</f>
        <v>Pard3b</v>
      </c>
      <c r="B15728" t="s">
        <v>14</v>
      </c>
      <c r="C15728" t="s">
        <v>19</v>
      </c>
      <c r="D15728" t="s">
        <v>17</v>
      </c>
      <c r="E15728" t="s">
        <v>12</v>
      </c>
      <c r="F15728">
        <v>61638819</v>
      </c>
      <c r="G15728">
        <v>61638841</v>
      </c>
      <c r="H15728">
        <v>61638993</v>
      </c>
      <c r="I15728">
        <v>61639013</v>
      </c>
    </row>
    <row r="15729" spans="1:9" x14ac:dyDescent="0.2">
      <c r="A15729" t="str">
        <f>"Pard6a"</f>
        <v>Pard6a</v>
      </c>
      <c r="B15729" t="s">
        <v>14</v>
      </c>
      <c r="C15729" t="s">
        <v>30</v>
      </c>
      <c r="D15729" t="s">
        <v>17</v>
      </c>
      <c r="E15729" t="s">
        <v>12</v>
      </c>
      <c r="F15729">
        <v>105701142</v>
      </c>
      <c r="G15729">
        <v>105701190</v>
      </c>
      <c r="H15729">
        <v>105701624</v>
      </c>
      <c r="I15729">
        <v>105701693</v>
      </c>
    </row>
    <row r="15730" spans="1:9" x14ac:dyDescent="0.2">
      <c r="A15730" t="str">
        <f>"Pard6b"</f>
        <v>Pard6b</v>
      </c>
      <c r="B15730" t="s">
        <v>14</v>
      </c>
      <c r="C15730" t="s">
        <v>26</v>
      </c>
      <c r="D15730" t="s">
        <v>17</v>
      </c>
      <c r="E15730" t="s">
        <v>12</v>
      </c>
      <c r="F15730">
        <v>168081103</v>
      </c>
      <c r="G15730">
        <v>168081122</v>
      </c>
      <c r="H15730">
        <v>168081139</v>
      </c>
      <c r="I15730">
        <v>168081155</v>
      </c>
    </row>
    <row r="15731" spans="1:9" x14ac:dyDescent="0.2">
      <c r="A15731" t="str">
        <f>"Pard6g"</f>
        <v>Pard6g</v>
      </c>
      <c r="B15731" t="s">
        <v>14</v>
      </c>
      <c r="C15731" t="s">
        <v>43</v>
      </c>
      <c r="D15731" t="s">
        <v>17</v>
      </c>
      <c r="E15731" t="s">
        <v>12</v>
      </c>
      <c r="F15731">
        <v>80046906</v>
      </c>
      <c r="G15731">
        <v>80046963</v>
      </c>
      <c r="H15731">
        <v>80046854</v>
      </c>
      <c r="I15731">
        <v>80046904</v>
      </c>
    </row>
    <row r="15732" spans="1:9" x14ac:dyDescent="0.2">
      <c r="A15732" t="str">
        <f>"Parg"</f>
        <v>Parg</v>
      </c>
      <c r="B15732" t="s">
        <v>14</v>
      </c>
      <c r="C15732" t="s">
        <v>41</v>
      </c>
      <c r="D15732" t="s">
        <v>17</v>
      </c>
      <c r="E15732" t="s">
        <v>12</v>
      </c>
      <c r="F15732">
        <v>32201937</v>
      </c>
      <c r="G15732">
        <v>32201995</v>
      </c>
      <c r="H15732">
        <v>32202004</v>
      </c>
      <c r="I15732">
        <v>32202013</v>
      </c>
    </row>
    <row r="15733" spans="1:9" x14ac:dyDescent="0.2">
      <c r="A15733" t="str">
        <f>"Park2"</f>
        <v>Park2</v>
      </c>
      <c r="B15733" t="s">
        <v>5577</v>
      </c>
      <c r="C15733" t="s">
        <v>28</v>
      </c>
      <c r="D15733" t="s">
        <v>17</v>
      </c>
      <c r="E15733" t="s">
        <v>20</v>
      </c>
      <c r="F15733">
        <v>11838601</v>
      </c>
      <c r="G15733">
        <v>11838601</v>
      </c>
      <c r="H15733">
        <v>11838601</v>
      </c>
      <c r="I15733">
        <v>11838601</v>
      </c>
    </row>
    <row r="15734" spans="1:9" x14ac:dyDescent="0.2">
      <c r="A15734" t="str">
        <f>"Park7"</f>
        <v>Park7</v>
      </c>
      <c r="B15734" t="s">
        <v>9</v>
      </c>
      <c r="C15734" t="s">
        <v>23</v>
      </c>
      <c r="D15734" t="s">
        <v>11</v>
      </c>
      <c r="E15734" t="s">
        <v>12</v>
      </c>
      <c r="F15734">
        <v>150909812</v>
      </c>
      <c r="G15734">
        <v>150909884</v>
      </c>
      <c r="H15734">
        <v>150909812</v>
      </c>
      <c r="I15734">
        <v>150909884</v>
      </c>
    </row>
    <row r="15735" spans="1:9" x14ac:dyDescent="0.2">
      <c r="A15735" t="str">
        <f>"Park7"</f>
        <v>Park7</v>
      </c>
      <c r="B15735" t="s">
        <v>13</v>
      </c>
      <c r="C15735" t="s">
        <v>23</v>
      </c>
      <c r="D15735" t="s">
        <v>11</v>
      </c>
      <c r="E15735" t="s">
        <v>12</v>
      </c>
      <c r="F15735">
        <v>150914401</v>
      </c>
      <c r="G15735">
        <v>150914480</v>
      </c>
      <c r="H15735">
        <v>150914401</v>
      </c>
      <c r="I15735">
        <v>150914480</v>
      </c>
    </row>
    <row r="15736" spans="1:9" x14ac:dyDescent="0.2">
      <c r="A15736" t="str">
        <f>"Parl"</f>
        <v>Parl</v>
      </c>
      <c r="B15736" t="s">
        <v>14</v>
      </c>
      <c r="C15736" t="s">
        <v>31</v>
      </c>
      <c r="D15736" t="s">
        <v>11</v>
      </c>
      <c r="E15736" t="s">
        <v>12</v>
      </c>
      <c r="F15736">
        <v>20302358</v>
      </c>
      <c r="G15736">
        <v>20302401</v>
      </c>
      <c r="H15736">
        <v>20302324</v>
      </c>
      <c r="I15736">
        <v>20302345</v>
      </c>
    </row>
    <row r="15737" spans="1:9" x14ac:dyDescent="0.2">
      <c r="A15737" t="str">
        <f>"Parm1"</f>
        <v>Parm1</v>
      </c>
      <c r="B15737" t="s">
        <v>14</v>
      </c>
      <c r="C15737" t="s">
        <v>46</v>
      </c>
      <c r="D15737" t="s">
        <v>17</v>
      </c>
      <c r="E15737" t="s">
        <v>12</v>
      </c>
      <c r="F15737">
        <v>91517678</v>
      </c>
      <c r="G15737">
        <v>91517694</v>
      </c>
      <c r="H15737">
        <v>91517701</v>
      </c>
      <c r="I15737">
        <v>91517719</v>
      </c>
    </row>
    <row r="15738" spans="1:9" x14ac:dyDescent="0.2">
      <c r="A15738" t="str">
        <f>"Parn"</f>
        <v>Parn</v>
      </c>
      <c r="B15738" t="s">
        <v>14</v>
      </c>
      <c r="C15738" t="s">
        <v>31</v>
      </c>
      <c r="D15738" t="s">
        <v>11</v>
      </c>
      <c r="E15738" t="s">
        <v>12</v>
      </c>
      <c r="F15738">
        <v>13668122</v>
      </c>
      <c r="G15738">
        <v>13668181</v>
      </c>
      <c r="H15738">
        <v>13668047</v>
      </c>
      <c r="I15738">
        <v>13668054</v>
      </c>
    </row>
    <row r="15739" spans="1:9" x14ac:dyDescent="0.2">
      <c r="A15739" t="str">
        <f>"Parp1"</f>
        <v>Parp1</v>
      </c>
      <c r="B15739" t="s">
        <v>14</v>
      </c>
      <c r="C15739" t="s">
        <v>19</v>
      </c>
      <c r="D15739" t="s">
        <v>17</v>
      </c>
      <c r="E15739" t="s">
        <v>12</v>
      </c>
      <c r="F15739">
        <v>180568913</v>
      </c>
      <c r="G15739">
        <v>180568960</v>
      </c>
      <c r="H15739">
        <v>180568964</v>
      </c>
      <c r="I15739">
        <v>180569010</v>
      </c>
    </row>
    <row r="15740" spans="1:9" x14ac:dyDescent="0.2">
      <c r="A15740" t="str">
        <f>"Parp10"</f>
        <v>Parp10</v>
      </c>
      <c r="B15740" t="s">
        <v>14</v>
      </c>
      <c r="C15740" t="s">
        <v>25</v>
      </c>
      <c r="D15740" t="s">
        <v>11</v>
      </c>
      <c r="E15740" t="s">
        <v>12</v>
      </c>
      <c r="F15740">
        <v>76243401</v>
      </c>
      <c r="G15740">
        <v>76243448</v>
      </c>
      <c r="H15740">
        <v>76243379</v>
      </c>
      <c r="I15740">
        <v>76243396</v>
      </c>
    </row>
    <row r="15741" spans="1:9" x14ac:dyDescent="0.2">
      <c r="A15741" t="str">
        <f>"Parp11"</f>
        <v>Parp11</v>
      </c>
      <c r="B15741" t="s">
        <v>14</v>
      </c>
      <c r="C15741" t="s">
        <v>32</v>
      </c>
      <c r="D15741" t="s">
        <v>17</v>
      </c>
      <c r="E15741" t="s">
        <v>12</v>
      </c>
      <c r="F15741">
        <v>127453608</v>
      </c>
      <c r="G15741">
        <v>127453662</v>
      </c>
      <c r="H15741">
        <v>127453667</v>
      </c>
      <c r="I15741">
        <v>127453685</v>
      </c>
    </row>
    <row r="15742" spans="1:9" x14ac:dyDescent="0.2">
      <c r="A15742" t="str">
        <f>"Parp12"</f>
        <v>Parp12</v>
      </c>
      <c r="B15742" t="s">
        <v>14</v>
      </c>
      <c r="C15742" t="s">
        <v>32</v>
      </c>
      <c r="D15742" t="s">
        <v>11</v>
      </c>
      <c r="E15742" t="s">
        <v>12</v>
      </c>
      <c r="F15742">
        <v>39118211</v>
      </c>
      <c r="G15742">
        <v>39118252</v>
      </c>
      <c r="H15742">
        <v>39118164</v>
      </c>
      <c r="I15742">
        <v>39118177</v>
      </c>
    </row>
    <row r="15743" spans="1:9" x14ac:dyDescent="0.2">
      <c r="A15743" t="str">
        <f>"Parp14"</f>
        <v>Parp14</v>
      </c>
      <c r="B15743" t="s">
        <v>14</v>
      </c>
      <c r="C15743" t="s">
        <v>31</v>
      </c>
      <c r="D15743" t="s">
        <v>11</v>
      </c>
      <c r="E15743" t="s">
        <v>12</v>
      </c>
      <c r="F15743">
        <v>35871372</v>
      </c>
      <c r="G15743">
        <v>35871388</v>
      </c>
      <c r="H15743">
        <v>35871206</v>
      </c>
      <c r="I15743">
        <v>35871234</v>
      </c>
    </row>
    <row r="15744" spans="1:9" x14ac:dyDescent="0.2">
      <c r="A15744" t="str">
        <f>"Parp16"</f>
        <v>Parp16</v>
      </c>
      <c r="B15744" t="s">
        <v>14</v>
      </c>
      <c r="C15744" t="s">
        <v>24</v>
      </c>
      <c r="D15744" t="s">
        <v>17</v>
      </c>
      <c r="E15744" t="s">
        <v>12</v>
      </c>
      <c r="F15744">
        <v>65215099</v>
      </c>
      <c r="G15744">
        <v>65215176</v>
      </c>
      <c r="H15744">
        <v>65215404</v>
      </c>
      <c r="I15744">
        <v>65215482</v>
      </c>
    </row>
    <row r="15745" spans="1:9" x14ac:dyDescent="0.2">
      <c r="A15745" t="str">
        <f>"Parp2"</f>
        <v>Parp2</v>
      </c>
      <c r="B15745" t="s">
        <v>14</v>
      </c>
      <c r="C15745" t="s">
        <v>41</v>
      </c>
      <c r="D15745" t="s">
        <v>17</v>
      </c>
      <c r="E15745" t="s">
        <v>12</v>
      </c>
      <c r="F15745">
        <v>50807915</v>
      </c>
      <c r="G15745">
        <v>50807942</v>
      </c>
      <c r="H15745">
        <v>50807598</v>
      </c>
      <c r="I15745">
        <v>50807605</v>
      </c>
    </row>
    <row r="15746" spans="1:9" x14ac:dyDescent="0.2">
      <c r="A15746" t="str">
        <f>"Parp3"</f>
        <v>Parp3</v>
      </c>
      <c r="B15746" t="s">
        <v>14</v>
      </c>
      <c r="C15746" t="s">
        <v>24</v>
      </c>
      <c r="D15746" t="s">
        <v>11</v>
      </c>
      <c r="E15746" t="s">
        <v>12</v>
      </c>
      <c r="F15746">
        <v>106476590</v>
      </c>
      <c r="G15746">
        <v>106476675</v>
      </c>
      <c r="H15746">
        <v>106476134</v>
      </c>
      <c r="I15746">
        <v>106476157</v>
      </c>
    </row>
    <row r="15747" spans="1:9" x14ac:dyDescent="0.2">
      <c r="A15747" t="str">
        <f>"Parp4"</f>
        <v>Parp4</v>
      </c>
      <c r="B15747" t="s">
        <v>14</v>
      </c>
      <c r="C15747" t="s">
        <v>41</v>
      </c>
      <c r="D15747" t="s">
        <v>17</v>
      </c>
      <c r="E15747" t="s">
        <v>12</v>
      </c>
      <c r="F15747">
        <v>56575603</v>
      </c>
      <c r="G15747">
        <v>56575633</v>
      </c>
      <c r="H15747">
        <v>56575640</v>
      </c>
      <c r="I15747">
        <v>56575665</v>
      </c>
    </row>
    <row r="15748" spans="1:9" x14ac:dyDescent="0.2">
      <c r="A15748" t="str">
        <f>"Parp6"</f>
        <v>Parp6</v>
      </c>
      <c r="B15748" t="s">
        <v>14</v>
      </c>
      <c r="C15748" t="s">
        <v>24</v>
      </c>
      <c r="D15748" t="s">
        <v>17</v>
      </c>
      <c r="E15748" t="s">
        <v>12</v>
      </c>
      <c r="F15748">
        <v>59617302</v>
      </c>
      <c r="G15748">
        <v>59617378</v>
      </c>
      <c r="H15748">
        <v>59617238</v>
      </c>
      <c r="I15748">
        <v>59617282</v>
      </c>
    </row>
    <row r="15749" spans="1:9" x14ac:dyDescent="0.2">
      <c r="A15749" t="str">
        <f>"Parp8"</f>
        <v>Parp8</v>
      </c>
      <c r="B15749" t="s">
        <v>14</v>
      </c>
      <c r="C15749" t="s">
        <v>39</v>
      </c>
      <c r="D15749" t="s">
        <v>11</v>
      </c>
      <c r="E15749" t="s">
        <v>12</v>
      </c>
      <c r="F15749">
        <v>117025385</v>
      </c>
      <c r="G15749">
        <v>117025444</v>
      </c>
      <c r="H15749">
        <v>117025505</v>
      </c>
      <c r="I15749">
        <v>117025541</v>
      </c>
    </row>
    <row r="15750" spans="1:9" x14ac:dyDescent="0.2">
      <c r="A15750" t="str">
        <f>"Parp9"</f>
        <v>Parp9</v>
      </c>
      <c r="B15750" t="s">
        <v>14</v>
      </c>
      <c r="C15750" t="s">
        <v>31</v>
      </c>
      <c r="D15750" t="s">
        <v>17</v>
      </c>
      <c r="E15750" t="s">
        <v>12</v>
      </c>
      <c r="F15750">
        <v>35938972</v>
      </c>
      <c r="G15750">
        <v>35939072</v>
      </c>
      <c r="H15750">
        <v>35938805</v>
      </c>
      <c r="I15750">
        <v>35938836</v>
      </c>
    </row>
    <row r="15751" spans="1:9" x14ac:dyDescent="0.2">
      <c r="A15751" t="str">
        <f>"Parpbp"</f>
        <v>Parpbp</v>
      </c>
      <c r="B15751" t="s">
        <v>14</v>
      </c>
      <c r="C15751" t="s">
        <v>15</v>
      </c>
      <c r="D15751" t="s">
        <v>11</v>
      </c>
      <c r="E15751" t="s">
        <v>67</v>
      </c>
      <c r="F15751">
        <v>88146867</v>
      </c>
      <c r="G15751">
        <v>88146936</v>
      </c>
      <c r="H15751">
        <v>88146942</v>
      </c>
      <c r="I15751">
        <v>88146951</v>
      </c>
    </row>
    <row r="15752" spans="1:9" x14ac:dyDescent="0.2">
      <c r="A15752" t="str">
        <f>"Pars2"</f>
        <v>Pars2</v>
      </c>
      <c r="B15752" t="s">
        <v>14</v>
      </c>
      <c r="C15752" t="s">
        <v>23</v>
      </c>
      <c r="D15752" t="s">
        <v>17</v>
      </c>
      <c r="E15752" t="s">
        <v>12</v>
      </c>
      <c r="F15752">
        <v>106651087</v>
      </c>
      <c r="G15752">
        <v>106651120</v>
      </c>
      <c r="H15752">
        <v>106651126</v>
      </c>
      <c r="I15752">
        <v>106651133</v>
      </c>
    </row>
    <row r="15753" spans="1:9" x14ac:dyDescent="0.2">
      <c r="A15753" t="str">
        <f>"Parva"</f>
        <v>Parva</v>
      </c>
      <c r="B15753" t="s">
        <v>14</v>
      </c>
      <c r="C15753" t="s">
        <v>33</v>
      </c>
      <c r="D15753" t="s">
        <v>17</v>
      </c>
      <c r="E15753" t="s">
        <v>12</v>
      </c>
      <c r="F15753">
        <v>112427885</v>
      </c>
      <c r="G15753">
        <v>112427952</v>
      </c>
      <c r="H15753">
        <v>112427866</v>
      </c>
      <c r="I15753">
        <v>112427882</v>
      </c>
    </row>
    <row r="15754" spans="1:9" x14ac:dyDescent="0.2">
      <c r="A15754" t="str">
        <f>"Parvb"</f>
        <v>Parvb</v>
      </c>
      <c r="B15754" t="s">
        <v>14</v>
      </c>
      <c r="C15754" t="s">
        <v>25</v>
      </c>
      <c r="D15754" t="s">
        <v>17</v>
      </c>
      <c r="E15754" t="s">
        <v>12</v>
      </c>
      <c r="F15754">
        <v>84232050</v>
      </c>
      <c r="G15754">
        <v>84232076</v>
      </c>
      <c r="H15754">
        <v>84232030</v>
      </c>
      <c r="I15754">
        <v>84232041</v>
      </c>
    </row>
    <row r="15755" spans="1:9" x14ac:dyDescent="0.2">
      <c r="A15755" t="str">
        <f>"Parvg"</f>
        <v>Parvg</v>
      </c>
      <c r="B15755" t="s">
        <v>14</v>
      </c>
      <c r="C15755" t="s">
        <v>25</v>
      </c>
      <c r="D15755" t="s">
        <v>17</v>
      </c>
      <c r="E15755" t="s">
        <v>12</v>
      </c>
      <c r="F15755">
        <v>84324725</v>
      </c>
      <c r="G15755">
        <v>84324777</v>
      </c>
      <c r="H15755">
        <v>84324780</v>
      </c>
      <c r="I15755">
        <v>84324811</v>
      </c>
    </row>
    <row r="15756" spans="1:9" x14ac:dyDescent="0.2">
      <c r="A15756" t="str">
        <f>"Pask"</f>
        <v>Pask</v>
      </c>
      <c r="B15756" t="s">
        <v>14</v>
      </c>
      <c r="C15756" t="s">
        <v>19</v>
      </c>
      <c r="D15756" t="s">
        <v>11</v>
      </c>
      <c r="E15756" t="s">
        <v>12</v>
      </c>
      <c r="F15756">
        <v>93342734</v>
      </c>
      <c r="G15756">
        <v>93342803</v>
      </c>
      <c r="H15756">
        <v>93343498</v>
      </c>
      <c r="I15756">
        <v>93343524</v>
      </c>
    </row>
    <row r="15757" spans="1:9" x14ac:dyDescent="0.2">
      <c r="A15757" t="str">
        <f>"Pate2"</f>
        <v>Pate2</v>
      </c>
      <c r="B15757" t="s">
        <v>14</v>
      </c>
      <c r="C15757" t="s">
        <v>24</v>
      </c>
      <c r="D15757" t="s">
        <v>17</v>
      </c>
      <c r="E15757" t="s">
        <v>12</v>
      </c>
      <c r="F15757">
        <v>35669624</v>
      </c>
      <c r="G15757">
        <v>35669678</v>
      </c>
      <c r="H15757">
        <v>35669624</v>
      </c>
      <c r="I15757">
        <v>35669678</v>
      </c>
    </row>
    <row r="15758" spans="1:9" x14ac:dyDescent="0.2">
      <c r="A15758" t="str">
        <f>"Pate4"</f>
        <v>Pate4</v>
      </c>
      <c r="B15758" t="s">
        <v>14</v>
      </c>
      <c r="C15758" t="s">
        <v>24</v>
      </c>
      <c r="D15758" t="s">
        <v>11</v>
      </c>
      <c r="E15758" t="s">
        <v>12</v>
      </c>
      <c r="F15758">
        <v>35611861</v>
      </c>
      <c r="G15758">
        <v>35611878</v>
      </c>
      <c r="H15758">
        <v>35611987</v>
      </c>
      <c r="I15758">
        <v>35611995</v>
      </c>
    </row>
    <row r="15759" spans="1:9" x14ac:dyDescent="0.2">
      <c r="A15759" t="str">
        <f>"Patl1"</f>
        <v>Patl1</v>
      </c>
      <c r="B15759" t="s">
        <v>14</v>
      </c>
      <c r="C15759" t="s">
        <v>10</v>
      </c>
      <c r="D15759" t="s">
        <v>17</v>
      </c>
      <c r="E15759" t="s">
        <v>12</v>
      </c>
      <c r="F15759">
        <v>11912389</v>
      </c>
      <c r="G15759">
        <v>11912475</v>
      </c>
      <c r="H15759">
        <v>11912308</v>
      </c>
      <c r="I15759">
        <v>11912325</v>
      </c>
    </row>
    <row r="15760" spans="1:9" x14ac:dyDescent="0.2">
      <c r="A15760" t="str">
        <f>"Patl2"</f>
        <v>Patl2</v>
      </c>
      <c r="B15760" t="s">
        <v>14</v>
      </c>
      <c r="C15760" t="s">
        <v>26</v>
      </c>
      <c r="D15760" t="s">
        <v>11</v>
      </c>
      <c r="E15760" t="s">
        <v>12</v>
      </c>
      <c r="F15760">
        <v>122186157</v>
      </c>
      <c r="G15760">
        <v>122186189</v>
      </c>
      <c r="H15760">
        <v>122186157</v>
      </c>
      <c r="I15760">
        <v>122186189</v>
      </c>
    </row>
    <row r="15761" spans="1:9" x14ac:dyDescent="0.2">
      <c r="A15761" t="str">
        <f>"Patz1"</f>
        <v>Patz1</v>
      </c>
      <c r="B15761" t="s">
        <v>14</v>
      </c>
      <c r="C15761" t="s">
        <v>27</v>
      </c>
      <c r="D15761" t="s">
        <v>17</v>
      </c>
      <c r="E15761" t="s">
        <v>12</v>
      </c>
      <c r="F15761">
        <v>3289880</v>
      </c>
      <c r="G15761">
        <v>3289922</v>
      </c>
      <c r="H15761">
        <v>3289680</v>
      </c>
      <c r="I15761">
        <v>3289741</v>
      </c>
    </row>
    <row r="15762" spans="1:9" x14ac:dyDescent="0.2">
      <c r="A15762" t="str">
        <f>"Pawr"</f>
        <v>Pawr</v>
      </c>
      <c r="B15762" t="s">
        <v>14</v>
      </c>
      <c r="C15762" t="s">
        <v>15</v>
      </c>
      <c r="D15762" t="s">
        <v>17</v>
      </c>
      <c r="E15762" t="s">
        <v>12</v>
      </c>
      <c r="F15762">
        <v>108332112</v>
      </c>
      <c r="G15762">
        <v>108332159</v>
      </c>
      <c r="H15762">
        <v>108332694</v>
      </c>
      <c r="I15762">
        <v>108332743</v>
      </c>
    </row>
    <row r="15763" spans="1:9" x14ac:dyDescent="0.2">
      <c r="A15763" t="str">
        <f>"Pax1"</f>
        <v>Pax1</v>
      </c>
      <c r="B15763" t="s">
        <v>14</v>
      </c>
      <c r="C15763" t="s">
        <v>26</v>
      </c>
      <c r="D15763" t="s">
        <v>17</v>
      </c>
      <c r="E15763" t="s">
        <v>12</v>
      </c>
      <c r="F15763">
        <v>147365013</v>
      </c>
      <c r="G15763">
        <v>147365033</v>
      </c>
      <c r="H15763">
        <v>147364989</v>
      </c>
      <c r="I15763">
        <v>147365011</v>
      </c>
    </row>
    <row r="15764" spans="1:9" x14ac:dyDescent="0.2">
      <c r="A15764" t="str">
        <f>"Pax2"</f>
        <v>Pax2</v>
      </c>
      <c r="B15764" t="s">
        <v>14</v>
      </c>
      <c r="C15764" t="s">
        <v>10</v>
      </c>
      <c r="D15764" t="s">
        <v>17</v>
      </c>
      <c r="E15764" t="s">
        <v>12</v>
      </c>
      <c r="F15764">
        <v>44756900</v>
      </c>
      <c r="G15764">
        <v>44756924</v>
      </c>
      <c r="H15764">
        <v>44757330</v>
      </c>
      <c r="I15764">
        <v>44757347</v>
      </c>
    </row>
    <row r="15765" spans="1:9" x14ac:dyDescent="0.2">
      <c r="A15765" t="str">
        <f>"Pax3"</f>
        <v>Pax3</v>
      </c>
      <c r="B15765" t="s">
        <v>14</v>
      </c>
      <c r="C15765" t="s">
        <v>19</v>
      </c>
      <c r="D15765" t="s">
        <v>11</v>
      </c>
      <c r="E15765" t="s">
        <v>12</v>
      </c>
      <c r="F15765">
        <v>78197112</v>
      </c>
      <c r="G15765">
        <v>78197117</v>
      </c>
      <c r="H15765">
        <v>78196832</v>
      </c>
      <c r="I15765">
        <v>78196845</v>
      </c>
    </row>
    <row r="15766" spans="1:9" x14ac:dyDescent="0.2">
      <c r="A15766" t="str">
        <f>"Pax4"</f>
        <v>Pax4</v>
      </c>
      <c r="B15766" t="s">
        <v>14</v>
      </c>
      <c r="C15766" t="s">
        <v>32</v>
      </c>
      <c r="D15766" t="s">
        <v>11</v>
      </c>
      <c r="E15766" t="s">
        <v>12</v>
      </c>
      <c r="F15766">
        <v>28449336</v>
      </c>
      <c r="G15766">
        <v>28449342</v>
      </c>
      <c r="H15766">
        <v>28449300</v>
      </c>
      <c r="I15766">
        <v>28449311</v>
      </c>
    </row>
    <row r="15767" spans="1:9" x14ac:dyDescent="0.2">
      <c r="A15767" t="str">
        <f>"Pax5"</f>
        <v>Pax5</v>
      </c>
      <c r="B15767" t="s">
        <v>14</v>
      </c>
      <c r="C15767" t="s">
        <v>23</v>
      </c>
      <c r="D15767" t="s">
        <v>11</v>
      </c>
      <c r="E15767" t="s">
        <v>12</v>
      </c>
      <c r="F15767">
        <v>44710687</v>
      </c>
      <c r="G15767">
        <v>44710721</v>
      </c>
      <c r="H15767">
        <v>44710648</v>
      </c>
      <c r="I15767">
        <v>44710672</v>
      </c>
    </row>
    <row r="15768" spans="1:9" x14ac:dyDescent="0.2">
      <c r="A15768" t="str">
        <f>"Pax6"</f>
        <v>Pax6</v>
      </c>
      <c r="B15768" t="s">
        <v>9</v>
      </c>
      <c r="C15768" t="s">
        <v>26</v>
      </c>
      <c r="D15768" t="s">
        <v>17</v>
      </c>
      <c r="E15768" t="s">
        <v>12</v>
      </c>
      <c r="F15768">
        <v>105668888</v>
      </c>
      <c r="G15768">
        <v>105668914</v>
      </c>
      <c r="H15768">
        <v>105668888</v>
      </c>
      <c r="I15768">
        <v>105668914</v>
      </c>
    </row>
    <row r="15769" spans="1:9" x14ac:dyDescent="0.2">
      <c r="A15769" t="str">
        <f>"Pax6"</f>
        <v>Pax6</v>
      </c>
      <c r="B15769" t="s">
        <v>13</v>
      </c>
      <c r="C15769" t="s">
        <v>26</v>
      </c>
      <c r="D15769" t="s">
        <v>17</v>
      </c>
      <c r="E15769" t="s">
        <v>12</v>
      </c>
      <c r="F15769">
        <v>105682505</v>
      </c>
      <c r="G15769">
        <v>105682530</v>
      </c>
      <c r="H15769">
        <v>105682505</v>
      </c>
      <c r="I15769">
        <v>105682530</v>
      </c>
    </row>
    <row r="15770" spans="1:9" x14ac:dyDescent="0.2">
      <c r="A15770" t="str">
        <f>"Pax7"</f>
        <v>Pax7</v>
      </c>
      <c r="B15770" t="s">
        <v>14</v>
      </c>
      <c r="C15770" t="s">
        <v>23</v>
      </c>
      <c r="D15770" t="s">
        <v>11</v>
      </c>
      <c r="E15770" t="s">
        <v>12</v>
      </c>
      <c r="F15770">
        <v>139832920</v>
      </c>
      <c r="G15770">
        <v>139832952</v>
      </c>
      <c r="H15770">
        <v>139832962</v>
      </c>
      <c r="I15770">
        <v>139832979</v>
      </c>
    </row>
    <row r="15771" spans="1:9" x14ac:dyDescent="0.2">
      <c r="A15771" t="str">
        <f>"Pax8"</f>
        <v>Pax8</v>
      </c>
      <c r="B15771" t="s">
        <v>14</v>
      </c>
      <c r="C15771" t="s">
        <v>26</v>
      </c>
      <c r="D15771" t="s">
        <v>11</v>
      </c>
      <c r="E15771" t="s">
        <v>12</v>
      </c>
      <c r="F15771">
        <v>24475565</v>
      </c>
      <c r="G15771">
        <v>24475580</v>
      </c>
      <c r="H15771">
        <v>24475596</v>
      </c>
      <c r="I15771">
        <v>24475605</v>
      </c>
    </row>
    <row r="15772" spans="1:9" x14ac:dyDescent="0.2">
      <c r="A15772" t="str">
        <f>"Pax9"</f>
        <v>Pax9</v>
      </c>
      <c r="B15772" t="s">
        <v>14</v>
      </c>
      <c r="C15772" t="s">
        <v>16</v>
      </c>
      <c r="D15772" t="s">
        <v>17</v>
      </c>
      <c r="E15772" t="s">
        <v>12</v>
      </c>
      <c r="F15772">
        <v>56695628</v>
      </c>
      <c r="G15772">
        <v>56695700</v>
      </c>
      <c r="H15772">
        <v>56695628</v>
      </c>
      <c r="I15772">
        <v>56695700</v>
      </c>
    </row>
    <row r="15773" spans="1:9" x14ac:dyDescent="0.2">
      <c r="A15773" t="str">
        <f>"Paxbp1"</f>
        <v>Paxbp1</v>
      </c>
      <c r="B15773" t="s">
        <v>14</v>
      </c>
      <c r="C15773" t="s">
        <v>31</v>
      </c>
      <c r="D15773" t="s">
        <v>11</v>
      </c>
      <c r="E15773" t="s">
        <v>67</v>
      </c>
      <c r="F15773">
        <v>91044382</v>
      </c>
      <c r="G15773">
        <v>91044458</v>
      </c>
      <c r="H15773">
        <v>91044473</v>
      </c>
      <c r="I15773">
        <v>91044520</v>
      </c>
    </row>
    <row r="15774" spans="1:9" x14ac:dyDescent="0.2">
      <c r="A15774" t="str">
        <f>"Paxip1"</f>
        <v>Paxip1</v>
      </c>
      <c r="B15774" t="s">
        <v>14</v>
      </c>
      <c r="C15774" t="s">
        <v>46</v>
      </c>
      <c r="D15774" t="s">
        <v>11</v>
      </c>
      <c r="E15774" t="s">
        <v>12</v>
      </c>
      <c r="F15774">
        <v>27791340</v>
      </c>
      <c r="G15774">
        <v>27791420</v>
      </c>
      <c r="H15774">
        <v>27791340</v>
      </c>
      <c r="I15774">
        <v>27791420</v>
      </c>
    </row>
    <row r="15775" spans="1:9" x14ac:dyDescent="0.2">
      <c r="A15775" t="str">
        <f>"Pbdc1"</f>
        <v>Pbdc1</v>
      </c>
      <c r="B15775" t="s">
        <v>14</v>
      </c>
      <c r="C15775" t="s">
        <v>37</v>
      </c>
      <c r="D15775" t="s">
        <v>17</v>
      </c>
      <c r="E15775" t="s">
        <v>67</v>
      </c>
      <c r="F15775">
        <v>105079764</v>
      </c>
      <c r="G15775">
        <v>105079803</v>
      </c>
      <c r="H15775">
        <v>105079735</v>
      </c>
      <c r="I15775">
        <v>105079754</v>
      </c>
    </row>
    <row r="15776" spans="1:9" x14ac:dyDescent="0.2">
      <c r="A15776" t="str">
        <f>"Pbk"</f>
        <v>Pbk</v>
      </c>
      <c r="B15776" t="s">
        <v>14</v>
      </c>
      <c r="C15776" t="s">
        <v>41</v>
      </c>
      <c r="D15776" t="s">
        <v>17</v>
      </c>
      <c r="E15776" t="s">
        <v>12</v>
      </c>
      <c r="F15776">
        <v>65805847</v>
      </c>
      <c r="G15776">
        <v>65805897</v>
      </c>
      <c r="H15776">
        <v>65806044</v>
      </c>
      <c r="I15776">
        <v>65806065</v>
      </c>
    </row>
    <row r="15777" spans="1:9" x14ac:dyDescent="0.2">
      <c r="A15777" t="str">
        <f>"Pbld1"</f>
        <v>Pbld1</v>
      </c>
      <c r="B15777" t="s">
        <v>14</v>
      </c>
      <c r="C15777" t="s">
        <v>15</v>
      </c>
      <c r="D15777" t="s">
        <v>17</v>
      </c>
      <c r="E15777" t="s">
        <v>12</v>
      </c>
      <c r="F15777">
        <v>63061586</v>
      </c>
      <c r="G15777">
        <v>63061602</v>
      </c>
      <c r="H15777">
        <v>63060630</v>
      </c>
      <c r="I15777">
        <v>63060657</v>
      </c>
    </row>
    <row r="15778" spans="1:9" x14ac:dyDescent="0.2">
      <c r="A15778" t="str">
        <f>"Pbld2"</f>
        <v>Pbld2</v>
      </c>
      <c r="B15778" t="s">
        <v>14</v>
      </c>
      <c r="C15778" t="s">
        <v>15</v>
      </c>
      <c r="D15778" t="s">
        <v>17</v>
      </c>
      <c r="E15778" t="s">
        <v>12</v>
      </c>
      <c r="F15778">
        <v>63024049</v>
      </c>
      <c r="G15778">
        <v>63024066</v>
      </c>
      <c r="H15778">
        <v>63024025</v>
      </c>
      <c r="I15778">
        <v>63024038</v>
      </c>
    </row>
    <row r="15779" spans="1:9" x14ac:dyDescent="0.2">
      <c r="A15779" t="str">
        <f>"Pbp2"</f>
        <v>Pbp2</v>
      </c>
      <c r="B15779" t="s">
        <v>14</v>
      </c>
      <c r="C15779" t="s">
        <v>32</v>
      </c>
      <c r="D15779" t="s">
        <v>11</v>
      </c>
      <c r="E15779" t="s">
        <v>12</v>
      </c>
      <c r="F15779">
        <v>135310349</v>
      </c>
      <c r="G15779">
        <v>135310370</v>
      </c>
      <c r="H15779">
        <v>135310374</v>
      </c>
      <c r="I15779">
        <v>135310385</v>
      </c>
    </row>
    <row r="15780" spans="1:9" x14ac:dyDescent="0.2">
      <c r="A15780" t="str">
        <f>"Pbrm1"</f>
        <v>Pbrm1</v>
      </c>
      <c r="B15780" t="s">
        <v>14</v>
      </c>
      <c r="C15780" t="s">
        <v>41</v>
      </c>
      <c r="D15780" t="s">
        <v>17</v>
      </c>
      <c r="E15780" t="s">
        <v>12</v>
      </c>
      <c r="F15780">
        <v>31019125</v>
      </c>
      <c r="G15780">
        <v>31019157</v>
      </c>
      <c r="H15780">
        <v>31019159</v>
      </c>
      <c r="I15780">
        <v>31019178</v>
      </c>
    </row>
    <row r="15781" spans="1:9" x14ac:dyDescent="0.2">
      <c r="A15781" t="str">
        <f>"Pbsn"</f>
        <v>Pbsn</v>
      </c>
      <c r="B15781" t="s">
        <v>14</v>
      </c>
      <c r="C15781" t="s">
        <v>37</v>
      </c>
      <c r="D15781" t="s">
        <v>11</v>
      </c>
      <c r="E15781" t="s">
        <v>12</v>
      </c>
      <c r="F15781">
        <v>77853517</v>
      </c>
      <c r="G15781">
        <v>77853528</v>
      </c>
      <c r="H15781">
        <v>77853517</v>
      </c>
      <c r="I15781">
        <v>77853528</v>
      </c>
    </row>
    <row r="15782" spans="1:9" x14ac:dyDescent="0.2">
      <c r="A15782" t="str">
        <f>"Pbx1"</f>
        <v>Pbx1</v>
      </c>
      <c r="B15782" t="s">
        <v>14</v>
      </c>
      <c r="C15782" t="s">
        <v>19</v>
      </c>
      <c r="D15782" t="s">
        <v>11</v>
      </c>
      <c r="E15782" t="s">
        <v>12</v>
      </c>
      <c r="F15782">
        <v>168432142</v>
      </c>
      <c r="G15782">
        <v>168432186</v>
      </c>
      <c r="H15782">
        <v>168432142</v>
      </c>
      <c r="I15782">
        <v>168432186</v>
      </c>
    </row>
    <row r="15783" spans="1:9" x14ac:dyDescent="0.2">
      <c r="A15783" t="str">
        <f>"Pbx2"</f>
        <v>Pbx2</v>
      </c>
      <c r="B15783" t="s">
        <v>9</v>
      </c>
      <c r="C15783" t="s">
        <v>28</v>
      </c>
      <c r="D15783" t="s">
        <v>17</v>
      </c>
      <c r="E15783" t="s">
        <v>12</v>
      </c>
      <c r="F15783">
        <v>34592248</v>
      </c>
      <c r="G15783">
        <v>34592329</v>
      </c>
      <c r="H15783">
        <v>34592248</v>
      </c>
      <c r="I15783">
        <v>34592329</v>
      </c>
    </row>
    <row r="15784" spans="1:9" x14ac:dyDescent="0.2">
      <c r="A15784" t="str">
        <f>"Pbx2"</f>
        <v>Pbx2</v>
      </c>
      <c r="B15784" t="s">
        <v>13</v>
      </c>
      <c r="C15784" t="s">
        <v>28</v>
      </c>
      <c r="D15784" t="s">
        <v>17</v>
      </c>
      <c r="E15784" t="s">
        <v>12</v>
      </c>
      <c r="F15784">
        <v>34593388</v>
      </c>
      <c r="G15784">
        <v>34593417</v>
      </c>
      <c r="H15784">
        <v>34593388</v>
      </c>
      <c r="I15784">
        <v>34593417</v>
      </c>
    </row>
    <row r="15785" spans="1:9" x14ac:dyDescent="0.2">
      <c r="A15785" t="str">
        <f>"Pbx3"</f>
        <v>Pbx3</v>
      </c>
      <c r="B15785" t="s">
        <v>14</v>
      </c>
      <c r="C15785" t="s">
        <v>26</v>
      </c>
      <c r="D15785" t="s">
        <v>11</v>
      </c>
      <c r="E15785" t="s">
        <v>12</v>
      </c>
      <c r="F15785">
        <v>34371926</v>
      </c>
      <c r="G15785">
        <v>34371991</v>
      </c>
      <c r="H15785">
        <v>34372004</v>
      </c>
      <c r="I15785">
        <v>34372027</v>
      </c>
    </row>
    <row r="15786" spans="1:9" x14ac:dyDescent="0.2">
      <c r="A15786" t="str">
        <f>"Pbx4"</f>
        <v>Pbx4</v>
      </c>
      <c r="B15786" t="s">
        <v>14</v>
      </c>
      <c r="C15786" t="s">
        <v>30</v>
      </c>
      <c r="D15786" t="s">
        <v>17</v>
      </c>
      <c r="E15786" t="s">
        <v>12</v>
      </c>
      <c r="F15786">
        <v>69832633</v>
      </c>
      <c r="G15786">
        <v>69832712</v>
      </c>
      <c r="H15786">
        <v>69832485</v>
      </c>
      <c r="I15786">
        <v>69832535</v>
      </c>
    </row>
    <row r="15787" spans="1:9" x14ac:dyDescent="0.2">
      <c r="A15787" t="str">
        <f>"Pbxip1"</f>
        <v>Pbxip1</v>
      </c>
      <c r="B15787" t="s">
        <v>14</v>
      </c>
      <c r="C15787" t="s">
        <v>22</v>
      </c>
      <c r="D15787" t="s">
        <v>17</v>
      </c>
      <c r="E15787" t="s">
        <v>12</v>
      </c>
      <c r="F15787">
        <v>89436736</v>
      </c>
      <c r="G15787">
        <v>89436761</v>
      </c>
      <c r="H15787">
        <v>89436699</v>
      </c>
      <c r="I15787">
        <v>89436734</v>
      </c>
    </row>
    <row r="15788" spans="1:9" x14ac:dyDescent="0.2">
      <c r="A15788" t="str">
        <f>"Pcbd1"</f>
        <v>Pcbd1</v>
      </c>
      <c r="B15788" t="s">
        <v>14</v>
      </c>
      <c r="C15788" t="s">
        <v>15</v>
      </c>
      <c r="D15788" t="s">
        <v>17</v>
      </c>
      <c r="E15788" t="s">
        <v>12</v>
      </c>
      <c r="F15788">
        <v>61089348</v>
      </c>
      <c r="G15788">
        <v>61089396</v>
      </c>
      <c r="H15788">
        <v>61089327</v>
      </c>
      <c r="I15788">
        <v>61089345</v>
      </c>
    </row>
    <row r="15789" spans="1:9" x14ac:dyDescent="0.2">
      <c r="A15789" t="str">
        <f>"Pcbd2"</f>
        <v>Pcbd2</v>
      </c>
      <c r="B15789" t="s">
        <v>14</v>
      </c>
      <c r="C15789" t="s">
        <v>39</v>
      </c>
      <c r="D15789" t="s">
        <v>17</v>
      </c>
      <c r="E15789" t="s">
        <v>12</v>
      </c>
      <c r="F15789">
        <v>55727345</v>
      </c>
      <c r="G15789">
        <v>55727382</v>
      </c>
      <c r="H15789">
        <v>55727217</v>
      </c>
      <c r="I15789">
        <v>55727249</v>
      </c>
    </row>
    <row r="15790" spans="1:9" x14ac:dyDescent="0.2">
      <c r="A15790" t="str">
        <f>"Pcbp1"</f>
        <v>Pcbp1</v>
      </c>
      <c r="B15790" t="s">
        <v>14</v>
      </c>
      <c r="C15790" t="s">
        <v>32</v>
      </c>
      <c r="D15790" t="s">
        <v>11</v>
      </c>
      <c r="E15790" t="s">
        <v>12</v>
      </c>
      <c r="F15790">
        <v>86526164</v>
      </c>
      <c r="G15790">
        <v>86526187</v>
      </c>
      <c r="H15790">
        <v>86525930</v>
      </c>
      <c r="I15790">
        <v>86525941</v>
      </c>
    </row>
    <row r="15791" spans="1:9" x14ac:dyDescent="0.2">
      <c r="A15791" t="str">
        <f>"Pcbp2"</f>
        <v>Pcbp2</v>
      </c>
      <c r="B15791" t="s">
        <v>14</v>
      </c>
      <c r="C15791" t="s">
        <v>25</v>
      </c>
      <c r="D15791" t="s">
        <v>17</v>
      </c>
      <c r="E15791" t="s">
        <v>12</v>
      </c>
      <c r="F15791">
        <v>102470534</v>
      </c>
      <c r="G15791">
        <v>102470546</v>
      </c>
      <c r="H15791">
        <v>102470718</v>
      </c>
      <c r="I15791">
        <v>102470790</v>
      </c>
    </row>
    <row r="15792" spans="1:9" x14ac:dyDescent="0.2">
      <c r="A15792" t="str">
        <f>"Pcbp3"</f>
        <v>Pcbp3</v>
      </c>
      <c r="B15792" t="s">
        <v>14</v>
      </c>
      <c r="C15792" t="s">
        <v>15</v>
      </c>
      <c r="D15792" t="s">
        <v>11</v>
      </c>
      <c r="E15792" t="s">
        <v>12</v>
      </c>
      <c r="F15792">
        <v>76961868</v>
      </c>
      <c r="G15792">
        <v>76961944</v>
      </c>
      <c r="H15792">
        <v>76961868</v>
      </c>
      <c r="I15792">
        <v>76961944</v>
      </c>
    </row>
    <row r="15793" spans="1:9" x14ac:dyDescent="0.2">
      <c r="A15793" t="str">
        <f>"Pcbp4"</f>
        <v>Pcbp4</v>
      </c>
      <c r="B15793" t="s">
        <v>14</v>
      </c>
      <c r="C15793" t="s">
        <v>24</v>
      </c>
      <c r="D15793" t="s">
        <v>17</v>
      </c>
      <c r="E15793" t="s">
        <v>12</v>
      </c>
      <c r="F15793">
        <v>106453880</v>
      </c>
      <c r="G15793">
        <v>106453911</v>
      </c>
      <c r="H15793">
        <v>106453912</v>
      </c>
      <c r="I15793">
        <v>106453933</v>
      </c>
    </row>
    <row r="15794" spans="1:9" x14ac:dyDescent="0.2">
      <c r="A15794" t="str">
        <f>"Pcca"</f>
        <v>Pcca</v>
      </c>
      <c r="B15794" t="s">
        <v>14</v>
      </c>
      <c r="C15794" t="s">
        <v>41</v>
      </c>
      <c r="D15794" t="s">
        <v>17</v>
      </c>
      <c r="E15794" t="s">
        <v>12</v>
      </c>
      <c r="F15794">
        <v>122534305</v>
      </c>
      <c r="G15794">
        <v>122534367</v>
      </c>
      <c r="H15794">
        <v>122534305</v>
      </c>
      <c r="I15794">
        <v>122534367</v>
      </c>
    </row>
    <row r="15795" spans="1:9" x14ac:dyDescent="0.2">
      <c r="A15795" t="str">
        <f>"Pccb"</f>
        <v>Pccb</v>
      </c>
      <c r="B15795" t="s">
        <v>14</v>
      </c>
      <c r="C15795" t="s">
        <v>24</v>
      </c>
      <c r="D15795" t="s">
        <v>11</v>
      </c>
      <c r="E15795" t="s">
        <v>12</v>
      </c>
      <c r="F15795">
        <v>101034857</v>
      </c>
      <c r="G15795">
        <v>101034867</v>
      </c>
      <c r="H15795">
        <v>101034892</v>
      </c>
      <c r="I15795">
        <v>101034904</v>
      </c>
    </row>
    <row r="15796" spans="1:9" x14ac:dyDescent="0.2">
      <c r="A15796" t="str">
        <f>"Pcdh1"</f>
        <v>Pcdh1</v>
      </c>
      <c r="B15796" t="s">
        <v>9</v>
      </c>
      <c r="C15796" t="s">
        <v>43</v>
      </c>
      <c r="D15796" t="s">
        <v>11</v>
      </c>
      <c r="E15796" t="s">
        <v>12</v>
      </c>
      <c r="F15796">
        <v>38211957</v>
      </c>
      <c r="G15796">
        <v>38211995</v>
      </c>
      <c r="H15796">
        <v>38211957</v>
      </c>
      <c r="I15796">
        <v>38211995</v>
      </c>
    </row>
    <row r="15797" spans="1:9" x14ac:dyDescent="0.2">
      <c r="A15797" t="str">
        <f>"Pcdh1"</f>
        <v>Pcdh1</v>
      </c>
      <c r="B15797" t="s">
        <v>13</v>
      </c>
      <c r="C15797" t="s">
        <v>43</v>
      </c>
      <c r="D15797" t="s">
        <v>11</v>
      </c>
      <c r="E15797" t="s">
        <v>12</v>
      </c>
      <c r="F15797">
        <v>38209676</v>
      </c>
      <c r="G15797">
        <v>38209728</v>
      </c>
      <c r="H15797">
        <v>38209676</v>
      </c>
      <c r="I15797">
        <v>38209728</v>
      </c>
    </row>
    <row r="15798" spans="1:9" x14ac:dyDescent="0.2">
      <c r="A15798" t="str">
        <f>"Pcdh10"</f>
        <v>Pcdh10</v>
      </c>
      <c r="B15798" t="s">
        <v>14</v>
      </c>
      <c r="C15798" t="s">
        <v>22</v>
      </c>
      <c r="D15798" t="s">
        <v>17</v>
      </c>
      <c r="E15798" t="s">
        <v>12</v>
      </c>
      <c r="F15798">
        <v>45378396</v>
      </c>
      <c r="G15798">
        <v>45378413</v>
      </c>
      <c r="H15798">
        <v>45378396</v>
      </c>
      <c r="I15798">
        <v>45378413</v>
      </c>
    </row>
    <row r="15799" spans="1:9" x14ac:dyDescent="0.2">
      <c r="A15799" t="str">
        <f>"Pcdh11x"</f>
        <v>Pcdh11x</v>
      </c>
      <c r="B15799" t="s">
        <v>14</v>
      </c>
      <c r="C15799" t="s">
        <v>37</v>
      </c>
      <c r="D15799" t="s">
        <v>17</v>
      </c>
      <c r="E15799" t="s">
        <v>12</v>
      </c>
      <c r="F15799">
        <v>120290319</v>
      </c>
      <c r="G15799">
        <v>120290333</v>
      </c>
      <c r="H15799">
        <v>120290160</v>
      </c>
      <c r="I15799">
        <v>120290162</v>
      </c>
    </row>
    <row r="15800" spans="1:9" x14ac:dyDescent="0.2">
      <c r="A15800" t="str">
        <f>"Pcdh12"</f>
        <v>Pcdh12</v>
      </c>
      <c r="B15800" t="s">
        <v>14</v>
      </c>
      <c r="C15800" t="s">
        <v>43</v>
      </c>
      <c r="D15800" t="s">
        <v>11</v>
      </c>
      <c r="E15800" t="s">
        <v>12</v>
      </c>
      <c r="F15800">
        <v>38284391</v>
      </c>
      <c r="G15800">
        <v>38284408</v>
      </c>
      <c r="H15800">
        <v>38284322</v>
      </c>
      <c r="I15800">
        <v>38284328</v>
      </c>
    </row>
    <row r="15801" spans="1:9" x14ac:dyDescent="0.2">
      <c r="A15801" t="str">
        <f>"Pcdh17"</f>
        <v>Pcdh17</v>
      </c>
      <c r="B15801" t="s">
        <v>14</v>
      </c>
      <c r="C15801" t="s">
        <v>41</v>
      </c>
      <c r="D15801" t="s">
        <v>17</v>
      </c>
      <c r="E15801" t="s">
        <v>12</v>
      </c>
      <c r="F15801">
        <v>84443553</v>
      </c>
      <c r="G15801">
        <v>84443568</v>
      </c>
      <c r="H15801">
        <v>84443988</v>
      </c>
      <c r="I15801">
        <v>84443992</v>
      </c>
    </row>
    <row r="15802" spans="1:9" x14ac:dyDescent="0.2">
      <c r="A15802" t="str">
        <f>"Pcdh18"</f>
        <v>Pcdh18</v>
      </c>
      <c r="B15802" t="s">
        <v>14</v>
      </c>
      <c r="C15802" t="s">
        <v>22</v>
      </c>
      <c r="D15802" t="s">
        <v>11</v>
      </c>
      <c r="E15802" t="s">
        <v>12</v>
      </c>
      <c r="F15802">
        <v>49757257</v>
      </c>
      <c r="G15802">
        <v>49757308</v>
      </c>
      <c r="H15802">
        <v>49757241</v>
      </c>
      <c r="I15802">
        <v>49757250</v>
      </c>
    </row>
    <row r="15803" spans="1:9" x14ac:dyDescent="0.2">
      <c r="A15803" t="str">
        <f>"Pcdh19"</f>
        <v>Pcdh19</v>
      </c>
      <c r="B15803" t="s">
        <v>14</v>
      </c>
      <c r="C15803" t="s">
        <v>37</v>
      </c>
      <c r="D15803" t="s">
        <v>11</v>
      </c>
      <c r="E15803" t="s">
        <v>12</v>
      </c>
      <c r="F15803">
        <v>133688978</v>
      </c>
      <c r="G15803">
        <v>133689005</v>
      </c>
      <c r="H15803">
        <v>133689007</v>
      </c>
      <c r="I15803">
        <v>133689016</v>
      </c>
    </row>
    <row r="15804" spans="1:9" x14ac:dyDescent="0.2">
      <c r="A15804" t="str">
        <f>"Pcdh20"</f>
        <v>Pcdh20</v>
      </c>
      <c r="B15804" t="s">
        <v>5578</v>
      </c>
      <c r="C15804" t="s">
        <v>41</v>
      </c>
      <c r="D15804" t="s">
        <v>11</v>
      </c>
      <c r="E15804" t="s">
        <v>20</v>
      </c>
      <c r="F15804">
        <v>88471395</v>
      </c>
      <c r="G15804">
        <v>88471395</v>
      </c>
      <c r="H15804">
        <v>88471395</v>
      </c>
      <c r="I15804">
        <v>88471395</v>
      </c>
    </row>
    <row r="15805" spans="1:9" x14ac:dyDescent="0.2">
      <c r="A15805" t="str">
        <f>"Pcdh7"</f>
        <v>Pcdh7</v>
      </c>
      <c r="B15805" t="s">
        <v>9</v>
      </c>
      <c r="C15805" t="s">
        <v>46</v>
      </c>
      <c r="D15805" t="s">
        <v>17</v>
      </c>
      <c r="E15805" t="s">
        <v>12</v>
      </c>
      <c r="F15805">
        <v>57718035</v>
      </c>
      <c r="G15805">
        <v>57718104</v>
      </c>
      <c r="H15805">
        <v>57718035</v>
      </c>
      <c r="I15805">
        <v>57718104</v>
      </c>
    </row>
    <row r="15806" spans="1:9" x14ac:dyDescent="0.2">
      <c r="A15806" t="str">
        <f>"Pcdh7"</f>
        <v>Pcdh7</v>
      </c>
      <c r="B15806" t="s">
        <v>13</v>
      </c>
      <c r="C15806" t="s">
        <v>46</v>
      </c>
      <c r="D15806" t="s">
        <v>17</v>
      </c>
      <c r="E15806" t="s">
        <v>12</v>
      </c>
      <c r="F15806">
        <v>57719061</v>
      </c>
      <c r="G15806">
        <v>57719114</v>
      </c>
      <c r="H15806">
        <v>57719061</v>
      </c>
      <c r="I15806">
        <v>57719114</v>
      </c>
    </row>
    <row r="15807" spans="1:9" x14ac:dyDescent="0.2">
      <c r="A15807" t="str">
        <f>"Pcdh8"</f>
        <v>Pcdh8</v>
      </c>
      <c r="B15807" t="s">
        <v>14</v>
      </c>
      <c r="C15807" t="s">
        <v>41</v>
      </c>
      <c r="D15807" t="s">
        <v>11</v>
      </c>
      <c r="E15807" t="s">
        <v>12</v>
      </c>
      <c r="F15807">
        <v>79771305</v>
      </c>
      <c r="G15807">
        <v>79771318</v>
      </c>
      <c r="H15807">
        <v>79771305</v>
      </c>
      <c r="I15807">
        <v>79771318</v>
      </c>
    </row>
    <row r="15808" spans="1:9" x14ac:dyDescent="0.2">
      <c r="A15808" t="str">
        <f>"Pcdh9"</f>
        <v>Pcdh9</v>
      </c>
      <c r="B15808" t="s">
        <v>14</v>
      </c>
      <c r="C15808" t="s">
        <v>41</v>
      </c>
      <c r="D15808" t="s">
        <v>11</v>
      </c>
      <c r="E15808" t="s">
        <v>12</v>
      </c>
      <c r="F15808">
        <v>93890674</v>
      </c>
      <c r="G15808">
        <v>93890689</v>
      </c>
      <c r="H15808">
        <v>93890692</v>
      </c>
      <c r="I15808">
        <v>93890716</v>
      </c>
    </row>
    <row r="15809" spans="1:9" x14ac:dyDescent="0.2">
      <c r="A15809" t="str">
        <f>"Pcdha2"</f>
        <v>Pcdha2</v>
      </c>
      <c r="B15809" t="s">
        <v>5579</v>
      </c>
      <c r="C15809" t="s">
        <v>43</v>
      </c>
      <c r="D15809" t="s">
        <v>17</v>
      </c>
      <c r="E15809" t="s">
        <v>35</v>
      </c>
      <c r="F15809">
        <v>36939120</v>
      </c>
      <c r="G15809">
        <v>36939128</v>
      </c>
      <c r="H15809">
        <v>36939178</v>
      </c>
      <c r="I15809">
        <v>36939212</v>
      </c>
    </row>
    <row r="15810" spans="1:9" x14ac:dyDescent="0.2">
      <c r="A15810" t="str">
        <f>"Pcdhb1"</f>
        <v>Pcdhb1</v>
      </c>
      <c r="B15810" t="s">
        <v>5580</v>
      </c>
      <c r="C15810" t="s">
        <v>43</v>
      </c>
      <c r="D15810" t="s">
        <v>17</v>
      </c>
      <c r="E15810" t="s">
        <v>20</v>
      </c>
      <c r="F15810">
        <v>37264997</v>
      </c>
      <c r="G15810">
        <v>37264997</v>
      </c>
      <c r="H15810">
        <v>37264997</v>
      </c>
      <c r="I15810">
        <v>37264997</v>
      </c>
    </row>
    <row r="15811" spans="1:9" x14ac:dyDescent="0.2">
      <c r="A15811" t="str">
        <f>"Pcdhb10"</f>
        <v>Pcdhb10</v>
      </c>
      <c r="B15811" t="s">
        <v>14</v>
      </c>
      <c r="C15811" t="s">
        <v>43</v>
      </c>
      <c r="D15811" t="s">
        <v>17</v>
      </c>
      <c r="E15811" t="s">
        <v>12</v>
      </c>
      <c r="F15811">
        <v>37411693</v>
      </c>
      <c r="G15811">
        <v>37411712</v>
      </c>
      <c r="H15811">
        <v>37411723</v>
      </c>
      <c r="I15811">
        <v>37411732</v>
      </c>
    </row>
    <row r="15812" spans="1:9" x14ac:dyDescent="0.2">
      <c r="A15812" t="str">
        <f>"Pcdhb11"</f>
        <v>Pcdhb11</v>
      </c>
      <c r="B15812" t="s">
        <v>14</v>
      </c>
      <c r="C15812" t="s">
        <v>43</v>
      </c>
      <c r="D15812" t="s">
        <v>17</v>
      </c>
      <c r="E15812" t="s">
        <v>12</v>
      </c>
      <c r="F15812">
        <v>37421428</v>
      </c>
      <c r="G15812">
        <v>37421455</v>
      </c>
      <c r="H15812">
        <v>37421412</v>
      </c>
      <c r="I15812">
        <v>37421424</v>
      </c>
    </row>
    <row r="15813" spans="1:9" x14ac:dyDescent="0.2">
      <c r="A15813" t="str">
        <f>"Pcdhb12"</f>
        <v>Pcdhb12</v>
      </c>
      <c r="B15813" t="s">
        <v>14</v>
      </c>
      <c r="C15813" t="s">
        <v>43</v>
      </c>
      <c r="D15813" t="s">
        <v>17</v>
      </c>
      <c r="E15813" t="s">
        <v>12</v>
      </c>
      <c r="F15813">
        <v>37435602</v>
      </c>
      <c r="G15813">
        <v>37435636</v>
      </c>
      <c r="H15813">
        <v>37435580</v>
      </c>
      <c r="I15813">
        <v>37435588</v>
      </c>
    </row>
    <row r="15814" spans="1:9" x14ac:dyDescent="0.2">
      <c r="A15814" t="str">
        <f>"Pcdhb13"</f>
        <v>Pcdhb13</v>
      </c>
      <c r="B15814" t="s">
        <v>14</v>
      </c>
      <c r="C15814" t="s">
        <v>43</v>
      </c>
      <c r="D15814" t="s">
        <v>17</v>
      </c>
      <c r="E15814" t="s">
        <v>12</v>
      </c>
      <c r="F15814">
        <v>37442383</v>
      </c>
      <c r="G15814">
        <v>37442424</v>
      </c>
      <c r="H15814">
        <v>37442425</v>
      </c>
      <c r="I15814">
        <v>37442436</v>
      </c>
    </row>
    <row r="15815" spans="1:9" x14ac:dyDescent="0.2">
      <c r="A15815" t="str">
        <f>"Pcdhb14"</f>
        <v>Pcdhb14</v>
      </c>
      <c r="B15815" t="s">
        <v>14</v>
      </c>
      <c r="C15815" t="s">
        <v>43</v>
      </c>
      <c r="D15815" t="s">
        <v>17</v>
      </c>
      <c r="E15815" t="s">
        <v>12</v>
      </c>
      <c r="F15815">
        <v>37447641</v>
      </c>
      <c r="G15815">
        <v>37447674</v>
      </c>
      <c r="H15815">
        <v>37447680</v>
      </c>
      <c r="I15815">
        <v>37447691</v>
      </c>
    </row>
    <row r="15816" spans="1:9" x14ac:dyDescent="0.2">
      <c r="A15816" t="str">
        <f>"Pcdhb15"</f>
        <v>Pcdhb15</v>
      </c>
      <c r="B15816" t="s">
        <v>14</v>
      </c>
      <c r="C15816" t="s">
        <v>43</v>
      </c>
      <c r="D15816" t="s">
        <v>17</v>
      </c>
      <c r="E15816" t="s">
        <v>12</v>
      </c>
      <c r="F15816">
        <v>37473538</v>
      </c>
      <c r="G15816">
        <v>37473562</v>
      </c>
      <c r="H15816">
        <v>37473514</v>
      </c>
      <c r="I15816">
        <v>37473532</v>
      </c>
    </row>
    <row r="15817" spans="1:9" x14ac:dyDescent="0.2">
      <c r="A15817" t="str">
        <f>"Pcdhb16"</f>
        <v>Pcdhb16</v>
      </c>
      <c r="B15817" t="s">
        <v>14</v>
      </c>
      <c r="C15817" t="s">
        <v>43</v>
      </c>
      <c r="D15817" t="s">
        <v>17</v>
      </c>
      <c r="E15817" t="s">
        <v>12</v>
      </c>
      <c r="F15817">
        <v>37477805</v>
      </c>
      <c r="G15817">
        <v>37477835</v>
      </c>
      <c r="H15817">
        <v>37477848</v>
      </c>
      <c r="I15817">
        <v>37477856</v>
      </c>
    </row>
    <row r="15818" spans="1:9" x14ac:dyDescent="0.2">
      <c r="A15818" t="str">
        <f>"Pcdhb17"</f>
        <v>Pcdhb17</v>
      </c>
      <c r="B15818" t="s">
        <v>14</v>
      </c>
      <c r="C15818" t="s">
        <v>43</v>
      </c>
      <c r="D15818" t="s">
        <v>17</v>
      </c>
      <c r="E15818" t="s">
        <v>12</v>
      </c>
      <c r="F15818">
        <v>37484955</v>
      </c>
      <c r="G15818">
        <v>37485028</v>
      </c>
      <c r="H15818">
        <v>37485052</v>
      </c>
      <c r="I15818">
        <v>37485063</v>
      </c>
    </row>
    <row r="15819" spans="1:9" x14ac:dyDescent="0.2">
      <c r="A15819" t="str">
        <f>"Pcdhb18"</f>
        <v>Pcdhb18</v>
      </c>
      <c r="B15819" t="s">
        <v>14</v>
      </c>
      <c r="C15819" t="s">
        <v>43</v>
      </c>
      <c r="D15819" t="s">
        <v>17</v>
      </c>
      <c r="E15819" t="s">
        <v>12</v>
      </c>
      <c r="F15819">
        <v>37489464</v>
      </c>
      <c r="G15819">
        <v>37489479</v>
      </c>
      <c r="H15819">
        <v>37489464</v>
      </c>
      <c r="I15819">
        <v>37489479</v>
      </c>
    </row>
    <row r="15820" spans="1:9" x14ac:dyDescent="0.2">
      <c r="A15820" t="str">
        <f>"Pcdhb19"</f>
        <v>Pcdhb19</v>
      </c>
      <c r="B15820" t="s">
        <v>14</v>
      </c>
      <c r="C15820" t="s">
        <v>43</v>
      </c>
      <c r="D15820" t="s">
        <v>17</v>
      </c>
      <c r="E15820" t="s">
        <v>12</v>
      </c>
      <c r="F15820">
        <v>37496985</v>
      </c>
      <c r="G15820">
        <v>37497012</v>
      </c>
      <c r="H15820">
        <v>37497031</v>
      </c>
      <c r="I15820">
        <v>37497041</v>
      </c>
    </row>
    <row r="15821" spans="1:9" x14ac:dyDescent="0.2">
      <c r="A15821" t="str">
        <f>"Pcdhb2"</f>
        <v>Pcdhb2</v>
      </c>
      <c r="B15821" t="s">
        <v>14</v>
      </c>
      <c r="C15821" t="s">
        <v>43</v>
      </c>
      <c r="D15821" t="s">
        <v>17</v>
      </c>
      <c r="E15821" t="s">
        <v>12</v>
      </c>
      <c r="F15821">
        <v>37294795</v>
      </c>
      <c r="G15821">
        <v>37294829</v>
      </c>
      <c r="H15821">
        <v>37294845</v>
      </c>
      <c r="I15821">
        <v>37294863</v>
      </c>
    </row>
    <row r="15822" spans="1:9" x14ac:dyDescent="0.2">
      <c r="A15822" t="str">
        <f>"Pcdhb20"</f>
        <v>Pcdhb20</v>
      </c>
      <c r="B15822" t="s">
        <v>14</v>
      </c>
      <c r="C15822" t="s">
        <v>43</v>
      </c>
      <c r="D15822" t="s">
        <v>17</v>
      </c>
      <c r="E15822" t="s">
        <v>12</v>
      </c>
      <c r="F15822">
        <v>37504252</v>
      </c>
      <c r="G15822">
        <v>37504261</v>
      </c>
      <c r="H15822">
        <v>37504252</v>
      </c>
      <c r="I15822">
        <v>37504261</v>
      </c>
    </row>
    <row r="15823" spans="1:9" x14ac:dyDescent="0.2">
      <c r="A15823" t="str">
        <f>"Pcdhb21"</f>
        <v>Pcdhb21</v>
      </c>
      <c r="B15823" t="s">
        <v>14</v>
      </c>
      <c r="C15823" t="s">
        <v>43</v>
      </c>
      <c r="D15823" t="s">
        <v>17</v>
      </c>
      <c r="E15823" t="s">
        <v>12</v>
      </c>
      <c r="F15823">
        <v>37513616</v>
      </c>
      <c r="G15823">
        <v>37513645</v>
      </c>
      <c r="H15823">
        <v>37513646</v>
      </c>
      <c r="I15823">
        <v>37513665</v>
      </c>
    </row>
    <row r="15824" spans="1:9" x14ac:dyDescent="0.2">
      <c r="A15824" t="str">
        <f>"Pcdhb22"</f>
        <v>Pcdhb22</v>
      </c>
      <c r="B15824" t="s">
        <v>14</v>
      </c>
      <c r="C15824" t="s">
        <v>43</v>
      </c>
      <c r="D15824" t="s">
        <v>17</v>
      </c>
      <c r="E15824" t="s">
        <v>12</v>
      </c>
      <c r="F15824">
        <v>37518341</v>
      </c>
      <c r="G15824">
        <v>37518359</v>
      </c>
      <c r="H15824">
        <v>37518365</v>
      </c>
      <c r="I15824">
        <v>37518389</v>
      </c>
    </row>
    <row r="15825" spans="1:9" x14ac:dyDescent="0.2">
      <c r="A15825" t="str">
        <f>"Pcdhb3"</f>
        <v>Pcdhb3</v>
      </c>
      <c r="B15825" t="s">
        <v>14</v>
      </c>
      <c r="C15825" t="s">
        <v>43</v>
      </c>
      <c r="D15825" t="s">
        <v>17</v>
      </c>
      <c r="E15825" t="s">
        <v>12</v>
      </c>
      <c r="F15825">
        <v>37300810</v>
      </c>
      <c r="G15825">
        <v>37300835</v>
      </c>
      <c r="H15825">
        <v>37300791</v>
      </c>
      <c r="I15825">
        <v>37300804</v>
      </c>
    </row>
    <row r="15826" spans="1:9" x14ac:dyDescent="0.2">
      <c r="A15826" t="str">
        <f>"Pcdhb4"</f>
        <v>Pcdhb4</v>
      </c>
      <c r="B15826" t="s">
        <v>14</v>
      </c>
      <c r="C15826" t="s">
        <v>43</v>
      </c>
      <c r="D15826" t="s">
        <v>17</v>
      </c>
      <c r="E15826" t="s">
        <v>12</v>
      </c>
      <c r="F15826">
        <v>37307445</v>
      </c>
      <c r="G15826">
        <v>37307462</v>
      </c>
      <c r="H15826">
        <v>37307480</v>
      </c>
      <c r="I15826">
        <v>37307488</v>
      </c>
    </row>
    <row r="15827" spans="1:9" x14ac:dyDescent="0.2">
      <c r="A15827" t="str">
        <f>"Pcdhb5"</f>
        <v>Pcdhb5</v>
      </c>
      <c r="B15827" t="s">
        <v>14</v>
      </c>
      <c r="C15827" t="s">
        <v>43</v>
      </c>
      <c r="D15827" t="s">
        <v>17</v>
      </c>
      <c r="E15827" t="s">
        <v>12</v>
      </c>
      <c r="F15827">
        <v>37320374</v>
      </c>
      <c r="G15827">
        <v>37320401</v>
      </c>
      <c r="H15827">
        <v>37320402</v>
      </c>
      <c r="I15827">
        <v>37320416</v>
      </c>
    </row>
    <row r="15828" spans="1:9" x14ac:dyDescent="0.2">
      <c r="A15828" t="str">
        <f>"Pcdhb6"</f>
        <v>Pcdhb6</v>
      </c>
      <c r="B15828" t="s">
        <v>14</v>
      </c>
      <c r="C15828" t="s">
        <v>43</v>
      </c>
      <c r="D15828" t="s">
        <v>17</v>
      </c>
      <c r="E15828" t="s">
        <v>12</v>
      </c>
      <c r="F15828">
        <v>37333824</v>
      </c>
      <c r="G15828">
        <v>37333852</v>
      </c>
      <c r="H15828">
        <v>37333824</v>
      </c>
      <c r="I15828">
        <v>37333852</v>
      </c>
    </row>
    <row r="15829" spans="1:9" x14ac:dyDescent="0.2">
      <c r="A15829" t="str">
        <f>"Pcdhb7"</f>
        <v>Pcdhb7</v>
      </c>
      <c r="B15829" t="s">
        <v>14</v>
      </c>
      <c r="C15829" t="s">
        <v>43</v>
      </c>
      <c r="D15829" t="s">
        <v>17</v>
      </c>
      <c r="E15829" t="s">
        <v>12</v>
      </c>
      <c r="F15829">
        <v>37341715</v>
      </c>
      <c r="G15829">
        <v>37341728</v>
      </c>
      <c r="H15829">
        <v>37341745</v>
      </c>
      <c r="I15829">
        <v>37341755</v>
      </c>
    </row>
    <row r="15830" spans="1:9" x14ac:dyDescent="0.2">
      <c r="A15830" t="str">
        <f>"Pcdhb8"</f>
        <v>Pcdhb8</v>
      </c>
      <c r="B15830" t="s">
        <v>14</v>
      </c>
      <c r="C15830" t="s">
        <v>43</v>
      </c>
      <c r="D15830" t="s">
        <v>17</v>
      </c>
      <c r="E15830" t="s">
        <v>12</v>
      </c>
      <c r="F15830">
        <v>37355115</v>
      </c>
      <c r="G15830">
        <v>37355131</v>
      </c>
      <c r="H15830">
        <v>37355115</v>
      </c>
      <c r="I15830">
        <v>37355131</v>
      </c>
    </row>
    <row r="15831" spans="1:9" x14ac:dyDescent="0.2">
      <c r="A15831" t="str">
        <f>"Pcdhb9"</f>
        <v>Pcdhb9</v>
      </c>
      <c r="B15831" t="s">
        <v>14</v>
      </c>
      <c r="C15831" t="s">
        <v>43</v>
      </c>
      <c r="D15831" t="s">
        <v>17</v>
      </c>
      <c r="E15831" t="s">
        <v>12</v>
      </c>
      <c r="F15831">
        <v>37400845</v>
      </c>
      <c r="G15831">
        <v>37400886</v>
      </c>
      <c r="H15831">
        <v>37400845</v>
      </c>
      <c r="I15831">
        <v>37400886</v>
      </c>
    </row>
    <row r="15832" spans="1:9" x14ac:dyDescent="0.2">
      <c r="A15832" t="str">
        <f>"Pcdhga9"</f>
        <v>Pcdhga9</v>
      </c>
      <c r="B15832" t="s">
        <v>14</v>
      </c>
      <c r="C15832" t="s">
        <v>43</v>
      </c>
      <c r="D15832" t="s">
        <v>17</v>
      </c>
      <c r="E15832" t="s">
        <v>12</v>
      </c>
      <c r="F15832">
        <v>37806389</v>
      </c>
      <c r="G15832">
        <v>37806453</v>
      </c>
      <c r="H15832">
        <v>37806389</v>
      </c>
      <c r="I15832">
        <v>37806453</v>
      </c>
    </row>
    <row r="15833" spans="1:9" x14ac:dyDescent="0.2">
      <c r="A15833" t="str">
        <f>"Pced1a"</f>
        <v>Pced1a</v>
      </c>
      <c r="B15833" t="s">
        <v>14</v>
      </c>
      <c r="C15833" t="s">
        <v>26</v>
      </c>
      <c r="D15833" t="s">
        <v>11</v>
      </c>
      <c r="E15833" t="s">
        <v>67</v>
      </c>
      <c r="F15833">
        <v>130424242</v>
      </c>
      <c r="G15833">
        <v>130424293</v>
      </c>
      <c r="H15833">
        <v>130424742</v>
      </c>
      <c r="I15833">
        <v>130424790</v>
      </c>
    </row>
    <row r="15834" spans="1:9" x14ac:dyDescent="0.2">
      <c r="A15834" t="str">
        <f>"Pced1b"</f>
        <v>Pced1b</v>
      </c>
      <c r="B15834" t="s">
        <v>5581</v>
      </c>
      <c r="C15834" t="s">
        <v>25</v>
      </c>
      <c r="D15834" t="s">
        <v>17</v>
      </c>
      <c r="E15834" t="s">
        <v>35</v>
      </c>
      <c r="F15834">
        <v>97246939</v>
      </c>
      <c r="G15834">
        <v>97246946</v>
      </c>
      <c r="H15834">
        <v>97247092</v>
      </c>
      <c r="I15834">
        <v>97247118</v>
      </c>
    </row>
    <row r="15835" spans="1:9" x14ac:dyDescent="0.2">
      <c r="A15835" t="str">
        <f>"Pcf11"</f>
        <v>Pcf11</v>
      </c>
      <c r="B15835" t="s">
        <v>14</v>
      </c>
      <c r="C15835" t="s">
        <v>33</v>
      </c>
      <c r="D15835" t="s">
        <v>11</v>
      </c>
      <c r="E15835" t="s">
        <v>12</v>
      </c>
      <c r="F15835">
        <v>92669888</v>
      </c>
      <c r="G15835">
        <v>92669912</v>
      </c>
      <c r="H15835">
        <v>92669917</v>
      </c>
      <c r="I15835">
        <v>92669943</v>
      </c>
    </row>
    <row r="15836" spans="1:9" x14ac:dyDescent="0.2">
      <c r="A15836" t="str">
        <f>"Pcgf1"</f>
        <v>Pcgf1</v>
      </c>
      <c r="B15836" t="s">
        <v>14</v>
      </c>
      <c r="C15836" t="s">
        <v>32</v>
      </c>
      <c r="D15836" t="s">
        <v>17</v>
      </c>
      <c r="E15836" t="s">
        <v>12</v>
      </c>
      <c r="F15836">
        <v>83078339</v>
      </c>
      <c r="G15836">
        <v>83078389</v>
      </c>
      <c r="H15836">
        <v>83078606</v>
      </c>
      <c r="I15836">
        <v>83078669</v>
      </c>
    </row>
    <row r="15837" spans="1:9" x14ac:dyDescent="0.2">
      <c r="A15837" t="str">
        <f>"Pcgf2"</f>
        <v>Pcgf2</v>
      </c>
      <c r="B15837" t="s">
        <v>14</v>
      </c>
      <c r="C15837" t="s">
        <v>27</v>
      </c>
      <c r="D15837" t="s">
        <v>11</v>
      </c>
      <c r="E15837" t="s">
        <v>12</v>
      </c>
      <c r="F15837">
        <v>97699634</v>
      </c>
      <c r="G15837">
        <v>97699698</v>
      </c>
      <c r="H15837">
        <v>97700327</v>
      </c>
      <c r="I15837">
        <v>97700349</v>
      </c>
    </row>
    <row r="15838" spans="1:9" x14ac:dyDescent="0.2">
      <c r="A15838" t="str">
        <f>"Pcgf3"</f>
        <v>Pcgf3</v>
      </c>
      <c r="B15838" t="s">
        <v>14</v>
      </c>
      <c r="C15838" t="s">
        <v>46</v>
      </c>
      <c r="D15838" t="s">
        <v>17</v>
      </c>
      <c r="E15838" t="s">
        <v>12</v>
      </c>
      <c r="F15838">
        <v>108461251</v>
      </c>
      <c r="G15838">
        <v>108461305</v>
      </c>
      <c r="H15838">
        <v>108461308</v>
      </c>
      <c r="I15838">
        <v>108461342</v>
      </c>
    </row>
    <row r="15839" spans="1:9" x14ac:dyDescent="0.2">
      <c r="A15839" t="str">
        <f>"Pcgf5"</f>
        <v>Pcgf5</v>
      </c>
      <c r="B15839" t="s">
        <v>14</v>
      </c>
      <c r="C15839" t="s">
        <v>10</v>
      </c>
      <c r="D15839" t="s">
        <v>17</v>
      </c>
      <c r="E15839" t="s">
        <v>12</v>
      </c>
      <c r="F15839">
        <v>36409719</v>
      </c>
      <c r="G15839">
        <v>36409757</v>
      </c>
      <c r="H15839">
        <v>36409719</v>
      </c>
      <c r="I15839">
        <v>36409757</v>
      </c>
    </row>
    <row r="15840" spans="1:9" x14ac:dyDescent="0.2">
      <c r="A15840" t="str">
        <f>"Pcgf6"</f>
        <v>Pcgf6</v>
      </c>
      <c r="B15840" t="s">
        <v>14</v>
      </c>
      <c r="C15840" t="s">
        <v>10</v>
      </c>
      <c r="D15840" t="s">
        <v>11</v>
      </c>
      <c r="E15840" t="s">
        <v>12</v>
      </c>
      <c r="F15840">
        <v>47050823</v>
      </c>
      <c r="G15840">
        <v>47050915</v>
      </c>
      <c r="H15840">
        <v>47050701</v>
      </c>
      <c r="I15840">
        <v>47050705</v>
      </c>
    </row>
    <row r="15841" spans="1:9" x14ac:dyDescent="0.2">
      <c r="A15841" t="str">
        <f>"Pcid2"</f>
        <v>Pcid2</v>
      </c>
      <c r="B15841" t="s">
        <v>14</v>
      </c>
      <c r="C15841" t="s">
        <v>30</v>
      </c>
      <c r="D15841" t="s">
        <v>11</v>
      </c>
      <c r="E15841" t="s">
        <v>12</v>
      </c>
      <c r="F15841">
        <v>13104815</v>
      </c>
      <c r="G15841">
        <v>13104839</v>
      </c>
      <c r="H15841">
        <v>13105431</v>
      </c>
      <c r="I15841">
        <v>13105484</v>
      </c>
    </row>
    <row r="15842" spans="1:9" x14ac:dyDescent="0.2">
      <c r="A15842" t="str">
        <f>"Pcif1"</f>
        <v>Pcif1</v>
      </c>
      <c r="B15842" t="s">
        <v>14</v>
      </c>
      <c r="C15842" t="s">
        <v>26</v>
      </c>
      <c r="D15842" t="s">
        <v>17</v>
      </c>
      <c r="E15842" t="s">
        <v>12</v>
      </c>
      <c r="F15842">
        <v>164879358</v>
      </c>
      <c r="G15842">
        <v>164879398</v>
      </c>
      <c r="H15842">
        <v>164880016</v>
      </c>
      <c r="I15842">
        <v>164880039</v>
      </c>
    </row>
    <row r="15843" spans="1:9" x14ac:dyDescent="0.2">
      <c r="A15843" t="str">
        <f>"Pck1"</f>
        <v>Pck1</v>
      </c>
      <c r="B15843" t="s">
        <v>14</v>
      </c>
      <c r="C15843" t="s">
        <v>26</v>
      </c>
      <c r="D15843" t="s">
        <v>17</v>
      </c>
      <c r="E15843" t="s">
        <v>12</v>
      </c>
      <c r="F15843">
        <v>173153060</v>
      </c>
      <c r="G15843">
        <v>173153080</v>
      </c>
      <c r="H15843">
        <v>173152948</v>
      </c>
      <c r="I15843">
        <v>173152957</v>
      </c>
    </row>
    <row r="15844" spans="1:9" x14ac:dyDescent="0.2">
      <c r="A15844" t="str">
        <f>"Pck2"</f>
        <v>Pck2</v>
      </c>
      <c r="B15844" t="s">
        <v>14</v>
      </c>
      <c r="C15844" t="s">
        <v>41</v>
      </c>
      <c r="D15844" t="s">
        <v>17</v>
      </c>
      <c r="E15844" t="s">
        <v>12</v>
      </c>
      <c r="F15844">
        <v>55540372</v>
      </c>
      <c r="G15844">
        <v>55540446</v>
      </c>
      <c r="H15844">
        <v>55540288</v>
      </c>
      <c r="I15844">
        <v>55540315</v>
      </c>
    </row>
    <row r="15845" spans="1:9" x14ac:dyDescent="0.2">
      <c r="A15845" t="str">
        <f>"Pcm1"</f>
        <v>Pcm1</v>
      </c>
      <c r="B15845" t="s">
        <v>14</v>
      </c>
      <c r="C15845" t="s">
        <v>30</v>
      </c>
      <c r="D15845" t="s">
        <v>17</v>
      </c>
      <c r="E15845" t="s">
        <v>12</v>
      </c>
      <c r="F15845">
        <v>41239718</v>
      </c>
      <c r="G15845">
        <v>41239767</v>
      </c>
      <c r="H15845">
        <v>41239573</v>
      </c>
      <c r="I15845">
        <v>41239659</v>
      </c>
    </row>
    <row r="15846" spans="1:9" x14ac:dyDescent="0.2">
      <c r="A15846" t="str">
        <f>"Pcmt1"</f>
        <v>Pcmt1</v>
      </c>
      <c r="B15846" t="s">
        <v>14</v>
      </c>
      <c r="C15846" t="s">
        <v>15</v>
      </c>
      <c r="D15846" t="s">
        <v>11</v>
      </c>
      <c r="E15846" t="s">
        <v>12</v>
      </c>
      <c r="F15846">
        <v>7663245</v>
      </c>
      <c r="G15846">
        <v>7663309</v>
      </c>
      <c r="H15846">
        <v>7663569</v>
      </c>
      <c r="I15846">
        <v>7663613</v>
      </c>
    </row>
    <row r="15847" spans="1:9" x14ac:dyDescent="0.2">
      <c r="A15847" t="str">
        <f>"Pcmtd1"</f>
        <v>Pcmtd1</v>
      </c>
      <c r="B15847" t="s">
        <v>14</v>
      </c>
      <c r="C15847" t="s">
        <v>19</v>
      </c>
      <c r="D15847" t="s">
        <v>17</v>
      </c>
      <c r="E15847" t="s">
        <v>12</v>
      </c>
      <c r="F15847">
        <v>7088998</v>
      </c>
      <c r="G15847">
        <v>7089077</v>
      </c>
      <c r="H15847">
        <v>7088917</v>
      </c>
      <c r="I15847">
        <v>7088993</v>
      </c>
    </row>
    <row r="15848" spans="1:9" x14ac:dyDescent="0.2">
      <c r="A15848" t="str">
        <f>"Pcmtd2"</f>
        <v>Pcmtd2</v>
      </c>
      <c r="B15848" t="s">
        <v>14</v>
      </c>
      <c r="C15848" t="s">
        <v>26</v>
      </c>
      <c r="D15848" t="s">
        <v>17</v>
      </c>
      <c r="E15848" t="s">
        <v>12</v>
      </c>
      <c r="F15848">
        <v>181837874</v>
      </c>
      <c r="G15848">
        <v>181837910</v>
      </c>
      <c r="H15848">
        <v>181837920</v>
      </c>
      <c r="I15848">
        <v>181837934</v>
      </c>
    </row>
    <row r="15849" spans="1:9" x14ac:dyDescent="0.2">
      <c r="A15849" t="str">
        <f>"Pcna"</f>
        <v>Pcna</v>
      </c>
      <c r="B15849" t="s">
        <v>14</v>
      </c>
      <c r="C15849" t="s">
        <v>26</v>
      </c>
      <c r="D15849" t="s">
        <v>11</v>
      </c>
      <c r="E15849" t="s">
        <v>12</v>
      </c>
      <c r="F15849">
        <v>132253174</v>
      </c>
      <c r="G15849">
        <v>132253217</v>
      </c>
      <c r="H15849">
        <v>132253227</v>
      </c>
      <c r="I15849">
        <v>132253236</v>
      </c>
    </row>
    <row r="15850" spans="1:9" x14ac:dyDescent="0.2">
      <c r="A15850" t="str">
        <f>"Pcna-ps2"</f>
        <v>Pcna-ps2</v>
      </c>
      <c r="B15850" t="s">
        <v>14</v>
      </c>
      <c r="C15850" t="s">
        <v>10</v>
      </c>
      <c r="D15850" t="s">
        <v>17</v>
      </c>
      <c r="E15850" t="s">
        <v>67</v>
      </c>
      <c r="F15850">
        <v>9283231</v>
      </c>
      <c r="G15850">
        <v>9283265</v>
      </c>
      <c r="H15850">
        <v>9283231</v>
      </c>
      <c r="I15850">
        <v>9283265</v>
      </c>
    </row>
    <row r="15851" spans="1:9" x14ac:dyDescent="0.2">
      <c r="A15851" t="str">
        <f>"Pcnp"</f>
        <v>Pcnp</v>
      </c>
      <c r="B15851" t="s">
        <v>14</v>
      </c>
      <c r="C15851" t="s">
        <v>31</v>
      </c>
      <c r="D15851" t="s">
        <v>11</v>
      </c>
      <c r="E15851" t="s">
        <v>12</v>
      </c>
      <c r="F15851">
        <v>56029699</v>
      </c>
      <c r="G15851">
        <v>56029719</v>
      </c>
      <c r="H15851">
        <v>56029724</v>
      </c>
      <c r="I15851">
        <v>56029744</v>
      </c>
    </row>
    <row r="15852" spans="1:9" x14ac:dyDescent="0.2">
      <c r="A15852" t="str">
        <f>"Pcnt"</f>
        <v>Pcnt</v>
      </c>
      <c r="B15852" t="s">
        <v>14</v>
      </c>
      <c r="C15852" t="s">
        <v>15</v>
      </c>
      <c r="D15852" t="s">
        <v>11</v>
      </c>
      <c r="E15852" t="s">
        <v>12</v>
      </c>
      <c r="F15852">
        <v>76442758</v>
      </c>
      <c r="G15852">
        <v>76442813</v>
      </c>
      <c r="H15852">
        <v>76442649</v>
      </c>
      <c r="I15852">
        <v>76442672</v>
      </c>
    </row>
    <row r="15853" spans="1:9" x14ac:dyDescent="0.2">
      <c r="A15853" t="str">
        <f>"Pcnx"</f>
        <v>Pcnx</v>
      </c>
      <c r="B15853" t="s">
        <v>14</v>
      </c>
      <c r="C15853" t="s">
        <v>16</v>
      </c>
      <c r="D15853" t="s">
        <v>17</v>
      </c>
      <c r="E15853" t="s">
        <v>12</v>
      </c>
      <c r="F15853">
        <v>81859964</v>
      </c>
      <c r="G15853">
        <v>81860036</v>
      </c>
      <c r="H15853">
        <v>81859881</v>
      </c>
      <c r="I15853">
        <v>81859924</v>
      </c>
    </row>
    <row r="15854" spans="1:9" x14ac:dyDescent="0.2">
      <c r="A15854" t="str">
        <f>"Pcnxl2"</f>
        <v>Pcnxl2</v>
      </c>
      <c r="B15854" t="s">
        <v>14</v>
      </c>
      <c r="C15854" t="s">
        <v>30</v>
      </c>
      <c r="D15854" t="s">
        <v>11</v>
      </c>
      <c r="E15854" t="s">
        <v>12</v>
      </c>
      <c r="F15854">
        <v>125898291</v>
      </c>
      <c r="G15854">
        <v>125898322</v>
      </c>
      <c r="H15854">
        <v>125898291</v>
      </c>
      <c r="I15854">
        <v>125898322</v>
      </c>
    </row>
    <row r="15855" spans="1:9" x14ac:dyDescent="0.2">
      <c r="A15855" t="str">
        <f>"Pcnxl3"</f>
        <v>Pcnxl3</v>
      </c>
      <c r="B15855" t="s">
        <v>14</v>
      </c>
      <c r="C15855" t="s">
        <v>10</v>
      </c>
      <c r="D15855" t="s">
        <v>11</v>
      </c>
      <c r="E15855" t="s">
        <v>12</v>
      </c>
      <c r="F15855">
        <v>5688614</v>
      </c>
      <c r="G15855">
        <v>5688706</v>
      </c>
      <c r="H15855">
        <v>5688975</v>
      </c>
      <c r="I15855">
        <v>5689038</v>
      </c>
    </row>
    <row r="15856" spans="1:9" x14ac:dyDescent="0.2">
      <c r="A15856" t="str">
        <f>"Pcnxl4"</f>
        <v>Pcnxl4</v>
      </c>
      <c r="B15856" t="s">
        <v>14</v>
      </c>
      <c r="C15856" t="s">
        <v>16</v>
      </c>
      <c r="D15856" t="s">
        <v>17</v>
      </c>
      <c r="E15856" t="s">
        <v>67</v>
      </c>
      <c r="F15856">
        <v>72536342</v>
      </c>
      <c r="G15856">
        <v>72536396</v>
      </c>
      <c r="H15856">
        <v>72536412</v>
      </c>
      <c r="I15856">
        <v>72536415</v>
      </c>
    </row>
    <row r="15857" spans="1:9" x14ac:dyDescent="0.2">
      <c r="A15857" t="str">
        <f>"Pcolce"</f>
        <v>Pcolce</v>
      </c>
      <c r="B15857" t="s">
        <v>14</v>
      </c>
      <c r="C15857" t="s">
        <v>46</v>
      </c>
      <c r="D15857" t="s">
        <v>11</v>
      </c>
      <c r="E15857" t="s">
        <v>12</v>
      </c>
      <c r="F15857">
        <v>137611372</v>
      </c>
      <c r="G15857">
        <v>137611428</v>
      </c>
      <c r="H15857">
        <v>137611429</v>
      </c>
      <c r="I15857">
        <v>137611442</v>
      </c>
    </row>
    <row r="15858" spans="1:9" x14ac:dyDescent="0.2">
      <c r="A15858" t="str">
        <f>"Pcolce2"</f>
        <v>Pcolce2</v>
      </c>
      <c r="B15858" t="s">
        <v>14</v>
      </c>
      <c r="C15858" t="s">
        <v>24</v>
      </c>
      <c r="D15858" t="s">
        <v>17</v>
      </c>
      <c r="E15858" t="s">
        <v>12</v>
      </c>
      <c r="F15858">
        <v>95637731</v>
      </c>
      <c r="G15858">
        <v>95637746</v>
      </c>
      <c r="H15858">
        <v>95637623</v>
      </c>
      <c r="I15858">
        <v>95637632</v>
      </c>
    </row>
    <row r="15859" spans="1:9" x14ac:dyDescent="0.2">
      <c r="A15859" t="str">
        <f>"Pcp2"</f>
        <v>Pcp2</v>
      </c>
      <c r="B15859" t="s">
        <v>14</v>
      </c>
      <c r="C15859" t="s">
        <v>30</v>
      </c>
      <c r="D15859" t="s">
        <v>11</v>
      </c>
      <c r="E15859" t="s">
        <v>12</v>
      </c>
      <c r="F15859">
        <v>3625274</v>
      </c>
      <c r="G15859">
        <v>3625288</v>
      </c>
      <c r="H15859">
        <v>3625025</v>
      </c>
      <c r="I15859">
        <v>3625042</v>
      </c>
    </row>
    <row r="15860" spans="1:9" x14ac:dyDescent="0.2">
      <c r="A15860" t="str">
        <f>"Pcp4"</f>
        <v>Pcp4</v>
      </c>
      <c r="B15860" t="s">
        <v>14</v>
      </c>
      <c r="C15860" t="s">
        <v>31</v>
      </c>
      <c r="D15860" t="s">
        <v>17</v>
      </c>
      <c r="E15860" t="s">
        <v>12</v>
      </c>
      <c r="F15860">
        <v>96467709</v>
      </c>
      <c r="G15860">
        <v>96467725</v>
      </c>
      <c r="H15860">
        <v>96467709</v>
      </c>
      <c r="I15860">
        <v>96467725</v>
      </c>
    </row>
    <row r="15861" spans="1:9" x14ac:dyDescent="0.2">
      <c r="A15861" t="str">
        <f>"Pcp4l1"</f>
        <v>Pcp4l1</v>
      </c>
      <c r="B15861" t="s">
        <v>14</v>
      </c>
      <c r="C15861" t="s">
        <v>19</v>
      </c>
      <c r="D15861" t="s">
        <v>11</v>
      </c>
      <c r="E15861" t="s">
        <v>12</v>
      </c>
      <c r="F15861">
        <v>171196229</v>
      </c>
      <c r="G15861">
        <v>171196246</v>
      </c>
      <c r="H15861">
        <v>171196229</v>
      </c>
      <c r="I15861">
        <v>171196246</v>
      </c>
    </row>
    <row r="15862" spans="1:9" x14ac:dyDescent="0.2">
      <c r="A15862" t="str">
        <f>"Pcsk1"</f>
        <v>Pcsk1</v>
      </c>
      <c r="B15862" t="s">
        <v>14</v>
      </c>
      <c r="C15862" t="s">
        <v>39</v>
      </c>
      <c r="D15862" t="s">
        <v>17</v>
      </c>
      <c r="E15862" t="s">
        <v>12</v>
      </c>
      <c r="F15862">
        <v>75089846</v>
      </c>
      <c r="G15862">
        <v>75089886</v>
      </c>
      <c r="H15862">
        <v>75089899</v>
      </c>
      <c r="I15862">
        <v>75089918</v>
      </c>
    </row>
    <row r="15863" spans="1:9" x14ac:dyDescent="0.2">
      <c r="A15863" t="str">
        <f>"Pcsk1n"</f>
        <v>Pcsk1n</v>
      </c>
      <c r="B15863" t="s">
        <v>14</v>
      </c>
      <c r="C15863" t="s">
        <v>37</v>
      </c>
      <c r="D15863" t="s">
        <v>17</v>
      </c>
      <c r="E15863" t="s">
        <v>12</v>
      </c>
      <c r="F15863">
        <v>7919816</v>
      </c>
      <c r="G15863">
        <v>7919905</v>
      </c>
      <c r="H15863">
        <v>7919910</v>
      </c>
      <c r="I15863">
        <v>7919920</v>
      </c>
    </row>
    <row r="15864" spans="1:9" x14ac:dyDescent="0.2">
      <c r="A15864" t="str">
        <f>"Pcsk2"</f>
        <v>Pcsk2</v>
      </c>
      <c r="B15864" t="s">
        <v>14</v>
      </c>
      <c r="C15864" t="s">
        <v>26</v>
      </c>
      <c r="D15864" t="s">
        <v>17</v>
      </c>
      <c r="E15864" t="s">
        <v>12</v>
      </c>
      <c r="F15864">
        <v>143546144</v>
      </c>
      <c r="G15864">
        <v>143546215</v>
      </c>
      <c r="H15864">
        <v>143546218</v>
      </c>
      <c r="I15864">
        <v>143546231</v>
      </c>
    </row>
    <row r="15865" spans="1:9" x14ac:dyDescent="0.2">
      <c r="A15865" t="str">
        <f>"Pcsk4"</f>
        <v>Pcsk4</v>
      </c>
      <c r="B15865" t="s">
        <v>14</v>
      </c>
      <c r="C15865" t="s">
        <v>15</v>
      </c>
      <c r="D15865" t="s">
        <v>11</v>
      </c>
      <c r="E15865" t="s">
        <v>12</v>
      </c>
      <c r="F15865">
        <v>80329426</v>
      </c>
      <c r="G15865">
        <v>80329482</v>
      </c>
      <c r="H15865">
        <v>80329426</v>
      </c>
      <c r="I15865">
        <v>80329482</v>
      </c>
    </row>
    <row r="15866" spans="1:9" x14ac:dyDescent="0.2">
      <c r="A15866" t="str">
        <f>"Pcsk5"</f>
        <v>Pcsk5</v>
      </c>
      <c r="B15866" t="s">
        <v>14</v>
      </c>
      <c r="C15866" t="s">
        <v>10</v>
      </c>
      <c r="D15866" t="s">
        <v>11</v>
      </c>
      <c r="E15866" t="s">
        <v>12</v>
      </c>
      <c r="F15866">
        <v>17837620</v>
      </c>
      <c r="G15866">
        <v>17837642</v>
      </c>
      <c r="H15866">
        <v>17837273</v>
      </c>
      <c r="I15866">
        <v>17837302</v>
      </c>
    </row>
    <row r="15867" spans="1:9" x14ac:dyDescent="0.2">
      <c r="A15867" t="str">
        <f>"Pcsk6"</f>
        <v>Pcsk6</v>
      </c>
      <c r="B15867" t="s">
        <v>14</v>
      </c>
      <c r="C15867" t="s">
        <v>33</v>
      </c>
      <c r="D15867" t="s">
        <v>17</v>
      </c>
      <c r="E15867" t="s">
        <v>12</v>
      </c>
      <c r="F15867">
        <v>65862126</v>
      </c>
      <c r="G15867">
        <v>65862140</v>
      </c>
      <c r="H15867">
        <v>65862126</v>
      </c>
      <c r="I15867">
        <v>65862140</v>
      </c>
    </row>
    <row r="15868" spans="1:9" x14ac:dyDescent="0.2">
      <c r="A15868" t="str">
        <f>"Pcsk7"</f>
        <v>Pcsk7</v>
      </c>
      <c r="B15868" t="s">
        <v>14</v>
      </c>
      <c r="C15868" t="s">
        <v>24</v>
      </c>
      <c r="D15868" t="s">
        <v>17</v>
      </c>
      <c r="E15868" t="s">
        <v>12</v>
      </c>
      <c r="F15868">
        <v>45906925</v>
      </c>
      <c r="G15868">
        <v>45907013</v>
      </c>
      <c r="H15868">
        <v>45906513</v>
      </c>
      <c r="I15868">
        <v>45906552</v>
      </c>
    </row>
    <row r="15869" spans="1:9" x14ac:dyDescent="0.2">
      <c r="A15869" t="str">
        <f>"Pcsk9"</f>
        <v>Pcsk9</v>
      </c>
      <c r="B15869" t="s">
        <v>14</v>
      </c>
      <c r="C15869" t="s">
        <v>23</v>
      </c>
      <c r="D15869" t="s">
        <v>11</v>
      </c>
      <c r="E15869" t="s">
        <v>12</v>
      </c>
      <c r="F15869">
        <v>106464077</v>
      </c>
      <c r="G15869">
        <v>106464120</v>
      </c>
      <c r="H15869">
        <v>106464167</v>
      </c>
      <c r="I15869">
        <v>106464181</v>
      </c>
    </row>
    <row r="15870" spans="1:9" x14ac:dyDescent="0.2">
      <c r="A15870" t="str">
        <f>"Pctp"</f>
        <v>Pctp</v>
      </c>
      <c r="B15870" t="s">
        <v>14</v>
      </c>
      <c r="C15870" t="s">
        <v>27</v>
      </c>
      <c r="D15870" t="s">
        <v>11</v>
      </c>
      <c r="E15870" t="s">
        <v>12</v>
      </c>
      <c r="F15870">
        <v>90002846</v>
      </c>
      <c r="G15870">
        <v>90002876</v>
      </c>
      <c r="H15870">
        <v>90002881</v>
      </c>
      <c r="I15870">
        <v>90002898</v>
      </c>
    </row>
    <row r="15871" spans="1:9" x14ac:dyDescent="0.2">
      <c r="A15871" t="str">
        <f>"Pcx"</f>
        <v>Pcx</v>
      </c>
      <c r="B15871" t="s">
        <v>14</v>
      </c>
      <c r="C15871" t="s">
        <v>10</v>
      </c>
      <c r="D15871" t="s">
        <v>17</v>
      </c>
      <c r="E15871" t="s">
        <v>12</v>
      </c>
      <c r="F15871">
        <v>4510510</v>
      </c>
      <c r="G15871">
        <v>4510532</v>
      </c>
      <c r="H15871">
        <v>4510536</v>
      </c>
      <c r="I15871">
        <v>4510552</v>
      </c>
    </row>
    <row r="15872" spans="1:9" x14ac:dyDescent="0.2">
      <c r="A15872" t="str">
        <f>"Pcyox1"</f>
        <v>Pcyox1</v>
      </c>
      <c r="B15872" t="s">
        <v>14</v>
      </c>
      <c r="C15872" t="s">
        <v>32</v>
      </c>
      <c r="D15872" t="s">
        <v>11</v>
      </c>
      <c r="E15872" t="s">
        <v>12</v>
      </c>
      <c r="F15872">
        <v>86397098</v>
      </c>
      <c r="G15872">
        <v>86397150</v>
      </c>
      <c r="H15872">
        <v>86396596</v>
      </c>
      <c r="I15872">
        <v>86396631</v>
      </c>
    </row>
    <row r="15873" spans="1:9" x14ac:dyDescent="0.2">
      <c r="A15873" t="str">
        <f>"Pcyox1l"</f>
        <v>Pcyox1l</v>
      </c>
      <c r="B15873" t="s">
        <v>14</v>
      </c>
      <c r="C15873" t="s">
        <v>43</v>
      </c>
      <c r="D15873" t="s">
        <v>11</v>
      </c>
      <c r="E15873" t="s">
        <v>12</v>
      </c>
      <c r="F15873">
        <v>61707583</v>
      </c>
      <c r="G15873">
        <v>61707658</v>
      </c>
      <c r="H15873">
        <v>61707723</v>
      </c>
      <c r="I15873">
        <v>61707755</v>
      </c>
    </row>
    <row r="15874" spans="1:9" x14ac:dyDescent="0.2">
      <c r="A15874" t="str">
        <f>"Pcyt1a"</f>
        <v>Pcyt1a</v>
      </c>
      <c r="B15874" t="s">
        <v>14</v>
      </c>
      <c r="C15874" t="s">
        <v>31</v>
      </c>
      <c r="D15874" t="s">
        <v>17</v>
      </c>
      <c r="E15874" t="s">
        <v>12</v>
      </c>
      <c r="F15874">
        <v>32430895</v>
      </c>
      <c r="G15874">
        <v>32430978</v>
      </c>
      <c r="H15874">
        <v>32431023</v>
      </c>
      <c r="I15874">
        <v>32431034</v>
      </c>
    </row>
    <row r="15875" spans="1:9" x14ac:dyDescent="0.2">
      <c r="A15875" t="str">
        <f>"Pcyt1b"</f>
        <v>Pcyt1b</v>
      </c>
      <c r="B15875" t="s">
        <v>14</v>
      </c>
      <c r="C15875" t="s">
        <v>37</v>
      </c>
      <c r="D15875" t="s">
        <v>17</v>
      </c>
      <c r="E15875" t="s">
        <v>12</v>
      </c>
      <c r="F15875">
        <v>93675088</v>
      </c>
      <c r="G15875">
        <v>93675161</v>
      </c>
      <c r="H15875">
        <v>93675088</v>
      </c>
      <c r="I15875">
        <v>93675161</v>
      </c>
    </row>
    <row r="15876" spans="1:9" x14ac:dyDescent="0.2">
      <c r="A15876" t="str">
        <f>"Pcyt2"</f>
        <v>Pcyt2</v>
      </c>
      <c r="B15876" t="s">
        <v>14</v>
      </c>
      <c r="C15876" t="s">
        <v>27</v>
      </c>
      <c r="D15876" t="s">
        <v>11</v>
      </c>
      <c r="E15876" t="s">
        <v>12</v>
      </c>
      <c r="F15876">
        <v>120617887</v>
      </c>
      <c r="G15876">
        <v>120617941</v>
      </c>
      <c r="H15876">
        <v>120617859</v>
      </c>
      <c r="I15876">
        <v>120617881</v>
      </c>
    </row>
    <row r="15877" spans="1:9" x14ac:dyDescent="0.2">
      <c r="A15877" t="str">
        <f>"Pdap1"</f>
        <v>Pdap1</v>
      </c>
      <c r="B15877" t="s">
        <v>14</v>
      </c>
      <c r="C15877" t="s">
        <v>46</v>
      </c>
      <c r="D15877" t="s">
        <v>11</v>
      </c>
      <c r="E15877" t="s">
        <v>12</v>
      </c>
      <c r="F15877">
        <v>145140011</v>
      </c>
      <c r="G15877">
        <v>145140046</v>
      </c>
      <c r="H15877">
        <v>145140011</v>
      </c>
      <c r="I15877">
        <v>145140046</v>
      </c>
    </row>
    <row r="15878" spans="1:9" x14ac:dyDescent="0.2">
      <c r="A15878" t="str">
        <f>"Pdc"</f>
        <v>Pdc</v>
      </c>
      <c r="B15878" t="s">
        <v>14</v>
      </c>
      <c r="C15878" t="s">
        <v>19</v>
      </c>
      <c r="D15878" t="s">
        <v>17</v>
      </c>
      <c r="E15878" t="s">
        <v>12</v>
      </c>
      <c r="F15878">
        <v>150319407</v>
      </c>
      <c r="G15878">
        <v>150319449</v>
      </c>
      <c r="H15878">
        <v>150319407</v>
      </c>
      <c r="I15878">
        <v>150319449</v>
      </c>
    </row>
    <row r="15879" spans="1:9" x14ac:dyDescent="0.2">
      <c r="A15879" t="str">
        <f>"Pdcd1"</f>
        <v>Pdcd1</v>
      </c>
      <c r="B15879" t="s">
        <v>14</v>
      </c>
      <c r="C15879" t="s">
        <v>19</v>
      </c>
      <c r="D15879" t="s">
        <v>11</v>
      </c>
      <c r="E15879" t="s">
        <v>12</v>
      </c>
      <c r="F15879">
        <v>94052557</v>
      </c>
      <c r="G15879">
        <v>94052573</v>
      </c>
      <c r="H15879">
        <v>94052577</v>
      </c>
      <c r="I15879">
        <v>94052587</v>
      </c>
    </row>
    <row r="15880" spans="1:9" x14ac:dyDescent="0.2">
      <c r="A15880" t="str">
        <f>"Pdcd10"</f>
        <v>Pdcd10</v>
      </c>
      <c r="B15880" t="s">
        <v>14</v>
      </c>
      <c r="C15880" t="s">
        <v>22</v>
      </c>
      <c r="D15880" t="s">
        <v>11</v>
      </c>
      <c r="E15880" t="s">
        <v>12</v>
      </c>
      <c r="F15880">
        <v>75556789</v>
      </c>
      <c r="G15880">
        <v>75556871</v>
      </c>
      <c r="H15880">
        <v>75556903</v>
      </c>
      <c r="I15880">
        <v>75556919</v>
      </c>
    </row>
    <row r="15881" spans="1:9" x14ac:dyDescent="0.2">
      <c r="A15881" t="str">
        <f>"Pdcd11"</f>
        <v>Pdcd11</v>
      </c>
      <c r="B15881" t="s">
        <v>14</v>
      </c>
      <c r="C15881" t="s">
        <v>10</v>
      </c>
      <c r="D15881" t="s">
        <v>17</v>
      </c>
      <c r="E15881" t="s">
        <v>12</v>
      </c>
      <c r="F15881">
        <v>47090748</v>
      </c>
      <c r="G15881">
        <v>47090800</v>
      </c>
      <c r="H15881">
        <v>47090810</v>
      </c>
      <c r="I15881">
        <v>47090813</v>
      </c>
    </row>
    <row r="15882" spans="1:9" x14ac:dyDescent="0.2">
      <c r="A15882" t="str">
        <f>"Pdcd1lg2"</f>
        <v>Pdcd1lg2</v>
      </c>
      <c r="B15882" t="s">
        <v>14</v>
      </c>
      <c r="C15882" t="s">
        <v>10</v>
      </c>
      <c r="D15882" t="s">
        <v>17</v>
      </c>
      <c r="E15882" t="s">
        <v>12</v>
      </c>
      <c r="F15882">
        <v>29410978</v>
      </c>
      <c r="G15882">
        <v>29410981</v>
      </c>
      <c r="H15882">
        <v>29410978</v>
      </c>
      <c r="I15882">
        <v>29410981</v>
      </c>
    </row>
    <row r="15883" spans="1:9" x14ac:dyDescent="0.2">
      <c r="A15883" t="str">
        <f>"Pdcd2"</f>
        <v>Pdcd2</v>
      </c>
      <c r="B15883" t="s">
        <v>14</v>
      </c>
      <c r="C15883" t="s">
        <v>28</v>
      </c>
      <c r="D15883" t="s">
        <v>11</v>
      </c>
      <c r="E15883" t="s">
        <v>12</v>
      </c>
      <c r="F15883">
        <v>15527281</v>
      </c>
      <c r="G15883">
        <v>15527315</v>
      </c>
      <c r="H15883">
        <v>15527317</v>
      </c>
      <c r="I15883">
        <v>15527329</v>
      </c>
    </row>
    <row r="15884" spans="1:9" x14ac:dyDescent="0.2">
      <c r="A15884" t="str">
        <f>"Pdcd2l"</f>
        <v>Pdcd2l</v>
      </c>
      <c r="B15884" t="s">
        <v>14</v>
      </c>
      <c r="C15884" t="s">
        <v>33</v>
      </c>
      <c r="D15884" t="s">
        <v>11</v>
      </c>
      <c r="E15884" t="s">
        <v>12</v>
      </c>
      <c r="F15884">
        <v>34196641</v>
      </c>
      <c r="G15884">
        <v>34196675</v>
      </c>
      <c r="H15884">
        <v>34196139</v>
      </c>
      <c r="I15884">
        <v>34196157</v>
      </c>
    </row>
    <row r="15885" spans="1:9" x14ac:dyDescent="0.2">
      <c r="A15885" t="str">
        <f>"Pdcd4"</f>
        <v>Pdcd4</v>
      </c>
      <c r="B15885" t="s">
        <v>9</v>
      </c>
      <c r="C15885" t="s">
        <v>10</v>
      </c>
      <c r="D15885" t="s">
        <v>17</v>
      </c>
      <c r="E15885" t="s">
        <v>12</v>
      </c>
      <c r="F15885">
        <v>53903384</v>
      </c>
      <c r="G15885">
        <v>53903403</v>
      </c>
      <c r="H15885">
        <v>53903384</v>
      </c>
      <c r="I15885">
        <v>53903403</v>
      </c>
    </row>
    <row r="15886" spans="1:9" x14ac:dyDescent="0.2">
      <c r="A15886" t="str">
        <f>"Pdcd4"</f>
        <v>Pdcd4</v>
      </c>
      <c r="B15886" t="s">
        <v>13</v>
      </c>
      <c r="C15886" t="s">
        <v>10</v>
      </c>
      <c r="D15886" t="s">
        <v>17</v>
      </c>
      <c r="E15886" t="s">
        <v>12</v>
      </c>
      <c r="F15886">
        <v>53892227</v>
      </c>
      <c r="G15886">
        <v>53892241</v>
      </c>
      <c r="H15886">
        <v>53892227</v>
      </c>
      <c r="I15886">
        <v>53892241</v>
      </c>
    </row>
    <row r="15887" spans="1:9" x14ac:dyDescent="0.2">
      <c r="A15887" t="str">
        <f>"Pdcd5"</f>
        <v>Pdcd5</v>
      </c>
      <c r="B15887" t="s">
        <v>14</v>
      </c>
      <c r="C15887" t="s">
        <v>33</v>
      </c>
      <c r="D15887" t="s">
        <v>11</v>
      </c>
      <c r="E15887" t="s">
        <v>12</v>
      </c>
      <c r="F15887">
        <v>35647441</v>
      </c>
      <c r="G15887">
        <v>35647519</v>
      </c>
      <c r="H15887">
        <v>35647390</v>
      </c>
      <c r="I15887">
        <v>35647415</v>
      </c>
    </row>
    <row r="15888" spans="1:9" x14ac:dyDescent="0.2">
      <c r="A15888" t="str">
        <f>"Pdcd6"</f>
        <v>Pdcd6</v>
      </c>
      <c r="B15888" t="s">
        <v>14</v>
      </c>
      <c r="C15888" t="s">
        <v>39</v>
      </c>
      <c r="D15888" t="s">
        <v>11</v>
      </c>
      <c r="E15888" t="s">
        <v>12</v>
      </c>
      <c r="F15888">
        <v>74317234</v>
      </c>
      <c r="G15888">
        <v>74317300</v>
      </c>
      <c r="H15888">
        <v>74317213</v>
      </c>
      <c r="I15888">
        <v>74317233</v>
      </c>
    </row>
    <row r="15889" spans="1:9" x14ac:dyDescent="0.2">
      <c r="A15889" t="str">
        <f>"Pdcd6ip"</f>
        <v>Pdcd6ip</v>
      </c>
      <c r="B15889" t="s">
        <v>14</v>
      </c>
      <c r="C15889" t="s">
        <v>24</v>
      </c>
      <c r="D15889" t="s">
        <v>11</v>
      </c>
      <c r="E15889" t="s">
        <v>12</v>
      </c>
      <c r="F15889">
        <v>113708209</v>
      </c>
      <c r="G15889">
        <v>113708258</v>
      </c>
      <c r="H15889">
        <v>113708181</v>
      </c>
      <c r="I15889">
        <v>113708197</v>
      </c>
    </row>
    <row r="15890" spans="1:9" x14ac:dyDescent="0.2">
      <c r="A15890" t="str">
        <f>"Pdcd7"</f>
        <v>Pdcd7</v>
      </c>
      <c r="B15890" t="s">
        <v>14</v>
      </c>
      <c r="C15890" t="s">
        <v>24</v>
      </c>
      <c r="D15890" t="s">
        <v>17</v>
      </c>
      <c r="E15890" t="s">
        <v>12</v>
      </c>
      <c r="F15890">
        <v>65346091</v>
      </c>
      <c r="G15890">
        <v>65346129</v>
      </c>
      <c r="H15890">
        <v>65346066</v>
      </c>
      <c r="I15890">
        <v>65346077</v>
      </c>
    </row>
    <row r="15891" spans="1:9" x14ac:dyDescent="0.2">
      <c r="A15891" t="str">
        <f>"Pdcl"</f>
        <v>Pdcl</v>
      </c>
      <c r="B15891" t="s">
        <v>14</v>
      </c>
      <c r="C15891" t="s">
        <v>26</v>
      </c>
      <c r="D15891" t="s">
        <v>11</v>
      </c>
      <c r="E15891" t="s">
        <v>12</v>
      </c>
      <c r="F15891">
        <v>37359235</v>
      </c>
      <c r="G15891">
        <v>37359270</v>
      </c>
      <c r="H15891">
        <v>37359201</v>
      </c>
      <c r="I15891">
        <v>37359230</v>
      </c>
    </row>
    <row r="15892" spans="1:9" x14ac:dyDescent="0.2">
      <c r="A15892" t="str">
        <f>"Pdcl2"</f>
        <v>Pdcl2</v>
      </c>
      <c r="B15892" t="s">
        <v>14</v>
      </c>
      <c r="C15892" t="s">
        <v>46</v>
      </c>
      <c r="D15892" t="s">
        <v>11</v>
      </c>
      <c r="E15892" t="s">
        <v>12</v>
      </c>
      <c r="F15892">
        <v>76331102</v>
      </c>
      <c r="G15892">
        <v>76331142</v>
      </c>
      <c r="H15892">
        <v>76331150</v>
      </c>
      <c r="I15892">
        <v>76331161</v>
      </c>
    </row>
    <row r="15893" spans="1:9" x14ac:dyDescent="0.2">
      <c r="A15893" t="str">
        <f>"Pdcl3"</f>
        <v>Pdcl3</v>
      </c>
      <c r="B15893" t="s">
        <v>14</v>
      </c>
      <c r="C15893" t="s">
        <v>19</v>
      </c>
      <c r="D15893" t="s">
        <v>17</v>
      </c>
      <c r="E15893" t="s">
        <v>12</v>
      </c>
      <c r="F15893">
        <v>38987806</v>
      </c>
      <c r="G15893">
        <v>38987827</v>
      </c>
      <c r="H15893">
        <v>38987784</v>
      </c>
      <c r="I15893">
        <v>38987805</v>
      </c>
    </row>
    <row r="15894" spans="1:9" x14ac:dyDescent="0.2">
      <c r="A15894" t="str">
        <f>"Pddc1"</f>
        <v>Pddc1</v>
      </c>
      <c r="B15894" t="s">
        <v>14</v>
      </c>
      <c r="C15894" t="s">
        <v>33</v>
      </c>
      <c r="D15894" t="s">
        <v>11</v>
      </c>
      <c r="E15894" t="s">
        <v>12</v>
      </c>
      <c r="F15894">
        <v>141414054</v>
      </c>
      <c r="G15894">
        <v>141414104</v>
      </c>
      <c r="H15894">
        <v>141414115</v>
      </c>
      <c r="I15894">
        <v>141414130</v>
      </c>
    </row>
    <row r="15895" spans="1:9" x14ac:dyDescent="0.2">
      <c r="A15895" t="str">
        <f>"Pde10a"</f>
        <v>Pde10a</v>
      </c>
      <c r="B15895" t="s">
        <v>14</v>
      </c>
      <c r="C15895" t="s">
        <v>28</v>
      </c>
      <c r="D15895" t="s">
        <v>17</v>
      </c>
      <c r="E15895" t="s">
        <v>12</v>
      </c>
      <c r="F15895">
        <v>8801768</v>
      </c>
      <c r="G15895">
        <v>8801788</v>
      </c>
      <c r="H15895">
        <v>8801640</v>
      </c>
      <c r="I15895">
        <v>8801682</v>
      </c>
    </row>
    <row r="15896" spans="1:9" x14ac:dyDescent="0.2">
      <c r="A15896" t="str">
        <f>"Pde11a"</f>
        <v>Pde11a</v>
      </c>
      <c r="B15896" t="s">
        <v>14</v>
      </c>
      <c r="C15896" t="s">
        <v>26</v>
      </c>
      <c r="D15896" t="s">
        <v>11</v>
      </c>
      <c r="E15896" t="s">
        <v>12</v>
      </c>
      <c r="F15896">
        <v>76338931</v>
      </c>
      <c r="G15896">
        <v>76338965</v>
      </c>
      <c r="H15896">
        <v>76338931</v>
      </c>
      <c r="I15896">
        <v>76338965</v>
      </c>
    </row>
    <row r="15897" spans="1:9" x14ac:dyDescent="0.2">
      <c r="A15897" t="str">
        <f>"Pde12"</f>
        <v>Pde12</v>
      </c>
      <c r="B15897" t="s">
        <v>14</v>
      </c>
      <c r="C15897" t="s">
        <v>41</v>
      </c>
      <c r="D15897" t="s">
        <v>11</v>
      </c>
      <c r="E15897" t="s">
        <v>12</v>
      </c>
      <c r="F15897">
        <v>26669626</v>
      </c>
      <c r="G15897">
        <v>26669691</v>
      </c>
      <c r="H15897">
        <v>26669865</v>
      </c>
      <c r="I15897">
        <v>26669908</v>
      </c>
    </row>
    <row r="15898" spans="1:9" x14ac:dyDescent="0.2">
      <c r="A15898" t="str">
        <f>"Pde1a"</f>
        <v>Pde1a</v>
      </c>
      <c r="B15898" t="s">
        <v>5582</v>
      </c>
      <c r="C15898" t="s">
        <v>26</v>
      </c>
      <c r="D15898" t="s">
        <v>11</v>
      </c>
      <c r="E15898" t="s">
        <v>35</v>
      </c>
      <c r="F15898">
        <v>80129583</v>
      </c>
      <c r="G15898">
        <v>80129589</v>
      </c>
      <c r="H15898">
        <v>80129290</v>
      </c>
      <c r="I15898">
        <v>80129304</v>
      </c>
    </row>
    <row r="15899" spans="1:9" x14ac:dyDescent="0.2">
      <c r="A15899" t="str">
        <f>"Pde1a"</f>
        <v>Pde1a</v>
      </c>
      <c r="B15899" t="s">
        <v>5583</v>
      </c>
      <c r="C15899" t="s">
        <v>26</v>
      </c>
      <c r="D15899" t="s">
        <v>11</v>
      </c>
      <c r="E15899" t="s">
        <v>35</v>
      </c>
      <c r="F15899">
        <v>80129013</v>
      </c>
      <c r="G15899">
        <v>80129023</v>
      </c>
      <c r="H15899">
        <v>80128926</v>
      </c>
      <c r="I15899">
        <v>80128937</v>
      </c>
    </row>
    <row r="15900" spans="1:9" x14ac:dyDescent="0.2">
      <c r="A15900" t="str">
        <f>"Pde1b"</f>
        <v>Pde1b</v>
      </c>
      <c r="B15900" t="s">
        <v>14</v>
      </c>
      <c r="C15900" t="s">
        <v>25</v>
      </c>
      <c r="D15900" t="s">
        <v>17</v>
      </c>
      <c r="E15900" t="s">
        <v>12</v>
      </c>
      <c r="F15900">
        <v>103502951</v>
      </c>
      <c r="G15900">
        <v>103503030</v>
      </c>
      <c r="H15900">
        <v>103503163</v>
      </c>
      <c r="I15900">
        <v>103503217</v>
      </c>
    </row>
    <row r="15901" spans="1:9" x14ac:dyDescent="0.2">
      <c r="A15901" t="str">
        <f>"Pde1c"</f>
        <v>Pde1c</v>
      </c>
      <c r="B15901" t="s">
        <v>14</v>
      </c>
      <c r="C15901" t="s">
        <v>32</v>
      </c>
      <c r="D15901" t="s">
        <v>11</v>
      </c>
      <c r="E15901" t="s">
        <v>12</v>
      </c>
      <c r="F15901">
        <v>56362356</v>
      </c>
      <c r="G15901">
        <v>56362386</v>
      </c>
      <c r="H15901">
        <v>56362356</v>
      </c>
      <c r="I15901">
        <v>56362386</v>
      </c>
    </row>
    <row r="15902" spans="1:9" x14ac:dyDescent="0.2">
      <c r="A15902" t="str">
        <f>"Pde2a"</f>
        <v>Pde2a</v>
      </c>
      <c r="B15902" t="s">
        <v>14</v>
      </c>
      <c r="C15902" t="s">
        <v>33</v>
      </c>
      <c r="D15902" t="s">
        <v>17</v>
      </c>
      <c r="E15902" t="s">
        <v>12</v>
      </c>
      <c r="F15902">
        <v>101451247</v>
      </c>
      <c r="G15902">
        <v>101451321</v>
      </c>
      <c r="H15902">
        <v>101451247</v>
      </c>
      <c r="I15902">
        <v>101451321</v>
      </c>
    </row>
    <row r="15903" spans="1:9" x14ac:dyDescent="0.2">
      <c r="A15903" t="str">
        <f>"Pde3a"</f>
        <v>Pde3a</v>
      </c>
      <c r="B15903" t="s">
        <v>14</v>
      </c>
      <c r="C15903" t="s">
        <v>32</v>
      </c>
      <c r="D15903" t="s">
        <v>17</v>
      </c>
      <c r="E15903" t="s">
        <v>12</v>
      </c>
      <c r="F15903">
        <v>141249984</v>
      </c>
      <c r="G15903">
        <v>141249998</v>
      </c>
      <c r="H15903">
        <v>141249161</v>
      </c>
      <c r="I15903">
        <v>141249175</v>
      </c>
    </row>
    <row r="15904" spans="1:9" x14ac:dyDescent="0.2">
      <c r="A15904" t="str">
        <f>"Pde3b"</f>
        <v>Pde3b</v>
      </c>
      <c r="B15904" t="s">
        <v>14</v>
      </c>
      <c r="C15904" t="s">
        <v>33</v>
      </c>
      <c r="D15904" t="s">
        <v>17</v>
      </c>
      <c r="E15904" t="s">
        <v>12</v>
      </c>
      <c r="F15904">
        <v>114415205</v>
      </c>
      <c r="G15904">
        <v>114415267</v>
      </c>
      <c r="H15904">
        <v>114415272</v>
      </c>
      <c r="I15904">
        <v>114415297</v>
      </c>
    </row>
    <row r="15905" spans="1:9" x14ac:dyDescent="0.2">
      <c r="A15905" t="str">
        <f>"Pde4a"</f>
        <v>Pde4a</v>
      </c>
      <c r="B15905" t="s">
        <v>9</v>
      </c>
      <c r="C15905" t="s">
        <v>24</v>
      </c>
      <c r="D15905" t="s">
        <v>17</v>
      </c>
      <c r="E15905" t="s">
        <v>12</v>
      </c>
      <c r="F15905">
        <v>21196722</v>
      </c>
      <c r="G15905">
        <v>21196771</v>
      </c>
      <c r="H15905">
        <v>21196722</v>
      </c>
      <c r="I15905">
        <v>21196771</v>
      </c>
    </row>
    <row r="15906" spans="1:9" x14ac:dyDescent="0.2">
      <c r="A15906" t="str">
        <f>"Pde4a"</f>
        <v>Pde4a</v>
      </c>
      <c r="B15906" t="s">
        <v>13</v>
      </c>
      <c r="C15906" t="s">
        <v>24</v>
      </c>
      <c r="D15906" t="s">
        <v>17</v>
      </c>
      <c r="E15906" t="s">
        <v>12</v>
      </c>
      <c r="F15906">
        <v>21165720</v>
      </c>
      <c r="G15906">
        <v>21165762</v>
      </c>
      <c r="H15906">
        <v>21165720</v>
      </c>
      <c r="I15906">
        <v>21165762</v>
      </c>
    </row>
    <row r="15907" spans="1:9" x14ac:dyDescent="0.2">
      <c r="A15907" t="str">
        <f>"Pde4b"</f>
        <v>Pde4b</v>
      </c>
      <c r="B15907" t="s">
        <v>5584</v>
      </c>
      <c r="C15907" t="s">
        <v>23</v>
      </c>
      <c r="D15907" t="s">
        <v>17</v>
      </c>
      <c r="E15907" t="s">
        <v>35</v>
      </c>
      <c r="F15907">
        <v>102254920</v>
      </c>
      <c r="G15907">
        <v>102254931</v>
      </c>
      <c r="H15907">
        <v>102255164</v>
      </c>
      <c r="I15907">
        <v>102255178</v>
      </c>
    </row>
    <row r="15908" spans="1:9" x14ac:dyDescent="0.2">
      <c r="A15908" t="str">
        <f>"Pde4c"</f>
        <v>Pde4c</v>
      </c>
      <c r="B15908" t="s">
        <v>9</v>
      </c>
      <c r="C15908" t="s">
        <v>30</v>
      </c>
      <c r="D15908" t="s">
        <v>17</v>
      </c>
      <c r="E15908" t="s">
        <v>12</v>
      </c>
      <c r="F15908">
        <v>70743108</v>
      </c>
      <c r="G15908">
        <v>70743114</v>
      </c>
      <c r="H15908">
        <v>70743108</v>
      </c>
      <c r="I15908">
        <v>70743114</v>
      </c>
    </row>
    <row r="15909" spans="1:9" x14ac:dyDescent="0.2">
      <c r="A15909" t="str">
        <f>"Pde4c"</f>
        <v>Pde4c</v>
      </c>
      <c r="B15909" t="s">
        <v>13</v>
      </c>
      <c r="C15909" t="s">
        <v>30</v>
      </c>
      <c r="D15909" t="s">
        <v>17</v>
      </c>
      <c r="E15909" t="s">
        <v>12</v>
      </c>
      <c r="F15909">
        <v>70724109</v>
      </c>
      <c r="G15909">
        <v>70724122</v>
      </c>
      <c r="H15909">
        <v>70724109</v>
      </c>
      <c r="I15909">
        <v>70724122</v>
      </c>
    </row>
    <row r="15910" spans="1:9" x14ac:dyDescent="0.2">
      <c r="A15910" t="str">
        <f>"Pde4d"</f>
        <v>Pde4d</v>
      </c>
      <c r="B15910" t="s">
        <v>14</v>
      </c>
      <c r="C15910" t="s">
        <v>39</v>
      </c>
      <c r="D15910" t="s">
        <v>17</v>
      </c>
      <c r="E15910" t="s">
        <v>67</v>
      </c>
      <c r="F15910">
        <v>109953870</v>
      </c>
      <c r="G15910">
        <v>109953879</v>
      </c>
      <c r="H15910">
        <v>109953870</v>
      </c>
      <c r="I15910">
        <v>109953879</v>
      </c>
    </row>
    <row r="15911" spans="1:9" x14ac:dyDescent="0.2">
      <c r="A15911" t="str">
        <f>"Pde4dip"</f>
        <v>Pde4dip</v>
      </c>
      <c r="B15911" t="s">
        <v>5585</v>
      </c>
      <c r="C15911" t="s">
        <v>22</v>
      </c>
      <c r="D15911" t="s">
        <v>11</v>
      </c>
      <c r="E15911" t="s">
        <v>35</v>
      </c>
      <c r="F15911">
        <v>97768078</v>
      </c>
      <c r="G15911">
        <v>97768079</v>
      </c>
      <c r="H15911">
        <v>97767907</v>
      </c>
      <c r="I15911">
        <v>97767912</v>
      </c>
    </row>
    <row r="15912" spans="1:9" x14ac:dyDescent="0.2">
      <c r="A15912" t="str">
        <f>"Pde5a"</f>
        <v>Pde5a</v>
      </c>
      <c r="B15912" t="s">
        <v>14</v>
      </c>
      <c r="C15912" t="s">
        <v>22</v>
      </c>
      <c r="D15912" t="s">
        <v>17</v>
      </c>
      <c r="E15912" t="s">
        <v>12</v>
      </c>
      <c r="F15912">
        <v>122730136</v>
      </c>
      <c r="G15912">
        <v>122730153</v>
      </c>
      <c r="H15912">
        <v>122730136</v>
      </c>
      <c r="I15912">
        <v>122730153</v>
      </c>
    </row>
    <row r="15913" spans="1:9" x14ac:dyDescent="0.2">
      <c r="A15913" t="str">
        <f>"Pde6a"</f>
        <v>Pde6a</v>
      </c>
      <c r="B15913" t="s">
        <v>14</v>
      </c>
      <c r="C15913" t="s">
        <v>43</v>
      </c>
      <c r="D15913" t="s">
        <v>17</v>
      </c>
      <c r="E15913" t="s">
        <v>12</v>
      </c>
      <c r="F15913">
        <v>61220467</v>
      </c>
      <c r="G15913">
        <v>61220486</v>
      </c>
      <c r="H15913">
        <v>61220467</v>
      </c>
      <c r="I15913">
        <v>61220486</v>
      </c>
    </row>
    <row r="15914" spans="1:9" x14ac:dyDescent="0.2">
      <c r="A15914" t="str">
        <f>"Pde6b"</f>
        <v>Pde6b</v>
      </c>
      <c r="B15914" t="s">
        <v>14</v>
      </c>
      <c r="C15914" t="s">
        <v>46</v>
      </c>
      <c r="D15914" t="s">
        <v>17</v>
      </c>
      <c r="E15914" t="s">
        <v>12</v>
      </c>
      <c r="F15914">
        <v>108388412</v>
      </c>
      <c r="G15914">
        <v>108388434</v>
      </c>
      <c r="H15914">
        <v>108388376</v>
      </c>
      <c r="I15914">
        <v>108388387</v>
      </c>
    </row>
    <row r="15915" spans="1:9" x14ac:dyDescent="0.2">
      <c r="A15915" t="str">
        <f>"Pde6c"</f>
        <v>Pde6c</v>
      </c>
      <c r="B15915" t="s">
        <v>14</v>
      </c>
      <c r="C15915" t="s">
        <v>10</v>
      </c>
      <c r="D15915" t="s">
        <v>17</v>
      </c>
      <c r="E15915" t="s">
        <v>12</v>
      </c>
      <c r="F15915">
        <v>38132767</v>
      </c>
      <c r="G15915">
        <v>38132793</v>
      </c>
      <c r="H15915">
        <v>38132795</v>
      </c>
      <c r="I15915">
        <v>38132810</v>
      </c>
    </row>
    <row r="15916" spans="1:9" x14ac:dyDescent="0.2">
      <c r="A15916" t="str">
        <f>"Pde6d"</f>
        <v>Pde6d</v>
      </c>
      <c r="B15916" t="s">
        <v>14</v>
      </c>
      <c r="C15916" t="s">
        <v>19</v>
      </c>
      <c r="D15916" t="s">
        <v>11</v>
      </c>
      <c r="E15916" t="s">
        <v>12</v>
      </c>
      <c r="F15916">
        <v>86582500</v>
      </c>
      <c r="G15916">
        <v>86582565</v>
      </c>
      <c r="H15916">
        <v>86582489</v>
      </c>
      <c r="I15916">
        <v>86582497</v>
      </c>
    </row>
    <row r="15917" spans="1:9" x14ac:dyDescent="0.2">
      <c r="A15917" t="str">
        <f>"Pde6g"</f>
        <v>Pde6g</v>
      </c>
      <c r="B15917" t="s">
        <v>14</v>
      </c>
      <c r="C15917" t="s">
        <v>27</v>
      </c>
      <c r="D15917" t="s">
        <v>11</v>
      </c>
      <c r="E15917" t="s">
        <v>12</v>
      </c>
      <c r="F15917">
        <v>120453456</v>
      </c>
      <c r="G15917">
        <v>120453469</v>
      </c>
      <c r="H15917">
        <v>120453473</v>
      </c>
      <c r="I15917">
        <v>120453482</v>
      </c>
    </row>
    <row r="15918" spans="1:9" x14ac:dyDescent="0.2">
      <c r="A15918" t="str">
        <f>"Pde6h"</f>
        <v>Pde6h</v>
      </c>
      <c r="B15918" t="s">
        <v>14</v>
      </c>
      <c r="C15918" t="s">
        <v>32</v>
      </c>
      <c r="D15918" t="s">
        <v>17</v>
      </c>
      <c r="E15918" t="s">
        <v>12</v>
      </c>
      <c r="F15918">
        <v>136954521</v>
      </c>
      <c r="G15918">
        <v>136954529</v>
      </c>
      <c r="H15918">
        <v>136954521</v>
      </c>
      <c r="I15918">
        <v>136954529</v>
      </c>
    </row>
    <row r="15919" spans="1:9" x14ac:dyDescent="0.2">
      <c r="A15919" t="str">
        <f>"Pde7a"</f>
        <v>Pde7a</v>
      </c>
      <c r="B15919" t="s">
        <v>14</v>
      </c>
      <c r="C15919" t="s">
        <v>22</v>
      </c>
      <c r="D15919" t="s">
        <v>11</v>
      </c>
      <c r="E15919" t="s">
        <v>12</v>
      </c>
      <c r="F15919">
        <v>19311349</v>
      </c>
      <c r="G15919">
        <v>19311378</v>
      </c>
      <c r="H15919">
        <v>19311269</v>
      </c>
      <c r="I15919">
        <v>19311314</v>
      </c>
    </row>
    <row r="15920" spans="1:9" x14ac:dyDescent="0.2">
      <c r="A15920" t="str">
        <f>"Pde7b"</f>
        <v>Pde7b</v>
      </c>
      <c r="B15920" t="s">
        <v>14</v>
      </c>
      <c r="C15920" t="s">
        <v>15</v>
      </c>
      <c r="D15920" t="s">
        <v>11</v>
      </c>
      <c r="E15920" t="s">
        <v>12</v>
      </c>
      <c r="F15920">
        <v>20725023</v>
      </c>
      <c r="G15920">
        <v>20725048</v>
      </c>
      <c r="H15920">
        <v>20724828</v>
      </c>
      <c r="I15920">
        <v>20724849</v>
      </c>
    </row>
    <row r="15921" spans="1:9" x14ac:dyDescent="0.2">
      <c r="A15921" t="str">
        <f>"Pde8a"</f>
        <v>Pde8a</v>
      </c>
      <c r="B15921" t="s">
        <v>14</v>
      </c>
      <c r="C15921" t="s">
        <v>33</v>
      </c>
      <c r="D15921" t="s">
        <v>17</v>
      </c>
      <c r="E15921" t="s">
        <v>12</v>
      </c>
      <c r="F15921">
        <v>81213567</v>
      </c>
      <c r="G15921">
        <v>81213632</v>
      </c>
      <c r="H15921">
        <v>81213567</v>
      </c>
      <c r="I15921">
        <v>81213632</v>
      </c>
    </row>
    <row r="15922" spans="1:9" x14ac:dyDescent="0.2">
      <c r="A15922" t="str">
        <f>"Pde8b"</f>
        <v>Pde8b</v>
      </c>
      <c r="B15922" t="s">
        <v>9</v>
      </c>
      <c r="C15922" t="s">
        <v>39</v>
      </c>
      <c r="D15922" t="s">
        <v>11</v>
      </c>
      <c r="E15922" t="s">
        <v>12</v>
      </c>
      <c r="F15922">
        <v>95250268</v>
      </c>
      <c r="G15922">
        <v>95250331</v>
      </c>
      <c r="H15922">
        <v>95250268</v>
      </c>
      <c r="I15922">
        <v>95250331</v>
      </c>
    </row>
    <row r="15923" spans="1:9" x14ac:dyDescent="0.2">
      <c r="A15923" t="str">
        <f>"Pde8b"</f>
        <v>Pde8b</v>
      </c>
      <c r="B15923" t="s">
        <v>13</v>
      </c>
      <c r="C15923" t="s">
        <v>39</v>
      </c>
      <c r="D15923" t="s">
        <v>11</v>
      </c>
      <c r="E15923" t="s">
        <v>12</v>
      </c>
      <c r="F15923">
        <v>95223045</v>
      </c>
      <c r="G15923">
        <v>95223080</v>
      </c>
      <c r="H15923">
        <v>95223045</v>
      </c>
      <c r="I15923">
        <v>95223080</v>
      </c>
    </row>
    <row r="15924" spans="1:9" x14ac:dyDescent="0.2">
      <c r="A15924" t="str">
        <f>"Pde9a"</f>
        <v>Pde9a</v>
      </c>
      <c r="B15924" t="s">
        <v>14</v>
      </c>
      <c r="C15924" t="s">
        <v>28</v>
      </c>
      <c r="D15924" t="s">
        <v>17</v>
      </c>
      <c r="E15924" t="s">
        <v>12</v>
      </c>
      <c r="F15924">
        <v>31386244</v>
      </c>
      <c r="G15924">
        <v>31386280</v>
      </c>
      <c r="H15924">
        <v>31386244</v>
      </c>
      <c r="I15924">
        <v>31386280</v>
      </c>
    </row>
    <row r="15925" spans="1:9" x14ac:dyDescent="0.2">
      <c r="A15925" t="str">
        <f>"Pdf"</f>
        <v>Pdf</v>
      </c>
      <c r="B15925" t="s">
        <v>14</v>
      </c>
      <c r="C15925" t="s">
        <v>30</v>
      </c>
      <c r="D15925" t="s">
        <v>11</v>
      </c>
      <c r="E15925" t="s">
        <v>12</v>
      </c>
      <c r="F15925">
        <v>107048573</v>
      </c>
      <c r="G15925">
        <v>107048631</v>
      </c>
      <c r="H15925">
        <v>107048806</v>
      </c>
      <c r="I15925">
        <v>107048847</v>
      </c>
    </row>
    <row r="15926" spans="1:9" x14ac:dyDescent="0.2">
      <c r="A15926" t="str">
        <f>"Pdgfa"</f>
        <v>Pdgfa</v>
      </c>
      <c r="B15926" t="s">
        <v>9</v>
      </c>
      <c r="C15926" t="s">
        <v>46</v>
      </c>
      <c r="D15926" t="s">
        <v>11</v>
      </c>
      <c r="E15926" t="s">
        <v>12</v>
      </c>
      <c r="F15926">
        <v>138994935</v>
      </c>
      <c r="G15926">
        <v>138994983</v>
      </c>
      <c r="H15926">
        <v>138994935</v>
      </c>
      <c r="I15926">
        <v>138994983</v>
      </c>
    </row>
    <row r="15927" spans="1:9" x14ac:dyDescent="0.2">
      <c r="A15927" t="str">
        <f>"Pdgfa"</f>
        <v>Pdgfa</v>
      </c>
      <c r="B15927" t="s">
        <v>13</v>
      </c>
      <c r="C15927" t="s">
        <v>46</v>
      </c>
      <c r="D15927" t="s">
        <v>11</v>
      </c>
      <c r="E15927" t="s">
        <v>12</v>
      </c>
      <c r="F15927">
        <v>138996091</v>
      </c>
      <c r="G15927">
        <v>138996112</v>
      </c>
      <c r="H15927">
        <v>138996091</v>
      </c>
      <c r="I15927">
        <v>138996112</v>
      </c>
    </row>
    <row r="15928" spans="1:9" x14ac:dyDescent="0.2">
      <c r="A15928" t="str">
        <f>"Pdgfb"</f>
        <v>Pdgfb</v>
      </c>
      <c r="B15928" t="s">
        <v>14</v>
      </c>
      <c r="C15928" t="s">
        <v>25</v>
      </c>
      <c r="D15928" t="s">
        <v>11</v>
      </c>
      <c r="E15928" t="s">
        <v>12</v>
      </c>
      <c r="F15928">
        <v>80014966</v>
      </c>
      <c r="G15928">
        <v>80014984</v>
      </c>
      <c r="H15928">
        <v>80014568</v>
      </c>
      <c r="I15928">
        <v>80014581</v>
      </c>
    </row>
    <row r="15929" spans="1:9" x14ac:dyDescent="0.2">
      <c r="A15929" t="str">
        <f>"Pdgfc"</f>
        <v>Pdgfc</v>
      </c>
      <c r="B15929" t="s">
        <v>14</v>
      </c>
      <c r="C15929" t="s">
        <v>22</v>
      </c>
      <c r="D15929" t="s">
        <v>17</v>
      </c>
      <c r="E15929" t="s">
        <v>12</v>
      </c>
      <c r="F15929">
        <v>81036638</v>
      </c>
      <c r="G15929">
        <v>81036738</v>
      </c>
      <c r="H15929">
        <v>81036965</v>
      </c>
      <c r="I15929">
        <v>81037011</v>
      </c>
    </row>
    <row r="15930" spans="1:9" x14ac:dyDescent="0.2">
      <c r="A15930" t="str">
        <f>"Pdgfd"</f>
        <v>Pdgfd</v>
      </c>
      <c r="B15930" t="s">
        <v>14</v>
      </c>
      <c r="C15930" t="s">
        <v>24</v>
      </c>
      <c r="D15930" t="s">
        <v>17</v>
      </c>
      <c r="E15930" t="s">
        <v>12</v>
      </c>
      <c r="F15930">
        <v>6168638</v>
      </c>
      <c r="G15930">
        <v>6168671</v>
      </c>
      <c r="H15930">
        <v>6168570</v>
      </c>
      <c r="I15930">
        <v>6168595</v>
      </c>
    </row>
    <row r="15931" spans="1:9" x14ac:dyDescent="0.2">
      <c r="A15931" t="str">
        <f>"Pdgfra"</f>
        <v>Pdgfra</v>
      </c>
      <c r="B15931" t="s">
        <v>14</v>
      </c>
      <c r="C15931" t="s">
        <v>46</v>
      </c>
      <c r="D15931" t="s">
        <v>17</v>
      </c>
      <c r="E15931" t="s">
        <v>12</v>
      </c>
      <c r="F15931">
        <v>75152316</v>
      </c>
      <c r="G15931">
        <v>75152367</v>
      </c>
      <c r="H15931">
        <v>75152316</v>
      </c>
      <c r="I15931">
        <v>75152367</v>
      </c>
    </row>
    <row r="15932" spans="1:9" x14ac:dyDescent="0.2">
      <c r="A15932" t="str">
        <f>"Pdgfrb"</f>
        <v>Pdgfrb</v>
      </c>
      <c r="B15932" t="s">
        <v>14</v>
      </c>
      <c r="C15932" t="s">
        <v>43</v>
      </c>
      <c r="D15932" t="s">
        <v>17</v>
      </c>
      <c r="E15932" t="s">
        <v>12</v>
      </c>
      <c r="F15932">
        <v>61045139</v>
      </c>
      <c r="G15932">
        <v>61045206</v>
      </c>
      <c r="H15932">
        <v>61045139</v>
      </c>
      <c r="I15932">
        <v>61045206</v>
      </c>
    </row>
    <row r="15933" spans="1:9" x14ac:dyDescent="0.2">
      <c r="A15933" t="str">
        <f>"Pdgfrl"</f>
        <v>Pdgfrl</v>
      </c>
      <c r="B15933" t="s">
        <v>14</v>
      </c>
      <c r="C15933" t="s">
        <v>30</v>
      </c>
      <c r="D15933" t="s">
        <v>17</v>
      </c>
      <c r="E15933" t="s">
        <v>12</v>
      </c>
      <c r="F15933">
        <v>40926268</v>
      </c>
      <c r="G15933">
        <v>40926353</v>
      </c>
      <c r="H15933">
        <v>40926220</v>
      </c>
      <c r="I15933">
        <v>40926266</v>
      </c>
    </row>
    <row r="15934" spans="1:9" x14ac:dyDescent="0.2">
      <c r="A15934" t="str">
        <f>"Pdha1"</f>
        <v>Pdha1</v>
      </c>
      <c r="B15934" t="s">
        <v>14</v>
      </c>
      <c r="C15934" t="s">
        <v>37</v>
      </c>
      <c r="D15934" t="s">
        <v>11</v>
      </c>
      <c r="E15934" t="s">
        <v>12</v>
      </c>
      <c r="F15934">
        <v>160138349</v>
      </c>
      <c r="G15934">
        <v>160138371</v>
      </c>
      <c r="H15934">
        <v>160138375</v>
      </c>
      <c r="I15934">
        <v>160138435</v>
      </c>
    </row>
    <row r="15935" spans="1:9" x14ac:dyDescent="0.2">
      <c r="A15935" t="str">
        <f>"Pdha2"</f>
        <v>Pdha2</v>
      </c>
      <c r="B15935" t="s">
        <v>5586</v>
      </c>
      <c r="C15935" t="s">
        <v>22</v>
      </c>
      <c r="D15935" t="s">
        <v>11</v>
      </c>
      <c r="E15935" t="s">
        <v>20</v>
      </c>
      <c r="F15935">
        <v>141212354</v>
      </c>
      <c r="G15935">
        <v>141212354</v>
      </c>
      <c r="H15935">
        <v>141212354</v>
      </c>
      <c r="I15935">
        <v>141212354</v>
      </c>
    </row>
    <row r="15936" spans="1:9" x14ac:dyDescent="0.2">
      <c r="A15936" t="str">
        <f>"Pdhb"</f>
        <v>Pdhb</v>
      </c>
      <c r="B15936" t="s">
        <v>14</v>
      </c>
      <c r="C15936" t="s">
        <v>41</v>
      </c>
      <c r="D15936" t="s">
        <v>11</v>
      </c>
      <c r="E15936" t="s">
        <v>12</v>
      </c>
      <c r="F15936">
        <v>8172958</v>
      </c>
      <c r="G15936">
        <v>8172977</v>
      </c>
      <c r="H15936">
        <v>8172986</v>
      </c>
      <c r="I15936">
        <v>8173003</v>
      </c>
    </row>
    <row r="15937" spans="1:9" x14ac:dyDescent="0.2">
      <c r="A15937" t="str">
        <f>"Pdhx"</f>
        <v>Pdhx</v>
      </c>
      <c r="B15937" t="s">
        <v>14</v>
      </c>
      <c r="C15937" t="s">
        <v>26</v>
      </c>
      <c r="D15937" t="s">
        <v>11</v>
      </c>
      <c r="E15937" t="s">
        <v>12</v>
      </c>
      <c r="F15937">
        <v>103073449</v>
      </c>
      <c r="G15937">
        <v>103073492</v>
      </c>
      <c r="H15937">
        <v>103073449</v>
      </c>
      <c r="I15937">
        <v>103073492</v>
      </c>
    </row>
    <row r="15938" spans="1:9" x14ac:dyDescent="0.2">
      <c r="A15938" t="str">
        <f>"Pdia2"</f>
        <v>Pdia2</v>
      </c>
      <c r="B15938" t="s">
        <v>9</v>
      </c>
      <c r="C15938" t="s">
        <v>28</v>
      </c>
      <c r="D15938" t="s">
        <v>11</v>
      </c>
      <c r="E15938" t="s">
        <v>12</v>
      </c>
      <c r="F15938">
        <v>26199030</v>
      </c>
      <c r="G15938">
        <v>26199045</v>
      </c>
      <c r="H15938">
        <v>26199030</v>
      </c>
      <c r="I15938">
        <v>26199045</v>
      </c>
    </row>
    <row r="15939" spans="1:9" x14ac:dyDescent="0.2">
      <c r="A15939" t="str">
        <f>"Pdia2"</f>
        <v>Pdia2</v>
      </c>
      <c r="B15939" t="s">
        <v>13</v>
      </c>
      <c r="C15939" t="s">
        <v>28</v>
      </c>
      <c r="D15939" t="s">
        <v>11</v>
      </c>
      <c r="E15939" t="s">
        <v>12</v>
      </c>
      <c r="F15939">
        <v>26197009</v>
      </c>
      <c r="G15939">
        <v>26197031</v>
      </c>
      <c r="H15939">
        <v>26197009</v>
      </c>
      <c r="I15939">
        <v>26197031</v>
      </c>
    </row>
    <row r="15940" spans="1:9" x14ac:dyDescent="0.2">
      <c r="A15940" t="str">
        <f>"Pdia3"</f>
        <v>Pdia3</v>
      </c>
      <c r="B15940" t="s">
        <v>14</v>
      </c>
      <c r="C15940" t="s">
        <v>26</v>
      </c>
      <c r="D15940" t="s">
        <v>17</v>
      </c>
      <c r="E15940" t="s">
        <v>12</v>
      </c>
      <c r="F15940">
        <v>121413933</v>
      </c>
      <c r="G15940">
        <v>121413959</v>
      </c>
      <c r="H15940">
        <v>121413965</v>
      </c>
      <c r="I15940">
        <v>121413970</v>
      </c>
    </row>
    <row r="15941" spans="1:9" x14ac:dyDescent="0.2">
      <c r="A15941" t="str">
        <f>"Pdia4"</f>
        <v>Pdia4</v>
      </c>
      <c r="B15941" t="s">
        <v>14</v>
      </c>
      <c r="C15941" t="s">
        <v>32</v>
      </c>
      <c r="D15941" t="s">
        <v>11</v>
      </c>
      <c r="E15941" t="s">
        <v>12</v>
      </c>
      <c r="F15941">
        <v>47813338</v>
      </c>
      <c r="G15941">
        <v>47813369</v>
      </c>
      <c r="H15941">
        <v>47813377</v>
      </c>
      <c r="I15941">
        <v>47813409</v>
      </c>
    </row>
    <row r="15942" spans="1:9" x14ac:dyDescent="0.2">
      <c r="A15942" t="str">
        <f>"Pdia5"</f>
        <v>Pdia5</v>
      </c>
      <c r="B15942" t="s">
        <v>14</v>
      </c>
      <c r="C15942" t="s">
        <v>31</v>
      </c>
      <c r="D15942" t="s">
        <v>11</v>
      </c>
      <c r="E15942" t="s">
        <v>12</v>
      </c>
      <c r="F15942">
        <v>35490802</v>
      </c>
      <c r="G15942">
        <v>35490858</v>
      </c>
      <c r="H15942">
        <v>35490873</v>
      </c>
      <c r="I15942">
        <v>35490891</v>
      </c>
    </row>
    <row r="15943" spans="1:9" x14ac:dyDescent="0.2">
      <c r="A15943" t="str">
        <f>"Pdia6"</f>
        <v>Pdia6</v>
      </c>
      <c r="B15943" t="s">
        <v>14</v>
      </c>
      <c r="C15943" t="s">
        <v>16</v>
      </c>
      <c r="D15943" t="s">
        <v>17</v>
      </c>
      <c r="E15943" t="s">
        <v>12</v>
      </c>
      <c r="F15943">
        <v>17266571</v>
      </c>
      <c r="G15943">
        <v>17266601</v>
      </c>
      <c r="H15943">
        <v>17266609</v>
      </c>
      <c r="I15943">
        <v>17266618</v>
      </c>
    </row>
    <row r="15944" spans="1:9" x14ac:dyDescent="0.2">
      <c r="A15944" t="str">
        <f>"Pdik1l"</f>
        <v>Pdik1l</v>
      </c>
      <c r="B15944" t="s">
        <v>14</v>
      </c>
      <c r="C15944" t="s">
        <v>23</v>
      </c>
      <c r="D15944" t="s">
        <v>11</v>
      </c>
      <c r="E15944" t="s">
        <v>12</v>
      </c>
      <c r="F15944">
        <v>134287215</v>
      </c>
      <c r="G15944">
        <v>134287258</v>
      </c>
      <c r="H15944">
        <v>134287776</v>
      </c>
      <c r="I15944">
        <v>134287855</v>
      </c>
    </row>
    <row r="15945" spans="1:9" x14ac:dyDescent="0.2">
      <c r="A15945" t="str">
        <f>"Pdilt"</f>
        <v>Pdilt</v>
      </c>
      <c r="B15945" t="s">
        <v>14</v>
      </c>
      <c r="C15945" t="s">
        <v>33</v>
      </c>
      <c r="D15945" t="s">
        <v>11</v>
      </c>
      <c r="E15945" t="s">
        <v>12</v>
      </c>
      <c r="F15945">
        <v>119523462</v>
      </c>
      <c r="G15945">
        <v>119523474</v>
      </c>
      <c r="H15945">
        <v>119523477</v>
      </c>
      <c r="I15945">
        <v>119523491</v>
      </c>
    </row>
    <row r="15946" spans="1:9" x14ac:dyDescent="0.2">
      <c r="A15946" t="str">
        <f>"Pdk1"</f>
        <v>Pdk1</v>
      </c>
      <c r="B15946" t="s">
        <v>14</v>
      </c>
      <c r="C15946" t="s">
        <v>26</v>
      </c>
      <c r="D15946" t="s">
        <v>17</v>
      </c>
      <c r="E15946" t="s">
        <v>12</v>
      </c>
      <c r="F15946">
        <v>71873278</v>
      </c>
      <c r="G15946">
        <v>71873326</v>
      </c>
      <c r="H15946">
        <v>71873251</v>
      </c>
      <c r="I15946">
        <v>71873273</v>
      </c>
    </row>
    <row r="15947" spans="1:9" x14ac:dyDescent="0.2">
      <c r="A15947" t="str">
        <f>"Pdk2"</f>
        <v>Pdk2</v>
      </c>
      <c r="B15947" t="s">
        <v>14</v>
      </c>
      <c r="C15947" t="s">
        <v>27</v>
      </c>
      <c r="D15947" t="s">
        <v>11</v>
      </c>
      <c r="E15947" t="s">
        <v>12</v>
      </c>
      <c r="F15947">
        <v>95041335</v>
      </c>
      <c r="G15947">
        <v>95041374</v>
      </c>
      <c r="H15947">
        <v>95041308</v>
      </c>
      <c r="I15947">
        <v>95041330</v>
      </c>
    </row>
    <row r="15948" spans="1:9" x14ac:dyDescent="0.2">
      <c r="A15948" t="str">
        <f>"Pdk3"</f>
        <v>Pdk3</v>
      </c>
      <c r="B15948" t="s">
        <v>14</v>
      </c>
      <c r="C15948" t="s">
        <v>37</v>
      </c>
      <c r="D15948" t="s">
        <v>11</v>
      </c>
      <c r="E15948" t="s">
        <v>12</v>
      </c>
      <c r="F15948">
        <v>93832106</v>
      </c>
      <c r="G15948">
        <v>93832199</v>
      </c>
      <c r="H15948">
        <v>93832084</v>
      </c>
      <c r="I15948">
        <v>93832093</v>
      </c>
    </row>
    <row r="15949" spans="1:9" x14ac:dyDescent="0.2">
      <c r="A15949" t="str">
        <f>"Pdk4"</f>
        <v>Pdk4</v>
      </c>
      <c r="B15949" t="s">
        <v>14</v>
      </c>
      <c r="C15949" t="s">
        <v>32</v>
      </c>
      <c r="D15949" t="s">
        <v>11</v>
      </c>
      <c r="E15949" t="s">
        <v>12</v>
      </c>
      <c r="F15949">
        <v>5496296</v>
      </c>
      <c r="G15949">
        <v>5496316</v>
      </c>
      <c r="H15949">
        <v>5496296</v>
      </c>
      <c r="I15949">
        <v>5496316</v>
      </c>
    </row>
    <row r="15950" spans="1:9" x14ac:dyDescent="0.2">
      <c r="A15950" t="str">
        <f>"Pdlim1"</f>
        <v>Pdlim1</v>
      </c>
      <c r="B15950" t="s">
        <v>14</v>
      </c>
      <c r="C15950" t="s">
        <v>10</v>
      </c>
      <c r="D15950" t="s">
        <v>11</v>
      </c>
      <c r="E15950" t="s">
        <v>12</v>
      </c>
      <c r="F15950">
        <v>40271506</v>
      </c>
      <c r="G15950">
        <v>40271577</v>
      </c>
      <c r="H15950">
        <v>40271648</v>
      </c>
      <c r="I15950">
        <v>40271694</v>
      </c>
    </row>
    <row r="15951" spans="1:9" x14ac:dyDescent="0.2">
      <c r="A15951" t="str">
        <f>"Pdlim2"</f>
        <v>Pdlim2</v>
      </c>
      <c r="B15951" t="s">
        <v>9</v>
      </c>
      <c r="C15951" t="s">
        <v>41</v>
      </c>
      <c r="D15951" t="s">
        <v>11</v>
      </c>
      <c r="E15951" t="s">
        <v>12</v>
      </c>
      <c r="F15951">
        <v>70176787</v>
      </c>
      <c r="G15951">
        <v>70176824</v>
      </c>
      <c r="H15951">
        <v>70176787</v>
      </c>
      <c r="I15951">
        <v>70176824</v>
      </c>
    </row>
    <row r="15952" spans="1:9" x14ac:dyDescent="0.2">
      <c r="A15952" t="str">
        <f>"Pdlim2"</f>
        <v>Pdlim2</v>
      </c>
      <c r="B15952" t="s">
        <v>13</v>
      </c>
      <c r="C15952" t="s">
        <v>41</v>
      </c>
      <c r="D15952" t="s">
        <v>11</v>
      </c>
      <c r="E15952" t="s">
        <v>12</v>
      </c>
      <c r="F15952">
        <v>70175397</v>
      </c>
      <c r="G15952">
        <v>70175443</v>
      </c>
      <c r="H15952">
        <v>70175397</v>
      </c>
      <c r="I15952">
        <v>70175443</v>
      </c>
    </row>
    <row r="15953" spans="1:9" x14ac:dyDescent="0.2">
      <c r="A15953" t="str">
        <f>"Pdlim3"</f>
        <v>Pdlim3</v>
      </c>
      <c r="B15953" t="s">
        <v>14</v>
      </c>
      <c r="C15953" t="s">
        <v>30</v>
      </c>
      <c r="D15953" t="s">
        <v>17</v>
      </c>
      <c r="E15953" t="s">
        <v>12</v>
      </c>
      <c r="F15953">
        <v>45885479</v>
      </c>
      <c r="G15953">
        <v>45885494</v>
      </c>
      <c r="H15953">
        <v>45885529</v>
      </c>
      <c r="I15953">
        <v>45885540</v>
      </c>
    </row>
    <row r="15954" spans="1:9" x14ac:dyDescent="0.2">
      <c r="A15954" t="str">
        <f>"Pdlim4"</f>
        <v>Pdlim4</v>
      </c>
      <c r="B15954" t="s">
        <v>14</v>
      </c>
      <c r="C15954" t="s">
        <v>27</v>
      </c>
      <c r="D15954" t="s">
        <v>11</v>
      </c>
      <c r="E15954" t="s">
        <v>12</v>
      </c>
      <c r="F15954">
        <v>54068950</v>
      </c>
      <c r="G15954">
        <v>54069017</v>
      </c>
      <c r="H15954">
        <v>54068950</v>
      </c>
      <c r="I15954">
        <v>54069017</v>
      </c>
    </row>
    <row r="15955" spans="1:9" x14ac:dyDescent="0.2">
      <c r="A15955" t="str">
        <f>"Pdlim5"</f>
        <v>Pdlim5</v>
      </c>
      <c r="B15955" t="s">
        <v>14</v>
      </c>
      <c r="C15955" t="s">
        <v>22</v>
      </c>
      <c r="D15955" t="s">
        <v>11</v>
      </c>
      <c r="E15955" t="s">
        <v>12</v>
      </c>
      <c r="F15955">
        <v>142395627</v>
      </c>
      <c r="G15955">
        <v>142395653</v>
      </c>
      <c r="H15955">
        <v>142395661</v>
      </c>
      <c r="I15955">
        <v>142395683</v>
      </c>
    </row>
    <row r="15956" spans="1:9" x14ac:dyDescent="0.2">
      <c r="A15956" t="str">
        <f>"Pdlim7"</f>
        <v>Pdlim7</v>
      </c>
      <c r="B15956" t="s">
        <v>14</v>
      </c>
      <c r="C15956" t="s">
        <v>39</v>
      </c>
      <c r="D15956" t="s">
        <v>11</v>
      </c>
      <c r="E15956" t="s">
        <v>12</v>
      </c>
      <c r="F15956">
        <v>55513427</v>
      </c>
      <c r="G15956">
        <v>55513443</v>
      </c>
      <c r="H15956">
        <v>55513427</v>
      </c>
      <c r="I15956">
        <v>55513443</v>
      </c>
    </row>
    <row r="15957" spans="1:9" x14ac:dyDescent="0.2">
      <c r="A15957" t="str">
        <f>"Pdp1"</f>
        <v>Pdp1</v>
      </c>
      <c r="B15957" t="s">
        <v>14</v>
      </c>
      <c r="C15957" t="s">
        <v>23</v>
      </c>
      <c r="D15957" t="s">
        <v>11</v>
      </c>
      <c r="E15957" t="s">
        <v>12</v>
      </c>
      <c r="F15957">
        <v>11966368</v>
      </c>
      <c r="G15957">
        <v>11966461</v>
      </c>
      <c r="H15957">
        <v>11965699</v>
      </c>
      <c r="I15957">
        <v>11965752</v>
      </c>
    </row>
    <row r="15958" spans="1:9" x14ac:dyDescent="0.2">
      <c r="A15958" t="str">
        <f>"Pdp2"</f>
        <v>Pdp2</v>
      </c>
      <c r="B15958" t="s">
        <v>14</v>
      </c>
      <c r="C15958" t="s">
        <v>30</v>
      </c>
      <c r="D15958" t="s">
        <v>17</v>
      </c>
      <c r="E15958" t="s">
        <v>12</v>
      </c>
      <c r="F15958">
        <v>104591464</v>
      </c>
      <c r="G15958">
        <v>104591505</v>
      </c>
      <c r="H15958">
        <v>104591440</v>
      </c>
      <c r="I15958">
        <v>104591454</v>
      </c>
    </row>
    <row r="15959" spans="1:9" x14ac:dyDescent="0.2">
      <c r="A15959" t="str">
        <f>"Pdpk1"</f>
        <v>Pdpk1</v>
      </c>
      <c r="B15959" t="s">
        <v>9</v>
      </c>
      <c r="C15959" t="s">
        <v>28</v>
      </c>
      <c r="D15959" t="s">
        <v>11</v>
      </c>
      <c r="E15959" t="s">
        <v>12</v>
      </c>
      <c r="F15959">
        <v>24141542</v>
      </c>
      <c r="G15959">
        <v>24141591</v>
      </c>
      <c r="H15959">
        <v>24141542</v>
      </c>
      <c r="I15959">
        <v>24141591</v>
      </c>
    </row>
    <row r="15960" spans="1:9" x14ac:dyDescent="0.2">
      <c r="A15960" t="str">
        <f>"Pdpk1"</f>
        <v>Pdpk1</v>
      </c>
      <c r="B15960" t="s">
        <v>13</v>
      </c>
      <c r="C15960" t="s">
        <v>28</v>
      </c>
      <c r="D15960" t="s">
        <v>11</v>
      </c>
      <c r="E15960" t="s">
        <v>12</v>
      </c>
      <c r="F15960">
        <v>24150886</v>
      </c>
      <c r="G15960">
        <v>24150907</v>
      </c>
      <c r="H15960">
        <v>24150886</v>
      </c>
      <c r="I15960">
        <v>24150907</v>
      </c>
    </row>
    <row r="15961" spans="1:9" x14ac:dyDescent="0.2">
      <c r="A15961" t="str">
        <f>"Pdpn"</f>
        <v>Pdpn</v>
      </c>
      <c r="B15961" t="s">
        <v>14</v>
      </c>
      <c r="C15961" t="s">
        <v>23</v>
      </c>
      <c r="D15961" t="s">
        <v>11</v>
      </c>
      <c r="E15961" t="s">
        <v>12</v>
      </c>
      <c r="F15961">
        <v>143299465</v>
      </c>
      <c r="G15961">
        <v>143299482</v>
      </c>
      <c r="H15961">
        <v>143299498</v>
      </c>
      <c r="I15961">
        <v>143299511</v>
      </c>
    </row>
    <row r="15962" spans="1:9" x14ac:dyDescent="0.2">
      <c r="A15962" t="str">
        <f>"Pdpr"</f>
        <v>Pdpr</v>
      </c>
      <c r="B15962" t="s">
        <v>14</v>
      </c>
      <c r="C15962" t="s">
        <v>30</v>
      </c>
      <c r="D15962" t="s">
        <v>17</v>
      </c>
      <c r="E15962" t="s">
        <v>12</v>
      </c>
      <c r="F15962">
        <v>111094769</v>
      </c>
      <c r="G15962">
        <v>111094793</v>
      </c>
      <c r="H15962">
        <v>111094647</v>
      </c>
      <c r="I15962">
        <v>111094671</v>
      </c>
    </row>
    <row r="15963" spans="1:9" x14ac:dyDescent="0.2">
      <c r="A15963" t="str">
        <f>"Pdrg1"</f>
        <v>Pdrg1</v>
      </c>
      <c r="B15963" t="s">
        <v>14</v>
      </c>
      <c r="C15963" t="s">
        <v>26</v>
      </c>
      <c r="D15963" t="s">
        <v>11</v>
      </c>
      <c r="E15963" t="s">
        <v>12</v>
      </c>
      <c r="F15963">
        <v>153015331</v>
      </c>
      <c r="G15963">
        <v>153015398</v>
      </c>
      <c r="H15963">
        <v>153015331</v>
      </c>
      <c r="I15963">
        <v>153015398</v>
      </c>
    </row>
    <row r="15964" spans="1:9" x14ac:dyDescent="0.2">
      <c r="A15964" t="str">
        <f>"Pds5a"</f>
        <v>Pds5a</v>
      </c>
      <c r="B15964" t="s">
        <v>14</v>
      </c>
      <c r="C15964" t="s">
        <v>46</v>
      </c>
      <c r="D15964" t="s">
        <v>11</v>
      </c>
      <c r="E15964" t="s">
        <v>12</v>
      </c>
      <c r="F15964">
        <v>65698171</v>
      </c>
      <c r="G15964">
        <v>65698253</v>
      </c>
      <c r="H15964">
        <v>65697896</v>
      </c>
      <c r="I15964">
        <v>65697963</v>
      </c>
    </row>
    <row r="15965" spans="1:9" x14ac:dyDescent="0.2">
      <c r="A15965" t="str">
        <f>"Pds5b"</f>
        <v>Pds5b</v>
      </c>
      <c r="B15965" t="s">
        <v>14</v>
      </c>
      <c r="C15965" t="s">
        <v>46</v>
      </c>
      <c r="D15965" t="s">
        <v>17</v>
      </c>
      <c r="E15965" t="s">
        <v>12</v>
      </c>
      <c r="F15965">
        <v>150673884</v>
      </c>
      <c r="G15965">
        <v>150673937</v>
      </c>
      <c r="H15965">
        <v>150673846</v>
      </c>
      <c r="I15965">
        <v>150673877</v>
      </c>
    </row>
    <row r="15966" spans="1:9" x14ac:dyDescent="0.2">
      <c r="A15966" t="str">
        <f>"Pdss1"</f>
        <v>Pdss1</v>
      </c>
      <c r="B15966" t="s">
        <v>14</v>
      </c>
      <c r="C15966" t="s">
        <v>26</v>
      </c>
      <c r="D15966" t="s">
        <v>17</v>
      </c>
      <c r="E15966" t="s">
        <v>12</v>
      </c>
      <c r="F15966">
        <v>22895583</v>
      </c>
      <c r="G15966">
        <v>22895629</v>
      </c>
      <c r="H15966">
        <v>22895482</v>
      </c>
      <c r="I15966">
        <v>22895485</v>
      </c>
    </row>
    <row r="15967" spans="1:9" x14ac:dyDescent="0.2">
      <c r="A15967" t="str">
        <f>"Pdss2"</f>
        <v>Pdss2</v>
      </c>
      <c r="B15967" t="s">
        <v>14</v>
      </c>
      <c r="C15967" t="s">
        <v>15</v>
      </c>
      <c r="D15967" t="s">
        <v>17</v>
      </c>
      <c r="E15967" t="s">
        <v>12</v>
      </c>
      <c r="F15967">
        <v>43221466</v>
      </c>
      <c r="G15967">
        <v>43221501</v>
      </c>
      <c r="H15967">
        <v>43221505</v>
      </c>
      <c r="I15967">
        <v>43221529</v>
      </c>
    </row>
    <row r="15968" spans="1:9" x14ac:dyDescent="0.2">
      <c r="A15968" t="str">
        <f>"Pdx1"</f>
        <v>Pdx1</v>
      </c>
      <c r="B15968" t="s">
        <v>14</v>
      </c>
      <c r="C15968" t="s">
        <v>46</v>
      </c>
      <c r="D15968" t="s">
        <v>17</v>
      </c>
      <c r="E15968" t="s">
        <v>12</v>
      </c>
      <c r="F15968">
        <v>147270110</v>
      </c>
      <c r="G15968">
        <v>147270139</v>
      </c>
      <c r="H15968">
        <v>147270146</v>
      </c>
      <c r="I15968">
        <v>147270168</v>
      </c>
    </row>
    <row r="15969" spans="1:9" x14ac:dyDescent="0.2">
      <c r="A15969" t="str">
        <f>"Pdxdc1"</f>
        <v>Pdxdc1</v>
      </c>
      <c r="B15969" t="s">
        <v>14</v>
      </c>
      <c r="C15969" t="s">
        <v>31</v>
      </c>
      <c r="D15969" t="s">
        <v>11</v>
      </c>
      <c r="E15969" t="s">
        <v>12</v>
      </c>
      <c r="F15969">
        <v>13903085</v>
      </c>
      <c r="G15969">
        <v>13903149</v>
      </c>
      <c r="H15969">
        <v>13902968</v>
      </c>
      <c r="I15969">
        <v>13902985</v>
      </c>
    </row>
    <row r="15970" spans="1:9" x14ac:dyDescent="0.2">
      <c r="A15970" t="str">
        <f>"Pdxk"</f>
        <v>Pdxk</v>
      </c>
      <c r="B15970" t="s">
        <v>14</v>
      </c>
      <c r="C15970" t="s">
        <v>15</v>
      </c>
      <c r="D15970" t="s">
        <v>11</v>
      </c>
      <c r="E15970" t="s">
        <v>12</v>
      </c>
      <c r="F15970">
        <v>78464887</v>
      </c>
      <c r="G15970">
        <v>78464944</v>
      </c>
      <c r="H15970">
        <v>78464945</v>
      </c>
      <c r="I15970">
        <v>78464965</v>
      </c>
    </row>
    <row r="15971" spans="1:9" x14ac:dyDescent="0.2">
      <c r="A15971" t="str">
        <f>"Pdxp"</f>
        <v>Pdxp</v>
      </c>
      <c r="B15971" t="s">
        <v>14</v>
      </c>
      <c r="C15971" t="s">
        <v>25</v>
      </c>
      <c r="D15971" t="s">
        <v>17</v>
      </c>
      <c r="E15971" t="s">
        <v>12</v>
      </c>
      <c r="F15971">
        <v>78913931</v>
      </c>
      <c r="G15971">
        <v>78913966</v>
      </c>
      <c r="H15971">
        <v>78913916</v>
      </c>
      <c r="I15971">
        <v>78913927</v>
      </c>
    </row>
    <row r="15972" spans="1:9" x14ac:dyDescent="0.2">
      <c r="A15972" t="str">
        <f>"Pdyn"</f>
        <v>Pdyn</v>
      </c>
      <c r="B15972" t="s">
        <v>14</v>
      </c>
      <c r="C15972" t="s">
        <v>26</v>
      </c>
      <c r="D15972" t="s">
        <v>11</v>
      </c>
      <c r="E15972" t="s">
        <v>12</v>
      </c>
      <c r="F15972">
        <v>129699836</v>
      </c>
      <c r="G15972">
        <v>129699850</v>
      </c>
      <c r="H15972">
        <v>129699805</v>
      </c>
      <c r="I15972">
        <v>129699818</v>
      </c>
    </row>
    <row r="15973" spans="1:9" x14ac:dyDescent="0.2">
      <c r="A15973" t="str">
        <f>"Pdzd11"</f>
        <v>Pdzd11</v>
      </c>
      <c r="B15973" t="s">
        <v>14</v>
      </c>
      <c r="C15973" t="s">
        <v>37</v>
      </c>
      <c r="D15973" t="s">
        <v>11</v>
      </c>
      <c r="E15973" t="s">
        <v>12</v>
      </c>
      <c r="F15973">
        <v>100625901</v>
      </c>
      <c r="G15973">
        <v>100625954</v>
      </c>
      <c r="H15973">
        <v>100625883</v>
      </c>
      <c r="I15973">
        <v>100625900</v>
      </c>
    </row>
    <row r="15974" spans="1:9" x14ac:dyDescent="0.2">
      <c r="A15974" t="str">
        <f>"Pdzd2"</f>
        <v>Pdzd2</v>
      </c>
      <c r="B15974" t="s">
        <v>5587</v>
      </c>
      <c r="C15974" t="s">
        <v>25</v>
      </c>
      <c r="D15974" t="s">
        <v>11</v>
      </c>
      <c r="E15974" t="s">
        <v>20</v>
      </c>
      <c r="F15974">
        <v>12592555</v>
      </c>
      <c r="G15974">
        <v>12592555</v>
      </c>
      <c r="H15974">
        <v>12592555</v>
      </c>
      <c r="I15974">
        <v>12592555</v>
      </c>
    </row>
    <row r="15975" spans="1:9" x14ac:dyDescent="0.2">
      <c r="A15975" t="str">
        <f>"Pdzd3"</f>
        <v>Pdzd3</v>
      </c>
      <c r="B15975" t="s">
        <v>14</v>
      </c>
      <c r="C15975" t="s">
        <v>24</v>
      </c>
      <c r="D15975" t="s">
        <v>11</v>
      </c>
      <c r="E15975" t="s">
        <v>12</v>
      </c>
      <c r="F15975">
        <v>44251465</v>
      </c>
      <c r="G15975">
        <v>44251491</v>
      </c>
      <c r="H15975">
        <v>44251465</v>
      </c>
      <c r="I15975">
        <v>44251491</v>
      </c>
    </row>
    <row r="15976" spans="1:9" x14ac:dyDescent="0.2">
      <c r="A15976" t="str">
        <f>"Pdzd4"</f>
        <v>Pdzd4</v>
      </c>
      <c r="B15976" t="s">
        <v>14</v>
      </c>
      <c r="C15976" t="s">
        <v>37</v>
      </c>
      <c r="D15976" t="s">
        <v>11</v>
      </c>
      <c r="E15976" t="s">
        <v>12</v>
      </c>
      <c r="F15976">
        <v>73824938</v>
      </c>
      <c r="G15976">
        <v>73824977</v>
      </c>
      <c r="H15976">
        <v>73824993</v>
      </c>
      <c r="I15976">
        <v>73825006</v>
      </c>
    </row>
    <row r="15977" spans="1:9" x14ac:dyDescent="0.2">
      <c r="A15977" t="str">
        <f>"Pdzd7"</f>
        <v>Pdzd7</v>
      </c>
      <c r="B15977" t="s">
        <v>14</v>
      </c>
      <c r="C15977" t="s">
        <v>10</v>
      </c>
      <c r="D15977" t="s">
        <v>11</v>
      </c>
      <c r="E15977" t="s">
        <v>12</v>
      </c>
      <c r="F15977">
        <v>45046618</v>
      </c>
      <c r="G15977">
        <v>45046645</v>
      </c>
      <c r="H15977">
        <v>45046600</v>
      </c>
      <c r="I15977">
        <v>45046609</v>
      </c>
    </row>
    <row r="15978" spans="1:9" x14ac:dyDescent="0.2">
      <c r="A15978" t="str">
        <f>"Pdzd8"</f>
        <v>Pdzd8</v>
      </c>
      <c r="B15978" t="s">
        <v>14</v>
      </c>
      <c r="C15978" t="s">
        <v>10</v>
      </c>
      <c r="D15978" t="s">
        <v>11</v>
      </c>
      <c r="E15978" t="s">
        <v>12</v>
      </c>
      <c r="F15978">
        <v>59345746</v>
      </c>
      <c r="G15978">
        <v>59345853</v>
      </c>
      <c r="H15978">
        <v>59345746</v>
      </c>
      <c r="I15978">
        <v>59345853</v>
      </c>
    </row>
    <row r="15979" spans="1:9" x14ac:dyDescent="0.2">
      <c r="A15979" t="str">
        <f>"Pdzd9"</f>
        <v>Pdzd9</v>
      </c>
      <c r="B15979" t="s">
        <v>14</v>
      </c>
      <c r="C15979" t="s">
        <v>33</v>
      </c>
      <c r="D15979" t="s">
        <v>11</v>
      </c>
      <c r="E15979" t="s">
        <v>12</v>
      </c>
      <c r="F15979">
        <v>120670239</v>
      </c>
      <c r="G15979">
        <v>120670255</v>
      </c>
      <c r="H15979">
        <v>120670222</v>
      </c>
      <c r="I15979">
        <v>120670228</v>
      </c>
    </row>
    <row r="15980" spans="1:9" x14ac:dyDescent="0.2">
      <c r="A15980" t="str">
        <f>"Pdzk1"</f>
        <v>Pdzk1</v>
      </c>
      <c r="B15980" t="s">
        <v>14</v>
      </c>
      <c r="C15980" t="s">
        <v>22</v>
      </c>
      <c r="D15980" t="s">
        <v>17</v>
      </c>
      <c r="E15980" t="s">
        <v>12</v>
      </c>
      <c r="F15980">
        <v>96830069</v>
      </c>
      <c r="G15980">
        <v>96830115</v>
      </c>
      <c r="H15980">
        <v>96830123</v>
      </c>
      <c r="I15980">
        <v>96830139</v>
      </c>
    </row>
    <row r="15981" spans="1:9" x14ac:dyDescent="0.2">
      <c r="A15981" t="str">
        <f>"Pdzk1ip1"</f>
        <v>Pdzk1ip1</v>
      </c>
      <c r="B15981" t="s">
        <v>9</v>
      </c>
      <c r="C15981" t="s">
        <v>23</v>
      </c>
      <c r="D15981" t="s">
        <v>17</v>
      </c>
      <c r="E15981" t="s">
        <v>12</v>
      </c>
      <c r="F15981">
        <v>115088990</v>
      </c>
      <c r="G15981">
        <v>115089149</v>
      </c>
      <c r="H15981">
        <v>115088990</v>
      </c>
      <c r="I15981">
        <v>115089149</v>
      </c>
    </row>
    <row r="15982" spans="1:9" x14ac:dyDescent="0.2">
      <c r="A15982" t="str">
        <f>"Pdzk1ip1"</f>
        <v>Pdzk1ip1</v>
      </c>
      <c r="B15982" t="s">
        <v>13</v>
      </c>
      <c r="C15982" t="s">
        <v>23</v>
      </c>
      <c r="D15982" t="s">
        <v>17</v>
      </c>
      <c r="E15982" t="s">
        <v>12</v>
      </c>
      <c r="F15982">
        <v>115090188</v>
      </c>
      <c r="G15982">
        <v>115090228</v>
      </c>
      <c r="H15982">
        <v>115090188</v>
      </c>
      <c r="I15982">
        <v>115090228</v>
      </c>
    </row>
    <row r="15983" spans="1:9" x14ac:dyDescent="0.2">
      <c r="A15983" t="str">
        <f>"Pdzrn3"</f>
        <v>Pdzrn3</v>
      </c>
      <c r="B15983" t="s">
        <v>14</v>
      </c>
      <c r="C15983" t="s">
        <v>32</v>
      </c>
      <c r="D15983" t="s">
        <v>11</v>
      </c>
      <c r="E15983" t="s">
        <v>12</v>
      </c>
      <c r="F15983">
        <v>101378002</v>
      </c>
      <c r="G15983">
        <v>101378016</v>
      </c>
      <c r="H15983">
        <v>101378002</v>
      </c>
      <c r="I15983">
        <v>101378016</v>
      </c>
    </row>
    <row r="15984" spans="1:9" x14ac:dyDescent="0.2">
      <c r="A15984" t="str">
        <f>"Pdzrn4"</f>
        <v>Pdzrn4</v>
      </c>
      <c r="B15984" t="s">
        <v>5588</v>
      </c>
      <c r="C15984" t="s">
        <v>25</v>
      </c>
      <c r="D15984" t="s">
        <v>17</v>
      </c>
      <c r="E15984" t="s">
        <v>35</v>
      </c>
      <c r="F15984">
        <v>92396787</v>
      </c>
      <c r="G15984">
        <v>92396809</v>
      </c>
      <c r="H15984">
        <v>92396951</v>
      </c>
      <c r="I15984">
        <v>92396967</v>
      </c>
    </row>
    <row r="15985" spans="1:9" x14ac:dyDescent="0.2">
      <c r="A15985" t="str">
        <f>"Pea15a"</f>
        <v>Pea15a</v>
      </c>
      <c r="B15985" t="s">
        <v>14</v>
      </c>
      <c r="C15985" t="s">
        <v>19</v>
      </c>
      <c r="D15985" t="s">
        <v>11</v>
      </c>
      <c r="E15985" t="s">
        <v>12</v>
      </c>
      <c r="F15985">
        <v>172206684</v>
      </c>
      <c r="G15985">
        <v>172206755</v>
      </c>
      <c r="H15985">
        <v>172206775</v>
      </c>
      <c r="I15985">
        <v>172206786</v>
      </c>
    </row>
    <row r="15986" spans="1:9" x14ac:dyDescent="0.2">
      <c r="A15986" t="str">
        <f>"Pear1"</f>
        <v>Pear1</v>
      </c>
      <c r="B15986" t="s">
        <v>14</v>
      </c>
      <c r="C15986" t="s">
        <v>22</v>
      </c>
      <c r="D15986" t="s">
        <v>11</v>
      </c>
      <c r="E15986" t="s">
        <v>12</v>
      </c>
      <c r="F15986">
        <v>87768932</v>
      </c>
      <c r="G15986">
        <v>87768960</v>
      </c>
      <c r="H15986">
        <v>87768967</v>
      </c>
      <c r="I15986">
        <v>87768975</v>
      </c>
    </row>
    <row r="15987" spans="1:9" x14ac:dyDescent="0.2">
      <c r="A15987" t="str">
        <f>"Pebp1"</f>
        <v>Pebp1</v>
      </c>
      <c r="B15987" t="s">
        <v>14</v>
      </c>
      <c r="C15987" t="s">
        <v>46</v>
      </c>
      <c r="D15987" t="s">
        <v>11</v>
      </c>
      <c r="E15987" t="s">
        <v>12</v>
      </c>
      <c r="F15987">
        <v>117287589</v>
      </c>
      <c r="G15987">
        <v>117287623</v>
      </c>
      <c r="H15987">
        <v>117287589</v>
      </c>
      <c r="I15987">
        <v>117287623</v>
      </c>
    </row>
    <row r="15988" spans="1:9" x14ac:dyDescent="0.2">
      <c r="A15988" t="str">
        <f>"Pebp4"</f>
        <v>Pebp4</v>
      </c>
      <c r="B15988" t="s">
        <v>14</v>
      </c>
      <c r="C15988" t="s">
        <v>41</v>
      </c>
      <c r="D15988" t="s">
        <v>17</v>
      </c>
      <c r="E15988" t="s">
        <v>12</v>
      </c>
      <c r="F15988">
        <v>69840393</v>
      </c>
      <c r="G15988">
        <v>69840465</v>
      </c>
      <c r="H15988">
        <v>69840359</v>
      </c>
      <c r="I15988">
        <v>69840378</v>
      </c>
    </row>
    <row r="15989" spans="1:9" x14ac:dyDescent="0.2">
      <c r="A15989" t="str">
        <f>"Pecam1"</f>
        <v>Pecam1</v>
      </c>
      <c r="B15989" t="s">
        <v>14</v>
      </c>
      <c r="C15989" t="s">
        <v>27</v>
      </c>
      <c r="D15989" t="s">
        <v>11</v>
      </c>
      <c r="E15989" t="s">
        <v>12</v>
      </c>
      <c r="F15989">
        <v>106715251</v>
      </c>
      <c r="G15989">
        <v>106715293</v>
      </c>
      <c r="H15989">
        <v>106715236</v>
      </c>
      <c r="I15989">
        <v>106715247</v>
      </c>
    </row>
    <row r="15990" spans="1:9" x14ac:dyDescent="0.2">
      <c r="A15990" t="str">
        <f>"Pecr"</f>
        <v>Pecr</v>
      </c>
      <c r="B15990" t="s">
        <v>14</v>
      </c>
      <c r="C15990" t="s">
        <v>19</v>
      </c>
      <c r="D15990" t="s">
        <v>11</v>
      </c>
      <c r="E15990" t="s">
        <v>12</v>
      </c>
      <c r="F15990">
        <v>72284248</v>
      </c>
      <c r="G15990">
        <v>72284266</v>
      </c>
      <c r="H15990">
        <v>72284248</v>
      </c>
      <c r="I15990">
        <v>72284266</v>
      </c>
    </row>
    <row r="15991" spans="1:9" x14ac:dyDescent="0.2">
      <c r="A15991" t="str">
        <f>"Pef1"</f>
        <v>Pef1</v>
      </c>
      <c r="B15991" t="s">
        <v>14</v>
      </c>
      <c r="C15991" t="s">
        <v>23</v>
      </c>
      <c r="D15991" t="s">
        <v>17</v>
      </c>
      <c r="E15991" t="s">
        <v>12</v>
      </c>
      <c r="F15991">
        <v>130107609</v>
      </c>
      <c r="G15991">
        <v>130107620</v>
      </c>
      <c r="H15991">
        <v>130107600</v>
      </c>
      <c r="I15991">
        <v>130107606</v>
      </c>
    </row>
    <row r="15992" spans="1:9" x14ac:dyDescent="0.2">
      <c r="A15992" t="str">
        <f>"Peg10"</f>
        <v>Peg10</v>
      </c>
      <c r="B15992" t="s">
        <v>9</v>
      </c>
      <c r="C15992" t="s">
        <v>32</v>
      </c>
      <c r="D15992" t="s">
        <v>17</v>
      </c>
      <c r="E15992" t="s">
        <v>12</v>
      </c>
      <c r="F15992">
        <v>4747360</v>
      </c>
      <c r="G15992">
        <v>4747372</v>
      </c>
      <c r="H15992">
        <v>4747360</v>
      </c>
      <c r="I15992">
        <v>4747372</v>
      </c>
    </row>
    <row r="15993" spans="1:9" x14ac:dyDescent="0.2">
      <c r="A15993" t="str">
        <f>"Peg10"</f>
        <v>Peg10</v>
      </c>
      <c r="B15993" t="s">
        <v>13</v>
      </c>
      <c r="C15993" t="s">
        <v>32</v>
      </c>
      <c r="D15993" t="s">
        <v>17</v>
      </c>
      <c r="E15993" t="s">
        <v>12</v>
      </c>
      <c r="F15993">
        <v>4756672</v>
      </c>
      <c r="G15993">
        <v>4756693</v>
      </c>
      <c r="H15993">
        <v>4756672</v>
      </c>
      <c r="I15993">
        <v>4756693</v>
      </c>
    </row>
    <row r="15994" spans="1:9" x14ac:dyDescent="0.2">
      <c r="A15994" t="str">
        <f>"Peg12"</f>
        <v>Peg12</v>
      </c>
      <c r="B15994" t="s">
        <v>14</v>
      </c>
      <c r="C15994" t="s">
        <v>33</v>
      </c>
      <c r="D15994" t="s">
        <v>11</v>
      </c>
      <c r="E15994" t="s">
        <v>12</v>
      </c>
      <c r="F15994">
        <v>62464505</v>
      </c>
      <c r="G15994">
        <v>62464548</v>
      </c>
      <c r="H15994">
        <v>62464416</v>
      </c>
      <c r="I15994">
        <v>62464440</v>
      </c>
    </row>
    <row r="15995" spans="1:9" x14ac:dyDescent="0.2">
      <c r="A15995" t="str">
        <f>"Peg3"</f>
        <v>Peg3</v>
      </c>
      <c r="B15995" t="s">
        <v>14</v>
      </c>
      <c r="C15995" t="s">
        <v>33</v>
      </c>
      <c r="D15995" t="s">
        <v>11</v>
      </c>
      <c r="E15995" t="s">
        <v>12</v>
      </c>
      <c r="F15995">
        <v>6730412</v>
      </c>
      <c r="G15995">
        <v>6730431</v>
      </c>
      <c r="H15995">
        <v>6730412</v>
      </c>
      <c r="I15995">
        <v>6730431</v>
      </c>
    </row>
    <row r="15996" spans="1:9" x14ac:dyDescent="0.2">
      <c r="A15996" t="str">
        <f>"Peli1"</f>
        <v>Peli1</v>
      </c>
      <c r="B15996" t="s">
        <v>14</v>
      </c>
      <c r="C15996" t="s">
        <v>27</v>
      </c>
      <c r="D15996" t="s">
        <v>17</v>
      </c>
      <c r="E15996" t="s">
        <v>12</v>
      </c>
      <c r="F15996">
        <v>21091297</v>
      </c>
      <c r="G15996">
        <v>21091339</v>
      </c>
      <c r="H15996">
        <v>21091371</v>
      </c>
      <c r="I15996">
        <v>21091401</v>
      </c>
    </row>
    <row r="15997" spans="1:9" x14ac:dyDescent="0.2">
      <c r="A15997" t="str">
        <f>"Peli2"</f>
        <v>Peli2</v>
      </c>
      <c r="B15997" t="s">
        <v>14</v>
      </c>
      <c r="C15997" t="s">
        <v>41</v>
      </c>
      <c r="D15997" t="s">
        <v>17</v>
      </c>
      <c r="E15997" t="s">
        <v>12</v>
      </c>
      <c r="F15997">
        <v>48120873</v>
      </c>
      <c r="G15997">
        <v>48120956</v>
      </c>
      <c r="H15997">
        <v>48120841</v>
      </c>
      <c r="I15997">
        <v>48120865</v>
      </c>
    </row>
    <row r="15998" spans="1:9" x14ac:dyDescent="0.2">
      <c r="A15998" t="str">
        <f>"Peli3"</f>
        <v>Peli3</v>
      </c>
      <c r="B15998" t="s">
        <v>14</v>
      </c>
      <c r="C15998" t="s">
        <v>10</v>
      </c>
      <c r="D15998" t="s">
        <v>11</v>
      </c>
      <c r="E15998" t="s">
        <v>12</v>
      </c>
      <c r="F15998">
        <v>4943049</v>
      </c>
      <c r="G15998">
        <v>4943101</v>
      </c>
      <c r="H15998">
        <v>4943032</v>
      </c>
      <c r="I15998">
        <v>4943043</v>
      </c>
    </row>
    <row r="15999" spans="1:9" x14ac:dyDescent="0.2">
      <c r="A15999" t="str">
        <f>"Pelo"</f>
        <v>Pelo</v>
      </c>
      <c r="B15999" t="s">
        <v>9</v>
      </c>
      <c r="C15999" t="s">
        <v>39</v>
      </c>
      <c r="D15999" t="s">
        <v>11</v>
      </c>
      <c r="E15999" t="s">
        <v>12</v>
      </c>
      <c r="F15999">
        <v>115090123</v>
      </c>
      <c r="G15999">
        <v>115090241</v>
      </c>
      <c r="H15999">
        <v>115090123</v>
      </c>
      <c r="I15999">
        <v>115090241</v>
      </c>
    </row>
    <row r="16000" spans="1:9" x14ac:dyDescent="0.2">
      <c r="A16000" t="str">
        <f>"Pelo"</f>
        <v>Pelo</v>
      </c>
      <c r="B16000" t="s">
        <v>13</v>
      </c>
      <c r="C16000" t="s">
        <v>39</v>
      </c>
      <c r="D16000" t="s">
        <v>11</v>
      </c>
      <c r="E16000" t="s">
        <v>12</v>
      </c>
      <c r="F16000">
        <v>115101909</v>
      </c>
      <c r="G16000">
        <v>115101984</v>
      </c>
      <c r="H16000">
        <v>115101909</v>
      </c>
      <c r="I16000">
        <v>115101984</v>
      </c>
    </row>
    <row r="16001" spans="1:9" x14ac:dyDescent="0.2">
      <c r="A16001" t="str">
        <f>"Pelp1"</f>
        <v>Pelp1</v>
      </c>
      <c r="B16001" t="s">
        <v>14</v>
      </c>
      <c r="C16001" t="s">
        <v>27</v>
      </c>
      <c r="D16001" t="s">
        <v>11</v>
      </c>
      <c r="E16001" t="s">
        <v>12</v>
      </c>
      <c r="F16001">
        <v>70410010</v>
      </c>
      <c r="G16001">
        <v>70410042</v>
      </c>
      <c r="H16001">
        <v>70410195</v>
      </c>
      <c r="I16001">
        <v>70410222</v>
      </c>
    </row>
    <row r="16002" spans="1:9" x14ac:dyDescent="0.2">
      <c r="A16002" t="str">
        <f>"Pemt"</f>
        <v>Pemt</v>
      </c>
      <c r="B16002" t="s">
        <v>14</v>
      </c>
      <c r="C16002" t="s">
        <v>27</v>
      </c>
      <c r="D16002" t="s">
        <v>11</v>
      </c>
      <c r="E16002" t="s">
        <v>12</v>
      </c>
      <c r="F16002">
        <v>60036917</v>
      </c>
      <c r="G16002">
        <v>60036992</v>
      </c>
      <c r="H16002">
        <v>60036917</v>
      </c>
      <c r="I16002">
        <v>60036992</v>
      </c>
    </row>
    <row r="16003" spans="1:9" x14ac:dyDescent="0.2">
      <c r="A16003" t="str">
        <f>"Penk"</f>
        <v>Penk</v>
      </c>
      <c r="B16003" t="s">
        <v>14</v>
      </c>
      <c r="C16003" t="s">
        <v>23</v>
      </c>
      <c r="D16003" t="s">
        <v>11</v>
      </c>
      <c r="E16003" t="s">
        <v>12</v>
      </c>
      <c r="F16003">
        <v>4138774</v>
      </c>
      <c r="G16003">
        <v>4138798</v>
      </c>
      <c r="H16003">
        <v>4138817</v>
      </c>
      <c r="I16003">
        <v>4138828</v>
      </c>
    </row>
    <row r="16004" spans="1:9" x14ac:dyDescent="0.2">
      <c r="A16004" t="str">
        <f>"Peo1"</f>
        <v>Peo1</v>
      </c>
      <c r="B16004" t="s">
        <v>14</v>
      </c>
      <c r="C16004" t="s">
        <v>10</v>
      </c>
      <c r="D16004" t="s">
        <v>17</v>
      </c>
      <c r="E16004" t="s">
        <v>12</v>
      </c>
      <c r="F16004">
        <v>45006475</v>
      </c>
      <c r="G16004">
        <v>45006524</v>
      </c>
      <c r="H16004">
        <v>45006622</v>
      </c>
      <c r="I16004">
        <v>45006668</v>
      </c>
    </row>
    <row r="16005" spans="1:9" x14ac:dyDescent="0.2">
      <c r="A16005" t="str">
        <f>"Pepd"</f>
        <v>Pepd</v>
      </c>
      <c r="B16005" t="s">
        <v>14</v>
      </c>
      <c r="C16005" t="s">
        <v>33</v>
      </c>
      <c r="D16005" t="s">
        <v>17</v>
      </c>
      <c r="E16005" t="s">
        <v>12</v>
      </c>
      <c r="F16005">
        <v>34912400</v>
      </c>
      <c r="G16005">
        <v>34912415</v>
      </c>
      <c r="H16005">
        <v>34912400</v>
      </c>
      <c r="I16005">
        <v>34912415</v>
      </c>
    </row>
    <row r="16006" spans="1:9" x14ac:dyDescent="0.2">
      <c r="A16006" t="str">
        <f>"Per1"</f>
        <v>Per1</v>
      </c>
      <c r="B16006" t="s">
        <v>9</v>
      </c>
      <c r="C16006" t="s">
        <v>27</v>
      </c>
      <c r="D16006" t="s">
        <v>17</v>
      </c>
      <c r="E16006" t="s">
        <v>12</v>
      </c>
      <c r="F16006">
        <v>69095237</v>
      </c>
      <c r="G16006">
        <v>69095289</v>
      </c>
      <c r="H16006">
        <v>69095237</v>
      </c>
      <c r="I16006">
        <v>69095289</v>
      </c>
    </row>
    <row r="16007" spans="1:9" x14ac:dyDescent="0.2">
      <c r="A16007" t="str">
        <f>"Per1"</f>
        <v>Per1</v>
      </c>
      <c r="B16007" t="s">
        <v>13</v>
      </c>
      <c r="C16007" t="s">
        <v>27</v>
      </c>
      <c r="D16007" t="s">
        <v>17</v>
      </c>
      <c r="E16007" t="s">
        <v>12</v>
      </c>
      <c r="F16007">
        <v>69098937</v>
      </c>
      <c r="G16007">
        <v>69098985</v>
      </c>
      <c r="H16007">
        <v>69098937</v>
      </c>
      <c r="I16007">
        <v>69098985</v>
      </c>
    </row>
    <row r="16008" spans="1:9" x14ac:dyDescent="0.2">
      <c r="A16008" t="str">
        <f>"Per2"</f>
        <v>Per2</v>
      </c>
      <c r="B16008" t="s">
        <v>14</v>
      </c>
      <c r="C16008" t="s">
        <v>19</v>
      </c>
      <c r="D16008" t="s">
        <v>11</v>
      </c>
      <c r="E16008" t="s">
        <v>12</v>
      </c>
      <c r="F16008">
        <v>91459254</v>
      </c>
      <c r="G16008">
        <v>91459336</v>
      </c>
      <c r="H16008">
        <v>91459254</v>
      </c>
      <c r="I16008">
        <v>91459336</v>
      </c>
    </row>
    <row r="16009" spans="1:9" x14ac:dyDescent="0.2">
      <c r="A16009" t="str">
        <f>"Per3"</f>
        <v>Per3</v>
      </c>
      <c r="B16009" t="s">
        <v>14</v>
      </c>
      <c r="C16009" t="s">
        <v>23</v>
      </c>
      <c r="D16009" t="s">
        <v>11</v>
      </c>
      <c r="E16009" t="s">
        <v>12</v>
      </c>
      <c r="F16009">
        <v>151044564</v>
      </c>
      <c r="G16009">
        <v>151044691</v>
      </c>
      <c r="H16009">
        <v>151044550</v>
      </c>
      <c r="I16009">
        <v>151044559</v>
      </c>
    </row>
    <row r="16010" spans="1:9" x14ac:dyDescent="0.2">
      <c r="A16010" t="str">
        <f>"Perp"</f>
        <v>Perp</v>
      </c>
      <c r="B16010" t="s">
        <v>14</v>
      </c>
      <c r="C16010" t="s">
        <v>15</v>
      </c>
      <c r="D16010" t="s">
        <v>17</v>
      </c>
      <c r="E16010" t="s">
        <v>12</v>
      </c>
      <c r="F16010">
        <v>18845124</v>
      </c>
      <c r="G16010">
        <v>18845139</v>
      </c>
      <c r="H16010">
        <v>18845096</v>
      </c>
      <c r="I16010">
        <v>18845112</v>
      </c>
    </row>
    <row r="16011" spans="1:9" x14ac:dyDescent="0.2">
      <c r="A16011" t="str">
        <f>"Pes1"</f>
        <v>Pes1</v>
      </c>
      <c r="B16011" t="s">
        <v>14</v>
      </c>
      <c r="C16011" t="s">
        <v>27</v>
      </c>
      <c r="D16011" t="s">
        <v>17</v>
      </c>
      <c r="E16011" t="s">
        <v>12</v>
      </c>
      <c r="F16011">
        <v>3963987</v>
      </c>
      <c r="G16011">
        <v>3964021</v>
      </c>
      <c r="H16011">
        <v>3963970</v>
      </c>
      <c r="I16011">
        <v>3963983</v>
      </c>
    </row>
    <row r="16012" spans="1:9" x14ac:dyDescent="0.2">
      <c r="A16012" t="str">
        <f>"Pet100"</f>
        <v>Pet100</v>
      </c>
      <c r="B16012" t="s">
        <v>14</v>
      </c>
      <c r="C16012" t="s">
        <v>30</v>
      </c>
      <c r="D16012" t="s">
        <v>17</v>
      </c>
      <c r="E16012" t="s">
        <v>67</v>
      </c>
      <c r="F16012">
        <v>3621529</v>
      </c>
      <c r="G16012">
        <v>3621583</v>
      </c>
      <c r="H16012">
        <v>3621479</v>
      </c>
      <c r="I16012">
        <v>3621493</v>
      </c>
    </row>
    <row r="16013" spans="1:9" x14ac:dyDescent="0.2">
      <c r="A16013" t="str">
        <f>"Pet112"</f>
        <v>Pet112</v>
      </c>
      <c r="B16013" t="s">
        <v>14</v>
      </c>
      <c r="C16013" t="s">
        <v>22</v>
      </c>
      <c r="D16013" t="s">
        <v>17</v>
      </c>
      <c r="E16013" t="s">
        <v>67</v>
      </c>
      <c r="F16013">
        <v>85574109</v>
      </c>
      <c r="G16013">
        <v>85574148</v>
      </c>
      <c r="H16013">
        <v>85574150</v>
      </c>
      <c r="I16013">
        <v>85574161</v>
      </c>
    </row>
    <row r="16014" spans="1:9" x14ac:dyDescent="0.2">
      <c r="A16014" t="str">
        <f>"Pet117"</f>
        <v>Pet117</v>
      </c>
      <c r="B16014" t="s">
        <v>14</v>
      </c>
      <c r="C16014" t="s">
        <v>26</v>
      </c>
      <c r="D16014" t="s">
        <v>17</v>
      </c>
      <c r="E16014" t="s">
        <v>67</v>
      </c>
      <c r="F16014">
        <v>144368961</v>
      </c>
      <c r="G16014">
        <v>144368994</v>
      </c>
      <c r="H16014">
        <v>144368908</v>
      </c>
      <c r="I16014">
        <v>144368953</v>
      </c>
    </row>
    <row r="16015" spans="1:9" x14ac:dyDescent="0.2">
      <c r="A16015" t="str">
        <f>"Pet2"</f>
        <v>Pet2</v>
      </c>
      <c r="B16015" t="s">
        <v>14</v>
      </c>
      <c r="C16015" t="s">
        <v>37</v>
      </c>
      <c r="D16015" t="s">
        <v>11</v>
      </c>
      <c r="E16015" t="s">
        <v>12</v>
      </c>
      <c r="F16015">
        <v>89409694</v>
      </c>
      <c r="G16015">
        <v>89409708</v>
      </c>
      <c r="H16015">
        <v>89409730</v>
      </c>
      <c r="I16015">
        <v>89409770</v>
      </c>
    </row>
    <row r="16016" spans="1:9" x14ac:dyDescent="0.2">
      <c r="A16016" t="str">
        <f>"Pex1"</f>
        <v>Pex1</v>
      </c>
      <c r="B16016" t="s">
        <v>14</v>
      </c>
      <c r="C16016" t="s">
        <v>46</v>
      </c>
      <c r="D16016" t="s">
        <v>17</v>
      </c>
      <c r="E16016" t="s">
        <v>12</v>
      </c>
      <c r="F16016">
        <v>3596306</v>
      </c>
      <c r="G16016">
        <v>3596393</v>
      </c>
      <c r="H16016">
        <v>3596204</v>
      </c>
      <c r="I16016">
        <v>3596256</v>
      </c>
    </row>
    <row r="16017" spans="1:9" x14ac:dyDescent="0.2">
      <c r="A16017" t="str">
        <f>"Pex10"</f>
        <v>Pex10</v>
      </c>
      <c r="B16017" t="s">
        <v>14</v>
      </c>
      <c r="C16017" t="s">
        <v>23</v>
      </c>
      <c r="D16017" t="s">
        <v>17</v>
      </c>
      <c r="E16017" t="s">
        <v>12</v>
      </c>
      <c r="F16017">
        <v>155067028</v>
      </c>
      <c r="G16017">
        <v>155067064</v>
      </c>
      <c r="H16017">
        <v>155067007</v>
      </c>
      <c r="I16017">
        <v>155067016</v>
      </c>
    </row>
    <row r="16018" spans="1:9" x14ac:dyDescent="0.2">
      <c r="A16018" t="str">
        <f>"Pex11a"</f>
        <v>Pex11a</v>
      </c>
      <c r="B16018" t="s">
        <v>14</v>
      </c>
      <c r="C16018" t="s">
        <v>33</v>
      </c>
      <c r="D16018" t="s">
        <v>11</v>
      </c>
      <c r="E16018" t="s">
        <v>12</v>
      </c>
      <c r="F16018">
        <v>79743034</v>
      </c>
      <c r="G16018">
        <v>79743088</v>
      </c>
      <c r="H16018">
        <v>79743015</v>
      </c>
      <c r="I16018">
        <v>79743033</v>
      </c>
    </row>
    <row r="16019" spans="1:9" x14ac:dyDescent="0.2">
      <c r="A16019" t="str">
        <f>"Pex11b"</f>
        <v>Pex11b</v>
      </c>
      <c r="B16019" t="s">
        <v>14</v>
      </c>
      <c r="C16019" t="s">
        <v>22</v>
      </c>
      <c r="D16019" t="s">
        <v>17</v>
      </c>
      <c r="E16019" t="s">
        <v>12</v>
      </c>
      <c r="F16019">
        <v>96635617</v>
      </c>
      <c r="G16019">
        <v>96635686</v>
      </c>
      <c r="H16019">
        <v>96635462</v>
      </c>
      <c r="I16019">
        <v>96635475</v>
      </c>
    </row>
    <row r="16020" spans="1:9" x14ac:dyDescent="0.2">
      <c r="A16020" t="str">
        <f>"Pex11g"</f>
        <v>Pex11g</v>
      </c>
      <c r="B16020" t="s">
        <v>14</v>
      </c>
      <c r="C16020" t="s">
        <v>30</v>
      </c>
      <c r="D16020" t="s">
        <v>11</v>
      </c>
      <c r="E16020" t="s">
        <v>67</v>
      </c>
      <c r="F16020">
        <v>3467617</v>
      </c>
      <c r="G16020">
        <v>3467662</v>
      </c>
      <c r="H16020">
        <v>3467666</v>
      </c>
      <c r="I16020">
        <v>3467678</v>
      </c>
    </row>
    <row r="16021" spans="1:9" x14ac:dyDescent="0.2">
      <c r="A16021" t="str">
        <f>"Pex12"</f>
        <v>Pex12</v>
      </c>
      <c r="B16021" t="s">
        <v>14</v>
      </c>
      <c r="C16021" t="s">
        <v>27</v>
      </c>
      <c r="D16021" t="s">
        <v>11</v>
      </c>
      <c r="E16021" t="s">
        <v>12</v>
      </c>
      <c r="F16021">
        <v>83298910</v>
      </c>
      <c r="G16021">
        <v>83298983</v>
      </c>
      <c r="H16021">
        <v>83298873</v>
      </c>
      <c r="I16021">
        <v>83298905</v>
      </c>
    </row>
    <row r="16022" spans="1:9" x14ac:dyDescent="0.2">
      <c r="A16022" t="str">
        <f>"Pex13"</f>
        <v>Pex13</v>
      </c>
      <c r="B16022" t="s">
        <v>14</v>
      </c>
      <c r="C16022" t="s">
        <v>27</v>
      </c>
      <c r="D16022" t="s">
        <v>11</v>
      </c>
      <c r="E16022" t="s">
        <v>12</v>
      </c>
      <c r="F16022">
        <v>23665862</v>
      </c>
      <c r="G16022">
        <v>23665937</v>
      </c>
      <c r="H16022">
        <v>23665647</v>
      </c>
      <c r="I16022">
        <v>23665661</v>
      </c>
    </row>
    <row r="16023" spans="1:9" x14ac:dyDescent="0.2">
      <c r="A16023" t="str">
        <f>"Pex14"</f>
        <v>Pex14</v>
      </c>
      <c r="B16023" t="s">
        <v>14</v>
      </c>
      <c r="C16023" t="s">
        <v>23</v>
      </c>
      <c r="D16023" t="s">
        <v>11</v>
      </c>
      <c r="E16023" t="s">
        <v>12</v>
      </c>
      <c r="F16023">
        <v>149099802</v>
      </c>
      <c r="G16023">
        <v>149099843</v>
      </c>
      <c r="H16023">
        <v>149099802</v>
      </c>
      <c r="I16023">
        <v>149099843</v>
      </c>
    </row>
    <row r="16024" spans="1:9" x14ac:dyDescent="0.2">
      <c r="A16024" t="str">
        <f>"Pex16"</f>
        <v>Pex16</v>
      </c>
      <c r="B16024" t="s">
        <v>14</v>
      </c>
      <c r="C16024" t="s">
        <v>26</v>
      </c>
      <c r="D16024" t="s">
        <v>17</v>
      </c>
      <c r="E16024" t="s">
        <v>12</v>
      </c>
      <c r="F16024">
        <v>92375458</v>
      </c>
      <c r="G16024">
        <v>92375561</v>
      </c>
      <c r="H16024">
        <v>92375227</v>
      </c>
      <c r="I16024">
        <v>92375263</v>
      </c>
    </row>
    <row r="16025" spans="1:9" x14ac:dyDescent="0.2">
      <c r="A16025" t="str">
        <f>"Pex19"</f>
        <v>Pex19</v>
      </c>
      <c r="B16025" t="s">
        <v>14</v>
      </c>
      <c r="C16025" t="s">
        <v>19</v>
      </c>
      <c r="D16025" t="s">
        <v>17</v>
      </c>
      <c r="E16025" t="s">
        <v>12</v>
      </c>
      <c r="F16025">
        <v>172126750</v>
      </c>
      <c r="G16025">
        <v>172126779</v>
      </c>
      <c r="H16025">
        <v>172126750</v>
      </c>
      <c r="I16025">
        <v>172126779</v>
      </c>
    </row>
    <row r="16026" spans="1:9" x14ac:dyDescent="0.2">
      <c r="A16026" t="str">
        <f>"Pex2"</f>
        <v>Pex2</v>
      </c>
      <c r="B16026" t="s">
        <v>14</v>
      </c>
      <c r="C16026" t="s">
        <v>22</v>
      </c>
      <c r="D16026" t="s">
        <v>11</v>
      </c>
      <c r="E16026" t="s">
        <v>67</v>
      </c>
      <c r="F16026">
        <v>5576111</v>
      </c>
      <c r="G16026">
        <v>5576162</v>
      </c>
      <c r="H16026">
        <v>5576094</v>
      </c>
      <c r="I16026">
        <v>5576110</v>
      </c>
    </row>
    <row r="16027" spans="1:9" x14ac:dyDescent="0.2">
      <c r="A16027" t="str">
        <f>"Pex26"</f>
        <v>Pex26</v>
      </c>
      <c r="B16027" t="s">
        <v>14</v>
      </c>
      <c r="C16027" t="s">
        <v>32</v>
      </c>
      <c r="D16027" t="s">
        <v>17</v>
      </c>
      <c r="E16027" t="s">
        <v>12</v>
      </c>
      <c r="F16027">
        <v>121183884</v>
      </c>
      <c r="G16027">
        <v>121183941</v>
      </c>
      <c r="H16027">
        <v>121183870</v>
      </c>
      <c r="I16027">
        <v>121183881</v>
      </c>
    </row>
    <row r="16028" spans="1:9" x14ac:dyDescent="0.2">
      <c r="A16028" t="str">
        <f>"Pex3"</f>
        <v>Pex3</v>
      </c>
      <c r="B16028" t="s">
        <v>14</v>
      </c>
      <c r="C16028" t="s">
        <v>15</v>
      </c>
      <c r="D16028" t="s">
        <v>11</v>
      </c>
      <c r="E16028" t="s">
        <v>12</v>
      </c>
      <c r="F16028">
        <v>13552999</v>
      </c>
      <c r="G16028">
        <v>13553061</v>
      </c>
      <c r="H16028">
        <v>13553111</v>
      </c>
      <c r="I16028">
        <v>13553126</v>
      </c>
    </row>
    <row r="16029" spans="1:9" x14ac:dyDescent="0.2">
      <c r="A16029" t="str">
        <f>"Pex5"</f>
        <v>Pex5</v>
      </c>
      <c r="B16029" t="s">
        <v>14</v>
      </c>
      <c r="C16029" t="s">
        <v>32</v>
      </c>
      <c r="D16029" t="s">
        <v>11</v>
      </c>
      <c r="E16029" t="s">
        <v>12</v>
      </c>
      <c r="F16029">
        <v>124415037</v>
      </c>
      <c r="G16029">
        <v>124415078</v>
      </c>
      <c r="H16029">
        <v>124415017</v>
      </c>
      <c r="I16029">
        <v>124415026</v>
      </c>
    </row>
    <row r="16030" spans="1:9" x14ac:dyDescent="0.2">
      <c r="A16030" t="str">
        <f>"Pex5l"</f>
        <v>Pex5l</v>
      </c>
      <c r="B16030" t="s">
        <v>9</v>
      </c>
      <c r="C16030" t="s">
        <v>22</v>
      </c>
      <c r="D16030" t="s">
        <v>11</v>
      </c>
      <c r="E16030" t="s">
        <v>12</v>
      </c>
      <c r="F16030">
        <v>33083016</v>
      </c>
      <c r="G16030">
        <v>33083046</v>
      </c>
      <c r="H16030">
        <v>33083016</v>
      </c>
      <c r="I16030">
        <v>33083046</v>
      </c>
    </row>
    <row r="16031" spans="1:9" x14ac:dyDescent="0.2">
      <c r="A16031" t="str">
        <f>"Pex5l"</f>
        <v>Pex5l</v>
      </c>
      <c r="B16031" t="s">
        <v>13</v>
      </c>
      <c r="C16031" t="s">
        <v>22</v>
      </c>
      <c r="D16031" t="s">
        <v>11</v>
      </c>
      <c r="E16031" t="s">
        <v>12</v>
      </c>
      <c r="F16031">
        <v>33143227</v>
      </c>
      <c r="G16031">
        <v>33143266</v>
      </c>
      <c r="H16031">
        <v>33143227</v>
      </c>
      <c r="I16031">
        <v>33143266</v>
      </c>
    </row>
    <row r="16032" spans="1:9" x14ac:dyDescent="0.2">
      <c r="A16032" t="str">
        <f>"Pex6"</f>
        <v>Pex6</v>
      </c>
      <c r="B16032" t="s">
        <v>14</v>
      </c>
      <c r="C16032" t="s">
        <v>28</v>
      </c>
      <c r="D16032" t="s">
        <v>17</v>
      </c>
      <c r="E16032" t="s">
        <v>12</v>
      </c>
      <c r="F16032">
        <v>46711459</v>
      </c>
      <c r="G16032">
        <v>46711497</v>
      </c>
      <c r="H16032">
        <v>46711443</v>
      </c>
      <c r="I16032">
        <v>46711452</v>
      </c>
    </row>
    <row r="16033" spans="1:9" x14ac:dyDescent="0.2">
      <c r="A16033" t="str">
        <f>"Pex7"</f>
        <v>Pex7</v>
      </c>
      <c r="B16033" t="s">
        <v>14</v>
      </c>
      <c r="C16033" t="s">
        <v>15</v>
      </c>
      <c r="D16033" t="s">
        <v>11</v>
      </c>
      <c r="E16033" t="s">
        <v>12</v>
      </c>
      <c r="F16033">
        <v>19907645</v>
      </c>
      <c r="G16033">
        <v>19907689</v>
      </c>
      <c r="H16033">
        <v>19907631</v>
      </c>
      <c r="I16033">
        <v>19907640</v>
      </c>
    </row>
    <row r="16034" spans="1:9" x14ac:dyDescent="0.2">
      <c r="A16034" t="str">
        <f>"Pf4"</f>
        <v>Pf4</v>
      </c>
      <c r="B16034" t="s">
        <v>14</v>
      </c>
      <c r="C16034" t="s">
        <v>46</v>
      </c>
      <c r="D16034" t="s">
        <v>17</v>
      </c>
      <c r="E16034" t="s">
        <v>12</v>
      </c>
      <c r="F16034">
        <v>90772493</v>
      </c>
      <c r="G16034">
        <v>90772509</v>
      </c>
      <c r="H16034">
        <v>90772537</v>
      </c>
      <c r="I16034">
        <v>90772551</v>
      </c>
    </row>
    <row r="16035" spans="1:9" x14ac:dyDescent="0.2">
      <c r="A16035" t="str">
        <f>"Pfas"</f>
        <v>Pfas</v>
      </c>
      <c r="B16035" t="s">
        <v>14</v>
      </c>
      <c r="C16035" t="s">
        <v>27</v>
      </c>
      <c r="D16035" t="s">
        <v>11</v>
      </c>
      <c r="E16035" t="s">
        <v>12</v>
      </c>
      <c r="F16035">
        <v>69008422</v>
      </c>
      <c r="G16035">
        <v>69008477</v>
      </c>
      <c r="H16035">
        <v>69008422</v>
      </c>
      <c r="I16035">
        <v>69008477</v>
      </c>
    </row>
    <row r="16036" spans="1:9" x14ac:dyDescent="0.2">
      <c r="A16036" t="str">
        <f>"Pfdn1"</f>
        <v>Pfdn1</v>
      </c>
      <c r="B16036" t="s">
        <v>14</v>
      </c>
      <c r="C16036" t="s">
        <v>43</v>
      </c>
      <c r="D16036" t="s">
        <v>11</v>
      </c>
      <c r="E16036" t="s">
        <v>12</v>
      </c>
      <c r="F16036">
        <v>36454487</v>
      </c>
      <c r="G16036">
        <v>36454516</v>
      </c>
      <c r="H16036">
        <v>36454523</v>
      </c>
      <c r="I16036">
        <v>36454535</v>
      </c>
    </row>
    <row r="16037" spans="1:9" x14ac:dyDescent="0.2">
      <c r="A16037" t="str">
        <f>"Pfdn2"</f>
        <v>Pfdn2</v>
      </c>
      <c r="B16037" t="s">
        <v>14</v>
      </c>
      <c r="C16037" t="s">
        <v>19</v>
      </c>
      <c r="D16037" t="s">
        <v>17</v>
      </c>
      <c r="E16037" t="s">
        <v>12</v>
      </c>
      <c r="F16037">
        <v>171345684</v>
      </c>
      <c r="G16037">
        <v>171345708</v>
      </c>
      <c r="H16037">
        <v>171345669</v>
      </c>
      <c r="I16037">
        <v>171345680</v>
      </c>
    </row>
    <row r="16038" spans="1:9" x14ac:dyDescent="0.2">
      <c r="A16038" t="str">
        <f>"Pfdn4"</f>
        <v>Pfdn4</v>
      </c>
      <c r="B16038" t="s">
        <v>14</v>
      </c>
      <c r="C16038" t="s">
        <v>26</v>
      </c>
      <c r="D16038" t="s">
        <v>17</v>
      </c>
      <c r="E16038" t="s">
        <v>12</v>
      </c>
      <c r="F16038">
        <v>170511418</v>
      </c>
      <c r="G16038">
        <v>170511451</v>
      </c>
      <c r="H16038">
        <v>170511604</v>
      </c>
      <c r="I16038">
        <v>170511646</v>
      </c>
    </row>
    <row r="16039" spans="1:9" x14ac:dyDescent="0.2">
      <c r="A16039" t="str">
        <f>"Pfdn5"</f>
        <v>Pfdn5</v>
      </c>
      <c r="B16039" t="s">
        <v>14</v>
      </c>
      <c r="C16039" t="s">
        <v>25</v>
      </c>
      <c r="D16039" t="s">
        <v>17</v>
      </c>
      <c r="E16039" t="s">
        <v>12</v>
      </c>
      <c r="F16039">
        <v>102326132</v>
      </c>
      <c r="G16039">
        <v>102326152</v>
      </c>
      <c r="H16039">
        <v>102326155</v>
      </c>
      <c r="I16039">
        <v>102326171</v>
      </c>
    </row>
    <row r="16040" spans="1:9" x14ac:dyDescent="0.2">
      <c r="A16040" t="str">
        <f>"Pfkfb1"</f>
        <v>Pfkfb1</v>
      </c>
      <c r="B16040" t="s">
        <v>14</v>
      </c>
      <c r="C16040" t="s">
        <v>37</v>
      </c>
      <c r="D16040" t="s">
        <v>17</v>
      </c>
      <c r="E16040" t="s">
        <v>12</v>
      </c>
      <c r="F16040">
        <v>150588223</v>
      </c>
      <c r="G16040">
        <v>150588260</v>
      </c>
      <c r="H16040">
        <v>150588223</v>
      </c>
      <c r="I16040">
        <v>150588260</v>
      </c>
    </row>
    <row r="16041" spans="1:9" x14ac:dyDescent="0.2">
      <c r="A16041" t="str">
        <f>"Pfkfb2"</f>
        <v>Pfkfb2</v>
      </c>
      <c r="B16041" t="s">
        <v>14</v>
      </c>
      <c r="C16041" t="s">
        <v>19</v>
      </c>
      <c r="D16041" t="s">
        <v>11</v>
      </c>
      <c r="E16041" t="s">
        <v>12</v>
      </c>
      <c r="F16041">
        <v>130715772</v>
      </c>
      <c r="G16041">
        <v>130715825</v>
      </c>
      <c r="H16041">
        <v>130715827</v>
      </c>
      <c r="I16041">
        <v>130715848</v>
      </c>
    </row>
    <row r="16042" spans="1:9" x14ac:dyDescent="0.2">
      <c r="A16042" t="str">
        <f>"Pfkfb3"</f>
        <v>Pfkfb3</v>
      </c>
      <c r="B16042" t="s">
        <v>14</v>
      </c>
      <c r="C16042" t="s">
        <v>26</v>
      </c>
      <c r="D16042" t="s">
        <v>11</v>
      </c>
      <c r="E16042" t="s">
        <v>12</v>
      </c>
      <c r="F16042">
        <v>11502032</v>
      </c>
      <c r="G16042">
        <v>11502049</v>
      </c>
      <c r="H16042">
        <v>11502032</v>
      </c>
      <c r="I16042">
        <v>11502049</v>
      </c>
    </row>
    <row r="16043" spans="1:9" x14ac:dyDescent="0.2">
      <c r="A16043" t="str">
        <f>"Pfkfb4"</f>
        <v>Pfkfb4</v>
      </c>
      <c r="B16043" t="s">
        <v>14</v>
      </c>
      <c r="C16043" t="s">
        <v>24</v>
      </c>
      <c r="D16043" t="s">
        <v>17</v>
      </c>
      <c r="E16043" t="s">
        <v>12</v>
      </c>
      <c r="F16043">
        <v>108991982</v>
      </c>
      <c r="G16043">
        <v>108992002</v>
      </c>
      <c r="H16043">
        <v>108991952</v>
      </c>
      <c r="I16043">
        <v>108991969</v>
      </c>
    </row>
    <row r="16044" spans="1:9" x14ac:dyDescent="0.2">
      <c r="A16044" t="str">
        <f>"Pfkl"</f>
        <v>Pfkl</v>
      </c>
      <c r="B16044" t="s">
        <v>14</v>
      </c>
      <c r="C16044" t="s">
        <v>15</v>
      </c>
      <c r="D16044" t="s">
        <v>11</v>
      </c>
      <c r="E16044" t="s">
        <v>12</v>
      </c>
      <c r="F16044">
        <v>78009737</v>
      </c>
      <c r="G16044">
        <v>78009757</v>
      </c>
      <c r="H16044">
        <v>78009737</v>
      </c>
      <c r="I16044">
        <v>78009757</v>
      </c>
    </row>
    <row r="16045" spans="1:9" x14ac:dyDescent="0.2">
      <c r="A16045" t="str">
        <f>"Pfkm"</f>
        <v>Pfkm</v>
      </c>
      <c r="B16045" t="s">
        <v>9</v>
      </c>
      <c r="C16045" t="s">
        <v>25</v>
      </c>
      <c r="D16045" t="s">
        <v>17</v>
      </c>
      <c r="E16045" t="s">
        <v>12</v>
      </c>
      <c r="F16045">
        <v>98108534</v>
      </c>
      <c r="G16045">
        <v>98108575</v>
      </c>
      <c r="H16045">
        <v>98108534</v>
      </c>
      <c r="I16045">
        <v>98108575</v>
      </c>
    </row>
    <row r="16046" spans="1:9" x14ac:dyDescent="0.2">
      <c r="A16046" t="str">
        <f>"Pfkm"</f>
        <v>Pfkm</v>
      </c>
      <c r="B16046" t="s">
        <v>13</v>
      </c>
      <c r="C16046" t="s">
        <v>25</v>
      </c>
      <c r="D16046" t="s">
        <v>17</v>
      </c>
      <c r="E16046" t="s">
        <v>12</v>
      </c>
      <c r="F16046">
        <v>98112069</v>
      </c>
      <c r="G16046">
        <v>98112092</v>
      </c>
      <c r="H16046">
        <v>98112069</v>
      </c>
      <c r="I16046">
        <v>98112092</v>
      </c>
    </row>
    <row r="16047" spans="1:9" x14ac:dyDescent="0.2">
      <c r="A16047" t="str">
        <f>"Pfkp"</f>
        <v>Pfkp</v>
      </c>
      <c r="B16047" t="s">
        <v>14</v>
      </c>
      <c r="C16047" t="s">
        <v>39</v>
      </c>
      <c r="D16047" t="s">
        <v>11</v>
      </c>
      <c r="E16047" t="s">
        <v>12</v>
      </c>
      <c r="F16047">
        <v>6648717</v>
      </c>
      <c r="G16047">
        <v>6648772</v>
      </c>
      <c r="H16047">
        <v>6648717</v>
      </c>
      <c r="I16047">
        <v>6648772</v>
      </c>
    </row>
    <row r="16048" spans="1:9" x14ac:dyDescent="0.2">
      <c r="A16048" t="str">
        <f>"Pfn1"</f>
        <v>Pfn1</v>
      </c>
      <c r="B16048" t="s">
        <v>14</v>
      </c>
      <c r="C16048" t="s">
        <v>27</v>
      </c>
      <c r="D16048" t="s">
        <v>11</v>
      </c>
      <c r="E16048" t="s">
        <v>12</v>
      </c>
      <c r="F16048">
        <v>70654624</v>
      </c>
      <c r="G16048">
        <v>70654641</v>
      </c>
      <c r="H16048">
        <v>70654600</v>
      </c>
      <c r="I16048">
        <v>70654616</v>
      </c>
    </row>
    <row r="16049" spans="1:9" x14ac:dyDescent="0.2">
      <c r="A16049" t="str">
        <f>"Pfn2"</f>
        <v>Pfn2</v>
      </c>
      <c r="B16049" t="s">
        <v>14</v>
      </c>
      <c r="C16049" t="s">
        <v>22</v>
      </c>
      <c r="D16049" t="s">
        <v>11</v>
      </c>
      <c r="E16049" t="s">
        <v>12</v>
      </c>
      <c r="F16049">
        <v>57847478</v>
      </c>
      <c r="G16049">
        <v>57847610</v>
      </c>
      <c r="H16049">
        <v>57847724</v>
      </c>
      <c r="I16049">
        <v>57847835</v>
      </c>
    </row>
    <row r="16050" spans="1:9" x14ac:dyDescent="0.2">
      <c r="A16050" t="str">
        <f>"Pfn3"</f>
        <v>Pfn3</v>
      </c>
      <c r="B16050" t="s">
        <v>14</v>
      </c>
      <c r="C16050" t="s">
        <v>39</v>
      </c>
      <c r="D16050" t="s">
        <v>11</v>
      </c>
      <c r="E16050" t="s">
        <v>12</v>
      </c>
      <c r="F16050">
        <v>55415216</v>
      </c>
      <c r="G16050">
        <v>55415251</v>
      </c>
      <c r="H16050">
        <v>55415216</v>
      </c>
      <c r="I16050">
        <v>55415251</v>
      </c>
    </row>
    <row r="16051" spans="1:9" x14ac:dyDescent="0.2">
      <c r="A16051" t="str">
        <f>"Pfn4"</f>
        <v>Pfn4</v>
      </c>
      <c r="B16051" t="s">
        <v>14</v>
      </c>
      <c r="C16051" t="s">
        <v>16</v>
      </c>
      <c r="D16051" t="s">
        <v>17</v>
      </c>
      <c r="E16051" t="s">
        <v>12</v>
      </c>
      <c r="F16051">
        <v>4769278</v>
      </c>
      <c r="G16051">
        <v>4769338</v>
      </c>
      <c r="H16051">
        <v>4769340</v>
      </c>
      <c r="I16051">
        <v>4769360</v>
      </c>
    </row>
    <row r="16052" spans="1:9" x14ac:dyDescent="0.2">
      <c r="A16052" t="str">
        <f>"Pfpl"</f>
        <v>Pfpl</v>
      </c>
      <c r="B16052" t="s">
        <v>14</v>
      </c>
      <c r="C16052" t="s">
        <v>10</v>
      </c>
      <c r="D16052" t="s">
        <v>17</v>
      </c>
      <c r="E16052" t="s">
        <v>12</v>
      </c>
      <c r="F16052">
        <v>12427924</v>
      </c>
      <c r="G16052">
        <v>12427928</v>
      </c>
      <c r="H16052">
        <v>12427924</v>
      </c>
      <c r="I16052">
        <v>12427928</v>
      </c>
    </row>
    <row r="16053" spans="1:9" x14ac:dyDescent="0.2">
      <c r="A16053" t="str">
        <f>"Pga5"</f>
        <v>Pga5</v>
      </c>
      <c r="B16053" t="s">
        <v>14</v>
      </c>
      <c r="C16053" t="s">
        <v>10</v>
      </c>
      <c r="D16053" t="s">
        <v>11</v>
      </c>
      <c r="E16053" t="s">
        <v>12</v>
      </c>
      <c r="F16053">
        <v>10678001</v>
      </c>
      <c r="G16053">
        <v>10678020</v>
      </c>
      <c r="H16053">
        <v>10678001</v>
      </c>
      <c r="I16053">
        <v>10678020</v>
      </c>
    </row>
    <row r="16054" spans="1:9" x14ac:dyDescent="0.2">
      <c r="A16054" t="str">
        <f>"Pgam1"</f>
        <v>Pgam1</v>
      </c>
      <c r="B16054" t="s">
        <v>14</v>
      </c>
      <c r="C16054" t="s">
        <v>10</v>
      </c>
      <c r="D16054" t="s">
        <v>17</v>
      </c>
      <c r="E16054" t="s">
        <v>12</v>
      </c>
      <c r="F16054">
        <v>41912011</v>
      </c>
      <c r="G16054">
        <v>41912036</v>
      </c>
      <c r="H16054">
        <v>41911945</v>
      </c>
      <c r="I16054">
        <v>41911966</v>
      </c>
    </row>
    <row r="16055" spans="1:9" x14ac:dyDescent="0.2">
      <c r="A16055" t="str">
        <f>"Pgam2"</f>
        <v>Pgam2</v>
      </c>
      <c r="B16055" t="s">
        <v>14</v>
      </c>
      <c r="C16055" t="s">
        <v>27</v>
      </c>
      <c r="D16055" t="s">
        <v>11</v>
      </c>
      <c r="E16055" t="s">
        <v>12</v>
      </c>
      <c r="F16055">
        <v>5803706</v>
      </c>
      <c r="G16055">
        <v>5803728</v>
      </c>
      <c r="H16055">
        <v>5803735</v>
      </c>
      <c r="I16055">
        <v>5803759</v>
      </c>
    </row>
    <row r="16056" spans="1:9" x14ac:dyDescent="0.2">
      <c r="A16056" t="str">
        <f>"Pgam5"</f>
        <v>Pgam5</v>
      </c>
      <c r="B16056" t="s">
        <v>14</v>
      </c>
      <c r="C16056" t="s">
        <v>46</v>
      </c>
      <c r="D16056" t="s">
        <v>11</v>
      </c>
      <c r="E16056" t="s">
        <v>12</v>
      </c>
      <c r="F16056">
        <v>110269816</v>
      </c>
      <c r="G16056">
        <v>110269894</v>
      </c>
      <c r="H16056">
        <v>110269816</v>
      </c>
      <c r="I16056">
        <v>110269894</v>
      </c>
    </row>
    <row r="16057" spans="1:9" x14ac:dyDescent="0.2">
      <c r="A16057" t="str">
        <f>"Pgap1"</f>
        <v>Pgap1</v>
      </c>
      <c r="B16057" t="s">
        <v>14</v>
      </c>
      <c r="C16057" t="s">
        <v>19</v>
      </c>
      <c r="D16057" t="s">
        <v>11</v>
      </c>
      <c r="E16057" t="s">
        <v>12</v>
      </c>
      <c r="F16057">
        <v>54557595</v>
      </c>
      <c r="G16057">
        <v>54557698</v>
      </c>
      <c r="H16057">
        <v>54557595</v>
      </c>
      <c r="I16057">
        <v>54557698</v>
      </c>
    </row>
    <row r="16058" spans="1:9" x14ac:dyDescent="0.2">
      <c r="A16058" t="str">
        <f>"Pgap2"</f>
        <v>Pgap2</v>
      </c>
      <c r="B16058" t="s">
        <v>9</v>
      </c>
      <c r="C16058" t="s">
        <v>33</v>
      </c>
      <c r="D16058" t="s">
        <v>17</v>
      </c>
      <c r="E16058" t="s">
        <v>12</v>
      </c>
      <c r="F16058">
        <v>102223021</v>
      </c>
      <c r="G16058">
        <v>102223076</v>
      </c>
      <c r="H16058">
        <v>102223021</v>
      </c>
      <c r="I16058">
        <v>102223076</v>
      </c>
    </row>
    <row r="16059" spans="1:9" x14ac:dyDescent="0.2">
      <c r="A16059" t="str">
        <f>"Pgap2"</f>
        <v>Pgap2</v>
      </c>
      <c r="B16059" t="s">
        <v>13</v>
      </c>
      <c r="C16059" t="s">
        <v>33</v>
      </c>
      <c r="D16059" t="s">
        <v>17</v>
      </c>
      <c r="E16059" t="s">
        <v>12</v>
      </c>
      <c r="F16059">
        <v>102210499</v>
      </c>
      <c r="G16059">
        <v>102210553</v>
      </c>
      <c r="H16059">
        <v>102210499</v>
      </c>
      <c r="I16059">
        <v>102210553</v>
      </c>
    </row>
    <row r="16060" spans="1:9" x14ac:dyDescent="0.2">
      <c r="A16060" t="str">
        <f>"Pgap3"</f>
        <v>Pgap3</v>
      </c>
      <c r="B16060" t="s">
        <v>14</v>
      </c>
      <c r="C16060" t="s">
        <v>27</v>
      </c>
      <c r="D16060" t="s">
        <v>11</v>
      </c>
      <c r="E16060" t="s">
        <v>12</v>
      </c>
      <c r="F16060">
        <v>98400393</v>
      </c>
      <c r="G16060">
        <v>98400446</v>
      </c>
      <c r="H16060">
        <v>98400453</v>
      </c>
      <c r="I16060">
        <v>98400474</v>
      </c>
    </row>
    <row r="16061" spans="1:9" x14ac:dyDescent="0.2">
      <c r="A16061" t="str">
        <f>"Pgbd1"</f>
        <v>Pgbd1</v>
      </c>
      <c r="B16061" t="s">
        <v>14</v>
      </c>
      <c r="C16061" t="s">
        <v>39</v>
      </c>
      <c r="D16061" t="s">
        <v>11</v>
      </c>
      <c r="E16061" t="s">
        <v>12</v>
      </c>
      <c r="F16061">
        <v>21441044</v>
      </c>
      <c r="G16061">
        <v>21441069</v>
      </c>
      <c r="H16061">
        <v>21441019</v>
      </c>
      <c r="I16061">
        <v>21441040</v>
      </c>
    </row>
    <row r="16062" spans="1:9" x14ac:dyDescent="0.2">
      <c r="A16062" t="str">
        <f>"Pgbd5"</f>
        <v>Pgbd5</v>
      </c>
      <c r="B16062" t="s">
        <v>14</v>
      </c>
      <c r="C16062" t="s">
        <v>30</v>
      </c>
      <c r="D16062" t="s">
        <v>11</v>
      </c>
      <c r="E16062" t="s">
        <v>12</v>
      </c>
      <c r="F16062">
        <v>124434442</v>
      </c>
      <c r="G16062">
        <v>124434505</v>
      </c>
      <c r="H16062">
        <v>124434323</v>
      </c>
      <c r="I16062">
        <v>124434372</v>
      </c>
    </row>
    <row r="16063" spans="1:9" x14ac:dyDescent="0.2">
      <c r="A16063" t="str">
        <f>"Pgc"</f>
        <v>Pgc</v>
      </c>
      <c r="B16063" t="s">
        <v>14</v>
      </c>
      <c r="C16063" t="s">
        <v>28</v>
      </c>
      <c r="D16063" t="s">
        <v>17</v>
      </c>
      <c r="E16063" t="s">
        <v>12</v>
      </c>
      <c r="F16063">
        <v>47726834</v>
      </c>
      <c r="G16063">
        <v>47726848</v>
      </c>
      <c r="H16063">
        <v>47726834</v>
      </c>
      <c r="I16063">
        <v>47726848</v>
      </c>
    </row>
    <row r="16064" spans="1:9" x14ac:dyDescent="0.2">
      <c r="A16064" t="str">
        <f>"Pgd"</f>
        <v>Pgd</v>
      </c>
      <c r="B16064" t="s">
        <v>14</v>
      </c>
      <c r="C16064" t="s">
        <v>23</v>
      </c>
      <c r="D16064" t="s">
        <v>11</v>
      </c>
      <c r="E16064" t="s">
        <v>12</v>
      </c>
      <c r="F16064">
        <v>149166654</v>
      </c>
      <c r="G16064">
        <v>149166677</v>
      </c>
      <c r="H16064">
        <v>149166686</v>
      </c>
      <c r="I16064">
        <v>149166703</v>
      </c>
    </row>
    <row r="16065" spans="1:9" x14ac:dyDescent="0.2">
      <c r="A16065" t="str">
        <f>"Pgf"</f>
        <v>Pgf</v>
      </c>
      <c r="B16065" t="s">
        <v>14</v>
      </c>
      <c r="C16065" t="s">
        <v>16</v>
      </c>
      <c r="D16065" t="s">
        <v>11</v>
      </c>
      <c r="E16065" t="s">
        <v>12</v>
      </c>
      <c r="F16065">
        <v>85177288</v>
      </c>
      <c r="G16065">
        <v>85177306</v>
      </c>
      <c r="H16065">
        <v>85177288</v>
      </c>
      <c r="I16065">
        <v>85177306</v>
      </c>
    </row>
    <row r="16066" spans="1:9" x14ac:dyDescent="0.2">
      <c r="A16066" t="str">
        <f>"Pggt1b"</f>
        <v>Pggt1b</v>
      </c>
      <c r="B16066" t="s">
        <v>14</v>
      </c>
      <c r="C16066" t="s">
        <v>43</v>
      </c>
      <c r="D16066" t="s">
        <v>11</v>
      </c>
      <c r="E16066" t="s">
        <v>12</v>
      </c>
      <c r="F16066">
        <v>46280820</v>
      </c>
      <c r="G16066">
        <v>46280841</v>
      </c>
      <c r="H16066">
        <v>46280820</v>
      </c>
      <c r="I16066">
        <v>46280841</v>
      </c>
    </row>
    <row r="16067" spans="1:9" x14ac:dyDescent="0.2">
      <c r="A16067" t="str">
        <f>"Pgk1"</f>
        <v>Pgk1</v>
      </c>
      <c r="B16067" t="s">
        <v>14</v>
      </c>
      <c r="C16067" t="s">
        <v>37</v>
      </c>
      <c r="D16067" t="s">
        <v>17</v>
      </c>
      <c r="E16067" t="s">
        <v>12</v>
      </c>
      <c r="F16067">
        <v>106187137</v>
      </c>
      <c r="G16067">
        <v>106187179</v>
      </c>
      <c r="H16067">
        <v>106187200</v>
      </c>
      <c r="I16067">
        <v>106187212</v>
      </c>
    </row>
    <row r="16068" spans="1:9" x14ac:dyDescent="0.2">
      <c r="A16068" t="str">
        <f>"Pgk1-rs7"</f>
        <v>Pgk1-rs7</v>
      </c>
      <c r="B16068" t="s">
        <v>14</v>
      </c>
      <c r="C16068" t="s">
        <v>16</v>
      </c>
      <c r="D16068" t="s">
        <v>11</v>
      </c>
      <c r="E16068" t="s">
        <v>67</v>
      </c>
      <c r="F16068">
        <v>10900313</v>
      </c>
      <c r="G16068">
        <v>10900318</v>
      </c>
      <c r="H16068">
        <v>10900313</v>
      </c>
      <c r="I16068">
        <v>10900318</v>
      </c>
    </row>
    <row r="16069" spans="1:9" x14ac:dyDescent="0.2">
      <c r="A16069" t="str">
        <f>"Pgk2"</f>
        <v>Pgk2</v>
      </c>
      <c r="B16069" t="s">
        <v>14</v>
      </c>
      <c r="C16069" t="s">
        <v>28</v>
      </c>
      <c r="D16069" t="s">
        <v>11</v>
      </c>
      <c r="E16069" t="s">
        <v>12</v>
      </c>
      <c r="F16069">
        <v>40208589</v>
      </c>
      <c r="G16069">
        <v>40208616</v>
      </c>
      <c r="H16069">
        <v>40208559</v>
      </c>
      <c r="I16069">
        <v>40208584</v>
      </c>
    </row>
    <row r="16070" spans="1:9" x14ac:dyDescent="0.2">
      <c r="A16070" t="str">
        <f>"Pgls"</f>
        <v>Pgls</v>
      </c>
      <c r="B16070" t="s">
        <v>14</v>
      </c>
      <c r="C16070" t="s">
        <v>30</v>
      </c>
      <c r="D16070" t="s">
        <v>17</v>
      </c>
      <c r="E16070" t="s">
        <v>12</v>
      </c>
      <c r="F16070">
        <v>71592158</v>
      </c>
      <c r="G16070">
        <v>71592221</v>
      </c>
      <c r="H16070">
        <v>71592158</v>
      </c>
      <c r="I16070">
        <v>71592221</v>
      </c>
    </row>
    <row r="16071" spans="1:9" x14ac:dyDescent="0.2">
      <c r="A16071" t="str">
        <f>"Pglyrp1"</f>
        <v>Pglyrp1</v>
      </c>
      <c r="B16071" t="s">
        <v>14</v>
      </c>
      <c r="C16071" t="s">
        <v>33</v>
      </c>
      <c r="D16071" t="s">
        <v>17</v>
      </c>
      <c r="E16071" t="s">
        <v>12</v>
      </c>
      <c r="F16071">
        <v>18884679</v>
      </c>
      <c r="G16071">
        <v>18884709</v>
      </c>
      <c r="H16071">
        <v>18884679</v>
      </c>
      <c r="I16071">
        <v>18884709</v>
      </c>
    </row>
    <row r="16072" spans="1:9" x14ac:dyDescent="0.2">
      <c r="A16072" t="str">
        <f>"Pglyrp2"</f>
        <v>Pglyrp2</v>
      </c>
      <c r="B16072" t="s">
        <v>9</v>
      </c>
      <c r="C16072" t="s">
        <v>28</v>
      </c>
      <c r="D16072" t="s">
        <v>11</v>
      </c>
      <c r="E16072" t="s">
        <v>12</v>
      </c>
      <c r="F16072">
        <v>32420965</v>
      </c>
      <c r="G16072">
        <v>32420986</v>
      </c>
      <c r="H16072">
        <v>32420965</v>
      </c>
      <c r="I16072">
        <v>32420986</v>
      </c>
    </row>
    <row r="16073" spans="1:9" x14ac:dyDescent="0.2">
      <c r="A16073" t="str">
        <f>"Pglyrp2"</f>
        <v>Pglyrp2</v>
      </c>
      <c r="B16073" t="s">
        <v>13</v>
      </c>
      <c r="C16073" t="s">
        <v>28</v>
      </c>
      <c r="D16073" t="s">
        <v>11</v>
      </c>
      <c r="E16073" t="s">
        <v>12</v>
      </c>
      <c r="F16073">
        <v>32424102</v>
      </c>
      <c r="G16073">
        <v>32424127</v>
      </c>
      <c r="H16073">
        <v>32424102</v>
      </c>
      <c r="I16073">
        <v>32424127</v>
      </c>
    </row>
    <row r="16074" spans="1:9" x14ac:dyDescent="0.2">
      <c r="A16074" t="str">
        <f>"Pglyrp3"</f>
        <v>Pglyrp3</v>
      </c>
      <c r="B16074" t="s">
        <v>5589</v>
      </c>
      <c r="C16074" t="s">
        <v>22</v>
      </c>
      <c r="D16074" t="s">
        <v>17</v>
      </c>
      <c r="E16074" t="s">
        <v>20</v>
      </c>
      <c r="F16074">
        <v>92014582</v>
      </c>
      <c r="G16074">
        <v>92014582</v>
      </c>
      <c r="H16074">
        <v>92014582</v>
      </c>
      <c r="I16074">
        <v>92014582</v>
      </c>
    </row>
    <row r="16075" spans="1:9" x14ac:dyDescent="0.2">
      <c r="A16075" t="str">
        <f>"Pglyrp4"</f>
        <v>Pglyrp4</v>
      </c>
      <c r="B16075" t="s">
        <v>14</v>
      </c>
      <c r="C16075" t="s">
        <v>22</v>
      </c>
      <c r="D16075" t="s">
        <v>17</v>
      </c>
      <c r="E16075" t="s">
        <v>12</v>
      </c>
      <c r="F16075">
        <v>90726910</v>
      </c>
      <c r="G16075">
        <v>90726918</v>
      </c>
      <c r="H16075">
        <v>90726910</v>
      </c>
      <c r="I16075">
        <v>90726918</v>
      </c>
    </row>
    <row r="16076" spans="1:9" x14ac:dyDescent="0.2">
      <c r="A16076" t="str">
        <f>"Pgm1"</f>
        <v>Pgm1</v>
      </c>
      <c r="B16076" t="s">
        <v>14</v>
      </c>
      <c r="C16076" t="s">
        <v>46</v>
      </c>
      <c r="D16076" t="s">
        <v>17</v>
      </c>
      <c r="E16076" t="s">
        <v>12</v>
      </c>
      <c r="F16076">
        <v>64092925</v>
      </c>
      <c r="G16076">
        <v>64092984</v>
      </c>
      <c r="H16076">
        <v>64092925</v>
      </c>
      <c r="I16076">
        <v>64092984</v>
      </c>
    </row>
    <row r="16077" spans="1:9" x14ac:dyDescent="0.2">
      <c r="A16077" t="str">
        <f>"Pgm2"</f>
        <v>Pgm2</v>
      </c>
      <c r="B16077" t="s">
        <v>14</v>
      </c>
      <c r="C16077" t="s">
        <v>23</v>
      </c>
      <c r="D16077" t="s">
        <v>17</v>
      </c>
      <c r="E16077" t="s">
        <v>12</v>
      </c>
      <c r="F16077">
        <v>99929444</v>
      </c>
      <c r="G16077">
        <v>99929532</v>
      </c>
      <c r="H16077">
        <v>99929533</v>
      </c>
      <c r="I16077">
        <v>99929544</v>
      </c>
    </row>
    <row r="16078" spans="1:9" x14ac:dyDescent="0.2">
      <c r="A16078" t="str">
        <f>"Pgm2l1"</f>
        <v>Pgm2l1</v>
      </c>
      <c r="B16078" t="s">
        <v>14</v>
      </c>
      <c r="C16078" t="s">
        <v>33</v>
      </c>
      <c r="D16078" t="s">
        <v>17</v>
      </c>
      <c r="E16078" t="s">
        <v>12</v>
      </c>
      <c r="F16078">
        <v>100227638</v>
      </c>
      <c r="G16078">
        <v>100227706</v>
      </c>
      <c r="H16078">
        <v>100227311</v>
      </c>
      <c r="I16078">
        <v>100227384</v>
      </c>
    </row>
    <row r="16079" spans="1:9" x14ac:dyDescent="0.2">
      <c r="A16079" t="str">
        <f>"Pgm3"</f>
        <v>Pgm3</v>
      </c>
      <c r="B16079" t="s">
        <v>14</v>
      </c>
      <c r="C16079" t="s">
        <v>24</v>
      </c>
      <c r="D16079" t="s">
        <v>11</v>
      </c>
      <c r="E16079" t="s">
        <v>12</v>
      </c>
      <c r="F16079">
        <v>86571775</v>
      </c>
      <c r="G16079">
        <v>86571847</v>
      </c>
      <c r="H16079">
        <v>86571775</v>
      </c>
      <c r="I16079">
        <v>86571847</v>
      </c>
    </row>
    <row r="16080" spans="1:9" x14ac:dyDescent="0.2">
      <c r="A16080" t="str">
        <f>"Pgm5"</f>
        <v>Pgm5</v>
      </c>
      <c r="B16080" t="s">
        <v>14</v>
      </c>
      <c r="C16080" t="s">
        <v>10</v>
      </c>
      <c r="D16080" t="s">
        <v>11</v>
      </c>
      <c r="E16080" t="s">
        <v>12</v>
      </c>
      <c r="F16080">
        <v>24861828</v>
      </c>
      <c r="G16080">
        <v>24861844</v>
      </c>
      <c r="H16080">
        <v>24861801</v>
      </c>
      <c r="I16080">
        <v>24861824</v>
      </c>
    </row>
    <row r="16081" spans="1:9" x14ac:dyDescent="0.2">
      <c r="A16081" t="str">
        <f>"Pgp"</f>
        <v>Pgp</v>
      </c>
      <c r="B16081" t="s">
        <v>14</v>
      </c>
      <c r="C16081" t="s">
        <v>28</v>
      </c>
      <c r="D16081" t="s">
        <v>17</v>
      </c>
      <c r="E16081" t="s">
        <v>12</v>
      </c>
      <c r="F16081">
        <v>24470393</v>
      </c>
      <c r="G16081">
        <v>24470481</v>
      </c>
      <c r="H16081">
        <v>24470486</v>
      </c>
      <c r="I16081">
        <v>24470503</v>
      </c>
    </row>
    <row r="16082" spans="1:9" x14ac:dyDescent="0.2">
      <c r="A16082" t="str">
        <f>"Pgpep1"</f>
        <v>Pgpep1</v>
      </c>
      <c r="B16082" t="s">
        <v>14</v>
      </c>
      <c r="C16082" t="s">
        <v>30</v>
      </c>
      <c r="D16082" t="s">
        <v>11</v>
      </c>
      <c r="E16082" t="s">
        <v>12</v>
      </c>
      <c r="F16082">
        <v>70659645</v>
      </c>
      <c r="G16082">
        <v>70659696</v>
      </c>
      <c r="H16082">
        <v>70659823</v>
      </c>
      <c r="I16082">
        <v>70659839</v>
      </c>
    </row>
    <row r="16083" spans="1:9" x14ac:dyDescent="0.2">
      <c r="A16083" t="str">
        <f>"Pgpep1l"</f>
        <v>Pgpep1l</v>
      </c>
      <c r="B16083" t="s">
        <v>14</v>
      </c>
      <c r="C16083" t="s">
        <v>33</v>
      </c>
      <c r="D16083" t="s">
        <v>11</v>
      </c>
      <c r="E16083" t="s">
        <v>12</v>
      </c>
      <c r="F16083">
        <v>68264201</v>
      </c>
      <c r="G16083">
        <v>68264232</v>
      </c>
      <c r="H16083">
        <v>68264179</v>
      </c>
      <c r="I16083">
        <v>68264193</v>
      </c>
    </row>
    <row r="16084" spans="1:9" x14ac:dyDescent="0.2">
      <c r="A16084" t="str">
        <f>"Pgr"</f>
        <v>Pgr</v>
      </c>
      <c r="B16084" t="s">
        <v>14</v>
      </c>
      <c r="C16084" t="s">
        <v>24</v>
      </c>
      <c r="D16084" t="s">
        <v>17</v>
      </c>
      <c r="E16084" t="s">
        <v>12</v>
      </c>
      <c r="F16084">
        <v>8900459</v>
      </c>
      <c r="G16084">
        <v>8900489</v>
      </c>
      <c r="H16084">
        <v>8900409</v>
      </c>
      <c r="I16084">
        <v>8900425</v>
      </c>
    </row>
    <row r="16085" spans="1:9" x14ac:dyDescent="0.2">
      <c r="A16085" t="str">
        <f>"Pgr15l"</f>
        <v>Pgr15l</v>
      </c>
      <c r="B16085" t="s">
        <v>14</v>
      </c>
      <c r="C16085" t="s">
        <v>37</v>
      </c>
      <c r="D16085" t="s">
        <v>17</v>
      </c>
      <c r="E16085" t="s">
        <v>12</v>
      </c>
      <c r="F16085">
        <v>97072591</v>
      </c>
      <c r="G16085">
        <v>97072600</v>
      </c>
      <c r="H16085">
        <v>97072591</v>
      </c>
      <c r="I16085">
        <v>97072600</v>
      </c>
    </row>
    <row r="16086" spans="1:9" x14ac:dyDescent="0.2">
      <c r="A16086" t="str">
        <f>"Pgrmc1"</f>
        <v>Pgrmc1</v>
      </c>
      <c r="B16086" t="s">
        <v>14</v>
      </c>
      <c r="C16086" t="s">
        <v>37</v>
      </c>
      <c r="D16086" t="s">
        <v>17</v>
      </c>
      <c r="E16086" t="s">
        <v>12</v>
      </c>
      <c r="F16086">
        <v>36598199</v>
      </c>
      <c r="G16086">
        <v>36598214</v>
      </c>
      <c r="H16086">
        <v>36597851</v>
      </c>
      <c r="I16086">
        <v>36597883</v>
      </c>
    </row>
    <row r="16087" spans="1:9" x14ac:dyDescent="0.2">
      <c r="A16087" t="str">
        <f>"Pgrmc2"</f>
        <v>Pgrmc2</v>
      </c>
      <c r="B16087" t="s">
        <v>14</v>
      </c>
      <c r="C16087" t="s">
        <v>22</v>
      </c>
      <c r="D16087" t="s">
        <v>11</v>
      </c>
      <c r="E16087" t="s">
        <v>12</v>
      </c>
      <c r="F16087">
        <v>41082992</v>
      </c>
      <c r="G16087">
        <v>41083024</v>
      </c>
      <c r="H16087">
        <v>41082992</v>
      </c>
      <c r="I16087">
        <v>41083024</v>
      </c>
    </row>
    <row r="16088" spans="1:9" x14ac:dyDescent="0.2">
      <c r="A16088" t="str">
        <f>"Pgs1"</f>
        <v>Pgs1</v>
      </c>
      <c r="B16088" t="s">
        <v>14</v>
      </c>
      <c r="C16088" t="s">
        <v>27</v>
      </c>
      <c r="D16088" t="s">
        <v>17</v>
      </c>
      <c r="E16088" t="s">
        <v>12</v>
      </c>
      <c r="F16088">
        <v>117986838</v>
      </c>
      <c r="G16088">
        <v>117986899</v>
      </c>
      <c r="H16088">
        <v>117986900</v>
      </c>
      <c r="I16088">
        <v>117986916</v>
      </c>
    </row>
    <row r="16089" spans="1:9" x14ac:dyDescent="0.2">
      <c r="A16089" t="str">
        <f>"Phactr1"</f>
        <v>Phactr1</v>
      </c>
      <c r="B16089" t="s">
        <v>14</v>
      </c>
      <c r="C16089" t="s">
        <v>39</v>
      </c>
      <c r="D16089" t="s">
        <v>17</v>
      </c>
      <c r="E16089" t="s">
        <v>12</v>
      </c>
      <c r="F16089">
        <v>42680787</v>
      </c>
      <c r="G16089">
        <v>42680803</v>
      </c>
      <c r="H16089">
        <v>42681589</v>
      </c>
      <c r="I16089">
        <v>42681619</v>
      </c>
    </row>
    <row r="16090" spans="1:9" x14ac:dyDescent="0.2">
      <c r="A16090" t="str">
        <f>"Phactr2"</f>
        <v>Phactr2</v>
      </c>
      <c r="B16090" t="s">
        <v>14</v>
      </c>
      <c r="C16090" t="s">
        <v>15</v>
      </c>
      <c r="D16090" t="s">
        <v>11</v>
      </c>
      <c r="E16090" t="s">
        <v>12</v>
      </c>
      <c r="F16090">
        <v>13324250</v>
      </c>
      <c r="G16090">
        <v>13324318</v>
      </c>
      <c r="H16090">
        <v>13324250</v>
      </c>
      <c r="I16090">
        <v>13324318</v>
      </c>
    </row>
    <row r="16091" spans="1:9" x14ac:dyDescent="0.2">
      <c r="A16091" t="str">
        <f>"Phactr3"</f>
        <v>Phactr3</v>
      </c>
      <c r="B16091" t="s">
        <v>14</v>
      </c>
      <c r="C16091" t="s">
        <v>26</v>
      </c>
      <c r="D16091" t="s">
        <v>17</v>
      </c>
      <c r="E16091" t="s">
        <v>12</v>
      </c>
      <c r="F16091">
        <v>178141920</v>
      </c>
      <c r="G16091">
        <v>178141939</v>
      </c>
      <c r="H16091">
        <v>178141893</v>
      </c>
      <c r="I16091">
        <v>178141916</v>
      </c>
    </row>
    <row r="16092" spans="1:9" x14ac:dyDescent="0.2">
      <c r="A16092" t="str">
        <f>"Phactr4"</f>
        <v>Phactr4</v>
      </c>
      <c r="B16092" t="s">
        <v>14</v>
      </c>
      <c r="C16092" t="s">
        <v>23</v>
      </c>
      <c r="D16092" t="s">
        <v>11</v>
      </c>
      <c r="E16092" t="s">
        <v>12</v>
      </c>
      <c r="F16092">
        <v>132422394</v>
      </c>
      <c r="G16092">
        <v>132422468</v>
      </c>
      <c r="H16092">
        <v>132422394</v>
      </c>
      <c r="I16092">
        <v>132422468</v>
      </c>
    </row>
    <row r="16093" spans="1:9" x14ac:dyDescent="0.2">
      <c r="A16093" t="str">
        <f>"Phax"</f>
        <v>Phax</v>
      </c>
      <c r="B16093" t="s">
        <v>14</v>
      </c>
      <c r="C16093" t="s">
        <v>43</v>
      </c>
      <c r="D16093" t="s">
        <v>17</v>
      </c>
      <c r="E16093" t="s">
        <v>12</v>
      </c>
      <c r="F16093">
        <v>56573002</v>
      </c>
      <c r="G16093">
        <v>56573039</v>
      </c>
      <c r="H16093">
        <v>56572813</v>
      </c>
      <c r="I16093">
        <v>56572855</v>
      </c>
    </row>
    <row r="16094" spans="1:9" x14ac:dyDescent="0.2">
      <c r="A16094" t="str">
        <f>"Phb"</f>
        <v>Phb</v>
      </c>
      <c r="B16094" t="s">
        <v>14</v>
      </c>
      <c r="C16094" t="s">
        <v>27</v>
      </c>
      <c r="D16094" t="s">
        <v>17</v>
      </c>
      <c r="E16094" t="s">
        <v>12</v>
      </c>
      <c r="F16094">
        <v>95666989</v>
      </c>
      <c r="G16094">
        <v>95667005</v>
      </c>
      <c r="H16094">
        <v>95666989</v>
      </c>
      <c r="I16094">
        <v>95667005</v>
      </c>
    </row>
    <row r="16095" spans="1:9" x14ac:dyDescent="0.2">
      <c r="A16095" t="str">
        <f>"Phb2"</f>
        <v>Phb2</v>
      </c>
      <c r="B16095" t="s">
        <v>14</v>
      </c>
      <c r="C16095" t="s">
        <v>32</v>
      </c>
      <c r="D16095" t="s">
        <v>17</v>
      </c>
      <c r="E16095" t="s">
        <v>12</v>
      </c>
      <c r="F16095">
        <v>124712279</v>
      </c>
      <c r="G16095">
        <v>124712353</v>
      </c>
      <c r="H16095">
        <v>124713099</v>
      </c>
      <c r="I16095">
        <v>124713117</v>
      </c>
    </row>
    <row r="16096" spans="1:9" x14ac:dyDescent="0.2">
      <c r="A16096" t="str">
        <f>"Phc1"</f>
        <v>Phc1</v>
      </c>
      <c r="B16096" t="s">
        <v>14</v>
      </c>
      <c r="C16096" t="s">
        <v>32</v>
      </c>
      <c r="D16096" t="s">
        <v>11</v>
      </c>
      <c r="E16096" t="s">
        <v>12</v>
      </c>
      <c r="F16096">
        <v>122339797</v>
      </c>
      <c r="G16096">
        <v>122339876</v>
      </c>
      <c r="H16096">
        <v>122339633</v>
      </c>
      <c r="I16096">
        <v>122339673</v>
      </c>
    </row>
    <row r="16097" spans="1:9" x14ac:dyDescent="0.2">
      <c r="A16097" t="str">
        <f>"Phc2"</f>
        <v>Phc2</v>
      </c>
      <c r="B16097" t="s">
        <v>14</v>
      </c>
      <c r="C16097" t="s">
        <v>23</v>
      </c>
      <c r="D16097" t="s">
        <v>17</v>
      </c>
      <c r="E16097" t="s">
        <v>12</v>
      </c>
      <c r="F16097">
        <v>128727589</v>
      </c>
      <c r="G16097">
        <v>128727644</v>
      </c>
      <c r="H16097">
        <v>128727568</v>
      </c>
      <c r="I16097">
        <v>128727579</v>
      </c>
    </row>
    <row r="16098" spans="1:9" x14ac:dyDescent="0.2">
      <c r="A16098" t="str">
        <f>"Phc3"</f>
        <v>Phc3</v>
      </c>
      <c r="B16098" t="s">
        <v>14</v>
      </c>
      <c r="C16098" t="s">
        <v>22</v>
      </c>
      <c r="D16098" t="s">
        <v>11</v>
      </c>
      <c r="E16098" t="s">
        <v>12</v>
      </c>
      <c r="F16098">
        <v>30969399</v>
      </c>
      <c r="G16098">
        <v>30969425</v>
      </c>
      <c r="H16098">
        <v>30969466</v>
      </c>
      <c r="I16098">
        <v>30969469</v>
      </c>
    </row>
    <row r="16099" spans="1:9" x14ac:dyDescent="0.2">
      <c r="A16099" t="str">
        <f>"Phex"</f>
        <v>Phex</v>
      </c>
      <c r="B16099" t="s">
        <v>14</v>
      </c>
      <c r="C16099" t="s">
        <v>37</v>
      </c>
      <c r="D16099" t="s">
        <v>11</v>
      </c>
      <c r="E16099" t="s">
        <v>12</v>
      </c>
      <c r="F16099">
        <v>157415305</v>
      </c>
      <c r="G16099">
        <v>157415318</v>
      </c>
      <c r="H16099">
        <v>157415305</v>
      </c>
      <c r="I16099">
        <v>157415318</v>
      </c>
    </row>
    <row r="16100" spans="1:9" x14ac:dyDescent="0.2">
      <c r="A16100" t="str">
        <f>"Phf1"</f>
        <v>Phf1</v>
      </c>
      <c r="B16100" t="s">
        <v>14</v>
      </c>
      <c r="C16100" t="s">
        <v>28</v>
      </c>
      <c r="D16100" t="s">
        <v>17</v>
      </c>
      <c r="E16100" t="s">
        <v>12</v>
      </c>
      <c r="F16100">
        <v>26933070</v>
      </c>
      <c r="G16100">
        <v>26933158</v>
      </c>
      <c r="H16100">
        <v>26933301</v>
      </c>
      <c r="I16100">
        <v>26933385</v>
      </c>
    </row>
    <row r="16101" spans="1:9" x14ac:dyDescent="0.2">
      <c r="A16101" t="str">
        <f>"Phf10"</f>
        <v>Phf10</v>
      </c>
      <c r="B16101" t="s">
        <v>14</v>
      </c>
      <c r="C16101" t="s">
        <v>28</v>
      </c>
      <c r="D16101" t="s">
        <v>11</v>
      </c>
      <c r="E16101" t="s">
        <v>12</v>
      </c>
      <c r="F16101">
        <v>14956759</v>
      </c>
      <c r="G16101">
        <v>14956803</v>
      </c>
      <c r="H16101">
        <v>14956759</v>
      </c>
      <c r="I16101">
        <v>14956803</v>
      </c>
    </row>
    <row r="16102" spans="1:9" x14ac:dyDescent="0.2">
      <c r="A16102" t="str">
        <f>"Phf11a"</f>
        <v>Phf11a</v>
      </c>
      <c r="B16102" t="s">
        <v>14</v>
      </c>
      <c r="C16102" t="s">
        <v>41</v>
      </c>
      <c r="D16102" t="s">
        <v>11</v>
      </c>
      <c r="E16102" t="s">
        <v>67</v>
      </c>
      <c r="F16102">
        <v>59297510</v>
      </c>
      <c r="G16102">
        <v>59297529</v>
      </c>
      <c r="H16102">
        <v>59297510</v>
      </c>
      <c r="I16102">
        <v>59297529</v>
      </c>
    </row>
    <row r="16103" spans="1:9" x14ac:dyDescent="0.2">
      <c r="A16103" t="str">
        <f>"Phf11b"</f>
        <v>Phf11b</v>
      </c>
      <c r="B16103" t="s">
        <v>14</v>
      </c>
      <c r="C16103" t="s">
        <v>41</v>
      </c>
      <c r="D16103" t="s">
        <v>11</v>
      </c>
      <c r="E16103" t="s">
        <v>67</v>
      </c>
      <c r="F16103">
        <v>59341325</v>
      </c>
      <c r="G16103">
        <v>59341358</v>
      </c>
      <c r="H16103">
        <v>59341325</v>
      </c>
      <c r="I16103">
        <v>59341358</v>
      </c>
    </row>
    <row r="16104" spans="1:9" x14ac:dyDescent="0.2">
      <c r="A16104" t="str">
        <f>"Phf11c"</f>
        <v>Phf11c</v>
      </c>
      <c r="B16104" t="s">
        <v>14</v>
      </c>
      <c r="C16104" t="s">
        <v>41</v>
      </c>
      <c r="D16104" t="s">
        <v>11</v>
      </c>
      <c r="E16104" t="s">
        <v>67</v>
      </c>
      <c r="F16104">
        <v>59395251</v>
      </c>
      <c r="G16104">
        <v>59395257</v>
      </c>
      <c r="H16104">
        <v>59395251</v>
      </c>
      <c r="I16104">
        <v>59395257</v>
      </c>
    </row>
    <row r="16105" spans="1:9" x14ac:dyDescent="0.2">
      <c r="A16105" t="str">
        <f>"Phf11d"</f>
        <v>Phf11d</v>
      </c>
      <c r="B16105" t="s">
        <v>14</v>
      </c>
      <c r="C16105" t="s">
        <v>41</v>
      </c>
      <c r="D16105" t="s">
        <v>11</v>
      </c>
      <c r="E16105" t="s">
        <v>67</v>
      </c>
      <c r="F16105">
        <v>59365434</v>
      </c>
      <c r="G16105">
        <v>59365461</v>
      </c>
      <c r="H16105">
        <v>59365465</v>
      </c>
      <c r="I16105">
        <v>59365487</v>
      </c>
    </row>
    <row r="16106" spans="1:9" x14ac:dyDescent="0.2">
      <c r="A16106" t="str">
        <f>"Phf12"</f>
        <v>Phf12</v>
      </c>
      <c r="B16106" t="s">
        <v>14</v>
      </c>
      <c r="C16106" t="s">
        <v>27</v>
      </c>
      <c r="D16106" t="s">
        <v>17</v>
      </c>
      <c r="E16106" t="s">
        <v>12</v>
      </c>
      <c r="F16106">
        <v>77982710</v>
      </c>
      <c r="G16106">
        <v>77982823</v>
      </c>
      <c r="H16106">
        <v>77982825</v>
      </c>
      <c r="I16106">
        <v>77982842</v>
      </c>
    </row>
    <row r="16107" spans="1:9" x14ac:dyDescent="0.2">
      <c r="A16107" t="str">
        <f>"Phf13"</f>
        <v>Phf13</v>
      </c>
      <c r="B16107" t="s">
        <v>14</v>
      </c>
      <c r="C16107" t="s">
        <v>23</v>
      </c>
      <c r="D16107" t="s">
        <v>11</v>
      </c>
      <c r="E16107" t="s">
        <v>12</v>
      </c>
      <c r="F16107">
        <v>151996113</v>
      </c>
      <c r="G16107">
        <v>151996243</v>
      </c>
      <c r="H16107">
        <v>151996113</v>
      </c>
      <c r="I16107">
        <v>151996243</v>
      </c>
    </row>
    <row r="16108" spans="1:9" x14ac:dyDescent="0.2">
      <c r="A16108" t="str">
        <f>"Phf14"</f>
        <v>Phf14</v>
      </c>
      <c r="B16108" t="s">
        <v>9</v>
      </c>
      <c r="C16108" t="s">
        <v>32</v>
      </c>
      <c r="D16108" t="s">
        <v>17</v>
      </c>
      <c r="E16108" t="s">
        <v>12</v>
      </c>
      <c r="F16108">
        <v>11925869</v>
      </c>
      <c r="G16108">
        <v>11925941</v>
      </c>
      <c r="H16108">
        <v>11925869</v>
      </c>
      <c r="I16108">
        <v>11925941</v>
      </c>
    </row>
    <row r="16109" spans="1:9" x14ac:dyDescent="0.2">
      <c r="A16109" t="str">
        <f>"Phf14"</f>
        <v>Phf14</v>
      </c>
      <c r="B16109" t="s">
        <v>13</v>
      </c>
      <c r="C16109" t="s">
        <v>32</v>
      </c>
      <c r="D16109" t="s">
        <v>17</v>
      </c>
      <c r="E16109" t="s">
        <v>12</v>
      </c>
      <c r="F16109">
        <v>11907824</v>
      </c>
      <c r="G16109">
        <v>11907902</v>
      </c>
      <c r="H16109">
        <v>11907824</v>
      </c>
      <c r="I16109">
        <v>11907902</v>
      </c>
    </row>
    <row r="16110" spans="1:9" x14ac:dyDescent="0.2">
      <c r="A16110" t="str">
        <f>"Phf15"</f>
        <v>Phf15</v>
      </c>
      <c r="B16110" t="s">
        <v>14</v>
      </c>
      <c r="C16110" t="s">
        <v>27</v>
      </c>
      <c r="D16110" t="s">
        <v>11</v>
      </c>
      <c r="E16110" t="s">
        <v>12</v>
      </c>
      <c r="F16110">
        <v>51857624</v>
      </c>
      <c r="G16110">
        <v>51857686</v>
      </c>
      <c r="H16110">
        <v>51857988</v>
      </c>
      <c r="I16110">
        <v>51858043</v>
      </c>
    </row>
    <row r="16111" spans="1:9" x14ac:dyDescent="0.2">
      <c r="A16111" t="str">
        <f>"Phf16"</f>
        <v>Phf16</v>
      </c>
      <c r="B16111" t="s">
        <v>14</v>
      </c>
      <c r="C16111" t="s">
        <v>37</v>
      </c>
      <c r="D16111" t="s">
        <v>17</v>
      </c>
      <c r="E16111" t="s">
        <v>12</v>
      </c>
      <c r="F16111">
        <v>20425780</v>
      </c>
      <c r="G16111">
        <v>20425794</v>
      </c>
      <c r="H16111">
        <v>20425490</v>
      </c>
      <c r="I16111">
        <v>20425564</v>
      </c>
    </row>
    <row r="16112" spans="1:9" x14ac:dyDescent="0.2">
      <c r="A16112" t="str">
        <f>"Phf17"</f>
        <v>Phf17</v>
      </c>
      <c r="B16112" t="s">
        <v>14</v>
      </c>
      <c r="C16112" t="s">
        <v>22</v>
      </c>
      <c r="D16112" t="s">
        <v>17</v>
      </c>
      <c r="E16112" t="s">
        <v>12</v>
      </c>
      <c r="F16112">
        <v>41563393</v>
      </c>
      <c r="G16112">
        <v>41563466</v>
      </c>
      <c r="H16112">
        <v>41563356</v>
      </c>
      <c r="I16112">
        <v>41563392</v>
      </c>
    </row>
    <row r="16113" spans="1:9" x14ac:dyDescent="0.2">
      <c r="A16113" t="str">
        <f>"Phf19"</f>
        <v>Phf19</v>
      </c>
      <c r="B16113" t="s">
        <v>14</v>
      </c>
      <c r="C16113" t="s">
        <v>26</v>
      </c>
      <c r="D16113" t="s">
        <v>11</v>
      </c>
      <c r="E16113" t="s">
        <v>12</v>
      </c>
      <c r="F16113">
        <v>34914020</v>
      </c>
      <c r="G16113">
        <v>34914043</v>
      </c>
      <c r="H16113">
        <v>34914169</v>
      </c>
      <c r="I16113">
        <v>34914192</v>
      </c>
    </row>
    <row r="16114" spans="1:9" x14ac:dyDescent="0.2">
      <c r="A16114" t="str">
        <f>"Phf2"</f>
        <v>Phf2</v>
      </c>
      <c r="B16114" t="s">
        <v>14</v>
      </c>
      <c r="C16114" t="s">
        <v>39</v>
      </c>
      <c r="D16114" t="s">
        <v>11</v>
      </c>
      <c r="E16114" t="s">
        <v>12</v>
      </c>
      <c r="F16114">
        <v>48871106</v>
      </c>
      <c r="G16114">
        <v>48871159</v>
      </c>
      <c r="H16114">
        <v>48870889</v>
      </c>
      <c r="I16114">
        <v>48870951</v>
      </c>
    </row>
    <row r="16115" spans="1:9" x14ac:dyDescent="0.2">
      <c r="A16115" t="str">
        <f>"Phf20"</f>
        <v>Phf20</v>
      </c>
      <c r="B16115" t="s">
        <v>14</v>
      </c>
      <c r="C16115" t="s">
        <v>26</v>
      </c>
      <c r="D16115" t="s">
        <v>17</v>
      </c>
      <c r="E16115" t="s">
        <v>12</v>
      </c>
      <c r="F16115">
        <v>156196707</v>
      </c>
      <c r="G16115">
        <v>156196775</v>
      </c>
      <c r="H16115">
        <v>156196707</v>
      </c>
      <c r="I16115">
        <v>156196775</v>
      </c>
    </row>
    <row r="16116" spans="1:9" x14ac:dyDescent="0.2">
      <c r="A16116" t="str">
        <f>"Phf20l1"</f>
        <v>Phf20l1</v>
      </c>
      <c r="B16116" t="s">
        <v>14</v>
      </c>
      <c r="C16116" t="s">
        <v>25</v>
      </c>
      <c r="D16116" t="s">
        <v>17</v>
      </c>
      <c r="E16116" t="s">
        <v>12</v>
      </c>
      <c r="F16116">
        <v>66577536</v>
      </c>
      <c r="G16116">
        <v>66577637</v>
      </c>
      <c r="H16116">
        <v>66577522</v>
      </c>
      <c r="I16116">
        <v>66577533</v>
      </c>
    </row>
    <row r="16117" spans="1:9" x14ac:dyDescent="0.2">
      <c r="A16117" t="str">
        <f>"Phf21a"</f>
        <v>Phf21a</v>
      </c>
      <c r="B16117" t="s">
        <v>9</v>
      </c>
      <c r="C16117" t="s">
        <v>26</v>
      </c>
      <c r="D16117" t="s">
        <v>17</v>
      </c>
      <c r="E16117" t="s">
        <v>12</v>
      </c>
      <c r="F16117">
        <v>92183775</v>
      </c>
      <c r="G16117">
        <v>92183867</v>
      </c>
      <c r="H16117">
        <v>92183775</v>
      </c>
      <c r="I16117">
        <v>92183867</v>
      </c>
    </row>
    <row r="16118" spans="1:9" x14ac:dyDescent="0.2">
      <c r="A16118" t="str">
        <f>"Phf21a"</f>
        <v>Phf21a</v>
      </c>
      <c r="B16118" t="s">
        <v>13</v>
      </c>
      <c r="C16118" t="s">
        <v>26</v>
      </c>
      <c r="D16118" t="s">
        <v>17</v>
      </c>
      <c r="E16118" t="s">
        <v>12</v>
      </c>
      <c r="F16118">
        <v>92185467</v>
      </c>
      <c r="G16118">
        <v>92185494</v>
      </c>
      <c r="H16118">
        <v>92185467</v>
      </c>
      <c r="I16118">
        <v>92185494</v>
      </c>
    </row>
    <row r="16119" spans="1:9" x14ac:dyDescent="0.2">
      <c r="A16119" t="str">
        <f>"Phf21b"</f>
        <v>Phf21b</v>
      </c>
      <c r="B16119" t="s">
        <v>9</v>
      </c>
      <c r="C16119" t="s">
        <v>25</v>
      </c>
      <c r="D16119" t="s">
        <v>11</v>
      </c>
      <c r="E16119" t="s">
        <v>12</v>
      </c>
      <c r="F16119">
        <v>84856112</v>
      </c>
      <c r="G16119">
        <v>84856139</v>
      </c>
      <c r="H16119">
        <v>84856112</v>
      </c>
      <c r="I16119">
        <v>84856139</v>
      </c>
    </row>
    <row r="16120" spans="1:9" x14ac:dyDescent="0.2">
      <c r="A16120" t="str">
        <f>"Phf21b"</f>
        <v>Phf21b</v>
      </c>
      <c r="B16120" t="s">
        <v>13</v>
      </c>
      <c r="C16120" t="s">
        <v>25</v>
      </c>
      <c r="D16120" t="s">
        <v>11</v>
      </c>
      <c r="E16120" t="s">
        <v>12</v>
      </c>
      <c r="F16120">
        <v>84855093</v>
      </c>
      <c r="G16120">
        <v>84855127</v>
      </c>
      <c r="H16120">
        <v>84855093</v>
      </c>
      <c r="I16120">
        <v>84855127</v>
      </c>
    </row>
    <row r="16121" spans="1:9" x14ac:dyDescent="0.2">
      <c r="A16121" t="str">
        <f>"Phf23"</f>
        <v>Phf23</v>
      </c>
      <c r="B16121" t="s">
        <v>14</v>
      </c>
      <c r="C16121" t="s">
        <v>27</v>
      </c>
      <c r="D16121" t="s">
        <v>17</v>
      </c>
      <c r="E16121" t="s">
        <v>12</v>
      </c>
      <c r="F16121">
        <v>69995826</v>
      </c>
      <c r="G16121">
        <v>69995870</v>
      </c>
      <c r="H16121">
        <v>69995874</v>
      </c>
      <c r="I16121">
        <v>69995897</v>
      </c>
    </row>
    <row r="16122" spans="1:9" x14ac:dyDescent="0.2">
      <c r="A16122" t="str">
        <f>"Phf3"</f>
        <v>Phf3</v>
      </c>
      <c r="B16122" t="s">
        <v>14</v>
      </c>
      <c r="C16122" t="s">
        <v>19</v>
      </c>
      <c r="D16122" t="s">
        <v>11</v>
      </c>
      <c r="E16122" t="s">
        <v>12</v>
      </c>
      <c r="F16122">
        <v>30873837</v>
      </c>
      <c r="G16122">
        <v>30873925</v>
      </c>
      <c r="H16122">
        <v>30873584</v>
      </c>
      <c r="I16122">
        <v>30873657</v>
      </c>
    </row>
    <row r="16123" spans="1:9" x14ac:dyDescent="0.2">
      <c r="A16123" t="str">
        <f>"Phf5a"</f>
        <v>Phf5a</v>
      </c>
      <c r="B16123" t="s">
        <v>14</v>
      </c>
      <c r="C16123" t="s">
        <v>25</v>
      </c>
      <c r="D16123" t="s">
        <v>11</v>
      </c>
      <c r="E16123" t="s">
        <v>12</v>
      </c>
      <c r="F16123">
        <v>81871883</v>
      </c>
      <c r="G16123">
        <v>81871916</v>
      </c>
      <c r="H16123">
        <v>81872344</v>
      </c>
      <c r="I16123">
        <v>81872377</v>
      </c>
    </row>
    <row r="16124" spans="1:9" x14ac:dyDescent="0.2">
      <c r="A16124" t="str">
        <f>"Phf6"</f>
        <v>Phf6</v>
      </c>
      <c r="B16124" t="s">
        <v>14</v>
      </c>
      <c r="C16124" t="s">
        <v>37</v>
      </c>
      <c r="D16124" t="s">
        <v>17</v>
      </c>
      <c r="E16124" t="s">
        <v>12</v>
      </c>
      <c r="F16124">
        <v>52912232</v>
      </c>
      <c r="G16124">
        <v>52912361</v>
      </c>
      <c r="H16124">
        <v>52912208</v>
      </c>
      <c r="I16124">
        <v>52912220</v>
      </c>
    </row>
    <row r="16125" spans="1:9" x14ac:dyDescent="0.2">
      <c r="A16125" t="str">
        <f>"Phf7"</f>
        <v>Phf7</v>
      </c>
      <c r="B16125" t="s">
        <v>14</v>
      </c>
      <c r="C16125" t="s">
        <v>41</v>
      </c>
      <c r="D16125" t="s">
        <v>11</v>
      </c>
      <c r="E16125" t="s">
        <v>12</v>
      </c>
      <c r="F16125">
        <v>31251194</v>
      </c>
      <c r="G16125">
        <v>31251348</v>
      </c>
      <c r="H16125">
        <v>31251352</v>
      </c>
      <c r="I16125">
        <v>31251364</v>
      </c>
    </row>
    <row r="16126" spans="1:9" x14ac:dyDescent="0.2">
      <c r="A16126" t="str">
        <f>"Phf8"</f>
        <v>Phf8</v>
      </c>
      <c r="B16126" t="s">
        <v>14</v>
      </c>
      <c r="C16126" t="s">
        <v>37</v>
      </c>
      <c r="D16126" t="s">
        <v>17</v>
      </c>
      <c r="E16126" t="s">
        <v>12</v>
      </c>
      <c r="F16126">
        <v>151521146</v>
      </c>
      <c r="G16126">
        <v>151521206</v>
      </c>
      <c r="H16126">
        <v>151520655</v>
      </c>
      <c r="I16126">
        <v>151520681</v>
      </c>
    </row>
    <row r="16127" spans="1:9" x14ac:dyDescent="0.2">
      <c r="A16127" t="str">
        <f>"Phgdh"</f>
        <v>Phgdh</v>
      </c>
      <c r="B16127" t="s">
        <v>14</v>
      </c>
      <c r="C16127" t="s">
        <v>22</v>
      </c>
      <c r="D16127" t="s">
        <v>11</v>
      </c>
      <c r="E16127" t="s">
        <v>12</v>
      </c>
      <c r="F16127">
        <v>98339921</v>
      </c>
      <c r="G16127">
        <v>98339945</v>
      </c>
      <c r="H16127">
        <v>98339921</v>
      </c>
      <c r="I16127">
        <v>98339945</v>
      </c>
    </row>
    <row r="16128" spans="1:9" x14ac:dyDescent="0.2">
      <c r="A16128" t="str">
        <f>"Phgr1"</f>
        <v>Phgr1</v>
      </c>
      <c r="B16128" t="s">
        <v>14</v>
      </c>
      <c r="C16128" t="s">
        <v>26</v>
      </c>
      <c r="D16128" t="s">
        <v>17</v>
      </c>
      <c r="E16128" t="s">
        <v>12</v>
      </c>
      <c r="F16128">
        <v>118772766</v>
      </c>
      <c r="G16128">
        <v>118772780</v>
      </c>
      <c r="H16128">
        <v>118772766</v>
      </c>
      <c r="I16128">
        <v>118772780</v>
      </c>
    </row>
    <row r="16129" spans="1:9" x14ac:dyDescent="0.2">
      <c r="A16129" t="str">
        <f>"Phip"</f>
        <v>Phip</v>
      </c>
      <c r="B16129" t="s">
        <v>14</v>
      </c>
      <c r="C16129" t="s">
        <v>24</v>
      </c>
      <c r="D16129" t="s">
        <v>11</v>
      </c>
      <c r="E16129" t="s">
        <v>12</v>
      </c>
      <c r="F16129">
        <v>82975407</v>
      </c>
      <c r="G16129">
        <v>82975466</v>
      </c>
      <c r="H16129">
        <v>82975475</v>
      </c>
      <c r="I16129">
        <v>82975493</v>
      </c>
    </row>
    <row r="16130" spans="1:9" x14ac:dyDescent="0.2">
      <c r="A16130" t="str">
        <f>"Phka1"</f>
        <v>Phka1</v>
      </c>
      <c r="B16130" t="s">
        <v>14</v>
      </c>
      <c r="C16130" t="s">
        <v>37</v>
      </c>
      <c r="D16130" t="s">
        <v>11</v>
      </c>
      <c r="E16130" t="s">
        <v>12</v>
      </c>
      <c r="F16130">
        <v>102644210</v>
      </c>
      <c r="G16130">
        <v>102644254</v>
      </c>
      <c r="H16130">
        <v>102644186</v>
      </c>
      <c r="I16130">
        <v>102644204</v>
      </c>
    </row>
    <row r="16131" spans="1:9" x14ac:dyDescent="0.2">
      <c r="A16131" t="str">
        <f>"Phka2"</f>
        <v>Phka2</v>
      </c>
      <c r="B16131" t="s">
        <v>14</v>
      </c>
      <c r="C16131" t="s">
        <v>37</v>
      </c>
      <c r="D16131" t="s">
        <v>17</v>
      </c>
      <c r="E16131" t="s">
        <v>12</v>
      </c>
      <c r="F16131">
        <v>160502418</v>
      </c>
      <c r="G16131">
        <v>160502485</v>
      </c>
      <c r="H16131">
        <v>160502631</v>
      </c>
      <c r="I16131">
        <v>160502706</v>
      </c>
    </row>
    <row r="16132" spans="1:9" x14ac:dyDescent="0.2">
      <c r="A16132" t="str">
        <f>"Phkb"</f>
        <v>Phkb</v>
      </c>
      <c r="B16132" t="s">
        <v>14</v>
      </c>
      <c r="C16132" t="s">
        <v>30</v>
      </c>
      <c r="D16132" t="s">
        <v>17</v>
      </c>
      <c r="E16132" t="s">
        <v>12</v>
      </c>
      <c r="F16132">
        <v>85840971</v>
      </c>
      <c r="G16132">
        <v>85841028</v>
      </c>
      <c r="H16132">
        <v>85840971</v>
      </c>
      <c r="I16132">
        <v>85841028</v>
      </c>
    </row>
    <row r="16133" spans="1:9" x14ac:dyDescent="0.2">
      <c r="A16133" t="str">
        <f>"Phkg1"</f>
        <v>Phkg1</v>
      </c>
      <c r="B16133" t="s">
        <v>14</v>
      </c>
      <c r="C16133" t="s">
        <v>46</v>
      </c>
      <c r="D16133" t="s">
        <v>11</v>
      </c>
      <c r="E16133" t="s">
        <v>12</v>
      </c>
      <c r="F16133">
        <v>129879038</v>
      </c>
      <c r="G16133">
        <v>129879094</v>
      </c>
      <c r="H16133">
        <v>129879008</v>
      </c>
      <c r="I16133">
        <v>129879019</v>
      </c>
    </row>
    <row r="16134" spans="1:9" x14ac:dyDescent="0.2">
      <c r="A16134" t="str">
        <f>"Phkg2"</f>
        <v>Phkg2</v>
      </c>
      <c r="B16134" t="s">
        <v>14</v>
      </c>
      <c r="C16134" t="s">
        <v>33</v>
      </c>
      <c r="D16134" t="s">
        <v>17</v>
      </c>
      <c r="E16134" t="s">
        <v>12</v>
      </c>
      <c r="F16134">
        <v>127573546</v>
      </c>
      <c r="G16134">
        <v>127573611</v>
      </c>
      <c r="H16134">
        <v>127573376</v>
      </c>
      <c r="I16134">
        <v>127573437</v>
      </c>
    </row>
    <row r="16135" spans="1:9" x14ac:dyDescent="0.2">
      <c r="A16135" t="str">
        <f>"Phlda1"</f>
        <v>Phlda1</v>
      </c>
      <c r="B16135" t="s">
        <v>14</v>
      </c>
      <c r="C16135" t="s">
        <v>15</v>
      </c>
      <c r="D16135" t="s">
        <v>17</v>
      </c>
      <c r="E16135" t="s">
        <v>12</v>
      </c>
      <c r="F16135">
        <v>111506542</v>
      </c>
      <c r="G16135">
        <v>111506563</v>
      </c>
      <c r="H16135">
        <v>111506542</v>
      </c>
      <c r="I16135">
        <v>111506563</v>
      </c>
    </row>
    <row r="16136" spans="1:9" x14ac:dyDescent="0.2">
      <c r="A16136" t="str">
        <f>"Phlda2"</f>
        <v>Phlda2</v>
      </c>
      <c r="B16136" t="s">
        <v>14</v>
      </c>
      <c r="C16136" t="s">
        <v>33</v>
      </c>
      <c r="D16136" t="s">
        <v>11</v>
      </c>
      <c r="E16136" t="s">
        <v>12</v>
      </c>
      <c r="F16136">
        <v>143502515</v>
      </c>
      <c r="G16136">
        <v>143502532</v>
      </c>
      <c r="H16136">
        <v>143502777</v>
      </c>
      <c r="I16136">
        <v>143502790</v>
      </c>
    </row>
    <row r="16137" spans="1:9" x14ac:dyDescent="0.2">
      <c r="A16137" t="str">
        <f>"Phlda3"</f>
        <v>Phlda3</v>
      </c>
      <c r="B16137" t="s">
        <v>14</v>
      </c>
      <c r="C16137" t="s">
        <v>19</v>
      </c>
      <c r="D16137" t="s">
        <v>17</v>
      </c>
      <c r="E16137" t="s">
        <v>12</v>
      </c>
      <c r="F16137">
        <v>135766085</v>
      </c>
      <c r="G16137">
        <v>135766175</v>
      </c>
      <c r="H16137">
        <v>135766241</v>
      </c>
      <c r="I16137">
        <v>135766257</v>
      </c>
    </row>
    <row r="16138" spans="1:9" x14ac:dyDescent="0.2">
      <c r="A16138" t="str">
        <f>"Phldb1"</f>
        <v>Phldb1</v>
      </c>
      <c r="B16138" t="s">
        <v>9</v>
      </c>
      <c r="C16138" t="s">
        <v>24</v>
      </c>
      <c r="D16138" t="s">
        <v>11</v>
      </c>
      <c r="E16138" t="s">
        <v>12</v>
      </c>
      <c r="F16138">
        <v>44735189</v>
      </c>
      <c r="G16138">
        <v>44735213</v>
      </c>
      <c r="H16138">
        <v>44735189</v>
      </c>
      <c r="I16138">
        <v>44735213</v>
      </c>
    </row>
    <row r="16139" spans="1:9" x14ac:dyDescent="0.2">
      <c r="A16139" t="str">
        <f>"Phldb1"</f>
        <v>Phldb1</v>
      </c>
      <c r="B16139" t="s">
        <v>13</v>
      </c>
      <c r="C16139" t="s">
        <v>24</v>
      </c>
      <c r="D16139" t="s">
        <v>11</v>
      </c>
      <c r="E16139" t="s">
        <v>12</v>
      </c>
      <c r="F16139">
        <v>44721383</v>
      </c>
      <c r="G16139">
        <v>44721484</v>
      </c>
      <c r="H16139">
        <v>44721383</v>
      </c>
      <c r="I16139">
        <v>44721484</v>
      </c>
    </row>
    <row r="16140" spans="1:9" x14ac:dyDescent="0.2">
      <c r="A16140" t="str">
        <f>"Phldb2"</f>
        <v>Phldb2</v>
      </c>
      <c r="B16140" t="s">
        <v>14</v>
      </c>
      <c r="C16140" t="s">
        <v>31</v>
      </c>
      <c r="D16140" t="s">
        <v>11</v>
      </c>
      <c r="E16140" t="s">
        <v>12</v>
      </c>
      <c r="F16140">
        <v>45844303</v>
      </c>
      <c r="G16140">
        <v>45844381</v>
      </c>
      <c r="H16140">
        <v>45844303</v>
      </c>
      <c r="I16140">
        <v>45844381</v>
      </c>
    </row>
    <row r="16141" spans="1:9" x14ac:dyDescent="0.2">
      <c r="A16141" t="str">
        <f>"Phldb3"</f>
        <v>Phldb3</v>
      </c>
      <c r="B16141" t="s">
        <v>14</v>
      </c>
      <c r="C16141" t="s">
        <v>33</v>
      </c>
      <c r="D16141" t="s">
        <v>17</v>
      </c>
      <c r="E16141" t="s">
        <v>12</v>
      </c>
      <c r="F16141">
        <v>24611314</v>
      </c>
      <c r="G16141">
        <v>24611349</v>
      </c>
      <c r="H16141">
        <v>24611314</v>
      </c>
      <c r="I16141">
        <v>24611349</v>
      </c>
    </row>
    <row r="16142" spans="1:9" x14ac:dyDescent="0.2">
      <c r="A16142" t="str">
        <f>"Phlpp1"</f>
        <v>Phlpp1</v>
      </c>
      <c r="B16142" t="s">
        <v>14</v>
      </c>
      <c r="C16142" t="s">
        <v>19</v>
      </c>
      <c r="D16142" t="s">
        <v>17</v>
      </c>
      <c r="E16142" t="s">
        <v>12</v>
      </c>
      <c r="F16142">
        <v>106171773</v>
      </c>
      <c r="G16142">
        <v>106171879</v>
      </c>
      <c r="H16142">
        <v>106171650</v>
      </c>
      <c r="I16142">
        <v>106171729</v>
      </c>
    </row>
    <row r="16143" spans="1:9" x14ac:dyDescent="0.2">
      <c r="A16143" t="str">
        <f>"Phlpp2"</f>
        <v>Phlpp2</v>
      </c>
      <c r="B16143" t="s">
        <v>14</v>
      </c>
      <c r="C16143" t="s">
        <v>30</v>
      </c>
      <c r="D16143" t="s">
        <v>17</v>
      </c>
      <c r="E16143" t="s">
        <v>12</v>
      </c>
      <c r="F16143">
        <v>109868531</v>
      </c>
      <c r="G16143">
        <v>109868584</v>
      </c>
      <c r="H16143">
        <v>109868586</v>
      </c>
      <c r="I16143">
        <v>109868609</v>
      </c>
    </row>
    <row r="16144" spans="1:9" x14ac:dyDescent="0.2">
      <c r="A16144" t="str">
        <f>"Phospho1"</f>
        <v>Phospho1</v>
      </c>
      <c r="B16144" t="s">
        <v>14</v>
      </c>
      <c r="C16144" t="s">
        <v>27</v>
      </c>
      <c r="D16144" t="s">
        <v>17</v>
      </c>
      <c r="E16144" t="s">
        <v>12</v>
      </c>
      <c r="F16144">
        <v>95824469</v>
      </c>
      <c r="G16144">
        <v>95824512</v>
      </c>
      <c r="H16144">
        <v>95824469</v>
      </c>
      <c r="I16144">
        <v>95824512</v>
      </c>
    </row>
    <row r="16145" spans="1:9" x14ac:dyDescent="0.2">
      <c r="A16145" t="str">
        <f>"Phospho2"</f>
        <v>Phospho2</v>
      </c>
      <c r="B16145" t="s">
        <v>14</v>
      </c>
      <c r="C16145" t="s">
        <v>26</v>
      </c>
      <c r="D16145" t="s">
        <v>17</v>
      </c>
      <c r="E16145" t="s">
        <v>12</v>
      </c>
      <c r="F16145">
        <v>69789647</v>
      </c>
      <c r="G16145">
        <v>69789749</v>
      </c>
      <c r="H16145">
        <v>69789647</v>
      </c>
      <c r="I16145">
        <v>69789749</v>
      </c>
    </row>
    <row r="16146" spans="1:9" x14ac:dyDescent="0.2">
      <c r="A16146" t="str">
        <f>"Phox2a"</f>
        <v>Phox2a</v>
      </c>
      <c r="B16146" t="s">
        <v>14</v>
      </c>
      <c r="C16146" t="s">
        <v>33</v>
      </c>
      <c r="D16146" t="s">
        <v>17</v>
      </c>
      <c r="E16146" t="s">
        <v>12</v>
      </c>
      <c r="F16146">
        <v>101818306</v>
      </c>
      <c r="G16146">
        <v>101818321</v>
      </c>
      <c r="H16146">
        <v>101818306</v>
      </c>
      <c r="I16146">
        <v>101818321</v>
      </c>
    </row>
    <row r="16147" spans="1:9" x14ac:dyDescent="0.2">
      <c r="A16147" t="str">
        <f>"Phox2b"</f>
        <v>Phox2b</v>
      </c>
      <c r="B16147" t="s">
        <v>14</v>
      </c>
      <c r="C16147" t="s">
        <v>46</v>
      </c>
      <c r="D16147" t="s">
        <v>11</v>
      </c>
      <c r="E16147" t="s">
        <v>12</v>
      </c>
      <c r="F16147">
        <v>67099045</v>
      </c>
      <c r="G16147">
        <v>67099063</v>
      </c>
      <c r="H16147">
        <v>67099235</v>
      </c>
      <c r="I16147">
        <v>67099255</v>
      </c>
    </row>
    <row r="16148" spans="1:9" x14ac:dyDescent="0.2">
      <c r="A16148" t="str">
        <f>"Phpt1"</f>
        <v>Phpt1</v>
      </c>
      <c r="B16148" t="s">
        <v>14</v>
      </c>
      <c r="C16148" t="s">
        <v>26</v>
      </c>
      <c r="D16148" t="s">
        <v>11</v>
      </c>
      <c r="E16148" t="s">
        <v>12</v>
      </c>
      <c r="F16148">
        <v>25574845</v>
      </c>
      <c r="G16148">
        <v>25574878</v>
      </c>
      <c r="H16148">
        <v>25574901</v>
      </c>
      <c r="I16148">
        <v>25574921</v>
      </c>
    </row>
    <row r="16149" spans="1:9" x14ac:dyDescent="0.2">
      <c r="A16149" t="str">
        <f>"Phrf1"</f>
        <v>Phrf1</v>
      </c>
      <c r="B16149" t="s">
        <v>14</v>
      </c>
      <c r="C16149" t="s">
        <v>33</v>
      </c>
      <c r="D16149" t="s">
        <v>17</v>
      </c>
      <c r="E16149" t="s">
        <v>12</v>
      </c>
      <c r="F16149">
        <v>141228766</v>
      </c>
      <c r="G16149">
        <v>141228813</v>
      </c>
      <c r="H16149">
        <v>141228818</v>
      </c>
      <c r="I16149">
        <v>141228834</v>
      </c>
    </row>
    <row r="16150" spans="1:9" x14ac:dyDescent="0.2">
      <c r="A16150" t="str">
        <f>"Phtf1"</f>
        <v>Phtf1</v>
      </c>
      <c r="B16150" t="s">
        <v>14</v>
      </c>
      <c r="C16150" t="s">
        <v>22</v>
      </c>
      <c r="D16150" t="s">
        <v>17</v>
      </c>
      <c r="E16150" t="s">
        <v>12</v>
      </c>
      <c r="F16150">
        <v>103968327</v>
      </c>
      <c r="G16150">
        <v>103968394</v>
      </c>
      <c r="H16150">
        <v>103968629</v>
      </c>
      <c r="I16150">
        <v>103968661</v>
      </c>
    </row>
    <row r="16151" spans="1:9" x14ac:dyDescent="0.2">
      <c r="A16151" t="str">
        <f>"Phtf2"</f>
        <v>Phtf2</v>
      </c>
      <c r="B16151" t="s">
        <v>14</v>
      </c>
      <c r="C16151" t="s">
        <v>46</v>
      </c>
      <c r="D16151" t="s">
        <v>11</v>
      </c>
      <c r="E16151" t="s">
        <v>12</v>
      </c>
      <c r="F16151">
        <v>20882032</v>
      </c>
      <c r="G16151">
        <v>20882051</v>
      </c>
      <c r="H16151">
        <v>20882014</v>
      </c>
      <c r="I16151">
        <v>20882023</v>
      </c>
    </row>
    <row r="16152" spans="1:9" x14ac:dyDescent="0.2">
      <c r="A16152" t="str">
        <f>"Phxr2"</f>
        <v>Phxr2</v>
      </c>
      <c r="B16152" t="s">
        <v>5590</v>
      </c>
      <c r="C16152" t="s">
        <v>15</v>
      </c>
      <c r="D16152" t="s">
        <v>11</v>
      </c>
      <c r="E16152" t="s">
        <v>20</v>
      </c>
      <c r="F16152">
        <v>99126320</v>
      </c>
      <c r="G16152">
        <v>99126320</v>
      </c>
      <c r="H16152">
        <v>99126320</v>
      </c>
      <c r="I16152">
        <v>99126320</v>
      </c>
    </row>
    <row r="16153" spans="1:9" x14ac:dyDescent="0.2">
      <c r="A16153" t="str">
        <f>"Phxr4"</f>
        <v>Phxr4</v>
      </c>
      <c r="B16153" t="s">
        <v>14</v>
      </c>
      <c r="C16153" t="s">
        <v>24</v>
      </c>
      <c r="D16153" t="s">
        <v>17</v>
      </c>
      <c r="E16153" t="s">
        <v>12</v>
      </c>
      <c r="F16153">
        <v>13431264</v>
      </c>
      <c r="G16153">
        <v>13431266</v>
      </c>
      <c r="H16153">
        <v>13431264</v>
      </c>
      <c r="I16153">
        <v>13431266</v>
      </c>
    </row>
    <row r="16154" spans="1:9" x14ac:dyDescent="0.2">
      <c r="A16154" t="str">
        <f>"Phyh"</f>
        <v>Phyh</v>
      </c>
      <c r="B16154" t="s">
        <v>14</v>
      </c>
      <c r="C16154" t="s">
        <v>26</v>
      </c>
      <c r="D16154" t="s">
        <v>17</v>
      </c>
      <c r="E16154" t="s">
        <v>12</v>
      </c>
      <c r="F16154">
        <v>4919041</v>
      </c>
      <c r="G16154">
        <v>4919062</v>
      </c>
      <c r="H16154">
        <v>4919004</v>
      </c>
      <c r="I16154">
        <v>4919038</v>
      </c>
    </row>
    <row r="16155" spans="1:9" x14ac:dyDescent="0.2">
      <c r="A16155" t="str">
        <f>"Phyhd1"</f>
        <v>Phyhd1</v>
      </c>
      <c r="B16155" t="s">
        <v>14</v>
      </c>
      <c r="C16155" t="s">
        <v>26</v>
      </c>
      <c r="D16155" t="s">
        <v>17</v>
      </c>
      <c r="E16155" t="s">
        <v>12</v>
      </c>
      <c r="F16155">
        <v>30266803</v>
      </c>
      <c r="G16155">
        <v>30266886</v>
      </c>
      <c r="H16155">
        <v>30266513</v>
      </c>
      <c r="I16155">
        <v>30266564</v>
      </c>
    </row>
    <row r="16156" spans="1:9" x14ac:dyDescent="0.2">
      <c r="A16156" t="str">
        <f>"Phyhip"</f>
        <v>Phyhip</v>
      </c>
      <c r="B16156" t="s">
        <v>14</v>
      </c>
      <c r="C16156" t="s">
        <v>41</v>
      </c>
      <c r="D16156" t="s">
        <v>17</v>
      </c>
      <c r="E16156" t="s">
        <v>12</v>
      </c>
      <c r="F16156">
        <v>70457447</v>
      </c>
      <c r="G16156">
        <v>70457544</v>
      </c>
      <c r="H16156">
        <v>70457447</v>
      </c>
      <c r="I16156">
        <v>70457544</v>
      </c>
    </row>
    <row r="16157" spans="1:9" x14ac:dyDescent="0.2">
      <c r="A16157" t="str">
        <f>"Phyhipl"</f>
        <v>Phyhipl</v>
      </c>
      <c r="B16157" t="s">
        <v>14</v>
      </c>
      <c r="C16157" t="s">
        <v>15</v>
      </c>
      <c r="D16157" t="s">
        <v>11</v>
      </c>
      <c r="E16157" t="s">
        <v>12</v>
      </c>
      <c r="F16157">
        <v>70599284</v>
      </c>
      <c r="G16157">
        <v>70599301</v>
      </c>
      <c r="H16157">
        <v>70599271</v>
      </c>
      <c r="I16157">
        <v>70599282</v>
      </c>
    </row>
    <row r="16158" spans="1:9" x14ac:dyDescent="0.2">
      <c r="A16158" t="str">
        <f>"Phykpl"</f>
        <v>Phykpl</v>
      </c>
      <c r="B16158" t="s">
        <v>14</v>
      </c>
      <c r="C16158" t="s">
        <v>27</v>
      </c>
      <c r="D16158" t="s">
        <v>17</v>
      </c>
      <c r="E16158" t="s">
        <v>67</v>
      </c>
      <c r="F16158">
        <v>51584759</v>
      </c>
      <c r="G16158">
        <v>51584821</v>
      </c>
      <c r="H16158">
        <v>51584759</v>
      </c>
      <c r="I16158">
        <v>51584821</v>
      </c>
    </row>
    <row r="16159" spans="1:9" x14ac:dyDescent="0.2">
      <c r="A16159" t="str">
        <f>"Pi15"</f>
        <v>Pi15</v>
      </c>
      <c r="B16159" t="s">
        <v>14</v>
      </c>
      <c r="C16159" t="s">
        <v>19</v>
      </c>
      <c r="D16159" t="s">
        <v>17</v>
      </c>
      <c r="E16159" t="s">
        <v>12</v>
      </c>
      <c r="F16159">
        <v>17601893</v>
      </c>
      <c r="G16159">
        <v>17601913</v>
      </c>
      <c r="H16159">
        <v>17601842</v>
      </c>
      <c r="I16159">
        <v>17601859</v>
      </c>
    </row>
    <row r="16160" spans="1:9" x14ac:dyDescent="0.2">
      <c r="A16160" t="str">
        <f>"Pi16"</f>
        <v>Pi16</v>
      </c>
      <c r="B16160" t="s">
        <v>14</v>
      </c>
      <c r="C16160" t="s">
        <v>28</v>
      </c>
      <c r="D16160" t="s">
        <v>17</v>
      </c>
      <c r="E16160" t="s">
        <v>12</v>
      </c>
      <c r="F16160">
        <v>29319183</v>
      </c>
      <c r="G16160">
        <v>29319203</v>
      </c>
      <c r="H16160">
        <v>29319183</v>
      </c>
      <c r="I16160">
        <v>29319203</v>
      </c>
    </row>
    <row r="16161" spans="1:9" x14ac:dyDescent="0.2">
      <c r="A16161" t="str">
        <f>"Pi4k2a"</f>
        <v>Pi4k2a</v>
      </c>
      <c r="B16161" t="s">
        <v>14</v>
      </c>
      <c r="C16161" t="s">
        <v>10</v>
      </c>
      <c r="D16161" t="s">
        <v>17</v>
      </c>
      <c r="E16161" t="s">
        <v>12</v>
      </c>
      <c r="F16161">
        <v>42090422</v>
      </c>
      <c r="G16161">
        <v>42090502</v>
      </c>
      <c r="H16161">
        <v>42090100</v>
      </c>
      <c r="I16161">
        <v>42090136</v>
      </c>
    </row>
    <row r="16162" spans="1:9" x14ac:dyDescent="0.2">
      <c r="A16162" t="str">
        <f>"Pi4k2b"</f>
        <v>Pi4k2b</v>
      </c>
      <c r="B16162" t="s">
        <v>14</v>
      </c>
      <c r="C16162" t="s">
        <v>46</v>
      </c>
      <c r="D16162" t="s">
        <v>17</v>
      </c>
      <c r="E16162" t="s">
        <v>12</v>
      </c>
      <c r="F16162">
        <v>52741569</v>
      </c>
      <c r="G16162">
        <v>52741623</v>
      </c>
      <c r="H16162">
        <v>52741628</v>
      </c>
      <c r="I16162">
        <v>52741651</v>
      </c>
    </row>
    <row r="16163" spans="1:9" x14ac:dyDescent="0.2">
      <c r="A16163" t="str">
        <f>"Pi4ka"</f>
        <v>Pi4ka</v>
      </c>
      <c r="B16163" t="s">
        <v>14</v>
      </c>
      <c r="C16163" t="s">
        <v>31</v>
      </c>
      <c r="D16163" t="s">
        <v>11</v>
      </c>
      <c r="E16163" t="s">
        <v>12</v>
      </c>
      <c r="F16163">
        <v>17405798</v>
      </c>
      <c r="G16163">
        <v>17405876</v>
      </c>
      <c r="H16163">
        <v>17405877</v>
      </c>
      <c r="I16163">
        <v>17405888</v>
      </c>
    </row>
    <row r="16164" spans="1:9" x14ac:dyDescent="0.2">
      <c r="A16164" t="str">
        <f>"Pi4kb"</f>
        <v>Pi4kb</v>
      </c>
      <c r="B16164" t="s">
        <v>14</v>
      </c>
      <c r="C16164" t="s">
        <v>22</v>
      </c>
      <c r="D16164" t="s">
        <v>17</v>
      </c>
      <c r="E16164" t="s">
        <v>12</v>
      </c>
      <c r="F16164">
        <v>94974911</v>
      </c>
      <c r="G16164">
        <v>94974964</v>
      </c>
      <c r="H16164">
        <v>94974728</v>
      </c>
      <c r="I16164">
        <v>94974753</v>
      </c>
    </row>
    <row r="16165" spans="1:9" x14ac:dyDescent="0.2">
      <c r="A16165" t="str">
        <f>"Pianp"</f>
        <v>Pianp</v>
      </c>
      <c r="B16165" t="s">
        <v>14</v>
      </c>
      <c r="C16165" t="s">
        <v>32</v>
      </c>
      <c r="D16165" t="s">
        <v>17</v>
      </c>
      <c r="E16165" t="s">
        <v>67</v>
      </c>
      <c r="F16165">
        <v>124996681</v>
      </c>
      <c r="G16165">
        <v>124996756</v>
      </c>
      <c r="H16165">
        <v>124996791</v>
      </c>
      <c r="I16165">
        <v>124996842</v>
      </c>
    </row>
    <row r="16166" spans="1:9" x14ac:dyDescent="0.2">
      <c r="A16166" t="str">
        <f>"Pias1"</f>
        <v>Pias1</v>
      </c>
      <c r="B16166" t="s">
        <v>14</v>
      </c>
      <c r="C16166" t="s">
        <v>24</v>
      </c>
      <c r="D16166" t="s">
        <v>11</v>
      </c>
      <c r="E16166" t="s">
        <v>12</v>
      </c>
      <c r="F16166">
        <v>62980874</v>
      </c>
      <c r="G16166">
        <v>62980902</v>
      </c>
      <c r="H16166">
        <v>62980874</v>
      </c>
      <c r="I16166">
        <v>62980902</v>
      </c>
    </row>
    <row r="16167" spans="1:9" x14ac:dyDescent="0.2">
      <c r="A16167" t="str">
        <f>"Pias2"</f>
        <v>Pias2</v>
      </c>
      <c r="B16167" t="s">
        <v>14</v>
      </c>
      <c r="C16167" t="s">
        <v>43</v>
      </c>
      <c r="D16167" t="s">
        <v>17</v>
      </c>
      <c r="E16167" t="s">
        <v>12</v>
      </c>
      <c r="F16167">
        <v>77065195</v>
      </c>
      <c r="G16167">
        <v>77065250</v>
      </c>
      <c r="H16167">
        <v>77065477</v>
      </c>
      <c r="I16167">
        <v>77065545</v>
      </c>
    </row>
    <row r="16168" spans="1:9" x14ac:dyDescent="0.2">
      <c r="A16168" t="str">
        <f>"Pias3"</f>
        <v>Pias3</v>
      </c>
      <c r="B16168" t="s">
        <v>14</v>
      </c>
      <c r="C16168" t="s">
        <v>22</v>
      </c>
      <c r="D16168" t="s">
        <v>17</v>
      </c>
      <c r="E16168" t="s">
        <v>12</v>
      </c>
      <c r="F16168">
        <v>96696400</v>
      </c>
      <c r="G16168">
        <v>96696477</v>
      </c>
      <c r="H16168">
        <v>96697100</v>
      </c>
      <c r="I16168">
        <v>96697165</v>
      </c>
    </row>
    <row r="16169" spans="1:9" x14ac:dyDescent="0.2">
      <c r="A16169" t="str">
        <f>"Pias4"</f>
        <v>Pias4</v>
      </c>
      <c r="B16169" t="s">
        <v>14</v>
      </c>
      <c r="C16169" t="s">
        <v>15</v>
      </c>
      <c r="D16169" t="s">
        <v>11</v>
      </c>
      <c r="E16169" t="s">
        <v>12</v>
      </c>
      <c r="F16169">
        <v>81167710</v>
      </c>
      <c r="G16169">
        <v>81167754</v>
      </c>
      <c r="H16169">
        <v>81167770</v>
      </c>
      <c r="I16169">
        <v>81167781</v>
      </c>
    </row>
    <row r="16170" spans="1:9" x14ac:dyDescent="0.2">
      <c r="A16170" t="str">
        <f>"Pibf1"</f>
        <v>Pibf1</v>
      </c>
      <c r="B16170" t="s">
        <v>14</v>
      </c>
      <c r="C16170" t="s">
        <v>41</v>
      </c>
      <c r="D16170" t="s">
        <v>17</v>
      </c>
      <c r="E16170" t="s">
        <v>12</v>
      </c>
      <c r="F16170">
        <v>99099876</v>
      </c>
      <c r="G16170">
        <v>99099962</v>
      </c>
      <c r="H16170">
        <v>99099412</v>
      </c>
      <c r="I16170">
        <v>99099430</v>
      </c>
    </row>
    <row r="16171" spans="1:9" x14ac:dyDescent="0.2">
      <c r="A16171" t="str">
        <f>"Picalm"</f>
        <v>Picalm</v>
      </c>
      <c r="B16171" t="s">
        <v>14</v>
      </c>
      <c r="C16171" t="s">
        <v>33</v>
      </c>
      <c r="D16171" t="s">
        <v>17</v>
      </c>
      <c r="E16171" t="s">
        <v>12</v>
      </c>
      <c r="F16171">
        <v>90130227</v>
      </c>
      <c r="G16171">
        <v>90130279</v>
      </c>
      <c r="H16171">
        <v>90130285</v>
      </c>
      <c r="I16171">
        <v>90130300</v>
      </c>
    </row>
    <row r="16172" spans="1:9" x14ac:dyDescent="0.2">
      <c r="A16172" t="str">
        <f>"Pick1"</f>
        <v>Pick1</v>
      </c>
      <c r="B16172" t="s">
        <v>14</v>
      </c>
      <c r="C16172" t="s">
        <v>25</v>
      </c>
      <c r="D16172" t="s">
        <v>17</v>
      </c>
      <c r="E16172" t="s">
        <v>12</v>
      </c>
      <c r="F16172">
        <v>79229363</v>
      </c>
      <c r="G16172">
        <v>79229439</v>
      </c>
      <c r="H16172">
        <v>79229140</v>
      </c>
      <c r="I16172">
        <v>79229162</v>
      </c>
    </row>
    <row r="16173" spans="1:9" x14ac:dyDescent="0.2">
      <c r="A16173" t="str">
        <f>"Pid1"</f>
        <v>Pid1</v>
      </c>
      <c r="B16173" t="s">
        <v>14</v>
      </c>
      <c r="C16173" t="s">
        <v>19</v>
      </c>
      <c r="D16173" t="s">
        <v>11</v>
      </c>
      <c r="E16173" t="s">
        <v>12</v>
      </c>
      <c r="F16173">
        <v>84284548</v>
      </c>
      <c r="G16173">
        <v>84284628</v>
      </c>
      <c r="H16173">
        <v>84284526</v>
      </c>
      <c r="I16173">
        <v>84284537</v>
      </c>
    </row>
    <row r="16174" spans="1:9" x14ac:dyDescent="0.2">
      <c r="A16174" t="str">
        <f>"Piezo1"</f>
        <v>Piezo1</v>
      </c>
      <c r="B16174" t="s">
        <v>14</v>
      </c>
      <c r="C16174" t="s">
        <v>30</v>
      </c>
      <c r="D16174" t="s">
        <v>11</v>
      </c>
      <c r="E16174" t="s">
        <v>67</v>
      </c>
      <c r="F16174">
        <v>122551316</v>
      </c>
      <c r="G16174">
        <v>122551333</v>
      </c>
      <c r="H16174">
        <v>122551116</v>
      </c>
      <c r="I16174">
        <v>122551163</v>
      </c>
    </row>
    <row r="16175" spans="1:9" x14ac:dyDescent="0.2">
      <c r="A16175" t="str">
        <f>"Piezo2"</f>
        <v>Piezo2</v>
      </c>
      <c r="B16175" t="s">
        <v>14</v>
      </c>
      <c r="C16175" t="s">
        <v>43</v>
      </c>
      <c r="D16175" t="s">
        <v>11</v>
      </c>
      <c r="E16175" t="s">
        <v>67</v>
      </c>
      <c r="F16175">
        <v>63387124</v>
      </c>
      <c r="G16175">
        <v>63387189</v>
      </c>
      <c r="H16175">
        <v>63387196</v>
      </c>
      <c r="I16175">
        <v>63387203</v>
      </c>
    </row>
    <row r="16176" spans="1:9" x14ac:dyDescent="0.2">
      <c r="A16176" t="str">
        <f>"Pif1"</f>
        <v>Pif1</v>
      </c>
      <c r="B16176" t="s">
        <v>14</v>
      </c>
      <c r="C16176" t="s">
        <v>24</v>
      </c>
      <c r="D16176" t="s">
        <v>17</v>
      </c>
      <c r="E16176" t="s">
        <v>12</v>
      </c>
      <c r="F16176">
        <v>65587187</v>
      </c>
      <c r="G16176">
        <v>65587221</v>
      </c>
      <c r="H16176">
        <v>65587149</v>
      </c>
      <c r="I16176">
        <v>65587185</v>
      </c>
    </row>
    <row r="16177" spans="1:9" x14ac:dyDescent="0.2">
      <c r="A16177" t="str">
        <f>"Pifo"</f>
        <v>Pifo</v>
      </c>
      <c r="B16177" t="s">
        <v>14</v>
      </c>
      <c r="C16177" t="s">
        <v>22</v>
      </c>
      <c r="D16177" t="s">
        <v>11</v>
      </c>
      <c r="E16177" t="s">
        <v>67</v>
      </c>
      <c r="F16177">
        <v>106001474</v>
      </c>
      <c r="G16177">
        <v>106001513</v>
      </c>
      <c r="H16177">
        <v>106001453</v>
      </c>
      <c r="I16177">
        <v>106001462</v>
      </c>
    </row>
    <row r="16178" spans="1:9" x14ac:dyDescent="0.2">
      <c r="A16178" t="str">
        <f>"Piga"</f>
        <v>Piga</v>
      </c>
      <c r="B16178" t="s">
        <v>14</v>
      </c>
      <c r="C16178" t="s">
        <v>37</v>
      </c>
      <c r="D16178" t="s">
        <v>17</v>
      </c>
      <c r="E16178" t="s">
        <v>12</v>
      </c>
      <c r="F16178">
        <v>164419782</v>
      </c>
      <c r="G16178">
        <v>164419824</v>
      </c>
      <c r="H16178">
        <v>164419855</v>
      </c>
      <c r="I16178">
        <v>164419865</v>
      </c>
    </row>
    <row r="16179" spans="1:9" x14ac:dyDescent="0.2">
      <c r="A16179" t="str">
        <f>"Pigb"</f>
        <v>Pigb</v>
      </c>
      <c r="B16179" t="s">
        <v>14</v>
      </c>
      <c r="C16179" t="s">
        <v>24</v>
      </c>
      <c r="D16179" t="s">
        <v>11</v>
      </c>
      <c r="E16179" t="s">
        <v>12</v>
      </c>
      <c r="F16179">
        <v>73039644</v>
      </c>
      <c r="G16179">
        <v>73039674</v>
      </c>
      <c r="H16179">
        <v>73039607</v>
      </c>
      <c r="I16179">
        <v>73039636</v>
      </c>
    </row>
    <row r="16180" spans="1:9" x14ac:dyDescent="0.2">
      <c r="A16180" t="str">
        <f>"Pigc"</f>
        <v>Pigc</v>
      </c>
      <c r="B16180" t="s">
        <v>14</v>
      </c>
      <c r="C16180" t="s">
        <v>19</v>
      </c>
      <c r="D16180" t="s">
        <v>17</v>
      </c>
      <c r="E16180" t="s">
        <v>12</v>
      </c>
      <c r="F16180">
        <v>161969179</v>
      </c>
      <c r="G16180">
        <v>161969259</v>
      </c>
      <c r="H16180">
        <v>161969284</v>
      </c>
      <c r="I16180">
        <v>161969313</v>
      </c>
    </row>
    <row r="16181" spans="1:9" x14ac:dyDescent="0.2">
      <c r="A16181" t="str">
        <f>"Pigf"</f>
        <v>Pigf</v>
      </c>
      <c r="B16181" t="s">
        <v>14</v>
      </c>
      <c r="C16181" t="s">
        <v>28</v>
      </c>
      <c r="D16181" t="s">
        <v>11</v>
      </c>
      <c r="E16181" t="s">
        <v>12</v>
      </c>
      <c r="F16181">
        <v>87025353</v>
      </c>
      <c r="G16181">
        <v>87025403</v>
      </c>
      <c r="H16181">
        <v>87025250</v>
      </c>
      <c r="I16181">
        <v>87025299</v>
      </c>
    </row>
    <row r="16182" spans="1:9" x14ac:dyDescent="0.2">
      <c r="A16182" t="str">
        <f>"Pigg"</f>
        <v>Pigg</v>
      </c>
      <c r="B16182" t="s">
        <v>14</v>
      </c>
      <c r="C16182" t="s">
        <v>46</v>
      </c>
      <c r="D16182" t="s">
        <v>17</v>
      </c>
      <c r="E16182" t="s">
        <v>12</v>
      </c>
      <c r="F16182">
        <v>108312784</v>
      </c>
      <c r="G16182">
        <v>108312823</v>
      </c>
      <c r="H16182">
        <v>108312824</v>
      </c>
      <c r="I16182">
        <v>108312854</v>
      </c>
    </row>
    <row r="16183" spans="1:9" x14ac:dyDescent="0.2">
      <c r="A16183" t="str">
        <f>"Pigh"</f>
        <v>Pigh</v>
      </c>
      <c r="B16183" t="s">
        <v>14</v>
      </c>
      <c r="C16183" t="s">
        <v>16</v>
      </c>
      <c r="D16183" t="s">
        <v>11</v>
      </c>
      <c r="E16183" t="s">
        <v>12</v>
      </c>
      <c r="F16183">
        <v>79089623</v>
      </c>
      <c r="G16183">
        <v>79089660</v>
      </c>
      <c r="H16183">
        <v>79089661</v>
      </c>
      <c r="I16183">
        <v>79089687</v>
      </c>
    </row>
    <row r="16184" spans="1:9" x14ac:dyDescent="0.2">
      <c r="A16184" t="str">
        <f>"Pigk"</f>
        <v>Pigk</v>
      </c>
      <c r="B16184" t="s">
        <v>14</v>
      </c>
      <c r="C16184" t="s">
        <v>22</v>
      </c>
      <c r="D16184" t="s">
        <v>17</v>
      </c>
      <c r="E16184" t="s">
        <v>12</v>
      </c>
      <c r="F16184">
        <v>152714094</v>
      </c>
      <c r="G16184">
        <v>152714137</v>
      </c>
      <c r="H16184">
        <v>152714094</v>
      </c>
      <c r="I16184">
        <v>152714137</v>
      </c>
    </row>
    <row r="16185" spans="1:9" x14ac:dyDescent="0.2">
      <c r="A16185" t="str">
        <f>"Pigl"</f>
        <v>Pigl</v>
      </c>
      <c r="B16185" t="s">
        <v>14</v>
      </c>
      <c r="C16185" t="s">
        <v>27</v>
      </c>
      <c r="D16185" t="s">
        <v>17</v>
      </c>
      <c r="E16185" t="s">
        <v>12</v>
      </c>
      <c r="F16185">
        <v>62458414</v>
      </c>
      <c r="G16185">
        <v>62458469</v>
      </c>
      <c r="H16185">
        <v>62458582</v>
      </c>
      <c r="I16185">
        <v>62458600</v>
      </c>
    </row>
    <row r="16186" spans="1:9" x14ac:dyDescent="0.2">
      <c r="A16186" t="str">
        <f>"Pigm"</f>
        <v>Pigm</v>
      </c>
      <c r="B16186" t="s">
        <v>14</v>
      </c>
      <c r="C16186" t="s">
        <v>19</v>
      </c>
      <c r="D16186" t="s">
        <v>17</v>
      </c>
      <c r="E16186" t="s">
        <v>12</v>
      </c>
      <c r="F16186">
        <v>172376528</v>
      </c>
      <c r="G16186">
        <v>172376599</v>
      </c>
      <c r="H16186">
        <v>172376600</v>
      </c>
      <c r="I16186">
        <v>172376624</v>
      </c>
    </row>
    <row r="16187" spans="1:9" x14ac:dyDescent="0.2">
      <c r="A16187" t="str">
        <f>"Pign"</f>
        <v>Pign</v>
      </c>
      <c r="B16187" t="s">
        <v>14</v>
      </c>
      <c r="C16187" t="s">
        <v>19</v>
      </c>
      <c r="D16187" t="s">
        <v>11</v>
      </c>
      <c r="E16187" t="s">
        <v>12</v>
      </c>
      <c r="F16187">
        <v>105663641</v>
      </c>
      <c r="G16187">
        <v>105663660</v>
      </c>
      <c r="H16187">
        <v>105663665</v>
      </c>
      <c r="I16187">
        <v>105663680</v>
      </c>
    </row>
    <row r="16188" spans="1:9" x14ac:dyDescent="0.2">
      <c r="A16188" t="str">
        <f>"Pigo"</f>
        <v>Pigo</v>
      </c>
      <c r="B16188" t="s">
        <v>14</v>
      </c>
      <c r="C16188" t="s">
        <v>23</v>
      </c>
      <c r="D16188" t="s">
        <v>11</v>
      </c>
      <c r="E16188" t="s">
        <v>12</v>
      </c>
      <c r="F16188">
        <v>43025792</v>
      </c>
      <c r="G16188">
        <v>43025832</v>
      </c>
      <c r="H16188">
        <v>43025765</v>
      </c>
      <c r="I16188">
        <v>43025788</v>
      </c>
    </row>
    <row r="16189" spans="1:9" x14ac:dyDescent="0.2">
      <c r="A16189" t="str">
        <f>"Pigp"</f>
        <v>Pigp</v>
      </c>
      <c r="B16189" t="s">
        <v>14</v>
      </c>
      <c r="C16189" t="s">
        <v>31</v>
      </c>
      <c r="D16189" t="s">
        <v>11</v>
      </c>
      <c r="E16189" t="s">
        <v>12</v>
      </c>
      <c r="F16189">
        <v>94370450</v>
      </c>
      <c r="G16189">
        <v>94370553</v>
      </c>
      <c r="H16189">
        <v>94370695</v>
      </c>
      <c r="I16189">
        <v>94370748</v>
      </c>
    </row>
    <row r="16190" spans="1:9" x14ac:dyDescent="0.2">
      <c r="A16190" t="str">
        <f>"Pigq"</f>
        <v>Pigq</v>
      </c>
      <c r="B16190" t="s">
        <v>14</v>
      </c>
      <c r="C16190" t="s">
        <v>28</v>
      </c>
      <c r="D16190" t="s">
        <v>11</v>
      </c>
      <c r="E16190" t="s">
        <v>12</v>
      </c>
      <c r="F16190">
        <v>25941926</v>
      </c>
      <c r="G16190">
        <v>25941981</v>
      </c>
      <c r="H16190">
        <v>25941926</v>
      </c>
      <c r="I16190">
        <v>25941981</v>
      </c>
    </row>
    <row r="16191" spans="1:9" x14ac:dyDescent="0.2">
      <c r="A16191" t="str">
        <f>"Pigr"</f>
        <v>Pigr</v>
      </c>
      <c r="B16191" t="s">
        <v>14</v>
      </c>
      <c r="C16191" t="s">
        <v>19</v>
      </c>
      <c r="D16191" t="s">
        <v>17</v>
      </c>
      <c r="E16191" t="s">
        <v>12</v>
      </c>
      <c r="F16191">
        <v>130826676</v>
      </c>
      <c r="G16191">
        <v>130826755</v>
      </c>
      <c r="H16191">
        <v>130826762</v>
      </c>
      <c r="I16191">
        <v>130826769</v>
      </c>
    </row>
    <row r="16192" spans="1:9" x14ac:dyDescent="0.2">
      <c r="A16192" t="str">
        <f>"Pigs"</f>
        <v>Pigs</v>
      </c>
      <c r="B16192" t="s">
        <v>14</v>
      </c>
      <c r="C16192" t="s">
        <v>27</v>
      </c>
      <c r="D16192" t="s">
        <v>17</v>
      </c>
      <c r="E16192" t="s">
        <v>12</v>
      </c>
      <c r="F16192">
        <v>78328425</v>
      </c>
      <c r="G16192">
        <v>78328472</v>
      </c>
      <c r="H16192">
        <v>78328425</v>
      </c>
      <c r="I16192">
        <v>78328472</v>
      </c>
    </row>
    <row r="16193" spans="1:9" x14ac:dyDescent="0.2">
      <c r="A16193" t="str">
        <f>"Pigt"</f>
        <v>Pigt</v>
      </c>
      <c r="B16193" t="s">
        <v>14</v>
      </c>
      <c r="C16193" t="s">
        <v>26</v>
      </c>
      <c r="D16193" t="s">
        <v>17</v>
      </c>
      <c r="E16193" t="s">
        <v>12</v>
      </c>
      <c r="F16193">
        <v>164497518</v>
      </c>
      <c r="G16193">
        <v>164497560</v>
      </c>
      <c r="H16193">
        <v>164497518</v>
      </c>
      <c r="I16193">
        <v>164497560</v>
      </c>
    </row>
    <row r="16194" spans="1:9" x14ac:dyDescent="0.2">
      <c r="A16194" t="str">
        <f>"Pigu"</f>
        <v>Pigu</v>
      </c>
      <c r="B16194" t="s">
        <v>14</v>
      </c>
      <c r="C16194" t="s">
        <v>26</v>
      </c>
      <c r="D16194" t="s">
        <v>11</v>
      </c>
      <c r="E16194" t="s">
        <v>12</v>
      </c>
      <c r="F16194">
        <v>155357392</v>
      </c>
      <c r="G16194">
        <v>155357431</v>
      </c>
      <c r="H16194">
        <v>155357471</v>
      </c>
      <c r="I16194">
        <v>155357480</v>
      </c>
    </row>
    <row r="16195" spans="1:9" x14ac:dyDescent="0.2">
      <c r="A16195" t="str">
        <f>"Pigv"</f>
        <v>Pigv</v>
      </c>
      <c r="B16195" t="s">
        <v>14</v>
      </c>
      <c r="C16195" t="s">
        <v>23</v>
      </c>
      <c r="D16195" t="s">
        <v>11</v>
      </c>
      <c r="E16195" t="s">
        <v>12</v>
      </c>
      <c r="F16195">
        <v>133672601</v>
      </c>
      <c r="G16195">
        <v>133672652</v>
      </c>
      <c r="H16195">
        <v>133672386</v>
      </c>
      <c r="I16195">
        <v>133672418</v>
      </c>
    </row>
    <row r="16196" spans="1:9" x14ac:dyDescent="0.2">
      <c r="A16196" t="str">
        <f>"Pigw"</f>
        <v>Pigw</v>
      </c>
      <c r="B16196" t="s">
        <v>14</v>
      </c>
      <c r="C16196" t="s">
        <v>27</v>
      </c>
      <c r="D16196" t="s">
        <v>11</v>
      </c>
      <c r="E16196" t="s">
        <v>12</v>
      </c>
      <c r="F16196">
        <v>84880249</v>
      </c>
      <c r="G16196">
        <v>84880299</v>
      </c>
      <c r="H16196">
        <v>84879830</v>
      </c>
      <c r="I16196">
        <v>84879880</v>
      </c>
    </row>
    <row r="16197" spans="1:9" x14ac:dyDescent="0.2">
      <c r="A16197" t="str">
        <f>"Pigx"</f>
        <v>Pigx</v>
      </c>
      <c r="B16197" t="s">
        <v>14</v>
      </c>
      <c r="C16197" t="s">
        <v>31</v>
      </c>
      <c r="D16197" t="s">
        <v>11</v>
      </c>
      <c r="E16197" t="s">
        <v>12</v>
      </c>
      <c r="F16197">
        <v>32099697</v>
      </c>
      <c r="G16197">
        <v>32099752</v>
      </c>
      <c r="H16197">
        <v>32099669</v>
      </c>
      <c r="I16197">
        <v>32099696</v>
      </c>
    </row>
    <row r="16198" spans="1:9" x14ac:dyDescent="0.2">
      <c r="A16198" t="str">
        <f>"Pigyl"</f>
        <v>Pigyl</v>
      </c>
      <c r="B16198" t="s">
        <v>14</v>
      </c>
      <c r="C16198" t="s">
        <v>24</v>
      </c>
      <c r="D16198" t="s">
        <v>17</v>
      </c>
      <c r="E16198" t="s">
        <v>12</v>
      </c>
      <c r="F16198">
        <v>22156838</v>
      </c>
      <c r="G16198">
        <v>22156881</v>
      </c>
      <c r="H16198">
        <v>22156882</v>
      </c>
      <c r="I16198">
        <v>22156896</v>
      </c>
    </row>
    <row r="16199" spans="1:9" x14ac:dyDescent="0.2">
      <c r="A16199" t="str">
        <f>"Pigz"</f>
        <v>Pigz</v>
      </c>
      <c r="B16199" t="s">
        <v>14</v>
      </c>
      <c r="C16199" t="s">
        <v>31</v>
      </c>
      <c r="D16199" t="s">
        <v>17</v>
      </c>
      <c r="E16199" t="s">
        <v>12</v>
      </c>
      <c r="F16199">
        <v>31933923</v>
      </c>
      <c r="G16199">
        <v>31933964</v>
      </c>
      <c r="H16199">
        <v>31933968</v>
      </c>
      <c r="I16199">
        <v>31934006</v>
      </c>
    </row>
    <row r="16200" spans="1:9" x14ac:dyDescent="0.2">
      <c r="A16200" t="str">
        <f>"Pih1d1"</f>
        <v>Pih1d1</v>
      </c>
      <c r="B16200" t="s">
        <v>14</v>
      </c>
      <c r="C16200" t="s">
        <v>33</v>
      </c>
      <c r="D16200" t="s">
        <v>17</v>
      </c>
      <c r="E16200" t="s">
        <v>12</v>
      </c>
      <c r="F16200">
        <v>45154297</v>
      </c>
      <c r="G16200">
        <v>45154354</v>
      </c>
      <c r="H16200">
        <v>45154384</v>
      </c>
      <c r="I16200">
        <v>45154406</v>
      </c>
    </row>
    <row r="16201" spans="1:9" x14ac:dyDescent="0.2">
      <c r="A16201" t="str">
        <f>"Pih1d2"</f>
        <v>Pih1d2</v>
      </c>
      <c r="B16201" t="s">
        <v>14</v>
      </c>
      <c r="C16201" t="s">
        <v>24</v>
      </c>
      <c r="D16201" t="s">
        <v>17</v>
      </c>
      <c r="E16201" t="s">
        <v>12</v>
      </c>
      <c r="F16201">
        <v>50617516</v>
      </c>
      <c r="G16201">
        <v>50617561</v>
      </c>
      <c r="H16201">
        <v>50617317</v>
      </c>
      <c r="I16201">
        <v>50617359</v>
      </c>
    </row>
    <row r="16202" spans="1:9" x14ac:dyDescent="0.2">
      <c r="A16202" t="str">
        <f>"Pih1d3"</f>
        <v>Pih1d3</v>
      </c>
      <c r="B16202" t="s">
        <v>14</v>
      </c>
      <c r="C16202" t="s">
        <v>19</v>
      </c>
      <c r="D16202" t="s">
        <v>17</v>
      </c>
      <c r="E16202" t="s">
        <v>67</v>
      </c>
      <c r="F16202">
        <v>31222808</v>
      </c>
      <c r="G16202">
        <v>31222821</v>
      </c>
      <c r="H16202">
        <v>31222782</v>
      </c>
      <c r="I16202">
        <v>31222792</v>
      </c>
    </row>
    <row r="16203" spans="1:9" x14ac:dyDescent="0.2">
      <c r="A16203" t="str">
        <f>"Pik3ap1"</f>
        <v>Pik3ap1</v>
      </c>
      <c r="B16203" t="s">
        <v>14</v>
      </c>
      <c r="C16203" t="s">
        <v>10</v>
      </c>
      <c r="D16203" t="s">
        <v>11</v>
      </c>
      <c r="E16203" t="s">
        <v>12</v>
      </c>
      <c r="F16203">
        <v>41385089</v>
      </c>
      <c r="G16203">
        <v>41385109</v>
      </c>
      <c r="H16203">
        <v>41385075</v>
      </c>
      <c r="I16203">
        <v>41385086</v>
      </c>
    </row>
    <row r="16204" spans="1:9" x14ac:dyDescent="0.2">
      <c r="A16204" t="str">
        <f>"Pik3c2a"</f>
        <v>Pik3c2a</v>
      </c>
      <c r="B16204" t="s">
        <v>14</v>
      </c>
      <c r="C16204" t="s">
        <v>33</v>
      </c>
      <c r="D16204" t="s">
        <v>11</v>
      </c>
      <c r="E16204" t="s">
        <v>12</v>
      </c>
      <c r="F16204">
        <v>116443412</v>
      </c>
      <c r="G16204">
        <v>116443436</v>
      </c>
      <c r="H16204">
        <v>116443439</v>
      </c>
      <c r="I16204">
        <v>116443462</v>
      </c>
    </row>
    <row r="16205" spans="1:9" x14ac:dyDescent="0.2">
      <c r="A16205" t="str">
        <f>"Pik3c2b"</f>
        <v>Pik3c2b</v>
      </c>
      <c r="B16205" t="s">
        <v>14</v>
      </c>
      <c r="C16205" t="s">
        <v>19</v>
      </c>
      <c r="D16205" t="s">
        <v>17</v>
      </c>
      <c r="E16205" t="s">
        <v>12</v>
      </c>
      <c r="F16205">
        <v>133045984</v>
      </c>
      <c r="G16205">
        <v>133046082</v>
      </c>
      <c r="H16205">
        <v>133046164</v>
      </c>
      <c r="I16205">
        <v>133046187</v>
      </c>
    </row>
    <row r="16206" spans="1:9" x14ac:dyDescent="0.2">
      <c r="A16206" t="str">
        <f>"Pik3c2g"</f>
        <v>Pik3c2g</v>
      </c>
      <c r="B16206" t="s">
        <v>5591</v>
      </c>
      <c r="C16206" t="s">
        <v>32</v>
      </c>
      <c r="D16206" t="s">
        <v>17</v>
      </c>
      <c r="E16206" t="s">
        <v>20</v>
      </c>
      <c r="F16206">
        <v>139843647</v>
      </c>
      <c r="G16206">
        <v>139843647</v>
      </c>
      <c r="H16206">
        <v>139843647</v>
      </c>
      <c r="I16206">
        <v>139843647</v>
      </c>
    </row>
    <row r="16207" spans="1:9" x14ac:dyDescent="0.2">
      <c r="A16207" t="str">
        <f>"Pik3c3"</f>
        <v>Pik3c3</v>
      </c>
      <c r="B16207" t="s">
        <v>14</v>
      </c>
      <c r="C16207" t="s">
        <v>43</v>
      </c>
      <c r="D16207" t="s">
        <v>17</v>
      </c>
      <c r="E16207" t="s">
        <v>12</v>
      </c>
      <c r="F16207">
        <v>30272829</v>
      </c>
      <c r="G16207">
        <v>30272931</v>
      </c>
      <c r="H16207">
        <v>30272723</v>
      </c>
      <c r="I16207">
        <v>30272749</v>
      </c>
    </row>
    <row r="16208" spans="1:9" x14ac:dyDescent="0.2">
      <c r="A16208" t="str">
        <f>"Pik3ca"</f>
        <v>Pik3ca</v>
      </c>
      <c r="B16208" t="s">
        <v>14</v>
      </c>
      <c r="C16208" t="s">
        <v>22</v>
      </c>
      <c r="D16208" t="s">
        <v>17</v>
      </c>
      <c r="E16208" t="s">
        <v>12</v>
      </c>
      <c r="F16208">
        <v>32397268</v>
      </c>
      <c r="G16208">
        <v>32397296</v>
      </c>
      <c r="H16208">
        <v>32397268</v>
      </c>
      <c r="I16208">
        <v>32397296</v>
      </c>
    </row>
    <row r="16209" spans="1:9" x14ac:dyDescent="0.2">
      <c r="A16209" t="str">
        <f>"Pik3cb"</f>
        <v>Pik3cb</v>
      </c>
      <c r="B16209" t="s">
        <v>14</v>
      </c>
      <c r="C16209" t="s">
        <v>24</v>
      </c>
      <c r="D16209" t="s">
        <v>11</v>
      </c>
      <c r="E16209" t="s">
        <v>12</v>
      </c>
      <c r="F16209">
        <v>99140147</v>
      </c>
      <c r="G16209">
        <v>99140226</v>
      </c>
      <c r="H16209">
        <v>99140065</v>
      </c>
      <c r="I16209">
        <v>99140080</v>
      </c>
    </row>
    <row r="16210" spans="1:9" x14ac:dyDescent="0.2">
      <c r="A16210" t="str">
        <f>"Pik3cd"</f>
        <v>Pik3cd</v>
      </c>
      <c r="B16210" t="s">
        <v>14</v>
      </c>
      <c r="C16210" t="s">
        <v>23</v>
      </c>
      <c r="D16210" t="s">
        <v>11</v>
      </c>
      <c r="E16210" t="s">
        <v>12</v>
      </c>
      <c r="F16210">
        <v>149698598</v>
      </c>
      <c r="G16210">
        <v>149698617</v>
      </c>
      <c r="H16210">
        <v>149698598</v>
      </c>
      <c r="I16210">
        <v>149698617</v>
      </c>
    </row>
    <row r="16211" spans="1:9" x14ac:dyDescent="0.2">
      <c r="A16211" t="str">
        <f>"Pik3cg"</f>
        <v>Pik3cg</v>
      </c>
      <c r="B16211" t="s">
        <v>14</v>
      </c>
      <c r="C16211" t="s">
        <v>16</v>
      </c>
      <c r="D16211" t="s">
        <v>11</v>
      </c>
      <c r="E16211" t="s">
        <v>12</v>
      </c>
      <c r="F16211">
        <v>32208609</v>
      </c>
      <c r="G16211">
        <v>32208683</v>
      </c>
      <c r="H16211">
        <v>32208559</v>
      </c>
      <c r="I16211">
        <v>32208572</v>
      </c>
    </row>
    <row r="16212" spans="1:9" x14ac:dyDescent="0.2">
      <c r="A16212" t="str">
        <f>"Pik3ip1"</f>
        <v>Pik3ip1</v>
      </c>
      <c r="B16212" t="s">
        <v>14</v>
      </c>
      <c r="C16212" t="s">
        <v>27</v>
      </c>
      <c r="D16212" t="s">
        <v>17</v>
      </c>
      <c r="E16212" t="s">
        <v>12</v>
      </c>
      <c r="F16212">
        <v>3330781</v>
      </c>
      <c r="G16212">
        <v>3330812</v>
      </c>
      <c r="H16212">
        <v>3330816</v>
      </c>
      <c r="I16212">
        <v>3330830</v>
      </c>
    </row>
    <row r="16213" spans="1:9" x14ac:dyDescent="0.2">
      <c r="A16213" t="str">
        <f>"Pik3r1"</f>
        <v>Pik3r1</v>
      </c>
      <c r="B16213" t="s">
        <v>14</v>
      </c>
      <c r="C16213" t="s">
        <v>39</v>
      </c>
      <c r="D16213" t="s">
        <v>11</v>
      </c>
      <c r="E16213" t="s">
        <v>12</v>
      </c>
      <c r="F16213">
        <v>101768154</v>
      </c>
      <c r="G16213">
        <v>101768194</v>
      </c>
      <c r="H16213">
        <v>101768154</v>
      </c>
      <c r="I16213">
        <v>101768194</v>
      </c>
    </row>
    <row r="16214" spans="1:9" x14ac:dyDescent="0.2">
      <c r="A16214" t="str">
        <f>"Pik3r2"</f>
        <v>Pik3r2</v>
      </c>
      <c r="B16214" t="s">
        <v>14</v>
      </c>
      <c r="C16214" t="s">
        <v>30</v>
      </c>
      <c r="D16214" t="s">
        <v>11</v>
      </c>
      <c r="E16214" t="s">
        <v>12</v>
      </c>
      <c r="F16214">
        <v>70776650</v>
      </c>
      <c r="G16214">
        <v>70776716</v>
      </c>
      <c r="H16214">
        <v>70776634</v>
      </c>
      <c r="I16214">
        <v>70776640</v>
      </c>
    </row>
    <row r="16215" spans="1:9" x14ac:dyDescent="0.2">
      <c r="A16215" t="str">
        <f>"Pik3r3"</f>
        <v>Pik3r3</v>
      </c>
      <c r="B16215" t="s">
        <v>14</v>
      </c>
      <c r="C16215" t="s">
        <v>23</v>
      </c>
      <c r="D16215" t="s">
        <v>17</v>
      </c>
      <c r="E16215" t="s">
        <v>12</v>
      </c>
      <c r="F16215">
        <v>116221633</v>
      </c>
      <c r="G16215">
        <v>116221650</v>
      </c>
      <c r="H16215">
        <v>116221590</v>
      </c>
      <c r="I16215">
        <v>116221615</v>
      </c>
    </row>
    <row r="16216" spans="1:9" x14ac:dyDescent="0.2">
      <c r="A16216" t="str">
        <f>"Pik3r4"</f>
        <v>Pik3r4</v>
      </c>
      <c r="B16216" t="s">
        <v>14</v>
      </c>
      <c r="C16216" t="s">
        <v>24</v>
      </c>
      <c r="D16216" t="s">
        <v>17</v>
      </c>
      <c r="E16216" t="s">
        <v>12</v>
      </c>
      <c r="F16216">
        <v>105642957</v>
      </c>
      <c r="G16216">
        <v>105643036</v>
      </c>
      <c r="H16216">
        <v>105642957</v>
      </c>
      <c r="I16216">
        <v>105643036</v>
      </c>
    </row>
    <row r="16217" spans="1:9" x14ac:dyDescent="0.2">
      <c r="A16217" t="str">
        <f>"Pik3r5"</f>
        <v>Pik3r5</v>
      </c>
      <c r="B16217" t="s">
        <v>14</v>
      </c>
      <c r="C16217" t="s">
        <v>27</v>
      </c>
      <c r="D16217" t="s">
        <v>17</v>
      </c>
      <c r="E16217" t="s">
        <v>12</v>
      </c>
      <c r="F16217">
        <v>68432112</v>
      </c>
      <c r="G16217">
        <v>68432170</v>
      </c>
      <c r="H16217">
        <v>68431906</v>
      </c>
      <c r="I16217">
        <v>68431940</v>
      </c>
    </row>
    <row r="16218" spans="1:9" x14ac:dyDescent="0.2">
      <c r="A16218" t="str">
        <f>"Pik3r6"</f>
        <v>Pik3r6</v>
      </c>
      <c r="B16218" t="s">
        <v>14</v>
      </c>
      <c r="C16218" t="s">
        <v>27</v>
      </c>
      <c r="D16218" t="s">
        <v>17</v>
      </c>
      <c r="E16218" t="s">
        <v>12</v>
      </c>
      <c r="F16218">
        <v>68503081</v>
      </c>
      <c r="G16218">
        <v>68503113</v>
      </c>
      <c r="H16218">
        <v>68503081</v>
      </c>
      <c r="I16218">
        <v>68503113</v>
      </c>
    </row>
    <row r="16219" spans="1:9" x14ac:dyDescent="0.2">
      <c r="A16219" t="str">
        <f>"Pikfyve"</f>
        <v>Pikfyve</v>
      </c>
      <c r="B16219" t="s">
        <v>14</v>
      </c>
      <c r="C16219" t="s">
        <v>19</v>
      </c>
      <c r="D16219" t="s">
        <v>17</v>
      </c>
      <c r="E16219" t="s">
        <v>12</v>
      </c>
      <c r="F16219">
        <v>65186675</v>
      </c>
      <c r="G16219">
        <v>65186722</v>
      </c>
      <c r="H16219">
        <v>65186660</v>
      </c>
      <c r="I16219">
        <v>65186674</v>
      </c>
    </row>
    <row r="16220" spans="1:9" x14ac:dyDescent="0.2">
      <c r="A16220" t="str">
        <f>"Pilra"</f>
        <v>Pilra</v>
      </c>
      <c r="B16220" t="s">
        <v>14</v>
      </c>
      <c r="C16220" t="s">
        <v>46</v>
      </c>
      <c r="D16220" t="s">
        <v>11</v>
      </c>
      <c r="E16220" t="s">
        <v>12</v>
      </c>
      <c r="F16220">
        <v>137836210</v>
      </c>
      <c r="G16220">
        <v>137836233</v>
      </c>
      <c r="H16220">
        <v>137836210</v>
      </c>
      <c r="I16220">
        <v>137836233</v>
      </c>
    </row>
    <row r="16221" spans="1:9" x14ac:dyDescent="0.2">
      <c r="A16221" t="str">
        <f>"Pilrb1"</f>
        <v>Pilrb1</v>
      </c>
      <c r="B16221" t="s">
        <v>14</v>
      </c>
      <c r="C16221" t="s">
        <v>46</v>
      </c>
      <c r="D16221" t="s">
        <v>11</v>
      </c>
      <c r="E16221" t="s">
        <v>12</v>
      </c>
      <c r="F16221">
        <v>137858034</v>
      </c>
      <c r="G16221">
        <v>137858054</v>
      </c>
      <c r="H16221">
        <v>137858034</v>
      </c>
      <c r="I16221">
        <v>137858054</v>
      </c>
    </row>
    <row r="16222" spans="1:9" x14ac:dyDescent="0.2">
      <c r="A16222" t="str">
        <f>"Pilrb2"</f>
        <v>Pilrb2</v>
      </c>
      <c r="B16222" t="s">
        <v>14</v>
      </c>
      <c r="C16222" t="s">
        <v>46</v>
      </c>
      <c r="D16222" t="s">
        <v>11</v>
      </c>
      <c r="E16222" t="s">
        <v>12</v>
      </c>
      <c r="F16222">
        <v>137871739</v>
      </c>
      <c r="G16222">
        <v>137871768</v>
      </c>
      <c r="H16222">
        <v>137871779</v>
      </c>
      <c r="I16222">
        <v>137871790</v>
      </c>
    </row>
    <row r="16223" spans="1:9" x14ac:dyDescent="0.2">
      <c r="A16223" t="str">
        <f>"Pim1"</f>
        <v>Pim1</v>
      </c>
      <c r="B16223" t="s">
        <v>14</v>
      </c>
      <c r="C16223" t="s">
        <v>28</v>
      </c>
      <c r="D16223" t="s">
        <v>17</v>
      </c>
      <c r="E16223" t="s">
        <v>12</v>
      </c>
      <c r="F16223">
        <v>29490775</v>
      </c>
      <c r="G16223">
        <v>29490799</v>
      </c>
      <c r="H16223">
        <v>29490846</v>
      </c>
      <c r="I16223">
        <v>29490862</v>
      </c>
    </row>
    <row r="16224" spans="1:9" x14ac:dyDescent="0.2">
      <c r="A16224" t="str">
        <f>"Pim2"</f>
        <v>Pim2</v>
      </c>
      <c r="B16224" t="s">
        <v>14</v>
      </c>
      <c r="C16224" t="s">
        <v>37</v>
      </c>
      <c r="D16224" t="s">
        <v>17</v>
      </c>
      <c r="E16224" t="s">
        <v>12</v>
      </c>
      <c r="F16224">
        <v>7878298</v>
      </c>
      <c r="G16224">
        <v>7878314</v>
      </c>
      <c r="H16224">
        <v>7878337</v>
      </c>
      <c r="I16224">
        <v>7878344</v>
      </c>
    </row>
    <row r="16225" spans="1:9" x14ac:dyDescent="0.2">
      <c r="A16225" t="str">
        <f>"Pim3"</f>
        <v>Pim3</v>
      </c>
      <c r="B16225" t="s">
        <v>14</v>
      </c>
      <c r="C16225" t="s">
        <v>25</v>
      </c>
      <c r="D16225" t="s">
        <v>17</v>
      </c>
      <c r="E16225" t="s">
        <v>12</v>
      </c>
      <c r="F16225">
        <v>88862467</v>
      </c>
      <c r="G16225">
        <v>88862484</v>
      </c>
      <c r="H16225">
        <v>88862178</v>
      </c>
      <c r="I16225">
        <v>88862193</v>
      </c>
    </row>
    <row r="16226" spans="1:9" x14ac:dyDescent="0.2">
      <c r="A16226" t="str">
        <f>"Pin1"</f>
        <v>Pin1</v>
      </c>
      <c r="B16226" t="s">
        <v>14</v>
      </c>
      <c r="C16226" t="s">
        <v>24</v>
      </c>
      <c r="D16226" t="s">
        <v>17</v>
      </c>
      <c r="E16226" t="s">
        <v>12</v>
      </c>
      <c r="F16226">
        <v>20652107</v>
      </c>
      <c r="G16226">
        <v>20652138</v>
      </c>
      <c r="H16226">
        <v>20652090</v>
      </c>
      <c r="I16226">
        <v>20652104</v>
      </c>
    </row>
    <row r="16227" spans="1:9" x14ac:dyDescent="0.2">
      <c r="A16227" t="str">
        <f>"Pin1rt1"</f>
        <v>Pin1rt1</v>
      </c>
      <c r="B16227" t="s">
        <v>5592</v>
      </c>
      <c r="C16227" t="s">
        <v>26</v>
      </c>
      <c r="D16227" t="s">
        <v>11</v>
      </c>
      <c r="E16227" t="s">
        <v>20</v>
      </c>
      <c r="F16227">
        <v>104716378</v>
      </c>
      <c r="G16227">
        <v>104716378</v>
      </c>
      <c r="H16227">
        <v>104716378</v>
      </c>
      <c r="I16227">
        <v>104716378</v>
      </c>
    </row>
    <row r="16228" spans="1:9" x14ac:dyDescent="0.2">
      <c r="A16228" t="str">
        <f>"Pin4"</f>
        <v>Pin4</v>
      </c>
      <c r="B16228" t="s">
        <v>14</v>
      </c>
      <c r="C16228" t="s">
        <v>37</v>
      </c>
      <c r="D16228" t="s">
        <v>17</v>
      </c>
      <c r="E16228" t="s">
        <v>12</v>
      </c>
      <c r="F16228">
        <v>102119457</v>
      </c>
      <c r="G16228">
        <v>102119490</v>
      </c>
      <c r="H16228">
        <v>102119408</v>
      </c>
      <c r="I16228">
        <v>102119418</v>
      </c>
    </row>
    <row r="16229" spans="1:9" x14ac:dyDescent="0.2">
      <c r="A16229" t="str">
        <f>"Pink1"</f>
        <v>Pink1</v>
      </c>
      <c r="B16229" t="s">
        <v>14</v>
      </c>
      <c r="C16229" t="s">
        <v>23</v>
      </c>
      <c r="D16229" t="s">
        <v>11</v>
      </c>
      <c r="E16229" t="s">
        <v>12</v>
      </c>
      <c r="F16229">
        <v>138326234</v>
      </c>
      <c r="G16229">
        <v>138326305</v>
      </c>
      <c r="H16229">
        <v>138326234</v>
      </c>
      <c r="I16229">
        <v>138326305</v>
      </c>
    </row>
    <row r="16230" spans="1:9" x14ac:dyDescent="0.2">
      <c r="A16230" t="str">
        <f>"Pinlyp"</f>
        <v>Pinlyp</v>
      </c>
      <c r="B16230" t="s">
        <v>14</v>
      </c>
      <c r="C16230" t="s">
        <v>33</v>
      </c>
      <c r="D16230" t="s">
        <v>11</v>
      </c>
      <c r="E16230" t="s">
        <v>67</v>
      </c>
      <c r="F16230">
        <v>24545994</v>
      </c>
      <c r="G16230">
        <v>24546012</v>
      </c>
      <c r="H16230">
        <v>24545994</v>
      </c>
      <c r="I16230">
        <v>24546012</v>
      </c>
    </row>
    <row r="16231" spans="1:9" x14ac:dyDescent="0.2">
      <c r="A16231" t="str">
        <f>"Pinx1"</f>
        <v>Pinx1</v>
      </c>
      <c r="B16231" t="s">
        <v>14</v>
      </c>
      <c r="C16231" t="s">
        <v>41</v>
      </c>
      <c r="D16231" t="s">
        <v>17</v>
      </c>
      <c r="E16231" t="s">
        <v>12</v>
      </c>
      <c r="F16231">
        <v>63860290</v>
      </c>
      <c r="G16231">
        <v>63860361</v>
      </c>
      <c r="H16231">
        <v>63860290</v>
      </c>
      <c r="I16231">
        <v>63860361</v>
      </c>
    </row>
    <row r="16232" spans="1:9" x14ac:dyDescent="0.2">
      <c r="A16232" t="str">
        <f>"Pip"</f>
        <v>Pip</v>
      </c>
      <c r="B16232" t="s">
        <v>14</v>
      </c>
      <c r="C16232" t="s">
        <v>32</v>
      </c>
      <c r="D16232" t="s">
        <v>17</v>
      </c>
      <c r="E16232" t="s">
        <v>12</v>
      </c>
      <c r="F16232">
        <v>41847543</v>
      </c>
      <c r="G16232">
        <v>41847557</v>
      </c>
      <c r="H16232">
        <v>41847543</v>
      </c>
      <c r="I16232">
        <v>41847557</v>
      </c>
    </row>
    <row r="16233" spans="1:9" x14ac:dyDescent="0.2">
      <c r="A16233" t="str">
        <f>"Pip4k2a"</f>
        <v>Pip4k2a</v>
      </c>
      <c r="B16233" t="s">
        <v>14</v>
      </c>
      <c r="C16233" t="s">
        <v>26</v>
      </c>
      <c r="D16233" t="s">
        <v>11</v>
      </c>
      <c r="E16233" t="s">
        <v>12</v>
      </c>
      <c r="F16233">
        <v>18998213</v>
      </c>
      <c r="G16233">
        <v>18998303</v>
      </c>
      <c r="H16233">
        <v>18998130</v>
      </c>
      <c r="I16233">
        <v>18998202</v>
      </c>
    </row>
    <row r="16234" spans="1:9" x14ac:dyDescent="0.2">
      <c r="A16234" t="str">
        <f>"Pip4k2b"</f>
        <v>Pip4k2b</v>
      </c>
      <c r="B16234" t="s">
        <v>14</v>
      </c>
      <c r="C16234" t="s">
        <v>27</v>
      </c>
      <c r="D16234" t="s">
        <v>11</v>
      </c>
      <c r="E16234" t="s">
        <v>12</v>
      </c>
      <c r="F16234">
        <v>97744659</v>
      </c>
      <c r="G16234">
        <v>97744774</v>
      </c>
      <c r="H16234">
        <v>97744613</v>
      </c>
      <c r="I16234">
        <v>97744653</v>
      </c>
    </row>
    <row r="16235" spans="1:9" x14ac:dyDescent="0.2">
      <c r="A16235" t="str">
        <f>"Pip4k2c"</f>
        <v>Pip4k2c</v>
      </c>
      <c r="B16235" t="s">
        <v>14</v>
      </c>
      <c r="C16235" t="s">
        <v>15</v>
      </c>
      <c r="D16235" t="s">
        <v>11</v>
      </c>
      <c r="E16235" t="s">
        <v>12</v>
      </c>
      <c r="F16235">
        <v>127211528</v>
      </c>
      <c r="G16235">
        <v>127211626</v>
      </c>
      <c r="H16235">
        <v>127211707</v>
      </c>
      <c r="I16235">
        <v>127211748</v>
      </c>
    </row>
    <row r="16236" spans="1:9" x14ac:dyDescent="0.2">
      <c r="A16236" t="str">
        <f>"Pip5k1a"</f>
        <v>Pip5k1a</v>
      </c>
      <c r="B16236" t="s">
        <v>14</v>
      </c>
      <c r="C16236" t="s">
        <v>22</v>
      </c>
      <c r="D16236" t="s">
        <v>11</v>
      </c>
      <c r="E16236" t="s">
        <v>12</v>
      </c>
      <c r="F16236">
        <v>95106818</v>
      </c>
      <c r="G16236">
        <v>95106897</v>
      </c>
      <c r="H16236">
        <v>95106907</v>
      </c>
      <c r="I16236">
        <v>95106922</v>
      </c>
    </row>
    <row r="16237" spans="1:9" x14ac:dyDescent="0.2">
      <c r="A16237" t="str">
        <f>"Pip5k1b"</f>
        <v>Pip5k1b</v>
      </c>
      <c r="B16237" t="s">
        <v>14</v>
      </c>
      <c r="C16237" t="s">
        <v>10</v>
      </c>
      <c r="D16237" t="s">
        <v>11</v>
      </c>
      <c r="E16237" t="s">
        <v>12</v>
      </c>
      <c r="F16237">
        <v>24556190</v>
      </c>
      <c r="G16237">
        <v>24556266</v>
      </c>
      <c r="H16237">
        <v>24555819</v>
      </c>
      <c r="I16237">
        <v>24555888</v>
      </c>
    </row>
    <row r="16238" spans="1:9" x14ac:dyDescent="0.2">
      <c r="A16238" t="str">
        <f>"Pip5k1c"</f>
        <v>Pip5k1c</v>
      </c>
      <c r="B16238" t="s">
        <v>14</v>
      </c>
      <c r="C16238" t="s">
        <v>15</v>
      </c>
      <c r="D16238" t="s">
        <v>17</v>
      </c>
      <c r="E16238" t="s">
        <v>12</v>
      </c>
      <c r="F16238">
        <v>81292961</v>
      </c>
      <c r="G16238">
        <v>81293005</v>
      </c>
      <c r="H16238">
        <v>81292794</v>
      </c>
      <c r="I16238">
        <v>81292833</v>
      </c>
    </row>
    <row r="16239" spans="1:9" x14ac:dyDescent="0.2">
      <c r="A16239" t="str">
        <f>"Pip5kl1"</f>
        <v>Pip5kl1</v>
      </c>
      <c r="B16239" t="s">
        <v>14</v>
      </c>
      <c r="C16239" t="s">
        <v>26</v>
      </c>
      <c r="D16239" t="s">
        <v>17</v>
      </c>
      <c r="E16239" t="s">
        <v>12</v>
      </c>
      <c r="F16239">
        <v>32575798</v>
      </c>
      <c r="G16239">
        <v>32575828</v>
      </c>
      <c r="H16239">
        <v>32575836</v>
      </c>
      <c r="I16239">
        <v>32575848</v>
      </c>
    </row>
    <row r="16240" spans="1:9" x14ac:dyDescent="0.2">
      <c r="A16240" t="str">
        <f>"Pipox"</f>
        <v>Pipox</v>
      </c>
      <c r="B16240" t="s">
        <v>14</v>
      </c>
      <c r="C16240" t="s">
        <v>27</v>
      </c>
      <c r="D16240" t="s">
        <v>11</v>
      </c>
      <c r="E16240" t="s">
        <v>12</v>
      </c>
      <c r="F16240">
        <v>77893780</v>
      </c>
      <c r="G16240">
        <v>77893838</v>
      </c>
      <c r="H16240">
        <v>77893843</v>
      </c>
      <c r="I16240">
        <v>77893854</v>
      </c>
    </row>
    <row r="16241" spans="1:9" x14ac:dyDescent="0.2">
      <c r="A16241" t="str">
        <f>"Pir"</f>
        <v>Pir</v>
      </c>
      <c r="B16241" t="s">
        <v>14</v>
      </c>
      <c r="C16241" t="s">
        <v>37</v>
      </c>
      <c r="D16241" t="s">
        <v>17</v>
      </c>
      <c r="E16241" t="s">
        <v>12</v>
      </c>
      <c r="F16241">
        <v>164269523</v>
      </c>
      <c r="G16241">
        <v>164269571</v>
      </c>
      <c r="H16241">
        <v>164269572</v>
      </c>
      <c r="I16241">
        <v>164269612</v>
      </c>
    </row>
    <row r="16242" spans="1:9" x14ac:dyDescent="0.2">
      <c r="A16242" t="str">
        <f>"Pira2"</f>
        <v>Pira2</v>
      </c>
      <c r="B16242" t="s">
        <v>5593</v>
      </c>
      <c r="C16242" t="s">
        <v>33</v>
      </c>
      <c r="D16242" t="s">
        <v>11</v>
      </c>
      <c r="E16242" t="s">
        <v>20</v>
      </c>
      <c r="F16242">
        <v>3845049</v>
      </c>
      <c r="G16242">
        <v>3845049</v>
      </c>
      <c r="H16242">
        <v>3845049</v>
      </c>
      <c r="I16242">
        <v>3845049</v>
      </c>
    </row>
    <row r="16243" spans="1:9" x14ac:dyDescent="0.2">
      <c r="A16243" t="str">
        <f>"Pirb"</f>
        <v>Pirb</v>
      </c>
      <c r="B16243" t="s">
        <v>5594</v>
      </c>
      <c r="C16243" t="s">
        <v>33</v>
      </c>
      <c r="D16243" t="s">
        <v>11</v>
      </c>
      <c r="E16243" t="s">
        <v>20</v>
      </c>
      <c r="F16243">
        <v>3720381</v>
      </c>
      <c r="G16243">
        <v>3720381</v>
      </c>
      <c r="H16243">
        <v>3720381</v>
      </c>
      <c r="I16243">
        <v>3720381</v>
      </c>
    </row>
    <row r="16244" spans="1:9" x14ac:dyDescent="0.2">
      <c r="A16244" t="str">
        <f>"Pirt"</f>
        <v>Pirt</v>
      </c>
      <c r="B16244" t="s">
        <v>14</v>
      </c>
      <c r="C16244" t="s">
        <v>27</v>
      </c>
      <c r="D16244" t="s">
        <v>17</v>
      </c>
      <c r="E16244" t="s">
        <v>12</v>
      </c>
      <c r="F16244">
        <v>66911983</v>
      </c>
      <c r="G16244">
        <v>66912003</v>
      </c>
      <c r="H16244">
        <v>66912004</v>
      </c>
      <c r="I16244">
        <v>66912044</v>
      </c>
    </row>
    <row r="16245" spans="1:9" x14ac:dyDescent="0.2">
      <c r="A16245" t="str">
        <f>"Pisd"</f>
        <v>Pisd</v>
      </c>
      <c r="B16245" t="s">
        <v>5595</v>
      </c>
      <c r="C16245" t="s">
        <v>46</v>
      </c>
      <c r="D16245" t="s">
        <v>11</v>
      </c>
      <c r="E16245" t="s">
        <v>35</v>
      </c>
      <c r="F16245">
        <v>32746344</v>
      </c>
      <c r="G16245">
        <v>32746354</v>
      </c>
      <c r="H16245">
        <v>32746272</v>
      </c>
      <c r="I16245">
        <v>32746313</v>
      </c>
    </row>
    <row r="16246" spans="1:9" x14ac:dyDescent="0.2">
      <c r="A16246" t="str">
        <f>"Pithd1"</f>
        <v>Pithd1</v>
      </c>
      <c r="B16246" t="s">
        <v>14</v>
      </c>
      <c r="C16246" t="s">
        <v>23</v>
      </c>
      <c r="D16246" t="s">
        <v>11</v>
      </c>
      <c r="E16246" t="s">
        <v>67</v>
      </c>
      <c r="F16246">
        <v>135987182</v>
      </c>
      <c r="G16246">
        <v>135987269</v>
      </c>
      <c r="H16246">
        <v>135987156</v>
      </c>
      <c r="I16246">
        <v>135987179</v>
      </c>
    </row>
    <row r="16247" spans="1:9" x14ac:dyDescent="0.2">
      <c r="A16247" t="str">
        <f>"Pitpna"</f>
        <v>Pitpna</v>
      </c>
      <c r="B16247" t="s">
        <v>14</v>
      </c>
      <c r="C16247" t="s">
        <v>27</v>
      </c>
      <c r="D16247" t="s">
        <v>17</v>
      </c>
      <c r="E16247" t="s">
        <v>12</v>
      </c>
      <c r="F16247">
        <v>75588064</v>
      </c>
      <c r="G16247">
        <v>75588151</v>
      </c>
      <c r="H16247">
        <v>75588153</v>
      </c>
      <c r="I16247">
        <v>75588177</v>
      </c>
    </row>
    <row r="16248" spans="1:9" x14ac:dyDescent="0.2">
      <c r="A16248" t="str">
        <f>"Pitpnb"</f>
        <v>Pitpnb</v>
      </c>
      <c r="B16248" t="s">
        <v>14</v>
      </c>
      <c r="C16248" t="s">
        <v>46</v>
      </c>
      <c r="D16248" t="s">
        <v>17</v>
      </c>
      <c r="E16248" t="s">
        <v>12</v>
      </c>
      <c r="F16248">
        <v>111330742</v>
      </c>
      <c r="G16248">
        <v>111330768</v>
      </c>
      <c r="H16248">
        <v>111330742</v>
      </c>
      <c r="I16248">
        <v>111330768</v>
      </c>
    </row>
    <row r="16249" spans="1:9" x14ac:dyDescent="0.2">
      <c r="A16249" t="str">
        <f>"Pitpnc1"</f>
        <v>Pitpnc1</v>
      </c>
      <c r="B16249" t="s">
        <v>14</v>
      </c>
      <c r="C16249" t="s">
        <v>27</v>
      </c>
      <c r="D16249" t="s">
        <v>11</v>
      </c>
      <c r="E16249" t="s">
        <v>12</v>
      </c>
      <c r="F16249">
        <v>107470713</v>
      </c>
      <c r="G16249">
        <v>107470726</v>
      </c>
      <c r="H16249">
        <v>107470740</v>
      </c>
      <c r="I16249">
        <v>107470755</v>
      </c>
    </row>
    <row r="16250" spans="1:9" x14ac:dyDescent="0.2">
      <c r="A16250" t="str">
        <f>"Pitpnm1"</f>
        <v>Pitpnm1</v>
      </c>
      <c r="B16250" t="s">
        <v>14</v>
      </c>
      <c r="C16250" t="s">
        <v>10</v>
      </c>
      <c r="D16250" t="s">
        <v>17</v>
      </c>
      <c r="E16250" t="s">
        <v>12</v>
      </c>
      <c r="F16250">
        <v>4100000</v>
      </c>
      <c r="G16250">
        <v>4100083</v>
      </c>
      <c r="H16250">
        <v>4100000</v>
      </c>
      <c r="I16250">
        <v>4100083</v>
      </c>
    </row>
    <row r="16251" spans="1:9" x14ac:dyDescent="0.2">
      <c r="A16251" t="str">
        <f>"Pitpnm2"</f>
        <v>Pitpnm2</v>
      </c>
      <c r="B16251" t="s">
        <v>9</v>
      </c>
      <c r="C16251" t="s">
        <v>46</v>
      </c>
      <c r="D16251" t="s">
        <v>11</v>
      </c>
      <c r="E16251" t="s">
        <v>12</v>
      </c>
      <c r="F16251">
        <v>124249784</v>
      </c>
      <c r="G16251">
        <v>124249827</v>
      </c>
      <c r="H16251">
        <v>124249784</v>
      </c>
      <c r="I16251">
        <v>124249827</v>
      </c>
    </row>
    <row r="16252" spans="1:9" x14ac:dyDescent="0.2">
      <c r="A16252" t="str">
        <f>"Pitpnm2"</f>
        <v>Pitpnm2</v>
      </c>
      <c r="B16252" t="s">
        <v>13</v>
      </c>
      <c r="C16252" t="s">
        <v>46</v>
      </c>
      <c r="D16252" t="s">
        <v>11</v>
      </c>
      <c r="E16252" t="s">
        <v>12</v>
      </c>
      <c r="F16252">
        <v>124187150</v>
      </c>
      <c r="G16252">
        <v>124187225</v>
      </c>
      <c r="H16252">
        <v>124187150</v>
      </c>
      <c r="I16252">
        <v>124187225</v>
      </c>
    </row>
    <row r="16253" spans="1:9" x14ac:dyDescent="0.2">
      <c r="A16253" t="str">
        <f>"Pitpnm3"</f>
        <v>Pitpnm3</v>
      </c>
      <c r="B16253" t="s">
        <v>14</v>
      </c>
      <c r="C16253" t="s">
        <v>27</v>
      </c>
      <c r="D16253" t="s">
        <v>11</v>
      </c>
      <c r="E16253" t="s">
        <v>12</v>
      </c>
      <c r="F16253">
        <v>72135805</v>
      </c>
      <c r="G16253">
        <v>72135836</v>
      </c>
      <c r="H16253">
        <v>72135737</v>
      </c>
      <c r="I16253">
        <v>72135775</v>
      </c>
    </row>
    <row r="16254" spans="1:9" x14ac:dyDescent="0.2">
      <c r="A16254" t="str">
        <f>"Pitrm1"</f>
        <v>Pitrm1</v>
      </c>
      <c r="B16254" t="s">
        <v>14</v>
      </c>
      <c r="C16254" t="s">
        <v>39</v>
      </c>
      <c r="D16254" t="s">
        <v>17</v>
      </c>
      <c r="E16254" t="s">
        <v>12</v>
      </c>
      <c r="F16254">
        <v>6548154</v>
      </c>
      <c r="G16254">
        <v>6548174</v>
      </c>
      <c r="H16254">
        <v>6548135</v>
      </c>
      <c r="I16254">
        <v>6548146</v>
      </c>
    </row>
    <row r="16255" spans="1:9" x14ac:dyDescent="0.2">
      <c r="A16255" t="str">
        <f>"Pitx1"</f>
        <v>Pitx1</v>
      </c>
      <c r="B16255" t="s">
        <v>14</v>
      </c>
      <c r="C16255" t="s">
        <v>39</v>
      </c>
      <c r="D16255" t="s">
        <v>11</v>
      </c>
      <c r="E16255" t="s">
        <v>12</v>
      </c>
      <c r="F16255">
        <v>55831230</v>
      </c>
      <c r="G16255">
        <v>55831261</v>
      </c>
      <c r="H16255">
        <v>55831263</v>
      </c>
      <c r="I16255">
        <v>55831280</v>
      </c>
    </row>
    <row r="16256" spans="1:9" x14ac:dyDescent="0.2">
      <c r="A16256" t="str">
        <f>"Pitx2"</f>
        <v>Pitx2</v>
      </c>
      <c r="B16256" t="s">
        <v>14</v>
      </c>
      <c r="C16256" t="s">
        <v>22</v>
      </c>
      <c r="D16256" t="s">
        <v>17</v>
      </c>
      <c r="E16256" t="s">
        <v>12</v>
      </c>
      <c r="F16256">
        <v>129213950</v>
      </c>
      <c r="G16256">
        <v>129213972</v>
      </c>
      <c r="H16256">
        <v>129214269</v>
      </c>
      <c r="I16256">
        <v>129214305</v>
      </c>
    </row>
    <row r="16257" spans="1:9" x14ac:dyDescent="0.2">
      <c r="A16257" t="str">
        <f>"Pitx3"</f>
        <v>Pitx3</v>
      </c>
      <c r="B16257" t="s">
        <v>14</v>
      </c>
      <c r="C16257" t="s">
        <v>10</v>
      </c>
      <c r="D16257" t="s">
        <v>11</v>
      </c>
      <c r="E16257" t="s">
        <v>12</v>
      </c>
      <c r="F16257">
        <v>46148369</v>
      </c>
      <c r="G16257">
        <v>46148386</v>
      </c>
      <c r="H16257">
        <v>46148249</v>
      </c>
      <c r="I16257">
        <v>46148255</v>
      </c>
    </row>
    <row r="16258" spans="1:9" x14ac:dyDescent="0.2">
      <c r="A16258" t="str">
        <f>"Piwil1"</f>
        <v>Piwil1</v>
      </c>
      <c r="B16258" t="s">
        <v>14</v>
      </c>
      <c r="C16258" t="s">
        <v>46</v>
      </c>
      <c r="D16258" t="s">
        <v>17</v>
      </c>
      <c r="E16258" t="s">
        <v>12</v>
      </c>
      <c r="F16258">
        <v>128736168</v>
      </c>
      <c r="G16258">
        <v>128736187</v>
      </c>
      <c r="H16258">
        <v>128736125</v>
      </c>
      <c r="I16258">
        <v>128736132</v>
      </c>
    </row>
    <row r="16259" spans="1:9" x14ac:dyDescent="0.2">
      <c r="A16259" t="str">
        <f>"Piwil2"</f>
        <v>Piwil2</v>
      </c>
      <c r="B16259" t="s">
        <v>14</v>
      </c>
      <c r="C16259" t="s">
        <v>41</v>
      </c>
      <c r="D16259" t="s">
        <v>11</v>
      </c>
      <c r="E16259" t="s">
        <v>12</v>
      </c>
      <c r="F16259">
        <v>70429371</v>
      </c>
      <c r="G16259">
        <v>70429414</v>
      </c>
      <c r="H16259">
        <v>70429072</v>
      </c>
      <c r="I16259">
        <v>70429096</v>
      </c>
    </row>
    <row r="16260" spans="1:9" x14ac:dyDescent="0.2">
      <c r="A16260" t="str">
        <f>"Piwil4"</f>
        <v>Piwil4</v>
      </c>
      <c r="B16260" t="s">
        <v>14</v>
      </c>
      <c r="C16260" t="s">
        <v>24</v>
      </c>
      <c r="D16260" t="s">
        <v>11</v>
      </c>
      <c r="E16260" t="s">
        <v>12</v>
      </c>
      <c r="F16260">
        <v>14740666</v>
      </c>
      <c r="G16260">
        <v>14740677</v>
      </c>
      <c r="H16260">
        <v>14740666</v>
      </c>
      <c r="I16260">
        <v>14740677</v>
      </c>
    </row>
    <row r="16261" spans="1:9" x14ac:dyDescent="0.2">
      <c r="A16261" t="str">
        <f>"Pja1"</f>
        <v>Pja1</v>
      </c>
      <c r="B16261" t="s">
        <v>14</v>
      </c>
      <c r="C16261" t="s">
        <v>37</v>
      </c>
      <c r="D16261" t="s">
        <v>11</v>
      </c>
      <c r="E16261" t="s">
        <v>12</v>
      </c>
      <c r="F16261">
        <v>99470676</v>
      </c>
      <c r="G16261">
        <v>99470748</v>
      </c>
      <c r="H16261">
        <v>99470676</v>
      </c>
      <c r="I16261">
        <v>99470748</v>
      </c>
    </row>
    <row r="16262" spans="1:9" x14ac:dyDescent="0.2">
      <c r="A16262" t="str">
        <f>"Pja2"</f>
        <v>Pja2</v>
      </c>
      <c r="B16262" t="s">
        <v>14</v>
      </c>
      <c r="C16262" t="s">
        <v>28</v>
      </c>
      <c r="D16262" t="s">
        <v>11</v>
      </c>
      <c r="E16262" t="s">
        <v>12</v>
      </c>
      <c r="F16262">
        <v>64331817</v>
      </c>
      <c r="G16262">
        <v>64331957</v>
      </c>
      <c r="H16262">
        <v>64331965</v>
      </c>
      <c r="I16262">
        <v>64331977</v>
      </c>
    </row>
    <row r="16263" spans="1:9" x14ac:dyDescent="0.2">
      <c r="A16263" t="str">
        <f>"Pkd1"</f>
        <v>Pkd1</v>
      </c>
      <c r="B16263" t="s">
        <v>14</v>
      </c>
      <c r="C16263" t="s">
        <v>28</v>
      </c>
      <c r="D16263" t="s">
        <v>17</v>
      </c>
      <c r="E16263" t="s">
        <v>12</v>
      </c>
      <c r="F16263">
        <v>24550045</v>
      </c>
      <c r="G16263">
        <v>24550062</v>
      </c>
      <c r="H16263">
        <v>24550064</v>
      </c>
      <c r="I16263">
        <v>24550098</v>
      </c>
    </row>
    <row r="16264" spans="1:9" x14ac:dyDescent="0.2">
      <c r="A16264" t="str">
        <f>"Pkd1l1"</f>
        <v>Pkd1l1</v>
      </c>
      <c r="B16264" t="s">
        <v>5596</v>
      </c>
      <c r="C16264" t="s">
        <v>27</v>
      </c>
      <c r="D16264" t="s">
        <v>11</v>
      </c>
      <c r="E16264" t="s">
        <v>20</v>
      </c>
      <c r="F16264">
        <v>8973265</v>
      </c>
      <c r="G16264">
        <v>8973265</v>
      </c>
      <c r="H16264">
        <v>8973265</v>
      </c>
      <c r="I16264">
        <v>8973265</v>
      </c>
    </row>
    <row r="16265" spans="1:9" x14ac:dyDescent="0.2">
      <c r="A16265" t="str">
        <f>"Pkd1l1"</f>
        <v>Pkd1l1</v>
      </c>
      <c r="B16265" t="s">
        <v>5597</v>
      </c>
      <c r="C16265" t="s">
        <v>27</v>
      </c>
      <c r="D16265" t="s">
        <v>11</v>
      </c>
      <c r="E16265" t="s">
        <v>20</v>
      </c>
      <c r="F16265">
        <v>8950538</v>
      </c>
      <c r="G16265">
        <v>8950538</v>
      </c>
      <c r="H16265">
        <v>8950538</v>
      </c>
      <c r="I16265">
        <v>8950538</v>
      </c>
    </row>
    <row r="16266" spans="1:9" x14ac:dyDescent="0.2">
      <c r="A16266" t="str">
        <f>"Pkd1l2"</f>
        <v>Pkd1l2</v>
      </c>
      <c r="B16266" t="s">
        <v>5598</v>
      </c>
      <c r="C16266" t="s">
        <v>30</v>
      </c>
      <c r="D16266" t="s">
        <v>11</v>
      </c>
      <c r="E16266" t="s">
        <v>20</v>
      </c>
      <c r="F16266">
        <v>117082448</v>
      </c>
      <c r="G16266">
        <v>117082448</v>
      </c>
      <c r="H16266">
        <v>117082448</v>
      </c>
      <c r="I16266">
        <v>117082448</v>
      </c>
    </row>
    <row r="16267" spans="1:9" x14ac:dyDescent="0.2">
      <c r="A16267" t="str">
        <f>"Pkd1l3"</f>
        <v>Pkd1l3</v>
      </c>
      <c r="B16267" t="s">
        <v>14</v>
      </c>
      <c r="C16267" t="s">
        <v>30</v>
      </c>
      <c r="D16267" t="s">
        <v>17</v>
      </c>
      <c r="E16267" t="s">
        <v>12</v>
      </c>
      <c r="F16267">
        <v>109614228</v>
      </c>
      <c r="G16267">
        <v>109614239</v>
      </c>
      <c r="H16267">
        <v>109614417</v>
      </c>
      <c r="I16267">
        <v>109614421</v>
      </c>
    </row>
    <row r="16268" spans="1:9" x14ac:dyDescent="0.2">
      <c r="A16268" t="str">
        <f>"Pkd2"</f>
        <v>Pkd2</v>
      </c>
      <c r="B16268" t="s">
        <v>14</v>
      </c>
      <c r="C16268" t="s">
        <v>46</v>
      </c>
      <c r="D16268" t="s">
        <v>17</v>
      </c>
      <c r="E16268" t="s">
        <v>12</v>
      </c>
      <c r="F16268">
        <v>104459539</v>
      </c>
      <c r="G16268">
        <v>104459580</v>
      </c>
      <c r="H16268">
        <v>104459589</v>
      </c>
      <c r="I16268">
        <v>104459610</v>
      </c>
    </row>
    <row r="16269" spans="1:9" x14ac:dyDescent="0.2">
      <c r="A16269" t="str">
        <f>"Pkd2l1"</f>
        <v>Pkd2l1</v>
      </c>
      <c r="B16269" t="s">
        <v>14</v>
      </c>
      <c r="C16269" t="s">
        <v>10</v>
      </c>
      <c r="D16269" t="s">
        <v>11</v>
      </c>
      <c r="E16269" t="s">
        <v>12</v>
      </c>
      <c r="F16269">
        <v>44192414</v>
      </c>
      <c r="G16269">
        <v>44192423</v>
      </c>
      <c r="H16269">
        <v>44192376</v>
      </c>
      <c r="I16269">
        <v>44192379</v>
      </c>
    </row>
    <row r="16270" spans="1:9" x14ac:dyDescent="0.2">
      <c r="A16270" t="str">
        <f>"Pkd2l2"</f>
        <v>Pkd2l2</v>
      </c>
      <c r="B16270" t="s">
        <v>14</v>
      </c>
      <c r="C16270" t="s">
        <v>43</v>
      </c>
      <c r="D16270" t="s">
        <v>17</v>
      </c>
      <c r="E16270" t="s">
        <v>12</v>
      </c>
      <c r="F16270">
        <v>34409415</v>
      </c>
      <c r="G16270">
        <v>34409458</v>
      </c>
      <c r="H16270">
        <v>34409397</v>
      </c>
      <c r="I16270">
        <v>34409407</v>
      </c>
    </row>
    <row r="16271" spans="1:9" x14ac:dyDescent="0.2">
      <c r="A16271" t="str">
        <f>"Pkdcc"</f>
        <v>Pkdcc</v>
      </c>
      <c r="B16271" t="s">
        <v>14</v>
      </c>
      <c r="C16271" t="s">
        <v>28</v>
      </c>
      <c r="D16271" t="s">
        <v>17</v>
      </c>
      <c r="E16271" t="s">
        <v>12</v>
      </c>
      <c r="F16271">
        <v>83215271</v>
      </c>
      <c r="G16271">
        <v>83215289</v>
      </c>
      <c r="H16271">
        <v>83215167</v>
      </c>
      <c r="I16271">
        <v>83215198</v>
      </c>
    </row>
    <row r="16272" spans="1:9" x14ac:dyDescent="0.2">
      <c r="A16272" t="str">
        <f>"Pkdrej"</f>
        <v>Pkdrej</v>
      </c>
      <c r="B16272" t="s">
        <v>14</v>
      </c>
      <c r="C16272" t="s">
        <v>25</v>
      </c>
      <c r="D16272" t="s">
        <v>11</v>
      </c>
      <c r="E16272" t="s">
        <v>12</v>
      </c>
      <c r="F16272">
        <v>85821757</v>
      </c>
      <c r="G16272">
        <v>85821768</v>
      </c>
      <c r="H16272">
        <v>85821787</v>
      </c>
      <c r="I16272">
        <v>85821801</v>
      </c>
    </row>
    <row r="16273" spans="1:9" x14ac:dyDescent="0.2">
      <c r="A16273" t="str">
        <f>"Pkhd1"</f>
        <v>Pkhd1</v>
      </c>
      <c r="B16273" t="s">
        <v>14</v>
      </c>
      <c r="C16273" t="s">
        <v>19</v>
      </c>
      <c r="D16273" t="s">
        <v>11</v>
      </c>
      <c r="E16273" t="s">
        <v>12</v>
      </c>
      <c r="F16273">
        <v>20617992</v>
      </c>
      <c r="G16273">
        <v>20618089</v>
      </c>
      <c r="H16273">
        <v>20617973</v>
      </c>
      <c r="I16273">
        <v>20617990</v>
      </c>
    </row>
    <row r="16274" spans="1:9" x14ac:dyDescent="0.2">
      <c r="A16274" t="str">
        <f>"Pkhd1l1"</f>
        <v>Pkhd1l1</v>
      </c>
      <c r="B16274" t="s">
        <v>14</v>
      </c>
      <c r="C16274" t="s">
        <v>25</v>
      </c>
      <c r="D16274" t="s">
        <v>17</v>
      </c>
      <c r="E16274" t="s">
        <v>12</v>
      </c>
      <c r="F16274">
        <v>44457445</v>
      </c>
      <c r="G16274">
        <v>44457486</v>
      </c>
      <c r="H16274">
        <v>44457498</v>
      </c>
      <c r="I16274">
        <v>44457517</v>
      </c>
    </row>
    <row r="16275" spans="1:9" x14ac:dyDescent="0.2">
      <c r="A16275" t="str">
        <f>"Pkia"</f>
        <v>Pkia</v>
      </c>
      <c r="B16275" t="s">
        <v>14</v>
      </c>
      <c r="C16275" t="s">
        <v>22</v>
      </c>
      <c r="D16275" t="s">
        <v>17</v>
      </c>
      <c r="E16275" t="s">
        <v>12</v>
      </c>
      <c r="F16275">
        <v>7366598</v>
      </c>
      <c r="G16275">
        <v>7366641</v>
      </c>
      <c r="H16275">
        <v>7366673</v>
      </c>
      <c r="I16275">
        <v>7366694</v>
      </c>
    </row>
    <row r="16276" spans="1:9" x14ac:dyDescent="0.2">
      <c r="A16276" t="str">
        <f>"Pkib"</f>
        <v>Pkib</v>
      </c>
      <c r="B16276" t="s">
        <v>9</v>
      </c>
      <c r="C16276" t="s">
        <v>15</v>
      </c>
      <c r="D16276" t="s">
        <v>17</v>
      </c>
      <c r="E16276" t="s">
        <v>12</v>
      </c>
      <c r="F16276">
        <v>57632062</v>
      </c>
      <c r="G16276">
        <v>57632101</v>
      </c>
      <c r="H16276">
        <v>57632062</v>
      </c>
      <c r="I16276">
        <v>57632101</v>
      </c>
    </row>
    <row r="16277" spans="1:9" x14ac:dyDescent="0.2">
      <c r="A16277" t="str">
        <f>"Pkib"</f>
        <v>Pkib</v>
      </c>
      <c r="B16277" t="s">
        <v>13</v>
      </c>
      <c r="C16277" t="s">
        <v>15</v>
      </c>
      <c r="D16277" t="s">
        <v>17</v>
      </c>
      <c r="E16277" t="s">
        <v>12</v>
      </c>
      <c r="F16277">
        <v>57645861</v>
      </c>
      <c r="G16277">
        <v>57645886</v>
      </c>
      <c r="H16277">
        <v>57645861</v>
      </c>
      <c r="I16277">
        <v>57645886</v>
      </c>
    </row>
    <row r="16278" spans="1:9" x14ac:dyDescent="0.2">
      <c r="A16278" t="str">
        <f>"Pkig"</f>
        <v>Pkig</v>
      </c>
      <c r="B16278" t="s">
        <v>9</v>
      </c>
      <c r="C16278" t="s">
        <v>26</v>
      </c>
      <c r="D16278" t="s">
        <v>17</v>
      </c>
      <c r="E16278" t="s">
        <v>12</v>
      </c>
      <c r="F16278">
        <v>163658370</v>
      </c>
      <c r="G16278">
        <v>163658510</v>
      </c>
      <c r="H16278">
        <v>163658370</v>
      </c>
      <c r="I16278">
        <v>163658510</v>
      </c>
    </row>
    <row r="16279" spans="1:9" x14ac:dyDescent="0.2">
      <c r="A16279" t="str">
        <f>"Pkig"</f>
        <v>Pkig</v>
      </c>
      <c r="B16279" t="s">
        <v>13</v>
      </c>
      <c r="C16279" t="s">
        <v>26</v>
      </c>
      <c r="D16279" t="s">
        <v>17</v>
      </c>
      <c r="E16279" t="s">
        <v>12</v>
      </c>
      <c r="F16279">
        <v>163694015</v>
      </c>
      <c r="G16279">
        <v>163694058</v>
      </c>
      <c r="H16279">
        <v>163694015</v>
      </c>
      <c r="I16279">
        <v>163694058</v>
      </c>
    </row>
    <row r="16280" spans="1:9" x14ac:dyDescent="0.2">
      <c r="A16280" t="str">
        <f>"Pklr"</f>
        <v>Pklr</v>
      </c>
      <c r="B16280" t="s">
        <v>14</v>
      </c>
      <c r="C16280" t="s">
        <v>22</v>
      </c>
      <c r="D16280" t="s">
        <v>17</v>
      </c>
      <c r="E16280" t="s">
        <v>12</v>
      </c>
      <c r="F16280">
        <v>89136133</v>
      </c>
      <c r="G16280">
        <v>89136183</v>
      </c>
      <c r="H16280">
        <v>89136608</v>
      </c>
      <c r="I16280">
        <v>89136629</v>
      </c>
    </row>
    <row r="16281" spans="1:9" x14ac:dyDescent="0.2">
      <c r="A16281" t="str">
        <f>"Pkm"</f>
        <v>Pkm</v>
      </c>
      <c r="B16281" t="s">
        <v>14</v>
      </c>
      <c r="C16281" t="s">
        <v>24</v>
      </c>
      <c r="D16281" t="s">
        <v>17</v>
      </c>
      <c r="E16281" t="s">
        <v>67</v>
      </c>
      <c r="F16281">
        <v>59656548</v>
      </c>
      <c r="G16281">
        <v>59656584</v>
      </c>
      <c r="H16281">
        <v>59656591</v>
      </c>
      <c r="I16281">
        <v>59656599</v>
      </c>
    </row>
    <row r="16282" spans="1:9" x14ac:dyDescent="0.2">
      <c r="A16282" t="str">
        <f>"Pkmyt1"</f>
        <v>Pkmyt1</v>
      </c>
      <c r="B16282" t="s">
        <v>14</v>
      </c>
      <c r="C16282" t="s">
        <v>28</v>
      </c>
      <c r="D16282" t="s">
        <v>17</v>
      </c>
      <c r="E16282" t="s">
        <v>12</v>
      </c>
      <c r="F16282">
        <v>23726428</v>
      </c>
      <c r="G16282">
        <v>23726474</v>
      </c>
      <c r="H16282">
        <v>23726476</v>
      </c>
      <c r="I16282">
        <v>23726493</v>
      </c>
    </row>
    <row r="16283" spans="1:9" x14ac:dyDescent="0.2">
      <c r="A16283" t="str">
        <f>"Pkn1"</f>
        <v>Pkn1</v>
      </c>
      <c r="B16283" t="s">
        <v>9</v>
      </c>
      <c r="C16283" t="s">
        <v>30</v>
      </c>
      <c r="D16283" t="s">
        <v>11</v>
      </c>
      <c r="E16283" t="s">
        <v>12</v>
      </c>
      <c r="F16283">
        <v>83699095</v>
      </c>
      <c r="G16283">
        <v>83699206</v>
      </c>
      <c r="H16283">
        <v>83699095</v>
      </c>
      <c r="I16283">
        <v>83699206</v>
      </c>
    </row>
    <row r="16284" spans="1:9" x14ac:dyDescent="0.2">
      <c r="A16284" t="str">
        <f>"Pkn1"</f>
        <v>Pkn1</v>
      </c>
      <c r="B16284" t="s">
        <v>13</v>
      </c>
      <c r="C16284" t="s">
        <v>30</v>
      </c>
      <c r="D16284" t="s">
        <v>11</v>
      </c>
      <c r="E16284" t="s">
        <v>12</v>
      </c>
      <c r="F16284">
        <v>83694004</v>
      </c>
      <c r="G16284">
        <v>83694044</v>
      </c>
      <c r="H16284">
        <v>83694004</v>
      </c>
      <c r="I16284">
        <v>83694044</v>
      </c>
    </row>
    <row r="16285" spans="1:9" x14ac:dyDescent="0.2">
      <c r="A16285" t="str">
        <f>"Pkn2"</f>
        <v>Pkn2</v>
      </c>
      <c r="B16285" t="s">
        <v>14</v>
      </c>
      <c r="C16285" t="s">
        <v>22</v>
      </c>
      <c r="D16285" t="s">
        <v>11</v>
      </c>
      <c r="E16285" t="s">
        <v>12</v>
      </c>
      <c r="F16285">
        <v>142881942</v>
      </c>
      <c r="G16285">
        <v>142882017</v>
      </c>
      <c r="H16285">
        <v>142881917</v>
      </c>
      <c r="I16285">
        <v>142881939</v>
      </c>
    </row>
    <row r="16286" spans="1:9" x14ac:dyDescent="0.2">
      <c r="A16286" t="str">
        <f>"Pkn3"</f>
        <v>Pkn3</v>
      </c>
      <c r="B16286" t="s">
        <v>14</v>
      </c>
      <c r="C16286" t="s">
        <v>26</v>
      </c>
      <c r="D16286" t="s">
        <v>17</v>
      </c>
      <c r="E16286" t="s">
        <v>12</v>
      </c>
      <c r="F16286">
        <v>30077706</v>
      </c>
      <c r="G16286">
        <v>30077747</v>
      </c>
      <c r="H16286">
        <v>30078704</v>
      </c>
      <c r="I16286">
        <v>30078733</v>
      </c>
    </row>
    <row r="16287" spans="1:9" x14ac:dyDescent="0.2">
      <c r="A16287" t="str">
        <f>"Pknox1"</f>
        <v>Pknox1</v>
      </c>
      <c r="B16287" t="s">
        <v>14</v>
      </c>
      <c r="C16287" t="s">
        <v>28</v>
      </c>
      <c r="D16287" t="s">
        <v>17</v>
      </c>
      <c r="E16287" t="s">
        <v>12</v>
      </c>
      <c r="F16287">
        <v>31564749</v>
      </c>
      <c r="G16287">
        <v>31564854</v>
      </c>
      <c r="H16287">
        <v>31564855</v>
      </c>
      <c r="I16287">
        <v>31564873</v>
      </c>
    </row>
    <row r="16288" spans="1:9" x14ac:dyDescent="0.2">
      <c r="A16288" t="str">
        <f>"Pknox2"</f>
        <v>Pknox2</v>
      </c>
      <c r="B16288" t="s">
        <v>14</v>
      </c>
      <c r="C16288" t="s">
        <v>24</v>
      </c>
      <c r="D16288" t="s">
        <v>11</v>
      </c>
      <c r="E16288" t="s">
        <v>12</v>
      </c>
      <c r="F16288">
        <v>37147257</v>
      </c>
      <c r="G16288">
        <v>37147323</v>
      </c>
      <c r="H16288">
        <v>37147324</v>
      </c>
      <c r="I16288">
        <v>37147329</v>
      </c>
    </row>
    <row r="16289" spans="1:9" x14ac:dyDescent="0.2">
      <c r="A16289" t="str">
        <f>"Pkp1"</f>
        <v>Pkp1</v>
      </c>
      <c r="B16289" t="s">
        <v>14</v>
      </c>
      <c r="C16289" t="s">
        <v>19</v>
      </c>
      <c r="D16289" t="s">
        <v>11</v>
      </c>
      <c r="E16289" t="s">
        <v>12</v>
      </c>
      <c r="F16289">
        <v>135919199</v>
      </c>
      <c r="G16289">
        <v>135919212</v>
      </c>
      <c r="H16289">
        <v>135919321</v>
      </c>
      <c r="I16289">
        <v>135919339</v>
      </c>
    </row>
    <row r="16290" spans="1:9" x14ac:dyDescent="0.2">
      <c r="A16290" t="str">
        <f>"Pkp2"</f>
        <v>Pkp2</v>
      </c>
      <c r="B16290" t="s">
        <v>14</v>
      </c>
      <c r="C16290" t="s">
        <v>31</v>
      </c>
      <c r="D16290" t="s">
        <v>17</v>
      </c>
      <c r="E16290" t="s">
        <v>12</v>
      </c>
      <c r="F16290">
        <v>16213325</v>
      </c>
      <c r="G16290">
        <v>16213364</v>
      </c>
      <c r="H16290">
        <v>16213126</v>
      </c>
      <c r="I16290">
        <v>16213153</v>
      </c>
    </row>
    <row r="16291" spans="1:9" x14ac:dyDescent="0.2">
      <c r="A16291" t="str">
        <f>"Pkp3"</f>
        <v>Pkp3</v>
      </c>
      <c r="B16291" t="s">
        <v>14</v>
      </c>
      <c r="C16291" t="s">
        <v>33</v>
      </c>
      <c r="D16291" t="s">
        <v>17</v>
      </c>
      <c r="E16291" t="s">
        <v>12</v>
      </c>
      <c r="F16291">
        <v>141079759</v>
      </c>
      <c r="G16291">
        <v>141079781</v>
      </c>
      <c r="H16291">
        <v>141079784</v>
      </c>
      <c r="I16291">
        <v>141079806</v>
      </c>
    </row>
    <row r="16292" spans="1:9" x14ac:dyDescent="0.2">
      <c r="A16292" t="str">
        <f>"Pkp4"</f>
        <v>Pkp4</v>
      </c>
      <c r="B16292" t="s">
        <v>14</v>
      </c>
      <c r="C16292" t="s">
        <v>26</v>
      </c>
      <c r="D16292" t="s">
        <v>17</v>
      </c>
      <c r="E16292" t="s">
        <v>12</v>
      </c>
      <c r="F16292">
        <v>59160838</v>
      </c>
      <c r="G16292">
        <v>59160881</v>
      </c>
      <c r="H16292">
        <v>59160792</v>
      </c>
      <c r="I16292">
        <v>59160825</v>
      </c>
    </row>
    <row r="16293" spans="1:9" x14ac:dyDescent="0.2">
      <c r="A16293" t="str">
        <f>"Pla1a"</f>
        <v>Pla1a</v>
      </c>
      <c r="B16293" t="s">
        <v>14</v>
      </c>
      <c r="C16293" t="s">
        <v>31</v>
      </c>
      <c r="D16293" t="s">
        <v>11</v>
      </c>
      <c r="E16293" t="s">
        <v>12</v>
      </c>
      <c r="F16293">
        <v>38432879</v>
      </c>
      <c r="G16293">
        <v>38432919</v>
      </c>
      <c r="H16293">
        <v>38432879</v>
      </c>
      <c r="I16293">
        <v>38432919</v>
      </c>
    </row>
    <row r="16294" spans="1:9" x14ac:dyDescent="0.2">
      <c r="A16294" t="str">
        <f>"Pla2g10"</f>
        <v>Pla2g10</v>
      </c>
      <c r="B16294" t="s">
        <v>14</v>
      </c>
      <c r="C16294" t="s">
        <v>31</v>
      </c>
      <c r="D16294" t="s">
        <v>11</v>
      </c>
      <c r="E16294" t="s">
        <v>12</v>
      </c>
      <c r="F16294">
        <v>13730457</v>
      </c>
      <c r="G16294">
        <v>13730470</v>
      </c>
      <c r="H16294">
        <v>13730970</v>
      </c>
      <c r="I16294">
        <v>13730988</v>
      </c>
    </row>
    <row r="16295" spans="1:9" x14ac:dyDescent="0.2">
      <c r="A16295" t="str">
        <f>"Pla2g12a"</f>
        <v>Pla2g12a</v>
      </c>
      <c r="B16295" t="s">
        <v>14</v>
      </c>
      <c r="C16295" t="s">
        <v>22</v>
      </c>
      <c r="D16295" t="s">
        <v>17</v>
      </c>
      <c r="E16295" t="s">
        <v>12</v>
      </c>
      <c r="F16295">
        <v>129878571</v>
      </c>
      <c r="G16295">
        <v>129878704</v>
      </c>
      <c r="H16295">
        <v>129878571</v>
      </c>
      <c r="I16295">
        <v>129878704</v>
      </c>
    </row>
    <row r="16296" spans="1:9" x14ac:dyDescent="0.2">
      <c r="A16296" t="str">
        <f>"Pla2g12b"</f>
        <v>Pla2g12b</v>
      </c>
      <c r="B16296" t="s">
        <v>14</v>
      </c>
      <c r="C16296" t="s">
        <v>15</v>
      </c>
      <c r="D16296" t="s">
        <v>17</v>
      </c>
      <c r="E16296" t="s">
        <v>12</v>
      </c>
      <c r="F16296">
        <v>59403644</v>
      </c>
      <c r="G16296">
        <v>59403669</v>
      </c>
      <c r="H16296">
        <v>59403676</v>
      </c>
      <c r="I16296">
        <v>59403687</v>
      </c>
    </row>
    <row r="16297" spans="1:9" x14ac:dyDescent="0.2">
      <c r="A16297" t="str">
        <f>"Pla2g15"</f>
        <v>Pla2g15</v>
      </c>
      <c r="B16297" t="s">
        <v>14</v>
      </c>
      <c r="C16297" t="s">
        <v>30</v>
      </c>
      <c r="D16297" t="s">
        <v>17</v>
      </c>
      <c r="E16297" t="s">
        <v>12</v>
      </c>
      <c r="F16297">
        <v>106150359</v>
      </c>
      <c r="G16297">
        <v>106150417</v>
      </c>
      <c r="H16297">
        <v>106150423</v>
      </c>
      <c r="I16297">
        <v>106150438</v>
      </c>
    </row>
    <row r="16298" spans="1:9" x14ac:dyDescent="0.2">
      <c r="A16298" t="str">
        <f>"Pla2g16"</f>
        <v>Pla2g16</v>
      </c>
      <c r="B16298" t="s">
        <v>14</v>
      </c>
      <c r="C16298" t="s">
        <v>10</v>
      </c>
      <c r="D16298" t="s">
        <v>17</v>
      </c>
      <c r="E16298" t="s">
        <v>12</v>
      </c>
      <c r="F16298">
        <v>7557473</v>
      </c>
      <c r="G16298">
        <v>7557497</v>
      </c>
      <c r="H16298">
        <v>7557500</v>
      </c>
      <c r="I16298">
        <v>7557513</v>
      </c>
    </row>
    <row r="16299" spans="1:9" x14ac:dyDescent="0.2">
      <c r="A16299" t="str">
        <f>"Pla2g1b"</f>
        <v>Pla2g1b</v>
      </c>
      <c r="B16299" t="s">
        <v>14</v>
      </c>
      <c r="C16299" t="s">
        <v>46</v>
      </c>
      <c r="D16299" t="s">
        <v>17</v>
      </c>
      <c r="E16299" t="s">
        <v>12</v>
      </c>
      <c r="F16299">
        <v>115466234</v>
      </c>
      <c r="G16299">
        <v>115466294</v>
      </c>
      <c r="H16299">
        <v>115466152</v>
      </c>
      <c r="I16299">
        <v>115466159</v>
      </c>
    </row>
    <row r="16300" spans="1:9" x14ac:dyDescent="0.2">
      <c r="A16300" t="str">
        <f>"Pla2g2c"</f>
        <v>Pla2g2c</v>
      </c>
      <c r="B16300" t="s">
        <v>14</v>
      </c>
      <c r="C16300" t="s">
        <v>23</v>
      </c>
      <c r="D16300" t="s">
        <v>17</v>
      </c>
      <c r="E16300" t="s">
        <v>12</v>
      </c>
      <c r="F16300">
        <v>138725282</v>
      </c>
      <c r="G16300">
        <v>138725309</v>
      </c>
      <c r="H16300">
        <v>138725282</v>
      </c>
      <c r="I16300">
        <v>138725309</v>
      </c>
    </row>
    <row r="16301" spans="1:9" x14ac:dyDescent="0.2">
      <c r="A16301" t="str">
        <f>"Pla2g2d"</f>
        <v>Pla2g2d</v>
      </c>
      <c r="B16301" t="s">
        <v>14</v>
      </c>
      <c r="C16301" t="s">
        <v>23</v>
      </c>
      <c r="D16301" t="s">
        <v>17</v>
      </c>
      <c r="E16301" t="s">
        <v>12</v>
      </c>
      <c r="F16301">
        <v>138775797</v>
      </c>
      <c r="G16301">
        <v>138775814</v>
      </c>
      <c r="H16301">
        <v>138775797</v>
      </c>
      <c r="I16301">
        <v>138775814</v>
      </c>
    </row>
    <row r="16302" spans="1:9" x14ac:dyDescent="0.2">
      <c r="A16302" t="str">
        <f>"Pla2g2e"</f>
        <v>Pla2g2e</v>
      </c>
      <c r="B16302" t="s">
        <v>9</v>
      </c>
      <c r="C16302" t="s">
        <v>23</v>
      </c>
      <c r="D16302" t="s">
        <v>17</v>
      </c>
      <c r="E16302" t="s">
        <v>12</v>
      </c>
      <c r="F16302">
        <v>138879385</v>
      </c>
      <c r="G16302">
        <v>138879399</v>
      </c>
      <c r="H16302">
        <v>138879385</v>
      </c>
      <c r="I16302">
        <v>138879399</v>
      </c>
    </row>
    <row r="16303" spans="1:9" x14ac:dyDescent="0.2">
      <c r="A16303" t="str">
        <f>"Pla2g2e"</f>
        <v>Pla2g2e</v>
      </c>
      <c r="B16303" t="s">
        <v>13</v>
      </c>
      <c r="C16303" t="s">
        <v>23</v>
      </c>
      <c r="D16303" t="s">
        <v>17</v>
      </c>
      <c r="E16303" t="s">
        <v>12</v>
      </c>
      <c r="F16303">
        <v>138877953</v>
      </c>
      <c r="G16303">
        <v>138877974</v>
      </c>
      <c r="H16303">
        <v>138877953</v>
      </c>
      <c r="I16303">
        <v>138877974</v>
      </c>
    </row>
    <row r="16304" spans="1:9" x14ac:dyDescent="0.2">
      <c r="A16304" t="str">
        <f>"Pla2g2f"</f>
        <v>Pla2g2f</v>
      </c>
      <c r="B16304" t="s">
        <v>14</v>
      </c>
      <c r="C16304" t="s">
        <v>23</v>
      </c>
      <c r="D16304" t="s">
        <v>11</v>
      </c>
      <c r="E16304" t="s">
        <v>12</v>
      </c>
      <c r="F16304">
        <v>138757578</v>
      </c>
      <c r="G16304">
        <v>138757606</v>
      </c>
      <c r="H16304">
        <v>138757578</v>
      </c>
      <c r="I16304">
        <v>138757606</v>
      </c>
    </row>
    <row r="16305" spans="1:9" x14ac:dyDescent="0.2">
      <c r="A16305" t="str">
        <f>"Pla2g3"</f>
        <v>Pla2g3</v>
      </c>
      <c r="B16305" t="s">
        <v>14</v>
      </c>
      <c r="C16305" t="s">
        <v>27</v>
      </c>
      <c r="D16305" t="s">
        <v>17</v>
      </c>
      <c r="E16305" t="s">
        <v>12</v>
      </c>
      <c r="F16305">
        <v>3488208</v>
      </c>
      <c r="G16305">
        <v>3488232</v>
      </c>
      <c r="H16305">
        <v>3488292</v>
      </c>
      <c r="I16305">
        <v>3488304</v>
      </c>
    </row>
    <row r="16306" spans="1:9" x14ac:dyDescent="0.2">
      <c r="A16306" t="str">
        <f>"Pla2g4a"</f>
        <v>Pla2g4a</v>
      </c>
      <c r="B16306" t="s">
        <v>14</v>
      </c>
      <c r="C16306" t="s">
        <v>19</v>
      </c>
      <c r="D16306" t="s">
        <v>11</v>
      </c>
      <c r="E16306" t="s">
        <v>12</v>
      </c>
      <c r="F16306">
        <v>149961230</v>
      </c>
      <c r="G16306">
        <v>149961300</v>
      </c>
      <c r="H16306">
        <v>149961230</v>
      </c>
      <c r="I16306">
        <v>149961300</v>
      </c>
    </row>
    <row r="16307" spans="1:9" x14ac:dyDescent="0.2">
      <c r="A16307" t="str">
        <f>"Pla2g4b"</f>
        <v>Pla2g4b</v>
      </c>
      <c r="B16307" t="s">
        <v>9</v>
      </c>
      <c r="C16307" t="s">
        <v>26</v>
      </c>
      <c r="D16307" t="s">
        <v>17</v>
      </c>
      <c r="E16307" t="s">
        <v>12</v>
      </c>
      <c r="F16307">
        <v>120027481</v>
      </c>
      <c r="G16307">
        <v>120027509</v>
      </c>
      <c r="H16307">
        <v>120027481</v>
      </c>
      <c r="I16307">
        <v>120027509</v>
      </c>
    </row>
    <row r="16308" spans="1:9" x14ac:dyDescent="0.2">
      <c r="A16308" t="str">
        <f>"Pla2g4b"</f>
        <v>Pla2g4b</v>
      </c>
      <c r="B16308" t="s">
        <v>13</v>
      </c>
      <c r="C16308" t="s">
        <v>26</v>
      </c>
      <c r="D16308" t="s">
        <v>17</v>
      </c>
      <c r="E16308" t="s">
        <v>12</v>
      </c>
      <c r="F16308">
        <v>120033453</v>
      </c>
      <c r="G16308">
        <v>120033466</v>
      </c>
      <c r="H16308">
        <v>120033453</v>
      </c>
      <c r="I16308">
        <v>120033466</v>
      </c>
    </row>
    <row r="16309" spans="1:9" x14ac:dyDescent="0.2">
      <c r="A16309" t="str">
        <f>"Pla2g4c"</f>
        <v>Pla2g4c</v>
      </c>
      <c r="B16309" t="s">
        <v>14</v>
      </c>
      <c r="C16309" t="s">
        <v>33</v>
      </c>
      <c r="D16309" t="s">
        <v>17</v>
      </c>
      <c r="E16309" t="s">
        <v>12</v>
      </c>
      <c r="F16309">
        <v>13324588</v>
      </c>
      <c r="G16309">
        <v>13324600</v>
      </c>
      <c r="H16309">
        <v>13324570</v>
      </c>
      <c r="I16309">
        <v>13324586</v>
      </c>
    </row>
    <row r="16310" spans="1:9" x14ac:dyDescent="0.2">
      <c r="A16310" t="str">
        <f>"Pla2g4d"</f>
        <v>Pla2g4d</v>
      </c>
      <c r="B16310" t="s">
        <v>14</v>
      </c>
      <c r="C16310" t="s">
        <v>26</v>
      </c>
      <c r="D16310" t="s">
        <v>11</v>
      </c>
      <c r="E16310" t="s">
        <v>12</v>
      </c>
      <c r="F16310">
        <v>120289063</v>
      </c>
      <c r="G16310">
        <v>120289074</v>
      </c>
      <c r="H16310">
        <v>120289063</v>
      </c>
      <c r="I16310">
        <v>120289074</v>
      </c>
    </row>
    <row r="16311" spans="1:9" x14ac:dyDescent="0.2">
      <c r="A16311" t="str">
        <f>"Pla2g4e"</f>
        <v>Pla2g4e</v>
      </c>
      <c r="B16311" t="s">
        <v>14</v>
      </c>
      <c r="C16311" t="s">
        <v>26</v>
      </c>
      <c r="D16311" t="s">
        <v>11</v>
      </c>
      <c r="E16311" t="s">
        <v>12</v>
      </c>
      <c r="F16311">
        <v>120245157</v>
      </c>
      <c r="G16311">
        <v>120245246</v>
      </c>
      <c r="H16311">
        <v>120245077</v>
      </c>
      <c r="I16311">
        <v>120245105</v>
      </c>
    </row>
    <row r="16312" spans="1:9" x14ac:dyDescent="0.2">
      <c r="A16312" t="str">
        <f>"Pla2g4f"</f>
        <v>Pla2g4f</v>
      </c>
      <c r="B16312" t="s">
        <v>14</v>
      </c>
      <c r="C16312" t="s">
        <v>26</v>
      </c>
      <c r="D16312" t="s">
        <v>11</v>
      </c>
      <c r="E16312" t="s">
        <v>12</v>
      </c>
      <c r="F16312">
        <v>120314141</v>
      </c>
      <c r="G16312">
        <v>120314172</v>
      </c>
      <c r="H16312">
        <v>120314081</v>
      </c>
      <c r="I16312">
        <v>120314106</v>
      </c>
    </row>
    <row r="16313" spans="1:9" x14ac:dyDescent="0.2">
      <c r="A16313" t="str">
        <f>"Pla2g5"</f>
        <v>Pla2g5</v>
      </c>
      <c r="B16313" t="s">
        <v>14</v>
      </c>
      <c r="C16313" t="s">
        <v>23</v>
      </c>
      <c r="D16313" t="s">
        <v>11</v>
      </c>
      <c r="E16313" t="s">
        <v>12</v>
      </c>
      <c r="F16313">
        <v>138819213</v>
      </c>
      <c r="G16313">
        <v>138819234</v>
      </c>
      <c r="H16313">
        <v>138819131</v>
      </c>
      <c r="I16313">
        <v>138819149</v>
      </c>
    </row>
    <row r="16314" spans="1:9" x14ac:dyDescent="0.2">
      <c r="A16314" t="str">
        <f>"Pla2g6"</f>
        <v>Pla2g6</v>
      </c>
      <c r="B16314" t="s">
        <v>14</v>
      </c>
      <c r="C16314" t="s">
        <v>25</v>
      </c>
      <c r="D16314" t="s">
        <v>11</v>
      </c>
      <c r="E16314" t="s">
        <v>12</v>
      </c>
      <c r="F16314">
        <v>79328154</v>
      </c>
      <c r="G16314">
        <v>79328191</v>
      </c>
      <c r="H16314">
        <v>79328126</v>
      </c>
      <c r="I16314">
        <v>79328150</v>
      </c>
    </row>
    <row r="16315" spans="1:9" x14ac:dyDescent="0.2">
      <c r="A16315" t="str">
        <f>"Pla2g7"</f>
        <v>Pla2g7</v>
      </c>
      <c r="B16315" t="s">
        <v>14</v>
      </c>
      <c r="C16315" t="s">
        <v>28</v>
      </c>
      <c r="D16315" t="s">
        <v>17</v>
      </c>
      <c r="E16315" t="s">
        <v>12</v>
      </c>
      <c r="F16315">
        <v>43568606</v>
      </c>
      <c r="G16315">
        <v>43568639</v>
      </c>
      <c r="H16315">
        <v>43568502</v>
      </c>
      <c r="I16315">
        <v>43568541</v>
      </c>
    </row>
    <row r="16316" spans="1:9" x14ac:dyDescent="0.2">
      <c r="A16316" t="str">
        <f>"Pla2r1"</f>
        <v>Pla2r1</v>
      </c>
      <c r="B16316" t="s">
        <v>14</v>
      </c>
      <c r="C16316" t="s">
        <v>26</v>
      </c>
      <c r="D16316" t="s">
        <v>11</v>
      </c>
      <c r="E16316" t="s">
        <v>12</v>
      </c>
      <c r="F16316">
        <v>60553277</v>
      </c>
      <c r="G16316">
        <v>60553302</v>
      </c>
      <c r="H16316">
        <v>60553303</v>
      </c>
      <c r="I16316">
        <v>60553317</v>
      </c>
    </row>
    <row r="16317" spans="1:9" x14ac:dyDescent="0.2">
      <c r="A16317" t="str">
        <f>"Plaa"</f>
        <v>Plaa</v>
      </c>
      <c r="B16317" t="s">
        <v>14</v>
      </c>
      <c r="C16317" t="s">
        <v>23</v>
      </c>
      <c r="D16317" t="s">
        <v>11</v>
      </c>
      <c r="E16317" t="s">
        <v>12</v>
      </c>
      <c r="F16317">
        <v>94603095</v>
      </c>
      <c r="G16317">
        <v>94603193</v>
      </c>
      <c r="H16317">
        <v>94603203</v>
      </c>
      <c r="I16317">
        <v>94603228</v>
      </c>
    </row>
    <row r="16318" spans="1:9" x14ac:dyDescent="0.2">
      <c r="A16318" t="str">
        <f>"Plac1"</f>
        <v>Plac1</v>
      </c>
      <c r="B16318" t="s">
        <v>9</v>
      </c>
      <c r="C16318" t="s">
        <v>37</v>
      </c>
      <c r="D16318" t="s">
        <v>11</v>
      </c>
      <c r="E16318" t="s">
        <v>12</v>
      </c>
      <c r="F16318">
        <v>53114392</v>
      </c>
      <c r="G16318">
        <v>53114412</v>
      </c>
      <c r="H16318">
        <v>53114392</v>
      </c>
      <c r="I16318">
        <v>53114412</v>
      </c>
    </row>
    <row r="16319" spans="1:9" x14ac:dyDescent="0.2">
      <c r="A16319" t="str">
        <f>"Plac1"</f>
        <v>Plac1</v>
      </c>
      <c r="B16319" t="s">
        <v>13</v>
      </c>
      <c r="C16319" t="s">
        <v>37</v>
      </c>
      <c r="D16319" t="s">
        <v>11</v>
      </c>
      <c r="E16319" t="s">
        <v>12</v>
      </c>
      <c r="F16319">
        <v>53240086</v>
      </c>
      <c r="G16319">
        <v>53240098</v>
      </c>
      <c r="H16319">
        <v>53240086</v>
      </c>
      <c r="I16319">
        <v>53240098</v>
      </c>
    </row>
    <row r="16320" spans="1:9" x14ac:dyDescent="0.2">
      <c r="A16320" t="str">
        <f>"Plac1l"</f>
        <v>Plac1l</v>
      </c>
      <c r="B16320" t="s">
        <v>5599</v>
      </c>
      <c r="C16320" t="s">
        <v>10</v>
      </c>
      <c r="D16320" t="s">
        <v>11</v>
      </c>
      <c r="E16320" t="s">
        <v>20</v>
      </c>
      <c r="F16320">
        <v>11660558</v>
      </c>
      <c r="G16320">
        <v>11660558</v>
      </c>
      <c r="H16320">
        <v>11660558</v>
      </c>
      <c r="I16320">
        <v>11660558</v>
      </c>
    </row>
    <row r="16321" spans="1:9" x14ac:dyDescent="0.2">
      <c r="A16321" t="str">
        <f>"Plac8"</f>
        <v>Plac8</v>
      </c>
      <c r="B16321" t="s">
        <v>9</v>
      </c>
      <c r="C16321" t="s">
        <v>46</v>
      </c>
      <c r="D16321" t="s">
        <v>11</v>
      </c>
      <c r="E16321" t="s">
        <v>12</v>
      </c>
      <c r="F16321">
        <v>100572192</v>
      </c>
      <c r="G16321">
        <v>100572211</v>
      </c>
      <c r="H16321">
        <v>100572192</v>
      </c>
      <c r="I16321">
        <v>100572211</v>
      </c>
    </row>
    <row r="16322" spans="1:9" x14ac:dyDescent="0.2">
      <c r="A16322" t="str">
        <f>"Plac8"</f>
        <v>Plac8</v>
      </c>
      <c r="B16322" t="s">
        <v>13</v>
      </c>
      <c r="C16322" t="s">
        <v>46</v>
      </c>
      <c r="D16322" t="s">
        <v>11</v>
      </c>
      <c r="E16322" t="s">
        <v>12</v>
      </c>
      <c r="F16322">
        <v>100562796</v>
      </c>
      <c r="G16322">
        <v>100562818</v>
      </c>
      <c r="H16322">
        <v>100562796</v>
      </c>
      <c r="I16322">
        <v>100562818</v>
      </c>
    </row>
    <row r="16323" spans="1:9" x14ac:dyDescent="0.2">
      <c r="A16323" t="str">
        <f>"Plac8l1"</f>
        <v>Plac8l1</v>
      </c>
      <c r="B16323" t="s">
        <v>14</v>
      </c>
      <c r="C16323" t="s">
        <v>43</v>
      </c>
      <c r="D16323" t="s">
        <v>11</v>
      </c>
      <c r="E16323" t="s">
        <v>12</v>
      </c>
      <c r="F16323">
        <v>42196699</v>
      </c>
      <c r="G16323">
        <v>42196739</v>
      </c>
      <c r="H16323">
        <v>42196680</v>
      </c>
      <c r="I16323">
        <v>42196698</v>
      </c>
    </row>
    <row r="16324" spans="1:9" x14ac:dyDescent="0.2">
      <c r="A16324" t="str">
        <f>"Plac9a"</f>
        <v>Plac9a</v>
      </c>
      <c r="B16324" t="s">
        <v>5600</v>
      </c>
      <c r="C16324" t="s">
        <v>41</v>
      </c>
      <c r="D16324" t="s">
        <v>11</v>
      </c>
      <c r="E16324" t="s">
        <v>20</v>
      </c>
      <c r="F16324">
        <v>25903099</v>
      </c>
      <c r="G16324">
        <v>25903099</v>
      </c>
      <c r="H16324">
        <v>25903099</v>
      </c>
      <c r="I16324">
        <v>25903099</v>
      </c>
    </row>
    <row r="16325" spans="1:9" x14ac:dyDescent="0.2">
      <c r="A16325" t="str">
        <f>"Plac9b"</f>
        <v>Plac9b</v>
      </c>
      <c r="B16325" t="s">
        <v>5601</v>
      </c>
      <c r="C16325" t="s">
        <v>41</v>
      </c>
      <c r="D16325" t="s">
        <v>11</v>
      </c>
      <c r="E16325" t="s">
        <v>20</v>
      </c>
      <c r="F16325">
        <v>26182479</v>
      </c>
      <c r="G16325">
        <v>26182479</v>
      </c>
      <c r="H16325">
        <v>26182479</v>
      </c>
      <c r="I16325">
        <v>26182479</v>
      </c>
    </row>
    <row r="16326" spans="1:9" x14ac:dyDescent="0.2">
      <c r="A16326" t="str">
        <f>"Plag1"</f>
        <v>Plag1</v>
      </c>
      <c r="B16326" t="s">
        <v>14</v>
      </c>
      <c r="C16326" t="s">
        <v>23</v>
      </c>
      <c r="D16326" t="s">
        <v>11</v>
      </c>
      <c r="E16326" t="s">
        <v>12</v>
      </c>
      <c r="F16326">
        <v>3938354</v>
      </c>
      <c r="G16326">
        <v>3938401</v>
      </c>
      <c r="H16326">
        <v>3938410</v>
      </c>
      <c r="I16326">
        <v>3938427</v>
      </c>
    </row>
    <row r="16327" spans="1:9" x14ac:dyDescent="0.2">
      <c r="A16327" t="str">
        <f>"Plagl1"</f>
        <v>Plagl1</v>
      </c>
      <c r="B16327" t="s">
        <v>14</v>
      </c>
      <c r="C16327" t="s">
        <v>15</v>
      </c>
      <c r="D16327" t="s">
        <v>17</v>
      </c>
      <c r="E16327" t="s">
        <v>12</v>
      </c>
      <c r="F16327">
        <v>13090825</v>
      </c>
      <c r="G16327">
        <v>13090843</v>
      </c>
      <c r="H16327">
        <v>13090825</v>
      </c>
      <c r="I16327">
        <v>13090843</v>
      </c>
    </row>
    <row r="16328" spans="1:9" x14ac:dyDescent="0.2">
      <c r="A16328" t="str">
        <f>"Plagl2"</f>
        <v>Plagl2</v>
      </c>
      <c r="B16328" t="s">
        <v>14</v>
      </c>
      <c r="C16328" t="s">
        <v>26</v>
      </c>
      <c r="D16328" t="s">
        <v>11</v>
      </c>
      <c r="E16328" t="s">
        <v>12</v>
      </c>
      <c r="F16328">
        <v>153241358</v>
      </c>
      <c r="G16328">
        <v>153241394</v>
      </c>
      <c r="H16328">
        <v>153241343</v>
      </c>
      <c r="I16328">
        <v>153241354</v>
      </c>
    </row>
    <row r="16329" spans="1:9" x14ac:dyDescent="0.2">
      <c r="A16329" t="str">
        <f>"Plat"</f>
        <v>Plat</v>
      </c>
      <c r="B16329" t="s">
        <v>14</v>
      </c>
      <c r="C16329" t="s">
        <v>30</v>
      </c>
      <c r="D16329" t="s">
        <v>17</v>
      </c>
      <c r="E16329" t="s">
        <v>12</v>
      </c>
      <c r="F16329">
        <v>22757745</v>
      </c>
      <c r="G16329">
        <v>22757761</v>
      </c>
      <c r="H16329">
        <v>22757745</v>
      </c>
      <c r="I16329">
        <v>22757761</v>
      </c>
    </row>
    <row r="16330" spans="1:9" x14ac:dyDescent="0.2">
      <c r="A16330" t="str">
        <f>"Plau"</f>
        <v>Plau</v>
      </c>
      <c r="B16330" t="s">
        <v>14</v>
      </c>
      <c r="C16330" t="s">
        <v>41</v>
      </c>
      <c r="D16330" t="s">
        <v>17</v>
      </c>
      <c r="E16330" t="s">
        <v>12</v>
      </c>
      <c r="F16330">
        <v>20836653</v>
      </c>
      <c r="G16330">
        <v>20836669</v>
      </c>
      <c r="H16330">
        <v>20836653</v>
      </c>
      <c r="I16330">
        <v>20836669</v>
      </c>
    </row>
    <row r="16331" spans="1:9" x14ac:dyDescent="0.2">
      <c r="A16331" t="str">
        <f>"Plaur"</f>
        <v>Plaur</v>
      </c>
      <c r="B16331" t="s">
        <v>14</v>
      </c>
      <c r="C16331" t="s">
        <v>33</v>
      </c>
      <c r="D16331" t="s">
        <v>17</v>
      </c>
      <c r="E16331" t="s">
        <v>12</v>
      </c>
      <c r="F16331">
        <v>24462475</v>
      </c>
      <c r="G16331">
        <v>24462496</v>
      </c>
      <c r="H16331">
        <v>24462463</v>
      </c>
      <c r="I16331">
        <v>24462466</v>
      </c>
    </row>
    <row r="16332" spans="1:9" x14ac:dyDescent="0.2">
      <c r="A16332" t="str">
        <f>"Plb1"</f>
        <v>Plb1</v>
      </c>
      <c r="B16332" t="s">
        <v>14</v>
      </c>
      <c r="C16332" t="s">
        <v>46</v>
      </c>
      <c r="D16332" t="s">
        <v>17</v>
      </c>
      <c r="E16332" t="s">
        <v>12</v>
      </c>
      <c r="F16332">
        <v>32247449</v>
      </c>
      <c r="G16332">
        <v>32247468</v>
      </c>
      <c r="H16332">
        <v>32247449</v>
      </c>
      <c r="I16332">
        <v>32247468</v>
      </c>
    </row>
    <row r="16333" spans="1:9" x14ac:dyDescent="0.2">
      <c r="A16333" t="str">
        <f>"Plbd1"</f>
        <v>Plbd1</v>
      </c>
      <c r="B16333" t="s">
        <v>14</v>
      </c>
      <c r="C16333" t="s">
        <v>32</v>
      </c>
      <c r="D16333" t="s">
        <v>11</v>
      </c>
      <c r="E16333" t="s">
        <v>12</v>
      </c>
      <c r="F16333">
        <v>136661810</v>
      </c>
      <c r="G16333">
        <v>136661866</v>
      </c>
      <c r="H16333">
        <v>136661928</v>
      </c>
      <c r="I16333">
        <v>136661982</v>
      </c>
    </row>
    <row r="16334" spans="1:9" x14ac:dyDescent="0.2">
      <c r="A16334" t="str">
        <f>"Plbd2"</f>
        <v>Plbd2</v>
      </c>
      <c r="B16334" t="s">
        <v>14</v>
      </c>
      <c r="C16334" t="s">
        <v>46</v>
      </c>
      <c r="D16334" t="s">
        <v>11</v>
      </c>
      <c r="E16334" t="s">
        <v>12</v>
      </c>
      <c r="F16334">
        <v>120503593</v>
      </c>
      <c r="G16334">
        <v>120503627</v>
      </c>
      <c r="H16334">
        <v>120503593</v>
      </c>
      <c r="I16334">
        <v>120503627</v>
      </c>
    </row>
    <row r="16335" spans="1:9" x14ac:dyDescent="0.2">
      <c r="A16335" t="str">
        <f>"Plcb1"</f>
        <v>Plcb1</v>
      </c>
      <c r="B16335" t="s">
        <v>14</v>
      </c>
      <c r="C16335" t="s">
        <v>26</v>
      </c>
      <c r="D16335" t="s">
        <v>17</v>
      </c>
      <c r="E16335" t="s">
        <v>12</v>
      </c>
      <c r="F16335">
        <v>134786154</v>
      </c>
      <c r="G16335">
        <v>134786170</v>
      </c>
      <c r="H16335">
        <v>134786175</v>
      </c>
      <c r="I16335">
        <v>134786196</v>
      </c>
    </row>
    <row r="16336" spans="1:9" x14ac:dyDescent="0.2">
      <c r="A16336" t="str">
        <f>"Plcb2"</f>
        <v>Plcb2</v>
      </c>
      <c r="B16336" t="s">
        <v>14</v>
      </c>
      <c r="C16336" t="s">
        <v>26</v>
      </c>
      <c r="D16336" t="s">
        <v>11</v>
      </c>
      <c r="E16336" t="s">
        <v>12</v>
      </c>
      <c r="F16336">
        <v>118728372</v>
      </c>
      <c r="G16336">
        <v>118728428</v>
      </c>
      <c r="H16336">
        <v>118728578</v>
      </c>
      <c r="I16336">
        <v>118728630</v>
      </c>
    </row>
    <row r="16337" spans="1:9" x14ac:dyDescent="0.2">
      <c r="A16337" t="str">
        <f>"Plcb3"</f>
        <v>Plcb3</v>
      </c>
      <c r="B16337" t="s">
        <v>14</v>
      </c>
      <c r="C16337" t="s">
        <v>10</v>
      </c>
      <c r="D16337" t="s">
        <v>11</v>
      </c>
      <c r="E16337" t="s">
        <v>12</v>
      </c>
      <c r="F16337">
        <v>6969746</v>
      </c>
      <c r="G16337">
        <v>6969808</v>
      </c>
      <c r="H16337">
        <v>6969732</v>
      </c>
      <c r="I16337">
        <v>6969743</v>
      </c>
    </row>
    <row r="16338" spans="1:9" x14ac:dyDescent="0.2">
      <c r="A16338" t="str">
        <f>"Plcb4"</f>
        <v>Plcb4</v>
      </c>
      <c r="B16338" t="s">
        <v>5602</v>
      </c>
      <c r="C16338" t="s">
        <v>26</v>
      </c>
      <c r="D16338" t="s">
        <v>17</v>
      </c>
      <c r="E16338" t="s">
        <v>20</v>
      </c>
      <c r="F16338">
        <v>135805547</v>
      </c>
      <c r="G16338">
        <v>135805547</v>
      </c>
      <c r="H16338">
        <v>135805547</v>
      </c>
      <c r="I16338">
        <v>135805547</v>
      </c>
    </row>
    <row r="16339" spans="1:9" x14ac:dyDescent="0.2">
      <c r="A16339" t="str">
        <f>"Plcb4"</f>
        <v>Plcb4</v>
      </c>
      <c r="B16339" t="s">
        <v>5603</v>
      </c>
      <c r="C16339" t="s">
        <v>26</v>
      </c>
      <c r="D16339" t="s">
        <v>17</v>
      </c>
      <c r="E16339" t="s">
        <v>20</v>
      </c>
      <c r="F16339">
        <v>135741829</v>
      </c>
      <c r="G16339">
        <v>135741829</v>
      </c>
      <c r="H16339">
        <v>135741829</v>
      </c>
      <c r="I16339">
        <v>135741829</v>
      </c>
    </row>
    <row r="16340" spans="1:9" x14ac:dyDescent="0.2">
      <c r="A16340" t="str">
        <f>"Plcd1"</f>
        <v>Plcd1</v>
      </c>
      <c r="B16340" t="s">
        <v>14</v>
      </c>
      <c r="C16340" t="s">
        <v>24</v>
      </c>
      <c r="D16340" t="s">
        <v>11</v>
      </c>
      <c r="E16340" t="s">
        <v>12</v>
      </c>
      <c r="F16340">
        <v>119093468</v>
      </c>
      <c r="G16340">
        <v>119093502</v>
      </c>
      <c r="H16340">
        <v>119093621</v>
      </c>
      <c r="I16340">
        <v>119093667</v>
      </c>
    </row>
    <row r="16341" spans="1:9" x14ac:dyDescent="0.2">
      <c r="A16341" t="str">
        <f>"Plcd3"</f>
        <v>Plcd3</v>
      </c>
      <c r="B16341" t="s">
        <v>14</v>
      </c>
      <c r="C16341" t="s">
        <v>27</v>
      </c>
      <c r="D16341" t="s">
        <v>11</v>
      </c>
      <c r="E16341" t="s">
        <v>12</v>
      </c>
      <c r="F16341">
        <v>103101609</v>
      </c>
      <c r="G16341">
        <v>103101662</v>
      </c>
      <c r="H16341">
        <v>103101588</v>
      </c>
      <c r="I16341">
        <v>103101595</v>
      </c>
    </row>
    <row r="16342" spans="1:9" x14ac:dyDescent="0.2">
      <c r="A16342" t="str">
        <f>"Plcd4"</f>
        <v>Plcd4</v>
      </c>
      <c r="B16342" t="s">
        <v>14</v>
      </c>
      <c r="C16342" t="s">
        <v>19</v>
      </c>
      <c r="D16342" t="s">
        <v>17</v>
      </c>
      <c r="E16342" t="s">
        <v>12</v>
      </c>
      <c r="F16342">
        <v>74542881</v>
      </c>
      <c r="G16342">
        <v>74542918</v>
      </c>
      <c r="H16342">
        <v>74542861</v>
      </c>
      <c r="I16342">
        <v>74542877</v>
      </c>
    </row>
    <row r="16343" spans="1:9" x14ac:dyDescent="0.2">
      <c r="A16343" t="str">
        <f>"Plce1"</f>
        <v>Plce1</v>
      </c>
      <c r="B16343" t="s">
        <v>5604</v>
      </c>
      <c r="C16343" t="s">
        <v>10</v>
      </c>
      <c r="D16343" t="s">
        <v>17</v>
      </c>
      <c r="E16343" t="s">
        <v>20</v>
      </c>
      <c r="F16343">
        <v>38524196</v>
      </c>
      <c r="G16343">
        <v>38524196</v>
      </c>
      <c r="H16343">
        <v>38524196</v>
      </c>
      <c r="I16343">
        <v>38524196</v>
      </c>
    </row>
    <row r="16344" spans="1:9" x14ac:dyDescent="0.2">
      <c r="A16344" t="str">
        <f>"Plce1"</f>
        <v>Plce1</v>
      </c>
      <c r="B16344" t="s">
        <v>5605</v>
      </c>
      <c r="C16344" t="s">
        <v>10</v>
      </c>
      <c r="D16344" t="s">
        <v>17</v>
      </c>
      <c r="E16344" t="s">
        <v>35</v>
      </c>
      <c r="F16344">
        <v>38481317</v>
      </c>
      <c r="G16344">
        <v>38481324</v>
      </c>
      <c r="H16344">
        <v>38481317</v>
      </c>
      <c r="I16344">
        <v>38481324</v>
      </c>
    </row>
    <row r="16345" spans="1:9" x14ac:dyDescent="0.2">
      <c r="A16345" t="str">
        <f>"Plcg1"</f>
        <v>Plcg1</v>
      </c>
      <c r="B16345" t="s">
        <v>14</v>
      </c>
      <c r="C16345" t="s">
        <v>26</v>
      </c>
      <c r="D16345" t="s">
        <v>17</v>
      </c>
      <c r="E16345" t="s">
        <v>12</v>
      </c>
      <c r="F16345">
        <v>160731258</v>
      </c>
      <c r="G16345">
        <v>160731300</v>
      </c>
      <c r="H16345">
        <v>160731684</v>
      </c>
      <c r="I16345">
        <v>160731760</v>
      </c>
    </row>
    <row r="16346" spans="1:9" x14ac:dyDescent="0.2">
      <c r="A16346" t="str">
        <f>"Plcg2"</f>
        <v>Plcg2</v>
      </c>
      <c r="B16346" t="s">
        <v>14</v>
      </c>
      <c r="C16346" t="s">
        <v>30</v>
      </c>
      <c r="D16346" t="s">
        <v>17</v>
      </c>
      <c r="E16346" t="s">
        <v>12</v>
      </c>
      <c r="F16346">
        <v>117498272</v>
      </c>
      <c r="G16346">
        <v>117498291</v>
      </c>
      <c r="H16346">
        <v>117498293</v>
      </c>
      <c r="I16346">
        <v>117498318</v>
      </c>
    </row>
    <row r="16347" spans="1:9" x14ac:dyDescent="0.2">
      <c r="A16347" t="str">
        <f>"Plch1"</f>
        <v>Plch1</v>
      </c>
      <c r="B16347" t="s">
        <v>5606</v>
      </c>
      <c r="C16347" t="s">
        <v>22</v>
      </c>
      <c r="D16347" t="s">
        <v>11</v>
      </c>
      <c r="E16347" t="s">
        <v>35</v>
      </c>
      <c r="F16347">
        <v>63851321</v>
      </c>
      <c r="G16347">
        <v>63851326</v>
      </c>
      <c r="H16347">
        <v>63851251</v>
      </c>
      <c r="I16347">
        <v>63851290</v>
      </c>
    </row>
    <row r="16348" spans="1:9" x14ac:dyDescent="0.2">
      <c r="A16348" t="str">
        <f>"Plch2"</f>
        <v>Plch2</v>
      </c>
      <c r="B16348" t="s">
        <v>9</v>
      </c>
      <c r="C16348" t="s">
        <v>23</v>
      </c>
      <c r="D16348" t="s">
        <v>11</v>
      </c>
      <c r="E16348" t="s">
        <v>12</v>
      </c>
      <c r="F16348">
        <v>155019399</v>
      </c>
      <c r="G16348">
        <v>155019437</v>
      </c>
      <c r="H16348">
        <v>155019399</v>
      </c>
      <c r="I16348">
        <v>155019437</v>
      </c>
    </row>
    <row r="16349" spans="1:9" x14ac:dyDescent="0.2">
      <c r="A16349" t="str">
        <f>"Plch2"</f>
        <v>Plch2</v>
      </c>
      <c r="B16349" t="s">
        <v>13</v>
      </c>
      <c r="C16349" t="s">
        <v>23</v>
      </c>
      <c r="D16349" t="s">
        <v>11</v>
      </c>
      <c r="E16349" t="s">
        <v>12</v>
      </c>
      <c r="F16349">
        <v>155043143</v>
      </c>
      <c r="G16349">
        <v>155043172</v>
      </c>
      <c r="H16349">
        <v>155043143</v>
      </c>
      <c r="I16349">
        <v>155043172</v>
      </c>
    </row>
    <row r="16350" spans="1:9" x14ac:dyDescent="0.2">
      <c r="A16350" t="str">
        <f>"Plcl1"</f>
        <v>Plcl1</v>
      </c>
      <c r="B16350" t="s">
        <v>14</v>
      </c>
      <c r="C16350" t="s">
        <v>19</v>
      </c>
      <c r="D16350" t="s">
        <v>17</v>
      </c>
      <c r="E16350" t="s">
        <v>12</v>
      </c>
      <c r="F16350">
        <v>55405881</v>
      </c>
      <c r="G16350">
        <v>55405967</v>
      </c>
      <c r="H16350">
        <v>55406163</v>
      </c>
      <c r="I16350">
        <v>55406243</v>
      </c>
    </row>
    <row r="16351" spans="1:9" x14ac:dyDescent="0.2">
      <c r="A16351" t="str">
        <f>"Plcl2"</f>
        <v>Plcl2</v>
      </c>
      <c r="B16351" t="s">
        <v>14</v>
      </c>
      <c r="C16351" t="s">
        <v>28</v>
      </c>
      <c r="D16351" t="s">
        <v>17</v>
      </c>
      <c r="E16351" t="s">
        <v>12</v>
      </c>
      <c r="F16351">
        <v>50509556</v>
      </c>
      <c r="G16351">
        <v>50509597</v>
      </c>
      <c r="H16351">
        <v>50509270</v>
      </c>
      <c r="I16351">
        <v>50509354</v>
      </c>
    </row>
    <row r="16352" spans="1:9" x14ac:dyDescent="0.2">
      <c r="A16352" t="str">
        <f>"Plcxd1"</f>
        <v>Plcxd1</v>
      </c>
      <c r="B16352" t="s">
        <v>14</v>
      </c>
      <c r="C16352" t="s">
        <v>46</v>
      </c>
      <c r="D16352" t="s">
        <v>17</v>
      </c>
      <c r="E16352" t="s">
        <v>12</v>
      </c>
      <c r="F16352">
        <v>110100414</v>
      </c>
      <c r="G16352">
        <v>110100425</v>
      </c>
      <c r="H16352">
        <v>110100414</v>
      </c>
      <c r="I16352">
        <v>110100425</v>
      </c>
    </row>
    <row r="16353" spans="1:9" x14ac:dyDescent="0.2">
      <c r="A16353" t="str">
        <f>"Plcxd2"</f>
        <v>Plcxd2</v>
      </c>
      <c r="B16353" t="s">
        <v>14</v>
      </c>
      <c r="C16353" t="s">
        <v>31</v>
      </c>
      <c r="D16353" t="s">
        <v>11</v>
      </c>
      <c r="E16353" t="s">
        <v>12</v>
      </c>
      <c r="F16353">
        <v>46010355</v>
      </c>
      <c r="G16353">
        <v>46010437</v>
      </c>
      <c r="H16353">
        <v>46010262</v>
      </c>
      <c r="I16353">
        <v>46010284</v>
      </c>
    </row>
    <row r="16354" spans="1:9" x14ac:dyDescent="0.2">
      <c r="A16354" t="str">
        <f>"Plcxd3"</f>
        <v>Plcxd3</v>
      </c>
      <c r="B16354" t="s">
        <v>14</v>
      </c>
      <c r="C16354" t="s">
        <v>25</v>
      </c>
      <c r="D16354" t="s">
        <v>17</v>
      </c>
      <c r="E16354" t="s">
        <v>12</v>
      </c>
      <c r="F16354">
        <v>4375626</v>
      </c>
      <c r="G16354">
        <v>4375656</v>
      </c>
      <c r="H16354">
        <v>4375574</v>
      </c>
      <c r="I16354">
        <v>4375623</v>
      </c>
    </row>
    <row r="16355" spans="1:9" x14ac:dyDescent="0.2">
      <c r="A16355" t="str">
        <f>"Plcz1"</f>
        <v>Plcz1</v>
      </c>
      <c r="B16355" t="s">
        <v>14</v>
      </c>
      <c r="C16355" t="s">
        <v>32</v>
      </c>
      <c r="D16355" t="s">
        <v>11</v>
      </c>
      <c r="E16355" t="s">
        <v>12</v>
      </c>
      <c r="F16355">
        <v>140041409</v>
      </c>
      <c r="G16355">
        <v>140041466</v>
      </c>
      <c r="H16355">
        <v>140041473</v>
      </c>
      <c r="I16355">
        <v>140041476</v>
      </c>
    </row>
    <row r="16356" spans="1:9" x14ac:dyDescent="0.2">
      <c r="A16356" t="str">
        <f>"Pld1"</f>
        <v>Pld1</v>
      </c>
      <c r="B16356" t="s">
        <v>9</v>
      </c>
      <c r="C16356" t="s">
        <v>22</v>
      </c>
      <c r="D16356" t="s">
        <v>17</v>
      </c>
      <c r="E16356" t="s">
        <v>12</v>
      </c>
      <c r="F16356">
        <v>27984145</v>
      </c>
      <c r="G16356">
        <v>27984200</v>
      </c>
      <c r="H16356">
        <v>27984145</v>
      </c>
      <c r="I16356">
        <v>27984200</v>
      </c>
    </row>
    <row r="16357" spans="1:9" x14ac:dyDescent="0.2">
      <c r="A16357" t="str">
        <f>"Pld1"</f>
        <v>Pld1</v>
      </c>
      <c r="B16357" t="s">
        <v>13</v>
      </c>
      <c r="C16357" t="s">
        <v>22</v>
      </c>
      <c r="D16357" t="s">
        <v>17</v>
      </c>
      <c r="E16357" t="s">
        <v>12</v>
      </c>
      <c r="F16357">
        <v>27938638</v>
      </c>
      <c r="G16357">
        <v>27938679</v>
      </c>
      <c r="H16357">
        <v>27938638</v>
      </c>
      <c r="I16357">
        <v>27938679</v>
      </c>
    </row>
    <row r="16358" spans="1:9" x14ac:dyDescent="0.2">
      <c r="A16358" t="str">
        <f>"Pld2"</f>
        <v>Pld2</v>
      </c>
      <c r="B16358" t="s">
        <v>14</v>
      </c>
      <c r="C16358" t="s">
        <v>27</v>
      </c>
      <c r="D16358" t="s">
        <v>17</v>
      </c>
      <c r="E16358" t="s">
        <v>12</v>
      </c>
      <c r="F16358">
        <v>70540260</v>
      </c>
      <c r="G16358">
        <v>70540315</v>
      </c>
      <c r="H16358">
        <v>70540044</v>
      </c>
      <c r="I16358">
        <v>70540088</v>
      </c>
    </row>
    <row r="16359" spans="1:9" x14ac:dyDescent="0.2">
      <c r="A16359" t="str">
        <f>"Pld3"</f>
        <v>Pld3</v>
      </c>
      <c r="B16359" t="s">
        <v>9</v>
      </c>
      <c r="C16359" t="s">
        <v>33</v>
      </c>
      <c r="D16359" t="s">
        <v>11</v>
      </c>
      <c r="E16359" t="s">
        <v>12</v>
      </c>
      <c r="F16359">
        <v>27542774</v>
      </c>
      <c r="G16359">
        <v>27542809</v>
      </c>
      <c r="H16359">
        <v>27542774</v>
      </c>
      <c r="I16359">
        <v>27542809</v>
      </c>
    </row>
    <row r="16360" spans="1:9" x14ac:dyDescent="0.2">
      <c r="A16360" t="str">
        <f>"Pld3"</f>
        <v>Pld3</v>
      </c>
      <c r="B16360" t="s">
        <v>13</v>
      </c>
      <c r="C16360" t="s">
        <v>33</v>
      </c>
      <c r="D16360" t="s">
        <v>11</v>
      </c>
      <c r="E16360" t="s">
        <v>12</v>
      </c>
      <c r="F16360">
        <v>27553014</v>
      </c>
      <c r="G16360">
        <v>27553070</v>
      </c>
      <c r="H16360">
        <v>27553014</v>
      </c>
      <c r="I16360">
        <v>27553070</v>
      </c>
    </row>
    <row r="16361" spans="1:9" x14ac:dyDescent="0.2">
      <c r="A16361" t="str">
        <f>"Pld4"</f>
        <v>Pld4</v>
      </c>
      <c r="B16361" t="s">
        <v>14</v>
      </c>
      <c r="C16361" t="s">
        <v>16</v>
      </c>
      <c r="D16361" t="s">
        <v>17</v>
      </c>
      <c r="E16361" t="s">
        <v>12</v>
      </c>
      <c r="F16361">
        <v>112760683</v>
      </c>
      <c r="G16361">
        <v>112760717</v>
      </c>
      <c r="H16361">
        <v>112760719</v>
      </c>
      <c r="I16361">
        <v>112760742</v>
      </c>
    </row>
    <row r="16362" spans="1:9" x14ac:dyDescent="0.2">
      <c r="A16362" t="str">
        <f>"Pld5"</f>
        <v>Pld5</v>
      </c>
      <c r="B16362" t="s">
        <v>14</v>
      </c>
      <c r="C16362" t="s">
        <v>19</v>
      </c>
      <c r="D16362" t="s">
        <v>11</v>
      </c>
      <c r="E16362" t="s">
        <v>12</v>
      </c>
      <c r="F16362">
        <v>176275283</v>
      </c>
      <c r="G16362">
        <v>176275308</v>
      </c>
      <c r="H16362">
        <v>176275283</v>
      </c>
      <c r="I16362">
        <v>176275308</v>
      </c>
    </row>
    <row r="16363" spans="1:9" x14ac:dyDescent="0.2">
      <c r="A16363" t="str">
        <f>"Pld6"</f>
        <v>Pld6</v>
      </c>
      <c r="B16363" t="s">
        <v>14</v>
      </c>
      <c r="C16363" t="s">
        <v>27</v>
      </c>
      <c r="D16363" t="s">
        <v>11</v>
      </c>
      <c r="E16363" t="s">
        <v>12</v>
      </c>
      <c r="F16363">
        <v>59787636</v>
      </c>
      <c r="G16363">
        <v>59787683</v>
      </c>
      <c r="H16363">
        <v>59787636</v>
      </c>
      <c r="I16363">
        <v>59787683</v>
      </c>
    </row>
    <row r="16364" spans="1:9" x14ac:dyDescent="0.2">
      <c r="A16364" t="str">
        <f>"Plec"</f>
        <v>Plec</v>
      </c>
      <c r="B16364" t="s">
        <v>9</v>
      </c>
      <c r="C16364" t="s">
        <v>25</v>
      </c>
      <c r="D16364" t="s">
        <v>11</v>
      </c>
      <c r="E16364" t="s">
        <v>12</v>
      </c>
      <c r="F16364">
        <v>76195691</v>
      </c>
      <c r="G16364">
        <v>76195706</v>
      </c>
      <c r="H16364">
        <v>76195691</v>
      </c>
      <c r="I16364">
        <v>76195706</v>
      </c>
    </row>
    <row r="16365" spans="1:9" x14ac:dyDescent="0.2">
      <c r="A16365" t="str">
        <f>"Plec"</f>
        <v>Plec</v>
      </c>
      <c r="B16365" t="s">
        <v>13</v>
      </c>
      <c r="C16365" t="s">
        <v>25</v>
      </c>
      <c r="D16365" t="s">
        <v>11</v>
      </c>
      <c r="E16365" t="s">
        <v>12</v>
      </c>
      <c r="F16365">
        <v>76229492</v>
      </c>
      <c r="G16365">
        <v>76229511</v>
      </c>
      <c r="H16365">
        <v>76229492</v>
      </c>
      <c r="I16365">
        <v>76229511</v>
      </c>
    </row>
    <row r="16366" spans="1:9" x14ac:dyDescent="0.2">
      <c r="A16366" t="str">
        <f>"Plek"</f>
        <v>Plek</v>
      </c>
      <c r="B16366" t="s">
        <v>14</v>
      </c>
      <c r="C16366" t="s">
        <v>27</v>
      </c>
      <c r="D16366" t="s">
        <v>11</v>
      </c>
      <c r="E16366" t="s">
        <v>12</v>
      </c>
      <c r="F16366">
        <v>17008647</v>
      </c>
      <c r="G16366">
        <v>17008687</v>
      </c>
      <c r="H16366">
        <v>17008647</v>
      </c>
      <c r="I16366">
        <v>17008687</v>
      </c>
    </row>
    <row r="16367" spans="1:9" x14ac:dyDescent="0.2">
      <c r="A16367" t="str">
        <f>"Plek2"</f>
        <v>Plek2</v>
      </c>
      <c r="B16367" t="s">
        <v>14</v>
      </c>
      <c r="C16367" t="s">
        <v>16</v>
      </c>
      <c r="D16367" t="s">
        <v>11</v>
      </c>
      <c r="E16367" t="s">
        <v>12</v>
      </c>
      <c r="F16367">
        <v>78906929</v>
      </c>
      <c r="G16367">
        <v>78906970</v>
      </c>
      <c r="H16367">
        <v>78906929</v>
      </c>
      <c r="I16367">
        <v>78906970</v>
      </c>
    </row>
    <row r="16368" spans="1:9" x14ac:dyDescent="0.2">
      <c r="A16368" t="str">
        <f>"Plekha1"</f>
        <v>Plekha1</v>
      </c>
      <c r="B16368" t="s">
        <v>14</v>
      </c>
      <c r="C16368" t="s">
        <v>33</v>
      </c>
      <c r="D16368" t="s">
        <v>17</v>
      </c>
      <c r="E16368" t="s">
        <v>12</v>
      </c>
      <c r="F16368">
        <v>130865835</v>
      </c>
      <c r="G16368">
        <v>130865942</v>
      </c>
      <c r="H16368">
        <v>130865813</v>
      </c>
      <c r="I16368">
        <v>130865824</v>
      </c>
    </row>
    <row r="16369" spans="1:9" x14ac:dyDescent="0.2">
      <c r="A16369" t="str">
        <f>"Plekha2"</f>
        <v>Plekha2</v>
      </c>
      <c r="B16369" t="s">
        <v>14</v>
      </c>
      <c r="C16369" t="s">
        <v>30</v>
      </c>
      <c r="D16369" t="s">
        <v>11</v>
      </c>
      <c r="E16369" t="s">
        <v>12</v>
      </c>
      <c r="F16369">
        <v>25101734</v>
      </c>
      <c r="G16369">
        <v>25101792</v>
      </c>
      <c r="H16369">
        <v>25102107</v>
      </c>
      <c r="I16369">
        <v>25102169</v>
      </c>
    </row>
    <row r="16370" spans="1:9" x14ac:dyDescent="0.2">
      <c r="A16370" t="str">
        <f>"Plekha3"</f>
        <v>Plekha3</v>
      </c>
      <c r="B16370" t="s">
        <v>14</v>
      </c>
      <c r="C16370" t="s">
        <v>26</v>
      </c>
      <c r="D16370" t="s">
        <v>17</v>
      </c>
      <c r="E16370" t="s">
        <v>12</v>
      </c>
      <c r="F16370">
        <v>76675290</v>
      </c>
      <c r="G16370">
        <v>76675321</v>
      </c>
      <c r="H16370">
        <v>76675322</v>
      </c>
      <c r="I16370">
        <v>76675349</v>
      </c>
    </row>
    <row r="16371" spans="1:9" x14ac:dyDescent="0.2">
      <c r="A16371" t="str">
        <f>"Plekha4"</f>
        <v>Plekha4</v>
      </c>
      <c r="B16371" t="s">
        <v>9</v>
      </c>
      <c r="C16371" t="s">
        <v>33</v>
      </c>
      <c r="D16371" t="s">
        <v>17</v>
      </c>
      <c r="E16371" t="s">
        <v>12</v>
      </c>
      <c r="F16371">
        <v>45529592</v>
      </c>
      <c r="G16371">
        <v>45529640</v>
      </c>
      <c r="H16371">
        <v>45529592</v>
      </c>
      <c r="I16371">
        <v>45529640</v>
      </c>
    </row>
    <row r="16372" spans="1:9" x14ac:dyDescent="0.2">
      <c r="A16372" t="str">
        <f>"Plekha4"</f>
        <v>Plekha4</v>
      </c>
      <c r="B16372" t="s">
        <v>13</v>
      </c>
      <c r="C16372" t="s">
        <v>33</v>
      </c>
      <c r="D16372" t="s">
        <v>17</v>
      </c>
      <c r="E16372" t="s">
        <v>12</v>
      </c>
      <c r="F16372">
        <v>45526315</v>
      </c>
      <c r="G16372">
        <v>45526372</v>
      </c>
      <c r="H16372">
        <v>45526315</v>
      </c>
      <c r="I16372">
        <v>45526372</v>
      </c>
    </row>
    <row r="16373" spans="1:9" x14ac:dyDescent="0.2">
      <c r="A16373" t="str">
        <f>"Plekha5"</f>
        <v>Plekha5</v>
      </c>
      <c r="B16373" t="s">
        <v>14</v>
      </c>
      <c r="C16373" t="s">
        <v>32</v>
      </c>
      <c r="D16373" t="s">
        <v>17</v>
      </c>
      <c r="E16373" t="s">
        <v>12</v>
      </c>
      <c r="F16373">
        <v>140424086</v>
      </c>
      <c r="G16373">
        <v>140424138</v>
      </c>
      <c r="H16373">
        <v>140423911</v>
      </c>
      <c r="I16373">
        <v>140423960</v>
      </c>
    </row>
    <row r="16374" spans="1:9" x14ac:dyDescent="0.2">
      <c r="A16374" t="str">
        <f>"Plekha6"</f>
        <v>Plekha6</v>
      </c>
      <c r="B16374" t="s">
        <v>14</v>
      </c>
      <c r="C16374" t="s">
        <v>19</v>
      </c>
      <c r="D16374" t="s">
        <v>17</v>
      </c>
      <c r="E16374" t="s">
        <v>12</v>
      </c>
      <c r="F16374">
        <v>133246092</v>
      </c>
      <c r="G16374">
        <v>133246099</v>
      </c>
      <c r="H16374">
        <v>133246092</v>
      </c>
      <c r="I16374">
        <v>133246099</v>
      </c>
    </row>
    <row r="16375" spans="1:9" x14ac:dyDescent="0.2">
      <c r="A16375" t="str">
        <f>"Plekha7"</f>
        <v>Plekha7</v>
      </c>
      <c r="B16375" t="s">
        <v>14</v>
      </c>
      <c r="C16375" t="s">
        <v>33</v>
      </c>
      <c r="D16375" t="s">
        <v>11</v>
      </c>
      <c r="E16375" t="s">
        <v>12</v>
      </c>
      <c r="F16375">
        <v>116308334</v>
      </c>
      <c r="G16375">
        <v>116308362</v>
      </c>
      <c r="H16375">
        <v>116308334</v>
      </c>
      <c r="I16375">
        <v>116308362</v>
      </c>
    </row>
    <row r="16376" spans="1:9" x14ac:dyDescent="0.2">
      <c r="A16376" t="str">
        <f>"Plekha8"</f>
        <v>Plekha8</v>
      </c>
      <c r="B16376" t="s">
        <v>14</v>
      </c>
      <c r="C16376" t="s">
        <v>32</v>
      </c>
      <c r="D16376" t="s">
        <v>17</v>
      </c>
      <c r="E16376" t="s">
        <v>12</v>
      </c>
      <c r="F16376">
        <v>54595167</v>
      </c>
      <c r="G16376">
        <v>54595243</v>
      </c>
      <c r="H16376">
        <v>54595167</v>
      </c>
      <c r="I16376">
        <v>54595243</v>
      </c>
    </row>
    <row r="16377" spans="1:9" x14ac:dyDescent="0.2">
      <c r="A16377" t="str">
        <f>"Plekhb1"</f>
        <v>Plekhb1</v>
      </c>
      <c r="B16377" t="s">
        <v>9</v>
      </c>
      <c r="C16377" t="s">
        <v>33</v>
      </c>
      <c r="D16377" t="s">
        <v>11</v>
      </c>
      <c r="E16377" t="s">
        <v>12</v>
      </c>
      <c r="F16377">
        <v>100656916</v>
      </c>
      <c r="G16377">
        <v>100656942</v>
      </c>
      <c r="H16377">
        <v>100656916</v>
      </c>
      <c r="I16377">
        <v>100656942</v>
      </c>
    </row>
    <row r="16378" spans="1:9" x14ac:dyDescent="0.2">
      <c r="A16378" t="str">
        <f>"Plekhb1"</f>
        <v>Plekhb1</v>
      </c>
      <c r="B16378" t="s">
        <v>13</v>
      </c>
      <c r="C16378" t="s">
        <v>33</v>
      </c>
      <c r="D16378" t="s">
        <v>11</v>
      </c>
      <c r="E16378" t="s">
        <v>12</v>
      </c>
      <c r="F16378">
        <v>100658394</v>
      </c>
      <c r="G16378">
        <v>100658451</v>
      </c>
      <c r="H16378">
        <v>100658394</v>
      </c>
      <c r="I16378">
        <v>100658451</v>
      </c>
    </row>
    <row r="16379" spans="1:9" x14ac:dyDescent="0.2">
      <c r="A16379" t="str">
        <f>"Plekhb2"</f>
        <v>Plekhb2</v>
      </c>
      <c r="B16379" t="s">
        <v>14</v>
      </c>
      <c r="C16379" t="s">
        <v>19</v>
      </c>
      <c r="D16379" t="s">
        <v>17</v>
      </c>
      <c r="E16379" t="s">
        <v>12</v>
      </c>
      <c r="F16379">
        <v>34849950</v>
      </c>
      <c r="G16379">
        <v>34850010</v>
      </c>
      <c r="H16379">
        <v>34849937</v>
      </c>
      <c r="I16379">
        <v>34849947</v>
      </c>
    </row>
    <row r="16380" spans="1:9" x14ac:dyDescent="0.2">
      <c r="A16380" t="str">
        <f>"Plekhd1"</f>
        <v>Plekhd1</v>
      </c>
      <c r="B16380" t="s">
        <v>14</v>
      </c>
      <c r="C16380" t="s">
        <v>16</v>
      </c>
      <c r="D16380" t="s">
        <v>17</v>
      </c>
      <c r="E16380" t="s">
        <v>67</v>
      </c>
      <c r="F16380">
        <v>80692643</v>
      </c>
      <c r="G16380">
        <v>80692717</v>
      </c>
      <c r="H16380">
        <v>80692617</v>
      </c>
      <c r="I16380">
        <v>80692636</v>
      </c>
    </row>
    <row r="16381" spans="1:9" x14ac:dyDescent="0.2">
      <c r="A16381" t="str">
        <f>"Plekhf1"</f>
        <v>Plekhf1</v>
      </c>
      <c r="B16381" t="s">
        <v>14</v>
      </c>
      <c r="C16381" t="s">
        <v>33</v>
      </c>
      <c r="D16381" t="s">
        <v>11</v>
      </c>
      <c r="E16381" t="s">
        <v>12</v>
      </c>
      <c r="F16381">
        <v>38227975</v>
      </c>
      <c r="G16381">
        <v>38228000</v>
      </c>
      <c r="H16381">
        <v>38227961</v>
      </c>
      <c r="I16381">
        <v>38227972</v>
      </c>
    </row>
    <row r="16382" spans="1:9" x14ac:dyDescent="0.2">
      <c r="A16382" t="str">
        <f>"Plekhf2"</f>
        <v>Plekhf2</v>
      </c>
      <c r="B16382" t="s">
        <v>14</v>
      </c>
      <c r="C16382" t="s">
        <v>23</v>
      </c>
      <c r="D16382" t="s">
        <v>11</v>
      </c>
      <c r="E16382" t="s">
        <v>12</v>
      </c>
      <c r="F16382">
        <v>11007541</v>
      </c>
      <c r="G16382">
        <v>11007634</v>
      </c>
      <c r="H16382">
        <v>11007635</v>
      </c>
      <c r="I16382">
        <v>11007655</v>
      </c>
    </row>
    <row r="16383" spans="1:9" x14ac:dyDescent="0.2">
      <c r="A16383" t="str">
        <f>"Plekhg1"</f>
        <v>Plekhg1</v>
      </c>
      <c r="B16383" t="s">
        <v>14</v>
      </c>
      <c r="C16383" t="s">
        <v>15</v>
      </c>
      <c r="D16383" t="s">
        <v>17</v>
      </c>
      <c r="E16383" t="s">
        <v>12</v>
      </c>
      <c r="F16383">
        <v>3740348</v>
      </c>
      <c r="G16383">
        <v>3740430</v>
      </c>
      <c r="H16383">
        <v>3740644</v>
      </c>
      <c r="I16383">
        <v>3740671</v>
      </c>
    </row>
    <row r="16384" spans="1:9" x14ac:dyDescent="0.2">
      <c r="A16384" t="str">
        <f>"Plekhg2"</f>
        <v>Plekhg2</v>
      </c>
      <c r="B16384" t="s">
        <v>14</v>
      </c>
      <c r="C16384" t="s">
        <v>33</v>
      </c>
      <c r="D16384" t="s">
        <v>11</v>
      </c>
      <c r="E16384" t="s">
        <v>12</v>
      </c>
      <c r="F16384">
        <v>28372563</v>
      </c>
      <c r="G16384">
        <v>28372583</v>
      </c>
      <c r="H16384">
        <v>28372534</v>
      </c>
      <c r="I16384">
        <v>28372547</v>
      </c>
    </row>
    <row r="16385" spans="1:9" x14ac:dyDescent="0.2">
      <c r="A16385" t="str">
        <f>"Plekhg3"</f>
        <v>Plekhg3</v>
      </c>
      <c r="B16385" t="s">
        <v>14</v>
      </c>
      <c r="C16385" t="s">
        <v>16</v>
      </c>
      <c r="D16385" t="s">
        <v>17</v>
      </c>
      <c r="E16385" t="s">
        <v>12</v>
      </c>
      <c r="F16385">
        <v>76533540</v>
      </c>
      <c r="G16385">
        <v>76533597</v>
      </c>
      <c r="H16385">
        <v>76533631</v>
      </c>
      <c r="I16385">
        <v>76533646</v>
      </c>
    </row>
    <row r="16386" spans="1:9" x14ac:dyDescent="0.2">
      <c r="A16386" t="str">
        <f>"Plekhg4"</f>
        <v>Plekhg4</v>
      </c>
      <c r="B16386" t="s">
        <v>9</v>
      </c>
      <c r="C16386" t="s">
        <v>30</v>
      </c>
      <c r="D16386" t="s">
        <v>17</v>
      </c>
      <c r="E16386" t="s">
        <v>12</v>
      </c>
      <c r="F16386">
        <v>105373265</v>
      </c>
      <c r="G16386">
        <v>105373277</v>
      </c>
      <c r="H16386">
        <v>105373265</v>
      </c>
      <c r="I16386">
        <v>105373277</v>
      </c>
    </row>
    <row r="16387" spans="1:9" x14ac:dyDescent="0.2">
      <c r="A16387" t="str">
        <f>"Plekhg4"</f>
        <v>Plekhg4</v>
      </c>
      <c r="B16387" t="s">
        <v>13</v>
      </c>
      <c r="C16387" t="s">
        <v>30</v>
      </c>
      <c r="D16387" t="s">
        <v>17</v>
      </c>
      <c r="E16387" t="s">
        <v>12</v>
      </c>
      <c r="F16387">
        <v>105374868</v>
      </c>
      <c r="G16387">
        <v>105374878</v>
      </c>
      <c r="H16387">
        <v>105374868</v>
      </c>
      <c r="I16387">
        <v>105374878</v>
      </c>
    </row>
    <row r="16388" spans="1:9" x14ac:dyDescent="0.2">
      <c r="A16388" t="str">
        <f>"Plekhg5"</f>
        <v>Plekhg5</v>
      </c>
      <c r="B16388" t="s">
        <v>14</v>
      </c>
      <c r="C16388" t="s">
        <v>23</v>
      </c>
      <c r="D16388" t="s">
        <v>17</v>
      </c>
      <c r="E16388" t="s">
        <v>12</v>
      </c>
      <c r="F16388">
        <v>152086830</v>
      </c>
      <c r="G16388">
        <v>152086893</v>
      </c>
      <c r="H16388">
        <v>152086830</v>
      </c>
      <c r="I16388">
        <v>152086893</v>
      </c>
    </row>
    <row r="16389" spans="1:9" x14ac:dyDescent="0.2">
      <c r="A16389" t="str">
        <f>"Plekhg6"</f>
        <v>Plekhg6</v>
      </c>
      <c r="B16389" t="s">
        <v>14</v>
      </c>
      <c r="C16389" t="s">
        <v>32</v>
      </c>
      <c r="D16389" t="s">
        <v>11</v>
      </c>
      <c r="E16389" t="s">
        <v>12</v>
      </c>
      <c r="F16389">
        <v>125380460</v>
      </c>
      <c r="G16389">
        <v>125380502</v>
      </c>
      <c r="H16389">
        <v>125380503</v>
      </c>
      <c r="I16389">
        <v>125380526</v>
      </c>
    </row>
    <row r="16390" spans="1:9" x14ac:dyDescent="0.2">
      <c r="A16390" t="str">
        <f>"Plekhh1"</f>
        <v>Plekhh1</v>
      </c>
      <c r="B16390" t="s">
        <v>14</v>
      </c>
      <c r="C16390" t="s">
        <v>16</v>
      </c>
      <c r="D16390" t="s">
        <v>17</v>
      </c>
      <c r="E16390" t="s">
        <v>12</v>
      </c>
      <c r="F16390">
        <v>79029150</v>
      </c>
      <c r="G16390">
        <v>79029193</v>
      </c>
      <c r="H16390">
        <v>79029196</v>
      </c>
      <c r="I16390">
        <v>79029218</v>
      </c>
    </row>
    <row r="16391" spans="1:9" x14ac:dyDescent="0.2">
      <c r="A16391" t="str">
        <f>"Plekhh2"</f>
        <v>Plekhh2</v>
      </c>
      <c r="B16391" t="s">
        <v>14</v>
      </c>
      <c r="C16391" t="s">
        <v>28</v>
      </c>
      <c r="D16391" t="s">
        <v>17</v>
      </c>
      <c r="E16391" t="s">
        <v>12</v>
      </c>
      <c r="F16391">
        <v>84511832</v>
      </c>
      <c r="G16391">
        <v>84511913</v>
      </c>
      <c r="H16391">
        <v>84511822</v>
      </c>
      <c r="I16391">
        <v>84511829</v>
      </c>
    </row>
    <row r="16392" spans="1:9" x14ac:dyDescent="0.2">
      <c r="A16392" t="str">
        <f>"Plekhh3"</f>
        <v>Plekhh3</v>
      </c>
      <c r="B16392" t="s">
        <v>14</v>
      </c>
      <c r="C16392" t="s">
        <v>27</v>
      </c>
      <c r="D16392" t="s">
        <v>11</v>
      </c>
      <c r="E16392" t="s">
        <v>12</v>
      </c>
      <c r="F16392">
        <v>101171302</v>
      </c>
      <c r="G16392">
        <v>101171353</v>
      </c>
      <c r="H16392">
        <v>101171288</v>
      </c>
      <c r="I16392">
        <v>101171300</v>
      </c>
    </row>
    <row r="16393" spans="1:9" x14ac:dyDescent="0.2">
      <c r="A16393" t="str">
        <f>"Plekhj1"</f>
        <v>Plekhj1</v>
      </c>
      <c r="B16393" t="s">
        <v>14</v>
      </c>
      <c r="C16393" t="s">
        <v>15</v>
      </c>
      <c r="D16393" t="s">
        <v>11</v>
      </c>
      <c r="E16393" t="s">
        <v>12</v>
      </c>
      <c r="F16393">
        <v>80798220</v>
      </c>
      <c r="G16393">
        <v>80798299</v>
      </c>
      <c r="H16393">
        <v>80798476</v>
      </c>
      <c r="I16393">
        <v>80798576</v>
      </c>
    </row>
    <row r="16394" spans="1:9" x14ac:dyDescent="0.2">
      <c r="A16394" t="str">
        <f>"Plekhm1"</f>
        <v>Plekhm1</v>
      </c>
      <c r="B16394" t="s">
        <v>14</v>
      </c>
      <c r="C16394" t="s">
        <v>27</v>
      </c>
      <c r="D16394" t="s">
        <v>11</v>
      </c>
      <c r="E16394" t="s">
        <v>12</v>
      </c>
      <c r="F16394">
        <v>103412668</v>
      </c>
      <c r="G16394">
        <v>103412711</v>
      </c>
      <c r="H16394">
        <v>103412654</v>
      </c>
      <c r="I16394">
        <v>103412666</v>
      </c>
    </row>
    <row r="16395" spans="1:9" x14ac:dyDescent="0.2">
      <c r="A16395" t="str">
        <f>"Plekhm2"</f>
        <v>Plekhm2</v>
      </c>
      <c r="B16395" t="s">
        <v>9</v>
      </c>
      <c r="C16395" t="s">
        <v>23</v>
      </c>
      <c r="D16395" t="s">
        <v>11</v>
      </c>
      <c r="E16395" t="s">
        <v>12</v>
      </c>
      <c r="F16395">
        <v>141664063</v>
      </c>
      <c r="G16395">
        <v>141664170</v>
      </c>
      <c r="H16395">
        <v>141664063</v>
      </c>
      <c r="I16395">
        <v>141664170</v>
      </c>
    </row>
    <row r="16396" spans="1:9" x14ac:dyDescent="0.2">
      <c r="A16396" t="str">
        <f>"Plekhm2"</f>
        <v>Plekhm2</v>
      </c>
      <c r="B16396" t="s">
        <v>13</v>
      </c>
      <c r="C16396" t="s">
        <v>23</v>
      </c>
      <c r="D16396" t="s">
        <v>11</v>
      </c>
      <c r="E16396" t="s">
        <v>12</v>
      </c>
      <c r="F16396">
        <v>141642168</v>
      </c>
      <c r="G16396">
        <v>141642201</v>
      </c>
      <c r="H16396">
        <v>141642168</v>
      </c>
      <c r="I16396">
        <v>141642201</v>
      </c>
    </row>
    <row r="16397" spans="1:9" x14ac:dyDescent="0.2">
      <c r="A16397" t="str">
        <f>"Plekhm3"</f>
        <v>Plekhm3</v>
      </c>
      <c r="B16397" t="s">
        <v>9</v>
      </c>
      <c r="C16397" t="s">
        <v>19</v>
      </c>
      <c r="D16397" t="s">
        <v>11</v>
      </c>
      <c r="E16397" t="s">
        <v>12</v>
      </c>
      <c r="F16397">
        <v>64956731</v>
      </c>
      <c r="G16397">
        <v>64956782</v>
      </c>
      <c r="H16397">
        <v>64956731</v>
      </c>
      <c r="I16397">
        <v>64956782</v>
      </c>
    </row>
    <row r="16398" spans="1:9" x14ac:dyDescent="0.2">
      <c r="A16398" t="str">
        <f>"Plekhm3"</f>
        <v>Plekhm3</v>
      </c>
      <c r="B16398" t="s">
        <v>13</v>
      </c>
      <c r="C16398" t="s">
        <v>19</v>
      </c>
      <c r="D16398" t="s">
        <v>11</v>
      </c>
      <c r="E16398" t="s">
        <v>12</v>
      </c>
      <c r="F16398">
        <v>64928076</v>
      </c>
      <c r="G16398">
        <v>64928096</v>
      </c>
      <c r="H16398">
        <v>64928076</v>
      </c>
      <c r="I16398">
        <v>64928096</v>
      </c>
    </row>
    <row r="16399" spans="1:9" x14ac:dyDescent="0.2">
      <c r="A16399" t="str">
        <f>"Plekhn1"</f>
        <v>Plekhn1</v>
      </c>
      <c r="B16399" t="s">
        <v>14</v>
      </c>
      <c r="C16399" t="s">
        <v>23</v>
      </c>
      <c r="D16399" t="s">
        <v>11</v>
      </c>
      <c r="E16399" t="s">
        <v>12</v>
      </c>
      <c r="F16399">
        <v>156228504</v>
      </c>
      <c r="G16399">
        <v>156228538</v>
      </c>
      <c r="H16399">
        <v>156228540</v>
      </c>
      <c r="I16399">
        <v>156228570</v>
      </c>
    </row>
    <row r="16400" spans="1:9" x14ac:dyDescent="0.2">
      <c r="A16400" t="str">
        <f>"Plekho1"</f>
        <v>Plekho1</v>
      </c>
      <c r="B16400" t="s">
        <v>14</v>
      </c>
      <c r="C16400" t="s">
        <v>22</v>
      </c>
      <c r="D16400" t="s">
        <v>11</v>
      </c>
      <c r="E16400" t="s">
        <v>12</v>
      </c>
      <c r="F16400">
        <v>95995936</v>
      </c>
      <c r="G16400">
        <v>95995955</v>
      </c>
      <c r="H16400">
        <v>95995835</v>
      </c>
      <c r="I16400">
        <v>95995857</v>
      </c>
    </row>
    <row r="16401" spans="1:9" x14ac:dyDescent="0.2">
      <c r="A16401" t="str">
        <f>"Plekho2"</f>
        <v>Plekho2</v>
      </c>
      <c r="B16401" t="s">
        <v>14</v>
      </c>
      <c r="C16401" t="s">
        <v>24</v>
      </c>
      <c r="D16401" t="s">
        <v>11</v>
      </c>
      <c r="E16401" t="s">
        <v>12</v>
      </c>
      <c r="F16401">
        <v>65580043</v>
      </c>
      <c r="G16401">
        <v>65580061</v>
      </c>
      <c r="H16401">
        <v>65580081</v>
      </c>
      <c r="I16401">
        <v>65580086</v>
      </c>
    </row>
    <row r="16402" spans="1:9" x14ac:dyDescent="0.2">
      <c r="A16402" t="str">
        <f>"Plekhs1"</f>
        <v>Plekhs1</v>
      </c>
      <c r="B16402" t="s">
        <v>14</v>
      </c>
      <c r="C16402" t="s">
        <v>10</v>
      </c>
      <c r="D16402" t="s">
        <v>17</v>
      </c>
      <c r="E16402" t="s">
        <v>67</v>
      </c>
      <c r="F16402">
        <v>56461629</v>
      </c>
      <c r="G16402">
        <v>56461646</v>
      </c>
      <c r="H16402">
        <v>56461617</v>
      </c>
      <c r="I16402">
        <v>56461628</v>
      </c>
    </row>
    <row r="16403" spans="1:9" x14ac:dyDescent="0.2">
      <c r="A16403" t="str">
        <f>"Plg"</f>
        <v>Plg</v>
      </c>
      <c r="B16403" t="s">
        <v>14</v>
      </c>
      <c r="C16403" t="s">
        <v>28</v>
      </c>
      <c r="D16403" t="s">
        <v>17</v>
      </c>
      <c r="E16403" t="s">
        <v>12</v>
      </c>
      <c r="F16403">
        <v>12378603</v>
      </c>
      <c r="G16403">
        <v>12378621</v>
      </c>
      <c r="H16403">
        <v>12378629</v>
      </c>
      <c r="I16403">
        <v>12378646</v>
      </c>
    </row>
    <row r="16404" spans="1:9" x14ac:dyDescent="0.2">
      <c r="A16404" t="str">
        <f>"Plgrkt"</f>
        <v>Plgrkt</v>
      </c>
      <c r="B16404" t="s">
        <v>14</v>
      </c>
      <c r="C16404" t="s">
        <v>10</v>
      </c>
      <c r="D16404" t="s">
        <v>11</v>
      </c>
      <c r="E16404" t="s">
        <v>67</v>
      </c>
      <c r="F16404">
        <v>29361830</v>
      </c>
      <c r="G16404">
        <v>29361894</v>
      </c>
      <c r="H16404">
        <v>29361830</v>
      </c>
      <c r="I16404">
        <v>29361894</v>
      </c>
    </row>
    <row r="16405" spans="1:9" x14ac:dyDescent="0.2">
      <c r="A16405" t="str">
        <f>"Plin1"</f>
        <v>Plin1</v>
      </c>
      <c r="B16405" t="s">
        <v>14</v>
      </c>
      <c r="C16405" t="s">
        <v>33</v>
      </c>
      <c r="D16405" t="s">
        <v>11</v>
      </c>
      <c r="E16405" t="s">
        <v>12</v>
      </c>
      <c r="F16405">
        <v>79732755</v>
      </c>
      <c r="G16405">
        <v>79732847</v>
      </c>
      <c r="H16405">
        <v>79732163</v>
      </c>
      <c r="I16405">
        <v>79732177</v>
      </c>
    </row>
    <row r="16406" spans="1:9" x14ac:dyDescent="0.2">
      <c r="A16406" t="str">
        <f>"Plin2"</f>
        <v>Plin2</v>
      </c>
      <c r="B16406" t="s">
        <v>14</v>
      </c>
      <c r="C16406" t="s">
        <v>23</v>
      </c>
      <c r="D16406" t="s">
        <v>11</v>
      </c>
      <c r="E16406" t="s">
        <v>12</v>
      </c>
      <c r="F16406">
        <v>86669986</v>
      </c>
      <c r="G16406">
        <v>86670025</v>
      </c>
      <c r="H16406">
        <v>86670030</v>
      </c>
      <c r="I16406">
        <v>86670043</v>
      </c>
    </row>
    <row r="16407" spans="1:9" x14ac:dyDescent="0.2">
      <c r="A16407" t="str">
        <f>"Plin3"</f>
        <v>Plin3</v>
      </c>
      <c r="B16407" t="s">
        <v>14</v>
      </c>
      <c r="C16407" t="s">
        <v>28</v>
      </c>
      <c r="D16407" t="s">
        <v>11</v>
      </c>
      <c r="E16407" t="s">
        <v>12</v>
      </c>
      <c r="F16407">
        <v>56290499</v>
      </c>
      <c r="G16407">
        <v>56290529</v>
      </c>
      <c r="H16407">
        <v>56290534</v>
      </c>
      <c r="I16407">
        <v>56290543</v>
      </c>
    </row>
    <row r="16408" spans="1:9" x14ac:dyDescent="0.2">
      <c r="A16408" t="str">
        <f>"Plin4"</f>
        <v>Plin4</v>
      </c>
      <c r="B16408" t="s">
        <v>14</v>
      </c>
      <c r="C16408" t="s">
        <v>28</v>
      </c>
      <c r="D16408" t="s">
        <v>11</v>
      </c>
      <c r="E16408" t="s">
        <v>12</v>
      </c>
      <c r="F16408">
        <v>56109775</v>
      </c>
      <c r="G16408">
        <v>56109794</v>
      </c>
      <c r="H16408">
        <v>56109717</v>
      </c>
      <c r="I16408">
        <v>56109737</v>
      </c>
    </row>
    <row r="16409" spans="1:9" x14ac:dyDescent="0.2">
      <c r="A16409" t="str">
        <f>"Plin5"</f>
        <v>Plin5</v>
      </c>
      <c r="B16409" t="s">
        <v>14</v>
      </c>
      <c r="C16409" t="s">
        <v>28</v>
      </c>
      <c r="D16409" t="s">
        <v>11</v>
      </c>
      <c r="E16409" t="s">
        <v>12</v>
      </c>
      <c r="F16409">
        <v>56117265</v>
      </c>
      <c r="G16409">
        <v>56117283</v>
      </c>
      <c r="H16409">
        <v>56117537</v>
      </c>
      <c r="I16409">
        <v>56117551</v>
      </c>
    </row>
    <row r="16410" spans="1:9" x14ac:dyDescent="0.2">
      <c r="A16410" t="str">
        <f>"Plk1"</f>
        <v>Plk1</v>
      </c>
      <c r="B16410" t="s">
        <v>9</v>
      </c>
      <c r="C16410" t="s">
        <v>33</v>
      </c>
      <c r="D16410" t="s">
        <v>17</v>
      </c>
      <c r="E16410" t="s">
        <v>12</v>
      </c>
      <c r="F16410">
        <v>122159422</v>
      </c>
      <c r="G16410">
        <v>122159501</v>
      </c>
      <c r="H16410">
        <v>122159422</v>
      </c>
      <c r="I16410">
        <v>122159501</v>
      </c>
    </row>
    <row r="16411" spans="1:9" x14ac:dyDescent="0.2">
      <c r="A16411" t="str">
        <f>"Plk1"</f>
        <v>Plk1</v>
      </c>
      <c r="B16411" t="s">
        <v>13</v>
      </c>
      <c r="C16411" t="s">
        <v>33</v>
      </c>
      <c r="D16411" t="s">
        <v>17</v>
      </c>
      <c r="E16411" t="s">
        <v>12</v>
      </c>
      <c r="F16411">
        <v>122133036</v>
      </c>
      <c r="G16411">
        <v>122133050</v>
      </c>
      <c r="H16411">
        <v>122133036</v>
      </c>
      <c r="I16411">
        <v>122133050</v>
      </c>
    </row>
    <row r="16412" spans="1:9" x14ac:dyDescent="0.2">
      <c r="A16412" t="str">
        <f>"Plk1s1"</f>
        <v>Plk1s1</v>
      </c>
      <c r="B16412" t="s">
        <v>14</v>
      </c>
      <c r="C16412" t="s">
        <v>26</v>
      </c>
      <c r="D16412" t="s">
        <v>17</v>
      </c>
      <c r="E16412" t="s">
        <v>12</v>
      </c>
      <c r="F16412">
        <v>146855861</v>
      </c>
      <c r="G16412">
        <v>146855926</v>
      </c>
      <c r="H16412">
        <v>146855815</v>
      </c>
      <c r="I16412">
        <v>146855825</v>
      </c>
    </row>
    <row r="16413" spans="1:9" x14ac:dyDescent="0.2">
      <c r="A16413" t="str">
        <f>"Plk2"</f>
        <v>Plk2</v>
      </c>
      <c r="B16413" t="s">
        <v>14</v>
      </c>
      <c r="C16413" t="s">
        <v>39</v>
      </c>
      <c r="D16413" t="s">
        <v>17</v>
      </c>
      <c r="E16413" t="s">
        <v>12</v>
      </c>
      <c r="F16413">
        <v>110395041</v>
      </c>
      <c r="G16413">
        <v>110395057</v>
      </c>
      <c r="H16413">
        <v>110395357</v>
      </c>
      <c r="I16413">
        <v>110395405</v>
      </c>
    </row>
    <row r="16414" spans="1:9" x14ac:dyDescent="0.2">
      <c r="A16414" t="str">
        <f>"Plk3"</f>
        <v>Plk3</v>
      </c>
      <c r="B16414" t="s">
        <v>14</v>
      </c>
      <c r="C16414" t="s">
        <v>23</v>
      </c>
      <c r="D16414" t="s">
        <v>11</v>
      </c>
      <c r="E16414" t="s">
        <v>12</v>
      </c>
      <c r="F16414">
        <v>117133953</v>
      </c>
      <c r="G16414">
        <v>117133969</v>
      </c>
      <c r="H16414">
        <v>117133682</v>
      </c>
      <c r="I16414">
        <v>117133687</v>
      </c>
    </row>
    <row r="16415" spans="1:9" x14ac:dyDescent="0.2">
      <c r="A16415" t="str">
        <f>"Plk4"</f>
        <v>Plk4</v>
      </c>
      <c r="B16415" t="s">
        <v>14</v>
      </c>
      <c r="C16415" t="s">
        <v>22</v>
      </c>
      <c r="D16415" t="s">
        <v>17</v>
      </c>
      <c r="E16415" t="s">
        <v>12</v>
      </c>
      <c r="F16415">
        <v>40800013</v>
      </c>
      <c r="G16415">
        <v>40800050</v>
      </c>
      <c r="H16415">
        <v>40800057</v>
      </c>
      <c r="I16415">
        <v>40800068</v>
      </c>
    </row>
    <row r="16416" spans="1:9" x14ac:dyDescent="0.2">
      <c r="A16416" t="str">
        <f>"Plk5"</f>
        <v>Plk5</v>
      </c>
      <c r="B16416" t="s">
        <v>9</v>
      </c>
      <c r="C16416" t="s">
        <v>15</v>
      </c>
      <c r="D16416" t="s">
        <v>17</v>
      </c>
      <c r="E16416" t="s">
        <v>12</v>
      </c>
      <c r="F16416">
        <v>80356480</v>
      </c>
      <c r="G16416">
        <v>80356494</v>
      </c>
      <c r="H16416">
        <v>80356480</v>
      </c>
      <c r="I16416">
        <v>80356494</v>
      </c>
    </row>
    <row r="16417" spans="1:9" x14ac:dyDescent="0.2">
      <c r="A16417" t="str">
        <f>"Plk5"</f>
        <v>Plk5</v>
      </c>
      <c r="B16417" t="s">
        <v>13</v>
      </c>
      <c r="C16417" t="s">
        <v>15</v>
      </c>
      <c r="D16417" t="s">
        <v>17</v>
      </c>
      <c r="E16417" t="s">
        <v>12</v>
      </c>
      <c r="F16417">
        <v>80357628</v>
      </c>
      <c r="G16417">
        <v>80357654</v>
      </c>
      <c r="H16417">
        <v>80357628</v>
      </c>
      <c r="I16417">
        <v>80357654</v>
      </c>
    </row>
    <row r="16418" spans="1:9" x14ac:dyDescent="0.2">
      <c r="A16418" t="str">
        <f>"Pllp"</f>
        <v>Pllp</v>
      </c>
      <c r="B16418" t="s">
        <v>14</v>
      </c>
      <c r="C16418" t="s">
        <v>30</v>
      </c>
      <c r="D16418" t="s">
        <v>11</v>
      </c>
      <c r="E16418" t="s">
        <v>12</v>
      </c>
      <c r="F16418">
        <v>94696223</v>
      </c>
      <c r="G16418">
        <v>94696287</v>
      </c>
      <c r="H16418">
        <v>94696223</v>
      </c>
      <c r="I16418">
        <v>94696287</v>
      </c>
    </row>
    <row r="16419" spans="1:9" x14ac:dyDescent="0.2">
      <c r="A16419" t="str">
        <f>"Pln"</f>
        <v>Pln</v>
      </c>
      <c r="B16419" t="s">
        <v>14</v>
      </c>
      <c r="C16419" t="s">
        <v>15</v>
      </c>
      <c r="D16419" t="s">
        <v>17</v>
      </c>
      <c r="E16419" t="s">
        <v>12</v>
      </c>
      <c r="F16419">
        <v>53337726</v>
      </c>
      <c r="G16419">
        <v>53337758</v>
      </c>
      <c r="H16419">
        <v>53337698</v>
      </c>
      <c r="I16419">
        <v>53337724</v>
      </c>
    </row>
    <row r="16420" spans="1:9" x14ac:dyDescent="0.2">
      <c r="A16420" t="str">
        <f>"Plod1"</f>
        <v>Plod1</v>
      </c>
      <c r="B16420" t="s">
        <v>14</v>
      </c>
      <c r="C16420" t="s">
        <v>23</v>
      </c>
      <c r="D16420" t="s">
        <v>11</v>
      </c>
      <c r="E16420" t="s">
        <v>12</v>
      </c>
      <c r="F16420">
        <v>147936713</v>
      </c>
      <c r="G16420">
        <v>147936733</v>
      </c>
      <c r="H16420">
        <v>147936713</v>
      </c>
      <c r="I16420">
        <v>147936733</v>
      </c>
    </row>
    <row r="16421" spans="1:9" x14ac:dyDescent="0.2">
      <c r="A16421" t="str">
        <f>"Plod2"</f>
        <v>Plod2</v>
      </c>
      <c r="B16421" t="s">
        <v>14</v>
      </c>
      <c r="C16421" t="s">
        <v>24</v>
      </c>
      <c r="D16421" t="s">
        <v>17</v>
      </c>
      <c r="E16421" t="s">
        <v>12</v>
      </c>
      <c r="F16421">
        <v>92542255</v>
      </c>
      <c r="G16421">
        <v>92542272</v>
      </c>
      <c r="H16421">
        <v>92542430</v>
      </c>
      <c r="I16421">
        <v>92542439</v>
      </c>
    </row>
    <row r="16422" spans="1:9" x14ac:dyDescent="0.2">
      <c r="A16422" t="str">
        <f>"Plod3"</f>
        <v>Plod3</v>
      </c>
      <c r="B16422" t="s">
        <v>14</v>
      </c>
      <c r="C16422" t="s">
        <v>46</v>
      </c>
      <c r="D16422" t="s">
        <v>17</v>
      </c>
      <c r="E16422" t="s">
        <v>12</v>
      </c>
      <c r="F16422">
        <v>136987584</v>
      </c>
      <c r="G16422">
        <v>136987642</v>
      </c>
      <c r="H16422">
        <v>136987388</v>
      </c>
      <c r="I16422">
        <v>136987414</v>
      </c>
    </row>
    <row r="16423" spans="1:9" x14ac:dyDescent="0.2">
      <c r="A16423" t="str">
        <f>"Plp1"</f>
        <v>Plp1</v>
      </c>
      <c r="B16423" t="s">
        <v>14</v>
      </c>
      <c r="C16423" t="s">
        <v>37</v>
      </c>
      <c r="D16423" t="s">
        <v>17</v>
      </c>
      <c r="E16423" t="s">
        <v>12</v>
      </c>
      <c r="F16423">
        <v>136822737</v>
      </c>
      <c r="G16423">
        <v>136822780</v>
      </c>
      <c r="H16423">
        <v>136822781</v>
      </c>
      <c r="I16423">
        <v>136822840</v>
      </c>
    </row>
    <row r="16424" spans="1:9" x14ac:dyDescent="0.2">
      <c r="A16424" t="str">
        <f>"Plp2"</f>
        <v>Plp2</v>
      </c>
      <c r="B16424" t="s">
        <v>14</v>
      </c>
      <c r="C16424" t="s">
        <v>37</v>
      </c>
      <c r="D16424" t="s">
        <v>11</v>
      </c>
      <c r="E16424" t="s">
        <v>12</v>
      </c>
      <c r="F16424">
        <v>7671341</v>
      </c>
      <c r="G16424">
        <v>7671397</v>
      </c>
      <c r="H16424">
        <v>7671400</v>
      </c>
      <c r="I16424">
        <v>7671412</v>
      </c>
    </row>
    <row r="16425" spans="1:9" x14ac:dyDescent="0.2">
      <c r="A16425" t="str">
        <f>"Plrg1"</f>
        <v>Plrg1</v>
      </c>
      <c r="B16425" t="s">
        <v>14</v>
      </c>
      <c r="C16425" t="s">
        <v>22</v>
      </c>
      <c r="D16425" t="s">
        <v>17</v>
      </c>
      <c r="E16425" t="s">
        <v>12</v>
      </c>
      <c r="F16425">
        <v>83055516</v>
      </c>
      <c r="G16425">
        <v>83055565</v>
      </c>
      <c r="H16425">
        <v>83055575</v>
      </c>
      <c r="I16425">
        <v>83055585</v>
      </c>
    </row>
    <row r="16426" spans="1:9" x14ac:dyDescent="0.2">
      <c r="A16426" t="str">
        <f>"Pls1"</f>
        <v>Pls1</v>
      </c>
      <c r="B16426" t="s">
        <v>9</v>
      </c>
      <c r="C16426" t="s">
        <v>24</v>
      </c>
      <c r="D16426" t="s">
        <v>11</v>
      </c>
      <c r="E16426" t="s">
        <v>12</v>
      </c>
      <c r="F16426">
        <v>95815343</v>
      </c>
      <c r="G16426">
        <v>95815374</v>
      </c>
      <c r="H16426">
        <v>95815343</v>
      </c>
      <c r="I16426">
        <v>95815374</v>
      </c>
    </row>
    <row r="16427" spans="1:9" x14ac:dyDescent="0.2">
      <c r="A16427" t="str">
        <f>"Pls1"</f>
        <v>Pls1</v>
      </c>
      <c r="B16427" t="s">
        <v>13</v>
      </c>
      <c r="C16427" t="s">
        <v>24</v>
      </c>
      <c r="D16427" t="s">
        <v>11</v>
      </c>
      <c r="E16427" t="s">
        <v>12</v>
      </c>
      <c r="F16427">
        <v>95845215</v>
      </c>
      <c r="G16427">
        <v>95845285</v>
      </c>
      <c r="H16427">
        <v>95845215</v>
      </c>
      <c r="I16427">
        <v>95845285</v>
      </c>
    </row>
    <row r="16428" spans="1:9" x14ac:dyDescent="0.2">
      <c r="A16428" t="str">
        <f>"Pls3"</f>
        <v>Pls3</v>
      </c>
      <c r="B16428" t="s">
        <v>14</v>
      </c>
      <c r="C16428" t="s">
        <v>37</v>
      </c>
      <c r="D16428" t="s">
        <v>11</v>
      </c>
      <c r="E16428" t="s">
        <v>12</v>
      </c>
      <c r="F16428">
        <v>75875101</v>
      </c>
      <c r="G16428">
        <v>75875151</v>
      </c>
      <c r="H16428">
        <v>75874536</v>
      </c>
      <c r="I16428">
        <v>75874590</v>
      </c>
    </row>
    <row r="16429" spans="1:9" x14ac:dyDescent="0.2">
      <c r="A16429" t="str">
        <f>"Plscr1"</f>
        <v>Plscr1</v>
      </c>
      <c r="B16429" t="s">
        <v>14</v>
      </c>
      <c r="C16429" t="s">
        <v>24</v>
      </c>
      <c r="D16429" t="s">
        <v>17</v>
      </c>
      <c r="E16429" t="s">
        <v>12</v>
      </c>
      <c r="F16429">
        <v>92250195</v>
      </c>
      <c r="G16429">
        <v>92250274</v>
      </c>
      <c r="H16429">
        <v>92250300</v>
      </c>
      <c r="I16429">
        <v>92250311</v>
      </c>
    </row>
    <row r="16430" spans="1:9" x14ac:dyDescent="0.2">
      <c r="A16430" t="str">
        <f>"Plscr2"</f>
        <v>Plscr2</v>
      </c>
      <c r="B16430" t="s">
        <v>14</v>
      </c>
      <c r="C16430" t="s">
        <v>24</v>
      </c>
      <c r="D16430" t="s">
        <v>17</v>
      </c>
      <c r="E16430" t="s">
        <v>12</v>
      </c>
      <c r="F16430">
        <v>92275704</v>
      </c>
      <c r="G16430">
        <v>92275740</v>
      </c>
      <c r="H16430">
        <v>92275704</v>
      </c>
      <c r="I16430">
        <v>92275740</v>
      </c>
    </row>
    <row r="16431" spans="1:9" x14ac:dyDescent="0.2">
      <c r="A16431" t="str">
        <f>"Plscr3"</f>
        <v>Plscr3</v>
      </c>
      <c r="B16431" t="s">
        <v>14</v>
      </c>
      <c r="C16431" t="s">
        <v>27</v>
      </c>
      <c r="D16431" t="s">
        <v>17</v>
      </c>
      <c r="E16431" t="s">
        <v>12</v>
      </c>
      <c r="F16431">
        <v>69846610</v>
      </c>
      <c r="G16431">
        <v>69846659</v>
      </c>
      <c r="H16431">
        <v>69846850</v>
      </c>
      <c r="I16431">
        <v>69846947</v>
      </c>
    </row>
    <row r="16432" spans="1:9" x14ac:dyDescent="0.2">
      <c r="A16432" t="str">
        <f>"Plscr4"</f>
        <v>Plscr4</v>
      </c>
      <c r="B16432" t="s">
        <v>14</v>
      </c>
      <c r="C16432" t="s">
        <v>24</v>
      </c>
      <c r="D16432" t="s">
        <v>17</v>
      </c>
      <c r="E16432" t="s">
        <v>12</v>
      </c>
      <c r="F16432">
        <v>92457786</v>
      </c>
      <c r="G16432">
        <v>92457896</v>
      </c>
      <c r="H16432">
        <v>92457369</v>
      </c>
      <c r="I16432">
        <v>92457389</v>
      </c>
    </row>
    <row r="16433" spans="1:9" x14ac:dyDescent="0.2">
      <c r="A16433" t="str">
        <f>"Plscr5"</f>
        <v>Plscr5</v>
      </c>
      <c r="B16433" t="s">
        <v>14</v>
      </c>
      <c r="C16433" t="s">
        <v>24</v>
      </c>
      <c r="D16433" t="s">
        <v>17</v>
      </c>
      <c r="E16433" t="s">
        <v>12</v>
      </c>
      <c r="F16433">
        <v>92193101</v>
      </c>
      <c r="G16433">
        <v>92193118</v>
      </c>
      <c r="H16433">
        <v>92193101</v>
      </c>
      <c r="I16433">
        <v>92193118</v>
      </c>
    </row>
    <row r="16434" spans="1:9" x14ac:dyDescent="0.2">
      <c r="A16434" t="str">
        <f>"Pltp"</f>
        <v>Pltp</v>
      </c>
      <c r="B16434" t="s">
        <v>14</v>
      </c>
      <c r="C16434" t="s">
        <v>26</v>
      </c>
      <c r="D16434" t="s">
        <v>11</v>
      </c>
      <c r="E16434" t="s">
        <v>12</v>
      </c>
      <c r="F16434">
        <v>164857634</v>
      </c>
      <c r="G16434">
        <v>164857652</v>
      </c>
      <c r="H16434">
        <v>164857671</v>
      </c>
      <c r="I16434">
        <v>164857682</v>
      </c>
    </row>
    <row r="16435" spans="1:9" x14ac:dyDescent="0.2">
      <c r="A16435" t="str">
        <f>"Plvap"</f>
        <v>Plvap</v>
      </c>
      <c r="B16435" t="s">
        <v>14</v>
      </c>
      <c r="C16435" t="s">
        <v>30</v>
      </c>
      <c r="D16435" t="s">
        <v>11</v>
      </c>
      <c r="E16435" t="s">
        <v>12</v>
      </c>
      <c r="F16435">
        <v>71511762</v>
      </c>
      <c r="G16435">
        <v>71511778</v>
      </c>
      <c r="H16435">
        <v>71511735</v>
      </c>
      <c r="I16435">
        <v>71511761</v>
      </c>
    </row>
    <row r="16436" spans="1:9" x14ac:dyDescent="0.2">
      <c r="A16436" t="str">
        <f>"Plxdc1"</f>
        <v>Plxdc1</v>
      </c>
      <c r="B16436" t="s">
        <v>14</v>
      </c>
      <c r="C16436" t="s">
        <v>27</v>
      </c>
      <c r="D16436" t="s">
        <v>11</v>
      </c>
      <c r="E16436" t="s">
        <v>12</v>
      </c>
      <c r="F16436">
        <v>97986384</v>
      </c>
      <c r="G16436">
        <v>97986472</v>
      </c>
      <c r="H16436">
        <v>97986384</v>
      </c>
      <c r="I16436">
        <v>97986472</v>
      </c>
    </row>
    <row r="16437" spans="1:9" x14ac:dyDescent="0.2">
      <c r="A16437" t="str">
        <f>"Plxdc2"</f>
        <v>Plxdc2</v>
      </c>
      <c r="B16437" t="s">
        <v>14</v>
      </c>
      <c r="C16437" t="s">
        <v>26</v>
      </c>
      <c r="D16437" t="s">
        <v>17</v>
      </c>
      <c r="E16437" t="s">
        <v>12</v>
      </c>
      <c r="F16437">
        <v>16356323</v>
      </c>
      <c r="G16437">
        <v>16356357</v>
      </c>
      <c r="H16437">
        <v>16356294</v>
      </c>
      <c r="I16437">
        <v>16356316</v>
      </c>
    </row>
    <row r="16438" spans="1:9" x14ac:dyDescent="0.2">
      <c r="A16438" t="str">
        <f>"Plxna1"</f>
        <v>Plxna1</v>
      </c>
      <c r="B16438" t="s">
        <v>14</v>
      </c>
      <c r="C16438" t="s">
        <v>32</v>
      </c>
      <c r="D16438" t="s">
        <v>11</v>
      </c>
      <c r="E16438" t="s">
        <v>12</v>
      </c>
      <c r="F16438">
        <v>89362553</v>
      </c>
      <c r="G16438">
        <v>89362574</v>
      </c>
      <c r="H16438">
        <v>89362581</v>
      </c>
      <c r="I16438">
        <v>89362637</v>
      </c>
    </row>
    <row r="16439" spans="1:9" x14ac:dyDescent="0.2">
      <c r="A16439" t="str">
        <f>"Plxna2"</f>
        <v>Plxna2</v>
      </c>
      <c r="B16439" t="s">
        <v>14</v>
      </c>
      <c r="C16439" t="s">
        <v>19</v>
      </c>
      <c r="D16439" t="s">
        <v>17</v>
      </c>
      <c r="E16439" t="s">
        <v>12</v>
      </c>
      <c r="F16439">
        <v>194619815</v>
      </c>
      <c r="G16439">
        <v>194619833</v>
      </c>
      <c r="H16439">
        <v>194619850</v>
      </c>
      <c r="I16439">
        <v>194619872</v>
      </c>
    </row>
    <row r="16440" spans="1:9" x14ac:dyDescent="0.2">
      <c r="A16440" t="str">
        <f>"Plxna3"</f>
        <v>Plxna3</v>
      </c>
      <c r="B16440" t="s">
        <v>14</v>
      </c>
      <c r="C16440" t="s">
        <v>37</v>
      </c>
      <c r="D16440" t="s">
        <v>17</v>
      </c>
      <c r="E16440" t="s">
        <v>12</v>
      </c>
      <c r="F16440">
        <v>74329058</v>
      </c>
      <c r="G16440">
        <v>74329076</v>
      </c>
      <c r="H16440">
        <v>74329168</v>
      </c>
      <c r="I16440">
        <v>74329215</v>
      </c>
    </row>
    <row r="16441" spans="1:9" x14ac:dyDescent="0.2">
      <c r="A16441" t="str">
        <f>"Plxna4"</f>
        <v>Plxna4</v>
      </c>
      <c r="B16441" t="s">
        <v>14</v>
      </c>
      <c r="C16441" t="s">
        <v>32</v>
      </c>
      <c r="D16441" t="s">
        <v>11</v>
      </c>
      <c r="E16441" t="s">
        <v>12</v>
      </c>
      <c r="F16441">
        <v>32588195</v>
      </c>
      <c r="G16441">
        <v>32588213</v>
      </c>
      <c r="H16441">
        <v>32588215</v>
      </c>
      <c r="I16441">
        <v>32588238</v>
      </c>
    </row>
    <row r="16442" spans="1:9" x14ac:dyDescent="0.2">
      <c r="A16442" t="str">
        <f>"Plxnb1"</f>
        <v>Plxnb1</v>
      </c>
      <c r="B16442" t="s">
        <v>14</v>
      </c>
      <c r="C16442" t="s">
        <v>24</v>
      </c>
      <c r="D16442" t="s">
        <v>17</v>
      </c>
      <c r="E16442" t="s">
        <v>12</v>
      </c>
      <c r="F16442">
        <v>109095568</v>
      </c>
      <c r="G16442">
        <v>109095600</v>
      </c>
      <c r="H16442">
        <v>109095427</v>
      </c>
      <c r="I16442">
        <v>109095453</v>
      </c>
    </row>
    <row r="16443" spans="1:9" x14ac:dyDescent="0.2">
      <c r="A16443" t="str">
        <f>"Plxnb2"</f>
        <v>Plxnb2</v>
      </c>
      <c r="B16443" t="s">
        <v>14</v>
      </c>
      <c r="C16443" t="s">
        <v>25</v>
      </c>
      <c r="D16443" t="s">
        <v>11</v>
      </c>
      <c r="E16443" t="s">
        <v>12</v>
      </c>
      <c r="F16443">
        <v>89180703</v>
      </c>
      <c r="G16443">
        <v>89180765</v>
      </c>
      <c r="H16443">
        <v>89180681</v>
      </c>
      <c r="I16443">
        <v>89180701</v>
      </c>
    </row>
    <row r="16444" spans="1:9" x14ac:dyDescent="0.2">
      <c r="A16444" t="str">
        <f>"Plxnb3"</f>
        <v>Plxnb3</v>
      </c>
      <c r="B16444" t="s">
        <v>14</v>
      </c>
      <c r="C16444" t="s">
        <v>37</v>
      </c>
      <c r="D16444" t="s">
        <v>17</v>
      </c>
      <c r="E16444" t="s">
        <v>12</v>
      </c>
      <c r="F16444">
        <v>73757069</v>
      </c>
      <c r="G16444">
        <v>73757111</v>
      </c>
      <c r="H16444">
        <v>73757044</v>
      </c>
      <c r="I16444">
        <v>73757061</v>
      </c>
    </row>
    <row r="16445" spans="1:9" x14ac:dyDescent="0.2">
      <c r="A16445" t="str">
        <f>"Plxnc1"</f>
        <v>Plxnc1</v>
      </c>
      <c r="B16445" t="s">
        <v>14</v>
      </c>
      <c r="C16445" t="s">
        <v>15</v>
      </c>
      <c r="D16445" t="s">
        <v>11</v>
      </c>
      <c r="E16445" t="s">
        <v>12</v>
      </c>
      <c r="F16445">
        <v>94944835</v>
      </c>
      <c r="G16445">
        <v>94944862</v>
      </c>
      <c r="H16445">
        <v>94944835</v>
      </c>
      <c r="I16445">
        <v>94944862</v>
      </c>
    </row>
    <row r="16446" spans="1:9" x14ac:dyDescent="0.2">
      <c r="A16446" t="str">
        <f>"Plxnd1"</f>
        <v>Plxnd1</v>
      </c>
      <c r="B16446" t="s">
        <v>14</v>
      </c>
      <c r="C16446" t="s">
        <v>32</v>
      </c>
      <c r="D16446" t="s">
        <v>11</v>
      </c>
      <c r="E16446" t="s">
        <v>12</v>
      </c>
      <c r="F16446">
        <v>115994828</v>
      </c>
      <c r="G16446">
        <v>115994857</v>
      </c>
      <c r="H16446">
        <v>115994953</v>
      </c>
      <c r="I16446">
        <v>115995010</v>
      </c>
    </row>
    <row r="16447" spans="1:9" x14ac:dyDescent="0.2">
      <c r="A16447" t="str">
        <f>"Pm20d1"</f>
        <v>Pm20d1</v>
      </c>
      <c r="B16447" t="s">
        <v>14</v>
      </c>
      <c r="C16447" t="s">
        <v>19</v>
      </c>
      <c r="D16447" t="s">
        <v>17</v>
      </c>
      <c r="E16447" t="s">
        <v>12</v>
      </c>
      <c r="F16447">
        <v>131797383</v>
      </c>
      <c r="G16447">
        <v>131797418</v>
      </c>
      <c r="H16447">
        <v>131797383</v>
      </c>
      <c r="I16447">
        <v>131797418</v>
      </c>
    </row>
    <row r="16448" spans="1:9" x14ac:dyDescent="0.2">
      <c r="A16448" t="str">
        <f>"Pm20d2"</f>
        <v>Pm20d2</v>
      </c>
      <c r="B16448" t="s">
        <v>14</v>
      </c>
      <c r="C16448" t="s">
        <v>23</v>
      </c>
      <c r="D16448" t="s">
        <v>11</v>
      </c>
      <c r="E16448" t="s">
        <v>12</v>
      </c>
      <c r="F16448">
        <v>33189410</v>
      </c>
      <c r="G16448">
        <v>33189455</v>
      </c>
      <c r="H16448">
        <v>33189390</v>
      </c>
      <c r="I16448">
        <v>33189409</v>
      </c>
    </row>
    <row r="16449" spans="1:9" x14ac:dyDescent="0.2">
      <c r="A16449" t="str">
        <f>"Pmaip1"</f>
        <v>Pmaip1</v>
      </c>
      <c r="B16449" t="s">
        <v>14</v>
      </c>
      <c r="C16449" t="s">
        <v>43</v>
      </c>
      <c r="D16449" t="s">
        <v>17</v>
      </c>
      <c r="E16449" t="s">
        <v>12</v>
      </c>
      <c r="F16449">
        <v>66458587</v>
      </c>
      <c r="G16449">
        <v>66458604</v>
      </c>
      <c r="H16449">
        <v>66458257</v>
      </c>
      <c r="I16449">
        <v>66458288</v>
      </c>
    </row>
    <row r="16450" spans="1:9" x14ac:dyDescent="0.2">
      <c r="A16450" t="str">
        <f>"Pmch"</f>
        <v>Pmch</v>
      </c>
      <c r="B16450" t="s">
        <v>14</v>
      </c>
      <c r="C16450" t="s">
        <v>15</v>
      </c>
      <c r="D16450" t="s">
        <v>17</v>
      </c>
      <c r="E16450" t="s">
        <v>12</v>
      </c>
      <c r="F16450">
        <v>88091070</v>
      </c>
      <c r="G16450">
        <v>88091076</v>
      </c>
      <c r="H16450">
        <v>88091070</v>
      </c>
      <c r="I16450">
        <v>88091076</v>
      </c>
    </row>
    <row r="16451" spans="1:9" x14ac:dyDescent="0.2">
      <c r="A16451" t="str">
        <f>"Pmel"</f>
        <v>Pmel</v>
      </c>
      <c r="B16451" t="s">
        <v>14</v>
      </c>
      <c r="C16451" t="s">
        <v>15</v>
      </c>
      <c r="D16451" t="s">
        <v>17</v>
      </c>
      <c r="E16451" t="s">
        <v>12</v>
      </c>
      <c r="F16451">
        <v>128706251</v>
      </c>
      <c r="G16451">
        <v>128706264</v>
      </c>
      <c r="H16451">
        <v>128706251</v>
      </c>
      <c r="I16451">
        <v>128706264</v>
      </c>
    </row>
    <row r="16452" spans="1:9" x14ac:dyDescent="0.2">
      <c r="A16452" t="str">
        <f>"Pmepa1"</f>
        <v>Pmepa1</v>
      </c>
      <c r="B16452" t="s">
        <v>14</v>
      </c>
      <c r="C16452" t="s">
        <v>26</v>
      </c>
      <c r="D16452" t="s">
        <v>11</v>
      </c>
      <c r="E16452" t="s">
        <v>12</v>
      </c>
      <c r="F16452">
        <v>173276526</v>
      </c>
      <c r="G16452">
        <v>173276544</v>
      </c>
      <c r="H16452">
        <v>173276469</v>
      </c>
      <c r="I16452">
        <v>173276499</v>
      </c>
    </row>
    <row r="16453" spans="1:9" x14ac:dyDescent="0.2">
      <c r="A16453" t="str">
        <f>"Pmf1"</f>
        <v>Pmf1</v>
      </c>
      <c r="B16453" t="s">
        <v>14</v>
      </c>
      <c r="C16453" t="s">
        <v>22</v>
      </c>
      <c r="D16453" t="s">
        <v>11</v>
      </c>
      <c r="E16453" t="s">
        <v>12</v>
      </c>
      <c r="F16453">
        <v>88410295</v>
      </c>
      <c r="G16453">
        <v>88410351</v>
      </c>
      <c r="H16453">
        <v>88410377</v>
      </c>
      <c r="I16453">
        <v>88410388</v>
      </c>
    </row>
    <row r="16454" spans="1:9" x14ac:dyDescent="0.2">
      <c r="A16454" t="str">
        <f>"Pmfbp1"</f>
        <v>Pmfbp1</v>
      </c>
      <c r="B16454" t="s">
        <v>14</v>
      </c>
      <c r="C16454" t="s">
        <v>30</v>
      </c>
      <c r="D16454" t="s">
        <v>17</v>
      </c>
      <c r="E16454" t="s">
        <v>12</v>
      </c>
      <c r="F16454">
        <v>109493982</v>
      </c>
      <c r="G16454">
        <v>109494026</v>
      </c>
      <c r="H16454">
        <v>109493982</v>
      </c>
      <c r="I16454">
        <v>109494026</v>
      </c>
    </row>
    <row r="16455" spans="1:9" x14ac:dyDescent="0.2">
      <c r="A16455" t="str">
        <f>"Pmis2"</f>
        <v>Pmis2</v>
      </c>
      <c r="B16455" t="s">
        <v>14</v>
      </c>
      <c r="C16455" t="s">
        <v>33</v>
      </c>
      <c r="D16455" t="s">
        <v>11</v>
      </c>
      <c r="E16455" t="s">
        <v>67</v>
      </c>
      <c r="F16455">
        <v>30671595</v>
      </c>
      <c r="G16455">
        <v>30671618</v>
      </c>
      <c r="H16455">
        <v>30671556</v>
      </c>
      <c r="I16455">
        <v>30671566</v>
      </c>
    </row>
    <row r="16456" spans="1:9" x14ac:dyDescent="0.2">
      <c r="A16456" t="str">
        <f>"Pml"</f>
        <v>Pml</v>
      </c>
      <c r="B16456" t="s">
        <v>14</v>
      </c>
      <c r="C16456" t="s">
        <v>24</v>
      </c>
      <c r="D16456" t="s">
        <v>11</v>
      </c>
      <c r="E16456" t="s">
        <v>12</v>
      </c>
      <c r="F16456">
        <v>58249702</v>
      </c>
      <c r="G16456">
        <v>58249791</v>
      </c>
      <c r="H16456">
        <v>58249661</v>
      </c>
      <c r="I16456">
        <v>58249672</v>
      </c>
    </row>
    <row r="16457" spans="1:9" x14ac:dyDescent="0.2">
      <c r="A16457" t="str">
        <f>"Pmm1"</f>
        <v>Pmm1</v>
      </c>
      <c r="B16457" t="s">
        <v>14</v>
      </c>
      <c r="C16457" t="s">
        <v>25</v>
      </c>
      <c r="D16457" t="s">
        <v>11</v>
      </c>
      <c r="E16457" t="s">
        <v>12</v>
      </c>
      <c r="F16457">
        <v>81960851</v>
      </c>
      <c r="G16457">
        <v>81960872</v>
      </c>
      <c r="H16457">
        <v>81960818</v>
      </c>
      <c r="I16457">
        <v>81960846</v>
      </c>
    </row>
    <row r="16458" spans="1:9" x14ac:dyDescent="0.2">
      <c r="A16458" t="str">
        <f>"Pmm2"</f>
        <v>Pmm2</v>
      </c>
      <c r="B16458" t="s">
        <v>14</v>
      </c>
      <c r="C16458" t="s">
        <v>31</v>
      </c>
      <c r="D16458" t="s">
        <v>17</v>
      </c>
      <c r="E16458" t="s">
        <v>12</v>
      </c>
      <c r="F16458">
        <v>8637712</v>
      </c>
      <c r="G16458">
        <v>8637776</v>
      </c>
      <c r="H16458">
        <v>8638009</v>
      </c>
      <c r="I16458">
        <v>8638029</v>
      </c>
    </row>
    <row r="16459" spans="1:9" x14ac:dyDescent="0.2">
      <c r="A16459" t="str">
        <f>"Pmp2"</f>
        <v>Pmp2</v>
      </c>
      <c r="B16459" t="s">
        <v>14</v>
      </c>
      <c r="C16459" t="s">
        <v>22</v>
      </c>
      <c r="D16459" t="s">
        <v>11</v>
      </c>
      <c r="E16459" t="s">
        <v>12</v>
      </c>
      <c r="F16459">
        <v>10197216</v>
      </c>
      <c r="G16459">
        <v>10197228</v>
      </c>
      <c r="H16459">
        <v>10197241</v>
      </c>
      <c r="I16459">
        <v>10197266</v>
      </c>
    </row>
    <row r="16460" spans="1:9" x14ac:dyDescent="0.2">
      <c r="A16460" t="str">
        <f>"Pmp22"</f>
        <v>Pmp22</v>
      </c>
      <c r="B16460" t="s">
        <v>9</v>
      </c>
      <c r="C16460" t="s">
        <v>27</v>
      </c>
      <c r="D16460" t="s">
        <v>17</v>
      </c>
      <c r="E16460" t="s">
        <v>12</v>
      </c>
      <c r="F16460">
        <v>63131516</v>
      </c>
      <c r="G16460">
        <v>63131539</v>
      </c>
      <c r="H16460">
        <v>63131516</v>
      </c>
      <c r="I16460">
        <v>63131539</v>
      </c>
    </row>
    <row r="16461" spans="1:9" x14ac:dyDescent="0.2">
      <c r="A16461" t="str">
        <f>"Pmp22"</f>
        <v>Pmp22</v>
      </c>
      <c r="B16461" t="s">
        <v>13</v>
      </c>
      <c r="C16461" t="s">
        <v>27</v>
      </c>
      <c r="D16461" t="s">
        <v>17</v>
      </c>
      <c r="E16461" t="s">
        <v>12</v>
      </c>
      <c r="F16461">
        <v>63133092</v>
      </c>
      <c r="G16461">
        <v>63133129</v>
      </c>
      <c r="H16461">
        <v>63133092</v>
      </c>
      <c r="I16461">
        <v>63133129</v>
      </c>
    </row>
    <row r="16462" spans="1:9" x14ac:dyDescent="0.2">
      <c r="A16462" t="str">
        <f>"Pmpca"</f>
        <v>Pmpca</v>
      </c>
      <c r="B16462" t="s">
        <v>14</v>
      </c>
      <c r="C16462" t="s">
        <v>26</v>
      </c>
      <c r="D16462" t="s">
        <v>17</v>
      </c>
      <c r="E16462" t="s">
        <v>12</v>
      </c>
      <c r="F16462">
        <v>26389334</v>
      </c>
      <c r="G16462">
        <v>26389364</v>
      </c>
      <c r="H16462">
        <v>26389370</v>
      </c>
      <c r="I16462">
        <v>26389381</v>
      </c>
    </row>
    <row r="16463" spans="1:9" x14ac:dyDescent="0.2">
      <c r="A16463" t="str">
        <f>"Pmpcb"</f>
        <v>Pmpcb</v>
      </c>
      <c r="B16463" t="s">
        <v>14</v>
      </c>
      <c r="C16463" t="s">
        <v>46</v>
      </c>
      <c r="D16463" t="s">
        <v>17</v>
      </c>
      <c r="E16463" t="s">
        <v>12</v>
      </c>
      <c r="F16463">
        <v>21737142</v>
      </c>
      <c r="G16463">
        <v>21737179</v>
      </c>
      <c r="H16463">
        <v>21737142</v>
      </c>
      <c r="I16463">
        <v>21737179</v>
      </c>
    </row>
    <row r="16464" spans="1:9" x14ac:dyDescent="0.2">
      <c r="A16464" t="str">
        <f>"Pms1"</f>
        <v>Pms1</v>
      </c>
      <c r="B16464" t="s">
        <v>14</v>
      </c>
      <c r="C16464" t="s">
        <v>19</v>
      </c>
      <c r="D16464" t="s">
        <v>11</v>
      </c>
      <c r="E16464" t="s">
        <v>12</v>
      </c>
      <c r="F16464">
        <v>53296958</v>
      </c>
      <c r="G16464">
        <v>53296997</v>
      </c>
      <c r="H16464">
        <v>53297001</v>
      </c>
      <c r="I16464">
        <v>53297023</v>
      </c>
    </row>
    <row r="16465" spans="1:9" x14ac:dyDescent="0.2">
      <c r="A16465" t="str">
        <f>"Pms2"</f>
        <v>Pms2</v>
      </c>
      <c r="B16465" t="s">
        <v>14</v>
      </c>
      <c r="C16465" t="s">
        <v>46</v>
      </c>
      <c r="D16465" t="s">
        <v>17</v>
      </c>
      <c r="E16465" t="s">
        <v>12</v>
      </c>
      <c r="F16465">
        <v>143909973</v>
      </c>
      <c r="G16465">
        <v>143910047</v>
      </c>
      <c r="H16465">
        <v>143909567</v>
      </c>
      <c r="I16465">
        <v>143909583</v>
      </c>
    </row>
    <row r="16466" spans="1:9" x14ac:dyDescent="0.2">
      <c r="A16466" t="str">
        <f>"Pmvk"</f>
        <v>Pmvk</v>
      </c>
      <c r="B16466" t="s">
        <v>14</v>
      </c>
      <c r="C16466" t="s">
        <v>22</v>
      </c>
      <c r="D16466" t="s">
        <v>17</v>
      </c>
      <c r="E16466" t="s">
        <v>12</v>
      </c>
      <c r="F16466">
        <v>89459186</v>
      </c>
      <c r="G16466">
        <v>89459214</v>
      </c>
      <c r="H16466">
        <v>89459325</v>
      </c>
      <c r="I16466">
        <v>89459360</v>
      </c>
    </row>
    <row r="16467" spans="1:9" x14ac:dyDescent="0.2">
      <c r="A16467" t="str">
        <f>"Pnck"</f>
        <v>Pnck</v>
      </c>
      <c r="B16467" t="s">
        <v>14</v>
      </c>
      <c r="C16467" t="s">
        <v>37</v>
      </c>
      <c r="D16467" t="s">
        <v>11</v>
      </c>
      <c r="E16467" t="s">
        <v>12</v>
      </c>
      <c r="F16467">
        <v>73660047</v>
      </c>
      <c r="G16467">
        <v>73660093</v>
      </c>
      <c r="H16467">
        <v>73659835</v>
      </c>
      <c r="I16467">
        <v>73659877</v>
      </c>
    </row>
    <row r="16468" spans="1:9" x14ac:dyDescent="0.2">
      <c r="A16468" t="str">
        <f>"Pnkd"</f>
        <v>Pnkd</v>
      </c>
      <c r="B16468" t="s">
        <v>5607</v>
      </c>
      <c r="C16468" t="s">
        <v>19</v>
      </c>
      <c r="D16468" t="s">
        <v>17</v>
      </c>
      <c r="E16468" t="s">
        <v>35</v>
      </c>
      <c r="F16468">
        <v>74332649</v>
      </c>
      <c r="G16468">
        <v>74332692</v>
      </c>
      <c r="H16468">
        <v>74332649</v>
      </c>
      <c r="I16468">
        <v>74332692</v>
      </c>
    </row>
    <row r="16469" spans="1:9" x14ac:dyDescent="0.2">
      <c r="A16469" t="str">
        <f>"Pnkp"</f>
        <v>Pnkp</v>
      </c>
      <c r="B16469" t="s">
        <v>14</v>
      </c>
      <c r="C16469" t="s">
        <v>33</v>
      </c>
      <c r="D16469" t="s">
        <v>17</v>
      </c>
      <c r="E16469" t="s">
        <v>12</v>
      </c>
      <c r="F16469">
        <v>44857309</v>
      </c>
      <c r="G16469">
        <v>44857354</v>
      </c>
      <c r="H16469">
        <v>44857366</v>
      </c>
      <c r="I16469">
        <v>44857389</v>
      </c>
    </row>
    <row r="16470" spans="1:9" x14ac:dyDescent="0.2">
      <c r="A16470" t="str">
        <f>"Pnldc1"</f>
        <v>Pnldc1</v>
      </c>
      <c r="B16470" t="s">
        <v>14</v>
      </c>
      <c r="C16470" t="s">
        <v>28</v>
      </c>
      <c r="D16470" t="s">
        <v>11</v>
      </c>
      <c r="E16470" t="s">
        <v>12</v>
      </c>
      <c r="F16470">
        <v>12909912</v>
      </c>
      <c r="G16470">
        <v>12909954</v>
      </c>
      <c r="H16470">
        <v>12909881</v>
      </c>
      <c r="I16470">
        <v>12909897</v>
      </c>
    </row>
    <row r="16471" spans="1:9" x14ac:dyDescent="0.2">
      <c r="A16471" t="str">
        <f>"Pnlip"</f>
        <v>Pnlip</v>
      </c>
      <c r="B16471" t="s">
        <v>14</v>
      </c>
      <c r="C16471" t="s">
        <v>10</v>
      </c>
      <c r="D16471" t="s">
        <v>17</v>
      </c>
      <c r="E16471" t="s">
        <v>12</v>
      </c>
      <c r="F16471">
        <v>58670358</v>
      </c>
      <c r="G16471">
        <v>58670368</v>
      </c>
      <c r="H16471">
        <v>58670350</v>
      </c>
      <c r="I16471">
        <v>58670355</v>
      </c>
    </row>
    <row r="16472" spans="1:9" x14ac:dyDescent="0.2">
      <c r="A16472" t="str">
        <f>"Pnliprp1"</f>
        <v>Pnliprp1</v>
      </c>
      <c r="B16472" t="s">
        <v>14</v>
      </c>
      <c r="C16472" t="s">
        <v>10</v>
      </c>
      <c r="D16472" t="s">
        <v>17</v>
      </c>
      <c r="E16472" t="s">
        <v>12</v>
      </c>
      <c r="F16472">
        <v>58728964</v>
      </c>
      <c r="G16472">
        <v>58728981</v>
      </c>
      <c r="H16472">
        <v>58728964</v>
      </c>
      <c r="I16472">
        <v>58728981</v>
      </c>
    </row>
    <row r="16473" spans="1:9" x14ac:dyDescent="0.2">
      <c r="A16473" t="str">
        <f>"Pnliprp2"</f>
        <v>Pnliprp2</v>
      </c>
      <c r="B16473" t="s">
        <v>14</v>
      </c>
      <c r="C16473" t="s">
        <v>10</v>
      </c>
      <c r="D16473" t="s">
        <v>17</v>
      </c>
      <c r="E16473" t="s">
        <v>12</v>
      </c>
      <c r="F16473">
        <v>58759700</v>
      </c>
      <c r="G16473">
        <v>58759745</v>
      </c>
      <c r="H16473">
        <v>58759685</v>
      </c>
      <c r="I16473">
        <v>58759698</v>
      </c>
    </row>
    <row r="16474" spans="1:9" x14ac:dyDescent="0.2">
      <c r="A16474" t="str">
        <f>"Pnma1"</f>
        <v>Pnma1</v>
      </c>
      <c r="B16474" t="s">
        <v>14</v>
      </c>
      <c r="C16474" t="s">
        <v>16</v>
      </c>
      <c r="D16474" t="s">
        <v>11</v>
      </c>
      <c r="E16474" t="s">
        <v>12</v>
      </c>
      <c r="F16474">
        <v>84148449</v>
      </c>
      <c r="G16474">
        <v>84148499</v>
      </c>
      <c r="H16474">
        <v>84148449</v>
      </c>
      <c r="I16474">
        <v>84148499</v>
      </c>
    </row>
    <row r="16475" spans="1:9" x14ac:dyDescent="0.2">
      <c r="A16475" t="str">
        <f>"Pnma2"</f>
        <v>Pnma2</v>
      </c>
      <c r="B16475" t="s">
        <v>14</v>
      </c>
      <c r="C16475" t="s">
        <v>41</v>
      </c>
      <c r="D16475" t="s">
        <v>17</v>
      </c>
      <c r="E16475" t="s">
        <v>12</v>
      </c>
      <c r="F16475">
        <v>66911229</v>
      </c>
      <c r="G16475">
        <v>66911247</v>
      </c>
      <c r="H16475">
        <v>66911220</v>
      </c>
      <c r="I16475">
        <v>66911228</v>
      </c>
    </row>
    <row r="16476" spans="1:9" x14ac:dyDescent="0.2">
      <c r="A16476" t="str">
        <f>"Pnma3"</f>
        <v>Pnma3</v>
      </c>
      <c r="B16476" t="s">
        <v>14</v>
      </c>
      <c r="C16476" t="s">
        <v>37</v>
      </c>
      <c r="D16476" t="s">
        <v>17</v>
      </c>
      <c r="E16476" t="s">
        <v>12</v>
      </c>
      <c r="F16476">
        <v>73064269</v>
      </c>
      <c r="G16476">
        <v>73064320</v>
      </c>
      <c r="H16476">
        <v>73064269</v>
      </c>
      <c r="I16476">
        <v>73064320</v>
      </c>
    </row>
    <row r="16477" spans="1:9" x14ac:dyDescent="0.2">
      <c r="A16477" t="str">
        <f>"Pnma5"</f>
        <v>Pnma5</v>
      </c>
      <c r="B16477" t="s">
        <v>5608</v>
      </c>
      <c r="C16477" t="s">
        <v>37</v>
      </c>
      <c r="D16477" t="s">
        <v>11</v>
      </c>
      <c r="E16477" t="s">
        <v>20</v>
      </c>
      <c r="F16477">
        <v>73037102</v>
      </c>
      <c r="G16477">
        <v>73037102</v>
      </c>
      <c r="H16477">
        <v>73037102</v>
      </c>
      <c r="I16477">
        <v>73037102</v>
      </c>
    </row>
    <row r="16478" spans="1:9" x14ac:dyDescent="0.2">
      <c r="A16478" t="str">
        <f>"Pnmal1"</f>
        <v>Pnmal1</v>
      </c>
      <c r="B16478" t="s">
        <v>14</v>
      </c>
      <c r="C16478" t="s">
        <v>33</v>
      </c>
      <c r="D16478" t="s">
        <v>17</v>
      </c>
      <c r="E16478" t="s">
        <v>12</v>
      </c>
      <c r="F16478">
        <v>16959714</v>
      </c>
      <c r="G16478">
        <v>16959800</v>
      </c>
      <c r="H16478">
        <v>16959821</v>
      </c>
      <c r="I16478">
        <v>16959832</v>
      </c>
    </row>
    <row r="16479" spans="1:9" x14ac:dyDescent="0.2">
      <c r="A16479" t="str">
        <f>"Pnmal2"</f>
        <v>Pnmal2</v>
      </c>
      <c r="B16479" t="s">
        <v>14</v>
      </c>
      <c r="C16479" t="s">
        <v>33</v>
      </c>
      <c r="D16479" t="s">
        <v>17</v>
      </c>
      <c r="E16479" t="s">
        <v>12</v>
      </c>
      <c r="F16479">
        <v>16944645</v>
      </c>
      <c r="G16479">
        <v>16944720</v>
      </c>
      <c r="H16479">
        <v>16944562</v>
      </c>
      <c r="I16479">
        <v>16944595</v>
      </c>
    </row>
    <row r="16480" spans="1:9" x14ac:dyDescent="0.2">
      <c r="A16480" t="str">
        <f>"Pnmt"</f>
        <v>Pnmt</v>
      </c>
      <c r="B16480" t="s">
        <v>14</v>
      </c>
      <c r="C16480" t="s">
        <v>27</v>
      </c>
      <c r="D16480" t="s">
        <v>17</v>
      </c>
      <c r="E16480" t="s">
        <v>12</v>
      </c>
      <c r="F16480">
        <v>98386616</v>
      </c>
      <c r="G16480">
        <v>98386633</v>
      </c>
      <c r="H16480">
        <v>98386467</v>
      </c>
      <c r="I16480">
        <v>98386499</v>
      </c>
    </row>
    <row r="16481" spans="1:9" x14ac:dyDescent="0.2">
      <c r="A16481" t="str">
        <f>"Pnn"</f>
        <v>Pnn</v>
      </c>
      <c r="B16481" t="s">
        <v>14</v>
      </c>
      <c r="C16481" t="s">
        <v>16</v>
      </c>
      <c r="D16481" t="s">
        <v>17</v>
      </c>
      <c r="E16481" t="s">
        <v>12</v>
      </c>
      <c r="F16481">
        <v>59066940</v>
      </c>
      <c r="G16481">
        <v>59067001</v>
      </c>
      <c r="H16481">
        <v>59066908</v>
      </c>
      <c r="I16481">
        <v>59066931</v>
      </c>
    </row>
    <row r="16482" spans="1:9" x14ac:dyDescent="0.2">
      <c r="A16482" t="str">
        <f>"Pno1"</f>
        <v>Pno1</v>
      </c>
      <c r="B16482" t="s">
        <v>14</v>
      </c>
      <c r="C16482" t="s">
        <v>27</v>
      </c>
      <c r="D16482" t="s">
        <v>11</v>
      </c>
      <c r="E16482" t="s">
        <v>12</v>
      </c>
      <c r="F16482">
        <v>17211504</v>
      </c>
      <c r="G16482">
        <v>17211573</v>
      </c>
      <c r="H16482">
        <v>17211576</v>
      </c>
      <c r="I16482">
        <v>17211590</v>
      </c>
    </row>
    <row r="16483" spans="1:9" x14ac:dyDescent="0.2">
      <c r="A16483" t="str">
        <f>"Pnoc"</f>
        <v>Pnoc</v>
      </c>
      <c r="B16483" t="s">
        <v>14</v>
      </c>
      <c r="C16483" t="s">
        <v>41</v>
      </c>
      <c r="D16483" t="s">
        <v>11</v>
      </c>
      <c r="E16483" t="s">
        <v>12</v>
      </c>
      <c r="F16483">
        <v>65425169</v>
      </c>
      <c r="G16483">
        <v>65425188</v>
      </c>
      <c r="H16483">
        <v>65425453</v>
      </c>
      <c r="I16483">
        <v>65425466</v>
      </c>
    </row>
    <row r="16484" spans="1:9" x14ac:dyDescent="0.2">
      <c r="A16484" t="str">
        <f>"Pnp"</f>
        <v>Pnp</v>
      </c>
      <c r="B16484" t="s">
        <v>14</v>
      </c>
      <c r="C16484" t="s">
        <v>41</v>
      </c>
      <c r="D16484" t="s">
        <v>17</v>
      </c>
      <c r="E16484" t="s">
        <v>12</v>
      </c>
      <c r="F16484">
        <v>50944499</v>
      </c>
      <c r="G16484">
        <v>50944514</v>
      </c>
      <c r="H16484">
        <v>50944499</v>
      </c>
      <c r="I16484">
        <v>50944514</v>
      </c>
    </row>
    <row r="16485" spans="1:9" x14ac:dyDescent="0.2">
      <c r="A16485" t="str">
        <f>"Pnp2"</f>
        <v>Pnp2</v>
      </c>
      <c r="B16485" t="s">
        <v>14</v>
      </c>
      <c r="C16485" t="s">
        <v>41</v>
      </c>
      <c r="D16485" t="s">
        <v>17</v>
      </c>
      <c r="E16485" t="s">
        <v>12</v>
      </c>
      <c r="F16485">
        <v>50956134</v>
      </c>
      <c r="G16485">
        <v>50956169</v>
      </c>
      <c r="H16485">
        <v>50956134</v>
      </c>
      <c r="I16485">
        <v>50956169</v>
      </c>
    </row>
    <row r="16486" spans="1:9" x14ac:dyDescent="0.2">
      <c r="A16486" t="str">
        <f>"Pnpla1"</f>
        <v>Pnpla1</v>
      </c>
      <c r="B16486" t="s">
        <v>14</v>
      </c>
      <c r="C16486" t="s">
        <v>28</v>
      </c>
      <c r="D16486" t="s">
        <v>17</v>
      </c>
      <c r="E16486" t="s">
        <v>12</v>
      </c>
      <c r="F16486">
        <v>28858466</v>
      </c>
      <c r="G16486">
        <v>28858499</v>
      </c>
      <c r="H16486">
        <v>28858511</v>
      </c>
      <c r="I16486">
        <v>28858553</v>
      </c>
    </row>
    <row r="16487" spans="1:9" x14ac:dyDescent="0.2">
      <c r="A16487" t="str">
        <f>"Pnpla2"</f>
        <v>Pnpla2</v>
      </c>
      <c r="B16487" t="s">
        <v>9</v>
      </c>
      <c r="C16487" t="s">
        <v>33</v>
      </c>
      <c r="D16487" t="s">
        <v>17</v>
      </c>
      <c r="E16487" t="s">
        <v>12</v>
      </c>
      <c r="F16487">
        <v>141455199</v>
      </c>
      <c r="G16487">
        <v>141455214</v>
      </c>
      <c r="H16487">
        <v>141455199</v>
      </c>
      <c r="I16487">
        <v>141455214</v>
      </c>
    </row>
    <row r="16488" spans="1:9" x14ac:dyDescent="0.2">
      <c r="A16488" t="str">
        <f>"Pnpla2"</f>
        <v>Pnpla2</v>
      </c>
      <c r="B16488" t="s">
        <v>13</v>
      </c>
      <c r="C16488" t="s">
        <v>33</v>
      </c>
      <c r="D16488" t="s">
        <v>17</v>
      </c>
      <c r="E16488" t="s">
        <v>12</v>
      </c>
      <c r="F16488">
        <v>141457032</v>
      </c>
      <c r="G16488">
        <v>141457066</v>
      </c>
      <c r="H16488">
        <v>141457032</v>
      </c>
      <c r="I16488">
        <v>141457066</v>
      </c>
    </row>
    <row r="16489" spans="1:9" x14ac:dyDescent="0.2">
      <c r="A16489" t="str">
        <f>"Pnpla3"</f>
        <v>Pnpla3</v>
      </c>
      <c r="B16489" t="s">
        <v>14</v>
      </c>
      <c r="C16489" t="s">
        <v>25</v>
      </c>
      <c r="D16489" t="s">
        <v>17</v>
      </c>
      <c r="E16489" t="s">
        <v>12</v>
      </c>
      <c r="F16489">
        <v>84167804</v>
      </c>
      <c r="G16489">
        <v>84167824</v>
      </c>
      <c r="H16489">
        <v>84167827</v>
      </c>
      <c r="I16489">
        <v>84167843</v>
      </c>
    </row>
    <row r="16490" spans="1:9" x14ac:dyDescent="0.2">
      <c r="A16490" t="str">
        <f>"Pnpla5"</f>
        <v>Pnpla5</v>
      </c>
      <c r="B16490" t="s">
        <v>14</v>
      </c>
      <c r="C16490" t="s">
        <v>25</v>
      </c>
      <c r="D16490" t="s">
        <v>11</v>
      </c>
      <c r="E16490" t="s">
        <v>12</v>
      </c>
      <c r="F16490">
        <v>84123174</v>
      </c>
      <c r="G16490">
        <v>84123203</v>
      </c>
      <c r="H16490">
        <v>84123280</v>
      </c>
      <c r="I16490">
        <v>84123281</v>
      </c>
    </row>
    <row r="16491" spans="1:9" x14ac:dyDescent="0.2">
      <c r="A16491" t="str">
        <f>"Pnpla6"</f>
        <v>Pnpla6</v>
      </c>
      <c r="B16491" t="s">
        <v>9</v>
      </c>
      <c r="C16491" t="s">
        <v>30</v>
      </c>
      <c r="D16491" t="s">
        <v>17</v>
      </c>
      <c r="E16491" t="s">
        <v>12</v>
      </c>
      <c r="F16491">
        <v>3515402</v>
      </c>
      <c r="G16491">
        <v>3515418</v>
      </c>
      <c r="H16491">
        <v>3515402</v>
      </c>
      <c r="I16491">
        <v>3515418</v>
      </c>
    </row>
    <row r="16492" spans="1:9" x14ac:dyDescent="0.2">
      <c r="A16492" t="str">
        <f>"Pnpla6"</f>
        <v>Pnpla6</v>
      </c>
      <c r="B16492" t="s">
        <v>13</v>
      </c>
      <c r="C16492" t="s">
        <v>30</v>
      </c>
      <c r="D16492" t="s">
        <v>17</v>
      </c>
      <c r="E16492" t="s">
        <v>12</v>
      </c>
      <c r="F16492">
        <v>3516839</v>
      </c>
      <c r="G16492">
        <v>3516903</v>
      </c>
      <c r="H16492">
        <v>3516839</v>
      </c>
      <c r="I16492">
        <v>3516903</v>
      </c>
    </row>
    <row r="16493" spans="1:9" x14ac:dyDescent="0.2">
      <c r="A16493" t="str">
        <f>"Pnpla7"</f>
        <v>Pnpla7</v>
      </c>
      <c r="B16493" t="s">
        <v>14</v>
      </c>
      <c r="C16493" t="s">
        <v>26</v>
      </c>
      <c r="D16493" t="s">
        <v>17</v>
      </c>
      <c r="E16493" t="s">
        <v>12</v>
      </c>
      <c r="F16493">
        <v>24976046</v>
      </c>
      <c r="G16493">
        <v>24976110</v>
      </c>
      <c r="H16493">
        <v>24976046</v>
      </c>
      <c r="I16493">
        <v>24976110</v>
      </c>
    </row>
    <row r="16494" spans="1:9" x14ac:dyDescent="0.2">
      <c r="A16494" t="str">
        <f>"Pnpla8"</f>
        <v>Pnpla8</v>
      </c>
      <c r="B16494" t="s">
        <v>14</v>
      </c>
      <c r="C16494" t="s">
        <v>16</v>
      </c>
      <c r="D16494" t="s">
        <v>17</v>
      </c>
      <c r="E16494" t="s">
        <v>12</v>
      </c>
      <c r="F16494">
        <v>44269145</v>
      </c>
      <c r="G16494">
        <v>44269227</v>
      </c>
      <c r="H16494">
        <v>44269241</v>
      </c>
      <c r="I16494">
        <v>44269248</v>
      </c>
    </row>
    <row r="16495" spans="1:9" x14ac:dyDescent="0.2">
      <c r="A16495" t="str">
        <f>"Pnpo"</f>
        <v>Pnpo</v>
      </c>
      <c r="B16495" t="s">
        <v>14</v>
      </c>
      <c r="C16495" t="s">
        <v>27</v>
      </c>
      <c r="D16495" t="s">
        <v>11</v>
      </c>
      <c r="E16495" t="s">
        <v>12</v>
      </c>
      <c r="F16495">
        <v>96943945</v>
      </c>
      <c r="G16495">
        <v>96944023</v>
      </c>
      <c r="H16495">
        <v>96943800</v>
      </c>
      <c r="I16495">
        <v>96943850</v>
      </c>
    </row>
    <row r="16496" spans="1:9" x14ac:dyDescent="0.2">
      <c r="A16496" t="str">
        <f>"Pnpt1"</f>
        <v>Pnpt1</v>
      </c>
      <c r="B16496" t="s">
        <v>14</v>
      </c>
      <c r="C16496" t="s">
        <v>27</v>
      </c>
      <c r="D16496" t="s">
        <v>17</v>
      </c>
      <c r="E16496" t="s">
        <v>12</v>
      </c>
      <c r="F16496">
        <v>29130733</v>
      </c>
      <c r="G16496">
        <v>29130757</v>
      </c>
      <c r="H16496">
        <v>29130733</v>
      </c>
      <c r="I16496">
        <v>29130757</v>
      </c>
    </row>
    <row r="16497" spans="1:9" x14ac:dyDescent="0.2">
      <c r="A16497" t="str">
        <f>"Pnrc1"</f>
        <v>Pnrc1</v>
      </c>
      <c r="B16497" t="s">
        <v>14</v>
      </c>
      <c r="C16497" t="s">
        <v>23</v>
      </c>
      <c r="D16497" t="s">
        <v>11</v>
      </c>
      <c r="E16497" t="s">
        <v>12</v>
      </c>
      <c r="F16497">
        <v>33248500</v>
      </c>
      <c r="G16497">
        <v>33248518</v>
      </c>
      <c r="H16497">
        <v>33248483</v>
      </c>
      <c r="I16497">
        <v>33248489</v>
      </c>
    </row>
    <row r="16498" spans="1:9" x14ac:dyDescent="0.2">
      <c r="A16498" t="str">
        <f>"Pnrc2"</f>
        <v>Pnrc2</v>
      </c>
      <c r="B16498" t="s">
        <v>14</v>
      </c>
      <c r="C16498" t="s">
        <v>23</v>
      </c>
      <c r="D16498" t="s">
        <v>11</v>
      </c>
      <c r="E16498" t="s">
        <v>12</v>
      </c>
      <c r="F16498">
        <v>135873801</v>
      </c>
      <c r="G16498">
        <v>135873853</v>
      </c>
      <c r="H16498">
        <v>135873546</v>
      </c>
      <c r="I16498">
        <v>135873606</v>
      </c>
    </row>
    <row r="16499" spans="1:9" x14ac:dyDescent="0.2">
      <c r="A16499" t="str">
        <f>"Poc1a"</f>
        <v>Poc1a</v>
      </c>
      <c r="B16499" t="s">
        <v>14</v>
      </c>
      <c r="C16499" t="s">
        <v>24</v>
      </c>
      <c r="D16499" t="s">
        <v>17</v>
      </c>
      <c r="E16499" t="s">
        <v>12</v>
      </c>
      <c r="F16499">
        <v>106281350</v>
      </c>
      <c r="G16499">
        <v>106281410</v>
      </c>
      <c r="H16499">
        <v>106281013</v>
      </c>
      <c r="I16499">
        <v>106281042</v>
      </c>
    </row>
    <row r="16500" spans="1:9" x14ac:dyDescent="0.2">
      <c r="A16500" t="str">
        <f>"Poc1b"</f>
        <v>Poc1b</v>
      </c>
      <c r="B16500" t="s">
        <v>14</v>
      </c>
      <c r="C16500" t="s">
        <v>15</v>
      </c>
      <c r="D16500" t="s">
        <v>17</v>
      </c>
      <c r="E16500" t="s">
        <v>12</v>
      </c>
      <c r="F16500">
        <v>99107070</v>
      </c>
      <c r="G16500">
        <v>99107132</v>
      </c>
      <c r="H16500">
        <v>99107148</v>
      </c>
      <c r="I16500">
        <v>99107189</v>
      </c>
    </row>
    <row r="16501" spans="1:9" x14ac:dyDescent="0.2">
      <c r="A16501" t="str">
        <f>"Poc5"</f>
        <v>Poc5</v>
      </c>
      <c r="B16501" t="s">
        <v>14</v>
      </c>
      <c r="C16501" t="s">
        <v>39</v>
      </c>
      <c r="D16501" t="s">
        <v>17</v>
      </c>
      <c r="E16501" t="s">
        <v>12</v>
      </c>
      <c r="F16501">
        <v>96388305</v>
      </c>
      <c r="G16501">
        <v>96388338</v>
      </c>
      <c r="H16501">
        <v>96388345</v>
      </c>
      <c r="I16501">
        <v>96388380</v>
      </c>
    </row>
    <row r="16502" spans="1:9" x14ac:dyDescent="0.2">
      <c r="A16502" t="str">
        <f>"Podn"</f>
        <v>Podn</v>
      </c>
      <c r="B16502" t="s">
        <v>14</v>
      </c>
      <c r="C16502" t="s">
        <v>23</v>
      </c>
      <c r="D16502" t="s">
        <v>11</v>
      </c>
      <c r="E16502" t="s">
        <v>12</v>
      </c>
      <c r="F16502">
        <v>108031938</v>
      </c>
      <c r="G16502">
        <v>108031961</v>
      </c>
      <c r="H16502">
        <v>108032069</v>
      </c>
      <c r="I16502">
        <v>108032098</v>
      </c>
    </row>
    <row r="16503" spans="1:9" x14ac:dyDescent="0.2">
      <c r="A16503" t="str">
        <f>"Podnl1"</f>
        <v>Podnl1</v>
      </c>
      <c r="B16503" t="s">
        <v>9</v>
      </c>
      <c r="C16503" t="s">
        <v>30</v>
      </c>
      <c r="D16503" t="s">
        <v>17</v>
      </c>
      <c r="E16503" t="s">
        <v>12</v>
      </c>
      <c r="F16503">
        <v>84127538</v>
      </c>
      <c r="G16503">
        <v>84127558</v>
      </c>
      <c r="H16503">
        <v>84127538</v>
      </c>
      <c r="I16503">
        <v>84127558</v>
      </c>
    </row>
    <row r="16504" spans="1:9" x14ac:dyDescent="0.2">
      <c r="A16504" t="str">
        <f>"Podnl1"</f>
        <v>Podnl1</v>
      </c>
      <c r="B16504" t="s">
        <v>13</v>
      </c>
      <c r="C16504" t="s">
        <v>30</v>
      </c>
      <c r="D16504" t="s">
        <v>17</v>
      </c>
      <c r="E16504" t="s">
        <v>12</v>
      </c>
      <c r="F16504">
        <v>84126025</v>
      </c>
      <c r="G16504">
        <v>84126045</v>
      </c>
      <c r="H16504">
        <v>84126025</v>
      </c>
      <c r="I16504">
        <v>84126045</v>
      </c>
    </row>
    <row r="16505" spans="1:9" x14ac:dyDescent="0.2">
      <c r="A16505" t="str">
        <f>"Podxl"</f>
        <v>Podxl</v>
      </c>
      <c r="B16505" t="s">
        <v>14</v>
      </c>
      <c r="C16505" t="s">
        <v>32</v>
      </c>
      <c r="D16505" t="s">
        <v>11</v>
      </c>
      <c r="E16505" t="s">
        <v>12</v>
      </c>
      <c r="F16505">
        <v>31563855</v>
      </c>
      <c r="G16505">
        <v>31563880</v>
      </c>
      <c r="H16505">
        <v>31563888</v>
      </c>
      <c r="I16505">
        <v>31563910</v>
      </c>
    </row>
    <row r="16506" spans="1:9" x14ac:dyDescent="0.2">
      <c r="A16506" t="str">
        <f>"Podxl2"</f>
        <v>Podxl2</v>
      </c>
      <c r="B16506" t="s">
        <v>14</v>
      </c>
      <c r="C16506" t="s">
        <v>32</v>
      </c>
      <c r="D16506" t="s">
        <v>11</v>
      </c>
      <c r="E16506" t="s">
        <v>12</v>
      </c>
      <c r="F16506">
        <v>88874984</v>
      </c>
      <c r="G16506">
        <v>88875030</v>
      </c>
      <c r="H16506">
        <v>88875035</v>
      </c>
      <c r="I16506">
        <v>88875053</v>
      </c>
    </row>
    <row r="16507" spans="1:9" x14ac:dyDescent="0.2">
      <c r="A16507" t="str">
        <f>"Pof1b"</f>
        <v>Pof1b</v>
      </c>
      <c r="B16507" t="s">
        <v>14</v>
      </c>
      <c r="C16507" t="s">
        <v>37</v>
      </c>
      <c r="D16507" t="s">
        <v>11</v>
      </c>
      <c r="E16507" t="s">
        <v>12</v>
      </c>
      <c r="F16507">
        <v>112698642</v>
      </c>
      <c r="G16507">
        <v>112698657</v>
      </c>
      <c r="H16507">
        <v>112698642</v>
      </c>
      <c r="I16507">
        <v>112698657</v>
      </c>
    </row>
    <row r="16508" spans="1:9" x14ac:dyDescent="0.2">
      <c r="A16508" t="str">
        <f>"Pofut1"</f>
        <v>Pofut1</v>
      </c>
      <c r="B16508" t="s">
        <v>14</v>
      </c>
      <c r="C16508" t="s">
        <v>26</v>
      </c>
      <c r="D16508" t="s">
        <v>17</v>
      </c>
      <c r="E16508" t="s">
        <v>12</v>
      </c>
      <c r="F16508">
        <v>153241502</v>
      </c>
      <c r="G16508">
        <v>153241603</v>
      </c>
      <c r="H16508">
        <v>153241452</v>
      </c>
      <c r="I16508">
        <v>153241465</v>
      </c>
    </row>
    <row r="16509" spans="1:9" x14ac:dyDescent="0.2">
      <c r="A16509" t="str">
        <f>"Pofut2"</f>
        <v>Pofut2</v>
      </c>
      <c r="B16509" t="s">
        <v>14</v>
      </c>
      <c r="C16509" t="s">
        <v>15</v>
      </c>
      <c r="D16509" t="s">
        <v>17</v>
      </c>
      <c r="E16509" t="s">
        <v>12</v>
      </c>
      <c r="F16509">
        <v>77259280</v>
      </c>
      <c r="G16509">
        <v>77259348</v>
      </c>
      <c r="H16509">
        <v>77259212</v>
      </c>
      <c r="I16509">
        <v>77259242</v>
      </c>
    </row>
    <row r="16510" spans="1:9" x14ac:dyDescent="0.2">
      <c r="A16510" t="str">
        <f>"Pogk"</f>
        <v>Pogk</v>
      </c>
      <c r="B16510" t="s">
        <v>14</v>
      </c>
      <c r="C16510" t="s">
        <v>19</v>
      </c>
      <c r="D16510" t="s">
        <v>11</v>
      </c>
      <c r="E16510" t="s">
        <v>12</v>
      </c>
      <c r="F16510">
        <v>166409773</v>
      </c>
      <c r="G16510">
        <v>166409849</v>
      </c>
      <c r="H16510">
        <v>166409747</v>
      </c>
      <c r="I16510">
        <v>166409753</v>
      </c>
    </row>
    <row r="16511" spans="1:9" x14ac:dyDescent="0.2">
      <c r="A16511" t="str">
        <f>"Poglut1"</f>
        <v>Poglut1</v>
      </c>
      <c r="B16511" t="s">
        <v>14</v>
      </c>
      <c r="C16511" t="s">
        <v>31</v>
      </c>
      <c r="D16511" t="s">
        <v>11</v>
      </c>
      <c r="E16511" t="s">
        <v>12</v>
      </c>
      <c r="F16511">
        <v>38550173</v>
      </c>
      <c r="G16511">
        <v>38550235</v>
      </c>
      <c r="H16511">
        <v>38550142</v>
      </c>
      <c r="I16511">
        <v>38550168</v>
      </c>
    </row>
    <row r="16512" spans="1:9" x14ac:dyDescent="0.2">
      <c r="A16512" t="str">
        <f>"Pogz"</f>
        <v>Pogz</v>
      </c>
      <c r="B16512" t="s">
        <v>14</v>
      </c>
      <c r="C16512" t="s">
        <v>22</v>
      </c>
      <c r="D16512" t="s">
        <v>17</v>
      </c>
      <c r="E16512" t="s">
        <v>12</v>
      </c>
      <c r="F16512">
        <v>94837428</v>
      </c>
      <c r="G16512">
        <v>94837458</v>
      </c>
      <c r="H16512">
        <v>94837702</v>
      </c>
      <c r="I16512">
        <v>94837723</v>
      </c>
    </row>
    <row r="16513" spans="1:9" x14ac:dyDescent="0.2">
      <c r="A16513" t="str">
        <f>"Pola1"</f>
        <v>Pola1</v>
      </c>
      <c r="B16513" t="s">
        <v>14</v>
      </c>
      <c r="C16513" t="s">
        <v>37</v>
      </c>
      <c r="D16513" t="s">
        <v>11</v>
      </c>
      <c r="E16513" t="s">
        <v>12</v>
      </c>
      <c r="F16513">
        <v>93632113</v>
      </c>
      <c r="G16513">
        <v>93632186</v>
      </c>
      <c r="H16513">
        <v>93632113</v>
      </c>
      <c r="I16513">
        <v>93632186</v>
      </c>
    </row>
    <row r="16514" spans="1:9" x14ac:dyDescent="0.2">
      <c r="A16514" t="str">
        <f>"Pola2"</f>
        <v>Pola2</v>
      </c>
      <c r="B16514" t="s">
        <v>14</v>
      </c>
      <c r="C16514" t="s">
        <v>10</v>
      </c>
      <c r="D16514" t="s">
        <v>11</v>
      </c>
      <c r="E16514" t="s">
        <v>12</v>
      </c>
      <c r="F16514">
        <v>5964132</v>
      </c>
      <c r="G16514">
        <v>5964210</v>
      </c>
      <c r="H16514">
        <v>5964132</v>
      </c>
      <c r="I16514">
        <v>5964210</v>
      </c>
    </row>
    <row r="16515" spans="1:9" x14ac:dyDescent="0.2">
      <c r="A16515" t="str">
        <f>"Polb"</f>
        <v>Polb</v>
      </c>
      <c r="B16515" t="s">
        <v>14</v>
      </c>
      <c r="C16515" t="s">
        <v>30</v>
      </c>
      <c r="D16515" t="s">
        <v>11</v>
      </c>
      <c r="E16515" t="s">
        <v>12</v>
      </c>
      <c r="F16515">
        <v>22653406</v>
      </c>
      <c r="G16515">
        <v>22653458</v>
      </c>
      <c r="H16515">
        <v>22653394</v>
      </c>
      <c r="I16515">
        <v>22653405</v>
      </c>
    </row>
    <row r="16516" spans="1:9" x14ac:dyDescent="0.2">
      <c r="A16516" t="str">
        <f>"Pold1"</f>
        <v>Pold1</v>
      </c>
      <c r="B16516" t="s">
        <v>9</v>
      </c>
      <c r="C16516" t="s">
        <v>33</v>
      </c>
      <c r="D16516" t="s">
        <v>11</v>
      </c>
      <c r="E16516" t="s">
        <v>12</v>
      </c>
      <c r="F16516">
        <v>44548750</v>
      </c>
      <c r="G16516">
        <v>44548833</v>
      </c>
      <c r="H16516">
        <v>44548750</v>
      </c>
      <c r="I16516">
        <v>44548833</v>
      </c>
    </row>
    <row r="16517" spans="1:9" x14ac:dyDescent="0.2">
      <c r="A16517" t="str">
        <f>"Pold1"</f>
        <v>Pold1</v>
      </c>
      <c r="B16517" t="s">
        <v>13</v>
      </c>
      <c r="C16517" t="s">
        <v>33</v>
      </c>
      <c r="D16517" t="s">
        <v>11</v>
      </c>
      <c r="E16517" t="s">
        <v>12</v>
      </c>
      <c r="F16517">
        <v>44534295</v>
      </c>
      <c r="G16517">
        <v>44534316</v>
      </c>
      <c r="H16517">
        <v>44534295</v>
      </c>
      <c r="I16517">
        <v>44534316</v>
      </c>
    </row>
    <row r="16518" spans="1:9" x14ac:dyDescent="0.2">
      <c r="A16518" t="str">
        <f>"Pold2"</f>
        <v>Pold2</v>
      </c>
      <c r="B16518" t="s">
        <v>14</v>
      </c>
      <c r="C16518" t="s">
        <v>27</v>
      </c>
      <c r="D16518" t="s">
        <v>11</v>
      </c>
      <c r="E16518" t="s">
        <v>12</v>
      </c>
      <c r="F16518">
        <v>5878207</v>
      </c>
      <c r="G16518">
        <v>5878243</v>
      </c>
      <c r="H16518">
        <v>5878251</v>
      </c>
      <c r="I16518">
        <v>5878260</v>
      </c>
    </row>
    <row r="16519" spans="1:9" x14ac:dyDescent="0.2">
      <c r="A16519" t="str">
        <f>"Pold3"</f>
        <v>Pold3</v>
      </c>
      <c r="B16519" t="s">
        <v>14</v>
      </c>
      <c r="C16519" t="s">
        <v>33</v>
      </c>
      <c r="D16519" t="s">
        <v>11</v>
      </c>
      <c r="E16519" t="s">
        <v>12</v>
      </c>
      <c r="F16519">
        <v>100121446</v>
      </c>
      <c r="G16519">
        <v>100121511</v>
      </c>
      <c r="H16519">
        <v>100121512</v>
      </c>
      <c r="I16519">
        <v>100121524</v>
      </c>
    </row>
    <row r="16520" spans="1:9" x14ac:dyDescent="0.2">
      <c r="A16520" t="str">
        <f>"Pold4"</f>
        <v>Pold4</v>
      </c>
      <c r="B16520" t="s">
        <v>14</v>
      </c>
      <c r="C16520" t="s">
        <v>10</v>
      </c>
      <c r="D16520" t="s">
        <v>17</v>
      </c>
      <c r="E16520" t="s">
        <v>12</v>
      </c>
      <c r="F16520">
        <v>4231931</v>
      </c>
      <c r="G16520">
        <v>4231959</v>
      </c>
      <c r="H16520">
        <v>4231910</v>
      </c>
      <c r="I16520">
        <v>4231928</v>
      </c>
    </row>
    <row r="16521" spans="1:9" x14ac:dyDescent="0.2">
      <c r="A16521" t="str">
        <f>"Poldip2"</f>
        <v>Poldip2</v>
      </c>
      <c r="B16521" t="s">
        <v>14</v>
      </c>
      <c r="C16521" t="s">
        <v>27</v>
      </c>
      <c r="D16521" t="s">
        <v>17</v>
      </c>
      <c r="E16521" t="s">
        <v>12</v>
      </c>
      <c r="F16521">
        <v>78512243</v>
      </c>
      <c r="G16521">
        <v>78512296</v>
      </c>
      <c r="H16521">
        <v>78512301</v>
      </c>
      <c r="I16521">
        <v>78512312</v>
      </c>
    </row>
    <row r="16522" spans="1:9" x14ac:dyDescent="0.2">
      <c r="A16522" t="str">
        <f>"Poldip3"</f>
        <v>Poldip3</v>
      </c>
      <c r="B16522" t="s">
        <v>14</v>
      </c>
      <c r="C16522" t="s">
        <v>25</v>
      </c>
      <c r="D16522" t="s">
        <v>11</v>
      </c>
      <c r="E16522" t="s">
        <v>12</v>
      </c>
      <c r="F16522">
        <v>83149270</v>
      </c>
      <c r="G16522">
        <v>83149304</v>
      </c>
      <c r="H16522">
        <v>83149307</v>
      </c>
      <c r="I16522">
        <v>83149350</v>
      </c>
    </row>
    <row r="16523" spans="1:9" x14ac:dyDescent="0.2">
      <c r="A16523" t="str">
        <f>"Pole"</f>
        <v>Pole</v>
      </c>
      <c r="B16523" t="s">
        <v>14</v>
      </c>
      <c r="C16523" t="s">
        <v>46</v>
      </c>
      <c r="D16523" t="s">
        <v>17</v>
      </c>
      <c r="E16523" t="s">
        <v>12</v>
      </c>
      <c r="F16523">
        <v>110286326</v>
      </c>
      <c r="G16523">
        <v>110286391</v>
      </c>
      <c r="H16523">
        <v>110286326</v>
      </c>
      <c r="I16523">
        <v>110286391</v>
      </c>
    </row>
    <row r="16524" spans="1:9" x14ac:dyDescent="0.2">
      <c r="A16524" t="str">
        <f>"Pole2"</f>
        <v>Pole2</v>
      </c>
      <c r="B16524" t="s">
        <v>14</v>
      </c>
      <c r="C16524" t="s">
        <v>16</v>
      </c>
      <c r="D16524" t="s">
        <v>11</v>
      </c>
      <c r="E16524" t="s">
        <v>12</v>
      </c>
      <c r="F16524">
        <v>69228167</v>
      </c>
      <c r="G16524">
        <v>69228184</v>
      </c>
      <c r="H16524">
        <v>69228167</v>
      </c>
      <c r="I16524">
        <v>69228184</v>
      </c>
    </row>
    <row r="16525" spans="1:9" x14ac:dyDescent="0.2">
      <c r="A16525" t="str">
        <f>"Pole3"</f>
        <v>Pole3</v>
      </c>
      <c r="B16525" t="s">
        <v>14</v>
      </c>
      <c r="C16525" t="s">
        <v>23</v>
      </c>
      <c r="D16525" t="s">
        <v>11</v>
      </c>
      <c r="E16525" t="s">
        <v>12</v>
      </c>
      <c r="F16525">
        <v>62525036</v>
      </c>
      <c r="G16525">
        <v>62525080</v>
      </c>
      <c r="H16525">
        <v>62525036</v>
      </c>
      <c r="I16525">
        <v>62525080</v>
      </c>
    </row>
    <row r="16526" spans="1:9" x14ac:dyDescent="0.2">
      <c r="A16526" t="str">
        <f>"Pole4"</f>
        <v>Pole4</v>
      </c>
      <c r="B16526" t="s">
        <v>14</v>
      </c>
      <c r="C16526" t="s">
        <v>32</v>
      </c>
      <c r="D16526" t="s">
        <v>11</v>
      </c>
      <c r="E16526" t="s">
        <v>12</v>
      </c>
      <c r="F16526">
        <v>82652856</v>
      </c>
      <c r="G16526">
        <v>82652881</v>
      </c>
      <c r="H16526">
        <v>82652495</v>
      </c>
      <c r="I16526">
        <v>82652545</v>
      </c>
    </row>
    <row r="16527" spans="1:9" x14ac:dyDescent="0.2">
      <c r="A16527" t="str">
        <f>"Polg"</f>
        <v>Polg</v>
      </c>
      <c r="B16527" t="s">
        <v>14</v>
      </c>
      <c r="C16527" t="s">
        <v>33</v>
      </c>
      <c r="D16527" t="s">
        <v>11</v>
      </c>
      <c r="E16527" t="s">
        <v>12</v>
      </c>
      <c r="F16527">
        <v>79466167</v>
      </c>
      <c r="G16527">
        <v>79466240</v>
      </c>
      <c r="H16527">
        <v>79466155</v>
      </c>
      <c r="I16527">
        <v>79466166</v>
      </c>
    </row>
    <row r="16528" spans="1:9" x14ac:dyDescent="0.2">
      <c r="A16528" t="str">
        <f>"Polg2"</f>
        <v>Polg2</v>
      </c>
      <c r="B16528" t="s">
        <v>14</v>
      </c>
      <c r="C16528" t="s">
        <v>27</v>
      </c>
      <c r="D16528" t="s">
        <v>11</v>
      </c>
      <c r="E16528" t="s">
        <v>12</v>
      </c>
      <c r="F16528">
        <v>106779483</v>
      </c>
      <c r="G16528">
        <v>106779559</v>
      </c>
      <c r="H16528">
        <v>106779457</v>
      </c>
      <c r="I16528">
        <v>106779472</v>
      </c>
    </row>
    <row r="16529" spans="1:9" x14ac:dyDescent="0.2">
      <c r="A16529" t="str">
        <f>"Polh"</f>
        <v>Polh</v>
      </c>
      <c r="B16529" t="s">
        <v>14</v>
      </c>
      <c r="C16529" t="s">
        <v>28</v>
      </c>
      <c r="D16529" t="s">
        <v>11</v>
      </c>
      <c r="E16529" t="s">
        <v>12</v>
      </c>
      <c r="F16529">
        <v>46202576</v>
      </c>
      <c r="G16529">
        <v>46202673</v>
      </c>
      <c r="H16529">
        <v>46202487</v>
      </c>
      <c r="I16529">
        <v>46202515</v>
      </c>
    </row>
    <row r="16530" spans="1:9" x14ac:dyDescent="0.2">
      <c r="A16530" t="str">
        <f>"Poli"</f>
        <v>Poli</v>
      </c>
      <c r="B16530" t="s">
        <v>14</v>
      </c>
      <c r="C16530" t="s">
        <v>43</v>
      </c>
      <c r="D16530" t="s">
        <v>11</v>
      </c>
      <c r="E16530" t="s">
        <v>12</v>
      </c>
      <c r="F16530">
        <v>70530219</v>
      </c>
      <c r="G16530">
        <v>70530284</v>
      </c>
      <c r="H16530">
        <v>70530313</v>
      </c>
      <c r="I16530">
        <v>70530326</v>
      </c>
    </row>
    <row r="16531" spans="1:9" x14ac:dyDescent="0.2">
      <c r="A16531" t="str">
        <f>"Polk"</f>
        <v>Polk</v>
      </c>
      <c r="B16531" t="s">
        <v>14</v>
      </c>
      <c r="C16531" t="s">
        <v>39</v>
      </c>
      <c r="D16531" t="s">
        <v>11</v>
      </c>
      <c r="E16531" t="s">
        <v>12</v>
      </c>
      <c r="F16531">
        <v>96542479</v>
      </c>
      <c r="G16531">
        <v>96542523</v>
      </c>
      <c r="H16531">
        <v>96542458</v>
      </c>
      <c r="I16531">
        <v>96542472</v>
      </c>
    </row>
    <row r="16532" spans="1:9" x14ac:dyDescent="0.2">
      <c r="A16532" t="str">
        <f>"Poll"</f>
        <v>Poll</v>
      </c>
      <c r="B16532" t="s">
        <v>14</v>
      </c>
      <c r="C16532" t="s">
        <v>10</v>
      </c>
      <c r="D16532" t="s">
        <v>11</v>
      </c>
      <c r="E16532" t="s">
        <v>12</v>
      </c>
      <c r="F16532">
        <v>45560508</v>
      </c>
      <c r="G16532">
        <v>45560532</v>
      </c>
      <c r="H16532">
        <v>45560508</v>
      </c>
      <c r="I16532">
        <v>45560532</v>
      </c>
    </row>
    <row r="16533" spans="1:9" x14ac:dyDescent="0.2">
      <c r="A16533" t="str">
        <f>"Polm"</f>
        <v>Polm</v>
      </c>
      <c r="B16533" t="s">
        <v>14</v>
      </c>
      <c r="C16533" t="s">
        <v>27</v>
      </c>
      <c r="D16533" t="s">
        <v>11</v>
      </c>
      <c r="E16533" t="s">
        <v>12</v>
      </c>
      <c r="F16533">
        <v>5837760</v>
      </c>
      <c r="G16533">
        <v>5837835</v>
      </c>
      <c r="H16533">
        <v>5837976</v>
      </c>
      <c r="I16533">
        <v>5838021</v>
      </c>
    </row>
    <row r="16534" spans="1:9" x14ac:dyDescent="0.2">
      <c r="A16534" t="str">
        <f>"Poln"</f>
        <v>Poln</v>
      </c>
      <c r="B16534" t="s">
        <v>14</v>
      </c>
      <c r="C16534" t="s">
        <v>46</v>
      </c>
      <c r="D16534" t="s">
        <v>11</v>
      </c>
      <c r="E16534" t="s">
        <v>12</v>
      </c>
      <c r="F16534">
        <v>34169409</v>
      </c>
      <c r="G16534">
        <v>34169466</v>
      </c>
      <c r="H16534">
        <v>34169523</v>
      </c>
      <c r="I16534">
        <v>34169534</v>
      </c>
    </row>
    <row r="16535" spans="1:9" x14ac:dyDescent="0.2">
      <c r="A16535" t="str">
        <f>"Polq"</f>
        <v>Polq</v>
      </c>
      <c r="B16535" t="s">
        <v>14</v>
      </c>
      <c r="C16535" t="s">
        <v>31</v>
      </c>
      <c r="D16535" t="s">
        <v>17</v>
      </c>
      <c r="E16535" t="s">
        <v>12</v>
      </c>
      <c r="F16535">
        <v>37011758</v>
      </c>
      <c r="G16535">
        <v>37011791</v>
      </c>
      <c r="H16535">
        <v>37011758</v>
      </c>
      <c r="I16535">
        <v>37011791</v>
      </c>
    </row>
    <row r="16536" spans="1:9" x14ac:dyDescent="0.2">
      <c r="A16536" t="str">
        <f>"Polr1a"</f>
        <v>Polr1a</v>
      </c>
      <c r="B16536" t="s">
        <v>14</v>
      </c>
      <c r="C16536" t="s">
        <v>32</v>
      </c>
      <c r="D16536" t="s">
        <v>17</v>
      </c>
      <c r="E16536" t="s">
        <v>12</v>
      </c>
      <c r="F16536">
        <v>71909046</v>
      </c>
      <c r="G16536">
        <v>71909076</v>
      </c>
      <c r="H16536">
        <v>71909046</v>
      </c>
      <c r="I16536">
        <v>71909076</v>
      </c>
    </row>
    <row r="16537" spans="1:9" x14ac:dyDescent="0.2">
      <c r="A16537" t="str">
        <f>"Polr1b"</f>
        <v>Polr1b</v>
      </c>
      <c r="B16537" t="s">
        <v>14</v>
      </c>
      <c r="C16537" t="s">
        <v>26</v>
      </c>
      <c r="D16537" t="s">
        <v>17</v>
      </c>
      <c r="E16537" t="s">
        <v>12</v>
      </c>
      <c r="F16537">
        <v>129101000</v>
      </c>
      <c r="G16537">
        <v>129101066</v>
      </c>
      <c r="H16537">
        <v>129101074</v>
      </c>
      <c r="I16537">
        <v>129101083</v>
      </c>
    </row>
    <row r="16538" spans="1:9" x14ac:dyDescent="0.2">
      <c r="A16538" t="str">
        <f>"Polr1c"</f>
        <v>Polr1c</v>
      </c>
      <c r="B16538" t="s">
        <v>14</v>
      </c>
      <c r="C16538" t="s">
        <v>28</v>
      </c>
      <c r="D16538" t="s">
        <v>11</v>
      </c>
      <c r="E16538" t="s">
        <v>12</v>
      </c>
      <c r="F16538">
        <v>46247969</v>
      </c>
      <c r="G16538">
        <v>46248000</v>
      </c>
      <c r="H16538">
        <v>46248199</v>
      </c>
      <c r="I16538">
        <v>46248206</v>
      </c>
    </row>
    <row r="16539" spans="1:9" x14ac:dyDescent="0.2">
      <c r="A16539" t="str">
        <f>"Polr1d"</f>
        <v>Polr1d</v>
      </c>
      <c r="B16539" t="s">
        <v>14</v>
      </c>
      <c r="C16539" t="s">
        <v>46</v>
      </c>
      <c r="D16539" t="s">
        <v>17</v>
      </c>
      <c r="E16539" t="s">
        <v>12</v>
      </c>
      <c r="F16539">
        <v>147077545</v>
      </c>
      <c r="G16539">
        <v>147077585</v>
      </c>
      <c r="H16539">
        <v>147077525</v>
      </c>
      <c r="I16539">
        <v>147077542</v>
      </c>
    </row>
    <row r="16540" spans="1:9" x14ac:dyDescent="0.2">
      <c r="A16540" t="str">
        <f>"Polr1e"</f>
        <v>Polr1e</v>
      </c>
      <c r="B16540" t="s">
        <v>14</v>
      </c>
      <c r="C16540" t="s">
        <v>23</v>
      </c>
      <c r="D16540" t="s">
        <v>17</v>
      </c>
      <c r="E16540" t="s">
        <v>12</v>
      </c>
      <c r="F16540">
        <v>45018619</v>
      </c>
      <c r="G16540">
        <v>45018675</v>
      </c>
      <c r="H16540">
        <v>45018619</v>
      </c>
      <c r="I16540">
        <v>45018675</v>
      </c>
    </row>
    <row r="16541" spans="1:9" x14ac:dyDescent="0.2">
      <c r="A16541" t="str">
        <f>"Polr2a"</f>
        <v>Polr2a</v>
      </c>
      <c r="B16541" t="s">
        <v>14</v>
      </c>
      <c r="C16541" t="s">
        <v>27</v>
      </c>
      <c r="D16541" t="s">
        <v>11</v>
      </c>
      <c r="E16541" t="s">
        <v>12</v>
      </c>
      <c r="F16541">
        <v>69758630</v>
      </c>
      <c r="G16541">
        <v>69758642</v>
      </c>
      <c r="H16541">
        <v>69758630</v>
      </c>
      <c r="I16541">
        <v>69758642</v>
      </c>
    </row>
    <row r="16542" spans="1:9" x14ac:dyDescent="0.2">
      <c r="A16542" t="str">
        <f>"Polr2b"</f>
        <v>Polr2b</v>
      </c>
      <c r="B16542" t="s">
        <v>14</v>
      </c>
      <c r="C16542" t="s">
        <v>46</v>
      </c>
      <c r="D16542" t="s">
        <v>17</v>
      </c>
      <c r="E16542" t="s">
        <v>12</v>
      </c>
      <c r="F16542">
        <v>77310478</v>
      </c>
      <c r="G16542">
        <v>77310545</v>
      </c>
      <c r="H16542">
        <v>77310186</v>
      </c>
      <c r="I16542">
        <v>77310216</v>
      </c>
    </row>
    <row r="16543" spans="1:9" x14ac:dyDescent="0.2">
      <c r="A16543" t="str">
        <f>"Polr2c"</f>
        <v>Polr2c</v>
      </c>
      <c r="B16543" t="s">
        <v>14</v>
      </c>
      <c r="C16543" t="s">
        <v>30</v>
      </c>
      <c r="D16543" t="s">
        <v>17</v>
      </c>
      <c r="E16543" t="s">
        <v>12</v>
      </c>
      <c r="F16543">
        <v>94857474</v>
      </c>
      <c r="G16543">
        <v>94857494</v>
      </c>
      <c r="H16543">
        <v>94857528</v>
      </c>
      <c r="I16543">
        <v>94857556</v>
      </c>
    </row>
    <row r="16544" spans="1:9" x14ac:dyDescent="0.2">
      <c r="A16544" t="str">
        <f>"Polr2d"</f>
        <v>Polr2d</v>
      </c>
      <c r="B16544" t="s">
        <v>14</v>
      </c>
      <c r="C16544" t="s">
        <v>43</v>
      </c>
      <c r="D16544" t="s">
        <v>17</v>
      </c>
      <c r="E16544" t="s">
        <v>12</v>
      </c>
      <c r="F16544">
        <v>31789120</v>
      </c>
      <c r="G16544">
        <v>31789171</v>
      </c>
      <c r="H16544">
        <v>31789120</v>
      </c>
      <c r="I16544">
        <v>31789171</v>
      </c>
    </row>
    <row r="16545" spans="1:9" x14ac:dyDescent="0.2">
      <c r="A16545" t="str">
        <f>"Polr2e"</f>
        <v>Polr2e</v>
      </c>
      <c r="B16545" t="s">
        <v>14</v>
      </c>
      <c r="C16545" t="s">
        <v>15</v>
      </c>
      <c r="D16545" t="s">
        <v>11</v>
      </c>
      <c r="E16545" t="s">
        <v>12</v>
      </c>
      <c r="F16545">
        <v>80039674</v>
      </c>
      <c r="G16545">
        <v>80039724</v>
      </c>
      <c r="H16545">
        <v>80039645</v>
      </c>
      <c r="I16545">
        <v>80039672</v>
      </c>
    </row>
    <row r="16546" spans="1:9" x14ac:dyDescent="0.2">
      <c r="A16546" t="str">
        <f>"Polr2f"</f>
        <v>Polr2f</v>
      </c>
      <c r="B16546" t="s">
        <v>14</v>
      </c>
      <c r="C16546" t="s">
        <v>25</v>
      </c>
      <c r="D16546" t="s">
        <v>17</v>
      </c>
      <c r="E16546" t="s">
        <v>12</v>
      </c>
      <c r="F16546">
        <v>79141324</v>
      </c>
      <c r="G16546">
        <v>79141358</v>
      </c>
      <c r="H16546">
        <v>79141364</v>
      </c>
      <c r="I16546">
        <v>79141390</v>
      </c>
    </row>
    <row r="16547" spans="1:9" x14ac:dyDescent="0.2">
      <c r="A16547" t="str">
        <f>"Polr2g"</f>
        <v>Polr2g</v>
      </c>
      <c r="B16547" t="s">
        <v>14</v>
      </c>
      <c r="C16547" t="s">
        <v>10</v>
      </c>
      <c r="D16547" t="s">
        <v>11</v>
      </c>
      <c r="E16547" t="s">
        <v>12</v>
      </c>
      <c r="F16547">
        <v>8798495</v>
      </c>
      <c r="G16547">
        <v>8798565</v>
      </c>
      <c r="H16547">
        <v>8798571</v>
      </c>
      <c r="I16547">
        <v>8798593</v>
      </c>
    </row>
    <row r="16548" spans="1:9" x14ac:dyDescent="0.2">
      <c r="A16548" t="str">
        <f>"Polr2h"</f>
        <v>Polr2h</v>
      </c>
      <c r="B16548" t="s">
        <v>14</v>
      </c>
      <c r="C16548" t="s">
        <v>31</v>
      </c>
      <c r="D16548" t="s">
        <v>17</v>
      </c>
      <c r="E16548" t="s">
        <v>12</v>
      </c>
      <c r="F16548">
        <v>20717860</v>
      </c>
      <c r="G16548">
        <v>20717880</v>
      </c>
      <c r="H16548">
        <v>20717820</v>
      </c>
      <c r="I16548">
        <v>20717851</v>
      </c>
    </row>
    <row r="16549" spans="1:9" x14ac:dyDescent="0.2">
      <c r="A16549" t="str">
        <f>"Polr2i"</f>
        <v>Polr2i</v>
      </c>
      <c r="B16549" t="s">
        <v>14</v>
      </c>
      <c r="C16549" t="s">
        <v>33</v>
      </c>
      <c r="D16549" t="s">
        <v>17</v>
      </c>
      <c r="E16549" t="s">
        <v>12</v>
      </c>
      <c r="F16549">
        <v>30232310</v>
      </c>
      <c r="G16549">
        <v>30232350</v>
      </c>
      <c r="H16549">
        <v>30231920</v>
      </c>
      <c r="I16549">
        <v>30231955</v>
      </c>
    </row>
    <row r="16550" spans="1:9" x14ac:dyDescent="0.2">
      <c r="A16550" t="str">
        <f>"Polr2j"</f>
        <v>Polr2j</v>
      </c>
      <c r="B16550" t="s">
        <v>14</v>
      </c>
      <c r="C16550" t="s">
        <v>46</v>
      </c>
      <c r="D16550" t="s">
        <v>17</v>
      </c>
      <c r="E16550" t="s">
        <v>12</v>
      </c>
      <c r="F16550">
        <v>136116678</v>
      </c>
      <c r="G16550">
        <v>136116740</v>
      </c>
      <c r="H16550">
        <v>136116678</v>
      </c>
      <c r="I16550">
        <v>136116740</v>
      </c>
    </row>
    <row r="16551" spans="1:9" x14ac:dyDescent="0.2">
      <c r="A16551" t="str">
        <f>"Polr2k"</f>
        <v>Polr2k</v>
      </c>
      <c r="B16551" t="s">
        <v>14</v>
      </c>
      <c r="C16551" t="s">
        <v>25</v>
      </c>
      <c r="D16551" t="s">
        <v>17</v>
      </c>
      <c r="E16551" t="s">
        <v>12</v>
      </c>
      <c r="F16551">
        <v>36174020</v>
      </c>
      <c r="G16551">
        <v>36174072</v>
      </c>
      <c r="H16551">
        <v>36174020</v>
      </c>
      <c r="I16551">
        <v>36174072</v>
      </c>
    </row>
    <row r="16552" spans="1:9" x14ac:dyDescent="0.2">
      <c r="A16552" t="str">
        <f>"Polr2l"</f>
        <v>Polr2l</v>
      </c>
      <c r="B16552" t="s">
        <v>14</v>
      </c>
      <c r="C16552" t="s">
        <v>33</v>
      </c>
      <c r="D16552" t="s">
        <v>11</v>
      </c>
      <c r="E16552" t="s">
        <v>12</v>
      </c>
      <c r="F16552">
        <v>141475131</v>
      </c>
      <c r="G16552">
        <v>141475168</v>
      </c>
      <c r="H16552">
        <v>141475329</v>
      </c>
      <c r="I16552">
        <v>141475363</v>
      </c>
    </row>
    <row r="16553" spans="1:9" x14ac:dyDescent="0.2">
      <c r="A16553" t="str">
        <f>"Polr2m"</f>
        <v>Polr2m</v>
      </c>
      <c r="B16553" t="s">
        <v>14</v>
      </c>
      <c r="C16553" t="s">
        <v>24</v>
      </c>
      <c r="D16553" t="s">
        <v>11</v>
      </c>
      <c r="E16553" t="s">
        <v>12</v>
      </c>
      <c r="F16553">
        <v>71485893</v>
      </c>
      <c r="G16553">
        <v>71485975</v>
      </c>
      <c r="H16553">
        <v>71485876</v>
      </c>
      <c r="I16553">
        <v>71485887</v>
      </c>
    </row>
    <row r="16554" spans="1:9" x14ac:dyDescent="0.2">
      <c r="A16554" t="str">
        <f>"Polr3a"</f>
        <v>Polr3a</v>
      </c>
      <c r="B16554" t="s">
        <v>14</v>
      </c>
      <c r="C16554" t="s">
        <v>41</v>
      </c>
      <c r="D16554" t="s">
        <v>11</v>
      </c>
      <c r="E16554" t="s">
        <v>12</v>
      </c>
      <c r="F16554">
        <v>24486994</v>
      </c>
      <c r="G16554">
        <v>24487064</v>
      </c>
      <c r="H16554">
        <v>24486966</v>
      </c>
      <c r="I16554">
        <v>24486976</v>
      </c>
    </row>
    <row r="16555" spans="1:9" x14ac:dyDescent="0.2">
      <c r="A16555" t="str">
        <f>"Polr3b"</f>
        <v>Polr3b</v>
      </c>
      <c r="B16555" t="s">
        <v>14</v>
      </c>
      <c r="C16555" t="s">
        <v>15</v>
      </c>
      <c r="D16555" t="s">
        <v>17</v>
      </c>
      <c r="E16555" t="s">
        <v>12</v>
      </c>
      <c r="F16555">
        <v>84622365</v>
      </c>
      <c r="G16555">
        <v>84622410</v>
      </c>
      <c r="H16555">
        <v>84622312</v>
      </c>
      <c r="I16555">
        <v>84622360</v>
      </c>
    </row>
    <row r="16556" spans="1:9" x14ac:dyDescent="0.2">
      <c r="A16556" t="str">
        <f>"Polr3c"</f>
        <v>Polr3c</v>
      </c>
      <c r="B16556" t="s">
        <v>14</v>
      </c>
      <c r="C16556" t="s">
        <v>22</v>
      </c>
      <c r="D16556" t="s">
        <v>11</v>
      </c>
      <c r="E16556" t="s">
        <v>12</v>
      </c>
      <c r="F16556">
        <v>96727453</v>
      </c>
      <c r="G16556">
        <v>96727505</v>
      </c>
      <c r="H16556">
        <v>96727436</v>
      </c>
      <c r="I16556">
        <v>96727452</v>
      </c>
    </row>
    <row r="16557" spans="1:9" x14ac:dyDescent="0.2">
      <c r="A16557" t="str">
        <f>"Polr3d"</f>
        <v>Polr3d</v>
      </c>
      <c r="B16557" t="s">
        <v>14</v>
      </c>
      <c r="C16557" t="s">
        <v>41</v>
      </c>
      <c r="D16557" t="s">
        <v>11</v>
      </c>
      <c r="E16557" t="s">
        <v>12</v>
      </c>
      <c r="F16557">
        <v>70443442</v>
      </c>
      <c r="G16557">
        <v>70443476</v>
      </c>
      <c r="H16557">
        <v>70443126</v>
      </c>
      <c r="I16557">
        <v>70443153</v>
      </c>
    </row>
    <row r="16558" spans="1:9" x14ac:dyDescent="0.2">
      <c r="A16558" t="str">
        <f>"Polr3e"</f>
        <v>Polr3e</v>
      </c>
      <c r="B16558" t="s">
        <v>14</v>
      </c>
      <c r="C16558" t="s">
        <v>33</v>
      </c>
      <c r="D16558" t="s">
        <v>17</v>
      </c>
      <c r="E16558" t="s">
        <v>12</v>
      </c>
      <c r="F16558">
        <v>120917769</v>
      </c>
      <c r="G16558">
        <v>120917815</v>
      </c>
      <c r="H16558">
        <v>120917905</v>
      </c>
      <c r="I16558">
        <v>120917935</v>
      </c>
    </row>
    <row r="16559" spans="1:9" x14ac:dyDescent="0.2">
      <c r="A16559" t="str">
        <f>"Polr3f"</f>
        <v>Polr3f</v>
      </c>
      <c r="B16559" t="s">
        <v>14</v>
      </c>
      <c r="C16559" t="s">
        <v>26</v>
      </c>
      <c r="D16559" t="s">
        <v>17</v>
      </c>
      <c r="E16559" t="s">
        <v>12</v>
      </c>
      <c r="F16559">
        <v>144527738</v>
      </c>
      <c r="G16559">
        <v>144527773</v>
      </c>
      <c r="H16559">
        <v>144527791</v>
      </c>
      <c r="I16559">
        <v>144527802</v>
      </c>
    </row>
    <row r="16560" spans="1:9" x14ac:dyDescent="0.2">
      <c r="A16560" t="str">
        <f>"Polr3g"</f>
        <v>Polr3g</v>
      </c>
      <c r="B16560" t="s">
        <v>14</v>
      </c>
      <c r="C16560" t="s">
        <v>39</v>
      </c>
      <c r="D16560" t="s">
        <v>11</v>
      </c>
      <c r="E16560" t="s">
        <v>12</v>
      </c>
      <c r="F16560">
        <v>81710937</v>
      </c>
      <c r="G16560">
        <v>81711008</v>
      </c>
      <c r="H16560">
        <v>81711301</v>
      </c>
      <c r="I16560">
        <v>81711347</v>
      </c>
    </row>
    <row r="16561" spans="1:9" x14ac:dyDescent="0.2">
      <c r="A16561" t="str">
        <f>"Polr3gl"</f>
        <v>Polr3gl</v>
      </c>
      <c r="B16561" t="s">
        <v>9</v>
      </c>
      <c r="C16561" t="s">
        <v>22</v>
      </c>
      <c r="D16561" t="s">
        <v>11</v>
      </c>
      <c r="E16561" t="s">
        <v>12</v>
      </c>
      <c r="F16561">
        <v>96594128</v>
      </c>
      <c r="G16561">
        <v>96594176</v>
      </c>
      <c r="H16561">
        <v>96594128</v>
      </c>
      <c r="I16561">
        <v>96594176</v>
      </c>
    </row>
    <row r="16562" spans="1:9" x14ac:dyDescent="0.2">
      <c r="A16562" t="str">
        <f>"Polr3gl"</f>
        <v>Polr3gl</v>
      </c>
      <c r="B16562" t="s">
        <v>13</v>
      </c>
      <c r="C16562" t="s">
        <v>22</v>
      </c>
      <c r="D16562" t="s">
        <v>11</v>
      </c>
      <c r="E16562" t="s">
        <v>12</v>
      </c>
      <c r="F16562">
        <v>96581679</v>
      </c>
      <c r="G16562">
        <v>96581693</v>
      </c>
      <c r="H16562">
        <v>96581679</v>
      </c>
      <c r="I16562">
        <v>96581693</v>
      </c>
    </row>
    <row r="16563" spans="1:9" x14ac:dyDescent="0.2">
      <c r="A16563" t="str">
        <f>"Polr3h"</f>
        <v>Polr3h</v>
      </c>
      <c r="B16563" t="s">
        <v>14</v>
      </c>
      <c r="C16563" t="s">
        <v>25</v>
      </c>
      <c r="D16563" t="s">
        <v>11</v>
      </c>
      <c r="E16563" t="s">
        <v>12</v>
      </c>
      <c r="F16563">
        <v>81926148</v>
      </c>
      <c r="G16563">
        <v>81926223</v>
      </c>
      <c r="H16563">
        <v>81926227</v>
      </c>
      <c r="I16563">
        <v>81926238</v>
      </c>
    </row>
    <row r="16564" spans="1:9" x14ac:dyDescent="0.2">
      <c r="A16564" t="str">
        <f>"Polr3k"</f>
        <v>Polr3k</v>
      </c>
      <c r="B16564" t="s">
        <v>14</v>
      </c>
      <c r="C16564" t="s">
        <v>26</v>
      </c>
      <c r="D16564" t="s">
        <v>17</v>
      </c>
      <c r="E16564" t="s">
        <v>12</v>
      </c>
      <c r="F16564">
        <v>181864418</v>
      </c>
      <c r="G16564">
        <v>181864438</v>
      </c>
      <c r="H16564">
        <v>181864442</v>
      </c>
      <c r="I16564">
        <v>181864464</v>
      </c>
    </row>
    <row r="16565" spans="1:9" x14ac:dyDescent="0.2">
      <c r="A16565" t="str">
        <f>"Polrmt"</f>
        <v>Polrmt</v>
      </c>
      <c r="B16565" t="s">
        <v>14</v>
      </c>
      <c r="C16565" t="s">
        <v>15</v>
      </c>
      <c r="D16565" t="s">
        <v>11</v>
      </c>
      <c r="E16565" t="s">
        <v>12</v>
      </c>
      <c r="F16565">
        <v>79746553</v>
      </c>
      <c r="G16565">
        <v>79746586</v>
      </c>
      <c r="H16565">
        <v>79746553</v>
      </c>
      <c r="I16565">
        <v>79746586</v>
      </c>
    </row>
    <row r="16566" spans="1:9" x14ac:dyDescent="0.2">
      <c r="A16566" t="str">
        <f>"Pom121"</f>
        <v>Pom121</v>
      </c>
      <c r="B16566" t="s">
        <v>14</v>
      </c>
      <c r="C16566" t="s">
        <v>46</v>
      </c>
      <c r="D16566" t="s">
        <v>11</v>
      </c>
      <c r="E16566" t="s">
        <v>12</v>
      </c>
      <c r="F16566">
        <v>135394499</v>
      </c>
      <c r="G16566">
        <v>135394558</v>
      </c>
      <c r="H16566">
        <v>135394499</v>
      </c>
      <c r="I16566">
        <v>135394558</v>
      </c>
    </row>
    <row r="16567" spans="1:9" x14ac:dyDescent="0.2">
      <c r="A16567" t="str">
        <f>"Pom121l2"</f>
        <v>Pom121l2</v>
      </c>
      <c r="B16567" t="s">
        <v>14</v>
      </c>
      <c r="C16567" t="s">
        <v>39</v>
      </c>
      <c r="D16567" t="s">
        <v>17</v>
      </c>
      <c r="E16567" t="s">
        <v>12</v>
      </c>
      <c r="F16567">
        <v>21981452</v>
      </c>
      <c r="G16567">
        <v>21981504</v>
      </c>
      <c r="H16567">
        <v>21981517</v>
      </c>
      <c r="I16567">
        <v>21981522</v>
      </c>
    </row>
    <row r="16568" spans="1:9" x14ac:dyDescent="0.2">
      <c r="A16568" t="str">
        <f>"Pomc"</f>
        <v>Pomc</v>
      </c>
      <c r="B16568" t="s">
        <v>14</v>
      </c>
      <c r="C16568" t="s">
        <v>16</v>
      </c>
      <c r="D16568" t="s">
        <v>17</v>
      </c>
      <c r="E16568" t="s">
        <v>12</v>
      </c>
      <c r="F16568">
        <v>3954943</v>
      </c>
      <c r="G16568">
        <v>3954957</v>
      </c>
      <c r="H16568">
        <v>3954943</v>
      </c>
      <c r="I16568">
        <v>3954957</v>
      </c>
    </row>
    <row r="16569" spans="1:9" x14ac:dyDescent="0.2">
      <c r="A16569" t="str">
        <f>"Pomgnt1"</f>
        <v>Pomgnt1</v>
      </c>
      <c r="B16569" t="s">
        <v>9</v>
      </c>
      <c r="C16569" t="s">
        <v>23</v>
      </c>
      <c r="D16569" t="s">
        <v>17</v>
      </c>
      <c r="E16569" t="s">
        <v>12</v>
      </c>
      <c r="F16569">
        <v>116150491</v>
      </c>
      <c r="G16569">
        <v>116150576</v>
      </c>
      <c r="H16569">
        <v>116150491</v>
      </c>
      <c r="I16569">
        <v>116150576</v>
      </c>
    </row>
    <row r="16570" spans="1:9" x14ac:dyDescent="0.2">
      <c r="A16570" t="str">
        <f>"Pomgnt1"</f>
        <v>Pomgnt1</v>
      </c>
      <c r="B16570" t="s">
        <v>13</v>
      </c>
      <c r="C16570" t="s">
        <v>23</v>
      </c>
      <c r="D16570" t="s">
        <v>17</v>
      </c>
      <c r="E16570" t="s">
        <v>12</v>
      </c>
      <c r="F16570">
        <v>116123792</v>
      </c>
      <c r="G16570">
        <v>116123871</v>
      </c>
      <c r="H16570">
        <v>116123792</v>
      </c>
      <c r="I16570">
        <v>116123871</v>
      </c>
    </row>
    <row r="16571" spans="1:9" x14ac:dyDescent="0.2">
      <c r="A16571" t="str">
        <f>"Pomgnt2"</f>
        <v>Pomgnt2</v>
      </c>
      <c r="B16571" t="s">
        <v>14</v>
      </c>
      <c r="C16571" t="s">
        <v>24</v>
      </c>
      <c r="D16571" t="s">
        <v>11</v>
      </c>
      <c r="E16571" t="s">
        <v>67</v>
      </c>
      <c r="F16571">
        <v>121995962</v>
      </c>
      <c r="G16571">
        <v>121996041</v>
      </c>
      <c r="H16571">
        <v>121995962</v>
      </c>
      <c r="I16571">
        <v>121996041</v>
      </c>
    </row>
    <row r="16572" spans="1:9" x14ac:dyDescent="0.2">
      <c r="A16572" t="str">
        <f>"Pomk"</f>
        <v>Pomk</v>
      </c>
      <c r="B16572" t="s">
        <v>14</v>
      </c>
      <c r="C16572" t="s">
        <v>30</v>
      </c>
      <c r="D16572" t="s">
        <v>11</v>
      </c>
      <c r="E16572" t="s">
        <v>67</v>
      </c>
      <c r="F16572">
        <v>25994103</v>
      </c>
      <c r="G16572">
        <v>25994144</v>
      </c>
      <c r="H16572">
        <v>25994150</v>
      </c>
      <c r="I16572">
        <v>25994158</v>
      </c>
    </row>
    <row r="16573" spans="1:9" x14ac:dyDescent="0.2">
      <c r="A16573" t="str">
        <f>"Pomp"</f>
        <v>Pomp</v>
      </c>
      <c r="B16573" t="s">
        <v>14</v>
      </c>
      <c r="C16573" t="s">
        <v>46</v>
      </c>
      <c r="D16573" t="s">
        <v>17</v>
      </c>
      <c r="E16573" t="s">
        <v>12</v>
      </c>
      <c r="F16573">
        <v>147860615</v>
      </c>
      <c r="G16573">
        <v>147860670</v>
      </c>
      <c r="H16573">
        <v>147860602</v>
      </c>
      <c r="I16573">
        <v>147860613</v>
      </c>
    </row>
    <row r="16574" spans="1:9" x14ac:dyDescent="0.2">
      <c r="A16574" t="str">
        <f>"Pomt1"</f>
        <v>Pomt1</v>
      </c>
      <c r="B16574" t="s">
        <v>14</v>
      </c>
      <c r="C16574" t="s">
        <v>26</v>
      </c>
      <c r="D16574" t="s">
        <v>17</v>
      </c>
      <c r="E16574" t="s">
        <v>12</v>
      </c>
      <c r="F16574">
        <v>32236631</v>
      </c>
      <c r="G16574">
        <v>32236701</v>
      </c>
      <c r="H16574">
        <v>32236601</v>
      </c>
      <c r="I16574">
        <v>32236622</v>
      </c>
    </row>
    <row r="16575" spans="1:9" x14ac:dyDescent="0.2">
      <c r="A16575" t="str">
        <f>"Pomt2"</f>
        <v>Pomt2</v>
      </c>
      <c r="B16575" t="s">
        <v>14</v>
      </c>
      <c r="C16575" t="s">
        <v>16</v>
      </c>
      <c r="D16575" t="s">
        <v>11</v>
      </c>
      <c r="E16575" t="s">
        <v>12</v>
      </c>
      <c r="F16575">
        <v>87147608</v>
      </c>
      <c r="G16575">
        <v>87147675</v>
      </c>
      <c r="H16575">
        <v>87147934</v>
      </c>
      <c r="I16575">
        <v>87147969</v>
      </c>
    </row>
    <row r="16576" spans="1:9" x14ac:dyDescent="0.2">
      <c r="A16576" t="str">
        <f>"Pon1"</f>
        <v>Pon1</v>
      </c>
      <c r="B16576" t="s">
        <v>14</v>
      </c>
      <c r="C16576" t="s">
        <v>32</v>
      </c>
      <c r="D16576" t="s">
        <v>11</v>
      </c>
      <c r="E16576" t="s">
        <v>12</v>
      </c>
      <c r="F16576">
        <v>5193757</v>
      </c>
      <c r="G16576">
        <v>5193809</v>
      </c>
      <c r="H16576">
        <v>5193757</v>
      </c>
      <c r="I16576">
        <v>5193809</v>
      </c>
    </row>
    <row r="16577" spans="1:9" x14ac:dyDescent="0.2">
      <c r="A16577" t="str">
        <f>"Pon2"</f>
        <v>Pon2</v>
      </c>
      <c r="B16577" t="s">
        <v>14</v>
      </c>
      <c r="C16577" t="s">
        <v>32</v>
      </c>
      <c r="D16577" t="s">
        <v>11</v>
      </c>
      <c r="E16577" t="s">
        <v>12</v>
      </c>
      <c r="F16577">
        <v>5298301</v>
      </c>
      <c r="G16577">
        <v>5298377</v>
      </c>
      <c r="H16577">
        <v>5298462</v>
      </c>
      <c r="I16577">
        <v>5298476</v>
      </c>
    </row>
    <row r="16578" spans="1:9" x14ac:dyDescent="0.2">
      <c r="A16578" t="str">
        <f>"Pon3"</f>
        <v>Pon3</v>
      </c>
      <c r="B16578" t="s">
        <v>14</v>
      </c>
      <c r="C16578" t="s">
        <v>32</v>
      </c>
      <c r="D16578" t="s">
        <v>11</v>
      </c>
      <c r="E16578" t="s">
        <v>12</v>
      </c>
      <c r="F16578">
        <v>5256226</v>
      </c>
      <c r="G16578">
        <v>5256278</v>
      </c>
      <c r="H16578">
        <v>5256226</v>
      </c>
      <c r="I16578">
        <v>5256278</v>
      </c>
    </row>
    <row r="16579" spans="1:9" x14ac:dyDescent="0.2">
      <c r="A16579" t="str">
        <f>"Pop1"</f>
        <v>Pop1</v>
      </c>
      <c r="B16579" t="s">
        <v>14</v>
      </c>
      <c r="C16579" t="s">
        <v>25</v>
      </c>
      <c r="D16579" t="s">
        <v>17</v>
      </c>
      <c r="E16579" t="s">
        <v>12</v>
      </c>
      <c r="F16579">
        <v>34495302</v>
      </c>
      <c r="G16579">
        <v>34495347</v>
      </c>
      <c r="H16579">
        <v>34495364</v>
      </c>
      <c r="I16579">
        <v>34495385</v>
      </c>
    </row>
    <row r="16580" spans="1:9" x14ac:dyDescent="0.2">
      <c r="A16580" t="str">
        <f>"Pop4"</f>
        <v>Pop4</v>
      </c>
      <c r="B16580" t="s">
        <v>14</v>
      </c>
      <c r="C16580" t="s">
        <v>33</v>
      </c>
      <c r="D16580" t="s">
        <v>11</v>
      </c>
      <c r="E16580" t="s">
        <v>12</v>
      </c>
      <c r="F16580">
        <v>38271310</v>
      </c>
      <c r="G16580">
        <v>38271390</v>
      </c>
      <c r="H16580">
        <v>38271310</v>
      </c>
      <c r="I16580">
        <v>38271390</v>
      </c>
    </row>
    <row r="16581" spans="1:9" x14ac:dyDescent="0.2">
      <c r="A16581" t="str">
        <f>"Pop5"</f>
        <v>Pop5</v>
      </c>
      <c r="B16581" t="s">
        <v>14</v>
      </c>
      <c r="C16581" t="s">
        <v>46</v>
      </c>
      <c r="D16581" t="s">
        <v>17</v>
      </c>
      <c r="E16581" t="s">
        <v>12</v>
      </c>
      <c r="F16581">
        <v>115238008</v>
      </c>
      <c r="G16581">
        <v>115238083</v>
      </c>
      <c r="H16581">
        <v>115238008</v>
      </c>
      <c r="I16581">
        <v>115238083</v>
      </c>
    </row>
    <row r="16582" spans="1:9" x14ac:dyDescent="0.2">
      <c r="A16582" t="str">
        <f>"Pop7"</f>
        <v>Pop7</v>
      </c>
      <c r="B16582" t="s">
        <v>14</v>
      </c>
      <c r="C16582" t="s">
        <v>46</v>
      </c>
      <c r="D16582" t="s">
        <v>11</v>
      </c>
      <c r="E16582" t="s">
        <v>12</v>
      </c>
      <c r="F16582">
        <v>137502402</v>
      </c>
      <c r="G16582">
        <v>137502436</v>
      </c>
      <c r="H16582">
        <v>137502358</v>
      </c>
      <c r="I16582">
        <v>137502390</v>
      </c>
    </row>
    <row r="16583" spans="1:9" x14ac:dyDescent="0.2">
      <c r="A16583" t="str">
        <f>"Popdc2"</f>
        <v>Popdc2</v>
      </c>
      <c r="B16583" t="s">
        <v>14</v>
      </c>
      <c r="C16583" t="s">
        <v>31</v>
      </c>
      <c r="D16583" t="s">
        <v>17</v>
      </c>
      <c r="E16583" t="s">
        <v>12</v>
      </c>
      <c r="F16583">
        <v>38362205</v>
      </c>
      <c r="G16583">
        <v>38362230</v>
      </c>
      <c r="H16583">
        <v>38362234</v>
      </c>
      <c r="I16583">
        <v>38362251</v>
      </c>
    </row>
    <row r="16584" spans="1:9" x14ac:dyDescent="0.2">
      <c r="A16584" t="str">
        <f>"Popdc3"</f>
        <v>Popdc3</v>
      </c>
      <c r="B16584" t="s">
        <v>14</v>
      </c>
      <c r="C16584" t="s">
        <v>15</v>
      </c>
      <c r="D16584" t="s">
        <v>17</v>
      </c>
      <c r="E16584" t="s">
        <v>12</v>
      </c>
      <c r="F16584">
        <v>45289348</v>
      </c>
      <c r="G16584">
        <v>45289430</v>
      </c>
      <c r="H16584">
        <v>45289168</v>
      </c>
      <c r="I16584">
        <v>45289202</v>
      </c>
    </row>
    <row r="16585" spans="1:9" x14ac:dyDescent="0.2">
      <c r="A16585" t="str">
        <f>"Por"</f>
        <v>Por</v>
      </c>
      <c r="B16585" t="s">
        <v>9</v>
      </c>
      <c r="C16585" t="s">
        <v>46</v>
      </c>
      <c r="D16585" t="s">
        <v>17</v>
      </c>
      <c r="E16585" t="s">
        <v>12</v>
      </c>
      <c r="F16585">
        <v>135689183</v>
      </c>
      <c r="G16585">
        <v>135689213</v>
      </c>
      <c r="H16585">
        <v>135689183</v>
      </c>
      <c r="I16585">
        <v>135689213</v>
      </c>
    </row>
    <row r="16586" spans="1:9" x14ac:dyDescent="0.2">
      <c r="A16586" t="str">
        <f>"Por"</f>
        <v>Por</v>
      </c>
      <c r="B16586" t="s">
        <v>13</v>
      </c>
      <c r="C16586" t="s">
        <v>46</v>
      </c>
      <c r="D16586" t="s">
        <v>17</v>
      </c>
      <c r="E16586" t="s">
        <v>12</v>
      </c>
      <c r="F16586">
        <v>135670027</v>
      </c>
      <c r="G16586">
        <v>135670042</v>
      </c>
      <c r="H16586">
        <v>135670027</v>
      </c>
      <c r="I16586">
        <v>135670042</v>
      </c>
    </row>
    <row r="16587" spans="1:9" x14ac:dyDescent="0.2">
      <c r="A16587" t="str">
        <f>"Porcn"</f>
        <v>Porcn</v>
      </c>
      <c r="B16587" t="s">
        <v>14</v>
      </c>
      <c r="C16587" t="s">
        <v>37</v>
      </c>
      <c r="D16587" t="s">
        <v>11</v>
      </c>
      <c r="E16587" t="s">
        <v>12</v>
      </c>
      <c r="F16587">
        <v>8206475</v>
      </c>
      <c r="G16587">
        <v>8206547</v>
      </c>
      <c r="H16587">
        <v>8206462</v>
      </c>
      <c r="I16587">
        <v>8206469</v>
      </c>
    </row>
    <row r="16588" spans="1:9" x14ac:dyDescent="0.2">
      <c r="A16588" t="str">
        <f>"Postn"</f>
        <v>Postn</v>
      </c>
      <c r="B16588" t="s">
        <v>14</v>
      </c>
      <c r="C16588" t="s">
        <v>22</v>
      </c>
      <c r="D16588" t="s">
        <v>17</v>
      </c>
      <c r="E16588" t="s">
        <v>12</v>
      </c>
      <c r="F16588">
        <v>54361103</v>
      </c>
      <c r="G16588">
        <v>54361116</v>
      </c>
      <c r="H16588">
        <v>54361103</v>
      </c>
      <c r="I16588">
        <v>54361116</v>
      </c>
    </row>
    <row r="16589" spans="1:9" x14ac:dyDescent="0.2">
      <c r="A16589" t="str">
        <f>"Pot1a"</f>
        <v>Pot1a</v>
      </c>
      <c r="B16589" t="s">
        <v>14</v>
      </c>
      <c r="C16589" t="s">
        <v>32</v>
      </c>
      <c r="D16589" t="s">
        <v>11</v>
      </c>
      <c r="E16589" t="s">
        <v>12</v>
      </c>
      <c r="F16589">
        <v>25809210</v>
      </c>
      <c r="G16589">
        <v>25809240</v>
      </c>
      <c r="H16589">
        <v>25809189</v>
      </c>
      <c r="I16589">
        <v>25809207</v>
      </c>
    </row>
    <row r="16590" spans="1:9" x14ac:dyDescent="0.2">
      <c r="A16590" t="str">
        <f>"Pot1b"</f>
        <v>Pot1b</v>
      </c>
      <c r="B16590" t="s">
        <v>14</v>
      </c>
      <c r="C16590" t="s">
        <v>28</v>
      </c>
      <c r="D16590" t="s">
        <v>11</v>
      </c>
      <c r="E16590" t="s">
        <v>12</v>
      </c>
      <c r="F16590">
        <v>55712571</v>
      </c>
      <c r="G16590">
        <v>55712630</v>
      </c>
      <c r="H16590">
        <v>55712571</v>
      </c>
      <c r="I16590">
        <v>55712630</v>
      </c>
    </row>
    <row r="16591" spans="1:9" x14ac:dyDescent="0.2">
      <c r="A16591" t="str">
        <f>"Poteg"</f>
        <v>Poteg</v>
      </c>
      <c r="B16591" t="s">
        <v>14</v>
      </c>
      <c r="C16591" t="s">
        <v>30</v>
      </c>
      <c r="D16591" t="s">
        <v>17</v>
      </c>
      <c r="E16591" t="s">
        <v>12</v>
      </c>
      <c r="F16591">
        <v>27447664</v>
      </c>
      <c r="G16591">
        <v>27447681</v>
      </c>
      <c r="H16591">
        <v>27447690</v>
      </c>
      <c r="I16591">
        <v>27447701</v>
      </c>
    </row>
    <row r="16592" spans="1:9" x14ac:dyDescent="0.2">
      <c r="A16592" t="str">
        <f>"Pou1f1"</f>
        <v>Pou1f1</v>
      </c>
      <c r="B16592" t="s">
        <v>14</v>
      </c>
      <c r="C16592" t="s">
        <v>31</v>
      </c>
      <c r="D16592" t="s">
        <v>17</v>
      </c>
      <c r="E16592" t="s">
        <v>67</v>
      </c>
      <c r="F16592">
        <v>65520503</v>
      </c>
      <c r="G16592">
        <v>65520518</v>
      </c>
      <c r="H16592">
        <v>65520503</v>
      </c>
      <c r="I16592">
        <v>65520518</v>
      </c>
    </row>
    <row r="16593" spans="1:9" x14ac:dyDescent="0.2">
      <c r="A16593" t="str">
        <f>"Pou2af1"</f>
        <v>Pou2af1</v>
      </c>
      <c r="B16593" t="s">
        <v>14</v>
      </c>
      <c r="C16593" t="s">
        <v>24</v>
      </c>
      <c r="D16593" t="s">
        <v>17</v>
      </c>
      <c r="E16593" t="s">
        <v>12</v>
      </c>
      <c r="F16593">
        <v>51213683</v>
      </c>
      <c r="G16593">
        <v>51213697</v>
      </c>
      <c r="H16593">
        <v>51213683</v>
      </c>
      <c r="I16593">
        <v>51213697</v>
      </c>
    </row>
    <row r="16594" spans="1:9" x14ac:dyDescent="0.2">
      <c r="A16594" t="str">
        <f>"Pou2f1"</f>
        <v>Pou2f1</v>
      </c>
      <c r="B16594" t="s">
        <v>14</v>
      </c>
      <c r="C16594" t="s">
        <v>19</v>
      </c>
      <c r="D16594" t="s">
        <v>11</v>
      </c>
      <c r="E16594" t="s">
        <v>12</v>
      </c>
      <c r="F16594">
        <v>166002613</v>
      </c>
      <c r="G16594">
        <v>166002647</v>
      </c>
      <c r="H16594">
        <v>166002591</v>
      </c>
      <c r="I16594">
        <v>166002609</v>
      </c>
    </row>
    <row r="16595" spans="1:9" x14ac:dyDescent="0.2">
      <c r="A16595" t="str">
        <f>"Pou2f2"</f>
        <v>Pou2f2</v>
      </c>
      <c r="B16595" t="s">
        <v>14</v>
      </c>
      <c r="C16595" t="s">
        <v>33</v>
      </c>
      <c r="D16595" t="s">
        <v>11</v>
      </c>
      <c r="E16595" t="s">
        <v>12</v>
      </c>
      <c r="F16595">
        <v>25132473</v>
      </c>
      <c r="G16595">
        <v>25132493</v>
      </c>
      <c r="H16595">
        <v>25132440</v>
      </c>
      <c r="I16595">
        <v>25132455</v>
      </c>
    </row>
    <row r="16596" spans="1:9" x14ac:dyDescent="0.2">
      <c r="A16596" t="str">
        <f>"Pou2f3"</f>
        <v>Pou2f3</v>
      </c>
      <c r="B16596" t="s">
        <v>9</v>
      </c>
      <c r="C16596" t="s">
        <v>24</v>
      </c>
      <c r="D16596" t="s">
        <v>11</v>
      </c>
      <c r="E16596" t="s">
        <v>12</v>
      </c>
      <c r="F16596">
        <v>43205834</v>
      </c>
      <c r="G16596">
        <v>43205885</v>
      </c>
      <c r="H16596">
        <v>43205834</v>
      </c>
      <c r="I16596">
        <v>43205885</v>
      </c>
    </row>
    <row r="16597" spans="1:9" x14ac:dyDescent="0.2">
      <c r="A16597" t="str">
        <f>"Pou2f3"</f>
        <v>Pou2f3</v>
      </c>
      <c r="B16597" t="s">
        <v>13</v>
      </c>
      <c r="C16597" t="s">
        <v>24</v>
      </c>
      <c r="D16597" t="s">
        <v>11</v>
      </c>
      <c r="E16597" t="s">
        <v>12</v>
      </c>
      <c r="F16597">
        <v>43210396</v>
      </c>
      <c r="G16597">
        <v>43210410</v>
      </c>
      <c r="H16597">
        <v>43210396</v>
      </c>
      <c r="I16597">
        <v>43210410</v>
      </c>
    </row>
    <row r="16598" spans="1:9" x14ac:dyDescent="0.2">
      <c r="A16598" t="str">
        <f>"Pou3f1"</f>
        <v>Pou3f1</v>
      </c>
      <c r="B16598" t="s">
        <v>14</v>
      </c>
      <c r="C16598" t="s">
        <v>23</v>
      </c>
      <c r="D16598" t="s">
        <v>17</v>
      </c>
      <c r="E16598" t="s">
        <v>12</v>
      </c>
      <c r="F16598">
        <v>124657651</v>
      </c>
      <c r="G16598">
        <v>124657656</v>
      </c>
      <c r="H16598">
        <v>124657651</v>
      </c>
      <c r="I16598">
        <v>124657656</v>
      </c>
    </row>
    <row r="16599" spans="1:9" x14ac:dyDescent="0.2">
      <c r="A16599" t="str">
        <f>"Pou3f2"</f>
        <v>Pou3f2</v>
      </c>
      <c r="B16599" t="s">
        <v>14</v>
      </c>
      <c r="C16599" t="s">
        <v>23</v>
      </c>
      <c r="D16599" t="s">
        <v>11</v>
      </c>
      <c r="E16599" t="s">
        <v>12</v>
      </c>
      <c r="F16599">
        <v>22488296</v>
      </c>
      <c r="G16599">
        <v>22488359</v>
      </c>
      <c r="H16599">
        <v>22488143</v>
      </c>
      <c r="I16599">
        <v>22488160</v>
      </c>
    </row>
    <row r="16600" spans="1:9" x14ac:dyDescent="0.2">
      <c r="A16600" t="str">
        <f>"Pou3f3"</f>
        <v>Pou3f3</v>
      </c>
      <c r="B16600" t="s">
        <v>14</v>
      </c>
      <c r="C16600" t="s">
        <v>19</v>
      </c>
      <c r="D16600" t="s">
        <v>17</v>
      </c>
      <c r="E16600" t="s">
        <v>12</v>
      </c>
      <c r="F16600">
        <v>42696817</v>
      </c>
      <c r="G16600">
        <v>42696857</v>
      </c>
      <c r="H16600">
        <v>42696817</v>
      </c>
      <c r="I16600">
        <v>42696857</v>
      </c>
    </row>
    <row r="16601" spans="1:9" x14ac:dyDescent="0.2">
      <c r="A16601" t="str">
        <f>"Pou3f4"</f>
        <v>Pou3f4</v>
      </c>
      <c r="B16601" t="s">
        <v>14</v>
      </c>
      <c r="C16601" t="s">
        <v>37</v>
      </c>
      <c r="D16601" t="s">
        <v>17</v>
      </c>
      <c r="E16601" t="s">
        <v>12</v>
      </c>
      <c r="F16601">
        <v>110814422</v>
      </c>
      <c r="G16601">
        <v>110814449</v>
      </c>
      <c r="H16601">
        <v>110814395</v>
      </c>
      <c r="I16601">
        <v>110814413</v>
      </c>
    </row>
    <row r="16602" spans="1:9" x14ac:dyDescent="0.2">
      <c r="A16602" t="str">
        <f>"Pou4f1"</f>
        <v>Pou4f1</v>
      </c>
      <c r="B16602" t="s">
        <v>14</v>
      </c>
      <c r="C16602" t="s">
        <v>41</v>
      </c>
      <c r="D16602" t="s">
        <v>11</v>
      </c>
      <c r="E16602" t="s">
        <v>12</v>
      </c>
      <c r="F16602">
        <v>104467984</v>
      </c>
      <c r="G16602">
        <v>104468041</v>
      </c>
      <c r="H16602">
        <v>104468115</v>
      </c>
      <c r="I16602">
        <v>104468126</v>
      </c>
    </row>
    <row r="16603" spans="1:9" x14ac:dyDescent="0.2">
      <c r="A16603" t="str">
        <f>"Pou4f2"</f>
        <v>Pou4f2</v>
      </c>
      <c r="B16603" t="s">
        <v>14</v>
      </c>
      <c r="C16603" t="s">
        <v>30</v>
      </c>
      <c r="D16603" t="s">
        <v>11</v>
      </c>
      <c r="E16603" t="s">
        <v>12</v>
      </c>
      <c r="F16603">
        <v>78436640</v>
      </c>
      <c r="G16603">
        <v>78436649</v>
      </c>
      <c r="H16603">
        <v>78436599</v>
      </c>
      <c r="I16603">
        <v>78436600</v>
      </c>
    </row>
    <row r="16604" spans="1:9" x14ac:dyDescent="0.2">
      <c r="A16604" t="str">
        <f>"Pou4f3"</f>
        <v>Pou4f3</v>
      </c>
      <c r="B16604" t="s">
        <v>14</v>
      </c>
      <c r="C16604" t="s">
        <v>43</v>
      </c>
      <c r="D16604" t="s">
        <v>17</v>
      </c>
      <c r="E16604" t="s">
        <v>12</v>
      </c>
      <c r="F16604">
        <v>42394562</v>
      </c>
      <c r="G16604">
        <v>42394575</v>
      </c>
      <c r="H16604">
        <v>42394367</v>
      </c>
      <c r="I16604">
        <v>42394370</v>
      </c>
    </row>
    <row r="16605" spans="1:9" x14ac:dyDescent="0.2">
      <c r="A16605" t="str">
        <f>"Pou5f1"</f>
        <v>Pou5f1</v>
      </c>
      <c r="B16605" t="s">
        <v>14</v>
      </c>
      <c r="C16605" t="s">
        <v>28</v>
      </c>
      <c r="D16605" t="s">
        <v>17</v>
      </c>
      <c r="E16605" t="s">
        <v>12</v>
      </c>
      <c r="F16605">
        <v>35506052</v>
      </c>
      <c r="G16605">
        <v>35506069</v>
      </c>
      <c r="H16605">
        <v>35506028</v>
      </c>
      <c r="I16605">
        <v>35506049</v>
      </c>
    </row>
    <row r="16606" spans="1:9" x14ac:dyDescent="0.2">
      <c r="A16606" t="str">
        <f>"Pou5f2"</f>
        <v>Pou5f2</v>
      </c>
      <c r="B16606" t="s">
        <v>14</v>
      </c>
      <c r="C16606" t="s">
        <v>39</v>
      </c>
      <c r="D16606" t="s">
        <v>17</v>
      </c>
      <c r="E16606" t="s">
        <v>12</v>
      </c>
      <c r="F16606">
        <v>78024892</v>
      </c>
      <c r="G16606">
        <v>78024913</v>
      </c>
      <c r="H16606">
        <v>78024878</v>
      </c>
      <c r="I16606">
        <v>78024887</v>
      </c>
    </row>
    <row r="16607" spans="1:9" x14ac:dyDescent="0.2">
      <c r="A16607" t="str">
        <f>"Pou6f1"</f>
        <v>Pou6f1</v>
      </c>
      <c r="B16607" t="s">
        <v>14</v>
      </c>
      <c r="C16607" t="s">
        <v>25</v>
      </c>
      <c r="D16607" t="s">
        <v>11</v>
      </c>
      <c r="E16607" t="s">
        <v>12</v>
      </c>
      <c r="F16607">
        <v>100599983</v>
      </c>
      <c r="G16607">
        <v>100600039</v>
      </c>
      <c r="H16607">
        <v>100600087</v>
      </c>
      <c r="I16607">
        <v>100600129</v>
      </c>
    </row>
    <row r="16608" spans="1:9" x14ac:dyDescent="0.2">
      <c r="A16608" t="str">
        <f>"Pou6f2"</f>
        <v>Pou6f2</v>
      </c>
      <c r="B16608" t="s">
        <v>5609</v>
      </c>
      <c r="C16608" t="s">
        <v>39</v>
      </c>
      <c r="D16608" t="s">
        <v>11</v>
      </c>
      <c r="E16608" t="s">
        <v>20</v>
      </c>
      <c r="F16608">
        <v>18172539</v>
      </c>
      <c r="G16608">
        <v>18172539</v>
      </c>
      <c r="H16608">
        <v>18172539</v>
      </c>
      <c r="I16608">
        <v>18172539</v>
      </c>
    </row>
    <row r="16609" spans="1:9" x14ac:dyDescent="0.2">
      <c r="A16609" t="str">
        <f>"Pp2d1"</f>
        <v>Pp2d1</v>
      </c>
      <c r="B16609" t="s">
        <v>14</v>
      </c>
      <c r="C16609" t="s">
        <v>28</v>
      </c>
      <c r="D16609" t="s">
        <v>11</v>
      </c>
      <c r="E16609" t="s">
        <v>67</v>
      </c>
      <c r="F16609">
        <v>53539411</v>
      </c>
      <c r="G16609">
        <v>53539459</v>
      </c>
      <c r="H16609">
        <v>53539385</v>
      </c>
      <c r="I16609">
        <v>53539407</v>
      </c>
    </row>
    <row r="16610" spans="1:9" x14ac:dyDescent="0.2">
      <c r="A16610" t="str">
        <f>"Ppa1"</f>
        <v>Ppa1</v>
      </c>
      <c r="B16610" t="s">
        <v>14</v>
      </c>
      <c r="C16610" t="s">
        <v>15</v>
      </c>
      <c r="D16610" t="s">
        <v>17</v>
      </c>
      <c r="E16610" t="s">
        <v>12</v>
      </c>
      <c r="F16610">
        <v>61648587</v>
      </c>
      <c r="G16610">
        <v>61648636</v>
      </c>
      <c r="H16610">
        <v>61648642</v>
      </c>
      <c r="I16610">
        <v>61648662</v>
      </c>
    </row>
    <row r="16611" spans="1:9" x14ac:dyDescent="0.2">
      <c r="A16611" t="str">
        <f>"Ppa2"</f>
        <v>Ppa2</v>
      </c>
      <c r="B16611" t="s">
        <v>14</v>
      </c>
      <c r="C16611" t="s">
        <v>22</v>
      </c>
      <c r="D16611" t="s">
        <v>17</v>
      </c>
      <c r="E16611" t="s">
        <v>12</v>
      </c>
      <c r="F16611">
        <v>133310093</v>
      </c>
      <c r="G16611">
        <v>133310145</v>
      </c>
      <c r="H16611">
        <v>133310181</v>
      </c>
      <c r="I16611">
        <v>133310218</v>
      </c>
    </row>
    <row r="16612" spans="1:9" x14ac:dyDescent="0.2">
      <c r="A16612" t="str">
        <f>"Ppan"</f>
        <v>Ppan</v>
      </c>
      <c r="B16612" t="s">
        <v>14</v>
      </c>
      <c r="C16612" t="s">
        <v>24</v>
      </c>
      <c r="D16612" t="s">
        <v>17</v>
      </c>
      <c r="E16612" t="s">
        <v>12</v>
      </c>
      <c r="F16612">
        <v>20888241</v>
      </c>
      <c r="G16612">
        <v>20888283</v>
      </c>
      <c r="H16612">
        <v>20888234</v>
      </c>
      <c r="I16612">
        <v>20888239</v>
      </c>
    </row>
    <row r="16613" spans="1:9" x14ac:dyDescent="0.2">
      <c r="A16613" t="str">
        <f>"Ppap2a"</f>
        <v>Ppap2a</v>
      </c>
      <c r="B16613" t="s">
        <v>14</v>
      </c>
      <c r="C16613" t="s">
        <v>39</v>
      </c>
      <c r="D16613" t="s">
        <v>17</v>
      </c>
      <c r="E16613" t="s">
        <v>12</v>
      </c>
      <c r="F16613">
        <v>112800786</v>
      </c>
      <c r="G16613">
        <v>112800822</v>
      </c>
      <c r="H16613">
        <v>112800851</v>
      </c>
      <c r="I16613">
        <v>112800876</v>
      </c>
    </row>
    <row r="16614" spans="1:9" x14ac:dyDescent="0.2">
      <c r="A16614" t="str">
        <f>"Ppap2b"</f>
        <v>Ppap2b</v>
      </c>
      <c r="B16614" t="s">
        <v>14</v>
      </c>
      <c r="C16614" t="s">
        <v>23</v>
      </c>
      <c r="D16614" t="s">
        <v>17</v>
      </c>
      <c r="E16614" t="s">
        <v>12</v>
      </c>
      <c r="F16614">
        <v>105157357</v>
      </c>
      <c r="G16614">
        <v>105157374</v>
      </c>
      <c r="H16614">
        <v>105157428</v>
      </c>
      <c r="I16614">
        <v>105157463</v>
      </c>
    </row>
    <row r="16615" spans="1:9" x14ac:dyDescent="0.2">
      <c r="A16615" t="str">
        <f>"Ppap2c"</f>
        <v>Ppap2c</v>
      </c>
      <c r="B16615" t="s">
        <v>14</v>
      </c>
      <c r="C16615" t="s">
        <v>15</v>
      </c>
      <c r="D16615" t="s">
        <v>11</v>
      </c>
      <c r="E16615" t="s">
        <v>12</v>
      </c>
      <c r="F16615">
        <v>79533750</v>
      </c>
      <c r="G16615">
        <v>79533797</v>
      </c>
      <c r="H16615">
        <v>79533738</v>
      </c>
      <c r="I16615">
        <v>79533749</v>
      </c>
    </row>
    <row r="16616" spans="1:9" x14ac:dyDescent="0.2">
      <c r="A16616" t="str">
        <f>"Ppapdc1a"</f>
        <v>Ppapdc1a</v>
      </c>
      <c r="B16616" t="s">
        <v>14</v>
      </c>
      <c r="C16616" t="s">
        <v>33</v>
      </c>
      <c r="D16616" t="s">
        <v>17</v>
      </c>
      <c r="E16616" t="s">
        <v>12</v>
      </c>
      <c r="F16616">
        <v>129257027</v>
      </c>
      <c r="G16616">
        <v>129257056</v>
      </c>
      <c r="H16616">
        <v>129257007</v>
      </c>
      <c r="I16616">
        <v>129257026</v>
      </c>
    </row>
    <row r="16617" spans="1:9" x14ac:dyDescent="0.2">
      <c r="A16617" t="str">
        <f>"Ppapdc1b"</f>
        <v>Ppapdc1b</v>
      </c>
      <c r="B16617" t="s">
        <v>14</v>
      </c>
      <c r="C16617" t="s">
        <v>30</v>
      </c>
      <c r="D16617" t="s">
        <v>17</v>
      </c>
      <c r="E16617" t="s">
        <v>12</v>
      </c>
      <c r="F16617">
        <v>25720054</v>
      </c>
      <c r="G16617">
        <v>25720099</v>
      </c>
      <c r="H16617">
        <v>25720259</v>
      </c>
      <c r="I16617">
        <v>25720304</v>
      </c>
    </row>
    <row r="16618" spans="1:9" x14ac:dyDescent="0.2">
      <c r="A16618" t="str">
        <f>"Ppapdc2"</f>
        <v>Ppapdc2</v>
      </c>
      <c r="B16618" t="s">
        <v>14</v>
      </c>
      <c r="C16618" t="s">
        <v>10</v>
      </c>
      <c r="D16618" t="s">
        <v>17</v>
      </c>
      <c r="E16618" t="s">
        <v>12</v>
      </c>
      <c r="F16618">
        <v>28963892</v>
      </c>
      <c r="G16618">
        <v>28963969</v>
      </c>
      <c r="H16618">
        <v>28963981</v>
      </c>
      <c r="I16618">
        <v>28964000</v>
      </c>
    </row>
    <row r="16619" spans="1:9" x14ac:dyDescent="0.2">
      <c r="A16619" t="str">
        <f>"Ppapdc3"</f>
        <v>Ppapdc3</v>
      </c>
      <c r="B16619" t="s">
        <v>14</v>
      </c>
      <c r="C16619" t="s">
        <v>26</v>
      </c>
      <c r="D16619" t="s">
        <v>17</v>
      </c>
      <c r="E16619" t="s">
        <v>12</v>
      </c>
      <c r="F16619">
        <v>32095518</v>
      </c>
      <c r="G16619">
        <v>32095595</v>
      </c>
      <c r="H16619">
        <v>32095636</v>
      </c>
      <c r="I16619">
        <v>32095665</v>
      </c>
    </row>
    <row r="16620" spans="1:9" x14ac:dyDescent="0.2">
      <c r="A16620" t="str">
        <f>"Ppara"</f>
        <v>Ppara</v>
      </c>
      <c r="B16620" t="s">
        <v>14</v>
      </c>
      <c r="C16620" t="s">
        <v>25</v>
      </c>
      <c r="D16620" t="s">
        <v>17</v>
      </c>
      <c r="E16620" t="s">
        <v>12</v>
      </c>
      <c r="F16620">
        <v>85735754</v>
      </c>
      <c r="G16620">
        <v>85735808</v>
      </c>
      <c r="H16620">
        <v>85736107</v>
      </c>
      <c r="I16620">
        <v>85736122</v>
      </c>
    </row>
    <row r="16621" spans="1:9" x14ac:dyDescent="0.2">
      <c r="A16621" t="str">
        <f>"Ppard"</f>
        <v>Ppard</v>
      </c>
      <c r="B16621" t="s">
        <v>14</v>
      </c>
      <c r="C16621" t="s">
        <v>28</v>
      </c>
      <c r="D16621" t="s">
        <v>17</v>
      </c>
      <c r="E16621" t="s">
        <v>12</v>
      </c>
      <c r="F16621">
        <v>28232723</v>
      </c>
      <c r="G16621">
        <v>28232789</v>
      </c>
      <c r="H16621">
        <v>28232794</v>
      </c>
      <c r="I16621">
        <v>28232829</v>
      </c>
    </row>
    <row r="16622" spans="1:9" x14ac:dyDescent="0.2">
      <c r="A16622" t="str">
        <f>"Pparg"</f>
        <v>Pparg</v>
      </c>
      <c r="B16622" t="s">
        <v>14</v>
      </c>
      <c r="C16622" t="s">
        <v>32</v>
      </c>
      <c r="D16622" t="s">
        <v>17</v>
      </c>
      <c r="E16622" t="s">
        <v>12</v>
      </c>
      <c r="F16622">
        <v>115361252</v>
      </c>
      <c r="G16622">
        <v>115361280</v>
      </c>
      <c r="H16622">
        <v>115361252</v>
      </c>
      <c r="I16622">
        <v>115361280</v>
      </c>
    </row>
    <row r="16623" spans="1:9" x14ac:dyDescent="0.2">
      <c r="A16623" t="str">
        <f>"Ppargc1a"</f>
        <v>Ppargc1a</v>
      </c>
      <c r="B16623" t="s">
        <v>14</v>
      </c>
      <c r="C16623" t="s">
        <v>46</v>
      </c>
      <c r="D16623" t="s">
        <v>11</v>
      </c>
      <c r="E16623" t="s">
        <v>12</v>
      </c>
      <c r="F16623">
        <v>51553862</v>
      </c>
      <c r="G16623">
        <v>51553888</v>
      </c>
      <c r="H16623">
        <v>51553896</v>
      </c>
      <c r="I16623">
        <v>51553905</v>
      </c>
    </row>
    <row r="16624" spans="1:9" x14ac:dyDescent="0.2">
      <c r="A16624" t="str">
        <f>"Ppargc1b"</f>
        <v>Ppargc1b</v>
      </c>
      <c r="B16624" t="s">
        <v>14</v>
      </c>
      <c r="C16624" t="s">
        <v>43</v>
      </c>
      <c r="D16624" t="s">
        <v>11</v>
      </c>
      <c r="E16624" t="s">
        <v>12</v>
      </c>
      <c r="F16624">
        <v>61400363</v>
      </c>
      <c r="G16624">
        <v>61400449</v>
      </c>
      <c r="H16624">
        <v>61400363</v>
      </c>
      <c r="I16624">
        <v>61400449</v>
      </c>
    </row>
    <row r="16625" spans="1:9" x14ac:dyDescent="0.2">
      <c r="A16625" t="str">
        <f>"Ppat"</f>
        <v>Ppat</v>
      </c>
      <c r="B16625" t="s">
        <v>14</v>
      </c>
      <c r="C16625" t="s">
        <v>46</v>
      </c>
      <c r="D16625" t="s">
        <v>11</v>
      </c>
      <c r="E16625" t="s">
        <v>12</v>
      </c>
      <c r="F16625">
        <v>76951178</v>
      </c>
      <c r="G16625">
        <v>76951198</v>
      </c>
      <c r="H16625">
        <v>76951207</v>
      </c>
      <c r="I16625">
        <v>76951232</v>
      </c>
    </row>
    <row r="16626" spans="1:9" x14ac:dyDescent="0.2">
      <c r="A16626" t="str">
        <f>"Ppbp"</f>
        <v>Ppbp</v>
      </c>
      <c r="B16626" t="s">
        <v>14</v>
      </c>
      <c r="C16626" t="s">
        <v>46</v>
      </c>
      <c r="D16626" t="s">
        <v>17</v>
      </c>
      <c r="E16626" t="s">
        <v>12</v>
      </c>
      <c r="F16626">
        <v>90768511</v>
      </c>
      <c r="G16626">
        <v>90768526</v>
      </c>
      <c r="H16626">
        <v>90768511</v>
      </c>
      <c r="I16626">
        <v>90768526</v>
      </c>
    </row>
    <row r="16627" spans="1:9" x14ac:dyDescent="0.2">
      <c r="A16627" t="str">
        <f>"Ppcdc"</f>
        <v>Ppcdc</v>
      </c>
      <c r="B16627" t="s">
        <v>14</v>
      </c>
      <c r="C16627" t="s">
        <v>24</v>
      </c>
      <c r="D16627" t="s">
        <v>11</v>
      </c>
      <c r="E16627" t="s">
        <v>12</v>
      </c>
      <c r="F16627">
        <v>57440084</v>
      </c>
      <c r="G16627">
        <v>57440129</v>
      </c>
      <c r="H16627">
        <v>57440136</v>
      </c>
      <c r="I16627">
        <v>57440148</v>
      </c>
    </row>
    <row r="16628" spans="1:9" x14ac:dyDescent="0.2">
      <c r="A16628" t="str">
        <f>"Ppcs"</f>
        <v>Ppcs</v>
      </c>
      <c r="B16628" t="s">
        <v>14</v>
      </c>
      <c r="C16628" t="s">
        <v>23</v>
      </c>
      <c r="D16628" t="s">
        <v>11</v>
      </c>
      <c r="E16628" t="s">
        <v>12</v>
      </c>
      <c r="F16628">
        <v>119422355</v>
      </c>
      <c r="G16628">
        <v>119422418</v>
      </c>
      <c r="H16628">
        <v>119422423</v>
      </c>
      <c r="I16628">
        <v>119422424</v>
      </c>
    </row>
    <row r="16629" spans="1:9" x14ac:dyDescent="0.2">
      <c r="A16629" t="str">
        <f>"Ppdpf"</f>
        <v>Ppdpf</v>
      </c>
      <c r="B16629" t="s">
        <v>14</v>
      </c>
      <c r="C16629" t="s">
        <v>26</v>
      </c>
      <c r="D16629" t="s">
        <v>17</v>
      </c>
      <c r="E16629" t="s">
        <v>12</v>
      </c>
      <c r="F16629">
        <v>181187275</v>
      </c>
      <c r="G16629">
        <v>181187347</v>
      </c>
      <c r="H16629">
        <v>181187509</v>
      </c>
      <c r="I16629">
        <v>181187595</v>
      </c>
    </row>
    <row r="16630" spans="1:9" x14ac:dyDescent="0.2">
      <c r="A16630" t="str">
        <f>"Ppef1"</f>
        <v>Ppef1</v>
      </c>
      <c r="B16630" t="s">
        <v>14</v>
      </c>
      <c r="C16630" t="s">
        <v>37</v>
      </c>
      <c r="D16630" t="s">
        <v>11</v>
      </c>
      <c r="E16630" t="s">
        <v>12</v>
      </c>
      <c r="F16630">
        <v>160735747</v>
      </c>
      <c r="G16630">
        <v>160735758</v>
      </c>
      <c r="H16630">
        <v>160735801</v>
      </c>
      <c r="I16630">
        <v>160735812</v>
      </c>
    </row>
    <row r="16631" spans="1:9" x14ac:dyDescent="0.2">
      <c r="A16631" t="str">
        <f>"Ppef2"</f>
        <v>Ppef2</v>
      </c>
      <c r="B16631" t="s">
        <v>14</v>
      </c>
      <c r="C16631" t="s">
        <v>46</v>
      </c>
      <c r="D16631" t="s">
        <v>11</v>
      </c>
      <c r="E16631" t="s">
        <v>12</v>
      </c>
      <c r="F16631">
        <v>92256293</v>
      </c>
      <c r="G16631">
        <v>92256304</v>
      </c>
      <c r="H16631">
        <v>92256308</v>
      </c>
      <c r="I16631">
        <v>92256330</v>
      </c>
    </row>
    <row r="16632" spans="1:9" x14ac:dyDescent="0.2">
      <c r="A16632" t="str">
        <f>"Ppfia1"</f>
        <v>Ppfia1</v>
      </c>
      <c r="B16632" t="s">
        <v>14</v>
      </c>
      <c r="C16632" t="s">
        <v>33</v>
      </c>
      <c r="D16632" t="s">
        <v>11</v>
      </c>
      <c r="E16632" t="s">
        <v>12</v>
      </c>
      <c r="F16632">
        <v>144553657</v>
      </c>
      <c r="G16632">
        <v>144553757</v>
      </c>
      <c r="H16632">
        <v>144553657</v>
      </c>
      <c r="I16632">
        <v>144553757</v>
      </c>
    </row>
    <row r="16633" spans="1:9" x14ac:dyDescent="0.2">
      <c r="A16633" t="str">
        <f>"Ppfia2"</f>
        <v>Ppfia2</v>
      </c>
      <c r="B16633" t="s">
        <v>14</v>
      </c>
      <c r="C16633" t="s">
        <v>15</v>
      </c>
      <c r="D16633" t="s">
        <v>17</v>
      </c>
      <c r="E16633" t="s">
        <v>12</v>
      </c>
      <c r="F16633">
        <v>106470281</v>
      </c>
      <c r="G16633">
        <v>106470367</v>
      </c>
      <c r="H16633">
        <v>106470261</v>
      </c>
      <c r="I16633">
        <v>106470280</v>
      </c>
    </row>
    <row r="16634" spans="1:9" x14ac:dyDescent="0.2">
      <c r="A16634" t="str">
        <f>"Ppfia3"</f>
        <v>Ppfia3</v>
      </c>
      <c r="B16634" t="s">
        <v>9</v>
      </c>
      <c r="C16634" t="s">
        <v>33</v>
      </c>
      <c r="D16634" t="s">
        <v>11</v>
      </c>
      <c r="E16634" t="s">
        <v>12</v>
      </c>
      <c r="F16634">
        <v>45340711</v>
      </c>
      <c r="G16634">
        <v>45340742</v>
      </c>
      <c r="H16634">
        <v>45340711</v>
      </c>
      <c r="I16634">
        <v>45340742</v>
      </c>
    </row>
    <row r="16635" spans="1:9" x14ac:dyDescent="0.2">
      <c r="A16635" t="str">
        <f>"Ppfia3"</f>
        <v>Ppfia3</v>
      </c>
      <c r="B16635" t="s">
        <v>13</v>
      </c>
      <c r="C16635" t="s">
        <v>33</v>
      </c>
      <c r="D16635" t="s">
        <v>11</v>
      </c>
      <c r="E16635" t="s">
        <v>12</v>
      </c>
      <c r="F16635">
        <v>45366768</v>
      </c>
      <c r="G16635">
        <v>45366840</v>
      </c>
      <c r="H16635">
        <v>45366768</v>
      </c>
      <c r="I16635">
        <v>45366840</v>
      </c>
    </row>
    <row r="16636" spans="1:9" x14ac:dyDescent="0.2">
      <c r="A16636" t="str">
        <f>"Ppfia4"</f>
        <v>Ppfia4</v>
      </c>
      <c r="B16636" t="s">
        <v>14</v>
      </c>
      <c r="C16636" t="s">
        <v>19</v>
      </c>
      <c r="D16636" t="s">
        <v>11</v>
      </c>
      <c r="E16636" t="s">
        <v>12</v>
      </c>
      <c r="F16636">
        <v>134304823</v>
      </c>
      <c r="G16636">
        <v>134304848</v>
      </c>
      <c r="H16636">
        <v>134304765</v>
      </c>
      <c r="I16636">
        <v>134304782</v>
      </c>
    </row>
    <row r="16637" spans="1:9" x14ac:dyDescent="0.2">
      <c r="A16637" t="str">
        <f>"Ppfibp1"</f>
        <v>Ppfibp1</v>
      </c>
      <c r="B16637" t="s">
        <v>14</v>
      </c>
      <c r="C16637" t="s">
        <v>32</v>
      </c>
      <c r="D16637" t="s">
        <v>17</v>
      </c>
      <c r="E16637" t="s">
        <v>12</v>
      </c>
      <c r="F16637">
        <v>146888481</v>
      </c>
      <c r="G16637">
        <v>146888588</v>
      </c>
      <c r="H16637">
        <v>146888632</v>
      </c>
      <c r="I16637">
        <v>146888654</v>
      </c>
    </row>
    <row r="16638" spans="1:9" x14ac:dyDescent="0.2">
      <c r="A16638" t="str">
        <f>"Ppfibp2"</f>
        <v>Ppfibp2</v>
      </c>
      <c r="B16638" t="s">
        <v>14</v>
      </c>
      <c r="C16638" t="s">
        <v>33</v>
      </c>
      <c r="D16638" t="s">
        <v>17</v>
      </c>
      <c r="E16638" t="s">
        <v>12</v>
      </c>
      <c r="F16638">
        <v>107595239</v>
      </c>
      <c r="G16638">
        <v>107595263</v>
      </c>
      <c r="H16638">
        <v>107595184</v>
      </c>
      <c r="I16638">
        <v>107595233</v>
      </c>
    </row>
    <row r="16639" spans="1:9" x14ac:dyDescent="0.2">
      <c r="A16639" t="str">
        <f>"Pphln1"</f>
        <v>Pphln1</v>
      </c>
      <c r="B16639" t="s">
        <v>14</v>
      </c>
      <c r="C16639" t="s">
        <v>25</v>
      </c>
      <c r="D16639" t="s">
        <v>17</v>
      </c>
      <c r="E16639" t="s">
        <v>12</v>
      </c>
      <c r="F16639">
        <v>93398344</v>
      </c>
      <c r="G16639">
        <v>93398423</v>
      </c>
      <c r="H16639">
        <v>93398428</v>
      </c>
      <c r="I16639">
        <v>93398437</v>
      </c>
    </row>
    <row r="16640" spans="1:9" x14ac:dyDescent="0.2">
      <c r="A16640" t="str">
        <f>"Ppia"</f>
        <v>Ppia</v>
      </c>
      <c r="B16640" t="s">
        <v>14</v>
      </c>
      <c r="C16640" t="s">
        <v>27</v>
      </c>
      <c r="D16640" t="s">
        <v>17</v>
      </c>
      <c r="E16640" t="s">
        <v>12</v>
      </c>
      <c r="F16640">
        <v>6415830</v>
      </c>
      <c r="G16640">
        <v>6415867</v>
      </c>
      <c r="H16640">
        <v>6416258</v>
      </c>
      <c r="I16640">
        <v>6416317</v>
      </c>
    </row>
    <row r="16641" spans="1:9" x14ac:dyDescent="0.2">
      <c r="A16641" t="str">
        <f>"Ppib"</f>
        <v>Ppib</v>
      </c>
      <c r="B16641" t="s">
        <v>14</v>
      </c>
      <c r="C16641" t="s">
        <v>24</v>
      </c>
      <c r="D16641" t="s">
        <v>17</v>
      </c>
      <c r="E16641" t="s">
        <v>12</v>
      </c>
      <c r="F16641">
        <v>66060195</v>
      </c>
      <c r="G16641">
        <v>66060273</v>
      </c>
      <c r="H16641">
        <v>66060195</v>
      </c>
      <c r="I16641">
        <v>66060273</v>
      </c>
    </row>
    <row r="16642" spans="1:9" x14ac:dyDescent="0.2">
      <c r="A16642" t="str">
        <f>"Ppic"</f>
        <v>Ppic</v>
      </c>
      <c r="B16642" t="s">
        <v>14</v>
      </c>
      <c r="C16642" t="s">
        <v>43</v>
      </c>
      <c r="D16642" t="s">
        <v>11</v>
      </c>
      <c r="E16642" t="s">
        <v>12</v>
      </c>
      <c r="F16642">
        <v>53418004</v>
      </c>
      <c r="G16642">
        <v>53418044</v>
      </c>
      <c r="H16642">
        <v>53417965</v>
      </c>
      <c r="I16642">
        <v>53418003</v>
      </c>
    </row>
    <row r="16643" spans="1:9" x14ac:dyDescent="0.2">
      <c r="A16643" t="str">
        <f>"Ppid"</f>
        <v>Ppid</v>
      </c>
      <c r="B16643" t="s">
        <v>14</v>
      </c>
      <c r="C16643" t="s">
        <v>22</v>
      </c>
      <c r="D16643" t="s">
        <v>17</v>
      </c>
      <c r="E16643" t="s">
        <v>12</v>
      </c>
      <c r="F16643">
        <v>79591356</v>
      </c>
      <c r="G16643">
        <v>79591430</v>
      </c>
      <c r="H16643">
        <v>79591437</v>
      </c>
      <c r="I16643">
        <v>79591448</v>
      </c>
    </row>
    <row r="16644" spans="1:9" x14ac:dyDescent="0.2">
      <c r="A16644" t="str">
        <f>"Ppie"</f>
        <v>Ppie</v>
      </c>
      <c r="B16644" t="s">
        <v>14</v>
      </c>
      <c r="C16644" t="s">
        <v>23</v>
      </c>
      <c r="D16644" t="s">
        <v>11</v>
      </c>
      <c r="E16644" t="s">
        <v>12</v>
      </c>
      <c r="F16644">
        <v>123139929</v>
      </c>
      <c r="G16644">
        <v>123139960</v>
      </c>
      <c r="H16644">
        <v>123139929</v>
      </c>
      <c r="I16644">
        <v>123139960</v>
      </c>
    </row>
    <row r="16645" spans="1:9" x14ac:dyDescent="0.2">
      <c r="A16645" t="str">
        <f>"Ppif"</f>
        <v>Ppif</v>
      </c>
      <c r="B16645" t="s">
        <v>14</v>
      </c>
      <c r="C16645" t="s">
        <v>41</v>
      </c>
      <c r="D16645" t="s">
        <v>17</v>
      </c>
      <c r="E16645" t="s">
        <v>12</v>
      </c>
      <c r="F16645">
        <v>25694170</v>
      </c>
      <c r="G16645">
        <v>25694233</v>
      </c>
      <c r="H16645">
        <v>25694147</v>
      </c>
      <c r="I16645">
        <v>25694166</v>
      </c>
    </row>
    <row r="16646" spans="1:9" x14ac:dyDescent="0.2">
      <c r="A16646" t="str">
        <f>"Ppig"</f>
        <v>Ppig</v>
      </c>
      <c r="B16646" t="s">
        <v>14</v>
      </c>
      <c r="C16646" t="s">
        <v>26</v>
      </c>
      <c r="D16646" t="s">
        <v>17</v>
      </c>
      <c r="E16646" t="s">
        <v>12</v>
      </c>
      <c r="F16646">
        <v>69722797</v>
      </c>
      <c r="G16646">
        <v>69722840</v>
      </c>
      <c r="H16646">
        <v>69723248</v>
      </c>
      <c r="I16646">
        <v>69723278</v>
      </c>
    </row>
    <row r="16647" spans="1:9" x14ac:dyDescent="0.2">
      <c r="A16647" t="str">
        <f>"Ppih"</f>
        <v>Ppih</v>
      </c>
      <c r="B16647" t="s">
        <v>14</v>
      </c>
      <c r="C16647" t="s">
        <v>23</v>
      </c>
      <c r="D16647" t="s">
        <v>11</v>
      </c>
      <c r="E16647" t="s">
        <v>12</v>
      </c>
      <c r="F16647">
        <v>119320496</v>
      </c>
      <c r="G16647">
        <v>119320516</v>
      </c>
      <c r="H16647">
        <v>119320519</v>
      </c>
      <c r="I16647">
        <v>119320532</v>
      </c>
    </row>
    <row r="16648" spans="1:9" x14ac:dyDescent="0.2">
      <c r="A16648" t="str">
        <f>"Ppil1"</f>
        <v>Ppil1</v>
      </c>
      <c r="B16648" t="s">
        <v>14</v>
      </c>
      <c r="C16648" t="s">
        <v>28</v>
      </c>
      <c r="D16648" t="s">
        <v>11</v>
      </c>
      <c r="E16648" t="s">
        <v>12</v>
      </c>
      <c r="F16648">
        <v>29263928</v>
      </c>
      <c r="G16648">
        <v>29263982</v>
      </c>
      <c r="H16648">
        <v>29264115</v>
      </c>
      <c r="I16648">
        <v>29264146</v>
      </c>
    </row>
    <row r="16649" spans="1:9" x14ac:dyDescent="0.2">
      <c r="A16649" t="str">
        <f>"Ppil2"</f>
        <v>Ppil2</v>
      </c>
      <c r="B16649" t="s">
        <v>14</v>
      </c>
      <c r="C16649" t="s">
        <v>31</v>
      </c>
      <c r="D16649" t="s">
        <v>11</v>
      </c>
      <c r="E16649" t="s">
        <v>12</v>
      </c>
      <c r="F16649">
        <v>17111204</v>
      </c>
      <c r="G16649">
        <v>17111255</v>
      </c>
      <c r="H16649">
        <v>17111191</v>
      </c>
      <c r="I16649">
        <v>17111196</v>
      </c>
    </row>
    <row r="16650" spans="1:9" x14ac:dyDescent="0.2">
      <c r="A16650" t="str">
        <f>"Ppil3"</f>
        <v>Ppil3</v>
      </c>
      <c r="B16650" t="s">
        <v>14</v>
      </c>
      <c r="C16650" t="s">
        <v>19</v>
      </c>
      <c r="D16650" t="s">
        <v>11</v>
      </c>
      <c r="E16650" t="s">
        <v>12</v>
      </c>
      <c r="F16650">
        <v>58445406</v>
      </c>
      <c r="G16650">
        <v>58445491</v>
      </c>
      <c r="H16650">
        <v>58445161</v>
      </c>
      <c r="I16650">
        <v>58445202</v>
      </c>
    </row>
    <row r="16651" spans="1:9" x14ac:dyDescent="0.2">
      <c r="A16651" t="str">
        <f>"Ppil4"</f>
        <v>Ppil4</v>
      </c>
      <c r="B16651" t="s">
        <v>14</v>
      </c>
      <c r="C16651" t="s">
        <v>15</v>
      </c>
      <c r="D16651" t="s">
        <v>17</v>
      </c>
      <c r="E16651" t="s">
        <v>12</v>
      </c>
      <c r="F16651">
        <v>7792897</v>
      </c>
      <c r="G16651">
        <v>7792936</v>
      </c>
      <c r="H16651">
        <v>7792897</v>
      </c>
      <c r="I16651">
        <v>7792936</v>
      </c>
    </row>
    <row r="16652" spans="1:9" x14ac:dyDescent="0.2">
      <c r="A16652" t="str">
        <f>"Ppil6"</f>
        <v>Ppil6</v>
      </c>
      <c r="B16652" t="s">
        <v>14</v>
      </c>
      <c r="C16652" t="s">
        <v>15</v>
      </c>
      <c r="D16652" t="s">
        <v>17</v>
      </c>
      <c r="E16652" t="s">
        <v>12</v>
      </c>
      <c r="F16652">
        <v>41490436</v>
      </c>
      <c r="G16652">
        <v>41490483</v>
      </c>
      <c r="H16652">
        <v>41490412</v>
      </c>
      <c r="I16652">
        <v>41490418</v>
      </c>
    </row>
    <row r="16653" spans="1:9" x14ac:dyDescent="0.2">
      <c r="A16653" t="str">
        <f>"Ppip5k1"</f>
        <v>Ppip5k1</v>
      </c>
      <c r="B16653" t="s">
        <v>14</v>
      </c>
      <c r="C16653" t="s">
        <v>26</v>
      </c>
      <c r="D16653" t="s">
        <v>11</v>
      </c>
      <c r="E16653" t="s">
        <v>12</v>
      </c>
      <c r="F16653">
        <v>121355320</v>
      </c>
      <c r="G16653">
        <v>121355367</v>
      </c>
      <c r="H16653">
        <v>121355066</v>
      </c>
      <c r="I16653">
        <v>121355084</v>
      </c>
    </row>
    <row r="16654" spans="1:9" x14ac:dyDescent="0.2">
      <c r="A16654" t="str">
        <f>"Ppip5k2"</f>
        <v>Ppip5k2</v>
      </c>
      <c r="B16654" t="s">
        <v>14</v>
      </c>
      <c r="C16654" t="s">
        <v>19</v>
      </c>
      <c r="D16654" t="s">
        <v>11</v>
      </c>
      <c r="E16654" t="s">
        <v>12</v>
      </c>
      <c r="F16654">
        <v>97769980</v>
      </c>
      <c r="G16654">
        <v>97770066</v>
      </c>
      <c r="H16654">
        <v>97770068</v>
      </c>
      <c r="I16654">
        <v>97770099</v>
      </c>
    </row>
    <row r="16655" spans="1:9" x14ac:dyDescent="0.2">
      <c r="A16655" t="str">
        <f>"Ppl"</f>
        <v>Ppl</v>
      </c>
      <c r="B16655" t="s">
        <v>14</v>
      </c>
      <c r="C16655" t="s">
        <v>31</v>
      </c>
      <c r="D16655" t="s">
        <v>11</v>
      </c>
      <c r="E16655" t="s">
        <v>12</v>
      </c>
      <c r="F16655">
        <v>5132458</v>
      </c>
      <c r="G16655">
        <v>5132483</v>
      </c>
      <c r="H16655">
        <v>5132488</v>
      </c>
      <c r="I16655">
        <v>5132513</v>
      </c>
    </row>
    <row r="16656" spans="1:9" x14ac:dyDescent="0.2">
      <c r="A16656" t="str">
        <f>"Ppm1a"</f>
        <v>Ppm1a</v>
      </c>
      <c r="B16656" t="s">
        <v>14</v>
      </c>
      <c r="C16656" t="s">
        <v>16</v>
      </c>
      <c r="D16656" t="s">
        <v>17</v>
      </c>
      <c r="E16656" t="s">
        <v>12</v>
      </c>
      <c r="F16656">
        <v>72761267</v>
      </c>
      <c r="G16656">
        <v>72761316</v>
      </c>
      <c r="H16656">
        <v>72761217</v>
      </c>
      <c r="I16656">
        <v>72761265</v>
      </c>
    </row>
    <row r="16657" spans="1:9" x14ac:dyDescent="0.2">
      <c r="A16657" t="str">
        <f>"Ppm1b"</f>
        <v>Ppm1b</v>
      </c>
      <c r="B16657" t="s">
        <v>14</v>
      </c>
      <c r="C16657" t="s">
        <v>28</v>
      </c>
      <c r="D16657" t="s">
        <v>17</v>
      </c>
      <c r="E16657" t="s">
        <v>12</v>
      </c>
      <c r="F16657">
        <v>84957993</v>
      </c>
      <c r="G16657">
        <v>84958018</v>
      </c>
      <c r="H16657">
        <v>84958349</v>
      </c>
      <c r="I16657">
        <v>84958362</v>
      </c>
    </row>
    <row r="16658" spans="1:9" x14ac:dyDescent="0.2">
      <c r="A16658" t="str">
        <f>"Ppm1d"</f>
        <v>Ppm1d</v>
      </c>
      <c r="B16658" t="s">
        <v>14</v>
      </c>
      <c r="C16658" t="s">
        <v>27</v>
      </c>
      <c r="D16658" t="s">
        <v>17</v>
      </c>
      <c r="E16658" t="s">
        <v>12</v>
      </c>
      <c r="F16658">
        <v>85311232</v>
      </c>
      <c r="G16658">
        <v>85311286</v>
      </c>
      <c r="H16658">
        <v>85311346</v>
      </c>
      <c r="I16658">
        <v>85311395</v>
      </c>
    </row>
    <row r="16659" spans="1:9" x14ac:dyDescent="0.2">
      <c r="A16659" t="str">
        <f>"Ppm1e"</f>
        <v>Ppm1e</v>
      </c>
      <c r="B16659" t="s">
        <v>14</v>
      </c>
      <c r="C16659" t="s">
        <v>27</v>
      </c>
      <c r="D16659" t="s">
        <v>11</v>
      </c>
      <c r="E16659" t="s">
        <v>12</v>
      </c>
      <c r="F16659">
        <v>87359011</v>
      </c>
      <c r="G16659">
        <v>87359081</v>
      </c>
      <c r="H16659">
        <v>87358907</v>
      </c>
      <c r="I16659">
        <v>87358944</v>
      </c>
    </row>
    <row r="16660" spans="1:9" x14ac:dyDescent="0.2">
      <c r="A16660" t="str">
        <f>"Ppm1f"</f>
        <v>Ppm1f</v>
      </c>
      <c r="B16660" t="s">
        <v>14</v>
      </c>
      <c r="C16660" t="s">
        <v>31</v>
      </c>
      <c r="D16660" t="s">
        <v>17</v>
      </c>
      <c r="E16660" t="s">
        <v>12</v>
      </c>
      <c r="F16660">
        <v>16896556</v>
      </c>
      <c r="G16660">
        <v>16896598</v>
      </c>
      <c r="H16660">
        <v>16896540</v>
      </c>
      <c r="I16660">
        <v>16896551</v>
      </c>
    </row>
    <row r="16661" spans="1:9" x14ac:dyDescent="0.2">
      <c r="A16661" t="str">
        <f>"Ppm1g"</f>
        <v>Ppm1g</v>
      </c>
      <c r="B16661" t="s">
        <v>14</v>
      </c>
      <c r="C16661" t="s">
        <v>46</v>
      </c>
      <c r="D16661" t="s">
        <v>11</v>
      </c>
      <c r="E16661" t="s">
        <v>12</v>
      </c>
      <c r="F16661">
        <v>31220491</v>
      </c>
      <c r="G16661">
        <v>31220627</v>
      </c>
      <c r="H16661">
        <v>31220491</v>
      </c>
      <c r="I16661">
        <v>31220627</v>
      </c>
    </row>
    <row r="16662" spans="1:9" x14ac:dyDescent="0.2">
      <c r="A16662" t="str">
        <f>"Ppm1h"</f>
        <v>Ppm1h</v>
      </c>
      <c r="B16662" t="s">
        <v>14</v>
      </c>
      <c r="C16662" t="s">
        <v>15</v>
      </c>
      <c r="D16662" t="s">
        <v>17</v>
      </c>
      <c r="E16662" t="s">
        <v>12</v>
      </c>
      <c r="F16662">
        <v>122678764</v>
      </c>
      <c r="G16662">
        <v>122678811</v>
      </c>
      <c r="H16662">
        <v>122678726</v>
      </c>
      <c r="I16662">
        <v>122678755</v>
      </c>
    </row>
    <row r="16663" spans="1:9" x14ac:dyDescent="0.2">
      <c r="A16663" t="str">
        <f>"Ppm1j"</f>
        <v>Ppm1j</v>
      </c>
      <c r="B16663" t="s">
        <v>14</v>
      </c>
      <c r="C16663" t="s">
        <v>22</v>
      </c>
      <c r="D16663" t="s">
        <v>17</v>
      </c>
      <c r="E16663" t="s">
        <v>12</v>
      </c>
      <c r="F16663">
        <v>104781048</v>
      </c>
      <c r="G16663">
        <v>104781128</v>
      </c>
      <c r="H16663">
        <v>104780821</v>
      </c>
      <c r="I16663">
        <v>104780829</v>
      </c>
    </row>
    <row r="16664" spans="1:9" x14ac:dyDescent="0.2">
      <c r="A16664" t="str">
        <f>"Ppm1k"</f>
        <v>Ppm1k</v>
      </c>
      <c r="B16664" t="s">
        <v>14</v>
      </c>
      <c r="C16664" t="s">
        <v>32</v>
      </c>
      <c r="D16664" t="s">
        <v>11</v>
      </c>
      <c r="E16664" t="s">
        <v>12</v>
      </c>
      <c r="F16664">
        <v>57535477</v>
      </c>
      <c r="G16664">
        <v>57535497</v>
      </c>
      <c r="H16664">
        <v>57535422</v>
      </c>
      <c r="I16664">
        <v>57535447</v>
      </c>
    </row>
    <row r="16665" spans="1:9" x14ac:dyDescent="0.2">
      <c r="A16665" t="str">
        <f>"Ppm1l"</f>
        <v>Ppm1l</v>
      </c>
      <c r="B16665" t="s">
        <v>14</v>
      </c>
      <c r="C16665" t="s">
        <v>22</v>
      </c>
      <c r="D16665" t="s">
        <v>17</v>
      </c>
      <c r="E16665" t="s">
        <v>12</v>
      </c>
      <c r="F16665">
        <v>69316873</v>
      </c>
      <c r="G16665">
        <v>69316937</v>
      </c>
      <c r="H16665">
        <v>69317062</v>
      </c>
      <c r="I16665">
        <v>69317119</v>
      </c>
    </row>
    <row r="16666" spans="1:9" x14ac:dyDescent="0.2">
      <c r="A16666" t="str">
        <f>"Ppm1m"</f>
        <v>Ppm1m</v>
      </c>
      <c r="B16666" t="s">
        <v>14</v>
      </c>
      <c r="C16666" t="s">
        <v>24</v>
      </c>
      <c r="D16666" t="s">
        <v>11</v>
      </c>
      <c r="E16666" t="s">
        <v>12</v>
      </c>
      <c r="F16666">
        <v>106199190</v>
      </c>
      <c r="G16666">
        <v>106199246</v>
      </c>
      <c r="H16666">
        <v>106199253</v>
      </c>
      <c r="I16666">
        <v>106199286</v>
      </c>
    </row>
    <row r="16667" spans="1:9" x14ac:dyDescent="0.2">
      <c r="A16667" t="str">
        <f>"Ppm1n"</f>
        <v>Ppm1n</v>
      </c>
      <c r="B16667" t="s">
        <v>14</v>
      </c>
      <c r="C16667" t="s">
        <v>33</v>
      </c>
      <c r="D16667" t="s">
        <v>11</v>
      </c>
      <c r="E16667" t="s">
        <v>12</v>
      </c>
      <c r="F16667">
        <v>19280032</v>
      </c>
      <c r="G16667">
        <v>19280056</v>
      </c>
      <c r="H16667">
        <v>19280032</v>
      </c>
      <c r="I16667">
        <v>19280056</v>
      </c>
    </row>
    <row r="16668" spans="1:9" x14ac:dyDescent="0.2">
      <c r="A16668" t="str">
        <f>"Ppme1"</f>
        <v>Ppme1</v>
      </c>
      <c r="B16668" t="s">
        <v>14</v>
      </c>
      <c r="C16668" t="s">
        <v>33</v>
      </c>
      <c r="D16668" t="s">
        <v>11</v>
      </c>
      <c r="E16668" t="s">
        <v>12</v>
      </c>
      <c r="F16668">
        <v>100371889</v>
      </c>
      <c r="G16668">
        <v>100371988</v>
      </c>
      <c r="H16668">
        <v>100371826</v>
      </c>
      <c r="I16668">
        <v>100371835</v>
      </c>
    </row>
    <row r="16669" spans="1:9" x14ac:dyDescent="0.2">
      <c r="A16669" t="str">
        <f>"Ppox"</f>
        <v>Ppox</v>
      </c>
      <c r="B16669" t="s">
        <v>14</v>
      </c>
      <c r="C16669" t="s">
        <v>19</v>
      </c>
      <c r="D16669" t="s">
        <v>11</v>
      </c>
      <c r="E16669" t="s">
        <v>12</v>
      </c>
      <c r="F16669">
        <v>171281113</v>
      </c>
      <c r="G16669">
        <v>171281152</v>
      </c>
      <c r="H16669">
        <v>171280918</v>
      </c>
      <c r="I16669">
        <v>171280955</v>
      </c>
    </row>
    <row r="16670" spans="1:9" x14ac:dyDescent="0.2">
      <c r="A16670" t="str">
        <f>"Ppp1ca"</f>
        <v>Ppp1ca</v>
      </c>
      <c r="B16670" t="s">
        <v>14</v>
      </c>
      <c r="C16670" t="s">
        <v>10</v>
      </c>
      <c r="D16670" t="s">
        <v>17</v>
      </c>
      <c r="E16670" t="s">
        <v>12</v>
      </c>
      <c r="F16670">
        <v>4192129</v>
      </c>
      <c r="G16670">
        <v>4192217</v>
      </c>
      <c r="H16670">
        <v>4192120</v>
      </c>
      <c r="I16670">
        <v>4192125</v>
      </c>
    </row>
    <row r="16671" spans="1:9" x14ac:dyDescent="0.2">
      <c r="A16671" t="str">
        <f>"Ppp1cb"</f>
        <v>Ppp1cb</v>
      </c>
      <c r="B16671" t="s">
        <v>14</v>
      </c>
      <c r="C16671" t="s">
        <v>46</v>
      </c>
      <c r="D16671" t="s">
        <v>17</v>
      </c>
      <c r="E16671" t="s">
        <v>12</v>
      </c>
      <c r="F16671">
        <v>32459016</v>
      </c>
      <c r="G16671">
        <v>32459110</v>
      </c>
      <c r="H16671">
        <v>32459297</v>
      </c>
      <c r="I16671">
        <v>32459355</v>
      </c>
    </row>
    <row r="16672" spans="1:9" x14ac:dyDescent="0.2">
      <c r="A16672" t="str">
        <f>"Ppp1cc"</f>
        <v>Ppp1cc</v>
      </c>
      <c r="B16672" t="s">
        <v>14</v>
      </c>
      <c r="C16672" t="s">
        <v>46</v>
      </c>
      <c r="D16672" t="s">
        <v>17</v>
      </c>
      <c r="E16672" t="s">
        <v>12</v>
      </c>
      <c r="F16672">
        <v>122158265</v>
      </c>
      <c r="G16672">
        <v>122158340</v>
      </c>
      <c r="H16672">
        <v>122158265</v>
      </c>
      <c r="I16672">
        <v>122158340</v>
      </c>
    </row>
    <row r="16673" spans="1:9" x14ac:dyDescent="0.2">
      <c r="A16673" t="str">
        <f>"Ppp1r10"</f>
        <v>Ppp1r10</v>
      </c>
      <c r="B16673" t="s">
        <v>14</v>
      </c>
      <c r="C16673" t="s">
        <v>28</v>
      </c>
      <c r="D16673" t="s">
        <v>17</v>
      </c>
      <c r="E16673" t="s">
        <v>12</v>
      </c>
      <c r="F16673">
        <v>35916977</v>
      </c>
      <c r="G16673">
        <v>35916993</v>
      </c>
      <c r="H16673">
        <v>35916428</v>
      </c>
      <c r="I16673">
        <v>35916479</v>
      </c>
    </row>
    <row r="16674" spans="1:9" x14ac:dyDescent="0.2">
      <c r="A16674" t="str">
        <f>"Ppp1r11"</f>
        <v>Ppp1r11</v>
      </c>
      <c r="B16674" t="s">
        <v>14</v>
      </c>
      <c r="C16674" t="s">
        <v>28</v>
      </c>
      <c r="D16674" t="s">
        <v>11</v>
      </c>
      <c r="E16674" t="s">
        <v>12</v>
      </c>
      <c r="F16674">
        <v>36951636</v>
      </c>
      <c r="G16674">
        <v>36951718</v>
      </c>
      <c r="H16674">
        <v>36951636</v>
      </c>
      <c r="I16674">
        <v>36951718</v>
      </c>
    </row>
    <row r="16675" spans="1:9" x14ac:dyDescent="0.2">
      <c r="A16675" t="str">
        <f>"Ppp1r12a"</f>
        <v>Ppp1r12a</v>
      </c>
      <c r="B16675" t="s">
        <v>14</v>
      </c>
      <c r="C16675" t="s">
        <v>15</v>
      </c>
      <c r="D16675" t="s">
        <v>17</v>
      </c>
      <c r="E16675" t="s">
        <v>12</v>
      </c>
      <c r="F16675">
        <v>108162180</v>
      </c>
      <c r="G16675">
        <v>108162216</v>
      </c>
      <c r="H16675">
        <v>108162358</v>
      </c>
      <c r="I16675">
        <v>108162408</v>
      </c>
    </row>
    <row r="16676" spans="1:9" x14ac:dyDescent="0.2">
      <c r="A16676" t="str">
        <f>"Ppp1r12b"</f>
        <v>Ppp1r12b</v>
      </c>
      <c r="B16676" t="s">
        <v>5610</v>
      </c>
      <c r="C16676" t="s">
        <v>19</v>
      </c>
      <c r="D16676" t="s">
        <v>11</v>
      </c>
      <c r="E16676" t="s">
        <v>35</v>
      </c>
      <c r="F16676">
        <v>134955908</v>
      </c>
      <c r="G16676">
        <v>134955955</v>
      </c>
      <c r="H16676">
        <v>134955842</v>
      </c>
      <c r="I16676">
        <v>134955843</v>
      </c>
    </row>
    <row r="16677" spans="1:9" x14ac:dyDescent="0.2">
      <c r="A16677" t="str">
        <f>"Ppp1r12c"</f>
        <v>Ppp1r12c</v>
      </c>
      <c r="B16677" t="s">
        <v>14</v>
      </c>
      <c r="C16677" t="s">
        <v>33</v>
      </c>
      <c r="D16677" t="s">
        <v>11</v>
      </c>
      <c r="E16677" t="s">
        <v>12</v>
      </c>
      <c r="F16677">
        <v>4501636</v>
      </c>
      <c r="G16677">
        <v>4501711</v>
      </c>
      <c r="H16677">
        <v>4501614</v>
      </c>
      <c r="I16677">
        <v>4501634</v>
      </c>
    </row>
    <row r="16678" spans="1:9" x14ac:dyDescent="0.2">
      <c r="A16678" t="str">
        <f>"Ppp1r13b"</f>
        <v>Ppp1r13b</v>
      </c>
      <c r="B16678" t="s">
        <v>14</v>
      </c>
      <c r="C16678" t="s">
        <v>16</v>
      </c>
      <c r="D16678" t="s">
        <v>11</v>
      </c>
      <c r="E16678" t="s">
        <v>12</v>
      </c>
      <c r="F16678">
        <v>111908055</v>
      </c>
      <c r="G16678">
        <v>111908125</v>
      </c>
      <c r="H16678">
        <v>111907998</v>
      </c>
      <c r="I16678">
        <v>111908017</v>
      </c>
    </row>
    <row r="16679" spans="1:9" x14ac:dyDescent="0.2">
      <c r="A16679" t="str">
        <f>"Ppp1r13l"</f>
        <v>Ppp1r13l</v>
      </c>
      <c r="B16679" t="s">
        <v>9</v>
      </c>
      <c r="C16679" t="s">
        <v>33</v>
      </c>
      <c r="D16679" t="s">
        <v>17</v>
      </c>
      <c r="E16679" t="s">
        <v>12</v>
      </c>
      <c r="F16679">
        <v>19361207</v>
      </c>
      <c r="G16679">
        <v>19361262</v>
      </c>
      <c r="H16679">
        <v>19361207</v>
      </c>
      <c r="I16679">
        <v>19361262</v>
      </c>
    </row>
    <row r="16680" spans="1:9" x14ac:dyDescent="0.2">
      <c r="A16680" t="str">
        <f>"Ppp1r13l"</f>
        <v>Ppp1r13l</v>
      </c>
      <c r="B16680" t="s">
        <v>13</v>
      </c>
      <c r="C16680" t="s">
        <v>33</v>
      </c>
      <c r="D16680" t="s">
        <v>17</v>
      </c>
      <c r="E16680" t="s">
        <v>12</v>
      </c>
      <c r="F16680">
        <v>19359740</v>
      </c>
      <c r="G16680">
        <v>19359758</v>
      </c>
      <c r="H16680">
        <v>19359740</v>
      </c>
      <c r="I16680">
        <v>19359758</v>
      </c>
    </row>
    <row r="16681" spans="1:9" x14ac:dyDescent="0.2">
      <c r="A16681" t="str">
        <f>"Ppp1r14a"</f>
        <v>Ppp1r14a</v>
      </c>
      <c r="B16681" t="s">
        <v>14</v>
      </c>
      <c r="C16681" t="s">
        <v>33</v>
      </c>
      <c r="D16681" t="s">
        <v>17</v>
      </c>
      <c r="E16681" t="s">
        <v>12</v>
      </c>
      <c r="F16681">
        <v>29289300</v>
      </c>
      <c r="G16681">
        <v>29289324</v>
      </c>
      <c r="H16681">
        <v>29289327</v>
      </c>
      <c r="I16681">
        <v>29289338</v>
      </c>
    </row>
    <row r="16682" spans="1:9" x14ac:dyDescent="0.2">
      <c r="A16682" t="str">
        <f>"Ppp1r14b"</f>
        <v>Ppp1r14b</v>
      </c>
      <c r="B16682" t="s">
        <v>14</v>
      </c>
      <c r="C16682" t="s">
        <v>10</v>
      </c>
      <c r="D16682" t="s">
        <v>17</v>
      </c>
      <c r="E16682" t="s">
        <v>12</v>
      </c>
      <c r="F16682">
        <v>6974951</v>
      </c>
      <c r="G16682">
        <v>6975003</v>
      </c>
      <c r="H16682">
        <v>6975076</v>
      </c>
      <c r="I16682">
        <v>6975104</v>
      </c>
    </row>
    <row r="16683" spans="1:9" x14ac:dyDescent="0.2">
      <c r="A16683" t="str">
        <f>"Ppp1r14c"</f>
        <v>Ppp1r14c</v>
      </c>
      <c r="B16683" t="s">
        <v>14</v>
      </c>
      <c r="C16683" t="s">
        <v>15</v>
      </c>
      <c r="D16683" t="s">
        <v>17</v>
      </c>
      <c r="E16683" t="s">
        <v>12</v>
      </c>
      <c r="F16683">
        <v>3366506</v>
      </c>
      <c r="G16683">
        <v>3366590</v>
      </c>
      <c r="H16683">
        <v>3366125</v>
      </c>
      <c r="I16683">
        <v>3366160</v>
      </c>
    </row>
    <row r="16684" spans="1:9" x14ac:dyDescent="0.2">
      <c r="A16684" t="str">
        <f>"Ppp1r14d"</f>
        <v>Ppp1r14d</v>
      </c>
      <c r="B16684" t="s">
        <v>14</v>
      </c>
      <c r="C16684" t="s">
        <v>26</v>
      </c>
      <c r="D16684" t="s">
        <v>11</v>
      </c>
      <c r="E16684" t="s">
        <v>12</v>
      </c>
      <c r="F16684">
        <v>119229849</v>
      </c>
      <c r="G16684">
        <v>119229877</v>
      </c>
      <c r="H16684">
        <v>119229828</v>
      </c>
      <c r="I16684">
        <v>119229844</v>
      </c>
    </row>
    <row r="16685" spans="1:9" x14ac:dyDescent="0.2">
      <c r="A16685" t="str">
        <f>"Ppp1r15a"</f>
        <v>Ppp1r15a</v>
      </c>
      <c r="B16685" t="s">
        <v>14</v>
      </c>
      <c r="C16685" t="s">
        <v>33</v>
      </c>
      <c r="D16685" t="s">
        <v>11</v>
      </c>
      <c r="E16685" t="s">
        <v>12</v>
      </c>
      <c r="F16685">
        <v>45526213</v>
      </c>
      <c r="G16685">
        <v>45526234</v>
      </c>
      <c r="H16685">
        <v>45525375</v>
      </c>
      <c r="I16685">
        <v>45525414</v>
      </c>
    </row>
    <row r="16686" spans="1:9" x14ac:dyDescent="0.2">
      <c r="A16686" t="str">
        <f>"Ppp1r15b"</f>
        <v>Ppp1r15b</v>
      </c>
      <c r="B16686" t="s">
        <v>14</v>
      </c>
      <c r="C16686" t="s">
        <v>19</v>
      </c>
      <c r="D16686" t="s">
        <v>17</v>
      </c>
      <c r="E16686" t="s">
        <v>12</v>
      </c>
      <c r="F16686">
        <v>133131288</v>
      </c>
      <c r="G16686">
        <v>133131364</v>
      </c>
      <c r="H16686">
        <v>133131267</v>
      </c>
      <c r="I16686">
        <v>133131283</v>
      </c>
    </row>
    <row r="16687" spans="1:9" x14ac:dyDescent="0.2">
      <c r="A16687" t="str">
        <f>"Ppp1r16a"</f>
        <v>Ppp1r16a</v>
      </c>
      <c r="B16687" t="s">
        <v>9</v>
      </c>
      <c r="C16687" t="s">
        <v>25</v>
      </c>
      <c r="D16687" t="s">
        <v>17</v>
      </c>
      <c r="E16687" t="s">
        <v>12</v>
      </c>
      <c r="F16687">
        <v>76671626</v>
      </c>
      <c r="G16687">
        <v>76671710</v>
      </c>
      <c r="H16687">
        <v>76671626</v>
      </c>
      <c r="I16687">
        <v>76671710</v>
      </c>
    </row>
    <row r="16688" spans="1:9" x14ac:dyDescent="0.2">
      <c r="A16688" t="str">
        <f>"Ppp1r16a"</f>
        <v>Ppp1r16a</v>
      </c>
      <c r="B16688" t="s">
        <v>13</v>
      </c>
      <c r="C16688" t="s">
        <v>25</v>
      </c>
      <c r="D16688" t="s">
        <v>17</v>
      </c>
      <c r="E16688" t="s">
        <v>12</v>
      </c>
      <c r="F16688">
        <v>76690558</v>
      </c>
      <c r="G16688">
        <v>76690579</v>
      </c>
      <c r="H16688">
        <v>76690558</v>
      </c>
      <c r="I16688">
        <v>76690579</v>
      </c>
    </row>
    <row r="16689" spans="1:9" x14ac:dyDescent="0.2">
      <c r="A16689" t="str">
        <f>"Ppp1r16b"</f>
        <v>Ppp1r16b</v>
      </c>
      <c r="B16689" t="s">
        <v>14</v>
      </c>
      <c r="C16689" t="s">
        <v>26</v>
      </c>
      <c r="D16689" t="s">
        <v>17</v>
      </c>
      <c r="E16689" t="s">
        <v>12</v>
      </c>
      <c r="F16689">
        <v>158667131</v>
      </c>
      <c r="G16689">
        <v>158667186</v>
      </c>
      <c r="H16689">
        <v>158666690</v>
      </c>
      <c r="I16689">
        <v>158666740</v>
      </c>
    </row>
    <row r="16690" spans="1:9" x14ac:dyDescent="0.2">
      <c r="A16690" t="str">
        <f>"Ppp1r17"</f>
        <v>Ppp1r17</v>
      </c>
      <c r="B16690" t="s">
        <v>14</v>
      </c>
      <c r="C16690" t="s">
        <v>32</v>
      </c>
      <c r="D16690" t="s">
        <v>17</v>
      </c>
      <c r="E16690" t="s">
        <v>12</v>
      </c>
      <c r="F16690">
        <v>56017489</v>
      </c>
      <c r="G16690">
        <v>56017517</v>
      </c>
      <c r="H16690">
        <v>56017489</v>
      </c>
      <c r="I16690">
        <v>56017517</v>
      </c>
    </row>
    <row r="16691" spans="1:9" x14ac:dyDescent="0.2">
      <c r="A16691" t="str">
        <f>"Ppp1r18"</f>
        <v>Ppp1r18</v>
      </c>
      <c r="B16691" t="s">
        <v>14</v>
      </c>
      <c r="C16691" t="s">
        <v>28</v>
      </c>
      <c r="D16691" t="s">
        <v>17</v>
      </c>
      <c r="E16691" t="s">
        <v>12</v>
      </c>
      <c r="F16691">
        <v>35866606</v>
      </c>
      <c r="G16691">
        <v>35866675</v>
      </c>
      <c r="H16691">
        <v>35866152</v>
      </c>
      <c r="I16691">
        <v>35866203</v>
      </c>
    </row>
    <row r="16692" spans="1:9" x14ac:dyDescent="0.2">
      <c r="A16692" t="str">
        <f>"Ppp1r1a"</f>
        <v>Ppp1r1a</v>
      </c>
      <c r="B16692" t="s">
        <v>14</v>
      </c>
      <c r="C16692" t="s">
        <v>25</v>
      </c>
      <c r="D16692" t="s">
        <v>11</v>
      </c>
      <c r="E16692" t="s">
        <v>12</v>
      </c>
      <c r="F16692">
        <v>103537928</v>
      </c>
      <c r="G16692">
        <v>103538019</v>
      </c>
      <c r="H16692">
        <v>103538021</v>
      </c>
      <c r="I16692">
        <v>103538032</v>
      </c>
    </row>
    <row r="16693" spans="1:9" x14ac:dyDescent="0.2">
      <c r="A16693" t="str">
        <f>"Ppp1r1b"</f>
        <v>Ppp1r1b</v>
      </c>
      <c r="B16693" t="s">
        <v>14</v>
      </c>
      <c r="C16693" t="s">
        <v>27</v>
      </c>
      <c r="D16693" t="s">
        <v>17</v>
      </c>
      <c r="E16693" t="s">
        <v>12</v>
      </c>
      <c r="F16693">
        <v>98348662</v>
      </c>
      <c r="G16693">
        <v>98348742</v>
      </c>
      <c r="H16693">
        <v>98348764</v>
      </c>
      <c r="I16693">
        <v>98348779</v>
      </c>
    </row>
    <row r="16694" spans="1:9" x14ac:dyDescent="0.2">
      <c r="A16694" t="str">
        <f>"Ppp1r1c"</f>
        <v>Ppp1r1c</v>
      </c>
      <c r="B16694" t="s">
        <v>14</v>
      </c>
      <c r="C16694" t="s">
        <v>26</v>
      </c>
      <c r="D16694" t="s">
        <v>17</v>
      </c>
      <c r="E16694" t="s">
        <v>12</v>
      </c>
      <c r="F16694">
        <v>79707916</v>
      </c>
      <c r="G16694">
        <v>79707927</v>
      </c>
      <c r="H16694">
        <v>79707916</v>
      </c>
      <c r="I16694">
        <v>79707927</v>
      </c>
    </row>
    <row r="16695" spans="1:9" x14ac:dyDescent="0.2">
      <c r="A16695" t="str">
        <f>"Ppp1r2"</f>
        <v>Ppp1r2</v>
      </c>
      <c r="B16695" t="s">
        <v>14</v>
      </c>
      <c r="C16695" t="s">
        <v>31</v>
      </c>
      <c r="D16695" t="s">
        <v>11</v>
      </c>
      <c r="E16695" t="s">
        <v>12</v>
      </c>
      <c r="F16695">
        <v>31275218</v>
      </c>
      <c r="G16695">
        <v>31275234</v>
      </c>
      <c r="H16695">
        <v>31275250</v>
      </c>
      <c r="I16695">
        <v>31275267</v>
      </c>
    </row>
    <row r="16696" spans="1:9" x14ac:dyDescent="0.2">
      <c r="A16696" t="str">
        <f>"Ppp1r21"</f>
        <v>Ppp1r21</v>
      </c>
      <c r="B16696" t="s">
        <v>14</v>
      </c>
      <c r="C16696" t="s">
        <v>28</v>
      </c>
      <c r="D16696" t="s">
        <v>17</v>
      </c>
      <c r="E16696" t="s">
        <v>67</v>
      </c>
      <c r="F16696">
        <v>88530113</v>
      </c>
      <c r="G16696">
        <v>88530142</v>
      </c>
      <c r="H16696">
        <v>88530211</v>
      </c>
      <c r="I16696">
        <v>88530234</v>
      </c>
    </row>
    <row r="16697" spans="1:9" x14ac:dyDescent="0.2">
      <c r="A16697" t="str">
        <f>"Ppp1r26"</f>
        <v>Ppp1r26</v>
      </c>
      <c r="B16697" t="s">
        <v>14</v>
      </c>
      <c r="C16697" t="s">
        <v>26</v>
      </c>
      <c r="D16697" t="s">
        <v>17</v>
      </c>
      <c r="E16697" t="s">
        <v>12</v>
      </c>
      <c r="F16697">
        <v>28446831</v>
      </c>
      <c r="G16697">
        <v>28446878</v>
      </c>
      <c r="H16697">
        <v>28446590</v>
      </c>
      <c r="I16697">
        <v>28446609</v>
      </c>
    </row>
    <row r="16698" spans="1:9" x14ac:dyDescent="0.2">
      <c r="A16698" t="str">
        <f>"Ppp1r27"</f>
        <v>Ppp1r27</v>
      </c>
      <c r="B16698" t="s">
        <v>14</v>
      </c>
      <c r="C16698" t="s">
        <v>27</v>
      </c>
      <c r="D16698" t="s">
        <v>11</v>
      </c>
      <c r="E16698" t="s">
        <v>12</v>
      </c>
      <c r="F16698">
        <v>120551126</v>
      </c>
      <c r="G16698">
        <v>120551138</v>
      </c>
      <c r="H16698">
        <v>120551147</v>
      </c>
      <c r="I16698">
        <v>120551158</v>
      </c>
    </row>
    <row r="16699" spans="1:9" x14ac:dyDescent="0.2">
      <c r="A16699" t="str">
        <f>"Ppp1r32"</f>
        <v>Ppp1r32</v>
      </c>
      <c r="B16699" t="s">
        <v>14</v>
      </c>
      <c r="C16699" t="s">
        <v>10</v>
      </c>
      <c r="D16699" t="s">
        <v>11</v>
      </c>
      <c r="E16699" t="s">
        <v>12</v>
      </c>
      <c r="F16699">
        <v>10482874</v>
      </c>
      <c r="G16699">
        <v>10482938</v>
      </c>
      <c r="H16699">
        <v>10482867</v>
      </c>
      <c r="I16699">
        <v>10482872</v>
      </c>
    </row>
    <row r="16700" spans="1:9" x14ac:dyDescent="0.2">
      <c r="A16700" t="str">
        <f>"Ppp1r35"</f>
        <v>Ppp1r35</v>
      </c>
      <c r="B16700" t="s">
        <v>14</v>
      </c>
      <c r="C16700" t="s">
        <v>46</v>
      </c>
      <c r="D16700" t="s">
        <v>17</v>
      </c>
      <c r="E16700" t="s">
        <v>12</v>
      </c>
      <c r="F16700">
        <v>137778871</v>
      </c>
      <c r="G16700">
        <v>137778935</v>
      </c>
      <c r="H16700">
        <v>137778976</v>
      </c>
      <c r="I16700">
        <v>137778988</v>
      </c>
    </row>
    <row r="16701" spans="1:9" x14ac:dyDescent="0.2">
      <c r="A16701" t="str">
        <f>"Ppp1r36"</f>
        <v>Ppp1r36</v>
      </c>
      <c r="B16701" t="s">
        <v>14</v>
      </c>
      <c r="C16701" t="s">
        <v>16</v>
      </c>
      <c r="D16701" t="s">
        <v>17</v>
      </c>
      <c r="E16701" t="s">
        <v>12</v>
      </c>
      <c r="F16701">
        <v>76417551</v>
      </c>
      <c r="G16701">
        <v>76417585</v>
      </c>
      <c r="H16701">
        <v>76417598</v>
      </c>
      <c r="I16701">
        <v>76417641</v>
      </c>
    </row>
    <row r="16702" spans="1:9" x14ac:dyDescent="0.2">
      <c r="A16702" t="str">
        <f>"Ppp1r37"</f>
        <v>Ppp1r37</v>
      </c>
      <c r="B16702" t="s">
        <v>14</v>
      </c>
      <c r="C16702" t="s">
        <v>33</v>
      </c>
      <c r="D16702" t="s">
        <v>11</v>
      </c>
      <c r="E16702" t="s">
        <v>12</v>
      </c>
      <c r="F16702">
        <v>19562201</v>
      </c>
      <c r="G16702">
        <v>19562248</v>
      </c>
      <c r="H16702">
        <v>19562168</v>
      </c>
      <c r="I16702">
        <v>19562197</v>
      </c>
    </row>
    <row r="16703" spans="1:9" x14ac:dyDescent="0.2">
      <c r="A16703" t="str">
        <f>"Ppp1r3a"</f>
        <v>Ppp1r3a</v>
      </c>
      <c r="B16703" t="s">
        <v>14</v>
      </c>
      <c r="C16703" t="s">
        <v>32</v>
      </c>
      <c r="D16703" t="s">
        <v>11</v>
      </c>
      <c r="E16703" t="s">
        <v>12</v>
      </c>
      <c r="F16703">
        <v>14755250</v>
      </c>
      <c r="G16703">
        <v>14755286</v>
      </c>
      <c r="H16703">
        <v>14755250</v>
      </c>
      <c r="I16703">
        <v>14755286</v>
      </c>
    </row>
    <row r="16704" spans="1:9" x14ac:dyDescent="0.2">
      <c r="A16704" t="str">
        <f>"Ppp1r3b"</f>
        <v>Ppp1r3b</v>
      </c>
      <c r="B16704" t="s">
        <v>14</v>
      </c>
      <c r="C16704" t="s">
        <v>30</v>
      </c>
      <c r="D16704" t="s">
        <v>17</v>
      </c>
      <c r="E16704" t="s">
        <v>12</v>
      </c>
      <c r="F16704">
        <v>35376645</v>
      </c>
      <c r="G16704">
        <v>35376668</v>
      </c>
      <c r="H16704">
        <v>35375719</v>
      </c>
      <c r="I16704">
        <v>35375766</v>
      </c>
    </row>
    <row r="16705" spans="1:9" x14ac:dyDescent="0.2">
      <c r="A16705" t="str">
        <f>"Ppp1r3c"</f>
        <v>Ppp1r3c</v>
      </c>
      <c r="B16705" t="s">
        <v>14</v>
      </c>
      <c r="C16705" t="s">
        <v>10</v>
      </c>
      <c r="D16705" t="s">
        <v>11</v>
      </c>
      <c r="E16705" t="s">
        <v>12</v>
      </c>
      <c r="F16705">
        <v>36736656</v>
      </c>
      <c r="G16705">
        <v>36736670</v>
      </c>
      <c r="H16705">
        <v>36736929</v>
      </c>
      <c r="I16705">
        <v>36736933</v>
      </c>
    </row>
    <row r="16706" spans="1:9" x14ac:dyDescent="0.2">
      <c r="A16706" t="str">
        <f>"Ppp1r3d"</f>
        <v>Ppp1r3d</v>
      </c>
      <c r="B16706" t="s">
        <v>14</v>
      </c>
      <c r="C16706" t="s">
        <v>26</v>
      </c>
      <c r="D16706" t="s">
        <v>11</v>
      </c>
      <c r="E16706" t="s">
        <v>12</v>
      </c>
      <c r="F16706">
        <v>178414460</v>
      </c>
      <c r="G16706">
        <v>178414507</v>
      </c>
      <c r="H16706">
        <v>178414405</v>
      </c>
      <c r="I16706">
        <v>178414446</v>
      </c>
    </row>
    <row r="16707" spans="1:9" x14ac:dyDescent="0.2">
      <c r="A16707" t="str">
        <f>"Ppp1r3e"</f>
        <v>Ppp1r3e</v>
      </c>
      <c r="B16707" t="s">
        <v>14</v>
      </c>
      <c r="C16707" t="s">
        <v>41</v>
      </c>
      <c r="D16707" t="s">
        <v>11</v>
      </c>
      <c r="E16707" t="s">
        <v>12</v>
      </c>
      <c r="F16707">
        <v>54876625</v>
      </c>
      <c r="G16707">
        <v>54876679</v>
      </c>
      <c r="H16707">
        <v>54877532</v>
      </c>
      <c r="I16707">
        <v>54877552</v>
      </c>
    </row>
    <row r="16708" spans="1:9" x14ac:dyDescent="0.2">
      <c r="A16708" t="str">
        <f>"Ppp1r3f"</f>
        <v>Ppp1r3f</v>
      </c>
      <c r="B16708" t="s">
        <v>5611</v>
      </c>
      <c r="C16708" t="s">
        <v>37</v>
      </c>
      <c r="D16708" t="s">
        <v>11</v>
      </c>
      <c r="E16708" t="s">
        <v>35</v>
      </c>
      <c r="F16708">
        <v>7574221</v>
      </c>
      <c r="G16708">
        <v>7574222</v>
      </c>
      <c r="H16708">
        <v>7574221</v>
      </c>
      <c r="I16708">
        <v>7574222</v>
      </c>
    </row>
    <row r="16709" spans="1:9" x14ac:dyDescent="0.2">
      <c r="A16709" t="str">
        <f>"Ppp1r3g"</f>
        <v>Ppp1r3g</v>
      </c>
      <c r="B16709" t="s">
        <v>9</v>
      </c>
      <c r="C16709" t="s">
        <v>39</v>
      </c>
      <c r="D16709" t="s">
        <v>17</v>
      </c>
      <c r="E16709" t="s">
        <v>12</v>
      </c>
      <c r="F16709">
        <v>35967861</v>
      </c>
      <c r="G16709">
        <v>35967886</v>
      </c>
      <c r="H16709">
        <v>35967861</v>
      </c>
      <c r="I16709">
        <v>35967886</v>
      </c>
    </row>
    <row r="16710" spans="1:9" x14ac:dyDescent="0.2">
      <c r="A16710" t="str">
        <f>"Ppp1r3g"</f>
        <v>Ppp1r3g</v>
      </c>
      <c r="B16710" t="s">
        <v>13</v>
      </c>
      <c r="C16710" t="s">
        <v>39</v>
      </c>
      <c r="D16710" t="s">
        <v>17</v>
      </c>
      <c r="E16710" t="s">
        <v>12</v>
      </c>
      <c r="F16710">
        <v>35958850</v>
      </c>
      <c r="G16710">
        <v>35958862</v>
      </c>
      <c r="H16710">
        <v>35958850</v>
      </c>
      <c r="I16710">
        <v>35958862</v>
      </c>
    </row>
    <row r="16711" spans="1:9" x14ac:dyDescent="0.2">
      <c r="A16711" t="str">
        <f>"Ppp1r42"</f>
        <v>Ppp1r42</v>
      </c>
      <c r="B16711" t="s">
        <v>14</v>
      </c>
      <c r="C16711" t="s">
        <v>19</v>
      </c>
      <c r="D16711" t="s">
        <v>11</v>
      </c>
      <c r="E16711" t="s">
        <v>12</v>
      </c>
      <c r="F16711">
        <v>10009098</v>
      </c>
      <c r="G16711">
        <v>10009160</v>
      </c>
      <c r="H16711">
        <v>10009098</v>
      </c>
      <c r="I16711">
        <v>10009160</v>
      </c>
    </row>
    <row r="16712" spans="1:9" x14ac:dyDescent="0.2">
      <c r="A16712" t="str">
        <f>"Ppp1r7"</f>
        <v>Ppp1r7</v>
      </c>
      <c r="B16712" t="s">
        <v>14</v>
      </c>
      <c r="C16712" t="s">
        <v>19</v>
      </c>
      <c r="D16712" t="s">
        <v>17</v>
      </c>
      <c r="E16712" t="s">
        <v>12</v>
      </c>
      <c r="F16712">
        <v>93343618</v>
      </c>
      <c r="G16712">
        <v>93343672</v>
      </c>
      <c r="H16712">
        <v>93343618</v>
      </c>
      <c r="I16712">
        <v>93343672</v>
      </c>
    </row>
    <row r="16713" spans="1:9" x14ac:dyDescent="0.2">
      <c r="A16713" t="str">
        <f>"Ppp1r8"</f>
        <v>Ppp1r8</v>
      </c>
      <c r="B16713" t="s">
        <v>14</v>
      </c>
      <c r="C16713" t="s">
        <v>23</v>
      </c>
      <c r="D16713" t="s">
        <v>11</v>
      </c>
      <c r="E16713" t="s">
        <v>12</v>
      </c>
      <c r="F16713">
        <v>132843111</v>
      </c>
      <c r="G16713">
        <v>132843184</v>
      </c>
      <c r="H16713">
        <v>132842943</v>
      </c>
      <c r="I16713">
        <v>132842945</v>
      </c>
    </row>
    <row r="16714" spans="1:9" x14ac:dyDescent="0.2">
      <c r="A16714" t="str">
        <f>"Ppp1r9a"</f>
        <v>Ppp1r9a</v>
      </c>
      <c r="B16714" t="s">
        <v>14</v>
      </c>
      <c r="C16714" t="s">
        <v>32</v>
      </c>
      <c r="D16714" t="s">
        <v>17</v>
      </c>
      <c r="E16714" t="s">
        <v>12</v>
      </c>
      <c r="F16714">
        <v>4902913</v>
      </c>
      <c r="G16714">
        <v>4903014</v>
      </c>
      <c r="H16714">
        <v>4903298</v>
      </c>
      <c r="I16714">
        <v>4903346</v>
      </c>
    </row>
    <row r="16715" spans="1:9" x14ac:dyDescent="0.2">
      <c r="A16715" t="str">
        <f>"Ppp1r9b"</f>
        <v>Ppp1r9b</v>
      </c>
      <c r="B16715" t="s">
        <v>14</v>
      </c>
      <c r="C16715" t="s">
        <v>27</v>
      </c>
      <c r="D16715" t="s">
        <v>17</v>
      </c>
      <c r="E16715" t="s">
        <v>12</v>
      </c>
      <c r="F16715">
        <v>94990924</v>
      </c>
      <c r="G16715">
        <v>94990970</v>
      </c>
      <c r="H16715">
        <v>94990971</v>
      </c>
      <c r="I16715">
        <v>94990995</v>
      </c>
    </row>
    <row r="16716" spans="1:9" x14ac:dyDescent="0.2">
      <c r="A16716" t="str">
        <f>"Ppp2ca"</f>
        <v>Ppp2ca</v>
      </c>
      <c r="B16716" t="s">
        <v>14</v>
      </c>
      <c r="C16716" t="s">
        <v>27</v>
      </c>
      <c r="D16716" t="s">
        <v>17</v>
      </c>
      <c r="E16716" t="s">
        <v>12</v>
      </c>
      <c r="F16716">
        <v>52098815</v>
      </c>
      <c r="G16716">
        <v>52098842</v>
      </c>
      <c r="H16716">
        <v>52098852</v>
      </c>
      <c r="I16716">
        <v>52098875</v>
      </c>
    </row>
    <row r="16717" spans="1:9" x14ac:dyDescent="0.2">
      <c r="A16717" t="str">
        <f>"Ppp2cb"</f>
        <v>Ppp2cb</v>
      </c>
      <c r="B16717" t="s">
        <v>14</v>
      </c>
      <c r="C16717" t="s">
        <v>30</v>
      </c>
      <c r="D16717" t="s">
        <v>17</v>
      </c>
      <c r="E16717" t="s">
        <v>12</v>
      </c>
      <c r="F16717">
        <v>33599608</v>
      </c>
      <c r="G16717">
        <v>33599655</v>
      </c>
      <c r="H16717">
        <v>33599593</v>
      </c>
      <c r="I16717">
        <v>33599606</v>
      </c>
    </row>
    <row r="16718" spans="1:9" x14ac:dyDescent="0.2">
      <c r="A16718" t="str">
        <f>"Ppp2r1a"</f>
        <v>Ppp2r1a</v>
      </c>
      <c r="B16718" t="s">
        <v>14</v>
      </c>
      <c r="C16718" t="s">
        <v>28</v>
      </c>
      <c r="D16718" t="s">
        <v>17</v>
      </c>
      <c r="E16718" t="s">
        <v>12</v>
      </c>
      <c r="F16718">
        <v>20945407</v>
      </c>
      <c r="G16718">
        <v>20945508</v>
      </c>
      <c r="H16718">
        <v>20945333</v>
      </c>
      <c r="I16718">
        <v>20945355</v>
      </c>
    </row>
    <row r="16719" spans="1:9" x14ac:dyDescent="0.2">
      <c r="A16719" t="str">
        <f>"Ppp2r1b"</f>
        <v>Ppp2r1b</v>
      </c>
      <c r="B16719" t="s">
        <v>14</v>
      </c>
      <c r="C16719" t="s">
        <v>24</v>
      </c>
      <c r="D16719" t="s">
        <v>17</v>
      </c>
      <c r="E16719" t="s">
        <v>12</v>
      </c>
      <c r="F16719">
        <v>50856938</v>
      </c>
      <c r="G16719">
        <v>50856987</v>
      </c>
      <c r="H16719">
        <v>50856614</v>
      </c>
      <c r="I16719">
        <v>50856637</v>
      </c>
    </row>
    <row r="16720" spans="1:9" x14ac:dyDescent="0.2">
      <c r="A16720" t="str">
        <f>"Ppp2r2a"</f>
        <v>Ppp2r2a</v>
      </c>
      <c r="B16720" t="s">
        <v>14</v>
      </c>
      <c r="C16720" t="s">
        <v>41</v>
      </c>
      <c r="D16720" t="s">
        <v>11</v>
      </c>
      <c r="E16720" t="s">
        <v>12</v>
      </c>
      <c r="F16720">
        <v>67072417</v>
      </c>
      <c r="G16720">
        <v>67072461</v>
      </c>
      <c r="H16720">
        <v>67072465</v>
      </c>
      <c r="I16720">
        <v>67072476</v>
      </c>
    </row>
    <row r="16721" spans="1:9" x14ac:dyDescent="0.2">
      <c r="A16721" t="str">
        <f>"Ppp2r2b"</f>
        <v>Ppp2r2b</v>
      </c>
      <c r="B16721" t="s">
        <v>5612</v>
      </c>
      <c r="C16721" t="s">
        <v>43</v>
      </c>
      <c r="D16721" t="s">
        <v>11</v>
      </c>
      <c r="E16721" t="s">
        <v>35</v>
      </c>
      <c r="F16721">
        <v>43059527</v>
      </c>
      <c r="G16721">
        <v>43059538</v>
      </c>
      <c r="H16721">
        <v>43059418</v>
      </c>
      <c r="I16721">
        <v>43059466</v>
      </c>
    </row>
    <row r="16722" spans="1:9" x14ac:dyDescent="0.2">
      <c r="A16722" t="str">
        <f>"Ppp2r2c"</f>
        <v>Ppp2r2c</v>
      </c>
      <c r="B16722" t="s">
        <v>14</v>
      </c>
      <c r="C16722" t="s">
        <v>46</v>
      </c>
      <c r="D16722" t="s">
        <v>17</v>
      </c>
      <c r="E16722" t="s">
        <v>12</v>
      </c>
      <c r="F16722">
        <v>36868467</v>
      </c>
      <c r="G16722">
        <v>36868560</v>
      </c>
      <c r="H16722">
        <v>36868584</v>
      </c>
      <c r="I16722">
        <v>36868685</v>
      </c>
    </row>
    <row r="16723" spans="1:9" x14ac:dyDescent="0.2">
      <c r="A16723" t="str">
        <f>"Ppp2r2d"</f>
        <v>Ppp2r2d</v>
      </c>
      <c r="B16723" t="s">
        <v>14</v>
      </c>
      <c r="C16723" t="s">
        <v>33</v>
      </c>
      <c r="D16723" t="s">
        <v>17</v>
      </c>
      <c r="E16723" t="s">
        <v>12</v>
      </c>
      <c r="F16723">
        <v>138846335</v>
      </c>
      <c r="G16723">
        <v>138846371</v>
      </c>
      <c r="H16723">
        <v>138846381</v>
      </c>
      <c r="I16723">
        <v>138846429</v>
      </c>
    </row>
    <row r="16724" spans="1:9" x14ac:dyDescent="0.2">
      <c r="A16724" t="str">
        <f>"Ppp2r3a"</f>
        <v>Ppp2r3a</v>
      </c>
      <c r="B16724" t="s">
        <v>5613</v>
      </c>
      <c r="C16724" t="s">
        <v>24</v>
      </c>
      <c r="D16724" t="s">
        <v>11</v>
      </c>
      <c r="E16724" t="s">
        <v>35</v>
      </c>
      <c r="F16724">
        <v>101251841</v>
      </c>
      <c r="G16724">
        <v>101251852</v>
      </c>
      <c r="H16724">
        <v>101251714</v>
      </c>
      <c r="I16724">
        <v>101251726</v>
      </c>
    </row>
    <row r="16725" spans="1:9" x14ac:dyDescent="0.2">
      <c r="A16725" t="str">
        <f>"Ppp2r3c"</f>
        <v>Ppp2r3c</v>
      </c>
      <c r="B16725" t="s">
        <v>14</v>
      </c>
      <c r="C16725" t="s">
        <v>16</v>
      </c>
      <c r="D16725" t="s">
        <v>11</v>
      </c>
      <c r="E16725" t="s">
        <v>12</v>
      </c>
      <c r="F16725">
        <v>55302645</v>
      </c>
      <c r="G16725">
        <v>55302725</v>
      </c>
      <c r="H16725">
        <v>55302974</v>
      </c>
      <c r="I16725">
        <v>55303014</v>
      </c>
    </row>
    <row r="16726" spans="1:9" x14ac:dyDescent="0.2">
      <c r="A16726" t="str">
        <f>"Ppp2r3d"</f>
        <v>Ppp2r3d</v>
      </c>
      <c r="B16726" t="s">
        <v>5614</v>
      </c>
      <c r="C16726" t="s">
        <v>24</v>
      </c>
      <c r="D16726" t="s">
        <v>11</v>
      </c>
      <c r="E16726" t="s">
        <v>20</v>
      </c>
      <c r="F16726">
        <v>124424153</v>
      </c>
      <c r="G16726">
        <v>124424153</v>
      </c>
      <c r="H16726">
        <v>124424153</v>
      </c>
      <c r="I16726">
        <v>124424153</v>
      </c>
    </row>
    <row r="16727" spans="1:9" x14ac:dyDescent="0.2">
      <c r="A16727" t="str">
        <f>"Ppp2r4"</f>
        <v>Ppp2r4</v>
      </c>
      <c r="B16727" t="s">
        <v>14</v>
      </c>
      <c r="C16727" t="s">
        <v>26</v>
      </c>
      <c r="D16727" t="s">
        <v>17</v>
      </c>
      <c r="E16727" t="s">
        <v>12</v>
      </c>
      <c r="F16727">
        <v>30416031</v>
      </c>
      <c r="G16727">
        <v>30416077</v>
      </c>
      <c r="H16727">
        <v>30416096</v>
      </c>
      <c r="I16727">
        <v>30416147</v>
      </c>
    </row>
    <row r="16728" spans="1:9" x14ac:dyDescent="0.2">
      <c r="A16728" t="str">
        <f>"Ppp2r5a"</f>
        <v>Ppp2r5a</v>
      </c>
      <c r="B16728" t="s">
        <v>14</v>
      </c>
      <c r="C16728" t="s">
        <v>19</v>
      </c>
      <c r="D16728" t="s">
        <v>11</v>
      </c>
      <c r="E16728" t="s">
        <v>12</v>
      </c>
      <c r="F16728">
        <v>191397044</v>
      </c>
      <c r="G16728">
        <v>191397061</v>
      </c>
      <c r="H16728">
        <v>191397026</v>
      </c>
      <c r="I16728">
        <v>191397041</v>
      </c>
    </row>
    <row r="16729" spans="1:9" x14ac:dyDescent="0.2">
      <c r="A16729" t="str">
        <f>"Ppp2r5b"</f>
        <v>Ppp2r5b</v>
      </c>
      <c r="B16729" t="s">
        <v>14</v>
      </c>
      <c r="C16729" t="s">
        <v>10</v>
      </c>
      <c r="D16729" t="s">
        <v>11</v>
      </c>
      <c r="E16729" t="s">
        <v>12</v>
      </c>
      <c r="F16729">
        <v>6235804</v>
      </c>
      <c r="G16729">
        <v>6235860</v>
      </c>
      <c r="H16729">
        <v>6235804</v>
      </c>
      <c r="I16729">
        <v>6235860</v>
      </c>
    </row>
    <row r="16730" spans="1:9" x14ac:dyDescent="0.2">
      <c r="A16730" t="str">
        <f>"Ppp2r5c"</f>
        <v>Ppp2r5c</v>
      </c>
      <c r="B16730" t="s">
        <v>14</v>
      </c>
      <c r="C16730" t="s">
        <v>16</v>
      </c>
      <c r="D16730" t="s">
        <v>17</v>
      </c>
      <c r="E16730" t="s">
        <v>12</v>
      </c>
      <c r="F16730">
        <v>110485710</v>
      </c>
      <c r="G16730">
        <v>110485755</v>
      </c>
      <c r="H16730">
        <v>110485789</v>
      </c>
      <c r="I16730">
        <v>110485806</v>
      </c>
    </row>
    <row r="16731" spans="1:9" x14ac:dyDescent="0.2">
      <c r="A16731" t="str">
        <f>"Ppp2r5d"</f>
        <v>Ppp2r5d</v>
      </c>
      <c r="B16731" t="s">
        <v>14</v>
      </c>
      <c r="C16731" t="s">
        <v>28</v>
      </c>
      <c r="D16731" t="s">
        <v>11</v>
      </c>
      <c r="E16731" t="s">
        <v>12</v>
      </c>
      <c r="F16731">
        <v>46704902</v>
      </c>
      <c r="G16731">
        <v>46705000</v>
      </c>
      <c r="H16731">
        <v>46705002</v>
      </c>
      <c r="I16731">
        <v>46705013</v>
      </c>
    </row>
    <row r="16732" spans="1:9" x14ac:dyDescent="0.2">
      <c r="A16732" t="str">
        <f>"Ppp2r5e"</f>
        <v>Ppp2r5e</v>
      </c>
      <c r="B16732" t="s">
        <v>14</v>
      </c>
      <c r="C16732" t="s">
        <v>16</v>
      </c>
      <c r="D16732" t="s">
        <v>11</v>
      </c>
      <c r="E16732" t="s">
        <v>12</v>
      </c>
      <c r="F16732">
        <v>75596195</v>
      </c>
      <c r="G16732">
        <v>75596261</v>
      </c>
      <c r="H16732">
        <v>75596180</v>
      </c>
      <c r="I16732">
        <v>75596194</v>
      </c>
    </row>
    <row r="16733" spans="1:9" x14ac:dyDescent="0.2">
      <c r="A16733" t="str">
        <f>"Ppp3ca"</f>
        <v>Ppp3ca</v>
      </c>
      <c r="B16733" t="s">
        <v>14</v>
      </c>
      <c r="C16733" t="s">
        <v>22</v>
      </c>
      <c r="D16733" t="s">
        <v>17</v>
      </c>
      <c r="E16733" t="s">
        <v>12</v>
      </c>
      <c r="F16733">
        <v>136670076</v>
      </c>
      <c r="G16733">
        <v>136670186</v>
      </c>
      <c r="H16733">
        <v>136670679</v>
      </c>
      <c r="I16733">
        <v>136670728</v>
      </c>
    </row>
    <row r="16734" spans="1:9" x14ac:dyDescent="0.2">
      <c r="A16734" t="str">
        <f>"Ppp3cb"</f>
        <v>Ppp3cb</v>
      </c>
      <c r="B16734" t="s">
        <v>14</v>
      </c>
      <c r="C16734" t="s">
        <v>41</v>
      </c>
      <c r="D16734" t="s">
        <v>11</v>
      </c>
      <c r="E16734" t="s">
        <v>12</v>
      </c>
      <c r="F16734">
        <v>20546517</v>
      </c>
      <c r="G16734">
        <v>20546582</v>
      </c>
      <c r="H16734">
        <v>20546462</v>
      </c>
      <c r="I16734">
        <v>20546481</v>
      </c>
    </row>
    <row r="16735" spans="1:9" x14ac:dyDescent="0.2">
      <c r="A16735" t="str">
        <f>"Ppp3cc"</f>
        <v>Ppp3cc</v>
      </c>
      <c r="B16735" t="s">
        <v>14</v>
      </c>
      <c r="C16735" t="s">
        <v>41</v>
      </c>
      <c r="D16735" t="s">
        <v>11</v>
      </c>
      <c r="E16735" t="s">
        <v>12</v>
      </c>
      <c r="F16735">
        <v>70289430</v>
      </c>
      <c r="G16735">
        <v>70289509</v>
      </c>
      <c r="H16735">
        <v>70289416</v>
      </c>
      <c r="I16735">
        <v>70289429</v>
      </c>
    </row>
    <row r="16736" spans="1:9" x14ac:dyDescent="0.2">
      <c r="A16736" t="str">
        <f>"Ppp3r1"</f>
        <v>Ppp3r1</v>
      </c>
      <c r="B16736" t="s">
        <v>14</v>
      </c>
      <c r="C16736" t="s">
        <v>27</v>
      </c>
      <c r="D16736" t="s">
        <v>17</v>
      </c>
      <c r="E16736" t="s">
        <v>12</v>
      </c>
      <c r="F16736">
        <v>17159274</v>
      </c>
      <c r="G16736">
        <v>17159357</v>
      </c>
      <c r="H16736">
        <v>17159274</v>
      </c>
      <c r="I16736">
        <v>17159357</v>
      </c>
    </row>
    <row r="16737" spans="1:9" x14ac:dyDescent="0.2">
      <c r="A16737" t="str">
        <f>"Ppp3r2"</f>
        <v>Ppp3r2</v>
      </c>
      <c r="B16737" t="s">
        <v>14</v>
      </c>
      <c r="C16737" t="s">
        <v>23</v>
      </c>
      <c r="D16737" t="s">
        <v>11</v>
      </c>
      <c r="E16737" t="s">
        <v>12</v>
      </c>
      <c r="F16737">
        <v>49681956</v>
      </c>
      <c r="G16737">
        <v>49682038</v>
      </c>
      <c r="H16737">
        <v>49681956</v>
      </c>
      <c r="I16737">
        <v>49682038</v>
      </c>
    </row>
    <row r="16738" spans="1:9" x14ac:dyDescent="0.2">
      <c r="A16738" t="str">
        <f>"Ppp4c"</f>
        <v>Ppp4c</v>
      </c>
      <c r="B16738" t="s">
        <v>14</v>
      </c>
      <c r="C16738" t="s">
        <v>33</v>
      </c>
      <c r="D16738" t="s">
        <v>11</v>
      </c>
      <c r="E16738" t="s">
        <v>12</v>
      </c>
      <c r="F16738">
        <v>126792485</v>
      </c>
      <c r="G16738">
        <v>126792539</v>
      </c>
      <c r="H16738">
        <v>126792446</v>
      </c>
      <c r="I16738">
        <v>126792455</v>
      </c>
    </row>
    <row r="16739" spans="1:9" x14ac:dyDescent="0.2">
      <c r="A16739" t="str">
        <f>"Ppp4r1"</f>
        <v>Ppp4r1</v>
      </c>
      <c r="B16739" t="s">
        <v>14</v>
      </c>
      <c r="C16739" t="s">
        <v>28</v>
      </c>
      <c r="D16739" t="s">
        <v>17</v>
      </c>
      <c r="E16739" t="s">
        <v>12</v>
      </c>
      <c r="F16739">
        <v>65783012</v>
      </c>
      <c r="G16739">
        <v>65783104</v>
      </c>
      <c r="H16739">
        <v>65783106</v>
      </c>
      <c r="I16739">
        <v>65783177</v>
      </c>
    </row>
    <row r="16740" spans="1:9" x14ac:dyDescent="0.2">
      <c r="A16740" t="str">
        <f>"Ppp4r2"</f>
        <v>Ppp4r2</v>
      </c>
      <c r="B16740" t="s">
        <v>14</v>
      </c>
      <c r="C16740" t="s">
        <v>32</v>
      </c>
      <c r="D16740" t="s">
        <v>17</v>
      </c>
      <c r="E16740" t="s">
        <v>12</v>
      </c>
      <c r="F16740">
        <v>100833606</v>
      </c>
      <c r="G16740">
        <v>100833663</v>
      </c>
      <c r="H16740">
        <v>100833606</v>
      </c>
      <c r="I16740">
        <v>100833663</v>
      </c>
    </row>
    <row r="16741" spans="1:9" x14ac:dyDescent="0.2">
      <c r="A16741" t="str">
        <f>"Ppp4r4"</f>
        <v>Ppp4r4</v>
      </c>
      <c r="B16741" t="s">
        <v>14</v>
      </c>
      <c r="C16741" t="s">
        <v>16</v>
      </c>
      <c r="D16741" t="s">
        <v>17</v>
      </c>
      <c r="E16741" t="s">
        <v>12</v>
      </c>
      <c r="F16741">
        <v>103532435</v>
      </c>
      <c r="G16741">
        <v>103532485</v>
      </c>
      <c r="H16741">
        <v>103532487</v>
      </c>
      <c r="I16741">
        <v>103532502</v>
      </c>
    </row>
    <row r="16742" spans="1:9" x14ac:dyDescent="0.2">
      <c r="A16742" t="str">
        <f>"Ppp5c"</f>
        <v>Ppp5c</v>
      </c>
      <c r="B16742" t="s">
        <v>14</v>
      </c>
      <c r="C16742" t="s">
        <v>33</v>
      </c>
      <c r="D16742" t="s">
        <v>11</v>
      </c>
      <c r="E16742" t="s">
        <v>12</v>
      </c>
      <c r="F16742">
        <v>17027807</v>
      </c>
      <c r="G16742">
        <v>17027846</v>
      </c>
      <c r="H16742">
        <v>17027853</v>
      </c>
      <c r="I16742">
        <v>17027921</v>
      </c>
    </row>
    <row r="16743" spans="1:9" x14ac:dyDescent="0.2">
      <c r="A16743" t="str">
        <f>"Ppp6c"</f>
        <v>Ppp6c</v>
      </c>
      <c r="B16743" t="s">
        <v>14</v>
      </c>
      <c r="C16743" t="s">
        <v>26</v>
      </c>
      <c r="D16743" t="s">
        <v>11</v>
      </c>
      <c r="E16743" t="s">
        <v>12</v>
      </c>
      <c r="F16743">
        <v>39226272</v>
      </c>
      <c r="G16743">
        <v>39226332</v>
      </c>
      <c r="H16743">
        <v>39226244</v>
      </c>
      <c r="I16743">
        <v>39226263</v>
      </c>
    </row>
    <row r="16744" spans="1:9" x14ac:dyDescent="0.2">
      <c r="A16744" t="str">
        <f>"Ppp6r1"</f>
        <v>Ppp6r1</v>
      </c>
      <c r="B16744" t="s">
        <v>14</v>
      </c>
      <c r="C16744" t="s">
        <v>33</v>
      </c>
      <c r="D16744" t="s">
        <v>11</v>
      </c>
      <c r="E16744" t="s">
        <v>12</v>
      </c>
      <c r="F16744">
        <v>4658983</v>
      </c>
      <c r="G16744">
        <v>4659026</v>
      </c>
      <c r="H16744">
        <v>4658555</v>
      </c>
      <c r="I16744">
        <v>4658605</v>
      </c>
    </row>
    <row r="16745" spans="1:9" x14ac:dyDescent="0.2">
      <c r="A16745" t="str">
        <f>"Ppp6r2"</f>
        <v>Ppp6r2</v>
      </c>
      <c r="B16745" t="s">
        <v>5615</v>
      </c>
      <c r="C16745" t="s">
        <v>25</v>
      </c>
      <c r="D16745" t="s">
        <v>17</v>
      </c>
      <c r="E16745" t="s">
        <v>20</v>
      </c>
      <c r="F16745">
        <v>89253034</v>
      </c>
      <c r="G16745">
        <v>89253034</v>
      </c>
      <c r="H16745">
        <v>89253034</v>
      </c>
      <c r="I16745">
        <v>89253034</v>
      </c>
    </row>
    <row r="16746" spans="1:9" x14ac:dyDescent="0.2">
      <c r="A16746" t="str">
        <f>"Ppp6r3"</f>
        <v>Ppp6r3</v>
      </c>
      <c r="B16746" t="s">
        <v>14</v>
      </c>
      <c r="C16746" t="s">
        <v>10</v>
      </c>
      <c r="D16746" t="s">
        <v>11</v>
      </c>
      <c r="E16746" t="s">
        <v>12</v>
      </c>
      <c r="F16746">
        <v>3575708</v>
      </c>
      <c r="G16746">
        <v>3575756</v>
      </c>
      <c r="H16746">
        <v>3575702</v>
      </c>
      <c r="I16746">
        <v>3575705</v>
      </c>
    </row>
    <row r="16747" spans="1:9" x14ac:dyDescent="0.2">
      <c r="A16747" t="str">
        <f>"Pprc1"</f>
        <v>Pprc1</v>
      </c>
      <c r="B16747" t="s">
        <v>14</v>
      </c>
      <c r="C16747" t="s">
        <v>10</v>
      </c>
      <c r="D16747" t="s">
        <v>17</v>
      </c>
      <c r="E16747" t="s">
        <v>12</v>
      </c>
      <c r="F16747">
        <v>46056554</v>
      </c>
      <c r="G16747">
        <v>46056586</v>
      </c>
      <c r="H16747">
        <v>46057221</v>
      </c>
      <c r="I16747">
        <v>46057271</v>
      </c>
    </row>
    <row r="16748" spans="1:9" x14ac:dyDescent="0.2">
      <c r="A16748" t="str">
        <f>"Ppt1"</f>
        <v>Ppt1</v>
      </c>
      <c r="B16748" t="s">
        <v>14</v>
      </c>
      <c r="C16748" t="s">
        <v>23</v>
      </c>
      <c r="D16748" t="s">
        <v>17</v>
      </c>
      <c r="E16748" t="s">
        <v>12</v>
      </c>
      <c r="F16748">
        <v>122836236</v>
      </c>
      <c r="G16748">
        <v>122836259</v>
      </c>
      <c r="H16748">
        <v>122836236</v>
      </c>
      <c r="I16748">
        <v>122836259</v>
      </c>
    </row>
    <row r="16749" spans="1:9" x14ac:dyDescent="0.2">
      <c r="A16749" t="str">
        <f>"Ppt2"</f>
        <v>Ppt2</v>
      </c>
      <c r="B16749" t="s">
        <v>14</v>
      </c>
      <c r="C16749" t="s">
        <v>28</v>
      </c>
      <c r="D16749" t="s">
        <v>11</v>
      </c>
      <c r="E16749" t="s">
        <v>12</v>
      </c>
      <c r="F16749">
        <v>34627365</v>
      </c>
      <c r="G16749">
        <v>34627451</v>
      </c>
      <c r="H16749">
        <v>34627365</v>
      </c>
      <c r="I16749">
        <v>34627451</v>
      </c>
    </row>
    <row r="16750" spans="1:9" x14ac:dyDescent="0.2">
      <c r="A16750" t="str">
        <f>"Pptc7"</f>
        <v>Pptc7</v>
      </c>
      <c r="B16750" t="s">
        <v>14</v>
      </c>
      <c r="C16750" t="s">
        <v>46</v>
      </c>
      <c r="D16750" t="s">
        <v>17</v>
      </c>
      <c r="E16750" t="s">
        <v>12</v>
      </c>
      <c r="F16750">
        <v>122284372</v>
      </c>
      <c r="G16750">
        <v>122284397</v>
      </c>
      <c r="H16750">
        <v>122284372</v>
      </c>
      <c r="I16750">
        <v>122284397</v>
      </c>
    </row>
    <row r="16751" spans="1:9" x14ac:dyDescent="0.2">
      <c r="A16751" t="str">
        <f>"Ppwd1"</f>
        <v>Ppwd1</v>
      </c>
      <c r="B16751" t="s">
        <v>14</v>
      </c>
      <c r="C16751" t="s">
        <v>39</v>
      </c>
      <c r="D16751" t="s">
        <v>11</v>
      </c>
      <c r="E16751" t="s">
        <v>12</v>
      </c>
      <c r="F16751">
        <v>104228802</v>
      </c>
      <c r="G16751">
        <v>104228828</v>
      </c>
      <c r="H16751">
        <v>104228833</v>
      </c>
      <c r="I16751">
        <v>104228849</v>
      </c>
    </row>
    <row r="16752" spans="1:9" x14ac:dyDescent="0.2">
      <c r="A16752" t="str">
        <f>"Ppy"</f>
        <v>Ppy</v>
      </c>
      <c r="B16752" t="s">
        <v>14</v>
      </c>
      <c r="C16752" t="s">
        <v>27</v>
      </c>
      <c r="D16752" t="s">
        <v>11</v>
      </c>
      <c r="E16752" t="s">
        <v>12</v>
      </c>
      <c r="F16752">
        <v>102101317</v>
      </c>
      <c r="G16752">
        <v>102101321</v>
      </c>
      <c r="H16752">
        <v>102101317</v>
      </c>
      <c r="I16752">
        <v>102101321</v>
      </c>
    </row>
    <row r="16753" spans="1:9" x14ac:dyDescent="0.2">
      <c r="A16753" t="str">
        <f>"Pqbp1"</f>
        <v>Pqbp1</v>
      </c>
      <c r="B16753" t="s">
        <v>14</v>
      </c>
      <c r="C16753" t="s">
        <v>37</v>
      </c>
      <c r="D16753" t="s">
        <v>11</v>
      </c>
      <c r="E16753" t="s">
        <v>12</v>
      </c>
      <c r="F16753">
        <v>7899220</v>
      </c>
      <c r="G16753">
        <v>7899271</v>
      </c>
      <c r="H16753">
        <v>7898864</v>
      </c>
      <c r="I16753">
        <v>7898912</v>
      </c>
    </row>
    <row r="16754" spans="1:9" x14ac:dyDescent="0.2">
      <c r="A16754" t="str">
        <f>"Pqlc1"</f>
        <v>Pqlc1</v>
      </c>
      <c r="B16754" t="s">
        <v>14</v>
      </c>
      <c r="C16754" t="s">
        <v>43</v>
      </c>
      <c r="D16754" t="s">
        <v>17</v>
      </c>
      <c r="E16754" t="s">
        <v>12</v>
      </c>
      <c r="F16754">
        <v>80256249</v>
      </c>
      <c r="G16754">
        <v>80256297</v>
      </c>
      <c r="H16754">
        <v>80256300</v>
      </c>
      <c r="I16754">
        <v>80256326</v>
      </c>
    </row>
    <row r="16755" spans="1:9" x14ac:dyDescent="0.2">
      <c r="A16755" t="str">
        <f>"Pqlc2"</f>
        <v>Pqlc2</v>
      </c>
      <c r="B16755" t="s">
        <v>14</v>
      </c>
      <c r="C16755" t="s">
        <v>23</v>
      </c>
      <c r="D16755" t="s">
        <v>11</v>
      </c>
      <c r="E16755" t="s">
        <v>12</v>
      </c>
      <c r="F16755">
        <v>139310665</v>
      </c>
      <c r="G16755">
        <v>139310702</v>
      </c>
      <c r="H16755">
        <v>139310646</v>
      </c>
      <c r="I16755">
        <v>139310664</v>
      </c>
    </row>
    <row r="16756" spans="1:9" x14ac:dyDescent="0.2">
      <c r="A16756" t="str">
        <f>"Pqlc3"</f>
        <v>Pqlc3</v>
      </c>
      <c r="B16756" t="s">
        <v>14</v>
      </c>
      <c r="C16756" t="s">
        <v>16</v>
      </c>
      <c r="D16756" t="s">
        <v>11</v>
      </c>
      <c r="E16756" t="s">
        <v>12</v>
      </c>
      <c r="F16756">
        <v>16999991</v>
      </c>
      <c r="G16756">
        <v>17000071</v>
      </c>
      <c r="H16756">
        <v>16999964</v>
      </c>
      <c r="I16756">
        <v>16999977</v>
      </c>
    </row>
    <row r="16757" spans="1:9" x14ac:dyDescent="0.2">
      <c r="A16757" t="str">
        <f>"Pradc1"</f>
        <v>Pradc1</v>
      </c>
      <c r="B16757" t="s">
        <v>14</v>
      </c>
      <c r="C16757" t="s">
        <v>32</v>
      </c>
      <c r="D16757" t="s">
        <v>11</v>
      </c>
      <c r="E16757" t="s">
        <v>67</v>
      </c>
      <c r="F16757">
        <v>85451222</v>
      </c>
      <c r="G16757">
        <v>85451309</v>
      </c>
      <c r="H16757">
        <v>85451222</v>
      </c>
      <c r="I16757">
        <v>85451309</v>
      </c>
    </row>
    <row r="16758" spans="1:9" x14ac:dyDescent="0.2">
      <c r="A16758" t="str">
        <f>"Praf2"</f>
        <v>Praf2</v>
      </c>
      <c r="B16758" t="s">
        <v>14</v>
      </c>
      <c r="C16758" t="s">
        <v>37</v>
      </c>
      <c r="D16758" t="s">
        <v>17</v>
      </c>
      <c r="E16758" t="s">
        <v>12</v>
      </c>
      <c r="F16758">
        <v>7728546</v>
      </c>
      <c r="G16758">
        <v>7728579</v>
      </c>
      <c r="H16758">
        <v>7728534</v>
      </c>
      <c r="I16758">
        <v>7728545</v>
      </c>
    </row>
    <row r="16759" spans="1:9" x14ac:dyDescent="0.2">
      <c r="A16759" t="str">
        <f>"Pram1"</f>
        <v>Pram1</v>
      </c>
      <c r="B16759" t="s">
        <v>14</v>
      </c>
      <c r="C16759" t="s">
        <v>28</v>
      </c>
      <c r="D16759" t="s">
        <v>17</v>
      </c>
      <c r="E16759" t="s">
        <v>12</v>
      </c>
      <c r="F16759">
        <v>33638089</v>
      </c>
      <c r="G16759">
        <v>33638110</v>
      </c>
      <c r="H16759">
        <v>33638130</v>
      </c>
      <c r="I16759">
        <v>33638141</v>
      </c>
    </row>
    <row r="16760" spans="1:9" x14ac:dyDescent="0.2">
      <c r="A16760" t="str">
        <f>"Prame"</f>
        <v>Prame</v>
      </c>
      <c r="B16760" t="s">
        <v>14</v>
      </c>
      <c r="C16760" t="s">
        <v>37</v>
      </c>
      <c r="D16760" t="s">
        <v>11</v>
      </c>
      <c r="E16760" t="s">
        <v>12</v>
      </c>
      <c r="F16760">
        <v>135627682</v>
      </c>
      <c r="G16760">
        <v>135627693</v>
      </c>
      <c r="H16760">
        <v>135627682</v>
      </c>
      <c r="I16760">
        <v>135627693</v>
      </c>
    </row>
    <row r="16761" spans="1:9" x14ac:dyDescent="0.2">
      <c r="A16761" t="str">
        <f>"Pramef12"</f>
        <v>Pramef12</v>
      </c>
      <c r="B16761" t="s">
        <v>14</v>
      </c>
      <c r="C16761" t="s">
        <v>23</v>
      </c>
      <c r="D16761" t="s">
        <v>11</v>
      </c>
      <c r="E16761" t="s">
        <v>12</v>
      </c>
      <c r="F16761">
        <v>144408397</v>
      </c>
      <c r="G16761">
        <v>144408440</v>
      </c>
      <c r="H16761">
        <v>144408397</v>
      </c>
      <c r="I16761">
        <v>144408440</v>
      </c>
    </row>
    <row r="16762" spans="1:9" x14ac:dyDescent="0.2">
      <c r="A16762" t="str">
        <f>"Pramef17"</f>
        <v>Pramef17</v>
      </c>
      <c r="B16762" t="s">
        <v>5616</v>
      </c>
      <c r="C16762" t="s">
        <v>23</v>
      </c>
      <c r="D16762" t="s">
        <v>11</v>
      </c>
      <c r="E16762" t="s">
        <v>20</v>
      </c>
      <c r="F16762">
        <v>143994368</v>
      </c>
      <c r="G16762">
        <v>143994368</v>
      </c>
      <c r="H16762">
        <v>143994368</v>
      </c>
      <c r="I16762">
        <v>143994368</v>
      </c>
    </row>
    <row r="16763" spans="1:9" x14ac:dyDescent="0.2">
      <c r="A16763" t="str">
        <f>"Pramef6"</f>
        <v>Pramef6</v>
      </c>
      <c r="B16763" t="s">
        <v>5617</v>
      </c>
      <c r="C16763" t="s">
        <v>23</v>
      </c>
      <c r="D16763" t="s">
        <v>11</v>
      </c>
      <c r="E16763" t="s">
        <v>20</v>
      </c>
      <c r="F16763">
        <v>143900379</v>
      </c>
      <c r="G16763">
        <v>143900379</v>
      </c>
      <c r="H16763">
        <v>143900379</v>
      </c>
      <c r="I16763">
        <v>143900379</v>
      </c>
    </row>
    <row r="16764" spans="1:9" x14ac:dyDescent="0.2">
      <c r="A16764" t="str">
        <f>"Pramef6"</f>
        <v>Pramef6</v>
      </c>
      <c r="B16764" t="s">
        <v>5618</v>
      </c>
      <c r="C16764" t="s">
        <v>23</v>
      </c>
      <c r="D16764" t="s">
        <v>11</v>
      </c>
      <c r="E16764" t="s">
        <v>20</v>
      </c>
      <c r="F16764">
        <v>143897980</v>
      </c>
      <c r="G16764">
        <v>143897980</v>
      </c>
      <c r="H16764">
        <v>143897980</v>
      </c>
      <c r="I16764">
        <v>143897980</v>
      </c>
    </row>
    <row r="16765" spans="1:9" x14ac:dyDescent="0.2">
      <c r="A16765" t="str">
        <f>"Pramef8"</f>
        <v>Pramef8</v>
      </c>
      <c r="B16765" t="s">
        <v>14</v>
      </c>
      <c r="C16765" t="s">
        <v>23</v>
      </c>
      <c r="D16765" t="s">
        <v>17</v>
      </c>
      <c r="E16765" t="s">
        <v>12</v>
      </c>
      <c r="F16765">
        <v>143412920</v>
      </c>
      <c r="G16765">
        <v>143412983</v>
      </c>
      <c r="H16765">
        <v>143413002</v>
      </c>
      <c r="I16765">
        <v>143413014</v>
      </c>
    </row>
    <row r="16766" spans="1:9" x14ac:dyDescent="0.2">
      <c r="A16766" t="str">
        <f>"Pramel1"</f>
        <v>Pramel1</v>
      </c>
      <c r="B16766" t="s">
        <v>14</v>
      </c>
      <c r="C16766" t="s">
        <v>23</v>
      </c>
      <c r="D16766" t="s">
        <v>17</v>
      </c>
      <c r="E16766" t="s">
        <v>12</v>
      </c>
      <c r="F16766">
        <v>143394410</v>
      </c>
      <c r="G16766">
        <v>143394416</v>
      </c>
      <c r="H16766">
        <v>143394442</v>
      </c>
      <c r="I16766">
        <v>143394461</v>
      </c>
    </row>
    <row r="16767" spans="1:9" x14ac:dyDescent="0.2">
      <c r="A16767" t="str">
        <f>"Pramel3"</f>
        <v>Pramel3</v>
      </c>
      <c r="B16767" t="s">
        <v>5619</v>
      </c>
      <c r="C16767" t="s">
        <v>37</v>
      </c>
      <c r="D16767" t="s">
        <v>17</v>
      </c>
      <c r="E16767" t="s">
        <v>20</v>
      </c>
      <c r="F16767">
        <v>135302310</v>
      </c>
      <c r="G16767">
        <v>135302310</v>
      </c>
      <c r="H16767">
        <v>135302310</v>
      </c>
      <c r="I16767">
        <v>135302310</v>
      </c>
    </row>
    <row r="16768" spans="1:9" x14ac:dyDescent="0.2">
      <c r="A16768" t="str">
        <f>"Pramel4"</f>
        <v>Pramel4</v>
      </c>
      <c r="B16768" t="s">
        <v>5620</v>
      </c>
      <c r="C16768" t="s">
        <v>23</v>
      </c>
      <c r="D16768" t="s">
        <v>17</v>
      </c>
      <c r="E16768" t="s">
        <v>20</v>
      </c>
      <c r="F16768">
        <v>144059125</v>
      </c>
      <c r="G16768">
        <v>144059125</v>
      </c>
      <c r="H16768">
        <v>144059125</v>
      </c>
      <c r="I16768">
        <v>144059125</v>
      </c>
    </row>
    <row r="16769" spans="1:9" x14ac:dyDescent="0.2">
      <c r="A16769" t="str">
        <f>"Pramel4"</f>
        <v>Pramel4</v>
      </c>
      <c r="B16769" t="s">
        <v>5621</v>
      </c>
      <c r="C16769" t="s">
        <v>23</v>
      </c>
      <c r="D16769" t="s">
        <v>17</v>
      </c>
      <c r="E16769" t="s">
        <v>20</v>
      </c>
      <c r="F16769">
        <v>144065731</v>
      </c>
      <c r="G16769">
        <v>144065731</v>
      </c>
      <c r="H16769">
        <v>144065731</v>
      </c>
      <c r="I16769">
        <v>144065731</v>
      </c>
    </row>
    <row r="16770" spans="1:9" x14ac:dyDescent="0.2">
      <c r="A16770" t="str">
        <f>"Pramel5"</f>
        <v>Pramel5</v>
      </c>
      <c r="B16770" t="s">
        <v>5622</v>
      </c>
      <c r="C16770" t="s">
        <v>23</v>
      </c>
      <c r="D16770" t="s">
        <v>11</v>
      </c>
      <c r="E16770" t="s">
        <v>20</v>
      </c>
      <c r="F16770">
        <v>144280465</v>
      </c>
      <c r="G16770">
        <v>144280465</v>
      </c>
      <c r="H16770">
        <v>144280465</v>
      </c>
      <c r="I16770">
        <v>144280465</v>
      </c>
    </row>
    <row r="16771" spans="1:9" x14ac:dyDescent="0.2">
      <c r="A16771" t="str">
        <f>"Pramel5"</f>
        <v>Pramel5</v>
      </c>
      <c r="B16771" t="s">
        <v>5623</v>
      </c>
      <c r="C16771" t="s">
        <v>23</v>
      </c>
      <c r="D16771" t="s">
        <v>11</v>
      </c>
      <c r="E16771" t="s">
        <v>20</v>
      </c>
      <c r="F16771">
        <v>144274026</v>
      </c>
      <c r="G16771">
        <v>144274026</v>
      </c>
      <c r="H16771">
        <v>144274026</v>
      </c>
      <c r="I16771">
        <v>144274026</v>
      </c>
    </row>
    <row r="16772" spans="1:9" x14ac:dyDescent="0.2">
      <c r="A16772" t="str">
        <f>"Pramel6"</f>
        <v>Pramel6</v>
      </c>
      <c r="B16772" t="s">
        <v>5624</v>
      </c>
      <c r="C16772" t="s">
        <v>26</v>
      </c>
      <c r="D16772" t="s">
        <v>17</v>
      </c>
      <c r="E16772" t="s">
        <v>20</v>
      </c>
      <c r="F16772">
        <v>87508457</v>
      </c>
      <c r="G16772">
        <v>87508457</v>
      </c>
      <c r="H16772">
        <v>87508457</v>
      </c>
      <c r="I16772">
        <v>87508457</v>
      </c>
    </row>
    <row r="16773" spans="1:9" x14ac:dyDescent="0.2">
      <c r="A16773" t="str">
        <f>"Pramel6"</f>
        <v>Pramel6</v>
      </c>
      <c r="B16773" t="s">
        <v>5625</v>
      </c>
      <c r="C16773" t="s">
        <v>26</v>
      </c>
      <c r="D16773" t="s">
        <v>17</v>
      </c>
      <c r="E16773" t="s">
        <v>20</v>
      </c>
      <c r="F16773">
        <v>87507424</v>
      </c>
      <c r="G16773">
        <v>87507424</v>
      </c>
      <c r="H16773">
        <v>87507424</v>
      </c>
      <c r="I16773">
        <v>87507424</v>
      </c>
    </row>
    <row r="16774" spans="1:9" x14ac:dyDescent="0.2">
      <c r="A16774" t="str">
        <f>"Pramel7"</f>
        <v>Pramel7</v>
      </c>
      <c r="B16774" t="s">
        <v>5626</v>
      </c>
      <c r="C16774" t="s">
        <v>26</v>
      </c>
      <c r="D16774" t="s">
        <v>11</v>
      </c>
      <c r="E16774" t="s">
        <v>20</v>
      </c>
      <c r="F16774">
        <v>87492417</v>
      </c>
      <c r="G16774">
        <v>87492417</v>
      </c>
      <c r="H16774">
        <v>87492417</v>
      </c>
      <c r="I16774">
        <v>87492417</v>
      </c>
    </row>
    <row r="16775" spans="1:9" x14ac:dyDescent="0.2">
      <c r="A16775" t="str">
        <f>"Prap1"</f>
        <v>Prap1</v>
      </c>
      <c r="B16775" t="s">
        <v>14</v>
      </c>
      <c r="C16775" t="s">
        <v>33</v>
      </c>
      <c r="D16775" t="s">
        <v>17</v>
      </c>
      <c r="E16775" t="s">
        <v>12</v>
      </c>
      <c r="F16775">
        <v>140093388</v>
      </c>
      <c r="G16775">
        <v>140093402</v>
      </c>
      <c r="H16775">
        <v>140093404</v>
      </c>
      <c r="I16775">
        <v>140093415</v>
      </c>
    </row>
    <row r="16776" spans="1:9" x14ac:dyDescent="0.2">
      <c r="A16776" t="str">
        <f>"Prb1"</f>
        <v>Prb1</v>
      </c>
      <c r="B16776" t="s">
        <v>5627</v>
      </c>
      <c r="C16776" t="s">
        <v>32</v>
      </c>
      <c r="D16776" t="s">
        <v>11</v>
      </c>
      <c r="E16776" t="s">
        <v>20</v>
      </c>
      <c r="F16776">
        <v>132210515</v>
      </c>
      <c r="G16776">
        <v>132210515</v>
      </c>
      <c r="H16776">
        <v>132210515</v>
      </c>
      <c r="I16776">
        <v>132210515</v>
      </c>
    </row>
    <row r="16777" spans="1:9" x14ac:dyDescent="0.2">
      <c r="A16777" t="str">
        <f>"Prc1"</f>
        <v>Prc1</v>
      </c>
      <c r="B16777" t="s">
        <v>14</v>
      </c>
      <c r="C16777" t="s">
        <v>33</v>
      </c>
      <c r="D16777" t="s">
        <v>17</v>
      </c>
      <c r="E16777" t="s">
        <v>12</v>
      </c>
      <c r="F16777">
        <v>80294459</v>
      </c>
      <c r="G16777">
        <v>80294492</v>
      </c>
      <c r="H16777">
        <v>80294541</v>
      </c>
      <c r="I16777">
        <v>80294550</v>
      </c>
    </row>
    <row r="16778" spans="1:9" x14ac:dyDescent="0.2">
      <c r="A16778" t="str">
        <f>"Prcc"</f>
        <v>Prcc</v>
      </c>
      <c r="B16778" t="s">
        <v>14</v>
      </c>
      <c r="C16778" t="s">
        <v>22</v>
      </c>
      <c r="D16778" t="s">
        <v>11</v>
      </c>
      <c r="E16778" t="s">
        <v>12</v>
      </c>
      <c r="F16778">
        <v>87885558</v>
      </c>
      <c r="G16778">
        <v>87885608</v>
      </c>
      <c r="H16778">
        <v>87885678</v>
      </c>
      <c r="I16778">
        <v>87885689</v>
      </c>
    </row>
    <row r="16779" spans="1:9" x14ac:dyDescent="0.2">
      <c r="A16779" t="str">
        <f>"Prcp"</f>
        <v>Prcp</v>
      </c>
      <c r="B16779" t="s">
        <v>14</v>
      </c>
      <c r="C16779" t="s">
        <v>33</v>
      </c>
      <c r="D16779" t="s">
        <v>17</v>
      </c>
      <c r="E16779" t="s">
        <v>12</v>
      </c>
      <c r="F16779">
        <v>92875289</v>
      </c>
      <c r="G16779">
        <v>92875315</v>
      </c>
      <c r="H16779">
        <v>92875266</v>
      </c>
      <c r="I16779">
        <v>92875284</v>
      </c>
    </row>
    <row r="16780" spans="1:9" x14ac:dyDescent="0.2">
      <c r="A16780" t="str">
        <f>"Prdm1"</f>
        <v>Prdm1</v>
      </c>
      <c r="B16780" t="s">
        <v>14</v>
      </c>
      <c r="C16780" t="s">
        <v>15</v>
      </c>
      <c r="D16780" t="s">
        <v>11</v>
      </c>
      <c r="E16780" t="s">
        <v>12</v>
      </c>
      <c r="F16780">
        <v>44458715</v>
      </c>
      <c r="G16780">
        <v>44458751</v>
      </c>
      <c r="H16780">
        <v>44458569</v>
      </c>
      <c r="I16780">
        <v>44458584</v>
      </c>
    </row>
    <row r="16781" spans="1:9" x14ac:dyDescent="0.2">
      <c r="A16781" t="str">
        <f>"Prdm10"</f>
        <v>Prdm10</v>
      </c>
      <c r="B16781" t="s">
        <v>5628</v>
      </c>
      <c r="C16781" t="s">
        <v>24</v>
      </c>
      <c r="D16781" t="s">
        <v>17</v>
      </c>
      <c r="E16781" t="s">
        <v>20</v>
      </c>
      <c r="F16781">
        <v>31315106</v>
      </c>
      <c r="G16781">
        <v>31315106</v>
      </c>
      <c r="H16781">
        <v>31315106</v>
      </c>
      <c r="I16781">
        <v>31315106</v>
      </c>
    </row>
    <row r="16782" spans="1:9" x14ac:dyDescent="0.2">
      <c r="A16782" t="str">
        <f>"Prdm11"</f>
        <v>Prdm11</v>
      </c>
      <c r="B16782" t="s">
        <v>14</v>
      </c>
      <c r="C16782" t="s">
        <v>26</v>
      </c>
      <c r="D16782" t="s">
        <v>11</v>
      </c>
      <c r="E16782" t="s">
        <v>12</v>
      </c>
      <c r="F16782">
        <v>93046140</v>
      </c>
      <c r="G16782">
        <v>93046172</v>
      </c>
      <c r="H16782">
        <v>93046262</v>
      </c>
      <c r="I16782">
        <v>93046298</v>
      </c>
    </row>
    <row r="16783" spans="1:9" x14ac:dyDescent="0.2">
      <c r="A16783" t="str">
        <f>"Prdm12"</f>
        <v>Prdm12</v>
      </c>
      <c r="B16783" t="s">
        <v>14</v>
      </c>
      <c r="C16783" t="s">
        <v>26</v>
      </c>
      <c r="D16783" t="s">
        <v>17</v>
      </c>
      <c r="E16783" t="s">
        <v>12</v>
      </c>
      <c r="F16783">
        <v>31639717</v>
      </c>
      <c r="G16783">
        <v>31639723</v>
      </c>
      <c r="H16783">
        <v>31639771</v>
      </c>
      <c r="I16783">
        <v>31639772</v>
      </c>
    </row>
    <row r="16784" spans="1:9" x14ac:dyDescent="0.2">
      <c r="A16784" t="str">
        <f>"Prdm13"</f>
        <v>Prdm13</v>
      </c>
      <c r="B16784" t="s">
        <v>14</v>
      </c>
      <c r="C16784" t="s">
        <v>23</v>
      </c>
      <c r="D16784" t="s">
        <v>11</v>
      </c>
      <c r="E16784" t="s">
        <v>12</v>
      </c>
      <c r="F16784">
        <v>21685782</v>
      </c>
      <c r="G16784">
        <v>21685805</v>
      </c>
      <c r="H16784">
        <v>21685711</v>
      </c>
      <c r="I16784">
        <v>21685743</v>
      </c>
    </row>
    <row r="16785" spans="1:9" x14ac:dyDescent="0.2">
      <c r="A16785" t="str">
        <f>"Prdm14"</f>
        <v>Prdm14</v>
      </c>
      <c r="B16785" t="s">
        <v>14</v>
      </c>
      <c r="C16785" t="s">
        <v>19</v>
      </c>
      <c r="D16785" t="s">
        <v>11</v>
      </c>
      <c r="E16785" t="s">
        <v>12</v>
      </c>
      <c r="F16785">
        <v>13127226</v>
      </c>
      <c r="G16785">
        <v>13127245</v>
      </c>
      <c r="H16785">
        <v>13127226</v>
      </c>
      <c r="I16785">
        <v>13127245</v>
      </c>
    </row>
    <row r="16786" spans="1:9" x14ac:dyDescent="0.2">
      <c r="A16786" t="str">
        <f>"Prdm15"</f>
        <v>Prdm15</v>
      </c>
      <c r="B16786" t="s">
        <v>14</v>
      </c>
      <c r="C16786" t="s">
        <v>31</v>
      </c>
      <c r="D16786" t="s">
        <v>11</v>
      </c>
      <c r="E16786" t="s">
        <v>12</v>
      </c>
      <c r="F16786">
        <v>97851796</v>
      </c>
      <c r="G16786">
        <v>97851853</v>
      </c>
      <c r="H16786">
        <v>97851199</v>
      </c>
      <c r="I16786">
        <v>97851248</v>
      </c>
    </row>
    <row r="16787" spans="1:9" x14ac:dyDescent="0.2">
      <c r="A16787" t="str">
        <f>"Prdm16"</f>
        <v>Prdm16</v>
      </c>
      <c r="B16787" t="s">
        <v>14</v>
      </c>
      <c r="C16787" t="s">
        <v>23</v>
      </c>
      <c r="D16787" t="s">
        <v>11</v>
      </c>
      <c r="E16787" t="s">
        <v>12</v>
      </c>
      <c r="F16787">
        <v>154636809</v>
      </c>
      <c r="G16787">
        <v>154636822</v>
      </c>
      <c r="H16787">
        <v>154636300</v>
      </c>
      <c r="I16787">
        <v>154636357</v>
      </c>
    </row>
    <row r="16788" spans="1:9" x14ac:dyDescent="0.2">
      <c r="A16788" t="str">
        <f>"Prdm2"</f>
        <v>Prdm2</v>
      </c>
      <c r="B16788" t="s">
        <v>14</v>
      </c>
      <c r="C16788" t="s">
        <v>23</v>
      </c>
      <c r="D16788" t="s">
        <v>11</v>
      </c>
      <c r="E16788" t="s">
        <v>12</v>
      </c>
      <c r="F16788">
        <v>143212691</v>
      </c>
      <c r="G16788">
        <v>143212728</v>
      </c>
      <c r="H16788">
        <v>143212667</v>
      </c>
      <c r="I16788">
        <v>143212678</v>
      </c>
    </row>
    <row r="16789" spans="1:9" x14ac:dyDescent="0.2">
      <c r="A16789" t="str">
        <f>"Prdm4"</f>
        <v>Prdm4</v>
      </c>
      <c r="B16789" t="s">
        <v>14</v>
      </c>
      <c r="C16789" t="s">
        <v>15</v>
      </c>
      <c r="D16789" t="s">
        <v>11</v>
      </c>
      <c r="E16789" t="s">
        <v>12</v>
      </c>
      <c r="F16789">
        <v>85916902</v>
      </c>
      <c r="G16789">
        <v>85917006</v>
      </c>
      <c r="H16789">
        <v>85917069</v>
      </c>
      <c r="I16789">
        <v>85917099</v>
      </c>
    </row>
    <row r="16790" spans="1:9" x14ac:dyDescent="0.2">
      <c r="A16790" t="str">
        <f>"Prdm5"</f>
        <v>Prdm5</v>
      </c>
      <c r="B16790" t="s">
        <v>14</v>
      </c>
      <c r="C16790" t="s">
        <v>32</v>
      </c>
      <c r="D16790" t="s">
        <v>17</v>
      </c>
      <c r="E16790" t="s">
        <v>12</v>
      </c>
      <c r="F16790">
        <v>65778994</v>
      </c>
      <c r="G16790">
        <v>65779062</v>
      </c>
      <c r="H16790">
        <v>65778963</v>
      </c>
      <c r="I16790">
        <v>65778969</v>
      </c>
    </row>
    <row r="16791" spans="1:9" x14ac:dyDescent="0.2">
      <c r="A16791" t="str">
        <f>"Prdm6"</f>
        <v>Prdm6</v>
      </c>
      <c r="B16791" t="s">
        <v>14</v>
      </c>
      <c r="C16791" t="s">
        <v>43</v>
      </c>
      <c r="D16791" t="s">
        <v>17</v>
      </c>
      <c r="E16791" t="s">
        <v>12</v>
      </c>
      <c r="F16791">
        <v>53464182</v>
      </c>
      <c r="G16791">
        <v>53464185</v>
      </c>
      <c r="H16791">
        <v>53464504</v>
      </c>
      <c r="I16791">
        <v>53464552</v>
      </c>
    </row>
    <row r="16792" spans="1:9" x14ac:dyDescent="0.2">
      <c r="A16792" t="str">
        <f>"Prdm8"</f>
        <v>Prdm8</v>
      </c>
      <c r="B16792" t="s">
        <v>14</v>
      </c>
      <c r="C16792" t="s">
        <v>46</v>
      </c>
      <c r="D16792" t="s">
        <v>17</v>
      </c>
      <c r="E16792" t="s">
        <v>12</v>
      </c>
      <c r="F16792">
        <v>98180866</v>
      </c>
      <c r="G16792">
        <v>98180881</v>
      </c>
      <c r="H16792">
        <v>98180959</v>
      </c>
      <c r="I16792">
        <v>98180982</v>
      </c>
    </row>
    <row r="16793" spans="1:9" x14ac:dyDescent="0.2">
      <c r="A16793" t="str">
        <f>"Prdm9"</f>
        <v>Prdm9</v>
      </c>
      <c r="B16793" t="s">
        <v>14</v>
      </c>
      <c r="C16793" t="s">
        <v>28</v>
      </c>
      <c r="D16793" t="s">
        <v>11</v>
      </c>
      <c r="E16793" t="s">
        <v>12</v>
      </c>
      <c r="F16793">
        <v>15564322</v>
      </c>
      <c r="G16793">
        <v>15564359</v>
      </c>
      <c r="H16793">
        <v>15564299</v>
      </c>
      <c r="I16793">
        <v>15564313</v>
      </c>
    </row>
    <row r="16794" spans="1:9" x14ac:dyDescent="0.2">
      <c r="A16794" t="str">
        <f>"Prdx1"</f>
        <v>Prdx1</v>
      </c>
      <c r="B16794" t="s">
        <v>14</v>
      </c>
      <c r="C16794" t="s">
        <v>23</v>
      </c>
      <c r="D16794" t="s">
        <v>17</v>
      </c>
      <c r="E16794" t="s">
        <v>12</v>
      </c>
      <c r="F16794">
        <v>116685590</v>
      </c>
      <c r="G16794">
        <v>116685608</v>
      </c>
      <c r="H16794">
        <v>116685859</v>
      </c>
      <c r="I16794">
        <v>116685872</v>
      </c>
    </row>
    <row r="16795" spans="1:9" x14ac:dyDescent="0.2">
      <c r="A16795" t="str">
        <f>"Prdx2"</f>
        <v>Prdx2</v>
      </c>
      <c r="B16795" t="s">
        <v>14</v>
      </c>
      <c r="C16795" t="s">
        <v>30</v>
      </c>
      <c r="D16795" t="s">
        <v>17</v>
      </c>
      <c r="E16795" t="s">
        <v>12</v>
      </c>
      <c r="F16795">
        <v>84969637</v>
      </c>
      <c r="G16795">
        <v>84969653</v>
      </c>
      <c r="H16795">
        <v>84969656</v>
      </c>
      <c r="I16795">
        <v>84969679</v>
      </c>
    </row>
    <row r="16796" spans="1:9" x14ac:dyDescent="0.2">
      <c r="A16796" t="str">
        <f>"Prdx3"</f>
        <v>Prdx3</v>
      </c>
      <c r="B16796" t="s">
        <v>14</v>
      </c>
      <c r="C16796" t="s">
        <v>10</v>
      </c>
      <c r="D16796" t="s">
        <v>11</v>
      </c>
      <c r="E16796" t="s">
        <v>12</v>
      </c>
      <c r="F16796">
        <v>60874472</v>
      </c>
      <c r="G16796">
        <v>60874510</v>
      </c>
      <c r="H16796">
        <v>60874526</v>
      </c>
      <c r="I16796">
        <v>60874550</v>
      </c>
    </row>
    <row r="16797" spans="1:9" x14ac:dyDescent="0.2">
      <c r="A16797" t="str">
        <f>"Prdx4"</f>
        <v>Prdx4</v>
      </c>
      <c r="B16797" t="s">
        <v>14</v>
      </c>
      <c r="C16797" t="s">
        <v>37</v>
      </c>
      <c r="D16797" t="s">
        <v>11</v>
      </c>
      <c r="E16797" t="s">
        <v>12</v>
      </c>
      <c r="F16797">
        <v>155338389</v>
      </c>
      <c r="G16797">
        <v>155338456</v>
      </c>
      <c r="H16797">
        <v>155338460</v>
      </c>
      <c r="I16797">
        <v>155338471</v>
      </c>
    </row>
    <row r="16798" spans="1:9" x14ac:dyDescent="0.2">
      <c r="A16798" t="str">
        <f>"Prdx5"</f>
        <v>Prdx5</v>
      </c>
      <c r="B16798" t="s">
        <v>14</v>
      </c>
      <c r="C16798" t="s">
        <v>10</v>
      </c>
      <c r="D16798" t="s">
        <v>11</v>
      </c>
      <c r="E16798" t="s">
        <v>12</v>
      </c>
      <c r="F16798">
        <v>6909633</v>
      </c>
      <c r="G16798">
        <v>6909691</v>
      </c>
      <c r="H16798">
        <v>6909599</v>
      </c>
      <c r="I16798">
        <v>6909626</v>
      </c>
    </row>
    <row r="16799" spans="1:9" x14ac:dyDescent="0.2">
      <c r="A16799" t="str">
        <f>"Prdx6"</f>
        <v>Prdx6</v>
      </c>
      <c r="B16799" t="s">
        <v>14</v>
      </c>
      <c r="C16799" t="s">
        <v>19</v>
      </c>
      <c r="D16799" t="s">
        <v>11</v>
      </c>
      <c r="E16799" t="s">
        <v>12</v>
      </c>
      <c r="F16799">
        <v>161251153</v>
      </c>
      <c r="G16799">
        <v>161251186</v>
      </c>
      <c r="H16799">
        <v>161251128</v>
      </c>
      <c r="I16799">
        <v>161251139</v>
      </c>
    </row>
    <row r="16800" spans="1:9" x14ac:dyDescent="0.2">
      <c r="A16800" t="str">
        <f>"Prdx6b"</f>
        <v>Prdx6b</v>
      </c>
      <c r="B16800" t="s">
        <v>14</v>
      </c>
      <c r="C16800" t="s">
        <v>26</v>
      </c>
      <c r="D16800" t="s">
        <v>17</v>
      </c>
      <c r="E16800" t="s">
        <v>12</v>
      </c>
      <c r="F16800">
        <v>80292468</v>
      </c>
      <c r="G16800">
        <v>80292509</v>
      </c>
      <c r="H16800">
        <v>80292468</v>
      </c>
      <c r="I16800">
        <v>80292509</v>
      </c>
    </row>
    <row r="16801" spans="1:9" x14ac:dyDescent="0.2">
      <c r="A16801" t="str">
        <f>"Preb"</f>
        <v>Preb</v>
      </c>
      <c r="B16801" t="s">
        <v>14</v>
      </c>
      <c r="C16801" t="s">
        <v>46</v>
      </c>
      <c r="D16801" t="s">
        <v>11</v>
      </c>
      <c r="E16801" t="s">
        <v>12</v>
      </c>
      <c r="F16801">
        <v>30960236</v>
      </c>
      <c r="G16801">
        <v>30960320</v>
      </c>
      <c r="H16801">
        <v>30960326</v>
      </c>
      <c r="I16801">
        <v>30960339</v>
      </c>
    </row>
    <row r="16802" spans="1:9" x14ac:dyDescent="0.2">
      <c r="A16802" t="str">
        <f>"Prelid1"</f>
        <v>Prelid1</v>
      </c>
      <c r="B16802" t="s">
        <v>14</v>
      </c>
      <c r="C16802" t="s">
        <v>39</v>
      </c>
      <c r="D16802" t="s">
        <v>17</v>
      </c>
      <c r="E16802" t="s">
        <v>12</v>
      </c>
      <c r="F16802">
        <v>55321991</v>
      </c>
      <c r="G16802">
        <v>55322053</v>
      </c>
      <c r="H16802">
        <v>55321991</v>
      </c>
      <c r="I16802">
        <v>55322053</v>
      </c>
    </row>
    <row r="16803" spans="1:9" x14ac:dyDescent="0.2">
      <c r="A16803" t="str">
        <f>"Prelid2"</f>
        <v>Prelid2</v>
      </c>
      <c r="B16803" t="s">
        <v>14</v>
      </c>
      <c r="C16803" t="s">
        <v>43</v>
      </c>
      <c r="D16803" t="s">
        <v>11</v>
      </c>
      <c r="E16803" t="s">
        <v>12</v>
      </c>
      <c r="F16803">
        <v>41951187</v>
      </c>
      <c r="G16803">
        <v>41951232</v>
      </c>
      <c r="H16803">
        <v>41951161</v>
      </c>
      <c r="I16803">
        <v>41951180</v>
      </c>
    </row>
    <row r="16804" spans="1:9" x14ac:dyDescent="0.2">
      <c r="A16804" t="str">
        <f>"Prelp"</f>
        <v>Prelp</v>
      </c>
      <c r="B16804" t="s">
        <v>14</v>
      </c>
      <c r="C16804" t="s">
        <v>19</v>
      </c>
      <c r="D16804" t="s">
        <v>11</v>
      </c>
      <c r="E16804" t="s">
        <v>12</v>
      </c>
      <c r="F16804">
        <v>133921361</v>
      </c>
      <c r="G16804">
        <v>133921392</v>
      </c>
      <c r="H16804">
        <v>133921393</v>
      </c>
      <c r="I16804">
        <v>133921409</v>
      </c>
    </row>
    <row r="16805" spans="1:9" x14ac:dyDescent="0.2">
      <c r="A16805" t="str">
        <f>"Prep"</f>
        <v>Prep</v>
      </c>
      <c r="B16805" t="s">
        <v>14</v>
      </c>
      <c r="C16805" t="s">
        <v>15</v>
      </c>
      <c r="D16805" t="s">
        <v>17</v>
      </c>
      <c r="E16805" t="s">
        <v>12</v>
      </c>
      <c r="F16805">
        <v>45067167</v>
      </c>
      <c r="G16805">
        <v>45067279</v>
      </c>
      <c r="H16805">
        <v>45067292</v>
      </c>
      <c r="I16805">
        <v>45067303</v>
      </c>
    </row>
    <row r="16806" spans="1:9" x14ac:dyDescent="0.2">
      <c r="A16806" t="str">
        <f>"Prepl"</f>
        <v>Prepl</v>
      </c>
      <c r="B16806" t="s">
        <v>14</v>
      </c>
      <c r="C16806" t="s">
        <v>28</v>
      </c>
      <c r="D16806" t="s">
        <v>11</v>
      </c>
      <c r="E16806" t="s">
        <v>12</v>
      </c>
      <c r="F16806">
        <v>85090204</v>
      </c>
      <c r="G16806">
        <v>85090275</v>
      </c>
      <c r="H16806">
        <v>85090529</v>
      </c>
      <c r="I16806">
        <v>85090538</v>
      </c>
    </row>
    <row r="16807" spans="1:9" x14ac:dyDescent="0.2">
      <c r="A16807" t="str">
        <f>"Prex1"</f>
        <v>Prex1</v>
      </c>
      <c r="B16807" t="s">
        <v>14</v>
      </c>
      <c r="C16807" t="s">
        <v>26</v>
      </c>
      <c r="D16807" t="s">
        <v>11</v>
      </c>
      <c r="E16807" t="s">
        <v>12</v>
      </c>
      <c r="F16807">
        <v>166713758</v>
      </c>
      <c r="G16807">
        <v>166713827</v>
      </c>
      <c r="H16807">
        <v>166713732</v>
      </c>
      <c r="I16807">
        <v>166713743</v>
      </c>
    </row>
    <row r="16808" spans="1:9" x14ac:dyDescent="0.2">
      <c r="A16808" t="str">
        <f>"Prex2"</f>
        <v>Prex2</v>
      </c>
      <c r="B16808" t="s">
        <v>14</v>
      </c>
      <c r="C16808" t="s">
        <v>19</v>
      </c>
      <c r="D16808" t="s">
        <v>17</v>
      </c>
      <c r="E16808" t="s">
        <v>12</v>
      </c>
      <c r="F16808">
        <v>10993482</v>
      </c>
      <c r="G16808">
        <v>10993620</v>
      </c>
      <c r="H16808">
        <v>10993452</v>
      </c>
      <c r="I16808">
        <v>10993478</v>
      </c>
    </row>
    <row r="16809" spans="1:9" x14ac:dyDescent="0.2">
      <c r="A16809" t="str">
        <f>"Prf1"</f>
        <v>Prf1</v>
      </c>
      <c r="B16809" t="s">
        <v>14</v>
      </c>
      <c r="C16809" t="s">
        <v>15</v>
      </c>
      <c r="D16809" t="s">
        <v>17</v>
      </c>
      <c r="E16809" t="s">
        <v>12</v>
      </c>
      <c r="F16809">
        <v>61297809</v>
      </c>
      <c r="G16809">
        <v>61297824</v>
      </c>
      <c r="H16809">
        <v>61297749</v>
      </c>
      <c r="I16809">
        <v>61297788</v>
      </c>
    </row>
    <row r="16810" spans="1:9" x14ac:dyDescent="0.2">
      <c r="A16810" t="str">
        <f>"Prg2"</f>
        <v>Prg2</v>
      </c>
      <c r="B16810" t="s">
        <v>14</v>
      </c>
      <c r="C16810" t="s">
        <v>26</v>
      </c>
      <c r="D16810" t="s">
        <v>17</v>
      </c>
      <c r="E16810" t="s">
        <v>12</v>
      </c>
      <c r="F16810">
        <v>84980458</v>
      </c>
      <c r="G16810">
        <v>84980462</v>
      </c>
      <c r="H16810">
        <v>84980458</v>
      </c>
      <c r="I16810">
        <v>84980462</v>
      </c>
    </row>
    <row r="16811" spans="1:9" x14ac:dyDescent="0.2">
      <c r="A16811" t="str">
        <f>"Prg3"</f>
        <v>Prg3</v>
      </c>
      <c r="B16811" t="s">
        <v>14</v>
      </c>
      <c r="C16811" t="s">
        <v>26</v>
      </c>
      <c r="D16811" t="s">
        <v>17</v>
      </c>
      <c r="E16811" t="s">
        <v>12</v>
      </c>
      <c r="F16811">
        <v>84988194</v>
      </c>
      <c r="G16811">
        <v>84988197</v>
      </c>
      <c r="H16811">
        <v>84988194</v>
      </c>
      <c r="I16811">
        <v>84988197</v>
      </c>
    </row>
    <row r="16812" spans="1:9" x14ac:dyDescent="0.2">
      <c r="A16812" t="str">
        <f>"Prg4"</f>
        <v>Prg4</v>
      </c>
      <c r="B16812" t="s">
        <v>14</v>
      </c>
      <c r="C16812" t="s">
        <v>19</v>
      </c>
      <c r="D16812" t="s">
        <v>11</v>
      </c>
      <c r="E16812" t="s">
        <v>12</v>
      </c>
      <c r="F16812">
        <v>150466191</v>
      </c>
      <c r="G16812">
        <v>150466236</v>
      </c>
      <c r="H16812">
        <v>150466191</v>
      </c>
      <c r="I16812">
        <v>150466236</v>
      </c>
    </row>
    <row r="16813" spans="1:9" x14ac:dyDescent="0.2">
      <c r="A16813" t="str">
        <f>"Prh1"</f>
        <v>Prh1</v>
      </c>
      <c r="B16813" t="s">
        <v>14</v>
      </c>
      <c r="C16813" t="s">
        <v>32</v>
      </c>
      <c r="D16813" t="s">
        <v>17</v>
      </c>
      <c r="E16813" t="s">
        <v>12</v>
      </c>
      <c r="F16813">
        <v>132595909</v>
      </c>
      <c r="G16813">
        <v>132595913</v>
      </c>
      <c r="H16813">
        <v>132595909</v>
      </c>
      <c r="I16813">
        <v>132595913</v>
      </c>
    </row>
    <row r="16814" spans="1:9" x14ac:dyDescent="0.2">
      <c r="A16814" t="str">
        <f>"Prickle1"</f>
        <v>Prickle1</v>
      </c>
      <c r="B16814" t="s">
        <v>9</v>
      </c>
      <c r="C16814" t="s">
        <v>25</v>
      </c>
      <c r="D16814" t="s">
        <v>11</v>
      </c>
      <c r="E16814" t="s">
        <v>12</v>
      </c>
      <c r="F16814">
        <v>93595877</v>
      </c>
      <c r="G16814">
        <v>93595909</v>
      </c>
      <c r="H16814">
        <v>93595877</v>
      </c>
      <c r="I16814">
        <v>93595909</v>
      </c>
    </row>
    <row r="16815" spans="1:9" x14ac:dyDescent="0.2">
      <c r="A16815" t="str">
        <f>"Prickle1"</f>
        <v>Prickle1</v>
      </c>
      <c r="B16815" t="s">
        <v>13</v>
      </c>
      <c r="C16815" t="s">
        <v>25</v>
      </c>
      <c r="D16815" t="s">
        <v>11</v>
      </c>
      <c r="E16815" t="s">
        <v>12</v>
      </c>
      <c r="F16815">
        <v>93519499</v>
      </c>
      <c r="G16815">
        <v>93519526</v>
      </c>
      <c r="H16815">
        <v>93519499</v>
      </c>
      <c r="I16815">
        <v>93519526</v>
      </c>
    </row>
    <row r="16816" spans="1:9" x14ac:dyDescent="0.2">
      <c r="A16816" t="str">
        <f>"Prickle2"</f>
        <v>Prickle2</v>
      </c>
      <c r="B16816" t="s">
        <v>9</v>
      </c>
      <c r="C16816" t="s">
        <v>32</v>
      </c>
      <c r="D16816" t="s">
        <v>11</v>
      </c>
      <c r="E16816" t="s">
        <v>12</v>
      </c>
      <c r="F16816">
        <v>92706173</v>
      </c>
      <c r="G16816">
        <v>92706234</v>
      </c>
      <c r="H16816">
        <v>92706173</v>
      </c>
      <c r="I16816">
        <v>92706234</v>
      </c>
    </row>
    <row r="16817" spans="1:9" x14ac:dyDescent="0.2">
      <c r="A16817" t="str">
        <f>"Prickle2"</f>
        <v>Prickle2</v>
      </c>
      <c r="B16817" t="s">
        <v>13</v>
      </c>
      <c r="C16817" t="s">
        <v>32</v>
      </c>
      <c r="D16817" t="s">
        <v>11</v>
      </c>
      <c r="E16817" t="s">
        <v>12</v>
      </c>
      <c r="F16817">
        <v>92481343</v>
      </c>
      <c r="G16817">
        <v>92481405</v>
      </c>
      <c r="H16817">
        <v>92481343</v>
      </c>
      <c r="I16817">
        <v>92481405</v>
      </c>
    </row>
    <row r="16818" spans="1:9" x14ac:dyDescent="0.2">
      <c r="A16818" t="str">
        <f>"Prickle3"</f>
        <v>Prickle3</v>
      </c>
      <c r="B16818" t="s">
        <v>14</v>
      </c>
      <c r="C16818" t="s">
        <v>37</v>
      </c>
      <c r="D16818" t="s">
        <v>17</v>
      </c>
      <c r="E16818" t="s">
        <v>12</v>
      </c>
      <c r="F16818">
        <v>7657355</v>
      </c>
      <c r="G16818">
        <v>7657426</v>
      </c>
      <c r="H16818">
        <v>7657439</v>
      </c>
      <c r="I16818">
        <v>7657450</v>
      </c>
    </row>
    <row r="16819" spans="1:9" x14ac:dyDescent="0.2">
      <c r="A16819" t="str">
        <f>"Prickle4"</f>
        <v>Prickle4</v>
      </c>
      <c r="B16819" t="s">
        <v>14</v>
      </c>
      <c r="C16819" t="s">
        <v>28</v>
      </c>
      <c r="D16819" t="s">
        <v>11</v>
      </c>
      <c r="E16819" t="s">
        <v>12</v>
      </c>
      <c r="F16819">
        <v>47694733</v>
      </c>
      <c r="G16819">
        <v>47694755</v>
      </c>
      <c r="H16819">
        <v>47694909</v>
      </c>
      <c r="I16819">
        <v>47694943</v>
      </c>
    </row>
    <row r="16820" spans="1:9" x14ac:dyDescent="0.2">
      <c r="A16820" t="str">
        <f>"Prim1"</f>
        <v>Prim1</v>
      </c>
      <c r="B16820" t="s">
        <v>14</v>
      </c>
      <c r="C16820" t="s">
        <v>15</v>
      </c>
      <c r="D16820" t="s">
        <v>17</v>
      </c>
      <c r="E16820" t="s">
        <v>12</v>
      </c>
      <c r="F16820">
        <v>128015186</v>
      </c>
      <c r="G16820">
        <v>128015231</v>
      </c>
      <c r="H16820">
        <v>128015234</v>
      </c>
      <c r="I16820">
        <v>128015249</v>
      </c>
    </row>
    <row r="16821" spans="1:9" x14ac:dyDescent="0.2">
      <c r="A16821" t="str">
        <f>"Prim2"</f>
        <v>Prim2</v>
      </c>
      <c r="B16821" t="s">
        <v>14</v>
      </c>
      <c r="C16821" t="s">
        <v>19</v>
      </c>
      <c r="D16821" t="s">
        <v>11</v>
      </c>
      <c r="E16821" t="s">
        <v>12</v>
      </c>
      <c r="F16821">
        <v>33669745</v>
      </c>
      <c r="G16821">
        <v>33669792</v>
      </c>
      <c r="H16821">
        <v>33669795</v>
      </c>
      <c r="I16821">
        <v>33669806</v>
      </c>
    </row>
    <row r="16822" spans="1:9" x14ac:dyDescent="0.2">
      <c r="A16822" t="str">
        <f>"Prima1"</f>
        <v>Prima1</v>
      </c>
      <c r="B16822" t="s">
        <v>14</v>
      </c>
      <c r="C16822" t="s">
        <v>16</v>
      </c>
      <c r="D16822" t="s">
        <v>11</v>
      </c>
      <c r="E16822" t="s">
        <v>12</v>
      </c>
      <c r="F16822">
        <v>103242143</v>
      </c>
      <c r="G16822">
        <v>103242148</v>
      </c>
      <c r="H16822">
        <v>103242143</v>
      </c>
      <c r="I16822">
        <v>103242148</v>
      </c>
    </row>
    <row r="16823" spans="1:9" x14ac:dyDescent="0.2">
      <c r="A16823" t="str">
        <f>"Prkaa1"</f>
        <v>Prkaa1</v>
      </c>
      <c r="B16823" t="s">
        <v>14</v>
      </c>
      <c r="C16823" t="s">
        <v>25</v>
      </c>
      <c r="D16823" t="s">
        <v>17</v>
      </c>
      <c r="E16823" t="s">
        <v>12</v>
      </c>
      <c r="F16823">
        <v>5143861</v>
      </c>
      <c r="G16823">
        <v>5143896</v>
      </c>
      <c r="H16823">
        <v>5143640</v>
      </c>
      <c r="I16823">
        <v>5143650</v>
      </c>
    </row>
    <row r="16824" spans="1:9" x14ac:dyDescent="0.2">
      <c r="A16824" t="str">
        <f>"Prkaa2"</f>
        <v>Prkaa2</v>
      </c>
      <c r="B16824" t="s">
        <v>14</v>
      </c>
      <c r="C16824" t="s">
        <v>23</v>
      </c>
      <c r="D16824" t="s">
        <v>11</v>
      </c>
      <c r="E16824" t="s">
        <v>12</v>
      </c>
      <c r="F16824">
        <v>105109829</v>
      </c>
      <c r="G16824">
        <v>105109913</v>
      </c>
      <c r="H16824">
        <v>105109803</v>
      </c>
      <c r="I16824">
        <v>105109819</v>
      </c>
    </row>
    <row r="16825" spans="1:9" x14ac:dyDescent="0.2">
      <c r="A16825" t="str">
        <f>"Prkab1"</f>
        <v>Prkab1</v>
      </c>
      <c r="B16825" t="s">
        <v>14</v>
      </c>
      <c r="C16825" t="s">
        <v>46</v>
      </c>
      <c r="D16825" t="s">
        <v>11</v>
      </c>
      <c r="E16825" t="s">
        <v>12</v>
      </c>
      <c r="F16825">
        <v>116024378</v>
      </c>
      <c r="G16825">
        <v>116024438</v>
      </c>
      <c r="H16825">
        <v>116024475</v>
      </c>
      <c r="I16825">
        <v>116024490</v>
      </c>
    </row>
    <row r="16826" spans="1:9" x14ac:dyDescent="0.2">
      <c r="A16826" t="str">
        <f>"Prkab2"</f>
        <v>Prkab2</v>
      </c>
      <c r="B16826" t="s">
        <v>14</v>
      </c>
      <c r="C16826" t="s">
        <v>22</v>
      </c>
      <c r="D16826" t="s">
        <v>17</v>
      </c>
      <c r="E16826" t="s">
        <v>12</v>
      </c>
      <c r="F16826">
        <v>97658291</v>
      </c>
      <c r="G16826">
        <v>97658339</v>
      </c>
      <c r="H16826">
        <v>97658341</v>
      </c>
      <c r="I16826">
        <v>97658365</v>
      </c>
    </row>
    <row r="16827" spans="1:9" x14ac:dyDescent="0.2">
      <c r="A16827" t="str">
        <f>"Prkaca"</f>
        <v>Prkaca</v>
      </c>
      <c r="B16827" t="s">
        <v>9</v>
      </c>
      <c r="C16827" t="s">
        <v>30</v>
      </c>
      <c r="D16827" t="s">
        <v>17</v>
      </c>
      <c r="E16827" t="s">
        <v>12</v>
      </c>
      <c r="F16827">
        <v>83972951</v>
      </c>
      <c r="G16827">
        <v>83973028</v>
      </c>
      <c r="H16827">
        <v>83972951</v>
      </c>
      <c r="I16827">
        <v>83973028</v>
      </c>
    </row>
    <row r="16828" spans="1:9" x14ac:dyDescent="0.2">
      <c r="A16828" t="str">
        <f>"Prkaca"</f>
        <v>Prkaca</v>
      </c>
      <c r="B16828" t="s">
        <v>13</v>
      </c>
      <c r="C16828" t="s">
        <v>30</v>
      </c>
      <c r="D16828" t="s">
        <v>17</v>
      </c>
      <c r="E16828" t="s">
        <v>12</v>
      </c>
      <c r="F16828">
        <v>83976879</v>
      </c>
      <c r="G16828">
        <v>83976899</v>
      </c>
      <c r="H16828">
        <v>83976879</v>
      </c>
      <c r="I16828">
        <v>83976899</v>
      </c>
    </row>
    <row r="16829" spans="1:9" x14ac:dyDescent="0.2">
      <c r="A16829" t="str">
        <f>"Prkacb"</f>
        <v>Prkacb</v>
      </c>
      <c r="B16829" t="s">
        <v>14</v>
      </c>
      <c r="C16829" t="s">
        <v>22</v>
      </c>
      <c r="D16829" t="s">
        <v>11</v>
      </c>
      <c r="E16829" t="s">
        <v>12</v>
      </c>
      <c r="F16829">
        <v>146781351</v>
      </c>
      <c r="G16829">
        <v>146781431</v>
      </c>
      <c r="H16829">
        <v>146781351</v>
      </c>
      <c r="I16829">
        <v>146781431</v>
      </c>
    </row>
    <row r="16830" spans="1:9" x14ac:dyDescent="0.2">
      <c r="A16830" t="str">
        <f>"Prkag1"</f>
        <v>Prkag1</v>
      </c>
      <c r="B16830" t="s">
        <v>14</v>
      </c>
      <c r="C16830" t="s">
        <v>25</v>
      </c>
      <c r="D16830" t="s">
        <v>11</v>
      </c>
      <c r="E16830" t="s">
        <v>12</v>
      </c>
      <c r="F16830">
        <v>98831452</v>
      </c>
      <c r="G16830">
        <v>98831488</v>
      </c>
      <c r="H16830">
        <v>98831498</v>
      </c>
      <c r="I16830">
        <v>98831509</v>
      </c>
    </row>
    <row r="16831" spans="1:9" x14ac:dyDescent="0.2">
      <c r="A16831" t="str">
        <f>"Prkag2"</f>
        <v>Prkag2</v>
      </c>
      <c r="B16831" t="s">
        <v>5629</v>
      </c>
      <c r="C16831" t="s">
        <v>46</v>
      </c>
      <c r="D16831" t="s">
        <v>11</v>
      </c>
      <c r="E16831" t="s">
        <v>35</v>
      </c>
      <c r="F16831">
        <v>25100775</v>
      </c>
      <c r="G16831">
        <v>25100788</v>
      </c>
      <c r="H16831">
        <v>25100400</v>
      </c>
      <c r="I16831">
        <v>25100457</v>
      </c>
    </row>
    <row r="16832" spans="1:9" x14ac:dyDescent="0.2">
      <c r="A16832" t="str">
        <f>"Prkag3"</f>
        <v>Prkag3</v>
      </c>
      <c r="B16832" t="s">
        <v>14</v>
      </c>
      <c r="C16832" t="s">
        <v>19</v>
      </c>
      <c r="D16832" t="s">
        <v>11</v>
      </c>
      <c r="E16832" t="s">
        <v>12</v>
      </c>
      <c r="F16832">
        <v>74748854</v>
      </c>
      <c r="G16832">
        <v>74748887</v>
      </c>
      <c r="H16832">
        <v>74748854</v>
      </c>
      <c r="I16832">
        <v>74748887</v>
      </c>
    </row>
    <row r="16833" spans="1:9" x14ac:dyDescent="0.2">
      <c r="A16833" t="str">
        <f>"Prkar1a"</f>
        <v>Prkar1a</v>
      </c>
      <c r="B16833" t="s">
        <v>14</v>
      </c>
      <c r="C16833" t="s">
        <v>27</v>
      </c>
      <c r="D16833" t="s">
        <v>17</v>
      </c>
      <c r="E16833" t="s">
        <v>12</v>
      </c>
      <c r="F16833">
        <v>109650925</v>
      </c>
      <c r="G16833">
        <v>109651003</v>
      </c>
      <c r="H16833">
        <v>109650534</v>
      </c>
      <c r="I16833">
        <v>109650554</v>
      </c>
    </row>
    <row r="16834" spans="1:9" x14ac:dyDescent="0.2">
      <c r="A16834" t="str">
        <f>"Prkar1b"</f>
        <v>Prkar1b</v>
      </c>
      <c r="B16834" t="s">
        <v>14</v>
      </c>
      <c r="C16834" t="s">
        <v>46</v>
      </c>
      <c r="D16834" t="s">
        <v>11</v>
      </c>
      <c r="E16834" t="s">
        <v>12</v>
      </c>
      <c r="F16834">
        <v>139129662</v>
      </c>
      <c r="G16834">
        <v>139129752</v>
      </c>
      <c r="H16834">
        <v>139130044</v>
      </c>
      <c r="I16834">
        <v>139130063</v>
      </c>
    </row>
    <row r="16835" spans="1:9" x14ac:dyDescent="0.2">
      <c r="A16835" t="str">
        <f>"Prkar2a"</f>
        <v>Prkar2a</v>
      </c>
      <c r="B16835" t="s">
        <v>14</v>
      </c>
      <c r="C16835" t="s">
        <v>24</v>
      </c>
      <c r="D16835" t="s">
        <v>17</v>
      </c>
      <c r="E16835" t="s">
        <v>12</v>
      </c>
      <c r="F16835">
        <v>108692116</v>
      </c>
      <c r="G16835">
        <v>108692193</v>
      </c>
      <c r="H16835">
        <v>108692202</v>
      </c>
      <c r="I16835">
        <v>108692212</v>
      </c>
    </row>
    <row r="16836" spans="1:9" x14ac:dyDescent="0.2">
      <c r="A16836" t="str">
        <f>"Prkar2b"</f>
        <v>Prkar2b</v>
      </c>
      <c r="B16836" t="s">
        <v>14</v>
      </c>
      <c r="C16836" t="s">
        <v>16</v>
      </c>
      <c r="D16836" t="s">
        <v>11</v>
      </c>
      <c r="E16836" t="s">
        <v>12</v>
      </c>
      <c r="F16836">
        <v>32061221</v>
      </c>
      <c r="G16836">
        <v>32061301</v>
      </c>
      <c r="H16836">
        <v>32061194</v>
      </c>
      <c r="I16836">
        <v>32061208</v>
      </c>
    </row>
    <row r="16837" spans="1:9" x14ac:dyDescent="0.2">
      <c r="A16837" t="str">
        <f>"Prkca"</f>
        <v>Prkca</v>
      </c>
      <c r="B16837" t="s">
        <v>14</v>
      </c>
      <c r="C16837" t="s">
        <v>27</v>
      </c>
      <c r="D16837" t="s">
        <v>11</v>
      </c>
      <c r="E16837" t="s">
        <v>12</v>
      </c>
      <c r="F16837">
        <v>108343879</v>
      </c>
      <c r="G16837">
        <v>108343897</v>
      </c>
      <c r="H16837">
        <v>108343917</v>
      </c>
      <c r="I16837">
        <v>108343941</v>
      </c>
    </row>
    <row r="16838" spans="1:9" x14ac:dyDescent="0.2">
      <c r="A16838" t="str">
        <f>"Prkcb"</f>
        <v>Prkcb</v>
      </c>
      <c r="B16838" t="s">
        <v>14</v>
      </c>
      <c r="C16838" t="s">
        <v>33</v>
      </c>
      <c r="D16838" t="s">
        <v>17</v>
      </c>
      <c r="E16838" t="s">
        <v>12</v>
      </c>
      <c r="F16838">
        <v>122289076</v>
      </c>
      <c r="G16838">
        <v>122289225</v>
      </c>
      <c r="H16838">
        <v>122289310</v>
      </c>
      <c r="I16838">
        <v>122289347</v>
      </c>
    </row>
    <row r="16839" spans="1:9" x14ac:dyDescent="0.2">
      <c r="A16839" t="str">
        <f>"Prkcd"</f>
        <v>Prkcd</v>
      </c>
      <c r="B16839" t="s">
        <v>9</v>
      </c>
      <c r="C16839" t="s">
        <v>41</v>
      </c>
      <c r="D16839" t="s">
        <v>11</v>
      </c>
      <c r="E16839" t="s">
        <v>12</v>
      </c>
      <c r="F16839">
        <v>30626196</v>
      </c>
      <c r="G16839">
        <v>30626220</v>
      </c>
      <c r="H16839">
        <v>30626196</v>
      </c>
      <c r="I16839">
        <v>30626220</v>
      </c>
    </row>
    <row r="16840" spans="1:9" x14ac:dyDescent="0.2">
      <c r="A16840" t="str">
        <f>"Prkcd"</f>
        <v>Prkcd</v>
      </c>
      <c r="B16840" t="s">
        <v>13</v>
      </c>
      <c r="C16840" t="s">
        <v>41</v>
      </c>
      <c r="D16840" t="s">
        <v>11</v>
      </c>
      <c r="E16840" t="s">
        <v>12</v>
      </c>
      <c r="F16840">
        <v>30607779</v>
      </c>
      <c r="G16840">
        <v>30607804</v>
      </c>
      <c r="H16840">
        <v>30607779</v>
      </c>
      <c r="I16840">
        <v>30607804</v>
      </c>
    </row>
    <row r="16841" spans="1:9" x14ac:dyDescent="0.2">
      <c r="A16841" t="str">
        <f>"Prkcdbp"</f>
        <v>Prkcdbp</v>
      </c>
      <c r="B16841" t="s">
        <v>14</v>
      </c>
      <c r="C16841" t="s">
        <v>33</v>
      </c>
      <c r="D16841" t="s">
        <v>11</v>
      </c>
      <c r="E16841" t="s">
        <v>12</v>
      </c>
      <c r="F16841">
        <v>105482200</v>
      </c>
      <c r="G16841">
        <v>105482216</v>
      </c>
      <c r="H16841">
        <v>105482200</v>
      </c>
      <c r="I16841">
        <v>105482216</v>
      </c>
    </row>
    <row r="16842" spans="1:9" x14ac:dyDescent="0.2">
      <c r="A16842" t="str">
        <f>"Prkce"</f>
        <v>Prkce</v>
      </c>
      <c r="B16842" t="s">
        <v>14</v>
      </c>
      <c r="C16842" t="s">
        <v>28</v>
      </c>
      <c r="D16842" t="s">
        <v>17</v>
      </c>
      <c r="E16842" t="s">
        <v>12</v>
      </c>
      <c r="F16842">
        <v>86167620</v>
      </c>
      <c r="G16842">
        <v>86167683</v>
      </c>
      <c r="H16842">
        <v>86167777</v>
      </c>
      <c r="I16842">
        <v>86167795</v>
      </c>
    </row>
    <row r="16843" spans="1:9" x14ac:dyDescent="0.2">
      <c r="A16843" t="str">
        <f>"Prkcg"</f>
        <v>Prkcg</v>
      </c>
      <c r="B16843" t="s">
        <v>14</v>
      </c>
      <c r="C16843" t="s">
        <v>33</v>
      </c>
      <c r="D16843" t="s">
        <v>17</v>
      </c>
      <c r="E16843" t="s">
        <v>67</v>
      </c>
      <c r="F16843">
        <v>3303503</v>
      </c>
      <c r="G16843">
        <v>3303565</v>
      </c>
      <c r="H16843">
        <v>3303643</v>
      </c>
      <c r="I16843">
        <v>3303654</v>
      </c>
    </row>
    <row r="16844" spans="1:9" x14ac:dyDescent="0.2">
      <c r="A16844" t="str">
        <f>"Prkch"</f>
        <v>Prkch</v>
      </c>
      <c r="B16844" t="s">
        <v>14</v>
      </c>
      <c r="C16844" t="s">
        <v>16</v>
      </c>
      <c r="D16844" t="s">
        <v>17</v>
      </c>
      <c r="E16844" t="s">
        <v>12</v>
      </c>
      <c r="F16844">
        <v>73584788</v>
      </c>
      <c r="G16844">
        <v>73584810</v>
      </c>
      <c r="H16844">
        <v>73584837</v>
      </c>
      <c r="I16844">
        <v>73584851</v>
      </c>
    </row>
    <row r="16845" spans="1:9" x14ac:dyDescent="0.2">
      <c r="A16845" t="str">
        <f>"Prkci"</f>
        <v>Prkci</v>
      </c>
      <c r="B16845" t="s">
        <v>14</v>
      </c>
      <c r="C16845" t="s">
        <v>22</v>
      </c>
      <c r="D16845" t="s">
        <v>17</v>
      </c>
      <c r="E16845" t="s">
        <v>12</v>
      </c>
      <c r="F16845">
        <v>30995754</v>
      </c>
      <c r="G16845">
        <v>30995868</v>
      </c>
      <c r="H16845">
        <v>30995754</v>
      </c>
      <c r="I16845">
        <v>30995868</v>
      </c>
    </row>
    <row r="16846" spans="1:9" x14ac:dyDescent="0.2">
      <c r="A16846" t="str">
        <f>"Prkcq"</f>
        <v>Prkcq</v>
      </c>
      <c r="B16846" t="s">
        <v>14</v>
      </c>
      <c r="C16846" t="s">
        <v>26</v>
      </c>
      <c r="D16846" t="s">
        <v>17</v>
      </c>
      <c r="E16846" t="s">
        <v>12</v>
      </c>
      <c r="F16846">
        <v>11172080</v>
      </c>
      <c r="G16846">
        <v>11172140</v>
      </c>
      <c r="H16846">
        <v>11172388</v>
      </c>
      <c r="I16846">
        <v>11172419</v>
      </c>
    </row>
    <row r="16847" spans="1:9" x14ac:dyDescent="0.2">
      <c r="A16847" t="str">
        <f>"Prkcsh"</f>
        <v>Prkcsh</v>
      </c>
      <c r="B16847" t="s">
        <v>14</v>
      </c>
      <c r="C16847" t="s">
        <v>24</v>
      </c>
      <c r="D16847" t="s">
        <v>17</v>
      </c>
      <c r="E16847" t="s">
        <v>12</v>
      </c>
      <c r="F16847">
        <v>22003002</v>
      </c>
      <c r="G16847">
        <v>22003028</v>
      </c>
      <c r="H16847">
        <v>22002992</v>
      </c>
      <c r="I16847">
        <v>22002999</v>
      </c>
    </row>
    <row r="16848" spans="1:9" x14ac:dyDescent="0.2">
      <c r="A16848" t="str">
        <f>"Prkcz"</f>
        <v>Prkcz</v>
      </c>
      <c r="B16848" t="s">
        <v>9</v>
      </c>
      <c r="C16848" t="s">
        <v>23</v>
      </c>
      <c r="D16848" t="s">
        <v>11</v>
      </c>
      <c r="E16848" t="s">
        <v>12</v>
      </c>
      <c r="F16848">
        <v>155345696</v>
      </c>
      <c r="G16848">
        <v>155345799</v>
      </c>
      <c r="H16848">
        <v>155345696</v>
      </c>
      <c r="I16848">
        <v>155345799</v>
      </c>
    </row>
    <row r="16849" spans="1:9" x14ac:dyDescent="0.2">
      <c r="A16849" t="str">
        <f>"Prkcz"</f>
        <v>Prkcz</v>
      </c>
      <c r="B16849" t="s">
        <v>13</v>
      </c>
      <c r="C16849" t="s">
        <v>23</v>
      </c>
      <c r="D16849" t="s">
        <v>11</v>
      </c>
      <c r="E16849" t="s">
        <v>12</v>
      </c>
      <c r="F16849">
        <v>155361356</v>
      </c>
      <c r="G16849">
        <v>155361433</v>
      </c>
      <c r="H16849">
        <v>155361356</v>
      </c>
      <c r="I16849">
        <v>155361433</v>
      </c>
    </row>
    <row r="16850" spans="1:9" x14ac:dyDescent="0.2">
      <c r="A16850" t="str">
        <f>"Prkd1"</f>
        <v>Prkd1</v>
      </c>
      <c r="B16850" t="s">
        <v>14</v>
      </c>
      <c r="C16850" t="s">
        <v>16</v>
      </c>
      <c r="D16850" t="s">
        <v>11</v>
      </c>
      <c r="E16850" t="s">
        <v>12</v>
      </c>
      <c r="F16850">
        <v>50649190</v>
      </c>
      <c r="G16850">
        <v>50649281</v>
      </c>
      <c r="H16850">
        <v>50649109</v>
      </c>
      <c r="I16850">
        <v>50649144</v>
      </c>
    </row>
    <row r="16851" spans="1:9" x14ac:dyDescent="0.2">
      <c r="A16851" t="str">
        <f>"Prkd2"</f>
        <v>Prkd2</v>
      </c>
      <c r="B16851" t="s">
        <v>14</v>
      </c>
      <c r="C16851" t="s">
        <v>33</v>
      </c>
      <c r="D16851" t="s">
        <v>17</v>
      </c>
      <c r="E16851" t="s">
        <v>12</v>
      </c>
      <c r="F16851">
        <v>16842896</v>
      </c>
      <c r="G16851">
        <v>16842954</v>
      </c>
      <c r="H16851">
        <v>16842970</v>
      </c>
      <c r="I16851">
        <v>16843016</v>
      </c>
    </row>
    <row r="16852" spans="1:9" x14ac:dyDescent="0.2">
      <c r="A16852" t="str">
        <f>"Prkd3"</f>
        <v>Prkd3</v>
      </c>
      <c r="B16852" t="s">
        <v>14</v>
      </c>
      <c r="C16852" t="s">
        <v>28</v>
      </c>
      <c r="D16852" t="s">
        <v>11</v>
      </c>
      <c r="E16852" t="s">
        <v>12</v>
      </c>
      <c r="F16852">
        <v>79020740</v>
      </c>
      <c r="G16852">
        <v>79020803</v>
      </c>
      <c r="H16852">
        <v>79020826</v>
      </c>
      <c r="I16852">
        <v>79020859</v>
      </c>
    </row>
    <row r="16853" spans="1:9" x14ac:dyDescent="0.2">
      <c r="A16853" t="str">
        <f>"Prkdc"</f>
        <v>Prkdc</v>
      </c>
      <c r="B16853" t="s">
        <v>14</v>
      </c>
      <c r="C16853" t="s">
        <v>31</v>
      </c>
      <c r="D16853" t="s">
        <v>17</v>
      </c>
      <c r="E16853" t="s">
        <v>12</v>
      </c>
      <c r="F16853">
        <v>15637844</v>
      </c>
      <c r="G16853">
        <v>15637884</v>
      </c>
      <c r="H16853">
        <v>15637829</v>
      </c>
      <c r="I16853">
        <v>15637838</v>
      </c>
    </row>
    <row r="16854" spans="1:9" x14ac:dyDescent="0.2">
      <c r="A16854" t="str">
        <f>"Prkg1"</f>
        <v>Prkg1</v>
      </c>
      <c r="B16854" t="s">
        <v>5630</v>
      </c>
      <c r="C16854" t="s">
        <v>10</v>
      </c>
      <c r="D16854" t="s">
        <v>11</v>
      </c>
      <c r="E16854" t="s">
        <v>35</v>
      </c>
      <c r="F16854">
        <v>31765155</v>
      </c>
      <c r="G16854">
        <v>31765187</v>
      </c>
      <c r="H16854">
        <v>31764897</v>
      </c>
      <c r="I16854">
        <v>31764900</v>
      </c>
    </row>
    <row r="16855" spans="1:9" x14ac:dyDescent="0.2">
      <c r="A16855" t="str">
        <f>"Prkg2"</f>
        <v>Prkg2</v>
      </c>
      <c r="B16855" t="s">
        <v>14</v>
      </c>
      <c r="C16855" t="s">
        <v>46</v>
      </c>
      <c r="D16855" t="s">
        <v>11</v>
      </c>
      <c r="E16855" t="s">
        <v>12</v>
      </c>
      <c r="F16855">
        <v>99037148</v>
      </c>
      <c r="G16855">
        <v>99037206</v>
      </c>
      <c r="H16855">
        <v>99037369</v>
      </c>
      <c r="I16855">
        <v>99037384</v>
      </c>
    </row>
    <row r="16856" spans="1:9" x14ac:dyDescent="0.2">
      <c r="A16856" t="str">
        <f>"Prkra"</f>
        <v>Prkra</v>
      </c>
      <c r="B16856" t="s">
        <v>14</v>
      </c>
      <c r="C16856" t="s">
        <v>26</v>
      </c>
      <c r="D16856" t="s">
        <v>11</v>
      </c>
      <c r="E16856" t="s">
        <v>12</v>
      </c>
      <c r="F16856">
        <v>76647992</v>
      </c>
      <c r="G16856">
        <v>76648043</v>
      </c>
      <c r="H16856">
        <v>76647971</v>
      </c>
      <c r="I16856">
        <v>76647991</v>
      </c>
    </row>
    <row r="16857" spans="1:9" x14ac:dyDescent="0.2">
      <c r="A16857" t="str">
        <f>"Prkrip1"</f>
        <v>Prkrip1</v>
      </c>
      <c r="B16857" t="s">
        <v>14</v>
      </c>
      <c r="C16857" t="s">
        <v>46</v>
      </c>
      <c r="D16857" t="s">
        <v>11</v>
      </c>
      <c r="E16857" t="s">
        <v>12</v>
      </c>
      <c r="F16857">
        <v>136198914</v>
      </c>
      <c r="G16857">
        <v>136198970</v>
      </c>
      <c r="H16857">
        <v>136198911</v>
      </c>
      <c r="I16857">
        <v>136198912</v>
      </c>
    </row>
    <row r="16858" spans="1:9" x14ac:dyDescent="0.2">
      <c r="A16858" t="str">
        <f>"Prkrir"</f>
        <v>Prkrir</v>
      </c>
      <c r="B16858" t="s">
        <v>14</v>
      </c>
      <c r="C16858" t="s">
        <v>33</v>
      </c>
      <c r="D16858" t="s">
        <v>17</v>
      </c>
      <c r="E16858" t="s">
        <v>12</v>
      </c>
      <c r="F16858">
        <v>98703239</v>
      </c>
      <c r="G16858">
        <v>98703292</v>
      </c>
      <c r="H16858">
        <v>98703091</v>
      </c>
      <c r="I16858">
        <v>98703137</v>
      </c>
    </row>
    <row r="16859" spans="1:9" x14ac:dyDescent="0.2">
      <c r="A16859" t="str">
        <f>"Prkx"</f>
        <v>Prkx</v>
      </c>
      <c r="B16859" t="s">
        <v>14</v>
      </c>
      <c r="C16859" t="s">
        <v>37</v>
      </c>
      <c r="D16859" t="s">
        <v>11</v>
      </c>
      <c r="E16859" t="s">
        <v>12</v>
      </c>
      <c r="F16859">
        <v>77795921</v>
      </c>
      <c r="G16859">
        <v>77795985</v>
      </c>
      <c r="H16859">
        <v>77795989</v>
      </c>
      <c r="I16859">
        <v>77796007</v>
      </c>
    </row>
    <row r="16860" spans="1:9" x14ac:dyDescent="0.2">
      <c r="A16860" t="str">
        <f>"Prl"</f>
        <v>Prl</v>
      </c>
      <c r="B16860" t="s">
        <v>14</v>
      </c>
      <c r="C16860" t="s">
        <v>39</v>
      </c>
      <c r="D16860" t="s">
        <v>17</v>
      </c>
      <c r="E16860" t="s">
        <v>12</v>
      </c>
      <c r="F16860">
        <v>27057571</v>
      </c>
      <c r="G16860">
        <v>27057584</v>
      </c>
      <c r="H16860">
        <v>27057601</v>
      </c>
      <c r="I16860">
        <v>27057611</v>
      </c>
    </row>
    <row r="16861" spans="1:9" x14ac:dyDescent="0.2">
      <c r="A16861" t="str">
        <f>"Prl2a1"</f>
        <v>Prl2a1</v>
      </c>
      <c r="B16861" t="s">
        <v>14</v>
      </c>
      <c r="C16861" t="s">
        <v>39</v>
      </c>
      <c r="D16861" t="s">
        <v>17</v>
      </c>
      <c r="E16861" t="s">
        <v>12</v>
      </c>
      <c r="F16861">
        <v>27801638</v>
      </c>
      <c r="G16861">
        <v>27801654</v>
      </c>
      <c r="H16861">
        <v>27801638</v>
      </c>
      <c r="I16861">
        <v>27801654</v>
      </c>
    </row>
    <row r="16862" spans="1:9" x14ac:dyDescent="0.2">
      <c r="A16862" t="str">
        <f>"Prl2b1"</f>
        <v>Prl2b1</v>
      </c>
      <c r="B16862" t="s">
        <v>14</v>
      </c>
      <c r="C16862" t="s">
        <v>39</v>
      </c>
      <c r="D16862" t="s">
        <v>11</v>
      </c>
      <c r="E16862" t="s">
        <v>12</v>
      </c>
      <c r="F16862">
        <v>27390839</v>
      </c>
      <c r="G16862">
        <v>27390848</v>
      </c>
      <c r="H16862">
        <v>27390839</v>
      </c>
      <c r="I16862">
        <v>27390848</v>
      </c>
    </row>
    <row r="16863" spans="1:9" x14ac:dyDescent="0.2">
      <c r="A16863" t="str">
        <f>"Prl2c1"</f>
        <v>Prl2c1</v>
      </c>
      <c r="B16863" t="s">
        <v>14</v>
      </c>
      <c r="C16863" t="s">
        <v>39</v>
      </c>
      <c r="D16863" t="s">
        <v>17</v>
      </c>
      <c r="E16863" t="s">
        <v>12</v>
      </c>
      <c r="F16863">
        <v>27849339</v>
      </c>
      <c r="G16863">
        <v>27849342</v>
      </c>
      <c r="H16863">
        <v>27849372</v>
      </c>
      <c r="I16863">
        <v>27849398</v>
      </c>
    </row>
    <row r="16864" spans="1:9" x14ac:dyDescent="0.2">
      <c r="A16864" t="str">
        <f>"Prl2c2"</f>
        <v>Prl2c2</v>
      </c>
      <c r="B16864" t="s">
        <v>14</v>
      </c>
      <c r="C16864" t="s">
        <v>39</v>
      </c>
      <c r="D16864" t="s">
        <v>11</v>
      </c>
      <c r="E16864" t="s">
        <v>12</v>
      </c>
      <c r="F16864">
        <v>13005391</v>
      </c>
      <c r="G16864">
        <v>13005394</v>
      </c>
      <c r="H16864">
        <v>13005391</v>
      </c>
      <c r="I16864">
        <v>13005394</v>
      </c>
    </row>
    <row r="16865" spans="1:9" x14ac:dyDescent="0.2">
      <c r="A16865" t="str">
        <f>"Prl2c3"</f>
        <v>Prl2c3</v>
      </c>
      <c r="B16865" t="s">
        <v>14</v>
      </c>
      <c r="C16865" t="s">
        <v>39</v>
      </c>
      <c r="D16865" t="s">
        <v>11</v>
      </c>
      <c r="E16865" t="s">
        <v>12</v>
      </c>
      <c r="F16865">
        <v>12800077</v>
      </c>
      <c r="G16865">
        <v>12800081</v>
      </c>
      <c r="H16865">
        <v>12800077</v>
      </c>
      <c r="I16865">
        <v>12800081</v>
      </c>
    </row>
    <row r="16866" spans="1:9" x14ac:dyDescent="0.2">
      <c r="A16866" t="str">
        <f>"Prl2c5"</f>
        <v>Prl2c5</v>
      </c>
      <c r="B16866" t="s">
        <v>14</v>
      </c>
      <c r="C16866" t="s">
        <v>39</v>
      </c>
      <c r="D16866" t="s">
        <v>17</v>
      </c>
      <c r="E16866" t="s">
        <v>12</v>
      </c>
      <c r="F16866">
        <v>13182712</v>
      </c>
      <c r="G16866">
        <v>13182717</v>
      </c>
      <c r="H16866">
        <v>13182712</v>
      </c>
      <c r="I16866">
        <v>13182717</v>
      </c>
    </row>
    <row r="16867" spans="1:9" x14ac:dyDescent="0.2">
      <c r="A16867" t="str">
        <f>"Prl3a1"</f>
        <v>Prl3a1</v>
      </c>
      <c r="B16867" t="s">
        <v>14</v>
      </c>
      <c r="C16867" t="s">
        <v>39</v>
      </c>
      <c r="D16867" t="s">
        <v>17</v>
      </c>
      <c r="E16867" t="s">
        <v>12</v>
      </c>
      <c r="F16867">
        <v>27259482</v>
      </c>
      <c r="G16867">
        <v>27259494</v>
      </c>
      <c r="H16867">
        <v>27259482</v>
      </c>
      <c r="I16867">
        <v>27259494</v>
      </c>
    </row>
    <row r="16868" spans="1:9" x14ac:dyDescent="0.2">
      <c r="A16868" t="str">
        <f>"Prl3b1"</f>
        <v>Prl3b1</v>
      </c>
      <c r="B16868" t="s">
        <v>14</v>
      </c>
      <c r="C16868" t="s">
        <v>39</v>
      </c>
      <c r="D16868" t="s">
        <v>17</v>
      </c>
      <c r="E16868" t="s">
        <v>12</v>
      </c>
      <c r="F16868">
        <v>27242422</v>
      </c>
      <c r="G16868">
        <v>27242437</v>
      </c>
      <c r="H16868">
        <v>27242422</v>
      </c>
      <c r="I16868">
        <v>27242437</v>
      </c>
    </row>
    <row r="16869" spans="1:9" x14ac:dyDescent="0.2">
      <c r="A16869" t="str">
        <f>"Prl3c1"</f>
        <v>Prl3c1</v>
      </c>
      <c r="B16869" t="s">
        <v>14</v>
      </c>
      <c r="C16869" t="s">
        <v>39</v>
      </c>
      <c r="D16869" t="s">
        <v>17</v>
      </c>
      <c r="E16869" t="s">
        <v>12</v>
      </c>
      <c r="F16869">
        <v>27196640</v>
      </c>
      <c r="G16869">
        <v>27196646</v>
      </c>
      <c r="H16869">
        <v>27196640</v>
      </c>
      <c r="I16869">
        <v>27196646</v>
      </c>
    </row>
    <row r="16870" spans="1:9" x14ac:dyDescent="0.2">
      <c r="A16870" t="str">
        <f>"Prl3d1"</f>
        <v>Prl3d1</v>
      </c>
      <c r="B16870" t="s">
        <v>14</v>
      </c>
      <c r="C16870" t="s">
        <v>39</v>
      </c>
      <c r="D16870" t="s">
        <v>17</v>
      </c>
      <c r="E16870" t="s">
        <v>12</v>
      </c>
      <c r="F16870">
        <v>27094188</v>
      </c>
      <c r="G16870">
        <v>27094191</v>
      </c>
      <c r="H16870">
        <v>27094188</v>
      </c>
      <c r="I16870">
        <v>27094191</v>
      </c>
    </row>
    <row r="16871" spans="1:9" x14ac:dyDescent="0.2">
      <c r="A16871" t="str">
        <f>"Prl3d2"</f>
        <v>Prl3d2</v>
      </c>
      <c r="B16871" t="s">
        <v>5631</v>
      </c>
      <c r="C16871" t="s">
        <v>39</v>
      </c>
      <c r="D16871" t="s">
        <v>17</v>
      </c>
      <c r="E16871" t="s">
        <v>20</v>
      </c>
      <c r="F16871">
        <v>27121720</v>
      </c>
      <c r="G16871">
        <v>27121720</v>
      </c>
      <c r="H16871">
        <v>27121720</v>
      </c>
      <c r="I16871">
        <v>27121720</v>
      </c>
    </row>
    <row r="16872" spans="1:9" x14ac:dyDescent="0.2">
      <c r="A16872" t="str">
        <f>"Prl3d3"</f>
        <v>Prl3d3</v>
      </c>
      <c r="B16872" t="s">
        <v>5632</v>
      </c>
      <c r="C16872" t="s">
        <v>39</v>
      </c>
      <c r="D16872" t="s">
        <v>17</v>
      </c>
      <c r="E16872" t="s">
        <v>20</v>
      </c>
      <c r="F16872">
        <v>27156789</v>
      </c>
      <c r="G16872">
        <v>27156789</v>
      </c>
      <c r="H16872">
        <v>27156789</v>
      </c>
      <c r="I16872">
        <v>27156789</v>
      </c>
    </row>
    <row r="16873" spans="1:9" x14ac:dyDescent="0.2">
      <c r="A16873" t="str">
        <f>"Prl4a1"</f>
        <v>Prl4a1</v>
      </c>
      <c r="B16873" t="s">
        <v>14</v>
      </c>
      <c r="C16873" t="s">
        <v>39</v>
      </c>
      <c r="D16873" t="s">
        <v>17</v>
      </c>
      <c r="E16873" t="s">
        <v>12</v>
      </c>
      <c r="F16873">
        <v>28016210</v>
      </c>
      <c r="G16873">
        <v>28016215</v>
      </c>
      <c r="H16873">
        <v>28016210</v>
      </c>
      <c r="I16873">
        <v>28016215</v>
      </c>
    </row>
    <row r="16874" spans="1:9" x14ac:dyDescent="0.2">
      <c r="A16874" t="str">
        <f>"Prl5a1"</f>
        <v>Prl5a1</v>
      </c>
      <c r="B16874" t="s">
        <v>14</v>
      </c>
      <c r="C16874" t="s">
        <v>39</v>
      </c>
      <c r="D16874" t="s">
        <v>17</v>
      </c>
      <c r="E16874" t="s">
        <v>12</v>
      </c>
      <c r="F16874">
        <v>28142481</v>
      </c>
      <c r="G16874">
        <v>28142485</v>
      </c>
      <c r="H16874">
        <v>28142481</v>
      </c>
      <c r="I16874">
        <v>28142485</v>
      </c>
    </row>
    <row r="16875" spans="1:9" x14ac:dyDescent="0.2">
      <c r="A16875" t="str">
        <f>"Prl6a1"</f>
        <v>Prl6a1</v>
      </c>
      <c r="B16875" t="s">
        <v>14</v>
      </c>
      <c r="C16875" t="s">
        <v>39</v>
      </c>
      <c r="D16875" t="s">
        <v>17</v>
      </c>
      <c r="E16875" t="s">
        <v>12</v>
      </c>
      <c r="F16875">
        <v>27312610</v>
      </c>
      <c r="G16875">
        <v>27312627</v>
      </c>
      <c r="H16875">
        <v>27312652</v>
      </c>
      <c r="I16875">
        <v>27312656</v>
      </c>
    </row>
    <row r="16876" spans="1:9" x14ac:dyDescent="0.2">
      <c r="A16876" t="str">
        <f>"Prl7a1"</f>
        <v>Prl7a1</v>
      </c>
      <c r="B16876" t="s">
        <v>14</v>
      </c>
      <c r="C16876" t="s">
        <v>39</v>
      </c>
      <c r="D16876" t="s">
        <v>11</v>
      </c>
      <c r="E16876" t="s">
        <v>12</v>
      </c>
      <c r="F16876">
        <v>27642484</v>
      </c>
      <c r="G16876">
        <v>27642499</v>
      </c>
      <c r="H16876">
        <v>27642477</v>
      </c>
      <c r="I16876">
        <v>27642482</v>
      </c>
    </row>
    <row r="16877" spans="1:9" x14ac:dyDescent="0.2">
      <c r="A16877" t="str">
        <f>"Prl7a2"</f>
        <v>Prl7a2</v>
      </c>
      <c r="B16877" t="s">
        <v>14</v>
      </c>
      <c r="C16877" t="s">
        <v>39</v>
      </c>
      <c r="D16877" t="s">
        <v>11</v>
      </c>
      <c r="E16877" t="s">
        <v>12</v>
      </c>
      <c r="F16877">
        <v>27668034</v>
      </c>
      <c r="G16877">
        <v>27668039</v>
      </c>
      <c r="H16877">
        <v>27668034</v>
      </c>
      <c r="I16877">
        <v>27668039</v>
      </c>
    </row>
    <row r="16878" spans="1:9" x14ac:dyDescent="0.2">
      <c r="A16878" t="str">
        <f>"Prl7b1"</f>
        <v>Prl7b1</v>
      </c>
      <c r="B16878" t="s">
        <v>14</v>
      </c>
      <c r="C16878" t="s">
        <v>39</v>
      </c>
      <c r="D16878" t="s">
        <v>11</v>
      </c>
      <c r="E16878" t="s">
        <v>12</v>
      </c>
      <c r="F16878">
        <v>27610580</v>
      </c>
      <c r="G16878">
        <v>27610583</v>
      </c>
      <c r="H16878">
        <v>27610580</v>
      </c>
      <c r="I16878">
        <v>27610583</v>
      </c>
    </row>
    <row r="16879" spans="1:9" x14ac:dyDescent="0.2">
      <c r="A16879" t="str">
        <f>"Prl7c1"</f>
        <v>Prl7c1</v>
      </c>
      <c r="B16879" t="s">
        <v>5633</v>
      </c>
      <c r="C16879" t="s">
        <v>39</v>
      </c>
      <c r="D16879" t="s">
        <v>11</v>
      </c>
      <c r="E16879" t="s">
        <v>20</v>
      </c>
      <c r="F16879">
        <v>27780802</v>
      </c>
      <c r="G16879">
        <v>27780802</v>
      </c>
      <c r="H16879">
        <v>27780802</v>
      </c>
      <c r="I16879">
        <v>27780802</v>
      </c>
    </row>
    <row r="16880" spans="1:9" x14ac:dyDescent="0.2">
      <c r="A16880" t="str">
        <f>"Prl7d1"</f>
        <v>Prl7d1</v>
      </c>
      <c r="B16880" t="s">
        <v>14</v>
      </c>
      <c r="C16880" t="s">
        <v>39</v>
      </c>
      <c r="D16880" t="s">
        <v>11</v>
      </c>
      <c r="E16880" t="s">
        <v>12</v>
      </c>
      <c r="F16880">
        <v>27716729</v>
      </c>
      <c r="G16880">
        <v>27716741</v>
      </c>
      <c r="H16880">
        <v>27716729</v>
      </c>
      <c r="I16880">
        <v>27716741</v>
      </c>
    </row>
    <row r="16881" spans="1:9" x14ac:dyDescent="0.2">
      <c r="A16881" t="str">
        <f>"Prl8a1"</f>
        <v>Prl8a1</v>
      </c>
      <c r="B16881" t="s">
        <v>14</v>
      </c>
      <c r="C16881" t="s">
        <v>39</v>
      </c>
      <c r="D16881" t="s">
        <v>11</v>
      </c>
      <c r="E16881" t="s">
        <v>12</v>
      </c>
      <c r="F16881">
        <v>27582168</v>
      </c>
      <c r="G16881">
        <v>27582172</v>
      </c>
      <c r="H16881">
        <v>27582168</v>
      </c>
      <c r="I16881">
        <v>27582172</v>
      </c>
    </row>
    <row r="16882" spans="1:9" x14ac:dyDescent="0.2">
      <c r="A16882" t="str">
        <f>"Prl8a2"</f>
        <v>Prl8a2</v>
      </c>
      <c r="B16882" t="s">
        <v>14</v>
      </c>
      <c r="C16882" t="s">
        <v>39</v>
      </c>
      <c r="D16882" t="s">
        <v>17</v>
      </c>
      <c r="E16882" t="s">
        <v>12</v>
      </c>
      <c r="F16882">
        <v>27345661</v>
      </c>
      <c r="G16882">
        <v>27345679</v>
      </c>
      <c r="H16882">
        <v>27345694</v>
      </c>
      <c r="I16882">
        <v>27345701</v>
      </c>
    </row>
    <row r="16883" spans="1:9" x14ac:dyDescent="0.2">
      <c r="A16883" t="str">
        <f>"Prl8a6"</f>
        <v>Prl8a6</v>
      </c>
      <c r="B16883" t="s">
        <v>14</v>
      </c>
      <c r="C16883" t="s">
        <v>39</v>
      </c>
      <c r="D16883" t="s">
        <v>11</v>
      </c>
      <c r="E16883" t="s">
        <v>12</v>
      </c>
      <c r="F16883">
        <v>27438640</v>
      </c>
      <c r="G16883">
        <v>27438655</v>
      </c>
      <c r="H16883">
        <v>27438615</v>
      </c>
      <c r="I16883">
        <v>27438626</v>
      </c>
    </row>
    <row r="16884" spans="1:9" x14ac:dyDescent="0.2">
      <c r="A16884" t="str">
        <f>"Prl8a8"</f>
        <v>Prl8a8</v>
      </c>
      <c r="B16884" t="s">
        <v>14</v>
      </c>
      <c r="C16884" t="s">
        <v>39</v>
      </c>
      <c r="D16884" t="s">
        <v>11</v>
      </c>
      <c r="E16884" t="s">
        <v>12</v>
      </c>
      <c r="F16884">
        <v>27513206</v>
      </c>
      <c r="G16884">
        <v>27513225</v>
      </c>
      <c r="H16884">
        <v>27513181</v>
      </c>
      <c r="I16884">
        <v>27513196</v>
      </c>
    </row>
    <row r="16885" spans="1:9" x14ac:dyDescent="0.2">
      <c r="A16885" t="str">
        <f>"Prl8a9"</f>
        <v>Prl8a9</v>
      </c>
      <c r="B16885" t="s">
        <v>14</v>
      </c>
      <c r="C16885" t="s">
        <v>39</v>
      </c>
      <c r="D16885" t="s">
        <v>11</v>
      </c>
      <c r="E16885" t="s">
        <v>12</v>
      </c>
      <c r="F16885">
        <v>27564598</v>
      </c>
      <c r="G16885">
        <v>27564609</v>
      </c>
      <c r="H16885">
        <v>27564598</v>
      </c>
      <c r="I16885">
        <v>27564609</v>
      </c>
    </row>
    <row r="16886" spans="1:9" x14ac:dyDescent="0.2">
      <c r="A16886" t="str">
        <f>"Prlh"</f>
        <v>Prlh</v>
      </c>
      <c r="B16886" t="s">
        <v>5634</v>
      </c>
      <c r="C16886" t="s">
        <v>19</v>
      </c>
      <c r="D16886" t="s">
        <v>17</v>
      </c>
      <c r="E16886" t="s">
        <v>20</v>
      </c>
      <c r="F16886">
        <v>90953107</v>
      </c>
      <c r="G16886">
        <v>90953107</v>
      </c>
      <c r="H16886">
        <v>90953107</v>
      </c>
      <c r="I16886">
        <v>90953107</v>
      </c>
    </row>
    <row r="16887" spans="1:9" x14ac:dyDescent="0.2">
      <c r="A16887" t="str">
        <f>"Prlhr"</f>
        <v>Prlhr</v>
      </c>
      <c r="B16887" t="s">
        <v>14</v>
      </c>
      <c r="C16887" t="s">
        <v>10</v>
      </c>
      <c r="D16887" t="s">
        <v>11</v>
      </c>
      <c r="E16887" t="s">
        <v>12</v>
      </c>
      <c r="F16887">
        <v>60468466</v>
      </c>
      <c r="G16887">
        <v>60468479</v>
      </c>
      <c r="H16887">
        <v>60468466</v>
      </c>
      <c r="I16887">
        <v>60468479</v>
      </c>
    </row>
    <row r="16888" spans="1:9" x14ac:dyDescent="0.2">
      <c r="A16888" t="str">
        <f>"Prlr"</f>
        <v>Prlr</v>
      </c>
      <c r="B16888" t="s">
        <v>14</v>
      </c>
      <c r="C16888" t="s">
        <v>25</v>
      </c>
      <c r="D16888" t="s">
        <v>17</v>
      </c>
      <c r="E16888" t="s">
        <v>12</v>
      </c>
      <c r="F16888">
        <v>10177623</v>
      </c>
      <c r="G16888">
        <v>10177654</v>
      </c>
      <c r="H16888">
        <v>10177623</v>
      </c>
      <c r="I16888">
        <v>10177654</v>
      </c>
    </row>
    <row r="16889" spans="1:9" x14ac:dyDescent="0.2">
      <c r="A16889" t="str">
        <f>"Prm1"</f>
        <v>Prm1</v>
      </c>
      <c r="B16889" t="s">
        <v>14</v>
      </c>
      <c r="C16889" t="s">
        <v>31</v>
      </c>
      <c r="D16889" t="s">
        <v>11</v>
      </c>
      <c r="E16889" t="s">
        <v>12</v>
      </c>
      <c r="F16889">
        <v>10796815</v>
      </c>
      <c r="G16889">
        <v>10796830</v>
      </c>
      <c r="H16889">
        <v>10796815</v>
      </c>
      <c r="I16889">
        <v>10796830</v>
      </c>
    </row>
    <row r="16890" spans="1:9" x14ac:dyDescent="0.2">
      <c r="A16890" t="str">
        <f>"Prm2"</f>
        <v>Prm2</v>
      </c>
      <c r="B16890" t="s">
        <v>14</v>
      </c>
      <c r="C16890" t="s">
        <v>31</v>
      </c>
      <c r="D16890" t="s">
        <v>11</v>
      </c>
      <c r="E16890" t="s">
        <v>12</v>
      </c>
      <c r="F16890">
        <v>10792095</v>
      </c>
      <c r="G16890">
        <v>10792107</v>
      </c>
      <c r="H16890">
        <v>10792095</v>
      </c>
      <c r="I16890">
        <v>10792107</v>
      </c>
    </row>
    <row r="16891" spans="1:9" x14ac:dyDescent="0.2">
      <c r="A16891" t="str">
        <f>"Prm3"</f>
        <v>Prm3</v>
      </c>
      <c r="B16891" t="s">
        <v>14</v>
      </c>
      <c r="C16891" t="s">
        <v>31</v>
      </c>
      <c r="D16891" t="s">
        <v>11</v>
      </c>
      <c r="E16891" t="s">
        <v>12</v>
      </c>
      <c r="F16891">
        <v>10790902</v>
      </c>
      <c r="G16891">
        <v>10790919</v>
      </c>
      <c r="H16891">
        <v>10790941</v>
      </c>
      <c r="I16891">
        <v>10790950</v>
      </c>
    </row>
    <row r="16892" spans="1:9" x14ac:dyDescent="0.2">
      <c r="A16892" t="str">
        <f>"Prmt1"</f>
        <v>Prmt1</v>
      </c>
      <c r="B16892" t="s">
        <v>14</v>
      </c>
      <c r="C16892" t="s">
        <v>33</v>
      </c>
      <c r="D16892" t="s">
        <v>11</v>
      </c>
      <c r="E16892" t="s">
        <v>12</v>
      </c>
      <c r="F16892">
        <v>44986313</v>
      </c>
      <c r="G16892">
        <v>44986352</v>
      </c>
      <c r="H16892">
        <v>44986583</v>
      </c>
      <c r="I16892">
        <v>44986613</v>
      </c>
    </row>
    <row r="16893" spans="1:9" x14ac:dyDescent="0.2">
      <c r="A16893" t="str">
        <f>"Prmt10"</f>
        <v>Prmt10</v>
      </c>
      <c r="B16893" t="s">
        <v>14</v>
      </c>
      <c r="C16893" t="s">
        <v>30</v>
      </c>
      <c r="D16893" t="s">
        <v>17</v>
      </c>
      <c r="E16893" t="s">
        <v>12</v>
      </c>
      <c r="F16893">
        <v>77549393</v>
      </c>
      <c r="G16893">
        <v>77549444</v>
      </c>
      <c r="H16893">
        <v>77549445</v>
      </c>
      <c r="I16893">
        <v>77549464</v>
      </c>
    </row>
    <row r="16894" spans="1:9" x14ac:dyDescent="0.2">
      <c r="A16894" t="str">
        <f>"Prmt2"</f>
        <v>Prmt2</v>
      </c>
      <c r="B16894" t="s">
        <v>14</v>
      </c>
      <c r="C16894" t="s">
        <v>15</v>
      </c>
      <c r="D16894" t="s">
        <v>11</v>
      </c>
      <c r="E16894" t="s">
        <v>12</v>
      </c>
      <c r="F16894">
        <v>76237822</v>
      </c>
      <c r="G16894">
        <v>76237867</v>
      </c>
      <c r="H16894">
        <v>76237789</v>
      </c>
      <c r="I16894">
        <v>76237796</v>
      </c>
    </row>
    <row r="16895" spans="1:9" x14ac:dyDescent="0.2">
      <c r="A16895" t="str">
        <f>"Prmt3"</f>
        <v>Prmt3</v>
      </c>
      <c r="B16895" t="s">
        <v>14</v>
      </c>
      <c r="C16895" t="s">
        <v>33</v>
      </c>
      <c r="D16895" t="s">
        <v>17</v>
      </c>
      <c r="E16895" t="s">
        <v>12</v>
      </c>
      <c r="F16895">
        <v>49778334</v>
      </c>
      <c r="G16895">
        <v>49778389</v>
      </c>
      <c r="H16895">
        <v>49778439</v>
      </c>
      <c r="I16895">
        <v>49778452</v>
      </c>
    </row>
    <row r="16896" spans="1:9" x14ac:dyDescent="0.2">
      <c r="A16896" t="str">
        <f>"Prmt5"</f>
        <v>Prmt5</v>
      </c>
      <c r="B16896" t="s">
        <v>14</v>
      </c>
      <c r="C16896" t="s">
        <v>41</v>
      </c>
      <c r="D16896" t="s">
        <v>11</v>
      </c>
      <c r="E16896" t="s">
        <v>12</v>
      </c>
      <c r="F16896">
        <v>54517353</v>
      </c>
      <c r="G16896">
        <v>54517401</v>
      </c>
      <c r="H16896">
        <v>54517353</v>
      </c>
      <c r="I16896">
        <v>54517401</v>
      </c>
    </row>
    <row r="16897" spans="1:9" x14ac:dyDescent="0.2">
      <c r="A16897" t="str">
        <f>"Prmt6"</f>
        <v>Prmt6</v>
      </c>
      <c r="B16897" t="s">
        <v>14</v>
      </c>
      <c r="C16897" t="s">
        <v>22</v>
      </c>
      <c r="D16897" t="s">
        <v>11</v>
      </c>
      <c r="E16897" t="s">
        <v>12</v>
      </c>
      <c r="F16897">
        <v>110250963</v>
      </c>
      <c r="G16897">
        <v>110251015</v>
      </c>
      <c r="H16897">
        <v>110250939</v>
      </c>
      <c r="I16897">
        <v>110250948</v>
      </c>
    </row>
    <row r="16898" spans="1:9" x14ac:dyDescent="0.2">
      <c r="A16898" t="str">
        <f>"Prmt7"</f>
        <v>Prmt7</v>
      </c>
      <c r="B16898" t="s">
        <v>14</v>
      </c>
      <c r="C16898" t="s">
        <v>30</v>
      </c>
      <c r="D16898" t="s">
        <v>17</v>
      </c>
      <c r="E16898" t="s">
        <v>12</v>
      </c>
      <c r="F16898">
        <v>106211016</v>
      </c>
      <c r="G16898">
        <v>106211043</v>
      </c>
      <c r="H16898">
        <v>106210993</v>
      </c>
      <c r="I16898">
        <v>106211011</v>
      </c>
    </row>
    <row r="16899" spans="1:9" x14ac:dyDescent="0.2">
      <c r="A16899" t="str">
        <f>"Prmt8"</f>
        <v>Prmt8</v>
      </c>
      <c r="B16899" t="s">
        <v>14</v>
      </c>
      <c r="C16899" t="s">
        <v>32</v>
      </c>
      <c r="D16899" t="s">
        <v>11</v>
      </c>
      <c r="E16899" t="s">
        <v>12</v>
      </c>
      <c r="F16899">
        <v>127769306</v>
      </c>
      <c r="G16899">
        <v>127769364</v>
      </c>
      <c r="H16899">
        <v>127769142</v>
      </c>
      <c r="I16899">
        <v>127769164</v>
      </c>
    </row>
    <row r="16900" spans="1:9" x14ac:dyDescent="0.2">
      <c r="A16900" t="str">
        <f>"Prnd"</f>
        <v>Prnd</v>
      </c>
      <c r="B16900" t="s">
        <v>5635</v>
      </c>
      <c r="C16900" t="s">
        <v>26</v>
      </c>
      <c r="D16900" t="s">
        <v>17</v>
      </c>
      <c r="E16900" t="s">
        <v>35</v>
      </c>
      <c r="F16900">
        <v>131951004</v>
      </c>
      <c r="G16900">
        <v>131951005</v>
      </c>
      <c r="H16900">
        <v>131951011</v>
      </c>
      <c r="I16900">
        <v>131951028</v>
      </c>
    </row>
    <row r="16901" spans="1:9" x14ac:dyDescent="0.2">
      <c r="A16901" t="str">
        <f>"Prnp"</f>
        <v>Prnp</v>
      </c>
      <c r="B16901" t="s">
        <v>14</v>
      </c>
      <c r="C16901" t="s">
        <v>26</v>
      </c>
      <c r="D16901" t="s">
        <v>17</v>
      </c>
      <c r="E16901" t="s">
        <v>12</v>
      </c>
      <c r="F16901">
        <v>131909931</v>
      </c>
      <c r="G16901">
        <v>131909948</v>
      </c>
      <c r="H16901">
        <v>131909931</v>
      </c>
      <c r="I16901">
        <v>131909948</v>
      </c>
    </row>
    <row r="16902" spans="1:9" x14ac:dyDescent="0.2">
      <c r="A16902" t="str">
        <f>"Prob1"</f>
        <v>Prob1</v>
      </c>
      <c r="B16902" t="s">
        <v>14</v>
      </c>
      <c r="C16902" t="s">
        <v>43</v>
      </c>
      <c r="D16902" t="s">
        <v>11</v>
      </c>
      <c r="E16902" t="s">
        <v>67</v>
      </c>
      <c r="F16902">
        <v>35655202</v>
      </c>
      <c r="G16902">
        <v>35655240</v>
      </c>
      <c r="H16902">
        <v>35655248</v>
      </c>
      <c r="I16902">
        <v>35655263</v>
      </c>
    </row>
    <row r="16903" spans="1:9" x14ac:dyDescent="0.2">
      <c r="A16903" t="str">
        <f>"Proc"</f>
        <v>Proc</v>
      </c>
      <c r="B16903" t="s">
        <v>14</v>
      </c>
      <c r="C16903" t="s">
        <v>43</v>
      </c>
      <c r="D16903" t="s">
        <v>11</v>
      </c>
      <c r="E16903" t="s">
        <v>12</v>
      </c>
      <c r="F16903">
        <v>32138175</v>
      </c>
      <c r="G16903">
        <v>32138199</v>
      </c>
      <c r="H16903">
        <v>32138162</v>
      </c>
      <c r="I16903">
        <v>32138169</v>
      </c>
    </row>
    <row r="16904" spans="1:9" x14ac:dyDescent="0.2">
      <c r="A16904" t="str">
        <f>"Proca1"</f>
        <v>Proca1</v>
      </c>
      <c r="B16904" t="s">
        <v>9</v>
      </c>
      <c r="C16904" t="s">
        <v>27</v>
      </c>
      <c r="D16904" t="s">
        <v>17</v>
      </c>
      <c r="E16904" t="s">
        <v>12</v>
      </c>
      <c r="F16904">
        <v>78193379</v>
      </c>
      <c r="G16904">
        <v>78193424</v>
      </c>
      <c r="H16904">
        <v>78193379</v>
      </c>
      <c r="I16904">
        <v>78193424</v>
      </c>
    </row>
    <row r="16905" spans="1:9" x14ac:dyDescent="0.2">
      <c r="A16905" t="str">
        <f>"Proca1"</f>
        <v>Proca1</v>
      </c>
      <c r="B16905" t="s">
        <v>13</v>
      </c>
      <c r="C16905" t="s">
        <v>27</v>
      </c>
      <c r="D16905" t="s">
        <v>17</v>
      </c>
      <c r="E16905" t="s">
        <v>12</v>
      </c>
      <c r="F16905">
        <v>78194766</v>
      </c>
      <c r="G16905">
        <v>78194794</v>
      </c>
      <c r="H16905">
        <v>78194766</v>
      </c>
      <c r="I16905">
        <v>78194794</v>
      </c>
    </row>
    <row r="16906" spans="1:9" x14ac:dyDescent="0.2">
      <c r="A16906" t="str">
        <f>"Procr"</f>
        <v>Procr</v>
      </c>
      <c r="B16906" t="s">
        <v>14</v>
      </c>
      <c r="C16906" t="s">
        <v>26</v>
      </c>
      <c r="D16906" t="s">
        <v>17</v>
      </c>
      <c r="E16906" t="s">
        <v>12</v>
      </c>
      <c r="F16906">
        <v>155751199</v>
      </c>
      <c r="G16906">
        <v>155751284</v>
      </c>
      <c r="H16906">
        <v>155751324</v>
      </c>
      <c r="I16906">
        <v>155751335</v>
      </c>
    </row>
    <row r="16907" spans="1:9" x14ac:dyDescent="0.2">
      <c r="A16907" t="str">
        <f>"Prodh"</f>
        <v>Prodh</v>
      </c>
      <c r="B16907" t="s">
        <v>14</v>
      </c>
      <c r="C16907" t="s">
        <v>31</v>
      </c>
      <c r="D16907" t="s">
        <v>11</v>
      </c>
      <c r="E16907" t="s">
        <v>12</v>
      </c>
      <c r="F16907">
        <v>18089153</v>
      </c>
      <c r="G16907">
        <v>18089170</v>
      </c>
      <c r="H16907">
        <v>18089320</v>
      </c>
      <c r="I16907">
        <v>18089349</v>
      </c>
    </row>
    <row r="16908" spans="1:9" x14ac:dyDescent="0.2">
      <c r="A16908" t="str">
        <f>"Prodh2"</f>
        <v>Prodh2</v>
      </c>
      <c r="B16908" t="s">
        <v>14</v>
      </c>
      <c r="C16908" t="s">
        <v>33</v>
      </c>
      <c r="D16908" t="s">
        <v>17</v>
      </c>
      <c r="E16908" t="s">
        <v>12</v>
      </c>
      <c r="F16908">
        <v>30493631</v>
      </c>
      <c r="G16908">
        <v>30493666</v>
      </c>
      <c r="H16908">
        <v>30493631</v>
      </c>
      <c r="I16908">
        <v>30493666</v>
      </c>
    </row>
    <row r="16909" spans="1:9" x14ac:dyDescent="0.2">
      <c r="A16909" t="str">
        <f>"Prok1"</f>
        <v>Prok1</v>
      </c>
      <c r="B16909" t="s">
        <v>14</v>
      </c>
      <c r="C16909" t="s">
        <v>22</v>
      </c>
      <c r="D16909" t="s">
        <v>11</v>
      </c>
      <c r="E16909" t="s">
        <v>12</v>
      </c>
      <c r="F16909">
        <v>107238657</v>
      </c>
      <c r="G16909">
        <v>107238707</v>
      </c>
      <c r="H16909">
        <v>107238657</v>
      </c>
      <c r="I16909">
        <v>107238707</v>
      </c>
    </row>
    <row r="16910" spans="1:9" x14ac:dyDescent="0.2">
      <c r="A16910" t="str">
        <f>"Prok2"</f>
        <v>Prok2</v>
      </c>
      <c r="B16910" t="s">
        <v>14</v>
      </c>
      <c r="C16910" t="s">
        <v>32</v>
      </c>
      <c r="D16910" t="s">
        <v>11</v>
      </c>
      <c r="E16910" t="s">
        <v>12</v>
      </c>
      <c r="F16910">
        <v>99726401</v>
      </c>
      <c r="G16910">
        <v>99726414</v>
      </c>
      <c r="H16910">
        <v>99726334</v>
      </c>
      <c r="I16910">
        <v>99726360</v>
      </c>
    </row>
    <row r="16911" spans="1:9" x14ac:dyDescent="0.2">
      <c r="A16911" t="str">
        <f>"Prokr1"</f>
        <v>Prokr1</v>
      </c>
      <c r="B16911" t="s">
        <v>14</v>
      </c>
      <c r="C16911" t="s">
        <v>32</v>
      </c>
      <c r="D16911" t="s">
        <v>11</v>
      </c>
      <c r="E16911" t="s">
        <v>12</v>
      </c>
      <c r="F16911">
        <v>87590708</v>
      </c>
      <c r="G16911">
        <v>87590748</v>
      </c>
      <c r="H16911">
        <v>87590708</v>
      </c>
      <c r="I16911">
        <v>87590748</v>
      </c>
    </row>
    <row r="16912" spans="1:9" x14ac:dyDescent="0.2">
      <c r="A16912" t="str">
        <f>"Prokr2"</f>
        <v>Prokr2</v>
      </c>
      <c r="B16912" t="s">
        <v>14</v>
      </c>
      <c r="C16912" t="s">
        <v>26</v>
      </c>
      <c r="D16912" t="s">
        <v>11</v>
      </c>
      <c r="E16912" t="s">
        <v>12</v>
      </c>
      <c r="F16912">
        <v>132385392</v>
      </c>
      <c r="G16912">
        <v>132385434</v>
      </c>
      <c r="H16912">
        <v>132385435</v>
      </c>
      <c r="I16912">
        <v>132385448</v>
      </c>
    </row>
    <row r="16913" spans="1:9" x14ac:dyDescent="0.2">
      <c r="A16913" t="str">
        <f>"Prol1"</f>
        <v>Prol1</v>
      </c>
      <c r="B16913" t="s">
        <v>14</v>
      </c>
      <c r="C16913" t="s">
        <v>46</v>
      </c>
      <c r="D16913" t="s">
        <v>17</v>
      </c>
      <c r="E16913" t="s">
        <v>12</v>
      </c>
      <c r="F16913">
        <v>88317287</v>
      </c>
      <c r="G16913">
        <v>88317306</v>
      </c>
      <c r="H16913">
        <v>88317287</v>
      </c>
      <c r="I16913">
        <v>88317306</v>
      </c>
    </row>
    <row r="16914" spans="1:9" x14ac:dyDescent="0.2">
      <c r="A16914" t="str">
        <f>"Prom1"</f>
        <v>Prom1</v>
      </c>
      <c r="B16914" t="s">
        <v>14</v>
      </c>
      <c r="C16914" t="s">
        <v>46</v>
      </c>
      <c r="D16914" t="s">
        <v>11</v>
      </c>
      <c r="E16914" t="s">
        <v>12</v>
      </c>
      <c r="F16914">
        <v>44101668</v>
      </c>
      <c r="G16914">
        <v>44101745</v>
      </c>
      <c r="H16914">
        <v>44102046</v>
      </c>
      <c r="I16914">
        <v>44102061</v>
      </c>
    </row>
    <row r="16915" spans="1:9" x14ac:dyDescent="0.2">
      <c r="A16915" t="str">
        <f>"Prom2"</f>
        <v>Prom2</v>
      </c>
      <c r="B16915" t="s">
        <v>14</v>
      </c>
      <c r="C16915" t="s">
        <v>26</v>
      </c>
      <c r="D16915" t="s">
        <v>11</v>
      </c>
      <c r="E16915" t="s">
        <v>12</v>
      </c>
      <c r="F16915">
        <v>127541389</v>
      </c>
      <c r="G16915">
        <v>127541405</v>
      </c>
      <c r="H16915">
        <v>127541412</v>
      </c>
      <c r="I16915">
        <v>127541454</v>
      </c>
    </row>
    <row r="16916" spans="1:9" x14ac:dyDescent="0.2">
      <c r="A16916" t="str">
        <f>"Prop1"</f>
        <v>Prop1</v>
      </c>
      <c r="B16916" t="s">
        <v>9</v>
      </c>
      <c r="C16916" t="s">
        <v>27</v>
      </c>
      <c r="D16916" t="s">
        <v>11</v>
      </c>
      <c r="E16916" t="s">
        <v>12</v>
      </c>
      <c r="F16916">
        <v>50953745</v>
      </c>
      <c r="G16916">
        <v>50953768</v>
      </c>
      <c r="H16916">
        <v>50953745</v>
      </c>
      <c r="I16916">
        <v>50953768</v>
      </c>
    </row>
    <row r="16917" spans="1:9" x14ac:dyDescent="0.2">
      <c r="A16917" t="str">
        <f>"Prop1"</f>
        <v>Prop1</v>
      </c>
      <c r="B16917" t="s">
        <v>13</v>
      </c>
      <c r="C16917" t="s">
        <v>27</v>
      </c>
      <c r="D16917" t="s">
        <v>11</v>
      </c>
      <c r="E16917" t="s">
        <v>12</v>
      </c>
      <c r="F16917">
        <v>50952448</v>
      </c>
      <c r="G16917">
        <v>50952464</v>
      </c>
      <c r="H16917">
        <v>50952448</v>
      </c>
      <c r="I16917">
        <v>50952464</v>
      </c>
    </row>
    <row r="16918" spans="1:9" x14ac:dyDescent="0.2">
      <c r="A16918" t="str">
        <f>"Prorsd1"</f>
        <v>Prorsd1</v>
      </c>
      <c r="B16918" t="s">
        <v>14</v>
      </c>
      <c r="C16918" t="s">
        <v>27</v>
      </c>
      <c r="D16918" t="s">
        <v>11</v>
      </c>
      <c r="E16918" t="s">
        <v>12</v>
      </c>
      <c r="F16918">
        <v>29515017</v>
      </c>
      <c r="G16918">
        <v>29515040</v>
      </c>
      <c r="H16918">
        <v>29514999</v>
      </c>
      <c r="I16918">
        <v>29515013</v>
      </c>
    </row>
    <row r="16919" spans="1:9" x14ac:dyDescent="0.2">
      <c r="A16919" t="str">
        <f>"Pros1"</f>
        <v>Pros1</v>
      </c>
      <c r="B16919" t="s">
        <v>14</v>
      </c>
      <c r="C16919" t="s">
        <v>31</v>
      </c>
      <c r="D16919" t="s">
        <v>17</v>
      </c>
      <c r="E16919" t="s">
        <v>12</v>
      </c>
      <c r="F16919">
        <v>62854317</v>
      </c>
      <c r="G16919">
        <v>62854333</v>
      </c>
      <c r="H16919">
        <v>62854347</v>
      </c>
      <c r="I16919">
        <v>62854361</v>
      </c>
    </row>
    <row r="16920" spans="1:9" x14ac:dyDescent="0.2">
      <c r="A16920" t="str">
        <f>"Prosc"</f>
        <v>Prosc</v>
      </c>
      <c r="B16920" t="s">
        <v>14</v>
      </c>
      <c r="C16920" t="s">
        <v>30</v>
      </c>
      <c r="D16920" t="s">
        <v>17</v>
      </c>
      <c r="E16920" t="s">
        <v>12</v>
      </c>
      <c r="F16920">
        <v>27042592</v>
      </c>
      <c r="G16920">
        <v>27042630</v>
      </c>
      <c r="H16920">
        <v>27042558</v>
      </c>
      <c r="I16920">
        <v>27042589</v>
      </c>
    </row>
    <row r="16921" spans="1:9" x14ac:dyDescent="0.2">
      <c r="A16921" t="str">
        <f>"Proser1"</f>
        <v>Proser1</v>
      </c>
      <c r="B16921" t="s">
        <v>14</v>
      </c>
      <c r="C16921" t="s">
        <v>22</v>
      </c>
      <c r="D16921" t="s">
        <v>17</v>
      </c>
      <c r="E16921" t="s">
        <v>67</v>
      </c>
      <c r="F16921">
        <v>53463779</v>
      </c>
      <c r="G16921">
        <v>53463822</v>
      </c>
      <c r="H16921">
        <v>53463574</v>
      </c>
      <c r="I16921">
        <v>53463590</v>
      </c>
    </row>
    <row r="16922" spans="1:9" x14ac:dyDescent="0.2">
      <c r="A16922" t="str">
        <f>"Proser2"</f>
        <v>Proser2</v>
      </c>
      <c r="B16922" t="s">
        <v>14</v>
      </c>
      <c r="C16922" t="s">
        <v>26</v>
      </c>
      <c r="D16922" t="s">
        <v>11</v>
      </c>
      <c r="E16922" t="s">
        <v>67</v>
      </c>
      <c r="F16922">
        <v>6130117</v>
      </c>
      <c r="G16922">
        <v>6130167</v>
      </c>
      <c r="H16922">
        <v>6130176</v>
      </c>
      <c r="I16922">
        <v>6130189</v>
      </c>
    </row>
    <row r="16923" spans="1:9" x14ac:dyDescent="0.2">
      <c r="A16923" t="str">
        <f>"Prox1"</f>
        <v>Prox1</v>
      </c>
      <c r="B16923" t="s">
        <v>14</v>
      </c>
      <c r="C16923" t="s">
        <v>19</v>
      </c>
      <c r="D16923" t="s">
        <v>11</v>
      </c>
      <c r="E16923" t="s">
        <v>12</v>
      </c>
      <c r="F16923">
        <v>190170671</v>
      </c>
      <c r="G16923">
        <v>190170744</v>
      </c>
      <c r="H16923">
        <v>190170671</v>
      </c>
      <c r="I16923">
        <v>190170744</v>
      </c>
    </row>
    <row r="16924" spans="1:9" x14ac:dyDescent="0.2">
      <c r="A16924" t="str">
        <f>"Prox2"</f>
        <v>Prox2</v>
      </c>
      <c r="B16924" t="s">
        <v>14</v>
      </c>
      <c r="C16924" t="s">
        <v>16</v>
      </c>
      <c r="D16924" t="s">
        <v>11</v>
      </c>
      <c r="E16924" t="s">
        <v>12</v>
      </c>
      <c r="F16924">
        <v>85106429</v>
      </c>
      <c r="G16924">
        <v>85106433</v>
      </c>
      <c r="H16924">
        <v>85106429</v>
      </c>
      <c r="I16924">
        <v>85106433</v>
      </c>
    </row>
    <row r="16925" spans="1:9" x14ac:dyDescent="0.2">
      <c r="A16925" t="str">
        <f>"Proz"</f>
        <v>Proz</v>
      </c>
      <c r="B16925" t="s">
        <v>14</v>
      </c>
      <c r="C16925" t="s">
        <v>30</v>
      </c>
      <c r="D16925" t="s">
        <v>17</v>
      </c>
      <c r="E16925" t="s">
        <v>12</v>
      </c>
      <c r="F16925">
        <v>13060982</v>
      </c>
      <c r="G16925">
        <v>13061027</v>
      </c>
      <c r="H16925">
        <v>13060921</v>
      </c>
      <c r="I16925">
        <v>13060960</v>
      </c>
    </row>
    <row r="16926" spans="1:9" x14ac:dyDescent="0.2">
      <c r="A16926" t="str">
        <f>"Prp2"</f>
        <v>Prp2</v>
      </c>
      <c r="B16926" t="s">
        <v>14</v>
      </c>
      <c r="C16926" t="s">
        <v>32</v>
      </c>
      <c r="D16926" t="s">
        <v>17</v>
      </c>
      <c r="E16926" t="s">
        <v>12</v>
      </c>
      <c r="F16926">
        <v>132595909</v>
      </c>
      <c r="G16926">
        <v>132595913</v>
      </c>
      <c r="H16926">
        <v>132595909</v>
      </c>
      <c r="I16926">
        <v>132595913</v>
      </c>
    </row>
    <row r="16927" spans="1:9" x14ac:dyDescent="0.2">
      <c r="A16927" t="str">
        <f>"Prpf18"</f>
        <v>Prpf18</v>
      </c>
      <c r="B16927" t="s">
        <v>14</v>
      </c>
      <c r="C16927" t="s">
        <v>26</v>
      </c>
      <c r="D16927" t="s">
        <v>11</v>
      </c>
      <c r="E16927" t="s">
        <v>12</v>
      </c>
      <c r="F16927">
        <v>4652087</v>
      </c>
      <c r="G16927">
        <v>4652140</v>
      </c>
      <c r="H16927">
        <v>4652060</v>
      </c>
      <c r="I16927">
        <v>4652077</v>
      </c>
    </row>
    <row r="16928" spans="1:9" x14ac:dyDescent="0.2">
      <c r="A16928" t="str">
        <f>"Prpf19"</f>
        <v>Prpf19</v>
      </c>
      <c r="B16928" t="s">
        <v>14</v>
      </c>
      <c r="C16928" t="s">
        <v>10</v>
      </c>
      <c r="D16928" t="s">
        <v>17</v>
      </c>
      <c r="E16928" t="s">
        <v>12</v>
      </c>
      <c r="F16928">
        <v>10895225</v>
      </c>
      <c r="G16928">
        <v>10895272</v>
      </c>
      <c r="H16928">
        <v>10895274</v>
      </c>
      <c r="I16928">
        <v>10895313</v>
      </c>
    </row>
    <row r="16929" spans="1:9" x14ac:dyDescent="0.2">
      <c r="A16929" t="str">
        <f>"Prpf3"</f>
        <v>Prpf3</v>
      </c>
      <c r="B16929" t="s">
        <v>14</v>
      </c>
      <c r="C16929" t="s">
        <v>22</v>
      </c>
      <c r="D16929" t="s">
        <v>11</v>
      </c>
      <c r="E16929" t="s">
        <v>12</v>
      </c>
      <c r="F16929">
        <v>95855777</v>
      </c>
      <c r="G16929">
        <v>95855822</v>
      </c>
      <c r="H16929">
        <v>95855860</v>
      </c>
      <c r="I16929">
        <v>95855889</v>
      </c>
    </row>
    <row r="16930" spans="1:9" x14ac:dyDescent="0.2">
      <c r="A16930" t="str">
        <f>"Prpf31"</f>
        <v>Prpf31</v>
      </c>
      <c r="B16930" t="s">
        <v>14</v>
      </c>
      <c r="C16930" t="s">
        <v>33</v>
      </c>
      <c r="D16930" t="s">
        <v>17</v>
      </c>
      <c r="E16930" t="s">
        <v>12</v>
      </c>
      <c r="F16930">
        <v>3629985</v>
      </c>
      <c r="G16930">
        <v>3630037</v>
      </c>
      <c r="H16930">
        <v>3629985</v>
      </c>
      <c r="I16930">
        <v>3630037</v>
      </c>
    </row>
    <row r="16931" spans="1:9" x14ac:dyDescent="0.2">
      <c r="A16931" t="str">
        <f>"Prpf38a"</f>
        <v>Prpf38a</v>
      </c>
      <c r="B16931" t="s">
        <v>14</v>
      </c>
      <c r="C16931" t="s">
        <v>23</v>
      </c>
      <c r="D16931" t="s">
        <v>11</v>
      </c>
      <c r="E16931" t="s">
        <v>12</v>
      </c>
      <c r="F16931">
        <v>108579248</v>
      </c>
      <c r="G16931">
        <v>108579308</v>
      </c>
      <c r="H16931">
        <v>108579330</v>
      </c>
      <c r="I16931">
        <v>108579352</v>
      </c>
    </row>
    <row r="16932" spans="1:9" x14ac:dyDescent="0.2">
      <c r="A16932" t="str">
        <f>"Prpf38b"</f>
        <v>Prpf38b</v>
      </c>
      <c r="B16932" t="s">
        <v>14</v>
      </c>
      <c r="C16932" t="s">
        <v>22</v>
      </c>
      <c r="D16932" t="s">
        <v>11</v>
      </c>
      <c r="E16932" t="s">
        <v>12</v>
      </c>
      <c r="F16932">
        <v>108911687</v>
      </c>
      <c r="G16932">
        <v>108911746</v>
      </c>
      <c r="H16932">
        <v>108911670</v>
      </c>
      <c r="I16932">
        <v>108911684</v>
      </c>
    </row>
    <row r="16933" spans="1:9" x14ac:dyDescent="0.2">
      <c r="A16933" t="str">
        <f>"Prpf39"</f>
        <v>Prpf39</v>
      </c>
      <c r="B16933" t="s">
        <v>14</v>
      </c>
      <c r="C16933" t="s">
        <v>16</v>
      </c>
      <c r="D16933" t="s">
        <v>17</v>
      </c>
      <c r="E16933" t="s">
        <v>12</v>
      </c>
      <c r="F16933">
        <v>65036319</v>
      </c>
      <c r="G16933">
        <v>65036358</v>
      </c>
      <c r="H16933">
        <v>65036319</v>
      </c>
      <c r="I16933">
        <v>65036358</v>
      </c>
    </row>
    <row r="16934" spans="1:9" x14ac:dyDescent="0.2">
      <c r="A16934" t="str">
        <f>"Prpf4"</f>
        <v>Prpf4</v>
      </c>
      <c r="B16934" t="s">
        <v>14</v>
      </c>
      <c r="C16934" t="s">
        <v>23</v>
      </c>
      <c r="D16934" t="s">
        <v>17</v>
      </c>
      <c r="E16934" t="s">
        <v>12</v>
      </c>
      <c r="F16934">
        <v>62408770</v>
      </c>
      <c r="G16934">
        <v>62408865</v>
      </c>
      <c r="H16934">
        <v>62408770</v>
      </c>
      <c r="I16934">
        <v>62408865</v>
      </c>
    </row>
    <row r="16935" spans="1:9" x14ac:dyDescent="0.2">
      <c r="A16935" t="str">
        <f>"Prpf40a"</f>
        <v>Prpf40a</v>
      </c>
      <c r="B16935" t="s">
        <v>14</v>
      </c>
      <c r="C16935" t="s">
        <v>26</v>
      </c>
      <c r="D16935" t="s">
        <v>11</v>
      </c>
      <c r="E16935" t="s">
        <v>12</v>
      </c>
      <c r="F16935">
        <v>53191214</v>
      </c>
      <c r="G16935">
        <v>53191260</v>
      </c>
      <c r="H16935">
        <v>53191195</v>
      </c>
      <c r="I16935">
        <v>53191209</v>
      </c>
    </row>
    <row r="16936" spans="1:9" x14ac:dyDescent="0.2">
      <c r="A16936" t="str">
        <f>"Prpf40b"</f>
        <v>Prpf40b</v>
      </c>
      <c r="B16936" t="s">
        <v>14</v>
      </c>
      <c r="C16936" t="s">
        <v>25</v>
      </c>
      <c r="D16936" t="s">
        <v>17</v>
      </c>
      <c r="E16936" t="s">
        <v>12</v>
      </c>
      <c r="F16936">
        <v>99295211</v>
      </c>
      <c r="G16936">
        <v>99295279</v>
      </c>
      <c r="H16936">
        <v>99295074</v>
      </c>
      <c r="I16936">
        <v>99295094</v>
      </c>
    </row>
    <row r="16937" spans="1:9" x14ac:dyDescent="0.2">
      <c r="A16937" t="str">
        <f>"Prpf4b"</f>
        <v>Prpf4b</v>
      </c>
      <c r="B16937" t="s">
        <v>14</v>
      </c>
      <c r="C16937" t="s">
        <v>39</v>
      </c>
      <c r="D16937" t="s">
        <v>17</v>
      </c>
      <c r="E16937" t="s">
        <v>12</v>
      </c>
      <c r="F16937">
        <v>34875520</v>
      </c>
      <c r="G16937">
        <v>34875562</v>
      </c>
      <c r="H16937">
        <v>34875563</v>
      </c>
      <c r="I16937">
        <v>34875602</v>
      </c>
    </row>
    <row r="16938" spans="1:9" x14ac:dyDescent="0.2">
      <c r="A16938" t="str">
        <f>"Prpf6"</f>
        <v>Prpf6</v>
      </c>
      <c r="B16938" t="s">
        <v>14</v>
      </c>
      <c r="C16938" t="s">
        <v>26</v>
      </c>
      <c r="D16938" t="s">
        <v>17</v>
      </c>
      <c r="E16938" t="s">
        <v>12</v>
      </c>
      <c r="F16938">
        <v>181601347</v>
      </c>
      <c r="G16938">
        <v>181601415</v>
      </c>
      <c r="H16938">
        <v>181601328</v>
      </c>
      <c r="I16938">
        <v>181601344</v>
      </c>
    </row>
    <row r="16939" spans="1:9" x14ac:dyDescent="0.2">
      <c r="A16939" t="str">
        <f>"Prpf8"</f>
        <v>Prpf8</v>
      </c>
      <c r="B16939" t="s">
        <v>14</v>
      </c>
      <c r="C16939" t="s">
        <v>27</v>
      </c>
      <c r="D16939" t="s">
        <v>17</v>
      </c>
      <c r="E16939" t="s">
        <v>12</v>
      </c>
      <c r="F16939">
        <v>75486813</v>
      </c>
      <c r="G16939">
        <v>75486866</v>
      </c>
      <c r="H16939">
        <v>75486813</v>
      </c>
      <c r="I16939">
        <v>75486866</v>
      </c>
    </row>
    <row r="16940" spans="1:9" x14ac:dyDescent="0.2">
      <c r="A16940" t="str">
        <f>"Prph"</f>
        <v>Prph</v>
      </c>
      <c r="B16940" t="s">
        <v>14</v>
      </c>
      <c r="C16940" t="s">
        <v>25</v>
      </c>
      <c r="D16940" t="s">
        <v>17</v>
      </c>
      <c r="E16940" t="s">
        <v>12</v>
      </c>
      <c r="F16940">
        <v>99055164</v>
      </c>
      <c r="G16940">
        <v>99055183</v>
      </c>
      <c r="H16940">
        <v>99055164</v>
      </c>
      <c r="I16940">
        <v>99055183</v>
      </c>
    </row>
    <row r="16941" spans="1:9" x14ac:dyDescent="0.2">
      <c r="A16941" t="str">
        <f>"Prph2"</f>
        <v>Prph2</v>
      </c>
      <c r="B16941" t="s">
        <v>14</v>
      </c>
      <c r="C16941" t="s">
        <v>28</v>
      </c>
      <c r="D16941" t="s">
        <v>17</v>
      </c>
      <c r="E16941" t="s">
        <v>12</v>
      </c>
      <c r="F16941">
        <v>46910469</v>
      </c>
      <c r="G16941">
        <v>46910487</v>
      </c>
      <c r="H16941">
        <v>46910452</v>
      </c>
      <c r="I16941">
        <v>46910464</v>
      </c>
    </row>
    <row r="16942" spans="1:9" x14ac:dyDescent="0.2">
      <c r="A16942" t="str">
        <f>"Prpmp5"</f>
        <v>Prpmp5</v>
      </c>
      <c r="B16942" t="s">
        <v>5636</v>
      </c>
      <c r="C16942" t="s">
        <v>32</v>
      </c>
      <c r="D16942" t="s">
        <v>11</v>
      </c>
      <c r="E16942" t="s">
        <v>20</v>
      </c>
      <c r="F16942">
        <v>132314756</v>
      </c>
      <c r="G16942">
        <v>132314756</v>
      </c>
      <c r="H16942">
        <v>132314756</v>
      </c>
      <c r="I16942">
        <v>132314756</v>
      </c>
    </row>
    <row r="16943" spans="1:9" x14ac:dyDescent="0.2">
      <c r="A16943" t="str">
        <f>"Prps1"</f>
        <v>Prps1</v>
      </c>
      <c r="B16943" t="s">
        <v>14</v>
      </c>
      <c r="C16943" t="s">
        <v>37</v>
      </c>
      <c r="D16943" t="s">
        <v>17</v>
      </c>
      <c r="E16943" t="s">
        <v>12</v>
      </c>
      <c r="F16943">
        <v>140456618</v>
      </c>
      <c r="G16943">
        <v>140456632</v>
      </c>
      <c r="H16943">
        <v>140456482</v>
      </c>
      <c r="I16943">
        <v>140456504</v>
      </c>
    </row>
    <row r="16944" spans="1:9" x14ac:dyDescent="0.2">
      <c r="A16944" t="str">
        <f>"Prps1l3"</f>
        <v>Prps1l3</v>
      </c>
      <c r="B16944" t="s">
        <v>14</v>
      </c>
      <c r="C16944" t="s">
        <v>16</v>
      </c>
      <c r="D16944" t="s">
        <v>17</v>
      </c>
      <c r="E16944" t="s">
        <v>12</v>
      </c>
      <c r="F16944">
        <v>57230406</v>
      </c>
      <c r="G16944">
        <v>57230460</v>
      </c>
      <c r="H16944">
        <v>57230406</v>
      </c>
      <c r="I16944">
        <v>57230460</v>
      </c>
    </row>
    <row r="16945" spans="1:9" x14ac:dyDescent="0.2">
      <c r="A16945" t="str">
        <f>"Prps2"</f>
        <v>Prps2</v>
      </c>
      <c r="B16945" t="s">
        <v>14</v>
      </c>
      <c r="C16945" t="s">
        <v>37</v>
      </c>
      <c r="D16945" t="s">
        <v>11</v>
      </c>
      <c r="E16945" t="s">
        <v>12</v>
      </c>
      <c r="F16945">
        <v>167382672</v>
      </c>
      <c r="G16945">
        <v>167382738</v>
      </c>
      <c r="H16945">
        <v>167382747</v>
      </c>
      <c r="I16945">
        <v>167382760</v>
      </c>
    </row>
    <row r="16946" spans="1:9" x14ac:dyDescent="0.2">
      <c r="A16946" t="str">
        <f>"Prpsap1"</f>
        <v>Prpsap1</v>
      </c>
      <c r="B16946" t="s">
        <v>14</v>
      </c>
      <c r="C16946" t="s">
        <v>27</v>
      </c>
      <c r="D16946" t="s">
        <v>11</v>
      </c>
      <c r="E16946" t="s">
        <v>12</v>
      </c>
      <c r="F16946">
        <v>116490299</v>
      </c>
      <c r="G16946">
        <v>116490365</v>
      </c>
      <c r="H16946">
        <v>116490299</v>
      </c>
      <c r="I16946">
        <v>116490365</v>
      </c>
    </row>
    <row r="16947" spans="1:9" x14ac:dyDescent="0.2">
      <c r="A16947" t="str">
        <f>"Prpsap2"</f>
        <v>Prpsap2</v>
      </c>
      <c r="B16947" t="s">
        <v>14</v>
      </c>
      <c r="C16947" t="s">
        <v>27</v>
      </c>
      <c r="D16947" t="s">
        <v>11</v>
      </c>
      <c r="E16947" t="s">
        <v>12</v>
      </c>
      <c r="F16947">
        <v>61762040</v>
      </c>
      <c r="G16947">
        <v>61762082</v>
      </c>
      <c r="H16947">
        <v>61762100</v>
      </c>
      <c r="I16947">
        <v>61762109</v>
      </c>
    </row>
    <row r="16948" spans="1:9" x14ac:dyDescent="0.2">
      <c r="A16948" t="str">
        <f>"Prr11"</f>
        <v>Prr11</v>
      </c>
      <c r="B16948" t="s">
        <v>14</v>
      </c>
      <c r="C16948" t="s">
        <v>27</v>
      </c>
      <c r="D16948" t="s">
        <v>11</v>
      </c>
      <c r="E16948" t="s">
        <v>12</v>
      </c>
      <c r="F16948">
        <v>87108656</v>
      </c>
      <c r="G16948">
        <v>87108719</v>
      </c>
      <c r="H16948">
        <v>87108766</v>
      </c>
      <c r="I16948">
        <v>87108783</v>
      </c>
    </row>
    <row r="16949" spans="1:9" x14ac:dyDescent="0.2">
      <c r="A16949" t="str">
        <f>"Prr12"</f>
        <v>Prr12</v>
      </c>
      <c r="B16949" t="s">
        <v>14</v>
      </c>
      <c r="C16949" t="s">
        <v>33</v>
      </c>
      <c r="D16949" t="s">
        <v>11</v>
      </c>
      <c r="E16949" t="s">
        <v>12</v>
      </c>
      <c r="F16949">
        <v>45053304</v>
      </c>
      <c r="G16949">
        <v>45053342</v>
      </c>
      <c r="H16949">
        <v>45052865</v>
      </c>
      <c r="I16949">
        <v>45052914</v>
      </c>
    </row>
    <row r="16950" spans="1:9" x14ac:dyDescent="0.2">
      <c r="A16950" t="str">
        <f>"Prr13"</f>
        <v>Prr13</v>
      </c>
      <c r="B16950" t="s">
        <v>14</v>
      </c>
      <c r="C16950" t="s">
        <v>25</v>
      </c>
      <c r="D16950" t="s">
        <v>17</v>
      </c>
      <c r="E16950" t="s">
        <v>12</v>
      </c>
      <c r="F16950">
        <v>102459193</v>
      </c>
      <c r="G16950">
        <v>102459220</v>
      </c>
      <c r="H16950">
        <v>102460076</v>
      </c>
      <c r="I16950">
        <v>102460108</v>
      </c>
    </row>
    <row r="16951" spans="1:9" x14ac:dyDescent="0.2">
      <c r="A16951" t="str">
        <f>"Prr14"</f>
        <v>Prr14</v>
      </c>
      <c r="B16951" t="s">
        <v>14</v>
      </c>
      <c r="C16951" t="s">
        <v>33</v>
      </c>
      <c r="D16951" t="s">
        <v>17</v>
      </c>
      <c r="E16951" t="s">
        <v>12</v>
      </c>
      <c r="F16951">
        <v>127471009</v>
      </c>
      <c r="G16951">
        <v>127471036</v>
      </c>
      <c r="H16951">
        <v>127471484</v>
      </c>
      <c r="I16951">
        <v>127471551</v>
      </c>
    </row>
    <row r="16952" spans="1:9" x14ac:dyDescent="0.2">
      <c r="A16952" t="str">
        <f>"Prr14l"</f>
        <v>Prr14l</v>
      </c>
      <c r="B16952" t="s">
        <v>14</v>
      </c>
      <c r="C16952" t="s">
        <v>46</v>
      </c>
      <c r="D16952" t="s">
        <v>11</v>
      </c>
      <c r="E16952" t="s">
        <v>67</v>
      </c>
      <c r="F16952">
        <v>32854185</v>
      </c>
      <c r="G16952">
        <v>32854248</v>
      </c>
      <c r="H16952">
        <v>32854301</v>
      </c>
      <c r="I16952">
        <v>32854306</v>
      </c>
    </row>
    <row r="16953" spans="1:9" x14ac:dyDescent="0.2">
      <c r="A16953" t="str">
        <f>"Prr15"</f>
        <v>Prr15</v>
      </c>
      <c r="B16953" t="s">
        <v>14</v>
      </c>
      <c r="C16953" t="s">
        <v>32</v>
      </c>
      <c r="D16953" t="s">
        <v>17</v>
      </c>
      <c r="E16953" t="s">
        <v>12</v>
      </c>
      <c r="F16953">
        <v>54326891</v>
      </c>
      <c r="G16953">
        <v>54326914</v>
      </c>
      <c r="H16953">
        <v>54326852</v>
      </c>
      <c r="I16953">
        <v>54326888</v>
      </c>
    </row>
    <row r="16954" spans="1:9" x14ac:dyDescent="0.2">
      <c r="A16954" t="str">
        <f>"Prr15l"</f>
        <v>Prr15l</v>
      </c>
      <c r="B16954" t="s">
        <v>14</v>
      </c>
      <c r="C16954" t="s">
        <v>27</v>
      </c>
      <c r="D16954" t="s">
        <v>17</v>
      </c>
      <c r="E16954" t="s">
        <v>12</v>
      </c>
      <c r="F16954">
        <v>96929260</v>
      </c>
      <c r="G16954">
        <v>96929324</v>
      </c>
      <c r="H16954">
        <v>96929325</v>
      </c>
      <c r="I16954">
        <v>96929349</v>
      </c>
    </row>
    <row r="16955" spans="1:9" x14ac:dyDescent="0.2">
      <c r="A16955" t="str">
        <f>"Prr16"</f>
        <v>Prr16</v>
      </c>
      <c r="B16955" t="s">
        <v>14</v>
      </c>
      <c r="C16955" t="s">
        <v>43</v>
      </c>
      <c r="D16955" t="s">
        <v>17</v>
      </c>
      <c r="E16955" t="s">
        <v>12</v>
      </c>
      <c r="F16955">
        <v>51117675</v>
      </c>
      <c r="G16955">
        <v>51117750</v>
      </c>
      <c r="H16955">
        <v>51117754</v>
      </c>
      <c r="I16955">
        <v>51117765</v>
      </c>
    </row>
    <row r="16956" spans="1:9" x14ac:dyDescent="0.2">
      <c r="A16956" t="str">
        <f>"Prr18"</f>
        <v>Prr18</v>
      </c>
      <c r="B16956" t="s">
        <v>14</v>
      </c>
      <c r="C16956" t="s">
        <v>28</v>
      </c>
      <c r="D16956" t="s">
        <v>17</v>
      </c>
      <c r="E16956" t="s">
        <v>12</v>
      </c>
      <c r="F16956">
        <v>8340710</v>
      </c>
      <c r="G16956">
        <v>8340747</v>
      </c>
      <c r="H16956">
        <v>8340408</v>
      </c>
      <c r="I16956">
        <v>8340450</v>
      </c>
    </row>
    <row r="16957" spans="1:9" x14ac:dyDescent="0.2">
      <c r="A16957" t="str">
        <f>"Prr19"</f>
        <v>Prr19</v>
      </c>
      <c r="B16957" t="s">
        <v>14</v>
      </c>
      <c r="C16957" t="s">
        <v>33</v>
      </c>
      <c r="D16957" t="s">
        <v>17</v>
      </c>
      <c r="E16957" t="s">
        <v>12</v>
      </c>
      <c r="F16957">
        <v>25301343</v>
      </c>
      <c r="G16957">
        <v>25301362</v>
      </c>
      <c r="H16957">
        <v>25301366</v>
      </c>
      <c r="I16957">
        <v>25301380</v>
      </c>
    </row>
    <row r="16958" spans="1:9" x14ac:dyDescent="0.2">
      <c r="A16958" t="str">
        <f>"Prr22"</f>
        <v>Prr22</v>
      </c>
      <c r="B16958" t="s">
        <v>14</v>
      </c>
      <c r="C16958" t="s">
        <v>28</v>
      </c>
      <c r="D16958" t="s">
        <v>17</v>
      </c>
      <c r="E16958" t="s">
        <v>12</v>
      </c>
      <c r="F16958">
        <v>56770258</v>
      </c>
      <c r="G16958">
        <v>56770305</v>
      </c>
      <c r="H16958">
        <v>56770258</v>
      </c>
      <c r="I16958">
        <v>56770305</v>
      </c>
    </row>
    <row r="16959" spans="1:9" x14ac:dyDescent="0.2">
      <c r="A16959" t="str">
        <f>"Prr23a"</f>
        <v>Prr23a</v>
      </c>
      <c r="B16959" t="s">
        <v>14</v>
      </c>
      <c r="C16959" t="s">
        <v>24</v>
      </c>
      <c r="D16959" t="s">
        <v>17</v>
      </c>
      <c r="E16959" t="s">
        <v>12</v>
      </c>
      <c r="F16959">
        <v>98842461</v>
      </c>
      <c r="G16959">
        <v>98842465</v>
      </c>
      <c r="H16959">
        <v>98842461</v>
      </c>
      <c r="I16959">
        <v>98842465</v>
      </c>
    </row>
    <row r="16960" spans="1:9" x14ac:dyDescent="0.2">
      <c r="A16960" t="str">
        <f>"Prr24"</f>
        <v>Prr24</v>
      </c>
      <c r="B16960" t="s">
        <v>14</v>
      </c>
      <c r="C16960" t="s">
        <v>33</v>
      </c>
      <c r="D16960" t="s">
        <v>11</v>
      </c>
      <c r="E16960" t="s">
        <v>12</v>
      </c>
      <c r="F16960">
        <v>16273260</v>
      </c>
      <c r="G16960">
        <v>16273331</v>
      </c>
      <c r="H16960">
        <v>16273912</v>
      </c>
      <c r="I16960">
        <v>16273926</v>
      </c>
    </row>
    <row r="16961" spans="1:9" x14ac:dyDescent="0.2">
      <c r="A16961" t="str">
        <f>"Prr3"</f>
        <v>Prr3</v>
      </c>
      <c r="B16961" t="s">
        <v>14</v>
      </c>
      <c r="C16961" t="s">
        <v>28</v>
      </c>
      <c r="D16961" t="s">
        <v>11</v>
      </c>
      <c r="E16961" t="s">
        <v>12</v>
      </c>
      <c r="F16961">
        <v>35979237</v>
      </c>
      <c r="G16961">
        <v>35979308</v>
      </c>
      <c r="H16961">
        <v>35980197</v>
      </c>
      <c r="I16961">
        <v>35980235</v>
      </c>
    </row>
    <row r="16962" spans="1:9" x14ac:dyDescent="0.2">
      <c r="A16962" t="str">
        <f>"Prr5"</f>
        <v>Prr5</v>
      </c>
      <c r="B16962" t="s">
        <v>9</v>
      </c>
      <c r="C16962" t="s">
        <v>25</v>
      </c>
      <c r="D16962" t="s">
        <v>17</v>
      </c>
      <c r="E16962" t="s">
        <v>12</v>
      </c>
      <c r="F16962">
        <v>84680974</v>
      </c>
      <c r="G16962">
        <v>84681044</v>
      </c>
      <c r="H16962">
        <v>84680974</v>
      </c>
      <c r="I16962">
        <v>84681044</v>
      </c>
    </row>
    <row r="16963" spans="1:9" x14ac:dyDescent="0.2">
      <c r="A16963" t="str">
        <f>"Prr5"</f>
        <v>Prr5</v>
      </c>
      <c r="B16963" t="s">
        <v>13</v>
      </c>
      <c r="C16963" t="s">
        <v>25</v>
      </c>
      <c r="D16963" t="s">
        <v>17</v>
      </c>
      <c r="E16963" t="s">
        <v>12</v>
      </c>
      <c r="F16963">
        <v>84663188</v>
      </c>
      <c r="G16963">
        <v>84663234</v>
      </c>
      <c r="H16963">
        <v>84663188</v>
      </c>
      <c r="I16963">
        <v>84663234</v>
      </c>
    </row>
    <row r="16964" spans="1:9" x14ac:dyDescent="0.2">
      <c r="A16964" t="str">
        <f>"Prr5l"</f>
        <v>Prr5l</v>
      </c>
      <c r="B16964" t="s">
        <v>14</v>
      </c>
      <c r="C16964" t="s">
        <v>26</v>
      </c>
      <c r="D16964" t="s">
        <v>11</v>
      </c>
      <c r="E16964" t="s">
        <v>12</v>
      </c>
      <c r="F16964">
        <v>101797658</v>
      </c>
      <c r="G16964">
        <v>101797694</v>
      </c>
      <c r="H16964">
        <v>101797658</v>
      </c>
      <c r="I16964">
        <v>101797694</v>
      </c>
    </row>
    <row r="16965" spans="1:9" x14ac:dyDescent="0.2">
      <c r="A16965" t="str">
        <f>"Prr7"</f>
        <v>Prr7</v>
      </c>
      <c r="B16965" t="s">
        <v>14</v>
      </c>
      <c r="C16965" t="s">
        <v>39</v>
      </c>
      <c r="D16965" t="s">
        <v>17</v>
      </c>
      <c r="E16965" t="s">
        <v>12</v>
      </c>
      <c r="F16965">
        <v>55464237</v>
      </c>
      <c r="G16965">
        <v>55464319</v>
      </c>
      <c r="H16965">
        <v>55464217</v>
      </c>
      <c r="I16965">
        <v>55464220</v>
      </c>
    </row>
    <row r="16966" spans="1:9" x14ac:dyDescent="0.2">
      <c r="A16966" t="str">
        <f>"Prr9"</f>
        <v>Prr9</v>
      </c>
      <c r="B16966" t="s">
        <v>14</v>
      </c>
      <c r="C16966" t="s">
        <v>22</v>
      </c>
      <c r="D16966" t="s">
        <v>11</v>
      </c>
      <c r="E16966" t="s">
        <v>12</v>
      </c>
      <c r="F16966">
        <v>92123943</v>
      </c>
      <c r="G16966">
        <v>92123953</v>
      </c>
      <c r="H16966">
        <v>92123943</v>
      </c>
      <c r="I16966">
        <v>92123953</v>
      </c>
    </row>
    <row r="16967" spans="1:9" x14ac:dyDescent="0.2">
      <c r="A16967" t="str">
        <f>"Prrc1"</f>
        <v>Prrc1</v>
      </c>
      <c r="B16967" t="s">
        <v>14</v>
      </c>
      <c r="C16967" t="s">
        <v>43</v>
      </c>
      <c r="D16967" t="s">
        <v>17</v>
      </c>
      <c r="E16967" t="s">
        <v>12</v>
      </c>
      <c r="F16967">
        <v>57354733</v>
      </c>
      <c r="G16967">
        <v>57354797</v>
      </c>
      <c r="H16967">
        <v>57354716</v>
      </c>
      <c r="I16967">
        <v>57354727</v>
      </c>
    </row>
    <row r="16968" spans="1:9" x14ac:dyDescent="0.2">
      <c r="A16968" t="str">
        <f>"Prrc2a"</f>
        <v>Prrc2a</v>
      </c>
      <c r="B16968" t="s">
        <v>14</v>
      </c>
      <c r="C16968" t="s">
        <v>28</v>
      </c>
      <c r="D16968" t="s">
        <v>11</v>
      </c>
      <c r="E16968" t="s">
        <v>12</v>
      </c>
      <c r="F16968">
        <v>35164860</v>
      </c>
      <c r="G16968">
        <v>35164889</v>
      </c>
      <c r="H16968">
        <v>35164844</v>
      </c>
      <c r="I16968">
        <v>35164851</v>
      </c>
    </row>
    <row r="16969" spans="1:9" x14ac:dyDescent="0.2">
      <c r="A16969" t="str">
        <f>"Prrc2b"</f>
        <v>Prrc2b</v>
      </c>
      <c r="B16969" t="s">
        <v>14</v>
      </c>
      <c r="C16969" t="s">
        <v>26</v>
      </c>
      <c r="D16969" t="s">
        <v>17</v>
      </c>
      <c r="E16969" t="s">
        <v>12</v>
      </c>
      <c r="F16969">
        <v>32151074</v>
      </c>
      <c r="G16969">
        <v>32151262</v>
      </c>
      <c r="H16969">
        <v>32150861</v>
      </c>
      <c r="I16969">
        <v>32150911</v>
      </c>
    </row>
    <row r="16970" spans="1:9" x14ac:dyDescent="0.2">
      <c r="A16970" t="str">
        <f>"Prrc2c"</f>
        <v>Prrc2c</v>
      </c>
      <c r="B16970" t="s">
        <v>14</v>
      </c>
      <c r="C16970" t="s">
        <v>19</v>
      </c>
      <c r="D16970" t="s">
        <v>11</v>
      </c>
      <c r="E16970" t="s">
        <v>12</v>
      </c>
      <c r="F16970">
        <v>162740491</v>
      </c>
      <c r="G16970">
        <v>162740533</v>
      </c>
      <c r="H16970">
        <v>162740540</v>
      </c>
      <c r="I16970">
        <v>162740551</v>
      </c>
    </row>
    <row r="16971" spans="1:9" x14ac:dyDescent="0.2">
      <c r="A16971" t="str">
        <f>"Prrg1"</f>
        <v>Prrg1</v>
      </c>
      <c r="B16971" t="s">
        <v>14</v>
      </c>
      <c r="C16971" t="s">
        <v>37</v>
      </c>
      <c r="D16971" t="s">
        <v>11</v>
      </c>
      <c r="E16971" t="s">
        <v>12</v>
      </c>
      <c r="F16971">
        <v>78583882</v>
      </c>
      <c r="G16971">
        <v>78583901</v>
      </c>
      <c r="H16971">
        <v>78583799</v>
      </c>
      <c r="I16971">
        <v>78583810</v>
      </c>
    </row>
    <row r="16972" spans="1:9" x14ac:dyDescent="0.2">
      <c r="A16972" t="str">
        <f>"Prrg2"</f>
        <v>Prrg2</v>
      </c>
      <c r="B16972" t="s">
        <v>14</v>
      </c>
      <c r="C16972" t="s">
        <v>33</v>
      </c>
      <c r="D16972" t="s">
        <v>11</v>
      </c>
      <c r="E16972" t="s">
        <v>12</v>
      </c>
      <c r="F16972">
        <v>45062393</v>
      </c>
      <c r="G16972">
        <v>45062436</v>
      </c>
      <c r="H16972">
        <v>45061719</v>
      </c>
      <c r="I16972">
        <v>45061740</v>
      </c>
    </row>
    <row r="16973" spans="1:9" x14ac:dyDescent="0.2">
      <c r="A16973" t="str">
        <f>"Prrg3"</f>
        <v>Prrg3</v>
      </c>
      <c r="B16973" t="s">
        <v>14</v>
      </c>
      <c r="C16973" t="s">
        <v>37</v>
      </c>
      <c r="D16973" t="s">
        <v>17</v>
      </c>
      <c r="E16973" t="s">
        <v>12</v>
      </c>
      <c r="F16973">
        <v>71962971</v>
      </c>
      <c r="G16973">
        <v>71963013</v>
      </c>
      <c r="H16973">
        <v>71962470</v>
      </c>
      <c r="I16973">
        <v>71962537</v>
      </c>
    </row>
    <row r="16974" spans="1:9" x14ac:dyDescent="0.2">
      <c r="A16974" t="str">
        <f>"Prrg4"</f>
        <v>Prrg4</v>
      </c>
      <c r="B16974" t="s">
        <v>14</v>
      </c>
      <c r="C16974" t="s">
        <v>26</v>
      </c>
      <c r="D16974" t="s">
        <v>11</v>
      </c>
      <c r="E16974" t="s">
        <v>12</v>
      </c>
      <c r="F16974">
        <v>104849756</v>
      </c>
      <c r="G16974">
        <v>104849800</v>
      </c>
      <c r="H16974">
        <v>104849465</v>
      </c>
      <c r="I16974">
        <v>104849483</v>
      </c>
    </row>
    <row r="16975" spans="1:9" x14ac:dyDescent="0.2">
      <c r="A16975" t="str">
        <f>"Prrt1"</f>
        <v>Prrt1</v>
      </c>
      <c r="B16975" t="s">
        <v>14</v>
      </c>
      <c r="C16975" t="s">
        <v>28</v>
      </c>
      <c r="D16975" t="s">
        <v>17</v>
      </c>
      <c r="E16975" t="s">
        <v>12</v>
      </c>
      <c r="F16975">
        <v>34629534</v>
      </c>
      <c r="G16975">
        <v>34629620</v>
      </c>
      <c r="H16975">
        <v>34629348</v>
      </c>
      <c r="I16975">
        <v>34629406</v>
      </c>
    </row>
    <row r="16976" spans="1:9" x14ac:dyDescent="0.2">
      <c r="A16976" t="str">
        <f>"Prrt2"</f>
        <v>Prrt2</v>
      </c>
      <c r="B16976" t="s">
        <v>14</v>
      </c>
      <c r="C16976" t="s">
        <v>33</v>
      </c>
      <c r="D16976" t="s">
        <v>11</v>
      </c>
      <c r="E16976" t="s">
        <v>12</v>
      </c>
      <c r="F16976">
        <v>127021077</v>
      </c>
      <c r="G16976">
        <v>127021135</v>
      </c>
      <c r="H16976">
        <v>127021166</v>
      </c>
      <c r="I16976">
        <v>127021189</v>
      </c>
    </row>
    <row r="16977" spans="1:9" x14ac:dyDescent="0.2">
      <c r="A16977" t="str">
        <f>"Prrt3"</f>
        <v>Prrt3</v>
      </c>
      <c r="B16977" t="s">
        <v>14</v>
      </c>
      <c r="C16977" t="s">
        <v>32</v>
      </c>
      <c r="D16977" t="s">
        <v>11</v>
      </c>
      <c r="E16977" t="s">
        <v>12</v>
      </c>
      <c r="F16977">
        <v>113501877</v>
      </c>
      <c r="G16977">
        <v>113501949</v>
      </c>
      <c r="H16977">
        <v>113501950</v>
      </c>
      <c r="I16977">
        <v>113501963</v>
      </c>
    </row>
    <row r="16978" spans="1:9" x14ac:dyDescent="0.2">
      <c r="A16978" t="str">
        <f>"Prrt4"</f>
        <v>Prrt4</v>
      </c>
      <c r="B16978" t="s">
        <v>14</v>
      </c>
      <c r="C16978" t="s">
        <v>32</v>
      </c>
      <c r="D16978" t="s">
        <v>11</v>
      </c>
      <c r="E16978" t="s">
        <v>12</v>
      </c>
      <c r="F16978">
        <v>29179649</v>
      </c>
      <c r="G16978">
        <v>29179697</v>
      </c>
      <c r="H16978">
        <v>29179523</v>
      </c>
      <c r="I16978">
        <v>29179535</v>
      </c>
    </row>
    <row r="16979" spans="1:9" x14ac:dyDescent="0.2">
      <c r="A16979" t="str">
        <f>"Prrx1"</f>
        <v>Prrx1</v>
      </c>
      <c r="B16979" t="s">
        <v>14</v>
      </c>
      <c r="C16979" t="s">
        <v>19</v>
      </c>
      <c r="D16979" t="s">
        <v>11</v>
      </c>
      <c r="E16979" t="s">
        <v>12</v>
      </c>
      <c r="F16979">
        <v>163313661</v>
      </c>
      <c r="G16979">
        <v>163313677</v>
      </c>
      <c r="H16979">
        <v>163313661</v>
      </c>
      <c r="I16979">
        <v>163313677</v>
      </c>
    </row>
    <row r="16980" spans="1:9" x14ac:dyDescent="0.2">
      <c r="A16980" t="str">
        <f>"Prrx2"</f>
        <v>Prrx2</v>
      </c>
      <c r="B16980" t="s">
        <v>14</v>
      </c>
      <c r="C16980" t="s">
        <v>26</v>
      </c>
      <c r="D16980" t="s">
        <v>17</v>
      </c>
      <c r="E16980" t="s">
        <v>12</v>
      </c>
      <c r="F16980">
        <v>30845361</v>
      </c>
      <c r="G16980">
        <v>30845396</v>
      </c>
      <c r="H16980">
        <v>30845268</v>
      </c>
      <c r="I16980">
        <v>30845304</v>
      </c>
    </row>
    <row r="16981" spans="1:9" x14ac:dyDescent="0.2">
      <c r="A16981" t="str">
        <f>"Prrxl1"</f>
        <v>Prrxl1</v>
      </c>
      <c r="B16981" t="s">
        <v>14</v>
      </c>
      <c r="C16981" t="s">
        <v>41</v>
      </c>
      <c r="D16981" t="s">
        <v>17</v>
      </c>
      <c r="E16981" t="s">
        <v>12</v>
      </c>
      <c r="F16981">
        <v>32599384</v>
      </c>
      <c r="G16981">
        <v>32599400</v>
      </c>
      <c r="H16981">
        <v>32599512</v>
      </c>
      <c r="I16981">
        <v>32599527</v>
      </c>
    </row>
    <row r="16982" spans="1:9" x14ac:dyDescent="0.2">
      <c r="A16982" t="str">
        <f>"Prss1"</f>
        <v>Prss1</v>
      </c>
      <c r="B16982" t="s">
        <v>14</v>
      </c>
      <c r="C16982" t="s">
        <v>32</v>
      </c>
      <c r="D16982" t="s">
        <v>17</v>
      </c>
      <c r="E16982" t="s">
        <v>12</v>
      </c>
      <c r="F16982">
        <v>41458923</v>
      </c>
      <c r="G16982">
        <v>41458936</v>
      </c>
      <c r="H16982">
        <v>41458923</v>
      </c>
      <c r="I16982">
        <v>41458936</v>
      </c>
    </row>
    <row r="16983" spans="1:9" x14ac:dyDescent="0.2">
      <c r="A16983" t="str">
        <f>"Prss12"</f>
        <v>Prss12</v>
      </c>
      <c r="B16983" t="s">
        <v>14</v>
      </c>
      <c r="C16983" t="s">
        <v>22</v>
      </c>
      <c r="D16983" t="s">
        <v>17</v>
      </c>
      <c r="E16983" t="s">
        <v>12</v>
      </c>
      <c r="F16983">
        <v>123447118</v>
      </c>
      <c r="G16983">
        <v>123447155</v>
      </c>
      <c r="H16983">
        <v>123446921</v>
      </c>
      <c r="I16983">
        <v>123446955</v>
      </c>
    </row>
    <row r="16984" spans="1:9" x14ac:dyDescent="0.2">
      <c r="A16984" t="str">
        <f>"Prss16"</f>
        <v>Prss16</v>
      </c>
      <c r="B16984" t="s">
        <v>14</v>
      </c>
      <c r="C16984" t="s">
        <v>39</v>
      </c>
      <c r="D16984" t="s">
        <v>11</v>
      </c>
      <c r="E16984" t="s">
        <v>12</v>
      </c>
      <c r="F16984">
        <v>22009730</v>
      </c>
      <c r="G16984">
        <v>22009749</v>
      </c>
      <c r="H16984">
        <v>22009757</v>
      </c>
      <c r="I16984">
        <v>22009771</v>
      </c>
    </row>
    <row r="16985" spans="1:9" x14ac:dyDescent="0.2">
      <c r="A16985" t="str">
        <f>"Prss2"</f>
        <v>Prss2</v>
      </c>
      <c r="B16985" t="s">
        <v>14</v>
      </c>
      <c r="C16985" t="s">
        <v>32</v>
      </c>
      <c r="D16985" t="s">
        <v>17</v>
      </c>
      <c r="E16985" t="s">
        <v>12</v>
      </c>
      <c r="F16985">
        <v>41521782</v>
      </c>
      <c r="G16985">
        <v>41521797</v>
      </c>
      <c r="H16985">
        <v>41521782</v>
      </c>
      <c r="I16985">
        <v>41521797</v>
      </c>
    </row>
    <row r="16986" spans="1:9" x14ac:dyDescent="0.2">
      <c r="A16986" t="str">
        <f>"Prss21"</f>
        <v>Prss21</v>
      </c>
      <c r="B16986" t="s">
        <v>14</v>
      </c>
      <c r="C16986" t="s">
        <v>28</v>
      </c>
      <c r="D16986" t="s">
        <v>17</v>
      </c>
      <c r="E16986" t="s">
        <v>12</v>
      </c>
      <c r="F16986">
        <v>23868078</v>
      </c>
      <c r="G16986">
        <v>23868125</v>
      </c>
      <c r="H16986">
        <v>23868078</v>
      </c>
      <c r="I16986">
        <v>23868125</v>
      </c>
    </row>
    <row r="16987" spans="1:9" x14ac:dyDescent="0.2">
      <c r="A16987" t="str">
        <f>"Prss22"</f>
        <v>Prss22</v>
      </c>
      <c r="B16987" t="s">
        <v>14</v>
      </c>
      <c r="C16987" t="s">
        <v>28</v>
      </c>
      <c r="D16987" t="s">
        <v>11</v>
      </c>
      <c r="E16987" t="s">
        <v>12</v>
      </c>
      <c r="F16987">
        <v>23998094</v>
      </c>
      <c r="G16987">
        <v>23998109</v>
      </c>
      <c r="H16987">
        <v>23998094</v>
      </c>
      <c r="I16987">
        <v>23998109</v>
      </c>
    </row>
    <row r="16988" spans="1:9" x14ac:dyDescent="0.2">
      <c r="A16988" t="str">
        <f>"Prss23"</f>
        <v>Prss23</v>
      </c>
      <c r="B16988" t="s">
        <v>14</v>
      </c>
      <c r="C16988" t="s">
        <v>33</v>
      </c>
      <c r="D16988" t="s">
        <v>11</v>
      </c>
      <c r="E16988" t="s">
        <v>12</v>
      </c>
      <c r="F16988">
        <v>89517534</v>
      </c>
      <c r="G16988">
        <v>89517565</v>
      </c>
      <c r="H16988">
        <v>89517576</v>
      </c>
      <c r="I16988">
        <v>89517587</v>
      </c>
    </row>
    <row r="16989" spans="1:9" x14ac:dyDescent="0.2">
      <c r="A16989" t="str">
        <f>"Prss27"</f>
        <v>Prss27</v>
      </c>
      <c r="B16989" t="s">
        <v>14</v>
      </c>
      <c r="C16989" t="s">
        <v>28</v>
      </c>
      <c r="D16989" t="s">
        <v>17</v>
      </c>
      <c r="E16989" t="s">
        <v>12</v>
      </c>
      <c r="F16989">
        <v>24038236</v>
      </c>
      <c r="G16989">
        <v>24038249</v>
      </c>
      <c r="H16989">
        <v>24038223</v>
      </c>
      <c r="I16989">
        <v>24038228</v>
      </c>
    </row>
    <row r="16990" spans="1:9" x14ac:dyDescent="0.2">
      <c r="A16990" t="str">
        <f>"Prss28"</f>
        <v>Prss28</v>
      </c>
      <c r="B16990" t="s">
        <v>14</v>
      </c>
      <c r="C16990" t="s">
        <v>28</v>
      </c>
      <c r="D16990" t="s">
        <v>17</v>
      </c>
      <c r="E16990" t="s">
        <v>12</v>
      </c>
      <c r="F16990">
        <v>25308642</v>
      </c>
      <c r="G16990">
        <v>25308647</v>
      </c>
      <c r="H16990">
        <v>25308642</v>
      </c>
      <c r="I16990">
        <v>25308647</v>
      </c>
    </row>
    <row r="16991" spans="1:9" x14ac:dyDescent="0.2">
      <c r="A16991" t="str">
        <f>"Prss29"</f>
        <v>Prss29</v>
      </c>
      <c r="B16991" t="s">
        <v>14</v>
      </c>
      <c r="C16991" t="s">
        <v>28</v>
      </c>
      <c r="D16991" t="s">
        <v>17</v>
      </c>
      <c r="E16991" t="s">
        <v>12</v>
      </c>
      <c r="F16991">
        <v>25318649</v>
      </c>
      <c r="G16991">
        <v>25318657</v>
      </c>
      <c r="H16991">
        <v>25318649</v>
      </c>
      <c r="I16991">
        <v>25318657</v>
      </c>
    </row>
    <row r="16992" spans="1:9" x14ac:dyDescent="0.2">
      <c r="A16992" t="str">
        <f>"Prss3"</f>
        <v>Prss3</v>
      </c>
      <c r="B16992" t="s">
        <v>14</v>
      </c>
      <c r="C16992" t="s">
        <v>32</v>
      </c>
      <c r="D16992" t="s">
        <v>11</v>
      </c>
      <c r="E16992" t="s">
        <v>12</v>
      </c>
      <c r="F16992">
        <v>41377604</v>
      </c>
      <c r="G16992">
        <v>41377618</v>
      </c>
      <c r="H16992">
        <v>41377604</v>
      </c>
      <c r="I16992">
        <v>41377618</v>
      </c>
    </row>
    <row r="16993" spans="1:9" x14ac:dyDescent="0.2">
      <c r="A16993" t="str">
        <f>"Prss30"</f>
        <v>Prss30</v>
      </c>
      <c r="B16993" t="s">
        <v>14</v>
      </c>
      <c r="C16993" t="s">
        <v>28</v>
      </c>
      <c r="D16993" t="s">
        <v>11</v>
      </c>
      <c r="E16993" t="s">
        <v>12</v>
      </c>
      <c r="F16993">
        <v>23975183</v>
      </c>
      <c r="G16993">
        <v>23975235</v>
      </c>
      <c r="H16993">
        <v>23975183</v>
      </c>
      <c r="I16993">
        <v>23975235</v>
      </c>
    </row>
    <row r="16994" spans="1:9" x14ac:dyDescent="0.2">
      <c r="A16994" t="str">
        <f>"Prss32"</f>
        <v>Prss32</v>
      </c>
      <c r="B16994" t="s">
        <v>14</v>
      </c>
      <c r="C16994" t="s">
        <v>28</v>
      </c>
      <c r="D16994" t="s">
        <v>17</v>
      </c>
      <c r="E16994" t="s">
        <v>12</v>
      </c>
      <c r="F16994">
        <v>23853752</v>
      </c>
      <c r="G16994">
        <v>23853780</v>
      </c>
      <c r="H16994">
        <v>23853519</v>
      </c>
      <c r="I16994">
        <v>23853541</v>
      </c>
    </row>
    <row r="16995" spans="1:9" x14ac:dyDescent="0.2">
      <c r="A16995" t="str">
        <f>"Prss33"</f>
        <v>Prss33</v>
      </c>
      <c r="B16995" t="s">
        <v>14</v>
      </c>
      <c r="C16995" t="s">
        <v>28</v>
      </c>
      <c r="D16995" t="s">
        <v>11</v>
      </c>
      <c r="E16995" t="s">
        <v>12</v>
      </c>
      <c r="F16995">
        <v>23836067</v>
      </c>
      <c r="G16995">
        <v>23836068</v>
      </c>
      <c r="H16995">
        <v>23836067</v>
      </c>
      <c r="I16995">
        <v>23836068</v>
      </c>
    </row>
    <row r="16996" spans="1:9" x14ac:dyDescent="0.2">
      <c r="A16996" t="str">
        <f>"Prss34"</f>
        <v>Prss34</v>
      </c>
      <c r="B16996" t="s">
        <v>14</v>
      </c>
      <c r="C16996" t="s">
        <v>28</v>
      </c>
      <c r="D16996" t="s">
        <v>17</v>
      </c>
      <c r="E16996" t="s">
        <v>12</v>
      </c>
      <c r="F16996">
        <v>25298389</v>
      </c>
      <c r="G16996">
        <v>25298403</v>
      </c>
      <c r="H16996">
        <v>25298389</v>
      </c>
      <c r="I16996">
        <v>25298403</v>
      </c>
    </row>
    <row r="16997" spans="1:9" x14ac:dyDescent="0.2">
      <c r="A16997" t="str">
        <f>"Prss35"</f>
        <v>Prss35</v>
      </c>
      <c r="B16997" t="s">
        <v>14</v>
      </c>
      <c r="C16997" t="s">
        <v>24</v>
      </c>
      <c r="D16997" t="s">
        <v>17</v>
      </c>
      <c r="E16997" t="s">
        <v>12</v>
      </c>
      <c r="F16997">
        <v>86743641</v>
      </c>
      <c r="G16997">
        <v>86743654</v>
      </c>
      <c r="H16997">
        <v>86743616</v>
      </c>
      <c r="I16997">
        <v>86743638</v>
      </c>
    </row>
    <row r="16998" spans="1:9" x14ac:dyDescent="0.2">
      <c r="A16998" t="str">
        <f>"Prss36"</f>
        <v>Prss36</v>
      </c>
      <c r="B16998" t="s">
        <v>14</v>
      </c>
      <c r="C16998" t="s">
        <v>33</v>
      </c>
      <c r="D16998" t="s">
        <v>11</v>
      </c>
      <c r="E16998" t="s">
        <v>12</v>
      </c>
      <c r="F16998">
        <v>127935464</v>
      </c>
      <c r="G16998">
        <v>127935525</v>
      </c>
      <c r="H16998">
        <v>127936071</v>
      </c>
      <c r="I16998">
        <v>127936096</v>
      </c>
    </row>
    <row r="16999" spans="1:9" x14ac:dyDescent="0.2">
      <c r="A16999" t="str">
        <f>"Prss37"</f>
        <v>Prss37</v>
      </c>
      <c r="B16999" t="s">
        <v>14</v>
      </c>
      <c r="C16999" t="s">
        <v>32</v>
      </c>
      <c r="D16999" t="s">
        <v>11</v>
      </c>
      <c r="E16999" t="s">
        <v>12</v>
      </c>
      <c r="F16999">
        <v>40519469</v>
      </c>
      <c r="G16999">
        <v>40519490</v>
      </c>
      <c r="H16999">
        <v>40519469</v>
      </c>
      <c r="I16999">
        <v>40519490</v>
      </c>
    </row>
    <row r="17000" spans="1:9" x14ac:dyDescent="0.2">
      <c r="A17000" t="str">
        <f>"Prss38"</f>
        <v>Prss38</v>
      </c>
      <c r="B17000" t="s">
        <v>14</v>
      </c>
      <c r="C17000" t="s">
        <v>27</v>
      </c>
      <c r="D17000" t="s">
        <v>11</v>
      </c>
      <c r="E17000" t="s">
        <v>12</v>
      </c>
      <c r="F17000">
        <v>59375653</v>
      </c>
      <c r="G17000">
        <v>59375663</v>
      </c>
      <c r="H17000">
        <v>59375668</v>
      </c>
      <c r="I17000">
        <v>59375675</v>
      </c>
    </row>
    <row r="17001" spans="1:9" x14ac:dyDescent="0.2">
      <c r="A17001" t="str">
        <f>"Prss39"</f>
        <v>Prss39</v>
      </c>
      <c r="B17001" t="s">
        <v>14</v>
      </c>
      <c r="C17001" t="s">
        <v>19</v>
      </c>
      <c r="D17001" t="s">
        <v>17</v>
      </c>
      <c r="E17001" t="s">
        <v>12</v>
      </c>
      <c r="F17001">
        <v>34498369</v>
      </c>
      <c r="G17001">
        <v>34498441</v>
      </c>
      <c r="H17001">
        <v>34498369</v>
      </c>
      <c r="I17001">
        <v>34498441</v>
      </c>
    </row>
    <row r="17002" spans="1:9" x14ac:dyDescent="0.2">
      <c r="A17002" t="str">
        <f>"Prss40"</f>
        <v>Prss40</v>
      </c>
      <c r="B17002" t="s">
        <v>14</v>
      </c>
      <c r="C17002" t="s">
        <v>19</v>
      </c>
      <c r="D17002" t="s">
        <v>11</v>
      </c>
      <c r="E17002" t="s">
        <v>12</v>
      </c>
      <c r="F17002">
        <v>34560933</v>
      </c>
      <c r="G17002">
        <v>34560966</v>
      </c>
      <c r="H17002">
        <v>34560916</v>
      </c>
      <c r="I17002">
        <v>34560930</v>
      </c>
    </row>
    <row r="17003" spans="1:9" x14ac:dyDescent="0.2">
      <c r="A17003" t="str">
        <f>"Prss41"</f>
        <v>Prss41</v>
      </c>
      <c r="B17003" t="s">
        <v>14</v>
      </c>
      <c r="C17003" t="s">
        <v>28</v>
      </c>
      <c r="D17003" t="s">
        <v>11</v>
      </c>
      <c r="E17003" t="s">
        <v>12</v>
      </c>
      <c r="F17003">
        <v>23844134</v>
      </c>
      <c r="G17003">
        <v>23844174</v>
      </c>
      <c r="H17003">
        <v>23844180</v>
      </c>
      <c r="I17003">
        <v>23844188</v>
      </c>
    </row>
    <row r="17004" spans="1:9" x14ac:dyDescent="0.2">
      <c r="A17004" t="str">
        <f>"Prss42"</f>
        <v>Prss42</v>
      </c>
      <c r="B17004" t="s">
        <v>14</v>
      </c>
      <c r="C17004" t="s">
        <v>24</v>
      </c>
      <c r="D17004" t="s">
        <v>17</v>
      </c>
      <c r="E17004" t="s">
        <v>12</v>
      </c>
      <c r="F17004">
        <v>110798160</v>
      </c>
      <c r="G17004">
        <v>110798177</v>
      </c>
      <c r="H17004">
        <v>110798153</v>
      </c>
      <c r="I17004">
        <v>110798158</v>
      </c>
    </row>
    <row r="17005" spans="1:9" x14ac:dyDescent="0.2">
      <c r="A17005" t="str">
        <f>"Prss43"</f>
        <v>Prss43</v>
      </c>
      <c r="B17005" t="s">
        <v>14</v>
      </c>
      <c r="C17005" t="s">
        <v>24</v>
      </c>
      <c r="D17005" t="s">
        <v>17</v>
      </c>
      <c r="E17005" t="s">
        <v>12</v>
      </c>
      <c r="F17005">
        <v>110827006</v>
      </c>
      <c r="G17005">
        <v>110827022</v>
      </c>
      <c r="H17005">
        <v>110827006</v>
      </c>
      <c r="I17005">
        <v>110827022</v>
      </c>
    </row>
    <row r="17006" spans="1:9" x14ac:dyDescent="0.2">
      <c r="A17006" t="str">
        <f>"Prss44"</f>
        <v>Prss44</v>
      </c>
      <c r="B17006" t="s">
        <v>14</v>
      </c>
      <c r="C17006" t="s">
        <v>24</v>
      </c>
      <c r="D17006" t="s">
        <v>17</v>
      </c>
      <c r="E17006" t="s">
        <v>12</v>
      </c>
      <c r="F17006">
        <v>110813986</v>
      </c>
      <c r="G17006">
        <v>110814030</v>
      </c>
      <c r="H17006">
        <v>110813986</v>
      </c>
      <c r="I17006">
        <v>110814030</v>
      </c>
    </row>
    <row r="17007" spans="1:9" x14ac:dyDescent="0.2">
      <c r="A17007" t="str">
        <f>"Prss45"</f>
        <v>Prss45</v>
      </c>
      <c r="B17007" t="s">
        <v>14</v>
      </c>
      <c r="C17007" t="s">
        <v>24</v>
      </c>
      <c r="D17007" t="s">
        <v>17</v>
      </c>
      <c r="E17007" t="s">
        <v>12</v>
      </c>
      <c r="F17007">
        <v>110834621</v>
      </c>
      <c r="G17007">
        <v>110834637</v>
      </c>
      <c r="H17007">
        <v>110834621</v>
      </c>
      <c r="I17007">
        <v>110834637</v>
      </c>
    </row>
    <row r="17008" spans="1:9" x14ac:dyDescent="0.2">
      <c r="A17008" t="str">
        <f>"Prss46"</f>
        <v>Prss46</v>
      </c>
      <c r="B17008" t="s">
        <v>14</v>
      </c>
      <c r="C17008" t="s">
        <v>24</v>
      </c>
      <c r="D17008" t="s">
        <v>17</v>
      </c>
      <c r="E17008" t="s">
        <v>12</v>
      </c>
      <c r="F17008">
        <v>110844497</v>
      </c>
      <c r="G17008">
        <v>110844513</v>
      </c>
      <c r="H17008">
        <v>110844522</v>
      </c>
      <c r="I17008">
        <v>110844531</v>
      </c>
    </row>
    <row r="17009" spans="1:9" x14ac:dyDescent="0.2">
      <c r="A17009" t="str">
        <f>"Prss48"</f>
        <v>Prss48</v>
      </c>
      <c r="B17009" t="s">
        <v>14</v>
      </c>
      <c r="C17009" t="s">
        <v>22</v>
      </c>
      <c r="D17009" t="s">
        <v>11</v>
      </c>
      <c r="E17009" t="s">
        <v>12</v>
      </c>
      <c r="F17009">
        <v>86002515</v>
      </c>
      <c r="G17009">
        <v>86002535</v>
      </c>
      <c r="H17009">
        <v>86002495</v>
      </c>
      <c r="I17009">
        <v>86002507</v>
      </c>
    </row>
    <row r="17010" spans="1:9" x14ac:dyDescent="0.2">
      <c r="A17010" t="str">
        <f>"Prss50"</f>
        <v>Prss50</v>
      </c>
      <c r="B17010" t="s">
        <v>14</v>
      </c>
      <c r="C17010" t="s">
        <v>24</v>
      </c>
      <c r="D17010" t="s">
        <v>17</v>
      </c>
      <c r="E17010" t="s">
        <v>12</v>
      </c>
      <c r="F17010">
        <v>110857958</v>
      </c>
      <c r="G17010">
        <v>110857987</v>
      </c>
      <c r="H17010">
        <v>110857928</v>
      </c>
      <c r="I17010">
        <v>110857938</v>
      </c>
    </row>
    <row r="17011" spans="1:9" x14ac:dyDescent="0.2">
      <c r="A17011" t="str">
        <f>"Prss51"</f>
        <v>Prss51</v>
      </c>
      <c r="B17011" t="s">
        <v>14</v>
      </c>
      <c r="C17011" t="s">
        <v>41</v>
      </c>
      <c r="D17011" t="s">
        <v>17</v>
      </c>
      <c r="E17011" t="s">
        <v>12</v>
      </c>
      <c r="F17011">
        <v>64093682</v>
      </c>
      <c r="G17011">
        <v>64093712</v>
      </c>
      <c r="H17011">
        <v>64093713</v>
      </c>
      <c r="I17011">
        <v>64093737</v>
      </c>
    </row>
    <row r="17012" spans="1:9" x14ac:dyDescent="0.2">
      <c r="A17012" t="str">
        <f>"Prss52"</f>
        <v>Prss52</v>
      </c>
      <c r="B17012" t="s">
        <v>14</v>
      </c>
      <c r="C17012" t="s">
        <v>41</v>
      </c>
      <c r="D17012" t="s">
        <v>17</v>
      </c>
      <c r="E17012" t="s">
        <v>12</v>
      </c>
      <c r="F17012">
        <v>64104316</v>
      </c>
      <c r="G17012">
        <v>64104328</v>
      </c>
      <c r="H17012">
        <v>64104284</v>
      </c>
      <c r="I17012">
        <v>64104287</v>
      </c>
    </row>
    <row r="17013" spans="1:9" x14ac:dyDescent="0.2">
      <c r="A17013" t="str">
        <f>"Prss53"</f>
        <v>Prss53</v>
      </c>
      <c r="B17013" t="s">
        <v>14</v>
      </c>
      <c r="C17013" t="s">
        <v>33</v>
      </c>
      <c r="D17013" t="s">
        <v>11</v>
      </c>
      <c r="E17013" t="s">
        <v>12</v>
      </c>
      <c r="F17013">
        <v>127890918</v>
      </c>
      <c r="G17013">
        <v>127890953</v>
      </c>
      <c r="H17013">
        <v>127890918</v>
      </c>
      <c r="I17013">
        <v>127890953</v>
      </c>
    </row>
    <row r="17014" spans="1:9" x14ac:dyDescent="0.2">
      <c r="A17014" t="str">
        <f>"Prss54"</f>
        <v>Prss54</v>
      </c>
      <c r="B17014" t="s">
        <v>14</v>
      </c>
      <c r="C17014" t="s">
        <v>30</v>
      </c>
      <c r="D17014" t="s">
        <v>11</v>
      </c>
      <c r="E17014" t="s">
        <v>12</v>
      </c>
      <c r="F17014">
        <v>95576289</v>
      </c>
      <c r="G17014">
        <v>95576333</v>
      </c>
      <c r="H17014">
        <v>95576262</v>
      </c>
      <c r="I17014">
        <v>95576286</v>
      </c>
    </row>
    <row r="17015" spans="1:9" x14ac:dyDescent="0.2">
      <c r="A17015" t="str">
        <f>"Prss55"</f>
        <v>Prss55</v>
      </c>
      <c r="B17015" t="s">
        <v>14</v>
      </c>
      <c r="C17015" t="s">
        <v>41</v>
      </c>
      <c r="D17015" t="s">
        <v>11</v>
      </c>
      <c r="E17015" t="s">
        <v>12</v>
      </c>
      <c r="F17015">
        <v>64085400</v>
      </c>
      <c r="G17015">
        <v>64085415</v>
      </c>
      <c r="H17015">
        <v>64085400</v>
      </c>
      <c r="I17015">
        <v>64085415</v>
      </c>
    </row>
    <row r="17016" spans="1:9" x14ac:dyDescent="0.2">
      <c r="A17016" t="str">
        <f>"Prss56"</f>
        <v>Prss56</v>
      </c>
      <c r="B17016" t="s">
        <v>14</v>
      </c>
      <c r="C17016" t="s">
        <v>19</v>
      </c>
      <c r="D17016" t="s">
        <v>17</v>
      </c>
      <c r="E17016" t="s">
        <v>12</v>
      </c>
      <c r="F17016">
        <v>87183310</v>
      </c>
      <c r="G17016">
        <v>87183316</v>
      </c>
      <c r="H17016">
        <v>87183310</v>
      </c>
      <c r="I17016">
        <v>87183316</v>
      </c>
    </row>
    <row r="17017" spans="1:9" x14ac:dyDescent="0.2">
      <c r="A17017" t="str">
        <f>"Prss57"</f>
        <v>Prss57</v>
      </c>
      <c r="B17017" t="s">
        <v>14</v>
      </c>
      <c r="C17017" t="s">
        <v>15</v>
      </c>
      <c r="D17017" t="s">
        <v>11</v>
      </c>
      <c r="E17017" t="s">
        <v>12</v>
      </c>
      <c r="F17017">
        <v>79788924</v>
      </c>
      <c r="G17017">
        <v>79788984</v>
      </c>
      <c r="H17017">
        <v>79788924</v>
      </c>
      <c r="I17017">
        <v>79788984</v>
      </c>
    </row>
    <row r="17018" spans="1:9" x14ac:dyDescent="0.2">
      <c r="A17018" t="str">
        <f>"Prss58"</f>
        <v>Prss58</v>
      </c>
      <c r="B17018" t="s">
        <v>14</v>
      </c>
      <c r="C17018" t="s">
        <v>32</v>
      </c>
      <c r="D17018" t="s">
        <v>11</v>
      </c>
      <c r="E17018" t="s">
        <v>12</v>
      </c>
      <c r="F17018">
        <v>40900368</v>
      </c>
      <c r="G17018">
        <v>40900394</v>
      </c>
      <c r="H17018">
        <v>40900368</v>
      </c>
      <c r="I17018">
        <v>40900394</v>
      </c>
    </row>
    <row r="17019" spans="1:9" x14ac:dyDescent="0.2">
      <c r="A17019" t="str">
        <f>"Prss8"</f>
        <v>Prss8</v>
      </c>
      <c r="B17019" t="s">
        <v>14</v>
      </c>
      <c r="C17019" t="s">
        <v>33</v>
      </c>
      <c r="D17019" t="s">
        <v>11</v>
      </c>
      <c r="E17019" t="s">
        <v>12</v>
      </c>
      <c r="F17019">
        <v>127930066</v>
      </c>
      <c r="G17019">
        <v>127930122</v>
      </c>
      <c r="H17019">
        <v>127930018</v>
      </c>
      <c r="I17019">
        <v>127930040</v>
      </c>
    </row>
    <row r="17020" spans="1:9" x14ac:dyDescent="0.2">
      <c r="A17020" t="str">
        <f>"Prtg"</f>
        <v>Prtg</v>
      </c>
      <c r="B17020" t="s">
        <v>14</v>
      </c>
      <c r="C17020" t="s">
        <v>24</v>
      </c>
      <c r="D17020" t="s">
        <v>17</v>
      </c>
      <c r="E17020" t="s">
        <v>12</v>
      </c>
      <c r="F17020">
        <v>72807239</v>
      </c>
      <c r="G17020">
        <v>72807280</v>
      </c>
      <c r="H17020">
        <v>72807301</v>
      </c>
      <c r="I17020">
        <v>72807314</v>
      </c>
    </row>
    <row r="17021" spans="1:9" x14ac:dyDescent="0.2">
      <c r="A17021" t="str">
        <f>"Prtn3"</f>
        <v>Prtn3</v>
      </c>
      <c r="B17021" t="s">
        <v>9</v>
      </c>
      <c r="C17021" t="s">
        <v>15</v>
      </c>
      <c r="D17021" t="s">
        <v>17</v>
      </c>
      <c r="E17021" t="s">
        <v>12</v>
      </c>
      <c r="F17021">
        <v>79879657</v>
      </c>
      <c r="G17021">
        <v>79879669</v>
      </c>
      <c r="H17021">
        <v>79879657</v>
      </c>
      <c r="I17021">
        <v>79879669</v>
      </c>
    </row>
    <row r="17022" spans="1:9" x14ac:dyDescent="0.2">
      <c r="A17022" t="str">
        <f>"Prtn3"</f>
        <v>Prtn3</v>
      </c>
      <c r="B17022" t="s">
        <v>13</v>
      </c>
      <c r="C17022" t="s">
        <v>15</v>
      </c>
      <c r="D17022" t="s">
        <v>17</v>
      </c>
      <c r="E17022" t="s">
        <v>12</v>
      </c>
      <c r="F17022">
        <v>79880980</v>
      </c>
      <c r="G17022">
        <v>79881020</v>
      </c>
      <c r="H17022">
        <v>79880980</v>
      </c>
      <c r="I17022">
        <v>79881020</v>
      </c>
    </row>
    <row r="17023" spans="1:9" x14ac:dyDescent="0.2">
      <c r="A17023" t="str">
        <f>"Prune"</f>
        <v>Prune</v>
      </c>
      <c r="B17023" t="s">
        <v>14</v>
      </c>
      <c r="C17023" t="s">
        <v>22</v>
      </c>
      <c r="D17023" t="s">
        <v>11</v>
      </c>
      <c r="E17023" t="s">
        <v>12</v>
      </c>
      <c r="F17023">
        <v>95281710</v>
      </c>
      <c r="G17023">
        <v>95281748</v>
      </c>
      <c r="H17023">
        <v>95281710</v>
      </c>
      <c r="I17023">
        <v>95281748</v>
      </c>
    </row>
    <row r="17024" spans="1:9" x14ac:dyDescent="0.2">
      <c r="A17024" t="str">
        <f>"Prune2"</f>
        <v>Prune2</v>
      </c>
      <c r="B17024" t="s">
        <v>5637</v>
      </c>
      <c r="C17024" t="s">
        <v>10</v>
      </c>
      <c r="D17024" t="s">
        <v>17</v>
      </c>
      <c r="E17024" t="s">
        <v>35</v>
      </c>
      <c r="F17024">
        <v>16955988</v>
      </c>
      <c r="G17024">
        <v>16956002</v>
      </c>
      <c r="H17024">
        <v>16956164</v>
      </c>
      <c r="I17024">
        <v>16956171</v>
      </c>
    </row>
    <row r="17025" spans="1:9" x14ac:dyDescent="0.2">
      <c r="A17025" t="str">
        <f>"Prx"</f>
        <v>Prx</v>
      </c>
      <c r="B17025" t="s">
        <v>9</v>
      </c>
      <c r="C17025" t="s">
        <v>33</v>
      </c>
      <c r="D17025" t="s">
        <v>17</v>
      </c>
      <c r="E17025" t="s">
        <v>12</v>
      </c>
      <c r="F17025">
        <v>27499315</v>
      </c>
      <c r="G17025">
        <v>27499331</v>
      </c>
      <c r="H17025">
        <v>27499315</v>
      </c>
      <c r="I17025">
        <v>27499331</v>
      </c>
    </row>
    <row r="17026" spans="1:9" x14ac:dyDescent="0.2">
      <c r="A17026" t="str">
        <f>"Prx"</f>
        <v>Prx</v>
      </c>
      <c r="B17026" t="s">
        <v>13</v>
      </c>
      <c r="C17026" t="s">
        <v>33</v>
      </c>
      <c r="D17026" t="s">
        <v>17</v>
      </c>
      <c r="E17026" t="s">
        <v>12</v>
      </c>
      <c r="F17026">
        <v>27507793</v>
      </c>
      <c r="G17026">
        <v>27507811</v>
      </c>
      <c r="H17026">
        <v>27507793</v>
      </c>
      <c r="I17026">
        <v>27507811</v>
      </c>
    </row>
    <row r="17027" spans="1:9" x14ac:dyDescent="0.2">
      <c r="A17027" t="str">
        <f>"Psap"</f>
        <v>Psap</v>
      </c>
      <c r="B17027" t="s">
        <v>14</v>
      </c>
      <c r="C17027" t="s">
        <v>15</v>
      </c>
      <c r="D17027" t="s">
        <v>17</v>
      </c>
      <c r="E17027" t="s">
        <v>12</v>
      </c>
      <c r="F17027">
        <v>60277702</v>
      </c>
      <c r="G17027">
        <v>60277719</v>
      </c>
      <c r="H17027">
        <v>60277681</v>
      </c>
      <c r="I17027">
        <v>60277692</v>
      </c>
    </row>
    <row r="17028" spans="1:9" x14ac:dyDescent="0.2">
      <c r="A17028" t="str">
        <f>"Psapl1"</f>
        <v>Psapl1</v>
      </c>
      <c r="B17028" t="s">
        <v>14</v>
      </c>
      <c r="C17028" t="s">
        <v>46</v>
      </c>
      <c r="D17028" t="s">
        <v>17</v>
      </c>
      <c r="E17028" t="s">
        <v>12</v>
      </c>
      <c r="F17028">
        <v>36204047</v>
      </c>
      <c r="G17028">
        <v>36204063</v>
      </c>
      <c r="H17028">
        <v>36204016</v>
      </c>
      <c r="I17028">
        <v>36204027</v>
      </c>
    </row>
    <row r="17029" spans="1:9" x14ac:dyDescent="0.2">
      <c r="A17029" t="str">
        <f>"Psat1"</f>
        <v>Psat1</v>
      </c>
      <c r="B17029" t="s">
        <v>14</v>
      </c>
      <c r="C17029" t="s">
        <v>10</v>
      </c>
      <c r="D17029" t="s">
        <v>11</v>
      </c>
      <c r="E17029" t="s">
        <v>12</v>
      </c>
      <c r="F17029">
        <v>15924928</v>
      </c>
      <c r="G17029">
        <v>15925015</v>
      </c>
      <c r="H17029">
        <v>15924560</v>
      </c>
      <c r="I17029">
        <v>15924569</v>
      </c>
    </row>
    <row r="17030" spans="1:9" x14ac:dyDescent="0.2">
      <c r="A17030" t="str">
        <f>"Psca"</f>
        <v>Psca</v>
      </c>
      <c r="B17030" t="s">
        <v>14</v>
      </c>
      <c r="C17030" t="s">
        <v>25</v>
      </c>
      <c r="D17030" t="s">
        <v>17</v>
      </c>
      <c r="E17030" t="s">
        <v>12</v>
      </c>
      <c r="F17030">
        <v>74714832</v>
      </c>
      <c r="G17030">
        <v>74714848</v>
      </c>
      <c r="H17030">
        <v>74714832</v>
      </c>
      <c r="I17030">
        <v>74714848</v>
      </c>
    </row>
    <row r="17031" spans="1:9" x14ac:dyDescent="0.2">
      <c r="A17031" t="str">
        <f>"Psd"</f>
        <v>Psd</v>
      </c>
      <c r="B17031" t="s">
        <v>9</v>
      </c>
      <c r="C17031" t="s">
        <v>10</v>
      </c>
      <c r="D17031" t="s">
        <v>11</v>
      </c>
      <c r="E17031" t="s">
        <v>12</v>
      </c>
      <c r="F17031">
        <v>46317982</v>
      </c>
      <c r="G17031">
        <v>46318062</v>
      </c>
      <c r="H17031">
        <v>46317982</v>
      </c>
      <c r="I17031">
        <v>46318062</v>
      </c>
    </row>
    <row r="17032" spans="1:9" x14ac:dyDescent="0.2">
      <c r="A17032" t="str">
        <f>"Psd"</f>
        <v>Psd</v>
      </c>
      <c r="B17032" t="s">
        <v>13</v>
      </c>
      <c r="C17032" t="s">
        <v>10</v>
      </c>
      <c r="D17032" t="s">
        <v>11</v>
      </c>
      <c r="E17032" t="s">
        <v>12</v>
      </c>
      <c r="F17032">
        <v>46327121</v>
      </c>
      <c r="G17032">
        <v>46327154</v>
      </c>
      <c r="H17032">
        <v>46327121</v>
      </c>
      <c r="I17032">
        <v>46327154</v>
      </c>
    </row>
    <row r="17033" spans="1:9" x14ac:dyDescent="0.2">
      <c r="A17033" t="str">
        <f>"Psd2"</f>
        <v>Psd2</v>
      </c>
      <c r="B17033" t="s">
        <v>14</v>
      </c>
      <c r="C17033" t="s">
        <v>43</v>
      </c>
      <c r="D17033" t="s">
        <v>17</v>
      </c>
      <c r="E17033" t="s">
        <v>12</v>
      </c>
      <c r="F17033">
        <v>35965036</v>
      </c>
      <c r="G17033">
        <v>35965087</v>
      </c>
      <c r="H17033">
        <v>35965036</v>
      </c>
      <c r="I17033">
        <v>35965087</v>
      </c>
    </row>
    <row r="17034" spans="1:9" x14ac:dyDescent="0.2">
      <c r="A17034" t="str">
        <f>"Psd3"</f>
        <v>Psd3</v>
      </c>
      <c r="B17034" t="s">
        <v>5638</v>
      </c>
      <c r="C17034" t="s">
        <v>30</v>
      </c>
      <c r="D17034" t="s">
        <v>11</v>
      </c>
      <c r="E17034" t="s">
        <v>35</v>
      </c>
      <c r="F17034">
        <v>67910958</v>
      </c>
      <c r="G17034">
        <v>67910961</v>
      </c>
      <c r="H17034">
        <v>67910911</v>
      </c>
      <c r="I17034">
        <v>67910935</v>
      </c>
    </row>
    <row r="17035" spans="1:9" x14ac:dyDescent="0.2">
      <c r="A17035" t="str">
        <f>"Psd4"</f>
        <v>Psd4</v>
      </c>
      <c r="B17035" t="s">
        <v>9</v>
      </c>
      <c r="C17035" t="s">
        <v>26</v>
      </c>
      <c r="D17035" t="s">
        <v>17</v>
      </c>
      <c r="E17035" t="s">
        <v>12</v>
      </c>
      <c r="F17035">
        <v>24385313</v>
      </c>
      <c r="G17035">
        <v>24385352</v>
      </c>
      <c r="H17035">
        <v>24385313</v>
      </c>
      <c r="I17035">
        <v>24385352</v>
      </c>
    </row>
    <row r="17036" spans="1:9" x14ac:dyDescent="0.2">
      <c r="A17036" t="str">
        <f>"Psd4"</f>
        <v>Psd4</v>
      </c>
      <c r="B17036" t="s">
        <v>13</v>
      </c>
      <c r="C17036" t="s">
        <v>26</v>
      </c>
      <c r="D17036" t="s">
        <v>17</v>
      </c>
      <c r="E17036" t="s">
        <v>12</v>
      </c>
      <c r="F17036">
        <v>24386604</v>
      </c>
      <c r="G17036">
        <v>24386628</v>
      </c>
      <c r="H17036">
        <v>24386604</v>
      </c>
      <c r="I17036">
        <v>24386628</v>
      </c>
    </row>
    <row r="17037" spans="1:9" x14ac:dyDescent="0.2">
      <c r="A17037" t="str">
        <f>"Psen1"</f>
        <v>Psen1</v>
      </c>
      <c r="B17037" t="s">
        <v>14</v>
      </c>
      <c r="C17037" t="s">
        <v>16</v>
      </c>
      <c r="D17037" t="s">
        <v>17</v>
      </c>
      <c r="E17037" t="s">
        <v>12</v>
      </c>
      <c r="F17037">
        <v>83688123</v>
      </c>
      <c r="G17037">
        <v>83688249</v>
      </c>
      <c r="H17037">
        <v>83688251</v>
      </c>
      <c r="I17037">
        <v>83688268</v>
      </c>
    </row>
    <row r="17038" spans="1:9" x14ac:dyDescent="0.2">
      <c r="A17038" t="str">
        <f>"Psen2"</f>
        <v>Psen2</v>
      </c>
      <c r="B17038" t="s">
        <v>9</v>
      </c>
      <c r="C17038" t="s">
        <v>19</v>
      </c>
      <c r="D17038" t="s">
        <v>11</v>
      </c>
      <c r="E17038" t="s">
        <v>12</v>
      </c>
      <c r="F17038">
        <v>180256238</v>
      </c>
      <c r="G17038">
        <v>180256258</v>
      </c>
      <c r="H17038">
        <v>180256238</v>
      </c>
      <c r="I17038">
        <v>180256258</v>
      </c>
    </row>
    <row r="17039" spans="1:9" x14ac:dyDescent="0.2">
      <c r="A17039" t="str">
        <f>"Psen2"</f>
        <v>Psen2</v>
      </c>
      <c r="B17039" t="s">
        <v>13</v>
      </c>
      <c r="C17039" t="s">
        <v>19</v>
      </c>
      <c r="D17039" t="s">
        <v>11</v>
      </c>
      <c r="E17039" t="s">
        <v>12</v>
      </c>
      <c r="F17039">
        <v>180229959</v>
      </c>
      <c r="G17039">
        <v>180230000</v>
      </c>
      <c r="H17039">
        <v>180229959</v>
      </c>
      <c r="I17039">
        <v>180230000</v>
      </c>
    </row>
    <row r="17040" spans="1:9" x14ac:dyDescent="0.2">
      <c r="A17040" t="str">
        <f>"Psenen"</f>
        <v>Psenen</v>
      </c>
      <c r="B17040" t="s">
        <v>14</v>
      </c>
      <c r="C17040" t="s">
        <v>33</v>
      </c>
      <c r="D17040" t="s">
        <v>11</v>
      </c>
      <c r="E17040" t="s">
        <v>12</v>
      </c>
      <c r="F17040">
        <v>30563187</v>
      </c>
      <c r="G17040">
        <v>30563229</v>
      </c>
      <c r="H17040">
        <v>30563235</v>
      </c>
      <c r="I17040">
        <v>30563256</v>
      </c>
    </row>
    <row r="17041" spans="1:9" x14ac:dyDescent="0.2">
      <c r="A17041" t="str">
        <f>"Psg16"</f>
        <v>Psg16</v>
      </c>
      <c r="B17041" t="s">
        <v>9</v>
      </c>
      <c r="C17041" t="s">
        <v>33</v>
      </c>
      <c r="D17041" t="s">
        <v>17</v>
      </c>
      <c r="E17041" t="s">
        <v>12</v>
      </c>
      <c r="F17041">
        <v>17087934</v>
      </c>
      <c r="G17041">
        <v>17087961</v>
      </c>
      <c r="H17041">
        <v>17087934</v>
      </c>
      <c r="I17041">
        <v>17087961</v>
      </c>
    </row>
    <row r="17042" spans="1:9" x14ac:dyDescent="0.2">
      <c r="A17042" t="str">
        <f>"Psg16"</f>
        <v>Psg16</v>
      </c>
      <c r="B17042" t="s">
        <v>13</v>
      </c>
      <c r="C17042" t="s">
        <v>33</v>
      </c>
      <c r="D17042" t="s">
        <v>17</v>
      </c>
      <c r="E17042" t="s">
        <v>12</v>
      </c>
      <c r="F17042">
        <v>17073996</v>
      </c>
      <c r="G17042">
        <v>17074032</v>
      </c>
      <c r="H17042">
        <v>17073996</v>
      </c>
      <c r="I17042">
        <v>17074032</v>
      </c>
    </row>
    <row r="17043" spans="1:9" x14ac:dyDescent="0.2">
      <c r="A17043" t="str">
        <f>"Psg17"</f>
        <v>Psg17</v>
      </c>
      <c r="B17043" t="s">
        <v>14</v>
      </c>
      <c r="C17043" t="s">
        <v>33</v>
      </c>
      <c r="D17043" t="s">
        <v>11</v>
      </c>
      <c r="E17043" t="s">
        <v>12</v>
      </c>
      <c r="F17043">
        <v>18821598</v>
      </c>
      <c r="G17043">
        <v>18821612</v>
      </c>
      <c r="H17043">
        <v>18821625</v>
      </c>
      <c r="I17043">
        <v>18821626</v>
      </c>
    </row>
    <row r="17044" spans="1:9" x14ac:dyDescent="0.2">
      <c r="A17044" t="str">
        <f>"Psg18"</f>
        <v>Psg18</v>
      </c>
      <c r="B17044" t="s">
        <v>14</v>
      </c>
      <c r="C17044" t="s">
        <v>33</v>
      </c>
      <c r="D17044" t="s">
        <v>11</v>
      </c>
      <c r="E17044" t="s">
        <v>12</v>
      </c>
      <c r="F17044">
        <v>18354981</v>
      </c>
      <c r="G17044">
        <v>18355016</v>
      </c>
      <c r="H17044">
        <v>18354981</v>
      </c>
      <c r="I17044">
        <v>18355016</v>
      </c>
    </row>
    <row r="17045" spans="1:9" x14ac:dyDescent="0.2">
      <c r="A17045" t="str">
        <f>"Psg19"</f>
        <v>Psg19</v>
      </c>
      <c r="B17045" t="s">
        <v>14</v>
      </c>
      <c r="C17045" t="s">
        <v>33</v>
      </c>
      <c r="D17045" t="s">
        <v>11</v>
      </c>
      <c r="E17045" t="s">
        <v>12</v>
      </c>
      <c r="F17045">
        <v>18798504</v>
      </c>
      <c r="G17045">
        <v>18798516</v>
      </c>
      <c r="H17045">
        <v>18798504</v>
      </c>
      <c r="I17045">
        <v>18798516</v>
      </c>
    </row>
    <row r="17046" spans="1:9" x14ac:dyDescent="0.2">
      <c r="A17046" t="str">
        <f>"Psg20"</f>
        <v>Psg20</v>
      </c>
      <c r="B17046" t="s">
        <v>14</v>
      </c>
      <c r="C17046" t="s">
        <v>33</v>
      </c>
      <c r="D17046" t="s">
        <v>11</v>
      </c>
      <c r="E17046" t="s">
        <v>12</v>
      </c>
      <c r="F17046">
        <v>18686184</v>
      </c>
      <c r="G17046">
        <v>18686190</v>
      </c>
      <c r="H17046">
        <v>18686184</v>
      </c>
      <c r="I17046">
        <v>18686190</v>
      </c>
    </row>
    <row r="17047" spans="1:9" x14ac:dyDescent="0.2">
      <c r="A17047" t="str">
        <f>"Psg21"</f>
        <v>Psg21</v>
      </c>
      <c r="B17047" t="s">
        <v>14</v>
      </c>
      <c r="C17047" t="s">
        <v>33</v>
      </c>
      <c r="D17047" t="s">
        <v>11</v>
      </c>
      <c r="E17047" t="s">
        <v>12</v>
      </c>
      <c r="F17047">
        <v>18656720</v>
      </c>
      <c r="G17047">
        <v>18656728</v>
      </c>
      <c r="H17047">
        <v>18656720</v>
      </c>
      <c r="I17047">
        <v>18656728</v>
      </c>
    </row>
    <row r="17048" spans="1:9" x14ac:dyDescent="0.2">
      <c r="A17048" t="str">
        <f>"Psg22"</f>
        <v>Psg22</v>
      </c>
      <c r="B17048" t="s">
        <v>14</v>
      </c>
      <c r="C17048" t="s">
        <v>33</v>
      </c>
      <c r="D17048" t="s">
        <v>17</v>
      </c>
      <c r="E17048" t="s">
        <v>12</v>
      </c>
      <c r="F17048">
        <v>18718199</v>
      </c>
      <c r="G17048">
        <v>18718212</v>
      </c>
      <c r="H17048">
        <v>18718075</v>
      </c>
      <c r="I17048">
        <v>18718092</v>
      </c>
    </row>
    <row r="17049" spans="1:9" x14ac:dyDescent="0.2">
      <c r="A17049" t="str">
        <f>"Psg23"</f>
        <v>Psg23</v>
      </c>
      <c r="B17049" t="s">
        <v>14</v>
      </c>
      <c r="C17049" t="s">
        <v>33</v>
      </c>
      <c r="D17049" t="s">
        <v>11</v>
      </c>
      <c r="E17049" t="s">
        <v>12</v>
      </c>
      <c r="F17049">
        <v>18616498</v>
      </c>
      <c r="G17049">
        <v>18616507</v>
      </c>
      <c r="H17049">
        <v>18616498</v>
      </c>
      <c r="I17049">
        <v>18616507</v>
      </c>
    </row>
    <row r="17050" spans="1:9" x14ac:dyDescent="0.2">
      <c r="A17050" t="str">
        <f>"Psg25"</f>
        <v>Psg25</v>
      </c>
      <c r="B17050" t="s">
        <v>14</v>
      </c>
      <c r="C17050" t="s">
        <v>33</v>
      </c>
      <c r="D17050" t="s">
        <v>11</v>
      </c>
      <c r="E17050" t="s">
        <v>12</v>
      </c>
      <c r="F17050">
        <v>18532225</v>
      </c>
      <c r="G17050">
        <v>18532242</v>
      </c>
      <c r="H17050">
        <v>18532225</v>
      </c>
      <c r="I17050">
        <v>18532242</v>
      </c>
    </row>
    <row r="17051" spans="1:9" x14ac:dyDescent="0.2">
      <c r="A17051" t="str">
        <f>"Psg26"</f>
        <v>Psg26</v>
      </c>
      <c r="B17051" t="s">
        <v>14</v>
      </c>
      <c r="C17051" t="s">
        <v>33</v>
      </c>
      <c r="D17051" t="s">
        <v>11</v>
      </c>
      <c r="E17051" t="s">
        <v>12</v>
      </c>
      <c r="F17051">
        <v>18484132</v>
      </c>
      <c r="G17051">
        <v>18484160</v>
      </c>
      <c r="H17051">
        <v>18484058</v>
      </c>
      <c r="I17051">
        <v>18484065</v>
      </c>
    </row>
    <row r="17052" spans="1:9" x14ac:dyDescent="0.2">
      <c r="A17052" t="str">
        <f>"Psg27"</f>
        <v>Psg27</v>
      </c>
      <c r="B17052" t="s">
        <v>14</v>
      </c>
      <c r="C17052" t="s">
        <v>33</v>
      </c>
      <c r="D17052" t="s">
        <v>11</v>
      </c>
      <c r="E17052" t="s">
        <v>12</v>
      </c>
      <c r="F17052">
        <v>18567318</v>
      </c>
      <c r="G17052">
        <v>18567345</v>
      </c>
      <c r="H17052">
        <v>18567318</v>
      </c>
      <c r="I17052">
        <v>18567345</v>
      </c>
    </row>
    <row r="17053" spans="1:9" x14ac:dyDescent="0.2">
      <c r="A17053" t="str">
        <f>"Psg28"</f>
        <v>Psg28</v>
      </c>
      <c r="B17053" t="s">
        <v>14</v>
      </c>
      <c r="C17053" t="s">
        <v>33</v>
      </c>
      <c r="D17053" t="s">
        <v>11</v>
      </c>
      <c r="E17053" t="s">
        <v>12</v>
      </c>
      <c r="F17053">
        <v>18432033</v>
      </c>
      <c r="G17053">
        <v>18432065</v>
      </c>
      <c r="H17053">
        <v>18431993</v>
      </c>
      <c r="I17053">
        <v>18432005</v>
      </c>
    </row>
    <row r="17054" spans="1:9" x14ac:dyDescent="0.2">
      <c r="A17054" t="str">
        <f>"Psg29"</f>
        <v>Psg29</v>
      </c>
      <c r="B17054" t="s">
        <v>14</v>
      </c>
      <c r="C17054" t="s">
        <v>33</v>
      </c>
      <c r="D17054" t="s">
        <v>17</v>
      </c>
      <c r="E17054" t="s">
        <v>12</v>
      </c>
      <c r="F17054">
        <v>17203469</v>
      </c>
      <c r="G17054">
        <v>17203485</v>
      </c>
      <c r="H17054">
        <v>17203493</v>
      </c>
      <c r="I17054">
        <v>17203502</v>
      </c>
    </row>
    <row r="17055" spans="1:9" x14ac:dyDescent="0.2">
      <c r="A17055" t="str">
        <f>"Psip1"</f>
        <v>Psip1</v>
      </c>
      <c r="B17055" t="s">
        <v>14</v>
      </c>
      <c r="C17055" t="s">
        <v>23</v>
      </c>
      <c r="D17055" t="s">
        <v>11</v>
      </c>
      <c r="E17055" t="s">
        <v>12</v>
      </c>
      <c r="F17055">
        <v>83486415</v>
      </c>
      <c r="G17055">
        <v>83486439</v>
      </c>
      <c r="H17055">
        <v>83486457</v>
      </c>
      <c r="I17055">
        <v>83486478</v>
      </c>
    </row>
    <row r="17056" spans="1:9" x14ac:dyDescent="0.2">
      <c r="A17056" t="str">
        <f>"Pskh1"</f>
        <v>Pskh1</v>
      </c>
      <c r="B17056" t="s">
        <v>14</v>
      </c>
      <c r="C17056" t="s">
        <v>30</v>
      </c>
      <c r="D17056" t="s">
        <v>17</v>
      </c>
      <c r="E17056" t="s">
        <v>12</v>
      </c>
      <c r="F17056">
        <v>105900421</v>
      </c>
      <c r="G17056">
        <v>105900467</v>
      </c>
      <c r="H17056">
        <v>105900417</v>
      </c>
      <c r="I17056">
        <v>105900420</v>
      </c>
    </row>
    <row r="17057" spans="1:9" x14ac:dyDescent="0.2">
      <c r="A17057" t="str">
        <f>"Psma1"</f>
        <v>Psma1</v>
      </c>
      <c r="B17057" t="s">
        <v>14</v>
      </c>
      <c r="C17057" t="s">
        <v>33</v>
      </c>
      <c r="D17057" t="s">
        <v>11</v>
      </c>
      <c r="E17057" t="s">
        <v>12</v>
      </c>
      <c r="F17057">
        <v>114276042</v>
      </c>
      <c r="G17057">
        <v>114276102</v>
      </c>
      <c r="H17057">
        <v>114276107</v>
      </c>
      <c r="I17057">
        <v>114276125</v>
      </c>
    </row>
    <row r="17058" spans="1:9" x14ac:dyDescent="0.2">
      <c r="A17058" t="str">
        <f>"Psma2"</f>
        <v>Psma2</v>
      </c>
      <c r="B17058" t="s">
        <v>14</v>
      </c>
      <c r="C17058" t="s">
        <v>39</v>
      </c>
      <c r="D17058" t="s">
        <v>17</v>
      </c>
      <c r="E17058" t="s">
        <v>12</v>
      </c>
      <c r="F17058">
        <v>14613243</v>
      </c>
      <c r="G17058">
        <v>14613272</v>
      </c>
      <c r="H17058">
        <v>14613243</v>
      </c>
      <c r="I17058">
        <v>14613272</v>
      </c>
    </row>
    <row r="17059" spans="1:9" x14ac:dyDescent="0.2">
      <c r="A17059" t="str">
        <f>"Psma3"</f>
        <v>Psma3</v>
      </c>
      <c r="B17059" t="s">
        <v>14</v>
      </c>
      <c r="C17059" t="s">
        <v>16</v>
      </c>
      <c r="D17059" t="s">
        <v>17</v>
      </c>
      <c r="E17059" t="s">
        <v>12</v>
      </c>
      <c r="F17059">
        <v>70974656</v>
      </c>
      <c r="G17059">
        <v>70974686</v>
      </c>
      <c r="H17059">
        <v>70974590</v>
      </c>
      <c r="I17059">
        <v>70974593</v>
      </c>
    </row>
    <row r="17060" spans="1:9" x14ac:dyDescent="0.2">
      <c r="A17060" t="str">
        <f>"Psma4"</f>
        <v>Psma4</v>
      </c>
      <c r="B17060" t="s">
        <v>14</v>
      </c>
      <c r="C17060" t="s">
        <v>24</v>
      </c>
      <c r="D17060" t="s">
        <v>17</v>
      </c>
      <c r="E17060" t="s">
        <v>12</v>
      </c>
      <c r="F17060">
        <v>54950808</v>
      </c>
      <c r="G17060">
        <v>54950820</v>
      </c>
      <c r="H17060">
        <v>54950782</v>
      </c>
      <c r="I17060">
        <v>54950797</v>
      </c>
    </row>
    <row r="17061" spans="1:9" x14ac:dyDescent="0.2">
      <c r="A17061" t="str">
        <f>"Psma5"</f>
        <v>Psma5</v>
      </c>
      <c r="B17061" t="s">
        <v>14</v>
      </c>
      <c r="C17061" t="s">
        <v>22</v>
      </c>
      <c r="D17061" t="s">
        <v>17</v>
      </c>
      <c r="E17061" t="s">
        <v>12</v>
      </c>
      <c r="F17061">
        <v>108257160</v>
      </c>
      <c r="G17061">
        <v>108257171</v>
      </c>
      <c r="H17061">
        <v>108257037</v>
      </c>
      <c r="I17061">
        <v>108257046</v>
      </c>
    </row>
    <row r="17062" spans="1:9" x14ac:dyDescent="0.2">
      <c r="A17062" t="str">
        <f>"Psma6"</f>
        <v>Psma6</v>
      </c>
      <c r="B17062" t="s">
        <v>14</v>
      </c>
      <c r="C17062" t="s">
        <v>16</v>
      </c>
      <c r="D17062" t="s">
        <v>17</v>
      </c>
      <c r="E17062" t="s">
        <v>12</v>
      </c>
      <c r="F17062">
        <v>55398814</v>
      </c>
      <c r="G17062">
        <v>55398894</v>
      </c>
      <c r="H17062">
        <v>55398814</v>
      </c>
      <c r="I17062">
        <v>55398894</v>
      </c>
    </row>
    <row r="17063" spans="1:9" x14ac:dyDescent="0.2">
      <c r="A17063" t="str">
        <f>"Psma7"</f>
        <v>Psma7</v>
      </c>
      <c r="B17063" t="s">
        <v>14</v>
      </c>
      <c r="C17063" t="s">
        <v>26</v>
      </c>
      <c r="D17063" t="s">
        <v>11</v>
      </c>
      <c r="E17063" t="s">
        <v>12</v>
      </c>
      <c r="F17063">
        <v>180042401</v>
      </c>
      <c r="G17063">
        <v>180042438</v>
      </c>
      <c r="H17063">
        <v>180042371</v>
      </c>
      <c r="I17063">
        <v>180042398</v>
      </c>
    </row>
    <row r="17064" spans="1:9" x14ac:dyDescent="0.2">
      <c r="A17064" t="str">
        <f>"Psma8"</f>
        <v>Psma8</v>
      </c>
      <c r="B17064" t="s">
        <v>14</v>
      </c>
      <c r="C17064" t="s">
        <v>43</v>
      </c>
      <c r="D17064" t="s">
        <v>17</v>
      </c>
      <c r="E17064" t="s">
        <v>12</v>
      </c>
      <c r="F17064">
        <v>14706145</v>
      </c>
      <c r="G17064">
        <v>14706232</v>
      </c>
      <c r="H17064">
        <v>14706136</v>
      </c>
      <c r="I17064">
        <v>14706143</v>
      </c>
    </row>
    <row r="17065" spans="1:9" x14ac:dyDescent="0.2">
      <c r="A17065" t="str">
        <f>"Psmb1"</f>
        <v>Psmb1</v>
      </c>
      <c r="B17065" t="s">
        <v>14</v>
      </c>
      <c r="C17065" t="s">
        <v>28</v>
      </c>
      <c r="D17065" t="s">
        <v>11</v>
      </c>
      <c r="E17065" t="s">
        <v>12</v>
      </c>
      <c r="F17065">
        <v>15498282</v>
      </c>
      <c r="G17065">
        <v>15498304</v>
      </c>
      <c r="H17065">
        <v>15498263</v>
      </c>
      <c r="I17065">
        <v>15498274</v>
      </c>
    </row>
    <row r="17066" spans="1:9" x14ac:dyDescent="0.2">
      <c r="A17066" t="str">
        <f>"Psmb10"</f>
        <v>Psmb10</v>
      </c>
      <c r="B17066" t="s">
        <v>14</v>
      </c>
      <c r="C17066" t="s">
        <v>30</v>
      </c>
      <c r="D17066" t="s">
        <v>11</v>
      </c>
      <c r="E17066" t="s">
        <v>12</v>
      </c>
      <c r="F17066">
        <v>105938046</v>
      </c>
      <c r="G17066">
        <v>105938134</v>
      </c>
      <c r="H17066">
        <v>105938046</v>
      </c>
      <c r="I17066">
        <v>105938134</v>
      </c>
    </row>
    <row r="17067" spans="1:9" x14ac:dyDescent="0.2">
      <c r="A17067" t="str">
        <f>"Psmb11"</f>
        <v>Psmb11</v>
      </c>
      <c r="B17067" t="s">
        <v>14</v>
      </c>
      <c r="C17067" t="s">
        <v>41</v>
      </c>
      <c r="D17067" t="s">
        <v>17</v>
      </c>
      <c r="E17067" t="s">
        <v>12</v>
      </c>
      <c r="F17067">
        <v>54625305</v>
      </c>
      <c r="G17067">
        <v>54625317</v>
      </c>
      <c r="H17067">
        <v>54625305</v>
      </c>
      <c r="I17067">
        <v>54625317</v>
      </c>
    </row>
    <row r="17068" spans="1:9" x14ac:dyDescent="0.2">
      <c r="A17068" t="str">
        <f>"Psmb2"</f>
        <v>Psmb2</v>
      </c>
      <c r="B17068" t="s">
        <v>14</v>
      </c>
      <c r="C17068" t="s">
        <v>23</v>
      </c>
      <c r="D17068" t="s">
        <v>17</v>
      </c>
      <c r="E17068" t="s">
        <v>12</v>
      </c>
      <c r="F17068">
        <v>126677659</v>
      </c>
      <c r="G17068">
        <v>126677673</v>
      </c>
      <c r="H17068">
        <v>126677678</v>
      </c>
      <c r="I17068">
        <v>126677689</v>
      </c>
    </row>
    <row r="17069" spans="1:9" x14ac:dyDescent="0.2">
      <c r="A17069" t="str">
        <f>"Psmb3"</f>
        <v>Psmb3</v>
      </c>
      <c r="B17069" t="s">
        <v>14</v>
      </c>
      <c r="C17069" t="s">
        <v>27</v>
      </c>
      <c r="D17069" t="s">
        <v>17</v>
      </c>
      <c r="E17069" t="s">
        <v>12</v>
      </c>
      <c r="F17069">
        <v>97703394</v>
      </c>
      <c r="G17069">
        <v>97703455</v>
      </c>
      <c r="H17069">
        <v>97703228</v>
      </c>
      <c r="I17069">
        <v>97703259</v>
      </c>
    </row>
    <row r="17070" spans="1:9" x14ac:dyDescent="0.2">
      <c r="A17070" t="str">
        <f>"Psmb4"</f>
        <v>Psmb4</v>
      </c>
      <c r="B17070" t="s">
        <v>14</v>
      </c>
      <c r="C17070" t="s">
        <v>22</v>
      </c>
      <c r="D17070" t="s">
        <v>11</v>
      </c>
      <c r="E17070" t="s">
        <v>12</v>
      </c>
      <c r="F17070">
        <v>94886920</v>
      </c>
      <c r="G17070">
        <v>94886942</v>
      </c>
      <c r="H17070">
        <v>94886945</v>
      </c>
      <c r="I17070">
        <v>94886956</v>
      </c>
    </row>
    <row r="17071" spans="1:9" x14ac:dyDescent="0.2">
      <c r="A17071" t="str">
        <f>"Psmb5"</f>
        <v>Psmb5</v>
      </c>
      <c r="B17071" t="s">
        <v>14</v>
      </c>
      <c r="C17071" t="s">
        <v>41</v>
      </c>
      <c r="D17071" t="s">
        <v>11</v>
      </c>
      <c r="E17071" t="s">
        <v>12</v>
      </c>
      <c r="F17071">
        <v>54617993</v>
      </c>
      <c r="G17071">
        <v>54618017</v>
      </c>
      <c r="H17071">
        <v>54617993</v>
      </c>
      <c r="I17071">
        <v>54618017</v>
      </c>
    </row>
    <row r="17072" spans="1:9" x14ac:dyDescent="0.2">
      <c r="A17072" t="str">
        <f>"Psmb6"</f>
        <v>Psmb6</v>
      </c>
      <c r="B17072" t="s">
        <v>14</v>
      </c>
      <c r="C17072" t="s">
        <v>27</v>
      </c>
      <c r="D17072" t="s">
        <v>17</v>
      </c>
      <c r="E17072" t="s">
        <v>12</v>
      </c>
      <c r="F17072">
        <v>70525361</v>
      </c>
      <c r="G17072">
        <v>70525394</v>
      </c>
      <c r="H17072">
        <v>70525361</v>
      </c>
      <c r="I17072">
        <v>70525394</v>
      </c>
    </row>
    <row r="17073" spans="1:9" x14ac:dyDescent="0.2">
      <c r="A17073" t="str">
        <f>"Psmb7"</f>
        <v>Psmb7</v>
      </c>
      <c r="B17073" t="s">
        <v>14</v>
      </c>
      <c r="C17073" t="s">
        <v>26</v>
      </c>
      <c r="D17073" t="s">
        <v>11</v>
      </c>
      <c r="E17073" t="s">
        <v>12</v>
      </c>
      <c r="F17073">
        <v>38643905</v>
      </c>
      <c r="G17073">
        <v>38643927</v>
      </c>
      <c r="H17073">
        <v>38643978</v>
      </c>
      <c r="I17073">
        <v>38643984</v>
      </c>
    </row>
    <row r="17074" spans="1:9" x14ac:dyDescent="0.2">
      <c r="A17074" t="str">
        <f>"Psmb8"</f>
        <v>Psmb8</v>
      </c>
      <c r="B17074" t="s">
        <v>14</v>
      </c>
      <c r="C17074" t="s">
        <v>28</v>
      </c>
      <c r="D17074" t="s">
        <v>17</v>
      </c>
      <c r="E17074" t="s">
        <v>12</v>
      </c>
      <c r="F17074">
        <v>34198342</v>
      </c>
      <c r="G17074">
        <v>34198384</v>
      </c>
      <c r="H17074">
        <v>34198385</v>
      </c>
      <c r="I17074">
        <v>34198400</v>
      </c>
    </row>
    <row r="17075" spans="1:9" x14ac:dyDescent="0.2">
      <c r="A17075" t="str">
        <f>"Psmb9"</f>
        <v>Psmb9</v>
      </c>
      <c r="B17075" t="s">
        <v>14</v>
      </c>
      <c r="C17075" t="s">
        <v>28</v>
      </c>
      <c r="D17075" t="s">
        <v>11</v>
      </c>
      <c r="E17075" t="s">
        <v>12</v>
      </c>
      <c r="F17075">
        <v>34187328</v>
      </c>
      <c r="G17075">
        <v>34187345</v>
      </c>
      <c r="H17075">
        <v>34187351</v>
      </c>
      <c r="I17075">
        <v>34187380</v>
      </c>
    </row>
    <row r="17076" spans="1:9" x14ac:dyDescent="0.2">
      <c r="A17076" t="str">
        <f>"Psmc1"</f>
        <v>Psmc1</v>
      </c>
      <c r="B17076" t="s">
        <v>14</v>
      </c>
      <c r="C17076" t="s">
        <v>16</v>
      </c>
      <c r="D17076" t="s">
        <v>17</v>
      </c>
      <c r="E17076" t="s">
        <v>12</v>
      </c>
      <c r="F17076">
        <v>100110148</v>
      </c>
      <c r="G17076">
        <v>100110193</v>
      </c>
      <c r="H17076">
        <v>100110148</v>
      </c>
      <c r="I17076">
        <v>100110193</v>
      </c>
    </row>
    <row r="17077" spans="1:9" x14ac:dyDescent="0.2">
      <c r="A17077" t="str">
        <f>"Psmc2"</f>
        <v>Psmc2</v>
      </c>
      <c r="B17077" t="s">
        <v>9</v>
      </c>
      <c r="C17077" t="s">
        <v>46</v>
      </c>
      <c r="D17077" t="s">
        <v>17</v>
      </c>
      <c r="E17077" t="s">
        <v>12</v>
      </c>
      <c r="F17077">
        <v>21785253</v>
      </c>
      <c r="G17077">
        <v>21785301</v>
      </c>
      <c r="H17077">
        <v>21785253</v>
      </c>
      <c r="I17077">
        <v>21785301</v>
      </c>
    </row>
    <row r="17078" spans="1:9" x14ac:dyDescent="0.2">
      <c r="A17078" t="str">
        <f>"Psmc2"</f>
        <v>Psmc2</v>
      </c>
      <c r="B17078" t="s">
        <v>13</v>
      </c>
      <c r="C17078" t="s">
        <v>46</v>
      </c>
      <c r="D17078" t="s">
        <v>17</v>
      </c>
      <c r="E17078" t="s">
        <v>12</v>
      </c>
      <c r="F17078">
        <v>21794066</v>
      </c>
      <c r="G17078">
        <v>21794068</v>
      </c>
      <c r="H17078">
        <v>21794066</v>
      </c>
      <c r="I17078">
        <v>21794068</v>
      </c>
    </row>
    <row r="17079" spans="1:9" x14ac:dyDescent="0.2">
      <c r="A17079" t="str">
        <f>"Psmc3"</f>
        <v>Psmc3</v>
      </c>
      <c r="B17079" t="s">
        <v>14</v>
      </c>
      <c r="C17079" t="s">
        <v>26</v>
      </c>
      <c r="D17079" t="s">
        <v>17</v>
      </c>
      <c r="E17079" t="s">
        <v>12</v>
      </c>
      <c r="F17079">
        <v>91054054</v>
      </c>
      <c r="G17079">
        <v>91054114</v>
      </c>
      <c r="H17079">
        <v>91054263</v>
      </c>
      <c r="I17079">
        <v>91054303</v>
      </c>
    </row>
    <row r="17080" spans="1:9" x14ac:dyDescent="0.2">
      <c r="A17080" t="str">
        <f>"Psmc3ip"</f>
        <v>Psmc3ip</v>
      </c>
      <c r="B17080" t="s">
        <v>14</v>
      </c>
      <c r="C17080" t="s">
        <v>27</v>
      </c>
      <c r="D17080" t="s">
        <v>11</v>
      </c>
      <c r="E17080" t="s">
        <v>12</v>
      </c>
      <c r="F17080">
        <v>101095367</v>
      </c>
      <c r="G17080">
        <v>101095439</v>
      </c>
      <c r="H17080">
        <v>101095367</v>
      </c>
      <c r="I17080">
        <v>101095439</v>
      </c>
    </row>
    <row r="17081" spans="1:9" x14ac:dyDescent="0.2">
      <c r="A17081" t="str">
        <f>"Psmc4"</f>
        <v>Psmc4</v>
      </c>
      <c r="B17081" t="s">
        <v>14</v>
      </c>
      <c r="C17081" t="s">
        <v>33</v>
      </c>
      <c r="D17081" t="s">
        <v>11</v>
      </c>
      <c r="E17081" t="s">
        <v>12</v>
      </c>
      <c r="F17081">
        <v>28050028</v>
      </c>
      <c r="G17081">
        <v>28050080</v>
      </c>
      <c r="H17081">
        <v>28050165</v>
      </c>
      <c r="I17081">
        <v>28050178</v>
      </c>
    </row>
    <row r="17082" spans="1:9" x14ac:dyDescent="0.2">
      <c r="A17082" t="str">
        <f>"Psmc5"</f>
        <v>Psmc5</v>
      </c>
      <c r="B17082" t="s">
        <v>14</v>
      </c>
      <c r="C17082" t="s">
        <v>27</v>
      </c>
      <c r="D17082" t="s">
        <v>17</v>
      </c>
      <c r="E17082" t="s">
        <v>12</v>
      </c>
      <c r="F17082">
        <v>106256140</v>
      </c>
      <c r="G17082">
        <v>106256172</v>
      </c>
      <c r="H17082">
        <v>106256173</v>
      </c>
      <c r="I17082">
        <v>106256189</v>
      </c>
    </row>
    <row r="17083" spans="1:9" x14ac:dyDescent="0.2">
      <c r="A17083" t="str">
        <f>"Psmc6"</f>
        <v>Psmc6</v>
      </c>
      <c r="B17083" t="s">
        <v>14</v>
      </c>
      <c r="C17083" t="s">
        <v>41</v>
      </c>
      <c r="D17083" t="s">
        <v>17</v>
      </c>
      <c r="E17083" t="s">
        <v>12</v>
      </c>
      <c r="F17083">
        <v>45329815</v>
      </c>
      <c r="G17083">
        <v>45329849</v>
      </c>
      <c r="H17083">
        <v>45329800</v>
      </c>
      <c r="I17083">
        <v>45329811</v>
      </c>
    </row>
    <row r="17084" spans="1:9" x14ac:dyDescent="0.2">
      <c r="A17084" t="str">
        <f>"Psmd1"</f>
        <v>Psmd1</v>
      </c>
      <c r="B17084" t="s">
        <v>14</v>
      </c>
      <c r="C17084" t="s">
        <v>19</v>
      </c>
      <c r="D17084" t="s">
        <v>17</v>
      </c>
      <c r="E17084" t="s">
        <v>12</v>
      </c>
      <c r="F17084">
        <v>86064649</v>
      </c>
      <c r="G17084">
        <v>86064681</v>
      </c>
      <c r="H17084">
        <v>86064625</v>
      </c>
      <c r="I17084">
        <v>86064648</v>
      </c>
    </row>
    <row r="17085" spans="1:9" x14ac:dyDescent="0.2">
      <c r="A17085" t="str">
        <f>"Psmd10"</f>
        <v>Psmd10</v>
      </c>
      <c r="B17085" t="s">
        <v>14</v>
      </c>
      <c r="C17085" t="s">
        <v>37</v>
      </c>
      <c r="D17085" t="s">
        <v>11</v>
      </c>
      <c r="E17085" t="s">
        <v>12</v>
      </c>
      <c r="F17085">
        <v>140956675</v>
      </c>
      <c r="G17085">
        <v>140956717</v>
      </c>
      <c r="H17085">
        <v>140956675</v>
      </c>
      <c r="I17085">
        <v>140956717</v>
      </c>
    </row>
    <row r="17086" spans="1:9" x14ac:dyDescent="0.2">
      <c r="A17086" t="str">
        <f>"Psmd11"</f>
        <v>Psmd11</v>
      </c>
      <c r="B17086" t="s">
        <v>14</v>
      </c>
      <c r="C17086" t="s">
        <v>27</v>
      </c>
      <c r="D17086" t="s">
        <v>17</v>
      </c>
      <c r="E17086" t="s">
        <v>12</v>
      </c>
      <c r="F17086">
        <v>80428598</v>
      </c>
      <c r="G17086">
        <v>80428656</v>
      </c>
      <c r="H17086">
        <v>80428598</v>
      </c>
      <c r="I17086">
        <v>80428656</v>
      </c>
    </row>
    <row r="17087" spans="1:9" x14ac:dyDescent="0.2">
      <c r="A17087" t="str">
        <f>"Psmd12"</f>
        <v>Psmd12</v>
      </c>
      <c r="B17087" t="s">
        <v>14</v>
      </c>
      <c r="C17087" t="s">
        <v>27</v>
      </c>
      <c r="D17087" t="s">
        <v>17</v>
      </c>
      <c r="E17087" t="s">
        <v>12</v>
      </c>
      <c r="F17087">
        <v>107479478</v>
      </c>
      <c r="G17087">
        <v>107479544</v>
      </c>
      <c r="H17087">
        <v>107479549</v>
      </c>
      <c r="I17087">
        <v>107479565</v>
      </c>
    </row>
    <row r="17088" spans="1:9" x14ac:dyDescent="0.2">
      <c r="A17088" t="str">
        <f>"Psmd13"</f>
        <v>Psmd13</v>
      </c>
      <c r="B17088" t="s">
        <v>14</v>
      </c>
      <c r="C17088" t="s">
        <v>33</v>
      </c>
      <c r="D17088" t="s">
        <v>17</v>
      </c>
      <c r="E17088" t="s">
        <v>12</v>
      </c>
      <c r="F17088">
        <v>140882381</v>
      </c>
      <c r="G17088">
        <v>140882426</v>
      </c>
      <c r="H17088">
        <v>140882430</v>
      </c>
      <c r="I17088">
        <v>140882441</v>
      </c>
    </row>
    <row r="17089" spans="1:9" x14ac:dyDescent="0.2">
      <c r="A17089" t="str">
        <f>"Psmd14"</f>
        <v>Psmd14</v>
      </c>
      <c r="B17089" t="s">
        <v>14</v>
      </c>
      <c r="C17089" t="s">
        <v>26</v>
      </c>
      <c r="D17089" t="s">
        <v>17</v>
      </c>
      <c r="E17089" t="s">
        <v>12</v>
      </c>
      <c r="F17089">
        <v>61711704</v>
      </c>
      <c r="G17089">
        <v>61711786</v>
      </c>
      <c r="H17089">
        <v>61711787</v>
      </c>
      <c r="I17089">
        <v>61711812</v>
      </c>
    </row>
    <row r="17090" spans="1:9" x14ac:dyDescent="0.2">
      <c r="A17090" t="str">
        <f>"Psmd2"</f>
        <v>Psmd2</v>
      </c>
      <c r="B17090" t="s">
        <v>14</v>
      </c>
      <c r="C17090" t="s">
        <v>31</v>
      </c>
      <c r="D17090" t="s">
        <v>17</v>
      </c>
      <c r="E17090" t="s">
        <v>12</v>
      </c>
      <c r="F17090">
        <v>20651664</v>
      </c>
      <c r="G17090">
        <v>20651712</v>
      </c>
      <c r="H17090">
        <v>20651664</v>
      </c>
      <c r="I17090">
        <v>20651712</v>
      </c>
    </row>
    <row r="17091" spans="1:9" x14ac:dyDescent="0.2">
      <c r="A17091" t="str">
        <f>"Psmd3"</f>
        <v>Psmd3</v>
      </c>
      <c r="B17091" t="s">
        <v>14</v>
      </c>
      <c r="C17091" t="s">
        <v>27</v>
      </c>
      <c r="D17091" t="s">
        <v>17</v>
      </c>
      <c r="E17091" t="s">
        <v>12</v>
      </c>
      <c r="F17091">
        <v>98682578</v>
      </c>
      <c r="G17091">
        <v>98682612</v>
      </c>
      <c r="H17091">
        <v>98682558</v>
      </c>
      <c r="I17091">
        <v>98682573</v>
      </c>
    </row>
    <row r="17092" spans="1:9" x14ac:dyDescent="0.2">
      <c r="A17092" t="str">
        <f>"Psmd4"</f>
        <v>Psmd4</v>
      </c>
      <c r="B17092" t="s">
        <v>14</v>
      </c>
      <c r="C17092" t="s">
        <v>22</v>
      </c>
      <c r="D17092" t="s">
        <v>11</v>
      </c>
      <c r="E17092" t="s">
        <v>12</v>
      </c>
      <c r="F17092">
        <v>95042542</v>
      </c>
      <c r="G17092">
        <v>95042579</v>
      </c>
      <c r="H17092">
        <v>95042542</v>
      </c>
      <c r="I17092">
        <v>95042579</v>
      </c>
    </row>
    <row r="17093" spans="1:9" x14ac:dyDescent="0.2">
      <c r="A17093" t="str">
        <f>"Psmd5"</f>
        <v>Psmd5</v>
      </c>
      <c r="B17093" t="s">
        <v>14</v>
      </c>
      <c r="C17093" t="s">
        <v>26</v>
      </c>
      <c r="D17093" t="s">
        <v>11</v>
      </c>
      <c r="E17093" t="s">
        <v>12</v>
      </c>
      <c r="F17093">
        <v>34870921</v>
      </c>
      <c r="G17093">
        <v>34870980</v>
      </c>
      <c r="H17093">
        <v>34871256</v>
      </c>
      <c r="I17093">
        <v>34871293</v>
      </c>
    </row>
    <row r="17094" spans="1:9" x14ac:dyDescent="0.2">
      <c r="A17094" t="str">
        <f>"Psmd6"</f>
        <v>Psmd6</v>
      </c>
      <c r="B17094" t="s">
        <v>14</v>
      </c>
      <c r="C17094" t="s">
        <v>41</v>
      </c>
      <c r="D17094" t="s">
        <v>11</v>
      </c>
      <c r="E17094" t="s">
        <v>12</v>
      </c>
      <c r="F17094">
        <v>14120904</v>
      </c>
      <c r="G17094">
        <v>14120963</v>
      </c>
      <c r="H17094">
        <v>14120763</v>
      </c>
      <c r="I17094">
        <v>14120770</v>
      </c>
    </row>
    <row r="17095" spans="1:9" x14ac:dyDescent="0.2">
      <c r="A17095" t="str">
        <f>"Psmd7"</f>
        <v>Psmd7</v>
      </c>
      <c r="B17095" t="s">
        <v>14</v>
      </c>
      <c r="C17095" t="s">
        <v>30</v>
      </c>
      <c r="D17095" t="s">
        <v>11</v>
      </c>
      <c r="E17095" t="s">
        <v>12</v>
      </c>
      <c r="F17095">
        <v>107588392</v>
      </c>
      <c r="G17095">
        <v>107588463</v>
      </c>
      <c r="H17095">
        <v>107588392</v>
      </c>
      <c r="I17095">
        <v>107588463</v>
      </c>
    </row>
    <row r="17096" spans="1:9" x14ac:dyDescent="0.2">
      <c r="A17096" t="str">
        <f>"Psmd8"</f>
        <v>Psmd8</v>
      </c>
      <c r="B17096" t="s">
        <v>14</v>
      </c>
      <c r="C17096" t="s">
        <v>33</v>
      </c>
      <c r="D17096" t="s">
        <v>11</v>
      </c>
      <c r="E17096" t="s">
        <v>12</v>
      </c>
      <c r="F17096">
        <v>29180651</v>
      </c>
      <c r="G17096">
        <v>29180689</v>
      </c>
      <c r="H17096">
        <v>29180631</v>
      </c>
      <c r="I17096">
        <v>29180650</v>
      </c>
    </row>
    <row r="17097" spans="1:9" x14ac:dyDescent="0.2">
      <c r="A17097" t="str">
        <f>"Psmd9"</f>
        <v>Psmd9</v>
      </c>
      <c r="B17097" t="s">
        <v>14</v>
      </c>
      <c r="C17097" t="s">
        <v>46</v>
      </c>
      <c r="D17097" t="s">
        <v>17</v>
      </c>
      <c r="E17097" t="s">
        <v>12</v>
      </c>
      <c r="F17097">
        <v>123228238</v>
      </c>
      <c r="G17097">
        <v>123228301</v>
      </c>
      <c r="H17097">
        <v>123228238</v>
      </c>
      <c r="I17097">
        <v>123228301</v>
      </c>
    </row>
    <row r="17098" spans="1:9" x14ac:dyDescent="0.2">
      <c r="A17098" t="str">
        <f>"Psme1"</f>
        <v>Psme1</v>
      </c>
      <c r="B17098" t="s">
        <v>14</v>
      </c>
      <c r="C17098" t="s">
        <v>41</v>
      </c>
      <c r="D17098" t="s">
        <v>17</v>
      </c>
      <c r="E17098" t="s">
        <v>12</v>
      </c>
      <c r="F17098">
        <v>55578444</v>
      </c>
      <c r="G17098">
        <v>55578539</v>
      </c>
      <c r="H17098">
        <v>55578161</v>
      </c>
      <c r="I17098">
        <v>55578180</v>
      </c>
    </row>
    <row r="17099" spans="1:9" x14ac:dyDescent="0.2">
      <c r="A17099" t="str">
        <f>"Psme2"</f>
        <v>Psme2</v>
      </c>
      <c r="B17099" t="s">
        <v>14</v>
      </c>
      <c r="C17099" t="s">
        <v>41</v>
      </c>
      <c r="D17099" t="s">
        <v>11</v>
      </c>
      <c r="E17099" t="s">
        <v>12</v>
      </c>
      <c r="F17099">
        <v>55590918</v>
      </c>
      <c r="G17099">
        <v>55590969</v>
      </c>
      <c r="H17099">
        <v>55591077</v>
      </c>
      <c r="I17099">
        <v>55591118</v>
      </c>
    </row>
    <row r="17100" spans="1:9" x14ac:dyDescent="0.2">
      <c r="A17100" t="str">
        <f>"Psme2b"</f>
        <v>Psme2b</v>
      </c>
      <c r="B17100" t="s">
        <v>5639</v>
      </c>
      <c r="C17100" t="s">
        <v>27</v>
      </c>
      <c r="D17100" t="s">
        <v>11</v>
      </c>
      <c r="E17100" t="s">
        <v>20</v>
      </c>
      <c r="F17100">
        <v>48946189</v>
      </c>
      <c r="G17100">
        <v>48946189</v>
      </c>
      <c r="H17100">
        <v>48946189</v>
      </c>
      <c r="I17100">
        <v>48946189</v>
      </c>
    </row>
    <row r="17101" spans="1:9" x14ac:dyDescent="0.2">
      <c r="A17101" t="str">
        <f>"Psme3"</f>
        <v>Psme3</v>
      </c>
      <c r="B17101" t="s">
        <v>14</v>
      </c>
      <c r="C17101" t="s">
        <v>27</v>
      </c>
      <c r="D17101" t="s">
        <v>17</v>
      </c>
      <c r="E17101" t="s">
        <v>12</v>
      </c>
      <c r="F17101">
        <v>101316200</v>
      </c>
      <c r="G17101">
        <v>101316275</v>
      </c>
      <c r="H17101">
        <v>101316200</v>
      </c>
      <c r="I17101">
        <v>101316275</v>
      </c>
    </row>
    <row r="17102" spans="1:9" x14ac:dyDescent="0.2">
      <c r="A17102" t="str">
        <f>"Psme4"</f>
        <v>Psme4</v>
      </c>
      <c r="B17102" t="s">
        <v>14</v>
      </c>
      <c r="C17102" t="s">
        <v>27</v>
      </c>
      <c r="D17102" t="s">
        <v>17</v>
      </c>
      <c r="E17102" t="s">
        <v>12</v>
      </c>
      <c r="F17102">
        <v>30771745</v>
      </c>
      <c r="G17102">
        <v>30771792</v>
      </c>
      <c r="H17102">
        <v>30771795</v>
      </c>
      <c r="I17102">
        <v>30771812</v>
      </c>
    </row>
    <row r="17103" spans="1:9" x14ac:dyDescent="0.2">
      <c r="A17103" t="str">
        <f>"Psmf1"</f>
        <v>Psmf1</v>
      </c>
      <c r="B17103" t="s">
        <v>14</v>
      </c>
      <c r="C17103" t="s">
        <v>26</v>
      </c>
      <c r="D17103" t="s">
        <v>11</v>
      </c>
      <c r="E17103" t="s">
        <v>12</v>
      </c>
      <c r="F17103">
        <v>151741236</v>
      </c>
      <c r="G17103">
        <v>151741309</v>
      </c>
      <c r="H17103">
        <v>151741156</v>
      </c>
      <c r="I17103">
        <v>151741170</v>
      </c>
    </row>
    <row r="17104" spans="1:9" x14ac:dyDescent="0.2">
      <c r="A17104" t="str">
        <f>"Psmg1"</f>
        <v>Psmg1</v>
      </c>
      <c r="B17104" t="s">
        <v>14</v>
      </c>
      <c r="C17104" t="s">
        <v>31</v>
      </c>
      <c r="D17104" t="s">
        <v>11</v>
      </c>
      <c r="E17104" t="s">
        <v>12</v>
      </c>
      <c r="F17104">
        <v>95990890</v>
      </c>
      <c r="G17104">
        <v>95990928</v>
      </c>
      <c r="H17104">
        <v>95990890</v>
      </c>
      <c r="I17104">
        <v>95990928</v>
      </c>
    </row>
    <row r="17105" spans="1:9" x14ac:dyDescent="0.2">
      <c r="A17105" t="str">
        <f>"Psmg2"</f>
        <v>Psmg2</v>
      </c>
      <c r="B17105" t="s">
        <v>14</v>
      </c>
      <c r="C17105" t="s">
        <v>43</v>
      </c>
      <c r="D17105" t="s">
        <v>17</v>
      </c>
      <c r="E17105" t="s">
        <v>12</v>
      </c>
      <c r="F17105">
        <v>67641589</v>
      </c>
      <c r="G17105">
        <v>67641630</v>
      </c>
      <c r="H17105">
        <v>67641562</v>
      </c>
      <c r="I17105">
        <v>67641586</v>
      </c>
    </row>
    <row r="17106" spans="1:9" x14ac:dyDescent="0.2">
      <c r="A17106" t="str">
        <f>"Psmg3"</f>
        <v>Psmg3</v>
      </c>
      <c r="B17106" t="s">
        <v>14</v>
      </c>
      <c r="C17106" t="s">
        <v>46</v>
      </c>
      <c r="D17106" t="s">
        <v>11</v>
      </c>
      <c r="E17106" t="s">
        <v>12</v>
      </c>
      <c r="F17106">
        <v>139826837</v>
      </c>
      <c r="G17106">
        <v>139826891</v>
      </c>
      <c r="H17106">
        <v>139826828</v>
      </c>
      <c r="I17106">
        <v>139826834</v>
      </c>
    </row>
    <row r="17107" spans="1:9" x14ac:dyDescent="0.2">
      <c r="A17107" t="str">
        <f>"Psmg4"</f>
        <v>Psmg4</v>
      </c>
      <c r="B17107" t="s">
        <v>14</v>
      </c>
      <c r="C17107" t="s">
        <v>39</v>
      </c>
      <c r="D17107" t="s">
        <v>17</v>
      </c>
      <c r="E17107" t="s">
        <v>12</v>
      </c>
      <c r="F17107">
        <v>34162953</v>
      </c>
      <c r="G17107">
        <v>34163033</v>
      </c>
      <c r="H17107">
        <v>34163039</v>
      </c>
      <c r="I17107">
        <v>34163055</v>
      </c>
    </row>
    <row r="17108" spans="1:9" x14ac:dyDescent="0.2">
      <c r="A17108" t="str">
        <f>"Psors1c2"</f>
        <v>Psors1c2</v>
      </c>
      <c r="B17108" t="s">
        <v>14</v>
      </c>
      <c r="C17108" t="s">
        <v>28</v>
      </c>
      <c r="D17108" t="s">
        <v>17</v>
      </c>
      <c r="E17108" t="s">
        <v>12</v>
      </c>
      <c r="F17108">
        <v>35533194</v>
      </c>
      <c r="G17108">
        <v>35533208</v>
      </c>
      <c r="H17108">
        <v>35533194</v>
      </c>
      <c r="I17108">
        <v>35533208</v>
      </c>
    </row>
    <row r="17109" spans="1:9" x14ac:dyDescent="0.2">
      <c r="A17109" t="str">
        <f>"Pspc1"</f>
        <v>Pspc1</v>
      </c>
      <c r="B17109" t="s">
        <v>14</v>
      </c>
      <c r="C17109" t="s">
        <v>41</v>
      </c>
      <c r="D17109" t="s">
        <v>11</v>
      </c>
      <c r="E17109" t="s">
        <v>12</v>
      </c>
      <c r="F17109">
        <v>56778301</v>
      </c>
      <c r="G17109">
        <v>56778352</v>
      </c>
      <c r="H17109">
        <v>56778654</v>
      </c>
      <c r="I17109">
        <v>56778680</v>
      </c>
    </row>
    <row r="17110" spans="1:9" x14ac:dyDescent="0.2">
      <c r="A17110" t="str">
        <f>"Psph"</f>
        <v>Psph</v>
      </c>
      <c r="B17110" t="s">
        <v>14</v>
      </c>
      <c r="C17110" t="s">
        <v>46</v>
      </c>
      <c r="D17110" t="s">
        <v>11</v>
      </c>
      <c r="E17110" t="s">
        <v>12</v>
      </c>
      <c r="F17110">
        <v>129787175</v>
      </c>
      <c r="G17110">
        <v>129787259</v>
      </c>
      <c r="H17110">
        <v>129787137</v>
      </c>
      <c r="I17110">
        <v>129787173</v>
      </c>
    </row>
    <row r="17111" spans="1:9" x14ac:dyDescent="0.2">
      <c r="A17111" t="str">
        <f>"Pspn"</f>
        <v>Pspn</v>
      </c>
      <c r="B17111" t="s">
        <v>14</v>
      </c>
      <c r="C17111" t="s">
        <v>28</v>
      </c>
      <c r="D17111" t="s">
        <v>11</v>
      </c>
      <c r="E17111" t="s">
        <v>12</v>
      </c>
      <c r="F17111">
        <v>57000035</v>
      </c>
      <c r="G17111">
        <v>57000036</v>
      </c>
      <c r="H17111">
        <v>57000035</v>
      </c>
      <c r="I17111">
        <v>57000036</v>
      </c>
    </row>
    <row r="17112" spans="1:9" x14ac:dyDescent="0.2">
      <c r="A17112" t="str">
        <f>"Psrc1"</f>
        <v>Psrc1</v>
      </c>
      <c r="B17112" t="s">
        <v>14</v>
      </c>
      <c r="C17112" t="s">
        <v>22</v>
      </c>
      <c r="D17112" t="s">
        <v>17</v>
      </c>
      <c r="E17112" t="s">
        <v>12</v>
      </c>
      <c r="F17112">
        <v>108383829</v>
      </c>
      <c r="G17112">
        <v>108383886</v>
      </c>
      <c r="H17112">
        <v>108383983</v>
      </c>
      <c r="I17112">
        <v>108384001</v>
      </c>
    </row>
    <row r="17113" spans="1:9" x14ac:dyDescent="0.2">
      <c r="A17113" t="str">
        <f>"Pstk"</f>
        <v>Pstk</v>
      </c>
      <c r="B17113" t="s">
        <v>14</v>
      </c>
      <c r="C17113" t="s">
        <v>33</v>
      </c>
      <c r="D17113" t="s">
        <v>17</v>
      </c>
      <c r="E17113" t="s">
        <v>12</v>
      </c>
      <c r="F17113">
        <v>131371138</v>
      </c>
      <c r="G17113">
        <v>131371182</v>
      </c>
      <c r="H17113">
        <v>131371195</v>
      </c>
      <c r="I17113">
        <v>131371206</v>
      </c>
    </row>
    <row r="17114" spans="1:9" x14ac:dyDescent="0.2">
      <c r="A17114" t="str">
        <f>"Pstpip1"</f>
        <v>Pstpip1</v>
      </c>
      <c r="B17114" t="s">
        <v>14</v>
      </c>
      <c r="C17114" t="s">
        <v>24</v>
      </c>
      <c r="D17114" t="s">
        <v>17</v>
      </c>
      <c r="E17114" t="s">
        <v>12</v>
      </c>
      <c r="F17114">
        <v>56090015</v>
      </c>
      <c r="G17114">
        <v>56090060</v>
      </c>
      <c r="H17114">
        <v>56089966</v>
      </c>
      <c r="I17114">
        <v>56089987</v>
      </c>
    </row>
    <row r="17115" spans="1:9" x14ac:dyDescent="0.2">
      <c r="A17115" t="str">
        <f>"Pstpip2"</f>
        <v>Pstpip2</v>
      </c>
      <c r="B17115" t="s">
        <v>14</v>
      </c>
      <c r="C17115" t="s">
        <v>43</v>
      </c>
      <c r="D17115" t="s">
        <v>17</v>
      </c>
      <c r="E17115" t="s">
        <v>12</v>
      </c>
      <c r="F17115">
        <v>77794557</v>
      </c>
      <c r="G17115">
        <v>77794610</v>
      </c>
      <c r="H17115">
        <v>77794545</v>
      </c>
      <c r="I17115">
        <v>77794554</v>
      </c>
    </row>
    <row r="17116" spans="1:9" x14ac:dyDescent="0.2">
      <c r="A17116" t="str">
        <f>"Ptafr"</f>
        <v>Ptafr</v>
      </c>
      <c r="B17116" t="s">
        <v>14</v>
      </c>
      <c r="C17116" t="s">
        <v>23</v>
      </c>
      <c r="D17116" t="s">
        <v>17</v>
      </c>
      <c r="E17116" t="s">
        <v>12</v>
      </c>
      <c r="F17116">
        <v>132564183</v>
      </c>
      <c r="G17116">
        <v>132564210</v>
      </c>
      <c r="H17116">
        <v>132564051</v>
      </c>
      <c r="I17116">
        <v>132564076</v>
      </c>
    </row>
    <row r="17117" spans="1:9" x14ac:dyDescent="0.2">
      <c r="A17117" t="str">
        <f>"Ptar1"</f>
        <v>Ptar1</v>
      </c>
      <c r="B17117" t="s">
        <v>14</v>
      </c>
      <c r="C17117" t="s">
        <v>10</v>
      </c>
      <c r="D17117" t="s">
        <v>17</v>
      </c>
      <c r="E17117" t="s">
        <v>12</v>
      </c>
      <c r="F17117">
        <v>23687416</v>
      </c>
      <c r="G17117">
        <v>23687463</v>
      </c>
      <c r="H17117">
        <v>23687385</v>
      </c>
      <c r="I17117">
        <v>23687408</v>
      </c>
    </row>
    <row r="17118" spans="1:9" x14ac:dyDescent="0.2">
      <c r="A17118" t="str">
        <f>"Ptbp1"</f>
        <v>Ptbp1</v>
      </c>
      <c r="B17118" t="s">
        <v>14</v>
      </c>
      <c r="C17118" t="s">
        <v>15</v>
      </c>
      <c r="D17118" t="s">
        <v>17</v>
      </c>
      <c r="E17118" t="s">
        <v>12</v>
      </c>
      <c r="F17118">
        <v>79854658</v>
      </c>
      <c r="G17118">
        <v>79854674</v>
      </c>
      <c r="H17118">
        <v>79854618</v>
      </c>
      <c r="I17118">
        <v>79854640</v>
      </c>
    </row>
    <row r="17119" spans="1:9" x14ac:dyDescent="0.2">
      <c r="A17119" t="str">
        <f>"Ptbp2"</f>
        <v>Ptbp2</v>
      </c>
      <c r="B17119" t="s">
        <v>14</v>
      </c>
      <c r="C17119" t="s">
        <v>22</v>
      </c>
      <c r="D17119" t="s">
        <v>11</v>
      </c>
      <c r="E17119" t="s">
        <v>12</v>
      </c>
      <c r="F17119">
        <v>119783262</v>
      </c>
      <c r="G17119">
        <v>119783312</v>
      </c>
      <c r="H17119">
        <v>119783250</v>
      </c>
      <c r="I17119">
        <v>119783261</v>
      </c>
    </row>
    <row r="17120" spans="1:9" x14ac:dyDescent="0.2">
      <c r="A17120" t="str">
        <f>"Ptbp3"</f>
        <v>Ptbp3</v>
      </c>
      <c r="B17120" t="s">
        <v>14</v>
      </c>
      <c r="C17120" t="s">
        <v>23</v>
      </c>
      <c r="D17120" t="s">
        <v>11</v>
      </c>
      <c r="E17120" t="s">
        <v>67</v>
      </c>
      <c r="F17120">
        <v>59549275</v>
      </c>
      <c r="G17120">
        <v>59549303</v>
      </c>
      <c r="H17120">
        <v>59549314</v>
      </c>
      <c r="I17120">
        <v>59549325</v>
      </c>
    </row>
    <row r="17121" spans="1:9" x14ac:dyDescent="0.2">
      <c r="A17121" t="str">
        <f>"Ptcd1"</f>
        <v>Ptcd1</v>
      </c>
      <c r="B17121" t="s">
        <v>14</v>
      </c>
      <c r="C17121" t="s">
        <v>46</v>
      </c>
      <c r="D17121" t="s">
        <v>11</v>
      </c>
      <c r="E17121" t="s">
        <v>12</v>
      </c>
      <c r="F17121">
        <v>145167031</v>
      </c>
      <c r="G17121">
        <v>145167077</v>
      </c>
      <c r="H17121">
        <v>145167010</v>
      </c>
      <c r="I17121">
        <v>145167028</v>
      </c>
    </row>
    <row r="17122" spans="1:9" x14ac:dyDescent="0.2">
      <c r="A17122" t="str">
        <f>"Ptcd2"</f>
        <v>Ptcd2</v>
      </c>
      <c r="B17122" t="s">
        <v>14</v>
      </c>
      <c r="C17122" t="s">
        <v>39</v>
      </c>
      <c r="D17122" t="s">
        <v>11</v>
      </c>
      <c r="E17122" t="s">
        <v>12</v>
      </c>
      <c r="F17122">
        <v>99344652</v>
      </c>
      <c r="G17122">
        <v>99344706</v>
      </c>
      <c r="H17122">
        <v>99344652</v>
      </c>
      <c r="I17122">
        <v>99344706</v>
      </c>
    </row>
    <row r="17123" spans="1:9" x14ac:dyDescent="0.2">
      <c r="A17123" t="str">
        <f>"Ptcd3"</f>
        <v>Ptcd3</v>
      </c>
      <c r="B17123" t="s">
        <v>14</v>
      </c>
      <c r="C17123" t="s">
        <v>32</v>
      </c>
      <c r="D17123" t="s">
        <v>11</v>
      </c>
      <c r="E17123" t="s">
        <v>12</v>
      </c>
      <c r="F17123">
        <v>71908736</v>
      </c>
      <c r="G17123">
        <v>71908770</v>
      </c>
      <c r="H17123">
        <v>71908736</v>
      </c>
      <c r="I17123">
        <v>71908770</v>
      </c>
    </row>
    <row r="17124" spans="1:9" x14ac:dyDescent="0.2">
      <c r="A17124" t="str">
        <f>"Ptch1"</f>
        <v>Ptch1</v>
      </c>
      <c r="B17124" t="s">
        <v>14</v>
      </c>
      <c r="C17124" t="s">
        <v>39</v>
      </c>
      <c r="D17124" t="s">
        <v>11</v>
      </c>
      <c r="E17124" t="s">
        <v>12</v>
      </c>
      <c r="F17124">
        <v>63573400</v>
      </c>
      <c r="G17124">
        <v>63573430</v>
      </c>
      <c r="H17124">
        <v>63573400</v>
      </c>
      <c r="I17124">
        <v>63573430</v>
      </c>
    </row>
    <row r="17125" spans="1:9" x14ac:dyDescent="0.2">
      <c r="A17125" t="str">
        <f>"Ptch2"</f>
        <v>Ptch2</v>
      </c>
      <c r="B17125" t="s">
        <v>14</v>
      </c>
      <c r="C17125" t="s">
        <v>23</v>
      </c>
      <c r="D17125" t="s">
        <v>17</v>
      </c>
      <c r="E17125" t="s">
        <v>12</v>
      </c>
      <c r="F17125">
        <v>117096049</v>
      </c>
      <c r="G17125">
        <v>117096083</v>
      </c>
      <c r="H17125">
        <v>117096030</v>
      </c>
      <c r="I17125">
        <v>117096042</v>
      </c>
    </row>
    <row r="17126" spans="1:9" x14ac:dyDescent="0.2">
      <c r="A17126" t="str">
        <f>"Ptchd1"</f>
        <v>Ptchd1</v>
      </c>
      <c r="B17126" t="s">
        <v>14</v>
      </c>
      <c r="C17126" t="s">
        <v>37</v>
      </c>
      <c r="D17126" t="s">
        <v>11</v>
      </c>
      <c r="E17126" t="s">
        <v>12</v>
      </c>
      <c r="F17126">
        <v>155623805</v>
      </c>
      <c r="G17126">
        <v>155623821</v>
      </c>
      <c r="H17126">
        <v>155623321</v>
      </c>
      <c r="I17126">
        <v>155623344</v>
      </c>
    </row>
    <row r="17127" spans="1:9" x14ac:dyDescent="0.2">
      <c r="A17127" t="str">
        <f>"Ptchd2"</f>
        <v>Ptchd2</v>
      </c>
      <c r="B17127" t="s">
        <v>14</v>
      </c>
      <c r="C17127" t="s">
        <v>23</v>
      </c>
      <c r="D17127" t="s">
        <v>11</v>
      </c>
      <c r="E17127" t="s">
        <v>12</v>
      </c>
      <c r="F17127">
        <v>148287927</v>
      </c>
      <c r="G17127">
        <v>148287954</v>
      </c>
      <c r="H17127">
        <v>148287927</v>
      </c>
      <c r="I17127">
        <v>148287954</v>
      </c>
    </row>
    <row r="17128" spans="1:9" x14ac:dyDescent="0.2">
      <c r="A17128" t="str">
        <f>"Ptchd3"</f>
        <v>Ptchd3</v>
      </c>
      <c r="B17128" t="s">
        <v>14</v>
      </c>
      <c r="C17128" t="s">
        <v>27</v>
      </c>
      <c r="D17128" t="s">
        <v>17</v>
      </c>
      <c r="E17128" t="s">
        <v>12</v>
      </c>
      <c r="F17128">
        <v>121830254</v>
      </c>
      <c r="G17128">
        <v>121830279</v>
      </c>
      <c r="H17128">
        <v>121830231</v>
      </c>
      <c r="I17128">
        <v>121830250</v>
      </c>
    </row>
    <row r="17129" spans="1:9" x14ac:dyDescent="0.2">
      <c r="A17129" t="str">
        <f>"Ptchd4"</f>
        <v>Ptchd4</v>
      </c>
      <c r="B17129" t="s">
        <v>14</v>
      </c>
      <c r="C17129" t="s">
        <v>28</v>
      </c>
      <c r="D17129" t="s">
        <v>17</v>
      </c>
      <c r="E17129" t="s">
        <v>67</v>
      </c>
      <c r="F17129">
        <v>42315913</v>
      </c>
      <c r="G17129">
        <v>42315927</v>
      </c>
      <c r="H17129">
        <v>42315913</v>
      </c>
      <c r="I17129">
        <v>42315927</v>
      </c>
    </row>
    <row r="17130" spans="1:9" x14ac:dyDescent="0.2">
      <c r="A17130" t="str">
        <f>"Ptdss1"</f>
        <v>Ptdss1</v>
      </c>
      <c r="B17130" t="s">
        <v>14</v>
      </c>
      <c r="C17130" t="s">
        <v>39</v>
      </c>
      <c r="D17130" t="s">
        <v>17</v>
      </c>
      <c r="E17130" t="s">
        <v>12</v>
      </c>
      <c r="F17130">
        <v>66932802</v>
      </c>
      <c r="G17130">
        <v>66932843</v>
      </c>
      <c r="H17130">
        <v>66932802</v>
      </c>
      <c r="I17130">
        <v>66932843</v>
      </c>
    </row>
    <row r="17131" spans="1:9" x14ac:dyDescent="0.2">
      <c r="A17131" t="str">
        <f>"Ptdss2"</f>
        <v>Ptdss2</v>
      </c>
      <c r="B17131" t="s">
        <v>14</v>
      </c>
      <c r="C17131" t="s">
        <v>33</v>
      </c>
      <c r="D17131" t="s">
        <v>17</v>
      </c>
      <c r="E17131" t="s">
        <v>12</v>
      </c>
      <c r="F17131">
        <v>141131268</v>
      </c>
      <c r="G17131">
        <v>141131333</v>
      </c>
      <c r="H17131">
        <v>141131341</v>
      </c>
      <c r="I17131">
        <v>141131378</v>
      </c>
    </row>
    <row r="17132" spans="1:9" x14ac:dyDescent="0.2">
      <c r="A17132" t="str">
        <f>"Pten"</f>
        <v>Pten</v>
      </c>
      <c r="B17132" t="s">
        <v>14</v>
      </c>
      <c r="C17132" t="s">
        <v>10</v>
      </c>
      <c r="D17132" t="s">
        <v>17</v>
      </c>
      <c r="E17132" t="s">
        <v>12</v>
      </c>
      <c r="F17132">
        <v>32757604</v>
      </c>
      <c r="G17132">
        <v>32757637</v>
      </c>
      <c r="H17132">
        <v>32757576</v>
      </c>
      <c r="I17132">
        <v>32757587</v>
      </c>
    </row>
    <row r="17133" spans="1:9" x14ac:dyDescent="0.2">
      <c r="A17133" t="str">
        <f>"Pter"</f>
        <v>Pter</v>
      </c>
      <c r="B17133" t="s">
        <v>14</v>
      </c>
      <c r="C17133" t="s">
        <v>26</v>
      </c>
      <c r="D17133" t="s">
        <v>17</v>
      </c>
      <c r="E17133" t="s">
        <v>12</v>
      </c>
      <c r="F17133">
        <v>12924053</v>
      </c>
      <c r="G17133">
        <v>12924113</v>
      </c>
      <c r="H17133">
        <v>12924120</v>
      </c>
      <c r="I17133">
        <v>12924134</v>
      </c>
    </row>
    <row r="17134" spans="1:9" x14ac:dyDescent="0.2">
      <c r="A17134" t="str">
        <f>"Ptf1a"</f>
        <v>Ptf1a</v>
      </c>
      <c r="B17134" t="s">
        <v>14</v>
      </c>
      <c r="C17134" t="s">
        <v>26</v>
      </c>
      <c r="D17134" t="s">
        <v>17</v>
      </c>
      <c r="E17134" t="s">
        <v>12</v>
      </c>
      <c r="F17134">
        <v>19445632</v>
      </c>
      <c r="G17134">
        <v>19445651</v>
      </c>
      <c r="H17134">
        <v>19445800</v>
      </c>
      <c r="I17134">
        <v>19445836</v>
      </c>
    </row>
    <row r="17135" spans="1:9" x14ac:dyDescent="0.2">
      <c r="A17135" t="str">
        <f>"Ptgdr"</f>
        <v>Ptgdr</v>
      </c>
      <c r="B17135" t="s">
        <v>14</v>
      </c>
      <c r="C17135" t="s">
        <v>41</v>
      </c>
      <c r="D17135" t="s">
        <v>11</v>
      </c>
      <c r="E17135" t="s">
        <v>12</v>
      </c>
      <c r="F17135">
        <v>44859370</v>
      </c>
      <c r="G17135">
        <v>44859381</v>
      </c>
      <c r="H17135">
        <v>44859348</v>
      </c>
      <c r="I17135">
        <v>44859364</v>
      </c>
    </row>
    <row r="17136" spans="1:9" x14ac:dyDescent="0.2">
      <c r="A17136" t="str">
        <f>"Ptgds"</f>
        <v>Ptgds</v>
      </c>
      <c r="B17136" t="s">
        <v>14</v>
      </c>
      <c r="C17136" t="s">
        <v>26</v>
      </c>
      <c r="D17136" t="s">
        <v>11</v>
      </c>
      <c r="E17136" t="s">
        <v>12</v>
      </c>
      <c r="F17136">
        <v>25469742</v>
      </c>
      <c r="G17136">
        <v>25469758</v>
      </c>
      <c r="H17136">
        <v>25469123</v>
      </c>
      <c r="I17136">
        <v>25469193</v>
      </c>
    </row>
    <row r="17137" spans="1:9" x14ac:dyDescent="0.2">
      <c r="A17137" t="str">
        <f>"Ptger1"</f>
        <v>Ptger1</v>
      </c>
      <c r="B17137" t="s">
        <v>14</v>
      </c>
      <c r="C17137" t="s">
        <v>30</v>
      </c>
      <c r="D17137" t="s">
        <v>17</v>
      </c>
      <c r="E17137" t="s">
        <v>12</v>
      </c>
      <c r="F17137">
        <v>83666827</v>
      </c>
      <c r="G17137">
        <v>83666882</v>
      </c>
      <c r="H17137">
        <v>83666634</v>
      </c>
      <c r="I17137">
        <v>83666659</v>
      </c>
    </row>
    <row r="17138" spans="1:9" x14ac:dyDescent="0.2">
      <c r="A17138" t="str">
        <f>"Ptger2"</f>
        <v>Ptger2</v>
      </c>
      <c r="B17138" t="s">
        <v>14</v>
      </c>
      <c r="C17138" t="s">
        <v>41</v>
      </c>
      <c r="D17138" t="s">
        <v>17</v>
      </c>
      <c r="E17138" t="s">
        <v>12</v>
      </c>
      <c r="F17138">
        <v>44988576</v>
      </c>
      <c r="G17138">
        <v>44988611</v>
      </c>
      <c r="H17138">
        <v>44988576</v>
      </c>
      <c r="I17138">
        <v>44988611</v>
      </c>
    </row>
    <row r="17139" spans="1:9" x14ac:dyDescent="0.2">
      <c r="A17139" t="str">
        <f>"Ptger3"</f>
        <v>Ptger3</v>
      </c>
      <c r="B17139" t="s">
        <v>14</v>
      </c>
      <c r="C17139" t="s">
        <v>22</v>
      </c>
      <c r="D17139" t="s">
        <v>17</v>
      </c>
      <c r="E17139" t="s">
        <v>12</v>
      </c>
      <c r="F17139">
        <v>157566868</v>
      </c>
      <c r="G17139">
        <v>157566891</v>
      </c>
      <c r="H17139">
        <v>157566940</v>
      </c>
      <c r="I17139">
        <v>157566952</v>
      </c>
    </row>
    <row r="17140" spans="1:9" x14ac:dyDescent="0.2">
      <c r="A17140" t="str">
        <f>"Ptger4"</f>
        <v>Ptger4</v>
      </c>
      <c r="B17140" t="s">
        <v>14</v>
      </c>
      <c r="C17140" t="s">
        <v>25</v>
      </c>
      <c r="D17140" t="s">
        <v>11</v>
      </c>
      <c r="E17140" t="s">
        <v>12</v>
      </c>
      <c r="F17140">
        <v>5244178</v>
      </c>
      <c r="G17140">
        <v>5244192</v>
      </c>
      <c r="H17140">
        <v>5244164</v>
      </c>
      <c r="I17140">
        <v>5244175</v>
      </c>
    </row>
    <row r="17141" spans="1:9" x14ac:dyDescent="0.2">
      <c r="A17141" t="str">
        <f>"Ptges"</f>
        <v>Ptges</v>
      </c>
      <c r="B17141" t="s">
        <v>9</v>
      </c>
      <c r="C17141" t="s">
        <v>26</v>
      </c>
      <c r="D17141" t="s">
        <v>11</v>
      </c>
      <c r="E17141" t="s">
        <v>12</v>
      </c>
      <c r="F17141">
        <v>30903255</v>
      </c>
      <c r="G17141">
        <v>30903269</v>
      </c>
      <c r="H17141">
        <v>30903255</v>
      </c>
      <c r="I17141">
        <v>30903269</v>
      </c>
    </row>
    <row r="17142" spans="1:9" x14ac:dyDescent="0.2">
      <c r="A17142" t="str">
        <f>"Ptges"</f>
        <v>Ptges</v>
      </c>
      <c r="B17142" t="s">
        <v>13</v>
      </c>
      <c r="C17142" t="s">
        <v>26</v>
      </c>
      <c r="D17142" t="s">
        <v>11</v>
      </c>
      <c r="E17142" t="s">
        <v>12</v>
      </c>
      <c r="F17142">
        <v>30930090</v>
      </c>
      <c r="G17142">
        <v>30930105</v>
      </c>
      <c r="H17142">
        <v>30930090</v>
      </c>
      <c r="I17142">
        <v>30930105</v>
      </c>
    </row>
    <row r="17143" spans="1:9" x14ac:dyDescent="0.2">
      <c r="A17143" t="str">
        <f>"Ptges2"</f>
        <v>Ptges2</v>
      </c>
      <c r="B17143" t="s">
        <v>14</v>
      </c>
      <c r="C17143" t="s">
        <v>26</v>
      </c>
      <c r="D17143" t="s">
        <v>17</v>
      </c>
      <c r="E17143" t="s">
        <v>12</v>
      </c>
      <c r="F17143">
        <v>32396254</v>
      </c>
      <c r="G17143">
        <v>32396280</v>
      </c>
      <c r="H17143">
        <v>32396226</v>
      </c>
      <c r="I17143">
        <v>32396250</v>
      </c>
    </row>
    <row r="17144" spans="1:9" x14ac:dyDescent="0.2">
      <c r="A17144" t="str">
        <f>"Ptges3"</f>
        <v>Ptges3</v>
      </c>
      <c r="B17144" t="s">
        <v>14</v>
      </c>
      <c r="C17144" t="s">
        <v>15</v>
      </c>
      <c r="D17144" t="s">
        <v>17</v>
      </c>
      <c r="E17144" t="s">
        <v>12</v>
      </c>
      <c r="F17144">
        <v>128058974</v>
      </c>
      <c r="G17144">
        <v>128059025</v>
      </c>
      <c r="H17144">
        <v>128059096</v>
      </c>
      <c r="I17144">
        <v>128059153</v>
      </c>
    </row>
    <row r="17145" spans="1:9" x14ac:dyDescent="0.2">
      <c r="A17145" t="str">
        <f>"Ptges3l"</f>
        <v>Ptges3l</v>
      </c>
      <c r="B17145" t="s">
        <v>5640</v>
      </c>
      <c r="C17145" t="s">
        <v>27</v>
      </c>
      <c r="D17145" t="s">
        <v>11</v>
      </c>
      <c r="E17145" t="s">
        <v>35</v>
      </c>
      <c r="F17145">
        <v>101425495</v>
      </c>
      <c r="G17145">
        <v>101425514</v>
      </c>
      <c r="H17145">
        <v>101425495</v>
      </c>
      <c r="I17145">
        <v>101425514</v>
      </c>
    </row>
    <row r="17146" spans="1:9" x14ac:dyDescent="0.2">
      <c r="A17146" t="str">
        <f>"Ptges3l"</f>
        <v>Ptges3l</v>
      </c>
      <c r="B17146" t="s">
        <v>5641</v>
      </c>
      <c r="C17146" t="s">
        <v>27</v>
      </c>
      <c r="D17146" t="s">
        <v>11</v>
      </c>
      <c r="E17146" t="s">
        <v>35</v>
      </c>
      <c r="F17146">
        <v>101424714</v>
      </c>
      <c r="G17146">
        <v>101424725</v>
      </c>
      <c r="H17146">
        <v>101424619</v>
      </c>
      <c r="I17146">
        <v>101424626</v>
      </c>
    </row>
    <row r="17147" spans="1:9" x14ac:dyDescent="0.2">
      <c r="A17147" t="str">
        <f>"Ptgfr"</f>
        <v>Ptgfr</v>
      </c>
      <c r="B17147" t="s">
        <v>14</v>
      </c>
      <c r="C17147" t="s">
        <v>22</v>
      </c>
      <c r="D17147" t="s">
        <v>11</v>
      </c>
      <c r="E17147" t="s">
        <v>12</v>
      </c>
      <c r="F17147">
        <v>151837451</v>
      </c>
      <c r="G17147">
        <v>151837528</v>
      </c>
      <c r="H17147">
        <v>151837428</v>
      </c>
      <c r="I17147">
        <v>151837441</v>
      </c>
    </row>
    <row r="17148" spans="1:9" x14ac:dyDescent="0.2">
      <c r="A17148" t="str">
        <f>"Ptgfrn"</f>
        <v>Ptgfrn</v>
      </c>
      <c r="B17148" t="s">
        <v>14</v>
      </c>
      <c r="C17148" t="s">
        <v>22</v>
      </c>
      <c r="D17148" t="s">
        <v>11</v>
      </c>
      <c r="E17148" t="s">
        <v>12</v>
      </c>
      <c r="F17148">
        <v>101110374</v>
      </c>
      <c r="G17148">
        <v>101110469</v>
      </c>
      <c r="H17148">
        <v>101110295</v>
      </c>
      <c r="I17148">
        <v>101110337</v>
      </c>
    </row>
    <row r="17149" spans="1:9" x14ac:dyDescent="0.2">
      <c r="A17149" t="str">
        <f>"Ptgir"</f>
        <v>Ptgir</v>
      </c>
      <c r="B17149" t="s">
        <v>14</v>
      </c>
      <c r="C17149" t="s">
        <v>33</v>
      </c>
      <c r="D17149" t="s">
        <v>17</v>
      </c>
      <c r="E17149" t="s">
        <v>12</v>
      </c>
      <c r="F17149">
        <v>16906488</v>
      </c>
      <c r="G17149">
        <v>16906539</v>
      </c>
      <c r="H17149">
        <v>16906488</v>
      </c>
      <c r="I17149">
        <v>16906539</v>
      </c>
    </row>
    <row r="17150" spans="1:9" x14ac:dyDescent="0.2">
      <c r="A17150" t="str">
        <f>"Ptgis"</f>
        <v>Ptgis</v>
      </c>
      <c r="B17150" t="s">
        <v>14</v>
      </c>
      <c r="C17150" t="s">
        <v>26</v>
      </c>
      <c r="D17150" t="s">
        <v>11</v>
      </c>
      <c r="E17150" t="s">
        <v>12</v>
      </c>
      <c r="F17150">
        <v>167240534</v>
      </c>
      <c r="G17150">
        <v>167240577</v>
      </c>
      <c r="H17150">
        <v>167240588</v>
      </c>
      <c r="I17150">
        <v>167240610</v>
      </c>
    </row>
    <row r="17151" spans="1:9" x14ac:dyDescent="0.2">
      <c r="A17151" t="str">
        <f>"Ptgr1"</f>
        <v>Ptgr1</v>
      </c>
      <c r="B17151" t="s">
        <v>14</v>
      </c>
      <c r="C17151" t="s">
        <v>23</v>
      </c>
      <c r="D17151" t="s">
        <v>11</v>
      </c>
      <c r="E17151" t="s">
        <v>12</v>
      </c>
      <c r="F17151">
        <v>58987068</v>
      </c>
      <c r="G17151">
        <v>58987086</v>
      </c>
      <c r="H17151">
        <v>58987095</v>
      </c>
      <c r="I17151">
        <v>58987116</v>
      </c>
    </row>
    <row r="17152" spans="1:9" x14ac:dyDescent="0.2">
      <c r="A17152" t="str">
        <f>"Ptgr2"</f>
        <v>Ptgr2</v>
      </c>
      <c r="B17152" t="s">
        <v>14</v>
      </c>
      <c r="C17152" t="s">
        <v>16</v>
      </c>
      <c r="D17152" t="s">
        <v>17</v>
      </c>
      <c r="E17152" t="s">
        <v>12</v>
      </c>
      <c r="F17152">
        <v>84285336</v>
      </c>
      <c r="G17152">
        <v>84285414</v>
      </c>
      <c r="H17152">
        <v>84285233</v>
      </c>
      <c r="I17152">
        <v>84285259</v>
      </c>
    </row>
    <row r="17153" spans="1:9" x14ac:dyDescent="0.2">
      <c r="A17153" t="str">
        <f>"Ptgs1"</f>
        <v>Ptgs1</v>
      </c>
      <c r="B17153" t="s">
        <v>14</v>
      </c>
      <c r="C17153" t="s">
        <v>26</v>
      </c>
      <c r="D17153" t="s">
        <v>17</v>
      </c>
      <c r="E17153" t="s">
        <v>12</v>
      </c>
      <c r="F17153">
        <v>36230492</v>
      </c>
      <c r="G17153">
        <v>36230545</v>
      </c>
      <c r="H17153">
        <v>36230632</v>
      </c>
      <c r="I17153">
        <v>36230707</v>
      </c>
    </row>
    <row r="17154" spans="1:9" x14ac:dyDescent="0.2">
      <c r="A17154" t="str">
        <f>"Ptgs2"</f>
        <v>Ptgs2</v>
      </c>
      <c r="B17154" t="s">
        <v>14</v>
      </c>
      <c r="C17154" t="s">
        <v>19</v>
      </c>
      <c r="D17154" t="s">
        <v>17</v>
      </c>
      <c r="E17154" t="s">
        <v>12</v>
      </c>
      <c r="F17154">
        <v>150100093</v>
      </c>
      <c r="G17154">
        <v>150100106</v>
      </c>
      <c r="H17154">
        <v>150100093</v>
      </c>
      <c r="I17154">
        <v>150100106</v>
      </c>
    </row>
    <row r="17155" spans="1:9" x14ac:dyDescent="0.2">
      <c r="A17155" t="str">
        <f>"Pth"</f>
        <v>Pth</v>
      </c>
      <c r="B17155" t="s">
        <v>14</v>
      </c>
      <c r="C17155" t="s">
        <v>33</v>
      </c>
      <c r="D17155" t="s">
        <v>11</v>
      </c>
      <c r="E17155" t="s">
        <v>12</v>
      </c>
      <c r="F17155">
        <v>113388563</v>
      </c>
      <c r="G17155">
        <v>113388578</v>
      </c>
      <c r="H17155">
        <v>113388563</v>
      </c>
      <c r="I17155">
        <v>113388578</v>
      </c>
    </row>
    <row r="17156" spans="1:9" x14ac:dyDescent="0.2">
      <c r="A17156" t="str">
        <f>"Pth1r"</f>
        <v>Pth1r</v>
      </c>
      <c r="B17156" t="s">
        <v>9</v>
      </c>
      <c r="C17156" t="s">
        <v>24</v>
      </c>
      <c r="D17156" t="s">
        <v>11</v>
      </c>
      <c r="E17156" t="s">
        <v>12</v>
      </c>
      <c r="F17156">
        <v>110742577</v>
      </c>
      <c r="G17156">
        <v>110742591</v>
      </c>
      <c r="H17156">
        <v>110742577</v>
      </c>
      <c r="I17156">
        <v>110742591</v>
      </c>
    </row>
    <row r="17157" spans="1:9" x14ac:dyDescent="0.2">
      <c r="A17157" t="str">
        <f>"Pth1r"</f>
        <v>Pth1r</v>
      </c>
      <c r="B17157" t="s">
        <v>13</v>
      </c>
      <c r="C17157" t="s">
        <v>24</v>
      </c>
      <c r="D17157" t="s">
        <v>11</v>
      </c>
      <c r="E17157" t="s">
        <v>12</v>
      </c>
      <c r="F17157">
        <v>110747075</v>
      </c>
      <c r="G17157">
        <v>110747121</v>
      </c>
      <c r="H17157">
        <v>110747075</v>
      </c>
      <c r="I17157">
        <v>110747121</v>
      </c>
    </row>
    <row r="17158" spans="1:9" x14ac:dyDescent="0.2">
      <c r="A17158" t="str">
        <f>"Pth2"</f>
        <v>Pth2</v>
      </c>
      <c r="B17158" t="s">
        <v>14</v>
      </c>
      <c r="C17158" t="s">
        <v>33</v>
      </c>
      <c r="D17158" t="s">
        <v>17</v>
      </c>
      <c r="E17158" t="s">
        <v>12</v>
      </c>
      <c r="F17158">
        <v>45180636</v>
      </c>
      <c r="G17158">
        <v>45180639</v>
      </c>
      <c r="H17158">
        <v>45180636</v>
      </c>
      <c r="I17158">
        <v>45180639</v>
      </c>
    </row>
    <row r="17159" spans="1:9" x14ac:dyDescent="0.2">
      <c r="A17159" t="str">
        <f>"Pth2r"</f>
        <v>Pth2r</v>
      </c>
      <c r="B17159" t="s">
        <v>14</v>
      </c>
      <c r="C17159" t="s">
        <v>19</v>
      </c>
      <c r="D17159" t="s">
        <v>17</v>
      </c>
      <c r="E17159" t="s">
        <v>12</v>
      </c>
      <c r="F17159">
        <v>65311453</v>
      </c>
      <c r="G17159">
        <v>65311457</v>
      </c>
      <c r="H17159">
        <v>65311453</v>
      </c>
      <c r="I17159">
        <v>65311457</v>
      </c>
    </row>
    <row r="17160" spans="1:9" x14ac:dyDescent="0.2">
      <c r="A17160" t="str">
        <f>"Pthlh"</f>
        <v>Pthlh</v>
      </c>
      <c r="B17160" t="s">
        <v>14</v>
      </c>
      <c r="C17160" t="s">
        <v>32</v>
      </c>
      <c r="D17160" t="s">
        <v>11</v>
      </c>
      <c r="E17160" t="s">
        <v>12</v>
      </c>
      <c r="F17160">
        <v>147263858</v>
      </c>
      <c r="G17160">
        <v>147263874</v>
      </c>
      <c r="H17160">
        <v>147263982</v>
      </c>
      <c r="I17160">
        <v>147264028</v>
      </c>
    </row>
    <row r="17161" spans="1:9" x14ac:dyDescent="0.2">
      <c r="A17161" t="str">
        <f>"Ptk2"</f>
        <v>Ptk2</v>
      </c>
      <c r="B17161" t="s">
        <v>14</v>
      </c>
      <c r="C17161" t="s">
        <v>25</v>
      </c>
      <c r="D17161" t="s">
        <v>11</v>
      </c>
      <c r="E17161" t="s">
        <v>12</v>
      </c>
      <c r="F17161">
        <v>73423077</v>
      </c>
      <c r="G17161">
        <v>73423179</v>
      </c>
      <c r="H17161">
        <v>73423180</v>
      </c>
      <c r="I17161">
        <v>73423218</v>
      </c>
    </row>
    <row r="17162" spans="1:9" x14ac:dyDescent="0.2">
      <c r="A17162" t="str">
        <f>"Ptk2b"</f>
        <v>Ptk2b</v>
      </c>
      <c r="B17162" t="s">
        <v>9</v>
      </c>
      <c r="C17162" t="s">
        <v>41</v>
      </c>
      <c r="D17162" t="s">
        <v>11</v>
      </c>
      <c r="E17162" t="s">
        <v>12</v>
      </c>
      <c r="F17162">
        <v>66280949</v>
      </c>
      <c r="G17162">
        <v>66280997</v>
      </c>
      <c r="H17162">
        <v>66280949</v>
      </c>
      <c r="I17162">
        <v>66280997</v>
      </c>
    </row>
    <row r="17163" spans="1:9" x14ac:dyDescent="0.2">
      <c r="A17163" t="str">
        <f>"Ptk2b"</f>
        <v>Ptk2b</v>
      </c>
      <c r="B17163" t="s">
        <v>13</v>
      </c>
      <c r="C17163" t="s">
        <v>41</v>
      </c>
      <c r="D17163" t="s">
        <v>11</v>
      </c>
      <c r="E17163" t="s">
        <v>12</v>
      </c>
      <c r="F17163">
        <v>66213571</v>
      </c>
      <c r="G17163">
        <v>66213589</v>
      </c>
      <c r="H17163">
        <v>66213571</v>
      </c>
      <c r="I17163">
        <v>66213589</v>
      </c>
    </row>
    <row r="17164" spans="1:9" x14ac:dyDescent="0.2">
      <c r="A17164" t="str">
        <f>"Ptk6"</f>
        <v>Ptk6</v>
      </c>
      <c r="B17164" t="s">
        <v>14</v>
      </c>
      <c r="C17164" t="s">
        <v>26</v>
      </c>
      <c r="D17164" t="s">
        <v>11</v>
      </c>
      <c r="E17164" t="s">
        <v>12</v>
      </c>
      <c r="F17164">
        <v>181202507</v>
      </c>
      <c r="G17164">
        <v>181202534</v>
      </c>
      <c r="H17164">
        <v>181202507</v>
      </c>
      <c r="I17164">
        <v>181202534</v>
      </c>
    </row>
    <row r="17165" spans="1:9" x14ac:dyDescent="0.2">
      <c r="A17165" t="str">
        <f>"Ptk7"</f>
        <v>Ptk7</v>
      </c>
      <c r="B17165" t="s">
        <v>14</v>
      </c>
      <c r="C17165" t="s">
        <v>28</v>
      </c>
      <c r="D17165" t="s">
        <v>11</v>
      </c>
      <c r="E17165" t="s">
        <v>12</v>
      </c>
      <c r="F17165">
        <v>46629420</v>
      </c>
      <c r="G17165">
        <v>46629500</v>
      </c>
      <c r="H17165">
        <v>46629404</v>
      </c>
      <c r="I17165">
        <v>46629419</v>
      </c>
    </row>
    <row r="17166" spans="1:9" x14ac:dyDescent="0.2">
      <c r="A17166" t="str">
        <f>"Ptma"</f>
        <v>Ptma</v>
      </c>
      <c r="B17166" t="s">
        <v>14</v>
      </c>
      <c r="C17166" t="s">
        <v>19</v>
      </c>
      <c r="D17166" t="s">
        <v>17</v>
      </c>
      <c r="E17166" t="s">
        <v>12</v>
      </c>
      <c r="F17166">
        <v>86526688</v>
      </c>
      <c r="G17166">
        <v>86526722</v>
      </c>
      <c r="H17166">
        <v>86526502</v>
      </c>
      <c r="I17166">
        <v>86526543</v>
      </c>
    </row>
    <row r="17167" spans="1:9" x14ac:dyDescent="0.2">
      <c r="A17167" t="str">
        <f>"Ptms"</f>
        <v>Ptms</v>
      </c>
      <c r="B17167" t="s">
        <v>14</v>
      </c>
      <c r="C17167" t="s">
        <v>32</v>
      </c>
      <c r="D17167" t="s">
        <v>11</v>
      </c>
      <c r="E17167" t="s">
        <v>12</v>
      </c>
      <c r="F17167">
        <v>124917939</v>
      </c>
      <c r="G17167">
        <v>124917955</v>
      </c>
      <c r="H17167">
        <v>124917756</v>
      </c>
      <c r="I17167">
        <v>124917762</v>
      </c>
    </row>
    <row r="17168" spans="1:9" x14ac:dyDescent="0.2">
      <c r="A17168" t="str">
        <f>"Ptn"</f>
        <v>Ptn</v>
      </c>
      <c r="B17168" t="s">
        <v>14</v>
      </c>
      <c r="C17168" t="s">
        <v>32</v>
      </c>
      <c r="D17168" t="s">
        <v>11</v>
      </c>
      <c r="E17168" t="s">
        <v>12</v>
      </c>
      <c r="F17168">
        <v>36810161</v>
      </c>
      <c r="G17168">
        <v>36810187</v>
      </c>
      <c r="H17168">
        <v>36810071</v>
      </c>
      <c r="I17168">
        <v>36810091</v>
      </c>
    </row>
    <row r="17169" spans="1:9" x14ac:dyDescent="0.2">
      <c r="A17169" t="str">
        <f>"Ptov1"</f>
        <v>Ptov1</v>
      </c>
      <c r="B17169" t="s">
        <v>14</v>
      </c>
      <c r="C17169" t="s">
        <v>33</v>
      </c>
      <c r="D17169" t="s">
        <v>11</v>
      </c>
      <c r="E17169" t="s">
        <v>12</v>
      </c>
      <c r="F17169">
        <v>44869628</v>
      </c>
      <c r="G17169">
        <v>44869724</v>
      </c>
      <c r="H17169">
        <v>44869587</v>
      </c>
      <c r="I17169">
        <v>44869618</v>
      </c>
    </row>
    <row r="17170" spans="1:9" x14ac:dyDescent="0.2">
      <c r="A17170" t="str">
        <f>"Ptp4a1"</f>
        <v>Ptp4a1</v>
      </c>
      <c r="B17170" t="s">
        <v>14</v>
      </c>
      <c r="C17170" t="s">
        <v>19</v>
      </c>
      <c r="D17170" t="s">
        <v>11</v>
      </c>
      <c r="E17170" t="s">
        <v>12</v>
      </c>
      <c r="F17170">
        <v>30949756</v>
      </c>
      <c r="G17170">
        <v>30949757</v>
      </c>
      <c r="H17170">
        <v>30949297</v>
      </c>
      <c r="I17170">
        <v>30949337</v>
      </c>
    </row>
    <row r="17171" spans="1:9" x14ac:dyDescent="0.2">
      <c r="A17171" t="str">
        <f>"Ptp4a2"</f>
        <v>Ptp4a2</v>
      </c>
      <c r="B17171" t="s">
        <v>14</v>
      </c>
      <c r="C17171" t="s">
        <v>23</v>
      </c>
      <c r="D17171" t="s">
        <v>17</v>
      </c>
      <c r="E17171" t="s">
        <v>12</v>
      </c>
      <c r="F17171">
        <v>129820198</v>
      </c>
      <c r="G17171">
        <v>129820269</v>
      </c>
      <c r="H17171">
        <v>129820198</v>
      </c>
      <c r="I17171">
        <v>129820269</v>
      </c>
    </row>
    <row r="17172" spans="1:9" x14ac:dyDescent="0.2">
      <c r="A17172" t="str">
        <f>"Ptp4a3"</f>
        <v>Ptp4a3</v>
      </c>
      <c r="B17172" t="s">
        <v>9</v>
      </c>
      <c r="C17172" t="s">
        <v>25</v>
      </c>
      <c r="D17172" t="s">
        <v>17</v>
      </c>
      <c r="E17172" t="s">
        <v>12</v>
      </c>
      <c r="F17172">
        <v>73748365</v>
      </c>
      <c r="G17172">
        <v>73748384</v>
      </c>
      <c r="H17172">
        <v>73748365</v>
      </c>
      <c r="I17172">
        <v>73748384</v>
      </c>
    </row>
    <row r="17173" spans="1:9" x14ac:dyDescent="0.2">
      <c r="A17173" t="str">
        <f>"Ptp4a3"</f>
        <v>Ptp4a3</v>
      </c>
      <c r="B17173" t="s">
        <v>13</v>
      </c>
      <c r="C17173" t="s">
        <v>25</v>
      </c>
      <c r="D17173" t="s">
        <v>17</v>
      </c>
      <c r="E17173" t="s">
        <v>12</v>
      </c>
      <c r="F17173">
        <v>73724754</v>
      </c>
      <c r="G17173">
        <v>73724826</v>
      </c>
      <c r="H17173">
        <v>73724754</v>
      </c>
      <c r="I17173">
        <v>73724826</v>
      </c>
    </row>
    <row r="17174" spans="1:9" x14ac:dyDescent="0.2">
      <c r="A17174" t="str">
        <f>"Ptpdc1"</f>
        <v>Ptpdc1</v>
      </c>
      <c r="B17174" t="s">
        <v>14</v>
      </c>
      <c r="C17174" t="s">
        <v>39</v>
      </c>
      <c r="D17174" t="s">
        <v>11</v>
      </c>
      <c r="E17174" t="s">
        <v>12</v>
      </c>
      <c r="F17174">
        <v>48625504</v>
      </c>
      <c r="G17174">
        <v>48625564</v>
      </c>
      <c r="H17174">
        <v>48625571</v>
      </c>
      <c r="I17174">
        <v>48625594</v>
      </c>
    </row>
    <row r="17175" spans="1:9" x14ac:dyDescent="0.2">
      <c r="A17175" t="str">
        <f>"Ptpla"</f>
        <v>Ptpla</v>
      </c>
      <c r="B17175" t="s">
        <v>14</v>
      </c>
      <c r="C17175" t="s">
        <v>26</v>
      </c>
      <c r="D17175" t="s">
        <v>11</v>
      </c>
      <c r="E17175" t="s">
        <v>12</v>
      </c>
      <c r="F17175">
        <v>14055963</v>
      </c>
      <c r="G17175">
        <v>14056022</v>
      </c>
      <c r="H17175">
        <v>14055929</v>
      </c>
      <c r="I17175">
        <v>14055956</v>
      </c>
    </row>
    <row r="17176" spans="1:9" x14ac:dyDescent="0.2">
      <c r="A17176" t="str">
        <f>"Ptplad1"</f>
        <v>Ptplad1</v>
      </c>
      <c r="B17176" t="s">
        <v>14</v>
      </c>
      <c r="C17176" t="s">
        <v>24</v>
      </c>
      <c r="D17176" t="s">
        <v>11</v>
      </c>
      <c r="E17176" t="s">
        <v>12</v>
      </c>
      <c r="F17176">
        <v>65021645</v>
      </c>
      <c r="G17176">
        <v>65021717</v>
      </c>
      <c r="H17176">
        <v>65021795</v>
      </c>
      <c r="I17176">
        <v>65021805</v>
      </c>
    </row>
    <row r="17177" spans="1:9" x14ac:dyDescent="0.2">
      <c r="A17177" t="str">
        <f>"Ptplad2"</f>
        <v>Ptplad2</v>
      </c>
      <c r="B17177" t="s">
        <v>14</v>
      </c>
      <c r="C17177" t="s">
        <v>23</v>
      </c>
      <c r="D17177" t="s">
        <v>11</v>
      </c>
      <c r="E17177" t="s">
        <v>12</v>
      </c>
      <c r="F17177">
        <v>88438900</v>
      </c>
      <c r="G17177">
        <v>88438933</v>
      </c>
      <c r="H17177">
        <v>88438885</v>
      </c>
      <c r="I17177">
        <v>88438894</v>
      </c>
    </row>
    <row r="17178" spans="1:9" x14ac:dyDescent="0.2">
      <c r="A17178" t="str">
        <f>"Ptplb"</f>
        <v>Ptplb</v>
      </c>
      <c r="B17178" t="s">
        <v>14</v>
      </c>
      <c r="C17178" t="s">
        <v>31</v>
      </c>
      <c r="D17178" t="s">
        <v>17</v>
      </c>
      <c r="E17178" t="s">
        <v>12</v>
      </c>
      <c r="F17178">
        <v>35022394</v>
      </c>
      <c r="G17178">
        <v>35022440</v>
      </c>
      <c r="H17178">
        <v>35022450</v>
      </c>
      <c r="I17178">
        <v>35022479</v>
      </c>
    </row>
    <row r="17179" spans="1:9" x14ac:dyDescent="0.2">
      <c r="A17179" t="str">
        <f>"Ptpn1"</f>
        <v>Ptpn1</v>
      </c>
      <c r="B17179" t="s">
        <v>14</v>
      </c>
      <c r="C17179" t="s">
        <v>26</v>
      </c>
      <c r="D17179" t="s">
        <v>17</v>
      </c>
      <c r="E17179" t="s">
        <v>12</v>
      </c>
      <c r="F17179">
        <v>167932336</v>
      </c>
      <c r="G17179">
        <v>167932379</v>
      </c>
      <c r="H17179">
        <v>167932383</v>
      </c>
      <c r="I17179">
        <v>167932400</v>
      </c>
    </row>
    <row r="17180" spans="1:9" x14ac:dyDescent="0.2">
      <c r="A17180" t="str">
        <f>"Ptpn11"</f>
        <v>Ptpn11</v>
      </c>
      <c r="B17180" t="s">
        <v>14</v>
      </c>
      <c r="C17180" t="s">
        <v>46</v>
      </c>
      <c r="D17180" t="s">
        <v>11</v>
      </c>
      <c r="E17180" t="s">
        <v>12</v>
      </c>
      <c r="F17180">
        <v>121191365</v>
      </c>
      <c r="G17180">
        <v>121191400</v>
      </c>
      <c r="H17180">
        <v>121191349</v>
      </c>
      <c r="I17180">
        <v>121191361</v>
      </c>
    </row>
    <row r="17181" spans="1:9" x14ac:dyDescent="0.2">
      <c r="A17181" t="str">
        <f>"Ptpn12"</f>
        <v>Ptpn12</v>
      </c>
      <c r="B17181" t="s">
        <v>14</v>
      </c>
      <c r="C17181" t="s">
        <v>46</v>
      </c>
      <c r="D17181" t="s">
        <v>11</v>
      </c>
      <c r="E17181" t="s">
        <v>12</v>
      </c>
      <c r="F17181">
        <v>21055880</v>
      </c>
      <c r="G17181">
        <v>21055961</v>
      </c>
      <c r="H17181">
        <v>21055989</v>
      </c>
      <c r="I17181">
        <v>21056035</v>
      </c>
    </row>
    <row r="17182" spans="1:9" x14ac:dyDescent="0.2">
      <c r="A17182" t="str">
        <f>"Ptpn13"</f>
        <v>Ptpn13</v>
      </c>
      <c r="B17182" t="s">
        <v>14</v>
      </c>
      <c r="C17182" t="s">
        <v>46</v>
      </c>
      <c r="D17182" t="s">
        <v>17</v>
      </c>
      <c r="E17182" t="s">
        <v>12</v>
      </c>
      <c r="F17182">
        <v>103425233</v>
      </c>
      <c r="G17182">
        <v>103425259</v>
      </c>
      <c r="H17182">
        <v>103425202</v>
      </c>
      <c r="I17182">
        <v>103425231</v>
      </c>
    </row>
    <row r="17183" spans="1:9" x14ac:dyDescent="0.2">
      <c r="A17183" t="str">
        <f>"Ptpn14"</f>
        <v>Ptpn14</v>
      </c>
      <c r="B17183" t="s">
        <v>14</v>
      </c>
      <c r="C17183" t="s">
        <v>19</v>
      </c>
      <c r="D17183" t="s">
        <v>17</v>
      </c>
      <c r="E17183" t="s">
        <v>12</v>
      </c>
      <c r="F17183">
        <v>189728264</v>
      </c>
      <c r="G17183">
        <v>189728326</v>
      </c>
      <c r="H17183">
        <v>189728248</v>
      </c>
      <c r="I17183">
        <v>189728259</v>
      </c>
    </row>
    <row r="17184" spans="1:9" x14ac:dyDescent="0.2">
      <c r="A17184" t="str">
        <f>"Ptpn18"</f>
        <v>Ptpn18</v>
      </c>
      <c r="B17184" t="s">
        <v>9</v>
      </c>
      <c r="C17184" t="s">
        <v>19</v>
      </c>
      <c r="D17184" t="s">
        <v>17</v>
      </c>
      <c r="E17184" t="s">
        <v>12</v>
      </c>
      <c r="F17184">
        <v>34472714</v>
      </c>
      <c r="G17184">
        <v>34472757</v>
      </c>
      <c r="H17184">
        <v>34472714</v>
      </c>
      <c r="I17184">
        <v>34472757</v>
      </c>
    </row>
    <row r="17185" spans="1:9" x14ac:dyDescent="0.2">
      <c r="A17185" t="str">
        <f>"Ptpn18"</f>
        <v>Ptpn18</v>
      </c>
      <c r="B17185" t="s">
        <v>13</v>
      </c>
      <c r="C17185" t="s">
        <v>19</v>
      </c>
      <c r="D17185" t="s">
        <v>17</v>
      </c>
      <c r="E17185" t="s">
        <v>12</v>
      </c>
      <c r="F17185">
        <v>34459756</v>
      </c>
      <c r="G17185">
        <v>34459814</v>
      </c>
      <c r="H17185">
        <v>34459756</v>
      </c>
      <c r="I17185">
        <v>34459814</v>
      </c>
    </row>
    <row r="17186" spans="1:9" x14ac:dyDescent="0.2">
      <c r="A17186" t="str">
        <f>"Ptpn2"</f>
        <v>Ptpn2</v>
      </c>
      <c r="B17186" t="s">
        <v>14</v>
      </c>
      <c r="C17186" t="s">
        <v>43</v>
      </c>
      <c r="D17186" t="s">
        <v>11</v>
      </c>
      <c r="E17186" t="s">
        <v>12</v>
      </c>
      <c r="F17186">
        <v>67724560</v>
      </c>
      <c r="G17186">
        <v>67724599</v>
      </c>
      <c r="H17186">
        <v>67724526</v>
      </c>
      <c r="I17186">
        <v>67724559</v>
      </c>
    </row>
    <row r="17187" spans="1:9" x14ac:dyDescent="0.2">
      <c r="A17187" t="str">
        <f>"Ptpn20"</f>
        <v>Ptpn20</v>
      </c>
      <c r="B17187" t="s">
        <v>14</v>
      </c>
      <c r="C17187" t="s">
        <v>41</v>
      </c>
      <c r="D17187" t="s">
        <v>17</v>
      </c>
      <c r="E17187" t="s">
        <v>12</v>
      </c>
      <c r="F17187">
        <v>33589238</v>
      </c>
      <c r="G17187">
        <v>33589267</v>
      </c>
      <c r="H17187">
        <v>33589223</v>
      </c>
      <c r="I17187">
        <v>33589230</v>
      </c>
    </row>
    <row r="17188" spans="1:9" x14ac:dyDescent="0.2">
      <c r="A17188" t="str">
        <f>"Ptpn21"</f>
        <v>Ptpn21</v>
      </c>
      <c r="B17188" t="s">
        <v>9</v>
      </c>
      <c r="C17188" t="s">
        <v>16</v>
      </c>
      <c r="D17188" t="s">
        <v>11</v>
      </c>
      <c r="E17188" t="s">
        <v>12</v>
      </c>
      <c r="F17188">
        <v>98737593</v>
      </c>
      <c r="G17188">
        <v>98737616</v>
      </c>
      <c r="H17188">
        <v>98737593</v>
      </c>
      <c r="I17188">
        <v>98737616</v>
      </c>
    </row>
    <row r="17189" spans="1:9" x14ac:dyDescent="0.2">
      <c r="A17189" t="str">
        <f>"Ptpn21"</f>
        <v>Ptpn21</v>
      </c>
      <c r="B17189" t="s">
        <v>13</v>
      </c>
      <c r="C17189" t="s">
        <v>16</v>
      </c>
      <c r="D17189" t="s">
        <v>11</v>
      </c>
      <c r="E17189" t="s">
        <v>12</v>
      </c>
      <c r="F17189">
        <v>98734628</v>
      </c>
      <c r="G17189">
        <v>98734658</v>
      </c>
      <c r="H17189">
        <v>98734628</v>
      </c>
      <c r="I17189">
        <v>98734658</v>
      </c>
    </row>
    <row r="17190" spans="1:9" x14ac:dyDescent="0.2">
      <c r="A17190" t="str">
        <f>"Ptpn22"</f>
        <v>Ptpn22</v>
      </c>
      <c r="B17190" t="s">
        <v>14</v>
      </c>
      <c r="C17190" t="s">
        <v>22</v>
      </c>
      <c r="D17190" t="s">
        <v>17</v>
      </c>
      <c r="E17190" t="s">
        <v>12</v>
      </c>
      <c r="F17190">
        <v>103860265</v>
      </c>
      <c r="G17190">
        <v>103860293</v>
      </c>
      <c r="H17190">
        <v>103860312</v>
      </c>
      <c r="I17190">
        <v>103860329</v>
      </c>
    </row>
    <row r="17191" spans="1:9" x14ac:dyDescent="0.2">
      <c r="A17191" t="str">
        <f>"Ptpn23"</f>
        <v>Ptpn23</v>
      </c>
      <c r="B17191" t="s">
        <v>14</v>
      </c>
      <c r="C17191" t="s">
        <v>24</v>
      </c>
      <c r="D17191" t="s">
        <v>11</v>
      </c>
      <c r="E17191" t="s">
        <v>12</v>
      </c>
      <c r="F17191">
        <v>110408160</v>
      </c>
      <c r="G17191">
        <v>110408204</v>
      </c>
      <c r="H17191">
        <v>110408131</v>
      </c>
      <c r="I17191">
        <v>110408155</v>
      </c>
    </row>
    <row r="17192" spans="1:9" x14ac:dyDescent="0.2">
      <c r="A17192" t="str">
        <f>"Ptpn3"</f>
        <v>Ptpn3</v>
      </c>
      <c r="B17192" t="s">
        <v>14</v>
      </c>
      <c r="C17192" t="s">
        <v>23</v>
      </c>
      <c r="D17192" t="s">
        <v>11</v>
      </c>
      <c r="E17192" t="s">
        <v>12</v>
      </c>
      <c r="F17192">
        <v>57300362</v>
      </c>
      <c r="G17192">
        <v>57300404</v>
      </c>
      <c r="H17192">
        <v>57300751</v>
      </c>
      <c r="I17192">
        <v>57300839</v>
      </c>
    </row>
    <row r="17193" spans="1:9" x14ac:dyDescent="0.2">
      <c r="A17193" t="str">
        <f>"Ptpn4"</f>
        <v>Ptpn4</v>
      </c>
      <c r="B17193" t="s">
        <v>14</v>
      </c>
      <c r="C17193" t="s">
        <v>19</v>
      </c>
      <c r="D17193" t="s">
        <v>11</v>
      </c>
      <c r="E17193" t="s">
        <v>12</v>
      </c>
      <c r="F17193">
        <v>119837338</v>
      </c>
      <c r="G17193">
        <v>119837386</v>
      </c>
      <c r="H17193">
        <v>119837466</v>
      </c>
      <c r="I17193">
        <v>119837555</v>
      </c>
    </row>
    <row r="17194" spans="1:9" x14ac:dyDescent="0.2">
      <c r="A17194" t="str">
        <f>"Ptpn5"</f>
        <v>Ptpn5</v>
      </c>
      <c r="B17194" t="s">
        <v>14</v>
      </c>
      <c r="C17194" t="s">
        <v>33</v>
      </c>
      <c r="D17194" t="s">
        <v>11</v>
      </c>
      <c r="E17194" t="s">
        <v>12</v>
      </c>
      <c r="F17194">
        <v>47132310</v>
      </c>
      <c r="G17194">
        <v>47132388</v>
      </c>
      <c r="H17194">
        <v>47132486</v>
      </c>
      <c r="I17194">
        <v>47132562</v>
      </c>
    </row>
    <row r="17195" spans="1:9" x14ac:dyDescent="0.2">
      <c r="A17195" t="str">
        <f>"Ptpn6"</f>
        <v>Ptpn6</v>
      </c>
      <c r="B17195" t="s">
        <v>14</v>
      </c>
      <c r="C17195" t="s">
        <v>32</v>
      </c>
      <c r="D17195" t="s">
        <v>11</v>
      </c>
      <c r="E17195" t="s">
        <v>12</v>
      </c>
      <c r="F17195">
        <v>124733067</v>
      </c>
      <c r="G17195">
        <v>124733120</v>
      </c>
      <c r="H17195">
        <v>124733121</v>
      </c>
      <c r="I17195">
        <v>124733145</v>
      </c>
    </row>
    <row r="17196" spans="1:9" x14ac:dyDescent="0.2">
      <c r="A17196" t="str">
        <f>"Ptpn7"</f>
        <v>Ptpn7</v>
      </c>
      <c r="B17196" t="s">
        <v>14</v>
      </c>
      <c r="C17196" t="s">
        <v>19</v>
      </c>
      <c r="D17196" t="s">
        <v>17</v>
      </c>
      <c r="E17196" t="s">
        <v>12</v>
      </c>
      <c r="F17196">
        <v>135132693</v>
      </c>
      <c r="G17196">
        <v>135132741</v>
      </c>
      <c r="H17196">
        <v>135133272</v>
      </c>
      <c r="I17196">
        <v>135133319</v>
      </c>
    </row>
    <row r="17197" spans="1:9" x14ac:dyDescent="0.2">
      <c r="A17197" t="str">
        <f>"Ptpn9"</f>
        <v>Ptpn9</v>
      </c>
      <c r="B17197" t="s">
        <v>14</v>
      </c>
      <c r="C17197" t="s">
        <v>24</v>
      </c>
      <c r="D17197" t="s">
        <v>17</v>
      </c>
      <c r="E17197" t="s">
        <v>12</v>
      </c>
      <c r="F17197">
        <v>56994932</v>
      </c>
      <c r="G17197">
        <v>56994986</v>
      </c>
      <c r="H17197">
        <v>56995077</v>
      </c>
      <c r="I17197">
        <v>56995117</v>
      </c>
    </row>
    <row r="17198" spans="1:9" x14ac:dyDescent="0.2">
      <c r="A17198" t="str">
        <f>"Ptpra"</f>
        <v>Ptpra</v>
      </c>
      <c r="B17198" t="s">
        <v>14</v>
      </c>
      <c r="C17198" t="s">
        <v>26</v>
      </c>
      <c r="D17198" t="s">
        <v>17</v>
      </c>
      <c r="E17198" t="s">
        <v>12</v>
      </c>
      <c r="F17198">
        <v>130450259</v>
      </c>
      <c r="G17198">
        <v>130450309</v>
      </c>
      <c r="H17198">
        <v>130450329</v>
      </c>
      <c r="I17198">
        <v>130450349</v>
      </c>
    </row>
    <row r="17199" spans="1:9" x14ac:dyDescent="0.2">
      <c r="A17199" t="str">
        <f>"Ptprb"</f>
        <v>Ptprb</v>
      </c>
      <c r="B17199" t="s">
        <v>14</v>
      </c>
      <c r="C17199" t="s">
        <v>15</v>
      </c>
      <c r="D17199" t="s">
        <v>17</v>
      </c>
      <c r="E17199" t="s">
        <v>12</v>
      </c>
      <c r="F17199">
        <v>116301455</v>
      </c>
      <c r="G17199">
        <v>116301475</v>
      </c>
      <c r="H17199">
        <v>116301489</v>
      </c>
      <c r="I17199">
        <v>116301504</v>
      </c>
    </row>
    <row r="17200" spans="1:9" x14ac:dyDescent="0.2">
      <c r="A17200" t="str">
        <f>"Ptprc"</f>
        <v>Ptprc</v>
      </c>
      <c r="B17200" t="s">
        <v>14</v>
      </c>
      <c r="C17200" t="s">
        <v>19</v>
      </c>
      <c r="D17200" t="s">
        <v>11</v>
      </c>
      <c r="E17200" t="s">
        <v>12</v>
      </c>
      <c r="F17200">
        <v>138175283</v>
      </c>
      <c r="G17200">
        <v>138175311</v>
      </c>
      <c r="H17200">
        <v>138175283</v>
      </c>
      <c r="I17200">
        <v>138175311</v>
      </c>
    </row>
    <row r="17201" spans="1:9" x14ac:dyDescent="0.2">
      <c r="A17201" t="str">
        <f>"Ptprcap"</f>
        <v>Ptprcap</v>
      </c>
      <c r="B17201" t="s">
        <v>14</v>
      </c>
      <c r="C17201" t="s">
        <v>10</v>
      </c>
      <c r="D17201" t="s">
        <v>17</v>
      </c>
      <c r="E17201" t="s">
        <v>12</v>
      </c>
      <c r="F17201">
        <v>4154640</v>
      </c>
      <c r="G17201">
        <v>4154668</v>
      </c>
      <c r="H17201">
        <v>4154620</v>
      </c>
      <c r="I17201">
        <v>4154629</v>
      </c>
    </row>
    <row r="17202" spans="1:9" x14ac:dyDescent="0.2">
      <c r="A17202" t="str">
        <f>"Ptprd"</f>
        <v>Ptprd</v>
      </c>
      <c r="B17202" t="s">
        <v>14</v>
      </c>
      <c r="C17202" t="s">
        <v>23</v>
      </c>
      <c r="D17202" t="s">
        <v>11</v>
      </c>
      <c r="E17202" t="s">
        <v>12</v>
      </c>
      <c r="F17202">
        <v>76449768</v>
      </c>
      <c r="G17202">
        <v>76449785</v>
      </c>
      <c r="H17202">
        <v>76449768</v>
      </c>
      <c r="I17202">
        <v>76449785</v>
      </c>
    </row>
    <row r="17203" spans="1:9" x14ac:dyDescent="0.2">
      <c r="A17203" t="str">
        <f>"Ptpre"</f>
        <v>Ptpre</v>
      </c>
      <c r="B17203" t="s">
        <v>14</v>
      </c>
      <c r="C17203" t="s">
        <v>33</v>
      </c>
      <c r="D17203" t="s">
        <v>17</v>
      </c>
      <c r="E17203" t="s">
        <v>12</v>
      </c>
      <c r="F17203">
        <v>135537814</v>
      </c>
      <c r="G17203">
        <v>135537830</v>
      </c>
      <c r="H17203">
        <v>135537814</v>
      </c>
      <c r="I17203">
        <v>135537830</v>
      </c>
    </row>
    <row r="17204" spans="1:9" x14ac:dyDescent="0.2">
      <c r="A17204" t="str">
        <f>"Ptprf"</f>
        <v>Ptprf</v>
      </c>
      <c r="B17204" t="s">
        <v>14</v>
      </c>
      <c r="C17204" t="s">
        <v>23</v>
      </c>
      <c r="D17204" t="s">
        <v>11</v>
      </c>
      <c r="E17204" t="s">
        <v>12</v>
      </c>
      <c r="F17204">
        <v>118291340</v>
      </c>
      <c r="G17204">
        <v>118291404</v>
      </c>
      <c r="H17204">
        <v>118291305</v>
      </c>
      <c r="I17204">
        <v>118291325</v>
      </c>
    </row>
    <row r="17205" spans="1:9" x14ac:dyDescent="0.2">
      <c r="A17205" t="str">
        <f>"Ptprg"</f>
        <v>Ptprg</v>
      </c>
      <c r="B17205" t="s">
        <v>14</v>
      </c>
      <c r="C17205" t="s">
        <v>41</v>
      </c>
      <c r="D17205" t="s">
        <v>17</v>
      </c>
      <c r="E17205" t="s">
        <v>12</v>
      </c>
      <c r="F17205">
        <v>11553523</v>
      </c>
      <c r="G17205">
        <v>11553542</v>
      </c>
      <c r="H17205">
        <v>11553598</v>
      </c>
      <c r="I17205">
        <v>11553615</v>
      </c>
    </row>
    <row r="17206" spans="1:9" x14ac:dyDescent="0.2">
      <c r="A17206" t="str">
        <f>"Ptprh"</f>
        <v>Ptprh</v>
      </c>
      <c r="B17206" t="s">
        <v>14</v>
      </c>
      <c r="C17206" t="s">
        <v>33</v>
      </c>
      <c r="D17206" t="s">
        <v>11</v>
      </c>
      <c r="E17206" t="s">
        <v>12</v>
      </c>
      <c r="F17206">
        <v>4603105</v>
      </c>
      <c r="G17206">
        <v>4603160</v>
      </c>
      <c r="H17206">
        <v>4604042</v>
      </c>
      <c r="I17206">
        <v>4604053</v>
      </c>
    </row>
    <row r="17207" spans="1:9" x14ac:dyDescent="0.2">
      <c r="A17207" t="str">
        <f>"Ptprj"</f>
        <v>Ptprj</v>
      </c>
      <c r="B17207" t="s">
        <v>14</v>
      </c>
      <c r="C17207" t="s">
        <v>26</v>
      </c>
      <c r="D17207" t="s">
        <v>11</v>
      </c>
      <c r="E17207" t="s">
        <v>12</v>
      </c>
      <c r="F17207">
        <v>90580578</v>
      </c>
      <c r="G17207">
        <v>90580612</v>
      </c>
      <c r="H17207">
        <v>90580468</v>
      </c>
      <c r="I17207">
        <v>90580496</v>
      </c>
    </row>
    <row r="17208" spans="1:9" x14ac:dyDescent="0.2">
      <c r="A17208" t="str">
        <f>"Ptprk"</f>
        <v>Ptprk</v>
      </c>
      <c r="B17208" t="s">
        <v>14</v>
      </c>
      <c r="C17208" t="s">
        <v>15</v>
      </c>
      <c r="D17208" t="s">
        <v>17</v>
      </c>
      <c r="E17208" t="s">
        <v>12</v>
      </c>
      <c r="F17208">
        <v>28074813</v>
      </c>
      <c r="G17208">
        <v>28074873</v>
      </c>
      <c r="H17208">
        <v>28074916</v>
      </c>
      <c r="I17208">
        <v>28074927</v>
      </c>
    </row>
    <row r="17209" spans="1:9" x14ac:dyDescent="0.2">
      <c r="A17209" t="str">
        <f>"Ptprm"</f>
        <v>Ptprm</v>
      </c>
      <c r="B17209" t="s">
        <v>14</v>
      </c>
      <c r="C17209" t="s">
        <v>28</v>
      </c>
      <c r="D17209" t="s">
        <v>11</v>
      </c>
      <c r="E17209" t="s">
        <v>12</v>
      </c>
      <c r="F17209">
        <v>67354498</v>
      </c>
      <c r="G17209">
        <v>67354520</v>
      </c>
      <c r="H17209">
        <v>67354524</v>
      </c>
      <c r="I17209">
        <v>67354537</v>
      </c>
    </row>
    <row r="17210" spans="1:9" x14ac:dyDescent="0.2">
      <c r="A17210" t="str">
        <f>"Ptprn"</f>
        <v>Ptprn</v>
      </c>
      <c r="B17210" t="s">
        <v>14</v>
      </c>
      <c r="C17210" t="s">
        <v>19</v>
      </c>
      <c r="D17210" t="s">
        <v>11</v>
      </c>
      <c r="E17210" t="s">
        <v>12</v>
      </c>
      <c r="F17210">
        <v>75264134</v>
      </c>
      <c r="G17210">
        <v>75264194</v>
      </c>
      <c r="H17210">
        <v>75264195</v>
      </c>
      <c r="I17210">
        <v>75264219</v>
      </c>
    </row>
    <row r="17211" spans="1:9" x14ac:dyDescent="0.2">
      <c r="A17211" t="str">
        <f>"Ptprn2"</f>
        <v>Ptprn2</v>
      </c>
      <c r="B17211" t="s">
        <v>14</v>
      </c>
      <c r="C17211" t="s">
        <v>16</v>
      </c>
      <c r="D17211" t="s">
        <v>17</v>
      </c>
      <c r="E17211" t="s">
        <v>12</v>
      </c>
      <c r="F17211">
        <v>116485714</v>
      </c>
      <c r="G17211">
        <v>116485784</v>
      </c>
      <c r="H17211">
        <v>116485799</v>
      </c>
      <c r="I17211">
        <v>116485818</v>
      </c>
    </row>
    <row r="17212" spans="1:9" x14ac:dyDescent="0.2">
      <c r="A17212" t="str">
        <f>"Ptpro"</f>
        <v>Ptpro</v>
      </c>
      <c r="B17212" t="s">
        <v>14</v>
      </c>
      <c r="C17212" t="s">
        <v>32</v>
      </c>
      <c r="D17212" t="s">
        <v>17</v>
      </c>
      <c r="E17212" t="s">
        <v>12</v>
      </c>
      <c r="F17212">
        <v>137252297</v>
      </c>
      <c r="G17212">
        <v>137252326</v>
      </c>
      <c r="H17212">
        <v>137252429</v>
      </c>
      <c r="I17212">
        <v>137252474</v>
      </c>
    </row>
    <row r="17213" spans="1:9" x14ac:dyDescent="0.2">
      <c r="A17213" t="str">
        <f>"Ptprq"</f>
        <v>Ptprq</v>
      </c>
      <c r="B17213" t="s">
        <v>14</v>
      </c>
      <c r="C17213" t="s">
        <v>15</v>
      </c>
      <c r="D17213" t="s">
        <v>11</v>
      </c>
      <c r="E17213" t="s">
        <v>12</v>
      </c>
      <c r="F17213">
        <v>107719907</v>
      </c>
      <c r="G17213">
        <v>107719957</v>
      </c>
      <c r="H17213">
        <v>107719978</v>
      </c>
      <c r="I17213">
        <v>107719989</v>
      </c>
    </row>
    <row r="17214" spans="1:9" x14ac:dyDescent="0.2">
      <c r="A17214" t="str">
        <f>"Ptprr"</f>
        <v>Ptprr</v>
      </c>
      <c r="B17214" t="s">
        <v>14</v>
      </c>
      <c r="C17214" t="s">
        <v>15</v>
      </c>
      <c r="D17214" t="s">
        <v>17</v>
      </c>
      <c r="E17214" t="s">
        <v>12</v>
      </c>
      <c r="F17214">
        <v>116018352</v>
      </c>
      <c r="G17214">
        <v>116018421</v>
      </c>
      <c r="H17214">
        <v>116018352</v>
      </c>
      <c r="I17214">
        <v>116018421</v>
      </c>
    </row>
    <row r="17215" spans="1:9" x14ac:dyDescent="0.2">
      <c r="A17215" t="str">
        <f>"Ptprs"</f>
        <v>Ptprs</v>
      </c>
      <c r="B17215" t="s">
        <v>9</v>
      </c>
      <c r="C17215" t="s">
        <v>28</v>
      </c>
      <c r="D17215" t="s">
        <v>11</v>
      </c>
      <c r="E17215" t="s">
        <v>12</v>
      </c>
      <c r="F17215">
        <v>56476366</v>
      </c>
      <c r="G17215">
        <v>56476460</v>
      </c>
      <c r="H17215">
        <v>56476366</v>
      </c>
      <c r="I17215">
        <v>56476460</v>
      </c>
    </row>
    <row r="17216" spans="1:9" x14ac:dyDescent="0.2">
      <c r="A17216" t="str">
        <f>"Ptprs"</f>
        <v>Ptprs</v>
      </c>
      <c r="B17216" t="s">
        <v>13</v>
      </c>
      <c r="C17216" t="s">
        <v>28</v>
      </c>
      <c r="D17216" t="s">
        <v>11</v>
      </c>
      <c r="E17216" t="s">
        <v>12</v>
      </c>
      <c r="F17216">
        <v>56462143</v>
      </c>
      <c r="G17216">
        <v>56462243</v>
      </c>
      <c r="H17216">
        <v>56462143</v>
      </c>
      <c r="I17216">
        <v>56462243</v>
      </c>
    </row>
    <row r="17217" spans="1:9" x14ac:dyDescent="0.2">
      <c r="A17217" t="str">
        <f>"Ptprt"</f>
        <v>Ptprt</v>
      </c>
      <c r="B17217" t="s">
        <v>14</v>
      </c>
      <c r="C17217" t="s">
        <v>26</v>
      </c>
      <c r="D17217" t="s">
        <v>11</v>
      </c>
      <c r="E17217" t="s">
        <v>12</v>
      </c>
      <c r="F17217">
        <v>162661075</v>
      </c>
      <c r="G17217">
        <v>162661090</v>
      </c>
      <c r="H17217">
        <v>162661049</v>
      </c>
      <c r="I17217">
        <v>162661058</v>
      </c>
    </row>
    <row r="17218" spans="1:9" x14ac:dyDescent="0.2">
      <c r="A17218" t="str">
        <f>"Ptpru"</f>
        <v>Ptpru</v>
      </c>
      <c r="B17218" t="s">
        <v>14</v>
      </c>
      <c r="C17218" t="s">
        <v>23</v>
      </c>
      <c r="D17218" t="s">
        <v>11</v>
      </c>
      <c r="E17218" t="s">
        <v>12</v>
      </c>
      <c r="F17218">
        <v>131838237</v>
      </c>
      <c r="G17218">
        <v>131838291</v>
      </c>
      <c r="H17218">
        <v>131838294</v>
      </c>
      <c r="I17218">
        <v>131838305</v>
      </c>
    </row>
    <row r="17219" spans="1:9" x14ac:dyDescent="0.2">
      <c r="A17219" t="str">
        <f>"Ptprz1"</f>
        <v>Ptprz1</v>
      </c>
      <c r="B17219" t="s">
        <v>14</v>
      </c>
      <c r="C17219" t="s">
        <v>32</v>
      </c>
      <c r="D17219" t="s">
        <v>17</v>
      </c>
      <c r="E17219" t="s">
        <v>12</v>
      </c>
      <c r="F17219">
        <v>22875522</v>
      </c>
      <c r="G17219">
        <v>22875537</v>
      </c>
      <c r="H17219">
        <v>22875496</v>
      </c>
      <c r="I17219">
        <v>22875512</v>
      </c>
    </row>
    <row r="17220" spans="1:9" x14ac:dyDescent="0.2">
      <c r="A17220" t="str">
        <f>"Ptrf"</f>
        <v>Ptrf</v>
      </c>
      <c r="B17220" t="s">
        <v>14</v>
      </c>
      <c r="C17220" t="s">
        <v>27</v>
      </c>
      <c r="D17220" t="s">
        <v>11</v>
      </c>
      <c r="E17220" t="s">
        <v>12</v>
      </c>
      <c r="F17220">
        <v>100970605</v>
      </c>
      <c r="G17220">
        <v>100970631</v>
      </c>
      <c r="H17220">
        <v>100970570</v>
      </c>
      <c r="I17220">
        <v>100970583</v>
      </c>
    </row>
    <row r="17221" spans="1:9" x14ac:dyDescent="0.2">
      <c r="A17221" t="str">
        <f>"Ptrh1"</f>
        <v>Ptrh1</v>
      </c>
      <c r="B17221" t="s">
        <v>14</v>
      </c>
      <c r="C17221" t="s">
        <v>26</v>
      </c>
      <c r="D17221" t="s">
        <v>17</v>
      </c>
      <c r="E17221" t="s">
        <v>12</v>
      </c>
      <c r="F17221">
        <v>32775808</v>
      </c>
      <c r="G17221">
        <v>32775829</v>
      </c>
      <c r="H17221">
        <v>32775769</v>
      </c>
      <c r="I17221">
        <v>32775791</v>
      </c>
    </row>
    <row r="17222" spans="1:9" x14ac:dyDescent="0.2">
      <c r="A17222" t="str">
        <f>"Ptrh2"</f>
        <v>Ptrh2</v>
      </c>
      <c r="B17222" t="s">
        <v>14</v>
      </c>
      <c r="C17222" t="s">
        <v>27</v>
      </c>
      <c r="D17222" t="s">
        <v>17</v>
      </c>
      <c r="E17222" t="s">
        <v>12</v>
      </c>
      <c r="F17222">
        <v>86684034</v>
      </c>
      <c r="G17222">
        <v>86684089</v>
      </c>
      <c r="H17222">
        <v>86683886</v>
      </c>
      <c r="I17222">
        <v>86683897</v>
      </c>
    </row>
    <row r="17223" spans="1:9" x14ac:dyDescent="0.2">
      <c r="A17223" t="str">
        <f>"Ptrhd1"</f>
        <v>Ptrhd1</v>
      </c>
      <c r="B17223" t="s">
        <v>14</v>
      </c>
      <c r="C17223" t="s">
        <v>16</v>
      </c>
      <c r="D17223" t="s">
        <v>17</v>
      </c>
      <c r="E17223" t="s">
        <v>67</v>
      </c>
      <c r="F17223">
        <v>4234023</v>
      </c>
      <c r="G17223">
        <v>4234066</v>
      </c>
      <c r="H17223">
        <v>4234123</v>
      </c>
      <c r="I17223">
        <v>4234154</v>
      </c>
    </row>
    <row r="17224" spans="1:9" x14ac:dyDescent="0.2">
      <c r="A17224" t="str">
        <f>"Pts"</f>
        <v>Pts</v>
      </c>
      <c r="B17224" t="s">
        <v>14</v>
      </c>
      <c r="C17224" t="s">
        <v>24</v>
      </c>
      <c r="D17224" t="s">
        <v>11</v>
      </c>
      <c r="E17224" t="s">
        <v>12</v>
      </c>
      <c r="F17224">
        <v>50528642</v>
      </c>
      <c r="G17224">
        <v>50528698</v>
      </c>
      <c r="H17224">
        <v>50528642</v>
      </c>
      <c r="I17224">
        <v>50528698</v>
      </c>
    </row>
    <row r="17225" spans="1:9" x14ac:dyDescent="0.2">
      <c r="A17225" t="str">
        <f>"Pttg1"</f>
        <v>Pttg1</v>
      </c>
      <c r="B17225" t="s">
        <v>14</v>
      </c>
      <c r="C17225" t="s">
        <v>27</v>
      </c>
      <c r="D17225" t="s">
        <v>11</v>
      </c>
      <c r="E17225" t="s">
        <v>12</v>
      </c>
      <c r="F17225">
        <v>43426192</v>
      </c>
      <c r="G17225">
        <v>43426258</v>
      </c>
      <c r="H17225">
        <v>43426192</v>
      </c>
      <c r="I17225">
        <v>43426258</v>
      </c>
    </row>
    <row r="17226" spans="1:9" x14ac:dyDescent="0.2">
      <c r="A17226" t="str">
        <f>"Pttg1ip"</f>
        <v>Pttg1ip</v>
      </c>
      <c r="B17226" t="s">
        <v>14</v>
      </c>
      <c r="C17226" t="s">
        <v>15</v>
      </c>
      <c r="D17226" t="s">
        <v>17</v>
      </c>
      <c r="E17226" t="s">
        <v>12</v>
      </c>
      <c r="F17226">
        <v>77581745</v>
      </c>
      <c r="G17226">
        <v>77581769</v>
      </c>
      <c r="H17226">
        <v>77581774</v>
      </c>
      <c r="I17226">
        <v>77581800</v>
      </c>
    </row>
    <row r="17227" spans="1:9" x14ac:dyDescent="0.2">
      <c r="A17227" t="str">
        <f>"Ptx3"</f>
        <v>Ptx3</v>
      </c>
      <c r="B17227" t="s">
        <v>14</v>
      </c>
      <c r="C17227" t="s">
        <v>22</v>
      </c>
      <c r="D17227" t="s">
        <v>17</v>
      </c>
      <c r="E17227" t="s">
        <v>12</v>
      </c>
      <c r="F17227">
        <v>66219969</v>
      </c>
      <c r="G17227">
        <v>66219988</v>
      </c>
      <c r="H17227">
        <v>66219909</v>
      </c>
      <c r="I17227">
        <v>66219927</v>
      </c>
    </row>
    <row r="17228" spans="1:9" x14ac:dyDescent="0.2">
      <c r="A17228" t="str">
        <f>"Ptx4"</f>
        <v>Ptx4</v>
      </c>
      <c r="B17228" t="s">
        <v>14</v>
      </c>
      <c r="C17228" t="s">
        <v>28</v>
      </c>
      <c r="D17228" t="s">
        <v>17</v>
      </c>
      <c r="E17228" t="s">
        <v>12</v>
      </c>
      <c r="F17228">
        <v>25120787</v>
      </c>
      <c r="G17228">
        <v>25120803</v>
      </c>
      <c r="H17228">
        <v>25120815</v>
      </c>
      <c r="I17228">
        <v>25120830</v>
      </c>
    </row>
    <row r="17229" spans="1:9" x14ac:dyDescent="0.2">
      <c r="A17229" t="str">
        <f>"Puf60"</f>
        <v>Puf60</v>
      </c>
      <c r="B17229" t="s">
        <v>14</v>
      </c>
      <c r="C17229" t="s">
        <v>25</v>
      </c>
      <c r="D17229" t="s">
        <v>11</v>
      </c>
      <c r="E17229" t="s">
        <v>12</v>
      </c>
      <c r="F17229">
        <v>76080894</v>
      </c>
      <c r="G17229">
        <v>76080921</v>
      </c>
      <c r="H17229">
        <v>76080875</v>
      </c>
      <c r="I17229">
        <v>76080893</v>
      </c>
    </row>
    <row r="17230" spans="1:9" x14ac:dyDescent="0.2">
      <c r="A17230" t="str">
        <f>"Pum1"</f>
        <v>Pum1</v>
      </c>
      <c r="B17230" t="s">
        <v>14</v>
      </c>
      <c r="C17230" t="s">
        <v>23</v>
      </c>
      <c r="D17230" t="s">
        <v>17</v>
      </c>
      <c r="E17230" t="s">
        <v>12</v>
      </c>
      <c r="F17230">
        <v>130663353</v>
      </c>
      <c r="G17230">
        <v>130663412</v>
      </c>
      <c r="H17230">
        <v>130663143</v>
      </c>
      <c r="I17230">
        <v>130663176</v>
      </c>
    </row>
    <row r="17231" spans="1:9" x14ac:dyDescent="0.2">
      <c r="A17231" t="str">
        <f>"Pum2"</f>
        <v>Pum2</v>
      </c>
      <c r="B17231" t="s">
        <v>14</v>
      </c>
      <c r="C17231" t="s">
        <v>16</v>
      </c>
      <c r="D17231" t="s">
        <v>17</v>
      </c>
      <c r="E17231" t="s">
        <v>12</v>
      </c>
      <c r="F17231">
        <v>8674235</v>
      </c>
      <c r="G17231">
        <v>8674275</v>
      </c>
      <c r="H17231">
        <v>8674345</v>
      </c>
      <c r="I17231">
        <v>8674382</v>
      </c>
    </row>
    <row r="17232" spans="1:9" x14ac:dyDescent="0.2">
      <c r="A17232" t="str">
        <f>"Pura"</f>
        <v>Pura</v>
      </c>
      <c r="B17232" t="s">
        <v>14</v>
      </c>
      <c r="C17232" t="s">
        <v>43</v>
      </c>
      <c r="D17232" t="s">
        <v>17</v>
      </c>
      <c r="E17232" t="s">
        <v>12</v>
      </c>
      <c r="F17232">
        <v>36281069</v>
      </c>
      <c r="G17232">
        <v>36281151</v>
      </c>
      <c r="H17232">
        <v>36281069</v>
      </c>
      <c r="I17232">
        <v>36281151</v>
      </c>
    </row>
    <row r="17233" spans="1:9" x14ac:dyDescent="0.2">
      <c r="A17233" t="str">
        <f>"Purb"</f>
        <v>Purb</v>
      </c>
      <c r="B17233" t="s">
        <v>14</v>
      </c>
      <c r="C17233" t="s">
        <v>27</v>
      </c>
      <c r="D17233" t="s">
        <v>11</v>
      </c>
      <c r="E17233" t="s">
        <v>12</v>
      </c>
      <c r="F17233">
        <v>6475992</v>
      </c>
      <c r="G17233">
        <v>6476102</v>
      </c>
      <c r="H17233">
        <v>6475881</v>
      </c>
      <c r="I17233">
        <v>6475917</v>
      </c>
    </row>
    <row r="17234" spans="1:9" x14ac:dyDescent="0.2">
      <c r="A17234" t="str">
        <f>"Purg"</f>
        <v>Purg</v>
      </c>
      <c r="B17234" t="s">
        <v>14</v>
      </c>
      <c r="C17234" t="s">
        <v>30</v>
      </c>
      <c r="D17234" t="s">
        <v>17</v>
      </c>
      <c r="E17234" t="s">
        <v>12</v>
      </c>
      <c r="F17234">
        <v>33385826</v>
      </c>
      <c r="G17234">
        <v>33385894</v>
      </c>
      <c r="H17234">
        <v>33385997</v>
      </c>
      <c r="I17234">
        <v>33386011</v>
      </c>
    </row>
    <row r="17235" spans="1:9" x14ac:dyDescent="0.2">
      <c r="A17235" t="str">
        <f>"Pus1"</f>
        <v>Pus1</v>
      </c>
      <c r="B17235" t="s">
        <v>14</v>
      </c>
      <c r="C17235" t="s">
        <v>46</v>
      </c>
      <c r="D17235" t="s">
        <v>11</v>
      </c>
      <c r="E17235" t="s">
        <v>12</v>
      </c>
      <c r="F17235">
        <v>110780569</v>
      </c>
      <c r="G17235">
        <v>110780626</v>
      </c>
      <c r="H17235">
        <v>110779937</v>
      </c>
      <c r="I17235">
        <v>110779943</v>
      </c>
    </row>
    <row r="17236" spans="1:9" x14ac:dyDescent="0.2">
      <c r="A17236" t="str">
        <f>"Pus10"</f>
        <v>Pus10</v>
      </c>
      <c r="B17236" t="s">
        <v>14</v>
      </c>
      <c r="C17236" t="s">
        <v>27</v>
      </c>
      <c r="D17236" t="s">
        <v>17</v>
      </c>
      <c r="E17236" t="s">
        <v>12</v>
      </c>
      <c r="F17236">
        <v>23666122</v>
      </c>
      <c r="G17236">
        <v>23666202</v>
      </c>
      <c r="H17236">
        <v>23666378</v>
      </c>
      <c r="I17236">
        <v>23666430</v>
      </c>
    </row>
    <row r="17237" spans="1:9" x14ac:dyDescent="0.2">
      <c r="A17237" t="str">
        <f>"Pus3"</f>
        <v>Pus3</v>
      </c>
      <c r="B17237" t="s">
        <v>14</v>
      </c>
      <c r="C17237" t="s">
        <v>24</v>
      </c>
      <c r="D17237" t="s">
        <v>17</v>
      </c>
      <c r="E17237" t="s">
        <v>12</v>
      </c>
      <c r="F17237">
        <v>35559460</v>
      </c>
      <c r="G17237">
        <v>35559493</v>
      </c>
      <c r="H17237">
        <v>35558593</v>
      </c>
      <c r="I17237">
        <v>35558642</v>
      </c>
    </row>
    <row r="17238" spans="1:9" x14ac:dyDescent="0.2">
      <c r="A17238" t="str">
        <f>"Pus7"</f>
        <v>Pus7</v>
      </c>
      <c r="B17238" t="s">
        <v>14</v>
      </c>
      <c r="C17238" t="s">
        <v>46</v>
      </c>
      <c r="D17238" t="s">
        <v>11</v>
      </c>
      <c r="E17238" t="s">
        <v>12</v>
      </c>
      <c r="F17238">
        <v>23783612</v>
      </c>
      <c r="G17238">
        <v>23783697</v>
      </c>
      <c r="H17238">
        <v>23783700</v>
      </c>
      <c r="I17238">
        <v>23783709</v>
      </c>
    </row>
    <row r="17239" spans="1:9" x14ac:dyDescent="0.2">
      <c r="A17239" t="str">
        <f>"Pus7l"</f>
        <v>Pus7l</v>
      </c>
      <c r="B17239" t="s">
        <v>14</v>
      </c>
      <c r="C17239" t="s">
        <v>25</v>
      </c>
      <c r="D17239" t="s">
        <v>11</v>
      </c>
      <c r="E17239" t="s">
        <v>12</v>
      </c>
      <c r="F17239">
        <v>94543472</v>
      </c>
      <c r="G17239">
        <v>94543514</v>
      </c>
      <c r="H17239">
        <v>94543519</v>
      </c>
      <c r="I17239">
        <v>94543520</v>
      </c>
    </row>
    <row r="17240" spans="1:9" x14ac:dyDescent="0.2">
      <c r="A17240" t="str">
        <f>"Pusl1"</f>
        <v>Pusl1</v>
      </c>
      <c r="B17240" t="s">
        <v>14</v>
      </c>
      <c r="C17240" t="s">
        <v>23</v>
      </c>
      <c r="D17240" t="s">
        <v>11</v>
      </c>
      <c r="E17240" t="s">
        <v>12</v>
      </c>
      <c r="F17240">
        <v>155891701</v>
      </c>
      <c r="G17240">
        <v>155891782</v>
      </c>
      <c r="H17240">
        <v>155892144</v>
      </c>
      <c r="I17240">
        <v>155892220</v>
      </c>
    </row>
    <row r="17241" spans="1:9" x14ac:dyDescent="0.2">
      <c r="A17241" t="str">
        <f>"Pvalb"</f>
        <v>Pvalb</v>
      </c>
      <c r="B17241" t="s">
        <v>9</v>
      </c>
      <c r="C17241" t="s">
        <v>25</v>
      </c>
      <c r="D17241" t="s">
        <v>11</v>
      </c>
      <c r="E17241" t="s">
        <v>12</v>
      </c>
      <c r="F17241">
        <v>78206391</v>
      </c>
      <c r="G17241">
        <v>78206407</v>
      </c>
      <c r="H17241">
        <v>78206391</v>
      </c>
      <c r="I17241">
        <v>78206407</v>
      </c>
    </row>
    <row r="17242" spans="1:9" x14ac:dyDescent="0.2">
      <c r="A17242" t="str">
        <f>"Pvalb"</f>
        <v>Pvalb</v>
      </c>
      <c r="B17242" t="s">
        <v>13</v>
      </c>
      <c r="C17242" t="s">
        <v>25</v>
      </c>
      <c r="D17242" t="s">
        <v>11</v>
      </c>
      <c r="E17242" t="s">
        <v>12</v>
      </c>
      <c r="F17242">
        <v>78204148</v>
      </c>
      <c r="G17242">
        <v>78204198</v>
      </c>
      <c r="H17242">
        <v>78204148</v>
      </c>
      <c r="I17242">
        <v>78204198</v>
      </c>
    </row>
    <row r="17243" spans="1:9" x14ac:dyDescent="0.2">
      <c r="A17243" t="str">
        <f>"Pvr"</f>
        <v>Pvr</v>
      </c>
      <c r="B17243" t="s">
        <v>14</v>
      </c>
      <c r="C17243" t="s">
        <v>33</v>
      </c>
      <c r="D17243" t="s">
        <v>11</v>
      </c>
      <c r="E17243" t="s">
        <v>12</v>
      </c>
      <c r="F17243">
        <v>19921104</v>
      </c>
      <c r="G17243">
        <v>19921121</v>
      </c>
      <c r="H17243">
        <v>19921126</v>
      </c>
      <c r="I17243">
        <v>19921136</v>
      </c>
    </row>
    <row r="17244" spans="1:9" x14ac:dyDescent="0.2">
      <c r="A17244" t="str">
        <f>"Pvrl1"</f>
        <v>Pvrl1</v>
      </c>
      <c r="B17244" t="s">
        <v>14</v>
      </c>
      <c r="C17244" t="s">
        <v>24</v>
      </c>
      <c r="D17244" t="s">
        <v>17</v>
      </c>
      <c r="E17244" t="s">
        <v>12</v>
      </c>
      <c r="F17244">
        <v>43744399</v>
      </c>
      <c r="G17244">
        <v>43744437</v>
      </c>
      <c r="H17244">
        <v>43744628</v>
      </c>
      <c r="I17244">
        <v>43744642</v>
      </c>
    </row>
    <row r="17245" spans="1:9" x14ac:dyDescent="0.2">
      <c r="A17245" t="str">
        <f>"Pvrl2"</f>
        <v>Pvrl2</v>
      </c>
      <c r="B17245" t="s">
        <v>14</v>
      </c>
      <c r="C17245" t="s">
        <v>33</v>
      </c>
      <c r="D17245" t="s">
        <v>11</v>
      </c>
      <c r="E17245" t="s">
        <v>12</v>
      </c>
      <c r="F17245">
        <v>19749464</v>
      </c>
      <c r="G17245">
        <v>19749542</v>
      </c>
      <c r="H17245">
        <v>19749320</v>
      </c>
      <c r="I17245">
        <v>19749325</v>
      </c>
    </row>
    <row r="17246" spans="1:9" x14ac:dyDescent="0.2">
      <c r="A17246" t="str">
        <f>"Pvrl3"</f>
        <v>Pvrl3</v>
      </c>
      <c r="B17246" t="s">
        <v>14</v>
      </c>
      <c r="C17246" t="s">
        <v>31</v>
      </c>
      <c r="D17246" t="s">
        <v>11</v>
      </c>
      <c r="E17246" t="s">
        <v>12</v>
      </c>
      <c r="F17246">
        <v>46496955</v>
      </c>
      <c r="G17246">
        <v>46496986</v>
      </c>
      <c r="H17246">
        <v>46496987</v>
      </c>
      <c r="I17246">
        <v>46497010</v>
      </c>
    </row>
    <row r="17247" spans="1:9" x14ac:dyDescent="0.2">
      <c r="A17247" t="str">
        <f>"Pvrl4"</f>
        <v>Pvrl4</v>
      </c>
      <c r="B17247" t="s">
        <v>14</v>
      </c>
      <c r="C17247" t="s">
        <v>19</v>
      </c>
      <c r="D17247" t="s">
        <v>17</v>
      </c>
      <c r="E17247" t="s">
        <v>12</v>
      </c>
      <c r="F17247">
        <v>171370385</v>
      </c>
      <c r="G17247">
        <v>171370408</v>
      </c>
      <c r="H17247">
        <v>171370345</v>
      </c>
      <c r="I17247">
        <v>171370359</v>
      </c>
    </row>
    <row r="17248" spans="1:9" x14ac:dyDescent="0.2">
      <c r="A17248" t="str">
        <f>"Pwp1"</f>
        <v>Pwp1</v>
      </c>
      <c r="B17248" t="s">
        <v>14</v>
      </c>
      <c r="C17248" t="s">
        <v>15</v>
      </c>
      <c r="D17248" t="s">
        <v>17</v>
      </c>
      <c r="E17248" t="s">
        <v>12</v>
      </c>
      <c r="F17248">
        <v>85871815</v>
      </c>
      <c r="G17248">
        <v>85871898</v>
      </c>
      <c r="H17248">
        <v>85871904</v>
      </c>
      <c r="I17248">
        <v>85871919</v>
      </c>
    </row>
    <row r="17249" spans="1:9" x14ac:dyDescent="0.2">
      <c r="A17249" t="str">
        <f>"Pwp2"</f>
        <v>Pwp2</v>
      </c>
      <c r="B17249" t="s">
        <v>14</v>
      </c>
      <c r="C17249" t="s">
        <v>15</v>
      </c>
      <c r="D17249" t="s">
        <v>11</v>
      </c>
      <c r="E17249" t="s">
        <v>12</v>
      </c>
      <c r="F17249">
        <v>78185102</v>
      </c>
      <c r="G17249">
        <v>78185155</v>
      </c>
      <c r="H17249">
        <v>78185189</v>
      </c>
      <c r="I17249">
        <v>78185192</v>
      </c>
    </row>
    <row r="17250" spans="1:9" x14ac:dyDescent="0.2">
      <c r="A17250" t="str">
        <f>"Pwwp2a"</f>
        <v>Pwwp2a</v>
      </c>
      <c r="B17250" t="s">
        <v>14</v>
      </c>
      <c r="C17250" t="s">
        <v>27</v>
      </c>
      <c r="D17250" t="s">
        <v>17</v>
      </c>
      <c r="E17250" t="s">
        <v>12</v>
      </c>
      <c r="F17250">
        <v>43682066</v>
      </c>
      <c r="G17250">
        <v>43682089</v>
      </c>
      <c r="H17250">
        <v>43682011</v>
      </c>
      <c r="I17250">
        <v>43682036</v>
      </c>
    </row>
    <row r="17251" spans="1:9" x14ac:dyDescent="0.2">
      <c r="A17251" t="str">
        <f>"Pwwp2b"</f>
        <v>Pwwp2b</v>
      </c>
      <c r="B17251" t="s">
        <v>14</v>
      </c>
      <c r="C17251" t="s">
        <v>33</v>
      </c>
      <c r="D17251" t="s">
        <v>17</v>
      </c>
      <c r="E17251" t="s">
        <v>12</v>
      </c>
      <c r="F17251">
        <v>139248477</v>
      </c>
      <c r="G17251">
        <v>139248532</v>
      </c>
      <c r="H17251">
        <v>139248410</v>
      </c>
      <c r="I17251">
        <v>139248456</v>
      </c>
    </row>
    <row r="17252" spans="1:9" x14ac:dyDescent="0.2">
      <c r="A17252" t="str">
        <f>"Pxdc1"</f>
        <v>Pxdc1</v>
      </c>
      <c r="B17252" t="s">
        <v>14</v>
      </c>
      <c r="C17252" t="s">
        <v>39</v>
      </c>
      <c r="D17252" t="s">
        <v>11</v>
      </c>
      <c r="E17252" t="s">
        <v>67</v>
      </c>
      <c r="F17252">
        <v>34652673</v>
      </c>
      <c r="G17252">
        <v>34652688</v>
      </c>
      <c r="H17252">
        <v>34652673</v>
      </c>
      <c r="I17252">
        <v>34652688</v>
      </c>
    </row>
    <row r="17253" spans="1:9" x14ac:dyDescent="0.2">
      <c r="A17253" t="str">
        <f>"Pxdn"</f>
        <v>Pxdn</v>
      </c>
      <c r="B17253" t="s">
        <v>14</v>
      </c>
      <c r="C17253" t="s">
        <v>16</v>
      </c>
      <c r="D17253" t="s">
        <v>17</v>
      </c>
      <c r="E17253" t="s">
        <v>12</v>
      </c>
      <c r="F17253">
        <v>29938042</v>
      </c>
      <c r="G17253">
        <v>29938059</v>
      </c>
      <c r="H17253">
        <v>29938006</v>
      </c>
      <c r="I17253">
        <v>29938021</v>
      </c>
    </row>
    <row r="17254" spans="1:9" x14ac:dyDescent="0.2">
      <c r="A17254" t="str">
        <f>"Pxk"</f>
        <v>Pxk</v>
      </c>
      <c r="B17254" t="s">
        <v>14</v>
      </c>
      <c r="C17254" t="s">
        <v>41</v>
      </c>
      <c r="D17254" t="s">
        <v>17</v>
      </c>
      <c r="E17254" t="s">
        <v>12</v>
      </c>
      <c r="F17254">
        <v>8098196</v>
      </c>
      <c r="G17254">
        <v>8098296</v>
      </c>
      <c r="H17254">
        <v>8098072</v>
      </c>
      <c r="I17254">
        <v>8098074</v>
      </c>
    </row>
    <row r="17255" spans="1:9" x14ac:dyDescent="0.2">
      <c r="A17255" t="str">
        <f>"Pxmp2"</f>
        <v>Pxmp2</v>
      </c>
      <c r="B17255" t="s">
        <v>14</v>
      </c>
      <c r="C17255" t="s">
        <v>46</v>
      </c>
      <c r="D17255" t="s">
        <v>11</v>
      </c>
      <c r="E17255" t="s">
        <v>12</v>
      </c>
      <c r="F17255">
        <v>110286010</v>
      </c>
      <c r="G17255">
        <v>110286028</v>
      </c>
      <c r="H17255">
        <v>110286159</v>
      </c>
      <c r="I17255">
        <v>110286177</v>
      </c>
    </row>
    <row r="17256" spans="1:9" x14ac:dyDescent="0.2">
      <c r="A17256" t="str">
        <f>"Pxmp4"</f>
        <v>Pxmp4</v>
      </c>
      <c r="B17256" t="s">
        <v>14</v>
      </c>
      <c r="C17256" t="s">
        <v>26</v>
      </c>
      <c r="D17256" t="s">
        <v>11</v>
      </c>
      <c r="E17256" t="s">
        <v>12</v>
      </c>
      <c r="F17256">
        <v>154603658</v>
      </c>
      <c r="G17256">
        <v>154603693</v>
      </c>
      <c r="H17256">
        <v>154603698</v>
      </c>
      <c r="I17256">
        <v>154603714</v>
      </c>
    </row>
    <row r="17257" spans="1:9" x14ac:dyDescent="0.2">
      <c r="A17257" t="str">
        <f>"Pxn"</f>
        <v>Pxn</v>
      </c>
      <c r="B17257" t="s">
        <v>14</v>
      </c>
      <c r="C17257" t="s">
        <v>46</v>
      </c>
      <c r="D17257" t="s">
        <v>17</v>
      </c>
      <c r="E17257" t="s">
        <v>12</v>
      </c>
      <c r="F17257">
        <v>115506668</v>
      </c>
      <c r="G17257">
        <v>115506753</v>
      </c>
      <c r="H17257">
        <v>115506668</v>
      </c>
      <c r="I17257">
        <v>115506753</v>
      </c>
    </row>
    <row r="17258" spans="1:9" x14ac:dyDescent="0.2">
      <c r="A17258" t="str">
        <f>"Pxt1"</f>
        <v>Pxt1</v>
      </c>
      <c r="B17258" t="s">
        <v>14</v>
      </c>
      <c r="C17258" t="s">
        <v>28</v>
      </c>
      <c r="D17258" t="s">
        <v>11</v>
      </c>
      <c r="E17258" t="s">
        <v>12</v>
      </c>
      <c r="F17258">
        <v>28942224</v>
      </c>
      <c r="G17258">
        <v>28942254</v>
      </c>
      <c r="H17258">
        <v>28942255</v>
      </c>
      <c r="I17258">
        <v>28942270</v>
      </c>
    </row>
    <row r="17259" spans="1:9" x14ac:dyDescent="0.2">
      <c r="A17259" t="str">
        <f>"Pycard"</f>
        <v>Pycard</v>
      </c>
      <c r="B17259" t="s">
        <v>14</v>
      </c>
      <c r="C17259" t="s">
        <v>33</v>
      </c>
      <c r="D17259" t="s">
        <v>11</v>
      </c>
      <c r="E17259" t="s">
        <v>12</v>
      </c>
      <c r="F17259">
        <v>127993702</v>
      </c>
      <c r="G17259">
        <v>127993762</v>
      </c>
      <c r="H17259">
        <v>127993702</v>
      </c>
      <c r="I17259">
        <v>127993762</v>
      </c>
    </row>
    <row r="17260" spans="1:9" x14ac:dyDescent="0.2">
      <c r="A17260" t="str">
        <f>"Pycr1"</f>
        <v>Pycr1</v>
      </c>
      <c r="B17260" t="s">
        <v>14</v>
      </c>
      <c r="C17260" t="s">
        <v>27</v>
      </c>
      <c r="D17260" t="s">
        <v>11</v>
      </c>
      <c r="E17260" t="s">
        <v>12</v>
      </c>
      <c r="F17260">
        <v>120643697</v>
      </c>
      <c r="G17260">
        <v>120643762</v>
      </c>
      <c r="H17260">
        <v>120643697</v>
      </c>
      <c r="I17260">
        <v>120643762</v>
      </c>
    </row>
    <row r="17261" spans="1:9" x14ac:dyDescent="0.2">
      <c r="A17261" t="str">
        <f>"Pycr2"</f>
        <v>Pycr2</v>
      </c>
      <c r="B17261" t="s">
        <v>14</v>
      </c>
      <c r="C17261" t="s">
        <v>19</v>
      </c>
      <c r="D17261" t="s">
        <v>17</v>
      </c>
      <c r="E17261" t="s">
        <v>12</v>
      </c>
      <c r="F17261">
        <v>180904278</v>
      </c>
      <c r="G17261">
        <v>180904343</v>
      </c>
      <c r="H17261">
        <v>180904278</v>
      </c>
      <c r="I17261">
        <v>180904343</v>
      </c>
    </row>
    <row r="17262" spans="1:9" x14ac:dyDescent="0.2">
      <c r="A17262" t="str">
        <f>"Pycrl"</f>
        <v>Pycrl</v>
      </c>
      <c r="B17262" t="s">
        <v>14</v>
      </c>
      <c r="C17262" t="s">
        <v>25</v>
      </c>
      <c r="D17262" t="s">
        <v>11</v>
      </c>
      <c r="E17262" t="s">
        <v>12</v>
      </c>
      <c r="F17262">
        <v>75921463</v>
      </c>
      <c r="G17262">
        <v>75921533</v>
      </c>
      <c r="H17262">
        <v>75921463</v>
      </c>
      <c r="I17262">
        <v>75921533</v>
      </c>
    </row>
    <row r="17263" spans="1:9" x14ac:dyDescent="0.2">
      <c r="A17263" t="str">
        <f>"Pydc3"</f>
        <v>Pydc3</v>
      </c>
      <c r="B17263" t="s">
        <v>14</v>
      </c>
      <c r="C17263" t="s">
        <v>19</v>
      </c>
      <c r="D17263" t="s">
        <v>17</v>
      </c>
      <c r="E17263" t="s">
        <v>12</v>
      </c>
      <c r="F17263">
        <v>173673651</v>
      </c>
      <c r="G17263">
        <v>173673686</v>
      </c>
      <c r="H17263">
        <v>173673901</v>
      </c>
      <c r="I17263">
        <v>173673916</v>
      </c>
    </row>
    <row r="17264" spans="1:9" x14ac:dyDescent="0.2">
      <c r="A17264" t="str">
        <f>"Pydc4"</f>
        <v>Pydc4</v>
      </c>
      <c r="B17264" t="s">
        <v>14</v>
      </c>
      <c r="C17264" t="s">
        <v>19</v>
      </c>
      <c r="D17264" t="s">
        <v>11</v>
      </c>
      <c r="E17264" t="s">
        <v>12</v>
      </c>
      <c r="F17264">
        <v>173599243</v>
      </c>
      <c r="G17264">
        <v>173599277</v>
      </c>
      <c r="H17264">
        <v>173599243</v>
      </c>
      <c r="I17264">
        <v>173599277</v>
      </c>
    </row>
    <row r="17265" spans="1:9" x14ac:dyDescent="0.2">
      <c r="A17265" t="str">
        <f>"Pygb"</f>
        <v>Pygb</v>
      </c>
      <c r="B17265" t="s">
        <v>14</v>
      </c>
      <c r="C17265" t="s">
        <v>26</v>
      </c>
      <c r="D17265" t="s">
        <v>17</v>
      </c>
      <c r="E17265" t="s">
        <v>12</v>
      </c>
      <c r="F17265">
        <v>150786740</v>
      </c>
      <c r="G17265">
        <v>150786794</v>
      </c>
      <c r="H17265">
        <v>150786806</v>
      </c>
      <c r="I17265">
        <v>150786817</v>
      </c>
    </row>
    <row r="17266" spans="1:9" x14ac:dyDescent="0.2">
      <c r="A17266" t="str">
        <f>"Pygl"</f>
        <v>Pygl</v>
      </c>
      <c r="B17266" t="s">
        <v>14</v>
      </c>
      <c r="C17266" t="s">
        <v>16</v>
      </c>
      <c r="D17266" t="s">
        <v>11</v>
      </c>
      <c r="E17266" t="s">
        <v>12</v>
      </c>
      <c r="F17266">
        <v>70227622</v>
      </c>
      <c r="G17266">
        <v>70227639</v>
      </c>
      <c r="H17266">
        <v>70227622</v>
      </c>
      <c r="I17266">
        <v>70227639</v>
      </c>
    </row>
    <row r="17267" spans="1:9" x14ac:dyDescent="0.2">
      <c r="A17267" t="str">
        <f>"Pygm"</f>
        <v>Pygm</v>
      </c>
      <c r="B17267" t="s">
        <v>9</v>
      </c>
      <c r="C17267" t="s">
        <v>10</v>
      </c>
      <c r="D17267" t="s">
        <v>17</v>
      </c>
      <c r="E17267" t="s">
        <v>12</v>
      </c>
      <c r="F17267">
        <v>6384395</v>
      </c>
      <c r="G17267">
        <v>6384422</v>
      </c>
      <c r="H17267">
        <v>6384395</v>
      </c>
      <c r="I17267">
        <v>6384422</v>
      </c>
    </row>
    <row r="17268" spans="1:9" x14ac:dyDescent="0.2">
      <c r="A17268" t="str">
        <f>"Pygm"</f>
        <v>Pygm</v>
      </c>
      <c r="B17268" t="s">
        <v>13</v>
      </c>
      <c r="C17268" t="s">
        <v>10</v>
      </c>
      <c r="D17268" t="s">
        <v>17</v>
      </c>
      <c r="E17268" t="s">
        <v>12</v>
      </c>
      <c r="F17268">
        <v>6397640</v>
      </c>
      <c r="G17268">
        <v>6397659</v>
      </c>
      <c r="H17268">
        <v>6397640</v>
      </c>
      <c r="I17268">
        <v>6397659</v>
      </c>
    </row>
    <row r="17269" spans="1:9" x14ac:dyDescent="0.2">
      <c r="A17269" t="str">
        <f>"Pygo1"</f>
        <v>Pygo1</v>
      </c>
      <c r="B17269" t="s">
        <v>14</v>
      </c>
      <c r="C17269" t="s">
        <v>24</v>
      </c>
      <c r="D17269" t="s">
        <v>17</v>
      </c>
      <c r="E17269" t="s">
        <v>12</v>
      </c>
      <c r="F17269">
        <v>72925622</v>
      </c>
      <c r="G17269">
        <v>72925671</v>
      </c>
      <c r="H17269">
        <v>72925490</v>
      </c>
      <c r="I17269">
        <v>72925514</v>
      </c>
    </row>
    <row r="17270" spans="1:9" x14ac:dyDescent="0.2">
      <c r="A17270" t="str">
        <f>"Pygo2"</f>
        <v>Pygo2</v>
      </c>
      <c r="B17270" t="s">
        <v>14</v>
      </c>
      <c r="C17270" t="s">
        <v>22</v>
      </c>
      <c r="D17270" t="s">
        <v>17</v>
      </c>
      <c r="E17270" t="s">
        <v>12</v>
      </c>
      <c r="F17270">
        <v>89430395</v>
      </c>
      <c r="G17270">
        <v>89430500</v>
      </c>
      <c r="H17270">
        <v>89430273</v>
      </c>
      <c r="I17270">
        <v>89430289</v>
      </c>
    </row>
    <row r="17271" spans="1:9" x14ac:dyDescent="0.2">
      <c r="A17271" t="str">
        <f>"Pyhin1"</f>
        <v>Pyhin1</v>
      </c>
      <c r="B17271" t="s">
        <v>14</v>
      </c>
      <c r="C17271" t="s">
        <v>19</v>
      </c>
      <c r="D17271" t="s">
        <v>17</v>
      </c>
      <c r="E17271" t="s">
        <v>12</v>
      </c>
      <c r="F17271">
        <v>173630847</v>
      </c>
      <c r="G17271">
        <v>173630882</v>
      </c>
      <c r="H17271">
        <v>173630813</v>
      </c>
      <c r="I17271">
        <v>173630834</v>
      </c>
    </row>
    <row r="17272" spans="1:9" x14ac:dyDescent="0.2">
      <c r="A17272" t="str">
        <f>"Pyroxd1"</f>
        <v>Pyroxd1</v>
      </c>
      <c r="B17272" t="s">
        <v>14</v>
      </c>
      <c r="C17272" t="s">
        <v>32</v>
      </c>
      <c r="D17272" t="s">
        <v>17</v>
      </c>
      <c r="E17272" t="s">
        <v>12</v>
      </c>
      <c r="F17272">
        <v>142345648</v>
      </c>
      <c r="G17272">
        <v>142345693</v>
      </c>
      <c r="H17272">
        <v>142345701</v>
      </c>
      <c r="I17272">
        <v>142345712</v>
      </c>
    </row>
    <row r="17273" spans="1:9" x14ac:dyDescent="0.2">
      <c r="A17273" t="str">
        <f>"Pyroxd2"</f>
        <v>Pyroxd2</v>
      </c>
      <c r="B17273" t="s">
        <v>14</v>
      </c>
      <c r="C17273" t="s">
        <v>10</v>
      </c>
      <c r="D17273" t="s">
        <v>11</v>
      </c>
      <c r="E17273" t="s">
        <v>12</v>
      </c>
      <c r="F17273">
        <v>42752459</v>
      </c>
      <c r="G17273">
        <v>42752517</v>
      </c>
      <c r="H17273">
        <v>42752768</v>
      </c>
      <c r="I17273">
        <v>42752804</v>
      </c>
    </row>
    <row r="17274" spans="1:9" x14ac:dyDescent="0.2">
      <c r="A17274" t="str">
        <f>"Pyurf"</f>
        <v>Pyurf</v>
      </c>
      <c r="B17274" t="s">
        <v>14</v>
      </c>
      <c r="C17274" t="s">
        <v>32</v>
      </c>
      <c r="D17274" t="s">
        <v>11</v>
      </c>
      <c r="E17274" t="s">
        <v>67</v>
      </c>
      <c r="F17274">
        <v>57692007</v>
      </c>
      <c r="G17274">
        <v>57692084</v>
      </c>
      <c r="H17274">
        <v>57692007</v>
      </c>
      <c r="I17274">
        <v>57692084</v>
      </c>
    </row>
    <row r="17275" spans="1:9" x14ac:dyDescent="0.2">
      <c r="A17275" t="str">
        <f>"Pyy"</f>
        <v>Pyy</v>
      </c>
      <c r="B17275" t="s">
        <v>14</v>
      </c>
      <c r="C17275" t="s">
        <v>27</v>
      </c>
      <c r="D17275" t="s">
        <v>11</v>
      </c>
      <c r="E17275" t="s">
        <v>12</v>
      </c>
      <c r="F17275">
        <v>102107823</v>
      </c>
      <c r="G17275">
        <v>102107838</v>
      </c>
      <c r="H17275">
        <v>102107823</v>
      </c>
      <c r="I17275">
        <v>102107838</v>
      </c>
    </row>
    <row r="17276" spans="1:9" x14ac:dyDescent="0.2">
      <c r="A17276" t="str">
        <f>"Pzp"</f>
        <v>Pzp</v>
      </c>
      <c r="B17276" t="s">
        <v>14</v>
      </c>
      <c r="C17276" t="s">
        <v>32</v>
      </c>
      <c r="D17276" t="s">
        <v>11</v>
      </c>
      <c r="E17276" t="s">
        <v>12</v>
      </c>
      <c r="F17276">
        <v>128526704</v>
      </c>
      <c r="G17276">
        <v>128526720</v>
      </c>
      <c r="H17276">
        <v>128526704</v>
      </c>
      <c r="I17276">
        <v>128526720</v>
      </c>
    </row>
    <row r="17277" spans="1:9" x14ac:dyDescent="0.2">
      <c r="A17277" t="str">
        <f>"Qars"</f>
        <v>Qars</v>
      </c>
      <c r="B17277" t="s">
        <v>14</v>
      </c>
      <c r="C17277" t="s">
        <v>24</v>
      </c>
      <c r="D17277" t="s">
        <v>17</v>
      </c>
      <c r="E17277" t="s">
        <v>12</v>
      </c>
      <c r="F17277">
        <v>108508050</v>
      </c>
      <c r="G17277">
        <v>108508076</v>
      </c>
      <c r="H17277">
        <v>108508050</v>
      </c>
      <c r="I17277">
        <v>108508076</v>
      </c>
    </row>
    <row r="17278" spans="1:9" x14ac:dyDescent="0.2">
      <c r="A17278" t="str">
        <f>"Qdpr"</f>
        <v>Qdpr</v>
      </c>
      <c r="B17278" t="s">
        <v>14</v>
      </c>
      <c r="C17278" t="s">
        <v>46</v>
      </c>
      <c r="D17278" t="s">
        <v>11</v>
      </c>
      <c r="E17278" t="s">
        <v>12</v>
      </c>
      <c r="F17278">
        <v>45450143</v>
      </c>
      <c r="G17278">
        <v>45450201</v>
      </c>
      <c r="H17278">
        <v>45450121</v>
      </c>
      <c r="I17278">
        <v>45450139</v>
      </c>
    </row>
    <row r="17279" spans="1:9" x14ac:dyDescent="0.2">
      <c r="A17279" t="str">
        <f>"Qk"</f>
        <v>Qk</v>
      </c>
      <c r="B17279" t="s">
        <v>14</v>
      </c>
      <c r="C17279" t="s">
        <v>28</v>
      </c>
      <c r="D17279" t="s">
        <v>11</v>
      </c>
      <c r="E17279" t="s">
        <v>12</v>
      </c>
      <c r="F17279">
        <v>10319324</v>
      </c>
      <c r="G17279">
        <v>10319380</v>
      </c>
      <c r="H17279">
        <v>10319296</v>
      </c>
      <c r="I17279">
        <v>10319317</v>
      </c>
    </row>
    <row r="17280" spans="1:9" x14ac:dyDescent="0.2">
      <c r="A17280" t="str">
        <f>"Qpct"</f>
        <v>Qpct</v>
      </c>
      <c r="B17280" t="s">
        <v>14</v>
      </c>
      <c r="C17280" t="s">
        <v>28</v>
      </c>
      <c r="D17280" t="s">
        <v>17</v>
      </c>
      <c r="E17280" t="s">
        <v>12</v>
      </c>
      <c r="F17280">
        <v>79052231</v>
      </c>
      <c r="G17280">
        <v>79052267</v>
      </c>
      <c r="H17280">
        <v>79052020</v>
      </c>
      <c r="I17280">
        <v>79052039</v>
      </c>
    </row>
    <row r="17281" spans="1:9" x14ac:dyDescent="0.2">
      <c r="A17281" t="str">
        <f>"Qpctl"</f>
        <v>Qpctl</v>
      </c>
      <c r="B17281" t="s">
        <v>14</v>
      </c>
      <c r="C17281" t="s">
        <v>33</v>
      </c>
      <c r="D17281" t="s">
        <v>11</v>
      </c>
      <c r="E17281" t="s">
        <v>12</v>
      </c>
      <c r="F17281">
        <v>19149189</v>
      </c>
      <c r="G17281">
        <v>19149273</v>
      </c>
      <c r="H17281">
        <v>19149280</v>
      </c>
      <c r="I17281">
        <v>19149290</v>
      </c>
    </row>
    <row r="17282" spans="1:9" x14ac:dyDescent="0.2">
      <c r="A17282" t="str">
        <f>"Qprt"</f>
        <v>Qprt</v>
      </c>
      <c r="B17282" t="s">
        <v>14</v>
      </c>
      <c r="C17282" t="s">
        <v>33</v>
      </c>
      <c r="D17282" t="s">
        <v>11</v>
      </c>
      <c r="E17282" t="s">
        <v>12</v>
      </c>
      <c r="F17282">
        <v>127122028</v>
      </c>
      <c r="G17282">
        <v>127122056</v>
      </c>
      <c r="H17282">
        <v>127122007</v>
      </c>
      <c r="I17282">
        <v>127122027</v>
      </c>
    </row>
    <row r="17283" spans="1:9" x14ac:dyDescent="0.2">
      <c r="A17283" t="str">
        <f>"Qrfp"</f>
        <v>Qrfp</v>
      </c>
      <c r="B17283" t="s">
        <v>14</v>
      </c>
      <c r="C17283" t="s">
        <v>26</v>
      </c>
      <c r="D17283" t="s">
        <v>11</v>
      </c>
      <c r="E17283" t="s">
        <v>12</v>
      </c>
      <c r="F17283">
        <v>31810487</v>
      </c>
      <c r="G17283">
        <v>31810500</v>
      </c>
      <c r="H17283">
        <v>31810601</v>
      </c>
      <c r="I17283">
        <v>31810610</v>
      </c>
    </row>
    <row r="17284" spans="1:9" x14ac:dyDescent="0.2">
      <c r="A17284" t="str">
        <f>"Qrfpr"</f>
        <v>Qrfpr</v>
      </c>
      <c r="B17284" t="s">
        <v>14</v>
      </c>
      <c r="C17284" t="s">
        <v>22</v>
      </c>
      <c r="D17284" t="s">
        <v>11</v>
      </c>
      <c r="E17284" t="s">
        <v>12</v>
      </c>
      <c r="F17284">
        <v>36222302</v>
      </c>
      <c r="G17284">
        <v>36222318</v>
      </c>
      <c r="H17284">
        <v>36222278</v>
      </c>
      <c r="I17284">
        <v>36222294</v>
      </c>
    </row>
    <row r="17285" spans="1:9" x14ac:dyDescent="0.2">
      <c r="A17285" t="str">
        <f>"Qrich1"</f>
        <v>Qrich1</v>
      </c>
      <c r="B17285" t="s">
        <v>14</v>
      </c>
      <c r="C17285" t="s">
        <v>24</v>
      </c>
      <c r="D17285" t="s">
        <v>17</v>
      </c>
      <c r="E17285" t="s">
        <v>12</v>
      </c>
      <c r="F17285">
        <v>108517070</v>
      </c>
      <c r="G17285">
        <v>108517117</v>
      </c>
      <c r="H17285">
        <v>108517566</v>
      </c>
      <c r="I17285">
        <v>108517620</v>
      </c>
    </row>
    <row r="17286" spans="1:9" x14ac:dyDescent="0.2">
      <c r="A17286" t="str">
        <f>"Qrich2"</f>
        <v>Qrich2</v>
      </c>
      <c r="B17286" t="s">
        <v>14</v>
      </c>
      <c r="C17286" t="s">
        <v>27</v>
      </c>
      <c r="D17286" t="s">
        <v>11</v>
      </c>
      <c r="E17286" t="s">
        <v>12</v>
      </c>
      <c r="F17286">
        <v>116447463</v>
      </c>
      <c r="G17286">
        <v>116447470</v>
      </c>
      <c r="H17286">
        <v>116447463</v>
      </c>
      <c r="I17286">
        <v>116447470</v>
      </c>
    </row>
    <row r="17287" spans="1:9" x14ac:dyDescent="0.2">
      <c r="A17287" t="str">
        <f>"Qrsl1"</f>
        <v>Qrsl1</v>
      </c>
      <c r="B17287" t="s">
        <v>14</v>
      </c>
      <c r="C17287" t="s">
        <v>15</v>
      </c>
      <c r="D17287" t="s">
        <v>11</v>
      </c>
      <c r="E17287" t="s">
        <v>12</v>
      </c>
      <c r="F17287">
        <v>43901712</v>
      </c>
      <c r="G17287">
        <v>43901752</v>
      </c>
      <c r="H17287">
        <v>43901670</v>
      </c>
      <c r="I17287">
        <v>43901702</v>
      </c>
    </row>
    <row r="17288" spans="1:9" x14ac:dyDescent="0.2">
      <c r="A17288" t="str">
        <f>"Qser1"</f>
        <v>Qser1</v>
      </c>
      <c r="B17288" t="s">
        <v>14</v>
      </c>
      <c r="C17288" t="s">
        <v>26</v>
      </c>
      <c r="D17288" t="s">
        <v>11</v>
      </c>
      <c r="E17288" t="s">
        <v>12</v>
      </c>
      <c r="F17288">
        <v>104816969</v>
      </c>
      <c r="G17288">
        <v>104817009</v>
      </c>
      <c r="H17288">
        <v>104816742</v>
      </c>
      <c r="I17288">
        <v>104816792</v>
      </c>
    </row>
    <row r="17289" spans="1:9" x14ac:dyDescent="0.2">
      <c r="A17289" t="str">
        <f>"Qsox1"</f>
        <v>Qsox1</v>
      </c>
      <c r="B17289" t="s">
        <v>14</v>
      </c>
      <c r="C17289" t="s">
        <v>19</v>
      </c>
      <c r="D17289" t="s">
        <v>11</v>
      </c>
      <c r="E17289" t="s">
        <v>12</v>
      </c>
      <c r="F17289">
        <v>155812805</v>
      </c>
      <c r="G17289">
        <v>155812857</v>
      </c>
      <c r="H17289">
        <v>155812859</v>
      </c>
      <c r="I17289">
        <v>155812883</v>
      </c>
    </row>
    <row r="17290" spans="1:9" x14ac:dyDescent="0.2">
      <c r="A17290" t="str">
        <f>"Qsox2"</f>
        <v>Qsox2</v>
      </c>
      <c r="B17290" t="s">
        <v>14</v>
      </c>
      <c r="C17290" t="s">
        <v>26</v>
      </c>
      <c r="D17290" t="s">
        <v>11</v>
      </c>
      <c r="E17290" t="s">
        <v>12</v>
      </c>
      <c r="F17290">
        <v>26237368</v>
      </c>
      <c r="G17290">
        <v>26237386</v>
      </c>
      <c r="H17290">
        <v>26237348</v>
      </c>
      <c r="I17290">
        <v>26237367</v>
      </c>
    </row>
    <row r="17291" spans="1:9" x14ac:dyDescent="0.2">
      <c r="A17291" t="str">
        <f>"Qtrt1"</f>
        <v>Qtrt1</v>
      </c>
      <c r="B17291" t="s">
        <v>14</v>
      </c>
      <c r="C17291" t="s">
        <v>24</v>
      </c>
      <c r="D17291" t="s">
        <v>17</v>
      </c>
      <c r="E17291" t="s">
        <v>12</v>
      </c>
      <c r="F17291">
        <v>21411824</v>
      </c>
      <c r="G17291">
        <v>21411853</v>
      </c>
      <c r="H17291">
        <v>21411758</v>
      </c>
      <c r="I17291">
        <v>21411759</v>
      </c>
    </row>
    <row r="17292" spans="1:9" x14ac:dyDescent="0.2">
      <c r="A17292" t="str">
        <f>"Qtrtd1"</f>
        <v>Qtrtd1</v>
      </c>
      <c r="B17292" t="s">
        <v>14</v>
      </c>
      <c r="C17292" t="s">
        <v>31</v>
      </c>
      <c r="D17292" t="s">
        <v>11</v>
      </c>
      <c r="E17292" t="s">
        <v>12</v>
      </c>
      <c r="F17292">
        <v>43889642</v>
      </c>
      <c r="G17292">
        <v>43889668</v>
      </c>
      <c r="H17292">
        <v>43889605</v>
      </c>
      <c r="I17292">
        <v>43889641</v>
      </c>
    </row>
    <row r="17293" spans="1:9" x14ac:dyDescent="0.2">
      <c r="A17293" t="str">
        <f>"R3hcc1"</f>
        <v>R3hcc1</v>
      </c>
      <c r="B17293" t="s">
        <v>14</v>
      </c>
      <c r="C17293" t="s">
        <v>41</v>
      </c>
      <c r="D17293" t="s">
        <v>11</v>
      </c>
      <c r="E17293" t="s">
        <v>12</v>
      </c>
      <c r="F17293">
        <v>69707507</v>
      </c>
      <c r="G17293">
        <v>69707543</v>
      </c>
      <c r="H17293">
        <v>69707546</v>
      </c>
      <c r="I17293">
        <v>69707567</v>
      </c>
    </row>
    <row r="17294" spans="1:9" x14ac:dyDescent="0.2">
      <c r="A17294" t="str">
        <f>"R3hcc1l"</f>
        <v>R3hcc1l</v>
      </c>
      <c r="B17294" t="s">
        <v>14</v>
      </c>
      <c r="C17294" t="s">
        <v>10</v>
      </c>
      <c r="D17294" t="s">
        <v>17</v>
      </c>
      <c r="E17294" t="s">
        <v>67</v>
      </c>
      <c r="F17294">
        <v>42518795</v>
      </c>
      <c r="G17294">
        <v>42518830</v>
      </c>
      <c r="H17294">
        <v>42518770</v>
      </c>
      <c r="I17294">
        <v>42518794</v>
      </c>
    </row>
    <row r="17295" spans="1:9" x14ac:dyDescent="0.2">
      <c r="A17295" t="str">
        <f>"R3hdm1"</f>
        <v>R3hdm1</v>
      </c>
      <c r="B17295" t="s">
        <v>14</v>
      </c>
      <c r="C17295" t="s">
        <v>19</v>
      </c>
      <c r="D17295" t="s">
        <v>17</v>
      </c>
      <c r="E17295" t="s">
        <v>12</v>
      </c>
      <c r="F17295">
        <v>128103312</v>
      </c>
      <c r="G17295">
        <v>128103360</v>
      </c>
      <c r="H17295">
        <v>128103312</v>
      </c>
      <c r="I17295">
        <v>128103360</v>
      </c>
    </row>
    <row r="17296" spans="1:9" x14ac:dyDescent="0.2">
      <c r="A17296" t="str">
        <f>"R3hdm2"</f>
        <v>R3hdm2</v>
      </c>
      <c r="B17296" t="s">
        <v>5642</v>
      </c>
      <c r="C17296" t="s">
        <v>15</v>
      </c>
      <c r="D17296" t="s">
        <v>17</v>
      </c>
      <c r="E17296" t="s">
        <v>20</v>
      </c>
      <c r="F17296">
        <v>127444310</v>
      </c>
      <c r="G17296">
        <v>127444310</v>
      </c>
      <c r="H17296">
        <v>127444310</v>
      </c>
      <c r="I17296">
        <v>127444310</v>
      </c>
    </row>
    <row r="17297" spans="1:9" x14ac:dyDescent="0.2">
      <c r="A17297" t="str">
        <f>"R3hdm4"</f>
        <v>R3hdm4</v>
      </c>
      <c r="B17297" t="s">
        <v>14</v>
      </c>
      <c r="C17297" t="s">
        <v>15</v>
      </c>
      <c r="D17297" t="s">
        <v>11</v>
      </c>
      <c r="E17297" t="s">
        <v>67</v>
      </c>
      <c r="F17297">
        <v>79916912</v>
      </c>
      <c r="G17297">
        <v>79916945</v>
      </c>
      <c r="H17297">
        <v>79916878</v>
      </c>
      <c r="I17297">
        <v>79916906</v>
      </c>
    </row>
    <row r="17298" spans="1:9" x14ac:dyDescent="0.2">
      <c r="A17298" t="str">
        <f>"R3hdml"</f>
        <v>R3hdml</v>
      </c>
      <c r="B17298" t="s">
        <v>14</v>
      </c>
      <c r="C17298" t="s">
        <v>26</v>
      </c>
      <c r="D17298" t="s">
        <v>17</v>
      </c>
      <c r="E17298" t="s">
        <v>12</v>
      </c>
      <c r="F17298">
        <v>163492348</v>
      </c>
      <c r="G17298">
        <v>163492391</v>
      </c>
      <c r="H17298">
        <v>163492348</v>
      </c>
      <c r="I17298">
        <v>163492391</v>
      </c>
    </row>
    <row r="17299" spans="1:9" x14ac:dyDescent="0.2">
      <c r="A17299" t="str">
        <f>"RNF8"</f>
        <v>RNF8</v>
      </c>
      <c r="B17299" t="s">
        <v>14</v>
      </c>
      <c r="C17299" t="s">
        <v>28</v>
      </c>
      <c r="D17299" t="s">
        <v>17</v>
      </c>
      <c r="E17299" t="s">
        <v>67</v>
      </c>
      <c r="F17299">
        <v>29614848</v>
      </c>
      <c r="G17299">
        <v>29614928</v>
      </c>
      <c r="H17299">
        <v>29614800</v>
      </c>
      <c r="I17299">
        <v>29614844</v>
      </c>
    </row>
    <row r="17300" spans="1:9" x14ac:dyDescent="0.2">
      <c r="A17300" t="str">
        <f>"RP23-220D12.12"</f>
        <v>RP23-220D12.12</v>
      </c>
      <c r="B17300" t="s">
        <v>14</v>
      </c>
      <c r="C17300" t="s">
        <v>26</v>
      </c>
      <c r="D17300" t="s">
        <v>11</v>
      </c>
      <c r="E17300" t="s">
        <v>67</v>
      </c>
      <c r="F17300">
        <v>156111913</v>
      </c>
      <c r="G17300">
        <v>156111940</v>
      </c>
      <c r="H17300">
        <v>156111954</v>
      </c>
      <c r="I17300">
        <v>156111965</v>
      </c>
    </row>
    <row r="17301" spans="1:9" x14ac:dyDescent="0.2">
      <c r="A17301" t="str">
        <f>"RP23-242C19.7"</f>
        <v>RP23-242C19.7</v>
      </c>
      <c r="B17301" t="s">
        <v>14</v>
      </c>
      <c r="C17301" t="s">
        <v>27</v>
      </c>
      <c r="D17301" t="s">
        <v>11</v>
      </c>
      <c r="E17301" t="s">
        <v>67</v>
      </c>
      <c r="F17301">
        <v>22982252</v>
      </c>
      <c r="G17301">
        <v>22982291</v>
      </c>
      <c r="H17301">
        <v>22982109</v>
      </c>
      <c r="I17301">
        <v>22982123</v>
      </c>
    </row>
    <row r="17302" spans="1:9" x14ac:dyDescent="0.2">
      <c r="A17302" t="str">
        <f>"RP23-386P10.11"</f>
        <v>RP23-386P10.11</v>
      </c>
      <c r="B17302" t="s">
        <v>14</v>
      </c>
      <c r="C17302" t="s">
        <v>15</v>
      </c>
      <c r="D17302" t="s">
        <v>17</v>
      </c>
      <c r="E17302" t="s">
        <v>67</v>
      </c>
      <c r="F17302">
        <v>127759754</v>
      </c>
      <c r="G17302">
        <v>127759766</v>
      </c>
      <c r="H17302">
        <v>127759780</v>
      </c>
      <c r="I17302">
        <v>127759801</v>
      </c>
    </row>
    <row r="17303" spans="1:9" x14ac:dyDescent="0.2">
      <c r="A17303" t="str">
        <f>"RP23-395P6.9"</f>
        <v>RP23-395P6.9</v>
      </c>
      <c r="B17303" t="s">
        <v>5643</v>
      </c>
      <c r="C17303" t="s">
        <v>26</v>
      </c>
      <c r="D17303" t="s">
        <v>17</v>
      </c>
      <c r="E17303" t="s">
        <v>20</v>
      </c>
      <c r="F17303">
        <v>30281042</v>
      </c>
      <c r="G17303">
        <v>30281042</v>
      </c>
      <c r="H17303">
        <v>30281042</v>
      </c>
      <c r="I17303">
        <v>30281042</v>
      </c>
    </row>
    <row r="17304" spans="1:9" x14ac:dyDescent="0.2">
      <c r="A17304" t="str">
        <f>"RP24-234J3.4"</f>
        <v>RP24-234J3.4</v>
      </c>
      <c r="B17304" t="s">
        <v>14</v>
      </c>
      <c r="C17304" t="s">
        <v>16</v>
      </c>
      <c r="D17304" t="s">
        <v>11</v>
      </c>
      <c r="E17304" t="s">
        <v>67</v>
      </c>
      <c r="F17304">
        <v>102757769</v>
      </c>
      <c r="G17304">
        <v>102757809</v>
      </c>
      <c r="H17304">
        <v>102757899</v>
      </c>
      <c r="I17304">
        <v>102757933</v>
      </c>
    </row>
    <row r="17305" spans="1:9" x14ac:dyDescent="0.2">
      <c r="A17305" t="str">
        <f>"RP24-242F4.8"</f>
        <v>RP24-242F4.8</v>
      </c>
      <c r="B17305" t="s">
        <v>14</v>
      </c>
      <c r="C17305" t="s">
        <v>39</v>
      </c>
      <c r="D17305" t="s">
        <v>11</v>
      </c>
      <c r="E17305" t="s">
        <v>67</v>
      </c>
      <c r="F17305">
        <v>67375762</v>
      </c>
      <c r="G17305">
        <v>67375803</v>
      </c>
      <c r="H17305">
        <v>67375729</v>
      </c>
      <c r="I17305">
        <v>67375757</v>
      </c>
    </row>
    <row r="17306" spans="1:9" x14ac:dyDescent="0.2">
      <c r="A17306" t="str">
        <f>"RP24-242F4.9"</f>
        <v>RP24-242F4.9</v>
      </c>
      <c r="B17306" t="s">
        <v>14</v>
      </c>
      <c r="C17306" t="s">
        <v>39</v>
      </c>
      <c r="D17306" t="s">
        <v>11</v>
      </c>
      <c r="E17306" t="s">
        <v>67</v>
      </c>
      <c r="F17306">
        <v>67360554</v>
      </c>
      <c r="G17306">
        <v>67360595</v>
      </c>
      <c r="H17306">
        <v>67360608</v>
      </c>
      <c r="I17306">
        <v>67360630</v>
      </c>
    </row>
    <row r="17307" spans="1:9" x14ac:dyDescent="0.2">
      <c r="A17307" t="str">
        <f>"RP24-315D19.2"</f>
        <v>RP24-315D19.2</v>
      </c>
      <c r="B17307" t="s">
        <v>14</v>
      </c>
      <c r="C17307" t="s">
        <v>32</v>
      </c>
      <c r="D17307" t="s">
        <v>17</v>
      </c>
      <c r="E17307" t="s">
        <v>67</v>
      </c>
      <c r="F17307">
        <v>48718637</v>
      </c>
      <c r="G17307">
        <v>48718664</v>
      </c>
      <c r="H17307">
        <v>48718625</v>
      </c>
      <c r="I17307">
        <v>48718633</v>
      </c>
    </row>
    <row r="17308" spans="1:9" x14ac:dyDescent="0.2">
      <c r="A17308" t="str">
        <f>"RP24-456G3.3"</f>
        <v>RP24-456G3.3</v>
      </c>
      <c r="B17308" t="s">
        <v>5644</v>
      </c>
      <c r="C17308" t="s">
        <v>33</v>
      </c>
      <c r="D17308" t="s">
        <v>11</v>
      </c>
      <c r="E17308" t="s">
        <v>20</v>
      </c>
      <c r="F17308">
        <v>14333556</v>
      </c>
      <c r="G17308">
        <v>14333556</v>
      </c>
      <c r="H17308">
        <v>14333556</v>
      </c>
      <c r="I17308">
        <v>14333556</v>
      </c>
    </row>
    <row r="17309" spans="1:9" x14ac:dyDescent="0.2">
      <c r="A17309" t="str">
        <f>"RPL24"</f>
        <v>RPL24</v>
      </c>
      <c r="B17309" t="s">
        <v>5645</v>
      </c>
      <c r="C17309" t="s">
        <v>31</v>
      </c>
      <c r="D17309" t="s">
        <v>17</v>
      </c>
      <c r="E17309" t="s">
        <v>35</v>
      </c>
      <c r="F17309">
        <v>55966294</v>
      </c>
      <c r="G17309">
        <v>55966334</v>
      </c>
      <c r="H17309">
        <v>55966457</v>
      </c>
      <c r="I17309">
        <v>55966472</v>
      </c>
    </row>
    <row r="17310" spans="1:9" x14ac:dyDescent="0.2">
      <c r="A17310" t="str">
        <f>"Rab1"</f>
        <v>Rab1</v>
      </c>
      <c r="B17310" t="s">
        <v>14</v>
      </c>
      <c r="C17310" t="s">
        <v>27</v>
      </c>
      <c r="D17310" t="s">
        <v>17</v>
      </c>
      <c r="E17310" t="s">
        <v>12</v>
      </c>
      <c r="F17310">
        <v>20201406</v>
      </c>
      <c r="G17310">
        <v>20201448</v>
      </c>
      <c r="H17310">
        <v>20201261</v>
      </c>
      <c r="I17310">
        <v>20201304</v>
      </c>
    </row>
    <row r="17311" spans="1:9" x14ac:dyDescent="0.2">
      <c r="A17311" t="str">
        <f>"Rab10"</f>
        <v>Rab10</v>
      </c>
      <c r="B17311" t="s">
        <v>14</v>
      </c>
      <c r="C17311" t="s">
        <v>16</v>
      </c>
      <c r="D17311" t="s">
        <v>11</v>
      </c>
      <c r="E17311" t="s">
        <v>12</v>
      </c>
      <c r="F17311">
        <v>3309912</v>
      </c>
      <c r="G17311">
        <v>3309975</v>
      </c>
      <c r="H17311">
        <v>3309551</v>
      </c>
      <c r="I17311">
        <v>3309674</v>
      </c>
    </row>
    <row r="17312" spans="1:9" x14ac:dyDescent="0.2">
      <c r="A17312" t="str">
        <f>"Rab11a"</f>
        <v>Rab11a</v>
      </c>
      <c r="B17312" t="s">
        <v>14</v>
      </c>
      <c r="C17312" t="s">
        <v>24</v>
      </c>
      <c r="D17312" t="s">
        <v>11</v>
      </c>
      <c r="E17312" t="s">
        <v>12</v>
      </c>
      <c r="F17312">
        <v>64737684</v>
      </c>
      <c r="G17312">
        <v>64737763</v>
      </c>
      <c r="H17312">
        <v>64737634</v>
      </c>
      <c r="I17312">
        <v>64737645</v>
      </c>
    </row>
    <row r="17313" spans="1:9" x14ac:dyDescent="0.2">
      <c r="A17313" t="str">
        <f>"Rab11b"</f>
        <v>Rab11b</v>
      </c>
      <c r="B17313" t="s">
        <v>14</v>
      </c>
      <c r="C17313" t="s">
        <v>28</v>
      </c>
      <c r="D17313" t="s">
        <v>11</v>
      </c>
      <c r="E17313" t="s">
        <v>12</v>
      </c>
      <c r="F17313">
        <v>33760315</v>
      </c>
      <c r="G17313">
        <v>33760348</v>
      </c>
      <c r="H17313">
        <v>33760451</v>
      </c>
      <c r="I17313">
        <v>33760498</v>
      </c>
    </row>
    <row r="17314" spans="1:9" x14ac:dyDescent="0.2">
      <c r="A17314" t="str">
        <f>"Rab11fip1"</f>
        <v>Rab11fip1</v>
      </c>
      <c r="B17314" t="s">
        <v>14</v>
      </c>
      <c r="C17314" t="s">
        <v>30</v>
      </c>
      <c r="D17314" t="s">
        <v>11</v>
      </c>
      <c r="E17314" t="s">
        <v>12</v>
      </c>
      <c r="F17314">
        <v>27174623</v>
      </c>
      <c r="G17314">
        <v>27174651</v>
      </c>
      <c r="H17314">
        <v>27174623</v>
      </c>
      <c r="I17314">
        <v>27174651</v>
      </c>
    </row>
    <row r="17315" spans="1:9" x14ac:dyDescent="0.2">
      <c r="A17315" t="str">
        <f>"Rab11fip2"</f>
        <v>Rab11fip2</v>
      </c>
      <c r="B17315" t="s">
        <v>14</v>
      </c>
      <c r="C17315" t="s">
        <v>10</v>
      </c>
      <c r="D17315" t="s">
        <v>11</v>
      </c>
      <c r="E17315" t="s">
        <v>12</v>
      </c>
      <c r="F17315">
        <v>59943647</v>
      </c>
      <c r="G17315">
        <v>59943678</v>
      </c>
      <c r="H17315">
        <v>59943596</v>
      </c>
      <c r="I17315">
        <v>59943638</v>
      </c>
    </row>
    <row r="17316" spans="1:9" x14ac:dyDescent="0.2">
      <c r="A17316" t="str">
        <f>"Rab11fip3"</f>
        <v>Rab11fip3</v>
      </c>
      <c r="B17316" t="s">
        <v>14</v>
      </c>
      <c r="C17316" t="s">
        <v>28</v>
      </c>
      <c r="D17316" t="s">
        <v>11</v>
      </c>
      <c r="E17316" t="s">
        <v>12</v>
      </c>
      <c r="F17316">
        <v>26069475</v>
      </c>
      <c r="G17316">
        <v>26069550</v>
      </c>
      <c r="H17316">
        <v>26069475</v>
      </c>
      <c r="I17316">
        <v>26069550</v>
      </c>
    </row>
    <row r="17317" spans="1:9" x14ac:dyDescent="0.2">
      <c r="A17317" t="str">
        <f>"Rab11fip4"</f>
        <v>Rab11fip4</v>
      </c>
      <c r="B17317" t="s">
        <v>14</v>
      </c>
      <c r="C17317" t="s">
        <v>27</v>
      </c>
      <c r="D17317" t="s">
        <v>17</v>
      </c>
      <c r="E17317" t="s">
        <v>12</v>
      </c>
      <c r="F17317">
        <v>79591120</v>
      </c>
      <c r="G17317">
        <v>79591224</v>
      </c>
      <c r="H17317">
        <v>79591120</v>
      </c>
      <c r="I17317">
        <v>79591224</v>
      </c>
    </row>
    <row r="17318" spans="1:9" x14ac:dyDescent="0.2">
      <c r="A17318" t="str">
        <f>"Rab11fip5"</f>
        <v>Rab11fip5</v>
      </c>
      <c r="B17318" t="s">
        <v>14</v>
      </c>
      <c r="C17318" t="s">
        <v>32</v>
      </c>
      <c r="D17318" t="s">
        <v>11</v>
      </c>
      <c r="E17318" t="s">
        <v>12</v>
      </c>
      <c r="F17318">
        <v>85374606</v>
      </c>
      <c r="G17318">
        <v>85374664</v>
      </c>
      <c r="H17318">
        <v>85374679</v>
      </c>
      <c r="I17318">
        <v>85374704</v>
      </c>
    </row>
    <row r="17319" spans="1:9" x14ac:dyDescent="0.2">
      <c r="A17319" t="str">
        <f>"Rab12"</f>
        <v>Rab12</v>
      </c>
      <c r="B17319" t="s">
        <v>14</v>
      </c>
      <c r="C17319" t="s">
        <v>28</v>
      </c>
      <c r="D17319" t="s">
        <v>11</v>
      </c>
      <c r="E17319" t="s">
        <v>12</v>
      </c>
      <c r="F17319">
        <v>66519666</v>
      </c>
      <c r="G17319">
        <v>66519727</v>
      </c>
      <c r="H17319">
        <v>66519734</v>
      </c>
      <c r="I17319">
        <v>66519746</v>
      </c>
    </row>
    <row r="17320" spans="1:9" x14ac:dyDescent="0.2">
      <c r="A17320" t="str">
        <f>"Rab13"</f>
        <v>Rab13</v>
      </c>
      <c r="B17320" t="s">
        <v>14</v>
      </c>
      <c r="C17320" t="s">
        <v>22</v>
      </c>
      <c r="D17320" t="s">
        <v>17</v>
      </c>
      <c r="E17320" t="s">
        <v>12</v>
      </c>
      <c r="F17320">
        <v>90220881</v>
      </c>
      <c r="G17320">
        <v>90220897</v>
      </c>
      <c r="H17320">
        <v>90220783</v>
      </c>
      <c r="I17320">
        <v>90220830</v>
      </c>
    </row>
    <row r="17321" spans="1:9" x14ac:dyDescent="0.2">
      <c r="A17321" t="str">
        <f>"Rab14"</f>
        <v>Rab14</v>
      </c>
      <c r="B17321" t="s">
        <v>14</v>
      </c>
      <c r="C17321" t="s">
        <v>26</v>
      </c>
      <c r="D17321" t="s">
        <v>11</v>
      </c>
      <c r="E17321" t="s">
        <v>12</v>
      </c>
      <c r="F17321">
        <v>35200923</v>
      </c>
      <c r="G17321">
        <v>35201069</v>
      </c>
      <c r="H17321">
        <v>35200796</v>
      </c>
      <c r="I17321">
        <v>35200825</v>
      </c>
    </row>
    <row r="17322" spans="1:9" x14ac:dyDescent="0.2">
      <c r="A17322" t="str">
        <f>"Rab15"</f>
        <v>Rab15</v>
      </c>
      <c r="B17322" t="s">
        <v>14</v>
      </c>
      <c r="C17322" t="s">
        <v>16</v>
      </c>
      <c r="D17322" t="s">
        <v>11</v>
      </c>
      <c r="E17322" t="s">
        <v>12</v>
      </c>
      <c r="F17322">
        <v>76822465</v>
      </c>
      <c r="G17322">
        <v>76822508</v>
      </c>
      <c r="H17322">
        <v>76822510</v>
      </c>
      <c r="I17322">
        <v>76822558</v>
      </c>
    </row>
    <row r="17323" spans="1:9" x14ac:dyDescent="0.2">
      <c r="A17323" t="str">
        <f>"Rab17"</f>
        <v>Rab17</v>
      </c>
      <c r="B17323" t="s">
        <v>14</v>
      </c>
      <c r="C17323" t="s">
        <v>19</v>
      </c>
      <c r="D17323" t="s">
        <v>11</v>
      </c>
      <c r="E17323" t="s">
        <v>12</v>
      </c>
      <c r="F17323">
        <v>90969429</v>
      </c>
      <c r="G17323">
        <v>90969471</v>
      </c>
      <c r="H17323">
        <v>90969383</v>
      </c>
      <c r="I17323">
        <v>90969402</v>
      </c>
    </row>
    <row r="17324" spans="1:9" x14ac:dyDescent="0.2">
      <c r="A17324" t="str">
        <f>"Rab18"</f>
        <v>Rab18</v>
      </c>
      <c r="B17324" t="s">
        <v>14</v>
      </c>
      <c r="C17324" t="s">
        <v>43</v>
      </c>
      <c r="D17324" t="s">
        <v>17</v>
      </c>
      <c r="E17324" t="s">
        <v>12</v>
      </c>
      <c r="F17324">
        <v>6765171</v>
      </c>
      <c r="G17324">
        <v>6765220</v>
      </c>
      <c r="H17324">
        <v>6765226</v>
      </c>
      <c r="I17324">
        <v>6765254</v>
      </c>
    </row>
    <row r="17325" spans="1:9" x14ac:dyDescent="0.2">
      <c r="A17325" t="str">
        <f>"Rab19"</f>
        <v>Rab19</v>
      </c>
      <c r="B17325" t="s">
        <v>14</v>
      </c>
      <c r="C17325" t="s">
        <v>32</v>
      </c>
      <c r="D17325" t="s">
        <v>17</v>
      </c>
      <c r="E17325" t="s">
        <v>12</v>
      </c>
      <c r="F17325">
        <v>39381386</v>
      </c>
      <c r="G17325">
        <v>39381411</v>
      </c>
      <c r="H17325">
        <v>39381347</v>
      </c>
      <c r="I17325">
        <v>39381366</v>
      </c>
    </row>
    <row r="17326" spans="1:9" x14ac:dyDescent="0.2">
      <c r="A17326" t="str">
        <f>"Rab1b"</f>
        <v>Rab1b</v>
      </c>
      <c r="B17326" t="s">
        <v>14</v>
      </c>
      <c r="C17326" t="s">
        <v>10</v>
      </c>
      <c r="D17326" t="s">
        <v>11</v>
      </c>
      <c r="E17326" t="s">
        <v>12</v>
      </c>
      <c r="F17326">
        <v>5106967</v>
      </c>
      <c r="G17326">
        <v>5107023</v>
      </c>
      <c r="H17326">
        <v>5107027</v>
      </c>
      <c r="I17326">
        <v>5107038</v>
      </c>
    </row>
    <row r="17327" spans="1:9" x14ac:dyDescent="0.2">
      <c r="A17327" t="str">
        <f>"Rab20"</f>
        <v>Rab20</v>
      </c>
      <c r="B17327" t="s">
        <v>14</v>
      </c>
      <c r="C17327" t="s">
        <v>30</v>
      </c>
      <c r="D17327" t="s">
        <v>11</v>
      </c>
      <c r="E17327" t="s">
        <v>12</v>
      </c>
      <c r="F17327">
        <v>11478618</v>
      </c>
      <c r="G17327">
        <v>11478668</v>
      </c>
      <c r="H17327">
        <v>11478672</v>
      </c>
      <c r="I17327">
        <v>11478680</v>
      </c>
    </row>
    <row r="17328" spans="1:9" x14ac:dyDescent="0.2">
      <c r="A17328" t="str">
        <f>"Rab21"</f>
        <v>Rab21</v>
      </c>
      <c r="B17328" t="s">
        <v>14</v>
      </c>
      <c r="C17328" t="s">
        <v>15</v>
      </c>
      <c r="D17328" t="s">
        <v>11</v>
      </c>
      <c r="E17328" t="s">
        <v>12</v>
      </c>
      <c r="F17328">
        <v>115315546</v>
      </c>
      <c r="G17328">
        <v>115315615</v>
      </c>
      <c r="H17328">
        <v>115315507</v>
      </c>
      <c r="I17328">
        <v>115315522</v>
      </c>
    </row>
    <row r="17329" spans="1:9" x14ac:dyDescent="0.2">
      <c r="A17329" t="str">
        <f>"Rab22a"</f>
        <v>Rab22a</v>
      </c>
      <c r="B17329" t="s">
        <v>14</v>
      </c>
      <c r="C17329" t="s">
        <v>26</v>
      </c>
      <c r="D17329" t="s">
        <v>17</v>
      </c>
      <c r="E17329" t="s">
        <v>12</v>
      </c>
      <c r="F17329">
        <v>173659834</v>
      </c>
      <c r="G17329">
        <v>173659871</v>
      </c>
      <c r="H17329">
        <v>173659807</v>
      </c>
      <c r="I17329">
        <v>173659816</v>
      </c>
    </row>
    <row r="17330" spans="1:9" x14ac:dyDescent="0.2">
      <c r="A17330" t="str">
        <f>"Rab23"</f>
        <v>Rab23</v>
      </c>
      <c r="B17330" t="s">
        <v>14</v>
      </c>
      <c r="C17330" t="s">
        <v>19</v>
      </c>
      <c r="D17330" t="s">
        <v>17</v>
      </c>
      <c r="E17330" t="s">
        <v>12</v>
      </c>
      <c r="F17330">
        <v>33719903</v>
      </c>
      <c r="G17330">
        <v>33719945</v>
      </c>
      <c r="H17330">
        <v>33719863</v>
      </c>
      <c r="I17330">
        <v>33719901</v>
      </c>
    </row>
    <row r="17331" spans="1:9" x14ac:dyDescent="0.2">
      <c r="A17331" t="str">
        <f>"Rab24"</f>
        <v>Rab24</v>
      </c>
      <c r="B17331" t="s">
        <v>14</v>
      </c>
      <c r="C17331" t="s">
        <v>39</v>
      </c>
      <c r="D17331" t="s">
        <v>11</v>
      </c>
      <c r="E17331" t="s">
        <v>12</v>
      </c>
      <c r="F17331">
        <v>55321928</v>
      </c>
      <c r="G17331">
        <v>55321974</v>
      </c>
      <c r="H17331">
        <v>55321897</v>
      </c>
      <c r="I17331">
        <v>55321911</v>
      </c>
    </row>
    <row r="17332" spans="1:9" x14ac:dyDescent="0.2">
      <c r="A17332" t="str">
        <f>"Rab25"</f>
        <v>Rab25</v>
      </c>
      <c r="B17332" t="s">
        <v>14</v>
      </c>
      <c r="C17332" t="s">
        <v>22</v>
      </c>
      <c r="D17332" t="s">
        <v>11</v>
      </c>
      <c r="E17332" t="s">
        <v>12</v>
      </c>
      <c r="F17332">
        <v>88548264</v>
      </c>
      <c r="G17332">
        <v>88548311</v>
      </c>
      <c r="H17332">
        <v>88548264</v>
      </c>
      <c r="I17332">
        <v>88548311</v>
      </c>
    </row>
    <row r="17333" spans="1:9" x14ac:dyDescent="0.2">
      <c r="A17333" t="str">
        <f>"Rab26"</f>
        <v>Rab26</v>
      </c>
      <c r="B17333" t="s">
        <v>14</v>
      </c>
      <c r="C17333" t="s">
        <v>28</v>
      </c>
      <c r="D17333" t="s">
        <v>11</v>
      </c>
      <c r="E17333" t="s">
        <v>12</v>
      </c>
      <c r="F17333">
        <v>24533709</v>
      </c>
      <c r="G17333">
        <v>24533732</v>
      </c>
      <c r="H17333">
        <v>24533703</v>
      </c>
      <c r="I17333">
        <v>24533708</v>
      </c>
    </row>
    <row r="17334" spans="1:9" x14ac:dyDescent="0.2">
      <c r="A17334" t="str">
        <f>"Rab27a"</f>
        <v>Rab27a</v>
      </c>
      <c r="B17334" t="s">
        <v>14</v>
      </c>
      <c r="C17334" t="s">
        <v>24</v>
      </c>
      <c r="D17334" t="s">
        <v>17</v>
      </c>
      <c r="E17334" t="s">
        <v>12</v>
      </c>
      <c r="F17334">
        <v>73044833</v>
      </c>
      <c r="G17334">
        <v>73044864</v>
      </c>
      <c r="H17334">
        <v>73044886</v>
      </c>
      <c r="I17334">
        <v>73044908</v>
      </c>
    </row>
    <row r="17335" spans="1:9" x14ac:dyDescent="0.2">
      <c r="A17335" t="str">
        <f>"Rab27b"</f>
        <v>Rab27b</v>
      </c>
      <c r="B17335" t="s">
        <v>9</v>
      </c>
      <c r="C17335" t="s">
        <v>43</v>
      </c>
      <c r="D17335" t="s">
        <v>11</v>
      </c>
      <c r="E17335" t="s">
        <v>12</v>
      </c>
      <c r="F17335">
        <v>70053334</v>
      </c>
      <c r="G17335">
        <v>70053427</v>
      </c>
      <c r="H17335">
        <v>70053334</v>
      </c>
      <c r="I17335">
        <v>70053427</v>
      </c>
    </row>
    <row r="17336" spans="1:9" x14ac:dyDescent="0.2">
      <c r="A17336" t="str">
        <f>"Rab27b"</f>
        <v>Rab27b</v>
      </c>
      <c r="B17336" t="s">
        <v>13</v>
      </c>
      <c r="C17336" t="s">
        <v>43</v>
      </c>
      <c r="D17336" t="s">
        <v>11</v>
      </c>
      <c r="E17336" t="s">
        <v>12</v>
      </c>
      <c r="F17336">
        <v>70141568</v>
      </c>
      <c r="G17336">
        <v>70141622</v>
      </c>
      <c r="H17336">
        <v>70141568</v>
      </c>
      <c r="I17336">
        <v>70141622</v>
      </c>
    </row>
    <row r="17337" spans="1:9" x14ac:dyDescent="0.2">
      <c r="A17337" t="str">
        <f>"Rab28"</f>
        <v>Rab28</v>
      </c>
      <c r="B17337" t="s">
        <v>14</v>
      </c>
      <c r="C17337" t="s">
        <v>46</v>
      </c>
      <c r="D17337" t="s">
        <v>11</v>
      </c>
      <c r="E17337" t="s">
        <v>12</v>
      </c>
      <c r="F17337">
        <v>41708135</v>
      </c>
      <c r="G17337">
        <v>41708170</v>
      </c>
      <c r="H17337">
        <v>41707969</v>
      </c>
      <c r="I17337">
        <v>41708014</v>
      </c>
    </row>
    <row r="17338" spans="1:9" x14ac:dyDescent="0.2">
      <c r="A17338" t="str">
        <f>"Rab2a"</f>
        <v>Rab2a</v>
      </c>
      <c r="B17338" t="s">
        <v>14</v>
      </c>
      <c r="C17338" t="s">
        <v>23</v>
      </c>
      <c r="D17338" t="s">
        <v>17</v>
      </c>
      <c r="E17338" t="s">
        <v>12</v>
      </c>
      <c r="F17338">
        <v>8535604</v>
      </c>
      <c r="G17338">
        <v>8535717</v>
      </c>
      <c r="H17338">
        <v>8535818</v>
      </c>
      <c r="I17338">
        <v>8535851</v>
      </c>
    </row>
    <row r="17339" spans="1:9" x14ac:dyDescent="0.2">
      <c r="A17339" t="str">
        <f>"Rab2b"</f>
        <v>Rab2b</v>
      </c>
      <c r="B17339" t="s">
        <v>14</v>
      </c>
      <c r="C17339" t="s">
        <v>41</v>
      </c>
      <c r="D17339" t="s">
        <v>11</v>
      </c>
      <c r="E17339" t="s">
        <v>12</v>
      </c>
      <c r="F17339">
        <v>52279238</v>
      </c>
      <c r="G17339">
        <v>52279339</v>
      </c>
      <c r="H17339">
        <v>52279346</v>
      </c>
      <c r="I17339">
        <v>52279359</v>
      </c>
    </row>
    <row r="17340" spans="1:9" x14ac:dyDescent="0.2">
      <c r="A17340" t="str">
        <f>"Rab30"</f>
        <v>Rab30</v>
      </c>
      <c r="B17340" t="s">
        <v>14</v>
      </c>
      <c r="C17340" t="s">
        <v>33</v>
      </c>
      <c r="D17340" t="s">
        <v>17</v>
      </c>
      <c r="E17340" t="s">
        <v>12</v>
      </c>
      <c r="F17340">
        <v>92741632</v>
      </c>
      <c r="G17340">
        <v>92741715</v>
      </c>
      <c r="H17340">
        <v>92741632</v>
      </c>
      <c r="I17340">
        <v>92741715</v>
      </c>
    </row>
    <row r="17341" spans="1:9" x14ac:dyDescent="0.2">
      <c r="A17341" t="str">
        <f>"Rab31"</f>
        <v>Rab31</v>
      </c>
      <c r="B17341" t="s">
        <v>14</v>
      </c>
      <c r="C17341" t="s">
        <v>28</v>
      </c>
      <c r="D17341" t="s">
        <v>11</v>
      </c>
      <c r="E17341" t="s">
        <v>12</v>
      </c>
      <c r="F17341">
        <v>65772635</v>
      </c>
      <c r="G17341">
        <v>65772650</v>
      </c>
      <c r="H17341">
        <v>65772665</v>
      </c>
      <c r="I17341">
        <v>65772676</v>
      </c>
    </row>
    <row r="17342" spans="1:9" x14ac:dyDescent="0.2">
      <c r="A17342" t="str">
        <f>"Rab32"</f>
        <v>Rab32</v>
      </c>
      <c r="B17342" t="s">
        <v>14</v>
      </c>
      <c r="C17342" t="s">
        <v>15</v>
      </c>
      <c r="D17342" t="s">
        <v>11</v>
      </c>
      <c r="E17342" t="s">
        <v>12</v>
      </c>
      <c r="F17342">
        <v>10558131</v>
      </c>
      <c r="G17342">
        <v>10558190</v>
      </c>
      <c r="H17342">
        <v>10558199</v>
      </c>
      <c r="I17342">
        <v>10558250</v>
      </c>
    </row>
    <row r="17343" spans="1:9" x14ac:dyDescent="0.2">
      <c r="A17343" t="str">
        <f>"Rab33a"</f>
        <v>Rab33a</v>
      </c>
      <c r="B17343" t="s">
        <v>14</v>
      </c>
      <c r="C17343" t="s">
        <v>37</v>
      </c>
      <c r="D17343" t="s">
        <v>17</v>
      </c>
      <c r="E17343" t="s">
        <v>12</v>
      </c>
      <c r="F17343">
        <v>48519412</v>
      </c>
      <c r="G17343">
        <v>48519474</v>
      </c>
      <c r="H17343">
        <v>48519476</v>
      </c>
      <c r="I17343">
        <v>48519523</v>
      </c>
    </row>
    <row r="17344" spans="1:9" x14ac:dyDescent="0.2">
      <c r="A17344" t="str">
        <f>"Rab33b"</f>
        <v>Rab33b</v>
      </c>
      <c r="B17344" t="s">
        <v>14</v>
      </c>
      <c r="C17344" t="s">
        <v>22</v>
      </c>
      <c r="D17344" t="s">
        <v>17</v>
      </c>
      <c r="E17344" t="s">
        <v>12</v>
      </c>
      <c r="F17344">
        <v>51484184</v>
      </c>
      <c r="G17344">
        <v>51484260</v>
      </c>
      <c r="H17344">
        <v>51483969</v>
      </c>
      <c r="I17344">
        <v>51483999</v>
      </c>
    </row>
    <row r="17345" spans="1:9" x14ac:dyDescent="0.2">
      <c r="A17345" t="str">
        <f>"Rab34"</f>
        <v>Rab34</v>
      </c>
      <c r="B17345" t="s">
        <v>14</v>
      </c>
      <c r="C17345" t="s">
        <v>27</v>
      </c>
      <c r="D17345" t="s">
        <v>17</v>
      </c>
      <c r="E17345" t="s">
        <v>12</v>
      </c>
      <c r="F17345">
        <v>78188452</v>
      </c>
      <c r="G17345">
        <v>78188483</v>
      </c>
      <c r="H17345">
        <v>78188737</v>
      </c>
      <c r="I17345">
        <v>78188787</v>
      </c>
    </row>
    <row r="17346" spans="1:9" x14ac:dyDescent="0.2">
      <c r="A17346" t="str">
        <f>"Rab35"</f>
        <v>Rab35</v>
      </c>
      <c r="B17346" t="s">
        <v>14</v>
      </c>
      <c r="C17346" t="s">
        <v>46</v>
      </c>
      <c r="D17346" t="s">
        <v>17</v>
      </c>
      <c r="E17346" t="s">
        <v>12</v>
      </c>
      <c r="F17346">
        <v>115631982</v>
      </c>
      <c r="G17346">
        <v>115632033</v>
      </c>
      <c r="H17346">
        <v>115631902</v>
      </c>
      <c r="I17346">
        <v>115631933</v>
      </c>
    </row>
    <row r="17347" spans="1:9" x14ac:dyDescent="0.2">
      <c r="A17347" t="str">
        <f>"Rab36"</f>
        <v>Rab36</v>
      </c>
      <c r="B17347" t="s">
        <v>14</v>
      </c>
      <c r="C17347" t="s">
        <v>15</v>
      </c>
      <c r="D17347" t="s">
        <v>17</v>
      </c>
      <c r="E17347" t="s">
        <v>12</v>
      </c>
      <c r="F17347">
        <v>75037244</v>
      </c>
      <c r="G17347">
        <v>75037288</v>
      </c>
      <c r="H17347">
        <v>75037291</v>
      </c>
      <c r="I17347">
        <v>75037332</v>
      </c>
    </row>
    <row r="17348" spans="1:9" x14ac:dyDescent="0.2">
      <c r="A17348" t="str">
        <f>"Rab37"</f>
        <v>Rab37</v>
      </c>
      <c r="B17348" t="s">
        <v>14</v>
      </c>
      <c r="C17348" t="s">
        <v>27</v>
      </c>
      <c r="D17348" t="s">
        <v>17</v>
      </c>
      <c r="E17348" t="s">
        <v>12</v>
      </c>
      <c r="F17348">
        <v>115154139</v>
      </c>
      <c r="G17348">
        <v>115154194</v>
      </c>
      <c r="H17348">
        <v>115154202</v>
      </c>
      <c r="I17348">
        <v>115154210</v>
      </c>
    </row>
    <row r="17349" spans="1:9" x14ac:dyDescent="0.2">
      <c r="A17349" t="str">
        <f>"Rab38"</f>
        <v>Rab38</v>
      </c>
      <c r="B17349" t="s">
        <v>14</v>
      </c>
      <c r="C17349" t="s">
        <v>33</v>
      </c>
      <c r="D17349" t="s">
        <v>17</v>
      </c>
      <c r="E17349" t="s">
        <v>12</v>
      </c>
      <c r="F17349">
        <v>88430299</v>
      </c>
      <c r="G17349">
        <v>88430320</v>
      </c>
      <c r="H17349">
        <v>88430257</v>
      </c>
      <c r="I17349">
        <v>88430286</v>
      </c>
    </row>
    <row r="17350" spans="1:9" x14ac:dyDescent="0.2">
      <c r="A17350" t="str">
        <f>"Rab39"</f>
        <v>Rab39</v>
      </c>
      <c r="B17350" t="s">
        <v>14</v>
      </c>
      <c r="C17350" t="s">
        <v>24</v>
      </c>
      <c r="D17350" t="s">
        <v>11</v>
      </c>
      <c r="E17350" t="s">
        <v>12</v>
      </c>
      <c r="F17350">
        <v>53706211</v>
      </c>
      <c r="G17350">
        <v>53706251</v>
      </c>
      <c r="H17350">
        <v>53706253</v>
      </c>
      <c r="I17350">
        <v>53706258</v>
      </c>
    </row>
    <row r="17351" spans="1:9" x14ac:dyDescent="0.2">
      <c r="A17351" t="str">
        <f>"Rab39b"</f>
        <v>Rab39b</v>
      </c>
      <c r="B17351" t="s">
        <v>14</v>
      </c>
      <c r="C17351" t="s">
        <v>37</v>
      </c>
      <c r="D17351" t="s">
        <v>11</v>
      </c>
      <c r="E17351" t="s">
        <v>12</v>
      </c>
      <c r="F17351">
        <v>75578188</v>
      </c>
      <c r="G17351">
        <v>75578247</v>
      </c>
      <c r="H17351">
        <v>75578188</v>
      </c>
      <c r="I17351">
        <v>75578247</v>
      </c>
    </row>
    <row r="17352" spans="1:9" x14ac:dyDescent="0.2">
      <c r="A17352" t="str">
        <f>"Rab3a"</f>
        <v>Rab3a</v>
      </c>
      <c r="B17352" t="s">
        <v>9</v>
      </c>
      <c r="C17352" t="s">
        <v>30</v>
      </c>
      <c r="D17352" t="s">
        <v>17</v>
      </c>
      <c r="E17352" t="s">
        <v>12</v>
      </c>
      <c r="F17352">
        <v>70754679</v>
      </c>
      <c r="G17352">
        <v>70754751</v>
      </c>
      <c r="H17352">
        <v>70754679</v>
      </c>
      <c r="I17352">
        <v>70754751</v>
      </c>
    </row>
    <row r="17353" spans="1:9" x14ac:dyDescent="0.2">
      <c r="A17353" t="str">
        <f>"Rab3a"</f>
        <v>Rab3a</v>
      </c>
      <c r="B17353" t="s">
        <v>13</v>
      </c>
      <c r="C17353" t="s">
        <v>30</v>
      </c>
      <c r="D17353" t="s">
        <v>17</v>
      </c>
      <c r="E17353" t="s">
        <v>12</v>
      </c>
      <c r="F17353">
        <v>70756453</v>
      </c>
      <c r="G17353">
        <v>70756473</v>
      </c>
      <c r="H17353">
        <v>70756453</v>
      </c>
      <c r="I17353">
        <v>70756473</v>
      </c>
    </row>
    <row r="17354" spans="1:9" x14ac:dyDescent="0.2">
      <c r="A17354" t="str">
        <f>"Rab3b"</f>
        <v>Rab3b</v>
      </c>
      <c r="B17354" t="s">
        <v>14</v>
      </c>
      <c r="C17354" t="s">
        <v>23</v>
      </c>
      <c r="D17354" t="s">
        <v>17</v>
      </c>
      <c r="E17354" t="s">
        <v>12</v>
      </c>
      <c r="F17354">
        <v>108879092</v>
      </c>
      <c r="G17354">
        <v>108879116</v>
      </c>
      <c r="H17354">
        <v>108879130</v>
      </c>
      <c r="I17354">
        <v>108879141</v>
      </c>
    </row>
    <row r="17355" spans="1:9" x14ac:dyDescent="0.2">
      <c r="A17355" t="str">
        <f>"Rab3c"</f>
        <v>Rab3c</v>
      </c>
      <c r="B17355" t="s">
        <v>14</v>
      </c>
      <c r="C17355" t="s">
        <v>39</v>
      </c>
      <c r="D17355" t="s">
        <v>11</v>
      </c>
      <c r="E17355" t="s">
        <v>12</v>
      </c>
      <c r="F17355">
        <v>110280103</v>
      </c>
      <c r="G17355">
        <v>110280213</v>
      </c>
      <c r="H17355">
        <v>110280991</v>
      </c>
      <c r="I17355">
        <v>110281037</v>
      </c>
    </row>
    <row r="17356" spans="1:9" x14ac:dyDescent="0.2">
      <c r="A17356" t="str">
        <f>"Rab3d"</f>
        <v>Rab3d</v>
      </c>
      <c r="B17356" t="s">
        <v>14</v>
      </c>
      <c r="C17356" t="s">
        <v>24</v>
      </c>
      <c r="D17356" t="s">
        <v>11</v>
      </c>
      <c r="E17356" t="s">
        <v>12</v>
      </c>
      <c r="F17356">
        <v>21918111</v>
      </c>
      <c r="G17356">
        <v>21918158</v>
      </c>
      <c r="H17356">
        <v>21918357</v>
      </c>
      <c r="I17356">
        <v>21918372</v>
      </c>
    </row>
    <row r="17357" spans="1:9" x14ac:dyDescent="0.2">
      <c r="A17357" t="str">
        <f>"Rab3gap1"</f>
        <v>Rab3gap1</v>
      </c>
      <c r="B17357" t="s">
        <v>14</v>
      </c>
      <c r="C17357" t="s">
        <v>19</v>
      </c>
      <c r="D17357" t="s">
        <v>17</v>
      </c>
      <c r="E17357" t="s">
        <v>12</v>
      </c>
      <c r="F17357">
        <v>127868784</v>
      </c>
      <c r="G17357">
        <v>127868807</v>
      </c>
      <c r="H17357">
        <v>127868784</v>
      </c>
      <c r="I17357">
        <v>127868807</v>
      </c>
    </row>
    <row r="17358" spans="1:9" x14ac:dyDescent="0.2">
      <c r="A17358" t="str">
        <f>"Rab3gap2"</f>
        <v>Rab3gap2</v>
      </c>
      <c r="B17358" t="s">
        <v>14</v>
      </c>
      <c r="C17358" t="s">
        <v>19</v>
      </c>
      <c r="D17358" t="s">
        <v>17</v>
      </c>
      <c r="E17358" t="s">
        <v>12</v>
      </c>
      <c r="F17358">
        <v>185204109</v>
      </c>
      <c r="G17358">
        <v>185204163</v>
      </c>
      <c r="H17358">
        <v>185204165</v>
      </c>
      <c r="I17358">
        <v>185204183</v>
      </c>
    </row>
    <row r="17359" spans="1:9" x14ac:dyDescent="0.2">
      <c r="A17359" t="str">
        <f>"Rab3il1"</f>
        <v>Rab3il1</v>
      </c>
      <c r="B17359" t="s">
        <v>9</v>
      </c>
      <c r="C17359" t="s">
        <v>10</v>
      </c>
      <c r="D17359" t="s">
        <v>17</v>
      </c>
      <c r="E17359" t="s">
        <v>12</v>
      </c>
      <c r="F17359">
        <v>10015039</v>
      </c>
      <c r="G17359">
        <v>10015055</v>
      </c>
      <c r="H17359">
        <v>10015039</v>
      </c>
      <c r="I17359">
        <v>10015055</v>
      </c>
    </row>
    <row r="17360" spans="1:9" x14ac:dyDescent="0.2">
      <c r="A17360" t="str">
        <f>"Rab3il1"</f>
        <v>Rab3il1</v>
      </c>
      <c r="B17360" t="s">
        <v>13</v>
      </c>
      <c r="C17360" t="s">
        <v>10</v>
      </c>
      <c r="D17360" t="s">
        <v>17</v>
      </c>
      <c r="E17360" t="s">
        <v>12</v>
      </c>
      <c r="F17360">
        <v>10018241</v>
      </c>
      <c r="G17360">
        <v>10018257</v>
      </c>
      <c r="H17360">
        <v>10018241</v>
      </c>
      <c r="I17360">
        <v>10018257</v>
      </c>
    </row>
    <row r="17361" spans="1:9" x14ac:dyDescent="0.2">
      <c r="A17361" t="str">
        <f>"Rab3ip"</f>
        <v>Rab3ip</v>
      </c>
      <c r="B17361" t="s">
        <v>14</v>
      </c>
      <c r="C17361" t="s">
        <v>15</v>
      </c>
      <c r="D17361" t="s">
        <v>11</v>
      </c>
      <c r="E17361" t="s">
        <v>12</v>
      </c>
      <c r="F17361">
        <v>116950366</v>
      </c>
      <c r="G17361">
        <v>116950432</v>
      </c>
      <c r="H17361">
        <v>116950366</v>
      </c>
      <c r="I17361">
        <v>116950432</v>
      </c>
    </row>
    <row r="17362" spans="1:9" x14ac:dyDescent="0.2">
      <c r="A17362" t="str">
        <f>"Rab40b"</f>
        <v>Rab40b</v>
      </c>
      <c r="B17362" t="s">
        <v>14</v>
      </c>
      <c r="C17362" t="s">
        <v>27</v>
      </c>
      <c r="D17362" t="s">
        <v>11</v>
      </c>
      <c r="E17362" t="s">
        <v>12</v>
      </c>
      <c r="F17362">
        <v>121388186</v>
      </c>
      <c r="G17362">
        <v>121388267</v>
      </c>
      <c r="H17362">
        <v>121388174</v>
      </c>
      <c r="I17362">
        <v>121388184</v>
      </c>
    </row>
    <row r="17363" spans="1:9" x14ac:dyDescent="0.2">
      <c r="A17363" t="str">
        <f>"Rab40c"</f>
        <v>Rab40c</v>
      </c>
      <c r="B17363" t="s">
        <v>14</v>
      </c>
      <c r="C17363" t="s">
        <v>28</v>
      </c>
      <c r="D17363" t="s">
        <v>11</v>
      </c>
      <c r="E17363" t="s">
        <v>12</v>
      </c>
      <c r="F17363">
        <v>25919676</v>
      </c>
      <c r="G17363">
        <v>25919740</v>
      </c>
      <c r="H17363">
        <v>25919556</v>
      </c>
      <c r="I17363">
        <v>25919572</v>
      </c>
    </row>
    <row r="17364" spans="1:9" x14ac:dyDescent="0.2">
      <c r="A17364" t="str">
        <f>"Rab42"</f>
        <v>Rab42</v>
      </c>
      <c r="B17364" t="s">
        <v>14</v>
      </c>
      <c r="C17364" t="s">
        <v>23</v>
      </c>
      <c r="D17364" t="s">
        <v>11</v>
      </c>
      <c r="E17364" t="s">
        <v>67</v>
      </c>
      <c r="F17364">
        <v>132303331</v>
      </c>
      <c r="G17364">
        <v>132303350</v>
      </c>
      <c r="H17364">
        <v>132303367</v>
      </c>
      <c r="I17364">
        <v>132303381</v>
      </c>
    </row>
    <row r="17365" spans="1:9" x14ac:dyDescent="0.2">
      <c r="A17365" t="str">
        <f>"Rab43"</f>
        <v>Rab43</v>
      </c>
      <c r="B17365" t="s">
        <v>14</v>
      </c>
      <c r="C17365" t="s">
        <v>32</v>
      </c>
      <c r="D17365" t="s">
        <v>11</v>
      </c>
      <c r="E17365" t="s">
        <v>12</v>
      </c>
      <c r="F17365">
        <v>87811771</v>
      </c>
      <c r="G17365">
        <v>87811802</v>
      </c>
      <c r="H17365">
        <v>87811810</v>
      </c>
      <c r="I17365">
        <v>87811842</v>
      </c>
    </row>
    <row r="17366" spans="1:9" x14ac:dyDescent="0.2">
      <c r="A17366" t="str">
        <f>"Rab44"</f>
        <v>Rab44</v>
      </c>
      <c r="B17366" t="s">
        <v>14</v>
      </c>
      <c r="C17366" t="s">
        <v>28</v>
      </c>
      <c r="D17366" t="s">
        <v>17</v>
      </c>
      <c r="E17366" t="s">
        <v>12</v>
      </c>
      <c r="F17366">
        <v>29135409</v>
      </c>
      <c r="G17366">
        <v>29135434</v>
      </c>
      <c r="H17366">
        <v>29135409</v>
      </c>
      <c r="I17366">
        <v>29135434</v>
      </c>
    </row>
    <row r="17367" spans="1:9" x14ac:dyDescent="0.2">
      <c r="A17367" t="str">
        <f>"Rab4a"</f>
        <v>Rab4a</v>
      </c>
      <c r="B17367" t="s">
        <v>14</v>
      </c>
      <c r="C17367" t="s">
        <v>30</v>
      </c>
      <c r="D17367" t="s">
        <v>17</v>
      </c>
      <c r="E17367" t="s">
        <v>12</v>
      </c>
      <c r="F17367">
        <v>123805992</v>
      </c>
      <c r="G17367">
        <v>123806037</v>
      </c>
      <c r="H17367">
        <v>123805960</v>
      </c>
      <c r="I17367">
        <v>123805990</v>
      </c>
    </row>
    <row r="17368" spans="1:9" x14ac:dyDescent="0.2">
      <c r="A17368" t="str">
        <f>"Rab4b"</f>
        <v>Rab4b</v>
      </c>
      <c r="B17368" t="s">
        <v>14</v>
      </c>
      <c r="C17368" t="s">
        <v>33</v>
      </c>
      <c r="D17368" t="s">
        <v>11</v>
      </c>
      <c r="E17368" t="s">
        <v>12</v>
      </c>
      <c r="F17368">
        <v>27178835</v>
      </c>
      <c r="G17368">
        <v>27178888</v>
      </c>
      <c r="H17368">
        <v>27178814</v>
      </c>
      <c r="I17368">
        <v>27178829</v>
      </c>
    </row>
    <row r="17369" spans="1:9" x14ac:dyDescent="0.2">
      <c r="A17369" t="str">
        <f>"Rab5a"</f>
        <v>Rab5a</v>
      </c>
      <c r="B17369" t="s">
        <v>14</v>
      </c>
      <c r="C17369" t="s">
        <v>28</v>
      </c>
      <c r="D17369" t="s">
        <v>17</v>
      </c>
      <c r="E17369" t="s">
        <v>12</v>
      </c>
      <c r="F17369">
        <v>53479242</v>
      </c>
      <c r="G17369">
        <v>53479303</v>
      </c>
      <c r="H17369">
        <v>53479337</v>
      </c>
      <c r="I17369">
        <v>53479387</v>
      </c>
    </row>
    <row r="17370" spans="1:9" x14ac:dyDescent="0.2">
      <c r="A17370" t="str">
        <f>"Rab5b"</f>
        <v>Rab5b</v>
      </c>
      <c r="B17370" t="s">
        <v>14</v>
      </c>
      <c r="C17370" t="s">
        <v>15</v>
      </c>
      <c r="D17370" t="s">
        <v>11</v>
      </c>
      <c r="E17370" t="s">
        <v>12</v>
      </c>
      <c r="F17370">
        <v>128696214</v>
      </c>
      <c r="G17370">
        <v>128696256</v>
      </c>
      <c r="H17370">
        <v>128696257</v>
      </c>
      <c r="I17370">
        <v>128696273</v>
      </c>
    </row>
    <row r="17371" spans="1:9" x14ac:dyDescent="0.2">
      <c r="A17371" t="str">
        <f>"Rab5c"</f>
        <v>Rab5c</v>
      </c>
      <c r="B17371" t="s">
        <v>14</v>
      </c>
      <c r="C17371" t="s">
        <v>27</v>
      </c>
      <c r="D17371" t="s">
        <v>11</v>
      </c>
      <c r="E17371" t="s">
        <v>12</v>
      </c>
      <c r="F17371">
        <v>100738153</v>
      </c>
      <c r="G17371">
        <v>100738212</v>
      </c>
      <c r="H17371">
        <v>100738114</v>
      </c>
      <c r="I17371">
        <v>100738140</v>
      </c>
    </row>
    <row r="17372" spans="1:9" x14ac:dyDescent="0.2">
      <c r="A17372" t="str">
        <f>"Rab6a"</f>
        <v>Rab6a</v>
      </c>
      <c r="B17372" t="s">
        <v>14</v>
      </c>
      <c r="C17372" t="s">
        <v>33</v>
      </c>
      <c r="D17372" t="s">
        <v>17</v>
      </c>
      <c r="E17372" t="s">
        <v>12</v>
      </c>
      <c r="F17372">
        <v>100607660</v>
      </c>
      <c r="G17372">
        <v>100607823</v>
      </c>
      <c r="H17372">
        <v>100607556</v>
      </c>
      <c r="I17372">
        <v>100607618</v>
      </c>
    </row>
    <row r="17373" spans="1:9" x14ac:dyDescent="0.2">
      <c r="A17373" t="str">
        <f>"Rab6b"</f>
        <v>Rab6b</v>
      </c>
      <c r="B17373" t="s">
        <v>14</v>
      </c>
      <c r="C17373" t="s">
        <v>24</v>
      </c>
      <c r="D17373" t="s">
        <v>17</v>
      </c>
      <c r="E17373" t="s">
        <v>12</v>
      </c>
      <c r="F17373">
        <v>103111741</v>
      </c>
      <c r="G17373">
        <v>103111866</v>
      </c>
      <c r="H17373">
        <v>103112094</v>
      </c>
      <c r="I17373">
        <v>103112149</v>
      </c>
    </row>
    <row r="17374" spans="1:9" x14ac:dyDescent="0.2">
      <c r="A17374" t="str">
        <f>"Rab7"</f>
        <v>Rab7</v>
      </c>
      <c r="B17374" t="s">
        <v>14</v>
      </c>
      <c r="C17374" t="s">
        <v>32</v>
      </c>
      <c r="D17374" t="s">
        <v>11</v>
      </c>
      <c r="E17374" t="s">
        <v>12</v>
      </c>
      <c r="F17374">
        <v>88045190</v>
      </c>
      <c r="G17374">
        <v>88045268</v>
      </c>
      <c r="H17374">
        <v>88045161</v>
      </c>
      <c r="I17374">
        <v>88045175</v>
      </c>
    </row>
    <row r="17375" spans="1:9" x14ac:dyDescent="0.2">
      <c r="A17375" t="str">
        <f>"Rab7l1"</f>
        <v>Rab7l1</v>
      </c>
      <c r="B17375" t="s">
        <v>14</v>
      </c>
      <c r="C17375" t="s">
        <v>19</v>
      </c>
      <c r="D17375" t="s">
        <v>17</v>
      </c>
      <c r="E17375" t="s">
        <v>12</v>
      </c>
      <c r="F17375">
        <v>131867239</v>
      </c>
      <c r="G17375">
        <v>131867272</v>
      </c>
      <c r="H17375">
        <v>131867486</v>
      </c>
      <c r="I17375">
        <v>131867528</v>
      </c>
    </row>
    <row r="17376" spans="1:9" x14ac:dyDescent="0.2">
      <c r="A17376" t="str">
        <f>"Rab8a"</f>
        <v>Rab8a</v>
      </c>
      <c r="B17376" t="s">
        <v>14</v>
      </c>
      <c r="C17376" t="s">
        <v>30</v>
      </c>
      <c r="D17376" t="s">
        <v>17</v>
      </c>
      <c r="E17376" t="s">
        <v>12</v>
      </c>
      <c r="F17376">
        <v>72161334</v>
      </c>
      <c r="G17376">
        <v>72161369</v>
      </c>
      <c r="H17376">
        <v>72161203</v>
      </c>
      <c r="I17376">
        <v>72161221</v>
      </c>
    </row>
    <row r="17377" spans="1:9" x14ac:dyDescent="0.2">
      <c r="A17377" t="str">
        <f>"Rab8b"</f>
        <v>Rab8b</v>
      </c>
      <c r="B17377" t="s">
        <v>14</v>
      </c>
      <c r="C17377" t="s">
        <v>24</v>
      </c>
      <c r="D17377" t="s">
        <v>11</v>
      </c>
      <c r="E17377" t="s">
        <v>12</v>
      </c>
      <c r="F17377">
        <v>66919646</v>
      </c>
      <c r="G17377">
        <v>66919710</v>
      </c>
      <c r="H17377">
        <v>66919712</v>
      </c>
      <c r="I17377">
        <v>66919721</v>
      </c>
    </row>
    <row r="17378" spans="1:9" x14ac:dyDescent="0.2">
      <c r="A17378" t="str">
        <f>"Rab9"</f>
        <v>Rab9</v>
      </c>
      <c r="B17378" t="s">
        <v>14</v>
      </c>
      <c r="C17378" t="s">
        <v>37</v>
      </c>
      <c r="D17378" t="s">
        <v>11</v>
      </c>
      <c r="E17378" t="s">
        <v>12</v>
      </c>
      <c r="F17378">
        <v>166479633</v>
      </c>
      <c r="G17378">
        <v>166479707</v>
      </c>
      <c r="H17378">
        <v>166479708</v>
      </c>
      <c r="I17378">
        <v>166479714</v>
      </c>
    </row>
    <row r="17379" spans="1:9" x14ac:dyDescent="0.2">
      <c r="A17379" t="str">
        <f>"Rab9b"</f>
        <v>Rab9b</v>
      </c>
      <c r="B17379" t="s">
        <v>14</v>
      </c>
      <c r="C17379" t="s">
        <v>37</v>
      </c>
      <c r="D17379" t="s">
        <v>11</v>
      </c>
      <c r="E17379" t="s">
        <v>12</v>
      </c>
      <c r="F17379">
        <v>136868537</v>
      </c>
      <c r="G17379">
        <v>136868606</v>
      </c>
      <c r="H17379">
        <v>136868518</v>
      </c>
      <c r="I17379">
        <v>136868534</v>
      </c>
    </row>
    <row r="17380" spans="1:9" x14ac:dyDescent="0.2">
      <c r="A17380" t="str">
        <f>"Rabac1"</f>
        <v>Rabac1</v>
      </c>
      <c r="B17380" t="s">
        <v>14</v>
      </c>
      <c r="C17380" t="s">
        <v>33</v>
      </c>
      <c r="D17380" t="s">
        <v>11</v>
      </c>
      <c r="E17380" t="s">
        <v>12</v>
      </c>
      <c r="F17380">
        <v>24972658</v>
      </c>
      <c r="G17380">
        <v>24972684</v>
      </c>
      <c r="H17380">
        <v>24972580</v>
      </c>
      <c r="I17380">
        <v>24972616</v>
      </c>
    </row>
    <row r="17381" spans="1:9" x14ac:dyDescent="0.2">
      <c r="A17381" t="str">
        <f>"Rabep1"</f>
        <v>Rabep1</v>
      </c>
      <c r="B17381" t="s">
        <v>14</v>
      </c>
      <c r="C17381" t="s">
        <v>27</v>
      </c>
      <c r="D17381" t="s">
        <v>17</v>
      </c>
      <c r="E17381" t="s">
        <v>12</v>
      </c>
      <c r="F17381">
        <v>70844745</v>
      </c>
      <c r="G17381">
        <v>70844816</v>
      </c>
      <c r="H17381">
        <v>70844925</v>
      </c>
      <c r="I17381">
        <v>70844968</v>
      </c>
    </row>
    <row r="17382" spans="1:9" x14ac:dyDescent="0.2">
      <c r="A17382" t="str">
        <f>"Rabep2"</f>
        <v>Rabep2</v>
      </c>
      <c r="B17382" t="s">
        <v>14</v>
      </c>
      <c r="C17382" t="s">
        <v>33</v>
      </c>
      <c r="D17382" t="s">
        <v>17</v>
      </c>
      <c r="E17382" t="s">
        <v>12</v>
      </c>
      <c r="F17382">
        <v>126429055</v>
      </c>
      <c r="G17382">
        <v>126429120</v>
      </c>
      <c r="H17382">
        <v>126428708</v>
      </c>
      <c r="I17382">
        <v>126428754</v>
      </c>
    </row>
    <row r="17383" spans="1:9" x14ac:dyDescent="0.2">
      <c r="A17383" t="str">
        <f>"Rabepk"</f>
        <v>Rabepk</v>
      </c>
      <c r="B17383" t="s">
        <v>14</v>
      </c>
      <c r="C17383" t="s">
        <v>26</v>
      </c>
      <c r="D17383" t="s">
        <v>11</v>
      </c>
      <c r="E17383" t="s">
        <v>12</v>
      </c>
      <c r="F17383">
        <v>34799767</v>
      </c>
      <c r="G17383">
        <v>34799826</v>
      </c>
      <c r="H17383">
        <v>34799832</v>
      </c>
      <c r="I17383">
        <v>34799884</v>
      </c>
    </row>
    <row r="17384" spans="1:9" x14ac:dyDescent="0.2">
      <c r="A17384" t="str">
        <f>"Rabgap1"</f>
        <v>Rabgap1</v>
      </c>
      <c r="B17384" t="s">
        <v>9</v>
      </c>
      <c r="C17384" t="s">
        <v>26</v>
      </c>
      <c r="D17384" t="s">
        <v>17</v>
      </c>
      <c r="E17384" t="s">
        <v>12</v>
      </c>
      <c r="F17384">
        <v>37443273</v>
      </c>
      <c r="G17384">
        <v>37443339</v>
      </c>
      <c r="H17384">
        <v>37443273</v>
      </c>
      <c r="I17384">
        <v>37443339</v>
      </c>
    </row>
    <row r="17385" spans="1:9" x14ac:dyDescent="0.2">
      <c r="A17385" t="str">
        <f>"Rabgap1"</f>
        <v>Rabgap1</v>
      </c>
      <c r="B17385" t="s">
        <v>13</v>
      </c>
      <c r="C17385" t="s">
        <v>26</v>
      </c>
      <c r="D17385" t="s">
        <v>17</v>
      </c>
      <c r="E17385" t="s">
        <v>12</v>
      </c>
      <c r="F17385">
        <v>37452231</v>
      </c>
      <c r="G17385">
        <v>37452286</v>
      </c>
      <c r="H17385">
        <v>37452231</v>
      </c>
      <c r="I17385">
        <v>37452286</v>
      </c>
    </row>
    <row r="17386" spans="1:9" x14ac:dyDescent="0.2">
      <c r="A17386" t="str">
        <f>"Rabgap1l"</f>
        <v>Rabgap1l</v>
      </c>
      <c r="B17386" t="s">
        <v>14</v>
      </c>
      <c r="C17386" t="s">
        <v>19</v>
      </c>
      <c r="D17386" t="s">
        <v>11</v>
      </c>
      <c r="E17386" t="s">
        <v>12</v>
      </c>
      <c r="F17386">
        <v>160792833</v>
      </c>
      <c r="G17386">
        <v>160792878</v>
      </c>
      <c r="H17386">
        <v>160792833</v>
      </c>
      <c r="I17386">
        <v>160792878</v>
      </c>
    </row>
    <row r="17387" spans="1:9" x14ac:dyDescent="0.2">
      <c r="A17387" t="str">
        <f>"Rabgef1"</f>
        <v>Rabgef1</v>
      </c>
      <c r="B17387" t="s">
        <v>14</v>
      </c>
      <c r="C17387" t="s">
        <v>46</v>
      </c>
      <c r="D17387" t="s">
        <v>17</v>
      </c>
      <c r="E17387" t="s">
        <v>12</v>
      </c>
      <c r="F17387">
        <v>130171813</v>
      </c>
      <c r="G17387">
        <v>130171879</v>
      </c>
      <c r="H17387">
        <v>130171813</v>
      </c>
      <c r="I17387">
        <v>130171879</v>
      </c>
    </row>
    <row r="17388" spans="1:9" x14ac:dyDescent="0.2">
      <c r="A17388" t="str">
        <f>"Rabggta"</f>
        <v>Rabggta</v>
      </c>
      <c r="B17388" t="s">
        <v>14</v>
      </c>
      <c r="C17388" t="s">
        <v>41</v>
      </c>
      <c r="D17388" t="s">
        <v>11</v>
      </c>
      <c r="E17388" t="s">
        <v>12</v>
      </c>
      <c r="F17388">
        <v>55722223</v>
      </c>
      <c r="G17388">
        <v>55722264</v>
      </c>
      <c r="H17388">
        <v>55722192</v>
      </c>
      <c r="I17388">
        <v>55722211</v>
      </c>
    </row>
    <row r="17389" spans="1:9" x14ac:dyDescent="0.2">
      <c r="A17389" t="str">
        <f>"Rabggtb"</f>
        <v>Rabggtb</v>
      </c>
      <c r="B17389" t="s">
        <v>14</v>
      </c>
      <c r="C17389" t="s">
        <v>22</v>
      </c>
      <c r="D17389" t="s">
        <v>11</v>
      </c>
      <c r="E17389" t="s">
        <v>12</v>
      </c>
      <c r="F17389">
        <v>153912941</v>
      </c>
      <c r="G17389">
        <v>153912960</v>
      </c>
      <c r="H17389">
        <v>153912966</v>
      </c>
      <c r="I17389">
        <v>153912990</v>
      </c>
    </row>
    <row r="17390" spans="1:9" x14ac:dyDescent="0.2">
      <c r="A17390" t="str">
        <f>"Rabif"</f>
        <v>Rabif</v>
      </c>
      <c r="B17390" t="s">
        <v>14</v>
      </c>
      <c r="C17390" t="s">
        <v>19</v>
      </c>
      <c r="D17390" t="s">
        <v>17</v>
      </c>
      <c r="E17390" t="s">
        <v>12</v>
      </c>
      <c r="F17390">
        <v>134494628</v>
      </c>
      <c r="G17390">
        <v>134494679</v>
      </c>
      <c r="H17390">
        <v>134494613</v>
      </c>
      <c r="I17390">
        <v>134494620</v>
      </c>
    </row>
    <row r="17391" spans="1:9" x14ac:dyDescent="0.2">
      <c r="A17391" t="str">
        <f>"Rabl2"</f>
        <v>Rabl2</v>
      </c>
      <c r="B17391" t="s">
        <v>14</v>
      </c>
      <c r="C17391" t="s">
        <v>25</v>
      </c>
      <c r="D17391" t="s">
        <v>11</v>
      </c>
      <c r="E17391" t="s">
        <v>12</v>
      </c>
      <c r="F17391">
        <v>89591855</v>
      </c>
      <c r="G17391">
        <v>89591916</v>
      </c>
      <c r="H17391">
        <v>89591836</v>
      </c>
      <c r="I17391">
        <v>89591852</v>
      </c>
    </row>
    <row r="17392" spans="1:9" x14ac:dyDescent="0.2">
      <c r="A17392" t="str">
        <f>"Rabl3"</f>
        <v>Rabl3</v>
      </c>
      <c r="B17392" t="s">
        <v>14</v>
      </c>
      <c r="C17392" t="s">
        <v>31</v>
      </c>
      <c r="D17392" t="s">
        <v>17</v>
      </c>
      <c r="E17392" t="s">
        <v>12</v>
      </c>
      <c r="F17392">
        <v>37539883</v>
      </c>
      <c r="G17392">
        <v>37539918</v>
      </c>
      <c r="H17392">
        <v>37539883</v>
      </c>
      <c r="I17392">
        <v>37539918</v>
      </c>
    </row>
    <row r="17393" spans="1:9" x14ac:dyDescent="0.2">
      <c r="A17393" t="str">
        <f>"Rabl5"</f>
        <v>Rabl5</v>
      </c>
      <c r="B17393" t="s">
        <v>14</v>
      </c>
      <c r="C17393" t="s">
        <v>46</v>
      </c>
      <c r="D17393" t="s">
        <v>17</v>
      </c>
      <c r="E17393" t="s">
        <v>12</v>
      </c>
      <c r="F17393">
        <v>136908130</v>
      </c>
      <c r="G17393">
        <v>136908174</v>
      </c>
      <c r="H17393">
        <v>136908181</v>
      </c>
      <c r="I17393">
        <v>136908202</v>
      </c>
    </row>
    <row r="17394" spans="1:9" x14ac:dyDescent="0.2">
      <c r="A17394" t="str">
        <f>"Rabl6"</f>
        <v>Rabl6</v>
      </c>
      <c r="B17394" t="s">
        <v>14</v>
      </c>
      <c r="C17394" t="s">
        <v>26</v>
      </c>
      <c r="D17394" t="s">
        <v>11</v>
      </c>
      <c r="E17394" t="s">
        <v>67</v>
      </c>
      <c r="F17394">
        <v>25608447</v>
      </c>
      <c r="G17394">
        <v>25608486</v>
      </c>
      <c r="H17394">
        <v>25608421</v>
      </c>
      <c r="I17394">
        <v>25608432</v>
      </c>
    </row>
    <row r="17395" spans="1:9" x14ac:dyDescent="0.2">
      <c r="A17395" t="str">
        <f>"Rac1"</f>
        <v>Rac1</v>
      </c>
      <c r="B17395" t="s">
        <v>14</v>
      </c>
      <c r="C17395" t="s">
        <v>46</v>
      </c>
      <c r="D17395" t="s">
        <v>11</v>
      </c>
      <c r="E17395" t="s">
        <v>12</v>
      </c>
      <c r="F17395">
        <v>143527977</v>
      </c>
      <c r="G17395">
        <v>143528010</v>
      </c>
      <c r="H17395">
        <v>143527977</v>
      </c>
      <c r="I17395">
        <v>143528010</v>
      </c>
    </row>
    <row r="17396" spans="1:9" x14ac:dyDescent="0.2">
      <c r="A17396" t="str">
        <f>"Rac2"</f>
        <v>Rac2</v>
      </c>
      <c r="B17396" t="s">
        <v>14</v>
      </c>
      <c r="C17396" t="s">
        <v>25</v>
      </c>
      <c r="D17396" t="s">
        <v>11</v>
      </c>
      <c r="E17396" t="s">
        <v>12</v>
      </c>
      <c r="F17396">
        <v>78572709</v>
      </c>
      <c r="G17396">
        <v>78572750</v>
      </c>
      <c r="H17396">
        <v>78572754</v>
      </c>
      <c r="I17396">
        <v>78572790</v>
      </c>
    </row>
    <row r="17397" spans="1:9" x14ac:dyDescent="0.2">
      <c r="A17397" t="str">
        <f>"Rac3"</f>
        <v>Rac3</v>
      </c>
      <c r="B17397" t="s">
        <v>14</v>
      </c>
      <c r="C17397" t="s">
        <v>27</v>
      </c>
      <c r="D17397" t="s">
        <v>17</v>
      </c>
      <c r="E17397" t="s">
        <v>12</v>
      </c>
      <c r="F17397">
        <v>120721452</v>
      </c>
      <c r="G17397">
        <v>120721536</v>
      </c>
      <c r="H17397">
        <v>120721543</v>
      </c>
      <c r="I17397">
        <v>120721564</v>
      </c>
    </row>
    <row r="17398" spans="1:9" x14ac:dyDescent="0.2">
      <c r="A17398" t="str">
        <f>"Racgap1"</f>
        <v>Racgap1</v>
      </c>
      <c r="B17398" t="s">
        <v>14</v>
      </c>
      <c r="C17398" t="s">
        <v>25</v>
      </c>
      <c r="D17398" t="s">
        <v>11</v>
      </c>
      <c r="E17398" t="s">
        <v>12</v>
      </c>
      <c r="F17398">
        <v>99651580</v>
      </c>
      <c r="G17398">
        <v>99651630</v>
      </c>
      <c r="H17398">
        <v>99651580</v>
      </c>
      <c r="I17398">
        <v>99651630</v>
      </c>
    </row>
    <row r="17399" spans="1:9" x14ac:dyDescent="0.2">
      <c r="A17399" t="str">
        <f>"Rad1"</f>
        <v>Rad1</v>
      </c>
      <c r="B17399" t="s">
        <v>14</v>
      </c>
      <c r="C17399" t="s">
        <v>25</v>
      </c>
      <c r="D17399" t="s">
        <v>17</v>
      </c>
      <c r="E17399" t="s">
        <v>12</v>
      </c>
      <c r="F17399">
        <v>10486008</v>
      </c>
      <c r="G17399">
        <v>10486077</v>
      </c>
      <c r="H17399">
        <v>10486096</v>
      </c>
      <c r="I17399">
        <v>10486103</v>
      </c>
    </row>
    <row r="17400" spans="1:9" x14ac:dyDescent="0.2">
      <c r="A17400" t="str">
        <f>"Rad17"</f>
        <v>Rad17</v>
      </c>
      <c r="B17400" t="s">
        <v>14</v>
      </c>
      <c r="C17400" t="s">
        <v>39</v>
      </c>
      <c r="D17400" t="s">
        <v>11</v>
      </c>
      <c r="E17400" t="s">
        <v>12</v>
      </c>
      <c r="F17400">
        <v>100650981</v>
      </c>
      <c r="G17400">
        <v>100651085</v>
      </c>
      <c r="H17400">
        <v>100650981</v>
      </c>
      <c r="I17400">
        <v>100651085</v>
      </c>
    </row>
    <row r="17401" spans="1:9" x14ac:dyDescent="0.2">
      <c r="A17401" t="str">
        <f>"Rad18"</f>
        <v>Rad18</v>
      </c>
      <c r="B17401" t="s">
        <v>14</v>
      </c>
      <c r="C17401" t="s">
        <v>32</v>
      </c>
      <c r="D17401" t="s">
        <v>11</v>
      </c>
      <c r="E17401" t="s">
        <v>12</v>
      </c>
      <c r="F17401">
        <v>112696634</v>
      </c>
      <c r="G17401">
        <v>112696675</v>
      </c>
      <c r="H17401">
        <v>112696677</v>
      </c>
      <c r="I17401">
        <v>112696680</v>
      </c>
    </row>
    <row r="17402" spans="1:9" x14ac:dyDescent="0.2">
      <c r="A17402" t="str">
        <f>"Rad21"</f>
        <v>Rad21</v>
      </c>
      <c r="B17402" t="s">
        <v>14</v>
      </c>
      <c r="C17402" t="s">
        <v>25</v>
      </c>
      <c r="D17402" t="s">
        <v>11</v>
      </c>
      <c r="E17402" t="s">
        <v>12</v>
      </c>
      <c r="F17402">
        <v>51991679</v>
      </c>
      <c r="G17402">
        <v>51991752</v>
      </c>
      <c r="H17402">
        <v>51991679</v>
      </c>
      <c r="I17402">
        <v>51991752</v>
      </c>
    </row>
    <row r="17403" spans="1:9" x14ac:dyDescent="0.2">
      <c r="A17403" t="str">
        <f>"Rad21l"</f>
        <v>Rad21l</v>
      </c>
      <c r="B17403" t="s">
        <v>5646</v>
      </c>
      <c r="C17403" t="s">
        <v>26</v>
      </c>
      <c r="D17403" t="s">
        <v>11</v>
      </c>
      <c r="E17403" t="s">
        <v>20</v>
      </c>
      <c r="F17403">
        <v>151668532</v>
      </c>
      <c r="G17403">
        <v>151668532</v>
      </c>
      <c r="H17403">
        <v>151668532</v>
      </c>
      <c r="I17403">
        <v>151668532</v>
      </c>
    </row>
    <row r="17404" spans="1:9" x14ac:dyDescent="0.2">
      <c r="A17404" t="str">
        <f>"Rad23a"</f>
        <v>Rad23a</v>
      </c>
      <c r="B17404" t="s">
        <v>9</v>
      </c>
      <c r="C17404" t="s">
        <v>30</v>
      </c>
      <c r="D17404" t="s">
        <v>11</v>
      </c>
      <c r="E17404" t="s">
        <v>12</v>
      </c>
      <c r="F17404">
        <v>84840627</v>
      </c>
      <c r="G17404">
        <v>84840681</v>
      </c>
      <c r="H17404">
        <v>84840627</v>
      </c>
      <c r="I17404">
        <v>84840681</v>
      </c>
    </row>
    <row r="17405" spans="1:9" x14ac:dyDescent="0.2">
      <c r="A17405" t="str">
        <f>"Rad23a"</f>
        <v>Rad23a</v>
      </c>
      <c r="B17405" t="s">
        <v>13</v>
      </c>
      <c r="C17405" t="s">
        <v>30</v>
      </c>
      <c r="D17405" t="s">
        <v>11</v>
      </c>
      <c r="E17405" t="s">
        <v>12</v>
      </c>
      <c r="F17405">
        <v>84838626</v>
      </c>
      <c r="G17405">
        <v>84838687</v>
      </c>
      <c r="H17405">
        <v>84838626</v>
      </c>
      <c r="I17405">
        <v>84838687</v>
      </c>
    </row>
    <row r="17406" spans="1:9" x14ac:dyDescent="0.2">
      <c r="A17406" t="str">
        <f>"Rad23b"</f>
        <v>Rad23b</v>
      </c>
      <c r="B17406" t="s">
        <v>14</v>
      </c>
      <c r="C17406" t="s">
        <v>23</v>
      </c>
      <c r="D17406" t="s">
        <v>17</v>
      </c>
      <c r="E17406" t="s">
        <v>12</v>
      </c>
      <c r="F17406">
        <v>55350043</v>
      </c>
      <c r="G17406">
        <v>55350078</v>
      </c>
      <c r="H17406">
        <v>55350043</v>
      </c>
      <c r="I17406">
        <v>55350078</v>
      </c>
    </row>
    <row r="17407" spans="1:9" x14ac:dyDescent="0.2">
      <c r="A17407" t="str">
        <f>"Rad50"</f>
        <v>Rad50</v>
      </c>
      <c r="B17407" t="s">
        <v>14</v>
      </c>
      <c r="C17407" t="s">
        <v>27</v>
      </c>
      <c r="D17407" t="s">
        <v>11</v>
      </c>
      <c r="E17407" t="s">
        <v>12</v>
      </c>
      <c r="F17407">
        <v>53707269</v>
      </c>
      <c r="G17407">
        <v>53707332</v>
      </c>
      <c r="H17407">
        <v>53707186</v>
      </c>
      <c r="I17407">
        <v>53707217</v>
      </c>
    </row>
    <row r="17408" spans="1:9" x14ac:dyDescent="0.2">
      <c r="A17408" t="str">
        <f>"Rad51"</f>
        <v>Rad51</v>
      </c>
      <c r="B17408" t="s">
        <v>14</v>
      </c>
      <c r="C17408" t="s">
        <v>26</v>
      </c>
      <c r="D17408" t="s">
        <v>17</v>
      </c>
      <c r="E17408" t="s">
        <v>12</v>
      </c>
      <c r="F17408">
        <v>119112809</v>
      </c>
      <c r="G17408">
        <v>119112882</v>
      </c>
      <c r="H17408">
        <v>119112606</v>
      </c>
      <c r="I17408">
        <v>119112645</v>
      </c>
    </row>
    <row r="17409" spans="1:9" x14ac:dyDescent="0.2">
      <c r="A17409" t="str">
        <f>"Rad51ap1"</f>
        <v>Rad51ap1</v>
      </c>
      <c r="B17409" t="s">
        <v>14</v>
      </c>
      <c r="C17409" t="s">
        <v>32</v>
      </c>
      <c r="D17409" t="s">
        <v>11</v>
      </c>
      <c r="E17409" t="s">
        <v>12</v>
      </c>
      <c r="F17409">
        <v>126939524</v>
      </c>
      <c r="G17409">
        <v>126939604</v>
      </c>
      <c r="H17409">
        <v>126939524</v>
      </c>
      <c r="I17409">
        <v>126939604</v>
      </c>
    </row>
    <row r="17410" spans="1:9" x14ac:dyDescent="0.2">
      <c r="A17410" t="str">
        <f>"Rad51ap2"</f>
        <v>Rad51ap2</v>
      </c>
      <c r="B17410" t="s">
        <v>14</v>
      </c>
      <c r="C17410" t="s">
        <v>16</v>
      </c>
      <c r="D17410" t="s">
        <v>17</v>
      </c>
      <c r="E17410" t="s">
        <v>12</v>
      </c>
      <c r="F17410">
        <v>11456052</v>
      </c>
      <c r="G17410">
        <v>11456058</v>
      </c>
      <c r="H17410">
        <v>11456052</v>
      </c>
      <c r="I17410">
        <v>11456058</v>
      </c>
    </row>
    <row r="17411" spans="1:9" x14ac:dyDescent="0.2">
      <c r="A17411" t="str">
        <f>"Rad51b"</f>
        <v>Rad51b</v>
      </c>
      <c r="B17411" t="s">
        <v>14</v>
      </c>
      <c r="C17411" t="s">
        <v>16</v>
      </c>
      <c r="D17411" t="s">
        <v>17</v>
      </c>
      <c r="E17411" t="s">
        <v>67</v>
      </c>
      <c r="F17411">
        <v>79297345</v>
      </c>
      <c r="G17411">
        <v>79297377</v>
      </c>
      <c r="H17411">
        <v>79297311</v>
      </c>
      <c r="I17411">
        <v>79297327</v>
      </c>
    </row>
    <row r="17412" spans="1:9" x14ac:dyDescent="0.2">
      <c r="A17412" t="str">
        <f>"Rad51c"</f>
        <v>Rad51c</v>
      </c>
      <c r="B17412" t="s">
        <v>14</v>
      </c>
      <c r="C17412" t="s">
        <v>27</v>
      </c>
      <c r="D17412" t="s">
        <v>11</v>
      </c>
      <c r="E17412" t="s">
        <v>12</v>
      </c>
      <c r="F17412">
        <v>87404467</v>
      </c>
      <c r="G17412">
        <v>87404508</v>
      </c>
      <c r="H17412">
        <v>87404380</v>
      </c>
      <c r="I17412">
        <v>87404424</v>
      </c>
    </row>
    <row r="17413" spans="1:9" x14ac:dyDescent="0.2">
      <c r="A17413" t="str">
        <f>"Rad51d"</f>
        <v>Rad51d</v>
      </c>
      <c r="B17413" t="s">
        <v>14</v>
      </c>
      <c r="C17413" t="s">
        <v>27</v>
      </c>
      <c r="D17413" t="s">
        <v>11</v>
      </c>
      <c r="E17413" t="s">
        <v>67</v>
      </c>
      <c r="F17413">
        <v>82890541</v>
      </c>
      <c r="G17413">
        <v>82890626</v>
      </c>
      <c r="H17413">
        <v>82890501</v>
      </c>
      <c r="I17413">
        <v>82890534</v>
      </c>
    </row>
    <row r="17414" spans="1:9" x14ac:dyDescent="0.2">
      <c r="A17414" t="str">
        <f>"Rad52"</f>
        <v>Rad52</v>
      </c>
      <c r="B17414" t="s">
        <v>14</v>
      </c>
      <c r="C17414" t="s">
        <v>32</v>
      </c>
      <c r="D17414" t="s">
        <v>17</v>
      </c>
      <c r="E17414" t="s">
        <v>12</v>
      </c>
      <c r="F17414">
        <v>119902688</v>
      </c>
      <c r="G17414">
        <v>119902734</v>
      </c>
      <c r="H17414">
        <v>119902741</v>
      </c>
      <c r="I17414">
        <v>119902754</v>
      </c>
    </row>
    <row r="17415" spans="1:9" x14ac:dyDescent="0.2">
      <c r="A17415" t="str">
        <f>"Rad54b"</f>
        <v>Rad54b</v>
      </c>
      <c r="B17415" t="s">
        <v>14</v>
      </c>
      <c r="C17415" t="s">
        <v>23</v>
      </c>
      <c r="D17415" t="s">
        <v>17</v>
      </c>
      <c r="E17415" t="s">
        <v>12</v>
      </c>
      <c r="F17415">
        <v>11558914</v>
      </c>
      <c r="G17415">
        <v>11558979</v>
      </c>
      <c r="H17415">
        <v>11558914</v>
      </c>
      <c r="I17415">
        <v>11558979</v>
      </c>
    </row>
    <row r="17416" spans="1:9" x14ac:dyDescent="0.2">
      <c r="A17416" t="str">
        <f>"Rad54l"</f>
        <v>Rad54l</v>
      </c>
      <c r="B17416" t="s">
        <v>14</v>
      </c>
      <c r="C17416" t="s">
        <v>23</v>
      </c>
      <c r="D17416" t="s">
        <v>11</v>
      </c>
      <c r="E17416" t="s">
        <v>12</v>
      </c>
      <c r="F17416">
        <v>116123618</v>
      </c>
      <c r="G17416">
        <v>116123695</v>
      </c>
      <c r="H17416">
        <v>116123696</v>
      </c>
      <c r="I17416">
        <v>116123699</v>
      </c>
    </row>
    <row r="17417" spans="1:9" x14ac:dyDescent="0.2">
      <c r="A17417" t="str">
        <f>"Rad54l2"</f>
        <v>Rad54l2</v>
      </c>
      <c r="B17417" t="s">
        <v>14</v>
      </c>
      <c r="C17417" t="s">
        <v>24</v>
      </c>
      <c r="D17417" t="s">
        <v>11</v>
      </c>
      <c r="E17417" t="s">
        <v>12</v>
      </c>
      <c r="F17417">
        <v>106789130</v>
      </c>
      <c r="G17417">
        <v>106789208</v>
      </c>
      <c r="H17417">
        <v>106789130</v>
      </c>
      <c r="I17417">
        <v>106789208</v>
      </c>
    </row>
    <row r="17418" spans="1:9" x14ac:dyDescent="0.2">
      <c r="A17418" t="str">
        <f>"Rad9a"</f>
        <v>Rad9a</v>
      </c>
      <c r="B17418" t="s">
        <v>14</v>
      </c>
      <c r="C17418" t="s">
        <v>10</v>
      </c>
      <c r="D17418" t="s">
        <v>11</v>
      </c>
      <c r="E17418" t="s">
        <v>67</v>
      </c>
      <c r="F17418">
        <v>4201591</v>
      </c>
      <c r="G17418">
        <v>4201623</v>
      </c>
      <c r="H17418">
        <v>4201571</v>
      </c>
      <c r="I17418">
        <v>4201589</v>
      </c>
    </row>
    <row r="17419" spans="1:9" x14ac:dyDescent="0.2">
      <c r="A17419" t="str">
        <f>"Rad9b"</f>
        <v>Rad9b</v>
      </c>
      <c r="B17419" t="s">
        <v>14</v>
      </c>
      <c r="C17419" t="s">
        <v>46</v>
      </c>
      <c r="D17419" t="s">
        <v>11</v>
      </c>
      <c r="E17419" t="s">
        <v>12</v>
      </c>
      <c r="F17419">
        <v>122354161</v>
      </c>
      <c r="G17419">
        <v>122354237</v>
      </c>
      <c r="H17419">
        <v>122354161</v>
      </c>
      <c r="I17419">
        <v>122354237</v>
      </c>
    </row>
    <row r="17420" spans="1:9" x14ac:dyDescent="0.2">
      <c r="A17420" t="str">
        <f>"Radil"</f>
        <v>Radil</v>
      </c>
      <c r="B17420" t="s">
        <v>14</v>
      </c>
      <c r="C17420" t="s">
        <v>46</v>
      </c>
      <c r="D17420" t="s">
        <v>11</v>
      </c>
      <c r="E17420" t="s">
        <v>12</v>
      </c>
      <c r="F17420">
        <v>142551027</v>
      </c>
      <c r="G17420">
        <v>142551110</v>
      </c>
      <c r="H17420">
        <v>142551027</v>
      </c>
      <c r="I17420">
        <v>142551110</v>
      </c>
    </row>
    <row r="17421" spans="1:9" x14ac:dyDescent="0.2">
      <c r="A17421" t="str">
        <f>"Rae1"</f>
        <v>Rae1</v>
      </c>
      <c r="B17421" t="s">
        <v>14</v>
      </c>
      <c r="C17421" t="s">
        <v>26</v>
      </c>
      <c r="D17421" t="s">
        <v>17</v>
      </c>
      <c r="E17421" t="s">
        <v>12</v>
      </c>
      <c r="F17421">
        <v>173000131</v>
      </c>
      <c r="G17421">
        <v>173000178</v>
      </c>
      <c r="H17421">
        <v>173000114</v>
      </c>
      <c r="I17421">
        <v>173000125</v>
      </c>
    </row>
    <row r="17422" spans="1:9" x14ac:dyDescent="0.2">
      <c r="A17422" t="str">
        <f>"Raet1d"</f>
        <v>Raet1d</v>
      </c>
      <c r="B17422" t="s">
        <v>5647</v>
      </c>
      <c r="C17422" t="s">
        <v>15</v>
      </c>
      <c r="D17422" t="s">
        <v>17</v>
      </c>
      <c r="E17422" t="s">
        <v>20</v>
      </c>
      <c r="F17422">
        <v>22361893</v>
      </c>
      <c r="G17422">
        <v>22361893</v>
      </c>
      <c r="H17422">
        <v>22361893</v>
      </c>
      <c r="I17422">
        <v>22361893</v>
      </c>
    </row>
    <row r="17423" spans="1:9" x14ac:dyDescent="0.2">
      <c r="A17423" t="str">
        <f>"Raet1d"</f>
        <v>Raet1d</v>
      </c>
      <c r="B17423" t="s">
        <v>5648</v>
      </c>
      <c r="C17423" t="s">
        <v>15</v>
      </c>
      <c r="D17423" t="s">
        <v>17</v>
      </c>
      <c r="E17423" t="s">
        <v>20</v>
      </c>
      <c r="F17423">
        <v>22360551</v>
      </c>
      <c r="G17423">
        <v>22360551</v>
      </c>
      <c r="H17423">
        <v>22360551</v>
      </c>
      <c r="I17423">
        <v>22360551</v>
      </c>
    </row>
    <row r="17424" spans="1:9" x14ac:dyDescent="0.2">
      <c r="A17424" t="str">
        <f>"Raet1e"</f>
        <v>Raet1e</v>
      </c>
      <c r="B17424" t="s">
        <v>14</v>
      </c>
      <c r="C17424" t="s">
        <v>15</v>
      </c>
      <c r="D17424" t="s">
        <v>17</v>
      </c>
      <c r="E17424" t="s">
        <v>67</v>
      </c>
      <c r="F17424">
        <v>22158566</v>
      </c>
      <c r="G17424">
        <v>22158584</v>
      </c>
      <c r="H17424">
        <v>22158566</v>
      </c>
      <c r="I17424">
        <v>22158584</v>
      </c>
    </row>
    <row r="17425" spans="1:9" x14ac:dyDescent="0.2">
      <c r="A17425" t="str">
        <f>"Raf1"</f>
        <v>Raf1</v>
      </c>
      <c r="B17425" t="s">
        <v>14</v>
      </c>
      <c r="C17425" t="s">
        <v>32</v>
      </c>
      <c r="D17425" t="s">
        <v>11</v>
      </c>
      <c r="E17425" t="s">
        <v>12</v>
      </c>
      <c r="F17425">
        <v>115676472</v>
      </c>
      <c r="G17425">
        <v>115676578</v>
      </c>
      <c r="H17425">
        <v>115676601</v>
      </c>
      <c r="I17425">
        <v>115676618</v>
      </c>
    </row>
    <row r="17426" spans="1:9" x14ac:dyDescent="0.2">
      <c r="A17426" t="str">
        <f>"Rag1"</f>
        <v>Rag1</v>
      </c>
      <c r="B17426" t="s">
        <v>14</v>
      </c>
      <c r="C17426" t="s">
        <v>26</v>
      </c>
      <c r="D17426" t="s">
        <v>11</v>
      </c>
      <c r="E17426" t="s">
        <v>12</v>
      </c>
      <c r="F17426">
        <v>101649523</v>
      </c>
      <c r="G17426">
        <v>101649539</v>
      </c>
      <c r="H17426">
        <v>101649523</v>
      </c>
      <c r="I17426">
        <v>101649539</v>
      </c>
    </row>
    <row r="17427" spans="1:9" x14ac:dyDescent="0.2">
      <c r="A17427" t="str">
        <f>"Rag2"</f>
        <v>Rag2</v>
      </c>
      <c r="B17427" t="s">
        <v>14</v>
      </c>
      <c r="C17427" t="s">
        <v>26</v>
      </c>
      <c r="D17427" t="s">
        <v>17</v>
      </c>
      <c r="E17427" t="s">
        <v>12</v>
      </c>
      <c r="F17427">
        <v>101624696</v>
      </c>
      <c r="G17427">
        <v>101624730</v>
      </c>
      <c r="H17427">
        <v>101624734</v>
      </c>
      <c r="I17427">
        <v>101624756</v>
      </c>
    </row>
    <row r="17428" spans="1:9" x14ac:dyDescent="0.2">
      <c r="A17428" t="str">
        <f>"Rai1"</f>
        <v>Rai1</v>
      </c>
      <c r="B17428" t="s">
        <v>14</v>
      </c>
      <c r="C17428" t="s">
        <v>27</v>
      </c>
      <c r="D17428" t="s">
        <v>17</v>
      </c>
      <c r="E17428" t="s">
        <v>12</v>
      </c>
      <c r="F17428">
        <v>60105052</v>
      </c>
      <c r="G17428">
        <v>60105078</v>
      </c>
      <c r="H17428">
        <v>60104916</v>
      </c>
      <c r="I17428">
        <v>60104967</v>
      </c>
    </row>
    <row r="17429" spans="1:9" x14ac:dyDescent="0.2">
      <c r="A17429" t="str">
        <f>"Rai14"</f>
        <v>Rai14</v>
      </c>
      <c r="B17429" t="s">
        <v>14</v>
      </c>
      <c r="C17429" t="s">
        <v>25</v>
      </c>
      <c r="D17429" t="s">
        <v>11</v>
      </c>
      <c r="E17429" t="s">
        <v>12</v>
      </c>
      <c r="F17429">
        <v>10714579</v>
      </c>
      <c r="G17429">
        <v>10714610</v>
      </c>
      <c r="H17429">
        <v>10714612</v>
      </c>
      <c r="I17429">
        <v>10714637</v>
      </c>
    </row>
    <row r="17430" spans="1:9" x14ac:dyDescent="0.2">
      <c r="A17430" t="str">
        <f>"Rai2"</f>
        <v>Rai2</v>
      </c>
      <c r="B17430" t="s">
        <v>14</v>
      </c>
      <c r="C17430" t="s">
        <v>37</v>
      </c>
      <c r="D17430" t="s">
        <v>17</v>
      </c>
      <c r="E17430" t="s">
        <v>12</v>
      </c>
      <c r="F17430">
        <v>161717055</v>
      </c>
      <c r="G17430">
        <v>161717073</v>
      </c>
      <c r="H17430">
        <v>161717461</v>
      </c>
      <c r="I17430">
        <v>161717496</v>
      </c>
    </row>
    <row r="17431" spans="1:9" x14ac:dyDescent="0.2">
      <c r="A17431" t="str">
        <f>"Rala"</f>
        <v>Rala</v>
      </c>
      <c r="B17431" t="s">
        <v>14</v>
      </c>
      <c r="C17431" t="s">
        <v>39</v>
      </c>
      <c r="D17431" t="s">
        <v>11</v>
      </c>
      <c r="E17431" t="s">
        <v>12</v>
      </c>
      <c r="F17431">
        <v>17944151</v>
      </c>
      <c r="G17431">
        <v>17944239</v>
      </c>
      <c r="H17431">
        <v>17944086</v>
      </c>
      <c r="I17431">
        <v>17944093</v>
      </c>
    </row>
    <row r="17432" spans="1:9" x14ac:dyDescent="0.2">
      <c r="A17432" t="str">
        <f>"Ralb"</f>
        <v>Ralb</v>
      </c>
      <c r="B17432" t="s">
        <v>14</v>
      </c>
      <c r="C17432" t="s">
        <v>19</v>
      </c>
      <c r="D17432" t="s">
        <v>11</v>
      </c>
      <c r="E17432" t="s">
        <v>12</v>
      </c>
      <c r="F17432">
        <v>119504597</v>
      </c>
      <c r="G17432">
        <v>119504652</v>
      </c>
      <c r="H17432">
        <v>119504736</v>
      </c>
      <c r="I17432">
        <v>119504795</v>
      </c>
    </row>
    <row r="17433" spans="1:9" x14ac:dyDescent="0.2">
      <c r="A17433" t="str">
        <f>"Ralbp1"</f>
        <v>Ralbp1</v>
      </c>
      <c r="B17433" t="s">
        <v>14</v>
      </c>
      <c r="C17433" t="s">
        <v>28</v>
      </c>
      <c r="D17433" t="s">
        <v>11</v>
      </c>
      <c r="E17433" t="s">
        <v>12</v>
      </c>
      <c r="F17433">
        <v>65884792</v>
      </c>
      <c r="G17433">
        <v>65884888</v>
      </c>
      <c r="H17433">
        <v>65885285</v>
      </c>
      <c r="I17433">
        <v>65885301</v>
      </c>
    </row>
    <row r="17434" spans="1:9" x14ac:dyDescent="0.2">
      <c r="A17434" t="str">
        <f>"Ralgapa1"</f>
        <v>Ralgapa1</v>
      </c>
      <c r="B17434" t="s">
        <v>14</v>
      </c>
      <c r="C17434" t="s">
        <v>16</v>
      </c>
      <c r="D17434" t="s">
        <v>11</v>
      </c>
      <c r="E17434" t="s">
        <v>12</v>
      </c>
      <c r="F17434">
        <v>55821157</v>
      </c>
      <c r="G17434">
        <v>55821195</v>
      </c>
      <c r="H17434">
        <v>55821098</v>
      </c>
      <c r="I17434">
        <v>55821110</v>
      </c>
    </row>
    <row r="17435" spans="1:9" x14ac:dyDescent="0.2">
      <c r="A17435" t="str">
        <f>"Ralgapa2"</f>
        <v>Ralgapa2</v>
      </c>
      <c r="B17435" t="s">
        <v>14</v>
      </c>
      <c r="C17435" t="s">
        <v>26</v>
      </c>
      <c r="D17435" t="s">
        <v>11</v>
      </c>
      <c r="E17435" t="s">
        <v>12</v>
      </c>
      <c r="F17435">
        <v>146512026</v>
      </c>
      <c r="G17435">
        <v>146512083</v>
      </c>
      <c r="H17435">
        <v>146511992</v>
      </c>
      <c r="I17435">
        <v>146512015</v>
      </c>
    </row>
    <row r="17436" spans="1:9" x14ac:dyDescent="0.2">
      <c r="A17436" t="str">
        <f>"Ralgapb"</f>
        <v>Ralgapb</v>
      </c>
      <c r="B17436" t="s">
        <v>14</v>
      </c>
      <c r="C17436" t="s">
        <v>26</v>
      </c>
      <c r="D17436" t="s">
        <v>17</v>
      </c>
      <c r="E17436" t="s">
        <v>12</v>
      </c>
      <c r="F17436">
        <v>158409867</v>
      </c>
      <c r="G17436">
        <v>158409906</v>
      </c>
      <c r="H17436">
        <v>158409842</v>
      </c>
      <c r="I17436">
        <v>158409862</v>
      </c>
    </row>
    <row r="17437" spans="1:9" x14ac:dyDescent="0.2">
      <c r="A17437" t="str">
        <f>"Ralgds"</f>
        <v>Ralgds</v>
      </c>
      <c r="B17437" t="s">
        <v>9</v>
      </c>
      <c r="C17437" t="s">
        <v>26</v>
      </c>
      <c r="D17437" t="s">
        <v>17</v>
      </c>
      <c r="E17437" t="s">
        <v>12</v>
      </c>
      <c r="F17437">
        <v>28533423</v>
      </c>
      <c r="G17437">
        <v>28533482</v>
      </c>
      <c r="H17437">
        <v>28533423</v>
      </c>
      <c r="I17437">
        <v>28533482</v>
      </c>
    </row>
    <row r="17438" spans="1:9" x14ac:dyDescent="0.2">
      <c r="A17438" t="str">
        <f>"Ralgds"</f>
        <v>Ralgds</v>
      </c>
      <c r="B17438" t="s">
        <v>13</v>
      </c>
      <c r="C17438" t="s">
        <v>26</v>
      </c>
      <c r="D17438" t="s">
        <v>17</v>
      </c>
      <c r="E17438" t="s">
        <v>12</v>
      </c>
      <c r="F17438">
        <v>28513243</v>
      </c>
      <c r="G17438">
        <v>28513323</v>
      </c>
      <c r="H17438">
        <v>28513243</v>
      </c>
      <c r="I17438">
        <v>28513323</v>
      </c>
    </row>
    <row r="17439" spans="1:9" x14ac:dyDescent="0.2">
      <c r="A17439" t="str">
        <f>"Ralgps1"</f>
        <v>Ralgps1</v>
      </c>
      <c r="B17439" t="s">
        <v>14</v>
      </c>
      <c r="C17439" t="s">
        <v>26</v>
      </c>
      <c r="D17439" t="s">
        <v>11</v>
      </c>
      <c r="E17439" t="s">
        <v>12</v>
      </c>
      <c r="F17439">
        <v>33371400</v>
      </c>
      <c r="G17439">
        <v>33371484</v>
      </c>
      <c r="H17439">
        <v>33371486</v>
      </c>
      <c r="I17439">
        <v>33371499</v>
      </c>
    </row>
    <row r="17440" spans="1:9" x14ac:dyDescent="0.2">
      <c r="A17440" t="str">
        <f>"Ralgps2"</f>
        <v>Ralgps2</v>
      </c>
      <c r="B17440" t="s">
        <v>14</v>
      </c>
      <c r="C17440" t="s">
        <v>19</v>
      </c>
      <c r="D17440" t="s">
        <v>11</v>
      </c>
      <c r="E17440" t="s">
        <v>12</v>
      </c>
      <c r="F17440">
        <v>156939553</v>
      </c>
      <c r="G17440">
        <v>156939615</v>
      </c>
      <c r="H17440">
        <v>156938811</v>
      </c>
      <c r="I17440">
        <v>156938853</v>
      </c>
    </row>
    <row r="17441" spans="1:9" x14ac:dyDescent="0.2">
      <c r="A17441" t="str">
        <f>"Raly"</f>
        <v>Raly</v>
      </c>
      <c r="B17441" t="s">
        <v>14</v>
      </c>
      <c r="C17441" t="s">
        <v>26</v>
      </c>
      <c r="D17441" t="s">
        <v>17</v>
      </c>
      <c r="E17441" t="s">
        <v>12</v>
      </c>
      <c r="F17441">
        <v>154791344</v>
      </c>
      <c r="G17441">
        <v>154791362</v>
      </c>
      <c r="H17441">
        <v>154790945</v>
      </c>
      <c r="I17441">
        <v>154790979</v>
      </c>
    </row>
    <row r="17442" spans="1:9" x14ac:dyDescent="0.2">
      <c r="A17442" t="str">
        <f>"Ralyl"</f>
        <v>Ralyl</v>
      </c>
      <c r="B17442" t="s">
        <v>5649</v>
      </c>
      <c r="C17442" t="s">
        <v>22</v>
      </c>
      <c r="D17442" t="s">
        <v>17</v>
      </c>
      <c r="E17442" t="s">
        <v>35</v>
      </c>
      <c r="F17442">
        <v>13946368</v>
      </c>
      <c r="G17442">
        <v>13946379</v>
      </c>
      <c r="H17442">
        <v>13946385</v>
      </c>
      <c r="I17442">
        <v>13946416</v>
      </c>
    </row>
    <row r="17443" spans="1:9" x14ac:dyDescent="0.2">
      <c r="A17443" t="str">
        <f>"Ramp1"</f>
        <v>Ramp1</v>
      </c>
      <c r="B17443" t="s">
        <v>14</v>
      </c>
      <c r="C17443" t="s">
        <v>19</v>
      </c>
      <c r="D17443" t="s">
        <v>17</v>
      </c>
      <c r="E17443" t="s">
        <v>12</v>
      </c>
      <c r="F17443">
        <v>91180025</v>
      </c>
      <c r="G17443">
        <v>91180055</v>
      </c>
      <c r="H17443">
        <v>91180025</v>
      </c>
      <c r="I17443">
        <v>91180055</v>
      </c>
    </row>
    <row r="17444" spans="1:9" x14ac:dyDescent="0.2">
      <c r="A17444" t="str">
        <f>"Ramp2"</f>
        <v>Ramp2</v>
      </c>
      <c r="B17444" t="s">
        <v>14</v>
      </c>
      <c r="C17444" t="s">
        <v>27</v>
      </c>
      <c r="D17444" t="s">
        <v>17</v>
      </c>
      <c r="E17444" t="s">
        <v>12</v>
      </c>
      <c r="F17444">
        <v>101246405</v>
      </c>
      <c r="G17444">
        <v>101246422</v>
      </c>
      <c r="H17444">
        <v>101245996</v>
      </c>
      <c r="I17444">
        <v>101246044</v>
      </c>
    </row>
    <row r="17445" spans="1:9" x14ac:dyDescent="0.2">
      <c r="A17445" t="str">
        <f>"Ramp3"</f>
        <v>Ramp3</v>
      </c>
      <c r="B17445" t="s">
        <v>14</v>
      </c>
      <c r="C17445" t="s">
        <v>27</v>
      </c>
      <c r="D17445" t="s">
        <v>17</v>
      </c>
      <c r="E17445" t="s">
        <v>12</v>
      </c>
      <c r="F17445">
        <v>6658510</v>
      </c>
      <c r="G17445">
        <v>6658574</v>
      </c>
      <c r="H17445">
        <v>6658510</v>
      </c>
      <c r="I17445">
        <v>6658574</v>
      </c>
    </row>
    <row r="17446" spans="1:9" x14ac:dyDescent="0.2">
      <c r="A17446" t="str">
        <f>"Ran"</f>
        <v>Ran</v>
      </c>
      <c r="B17446" t="s">
        <v>14</v>
      </c>
      <c r="C17446" t="s">
        <v>46</v>
      </c>
      <c r="D17446" t="s">
        <v>17</v>
      </c>
      <c r="E17446" t="s">
        <v>12</v>
      </c>
      <c r="F17446">
        <v>129020193</v>
      </c>
      <c r="G17446">
        <v>129020253</v>
      </c>
      <c r="H17446">
        <v>129020504</v>
      </c>
      <c r="I17446">
        <v>129020523</v>
      </c>
    </row>
    <row r="17447" spans="1:9" x14ac:dyDescent="0.2">
      <c r="A17447" t="str">
        <f>"Ranbp1"</f>
        <v>Ranbp1</v>
      </c>
      <c r="B17447" t="s">
        <v>14</v>
      </c>
      <c r="C17447" t="s">
        <v>31</v>
      </c>
      <c r="D17447" t="s">
        <v>11</v>
      </c>
      <c r="E17447" t="s">
        <v>12</v>
      </c>
      <c r="F17447">
        <v>18248611</v>
      </c>
      <c r="G17447">
        <v>18248692</v>
      </c>
      <c r="H17447">
        <v>18248697</v>
      </c>
      <c r="I17447">
        <v>18248709</v>
      </c>
    </row>
    <row r="17448" spans="1:9" x14ac:dyDescent="0.2">
      <c r="A17448" t="str">
        <f>"Ranbp10"</f>
        <v>Ranbp10</v>
      </c>
      <c r="B17448" t="s">
        <v>14</v>
      </c>
      <c r="C17448" t="s">
        <v>30</v>
      </c>
      <c r="D17448" t="s">
        <v>11</v>
      </c>
      <c r="E17448" t="s">
        <v>12</v>
      </c>
      <c r="F17448">
        <v>105827642</v>
      </c>
      <c r="G17448">
        <v>105827666</v>
      </c>
      <c r="H17448">
        <v>105827642</v>
      </c>
      <c r="I17448">
        <v>105827666</v>
      </c>
    </row>
    <row r="17449" spans="1:9" x14ac:dyDescent="0.2">
      <c r="A17449" t="str">
        <f>"Ranbp17"</f>
        <v>Ranbp17</v>
      </c>
      <c r="B17449" t="s">
        <v>14</v>
      </c>
      <c r="C17449" t="s">
        <v>27</v>
      </c>
      <c r="D17449" t="s">
        <v>11</v>
      </c>
      <c r="E17449" t="s">
        <v>12</v>
      </c>
      <c r="F17449">
        <v>33513736</v>
      </c>
      <c r="G17449">
        <v>33513771</v>
      </c>
      <c r="H17449">
        <v>33513626</v>
      </c>
      <c r="I17449">
        <v>33513666</v>
      </c>
    </row>
    <row r="17450" spans="1:9" x14ac:dyDescent="0.2">
      <c r="A17450" t="str">
        <f>"Ranbp2"</f>
        <v>Ranbp2</v>
      </c>
      <c r="B17450" t="s">
        <v>14</v>
      </c>
      <c r="C17450" t="s">
        <v>15</v>
      </c>
      <c r="D17450" t="s">
        <v>17</v>
      </c>
      <c r="E17450" t="s">
        <v>12</v>
      </c>
      <c r="F17450">
        <v>58446845</v>
      </c>
      <c r="G17450">
        <v>58446928</v>
      </c>
      <c r="H17450">
        <v>58446824</v>
      </c>
      <c r="I17450">
        <v>58446835</v>
      </c>
    </row>
    <row r="17451" spans="1:9" x14ac:dyDescent="0.2">
      <c r="A17451" t="str">
        <f>"Ranbp3"</f>
        <v>Ranbp3</v>
      </c>
      <c r="B17451" t="s">
        <v>14</v>
      </c>
      <c r="C17451" t="s">
        <v>28</v>
      </c>
      <c r="D17451" t="s">
        <v>17</v>
      </c>
      <c r="E17451" t="s">
        <v>12</v>
      </c>
      <c r="F17451">
        <v>56673356</v>
      </c>
      <c r="G17451">
        <v>56673392</v>
      </c>
      <c r="H17451">
        <v>56673273</v>
      </c>
      <c r="I17451">
        <v>56673287</v>
      </c>
    </row>
    <row r="17452" spans="1:9" x14ac:dyDescent="0.2">
      <c r="A17452" t="str">
        <f>"Ranbp3l"</f>
        <v>Ranbp3l</v>
      </c>
      <c r="B17452" t="s">
        <v>14</v>
      </c>
      <c r="C17452" t="s">
        <v>25</v>
      </c>
      <c r="D17452" t="s">
        <v>17</v>
      </c>
      <c r="E17452" t="s">
        <v>12</v>
      </c>
      <c r="F17452">
        <v>8967943</v>
      </c>
      <c r="G17452">
        <v>8967960</v>
      </c>
      <c r="H17452">
        <v>8967943</v>
      </c>
      <c r="I17452">
        <v>8967960</v>
      </c>
    </row>
    <row r="17453" spans="1:9" x14ac:dyDescent="0.2">
      <c r="A17453" t="str">
        <f>"Ranbp6"</f>
        <v>Ranbp6</v>
      </c>
      <c r="B17453" t="s">
        <v>14</v>
      </c>
      <c r="C17453" t="s">
        <v>10</v>
      </c>
      <c r="D17453" t="s">
        <v>11</v>
      </c>
      <c r="E17453" t="s">
        <v>12</v>
      </c>
      <c r="F17453">
        <v>29812952</v>
      </c>
      <c r="G17453">
        <v>29812974</v>
      </c>
      <c r="H17453">
        <v>29812952</v>
      </c>
      <c r="I17453">
        <v>29812974</v>
      </c>
    </row>
    <row r="17454" spans="1:9" x14ac:dyDescent="0.2">
      <c r="A17454" t="str">
        <f>"Ranbp9"</f>
        <v>Ranbp9</v>
      </c>
      <c r="B17454" t="s">
        <v>14</v>
      </c>
      <c r="C17454" t="s">
        <v>39</v>
      </c>
      <c r="D17454" t="s">
        <v>11</v>
      </c>
      <c r="E17454" t="s">
        <v>12</v>
      </c>
      <c r="F17454">
        <v>43481221</v>
      </c>
      <c r="G17454">
        <v>43481325</v>
      </c>
      <c r="H17454">
        <v>43481221</v>
      </c>
      <c r="I17454">
        <v>43481325</v>
      </c>
    </row>
    <row r="17455" spans="1:9" x14ac:dyDescent="0.2">
      <c r="A17455" t="str">
        <f>"Rangap1"</f>
        <v>Rangap1</v>
      </c>
      <c r="B17455" t="s">
        <v>14</v>
      </c>
      <c r="C17455" t="s">
        <v>25</v>
      </c>
      <c r="D17455" t="s">
        <v>11</v>
      </c>
      <c r="E17455" t="s">
        <v>12</v>
      </c>
      <c r="F17455">
        <v>81729864</v>
      </c>
      <c r="G17455">
        <v>81729913</v>
      </c>
      <c r="H17455">
        <v>81729833</v>
      </c>
      <c r="I17455">
        <v>81729844</v>
      </c>
    </row>
    <row r="17456" spans="1:9" x14ac:dyDescent="0.2">
      <c r="A17456" t="str">
        <f>"Rangrf"</f>
        <v>Rangrf</v>
      </c>
      <c r="B17456" t="s">
        <v>14</v>
      </c>
      <c r="C17456" t="s">
        <v>27</v>
      </c>
      <c r="D17456" t="s">
        <v>11</v>
      </c>
      <c r="E17456" t="s">
        <v>12</v>
      </c>
      <c r="F17456">
        <v>68973840</v>
      </c>
      <c r="G17456">
        <v>68973864</v>
      </c>
      <c r="H17456">
        <v>68973332</v>
      </c>
      <c r="I17456">
        <v>68973353</v>
      </c>
    </row>
    <row r="17457" spans="1:9" x14ac:dyDescent="0.2">
      <c r="A17457" t="str">
        <f>"Rap1a"</f>
        <v>Rap1a</v>
      </c>
      <c r="B17457" t="s">
        <v>14</v>
      </c>
      <c r="C17457" t="s">
        <v>22</v>
      </c>
      <c r="D17457" t="s">
        <v>11</v>
      </c>
      <c r="E17457" t="s">
        <v>12</v>
      </c>
      <c r="F17457">
        <v>105801323</v>
      </c>
      <c r="G17457">
        <v>105801377</v>
      </c>
      <c r="H17457">
        <v>105801299</v>
      </c>
      <c r="I17457">
        <v>105801315</v>
      </c>
    </row>
    <row r="17458" spans="1:9" x14ac:dyDescent="0.2">
      <c r="A17458" t="str">
        <f>"Rap1b"</f>
        <v>Rap1b</v>
      </c>
      <c r="B17458" t="s">
        <v>14</v>
      </c>
      <c r="C17458" t="s">
        <v>15</v>
      </c>
      <c r="D17458" t="s">
        <v>11</v>
      </c>
      <c r="E17458" t="s">
        <v>12</v>
      </c>
      <c r="F17458">
        <v>117845959</v>
      </c>
      <c r="G17458">
        <v>117846009</v>
      </c>
      <c r="H17458">
        <v>117845938</v>
      </c>
      <c r="I17458">
        <v>117845949</v>
      </c>
    </row>
    <row r="17459" spans="1:9" x14ac:dyDescent="0.2">
      <c r="A17459" t="str">
        <f>"Rap1gap"</f>
        <v>Rap1gap</v>
      </c>
      <c r="B17459" t="s">
        <v>9</v>
      </c>
      <c r="C17459" t="s">
        <v>23</v>
      </c>
      <c r="D17459" t="s">
        <v>17</v>
      </c>
      <c r="E17459" t="s">
        <v>12</v>
      </c>
      <c r="F17459">
        <v>137664707</v>
      </c>
      <c r="G17459">
        <v>137664787</v>
      </c>
      <c r="H17459">
        <v>137664707</v>
      </c>
      <c r="I17459">
        <v>137664787</v>
      </c>
    </row>
    <row r="17460" spans="1:9" x14ac:dyDescent="0.2">
      <c r="A17460" t="str">
        <f>"Rap1gap"</f>
        <v>Rap1gap</v>
      </c>
      <c r="B17460" t="s">
        <v>13</v>
      </c>
      <c r="C17460" t="s">
        <v>23</v>
      </c>
      <c r="D17460" t="s">
        <v>17</v>
      </c>
      <c r="E17460" t="s">
        <v>12</v>
      </c>
      <c r="F17460">
        <v>137707458</v>
      </c>
      <c r="G17460">
        <v>137707527</v>
      </c>
      <c r="H17460">
        <v>137707458</v>
      </c>
      <c r="I17460">
        <v>137707527</v>
      </c>
    </row>
    <row r="17461" spans="1:9" x14ac:dyDescent="0.2">
      <c r="A17461" t="str">
        <f>"Rap1gap2"</f>
        <v>Rap1gap2</v>
      </c>
      <c r="B17461" t="s">
        <v>14</v>
      </c>
      <c r="C17461" t="s">
        <v>27</v>
      </c>
      <c r="D17461" t="s">
        <v>11</v>
      </c>
      <c r="E17461" t="s">
        <v>12</v>
      </c>
      <c r="F17461">
        <v>74590065</v>
      </c>
      <c r="G17461">
        <v>74590149</v>
      </c>
      <c r="H17461">
        <v>74590187</v>
      </c>
      <c r="I17461">
        <v>74590215</v>
      </c>
    </row>
    <row r="17462" spans="1:9" x14ac:dyDescent="0.2">
      <c r="A17462" t="str">
        <f>"Rap1gds1"</f>
        <v>Rap1gds1</v>
      </c>
      <c r="B17462" t="s">
        <v>14</v>
      </c>
      <c r="C17462" t="s">
        <v>22</v>
      </c>
      <c r="D17462" t="s">
        <v>11</v>
      </c>
      <c r="E17462" t="s">
        <v>12</v>
      </c>
      <c r="F17462">
        <v>139075178</v>
      </c>
      <c r="G17462">
        <v>139075253</v>
      </c>
      <c r="H17462">
        <v>139075133</v>
      </c>
      <c r="I17462">
        <v>139075173</v>
      </c>
    </row>
    <row r="17463" spans="1:9" x14ac:dyDescent="0.2">
      <c r="A17463" t="str">
        <f>"Rap2a"</f>
        <v>Rap2a</v>
      </c>
      <c r="B17463" t="s">
        <v>14</v>
      </c>
      <c r="C17463" t="s">
        <v>41</v>
      </c>
      <c r="D17463" t="s">
        <v>17</v>
      </c>
      <c r="E17463" t="s">
        <v>12</v>
      </c>
      <c r="F17463">
        <v>120478443</v>
      </c>
      <c r="G17463">
        <v>120478510</v>
      </c>
      <c r="H17463">
        <v>120478354</v>
      </c>
      <c r="I17463">
        <v>120478392</v>
      </c>
    </row>
    <row r="17464" spans="1:9" x14ac:dyDescent="0.2">
      <c r="A17464" t="str">
        <f>"Rap2b"</f>
        <v>Rap2b</v>
      </c>
      <c r="B17464" t="s">
        <v>14</v>
      </c>
      <c r="C17464" t="s">
        <v>22</v>
      </c>
      <c r="D17464" t="s">
        <v>17</v>
      </c>
      <c r="E17464" t="s">
        <v>12</v>
      </c>
      <c r="F17464">
        <v>61364555</v>
      </c>
      <c r="G17464">
        <v>61364633</v>
      </c>
      <c r="H17464">
        <v>61364555</v>
      </c>
      <c r="I17464">
        <v>61364633</v>
      </c>
    </row>
    <row r="17465" spans="1:9" x14ac:dyDescent="0.2">
      <c r="A17465" t="str">
        <f>"Rap2c"</f>
        <v>Rap2c</v>
      </c>
      <c r="B17465" t="s">
        <v>14</v>
      </c>
      <c r="C17465" t="s">
        <v>37</v>
      </c>
      <c r="D17465" t="s">
        <v>11</v>
      </c>
      <c r="E17465" t="s">
        <v>12</v>
      </c>
      <c r="F17465">
        <v>51017967</v>
      </c>
      <c r="G17465">
        <v>51018009</v>
      </c>
      <c r="H17465">
        <v>51018011</v>
      </c>
      <c r="I17465">
        <v>51018032</v>
      </c>
    </row>
    <row r="17466" spans="1:9" x14ac:dyDescent="0.2">
      <c r="A17466" t="str">
        <f>"Rapgef1"</f>
        <v>Rapgef1</v>
      </c>
      <c r="B17466" t="s">
        <v>14</v>
      </c>
      <c r="C17466" t="s">
        <v>26</v>
      </c>
      <c r="D17466" t="s">
        <v>17</v>
      </c>
      <c r="E17466" t="s">
        <v>12</v>
      </c>
      <c r="F17466">
        <v>29619692</v>
      </c>
      <c r="G17466">
        <v>29619825</v>
      </c>
      <c r="H17466">
        <v>29619826</v>
      </c>
      <c r="I17466">
        <v>29619852</v>
      </c>
    </row>
    <row r="17467" spans="1:9" x14ac:dyDescent="0.2">
      <c r="A17467" t="str">
        <f>"Rapgef2"</f>
        <v>Rapgef2</v>
      </c>
      <c r="B17467" t="s">
        <v>5650</v>
      </c>
      <c r="C17467" t="s">
        <v>22</v>
      </c>
      <c r="D17467" t="s">
        <v>11</v>
      </c>
      <c r="E17467" t="s">
        <v>35</v>
      </c>
      <c r="F17467">
        <v>79145094</v>
      </c>
      <c r="G17467">
        <v>79145104</v>
      </c>
      <c r="H17467">
        <v>79144884</v>
      </c>
      <c r="I17467">
        <v>79144892</v>
      </c>
    </row>
    <row r="17468" spans="1:9" x14ac:dyDescent="0.2">
      <c r="A17468" t="str">
        <f>"Rapgef3"</f>
        <v>Rapgef3</v>
      </c>
      <c r="B17468" t="s">
        <v>14</v>
      </c>
      <c r="C17468" t="s">
        <v>25</v>
      </c>
      <c r="D17468" t="s">
        <v>11</v>
      </c>
      <c r="E17468" t="s">
        <v>12</v>
      </c>
      <c r="F17468">
        <v>97767644</v>
      </c>
      <c r="G17468">
        <v>97767679</v>
      </c>
      <c r="H17468">
        <v>97767510</v>
      </c>
      <c r="I17468">
        <v>97767576</v>
      </c>
    </row>
    <row r="17469" spans="1:9" x14ac:dyDescent="0.2">
      <c r="A17469" t="str">
        <f>"Rapgef4"</f>
        <v>Rapgef4</v>
      </c>
      <c r="B17469" t="s">
        <v>14</v>
      </c>
      <c r="C17469" t="s">
        <v>26</v>
      </c>
      <c r="D17469" t="s">
        <v>17</v>
      </c>
      <c r="E17469" t="s">
        <v>12</v>
      </c>
      <c r="F17469">
        <v>71981184</v>
      </c>
      <c r="G17469">
        <v>71981285</v>
      </c>
      <c r="H17469">
        <v>71981184</v>
      </c>
      <c r="I17469">
        <v>71981285</v>
      </c>
    </row>
    <row r="17470" spans="1:9" x14ac:dyDescent="0.2">
      <c r="A17470" t="str">
        <f>"Rapgef5"</f>
        <v>Rapgef5</v>
      </c>
      <c r="B17470" t="s">
        <v>14</v>
      </c>
      <c r="C17470" t="s">
        <v>16</v>
      </c>
      <c r="D17470" t="s">
        <v>17</v>
      </c>
      <c r="E17470" t="s">
        <v>12</v>
      </c>
      <c r="F17470">
        <v>117533857</v>
      </c>
      <c r="G17470">
        <v>117533910</v>
      </c>
      <c r="H17470">
        <v>117533920</v>
      </c>
      <c r="I17470">
        <v>117533942</v>
      </c>
    </row>
    <row r="17471" spans="1:9" x14ac:dyDescent="0.2">
      <c r="A17471" t="str">
        <f>"Rapgef6"</f>
        <v>Rapgef6</v>
      </c>
      <c r="B17471" t="s">
        <v>14</v>
      </c>
      <c r="C17471" t="s">
        <v>27</v>
      </c>
      <c r="D17471" t="s">
        <v>17</v>
      </c>
      <c r="E17471" t="s">
        <v>12</v>
      </c>
      <c r="F17471">
        <v>54522872</v>
      </c>
      <c r="G17471">
        <v>54522895</v>
      </c>
      <c r="H17471">
        <v>54522951</v>
      </c>
      <c r="I17471">
        <v>54522976</v>
      </c>
    </row>
    <row r="17472" spans="1:9" x14ac:dyDescent="0.2">
      <c r="A17472" t="str">
        <f>"Rapgefl1"</f>
        <v>Rapgefl1</v>
      </c>
      <c r="B17472" t="s">
        <v>14</v>
      </c>
      <c r="C17472" t="s">
        <v>27</v>
      </c>
      <c r="D17472" t="s">
        <v>17</v>
      </c>
      <c r="E17472" t="s">
        <v>12</v>
      </c>
      <c r="F17472">
        <v>98836775</v>
      </c>
      <c r="G17472">
        <v>98836831</v>
      </c>
      <c r="H17472">
        <v>98836836</v>
      </c>
      <c r="I17472">
        <v>98836859</v>
      </c>
    </row>
    <row r="17473" spans="1:9" x14ac:dyDescent="0.2">
      <c r="A17473" t="str">
        <f>"Raph1"</f>
        <v>Raph1</v>
      </c>
      <c r="B17473" t="s">
        <v>14</v>
      </c>
      <c r="C17473" t="s">
        <v>19</v>
      </c>
      <c r="D17473" t="s">
        <v>11</v>
      </c>
      <c r="E17473" t="s">
        <v>12</v>
      </c>
      <c r="F17473">
        <v>60566708</v>
      </c>
      <c r="G17473">
        <v>60566756</v>
      </c>
      <c r="H17473">
        <v>60566810</v>
      </c>
      <c r="I17473">
        <v>60566836</v>
      </c>
    </row>
    <row r="17474" spans="1:9" x14ac:dyDescent="0.2">
      <c r="A17474" t="str">
        <f>"Rapsn"</f>
        <v>Rapsn</v>
      </c>
      <c r="B17474" t="s">
        <v>14</v>
      </c>
      <c r="C17474" t="s">
        <v>26</v>
      </c>
      <c r="D17474" t="s">
        <v>17</v>
      </c>
      <c r="E17474" t="s">
        <v>12</v>
      </c>
      <c r="F17474">
        <v>91035613</v>
      </c>
      <c r="G17474">
        <v>91035632</v>
      </c>
      <c r="H17474">
        <v>91035613</v>
      </c>
      <c r="I17474">
        <v>91035632</v>
      </c>
    </row>
    <row r="17475" spans="1:9" x14ac:dyDescent="0.2">
      <c r="A17475" t="str">
        <f>"Rara"</f>
        <v>Rara</v>
      </c>
      <c r="B17475" t="s">
        <v>9</v>
      </c>
      <c r="C17475" t="s">
        <v>27</v>
      </c>
      <c r="D17475" t="s">
        <v>17</v>
      </c>
      <c r="E17475" t="s">
        <v>12</v>
      </c>
      <c r="F17475">
        <v>98937669</v>
      </c>
      <c r="G17475">
        <v>98937735</v>
      </c>
      <c r="H17475">
        <v>98937669</v>
      </c>
      <c r="I17475">
        <v>98937735</v>
      </c>
    </row>
    <row r="17476" spans="1:9" x14ac:dyDescent="0.2">
      <c r="A17476" t="str">
        <f>"Rara"</f>
        <v>Rara</v>
      </c>
      <c r="B17476" t="s">
        <v>13</v>
      </c>
      <c r="C17476" t="s">
        <v>27</v>
      </c>
      <c r="D17476" t="s">
        <v>17</v>
      </c>
      <c r="E17476" t="s">
        <v>12</v>
      </c>
      <c r="F17476">
        <v>98960435</v>
      </c>
      <c r="G17476">
        <v>98960485</v>
      </c>
      <c r="H17476">
        <v>98960435</v>
      </c>
      <c r="I17476">
        <v>98960485</v>
      </c>
    </row>
    <row r="17477" spans="1:9" x14ac:dyDescent="0.2">
      <c r="A17477" t="str">
        <f>"Rarb"</f>
        <v>Rarb</v>
      </c>
      <c r="B17477" t="s">
        <v>14</v>
      </c>
      <c r="C17477" t="s">
        <v>41</v>
      </c>
      <c r="D17477" t="s">
        <v>11</v>
      </c>
      <c r="E17477" t="s">
        <v>12</v>
      </c>
      <c r="F17477">
        <v>16575364</v>
      </c>
      <c r="G17477">
        <v>16575412</v>
      </c>
      <c r="H17477">
        <v>16575456</v>
      </c>
      <c r="I17477">
        <v>16575501</v>
      </c>
    </row>
    <row r="17478" spans="1:9" x14ac:dyDescent="0.2">
      <c r="A17478" t="str">
        <f>"Rarg"</f>
        <v>Rarg</v>
      </c>
      <c r="B17478" t="s">
        <v>9</v>
      </c>
      <c r="C17478" t="s">
        <v>25</v>
      </c>
      <c r="D17478" t="s">
        <v>11</v>
      </c>
      <c r="E17478" t="s">
        <v>12</v>
      </c>
      <c r="F17478">
        <v>102246439</v>
      </c>
      <c r="G17478">
        <v>102246510</v>
      </c>
      <c r="H17478">
        <v>102246439</v>
      </c>
      <c r="I17478">
        <v>102246510</v>
      </c>
    </row>
    <row r="17479" spans="1:9" x14ac:dyDescent="0.2">
      <c r="A17479" t="str">
        <f>"Rarg"</f>
        <v>Rarg</v>
      </c>
      <c r="B17479" t="s">
        <v>13</v>
      </c>
      <c r="C17479" t="s">
        <v>25</v>
      </c>
      <c r="D17479" t="s">
        <v>11</v>
      </c>
      <c r="E17479" t="s">
        <v>12</v>
      </c>
      <c r="F17479">
        <v>102257449</v>
      </c>
      <c r="G17479">
        <v>102257496</v>
      </c>
      <c r="H17479">
        <v>102257449</v>
      </c>
      <c r="I17479">
        <v>102257496</v>
      </c>
    </row>
    <row r="17480" spans="1:9" x14ac:dyDescent="0.2">
      <c r="A17480" t="str">
        <f>"Rarres1"</f>
        <v>Rarres1</v>
      </c>
      <c r="B17480" t="s">
        <v>14</v>
      </c>
      <c r="C17480" t="s">
        <v>22</v>
      </c>
      <c r="D17480" t="s">
        <v>11</v>
      </c>
      <c r="E17480" t="s">
        <v>12</v>
      </c>
      <c r="F17480">
        <v>67515468</v>
      </c>
      <c r="G17480">
        <v>67515484</v>
      </c>
      <c r="H17480">
        <v>67515487</v>
      </c>
      <c r="I17480">
        <v>67515502</v>
      </c>
    </row>
    <row r="17481" spans="1:9" x14ac:dyDescent="0.2">
      <c r="A17481" t="str">
        <f>"Rarres2"</f>
        <v>Rarres2</v>
      </c>
      <c r="B17481" t="s">
        <v>14</v>
      </c>
      <c r="C17481" t="s">
        <v>32</v>
      </c>
      <c r="D17481" t="s">
        <v>11</v>
      </c>
      <c r="E17481" t="s">
        <v>12</v>
      </c>
      <c r="F17481">
        <v>48572660</v>
      </c>
      <c r="G17481">
        <v>48572677</v>
      </c>
      <c r="H17481">
        <v>48572660</v>
      </c>
      <c r="I17481">
        <v>48572677</v>
      </c>
    </row>
    <row r="17482" spans="1:9" x14ac:dyDescent="0.2">
      <c r="A17482" t="str">
        <f>"Rars"</f>
        <v>Rars</v>
      </c>
      <c r="B17482" t="s">
        <v>14</v>
      </c>
      <c r="C17482" t="s">
        <v>27</v>
      </c>
      <c r="D17482" t="s">
        <v>11</v>
      </c>
      <c r="E17482" t="s">
        <v>12</v>
      </c>
      <c r="F17482">
        <v>35834492</v>
      </c>
      <c r="G17482">
        <v>35834509</v>
      </c>
      <c r="H17482">
        <v>35834518</v>
      </c>
      <c r="I17482">
        <v>35834530</v>
      </c>
    </row>
    <row r="17483" spans="1:9" x14ac:dyDescent="0.2">
      <c r="A17483" t="str">
        <f>"Rars2"</f>
        <v>Rars2</v>
      </c>
      <c r="B17483" t="s">
        <v>14</v>
      </c>
      <c r="C17483" t="s">
        <v>23</v>
      </c>
      <c r="D17483" t="s">
        <v>17</v>
      </c>
      <c r="E17483" t="s">
        <v>12</v>
      </c>
      <c r="F17483">
        <v>34614940</v>
      </c>
      <c r="G17483">
        <v>34614996</v>
      </c>
      <c r="H17483">
        <v>34614940</v>
      </c>
      <c r="I17483">
        <v>34614996</v>
      </c>
    </row>
    <row r="17484" spans="1:9" x14ac:dyDescent="0.2">
      <c r="A17484" t="str">
        <f>"Rasa1"</f>
        <v>Rasa1</v>
      </c>
      <c r="B17484" t="s">
        <v>14</v>
      </c>
      <c r="C17484" t="s">
        <v>39</v>
      </c>
      <c r="D17484" t="s">
        <v>11</v>
      </c>
      <c r="E17484" t="s">
        <v>12</v>
      </c>
      <c r="F17484">
        <v>85289324</v>
      </c>
      <c r="G17484">
        <v>85289406</v>
      </c>
      <c r="H17484">
        <v>85289082</v>
      </c>
      <c r="I17484">
        <v>85289136</v>
      </c>
    </row>
    <row r="17485" spans="1:9" x14ac:dyDescent="0.2">
      <c r="A17485" t="str">
        <f>"Rasa2"</f>
        <v>Rasa2</v>
      </c>
      <c r="B17485" t="s">
        <v>14</v>
      </c>
      <c r="C17485" t="s">
        <v>24</v>
      </c>
      <c r="D17485" t="s">
        <v>11</v>
      </c>
      <c r="E17485" t="s">
        <v>12</v>
      </c>
      <c r="F17485">
        <v>96631487</v>
      </c>
      <c r="G17485">
        <v>96631554</v>
      </c>
      <c r="H17485">
        <v>96631568</v>
      </c>
      <c r="I17485">
        <v>96631577</v>
      </c>
    </row>
    <row r="17486" spans="1:9" x14ac:dyDescent="0.2">
      <c r="A17486" t="str">
        <f>"Rasa3"</f>
        <v>Rasa3</v>
      </c>
      <c r="B17486" t="s">
        <v>14</v>
      </c>
      <c r="C17486" t="s">
        <v>30</v>
      </c>
      <c r="D17486" t="s">
        <v>11</v>
      </c>
      <c r="E17486" t="s">
        <v>12</v>
      </c>
      <c r="F17486">
        <v>13677575</v>
      </c>
      <c r="G17486">
        <v>13677592</v>
      </c>
      <c r="H17486">
        <v>13677536</v>
      </c>
      <c r="I17486">
        <v>13677553</v>
      </c>
    </row>
    <row r="17487" spans="1:9" x14ac:dyDescent="0.2">
      <c r="A17487" t="str">
        <f>"Rasa4"</f>
        <v>Rasa4</v>
      </c>
      <c r="B17487" t="s">
        <v>14</v>
      </c>
      <c r="C17487" t="s">
        <v>46</v>
      </c>
      <c r="D17487" t="s">
        <v>17</v>
      </c>
      <c r="E17487" t="s">
        <v>12</v>
      </c>
      <c r="F17487">
        <v>136083942</v>
      </c>
      <c r="G17487">
        <v>136084010</v>
      </c>
      <c r="H17487">
        <v>136084083</v>
      </c>
      <c r="I17487">
        <v>136084101</v>
      </c>
    </row>
    <row r="17488" spans="1:9" x14ac:dyDescent="0.2">
      <c r="A17488" t="str">
        <f>"Rasal1"</f>
        <v>Rasal1</v>
      </c>
      <c r="B17488" t="s">
        <v>14</v>
      </c>
      <c r="C17488" t="s">
        <v>46</v>
      </c>
      <c r="D17488" t="s">
        <v>17</v>
      </c>
      <c r="E17488" t="s">
        <v>12</v>
      </c>
      <c r="F17488">
        <v>120649213</v>
      </c>
      <c r="G17488">
        <v>120649259</v>
      </c>
      <c r="H17488">
        <v>120648796</v>
      </c>
      <c r="I17488">
        <v>120648817</v>
      </c>
    </row>
    <row r="17489" spans="1:9" x14ac:dyDescent="0.2">
      <c r="A17489" t="str">
        <f>"Rasal2"</f>
        <v>Rasal2</v>
      </c>
      <c r="B17489" t="s">
        <v>14</v>
      </c>
      <c r="C17489" t="s">
        <v>19</v>
      </c>
      <c r="D17489" t="s">
        <v>11</v>
      </c>
      <c r="E17489" t="s">
        <v>12</v>
      </c>
      <c r="F17489">
        <v>157412576</v>
      </c>
      <c r="G17489">
        <v>157412621</v>
      </c>
      <c r="H17489">
        <v>157412527</v>
      </c>
      <c r="I17489">
        <v>157412565</v>
      </c>
    </row>
    <row r="17490" spans="1:9" x14ac:dyDescent="0.2">
      <c r="A17490" t="str">
        <f>"Rasal3"</f>
        <v>Rasal3</v>
      </c>
      <c r="B17490" t="s">
        <v>14</v>
      </c>
      <c r="C17490" t="s">
        <v>28</v>
      </c>
      <c r="D17490" t="s">
        <v>11</v>
      </c>
      <c r="E17490" t="s">
        <v>12</v>
      </c>
      <c r="F17490">
        <v>32403551</v>
      </c>
      <c r="G17490">
        <v>32403590</v>
      </c>
      <c r="H17490">
        <v>32403526</v>
      </c>
      <c r="I17490">
        <v>32403535</v>
      </c>
    </row>
    <row r="17491" spans="1:9" x14ac:dyDescent="0.2">
      <c r="A17491" t="str">
        <f>"Rasd1"</f>
        <v>Rasd1</v>
      </c>
      <c r="B17491" t="s">
        <v>14</v>
      </c>
      <c r="C17491" t="s">
        <v>27</v>
      </c>
      <c r="D17491" t="s">
        <v>11</v>
      </c>
      <c r="E17491" t="s">
        <v>12</v>
      </c>
      <c r="F17491">
        <v>59964936</v>
      </c>
      <c r="G17491">
        <v>59964951</v>
      </c>
      <c r="H17491">
        <v>59964911</v>
      </c>
      <c r="I17491">
        <v>59964922</v>
      </c>
    </row>
    <row r="17492" spans="1:9" x14ac:dyDescent="0.2">
      <c r="A17492" t="str">
        <f>"Rasd2"</f>
        <v>Rasd2</v>
      </c>
      <c r="B17492" t="s">
        <v>14</v>
      </c>
      <c r="C17492" t="s">
        <v>30</v>
      </c>
      <c r="D17492" t="s">
        <v>17</v>
      </c>
      <c r="E17492" t="s">
        <v>12</v>
      </c>
      <c r="F17492">
        <v>75213430</v>
      </c>
      <c r="G17492">
        <v>75213461</v>
      </c>
      <c r="H17492">
        <v>75213430</v>
      </c>
      <c r="I17492">
        <v>75213461</v>
      </c>
    </row>
    <row r="17493" spans="1:9" x14ac:dyDescent="0.2">
      <c r="A17493" t="str">
        <f>"Rasef"</f>
        <v>Rasef</v>
      </c>
      <c r="B17493" t="s">
        <v>14</v>
      </c>
      <c r="C17493" t="s">
        <v>23</v>
      </c>
      <c r="D17493" t="s">
        <v>11</v>
      </c>
      <c r="E17493" t="s">
        <v>12</v>
      </c>
      <c r="F17493">
        <v>73790993</v>
      </c>
      <c r="G17493">
        <v>73791053</v>
      </c>
      <c r="H17493">
        <v>73791138</v>
      </c>
      <c r="I17493">
        <v>73791153</v>
      </c>
    </row>
    <row r="17494" spans="1:9" x14ac:dyDescent="0.2">
      <c r="A17494" t="str">
        <f>"Rasgef1a"</f>
        <v>Rasgef1a</v>
      </c>
      <c r="B17494" t="s">
        <v>5651</v>
      </c>
      <c r="C17494" t="s">
        <v>32</v>
      </c>
      <c r="D17494" t="s">
        <v>17</v>
      </c>
      <c r="E17494" t="s">
        <v>35</v>
      </c>
      <c r="F17494">
        <v>118066219</v>
      </c>
      <c r="G17494">
        <v>118066224</v>
      </c>
      <c r="H17494">
        <v>118066219</v>
      </c>
      <c r="I17494">
        <v>118066224</v>
      </c>
    </row>
    <row r="17495" spans="1:9" x14ac:dyDescent="0.2">
      <c r="A17495" t="str">
        <f>"Rasgef1b"</f>
        <v>Rasgef1b</v>
      </c>
      <c r="B17495" t="s">
        <v>14</v>
      </c>
      <c r="C17495" t="s">
        <v>46</v>
      </c>
      <c r="D17495" t="s">
        <v>11</v>
      </c>
      <c r="E17495" t="s">
        <v>12</v>
      </c>
      <c r="F17495">
        <v>99252839</v>
      </c>
      <c r="G17495">
        <v>99252854</v>
      </c>
      <c r="H17495">
        <v>99252810</v>
      </c>
      <c r="I17495">
        <v>99252824</v>
      </c>
    </row>
    <row r="17496" spans="1:9" x14ac:dyDescent="0.2">
      <c r="A17496" t="str">
        <f>"Rasgef1c"</f>
        <v>Rasgef1c</v>
      </c>
      <c r="B17496" t="s">
        <v>14</v>
      </c>
      <c r="C17496" t="s">
        <v>27</v>
      </c>
      <c r="D17496" t="s">
        <v>17</v>
      </c>
      <c r="E17496" t="s">
        <v>12</v>
      </c>
      <c r="F17496">
        <v>49901803</v>
      </c>
      <c r="G17496">
        <v>49901895</v>
      </c>
      <c r="H17496">
        <v>49902370</v>
      </c>
      <c r="I17496">
        <v>49902406</v>
      </c>
    </row>
    <row r="17497" spans="1:9" x14ac:dyDescent="0.2">
      <c r="A17497" t="str">
        <f>"Rasgrf1"</f>
        <v>Rasgrf1</v>
      </c>
      <c r="B17497" t="s">
        <v>14</v>
      </c>
      <c r="C17497" t="s">
        <v>24</v>
      </c>
      <c r="D17497" t="s">
        <v>17</v>
      </c>
      <c r="E17497" t="s">
        <v>12</v>
      </c>
      <c r="F17497">
        <v>89909891</v>
      </c>
      <c r="G17497">
        <v>89909924</v>
      </c>
      <c r="H17497">
        <v>89909534</v>
      </c>
      <c r="I17497">
        <v>89909606</v>
      </c>
    </row>
    <row r="17498" spans="1:9" x14ac:dyDescent="0.2">
      <c r="A17498" t="str">
        <f>"Rasgrf2"</f>
        <v>Rasgrf2</v>
      </c>
      <c r="B17498" t="s">
        <v>14</v>
      </c>
      <c r="C17498" t="s">
        <v>39</v>
      </c>
      <c r="D17498" t="s">
        <v>11</v>
      </c>
      <c r="E17498" t="s">
        <v>12</v>
      </c>
      <c r="F17498">
        <v>92131547</v>
      </c>
      <c r="G17498">
        <v>92131561</v>
      </c>
      <c r="H17498">
        <v>92131485</v>
      </c>
      <c r="I17498">
        <v>92131497</v>
      </c>
    </row>
    <row r="17499" spans="1:9" x14ac:dyDescent="0.2">
      <c r="A17499" t="str">
        <f>"Rasgrp1"</f>
        <v>Rasgrp1</v>
      </c>
      <c r="B17499" t="s">
        <v>14</v>
      </c>
      <c r="C17499" t="s">
        <v>26</v>
      </c>
      <c r="D17499" t="s">
        <v>11</v>
      </c>
      <c r="E17499" t="s">
        <v>12</v>
      </c>
      <c r="F17499">
        <v>117342831</v>
      </c>
      <c r="G17499">
        <v>117342896</v>
      </c>
      <c r="H17499">
        <v>117342915</v>
      </c>
      <c r="I17499">
        <v>117342928</v>
      </c>
    </row>
    <row r="17500" spans="1:9" x14ac:dyDescent="0.2">
      <c r="A17500" t="str">
        <f>"Rasgrp2"</f>
        <v>Rasgrp2</v>
      </c>
      <c r="B17500" t="s">
        <v>9</v>
      </c>
      <c r="C17500" t="s">
        <v>10</v>
      </c>
      <c r="D17500" t="s">
        <v>17</v>
      </c>
      <c r="E17500" t="s">
        <v>12</v>
      </c>
      <c r="F17500">
        <v>6399857</v>
      </c>
      <c r="G17500">
        <v>6399890</v>
      </c>
      <c r="H17500">
        <v>6399857</v>
      </c>
      <c r="I17500">
        <v>6399890</v>
      </c>
    </row>
    <row r="17501" spans="1:9" x14ac:dyDescent="0.2">
      <c r="A17501" t="str">
        <f>"Rasgrp2"</f>
        <v>Rasgrp2</v>
      </c>
      <c r="B17501" t="s">
        <v>13</v>
      </c>
      <c r="C17501" t="s">
        <v>10</v>
      </c>
      <c r="D17501" t="s">
        <v>17</v>
      </c>
      <c r="E17501" t="s">
        <v>12</v>
      </c>
      <c r="F17501">
        <v>6401675</v>
      </c>
      <c r="G17501">
        <v>6401715</v>
      </c>
      <c r="H17501">
        <v>6401675</v>
      </c>
      <c r="I17501">
        <v>6401715</v>
      </c>
    </row>
    <row r="17502" spans="1:9" x14ac:dyDescent="0.2">
      <c r="A17502" t="str">
        <f>"Rasgrp3"</f>
        <v>Rasgrp3</v>
      </c>
      <c r="B17502" t="s">
        <v>9</v>
      </c>
      <c r="C17502" t="s">
        <v>28</v>
      </c>
      <c r="D17502" t="s">
        <v>17</v>
      </c>
      <c r="E17502" t="s">
        <v>12</v>
      </c>
      <c r="F17502">
        <v>75435886</v>
      </c>
      <c r="G17502">
        <v>75435937</v>
      </c>
      <c r="H17502">
        <v>75435886</v>
      </c>
      <c r="I17502">
        <v>75435937</v>
      </c>
    </row>
    <row r="17503" spans="1:9" x14ac:dyDescent="0.2">
      <c r="A17503" t="str">
        <f>"Rasgrp3"</f>
        <v>Rasgrp3</v>
      </c>
      <c r="B17503" t="s">
        <v>13</v>
      </c>
      <c r="C17503" t="s">
        <v>28</v>
      </c>
      <c r="D17503" t="s">
        <v>17</v>
      </c>
      <c r="E17503" t="s">
        <v>12</v>
      </c>
      <c r="F17503">
        <v>75465600</v>
      </c>
      <c r="G17503">
        <v>75465625</v>
      </c>
      <c r="H17503">
        <v>75465600</v>
      </c>
      <c r="I17503">
        <v>75465625</v>
      </c>
    </row>
    <row r="17504" spans="1:9" x14ac:dyDescent="0.2">
      <c r="A17504" t="str">
        <f>"Rasgrp4"</f>
        <v>Rasgrp4</v>
      </c>
      <c r="B17504" t="s">
        <v>14</v>
      </c>
      <c r="C17504" t="s">
        <v>33</v>
      </c>
      <c r="D17504" t="s">
        <v>17</v>
      </c>
      <c r="E17504" t="s">
        <v>12</v>
      </c>
      <c r="F17504">
        <v>29134925</v>
      </c>
      <c r="G17504">
        <v>29134957</v>
      </c>
      <c r="H17504">
        <v>29134971</v>
      </c>
      <c r="I17504">
        <v>29134992</v>
      </c>
    </row>
    <row r="17505" spans="1:9" x14ac:dyDescent="0.2">
      <c r="A17505" t="str">
        <f>"Rasip1"</f>
        <v>Rasip1</v>
      </c>
      <c r="B17505" t="s">
        <v>14</v>
      </c>
      <c r="C17505" t="s">
        <v>33</v>
      </c>
      <c r="D17505" t="s">
        <v>17</v>
      </c>
      <c r="E17505" t="s">
        <v>12</v>
      </c>
      <c r="F17505">
        <v>45627502</v>
      </c>
      <c r="G17505">
        <v>45627532</v>
      </c>
      <c r="H17505">
        <v>45627482</v>
      </c>
      <c r="I17505">
        <v>45627493</v>
      </c>
    </row>
    <row r="17506" spans="1:9" x14ac:dyDescent="0.2">
      <c r="A17506" t="str">
        <f>"Rasl10a"</f>
        <v>Rasl10a</v>
      </c>
      <c r="B17506" t="s">
        <v>14</v>
      </c>
      <c r="C17506" t="s">
        <v>27</v>
      </c>
      <c r="D17506" t="s">
        <v>17</v>
      </c>
      <c r="E17506" t="s">
        <v>12</v>
      </c>
      <c r="F17506">
        <v>5058021</v>
      </c>
      <c r="G17506">
        <v>5058045</v>
      </c>
      <c r="H17506">
        <v>5058111</v>
      </c>
      <c r="I17506">
        <v>5058147</v>
      </c>
    </row>
    <row r="17507" spans="1:9" x14ac:dyDescent="0.2">
      <c r="A17507" t="str">
        <f>"Rasl10b"</f>
        <v>Rasl10b</v>
      </c>
      <c r="B17507" t="s">
        <v>14</v>
      </c>
      <c r="C17507" t="s">
        <v>27</v>
      </c>
      <c r="D17507" t="s">
        <v>17</v>
      </c>
      <c r="E17507" t="s">
        <v>12</v>
      </c>
      <c r="F17507">
        <v>83409655</v>
      </c>
      <c r="G17507">
        <v>83409718</v>
      </c>
      <c r="H17507">
        <v>83409216</v>
      </c>
      <c r="I17507">
        <v>83409289</v>
      </c>
    </row>
    <row r="17508" spans="1:9" x14ac:dyDescent="0.2">
      <c r="A17508" t="str">
        <f>"Rasl11a"</f>
        <v>Rasl11a</v>
      </c>
      <c r="B17508" t="s">
        <v>14</v>
      </c>
      <c r="C17508" t="s">
        <v>46</v>
      </c>
      <c r="D17508" t="s">
        <v>17</v>
      </c>
      <c r="E17508" t="s">
        <v>12</v>
      </c>
      <c r="F17508">
        <v>146845130</v>
      </c>
      <c r="G17508">
        <v>146845150</v>
      </c>
      <c r="H17508">
        <v>146845114</v>
      </c>
      <c r="I17508">
        <v>146845123</v>
      </c>
    </row>
    <row r="17509" spans="1:9" x14ac:dyDescent="0.2">
      <c r="A17509" t="str">
        <f>"Rasl11b"</f>
        <v>Rasl11b</v>
      </c>
      <c r="B17509" t="s">
        <v>14</v>
      </c>
      <c r="C17509" t="s">
        <v>46</v>
      </c>
      <c r="D17509" t="s">
        <v>17</v>
      </c>
      <c r="E17509" t="s">
        <v>12</v>
      </c>
      <c r="F17509">
        <v>74195281</v>
      </c>
      <c r="G17509">
        <v>74195294</v>
      </c>
      <c r="H17509">
        <v>74195281</v>
      </c>
      <c r="I17509">
        <v>74195294</v>
      </c>
    </row>
    <row r="17510" spans="1:9" x14ac:dyDescent="0.2">
      <c r="A17510" t="str">
        <f>"Rasl12"</f>
        <v>Rasl12</v>
      </c>
      <c r="B17510" t="s">
        <v>14</v>
      </c>
      <c r="C17510" t="s">
        <v>24</v>
      </c>
      <c r="D17510" t="s">
        <v>17</v>
      </c>
      <c r="E17510" t="s">
        <v>12</v>
      </c>
      <c r="F17510">
        <v>65398507</v>
      </c>
      <c r="G17510">
        <v>65398580</v>
      </c>
      <c r="H17510">
        <v>65398492</v>
      </c>
      <c r="I17510">
        <v>65398497</v>
      </c>
    </row>
    <row r="17511" spans="1:9" x14ac:dyDescent="0.2">
      <c r="A17511" t="str">
        <f>"Rasl2-9"</f>
        <v>Rasl2-9</v>
      </c>
      <c r="B17511" t="s">
        <v>14</v>
      </c>
      <c r="C17511" t="s">
        <v>33</v>
      </c>
      <c r="D17511" t="s">
        <v>11</v>
      </c>
      <c r="E17511" t="s">
        <v>67</v>
      </c>
      <c r="F17511">
        <v>5125937</v>
      </c>
      <c r="G17511">
        <v>5125958</v>
      </c>
      <c r="H17511">
        <v>5125970</v>
      </c>
      <c r="I17511">
        <v>5125978</v>
      </c>
    </row>
    <row r="17512" spans="1:9" x14ac:dyDescent="0.2">
      <c r="A17512" t="str">
        <f>"Rassf1"</f>
        <v>Rassf1</v>
      </c>
      <c r="B17512" t="s">
        <v>9</v>
      </c>
      <c r="C17512" t="s">
        <v>24</v>
      </c>
      <c r="D17512" t="s">
        <v>17</v>
      </c>
      <c r="E17512" t="s">
        <v>12</v>
      </c>
      <c r="F17512">
        <v>107554685</v>
      </c>
      <c r="G17512">
        <v>107554763</v>
      </c>
      <c r="H17512">
        <v>107554685</v>
      </c>
      <c r="I17512">
        <v>107554763</v>
      </c>
    </row>
    <row r="17513" spans="1:9" x14ac:dyDescent="0.2">
      <c r="A17513" t="str">
        <f>"Rassf1"</f>
        <v>Rassf1</v>
      </c>
      <c r="B17513" t="s">
        <v>13</v>
      </c>
      <c r="C17513" t="s">
        <v>24</v>
      </c>
      <c r="D17513" t="s">
        <v>17</v>
      </c>
      <c r="E17513" t="s">
        <v>12</v>
      </c>
      <c r="F17513">
        <v>107551516</v>
      </c>
      <c r="G17513">
        <v>107551575</v>
      </c>
      <c r="H17513">
        <v>107551516</v>
      </c>
      <c r="I17513">
        <v>107551575</v>
      </c>
    </row>
    <row r="17514" spans="1:9" x14ac:dyDescent="0.2">
      <c r="A17514" t="str">
        <f>"Rassf2"</f>
        <v>Rassf2</v>
      </c>
      <c r="B17514" t="s">
        <v>14</v>
      </c>
      <c r="C17514" t="s">
        <v>26</v>
      </c>
      <c r="D17514" t="s">
        <v>11</v>
      </c>
      <c r="E17514" t="s">
        <v>12</v>
      </c>
      <c r="F17514">
        <v>132029845</v>
      </c>
      <c r="G17514">
        <v>132029901</v>
      </c>
      <c r="H17514">
        <v>132029845</v>
      </c>
      <c r="I17514">
        <v>132029901</v>
      </c>
    </row>
    <row r="17515" spans="1:9" x14ac:dyDescent="0.2">
      <c r="A17515" t="str">
        <f>"Rassf3"</f>
        <v>Rassf3</v>
      </c>
      <c r="B17515" t="s">
        <v>14</v>
      </c>
      <c r="C17515" t="s">
        <v>15</v>
      </c>
      <c r="D17515" t="s">
        <v>11</v>
      </c>
      <c r="E17515" t="s">
        <v>12</v>
      </c>
      <c r="F17515">
        <v>121476248</v>
      </c>
      <c r="G17515">
        <v>121476275</v>
      </c>
      <c r="H17515">
        <v>121476307</v>
      </c>
      <c r="I17515">
        <v>121476327</v>
      </c>
    </row>
    <row r="17516" spans="1:9" x14ac:dyDescent="0.2">
      <c r="A17516" t="str">
        <f>"Rassf4"</f>
        <v>Rassf4</v>
      </c>
      <c r="B17516" t="s">
        <v>14</v>
      </c>
      <c r="C17516" t="s">
        <v>32</v>
      </c>
      <c r="D17516" t="s">
        <v>11</v>
      </c>
      <c r="E17516" t="s">
        <v>12</v>
      </c>
      <c r="F17516">
        <v>116673790</v>
      </c>
      <c r="G17516">
        <v>116673853</v>
      </c>
      <c r="H17516">
        <v>116673771</v>
      </c>
      <c r="I17516">
        <v>116673789</v>
      </c>
    </row>
    <row r="17517" spans="1:9" x14ac:dyDescent="0.2">
      <c r="A17517" t="str">
        <f>"Rassf5"</f>
        <v>Rassf5</v>
      </c>
      <c r="B17517" t="s">
        <v>5652</v>
      </c>
      <c r="C17517" t="s">
        <v>19</v>
      </c>
      <c r="D17517" t="s">
        <v>11</v>
      </c>
      <c r="E17517" t="s">
        <v>35</v>
      </c>
      <c r="F17517">
        <v>131245386</v>
      </c>
      <c r="G17517">
        <v>131245413</v>
      </c>
      <c r="H17517">
        <v>131245167</v>
      </c>
      <c r="I17517">
        <v>131245185</v>
      </c>
    </row>
    <row r="17518" spans="1:9" x14ac:dyDescent="0.2">
      <c r="A17518" t="str">
        <f>"Rassf6"</f>
        <v>Rassf6</v>
      </c>
      <c r="B17518" t="s">
        <v>14</v>
      </c>
      <c r="C17518" t="s">
        <v>46</v>
      </c>
      <c r="D17518" t="s">
        <v>11</v>
      </c>
      <c r="E17518" t="s">
        <v>12</v>
      </c>
      <c r="F17518">
        <v>90640602</v>
      </c>
      <c r="G17518">
        <v>90640695</v>
      </c>
      <c r="H17518">
        <v>90640464</v>
      </c>
      <c r="I17518">
        <v>90640539</v>
      </c>
    </row>
    <row r="17519" spans="1:9" x14ac:dyDescent="0.2">
      <c r="A17519" t="str">
        <f>"Rassf7"</f>
        <v>Rassf7</v>
      </c>
      <c r="B17519" t="s">
        <v>14</v>
      </c>
      <c r="C17519" t="s">
        <v>33</v>
      </c>
      <c r="D17519" t="s">
        <v>17</v>
      </c>
      <c r="E17519" t="s">
        <v>12</v>
      </c>
      <c r="F17519">
        <v>141215852</v>
      </c>
      <c r="G17519">
        <v>141215967</v>
      </c>
      <c r="H17519">
        <v>141216626</v>
      </c>
      <c r="I17519">
        <v>141216644</v>
      </c>
    </row>
    <row r="17520" spans="1:9" x14ac:dyDescent="0.2">
      <c r="A17520" t="str">
        <f>"Rassf8"</f>
        <v>Rassf8</v>
      </c>
      <c r="B17520" t="s">
        <v>14</v>
      </c>
      <c r="C17520" t="s">
        <v>32</v>
      </c>
      <c r="D17520" t="s">
        <v>17</v>
      </c>
      <c r="E17520" t="s">
        <v>67</v>
      </c>
      <c r="F17520">
        <v>145819487</v>
      </c>
      <c r="G17520">
        <v>145819492</v>
      </c>
      <c r="H17520">
        <v>145819487</v>
      </c>
      <c r="I17520">
        <v>145819492</v>
      </c>
    </row>
    <row r="17521" spans="1:9" x14ac:dyDescent="0.2">
      <c r="A17521" t="str">
        <f>"Rassf9"</f>
        <v>Rassf9</v>
      </c>
      <c r="B17521" t="s">
        <v>14</v>
      </c>
      <c r="C17521" t="s">
        <v>15</v>
      </c>
      <c r="D17521" t="s">
        <v>17</v>
      </c>
      <c r="E17521" t="s">
        <v>12</v>
      </c>
      <c r="F17521">
        <v>102512216</v>
      </c>
      <c r="G17521">
        <v>102512292</v>
      </c>
      <c r="H17521">
        <v>102512325</v>
      </c>
      <c r="I17521">
        <v>102512338</v>
      </c>
    </row>
    <row r="17522" spans="1:9" x14ac:dyDescent="0.2">
      <c r="A17522" t="str">
        <f>"Raver1"</f>
        <v>Raver1</v>
      </c>
      <c r="B17522" t="s">
        <v>14</v>
      </c>
      <c r="C17522" t="s">
        <v>24</v>
      </c>
      <c r="D17522" t="s">
        <v>11</v>
      </c>
      <c r="E17522" t="s">
        <v>12</v>
      </c>
      <c r="F17522">
        <v>21091974</v>
      </c>
      <c r="G17522">
        <v>21092007</v>
      </c>
      <c r="H17522">
        <v>21091974</v>
      </c>
      <c r="I17522">
        <v>21092007</v>
      </c>
    </row>
    <row r="17523" spans="1:9" x14ac:dyDescent="0.2">
      <c r="A17523" t="str">
        <f>"Raver2"</f>
        <v>Raver2</v>
      </c>
      <c r="B17523" t="s">
        <v>14</v>
      </c>
      <c r="C17523" t="s">
        <v>23</v>
      </c>
      <c r="D17523" t="s">
        <v>17</v>
      </c>
      <c r="E17523" t="s">
        <v>12</v>
      </c>
      <c r="F17523">
        <v>101068993</v>
      </c>
      <c r="G17523">
        <v>101069029</v>
      </c>
      <c r="H17523">
        <v>101069035</v>
      </c>
      <c r="I17523">
        <v>101069074</v>
      </c>
    </row>
    <row r="17524" spans="1:9" x14ac:dyDescent="0.2">
      <c r="A17524" t="str">
        <f>"Rax"</f>
        <v>Rax</v>
      </c>
      <c r="B17524" t="s">
        <v>14</v>
      </c>
      <c r="C17524" t="s">
        <v>43</v>
      </c>
      <c r="D17524" t="s">
        <v>11</v>
      </c>
      <c r="E17524" t="s">
        <v>12</v>
      </c>
      <c r="F17524">
        <v>65939048</v>
      </c>
      <c r="G17524">
        <v>65939088</v>
      </c>
      <c r="H17524">
        <v>65939019</v>
      </c>
      <c r="I17524">
        <v>65939030</v>
      </c>
    </row>
    <row r="17525" spans="1:9" x14ac:dyDescent="0.2">
      <c r="A17525" t="str">
        <f>"Rb1"</f>
        <v>Rb1</v>
      </c>
      <c r="B17525" t="s">
        <v>14</v>
      </c>
      <c r="C17525" t="s">
        <v>41</v>
      </c>
      <c r="D17525" t="s">
        <v>11</v>
      </c>
      <c r="E17525" t="s">
        <v>12</v>
      </c>
      <c r="F17525">
        <v>73325773</v>
      </c>
      <c r="G17525">
        <v>73325836</v>
      </c>
      <c r="H17525">
        <v>73325635</v>
      </c>
      <c r="I17525">
        <v>73325703</v>
      </c>
    </row>
    <row r="17526" spans="1:9" x14ac:dyDescent="0.2">
      <c r="A17526" t="str">
        <f>"Rb1cc1"</f>
        <v>Rb1cc1</v>
      </c>
      <c r="B17526" t="s">
        <v>14</v>
      </c>
      <c r="C17526" t="s">
        <v>19</v>
      </c>
      <c r="D17526" t="s">
        <v>17</v>
      </c>
      <c r="E17526" t="s">
        <v>12</v>
      </c>
      <c r="F17526">
        <v>6214627</v>
      </c>
      <c r="G17526">
        <v>6214683</v>
      </c>
      <c r="H17526">
        <v>6214684</v>
      </c>
      <c r="I17526">
        <v>6214722</v>
      </c>
    </row>
    <row r="17527" spans="1:9" x14ac:dyDescent="0.2">
      <c r="A17527" t="str">
        <f>"Rbak"</f>
        <v>Rbak</v>
      </c>
      <c r="B17527" t="s">
        <v>14</v>
      </c>
      <c r="C17527" t="s">
        <v>46</v>
      </c>
      <c r="D17527" t="s">
        <v>11</v>
      </c>
      <c r="E17527" t="s">
        <v>12</v>
      </c>
      <c r="F17527">
        <v>143180721</v>
      </c>
      <c r="G17527">
        <v>143180795</v>
      </c>
      <c r="H17527">
        <v>143180798</v>
      </c>
      <c r="I17527">
        <v>143180814</v>
      </c>
    </row>
    <row r="17528" spans="1:9" x14ac:dyDescent="0.2">
      <c r="A17528" t="str">
        <f>"Rbbp4"</f>
        <v>Rbbp4</v>
      </c>
      <c r="B17528" t="s">
        <v>14</v>
      </c>
      <c r="C17528" t="s">
        <v>23</v>
      </c>
      <c r="D17528" t="s">
        <v>11</v>
      </c>
      <c r="E17528" t="s">
        <v>12</v>
      </c>
      <c r="F17528">
        <v>129335324</v>
      </c>
      <c r="G17528">
        <v>129335377</v>
      </c>
      <c r="H17528">
        <v>129335297</v>
      </c>
      <c r="I17528">
        <v>129335317</v>
      </c>
    </row>
    <row r="17529" spans="1:9" x14ac:dyDescent="0.2">
      <c r="A17529" t="str">
        <f>"Rbbp5"</f>
        <v>Rbbp5</v>
      </c>
      <c r="B17529" t="s">
        <v>14</v>
      </c>
      <c r="C17529" t="s">
        <v>19</v>
      </c>
      <c r="D17529" t="s">
        <v>17</v>
      </c>
      <c r="E17529" t="s">
        <v>12</v>
      </c>
      <c r="F17529">
        <v>132477361</v>
      </c>
      <c r="G17529">
        <v>132477412</v>
      </c>
      <c r="H17529">
        <v>132477455</v>
      </c>
      <c r="I17529">
        <v>132477465</v>
      </c>
    </row>
    <row r="17530" spans="1:9" x14ac:dyDescent="0.2">
      <c r="A17530" t="str">
        <f>"Rbbp6"</f>
        <v>Rbbp6</v>
      </c>
      <c r="B17530" t="s">
        <v>14</v>
      </c>
      <c r="C17530" t="s">
        <v>33</v>
      </c>
      <c r="D17530" t="s">
        <v>17</v>
      </c>
      <c r="E17530" t="s">
        <v>12</v>
      </c>
      <c r="F17530">
        <v>122970818</v>
      </c>
      <c r="G17530">
        <v>122970826</v>
      </c>
      <c r="H17530">
        <v>122970831</v>
      </c>
      <c r="I17530">
        <v>122970851</v>
      </c>
    </row>
    <row r="17531" spans="1:9" x14ac:dyDescent="0.2">
      <c r="A17531" t="str">
        <f>"Rbbp7"</f>
        <v>Rbbp7</v>
      </c>
      <c r="B17531" t="s">
        <v>14</v>
      </c>
      <c r="C17531" t="s">
        <v>37</v>
      </c>
      <c r="D17531" t="s">
        <v>17</v>
      </c>
      <c r="E17531" t="s">
        <v>12</v>
      </c>
      <c r="F17531">
        <v>162760427</v>
      </c>
      <c r="G17531">
        <v>162760488</v>
      </c>
      <c r="H17531">
        <v>162760388</v>
      </c>
      <c r="I17531">
        <v>162760415</v>
      </c>
    </row>
    <row r="17532" spans="1:9" x14ac:dyDescent="0.2">
      <c r="A17532" t="str">
        <f>"Rbbp8"</f>
        <v>Rbbp8</v>
      </c>
      <c r="B17532" t="s">
        <v>14</v>
      </c>
      <c r="C17532" t="s">
        <v>43</v>
      </c>
      <c r="D17532" t="s">
        <v>17</v>
      </c>
      <c r="E17532" t="s">
        <v>12</v>
      </c>
      <c r="F17532">
        <v>11657352</v>
      </c>
      <c r="G17532">
        <v>11657486</v>
      </c>
      <c r="H17532">
        <v>11657831</v>
      </c>
      <c r="I17532">
        <v>11657876</v>
      </c>
    </row>
    <row r="17533" spans="1:9" x14ac:dyDescent="0.2">
      <c r="A17533" t="str">
        <f>"Rbbp8nl"</f>
        <v>Rbbp8nl</v>
      </c>
      <c r="B17533" t="s">
        <v>14</v>
      </c>
      <c r="C17533" t="s">
        <v>26</v>
      </c>
      <c r="D17533" t="s">
        <v>11</v>
      </c>
      <c r="E17533" t="s">
        <v>67</v>
      </c>
      <c r="F17533">
        <v>180289837</v>
      </c>
      <c r="G17533">
        <v>180289886</v>
      </c>
      <c r="H17533">
        <v>180289837</v>
      </c>
      <c r="I17533">
        <v>180289886</v>
      </c>
    </row>
    <row r="17534" spans="1:9" x14ac:dyDescent="0.2">
      <c r="A17534" t="str">
        <f>"Rbbp9"</f>
        <v>Rbbp9</v>
      </c>
      <c r="B17534" t="s">
        <v>14</v>
      </c>
      <c r="C17534" t="s">
        <v>26</v>
      </c>
      <c r="D17534" t="s">
        <v>11</v>
      </c>
      <c r="E17534" t="s">
        <v>12</v>
      </c>
      <c r="F17534">
        <v>144550777</v>
      </c>
      <c r="G17534">
        <v>144550864</v>
      </c>
      <c r="H17534">
        <v>144550777</v>
      </c>
      <c r="I17534">
        <v>144550864</v>
      </c>
    </row>
    <row r="17535" spans="1:9" x14ac:dyDescent="0.2">
      <c r="A17535" t="str">
        <f>"Rbck1"</f>
        <v>Rbck1</v>
      </c>
      <c r="B17535" t="s">
        <v>14</v>
      </c>
      <c r="C17535" t="s">
        <v>26</v>
      </c>
      <c r="D17535" t="s">
        <v>11</v>
      </c>
      <c r="E17535" t="s">
        <v>12</v>
      </c>
      <c r="F17535">
        <v>152332353</v>
      </c>
      <c r="G17535">
        <v>152332422</v>
      </c>
      <c r="H17535">
        <v>152332639</v>
      </c>
      <c r="I17535">
        <v>152332678</v>
      </c>
    </row>
    <row r="17536" spans="1:9" x14ac:dyDescent="0.2">
      <c r="A17536" t="str">
        <f>"Rbfa"</f>
        <v>Rbfa</v>
      </c>
      <c r="B17536" t="s">
        <v>14</v>
      </c>
      <c r="C17536" t="s">
        <v>43</v>
      </c>
      <c r="D17536" t="s">
        <v>11</v>
      </c>
      <c r="E17536" t="s">
        <v>12</v>
      </c>
      <c r="F17536">
        <v>80200597</v>
      </c>
      <c r="G17536">
        <v>80200669</v>
      </c>
      <c r="H17536">
        <v>80200576</v>
      </c>
      <c r="I17536">
        <v>80200583</v>
      </c>
    </row>
    <row r="17537" spans="1:9" x14ac:dyDescent="0.2">
      <c r="A17537" t="str">
        <f>"Rbfox1"</f>
        <v>Rbfox1</v>
      </c>
      <c r="B17537" t="s">
        <v>5653</v>
      </c>
      <c r="C17537" t="s">
        <v>31</v>
      </c>
      <c r="D17537" t="s">
        <v>17</v>
      </c>
      <c r="E17537" t="s">
        <v>35</v>
      </c>
      <c r="F17537">
        <v>7069728</v>
      </c>
      <c r="G17537">
        <v>7069737</v>
      </c>
      <c r="H17537">
        <v>7069949</v>
      </c>
      <c r="I17537">
        <v>7069958</v>
      </c>
    </row>
    <row r="17538" spans="1:9" x14ac:dyDescent="0.2">
      <c r="A17538" t="str">
        <f>"Rbfox2"</f>
        <v>Rbfox2</v>
      </c>
      <c r="B17538" t="s">
        <v>5654</v>
      </c>
      <c r="C17538" t="s">
        <v>25</v>
      </c>
      <c r="D17538" t="s">
        <v>11</v>
      </c>
      <c r="E17538" t="s">
        <v>35</v>
      </c>
      <c r="F17538">
        <v>77153978</v>
      </c>
      <c r="G17538">
        <v>77153983</v>
      </c>
      <c r="H17538">
        <v>77153639</v>
      </c>
      <c r="I17538">
        <v>77153648</v>
      </c>
    </row>
    <row r="17539" spans="1:9" x14ac:dyDescent="0.2">
      <c r="A17539" t="str">
        <f>"Rbfox3"</f>
        <v>Rbfox3</v>
      </c>
      <c r="B17539" t="s">
        <v>14</v>
      </c>
      <c r="C17539" t="s">
        <v>27</v>
      </c>
      <c r="D17539" t="s">
        <v>11</v>
      </c>
      <c r="E17539" t="s">
        <v>12</v>
      </c>
      <c r="F17539">
        <v>118909487</v>
      </c>
      <c r="G17539">
        <v>118909575</v>
      </c>
      <c r="H17539">
        <v>118909639</v>
      </c>
      <c r="I17539">
        <v>118909739</v>
      </c>
    </row>
    <row r="17540" spans="1:9" x14ac:dyDescent="0.2">
      <c r="A17540" t="str">
        <f>"Rbks"</f>
        <v>Rbks</v>
      </c>
      <c r="B17540" t="s">
        <v>14</v>
      </c>
      <c r="C17540" t="s">
        <v>46</v>
      </c>
      <c r="D17540" t="s">
        <v>11</v>
      </c>
      <c r="E17540" t="s">
        <v>12</v>
      </c>
      <c r="F17540">
        <v>31697598</v>
      </c>
      <c r="G17540">
        <v>31697632</v>
      </c>
      <c r="H17540">
        <v>31697598</v>
      </c>
      <c r="I17540">
        <v>31697632</v>
      </c>
    </row>
    <row r="17541" spans="1:9" x14ac:dyDescent="0.2">
      <c r="A17541" t="str">
        <f>"Rbl1"</f>
        <v>Rbl1</v>
      </c>
      <c r="B17541" t="s">
        <v>14</v>
      </c>
      <c r="C17541" t="s">
        <v>26</v>
      </c>
      <c r="D17541" t="s">
        <v>11</v>
      </c>
      <c r="E17541" t="s">
        <v>12</v>
      </c>
      <c r="F17541">
        <v>157204483</v>
      </c>
      <c r="G17541">
        <v>157204542</v>
      </c>
      <c r="H17541">
        <v>157204448</v>
      </c>
      <c r="I17541">
        <v>157204460</v>
      </c>
    </row>
    <row r="17542" spans="1:9" x14ac:dyDescent="0.2">
      <c r="A17542" t="str">
        <f>"Rbl2"</f>
        <v>Rbl2</v>
      </c>
      <c r="B17542" t="s">
        <v>14</v>
      </c>
      <c r="C17542" t="s">
        <v>30</v>
      </c>
      <c r="D17542" t="s">
        <v>17</v>
      </c>
      <c r="E17542" t="s">
        <v>12</v>
      </c>
      <c r="F17542">
        <v>91070052</v>
      </c>
      <c r="G17542">
        <v>91070123</v>
      </c>
      <c r="H17542">
        <v>91070140</v>
      </c>
      <c r="I17542">
        <v>91070151</v>
      </c>
    </row>
    <row r="17543" spans="1:9" x14ac:dyDescent="0.2">
      <c r="A17543" t="str">
        <f>"Rbm10"</f>
        <v>Rbm10</v>
      </c>
      <c r="B17543" t="s">
        <v>14</v>
      </c>
      <c r="C17543" t="s">
        <v>37</v>
      </c>
      <c r="D17543" t="s">
        <v>17</v>
      </c>
      <c r="E17543" t="s">
        <v>12</v>
      </c>
      <c r="F17543">
        <v>20617757</v>
      </c>
      <c r="G17543">
        <v>20617816</v>
      </c>
      <c r="H17543">
        <v>20617387</v>
      </c>
      <c r="I17543">
        <v>20617409</v>
      </c>
    </row>
    <row r="17544" spans="1:9" x14ac:dyDescent="0.2">
      <c r="A17544" t="str">
        <f>"Rbm11"</f>
        <v>Rbm11</v>
      </c>
      <c r="B17544" t="s">
        <v>14</v>
      </c>
      <c r="C17544" t="s">
        <v>31</v>
      </c>
      <c r="D17544" t="s">
        <v>17</v>
      </c>
      <c r="E17544" t="s">
        <v>12</v>
      </c>
      <c r="F17544">
        <v>75592901</v>
      </c>
      <c r="G17544">
        <v>75592928</v>
      </c>
      <c r="H17544">
        <v>75592938</v>
      </c>
      <c r="I17544">
        <v>75592965</v>
      </c>
    </row>
    <row r="17545" spans="1:9" x14ac:dyDescent="0.2">
      <c r="A17545" t="str">
        <f>"Rbm12"</f>
        <v>Rbm12</v>
      </c>
      <c r="B17545" t="s">
        <v>14</v>
      </c>
      <c r="C17545" t="s">
        <v>26</v>
      </c>
      <c r="D17545" t="s">
        <v>11</v>
      </c>
      <c r="E17545" t="s">
        <v>12</v>
      </c>
      <c r="F17545">
        <v>156111913</v>
      </c>
      <c r="G17545">
        <v>156111940</v>
      </c>
      <c r="H17545">
        <v>156111954</v>
      </c>
      <c r="I17545">
        <v>156111965</v>
      </c>
    </row>
    <row r="17546" spans="1:9" x14ac:dyDescent="0.2">
      <c r="A17546" t="str">
        <f>"Rbm12b1"</f>
        <v>Rbm12b1</v>
      </c>
      <c r="B17546" t="s">
        <v>14</v>
      </c>
      <c r="C17546" t="s">
        <v>23</v>
      </c>
      <c r="D17546" t="s">
        <v>17</v>
      </c>
      <c r="E17546" t="s">
        <v>67</v>
      </c>
      <c r="F17546">
        <v>12140263</v>
      </c>
      <c r="G17546">
        <v>12140272</v>
      </c>
      <c r="H17546">
        <v>12140263</v>
      </c>
      <c r="I17546">
        <v>12140272</v>
      </c>
    </row>
    <row r="17547" spans="1:9" x14ac:dyDescent="0.2">
      <c r="A17547" t="str">
        <f>"Rbm12b2"</f>
        <v>Rbm12b2</v>
      </c>
      <c r="B17547" t="s">
        <v>14</v>
      </c>
      <c r="C17547" t="s">
        <v>23</v>
      </c>
      <c r="D17547" t="s">
        <v>17</v>
      </c>
      <c r="E17547" t="s">
        <v>67</v>
      </c>
      <c r="F17547">
        <v>12089373</v>
      </c>
      <c r="G17547">
        <v>12089395</v>
      </c>
      <c r="H17547">
        <v>12089337</v>
      </c>
      <c r="I17547">
        <v>12089346</v>
      </c>
    </row>
    <row r="17548" spans="1:9" x14ac:dyDescent="0.2">
      <c r="A17548" t="str">
        <f>"Rbm14"</f>
        <v>Rbm14</v>
      </c>
      <c r="B17548" t="s">
        <v>14</v>
      </c>
      <c r="C17548" t="s">
        <v>10</v>
      </c>
      <c r="D17548" t="s">
        <v>11</v>
      </c>
      <c r="E17548" t="s">
        <v>12</v>
      </c>
      <c r="F17548">
        <v>4811589</v>
      </c>
      <c r="G17548">
        <v>4811619</v>
      </c>
      <c r="H17548">
        <v>4811589</v>
      </c>
      <c r="I17548">
        <v>4811619</v>
      </c>
    </row>
    <row r="17549" spans="1:9" x14ac:dyDescent="0.2">
      <c r="A17549" t="str">
        <f>"Rbm15"</f>
        <v>Rbm15</v>
      </c>
      <c r="B17549" t="s">
        <v>14</v>
      </c>
      <c r="C17549" t="s">
        <v>22</v>
      </c>
      <c r="D17549" t="s">
        <v>11</v>
      </c>
      <c r="E17549" t="s">
        <v>12</v>
      </c>
      <c r="F17549">
        <v>107333953</v>
      </c>
      <c r="G17549">
        <v>107333973</v>
      </c>
      <c r="H17549">
        <v>107333540</v>
      </c>
      <c r="I17549">
        <v>107333560</v>
      </c>
    </row>
    <row r="17550" spans="1:9" x14ac:dyDescent="0.2">
      <c r="A17550" t="str">
        <f>"Rbm15b"</f>
        <v>Rbm15b</v>
      </c>
      <c r="B17550" t="s">
        <v>14</v>
      </c>
      <c r="C17550" t="s">
        <v>24</v>
      </c>
      <c r="D17550" t="s">
        <v>11</v>
      </c>
      <c r="E17550" t="s">
        <v>12</v>
      </c>
      <c r="F17550">
        <v>106887059</v>
      </c>
      <c r="G17550">
        <v>106887094</v>
      </c>
      <c r="H17550">
        <v>106887103</v>
      </c>
      <c r="I17550">
        <v>106887112</v>
      </c>
    </row>
    <row r="17551" spans="1:9" x14ac:dyDescent="0.2">
      <c r="A17551" t="str">
        <f>"Rbm17"</f>
        <v>Rbm17</v>
      </c>
      <c r="B17551" t="s">
        <v>14</v>
      </c>
      <c r="C17551" t="s">
        <v>26</v>
      </c>
      <c r="D17551" t="s">
        <v>11</v>
      </c>
      <c r="E17551" t="s">
        <v>12</v>
      </c>
      <c r="F17551">
        <v>11603192</v>
      </c>
      <c r="G17551">
        <v>11603268</v>
      </c>
      <c r="H17551">
        <v>11603192</v>
      </c>
      <c r="I17551">
        <v>11603268</v>
      </c>
    </row>
    <row r="17552" spans="1:9" x14ac:dyDescent="0.2">
      <c r="A17552" t="str">
        <f>"Rbm18"</f>
        <v>Rbm18</v>
      </c>
      <c r="B17552" t="s">
        <v>14</v>
      </c>
      <c r="C17552" t="s">
        <v>26</v>
      </c>
      <c r="D17552" t="s">
        <v>11</v>
      </c>
      <c r="E17552" t="s">
        <v>12</v>
      </c>
      <c r="F17552">
        <v>36136602</v>
      </c>
      <c r="G17552">
        <v>36136625</v>
      </c>
      <c r="H17552">
        <v>36136578</v>
      </c>
      <c r="I17552">
        <v>36136597</v>
      </c>
    </row>
    <row r="17553" spans="1:9" x14ac:dyDescent="0.2">
      <c r="A17553" t="str">
        <f>"Rbm19"</f>
        <v>Rbm19</v>
      </c>
      <c r="B17553" t="s">
        <v>14</v>
      </c>
      <c r="C17553" t="s">
        <v>46</v>
      </c>
      <c r="D17553" t="s">
        <v>17</v>
      </c>
      <c r="E17553" t="s">
        <v>12</v>
      </c>
      <c r="F17553">
        <v>120116480</v>
      </c>
      <c r="G17553">
        <v>120116525</v>
      </c>
      <c r="H17553">
        <v>120116526</v>
      </c>
      <c r="I17553">
        <v>120116551</v>
      </c>
    </row>
    <row r="17554" spans="1:9" x14ac:dyDescent="0.2">
      <c r="A17554" t="str">
        <f>"Rbm20"</f>
        <v>Rbm20</v>
      </c>
      <c r="B17554" t="s">
        <v>14</v>
      </c>
      <c r="C17554" t="s">
        <v>10</v>
      </c>
      <c r="D17554" t="s">
        <v>17</v>
      </c>
      <c r="E17554" t="s">
        <v>12</v>
      </c>
      <c r="F17554">
        <v>53677395</v>
      </c>
      <c r="G17554">
        <v>53677425</v>
      </c>
      <c r="H17554">
        <v>53677363</v>
      </c>
      <c r="I17554">
        <v>53677379</v>
      </c>
    </row>
    <row r="17555" spans="1:9" x14ac:dyDescent="0.2">
      <c r="A17555" t="str">
        <f>"Rbm22"</f>
        <v>Rbm22</v>
      </c>
      <c r="B17555" t="s">
        <v>14</v>
      </c>
      <c r="C17555" t="s">
        <v>43</v>
      </c>
      <c r="D17555" t="s">
        <v>17</v>
      </c>
      <c r="E17555" t="s">
        <v>12</v>
      </c>
      <c r="F17555">
        <v>60560730</v>
      </c>
      <c r="G17555">
        <v>60560796</v>
      </c>
      <c r="H17555">
        <v>60560814</v>
      </c>
      <c r="I17555">
        <v>60560818</v>
      </c>
    </row>
    <row r="17556" spans="1:9" x14ac:dyDescent="0.2">
      <c r="A17556" t="str">
        <f>"Rbm24"</f>
        <v>Rbm24</v>
      </c>
      <c r="B17556" t="s">
        <v>14</v>
      </c>
      <c r="C17556" t="s">
        <v>39</v>
      </c>
      <c r="D17556" t="s">
        <v>17</v>
      </c>
      <c r="E17556" t="s">
        <v>12</v>
      </c>
      <c r="F17556">
        <v>46418468</v>
      </c>
      <c r="G17556">
        <v>46418510</v>
      </c>
      <c r="H17556">
        <v>46418266</v>
      </c>
      <c r="I17556">
        <v>46418316</v>
      </c>
    </row>
    <row r="17557" spans="1:9" x14ac:dyDescent="0.2">
      <c r="A17557" t="str">
        <f>"Rbm25"</f>
        <v>Rbm25</v>
      </c>
      <c r="B17557" t="s">
        <v>14</v>
      </c>
      <c r="C17557" t="s">
        <v>16</v>
      </c>
      <c r="D17557" t="s">
        <v>17</v>
      </c>
      <c r="E17557" t="s">
        <v>12</v>
      </c>
      <c r="F17557">
        <v>83632208</v>
      </c>
      <c r="G17557">
        <v>83632325</v>
      </c>
      <c r="H17557">
        <v>83632208</v>
      </c>
      <c r="I17557">
        <v>83632325</v>
      </c>
    </row>
    <row r="17558" spans="1:9" x14ac:dyDescent="0.2">
      <c r="A17558" t="str">
        <f>"Rbm26"</f>
        <v>Rbm26</v>
      </c>
      <c r="B17558" t="s">
        <v>14</v>
      </c>
      <c r="C17558" t="s">
        <v>41</v>
      </c>
      <c r="D17558" t="s">
        <v>11</v>
      </c>
      <c r="E17558" t="s">
        <v>12</v>
      </c>
      <c r="F17558">
        <v>105177280</v>
      </c>
      <c r="G17558">
        <v>105177334</v>
      </c>
      <c r="H17558">
        <v>105177263</v>
      </c>
      <c r="I17558">
        <v>105177277</v>
      </c>
    </row>
    <row r="17559" spans="1:9" x14ac:dyDescent="0.2">
      <c r="A17559" t="str">
        <f>"Rbm27"</f>
        <v>Rbm27</v>
      </c>
      <c r="B17559" t="s">
        <v>14</v>
      </c>
      <c r="C17559" t="s">
        <v>43</v>
      </c>
      <c r="D17559" t="s">
        <v>17</v>
      </c>
      <c r="E17559" t="s">
        <v>12</v>
      </c>
      <c r="F17559">
        <v>42275369</v>
      </c>
      <c r="G17559">
        <v>42275392</v>
      </c>
      <c r="H17559">
        <v>42275397</v>
      </c>
      <c r="I17559">
        <v>42275411</v>
      </c>
    </row>
    <row r="17560" spans="1:9" x14ac:dyDescent="0.2">
      <c r="A17560" t="str">
        <f>"Rbm28"</f>
        <v>Rbm28</v>
      </c>
      <c r="B17560" t="s">
        <v>9</v>
      </c>
      <c r="C17560" t="s">
        <v>32</v>
      </c>
      <c r="D17560" t="s">
        <v>11</v>
      </c>
      <c r="E17560" t="s">
        <v>12</v>
      </c>
      <c r="F17560">
        <v>29164654</v>
      </c>
      <c r="G17560">
        <v>29164707</v>
      </c>
      <c r="H17560">
        <v>29164654</v>
      </c>
      <c r="I17560">
        <v>29164707</v>
      </c>
    </row>
    <row r="17561" spans="1:9" x14ac:dyDescent="0.2">
      <c r="A17561" t="str">
        <f>"Rbm28"</f>
        <v>Rbm28</v>
      </c>
      <c r="B17561" t="s">
        <v>13</v>
      </c>
      <c r="C17561" t="s">
        <v>32</v>
      </c>
      <c r="D17561" t="s">
        <v>11</v>
      </c>
      <c r="E17561" t="s">
        <v>12</v>
      </c>
      <c r="F17561">
        <v>29160170</v>
      </c>
      <c r="G17561">
        <v>29160195</v>
      </c>
      <c r="H17561">
        <v>29160170</v>
      </c>
      <c r="I17561">
        <v>29160195</v>
      </c>
    </row>
    <row r="17562" spans="1:9" x14ac:dyDescent="0.2">
      <c r="A17562" t="str">
        <f>"Rbm3"</f>
        <v>Rbm3</v>
      </c>
      <c r="B17562" t="s">
        <v>14</v>
      </c>
      <c r="C17562" t="s">
        <v>37</v>
      </c>
      <c r="D17562" t="s">
        <v>11</v>
      </c>
      <c r="E17562" t="s">
        <v>12</v>
      </c>
      <c r="F17562">
        <v>8145696</v>
      </c>
      <c r="G17562">
        <v>8145707</v>
      </c>
      <c r="H17562">
        <v>8145713</v>
      </c>
      <c r="I17562">
        <v>8145731</v>
      </c>
    </row>
    <row r="17563" spans="1:9" x14ac:dyDescent="0.2">
      <c r="A17563" t="str">
        <f>"Rbm31y"</f>
        <v>Rbm31y</v>
      </c>
      <c r="B17563" t="s">
        <v>5655</v>
      </c>
      <c r="C17563" t="s">
        <v>63</v>
      </c>
      <c r="D17563" t="s">
        <v>17</v>
      </c>
      <c r="E17563" t="s">
        <v>20</v>
      </c>
      <c r="F17563">
        <v>17400760</v>
      </c>
      <c r="G17563">
        <v>17400760</v>
      </c>
      <c r="H17563">
        <v>17400760</v>
      </c>
      <c r="I17563">
        <v>17400760</v>
      </c>
    </row>
    <row r="17564" spans="1:9" x14ac:dyDescent="0.2">
      <c r="A17564" t="str">
        <f>"Rbm33"</f>
        <v>Rbm33</v>
      </c>
      <c r="B17564" t="s">
        <v>14</v>
      </c>
      <c r="C17564" t="s">
        <v>46</v>
      </c>
      <c r="D17564" t="s">
        <v>17</v>
      </c>
      <c r="E17564" t="s">
        <v>12</v>
      </c>
      <c r="F17564">
        <v>28317153</v>
      </c>
      <c r="G17564">
        <v>28317220</v>
      </c>
      <c r="H17564">
        <v>28316844</v>
      </c>
      <c r="I17564">
        <v>28316920</v>
      </c>
    </row>
    <row r="17565" spans="1:9" x14ac:dyDescent="0.2">
      <c r="A17565" t="str">
        <f>"Rbm34"</f>
        <v>Rbm34</v>
      </c>
      <c r="B17565" t="s">
        <v>14</v>
      </c>
      <c r="C17565" t="s">
        <v>30</v>
      </c>
      <c r="D17565" t="s">
        <v>11</v>
      </c>
      <c r="E17565" t="s">
        <v>12</v>
      </c>
      <c r="F17565">
        <v>126971042</v>
      </c>
      <c r="G17565">
        <v>126971056</v>
      </c>
      <c r="H17565">
        <v>126971062</v>
      </c>
      <c r="I17565">
        <v>126971076</v>
      </c>
    </row>
    <row r="17566" spans="1:9" x14ac:dyDescent="0.2">
      <c r="A17566" t="str">
        <f>"Rbm38"</f>
        <v>Rbm38</v>
      </c>
      <c r="B17566" t="s">
        <v>14</v>
      </c>
      <c r="C17566" t="s">
        <v>26</v>
      </c>
      <c r="D17566" t="s">
        <v>17</v>
      </c>
      <c r="E17566" t="s">
        <v>12</v>
      </c>
      <c r="F17566">
        <v>173021922</v>
      </c>
      <c r="G17566">
        <v>173021939</v>
      </c>
      <c r="H17566">
        <v>173022799</v>
      </c>
      <c r="I17566">
        <v>173022843</v>
      </c>
    </row>
    <row r="17567" spans="1:9" x14ac:dyDescent="0.2">
      <c r="A17567" t="str">
        <f>"Rbm39"</f>
        <v>Rbm39</v>
      </c>
      <c r="B17567" t="s">
        <v>14</v>
      </c>
      <c r="C17567" t="s">
        <v>26</v>
      </c>
      <c r="D17567" t="s">
        <v>11</v>
      </c>
      <c r="E17567" t="s">
        <v>12</v>
      </c>
      <c r="F17567">
        <v>156180135</v>
      </c>
      <c r="G17567">
        <v>156180201</v>
      </c>
      <c r="H17567">
        <v>156180135</v>
      </c>
      <c r="I17567">
        <v>156180201</v>
      </c>
    </row>
    <row r="17568" spans="1:9" x14ac:dyDescent="0.2">
      <c r="A17568" t="str">
        <f>"Rbm4"</f>
        <v>Rbm4</v>
      </c>
      <c r="B17568" t="s">
        <v>14</v>
      </c>
      <c r="C17568" t="s">
        <v>10</v>
      </c>
      <c r="D17568" t="s">
        <v>11</v>
      </c>
      <c r="E17568" t="s">
        <v>12</v>
      </c>
      <c r="F17568">
        <v>4811589</v>
      </c>
      <c r="G17568">
        <v>4811619</v>
      </c>
      <c r="H17568">
        <v>4811589</v>
      </c>
      <c r="I17568">
        <v>4811619</v>
      </c>
    </row>
    <row r="17569" spans="1:9" x14ac:dyDescent="0.2">
      <c r="A17569" t="str">
        <f>"Rbm41"</f>
        <v>Rbm41</v>
      </c>
      <c r="B17569" t="s">
        <v>14</v>
      </c>
      <c r="C17569" t="s">
        <v>37</v>
      </c>
      <c r="D17569" t="s">
        <v>11</v>
      </c>
      <c r="E17569" t="s">
        <v>12</v>
      </c>
      <c r="F17569">
        <v>139998519</v>
      </c>
      <c r="G17569">
        <v>139998566</v>
      </c>
      <c r="H17569">
        <v>139998519</v>
      </c>
      <c r="I17569">
        <v>139998566</v>
      </c>
    </row>
    <row r="17570" spans="1:9" x14ac:dyDescent="0.2">
      <c r="A17570" t="str">
        <f>"Rbm42"</f>
        <v>Rbm42</v>
      </c>
      <c r="B17570" t="s">
        <v>14</v>
      </c>
      <c r="C17570" t="s">
        <v>33</v>
      </c>
      <c r="D17570" t="s">
        <v>11</v>
      </c>
      <c r="E17570" t="s">
        <v>12</v>
      </c>
      <c r="F17570">
        <v>30650123</v>
      </c>
      <c r="G17570">
        <v>30650182</v>
      </c>
      <c r="H17570">
        <v>30650107</v>
      </c>
      <c r="I17570">
        <v>30650122</v>
      </c>
    </row>
    <row r="17571" spans="1:9" x14ac:dyDescent="0.2">
      <c r="A17571" t="str">
        <f>"Rbm43"</f>
        <v>Rbm43</v>
      </c>
      <c r="B17571" t="s">
        <v>14</v>
      </c>
      <c r="C17571" t="s">
        <v>26</v>
      </c>
      <c r="D17571" t="s">
        <v>11</v>
      </c>
      <c r="E17571" t="s">
        <v>12</v>
      </c>
      <c r="F17571">
        <v>51934943</v>
      </c>
      <c r="G17571">
        <v>51935015</v>
      </c>
      <c r="H17571">
        <v>51934690</v>
      </c>
      <c r="I17571">
        <v>51934710</v>
      </c>
    </row>
    <row r="17572" spans="1:9" x14ac:dyDescent="0.2">
      <c r="A17572" t="str">
        <f>"Rbm44"</f>
        <v>Rbm44</v>
      </c>
      <c r="B17572" t="s">
        <v>14</v>
      </c>
      <c r="C17572" t="s">
        <v>19</v>
      </c>
      <c r="D17572" t="s">
        <v>17</v>
      </c>
      <c r="E17572" t="s">
        <v>12</v>
      </c>
      <c r="F17572">
        <v>91145057</v>
      </c>
      <c r="G17572">
        <v>91145101</v>
      </c>
      <c r="H17572">
        <v>91145104</v>
      </c>
      <c r="I17572">
        <v>91145115</v>
      </c>
    </row>
    <row r="17573" spans="1:9" x14ac:dyDescent="0.2">
      <c r="A17573" t="str">
        <f>"Rbm45"</f>
        <v>Rbm45</v>
      </c>
      <c r="B17573" t="s">
        <v>14</v>
      </c>
      <c r="C17573" t="s">
        <v>26</v>
      </c>
      <c r="D17573" t="s">
        <v>17</v>
      </c>
      <c r="E17573" t="s">
        <v>12</v>
      </c>
      <c r="F17573">
        <v>76369967</v>
      </c>
      <c r="G17573">
        <v>76370024</v>
      </c>
      <c r="H17573">
        <v>76370033</v>
      </c>
      <c r="I17573">
        <v>76370041</v>
      </c>
    </row>
    <row r="17574" spans="1:9" x14ac:dyDescent="0.2">
      <c r="A17574" t="str">
        <f>"Rbm46"</f>
        <v>Rbm46</v>
      </c>
      <c r="B17574" t="s">
        <v>14</v>
      </c>
      <c r="C17574" t="s">
        <v>22</v>
      </c>
      <c r="D17574" t="s">
        <v>11</v>
      </c>
      <c r="E17574" t="s">
        <v>12</v>
      </c>
      <c r="F17574">
        <v>82876383</v>
      </c>
      <c r="G17574">
        <v>82876423</v>
      </c>
      <c r="H17574">
        <v>82876508</v>
      </c>
      <c r="I17574">
        <v>82876527</v>
      </c>
    </row>
    <row r="17575" spans="1:9" x14ac:dyDescent="0.2">
      <c r="A17575" t="str">
        <f>"Rbm47"</f>
        <v>Rbm47</v>
      </c>
      <c r="B17575" t="s">
        <v>14</v>
      </c>
      <c r="C17575" t="s">
        <v>46</v>
      </c>
      <c r="D17575" t="s">
        <v>11</v>
      </c>
      <c r="E17575" t="s">
        <v>12</v>
      </c>
      <c r="F17575">
        <v>66054499</v>
      </c>
      <c r="G17575">
        <v>66054561</v>
      </c>
      <c r="H17575">
        <v>66054499</v>
      </c>
      <c r="I17575">
        <v>66054561</v>
      </c>
    </row>
    <row r="17576" spans="1:9" x14ac:dyDescent="0.2">
      <c r="A17576" t="str">
        <f>"Rbm48"</f>
        <v>Rbm48</v>
      </c>
      <c r="B17576" t="s">
        <v>14</v>
      </c>
      <c r="C17576" t="s">
        <v>46</v>
      </c>
      <c r="D17576" t="s">
        <v>11</v>
      </c>
      <c r="E17576" t="s">
        <v>67</v>
      </c>
      <c r="F17576">
        <v>3596071</v>
      </c>
      <c r="G17576">
        <v>3596118</v>
      </c>
      <c r="H17576">
        <v>3596540</v>
      </c>
      <c r="I17576">
        <v>3596579</v>
      </c>
    </row>
    <row r="17577" spans="1:9" x14ac:dyDescent="0.2">
      <c r="A17577" t="str">
        <f>"Rbm4b"</f>
        <v>Rbm4b</v>
      </c>
      <c r="B17577" t="s">
        <v>14</v>
      </c>
      <c r="C17577" t="s">
        <v>10</v>
      </c>
      <c r="D17577" t="s">
        <v>17</v>
      </c>
      <c r="E17577" t="s">
        <v>12</v>
      </c>
      <c r="F17577">
        <v>4756557</v>
      </c>
      <c r="G17577">
        <v>4756623</v>
      </c>
      <c r="H17577">
        <v>4756527</v>
      </c>
      <c r="I17577">
        <v>4756556</v>
      </c>
    </row>
    <row r="17578" spans="1:9" x14ac:dyDescent="0.2">
      <c r="A17578" t="str">
        <f>"Rbm5"</f>
        <v>Rbm5</v>
      </c>
      <c r="B17578" t="s">
        <v>14</v>
      </c>
      <c r="C17578" t="s">
        <v>24</v>
      </c>
      <c r="D17578" t="s">
        <v>11</v>
      </c>
      <c r="E17578" t="s">
        <v>12</v>
      </c>
      <c r="F17578">
        <v>107770951</v>
      </c>
      <c r="G17578">
        <v>107771007</v>
      </c>
      <c r="H17578">
        <v>107770951</v>
      </c>
      <c r="I17578">
        <v>107771007</v>
      </c>
    </row>
    <row r="17579" spans="1:9" x14ac:dyDescent="0.2">
      <c r="A17579" t="str">
        <f>"Rbm6"</f>
        <v>Rbm6</v>
      </c>
      <c r="B17579" t="s">
        <v>14</v>
      </c>
      <c r="C17579" t="s">
        <v>24</v>
      </c>
      <c r="D17579" t="s">
        <v>11</v>
      </c>
      <c r="E17579" t="s">
        <v>12</v>
      </c>
      <c r="F17579">
        <v>107872687</v>
      </c>
      <c r="G17579">
        <v>107872747</v>
      </c>
      <c r="H17579">
        <v>107872748</v>
      </c>
      <c r="I17579">
        <v>107872781</v>
      </c>
    </row>
    <row r="17580" spans="1:9" x14ac:dyDescent="0.2">
      <c r="A17580" t="str">
        <f>"Rbm7"</f>
        <v>Rbm7</v>
      </c>
      <c r="B17580" t="s">
        <v>14</v>
      </c>
      <c r="C17580" t="s">
        <v>24</v>
      </c>
      <c r="D17580" t="s">
        <v>11</v>
      </c>
      <c r="E17580" t="s">
        <v>12</v>
      </c>
      <c r="F17580">
        <v>48495274</v>
      </c>
      <c r="G17580">
        <v>48495318</v>
      </c>
      <c r="H17580">
        <v>48495321</v>
      </c>
      <c r="I17580">
        <v>48495335</v>
      </c>
    </row>
    <row r="17581" spans="1:9" x14ac:dyDescent="0.2">
      <c r="A17581" t="str">
        <f>"Rbm8a"</f>
        <v>Rbm8a</v>
      </c>
      <c r="B17581" t="s">
        <v>14</v>
      </c>
      <c r="C17581" t="s">
        <v>22</v>
      </c>
      <c r="D17581" t="s">
        <v>17</v>
      </c>
      <c r="E17581" t="s">
        <v>12</v>
      </c>
      <c r="F17581">
        <v>96629919</v>
      </c>
      <c r="G17581">
        <v>96629955</v>
      </c>
      <c r="H17581">
        <v>96629887</v>
      </c>
      <c r="I17581">
        <v>96629913</v>
      </c>
    </row>
    <row r="17582" spans="1:9" x14ac:dyDescent="0.2">
      <c r="A17582" t="str">
        <f>"Rbms1"</f>
        <v>Rbms1</v>
      </c>
      <c r="B17582" t="s">
        <v>5656</v>
      </c>
      <c r="C17582" t="s">
        <v>26</v>
      </c>
      <c r="D17582" t="s">
        <v>11</v>
      </c>
      <c r="E17582" t="s">
        <v>35</v>
      </c>
      <c r="F17582">
        <v>60963196</v>
      </c>
      <c r="G17582">
        <v>60963251</v>
      </c>
      <c r="H17582">
        <v>60963095</v>
      </c>
      <c r="I17582">
        <v>60963104</v>
      </c>
    </row>
    <row r="17583" spans="1:9" x14ac:dyDescent="0.2">
      <c r="A17583" t="str">
        <f>"Rbms2"</f>
        <v>Rbms2</v>
      </c>
      <c r="B17583" t="s">
        <v>14</v>
      </c>
      <c r="C17583" t="s">
        <v>15</v>
      </c>
      <c r="D17583" t="s">
        <v>11</v>
      </c>
      <c r="E17583" t="s">
        <v>12</v>
      </c>
      <c r="F17583">
        <v>128176591</v>
      </c>
      <c r="G17583">
        <v>128176611</v>
      </c>
      <c r="H17583">
        <v>128176468</v>
      </c>
      <c r="I17583">
        <v>128176489</v>
      </c>
    </row>
    <row r="17584" spans="1:9" x14ac:dyDescent="0.2">
      <c r="A17584" t="str">
        <f>"Rbms3"</f>
        <v>Rbms3</v>
      </c>
      <c r="B17584" t="s">
        <v>14</v>
      </c>
      <c r="C17584" t="s">
        <v>24</v>
      </c>
      <c r="D17584" t="s">
        <v>11</v>
      </c>
      <c r="E17584" t="s">
        <v>12</v>
      </c>
      <c r="F17584">
        <v>117252450</v>
      </c>
      <c r="G17584">
        <v>117252489</v>
      </c>
      <c r="H17584">
        <v>117252450</v>
      </c>
      <c r="I17584">
        <v>117252489</v>
      </c>
    </row>
    <row r="17585" spans="1:9" x14ac:dyDescent="0.2">
      <c r="A17585" t="str">
        <f>"Rbmx"</f>
        <v>Rbmx</v>
      </c>
      <c r="B17585" t="s">
        <v>14</v>
      </c>
      <c r="C17585" t="s">
        <v>37</v>
      </c>
      <c r="D17585" t="s">
        <v>11</v>
      </c>
      <c r="E17585" t="s">
        <v>12</v>
      </c>
      <c r="F17585">
        <v>57392971</v>
      </c>
      <c r="G17585">
        <v>57392988</v>
      </c>
      <c r="H17585">
        <v>57393029</v>
      </c>
      <c r="I17585">
        <v>57393040</v>
      </c>
    </row>
    <row r="17586" spans="1:9" x14ac:dyDescent="0.2">
      <c r="A17586" t="str">
        <f>"Rbmx2"</f>
        <v>Rbmx2</v>
      </c>
      <c r="B17586" t="s">
        <v>14</v>
      </c>
      <c r="C17586" t="s">
        <v>37</v>
      </c>
      <c r="D17586" t="s">
        <v>17</v>
      </c>
      <c r="E17586" t="s">
        <v>12</v>
      </c>
      <c r="F17586">
        <v>48695050</v>
      </c>
      <c r="G17586">
        <v>48695095</v>
      </c>
      <c r="H17586">
        <v>48695020</v>
      </c>
      <c r="I17586">
        <v>48695029</v>
      </c>
    </row>
    <row r="17587" spans="1:9" x14ac:dyDescent="0.2">
      <c r="A17587" t="str">
        <f>"Rbmxl1"</f>
        <v>Rbmxl1</v>
      </c>
      <c r="B17587" t="s">
        <v>14</v>
      </c>
      <c r="C17587" t="s">
        <v>30</v>
      </c>
      <c r="D17587" t="s">
        <v>11</v>
      </c>
      <c r="E17587" t="s">
        <v>12</v>
      </c>
      <c r="F17587">
        <v>78508876</v>
      </c>
      <c r="G17587">
        <v>78508909</v>
      </c>
      <c r="H17587">
        <v>78508861</v>
      </c>
      <c r="I17587">
        <v>78508865</v>
      </c>
    </row>
    <row r="17588" spans="1:9" x14ac:dyDescent="0.2">
      <c r="A17588" t="str">
        <f>"Rbmxl2"</f>
        <v>Rbmxl2</v>
      </c>
      <c r="B17588" t="s">
        <v>14</v>
      </c>
      <c r="C17588" t="s">
        <v>33</v>
      </c>
      <c r="D17588" t="s">
        <v>17</v>
      </c>
      <c r="E17588" t="s">
        <v>12</v>
      </c>
      <c r="F17588">
        <v>107209439</v>
      </c>
      <c r="G17588">
        <v>107209451</v>
      </c>
      <c r="H17588">
        <v>107209384</v>
      </c>
      <c r="I17588">
        <v>107209404</v>
      </c>
    </row>
    <row r="17589" spans="1:9" x14ac:dyDescent="0.2">
      <c r="A17589" t="str">
        <f>"Rbmy"</f>
        <v>Rbmy</v>
      </c>
      <c r="B17589" t="s">
        <v>5657</v>
      </c>
      <c r="C17589" t="s">
        <v>63</v>
      </c>
      <c r="D17589" t="s">
        <v>17</v>
      </c>
      <c r="E17589" t="s">
        <v>20</v>
      </c>
      <c r="F17589">
        <v>2830679</v>
      </c>
      <c r="G17589">
        <v>2830679</v>
      </c>
      <c r="H17589">
        <v>2830679</v>
      </c>
      <c r="I17589">
        <v>2830679</v>
      </c>
    </row>
    <row r="17590" spans="1:9" x14ac:dyDescent="0.2">
      <c r="A17590" t="str">
        <f>"Rbp1"</f>
        <v>Rbp1</v>
      </c>
      <c r="B17590" t="s">
        <v>5658</v>
      </c>
      <c r="C17590" t="s">
        <v>24</v>
      </c>
      <c r="D17590" t="s">
        <v>17</v>
      </c>
      <c r="E17590" t="s">
        <v>20</v>
      </c>
      <c r="F17590">
        <v>98422960</v>
      </c>
      <c r="G17590">
        <v>98422960</v>
      </c>
      <c r="H17590">
        <v>98422960</v>
      </c>
      <c r="I17590">
        <v>98422960</v>
      </c>
    </row>
    <row r="17591" spans="1:9" x14ac:dyDescent="0.2">
      <c r="A17591" t="str">
        <f>"Rbp2"</f>
        <v>Rbp2</v>
      </c>
      <c r="B17591" t="s">
        <v>14</v>
      </c>
      <c r="C17591" t="s">
        <v>24</v>
      </c>
      <c r="D17591" t="s">
        <v>17</v>
      </c>
      <c r="E17591" t="s">
        <v>12</v>
      </c>
      <c r="F17591">
        <v>98490545</v>
      </c>
      <c r="G17591">
        <v>98490562</v>
      </c>
      <c r="H17591">
        <v>98490522</v>
      </c>
      <c r="I17591">
        <v>98490536</v>
      </c>
    </row>
    <row r="17592" spans="1:9" x14ac:dyDescent="0.2">
      <c r="A17592" t="str">
        <f>"Rbp3"</f>
        <v>Rbp3</v>
      </c>
      <c r="B17592" t="s">
        <v>14</v>
      </c>
      <c r="C17592" t="s">
        <v>41</v>
      </c>
      <c r="D17592" t="s">
        <v>17</v>
      </c>
      <c r="E17592" t="s">
        <v>12</v>
      </c>
      <c r="F17592">
        <v>33953977</v>
      </c>
      <c r="G17592">
        <v>33954016</v>
      </c>
      <c r="H17592">
        <v>33954020</v>
      </c>
      <c r="I17592">
        <v>33954031</v>
      </c>
    </row>
    <row r="17593" spans="1:9" x14ac:dyDescent="0.2">
      <c r="A17593" t="str">
        <f>"Rbp4"</f>
        <v>Rbp4</v>
      </c>
      <c r="B17593" t="s">
        <v>14</v>
      </c>
      <c r="C17593" t="s">
        <v>10</v>
      </c>
      <c r="D17593" t="s">
        <v>11</v>
      </c>
      <c r="E17593" t="s">
        <v>12</v>
      </c>
      <c r="F17593">
        <v>38124801</v>
      </c>
      <c r="G17593">
        <v>38124816</v>
      </c>
      <c r="H17593">
        <v>38125258</v>
      </c>
      <c r="I17593">
        <v>38125306</v>
      </c>
    </row>
    <row r="17594" spans="1:9" x14ac:dyDescent="0.2">
      <c r="A17594" t="str">
        <f>"Rbp7"</f>
        <v>Rbp7</v>
      </c>
      <c r="B17594" t="s">
        <v>14</v>
      </c>
      <c r="C17594" t="s">
        <v>23</v>
      </c>
      <c r="D17594" t="s">
        <v>11</v>
      </c>
      <c r="E17594" t="s">
        <v>12</v>
      </c>
      <c r="F17594">
        <v>149454971</v>
      </c>
      <c r="G17594">
        <v>149454986</v>
      </c>
      <c r="H17594">
        <v>149454971</v>
      </c>
      <c r="I17594">
        <v>149454986</v>
      </c>
    </row>
    <row r="17595" spans="1:9" x14ac:dyDescent="0.2">
      <c r="A17595" t="str">
        <f>"Rbpj"</f>
        <v>Rbpj</v>
      </c>
      <c r="B17595" t="s">
        <v>14</v>
      </c>
      <c r="C17595" t="s">
        <v>46</v>
      </c>
      <c r="D17595" t="s">
        <v>17</v>
      </c>
      <c r="E17595" t="s">
        <v>12</v>
      </c>
      <c r="F17595">
        <v>53590673</v>
      </c>
      <c r="G17595">
        <v>53590703</v>
      </c>
      <c r="H17595">
        <v>53590453</v>
      </c>
      <c r="I17595">
        <v>53590529</v>
      </c>
    </row>
    <row r="17596" spans="1:9" x14ac:dyDescent="0.2">
      <c r="A17596" t="str">
        <f>"Rbpjl"</f>
        <v>Rbpjl</v>
      </c>
      <c r="B17596" t="s">
        <v>14</v>
      </c>
      <c r="C17596" t="s">
        <v>26</v>
      </c>
      <c r="D17596" t="s">
        <v>17</v>
      </c>
      <c r="E17596" t="s">
        <v>12</v>
      </c>
      <c r="F17596">
        <v>164403202</v>
      </c>
      <c r="G17596">
        <v>164403219</v>
      </c>
      <c r="H17596">
        <v>164403202</v>
      </c>
      <c r="I17596">
        <v>164403219</v>
      </c>
    </row>
    <row r="17597" spans="1:9" x14ac:dyDescent="0.2">
      <c r="A17597" t="str">
        <f>"Rbpms"</f>
        <v>Rbpms</v>
      </c>
      <c r="B17597" t="s">
        <v>14</v>
      </c>
      <c r="C17597" t="s">
        <v>30</v>
      </c>
      <c r="D17597" t="s">
        <v>11</v>
      </c>
      <c r="E17597" t="s">
        <v>12</v>
      </c>
      <c r="F17597">
        <v>33929798</v>
      </c>
      <c r="G17597">
        <v>33929816</v>
      </c>
      <c r="H17597">
        <v>33929798</v>
      </c>
      <c r="I17597">
        <v>33929816</v>
      </c>
    </row>
    <row r="17598" spans="1:9" x14ac:dyDescent="0.2">
      <c r="A17598" t="str">
        <f>"Rbpms2"</f>
        <v>Rbpms2</v>
      </c>
      <c r="B17598" t="s">
        <v>14</v>
      </c>
      <c r="C17598" t="s">
        <v>24</v>
      </c>
      <c r="D17598" t="s">
        <v>17</v>
      </c>
      <c r="E17598" t="s">
        <v>12</v>
      </c>
      <c r="F17598">
        <v>65630552</v>
      </c>
      <c r="G17598">
        <v>65630599</v>
      </c>
      <c r="H17598">
        <v>65630687</v>
      </c>
      <c r="I17598">
        <v>65630703</v>
      </c>
    </row>
    <row r="17599" spans="1:9" x14ac:dyDescent="0.2">
      <c r="A17599" t="str">
        <f>"Rbx1"</f>
        <v>Rbx1</v>
      </c>
      <c r="B17599" t="s">
        <v>14</v>
      </c>
      <c r="C17599" t="s">
        <v>25</v>
      </c>
      <c r="D17599" t="s">
        <v>17</v>
      </c>
      <c r="E17599" t="s">
        <v>12</v>
      </c>
      <c r="F17599">
        <v>81466339</v>
      </c>
      <c r="G17599">
        <v>81466365</v>
      </c>
      <c r="H17599">
        <v>81466309</v>
      </c>
      <c r="I17599">
        <v>81466322</v>
      </c>
    </row>
    <row r="17600" spans="1:9" x14ac:dyDescent="0.2">
      <c r="A17600" t="str">
        <f>"Rc3h1"</f>
        <v>Rc3h1</v>
      </c>
      <c r="B17600" t="s">
        <v>14</v>
      </c>
      <c r="C17600" t="s">
        <v>19</v>
      </c>
      <c r="D17600" t="s">
        <v>17</v>
      </c>
      <c r="E17600" t="s">
        <v>12</v>
      </c>
      <c r="F17600">
        <v>160906372</v>
      </c>
      <c r="G17600">
        <v>160906460</v>
      </c>
      <c r="H17600">
        <v>160906475</v>
      </c>
      <c r="I17600">
        <v>160906500</v>
      </c>
    </row>
    <row r="17601" spans="1:9" x14ac:dyDescent="0.2">
      <c r="A17601" t="str">
        <f>"Rc3h2"</f>
        <v>Rc3h2</v>
      </c>
      <c r="B17601" t="s">
        <v>14</v>
      </c>
      <c r="C17601" t="s">
        <v>26</v>
      </c>
      <c r="D17601" t="s">
        <v>11</v>
      </c>
      <c r="E17601" t="s">
        <v>12</v>
      </c>
      <c r="F17601">
        <v>37422895</v>
      </c>
      <c r="G17601">
        <v>37422958</v>
      </c>
      <c r="H17601">
        <v>37423006</v>
      </c>
      <c r="I17601">
        <v>37423055</v>
      </c>
    </row>
    <row r="17602" spans="1:9" x14ac:dyDescent="0.2">
      <c r="A17602" t="str">
        <f>"Rcan1"</f>
        <v>Rcan1</v>
      </c>
      <c r="B17602" t="s">
        <v>14</v>
      </c>
      <c r="C17602" t="s">
        <v>31</v>
      </c>
      <c r="D17602" t="s">
        <v>11</v>
      </c>
      <c r="E17602" t="s">
        <v>12</v>
      </c>
      <c r="F17602">
        <v>92400067</v>
      </c>
      <c r="G17602">
        <v>92400083</v>
      </c>
      <c r="H17602">
        <v>92400067</v>
      </c>
      <c r="I17602">
        <v>92400083</v>
      </c>
    </row>
    <row r="17603" spans="1:9" x14ac:dyDescent="0.2">
      <c r="A17603" t="str">
        <f>"Rcan2"</f>
        <v>Rcan2</v>
      </c>
      <c r="B17603" t="s">
        <v>14</v>
      </c>
      <c r="C17603" t="s">
        <v>28</v>
      </c>
      <c r="D17603" t="s">
        <v>17</v>
      </c>
      <c r="E17603" t="s">
        <v>12</v>
      </c>
      <c r="F17603">
        <v>43953240</v>
      </c>
      <c r="G17603">
        <v>43953276</v>
      </c>
      <c r="H17603">
        <v>43953240</v>
      </c>
      <c r="I17603">
        <v>43953276</v>
      </c>
    </row>
    <row r="17604" spans="1:9" x14ac:dyDescent="0.2">
      <c r="A17604" t="str">
        <f>"Rcan3"</f>
        <v>Rcan3</v>
      </c>
      <c r="B17604" t="s">
        <v>14</v>
      </c>
      <c r="C17604" t="s">
        <v>23</v>
      </c>
      <c r="D17604" t="s">
        <v>11</v>
      </c>
      <c r="E17604" t="s">
        <v>12</v>
      </c>
      <c r="F17604">
        <v>135433744</v>
      </c>
      <c r="G17604">
        <v>135433869</v>
      </c>
      <c r="H17604">
        <v>135433870</v>
      </c>
      <c r="I17604">
        <v>135433877</v>
      </c>
    </row>
    <row r="17605" spans="1:9" x14ac:dyDescent="0.2">
      <c r="A17605" t="str">
        <f>"Rcbtb1"</f>
        <v>Rcbtb1</v>
      </c>
      <c r="B17605" t="s">
        <v>14</v>
      </c>
      <c r="C17605" t="s">
        <v>41</v>
      </c>
      <c r="D17605" t="s">
        <v>17</v>
      </c>
      <c r="E17605" t="s">
        <v>12</v>
      </c>
      <c r="F17605">
        <v>59201227</v>
      </c>
      <c r="G17605">
        <v>59201267</v>
      </c>
      <c r="H17605">
        <v>59201418</v>
      </c>
      <c r="I17605">
        <v>59201495</v>
      </c>
    </row>
    <row r="17606" spans="1:9" x14ac:dyDescent="0.2">
      <c r="A17606" t="str">
        <f>"Rcbtb2"</f>
        <v>Rcbtb2</v>
      </c>
      <c r="B17606" t="s">
        <v>14</v>
      </c>
      <c r="C17606" t="s">
        <v>41</v>
      </c>
      <c r="D17606" t="s">
        <v>17</v>
      </c>
      <c r="E17606" t="s">
        <v>12</v>
      </c>
      <c r="F17606">
        <v>73142490</v>
      </c>
      <c r="G17606">
        <v>73142564</v>
      </c>
      <c r="H17606">
        <v>73142960</v>
      </c>
      <c r="I17606">
        <v>73143041</v>
      </c>
    </row>
    <row r="17607" spans="1:9" x14ac:dyDescent="0.2">
      <c r="A17607" t="str">
        <f>"Rcc1"</f>
        <v>Rcc1</v>
      </c>
      <c r="B17607" t="s">
        <v>14</v>
      </c>
      <c r="C17607" t="s">
        <v>23</v>
      </c>
      <c r="D17607" t="s">
        <v>11</v>
      </c>
      <c r="E17607" t="s">
        <v>12</v>
      </c>
      <c r="F17607">
        <v>132345686</v>
      </c>
      <c r="G17607">
        <v>132345708</v>
      </c>
      <c r="H17607">
        <v>132345715</v>
      </c>
      <c r="I17607">
        <v>132345718</v>
      </c>
    </row>
    <row r="17608" spans="1:9" x14ac:dyDescent="0.2">
      <c r="A17608" t="str">
        <f>"Rcc2"</f>
        <v>Rcc2</v>
      </c>
      <c r="B17608" t="s">
        <v>14</v>
      </c>
      <c r="C17608" t="s">
        <v>23</v>
      </c>
      <c r="D17608" t="s">
        <v>17</v>
      </c>
      <c r="E17608" t="s">
        <v>12</v>
      </c>
      <c r="F17608">
        <v>140701466</v>
      </c>
      <c r="G17608">
        <v>140701509</v>
      </c>
      <c r="H17608">
        <v>140701522</v>
      </c>
      <c r="I17608">
        <v>140701548</v>
      </c>
    </row>
    <row r="17609" spans="1:9" x14ac:dyDescent="0.2">
      <c r="A17609" t="str">
        <f>"Rccd1"</f>
        <v>Rccd1</v>
      </c>
      <c r="B17609" t="s">
        <v>14</v>
      </c>
      <c r="C17609" t="s">
        <v>33</v>
      </c>
      <c r="D17609" t="s">
        <v>11</v>
      </c>
      <c r="E17609" t="s">
        <v>12</v>
      </c>
      <c r="F17609">
        <v>80324115</v>
      </c>
      <c r="G17609">
        <v>80324137</v>
      </c>
      <c r="H17609">
        <v>80324099</v>
      </c>
      <c r="I17609">
        <v>80324112</v>
      </c>
    </row>
    <row r="17610" spans="1:9" x14ac:dyDescent="0.2">
      <c r="A17610" t="str">
        <f>"Rce1"</f>
        <v>Rce1</v>
      </c>
      <c r="B17610" t="s">
        <v>14</v>
      </c>
      <c r="C17610" t="s">
        <v>10</v>
      </c>
      <c r="D17610" t="s">
        <v>11</v>
      </c>
      <c r="E17610" t="s">
        <v>12</v>
      </c>
      <c r="F17610">
        <v>4625612</v>
      </c>
      <c r="G17610">
        <v>4625658</v>
      </c>
      <c r="H17610">
        <v>4625273</v>
      </c>
      <c r="I17610">
        <v>4625320</v>
      </c>
    </row>
    <row r="17611" spans="1:9" x14ac:dyDescent="0.2">
      <c r="A17611" t="str">
        <f>"Rchy1"</f>
        <v>Rchy1</v>
      </c>
      <c r="B17611" t="s">
        <v>14</v>
      </c>
      <c r="C17611" t="s">
        <v>46</v>
      </c>
      <c r="D17611" t="s">
        <v>11</v>
      </c>
      <c r="E17611" t="s">
        <v>12</v>
      </c>
      <c r="F17611">
        <v>91962839</v>
      </c>
      <c r="G17611">
        <v>91962887</v>
      </c>
      <c r="H17611">
        <v>91962715</v>
      </c>
      <c r="I17611">
        <v>91962740</v>
      </c>
    </row>
    <row r="17612" spans="1:9" x14ac:dyDescent="0.2">
      <c r="A17612" t="str">
        <f>"Rcl1"</f>
        <v>Rcl1</v>
      </c>
      <c r="B17612" t="s">
        <v>14</v>
      </c>
      <c r="C17612" t="s">
        <v>10</v>
      </c>
      <c r="D17612" t="s">
        <v>17</v>
      </c>
      <c r="E17612" t="s">
        <v>12</v>
      </c>
      <c r="F17612">
        <v>29101387</v>
      </c>
      <c r="G17612">
        <v>29101438</v>
      </c>
      <c r="H17612">
        <v>29101365</v>
      </c>
      <c r="I17612">
        <v>29101376</v>
      </c>
    </row>
    <row r="17613" spans="1:9" x14ac:dyDescent="0.2">
      <c r="A17613" t="str">
        <f>"Rcn1"</f>
        <v>Rcn1</v>
      </c>
      <c r="B17613" t="s">
        <v>14</v>
      </c>
      <c r="C17613" t="s">
        <v>26</v>
      </c>
      <c r="D17613" t="s">
        <v>11</v>
      </c>
      <c r="E17613" t="s">
        <v>12</v>
      </c>
      <c r="F17613">
        <v>105399208</v>
      </c>
      <c r="G17613">
        <v>105399243</v>
      </c>
      <c r="H17613">
        <v>105399249</v>
      </c>
      <c r="I17613">
        <v>105399275</v>
      </c>
    </row>
    <row r="17614" spans="1:9" x14ac:dyDescent="0.2">
      <c r="A17614" t="str">
        <f>"Rcn2"</f>
        <v>Rcn2</v>
      </c>
      <c r="B17614" t="s">
        <v>14</v>
      </c>
      <c r="C17614" t="s">
        <v>24</v>
      </c>
      <c r="D17614" t="s">
        <v>17</v>
      </c>
      <c r="E17614" t="s">
        <v>12</v>
      </c>
      <c r="F17614">
        <v>56041862</v>
      </c>
      <c r="G17614">
        <v>56041880</v>
      </c>
      <c r="H17614">
        <v>56042011</v>
      </c>
      <c r="I17614">
        <v>56042033</v>
      </c>
    </row>
    <row r="17615" spans="1:9" x14ac:dyDescent="0.2">
      <c r="A17615" t="str">
        <f>"Rcn3"</f>
        <v>Rcn3</v>
      </c>
      <c r="B17615" t="s">
        <v>14</v>
      </c>
      <c r="C17615" t="s">
        <v>33</v>
      </c>
      <c r="D17615" t="s">
        <v>11</v>
      </c>
      <c r="E17615" t="s">
        <v>12</v>
      </c>
      <c r="F17615">
        <v>45092130</v>
      </c>
      <c r="G17615">
        <v>45092181</v>
      </c>
      <c r="H17615">
        <v>45091713</v>
      </c>
      <c r="I17615">
        <v>45091734</v>
      </c>
    </row>
    <row r="17616" spans="1:9" x14ac:dyDescent="0.2">
      <c r="A17616" t="str">
        <f>"Rcor1"</f>
        <v>Rcor1</v>
      </c>
      <c r="B17616" t="s">
        <v>14</v>
      </c>
      <c r="C17616" t="s">
        <v>16</v>
      </c>
      <c r="D17616" t="s">
        <v>17</v>
      </c>
      <c r="E17616" t="s">
        <v>12</v>
      </c>
      <c r="F17616">
        <v>111039334</v>
      </c>
      <c r="G17616">
        <v>111039400</v>
      </c>
      <c r="H17616">
        <v>111039543</v>
      </c>
      <c r="I17616">
        <v>111039551</v>
      </c>
    </row>
    <row r="17617" spans="1:9" x14ac:dyDescent="0.2">
      <c r="A17617" t="str">
        <f>"Rcor2"</f>
        <v>Rcor2</v>
      </c>
      <c r="B17617" t="s">
        <v>14</v>
      </c>
      <c r="C17617" t="s">
        <v>10</v>
      </c>
      <c r="D17617" t="s">
        <v>17</v>
      </c>
      <c r="E17617" t="s">
        <v>12</v>
      </c>
      <c r="F17617">
        <v>7268235</v>
      </c>
      <c r="G17617">
        <v>7268294</v>
      </c>
      <c r="H17617">
        <v>7268296</v>
      </c>
      <c r="I17617">
        <v>7268313</v>
      </c>
    </row>
    <row r="17618" spans="1:9" x14ac:dyDescent="0.2">
      <c r="A17618" t="str">
        <f>"Rcor3"</f>
        <v>Rcor3</v>
      </c>
      <c r="B17618" t="s">
        <v>14</v>
      </c>
      <c r="C17618" t="s">
        <v>19</v>
      </c>
      <c r="D17618" t="s">
        <v>11</v>
      </c>
      <c r="E17618" t="s">
        <v>12</v>
      </c>
      <c r="F17618">
        <v>192137998</v>
      </c>
      <c r="G17618">
        <v>192138047</v>
      </c>
      <c r="H17618">
        <v>192137894</v>
      </c>
      <c r="I17618">
        <v>192137933</v>
      </c>
    </row>
    <row r="17619" spans="1:9" x14ac:dyDescent="0.2">
      <c r="A17619" t="str">
        <f>"Rcsd1"</f>
        <v>Rcsd1</v>
      </c>
      <c r="B17619" t="s">
        <v>14</v>
      </c>
      <c r="C17619" t="s">
        <v>19</v>
      </c>
      <c r="D17619" t="s">
        <v>11</v>
      </c>
      <c r="E17619" t="s">
        <v>12</v>
      </c>
      <c r="F17619">
        <v>165708057</v>
      </c>
      <c r="G17619">
        <v>165708078</v>
      </c>
      <c r="H17619">
        <v>165708088</v>
      </c>
      <c r="I17619">
        <v>165708099</v>
      </c>
    </row>
    <row r="17620" spans="1:9" x14ac:dyDescent="0.2">
      <c r="A17620" t="str">
        <f>"Rcvrn"</f>
        <v>Rcvrn</v>
      </c>
      <c r="B17620" t="s">
        <v>14</v>
      </c>
      <c r="C17620" t="s">
        <v>27</v>
      </c>
      <c r="D17620" t="s">
        <v>17</v>
      </c>
      <c r="E17620" t="s">
        <v>12</v>
      </c>
      <c r="F17620">
        <v>67695334</v>
      </c>
      <c r="G17620">
        <v>67695376</v>
      </c>
      <c r="H17620">
        <v>67695314</v>
      </c>
      <c r="I17620">
        <v>67695326</v>
      </c>
    </row>
    <row r="17621" spans="1:9" x14ac:dyDescent="0.2">
      <c r="A17621" t="str">
        <f>"Rd3"</f>
        <v>Rd3</v>
      </c>
      <c r="B17621" t="s">
        <v>14</v>
      </c>
      <c r="C17621" t="s">
        <v>19</v>
      </c>
      <c r="D17621" t="s">
        <v>17</v>
      </c>
      <c r="E17621" t="s">
        <v>12</v>
      </c>
      <c r="F17621">
        <v>191977401</v>
      </c>
      <c r="G17621">
        <v>191977445</v>
      </c>
      <c r="H17621">
        <v>191977368</v>
      </c>
      <c r="I17621">
        <v>191977389</v>
      </c>
    </row>
    <row r="17622" spans="1:9" x14ac:dyDescent="0.2">
      <c r="A17622" t="str">
        <f>"Rdh1"</f>
        <v>Rdh1</v>
      </c>
      <c r="B17622" t="s">
        <v>14</v>
      </c>
      <c r="C17622" t="s">
        <v>15</v>
      </c>
      <c r="D17622" t="s">
        <v>17</v>
      </c>
      <c r="E17622" t="s">
        <v>12</v>
      </c>
      <c r="F17622">
        <v>127759754</v>
      </c>
      <c r="G17622">
        <v>127759766</v>
      </c>
      <c r="H17622">
        <v>127759734</v>
      </c>
      <c r="I17622">
        <v>127759746</v>
      </c>
    </row>
    <row r="17623" spans="1:9" x14ac:dyDescent="0.2">
      <c r="A17623" t="str">
        <f>"Rdh10"</f>
        <v>Rdh10</v>
      </c>
      <c r="B17623" t="s">
        <v>14</v>
      </c>
      <c r="C17623" t="s">
        <v>19</v>
      </c>
      <c r="D17623" t="s">
        <v>17</v>
      </c>
      <c r="E17623" t="s">
        <v>12</v>
      </c>
      <c r="F17623">
        <v>16105394</v>
      </c>
      <c r="G17623">
        <v>16105410</v>
      </c>
      <c r="H17623">
        <v>16105394</v>
      </c>
      <c r="I17623">
        <v>16105410</v>
      </c>
    </row>
    <row r="17624" spans="1:9" x14ac:dyDescent="0.2">
      <c r="A17624" t="str">
        <f>"Rdh11"</f>
        <v>Rdh11</v>
      </c>
      <c r="B17624" t="s">
        <v>14</v>
      </c>
      <c r="C17624" t="s">
        <v>16</v>
      </c>
      <c r="D17624" t="s">
        <v>11</v>
      </c>
      <c r="E17624" t="s">
        <v>12</v>
      </c>
      <c r="F17624">
        <v>79191839</v>
      </c>
      <c r="G17624">
        <v>79191861</v>
      </c>
      <c r="H17624">
        <v>79191812</v>
      </c>
      <c r="I17624">
        <v>79191832</v>
      </c>
    </row>
    <row r="17625" spans="1:9" x14ac:dyDescent="0.2">
      <c r="A17625" t="str">
        <f>"Rdh12"</f>
        <v>Rdh12</v>
      </c>
      <c r="B17625" t="s">
        <v>14</v>
      </c>
      <c r="C17625" t="s">
        <v>16</v>
      </c>
      <c r="D17625" t="s">
        <v>17</v>
      </c>
      <c r="E17625" t="s">
        <v>12</v>
      </c>
      <c r="F17625">
        <v>79208904</v>
      </c>
      <c r="G17625">
        <v>79208923</v>
      </c>
      <c r="H17625">
        <v>79208928</v>
      </c>
      <c r="I17625">
        <v>79208939</v>
      </c>
    </row>
    <row r="17626" spans="1:9" x14ac:dyDescent="0.2">
      <c r="A17626" t="str">
        <f>"Rdh13"</f>
        <v>Rdh13</v>
      </c>
      <c r="B17626" t="s">
        <v>14</v>
      </c>
      <c r="C17626" t="s">
        <v>33</v>
      </c>
      <c r="D17626" t="s">
        <v>11</v>
      </c>
      <c r="E17626" t="s">
        <v>12</v>
      </c>
      <c r="F17626">
        <v>4445637</v>
      </c>
      <c r="G17626">
        <v>4445662</v>
      </c>
      <c r="H17626">
        <v>4445595</v>
      </c>
      <c r="I17626">
        <v>4445631</v>
      </c>
    </row>
    <row r="17627" spans="1:9" x14ac:dyDescent="0.2">
      <c r="A17627" t="str">
        <f>"Rdh14"</f>
        <v>Rdh14</v>
      </c>
      <c r="B17627" t="s">
        <v>14</v>
      </c>
      <c r="C17627" t="s">
        <v>16</v>
      </c>
      <c r="D17627" t="s">
        <v>17</v>
      </c>
      <c r="E17627" t="s">
        <v>12</v>
      </c>
      <c r="F17627">
        <v>10390756</v>
      </c>
      <c r="G17627">
        <v>10390836</v>
      </c>
      <c r="H17627">
        <v>10390745</v>
      </c>
      <c r="I17627">
        <v>10390752</v>
      </c>
    </row>
    <row r="17628" spans="1:9" x14ac:dyDescent="0.2">
      <c r="A17628" t="str">
        <f>"Rdh16"</f>
        <v>Rdh16</v>
      </c>
      <c r="B17628" t="s">
        <v>14</v>
      </c>
      <c r="C17628" t="s">
        <v>15</v>
      </c>
      <c r="D17628" t="s">
        <v>17</v>
      </c>
      <c r="E17628" t="s">
        <v>12</v>
      </c>
      <c r="F17628">
        <v>127801145</v>
      </c>
      <c r="G17628">
        <v>127801189</v>
      </c>
      <c r="H17628">
        <v>127801145</v>
      </c>
      <c r="I17628">
        <v>127801189</v>
      </c>
    </row>
    <row r="17629" spans="1:9" x14ac:dyDescent="0.2">
      <c r="A17629" t="str">
        <f>"Rdh19"</f>
        <v>Rdh19</v>
      </c>
      <c r="B17629" t="s">
        <v>14</v>
      </c>
      <c r="C17629" t="s">
        <v>15</v>
      </c>
      <c r="D17629" t="s">
        <v>17</v>
      </c>
      <c r="E17629" t="s">
        <v>12</v>
      </c>
      <c r="F17629">
        <v>127849889</v>
      </c>
      <c r="G17629">
        <v>127849901</v>
      </c>
      <c r="H17629">
        <v>127849917</v>
      </c>
      <c r="I17629">
        <v>127849926</v>
      </c>
    </row>
    <row r="17630" spans="1:9" x14ac:dyDescent="0.2">
      <c r="A17630" t="str">
        <f>"Rdh5"</f>
        <v>Rdh5</v>
      </c>
      <c r="B17630" t="s">
        <v>14</v>
      </c>
      <c r="C17630" t="s">
        <v>15</v>
      </c>
      <c r="D17630" t="s">
        <v>11</v>
      </c>
      <c r="E17630" t="s">
        <v>12</v>
      </c>
      <c r="F17630">
        <v>128919259</v>
      </c>
      <c r="G17630">
        <v>128919305</v>
      </c>
      <c r="H17630">
        <v>128919190</v>
      </c>
      <c r="I17630">
        <v>128919227</v>
      </c>
    </row>
    <row r="17631" spans="1:9" x14ac:dyDescent="0.2">
      <c r="A17631" t="str">
        <f>"Rdh7"</f>
        <v>Rdh7</v>
      </c>
      <c r="B17631" t="s">
        <v>14</v>
      </c>
      <c r="C17631" t="s">
        <v>15</v>
      </c>
      <c r="D17631" t="s">
        <v>11</v>
      </c>
      <c r="E17631" t="s">
        <v>12</v>
      </c>
      <c r="F17631">
        <v>127888688</v>
      </c>
      <c r="G17631">
        <v>127888750</v>
      </c>
      <c r="H17631">
        <v>127888688</v>
      </c>
      <c r="I17631">
        <v>127888750</v>
      </c>
    </row>
    <row r="17632" spans="1:9" x14ac:dyDescent="0.2">
      <c r="A17632" t="str">
        <f>"Rdh8"</f>
        <v>Rdh8</v>
      </c>
      <c r="B17632" t="s">
        <v>14</v>
      </c>
      <c r="C17632" t="s">
        <v>24</v>
      </c>
      <c r="D17632" t="s">
        <v>17</v>
      </c>
      <c r="E17632" t="s">
        <v>12</v>
      </c>
      <c r="F17632">
        <v>20818490</v>
      </c>
      <c r="G17632">
        <v>20818506</v>
      </c>
      <c r="H17632">
        <v>20818490</v>
      </c>
      <c r="I17632">
        <v>20818506</v>
      </c>
    </row>
    <row r="17633" spans="1:9" x14ac:dyDescent="0.2">
      <c r="A17633" t="str">
        <f>"Rdh9"</f>
        <v>Rdh9</v>
      </c>
      <c r="B17633" t="s">
        <v>9</v>
      </c>
      <c r="C17633" t="s">
        <v>15</v>
      </c>
      <c r="D17633" t="s">
        <v>17</v>
      </c>
      <c r="E17633" t="s">
        <v>12</v>
      </c>
      <c r="F17633">
        <v>127776374</v>
      </c>
      <c r="G17633">
        <v>127776407</v>
      </c>
      <c r="H17633">
        <v>127776374</v>
      </c>
      <c r="I17633">
        <v>127776407</v>
      </c>
    </row>
    <row r="17634" spans="1:9" x14ac:dyDescent="0.2">
      <c r="A17634" t="str">
        <f>"Rdh9"</f>
        <v>Rdh9</v>
      </c>
      <c r="B17634" t="s">
        <v>13</v>
      </c>
      <c r="C17634" t="s">
        <v>15</v>
      </c>
      <c r="D17634" t="s">
        <v>17</v>
      </c>
      <c r="E17634" t="s">
        <v>12</v>
      </c>
      <c r="F17634">
        <v>127759780</v>
      </c>
      <c r="G17634">
        <v>127759801</v>
      </c>
      <c r="H17634">
        <v>127759780</v>
      </c>
      <c r="I17634">
        <v>127759801</v>
      </c>
    </row>
    <row r="17635" spans="1:9" x14ac:dyDescent="0.2">
      <c r="A17635" t="str">
        <f>"Rdm1"</f>
        <v>Rdm1</v>
      </c>
      <c r="B17635" t="s">
        <v>14</v>
      </c>
      <c r="C17635" t="s">
        <v>27</v>
      </c>
      <c r="D17635" t="s">
        <v>17</v>
      </c>
      <c r="E17635" t="s">
        <v>12</v>
      </c>
      <c r="F17635">
        <v>101627943</v>
      </c>
      <c r="G17635">
        <v>101627972</v>
      </c>
      <c r="H17635">
        <v>101627186</v>
      </c>
      <c r="I17635">
        <v>101627198</v>
      </c>
    </row>
    <row r="17636" spans="1:9" x14ac:dyDescent="0.2">
      <c r="A17636" t="str">
        <f>"Rdx"</f>
        <v>Rdx</v>
      </c>
      <c r="B17636" t="s">
        <v>14</v>
      </c>
      <c r="C17636" t="s">
        <v>24</v>
      </c>
      <c r="D17636" t="s">
        <v>17</v>
      </c>
      <c r="E17636" t="s">
        <v>12</v>
      </c>
      <c r="F17636">
        <v>52048246</v>
      </c>
      <c r="G17636">
        <v>52048319</v>
      </c>
      <c r="H17636">
        <v>52048001</v>
      </c>
      <c r="I17636">
        <v>52048030</v>
      </c>
    </row>
    <row r="17637" spans="1:9" x14ac:dyDescent="0.2">
      <c r="A17637" t="str">
        <f>"Rec8"</f>
        <v>Rec8</v>
      </c>
      <c r="B17637" t="s">
        <v>14</v>
      </c>
      <c r="C17637" t="s">
        <v>41</v>
      </c>
      <c r="D17637" t="s">
        <v>17</v>
      </c>
      <c r="E17637" t="s">
        <v>12</v>
      </c>
      <c r="F17637">
        <v>55618138</v>
      </c>
      <c r="G17637">
        <v>55618183</v>
      </c>
      <c r="H17637">
        <v>55618126</v>
      </c>
      <c r="I17637">
        <v>55618137</v>
      </c>
    </row>
    <row r="17638" spans="1:9" x14ac:dyDescent="0.2">
      <c r="A17638" t="str">
        <f>"Reck"</f>
        <v>Reck</v>
      </c>
      <c r="B17638" t="s">
        <v>14</v>
      </c>
      <c r="C17638" t="s">
        <v>23</v>
      </c>
      <c r="D17638" t="s">
        <v>17</v>
      </c>
      <c r="E17638" t="s">
        <v>12</v>
      </c>
      <c r="F17638">
        <v>43875524</v>
      </c>
      <c r="G17638">
        <v>43875558</v>
      </c>
      <c r="H17638">
        <v>43875567</v>
      </c>
      <c r="I17638">
        <v>43875582</v>
      </c>
    </row>
    <row r="17639" spans="1:9" x14ac:dyDescent="0.2">
      <c r="A17639" t="str">
        <f>"Recql"</f>
        <v>Recql</v>
      </c>
      <c r="B17639" t="s">
        <v>14</v>
      </c>
      <c r="C17639" t="s">
        <v>32</v>
      </c>
      <c r="D17639" t="s">
        <v>11</v>
      </c>
      <c r="E17639" t="s">
        <v>12</v>
      </c>
      <c r="F17639">
        <v>142387035</v>
      </c>
      <c r="G17639">
        <v>142387092</v>
      </c>
      <c r="H17639">
        <v>142387014</v>
      </c>
      <c r="I17639">
        <v>142387028</v>
      </c>
    </row>
    <row r="17640" spans="1:9" x14ac:dyDescent="0.2">
      <c r="A17640" t="str">
        <f>"Recql4"</f>
        <v>Recql4</v>
      </c>
      <c r="B17640" t="s">
        <v>14</v>
      </c>
      <c r="C17640" t="s">
        <v>25</v>
      </c>
      <c r="D17640" t="s">
        <v>11</v>
      </c>
      <c r="E17640" t="s">
        <v>12</v>
      </c>
      <c r="F17640">
        <v>76710486</v>
      </c>
      <c r="G17640">
        <v>76710511</v>
      </c>
      <c r="H17640">
        <v>76710536</v>
      </c>
      <c r="I17640">
        <v>76710550</v>
      </c>
    </row>
    <row r="17641" spans="1:9" x14ac:dyDescent="0.2">
      <c r="A17641" t="str">
        <f>"Recql5"</f>
        <v>Recql5</v>
      </c>
      <c r="B17641" t="s">
        <v>14</v>
      </c>
      <c r="C17641" t="s">
        <v>27</v>
      </c>
      <c r="D17641" t="s">
        <v>11</v>
      </c>
      <c r="E17641" t="s">
        <v>12</v>
      </c>
      <c r="F17641">
        <v>115933464</v>
      </c>
      <c r="G17641">
        <v>115933498</v>
      </c>
      <c r="H17641">
        <v>115933500</v>
      </c>
      <c r="I17641">
        <v>115933505</v>
      </c>
    </row>
    <row r="17642" spans="1:9" x14ac:dyDescent="0.2">
      <c r="A17642" t="str">
        <f>"Reep1"</f>
        <v>Reep1</v>
      </c>
      <c r="B17642" t="s">
        <v>14</v>
      </c>
      <c r="C17642" t="s">
        <v>32</v>
      </c>
      <c r="D17642" t="s">
        <v>17</v>
      </c>
      <c r="E17642" t="s">
        <v>12</v>
      </c>
      <c r="F17642">
        <v>71707861</v>
      </c>
      <c r="G17642">
        <v>71707878</v>
      </c>
      <c r="H17642">
        <v>71707889</v>
      </c>
      <c r="I17642">
        <v>71707907</v>
      </c>
    </row>
    <row r="17643" spans="1:9" x14ac:dyDescent="0.2">
      <c r="A17643" t="str">
        <f>"Reep2"</f>
        <v>Reep2</v>
      </c>
      <c r="B17643" t="s">
        <v>14</v>
      </c>
      <c r="C17643" t="s">
        <v>43</v>
      </c>
      <c r="D17643" t="s">
        <v>17</v>
      </c>
      <c r="E17643" t="s">
        <v>12</v>
      </c>
      <c r="F17643">
        <v>34840618</v>
      </c>
      <c r="G17643">
        <v>34840706</v>
      </c>
      <c r="H17643">
        <v>34840600</v>
      </c>
      <c r="I17643">
        <v>34840614</v>
      </c>
    </row>
    <row r="17644" spans="1:9" x14ac:dyDescent="0.2">
      <c r="A17644" t="str">
        <f>"Reep3"</f>
        <v>Reep3</v>
      </c>
      <c r="B17644" t="s">
        <v>14</v>
      </c>
      <c r="C17644" t="s">
        <v>15</v>
      </c>
      <c r="D17644" t="s">
        <v>11</v>
      </c>
      <c r="E17644" t="s">
        <v>12</v>
      </c>
      <c r="F17644">
        <v>67096906</v>
      </c>
      <c r="G17644">
        <v>67096923</v>
      </c>
      <c r="H17644">
        <v>67096931</v>
      </c>
      <c r="I17644">
        <v>67096959</v>
      </c>
    </row>
    <row r="17645" spans="1:9" x14ac:dyDescent="0.2">
      <c r="A17645" t="str">
        <f>"Reep4"</f>
        <v>Reep4</v>
      </c>
      <c r="B17645" t="s">
        <v>14</v>
      </c>
      <c r="C17645" t="s">
        <v>41</v>
      </c>
      <c r="D17645" t="s">
        <v>17</v>
      </c>
      <c r="E17645" t="s">
        <v>12</v>
      </c>
      <c r="F17645">
        <v>70545283</v>
      </c>
      <c r="G17645">
        <v>70545340</v>
      </c>
      <c r="H17645">
        <v>70545219</v>
      </c>
      <c r="I17645">
        <v>70545236</v>
      </c>
    </row>
    <row r="17646" spans="1:9" x14ac:dyDescent="0.2">
      <c r="A17646" t="str">
        <f>"Reep5"</f>
        <v>Reep5</v>
      </c>
      <c r="B17646" t="s">
        <v>14</v>
      </c>
      <c r="C17646" t="s">
        <v>43</v>
      </c>
      <c r="D17646" t="s">
        <v>11</v>
      </c>
      <c r="E17646" t="s">
        <v>12</v>
      </c>
      <c r="F17646">
        <v>34373313</v>
      </c>
      <c r="G17646">
        <v>34373443</v>
      </c>
      <c r="H17646">
        <v>34373502</v>
      </c>
      <c r="I17646">
        <v>34373520</v>
      </c>
    </row>
    <row r="17647" spans="1:9" x14ac:dyDescent="0.2">
      <c r="A17647" t="str">
        <f>"Reep6"</f>
        <v>Reep6</v>
      </c>
      <c r="B17647" t="s">
        <v>14</v>
      </c>
      <c r="C17647" t="s">
        <v>15</v>
      </c>
      <c r="D17647" t="s">
        <v>17</v>
      </c>
      <c r="E17647" t="s">
        <v>12</v>
      </c>
      <c r="F17647">
        <v>80330127</v>
      </c>
      <c r="G17647">
        <v>80330211</v>
      </c>
      <c r="H17647">
        <v>80329961</v>
      </c>
      <c r="I17647">
        <v>80329987</v>
      </c>
    </row>
    <row r="17648" spans="1:9" x14ac:dyDescent="0.2">
      <c r="A17648" t="str">
        <f>"Reg1"</f>
        <v>Reg1</v>
      </c>
      <c r="B17648" t="s">
        <v>14</v>
      </c>
      <c r="C17648" t="s">
        <v>32</v>
      </c>
      <c r="D17648" t="s">
        <v>17</v>
      </c>
      <c r="E17648" t="s">
        <v>12</v>
      </c>
      <c r="F17648">
        <v>78425973</v>
      </c>
      <c r="G17648">
        <v>78425985</v>
      </c>
      <c r="H17648">
        <v>78425973</v>
      </c>
      <c r="I17648">
        <v>78425985</v>
      </c>
    </row>
    <row r="17649" spans="1:9" x14ac:dyDescent="0.2">
      <c r="A17649" t="str">
        <f>"Reg2"</f>
        <v>Reg2</v>
      </c>
      <c r="B17649" t="s">
        <v>14</v>
      </c>
      <c r="C17649" t="s">
        <v>32</v>
      </c>
      <c r="D17649" t="s">
        <v>17</v>
      </c>
      <c r="E17649" t="s">
        <v>12</v>
      </c>
      <c r="F17649">
        <v>78405148</v>
      </c>
      <c r="G17649">
        <v>78405158</v>
      </c>
      <c r="H17649">
        <v>78405148</v>
      </c>
      <c r="I17649">
        <v>78405158</v>
      </c>
    </row>
    <row r="17650" spans="1:9" x14ac:dyDescent="0.2">
      <c r="A17650" t="str">
        <f>"Reg3a"</f>
        <v>Reg3a</v>
      </c>
      <c r="B17650" t="s">
        <v>14</v>
      </c>
      <c r="C17650" t="s">
        <v>32</v>
      </c>
      <c r="D17650" t="s">
        <v>17</v>
      </c>
      <c r="E17650" t="s">
        <v>12</v>
      </c>
      <c r="F17650">
        <v>78380700</v>
      </c>
      <c r="G17650">
        <v>78380715</v>
      </c>
      <c r="H17650">
        <v>78380741</v>
      </c>
      <c r="I17650">
        <v>78380765</v>
      </c>
    </row>
    <row r="17651" spans="1:9" x14ac:dyDescent="0.2">
      <c r="A17651" t="str">
        <f>"Reg3b"</f>
        <v>Reg3b</v>
      </c>
      <c r="B17651" t="s">
        <v>14</v>
      </c>
      <c r="C17651" t="s">
        <v>32</v>
      </c>
      <c r="D17651" t="s">
        <v>17</v>
      </c>
      <c r="E17651" t="s">
        <v>12</v>
      </c>
      <c r="F17651">
        <v>78370877</v>
      </c>
      <c r="G17651">
        <v>78370892</v>
      </c>
      <c r="H17651">
        <v>78370877</v>
      </c>
      <c r="I17651">
        <v>78370892</v>
      </c>
    </row>
    <row r="17652" spans="1:9" x14ac:dyDescent="0.2">
      <c r="A17652" t="str">
        <f>"Reg3d"</f>
        <v>Reg3d</v>
      </c>
      <c r="B17652" t="s">
        <v>14</v>
      </c>
      <c r="C17652" t="s">
        <v>32</v>
      </c>
      <c r="D17652" t="s">
        <v>11</v>
      </c>
      <c r="E17652" t="s">
        <v>12</v>
      </c>
      <c r="F17652">
        <v>78378922</v>
      </c>
      <c r="G17652">
        <v>78378961</v>
      </c>
      <c r="H17652">
        <v>78378894</v>
      </c>
      <c r="I17652">
        <v>78378917</v>
      </c>
    </row>
    <row r="17653" spans="1:9" x14ac:dyDescent="0.2">
      <c r="A17653" t="str">
        <f>"Reg3g"</f>
        <v>Reg3g</v>
      </c>
      <c r="B17653" t="s">
        <v>14</v>
      </c>
      <c r="C17653" t="s">
        <v>32</v>
      </c>
      <c r="D17653" t="s">
        <v>11</v>
      </c>
      <c r="E17653" t="s">
        <v>12</v>
      </c>
      <c r="F17653">
        <v>78468863</v>
      </c>
      <c r="G17653">
        <v>78468878</v>
      </c>
      <c r="H17653">
        <v>78468863</v>
      </c>
      <c r="I17653">
        <v>78468878</v>
      </c>
    </row>
    <row r="17654" spans="1:9" x14ac:dyDescent="0.2">
      <c r="A17654" t="str">
        <f>"Reg4"</f>
        <v>Reg4</v>
      </c>
      <c r="B17654" t="s">
        <v>14</v>
      </c>
      <c r="C17654" t="s">
        <v>22</v>
      </c>
      <c r="D17654" t="s">
        <v>17</v>
      </c>
      <c r="E17654" t="s">
        <v>12</v>
      </c>
      <c r="F17654">
        <v>98222148</v>
      </c>
      <c r="G17654">
        <v>98222164</v>
      </c>
      <c r="H17654">
        <v>98222148</v>
      </c>
      <c r="I17654">
        <v>98222164</v>
      </c>
    </row>
    <row r="17655" spans="1:9" x14ac:dyDescent="0.2">
      <c r="A17655" t="str">
        <f>"Rel"</f>
        <v>Rel</v>
      </c>
      <c r="B17655" t="s">
        <v>14</v>
      </c>
      <c r="C17655" t="s">
        <v>27</v>
      </c>
      <c r="D17655" t="s">
        <v>11</v>
      </c>
      <c r="E17655" t="s">
        <v>12</v>
      </c>
      <c r="F17655">
        <v>23770953</v>
      </c>
      <c r="G17655">
        <v>23771028</v>
      </c>
      <c r="H17655">
        <v>23770750</v>
      </c>
      <c r="I17655">
        <v>23770789</v>
      </c>
    </row>
    <row r="17656" spans="1:9" x14ac:dyDescent="0.2">
      <c r="A17656" t="str">
        <f>"Rela"</f>
        <v>Rela</v>
      </c>
      <c r="B17656" t="s">
        <v>14</v>
      </c>
      <c r="C17656" t="s">
        <v>10</v>
      </c>
      <c r="D17656" t="s">
        <v>17</v>
      </c>
      <c r="E17656" t="s">
        <v>12</v>
      </c>
      <c r="F17656">
        <v>5637736</v>
      </c>
      <c r="G17656">
        <v>5637766</v>
      </c>
      <c r="H17656">
        <v>5637528</v>
      </c>
      <c r="I17656">
        <v>5637548</v>
      </c>
    </row>
    <row r="17657" spans="1:9" x14ac:dyDescent="0.2">
      <c r="A17657" t="str">
        <f>"Relb"</f>
        <v>Relb</v>
      </c>
      <c r="B17657" t="s">
        <v>14</v>
      </c>
      <c r="C17657" t="s">
        <v>33</v>
      </c>
      <c r="D17657" t="s">
        <v>11</v>
      </c>
      <c r="E17657" t="s">
        <v>12</v>
      </c>
      <c r="F17657">
        <v>19629355</v>
      </c>
      <c r="G17657">
        <v>19629451</v>
      </c>
      <c r="H17657">
        <v>19628403</v>
      </c>
      <c r="I17657">
        <v>19628429</v>
      </c>
    </row>
    <row r="17658" spans="1:9" x14ac:dyDescent="0.2">
      <c r="A17658" t="str">
        <f>"Rell1"</f>
        <v>Rell1</v>
      </c>
      <c r="B17658" t="s">
        <v>14</v>
      </c>
      <c r="C17658" t="s">
        <v>46</v>
      </c>
      <c r="D17658" t="s">
        <v>11</v>
      </c>
      <c r="E17658" t="s">
        <v>12</v>
      </c>
      <c r="F17658">
        <v>63968807</v>
      </c>
      <c r="G17658">
        <v>63968840</v>
      </c>
      <c r="H17658">
        <v>63968867</v>
      </c>
      <c r="I17658">
        <v>63968901</v>
      </c>
    </row>
    <row r="17659" spans="1:9" x14ac:dyDescent="0.2">
      <c r="A17659" t="str">
        <f>"Rell2"</f>
        <v>Rell2</v>
      </c>
      <c r="B17659" t="s">
        <v>14</v>
      </c>
      <c r="C17659" t="s">
        <v>43</v>
      </c>
      <c r="D17659" t="s">
        <v>17</v>
      </c>
      <c r="E17659" t="s">
        <v>12</v>
      </c>
      <c r="F17659">
        <v>37955544</v>
      </c>
      <c r="G17659">
        <v>37955623</v>
      </c>
      <c r="H17659">
        <v>37955544</v>
      </c>
      <c r="I17659">
        <v>37955623</v>
      </c>
    </row>
    <row r="17660" spans="1:9" x14ac:dyDescent="0.2">
      <c r="A17660" t="str">
        <f>"Reln"</f>
        <v>Reln</v>
      </c>
      <c r="B17660" t="s">
        <v>14</v>
      </c>
      <c r="C17660" t="s">
        <v>46</v>
      </c>
      <c r="D17660" t="s">
        <v>11</v>
      </c>
      <c r="E17660" t="s">
        <v>12</v>
      </c>
      <c r="F17660">
        <v>22344695</v>
      </c>
      <c r="G17660">
        <v>22344710</v>
      </c>
      <c r="H17660">
        <v>22344670</v>
      </c>
      <c r="I17660">
        <v>22344681</v>
      </c>
    </row>
    <row r="17661" spans="1:9" x14ac:dyDescent="0.2">
      <c r="A17661" t="str">
        <f>"Relt"</f>
        <v>Relt</v>
      </c>
      <c r="B17661" t="s">
        <v>14</v>
      </c>
      <c r="C17661" t="s">
        <v>33</v>
      </c>
      <c r="D17661" t="s">
        <v>11</v>
      </c>
      <c r="E17661" t="s">
        <v>12</v>
      </c>
      <c r="F17661">
        <v>100863373</v>
      </c>
      <c r="G17661">
        <v>100863426</v>
      </c>
      <c r="H17661">
        <v>100863353</v>
      </c>
      <c r="I17661">
        <v>100863368</v>
      </c>
    </row>
    <row r="17662" spans="1:9" x14ac:dyDescent="0.2">
      <c r="A17662" t="str">
        <f>"Rem1"</f>
        <v>Rem1</v>
      </c>
      <c r="B17662" t="s">
        <v>14</v>
      </c>
      <c r="C17662" t="s">
        <v>26</v>
      </c>
      <c r="D17662" t="s">
        <v>17</v>
      </c>
      <c r="E17662" t="s">
        <v>12</v>
      </c>
      <c r="F17662">
        <v>152626985</v>
      </c>
      <c r="G17662">
        <v>152627018</v>
      </c>
      <c r="H17662">
        <v>152626932</v>
      </c>
      <c r="I17662">
        <v>152626957</v>
      </c>
    </row>
    <row r="17663" spans="1:9" x14ac:dyDescent="0.2">
      <c r="A17663" t="str">
        <f>"Rem2"</f>
        <v>Rem2</v>
      </c>
      <c r="B17663" t="s">
        <v>14</v>
      </c>
      <c r="C17663" t="s">
        <v>41</v>
      </c>
      <c r="D17663" t="s">
        <v>17</v>
      </c>
      <c r="E17663" t="s">
        <v>12</v>
      </c>
      <c r="F17663">
        <v>54476212</v>
      </c>
      <c r="G17663">
        <v>54476228</v>
      </c>
      <c r="H17663">
        <v>54476247</v>
      </c>
      <c r="I17663">
        <v>54476258</v>
      </c>
    </row>
    <row r="17664" spans="1:9" x14ac:dyDescent="0.2">
      <c r="A17664" t="str">
        <f>"Ren1"</f>
        <v>Ren1</v>
      </c>
      <c r="B17664" t="s">
        <v>14</v>
      </c>
      <c r="C17664" t="s">
        <v>19</v>
      </c>
      <c r="D17664" t="s">
        <v>17</v>
      </c>
      <c r="E17664" t="s">
        <v>12</v>
      </c>
      <c r="F17664">
        <v>133350667</v>
      </c>
      <c r="G17664">
        <v>133350683</v>
      </c>
      <c r="H17664">
        <v>133350667</v>
      </c>
      <c r="I17664">
        <v>133350683</v>
      </c>
    </row>
    <row r="17665" spans="1:9" x14ac:dyDescent="0.2">
      <c r="A17665" t="str">
        <f>"Renbp"</f>
        <v>Renbp</v>
      </c>
      <c r="B17665" t="s">
        <v>14</v>
      </c>
      <c r="C17665" t="s">
        <v>37</v>
      </c>
      <c r="D17665" t="s">
        <v>11</v>
      </c>
      <c r="E17665" t="s">
        <v>12</v>
      </c>
      <c r="F17665">
        <v>73930751</v>
      </c>
      <c r="G17665">
        <v>73930823</v>
      </c>
      <c r="H17665">
        <v>73930834</v>
      </c>
      <c r="I17665">
        <v>73930851</v>
      </c>
    </row>
    <row r="17666" spans="1:9" x14ac:dyDescent="0.2">
      <c r="A17666" t="str">
        <f>"Rep15"</f>
        <v>Rep15</v>
      </c>
      <c r="B17666" t="s">
        <v>14</v>
      </c>
      <c r="C17666" t="s">
        <v>32</v>
      </c>
      <c r="D17666" t="s">
        <v>17</v>
      </c>
      <c r="E17666" t="s">
        <v>12</v>
      </c>
      <c r="F17666">
        <v>147032528</v>
      </c>
      <c r="G17666">
        <v>147032547</v>
      </c>
      <c r="H17666">
        <v>147032609</v>
      </c>
      <c r="I17666">
        <v>147032625</v>
      </c>
    </row>
    <row r="17667" spans="1:9" x14ac:dyDescent="0.2">
      <c r="A17667" t="str">
        <f>"Repin1"</f>
        <v>Repin1</v>
      </c>
      <c r="B17667" t="s">
        <v>14</v>
      </c>
      <c r="C17667" t="s">
        <v>32</v>
      </c>
      <c r="D17667" t="s">
        <v>17</v>
      </c>
      <c r="E17667" t="s">
        <v>12</v>
      </c>
      <c r="F17667">
        <v>48593930</v>
      </c>
      <c r="G17667">
        <v>48593952</v>
      </c>
      <c r="H17667">
        <v>48594204</v>
      </c>
      <c r="I17667">
        <v>48594222</v>
      </c>
    </row>
    <row r="17668" spans="1:9" x14ac:dyDescent="0.2">
      <c r="A17668" t="str">
        <f>"Reps1"</f>
        <v>Reps1</v>
      </c>
      <c r="B17668" t="s">
        <v>14</v>
      </c>
      <c r="C17668" t="s">
        <v>15</v>
      </c>
      <c r="D17668" t="s">
        <v>17</v>
      </c>
      <c r="E17668" t="s">
        <v>12</v>
      </c>
      <c r="F17668">
        <v>18055520</v>
      </c>
      <c r="G17668">
        <v>18055595</v>
      </c>
      <c r="H17668">
        <v>18055711</v>
      </c>
      <c r="I17668">
        <v>18055790</v>
      </c>
    </row>
    <row r="17669" spans="1:9" x14ac:dyDescent="0.2">
      <c r="A17669" t="str">
        <f>"Reps2"</f>
        <v>Reps2</v>
      </c>
      <c r="B17669" t="s">
        <v>14</v>
      </c>
      <c r="C17669" t="s">
        <v>37</v>
      </c>
      <c r="D17669" t="s">
        <v>11</v>
      </c>
      <c r="E17669" t="s">
        <v>12</v>
      </c>
      <c r="F17669">
        <v>162643629</v>
      </c>
      <c r="G17669">
        <v>162643665</v>
      </c>
      <c r="H17669">
        <v>162643575</v>
      </c>
      <c r="I17669">
        <v>162643622</v>
      </c>
    </row>
    <row r="17670" spans="1:9" x14ac:dyDescent="0.2">
      <c r="A17670" t="str">
        <f>"Rer1"</f>
        <v>Rer1</v>
      </c>
      <c r="B17670" t="s">
        <v>14</v>
      </c>
      <c r="C17670" t="s">
        <v>23</v>
      </c>
      <c r="D17670" t="s">
        <v>11</v>
      </c>
      <c r="E17670" t="s">
        <v>12</v>
      </c>
      <c r="F17670">
        <v>155086271</v>
      </c>
      <c r="G17670">
        <v>155086379</v>
      </c>
      <c r="H17670">
        <v>155086248</v>
      </c>
      <c r="I17670">
        <v>155086265</v>
      </c>
    </row>
    <row r="17671" spans="1:9" x14ac:dyDescent="0.2">
      <c r="A17671" t="str">
        <f>"Rere"</f>
        <v>Rere</v>
      </c>
      <c r="B17671" t="s">
        <v>14</v>
      </c>
      <c r="C17671" t="s">
        <v>23</v>
      </c>
      <c r="D17671" t="s">
        <v>17</v>
      </c>
      <c r="E17671" t="s">
        <v>12</v>
      </c>
      <c r="F17671">
        <v>150281573</v>
      </c>
      <c r="G17671">
        <v>150281633</v>
      </c>
      <c r="H17671">
        <v>150281573</v>
      </c>
      <c r="I17671">
        <v>150281633</v>
      </c>
    </row>
    <row r="17672" spans="1:9" x14ac:dyDescent="0.2">
      <c r="A17672" t="str">
        <f>"Rerg"</f>
        <v>Rerg</v>
      </c>
      <c r="B17672" t="s">
        <v>14</v>
      </c>
      <c r="C17672" t="s">
        <v>32</v>
      </c>
      <c r="D17672" t="s">
        <v>11</v>
      </c>
      <c r="E17672" t="s">
        <v>12</v>
      </c>
      <c r="F17672">
        <v>137169678</v>
      </c>
      <c r="G17672">
        <v>137169706</v>
      </c>
      <c r="H17672">
        <v>137169710</v>
      </c>
      <c r="I17672">
        <v>137169723</v>
      </c>
    </row>
    <row r="17673" spans="1:9" x14ac:dyDescent="0.2">
      <c r="A17673" t="str">
        <f>"Rergl"</f>
        <v>Rergl</v>
      </c>
      <c r="B17673" t="s">
        <v>14</v>
      </c>
      <c r="C17673" t="s">
        <v>32</v>
      </c>
      <c r="D17673" t="s">
        <v>11</v>
      </c>
      <c r="E17673" t="s">
        <v>12</v>
      </c>
      <c r="F17673">
        <v>139501883</v>
      </c>
      <c r="G17673">
        <v>139501902</v>
      </c>
      <c r="H17673">
        <v>139501921</v>
      </c>
      <c r="I17673">
        <v>139501933</v>
      </c>
    </row>
    <row r="17674" spans="1:9" x14ac:dyDescent="0.2">
      <c r="A17674" t="str">
        <f>"Resp18"</f>
        <v>Resp18</v>
      </c>
      <c r="B17674" t="s">
        <v>14</v>
      </c>
      <c r="C17674" t="s">
        <v>19</v>
      </c>
      <c r="D17674" t="s">
        <v>11</v>
      </c>
      <c r="E17674" t="s">
        <v>12</v>
      </c>
      <c r="F17674">
        <v>75278345</v>
      </c>
      <c r="G17674">
        <v>75278440</v>
      </c>
      <c r="H17674">
        <v>75278441</v>
      </c>
      <c r="I17674">
        <v>75278455</v>
      </c>
    </row>
    <row r="17675" spans="1:9" x14ac:dyDescent="0.2">
      <c r="A17675" t="str">
        <f>"Rest"</f>
        <v>Rest</v>
      </c>
      <c r="B17675" t="s">
        <v>14</v>
      </c>
      <c r="C17675" t="s">
        <v>46</v>
      </c>
      <c r="D17675" t="s">
        <v>17</v>
      </c>
      <c r="E17675" t="s">
        <v>12</v>
      </c>
      <c r="F17675">
        <v>77265454</v>
      </c>
      <c r="G17675">
        <v>77265549</v>
      </c>
      <c r="H17675">
        <v>77265454</v>
      </c>
      <c r="I17675">
        <v>77265549</v>
      </c>
    </row>
    <row r="17676" spans="1:9" x14ac:dyDescent="0.2">
      <c r="A17676" t="str">
        <f>"Ret"</f>
        <v>Ret</v>
      </c>
      <c r="B17676" t="s">
        <v>14</v>
      </c>
      <c r="C17676" t="s">
        <v>32</v>
      </c>
      <c r="D17676" t="s">
        <v>11</v>
      </c>
      <c r="E17676" t="s">
        <v>12</v>
      </c>
      <c r="F17676">
        <v>118197318</v>
      </c>
      <c r="G17676">
        <v>118197335</v>
      </c>
      <c r="H17676">
        <v>118197356</v>
      </c>
      <c r="I17676">
        <v>118197374</v>
      </c>
    </row>
    <row r="17677" spans="1:9" x14ac:dyDescent="0.2">
      <c r="A17677" t="str">
        <f>"Retn"</f>
        <v>Retn</v>
      </c>
      <c r="B17677" t="s">
        <v>14</v>
      </c>
      <c r="C17677" t="s">
        <v>30</v>
      </c>
      <c r="D17677" t="s">
        <v>17</v>
      </c>
      <c r="E17677" t="s">
        <v>12</v>
      </c>
      <c r="F17677">
        <v>3655762</v>
      </c>
      <c r="G17677">
        <v>3655781</v>
      </c>
      <c r="H17677">
        <v>3655762</v>
      </c>
      <c r="I17677">
        <v>3655781</v>
      </c>
    </row>
    <row r="17678" spans="1:9" x14ac:dyDescent="0.2">
      <c r="A17678" t="str">
        <f>"Retnla"</f>
        <v>Retnla</v>
      </c>
      <c r="B17678" t="s">
        <v>14</v>
      </c>
      <c r="C17678" t="s">
        <v>31</v>
      </c>
      <c r="D17678" t="s">
        <v>17</v>
      </c>
      <c r="E17678" t="s">
        <v>12</v>
      </c>
      <c r="F17678">
        <v>48842568</v>
      </c>
      <c r="G17678">
        <v>48842578</v>
      </c>
      <c r="H17678">
        <v>48842555</v>
      </c>
      <c r="I17678">
        <v>48842565</v>
      </c>
    </row>
    <row r="17679" spans="1:9" x14ac:dyDescent="0.2">
      <c r="A17679" t="str">
        <f>"Retnlb"</f>
        <v>Retnlb</v>
      </c>
      <c r="B17679" t="s">
        <v>14</v>
      </c>
      <c r="C17679" t="s">
        <v>31</v>
      </c>
      <c r="D17679" t="s">
        <v>17</v>
      </c>
      <c r="E17679" t="s">
        <v>12</v>
      </c>
      <c r="F17679">
        <v>48816961</v>
      </c>
      <c r="G17679">
        <v>48816976</v>
      </c>
      <c r="H17679">
        <v>48816961</v>
      </c>
      <c r="I17679">
        <v>48816976</v>
      </c>
    </row>
    <row r="17680" spans="1:9" x14ac:dyDescent="0.2">
      <c r="A17680" t="str">
        <f>"Retnlg"</f>
        <v>Retnlg</v>
      </c>
      <c r="B17680" t="s">
        <v>14</v>
      </c>
      <c r="C17680" t="s">
        <v>31</v>
      </c>
      <c r="D17680" t="s">
        <v>17</v>
      </c>
      <c r="E17680" t="s">
        <v>12</v>
      </c>
      <c r="F17680">
        <v>48872637</v>
      </c>
      <c r="G17680">
        <v>48872650</v>
      </c>
      <c r="H17680">
        <v>48872613</v>
      </c>
      <c r="I17680">
        <v>48872626</v>
      </c>
    </row>
    <row r="17681" spans="1:9" x14ac:dyDescent="0.2">
      <c r="A17681" t="str">
        <f>"Retsat"</f>
        <v>Retsat</v>
      </c>
      <c r="B17681" t="s">
        <v>14</v>
      </c>
      <c r="C17681" t="s">
        <v>32</v>
      </c>
      <c r="D17681" t="s">
        <v>17</v>
      </c>
      <c r="E17681" t="s">
        <v>12</v>
      </c>
      <c r="F17681">
        <v>72598594</v>
      </c>
      <c r="G17681">
        <v>72598609</v>
      </c>
      <c r="H17681">
        <v>72598469</v>
      </c>
      <c r="I17681">
        <v>72598488</v>
      </c>
    </row>
    <row r="17682" spans="1:9" x14ac:dyDescent="0.2">
      <c r="A17682" t="str">
        <f>"Rev1"</f>
        <v>Rev1</v>
      </c>
      <c r="B17682" t="s">
        <v>14</v>
      </c>
      <c r="C17682" t="s">
        <v>19</v>
      </c>
      <c r="D17682" t="s">
        <v>11</v>
      </c>
      <c r="E17682" t="s">
        <v>12</v>
      </c>
      <c r="F17682">
        <v>38129618</v>
      </c>
      <c r="G17682">
        <v>38129679</v>
      </c>
      <c r="H17682">
        <v>38129726</v>
      </c>
      <c r="I17682">
        <v>38129794</v>
      </c>
    </row>
    <row r="17683" spans="1:9" x14ac:dyDescent="0.2">
      <c r="A17683" t="str">
        <f>"Rev3l"</f>
        <v>Rev3l</v>
      </c>
      <c r="B17683" t="s">
        <v>14</v>
      </c>
      <c r="C17683" t="s">
        <v>15</v>
      </c>
      <c r="D17683" t="s">
        <v>17</v>
      </c>
      <c r="E17683" t="s">
        <v>12</v>
      </c>
      <c r="F17683">
        <v>39732099</v>
      </c>
      <c r="G17683">
        <v>39732140</v>
      </c>
      <c r="H17683">
        <v>39732161</v>
      </c>
      <c r="I17683">
        <v>39732176</v>
      </c>
    </row>
    <row r="17684" spans="1:9" x14ac:dyDescent="0.2">
      <c r="A17684" t="str">
        <f>"Rex2"</f>
        <v>Rex2</v>
      </c>
      <c r="B17684" t="s">
        <v>5659</v>
      </c>
      <c r="C17684" t="s">
        <v>23</v>
      </c>
      <c r="D17684" t="s">
        <v>17</v>
      </c>
      <c r="E17684" t="s">
        <v>20</v>
      </c>
      <c r="F17684">
        <v>147021849</v>
      </c>
      <c r="G17684">
        <v>147021849</v>
      </c>
      <c r="H17684">
        <v>147021849</v>
      </c>
      <c r="I17684">
        <v>147021849</v>
      </c>
    </row>
    <row r="17685" spans="1:9" x14ac:dyDescent="0.2">
      <c r="A17685" t="str">
        <f>"Rexo1"</f>
        <v>Rexo1</v>
      </c>
      <c r="B17685" t="s">
        <v>14</v>
      </c>
      <c r="C17685" t="s">
        <v>15</v>
      </c>
      <c r="D17685" t="s">
        <v>11</v>
      </c>
      <c r="E17685" t="s">
        <v>12</v>
      </c>
      <c r="F17685">
        <v>80561528</v>
      </c>
      <c r="G17685">
        <v>80561557</v>
      </c>
      <c r="H17685">
        <v>80561528</v>
      </c>
      <c r="I17685">
        <v>80561557</v>
      </c>
    </row>
    <row r="17686" spans="1:9" x14ac:dyDescent="0.2">
      <c r="A17686" t="str">
        <f>"Rexo2"</f>
        <v>Rexo2</v>
      </c>
      <c r="B17686" t="s">
        <v>14</v>
      </c>
      <c r="C17686" t="s">
        <v>24</v>
      </c>
      <c r="D17686" t="s">
        <v>11</v>
      </c>
      <c r="E17686" t="s">
        <v>12</v>
      </c>
      <c r="F17686">
        <v>48480540</v>
      </c>
      <c r="G17686">
        <v>48480640</v>
      </c>
      <c r="H17686">
        <v>48480689</v>
      </c>
      <c r="I17686">
        <v>48480710</v>
      </c>
    </row>
    <row r="17687" spans="1:9" x14ac:dyDescent="0.2">
      <c r="A17687" t="str">
        <f>"Rexo4"</f>
        <v>Rexo4</v>
      </c>
      <c r="B17687" t="s">
        <v>14</v>
      </c>
      <c r="C17687" t="s">
        <v>26</v>
      </c>
      <c r="D17687" t="s">
        <v>11</v>
      </c>
      <c r="E17687" t="s">
        <v>12</v>
      </c>
      <c r="F17687">
        <v>26964277</v>
      </c>
      <c r="G17687">
        <v>26964363</v>
      </c>
      <c r="H17687">
        <v>26964104</v>
      </c>
      <c r="I17687">
        <v>26964148</v>
      </c>
    </row>
    <row r="17688" spans="1:9" x14ac:dyDescent="0.2">
      <c r="A17688" t="str">
        <f>"Rfc1"</f>
        <v>Rfc1</v>
      </c>
      <c r="B17688" t="s">
        <v>14</v>
      </c>
      <c r="C17688" t="s">
        <v>46</v>
      </c>
      <c r="D17688" t="s">
        <v>11</v>
      </c>
      <c r="E17688" t="s">
        <v>12</v>
      </c>
      <c r="F17688">
        <v>65335597</v>
      </c>
      <c r="G17688">
        <v>65335679</v>
      </c>
      <c r="H17688">
        <v>65335581</v>
      </c>
      <c r="I17688">
        <v>65335592</v>
      </c>
    </row>
    <row r="17689" spans="1:9" x14ac:dyDescent="0.2">
      <c r="A17689" t="str">
        <f>"Rfc2"</f>
        <v>Rfc2</v>
      </c>
      <c r="B17689" t="s">
        <v>14</v>
      </c>
      <c r="C17689" t="s">
        <v>46</v>
      </c>
      <c r="D17689" t="s">
        <v>17</v>
      </c>
      <c r="E17689" t="s">
        <v>12</v>
      </c>
      <c r="F17689">
        <v>134582732</v>
      </c>
      <c r="G17689">
        <v>134582784</v>
      </c>
      <c r="H17689">
        <v>134582720</v>
      </c>
      <c r="I17689">
        <v>134582727</v>
      </c>
    </row>
    <row r="17690" spans="1:9" x14ac:dyDescent="0.2">
      <c r="A17690" t="str">
        <f>"Rfc3"</f>
        <v>Rfc3</v>
      </c>
      <c r="B17690" t="s">
        <v>14</v>
      </c>
      <c r="C17690" t="s">
        <v>46</v>
      </c>
      <c r="D17690" t="s">
        <v>11</v>
      </c>
      <c r="E17690" t="s">
        <v>12</v>
      </c>
      <c r="F17690">
        <v>151651156</v>
      </c>
      <c r="G17690">
        <v>151651213</v>
      </c>
      <c r="H17690">
        <v>151651216</v>
      </c>
      <c r="I17690">
        <v>151651237</v>
      </c>
    </row>
    <row r="17691" spans="1:9" x14ac:dyDescent="0.2">
      <c r="A17691" t="str">
        <f>"Rfc4"</f>
        <v>Rfc4</v>
      </c>
      <c r="B17691" t="s">
        <v>14</v>
      </c>
      <c r="C17691" t="s">
        <v>31</v>
      </c>
      <c r="D17691" t="s">
        <v>11</v>
      </c>
      <c r="E17691" t="s">
        <v>12</v>
      </c>
      <c r="F17691">
        <v>23127702</v>
      </c>
      <c r="G17691">
        <v>23127746</v>
      </c>
      <c r="H17691">
        <v>23127680</v>
      </c>
      <c r="I17691">
        <v>23127687</v>
      </c>
    </row>
    <row r="17692" spans="1:9" x14ac:dyDescent="0.2">
      <c r="A17692" t="str">
        <f>"Rfc5"</f>
        <v>Rfc5</v>
      </c>
      <c r="B17692" t="s">
        <v>14</v>
      </c>
      <c r="C17692" t="s">
        <v>46</v>
      </c>
      <c r="D17692" t="s">
        <v>11</v>
      </c>
      <c r="E17692" t="s">
        <v>12</v>
      </c>
      <c r="F17692">
        <v>117388973</v>
      </c>
      <c r="G17692">
        <v>117389027</v>
      </c>
      <c r="H17692">
        <v>117389029</v>
      </c>
      <c r="I17692">
        <v>117389051</v>
      </c>
    </row>
    <row r="17693" spans="1:9" x14ac:dyDescent="0.2">
      <c r="A17693" t="str">
        <f>"Rfesd"</f>
        <v>Rfesd</v>
      </c>
      <c r="B17693" t="s">
        <v>14</v>
      </c>
      <c r="C17693" t="s">
        <v>39</v>
      </c>
      <c r="D17693" t="s">
        <v>11</v>
      </c>
      <c r="E17693" t="s">
        <v>12</v>
      </c>
      <c r="F17693">
        <v>76018524</v>
      </c>
      <c r="G17693">
        <v>76018605</v>
      </c>
      <c r="H17693">
        <v>76018706</v>
      </c>
      <c r="I17693">
        <v>76018744</v>
      </c>
    </row>
    <row r="17694" spans="1:9" x14ac:dyDescent="0.2">
      <c r="A17694" t="str">
        <f>"Rffl"</f>
        <v>Rffl</v>
      </c>
      <c r="B17694" t="s">
        <v>14</v>
      </c>
      <c r="C17694" t="s">
        <v>27</v>
      </c>
      <c r="D17694" t="s">
        <v>11</v>
      </c>
      <c r="E17694" t="s">
        <v>12</v>
      </c>
      <c r="F17694">
        <v>82871133</v>
      </c>
      <c r="G17694">
        <v>82871183</v>
      </c>
      <c r="H17694">
        <v>82871133</v>
      </c>
      <c r="I17694">
        <v>82871183</v>
      </c>
    </row>
    <row r="17695" spans="1:9" x14ac:dyDescent="0.2">
      <c r="A17695" t="str">
        <f>"Rfk"</f>
        <v>Rfk</v>
      </c>
      <c r="B17695" t="s">
        <v>14</v>
      </c>
      <c r="C17695" t="s">
        <v>10</v>
      </c>
      <c r="D17695" t="s">
        <v>17</v>
      </c>
      <c r="E17695" t="s">
        <v>12</v>
      </c>
      <c r="F17695">
        <v>17394037</v>
      </c>
      <c r="G17695">
        <v>17394091</v>
      </c>
      <c r="H17695">
        <v>17394096</v>
      </c>
      <c r="I17695">
        <v>17394122</v>
      </c>
    </row>
    <row r="17696" spans="1:9" x14ac:dyDescent="0.2">
      <c r="A17696" t="str">
        <f>"Rfng"</f>
        <v>Rfng</v>
      </c>
      <c r="B17696" t="s">
        <v>14</v>
      </c>
      <c r="C17696" t="s">
        <v>27</v>
      </c>
      <c r="D17696" t="s">
        <v>11</v>
      </c>
      <c r="E17696" t="s">
        <v>12</v>
      </c>
      <c r="F17696">
        <v>120784210</v>
      </c>
      <c r="G17696">
        <v>120784230</v>
      </c>
      <c r="H17696">
        <v>120784183</v>
      </c>
      <c r="I17696">
        <v>120784209</v>
      </c>
    </row>
    <row r="17697" spans="1:9" x14ac:dyDescent="0.2">
      <c r="A17697" t="str">
        <f>"Rfpl3s"</f>
        <v>Rfpl3s</v>
      </c>
      <c r="B17697" t="s">
        <v>5660</v>
      </c>
      <c r="C17697" t="s">
        <v>24</v>
      </c>
      <c r="D17697" t="s">
        <v>11</v>
      </c>
      <c r="E17697" t="s">
        <v>20</v>
      </c>
      <c r="F17697">
        <v>55980913</v>
      </c>
      <c r="G17697">
        <v>55980913</v>
      </c>
      <c r="H17697">
        <v>55980913</v>
      </c>
      <c r="I17697">
        <v>55980913</v>
      </c>
    </row>
    <row r="17698" spans="1:9" x14ac:dyDescent="0.2">
      <c r="A17698" t="str">
        <f>"Rfpl4"</f>
        <v>Rfpl4</v>
      </c>
      <c r="B17698" t="s">
        <v>14</v>
      </c>
      <c r="C17698" t="s">
        <v>33</v>
      </c>
      <c r="D17698" t="s">
        <v>11</v>
      </c>
      <c r="E17698" t="s">
        <v>12</v>
      </c>
      <c r="F17698">
        <v>5116908</v>
      </c>
      <c r="G17698">
        <v>5116913</v>
      </c>
      <c r="H17698">
        <v>5116908</v>
      </c>
      <c r="I17698">
        <v>5116913</v>
      </c>
    </row>
    <row r="17699" spans="1:9" x14ac:dyDescent="0.2">
      <c r="A17699" t="str">
        <f>"Rfpl4b"</f>
        <v>Rfpl4b</v>
      </c>
      <c r="B17699" t="s">
        <v>5661</v>
      </c>
      <c r="C17699" t="s">
        <v>15</v>
      </c>
      <c r="D17699" t="s">
        <v>11</v>
      </c>
      <c r="E17699" t="s">
        <v>20</v>
      </c>
      <c r="F17699">
        <v>38821778</v>
      </c>
      <c r="G17699">
        <v>38821778</v>
      </c>
      <c r="H17699">
        <v>38821778</v>
      </c>
      <c r="I17699">
        <v>38821778</v>
      </c>
    </row>
    <row r="17700" spans="1:9" x14ac:dyDescent="0.2">
      <c r="A17700" t="str">
        <f>"Rft1"</f>
        <v>Rft1</v>
      </c>
      <c r="B17700" t="s">
        <v>14</v>
      </c>
      <c r="C17700" t="s">
        <v>41</v>
      </c>
      <c r="D17700" t="s">
        <v>17</v>
      </c>
      <c r="E17700" t="s">
        <v>12</v>
      </c>
      <c r="F17700">
        <v>30654367</v>
      </c>
      <c r="G17700">
        <v>30654424</v>
      </c>
      <c r="H17700">
        <v>30654342</v>
      </c>
      <c r="I17700">
        <v>30654364</v>
      </c>
    </row>
    <row r="17701" spans="1:9" x14ac:dyDescent="0.2">
      <c r="A17701" t="str">
        <f>"Rftn1"</f>
        <v>Rftn1</v>
      </c>
      <c r="B17701" t="s">
        <v>14</v>
      </c>
      <c r="C17701" t="s">
        <v>28</v>
      </c>
      <c r="D17701" t="s">
        <v>11</v>
      </c>
      <c r="E17701" t="s">
        <v>12</v>
      </c>
      <c r="F17701">
        <v>50190413</v>
      </c>
      <c r="G17701">
        <v>50190489</v>
      </c>
      <c r="H17701">
        <v>50190533</v>
      </c>
      <c r="I17701">
        <v>50190541</v>
      </c>
    </row>
    <row r="17702" spans="1:9" x14ac:dyDescent="0.2">
      <c r="A17702" t="str">
        <f>"Rftn2"</f>
        <v>Rftn2</v>
      </c>
      <c r="B17702" t="s">
        <v>14</v>
      </c>
      <c r="C17702" t="s">
        <v>19</v>
      </c>
      <c r="D17702" t="s">
        <v>11</v>
      </c>
      <c r="E17702" t="s">
        <v>12</v>
      </c>
      <c r="F17702">
        <v>55226768</v>
      </c>
      <c r="G17702">
        <v>55226813</v>
      </c>
      <c r="H17702">
        <v>55226768</v>
      </c>
      <c r="I17702">
        <v>55226813</v>
      </c>
    </row>
    <row r="17703" spans="1:9" x14ac:dyDescent="0.2">
      <c r="A17703" t="str">
        <f>"Rfwd2"</f>
        <v>Rfwd2</v>
      </c>
      <c r="B17703" t="s">
        <v>14</v>
      </c>
      <c r="C17703" t="s">
        <v>19</v>
      </c>
      <c r="D17703" t="s">
        <v>17</v>
      </c>
      <c r="E17703" t="s">
        <v>12</v>
      </c>
      <c r="F17703">
        <v>159232159</v>
      </c>
      <c r="G17703">
        <v>159232232</v>
      </c>
      <c r="H17703">
        <v>159232299</v>
      </c>
      <c r="I17703">
        <v>159232320</v>
      </c>
    </row>
    <row r="17704" spans="1:9" x14ac:dyDescent="0.2">
      <c r="A17704" t="str">
        <f>"Rfwd3"</f>
        <v>Rfwd3</v>
      </c>
      <c r="B17704" t="s">
        <v>14</v>
      </c>
      <c r="C17704" t="s">
        <v>30</v>
      </c>
      <c r="D17704" t="s">
        <v>11</v>
      </c>
      <c r="E17704" t="s">
        <v>12</v>
      </c>
      <c r="F17704">
        <v>111300226</v>
      </c>
      <c r="G17704">
        <v>111300241</v>
      </c>
      <c r="H17704">
        <v>111300189</v>
      </c>
      <c r="I17704">
        <v>111300206</v>
      </c>
    </row>
    <row r="17705" spans="1:9" x14ac:dyDescent="0.2">
      <c r="A17705" t="str">
        <f>"Rfx1"</f>
        <v>Rfx1</v>
      </c>
      <c r="B17705" t="s">
        <v>14</v>
      </c>
      <c r="C17705" t="s">
        <v>30</v>
      </c>
      <c r="D17705" t="s">
        <v>17</v>
      </c>
      <c r="E17705" t="s">
        <v>12</v>
      </c>
      <c r="F17705">
        <v>84066824</v>
      </c>
      <c r="G17705">
        <v>84066882</v>
      </c>
      <c r="H17705">
        <v>84066902</v>
      </c>
      <c r="I17705">
        <v>84066919</v>
      </c>
    </row>
    <row r="17706" spans="1:9" x14ac:dyDescent="0.2">
      <c r="A17706" t="str">
        <f>"Rfx2"</f>
        <v>Rfx2</v>
      </c>
      <c r="B17706" t="s">
        <v>14</v>
      </c>
      <c r="C17706" t="s">
        <v>28</v>
      </c>
      <c r="D17706" t="s">
        <v>11</v>
      </c>
      <c r="E17706" t="s">
        <v>12</v>
      </c>
      <c r="F17706">
        <v>56830916</v>
      </c>
      <c r="G17706">
        <v>56831005</v>
      </c>
      <c r="H17706">
        <v>56831058</v>
      </c>
      <c r="I17706">
        <v>56831128</v>
      </c>
    </row>
    <row r="17707" spans="1:9" x14ac:dyDescent="0.2">
      <c r="A17707" t="str">
        <f>"Rfx3"</f>
        <v>Rfx3</v>
      </c>
      <c r="B17707" t="s">
        <v>14</v>
      </c>
      <c r="C17707" t="s">
        <v>10</v>
      </c>
      <c r="D17707" t="s">
        <v>11</v>
      </c>
      <c r="E17707" t="s">
        <v>12</v>
      </c>
      <c r="F17707">
        <v>28011138</v>
      </c>
      <c r="G17707">
        <v>28011181</v>
      </c>
      <c r="H17707">
        <v>28011186</v>
      </c>
      <c r="I17707">
        <v>28011221</v>
      </c>
    </row>
    <row r="17708" spans="1:9" x14ac:dyDescent="0.2">
      <c r="A17708" t="str">
        <f>"Rfx4"</f>
        <v>Rfx4</v>
      </c>
      <c r="B17708" t="s">
        <v>14</v>
      </c>
      <c r="C17708" t="s">
        <v>15</v>
      </c>
      <c r="D17708" t="s">
        <v>17</v>
      </c>
      <c r="E17708" t="s">
        <v>12</v>
      </c>
      <c r="F17708">
        <v>84756150</v>
      </c>
      <c r="G17708">
        <v>84756164</v>
      </c>
      <c r="H17708">
        <v>84756055</v>
      </c>
      <c r="I17708">
        <v>84756084</v>
      </c>
    </row>
    <row r="17709" spans="1:9" x14ac:dyDescent="0.2">
      <c r="A17709" t="str">
        <f>"Rfx5"</f>
        <v>Rfx5</v>
      </c>
      <c r="B17709" t="s">
        <v>14</v>
      </c>
      <c r="C17709" t="s">
        <v>22</v>
      </c>
      <c r="D17709" t="s">
        <v>17</v>
      </c>
      <c r="E17709" t="s">
        <v>12</v>
      </c>
      <c r="F17709">
        <v>94954119</v>
      </c>
      <c r="G17709">
        <v>94954220</v>
      </c>
      <c r="H17709">
        <v>94954054</v>
      </c>
      <c r="I17709">
        <v>94954072</v>
      </c>
    </row>
    <row r="17710" spans="1:9" x14ac:dyDescent="0.2">
      <c r="A17710" t="str">
        <f>"Rfx6"</f>
        <v>Rfx6</v>
      </c>
      <c r="B17710" t="s">
        <v>14</v>
      </c>
      <c r="C17710" t="s">
        <v>15</v>
      </c>
      <c r="D17710" t="s">
        <v>17</v>
      </c>
      <c r="E17710" t="s">
        <v>12</v>
      </c>
      <c r="F17710">
        <v>51677766</v>
      </c>
      <c r="G17710">
        <v>51677789</v>
      </c>
      <c r="H17710">
        <v>51677754</v>
      </c>
      <c r="I17710">
        <v>51677761</v>
      </c>
    </row>
    <row r="17711" spans="1:9" x14ac:dyDescent="0.2">
      <c r="A17711" t="str">
        <f>"Rfx7"</f>
        <v>Rfx7</v>
      </c>
      <c r="B17711" t="s">
        <v>14</v>
      </c>
      <c r="C17711" t="s">
        <v>24</v>
      </c>
      <c r="D17711" t="s">
        <v>17</v>
      </c>
      <c r="E17711" t="s">
        <v>12</v>
      </c>
      <c r="F17711">
        <v>72532214</v>
      </c>
      <c r="G17711">
        <v>72532271</v>
      </c>
      <c r="H17711">
        <v>72532184</v>
      </c>
      <c r="I17711">
        <v>72532207</v>
      </c>
    </row>
    <row r="17712" spans="1:9" x14ac:dyDescent="0.2">
      <c r="A17712" t="str">
        <f>"Rfx8"</f>
        <v>Rfx8</v>
      </c>
      <c r="B17712" t="s">
        <v>14</v>
      </c>
      <c r="C17712" t="s">
        <v>19</v>
      </c>
      <c r="D17712" t="s">
        <v>11</v>
      </c>
      <c r="E17712" t="s">
        <v>12</v>
      </c>
      <c r="F17712">
        <v>39720989</v>
      </c>
      <c r="G17712">
        <v>39721015</v>
      </c>
      <c r="H17712">
        <v>39720960</v>
      </c>
      <c r="I17712">
        <v>39720975</v>
      </c>
    </row>
    <row r="17713" spans="1:9" x14ac:dyDescent="0.2">
      <c r="A17713" t="str">
        <f>"Rfxank"</f>
        <v>Rfxank</v>
      </c>
      <c r="B17713" t="s">
        <v>14</v>
      </c>
      <c r="C17713" t="s">
        <v>30</v>
      </c>
      <c r="D17713" t="s">
        <v>11</v>
      </c>
      <c r="E17713" t="s">
        <v>12</v>
      </c>
      <c r="F17713">
        <v>70139100</v>
      </c>
      <c r="G17713">
        <v>70139132</v>
      </c>
      <c r="H17713">
        <v>70139199</v>
      </c>
      <c r="I17713">
        <v>70139261</v>
      </c>
    </row>
    <row r="17714" spans="1:9" x14ac:dyDescent="0.2">
      <c r="A17714" t="str">
        <f>"Rfxap"</f>
        <v>Rfxap</v>
      </c>
      <c r="B17714" t="s">
        <v>14</v>
      </c>
      <c r="C17714" t="s">
        <v>22</v>
      </c>
      <c r="D17714" t="s">
        <v>11</v>
      </c>
      <c r="E17714" t="s">
        <v>12</v>
      </c>
      <c r="F17714">
        <v>54807770</v>
      </c>
      <c r="G17714">
        <v>54807804</v>
      </c>
      <c r="H17714">
        <v>54807752</v>
      </c>
      <c r="I17714">
        <v>54807768</v>
      </c>
    </row>
    <row r="17715" spans="1:9" x14ac:dyDescent="0.2">
      <c r="A17715" t="str">
        <f>"Rgag1"</f>
        <v>Rgag1</v>
      </c>
      <c r="B17715" t="s">
        <v>5662</v>
      </c>
      <c r="C17715" t="s">
        <v>37</v>
      </c>
      <c r="D17715" t="s">
        <v>17</v>
      </c>
      <c r="E17715" t="s">
        <v>20</v>
      </c>
      <c r="F17715">
        <v>143099593</v>
      </c>
      <c r="G17715">
        <v>143099593</v>
      </c>
      <c r="H17715">
        <v>143099593</v>
      </c>
      <c r="I17715">
        <v>143099593</v>
      </c>
    </row>
    <row r="17716" spans="1:9" x14ac:dyDescent="0.2">
      <c r="A17716" t="str">
        <f>"Rgag4"</f>
        <v>Rgag4</v>
      </c>
      <c r="B17716" t="s">
        <v>14</v>
      </c>
      <c r="C17716" t="s">
        <v>37</v>
      </c>
      <c r="D17716" t="s">
        <v>11</v>
      </c>
      <c r="E17716" t="s">
        <v>12</v>
      </c>
      <c r="F17716">
        <v>102071188</v>
      </c>
      <c r="G17716">
        <v>102071204</v>
      </c>
      <c r="H17716">
        <v>102071300</v>
      </c>
      <c r="I17716">
        <v>102071322</v>
      </c>
    </row>
    <row r="17717" spans="1:9" x14ac:dyDescent="0.2">
      <c r="A17717" t="str">
        <f>"Rgcc"</f>
        <v>Rgcc</v>
      </c>
      <c r="B17717" t="s">
        <v>14</v>
      </c>
      <c r="C17717" t="s">
        <v>41</v>
      </c>
      <c r="D17717" t="s">
        <v>11</v>
      </c>
      <c r="E17717" t="s">
        <v>67</v>
      </c>
      <c r="F17717">
        <v>79301623</v>
      </c>
      <c r="G17717">
        <v>79301641</v>
      </c>
      <c r="H17717">
        <v>79301623</v>
      </c>
      <c r="I17717">
        <v>79301641</v>
      </c>
    </row>
    <row r="17718" spans="1:9" x14ac:dyDescent="0.2">
      <c r="A17718" t="str">
        <f>"Rgl1"</f>
        <v>Rgl1</v>
      </c>
      <c r="B17718" t="s">
        <v>5663</v>
      </c>
      <c r="C17718" t="s">
        <v>19</v>
      </c>
      <c r="D17718" t="s">
        <v>11</v>
      </c>
      <c r="E17718" t="s">
        <v>35</v>
      </c>
      <c r="F17718">
        <v>152766356</v>
      </c>
      <c r="G17718">
        <v>152766367</v>
      </c>
      <c r="H17718">
        <v>152766132</v>
      </c>
      <c r="I17718">
        <v>152766168</v>
      </c>
    </row>
    <row r="17719" spans="1:9" x14ac:dyDescent="0.2">
      <c r="A17719" t="str">
        <f>"Rgl2"</f>
        <v>Rgl2</v>
      </c>
      <c r="B17719" t="s">
        <v>14</v>
      </c>
      <c r="C17719" t="s">
        <v>28</v>
      </c>
      <c r="D17719" t="s">
        <v>17</v>
      </c>
      <c r="E17719" t="s">
        <v>12</v>
      </c>
      <c r="F17719">
        <v>33929960</v>
      </c>
      <c r="G17719">
        <v>33929998</v>
      </c>
      <c r="H17719">
        <v>33929514</v>
      </c>
      <c r="I17719">
        <v>33929586</v>
      </c>
    </row>
    <row r="17720" spans="1:9" x14ac:dyDescent="0.2">
      <c r="A17720" t="str">
        <f>"Rgl3"</f>
        <v>Rgl3</v>
      </c>
      <c r="B17720" t="s">
        <v>14</v>
      </c>
      <c r="C17720" t="s">
        <v>24</v>
      </c>
      <c r="D17720" t="s">
        <v>11</v>
      </c>
      <c r="E17720" t="s">
        <v>12</v>
      </c>
      <c r="F17720">
        <v>21989427</v>
      </c>
      <c r="G17720">
        <v>21989456</v>
      </c>
      <c r="H17720">
        <v>21989407</v>
      </c>
      <c r="I17720">
        <v>21989424</v>
      </c>
    </row>
    <row r="17721" spans="1:9" x14ac:dyDescent="0.2">
      <c r="A17721" t="str">
        <f>"Rgma"</f>
        <v>Rgma</v>
      </c>
      <c r="B17721" t="s">
        <v>9</v>
      </c>
      <c r="C17721" t="s">
        <v>33</v>
      </c>
      <c r="D17721" t="s">
        <v>17</v>
      </c>
      <c r="E17721" t="s">
        <v>12</v>
      </c>
      <c r="F17721">
        <v>73391240</v>
      </c>
      <c r="G17721">
        <v>73391296</v>
      </c>
      <c r="H17721">
        <v>73391240</v>
      </c>
      <c r="I17721">
        <v>73391296</v>
      </c>
    </row>
    <row r="17722" spans="1:9" x14ac:dyDescent="0.2">
      <c r="A17722" t="str">
        <f>"Rgma"</f>
        <v>Rgma</v>
      </c>
      <c r="B17722" t="s">
        <v>13</v>
      </c>
      <c r="C17722" t="s">
        <v>33</v>
      </c>
      <c r="D17722" t="s">
        <v>17</v>
      </c>
      <c r="E17722" t="s">
        <v>12</v>
      </c>
      <c r="F17722">
        <v>73375494</v>
      </c>
      <c r="G17722">
        <v>73375549</v>
      </c>
      <c r="H17722">
        <v>73375494</v>
      </c>
      <c r="I17722">
        <v>73375549</v>
      </c>
    </row>
    <row r="17723" spans="1:9" x14ac:dyDescent="0.2">
      <c r="A17723" t="str">
        <f>"Rgmb"</f>
        <v>Rgmb</v>
      </c>
      <c r="B17723" t="s">
        <v>14</v>
      </c>
      <c r="C17723" t="s">
        <v>28</v>
      </c>
      <c r="D17723" t="s">
        <v>11</v>
      </c>
      <c r="E17723" t="s">
        <v>12</v>
      </c>
      <c r="F17723">
        <v>15826521</v>
      </c>
      <c r="G17723">
        <v>15826590</v>
      </c>
      <c r="H17723">
        <v>15826488</v>
      </c>
      <c r="I17723">
        <v>15826512</v>
      </c>
    </row>
    <row r="17724" spans="1:9" x14ac:dyDescent="0.2">
      <c r="A17724" t="str">
        <f>"Rgn"</f>
        <v>Rgn</v>
      </c>
      <c r="B17724" t="s">
        <v>14</v>
      </c>
      <c r="C17724" t="s">
        <v>37</v>
      </c>
      <c r="D17724" t="s">
        <v>17</v>
      </c>
      <c r="E17724" t="s">
        <v>12</v>
      </c>
      <c r="F17724">
        <v>20549780</v>
      </c>
      <c r="G17724">
        <v>20549796</v>
      </c>
      <c r="H17724">
        <v>20549706</v>
      </c>
      <c r="I17724">
        <v>20549717</v>
      </c>
    </row>
    <row r="17725" spans="1:9" x14ac:dyDescent="0.2">
      <c r="A17725" t="str">
        <f>"Rgp1"</f>
        <v>Rgp1</v>
      </c>
      <c r="B17725" t="s">
        <v>14</v>
      </c>
      <c r="C17725" t="s">
        <v>23</v>
      </c>
      <c r="D17725" t="s">
        <v>17</v>
      </c>
      <c r="E17725" t="s">
        <v>12</v>
      </c>
      <c r="F17725">
        <v>43578921</v>
      </c>
      <c r="G17725">
        <v>43578974</v>
      </c>
      <c r="H17725">
        <v>43578709</v>
      </c>
      <c r="I17725">
        <v>43578772</v>
      </c>
    </row>
    <row r="17726" spans="1:9" x14ac:dyDescent="0.2">
      <c r="A17726" t="str">
        <f>"Rgr"</f>
        <v>Rgr</v>
      </c>
      <c r="B17726" t="s">
        <v>14</v>
      </c>
      <c r="C17726" t="s">
        <v>41</v>
      </c>
      <c r="D17726" t="s">
        <v>11</v>
      </c>
      <c r="E17726" t="s">
        <v>12</v>
      </c>
      <c r="F17726">
        <v>37048957</v>
      </c>
      <c r="G17726">
        <v>37048970</v>
      </c>
      <c r="H17726">
        <v>37048957</v>
      </c>
      <c r="I17726">
        <v>37048970</v>
      </c>
    </row>
    <row r="17727" spans="1:9" x14ac:dyDescent="0.2">
      <c r="A17727" t="str">
        <f>"Rgs1"</f>
        <v>Rgs1</v>
      </c>
      <c r="B17727" t="s">
        <v>14</v>
      </c>
      <c r="C17727" t="s">
        <v>19</v>
      </c>
      <c r="D17727" t="s">
        <v>11</v>
      </c>
      <c r="E17727" t="s">
        <v>12</v>
      </c>
      <c r="F17727">
        <v>144249049</v>
      </c>
      <c r="G17727">
        <v>144249067</v>
      </c>
      <c r="H17727">
        <v>144249099</v>
      </c>
      <c r="I17727">
        <v>144249113</v>
      </c>
    </row>
    <row r="17728" spans="1:9" x14ac:dyDescent="0.2">
      <c r="A17728" t="str">
        <f>"Rgs10"</f>
        <v>Rgs10</v>
      </c>
      <c r="B17728" t="s">
        <v>14</v>
      </c>
      <c r="C17728" t="s">
        <v>33</v>
      </c>
      <c r="D17728" t="s">
        <v>11</v>
      </c>
      <c r="E17728" t="s">
        <v>12</v>
      </c>
      <c r="F17728">
        <v>128418154</v>
      </c>
      <c r="G17728">
        <v>128418192</v>
      </c>
      <c r="H17728">
        <v>128418127</v>
      </c>
      <c r="I17728">
        <v>128418145</v>
      </c>
    </row>
    <row r="17729" spans="1:9" x14ac:dyDescent="0.2">
      <c r="A17729" t="str">
        <f>"Rgs11"</f>
        <v>Rgs11</v>
      </c>
      <c r="B17729" t="s">
        <v>14</v>
      </c>
      <c r="C17729" t="s">
        <v>28</v>
      </c>
      <c r="D17729" t="s">
        <v>17</v>
      </c>
      <c r="E17729" t="s">
        <v>12</v>
      </c>
      <c r="F17729">
        <v>26202946</v>
      </c>
      <c r="G17729">
        <v>26203016</v>
      </c>
      <c r="H17729">
        <v>26202946</v>
      </c>
      <c r="I17729">
        <v>26203016</v>
      </c>
    </row>
    <row r="17730" spans="1:9" x14ac:dyDescent="0.2">
      <c r="A17730" t="str">
        <f>"Rgs12"</f>
        <v>Rgs12</v>
      </c>
      <c r="B17730" t="s">
        <v>14</v>
      </c>
      <c r="C17730" t="s">
        <v>46</v>
      </c>
      <c r="D17730" t="s">
        <v>17</v>
      </c>
      <c r="E17730" t="s">
        <v>12</v>
      </c>
      <c r="F17730">
        <v>34949435</v>
      </c>
      <c r="G17730">
        <v>34949504</v>
      </c>
      <c r="H17730">
        <v>34949435</v>
      </c>
      <c r="I17730">
        <v>34949504</v>
      </c>
    </row>
    <row r="17731" spans="1:9" x14ac:dyDescent="0.2">
      <c r="A17731" t="str">
        <f>"Rgs13"</f>
        <v>Rgs13</v>
      </c>
      <c r="B17731" t="s">
        <v>14</v>
      </c>
      <c r="C17731" t="s">
        <v>19</v>
      </c>
      <c r="D17731" t="s">
        <v>11</v>
      </c>
      <c r="E17731" t="s">
        <v>12</v>
      </c>
      <c r="F17731">
        <v>144177259</v>
      </c>
      <c r="G17731">
        <v>144177281</v>
      </c>
      <c r="H17731">
        <v>144177185</v>
      </c>
      <c r="I17731">
        <v>144177196</v>
      </c>
    </row>
    <row r="17732" spans="1:9" x14ac:dyDescent="0.2">
      <c r="A17732" t="str">
        <f>"Rgs14"</f>
        <v>Rgs14</v>
      </c>
      <c r="B17732" t="s">
        <v>14</v>
      </c>
      <c r="C17732" t="s">
        <v>39</v>
      </c>
      <c r="D17732" t="s">
        <v>17</v>
      </c>
      <c r="E17732" t="s">
        <v>12</v>
      </c>
      <c r="F17732">
        <v>55369781</v>
      </c>
      <c r="G17732">
        <v>55369813</v>
      </c>
      <c r="H17732">
        <v>55369736</v>
      </c>
      <c r="I17732">
        <v>55369766</v>
      </c>
    </row>
    <row r="17733" spans="1:9" x14ac:dyDescent="0.2">
      <c r="A17733" t="str">
        <f>"Rgs16"</f>
        <v>Rgs16</v>
      </c>
      <c r="B17733" t="s">
        <v>14</v>
      </c>
      <c r="C17733" t="s">
        <v>19</v>
      </c>
      <c r="D17733" t="s">
        <v>17</v>
      </c>
      <c r="E17733" t="s">
        <v>12</v>
      </c>
      <c r="F17733">
        <v>153740344</v>
      </c>
      <c r="G17733">
        <v>153740360</v>
      </c>
      <c r="H17733">
        <v>153740344</v>
      </c>
      <c r="I17733">
        <v>153740360</v>
      </c>
    </row>
    <row r="17734" spans="1:9" x14ac:dyDescent="0.2">
      <c r="A17734" t="str">
        <f>"Rgs17"</f>
        <v>Rgs17</v>
      </c>
      <c r="B17734" t="s">
        <v>14</v>
      </c>
      <c r="C17734" t="s">
        <v>15</v>
      </c>
      <c r="D17734" t="s">
        <v>11</v>
      </c>
      <c r="E17734" t="s">
        <v>12</v>
      </c>
      <c r="F17734">
        <v>5922341</v>
      </c>
      <c r="G17734">
        <v>5922384</v>
      </c>
      <c r="H17734">
        <v>5922385</v>
      </c>
      <c r="I17734">
        <v>5922407</v>
      </c>
    </row>
    <row r="17735" spans="1:9" x14ac:dyDescent="0.2">
      <c r="A17735" t="str">
        <f>"Rgs18"</f>
        <v>Rgs18</v>
      </c>
      <c r="B17735" t="s">
        <v>14</v>
      </c>
      <c r="C17735" t="s">
        <v>19</v>
      </c>
      <c r="D17735" t="s">
        <v>11</v>
      </c>
      <c r="E17735" t="s">
        <v>12</v>
      </c>
      <c r="F17735">
        <v>144775419</v>
      </c>
      <c r="G17735">
        <v>144775438</v>
      </c>
      <c r="H17735">
        <v>144775419</v>
      </c>
      <c r="I17735">
        <v>144775438</v>
      </c>
    </row>
    <row r="17736" spans="1:9" x14ac:dyDescent="0.2">
      <c r="A17736" t="str">
        <f>"Rgs19"</f>
        <v>Rgs19</v>
      </c>
      <c r="B17736" t="s">
        <v>14</v>
      </c>
      <c r="C17736" t="s">
        <v>26</v>
      </c>
      <c r="D17736" t="s">
        <v>11</v>
      </c>
      <c r="E17736" t="s">
        <v>12</v>
      </c>
      <c r="F17736">
        <v>181693899</v>
      </c>
      <c r="G17736">
        <v>181693987</v>
      </c>
      <c r="H17736">
        <v>181693596</v>
      </c>
      <c r="I17736">
        <v>181693629</v>
      </c>
    </row>
    <row r="17737" spans="1:9" x14ac:dyDescent="0.2">
      <c r="A17737" t="str">
        <f>"Rgs2"</f>
        <v>Rgs2</v>
      </c>
      <c r="B17737" t="s">
        <v>14</v>
      </c>
      <c r="C17737" t="s">
        <v>19</v>
      </c>
      <c r="D17737" t="s">
        <v>11</v>
      </c>
      <c r="E17737" t="s">
        <v>12</v>
      </c>
      <c r="F17737">
        <v>144004142</v>
      </c>
      <c r="G17737">
        <v>144004155</v>
      </c>
      <c r="H17737">
        <v>144003975</v>
      </c>
      <c r="I17737">
        <v>144004011</v>
      </c>
    </row>
    <row r="17738" spans="1:9" x14ac:dyDescent="0.2">
      <c r="A17738" t="str">
        <f>"Rgs20"</f>
        <v>Rgs20</v>
      </c>
      <c r="B17738" t="s">
        <v>14</v>
      </c>
      <c r="C17738" t="s">
        <v>19</v>
      </c>
      <c r="D17738" t="s">
        <v>11</v>
      </c>
      <c r="E17738" t="s">
        <v>12</v>
      </c>
      <c r="F17738">
        <v>5019342</v>
      </c>
      <c r="G17738">
        <v>5019397</v>
      </c>
      <c r="H17738">
        <v>5019398</v>
      </c>
      <c r="I17738">
        <v>5019415</v>
      </c>
    </row>
    <row r="17739" spans="1:9" x14ac:dyDescent="0.2">
      <c r="A17739" t="str">
        <f>"Rgs21"</f>
        <v>Rgs21</v>
      </c>
      <c r="B17739" t="s">
        <v>5664</v>
      </c>
      <c r="C17739" t="s">
        <v>19</v>
      </c>
      <c r="D17739" t="s">
        <v>11</v>
      </c>
      <c r="E17739" t="s">
        <v>20</v>
      </c>
      <c r="F17739">
        <v>144545319</v>
      </c>
      <c r="G17739">
        <v>144545319</v>
      </c>
      <c r="H17739">
        <v>144545319</v>
      </c>
      <c r="I17739">
        <v>144545319</v>
      </c>
    </row>
    <row r="17740" spans="1:9" x14ac:dyDescent="0.2">
      <c r="A17740" t="str">
        <f>"Rgs22"</f>
        <v>Rgs22</v>
      </c>
      <c r="B17740" t="s">
        <v>14</v>
      </c>
      <c r="C17740" t="s">
        <v>25</v>
      </c>
      <c r="D17740" t="s">
        <v>11</v>
      </c>
      <c r="E17740" t="s">
        <v>12</v>
      </c>
      <c r="F17740">
        <v>36140393</v>
      </c>
      <c r="G17740">
        <v>36140406</v>
      </c>
      <c r="H17740">
        <v>36140436</v>
      </c>
      <c r="I17740">
        <v>36140467</v>
      </c>
    </row>
    <row r="17741" spans="1:9" x14ac:dyDescent="0.2">
      <c r="A17741" t="str">
        <f>"Rgs3"</f>
        <v>Rgs3</v>
      </c>
      <c r="B17741" t="s">
        <v>5665</v>
      </c>
      <c r="C17741" t="s">
        <v>23</v>
      </c>
      <c r="D17741" t="s">
        <v>17</v>
      </c>
      <c r="E17741" t="s">
        <v>35</v>
      </c>
      <c r="F17741">
        <v>62583485</v>
      </c>
      <c r="G17741">
        <v>62583486</v>
      </c>
      <c r="H17741">
        <v>62583568</v>
      </c>
      <c r="I17741">
        <v>62583585</v>
      </c>
    </row>
    <row r="17742" spans="1:9" x14ac:dyDescent="0.2">
      <c r="A17742" t="str">
        <f>"Rgs4"</f>
        <v>Rgs4</v>
      </c>
      <c r="B17742" t="s">
        <v>14</v>
      </c>
      <c r="C17742" t="s">
        <v>19</v>
      </c>
      <c r="D17742" t="s">
        <v>11</v>
      </c>
      <c r="E17742" t="s">
        <v>12</v>
      </c>
      <c r="F17742">
        <v>169747634</v>
      </c>
      <c r="G17742">
        <v>169747649</v>
      </c>
      <c r="H17742">
        <v>169747634</v>
      </c>
      <c r="I17742">
        <v>169747649</v>
      </c>
    </row>
    <row r="17743" spans="1:9" x14ac:dyDescent="0.2">
      <c r="A17743" t="str">
        <f>"Rgs5"</f>
        <v>Rgs5</v>
      </c>
      <c r="B17743" t="s">
        <v>14</v>
      </c>
      <c r="C17743" t="s">
        <v>19</v>
      </c>
      <c r="D17743" t="s">
        <v>17</v>
      </c>
      <c r="E17743" t="s">
        <v>12</v>
      </c>
      <c r="F17743">
        <v>169655493</v>
      </c>
      <c r="G17743">
        <v>169655508</v>
      </c>
      <c r="H17743">
        <v>169655493</v>
      </c>
      <c r="I17743">
        <v>169655508</v>
      </c>
    </row>
    <row r="17744" spans="1:9" x14ac:dyDescent="0.2">
      <c r="A17744" t="str">
        <f>"Rgs6"</f>
        <v>Rgs6</v>
      </c>
      <c r="B17744" t="s">
        <v>14</v>
      </c>
      <c r="C17744" t="s">
        <v>16</v>
      </c>
      <c r="D17744" t="s">
        <v>17</v>
      </c>
      <c r="E17744" t="s">
        <v>12</v>
      </c>
      <c r="F17744">
        <v>82616885</v>
      </c>
      <c r="G17744">
        <v>82616971</v>
      </c>
      <c r="H17744">
        <v>82617102</v>
      </c>
      <c r="I17744">
        <v>82617116</v>
      </c>
    </row>
    <row r="17745" spans="1:9" x14ac:dyDescent="0.2">
      <c r="A17745" t="str">
        <f>"Rgs7"</f>
        <v>Rgs7</v>
      </c>
      <c r="B17745" t="s">
        <v>14</v>
      </c>
      <c r="C17745" t="s">
        <v>19</v>
      </c>
      <c r="D17745" t="s">
        <v>11</v>
      </c>
      <c r="E17745" t="s">
        <v>12</v>
      </c>
      <c r="F17745">
        <v>175492484</v>
      </c>
      <c r="G17745">
        <v>175492538</v>
      </c>
      <c r="H17745">
        <v>175492397</v>
      </c>
      <c r="I17745">
        <v>175492425</v>
      </c>
    </row>
    <row r="17746" spans="1:9" x14ac:dyDescent="0.2">
      <c r="A17746" t="str">
        <f>"Rgs7bp"</f>
        <v>Rgs7bp</v>
      </c>
      <c r="B17746" t="s">
        <v>14</v>
      </c>
      <c r="C17746" t="s">
        <v>39</v>
      </c>
      <c r="D17746" t="s">
        <v>11</v>
      </c>
      <c r="E17746" t="s">
        <v>12</v>
      </c>
      <c r="F17746">
        <v>105054439</v>
      </c>
      <c r="G17746">
        <v>105054562</v>
      </c>
      <c r="H17746">
        <v>105054826</v>
      </c>
      <c r="I17746">
        <v>105054847</v>
      </c>
    </row>
    <row r="17747" spans="1:9" x14ac:dyDescent="0.2">
      <c r="A17747" t="str">
        <f>"Rgs8"</f>
        <v>Rgs8</v>
      </c>
      <c r="B17747" t="s">
        <v>9</v>
      </c>
      <c r="C17747" t="s">
        <v>19</v>
      </c>
      <c r="D17747" t="s">
        <v>17</v>
      </c>
      <c r="E17747" t="s">
        <v>12</v>
      </c>
      <c r="F17747">
        <v>153653106</v>
      </c>
      <c r="G17747">
        <v>153653176</v>
      </c>
      <c r="H17747">
        <v>153653106</v>
      </c>
      <c r="I17747">
        <v>153653176</v>
      </c>
    </row>
    <row r="17748" spans="1:9" x14ac:dyDescent="0.2">
      <c r="A17748" t="str">
        <f>"Rgs8"</f>
        <v>Rgs8</v>
      </c>
      <c r="B17748" t="s">
        <v>13</v>
      </c>
      <c r="C17748" t="s">
        <v>19</v>
      </c>
      <c r="D17748" t="s">
        <v>17</v>
      </c>
      <c r="E17748" t="s">
        <v>12</v>
      </c>
      <c r="F17748">
        <v>153665627</v>
      </c>
      <c r="G17748">
        <v>153665653</v>
      </c>
      <c r="H17748">
        <v>153665627</v>
      </c>
      <c r="I17748">
        <v>153665653</v>
      </c>
    </row>
    <row r="17749" spans="1:9" x14ac:dyDescent="0.2">
      <c r="A17749" t="str">
        <f>"Rgs9"</f>
        <v>Rgs9</v>
      </c>
      <c r="B17749" t="s">
        <v>14</v>
      </c>
      <c r="C17749" t="s">
        <v>27</v>
      </c>
      <c r="D17749" t="s">
        <v>11</v>
      </c>
      <c r="E17749" t="s">
        <v>12</v>
      </c>
      <c r="F17749">
        <v>109298121</v>
      </c>
      <c r="G17749">
        <v>109298142</v>
      </c>
      <c r="H17749">
        <v>109298090</v>
      </c>
      <c r="I17749">
        <v>109298118</v>
      </c>
    </row>
    <row r="17750" spans="1:9" x14ac:dyDescent="0.2">
      <c r="A17750" t="str">
        <f>"Rgs9bp"</f>
        <v>Rgs9bp</v>
      </c>
      <c r="B17750" t="s">
        <v>14</v>
      </c>
      <c r="C17750" t="s">
        <v>33</v>
      </c>
      <c r="D17750" t="s">
        <v>11</v>
      </c>
      <c r="E17750" t="s">
        <v>12</v>
      </c>
      <c r="F17750">
        <v>35585577</v>
      </c>
      <c r="G17750">
        <v>35585602</v>
      </c>
      <c r="H17750">
        <v>35585552</v>
      </c>
      <c r="I17750">
        <v>35585567</v>
      </c>
    </row>
    <row r="17751" spans="1:9" x14ac:dyDescent="0.2">
      <c r="A17751" t="str">
        <f>"Rgsl1"</f>
        <v>Rgsl1</v>
      </c>
      <c r="B17751" t="s">
        <v>14</v>
      </c>
      <c r="C17751" t="s">
        <v>19</v>
      </c>
      <c r="D17751" t="s">
        <v>11</v>
      </c>
      <c r="E17751" t="s">
        <v>12</v>
      </c>
      <c r="F17751">
        <v>153844130</v>
      </c>
      <c r="G17751">
        <v>153844158</v>
      </c>
      <c r="H17751">
        <v>153844130</v>
      </c>
      <c r="I17751">
        <v>153844158</v>
      </c>
    </row>
    <row r="17752" spans="1:9" x14ac:dyDescent="0.2">
      <c r="A17752" t="str">
        <f>"Rhag"</f>
        <v>Rhag</v>
      </c>
      <c r="B17752" t="s">
        <v>14</v>
      </c>
      <c r="C17752" t="s">
        <v>28</v>
      </c>
      <c r="D17752" t="s">
        <v>17</v>
      </c>
      <c r="E17752" t="s">
        <v>12</v>
      </c>
      <c r="F17752">
        <v>40811139</v>
      </c>
      <c r="G17752">
        <v>40811174</v>
      </c>
      <c r="H17752">
        <v>40811139</v>
      </c>
      <c r="I17752">
        <v>40811174</v>
      </c>
    </row>
    <row r="17753" spans="1:9" x14ac:dyDescent="0.2">
      <c r="A17753" t="str">
        <f>"Rhbdd1"</f>
        <v>Rhbdd1</v>
      </c>
      <c r="B17753" t="s">
        <v>14</v>
      </c>
      <c r="C17753" t="s">
        <v>19</v>
      </c>
      <c r="D17753" t="s">
        <v>17</v>
      </c>
      <c r="E17753" t="s">
        <v>12</v>
      </c>
      <c r="F17753">
        <v>82316567</v>
      </c>
      <c r="G17753">
        <v>82316630</v>
      </c>
      <c r="H17753">
        <v>82316645</v>
      </c>
      <c r="I17753">
        <v>82316656</v>
      </c>
    </row>
    <row r="17754" spans="1:9" x14ac:dyDescent="0.2">
      <c r="A17754" t="str">
        <f>"Rhbdd2"</f>
        <v>Rhbdd2</v>
      </c>
      <c r="B17754" t="s">
        <v>14</v>
      </c>
      <c r="C17754" t="s">
        <v>46</v>
      </c>
      <c r="D17754" t="s">
        <v>17</v>
      </c>
      <c r="E17754" t="s">
        <v>12</v>
      </c>
      <c r="F17754">
        <v>135632696</v>
      </c>
      <c r="G17754">
        <v>135632727</v>
      </c>
      <c r="H17754">
        <v>135632663</v>
      </c>
      <c r="I17754">
        <v>135632670</v>
      </c>
    </row>
    <row r="17755" spans="1:9" x14ac:dyDescent="0.2">
      <c r="A17755" t="str">
        <f>"Rhbdd3"</f>
        <v>Rhbdd3</v>
      </c>
      <c r="B17755" t="s">
        <v>14</v>
      </c>
      <c r="C17755" t="s">
        <v>27</v>
      </c>
      <c r="D17755" t="s">
        <v>17</v>
      </c>
      <c r="E17755" t="s">
        <v>12</v>
      </c>
      <c r="F17755">
        <v>5099406</v>
      </c>
      <c r="G17755">
        <v>5099518</v>
      </c>
      <c r="H17755">
        <v>5100119</v>
      </c>
      <c r="I17755">
        <v>5100145</v>
      </c>
    </row>
    <row r="17756" spans="1:9" x14ac:dyDescent="0.2">
      <c r="A17756" t="str">
        <f>"Rhbdf1"</f>
        <v>Rhbdf1</v>
      </c>
      <c r="B17756" t="s">
        <v>14</v>
      </c>
      <c r="C17756" t="s">
        <v>27</v>
      </c>
      <c r="D17756" t="s">
        <v>11</v>
      </c>
      <c r="E17756" t="s">
        <v>12</v>
      </c>
      <c r="F17756">
        <v>32222233</v>
      </c>
      <c r="G17756">
        <v>32222315</v>
      </c>
      <c r="H17756">
        <v>32222233</v>
      </c>
      <c r="I17756">
        <v>32222315</v>
      </c>
    </row>
    <row r="17757" spans="1:9" x14ac:dyDescent="0.2">
      <c r="A17757" t="str">
        <f>"Rhbdf2"</f>
        <v>Rhbdf2</v>
      </c>
      <c r="B17757" t="s">
        <v>14</v>
      </c>
      <c r="C17757" t="s">
        <v>27</v>
      </c>
      <c r="D17757" t="s">
        <v>11</v>
      </c>
      <c r="E17757" t="s">
        <v>12</v>
      </c>
      <c r="F17757">
        <v>116624209</v>
      </c>
      <c r="G17757">
        <v>116624227</v>
      </c>
      <c r="H17757">
        <v>116624238</v>
      </c>
      <c r="I17757">
        <v>116624256</v>
      </c>
    </row>
    <row r="17758" spans="1:9" x14ac:dyDescent="0.2">
      <c r="A17758" t="str">
        <f>"Rhbdl1"</f>
        <v>Rhbdl1</v>
      </c>
      <c r="B17758" t="s">
        <v>14</v>
      </c>
      <c r="C17758" t="s">
        <v>28</v>
      </c>
      <c r="D17758" t="s">
        <v>11</v>
      </c>
      <c r="E17758" t="s">
        <v>12</v>
      </c>
      <c r="F17758">
        <v>25837109</v>
      </c>
      <c r="G17758">
        <v>25837199</v>
      </c>
      <c r="H17758">
        <v>25837037</v>
      </c>
      <c r="I17758">
        <v>25837054</v>
      </c>
    </row>
    <row r="17759" spans="1:9" x14ac:dyDescent="0.2">
      <c r="A17759" t="str">
        <f>"Rhbdl2"</f>
        <v>Rhbdl2</v>
      </c>
      <c r="B17759" t="s">
        <v>14</v>
      </c>
      <c r="C17759" t="s">
        <v>23</v>
      </c>
      <c r="D17759" t="s">
        <v>17</v>
      </c>
      <c r="E17759" t="s">
        <v>12</v>
      </c>
      <c r="F17759">
        <v>123787857</v>
      </c>
      <c r="G17759">
        <v>123787886</v>
      </c>
      <c r="H17759">
        <v>123787843</v>
      </c>
      <c r="I17759">
        <v>123787855</v>
      </c>
    </row>
    <row r="17760" spans="1:9" x14ac:dyDescent="0.2">
      <c r="A17760" t="str">
        <f>"Rhbdl3"</f>
        <v>Rhbdl3</v>
      </c>
      <c r="B17760" t="s">
        <v>14</v>
      </c>
      <c r="C17760" t="s">
        <v>27</v>
      </c>
      <c r="D17760" t="s">
        <v>17</v>
      </c>
      <c r="E17760" t="s">
        <v>12</v>
      </c>
      <c r="F17760">
        <v>80300866</v>
      </c>
      <c r="G17760">
        <v>80300889</v>
      </c>
      <c r="H17760">
        <v>80300671</v>
      </c>
      <c r="I17760">
        <v>80300704</v>
      </c>
    </row>
    <row r="17761" spans="1:9" x14ac:dyDescent="0.2">
      <c r="A17761" t="str">
        <f>"Rhbg"</f>
        <v>Rhbg</v>
      </c>
      <c r="B17761" t="s">
        <v>14</v>
      </c>
      <c r="C17761" t="s">
        <v>22</v>
      </c>
      <c r="D17761" t="s">
        <v>11</v>
      </c>
      <c r="E17761" t="s">
        <v>12</v>
      </c>
      <c r="F17761">
        <v>88254675</v>
      </c>
      <c r="G17761">
        <v>88254689</v>
      </c>
      <c r="H17761">
        <v>88254706</v>
      </c>
      <c r="I17761">
        <v>88254722</v>
      </c>
    </row>
    <row r="17762" spans="1:9" x14ac:dyDescent="0.2">
      <c r="A17762" t="str">
        <f>"Rhcg"</f>
        <v>Rhcg</v>
      </c>
      <c r="B17762" t="s">
        <v>14</v>
      </c>
      <c r="C17762" t="s">
        <v>33</v>
      </c>
      <c r="D17762" t="s">
        <v>11</v>
      </c>
      <c r="E17762" t="s">
        <v>12</v>
      </c>
      <c r="F17762">
        <v>79617549</v>
      </c>
      <c r="G17762">
        <v>79617565</v>
      </c>
      <c r="H17762">
        <v>79617549</v>
      </c>
      <c r="I17762">
        <v>79617565</v>
      </c>
    </row>
    <row r="17763" spans="1:9" x14ac:dyDescent="0.2">
      <c r="A17763" t="str">
        <f>"Rhd"</f>
        <v>Rhd</v>
      </c>
      <c r="B17763" t="s">
        <v>14</v>
      </c>
      <c r="C17763" t="s">
        <v>23</v>
      </c>
      <c r="D17763" t="s">
        <v>17</v>
      </c>
      <c r="E17763" t="s">
        <v>12</v>
      </c>
      <c r="F17763">
        <v>134864556</v>
      </c>
      <c r="G17763">
        <v>134864601</v>
      </c>
      <c r="H17763">
        <v>134864556</v>
      </c>
      <c r="I17763">
        <v>134864601</v>
      </c>
    </row>
    <row r="17764" spans="1:9" x14ac:dyDescent="0.2">
      <c r="A17764" t="str">
        <f>"Rheb"</f>
        <v>Rheb</v>
      </c>
      <c r="B17764" t="s">
        <v>14</v>
      </c>
      <c r="C17764" t="s">
        <v>46</v>
      </c>
      <c r="D17764" t="s">
        <v>11</v>
      </c>
      <c r="E17764" t="s">
        <v>12</v>
      </c>
      <c r="F17764">
        <v>24842357</v>
      </c>
      <c r="G17764">
        <v>24842453</v>
      </c>
      <c r="H17764">
        <v>24842579</v>
      </c>
      <c r="I17764">
        <v>24842624</v>
      </c>
    </row>
    <row r="17765" spans="1:9" x14ac:dyDescent="0.2">
      <c r="A17765" t="str">
        <f>"Rhebl1"</f>
        <v>Rhebl1</v>
      </c>
      <c r="B17765" t="s">
        <v>14</v>
      </c>
      <c r="C17765" t="s">
        <v>25</v>
      </c>
      <c r="D17765" t="s">
        <v>11</v>
      </c>
      <c r="E17765" t="s">
        <v>12</v>
      </c>
      <c r="F17765">
        <v>98881255</v>
      </c>
      <c r="G17765">
        <v>98881316</v>
      </c>
      <c r="H17765">
        <v>98881317</v>
      </c>
      <c r="I17765">
        <v>98881349</v>
      </c>
    </row>
    <row r="17766" spans="1:9" x14ac:dyDescent="0.2">
      <c r="A17766" t="str">
        <f>"Rhno1"</f>
        <v>Rhno1</v>
      </c>
      <c r="B17766" t="s">
        <v>14</v>
      </c>
      <c r="C17766" t="s">
        <v>32</v>
      </c>
      <c r="D17766" t="s">
        <v>11</v>
      </c>
      <c r="E17766" t="s">
        <v>67</v>
      </c>
      <c r="F17766">
        <v>128362861</v>
      </c>
      <c r="G17766">
        <v>128362926</v>
      </c>
      <c r="H17766">
        <v>128362667</v>
      </c>
      <c r="I17766">
        <v>128362686</v>
      </c>
    </row>
    <row r="17767" spans="1:9" x14ac:dyDescent="0.2">
      <c r="A17767" t="str">
        <f>"Rho"</f>
        <v>Rho</v>
      </c>
      <c r="B17767" t="s">
        <v>14</v>
      </c>
      <c r="C17767" t="s">
        <v>32</v>
      </c>
      <c r="D17767" t="s">
        <v>17</v>
      </c>
      <c r="E17767" t="s">
        <v>12</v>
      </c>
      <c r="F17767">
        <v>115931897</v>
      </c>
      <c r="G17767">
        <v>115931919</v>
      </c>
      <c r="H17767">
        <v>115931922</v>
      </c>
      <c r="I17767">
        <v>115931937</v>
      </c>
    </row>
    <row r="17768" spans="1:9" x14ac:dyDescent="0.2">
      <c r="A17768" t="str">
        <f>"Rhoa"</f>
        <v>Rhoa</v>
      </c>
      <c r="B17768" t="s">
        <v>14</v>
      </c>
      <c r="C17768" t="s">
        <v>24</v>
      </c>
      <c r="D17768" t="s">
        <v>17</v>
      </c>
      <c r="E17768" t="s">
        <v>12</v>
      </c>
      <c r="F17768">
        <v>108306323</v>
      </c>
      <c r="G17768">
        <v>108306456</v>
      </c>
      <c r="H17768">
        <v>108306288</v>
      </c>
      <c r="I17768">
        <v>108306300</v>
      </c>
    </row>
    <row r="17769" spans="1:9" x14ac:dyDescent="0.2">
      <c r="A17769" t="str">
        <f>"Rhob"</f>
        <v>Rhob</v>
      </c>
      <c r="B17769" t="s">
        <v>14</v>
      </c>
      <c r="C17769" t="s">
        <v>16</v>
      </c>
      <c r="D17769" t="s">
        <v>11</v>
      </c>
      <c r="E17769" t="s">
        <v>12</v>
      </c>
      <c r="F17769">
        <v>8500001</v>
      </c>
      <c r="G17769">
        <v>8500017</v>
      </c>
      <c r="H17769">
        <v>8500001</v>
      </c>
      <c r="I17769">
        <v>8500017</v>
      </c>
    </row>
    <row r="17770" spans="1:9" x14ac:dyDescent="0.2">
      <c r="A17770" t="str">
        <f>"Rhobtb1"</f>
        <v>Rhobtb1</v>
      </c>
      <c r="B17770" t="s">
        <v>14</v>
      </c>
      <c r="C17770" t="s">
        <v>15</v>
      </c>
      <c r="D17770" t="s">
        <v>17</v>
      </c>
      <c r="E17770" t="s">
        <v>12</v>
      </c>
      <c r="F17770">
        <v>69213162</v>
      </c>
      <c r="G17770">
        <v>69213228</v>
      </c>
      <c r="H17770">
        <v>69213162</v>
      </c>
      <c r="I17770">
        <v>69213228</v>
      </c>
    </row>
    <row r="17771" spans="1:9" x14ac:dyDescent="0.2">
      <c r="A17771" t="str">
        <f>"Rhobtb2"</f>
        <v>Rhobtb2</v>
      </c>
      <c r="B17771" t="s">
        <v>14</v>
      </c>
      <c r="C17771" t="s">
        <v>41</v>
      </c>
      <c r="D17771" t="s">
        <v>11</v>
      </c>
      <c r="E17771" t="s">
        <v>12</v>
      </c>
      <c r="F17771">
        <v>69805630</v>
      </c>
      <c r="G17771">
        <v>69805668</v>
      </c>
      <c r="H17771">
        <v>69805563</v>
      </c>
      <c r="I17771">
        <v>69805578</v>
      </c>
    </row>
    <row r="17772" spans="1:9" x14ac:dyDescent="0.2">
      <c r="A17772" t="str">
        <f>"Rhobtb3"</f>
        <v>Rhobtb3</v>
      </c>
      <c r="B17772" t="s">
        <v>14</v>
      </c>
      <c r="C17772" t="s">
        <v>39</v>
      </c>
      <c r="D17772" t="s">
        <v>11</v>
      </c>
      <c r="E17772" t="s">
        <v>12</v>
      </c>
      <c r="F17772">
        <v>75943812</v>
      </c>
      <c r="G17772">
        <v>75943950</v>
      </c>
      <c r="H17772">
        <v>75943700</v>
      </c>
      <c r="I17772">
        <v>75943760</v>
      </c>
    </row>
    <row r="17773" spans="1:9" x14ac:dyDescent="0.2">
      <c r="A17773" t="str">
        <f>"Rhoc"</f>
        <v>Rhoc</v>
      </c>
      <c r="B17773" t="s">
        <v>14</v>
      </c>
      <c r="C17773" t="s">
        <v>22</v>
      </c>
      <c r="D17773" t="s">
        <v>17</v>
      </c>
      <c r="E17773" t="s">
        <v>12</v>
      </c>
      <c r="F17773">
        <v>104789026</v>
      </c>
      <c r="G17773">
        <v>104789046</v>
      </c>
      <c r="H17773">
        <v>104789026</v>
      </c>
      <c r="I17773">
        <v>104789046</v>
      </c>
    </row>
    <row r="17774" spans="1:9" x14ac:dyDescent="0.2">
      <c r="A17774" t="str">
        <f>"Rhod"</f>
        <v>Rhod</v>
      </c>
      <c r="B17774" t="s">
        <v>14</v>
      </c>
      <c r="C17774" t="s">
        <v>10</v>
      </c>
      <c r="D17774" t="s">
        <v>11</v>
      </c>
      <c r="E17774" t="s">
        <v>12</v>
      </c>
      <c r="F17774">
        <v>4439388</v>
      </c>
      <c r="G17774">
        <v>4439450</v>
      </c>
      <c r="H17774">
        <v>4439369</v>
      </c>
      <c r="I17774">
        <v>4439386</v>
      </c>
    </row>
    <row r="17775" spans="1:9" x14ac:dyDescent="0.2">
      <c r="A17775" t="str">
        <f>"Rhof"</f>
        <v>Rhof</v>
      </c>
      <c r="B17775" t="s">
        <v>14</v>
      </c>
      <c r="C17775" t="s">
        <v>46</v>
      </c>
      <c r="D17775" t="s">
        <v>11</v>
      </c>
      <c r="E17775" t="s">
        <v>12</v>
      </c>
      <c r="F17775">
        <v>123132383</v>
      </c>
      <c r="G17775">
        <v>123132403</v>
      </c>
      <c r="H17775">
        <v>123132404</v>
      </c>
      <c r="I17775">
        <v>123132434</v>
      </c>
    </row>
    <row r="17776" spans="1:9" x14ac:dyDescent="0.2">
      <c r="A17776" t="str">
        <f>"Rhog"</f>
        <v>Rhog</v>
      </c>
      <c r="B17776" t="s">
        <v>14</v>
      </c>
      <c r="C17776" t="s">
        <v>33</v>
      </c>
      <c r="D17776" t="s">
        <v>11</v>
      </c>
      <c r="E17776" t="s">
        <v>12</v>
      </c>
      <c r="F17776">
        <v>102250086</v>
      </c>
      <c r="G17776">
        <v>102250123</v>
      </c>
      <c r="H17776">
        <v>102250127</v>
      </c>
      <c r="I17776">
        <v>102250138</v>
      </c>
    </row>
    <row r="17777" spans="1:9" x14ac:dyDescent="0.2">
      <c r="A17777" t="str">
        <f>"Rhoh"</f>
        <v>Rhoh</v>
      </c>
      <c r="B17777" t="s">
        <v>9</v>
      </c>
      <c r="C17777" t="s">
        <v>46</v>
      </c>
      <c r="D17777" t="s">
        <v>17</v>
      </c>
      <c r="E17777" t="s">
        <v>12</v>
      </c>
      <c r="F17777">
        <v>65863563</v>
      </c>
      <c r="G17777">
        <v>65863650</v>
      </c>
      <c r="H17777">
        <v>65863563</v>
      </c>
      <c r="I17777">
        <v>65863650</v>
      </c>
    </row>
    <row r="17778" spans="1:9" x14ac:dyDescent="0.2">
      <c r="A17778" t="str">
        <f>"Rhoh"</f>
        <v>Rhoh</v>
      </c>
      <c r="B17778" t="s">
        <v>13</v>
      </c>
      <c r="C17778" t="s">
        <v>46</v>
      </c>
      <c r="D17778" t="s">
        <v>17</v>
      </c>
      <c r="E17778" t="s">
        <v>12</v>
      </c>
      <c r="F17778">
        <v>65861261</v>
      </c>
      <c r="G17778">
        <v>65861318</v>
      </c>
      <c r="H17778">
        <v>65861261</v>
      </c>
      <c r="I17778">
        <v>65861318</v>
      </c>
    </row>
    <row r="17779" spans="1:9" x14ac:dyDescent="0.2">
      <c r="A17779" t="str">
        <f>"Rhoj"</f>
        <v>Rhoj</v>
      </c>
      <c r="B17779" t="s">
        <v>14</v>
      </c>
      <c r="C17779" t="s">
        <v>16</v>
      </c>
      <c r="D17779" t="s">
        <v>17</v>
      </c>
      <c r="E17779" t="s">
        <v>12</v>
      </c>
      <c r="F17779">
        <v>75308416</v>
      </c>
      <c r="G17779">
        <v>75308434</v>
      </c>
      <c r="H17779">
        <v>75308387</v>
      </c>
      <c r="I17779">
        <v>75308408</v>
      </c>
    </row>
    <row r="17780" spans="1:9" x14ac:dyDescent="0.2">
      <c r="A17780" t="str">
        <f>"Rhoq"</f>
        <v>Rhoq</v>
      </c>
      <c r="B17780" t="s">
        <v>14</v>
      </c>
      <c r="C17780" t="s">
        <v>28</v>
      </c>
      <c r="D17780" t="s">
        <v>17</v>
      </c>
      <c r="E17780" t="s">
        <v>12</v>
      </c>
      <c r="F17780">
        <v>86963279</v>
      </c>
      <c r="G17780">
        <v>86963303</v>
      </c>
      <c r="H17780">
        <v>86963246</v>
      </c>
      <c r="I17780">
        <v>86963268</v>
      </c>
    </row>
    <row r="17781" spans="1:9" x14ac:dyDescent="0.2">
      <c r="A17781" t="str">
        <f>"Rhot1"</f>
        <v>Rhot1</v>
      </c>
      <c r="B17781" t="s">
        <v>14</v>
      </c>
      <c r="C17781" t="s">
        <v>27</v>
      </c>
      <c r="D17781" t="s">
        <v>17</v>
      </c>
      <c r="E17781" t="s">
        <v>12</v>
      </c>
      <c r="F17781">
        <v>80209066</v>
      </c>
      <c r="G17781">
        <v>80209164</v>
      </c>
      <c r="H17781">
        <v>80209019</v>
      </c>
      <c r="I17781">
        <v>80209057</v>
      </c>
    </row>
    <row r="17782" spans="1:9" x14ac:dyDescent="0.2">
      <c r="A17782" t="str">
        <f>"Rhot2"</f>
        <v>Rhot2</v>
      </c>
      <c r="B17782" t="s">
        <v>14</v>
      </c>
      <c r="C17782" t="s">
        <v>28</v>
      </c>
      <c r="D17782" t="s">
        <v>11</v>
      </c>
      <c r="E17782" t="s">
        <v>12</v>
      </c>
      <c r="F17782">
        <v>25844514</v>
      </c>
      <c r="G17782">
        <v>25844565</v>
      </c>
      <c r="H17782">
        <v>25844514</v>
      </c>
      <c r="I17782">
        <v>25844565</v>
      </c>
    </row>
    <row r="17783" spans="1:9" x14ac:dyDescent="0.2">
      <c r="A17783" t="str">
        <f>"Rhou"</f>
        <v>Rhou</v>
      </c>
      <c r="B17783" t="s">
        <v>14</v>
      </c>
      <c r="C17783" t="s">
        <v>30</v>
      </c>
      <c r="D17783" t="s">
        <v>17</v>
      </c>
      <c r="E17783" t="s">
        <v>12</v>
      </c>
      <c r="F17783">
        <v>123653841</v>
      </c>
      <c r="G17783">
        <v>123653877</v>
      </c>
      <c r="H17783">
        <v>123653823</v>
      </c>
      <c r="I17783">
        <v>123653834</v>
      </c>
    </row>
    <row r="17784" spans="1:9" x14ac:dyDescent="0.2">
      <c r="A17784" t="str">
        <f>"Rhov"</f>
        <v>Rhov</v>
      </c>
      <c r="B17784" t="s">
        <v>14</v>
      </c>
      <c r="C17784" t="s">
        <v>26</v>
      </c>
      <c r="D17784" t="s">
        <v>11</v>
      </c>
      <c r="E17784" t="s">
        <v>12</v>
      </c>
      <c r="F17784">
        <v>119271202</v>
      </c>
      <c r="G17784">
        <v>119271235</v>
      </c>
      <c r="H17784">
        <v>119271179</v>
      </c>
      <c r="I17784">
        <v>119271189</v>
      </c>
    </row>
    <row r="17785" spans="1:9" x14ac:dyDescent="0.2">
      <c r="A17785" t="str">
        <f>"Rhox1"</f>
        <v>Rhox1</v>
      </c>
      <c r="B17785" t="s">
        <v>5666</v>
      </c>
      <c r="C17785" t="s">
        <v>37</v>
      </c>
      <c r="D17785" t="s">
        <v>11</v>
      </c>
      <c r="E17785" t="s">
        <v>20</v>
      </c>
      <c r="F17785">
        <v>37222257</v>
      </c>
      <c r="G17785">
        <v>37222257</v>
      </c>
      <c r="H17785">
        <v>37222257</v>
      </c>
      <c r="I17785">
        <v>37222257</v>
      </c>
    </row>
    <row r="17786" spans="1:9" x14ac:dyDescent="0.2">
      <c r="A17786" t="str">
        <f>"Rhox10"</f>
        <v>Rhox10</v>
      </c>
      <c r="B17786" t="s">
        <v>14</v>
      </c>
      <c r="C17786" t="s">
        <v>37</v>
      </c>
      <c r="D17786" t="s">
        <v>17</v>
      </c>
      <c r="E17786" t="s">
        <v>12</v>
      </c>
      <c r="F17786">
        <v>38066538</v>
      </c>
      <c r="G17786">
        <v>38066547</v>
      </c>
      <c r="H17786">
        <v>38066563</v>
      </c>
      <c r="I17786">
        <v>38066570</v>
      </c>
    </row>
    <row r="17787" spans="1:9" x14ac:dyDescent="0.2">
      <c r="A17787" t="str">
        <f>"Rhox11"</f>
        <v>Rhox11</v>
      </c>
      <c r="B17787" t="s">
        <v>14</v>
      </c>
      <c r="C17787" t="s">
        <v>37</v>
      </c>
      <c r="D17787" t="s">
        <v>11</v>
      </c>
      <c r="E17787" t="s">
        <v>12</v>
      </c>
      <c r="F17787">
        <v>38085177</v>
      </c>
      <c r="G17787">
        <v>38085185</v>
      </c>
      <c r="H17787">
        <v>38085177</v>
      </c>
      <c r="I17787">
        <v>38085185</v>
      </c>
    </row>
    <row r="17788" spans="1:9" x14ac:dyDescent="0.2">
      <c r="A17788" t="str">
        <f>"Rhox12"</f>
        <v>Rhox12</v>
      </c>
      <c r="B17788" t="s">
        <v>14</v>
      </c>
      <c r="C17788" t="s">
        <v>37</v>
      </c>
      <c r="D17788" t="s">
        <v>11</v>
      </c>
      <c r="E17788" t="s">
        <v>12</v>
      </c>
      <c r="F17788">
        <v>38110913</v>
      </c>
      <c r="G17788">
        <v>38110920</v>
      </c>
      <c r="H17788">
        <v>38110913</v>
      </c>
      <c r="I17788">
        <v>38110920</v>
      </c>
    </row>
    <row r="17789" spans="1:9" x14ac:dyDescent="0.2">
      <c r="A17789" t="str">
        <f>"Rhox13"</f>
        <v>Rhox13</v>
      </c>
      <c r="B17789" t="s">
        <v>14</v>
      </c>
      <c r="C17789" t="s">
        <v>37</v>
      </c>
      <c r="D17789" t="s">
        <v>17</v>
      </c>
      <c r="E17789" t="s">
        <v>12</v>
      </c>
      <c r="F17789">
        <v>38121174</v>
      </c>
      <c r="G17789">
        <v>38121189</v>
      </c>
      <c r="H17789">
        <v>38121174</v>
      </c>
      <c r="I17789">
        <v>38121189</v>
      </c>
    </row>
    <row r="17790" spans="1:9" x14ac:dyDescent="0.2">
      <c r="A17790" t="str">
        <f>"Rhox2a"</f>
        <v>Rhox2a</v>
      </c>
      <c r="B17790" t="s">
        <v>5667</v>
      </c>
      <c r="C17790" t="s">
        <v>37</v>
      </c>
      <c r="D17790" t="s">
        <v>17</v>
      </c>
      <c r="E17790" t="s">
        <v>20</v>
      </c>
      <c r="F17790">
        <v>37244986</v>
      </c>
      <c r="G17790">
        <v>37244986</v>
      </c>
      <c r="H17790">
        <v>37244986</v>
      </c>
      <c r="I17790">
        <v>37244986</v>
      </c>
    </row>
    <row r="17791" spans="1:9" x14ac:dyDescent="0.2">
      <c r="A17791" t="str">
        <f>"Rhox2b"</f>
        <v>Rhox2b</v>
      </c>
      <c r="B17791" t="s">
        <v>5668</v>
      </c>
      <c r="C17791" t="s">
        <v>37</v>
      </c>
      <c r="D17791" t="s">
        <v>17</v>
      </c>
      <c r="E17791" t="s">
        <v>20</v>
      </c>
      <c r="F17791">
        <v>37412066</v>
      </c>
      <c r="G17791">
        <v>37412066</v>
      </c>
      <c r="H17791">
        <v>37412066</v>
      </c>
      <c r="I17791">
        <v>37412066</v>
      </c>
    </row>
    <row r="17792" spans="1:9" x14ac:dyDescent="0.2">
      <c r="A17792" t="str">
        <f>"Rhox2c"</f>
        <v>Rhox2c</v>
      </c>
      <c r="B17792" t="s">
        <v>5669</v>
      </c>
      <c r="C17792" t="s">
        <v>37</v>
      </c>
      <c r="D17792" t="s">
        <v>17</v>
      </c>
      <c r="E17792" t="s">
        <v>20</v>
      </c>
      <c r="F17792">
        <v>37453679</v>
      </c>
      <c r="G17792">
        <v>37453679</v>
      </c>
      <c r="H17792">
        <v>37453679</v>
      </c>
      <c r="I17792">
        <v>37453679</v>
      </c>
    </row>
    <row r="17793" spans="1:9" x14ac:dyDescent="0.2">
      <c r="A17793" t="str">
        <f>"Rhox2d"</f>
        <v>Rhox2d</v>
      </c>
      <c r="B17793" t="s">
        <v>5670</v>
      </c>
      <c r="C17793" t="s">
        <v>37</v>
      </c>
      <c r="D17793" t="s">
        <v>17</v>
      </c>
      <c r="E17793" t="s">
        <v>20</v>
      </c>
      <c r="F17793">
        <v>37493427</v>
      </c>
      <c r="G17793">
        <v>37493427</v>
      </c>
      <c r="H17793">
        <v>37493427</v>
      </c>
      <c r="I17793">
        <v>37493427</v>
      </c>
    </row>
    <row r="17794" spans="1:9" x14ac:dyDescent="0.2">
      <c r="A17794" t="str">
        <f>"Rhox2e"</f>
        <v>Rhox2e</v>
      </c>
      <c r="B17794" t="s">
        <v>5671</v>
      </c>
      <c r="C17794" t="s">
        <v>37</v>
      </c>
      <c r="D17794" t="s">
        <v>17</v>
      </c>
      <c r="E17794" t="s">
        <v>20</v>
      </c>
      <c r="F17794">
        <v>37530451</v>
      </c>
      <c r="G17794">
        <v>37530451</v>
      </c>
      <c r="H17794">
        <v>37530451</v>
      </c>
      <c r="I17794">
        <v>37530451</v>
      </c>
    </row>
    <row r="17795" spans="1:9" x14ac:dyDescent="0.2">
      <c r="A17795" t="str">
        <f>"Rhox2f"</f>
        <v>Rhox2f</v>
      </c>
      <c r="B17795" t="s">
        <v>5672</v>
      </c>
      <c r="C17795" t="s">
        <v>37</v>
      </c>
      <c r="D17795" t="s">
        <v>17</v>
      </c>
      <c r="E17795" t="s">
        <v>20</v>
      </c>
      <c r="F17795">
        <v>37571404</v>
      </c>
      <c r="G17795">
        <v>37571404</v>
      </c>
      <c r="H17795">
        <v>37571404</v>
      </c>
      <c r="I17795">
        <v>37571404</v>
      </c>
    </row>
    <row r="17796" spans="1:9" x14ac:dyDescent="0.2">
      <c r="A17796" t="str">
        <f>"Rhox2g"</f>
        <v>Rhox2g</v>
      </c>
      <c r="B17796" t="s">
        <v>5673</v>
      </c>
      <c r="C17796" t="s">
        <v>37</v>
      </c>
      <c r="D17796" t="s">
        <v>11</v>
      </c>
      <c r="E17796" t="s">
        <v>20</v>
      </c>
      <c r="F17796">
        <v>37643469</v>
      </c>
      <c r="G17796">
        <v>37643469</v>
      </c>
      <c r="H17796">
        <v>37643469</v>
      </c>
      <c r="I17796">
        <v>37643469</v>
      </c>
    </row>
    <row r="17797" spans="1:9" x14ac:dyDescent="0.2">
      <c r="A17797" t="str">
        <f>"Rhox2h"</f>
        <v>Rhox2h</v>
      </c>
      <c r="B17797" t="s">
        <v>5674</v>
      </c>
      <c r="C17797" t="s">
        <v>37</v>
      </c>
      <c r="D17797" t="s">
        <v>11</v>
      </c>
      <c r="E17797" t="s">
        <v>20</v>
      </c>
      <c r="F17797">
        <v>37673276</v>
      </c>
      <c r="G17797">
        <v>37673276</v>
      </c>
      <c r="H17797">
        <v>37673276</v>
      </c>
      <c r="I17797">
        <v>37673276</v>
      </c>
    </row>
    <row r="17798" spans="1:9" x14ac:dyDescent="0.2">
      <c r="A17798" t="str">
        <f>"Rhox3a"</f>
        <v>Rhox3a</v>
      </c>
      <c r="B17798" t="s">
        <v>5675</v>
      </c>
      <c r="C17798" t="s">
        <v>37</v>
      </c>
      <c r="D17798" t="s">
        <v>17</v>
      </c>
      <c r="E17798" t="s">
        <v>20</v>
      </c>
      <c r="F17798">
        <v>37249918</v>
      </c>
      <c r="G17798">
        <v>37249918</v>
      </c>
      <c r="H17798">
        <v>37249918</v>
      </c>
      <c r="I17798">
        <v>37249918</v>
      </c>
    </row>
    <row r="17799" spans="1:9" x14ac:dyDescent="0.2">
      <c r="A17799" t="str">
        <f>"Rhox3c"</f>
        <v>Rhox3c</v>
      </c>
      <c r="B17799" t="s">
        <v>5676</v>
      </c>
      <c r="C17799" t="s">
        <v>37</v>
      </c>
      <c r="D17799" t="s">
        <v>17</v>
      </c>
      <c r="E17799" t="s">
        <v>20</v>
      </c>
      <c r="F17799">
        <v>37458584</v>
      </c>
      <c r="G17799">
        <v>37458584</v>
      </c>
      <c r="H17799">
        <v>37458584</v>
      </c>
      <c r="I17799">
        <v>37458584</v>
      </c>
    </row>
    <row r="17800" spans="1:9" x14ac:dyDescent="0.2">
      <c r="A17800" t="str">
        <f>"Rhox3c"</f>
        <v>Rhox3c</v>
      </c>
      <c r="B17800" t="s">
        <v>5677</v>
      </c>
      <c r="C17800" t="s">
        <v>37</v>
      </c>
      <c r="D17800" t="s">
        <v>17</v>
      </c>
      <c r="E17800" t="s">
        <v>20</v>
      </c>
      <c r="F17800">
        <v>37469867</v>
      </c>
      <c r="G17800">
        <v>37469867</v>
      </c>
      <c r="H17800">
        <v>37469867</v>
      </c>
      <c r="I17800">
        <v>37469867</v>
      </c>
    </row>
    <row r="17801" spans="1:9" x14ac:dyDescent="0.2">
      <c r="A17801" t="str">
        <f>"Rhox3e"</f>
        <v>Rhox3e</v>
      </c>
      <c r="B17801" t="s">
        <v>5678</v>
      </c>
      <c r="C17801" t="s">
        <v>37</v>
      </c>
      <c r="D17801" t="s">
        <v>17</v>
      </c>
      <c r="E17801" t="s">
        <v>20</v>
      </c>
      <c r="F17801">
        <v>37546974</v>
      </c>
      <c r="G17801">
        <v>37546974</v>
      </c>
      <c r="H17801">
        <v>37546974</v>
      </c>
      <c r="I17801">
        <v>37546974</v>
      </c>
    </row>
    <row r="17802" spans="1:9" x14ac:dyDescent="0.2">
      <c r="A17802" t="str">
        <f>"Rhox3e"</f>
        <v>Rhox3e</v>
      </c>
      <c r="B17802" t="s">
        <v>5679</v>
      </c>
      <c r="C17802" t="s">
        <v>37</v>
      </c>
      <c r="D17802" t="s">
        <v>17</v>
      </c>
      <c r="E17802" t="s">
        <v>20</v>
      </c>
      <c r="F17802">
        <v>37542018</v>
      </c>
      <c r="G17802">
        <v>37542018</v>
      </c>
      <c r="H17802">
        <v>37542018</v>
      </c>
      <c r="I17802">
        <v>37542018</v>
      </c>
    </row>
    <row r="17803" spans="1:9" x14ac:dyDescent="0.2">
      <c r="A17803" t="str">
        <f>"Rhox3f"</f>
        <v>Rhox3f</v>
      </c>
      <c r="B17803" t="s">
        <v>5680</v>
      </c>
      <c r="C17803" t="s">
        <v>37</v>
      </c>
      <c r="D17803" t="s">
        <v>17</v>
      </c>
      <c r="E17803" t="s">
        <v>20</v>
      </c>
      <c r="F17803">
        <v>37581351</v>
      </c>
      <c r="G17803">
        <v>37581351</v>
      </c>
      <c r="H17803">
        <v>37581351</v>
      </c>
      <c r="I17803">
        <v>37581351</v>
      </c>
    </row>
    <row r="17804" spans="1:9" x14ac:dyDescent="0.2">
      <c r="A17804" t="str">
        <f>"Rhox3f"</f>
        <v>Rhox3f</v>
      </c>
      <c r="B17804" t="s">
        <v>5681</v>
      </c>
      <c r="C17804" t="s">
        <v>37</v>
      </c>
      <c r="D17804" t="s">
        <v>17</v>
      </c>
      <c r="E17804" t="s">
        <v>20</v>
      </c>
      <c r="F17804">
        <v>37580991</v>
      </c>
      <c r="G17804">
        <v>37580991</v>
      </c>
      <c r="H17804">
        <v>37580991</v>
      </c>
      <c r="I17804">
        <v>37580991</v>
      </c>
    </row>
    <row r="17805" spans="1:9" x14ac:dyDescent="0.2">
      <c r="A17805" t="str">
        <f>"Rhox3g"</f>
        <v>Rhox3g</v>
      </c>
      <c r="B17805" t="s">
        <v>5682</v>
      </c>
      <c r="C17805" t="s">
        <v>37</v>
      </c>
      <c r="D17805" t="s">
        <v>11</v>
      </c>
      <c r="E17805" t="s">
        <v>20</v>
      </c>
      <c r="F17805">
        <v>37628611</v>
      </c>
      <c r="G17805">
        <v>37628611</v>
      </c>
      <c r="H17805">
        <v>37628611</v>
      </c>
      <c r="I17805">
        <v>37628611</v>
      </c>
    </row>
    <row r="17806" spans="1:9" x14ac:dyDescent="0.2">
      <c r="A17806" t="str">
        <f>"Rhox3h"</f>
        <v>Rhox3h</v>
      </c>
      <c r="B17806" t="s">
        <v>5683</v>
      </c>
      <c r="C17806" t="s">
        <v>37</v>
      </c>
      <c r="D17806" t="s">
        <v>11</v>
      </c>
      <c r="E17806" t="s">
        <v>20</v>
      </c>
      <c r="F17806">
        <v>37668763</v>
      </c>
      <c r="G17806">
        <v>37668763</v>
      </c>
      <c r="H17806">
        <v>37668763</v>
      </c>
      <c r="I17806">
        <v>37668763</v>
      </c>
    </row>
    <row r="17807" spans="1:9" x14ac:dyDescent="0.2">
      <c r="A17807" t="str">
        <f>"Rhox4a"</f>
        <v>Rhox4a</v>
      </c>
      <c r="B17807" t="s">
        <v>14</v>
      </c>
      <c r="C17807" t="s">
        <v>37</v>
      </c>
      <c r="D17807" t="s">
        <v>17</v>
      </c>
      <c r="E17807" t="s">
        <v>12</v>
      </c>
      <c r="F17807">
        <v>37265386</v>
      </c>
      <c r="G17807">
        <v>37265401</v>
      </c>
      <c r="H17807">
        <v>37265386</v>
      </c>
      <c r="I17807">
        <v>37265401</v>
      </c>
    </row>
    <row r="17808" spans="1:9" x14ac:dyDescent="0.2">
      <c r="A17808" t="str">
        <f>"Rhox4b"</f>
        <v>Rhox4b</v>
      </c>
      <c r="B17808" t="s">
        <v>5684</v>
      </c>
      <c r="C17808" t="s">
        <v>37</v>
      </c>
      <c r="D17808" t="s">
        <v>17</v>
      </c>
      <c r="E17808" t="s">
        <v>20</v>
      </c>
      <c r="F17808">
        <v>37432493</v>
      </c>
      <c r="G17808">
        <v>37432493</v>
      </c>
      <c r="H17808">
        <v>37432493</v>
      </c>
      <c r="I17808">
        <v>37432493</v>
      </c>
    </row>
    <row r="17809" spans="1:9" x14ac:dyDescent="0.2">
      <c r="A17809" t="str">
        <f>"Rhox4c"</f>
        <v>Rhox4c</v>
      </c>
      <c r="B17809" t="s">
        <v>5685</v>
      </c>
      <c r="C17809" t="s">
        <v>37</v>
      </c>
      <c r="D17809" t="s">
        <v>17</v>
      </c>
      <c r="E17809" t="s">
        <v>20</v>
      </c>
      <c r="F17809">
        <v>37480336</v>
      </c>
      <c r="G17809">
        <v>37480336</v>
      </c>
      <c r="H17809">
        <v>37480336</v>
      </c>
      <c r="I17809">
        <v>37480336</v>
      </c>
    </row>
    <row r="17810" spans="1:9" x14ac:dyDescent="0.2">
      <c r="A17810" t="str">
        <f>"Rhox4d"</f>
        <v>Rhox4d</v>
      </c>
      <c r="B17810" t="s">
        <v>5686</v>
      </c>
      <c r="C17810" t="s">
        <v>37</v>
      </c>
      <c r="D17810" t="s">
        <v>17</v>
      </c>
      <c r="E17810" t="s">
        <v>20</v>
      </c>
      <c r="F17810">
        <v>37514358</v>
      </c>
      <c r="G17810">
        <v>37514358</v>
      </c>
      <c r="H17810">
        <v>37514358</v>
      </c>
      <c r="I17810">
        <v>37514358</v>
      </c>
    </row>
    <row r="17811" spans="1:9" x14ac:dyDescent="0.2">
      <c r="A17811" t="str">
        <f>"Rhox4e"</f>
        <v>Rhox4e</v>
      </c>
      <c r="B17811" t="s">
        <v>14</v>
      </c>
      <c r="C17811" t="s">
        <v>37</v>
      </c>
      <c r="D17811" t="s">
        <v>17</v>
      </c>
      <c r="E17811" t="s">
        <v>12</v>
      </c>
      <c r="F17811">
        <v>37557424</v>
      </c>
      <c r="G17811">
        <v>37557434</v>
      </c>
      <c r="H17811">
        <v>37557424</v>
      </c>
      <c r="I17811">
        <v>37557434</v>
      </c>
    </row>
    <row r="17812" spans="1:9" x14ac:dyDescent="0.2">
      <c r="A17812" t="str">
        <f>"Rhox4f"</f>
        <v>Rhox4f</v>
      </c>
      <c r="B17812" t="s">
        <v>5687</v>
      </c>
      <c r="C17812" t="s">
        <v>37</v>
      </c>
      <c r="D17812" t="s">
        <v>11</v>
      </c>
      <c r="E17812" t="s">
        <v>20</v>
      </c>
      <c r="F17812">
        <v>37607703</v>
      </c>
      <c r="G17812">
        <v>37607703</v>
      </c>
      <c r="H17812">
        <v>37607703</v>
      </c>
      <c r="I17812">
        <v>37607703</v>
      </c>
    </row>
    <row r="17813" spans="1:9" x14ac:dyDescent="0.2">
      <c r="A17813" t="str">
        <f>"Rhox4g"</f>
        <v>Rhox4g</v>
      </c>
      <c r="B17813" t="s">
        <v>14</v>
      </c>
      <c r="C17813" t="s">
        <v>37</v>
      </c>
      <c r="D17813" t="s">
        <v>11</v>
      </c>
      <c r="E17813" t="s">
        <v>12</v>
      </c>
      <c r="F17813">
        <v>37651305</v>
      </c>
      <c r="G17813">
        <v>37651343</v>
      </c>
      <c r="H17813">
        <v>37651305</v>
      </c>
      <c r="I17813">
        <v>37651343</v>
      </c>
    </row>
    <row r="17814" spans="1:9" x14ac:dyDescent="0.2">
      <c r="A17814" t="str">
        <f>"Rhox5"</f>
        <v>Rhox5</v>
      </c>
      <c r="B17814" t="s">
        <v>5688</v>
      </c>
      <c r="C17814" t="s">
        <v>37</v>
      </c>
      <c r="D17814" t="s">
        <v>17</v>
      </c>
      <c r="E17814" t="s">
        <v>20</v>
      </c>
      <c r="F17814">
        <v>37804850</v>
      </c>
      <c r="G17814">
        <v>37804850</v>
      </c>
      <c r="H17814">
        <v>37804850</v>
      </c>
      <c r="I17814">
        <v>37804850</v>
      </c>
    </row>
    <row r="17815" spans="1:9" x14ac:dyDescent="0.2">
      <c r="A17815" t="str">
        <f>"Rhox6"</f>
        <v>Rhox6</v>
      </c>
      <c r="B17815" t="s">
        <v>14</v>
      </c>
      <c r="C17815" t="s">
        <v>37</v>
      </c>
      <c r="D17815" t="s">
        <v>17</v>
      </c>
      <c r="E17815" t="s">
        <v>12</v>
      </c>
      <c r="F17815">
        <v>37827044</v>
      </c>
      <c r="G17815">
        <v>37827047</v>
      </c>
      <c r="H17815">
        <v>37826951</v>
      </c>
      <c r="I17815">
        <v>37826960</v>
      </c>
    </row>
    <row r="17816" spans="1:9" x14ac:dyDescent="0.2">
      <c r="A17816" t="str">
        <f>"Rhox7"</f>
        <v>Rhox7</v>
      </c>
      <c r="B17816" t="s">
        <v>5689</v>
      </c>
      <c r="C17816" t="s">
        <v>37</v>
      </c>
      <c r="D17816" t="s">
        <v>17</v>
      </c>
      <c r="E17816" t="s">
        <v>20</v>
      </c>
      <c r="F17816">
        <v>37831685</v>
      </c>
      <c r="G17816">
        <v>37831685</v>
      </c>
      <c r="H17816">
        <v>37831685</v>
      </c>
      <c r="I17816">
        <v>37831685</v>
      </c>
    </row>
    <row r="17817" spans="1:9" x14ac:dyDescent="0.2">
      <c r="A17817" t="str">
        <f>"Rhox8"</f>
        <v>Rhox8</v>
      </c>
      <c r="B17817" t="s">
        <v>14</v>
      </c>
      <c r="C17817" t="s">
        <v>37</v>
      </c>
      <c r="D17817" t="s">
        <v>11</v>
      </c>
      <c r="E17817" t="s">
        <v>12</v>
      </c>
      <c r="F17817">
        <v>37879033</v>
      </c>
      <c r="G17817">
        <v>37879037</v>
      </c>
      <c r="H17817">
        <v>37878991</v>
      </c>
      <c r="I17817">
        <v>37878995</v>
      </c>
    </row>
    <row r="17818" spans="1:9" x14ac:dyDescent="0.2">
      <c r="A17818" t="str">
        <f>"Rhox9"</f>
        <v>Rhox9</v>
      </c>
      <c r="B17818" t="s">
        <v>5690</v>
      </c>
      <c r="C17818" t="s">
        <v>37</v>
      </c>
      <c r="D17818" t="s">
        <v>11</v>
      </c>
      <c r="E17818" t="s">
        <v>20</v>
      </c>
      <c r="F17818">
        <v>37901866</v>
      </c>
      <c r="G17818">
        <v>37901866</v>
      </c>
      <c r="H17818">
        <v>37901866</v>
      </c>
      <c r="I17818">
        <v>37901866</v>
      </c>
    </row>
    <row r="17819" spans="1:9" x14ac:dyDescent="0.2">
      <c r="A17819" t="str">
        <f>"Rhpn1"</f>
        <v>Rhpn1</v>
      </c>
      <c r="B17819" t="s">
        <v>14</v>
      </c>
      <c r="C17819" t="s">
        <v>25</v>
      </c>
      <c r="D17819" t="s">
        <v>17</v>
      </c>
      <c r="E17819" t="s">
        <v>12</v>
      </c>
      <c r="F17819">
        <v>75704300</v>
      </c>
      <c r="G17819">
        <v>75704317</v>
      </c>
      <c r="H17819">
        <v>75704271</v>
      </c>
      <c r="I17819">
        <v>75704291</v>
      </c>
    </row>
    <row r="17820" spans="1:9" x14ac:dyDescent="0.2">
      <c r="A17820" t="str">
        <f>"Rhpn2"</f>
        <v>Rhpn2</v>
      </c>
      <c r="B17820" t="s">
        <v>14</v>
      </c>
      <c r="C17820" t="s">
        <v>33</v>
      </c>
      <c r="D17820" t="s">
        <v>17</v>
      </c>
      <c r="E17820" t="s">
        <v>12</v>
      </c>
      <c r="F17820">
        <v>35334306</v>
      </c>
      <c r="G17820">
        <v>35334331</v>
      </c>
      <c r="H17820">
        <v>35334199</v>
      </c>
      <c r="I17820">
        <v>35334237</v>
      </c>
    </row>
    <row r="17821" spans="1:9" x14ac:dyDescent="0.2">
      <c r="A17821" t="str">
        <f>"Ribc1"</f>
        <v>Ribc1</v>
      </c>
      <c r="B17821" t="s">
        <v>14</v>
      </c>
      <c r="C17821" t="s">
        <v>37</v>
      </c>
      <c r="D17821" t="s">
        <v>11</v>
      </c>
      <c r="E17821" t="s">
        <v>12</v>
      </c>
      <c r="F17821">
        <v>152016269</v>
      </c>
      <c r="G17821">
        <v>152016302</v>
      </c>
      <c r="H17821">
        <v>152016240</v>
      </c>
      <c r="I17821">
        <v>152016250</v>
      </c>
    </row>
    <row r="17822" spans="1:9" x14ac:dyDescent="0.2">
      <c r="A17822" t="str">
        <f>"Ribc2"</f>
        <v>Ribc2</v>
      </c>
      <c r="B17822" t="s">
        <v>14</v>
      </c>
      <c r="C17822" t="s">
        <v>25</v>
      </c>
      <c r="D17822" t="s">
        <v>17</v>
      </c>
      <c r="E17822" t="s">
        <v>12</v>
      </c>
      <c r="F17822">
        <v>85132080</v>
      </c>
      <c r="G17822">
        <v>85132121</v>
      </c>
      <c r="H17822">
        <v>85132061</v>
      </c>
      <c r="I17822">
        <v>85132078</v>
      </c>
    </row>
    <row r="17823" spans="1:9" x14ac:dyDescent="0.2">
      <c r="A17823" t="str">
        <f>"Ric3"</f>
        <v>Ric3</v>
      </c>
      <c r="B17823" t="s">
        <v>14</v>
      </c>
      <c r="C17823" t="s">
        <v>33</v>
      </c>
      <c r="D17823" t="s">
        <v>11</v>
      </c>
      <c r="E17823" t="s">
        <v>12</v>
      </c>
      <c r="F17823">
        <v>109083284</v>
      </c>
      <c r="G17823">
        <v>109083337</v>
      </c>
      <c r="H17823">
        <v>109083284</v>
      </c>
      <c r="I17823">
        <v>109083337</v>
      </c>
    </row>
    <row r="17824" spans="1:9" x14ac:dyDescent="0.2">
      <c r="A17824" t="str">
        <f>"Ric8"</f>
        <v>Ric8</v>
      </c>
      <c r="B17824" t="s">
        <v>14</v>
      </c>
      <c r="C17824" t="s">
        <v>33</v>
      </c>
      <c r="D17824" t="s">
        <v>17</v>
      </c>
      <c r="E17824" t="s">
        <v>12</v>
      </c>
      <c r="F17824">
        <v>140857388</v>
      </c>
      <c r="G17824">
        <v>140857457</v>
      </c>
      <c r="H17824">
        <v>140857388</v>
      </c>
      <c r="I17824">
        <v>140857457</v>
      </c>
    </row>
    <row r="17825" spans="1:9" x14ac:dyDescent="0.2">
      <c r="A17825" t="str">
        <f>"Ric8b"</f>
        <v>Ric8b</v>
      </c>
      <c r="B17825" t="s">
        <v>14</v>
      </c>
      <c r="C17825" t="s">
        <v>15</v>
      </c>
      <c r="D17825" t="s">
        <v>17</v>
      </c>
      <c r="E17825" t="s">
        <v>12</v>
      </c>
      <c r="F17825">
        <v>84917619</v>
      </c>
      <c r="G17825">
        <v>84917655</v>
      </c>
      <c r="H17825">
        <v>84917556</v>
      </c>
      <c r="I17825">
        <v>84917594</v>
      </c>
    </row>
    <row r="17826" spans="1:9" x14ac:dyDescent="0.2">
      <c r="A17826" t="str">
        <f>"Rictor"</f>
        <v>Rictor</v>
      </c>
      <c r="B17826" t="s">
        <v>14</v>
      </c>
      <c r="C17826" t="s">
        <v>25</v>
      </c>
      <c r="D17826" t="s">
        <v>17</v>
      </c>
      <c r="E17826" t="s">
        <v>12</v>
      </c>
      <c r="F17826">
        <v>6708372</v>
      </c>
      <c r="G17826">
        <v>6708396</v>
      </c>
      <c r="H17826">
        <v>6708173</v>
      </c>
      <c r="I17826">
        <v>6708190</v>
      </c>
    </row>
    <row r="17827" spans="1:9" x14ac:dyDescent="0.2">
      <c r="A17827" t="str">
        <f>"Rif1"</f>
        <v>Rif1</v>
      </c>
      <c r="B17827" t="s">
        <v>14</v>
      </c>
      <c r="C17827" t="s">
        <v>26</v>
      </c>
      <c r="D17827" t="s">
        <v>17</v>
      </c>
      <c r="E17827" t="s">
        <v>12</v>
      </c>
      <c r="F17827">
        <v>52072823</v>
      </c>
      <c r="G17827">
        <v>52072854</v>
      </c>
      <c r="H17827">
        <v>52072861</v>
      </c>
      <c r="I17827">
        <v>52072878</v>
      </c>
    </row>
    <row r="17828" spans="1:9" x14ac:dyDescent="0.2">
      <c r="A17828" t="str">
        <f>"Riiad1"</f>
        <v>Riiad1</v>
      </c>
      <c r="B17828" t="s">
        <v>5691</v>
      </c>
      <c r="C17828" t="s">
        <v>22</v>
      </c>
      <c r="D17828" t="s">
        <v>11</v>
      </c>
      <c r="E17828" t="s">
        <v>20</v>
      </c>
      <c r="F17828">
        <v>94473590</v>
      </c>
      <c r="G17828">
        <v>94473590</v>
      </c>
      <c r="H17828">
        <v>94473590</v>
      </c>
      <c r="I17828">
        <v>94473590</v>
      </c>
    </row>
    <row r="17829" spans="1:9" x14ac:dyDescent="0.2">
      <c r="A17829" t="str">
        <f>"Rilp"</f>
        <v>Rilp</v>
      </c>
      <c r="B17829" t="s">
        <v>14</v>
      </c>
      <c r="C17829" t="s">
        <v>27</v>
      </c>
      <c r="D17829" t="s">
        <v>17</v>
      </c>
      <c r="E17829" t="s">
        <v>12</v>
      </c>
      <c r="F17829">
        <v>75510077</v>
      </c>
      <c r="G17829">
        <v>75510104</v>
      </c>
      <c r="H17829">
        <v>75509950</v>
      </c>
      <c r="I17829">
        <v>75509997</v>
      </c>
    </row>
    <row r="17830" spans="1:9" x14ac:dyDescent="0.2">
      <c r="A17830" t="str">
        <f>"Rilpl1"</f>
        <v>Rilpl1</v>
      </c>
      <c r="B17830" t="s">
        <v>14</v>
      </c>
      <c r="C17830" t="s">
        <v>46</v>
      </c>
      <c r="D17830" t="s">
        <v>11</v>
      </c>
      <c r="E17830" t="s">
        <v>12</v>
      </c>
      <c r="F17830">
        <v>124531308</v>
      </c>
      <c r="G17830">
        <v>124531393</v>
      </c>
      <c r="H17830">
        <v>124530983</v>
      </c>
      <c r="I17830">
        <v>124531040</v>
      </c>
    </row>
    <row r="17831" spans="1:9" x14ac:dyDescent="0.2">
      <c r="A17831" t="str">
        <f>"Rilpl2"</f>
        <v>Rilpl2</v>
      </c>
      <c r="B17831" t="s">
        <v>14</v>
      </c>
      <c r="C17831" t="s">
        <v>46</v>
      </c>
      <c r="D17831" t="s">
        <v>11</v>
      </c>
      <c r="E17831" t="s">
        <v>12</v>
      </c>
      <c r="F17831">
        <v>124478330</v>
      </c>
      <c r="G17831">
        <v>124478384</v>
      </c>
      <c r="H17831">
        <v>124478301</v>
      </c>
      <c r="I17831">
        <v>124478328</v>
      </c>
    </row>
    <row r="17832" spans="1:9" x14ac:dyDescent="0.2">
      <c r="A17832" t="str">
        <f>"Rimbp2"</f>
        <v>Rimbp2</v>
      </c>
      <c r="B17832" t="s">
        <v>14</v>
      </c>
      <c r="C17832" t="s">
        <v>46</v>
      </c>
      <c r="D17832" t="s">
        <v>11</v>
      </c>
      <c r="E17832" t="s">
        <v>12</v>
      </c>
      <c r="F17832">
        <v>128953047</v>
      </c>
      <c r="G17832">
        <v>128953066</v>
      </c>
      <c r="H17832">
        <v>128953303</v>
      </c>
      <c r="I17832">
        <v>128953331</v>
      </c>
    </row>
    <row r="17833" spans="1:9" x14ac:dyDescent="0.2">
      <c r="A17833" t="str">
        <f>"Rimbp3"</f>
        <v>Rimbp3</v>
      </c>
      <c r="B17833" t="s">
        <v>14</v>
      </c>
      <c r="C17833" t="s">
        <v>31</v>
      </c>
      <c r="D17833" t="s">
        <v>17</v>
      </c>
      <c r="E17833" t="s">
        <v>12</v>
      </c>
      <c r="F17833">
        <v>17208603</v>
      </c>
      <c r="G17833">
        <v>17208628</v>
      </c>
      <c r="H17833">
        <v>17208603</v>
      </c>
      <c r="I17833">
        <v>17208628</v>
      </c>
    </row>
    <row r="17834" spans="1:9" x14ac:dyDescent="0.2">
      <c r="A17834" t="str">
        <f>"Rimkla"</f>
        <v>Rimkla</v>
      </c>
      <c r="B17834" t="s">
        <v>14</v>
      </c>
      <c r="C17834" t="s">
        <v>23</v>
      </c>
      <c r="D17834" t="s">
        <v>11</v>
      </c>
      <c r="E17834" t="s">
        <v>12</v>
      </c>
      <c r="F17834">
        <v>119492563</v>
      </c>
      <c r="G17834">
        <v>119492618</v>
      </c>
      <c r="H17834">
        <v>119492547</v>
      </c>
      <c r="I17834">
        <v>119492561</v>
      </c>
    </row>
    <row r="17835" spans="1:9" x14ac:dyDescent="0.2">
      <c r="A17835" t="str">
        <f>"Rimklb"</f>
        <v>Rimklb</v>
      </c>
      <c r="B17835" t="s">
        <v>14</v>
      </c>
      <c r="C17835" t="s">
        <v>32</v>
      </c>
      <c r="D17835" t="s">
        <v>11</v>
      </c>
      <c r="E17835" t="s">
        <v>12</v>
      </c>
      <c r="F17835">
        <v>122486458</v>
      </c>
      <c r="G17835">
        <v>122486556</v>
      </c>
      <c r="H17835">
        <v>122486649</v>
      </c>
      <c r="I17835">
        <v>122486693</v>
      </c>
    </row>
    <row r="17836" spans="1:9" x14ac:dyDescent="0.2">
      <c r="A17836" t="str">
        <f>"Rims1"</f>
        <v>Rims1</v>
      </c>
      <c r="B17836" t="s">
        <v>14</v>
      </c>
      <c r="C17836" t="s">
        <v>19</v>
      </c>
      <c r="D17836" t="s">
        <v>11</v>
      </c>
      <c r="E17836" t="s">
        <v>12</v>
      </c>
      <c r="F17836">
        <v>22806043</v>
      </c>
      <c r="G17836">
        <v>22806102</v>
      </c>
      <c r="H17836">
        <v>22806043</v>
      </c>
      <c r="I17836">
        <v>22806102</v>
      </c>
    </row>
    <row r="17837" spans="1:9" x14ac:dyDescent="0.2">
      <c r="A17837" t="str">
        <f>"Rims2"</f>
        <v>Rims2</v>
      </c>
      <c r="B17837" t="s">
        <v>5692</v>
      </c>
      <c r="C17837" t="s">
        <v>25</v>
      </c>
      <c r="D17837" t="s">
        <v>17</v>
      </c>
      <c r="E17837" t="s">
        <v>35</v>
      </c>
      <c r="F17837">
        <v>39198177</v>
      </c>
      <c r="G17837">
        <v>39198179</v>
      </c>
      <c r="H17837">
        <v>39198347</v>
      </c>
      <c r="I17837">
        <v>39198350</v>
      </c>
    </row>
    <row r="17838" spans="1:9" x14ac:dyDescent="0.2">
      <c r="A17838" t="str">
        <f>"Rims3"</f>
        <v>Rims3</v>
      </c>
      <c r="B17838" t="s">
        <v>14</v>
      </c>
      <c r="C17838" t="s">
        <v>23</v>
      </c>
      <c r="D17838" t="s">
        <v>17</v>
      </c>
      <c r="E17838" t="s">
        <v>12</v>
      </c>
      <c r="F17838">
        <v>120854786</v>
      </c>
      <c r="G17838">
        <v>120854843</v>
      </c>
      <c r="H17838">
        <v>120854847</v>
      </c>
      <c r="I17838">
        <v>120854867</v>
      </c>
    </row>
    <row r="17839" spans="1:9" x14ac:dyDescent="0.2">
      <c r="A17839" t="str">
        <f>"Rims4"</f>
        <v>Rims4</v>
      </c>
      <c r="B17839" t="s">
        <v>14</v>
      </c>
      <c r="C17839" t="s">
        <v>26</v>
      </c>
      <c r="D17839" t="s">
        <v>11</v>
      </c>
      <c r="E17839" t="s">
        <v>12</v>
      </c>
      <c r="F17839">
        <v>163918962</v>
      </c>
      <c r="G17839">
        <v>163918979</v>
      </c>
      <c r="H17839">
        <v>163918962</v>
      </c>
      <c r="I17839">
        <v>163918979</v>
      </c>
    </row>
    <row r="17840" spans="1:9" x14ac:dyDescent="0.2">
      <c r="A17840" t="str">
        <f>"Rin1"</f>
        <v>Rin1</v>
      </c>
      <c r="B17840" t="s">
        <v>14</v>
      </c>
      <c r="C17840" t="s">
        <v>10</v>
      </c>
      <c r="D17840" t="s">
        <v>17</v>
      </c>
      <c r="E17840" t="s">
        <v>12</v>
      </c>
      <c r="F17840">
        <v>5050807</v>
      </c>
      <c r="G17840">
        <v>5050858</v>
      </c>
      <c r="H17840">
        <v>5050807</v>
      </c>
      <c r="I17840">
        <v>5050858</v>
      </c>
    </row>
    <row r="17841" spans="1:9" x14ac:dyDescent="0.2">
      <c r="A17841" t="str">
        <f>"Rin2"</f>
        <v>Rin2</v>
      </c>
      <c r="B17841" t="s">
        <v>14</v>
      </c>
      <c r="C17841" t="s">
        <v>26</v>
      </c>
      <c r="D17841" t="s">
        <v>17</v>
      </c>
      <c r="E17841" t="s">
        <v>12</v>
      </c>
      <c r="F17841">
        <v>145786122</v>
      </c>
      <c r="G17841">
        <v>145786152</v>
      </c>
      <c r="H17841">
        <v>145786122</v>
      </c>
      <c r="I17841">
        <v>145786152</v>
      </c>
    </row>
    <row r="17842" spans="1:9" x14ac:dyDescent="0.2">
      <c r="A17842" t="str">
        <f>"Rin3"</f>
        <v>Rin3</v>
      </c>
      <c r="B17842" t="s">
        <v>14</v>
      </c>
      <c r="C17842" t="s">
        <v>16</v>
      </c>
      <c r="D17842" t="s">
        <v>17</v>
      </c>
      <c r="E17842" t="s">
        <v>12</v>
      </c>
      <c r="F17842">
        <v>102283116</v>
      </c>
      <c r="G17842">
        <v>102283194</v>
      </c>
      <c r="H17842">
        <v>102283116</v>
      </c>
      <c r="I17842">
        <v>102283194</v>
      </c>
    </row>
    <row r="17843" spans="1:9" x14ac:dyDescent="0.2">
      <c r="A17843" t="str">
        <f>"Ring1"</f>
        <v>Ring1</v>
      </c>
      <c r="B17843" t="s">
        <v>14</v>
      </c>
      <c r="C17843" t="s">
        <v>28</v>
      </c>
      <c r="D17843" t="s">
        <v>11</v>
      </c>
      <c r="E17843" t="s">
        <v>12</v>
      </c>
      <c r="F17843">
        <v>34024639</v>
      </c>
      <c r="G17843">
        <v>34024676</v>
      </c>
      <c r="H17843">
        <v>34024639</v>
      </c>
      <c r="I17843">
        <v>34024676</v>
      </c>
    </row>
    <row r="17844" spans="1:9" x14ac:dyDescent="0.2">
      <c r="A17844" t="str">
        <f>"Rinl"</f>
        <v>Rinl</v>
      </c>
      <c r="B17844" t="s">
        <v>14</v>
      </c>
      <c r="C17844" t="s">
        <v>33</v>
      </c>
      <c r="D17844" t="s">
        <v>17</v>
      </c>
      <c r="E17844" t="s">
        <v>12</v>
      </c>
      <c r="F17844">
        <v>28788955</v>
      </c>
      <c r="G17844">
        <v>28788986</v>
      </c>
      <c r="H17844">
        <v>28788939</v>
      </c>
      <c r="I17844">
        <v>28788942</v>
      </c>
    </row>
    <row r="17845" spans="1:9" x14ac:dyDescent="0.2">
      <c r="A17845" t="str">
        <f>"Rint1"</f>
        <v>Rint1</v>
      </c>
      <c r="B17845" t="s">
        <v>14</v>
      </c>
      <c r="C17845" t="s">
        <v>46</v>
      </c>
      <c r="D17845" t="s">
        <v>17</v>
      </c>
      <c r="E17845" t="s">
        <v>12</v>
      </c>
      <c r="F17845">
        <v>23787691</v>
      </c>
      <c r="G17845">
        <v>23787751</v>
      </c>
      <c r="H17845">
        <v>23787757</v>
      </c>
      <c r="I17845">
        <v>23787774</v>
      </c>
    </row>
    <row r="17846" spans="1:9" x14ac:dyDescent="0.2">
      <c r="A17846" t="str">
        <f>"Riok1"</f>
        <v>Riok1</v>
      </c>
      <c r="B17846" t="s">
        <v>14</v>
      </c>
      <c r="C17846" t="s">
        <v>39</v>
      </c>
      <c r="D17846" t="s">
        <v>17</v>
      </c>
      <c r="E17846" t="s">
        <v>12</v>
      </c>
      <c r="F17846">
        <v>38037235</v>
      </c>
      <c r="G17846">
        <v>38037310</v>
      </c>
      <c r="H17846">
        <v>38037434</v>
      </c>
      <c r="I17846">
        <v>38037444</v>
      </c>
    </row>
    <row r="17847" spans="1:9" x14ac:dyDescent="0.2">
      <c r="A17847" t="str">
        <f>"Riok2"</f>
        <v>Riok2</v>
      </c>
      <c r="B17847" t="s">
        <v>14</v>
      </c>
      <c r="C17847" t="s">
        <v>28</v>
      </c>
      <c r="D17847" t="s">
        <v>17</v>
      </c>
      <c r="E17847" t="s">
        <v>12</v>
      </c>
      <c r="F17847">
        <v>17374546</v>
      </c>
      <c r="G17847">
        <v>17374594</v>
      </c>
      <c r="H17847">
        <v>17374519</v>
      </c>
      <c r="I17847">
        <v>17374541</v>
      </c>
    </row>
    <row r="17848" spans="1:9" x14ac:dyDescent="0.2">
      <c r="A17848" t="str">
        <f>"Riok3"</f>
        <v>Riok3</v>
      </c>
      <c r="B17848" t="s">
        <v>14</v>
      </c>
      <c r="C17848" t="s">
        <v>43</v>
      </c>
      <c r="D17848" t="s">
        <v>17</v>
      </c>
      <c r="E17848" t="s">
        <v>12</v>
      </c>
      <c r="F17848">
        <v>12128742</v>
      </c>
      <c r="G17848">
        <v>12128807</v>
      </c>
      <c r="H17848">
        <v>12128813</v>
      </c>
      <c r="I17848">
        <v>12128828</v>
      </c>
    </row>
    <row r="17849" spans="1:9" x14ac:dyDescent="0.2">
      <c r="A17849" t="str">
        <f>"Ripk1"</f>
        <v>Ripk1</v>
      </c>
      <c r="B17849" t="s">
        <v>14</v>
      </c>
      <c r="C17849" t="s">
        <v>39</v>
      </c>
      <c r="D17849" t="s">
        <v>17</v>
      </c>
      <c r="E17849" t="s">
        <v>12</v>
      </c>
      <c r="F17849">
        <v>34002375</v>
      </c>
      <c r="G17849">
        <v>34002423</v>
      </c>
      <c r="H17849">
        <v>34002430</v>
      </c>
      <c r="I17849">
        <v>34002441</v>
      </c>
    </row>
    <row r="17850" spans="1:9" x14ac:dyDescent="0.2">
      <c r="A17850" t="str">
        <f>"Ripk2"</f>
        <v>Ripk2</v>
      </c>
      <c r="B17850" t="s">
        <v>14</v>
      </c>
      <c r="C17850" t="s">
        <v>23</v>
      </c>
      <c r="D17850" t="s">
        <v>11</v>
      </c>
      <c r="E17850" t="s">
        <v>12</v>
      </c>
      <c r="F17850">
        <v>16163512</v>
      </c>
      <c r="G17850">
        <v>16163533</v>
      </c>
      <c r="H17850">
        <v>16163492</v>
      </c>
      <c r="I17850">
        <v>16163505</v>
      </c>
    </row>
    <row r="17851" spans="1:9" x14ac:dyDescent="0.2">
      <c r="A17851" t="str">
        <f>"Ripk3"</f>
        <v>Ripk3</v>
      </c>
      <c r="B17851" t="s">
        <v>14</v>
      </c>
      <c r="C17851" t="s">
        <v>41</v>
      </c>
      <c r="D17851" t="s">
        <v>11</v>
      </c>
      <c r="E17851" t="s">
        <v>12</v>
      </c>
      <c r="F17851">
        <v>55788830</v>
      </c>
      <c r="G17851">
        <v>55788871</v>
      </c>
      <c r="H17851">
        <v>55788810</v>
      </c>
      <c r="I17851">
        <v>55788828</v>
      </c>
    </row>
    <row r="17852" spans="1:9" x14ac:dyDescent="0.2">
      <c r="A17852" t="str">
        <f>"Ripk4"</f>
        <v>Ripk4</v>
      </c>
      <c r="B17852" t="s">
        <v>14</v>
      </c>
      <c r="C17852" t="s">
        <v>31</v>
      </c>
      <c r="D17852" t="s">
        <v>11</v>
      </c>
      <c r="E17852" t="s">
        <v>12</v>
      </c>
      <c r="F17852">
        <v>97763712</v>
      </c>
      <c r="G17852">
        <v>97763780</v>
      </c>
      <c r="H17852">
        <v>97763449</v>
      </c>
      <c r="I17852">
        <v>97763472</v>
      </c>
    </row>
    <row r="17853" spans="1:9" x14ac:dyDescent="0.2">
      <c r="A17853" t="str">
        <f>"Ripply1"</f>
        <v>Ripply1</v>
      </c>
      <c r="B17853" t="s">
        <v>14</v>
      </c>
      <c r="C17853" t="s">
        <v>37</v>
      </c>
      <c r="D17853" t="s">
        <v>11</v>
      </c>
      <c r="E17853" t="s">
        <v>12</v>
      </c>
      <c r="F17853">
        <v>139782359</v>
      </c>
      <c r="G17853">
        <v>139782368</v>
      </c>
      <c r="H17853">
        <v>139782359</v>
      </c>
      <c r="I17853">
        <v>139782368</v>
      </c>
    </row>
    <row r="17854" spans="1:9" x14ac:dyDescent="0.2">
      <c r="A17854" t="str">
        <f>"Ripply2"</f>
        <v>Ripply2</v>
      </c>
      <c r="B17854" t="s">
        <v>14</v>
      </c>
      <c r="C17854" t="s">
        <v>24</v>
      </c>
      <c r="D17854" t="s">
        <v>17</v>
      </c>
      <c r="E17854" t="s">
        <v>12</v>
      </c>
      <c r="F17854">
        <v>87015414</v>
      </c>
      <c r="G17854">
        <v>87015424</v>
      </c>
      <c r="H17854">
        <v>87015452</v>
      </c>
      <c r="I17854">
        <v>87015463</v>
      </c>
    </row>
    <row r="17855" spans="1:9" x14ac:dyDescent="0.2">
      <c r="A17855" t="str">
        <f>"Ripply3"</f>
        <v>Ripply3</v>
      </c>
      <c r="B17855" t="s">
        <v>14</v>
      </c>
      <c r="C17855" t="s">
        <v>31</v>
      </c>
      <c r="D17855" t="s">
        <v>17</v>
      </c>
      <c r="E17855" t="s">
        <v>12</v>
      </c>
      <c r="F17855">
        <v>94328424</v>
      </c>
      <c r="G17855">
        <v>94328439</v>
      </c>
      <c r="H17855">
        <v>94328392</v>
      </c>
      <c r="I17855">
        <v>94328411</v>
      </c>
    </row>
    <row r="17856" spans="1:9" x14ac:dyDescent="0.2">
      <c r="A17856" t="str">
        <f>"Rit1"</f>
        <v>Rit1</v>
      </c>
      <c r="B17856" t="s">
        <v>14</v>
      </c>
      <c r="C17856" t="s">
        <v>22</v>
      </c>
      <c r="D17856" t="s">
        <v>17</v>
      </c>
      <c r="E17856" t="s">
        <v>12</v>
      </c>
      <c r="F17856">
        <v>88716838</v>
      </c>
      <c r="G17856">
        <v>88716883</v>
      </c>
      <c r="H17856">
        <v>88716884</v>
      </c>
      <c r="I17856">
        <v>88716905</v>
      </c>
    </row>
    <row r="17857" spans="1:9" x14ac:dyDescent="0.2">
      <c r="A17857" t="str">
        <f>"Rit2"</f>
        <v>Rit2</v>
      </c>
      <c r="B17857" t="s">
        <v>14</v>
      </c>
      <c r="C17857" t="s">
        <v>43</v>
      </c>
      <c r="D17857" t="s">
        <v>11</v>
      </c>
      <c r="E17857" t="s">
        <v>12</v>
      </c>
      <c r="F17857">
        <v>31317043</v>
      </c>
      <c r="G17857">
        <v>31317128</v>
      </c>
      <c r="H17857">
        <v>31317043</v>
      </c>
      <c r="I17857">
        <v>31317128</v>
      </c>
    </row>
    <row r="17858" spans="1:9" x14ac:dyDescent="0.2">
      <c r="A17858" t="str">
        <f>"Rlbp1"</f>
        <v>Rlbp1</v>
      </c>
      <c r="B17858" t="s">
        <v>14</v>
      </c>
      <c r="C17858" t="s">
        <v>33</v>
      </c>
      <c r="D17858" t="s">
        <v>11</v>
      </c>
      <c r="E17858" t="s">
        <v>12</v>
      </c>
      <c r="F17858">
        <v>79386707</v>
      </c>
      <c r="G17858">
        <v>79386762</v>
      </c>
      <c r="H17858">
        <v>79386943</v>
      </c>
      <c r="I17858">
        <v>79386981</v>
      </c>
    </row>
    <row r="17859" spans="1:9" x14ac:dyDescent="0.2">
      <c r="A17859" t="str">
        <f>"Rlf"</f>
        <v>Rlf</v>
      </c>
      <c r="B17859" t="s">
        <v>14</v>
      </c>
      <c r="C17859" t="s">
        <v>23</v>
      </c>
      <c r="D17859" t="s">
        <v>11</v>
      </c>
      <c r="E17859" t="s">
        <v>12</v>
      </c>
      <c r="F17859">
        <v>121215071</v>
      </c>
      <c r="G17859">
        <v>121215114</v>
      </c>
      <c r="H17859">
        <v>121214876</v>
      </c>
      <c r="I17859">
        <v>121214887</v>
      </c>
    </row>
    <row r="17860" spans="1:9" x14ac:dyDescent="0.2">
      <c r="A17860" t="str">
        <f>"Rlim"</f>
        <v>Rlim</v>
      </c>
      <c r="B17860" t="s">
        <v>14</v>
      </c>
      <c r="C17860" t="s">
        <v>37</v>
      </c>
      <c r="D17860" t="s">
        <v>11</v>
      </c>
      <c r="E17860" t="s">
        <v>12</v>
      </c>
      <c r="F17860">
        <v>103981242</v>
      </c>
      <c r="G17860">
        <v>103981287</v>
      </c>
      <c r="H17860">
        <v>103981168</v>
      </c>
      <c r="I17860">
        <v>103981181</v>
      </c>
    </row>
    <row r="17861" spans="1:9" x14ac:dyDescent="0.2">
      <c r="A17861" t="str">
        <f>"Rln1"</f>
        <v>Rln1</v>
      </c>
      <c r="B17861" t="s">
        <v>14</v>
      </c>
      <c r="C17861" t="s">
        <v>10</v>
      </c>
      <c r="D17861" t="s">
        <v>11</v>
      </c>
      <c r="E17861" t="s">
        <v>12</v>
      </c>
      <c r="F17861">
        <v>29334646</v>
      </c>
      <c r="G17861">
        <v>29334652</v>
      </c>
      <c r="H17861">
        <v>29334646</v>
      </c>
      <c r="I17861">
        <v>29334652</v>
      </c>
    </row>
    <row r="17862" spans="1:9" x14ac:dyDescent="0.2">
      <c r="A17862" t="str">
        <f>"Rln3"</f>
        <v>Rln3</v>
      </c>
      <c r="B17862" t="s">
        <v>14</v>
      </c>
      <c r="C17862" t="s">
        <v>30</v>
      </c>
      <c r="D17862" t="s">
        <v>11</v>
      </c>
      <c r="E17862" t="s">
        <v>12</v>
      </c>
      <c r="F17862">
        <v>84044982</v>
      </c>
      <c r="G17862">
        <v>84044995</v>
      </c>
      <c r="H17862">
        <v>84045060</v>
      </c>
      <c r="I17862">
        <v>84045089</v>
      </c>
    </row>
    <row r="17863" spans="1:9" x14ac:dyDescent="0.2">
      <c r="A17863" t="str">
        <f>"Rltpr"</f>
        <v>Rltpr</v>
      </c>
      <c r="B17863" t="s">
        <v>14</v>
      </c>
      <c r="C17863" t="s">
        <v>30</v>
      </c>
      <c r="D17863" t="s">
        <v>17</v>
      </c>
      <c r="E17863" t="s">
        <v>12</v>
      </c>
      <c r="F17863">
        <v>105686146</v>
      </c>
      <c r="G17863">
        <v>105686228</v>
      </c>
      <c r="H17863">
        <v>105686231</v>
      </c>
      <c r="I17863">
        <v>105686270</v>
      </c>
    </row>
    <row r="17864" spans="1:9" x14ac:dyDescent="0.2">
      <c r="A17864" t="str">
        <f>"Rmdn1"</f>
        <v>Rmdn1</v>
      </c>
      <c r="B17864" t="s">
        <v>14</v>
      </c>
      <c r="C17864" t="s">
        <v>23</v>
      </c>
      <c r="D17864" t="s">
        <v>17</v>
      </c>
      <c r="E17864" t="s">
        <v>67</v>
      </c>
      <c r="F17864">
        <v>19575139</v>
      </c>
      <c r="G17864">
        <v>19575216</v>
      </c>
      <c r="H17864">
        <v>19575050</v>
      </c>
      <c r="I17864">
        <v>19575092</v>
      </c>
    </row>
    <row r="17865" spans="1:9" x14ac:dyDescent="0.2">
      <c r="A17865" t="str">
        <f>"Rmdn2"</f>
        <v>Rmdn2</v>
      </c>
      <c r="B17865" t="s">
        <v>14</v>
      </c>
      <c r="C17865" t="s">
        <v>28</v>
      </c>
      <c r="D17865" t="s">
        <v>17</v>
      </c>
      <c r="E17865" t="s">
        <v>67</v>
      </c>
      <c r="F17865">
        <v>79615236</v>
      </c>
      <c r="G17865">
        <v>79615252</v>
      </c>
      <c r="H17865">
        <v>79615208</v>
      </c>
      <c r="I17865">
        <v>79615231</v>
      </c>
    </row>
    <row r="17866" spans="1:9" x14ac:dyDescent="0.2">
      <c r="A17866" t="str">
        <f>"Rmdn3"</f>
        <v>Rmdn3</v>
      </c>
      <c r="B17866" t="s">
        <v>14</v>
      </c>
      <c r="C17866" t="s">
        <v>26</v>
      </c>
      <c r="D17866" t="s">
        <v>11</v>
      </c>
      <c r="E17866" t="s">
        <v>67</v>
      </c>
      <c r="F17866">
        <v>119156936</v>
      </c>
      <c r="G17866">
        <v>119156986</v>
      </c>
      <c r="H17866">
        <v>119156996</v>
      </c>
      <c r="I17866">
        <v>119157001</v>
      </c>
    </row>
    <row r="17867" spans="1:9" x14ac:dyDescent="0.2">
      <c r="A17867" t="str">
        <f>"Rmi1"</f>
        <v>Rmi1</v>
      </c>
      <c r="B17867" t="s">
        <v>14</v>
      </c>
      <c r="C17867" t="s">
        <v>39</v>
      </c>
      <c r="D17867" t="s">
        <v>17</v>
      </c>
      <c r="E17867" t="s">
        <v>12</v>
      </c>
      <c r="F17867">
        <v>58402233</v>
      </c>
      <c r="G17867">
        <v>58402261</v>
      </c>
      <c r="H17867">
        <v>58402594</v>
      </c>
      <c r="I17867">
        <v>58402666</v>
      </c>
    </row>
    <row r="17868" spans="1:9" x14ac:dyDescent="0.2">
      <c r="A17868" t="str">
        <f>"Rmi2"</f>
        <v>Rmi2</v>
      </c>
      <c r="B17868" t="s">
        <v>14</v>
      </c>
      <c r="C17868" t="s">
        <v>31</v>
      </c>
      <c r="D17868" t="s">
        <v>17</v>
      </c>
      <c r="E17868" t="s">
        <v>67</v>
      </c>
      <c r="F17868">
        <v>10835046</v>
      </c>
      <c r="G17868">
        <v>10835084</v>
      </c>
      <c r="H17868">
        <v>10835086</v>
      </c>
      <c r="I17868">
        <v>10835093</v>
      </c>
    </row>
    <row r="17869" spans="1:9" x14ac:dyDescent="0.2">
      <c r="A17869" t="str">
        <f>"Rmnd1"</f>
        <v>Rmnd1</v>
      </c>
      <c r="B17869" t="s">
        <v>14</v>
      </c>
      <c r="C17869" t="s">
        <v>15</v>
      </c>
      <c r="D17869" t="s">
        <v>11</v>
      </c>
      <c r="E17869" t="s">
        <v>12</v>
      </c>
      <c r="F17869">
        <v>4432312</v>
      </c>
      <c r="G17869">
        <v>4432341</v>
      </c>
      <c r="H17869">
        <v>4432285</v>
      </c>
      <c r="I17869">
        <v>4432302</v>
      </c>
    </row>
    <row r="17870" spans="1:9" x14ac:dyDescent="0.2">
      <c r="A17870" t="str">
        <f>"Rmnd5a"</f>
        <v>Rmnd5a</v>
      </c>
      <c r="B17870" t="s">
        <v>14</v>
      </c>
      <c r="C17870" t="s">
        <v>32</v>
      </c>
      <c r="D17870" t="s">
        <v>11</v>
      </c>
      <c r="E17870" t="s">
        <v>12</v>
      </c>
      <c r="F17870">
        <v>71440465</v>
      </c>
      <c r="G17870">
        <v>71440523</v>
      </c>
      <c r="H17870">
        <v>71440465</v>
      </c>
      <c r="I17870">
        <v>71440523</v>
      </c>
    </row>
    <row r="17871" spans="1:9" x14ac:dyDescent="0.2">
      <c r="A17871" t="str">
        <f>"Rmnd5b"</f>
        <v>Rmnd5b</v>
      </c>
      <c r="B17871" t="s">
        <v>14</v>
      </c>
      <c r="C17871" t="s">
        <v>27</v>
      </c>
      <c r="D17871" t="s">
        <v>11</v>
      </c>
      <c r="E17871" t="s">
        <v>12</v>
      </c>
      <c r="F17871">
        <v>51635722</v>
      </c>
      <c r="G17871">
        <v>51635784</v>
      </c>
      <c r="H17871">
        <v>51635870</v>
      </c>
      <c r="I17871">
        <v>51635891</v>
      </c>
    </row>
    <row r="17872" spans="1:9" x14ac:dyDescent="0.2">
      <c r="A17872" t="str">
        <f>"Rnase1"</f>
        <v>Rnase1</v>
      </c>
      <c r="B17872" t="s">
        <v>14</v>
      </c>
      <c r="C17872" t="s">
        <v>41</v>
      </c>
      <c r="D17872" t="s">
        <v>11</v>
      </c>
      <c r="E17872" t="s">
        <v>12</v>
      </c>
      <c r="F17872">
        <v>51146757</v>
      </c>
      <c r="G17872">
        <v>51146775</v>
      </c>
      <c r="H17872">
        <v>51146779</v>
      </c>
      <c r="I17872">
        <v>51146790</v>
      </c>
    </row>
    <row r="17873" spans="1:9" x14ac:dyDescent="0.2">
      <c r="A17873" t="str">
        <f>"Rnase10"</f>
        <v>Rnase10</v>
      </c>
      <c r="B17873" t="s">
        <v>14</v>
      </c>
      <c r="C17873" t="s">
        <v>41</v>
      </c>
      <c r="D17873" t="s">
        <v>17</v>
      </c>
      <c r="E17873" t="s">
        <v>12</v>
      </c>
      <c r="F17873">
        <v>51007950</v>
      </c>
      <c r="G17873">
        <v>51007975</v>
      </c>
      <c r="H17873">
        <v>51007941</v>
      </c>
      <c r="I17873">
        <v>51007948</v>
      </c>
    </row>
    <row r="17874" spans="1:9" x14ac:dyDescent="0.2">
      <c r="A17874" t="str">
        <f>"Rnase11"</f>
        <v>Rnase11</v>
      </c>
      <c r="B17874" t="s">
        <v>5693</v>
      </c>
      <c r="C17874" t="s">
        <v>41</v>
      </c>
      <c r="D17874" t="s">
        <v>11</v>
      </c>
      <c r="E17874" t="s">
        <v>20</v>
      </c>
      <c r="F17874">
        <v>51050162</v>
      </c>
      <c r="G17874">
        <v>51050162</v>
      </c>
      <c r="H17874">
        <v>51050162</v>
      </c>
      <c r="I17874">
        <v>51050162</v>
      </c>
    </row>
    <row r="17875" spans="1:9" x14ac:dyDescent="0.2">
      <c r="A17875" t="str">
        <f>"Rnase12"</f>
        <v>Rnase12</v>
      </c>
      <c r="B17875" t="s">
        <v>14</v>
      </c>
      <c r="C17875" t="s">
        <v>41</v>
      </c>
      <c r="D17875" t="s">
        <v>11</v>
      </c>
      <c r="E17875" t="s">
        <v>12</v>
      </c>
      <c r="F17875">
        <v>51057611</v>
      </c>
      <c r="G17875">
        <v>51057628</v>
      </c>
      <c r="H17875">
        <v>51057611</v>
      </c>
      <c r="I17875">
        <v>51057628</v>
      </c>
    </row>
    <row r="17876" spans="1:9" x14ac:dyDescent="0.2">
      <c r="A17876" t="str">
        <f>"Rnase13"</f>
        <v>Rnase13</v>
      </c>
      <c r="B17876" t="s">
        <v>14</v>
      </c>
      <c r="C17876" t="s">
        <v>41</v>
      </c>
      <c r="D17876" t="s">
        <v>11</v>
      </c>
      <c r="E17876" t="s">
        <v>12</v>
      </c>
      <c r="F17876">
        <v>51923053</v>
      </c>
      <c r="G17876">
        <v>51923080</v>
      </c>
      <c r="H17876">
        <v>51923053</v>
      </c>
      <c r="I17876">
        <v>51923080</v>
      </c>
    </row>
    <row r="17877" spans="1:9" x14ac:dyDescent="0.2">
      <c r="A17877" t="str">
        <f>"Rnase4"</f>
        <v>Rnase4</v>
      </c>
      <c r="B17877" t="s">
        <v>9</v>
      </c>
      <c r="C17877" t="s">
        <v>41</v>
      </c>
      <c r="D17877" t="s">
        <v>17</v>
      </c>
      <c r="E17877" t="s">
        <v>12</v>
      </c>
      <c r="F17877">
        <v>51096388</v>
      </c>
      <c r="G17877">
        <v>51096408</v>
      </c>
      <c r="H17877">
        <v>51096388</v>
      </c>
      <c r="I17877">
        <v>51096408</v>
      </c>
    </row>
    <row r="17878" spans="1:9" x14ac:dyDescent="0.2">
      <c r="A17878" t="str">
        <f>"Rnase4"</f>
        <v>Rnase4</v>
      </c>
      <c r="B17878" t="s">
        <v>13</v>
      </c>
      <c r="C17878" t="s">
        <v>41</v>
      </c>
      <c r="D17878" t="s">
        <v>17</v>
      </c>
      <c r="E17878" t="s">
        <v>12</v>
      </c>
      <c r="F17878">
        <v>51091089</v>
      </c>
      <c r="G17878">
        <v>51091160</v>
      </c>
      <c r="H17878">
        <v>51091089</v>
      </c>
      <c r="I17878">
        <v>51091160</v>
      </c>
    </row>
    <row r="17879" spans="1:9" x14ac:dyDescent="0.2">
      <c r="A17879" t="str">
        <f>"Rnase6"</f>
        <v>Rnase6</v>
      </c>
      <c r="B17879" t="s">
        <v>14</v>
      </c>
      <c r="C17879" t="s">
        <v>41</v>
      </c>
      <c r="D17879" t="s">
        <v>17</v>
      </c>
      <c r="E17879" t="s">
        <v>12</v>
      </c>
      <c r="F17879">
        <v>51129055</v>
      </c>
      <c r="G17879">
        <v>51129072</v>
      </c>
      <c r="H17879">
        <v>51129085</v>
      </c>
      <c r="I17879">
        <v>51129113</v>
      </c>
    </row>
    <row r="17880" spans="1:9" x14ac:dyDescent="0.2">
      <c r="A17880" t="str">
        <f>"Rnase9"</f>
        <v>Rnase9</v>
      </c>
      <c r="B17880" t="s">
        <v>14</v>
      </c>
      <c r="C17880" t="s">
        <v>41</v>
      </c>
      <c r="D17880" t="s">
        <v>11</v>
      </c>
      <c r="E17880" t="s">
        <v>12</v>
      </c>
      <c r="F17880">
        <v>51041861</v>
      </c>
      <c r="G17880">
        <v>51041879</v>
      </c>
      <c r="H17880">
        <v>51041861</v>
      </c>
      <c r="I17880">
        <v>51041879</v>
      </c>
    </row>
    <row r="17881" spans="1:9" x14ac:dyDescent="0.2">
      <c r="A17881" t="str">
        <f>"Rnaseh1"</f>
        <v>Rnaseh1</v>
      </c>
      <c r="B17881" t="s">
        <v>14</v>
      </c>
      <c r="C17881" t="s">
        <v>16</v>
      </c>
      <c r="D17881" t="s">
        <v>17</v>
      </c>
      <c r="E17881" t="s">
        <v>12</v>
      </c>
      <c r="F17881">
        <v>28649601</v>
      </c>
      <c r="G17881">
        <v>28649649</v>
      </c>
      <c r="H17881">
        <v>28649652</v>
      </c>
      <c r="I17881">
        <v>28649670</v>
      </c>
    </row>
    <row r="17882" spans="1:9" x14ac:dyDescent="0.2">
      <c r="A17882" t="str">
        <f>"Rnaseh2a"</f>
        <v>Rnaseh2a</v>
      </c>
      <c r="B17882" t="s">
        <v>9</v>
      </c>
      <c r="C17882" t="s">
        <v>30</v>
      </c>
      <c r="D17882" t="s">
        <v>11</v>
      </c>
      <c r="E17882" t="s">
        <v>12</v>
      </c>
      <c r="F17882">
        <v>84966008</v>
      </c>
      <c r="G17882">
        <v>84966091</v>
      </c>
      <c r="H17882">
        <v>84966008</v>
      </c>
      <c r="I17882">
        <v>84966091</v>
      </c>
    </row>
    <row r="17883" spans="1:9" x14ac:dyDescent="0.2">
      <c r="A17883" t="str">
        <f>"Rnaseh2a"</f>
        <v>Rnaseh2a</v>
      </c>
      <c r="B17883" t="s">
        <v>13</v>
      </c>
      <c r="C17883" t="s">
        <v>30</v>
      </c>
      <c r="D17883" t="s">
        <v>11</v>
      </c>
      <c r="E17883" t="s">
        <v>12</v>
      </c>
      <c r="F17883">
        <v>84969412</v>
      </c>
      <c r="G17883">
        <v>84969481</v>
      </c>
      <c r="H17883">
        <v>84969412</v>
      </c>
      <c r="I17883">
        <v>84969481</v>
      </c>
    </row>
    <row r="17884" spans="1:9" x14ac:dyDescent="0.2">
      <c r="A17884" t="str">
        <f>"Rnaseh2b"</f>
        <v>Rnaseh2b</v>
      </c>
      <c r="B17884" t="s">
        <v>14</v>
      </c>
      <c r="C17884" t="s">
        <v>41</v>
      </c>
      <c r="D17884" t="s">
        <v>17</v>
      </c>
      <c r="E17884" t="s">
        <v>12</v>
      </c>
      <c r="F17884">
        <v>62332085</v>
      </c>
      <c r="G17884">
        <v>62332110</v>
      </c>
      <c r="H17884">
        <v>62332085</v>
      </c>
      <c r="I17884">
        <v>62332110</v>
      </c>
    </row>
    <row r="17885" spans="1:9" x14ac:dyDescent="0.2">
      <c r="A17885" t="str">
        <f>"Rnaseh2c"</f>
        <v>Rnaseh2c</v>
      </c>
      <c r="B17885" t="s">
        <v>14</v>
      </c>
      <c r="C17885" t="s">
        <v>10</v>
      </c>
      <c r="D17885" t="s">
        <v>17</v>
      </c>
      <c r="E17885" t="s">
        <v>12</v>
      </c>
      <c r="F17885">
        <v>5601854</v>
      </c>
      <c r="G17885">
        <v>5601916</v>
      </c>
      <c r="H17885">
        <v>5601841</v>
      </c>
      <c r="I17885">
        <v>5601852</v>
      </c>
    </row>
    <row r="17886" spans="1:9" x14ac:dyDescent="0.2">
      <c r="A17886" t="str">
        <f>"Rnasek"</f>
        <v>Rnasek</v>
      </c>
      <c r="B17886" t="s">
        <v>14</v>
      </c>
      <c r="C17886" t="s">
        <v>27</v>
      </c>
      <c r="D17886" t="s">
        <v>11</v>
      </c>
      <c r="E17886" t="s">
        <v>12</v>
      </c>
      <c r="F17886">
        <v>70239794</v>
      </c>
      <c r="G17886">
        <v>70239860</v>
      </c>
      <c r="H17886">
        <v>70239766</v>
      </c>
      <c r="I17886">
        <v>70239772</v>
      </c>
    </row>
    <row r="17887" spans="1:9" x14ac:dyDescent="0.2">
      <c r="A17887" t="str">
        <f>"Rnasel"</f>
        <v>Rnasel</v>
      </c>
      <c r="B17887" t="s">
        <v>9</v>
      </c>
      <c r="C17887" t="s">
        <v>19</v>
      </c>
      <c r="D17887" t="s">
        <v>17</v>
      </c>
      <c r="E17887" t="s">
        <v>12</v>
      </c>
      <c r="F17887">
        <v>153749449</v>
      </c>
      <c r="G17887">
        <v>153749491</v>
      </c>
      <c r="H17887">
        <v>153749449</v>
      </c>
      <c r="I17887">
        <v>153749491</v>
      </c>
    </row>
    <row r="17888" spans="1:9" x14ac:dyDescent="0.2">
      <c r="A17888" t="str">
        <f>"Rnasel"</f>
        <v>Rnasel</v>
      </c>
      <c r="B17888" t="s">
        <v>13</v>
      </c>
      <c r="C17888" t="s">
        <v>19</v>
      </c>
      <c r="D17888" t="s">
        <v>17</v>
      </c>
      <c r="E17888" t="s">
        <v>12</v>
      </c>
      <c r="F17888">
        <v>153752002</v>
      </c>
      <c r="G17888">
        <v>153752034</v>
      </c>
      <c r="H17888">
        <v>153752002</v>
      </c>
      <c r="I17888">
        <v>153752034</v>
      </c>
    </row>
    <row r="17889" spans="1:9" x14ac:dyDescent="0.2">
      <c r="A17889" t="str">
        <f>"Rnaset2a"</f>
        <v>Rnaset2a</v>
      </c>
      <c r="B17889" t="s">
        <v>5694</v>
      </c>
      <c r="C17889" t="s">
        <v>28</v>
      </c>
      <c r="D17889" t="s">
        <v>11</v>
      </c>
      <c r="E17889" t="s">
        <v>20</v>
      </c>
      <c r="F17889">
        <v>8148096</v>
      </c>
      <c r="G17889">
        <v>8148096</v>
      </c>
      <c r="H17889">
        <v>8148096</v>
      </c>
      <c r="I17889">
        <v>8148096</v>
      </c>
    </row>
    <row r="17890" spans="1:9" x14ac:dyDescent="0.2">
      <c r="A17890" t="str">
        <f>"Rnaset2b"</f>
        <v>Rnaset2b</v>
      </c>
      <c r="B17890" t="s">
        <v>14</v>
      </c>
      <c r="C17890" t="s">
        <v>28</v>
      </c>
      <c r="D17890" t="s">
        <v>17</v>
      </c>
      <c r="E17890" t="s">
        <v>12</v>
      </c>
      <c r="F17890">
        <v>6978893</v>
      </c>
      <c r="G17890">
        <v>6978912</v>
      </c>
      <c r="H17890">
        <v>6978963</v>
      </c>
      <c r="I17890">
        <v>6978986</v>
      </c>
    </row>
    <row r="17891" spans="1:9" x14ac:dyDescent="0.2">
      <c r="A17891" t="str">
        <f>"Rnd1"</f>
        <v>Rnd1</v>
      </c>
      <c r="B17891" t="s">
        <v>14</v>
      </c>
      <c r="C17891" t="s">
        <v>25</v>
      </c>
      <c r="D17891" t="s">
        <v>11</v>
      </c>
      <c r="E17891" t="s">
        <v>12</v>
      </c>
      <c r="F17891">
        <v>98677451</v>
      </c>
      <c r="G17891">
        <v>98677467</v>
      </c>
      <c r="H17891">
        <v>98677451</v>
      </c>
      <c r="I17891">
        <v>98677467</v>
      </c>
    </row>
    <row r="17892" spans="1:9" x14ac:dyDescent="0.2">
      <c r="A17892" t="str">
        <f>"Rnd2"</f>
        <v>Rnd2</v>
      </c>
      <c r="B17892" t="s">
        <v>14</v>
      </c>
      <c r="C17892" t="s">
        <v>27</v>
      </c>
      <c r="D17892" t="s">
        <v>17</v>
      </c>
      <c r="E17892" t="s">
        <v>12</v>
      </c>
      <c r="F17892">
        <v>101468200</v>
      </c>
      <c r="G17892">
        <v>101468235</v>
      </c>
      <c r="H17892">
        <v>101468236</v>
      </c>
      <c r="I17892">
        <v>101468249</v>
      </c>
    </row>
    <row r="17893" spans="1:9" x14ac:dyDescent="0.2">
      <c r="A17893" t="str">
        <f>"Rnd3"</f>
        <v>Rnd3</v>
      </c>
      <c r="B17893" t="s">
        <v>14</v>
      </c>
      <c r="C17893" t="s">
        <v>26</v>
      </c>
      <c r="D17893" t="s">
        <v>11</v>
      </c>
      <c r="E17893" t="s">
        <v>12</v>
      </c>
      <c r="F17893">
        <v>51149100</v>
      </c>
      <c r="G17893">
        <v>51149115</v>
      </c>
      <c r="H17893">
        <v>51149100</v>
      </c>
      <c r="I17893">
        <v>51149115</v>
      </c>
    </row>
    <row r="17894" spans="1:9" x14ac:dyDescent="0.2">
      <c r="A17894" t="str">
        <f>"Rnf10"</f>
        <v>Rnf10</v>
      </c>
      <c r="B17894" t="s">
        <v>14</v>
      </c>
      <c r="C17894" t="s">
        <v>46</v>
      </c>
      <c r="D17894" t="s">
        <v>11</v>
      </c>
      <c r="E17894" t="s">
        <v>12</v>
      </c>
      <c r="F17894">
        <v>115272883</v>
      </c>
      <c r="G17894">
        <v>115272903</v>
      </c>
      <c r="H17894">
        <v>115272485</v>
      </c>
      <c r="I17894">
        <v>115272524</v>
      </c>
    </row>
    <row r="17895" spans="1:9" x14ac:dyDescent="0.2">
      <c r="A17895" t="str">
        <f>"Rnf103"</f>
        <v>Rnf103</v>
      </c>
      <c r="B17895" t="s">
        <v>14</v>
      </c>
      <c r="C17895" t="s">
        <v>32</v>
      </c>
      <c r="D17895" t="s">
        <v>17</v>
      </c>
      <c r="E17895" t="s">
        <v>12</v>
      </c>
      <c r="F17895">
        <v>71493850</v>
      </c>
      <c r="G17895">
        <v>71493918</v>
      </c>
      <c r="H17895">
        <v>71493936</v>
      </c>
      <c r="I17895">
        <v>71493943</v>
      </c>
    </row>
    <row r="17896" spans="1:9" x14ac:dyDescent="0.2">
      <c r="A17896" t="str">
        <f>"Rnf11"</f>
        <v>Rnf11</v>
      </c>
      <c r="B17896" t="s">
        <v>14</v>
      </c>
      <c r="C17896" t="s">
        <v>23</v>
      </c>
      <c r="D17896" t="s">
        <v>11</v>
      </c>
      <c r="E17896" t="s">
        <v>12</v>
      </c>
      <c r="F17896">
        <v>109476608</v>
      </c>
      <c r="G17896">
        <v>109476665</v>
      </c>
      <c r="H17896">
        <v>109476666</v>
      </c>
      <c r="I17896">
        <v>109476727</v>
      </c>
    </row>
    <row r="17897" spans="1:9" x14ac:dyDescent="0.2">
      <c r="A17897" t="str">
        <f>"Rnf111"</f>
        <v>Rnf111</v>
      </c>
      <c r="B17897" t="s">
        <v>14</v>
      </c>
      <c r="C17897" t="s">
        <v>24</v>
      </c>
      <c r="D17897" t="s">
        <v>11</v>
      </c>
      <c r="E17897" t="s">
        <v>12</v>
      </c>
      <c r="F17897">
        <v>70503718</v>
      </c>
      <c r="G17897">
        <v>70503805</v>
      </c>
      <c r="H17897">
        <v>70503351</v>
      </c>
      <c r="I17897">
        <v>70503378</v>
      </c>
    </row>
    <row r="17898" spans="1:9" x14ac:dyDescent="0.2">
      <c r="A17898" t="str">
        <f>"Rnf112"</f>
        <v>Rnf112</v>
      </c>
      <c r="B17898" t="s">
        <v>14</v>
      </c>
      <c r="C17898" t="s">
        <v>27</v>
      </c>
      <c r="D17898" t="s">
        <v>11</v>
      </c>
      <c r="E17898" t="s">
        <v>12</v>
      </c>
      <c r="F17898">
        <v>61453921</v>
      </c>
      <c r="G17898">
        <v>61453982</v>
      </c>
      <c r="H17898">
        <v>61453992</v>
      </c>
      <c r="I17898">
        <v>61454019</v>
      </c>
    </row>
    <row r="17899" spans="1:9" x14ac:dyDescent="0.2">
      <c r="A17899" t="str">
        <f>"Rnf113a1"</f>
        <v>Rnf113a1</v>
      </c>
      <c r="B17899" t="s">
        <v>14</v>
      </c>
      <c r="C17899" t="s">
        <v>37</v>
      </c>
      <c r="D17899" t="s">
        <v>17</v>
      </c>
      <c r="E17899" t="s">
        <v>12</v>
      </c>
      <c r="F17899">
        <v>37191218</v>
      </c>
      <c r="G17899">
        <v>37191310</v>
      </c>
      <c r="H17899">
        <v>37191313</v>
      </c>
      <c r="I17899">
        <v>37191320</v>
      </c>
    </row>
    <row r="17900" spans="1:9" x14ac:dyDescent="0.2">
      <c r="A17900" t="str">
        <f>"Rnf113a2"</f>
        <v>Rnf113a2</v>
      </c>
      <c r="B17900" t="s">
        <v>14</v>
      </c>
      <c r="C17900" t="s">
        <v>16</v>
      </c>
      <c r="D17900" t="s">
        <v>17</v>
      </c>
      <c r="E17900" t="s">
        <v>12</v>
      </c>
      <c r="F17900">
        <v>84417256</v>
      </c>
      <c r="G17900">
        <v>84417300</v>
      </c>
      <c r="H17900">
        <v>84417235</v>
      </c>
      <c r="I17900">
        <v>84417254</v>
      </c>
    </row>
    <row r="17901" spans="1:9" x14ac:dyDescent="0.2">
      <c r="A17901" t="str">
        <f>"Rnf114"</f>
        <v>Rnf114</v>
      </c>
      <c r="B17901" t="s">
        <v>14</v>
      </c>
      <c r="C17901" t="s">
        <v>26</v>
      </c>
      <c r="D17901" t="s">
        <v>17</v>
      </c>
      <c r="E17901" t="s">
        <v>12</v>
      </c>
      <c r="F17901">
        <v>167503414</v>
      </c>
      <c r="G17901">
        <v>167503461</v>
      </c>
      <c r="H17901">
        <v>167503414</v>
      </c>
      <c r="I17901">
        <v>167503461</v>
      </c>
    </row>
    <row r="17902" spans="1:9" x14ac:dyDescent="0.2">
      <c r="A17902" t="str">
        <f>"Rnf115"</f>
        <v>Rnf115</v>
      </c>
      <c r="B17902" t="s">
        <v>14</v>
      </c>
      <c r="C17902" t="s">
        <v>22</v>
      </c>
      <c r="D17902" t="s">
        <v>17</v>
      </c>
      <c r="E17902" t="s">
        <v>12</v>
      </c>
      <c r="F17902">
        <v>96727659</v>
      </c>
      <c r="G17902">
        <v>96727726</v>
      </c>
      <c r="H17902">
        <v>96727767</v>
      </c>
      <c r="I17902">
        <v>96727794</v>
      </c>
    </row>
    <row r="17903" spans="1:9" x14ac:dyDescent="0.2">
      <c r="A17903" t="str">
        <f>"Rnf121"</f>
        <v>Rnf121</v>
      </c>
      <c r="B17903" t="s">
        <v>14</v>
      </c>
      <c r="C17903" t="s">
        <v>33</v>
      </c>
      <c r="D17903" t="s">
        <v>11</v>
      </c>
      <c r="E17903" t="s">
        <v>12</v>
      </c>
      <c r="F17903">
        <v>102065126</v>
      </c>
      <c r="G17903">
        <v>102065159</v>
      </c>
      <c r="H17903">
        <v>102065459</v>
      </c>
      <c r="I17903">
        <v>102065485</v>
      </c>
    </row>
    <row r="17904" spans="1:9" x14ac:dyDescent="0.2">
      <c r="A17904" t="str">
        <f>"Rnf122"</f>
        <v>Rnf122</v>
      </c>
      <c r="B17904" t="s">
        <v>14</v>
      </c>
      <c r="C17904" t="s">
        <v>30</v>
      </c>
      <c r="D17904" t="s">
        <v>17</v>
      </c>
      <c r="E17904" t="s">
        <v>12</v>
      </c>
      <c r="F17904">
        <v>31111816</v>
      </c>
      <c r="G17904">
        <v>31111891</v>
      </c>
      <c r="H17904">
        <v>31111896</v>
      </c>
      <c r="I17904">
        <v>31111907</v>
      </c>
    </row>
    <row r="17905" spans="1:9" x14ac:dyDescent="0.2">
      <c r="A17905" t="str">
        <f>"Rnf123"</f>
        <v>Rnf123</v>
      </c>
      <c r="B17905" t="s">
        <v>14</v>
      </c>
      <c r="C17905" t="s">
        <v>24</v>
      </c>
      <c r="D17905" t="s">
        <v>11</v>
      </c>
      <c r="E17905" t="s">
        <v>12</v>
      </c>
      <c r="F17905">
        <v>108079279</v>
      </c>
      <c r="G17905">
        <v>108079341</v>
      </c>
      <c r="H17905">
        <v>108079714</v>
      </c>
      <c r="I17905">
        <v>108079765</v>
      </c>
    </row>
    <row r="17906" spans="1:9" x14ac:dyDescent="0.2">
      <c r="A17906" t="str">
        <f>"Rnf125"</f>
        <v>Rnf125</v>
      </c>
      <c r="B17906" t="s">
        <v>14</v>
      </c>
      <c r="C17906" t="s">
        <v>43</v>
      </c>
      <c r="D17906" t="s">
        <v>17</v>
      </c>
      <c r="E17906" t="s">
        <v>12</v>
      </c>
      <c r="F17906">
        <v>20961594</v>
      </c>
      <c r="G17906">
        <v>20961637</v>
      </c>
      <c r="H17906">
        <v>20961423</v>
      </c>
      <c r="I17906">
        <v>20961467</v>
      </c>
    </row>
    <row r="17907" spans="1:9" x14ac:dyDescent="0.2">
      <c r="A17907" t="str">
        <f>"Rnf126"</f>
        <v>Rnf126</v>
      </c>
      <c r="B17907" t="s">
        <v>14</v>
      </c>
      <c r="C17907" t="s">
        <v>15</v>
      </c>
      <c r="D17907" t="s">
        <v>11</v>
      </c>
      <c r="E17907" t="s">
        <v>12</v>
      </c>
      <c r="F17907">
        <v>79766872</v>
      </c>
      <c r="G17907">
        <v>79766950</v>
      </c>
      <c r="H17907">
        <v>79766957</v>
      </c>
      <c r="I17907">
        <v>79766976</v>
      </c>
    </row>
    <row r="17908" spans="1:9" x14ac:dyDescent="0.2">
      <c r="A17908" t="str">
        <f>"Rnf128"</f>
        <v>Rnf128</v>
      </c>
      <c r="B17908" t="s">
        <v>14</v>
      </c>
      <c r="C17908" t="s">
        <v>37</v>
      </c>
      <c r="D17908" t="s">
        <v>17</v>
      </c>
      <c r="E17908" t="s">
        <v>12</v>
      </c>
      <c r="F17908">
        <v>139610612</v>
      </c>
      <c r="G17908">
        <v>139610632</v>
      </c>
      <c r="H17908">
        <v>139610612</v>
      </c>
      <c r="I17908">
        <v>139610632</v>
      </c>
    </row>
    <row r="17909" spans="1:9" x14ac:dyDescent="0.2">
      <c r="A17909" t="str">
        <f>"Rnf13"</f>
        <v>Rnf13</v>
      </c>
      <c r="B17909" t="s">
        <v>14</v>
      </c>
      <c r="C17909" t="s">
        <v>22</v>
      </c>
      <c r="D17909" t="s">
        <v>17</v>
      </c>
      <c r="E17909" t="s">
        <v>12</v>
      </c>
      <c r="F17909">
        <v>57736056</v>
      </c>
      <c r="G17909">
        <v>57736128</v>
      </c>
      <c r="H17909">
        <v>57736056</v>
      </c>
      <c r="I17909">
        <v>57736128</v>
      </c>
    </row>
    <row r="17910" spans="1:9" x14ac:dyDescent="0.2">
      <c r="A17910" t="str">
        <f>"Rnf130"</f>
        <v>Rnf130</v>
      </c>
      <c r="B17910" t="s">
        <v>14</v>
      </c>
      <c r="C17910" t="s">
        <v>27</v>
      </c>
      <c r="D17910" t="s">
        <v>17</v>
      </c>
      <c r="E17910" t="s">
        <v>12</v>
      </c>
      <c r="F17910">
        <v>50025309</v>
      </c>
      <c r="G17910">
        <v>50025374</v>
      </c>
      <c r="H17910">
        <v>50025309</v>
      </c>
      <c r="I17910">
        <v>50025374</v>
      </c>
    </row>
    <row r="17911" spans="1:9" x14ac:dyDescent="0.2">
      <c r="A17911" t="str">
        <f>"Rnf133"</f>
        <v>Rnf133</v>
      </c>
      <c r="B17911" t="s">
        <v>14</v>
      </c>
      <c r="C17911" t="s">
        <v>32</v>
      </c>
      <c r="D17911" t="s">
        <v>11</v>
      </c>
      <c r="E17911" t="s">
        <v>12</v>
      </c>
      <c r="F17911">
        <v>23650255</v>
      </c>
      <c r="G17911">
        <v>23650271</v>
      </c>
      <c r="H17911">
        <v>23650274</v>
      </c>
      <c r="I17911">
        <v>23650288</v>
      </c>
    </row>
    <row r="17912" spans="1:9" x14ac:dyDescent="0.2">
      <c r="A17912" t="str">
        <f>"Rnf135"</f>
        <v>Rnf135</v>
      </c>
      <c r="B17912" t="s">
        <v>14</v>
      </c>
      <c r="C17912" t="s">
        <v>27</v>
      </c>
      <c r="D17912" t="s">
        <v>17</v>
      </c>
      <c r="E17912" t="s">
        <v>12</v>
      </c>
      <c r="F17912">
        <v>80183886</v>
      </c>
      <c r="G17912">
        <v>80183905</v>
      </c>
      <c r="H17912">
        <v>80183861</v>
      </c>
      <c r="I17912">
        <v>80183882</v>
      </c>
    </row>
    <row r="17913" spans="1:9" x14ac:dyDescent="0.2">
      <c r="A17913" t="str">
        <f>"Rnf138"</f>
        <v>Rnf138</v>
      </c>
      <c r="B17913" t="s">
        <v>14</v>
      </c>
      <c r="C17913" t="s">
        <v>43</v>
      </c>
      <c r="D17913" t="s">
        <v>17</v>
      </c>
      <c r="E17913" t="s">
        <v>12</v>
      </c>
      <c r="F17913">
        <v>21001877</v>
      </c>
      <c r="G17913">
        <v>21002012</v>
      </c>
      <c r="H17913">
        <v>21001292</v>
      </c>
      <c r="I17913">
        <v>21001335</v>
      </c>
    </row>
    <row r="17914" spans="1:9" x14ac:dyDescent="0.2">
      <c r="A17914" t="str">
        <f>"Rnf138rt1"</f>
        <v>Rnf138rt1</v>
      </c>
      <c r="B17914" t="s">
        <v>14</v>
      </c>
      <c r="C17914" t="s">
        <v>37</v>
      </c>
      <c r="D17914" t="s">
        <v>11</v>
      </c>
      <c r="E17914" t="s">
        <v>67</v>
      </c>
      <c r="F17914">
        <v>163761323</v>
      </c>
      <c r="G17914">
        <v>163761344</v>
      </c>
      <c r="H17914">
        <v>163761293</v>
      </c>
      <c r="I17914">
        <v>163761315</v>
      </c>
    </row>
    <row r="17915" spans="1:9" x14ac:dyDescent="0.2">
      <c r="A17915" t="str">
        <f>"Rnf139"</f>
        <v>Rnf139</v>
      </c>
      <c r="B17915" t="s">
        <v>14</v>
      </c>
      <c r="C17915" t="s">
        <v>25</v>
      </c>
      <c r="D17915" t="s">
        <v>17</v>
      </c>
      <c r="E17915" t="s">
        <v>12</v>
      </c>
      <c r="F17915">
        <v>58889071</v>
      </c>
      <c r="G17915">
        <v>58889151</v>
      </c>
      <c r="H17915">
        <v>58889269</v>
      </c>
      <c r="I17915">
        <v>58889311</v>
      </c>
    </row>
    <row r="17916" spans="1:9" x14ac:dyDescent="0.2">
      <c r="A17916" t="str">
        <f>"Rnf14"</f>
        <v>Rnf14</v>
      </c>
      <c r="B17916" t="s">
        <v>14</v>
      </c>
      <c r="C17916" t="s">
        <v>43</v>
      </c>
      <c r="D17916" t="s">
        <v>17</v>
      </c>
      <c r="E17916" t="s">
        <v>12</v>
      </c>
      <c r="F17916">
        <v>38296640</v>
      </c>
      <c r="G17916">
        <v>38296719</v>
      </c>
      <c r="H17916">
        <v>38296724</v>
      </c>
      <c r="I17916">
        <v>38296734</v>
      </c>
    </row>
    <row r="17917" spans="1:9" x14ac:dyDescent="0.2">
      <c r="A17917" t="str">
        <f>"Rnf141"</f>
        <v>Rnf141</v>
      </c>
      <c r="B17917" t="s">
        <v>14</v>
      </c>
      <c r="C17917" t="s">
        <v>33</v>
      </c>
      <c r="D17917" t="s">
        <v>11</v>
      </c>
      <c r="E17917" t="s">
        <v>12</v>
      </c>
      <c r="F17917">
        <v>110844376</v>
      </c>
      <c r="G17917">
        <v>110844451</v>
      </c>
      <c r="H17917">
        <v>110844376</v>
      </c>
      <c r="I17917">
        <v>110844451</v>
      </c>
    </row>
    <row r="17918" spans="1:9" x14ac:dyDescent="0.2">
      <c r="A17918" t="str">
        <f>"Rnf144a"</f>
        <v>Rnf144a</v>
      </c>
      <c r="B17918" t="s">
        <v>14</v>
      </c>
      <c r="C17918" t="s">
        <v>16</v>
      </c>
      <c r="D17918" t="s">
        <v>11</v>
      </c>
      <c r="E17918" t="s">
        <v>12</v>
      </c>
      <c r="F17918">
        <v>26415257</v>
      </c>
      <c r="G17918">
        <v>26415303</v>
      </c>
      <c r="H17918">
        <v>26415199</v>
      </c>
      <c r="I17918">
        <v>26415214</v>
      </c>
    </row>
    <row r="17919" spans="1:9" x14ac:dyDescent="0.2">
      <c r="A17919" t="str">
        <f>"Rnf144b"</f>
        <v>Rnf144b</v>
      </c>
      <c r="B17919" t="s">
        <v>9</v>
      </c>
      <c r="C17919" t="s">
        <v>39</v>
      </c>
      <c r="D17919" t="s">
        <v>17</v>
      </c>
      <c r="E17919" t="s">
        <v>12</v>
      </c>
      <c r="F17919">
        <v>47193942</v>
      </c>
      <c r="G17919">
        <v>47194010</v>
      </c>
      <c r="H17919">
        <v>47193942</v>
      </c>
      <c r="I17919">
        <v>47194010</v>
      </c>
    </row>
    <row r="17920" spans="1:9" x14ac:dyDescent="0.2">
      <c r="A17920" t="str">
        <f>"Rnf144b"</f>
        <v>Rnf144b</v>
      </c>
      <c r="B17920" t="s">
        <v>13</v>
      </c>
      <c r="C17920" t="s">
        <v>39</v>
      </c>
      <c r="D17920" t="s">
        <v>17</v>
      </c>
      <c r="E17920" t="s">
        <v>12</v>
      </c>
      <c r="F17920">
        <v>47122688</v>
      </c>
      <c r="G17920">
        <v>47122715</v>
      </c>
      <c r="H17920">
        <v>47122688</v>
      </c>
      <c r="I17920">
        <v>47122715</v>
      </c>
    </row>
    <row r="17921" spans="1:9" x14ac:dyDescent="0.2">
      <c r="A17921" t="str">
        <f>"Rnf145"</f>
        <v>Rnf145</v>
      </c>
      <c r="B17921" t="s">
        <v>9</v>
      </c>
      <c r="C17921" t="s">
        <v>27</v>
      </c>
      <c r="D17921" t="s">
        <v>17</v>
      </c>
      <c r="E17921" t="s">
        <v>12</v>
      </c>
      <c r="F17921">
        <v>44518959</v>
      </c>
      <c r="G17921">
        <v>44519000</v>
      </c>
      <c r="H17921">
        <v>44518959</v>
      </c>
      <c r="I17921">
        <v>44519000</v>
      </c>
    </row>
    <row r="17922" spans="1:9" x14ac:dyDescent="0.2">
      <c r="A17922" t="str">
        <f>"Rnf145"</f>
        <v>Rnf145</v>
      </c>
      <c r="B17922" t="s">
        <v>13</v>
      </c>
      <c r="C17922" t="s">
        <v>27</v>
      </c>
      <c r="D17922" t="s">
        <v>17</v>
      </c>
      <c r="E17922" t="s">
        <v>12</v>
      </c>
      <c r="F17922">
        <v>44520402</v>
      </c>
      <c r="G17922">
        <v>44520440</v>
      </c>
      <c r="H17922">
        <v>44520402</v>
      </c>
      <c r="I17922">
        <v>44520440</v>
      </c>
    </row>
    <row r="17923" spans="1:9" x14ac:dyDescent="0.2">
      <c r="A17923" t="str">
        <f>"Rnf146"</f>
        <v>Rnf146</v>
      </c>
      <c r="B17923" t="s">
        <v>14</v>
      </c>
      <c r="C17923" t="s">
        <v>15</v>
      </c>
      <c r="D17923" t="s">
        <v>11</v>
      </c>
      <c r="E17923" t="s">
        <v>12</v>
      </c>
      <c r="F17923">
        <v>29362032</v>
      </c>
      <c r="G17923">
        <v>29362075</v>
      </c>
      <c r="H17923">
        <v>29362012</v>
      </c>
      <c r="I17923">
        <v>29362029</v>
      </c>
    </row>
    <row r="17924" spans="1:9" x14ac:dyDescent="0.2">
      <c r="A17924" t="str">
        <f>"Rnf148"</f>
        <v>Rnf148</v>
      </c>
      <c r="B17924" t="s">
        <v>14</v>
      </c>
      <c r="C17924" t="s">
        <v>32</v>
      </c>
      <c r="D17924" t="s">
        <v>11</v>
      </c>
      <c r="E17924" t="s">
        <v>12</v>
      </c>
      <c r="F17924">
        <v>23655142</v>
      </c>
      <c r="G17924">
        <v>23655168</v>
      </c>
      <c r="H17924">
        <v>23655129</v>
      </c>
      <c r="I17924">
        <v>23655140</v>
      </c>
    </row>
    <row r="17925" spans="1:9" x14ac:dyDescent="0.2">
      <c r="A17925" t="str">
        <f>"Rnf149"</f>
        <v>Rnf149</v>
      </c>
      <c r="B17925" t="s">
        <v>14</v>
      </c>
      <c r="C17925" t="s">
        <v>19</v>
      </c>
      <c r="D17925" t="s">
        <v>11</v>
      </c>
      <c r="E17925" t="s">
        <v>12</v>
      </c>
      <c r="F17925">
        <v>39577340</v>
      </c>
      <c r="G17925">
        <v>39577427</v>
      </c>
      <c r="H17925">
        <v>39577288</v>
      </c>
      <c r="I17925">
        <v>39577312</v>
      </c>
    </row>
    <row r="17926" spans="1:9" x14ac:dyDescent="0.2">
      <c r="A17926" t="str">
        <f>"Rnf150"</f>
        <v>Rnf150</v>
      </c>
      <c r="B17926" t="s">
        <v>14</v>
      </c>
      <c r="C17926" t="s">
        <v>30</v>
      </c>
      <c r="D17926" t="s">
        <v>17</v>
      </c>
      <c r="E17926" t="s">
        <v>12</v>
      </c>
      <c r="F17926">
        <v>82863351</v>
      </c>
      <c r="G17926">
        <v>82863397</v>
      </c>
      <c r="H17926">
        <v>82863483</v>
      </c>
      <c r="I17926">
        <v>82863505</v>
      </c>
    </row>
    <row r="17927" spans="1:9" x14ac:dyDescent="0.2">
      <c r="A17927" t="str">
        <f>"Rnf151"</f>
        <v>Rnf151</v>
      </c>
      <c r="B17927" t="s">
        <v>14</v>
      </c>
      <c r="C17927" t="s">
        <v>28</v>
      </c>
      <c r="D17927" t="s">
        <v>11</v>
      </c>
      <c r="E17927" t="s">
        <v>12</v>
      </c>
      <c r="F17927">
        <v>24718006</v>
      </c>
      <c r="G17927">
        <v>24718018</v>
      </c>
      <c r="H17927">
        <v>24718051</v>
      </c>
      <c r="I17927">
        <v>24718062</v>
      </c>
    </row>
    <row r="17928" spans="1:9" x14ac:dyDescent="0.2">
      <c r="A17928" t="str">
        <f>"Rnf152"</f>
        <v>Rnf152</v>
      </c>
      <c r="B17928" t="s">
        <v>14</v>
      </c>
      <c r="C17928" t="s">
        <v>19</v>
      </c>
      <c r="D17928" t="s">
        <v>11</v>
      </c>
      <c r="E17928" t="s">
        <v>12</v>
      </c>
      <c r="F17928">
        <v>105356658</v>
      </c>
      <c r="G17928">
        <v>105356714</v>
      </c>
      <c r="H17928">
        <v>105356658</v>
      </c>
      <c r="I17928">
        <v>105356714</v>
      </c>
    </row>
    <row r="17929" spans="1:9" x14ac:dyDescent="0.2">
      <c r="A17929" t="str">
        <f>"Rnf157"</f>
        <v>Rnf157</v>
      </c>
      <c r="B17929" t="s">
        <v>14</v>
      </c>
      <c r="C17929" t="s">
        <v>27</v>
      </c>
      <c r="D17929" t="s">
        <v>11</v>
      </c>
      <c r="E17929" t="s">
        <v>12</v>
      </c>
      <c r="F17929">
        <v>116413015</v>
      </c>
      <c r="G17929">
        <v>116413069</v>
      </c>
      <c r="H17929">
        <v>116412965</v>
      </c>
      <c r="I17929">
        <v>116413000</v>
      </c>
    </row>
    <row r="17930" spans="1:9" x14ac:dyDescent="0.2">
      <c r="A17930" t="str">
        <f>"Rnf165"</f>
        <v>Rnf165</v>
      </c>
      <c r="B17930" t="s">
        <v>14</v>
      </c>
      <c r="C17930" t="s">
        <v>43</v>
      </c>
      <c r="D17930" t="s">
        <v>11</v>
      </c>
      <c r="E17930" t="s">
        <v>12</v>
      </c>
      <c r="F17930">
        <v>77565352</v>
      </c>
      <c r="G17930">
        <v>77565402</v>
      </c>
      <c r="H17930">
        <v>77565307</v>
      </c>
      <c r="I17930">
        <v>77565349</v>
      </c>
    </row>
    <row r="17931" spans="1:9" x14ac:dyDescent="0.2">
      <c r="A17931" t="str">
        <f>"Rnf166"</f>
        <v>Rnf166</v>
      </c>
      <c r="B17931" t="s">
        <v>14</v>
      </c>
      <c r="C17931" t="s">
        <v>30</v>
      </c>
      <c r="D17931" t="s">
        <v>11</v>
      </c>
      <c r="E17931" t="s">
        <v>12</v>
      </c>
      <c r="F17931">
        <v>122476036</v>
      </c>
      <c r="G17931">
        <v>122476088</v>
      </c>
      <c r="H17931">
        <v>122476003</v>
      </c>
      <c r="I17931">
        <v>122476026</v>
      </c>
    </row>
    <row r="17932" spans="1:9" x14ac:dyDescent="0.2">
      <c r="A17932" t="str">
        <f>"Rnf167"</f>
        <v>Rnf167</v>
      </c>
      <c r="B17932" t="s">
        <v>14</v>
      </c>
      <c r="C17932" t="s">
        <v>27</v>
      </c>
      <c r="D17932" t="s">
        <v>17</v>
      </c>
      <c r="E17932" t="s">
        <v>12</v>
      </c>
      <c r="F17932">
        <v>70647258</v>
      </c>
      <c r="G17932">
        <v>70647294</v>
      </c>
      <c r="H17932">
        <v>70647541</v>
      </c>
      <c r="I17932">
        <v>70647581</v>
      </c>
    </row>
    <row r="17933" spans="1:9" x14ac:dyDescent="0.2">
      <c r="A17933" t="str">
        <f>"Rnf168"</f>
        <v>Rnf168</v>
      </c>
      <c r="B17933" t="s">
        <v>14</v>
      </c>
      <c r="C17933" t="s">
        <v>31</v>
      </c>
      <c r="D17933" t="s">
        <v>17</v>
      </c>
      <c r="E17933" t="s">
        <v>12</v>
      </c>
      <c r="F17933">
        <v>32277479</v>
      </c>
      <c r="G17933">
        <v>32277524</v>
      </c>
      <c r="H17933">
        <v>32277528</v>
      </c>
      <c r="I17933">
        <v>32277566</v>
      </c>
    </row>
    <row r="17934" spans="1:9" x14ac:dyDescent="0.2">
      <c r="A17934" t="str">
        <f>"Rnf169"</f>
        <v>Rnf169</v>
      </c>
      <c r="B17934" t="s">
        <v>14</v>
      </c>
      <c r="C17934" t="s">
        <v>33</v>
      </c>
      <c r="D17934" t="s">
        <v>11</v>
      </c>
      <c r="E17934" t="s">
        <v>12</v>
      </c>
      <c r="F17934">
        <v>99980431</v>
      </c>
      <c r="G17934">
        <v>99980477</v>
      </c>
      <c r="H17934">
        <v>99980431</v>
      </c>
      <c r="I17934">
        <v>99980477</v>
      </c>
    </row>
    <row r="17935" spans="1:9" x14ac:dyDescent="0.2">
      <c r="A17935" t="str">
        <f>"Rnf17"</f>
        <v>Rnf17</v>
      </c>
      <c r="B17935" t="s">
        <v>14</v>
      </c>
      <c r="C17935" t="s">
        <v>41</v>
      </c>
      <c r="D17935" t="s">
        <v>17</v>
      </c>
      <c r="E17935" t="s">
        <v>12</v>
      </c>
      <c r="F17935">
        <v>56402656</v>
      </c>
      <c r="G17935">
        <v>56402700</v>
      </c>
      <c r="H17935">
        <v>56402656</v>
      </c>
      <c r="I17935">
        <v>56402700</v>
      </c>
    </row>
    <row r="17936" spans="1:9" x14ac:dyDescent="0.2">
      <c r="A17936" t="str">
        <f>"Rnf170"</f>
        <v>Rnf170</v>
      </c>
      <c r="B17936" t="s">
        <v>14</v>
      </c>
      <c r="C17936" t="s">
        <v>30</v>
      </c>
      <c r="D17936" t="s">
        <v>17</v>
      </c>
      <c r="E17936" t="s">
        <v>12</v>
      </c>
      <c r="F17936">
        <v>26119611</v>
      </c>
      <c r="G17936">
        <v>26119682</v>
      </c>
      <c r="H17936">
        <v>26119361</v>
      </c>
      <c r="I17936">
        <v>26119368</v>
      </c>
    </row>
    <row r="17937" spans="1:9" x14ac:dyDescent="0.2">
      <c r="A17937" t="str">
        <f>"Rnf180"</f>
        <v>Rnf180</v>
      </c>
      <c r="B17937" t="s">
        <v>14</v>
      </c>
      <c r="C17937" t="s">
        <v>39</v>
      </c>
      <c r="D17937" t="s">
        <v>11</v>
      </c>
      <c r="E17937" t="s">
        <v>12</v>
      </c>
      <c r="F17937">
        <v>105294426</v>
      </c>
      <c r="G17937">
        <v>105294471</v>
      </c>
      <c r="H17937">
        <v>105294291</v>
      </c>
      <c r="I17937">
        <v>105294338</v>
      </c>
    </row>
    <row r="17938" spans="1:9" x14ac:dyDescent="0.2">
      <c r="A17938" t="str">
        <f>"Rnf181"</f>
        <v>Rnf181</v>
      </c>
      <c r="B17938" t="s">
        <v>14</v>
      </c>
      <c r="C17938" t="s">
        <v>32</v>
      </c>
      <c r="D17938" t="s">
        <v>11</v>
      </c>
      <c r="E17938" t="s">
        <v>12</v>
      </c>
      <c r="F17938">
        <v>72362383</v>
      </c>
      <c r="G17938">
        <v>72362417</v>
      </c>
      <c r="H17938">
        <v>72362365</v>
      </c>
      <c r="I17938">
        <v>72362379</v>
      </c>
    </row>
    <row r="17939" spans="1:9" x14ac:dyDescent="0.2">
      <c r="A17939" t="str">
        <f>"Rnf182"</f>
        <v>Rnf182</v>
      </c>
      <c r="B17939" t="s">
        <v>14</v>
      </c>
      <c r="C17939" t="s">
        <v>39</v>
      </c>
      <c r="D17939" t="s">
        <v>17</v>
      </c>
      <c r="E17939" t="s">
        <v>12</v>
      </c>
      <c r="F17939">
        <v>43615950</v>
      </c>
      <c r="G17939">
        <v>43615991</v>
      </c>
      <c r="H17939">
        <v>43615998</v>
      </c>
      <c r="I17939">
        <v>43616016</v>
      </c>
    </row>
    <row r="17940" spans="1:9" x14ac:dyDescent="0.2">
      <c r="A17940" t="str">
        <f>"Rnf183"</f>
        <v>Rnf183</v>
      </c>
      <c r="B17940" t="s">
        <v>14</v>
      </c>
      <c r="C17940" t="s">
        <v>23</v>
      </c>
      <c r="D17940" t="s">
        <v>11</v>
      </c>
      <c r="E17940" t="s">
        <v>12</v>
      </c>
      <c r="F17940">
        <v>62434633</v>
      </c>
      <c r="G17940">
        <v>62434644</v>
      </c>
      <c r="H17940">
        <v>62434722</v>
      </c>
      <c r="I17940">
        <v>62434738</v>
      </c>
    </row>
    <row r="17941" spans="1:9" x14ac:dyDescent="0.2">
      <c r="A17941" t="str">
        <f>"Rnf185"</f>
        <v>Rnf185</v>
      </c>
      <c r="B17941" t="s">
        <v>14</v>
      </c>
      <c r="C17941" t="s">
        <v>27</v>
      </c>
      <c r="D17941" t="s">
        <v>11</v>
      </c>
      <c r="E17941" t="s">
        <v>12</v>
      </c>
      <c r="F17941">
        <v>3452262</v>
      </c>
      <c r="G17941">
        <v>3452352</v>
      </c>
      <c r="H17941">
        <v>3452355</v>
      </c>
      <c r="I17941">
        <v>3452378</v>
      </c>
    </row>
    <row r="17942" spans="1:9" x14ac:dyDescent="0.2">
      <c r="A17942" t="str">
        <f>"Rnf186"</f>
        <v>Rnf186</v>
      </c>
      <c r="B17942" t="s">
        <v>14</v>
      </c>
      <c r="C17942" t="s">
        <v>23</v>
      </c>
      <c r="D17942" t="s">
        <v>17</v>
      </c>
      <c r="E17942" t="s">
        <v>12</v>
      </c>
      <c r="F17942">
        <v>138967112</v>
      </c>
      <c r="G17942">
        <v>138967127</v>
      </c>
      <c r="H17942">
        <v>138967112</v>
      </c>
      <c r="I17942">
        <v>138967127</v>
      </c>
    </row>
    <row r="17943" spans="1:9" x14ac:dyDescent="0.2">
      <c r="A17943" t="str">
        <f>"Rnf187"</f>
        <v>Rnf187</v>
      </c>
      <c r="B17943" t="s">
        <v>14</v>
      </c>
      <c r="C17943" t="s">
        <v>27</v>
      </c>
      <c r="D17943" t="s">
        <v>11</v>
      </c>
      <c r="E17943" t="s">
        <v>12</v>
      </c>
      <c r="F17943">
        <v>58938851</v>
      </c>
      <c r="G17943">
        <v>58938923</v>
      </c>
      <c r="H17943">
        <v>58939052</v>
      </c>
      <c r="I17943">
        <v>58939078</v>
      </c>
    </row>
    <row r="17944" spans="1:9" x14ac:dyDescent="0.2">
      <c r="A17944" t="str">
        <f>"Rnf19a"</f>
        <v>Rnf19a</v>
      </c>
      <c r="B17944" t="s">
        <v>14</v>
      </c>
      <c r="C17944" t="s">
        <v>25</v>
      </c>
      <c r="D17944" t="s">
        <v>11</v>
      </c>
      <c r="E17944" t="s">
        <v>12</v>
      </c>
      <c r="F17944">
        <v>36283105</v>
      </c>
      <c r="G17944">
        <v>36283150</v>
      </c>
      <c r="H17944">
        <v>36283313</v>
      </c>
      <c r="I17944">
        <v>36283317</v>
      </c>
    </row>
    <row r="17945" spans="1:9" x14ac:dyDescent="0.2">
      <c r="A17945" t="str">
        <f>"Rnf19b"</f>
        <v>Rnf19b</v>
      </c>
      <c r="B17945" t="s">
        <v>14</v>
      </c>
      <c r="C17945" t="s">
        <v>23</v>
      </c>
      <c r="D17945" t="s">
        <v>17</v>
      </c>
      <c r="E17945" t="s">
        <v>12</v>
      </c>
      <c r="F17945">
        <v>129058133</v>
      </c>
      <c r="G17945">
        <v>129058152</v>
      </c>
      <c r="H17945">
        <v>129058133</v>
      </c>
      <c r="I17945">
        <v>129058152</v>
      </c>
    </row>
    <row r="17946" spans="1:9" x14ac:dyDescent="0.2">
      <c r="A17946" t="str">
        <f>"Rnf2"</f>
        <v>Rnf2</v>
      </c>
      <c r="B17946" t="s">
        <v>14</v>
      </c>
      <c r="C17946" t="s">
        <v>19</v>
      </c>
      <c r="D17946" t="s">
        <v>11</v>
      </c>
      <c r="E17946" t="s">
        <v>12</v>
      </c>
      <c r="F17946">
        <v>151500794</v>
      </c>
      <c r="G17946">
        <v>151500841</v>
      </c>
      <c r="H17946">
        <v>151500864</v>
      </c>
      <c r="I17946">
        <v>151500875</v>
      </c>
    </row>
    <row r="17947" spans="1:9" x14ac:dyDescent="0.2">
      <c r="A17947" t="str">
        <f>"Rnf20"</f>
        <v>Rnf20</v>
      </c>
      <c r="B17947" t="s">
        <v>14</v>
      </c>
      <c r="C17947" t="s">
        <v>23</v>
      </c>
      <c r="D17947" t="s">
        <v>17</v>
      </c>
      <c r="E17947" t="s">
        <v>12</v>
      </c>
      <c r="F17947">
        <v>49632046</v>
      </c>
      <c r="G17947">
        <v>49632110</v>
      </c>
      <c r="H17947">
        <v>49632046</v>
      </c>
      <c r="I17947">
        <v>49632110</v>
      </c>
    </row>
    <row r="17948" spans="1:9" x14ac:dyDescent="0.2">
      <c r="A17948" t="str">
        <f>"Rnf207"</f>
        <v>Rnf207</v>
      </c>
      <c r="B17948" t="s">
        <v>14</v>
      </c>
      <c r="C17948" t="s">
        <v>23</v>
      </c>
      <c r="D17948" t="s">
        <v>11</v>
      </c>
      <c r="E17948" t="s">
        <v>12</v>
      </c>
      <c r="F17948">
        <v>152318569</v>
      </c>
      <c r="G17948">
        <v>152318654</v>
      </c>
      <c r="H17948">
        <v>152319000</v>
      </c>
      <c r="I17948">
        <v>152319014</v>
      </c>
    </row>
    <row r="17949" spans="1:9" x14ac:dyDescent="0.2">
      <c r="A17949" t="str">
        <f>"Rnf208"</f>
        <v>Rnf208</v>
      </c>
      <c r="B17949" t="s">
        <v>14</v>
      </c>
      <c r="C17949" t="s">
        <v>26</v>
      </c>
      <c r="D17949" t="s">
        <v>17</v>
      </c>
      <c r="E17949" t="s">
        <v>12</v>
      </c>
      <c r="F17949">
        <v>25242285</v>
      </c>
      <c r="G17949">
        <v>25242379</v>
      </c>
      <c r="H17949">
        <v>25242227</v>
      </c>
      <c r="I17949">
        <v>25242284</v>
      </c>
    </row>
    <row r="17950" spans="1:9" x14ac:dyDescent="0.2">
      <c r="A17950" t="str">
        <f>"Rnf212"</f>
        <v>Rnf212</v>
      </c>
      <c r="B17950" t="s">
        <v>5695</v>
      </c>
      <c r="C17950" t="s">
        <v>46</v>
      </c>
      <c r="D17950" t="s">
        <v>11</v>
      </c>
      <c r="E17950" t="s">
        <v>20</v>
      </c>
      <c r="F17950">
        <v>108749447</v>
      </c>
      <c r="G17950">
        <v>108749447</v>
      </c>
      <c r="H17950">
        <v>108749447</v>
      </c>
      <c r="I17950">
        <v>108749447</v>
      </c>
    </row>
    <row r="17951" spans="1:9" x14ac:dyDescent="0.2">
      <c r="A17951" t="str">
        <f>"Rnf213"</f>
        <v>Rnf213</v>
      </c>
      <c r="B17951" t="s">
        <v>14</v>
      </c>
      <c r="C17951" t="s">
        <v>27</v>
      </c>
      <c r="D17951" t="s">
        <v>17</v>
      </c>
      <c r="E17951" t="s">
        <v>12</v>
      </c>
      <c r="F17951">
        <v>119393060</v>
      </c>
      <c r="G17951">
        <v>119393083</v>
      </c>
      <c r="H17951">
        <v>119393060</v>
      </c>
      <c r="I17951">
        <v>119393083</v>
      </c>
    </row>
    <row r="17952" spans="1:9" x14ac:dyDescent="0.2">
      <c r="A17952" t="str">
        <f>"Rnf214"</f>
        <v>Rnf214</v>
      </c>
      <c r="B17952" t="s">
        <v>14</v>
      </c>
      <c r="C17952" t="s">
        <v>24</v>
      </c>
      <c r="D17952" t="s">
        <v>11</v>
      </c>
      <c r="E17952" t="s">
        <v>12</v>
      </c>
      <c r="F17952">
        <v>45906369</v>
      </c>
      <c r="G17952">
        <v>45906437</v>
      </c>
      <c r="H17952">
        <v>45906837</v>
      </c>
      <c r="I17952">
        <v>45906894</v>
      </c>
    </row>
    <row r="17953" spans="1:9" x14ac:dyDescent="0.2">
      <c r="A17953" t="str">
        <f>"Rnf215"</f>
        <v>Rnf215</v>
      </c>
      <c r="B17953" t="s">
        <v>14</v>
      </c>
      <c r="C17953" t="s">
        <v>27</v>
      </c>
      <c r="D17953" t="s">
        <v>17</v>
      </c>
      <c r="E17953" t="s">
        <v>12</v>
      </c>
      <c r="F17953">
        <v>4135167</v>
      </c>
      <c r="G17953">
        <v>4135222</v>
      </c>
      <c r="H17953">
        <v>4135233</v>
      </c>
      <c r="I17953">
        <v>4135246</v>
      </c>
    </row>
    <row r="17954" spans="1:9" x14ac:dyDescent="0.2">
      <c r="A17954" t="str">
        <f>"Rnf216"</f>
        <v>Rnf216</v>
      </c>
      <c r="B17954" t="s">
        <v>14</v>
      </c>
      <c r="C17954" t="s">
        <v>46</v>
      </c>
      <c r="D17954" t="s">
        <v>11</v>
      </c>
      <c r="E17954" t="s">
        <v>12</v>
      </c>
      <c r="F17954">
        <v>143112971</v>
      </c>
      <c r="G17954">
        <v>143112987</v>
      </c>
      <c r="H17954">
        <v>143113008</v>
      </c>
      <c r="I17954">
        <v>143113019</v>
      </c>
    </row>
    <row r="17955" spans="1:9" x14ac:dyDescent="0.2">
      <c r="A17955" t="str">
        <f>"Rnf217"</f>
        <v>Rnf217</v>
      </c>
      <c r="B17955" t="s">
        <v>14</v>
      </c>
      <c r="C17955" t="s">
        <v>15</v>
      </c>
      <c r="D17955" t="s">
        <v>11</v>
      </c>
      <c r="E17955" t="s">
        <v>12</v>
      </c>
      <c r="F17955">
        <v>31609638</v>
      </c>
      <c r="G17955">
        <v>31609705</v>
      </c>
      <c r="H17955">
        <v>31609718</v>
      </c>
      <c r="I17955">
        <v>31609732</v>
      </c>
    </row>
    <row r="17956" spans="1:9" x14ac:dyDescent="0.2">
      <c r="A17956" t="str">
        <f>"Rnf219"</f>
        <v>Rnf219</v>
      </c>
      <c r="B17956" t="s">
        <v>14</v>
      </c>
      <c r="C17956" t="s">
        <v>41</v>
      </c>
      <c r="D17956" t="s">
        <v>11</v>
      </c>
      <c r="E17956" t="s">
        <v>12</v>
      </c>
      <c r="F17956">
        <v>104522615</v>
      </c>
      <c r="G17956">
        <v>104522707</v>
      </c>
      <c r="H17956">
        <v>104522615</v>
      </c>
      <c r="I17956">
        <v>104522707</v>
      </c>
    </row>
    <row r="17957" spans="1:9" x14ac:dyDescent="0.2">
      <c r="A17957" t="str">
        <f>"Rnf220"</f>
        <v>Rnf220</v>
      </c>
      <c r="B17957" t="s">
        <v>5696</v>
      </c>
      <c r="C17957" t="s">
        <v>23</v>
      </c>
      <c r="D17957" t="s">
        <v>11</v>
      </c>
      <c r="E17957" t="s">
        <v>35</v>
      </c>
      <c r="F17957">
        <v>117375495</v>
      </c>
      <c r="G17957">
        <v>117375501</v>
      </c>
      <c r="H17957">
        <v>117375453</v>
      </c>
      <c r="I17957">
        <v>117375467</v>
      </c>
    </row>
    <row r="17958" spans="1:9" x14ac:dyDescent="0.2">
      <c r="A17958" t="str">
        <f>"Rnf222"</f>
        <v>Rnf222</v>
      </c>
      <c r="B17958" t="s">
        <v>14</v>
      </c>
      <c r="C17958" t="s">
        <v>27</v>
      </c>
      <c r="D17958" t="s">
        <v>17</v>
      </c>
      <c r="E17958" t="s">
        <v>12</v>
      </c>
      <c r="F17958">
        <v>68888545</v>
      </c>
      <c r="G17958">
        <v>68888562</v>
      </c>
      <c r="H17958">
        <v>68888578</v>
      </c>
      <c r="I17958">
        <v>68888588</v>
      </c>
    </row>
    <row r="17959" spans="1:9" x14ac:dyDescent="0.2">
      <c r="A17959" t="str">
        <f>"Rnf24"</f>
        <v>Rnf24</v>
      </c>
      <c r="B17959" t="s">
        <v>14</v>
      </c>
      <c r="C17959" t="s">
        <v>26</v>
      </c>
      <c r="D17959" t="s">
        <v>11</v>
      </c>
      <c r="E17959" t="s">
        <v>12</v>
      </c>
      <c r="F17959">
        <v>131352834</v>
      </c>
      <c r="G17959">
        <v>131352856</v>
      </c>
      <c r="H17959">
        <v>131352857</v>
      </c>
      <c r="I17959">
        <v>131352889</v>
      </c>
    </row>
    <row r="17960" spans="1:9" x14ac:dyDescent="0.2">
      <c r="A17960" t="str">
        <f>"Rnf25"</f>
        <v>Rnf25</v>
      </c>
      <c r="B17960" t="s">
        <v>14</v>
      </c>
      <c r="C17960" t="s">
        <v>19</v>
      </c>
      <c r="D17960" t="s">
        <v>11</v>
      </c>
      <c r="E17960" t="s">
        <v>12</v>
      </c>
      <c r="F17960">
        <v>74601364</v>
      </c>
      <c r="G17960">
        <v>74601402</v>
      </c>
      <c r="H17960">
        <v>74601364</v>
      </c>
      <c r="I17960">
        <v>74601402</v>
      </c>
    </row>
    <row r="17961" spans="1:9" x14ac:dyDescent="0.2">
      <c r="A17961" t="str">
        <f>"Rnf26"</f>
        <v>Rnf26</v>
      </c>
      <c r="B17961" t="s">
        <v>14</v>
      </c>
      <c r="C17961" t="s">
        <v>24</v>
      </c>
      <c r="D17961" t="s">
        <v>11</v>
      </c>
      <c r="E17961" t="s">
        <v>12</v>
      </c>
      <c r="F17961">
        <v>44113470</v>
      </c>
      <c r="G17961">
        <v>44113528</v>
      </c>
      <c r="H17961">
        <v>44113357</v>
      </c>
      <c r="I17961">
        <v>44113367</v>
      </c>
    </row>
    <row r="17962" spans="1:9" x14ac:dyDescent="0.2">
      <c r="A17962" t="str">
        <f>"Rnf31"</f>
        <v>Rnf31</v>
      </c>
      <c r="B17962" t="s">
        <v>14</v>
      </c>
      <c r="C17962" t="s">
        <v>41</v>
      </c>
      <c r="D17962" t="s">
        <v>17</v>
      </c>
      <c r="E17962" t="s">
        <v>12</v>
      </c>
      <c r="F17962">
        <v>55591725</v>
      </c>
      <c r="G17962">
        <v>55591785</v>
      </c>
      <c r="H17962">
        <v>55591786</v>
      </c>
      <c r="I17962">
        <v>55591809</v>
      </c>
    </row>
    <row r="17963" spans="1:9" x14ac:dyDescent="0.2">
      <c r="A17963" t="str">
        <f>"Rnf32"</f>
        <v>Rnf32</v>
      </c>
      <c r="B17963" t="s">
        <v>14</v>
      </c>
      <c r="C17963" t="s">
        <v>46</v>
      </c>
      <c r="D17963" t="s">
        <v>17</v>
      </c>
      <c r="E17963" t="s">
        <v>12</v>
      </c>
      <c r="F17963">
        <v>29196033</v>
      </c>
      <c r="G17963">
        <v>29196063</v>
      </c>
      <c r="H17963">
        <v>29196070</v>
      </c>
      <c r="I17963">
        <v>29196085</v>
      </c>
    </row>
    <row r="17964" spans="1:9" x14ac:dyDescent="0.2">
      <c r="A17964" t="str">
        <f>"Rnf34"</f>
        <v>Rnf34</v>
      </c>
      <c r="B17964" t="s">
        <v>14</v>
      </c>
      <c r="C17964" t="s">
        <v>46</v>
      </c>
      <c r="D17964" t="s">
        <v>17</v>
      </c>
      <c r="E17964" t="s">
        <v>12</v>
      </c>
      <c r="F17964">
        <v>122850199</v>
      </c>
      <c r="G17964">
        <v>122850214</v>
      </c>
      <c r="H17964">
        <v>122850186</v>
      </c>
      <c r="I17964">
        <v>122850198</v>
      </c>
    </row>
    <row r="17965" spans="1:9" x14ac:dyDescent="0.2">
      <c r="A17965" t="str">
        <f>"Rnf38"</f>
        <v>Rnf38</v>
      </c>
      <c r="B17965" t="s">
        <v>5697</v>
      </c>
      <c r="C17965" t="s">
        <v>23</v>
      </c>
      <c r="D17965" t="s">
        <v>11</v>
      </c>
      <c r="E17965" t="s">
        <v>35</v>
      </c>
      <c r="F17965">
        <v>44168507</v>
      </c>
      <c r="G17965">
        <v>44168512</v>
      </c>
      <c r="H17965">
        <v>44168267</v>
      </c>
      <c r="I17965">
        <v>44168289</v>
      </c>
    </row>
    <row r="17966" spans="1:9" x14ac:dyDescent="0.2">
      <c r="A17966" t="str">
        <f>"Rnf38"</f>
        <v>Rnf38</v>
      </c>
      <c r="B17966" t="s">
        <v>5698</v>
      </c>
      <c r="C17966" t="s">
        <v>23</v>
      </c>
      <c r="D17966" t="s">
        <v>11</v>
      </c>
      <c r="E17966" t="s">
        <v>35</v>
      </c>
      <c r="F17966">
        <v>44168096</v>
      </c>
      <c r="G17966">
        <v>44168107</v>
      </c>
      <c r="H17966">
        <v>44167769</v>
      </c>
      <c r="I17966">
        <v>44167779</v>
      </c>
    </row>
    <row r="17967" spans="1:9" x14ac:dyDescent="0.2">
      <c r="A17967" t="str">
        <f>"Rnf38"</f>
        <v>Rnf38</v>
      </c>
      <c r="B17967" t="s">
        <v>5699</v>
      </c>
      <c r="C17967" t="s">
        <v>23</v>
      </c>
      <c r="D17967" t="s">
        <v>11</v>
      </c>
      <c r="E17967" t="s">
        <v>20</v>
      </c>
      <c r="F17967">
        <v>44158942</v>
      </c>
      <c r="G17967">
        <v>44158942</v>
      </c>
      <c r="H17967">
        <v>44158942</v>
      </c>
      <c r="I17967">
        <v>44158942</v>
      </c>
    </row>
    <row r="17968" spans="1:9" x14ac:dyDescent="0.2">
      <c r="A17968" t="str">
        <f>"Rnf39"</f>
        <v>Rnf39</v>
      </c>
      <c r="B17968" t="s">
        <v>14</v>
      </c>
      <c r="C17968" t="s">
        <v>28</v>
      </c>
      <c r="D17968" t="s">
        <v>17</v>
      </c>
      <c r="E17968" t="s">
        <v>12</v>
      </c>
      <c r="F17968">
        <v>36942910</v>
      </c>
      <c r="G17968">
        <v>36942924</v>
      </c>
      <c r="H17968">
        <v>36943025</v>
      </c>
      <c r="I17968">
        <v>36943038</v>
      </c>
    </row>
    <row r="17969" spans="1:9" x14ac:dyDescent="0.2">
      <c r="A17969" t="str">
        <f>"Rnf4"</f>
        <v>Rnf4</v>
      </c>
      <c r="B17969" t="s">
        <v>14</v>
      </c>
      <c r="C17969" t="s">
        <v>46</v>
      </c>
      <c r="D17969" t="s">
        <v>17</v>
      </c>
      <c r="E17969" t="s">
        <v>12</v>
      </c>
      <c r="F17969">
        <v>34336401</v>
      </c>
      <c r="G17969">
        <v>34336459</v>
      </c>
      <c r="H17969">
        <v>34336384</v>
      </c>
      <c r="I17969">
        <v>34336395</v>
      </c>
    </row>
    <row r="17970" spans="1:9" x14ac:dyDescent="0.2">
      <c r="A17970" t="str">
        <f>"Rnf40"</f>
        <v>Rnf40</v>
      </c>
      <c r="B17970" t="s">
        <v>14</v>
      </c>
      <c r="C17970" t="s">
        <v>33</v>
      </c>
      <c r="D17970" t="s">
        <v>17</v>
      </c>
      <c r="E17970" t="s">
        <v>12</v>
      </c>
      <c r="F17970">
        <v>127588739</v>
      </c>
      <c r="G17970">
        <v>127588791</v>
      </c>
      <c r="H17970">
        <v>127588714</v>
      </c>
      <c r="I17970">
        <v>127588725</v>
      </c>
    </row>
    <row r="17971" spans="1:9" x14ac:dyDescent="0.2">
      <c r="A17971" t="str">
        <f>"Rnf41"</f>
        <v>Rnf41</v>
      </c>
      <c r="B17971" t="s">
        <v>14</v>
      </c>
      <c r="C17971" t="s">
        <v>15</v>
      </c>
      <c r="D17971" t="s">
        <v>17</v>
      </c>
      <c r="E17971" t="s">
        <v>12</v>
      </c>
      <c r="F17971">
        <v>128411623</v>
      </c>
      <c r="G17971">
        <v>128411676</v>
      </c>
      <c r="H17971">
        <v>128411680</v>
      </c>
      <c r="I17971">
        <v>128411720</v>
      </c>
    </row>
    <row r="17972" spans="1:9" x14ac:dyDescent="0.2">
      <c r="A17972" t="str">
        <f>"Rnf43"</f>
        <v>Rnf43</v>
      </c>
      <c r="B17972" t="s">
        <v>14</v>
      </c>
      <c r="C17972" t="s">
        <v>27</v>
      </c>
      <c r="D17972" t="s">
        <v>17</v>
      </c>
      <c r="E17972" t="s">
        <v>12</v>
      </c>
      <c r="F17972">
        <v>87662618</v>
      </c>
      <c r="G17972">
        <v>87662680</v>
      </c>
      <c r="H17972">
        <v>87662685</v>
      </c>
      <c r="I17972">
        <v>87662699</v>
      </c>
    </row>
    <row r="17973" spans="1:9" x14ac:dyDescent="0.2">
      <c r="A17973" t="str">
        <f>"Rnf44"</f>
        <v>Rnf44</v>
      </c>
      <c r="B17973" t="s">
        <v>9</v>
      </c>
      <c r="C17973" t="s">
        <v>39</v>
      </c>
      <c r="D17973" t="s">
        <v>11</v>
      </c>
      <c r="E17973" t="s">
        <v>12</v>
      </c>
      <c r="F17973">
        <v>54693794</v>
      </c>
      <c r="G17973">
        <v>54693888</v>
      </c>
      <c r="H17973">
        <v>54693794</v>
      </c>
      <c r="I17973">
        <v>54693888</v>
      </c>
    </row>
    <row r="17974" spans="1:9" x14ac:dyDescent="0.2">
      <c r="A17974" t="str">
        <f>"Rnf44"</f>
        <v>Rnf44</v>
      </c>
      <c r="B17974" t="s">
        <v>13</v>
      </c>
      <c r="C17974" t="s">
        <v>39</v>
      </c>
      <c r="D17974" t="s">
        <v>11</v>
      </c>
      <c r="E17974" t="s">
        <v>12</v>
      </c>
      <c r="F17974">
        <v>54687696</v>
      </c>
      <c r="G17974">
        <v>54687809</v>
      </c>
      <c r="H17974">
        <v>54687696</v>
      </c>
      <c r="I17974">
        <v>54687809</v>
      </c>
    </row>
    <row r="17975" spans="1:9" x14ac:dyDescent="0.2">
      <c r="A17975" t="str">
        <f>"Rnf5"</f>
        <v>Rnf5</v>
      </c>
      <c r="B17975" t="s">
        <v>14</v>
      </c>
      <c r="C17975" t="s">
        <v>28</v>
      </c>
      <c r="D17975" t="s">
        <v>11</v>
      </c>
      <c r="E17975" t="s">
        <v>12</v>
      </c>
      <c r="F17975">
        <v>34603522</v>
      </c>
      <c r="G17975">
        <v>34603626</v>
      </c>
      <c r="H17975">
        <v>34603675</v>
      </c>
      <c r="I17975">
        <v>34603702</v>
      </c>
    </row>
    <row r="17976" spans="1:9" x14ac:dyDescent="0.2">
      <c r="A17976" t="str">
        <f>"Rnf6"</f>
        <v>Rnf6</v>
      </c>
      <c r="B17976" t="s">
        <v>14</v>
      </c>
      <c r="C17976" t="s">
        <v>46</v>
      </c>
      <c r="D17976" t="s">
        <v>11</v>
      </c>
      <c r="E17976" t="s">
        <v>12</v>
      </c>
      <c r="F17976">
        <v>146221426</v>
      </c>
      <c r="G17976">
        <v>146221444</v>
      </c>
      <c r="H17976">
        <v>146221391</v>
      </c>
      <c r="I17976">
        <v>146221420</v>
      </c>
    </row>
    <row r="17977" spans="1:9" x14ac:dyDescent="0.2">
      <c r="A17977" t="str">
        <f>"Rnf7"</f>
        <v>Rnf7</v>
      </c>
      <c r="B17977" t="s">
        <v>14</v>
      </c>
      <c r="C17977" t="s">
        <v>24</v>
      </c>
      <c r="D17977" t="s">
        <v>11</v>
      </c>
      <c r="E17977" t="s">
        <v>12</v>
      </c>
      <c r="F17977">
        <v>96478596</v>
      </c>
      <c r="G17977">
        <v>96478622</v>
      </c>
      <c r="H17977">
        <v>96478631</v>
      </c>
      <c r="I17977">
        <v>96478647</v>
      </c>
    </row>
    <row r="17978" spans="1:9" x14ac:dyDescent="0.2">
      <c r="A17978" t="str">
        <f>"Rnf8"</f>
        <v>Rnf8</v>
      </c>
      <c r="B17978" t="s">
        <v>14</v>
      </c>
      <c r="C17978" t="s">
        <v>28</v>
      </c>
      <c r="D17978" t="s">
        <v>17</v>
      </c>
      <c r="E17978" t="s">
        <v>12</v>
      </c>
      <c r="F17978">
        <v>29614848</v>
      </c>
      <c r="G17978">
        <v>29614928</v>
      </c>
      <c r="H17978">
        <v>29614800</v>
      </c>
      <c r="I17978">
        <v>29614844</v>
      </c>
    </row>
    <row r="17979" spans="1:9" x14ac:dyDescent="0.2">
      <c r="A17979" t="str">
        <f>"Rnft1"</f>
        <v>Rnft1</v>
      </c>
      <c r="B17979" t="s">
        <v>14</v>
      </c>
      <c r="C17979" t="s">
        <v>27</v>
      </c>
      <c r="D17979" t="s">
        <v>17</v>
      </c>
      <c r="E17979" t="s">
        <v>12</v>
      </c>
      <c r="F17979">
        <v>86484647</v>
      </c>
      <c r="G17979">
        <v>86484716</v>
      </c>
      <c r="H17979">
        <v>86484624</v>
      </c>
      <c r="I17979">
        <v>86484643</v>
      </c>
    </row>
    <row r="17980" spans="1:9" x14ac:dyDescent="0.2">
      <c r="A17980" t="str">
        <f>"Rnft2"</f>
        <v>Rnft2</v>
      </c>
      <c r="B17980" t="s">
        <v>14</v>
      </c>
      <c r="C17980" t="s">
        <v>46</v>
      </c>
      <c r="D17980" t="s">
        <v>11</v>
      </c>
      <c r="E17980" t="s">
        <v>12</v>
      </c>
      <c r="F17980">
        <v>118244983</v>
      </c>
      <c r="G17980">
        <v>118245048</v>
      </c>
      <c r="H17980">
        <v>118245115</v>
      </c>
      <c r="I17980">
        <v>118245116</v>
      </c>
    </row>
    <row r="17981" spans="1:9" x14ac:dyDescent="0.2">
      <c r="A17981" t="str">
        <f>"Rngtt"</f>
        <v>Rngtt</v>
      </c>
      <c r="B17981" t="s">
        <v>14</v>
      </c>
      <c r="C17981" t="s">
        <v>23</v>
      </c>
      <c r="D17981" t="s">
        <v>17</v>
      </c>
      <c r="E17981" t="s">
        <v>12</v>
      </c>
      <c r="F17981">
        <v>33310306</v>
      </c>
      <c r="G17981">
        <v>33310387</v>
      </c>
      <c r="H17981">
        <v>33310390</v>
      </c>
      <c r="I17981">
        <v>33310403</v>
      </c>
    </row>
    <row r="17982" spans="1:9" x14ac:dyDescent="0.2">
      <c r="A17982" t="str">
        <f>"Rnh1"</f>
        <v>Rnh1</v>
      </c>
      <c r="B17982" t="s">
        <v>14</v>
      </c>
      <c r="C17982" t="s">
        <v>33</v>
      </c>
      <c r="D17982" t="s">
        <v>11</v>
      </c>
      <c r="E17982" t="s">
        <v>12</v>
      </c>
      <c r="F17982">
        <v>141172809</v>
      </c>
      <c r="G17982">
        <v>141172862</v>
      </c>
      <c r="H17982">
        <v>141172809</v>
      </c>
      <c r="I17982">
        <v>141172862</v>
      </c>
    </row>
    <row r="17983" spans="1:9" x14ac:dyDescent="0.2">
      <c r="A17983" t="str">
        <f>"Rnls"</f>
        <v>Rnls</v>
      </c>
      <c r="B17983" t="s">
        <v>14</v>
      </c>
      <c r="C17983" t="s">
        <v>10</v>
      </c>
      <c r="D17983" t="s">
        <v>11</v>
      </c>
      <c r="E17983" t="s">
        <v>12</v>
      </c>
      <c r="F17983">
        <v>33392255</v>
      </c>
      <c r="G17983">
        <v>33392300</v>
      </c>
      <c r="H17983">
        <v>33392255</v>
      </c>
      <c r="I17983">
        <v>33392300</v>
      </c>
    </row>
    <row r="17984" spans="1:9" x14ac:dyDescent="0.2">
      <c r="A17984" t="str">
        <f>"Rnmt"</f>
        <v>Rnmt</v>
      </c>
      <c r="B17984" t="s">
        <v>14</v>
      </c>
      <c r="C17984" t="s">
        <v>43</v>
      </c>
      <c r="D17984" t="s">
        <v>17</v>
      </c>
      <c r="E17984" t="s">
        <v>12</v>
      </c>
      <c r="F17984">
        <v>68300351</v>
      </c>
      <c r="G17984">
        <v>68300409</v>
      </c>
      <c r="H17984">
        <v>68300351</v>
      </c>
      <c r="I17984">
        <v>68300409</v>
      </c>
    </row>
    <row r="17985" spans="1:9" x14ac:dyDescent="0.2">
      <c r="A17985" t="str">
        <f>"Rnmtl1"</f>
        <v>Rnmtl1</v>
      </c>
      <c r="B17985" t="s">
        <v>14</v>
      </c>
      <c r="C17985" t="s">
        <v>27</v>
      </c>
      <c r="D17985" t="s">
        <v>17</v>
      </c>
      <c r="E17985" t="s">
        <v>12</v>
      </c>
      <c r="F17985">
        <v>76243726</v>
      </c>
      <c r="G17985">
        <v>76243776</v>
      </c>
      <c r="H17985">
        <v>76243726</v>
      </c>
      <c r="I17985">
        <v>76243776</v>
      </c>
    </row>
    <row r="17986" spans="1:9" x14ac:dyDescent="0.2">
      <c r="A17986" t="str">
        <f>"Rnpc3"</f>
        <v>Rnpc3</v>
      </c>
      <c r="B17986" t="s">
        <v>14</v>
      </c>
      <c r="C17986" t="s">
        <v>22</v>
      </c>
      <c r="D17986" t="s">
        <v>11</v>
      </c>
      <c r="E17986" t="s">
        <v>12</v>
      </c>
      <c r="F17986">
        <v>113630068</v>
      </c>
      <c r="G17986">
        <v>113630147</v>
      </c>
      <c r="H17986">
        <v>113630068</v>
      </c>
      <c r="I17986">
        <v>113630147</v>
      </c>
    </row>
    <row r="17987" spans="1:9" x14ac:dyDescent="0.2">
      <c r="A17987" t="str">
        <f>"Rnpep"</f>
        <v>Rnpep</v>
      </c>
      <c r="B17987" t="s">
        <v>14</v>
      </c>
      <c r="C17987" t="s">
        <v>19</v>
      </c>
      <c r="D17987" t="s">
        <v>11</v>
      </c>
      <c r="E17987" t="s">
        <v>12</v>
      </c>
      <c r="F17987">
        <v>135284006</v>
      </c>
      <c r="G17987">
        <v>135284066</v>
      </c>
      <c r="H17987">
        <v>135284075</v>
      </c>
      <c r="I17987">
        <v>135284086</v>
      </c>
    </row>
    <row r="17988" spans="1:9" x14ac:dyDescent="0.2">
      <c r="A17988" t="str">
        <f>"Rnpepl1"</f>
        <v>Rnpepl1</v>
      </c>
      <c r="B17988" t="s">
        <v>14</v>
      </c>
      <c r="C17988" t="s">
        <v>19</v>
      </c>
      <c r="D17988" t="s">
        <v>17</v>
      </c>
      <c r="E17988" t="s">
        <v>12</v>
      </c>
      <c r="F17988">
        <v>92910805</v>
      </c>
      <c r="G17988">
        <v>92910834</v>
      </c>
      <c r="H17988">
        <v>92910612</v>
      </c>
      <c r="I17988">
        <v>92910637</v>
      </c>
    </row>
    <row r="17989" spans="1:9" x14ac:dyDescent="0.2">
      <c r="A17989" t="str">
        <f>"Rnps1"</f>
        <v>Rnps1</v>
      </c>
      <c r="B17989" t="s">
        <v>14</v>
      </c>
      <c r="C17989" t="s">
        <v>28</v>
      </c>
      <c r="D17989" t="s">
        <v>17</v>
      </c>
      <c r="E17989" t="s">
        <v>12</v>
      </c>
      <c r="F17989">
        <v>24414640</v>
      </c>
      <c r="G17989">
        <v>24414691</v>
      </c>
      <c r="H17989">
        <v>24414913</v>
      </c>
      <c r="I17989">
        <v>24414985</v>
      </c>
    </row>
    <row r="17990" spans="1:9" x14ac:dyDescent="0.2">
      <c r="A17990" t="str">
        <f>"Robo1"</f>
        <v>Robo1</v>
      </c>
      <c r="B17990" t="s">
        <v>14</v>
      </c>
      <c r="C17990" t="s">
        <v>31</v>
      </c>
      <c r="D17990" t="s">
        <v>17</v>
      </c>
      <c r="E17990" t="s">
        <v>12</v>
      </c>
      <c r="F17990">
        <v>72663143</v>
      </c>
      <c r="G17990">
        <v>72663189</v>
      </c>
      <c r="H17990">
        <v>72663197</v>
      </c>
      <c r="I17990">
        <v>72663210</v>
      </c>
    </row>
    <row r="17991" spans="1:9" x14ac:dyDescent="0.2">
      <c r="A17991" t="str">
        <f>"Robo2"</f>
        <v>Robo2</v>
      </c>
      <c r="B17991" t="s">
        <v>14</v>
      </c>
      <c r="C17991" t="s">
        <v>31</v>
      </c>
      <c r="D17991" t="s">
        <v>11</v>
      </c>
      <c r="E17991" t="s">
        <v>12</v>
      </c>
      <c r="F17991">
        <v>74411567</v>
      </c>
      <c r="G17991">
        <v>74411628</v>
      </c>
      <c r="H17991">
        <v>74411776</v>
      </c>
      <c r="I17991">
        <v>74411792</v>
      </c>
    </row>
    <row r="17992" spans="1:9" x14ac:dyDescent="0.2">
      <c r="A17992" t="str">
        <f>"Robo3"</f>
        <v>Robo3</v>
      </c>
      <c r="B17992" t="s">
        <v>14</v>
      </c>
      <c r="C17992" t="s">
        <v>24</v>
      </c>
      <c r="D17992" t="s">
        <v>11</v>
      </c>
      <c r="E17992" t="s">
        <v>12</v>
      </c>
      <c r="F17992">
        <v>37433138</v>
      </c>
      <c r="G17992">
        <v>37433167</v>
      </c>
      <c r="H17992">
        <v>37433246</v>
      </c>
      <c r="I17992">
        <v>37433250</v>
      </c>
    </row>
    <row r="17993" spans="1:9" x14ac:dyDescent="0.2">
      <c r="A17993" t="str">
        <f>"Robo4"</f>
        <v>Robo4</v>
      </c>
      <c r="B17993" t="s">
        <v>14</v>
      </c>
      <c r="C17993" t="s">
        <v>24</v>
      </c>
      <c r="D17993" t="s">
        <v>17</v>
      </c>
      <c r="E17993" t="s">
        <v>12</v>
      </c>
      <c r="F17993">
        <v>37401993</v>
      </c>
      <c r="G17993">
        <v>37402057</v>
      </c>
      <c r="H17993">
        <v>37401963</v>
      </c>
      <c r="I17993">
        <v>37401980</v>
      </c>
    </row>
    <row r="17994" spans="1:9" x14ac:dyDescent="0.2">
      <c r="A17994" t="str">
        <f>"Rock1"</f>
        <v>Rock1</v>
      </c>
      <c r="B17994" t="s">
        <v>14</v>
      </c>
      <c r="C17994" t="s">
        <v>43</v>
      </c>
      <c r="D17994" t="s">
        <v>11</v>
      </c>
      <c r="E17994" t="s">
        <v>12</v>
      </c>
      <c r="F17994">
        <v>10182068</v>
      </c>
      <c r="G17994">
        <v>10182092</v>
      </c>
      <c r="H17994">
        <v>10182068</v>
      </c>
      <c r="I17994">
        <v>10182092</v>
      </c>
    </row>
    <row r="17995" spans="1:9" x14ac:dyDescent="0.2">
      <c r="A17995" t="str">
        <f>"Rock2"</f>
        <v>Rock2</v>
      </c>
      <c r="B17995" t="s">
        <v>14</v>
      </c>
      <c r="C17995" t="s">
        <v>16</v>
      </c>
      <c r="D17995" t="s">
        <v>17</v>
      </c>
      <c r="E17995" t="s">
        <v>12</v>
      </c>
      <c r="F17995">
        <v>16894827</v>
      </c>
      <c r="G17995">
        <v>16894887</v>
      </c>
      <c r="H17995">
        <v>16895117</v>
      </c>
      <c r="I17995">
        <v>16895132</v>
      </c>
    </row>
    <row r="17996" spans="1:9" x14ac:dyDescent="0.2">
      <c r="A17996" t="str">
        <f>"Rogdi"</f>
        <v>Rogdi</v>
      </c>
      <c r="B17996" t="s">
        <v>14</v>
      </c>
      <c r="C17996" t="s">
        <v>31</v>
      </c>
      <c r="D17996" t="s">
        <v>11</v>
      </c>
      <c r="E17996" t="s">
        <v>12</v>
      </c>
      <c r="F17996">
        <v>5013505</v>
      </c>
      <c r="G17996">
        <v>5013558</v>
      </c>
      <c r="H17996">
        <v>5013560</v>
      </c>
      <c r="I17996">
        <v>5013569</v>
      </c>
    </row>
    <row r="17997" spans="1:9" x14ac:dyDescent="0.2">
      <c r="A17997" t="str">
        <f>"Rom1"</f>
        <v>Rom1</v>
      </c>
      <c r="B17997" t="s">
        <v>14</v>
      </c>
      <c r="C17997" t="s">
        <v>10</v>
      </c>
      <c r="D17997" t="s">
        <v>11</v>
      </c>
      <c r="E17997" t="s">
        <v>12</v>
      </c>
      <c r="F17997">
        <v>8929181</v>
      </c>
      <c r="G17997">
        <v>8929204</v>
      </c>
      <c r="H17997">
        <v>8929343</v>
      </c>
      <c r="I17997">
        <v>8929381</v>
      </c>
    </row>
    <row r="17998" spans="1:9" x14ac:dyDescent="0.2">
      <c r="A17998" t="str">
        <f>"Romo1"</f>
        <v>Romo1</v>
      </c>
      <c r="B17998" t="s">
        <v>14</v>
      </c>
      <c r="C17998" t="s">
        <v>26</v>
      </c>
      <c r="D17998" t="s">
        <v>17</v>
      </c>
      <c r="E17998" t="s">
        <v>12</v>
      </c>
      <c r="F17998">
        <v>156144203</v>
      </c>
      <c r="G17998">
        <v>156144245</v>
      </c>
      <c r="H17998">
        <v>156144056</v>
      </c>
      <c r="I17998">
        <v>156144086</v>
      </c>
    </row>
    <row r="17999" spans="1:9" x14ac:dyDescent="0.2">
      <c r="A17999" t="str">
        <f>"Ropn1"</f>
        <v>Ropn1</v>
      </c>
      <c r="B17999" t="s">
        <v>9</v>
      </c>
      <c r="C17999" t="s">
        <v>31</v>
      </c>
      <c r="D17999" t="s">
        <v>17</v>
      </c>
      <c r="E17999" t="s">
        <v>12</v>
      </c>
      <c r="F17999">
        <v>34649893</v>
      </c>
      <c r="G17999">
        <v>34649917</v>
      </c>
      <c r="H17999">
        <v>34649893</v>
      </c>
      <c r="I17999">
        <v>34649917</v>
      </c>
    </row>
    <row r="18000" spans="1:9" x14ac:dyDescent="0.2">
      <c r="A18000" t="str">
        <f>"Ropn1"</f>
        <v>Ropn1</v>
      </c>
      <c r="B18000" t="s">
        <v>13</v>
      </c>
      <c r="C18000" t="s">
        <v>31</v>
      </c>
      <c r="D18000" t="s">
        <v>17</v>
      </c>
      <c r="E18000" t="s">
        <v>12</v>
      </c>
      <c r="F18000">
        <v>34651202</v>
      </c>
      <c r="G18000">
        <v>34651219</v>
      </c>
      <c r="H18000">
        <v>34651202</v>
      </c>
      <c r="I18000">
        <v>34651219</v>
      </c>
    </row>
    <row r="18001" spans="1:9" x14ac:dyDescent="0.2">
      <c r="A18001" t="str">
        <f>"Ropn1l"</f>
        <v>Ropn1l</v>
      </c>
      <c r="B18001" t="s">
        <v>14</v>
      </c>
      <c r="C18001" t="s">
        <v>25</v>
      </c>
      <c r="D18001" t="s">
        <v>11</v>
      </c>
      <c r="E18001" t="s">
        <v>12</v>
      </c>
      <c r="F18001">
        <v>31453564</v>
      </c>
      <c r="G18001">
        <v>31453694</v>
      </c>
      <c r="H18001">
        <v>31453564</v>
      </c>
      <c r="I18001">
        <v>31453694</v>
      </c>
    </row>
    <row r="18002" spans="1:9" x14ac:dyDescent="0.2">
      <c r="A18002" t="str">
        <f>"Ror1"</f>
        <v>Ror1</v>
      </c>
      <c r="B18002" t="s">
        <v>14</v>
      </c>
      <c r="C18002" t="s">
        <v>23</v>
      </c>
      <c r="D18002" t="s">
        <v>17</v>
      </c>
      <c r="E18002" t="s">
        <v>12</v>
      </c>
      <c r="F18002">
        <v>100095803</v>
      </c>
      <c r="G18002">
        <v>100095867</v>
      </c>
      <c r="H18002">
        <v>100095877</v>
      </c>
      <c r="I18002">
        <v>100095889</v>
      </c>
    </row>
    <row r="18003" spans="1:9" x14ac:dyDescent="0.2">
      <c r="A18003" t="str">
        <f>"Ror2"</f>
        <v>Ror2</v>
      </c>
      <c r="B18003" t="s">
        <v>14</v>
      </c>
      <c r="C18003" t="s">
        <v>39</v>
      </c>
      <c r="D18003" t="s">
        <v>11</v>
      </c>
      <c r="E18003" t="s">
        <v>12</v>
      </c>
      <c r="F18003">
        <v>53286052</v>
      </c>
      <c r="G18003">
        <v>53286129</v>
      </c>
      <c r="H18003">
        <v>53286195</v>
      </c>
      <c r="I18003">
        <v>53286213</v>
      </c>
    </row>
    <row r="18004" spans="1:9" x14ac:dyDescent="0.2">
      <c r="A18004" t="str">
        <f>"Rora"</f>
        <v>Rora</v>
      </c>
      <c r="B18004" t="s">
        <v>14</v>
      </c>
      <c r="C18004" t="s">
        <v>24</v>
      </c>
      <c r="D18004" t="s">
        <v>17</v>
      </c>
      <c r="E18004" t="s">
        <v>12</v>
      </c>
      <c r="F18004">
        <v>69289909</v>
      </c>
      <c r="G18004">
        <v>69289937</v>
      </c>
      <c r="H18004">
        <v>69289865</v>
      </c>
      <c r="I18004">
        <v>69289895</v>
      </c>
    </row>
    <row r="18005" spans="1:9" x14ac:dyDescent="0.2">
      <c r="A18005" t="str">
        <f>"Rorb"</f>
        <v>Rorb</v>
      </c>
      <c r="B18005" t="s">
        <v>14</v>
      </c>
      <c r="C18005" t="s">
        <v>10</v>
      </c>
      <c r="D18005" t="s">
        <v>11</v>
      </c>
      <c r="E18005" t="s">
        <v>12</v>
      </c>
      <c r="F18005">
        <v>19111181</v>
      </c>
      <c r="G18005">
        <v>19111203</v>
      </c>
      <c r="H18005">
        <v>19111207</v>
      </c>
      <c r="I18005">
        <v>19111221</v>
      </c>
    </row>
    <row r="18006" spans="1:9" x14ac:dyDescent="0.2">
      <c r="A18006" t="str">
        <f>"Rorc"</f>
        <v>Rorc</v>
      </c>
      <c r="B18006" t="s">
        <v>9</v>
      </c>
      <c r="C18006" t="s">
        <v>22</v>
      </c>
      <c r="D18006" t="s">
        <v>17</v>
      </c>
      <c r="E18006" t="s">
        <v>12</v>
      </c>
      <c r="F18006">
        <v>94372811</v>
      </c>
      <c r="G18006">
        <v>94372872</v>
      </c>
      <c r="H18006">
        <v>94372811</v>
      </c>
      <c r="I18006">
        <v>94372872</v>
      </c>
    </row>
    <row r="18007" spans="1:9" x14ac:dyDescent="0.2">
      <c r="A18007" t="str">
        <f>"Rorc"</f>
        <v>Rorc</v>
      </c>
      <c r="B18007" t="s">
        <v>13</v>
      </c>
      <c r="C18007" t="s">
        <v>22</v>
      </c>
      <c r="D18007" t="s">
        <v>17</v>
      </c>
      <c r="E18007" t="s">
        <v>12</v>
      </c>
      <c r="F18007">
        <v>94377454</v>
      </c>
      <c r="G18007">
        <v>94377481</v>
      </c>
      <c r="H18007">
        <v>94377454</v>
      </c>
      <c r="I18007">
        <v>94377481</v>
      </c>
    </row>
    <row r="18008" spans="1:9" x14ac:dyDescent="0.2">
      <c r="A18008" t="str">
        <f>"Ros1"</f>
        <v>Ros1</v>
      </c>
      <c r="B18008" t="s">
        <v>14</v>
      </c>
      <c r="C18008" t="s">
        <v>15</v>
      </c>
      <c r="D18008" t="s">
        <v>11</v>
      </c>
      <c r="E18008" t="s">
        <v>12</v>
      </c>
      <c r="F18008">
        <v>52195026</v>
      </c>
      <c r="G18008">
        <v>52195083</v>
      </c>
      <c r="H18008">
        <v>52195357</v>
      </c>
      <c r="I18008">
        <v>52195377</v>
      </c>
    </row>
    <row r="18009" spans="1:9" x14ac:dyDescent="0.2">
      <c r="A18009" t="str">
        <f>"Rp1"</f>
        <v>Rp1</v>
      </c>
      <c r="B18009" t="s">
        <v>14</v>
      </c>
      <c r="C18009" t="s">
        <v>19</v>
      </c>
      <c r="D18009" t="s">
        <v>11</v>
      </c>
      <c r="E18009" t="s">
        <v>12</v>
      </c>
      <c r="F18009">
        <v>4360256</v>
      </c>
      <c r="G18009">
        <v>4360312</v>
      </c>
      <c r="H18009">
        <v>4360256</v>
      </c>
      <c r="I18009">
        <v>4360312</v>
      </c>
    </row>
    <row r="18010" spans="1:9" x14ac:dyDescent="0.2">
      <c r="A18010" t="str">
        <f>"Rp1l1"</f>
        <v>Rp1l1</v>
      </c>
      <c r="B18010" t="s">
        <v>14</v>
      </c>
      <c r="C18010" t="s">
        <v>41</v>
      </c>
      <c r="D18010" t="s">
        <v>17</v>
      </c>
      <c r="E18010" t="s">
        <v>12</v>
      </c>
      <c r="F18010">
        <v>63992425</v>
      </c>
      <c r="G18010">
        <v>63992443</v>
      </c>
      <c r="H18010">
        <v>63992467</v>
      </c>
      <c r="I18010">
        <v>63992479</v>
      </c>
    </row>
    <row r="18011" spans="1:9" x14ac:dyDescent="0.2">
      <c r="A18011" t="str">
        <f>"Rp2h"</f>
        <v>Rp2h</v>
      </c>
      <c r="B18011" t="s">
        <v>14</v>
      </c>
      <c r="C18011" t="s">
        <v>37</v>
      </c>
      <c r="D18011" t="s">
        <v>17</v>
      </c>
      <c r="E18011" t="s">
        <v>12</v>
      </c>
      <c r="F18011">
        <v>20364555</v>
      </c>
      <c r="G18011">
        <v>20364616</v>
      </c>
      <c r="H18011">
        <v>20364641</v>
      </c>
      <c r="I18011">
        <v>20364666</v>
      </c>
    </row>
    <row r="18012" spans="1:9" x14ac:dyDescent="0.2">
      <c r="A18012" t="str">
        <f>"Rp9"</f>
        <v>Rp9</v>
      </c>
      <c r="B18012" t="s">
        <v>14</v>
      </c>
      <c r="C18012" t="s">
        <v>24</v>
      </c>
      <c r="D18012" t="s">
        <v>11</v>
      </c>
      <c r="E18012" t="s">
        <v>12</v>
      </c>
      <c r="F18012">
        <v>22468294</v>
      </c>
      <c r="G18012">
        <v>22468383</v>
      </c>
      <c r="H18012">
        <v>22468229</v>
      </c>
      <c r="I18012">
        <v>22468246</v>
      </c>
    </row>
    <row r="18013" spans="1:9" x14ac:dyDescent="0.2">
      <c r="A18013" t="str">
        <f>"Rpa1"</f>
        <v>Rpa1</v>
      </c>
      <c r="B18013" t="s">
        <v>14</v>
      </c>
      <c r="C18013" t="s">
        <v>27</v>
      </c>
      <c r="D18013" t="s">
        <v>11</v>
      </c>
      <c r="E18013" t="s">
        <v>12</v>
      </c>
      <c r="F18013">
        <v>75348261</v>
      </c>
      <c r="G18013">
        <v>75348323</v>
      </c>
      <c r="H18013">
        <v>75348335</v>
      </c>
      <c r="I18013">
        <v>75348342</v>
      </c>
    </row>
    <row r="18014" spans="1:9" x14ac:dyDescent="0.2">
      <c r="A18014" t="str">
        <f>"Rpa2"</f>
        <v>Rpa2</v>
      </c>
      <c r="B18014" t="s">
        <v>14</v>
      </c>
      <c r="C18014" t="s">
        <v>23</v>
      </c>
      <c r="D18014" t="s">
        <v>17</v>
      </c>
      <c r="E18014" t="s">
        <v>12</v>
      </c>
      <c r="F18014">
        <v>132768325</v>
      </c>
      <c r="G18014">
        <v>132768390</v>
      </c>
      <c r="H18014">
        <v>132768759</v>
      </c>
      <c r="I18014">
        <v>132768760</v>
      </c>
    </row>
    <row r="18015" spans="1:9" x14ac:dyDescent="0.2">
      <c r="A18015" t="str">
        <f>"Rpa3"</f>
        <v>Rpa3</v>
      </c>
      <c r="B18015" t="s">
        <v>14</v>
      </c>
      <c r="C18015" t="s">
        <v>32</v>
      </c>
      <c r="D18015" t="s">
        <v>11</v>
      </c>
      <c r="E18015" t="s">
        <v>12</v>
      </c>
      <c r="F18015">
        <v>8259098</v>
      </c>
      <c r="G18015">
        <v>8259153</v>
      </c>
      <c r="H18015">
        <v>8259277</v>
      </c>
      <c r="I18015">
        <v>8259311</v>
      </c>
    </row>
    <row r="18016" spans="1:9" x14ac:dyDescent="0.2">
      <c r="A18016" t="str">
        <f>"Rpain"</f>
        <v>Rpain</v>
      </c>
      <c r="B18016" t="s">
        <v>14</v>
      </c>
      <c r="C18016" t="s">
        <v>27</v>
      </c>
      <c r="D18016" t="s">
        <v>17</v>
      </c>
      <c r="E18016" t="s">
        <v>12</v>
      </c>
      <c r="F18016">
        <v>70970467</v>
      </c>
      <c r="G18016">
        <v>70970517</v>
      </c>
      <c r="H18016">
        <v>70970181</v>
      </c>
      <c r="I18016">
        <v>70970196</v>
      </c>
    </row>
    <row r="18017" spans="1:9" x14ac:dyDescent="0.2">
      <c r="A18017" t="str">
        <f>"Rpap1"</f>
        <v>Rpap1</v>
      </c>
      <c r="B18017" t="s">
        <v>14</v>
      </c>
      <c r="C18017" t="s">
        <v>26</v>
      </c>
      <c r="D18017" t="s">
        <v>11</v>
      </c>
      <c r="E18017" t="s">
        <v>12</v>
      </c>
      <c r="F18017">
        <v>119787504</v>
      </c>
      <c r="G18017">
        <v>119787533</v>
      </c>
      <c r="H18017">
        <v>119787504</v>
      </c>
      <c r="I18017">
        <v>119787533</v>
      </c>
    </row>
    <row r="18018" spans="1:9" x14ac:dyDescent="0.2">
      <c r="A18018" t="str">
        <f>"Rpap2"</f>
        <v>Rpap2</v>
      </c>
      <c r="B18018" t="s">
        <v>14</v>
      </c>
      <c r="C18018" t="s">
        <v>46</v>
      </c>
      <c r="D18018" t="s">
        <v>17</v>
      </c>
      <c r="E18018" t="s">
        <v>12</v>
      </c>
      <c r="F18018">
        <v>107597696</v>
      </c>
      <c r="G18018">
        <v>107597731</v>
      </c>
      <c r="H18018">
        <v>107597760</v>
      </c>
      <c r="I18018">
        <v>107597784</v>
      </c>
    </row>
    <row r="18019" spans="1:9" x14ac:dyDescent="0.2">
      <c r="A18019" t="str">
        <f>"Rpap3"</f>
        <v>Rpap3</v>
      </c>
      <c r="B18019" t="s">
        <v>14</v>
      </c>
      <c r="C18019" t="s">
        <v>25</v>
      </c>
      <c r="D18019" t="s">
        <v>11</v>
      </c>
      <c r="E18019" t="s">
        <v>12</v>
      </c>
      <c r="F18019">
        <v>97705787</v>
      </c>
      <c r="G18019">
        <v>97705842</v>
      </c>
      <c r="H18019">
        <v>97705787</v>
      </c>
      <c r="I18019">
        <v>97705842</v>
      </c>
    </row>
    <row r="18020" spans="1:9" x14ac:dyDescent="0.2">
      <c r="A18020" t="str">
        <f>"Rpe"</f>
        <v>Rpe</v>
      </c>
      <c r="B18020" t="s">
        <v>14</v>
      </c>
      <c r="C18020" t="s">
        <v>19</v>
      </c>
      <c r="D18020" t="s">
        <v>17</v>
      </c>
      <c r="E18020" t="s">
        <v>12</v>
      </c>
      <c r="F18020">
        <v>66700876</v>
      </c>
      <c r="G18020">
        <v>66700898</v>
      </c>
      <c r="H18020">
        <v>66700862</v>
      </c>
      <c r="I18020">
        <v>66700875</v>
      </c>
    </row>
    <row r="18021" spans="1:9" x14ac:dyDescent="0.2">
      <c r="A18021" t="str">
        <f>"Rpe65"</f>
        <v>Rpe65</v>
      </c>
      <c r="B18021" t="s">
        <v>14</v>
      </c>
      <c r="C18021" t="s">
        <v>22</v>
      </c>
      <c r="D18021" t="s">
        <v>17</v>
      </c>
      <c r="E18021" t="s">
        <v>12</v>
      </c>
      <c r="F18021">
        <v>159599177</v>
      </c>
      <c r="G18021">
        <v>159599191</v>
      </c>
      <c r="H18021">
        <v>159599177</v>
      </c>
      <c r="I18021">
        <v>159599191</v>
      </c>
    </row>
    <row r="18022" spans="1:9" x14ac:dyDescent="0.2">
      <c r="A18022" t="str">
        <f>"Rpf1"</f>
        <v>Rpf1</v>
      </c>
      <c r="B18022" t="s">
        <v>14</v>
      </c>
      <c r="C18022" t="s">
        <v>22</v>
      </c>
      <c r="D18022" t="s">
        <v>11</v>
      </c>
      <c r="E18022" t="s">
        <v>12</v>
      </c>
      <c r="F18022">
        <v>146521396</v>
      </c>
      <c r="G18022">
        <v>146521430</v>
      </c>
      <c r="H18022">
        <v>146521396</v>
      </c>
      <c r="I18022">
        <v>146521430</v>
      </c>
    </row>
    <row r="18023" spans="1:9" x14ac:dyDescent="0.2">
      <c r="A18023" t="str">
        <f>"Rpf2"</f>
        <v>Rpf2</v>
      </c>
      <c r="B18023" t="s">
        <v>14</v>
      </c>
      <c r="C18023" t="s">
        <v>15</v>
      </c>
      <c r="D18023" t="s">
        <v>11</v>
      </c>
      <c r="E18023" t="s">
        <v>12</v>
      </c>
      <c r="F18023">
        <v>40246991</v>
      </c>
      <c r="G18023">
        <v>40247045</v>
      </c>
      <c r="H18023">
        <v>40247117</v>
      </c>
      <c r="I18023">
        <v>40247135</v>
      </c>
    </row>
    <row r="18024" spans="1:9" x14ac:dyDescent="0.2">
      <c r="A18024" t="str">
        <f>"Rpgr"</f>
        <v>Rpgr</v>
      </c>
      <c r="B18024" t="s">
        <v>14</v>
      </c>
      <c r="C18024" t="s">
        <v>37</v>
      </c>
      <c r="D18024" t="s">
        <v>11</v>
      </c>
      <c r="E18024" t="s">
        <v>12</v>
      </c>
      <c r="F18024">
        <v>10216685</v>
      </c>
      <c r="G18024">
        <v>10216765</v>
      </c>
      <c r="H18024">
        <v>10216437</v>
      </c>
      <c r="I18024">
        <v>10216482</v>
      </c>
    </row>
    <row r="18025" spans="1:9" x14ac:dyDescent="0.2">
      <c r="A18025" t="str">
        <f>"Rpgrip1"</f>
        <v>Rpgrip1</v>
      </c>
      <c r="B18025" t="s">
        <v>14</v>
      </c>
      <c r="C18025" t="s">
        <v>41</v>
      </c>
      <c r="D18025" t="s">
        <v>17</v>
      </c>
      <c r="E18025" t="s">
        <v>12</v>
      </c>
      <c r="F18025">
        <v>52110910</v>
      </c>
      <c r="G18025">
        <v>52110932</v>
      </c>
      <c r="H18025">
        <v>52110939</v>
      </c>
      <c r="I18025">
        <v>52110953</v>
      </c>
    </row>
    <row r="18026" spans="1:9" x14ac:dyDescent="0.2">
      <c r="A18026" t="str">
        <f>"Rpgrip1l"</f>
        <v>Rpgrip1l</v>
      </c>
      <c r="B18026" t="s">
        <v>14</v>
      </c>
      <c r="C18026" t="s">
        <v>30</v>
      </c>
      <c r="D18026" t="s">
        <v>11</v>
      </c>
      <c r="E18026" t="s">
        <v>12</v>
      </c>
      <c r="F18026">
        <v>91313223</v>
      </c>
      <c r="G18026">
        <v>91313279</v>
      </c>
      <c r="H18026">
        <v>91313376</v>
      </c>
      <c r="I18026">
        <v>91313388</v>
      </c>
    </row>
    <row r="18027" spans="1:9" x14ac:dyDescent="0.2">
      <c r="A18027" t="str">
        <f>"Rph3a"</f>
        <v>Rph3a</v>
      </c>
      <c r="B18027" t="s">
        <v>14</v>
      </c>
      <c r="C18027" t="s">
        <v>46</v>
      </c>
      <c r="D18027" t="s">
        <v>11</v>
      </c>
      <c r="E18027" t="s">
        <v>12</v>
      </c>
      <c r="F18027">
        <v>121009530</v>
      </c>
      <c r="G18027">
        <v>121009577</v>
      </c>
      <c r="H18027">
        <v>121009441</v>
      </c>
      <c r="I18027">
        <v>121009480</v>
      </c>
    </row>
    <row r="18028" spans="1:9" x14ac:dyDescent="0.2">
      <c r="A18028" t="str">
        <f>"Rph3al"</f>
        <v>Rph3al</v>
      </c>
      <c r="B18028" t="s">
        <v>9</v>
      </c>
      <c r="C18028" t="s">
        <v>27</v>
      </c>
      <c r="D18028" t="s">
        <v>11</v>
      </c>
      <c r="E18028" t="s">
        <v>12</v>
      </c>
      <c r="F18028">
        <v>75925901</v>
      </c>
      <c r="G18028">
        <v>75925946</v>
      </c>
      <c r="H18028">
        <v>75925901</v>
      </c>
      <c r="I18028">
        <v>75925946</v>
      </c>
    </row>
    <row r="18029" spans="1:9" x14ac:dyDescent="0.2">
      <c r="A18029" t="str">
        <f>"Rph3al"</f>
        <v>Rph3al</v>
      </c>
      <c r="B18029" t="s">
        <v>13</v>
      </c>
      <c r="C18029" t="s">
        <v>27</v>
      </c>
      <c r="D18029" t="s">
        <v>11</v>
      </c>
      <c r="E18029" t="s">
        <v>12</v>
      </c>
      <c r="F18029">
        <v>75937677</v>
      </c>
      <c r="G18029">
        <v>75937722</v>
      </c>
      <c r="H18029">
        <v>75937677</v>
      </c>
      <c r="I18029">
        <v>75937722</v>
      </c>
    </row>
    <row r="18030" spans="1:9" x14ac:dyDescent="0.2">
      <c r="A18030" t="str">
        <f>"Rpia"</f>
        <v>Rpia</v>
      </c>
      <c r="B18030" t="s">
        <v>14</v>
      </c>
      <c r="C18030" t="s">
        <v>32</v>
      </c>
      <c r="D18030" t="s">
        <v>11</v>
      </c>
      <c r="E18030" t="s">
        <v>12</v>
      </c>
      <c r="F18030">
        <v>70791997</v>
      </c>
      <c r="G18030">
        <v>70792017</v>
      </c>
      <c r="H18030">
        <v>70792155</v>
      </c>
      <c r="I18030">
        <v>70792199</v>
      </c>
    </row>
    <row r="18031" spans="1:9" x14ac:dyDescent="0.2">
      <c r="A18031" t="str">
        <f>"Rpl10"</f>
        <v>Rpl10</v>
      </c>
      <c r="B18031" t="s">
        <v>14</v>
      </c>
      <c r="C18031" t="s">
        <v>37</v>
      </c>
      <c r="D18031" t="s">
        <v>17</v>
      </c>
      <c r="E18031" t="s">
        <v>12</v>
      </c>
      <c r="F18031">
        <v>74270849</v>
      </c>
      <c r="G18031">
        <v>74270870</v>
      </c>
      <c r="H18031">
        <v>74270849</v>
      </c>
      <c r="I18031">
        <v>74270870</v>
      </c>
    </row>
    <row r="18032" spans="1:9" x14ac:dyDescent="0.2">
      <c r="A18032" t="str">
        <f>"Rpl10-ps3"</f>
        <v>Rpl10-ps3</v>
      </c>
      <c r="B18032" t="s">
        <v>5700</v>
      </c>
      <c r="C18032" t="s">
        <v>24</v>
      </c>
      <c r="D18032" t="s">
        <v>11</v>
      </c>
      <c r="E18032" t="s">
        <v>20</v>
      </c>
      <c r="F18032">
        <v>50344980</v>
      </c>
      <c r="G18032">
        <v>50344980</v>
      </c>
      <c r="H18032">
        <v>50344980</v>
      </c>
      <c r="I18032">
        <v>50344980</v>
      </c>
    </row>
    <row r="18033" spans="1:9" x14ac:dyDescent="0.2">
      <c r="A18033" t="str">
        <f>"Rpl10a"</f>
        <v>Rpl10a</v>
      </c>
      <c r="B18033" t="s">
        <v>14</v>
      </c>
      <c r="C18033" t="s">
        <v>28</v>
      </c>
      <c r="D18033" t="s">
        <v>17</v>
      </c>
      <c r="E18033" t="s">
        <v>12</v>
      </c>
      <c r="F18033">
        <v>28328576</v>
      </c>
      <c r="G18033">
        <v>28328591</v>
      </c>
      <c r="H18033">
        <v>28328549</v>
      </c>
      <c r="I18033">
        <v>28328570</v>
      </c>
    </row>
    <row r="18034" spans="1:9" x14ac:dyDescent="0.2">
      <c r="A18034" t="str">
        <f>"Rpl10a-ps2"</f>
        <v>Rpl10a-ps2</v>
      </c>
      <c r="B18034" t="s">
        <v>5701</v>
      </c>
      <c r="C18034" t="s">
        <v>39</v>
      </c>
      <c r="D18034" t="s">
        <v>11</v>
      </c>
      <c r="E18034" t="s">
        <v>20</v>
      </c>
      <c r="F18034">
        <v>8940976</v>
      </c>
      <c r="G18034">
        <v>8940976</v>
      </c>
      <c r="H18034">
        <v>8940976</v>
      </c>
      <c r="I18034">
        <v>8940976</v>
      </c>
    </row>
    <row r="18035" spans="1:9" x14ac:dyDescent="0.2">
      <c r="A18035" t="str">
        <f>"Rpl10l"</f>
        <v>Rpl10l</v>
      </c>
      <c r="B18035" t="s">
        <v>14</v>
      </c>
      <c r="C18035" t="s">
        <v>16</v>
      </c>
      <c r="D18035" t="s">
        <v>11</v>
      </c>
      <c r="E18035" t="s">
        <v>12</v>
      </c>
      <c r="F18035">
        <v>66284394</v>
      </c>
      <c r="G18035">
        <v>66284412</v>
      </c>
      <c r="H18035">
        <v>66284416</v>
      </c>
      <c r="I18035">
        <v>66284429</v>
      </c>
    </row>
    <row r="18036" spans="1:9" x14ac:dyDescent="0.2">
      <c r="A18036" t="str">
        <f>"Rpl11"</f>
        <v>Rpl11</v>
      </c>
      <c r="B18036" t="s">
        <v>14</v>
      </c>
      <c r="C18036" t="s">
        <v>23</v>
      </c>
      <c r="D18036" t="s">
        <v>11</v>
      </c>
      <c r="E18036" t="s">
        <v>12</v>
      </c>
      <c r="F18036">
        <v>136053343</v>
      </c>
      <c r="G18036">
        <v>136053415</v>
      </c>
      <c r="H18036">
        <v>136053083</v>
      </c>
      <c r="I18036">
        <v>136053118</v>
      </c>
    </row>
    <row r="18037" spans="1:9" x14ac:dyDescent="0.2">
      <c r="A18037" t="str">
        <f>"Rpl12"</f>
        <v>Rpl12</v>
      </c>
      <c r="B18037" t="s">
        <v>14</v>
      </c>
      <c r="C18037" t="s">
        <v>26</v>
      </c>
      <c r="D18037" t="s">
        <v>17</v>
      </c>
      <c r="E18037" t="s">
        <v>12</v>
      </c>
      <c r="F18037">
        <v>32961665</v>
      </c>
      <c r="G18037">
        <v>32961692</v>
      </c>
      <c r="H18037">
        <v>32961701</v>
      </c>
      <c r="I18037">
        <v>32961714</v>
      </c>
    </row>
    <row r="18038" spans="1:9" x14ac:dyDescent="0.2">
      <c r="A18038" t="str">
        <f>"Rpl13"</f>
        <v>Rpl13</v>
      </c>
      <c r="B18038" t="s">
        <v>14</v>
      </c>
      <c r="C18038" t="s">
        <v>30</v>
      </c>
      <c r="D18038" t="s">
        <v>17</v>
      </c>
      <c r="E18038" t="s">
        <v>12</v>
      </c>
      <c r="F18038">
        <v>123102359</v>
      </c>
      <c r="G18038">
        <v>123102420</v>
      </c>
      <c r="H18038">
        <v>123102431</v>
      </c>
      <c r="I18038">
        <v>123102454</v>
      </c>
    </row>
    <row r="18039" spans="1:9" x14ac:dyDescent="0.2">
      <c r="A18039" t="str">
        <f>"Rpl13-ps3"</f>
        <v>Rpl13-ps3</v>
      </c>
      <c r="B18039" t="s">
        <v>14</v>
      </c>
      <c r="C18039" t="s">
        <v>41</v>
      </c>
      <c r="D18039" t="s">
        <v>17</v>
      </c>
      <c r="E18039" t="s">
        <v>67</v>
      </c>
      <c r="F18039">
        <v>58893465</v>
      </c>
      <c r="G18039">
        <v>58893469</v>
      </c>
      <c r="H18039">
        <v>58893465</v>
      </c>
      <c r="I18039">
        <v>58893469</v>
      </c>
    </row>
    <row r="18040" spans="1:9" x14ac:dyDescent="0.2">
      <c r="A18040" t="str">
        <f>"Rpl13a"</f>
        <v>Rpl13a</v>
      </c>
      <c r="B18040" t="s">
        <v>9</v>
      </c>
      <c r="C18040" t="s">
        <v>33</v>
      </c>
      <c r="D18040" t="s">
        <v>11</v>
      </c>
      <c r="E18040" t="s">
        <v>12</v>
      </c>
      <c r="F18040">
        <v>45128725</v>
      </c>
      <c r="G18040">
        <v>45128747</v>
      </c>
      <c r="H18040">
        <v>45128725</v>
      </c>
      <c r="I18040">
        <v>45128747</v>
      </c>
    </row>
    <row r="18041" spans="1:9" x14ac:dyDescent="0.2">
      <c r="A18041" t="str">
        <f>"Rpl13a"</f>
        <v>Rpl13a</v>
      </c>
      <c r="B18041" t="s">
        <v>13</v>
      </c>
      <c r="C18041" t="s">
        <v>33</v>
      </c>
      <c r="D18041" t="s">
        <v>11</v>
      </c>
      <c r="E18041" t="s">
        <v>12</v>
      </c>
      <c r="F18041">
        <v>45136391</v>
      </c>
      <c r="G18041">
        <v>45136451</v>
      </c>
      <c r="H18041">
        <v>45136391</v>
      </c>
      <c r="I18041">
        <v>45136451</v>
      </c>
    </row>
    <row r="18042" spans="1:9" x14ac:dyDescent="0.2">
      <c r="A18042" t="str">
        <f>"Rpl13a-ps1"</f>
        <v>Rpl13a-ps1</v>
      </c>
      <c r="B18042" t="s">
        <v>14</v>
      </c>
      <c r="C18042" t="s">
        <v>10</v>
      </c>
      <c r="D18042" t="s">
        <v>11</v>
      </c>
      <c r="E18042" t="s">
        <v>67</v>
      </c>
      <c r="F18042">
        <v>50030750</v>
      </c>
      <c r="G18042">
        <v>50030765</v>
      </c>
      <c r="H18042">
        <v>50030750</v>
      </c>
      <c r="I18042">
        <v>50030765</v>
      </c>
    </row>
    <row r="18043" spans="1:9" x14ac:dyDescent="0.2">
      <c r="A18043" t="str">
        <f>"Rpl14"</f>
        <v>Rpl14</v>
      </c>
      <c r="B18043" t="s">
        <v>14</v>
      </c>
      <c r="C18043" t="s">
        <v>24</v>
      </c>
      <c r="D18043" t="s">
        <v>17</v>
      </c>
      <c r="E18043" t="s">
        <v>12</v>
      </c>
      <c r="F18043">
        <v>120571498</v>
      </c>
      <c r="G18043">
        <v>120571522</v>
      </c>
      <c r="H18043">
        <v>120571156</v>
      </c>
      <c r="I18043">
        <v>120571157</v>
      </c>
    </row>
    <row r="18044" spans="1:9" x14ac:dyDescent="0.2">
      <c r="A18044" t="str">
        <f>"Rpl15"</f>
        <v>Rpl15</v>
      </c>
      <c r="B18044" t="s">
        <v>14</v>
      </c>
      <c r="C18044" t="s">
        <v>41</v>
      </c>
      <c r="D18044" t="s">
        <v>11</v>
      </c>
      <c r="E18044" t="s">
        <v>12</v>
      </c>
      <c r="F18044">
        <v>18270953</v>
      </c>
      <c r="G18044">
        <v>18270991</v>
      </c>
      <c r="H18044">
        <v>18271400</v>
      </c>
      <c r="I18044">
        <v>18271412</v>
      </c>
    </row>
    <row r="18045" spans="1:9" x14ac:dyDescent="0.2">
      <c r="A18045" t="str">
        <f>"Rpl17"</f>
        <v>Rpl17</v>
      </c>
      <c r="B18045" t="s">
        <v>14</v>
      </c>
      <c r="C18045" t="s">
        <v>43</v>
      </c>
      <c r="D18045" t="s">
        <v>17</v>
      </c>
      <c r="E18045" t="s">
        <v>12</v>
      </c>
      <c r="F18045">
        <v>75000515</v>
      </c>
      <c r="G18045">
        <v>75000559</v>
      </c>
      <c r="H18045">
        <v>75000469</v>
      </c>
      <c r="I18045">
        <v>75000487</v>
      </c>
    </row>
    <row r="18046" spans="1:9" x14ac:dyDescent="0.2">
      <c r="A18046" t="str">
        <f>"Rpl18"</f>
        <v>Rpl18</v>
      </c>
      <c r="B18046" t="s">
        <v>14</v>
      </c>
      <c r="C18046" t="s">
        <v>33</v>
      </c>
      <c r="D18046" t="s">
        <v>17</v>
      </c>
      <c r="E18046" t="s">
        <v>12</v>
      </c>
      <c r="F18046">
        <v>45718058</v>
      </c>
      <c r="G18046">
        <v>45718111</v>
      </c>
      <c r="H18046">
        <v>45718121</v>
      </c>
      <c r="I18046">
        <v>45718147</v>
      </c>
    </row>
    <row r="18047" spans="1:9" x14ac:dyDescent="0.2">
      <c r="A18047" t="str">
        <f>"Rpl18a"</f>
        <v>Rpl18a</v>
      </c>
      <c r="B18047" t="s">
        <v>14</v>
      </c>
      <c r="C18047" t="s">
        <v>30</v>
      </c>
      <c r="D18047" t="s">
        <v>11</v>
      </c>
      <c r="E18047" t="s">
        <v>12</v>
      </c>
      <c r="F18047">
        <v>70897407</v>
      </c>
      <c r="G18047">
        <v>70897423</v>
      </c>
      <c r="H18047">
        <v>70897496</v>
      </c>
      <c r="I18047">
        <v>70897508</v>
      </c>
    </row>
    <row r="18048" spans="1:9" x14ac:dyDescent="0.2">
      <c r="A18048" t="str">
        <f>"Rpl19"</f>
        <v>Rpl19</v>
      </c>
      <c r="B18048" t="s">
        <v>14</v>
      </c>
      <c r="C18048" t="s">
        <v>27</v>
      </c>
      <c r="D18048" t="s">
        <v>17</v>
      </c>
      <c r="E18048" t="s">
        <v>12</v>
      </c>
      <c r="F18048">
        <v>98026939</v>
      </c>
      <c r="G18048">
        <v>98026968</v>
      </c>
      <c r="H18048">
        <v>98026695</v>
      </c>
      <c r="I18048">
        <v>98026744</v>
      </c>
    </row>
    <row r="18049" spans="1:9" x14ac:dyDescent="0.2">
      <c r="A18049" t="str">
        <f>"Rpl21"</f>
        <v>Rpl21</v>
      </c>
      <c r="B18049" t="s">
        <v>14</v>
      </c>
      <c r="C18049" t="s">
        <v>46</v>
      </c>
      <c r="D18049" t="s">
        <v>17</v>
      </c>
      <c r="E18049" t="s">
        <v>12</v>
      </c>
      <c r="F18049">
        <v>146833106</v>
      </c>
      <c r="G18049">
        <v>146833210</v>
      </c>
      <c r="H18049">
        <v>146833106</v>
      </c>
      <c r="I18049">
        <v>146833210</v>
      </c>
    </row>
    <row r="18050" spans="1:9" x14ac:dyDescent="0.2">
      <c r="A18050" t="str">
        <f>"Rpl21-ps4"</f>
        <v>Rpl21-ps4</v>
      </c>
      <c r="B18050" t="s">
        <v>14</v>
      </c>
      <c r="C18050" t="s">
        <v>41</v>
      </c>
      <c r="D18050" t="s">
        <v>17</v>
      </c>
      <c r="E18050" t="s">
        <v>67</v>
      </c>
      <c r="F18050">
        <v>11227511</v>
      </c>
      <c r="G18050">
        <v>11227514</v>
      </c>
      <c r="H18050">
        <v>11227511</v>
      </c>
      <c r="I18050">
        <v>11227514</v>
      </c>
    </row>
    <row r="18051" spans="1:9" x14ac:dyDescent="0.2">
      <c r="A18051" t="str">
        <f>"Rpl21-ps6"</f>
        <v>Rpl21-ps6</v>
      </c>
      <c r="B18051" t="s">
        <v>5702</v>
      </c>
      <c r="C18051" t="s">
        <v>28</v>
      </c>
      <c r="D18051" t="s">
        <v>11</v>
      </c>
      <c r="E18051" t="s">
        <v>20</v>
      </c>
      <c r="F18051">
        <v>55915869</v>
      </c>
      <c r="G18051">
        <v>55915869</v>
      </c>
      <c r="H18051">
        <v>55915869</v>
      </c>
      <c r="I18051">
        <v>55915869</v>
      </c>
    </row>
    <row r="18052" spans="1:9" x14ac:dyDescent="0.2">
      <c r="A18052" t="str">
        <f>"Rpl22"</f>
        <v>Rpl22</v>
      </c>
      <c r="B18052" t="s">
        <v>14</v>
      </c>
      <c r="C18052" t="s">
        <v>23</v>
      </c>
      <c r="D18052" t="s">
        <v>17</v>
      </c>
      <c r="E18052" t="s">
        <v>12</v>
      </c>
      <c r="F18052">
        <v>152325831</v>
      </c>
      <c r="G18052">
        <v>152325876</v>
      </c>
      <c r="H18052">
        <v>152325831</v>
      </c>
      <c r="I18052">
        <v>152325876</v>
      </c>
    </row>
    <row r="18053" spans="1:9" x14ac:dyDescent="0.2">
      <c r="A18053" t="str">
        <f>"Rpl22l1"</f>
        <v>Rpl22l1</v>
      </c>
      <c r="B18053" t="s">
        <v>14</v>
      </c>
      <c r="C18053" t="s">
        <v>22</v>
      </c>
      <c r="D18053" t="s">
        <v>17</v>
      </c>
      <c r="E18053" t="s">
        <v>12</v>
      </c>
      <c r="F18053">
        <v>28805498</v>
      </c>
      <c r="G18053">
        <v>28805521</v>
      </c>
      <c r="H18053">
        <v>28805498</v>
      </c>
      <c r="I18053">
        <v>28805521</v>
      </c>
    </row>
    <row r="18054" spans="1:9" x14ac:dyDescent="0.2">
      <c r="A18054" t="str">
        <f>"Rpl23"</f>
        <v>Rpl23</v>
      </c>
      <c r="B18054" t="s">
        <v>14</v>
      </c>
      <c r="C18054" t="s">
        <v>27</v>
      </c>
      <c r="D18054" t="s">
        <v>11</v>
      </c>
      <c r="E18054" t="s">
        <v>12</v>
      </c>
      <c r="F18054">
        <v>97782377</v>
      </c>
      <c r="G18054">
        <v>97782399</v>
      </c>
      <c r="H18054">
        <v>97782409</v>
      </c>
      <c r="I18054">
        <v>97782420</v>
      </c>
    </row>
    <row r="18055" spans="1:9" x14ac:dyDescent="0.2">
      <c r="A18055" t="str">
        <f>"Rpl23a"</f>
        <v>Rpl23a</v>
      </c>
      <c r="B18055" t="s">
        <v>14</v>
      </c>
      <c r="C18055" t="s">
        <v>27</v>
      </c>
      <c r="D18055" t="s">
        <v>11</v>
      </c>
      <c r="E18055" t="s">
        <v>12</v>
      </c>
      <c r="F18055">
        <v>78183551</v>
      </c>
      <c r="G18055">
        <v>78183574</v>
      </c>
      <c r="H18055">
        <v>78183551</v>
      </c>
      <c r="I18055">
        <v>78183574</v>
      </c>
    </row>
    <row r="18056" spans="1:9" x14ac:dyDescent="0.2">
      <c r="A18056" t="str">
        <f>"Rpl23a-ps1"</f>
        <v>Rpl23a-ps1</v>
      </c>
      <c r="B18056" t="s">
        <v>14</v>
      </c>
      <c r="C18056" t="s">
        <v>19</v>
      </c>
      <c r="D18056" t="s">
        <v>17</v>
      </c>
      <c r="E18056" t="s">
        <v>67</v>
      </c>
      <c r="F18056">
        <v>45981533</v>
      </c>
      <c r="G18056">
        <v>45981541</v>
      </c>
      <c r="H18056">
        <v>45981533</v>
      </c>
      <c r="I18056">
        <v>45981541</v>
      </c>
    </row>
    <row r="18057" spans="1:9" x14ac:dyDescent="0.2">
      <c r="A18057" t="str">
        <f>"Rpl23a-ps3"</f>
        <v>Rpl23a-ps3</v>
      </c>
      <c r="B18057" t="s">
        <v>14</v>
      </c>
      <c r="C18057" t="s">
        <v>41</v>
      </c>
      <c r="D18057" t="s">
        <v>17</v>
      </c>
      <c r="E18057" t="s">
        <v>67</v>
      </c>
      <c r="F18057">
        <v>34170640</v>
      </c>
      <c r="G18057">
        <v>34170641</v>
      </c>
      <c r="H18057">
        <v>34170640</v>
      </c>
      <c r="I18057">
        <v>34170641</v>
      </c>
    </row>
    <row r="18058" spans="1:9" x14ac:dyDescent="0.2">
      <c r="A18058" t="str">
        <f>"Rpl24"</f>
        <v>Rpl24</v>
      </c>
      <c r="B18058" t="s">
        <v>9</v>
      </c>
      <c r="C18058" t="s">
        <v>31</v>
      </c>
      <c r="D18058" t="s">
        <v>17</v>
      </c>
      <c r="E18058" t="s">
        <v>12</v>
      </c>
      <c r="F18058">
        <v>55973811</v>
      </c>
      <c r="G18058">
        <v>55973830</v>
      </c>
      <c r="H18058">
        <v>55973811</v>
      </c>
      <c r="I18058">
        <v>55973830</v>
      </c>
    </row>
    <row r="18059" spans="1:9" x14ac:dyDescent="0.2">
      <c r="A18059" t="str">
        <f>"Rpl24"</f>
        <v>Rpl24</v>
      </c>
      <c r="B18059" t="s">
        <v>13</v>
      </c>
      <c r="C18059" t="s">
        <v>31</v>
      </c>
      <c r="D18059" t="s">
        <v>17</v>
      </c>
      <c r="E18059" t="s">
        <v>12</v>
      </c>
      <c r="F18059">
        <v>55966379</v>
      </c>
      <c r="G18059">
        <v>55966404</v>
      </c>
      <c r="H18059">
        <v>55966379</v>
      </c>
      <c r="I18059">
        <v>55966404</v>
      </c>
    </row>
    <row r="18060" spans="1:9" x14ac:dyDescent="0.2">
      <c r="A18060" t="str">
        <f>"Rpl26"</f>
        <v>Rpl26</v>
      </c>
      <c r="B18060" t="s">
        <v>14</v>
      </c>
      <c r="C18060" t="s">
        <v>27</v>
      </c>
      <c r="D18060" t="s">
        <v>17</v>
      </c>
      <c r="E18060" t="s">
        <v>12</v>
      </c>
      <c r="F18060">
        <v>68901538</v>
      </c>
      <c r="G18060">
        <v>68901633</v>
      </c>
      <c r="H18060">
        <v>68901645</v>
      </c>
      <c r="I18060">
        <v>68901655</v>
      </c>
    </row>
    <row r="18061" spans="1:9" x14ac:dyDescent="0.2">
      <c r="A18061" t="str">
        <f>"Rpl27"</f>
        <v>Rpl27</v>
      </c>
      <c r="B18061" t="s">
        <v>14</v>
      </c>
      <c r="C18061" t="s">
        <v>27</v>
      </c>
      <c r="D18061" t="s">
        <v>17</v>
      </c>
      <c r="E18061" t="s">
        <v>12</v>
      </c>
      <c r="F18061">
        <v>101442440</v>
      </c>
      <c r="G18061">
        <v>101442468</v>
      </c>
      <c r="H18061">
        <v>101442412</v>
      </c>
      <c r="I18061">
        <v>101442439</v>
      </c>
    </row>
    <row r="18062" spans="1:9" x14ac:dyDescent="0.2">
      <c r="A18062" t="str">
        <f>"Rpl27-ps3"</f>
        <v>Rpl27-ps3</v>
      </c>
      <c r="B18062" t="s">
        <v>5703</v>
      </c>
      <c r="C18062" t="s">
        <v>43</v>
      </c>
      <c r="D18062" t="s">
        <v>17</v>
      </c>
      <c r="E18062" t="s">
        <v>20</v>
      </c>
      <c r="F18062">
        <v>6332589</v>
      </c>
      <c r="G18062">
        <v>6332589</v>
      </c>
      <c r="H18062">
        <v>6332589</v>
      </c>
      <c r="I18062">
        <v>6332589</v>
      </c>
    </row>
    <row r="18063" spans="1:9" x14ac:dyDescent="0.2">
      <c r="A18063" t="str">
        <f>"Rpl27a"</f>
        <v>Rpl27a</v>
      </c>
      <c r="B18063" t="s">
        <v>14</v>
      </c>
      <c r="C18063" t="s">
        <v>33</v>
      </c>
      <c r="D18063" t="s">
        <v>17</v>
      </c>
      <c r="E18063" t="s">
        <v>12</v>
      </c>
      <c r="F18063">
        <v>109519139</v>
      </c>
      <c r="G18063">
        <v>109519242</v>
      </c>
      <c r="H18063">
        <v>109519261</v>
      </c>
      <c r="I18063">
        <v>109519268</v>
      </c>
    </row>
    <row r="18064" spans="1:9" x14ac:dyDescent="0.2">
      <c r="A18064" t="str">
        <f>"Rpl28"</f>
        <v>Rpl28</v>
      </c>
      <c r="B18064" t="s">
        <v>14</v>
      </c>
      <c r="C18064" t="s">
        <v>33</v>
      </c>
      <c r="D18064" t="s">
        <v>17</v>
      </c>
      <c r="E18064" t="s">
        <v>12</v>
      </c>
      <c r="F18064">
        <v>4792924</v>
      </c>
      <c r="G18064">
        <v>4793026</v>
      </c>
      <c r="H18064">
        <v>4793126</v>
      </c>
      <c r="I18064">
        <v>4793156</v>
      </c>
    </row>
    <row r="18065" spans="1:9" x14ac:dyDescent="0.2">
      <c r="A18065" t="str">
        <f>"Rpl28-ps4"</f>
        <v>Rpl28-ps4</v>
      </c>
      <c r="B18065" t="s">
        <v>14</v>
      </c>
      <c r="C18065" t="s">
        <v>32</v>
      </c>
      <c r="D18065" t="s">
        <v>11</v>
      </c>
      <c r="E18065" t="s">
        <v>67</v>
      </c>
      <c r="F18065">
        <v>117214105</v>
      </c>
      <c r="G18065">
        <v>117214107</v>
      </c>
      <c r="H18065">
        <v>117214105</v>
      </c>
      <c r="I18065">
        <v>117214107</v>
      </c>
    </row>
    <row r="18066" spans="1:9" x14ac:dyDescent="0.2">
      <c r="A18066" t="str">
        <f>"Rpl29"</f>
        <v>Rpl29</v>
      </c>
      <c r="B18066" t="s">
        <v>14</v>
      </c>
      <c r="C18066" t="s">
        <v>24</v>
      </c>
      <c r="D18066" t="s">
        <v>17</v>
      </c>
      <c r="E18066" t="s">
        <v>12</v>
      </c>
      <c r="F18066">
        <v>106429549</v>
      </c>
      <c r="G18066">
        <v>106429602</v>
      </c>
      <c r="H18066">
        <v>106429399</v>
      </c>
      <c r="I18066">
        <v>106429457</v>
      </c>
    </row>
    <row r="18067" spans="1:9" x14ac:dyDescent="0.2">
      <c r="A18067" t="str">
        <f>"Rpl3"</f>
        <v>Rpl3</v>
      </c>
      <c r="B18067" t="s">
        <v>14</v>
      </c>
      <c r="C18067" t="s">
        <v>25</v>
      </c>
      <c r="D18067" t="s">
        <v>11</v>
      </c>
      <c r="E18067" t="s">
        <v>12</v>
      </c>
      <c r="F18067">
        <v>80083342</v>
      </c>
      <c r="G18067">
        <v>80083359</v>
      </c>
      <c r="H18067">
        <v>80083374</v>
      </c>
      <c r="I18067">
        <v>80083420</v>
      </c>
    </row>
    <row r="18068" spans="1:9" x14ac:dyDescent="0.2">
      <c r="A18068" t="str">
        <f>"Rpl30"</f>
        <v>Rpl30</v>
      </c>
      <c r="B18068" t="s">
        <v>14</v>
      </c>
      <c r="C18068" t="s">
        <v>25</v>
      </c>
      <c r="D18068" t="s">
        <v>11</v>
      </c>
      <c r="E18068" t="s">
        <v>12</v>
      </c>
      <c r="F18068">
        <v>34443229</v>
      </c>
      <c r="G18068">
        <v>34443272</v>
      </c>
      <c r="H18068">
        <v>34443176</v>
      </c>
      <c r="I18068">
        <v>34443204</v>
      </c>
    </row>
    <row r="18069" spans="1:9" x14ac:dyDescent="0.2">
      <c r="A18069" t="str">
        <f>"Rpl31"</f>
        <v>Rpl31</v>
      </c>
      <c r="B18069" t="s">
        <v>14</v>
      </c>
      <c r="C18069" t="s">
        <v>19</v>
      </c>
      <c r="D18069" t="s">
        <v>17</v>
      </c>
      <c r="E18069" t="s">
        <v>12</v>
      </c>
      <c r="F18069">
        <v>39367900</v>
      </c>
      <c r="G18069">
        <v>39367931</v>
      </c>
      <c r="H18069">
        <v>39367816</v>
      </c>
      <c r="I18069">
        <v>39367848</v>
      </c>
    </row>
    <row r="18070" spans="1:9" x14ac:dyDescent="0.2">
      <c r="A18070" t="str">
        <f>"Rpl32"</f>
        <v>Rpl32</v>
      </c>
      <c r="B18070" t="s">
        <v>14</v>
      </c>
      <c r="C18070" t="s">
        <v>32</v>
      </c>
      <c r="D18070" t="s">
        <v>11</v>
      </c>
      <c r="E18070" t="s">
        <v>12</v>
      </c>
      <c r="F18070">
        <v>115808736</v>
      </c>
      <c r="G18070">
        <v>115808754</v>
      </c>
      <c r="H18070">
        <v>115808765</v>
      </c>
      <c r="I18070">
        <v>115808779</v>
      </c>
    </row>
    <row r="18071" spans="1:9" x14ac:dyDescent="0.2">
      <c r="A18071" t="str">
        <f>"Rpl34"</f>
        <v>Rpl34</v>
      </c>
      <c r="B18071" t="s">
        <v>14</v>
      </c>
      <c r="C18071" t="s">
        <v>22</v>
      </c>
      <c r="D18071" t="s">
        <v>11</v>
      </c>
      <c r="E18071" t="s">
        <v>12</v>
      </c>
      <c r="F18071">
        <v>130730310</v>
      </c>
      <c r="G18071">
        <v>130730352</v>
      </c>
      <c r="H18071">
        <v>130730375</v>
      </c>
      <c r="I18071">
        <v>130730386</v>
      </c>
    </row>
    <row r="18072" spans="1:9" x14ac:dyDescent="0.2">
      <c r="A18072" t="str">
        <f>"Rpl35"</f>
        <v>Rpl35</v>
      </c>
      <c r="B18072" t="s">
        <v>14</v>
      </c>
      <c r="C18072" t="s">
        <v>26</v>
      </c>
      <c r="D18072" t="s">
        <v>11</v>
      </c>
      <c r="E18072" t="s">
        <v>12</v>
      </c>
      <c r="F18072">
        <v>39005126</v>
      </c>
      <c r="G18072">
        <v>39005145</v>
      </c>
      <c r="H18072">
        <v>39005126</v>
      </c>
      <c r="I18072">
        <v>39005145</v>
      </c>
    </row>
    <row r="18073" spans="1:9" x14ac:dyDescent="0.2">
      <c r="A18073" t="str">
        <f>"Rpl35a"</f>
        <v>Rpl35a</v>
      </c>
      <c r="B18073" t="s">
        <v>14</v>
      </c>
      <c r="C18073" t="s">
        <v>31</v>
      </c>
      <c r="D18073" t="s">
        <v>17</v>
      </c>
      <c r="E18073" t="s">
        <v>12</v>
      </c>
      <c r="F18073">
        <v>33056456</v>
      </c>
      <c r="G18073">
        <v>33056495</v>
      </c>
      <c r="H18073">
        <v>33057041</v>
      </c>
      <c r="I18073">
        <v>33057068</v>
      </c>
    </row>
    <row r="18074" spans="1:9" x14ac:dyDescent="0.2">
      <c r="A18074" t="str">
        <f>"Rpl36"</f>
        <v>Rpl36</v>
      </c>
      <c r="B18074" t="s">
        <v>14</v>
      </c>
      <c r="C18074" t="s">
        <v>28</v>
      </c>
      <c r="D18074" t="s">
        <v>17</v>
      </c>
      <c r="E18074" t="s">
        <v>12</v>
      </c>
      <c r="F18074">
        <v>56613436</v>
      </c>
      <c r="G18074">
        <v>56613477</v>
      </c>
      <c r="H18074">
        <v>56613392</v>
      </c>
      <c r="I18074">
        <v>56613425</v>
      </c>
    </row>
    <row r="18075" spans="1:9" x14ac:dyDescent="0.2">
      <c r="A18075" t="str">
        <f>"Rpl36-ps3"</f>
        <v>Rpl36-ps3</v>
      </c>
      <c r="B18075" t="s">
        <v>14</v>
      </c>
      <c r="C18075" t="s">
        <v>16</v>
      </c>
      <c r="D18075" t="s">
        <v>17</v>
      </c>
      <c r="E18075" t="s">
        <v>67</v>
      </c>
      <c r="F18075">
        <v>12911976</v>
      </c>
      <c r="G18075">
        <v>12911985</v>
      </c>
      <c r="H18075">
        <v>12911976</v>
      </c>
      <c r="I18075">
        <v>12911985</v>
      </c>
    </row>
    <row r="18076" spans="1:9" x14ac:dyDescent="0.2">
      <c r="A18076" t="str">
        <f>"Rpl36-ps4"</f>
        <v>Rpl36-ps4</v>
      </c>
      <c r="B18076" t="s">
        <v>5704</v>
      </c>
      <c r="C18076" t="s">
        <v>28</v>
      </c>
      <c r="D18076" t="s">
        <v>17</v>
      </c>
      <c r="E18076" t="s">
        <v>20</v>
      </c>
      <c r="F18076">
        <v>87920976</v>
      </c>
      <c r="G18076">
        <v>87920976</v>
      </c>
      <c r="H18076">
        <v>87920976</v>
      </c>
      <c r="I18076">
        <v>87920976</v>
      </c>
    </row>
    <row r="18077" spans="1:9" x14ac:dyDescent="0.2">
      <c r="A18077" t="str">
        <f>"Rpl36a"</f>
        <v>Rpl36a</v>
      </c>
      <c r="B18077" t="s">
        <v>5705</v>
      </c>
      <c r="C18077" t="s">
        <v>37</v>
      </c>
      <c r="D18077" t="s">
        <v>17</v>
      </c>
      <c r="E18077" t="s">
        <v>35</v>
      </c>
      <c r="F18077">
        <v>134585583</v>
      </c>
      <c r="G18077">
        <v>134585585</v>
      </c>
      <c r="H18077">
        <v>134585708</v>
      </c>
      <c r="I18077">
        <v>134585717</v>
      </c>
    </row>
    <row r="18078" spans="1:9" x14ac:dyDescent="0.2">
      <c r="A18078" t="str">
        <f>"Rpl36al"</f>
        <v>Rpl36al</v>
      </c>
      <c r="B18078" t="s">
        <v>14</v>
      </c>
      <c r="C18078" t="s">
        <v>16</v>
      </c>
      <c r="D18078" t="s">
        <v>11</v>
      </c>
      <c r="E18078" t="s">
        <v>12</v>
      </c>
      <c r="F18078">
        <v>69184025</v>
      </c>
      <c r="G18078">
        <v>69184051</v>
      </c>
      <c r="H18078">
        <v>69184025</v>
      </c>
      <c r="I18078">
        <v>69184051</v>
      </c>
    </row>
    <row r="18079" spans="1:9" x14ac:dyDescent="0.2">
      <c r="A18079" t="str">
        <f>"Rpl37"</f>
        <v>Rpl37</v>
      </c>
      <c r="B18079" t="s">
        <v>14</v>
      </c>
      <c r="C18079" t="s">
        <v>25</v>
      </c>
      <c r="D18079" t="s">
        <v>17</v>
      </c>
      <c r="E18079" t="s">
        <v>12</v>
      </c>
      <c r="F18079">
        <v>5116634</v>
      </c>
      <c r="G18079">
        <v>5116678</v>
      </c>
      <c r="H18079">
        <v>5116589</v>
      </c>
      <c r="I18079">
        <v>5116629</v>
      </c>
    </row>
    <row r="18080" spans="1:9" x14ac:dyDescent="0.2">
      <c r="A18080" t="str">
        <f>"Rpl37a"</f>
        <v>Rpl37a</v>
      </c>
      <c r="B18080" t="s">
        <v>14</v>
      </c>
      <c r="C18080" t="s">
        <v>19</v>
      </c>
      <c r="D18080" t="s">
        <v>17</v>
      </c>
      <c r="E18080" t="s">
        <v>12</v>
      </c>
      <c r="F18080">
        <v>72711259</v>
      </c>
      <c r="G18080">
        <v>72711296</v>
      </c>
      <c r="H18080">
        <v>72711238</v>
      </c>
      <c r="I18080">
        <v>72711252</v>
      </c>
    </row>
    <row r="18081" spans="1:9" x14ac:dyDescent="0.2">
      <c r="A18081" t="str">
        <f>"Rpl38"</f>
        <v>Rpl38</v>
      </c>
      <c r="B18081" t="s">
        <v>14</v>
      </c>
      <c r="C18081" t="s">
        <v>27</v>
      </c>
      <c r="D18081" t="s">
        <v>17</v>
      </c>
      <c r="E18081" t="s">
        <v>12</v>
      </c>
      <c r="F18081">
        <v>114668570</v>
      </c>
      <c r="G18081">
        <v>114668607</v>
      </c>
      <c r="H18081">
        <v>114668753</v>
      </c>
      <c r="I18081">
        <v>114668774</v>
      </c>
    </row>
    <row r="18082" spans="1:9" x14ac:dyDescent="0.2">
      <c r="A18082" t="str">
        <f>"Rpl39"</f>
        <v>Rpl39</v>
      </c>
      <c r="B18082" t="s">
        <v>14</v>
      </c>
      <c r="C18082" t="s">
        <v>37</v>
      </c>
      <c r="D18082" t="s">
        <v>11</v>
      </c>
      <c r="E18082" t="s">
        <v>12</v>
      </c>
      <c r="F18082">
        <v>37085184</v>
      </c>
      <c r="G18082">
        <v>37085226</v>
      </c>
      <c r="H18082">
        <v>37085240</v>
      </c>
      <c r="I18082">
        <v>37085246</v>
      </c>
    </row>
    <row r="18083" spans="1:9" x14ac:dyDescent="0.2">
      <c r="A18083" t="str">
        <f>"Rpl39l"</f>
        <v>Rpl39l</v>
      </c>
      <c r="B18083" t="s">
        <v>14</v>
      </c>
      <c r="C18083" t="s">
        <v>31</v>
      </c>
      <c r="D18083" t="s">
        <v>17</v>
      </c>
      <c r="E18083" t="s">
        <v>12</v>
      </c>
      <c r="F18083">
        <v>10170228</v>
      </c>
      <c r="G18083">
        <v>10170263</v>
      </c>
      <c r="H18083">
        <v>10170216</v>
      </c>
      <c r="I18083">
        <v>10170227</v>
      </c>
    </row>
    <row r="18084" spans="1:9" x14ac:dyDescent="0.2">
      <c r="A18084" t="str">
        <f>"Rpl3l"</f>
        <v>Rpl3l</v>
      </c>
      <c r="B18084" t="s">
        <v>14</v>
      </c>
      <c r="C18084" t="s">
        <v>28</v>
      </c>
      <c r="D18084" t="s">
        <v>17</v>
      </c>
      <c r="E18084" t="s">
        <v>12</v>
      </c>
      <c r="F18084">
        <v>24727819</v>
      </c>
      <c r="G18084">
        <v>24727839</v>
      </c>
      <c r="H18084">
        <v>24727848</v>
      </c>
      <c r="I18084">
        <v>24727863</v>
      </c>
    </row>
    <row r="18085" spans="1:9" x14ac:dyDescent="0.2">
      <c r="A18085" t="str">
        <f>"Rpl4"</f>
        <v>Rpl4</v>
      </c>
      <c r="B18085" t="s">
        <v>14</v>
      </c>
      <c r="C18085" t="s">
        <v>24</v>
      </c>
      <c r="D18085" t="s">
        <v>17</v>
      </c>
      <c r="E18085" t="s">
        <v>12</v>
      </c>
      <c r="F18085">
        <v>64173364</v>
      </c>
      <c r="G18085">
        <v>64173388</v>
      </c>
      <c r="H18085">
        <v>64173001</v>
      </c>
      <c r="I18085">
        <v>64173004</v>
      </c>
    </row>
    <row r="18086" spans="1:9" x14ac:dyDescent="0.2">
      <c r="A18086" t="str">
        <f>"Rpl41"</f>
        <v>Rpl41</v>
      </c>
      <c r="B18086" t="s">
        <v>14</v>
      </c>
      <c r="C18086" t="s">
        <v>15</v>
      </c>
      <c r="D18086" t="s">
        <v>11</v>
      </c>
      <c r="E18086" t="s">
        <v>12</v>
      </c>
      <c r="F18086">
        <v>128549103</v>
      </c>
      <c r="G18086">
        <v>128549121</v>
      </c>
      <c r="H18086">
        <v>128549125</v>
      </c>
      <c r="I18086">
        <v>128549170</v>
      </c>
    </row>
    <row r="18087" spans="1:9" x14ac:dyDescent="0.2">
      <c r="A18087" t="str">
        <f>"Rpl5"</f>
        <v>Rpl5</v>
      </c>
      <c r="B18087" t="s">
        <v>14</v>
      </c>
      <c r="C18087" t="s">
        <v>46</v>
      </c>
      <c r="D18087" t="s">
        <v>17</v>
      </c>
      <c r="E18087" t="s">
        <v>12</v>
      </c>
      <c r="F18087">
        <v>107900532</v>
      </c>
      <c r="G18087">
        <v>107900577</v>
      </c>
      <c r="H18087">
        <v>107900859</v>
      </c>
      <c r="I18087">
        <v>107900879</v>
      </c>
    </row>
    <row r="18088" spans="1:9" x14ac:dyDescent="0.2">
      <c r="A18088" t="str">
        <f>"Rpl6"</f>
        <v>Rpl6</v>
      </c>
      <c r="B18088" t="s">
        <v>14</v>
      </c>
      <c r="C18088" t="s">
        <v>46</v>
      </c>
      <c r="D18088" t="s">
        <v>17</v>
      </c>
      <c r="E18088" t="s">
        <v>12</v>
      </c>
      <c r="F18088">
        <v>121204516</v>
      </c>
      <c r="G18088">
        <v>121204556</v>
      </c>
      <c r="H18088">
        <v>121204477</v>
      </c>
      <c r="I18088">
        <v>121204499</v>
      </c>
    </row>
    <row r="18089" spans="1:9" x14ac:dyDescent="0.2">
      <c r="A18089" t="str">
        <f>"Rpl7"</f>
        <v>Rpl7</v>
      </c>
      <c r="B18089" t="s">
        <v>14</v>
      </c>
      <c r="C18089" t="s">
        <v>19</v>
      </c>
      <c r="D18089" t="s">
        <v>11</v>
      </c>
      <c r="E18089" t="s">
        <v>12</v>
      </c>
      <c r="F18089">
        <v>16104396</v>
      </c>
      <c r="G18089">
        <v>16104435</v>
      </c>
      <c r="H18089">
        <v>16104385</v>
      </c>
      <c r="I18089">
        <v>16104392</v>
      </c>
    </row>
    <row r="18090" spans="1:9" x14ac:dyDescent="0.2">
      <c r="A18090" t="str">
        <f>"Rpl7a"</f>
        <v>Rpl7a</v>
      </c>
      <c r="B18090" t="s">
        <v>14</v>
      </c>
      <c r="C18090" t="s">
        <v>26</v>
      </c>
      <c r="D18090" t="s">
        <v>17</v>
      </c>
      <c r="E18090" t="s">
        <v>12</v>
      </c>
      <c r="F18090">
        <v>26910796</v>
      </c>
      <c r="G18090">
        <v>26910820</v>
      </c>
      <c r="H18090">
        <v>26910747</v>
      </c>
      <c r="I18090">
        <v>26910769</v>
      </c>
    </row>
    <row r="18091" spans="1:9" x14ac:dyDescent="0.2">
      <c r="A18091" t="str">
        <f>"Rpl7a-ps10"</f>
        <v>Rpl7a-ps10</v>
      </c>
      <c r="B18091" t="s">
        <v>14</v>
      </c>
      <c r="C18091" t="s">
        <v>24</v>
      </c>
      <c r="D18091" t="s">
        <v>17</v>
      </c>
      <c r="E18091" t="s">
        <v>67</v>
      </c>
      <c r="F18091">
        <v>97179153</v>
      </c>
      <c r="G18091">
        <v>97179163</v>
      </c>
      <c r="H18091">
        <v>97179153</v>
      </c>
      <c r="I18091">
        <v>97179163</v>
      </c>
    </row>
    <row r="18092" spans="1:9" x14ac:dyDescent="0.2">
      <c r="A18092" t="str">
        <f>"Rpl7a-ps3"</f>
        <v>Rpl7a-ps3</v>
      </c>
      <c r="B18092" t="s">
        <v>14</v>
      </c>
      <c r="C18092" t="s">
        <v>25</v>
      </c>
      <c r="D18092" t="s">
        <v>11</v>
      </c>
      <c r="E18092" t="s">
        <v>67</v>
      </c>
      <c r="F18092">
        <v>36308965</v>
      </c>
      <c r="G18092">
        <v>36308968</v>
      </c>
      <c r="H18092">
        <v>36308965</v>
      </c>
      <c r="I18092">
        <v>36308968</v>
      </c>
    </row>
    <row r="18093" spans="1:9" x14ac:dyDescent="0.2">
      <c r="A18093" t="str">
        <f>"Rpl7a-ps5"</f>
        <v>Rpl7a-ps5</v>
      </c>
      <c r="B18093" t="s">
        <v>14</v>
      </c>
      <c r="C18093" t="s">
        <v>28</v>
      </c>
      <c r="D18093" t="s">
        <v>11</v>
      </c>
      <c r="E18093" t="s">
        <v>67</v>
      </c>
      <c r="F18093">
        <v>57839243</v>
      </c>
      <c r="G18093">
        <v>57839244</v>
      </c>
      <c r="H18093">
        <v>57839243</v>
      </c>
      <c r="I18093">
        <v>57839244</v>
      </c>
    </row>
    <row r="18094" spans="1:9" x14ac:dyDescent="0.2">
      <c r="A18094" t="str">
        <f>"Rpl7a-ps8"</f>
        <v>Rpl7a-ps8</v>
      </c>
      <c r="B18094" t="s">
        <v>14</v>
      </c>
      <c r="C18094" t="s">
        <v>33</v>
      </c>
      <c r="D18094" t="s">
        <v>17</v>
      </c>
      <c r="E18094" t="s">
        <v>67</v>
      </c>
      <c r="F18094">
        <v>19953565</v>
      </c>
      <c r="G18094">
        <v>19953569</v>
      </c>
      <c r="H18094">
        <v>19953565</v>
      </c>
      <c r="I18094">
        <v>19953569</v>
      </c>
    </row>
    <row r="18095" spans="1:9" x14ac:dyDescent="0.2">
      <c r="A18095" t="str">
        <f>"Rpl7l1"</f>
        <v>Rpl7l1</v>
      </c>
      <c r="B18095" t="s">
        <v>14</v>
      </c>
      <c r="C18095" t="s">
        <v>28</v>
      </c>
      <c r="D18095" t="s">
        <v>11</v>
      </c>
      <c r="E18095" t="s">
        <v>12</v>
      </c>
      <c r="F18095">
        <v>46782640</v>
      </c>
      <c r="G18095">
        <v>46782677</v>
      </c>
      <c r="H18095">
        <v>46782988</v>
      </c>
      <c r="I18095">
        <v>46782989</v>
      </c>
    </row>
    <row r="18096" spans="1:9" x14ac:dyDescent="0.2">
      <c r="A18096" t="str">
        <f>"Rpl8"</f>
        <v>Rpl8</v>
      </c>
      <c r="B18096" t="s">
        <v>14</v>
      </c>
      <c r="C18096" t="s">
        <v>25</v>
      </c>
      <c r="D18096" t="s">
        <v>17</v>
      </c>
      <c r="E18096" t="s">
        <v>12</v>
      </c>
      <c r="F18096">
        <v>76904070</v>
      </c>
      <c r="G18096">
        <v>76904092</v>
      </c>
      <c r="H18096">
        <v>76904070</v>
      </c>
      <c r="I18096">
        <v>76904092</v>
      </c>
    </row>
    <row r="18097" spans="1:9" x14ac:dyDescent="0.2">
      <c r="A18097" t="str">
        <f>"Rpl9"</f>
        <v>Rpl9</v>
      </c>
      <c r="B18097" t="s">
        <v>14</v>
      </c>
      <c r="C18097" t="s">
        <v>46</v>
      </c>
      <c r="D18097" t="s">
        <v>11</v>
      </c>
      <c r="E18097" t="s">
        <v>12</v>
      </c>
      <c r="F18097">
        <v>65391408</v>
      </c>
      <c r="G18097">
        <v>65391451</v>
      </c>
      <c r="H18097">
        <v>65391385</v>
      </c>
      <c r="I18097">
        <v>65391405</v>
      </c>
    </row>
    <row r="18098" spans="1:9" x14ac:dyDescent="0.2">
      <c r="A18098" t="str">
        <f>"Rpl9-ps1"</f>
        <v>Rpl9-ps1</v>
      </c>
      <c r="B18098" t="s">
        <v>14</v>
      </c>
      <c r="C18098" t="s">
        <v>27</v>
      </c>
      <c r="D18098" t="s">
        <v>11</v>
      </c>
      <c r="E18098" t="s">
        <v>67</v>
      </c>
      <c r="F18098">
        <v>83645637</v>
      </c>
      <c r="G18098">
        <v>83645642</v>
      </c>
      <c r="H18098">
        <v>83645637</v>
      </c>
      <c r="I18098">
        <v>83645642</v>
      </c>
    </row>
    <row r="18099" spans="1:9" x14ac:dyDescent="0.2">
      <c r="A18099" t="str">
        <f>"Rpl9-ps6"</f>
        <v>Rpl9-ps6</v>
      </c>
      <c r="B18099" t="s">
        <v>5706</v>
      </c>
      <c r="C18099" t="s">
        <v>10</v>
      </c>
      <c r="D18099" t="s">
        <v>11</v>
      </c>
      <c r="E18099" t="s">
        <v>20</v>
      </c>
      <c r="F18099">
        <v>32466574</v>
      </c>
      <c r="G18099">
        <v>32466574</v>
      </c>
      <c r="H18099">
        <v>32466574</v>
      </c>
      <c r="I18099">
        <v>32466574</v>
      </c>
    </row>
    <row r="18100" spans="1:9" x14ac:dyDescent="0.2">
      <c r="A18100" t="str">
        <f>"Rplp0"</f>
        <v>Rplp0</v>
      </c>
      <c r="B18100" t="s">
        <v>14</v>
      </c>
      <c r="C18100" t="s">
        <v>46</v>
      </c>
      <c r="D18100" t="s">
        <v>17</v>
      </c>
      <c r="E18100" t="s">
        <v>12</v>
      </c>
      <c r="F18100">
        <v>115559505</v>
      </c>
      <c r="G18100">
        <v>115559519</v>
      </c>
      <c r="H18100">
        <v>115559488</v>
      </c>
      <c r="I18100">
        <v>115559499</v>
      </c>
    </row>
    <row r="18101" spans="1:9" x14ac:dyDescent="0.2">
      <c r="A18101" t="str">
        <f>"Rplp1"</f>
        <v>Rplp1</v>
      </c>
      <c r="B18101" t="s">
        <v>14</v>
      </c>
      <c r="C18101" t="s">
        <v>24</v>
      </c>
      <c r="D18101" t="s">
        <v>11</v>
      </c>
      <c r="E18101" t="s">
        <v>12</v>
      </c>
      <c r="F18101">
        <v>61914538</v>
      </c>
      <c r="G18101">
        <v>61914574</v>
      </c>
      <c r="H18101">
        <v>61914601</v>
      </c>
      <c r="I18101">
        <v>61914606</v>
      </c>
    </row>
    <row r="18102" spans="1:9" x14ac:dyDescent="0.2">
      <c r="A18102" t="str">
        <f>"Rplp2"</f>
        <v>Rplp2</v>
      </c>
      <c r="B18102" t="s">
        <v>14</v>
      </c>
      <c r="C18102" t="s">
        <v>33</v>
      </c>
      <c r="D18102" t="s">
        <v>17</v>
      </c>
      <c r="E18102" t="s">
        <v>12</v>
      </c>
      <c r="F18102">
        <v>141447645</v>
      </c>
      <c r="G18102">
        <v>141447655</v>
      </c>
      <c r="H18102">
        <v>141447862</v>
      </c>
      <c r="I18102">
        <v>141447899</v>
      </c>
    </row>
    <row r="18103" spans="1:9" x14ac:dyDescent="0.2">
      <c r="A18103" t="str">
        <f>"Rpn1"</f>
        <v>Rpn1</v>
      </c>
      <c r="B18103" t="s">
        <v>14</v>
      </c>
      <c r="C18103" t="s">
        <v>32</v>
      </c>
      <c r="D18103" t="s">
        <v>17</v>
      </c>
      <c r="E18103" t="s">
        <v>12</v>
      </c>
      <c r="F18103">
        <v>88084501</v>
      </c>
      <c r="G18103">
        <v>88084527</v>
      </c>
      <c r="H18103">
        <v>88084501</v>
      </c>
      <c r="I18103">
        <v>88084527</v>
      </c>
    </row>
    <row r="18104" spans="1:9" x14ac:dyDescent="0.2">
      <c r="A18104" t="str">
        <f>"Rpn2"</f>
        <v>Rpn2</v>
      </c>
      <c r="B18104" t="s">
        <v>14</v>
      </c>
      <c r="C18104" t="s">
        <v>26</v>
      </c>
      <c r="D18104" t="s">
        <v>17</v>
      </c>
      <c r="E18104" t="s">
        <v>12</v>
      </c>
      <c r="F18104">
        <v>157279278</v>
      </c>
      <c r="G18104">
        <v>157279317</v>
      </c>
      <c r="H18104">
        <v>157279065</v>
      </c>
      <c r="I18104">
        <v>157279130</v>
      </c>
    </row>
    <row r="18105" spans="1:9" x14ac:dyDescent="0.2">
      <c r="A18105" t="str">
        <f>"Rpp14"</f>
        <v>Rpp14</v>
      </c>
      <c r="B18105" t="s">
        <v>14</v>
      </c>
      <c r="C18105" t="s">
        <v>41</v>
      </c>
      <c r="D18105" t="s">
        <v>17</v>
      </c>
      <c r="E18105" t="s">
        <v>12</v>
      </c>
      <c r="F18105">
        <v>8080315</v>
      </c>
      <c r="G18105">
        <v>8080385</v>
      </c>
      <c r="H18105">
        <v>8080386</v>
      </c>
      <c r="I18105">
        <v>8080399</v>
      </c>
    </row>
    <row r="18106" spans="1:9" x14ac:dyDescent="0.2">
      <c r="A18106" t="str">
        <f>"Rpp21"</f>
        <v>Rpp21</v>
      </c>
      <c r="B18106" t="s">
        <v>14</v>
      </c>
      <c r="C18106" t="s">
        <v>28</v>
      </c>
      <c r="D18106" t="s">
        <v>11</v>
      </c>
      <c r="E18106" t="s">
        <v>12</v>
      </c>
      <c r="F18106">
        <v>36257836</v>
      </c>
      <c r="G18106">
        <v>36257855</v>
      </c>
      <c r="H18106">
        <v>36257857</v>
      </c>
      <c r="I18106">
        <v>36257871</v>
      </c>
    </row>
    <row r="18107" spans="1:9" x14ac:dyDescent="0.2">
      <c r="A18107" t="str">
        <f>"Rpp25"</f>
        <v>Rpp25</v>
      </c>
      <c r="B18107" t="s">
        <v>14</v>
      </c>
      <c r="C18107" t="s">
        <v>24</v>
      </c>
      <c r="D18107" t="s">
        <v>17</v>
      </c>
      <c r="E18107" t="s">
        <v>12</v>
      </c>
      <c r="F18107">
        <v>57504012</v>
      </c>
      <c r="G18107">
        <v>57504068</v>
      </c>
      <c r="H18107">
        <v>57503997</v>
      </c>
      <c r="I18107">
        <v>57504010</v>
      </c>
    </row>
    <row r="18108" spans="1:9" x14ac:dyDescent="0.2">
      <c r="A18108" t="str">
        <f>"Rpp25l"</f>
        <v>Rpp25l</v>
      </c>
      <c r="B18108" t="s">
        <v>14</v>
      </c>
      <c r="C18108" t="s">
        <v>23</v>
      </c>
      <c r="D18108" t="s">
        <v>11</v>
      </c>
      <c r="E18108" t="s">
        <v>67</v>
      </c>
      <c r="F18108">
        <v>41713491</v>
      </c>
      <c r="G18108">
        <v>41713527</v>
      </c>
      <c r="H18108">
        <v>41713491</v>
      </c>
      <c r="I18108">
        <v>41713527</v>
      </c>
    </row>
    <row r="18109" spans="1:9" x14ac:dyDescent="0.2">
      <c r="A18109" t="str">
        <f>"Rpp30"</f>
        <v>Rpp30</v>
      </c>
      <c r="B18109" t="s">
        <v>14</v>
      </c>
      <c r="C18109" t="s">
        <v>10</v>
      </c>
      <c r="D18109" t="s">
        <v>17</v>
      </c>
      <c r="E18109" t="s">
        <v>12</v>
      </c>
      <c r="F18109">
        <v>36083696</v>
      </c>
      <c r="G18109">
        <v>36083736</v>
      </c>
      <c r="H18109">
        <v>36083696</v>
      </c>
      <c r="I18109">
        <v>36083736</v>
      </c>
    </row>
    <row r="18110" spans="1:9" x14ac:dyDescent="0.2">
      <c r="A18110" t="str">
        <f>"Rpp38"</f>
        <v>Rpp38</v>
      </c>
      <c r="B18110" t="s">
        <v>14</v>
      </c>
      <c r="C18110" t="s">
        <v>26</v>
      </c>
      <c r="D18110" t="s">
        <v>11</v>
      </c>
      <c r="E18110" t="s">
        <v>12</v>
      </c>
      <c r="F18110">
        <v>3332566</v>
      </c>
      <c r="G18110">
        <v>3332650</v>
      </c>
      <c r="H18110">
        <v>3332566</v>
      </c>
      <c r="I18110">
        <v>3332650</v>
      </c>
    </row>
    <row r="18111" spans="1:9" x14ac:dyDescent="0.2">
      <c r="A18111" t="str">
        <f>"Rpp40"</f>
        <v>Rpp40</v>
      </c>
      <c r="B18111" t="s">
        <v>14</v>
      </c>
      <c r="C18111" t="s">
        <v>39</v>
      </c>
      <c r="D18111" t="s">
        <v>11</v>
      </c>
      <c r="E18111" t="s">
        <v>12</v>
      </c>
      <c r="F18111">
        <v>35906324</v>
      </c>
      <c r="G18111">
        <v>35906364</v>
      </c>
      <c r="H18111">
        <v>35906324</v>
      </c>
      <c r="I18111">
        <v>35906364</v>
      </c>
    </row>
    <row r="18112" spans="1:9" x14ac:dyDescent="0.2">
      <c r="A18112" t="str">
        <f>"Rprd1a"</f>
        <v>Rprd1a</v>
      </c>
      <c r="B18112" t="s">
        <v>14</v>
      </c>
      <c r="C18112" t="s">
        <v>43</v>
      </c>
      <c r="D18112" t="s">
        <v>11</v>
      </c>
      <c r="E18112" t="s">
        <v>12</v>
      </c>
      <c r="F18112">
        <v>24530052</v>
      </c>
      <c r="G18112">
        <v>24530129</v>
      </c>
      <c r="H18112">
        <v>24530203</v>
      </c>
      <c r="I18112">
        <v>24530245</v>
      </c>
    </row>
    <row r="18113" spans="1:9" x14ac:dyDescent="0.2">
      <c r="A18113" t="str">
        <f>"Rprd1b"</f>
        <v>Rprd1b</v>
      </c>
      <c r="B18113" t="s">
        <v>14</v>
      </c>
      <c r="C18113" t="s">
        <v>26</v>
      </c>
      <c r="D18113" t="s">
        <v>17</v>
      </c>
      <c r="E18113" t="s">
        <v>12</v>
      </c>
      <c r="F18113">
        <v>158028733</v>
      </c>
      <c r="G18113">
        <v>158028821</v>
      </c>
      <c r="H18113">
        <v>158028481</v>
      </c>
      <c r="I18113">
        <v>158028539</v>
      </c>
    </row>
    <row r="18114" spans="1:9" x14ac:dyDescent="0.2">
      <c r="A18114" t="str">
        <f>"Rprd2"</f>
        <v>Rprd2</v>
      </c>
      <c r="B18114" t="s">
        <v>14</v>
      </c>
      <c r="C18114" t="s">
        <v>22</v>
      </c>
      <c r="D18114" t="s">
        <v>11</v>
      </c>
      <c r="E18114" t="s">
        <v>12</v>
      </c>
      <c r="F18114">
        <v>95818747</v>
      </c>
      <c r="G18114">
        <v>95818801</v>
      </c>
      <c r="H18114">
        <v>95818821</v>
      </c>
      <c r="I18114">
        <v>95818877</v>
      </c>
    </row>
    <row r="18115" spans="1:9" x14ac:dyDescent="0.2">
      <c r="A18115" t="str">
        <f>"Rprm"</f>
        <v>Rprm</v>
      </c>
      <c r="B18115" t="s">
        <v>14</v>
      </c>
      <c r="C18115" t="s">
        <v>26</v>
      </c>
      <c r="D18115" t="s">
        <v>11</v>
      </c>
      <c r="E18115" t="s">
        <v>12</v>
      </c>
      <c r="F18115">
        <v>54085489</v>
      </c>
      <c r="G18115">
        <v>54085541</v>
      </c>
      <c r="H18115">
        <v>54085542</v>
      </c>
      <c r="I18115">
        <v>54085559</v>
      </c>
    </row>
    <row r="18116" spans="1:9" x14ac:dyDescent="0.2">
      <c r="A18116" t="str">
        <f>"Rprml"</f>
        <v>Rprml</v>
      </c>
      <c r="B18116" t="s">
        <v>14</v>
      </c>
      <c r="C18116" t="s">
        <v>27</v>
      </c>
      <c r="D18116" t="s">
        <v>17</v>
      </c>
      <c r="E18116" t="s">
        <v>12</v>
      </c>
      <c r="F18116">
        <v>103649530</v>
      </c>
      <c r="G18116">
        <v>103649557</v>
      </c>
      <c r="H18116">
        <v>103649498</v>
      </c>
      <c r="I18116">
        <v>103649521</v>
      </c>
    </row>
    <row r="18117" spans="1:9" x14ac:dyDescent="0.2">
      <c r="A18117" t="str">
        <f>"Rps10"</f>
        <v>Rps10</v>
      </c>
      <c r="B18117" t="s">
        <v>14</v>
      </c>
      <c r="C18117" t="s">
        <v>28</v>
      </c>
      <c r="D18117" t="s">
        <v>11</v>
      </c>
      <c r="E18117" t="s">
        <v>12</v>
      </c>
      <c r="F18117">
        <v>27635238</v>
      </c>
      <c r="G18117">
        <v>27635267</v>
      </c>
      <c r="H18117">
        <v>27635571</v>
      </c>
      <c r="I18117">
        <v>27635573</v>
      </c>
    </row>
    <row r="18118" spans="1:9" x14ac:dyDescent="0.2">
      <c r="A18118" t="str">
        <f>"Rps10-ps1"</f>
        <v>Rps10-ps1</v>
      </c>
      <c r="B18118" t="s">
        <v>14</v>
      </c>
      <c r="C18118" t="s">
        <v>22</v>
      </c>
      <c r="D18118" t="s">
        <v>17</v>
      </c>
      <c r="E18118" t="s">
        <v>67</v>
      </c>
      <c r="F18118">
        <v>95622236</v>
      </c>
      <c r="G18118">
        <v>95622247</v>
      </c>
      <c r="H18118">
        <v>95622236</v>
      </c>
      <c r="I18118">
        <v>95622247</v>
      </c>
    </row>
    <row r="18119" spans="1:9" x14ac:dyDescent="0.2">
      <c r="A18119" t="str">
        <f>"Rps11"</f>
        <v>Rps11</v>
      </c>
      <c r="B18119" t="s">
        <v>14</v>
      </c>
      <c r="C18119" t="s">
        <v>33</v>
      </c>
      <c r="D18119" t="s">
        <v>11</v>
      </c>
      <c r="E18119" t="s">
        <v>12</v>
      </c>
      <c r="F18119">
        <v>45124355</v>
      </c>
      <c r="G18119">
        <v>45124399</v>
      </c>
      <c r="H18119">
        <v>45124333</v>
      </c>
      <c r="I18119">
        <v>45124354</v>
      </c>
    </row>
    <row r="18120" spans="1:9" x14ac:dyDescent="0.2">
      <c r="A18120" t="str">
        <f>"Rps12"</f>
        <v>Rps12</v>
      </c>
      <c r="B18120" t="s">
        <v>5707</v>
      </c>
      <c r="C18120" t="s">
        <v>15</v>
      </c>
      <c r="D18120" t="s">
        <v>11</v>
      </c>
      <c r="E18120" t="s">
        <v>35</v>
      </c>
      <c r="F18120">
        <v>23787259</v>
      </c>
      <c r="G18120">
        <v>23787267</v>
      </c>
      <c r="H18120">
        <v>23787117</v>
      </c>
      <c r="I18120">
        <v>23787119</v>
      </c>
    </row>
    <row r="18121" spans="1:9" x14ac:dyDescent="0.2">
      <c r="A18121" t="str">
        <f>"Rps12-ps3"</f>
        <v>Rps12-ps3</v>
      </c>
      <c r="B18121" t="s">
        <v>14</v>
      </c>
      <c r="C18121" t="s">
        <v>10</v>
      </c>
      <c r="D18121" t="s">
        <v>17</v>
      </c>
      <c r="E18121" t="s">
        <v>67</v>
      </c>
      <c r="F18121">
        <v>59322287</v>
      </c>
      <c r="G18121">
        <v>59322288</v>
      </c>
      <c r="H18121">
        <v>59322287</v>
      </c>
      <c r="I18121">
        <v>59322288</v>
      </c>
    </row>
    <row r="18122" spans="1:9" x14ac:dyDescent="0.2">
      <c r="A18122" t="str">
        <f>"Rps13"</f>
        <v>Rps13</v>
      </c>
      <c r="B18122" t="s">
        <v>14</v>
      </c>
      <c r="C18122" t="s">
        <v>33</v>
      </c>
      <c r="D18122" t="s">
        <v>11</v>
      </c>
      <c r="E18122" t="s">
        <v>12</v>
      </c>
      <c r="F18122">
        <v>116334132</v>
      </c>
      <c r="G18122">
        <v>116334188</v>
      </c>
      <c r="H18122">
        <v>116334132</v>
      </c>
      <c r="I18122">
        <v>116334188</v>
      </c>
    </row>
    <row r="18123" spans="1:9" x14ac:dyDescent="0.2">
      <c r="A18123" t="str">
        <f>"Rps14"</f>
        <v>Rps14</v>
      </c>
      <c r="B18123" t="s">
        <v>14</v>
      </c>
      <c r="C18123" t="s">
        <v>43</v>
      </c>
      <c r="D18123" t="s">
        <v>17</v>
      </c>
      <c r="E18123" t="s">
        <v>12</v>
      </c>
      <c r="F18123">
        <v>60774626</v>
      </c>
      <c r="G18123">
        <v>60774663</v>
      </c>
      <c r="H18123">
        <v>60774614</v>
      </c>
      <c r="I18123">
        <v>60774625</v>
      </c>
    </row>
    <row r="18124" spans="1:9" x14ac:dyDescent="0.2">
      <c r="A18124" t="str">
        <f>"Rps15"</f>
        <v>Rps15</v>
      </c>
      <c r="B18124" t="s">
        <v>14</v>
      </c>
      <c r="C18124" t="s">
        <v>15</v>
      </c>
      <c r="D18124" t="s">
        <v>17</v>
      </c>
      <c r="E18124" t="s">
        <v>12</v>
      </c>
      <c r="F18124">
        <v>80292453</v>
      </c>
      <c r="G18124">
        <v>80292495</v>
      </c>
      <c r="H18124">
        <v>80292414</v>
      </c>
      <c r="I18124">
        <v>80292436</v>
      </c>
    </row>
    <row r="18125" spans="1:9" x14ac:dyDescent="0.2">
      <c r="A18125" t="str">
        <f>"Rps15a"</f>
        <v>Rps15a</v>
      </c>
      <c r="B18125" t="s">
        <v>14</v>
      </c>
      <c r="C18125" t="s">
        <v>33</v>
      </c>
      <c r="D18125" t="s">
        <v>11</v>
      </c>
      <c r="E18125" t="s">
        <v>12</v>
      </c>
      <c r="F18125">
        <v>118116171</v>
      </c>
      <c r="G18125">
        <v>118116198</v>
      </c>
      <c r="H18125">
        <v>118116146</v>
      </c>
      <c r="I18125">
        <v>118116167</v>
      </c>
    </row>
    <row r="18126" spans="1:9" x14ac:dyDescent="0.2">
      <c r="A18126" t="str">
        <f>"Rps16"</f>
        <v>Rps16</v>
      </c>
      <c r="B18126" t="s">
        <v>14</v>
      </c>
      <c r="C18126" t="s">
        <v>33</v>
      </c>
      <c r="D18126" t="s">
        <v>17</v>
      </c>
      <c r="E18126" t="s">
        <v>12</v>
      </c>
      <c r="F18126">
        <v>28350740</v>
      </c>
      <c r="G18126">
        <v>28350762</v>
      </c>
      <c r="H18126">
        <v>28350823</v>
      </c>
      <c r="I18126">
        <v>28350826</v>
      </c>
    </row>
    <row r="18127" spans="1:9" x14ac:dyDescent="0.2">
      <c r="A18127" t="str">
        <f>"Rps17"</f>
        <v>Rps17</v>
      </c>
      <c r="B18127" t="s">
        <v>14</v>
      </c>
      <c r="C18127" t="s">
        <v>33</v>
      </c>
      <c r="D18127" t="s">
        <v>11</v>
      </c>
      <c r="E18127" t="s">
        <v>12</v>
      </c>
      <c r="F18127">
        <v>81345189</v>
      </c>
      <c r="G18127">
        <v>81345237</v>
      </c>
      <c r="H18127">
        <v>81345275</v>
      </c>
      <c r="I18127">
        <v>81345331</v>
      </c>
    </row>
    <row r="18128" spans="1:9" x14ac:dyDescent="0.2">
      <c r="A18128" t="str">
        <f>"Rps18"</f>
        <v>Rps18</v>
      </c>
      <c r="B18128" t="s">
        <v>14</v>
      </c>
      <c r="C18128" t="s">
        <v>28</v>
      </c>
      <c r="D18128" t="s">
        <v>11</v>
      </c>
      <c r="E18128" t="s">
        <v>12</v>
      </c>
      <c r="F18128">
        <v>33955658</v>
      </c>
      <c r="G18128">
        <v>33955686</v>
      </c>
      <c r="H18128">
        <v>33955658</v>
      </c>
      <c r="I18128">
        <v>33955686</v>
      </c>
    </row>
    <row r="18129" spans="1:9" x14ac:dyDescent="0.2">
      <c r="A18129" t="str">
        <f>"Rps18-ps3"</f>
        <v>Rps18-ps3</v>
      </c>
      <c r="B18129" t="s">
        <v>5708</v>
      </c>
      <c r="C18129" t="s">
        <v>30</v>
      </c>
      <c r="D18129" t="s">
        <v>11</v>
      </c>
      <c r="E18129" t="s">
        <v>20</v>
      </c>
      <c r="F18129">
        <v>107263247</v>
      </c>
      <c r="G18129">
        <v>107263247</v>
      </c>
      <c r="H18129">
        <v>107263247</v>
      </c>
      <c r="I18129">
        <v>107263247</v>
      </c>
    </row>
    <row r="18130" spans="1:9" x14ac:dyDescent="0.2">
      <c r="A18130" t="str">
        <f>"Rps19"</f>
        <v>Rps19</v>
      </c>
      <c r="B18130" t="s">
        <v>14</v>
      </c>
      <c r="C18130" t="s">
        <v>33</v>
      </c>
      <c r="D18130" t="s">
        <v>17</v>
      </c>
      <c r="E18130" t="s">
        <v>12</v>
      </c>
      <c r="F18130">
        <v>24884568</v>
      </c>
      <c r="G18130">
        <v>24884607</v>
      </c>
      <c r="H18130">
        <v>24884611</v>
      </c>
      <c r="I18130">
        <v>24884644</v>
      </c>
    </row>
    <row r="18131" spans="1:9" x14ac:dyDescent="0.2">
      <c r="A18131" t="str">
        <f>"Rps19bp1"</f>
        <v>Rps19bp1</v>
      </c>
      <c r="B18131" t="s">
        <v>14</v>
      </c>
      <c r="C18131" t="s">
        <v>25</v>
      </c>
      <c r="D18131" t="s">
        <v>11</v>
      </c>
      <c r="E18131" t="s">
        <v>12</v>
      </c>
      <c r="F18131">
        <v>80264276</v>
      </c>
      <c r="G18131">
        <v>80264322</v>
      </c>
      <c r="H18131">
        <v>80264276</v>
      </c>
      <c r="I18131">
        <v>80264322</v>
      </c>
    </row>
    <row r="18132" spans="1:9" x14ac:dyDescent="0.2">
      <c r="A18132" t="str">
        <f>"Rps2"</f>
        <v>Rps2</v>
      </c>
      <c r="B18132" t="s">
        <v>9</v>
      </c>
      <c r="C18132" t="s">
        <v>28</v>
      </c>
      <c r="D18132" t="s">
        <v>17</v>
      </c>
      <c r="E18132" t="s">
        <v>12</v>
      </c>
      <c r="F18132">
        <v>24720102</v>
      </c>
      <c r="G18132">
        <v>24720118</v>
      </c>
      <c r="H18132">
        <v>24720102</v>
      </c>
      <c r="I18132">
        <v>24720118</v>
      </c>
    </row>
    <row r="18133" spans="1:9" x14ac:dyDescent="0.2">
      <c r="A18133" t="str">
        <f>"Rps2"</f>
        <v>Rps2</v>
      </c>
      <c r="B18133" t="s">
        <v>13</v>
      </c>
      <c r="C18133" t="s">
        <v>28</v>
      </c>
      <c r="D18133" t="s">
        <v>17</v>
      </c>
      <c r="E18133" t="s">
        <v>12</v>
      </c>
      <c r="F18133">
        <v>24718088</v>
      </c>
      <c r="G18133">
        <v>24718118</v>
      </c>
      <c r="H18133">
        <v>24718088</v>
      </c>
      <c r="I18133">
        <v>24718118</v>
      </c>
    </row>
    <row r="18134" spans="1:9" x14ac:dyDescent="0.2">
      <c r="A18134" t="str">
        <f>"Rps2-ps10"</f>
        <v>Rps2-ps10</v>
      </c>
      <c r="B18134" t="s">
        <v>14</v>
      </c>
      <c r="C18134" t="s">
        <v>43</v>
      </c>
      <c r="D18134" t="s">
        <v>11</v>
      </c>
      <c r="E18134" t="s">
        <v>67</v>
      </c>
      <c r="F18134">
        <v>61259987</v>
      </c>
      <c r="G18134">
        <v>61259988</v>
      </c>
      <c r="H18134">
        <v>61259987</v>
      </c>
      <c r="I18134">
        <v>61259988</v>
      </c>
    </row>
    <row r="18135" spans="1:9" x14ac:dyDescent="0.2">
      <c r="A18135" t="str">
        <f>"Rps2-ps6"</f>
        <v>Rps2-ps6</v>
      </c>
      <c r="B18135" t="s">
        <v>14</v>
      </c>
      <c r="C18135" t="s">
        <v>41</v>
      </c>
      <c r="D18135" t="s">
        <v>11</v>
      </c>
      <c r="E18135" t="s">
        <v>67</v>
      </c>
      <c r="F18135">
        <v>76237570</v>
      </c>
      <c r="G18135">
        <v>76237575</v>
      </c>
      <c r="H18135">
        <v>76237570</v>
      </c>
      <c r="I18135">
        <v>76237575</v>
      </c>
    </row>
    <row r="18136" spans="1:9" x14ac:dyDescent="0.2">
      <c r="A18136" t="str">
        <f>"Rps20"</f>
        <v>Rps20</v>
      </c>
      <c r="B18136" t="s">
        <v>14</v>
      </c>
      <c r="C18136" t="s">
        <v>23</v>
      </c>
      <c r="D18136" t="s">
        <v>11</v>
      </c>
      <c r="E18136" t="s">
        <v>12</v>
      </c>
      <c r="F18136">
        <v>3835595</v>
      </c>
      <c r="G18136">
        <v>3835602</v>
      </c>
      <c r="H18136">
        <v>3835183</v>
      </c>
      <c r="I18136">
        <v>3835204</v>
      </c>
    </row>
    <row r="18137" spans="1:9" x14ac:dyDescent="0.2">
      <c r="A18137" t="str">
        <f>"Rps21"</f>
        <v>Rps21</v>
      </c>
      <c r="B18137" t="s">
        <v>14</v>
      </c>
      <c r="C18137" t="s">
        <v>26</v>
      </c>
      <c r="D18137" t="s">
        <v>17</v>
      </c>
      <c r="E18137" t="s">
        <v>12</v>
      </c>
      <c r="F18137">
        <v>180257405</v>
      </c>
      <c r="G18137">
        <v>180257428</v>
      </c>
      <c r="H18137">
        <v>180257373</v>
      </c>
      <c r="I18137">
        <v>180257396</v>
      </c>
    </row>
    <row r="18138" spans="1:9" x14ac:dyDescent="0.2">
      <c r="A18138" t="str">
        <f>"Rps23"</f>
        <v>Rps23</v>
      </c>
      <c r="B18138" t="s">
        <v>14</v>
      </c>
      <c r="C18138" t="s">
        <v>39</v>
      </c>
      <c r="D18138" t="s">
        <v>17</v>
      </c>
      <c r="E18138" t="s">
        <v>12</v>
      </c>
      <c r="F18138">
        <v>90923122</v>
      </c>
      <c r="G18138">
        <v>90923170</v>
      </c>
      <c r="H18138">
        <v>90923122</v>
      </c>
      <c r="I18138">
        <v>90923170</v>
      </c>
    </row>
    <row r="18139" spans="1:9" x14ac:dyDescent="0.2">
      <c r="A18139" t="str">
        <f>"Rps24"</f>
        <v>Rps24</v>
      </c>
      <c r="B18139" t="s">
        <v>14</v>
      </c>
      <c r="C18139" t="s">
        <v>41</v>
      </c>
      <c r="D18139" t="s">
        <v>17</v>
      </c>
      <c r="E18139" t="s">
        <v>12</v>
      </c>
      <c r="F18139">
        <v>24490709</v>
      </c>
      <c r="G18139">
        <v>24490725</v>
      </c>
      <c r="H18139">
        <v>24490678</v>
      </c>
      <c r="I18139">
        <v>24490689</v>
      </c>
    </row>
    <row r="18140" spans="1:9" x14ac:dyDescent="0.2">
      <c r="A18140" t="str">
        <f>"Rps25"</f>
        <v>Rps25</v>
      </c>
      <c r="B18140" t="s">
        <v>14</v>
      </c>
      <c r="C18140" t="s">
        <v>24</v>
      </c>
      <c r="D18140" t="s">
        <v>17</v>
      </c>
      <c r="E18140" t="s">
        <v>12</v>
      </c>
      <c r="F18140">
        <v>44407629</v>
      </c>
      <c r="G18140">
        <v>44407683</v>
      </c>
      <c r="H18140">
        <v>44407413</v>
      </c>
      <c r="I18140">
        <v>44407424</v>
      </c>
    </row>
    <row r="18141" spans="1:9" x14ac:dyDescent="0.2">
      <c r="A18141" t="str">
        <f>"Rps26"</f>
        <v>Rps26</v>
      </c>
      <c r="B18141" t="s">
        <v>14</v>
      </c>
      <c r="C18141" t="s">
        <v>15</v>
      </c>
      <c r="D18141" t="s">
        <v>11</v>
      </c>
      <c r="E18141" t="s">
        <v>12</v>
      </c>
      <c r="F18141">
        <v>128626464</v>
      </c>
      <c r="G18141">
        <v>128626520</v>
      </c>
      <c r="H18141">
        <v>128626464</v>
      </c>
      <c r="I18141">
        <v>128626520</v>
      </c>
    </row>
    <row r="18142" spans="1:9" x14ac:dyDescent="0.2">
      <c r="A18142" t="str">
        <f>"Rps26-ps1"</f>
        <v>Rps26-ps1</v>
      </c>
      <c r="B18142" t="s">
        <v>5709</v>
      </c>
      <c r="C18142" t="s">
        <v>30</v>
      </c>
      <c r="D18142" t="s">
        <v>11</v>
      </c>
      <c r="E18142" t="s">
        <v>20</v>
      </c>
      <c r="F18142">
        <v>107439584</v>
      </c>
      <c r="G18142">
        <v>107439584</v>
      </c>
      <c r="H18142">
        <v>107439584</v>
      </c>
      <c r="I18142">
        <v>107439584</v>
      </c>
    </row>
    <row r="18143" spans="1:9" x14ac:dyDescent="0.2">
      <c r="A18143" t="str">
        <f>"Rps27"</f>
        <v>Rps27</v>
      </c>
      <c r="B18143" t="s">
        <v>14</v>
      </c>
      <c r="C18143" t="s">
        <v>22</v>
      </c>
      <c r="D18143" t="s">
        <v>11</v>
      </c>
      <c r="E18143" t="s">
        <v>12</v>
      </c>
      <c r="F18143">
        <v>90213636</v>
      </c>
      <c r="G18143">
        <v>90213670</v>
      </c>
      <c r="H18143">
        <v>90213636</v>
      </c>
      <c r="I18143">
        <v>90213670</v>
      </c>
    </row>
    <row r="18144" spans="1:9" x14ac:dyDescent="0.2">
      <c r="A18144" t="str">
        <f>"Rps27a"</f>
        <v>Rps27a</v>
      </c>
      <c r="B18144" t="s">
        <v>14</v>
      </c>
      <c r="C18144" t="s">
        <v>27</v>
      </c>
      <c r="D18144" t="s">
        <v>11</v>
      </c>
      <c r="E18144" t="s">
        <v>12</v>
      </c>
      <c r="F18144">
        <v>29547820</v>
      </c>
      <c r="G18144">
        <v>29547870</v>
      </c>
      <c r="H18144">
        <v>29547820</v>
      </c>
      <c r="I18144">
        <v>29547870</v>
      </c>
    </row>
    <row r="18145" spans="1:9" x14ac:dyDescent="0.2">
      <c r="A18145" t="str">
        <f>"Rps27l"</f>
        <v>Rps27l</v>
      </c>
      <c r="B18145" t="s">
        <v>14</v>
      </c>
      <c r="C18145" t="s">
        <v>24</v>
      </c>
      <c r="D18145" t="s">
        <v>17</v>
      </c>
      <c r="E18145" t="s">
        <v>12</v>
      </c>
      <c r="F18145">
        <v>66946057</v>
      </c>
      <c r="G18145">
        <v>66946143</v>
      </c>
      <c r="H18145">
        <v>66946431</v>
      </c>
      <c r="I18145">
        <v>66946452</v>
      </c>
    </row>
    <row r="18146" spans="1:9" x14ac:dyDescent="0.2">
      <c r="A18146" t="str">
        <f>"Rps28"</f>
        <v>Rps28</v>
      </c>
      <c r="B18146" t="s">
        <v>14</v>
      </c>
      <c r="C18146" t="s">
        <v>28</v>
      </c>
      <c r="D18146" t="s">
        <v>11</v>
      </c>
      <c r="E18146" t="s">
        <v>12</v>
      </c>
      <c r="F18146">
        <v>33824435</v>
      </c>
      <c r="G18146">
        <v>33824470</v>
      </c>
      <c r="H18146">
        <v>33824498</v>
      </c>
      <c r="I18146">
        <v>33824519</v>
      </c>
    </row>
    <row r="18147" spans="1:9" x14ac:dyDescent="0.2">
      <c r="A18147" t="str">
        <f>"Rps29"</f>
        <v>Rps29</v>
      </c>
      <c r="B18147" t="s">
        <v>14</v>
      </c>
      <c r="C18147" t="s">
        <v>16</v>
      </c>
      <c r="D18147" t="s">
        <v>11</v>
      </c>
      <c r="E18147" t="s">
        <v>12</v>
      </c>
      <c r="F18147">
        <v>69159109</v>
      </c>
      <c r="G18147">
        <v>69159133</v>
      </c>
      <c r="H18147">
        <v>69159109</v>
      </c>
      <c r="I18147">
        <v>69159133</v>
      </c>
    </row>
    <row r="18148" spans="1:9" x14ac:dyDescent="0.2">
      <c r="A18148" t="str">
        <f>"Rps3"</f>
        <v>Rps3</v>
      </c>
      <c r="B18148" t="s">
        <v>14</v>
      </c>
      <c r="C18148" t="s">
        <v>33</v>
      </c>
      <c r="D18148" t="s">
        <v>11</v>
      </c>
      <c r="E18148" t="s">
        <v>12</v>
      </c>
      <c r="F18148">
        <v>99483645</v>
      </c>
      <c r="G18148">
        <v>99483654</v>
      </c>
      <c r="H18148">
        <v>99483645</v>
      </c>
      <c r="I18148">
        <v>99483654</v>
      </c>
    </row>
    <row r="18149" spans="1:9" x14ac:dyDescent="0.2">
      <c r="A18149" t="str">
        <f>"Rps3a1"</f>
        <v>Rps3a1</v>
      </c>
      <c r="B18149" t="s">
        <v>14</v>
      </c>
      <c r="C18149" t="s">
        <v>22</v>
      </c>
      <c r="D18149" t="s">
        <v>11</v>
      </c>
      <c r="E18149" t="s">
        <v>67</v>
      </c>
      <c r="F18149">
        <v>86142593</v>
      </c>
      <c r="G18149">
        <v>86142636</v>
      </c>
      <c r="H18149">
        <v>86142642</v>
      </c>
      <c r="I18149">
        <v>86142658</v>
      </c>
    </row>
    <row r="18150" spans="1:9" x14ac:dyDescent="0.2">
      <c r="A18150" t="str">
        <f>"Rps3a2"</f>
        <v>Rps3a2</v>
      </c>
      <c r="B18150" t="s">
        <v>14</v>
      </c>
      <c r="C18150" t="s">
        <v>41</v>
      </c>
      <c r="D18150" t="s">
        <v>11</v>
      </c>
      <c r="E18150" t="s">
        <v>67</v>
      </c>
      <c r="F18150">
        <v>88123824</v>
      </c>
      <c r="G18150">
        <v>88123835</v>
      </c>
      <c r="H18150">
        <v>88123824</v>
      </c>
      <c r="I18150">
        <v>88123835</v>
      </c>
    </row>
    <row r="18151" spans="1:9" x14ac:dyDescent="0.2">
      <c r="A18151" t="str">
        <f>"Rps3a3"</f>
        <v>Rps3a3</v>
      </c>
      <c r="B18151" t="s">
        <v>14</v>
      </c>
      <c r="C18151" t="s">
        <v>39</v>
      </c>
      <c r="D18151" t="s">
        <v>17</v>
      </c>
      <c r="E18151" t="s">
        <v>67</v>
      </c>
      <c r="F18151">
        <v>108670576</v>
      </c>
      <c r="G18151">
        <v>108670581</v>
      </c>
      <c r="H18151">
        <v>108670576</v>
      </c>
      <c r="I18151">
        <v>108670581</v>
      </c>
    </row>
    <row r="18152" spans="1:9" x14ac:dyDescent="0.2">
      <c r="A18152" t="str">
        <f>"Rps4x"</f>
        <v>Rps4x</v>
      </c>
      <c r="B18152" t="s">
        <v>14</v>
      </c>
      <c r="C18152" t="s">
        <v>37</v>
      </c>
      <c r="D18152" t="s">
        <v>11</v>
      </c>
      <c r="E18152" t="s">
        <v>12</v>
      </c>
      <c r="F18152">
        <v>102189310</v>
      </c>
      <c r="G18152">
        <v>102189338</v>
      </c>
      <c r="H18152">
        <v>102189339</v>
      </c>
      <c r="I18152">
        <v>102189364</v>
      </c>
    </row>
    <row r="18153" spans="1:9" x14ac:dyDescent="0.2">
      <c r="A18153" t="str">
        <f>"Rps4y2"</f>
        <v>Rps4y2</v>
      </c>
      <c r="B18153" t="s">
        <v>14</v>
      </c>
      <c r="C18153" t="s">
        <v>32</v>
      </c>
      <c r="D18153" t="s">
        <v>17</v>
      </c>
      <c r="E18153" t="s">
        <v>12</v>
      </c>
      <c r="F18153">
        <v>148354648</v>
      </c>
      <c r="G18153">
        <v>148354662</v>
      </c>
      <c r="H18153">
        <v>148354683</v>
      </c>
      <c r="I18153">
        <v>148354694</v>
      </c>
    </row>
    <row r="18154" spans="1:9" x14ac:dyDescent="0.2">
      <c r="A18154" t="str">
        <f>"Rps5"</f>
        <v>Rps5</v>
      </c>
      <c r="B18154" t="s">
        <v>14</v>
      </c>
      <c r="C18154" t="s">
        <v>33</v>
      </c>
      <c r="D18154" t="s">
        <v>17</v>
      </c>
      <c r="E18154" t="s">
        <v>12</v>
      </c>
      <c r="F18154">
        <v>12922315</v>
      </c>
      <c r="G18154">
        <v>12922320</v>
      </c>
      <c r="H18154">
        <v>12922315</v>
      </c>
      <c r="I18154">
        <v>12922320</v>
      </c>
    </row>
    <row r="18155" spans="1:9" x14ac:dyDescent="0.2">
      <c r="A18155" t="str">
        <f>"Rps6"</f>
        <v>Rps6</v>
      </c>
      <c r="B18155" t="s">
        <v>14</v>
      </c>
      <c r="C18155" t="s">
        <v>23</v>
      </c>
      <c r="D18155" t="s">
        <v>11</v>
      </c>
      <c r="E18155" t="s">
        <v>12</v>
      </c>
      <c r="F18155">
        <v>86857365</v>
      </c>
      <c r="G18155">
        <v>86857415</v>
      </c>
      <c r="H18155">
        <v>86857312</v>
      </c>
      <c r="I18155">
        <v>86857349</v>
      </c>
    </row>
    <row r="18156" spans="1:9" x14ac:dyDescent="0.2">
      <c r="A18156" t="str">
        <f>"Rps6ka1"</f>
        <v>Rps6ka1</v>
      </c>
      <c r="B18156" t="s">
        <v>9</v>
      </c>
      <c r="C18156" t="s">
        <v>23</v>
      </c>
      <c r="D18156" t="s">
        <v>11</v>
      </c>
      <c r="E18156" t="s">
        <v>12</v>
      </c>
      <c r="F18156">
        <v>133887765</v>
      </c>
      <c r="G18156">
        <v>133887804</v>
      </c>
      <c r="H18156">
        <v>133887765</v>
      </c>
      <c r="I18156">
        <v>133887804</v>
      </c>
    </row>
    <row r="18157" spans="1:9" x14ac:dyDescent="0.2">
      <c r="A18157" t="str">
        <f>"Rps6ka1"</f>
        <v>Rps6ka1</v>
      </c>
      <c r="B18157" t="s">
        <v>13</v>
      </c>
      <c r="C18157" t="s">
        <v>23</v>
      </c>
      <c r="D18157" t="s">
        <v>11</v>
      </c>
      <c r="E18157" t="s">
        <v>12</v>
      </c>
      <c r="F18157">
        <v>133872997</v>
      </c>
      <c r="G18157">
        <v>133873044</v>
      </c>
      <c r="H18157">
        <v>133872997</v>
      </c>
      <c r="I18157">
        <v>133873044</v>
      </c>
    </row>
    <row r="18158" spans="1:9" x14ac:dyDescent="0.2">
      <c r="A18158" t="str">
        <f>"Rps6ka2"</f>
        <v>Rps6ka2</v>
      </c>
      <c r="B18158" t="s">
        <v>14</v>
      </c>
      <c r="C18158" t="s">
        <v>28</v>
      </c>
      <c r="D18158" t="s">
        <v>17</v>
      </c>
      <c r="E18158" t="s">
        <v>12</v>
      </c>
      <c r="F18158">
        <v>7170137</v>
      </c>
      <c r="G18158">
        <v>7170163</v>
      </c>
      <c r="H18158">
        <v>7170101</v>
      </c>
      <c r="I18158">
        <v>7170132</v>
      </c>
    </row>
    <row r="18159" spans="1:9" x14ac:dyDescent="0.2">
      <c r="A18159" t="str">
        <f>"Rps6ka3"</f>
        <v>Rps6ka3</v>
      </c>
      <c r="B18159" t="s">
        <v>14</v>
      </c>
      <c r="C18159" t="s">
        <v>37</v>
      </c>
      <c r="D18159" t="s">
        <v>17</v>
      </c>
      <c r="E18159" t="s">
        <v>12</v>
      </c>
      <c r="F18159">
        <v>159255851</v>
      </c>
      <c r="G18159">
        <v>159255899</v>
      </c>
      <c r="H18159">
        <v>159255851</v>
      </c>
      <c r="I18159">
        <v>159255899</v>
      </c>
    </row>
    <row r="18160" spans="1:9" x14ac:dyDescent="0.2">
      <c r="A18160" t="str">
        <f>"Rps6ka4"</f>
        <v>Rps6ka4</v>
      </c>
      <c r="B18160" t="s">
        <v>14</v>
      </c>
      <c r="C18160" t="s">
        <v>10</v>
      </c>
      <c r="D18160" t="s">
        <v>11</v>
      </c>
      <c r="E18160" t="s">
        <v>12</v>
      </c>
      <c r="F18160">
        <v>6840590</v>
      </c>
      <c r="G18160">
        <v>6840644</v>
      </c>
      <c r="H18160">
        <v>6840567</v>
      </c>
      <c r="I18160">
        <v>6840582</v>
      </c>
    </row>
    <row r="18161" spans="1:9" x14ac:dyDescent="0.2">
      <c r="A18161" t="str">
        <f>"Rps6ka5"</f>
        <v>Rps6ka5</v>
      </c>
      <c r="B18161" t="s">
        <v>14</v>
      </c>
      <c r="C18161" t="s">
        <v>16</v>
      </c>
      <c r="D18161" t="s">
        <v>11</v>
      </c>
      <c r="E18161" t="s">
        <v>12</v>
      </c>
      <c r="F18161">
        <v>100725058</v>
      </c>
      <c r="G18161">
        <v>100725081</v>
      </c>
      <c r="H18161">
        <v>100725082</v>
      </c>
      <c r="I18161">
        <v>100725113</v>
      </c>
    </row>
    <row r="18162" spans="1:9" x14ac:dyDescent="0.2">
      <c r="A18162" t="str">
        <f>"Rps6ka6"</f>
        <v>Rps6ka6</v>
      </c>
      <c r="B18162" t="s">
        <v>14</v>
      </c>
      <c r="C18162" t="s">
        <v>37</v>
      </c>
      <c r="D18162" t="s">
        <v>11</v>
      </c>
      <c r="E18162" t="s">
        <v>12</v>
      </c>
      <c r="F18162">
        <v>111463103</v>
      </c>
      <c r="G18162">
        <v>111463139</v>
      </c>
      <c r="H18162">
        <v>111463149</v>
      </c>
      <c r="I18162">
        <v>111463173</v>
      </c>
    </row>
    <row r="18163" spans="1:9" x14ac:dyDescent="0.2">
      <c r="A18163" t="str">
        <f>"Rps6kb1"</f>
        <v>Rps6kb1</v>
      </c>
      <c r="B18163" t="s">
        <v>14</v>
      </c>
      <c r="C18163" t="s">
        <v>27</v>
      </c>
      <c r="D18163" t="s">
        <v>11</v>
      </c>
      <c r="E18163" t="s">
        <v>12</v>
      </c>
      <c r="F18163">
        <v>86544754</v>
      </c>
      <c r="G18163">
        <v>86544781</v>
      </c>
      <c r="H18163">
        <v>86544754</v>
      </c>
      <c r="I18163">
        <v>86544781</v>
      </c>
    </row>
    <row r="18164" spans="1:9" x14ac:dyDescent="0.2">
      <c r="A18164" t="str">
        <f>"Rps6kb2"</f>
        <v>Rps6kb2</v>
      </c>
      <c r="B18164" t="s">
        <v>14</v>
      </c>
      <c r="C18164" t="s">
        <v>10</v>
      </c>
      <c r="D18164" t="s">
        <v>11</v>
      </c>
      <c r="E18164" t="s">
        <v>12</v>
      </c>
      <c r="F18164">
        <v>4163287</v>
      </c>
      <c r="G18164">
        <v>4163338</v>
      </c>
      <c r="H18164">
        <v>4163287</v>
      </c>
      <c r="I18164">
        <v>4163338</v>
      </c>
    </row>
    <row r="18165" spans="1:9" x14ac:dyDescent="0.2">
      <c r="A18165" t="str">
        <f>"Rps6kc1"</f>
        <v>Rps6kc1</v>
      </c>
      <c r="B18165" t="s">
        <v>14</v>
      </c>
      <c r="C18165" t="s">
        <v>19</v>
      </c>
      <c r="D18165" t="s">
        <v>11</v>
      </c>
      <c r="E18165" t="s">
        <v>12</v>
      </c>
      <c r="F18165">
        <v>190911728</v>
      </c>
      <c r="G18165">
        <v>190911802</v>
      </c>
      <c r="H18165">
        <v>190911803</v>
      </c>
      <c r="I18165">
        <v>190911810</v>
      </c>
    </row>
    <row r="18166" spans="1:9" x14ac:dyDescent="0.2">
      <c r="A18166" t="str">
        <f>"Rps6kl1"</f>
        <v>Rps6kl1</v>
      </c>
      <c r="B18166" t="s">
        <v>14</v>
      </c>
      <c r="C18166" t="s">
        <v>16</v>
      </c>
      <c r="D18166" t="s">
        <v>11</v>
      </c>
      <c r="E18166" t="s">
        <v>12</v>
      </c>
      <c r="F18166">
        <v>85151213</v>
      </c>
      <c r="G18166">
        <v>85151260</v>
      </c>
      <c r="H18166">
        <v>85151264</v>
      </c>
      <c r="I18166">
        <v>85151275</v>
      </c>
    </row>
    <row r="18167" spans="1:9" x14ac:dyDescent="0.2">
      <c r="A18167" t="str">
        <f>"Rps7"</f>
        <v>Rps7</v>
      </c>
      <c r="B18167" t="s">
        <v>14</v>
      </c>
      <c r="C18167" t="s">
        <v>16</v>
      </c>
      <c r="D18167" t="s">
        <v>11</v>
      </c>
      <c r="E18167" t="s">
        <v>12</v>
      </c>
      <c r="F18167">
        <v>28635914</v>
      </c>
      <c r="G18167">
        <v>28635952</v>
      </c>
      <c r="H18167">
        <v>28635867</v>
      </c>
      <c r="I18167">
        <v>28635887</v>
      </c>
    </row>
    <row r="18168" spans="1:9" x14ac:dyDescent="0.2">
      <c r="A18168" t="str">
        <f>"Rps8"</f>
        <v>Rps8</v>
      </c>
      <c r="B18168" t="s">
        <v>14</v>
      </c>
      <c r="C18168" t="s">
        <v>23</v>
      </c>
      <c r="D18168" t="s">
        <v>11</v>
      </c>
      <c r="E18168" t="s">
        <v>12</v>
      </c>
      <c r="F18168">
        <v>117156075</v>
      </c>
      <c r="G18168">
        <v>117156085</v>
      </c>
      <c r="H18168">
        <v>117156122</v>
      </c>
      <c r="I18168">
        <v>117156143</v>
      </c>
    </row>
    <row r="18169" spans="1:9" x14ac:dyDescent="0.2">
      <c r="A18169" t="str">
        <f>"Rps9"</f>
        <v>Rps9</v>
      </c>
      <c r="B18169" t="s">
        <v>14</v>
      </c>
      <c r="C18169" t="s">
        <v>33</v>
      </c>
      <c r="D18169" t="s">
        <v>17</v>
      </c>
      <c r="E18169" t="s">
        <v>12</v>
      </c>
      <c r="F18169">
        <v>3704025</v>
      </c>
      <c r="G18169">
        <v>3704051</v>
      </c>
      <c r="H18169">
        <v>3703979</v>
      </c>
      <c r="I18169">
        <v>3704024</v>
      </c>
    </row>
    <row r="18170" spans="1:9" x14ac:dyDescent="0.2">
      <c r="A18170" t="str">
        <f>"Rpsa"</f>
        <v>Rpsa</v>
      </c>
      <c r="B18170" t="s">
        <v>14</v>
      </c>
      <c r="C18170" t="s">
        <v>24</v>
      </c>
      <c r="D18170" t="s">
        <v>17</v>
      </c>
      <c r="E18170" t="s">
        <v>12</v>
      </c>
      <c r="F18170">
        <v>120127779</v>
      </c>
      <c r="G18170">
        <v>120127793</v>
      </c>
      <c r="H18170">
        <v>120127878</v>
      </c>
      <c r="I18170">
        <v>120127888</v>
      </c>
    </row>
    <row r="18171" spans="1:9" x14ac:dyDescent="0.2">
      <c r="A18171" t="str">
        <f>"Rpsa-ps10"</f>
        <v>Rpsa-ps10</v>
      </c>
      <c r="B18171" t="s">
        <v>14</v>
      </c>
      <c r="C18171" t="s">
        <v>22</v>
      </c>
      <c r="D18171" t="s">
        <v>11</v>
      </c>
      <c r="E18171" t="s">
        <v>67</v>
      </c>
      <c r="F18171">
        <v>150073621</v>
      </c>
      <c r="G18171">
        <v>150073631</v>
      </c>
      <c r="H18171">
        <v>150073621</v>
      </c>
      <c r="I18171">
        <v>150073631</v>
      </c>
    </row>
    <row r="18172" spans="1:9" x14ac:dyDescent="0.2">
      <c r="A18172" t="str">
        <f>"Rptn"</f>
        <v>Rptn</v>
      </c>
      <c r="B18172" t="s">
        <v>14</v>
      </c>
      <c r="C18172" t="s">
        <v>22</v>
      </c>
      <c r="D18172" t="s">
        <v>17</v>
      </c>
      <c r="E18172" t="s">
        <v>12</v>
      </c>
      <c r="F18172">
        <v>93393696</v>
      </c>
      <c r="G18172">
        <v>93393699</v>
      </c>
      <c r="H18172">
        <v>93393696</v>
      </c>
      <c r="I18172">
        <v>93393699</v>
      </c>
    </row>
    <row r="18173" spans="1:9" x14ac:dyDescent="0.2">
      <c r="A18173" t="str">
        <f>"Rptor"</f>
        <v>Rptor</v>
      </c>
      <c r="B18173" t="s">
        <v>14</v>
      </c>
      <c r="C18173" t="s">
        <v>27</v>
      </c>
      <c r="D18173" t="s">
        <v>17</v>
      </c>
      <c r="E18173" t="s">
        <v>12</v>
      </c>
      <c r="F18173">
        <v>119602981</v>
      </c>
      <c r="G18173">
        <v>119603034</v>
      </c>
      <c r="H18173">
        <v>119602981</v>
      </c>
      <c r="I18173">
        <v>119603034</v>
      </c>
    </row>
    <row r="18174" spans="1:9" x14ac:dyDescent="0.2">
      <c r="A18174" t="str">
        <f>"Rpusd1"</f>
        <v>Rpusd1</v>
      </c>
      <c r="B18174" t="s">
        <v>14</v>
      </c>
      <c r="C18174" t="s">
        <v>28</v>
      </c>
      <c r="D18174" t="s">
        <v>17</v>
      </c>
      <c r="E18174" t="s">
        <v>12</v>
      </c>
      <c r="F18174">
        <v>25727726</v>
      </c>
      <c r="G18174">
        <v>25727797</v>
      </c>
      <c r="H18174">
        <v>25727707</v>
      </c>
      <c r="I18174">
        <v>25727721</v>
      </c>
    </row>
    <row r="18175" spans="1:9" x14ac:dyDescent="0.2">
      <c r="A18175" t="str">
        <f>"Rpusd2"</f>
        <v>Rpusd2</v>
      </c>
      <c r="B18175" t="s">
        <v>14</v>
      </c>
      <c r="C18175" t="s">
        <v>26</v>
      </c>
      <c r="D18175" t="s">
        <v>17</v>
      </c>
      <c r="E18175" t="s">
        <v>12</v>
      </c>
      <c r="F18175">
        <v>119034783</v>
      </c>
      <c r="G18175">
        <v>119034869</v>
      </c>
      <c r="H18175">
        <v>119034783</v>
      </c>
      <c r="I18175">
        <v>119034869</v>
      </c>
    </row>
    <row r="18176" spans="1:9" x14ac:dyDescent="0.2">
      <c r="A18176" t="str">
        <f>"Rpusd3"</f>
        <v>Rpusd3</v>
      </c>
      <c r="B18176" t="s">
        <v>14</v>
      </c>
      <c r="C18176" t="s">
        <v>32</v>
      </c>
      <c r="D18176" t="s">
        <v>11</v>
      </c>
      <c r="E18176" t="s">
        <v>12</v>
      </c>
      <c r="F18176">
        <v>113419317</v>
      </c>
      <c r="G18176">
        <v>113419352</v>
      </c>
      <c r="H18176">
        <v>113418950</v>
      </c>
      <c r="I18176">
        <v>113418973</v>
      </c>
    </row>
    <row r="18177" spans="1:9" x14ac:dyDescent="0.2">
      <c r="A18177" t="str">
        <f>"Rpusd4"</f>
        <v>Rpusd4</v>
      </c>
      <c r="B18177" t="s">
        <v>14</v>
      </c>
      <c r="C18177" t="s">
        <v>24</v>
      </c>
      <c r="D18177" t="s">
        <v>17</v>
      </c>
      <c r="E18177" t="s">
        <v>12</v>
      </c>
      <c r="F18177">
        <v>35267857</v>
      </c>
      <c r="G18177">
        <v>35267894</v>
      </c>
      <c r="H18177">
        <v>35267857</v>
      </c>
      <c r="I18177">
        <v>35267894</v>
      </c>
    </row>
    <row r="18178" spans="1:9" x14ac:dyDescent="0.2">
      <c r="A18178" t="str">
        <f>"Rqcd1"</f>
        <v>Rqcd1</v>
      </c>
      <c r="B18178" t="s">
        <v>14</v>
      </c>
      <c r="C18178" t="s">
        <v>19</v>
      </c>
      <c r="D18178" t="s">
        <v>17</v>
      </c>
      <c r="E18178" t="s">
        <v>12</v>
      </c>
      <c r="F18178">
        <v>74506309</v>
      </c>
      <c r="G18178">
        <v>74506374</v>
      </c>
      <c r="H18178">
        <v>74506044</v>
      </c>
      <c r="I18178">
        <v>74506105</v>
      </c>
    </row>
    <row r="18179" spans="1:9" x14ac:dyDescent="0.2">
      <c r="A18179" t="str">
        <f>"Rrad"</f>
        <v>Rrad</v>
      </c>
      <c r="B18179" t="s">
        <v>14</v>
      </c>
      <c r="C18179" t="s">
        <v>30</v>
      </c>
      <c r="D18179" t="s">
        <v>11</v>
      </c>
      <c r="E18179" t="s">
        <v>12</v>
      </c>
      <c r="F18179">
        <v>104631281</v>
      </c>
      <c r="G18179">
        <v>104631295</v>
      </c>
      <c r="H18179">
        <v>104631312</v>
      </c>
      <c r="I18179">
        <v>104631319</v>
      </c>
    </row>
    <row r="18180" spans="1:9" x14ac:dyDescent="0.2">
      <c r="A18180" t="str">
        <f>"Rraga"</f>
        <v>Rraga</v>
      </c>
      <c r="B18180" t="s">
        <v>14</v>
      </c>
      <c r="C18180" t="s">
        <v>23</v>
      </c>
      <c r="D18180" t="s">
        <v>17</v>
      </c>
      <c r="E18180" t="s">
        <v>12</v>
      </c>
      <c r="F18180">
        <v>86575696</v>
      </c>
      <c r="G18180">
        <v>86575718</v>
      </c>
      <c r="H18180">
        <v>86575668</v>
      </c>
      <c r="I18180">
        <v>86575689</v>
      </c>
    </row>
    <row r="18181" spans="1:9" x14ac:dyDescent="0.2">
      <c r="A18181" t="str">
        <f>"Rragb"</f>
        <v>Rragb</v>
      </c>
      <c r="B18181" t="s">
        <v>14</v>
      </c>
      <c r="C18181" t="s">
        <v>37</v>
      </c>
      <c r="D18181" t="s">
        <v>17</v>
      </c>
      <c r="E18181" t="s">
        <v>12</v>
      </c>
      <c r="F18181">
        <v>153139941</v>
      </c>
      <c r="G18181">
        <v>153140011</v>
      </c>
      <c r="H18181">
        <v>153140012</v>
      </c>
      <c r="I18181">
        <v>153140045</v>
      </c>
    </row>
    <row r="18182" spans="1:9" x14ac:dyDescent="0.2">
      <c r="A18182" t="str">
        <f>"Rragc"</f>
        <v>Rragc</v>
      </c>
      <c r="B18182" t="s">
        <v>14</v>
      </c>
      <c r="C18182" t="s">
        <v>23</v>
      </c>
      <c r="D18182" t="s">
        <v>17</v>
      </c>
      <c r="E18182" t="s">
        <v>12</v>
      </c>
      <c r="F18182">
        <v>123917420</v>
      </c>
      <c r="G18182">
        <v>123917510</v>
      </c>
      <c r="H18182">
        <v>123917599</v>
      </c>
      <c r="I18182">
        <v>123917606</v>
      </c>
    </row>
    <row r="18183" spans="1:9" x14ac:dyDescent="0.2">
      <c r="A18183" t="str">
        <f>"Rragd"</f>
        <v>Rragd</v>
      </c>
      <c r="B18183" t="s">
        <v>14</v>
      </c>
      <c r="C18183" t="s">
        <v>23</v>
      </c>
      <c r="D18183" t="s">
        <v>17</v>
      </c>
      <c r="E18183" t="s">
        <v>12</v>
      </c>
      <c r="F18183">
        <v>32983283</v>
      </c>
      <c r="G18183">
        <v>32983308</v>
      </c>
      <c r="H18183">
        <v>32983311</v>
      </c>
      <c r="I18183">
        <v>32983339</v>
      </c>
    </row>
    <row r="18184" spans="1:9" x14ac:dyDescent="0.2">
      <c r="A18184" t="str">
        <f>"Rras"</f>
        <v>Rras</v>
      </c>
      <c r="B18184" t="s">
        <v>14</v>
      </c>
      <c r="C18184" t="s">
        <v>33</v>
      </c>
      <c r="D18184" t="s">
        <v>17</v>
      </c>
      <c r="E18184" t="s">
        <v>12</v>
      </c>
      <c r="F18184">
        <v>45017953</v>
      </c>
      <c r="G18184">
        <v>45018009</v>
      </c>
      <c r="H18184">
        <v>45017915</v>
      </c>
      <c r="I18184">
        <v>45017931</v>
      </c>
    </row>
    <row r="18185" spans="1:9" x14ac:dyDescent="0.2">
      <c r="A18185" t="str">
        <f>"Rras2"</f>
        <v>Rras2</v>
      </c>
      <c r="B18185" t="s">
        <v>14</v>
      </c>
      <c r="C18185" t="s">
        <v>33</v>
      </c>
      <c r="D18185" t="s">
        <v>11</v>
      </c>
      <c r="E18185" t="s">
        <v>12</v>
      </c>
      <c r="F18185">
        <v>114117761</v>
      </c>
      <c r="G18185">
        <v>114117787</v>
      </c>
      <c r="H18185">
        <v>114117735</v>
      </c>
      <c r="I18185">
        <v>114117750</v>
      </c>
    </row>
    <row r="18186" spans="1:9" x14ac:dyDescent="0.2">
      <c r="A18186" t="str">
        <f>"Rrbp1"</f>
        <v>Rrbp1</v>
      </c>
      <c r="B18186" t="s">
        <v>14</v>
      </c>
      <c r="C18186" t="s">
        <v>26</v>
      </c>
      <c r="D18186" t="s">
        <v>11</v>
      </c>
      <c r="E18186" t="s">
        <v>12</v>
      </c>
      <c r="F18186">
        <v>144011202</v>
      </c>
      <c r="G18186">
        <v>144011236</v>
      </c>
      <c r="H18186">
        <v>144011172</v>
      </c>
      <c r="I18186">
        <v>144011197</v>
      </c>
    </row>
    <row r="18187" spans="1:9" x14ac:dyDescent="0.2">
      <c r="A18187" t="str">
        <f>"Rreb1"</f>
        <v>Rreb1</v>
      </c>
      <c r="B18187" t="s">
        <v>14</v>
      </c>
      <c r="C18187" t="s">
        <v>39</v>
      </c>
      <c r="D18187" t="s">
        <v>17</v>
      </c>
      <c r="E18187" t="s">
        <v>12</v>
      </c>
      <c r="F18187">
        <v>37826018</v>
      </c>
      <c r="G18187">
        <v>37826044</v>
      </c>
      <c r="H18187">
        <v>37826617</v>
      </c>
      <c r="I18187">
        <v>37826706</v>
      </c>
    </row>
    <row r="18188" spans="1:9" x14ac:dyDescent="0.2">
      <c r="A18188" t="str">
        <f>"Rrh"</f>
        <v>Rrh</v>
      </c>
      <c r="B18188" t="s">
        <v>14</v>
      </c>
      <c r="C18188" t="s">
        <v>22</v>
      </c>
      <c r="D18188" t="s">
        <v>11</v>
      </c>
      <c r="E18188" t="s">
        <v>12</v>
      </c>
      <c r="F18188">
        <v>129822487</v>
      </c>
      <c r="G18188">
        <v>129822510</v>
      </c>
      <c r="H18188">
        <v>129822517</v>
      </c>
      <c r="I18188">
        <v>129822530</v>
      </c>
    </row>
    <row r="18189" spans="1:9" x14ac:dyDescent="0.2">
      <c r="A18189" t="str">
        <f>"Rrm1"</f>
        <v>Rrm1</v>
      </c>
      <c r="B18189" t="s">
        <v>14</v>
      </c>
      <c r="C18189" t="s">
        <v>33</v>
      </c>
      <c r="D18189" t="s">
        <v>17</v>
      </c>
      <c r="E18189" t="s">
        <v>12</v>
      </c>
      <c r="F18189">
        <v>102441831</v>
      </c>
      <c r="G18189">
        <v>102441888</v>
      </c>
      <c r="H18189">
        <v>102441776</v>
      </c>
      <c r="I18189">
        <v>102441825</v>
      </c>
    </row>
    <row r="18190" spans="1:9" x14ac:dyDescent="0.2">
      <c r="A18190" t="str">
        <f>"Rrm2"</f>
        <v>Rrm2</v>
      </c>
      <c r="B18190" t="s">
        <v>14</v>
      </c>
      <c r="C18190" t="s">
        <v>16</v>
      </c>
      <c r="D18190" t="s">
        <v>17</v>
      </c>
      <c r="E18190" t="s">
        <v>12</v>
      </c>
      <c r="F18190">
        <v>24708274</v>
      </c>
      <c r="G18190">
        <v>24708292</v>
      </c>
      <c r="H18190">
        <v>24708728</v>
      </c>
      <c r="I18190">
        <v>24708770</v>
      </c>
    </row>
    <row r="18191" spans="1:9" x14ac:dyDescent="0.2">
      <c r="A18191" t="str">
        <f>"Rrm2b"</f>
        <v>Rrm2b</v>
      </c>
      <c r="B18191" t="s">
        <v>14</v>
      </c>
      <c r="C18191" t="s">
        <v>25</v>
      </c>
      <c r="D18191" t="s">
        <v>11</v>
      </c>
      <c r="E18191" t="s">
        <v>12</v>
      </c>
      <c r="F18191">
        <v>37961059</v>
      </c>
      <c r="G18191">
        <v>37961107</v>
      </c>
      <c r="H18191">
        <v>37960938</v>
      </c>
      <c r="I18191">
        <v>37960960</v>
      </c>
    </row>
    <row r="18192" spans="1:9" x14ac:dyDescent="0.2">
      <c r="A18192" t="str">
        <f>"Rrn3"</f>
        <v>Rrn3</v>
      </c>
      <c r="B18192" t="s">
        <v>14</v>
      </c>
      <c r="C18192" t="s">
        <v>31</v>
      </c>
      <c r="D18192" t="s">
        <v>17</v>
      </c>
      <c r="E18192" t="s">
        <v>12</v>
      </c>
      <c r="F18192">
        <v>13780699</v>
      </c>
      <c r="G18192">
        <v>13780755</v>
      </c>
      <c r="H18192">
        <v>13780509</v>
      </c>
      <c r="I18192">
        <v>13780531</v>
      </c>
    </row>
    <row r="18193" spans="1:9" x14ac:dyDescent="0.2">
      <c r="A18193" t="str">
        <f>"Rrnad1"</f>
        <v>Rrnad1</v>
      </c>
      <c r="B18193" t="s">
        <v>14</v>
      </c>
      <c r="C18193" t="s">
        <v>22</v>
      </c>
      <c r="D18193" t="s">
        <v>11</v>
      </c>
      <c r="E18193" t="s">
        <v>12</v>
      </c>
      <c r="F18193">
        <v>87930121</v>
      </c>
      <c r="G18193">
        <v>87930182</v>
      </c>
      <c r="H18193">
        <v>87930187</v>
      </c>
      <c r="I18193">
        <v>87930200</v>
      </c>
    </row>
    <row r="18194" spans="1:9" x14ac:dyDescent="0.2">
      <c r="A18194" t="str">
        <f>"Rrp1"</f>
        <v>Rrp1</v>
      </c>
      <c r="B18194" t="s">
        <v>14</v>
      </c>
      <c r="C18194" t="s">
        <v>15</v>
      </c>
      <c r="D18194" t="s">
        <v>11</v>
      </c>
      <c r="E18194" t="s">
        <v>12</v>
      </c>
      <c r="F18194">
        <v>78412949</v>
      </c>
      <c r="G18194">
        <v>78413021</v>
      </c>
      <c r="H18194">
        <v>78412851</v>
      </c>
      <c r="I18194">
        <v>78412862</v>
      </c>
    </row>
    <row r="18195" spans="1:9" x14ac:dyDescent="0.2">
      <c r="A18195" t="str">
        <f>"Rrp12"</f>
        <v>Rrp12</v>
      </c>
      <c r="B18195" t="s">
        <v>14</v>
      </c>
      <c r="C18195" t="s">
        <v>10</v>
      </c>
      <c r="D18195" t="s">
        <v>11</v>
      </c>
      <c r="E18195" t="s">
        <v>12</v>
      </c>
      <c r="F18195">
        <v>41896160</v>
      </c>
      <c r="G18195">
        <v>41896207</v>
      </c>
      <c r="H18195">
        <v>41896132</v>
      </c>
      <c r="I18195">
        <v>41896155</v>
      </c>
    </row>
    <row r="18196" spans="1:9" x14ac:dyDescent="0.2">
      <c r="A18196" t="str">
        <f>"Rrp15"</f>
        <v>Rrp15</v>
      </c>
      <c r="B18196" t="s">
        <v>14</v>
      </c>
      <c r="C18196" t="s">
        <v>19</v>
      </c>
      <c r="D18196" t="s">
        <v>11</v>
      </c>
      <c r="E18196" t="s">
        <v>12</v>
      </c>
      <c r="F18196">
        <v>186749304</v>
      </c>
      <c r="G18196">
        <v>186749340</v>
      </c>
      <c r="H18196">
        <v>186749284</v>
      </c>
      <c r="I18196">
        <v>186749293</v>
      </c>
    </row>
    <row r="18197" spans="1:9" x14ac:dyDescent="0.2">
      <c r="A18197" t="str">
        <f>"Rrp1b"</f>
        <v>Rrp1b</v>
      </c>
      <c r="B18197" t="s">
        <v>14</v>
      </c>
      <c r="C18197" t="s">
        <v>28</v>
      </c>
      <c r="D18197" t="s">
        <v>17</v>
      </c>
      <c r="E18197" t="s">
        <v>12</v>
      </c>
      <c r="F18197">
        <v>32036399</v>
      </c>
      <c r="G18197">
        <v>32036453</v>
      </c>
      <c r="H18197">
        <v>32036098</v>
      </c>
      <c r="I18197">
        <v>32036113</v>
      </c>
    </row>
    <row r="18198" spans="1:9" x14ac:dyDescent="0.2">
      <c r="A18198" t="str">
        <f>"Rrp36"</f>
        <v>Rrp36</v>
      </c>
      <c r="B18198" t="s">
        <v>14</v>
      </c>
      <c r="C18198" t="s">
        <v>28</v>
      </c>
      <c r="D18198" t="s">
        <v>11</v>
      </c>
      <c r="E18198" t="s">
        <v>12</v>
      </c>
      <c r="F18198">
        <v>46674298</v>
      </c>
      <c r="G18198">
        <v>46674323</v>
      </c>
      <c r="H18198">
        <v>46674263</v>
      </c>
      <c r="I18198">
        <v>46674274</v>
      </c>
    </row>
    <row r="18199" spans="1:9" x14ac:dyDescent="0.2">
      <c r="A18199" t="str">
        <f>"Rrp7a"</f>
        <v>Rrp7a</v>
      </c>
      <c r="B18199" t="s">
        <v>14</v>
      </c>
      <c r="C18199" t="s">
        <v>25</v>
      </c>
      <c r="D18199" t="s">
        <v>11</v>
      </c>
      <c r="E18199" t="s">
        <v>12</v>
      </c>
      <c r="F18199">
        <v>83122756</v>
      </c>
      <c r="G18199">
        <v>83122782</v>
      </c>
      <c r="H18199">
        <v>83122795</v>
      </c>
      <c r="I18199">
        <v>83122806</v>
      </c>
    </row>
    <row r="18200" spans="1:9" x14ac:dyDescent="0.2">
      <c r="A18200" t="str">
        <f>"Rrp8"</f>
        <v>Rrp8</v>
      </c>
      <c r="B18200" t="s">
        <v>14</v>
      </c>
      <c r="C18200" t="s">
        <v>33</v>
      </c>
      <c r="D18200" t="s">
        <v>11</v>
      </c>
      <c r="E18200" t="s">
        <v>12</v>
      </c>
      <c r="F18200">
        <v>105736447</v>
      </c>
      <c r="G18200">
        <v>105736488</v>
      </c>
      <c r="H18200">
        <v>105736490</v>
      </c>
      <c r="I18200">
        <v>105736534</v>
      </c>
    </row>
    <row r="18201" spans="1:9" x14ac:dyDescent="0.2">
      <c r="A18201" t="str">
        <f>"Rrp9"</f>
        <v>Rrp9</v>
      </c>
      <c r="B18201" t="s">
        <v>14</v>
      </c>
      <c r="C18201" t="s">
        <v>24</v>
      </c>
      <c r="D18201" t="s">
        <v>17</v>
      </c>
      <c r="E18201" t="s">
        <v>12</v>
      </c>
      <c r="F18201">
        <v>106477279</v>
      </c>
      <c r="G18201">
        <v>106477352</v>
      </c>
      <c r="H18201">
        <v>106477209</v>
      </c>
      <c r="I18201">
        <v>106477219</v>
      </c>
    </row>
    <row r="18202" spans="1:9" x14ac:dyDescent="0.2">
      <c r="A18202" t="str">
        <f>"Rrs1"</f>
        <v>Rrs1</v>
      </c>
      <c r="B18202" t="s">
        <v>14</v>
      </c>
      <c r="C18202" t="s">
        <v>19</v>
      </c>
      <c r="D18202" t="s">
        <v>17</v>
      </c>
      <c r="E18202" t="s">
        <v>12</v>
      </c>
      <c r="F18202">
        <v>9545397</v>
      </c>
      <c r="G18202">
        <v>9545479</v>
      </c>
      <c r="H18202">
        <v>9545489</v>
      </c>
      <c r="I18202">
        <v>9545495</v>
      </c>
    </row>
    <row r="18203" spans="1:9" x14ac:dyDescent="0.2">
      <c r="A18203" t="str">
        <f>"Rs1"</f>
        <v>Rs1</v>
      </c>
      <c r="B18203" t="s">
        <v>14</v>
      </c>
      <c r="C18203" t="s">
        <v>37</v>
      </c>
      <c r="D18203" t="s">
        <v>17</v>
      </c>
      <c r="E18203" t="s">
        <v>12</v>
      </c>
      <c r="F18203">
        <v>160768137</v>
      </c>
      <c r="G18203">
        <v>160768168</v>
      </c>
      <c r="H18203">
        <v>160768109</v>
      </c>
      <c r="I18203">
        <v>160768122</v>
      </c>
    </row>
    <row r="18204" spans="1:9" x14ac:dyDescent="0.2">
      <c r="A18204" t="str">
        <f>"Rsad1"</f>
        <v>Rsad1</v>
      </c>
      <c r="B18204" t="s">
        <v>14</v>
      </c>
      <c r="C18204" t="s">
        <v>27</v>
      </c>
      <c r="D18204" t="s">
        <v>11</v>
      </c>
      <c r="E18204" t="s">
        <v>12</v>
      </c>
      <c r="F18204">
        <v>94549165</v>
      </c>
      <c r="G18204">
        <v>94549222</v>
      </c>
      <c r="H18204">
        <v>94548956</v>
      </c>
      <c r="I18204">
        <v>94548995</v>
      </c>
    </row>
    <row r="18205" spans="1:9" x14ac:dyDescent="0.2">
      <c r="A18205" t="str">
        <f>"Rsad2"</f>
        <v>Rsad2</v>
      </c>
      <c r="B18205" t="s">
        <v>14</v>
      </c>
      <c r="C18205" t="s">
        <v>16</v>
      </c>
      <c r="D18205" t="s">
        <v>11</v>
      </c>
      <c r="E18205" t="s">
        <v>12</v>
      </c>
      <c r="F18205">
        <v>26456423</v>
      </c>
      <c r="G18205">
        <v>26456440</v>
      </c>
      <c r="H18205">
        <v>26456423</v>
      </c>
      <c r="I18205">
        <v>26456440</v>
      </c>
    </row>
    <row r="18206" spans="1:9" x14ac:dyDescent="0.2">
      <c r="A18206" t="str">
        <f>"Rsbn1"</f>
        <v>Rsbn1</v>
      </c>
      <c r="B18206" t="s">
        <v>14</v>
      </c>
      <c r="C18206" t="s">
        <v>22</v>
      </c>
      <c r="D18206" t="s">
        <v>17</v>
      </c>
      <c r="E18206" t="s">
        <v>12</v>
      </c>
      <c r="F18206">
        <v>103914560</v>
      </c>
      <c r="G18206">
        <v>103914605</v>
      </c>
      <c r="H18206">
        <v>103914560</v>
      </c>
      <c r="I18206">
        <v>103914605</v>
      </c>
    </row>
    <row r="18207" spans="1:9" x14ac:dyDescent="0.2">
      <c r="A18207" t="str">
        <f>"Rsbn1l"</f>
        <v>Rsbn1l</v>
      </c>
      <c r="B18207" t="s">
        <v>9</v>
      </c>
      <c r="C18207" t="s">
        <v>46</v>
      </c>
      <c r="D18207" t="s">
        <v>11</v>
      </c>
      <c r="E18207" t="s">
        <v>12</v>
      </c>
      <c r="F18207">
        <v>20951769</v>
      </c>
      <c r="G18207">
        <v>20951824</v>
      </c>
      <c r="H18207">
        <v>20951769</v>
      </c>
      <c r="I18207">
        <v>20951824</v>
      </c>
    </row>
    <row r="18208" spans="1:9" x14ac:dyDescent="0.2">
      <c r="A18208" t="str">
        <f>"Rsbn1l"</f>
        <v>Rsbn1l</v>
      </c>
      <c r="B18208" t="s">
        <v>13</v>
      </c>
      <c r="C18208" t="s">
        <v>46</v>
      </c>
      <c r="D18208" t="s">
        <v>11</v>
      </c>
      <c r="E18208" t="s">
        <v>12</v>
      </c>
      <c r="F18208">
        <v>20945482</v>
      </c>
      <c r="G18208">
        <v>20945530</v>
      </c>
      <c r="H18208">
        <v>20945482</v>
      </c>
      <c r="I18208">
        <v>20945530</v>
      </c>
    </row>
    <row r="18209" spans="1:9" x14ac:dyDescent="0.2">
      <c r="A18209" t="str">
        <f>"Rsc1a1"</f>
        <v>Rsc1a1</v>
      </c>
      <c r="B18209" t="s">
        <v>14</v>
      </c>
      <c r="C18209" t="s">
        <v>23</v>
      </c>
      <c r="D18209" t="s">
        <v>11</v>
      </c>
      <c r="E18209" t="s">
        <v>12</v>
      </c>
      <c r="F18209">
        <v>141685745</v>
      </c>
      <c r="G18209">
        <v>141685747</v>
      </c>
      <c r="H18209">
        <v>141685745</v>
      </c>
      <c r="I18209">
        <v>141685747</v>
      </c>
    </row>
    <row r="18210" spans="1:9" x14ac:dyDescent="0.2">
      <c r="A18210" t="str">
        <f>"Rsf1"</f>
        <v>Rsf1</v>
      </c>
      <c r="B18210" t="s">
        <v>14</v>
      </c>
      <c r="C18210" t="s">
        <v>33</v>
      </c>
      <c r="D18210" t="s">
        <v>17</v>
      </c>
      <c r="E18210" t="s">
        <v>12</v>
      </c>
      <c r="F18210">
        <v>97579868</v>
      </c>
      <c r="G18210">
        <v>97579901</v>
      </c>
      <c r="H18210">
        <v>97579560</v>
      </c>
      <c r="I18210">
        <v>97579609</v>
      </c>
    </row>
    <row r="18211" spans="1:9" x14ac:dyDescent="0.2">
      <c r="A18211" t="str">
        <f>"Rsg1"</f>
        <v>Rsg1</v>
      </c>
      <c r="B18211" t="s">
        <v>14</v>
      </c>
      <c r="C18211" t="s">
        <v>23</v>
      </c>
      <c r="D18211" t="s">
        <v>17</v>
      </c>
      <c r="E18211" t="s">
        <v>67</v>
      </c>
      <c r="F18211">
        <v>141213948</v>
      </c>
      <c r="G18211">
        <v>141213998</v>
      </c>
      <c r="H18211">
        <v>141214028</v>
      </c>
      <c r="I18211">
        <v>141214035</v>
      </c>
    </row>
    <row r="18212" spans="1:9" x14ac:dyDescent="0.2">
      <c r="A18212" t="str">
        <f>"Rsl1"</f>
        <v>Rsl1</v>
      </c>
      <c r="B18212" t="s">
        <v>14</v>
      </c>
      <c r="C18212" t="s">
        <v>39</v>
      </c>
      <c r="D18212" t="s">
        <v>17</v>
      </c>
      <c r="E18212" t="s">
        <v>12</v>
      </c>
      <c r="F18212">
        <v>67173156</v>
      </c>
      <c r="G18212">
        <v>67173204</v>
      </c>
      <c r="H18212">
        <v>67173221</v>
      </c>
      <c r="I18212">
        <v>67173231</v>
      </c>
    </row>
    <row r="18213" spans="1:9" x14ac:dyDescent="0.2">
      <c r="A18213" t="str">
        <f>"Rsl1d1"</f>
        <v>Rsl1d1</v>
      </c>
      <c r="B18213" t="s">
        <v>14</v>
      </c>
      <c r="C18213" t="s">
        <v>31</v>
      </c>
      <c r="D18213" t="s">
        <v>11</v>
      </c>
      <c r="E18213" t="s">
        <v>12</v>
      </c>
      <c r="F18213">
        <v>11203259</v>
      </c>
      <c r="G18213">
        <v>11203312</v>
      </c>
      <c r="H18213">
        <v>11203259</v>
      </c>
      <c r="I18213">
        <v>11203312</v>
      </c>
    </row>
    <row r="18214" spans="1:9" x14ac:dyDescent="0.2">
      <c r="A18214" t="str">
        <f>"Rsl24d1"</f>
        <v>Rsl24d1</v>
      </c>
      <c r="B18214" t="s">
        <v>14</v>
      </c>
      <c r="C18214" t="s">
        <v>24</v>
      </c>
      <c r="D18214" t="s">
        <v>17</v>
      </c>
      <c r="E18214" t="s">
        <v>12</v>
      </c>
      <c r="F18214">
        <v>73113447</v>
      </c>
      <c r="G18214">
        <v>73113454</v>
      </c>
      <c r="H18214">
        <v>73113447</v>
      </c>
      <c r="I18214">
        <v>73113454</v>
      </c>
    </row>
    <row r="18215" spans="1:9" x14ac:dyDescent="0.2">
      <c r="A18215" t="str">
        <f>"Rslcan18"</f>
        <v>Rslcan18</v>
      </c>
      <c r="B18215" t="s">
        <v>5710</v>
      </c>
      <c r="C18215" t="s">
        <v>39</v>
      </c>
      <c r="D18215" t="s">
        <v>11</v>
      </c>
      <c r="E18215" t="s">
        <v>20</v>
      </c>
      <c r="F18215">
        <v>67114027</v>
      </c>
      <c r="G18215">
        <v>67114027</v>
      </c>
      <c r="H18215">
        <v>67114027</v>
      </c>
      <c r="I18215">
        <v>67114027</v>
      </c>
    </row>
    <row r="18216" spans="1:9" x14ac:dyDescent="0.2">
      <c r="A18216" t="str">
        <f>"Rsph1"</f>
        <v>Rsph1</v>
      </c>
      <c r="B18216" t="s">
        <v>14</v>
      </c>
      <c r="C18216" t="s">
        <v>28</v>
      </c>
      <c r="D18216" t="s">
        <v>11</v>
      </c>
      <c r="E18216" t="s">
        <v>12</v>
      </c>
      <c r="F18216">
        <v>31277257</v>
      </c>
      <c r="G18216">
        <v>31277325</v>
      </c>
      <c r="H18216">
        <v>31277327</v>
      </c>
      <c r="I18216">
        <v>31277352</v>
      </c>
    </row>
    <row r="18217" spans="1:9" x14ac:dyDescent="0.2">
      <c r="A18217" t="str">
        <f>"Rsph10b"</f>
        <v>Rsph10b</v>
      </c>
      <c r="B18217" t="s">
        <v>5711</v>
      </c>
      <c r="C18217" t="s">
        <v>46</v>
      </c>
      <c r="D18217" t="s">
        <v>17</v>
      </c>
      <c r="E18217" t="s">
        <v>20</v>
      </c>
      <c r="F18217">
        <v>143937082</v>
      </c>
      <c r="G18217">
        <v>143937082</v>
      </c>
      <c r="H18217">
        <v>143937082</v>
      </c>
      <c r="I18217">
        <v>143937082</v>
      </c>
    </row>
    <row r="18218" spans="1:9" x14ac:dyDescent="0.2">
      <c r="A18218" t="str">
        <f>"Rsph3a"</f>
        <v>Rsph3a</v>
      </c>
      <c r="B18218" t="s">
        <v>14</v>
      </c>
      <c r="C18218" t="s">
        <v>28</v>
      </c>
      <c r="D18218" t="s">
        <v>17</v>
      </c>
      <c r="E18218" t="s">
        <v>12</v>
      </c>
      <c r="F18218">
        <v>7945589</v>
      </c>
      <c r="G18218">
        <v>7945616</v>
      </c>
      <c r="H18218">
        <v>7945649</v>
      </c>
      <c r="I18218">
        <v>7945656</v>
      </c>
    </row>
    <row r="18219" spans="1:9" x14ac:dyDescent="0.2">
      <c r="A18219" t="str">
        <f>"Rsph3b"</f>
        <v>Rsph3b</v>
      </c>
      <c r="B18219" t="s">
        <v>14</v>
      </c>
      <c r="C18219" t="s">
        <v>28</v>
      </c>
      <c r="D18219" t="s">
        <v>11</v>
      </c>
      <c r="E18219" t="s">
        <v>12</v>
      </c>
      <c r="F18219">
        <v>6948283</v>
      </c>
      <c r="G18219">
        <v>6948349</v>
      </c>
      <c r="H18219">
        <v>6948721</v>
      </c>
      <c r="I18219">
        <v>6948745</v>
      </c>
    </row>
    <row r="18220" spans="1:9" x14ac:dyDescent="0.2">
      <c r="A18220" t="str">
        <f>"Rsph4a"</f>
        <v>Rsph4a</v>
      </c>
      <c r="B18220" t="s">
        <v>14</v>
      </c>
      <c r="C18220" t="s">
        <v>15</v>
      </c>
      <c r="D18220" t="s">
        <v>17</v>
      </c>
      <c r="E18220" t="s">
        <v>12</v>
      </c>
      <c r="F18220">
        <v>33905015</v>
      </c>
      <c r="G18220">
        <v>33905047</v>
      </c>
      <c r="H18220">
        <v>33905057</v>
      </c>
      <c r="I18220">
        <v>33905083</v>
      </c>
    </row>
    <row r="18221" spans="1:9" x14ac:dyDescent="0.2">
      <c r="A18221" t="str">
        <f>"Rsph6a"</f>
        <v>Rsph6a</v>
      </c>
      <c r="B18221" t="s">
        <v>14</v>
      </c>
      <c r="C18221" t="s">
        <v>33</v>
      </c>
      <c r="D18221" t="s">
        <v>17</v>
      </c>
      <c r="E18221" t="s">
        <v>12</v>
      </c>
      <c r="F18221">
        <v>19054683</v>
      </c>
      <c r="G18221">
        <v>19054707</v>
      </c>
      <c r="H18221">
        <v>19054662</v>
      </c>
      <c r="I18221">
        <v>19054674</v>
      </c>
    </row>
    <row r="18222" spans="1:9" x14ac:dyDescent="0.2">
      <c r="A18222" t="str">
        <f>"Rsph9"</f>
        <v>Rsph9</v>
      </c>
      <c r="B18222" t="s">
        <v>14</v>
      </c>
      <c r="C18222" t="s">
        <v>28</v>
      </c>
      <c r="D18222" t="s">
        <v>11</v>
      </c>
      <c r="E18222" t="s">
        <v>12</v>
      </c>
      <c r="F18222">
        <v>46144156</v>
      </c>
      <c r="G18222">
        <v>46144218</v>
      </c>
      <c r="H18222">
        <v>46144219</v>
      </c>
      <c r="I18222">
        <v>46144226</v>
      </c>
    </row>
    <row r="18223" spans="1:9" x14ac:dyDescent="0.2">
      <c r="A18223" t="str">
        <f>"Rspo1"</f>
        <v>Rspo1</v>
      </c>
      <c r="B18223" t="s">
        <v>14</v>
      </c>
      <c r="C18223" t="s">
        <v>23</v>
      </c>
      <c r="D18223" t="s">
        <v>17</v>
      </c>
      <c r="E18223" t="s">
        <v>12</v>
      </c>
      <c r="F18223">
        <v>124986457</v>
      </c>
      <c r="G18223">
        <v>124986490</v>
      </c>
      <c r="H18223">
        <v>124986457</v>
      </c>
      <c r="I18223">
        <v>124986490</v>
      </c>
    </row>
    <row r="18224" spans="1:9" x14ac:dyDescent="0.2">
      <c r="A18224" t="str">
        <f>"Rspo2"</f>
        <v>Rspo2</v>
      </c>
      <c r="B18224" t="s">
        <v>14</v>
      </c>
      <c r="C18224" t="s">
        <v>25</v>
      </c>
      <c r="D18224" t="s">
        <v>11</v>
      </c>
      <c r="E18224" t="s">
        <v>12</v>
      </c>
      <c r="F18224">
        <v>43170809</v>
      </c>
      <c r="G18224">
        <v>43170834</v>
      </c>
      <c r="H18224">
        <v>43170836</v>
      </c>
      <c r="I18224">
        <v>43170854</v>
      </c>
    </row>
    <row r="18225" spans="1:9" x14ac:dyDescent="0.2">
      <c r="A18225" t="str">
        <f>"Rspo3"</f>
        <v>Rspo3</v>
      </c>
      <c r="B18225" t="s">
        <v>14</v>
      </c>
      <c r="C18225" t="s">
        <v>15</v>
      </c>
      <c r="D18225" t="s">
        <v>11</v>
      </c>
      <c r="E18225" t="s">
        <v>12</v>
      </c>
      <c r="F18225">
        <v>29535807</v>
      </c>
      <c r="G18225">
        <v>29535849</v>
      </c>
      <c r="H18225">
        <v>29535857</v>
      </c>
      <c r="I18225">
        <v>29535880</v>
      </c>
    </row>
    <row r="18226" spans="1:9" x14ac:dyDescent="0.2">
      <c r="A18226" t="str">
        <f>"Rspo4"</f>
        <v>Rspo4</v>
      </c>
      <c r="B18226" t="s">
        <v>14</v>
      </c>
      <c r="C18226" t="s">
        <v>26</v>
      </c>
      <c r="D18226" t="s">
        <v>17</v>
      </c>
      <c r="E18226" t="s">
        <v>12</v>
      </c>
      <c r="F18226">
        <v>151842912</v>
      </c>
      <c r="G18226">
        <v>151842934</v>
      </c>
      <c r="H18226">
        <v>151842890</v>
      </c>
      <c r="I18226">
        <v>151842896</v>
      </c>
    </row>
    <row r="18227" spans="1:9" x14ac:dyDescent="0.2">
      <c r="A18227" t="str">
        <f>"Rspry1"</f>
        <v>Rspry1</v>
      </c>
      <c r="B18227" t="s">
        <v>14</v>
      </c>
      <c r="C18227" t="s">
        <v>30</v>
      </c>
      <c r="D18227" t="s">
        <v>17</v>
      </c>
      <c r="E18227" t="s">
        <v>12</v>
      </c>
      <c r="F18227">
        <v>94601928</v>
      </c>
      <c r="G18227">
        <v>94602003</v>
      </c>
      <c r="H18227">
        <v>94602012</v>
      </c>
      <c r="I18227">
        <v>94602029</v>
      </c>
    </row>
    <row r="18228" spans="1:9" x14ac:dyDescent="0.2">
      <c r="A18228" t="str">
        <f>"Rsrc1"</f>
        <v>Rsrc1</v>
      </c>
      <c r="B18228" t="s">
        <v>14</v>
      </c>
      <c r="C18228" t="s">
        <v>22</v>
      </c>
      <c r="D18228" t="s">
        <v>17</v>
      </c>
      <c r="E18228" t="s">
        <v>12</v>
      </c>
      <c r="F18228">
        <v>66985647</v>
      </c>
      <c r="G18228">
        <v>66985678</v>
      </c>
      <c r="H18228">
        <v>66985700</v>
      </c>
      <c r="I18228">
        <v>66985740</v>
      </c>
    </row>
    <row r="18229" spans="1:9" x14ac:dyDescent="0.2">
      <c r="A18229" t="str">
        <f>"Rsrc2"</f>
        <v>Rsrc2</v>
      </c>
      <c r="B18229" t="s">
        <v>14</v>
      </c>
      <c r="C18229" t="s">
        <v>46</v>
      </c>
      <c r="D18229" t="s">
        <v>11</v>
      </c>
      <c r="E18229" t="s">
        <v>12</v>
      </c>
      <c r="F18229">
        <v>123749374</v>
      </c>
      <c r="G18229">
        <v>123749391</v>
      </c>
      <c r="H18229">
        <v>123749393</v>
      </c>
      <c r="I18229">
        <v>123749418</v>
      </c>
    </row>
    <row r="18230" spans="1:9" x14ac:dyDescent="0.2">
      <c r="A18230" t="str">
        <f>"Rsu1"</f>
        <v>Rsu1</v>
      </c>
      <c r="B18230" t="s">
        <v>14</v>
      </c>
      <c r="C18230" t="s">
        <v>26</v>
      </c>
      <c r="D18230" t="s">
        <v>11</v>
      </c>
      <c r="E18230" t="s">
        <v>12</v>
      </c>
      <c r="F18230">
        <v>13271268</v>
      </c>
      <c r="G18230">
        <v>13271348</v>
      </c>
      <c r="H18230">
        <v>13271268</v>
      </c>
      <c r="I18230">
        <v>13271348</v>
      </c>
    </row>
    <row r="18231" spans="1:9" x14ac:dyDescent="0.2">
      <c r="A18231" t="str">
        <f>"Rtbdn"</f>
        <v>Rtbdn</v>
      </c>
      <c r="B18231" t="s">
        <v>9</v>
      </c>
      <c r="C18231" t="s">
        <v>30</v>
      </c>
      <c r="D18231" t="s">
        <v>17</v>
      </c>
      <c r="E18231" t="s">
        <v>12</v>
      </c>
      <c r="F18231">
        <v>84949874</v>
      </c>
      <c r="G18231">
        <v>84949885</v>
      </c>
      <c r="H18231">
        <v>84949874</v>
      </c>
      <c r="I18231">
        <v>84949885</v>
      </c>
    </row>
    <row r="18232" spans="1:9" x14ac:dyDescent="0.2">
      <c r="A18232" t="str">
        <f>"Rtbdn"</f>
        <v>Rtbdn</v>
      </c>
      <c r="B18232" t="s">
        <v>13</v>
      </c>
      <c r="C18232" t="s">
        <v>30</v>
      </c>
      <c r="D18232" t="s">
        <v>17</v>
      </c>
      <c r="E18232" t="s">
        <v>12</v>
      </c>
      <c r="F18232">
        <v>84946987</v>
      </c>
      <c r="G18232">
        <v>84947012</v>
      </c>
      <c r="H18232">
        <v>84946987</v>
      </c>
      <c r="I18232">
        <v>84947012</v>
      </c>
    </row>
    <row r="18233" spans="1:9" x14ac:dyDescent="0.2">
      <c r="A18233" t="str">
        <f>"Rtca"</f>
        <v>Rtca</v>
      </c>
      <c r="B18233" t="s">
        <v>14</v>
      </c>
      <c r="C18233" t="s">
        <v>22</v>
      </c>
      <c r="D18233" t="s">
        <v>11</v>
      </c>
      <c r="E18233" t="s">
        <v>67</v>
      </c>
      <c r="F18233">
        <v>116508071</v>
      </c>
      <c r="G18233">
        <v>116508119</v>
      </c>
      <c r="H18233">
        <v>116508035</v>
      </c>
      <c r="I18233">
        <v>116508070</v>
      </c>
    </row>
    <row r="18234" spans="1:9" x14ac:dyDescent="0.2">
      <c r="A18234" t="str">
        <f>"Rtcb"</f>
        <v>Rtcb</v>
      </c>
      <c r="B18234" t="s">
        <v>14</v>
      </c>
      <c r="C18234" t="s">
        <v>15</v>
      </c>
      <c r="D18234" t="s">
        <v>11</v>
      </c>
      <c r="E18234" t="s">
        <v>67</v>
      </c>
      <c r="F18234">
        <v>85957775</v>
      </c>
      <c r="G18234">
        <v>85957818</v>
      </c>
      <c r="H18234">
        <v>85957735</v>
      </c>
      <c r="I18234">
        <v>85957761</v>
      </c>
    </row>
    <row r="18235" spans="1:9" x14ac:dyDescent="0.2">
      <c r="A18235" t="str">
        <f>"Rtdr1"</f>
        <v>Rtdr1</v>
      </c>
      <c r="B18235" t="s">
        <v>14</v>
      </c>
      <c r="C18235" t="s">
        <v>15</v>
      </c>
      <c r="D18235" t="s">
        <v>11</v>
      </c>
      <c r="E18235" t="s">
        <v>12</v>
      </c>
      <c r="F18235">
        <v>75032538</v>
      </c>
      <c r="G18235">
        <v>75032588</v>
      </c>
      <c r="H18235">
        <v>75032590</v>
      </c>
      <c r="I18235">
        <v>75032604</v>
      </c>
    </row>
    <row r="18236" spans="1:9" x14ac:dyDescent="0.2">
      <c r="A18236" t="str">
        <f>"Rtel1"</f>
        <v>Rtel1</v>
      </c>
      <c r="B18236" t="s">
        <v>14</v>
      </c>
      <c r="C18236" t="s">
        <v>26</v>
      </c>
      <c r="D18236" t="s">
        <v>17</v>
      </c>
      <c r="E18236" t="s">
        <v>12</v>
      </c>
      <c r="F18236">
        <v>181319714</v>
      </c>
      <c r="G18236">
        <v>181319780</v>
      </c>
      <c r="H18236">
        <v>181319806</v>
      </c>
      <c r="I18236">
        <v>181319815</v>
      </c>
    </row>
    <row r="18237" spans="1:9" x14ac:dyDescent="0.2">
      <c r="A18237" t="str">
        <f>"Rtf1"</f>
        <v>Rtf1</v>
      </c>
      <c r="B18237" t="s">
        <v>14</v>
      </c>
      <c r="C18237" t="s">
        <v>26</v>
      </c>
      <c r="D18237" t="s">
        <v>17</v>
      </c>
      <c r="E18237" t="s">
        <v>12</v>
      </c>
      <c r="F18237">
        <v>119675062</v>
      </c>
      <c r="G18237">
        <v>119675095</v>
      </c>
      <c r="H18237">
        <v>119675062</v>
      </c>
      <c r="I18237">
        <v>119675095</v>
      </c>
    </row>
    <row r="18238" spans="1:9" x14ac:dyDescent="0.2">
      <c r="A18238" t="str">
        <f>"Rtfdc1"</f>
        <v>Rtfdc1</v>
      </c>
      <c r="B18238" t="s">
        <v>14</v>
      </c>
      <c r="C18238" t="s">
        <v>26</v>
      </c>
      <c r="D18238" t="s">
        <v>17</v>
      </c>
      <c r="E18238" t="s">
        <v>67</v>
      </c>
      <c r="F18238">
        <v>172440565</v>
      </c>
      <c r="G18238">
        <v>172440630</v>
      </c>
      <c r="H18238">
        <v>172440650</v>
      </c>
      <c r="I18238">
        <v>172440657</v>
      </c>
    </row>
    <row r="18239" spans="1:9" x14ac:dyDescent="0.2">
      <c r="A18239" t="str">
        <f>"Rtkn"</f>
        <v>Rtkn</v>
      </c>
      <c r="B18239" t="s">
        <v>9</v>
      </c>
      <c r="C18239" t="s">
        <v>32</v>
      </c>
      <c r="D18239" t="s">
        <v>17</v>
      </c>
      <c r="E18239" t="s">
        <v>12</v>
      </c>
      <c r="F18239">
        <v>83135828</v>
      </c>
      <c r="G18239">
        <v>83135874</v>
      </c>
      <c r="H18239">
        <v>83135828</v>
      </c>
      <c r="I18239">
        <v>83135874</v>
      </c>
    </row>
    <row r="18240" spans="1:9" x14ac:dyDescent="0.2">
      <c r="A18240" t="str">
        <f>"Rtkn"</f>
        <v>Rtkn</v>
      </c>
      <c r="B18240" t="s">
        <v>13</v>
      </c>
      <c r="C18240" t="s">
        <v>32</v>
      </c>
      <c r="D18240" t="s">
        <v>17</v>
      </c>
      <c r="E18240" t="s">
        <v>12</v>
      </c>
      <c r="F18240">
        <v>83137040</v>
      </c>
      <c r="G18240">
        <v>83137059</v>
      </c>
      <c r="H18240">
        <v>83137040</v>
      </c>
      <c r="I18240">
        <v>83137059</v>
      </c>
    </row>
    <row r="18241" spans="1:9" x14ac:dyDescent="0.2">
      <c r="A18241" t="str">
        <f>"Rtkn2"</f>
        <v>Rtkn2</v>
      </c>
      <c r="B18241" t="s">
        <v>14</v>
      </c>
      <c r="C18241" t="s">
        <v>15</v>
      </c>
      <c r="D18241" t="s">
        <v>17</v>
      </c>
      <c r="E18241" t="s">
        <v>12</v>
      </c>
      <c r="F18241">
        <v>67979592</v>
      </c>
      <c r="G18241">
        <v>67979609</v>
      </c>
      <c r="H18241">
        <v>67979737</v>
      </c>
      <c r="I18241">
        <v>67979760</v>
      </c>
    </row>
    <row r="18242" spans="1:9" x14ac:dyDescent="0.2">
      <c r="A18242" t="str">
        <f>"Rtl1"</f>
        <v>Rtl1</v>
      </c>
      <c r="B18242" t="s">
        <v>14</v>
      </c>
      <c r="C18242" t="s">
        <v>16</v>
      </c>
      <c r="D18242" t="s">
        <v>11</v>
      </c>
      <c r="E18242" t="s">
        <v>12</v>
      </c>
      <c r="F18242">
        <v>109600328</v>
      </c>
      <c r="G18242">
        <v>109600348</v>
      </c>
      <c r="H18242">
        <v>109600328</v>
      </c>
      <c r="I18242">
        <v>109600348</v>
      </c>
    </row>
    <row r="18243" spans="1:9" x14ac:dyDescent="0.2">
      <c r="A18243" t="str">
        <f>"Rtn1"</f>
        <v>Rtn1</v>
      </c>
      <c r="B18243" t="s">
        <v>14</v>
      </c>
      <c r="C18243" t="s">
        <v>16</v>
      </c>
      <c r="D18243" t="s">
        <v>11</v>
      </c>
      <c r="E18243" t="s">
        <v>12</v>
      </c>
      <c r="F18243">
        <v>72236692</v>
      </c>
      <c r="G18243">
        <v>72236708</v>
      </c>
      <c r="H18243">
        <v>72236666</v>
      </c>
      <c r="I18243">
        <v>72236684</v>
      </c>
    </row>
    <row r="18244" spans="1:9" x14ac:dyDescent="0.2">
      <c r="A18244" t="str">
        <f>"Rtn2"</f>
        <v>Rtn2</v>
      </c>
      <c r="B18244" t="s">
        <v>9</v>
      </c>
      <c r="C18244" t="s">
        <v>33</v>
      </c>
      <c r="D18244" t="s">
        <v>17</v>
      </c>
      <c r="E18244" t="s">
        <v>12</v>
      </c>
      <c r="F18244">
        <v>19291070</v>
      </c>
      <c r="G18244">
        <v>19291124</v>
      </c>
      <c r="H18244">
        <v>19291070</v>
      </c>
      <c r="I18244">
        <v>19291124</v>
      </c>
    </row>
    <row r="18245" spans="1:9" x14ac:dyDescent="0.2">
      <c r="A18245" t="str">
        <f>"Rtn2"</f>
        <v>Rtn2</v>
      </c>
      <c r="B18245" t="s">
        <v>13</v>
      </c>
      <c r="C18245" t="s">
        <v>33</v>
      </c>
      <c r="D18245" t="s">
        <v>17</v>
      </c>
      <c r="E18245" t="s">
        <v>12</v>
      </c>
      <c r="F18245">
        <v>19282613</v>
      </c>
      <c r="G18245">
        <v>19282702</v>
      </c>
      <c r="H18245">
        <v>19282613</v>
      </c>
      <c r="I18245">
        <v>19282702</v>
      </c>
    </row>
    <row r="18246" spans="1:9" x14ac:dyDescent="0.2">
      <c r="A18246" t="str">
        <f>"Rtn3"</f>
        <v>Rtn3</v>
      </c>
      <c r="B18246" t="s">
        <v>14</v>
      </c>
      <c r="C18246" t="s">
        <v>10</v>
      </c>
      <c r="D18246" t="s">
        <v>11</v>
      </c>
      <c r="E18246" t="s">
        <v>12</v>
      </c>
      <c r="F18246">
        <v>7483241</v>
      </c>
      <c r="G18246">
        <v>7483279</v>
      </c>
      <c r="H18246">
        <v>7483212</v>
      </c>
      <c r="I18246">
        <v>7483229</v>
      </c>
    </row>
    <row r="18247" spans="1:9" x14ac:dyDescent="0.2">
      <c r="A18247" t="str">
        <f>"Rtn4"</f>
        <v>Rtn4</v>
      </c>
      <c r="B18247" t="s">
        <v>14</v>
      </c>
      <c r="C18247" t="s">
        <v>27</v>
      </c>
      <c r="D18247" t="s">
        <v>17</v>
      </c>
      <c r="E18247" t="s">
        <v>12</v>
      </c>
      <c r="F18247">
        <v>29692937</v>
      </c>
      <c r="G18247">
        <v>29692997</v>
      </c>
      <c r="H18247">
        <v>29692937</v>
      </c>
      <c r="I18247">
        <v>29692997</v>
      </c>
    </row>
    <row r="18248" spans="1:9" x14ac:dyDescent="0.2">
      <c r="A18248" t="str">
        <f>"Rtn4ip1"</f>
        <v>Rtn4ip1</v>
      </c>
      <c r="B18248" t="s">
        <v>14</v>
      </c>
      <c r="C18248" t="s">
        <v>15</v>
      </c>
      <c r="D18248" t="s">
        <v>17</v>
      </c>
      <c r="E18248" t="s">
        <v>12</v>
      </c>
      <c r="F18248">
        <v>43901782</v>
      </c>
      <c r="G18248">
        <v>43901845</v>
      </c>
      <c r="H18248">
        <v>43901855</v>
      </c>
      <c r="I18248">
        <v>43901867</v>
      </c>
    </row>
    <row r="18249" spans="1:9" x14ac:dyDescent="0.2">
      <c r="A18249" t="str">
        <f>"Rtn4r"</f>
        <v>Rtn4r</v>
      </c>
      <c r="B18249" t="s">
        <v>14</v>
      </c>
      <c r="C18249" t="s">
        <v>31</v>
      </c>
      <c r="D18249" t="s">
        <v>17</v>
      </c>
      <c r="E18249" t="s">
        <v>12</v>
      </c>
      <c r="F18249">
        <v>18127607</v>
      </c>
      <c r="G18249">
        <v>18127649</v>
      </c>
      <c r="H18249">
        <v>18127669</v>
      </c>
      <c r="I18249">
        <v>18127682</v>
      </c>
    </row>
    <row r="18250" spans="1:9" x14ac:dyDescent="0.2">
      <c r="A18250" t="str">
        <f>"Rtn4rl1"</f>
        <v>Rtn4rl1</v>
      </c>
      <c r="B18250" t="s">
        <v>14</v>
      </c>
      <c r="C18250" t="s">
        <v>27</v>
      </c>
      <c r="D18250" t="s">
        <v>17</v>
      </c>
      <c r="E18250" t="s">
        <v>12</v>
      </c>
      <c r="F18250">
        <v>75193797</v>
      </c>
      <c r="G18250">
        <v>75193864</v>
      </c>
      <c r="H18250">
        <v>75193991</v>
      </c>
      <c r="I18250">
        <v>75193998</v>
      </c>
    </row>
    <row r="18251" spans="1:9" x14ac:dyDescent="0.2">
      <c r="A18251" t="str">
        <f>"Rtn4rl2"</f>
        <v>Rtn4rl2</v>
      </c>
      <c r="B18251" t="s">
        <v>14</v>
      </c>
      <c r="C18251" t="s">
        <v>26</v>
      </c>
      <c r="D18251" t="s">
        <v>11</v>
      </c>
      <c r="E18251" t="s">
        <v>12</v>
      </c>
      <c r="F18251">
        <v>84887008</v>
      </c>
      <c r="G18251">
        <v>84887044</v>
      </c>
      <c r="H18251">
        <v>84886686</v>
      </c>
      <c r="I18251">
        <v>84886736</v>
      </c>
    </row>
    <row r="18252" spans="1:9" x14ac:dyDescent="0.2">
      <c r="A18252" t="str">
        <f>"Rtp1"</f>
        <v>Rtp1</v>
      </c>
      <c r="B18252" t="s">
        <v>14</v>
      </c>
      <c r="C18252" t="s">
        <v>31</v>
      </c>
      <c r="D18252" t="s">
        <v>17</v>
      </c>
      <c r="E18252" t="s">
        <v>12</v>
      </c>
      <c r="F18252">
        <v>23429158</v>
      </c>
      <c r="G18252">
        <v>23429199</v>
      </c>
      <c r="H18252">
        <v>23429158</v>
      </c>
      <c r="I18252">
        <v>23429199</v>
      </c>
    </row>
    <row r="18253" spans="1:9" x14ac:dyDescent="0.2">
      <c r="A18253" t="str">
        <f>"Rtp2"</f>
        <v>Rtp2</v>
      </c>
      <c r="B18253" t="s">
        <v>14</v>
      </c>
      <c r="C18253" t="s">
        <v>31</v>
      </c>
      <c r="D18253" t="s">
        <v>11</v>
      </c>
      <c r="E18253" t="s">
        <v>12</v>
      </c>
      <c r="F18253">
        <v>23930777</v>
      </c>
      <c r="G18253">
        <v>23930797</v>
      </c>
      <c r="H18253">
        <v>23930777</v>
      </c>
      <c r="I18253">
        <v>23930797</v>
      </c>
    </row>
    <row r="18254" spans="1:9" x14ac:dyDescent="0.2">
      <c r="A18254" t="str">
        <f>"Rtp3"</f>
        <v>Rtp3</v>
      </c>
      <c r="B18254" t="s">
        <v>14</v>
      </c>
      <c r="C18254" t="s">
        <v>24</v>
      </c>
      <c r="D18254" t="s">
        <v>11</v>
      </c>
      <c r="E18254" t="s">
        <v>12</v>
      </c>
      <c r="F18254">
        <v>110989712</v>
      </c>
      <c r="G18254">
        <v>110989728</v>
      </c>
      <c r="H18254">
        <v>110989735</v>
      </c>
      <c r="I18254">
        <v>110989748</v>
      </c>
    </row>
    <row r="18255" spans="1:9" x14ac:dyDescent="0.2">
      <c r="A18255" t="str">
        <f>"Rtp4"</f>
        <v>Rtp4</v>
      </c>
      <c r="B18255" t="s">
        <v>14</v>
      </c>
      <c r="C18255" t="s">
        <v>31</v>
      </c>
      <c r="D18255" t="s">
        <v>17</v>
      </c>
      <c r="E18255" t="s">
        <v>12</v>
      </c>
      <c r="F18255">
        <v>23609895</v>
      </c>
      <c r="G18255">
        <v>23609961</v>
      </c>
      <c r="H18255">
        <v>23609895</v>
      </c>
      <c r="I18255">
        <v>23609961</v>
      </c>
    </row>
    <row r="18256" spans="1:9" x14ac:dyDescent="0.2">
      <c r="A18256" t="str">
        <f>"Rttn"</f>
        <v>Rttn</v>
      </c>
      <c r="B18256" t="s">
        <v>14</v>
      </c>
      <c r="C18256" t="s">
        <v>43</v>
      </c>
      <c r="D18256" t="s">
        <v>17</v>
      </c>
      <c r="E18256" t="s">
        <v>12</v>
      </c>
      <c r="F18256">
        <v>88972002</v>
      </c>
      <c r="G18256">
        <v>88972040</v>
      </c>
      <c r="H18256">
        <v>88971737</v>
      </c>
      <c r="I18256">
        <v>88971784</v>
      </c>
    </row>
    <row r="18257" spans="1:9" x14ac:dyDescent="0.2">
      <c r="A18257" t="str">
        <f>"Rufy1"</f>
        <v>Rufy1</v>
      </c>
      <c r="B18257" t="s">
        <v>9</v>
      </c>
      <c r="C18257" t="s">
        <v>27</v>
      </c>
      <c r="D18257" t="s">
        <v>11</v>
      </c>
      <c r="E18257" t="s">
        <v>12</v>
      </c>
      <c r="F18257">
        <v>50431101</v>
      </c>
      <c r="G18257">
        <v>50431131</v>
      </c>
      <c r="H18257">
        <v>50431101</v>
      </c>
      <c r="I18257">
        <v>50431131</v>
      </c>
    </row>
    <row r="18258" spans="1:9" x14ac:dyDescent="0.2">
      <c r="A18258" t="str">
        <f>"Rufy1"</f>
        <v>Rufy1</v>
      </c>
      <c r="B18258" t="s">
        <v>13</v>
      </c>
      <c r="C18258" t="s">
        <v>27</v>
      </c>
      <c r="D18258" t="s">
        <v>11</v>
      </c>
      <c r="E18258" t="s">
        <v>12</v>
      </c>
      <c r="F18258">
        <v>50422003</v>
      </c>
      <c r="G18258">
        <v>50422031</v>
      </c>
      <c r="H18258">
        <v>50422003</v>
      </c>
      <c r="I18258">
        <v>50422031</v>
      </c>
    </row>
    <row r="18259" spans="1:9" x14ac:dyDescent="0.2">
      <c r="A18259" t="str">
        <f>"Rufy2"</f>
        <v>Rufy2</v>
      </c>
      <c r="B18259" t="s">
        <v>14</v>
      </c>
      <c r="C18259" t="s">
        <v>15</v>
      </c>
      <c r="D18259" t="s">
        <v>17</v>
      </c>
      <c r="E18259" t="s">
        <v>12</v>
      </c>
      <c r="F18259">
        <v>62980233</v>
      </c>
      <c r="G18259">
        <v>62980261</v>
      </c>
      <c r="H18259">
        <v>62980280</v>
      </c>
      <c r="I18259">
        <v>62980291</v>
      </c>
    </row>
    <row r="18260" spans="1:9" x14ac:dyDescent="0.2">
      <c r="A18260" t="str">
        <f>"Rufy3"</f>
        <v>Rufy3</v>
      </c>
      <c r="B18260" t="s">
        <v>9</v>
      </c>
      <c r="C18260" t="s">
        <v>46</v>
      </c>
      <c r="D18260" t="s">
        <v>17</v>
      </c>
      <c r="E18260" t="s">
        <v>12</v>
      </c>
      <c r="F18260">
        <v>88583527</v>
      </c>
      <c r="G18260">
        <v>88583590</v>
      </c>
      <c r="H18260">
        <v>88583527</v>
      </c>
      <c r="I18260">
        <v>88583590</v>
      </c>
    </row>
    <row r="18261" spans="1:9" x14ac:dyDescent="0.2">
      <c r="A18261" t="str">
        <f>"Rufy3"</f>
        <v>Rufy3</v>
      </c>
      <c r="B18261" t="s">
        <v>13</v>
      </c>
      <c r="C18261" t="s">
        <v>46</v>
      </c>
      <c r="D18261" t="s">
        <v>17</v>
      </c>
      <c r="E18261" t="s">
        <v>12</v>
      </c>
      <c r="F18261">
        <v>88565009</v>
      </c>
      <c r="G18261">
        <v>88565058</v>
      </c>
      <c r="H18261">
        <v>88565009</v>
      </c>
      <c r="I18261">
        <v>88565058</v>
      </c>
    </row>
    <row r="18262" spans="1:9" x14ac:dyDescent="0.2">
      <c r="A18262" t="str">
        <f>"Rufy4"</f>
        <v>Rufy4</v>
      </c>
      <c r="B18262" t="s">
        <v>14</v>
      </c>
      <c r="C18262" t="s">
        <v>19</v>
      </c>
      <c r="D18262" t="s">
        <v>17</v>
      </c>
      <c r="E18262" t="s">
        <v>12</v>
      </c>
      <c r="F18262">
        <v>74125535</v>
      </c>
      <c r="G18262">
        <v>74125568</v>
      </c>
      <c r="H18262">
        <v>74125502</v>
      </c>
      <c r="I18262">
        <v>74125506</v>
      </c>
    </row>
    <row r="18263" spans="1:9" x14ac:dyDescent="0.2">
      <c r="A18263" t="str">
        <f>"Rundc1"</f>
        <v>Rundc1</v>
      </c>
      <c r="B18263" t="s">
        <v>14</v>
      </c>
      <c r="C18263" t="s">
        <v>27</v>
      </c>
      <c r="D18263" t="s">
        <v>17</v>
      </c>
      <c r="E18263" t="s">
        <v>12</v>
      </c>
      <c r="F18263">
        <v>101425068</v>
      </c>
      <c r="G18263">
        <v>101425114</v>
      </c>
      <c r="H18263">
        <v>101425068</v>
      </c>
      <c r="I18263">
        <v>101425114</v>
      </c>
    </row>
    <row r="18264" spans="1:9" x14ac:dyDescent="0.2">
      <c r="A18264" t="str">
        <f>"Rundc3a"</f>
        <v>Rundc3a</v>
      </c>
      <c r="B18264" t="s">
        <v>14</v>
      </c>
      <c r="C18264" t="s">
        <v>27</v>
      </c>
      <c r="D18264" t="s">
        <v>17</v>
      </c>
      <c r="E18264" t="s">
        <v>12</v>
      </c>
      <c r="F18264">
        <v>102393419</v>
      </c>
      <c r="G18264">
        <v>102393496</v>
      </c>
      <c r="H18264">
        <v>102393521</v>
      </c>
      <c r="I18264">
        <v>102393542</v>
      </c>
    </row>
    <row r="18265" spans="1:9" x14ac:dyDescent="0.2">
      <c r="A18265" t="str">
        <f>"Rundc3b"</f>
        <v>Rundc3b</v>
      </c>
      <c r="B18265" t="s">
        <v>14</v>
      </c>
      <c r="C18265" t="s">
        <v>46</v>
      </c>
      <c r="D18265" t="s">
        <v>11</v>
      </c>
      <c r="E18265" t="s">
        <v>12</v>
      </c>
      <c r="F18265">
        <v>8622768</v>
      </c>
      <c r="G18265">
        <v>8622854</v>
      </c>
      <c r="H18265">
        <v>8622855</v>
      </c>
      <c r="I18265">
        <v>8622921</v>
      </c>
    </row>
    <row r="18266" spans="1:9" x14ac:dyDescent="0.2">
      <c r="A18266" t="str">
        <f>"Runx1"</f>
        <v>Runx1</v>
      </c>
      <c r="B18266" t="s">
        <v>5712</v>
      </c>
      <c r="C18266" t="s">
        <v>31</v>
      </c>
      <c r="D18266" t="s">
        <v>11</v>
      </c>
      <c r="E18266" t="s">
        <v>35</v>
      </c>
      <c r="F18266">
        <v>92697315</v>
      </c>
      <c r="G18266">
        <v>92697347</v>
      </c>
      <c r="H18266">
        <v>92697173</v>
      </c>
      <c r="I18266">
        <v>92697186</v>
      </c>
    </row>
    <row r="18267" spans="1:9" x14ac:dyDescent="0.2">
      <c r="A18267" t="str">
        <f>"Runx1t1"</f>
        <v>Runx1t1</v>
      </c>
      <c r="B18267" t="s">
        <v>14</v>
      </c>
      <c r="C18267" t="s">
        <v>23</v>
      </c>
      <c r="D18267" t="s">
        <v>17</v>
      </c>
      <c r="E18267" t="s">
        <v>12</v>
      </c>
      <c r="F18267">
        <v>13743424</v>
      </c>
      <c r="G18267">
        <v>13743478</v>
      </c>
      <c r="H18267">
        <v>13743352</v>
      </c>
      <c r="I18267">
        <v>13743379</v>
      </c>
    </row>
    <row r="18268" spans="1:9" x14ac:dyDescent="0.2">
      <c r="A18268" t="str">
        <f>"Runx2"</f>
        <v>Runx2</v>
      </c>
      <c r="B18268" t="s">
        <v>9</v>
      </c>
      <c r="C18268" t="s">
        <v>28</v>
      </c>
      <c r="D18268" t="s">
        <v>11</v>
      </c>
      <c r="E18268" t="s">
        <v>12</v>
      </c>
      <c r="F18268">
        <v>44735612</v>
      </c>
      <c r="G18268">
        <v>44735666</v>
      </c>
      <c r="H18268">
        <v>44735612</v>
      </c>
      <c r="I18268">
        <v>44735666</v>
      </c>
    </row>
    <row r="18269" spans="1:9" x14ac:dyDescent="0.2">
      <c r="A18269" t="str">
        <f>"Runx2"</f>
        <v>Runx2</v>
      </c>
      <c r="B18269" t="s">
        <v>13</v>
      </c>
      <c r="C18269" t="s">
        <v>28</v>
      </c>
      <c r="D18269" t="s">
        <v>11</v>
      </c>
      <c r="E18269" t="s">
        <v>12</v>
      </c>
      <c r="F18269">
        <v>44814604</v>
      </c>
      <c r="G18269">
        <v>44814637</v>
      </c>
      <c r="H18269">
        <v>44814604</v>
      </c>
      <c r="I18269">
        <v>44814637</v>
      </c>
    </row>
    <row r="18270" spans="1:9" x14ac:dyDescent="0.2">
      <c r="A18270" t="str">
        <f>"Runx3"</f>
        <v>Runx3</v>
      </c>
      <c r="B18270" t="s">
        <v>14</v>
      </c>
      <c r="C18270" t="s">
        <v>23</v>
      </c>
      <c r="D18270" t="s">
        <v>17</v>
      </c>
      <c r="E18270" t="s">
        <v>12</v>
      </c>
      <c r="F18270">
        <v>135152536</v>
      </c>
      <c r="G18270">
        <v>135152554</v>
      </c>
      <c r="H18270">
        <v>135152536</v>
      </c>
      <c r="I18270">
        <v>135152554</v>
      </c>
    </row>
    <row r="18271" spans="1:9" x14ac:dyDescent="0.2">
      <c r="A18271" t="str">
        <f>"Rusc1"</f>
        <v>Rusc1</v>
      </c>
      <c r="B18271" t="s">
        <v>14</v>
      </c>
      <c r="C18271" t="s">
        <v>22</v>
      </c>
      <c r="D18271" t="s">
        <v>11</v>
      </c>
      <c r="E18271" t="s">
        <v>12</v>
      </c>
      <c r="F18271">
        <v>89093285</v>
      </c>
      <c r="G18271">
        <v>89093356</v>
      </c>
      <c r="H18271">
        <v>89093285</v>
      </c>
      <c r="I18271">
        <v>89093356</v>
      </c>
    </row>
    <row r="18272" spans="1:9" x14ac:dyDescent="0.2">
      <c r="A18272" t="str">
        <f>"Rusc2"</f>
        <v>Rusc2</v>
      </c>
      <c r="B18272" t="s">
        <v>9</v>
      </c>
      <c r="C18272" t="s">
        <v>23</v>
      </c>
      <c r="D18272" t="s">
        <v>17</v>
      </c>
      <c r="E18272" t="s">
        <v>12</v>
      </c>
      <c r="F18272">
        <v>43406490</v>
      </c>
      <c r="G18272">
        <v>43406615</v>
      </c>
      <c r="H18272">
        <v>43406490</v>
      </c>
      <c r="I18272">
        <v>43406615</v>
      </c>
    </row>
    <row r="18273" spans="1:9" x14ac:dyDescent="0.2">
      <c r="A18273" t="str">
        <f>"Rusc2"</f>
        <v>Rusc2</v>
      </c>
      <c r="B18273" t="s">
        <v>13</v>
      </c>
      <c r="C18273" t="s">
        <v>23</v>
      </c>
      <c r="D18273" t="s">
        <v>17</v>
      </c>
      <c r="E18273" t="s">
        <v>12</v>
      </c>
      <c r="F18273">
        <v>43382034</v>
      </c>
      <c r="G18273">
        <v>43382084</v>
      </c>
      <c r="H18273">
        <v>43382034</v>
      </c>
      <c r="I18273">
        <v>43382084</v>
      </c>
    </row>
    <row r="18274" spans="1:9" x14ac:dyDescent="0.2">
      <c r="A18274" t="str">
        <f>"Ruvbl1"</f>
        <v>Ruvbl1</v>
      </c>
      <c r="B18274" t="s">
        <v>14</v>
      </c>
      <c r="C18274" t="s">
        <v>32</v>
      </c>
      <c r="D18274" t="s">
        <v>17</v>
      </c>
      <c r="E18274" t="s">
        <v>12</v>
      </c>
      <c r="F18274">
        <v>88465417</v>
      </c>
      <c r="G18274">
        <v>88465482</v>
      </c>
      <c r="H18274">
        <v>88465417</v>
      </c>
      <c r="I18274">
        <v>88465482</v>
      </c>
    </row>
    <row r="18275" spans="1:9" x14ac:dyDescent="0.2">
      <c r="A18275" t="str">
        <f>"Ruvbl2"</f>
        <v>Ruvbl2</v>
      </c>
      <c r="B18275" t="s">
        <v>14</v>
      </c>
      <c r="C18275" t="s">
        <v>33</v>
      </c>
      <c r="D18275" t="s">
        <v>11</v>
      </c>
      <c r="E18275" t="s">
        <v>12</v>
      </c>
      <c r="F18275">
        <v>45434267</v>
      </c>
      <c r="G18275">
        <v>45434308</v>
      </c>
      <c r="H18275">
        <v>45434590</v>
      </c>
      <c r="I18275">
        <v>45434646</v>
      </c>
    </row>
    <row r="18276" spans="1:9" x14ac:dyDescent="0.2">
      <c r="A18276" t="str">
        <f>"Rwdd1"</f>
        <v>Rwdd1</v>
      </c>
      <c r="B18276" t="s">
        <v>14</v>
      </c>
      <c r="C18276" t="s">
        <v>15</v>
      </c>
      <c r="D18276" t="s">
        <v>11</v>
      </c>
      <c r="E18276" t="s">
        <v>12</v>
      </c>
      <c r="F18276">
        <v>34019497</v>
      </c>
      <c r="G18276">
        <v>34019559</v>
      </c>
      <c r="H18276">
        <v>34019561</v>
      </c>
      <c r="I18276">
        <v>34019626</v>
      </c>
    </row>
    <row r="18277" spans="1:9" x14ac:dyDescent="0.2">
      <c r="A18277" t="str">
        <f>"Rwdd2a"</f>
        <v>Rwdd2a</v>
      </c>
      <c r="B18277" t="s">
        <v>14</v>
      </c>
      <c r="C18277" t="s">
        <v>24</v>
      </c>
      <c r="D18277" t="s">
        <v>17</v>
      </c>
      <c r="E18277" t="s">
        <v>12</v>
      </c>
      <c r="F18277">
        <v>86571965</v>
      </c>
      <c r="G18277">
        <v>86572021</v>
      </c>
      <c r="H18277">
        <v>86572029</v>
      </c>
      <c r="I18277">
        <v>86572046</v>
      </c>
    </row>
    <row r="18278" spans="1:9" x14ac:dyDescent="0.2">
      <c r="A18278" t="str">
        <f>"Rwdd2b"</f>
        <v>Rwdd2b</v>
      </c>
      <c r="B18278" t="s">
        <v>14</v>
      </c>
      <c r="C18278" t="s">
        <v>31</v>
      </c>
      <c r="D18278" t="s">
        <v>11</v>
      </c>
      <c r="E18278" t="s">
        <v>12</v>
      </c>
      <c r="F18278">
        <v>87440551</v>
      </c>
      <c r="G18278">
        <v>87440612</v>
      </c>
      <c r="H18278">
        <v>87440498</v>
      </c>
      <c r="I18278">
        <v>87440542</v>
      </c>
    </row>
    <row r="18279" spans="1:9" x14ac:dyDescent="0.2">
      <c r="A18279" t="str">
        <f>"Rwdd3"</f>
        <v>Rwdd3</v>
      </c>
      <c r="B18279" t="s">
        <v>14</v>
      </c>
      <c r="C18279" t="s">
        <v>22</v>
      </c>
      <c r="D18279" t="s">
        <v>11</v>
      </c>
      <c r="E18279" t="s">
        <v>12</v>
      </c>
      <c r="F18279">
        <v>121171678</v>
      </c>
      <c r="G18279">
        <v>121171717</v>
      </c>
      <c r="H18279">
        <v>121171678</v>
      </c>
      <c r="I18279">
        <v>121171717</v>
      </c>
    </row>
    <row r="18280" spans="1:9" x14ac:dyDescent="0.2">
      <c r="A18280" t="str">
        <f>"Rwdd4a"</f>
        <v>Rwdd4a</v>
      </c>
      <c r="B18280" t="s">
        <v>14</v>
      </c>
      <c r="C18280" t="s">
        <v>30</v>
      </c>
      <c r="D18280" t="s">
        <v>17</v>
      </c>
      <c r="E18280" t="s">
        <v>12</v>
      </c>
      <c r="F18280">
        <v>47533639</v>
      </c>
      <c r="G18280">
        <v>47533709</v>
      </c>
      <c r="H18280">
        <v>47533567</v>
      </c>
      <c r="I18280">
        <v>47533584</v>
      </c>
    </row>
    <row r="18281" spans="1:9" x14ac:dyDescent="0.2">
      <c r="A18281" t="str">
        <f>"Rxfp1"</f>
        <v>Rxfp1</v>
      </c>
      <c r="B18281" t="s">
        <v>14</v>
      </c>
      <c r="C18281" t="s">
        <v>22</v>
      </c>
      <c r="D18281" t="s">
        <v>11</v>
      </c>
      <c r="E18281" t="s">
        <v>12</v>
      </c>
      <c r="F18281">
        <v>79737871</v>
      </c>
      <c r="G18281">
        <v>79737895</v>
      </c>
      <c r="H18281">
        <v>79737901</v>
      </c>
      <c r="I18281">
        <v>79737912</v>
      </c>
    </row>
    <row r="18282" spans="1:9" x14ac:dyDescent="0.2">
      <c r="A18282" t="str">
        <f>"Rxfp2"</f>
        <v>Rxfp2</v>
      </c>
      <c r="B18282" t="s">
        <v>14</v>
      </c>
      <c r="C18282" t="s">
        <v>46</v>
      </c>
      <c r="D18282" t="s">
        <v>17</v>
      </c>
      <c r="E18282" t="s">
        <v>12</v>
      </c>
      <c r="F18282">
        <v>150018783</v>
      </c>
      <c r="G18282">
        <v>150018799</v>
      </c>
      <c r="H18282">
        <v>150018783</v>
      </c>
      <c r="I18282">
        <v>150018799</v>
      </c>
    </row>
    <row r="18283" spans="1:9" x14ac:dyDescent="0.2">
      <c r="A18283" t="str">
        <f>"Rxfp3"</f>
        <v>Rxfp3</v>
      </c>
      <c r="B18283" t="s">
        <v>14</v>
      </c>
      <c r="C18283" t="s">
        <v>25</v>
      </c>
      <c r="D18283" t="s">
        <v>11</v>
      </c>
      <c r="E18283" t="s">
        <v>12</v>
      </c>
      <c r="F18283">
        <v>11037961</v>
      </c>
      <c r="G18283">
        <v>11037972</v>
      </c>
      <c r="H18283">
        <v>11038044</v>
      </c>
      <c r="I18283">
        <v>11038048</v>
      </c>
    </row>
    <row r="18284" spans="1:9" x14ac:dyDescent="0.2">
      <c r="A18284" t="str">
        <f>"Rxfp4"</f>
        <v>Rxfp4</v>
      </c>
      <c r="B18284" t="s">
        <v>14</v>
      </c>
      <c r="C18284" t="s">
        <v>22</v>
      </c>
      <c r="D18284" t="s">
        <v>11</v>
      </c>
      <c r="E18284" t="s">
        <v>12</v>
      </c>
      <c r="F18284">
        <v>88653296</v>
      </c>
      <c r="G18284">
        <v>88653299</v>
      </c>
      <c r="H18284">
        <v>88653296</v>
      </c>
      <c r="I18284">
        <v>88653299</v>
      </c>
    </row>
    <row r="18285" spans="1:9" x14ac:dyDescent="0.2">
      <c r="A18285" t="str">
        <f>"Rxra"</f>
        <v>Rxra</v>
      </c>
      <c r="B18285" t="s">
        <v>14</v>
      </c>
      <c r="C18285" t="s">
        <v>26</v>
      </c>
      <c r="D18285" t="s">
        <v>17</v>
      </c>
      <c r="E18285" t="s">
        <v>12</v>
      </c>
      <c r="F18285">
        <v>27677234</v>
      </c>
      <c r="G18285">
        <v>27677295</v>
      </c>
      <c r="H18285">
        <v>27677214</v>
      </c>
      <c r="I18285">
        <v>27677229</v>
      </c>
    </row>
    <row r="18286" spans="1:9" x14ac:dyDescent="0.2">
      <c r="A18286" t="str">
        <f>"Rxrb"</f>
        <v>Rxrb</v>
      </c>
      <c r="B18286" t="s">
        <v>14</v>
      </c>
      <c r="C18286" t="s">
        <v>28</v>
      </c>
      <c r="D18286" t="s">
        <v>17</v>
      </c>
      <c r="E18286" t="s">
        <v>12</v>
      </c>
      <c r="F18286">
        <v>34031787</v>
      </c>
      <c r="G18286">
        <v>34031821</v>
      </c>
      <c r="H18286">
        <v>34032071</v>
      </c>
      <c r="I18286">
        <v>34032123</v>
      </c>
    </row>
    <row r="18287" spans="1:9" x14ac:dyDescent="0.2">
      <c r="A18287" t="str">
        <f>"Rxrg"</f>
        <v>Rxrg</v>
      </c>
      <c r="B18287" t="s">
        <v>9</v>
      </c>
      <c r="C18287" t="s">
        <v>19</v>
      </c>
      <c r="D18287" t="s">
        <v>17</v>
      </c>
      <c r="E18287" t="s">
        <v>12</v>
      </c>
      <c r="F18287">
        <v>167618246</v>
      </c>
      <c r="G18287">
        <v>167618299</v>
      </c>
      <c r="H18287">
        <v>167618246</v>
      </c>
      <c r="I18287">
        <v>167618299</v>
      </c>
    </row>
    <row r="18288" spans="1:9" x14ac:dyDescent="0.2">
      <c r="A18288" t="str">
        <f>"Rxrg"</f>
        <v>Rxrg</v>
      </c>
      <c r="B18288" t="s">
        <v>13</v>
      </c>
      <c r="C18288" t="s">
        <v>19</v>
      </c>
      <c r="D18288" t="s">
        <v>17</v>
      </c>
      <c r="E18288" t="s">
        <v>12</v>
      </c>
      <c r="F18288">
        <v>167598389</v>
      </c>
      <c r="G18288">
        <v>167598411</v>
      </c>
      <c r="H18288">
        <v>167598389</v>
      </c>
      <c r="I18288">
        <v>167598411</v>
      </c>
    </row>
    <row r="18289" spans="1:9" x14ac:dyDescent="0.2">
      <c r="A18289" t="str">
        <f>"Rybp"</f>
        <v>Rybp</v>
      </c>
      <c r="B18289" t="s">
        <v>14</v>
      </c>
      <c r="C18289" t="s">
        <v>32</v>
      </c>
      <c r="D18289" t="s">
        <v>11</v>
      </c>
      <c r="E18289" t="s">
        <v>12</v>
      </c>
      <c r="F18289">
        <v>100287479</v>
      </c>
      <c r="G18289">
        <v>100287501</v>
      </c>
      <c r="H18289">
        <v>100287444</v>
      </c>
      <c r="I18289">
        <v>100287465</v>
      </c>
    </row>
    <row r="18290" spans="1:9" x14ac:dyDescent="0.2">
      <c r="A18290" t="str">
        <f>"Ryk"</f>
        <v>Ryk</v>
      </c>
      <c r="B18290" t="s">
        <v>14</v>
      </c>
      <c r="C18290" t="s">
        <v>24</v>
      </c>
      <c r="D18290" t="s">
        <v>17</v>
      </c>
      <c r="E18290" t="s">
        <v>12</v>
      </c>
      <c r="F18290">
        <v>102834864</v>
      </c>
      <c r="G18290">
        <v>102834947</v>
      </c>
      <c r="H18290">
        <v>102834961</v>
      </c>
      <c r="I18290">
        <v>102834972</v>
      </c>
    </row>
    <row r="18291" spans="1:9" x14ac:dyDescent="0.2">
      <c r="A18291" t="str">
        <f>"Ryr1"</f>
        <v>Ryr1</v>
      </c>
      <c r="B18291" t="s">
        <v>14</v>
      </c>
      <c r="C18291" t="s">
        <v>33</v>
      </c>
      <c r="D18291" t="s">
        <v>11</v>
      </c>
      <c r="E18291" t="s">
        <v>12</v>
      </c>
      <c r="F18291">
        <v>29125142</v>
      </c>
      <c r="G18291">
        <v>29125160</v>
      </c>
      <c r="H18291">
        <v>29125048</v>
      </c>
      <c r="I18291">
        <v>29125050</v>
      </c>
    </row>
    <row r="18292" spans="1:9" x14ac:dyDescent="0.2">
      <c r="A18292" t="str">
        <f>"Ryr2"</f>
        <v>Ryr2</v>
      </c>
      <c r="B18292" t="s">
        <v>14</v>
      </c>
      <c r="C18292" t="s">
        <v>39</v>
      </c>
      <c r="D18292" t="s">
        <v>11</v>
      </c>
      <c r="E18292" t="s">
        <v>12</v>
      </c>
      <c r="F18292">
        <v>12106838</v>
      </c>
      <c r="G18292">
        <v>12106854</v>
      </c>
      <c r="H18292">
        <v>12106670</v>
      </c>
      <c r="I18292">
        <v>12106703</v>
      </c>
    </row>
    <row r="18293" spans="1:9" x14ac:dyDescent="0.2">
      <c r="A18293" t="str">
        <f>"Ryr3"</f>
        <v>Ryr3</v>
      </c>
      <c r="B18293" t="s">
        <v>14</v>
      </c>
      <c r="C18293" t="s">
        <v>26</v>
      </c>
      <c r="D18293" t="s">
        <v>11</v>
      </c>
      <c r="E18293" t="s">
        <v>12</v>
      </c>
      <c r="F18293">
        <v>113217052</v>
      </c>
      <c r="G18293">
        <v>113217094</v>
      </c>
      <c r="H18293">
        <v>113217026</v>
      </c>
      <c r="I18293">
        <v>113217039</v>
      </c>
    </row>
    <row r="18294" spans="1:9" x14ac:dyDescent="0.2">
      <c r="A18294" t="str">
        <f>"S100a1"</f>
        <v>S100a1</v>
      </c>
      <c r="B18294" t="s">
        <v>14</v>
      </c>
      <c r="C18294" t="s">
        <v>22</v>
      </c>
      <c r="D18294" t="s">
        <v>11</v>
      </c>
      <c r="E18294" t="s">
        <v>12</v>
      </c>
      <c r="F18294">
        <v>90514250</v>
      </c>
      <c r="G18294">
        <v>90514334</v>
      </c>
      <c r="H18294">
        <v>90514250</v>
      </c>
      <c r="I18294">
        <v>90514334</v>
      </c>
    </row>
    <row r="18295" spans="1:9" x14ac:dyDescent="0.2">
      <c r="A18295" t="str">
        <f>"S100a10"</f>
        <v>S100a10</v>
      </c>
      <c r="B18295" t="s">
        <v>14</v>
      </c>
      <c r="C18295" t="s">
        <v>22</v>
      </c>
      <c r="D18295" t="s">
        <v>17</v>
      </c>
      <c r="E18295" t="s">
        <v>12</v>
      </c>
      <c r="F18295">
        <v>93555155</v>
      </c>
      <c r="G18295">
        <v>93555171</v>
      </c>
      <c r="H18295">
        <v>93555126</v>
      </c>
      <c r="I18295">
        <v>93555152</v>
      </c>
    </row>
    <row r="18296" spans="1:9" x14ac:dyDescent="0.2">
      <c r="A18296" t="str">
        <f>"S100a11"</f>
        <v>S100a11</v>
      </c>
      <c r="B18296" t="s">
        <v>14</v>
      </c>
      <c r="C18296" t="s">
        <v>22</v>
      </c>
      <c r="D18296" t="s">
        <v>17</v>
      </c>
      <c r="E18296" t="s">
        <v>12</v>
      </c>
      <c r="F18296">
        <v>93520473</v>
      </c>
      <c r="G18296">
        <v>93520501</v>
      </c>
      <c r="H18296">
        <v>93520473</v>
      </c>
      <c r="I18296">
        <v>93520501</v>
      </c>
    </row>
    <row r="18297" spans="1:9" x14ac:dyDescent="0.2">
      <c r="A18297" t="str">
        <f>"S100a13"</f>
        <v>S100a13</v>
      </c>
      <c r="B18297" t="s">
        <v>14</v>
      </c>
      <c r="C18297" t="s">
        <v>22</v>
      </c>
      <c r="D18297" t="s">
        <v>17</v>
      </c>
      <c r="E18297" t="s">
        <v>12</v>
      </c>
      <c r="F18297">
        <v>90514918</v>
      </c>
      <c r="G18297">
        <v>90514976</v>
      </c>
      <c r="H18297">
        <v>90514918</v>
      </c>
      <c r="I18297">
        <v>90514976</v>
      </c>
    </row>
    <row r="18298" spans="1:9" x14ac:dyDescent="0.2">
      <c r="A18298" t="str">
        <f>"S100a14"</f>
        <v>S100a14</v>
      </c>
      <c r="B18298" t="s">
        <v>14</v>
      </c>
      <c r="C18298" t="s">
        <v>22</v>
      </c>
      <c r="D18298" t="s">
        <v>17</v>
      </c>
      <c r="E18298" t="s">
        <v>12</v>
      </c>
      <c r="F18298">
        <v>90526861</v>
      </c>
      <c r="G18298">
        <v>90526881</v>
      </c>
      <c r="H18298">
        <v>90526825</v>
      </c>
      <c r="I18298">
        <v>90526832</v>
      </c>
    </row>
    <row r="18299" spans="1:9" x14ac:dyDescent="0.2">
      <c r="A18299" t="str">
        <f>"S100a16"</f>
        <v>S100a16</v>
      </c>
      <c r="B18299" t="s">
        <v>9</v>
      </c>
      <c r="C18299" t="s">
        <v>22</v>
      </c>
      <c r="D18299" t="s">
        <v>17</v>
      </c>
      <c r="E18299" t="s">
        <v>12</v>
      </c>
      <c r="F18299">
        <v>90537333</v>
      </c>
      <c r="G18299">
        <v>90537386</v>
      </c>
      <c r="H18299">
        <v>90537333</v>
      </c>
      <c r="I18299">
        <v>90537386</v>
      </c>
    </row>
    <row r="18300" spans="1:9" x14ac:dyDescent="0.2">
      <c r="A18300" t="str">
        <f>"S100a16"</f>
        <v>S100a16</v>
      </c>
      <c r="B18300" t="s">
        <v>13</v>
      </c>
      <c r="C18300" t="s">
        <v>22</v>
      </c>
      <c r="D18300" t="s">
        <v>17</v>
      </c>
      <c r="E18300" t="s">
        <v>12</v>
      </c>
      <c r="F18300">
        <v>90541217</v>
      </c>
      <c r="G18300">
        <v>90541241</v>
      </c>
      <c r="H18300">
        <v>90541217</v>
      </c>
      <c r="I18300">
        <v>90541241</v>
      </c>
    </row>
    <row r="18301" spans="1:9" x14ac:dyDescent="0.2">
      <c r="A18301" t="str">
        <f>"S100a2"</f>
        <v>S100a2</v>
      </c>
      <c r="B18301" t="s">
        <v>5713</v>
      </c>
      <c r="C18301" t="s">
        <v>22</v>
      </c>
      <c r="D18301" t="s">
        <v>17</v>
      </c>
      <c r="E18301" t="s">
        <v>20</v>
      </c>
      <c r="F18301">
        <v>90590246</v>
      </c>
      <c r="G18301">
        <v>90590246</v>
      </c>
      <c r="H18301">
        <v>90590246</v>
      </c>
      <c r="I18301">
        <v>90590246</v>
      </c>
    </row>
    <row r="18302" spans="1:9" x14ac:dyDescent="0.2">
      <c r="A18302" t="str">
        <f>"S100a3"</f>
        <v>S100a3</v>
      </c>
      <c r="B18302" t="s">
        <v>14</v>
      </c>
      <c r="C18302" t="s">
        <v>22</v>
      </c>
      <c r="D18302" t="s">
        <v>17</v>
      </c>
      <c r="E18302" t="s">
        <v>12</v>
      </c>
      <c r="F18302">
        <v>90600237</v>
      </c>
      <c r="G18302">
        <v>90600247</v>
      </c>
      <c r="H18302">
        <v>90600203</v>
      </c>
      <c r="I18302">
        <v>90600219</v>
      </c>
    </row>
    <row r="18303" spans="1:9" x14ac:dyDescent="0.2">
      <c r="A18303" t="str">
        <f>"S100a4"</f>
        <v>S100a4</v>
      </c>
      <c r="B18303" t="s">
        <v>14</v>
      </c>
      <c r="C18303" t="s">
        <v>22</v>
      </c>
      <c r="D18303" t="s">
        <v>17</v>
      </c>
      <c r="E18303" t="s">
        <v>12</v>
      </c>
      <c r="F18303">
        <v>90603767</v>
      </c>
      <c r="G18303">
        <v>90603771</v>
      </c>
      <c r="H18303">
        <v>90603767</v>
      </c>
      <c r="I18303">
        <v>90603771</v>
      </c>
    </row>
    <row r="18304" spans="1:9" x14ac:dyDescent="0.2">
      <c r="A18304" t="str">
        <f>"S100a5"</f>
        <v>S100a5</v>
      </c>
      <c r="B18304" t="s">
        <v>14</v>
      </c>
      <c r="C18304" t="s">
        <v>22</v>
      </c>
      <c r="D18304" t="s">
        <v>17</v>
      </c>
      <c r="E18304" t="s">
        <v>12</v>
      </c>
      <c r="F18304">
        <v>90608497</v>
      </c>
      <c r="G18304">
        <v>90608501</v>
      </c>
      <c r="H18304">
        <v>90608497</v>
      </c>
      <c r="I18304">
        <v>90608501</v>
      </c>
    </row>
    <row r="18305" spans="1:9" x14ac:dyDescent="0.2">
      <c r="A18305" t="str">
        <f>"S100a6"</f>
        <v>S100a6</v>
      </c>
      <c r="B18305" t="s">
        <v>14</v>
      </c>
      <c r="C18305" t="s">
        <v>22</v>
      </c>
      <c r="D18305" t="s">
        <v>17</v>
      </c>
      <c r="E18305" t="s">
        <v>12</v>
      </c>
      <c r="F18305">
        <v>90613176</v>
      </c>
      <c r="G18305">
        <v>90613192</v>
      </c>
      <c r="H18305">
        <v>90612917</v>
      </c>
      <c r="I18305">
        <v>90612974</v>
      </c>
    </row>
    <row r="18306" spans="1:9" x14ac:dyDescent="0.2">
      <c r="A18306" t="str">
        <f>"S100a7a"</f>
        <v>S100a7a</v>
      </c>
      <c r="B18306" t="s">
        <v>14</v>
      </c>
      <c r="C18306" t="s">
        <v>22</v>
      </c>
      <c r="D18306" t="s">
        <v>17</v>
      </c>
      <c r="E18306" t="s">
        <v>12</v>
      </c>
      <c r="F18306">
        <v>90654191</v>
      </c>
      <c r="G18306">
        <v>90654205</v>
      </c>
      <c r="H18306">
        <v>90654253</v>
      </c>
      <c r="I18306">
        <v>90654279</v>
      </c>
    </row>
    <row r="18307" spans="1:9" x14ac:dyDescent="0.2">
      <c r="A18307" t="str">
        <f>"S100a8"</f>
        <v>S100a8</v>
      </c>
      <c r="B18307" t="s">
        <v>14</v>
      </c>
      <c r="C18307" t="s">
        <v>22</v>
      </c>
      <c r="D18307" t="s">
        <v>17</v>
      </c>
      <c r="E18307" t="s">
        <v>12</v>
      </c>
      <c r="F18307">
        <v>90669063</v>
      </c>
      <c r="G18307">
        <v>90669076</v>
      </c>
      <c r="H18307">
        <v>90669063</v>
      </c>
      <c r="I18307">
        <v>90669076</v>
      </c>
    </row>
    <row r="18308" spans="1:9" x14ac:dyDescent="0.2">
      <c r="A18308" t="str">
        <f>"S100a9"</f>
        <v>S100a9</v>
      </c>
      <c r="B18308" t="s">
        <v>14</v>
      </c>
      <c r="C18308" t="s">
        <v>22</v>
      </c>
      <c r="D18308" t="s">
        <v>11</v>
      </c>
      <c r="E18308" t="s">
        <v>12</v>
      </c>
      <c r="F18308">
        <v>90695684</v>
      </c>
      <c r="G18308">
        <v>90695697</v>
      </c>
      <c r="H18308">
        <v>90695706</v>
      </c>
      <c r="I18308">
        <v>90695721</v>
      </c>
    </row>
    <row r="18309" spans="1:9" x14ac:dyDescent="0.2">
      <c r="A18309" t="str">
        <f>"S100b"</f>
        <v>S100b</v>
      </c>
      <c r="B18309" t="s">
        <v>14</v>
      </c>
      <c r="C18309" t="s">
        <v>15</v>
      </c>
      <c r="D18309" t="s">
        <v>17</v>
      </c>
      <c r="E18309" t="s">
        <v>12</v>
      </c>
      <c r="F18309">
        <v>76253899</v>
      </c>
      <c r="G18309">
        <v>76253915</v>
      </c>
      <c r="H18309">
        <v>76253899</v>
      </c>
      <c r="I18309">
        <v>76253915</v>
      </c>
    </row>
    <row r="18310" spans="1:9" x14ac:dyDescent="0.2">
      <c r="A18310" t="str">
        <f>"S100g"</f>
        <v>S100g</v>
      </c>
      <c r="B18310" t="s">
        <v>14</v>
      </c>
      <c r="C18310" t="s">
        <v>37</v>
      </c>
      <c r="D18310" t="s">
        <v>11</v>
      </c>
      <c r="E18310" t="s">
        <v>12</v>
      </c>
      <c r="F18310">
        <v>162964557</v>
      </c>
      <c r="G18310">
        <v>162964576</v>
      </c>
      <c r="H18310">
        <v>162964557</v>
      </c>
      <c r="I18310">
        <v>162964576</v>
      </c>
    </row>
    <row r="18311" spans="1:9" x14ac:dyDescent="0.2">
      <c r="A18311" t="str">
        <f>"S100pbp"</f>
        <v>S100pbp</v>
      </c>
      <c r="B18311" t="s">
        <v>14</v>
      </c>
      <c r="C18311" t="s">
        <v>23</v>
      </c>
      <c r="D18311" t="s">
        <v>11</v>
      </c>
      <c r="E18311" t="s">
        <v>12</v>
      </c>
      <c r="F18311">
        <v>129189569</v>
      </c>
      <c r="G18311">
        <v>129189594</v>
      </c>
      <c r="H18311">
        <v>129189646</v>
      </c>
      <c r="I18311">
        <v>129189697</v>
      </c>
    </row>
    <row r="18312" spans="1:9" x14ac:dyDescent="0.2">
      <c r="A18312" t="str">
        <f>"S100z"</f>
        <v>S100z</v>
      </c>
      <c r="B18312" t="s">
        <v>14</v>
      </c>
      <c r="C18312" t="s">
        <v>39</v>
      </c>
      <c r="D18312" t="s">
        <v>11</v>
      </c>
      <c r="E18312" t="s">
        <v>12</v>
      </c>
      <c r="F18312">
        <v>95479131</v>
      </c>
      <c r="G18312">
        <v>95479138</v>
      </c>
      <c r="H18312">
        <v>95479131</v>
      </c>
      <c r="I18312">
        <v>95479138</v>
      </c>
    </row>
    <row r="18313" spans="1:9" x14ac:dyDescent="0.2">
      <c r="A18313" t="str">
        <f>"S1pr1"</f>
        <v>S1pr1</v>
      </c>
      <c r="B18313" t="s">
        <v>14</v>
      </c>
      <c r="C18313" t="s">
        <v>22</v>
      </c>
      <c r="D18313" t="s">
        <v>11</v>
      </c>
      <c r="E18313" t="s">
        <v>12</v>
      </c>
      <c r="F18313">
        <v>115714780</v>
      </c>
      <c r="G18313">
        <v>115714797</v>
      </c>
      <c r="H18313">
        <v>115714780</v>
      </c>
      <c r="I18313">
        <v>115714797</v>
      </c>
    </row>
    <row r="18314" spans="1:9" x14ac:dyDescent="0.2">
      <c r="A18314" t="str">
        <f>"S1pr2"</f>
        <v>S1pr2</v>
      </c>
      <c r="B18314" t="s">
        <v>14</v>
      </c>
      <c r="C18314" t="s">
        <v>24</v>
      </c>
      <c r="D18314" t="s">
        <v>11</v>
      </c>
      <c r="E18314" t="s">
        <v>12</v>
      </c>
      <c r="F18314">
        <v>20976721</v>
      </c>
      <c r="G18314">
        <v>20976748</v>
      </c>
      <c r="H18314">
        <v>20976671</v>
      </c>
      <c r="I18314">
        <v>20976719</v>
      </c>
    </row>
    <row r="18315" spans="1:9" x14ac:dyDescent="0.2">
      <c r="A18315" t="str">
        <f>"S1pr3"</f>
        <v>S1pr3</v>
      </c>
      <c r="B18315" t="s">
        <v>14</v>
      </c>
      <c r="C18315" t="s">
        <v>39</v>
      </c>
      <c r="D18315" t="s">
        <v>17</v>
      </c>
      <c r="E18315" t="s">
        <v>12</v>
      </c>
      <c r="F18315">
        <v>51408756</v>
      </c>
      <c r="G18315">
        <v>51408781</v>
      </c>
      <c r="H18315">
        <v>51408756</v>
      </c>
      <c r="I18315">
        <v>51408781</v>
      </c>
    </row>
    <row r="18316" spans="1:9" x14ac:dyDescent="0.2">
      <c r="A18316" t="str">
        <f>"S1pr4"</f>
        <v>S1pr4</v>
      </c>
      <c r="B18316" t="s">
        <v>14</v>
      </c>
      <c r="C18316" t="s">
        <v>15</v>
      </c>
      <c r="D18316" t="s">
        <v>11</v>
      </c>
      <c r="E18316" t="s">
        <v>12</v>
      </c>
      <c r="F18316">
        <v>81499622</v>
      </c>
      <c r="G18316">
        <v>81499643</v>
      </c>
      <c r="H18316">
        <v>81499650</v>
      </c>
      <c r="I18316">
        <v>81499670</v>
      </c>
    </row>
    <row r="18317" spans="1:9" x14ac:dyDescent="0.2">
      <c r="A18317" t="str">
        <f>"S1pr5"</f>
        <v>S1pr5</v>
      </c>
      <c r="B18317" t="s">
        <v>14</v>
      </c>
      <c r="C18317" t="s">
        <v>24</v>
      </c>
      <c r="D18317" t="s">
        <v>11</v>
      </c>
      <c r="E18317" t="s">
        <v>12</v>
      </c>
      <c r="F18317">
        <v>21248437</v>
      </c>
      <c r="G18317">
        <v>21248450</v>
      </c>
      <c r="H18317">
        <v>21248410</v>
      </c>
      <c r="I18317">
        <v>21248422</v>
      </c>
    </row>
    <row r="18318" spans="1:9" x14ac:dyDescent="0.2">
      <c r="A18318" t="str">
        <f>"SYNB"</f>
        <v>SYNB</v>
      </c>
      <c r="B18318" t="s">
        <v>5714</v>
      </c>
      <c r="C18318" t="s">
        <v>41</v>
      </c>
      <c r="D18318" t="s">
        <v>11</v>
      </c>
      <c r="E18318" t="s">
        <v>20</v>
      </c>
      <c r="F18318">
        <v>69512548</v>
      </c>
      <c r="G18318">
        <v>69512548</v>
      </c>
      <c r="H18318">
        <v>69512548</v>
      </c>
      <c r="I18318">
        <v>69512548</v>
      </c>
    </row>
    <row r="18319" spans="1:9" x14ac:dyDescent="0.2">
      <c r="A18319" t="str">
        <f>"Saa1"</f>
        <v>Saa1</v>
      </c>
      <c r="B18319" t="s">
        <v>14</v>
      </c>
      <c r="C18319" t="s">
        <v>33</v>
      </c>
      <c r="D18319" t="s">
        <v>11</v>
      </c>
      <c r="E18319" t="s">
        <v>12</v>
      </c>
      <c r="F18319">
        <v>46742979</v>
      </c>
      <c r="G18319">
        <v>46742980</v>
      </c>
      <c r="H18319">
        <v>46743146</v>
      </c>
      <c r="I18319">
        <v>46743156</v>
      </c>
    </row>
    <row r="18320" spans="1:9" x14ac:dyDescent="0.2">
      <c r="A18320" t="str">
        <f>"Saa2"</f>
        <v>Saa2</v>
      </c>
      <c r="B18320" t="s">
        <v>14</v>
      </c>
      <c r="C18320" t="s">
        <v>33</v>
      </c>
      <c r="D18320" t="s">
        <v>17</v>
      </c>
      <c r="E18320" t="s">
        <v>12</v>
      </c>
      <c r="F18320">
        <v>46751832</v>
      </c>
      <c r="G18320">
        <v>46751835</v>
      </c>
      <c r="H18320">
        <v>46751799</v>
      </c>
      <c r="I18320">
        <v>46751800</v>
      </c>
    </row>
    <row r="18321" spans="1:9" x14ac:dyDescent="0.2">
      <c r="A18321" t="str">
        <f>"Saa3"</f>
        <v>Saa3</v>
      </c>
      <c r="B18321" t="s">
        <v>14</v>
      </c>
      <c r="C18321" t="s">
        <v>33</v>
      </c>
      <c r="D18321" t="s">
        <v>11</v>
      </c>
      <c r="E18321" t="s">
        <v>12</v>
      </c>
      <c r="F18321">
        <v>46715692</v>
      </c>
      <c r="G18321">
        <v>46715708</v>
      </c>
      <c r="H18321">
        <v>46715692</v>
      </c>
      <c r="I18321">
        <v>46715708</v>
      </c>
    </row>
    <row r="18322" spans="1:9" x14ac:dyDescent="0.2">
      <c r="A18322" t="str">
        <f>"Saa4"</f>
        <v>Saa4</v>
      </c>
      <c r="B18322" t="s">
        <v>14</v>
      </c>
      <c r="C18322" t="s">
        <v>33</v>
      </c>
      <c r="D18322" t="s">
        <v>11</v>
      </c>
      <c r="E18322" t="s">
        <v>12</v>
      </c>
      <c r="F18322">
        <v>46732581</v>
      </c>
      <c r="G18322">
        <v>46732611</v>
      </c>
      <c r="H18322">
        <v>46732581</v>
      </c>
      <c r="I18322">
        <v>46732611</v>
      </c>
    </row>
    <row r="18323" spans="1:9" x14ac:dyDescent="0.2">
      <c r="A18323" t="str">
        <f>"Saal1"</f>
        <v>Saal1</v>
      </c>
      <c r="B18323" t="s">
        <v>14</v>
      </c>
      <c r="C18323" t="s">
        <v>33</v>
      </c>
      <c r="D18323" t="s">
        <v>11</v>
      </c>
      <c r="E18323" t="s">
        <v>12</v>
      </c>
      <c r="F18323">
        <v>46710642</v>
      </c>
      <c r="G18323">
        <v>46710687</v>
      </c>
      <c r="H18323">
        <v>46710642</v>
      </c>
      <c r="I18323">
        <v>46710687</v>
      </c>
    </row>
    <row r="18324" spans="1:9" x14ac:dyDescent="0.2">
      <c r="A18324" t="str">
        <f>"Sac3d1"</f>
        <v>Sac3d1</v>
      </c>
      <c r="B18324" t="s">
        <v>5715</v>
      </c>
      <c r="C18324" t="s">
        <v>10</v>
      </c>
      <c r="D18324" t="s">
        <v>11</v>
      </c>
      <c r="E18324" t="s">
        <v>20</v>
      </c>
      <c r="F18324">
        <v>6118585</v>
      </c>
      <c r="G18324">
        <v>6118585</v>
      </c>
      <c r="H18324">
        <v>6118585</v>
      </c>
      <c r="I18324">
        <v>6118585</v>
      </c>
    </row>
    <row r="18325" spans="1:9" x14ac:dyDescent="0.2">
      <c r="A18325" t="str">
        <f>"Sacm1l"</f>
        <v>Sacm1l</v>
      </c>
      <c r="B18325" t="s">
        <v>14</v>
      </c>
      <c r="C18325" t="s">
        <v>24</v>
      </c>
      <c r="D18325" t="s">
        <v>17</v>
      </c>
      <c r="E18325" t="s">
        <v>12</v>
      </c>
      <c r="F18325">
        <v>123529777</v>
      </c>
      <c r="G18325">
        <v>123529837</v>
      </c>
      <c r="H18325">
        <v>123529843</v>
      </c>
      <c r="I18325">
        <v>123529859</v>
      </c>
    </row>
    <row r="18326" spans="1:9" x14ac:dyDescent="0.2">
      <c r="A18326" t="str">
        <f>"Sacs"</f>
        <v>Sacs</v>
      </c>
      <c r="B18326" t="s">
        <v>14</v>
      </c>
      <c r="C18326" t="s">
        <v>41</v>
      </c>
      <c r="D18326" t="s">
        <v>17</v>
      </c>
      <c r="E18326" t="s">
        <v>12</v>
      </c>
      <c r="F18326">
        <v>61172966</v>
      </c>
      <c r="G18326">
        <v>61173018</v>
      </c>
      <c r="H18326">
        <v>61173023</v>
      </c>
      <c r="I18326">
        <v>61173081</v>
      </c>
    </row>
    <row r="18327" spans="1:9" x14ac:dyDescent="0.2">
      <c r="A18327" t="str">
        <f>"Sae1"</f>
        <v>Sae1</v>
      </c>
      <c r="B18327" t="s">
        <v>14</v>
      </c>
      <c r="C18327" t="s">
        <v>33</v>
      </c>
      <c r="D18327" t="s">
        <v>11</v>
      </c>
      <c r="E18327" t="s">
        <v>12</v>
      </c>
      <c r="F18327">
        <v>16387791</v>
      </c>
      <c r="G18327">
        <v>16387840</v>
      </c>
      <c r="H18327">
        <v>16387757</v>
      </c>
      <c r="I18327">
        <v>16387773</v>
      </c>
    </row>
    <row r="18328" spans="1:9" x14ac:dyDescent="0.2">
      <c r="A18328" t="str">
        <f>"Safb"</f>
        <v>Safb</v>
      </c>
      <c r="B18328" t="s">
        <v>14</v>
      </c>
      <c r="C18328" t="s">
        <v>28</v>
      </c>
      <c r="D18328" t="s">
        <v>17</v>
      </c>
      <c r="E18328" t="s">
        <v>12</v>
      </c>
      <c r="F18328">
        <v>56584973</v>
      </c>
      <c r="G18328">
        <v>56585031</v>
      </c>
      <c r="H18328">
        <v>56584973</v>
      </c>
      <c r="I18328">
        <v>56585031</v>
      </c>
    </row>
    <row r="18329" spans="1:9" x14ac:dyDescent="0.2">
      <c r="A18329" t="str">
        <f>"Safb2"</f>
        <v>Safb2</v>
      </c>
      <c r="B18329" t="s">
        <v>14</v>
      </c>
      <c r="C18329" t="s">
        <v>28</v>
      </c>
      <c r="D18329" t="s">
        <v>11</v>
      </c>
      <c r="E18329" t="s">
        <v>12</v>
      </c>
      <c r="F18329">
        <v>56584507</v>
      </c>
      <c r="G18329">
        <v>56584568</v>
      </c>
      <c r="H18329">
        <v>56584594</v>
      </c>
      <c r="I18329">
        <v>56584605</v>
      </c>
    </row>
    <row r="18330" spans="1:9" x14ac:dyDescent="0.2">
      <c r="A18330" t="str">
        <f>"Sag"</f>
        <v>Sag</v>
      </c>
      <c r="B18330" t="s">
        <v>14</v>
      </c>
      <c r="C18330" t="s">
        <v>19</v>
      </c>
      <c r="D18330" t="s">
        <v>17</v>
      </c>
      <c r="E18330" t="s">
        <v>12</v>
      </c>
      <c r="F18330">
        <v>87803915</v>
      </c>
      <c r="G18330">
        <v>87803929</v>
      </c>
      <c r="H18330">
        <v>87803915</v>
      </c>
      <c r="I18330">
        <v>87803929</v>
      </c>
    </row>
    <row r="18331" spans="1:9" x14ac:dyDescent="0.2">
      <c r="A18331" t="str">
        <f>"Sall1"</f>
        <v>Sall1</v>
      </c>
      <c r="B18331" t="s">
        <v>14</v>
      </c>
      <c r="C18331" t="s">
        <v>30</v>
      </c>
      <c r="D18331" t="s">
        <v>11</v>
      </c>
      <c r="E18331" t="s">
        <v>12</v>
      </c>
      <c r="F18331">
        <v>89044175</v>
      </c>
      <c r="G18331">
        <v>89044195</v>
      </c>
      <c r="H18331">
        <v>89044175</v>
      </c>
      <c r="I18331">
        <v>89044195</v>
      </c>
    </row>
    <row r="18332" spans="1:9" x14ac:dyDescent="0.2">
      <c r="A18332" t="str">
        <f>"Sall2"</f>
        <v>Sall2</v>
      </c>
      <c r="B18332" t="s">
        <v>14</v>
      </c>
      <c r="C18332" t="s">
        <v>41</v>
      </c>
      <c r="D18332" t="s">
        <v>11</v>
      </c>
      <c r="E18332" t="s">
        <v>12</v>
      </c>
      <c r="F18332">
        <v>52316201</v>
      </c>
      <c r="G18332">
        <v>52316253</v>
      </c>
      <c r="H18332">
        <v>52316113</v>
      </c>
      <c r="I18332">
        <v>52316142</v>
      </c>
    </row>
    <row r="18333" spans="1:9" x14ac:dyDescent="0.2">
      <c r="A18333" t="str">
        <f>"Sall3"</f>
        <v>Sall3</v>
      </c>
      <c r="B18333" t="s">
        <v>14</v>
      </c>
      <c r="C18333" t="s">
        <v>43</v>
      </c>
      <c r="D18333" t="s">
        <v>11</v>
      </c>
      <c r="E18333" t="s">
        <v>12</v>
      </c>
      <c r="F18333">
        <v>80987016</v>
      </c>
      <c r="G18333">
        <v>80987022</v>
      </c>
      <c r="H18333">
        <v>80986572</v>
      </c>
      <c r="I18333">
        <v>80986617</v>
      </c>
    </row>
    <row r="18334" spans="1:9" x14ac:dyDescent="0.2">
      <c r="A18334" t="str">
        <f>"Sall4"</f>
        <v>Sall4</v>
      </c>
      <c r="B18334" t="s">
        <v>14</v>
      </c>
      <c r="C18334" t="s">
        <v>26</v>
      </c>
      <c r="D18334" t="s">
        <v>11</v>
      </c>
      <c r="E18334" t="s">
        <v>12</v>
      </c>
      <c r="F18334">
        <v>168767136</v>
      </c>
      <c r="G18334">
        <v>168767151</v>
      </c>
      <c r="H18334">
        <v>168767091</v>
      </c>
      <c r="I18334">
        <v>168767104</v>
      </c>
    </row>
    <row r="18335" spans="1:9" x14ac:dyDescent="0.2">
      <c r="A18335" t="str">
        <f>"Samd1"</f>
        <v>Samd1</v>
      </c>
      <c r="B18335" t="s">
        <v>14</v>
      </c>
      <c r="C18335" t="s">
        <v>30</v>
      </c>
      <c r="D18335" t="s">
        <v>17</v>
      </c>
      <c r="E18335" t="s">
        <v>12</v>
      </c>
      <c r="F18335">
        <v>83997515</v>
      </c>
      <c r="G18335">
        <v>83997516</v>
      </c>
      <c r="H18335">
        <v>83997515</v>
      </c>
      <c r="I18335">
        <v>83997516</v>
      </c>
    </row>
    <row r="18336" spans="1:9" x14ac:dyDescent="0.2">
      <c r="A18336" t="str">
        <f>"Samd10"</f>
        <v>Samd10</v>
      </c>
      <c r="B18336" t="s">
        <v>14</v>
      </c>
      <c r="C18336" t="s">
        <v>26</v>
      </c>
      <c r="D18336" t="s">
        <v>11</v>
      </c>
      <c r="E18336" t="s">
        <v>12</v>
      </c>
      <c r="F18336">
        <v>181599128</v>
      </c>
      <c r="G18336">
        <v>181599235</v>
      </c>
      <c r="H18336">
        <v>181599243</v>
      </c>
      <c r="I18336">
        <v>181599261</v>
      </c>
    </row>
    <row r="18337" spans="1:9" x14ac:dyDescent="0.2">
      <c r="A18337" t="str">
        <f>"Samd11"</f>
        <v>Samd11</v>
      </c>
      <c r="B18337" t="s">
        <v>5716</v>
      </c>
      <c r="C18337" t="s">
        <v>23</v>
      </c>
      <c r="D18337" t="s">
        <v>11</v>
      </c>
      <c r="E18337" t="s">
        <v>20</v>
      </c>
      <c r="F18337">
        <v>156255337</v>
      </c>
      <c r="G18337">
        <v>156255337</v>
      </c>
      <c r="H18337">
        <v>156255337</v>
      </c>
      <c r="I18337">
        <v>156255337</v>
      </c>
    </row>
    <row r="18338" spans="1:9" x14ac:dyDescent="0.2">
      <c r="A18338" t="str">
        <f>"Samd12"</f>
        <v>Samd12</v>
      </c>
      <c r="B18338" t="s">
        <v>14</v>
      </c>
      <c r="C18338" t="s">
        <v>25</v>
      </c>
      <c r="D18338" t="s">
        <v>11</v>
      </c>
      <c r="E18338" t="s">
        <v>12</v>
      </c>
      <c r="F18338">
        <v>53902393</v>
      </c>
      <c r="G18338">
        <v>53902450</v>
      </c>
      <c r="H18338">
        <v>53902472</v>
      </c>
      <c r="I18338">
        <v>53902515</v>
      </c>
    </row>
    <row r="18339" spans="1:9" x14ac:dyDescent="0.2">
      <c r="A18339" t="str">
        <f>"Samd13"</f>
        <v>Samd13</v>
      </c>
      <c r="B18339" t="s">
        <v>14</v>
      </c>
      <c r="C18339" t="s">
        <v>22</v>
      </c>
      <c r="D18339" t="s">
        <v>11</v>
      </c>
      <c r="E18339" t="s">
        <v>67</v>
      </c>
      <c r="F18339">
        <v>146685469</v>
      </c>
      <c r="G18339">
        <v>146685492</v>
      </c>
      <c r="H18339">
        <v>146685469</v>
      </c>
      <c r="I18339">
        <v>146685492</v>
      </c>
    </row>
    <row r="18340" spans="1:9" x14ac:dyDescent="0.2">
      <c r="A18340" t="str">
        <f>"Samd14"</f>
        <v>Samd14</v>
      </c>
      <c r="B18340" t="s">
        <v>14</v>
      </c>
      <c r="C18340" t="s">
        <v>27</v>
      </c>
      <c r="D18340" t="s">
        <v>17</v>
      </c>
      <c r="E18340" t="s">
        <v>12</v>
      </c>
      <c r="F18340">
        <v>95009966</v>
      </c>
      <c r="G18340">
        <v>95010029</v>
      </c>
      <c r="H18340">
        <v>95009852</v>
      </c>
      <c r="I18340">
        <v>95009890</v>
      </c>
    </row>
    <row r="18341" spans="1:9" x14ac:dyDescent="0.2">
      <c r="A18341" t="str">
        <f>"Samd15"</f>
        <v>Samd15</v>
      </c>
      <c r="B18341" t="s">
        <v>14</v>
      </c>
      <c r="C18341" t="s">
        <v>16</v>
      </c>
      <c r="D18341" t="s">
        <v>17</v>
      </c>
      <c r="E18341" t="s">
        <v>12</v>
      </c>
      <c r="F18341">
        <v>87200502</v>
      </c>
      <c r="G18341">
        <v>87200522</v>
      </c>
      <c r="H18341">
        <v>87200502</v>
      </c>
      <c r="I18341">
        <v>87200522</v>
      </c>
    </row>
    <row r="18342" spans="1:9" x14ac:dyDescent="0.2">
      <c r="A18342" t="str">
        <f>"Samd3"</f>
        <v>Samd3</v>
      </c>
      <c r="B18342" t="s">
        <v>14</v>
      </c>
      <c r="C18342" t="s">
        <v>15</v>
      </c>
      <c r="D18342" t="s">
        <v>17</v>
      </c>
      <c r="E18342" t="s">
        <v>12</v>
      </c>
      <c r="F18342">
        <v>26229743</v>
      </c>
      <c r="G18342">
        <v>26229763</v>
      </c>
      <c r="H18342">
        <v>26229767</v>
      </c>
      <c r="I18342">
        <v>26229780</v>
      </c>
    </row>
    <row r="18343" spans="1:9" x14ac:dyDescent="0.2">
      <c r="A18343" t="str">
        <f>"Samd4"</f>
        <v>Samd4</v>
      </c>
      <c r="B18343" t="s">
        <v>14</v>
      </c>
      <c r="C18343" t="s">
        <v>41</v>
      </c>
      <c r="D18343" t="s">
        <v>17</v>
      </c>
      <c r="E18343" t="s">
        <v>12</v>
      </c>
      <c r="F18343">
        <v>46882958</v>
      </c>
      <c r="G18343">
        <v>46882973</v>
      </c>
      <c r="H18343">
        <v>46882958</v>
      </c>
      <c r="I18343">
        <v>46882973</v>
      </c>
    </row>
    <row r="18344" spans="1:9" x14ac:dyDescent="0.2">
      <c r="A18344" t="str">
        <f>"Samd4b"</f>
        <v>Samd4b</v>
      </c>
      <c r="B18344" t="s">
        <v>14</v>
      </c>
      <c r="C18344" t="s">
        <v>33</v>
      </c>
      <c r="D18344" t="s">
        <v>11</v>
      </c>
      <c r="E18344" t="s">
        <v>67</v>
      </c>
      <c r="F18344">
        <v>28598140</v>
      </c>
      <c r="G18344">
        <v>28598176</v>
      </c>
      <c r="H18344">
        <v>28598131</v>
      </c>
      <c r="I18344">
        <v>28598138</v>
      </c>
    </row>
    <row r="18345" spans="1:9" x14ac:dyDescent="0.2">
      <c r="A18345" t="str">
        <f>"Samd5"</f>
        <v>Samd5</v>
      </c>
      <c r="B18345" t="s">
        <v>14</v>
      </c>
      <c r="C18345" t="s">
        <v>15</v>
      </c>
      <c r="D18345" t="s">
        <v>11</v>
      </c>
      <c r="E18345" t="s">
        <v>12</v>
      </c>
      <c r="F18345">
        <v>9675163</v>
      </c>
      <c r="G18345">
        <v>9675243</v>
      </c>
      <c r="H18345">
        <v>9674993</v>
      </c>
      <c r="I18345">
        <v>9675010</v>
      </c>
    </row>
    <row r="18346" spans="1:9" x14ac:dyDescent="0.2">
      <c r="A18346" t="str">
        <f>"Samd7"</f>
        <v>Samd7</v>
      </c>
      <c r="B18346" t="s">
        <v>14</v>
      </c>
      <c r="C18346" t="s">
        <v>22</v>
      </c>
      <c r="D18346" t="s">
        <v>17</v>
      </c>
      <c r="E18346" t="s">
        <v>12</v>
      </c>
      <c r="F18346">
        <v>30746325</v>
      </c>
      <c r="G18346">
        <v>30746341</v>
      </c>
      <c r="H18346">
        <v>30746325</v>
      </c>
      <c r="I18346">
        <v>30746341</v>
      </c>
    </row>
    <row r="18347" spans="1:9" x14ac:dyDescent="0.2">
      <c r="A18347" t="str">
        <f>"Samd8"</f>
        <v>Samd8</v>
      </c>
      <c r="B18347" t="s">
        <v>14</v>
      </c>
      <c r="C18347" t="s">
        <v>41</v>
      </c>
      <c r="D18347" t="s">
        <v>17</v>
      </c>
      <c r="E18347" t="s">
        <v>12</v>
      </c>
      <c r="F18347">
        <v>21750542</v>
      </c>
      <c r="G18347">
        <v>21750608</v>
      </c>
      <c r="H18347">
        <v>21750525</v>
      </c>
      <c r="I18347">
        <v>21750536</v>
      </c>
    </row>
    <row r="18348" spans="1:9" x14ac:dyDescent="0.2">
      <c r="A18348" t="str">
        <f>"Samd9l"</f>
        <v>Samd9l</v>
      </c>
      <c r="B18348" t="s">
        <v>14</v>
      </c>
      <c r="C18348" t="s">
        <v>32</v>
      </c>
      <c r="D18348" t="s">
        <v>11</v>
      </c>
      <c r="E18348" t="s">
        <v>12</v>
      </c>
      <c r="F18348">
        <v>3399451</v>
      </c>
      <c r="G18348">
        <v>3399464</v>
      </c>
      <c r="H18348">
        <v>3399451</v>
      </c>
      <c r="I18348">
        <v>3399464</v>
      </c>
    </row>
    <row r="18349" spans="1:9" x14ac:dyDescent="0.2">
      <c r="A18349" t="str">
        <f>"Samhd1"</f>
        <v>Samhd1</v>
      </c>
      <c r="B18349" t="s">
        <v>14</v>
      </c>
      <c r="C18349" t="s">
        <v>26</v>
      </c>
      <c r="D18349" t="s">
        <v>11</v>
      </c>
      <c r="E18349" t="s">
        <v>12</v>
      </c>
      <c r="F18349">
        <v>157135085</v>
      </c>
      <c r="G18349">
        <v>157135110</v>
      </c>
      <c r="H18349">
        <v>157135112</v>
      </c>
      <c r="I18349">
        <v>157135134</v>
      </c>
    </row>
    <row r="18350" spans="1:9" x14ac:dyDescent="0.2">
      <c r="A18350" t="str">
        <f>"Samm50"</f>
        <v>Samm50</v>
      </c>
      <c r="B18350" t="s">
        <v>14</v>
      </c>
      <c r="C18350" t="s">
        <v>25</v>
      </c>
      <c r="D18350" t="s">
        <v>17</v>
      </c>
      <c r="E18350" t="s">
        <v>12</v>
      </c>
      <c r="F18350">
        <v>84192223</v>
      </c>
      <c r="G18350">
        <v>84192260</v>
      </c>
      <c r="H18350">
        <v>84192261</v>
      </c>
      <c r="I18350">
        <v>84192286</v>
      </c>
    </row>
    <row r="18351" spans="1:9" x14ac:dyDescent="0.2">
      <c r="A18351" t="str">
        <f>"Samsn1"</f>
        <v>Samsn1</v>
      </c>
      <c r="B18351" t="s">
        <v>14</v>
      </c>
      <c r="C18351" t="s">
        <v>31</v>
      </c>
      <c r="D18351" t="s">
        <v>11</v>
      </c>
      <c r="E18351" t="s">
        <v>12</v>
      </c>
      <c r="F18351">
        <v>75909230</v>
      </c>
      <c r="G18351">
        <v>75909247</v>
      </c>
      <c r="H18351">
        <v>75909272</v>
      </c>
      <c r="I18351">
        <v>75909301</v>
      </c>
    </row>
    <row r="18352" spans="1:9" x14ac:dyDescent="0.2">
      <c r="A18352" t="str">
        <f>"Samt1"</f>
        <v>Samt1</v>
      </c>
      <c r="B18352" t="s">
        <v>5717</v>
      </c>
      <c r="C18352" t="s">
        <v>37</v>
      </c>
      <c r="D18352" t="s">
        <v>11</v>
      </c>
      <c r="E18352" t="s">
        <v>20</v>
      </c>
      <c r="F18352">
        <v>154012639</v>
      </c>
      <c r="G18352">
        <v>154012639</v>
      </c>
      <c r="H18352">
        <v>154012639</v>
      </c>
      <c r="I18352">
        <v>154012639</v>
      </c>
    </row>
    <row r="18353" spans="1:9" x14ac:dyDescent="0.2">
      <c r="A18353" t="str">
        <f>"Samt1"</f>
        <v>Samt1</v>
      </c>
      <c r="B18353" t="s">
        <v>5718</v>
      </c>
      <c r="C18353" t="s">
        <v>37</v>
      </c>
      <c r="D18353" t="s">
        <v>11</v>
      </c>
      <c r="E18353" t="s">
        <v>20</v>
      </c>
      <c r="F18353">
        <v>154011263</v>
      </c>
      <c r="G18353">
        <v>154011263</v>
      </c>
      <c r="H18353">
        <v>154011263</v>
      </c>
      <c r="I18353">
        <v>154011263</v>
      </c>
    </row>
    <row r="18354" spans="1:9" x14ac:dyDescent="0.2">
      <c r="A18354" t="str">
        <f>"Samt2"</f>
        <v>Samt2</v>
      </c>
      <c r="B18354" t="s">
        <v>14</v>
      </c>
      <c r="C18354" t="s">
        <v>37</v>
      </c>
      <c r="D18354" t="s">
        <v>11</v>
      </c>
      <c r="E18354" t="s">
        <v>67</v>
      </c>
      <c r="F18354">
        <v>154579361</v>
      </c>
      <c r="G18354">
        <v>154579363</v>
      </c>
      <c r="H18354">
        <v>154579361</v>
      </c>
      <c r="I18354">
        <v>154579363</v>
      </c>
    </row>
    <row r="18355" spans="1:9" x14ac:dyDescent="0.2">
      <c r="A18355" t="str">
        <f>"Samt3"</f>
        <v>Samt3</v>
      </c>
      <c r="B18355" t="s">
        <v>14</v>
      </c>
      <c r="C18355" t="s">
        <v>37</v>
      </c>
      <c r="D18355" t="s">
        <v>17</v>
      </c>
      <c r="E18355" t="s">
        <v>67</v>
      </c>
      <c r="F18355">
        <v>86044186</v>
      </c>
      <c r="G18355">
        <v>86044203</v>
      </c>
      <c r="H18355">
        <v>86044204</v>
      </c>
      <c r="I18355">
        <v>86044214</v>
      </c>
    </row>
    <row r="18356" spans="1:9" x14ac:dyDescent="0.2">
      <c r="A18356" t="str">
        <f>"Samt4"</f>
        <v>Samt4</v>
      </c>
      <c r="B18356" t="s">
        <v>14</v>
      </c>
      <c r="C18356" t="s">
        <v>37</v>
      </c>
      <c r="D18356" t="s">
        <v>17</v>
      </c>
      <c r="E18356" t="s">
        <v>67</v>
      </c>
      <c r="F18356">
        <v>154481992</v>
      </c>
      <c r="G18356">
        <v>154482030</v>
      </c>
      <c r="H18356">
        <v>154481992</v>
      </c>
      <c r="I18356">
        <v>154482030</v>
      </c>
    </row>
    <row r="18357" spans="1:9" x14ac:dyDescent="0.2">
      <c r="A18357" t="str">
        <f>"Sap130"</f>
        <v>Sap130</v>
      </c>
      <c r="B18357" t="s">
        <v>14</v>
      </c>
      <c r="C18357" t="s">
        <v>43</v>
      </c>
      <c r="D18357" t="s">
        <v>17</v>
      </c>
      <c r="E18357" t="s">
        <v>12</v>
      </c>
      <c r="F18357">
        <v>31634316</v>
      </c>
      <c r="G18357">
        <v>31634363</v>
      </c>
      <c r="H18357">
        <v>31634374</v>
      </c>
      <c r="I18357">
        <v>31634390</v>
      </c>
    </row>
    <row r="18358" spans="1:9" x14ac:dyDescent="0.2">
      <c r="A18358" t="str">
        <f>"Sap18"</f>
        <v>Sap18</v>
      </c>
      <c r="B18358" t="s">
        <v>14</v>
      </c>
      <c r="C18358" t="s">
        <v>41</v>
      </c>
      <c r="D18358" t="s">
        <v>17</v>
      </c>
      <c r="E18358" t="s">
        <v>12</v>
      </c>
      <c r="F18358">
        <v>57798182</v>
      </c>
      <c r="G18358">
        <v>57798216</v>
      </c>
      <c r="H18358">
        <v>57798156</v>
      </c>
      <c r="I18358">
        <v>57798180</v>
      </c>
    </row>
    <row r="18359" spans="1:9" x14ac:dyDescent="0.2">
      <c r="A18359" t="str">
        <f>"Sap25"</f>
        <v>Sap25</v>
      </c>
      <c r="B18359" t="s">
        <v>14</v>
      </c>
      <c r="C18359" t="s">
        <v>46</v>
      </c>
      <c r="D18359" t="s">
        <v>17</v>
      </c>
      <c r="E18359" t="s">
        <v>12</v>
      </c>
      <c r="F18359">
        <v>137641307</v>
      </c>
      <c r="G18359">
        <v>137641318</v>
      </c>
      <c r="H18359">
        <v>137641307</v>
      </c>
      <c r="I18359">
        <v>137641318</v>
      </c>
    </row>
    <row r="18360" spans="1:9" x14ac:dyDescent="0.2">
      <c r="A18360" t="str">
        <f>"Sap30"</f>
        <v>Sap30</v>
      </c>
      <c r="B18360" t="s">
        <v>14</v>
      </c>
      <c r="C18360" t="s">
        <v>30</v>
      </c>
      <c r="D18360" t="s">
        <v>11</v>
      </c>
      <c r="E18360" t="s">
        <v>12</v>
      </c>
      <c r="F18360">
        <v>57487801</v>
      </c>
      <c r="G18360">
        <v>57487871</v>
      </c>
      <c r="H18360">
        <v>57487736</v>
      </c>
      <c r="I18360">
        <v>57487795</v>
      </c>
    </row>
    <row r="18361" spans="1:9" x14ac:dyDescent="0.2">
      <c r="A18361" t="str">
        <f>"Sap30bp"</f>
        <v>Sap30bp</v>
      </c>
      <c r="B18361" t="s">
        <v>14</v>
      </c>
      <c r="C18361" t="s">
        <v>27</v>
      </c>
      <c r="D18361" t="s">
        <v>17</v>
      </c>
      <c r="E18361" t="s">
        <v>12</v>
      </c>
      <c r="F18361">
        <v>115933629</v>
      </c>
      <c r="G18361">
        <v>115933669</v>
      </c>
      <c r="H18361">
        <v>115933569</v>
      </c>
      <c r="I18361">
        <v>115933573</v>
      </c>
    </row>
    <row r="18362" spans="1:9" x14ac:dyDescent="0.2">
      <c r="A18362" t="str">
        <f>"Sap30l"</f>
        <v>Sap30l</v>
      </c>
      <c r="B18362" t="s">
        <v>14</v>
      </c>
      <c r="C18362" t="s">
        <v>27</v>
      </c>
      <c r="D18362" t="s">
        <v>17</v>
      </c>
      <c r="E18362" t="s">
        <v>12</v>
      </c>
      <c r="F18362">
        <v>57801575</v>
      </c>
      <c r="G18362">
        <v>57801649</v>
      </c>
      <c r="H18362">
        <v>57801575</v>
      </c>
      <c r="I18362">
        <v>57801649</v>
      </c>
    </row>
    <row r="18363" spans="1:9" x14ac:dyDescent="0.2">
      <c r="A18363" t="str">
        <f>"Sapcd1"</f>
        <v>Sapcd1</v>
      </c>
      <c r="B18363" t="s">
        <v>14</v>
      </c>
      <c r="C18363" t="s">
        <v>28</v>
      </c>
      <c r="D18363" t="s">
        <v>11</v>
      </c>
      <c r="E18363" t="s">
        <v>67</v>
      </c>
      <c r="F18363">
        <v>35027909</v>
      </c>
      <c r="G18363">
        <v>35027934</v>
      </c>
      <c r="H18363">
        <v>35027878</v>
      </c>
      <c r="I18363">
        <v>35027895</v>
      </c>
    </row>
    <row r="18364" spans="1:9" x14ac:dyDescent="0.2">
      <c r="A18364" t="str">
        <f>"Sapcd2"</f>
        <v>Sapcd2</v>
      </c>
      <c r="B18364" t="s">
        <v>14</v>
      </c>
      <c r="C18364" t="s">
        <v>26</v>
      </c>
      <c r="D18364" t="s">
        <v>17</v>
      </c>
      <c r="E18364" t="s">
        <v>67</v>
      </c>
      <c r="F18364">
        <v>25372315</v>
      </c>
      <c r="G18364">
        <v>25372368</v>
      </c>
      <c r="H18364">
        <v>25372373</v>
      </c>
      <c r="I18364">
        <v>25372396</v>
      </c>
    </row>
    <row r="18365" spans="1:9" x14ac:dyDescent="0.2">
      <c r="A18365" t="str">
        <f>"Sar1a"</f>
        <v>Sar1a</v>
      </c>
      <c r="B18365" t="s">
        <v>14</v>
      </c>
      <c r="C18365" t="s">
        <v>15</v>
      </c>
      <c r="D18365" t="s">
        <v>17</v>
      </c>
      <c r="E18365" t="s">
        <v>12</v>
      </c>
      <c r="F18365">
        <v>61680302</v>
      </c>
      <c r="G18365">
        <v>61680361</v>
      </c>
      <c r="H18365">
        <v>61680302</v>
      </c>
      <c r="I18365">
        <v>61680361</v>
      </c>
    </row>
    <row r="18366" spans="1:9" x14ac:dyDescent="0.2">
      <c r="A18366" t="str">
        <f>"Sar1b"</f>
        <v>Sar1b</v>
      </c>
      <c r="B18366" t="s">
        <v>14</v>
      </c>
      <c r="C18366" t="s">
        <v>27</v>
      </c>
      <c r="D18366" t="s">
        <v>17</v>
      </c>
      <c r="E18366" t="s">
        <v>12</v>
      </c>
      <c r="F18366">
        <v>51763682</v>
      </c>
      <c r="G18366">
        <v>51763749</v>
      </c>
      <c r="H18366">
        <v>51763654</v>
      </c>
      <c r="I18366">
        <v>51763669</v>
      </c>
    </row>
    <row r="18367" spans="1:9" x14ac:dyDescent="0.2">
      <c r="A18367" t="str">
        <f>"Sardh"</f>
        <v>Sardh</v>
      </c>
      <c r="B18367" t="s">
        <v>14</v>
      </c>
      <c r="C18367" t="s">
        <v>26</v>
      </c>
      <c r="D18367" t="s">
        <v>11</v>
      </c>
      <c r="E18367" t="s">
        <v>12</v>
      </c>
      <c r="F18367">
        <v>27246814</v>
      </c>
      <c r="G18367">
        <v>27246875</v>
      </c>
      <c r="H18367">
        <v>27247210</v>
      </c>
      <c r="I18367">
        <v>27247254</v>
      </c>
    </row>
    <row r="18368" spans="1:9" x14ac:dyDescent="0.2">
      <c r="A18368" t="str">
        <f>"Sarm1"</f>
        <v>Sarm1</v>
      </c>
      <c r="B18368" t="s">
        <v>14</v>
      </c>
      <c r="C18368" t="s">
        <v>27</v>
      </c>
      <c r="D18368" t="s">
        <v>11</v>
      </c>
      <c r="E18368" t="s">
        <v>12</v>
      </c>
      <c r="F18368">
        <v>78497734</v>
      </c>
      <c r="G18368">
        <v>78497793</v>
      </c>
      <c r="H18368">
        <v>78497693</v>
      </c>
      <c r="I18368">
        <v>78497730</v>
      </c>
    </row>
    <row r="18369" spans="1:9" x14ac:dyDescent="0.2">
      <c r="A18369" t="str">
        <f>"Sarnp"</f>
        <v>Sarnp</v>
      </c>
      <c r="B18369" t="s">
        <v>14</v>
      </c>
      <c r="C18369" t="s">
        <v>15</v>
      </c>
      <c r="D18369" t="s">
        <v>17</v>
      </c>
      <c r="E18369" t="s">
        <v>12</v>
      </c>
      <c r="F18369">
        <v>128821887</v>
      </c>
      <c r="G18369">
        <v>128821913</v>
      </c>
      <c r="H18369">
        <v>128821745</v>
      </c>
      <c r="I18369">
        <v>128821773</v>
      </c>
    </row>
    <row r="18370" spans="1:9" x14ac:dyDescent="0.2">
      <c r="A18370" t="str">
        <f>"Sars"</f>
        <v>Sars</v>
      </c>
      <c r="B18370" t="s">
        <v>14</v>
      </c>
      <c r="C18370" t="s">
        <v>22</v>
      </c>
      <c r="D18370" t="s">
        <v>11</v>
      </c>
      <c r="E18370" t="s">
        <v>12</v>
      </c>
      <c r="F18370">
        <v>108445147</v>
      </c>
      <c r="G18370">
        <v>108445178</v>
      </c>
      <c r="H18370">
        <v>108445183</v>
      </c>
      <c r="I18370">
        <v>108445211</v>
      </c>
    </row>
    <row r="18371" spans="1:9" x14ac:dyDescent="0.2">
      <c r="A18371" t="str">
        <f>"Sars2"</f>
        <v>Sars2</v>
      </c>
      <c r="B18371" t="s">
        <v>14</v>
      </c>
      <c r="C18371" t="s">
        <v>33</v>
      </c>
      <c r="D18371" t="s">
        <v>17</v>
      </c>
      <c r="E18371" t="s">
        <v>12</v>
      </c>
      <c r="F18371">
        <v>28741975</v>
      </c>
      <c r="G18371">
        <v>28742013</v>
      </c>
      <c r="H18371">
        <v>28741975</v>
      </c>
      <c r="I18371">
        <v>28742013</v>
      </c>
    </row>
    <row r="18372" spans="1:9" x14ac:dyDescent="0.2">
      <c r="A18372" t="str">
        <f>"Sart1"</f>
        <v>Sart1</v>
      </c>
      <c r="B18372" t="s">
        <v>14</v>
      </c>
      <c r="C18372" t="s">
        <v>10</v>
      </c>
      <c r="D18372" t="s">
        <v>11</v>
      </c>
      <c r="E18372" t="s">
        <v>12</v>
      </c>
      <c r="F18372">
        <v>5388656</v>
      </c>
      <c r="G18372">
        <v>5388691</v>
      </c>
      <c r="H18372">
        <v>5388629</v>
      </c>
      <c r="I18372">
        <v>5388641</v>
      </c>
    </row>
    <row r="18373" spans="1:9" x14ac:dyDescent="0.2">
      <c r="A18373" t="str">
        <f>"Sart3"</f>
        <v>Sart3</v>
      </c>
      <c r="B18373" t="s">
        <v>14</v>
      </c>
      <c r="C18373" t="s">
        <v>46</v>
      </c>
      <c r="D18373" t="s">
        <v>11</v>
      </c>
      <c r="E18373" t="s">
        <v>12</v>
      </c>
      <c r="F18373">
        <v>113771643</v>
      </c>
      <c r="G18373">
        <v>113771659</v>
      </c>
      <c r="H18373">
        <v>113771876</v>
      </c>
      <c r="I18373">
        <v>113771894</v>
      </c>
    </row>
    <row r="18374" spans="1:9" x14ac:dyDescent="0.2">
      <c r="A18374" t="str">
        <f>"Sash1"</f>
        <v>Sash1</v>
      </c>
      <c r="B18374" t="s">
        <v>14</v>
      </c>
      <c r="C18374" t="s">
        <v>15</v>
      </c>
      <c r="D18374" t="s">
        <v>11</v>
      </c>
      <c r="E18374" t="s">
        <v>12</v>
      </c>
      <c r="F18374">
        <v>8886033</v>
      </c>
      <c r="G18374">
        <v>8886076</v>
      </c>
      <c r="H18374">
        <v>8886015</v>
      </c>
      <c r="I18374">
        <v>8886030</v>
      </c>
    </row>
    <row r="18375" spans="1:9" x14ac:dyDescent="0.2">
      <c r="A18375" t="str">
        <f>"Sash3"</f>
        <v>Sash3</v>
      </c>
      <c r="B18375" t="s">
        <v>14</v>
      </c>
      <c r="C18375" t="s">
        <v>37</v>
      </c>
      <c r="D18375" t="s">
        <v>17</v>
      </c>
      <c r="E18375" t="s">
        <v>12</v>
      </c>
      <c r="F18375">
        <v>48146489</v>
      </c>
      <c r="G18375">
        <v>48146535</v>
      </c>
      <c r="H18375">
        <v>48146459</v>
      </c>
      <c r="I18375">
        <v>48146482</v>
      </c>
    </row>
    <row r="18376" spans="1:9" x14ac:dyDescent="0.2">
      <c r="A18376" t="str">
        <f>"Sass6"</f>
        <v>Sass6</v>
      </c>
      <c r="B18376" t="s">
        <v>14</v>
      </c>
      <c r="C18376" t="s">
        <v>22</v>
      </c>
      <c r="D18376" t="s">
        <v>17</v>
      </c>
      <c r="E18376" t="s">
        <v>12</v>
      </c>
      <c r="F18376">
        <v>116594959</v>
      </c>
      <c r="G18376">
        <v>116595031</v>
      </c>
      <c r="H18376">
        <v>116594959</v>
      </c>
      <c r="I18376">
        <v>116595031</v>
      </c>
    </row>
    <row r="18377" spans="1:9" x14ac:dyDescent="0.2">
      <c r="A18377" t="str">
        <f>"Sat1"</f>
        <v>Sat1</v>
      </c>
      <c r="B18377" t="s">
        <v>14</v>
      </c>
      <c r="C18377" t="s">
        <v>37</v>
      </c>
      <c r="D18377" t="s">
        <v>11</v>
      </c>
      <c r="E18377" t="s">
        <v>12</v>
      </c>
      <c r="F18377">
        <v>155216338</v>
      </c>
      <c r="G18377">
        <v>155216369</v>
      </c>
      <c r="H18377">
        <v>155216338</v>
      </c>
      <c r="I18377">
        <v>155216369</v>
      </c>
    </row>
    <row r="18378" spans="1:9" x14ac:dyDescent="0.2">
      <c r="A18378" t="str">
        <f>"Sat2"</f>
        <v>Sat2</v>
      </c>
      <c r="B18378" t="s">
        <v>14</v>
      </c>
      <c r="C18378" t="s">
        <v>27</v>
      </c>
      <c r="D18378" t="s">
        <v>17</v>
      </c>
      <c r="E18378" t="s">
        <v>12</v>
      </c>
      <c r="F18378">
        <v>69622044</v>
      </c>
      <c r="G18378">
        <v>69622101</v>
      </c>
      <c r="H18378">
        <v>69622105</v>
      </c>
      <c r="I18378">
        <v>69622112</v>
      </c>
    </row>
    <row r="18379" spans="1:9" x14ac:dyDescent="0.2">
      <c r="A18379" t="str">
        <f>"Satb1"</f>
        <v>Satb1</v>
      </c>
      <c r="B18379" t="s">
        <v>14</v>
      </c>
      <c r="C18379" t="s">
        <v>28</v>
      </c>
      <c r="D18379" t="s">
        <v>11</v>
      </c>
      <c r="E18379" t="s">
        <v>12</v>
      </c>
      <c r="F18379">
        <v>51832635</v>
      </c>
      <c r="G18379">
        <v>51832654</v>
      </c>
      <c r="H18379">
        <v>51832607</v>
      </c>
      <c r="I18379">
        <v>51832633</v>
      </c>
    </row>
    <row r="18380" spans="1:9" x14ac:dyDescent="0.2">
      <c r="A18380" t="str">
        <f>"Satb2"</f>
        <v>Satb2</v>
      </c>
      <c r="B18380" t="s">
        <v>9</v>
      </c>
      <c r="C18380" t="s">
        <v>19</v>
      </c>
      <c r="D18380" t="s">
        <v>11</v>
      </c>
      <c r="E18380" t="s">
        <v>12</v>
      </c>
      <c r="F18380">
        <v>56972437</v>
      </c>
      <c r="G18380">
        <v>56972482</v>
      </c>
      <c r="H18380">
        <v>56972437</v>
      </c>
      <c r="I18380">
        <v>56972482</v>
      </c>
    </row>
    <row r="18381" spans="1:9" x14ac:dyDescent="0.2">
      <c r="A18381" t="str">
        <f>"Satb2"</f>
        <v>Satb2</v>
      </c>
      <c r="B18381" t="s">
        <v>13</v>
      </c>
      <c r="C18381" t="s">
        <v>19</v>
      </c>
      <c r="D18381" t="s">
        <v>11</v>
      </c>
      <c r="E18381" t="s">
        <v>12</v>
      </c>
      <c r="F18381">
        <v>56971281</v>
      </c>
      <c r="G18381">
        <v>56971305</v>
      </c>
      <c r="H18381">
        <v>56971281</v>
      </c>
      <c r="I18381">
        <v>56971305</v>
      </c>
    </row>
    <row r="18382" spans="1:9" x14ac:dyDescent="0.2">
      <c r="A18382" t="str">
        <f>"Satl1"</f>
        <v>Satl1</v>
      </c>
      <c r="B18382" t="s">
        <v>14</v>
      </c>
      <c r="C18382" t="s">
        <v>37</v>
      </c>
      <c r="D18382" t="s">
        <v>11</v>
      </c>
      <c r="E18382" t="s">
        <v>12</v>
      </c>
      <c r="F18382">
        <v>112407053</v>
      </c>
      <c r="G18382">
        <v>112407072</v>
      </c>
      <c r="H18382">
        <v>112407053</v>
      </c>
      <c r="I18382">
        <v>112407072</v>
      </c>
    </row>
    <row r="18383" spans="1:9" x14ac:dyDescent="0.2">
      <c r="A18383" t="str">
        <f>"Sav1"</f>
        <v>Sav1</v>
      </c>
      <c r="B18383" t="s">
        <v>14</v>
      </c>
      <c r="C18383" t="s">
        <v>16</v>
      </c>
      <c r="D18383" t="s">
        <v>11</v>
      </c>
      <c r="E18383" t="s">
        <v>12</v>
      </c>
      <c r="F18383">
        <v>69987039</v>
      </c>
      <c r="G18383">
        <v>69987100</v>
      </c>
      <c r="H18383">
        <v>69987101</v>
      </c>
      <c r="I18383">
        <v>69987112</v>
      </c>
    </row>
    <row r="18384" spans="1:9" x14ac:dyDescent="0.2">
      <c r="A18384" t="str">
        <f>"Saysd1"</f>
        <v>Saysd1</v>
      </c>
      <c r="B18384" t="s">
        <v>14</v>
      </c>
      <c r="C18384" t="s">
        <v>41</v>
      </c>
      <c r="D18384" t="s">
        <v>11</v>
      </c>
      <c r="E18384" t="s">
        <v>67</v>
      </c>
      <c r="F18384">
        <v>20083102</v>
      </c>
      <c r="G18384">
        <v>20083165</v>
      </c>
      <c r="H18384">
        <v>20083177</v>
      </c>
      <c r="I18384">
        <v>20083188</v>
      </c>
    </row>
    <row r="18385" spans="1:9" x14ac:dyDescent="0.2">
      <c r="A18385" t="str">
        <f>"Sbds"</f>
        <v>Sbds</v>
      </c>
      <c r="B18385" t="s">
        <v>14</v>
      </c>
      <c r="C18385" t="s">
        <v>46</v>
      </c>
      <c r="D18385" t="s">
        <v>11</v>
      </c>
      <c r="E18385" t="s">
        <v>12</v>
      </c>
      <c r="F18385">
        <v>130255422</v>
      </c>
      <c r="G18385">
        <v>130255509</v>
      </c>
      <c r="H18385">
        <v>130255525</v>
      </c>
      <c r="I18385">
        <v>130255537</v>
      </c>
    </row>
    <row r="18386" spans="1:9" x14ac:dyDescent="0.2">
      <c r="A18386" t="str">
        <f>"Sbf1"</f>
        <v>Sbf1</v>
      </c>
      <c r="B18386" t="s">
        <v>14</v>
      </c>
      <c r="C18386" t="s">
        <v>25</v>
      </c>
      <c r="D18386" t="s">
        <v>11</v>
      </c>
      <c r="E18386" t="s">
        <v>12</v>
      </c>
      <c r="F18386">
        <v>89315253</v>
      </c>
      <c r="G18386">
        <v>89315312</v>
      </c>
      <c r="H18386">
        <v>89315253</v>
      </c>
      <c r="I18386">
        <v>89315312</v>
      </c>
    </row>
    <row r="18387" spans="1:9" x14ac:dyDescent="0.2">
      <c r="A18387" t="str">
        <f>"Sbf2"</f>
        <v>Sbf2</v>
      </c>
      <c r="B18387" t="s">
        <v>14</v>
      </c>
      <c r="C18387" t="s">
        <v>33</v>
      </c>
      <c r="D18387" t="s">
        <v>11</v>
      </c>
      <c r="E18387" t="s">
        <v>12</v>
      </c>
      <c r="F18387">
        <v>110614888</v>
      </c>
      <c r="G18387">
        <v>110614928</v>
      </c>
      <c r="H18387">
        <v>110615085</v>
      </c>
      <c r="I18387">
        <v>110615117</v>
      </c>
    </row>
    <row r="18388" spans="1:9" x14ac:dyDescent="0.2">
      <c r="A18388" t="str">
        <f>"Sbk1"</f>
        <v>Sbk1</v>
      </c>
      <c r="B18388" t="s">
        <v>14</v>
      </c>
      <c r="C18388" t="s">
        <v>33</v>
      </c>
      <c r="D18388" t="s">
        <v>17</v>
      </c>
      <c r="E18388" t="s">
        <v>12</v>
      </c>
      <c r="F18388">
        <v>126272526</v>
      </c>
      <c r="G18388">
        <v>126272587</v>
      </c>
      <c r="H18388">
        <v>126272589</v>
      </c>
      <c r="I18388">
        <v>126272609</v>
      </c>
    </row>
    <row r="18389" spans="1:9" x14ac:dyDescent="0.2">
      <c r="A18389" t="str">
        <f>"Sbk2"</f>
        <v>Sbk2</v>
      </c>
      <c r="B18389" t="s">
        <v>14</v>
      </c>
      <c r="C18389" t="s">
        <v>33</v>
      </c>
      <c r="D18389" t="s">
        <v>11</v>
      </c>
      <c r="E18389" t="s">
        <v>12</v>
      </c>
      <c r="F18389">
        <v>4964333</v>
      </c>
      <c r="G18389">
        <v>4964365</v>
      </c>
      <c r="H18389">
        <v>4964395</v>
      </c>
      <c r="I18389">
        <v>4964411</v>
      </c>
    </row>
    <row r="18390" spans="1:9" x14ac:dyDescent="0.2">
      <c r="A18390" t="str">
        <f>"Sbno1"</f>
        <v>Sbno1</v>
      </c>
      <c r="B18390" t="s">
        <v>14</v>
      </c>
      <c r="C18390" t="s">
        <v>46</v>
      </c>
      <c r="D18390" t="s">
        <v>11</v>
      </c>
      <c r="E18390" t="s">
        <v>12</v>
      </c>
      <c r="F18390">
        <v>124425575</v>
      </c>
      <c r="G18390">
        <v>124425601</v>
      </c>
      <c r="H18390">
        <v>124425949</v>
      </c>
      <c r="I18390">
        <v>124426001</v>
      </c>
    </row>
    <row r="18391" spans="1:9" x14ac:dyDescent="0.2">
      <c r="A18391" t="str">
        <f>"Sbno2"</f>
        <v>Sbno2</v>
      </c>
      <c r="B18391" t="s">
        <v>9</v>
      </c>
      <c r="C18391" t="s">
        <v>15</v>
      </c>
      <c r="D18391" t="s">
        <v>11</v>
      </c>
      <c r="E18391" t="s">
        <v>12</v>
      </c>
      <c r="F18391">
        <v>80102653</v>
      </c>
      <c r="G18391">
        <v>80102728</v>
      </c>
      <c r="H18391">
        <v>80102653</v>
      </c>
      <c r="I18391">
        <v>80102728</v>
      </c>
    </row>
    <row r="18392" spans="1:9" x14ac:dyDescent="0.2">
      <c r="A18392" t="str">
        <f>"Sbno2"</f>
        <v>Sbno2</v>
      </c>
      <c r="B18392" t="s">
        <v>13</v>
      </c>
      <c r="C18392" t="s">
        <v>15</v>
      </c>
      <c r="D18392" t="s">
        <v>11</v>
      </c>
      <c r="E18392" t="s">
        <v>12</v>
      </c>
      <c r="F18392">
        <v>80075378</v>
      </c>
      <c r="G18392">
        <v>80075407</v>
      </c>
      <c r="H18392">
        <v>80075378</v>
      </c>
      <c r="I18392">
        <v>80075407</v>
      </c>
    </row>
    <row r="18393" spans="1:9" x14ac:dyDescent="0.2">
      <c r="A18393" t="str">
        <f>"Sbp"</f>
        <v>Sbp</v>
      </c>
      <c r="B18393" t="s">
        <v>14</v>
      </c>
      <c r="C18393" t="s">
        <v>28</v>
      </c>
      <c r="D18393" t="s">
        <v>17</v>
      </c>
      <c r="E18393" t="s">
        <v>12</v>
      </c>
      <c r="F18393">
        <v>23942369</v>
      </c>
      <c r="G18393">
        <v>23942374</v>
      </c>
      <c r="H18393">
        <v>23941915</v>
      </c>
      <c r="I18393">
        <v>23941929</v>
      </c>
    </row>
    <row r="18394" spans="1:9" x14ac:dyDescent="0.2">
      <c r="A18394" t="str">
        <f>"Sbpl"</f>
        <v>Sbpl</v>
      </c>
      <c r="B18394" t="s">
        <v>14</v>
      </c>
      <c r="C18394" t="s">
        <v>28</v>
      </c>
      <c r="D18394" t="s">
        <v>11</v>
      </c>
      <c r="E18394" t="s">
        <v>12</v>
      </c>
      <c r="F18394">
        <v>23955268</v>
      </c>
      <c r="G18394">
        <v>23955302</v>
      </c>
      <c r="H18394">
        <v>23955268</v>
      </c>
      <c r="I18394">
        <v>23955302</v>
      </c>
    </row>
    <row r="18395" spans="1:9" x14ac:dyDescent="0.2">
      <c r="A18395" t="str">
        <f>"Sbsn"</f>
        <v>Sbsn</v>
      </c>
      <c r="B18395" t="s">
        <v>14</v>
      </c>
      <c r="C18395" t="s">
        <v>33</v>
      </c>
      <c r="D18395" t="s">
        <v>17</v>
      </c>
      <c r="E18395" t="s">
        <v>12</v>
      </c>
      <c r="F18395">
        <v>30751526</v>
      </c>
      <c r="G18395">
        <v>30751543</v>
      </c>
      <c r="H18395">
        <v>30751526</v>
      </c>
      <c r="I18395">
        <v>30751543</v>
      </c>
    </row>
    <row r="18396" spans="1:9" x14ac:dyDescent="0.2">
      <c r="A18396" t="str">
        <f>"Sbspon"</f>
        <v>Sbspon</v>
      </c>
      <c r="B18396" t="s">
        <v>14</v>
      </c>
      <c r="C18396" t="s">
        <v>19</v>
      </c>
      <c r="D18396" t="s">
        <v>11</v>
      </c>
      <c r="E18396" t="s">
        <v>67</v>
      </c>
      <c r="F18396">
        <v>15892657</v>
      </c>
      <c r="G18396">
        <v>15892729</v>
      </c>
      <c r="H18396">
        <v>15892657</v>
      </c>
      <c r="I18396">
        <v>15892729</v>
      </c>
    </row>
    <row r="18397" spans="1:9" x14ac:dyDescent="0.2">
      <c r="A18397" t="str">
        <f>"Sc4mol"</f>
        <v>Sc4mol</v>
      </c>
      <c r="B18397" t="s">
        <v>14</v>
      </c>
      <c r="C18397" t="s">
        <v>30</v>
      </c>
      <c r="D18397" t="s">
        <v>11</v>
      </c>
      <c r="E18397" t="s">
        <v>12</v>
      </c>
      <c r="F18397">
        <v>64733570</v>
      </c>
      <c r="G18397">
        <v>64733584</v>
      </c>
      <c r="H18397">
        <v>64733534</v>
      </c>
      <c r="I18397">
        <v>64733554</v>
      </c>
    </row>
    <row r="18398" spans="1:9" x14ac:dyDescent="0.2">
      <c r="A18398" t="str">
        <f>"Sc5d"</f>
        <v>Sc5d</v>
      </c>
      <c r="B18398" t="s">
        <v>14</v>
      </c>
      <c r="C18398" t="s">
        <v>24</v>
      </c>
      <c r="D18398" t="s">
        <v>11</v>
      </c>
      <c r="E18398" t="s">
        <v>12</v>
      </c>
      <c r="F18398">
        <v>42264226</v>
      </c>
      <c r="G18398">
        <v>42264282</v>
      </c>
      <c r="H18398">
        <v>42264204</v>
      </c>
      <c r="I18398">
        <v>42264219</v>
      </c>
    </row>
    <row r="18399" spans="1:9" x14ac:dyDescent="0.2">
      <c r="A18399" t="str">
        <f>"Scaf1"</f>
        <v>Scaf1</v>
      </c>
      <c r="B18399" t="s">
        <v>14</v>
      </c>
      <c r="C18399" t="s">
        <v>33</v>
      </c>
      <c r="D18399" t="s">
        <v>11</v>
      </c>
      <c r="E18399" t="s">
        <v>12</v>
      </c>
      <c r="F18399">
        <v>45016080</v>
      </c>
      <c r="G18399">
        <v>45016133</v>
      </c>
      <c r="H18399">
        <v>45016224</v>
      </c>
      <c r="I18399">
        <v>45016296</v>
      </c>
    </row>
    <row r="18400" spans="1:9" x14ac:dyDescent="0.2">
      <c r="A18400" t="str">
        <f>"Scaf11"</f>
        <v>Scaf11</v>
      </c>
      <c r="B18400" t="s">
        <v>14</v>
      </c>
      <c r="C18400" t="s">
        <v>25</v>
      </c>
      <c r="D18400" t="s">
        <v>11</v>
      </c>
      <c r="E18400" t="s">
        <v>12</v>
      </c>
      <c r="F18400">
        <v>96460743</v>
      </c>
      <c r="G18400">
        <v>96460834</v>
      </c>
      <c r="H18400">
        <v>96460871</v>
      </c>
      <c r="I18400">
        <v>96460926</v>
      </c>
    </row>
    <row r="18401" spans="1:9" x14ac:dyDescent="0.2">
      <c r="A18401" t="str">
        <f>"Scaf4"</f>
        <v>Scaf4</v>
      </c>
      <c r="B18401" t="s">
        <v>14</v>
      </c>
      <c r="C18401" t="s">
        <v>31</v>
      </c>
      <c r="D18401" t="s">
        <v>11</v>
      </c>
      <c r="E18401" t="s">
        <v>12</v>
      </c>
      <c r="F18401">
        <v>90284412</v>
      </c>
      <c r="G18401">
        <v>90284498</v>
      </c>
      <c r="H18401">
        <v>90284300</v>
      </c>
      <c r="I18401">
        <v>90284348</v>
      </c>
    </row>
    <row r="18402" spans="1:9" x14ac:dyDescent="0.2">
      <c r="A18402" t="str">
        <f>"Scaf8"</f>
        <v>Scaf8</v>
      </c>
      <c r="B18402" t="s">
        <v>14</v>
      </c>
      <c r="C18402" t="s">
        <v>28</v>
      </c>
      <c r="D18402" t="s">
        <v>17</v>
      </c>
      <c r="E18402" t="s">
        <v>12</v>
      </c>
      <c r="F18402">
        <v>3114957</v>
      </c>
      <c r="G18402">
        <v>3114982</v>
      </c>
      <c r="H18402">
        <v>3115210</v>
      </c>
      <c r="I18402">
        <v>3115268</v>
      </c>
    </row>
    <row r="18403" spans="1:9" x14ac:dyDescent="0.2">
      <c r="A18403" t="str">
        <f>"Scai"</f>
        <v>Scai</v>
      </c>
      <c r="B18403" t="s">
        <v>14</v>
      </c>
      <c r="C18403" t="s">
        <v>26</v>
      </c>
      <c r="D18403" t="s">
        <v>11</v>
      </c>
      <c r="E18403" t="s">
        <v>12</v>
      </c>
      <c r="F18403">
        <v>39190687</v>
      </c>
      <c r="G18403">
        <v>39190746</v>
      </c>
      <c r="H18403">
        <v>39190662</v>
      </c>
      <c r="I18403">
        <v>39190685</v>
      </c>
    </row>
    <row r="18404" spans="1:9" x14ac:dyDescent="0.2">
      <c r="A18404" t="str">
        <f>"Scamp1"</f>
        <v>Scamp1</v>
      </c>
      <c r="B18404" t="s">
        <v>14</v>
      </c>
      <c r="C18404" t="s">
        <v>39</v>
      </c>
      <c r="D18404" t="s">
        <v>11</v>
      </c>
      <c r="E18404" t="s">
        <v>12</v>
      </c>
      <c r="F18404">
        <v>94285352</v>
      </c>
      <c r="G18404">
        <v>94285441</v>
      </c>
      <c r="H18404">
        <v>94285281</v>
      </c>
      <c r="I18404">
        <v>94285342</v>
      </c>
    </row>
    <row r="18405" spans="1:9" x14ac:dyDescent="0.2">
      <c r="A18405" t="str">
        <f>"Scamp2"</f>
        <v>Scamp2</v>
      </c>
      <c r="B18405" t="s">
        <v>14</v>
      </c>
      <c r="C18405" t="s">
        <v>24</v>
      </c>
      <c r="D18405" t="s">
        <v>17</v>
      </c>
      <c r="E18405" t="s">
        <v>12</v>
      </c>
      <c r="F18405">
        <v>57560934</v>
      </c>
      <c r="G18405">
        <v>57560989</v>
      </c>
      <c r="H18405">
        <v>57560934</v>
      </c>
      <c r="I18405">
        <v>57560989</v>
      </c>
    </row>
    <row r="18406" spans="1:9" x14ac:dyDescent="0.2">
      <c r="A18406" t="str">
        <f>"Scamp3"</f>
        <v>Scamp3</v>
      </c>
      <c r="B18406" t="s">
        <v>14</v>
      </c>
      <c r="C18406" t="s">
        <v>22</v>
      </c>
      <c r="D18406" t="s">
        <v>17</v>
      </c>
      <c r="E18406" t="s">
        <v>12</v>
      </c>
      <c r="F18406">
        <v>89177463</v>
      </c>
      <c r="G18406">
        <v>89177543</v>
      </c>
      <c r="H18406">
        <v>89177553</v>
      </c>
      <c r="I18406">
        <v>89177592</v>
      </c>
    </row>
    <row r="18407" spans="1:9" x14ac:dyDescent="0.2">
      <c r="A18407" t="str">
        <f>"Scamp4"</f>
        <v>Scamp4</v>
      </c>
      <c r="B18407" t="s">
        <v>14</v>
      </c>
      <c r="C18407" t="s">
        <v>15</v>
      </c>
      <c r="D18407" t="s">
        <v>17</v>
      </c>
      <c r="E18407" t="s">
        <v>12</v>
      </c>
      <c r="F18407">
        <v>80602865</v>
      </c>
      <c r="G18407">
        <v>80602904</v>
      </c>
      <c r="H18407">
        <v>80603195</v>
      </c>
      <c r="I18407">
        <v>80603258</v>
      </c>
    </row>
    <row r="18408" spans="1:9" x14ac:dyDescent="0.2">
      <c r="A18408" t="str">
        <f>"Scamp5"</f>
        <v>Scamp5</v>
      </c>
      <c r="B18408" t="s">
        <v>14</v>
      </c>
      <c r="C18408" t="s">
        <v>24</v>
      </c>
      <c r="D18408" t="s">
        <v>11</v>
      </c>
      <c r="E18408" t="s">
        <v>12</v>
      </c>
      <c r="F18408">
        <v>57467985</v>
      </c>
      <c r="G18408">
        <v>57468074</v>
      </c>
      <c r="H18408">
        <v>57467985</v>
      </c>
      <c r="I18408">
        <v>57468074</v>
      </c>
    </row>
    <row r="18409" spans="1:9" x14ac:dyDescent="0.2">
      <c r="A18409" t="str">
        <f>"Scand1"</f>
        <v>Scand1</v>
      </c>
      <c r="B18409" t="s">
        <v>14</v>
      </c>
      <c r="C18409" t="s">
        <v>26</v>
      </c>
      <c r="D18409" t="s">
        <v>11</v>
      </c>
      <c r="E18409" t="s">
        <v>12</v>
      </c>
      <c r="F18409">
        <v>156312470</v>
      </c>
      <c r="G18409">
        <v>156312575</v>
      </c>
      <c r="H18409">
        <v>156312743</v>
      </c>
      <c r="I18409">
        <v>156312769</v>
      </c>
    </row>
    <row r="18410" spans="1:9" x14ac:dyDescent="0.2">
      <c r="A18410" t="str">
        <f>"Scap"</f>
        <v>Scap</v>
      </c>
      <c r="B18410" t="s">
        <v>14</v>
      </c>
      <c r="C18410" t="s">
        <v>24</v>
      </c>
      <c r="D18410" t="s">
        <v>17</v>
      </c>
      <c r="E18410" t="s">
        <v>12</v>
      </c>
      <c r="F18410">
        <v>110333402</v>
      </c>
      <c r="G18410">
        <v>110333435</v>
      </c>
      <c r="H18410">
        <v>110333340</v>
      </c>
      <c r="I18410">
        <v>110333389</v>
      </c>
    </row>
    <row r="18411" spans="1:9" x14ac:dyDescent="0.2">
      <c r="A18411" t="str">
        <f>"Scaper"</f>
        <v>Scaper</v>
      </c>
      <c r="B18411" t="s">
        <v>14</v>
      </c>
      <c r="C18411" t="s">
        <v>24</v>
      </c>
      <c r="D18411" t="s">
        <v>11</v>
      </c>
      <c r="E18411" t="s">
        <v>12</v>
      </c>
      <c r="F18411">
        <v>55938093</v>
      </c>
      <c r="G18411">
        <v>55938143</v>
      </c>
      <c r="H18411">
        <v>55938174</v>
      </c>
      <c r="I18411">
        <v>55938202</v>
      </c>
    </row>
    <row r="18412" spans="1:9" x14ac:dyDescent="0.2">
      <c r="A18412" t="str">
        <f>"Scara3"</f>
        <v>Scara3</v>
      </c>
      <c r="B18412" t="s">
        <v>14</v>
      </c>
      <c r="C18412" t="s">
        <v>41</v>
      </c>
      <c r="D18412" t="s">
        <v>11</v>
      </c>
      <c r="E18412" t="s">
        <v>12</v>
      </c>
      <c r="F18412">
        <v>65953728</v>
      </c>
      <c r="G18412">
        <v>65953794</v>
      </c>
      <c r="H18412">
        <v>65953728</v>
      </c>
      <c r="I18412">
        <v>65953794</v>
      </c>
    </row>
    <row r="18413" spans="1:9" x14ac:dyDescent="0.2">
      <c r="A18413" t="str">
        <f>"Scara5"</f>
        <v>Scara5</v>
      </c>
      <c r="B18413" t="s">
        <v>14</v>
      </c>
      <c r="C18413" t="s">
        <v>41</v>
      </c>
      <c r="D18413" t="s">
        <v>17</v>
      </c>
      <c r="E18413" t="s">
        <v>12</v>
      </c>
      <c r="F18413">
        <v>65666394</v>
      </c>
      <c r="G18413">
        <v>65666416</v>
      </c>
      <c r="H18413">
        <v>65666430</v>
      </c>
      <c r="I18413">
        <v>65666443</v>
      </c>
    </row>
    <row r="18414" spans="1:9" x14ac:dyDescent="0.2">
      <c r="A18414" t="str">
        <f>"Scarb1"</f>
        <v>Scarb1</v>
      </c>
      <c r="B18414" t="s">
        <v>14</v>
      </c>
      <c r="C18414" t="s">
        <v>46</v>
      </c>
      <c r="D18414" t="s">
        <v>11</v>
      </c>
      <c r="E18414" t="s">
        <v>12</v>
      </c>
      <c r="F18414">
        <v>125341011</v>
      </c>
      <c r="G18414">
        <v>125341027</v>
      </c>
      <c r="H18414">
        <v>125341043</v>
      </c>
      <c r="I18414">
        <v>125341112</v>
      </c>
    </row>
    <row r="18415" spans="1:9" x14ac:dyDescent="0.2">
      <c r="A18415" t="str">
        <f>"Scarb2"</f>
        <v>Scarb2</v>
      </c>
      <c r="B18415" t="s">
        <v>14</v>
      </c>
      <c r="C18415" t="s">
        <v>46</v>
      </c>
      <c r="D18415" t="s">
        <v>11</v>
      </c>
      <c r="E18415" t="s">
        <v>12</v>
      </c>
      <c r="F18415">
        <v>92505518</v>
      </c>
      <c r="G18415">
        <v>92505666</v>
      </c>
      <c r="H18415">
        <v>92505473</v>
      </c>
      <c r="I18415">
        <v>92505489</v>
      </c>
    </row>
    <row r="18416" spans="1:9" x14ac:dyDescent="0.2">
      <c r="A18416" t="str">
        <f>"Scarf1"</f>
        <v>Scarf1</v>
      </c>
      <c r="B18416" t="s">
        <v>14</v>
      </c>
      <c r="C18416" t="s">
        <v>27</v>
      </c>
      <c r="D18416" t="s">
        <v>17</v>
      </c>
      <c r="E18416" t="s">
        <v>12</v>
      </c>
      <c r="F18416">
        <v>75513548</v>
      </c>
      <c r="G18416">
        <v>75513582</v>
      </c>
      <c r="H18416">
        <v>75513494</v>
      </c>
      <c r="I18416">
        <v>75513505</v>
      </c>
    </row>
    <row r="18417" spans="1:9" x14ac:dyDescent="0.2">
      <c r="A18417" t="str">
        <f>"Scarf2"</f>
        <v>Scarf2</v>
      </c>
      <c r="B18417" t="s">
        <v>14</v>
      </c>
      <c r="C18417" t="s">
        <v>31</v>
      </c>
      <c r="D18417" t="s">
        <v>17</v>
      </c>
      <c r="E18417" t="s">
        <v>12</v>
      </c>
      <c r="F18417">
        <v>17797307</v>
      </c>
      <c r="G18417">
        <v>17797325</v>
      </c>
      <c r="H18417">
        <v>17797217</v>
      </c>
      <c r="I18417">
        <v>17797228</v>
      </c>
    </row>
    <row r="18418" spans="1:9" x14ac:dyDescent="0.2">
      <c r="A18418" t="str">
        <f>"Sccpdh"</f>
        <v>Sccpdh</v>
      </c>
      <c r="B18418" t="s">
        <v>14</v>
      </c>
      <c r="C18418" t="s">
        <v>19</v>
      </c>
      <c r="D18418" t="s">
        <v>17</v>
      </c>
      <c r="E18418" t="s">
        <v>12</v>
      </c>
      <c r="F18418">
        <v>179668298</v>
      </c>
      <c r="G18418">
        <v>179668354</v>
      </c>
      <c r="H18418">
        <v>179668202</v>
      </c>
      <c r="I18418">
        <v>179668268</v>
      </c>
    </row>
    <row r="18419" spans="1:9" x14ac:dyDescent="0.2">
      <c r="A18419" t="str">
        <f>"Scd1"</f>
        <v>Scd1</v>
      </c>
      <c r="B18419" t="s">
        <v>14</v>
      </c>
      <c r="C18419" t="s">
        <v>10</v>
      </c>
      <c r="D18419" t="s">
        <v>11</v>
      </c>
      <c r="E18419" t="s">
        <v>12</v>
      </c>
      <c r="F18419">
        <v>44407553</v>
      </c>
      <c r="G18419">
        <v>44407569</v>
      </c>
      <c r="H18419">
        <v>44407610</v>
      </c>
      <c r="I18419">
        <v>44407623</v>
      </c>
    </row>
    <row r="18420" spans="1:9" x14ac:dyDescent="0.2">
      <c r="A18420" t="str">
        <f>"Scd2"</f>
        <v>Scd2</v>
      </c>
      <c r="B18420" t="s">
        <v>14</v>
      </c>
      <c r="C18420" t="s">
        <v>10</v>
      </c>
      <c r="D18420" t="s">
        <v>17</v>
      </c>
      <c r="E18420" t="s">
        <v>12</v>
      </c>
      <c r="F18420">
        <v>44294073</v>
      </c>
      <c r="G18420">
        <v>44294099</v>
      </c>
      <c r="H18420">
        <v>44294073</v>
      </c>
      <c r="I18420">
        <v>44294099</v>
      </c>
    </row>
    <row r="18421" spans="1:9" x14ac:dyDescent="0.2">
      <c r="A18421" t="str">
        <f>"Scd3"</f>
        <v>Scd3</v>
      </c>
      <c r="B18421" t="s">
        <v>14</v>
      </c>
      <c r="C18421" t="s">
        <v>10</v>
      </c>
      <c r="D18421" t="s">
        <v>17</v>
      </c>
      <c r="E18421" t="s">
        <v>12</v>
      </c>
      <c r="F18421">
        <v>44203265</v>
      </c>
      <c r="G18421">
        <v>44203284</v>
      </c>
      <c r="H18421">
        <v>44203265</v>
      </c>
      <c r="I18421">
        <v>44203284</v>
      </c>
    </row>
    <row r="18422" spans="1:9" x14ac:dyDescent="0.2">
      <c r="A18422" t="str">
        <f>"Scd4"</f>
        <v>Scd4</v>
      </c>
      <c r="B18422" t="s">
        <v>14</v>
      </c>
      <c r="C18422" t="s">
        <v>10</v>
      </c>
      <c r="D18422" t="s">
        <v>17</v>
      </c>
      <c r="E18422" t="s">
        <v>12</v>
      </c>
      <c r="F18422">
        <v>44333318</v>
      </c>
      <c r="G18422">
        <v>44333333</v>
      </c>
      <c r="H18422">
        <v>44333341</v>
      </c>
      <c r="I18422">
        <v>44333358</v>
      </c>
    </row>
    <row r="18423" spans="1:9" x14ac:dyDescent="0.2">
      <c r="A18423" t="str">
        <f>"Scel"</f>
        <v>Scel</v>
      </c>
      <c r="B18423" t="s">
        <v>14</v>
      </c>
      <c r="C18423" t="s">
        <v>41</v>
      </c>
      <c r="D18423" t="s">
        <v>17</v>
      </c>
      <c r="E18423" t="s">
        <v>12</v>
      </c>
      <c r="F18423">
        <v>103513328</v>
      </c>
      <c r="G18423">
        <v>103513377</v>
      </c>
      <c r="H18423">
        <v>103513378</v>
      </c>
      <c r="I18423">
        <v>103513429</v>
      </c>
    </row>
    <row r="18424" spans="1:9" x14ac:dyDescent="0.2">
      <c r="A18424" t="str">
        <f>"Scfd1"</f>
        <v>Scfd1</v>
      </c>
      <c r="B18424" t="s">
        <v>14</v>
      </c>
      <c r="C18424" t="s">
        <v>16</v>
      </c>
      <c r="D18424" t="s">
        <v>17</v>
      </c>
      <c r="E18424" t="s">
        <v>12</v>
      </c>
      <c r="F18424">
        <v>51377560</v>
      </c>
      <c r="G18424">
        <v>51377587</v>
      </c>
      <c r="H18424">
        <v>51377560</v>
      </c>
      <c r="I18424">
        <v>51377587</v>
      </c>
    </row>
    <row r="18425" spans="1:9" x14ac:dyDescent="0.2">
      <c r="A18425" t="str">
        <f>"Scfd2"</f>
        <v>Scfd2</v>
      </c>
      <c r="B18425" t="s">
        <v>14</v>
      </c>
      <c r="C18425" t="s">
        <v>46</v>
      </c>
      <c r="D18425" t="s">
        <v>11</v>
      </c>
      <c r="E18425" t="s">
        <v>12</v>
      </c>
      <c r="F18425">
        <v>74531666</v>
      </c>
      <c r="G18425">
        <v>74531754</v>
      </c>
      <c r="H18425">
        <v>74531756</v>
      </c>
      <c r="I18425">
        <v>74531770</v>
      </c>
    </row>
    <row r="18426" spans="1:9" x14ac:dyDescent="0.2">
      <c r="A18426" t="str">
        <f>"Scg2"</f>
        <v>Scg2</v>
      </c>
      <c r="B18426" t="s">
        <v>14</v>
      </c>
      <c r="C18426" t="s">
        <v>19</v>
      </c>
      <c r="D18426" t="s">
        <v>11</v>
      </c>
      <c r="E18426" t="s">
        <v>12</v>
      </c>
      <c r="F18426">
        <v>79440015</v>
      </c>
      <c r="G18426">
        <v>79440035</v>
      </c>
      <c r="H18426">
        <v>79440039</v>
      </c>
      <c r="I18426">
        <v>79440080</v>
      </c>
    </row>
    <row r="18427" spans="1:9" x14ac:dyDescent="0.2">
      <c r="A18427" t="str">
        <f>"Scg3"</f>
        <v>Scg3</v>
      </c>
      <c r="B18427" t="s">
        <v>14</v>
      </c>
      <c r="C18427" t="s">
        <v>24</v>
      </c>
      <c r="D18427" t="s">
        <v>11</v>
      </c>
      <c r="E18427" t="s">
        <v>12</v>
      </c>
      <c r="F18427">
        <v>75683992</v>
      </c>
      <c r="G18427">
        <v>75684046</v>
      </c>
      <c r="H18427">
        <v>75683971</v>
      </c>
      <c r="I18427">
        <v>75683989</v>
      </c>
    </row>
    <row r="18428" spans="1:9" x14ac:dyDescent="0.2">
      <c r="A18428" t="str">
        <f>"Scg5"</f>
        <v>Scg5</v>
      </c>
      <c r="B18428" t="s">
        <v>14</v>
      </c>
      <c r="C18428" t="s">
        <v>26</v>
      </c>
      <c r="D18428" t="s">
        <v>11</v>
      </c>
      <c r="E18428" t="s">
        <v>12</v>
      </c>
      <c r="F18428">
        <v>113829015</v>
      </c>
      <c r="G18428">
        <v>113829068</v>
      </c>
      <c r="H18428">
        <v>113829069</v>
      </c>
      <c r="I18428">
        <v>113829110</v>
      </c>
    </row>
    <row r="18429" spans="1:9" x14ac:dyDescent="0.2">
      <c r="A18429" t="str">
        <f>"Scgb1a1"</f>
        <v>Scgb1a1</v>
      </c>
      <c r="B18429" t="s">
        <v>14</v>
      </c>
      <c r="C18429" t="s">
        <v>10</v>
      </c>
      <c r="D18429" t="s">
        <v>11</v>
      </c>
      <c r="E18429" t="s">
        <v>12</v>
      </c>
      <c r="F18429">
        <v>9087945</v>
      </c>
      <c r="G18429">
        <v>9087962</v>
      </c>
      <c r="H18429">
        <v>9087945</v>
      </c>
      <c r="I18429">
        <v>9087962</v>
      </c>
    </row>
    <row r="18430" spans="1:9" x14ac:dyDescent="0.2">
      <c r="A18430" t="str">
        <f>"Scgb1b11"</f>
        <v>Scgb1b11</v>
      </c>
      <c r="B18430" t="s">
        <v>5719</v>
      </c>
      <c r="C18430" t="s">
        <v>33</v>
      </c>
      <c r="D18430" t="s">
        <v>17</v>
      </c>
      <c r="E18430" t="s">
        <v>20</v>
      </c>
      <c r="F18430">
        <v>33373249</v>
      </c>
      <c r="G18430">
        <v>33373249</v>
      </c>
      <c r="H18430">
        <v>33373249</v>
      </c>
      <c r="I18430">
        <v>33373249</v>
      </c>
    </row>
    <row r="18431" spans="1:9" x14ac:dyDescent="0.2">
      <c r="A18431" t="str">
        <f>"Scgb1b19"</f>
        <v>Scgb1b19</v>
      </c>
      <c r="B18431" t="s">
        <v>5720</v>
      </c>
      <c r="C18431" t="s">
        <v>33</v>
      </c>
      <c r="D18431" t="s">
        <v>17</v>
      </c>
      <c r="E18431" t="s">
        <v>20</v>
      </c>
      <c r="F18431">
        <v>33287306</v>
      </c>
      <c r="G18431">
        <v>33287306</v>
      </c>
      <c r="H18431">
        <v>33287306</v>
      </c>
      <c r="I18431">
        <v>33287306</v>
      </c>
    </row>
    <row r="18432" spans="1:9" x14ac:dyDescent="0.2">
      <c r="A18432" t="str">
        <f>"Scgb1b2"</f>
        <v>Scgb1b2</v>
      </c>
      <c r="B18432" t="s">
        <v>14</v>
      </c>
      <c r="C18432" t="s">
        <v>33</v>
      </c>
      <c r="D18432" t="s">
        <v>11</v>
      </c>
      <c r="E18432" t="s">
        <v>67</v>
      </c>
      <c r="F18432">
        <v>31291814</v>
      </c>
      <c r="G18432">
        <v>31291817</v>
      </c>
      <c r="H18432">
        <v>31291886</v>
      </c>
      <c r="I18432">
        <v>31291926</v>
      </c>
    </row>
    <row r="18433" spans="1:9" x14ac:dyDescent="0.2">
      <c r="A18433" t="str">
        <f>"Scgb1b24"</f>
        <v>Scgb1b24</v>
      </c>
      <c r="B18433" t="s">
        <v>14</v>
      </c>
      <c r="C18433" t="s">
        <v>33</v>
      </c>
      <c r="D18433" t="s">
        <v>17</v>
      </c>
      <c r="E18433" t="s">
        <v>67</v>
      </c>
      <c r="F18433">
        <v>33743781</v>
      </c>
      <c r="G18433">
        <v>33743788</v>
      </c>
      <c r="H18433">
        <v>33743737</v>
      </c>
      <c r="I18433">
        <v>33743743</v>
      </c>
    </row>
    <row r="18434" spans="1:9" x14ac:dyDescent="0.2">
      <c r="A18434" t="str">
        <f>"Scgb1b27"</f>
        <v>Scgb1b27</v>
      </c>
      <c r="B18434" t="s">
        <v>14</v>
      </c>
      <c r="C18434" t="s">
        <v>33</v>
      </c>
      <c r="D18434" t="s">
        <v>17</v>
      </c>
      <c r="E18434" t="s">
        <v>67</v>
      </c>
      <c r="F18434">
        <v>34021544</v>
      </c>
      <c r="G18434">
        <v>34021557</v>
      </c>
      <c r="H18434">
        <v>34021479</v>
      </c>
      <c r="I18434">
        <v>34021483</v>
      </c>
    </row>
    <row r="18435" spans="1:9" x14ac:dyDescent="0.2">
      <c r="A18435" t="str">
        <f>"Scgb1b29"</f>
        <v>Scgb1b29</v>
      </c>
      <c r="B18435" t="s">
        <v>5721</v>
      </c>
      <c r="C18435" t="s">
        <v>33</v>
      </c>
      <c r="D18435" t="s">
        <v>17</v>
      </c>
      <c r="E18435" t="s">
        <v>20</v>
      </c>
      <c r="F18435">
        <v>32441524</v>
      </c>
      <c r="G18435">
        <v>32441524</v>
      </c>
      <c r="H18435">
        <v>32441524</v>
      </c>
      <c r="I18435">
        <v>32441524</v>
      </c>
    </row>
    <row r="18436" spans="1:9" x14ac:dyDescent="0.2">
      <c r="A18436" t="str">
        <f>"Scgb1b3"</f>
        <v>Scgb1b3</v>
      </c>
      <c r="B18436" t="s">
        <v>5722</v>
      </c>
      <c r="C18436" t="s">
        <v>33</v>
      </c>
      <c r="D18436" t="s">
        <v>17</v>
      </c>
      <c r="E18436" t="s">
        <v>20</v>
      </c>
      <c r="F18436">
        <v>31375591</v>
      </c>
      <c r="G18436">
        <v>31375591</v>
      </c>
      <c r="H18436">
        <v>31375591</v>
      </c>
      <c r="I18436">
        <v>31375591</v>
      </c>
    </row>
    <row r="18437" spans="1:9" x14ac:dyDescent="0.2">
      <c r="A18437" t="str">
        <f>"Scgb1b30"</f>
        <v>Scgb1b30</v>
      </c>
      <c r="B18437" t="s">
        <v>14</v>
      </c>
      <c r="C18437" t="s">
        <v>33</v>
      </c>
      <c r="D18437" t="s">
        <v>17</v>
      </c>
      <c r="E18437" t="s">
        <v>67</v>
      </c>
      <c r="F18437">
        <v>34095495</v>
      </c>
      <c r="G18437">
        <v>34095503</v>
      </c>
      <c r="H18437">
        <v>34095495</v>
      </c>
      <c r="I18437">
        <v>34095503</v>
      </c>
    </row>
    <row r="18438" spans="1:9" x14ac:dyDescent="0.2">
      <c r="A18438" t="str">
        <f>"Scgb1b7"</f>
        <v>Scgb1b7</v>
      </c>
      <c r="B18438" t="s">
        <v>5723</v>
      </c>
      <c r="C18438" t="s">
        <v>33</v>
      </c>
      <c r="D18438" t="s">
        <v>17</v>
      </c>
      <c r="E18438" t="s">
        <v>20</v>
      </c>
      <c r="F18438">
        <v>31712664</v>
      </c>
      <c r="G18438">
        <v>31712664</v>
      </c>
      <c r="H18438">
        <v>31712664</v>
      </c>
      <c r="I18438">
        <v>31712664</v>
      </c>
    </row>
    <row r="18439" spans="1:9" x14ac:dyDescent="0.2">
      <c r="A18439" t="str">
        <f>"Scgb1c1"</f>
        <v>Scgb1c1</v>
      </c>
      <c r="B18439" t="s">
        <v>14</v>
      </c>
      <c r="C18439" t="s">
        <v>33</v>
      </c>
      <c r="D18439" t="s">
        <v>17</v>
      </c>
      <c r="E18439" t="s">
        <v>12</v>
      </c>
      <c r="F18439">
        <v>140845562</v>
      </c>
      <c r="G18439">
        <v>140845567</v>
      </c>
      <c r="H18439">
        <v>140845562</v>
      </c>
      <c r="I18439">
        <v>140845567</v>
      </c>
    </row>
    <row r="18440" spans="1:9" x14ac:dyDescent="0.2">
      <c r="A18440" t="str">
        <f>"Scgb2a2"</f>
        <v>Scgb2a2</v>
      </c>
      <c r="B18440" t="s">
        <v>5724</v>
      </c>
      <c r="C18440" t="s">
        <v>10</v>
      </c>
      <c r="D18440" t="s">
        <v>17</v>
      </c>
      <c r="E18440" t="s">
        <v>20</v>
      </c>
      <c r="F18440">
        <v>9847615</v>
      </c>
      <c r="G18440">
        <v>9847615</v>
      </c>
      <c r="H18440">
        <v>9847615</v>
      </c>
      <c r="I18440">
        <v>9847615</v>
      </c>
    </row>
    <row r="18441" spans="1:9" x14ac:dyDescent="0.2">
      <c r="A18441" t="str">
        <f>"Scgb2b12"</f>
        <v>Scgb2b12</v>
      </c>
      <c r="B18441" t="s">
        <v>5725</v>
      </c>
      <c r="C18441" t="s">
        <v>33</v>
      </c>
      <c r="D18441" t="s">
        <v>11</v>
      </c>
      <c r="E18441" t="s">
        <v>20</v>
      </c>
      <c r="F18441">
        <v>32327244</v>
      </c>
      <c r="G18441">
        <v>32327244</v>
      </c>
      <c r="H18441">
        <v>32327244</v>
      </c>
      <c r="I18441">
        <v>32327244</v>
      </c>
    </row>
    <row r="18442" spans="1:9" x14ac:dyDescent="0.2">
      <c r="A18442" t="str">
        <f>"Scgb2b15"</f>
        <v>Scgb2b15</v>
      </c>
      <c r="B18442" t="s">
        <v>5726</v>
      </c>
      <c r="C18442" t="s">
        <v>33</v>
      </c>
      <c r="D18442" t="s">
        <v>11</v>
      </c>
      <c r="E18442" t="s">
        <v>20</v>
      </c>
      <c r="F18442">
        <v>32829661</v>
      </c>
      <c r="G18442">
        <v>32829661</v>
      </c>
      <c r="H18442">
        <v>32829661</v>
      </c>
      <c r="I18442">
        <v>32829661</v>
      </c>
    </row>
    <row r="18443" spans="1:9" x14ac:dyDescent="0.2">
      <c r="A18443" t="str">
        <f>"Scgb2b17"</f>
        <v>Scgb2b17</v>
      </c>
      <c r="B18443" t="s">
        <v>5727</v>
      </c>
      <c r="C18443" t="s">
        <v>33</v>
      </c>
      <c r="D18443" t="s">
        <v>11</v>
      </c>
      <c r="E18443" t="s">
        <v>20</v>
      </c>
      <c r="F18443">
        <v>33056554</v>
      </c>
      <c r="G18443">
        <v>33056554</v>
      </c>
      <c r="H18443">
        <v>33056554</v>
      </c>
      <c r="I18443">
        <v>33056554</v>
      </c>
    </row>
    <row r="18444" spans="1:9" x14ac:dyDescent="0.2">
      <c r="A18444" t="str">
        <f>"Scgb2b19"</f>
        <v>Scgb2b19</v>
      </c>
      <c r="B18444" t="s">
        <v>5728</v>
      </c>
      <c r="C18444" t="s">
        <v>33</v>
      </c>
      <c r="D18444" t="s">
        <v>11</v>
      </c>
      <c r="E18444" t="s">
        <v>20</v>
      </c>
      <c r="F18444">
        <v>33280340</v>
      </c>
      <c r="G18444">
        <v>33280340</v>
      </c>
      <c r="H18444">
        <v>33280340</v>
      </c>
      <c r="I18444">
        <v>33280340</v>
      </c>
    </row>
    <row r="18445" spans="1:9" x14ac:dyDescent="0.2">
      <c r="A18445" t="str">
        <f>"Scgb2b2"</f>
        <v>Scgb2b2</v>
      </c>
      <c r="B18445" t="s">
        <v>14</v>
      </c>
      <c r="C18445" t="s">
        <v>33</v>
      </c>
      <c r="D18445" t="s">
        <v>17</v>
      </c>
      <c r="E18445" t="s">
        <v>67</v>
      </c>
      <c r="F18445">
        <v>31302666</v>
      </c>
      <c r="G18445">
        <v>31302703</v>
      </c>
      <c r="H18445">
        <v>31302666</v>
      </c>
      <c r="I18445">
        <v>31302703</v>
      </c>
    </row>
    <row r="18446" spans="1:9" x14ac:dyDescent="0.2">
      <c r="A18446" t="str">
        <f>"Scgb2b20"</f>
        <v>Scgb2b20</v>
      </c>
      <c r="B18446" t="s">
        <v>5729</v>
      </c>
      <c r="C18446" t="s">
        <v>33</v>
      </c>
      <c r="D18446" t="s">
        <v>11</v>
      </c>
      <c r="E18446" t="s">
        <v>20</v>
      </c>
      <c r="F18446">
        <v>33366321</v>
      </c>
      <c r="G18446">
        <v>33366321</v>
      </c>
      <c r="H18446">
        <v>33366321</v>
      </c>
      <c r="I18446">
        <v>33366321</v>
      </c>
    </row>
    <row r="18447" spans="1:9" x14ac:dyDescent="0.2">
      <c r="A18447" t="str">
        <f>"Scgb2b24"</f>
        <v>Scgb2b24</v>
      </c>
      <c r="B18447" t="s">
        <v>14</v>
      </c>
      <c r="C18447" t="s">
        <v>33</v>
      </c>
      <c r="D18447" t="s">
        <v>11</v>
      </c>
      <c r="E18447" t="s">
        <v>67</v>
      </c>
      <c r="F18447">
        <v>33739303</v>
      </c>
      <c r="G18447">
        <v>33739322</v>
      </c>
      <c r="H18447">
        <v>33739303</v>
      </c>
      <c r="I18447">
        <v>33739322</v>
      </c>
    </row>
    <row r="18448" spans="1:9" x14ac:dyDescent="0.2">
      <c r="A18448" t="str">
        <f>"Scgb2b26"</f>
        <v>Scgb2b26</v>
      </c>
      <c r="B18448" t="s">
        <v>14</v>
      </c>
      <c r="C18448" t="s">
        <v>33</v>
      </c>
      <c r="D18448" t="s">
        <v>11</v>
      </c>
      <c r="E18448" t="s">
        <v>67</v>
      </c>
      <c r="F18448">
        <v>33945074</v>
      </c>
      <c r="G18448">
        <v>33945102</v>
      </c>
      <c r="H18448">
        <v>33944986</v>
      </c>
      <c r="I18448">
        <v>33944988</v>
      </c>
    </row>
    <row r="18449" spans="1:9" x14ac:dyDescent="0.2">
      <c r="A18449" t="str">
        <f>"Scgb2b27"</f>
        <v>Scgb2b27</v>
      </c>
      <c r="B18449" t="s">
        <v>14</v>
      </c>
      <c r="C18449" t="s">
        <v>33</v>
      </c>
      <c r="D18449" t="s">
        <v>11</v>
      </c>
      <c r="E18449" t="s">
        <v>67</v>
      </c>
      <c r="F18449">
        <v>34013882</v>
      </c>
      <c r="G18449">
        <v>34013888</v>
      </c>
      <c r="H18449">
        <v>34013971</v>
      </c>
      <c r="I18449">
        <v>34013983</v>
      </c>
    </row>
    <row r="18450" spans="1:9" x14ac:dyDescent="0.2">
      <c r="A18450" t="str">
        <f>"Scgb2b3"</f>
        <v>Scgb2b3</v>
      </c>
      <c r="B18450" t="s">
        <v>14</v>
      </c>
      <c r="C18450" t="s">
        <v>33</v>
      </c>
      <c r="D18450" t="s">
        <v>11</v>
      </c>
      <c r="E18450" t="s">
        <v>67</v>
      </c>
      <c r="F18450">
        <v>31362095</v>
      </c>
      <c r="G18450">
        <v>31362100</v>
      </c>
      <c r="H18450">
        <v>31362095</v>
      </c>
      <c r="I18450">
        <v>31362100</v>
      </c>
    </row>
    <row r="18451" spans="1:9" x14ac:dyDescent="0.2">
      <c r="A18451" t="str">
        <f>"Scgb2b7"</f>
        <v>Scgb2b7</v>
      </c>
      <c r="B18451" t="s">
        <v>5730</v>
      </c>
      <c r="C18451" t="s">
        <v>33</v>
      </c>
      <c r="D18451" t="s">
        <v>11</v>
      </c>
      <c r="E18451" t="s">
        <v>20</v>
      </c>
      <c r="F18451">
        <v>31705753</v>
      </c>
      <c r="G18451">
        <v>31705753</v>
      </c>
      <c r="H18451">
        <v>31705753</v>
      </c>
      <c r="I18451">
        <v>31705753</v>
      </c>
    </row>
    <row r="18452" spans="1:9" x14ac:dyDescent="0.2">
      <c r="A18452" t="str">
        <f>"Scgb3a1"</f>
        <v>Scgb3a1</v>
      </c>
      <c r="B18452" t="s">
        <v>14</v>
      </c>
      <c r="C18452" t="s">
        <v>27</v>
      </c>
      <c r="D18452" t="s">
        <v>17</v>
      </c>
      <c r="E18452" t="s">
        <v>12</v>
      </c>
      <c r="F18452">
        <v>49663603</v>
      </c>
      <c r="G18452">
        <v>49663621</v>
      </c>
      <c r="H18452">
        <v>49663603</v>
      </c>
      <c r="I18452">
        <v>49663621</v>
      </c>
    </row>
    <row r="18453" spans="1:9" x14ac:dyDescent="0.2">
      <c r="A18453" t="str">
        <f>"Scgb3a2"</f>
        <v>Scgb3a2</v>
      </c>
      <c r="B18453" t="s">
        <v>14</v>
      </c>
      <c r="C18453" t="s">
        <v>43</v>
      </c>
      <c r="D18453" t="s">
        <v>17</v>
      </c>
      <c r="E18453" t="s">
        <v>12</v>
      </c>
      <c r="F18453">
        <v>43764317</v>
      </c>
      <c r="G18453">
        <v>43764333</v>
      </c>
      <c r="H18453">
        <v>43764317</v>
      </c>
      <c r="I18453">
        <v>43764333</v>
      </c>
    </row>
    <row r="18454" spans="1:9" x14ac:dyDescent="0.2">
      <c r="A18454" t="str">
        <f>"Scgn"</f>
        <v>Scgn</v>
      </c>
      <c r="B18454" t="s">
        <v>9</v>
      </c>
      <c r="C18454" t="s">
        <v>39</v>
      </c>
      <c r="D18454" t="s">
        <v>11</v>
      </c>
      <c r="E18454" t="s">
        <v>12</v>
      </c>
      <c r="F18454">
        <v>23991158</v>
      </c>
      <c r="G18454">
        <v>23991181</v>
      </c>
      <c r="H18454">
        <v>23991158</v>
      </c>
      <c r="I18454">
        <v>23991181</v>
      </c>
    </row>
    <row r="18455" spans="1:9" x14ac:dyDescent="0.2">
      <c r="A18455" t="str">
        <f>"Scgn"</f>
        <v>Scgn</v>
      </c>
      <c r="B18455" t="s">
        <v>13</v>
      </c>
      <c r="C18455" t="s">
        <v>39</v>
      </c>
      <c r="D18455" t="s">
        <v>11</v>
      </c>
      <c r="E18455" t="s">
        <v>12</v>
      </c>
      <c r="F18455">
        <v>23967155</v>
      </c>
      <c r="G18455">
        <v>23967179</v>
      </c>
      <c r="H18455">
        <v>23967155</v>
      </c>
      <c r="I18455">
        <v>23967179</v>
      </c>
    </row>
    <row r="18456" spans="1:9" x14ac:dyDescent="0.2">
      <c r="A18456" t="str">
        <f>"Schip1"</f>
        <v>Schip1</v>
      </c>
      <c r="B18456" t="s">
        <v>14</v>
      </c>
      <c r="C18456" t="s">
        <v>22</v>
      </c>
      <c r="D18456" t="s">
        <v>17</v>
      </c>
      <c r="E18456" t="s">
        <v>12</v>
      </c>
      <c r="F18456">
        <v>68572394</v>
      </c>
      <c r="G18456">
        <v>68572420</v>
      </c>
      <c r="H18456">
        <v>68572394</v>
      </c>
      <c r="I18456">
        <v>68572420</v>
      </c>
    </row>
    <row r="18457" spans="1:9" x14ac:dyDescent="0.2">
      <c r="A18457" t="str">
        <f>"Scimp"</f>
        <v>Scimp</v>
      </c>
      <c r="B18457" t="s">
        <v>14</v>
      </c>
      <c r="C18457" t="s">
        <v>27</v>
      </c>
      <c r="D18457" t="s">
        <v>11</v>
      </c>
      <c r="E18457" t="s">
        <v>67</v>
      </c>
      <c r="F18457">
        <v>70812510</v>
      </c>
      <c r="G18457">
        <v>70812532</v>
      </c>
      <c r="H18457">
        <v>70812539</v>
      </c>
      <c r="I18457">
        <v>70812554</v>
      </c>
    </row>
    <row r="18458" spans="1:9" x14ac:dyDescent="0.2">
      <c r="A18458" t="str">
        <f>"Scin"</f>
        <v>Scin</v>
      </c>
      <c r="B18458" t="s">
        <v>14</v>
      </c>
      <c r="C18458" t="s">
        <v>16</v>
      </c>
      <c r="D18458" t="s">
        <v>11</v>
      </c>
      <c r="E18458" t="s">
        <v>12</v>
      </c>
      <c r="F18458">
        <v>40134175</v>
      </c>
      <c r="G18458">
        <v>40134190</v>
      </c>
      <c r="H18458">
        <v>40134558</v>
      </c>
      <c r="I18458">
        <v>40134559</v>
      </c>
    </row>
    <row r="18459" spans="1:9" x14ac:dyDescent="0.2">
      <c r="A18459" t="str">
        <f>"Sclt1"</f>
        <v>Sclt1</v>
      </c>
      <c r="B18459" t="s">
        <v>14</v>
      </c>
      <c r="C18459" t="s">
        <v>22</v>
      </c>
      <c r="D18459" t="s">
        <v>11</v>
      </c>
      <c r="E18459" t="s">
        <v>12</v>
      </c>
      <c r="F18459">
        <v>41742471</v>
      </c>
      <c r="G18459">
        <v>41742548</v>
      </c>
      <c r="H18459">
        <v>41742336</v>
      </c>
      <c r="I18459">
        <v>41742364</v>
      </c>
    </row>
    <row r="18460" spans="1:9" x14ac:dyDescent="0.2">
      <c r="A18460" t="str">
        <f>"Scly"</f>
        <v>Scly</v>
      </c>
      <c r="B18460" t="s">
        <v>14</v>
      </c>
      <c r="C18460" t="s">
        <v>19</v>
      </c>
      <c r="D18460" t="s">
        <v>17</v>
      </c>
      <c r="E18460" t="s">
        <v>12</v>
      </c>
      <c r="F18460">
        <v>91298334</v>
      </c>
      <c r="G18460">
        <v>91298353</v>
      </c>
      <c r="H18460">
        <v>91298354</v>
      </c>
      <c r="I18460">
        <v>91298391</v>
      </c>
    </row>
    <row r="18461" spans="1:9" x14ac:dyDescent="0.2">
      <c r="A18461" t="str">
        <f>"Scmh1"</f>
        <v>Scmh1</v>
      </c>
      <c r="B18461" t="s">
        <v>14</v>
      </c>
      <c r="C18461" t="s">
        <v>23</v>
      </c>
      <c r="D18461" t="s">
        <v>17</v>
      </c>
      <c r="E18461" t="s">
        <v>12</v>
      </c>
      <c r="F18461">
        <v>120405288</v>
      </c>
      <c r="G18461">
        <v>120405404</v>
      </c>
      <c r="H18461">
        <v>120405173</v>
      </c>
      <c r="I18461">
        <v>120405221</v>
      </c>
    </row>
    <row r="18462" spans="1:9" x14ac:dyDescent="0.2">
      <c r="A18462" t="str">
        <f>"Scml2"</f>
        <v>Scml2</v>
      </c>
      <c r="B18462" t="s">
        <v>14</v>
      </c>
      <c r="C18462" t="s">
        <v>37</v>
      </c>
      <c r="D18462" t="s">
        <v>17</v>
      </c>
      <c r="E18462" t="s">
        <v>12</v>
      </c>
      <c r="F18462">
        <v>161162744</v>
      </c>
      <c r="G18462">
        <v>161162775</v>
      </c>
      <c r="H18462">
        <v>161162994</v>
      </c>
      <c r="I18462">
        <v>161163054</v>
      </c>
    </row>
    <row r="18463" spans="1:9" x14ac:dyDescent="0.2">
      <c r="A18463" t="str">
        <f>"Scml4"</f>
        <v>Scml4</v>
      </c>
      <c r="B18463" t="s">
        <v>14</v>
      </c>
      <c r="C18463" t="s">
        <v>15</v>
      </c>
      <c r="D18463" t="s">
        <v>17</v>
      </c>
      <c r="E18463" t="s">
        <v>12</v>
      </c>
      <c r="F18463">
        <v>42860648</v>
      </c>
      <c r="G18463">
        <v>42860676</v>
      </c>
      <c r="H18463">
        <v>42860776</v>
      </c>
      <c r="I18463">
        <v>42860810</v>
      </c>
    </row>
    <row r="18464" spans="1:9" x14ac:dyDescent="0.2">
      <c r="A18464" t="str">
        <f>"Scn10a"</f>
        <v>Scn10a</v>
      </c>
      <c r="B18464" t="s">
        <v>14</v>
      </c>
      <c r="C18464" t="s">
        <v>24</v>
      </c>
      <c r="D18464" t="s">
        <v>11</v>
      </c>
      <c r="E18464" t="s">
        <v>12</v>
      </c>
      <c r="F18464">
        <v>119719155</v>
      </c>
      <c r="G18464">
        <v>119719172</v>
      </c>
      <c r="H18464">
        <v>119719033</v>
      </c>
      <c r="I18464">
        <v>119719042</v>
      </c>
    </row>
    <row r="18465" spans="1:9" x14ac:dyDescent="0.2">
      <c r="A18465" t="str">
        <f>"Scn11a"</f>
        <v>Scn11a</v>
      </c>
      <c r="B18465" t="s">
        <v>14</v>
      </c>
      <c r="C18465" t="s">
        <v>24</v>
      </c>
      <c r="D18465" t="s">
        <v>11</v>
      </c>
      <c r="E18465" t="s">
        <v>12</v>
      </c>
      <c r="F18465">
        <v>119825453</v>
      </c>
      <c r="G18465">
        <v>119825464</v>
      </c>
      <c r="H18465">
        <v>119825495</v>
      </c>
      <c r="I18465">
        <v>119825506</v>
      </c>
    </row>
    <row r="18466" spans="1:9" x14ac:dyDescent="0.2">
      <c r="A18466" t="str">
        <f>"Scn1a"</f>
        <v>Scn1a</v>
      </c>
      <c r="B18466" t="s">
        <v>14</v>
      </c>
      <c r="C18466" t="s">
        <v>26</v>
      </c>
      <c r="D18466" t="s">
        <v>11</v>
      </c>
      <c r="E18466" t="s">
        <v>12</v>
      </c>
      <c r="F18466">
        <v>66410083</v>
      </c>
      <c r="G18466">
        <v>66410134</v>
      </c>
      <c r="H18466">
        <v>66410083</v>
      </c>
      <c r="I18466">
        <v>66410134</v>
      </c>
    </row>
    <row r="18467" spans="1:9" x14ac:dyDescent="0.2">
      <c r="A18467" t="str">
        <f>"Scn1b"</f>
        <v>Scn1b</v>
      </c>
      <c r="B18467" t="s">
        <v>14</v>
      </c>
      <c r="C18467" t="s">
        <v>33</v>
      </c>
      <c r="D18467" t="s">
        <v>11</v>
      </c>
      <c r="E18467" t="s">
        <v>12</v>
      </c>
      <c r="F18467">
        <v>31126993</v>
      </c>
      <c r="G18467">
        <v>31127042</v>
      </c>
      <c r="H18467">
        <v>31126950</v>
      </c>
      <c r="I18467">
        <v>31126992</v>
      </c>
    </row>
    <row r="18468" spans="1:9" x14ac:dyDescent="0.2">
      <c r="A18468" t="str">
        <f>"Scn2a1"</f>
        <v>Scn2a1</v>
      </c>
      <c r="B18468" t="s">
        <v>9</v>
      </c>
      <c r="C18468" t="s">
        <v>26</v>
      </c>
      <c r="D18468" t="s">
        <v>17</v>
      </c>
      <c r="E18468" t="s">
        <v>12</v>
      </c>
      <c r="F18468">
        <v>65620757</v>
      </c>
      <c r="G18468">
        <v>65620826</v>
      </c>
      <c r="H18468">
        <v>65620757</v>
      </c>
      <c r="I18468">
        <v>65620826</v>
      </c>
    </row>
    <row r="18469" spans="1:9" x14ac:dyDescent="0.2">
      <c r="A18469" t="str">
        <f>"Scn2a1"</f>
        <v>Scn2a1</v>
      </c>
      <c r="B18469" t="s">
        <v>13</v>
      </c>
      <c r="C18469" t="s">
        <v>26</v>
      </c>
      <c r="D18469" t="s">
        <v>17</v>
      </c>
      <c r="E18469" t="s">
        <v>12</v>
      </c>
      <c r="F18469">
        <v>65668730</v>
      </c>
      <c r="G18469">
        <v>65668746</v>
      </c>
      <c r="H18469">
        <v>65668730</v>
      </c>
      <c r="I18469">
        <v>65668746</v>
      </c>
    </row>
    <row r="18470" spans="1:9" x14ac:dyDescent="0.2">
      <c r="A18470" t="str">
        <f>"Scn2b"</f>
        <v>Scn2b</v>
      </c>
      <c r="B18470" t="s">
        <v>14</v>
      </c>
      <c r="C18470" t="s">
        <v>24</v>
      </c>
      <c r="D18470" t="s">
        <v>17</v>
      </c>
      <c r="E18470" t="s">
        <v>12</v>
      </c>
      <c r="F18470">
        <v>45117813</v>
      </c>
      <c r="G18470">
        <v>45117876</v>
      </c>
      <c r="H18470">
        <v>45117886</v>
      </c>
      <c r="I18470">
        <v>45117897</v>
      </c>
    </row>
    <row r="18471" spans="1:9" x14ac:dyDescent="0.2">
      <c r="A18471" t="str">
        <f>"Scn3a"</f>
        <v>Scn3a</v>
      </c>
      <c r="B18471" t="s">
        <v>14</v>
      </c>
      <c r="C18471" t="s">
        <v>26</v>
      </c>
      <c r="D18471" t="s">
        <v>11</v>
      </c>
      <c r="E18471" t="s">
        <v>12</v>
      </c>
      <c r="F18471">
        <v>65567465</v>
      </c>
      <c r="G18471">
        <v>65567495</v>
      </c>
      <c r="H18471">
        <v>65567505</v>
      </c>
      <c r="I18471">
        <v>65567527</v>
      </c>
    </row>
    <row r="18472" spans="1:9" x14ac:dyDescent="0.2">
      <c r="A18472" t="str">
        <f>"Scn3b"</f>
        <v>Scn3b</v>
      </c>
      <c r="B18472" t="s">
        <v>14</v>
      </c>
      <c r="C18472" t="s">
        <v>24</v>
      </c>
      <c r="D18472" t="s">
        <v>17</v>
      </c>
      <c r="E18472" t="s">
        <v>12</v>
      </c>
      <c r="F18472">
        <v>40269202</v>
      </c>
      <c r="G18472">
        <v>40269265</v>
      </c>
      <c r="H18472">
        <v>40269379</v>
      </c>
      <c r="I18472">
        <v>40269423</v>
      </c>
    </row>
    <row r="18473" spans="1:9" x14ac:dyDescent="0.2">
      <c r="A18473" t="str">
        <f>"Scn4a"</f>
        <v>Scn4a</v>
      </c>
      <c r="B18473" t="s">
        <v>14</v>
      </c>
      <c r="C18473" t="s">
        <v>27</v>
      </c>
      <c r="D18473" t="s">
        <v>11</v>
      </c>
      <c r="E18473" t="s">
        <v>12</v>
      </c>
      <c r="F18473">
        <v>106349622</v>
      </c>
      <c r="G18473">
        <v>106349624</v>
      </c>
      <c r="H18473">
        <v>106349622</v>
      </c>
      <c r="I18473">
        <v>106349624</v>
      </c>
    </row>
    <row r="18474" spans="1:9" x14ac:dyDescent="0.2">
      <c r="A18474" t="str">
        <f>"Scn4b"</f>
        <v>Scn4b</v>
      </c>
      <c r="B18474" t="s">
        <v>14</v>
      </c>
      <c r="C18474" t="s">
        <v>24</v>
      </c>
      <c r="D18474" t="s">
        <v>17</v>
      </c>
      <c r="E18474" t="s">
        <v>12</v>
      </c>
      <c r="F18474">
        <v>45138800</v>
      </c>
      <c r="G18474">
        <v>45138840</v>
      </c>
      <c r="H18474">
        <v>45138800</v>
      </c>
      <c r="I18474">
        <v>45138840</v>
      </c>
    </row>
    <row r="18475" spans="1:9" x14ac:dyDescent="0.2">
      <c r="A18475" t="str">
        <f>"Scn5a"</f>
        <v>Scn5a</v>
      </c>
      <c r="B18475" t="s">
        <v>14</v>
      </c>
      <c r="C18475" t="s">
        <v>24</v>
      </c>
      <c r="D18475" t="s">
        <v>11</v>
      </c>
      <c r="E18475" t="s">
        <v>12</v>
      </c>
      <c r="F18475">
        <v>119578981</v>
      </c>
      <c r="G18475">
        <v>119579031</v>
      </c>
      <c r="H18475">
        <v>119579040</v>
      </c>
      <c r="I18475">
        <v>119579051</v>
      </c>
    </row>
    <row r="18476" spans="1:9" x14ac:dyDescent="0.2">
      <c r="A18476" t="str">
        <f>"Scn7a"</f>
        <v>Scn7a</v>
      </c>
      <c r="B18476" t="s">
        <v>14</v>
      </c>
      <c r="C18476" t="s">
        <v>26</v>
      </c>
      <c r="D18476" t="s">
        <v>11</v>
      </c>
      <c r="E18476" t="s">
        <v>12</v>
      </c>
      <c r="F18476">
        <v>66784903</v>
      </c>
      <c r="G18476">
        <v>66784920</v>
      </c>
      <c r="H18476">
        <v>66784922</v>
      </c>
      <c r="I18476">
        <v>66784949</v>
      </c>
    </row>
    <row r="18477" spans="1:9" x14ac:dyDescent="0.2">
      <c r="A18477" t="str">
        <f>"Scn8a"</f>
        <v>Scn8a</v>
      </c>
      <c r="B18477" t="s">
        <v>14</v>
      </c>
      <c r="C18477" t="s">
        <v>25</v>
      </c>
      <c r="D18477" t="s">
        <v>17</v>
      </c>
      <c r="E18477" t="s">
        <v>12</v>
      </c>
      <c r="F18477">
        <v>100870926</v>
      </c>
      <c r="G18477">
        <v>100870961</v>
      </c>
      <c r="H18477">
        <v>100870627</v>
      </c>
      <c r="I18477">
        <v>100870667</v>
      </c>
    </row>
    <row r="18478" spans="1:9" x14ac:dyDescent="0.2">
      <c r="A18478" t="str">
        <f>"Scn9a"</f>
        <v>Scn9a</v>
      </c>
      <c r="B18478" t="s">
        <v>14</v>
      </c>
      <c r="C18478" t="s">
        <v>26</v>
      </c>
      <c r="D18478" t="s">
        <v>11</v>
      </c>
      <c r="E18478" t="s">
        <v>12</v>
      </c>
      <c r="F18478">
        <v>66634682</v>
      </c>
      <c r="G18478">
        <v>66634741</v>
      </c>
      <c r="H18478">
        <v>66634766</v>
      </c>
      <c r="I18478">
        <v>66634793</v>
      </c>
    </row>
    <row r="18479" spans="1:9" x14ac:dyDescent="0.2">
      <c r="A18479" t="str">
        <f>"Scnm1"</f>
        <v>Scnm1</v>
      </c>
      <c r="B18479" t="s">
        <v>14</v>
      </c>
      <c r="C18479" t="s">
        <v>22</v>
      </c>
      <c r="D18479" t="s">
        <v>11</v>
      </c>
      <c r="E18479" t="s">
        <v>12</v>
      </c>
      <c r="F18479">
        <v>95133936</v>
      </c>
      <c r="G18479">
        <v>95133988</v>
      </c>
      <c r="H18479">
        <v>95133989</v>
      </c>
      <c r="I18479">
        <v>95134017</v>
      </c>
    </row>
    <row r="18480" spans="1:9" x14ac:dyDescent="0.2">
      <c r="A18480" t="str">
        <f>"Scnn1a"</f>
        <v>Scnn1a</v>
      </c>
      <c r="B18480" t="s">
        <v>14</v>
      </c>
      <c r="C18480" t="s">
        <v>32</v>
      </c>
      <c r="D18480" t="s">
        <v>17</v>
      </c>
      <c r="E18480" t="s">
        <v>12</v>
      </c>
      <c r="F18480">
        <v>125321333</v>
      </c>
      <c r="G18480">
        <v>125321360</v>
      </c>
      <c r="H18480">
        <v>125321223</v>
      </c>
      <c r="I18480">
        <v>125321237</v>
      </c>
    </row>
    <row r="18481" spans="1:9" x14ac:dyDescent="0.2">
      <c r="A18481" t="str">
        <f>"Scnn1b"</f>
        <v>Scnn1b</v>
      </c>
      <c r="B18481" t="s">
        <v>14</v>
      </c>
      <c r="C18481" t="s">
        <v>33</v>
      </c>
      <c r="D18481" t="s">
        <v>17</v>
      </c>
      <c r="E18481" t="s">
        <v>12</v>
      </c>
      <c r="F18481">
        <v>121865070</v>
      </c>
      <c r="G18481">
        <v>121865093</v>
      </c>
      <c r="H18481">
        <v>121865051</v>
      </c>
      <c r="I18481">
        <v>121865065</v>
      </c>
    </row>
    <row r="18482" spans="1:9" x14ac:dyDescent="0.2">
      <c r="A18482" t="str">
        <f>"Scnn1g"</f>
        <v>Scnn1g</v>
      </c>
      <c r="B18482" t="s">
        <v>14</v>
      </c>
      <c r="C18482" t="s">
        <v>33</v>
      </c>
      <c r="D18482" t="s">
        <v>17</v>
      </c>
      <c r="E18482" t="s">
        <v>12</v>
      </c>
      <c r="F18482">
        <v>121734449</v>
      </c>
      <c r="G18482">
        <v>121734473</v>
      </c>
      <c r="H18482">
        <v>121734495</v>
      </c>
      <c r="I18482">
        <v>121734508</v>
      </c>
    </row>
    <row r="18483" spans="1:9" x14ac:dyDescent="0.2">
      <c r="A18483" t="str">
        <f>"Sco1"</f>
        <v>Sco1</v>
      </c>
      <c r="B18483" t="s">
        <v>14</v>
      </c>
      <c r="C18483" t="s">
        <v>27</v>
      </c>
      <c r="D18483" t="s">
        <v>17</v>
      </c>
      <c r="E18483" t="s">
        <v>12</v>
      </c>
      <c r="F18483">
        <v>67052641</v>
      </c>
      <c r="G18483">
        <v>67052708</v>
      </c>
      <c r="H18483">
        <v>67052628</v>
      </c>
      <c r="I18483">
        <v>67052639</v>
      </c>
    </row>
    <row r="18484" spans="1:9" x14ac:dyDescent="0.2">
      <c r="A18484" t="str">
        <f>"Sco2"</f>
        <v>Sco2</v>
      </c>
      <c r="B18484" t="s">
        <v>14</v>
      </c>
      <c r="C18484" t="s">
        <v>25</v>
      </c>
      <c r="D18484" t="s">
        <v>11</v>
      </c>
      <c r="E18484" t="s">
        <v>12</v>
      </c>
      <c r="F18484">
        <v>89373865</v>
      </c>
      <c r="G18484">
        <v>89373901</v>
      </c>
      <c r="H18484">
        <v>89373831</v>
      </c>
      <c r="I18484">
        <v>89373860</v>
      </c>
    </row>
    <row r="18485" spans="1:9" x14ac:dyDescent="0.2">
      <c r="A18485" t="str">
        <f>"Scoc"</f>
        <v>Scoc</v>
      </c>
      <c r="B18485" t="s">
        <v>9</v>
      </c>
      <c r="C18485" t="s">
        <v>30</v>
      </c>
      <c r="D18485" t="s">
        <v>11</v>
      </c>
      <c r="E18485" t="s">
        <v>12</v>
      </c>
      <c r="F18485">
        <v>83442478</v>
      </c>
      <c r="G18485">
        <v>83442507</v>
      </c>
      <c r="H18485">
        <v>83442478</v>
      </c>
      <c r="I18485">
        <v>83442507</v>
      </c>
    </row>
    <row r="18486" spans="1:9" x14ac:dyDescent="0.2">
      <c r="A18486" t="str">
        <f>"Scoc"</f>
        <v>Scoc</v>
      </c>
      <c r="B18486" t="s">
        <v>13</v>
      </c>
      <c r="C18486" t="s">
        <v>30</v>
      </c>
      <c r="D18486" t="s">
        <v>11</v>
      </c>
      <c r="E18486" t="s">
        <v>12</v>
      </c>
      <c r="F18486">
        <v>83458352</v>
      </c>
      <c r="G18486">
        <v>83458365</v>
      </c>
      <c r="H18486">
        <v>83458352</v>
      </c>
      <c r="I18486">
        <v>83458365</v>
      </c>
    </row>
    <row r="18487" spans="1:9" x14ac:dyDescent="0.2">
      <c r="A18487" t="str">
        <f>"Scp2"</f>
        <v>Scp2</v>
      </c>
      <c r="B18487" t="s">
        <v>5731</v>
      </c>
      <c r="C18487" t="s">
        <v>23</v>
      </c>
      <c r="D18487" t="s">
        <v>11</v>
      </c>
      <c r="E18487" t="s">
        <v>35</v>
      </c>
      <c r="F18487">
        <v>108118610</v>
      </c>
      <c r="G18487">
        <v>108118611</v>
      </c>
      <c r="H18487">
        <v>108118470</v>
      </c>
      <c r="I18487">
        <v>108118498</v>
      </c>
    </row>
    <row r="18488" spans="1:9" x14ac:dyDescent="0.2">
      <c r="A18488" t="str">
        <f>"Scp2d1"</f>
        <v>Scp2d1</v>
      </c>
      <c r="B18488" t="s">
        <v>14</v>
      </c>
      <c r="C18488" t="s">
        <v>26</v>
      </c>
      <c r="D18488" t="s">
        <v>17</v>
      </c>
      <c r="E18488" t="s">
        <v>67</v>
      </c>
      <c r="F18488">
        <v>144823733</v>
      </c>
      <c r="G18488">
        <v>144823769</v>
      </c>
      <c r="H18488">
        <v>144823733</v>
      </c>
      <c r="I18488">
        <v>144823769</v>
      </c>
    </row>
    <row r="18489" spans="1:9" x14ac:dyDescent="0.2">
      <c r="A18489" t="str">
        <f>"Scpep1"</f>
        <v>Scpep1</v>
      </c>
      <c r="B18489" t="s">
        <v>14</v>
      </c>
      <c r="C18489" t="s">
        <v>27</v>
      </c>
      <c r="D18489" t="s">
        <v>11</v>
      </c>
      <c r="E18489" t="s">
        <v>12</v>
      </c>
      <c r="F18489">
        <v>88955366</v>
      </c>
      <c r="G18489">
        <v>88955447</v>
      </c>
      <c r="H18489">
        <v>88955366</v>
      </c>
      <c r="I18489">
        <v>88955447</v>
      </c>
    </row>
    <row r="18490" spans="1:9" x14ac:dyDescent="0.2">
      <c r="A18490" t="str">
        <f>"Scrg1"</f>
        <v>Scrg1</v>
      </c>
      <c r="B18490" t="s">
        <v>14</v>
      </c>
      <c r="C18490" t="s">
        <v>30</v>
      </c>
      <c r="D18490" t="s">
        <v>17</v>
      </c>
      <c r="E18490" t="s">
        <v>12</v>
      </c>
      <c r="F18490">
        <v>57456040</v>
      </c>
      <c r="G18490">
        <v>57456084</v>
      </c>
      <c r="H18490">
        <v>57456002</v>
      </c>
      <c r="I18490">
        <v>57456018</v>
      </c>
    </row>
    <row r="18491" spans="1:9" x14ac:dyDescent="0.2">
      <c r="A18491" t="str">
        <f>"Scrib"</f>
        <v>Scrib</v>
      </c>
      <c r="B18491" t="s">
        <v>14</v>
      </c>
      <c r="C18491" t="s">
        <v>25</v>
      </c>
      <c r="D18491" t="s">
        <v>11</v>
      </c>
      <c r="E18491" t="s">
        <v>12</v>
      </c>
      <c r="F18491">
        <v>76069681</v>
      </c>
      <c r="G18491">
        <v>76069759</v>
      </c>
      <c r="H18491">
        <v>76069760</v>
      </c>
      <c r="I18491">
        <v>76069777</v>
      </c>
    </row>
    <row r="18492" spans="1:9" x14ac:dyDescent="0.2">
      <c r="A18492" t="str">
        <f>"Scrn1"</f>
        <v>Scrn1</v>
      </c>
      <c r="B18492" t="s">
        <v>14</v>
      </c>
      <c r="C18492" t="s">
        <v>32</v>
      </c>
      <c r="D18492" t="s">
        <v>11</v>
      </c>
      <c r="E18492" t="s">
        <v>12</v>
      </c>
      <c r="F18492">
        <v>54566326</v>
      </c>
      <c r="G18492">
        <v>54566413</v>
      </c>
      <c r="H18492">
        <v>54566460</v>
      </c>
      <c r="I18492">
        <v>54566483</v>
      </c>
    </row>
    <row r="18493" spans="1:9" x14ac:dyDescent="0.2">
      <c r="A18493" t="str">
        <f>"Scrn2"</f>
        <v>Scrn2</v>
      </c>
      <c r="B18493" t="s">
        <v>14</v>
      </c>
      <c r="C18493" t="s">
        <v>27</v>
      </c>
      <c r="D18493" t="s">
        <v>17</v>
      </c>
      <c r="E18493" t="s">
        <v>12</v>
      </c>
      <c r="F18493">
        <v>97029925</v>
      </c>
      <c r="G18493">
        <v>97029997</v>
      </c>
      <c r="H18493">
        <v>97030130</v>
      </c>
      <c r="I18493">
        <v>97030173</v>
      </c>
    </row>
    <row r="18494" spans="1:9" x14ac:dyDescent="0.2">
      <c r="A18494" t="str">
        <f>"Scrn3"</f>
        <v>Scrn3</v>
      </c>
      <c r="B18494" t="s">
        <v>14</v>
      </c>
      <c r="C18494" t="s">
        <v>26</v>
      </c>
      <c r="D18494" t="s">
        <v>17</v>
      </c>
      <c r="E18494" t="s">
        <v>12</v>
      </c>
      <c r="F18494">
        <v>73312633</v>
      </c>
      <c r="G18494">
        <v>73312665</v>
      </c>
      <c r="H18494">
        <v>73312673</v>
      </c>
      <c r="I18494">
        <v>73312688</v>
      </c>
    </row>
    <row r="18495" spans="1:9" x14ac:dyDescent="0.2">
      <c r="A18495" t="str">
        <f>"Scrt1"</f>
        <v>Scrt1</v>
      </c>
      <c r="B18495" t="s">
        <v>14</v>
      </c>
      <c r="C18495" t="s">
        <v>25</v>
      </c>
      <c r="D18495" t="s">
        <v>11</v>
      </c>
      <c r="E18495" t="s">
        <v>12</v>
      </c>
      <c r="F18495">
        <v>76522402</v>
      </c>
      <c r="G18495">
        <v>76522470</v>
      </c>
      <c r="H18495">
        <v>76522402</v>
      </c>
      <c r="I18495">
        <v>76522470</v>
      </c>
    </row>
    <row r="18496" spans="1:9" x14ac:dyDescent="0.2">
      <c r="A18496" t="str">
        <f>"Scrt2"</f>
        <v>Scrt2</v>
      </c>
      <c r="B18496" t="s">
        <v>14</v>
      </c>
      <c r="C18496" t="s">
        <v>26</v>
      </c>
      <c r="D18496" t="s">
        <v>17</v>
      </c>
      <c r="E18496" t="s">
        <v>12</v>
      </c>
      <c r="F18496">
        <v>152081810</v>
      </c>
      <c r="G18496">
        <v>152081825</v>
      </c>
      <c r="H18496">
        <v>152081602</v>
      </c>
      <c r="I18496">
        <v>152081624</v>
      </c>
    </row>
    <row r="18497" spans="1:9" x14ac:dyDescent="0.2">
      <c r="A18497" t="str">
        <f>"Sct"</f>
        <v>Sct</v>
      </c>
      <c r="B18497" t="s">
        <v>14</v>
      </c>
      <c r="C18497" t="s">
        <v>33</v>
      </c>
      <c r="D18497" t="s">
        <v>11</v>
      </c>
      <c r="E18497" t="s">
        <v>12</v>
      </c>
      <c r="F18497">
        <v>141279121</v>
      </c>
      <c r="G18497">
        <v>141279139</v>
      </c>
      <c r="H18497">
        <v>141279121</v>
      </c>
      <c r="I18497">
        <v>141279139</v>
      </c>
    </row>
    <row r="18498" spans="1:9" x14ac:dyDescent="0.2">
      <c r="A18498" t="str">
        <f>"Sctr"</f>
        <v>Sctr</v>
      </c>
      <c r="B18498" t="s">
        <v>14</v>
      </c>
      <c r="C18498" t="s">
        <v>19</v>
      </c>
      <c r="D18498" t="s">
        <v>17</v>
      </c>
      <c r="E18498" t="s">
        <v>12</v>
      </c>
      <c r="F18498">
        <v>120007045</v>
      </c>
      <c r="G18498">
        <v>120007059</v>
      </c>
      <c r="H18498">
        <v>120007013</v>
      </c>
      <c r="I18498">
        <v>120007028</v>
      </c>
    </row>
    <row r="18499" spans="1:9" x14ac:dyDescent="0.2">
      <c r="A18499" t="str">
        <f>"Scube1"</f>
        <v>Scube1</v>
      </c>
      <c r="B18499" t="s">
        <v>14</v>
      </c>
      <c r="C18499" t="s">
        <v>25</v>
      </c>
      <c r="D18499" t="s">
        <v>11</v>
      </c>
      <c r="E18499" t="s">
        <v>12</v>
      </c>
      <c r="F18499">
        <v>83724979</v>
      </c>
      <c r="G18499">
        <v>83725044</v>
      </c>
      <c r="H18499">
        <v>83724898</v>
      </c>
      <c r="I18499">
        <v>83724899</v>
      </c>
    </row>
    <row r="18500" spans="1:9" x14ac:dyDescent="0.2">
      <c r="A18500" t="str">
        <f>"Scube2"</f>
        <v>Scube2</v>
      </c>
      <c r="B18500" t="s">
        <v>14</v>
      </c>
      <c r="C18500" t="s">
        <v>33</v>
      </c>
      <c r="D18500" t="s">
        <v>11</v>
      </c>
      <c r="E18500" t="s">
        <v>12</v>
      </c>
      <c r="F18500">
        <v>109865637</v>
      </c>
      <c r="G18500">
        <v>109865652</v>
      </c>
      <c r="H18500">
        <v>109865637</v>
      </c>
      <c r="I18500">
        <v>109865652</v>
      </c>
    </row>
    <row r="18501" spans="1:9" x14ac:dyDescent="0.2">
      <c r="A18501" t="str">
        <f>"Scube3"</f>
        <v>Scube3</v>
      </c>
      <c r="B18501" t="s">
        <v>14</v>
      </c>
      <c r="C18501" t="s">
        <v>28</v>
      </c>
      <c r="D18501" t="s">
        <v>17</v>
      </c>
      <c r="E18501" t="s">
        <v>12</v>
      </c>
      <c r="F18501">
        <v>28142267</v>
      </c>
      <c r="G18501">
        <v>28142321</v>
      </c>
      <c r="H18501">
        <v>28142182</v>
      </c>
      <c r="I18501">
        <v>28142193</v>
      </c>
    </row>
    <row r="18502" spans="1:9" x14ac:dyDescent="0.2">
      <c r="A18502" t="str">
        <f>"Scx"</f>
        <v>Scx</v>
      </c>
      <c r="B18502" t="s">
        <v>14</v>
      </c>
      <c r="C18502" t="s">
        <v>25</v>
      </c>
      <c r="D18502" t="s">
        <v>17</v>
      </c>
      <c r="E18502" t="s">
        <v>12</v>
      </c>
      <c r="F18502">
        <v>76457446</v>
      </c>
      <c r="G18502">
        <v>76457464</v>
      </c>
      <c r="H18502">
        <v>76457571</v>
      </c>
      <c r="I18502">
        <v>76457607</v>
      </c>
    </row>
    <row r="18503" spans="1:9" x14ac:dyDescent="0.2">
      <c r="A18503" t="str">
        <f>"Scyl1"</f>
        <v>Scyl1</v>
      </c>
      <c r="B18503" t="s">
        <v>14</v>
      </c>
      <c r="C18503" t="s">
        <v>10</v>
      </c>
      <c r="D18503" t="s">
        <v>11</v>
      </c>
      <c r="E18503" t="s">
        <v>12</v>
      </c>
      <c r="F18503">
        <v>5771376</v>
      </c>
      <c r="G18503">
        <v>5771408</v>
      </c>
      <c r="H18503">
        <v>5771343</v>
      </c>
      <c r="I18503">
        <v>5771371</v>
      </c>
    </row>
    <row r="18504" spans="1:9" x14ac:dyDescent="0.2">
      <c r="A18504" t="str">
        <f>"Scyl2"</f>
        <v>Scyl2</v>
      </c>
      <c r="B18504" t="s">
        <v>14</v>
      </c>
      <c r="C18504" t="s">
        <v>15</v>
      </c>
      <c r="D18504" t="s">
        <v>11</v>
      </c>
      <c r="E18504" t="s">
        <v>12</v>
      </c>
      <c r="F18504">
        <v>89686250</v>
      </c>
      <c r="G18504">
        <v>89686306</v>
      </c>
      <c r="H18504">
        <v>89686219</v>
      </c>
      <c r="I18504">
        <v>89686244</v>
      </c>
    </row>
    <row r="18505" spans="1:9" x14ac:dyDescent="0.2">
      <c r="A18505" t="str">
        <f>"Scyl3"</f>
        <v>Scyl3</v>
      </c>
      <c r="B18505" t="s">
        <v>14</v>
      </c>
      <c r="C18505" t="s">
        <v>19</v>
      </c>
      <c r="D18505" t="s">
        <v>17</v>
      </c>
      <c r="E18505" t="s">
        <v>12</v>
      </c>
      <c r="F18505">
        <v>163930005</v>
      </c>
      <c r="G18505">
        <v>163930077</v>
      </c>
      <c r="H18505">
        <v>163929778</v>
      </c>
      <c r="I18505">
        <v>163929809</v>
      </c>
    </row>
    <row r="18506" spans="1:9" x14ac:dyDescent="0.2">
      <c r="A18506" t="str">
        <f>"Sdad1"</f>
        <v>Sdad1</v>
      </c>
      <c r="B18506" t="s">
        <v>14</v>
      </c>
      <c r="C18506" t="s">
        <v>46</v>
      </c>
      <c r="D18506" t="s">
        <v>11</v>
      </c>
      <c r="E18506" t="s">
        <v>12</v>
      </c>
      <c r="F18506">
        <v>92309948</v>
      </c>
      <c r="G18506">
        <v>92310000</v>
      </c>
      <c r="H18506">
        <v>92310003</v>
      </c>
      <c r="I18506">
        <v>92310016</v>
      </c>
    </row>
    <row r="18507" spans="1:9" x14ac:dyDescent="0.2">
      <c r="A18507" t="str">
        <f>"Sdc1"</f>
        <v>Sdc1</v>
      </c>
      <c r="B18507" t="s">
        <v>14</v>
      </c>
      <c r="C18507" t="s">
        <v>16</v>
      </c>
      <c r="D18507" t="s">
        <v>17</v>
      </c>
      <c r="E18507" t="s">
        <v>12</v>
      </c>
      <c r="F18507">
        <v>8771405</v>
      </c>
      <c r="G18507">
        <v>8771425</v>
      </c>
      <c r="H18507">
        <v>8771345</v>
      </c>
      <c r="I18507">
        <v>8771361</v>
      </c>
    </row>
    <row r="18508" spans="1:9" x14ac:dyDescent="0.2">
      <c r="A18508" t="str">
        <f>"Sdc2"</f>
        <v>Sdc2</v>
      </c>
      <c r="B18508" t="s">
        <v>14</v>
      </c>
      <c r="C18508" t="s">
        <v>25</v>
      </c>
      <c r="D18508" t="s">
        <v>17</v>
      </c>
      <c r="E18508" t="s">
        <v>12</v>
      </c>
      <c r="F18508">
        <v>32920782</v>
      </c>
      <c r="G18508">
        <v>32920826</v>
      </c>
      <c r="H18508">
        <v>32920782</v>
      </c>
      <c r="I18508">
        <v>32920826</v>
      </c>
    </row>
    <row r="18509" spans="1:9" x14ac:dyDescent="0.2">
      <c r="A18509" t="str">
        <f>"Sdc3"</f>
        <v>Sdc3</v>
      </c>
      <c r="B18509" t="s">
        <v>14</v>
      </c>
      <c r="C18509" t="s">
        <v>23</v>
      </c>
      <c r="D18509" t="s">
        <v>17</v>
      </c>
      <c r="E18509" t="s">
        <v>12</v>
      </c>
      <c r="F18509">
        <v>130792513</v>
      </c>
      <c r="G18509">
        <v>130792667</v>
      </c>
      <c r="H18509">
        <v>130792480</v>
      </c>
      <c r="I18509">
        <v>130792508</v>
      </c>
    </row>
    <row r="18510" spans="1:9" x14ac:dyDescent="0.2">
      <c r="A18510" t="str">
        <f>"Sdc4"</f>
        <v>Sdc4</v>
      </c>
      <c r="B18510" t="s">
        <v>14</v>
      </c>
      <c r="C18510" t="s">
        <v>26</v>
      </c>
      <c r="D18510" t="s">
        <v>11</v>
      </c>
      <c r="E18510" t="s">
        <v>12</v>
      </c>
      <c r="F18510">
        <v>164443177</v>
      </c>
      <c r="G18510">
        <v>164443194</v>
      </c>
      <c r="H18510">
        <v>164443296</v>
      </c>
      <c r="I18510">
        <v>164443341</v>
      </c>
    </row>
    <row r="18511" spans="1:9" x14ac:dyDescent="0.2">
      <c r="A18511" t="str">
        <f>"Sdcbp"</f>
        <v>Sdcbp</v>
      </c>
      <c r="B18511" t="s">
        <v>14</v>
      </c>
      <c r="C18511" t="s">
        <v>23</v>
      </c>
      <c r="D18511" t="s">
        <v>17</v>
      </c>
      <c r="E18511" t="s">
        <v>12</v>
      </c>
      <c r="F18511">
        <v>6365696</v>
      </c>
      <c r="G18511">
        <v>6365720</v>
      </c>
      <c r="H18511">
        <v>6365726</v>
      </c>
      <c r="I18511">
        <v>6365737</v>
      </c>
    </row>
    <row r="18512" spans="1:9" x14ac:dyDescent="0.2">
      <c r="A18512" t="str">
        <f>"Sdcbp2"</f>
        <v>Sdcbp2</v>
      </c>
      <c r="B18512" t="s">
        <v>14</v>
      </c>
      <c r="C18512" t="s">
        <v>26</v>
      </c>
      <c r="D18512" t="s">
        <v>17</v>
      </c>
      <c r="E18512" t="s">
        <v>12</v>
      </c>
      <c r="F18512">
        <v>151572628</v>
      </c>
      <c r="G18512">
        <v>151572673</v>
      </c>
      <c r="H18512">
        <v>151572606</v>
      </c>
      <c r="I18512">
        <v>151572627</v>
      </c>
    </row>
    <row r="18513" spans="1:9" x14ac:dyDescent="0.2">
      <c r="A18513" t="str">
        <f>"Sdccag3"</f>
        <v>Sdccag3</v>
      </c>
      <c r="B18513" t="s">
        <v>14</v>
      </c>
      <c r="C18513" t="s">
        <v>26</v>
      </c>
      <c r="D18513" t="s">
        <v>11</v>
      </c>
      <c r="E18513" t="s">
        <v>12</v>
      </c>
      <c r="F18513">
        <v>26389267</v>
      </c>
      <c r="G18513">
        <v>26389323</v>
      </c>
      <c r="H18513">
        <v>26389267</v>
      </c>
      <c r="I18513">
        <v>26389323</v>
      </c>
    </row>
    <row r="18514" spans="1:9" x14ac:dyDescent="0.2">
      <c r="A18514" t="str">
        <f>"Sdccag8"</f>
        <v>Sdccag8</v>
      </c>
      <c r="B18514" t="s">
        <v>14</v>
      </c>
      <c r="C18514" t="s">
        <v>19</v>
      </c>
      <c r="D18514" t="s">
        <v>17</v>
      </c>
      <c r="E18514" t="s">
        <v>12</v>
      </c>
      <c r="F18514">
        <v>176814852</v>
      </c>
      <c r="G18514">
        <v>176814910</v>
      </c>
      <c r="H18514">
        <v>176814852</v>
      </c>
      <c r="I18514">
        <v>176814910</v>
      </c>
    </row>
    <row r="18515" spans="1:9" x14ac:dyDescent="0.2">
      <c r="A18515" t="str">
        <f>"Sde2"</f>
        <v>Sde2</v>
      </c>
      <c r="B18515" t="s">
        <v>14</v>
      </c>
      <c r="C18515" t="s">
        <v>19</v>
      </c>
      <c r="D18515" t="s">
        <v>17</v>
      </c>
      <c r="E18515" t="s">
        <v>67</v>
      </c>
      <c r="F18515">
        <v>180851131</v>
      </c>
      <c r="G18515">
        <v>180851172</v>
      </c>
      <c r="H18515">
        <v>180851113</v>
      </c>
      <c r="I18515">
        <v>180851130</v>
      </c>
    </row>
    <row r="18516" spans="1:9" x14ac:dyDescent="0.2">
      <c r="A18516" t="str">
        <f>"Sdf2"</f>
        <v>Sdf2</v>
      </c>
      <c r="B18516" t="s">
        <v>14</v>
      </c>
      <c r="C18516" t="s">
        <v>27</v>
      </c>
      <c r="D18516" t="s">
        <v>17</v>
      </c>
      <c r="E18516" t="s">
        <v>12</v>
      </c>
      <c r="F18516">
        <v>78245983</v>
      </c>
      <c r="G18516">
        <v>78246011</v>
      </c>
      <c r="H18516">
        <v>78245743</v>
      </c>
      <c r="I18516">
        <v>78245821</v>
      </c>
    </row>
    <row r="18517" spans="1:9" x14ac:dyDescent="0.2">
      <c r="A18517" t="str">
        <f>"Sdf2l1"</f>
        <v>Sdf2l1</v>
      </c>
      <c r="B18517" t="s">
        <v>14</v>
      </c>
      <c r="C18517" t="s">
        <v>31</v>
      </c>
      <c r="D18517" t="s">
        <v>11</v>
      </c>
      <c r="E18517" t="s">
        <v>12</v>
      </c>
      <c r="F18517">
        <v>17132325</v>
      </c>
      <c r="G18517">
        <v>17132367</v>
      </c>
      <c r="H18517">
        <v>17132377</v>
      </c>
      <c r="I18517">
        <v>17132388</v>
      </c>
    </row>
    <row r="18518" spans="1:9" x14ac:dyDescent="0.2">
      <c r="A18518" t="str">
        <f>"Sdf4"</f>
        <v>Sdf4</v>
      </c>
      <c r="B18518" t="s">
        <v>14</v>
      </c>
      <c r="C18518" t="s">
        <v>23</v>
      </c>
      <c r="D18518" t="s">
        <v>17</v>
      </c>
      <c r="E18518" t="s">
        <v>12</v>
      </c>
      <c r="F18518">
        <v>155993230</v>
      </c>
      <c r="G18518">
        <v>155993296</v>
      </c>
      <c r="H18518">
        <v>155993143</v>
      </c>
      <c r="I18518">
        <v>155993187</v>
      </c>
    </row>
    <row r="18519" spans="1:9" x14ac:dyDescent="0.2">
      <c r="A18519" t="str">
        <f>"Sdha"</f>
        <v>Sdha</v>
      </c>
      <c r="B18519" t="s">
        <v>14</v>
      </c>
      <c r="C18519" t="s">
        <v>39</v>
      </c>
      <c r="D18519" t="s">
        <v>11</v>
      </c>
      <c r="E18519" t="s">
        <v>12</v>
      </c>
      <c r="F18519">
        <v>74350206</v>
      </c>
      <c r="G18519">
        <v>74350247</v>
      </c>
      <c r="H18519">
        <v>74350206</v>
      </c>
      <c r="I18519">
        <v>74350247</v>
      </c>
    </row>
    <row r="18520" spans="1:9" x14ac:dyDescent="0.2">
      <c r="A18520" t="str">
        <f>"Sdhaf1"</f>
        <v>Sdhaf1</v>
      </c>
      <c r="B18520" t="s">
        <v>14</v>
      </c>
      <c r="C18520" t="s">
        <v>33</v>
      </c>
      <c r="D18520" t="s">
        <v>11</v>
      </c>
      <c r="E18520" t="s">
        <v>12</v>
      </c>
      <c r="F18520">
        <v>30322293</v>
      </c>
      <c r="G18520">
        <v>30322370</v>
      </c>
      <c r="H18520">
        <v>30322378</v>
      </c>
      <c r="I18520">
        <v>30322392</v>
      </c>
    </row>
    <row r="18521" spans="1:9" x14ac:dyDescent="0.2">
      <c r="A18521" t="str">
        <f>"Sdhaf2"</f>
        <v>Sdhaf2</v>
      </c>
      <c r="B18521" t="s">
        <v>14</v>
      </c>
      <c r="C18521" t="s">
        <v>10</v>
      </c>
      <c r="D18521" t="s">
        <v>11</v>
      </c>
      <c r="E18521" t="s">
        <v>12</v>
      </c>
      <c r="F18521">
        <v>10525104</v>
      </c>
      <c r="G18521">
        <v>10525150</v>
      </c>
      <c r="H18521">
        <v>10525151</v>
      </c>
      <c r="I18521">
        <v>10525181</v>
      </c>
    </row>
    <row r="18522" spans="1:9" x14ac:dyDescent="0.2">
      <c r="A18522" t="str">
        <f>"Sdhb"</f>
        <v>Sdhb</v>
      </c>
      <c r="B18522" t="s">
        <v>14</v>
      </c>
      <c r="C18522" t="s">
        <v>23</v>
      </c>
      <c r="D18522" t="s">
        <v>17</v>
      </c>
      <c r="E18522" t="s">
        <v>12</v>
      </c>
      <c r="F18522">
        <v>140961372</v>
      </c>
      <c r="G18522">
        <v>140961402</v>
      </c>
      <c r="H18522">
        <v>140961404</v>
      </c>
      <c r="I18522">
        <v>140961415</v>
      </c>
    </row>
    <row r="18523" spans="1:9" x14ac:dyDescent="0.2">
      <c r="A18523" t="str">
        <f>"Sdhc"</f>
        <v>Sdhc</v>
      </c>
      <c r="B18523" t="s">
        <v>14</v>
      </c>
      <c r="C18523" t="s">
        <v>19</v>
      </c>
      <c r="D18523" t="s">
        <v>11</v>
      </c>
      <c r="E18523" t="s">
        <v>12</v>
      </c>
      <c r="F18523">
        <v>171150592</v>
      </c>
      <c r="G18523">
        <v>171150609</v>
      </c>
      <c r="H18523">
        <v>171150592</v>
      </c>
      <c r="I18523">
        <v>171150609</v>
      </c>
    </row>
    <row r="18524" spans="1:9" x14ac:dyDescent="0.2">
      <c r="A18524" t="str">
        <f>"Sdhd"</f>
        <v>Sdhd</v>
      </c>
      <c r="B18524" t="s">
        <v>14</v>
      </c>
      <c r="C18524" t="s">
        <v>24</v>
      </c>
      <c r="D18524" t="s">
        <v>11</v>
      </c>
      <c r="E18524" t="s">
        <v>12</v>
      </c>
      <c r="F18524">
        <v>50603792</v>
      </c>
      <c r="G18524">
        <v>50603824</v>
      </c>
      <c r="H18524">
        <v>50603894</v>
      </c>
      <c r="I18524">
        <v>50603918</v>
      </c>
    </row>
    <row r="18525" spans="1:9" x14ac:dyDescent="0.2">
      <c r="A18525" t="str">
        <f>"Sdk1"</f>
        <v>Sdk1</v>
      </c>
      <c r="B18525" t="s">
        <v>14</v>
      </c>
      <c r="C18525" t="s">
        <v>46</v>
      </c>
      <c r="D18525" t="s">
        <v>17</v>
      </c>
      <c r="E18525" t="s">
        <v>12</v>
      </c>
      <c r="F18525">
        <v>141241554</v>
      </c>
      <c r="G18525">
        <v>141241569</v>
      </c>
      <c r="H18525">
        <v>141241629</v>
      </c>
      <c r="I18525">
        <v>141241643</v>
      </c>
    </row>
    <row r="18526" spans="1:9" x14ac:dyDescent="0.2">
      <c r="A18526" t="str">
        <f>"Sdk2"</f>
        <v>Sdk2</v>
      </c>
      <c r="B18526" t="s">
        <v>14</v>
      </c>
      <c r="C18526" t="s">
        <v>27</v>
      </c>
      <c r="D18526" t="s">
        <v>11</v>
      </c>
      <c r="E18526" t="s">
        <v>12</v>
      </c>
      <c r="F18526">
        <v>114066986</v>
      </c>
      <c r="G18526">
        <v>114067064</v>
      </c>
      <c r="H18526">
        <v>114066174</v>
      </c>
      <c r="I18526">
        <v>114066188</v>
      </c>
    </row>
    <row r="18527" spans="1:9" x14ac:dyDescent="0.2">
      <c r="A18527" t="str">
        <f>"Sdpr"</f>
        <v>Sdpr</v>
      </c>
      <c r="B18527" t="s">
        <v>14</v>
      </c>
      <c r="C18527" t="s">
        <v>19</v>
      </c>
      <c r="D18527" t="s">
        <v>17</v>
      </c>
      <c r="E18527" t="s">
        <v>12</v>
      </c>
      <c r="F18527">
        <v>51289245</v>
      </c>
      <c r="G18527">
        <v>51289279</v>
      </c>
      <c r="H18527">
        <v>51289245</v>
      </c>
      <c r="I18527">
        <v>51289279</v>
      </c>
    </row>
    <row r="18528" spans="1:9" x14ac:dyDescent="0.2">
      <c r="A18528" t="str">
        <f>"Sdr16c5"</f>
        <v>Sdr16c5</v>
      </c>
      <c r="B18528" t="s">
        <v>14</v>
      </c>
      <c r="C18528" t="s">
        <v>23</v>
      </c>
      <c r="D18528" t="s">
        <v>11</v>
      </c>
      <c r="E18528" t="s">
        <v>12</v>
      </c>
      <c r="F18528">
        <v>4019508</v>
      </c>
      <c r="G18528">
        <v>4019562</v>
      </c>
      <c r="H18528">
        <v>4019628</v>
      </c>
      <c r="I18528">
        <v>4019659</v>
      </c>
    </row>
    <row r="18529" spans="1:9" x14ac:dyDescent="0.2">
      <c r="A18529" t="str">
        <f>"Sdr16c6"</f>
        <v>Sdr16c6</v>
      </c>
      <c r="B18529" t="s">
        <v>14</v>
      </c>
      <c r="C18529" t="s">
        <v>23</v>
      </c>
      <c r="D18529" t="s">
        <v>11</v>
      </c>
      <c r="E18529" t="s">
        <v>12</v>
      </c>
      <c r="F18529">
        <v>4077510</v>
      </c>
      <c r="G18529">
        <v>4077540</v>
      </c>
      <c r="H18529">
        <v>4077510</v>
      </c>
      <c r="I18529">
        <v>4077540</v>
      </c>
    </row>
    <row r="18530" spans="1:9" x14ac:dyDescent="0.2">
      <c r="A18530" t="str">
        <f>"Sdr39u1"</f>
        <v>Sdr39u1</v>
      </c>
      <c r="B18530" t="s">
        <v>14</v>
      </c>
      <c r="C18530" t="s">
        <v>41</v>
      </c>
      <c r="D18530" t="s">
        <v>11</v>
      </c>
      <c r="E18530" t="s">
        <v>12</v>
      </c>
      <c r="F18530">
        <v>55900188</v>
      </c>
      <c r="G18530">
        <v>55900235</v>
      </c>
      <c r="H18530">
        <v>55900292</v>
      </c>
      <c r="I18530">
        <v>55900299</v>
      </c>
    </row>
    <row r="18531" spans="1:9" x14ac:dyDescent="0.2">
      <c r="A18531" t="str">
        <f>"Sdr42e1"</f>
        <v>Sdr42e1</v>
      </c>
      <c r="B18531" t="s">
        <v>14</v>
      </c>
      <c r="C18531" t="s">
        <v>30</v>
      </c>
      <c r="D18531" t="s">
        <v>11</v>
      </c>
      <c r="E18531" t="s">
        <v>12</v>
      </c>
      <c r="F18531">
        <v>117673632</v>
      </c>
      <c r="G18531">
        <v>117673655</v>
      </c>
      <c r="H18531">
        <v>117673682</v>
      </c>
      <c r="I18531">
        <v>117673701</v>
      </c>
    </row>
    <row r="18532" spans="1:9" x14ac:dyDescent="0.2">
      <c r="A18532" t="str">
        <f>"Sdr9c7"</f>
        <v>Sdr9c7</v>
      </c>
      <c r="B18532" t="s">
        <v>9</v>
      </c>
      <c r="C18532" t="s">
        <v>15</v>
      </c>
      <c r="D18532" t="s">
        <v>17</v>
      </c>
      <c r="E18532" t="s">
        <v>12</v>
      </c>
      <c r="F18532">
        <v>127898515</v>
      </c>
      <c r="G18532">
        <v>127898532</v>
      </c>
      <c r="H18532">
        <v>127898515</v>
      </c>
      <c r="I18532">
        <v>127898532</v>
      </c>
    </row>
    <row r="18533" spans="1:9" x14ac:dyDescent="0.2">
      <c r="A18533" t="str">
        <f>"Sdr9c7"</f>
        <v>Sdr9c7</v>
      </c>
      <c r="B18533" t="s">
        <v>13</v>
      </c>
      <c r="C18533" t="s">
        <v>15</v>
      </c>
      <c r="D18533" t="s">
        <v>17</v>
      </c>
      <c r="E18533" t="s">
        <v>12</v>
      </c>
      <c r="F18533">
        <v>127902000</v>
      </c>
      <c r="G18533">
        <v>127902034</v>
      </c>
      <c r="H18533">
        <v>127902000</v>
      </c>
      <c r="I18533">
        <v>127902034</v>
      </c>
    </row>
    <row r="18534" spans="1:9" x14ac:dyDescent="0.2">
      <c r="A18534" t="str">
        <f>"Sds"</f>
        <v>Sds</v>
      </c>
      <c r="B18534" t="s">
        <v>14</v>
      </c>
      <c r="C18534" t="s">
        <v>46</v>
      </c>
      <c r="D18534" t="s">
        <v>17</v>
      </c>
      <c r="E18534" t="s">
        <v>12</v>
      </c>
      <c r="F18534">
        <v>120476522</v>
      </c>
      <c r="G18534">
        <v>120476538</v>
      </c>
      <c r="H18534">
        <v>120476522</v>
      </c>
      <c r="I18534">
        <v>120476538</v>
      </c>
    </row>
    <row r="18535" spans="1:9" x14ac:dyDescent="0.2">
      <c r="A18535" t="str">
        <f>"Sdsl"</f>
        <v>Sdsl</v>
      </c>
      <c r="B18535" t="s">
        <v>9</v>
      </c>
      <c r="C18535" t="s">
        <v>46</v>
      </c>
      <c r="D18535" t="s">
        <v>11</v>
      </c>
      <c r="E18535" t="s">
        <v>12</v>
      </c>
      <c r="F18535">
        <v>120467296</v>
      </c>
      <c r="G18535">
        <v>120467351</v>
      </c>
      <c r="H18535">
        <v>120467296</v>
      </c>
      <c r="I18535">
        <v>120467351</v>
      </c>
    </row>
    <row r="18536" spans="1:9" x14ac:dyDescent="0.2">
      <c r="A18536" t="str">
        <f>"Sdsl"</f>
        <v>Sdsl</v>
      </c>
      <c r="B18536" t="s">
        <v>13</v>
      </c>
      <c r="C18536" t="s">
        <v>46</v>
      </c>
      <c r="D18536" t="s">
        <v>11</v>
      </c>
      <c r="E18536" t="s">
        <v>12</v>
      </c>
      <c r="F18536">
        <v>120472817</v>
      </c>
      <c r="G18536">
        <v>120472830</v>
      </c>
      <c r="H18536">
        <v>120472817</v>
      </c>
      <c r="I18536">
        <v>120472830</v>
      </c>
    </row>
    <row r="18537" spans="1:9" x14ac:dyDescent="0.2">
      <c r="A18537" t="str">
        <f>"Sebox"</f>
        <v>Sebox</v>
      </c>
      <c r="B18537" t="s">
        <v>14</v>
      </c>
      <c r="C18537" t="s">
        <v>27</v>
      </c>
      <c r="D18537" t="s">
        <v>17</v>
      </c>
      <c r="E18537" t="s">
        <v>12</v>
      </c>
      <c r="F18537">
        <v>78503498</v>
      </c>
      <c r="G18537">
        <v>78503503</v>
      </c>
      <c r="H18537">
        <v>78503498</v>
      </c>
      <c r="I18537">
        <v>78503503</v>
      </c>
    </row>
    <row r="18538" spans="1:9" x14ac:dyDescent="0.2">
      <c r="A18538" t="str">
        <f>"Sec1"</f>
        <v>Sec1</v>
      </c>
      <c r="B18538" t="s">
        <v>14</v>
      </c>
      <c r="C18538" t="s">
        <v>33</v>
      </c>
      <c r="D18538" t="s">
        <v>11</v>
      </c>
      <c r="E18538" t="s">
        <v>12</v>
      </c>
      <c r="F18538">
        <v>45694369</v>
      </c>
      <c r="G18538">
        <v>45694406</v>
      </c>
      <c r="H18538">
        <v>45694185</v>
      </c>
      <c r="I18538">
        <v>45694194</v>
      </c>
    </row>
    <row r="18539" spans="1:9" x14ac:dyDescent="0.2">
      <c r="A18539" t="str">
        <f>"Sec11a"</f>
        <v>Sec11a</v>
      </c>
      <c r="B18539" t="s">
        <v>14</v>
      </c>
      <c r="C18539" t="s">
        <v>33</v>
      </c>
      <c r="D18539" t="s">
        <v>11</v>
      </c>
      <c r="E18539" t="s">
        <v>12</v>
      </c>
      <c r="F18539">
        <v>80947499</v>
      </c>
      <c r="G18539">
        <v>80947579</v>
      </c>
      <c r="H18539">
        <v>80947736</v>
      </c>
      <c r="I18539">
        <v>80947764</v>
      </c>
    </row>
    <row r="18540" spans="1:9" x14ac:dyDescent="0.2">
      <c r="A18540" t="str">
        <f>"Sec11c"</f>
        <v>Sec11c</v>
      </c>
      <c r="B18540" t="s">
        <v>14</v>
      </c>
      <c r="C18540" t="s">
        <v>43</v>
      </c>
      <c r="D18540" t="s">
        <v>17</v>
      </c>
      <c r="E18540" t="s">
        <v>12</v>
      </c>
      <c r="F18540">
        <v>65800543</v>
      </c>
      <c r="G18540">
        <v>65800599</v>
      </c>
      <c r="H18540">
        <v>65800607</v>
      </c>
      <c r="I18540">
        <v>65800618</v>
      </c>
    </row>
    <row r="18541" spans="1:9" x14ac:dyDescent="0.2">
      <c r="A18541" t="str">
        <f>"Sec13"</f>
        <v>Sec13</v>
      </c>
      <c r="B18541" t="s">
        <v>14</v>
      </c>
      <c r="C18541" t="s">
        <v>32</v>
      </c>
      <c r="D18541" t="s">
        <v>11</v>
      </c>
      <c r="E18541" t="s">
        <v>12</v>
      </c>
      <c r="F18541">
        <v>113740675</v>
      </c>
      <c r="G18541">
        <v>113740708</v>
      </c>
      <c r="H18541">
        <v>113740789</v>
      </c>
      <c r="I18541">
        <v>113740790</v>
      </c>
    </row>
    <row r="18542" spans="1:9" x14ac:dyDescent="0.2">
      <c r="A18542" t="str">
        <f>"Sec14l1"</f>
        <v>Sec14l1</v>
      </c>
      <c r="B18542" t="s">
        <v>14</v>
      </c>
      <c r="C18542" t="s">
        <v>27</v>
      </c>
      <c r="D18542" t="s">
        <v>17</v>
      </c>
      <c r="E18542" t="s">
        <v>12</v>
      </c>
      <c r="F18542">
        <v>117115195</v>
      </c>
      <c r="G18542">
        <v>117115257</v>
      </c>
      <c r="H18542">
        <v>117115133</v>
      </c>
      <c r="I18542">
        <v>117115186</v>
      </c>
    </row>
    <row r="18543" spans="1:9" x14ac:dyDescent="0.2">
      <c r="A18543" t="str">
        <f>"Sec14l2"</f>
        <v>Sec14l2</v>
      </c>
      <c r="B18543" t="s">
        <v>14</v>
      </c>
      <c r="C18543" t="s">
        <v>27</v>
      </c>
      <c r="D18543" t="s">
        <v>11</v>
      </c>
      <c r="E18543" t="s">
        <v>12</v>
      </c>
      <c r="F18543">
        <v>4118723</v>
      </c>
      <c r="G18543">
        <v>4118769</v>
      </c>
      <c r="H18543">
        <v>4118778</v>
      </c>
      <c r="I18543">
        <v>4118790</v>
      </c>
    </row>
    <row r="18544" spans="1:9" x14ac:dyDescent="0.2">
      <c r="A18544" t="str">
        <f>"Sec14l3"</f>
        <v>Sec14l3</v>
      </c>
      <c r="B18544" t="s">
        <v>14</v>
      </c>
      <c r="C18544" t="s">
        <v>27</v>
      </c>
      <c r="D18544" t="s">
        <v>17</v>
      </c>
      <c r="E18544" t="s">
        <v>12</v>
      </c>
      <c r="F18544">
        <v>4064881</v>
      </c>
      <c r="G18544">
        <v>4064898</v>
      </c>
      <c r="H18544">
        <v>4064909</v>
      </c>
      <c r="I18544">
        <v>4064927</v>
      </c>
    </row>
    <row r="18545" spans="1:9" x14ac:dyDescent="0.2">
      <c r="A18545" t="str">
        <f>"Sec14l4"</f>
        <v>Sec14l4</v>
      </c>
      <c r="B18545" t="s">
        <v>14</v>
      </c>
      <c r="C18545" t="s">
        <v>27</v>
      </c>
      <c r="D18545" t="s">
        <v>17</v>
      </c>
      <c r="E18545" t="s">
        <v>12</v>
      </c>
      <c r="F18545">
        <v>4031770</v>
      </c>
      <c r="G18545">
        <v>4031833</v>
      </c>
      <c r="H18545">
        <v>4031457</v>
      </c>
      <c r="I18545">
        <v>4031498</v>
      </c>
    </row>
    <row r="18546" spans="1:9" x14ac:dyDescent="0.2">
      <c r="A18546" t="str">
        <f>"Sec14l5"</f>
        <v>Sec14l5</v>
      </c>
      <c r="B18546" t="s">
        <v>14</v>
      </c>
      <c r="C18546" t="s">
        <v>31</v>
      </c>
      <c r="D18546" t="s">
        <v>17</v>
      </c>
      <c r="E18546" t="s">
        <v>12</v>
      </c>
      <c r="F18546">
        <v>5146960</v>
      </c>
      <c r="G18546">
        <v>5146981</v>
      </c>
      <c r="H18546">
        <v>5146960</v>
      </c>
      <c r="I18546">
        <v>5146981</v>
      </c>
    </row>
    <row r="18547" spans="1:9" x14ac:dyDescent="0.2">
      <c r="A18547" t="str">
        <f>"Sec16a"</f>
        <v>Sec16a</v>
      </c>
      <c r="B18547" t="s">
        <v>14</v>
      </c>
      <c r="C18547" t="s">
        <v>26</v>
      </c>
      <c r="D18547" t="s">
        <v>11</v>
      </c>
      <c r="E18547" t="s">
        <v>12</v>
      </c>
      <c r="F18547">
        <v>26445175</v>
      </c>
      <c r="G18547">
        <v>26445226</v>
      </c>
      <c r="H18547">
        <v>26445175</v>
      </c>
      <c r="I18547">
        <v>26445226</v>
      </c>
    </row>
    <row r="18548" spans="1:9" x14ac:dyDescent="0.2">
      <c r="A18548" t="str">
        <f>"Sec16b"</f>
        <v>Sec16b</v>
      </c>
      <c r="B18548" t="s">
        <v>9</v>
      </c>
      <c r="C18548" t="s">
        <v>19</v>
      </c>
      <c r="D18548" t="s">
        <v>17</v>
      </c>
      <c r="E18548" t="s">
        <v>12</v>
      </c>
      <c r="F18548">
        <v>157506777</v>
      </c>
      <c r="G18548">
        <v>157506811</v>
      </c>
      <c r="H18548">
        <v>157506777</v>
      </c>
      <c r="I18548">
        <v>157506811</v>
      </c>
    </row>
    <row r="18549" spans="1:9" x14ac:dyDescent="0.2">
      <c r="A18549" t="str">
        <f>"Sec16b"</f>
        <v>Sec16b</v>
      </c>
      <c r="B18549" t="s">
        <v>13</v>
      </c>
      <c r="C18549" t="s">
        <v>19</v>
      </c>
      <c r="D18549" t="s">
        <v>17</v>
      </c>
      <c r="E18549" t="s">
        <v>12</v>
      </c>
      <c r="F18549">
        <v>157526127</v>
      </c>
      <c r="G18549">
        <v>157526153</v>
      </c>
      <c r="H18549">
        <v>157526127</v>
      </c>
      <c r="I18549">
        <v>157526153</v>
      </c>
    </row>
    <row r="18550" spans="1:9" x14ac:dyDescent="0.2">
      <c r="A18550" t="str">
        <f>"Sec22a"</f>
        <v>Sec22a</v>
      </c>
      <c r="B18550" t="s">
        <v>14</v>
      </c>
      <c r="C18550" t="s">
        <v>31</v>
      </c>
      <c r="D18550" t="s">
        <v>11</v>
      </c>
      <c r="E18550" t="s">
        <v>12</v>
      </c>
      <c r="F18550">
        <v>35363842</v>
      </c>
      <c r="G18550">
        <v>35363891</v>
      </c>
      <c r="H18550">
        <v>35363796</v>
      </c>
      <c r="I18550">
        <v>35363805</v>
      </c>
    </row>
    <row r="18551" spans="1:9" x14ac:dyDescent="0.2">
      <c r="A18551" t="str">
        <f>"Sec22b"</f>
        <v>Sec22b</v>
      </c>
      <c r="B18551" t="s">
        <v>14</v>
      </c>
      <c r="C18551" t="s">
        <v>22</v>
      </c>
      <c r="D18551" t="s">
        <v>17</v>
      </c>
      <c r="E18551" t="s">
        <v>12</v>
      </c>
      <c r="F18551">
        <v>97901199</v>
      </c>
      <c r="G18551">
        <v>97901250</v>
      </c>
      <c r="H18551">
        <v>97901199</v>
      </c>
      <c r="I18551">
        <v>97901250</v>
      </c>
    </row>
    <row r="18552" spans="1:9" x14ac:dyDescent="0.2">
      <c r="A18552" t="str">
        <f>"Sec22c"</f>
        <v>Sec22c</v>
      </c>
      <c r="B18552" t="s">
        <v>14</v>
      </c>
      <c r="C18552" t="s">
        <v>24</v>
      </c>
      <c r="D18552" t="s">
        <v>11</v>
      </c>
      <c r="E18552" t="s">
        <v>12</v>
      </c>
      <c r="F18552">
        <v>121704996</v>
      </c>
      <c r="G18552">
        <v>121705041</v>
      </c>
      <c r="H18552">
        <v>121705296</v>
      </c>
      <c r="I18552">
        <v>121705322</v>
      </c>
    </row>
    <row r="18553" spans="1:9" x14ac:dyDescent="0.2">
      <c r="A18553" t="str">
        <f>"Sec23a"</f>
        <v>Sec23a</v>
      </c>
      <c r="B18553" t="s">
        <v>14</v>
      </c>
      <c r="C18553" t="s">
        <v>16</v>
      </c>
      <c r="D18553" t="s">
        <v>11</v>
      </c>
      <c r="E18553" t="s">
        <v>12</v>
      </c>
      <c r="F18553">
        <v>59011877</v>
      </c>
      <c r="G18553">
        <v>59011950</v>
      </c>
      <c r="H18553">
        <v>59011996</v>
      </c>
      <c r="I18553">
        <v>59012034</v>
      </c>
    </row>
    <row r="18554" spans="1:9" x14ac:dyDescent="0.2">
      <c r="A18554" t="str">
        <f>"Sec23b"</f>
        <v>Sec23b</v>
      </c>
      <c r="B18554" t="s">
        <v>14</v>
      </c>
      <c r="C18554" t="s">
        <v>26</v>
      </c>
      <c r="D18554" t="s">
        <v>17</v>
      </c>
      <c r="E18554" t="s">
        <v>12</v>
      </c>
      <c r="F18554">
        <v>144556235</v>
      </c>
      <c r="G18554">
        <v>144556298</v>
      </c>
      <c r="H18554">
        <v>144556306</v>
      </c>
      <c r="I18554">
        <v>144556323</v>
      </c>
    </row>
    <row r="18555" spans="1:9" x14ac:dyDescent="0.2">
      <c r="A18555" t="str">
        <f>"Sec23ip"</f>
        <v>Sec23ip</v>
      </c>
      <c r="B18555" t="s">
        <v>14</v>
      </c>
      <c r="C18555" t="s">
        <v>33</v>
      </c>
      <c r="D18555" t="s">
        <v>17</v>
      </c>
      <c r="E18555" t="s">
        <v>12</v>
      </c>
      <c r="F18555">
        <v>128744936</v>
      </c>
      <c r="G18555">
        <v>128745020</v>
      </c>
      <c r="H18555">
        <v>128744936</v>
      </c>
      <c r="I18555">
        <v>128745020</v>
      </c>
    </row>
    <row r="18556" spans="1:9" x14ac:dyDescent="0.2">
      <c r="A18556" t="str">
        <f>"Sec24a"</f>
        <v>Sec24a</v>
      </c>
      <c r="B18556" t="s">
        <v>14</v>
      </c>
      <c r="C18556" t="s">
        <v>27</v>
      </c>
      <c r="D18556" t="s">
        <v>11</v>
      </c>
      <c r="E18556" t="s">
        <v>12</v>
      </c>
      <c r="F18556">
        <v>51756378</v>
      </c>
      <c r="G18556">
        <v>51756493</v>
      </c>
      <c r="H18556">
        <v>51756378</v>
      </c>
      <c r="I18556">
        <v>51756493</v>
      </c>
    </row>
    <row r="18557" spans="1:9" x14ac:dyDescent="0.2">
      <c r="A18557" t="str">
        <f>"Sec24b"</f>
        <v>Sec24b</v>
      </c>
      <c r="B18557" t="s">
        <v>14</v>
      </c>
      <c r="C18557" t="s">
        <v>22</v>
      </c>
      <c r="D18557" t="s">
        <v>11</v>
      </c>
      <c r="E18557" t="s">
        <v>12</v>
      </c>
      <c r="F18557">
        <v>130060673</v>
      </c>
      <c r="G18557">
        <v>130060733</v>
      </c>
      <c r="H18557">
        <v>130060735</v>
      </c>
      <c r="I18557">
        <v>130060758</v>
      </c>
    </row>
    <row r="18558" spans="1:9" x14ac:dyDescent="0.2">
      <c r="A18558" t="str">
        <f>"Sec24c"</f>
        <v>Sec24c</v>
      </c>
      <c r="B18558" t="s">
        <v>14</v>
      </c>
      <c r="C18558" t="s">
        <v>41</v>
      </c>
      <c r="D18558" t="s">
        <v>17</v>
      </c>
      <c r="E18558" t="s">
        <v>12</v>
      </c>
      <c r="F18558">
        <v>20674311</v>
      </c>
      <c r="G18558">
        <v>20674371</v>
      </c>
      <c r="H18558">
        <v>20674298</v>
      </c>
      <c r="I18558">
        <v>20674307</v>
      </c>
    </row>
    <row r="18559" spans="1:9" x14ac:dyDescent="0.2">
      <c r="A18559" t="str">
        <f>"Sec24d"</f>
        <v>Sec24d</v>
      </c>
      <c r="B18559" t="s">
        <v>14</v>
      </c>
      <c r="C18559" t="s">
        <v>22</v>
      </c>
      <c r="D18559" t="s">
        <v>17</v>
      </c>
      <c r="E18559" t="s">
        <v>12</v>
      </c>
      <c r="F18559">
        <v>123267445</v>
      </c>
      <c r="G18559">
        <v>123267500</v>
      </c>
      <c r="H18559">
        <v>123267445</v>
      </c>
      <c r="I18559">
        <v>123267500</v>
      </c>
    </row>
    <row r="18560" spans="1:9" x14ac:dyDescent="0.2">
      <c r="A18560" t="str">
        <f>"Sec31a"</f>
        <v>Sec31a</v>
      </c>
      <c r="B18560" t="s">
        <v>14</v>
      </c>
      <c r="C18560" t="s">
        <v>46</v>
      </c>
      <c r="D18560" t="s">
        <v>11</v>
      </c>
      <c r="E18560" t="s">
        <v>12</v>
      </c>
      <c r="F18560">
        <v>100416115</v>
      </c>
      <c r="G18560">
        <v>100416282</v>
      </c>
      <c r="H18560">
        <v>100416085</v>
      </c>
      <c r="I18560">
        <v>100416109</v>
      </c>
    </row>
    <row r="18561" spans="1:9" x14ac:dyDescent="0.2">
      <c r="A18561" t="str">
        <f>"Sec31b"</f>
        <v>Sec31b</v>
      </c>
      <c r="B18561" t="s">
        <v>14</v>
      </c>
      <c r="C18561" t="s">
        <v>10</v>
      </c>
      <c r="D18561" t="s">
        <v>11</v>
      </c>
      <c r="E18561" t="s">
        <v>12</v>
      </c>
      <c r="F18561">
        <v>44545836</v>
      </c>
      <c r="G18561">
        <v>44545871</v>
      </c>
      <c r="H18561">
        <v>44545809</v>
      </c>
      <c r="I18561">
        <v>44545832</v>
      </c>
    </row>
    <row r="18562" spans="1:9" x14ac:dyDescent="0.2">
      <c r="A18562" t="str">
        <f>"Sec61a1"</f>
        <v>Sec61a1</v>
      </c>
      <c r="B18562" t="s">
        <v>14</v>
      </c>
      <c r="C18562" t="s">
        <v>32</v>
      </c>
      <c r="D18562" t="s">
        <v>11</v>
      </c>
      <c r="E18562" t="s">
        <v>12</v>
      </c>
      <c r="F18562">
        <v>88518760</v>
      </c>
      <c r="G18562">
        <v>88518880</v>
      </c>
      <c r="H18562">
        <v>88518735</v>
      </c>
      <c r="I18562">
        <v>88518757</v>
      </c>
    </row>
    <row r="18563" spans="1:9" x14ac:dyDescent="0.2">
      <c r="A18563" t="str">
        <f>"Sec61a2"</f>
        <v>Sec61a2</v>
      </c>
      <c r="B18563" t="s">
        <v>14</v>
      </c>
      <c r="C18563" t="s">
        <v>26</v>
      </c>
      <c r="D18563" t="s">
        <v>11</v>
      </c>
      <c r="E18563" t="s">
        <v>12</v>
      </c>
      <c r="F18563">
        <v>5895325</v>
      </c>
      <c r="G18563">
        <v>5895408</v>
      </c>
      <c r="H18563">
        <v>5895325</v>
      </c>
      <c r="I18563">
        <v>5895408</v>
      </c>
    </row>
    <row r="18564" spans="1:9" x14ac:dyDescent="0.2">
      <c r="A18564" t="str">
        <f>"Sec61b"</f>
        <v>Sec61b</v>
      </c>
      <c r="B18564" t="s">
        <v>14</v>
      </c>
      <c r="C18564" t="s">
        <v>23</v>
      </c>
      <c r="D18564" t="s">
        <v>17</v>
      </c>
      <c r="E18564" t="s">
        <v>12</v>
      </c>
      <c r="F18564">
        <v>47474652</v>
      </c>
      <c r="G18564">
        <v>47474707</v>
      </c>
      <c r="H18564">
        <v>47474652</v>
      </c>
      <c r="I18564">
        <v>47474707</v>
      </c>
    </row>
    <row r="18565" spans="1:9" x14ac:dyDescent="0.2">
      <c r="A18565" t="str">
        <f>"Sec61g"</f>
        <v>Sec61g</v>
      </c>
      <c r="B18565" t="s">
        <v>14</v>
      </c>
      <c r="C18565" t="s">
        <v>27</v>
      </c>
      <c r="D18565" t="s">
        <v>11</v>
      </c>
      <c r="E18565" t="s">
        <v>12</v>
      </c>
      <c r="F18565">
        <v>16508149</v>
      </c>
      <c r="G18565">
        <v>16508187</v>
      </c>
      <c r="H18565">
        <v>16508098</v>
      </c>
      <c r="I18565">
        <v>16508139</v>
      </c>
    </row>
    <row r="18566" spans="1:9" x14ac:dyDescent="0.2">
      <c r="A18566" t="str">
        <f>"Sec62"</f>
        <v>Sec62</v>
      </c>
      <c r="B18566" t="s">
        <v>14</v>
      </c>
      <c r="C18566" t="s">
        <v>22</v>
      </c>
      <c r="D18566" t="s">
        <v>17</v>
      </c>
      <c r="E18566" t="s">
        <v>12</v>
      </c>
      <c r="F18566">
        <v>30793301</v>
      </c>
      <c r="G18566">
        <v>30793353</v>
      </c>
      <c r="H18566">
        <v>30793301</v>
      </c>
      <c r="I18566">
        <v>30793353</v>
      </c>
    </row>
    <row r="18567" spans="1:9" x14ac:dyDescent="0.2">
      <c r="A18567" t="str">
        <f>"Sec63"</f>
        <v>Sec63</v>
      </c>
      <c r="B18567" t="s">
        <v>14</v>
      </c>
      <c r="C18567" t="s">
        <v>15</v>
      </c>
      <c r="D18567" t="s">
        <v>17</v>
      </c>
      <c r="E18567" t="s">
        <v>12</v>
      </c>
      <c r="F18567">
        <v>42761540</v>
      </c>
      <c r="G18567">
        <v>42761607</v>
      </c>
      <c r="H18567">
        <v>42761609</v>
      </c>
      <c r="I18567">
        <v>42761663</v>
      </c>
    </row>
    <row r="18568" spans="1:9" x14ac:dyDescent="0.2">
      <c r="A18568" t="str">
        <f>"Secisbp2"</f>
        <v>Secisbp2</v>
      </c>
      <c r="B18568" t="s">
        <v>14</v>
      </c>
      <c r="C18568" t="s">
        <v>39</v>
      </c>
      <c r="D18568" t="s">
        <v>17</v>
      </c>
      <c r="E18568" t="s">
        <v>12</v>
      </c>
      <c r="F18568">
        <v>51651709</v>
      </c>
      <c r="G18568">
        <v>51651746</v>
      </c>
      <c r="H18568">
        <v>51651761</v>
      </c>
      <c r="I18568">
        <v>51651777</v>
      </c>
    </row>
    <row r="18569" spans="1:9" x14ac:dyDescent="0.2">
      <c r="A18569" t="str">
        <f>"Secisbp2l"</f>
        <v>Secisbp2l</v>
      </c>
      <c r="B18569" t="s">
        <v>14</v>
      </c>
      <c r="C18569" t="s">
        <v>26</v>
      </c>
      <c r="D18569" t="s">
        <v>11</v>
      </c>
      <c r="E18569" t="s">
        <v>12</v>
      </c>
      <c r="F18569">
        <v>125782734</v>
      </c>
      <c r="G18569">
        <v>125782772</v>
      </c>
      <c r="H18569">
        <v>125782774</v>
      </c>
      <c r="I18569">
        <v>125782802</v>
      </c>
    </row>
    <row r="18570" spans="1:9" x14ac:dyDescent="0.2">
      <c r="A18570" t="str">
        <f>"Sectm1a"</f>
        <v>Sectm1a</v>
      </c>
      <c r="B18570" t="s">
        <v>14</v>
      </c>
      <c r="C18570" t="s">
        <v>27</v>
      </c>
      <c r="D18570" t="s">
        <v>11</v>
      </c>
      <c r="E18570" t="s">
        <v>12</v>
      </c>
      <c r="F18570">
        <v>121081129</v>
      </c>
      <c r="G18570">
        <v>121081144</v>
      </c>
      <c r="H18570">
        <v>121081158</v>
      </c>
      <c r="I18570">
        <v>121081165</v>
      </c>
    </row>
    <row r="18571" spans="1:9" x14ac:dyDescent="0.2">
      <c r="A18571" t="str">
        <f>"Sectm1b"</f>
        <v>Sectm1b</v>
      </c>
      <c r="B18571" t="s">
        <v>14</v>
      </c>
      <c r="C18571" t="s">
        <v>27</v>
      </c>
      <c r="D18571" t="s">
        <v>11</v>
      </c>
      <c r="E18571" t="s">
        <v>12</v>
      </c>
      <c r="F18571">
        <v>121063543</v>
      </c>
      <c r="G18571">
        <v>121063574</v>
      </c>
      <c r="H18571">
        <v>121063526</v>
      </c>
      <c r="I18571">
        <v>121063531</v>
      </c>
    </row>
    <row r="18572" spans="1:9" x14ac:dyDescent="0.2">
      <c r="A18572" t="str">
        <f>"Seh1l"</f>
        <v>Seh1l</v>
      </c>
      <c r="B18572" t="s">
        <v>14</v>
      </c>
      <c r="C18572" t="s">
        <v>43</v>
      </c>
      <c r="D18572" t="s">
        <v>17</v>
      </c>
      <c r="E18572" t="s">
        <v>12</v>
      </c>
      <c r="F18572">
        <v>67774984</v>
      </c>
      <c r="G18572">
        <v>67775021</v>
      </c>
      <c r="H18572">
        <v>67774919</v>
      </c>
      <c r="I18572">
        <v>67774934</v>
      </c>
    </row>
    <row r="18573" spans="1:9" x14ac:dyDescent="0.2">
      <c r="A18573" t="str">
        <f>"Sel1l"</f>
        <v>Sel1l</v>
      </c>
      <c r="B18573" t="s">
        <v>14</v>
      </c>
      <c r="C18573" t="s">
        <v>16</v>
      </c>
      <c r="D18573" t="s">
        <v>11</v>
      </c>
      <c r="E18573" t="s">
        <v>12</v>
      </c>
      <c r="F18573">
        <v>91849081</v>
      </c>
      <c r="G18573">
        <v>91849154</v>
      </c>
      <c r="H18573">
        <v>91849081</v>
      </c>
      <c r="I18573">
        <v>91849154</v>
      </c>
    </row>
    <row r="18574" spans="1:9" x14ac:dyDescent="0.2">
      <c r="A18574" t="str">
        <f>"Sel1l2"</f>
        <v>Sel1l2</v>
      </c>
      <c r="B18574" t="s">
        <v>14</v>
      </c>
      <c r="C18574" t="s">
        <v>26</v>
      </c>
      <c r="D18574" t="s">
        <v>11</v>
      </c>
      <c r="E18574" t="s">
        <v>12</v>
      </c>
      <c r="F18574">
        <v>140389698</v>
      </c>
      <c r="G18574">
        <v>140389729</v>
      </c>
      <c r="H18574">
        <v>140389731</v>
      </c>
      <c r="I18574">
        <v>140389738</v>
      </c>
    </row>
    <row r="18575" spans="1:9" x14ac:dyDescent="0.2">
      <c r="A18575" t="str">
        <f>"Sel1l3"</f>
        <v>Sel1l3</v>
      </c>
      <c r="B18575" t="s">
        <v>14</v>
      </c>
      <c r="C18575" t="s">
        <v>46</v>
      </c>
      <c r="D18575" t="s">
        <v>11</v>
      </c>
      <c r="E18575" t="s">
        <v>12</v>
      </c>
      <c r="F18575">
        <v>53213297</v>
      </c>
      <c r="G18575">
        <v>53213349</v>
      </c>
      <c r="H18575">
        <v>53213447</v>
      </c>
      <c r="I18575">
        <v>53213473</v>
      </c>
    </row>
    <row r="18576" spans="1:9" x14ac:dyDescent="0.2">
      <c r="A18576" t="str">
        <f>"Sele"</f>
        <v>Sele</v>
      </c>
      <c r="B18576" t="s">
        <v>14</v>
      </c>
      <c r="C18576" t="s">
        <v>19</v>
      </c>
      <c r="D18576" t="s">
        <v>17</v>
      </c>
      <c r="E18576" t="s">
        <v>12</v>
      </c>
      <c r="F18576">
        <v>164048214</v>
      </c>
      <c r="G18576">
        <v>164048216</v>
      </c>
      <c r="H18576">
        <v>164048214</v>
      </c>
      <c r="I18576">
        <v>164048216</v>
      </c>
    </row>
    <row r="18577" spans="1:9" x14ac:dyDescent="0.2">
      <c r="A18577" t="str">
        <f>"Selenbp1"</f>
        <v>Selenbp1</v>
      </c>
      <c r="B18577" t="s">
        <v>14</v>
      </c>
      <c r="C18577" t="s">
        <v>22</v>
      </c>
      <c r="D18577" t="s">
        <v>17</v>
      </c>
      <c r="E18577" t="s">
        <v>12</v>
      </c>
      <c r="F18577">
        <v>94933041</v>
      </c>
      <c r="G18577">
        <v>94933073</v>
      </c>
      <c r="H18577">
        <v>94933101</v>
      </c>
      <c r="I18577">
        <v>94933108</v>
      </c>
    </row>
    <row r="18578" spans="1:9" x14ac:dyDescent="0.2">
      <c r="A18578" t="str">
        <f>"Selenbp2"</f>
        <v>Selenbp2</v>
      </c>
      <c r="B18578" t="s">
        <v>14</v>
      </c>
      <c r="C18578" t="s">
        <v>22</v>
      </c>
      <c r="D18578" t="s">
        <v>17</v>
      </c>
      <c r="E18578" t="s">
        <v>12</v>
      </c>
      <c r="F18578">
        <v>94693562</v>
      </c>
      <c r="G18578">
        <v>94693568</v>
      </c>
      <c r="H18578">
        <v>94693604</v>
      </c>
      <c r="I18578">
        <v>94693605</v>
      </c>
    </row>
    <row r="18579" spans="1:9" x14ac:dyDescent="0.2">
      <c r="A18579" t="str">
        <f>"Selk"</f>
        <v>Selk</v>
      </c>
      <c r="B18579" t="s">
        <v>14</v>
      </c>
      <c r="C18579" t="s">
        <v>41</v>
      </c>
      <c r="D18579" t="s">
        <v>17</v>
      </c>
      <c r="E18579" t="s">
        <v>12</v>
      </c>
      <c r="F18579">
        <v>29968369</v>
      </c>
      <c r="G18579">
        <v>29968462</v>
      </c>
      <c r="H18579">
        <v>29968350</v>
      </c>
      <c r="I18579">
        <v>29968361</v>
      </c>
    </row>
    <row r="18580" spans="1:9" x14ac:dyDescent="0.2">
      <c r="A18580" t="str">
        <f>"Sell"</f>
        <v>Sell</v>
      </c>
      <c r="B18580" t="s">
        <v>14</v>
      </c>
      <c r="C18580" t="s">
        <v>19</v>
      </c>
      <c r="D18580" t="s">
        <v>17</v>
      </c>
      <c r="E18580" t="s">
        <v>12</v>
      </c>
      <c r="F18580">
        <v>164062070</v>
      </c>
      <c r="G18580">
        <v>164062098</v>
      </c>
      <c r="H18580">
        <v>164062129</v>
      </c>
      <c r="I18580">
        <v>164062170</v>
      </c>
    </row>
    <row r="18581" spans="1:9" x14ac:dyDescent="0.2">
      <c r="A18581" t="str">
        <f>"Selm"</f>
        <v>Selm</v>
      </c>
      <c r="B18581" t="s">
        <v>14</v>
      </c>
      <c r="C18581" t="s">
        <v>27</v>
      </c>
      <c r="D18581" t="s">
        <v>17</v>
      </c>
      <c r="E18581" t="s">
        <v>67</v>
      </c>
      <c r="F18581">
        <v>3514861</v>
      </c>
      <c r="G18581">
        <v>3514894</v>
      </c>
      <c r="H18581">
        <v>3514897</v>
      </c>
      <c r="I18581">
        <v>3514928</v>
      </c>
    </row>
    <row r="18582" spans="1:9" x14ac:dyDescent="0.2">
      <c r="A18582" t="str">
        <f>"Selo"</f>
        <v>Selo</v>
      </c>
      <c r="B18582" t="s">
        <v>14</v>
      </c>
      <c r="C18582" t="s">
        <v>25</v>
      </c>
      <c r="D18582" t="s">
        <v>17</v>
      </c>
      <c r="E18582" t="s">
        <v>67</v>
      </c>
      <c r="F18582">
        <v>89089073</v>
      </c>
      <c r="G18582">
        <v>89089111</v>
      </c>
      <c r="H18582">
        <v>89089073</v>
      </c>
      <c r="I18582">
        <v>89089111</v>
      </c>
    </row>
    <row r="18583" spans="1:9" x14ac:dyDescent="0.2">
      <c r="A18583" t="str">
        <f>"Selp"</f>
        <v>Selp</v>
      </c>
      <c r="B18583" t="s">
        <v>14</v>
      </c>
      <c r="C18583" t="s">
        <v>19</v>
      </c>
      <c r="D18583" t="s">
        <v>17</v>
      </c>
      <c r="E18583" t="s">
        <v>12</v>
      </c>
      <c r="F18583">
        <v>164115350</v>
      </c>
      <c r="G18583">
        <v>164115369</v>
      </c>
      <c r="H18583">
        <v>164115331</v>
      </c>
      <c r="I18583">
        <v>164115347</v>
      </c>
    </row>
    <row r="18584" spans="1:9" x14ac:dyDescent="0.2">
      <c r="A18584" t="str">
        <f>"Selplg"</f>
        <v>Selplg</v>
      </c>
      <c r="B18584" t="s">
        <v>14</v>
      </c>
      <c r="C18584" t="s">
        <v>46</v>
      </c>
      <c r="D18584" t="s">
        <v>11</v>
      </c>
      <c r="E18584" t="s">
        <v>12</v>
      </c>
      <c r="F18584">
        <v>113830422</v>
      </c>
      <c r="G18584">
        <v>113830506</v>
      </c>
      <c r="H18584">
        <v>113830390</v>
      </c>
      <c r="I18584">
        <v>113830418</v>
      </c>
    </row>
    <row r="18585" spans="1:9" x14ac:dyDescent="0.2">
      <c r="A18585" t="str">
        <f>"Selrc1"</f>
        <v>Selrc1</v>
      </c>
      <c r="B18585" t="s">
        <v>14</v>
      </c>
      <c r="C18585" t="s">
        <v>23</v>
      </c>
      <c r="D18585" t="s">
        <v>17</v>
      </c>
      <c r="E18585" t="s">
        <v>67</v>
      </c>
      <c r="F18585">
        <v>108328136</v>
      </c>
      <c r="G18585">
        <v>108328180</v>
      </c>
      <c r="H18585">
        <v>108328123</v>
      </c>
      <c r="I18585">
        <v>108328132</v>
      </c>
    </row>
    <row r="18586" spans="1:9" x14ac:dyDescent="0.2">
      <c r="A18586" t="str">
        <f>"Selt"</f>
        <v>Selt</v>
      </c>
      <c r="B18586" t="s">
        <v>14</v>
      </c>
      <c r="C18586" t="s">
        <v>22</v>
      </c>
      <c r="D18586" t="s">
        <v>17</v>
      </c>
      <c r="E18586" t="s">
        <v>67</v>
      </c>
      <c r="F18586">
        <v>58576652</v>
      </c>
      <c r="G18586">
        <v>58576717</v>
      </c>
      <c r="H18586">
        <v>58576652</v>
      </c>
      <c r="I18586">
        <v>58576717</v>
      </c>
    </row>
    <row r="18587" spans="1:9" x14ac:dyDescent="0.2">
      <c r="A18587" t="str">
        <f>"Sema3a"</f>
        <v>Sema3a</v>
      </c>
      <c r="B18587" t="s">
        <v>14</v>
      </c>
      <c r="C18587" t="s">
        <v>46</v>
      </c>
      <c r="D18587" t="s">
        <v>17</v>
      </c>
      <c r="E18587" t="s">
        <v>12</v>
      </c>
      <c r="F18587">
        <v>13399751</v>
      </c>
      <c r="G18587">
        <v>13399765</v>
      </c>
      <c r="H18587">
        <v>13399325</v>
      </c>
      <c r="I18587">
        <v>13399382</v>
      </c>
    </row>
    <row r="18588" spans="1:9" x14ac:dyDescent="0.2">
      <c r="A18588" t="str">
        <f>"Sema3b"</f>
        <v>Sema3b</v>
      </c>
      <c r="B18588" t="s">
        <v>14</v>
      </c>
      <c r="C18588" t="s">
        <v>24</v>
      </c>
      <c r="D18588" t="s">
        <v>11</v>
      </c>
      <c r="E18588" t="s">
        <v>12</v>
      </c>
      <c r="F18588">
        <v>107609182</v>
      </c>
      <c r="G18588">
        <v>107609214</v>
      </c>
      <c r="H18588">
        <v>107609182</v>
      </c>
      <c r="I18588">
        <v>107609214</v>
      </c>
    </row>
    <row r="18589" spans="1:9" x14ac:dyDescent="0.2">
      <c r="A18589" t="str">
        <f>"Sema3c"</f>
        <v>Sema3c</v>
      </c>
      <c r="B18589" t="s">
        <v>14</v>
      </c>
      <c r="C18589" t="s">
        <v>46</v>
      </c>
      <c r="D18589" t="s">
        <v>17</v>
      </c>
      <c r="E18589" t="s">
        <v>12</v>
      </c>
      <c r="F18589">
        <v>17574726</v>
      </c>
      <c r="G18589">
        <v>17574780</v>
      </c>
      <c r="H18589">
        <v>17574470</v>
      </c>
      <c r="I18589">
        <v>17574486</v>
      </c>
    </row>
    <row r="18590" spans="1:9" x14ac:dyDescent="0.2">
      <c r="A18590" t="str">
        <f>"Sema3d"</f>
        <v>Sema3d</v>
      </c>
      <c r="B18590" t="s">
        <v>14</v>
      </c>
      <c r="C18590" t="s">
        <v>46</v>
      </c>
      <c r="D18590" t="s">
        <v>17</v>
      </c>
      <c r="E18590" t="s">
        <v>12</v>
      </c>
      <c r="F18590">
        <v>12383483</v>
      </c>
      <c r="G18590">
        <v>12383543</v>
      </c>
      <c r="H18590">
        <v>12383377</v>
      </c>
      <c r="I18590">
        <v>12383395</v>
      </c>
    </row>
    <row r="18591" spans="1:9" x14ac:dyDescent="0.2">
      <c r="A18591" t="str">
        <f>"Sema3e"</f>
        <v>Sema3e</v>
      </c>
      <c r="B18591" t="s">
        <v>14</v>
      </c>
      <c r="C18591" t="s">
        <v>46</v>
      </c>
      <c r="D18591" t="s">
        <v>17</v>
      </c>
      <c r="E18591" t="s">
        <v>12</v>
      </c>
      <c r="F18591">
        <v>14025416</v>
      </c>
      <c r="G18591">
        <v>14025472</v>
      </c>
      <c r="H18591">
        <v>14025338</v>
      </c>
      <c r="I18591">
        <v>14025373</v>
      </c>
    </row>
    <row r="18592" spans="1:9" x14ac:dyDescent="0.2">
      <c r="A18592" t="str">
        <f>"Sema3f"</f>
        <v>Sema3f</v>
      </c>
      <c r="B18592" t="s">
        <v>14</v>
      </c>
      <c r="C18592" t="s">
        <v>24</v>
      </c>
      <c r="D18592" t="s">
        <v>11</v>
      </c>
      <c r="E18592" t="s">
        <v>12</v>
      </c>
      <c r="F18592">
        <v>107709896</v>
      </c>
      <c r="G18592">
        <v>107709994</v>
      </c>
      <c r="H18592">
        <v>107709643</v>
      </c>
      <c r="I18592">
        <v>107709681</v>
      </c>
    </row>
    <row r="18593" spans="1:9" x14ac:dyDescent="0.2">
      <c r="A18593" t="str">
        <f>"Sema3g"</f>
        <v>Sema3g</v>
      </c>
      <c r="B18593" t="s">
        <v>14</v>
      </c>
      <c r="C18593" t="s">
        <v>41</v>
      </c>
      <c r="D18593" t="s">
        <v>17</v>
      </c>
      <c r="E18593" t="s">
        <v>12</v>
      </c>
      <c r="F18593">
        <v>31217850</v>
      </c>
      <c r="G18593">
        <v>31217866</v>
      </c>
      <c r="H18593">
        <v>31217850</v>
      </c>
      <c r="I18593">
        <v>31217866</v>
      </c>
    </row>
    <row r="18594" spans="1:9" x14ac:dyDescent="0.2">
      <c r="A18594" t="str">
        <f>"Sema4a"</f>
        <v>Sema4a</v>
      </c>
      <c r="B18594" t="s">
        <v>14</v>
      </c>
      <c r="C18594" t="s">
        <v>22</v>
      </c>
      <c r="D18594" t="s">
        <v>11</v>
      </c>
      <c r="E18594" t="s">
        <v>12</v>
      </c>
      <c r="F18594">
        <v>88455735</v>
      </c>
      <c r="G18594">
        <v>88455788</v>
      </c>
      <c r="H18594">
        <v>88455692</v>
      </c>
      <c r="I18594">
        <v>88455707</v>
      </c>
    </row>
    <row r="18595" spans="1:9" x14ac:dyDescent="0.2">
      <c r="A18595" t="str">
        <f>"Sema4b"</f>
        <v>Sema4b</v>
      </c>
      <c r="B18595" t="s">
        <v>9</v>
      </c>
      <c r="C18595" t="s">
        <v>33</v>
      </c>
      <c r="D18595" t="s">
        <v>17</v>
      </c>
      <c r="E18595" t="s">
        <v>12</v>
      </c>
      <c r="F18595">
        <v>80186835</v>
      </c>
      <c r="G18595">
        <v>80186904</v>
      </c>
      <c r="H18595">
        <v>80186835</v>
      </c>
      <c r="I18595">
        <v>80186904</v>
      </c>
    </row>
    <row r="18596" spans="1:9" x14ac:dyDescent="0.2">
      <c r="A18596" t="str">
        <f>"Sema4b"</f>
        <v>Sema4b</v>
      </c>
      <c r="B18596" t="s">
        <v>13</v>
      </c>
      <c r="C18596" t="s">
        <v>33</v>
      </c>
      <c r="D18596" t="s">
        <v>17</v>
      </c>
      <c r="E18596" t="s">
        <v>12</v>
      </c>
      <c r="F18596">
        <v>80198564</v>
      </c>
      <c r="G18596">
        <v>80198628</v>
      </c>
      <c r="H18596">
        <v>80198564</v>
      </c>
      <c r="I18596">
        <v>80198628</v>
      </c>
    </row>
    <row r="18597" spans="1:9" x14ac:dyDescent="0.2">
      <c r="A18597" t="str">
        <f>"Sema4c"</f>
        <v>Sema4c</v>
      </c>
      <c r="B18597" t="s">
        <v>14</v>
      </c>
      <c r="C18597" t="s">
        <v>19</v>
      </c>
      <c r="D18597" t="s">
        <v>11</v>
      </c>
      <c r="E18597" t="s">
        <v>12</v>
      </c>
      <c r="F18597">
        <v>36558214</v>
      </c>
      <c r="G18597">
        <v>36558266</v>
      </c>
      <c r="H18597">
        <v>36557517</v>
      </c>
      <c r="I18597">
        <v>36557561</v>
      </c>
    </row>
    <row r="18598" spans="1:9" x14ac:dyDescent="0.2">
      <c r="A18598" t="str">
        <f>"Sema4d"</f>
        <v>Sema4d</v>
      </c>
      <c r="B18598" t="s">
        <v>9</v>
      </c>
      <c r="C18598" t="s">
        <v>39</v>
      </c>
      <c r="D18598" t="s">
        <v>11</v>
      </c>
      <c r="E18598" t="s">
        <v>12</v>
      </c>
      <c r="F18598">
        <v>51793650</v>
      </c>
      <c r="G18598">
        <v>51793713</v>
      </c>
      <c r="H18598">
        <v>51793650</v>
      </c>
      <c r="I18598">
        <v>51793713</v>
      </c>
    </row>
    <row r="18599" spans="1:9" x14ac:dyDescent="0.2">
      <c r="A18599" t="str">
        <f>"Sema4d"</f>
        <v>Sema4d</v>
      </c>
      <c r="B18599" t="s">
        <v>13</v>
      </c>
      <c r="C18599" t="s">
        <v>39</v>
      </c>
      <c r="D18599" t="s">
        <v>11</v>
      </c>
      <c r="E18599" t="s">
        <v>12</v>
      </c>
      <c r="F18599">
        <v>51734695</v>
      </c>
      <c r="G18599">
        <v>51734747</v>
      </c>
      <c r="H18599">
        <v>51734695</v>
      </c>
      <c r="I18599">
        <v>51734747</v>
      </c>
    </row>
    <row r="18600" spans="1:9" x14ac:dyDescent="0.2">
      <c r="A18600" t="str">
        <f>"Sema4f"</f>
        <v>Sema4f</v>
      </c>
      <c r="B18600" t="s">
        <v>14</v>
      </c>
      <c r="C18600" t="s">
        <v>32</v>
      </c>
      <c r="D18600" t="s">
        <v>11</v>
      </c>
      <c r="E18600" t="s">
        <v>12</v>
      </c>
      <c r="F18600">
        <v>82939676</v>
      </c>
      <c r="G18600">
        <v>82939760</v>
      </c>
      <c r="H18600">
        <v>82939676</v>
      </c>
      <c r="I18600">
        <v>82939760</v>
      </c>
    </row>
    <row r="18601" spans="1:9" x14ac:dyDescent="0.2">
      <c r="A18601" t="str">
        <f>"Sema4g"</f>
        <v>Sema4g</v>
      </c>
      <c r="B18601" t="s">
        <v>14</v>
      </c>
      <c r="C18601" t="s">
        <v>10</v>
      </c>
      <c r="D18601" t="s">
        <v>17</v>
      </c>
      <c r="E18601" t="s">
        <v>12</v>
      </c>
      <c r="F18601">
        <v>44989242</v>
      </c>
      <c r="G18601">
        <v>44989318</v>
      </c>
      <c r="H18601">
        <v>44989319</v>
      </c>
      <c r="I18601">
        <v>44989330</v>
      </c>
    </row>
    <row r="18602" spans="1:9" x14ac:dyDescent="0.2">
      <c r="A18602" t="str">
        <f>"Sema5a"</f>
        <v>Sema5a</v>
      </c>
      <c r="B18602" t="s">
        <v>14</v>
      </c>
      <c r="C18602" t="s">
        <v>25</v>
      </c>
      <c r="D18602" t="s">
        <v>17</v>
      </c>
      <c r="E18602" t="s">
        <v>12</v>
      </c>
      <c r="F18602">
        <v>32244801</v>
      </c>
      <c r="G18602">
        <v>32244836</v>
      </c>
      <c r="H18602">
        <v>32244865</v>
      </c>
      <c r="I18602">
        <v>32244874</v>
      </c>
    </row>
    <row r="18603" spans="1:9" x14ac:dyDescent="0.2">
      <c r="A18603" t="str">
        <f>"Sema5b"</f>
        <v>Sema5b</v>
      </c>
      <c r="B18603" t="s">
        <v>14</v>
      </c>
      <c r="C18603" t="s">
        <v>31</v>
      </c>
      <c r="D18603" t="s">
        <v>17</v>
      </c>
      <c r="E18603" t="s">
        <v>12</v>
      </c>
      <c r="F18603">
        <v>35541275</v>
      </c>
      <c r="G18603">
        <v>35541339</v>
      </c>
      <c r="H18603">
        <v>35541275</v>
      </c>
      <c r="I18603">
        <v>35541339</v>
      </c>
    </row>
    <row r="18604" spans="1:9" x14ac:dyDescent="0.2">
      <c r="A18604" t="str">
        <f>"Sema6a"</f>
        <v>Sema6a</v>
      </c>
      <c r="B18604" t="s">
        <v>14</v>
      </c>
      <c r="C18604" t="s">
        <v>43</v>
      </c>
      <c r="D18604" t="s">
        <v>11</v>
      </c>
      <c r="E18604" t="s">
        <v>12</v>
      </c>
      <c r="F18604">
        <v>47368858</v>
      </c>
      <c r="G18604">
        <v>47368878</v>
      </c>
      <c r="H18604">
        <v>47368908</v>
      </c>
      <c r="I18604">
        <v>47368933</v>
      </c>
    </row>
    <row r="18605" spans="1:9" x14ac:dyDescent="0.2">
      <c r="A18605" t="str">
        <f>"Sema6b"</f>
        <v>Sema6b</v>
      </c>
      <c r="B18605" t="s">
        <v>9</v>
      </c>
      <c r="C18605" t="s">
        <v>28</v>
      </c>
      <c r="D18605" t="s">
        <v>11</v>
      </c>
      <c r="E18605" t="s">
        <v>12</v>
      </c>
      <c r="F18605">
        <v>56140333</v>
      </c>
      <c r="G18605">
        <v>56140384</v>
      </c>
      <c r="H18605">
        <v>56140333</v>
      </c>
      <c r="I18605">
        <v>56140384</v>
      </c>
    </row>
    <row r="18606" spans="1:9" x14ac:dyDescent="0.2">
      <c r="A18606" t="str">
        <f>"Sema6b"</f>
        <v>Sema6b</v>
      </c>
      <c r="B18606" t="s">
        <v>13</v>
      </c>
      <c r="C18606" t="s">
        <v>28</v>
      </c>
      <c r="D18606" t="s">
        <v>11</v>
      </c>
      <c r="E18606" t="s">
        <v>12</v>
      </c>
      <c r="F18606">
        <v>56133817</v>
      </c>
      <c r="G18606">
        <v>56133854</v>
      </c>
      <c r="H18606">
        <v>56133817</v>
      </c>
      <c r="I18606">
        <v>56133854</v>
      </c>
    </row>
    <row r="18607" spans="1:9" x14ac:dyDescent="0.2">
      <c r="A18607" t="str">
        <f>"Sema6c"</f>
        <v>Sema6c</v>
      </c>
      <c r="B18607" t="s">
        <v>9</v>
      </c>
      <c r="C18607" t="s">
        <v>22</v>
      </c>
      <c r="D18607" t="s">
        <v>17</v>
      </c>
      <c r="E18607" t="s">
        <v>12</v>
      </c>
      <c r="F18607">
        <v>95160449</v>
      </c>
      <c r="G18607">
        <v>95160505</v>
      </c>
      <c r="H18607">
        <v>95160449</v>
      </c>
      <c r="I18607">
        <v>95160505</v>
      </c>
    </row>
    <row r="18608" spans="1:9" x14ac:dyDescent="0.2">
      <c r="A18608" t="str">
        <f>"Sema6c"</f>
        <v>Sema6c</v>
      </c>
      <c r="B18608" t="s">
        <v>13</v>
      </c>
      <c r="C18608" t="s">
        <v>22</v>
      </c>
      <c r="D18608" t="s">
        <v>17</v>
      </c>
      <c r="E18608" t="s">
        <v>12</v>
      </c>
      <c r="F18608">
        <v>95164309</v>
      </c>
      <c r="G18608">
        <v>95164333</v>
      </c>
      <c r="H18608">
        <v>95164309</v>
      </c>
      <c r="I18608">
        <v>95164333</v>
      </c>
    </row>
    <row r="18609" spans="1:9" x14ac:dyDescent="0.2">
      <c r="A18609" t="str">
        <f>"Sema6d"</f>
        <v>Sema6d</v>
      </c>
      <c r="B18609" t="s">
        <v>14</v>
      </c>
      <c r="C18609" t="s">
        <v>26</v>
      </c>
      <c r="D18609" t="s">
        <v>17</v>
      </c>
      <c r="E18609" t="s">
        <v>12</v>
      </c>
      <c r="F18609">
        <v>124610592</v>
      </c>
      <c r="G18609">
        <v>124610613</v>
      </c>
      <c r="H18609">
        <v>124610592</v>
      </c>
      <c r="I18609">
        <v>124610613</v>
      </c>
    </row>
    <row r="18610" spans="1:9" x14ac:dyDescent="0.2">
      <c r="A18610" t="str">
        <f>"Sema7a"</f>
        <v>Sema7a</v>
      </c>
      <c r="B18610" t="s">
        <v>14</v>
      </c>
      <c r="C18610" t="s">
        <v>24</v>
      </c>
      <c r="D18610" t="s">
        <v>17</v>
      </c>
      <c r="E18610" t="s">
        <v>12</v>
      </c>
      <c r="F18610">
        <v>57940104</v>
      </c>
      <c r="G18610">
        <v>57940120</v>
      </c>
      <c r="H18610">
        <v>57939620</v>
      </c>
      <c r="I18610">
        <v>57939652</v>
      </c>
    </row>
    <row r="18611" spans="1:9" x14ac:dyDescent="0.2">
      <c r="A18611" t="str">
        <f>"Senp1"</f>
        <v>Senp1</v>
      </c>
      <c r="B18611" t="s">
        <v>14</v>
      </c>
      <c r="C18611" t="s">
        <v>25</v>
      </c>
      <c r="D18611" t="s">
        <v>11</v>
      </c>
      <c r="E18611" t="s">
        <v>12</v>
      </c>
      <c r="F18611">
        <v>98093329</v>
      </c>
      <c r="G18611">
        <v>98093410</v>
      </c>
      <c r="H18611">
        <v>98093297</v>
      </c>
      <c r="I18611">
        <v>98093324</v>
      </c>
    </row>
    <row r="18612" spans="1:9" x14ac:dyDescent="0.2">
      <c r="A18612" t="str">
        <f>"Senp2"</f>
        <v>Senp2</v>
      </c>
      <c r="B18612" t="s">
        <v>14</v>
      </c>
      <c r="C18612" t="s">
        <v>31</v>
      </c>
      <c r="D18612" t="s">
        <v>17</v>
      </c>
      <c r="E18612" t="s">
        <v>12</v>
      </c>
      <c r="F18612">
        <v>22009471</v>
      </c>
      <c r="G18612">
        <v>22009543</v>
      </c>
      <c r="H18612">
        <v>22009450</v>
      </c>
      <c r="I18612">
        <v>22009466</v>
      </c>
    </row>
    <row r="18613" spans="1:9" x14ac:dyDescent="0.2">
      <c r="A18613" t="str">
        <f>"Senp3"</f>
        <v>Senp3</v>
      </c>
      <c r="B18613" t="s">
        <v>14</v>
      </c>
      <c r="C18613" t="s">
        <v>27</v>
      </c>
      <c r="D18613" t="s">
        <v>11</v>
      </c>
      <c r="E18613" t="s">
        <v>12</v>
      </c>
      <c r="F18613">
        <v>69681903</v>
      </c>
      <c r="G18613">
        <v>69681953</v>
      </c>
      <c r="H18613">
        <v>69681870</v>
      </c>
      <c r="I18613">
        <v>69681896</v>
      </c>
    </row>
    <row r="18614" spans="1:9" x14ac:dyDescent="0.2">
      <c r="A18614" t="str">
        <f>"Senp5"</f>
        <v>Senp5</v>
      </c>
      <c r="B18614" t="s">
        <v>14</v>
      </c>
      <c r="C18614" t="s">
        <v>31</v>
      </c>
      <c r="D18614" t="s">
        <v>11</v>
      </c>
      <c r="E18614" t="s">
        <v>12</v>
      </c>
      <c r="F18614">
        <v>32003122</v>
      </c>
      <c r="G18614">
        <v>32003183</v>
      </c>
      <c r="H18614">
        <v>32003195</v>
      </c>
      <c r="I18614">
        <v>32003202</v>
      </c>
    </row>
    <row r="18615" spans="1:9" x14ac:dyDescent="0.2">
      <c r="A18615" t="str">
        <f>"Senp6"</f>
        <v>Senp6</v>
      </c>
      <c r="B18615" t="s">
        <v>14</v>
      </c>
      <c r="C18615" t="s">
        <v>24</v>
      </c>
      <c r="D18615" t="s">
        <v>17</v>
      </c>
      <c r="E18615" t="s">
        <v>12</v>
      </c>
      <c r="F18615">
        <v>80066939</v>
      </c>
      <c r="G18615">
        <v>80066983</v>
      </c>
      <c r="H18615">
        <v>80066895</v>
      </c>
      <c r="I18615">
        <v>80066936</v>
      </c>
    </row>
    <row r="18616" spans="1:9" x14ac:dyDescent="0.2">
      <c r="A18616" t="str">
        <f>"Senp7"</f>
        <v>Senp7</v>
      </c>
      <c r="B18616" t="s">
        <v>14</v>
      </c>
      <c r="C18616" t="s">
        <v>31</v>
      </c>
      <c r="D18616" t="s">
        <v>17</v>
      </c>
      <c r="E18616" t="s">
        <v>12</v>
      </c>
      <c r="F18616">
        <v>56075399</v>
      </c>
      <c r="G18616">
        <v>56075492</v>
      </c>
      <c r="H18616">
        <v>56075509</v>
      </c>
      <c r="I18616">
        <v>56075517</v>
      </c>
    </row>
    <row r="18617" spans="1:9" x14ac:dyDescent="0.2">
      <c r="A18617" t="str">
        <f>"Senp8"</f>
        <v>Senp8</v>
      </c>
      <c r="B18617" t="s">
        <v>14</v>
      </c>
      <c r="C18617" t="s">
        <v>24</v>
      </c>
      <c r="D18617" t="s">
        <v>11</v>
      </c>
      <c r="E18617" t="s">
        <v>12</v>
      </c>
      <c r="F18617">
        <v>59750616</v>
      </c>
      <c r="G18617">
        <v>59750644</v>
      </c>
      <c r="H18617">
        <v>59750616</v>
      </c>
      <c r="I18617">
        <v>59750644</v>
      </c>
    </row>
    <row r="18618" spans="1:9" x14ac:dyDescent="0.2">
      <c r="A18618" t="str">
        <f>"Sep15"</f>
        <v>Sep15</v>
      </c>
      <c r="B18618" t="s">
        <v>14</v>
      </c>
      <c r="C18618" t="s">
        <v>22</v>
      </c>
      <c r="D18618" t="s">
        <v>17</v>
      </c>
      <c r="E18618" t="s">
        <v>12</v>
      </c>
      <c r="F18618">
        <v>144570409</v>
      </c>
      <c r="G18618">
        <v>144570490</v>
      </c>
      <c r="H18618">
        <v>144570507</v>
      </c>
      <c r="I18618">
        <v>144570516</v>
      </c>
    </row>
    <row r="18619" spans="1:9" x14ac:dyDescent="0.2">
      <c r="A18619" t="str">
        <f>"Sephs1"</f>
        <v>Sephs1</v>
      </c>
      <c r="B18619" t="s">
        <v>14</v>
      </c>
      <c r="C18619" t="s">
        <v>26</v>
      </c>
      <c r="D18619" t="s">
        <v>17</v>
      </c>
      <c r="E18619" t="s">
        <v>12</v>
      </c>
      <c r="F18619">
        <v>4881798</v>
      </c>
      <c r="G18619">
        <v>4881836</v>
      </c>
      <c r="H18619">
        <v>4881756</v>
      </c>
      <c r="I18619">
        <v>4881772</v>
      </c>
    </row>
    <row r="18620" spans="1:9" x14ac:dyDescent="0.2">
      <c r="A18620" t="str">
        <f>"Sephs2"</f>
        <v>Sephs2</v>
      </c>
      <c r="B18620" t="s">
        <v>14</v>
      </c>
      <c r="C18620" t="s">
        <v>33</v>
      </c>
      <c r="D18620" t="s">
        <v>11</v>
      </c>
      <c r="E18620" t="s">
        <v>12</v>
      </c>
      <c r="F18620">
        <v>127274047</v>
      </c>
      <c r="G18620">
        <v>127274066</v>
      </c>
      <c r="H18620">
        <v>127274008</v>
      </c>
      <c r="I18620">
        <v>127274036</v>
      </c>
    </row>
    <row r="18621" spans="1:9" x14ac:dyDescent="0.2">
      <c r="A18621" t="str">
        <f>"Sepn1"</f>
        <v>Sepn1</v>
      </c>
      <c r="B18621" t="s">
        <v>14</v>
      </c>
      <c r="C18621" t="s">
        <v>23</v>
      </c>
      <c r="D18621" t="s">
        <v>11</v>
      </c>
      <c r="E18621" t="s">
        <v>12</v>
      </c>
      <c r="F18621">
        <v>134552122</v>
      </c>
      <c r="G18621">
        <v>134552200</v>
      </c>
      <c r="H18621">
        <v>134552202</v>
      </c>
      <c r="I18621">
        <v>134552211</v>
      </c>
    </row>
    <row r="18622" spans="1:9" x14ac:dyDescent="0.2">
      <c r="A18622" t="str">
        <f>"Sepp1"</f>
        <v>Sepp1</v>
      </c>
      <c r="B18622" t="s">
        <v>14</v>
      </c>
      <c r="C18622" t="s">
        <v>25</v>
      </c>
      <c r="D18622" t="s">
        <v>17</v>
      </c>
      <c r="E18622" t="s">
        <v>12</v>
      </c>
      <c r="F18622">
        <v>3270971</v>
      </c>
      <c r="G18622">
        <v>3271006</v>
      </c>
      <c r="H18622">
        <v>3270971</v>
      </c>
      <c r="I18622">
        <v>3271006</v>
      </c>
    </row>
    <row r="18623" spans="1:9" x14ac:dyDescent="0.2">
      <c r="A18623" t="str">
        <f>"Sepsecs"</f>
        <v>Sepsecs</v>
      </c>
      <c r="B18623" t="s">
        <v>14</v>
      </c>
      <c r="C18623" t="s">
        <v>46</v>
      </c>
      <c r="D18623" t="s">
        <v>11</v>
      </c>
      <c r="E18623" t="s">
        <v>12</v>
      </c>
      <c r="F18623">
        <v>52669677</v>
      </c>
      <c r="G18623">
        <v>52669728</v>
      </c>
      <c r="H18623">
        <v>52669732</v>
      </c>
      <c r="I18623">
        <v>52669743</v>
      </c>
    </row>
    <row r="18624" spans="1:9" x14ac:dyDescent="0.2">
      <c r="A18624" t="str">
        <f>"Sept1"</f>
        <v>Sept1</v>
      </c>
      <c r="B18624" t="s">
        <v>9</v>
      </c>
      <c r="C18624" t="s">
        <v>33</v>
      </c>
      <c r="D18624" t="s">
        <v>11</v>
      </c>
      <c r="E18624" t="s">
        <v>12</v>
      </c>
      <c r="F18624">
        <v>127218398</v>
      </c>
      <c r="G18624">
        <v>127218465</v>
      </c>
      <c r="H18624">
        <v>127218398</v>
      </c>
      <c r="I18624">
        <v>127218465</v>
      </c>
    </row>
    <row r="18625" spans="1:9" x14ac:dyDescent="0.2">
      <c r="A18625" t="str">
        <f>"Sept1"</f>
        <v>Sept1</v>
      </c>
      <c r="B18625" t="s">
        <v>13</v>
      </c>
      <c r="C18625" t="s">
        <v>33</v>
      </c>
      <c r="D18625" t="s">
        <v>11</v>
      </c>
      <c r="E18625" t="s">
        <v>12</v>
      </c>
      <c r="F18625">
        <v>127215379</v>
      </c>
      <c r="G18625">
        <v>127215443</v>
      </c>
      <c r="H18625">
        <v>127215379</v>
      </c>
      <c r="I18625">
        <v>127215443</v>
      </c>
    </row>
    <row r="18626" spans="1:9" x14ac:dyDescent="0.2">
      <c r="A18626" t="str">
        <f>"Sept10"</f>
        <v>Sept10</v>
      </c>
      <c r="B18626" t="s">
        <v>14</v>
      </c>
      <c r="C18626" t="s">
        <v>15</v>
      </c>
      <c r="D18626" t="s">
        <v>11</v>
      </c>
      <c r="E18626" t="s">
        <v>12</v>
      </c>
      <c r="F18626">
        <v>59221469</v>
      </c>
      <c r="G18626">
        <v>59221518</v>
      </c>
      <c r="H18626">
        <v>59221757</v>
      </c>
      <c r="I18626">
        <v>59221803</v>
      </c>
    </row>
    <row r="18627" spans="1:9" x14ac:dyDescent="0.2">
      <c r="A18627" t="str">
        <f>"Sept11"</f>
        <v>Sept11</v>
      </c>
      <c r="B18627" t="s">
        <v>14</v>
      </c>
      <c r="C18627" t="s">
        <v>46</v>
      </c>
      <c r="D18627" t="s">
        <v>17</v>
      </c>
      <c r="E18627" t="s">
        <v>12</v>
      </c>
      <c r="F18627">
        <v>93093428</v>
      </c>
      <c r="G18627">
        <v>93093444</v>
      </c>
      <c r="H18627">
        <v>93093498</v>
      </c>
      <c r="I18627">
        <v>93093549</v>
      </c>
    </row>
    <row r="18628" spans="1:9" x14ac:dyDescent="0.2">
      <c r="A18628" t="str">
        <f>"Sept12"</f>
        <v>Sept12</v>
      </c>
      <c r="B18628" t="s">
        <v>14</v>
      </c>
      <c r="C18628" t="s">
        <v>31</v>
      </c>
      <c r="D18628" t="s">
        <v>11</v>
      </c>
      <c r="E18628" t="s">
        <v>12</v>
      </c>
      <c r="F18628">
        <v>4997782</v>
      </c>
      <c r="G18628">
        <v>4997831</v>
      </c>
      <c r="H18628">
        <v>4997782</v>
      </c>
      <c r="I18628">
        <v>4997831</v>
      </c>
    </row>
    <row r="18629" spans="1:9" x14ac:dyDescent="0.2">
      <c r="A18629" t="str">
        <f>"Sept14"</f>
        <v>Sept14</v>
      </c>
      <c r="B18629" t="s">
        <v>14</v>
      </c>
      <c r="C18629" t="s">
        <v>46</v>
      </c>
      <c r="D18629" t="s">
        <v>11</v>
      </c>
      <c r="E18629" t="s">
        <v>12</v>
      </c>
      <c r="F18629">
        <v>129708672</v>
      </c>
      <c r="G18629">
        <v>129708691</v>
      </c>
      <c r="H18629">
        <v>129708672</v>
      </c>
      <c r="I18629">
        <v>129708691</v>
      </c>
    </row>
    <row r="18630" spans="1:9" x14ac:dyDescent="0.2">
      <c r="A18630" t="str">
        <f>"Sept2"</f>
        <v>Sept2</v>
      </c>
      <c r="B18630" t="s">
        <v>14</v>
      </c>
      <c r="C18630" t="s">
        <v>19</v>
      </c>
      <c r="D18630" t="s">
        <v>17</v>
      </c>
      <c r="E18630" t="s">
        <v>12</v>
      </c>
      <c r="F18630">
        <v>93478981</v>
      </c>
      <c r="G18630">
        <v>93479054</v>
      </c>
      <c r="H18630">
        <v>93479198</v>
      </c>
      <c r="I18630">
        <v>93479234</v>
      </c>
    </row>
    <row r="18631" spans="1:9" x14ac:dyDescent="0.2">
      <c r="A18631" t="str">
        <f>"Sept3"</f>
        <v>Sept3</v>
      </c>
      <c r="B18631" t="s">
        <v>14</v>
      </c>
      <c r="C18631" t="s">
        <v>25</v>
      </c>
      <c r="D18631" t="s">
        <v>17</v>
      </c>
      <c r="E18631" t="s">
        <v>12</v>
      </c>
      <c r="F18631">
        <v>82275197</v>
      </c>
      <c r="G18631">
        <v>82275281</v>
      </c>
      <c r="H18631">
        <v>82274979</v>
      </c>
      <c r="I18631">
        <v>82275034</v>
      </c>
    </row>
    <row r="18632" spans="1:9" x14ac:dyDescent="0.2">
      <c r="A18632" t="str">
        <f>"Sept4"</f>
        <v>Sept4</v>
      </c>
      <c r="B18632" t="s">
        <v>9</v>
      </c>
      <c r="C18632" t="s">
        <v>27</v>
      </c>
      <c r="D18632" t="s">
        <v>17</v>
      </c>
      <c r="E18632" t="s">
        <v>12</v>
      </c>
      <c r="F18632">
        <v>87578384</v>
      </c>
      <c r="G18632">
        <v>87578470</v>
      </c>
      <c r="H18632">
        <v>87578384</v>
      </c>
      <c r="I18632">
        <v>87578470</v>
      </c>
    </row>
    <row r="18633" spans="1:9" x14ac:dyDescent="0.2">
      <c r="A18633" t="str">
        <f>"Sept4"</f>
        <v>Sept4</v>
      </c>
      <c r="B18633" t="s">
        <v>13</v>
      </c>
      <c r="C18633" t="s">
        <v>27</v>
      </c>
      <c r="D18633" t="s">
        <v>17</v>
      </c>
      <c r="E18633" t="s">
        <v>12</v>
      </c>
      <c r="F18633">
        <v>87581045</v>
      </c>
      <c r="G18633">
        <v>87581067</v>
      </c>
      <c r="H18633">
        <v>87581045</v>
      </c>
      <c r="I18633">
        <v>87581067</v>
      </c>
    </row>
    <row r="18634" spans="1:9" x14ac:dyDescent="0.2">
      <c r="A18634" t="str">
        <f>"Sept5"</f>
        <v>Sept5</v>
      </c>
      <c r="B18634" t="s">
        <v>14</v>
      </c>
      <c r="C18634" t="s">
        <v>31</v>
      </c>
      <c r="D18634" t="s">
        <v>11</v>
      </c>
      <c r="E18634" t="s">
        <v>12</v>
      </c>
      <c r="F18634">
        <v>18629864</v>
      </c>
      <c r="G18634">
        <v>18629951</v>
      </c>
      <c r="H18634">
        <v>18629960</v>
      </c>
      <c r="I18634">
        <v>18629971</v>
      </c>
    </row>
    <row r="18635" spans="1:9" x14ac:dyDescent="0.2">
      <c r="A18635" t="str">
        <f>"Sept6"</f>
        <v>Sept6</v>
      </c>
      <c r="B18635" t="s">
        <v>14</v>
      </c>
      <c r="C18635" t="s">
        <v>37</v>
      </c>
      <c r="D18635" t="s">
        <v>11</v>
      </c>
      <c r="E18635" t="s">
        <v>12</v>
      </c>
      <c r="F18635">
        <v>36989482</v>
      </c>
      <c r="G18635">
        <v>36989507</v>
      </c>
      <c r="H18635">
        <v>36989458</v>
      </c>
      <c r="I18635">
        <v>36989479</v>
      </c>
    </row>
    <row r="18636" spans="1:9" x14ac:dyDescent="0.2">
      <c r="A18636" t="str">
        <f>"Sept7"</f>
        <v>Sept7</v>
      </c>
      <c r="B18636" t="s">
        <v>14</v>
      </c>
      <c r="C18636" t="s">
        <v>24</v>
      </c>
      <c r="D18636" t="s">
        <v>17</v>
      </c>
      <c r="E18636" t="s">
        <v>12</v>
      </c>
      <c r="F18636">
        <v>25252638</v>
      </c>
      <c r="G18636">
        <v>25252659</v>
      </c>
      <c r="H18636">
        <v>25252505</v>
      </c>
      <c r="I18636">
        <v>25252516</v>
      </c>
    </row>
    <row r="18637" spans="1:9" x14ac:dyDescent="0.2">
      <c r="A18637" t="str">
        <f>"Sept8"</f>
        <v>Sept8</v>
      </c>
      <c r="B18637" t="s">
        <v>14</v>
      </c>
      <c r="C18637" t="s">
        <v>27</v>
      </c>
      <c r="D18637" t="s">
        <v>17</v>
      </c>
      <c r="E18637" t="s">
        <v>12</v>
      </c>
      <c r="F18637">
        <v>53519871</v>
      </c>
      <c r="G18637">
        <v>53519917</v>
      </c>
      <c r="H18637">
        <v>53519725</v>
      </c>
      <c r="I18637">
        <v>53519791</v>
      </c>
    </row>
    <row r="18638" spans="1:9" x14ac:dyDescent="0.2">
      <c r="A18638" t="str">
        <f>"Sept9"</f>
        <v>Sept9</v>
      </c>
      <c r="B18638" t="s">
        <v>9</v>
      </c>
      <c r="C18638" t="s">
        <v>27</v>
      </c>
      <c r="D18638" t="s">
        <v>17</v>
      </c>
      <c r="E18638" t="s">
        <v>12</v>
      </c>
      <c r="F18638">
        <v>117332410</v>
      </c>
      <c r="G18638">
        <v>117332454</v>
      </c>
      <c r="H18638">
        <v>117332410</v>
      </c>
      <c r="I18638">
        <v>117332454</v>
      </c>
    </row>
    <row r="18639" spans="1:9" x14ac:dyDescent="0.2">
      <c r="A18639" t="str">
        <f>"Sept9"</f>
        <v>Sept9</v>
      </c>
      <c r="B18639" t="s">
        <v>13</v>
      </c>
      <c r="C18639" t="s">
        <v>27</v>
      </c>
      <c r="D18639" t="s">
        <v>17</v>
      </c>
      <c r="E18639" t="s">
        <v>12</v>
      </c>
      <c r="F18639">
        <v>117266410</v>
      </c>
      <c r="G18639">
        <v>117266472</v>
      </c>
      <c r="H18639">
        <v>117266410</v>
      </c>
      <c r="I18639">
        <v>117266472</v>
      </c>
    </row>
    <row r="18640" spans="1:9" x14ac:dyDescent="0.2">
      <c r="A18640" t="str">
        <f>"Sepw1"</f>
        <v>Sepw1</v>
      </c>
      <c r="B18640" t="s">
        <v>14</v>
      </c>
      <c r="C18640" t="s">
        <v>33</v>
      </c>
      <c r="D18640" t="s">
        <v>11</v>
      </c>
      <c r="E18640" t="s">
        <v>12</v>
      </c>
      <c r="F18640">
        <v>15922335</v>
      </c>
      <c r="G18640">
        <v>15922357</v>
      </c>
      <c r="H18640">
        <v>15922361</v>
      </c>
      <c r="I18640">
        <v>15922378</v>
      </c>
    </row>
    <row r="18641" spans="1:9" x14ac:dyDescent="0.2">
      <c r="A18641" t="str">
        <f>"Serac1"</f>
        <v>Serac1</v>
      </c>
      <c r="B18641" t="s">
        <v>14</v>
      </c>
      <c r="C18641" t="s">
        <v>28</v>
      </c>
      <c r="D18641" t="s">
        <v>11</v>
      </c>
      <c r="E18641" t="s">
        <v>12</v>
      </c>
      <c r="F18641">
        <v>6079693</v>
      </c>
      <c r="G18641">
        <v>6079760</v>
      </c>
      <c r="H18641">
        <v>6079910</v>
      </c>
      <c r="I18641">
        <v>6079911</v>
      </c>
    </row>
    <row r="18642" spans="1:9" x14ac:dyDescent="0.2">
      <c r="A18642" t="str">
        <f>"Serbp1"</f>
        <v>Serbp1</v>
      </c>
      <c r="B18642" t="s">
        <v>14</v>
      </c>
      <c r="C18642" t="s">
        <v>32</v>
      </c>
      <c r="D18642" t="s">
        <v>17</v>
      </c>
      <c r="E18642" t="s">
        <v>12</v>
      </c>
      <c r="F18642">
        <v>67266987</v>
      </c>
      <c r="G18642">
        <v>67267021</v>
      </c>
      <c r="H18642">
        <v>67266987</v>
      </c>
      <c r="I18642">
        <v>67267021</v>
      </c>
    </row>
    <row r="18643" spans="1:9" x14ac:dyDescent="0.2">
      <c r="A18643" t="str">
        <f>"Serf1"</f>
        <v>Serf1</v>
      </c>
      <c r="B18643" t="s">
        <v>14</v>
      </c>
      <c r="C18643" t="s">
        <v>39</v>
      </c>
      <c r="D18643" t="s">
        <v>17</v>
      </c>
      <c r="E18643" t="s">
        <v>12</v>
      </c>
      <c r="F18643">
        <v>100108014</v>
      </c>
      <c r="G18643">
        <v>100108143</v>
      </c>
      <c r="H18643">
        <v>100108156</v>
      </c>
      <c r="I18643">
        <v>100108167</v>
      </c>
    </row>
    <row r="18644" spans="1:9" x14ac:dyDescent="0.2">
      <c r="A18644" t="str">
        <f>"Serf2"</f>
        <v>Serf2</v>
      </c>
      <c r="B18644" t="s">
        <v>14</v>
      </c>
      <c r="C18644" t="s">
        <v>26</v>
      </c>
      <c r="D18644" t="s">
        <v>17</v>
      </c>
      <c r="E18644" t="s">
        <v>12</v>
      </c>
      <c r="F18644">
        <v>121449362</v>
      </c>
      <c r="G18644">
        <v>121449393</v>
      </c>
      <c r="H18644">
        <v>121449225</v>
      </c>
      <c r="I18644">
        <v>121449254</v>
      </c>
    </row>
    <row r="18645" spans="1:9" x14ac:dyDescent="0.2">
      <c r="A18645" t="str">
        <f>"Sergef"</f>
        <v>Sergef</v>
      </c>
      <c r="B18645" t="s">
        <v>14</v>
      </c>
      <c r="C18645" t="s">
        <v>33</v>
      </c>
      <c r="D18645" t="s">
        <v>11</v>
      </c>
      <c r="E18645" t="s">
        <v>12</v>
      </c>
      <c r="F18645">
        <v>46639778</v>
      </c>
      <c r="G18645">
        <v>46639817</v>
      </c>
      <c r="H18645">
        <v>46639643</v>
      </c>
      <c r="I18645">
        <v>46639662</v>
      </c>
    </row>
    <row r="18646" spans="1:9" x14ac:dyDescent="0.2">
      <c r="A18646" t="str">
        <f>"Serhl"</f>
        <v>Serhl</v>
      </c>
      <c r="B18646" t="s">
        <v>14</v>
      </c>
      <c r="C18646" t="s">
        <v>25</v>
      </c>
      <c r="D18646" t="s">
        <v>17</v>
      </c>
      <c r="E18646" t="s">
        <v>12</v>
      </c>
      <c r="F18646">
        <v>83100281</v>
      </c>
      <c r="G18646">
        <v>83100303</v>
      </c>
      <c r="H18646">
        <v>83100306</v>
      </c>
      <c r="I18646">
        <v>83100318</v>
      </c>
    </row>
    <row r="18647" spans="1:9" x14ac:dyDescent="0.2">
      <c r="A18647" t="str">
        <f>"Serinc1"</f>
        <v>Serinc1</v>
      </c>
      <c r="B18647" t="s">
        <v>14</v>
      </c>
      <c r="C18647" t="s">
        <v>15</v>
      </c>
      <c r="D18647" t="s">
        <v>11</v>
      </c>
      <c r="E18647" t="s">
        <v>12</v>
      </c>
      <c r="F18647">
        <v>57532416</v>
      </c>
      <c r="G18647">
        <v>57532487</v>
      </c>
      <c r="H18647">
        <v>57532489</v>
      </c>
      <c r="I18647">
        <v>57532517</v>
      </c>
    </row>
    <row r="18648" spans="1:9" x14ac:dyDescent="0.2">
      <c r="A18648" t="str">
        <f>"Serinc2"</f>
        <v>Serinc2</v>
      </c>
      <c r="B18648" t="s">
        <v>14</v>
      </c>
      <c r="C18648" t="s">
        <v>23</v>
      </c>
      <c r="D18648" t="s">
        <v>11</v>
      </c>
      <c r="E18648" t="s">
        <v>12</v>
      </c>
      <c r="F18648">
        <v>130275542</v>
      </c>
      <c r="G18648">
        <v>130275590</v>
      </c>
      <c r="H18648">
        <v>130275523</v>
      </c>
      <c r="I18648">
        <v>130275537</v>
      </c>
    </row>
    <row r="18649" spans="1:9" x14ac:dyDescent="0.2">
      <c r="A18649" t="str">
        <f>"Serinc3"</f>
        <v>Serinc3</v>
      </c>
      <c r="B18649" t="s">
        <v>14</v>
      </c>
      <c r="C18649" t="s">
        <v>26</v>
      </c>
      <c r="D18649" t="s">
        <v>11</v>
      </c>
      <c r="E18649" t="s">
        <v>12</v>
      </c>
      <c r="F18649">
        <v>163645081</v>
      </c>
      <c r="G18649">
        <v>163645096</v>
      </c>
      <c r="H18649">
        <v>163645125</v>
      </c>
      <c r="I18649">
        <v>163645136</v>
      </c>
    </row>
    <row r="18650" spans="1:9" x14ac:dyDescent="0.2">
      <c r="A18650" t="str">
        <f>"Serinc4"</f>
        <v>Serinc4</v>
      </c>
      <c r="B18650" t="s">
        <v>14</v>
      </c>
      <c r="C18650" t="s">
        <v>26</v>
      </c>
      <c r="D18650" t="s">
        <v>11</v>
      </c>
      <c r="E18650" t="s">
        <v>12</v>
      </c>
      <c r="F18650">
        <v>121457013</v>
      </c>
      <c r="G18650">
        <v>121457038</v>
      </c>
      <c r="H18650">
        <v>121457013</v>
      </c>
      <c r="I18650">
        <v>121457038</v>
      </c>
    </row>
    <row r="18651" spans="1:9" x14ac:dyDescent="0.2">
      <c r="A18651" t="str">
        <f>"Serinc5"</f>
        <v>Serinc5</v>
      </c>
      <c r="B18651" t="s">
        <v>14</v>
      </c>
      <c r="C18651" t="s">
        <v>39</v>
      </c>
      <c r="D18651" t="s">
        <v>17</v>
      </c>
      <c r="E18651" t="s">
        <v>12</v>
      </c>
      <c r="F18651">
        <v>92611119</v>
      </c>
      <c r="G18651">
        <v>92611139</v>
      </c>
      <c r="H18651">
        <v>92611078</v>
      </c>
      <c r="I18651">
        <v>92611117</v>
      </c>
    </row>
    <row r="18652" spans="1:9" x14ac:dyDescent="0.2">
      <c r="A18652" t="str">
        <f>"Serp1"</f>
        <v>Serp1</v>
      </c>
      <c r="B18652" t="s">
        <v>14</v>
      </c>
      <c r="C18652" t="s">
        <v>22</v>
      </c>
      <c r="D18652" t="s">
        <v>11</v>
      </c>
      <c r="E18652" t="s">
        <v>12</v>
      </c>
      <c r="F18652">
        <v>58525742</v>
      </c>
      <c r="G18652">
        <v>58525761</v>
      </c>
      <c r="H18652">
        <v>58525768</v>
      </c>
      <c r="I18652">
        <v>58525788</v>
      </c>
    </row>
    <row r="18653" spans="1:9" x14ac:dyDescent="0.2">
      <c r="A18653" t="str">
        <f>"Serp2"</f>
        <v>Serp2</v>
      </c>
      <c r="B18653" t="s">
        <v>14</v>
      </c>
      <c r="C18653" t="s">
        <v>41</v>
      </c>
      <c r="D18653" t="s">
        <v>11</v>
      </c>
      <c r="E18653" t="s">
        <v>12</v>
      </c>
      <c r="F18653">
        <v>76556662</v>
      </c>
      <c r="G18653">
        <v>76556716</v>
      </c>
      <c r="H18653">
        <v>76556907</v>
      </c>
      <c r="I18653">
        <v>76556918</v>
      </c>
    </row>
    <row r="18654" spans="1:9" x14ac:dyDescent="0.2">
      <c r="A18654" t="str">
        <f>"Serpina10"</f>
        <v>Serpina10</v>
      </c>
      <c r="B18654" t="s">
        <v>14</v>
      </c>
      <c r="C18654" t="s">
        <v>16</v>
      </c>
      <c r="D18654" t="s">
        <v>11</v>
      </c>
      <c r="E18654" t="s">
        <v>12</v>
      </c>
      <c r="F18654">
        <v>103631404</v>
      </c>
      <c r="G18654">
        <v>103631444</v>
      </c>
      <c r="H18654">
        <v>103631404</v>
      </c>
      <c r="I18654">
        <v>103631444</v>
      </c>
    </row>
    <row r="18655" spans="1:9" x14ac:dyDescent="0.2">
      <c r="A18655" t="str">
        <f>"Serpina12"</f>
        <v>Serpina12</v>
      </c>
      <c r="B18655" t="s">
        <v>14</v>
      </c>
      <c r="C18655" t="s">
        <v>16</v>
      </c>
      <c r="D18655" t="s">
        <v>11</v>
      </c>
      <c r="E18655" t="s">
        <v>12</v>
      </c>
      <c r="F18655">
        <v>104044431</v>
      </c>
      <c r="G18655">
        <v>104044447</v>
      </c>
      <c r="H18655">
        <v>104044375</v>
      </c>
      <c r="I18655">
        <v>104044390</v>
      </c>
    </row>
    <row r="18656" spans="1:9" x14ac:dyDescent="0.2">
      <c r="A18656" t="str">
        <f>"Serpina1a"</f>
        <v>Serpina1a</v>
      </c>
      <c r="B18656" t="s">
        <v>14</v>
      </c>
      <c r="C18656" t="s">
        <v>16</v>
      </c>
      <c r="D18656" t="s">
        <v>11</v>
      </c>
      <c r="E18656" t="s">
        <v>12</v>
      </c>
      <c r="F18656">
        <v>103863595</v>
      </c>
      <c r="G18656">
        <v>103863630</v>
      </c>
      <c r="H18656">
        <v>103863595</v>
      </c>
      <c r="I18656">
        <v>103863630</v>
      </c>
    </row>
    <row r="18657" spans="1:9" x14ac:dyDescent="0.2">
      <c r="A18657" t="str">
        <f>"Serpina1b"</f>
        <v>Serpina1b</v>
      </c>
      <c r="B18657" t="s">
        <v>14</v>
      </c>
      <c r="C18657" t="s">
        <v>16</v>
      </c>
      <c r="D18657" t="s">
        <v>11</v>
      </c>
      <c r="E18657" t="s">
        <v>12</v>
      </c>
      <c r="F18657">
        <v>103828031</v>
      </c>
      <c r="G18657">
        <v>103828062</v>
      </c>
      <c r="H18657">
        <v>103828031</v>
      </c>
      <c r="I18657">
        <v>103828062</v>
      </c>
    </row>
    <row r="18658" spans="1:9" x14ac:dyDescent="0.2">
      <c r="A18658" t="str">
        <f>"Serpina1c"</f>
        <v>Serpina1c</v>
      </c>
      <c r="B18658" t="s">
        <v>14</v>
      </c>
      <c r="C18658" t="s">
        <v>16</v>
      </c>
      <c r="D18658" t="s">
        <v>11</v>
      </c>
      <c r="E18658" t="s">
        <v>12</v>
      </c>
      <c r="F18658">
        <v>103904944</v>
      </c>
      <c r="G18658">
        <v>103904955</v>
      </c>
      <c r="H18658">
        <v>103904944</v>
      </c>
      <c r="I18658">
        <v>103904955</v>
      </c>
    </row>
    <row r="18659" spans="1:9" x14ac:dyDescent="0.2">
      <c r="A18659" t="str">
        <f>"Serpina1d"</f>
        <v>Serpina1d</v>
      </c>
      <c r="B18659" t="s">
        <v>14</v>
      </c>
      <c r="C18659" t="s">
        <v>16</v>
      </c>
      <c r="D18659" t="s">
        <v>11</v>
      </c>
      <c r="E18659" t="s">
        <v>12</v>
      </c>
      <c r="F18659">
        <v>103773564</v>
      </c>
      <c r="G18659">
        <v>103773579</v>
      </c>
      <c r="H18659">
        <v>103773619</v>
      </c>
      <c r="I18659">
        <v>103773630</v>
      </c>
    </row>
    <row r="18660" spans="1:9" x14ac:dyDescent="0.2">
      <c r="A18660" t="str">
        <f>"Serpina1e"</f>
        <v>Serpina1e</v>
      </c>
      <c r="B18660" t="s">
        <v>9</v>
      </c>
      <c r="C18660" t="s">
        <v>16</v>
      </c>
      <c r="D18660" t="s">
        <v>11</v>
      </c>
      <c r="E18660" t="s">
        <v>12</v>
      </c>
      <c r="F18660">
        <v>103956891</v>
      </c>
      <c r="G18660">
        <v>103956901</v>
      </c>
      <c r="H18660">
        <v>103956891</v>
      </c>
      <c r="I18660">
        <v>103956901</v>
      </c>
    </row>
    <row r="18661" spans="1:9" x14ac:dyDescent="0.2">
      <c r="A18661" t="str">
        <f>"Serpina1e"</f>
        <v>Serpina1e</v>
      </c>
      <c r="B18661" t="s">
        <v>13</v>
      </c>
      <c r="C18661" t="s">
        <v>16</v>
      </c>
      <c r="D18661" t="s">
        <v>11</v>
      </c>
      <c r="E18661" t="s">
        <v>12</v>
      </c>
      <c r="F18661">
        <v>103958894</v>
      </c>
      <c r="G18661">
        <v>103958919</v>
      </c>
      <c r="H18661">
        <v>103958894</v>
      </c>
      <c r="I18661">
        <v>103958919</v>
      </c>
    </row>
    <row r="18662" spans="1:9" x14ac:dyDescent="0.2">
      <c r="A18662" t="str">
        <f>"Serpina1f"</f>
        <v>Serpina1f</v>
      </c>
      <c r="B18662" t="s">
        <v>14</v>
      </c>
      <c r="C18662" t="s">
        <v>16</v>
      </c>
      <c r="D18662" t="s">
        <v>11</v>
      </c>
      <c r="E18662" t="s">
        <v>12</v>
      </c>
      <c r="F18662">
        <v>103695439</v>
      </c>
      <c r="G18662">
        <v>103695454</v>
      </c>
      <c r="H18662">
        <v>103694657</v>
      </c>
      <c r="I18662">
        <v>103694673</v>
      </c>
    </row>
    <row r="18663" spans="1:9" x14ac:dyDescent="0.2">
      <c r="A18663" t="str">
        <f>"Serpina3a"</f>
        <v>Serpina3a</v>
      </c>
      <c r="B18663" t="s">
        <v>14</v>
      </c>
      <c r="C18663" t="s">
        <v>16</v>
      </c>
      <c r="D18663" t="s">
        <v>17</v>
      </c>
      <c r="E18663" t="s">
        <v>12</v>
      </c>
      <c r="F18663">
        <v>104112720</v>
      </c>
      <c r="G18663">
        <v>104112726</v>
      </c>
      <c r="H18663">
        <v>104112720</v>
      </c>
      <c r="I18663">
        <v>104112726</v>
      </c>
    </row>
    <row r="18664" spans="1:9" x14ac:dyDescent="0.2">
      <c r="A18664" t="str">
        <f>"Serpina3b"</f>
        <v>Serpina3b</v>
      </c>
      <c r="B18664" t="s">
        <v>14</v>
      </c>
      <c r="C18664" t="s">
        <v>16</v>
      </c>
      <c r="D18664" t="s">
        <v>17</v>
      </c>
      <c r="E18664" t="s">
        <v>12</v>
      </c>
      <c r="F18664">
        <v>104127995</v>
      </c>
      <c r="G18664">
        <v>104128002</v>
      </c>
      <c r="H18664">
        <v>104127995</v>
      </c>
      <c r="I18664">
        <v>104128002</v>
      </c>
    </row>
    <row r="18665" spans="1:9" x14ac:dyDescent="0.2">
      <c r="A18665" t="str">
        <f>"Serpina3c"</f>
        <v>Serpina3c</v>
      </c>
      <c r="B18665" t="s">
        <v>14</v>
      </c>
      <c r="C18665" t="s">
        <v>16</v>
      </c>
      <c r="D18665" t="s">
        <v>11</v>
      </c>
      <c r="E18665" t="s">
        <v>12</v>
      </c>
      <c r="F18665">
        <v>104153846</v>
      </c>
      <c r="G18665">
        <v>104153891</v>
      </c>
      <c r="H18665">
        <v>104153815</v>
      </c>
      <c r="I18665">
        <v>104153833</v>
      </c>
    </row>
    <row r="18666" spans="1:9" x14ac:dyDescent="0.2">
      <c r="A18666" t="str">
        <f>"Serpina3f"</f>
        <v>Serpina3f</v>
      </c>
      <c r="B18666" t="s">
        <v>14</v>
      </c>
      <c r="C18666" t="s">
        <v>16</v>
      </c>
      <c r="D18666" t="s">
        <v>17</v>
      </c>
      <c r="E18666" t="s">
        <v>12</v>
      </c>
      <c r="F18666">
        <v>104214538</v>
      </c>
      <c r="G18666">
        <v>104214549</v>
      </c>
      <c r="H18666">
        <v>104214512</v>
      </c>
      <c r="I18666">
        <v>104214532</v>
      </c>
    </row>
    <row r="18667" spans="1:9" x14ac:dyDescent="0.2">
      <c r="A18667" t="str">
        <f>"Serpina3g"</f>
        <v>Serpina3g</v>
      </c>
      <c r="B18667" t="s">
        <v>14</v>
      </c>
      <c r="C18667" t="s">
        <v>16</v>
      </c>
      <c r="D18667" t="s">
        <v>17</v>
      </c>
      <c r="E18667" t="s">
        <v>12</v>
      </c>
      <c r="F18667">
        <v>104214538</v>
      </c>
      <c r="G18667">
        <v>104214549</v>
      </c>
      <c r="H18667">
        <v>104214512</v>
      </c>
      <c r="I18667">
        <v>104214532</v>
      </c>
    </row>
    <row r="18668" spans="1:9" x14ac:dyDescent="0.2">
      <c r="A18668" t="str">
        <f>"Serpina3i"</f>
        <v>Serpina3i</v>
      </c>
      <c r="B18668" t="s">
        <v>14</v>
      </c>
      <c r="C18668" t="s">
        <v>16</v>
      </c>
      <c r="D18668" t="s">
        <v>17</v>
      </c>
      <c r="E18668" t="s">
        <v>12</v>
      </c>
      <c r="F18668">
        <v>104263133</v>
      </c>
      <c r="G18668">
        <v>104263158</v>
      </c>
      <c r="H18668">
        <v>104263117</v>
      </c>
      <c r="I18668">
        <v>104263129</v>
      </c>
    </row>
    <row r="18669" spans="1:9" x14ac:dyDescent="0.2">
      <c r="A18669" t="str">
        <f>"Serpina3j"</f>
        <v>Serpina3j</v>
      </c>
      <c r="B18669" t="s">
        <v>5732</v>
      </c>
      <c r="C18669" t="s">
        <v>16</v>
      </c>
      <c r="D18669" t="s">
        <v>17</v>
      </c>
      <c r="E18669" t="s">
        <v>20</v>
      </c>
      <c r="F18669">
        <v>104314552</v>
      </c>
      <c r="G18669">
        <v>104314552</v>
      </c>
      <c r="H18669">
        <v>104314552</v>
      </c>
      <c r="I18669">
        <v>104314552</v>
      </c>
    </row>
    <row r="18670" spans="1:9" x14ac:dyDescent="0.2">
      <c r="A18670" t="str">
        <f>"Serpina3k"</f>
        <v>Serpina3k</v>
      </c>
      <c r="B18670" t="s">
        <v>14</v>
      </c>
      <c r="C18670" t="s">
        <v>16</v>
      </c>
      <c r="D18670" t="s">
        <v>17</v>
      </c>
      <c r="E18670" t="s">
        <v>12</v>
      </c>
      <c r="F18670">
        <v>104338372</v>
      </c>
      <c r="G18670">
        <v>104338416</v>
      </c>
      <c r="H18670">
        <v>104338372</v>
      </c>
      <c r="I18670">
        <v>104338416</v>
      </c>
    </row>
    <row r="18671" spans="1:9" x14ac:dyDescent="0.2">
      <c r="A18671" t="str">
        <f>"Serpina3m"</f>
        <v>Serpina3m</v>
      </c>
      <c r="B18671" t="s">
        <v>14</v>
      </c>
      <c r="C18671" t="s">
        <v>16</v>
      </c>
      <c r="D18671" t="s">
        <v>17</v>
      </c>
      <c r="E18671" t="s">
        <v>12</v>
      </c>
      <c r="F18671">
        <v>104387051</v>
      </c>
      <c r="G18671">
        <v>104387057</v>
      </c>
      <c r="H18671">
        <v>104387051</v>
      </c>
      <c r="I18671">
        <v>104387057</v>
      </c>
    </row>
    <row r="18672" spans="1:9" x14ac:dyDescent="0.2">
      <c r="A18672" t="str">
        <f>"Serpina3n"</f>
        <v>Serpina3n</v>
      </c>
      <c r="B18672" t="s">
        <v>14</v>
      </c>
      <c r="C18672" t="s">
        <v>16</v>
      </c>
      <c r="D18672" t="s">
        <v>17</v>
      </c>
      <c r="E18672" t="s">
        <v>12</v>
      </c>
      <c r="F18672">
        <v>104406704</v>
      </c>
      <c r="G18672">
        <v>104406728</v>
      </c>
      <c r="H18672">
        <v>104406733</v>
      </c>
      <c r="I18672">
        <v>104406754</v>
      </c>
    </row>
    <row r="18673" spans="1:9" x14ac:dyDescent="0.2">
      <c r="A18673" t="str">
        <f>"Serpina5"</f>
        <v>Serpina5</v>
      </c>
      <c r="B18673" t="s">
        <v>14</v>
      </c>
      <c r="C18673" t="s">
        <v>16</v>
      </c>
      <c r="D18673" t="s">
        <v>17</v>
      </c>
      <c r="E18673" t="s">
        <v>12</v>
      </c>
      <c r="F18673">
        <v>104101142</v>
      </c>
      <c r="G18673">
        <v>104101157</v>
      </c>
      <c r="H18673">
        <v>104101160</v>
      </c>
      <c r="I18673">
        <v>104101169</v>
      </c>
    </row>
    <row r="18674" spans="1:9" x14ac:dyDescent="0.2">
      <c r="A18674" t="str">
        <f>"Serpina6"</f>
        <v>Serpina6</v>
      </c>
      <c r="B18674" t="s">
        <v>14</v>
      </c>
      <c r="C18674" t="s">
        <v>16</v>
      </c>
      <c r="D18674" t="s">
        <v>11</v>
      </c>
      <c r="E18674" t="s">
        <v>12</v>
      </c>
      <c r="F18674">
        <v>103657095</v>
      </c>
      <c r="G18674">
        <v>103657112</v>
      </c>
      <c r="H18674">
        <v>103657123</v>
      </c>
      <c r="I18674">
        <v>103657134</v>
      </c>
    </row>
    <row r="18675" spans="1:9" x14ac:dyDescent="0.2">
      <c r="A18675" t="str">
        <f>"Serpina7"</f>
        <v>Serpina7</v>
      </c>
      <c r="B18675" t="s">
        <v>14</v>
      </c>
      <c r="C18675" t="s">
        <v>37</v>
      </c>
      <c r="D18675" t="s">
        <v>11</v>
      </c>
      <c r="E18675" t="s">
        <v>12</v>
      </c>
      <c r="F18675">
        <v>139085211</v>
      </c>
      <c r="G18675">
        <v>139085225</v>
      </c>
      <c r="H18675">
        <v>139085230</v>
      </c>
      <c r="I18675">
        <v>139085247</v>
      </c>
    </row>
    <row r="18676" spans="1:9" x14ac:dyDescent="0.2">
      <c r="A18676" t="str">
        <f>"Serpina9"</f>
        <v>Serpina9</v>
      </c>
      <c r="B18676" t="s">
        <v>14</v>
      </c>
      <c r="C18676" t="s">
        <v>16</v>
      </c>
      <c r="D18676" t="s">
        <v>11</v>
      </c>
      <c r="E18676" t="s">
        <v>12</v>
      </c>
      <c r="F18676">
        <v>104013640</v>
      </c>
      <c r="G18676">
        <v>104013658</v>
      </c>
      <c r="H18676">
        <v>104013753</v>
      </c>
      <c r="I18676">
        <v>104013776</v>
      </c>
    </row>
    <row r="18677" spans="1:9" x14ac:dyDescent="0.2">
      <c r="A18677" t="str">
        <f>"Serpinb10"</f>
        <v>Serpinb10</v>
      </c>
      <c r="B18677" t="s">
        <v>5733</v>
      </c>
      <c r="C18677" t="s">
        <v>19</v>
      </c>
      <c r="D18677" t="s">
        <v>17</v>
      </c>
      <c r="E18677" t="s">
        <v>20</v>
      </c>
      <c r="F18677">
        <v>107535507</v>
      </c>
      <c r="G18677">
        <v>107535507</v>
      </c>
      <c r="H18677">
        <v>107535507</v>
      </c>
      <c r="I18677">
        <v>107535507</v>
      </c>
    </row>
    <row r="18678" spans="1:9" x14ac:dyDescent="0.2">
      <c r="A18678" t="str">
        <f>"Serpinb11"</f>
        <v>Serpinb11</v>
      </c>
      <c r="B18678" t="s">
        <v>14</v>
      </c>
      <c r="C18678" t="s">
        <v>19</v>
      </c>
      <c r="D18678" t="s">
        <v>17</v>
      </c>
      <c r="E18678" t="s">
        <v>12</v>
      </c>
      <c r="F18678">
        <v>107362306</v>
      </c>
      <c r="G18678">
        <v>107362319</v>
      </c>
      <c r="H18678">
        <v>107362306</v>
      </c>
      <c r="I18678">
        <v>107362319</v>
      </c>
    </row>
    <row r="18679" spans="1:9" x14ac:dyDescent="0.2">
      <c r="A18679" t="str">
        <f>"Serpinb12"</f>
        <v>Serpinb12</v>
      </c>
      <c r="B18679" t="s">
        <v>14</v>
      </c>
      <c r="C18679" t="s">
        <v>19</v>
      </c>
      <c r="D18679" t="s">
        <v>17</v>
      </c>
      <c r="E18679" t="s">
        <v>12</v>
      </c>
      <c r="F18679">
        <v>106934441</v>
      </c>
      <c r="G18679">
        <v>106934464</v>
      </c>
      <c r="H18679">
        <v>106934441</v>
      </c>
      <c r="I18679">
        <v>106934464</v>
      </c>
    </row>
    <row r="18680" spans="1:9" x14ac:dyDescent="0.2">
      <c r="A18680" t="str">
        <f>"Serpinb13"</f>
        <v>Serpinb13</v>
      </c>
      <c r="B18680" t="s">
        <v>14</v>
      </c>
      <c r="C18680" t="s">
        <v>19</v>
      </c>
      <c r="D18680" t="s">
        <v>17</v>
      </c>
      <c r="E18680" t="s">
        <v>12</v>
      </c>
      <c r="F18680">
        <v>106980979</v>
      </c>
      <c r="G18680">
        <v>106980985</v>
      </c>
      <c r="H18680">
        <v>106980979</v>
      </c>
      <c r="I18680">
        <v>106980985</v>
      </c>
    </row>
    <row r="18681" spans="1:9" x14ac:dyDescent="0.2">
      <c r="A18681" t="str">
        <f>"Serpinb1a"</f>
        <v>Serpinb1a</v>
      </c>
      <c r="B18681" t="s">
        <v>14</v>
      </c>
      <c r="C18681" t="s">
        <v>39</v>
      </c>
      <c r="D18681" t="s">
        <v>11</v>
      </c>
      <c r="E18681" t="s">
        <v>12</v>
      </c>
      <c r="F18681">
        <v>32851176</v>
      </c>
      <c r="G18681">
        <v>32851186</v>
      </c>
      <c r="H18681">
        <v>32851176</v>
      </c>
      <c r="I18681">
        <v>32851186</v>
      </c>
    </row>
    <row r="18682" spans="1:9" x14ac:dyDescent="0.2">
      <c r="A18682" t="str">
        <f>"Serpinb1b"</f>
        <v>Serpinb1b</v>
      </c>
      <c r="B18682" t="s">
        <v>14</v>
      </c>
      <c r="C18682" t="s">
        <v>39</v>
      </c>
      <c r="D18682" t="s">
        <v>17</v>
      </c>
      <c r="E18682" t="s">
        <v>12</v>
      </c>
      <c r="F18682">
        <v>33084113</v>
      </c>
      <c r="G18682">
        <v>33084146</v>
      </c>
      <c r="H18682">
        <v>33084095</v>
      </c>
      <c r="I18682">
        <v>33084104</v>
      </c>
    </row>
    <row r="18683" spans="1:9" x14ac:dyDescent="0.2">
      <c r="A18683" t="str">
        <f>"Serpinb1c"</f>
        <v>Serpinb1c</v>
      </c>
      <c r="B18683" t="s">
        <v>14</v>
      </c>
      <c r="C18683" t="s">
        <v>39</v>
      </c>
      <c r="D18683" t="s">
        <v>11</v>
      </c>
      <c r="E18683" t="s">
        <v>12</v>
      </c>
      <c r="F18683">
        <v>32898147</v>
      </c>
      <c r="G18683">
        <v>32898160</v>
      </c>
      <c r="H18683">
        <v>32898147</v>
      </c>
      <c r="I18683">
        <v>32898160</v>
      </c>
    </row>
    <row r="18684" spans="1:9" x14ac:dyDescent="0.2">
      <c r="A18684" t="str">
        <f>"Serpinb2"</f>
        <v>Serpinb2</v>
      </c>
      <c r="B18684" t="s">
        <v>14</v>
      </c>
      <c r="C18684" t="s">
        <v>19</v>
      </c>
      <c r="D18684" t="s">
        <v>17</v>
      </c>
      <c r="E18684" t="s">
        <v>12</v>
      </c>
      <c r="F18684">
        <v>107511416</v>
      </c>
      <c r="G18684">
        <v>107511431</v>
      </c>
      <c r="H18684">
        <v>107511489</v>
      </c>
      <c r="I18684">
        <v>107511502</v>
      </c>
    </row>
    <row r="18685" spans="1:9" x14ac:dyDescent="0.2">
      <c r="A18685" t="str">
        <f>"Serpinb3a"</f>
        <v>Serpinb3a</v>
      </c>
      <c r="B18685" t="s">
        <v>14</v>
      </c>
      <c r="C18685" t="s">
        <v>19</v>
      </c>
      <c r="D18685" t="s">
        <v>11</v>
      </c>
      <c r="E18685" t="s">
        <v>12</v>
      </c>
      <c r="F18685">
        <v>107052331</v>
      </c>
      <c r="G18685">
        <v>107052345</v>
      </c>
      <c r="H18685">
        <v>107052331</v>
      </c>
      <c r="I18685">
        <v>107052345</v>
      </c>
    </row>
    <row r="18686" spans="1:9" x14ac:dyDescent="0.2">
      <c r="A18686" t="str">
        <f>"Serpinb3b"</f>
        <v>Serpinb3b</v>
      </c>
      <c r="B18686" t="s">
        <v>5734</v>
      </c>
      <c r="C18686" t="s">
        <v>19</v>
      </c>
      <c r="D18686" t="s">
        <v>11</v>
      </c>
      <c r="E18686" t="s">
        <v>20</v>
      </c>
      <c r="F18686">
        <v>107161113</v>
      </c>
      <c r="G18686">
        <v>107161113</v>
      </c>
      <c r="H18686">
        <v>107161113</v>
      </c>
      <c r="I18686">
        <v>107161113</v>
      </c>
    </row>
    <row r="18687" spans="1:9" x14ac:dyDescent="0.2">
      <c r="A18687" t="str">
        <f>"Serpinb3b"</f>
        <v>Serpinb3b</v>
      </c>
      <c r="B18687" t="s">
        <v>5735</v>
      </c>
      <c r="C18687" t="s">
        <v>19</v>
      </c>
      <c r="D18687" t="s">
        <v>11</v>
      </c>
      <c r="E18687" t="s">
        <v>20</v>
      </c>
      <c r="F18687">
        <v>107278360</v>
      </c>
      <c r="G18687">
        <v>107278360</v>
      </c>
      <c r="H18687">
        <v>107278360</v>
      </c>
      <c r="I18687">
        <v>107278360</v>
      </c>
    </row>
    <row r="18688" spans="1:9" x14ac:dyDescent="0.2">
      <c r="A18688" t="str">
        <f>"Serpinb3c"</f>
        <v>Serpinb3c</v>
      </c>
      <c r="B18688" t="s">
        <v>5736</v>
      </c>
      <c r="C18688" t="s">
        <v>19</v>
      </c>
      <c r="D18688" t="s">
        <v>11</v>
      </c>
      <c r="E18688" t="s">
        <v>20</v>
      </c>
      <c r="F18688">
        <v>107278370</v>
      </c>
      <c r="G18688">
        <v>107278370</v>
      </c>
      <c r="H18688">
        <v>107278370</v>
      </c>
      <c r="I18688">
        <v>107278370</v>
      </c>
    </row>
    <row r="18689" spans="1:9" x14ac:dyDescent="0.2">
      <c r="A18689" t="str">
        <f>"Serpinb3d"</f>
        <v>Serpinb3d</v>
      </c>
      <c r="B18689" t="s">
        <v>5737</v>
      </c>
      <c r="C18689" t="s">
        <v>19</v>
      </c>
      <c r="D18689" t="s">
        <v>11</v>
      </c>
      <c r="E18689" t="s">
        <v>20</v>
      </c>
      <c r="F18689">
        <v>107083479</v>
      </c>
      <c r="G18689">
        <v>107083479</v>
      </c>
      <c r="H18689">
        <v>107083479</v>
      </c>
      <c r="I18689">
        <v>107083479</v>
      </c>
    </row>
    <row r="18690" spans="1:9" x14ac:dyDescent="0.2">
      <c r="A18690" t="str">
        <f>"Serpinb5"</f>
        <v>Serpinb5</v>
      </c>
      <c r="B18690" t="s">
        <v>14</v>
      </c>
      <c r="C18690" t="s">
        <v>19</v>
      </c>
      <c r="D18690" t="s">
        <v>17</v>
      </c>
      <c r="E18690" t="s">
        <v>12</v>
      </c>
      <c r="F18690">
        <v>106861144</v>
      </c>
      <c r="G18690">
        <v>106861197</v>
      </c>
      <c r="H18690">
        <v>106861144</v>
      </c>
      <c r="I18690">
        <v>106861197</v>
      </c>
    </row>
    <row r="18691" spans="1:9" x14ac:dyDescent="0.2">
      <c r="A18691" t="str">
        <f>"Serpinb6a"</f>
        <v>Serpinb6a</v>
      </c>
      <c r="B18691" t="s">
        <v>14</v>
      </c>
      <c r="C18691" t="s">
        <v>39</v>
      </c>
      <c r="D18691" t="s">
        <v>11</v>
      </c>
      <c r="E18691" t="s">
        <v>12</v>
      </c>
      <c r="F18691">
        <v>33935969</v>
      </c>
      <c r="G18691">
        <v>33935986</v>
      </c>
      <c r="H18691">
        <v>33935969</v>
      </c>
      <c r="I18691">
        <v>33935986</v>
      </c>
    </row>
    <row r="18692" spans="1:9" x14ac:dyDescent="0.2">
      <c r="A18692" t="str">
        <f>"Serpinb6b"</f>
        <v>Serpinb6b</v>
      </c>
      <c r="B18692" t="s">
        <v>14</v>
      </c>
      <c r="C18692" t="s">
        <v>39</v>
      </c>
      <c r="D18692" t="s">
        <v>17</v>
      </c>
      <c r="E18692" t="s">
        <v>12</v>
      </c>
      <c r="F18692">
        <v>32965494</v>
      </c>
      <c r="G18692">
        <v>32965511</v>
      </c>
      <c r="H18692">
        <v>32965303</v>
      </c>
      <c r="I18692">
        <v>32965317</v>
      </c>
    </row>
    <row r="18693" spans="1:9" x14ac:dyDescent="0.2">
      <c r="A18693" t="str">
        <f>"Serpinb6c"</f>
        <v>Serpinb6c</v>
      </c>
      <c r="B18693" t="s">
        <v>14</v>
      </c>
      <c r="C18693" t="s">
        <v>39</v>
      </c>
      <c r="D18693" t="s">
        <v>11</v>
      </c>
      <c r="E18693" t="s">
        <v>12</v>
      </c>
      <c r="F18693">
        <v>33905180</v>
      </c>
      <c r="G18693">
        <v>33905195</v>
      </c>
      <c r="H18693">
        <v>33905154</v>
      </c>
      <c r="I18693">
        <v>33905163</v>
      </c>
    </row>
    <row r="18694" spans="1:9" x14ac:dyDescent="0.2">
      <c r="A18694" t="str">
        <f>"Serpinb6d"</f>
        <v>Serpinb6d</v>
      </c>
      <c r="B18694" t="s">
        <v>14</v>
      </c>
      <c r="C18694" t="s">
        <v>39</v>
      </c>
      <c r="D18694" t="s">
        <v>17</v>
      </c>
      <c r="E18694" t="s">
        <v>12</v>
      </c>
      <c r="F18694">
        <v>33661402</v>
      </c>
      <c r="G18694">
        <v>33661406</v>
      </c>
      <c r="H18694">
        <v>33661402</v>
      </c>
      <c r="I18694">
        <v>33661406</v>
      </c>
    </row>
    <row r="18695" spans="1:9" x14ac:dyDescent="0.2">
      <c r="A18695" t="str">
        <f>"Serpinb6e"</f>
        <v>Serpinb6e</v>
      </c>
      <c r="B18695" t="s">
        <v>14</v>
      </c>
      <c r="C18695" t="s">
        <v>39</v>
      </c>
      <c r="D18695" t="s">
        <v>11</v>
      </c>
      <c r="E18695" t="s">
        <v>12</v>
      </c>
      <c r="F18695">
        <v>33843406</v>
      </c>
      <c r="G18695">
        <v>33843410</v>
      </c>
      <c r="H18695">
        <v>33843406</v>
      </c>
      <c r="I18695">
        <v>33843410</v>
      </c>
    </row>
    <row r="18696" spans="1:9" x14ac:dyDescent="0.2">
      <c r="A18696" t="str">
        <f>"Serpinb7"</f>
        <v>Serpinb7</v>
      </c>
      <c r="B18696" t="s">
        <v>9</v>
      </c>
      <c r="C18696" t="s">
        <v>19</v>
      </c>
      <c r="D18696" t="s">
        <v>17</v>
      </c>
      <c r="E18696" t="s">
        <v>12</v>
      </c>
      <c r="F18696">
        <v>107422681</v>
      </c>
      <c r="G18696">
        <v>107422695</v>
      </c>
      <c r="H18696">
        <v>107422681</v>
      </c>
      <c r="I18696">
        <v>107422695</v>
      </c>
    </row>
    <row r="18697" spans="1:9" x14ac:dyDescent="0.2">
      <c r="A18697" t="str">
        <f>"Serpinb7"</f>
        <v>Serpinb7</v>
      </c>
      <c r="B18697" t="s">
        <v>13</v>
      </c>
      <c r="C18697" t="s">
        <v>19</v>
      </c>
      <c r="D18697" t="s">
        <v>17</v>
      </c>
      <c r="E18697" t="s">
        <v>12</v>
      </c>
      <c r="F18697">
        <v>107399643</v>
      </c>
      <c r="G18697">
        <v>107399665</v>
      </c>
      <c r="H18697">
        <v>107399643</v>
      </c>
      <c r="I18697">
        <v>107399665</v>
      </c>
    </row>
    <row r="18698" spans="1:9" x14ac:dyDescent="0.2">
      <c r="A18698" t="str">
        <f>"Serpinb8"</f>
        <v>Serpinb8</v>
      </c>
      <c r="B18698" t="s">
        <v>14</v>
      </c>
      <c r="C18698" t="s">
        <v>19</v>
      </c>
      <c r="D18698" t="s">
        <v>17</v>
      </c>
      <c r="E18698" t="s">
        <v>12</v>
      </c>
      <c r="F18698">
        <v>107589997</v>
      </c>
      <c r="G18698">
        <v>107590040</v>
      </c>
      <c r="H18698">
        <v>107590058</v>
      </c>
      <c r="I18698">
        <v>107590113</v>
      </c>
    </row>
    <row r="18699" spans="1:9" x14ac:dyDescent="0.2">
      <c r="A18699" t="str">
        <f>"Serpinb9"</f>
        <v>Serpinb9</v>
      </c>
      <c r="B18699" t="s">
        <v>14</v>
      </c>
      <c r="C18699" t="s">
        <v>39</v>
      </c>
      <c r="D18699" t="s">
        <v>17</v>
      </c>
      <c r="E18699" t="s">
        <v>12</v>
      </c>
      <c r="F18699">
        <v>33004620</v>
      </c>
      <c r="G18699">
        <v>33004640</v>
      </c>
      <c r="H18699">
        <v>33004528</v>
      </c>
      <c r="I18699">
        <v>33004553</v>
      </c>
    </row>
    <row r="18700" spans="1:9" x14ac:dyDescent="0.2">
      <c r="A18700" t="str">
        <f>"Serpinb9b"</f>
        <v>Serpinb9b</v>
      </c>
      <c r="B18700" t="s">
        <v>14</v>
      </c>
      <c r="C18700" t="s">
        <v>39</v>
      </c>
      <c r="D18700" t="s">
        <v>17</v>
      </c>
      <c r="E18700" t="s">
        <v>12</v>
      </c>
      <c r="F18700">
        <v>33027532</v>
      </c>
      <c r="G18700">
        <v>33027547</v>
      </c>
      <c r="H18700">
        <v>33027532</v>
      </c>
      <c r="I18700">
        <v>33027547</v>
      </c>
    </row>
    <row r="18701" spans="1:9" x14ac:dyDescent="0.2">
      <c r="A18701" t="str">
        <f>"Serpinb9c"</f>
        <v>Serpinb9c</v>
      </c>
      <c r="B18701" t="s">
        <v>9</v>
      </c>
      <c r="C18701" t="s">
        <v>39</v>
      </c>
      <c r="D18701" t="s">
        <v>11</v>
      </c>
      <c r="E18701" t="s">
        <v>12</v>
      </c>
      <c r="F18701">
        <v>33159737</v>
      </c>
      <c r="G18701">
        <v>33159755</v>
      </c>
      <c r="H18701">
        <v>33159737</v>
      </c>
      <c r="I18701">
        <v>33159755</v>
      </c>
    </row>
    <row r="18702" spans="1:9" x14ac:dyDescent="0.2">
      <c r="A18702" t="str">
        <f>"Serpinb9c"</f>
        <v>Serpinb9c</v>
      </c>
      <c r="B18702" t="s">
        <v>13</v>
      </c>
      <c r="C18702" t="s">
        <v>39</v>
      </c>
      <c r="D18702" t="s">
        <v>11</v>
      </c>
      <c r="E18702" t="s">
        <v>12</v>
      </c>
      <c r="F18702">
        <v>33158362</v>
      </c>
      <c r="G18702">
        <v>33158374</v>
      </c>
      <c r="H18702">
        <v>33158362</v>
      </c>
      <c r="I18702">
        <v>33158374</v>
      </c>
    </row>
    <row r="18703" spans="1:9" x14ac:dyDescent="0.2">
      <c r="A18703" t="str">
        <f>"Serpinb9d"</f>
        <v>Serpinb9d</v>
      </c>
      <c r="B18703" t="s">
        <v>14</v>
      </c>
      <c r="C18703" t="s">
        <v>39</v>
      </c>
      <c r="D18703" t="s">
        <v>17</v>
      </c>
      <c r="E18703" t="s">
        <v>12</v>
      </c>
      <c r="F18703">
        <v>33192952</v>
      </c>
      <c r="G18703">
        <v>33192964</v>
      </c>
      <c r="H18703">
        <v>33192952</v>
      </c>
      <c r="I18703">
        <v>33192964</v>
      </c>
    </row>
    <row r="18704" spans="1:9" x14ac:dyDescent="0.2">
      <c r="A18704" t="str">
        <f>"Serpinb9e"</f>
        <v>Serpinb9e</v>
      </c>
      <c r="B18704" t="s">
        <v>14</v>
      </c>
      <c r="C18704" t="s">
        <v>39</v>
      </c>
      <c r="D18704" t="s">
        <v>17</v>
      </c>
      <c r="E18704" t="s">
        <v>12</v>
      </c>
      <c r="F18704">
        <v>33249629</v>
      </c>
      <c r="G18704">
        <v>33249640</v>
      </c>
      <c r="H18704">
        <v>33249629</v>
      </c>
      <c r="I18704">
        <v>33249640</v>
      </c>
    </row>
    <row r="18705" spans="1:9" x14ac:dyDescent="0.2">
      <c r="A18705" t="str">
        <f>"Serpinb9f"</f>
        <v>Serpinb9f</v>
      </c>
      <c r="B18705" t="s">
        <v>5738</v>
      </c>
      <c r="C18705" t="s">
        <v>39</v>
      </c>
      <c r="D18705" t="s">
        <v>17</v>
      </c>
      <c r="E18705" t="s">
        <v>20</v>
      </c>
      <c r="F18705">
        <v>33324076</v>
      </c>
      <c r="G18705">
        <v>33324076</v>
      </c>
      <c r="H18705">
        <v>33324076</v>
      </c>
      <c r="I18705">
        <v>33324076</v>
      </c>
    </row>
    <row r="18706" spans="1:9" x14ac:dyDescent="0.2">
      <c r="A18706" t="str">
        <f>"Serpinb9g"</f>
        <v>Serpinb9g</v>
      </c>
      <c r="B18706" t="s">
        <v>14</v>
      </c>
      <c r="C18706" t="s">
        <v>39</v>
      </c>
      <c r="D18706" t="s">
        <v>17</v>
      </c>
      <c r="E18706" t="s">
        <v>12</v>
      </c>
      <c r="F18706">
        <v>33484784</v>
      </c>
      <c r="G18706">
        <v>33484787</v>
      </c>
      <c r="H18706">
        <v>33484784</v>
      </c>
      <c r="I18706">
        <v>33484787</v>
      </c>
    </row>
    <row r="18707" spans="1:9" x14ac:dyDescent="0.2">
      <c r="A18707" t="str">
        <f>"Serpinc1"</f>
        <v>Serpinc1</v>
      </c>
      <c r="B18707" t="s">
        <v>14</v>
      </c>
      <c r="C18707" t="s">
        <v>19</v>
      </c>
      <c r="D18707" t="s">
        <v>17</v>
      </c>
      <c r="E18707" t="s">
        <v>12</v>
      </c>
      <c r="F18707">
        <v>160978625</v>
      </c>
      <c r="G18707">
        <v>160978656</v>
      </c>
      <c r="H18707">
        <v>160978576</v>
      </c>
      <c r="I18707">
        <v>160978590</v>
      </c>
    </row>
    <row r="18708" spans="1:9" x14ac:dyDescent="0.2">
      <c r="A18708" t="str">
        <f>"Serpind1"</f>
        <v>Serpind1</v>
      </c>
      <c r="B18708" t="s">
        <v>14</v>
      </c>
      <c r="C18708" t="s">
        <v>31</v>
      </c>
      <c r="D18708" t="s">
        <v>17</v>
      </c>
      <c r="E18708" t="s">
        <v>12</v>
      </c>
      <c r="F18708">
        <v>17331374</v>
      </c>
      <c r="G18708">
        <v>17331427</v>
      </c>
      <c r="H18708">
        <v>17331374</v>
      </c>
      <c r="I18708">
        <v>17331427</v>
      </c>
    </row>
    <row r="18709" spans="1:9" x14ac:dyDescent="0.2">
      <c r="A18709" t="str">
        <f>"Serpine1"</f>
        <v>Serpine1</v>
      </c>
      <c r="B18709" t="s">
        <v>14</v>
      </c>
      <c r="C18709" t="s">
        <v>46</v>
      </c>
      <c r="D18709" t="s">
        <v>11</v>
      </c>
      <c r="E18709" t="s">
        <v>12</v>
      </c>
      <c r="F18709">
        <v>137072261</v>
      </c>
      <c r="G18709">
        <v>137072277</v>
      </c>
      <c r="H18709">
        <v>137072261</v>
      </c>
      <c r="I18709">
        <v>137072277</v>
      </c>
    </row>
    <row r="18710" spans="1:9" x14ac:dyDescent="0.2">
      <c r="A18710" t="str">
        <f>"Serpine2"</f>
        <v>Serpine2</v>
      </c>
      <c r="B18710" t="s">
        <v>14</v>
      </c>
      <c r="C18710" t="s">
        <v>19</v>
      </c>
      <c r="D18710" t="s">
        <v>11</v>
      </c>
      <c r="E18710" t="s">
        <v>12</v>
      </c>
      <c r="F18710">
        <v>79858627</v>
      </c>
      <c r="G18710">
        <v>79858643</v>
      </c>
      <c r="H18710">
        <v>79858627</v>
      </c>
      <c r="I18710">
        <v>79858643</v>
      </c>
    </row>
    <row r="18711" spans="1:9" x14ac:dyDescent="0.2">
      <c r="A18711" t="str">
        <f>"Serpine3"</f>
        <v>Serpine3</v>
      </c>
      <c r="B18711" t="s">
        <v>14</v>
      </c>
      <c r="C18711" t="s">
        <v>41</v>
      </c>
      <c r="D18711" t="s">
        <v>17</v>
      </c>
      <c r="E18711" t="s">
        <v>12</v>
      </c>
      <c r="F18711">
        <v>62663665</v>
      </c>
      <c r="G18711">
        <v>62663672</v>
      </c>
      <c r="H18711">
        <v>62663665</v>
      </c>
      <c r="I18711">
        <v>62663672</v>
      </c>
    </row>
    <row r="18712" spans="1:9" x14ac:dyDescent="0.2">
      <c r="A18712" t="str">
        <f>"Serpinf1"</f>
        <v>Serpinf1</v>
      </c>
      <c r="B18712" t="s">
        <v>14</v>
      </c>
      <c r="C18712" t="s">
        <v>27</v>
      </c>
      <c r="D18712" t="s">
        <v>11</v>
      </c>
      <c r="E18712" t="s">
        <v>12</v>
      </c>
      <c r="F18712">
        <v>75422524</v>
      </c>
      <c r="G18712">
        <v>75422561</v>
      </c>
      <c r="H18712">
        <v>75422587</v>
      </c>
      <c r="I18712">
        <v>75422609</v>
      </c>
    </row>
    <row r="18713" spans="1:9" x14ac:dyDescent="0.2">
      <c r="A18713" t="str">
        <f>"Serpinf2"</f>
        <v>Serpinf2</v>
      </c>
      <c r="B18713" t="s">
        <v>14</v>
      </c>
      <c r="C18713" t="s">
        <v>27</v>
      </c>
      <c r="D18713" t="s">
        <v>11</v>
      </c>
      <c r="E18713" t="s">
        <v>12</v>
      </c>
      <c r="F18713">
        <v>75439489</v>
      </c>
      <c r="G18713">
        <v>75439531</v>
      </c>
      <c r="H18713">
        <v>75439551</v>
      </c>
      <c r="I18713">
        <v>75439558</v>
      </c>
    </row>
    <row r="18714" spans="1:9" x14ac:dyDescent="0.2">
      <c r="A18714" t="str">
        <f>"Serping1"</f>
        <v>Serping1</v>
      </c>
      <c r="B18714" t="s">
        <v>14</v>
      </c>
      <c r="C18714" t="s">
        <v>26</v>
      </c>
      <c r="D18714" t="s">
        <v>11</v>
      </c>
      <c r="E18714" t="s">
        <v>12</v>
      </c>
      <c r="F18714">
        <v>84774809</v>
      </c>
      <c r="G18714">
        <v>84774860</v>
      </c>
      <c r="H18714">
        <v>84775388</v>
      </c>
      <c r="I18714">
        <v>84775411</v>
      </c>
    </row>
    <row r="18715" spans="1:9" x14ac:dyDescent="0.2">
      <c r="A18715" t="str">
        <f>"Serpinh1"</f>
        <v>Serpinh1</v>
      </c>
      <c r="B18715" t="s">
        <v>14</v>
      </c>
      <c r="C18715" t="s">
        <v>33</v>
      </c>
      <c r="D18715" t="s">
        <v>11</v>
      </c>
      <c r="E18715" t="s">
        <v>12</v>
      </c>
      <c r="F18715">
        <v>99353104</v>
      </c>
      <c r="G18715">
        <v>99353121</v>
      </c>
      <c r="H18715">
        <v>99353104</v>
      </c>
      <c r="I18715">
        <v>99353121</v>
      </c>
    </row>
    <row r="18716" spans="1:9" x14ac:dyDescent="0.2">
      <c r="A18716" t="str">
        <f>"Serpini1"</f>
        <v>Serpini1</v>
      </c>
      <c r="B18716" t="s">
        <v>14</v>
      </c>
      <c r="C18716" t="s">
        <v>22</v>
      </c>
      <c r="D18716" t="s">
        <v>17</v>
      </c>
      <c r="E18716" t="s">
        <v>12</v>
      </c>
      <c r="F18716">
        <v>75557530</v>
      </c>
      <c r="G18716">
        <v>75557561</v>
      </c>
      <c r="H18716">
        <v>75557510</v>
      </c>
      <c r="I18716">
        <v>75557521</v>
      </c>
    </row>
    <row r="18717" spans="1:9" x14ac:dyDescent="0.2">
      <c r="A18717" t="str">
        <f>"Serpini2"</f>
        <v>Serpini2</v>
      </c>
      <c r="B18717" t="s">
        <v>14</v>
      </c>
      <c r="C18717" t="s">
        <v>22</v>
      </c>
      <c r="D18717" t="s">
        <v>11</v>
      </c>
      <c r="E18717" t="s">
        <v>12</v>
      </c>
      <c r="F18717">
        <v>75270073</v>
      </c>
      <c r="G18717">
        <v>75270085</v>
      </c>
      <c r="H18717">
        <v>75270073</v>
      </c>
      <c r="I18717">
        <v>75270085</v>
      </c>
    </row>
    <row r="18718" spans="1:9" x14ac:dyDescent="0.2">
      <c r="A18718" t="str">
        <f>"Sertad1"</f>
        <v>Sertad1</v>
      </c>
      <c r="B18718" t="s">
        <v>14</v>
      </c>
      <c r="C18718" t="s">
        <v>33</v>
      </c>
      <c r="D18718" t="s">
        <v>17</v>
      </c>
      <c r="E18718" t="s">
        <v>12</v>
      </c>
      <c r="F18718">
        <v>27486946</v>
      </c>
      <c r="G18718">
        <v>27486960</v>
      </c>
      <c r="H18718">
        <v>27487127</v>
      </c>
      <c r="I18718">
        <v>27487162</v>
      </c>
    </row>
    <row r="18719" spans="1:9" x14ac:dyDescent="0.2">
      <c r="A18719" t="str">
        <f>"Sertad2"</f>
        <v>Sertad2</v>
      </c>
      <c r="B18719" t="s">
        <v>9</v>
      </c>
      <c r="C18719" t="s">
        <v>27</v>
      </c>
      <c r="D18719" t="s">
        <v>17</v>
      </c>
      <c r="E18719" t="s">
        <v>12</v>
      </c>
      <c r="F18719">
        <v>20631956</v>
      </c>
      <c r="G18719">
        <v>20632006</v>
      </c>
      <c r="H18719">
        <v>20631956</v>
      </c>
      <c r="I18719">
        <v>20632006</v>
      </c>
    </row>
    <row r="18720" spans="1:9" x14ac:dyDescent="0.2">
      <c r="A18720" t="str">
        <f>"Sertad2"</f>
        <v>Sertad2</v>
      </c>
      <c r="B18720" t="s">
        <v>13</v>
      </c>
      <c r="C18720" t="s">
        <v>27</v>
      </c>
      <c r="D18720" t="s">
        <v>17</v>
      </c>
      <c r="E18720" t="s">
        <v>12</v>
      </c>
      <c r="F18720">
        <v>20543246</v>
      </c>
      <c r="G18720">
        <v>20543268</v>
      </c>
      <c r="H18720">
        <v>20543246</v>
      </c>
      <c r="I18720">
        <v>20543268</v>
      </c>
    </row>
    <row r="18721" spans="1:9" x14ac:dyDescent="0.2">
      <c r="A18721" t="str">
        <f>"Sertad3"</f>
        <v>Sertad3</v>
      </c>
      <c r="B18721" t="s">
        <v>14</v>
      </c>
      <c r="C18721" t="s">
        <v>33</v>
      </c>
      <c r="D18721" t="s">
        <v>17</v>
      </c>
      <c r="E18721" t="s">
        <v>12</v>
      </c>
      <c r="F18721">
        <v>27473782</v>
      </c>
      <c r="G18721">
        <v>27473819</v>
      </c>
      <c r="H18721">
        <v>27473761</v>
      </c>
      <c r="I18721">
        <v>27473773</v>
      </c>
    </row>
    <row r="18722" spans="1:9" x14ac:dyDescent="0.2">
      <c r="A18722" t="str">
        <f>"Sertad4"</f>
        <v>Sertad4</v>
      </c>
      <c r="B18722" t="s">
        <v>14</v>
      </c>
      <c r="C18722" t="s">
        <v>19</v>
      </c>
      <c r="D18722" t="s">
        <v>11</v>
      </c>
      <c r="E18722" t="s">
        <v>12</v>
      </c>
      <c r="F18722">
        <v>192855683</v>
      </c>
      <c r="G18722">
        <v>192855715</v>
      </c>
      <c r="H18722">
        <v>192855573</v>
      </c>
      <c r="I18722">
        <v>192855606</v>
      </c>
    </row>
    <row r="18723" spans="1:9" x14ac:dyDescent="0.2">
      <c r="A18723" t="str">
        <f>"Sertm1"</f>
        <v>Sertm1</v>
      </c>
      <c r="B18723" t="s">
        <v>14</v>
      </c>
      <c r="C18723" t="s">
        <v>22</v>
      </c>
      <c r="D18723" t="s">
        <v>11</v>
      </c>
      <c r="E18723" t="s">
        <v>67</v>
      </c>
      <c r="F18723">
        <v>54915867</v>
      </c>
      <c r="G18723">
        <v>54915884</v>
      </c>
      <c r="H18723">
        <v>54915985</v>
      </c>
      <c r="I18723">
        <v>54916021</v>
      </c>
    </row>
    <row r="18724" spans="1:9" x14ac:dyDescent="0.2">
      <c r="A18724" t="str">
        <f>"Sesn1"</f>
        <v>Sesn1</v>
      </c>
      <c r="B18724" t="s">
        <v>5739</v>
      </c>
      <c r="C18724" t="s">
        <v>15</v>
      </c>
      <c r="D18724" t="s">
        <v>17</v>
      </c>
      <c r="E18724" t="s">
        <v>35</v>
      </c>
      <c r="F18724">
        <v>41810528</v>
      </c>
      <c r="G18724">
        <v>41810580</v>
      </c>
      <c r="H18724">
        <v>41810738</v>
      </c>
      <c r="I18724">
        <v>41810755</v>
      </c>
    </row>
    <row r="18725" spans="1:9" x14ac:dyDescent="0.2">
      <c r="A18725" t="str">
        <f>"Sesn2"</f>
        <v>Sesn2</v>
      </c>
      <c r="B18725" t="s">
        <v>14</v>
      </c>
      <c r="C18725" t="s">
        <v>23</v>
      </c>
      <c r="D18725" t="s">
        <v>11</v>
      </c>
      <c r="E18725" t="s">
        <v>12</v>
      </c>
      <c r="F18725">
        <v>132510456</v>
      </c>
      <c r="G18725">
        <v>132510477</v>
      </c>
      <c r="H18725">
        <v>132510493</v>
      </c>
      <c r="I18725">
        <v>132510509</v>
      </c>
    </row>
    <row r="18726" spans="1:9" x14ac:dyDescent="0.2">
      <c r="A18726" t="str">
        <f>"Sesn3"</f>
        <v>Sesn3</v>
      </c>
      <c r="B18726" t="s">
        <v>14</v>
      </c>
      <c r="C18726" t="s">
        <v>24</v>
      </c>
      <c r="D18726" t="s">
        <v>17</v>
      </c>
      <c r="E18726" t="s">
        <v>12</v>
      </c>
      <c r="F18726">
        <v>14276320</v>
      </c>
      <c r="G18726">
        <v>14276347</v>
      </c>
      <c r="H18726">
        <v>14276126</v>
      </c>
      <c r="I18726">
        <v>14276158</v>
      </c>
    </row>
    <row r="18727" spans="1:9" x14ac:dyDescent="0.2">
      <c r="A18727" t="str">
        <f>"Sestd1"</f>
        <v>Sestd1</v>
      </c>
      <c r="B18727" t="s">
        <v>14</v>
      </c>
      <c r="C18727" t="s">
        <v>26</v>
      </c>
      <c r="D18727" t="s">
        <v>11</v>
      </c>
      <c r="E18727" t="s">
        <v>12</v>
      </c>
      <c r="F18727">
        <v>77280589</v>
      </c>
      <c r="G18727">
        <v>77280648</v>
      </c>
      <c r="H18727">
        <v>77280765</v>
      </c>
      <c r="I18727">
        <v>77280848</v>
      </c>
    </row>
    <row r="18728" spans="1:9" x14ac:dyDescent="0.2">
      <c r="A18728" t="str">
        <f>"Set"</f>
        <v>Set</v>
      </c>
      <c r="B18728" t="s">
        <v>14</v>
      </c>
      <c r="C18728" t="s">
        <v>26</v>
      </c>
      <c r="D18728" t="s">
        <v>17</v>
      </c>
      <c r="E18728" t="s">
        <v>12</v>
      </c>
      <c r="F18728">
        <v>30066488</v>
      </c>
      <c r="G18728">
        <v>30066530</v>
      </c>
      <c r="H18728">
        <v>30066419</v>
      </c>
      <c r="I18728">
        <v>30066461</v>
      </c>
    </row>
    <row r="18729" spans="1:9" x14ac:dyDescent="0.2">
      <c r="A18729" t="str">
        <f>"Setbp1"</f>
        <v>Setbp1</v>
      </c>
      <c r="B18729" t="s">
        <v>14</v>
      </c>
      <c r="C18729" t="s">
        <v>43</v>
      </c>
      <c r="D18729" t="s">
        <v>11</v>
      </c>
      <c r="E18729" t="s">
        <v>12</v>
      </c>
      <c r="F18729">
        <v>79109419</v>
      </c>
      <c r="G18729">
        <v>79109510</v>
      </c>
      <c r="H18729">
        <v>79109290</v>
      </c>
      <c r="I18729">
        <v>79109320</v>
      </c>
    </row>
    <row r="18730" spans="1:9" x14ac:dyDescent="0.2">
      <c r="A18730" t="str">
        <f>"Setd1a"</f>
        <v>Setd1a</v>
      </c>
      <c r="B18730" t="s">
        <v>14</v>
      </c>
      <c r="C18730" t="s">
        <v>33</v>
      </c>
      <c r="D18730" t="s">
        <v>17</v>
      </c>
      <c r="E18730" t="s">
        <v>12</v>
      </c>
      <c r="F18730">
        <v>127777315</v>
      </c>
      <c r="G18730">
        <v>127777367</v>
      </c>
      <c r="H18730">
        <v>127777095</v>
      </c>
      <c r="I18730">
        <v>127777152</v>
      </c>
    </row>
    <row r="18731" spans="1:9" x14ac:dyDescent="0.2">
      <c r="A18731" t="str">
        <f>"Setd1b"</f>
        <v>Setd1b</v>
      </c>
      <c r="B18731" t="s">
        <v>14</v>
      </c>
      <c r="C18731" t="s">
        <v>46</v>
      </c>
      <c r="D18731" t="s">
        <v>17</v>
      </c>
      <c r="E18731" t="s">
        <v>12</v>
      </c>
      <c r="F18731">
        <v>123142230</v>
      </c>
      <c r="G18731">
        <v>123142286</v>
      </c>
      <c r="H18731">
        <v>123142187</v>
      </c>
      <c r="I18731">
        <v>123142229</v>
      </c>
    </row>
    <row r="18732" spans="1:9" x14ac:dyDescent="0.2">
      <c r="A18732" t="str">
        <f>"Setd2"</f>
        <v>Setd2</v>
      </c>
      <c r="B18732" t="s">
        <v>14</v>
      </c>
      <c r="C18732" t="s">
        <v>24</v>
      </c>
      <c r="D18732" t="s">
        <v>17</v>
      </c>
      <c r="E18732" t="s">
        <v>12</v>
      </c>
      <c r="F18732">
        <v>110532501</v>
      </c>
      <c r="G18732">
        <v>110532600</v>
      </c>
      <c r="H18732">
        <v>110532642</v>
      </c>
      <c r="I18732">
        <v>110532692</v>
      </c>
    </row>
    <row r="18733" spans="1:9" x14ac:dyDescent="0.2">
      <c r="A18733" t="str">
        <f>"Setd3"</f>
        <v>Setd3</v>
      </c>
      <c r="B18733" t="s">
        <v>14</v>
      </c>
      <c r="C18733" t="s">
        <v>16</v>
      </c>
      <c r="D18733" t="s">
        <v>11</v>
      </c>
      <c r="E18733" t="s">
        <v>12</v>
      </c>
      <c r="F18733">
        <v>108179237</v>
      </c>
      <c r="G18733">
        <v>108179339</v>
      </c>
      <c r="H18733">
        <v>108179210</v>
      </c>
      <c r="I18733">
        <v>108179225</v>
      </c>
    </row>
    <row r="18734" spans="1:9" x14ac:dyDescent="0.2">
      <c r="A18734" t="str">
        <f>"Setd4"</f>
        <v>Setd4</v>
      </c>
      <c r="B18734" t="s">
        <v>14</v>
      </c>
      <c r="C18734" t="s">
        <v>31</v>
      </c>
      <c r="D18734" t="s">
        <v>11</v>
      </c>
      <c r="E18734" t="s">
        <v>12</v>
      </c>
      <c r="F18734">
        <v>93604040</v>
      </c>
      <c r="G18734">
        <v>93604077</v>
      </c>
      <c r="H18734">
        <v>93603805</v>
      </c>
      <c r="I18734">
        <v>93603834</v>
      </c>
    </row>
    <row r="18735" spans="1:9" x14ac:dyDescent="0.2">
      <c r="A18735" t="str">
        <f>"Setd5"</f>
        <v>Setd5</v>
      </c>
      <c r="B18735" t="s">
        <v>14</v>
      </c>
      <c r="C18735" t="s">
        <v>32</v>
      </c>
      <c r="D18735" t="s">
        <v>17</v>
      </c>
      <c r="E18735" t="s">
        <v>12</v>
      </c>
      <c r="F18735">
        <v>113077354</v>
      </c>
      <c r="G18735">
        <v>113077382</v>
      </c>
      <c r="H18735">
        <v>113077567</v>
      </c>
      <c r="I18735">
        <v>113077623</v>
      </c>
    </row>
    <row r="18736" spans="1:9" x14ac:dyDescent="0.2">
      <c r="A18736" t="str">
        <f>"Setd6"</f>
        <v>Setd6</v>
      </c>
      <c r="B18736" t="s">
        <v>14</v>
      </c>
      <c r="C18736" t="s">
        <v>30</v>
      </c>
      <c r="D18736" t="s">
        <v>17</v>
      </c>
      <c r="E18736" t="s">
        <v>12</v>
      </c>
      <c r="F18736">
        <v>95715901</v>
      </c>
      <c r="G18736">
        <v>95715932</v>
      </c>
      <c r="H18736">
        <v>95715994</v>
      </c>
      <c r="I18736">
        <v>95715998</v>
      </c>
    </row>
    <row r="18737" spans="1:9" x14ac:dyDescent="0.2">
      <c r="A18737" t="str">
        <f>"Setd7"</f>
        <v>Setd7</v>
      </c>
      <c r="B18737" t="s">
        <v>14</v>
      </c>
      <c r="C18737" t="s">
        <v>22</v>
      </c>
      <c r="D18737" t="s">
        <v>11</v>
      </c>
      <c r="E18737" t="s">
        <v>12</v>
      </c>
      <c r="F18737">
        <v>51560595</v>
      </c>
      <c r="G18737">
        <v>51560686</v>
      </c>
      <c r="H18737">
        <v>51560816</v>
      </c>
      <c r="I18737">
        <v>51560875</v>
      </c>
    </row>
    <row r="18738" spans="1:9" x14ac:dyDescent="0.2">
      <c r="A18738" t="str">
        <f>"Setd8"</f>
        <v>Setd8</v>
      </c>
      <c r="B18738" t="s">
        <v>9</v>
      </c>
      <c r="C18738" t="s">
        <v>46</v>
      </c>
      <c r="D18738" t="s">
        <v>17</v>
      </c>
      <c r="E18738" t="s">
        <v>12</v>
      </c>
      <c r="F18738">
        <v>124445461</v>
      </c>
      <c r="G18738">
        <v>124445532</v>
      </c>
      <c r="H18738">
        <v>124445461</v>
      </c>
      <c r="I18738">
        <v>124445532</v>
      </c>
    </row>
    <row r="18739" spans="1:9" x14ac:dyDescent="0.2">
      <c r="A18739" t="str">
        <f>"Setd8"</f>
        <v>Setd8</v>
      </c>
      <c r="B18739" t="s">
        <v>13</v>
      </c>
      <c r="C18739" t="s">
        <v>46</v>
      </c>
      <c r="D18739" t="s">
        <v>17</v>
      </c>
      <c r="E18739" t="s">
        <v>12</v>
      </c>
      <c r="F18739">
        <v>124439891</v>
      </c>
      <c r="G18739">
        <v>124439991</v>
      </c>
      <c r="H18739">
        <v>124439891</v>
      </c>
      <c r="I18739">
        <v>124439991</v>
      </c>
    </row>
    <row r="18740" spans="1:9" x14ac:dyDescent="0.2">
      <c r="A18740" t="str">
        <f>"Setdb1"</f>
        <v>Setdb1</v>
      </c>
      <c r="B18740" t="s">
        <v>14</v>
      </c>
      <c r="C18740" t="s">
        <v>22</v>
      </c>
      <c r="D18740" t="s">
        <v>11</v>
      </c>
      <c r="E18740" t="s">
        <v>12</v>
      </c>
      <c r="F18740">
        <v>95357186</v>
      </c>
      <c r="G18740">
        <v>95357211</v>
      </c>
      <c r="H18740">
        <v>95357217</v>
      </c>
      <c r="I18740">
        <v>95357244</v>
      </c>
    </row>
    <row r="18741" spans="1:9" x14ac:dyDescent="0.2">
      <c r="A18741" t="str">
        <f>"Setdb2"</f>
        <v>Setdb2</v>
      </c>
      <c r="B18741" t="s">
        <v>14</v>
      </c>
      <c r="C18741" t="s">
        <v>41</v>
      </c>
      <c r="D18741" t="s">
        <v>11</v>
      </c>
      <c r="E18741" t="s">
        <v>12</v>
      </c>
      <c r="F18741">
        <v>59440779</v>
      </c>
      <c r="G18741">
        <v>59440887</v>
      </c>
      <c r="H18741">
        <v>59440896</v>
      </c>
      <c r="I18741">
        <v>59440909</v>
      </c>
    </row>
    <row r="18742" spans="1:9" x14ac:dyDescent="0.2">
      <c r="A18742" t="str">
        <f>"Setmar"</f>
        <v>Setmar</v>
      </c>
      <c r="B18742" t="s">
        <v>14</v>
      </c>
      <c r="C18742" t="s">
        <v>32</v>
      </c>
      <c r="D18742" t="s">
        <v>17</v>
      </c>
      <c r="E18742" t="s">
        <v>12</v>
      </c>
      <c r="F18742">
        <v>108065035</v>
      </c>
      <c r="G18742">
        <v>108065053</v>
      </c>
      <c r="H18742">
        <v>108065016</v>
      </c>
      <c r="I18742">
        <v>108065032</v>
      </c>
    </row>
    <row r="18743" spans="1:9" x14ac:dyDescent="0.2">
      <c r="A18743" t="str">
        <f>"Setx"</f>
        <v>Setx</v>
      </c>
      <c r="B18743" t="s">
        <v>14</v>
      </c>
      <c r="C18743" t="s">
        <v>26</v>
      </c>
      <c r="D18743" t="s">
        <v>17</v>
      </c>
      <c r="E18743" t="s">
        <v>12</v>
      </c>
      <c r="F18743">
        <v>29125143</v>
      </c>
      <c r="G18743">
        <v>29125178</v>
      </c>
      <c r="H18743">
        <v>29124972</v>
      </c>
      <c r="I18743">
        <v>29125048</v>
      </c>
    </row>
    <row r="18744" spans="1:9" x14ac:dyDescent="0.2">
      <c r="A18744" t="str">
        <f>"Sez6"</f>
        <v>Sez6</v>
      </c>
      <c r="B18744" t="s">
        <v>14</v>
      </c>
      <c r="C18744" t="s">
        <v>27</v>
      </c>
      <c r="D18744" t="s">
        <v>17</v>
      </c>
      <c r="E18744" t="s">
        <v>12</v>
      </c>
      <c r="F18744">
        <v>77930872</v>
      </c>
      <c r="G18744">
        <v>77930934</v>
      </c>
      <c r="H18744">
        <v>77930872</v>
      </c>
      <c r="I18744">
        <v>77930934</v>
      </c>
    </row>
    <row r="18745" spans="1:9" x14ac:dyDescent="0.2">
      <c r="A18745" t="str">
        <f>"Sez6l"</f>
        <v>Sez6l</v>
      </c>
      <c r="B18745" t="s">
        <v>14</v>
      </c>
      <c r="C18745" t="s">
        <v>46</v>
      </c>
      <c r="D18745" t="s">
        <v>11</v>
      </c>
      <c r="E18745" t="s">
        <v>12</v>
      </c>
      <c r="F18745">
        <v>112577186</v>
      </c>
      <c r="G18745">
        <v>112577204</v>
      </c>
      <c r="H18745">
        <v>112577149</v>
      </c>
      <c r="I18745">
        <v>112577177</v>
      </c>
    </row>
    <row r="18746" spans="1:9" x14ac:dyDescent="0.2">
      <c r="A18746" t="str">
        <f>"Sez6l2"</f>
        <v>Sez6l2</v>
      </c>
      <c r="B18746" t="s">
        <v>9</v>
      </c>
      <c r="C18746" t="s">
        <v>33</v>
      </c>
      <c r="D18746" t="s">
        <v>17</v>
      </c>
      <c r="E18746" t="s">
        <v>12</v>
      </c>
      <c r="F18746">
        <v>126950518</v>
      </c>
      <c r="G18746">
        <v>126950583</v>
      </c>
      <c r="H18746">
        <v>126950518</v>
      </c>
      <c r="I18746">
        <v>126950583</v>
      </c>
    </row>
    <row r="18747" spans="1:9" x14ac:dyDescent="0.2">
      <c r="A18747" t="str">
        <f>"Sez6l2"</f>
        <v>Sez6l2</v>
      </c>
      <c r="B18747" t="s">
        <v>13</v>
      </c>
      <c r="C18747" t="s">
        <v>33</v>
      </c>
      <c r="D18747" t="s">
        <v>17</v>
      </c>
      <c r="E18747" t="s">
        <v>12</v>
      </c>
      <c r="F18747">
        <v>126942139</v>
      </c>
      <c r="G18747">
        <v>126942159</v>
      </c>
      <c r="H18747">
        <v>126942139</v>
      </c>
      <c r="I18747">
        <v>126942159</v>
      </c>
    </row>
    <row r="18748" spans="1:9" x14ac:dyDescent="0.2">
      <c r="A18748" t="str">
        <f>"Sf1"</f>
        <v>Sf1</v>
      </c>
      <c r="B18748" t="s">
        <v>14</v>
      </c>
      <c r="C18748" t="s">
        <v>10</v>
      </c>
      <c r="D18748" t="s">
        <v>17</v>
      </c>
      <c r="E18748" t="s">
        <v>12</v>
      </c>
      <c r="F18748">
        <v>6363896</v>
      </c>
      <c r="G18748">
        <v>6363941</v>
      </c>
      <c r="H18748">
        <v>6363671</v>
      </c>
      <c r="I18748">
        <v>6363704</v>
      </c>
    </row>
    <row r="18749" spans="1:9" x14ac:dyDescent="0.2">
      <c r="A18749" t="str">
        <f>"Sf3a1"</f>
        <v>Sf3a1</v>
      </c>
      <c r="B18749" t="s">
        <v>14</v>
      </c>
      <c r="C18749" t="s">
        <v>27</v>
      </c>
      <c r="D18749" t="s">
        <v>17</v>
      </c>
      <c r="E18749" t="s">
        <v>12</v>
      </c>
      <c r="F18749">
        <v>4160348</v>
      </c>
      <c r="G18749">
        <v>4160404</v>
      </c>
      <c r="H18749">
        <v>4160509</v>
      </c>
      <c r="I18749">
        <v>4160518</v>
      </c>
    </row>
    <row r="18750" spans="1:9" x14ac:dyDescent="0.2">
      <c r="A18750" t="str">
        <f>"Sf3a2"</f>
        <v>Sf3a2</v>
      </c>
      <c r="B18750" t="s">
        <v>14</v>
      </c>
      <c r="C18750" t="s">
        <v>15</v>
      </c>
      <c r="D18750" t="s">
        <v>17</v>
      </c>
      <c r="E18750" t="s">
        <v>12</v>
      </c>
      <c r="F18750">
        <v>80798652</v>
      </c>
      <c r="G18750">
        <v>80798757</v>
      </c>
      <c r="H18750">
        <v>80798630</v>
      </c>
      <c r="I18750">
        <v>80798642</v>
      </c>
    </row>
    <row r="18751" spans="1:9" x14ac:dyDescent="0.2">
      <c r="A18751" t="str">
        <f>"Sf3a3"</f>
        <v>Sf3a3</v>
      </c>
      <c r="B18751" t="s">
        <v>14</v>
      </c>
      <c r="C18751" t="s">
        <v>23</v>
      </c>
      <c r="D18751" t="s">
        <v>17</v>
      </c>
      <c r="E18751" t="s">
        <v>12</v>
      </c>
      <c r="F18751">
        <v>124714809</v>
      </c>
      <c r="G18751">
        <v>124714879</v>
      </c>
      <c r="H18751">
        <v>124714809</v>
      </c>
      <c r="I18751">
        <v>124714879</v>
      </c>
    </row>
    <row r="18752" spans="1:9" x14ac:dyDescent="0.2">
      <c r="A18752" t="str">
        <f>"Sf3b1"</f>
        <v>Sf3b1</v>
      </c>
      <c r="B18752" t="s">
        <v>14</v>
      </c>
      <c r="C18752" t="s">
        <v>19</v>
      </c>
      <c r="D18752" t="s">
        <v>11</v>
      </c>
      <c r="E18752" t="s">
        <v>12</v>
      </c>
      <c r="F18752">
        <v>55027377</v>
      </c>
      <c r="G18752">
        <v>55027406</v>
      </c>
      <c r="H18752">
        <v>55027473</v>
      </c>
      <c r="I18752">
        <v>55027484</v>
      </c>
    </row>
    <row r="18753" spans="1:9" x14ac:dyDescent="0.2">
      <c r="A18753" t="str">
        <f>"Sf3b2"</f>
        <v>Sf3b2</v>
      </c>
      <c r="B18753" t="s">
        <v>14</v>
      </c>
      <c r="C18753" t="s">
        <v>10</v>
      </c>
      <c r="D18753" t="s">
        <v>11</v>
      </c>
      <c r="E18753" t="s">
        <v>12</v>
      </c>
      <c r="F18753">
        <v>5295397</v>
      </c>
      <c r="G18753">
        <v>5295430</v>
      </c>
      <c r="H18753">
        <v>5295397</v>
      </c>
      <c r="I18753">
        <v>5295430</v>
      </c>
    </row>
    <row r="18754" spans="1:9" x14ac:dyDescent="0.2">
      <c r="A18754" t="str">
        <f>"Sf3b3"</f>
        <v>Sf3b3</v>
      </c>
      <c r="B18754" t="s">
        <v>14</v>
      </c>
      <c r="C18754" t="s">
        <v>30</v>
      </c>
      <c r="D18754" t="s">
        <v>11</v>
      </c>
      <c r="E18754" t="s">
        <v>12</v>
      </c>
      <c r="F18754">
        <v>110846770</v>
      </c>
      <c r="G18754">
        <v>110846798</v>
      </c>
      <c r="H18754">
        <v>110846970</v>
      </c>
      <c r="I18754">
        <v>110846977</v>
      </c>
    </row>
    <row r="18755" spans="1:9" x14ac:dyDescent="0.2">
      <c r="A18755" t="str">
        <f>"Sf3b4"</f>
        <v>Sf3b4</v>
      </c>
      <c r="B18755" t="s">
        <v>14</v>
      </c>
      <c r="C18755" t="s">
        <v>22</v>
      </c>
      <c r="D18755" t="s">
        <v>17</v>
      </c>
      <c r="E18755" t="s">
        <v>12</v>
      </c>
      <c r="F18755">
        <v>96172534</v>
      </c>
      <c r="G18755">
        <v>96172564</v>
      </c>
      <c r="H18755">
        <v>96172507</v>
      </c>
      <c r="I18755">
        <v>96172530</v>
      </c>
    </row>
    <row r="18756" spans="1:9" x14ac:dyDescent="0.2">
      <c r="A18756" t="str">
        <f>"Sf3b5"</f>
        <v>Sf3b5</v>
      </c>
      <c r="B18756" t="s">
        <v>14</v>
      </c>
      <c r="C18756" t="s">
        <v>15</v>
      </c>
      <c r="D18756" t="s">
        <v>17</v>
      </c>
      <c r="E18756" t="s">
        <v>12</v>
      </c>
      <c r="F18756">
        <v>13008442</v>
      </c>
      <c r="G18756">
        <v>13008519</v>
      </c>
      <c r="H18756">
        <v>13008423</v>
      </c>
      <c r="I18756">
        <v>13008437</v>
      </c>
    </row>
    <row r="18757" spans="1:9" x14ac:dyDescent="0.2">
      <c r="A18757" t="str">
        <f>"Sfi1"</f>
        <v>Sfi1</v>
      </c>
      <c r="B18757" t="s">
        <v>14</v>
      </c>
      <c r="C18757" t="s">
        <v>27</v>
      </c>
      <c r="D18757" t="s">
        <v>11</v>
      </c>
      <c r="E18757" t="s">
        <v>12</v>
      </c>
      <c r="F18757">
        <v>3193388</v>
      </c>
      <c r="G18757">
        <v>3193450</v>
      </c>
      <c r="H18757">
        <v>3193388</v>
      </c>
      <c r="I18757">
        <v>3193450</v>
      </c>
    </row>
    <row r="18758" spans="1:9" x14ac:dyDescent="0.2">
      <c r="A18758" t="str">
        <f>"Sfmbt1"</f>
        <v>Sfmbt1</v>
      </c>
      <c r="B18758" t="s">
        <v>14</v>
      </c>
      <c r="C18758" t="s">
        <v>41</v>
      </c>
      <c r="D18758" t="s">
        <v>17</v>
      </c>
      <c r="E18758" t="s">
        <v>12</v>
      </c>
      <c r="F18758">
        <v>30715688</v>
      </c>
      <c r="G18758">
        <v>30715741</v>
      </c>
      <c r="H18758">
        <v>30715599</v>
      </c>
      <c r="I18758">
        <v>30715641</v>
      </c>
    </row>
    <row r="18759" spans="1:9" x14ac:dyDescent="0.2">
      <c r="A18759" t="str">
        <f>"Sfmbt2"</f>
        <v>Sfmbt2</v>
      </c>
      <c r="B18759" t="s">
        <v>9</v>
      </c>
      <c r="C18759" t="s">
        <v>26</v>
      </c>
      <c r="D18759" t="s">
        <v>17</v>
      </c>
      <c r="E18759" t="s">
        <v>12</v>
      </c>
      <c r="F18759">
        <v>10370494</v>
      </c>
      <c r="G18759">
        <v>10370517</v>
      </c>
      <c r="H18759">
        <v>10370494</v>
      </c>
      <c r="I18759">
        <v>10370517</v>
      </c>
    </row>
    <row r="18760" spans="1:9" x14ac:dyDescent="0.2">
      <c r="A18760" t="str">
        <f>"Sfmbt2"</f>
        <v>Sfmbt2</v>
      </c>
      <c r="B18760" t="s">
        <v>13</v>
      </c>
      <c r="C18760" t="s">
        <v>26</v>
      </c>
      <c r="D18760" t="s">
        <v>17</v>
      </c>
      <c r="E18760" t="s">
        <v>12</v>
      </c>
      <c r="F18760">
        <v>10372426</v>
      </c>
      <c r="G18760">
        <v>10372497</v>
      </c>
      <c r="H18760">
        <v>10372426</v>
      </c>
      <c r="I18760">
        <v>10372497</v>
      </c>
    </row>
    <row r="18761" spans="1:9" x14ac:dyDescent="0.2">
      <c r="A18761" t="str">
        <f>"Sfn"</f>
        <v>Sfn</v>
      </c>
      <c r="B18761" t="s">
        <v>14</v>
      </c>
      <c r="C18761" t="s">
        <v>23</v>
      </c>
      <c r="D18761" t="s">
        <v>11</v>
      </c>
      <c r="E18761" t="s">
        <v>12</v>
      </c>
      <c r="F18761">
        <v>133601822</v>
      </c>
      <c r="G18761">
        <v>133601838</v>
      </c>
      <c r="H18761">
        <v>133601822</v>
      </c>
      <c r="I18761">
        <v>133601838</v>
      </c>
    </row>
    <row r="18762" spans="1:9" x14ac:dyDescent="0.2">
      <c r="A18762" t="str">
        <f>"Sfpq"</f>
        <v>Sfpq</v>
      </c>
      <c r="B18762" t="s">
        <v>14</v>
      </c>
      <c r="C18762" t="s">
        <v>23</v>
      </c>
      <c r="D18762" t="s">
        <v>17</v>
      </c>
      <c r="E18762" t="s">
        <v>12</v>
      </c>
      <c r="F18762">
        <v>127021311</v>
      </c>
      <c r="G18762">
        <v>127021339</v>
      </c>
      <c r="H18762">
        <v>127021285</v>
      </c>
      <c r="I18762">
        <v>127021292</v>
      </c>
    </row>
    <row r="18763" spans="1:9" x14ac:dyDescent="0.2">
      <c r="A18763" t="str">
        <f>"Sfr1"</f>
        <v>Sfr1</v>
      </c>
      <c r="B18763" t="s">
        <v>14</v>
      </c>
      <c r="C18763" t="s">
        <v>10</v>
      </c>
      <c r="D18763" t="s">
        <v>17</v>
      </c>
      <c r="E18763" t="s">
        <v>12</v>
      </c>
      <c r="F18763">
        <v>47731774</v>
      </c>
      <c r="G18763">
        <v>47731797</v>
      </c>
      <c r="H18763">
        <v>47731743</v>
      </c>
      <c r="I18763">
        <v>47731768</v>
      </c>
    </row>
    <row r="18764" spans="1:9" x14ac:dyDescent="0.2">
      <c r="A18764" t="str">
        <f>"Sfrp1"</f>
        <v>Sfrp1</v>
      </c>
      <c r="B18764" t="s">
        <v>14</v>
      </c>
      <c r="C18764" t="s">
        <v>30</v>
      </c>
      <c r="D18764" t="s">
        <v>17</v>
      </c>
      <c r="E18764" t="s">
        <v>12</v>
      </c>
      <c r="F18764">
        <v>23411490</v>
      </c>
      <c r="G18764">
        <v>23411507</v>
      </c>
      <c r="H18764">
        <v>23411490</v>
      </c>
      <c r="I18764">
        <v>23411507</v>
      </c>
    </row>
    <row r="18765" spans="1:9" x14ac:dyDescent="0.2">
      <c r="A18765" t="str">
        <f>"Sfrp2"</f>
        <v>Sfrp2</v>
      </c>
      <c r="B18765" t="s">
        <v>14</v>
      </c>
      <c r="C18765" t="s">
        <v>22</v>
      </c>
      <c r="D18765" t="s">
        <v>17</v>
      </c>
      <c r="E18765" t="s">
        <v>12</v>
      </c>
      <c r="F18765">
        <v>83766300</v>
      </c>
      <c r="G18765">
        <v>83766331</v>
      </c>
      <c r="H18765">
        <v>83766661</v>
      </c>
      <c r="I18765">
        <v>83766672</v>
      </c>
    </row>
    <row r="18766" spans="1:9" x14ac:dyDescent="0.2">
      <c r="A18766" t="str">
        <f>"Sfrp4"</f>
        <v>Sfrp4</v>
      </c>
      <c r="B18766" t="s">
        <v>14</v>
      </c>
      <c r="C18766" t="s">
        <v>39</v>
      </c>
      <c r="D18766" t="s">
        <v>17</v>
      </c>
      <c r="E18766" t="s">
        <v>12</v>
      </c>
      <c r="F18766">
        <v>19623163</v>
      </c>
      <c r="G18766">
        <v>19623183</v>
      </c>
      <c r="H18766">
        <v>19623300</v>
      </c>
      <c r="I18766">
        <v>19623313</v>
      </c>
    </row>
    <row r="18767" spans="1:9" x14ac:dyDescent="0.2">
      <c r="A18767" t="str">
        <f>"Sfrp5"</f>
        <v>Sfrp5</v>
      </c>
      <c r="B18767" t="s">
        <v>14</v>
      </c>
      <c r="C18767" t="s">
        <v>10</v>
      </c>
      <c r="D18767" t="s">
        <v>11</v>
      </c>
      <c r="E18767" t="s">
        <v>12</v>
      </c>
      <c r="F18767">
        <v>42202150</v>
      </c>
      <c r="G18767">
        <v>42202164</v>
      </c>
      <c r="H18767">
        <v>42202116</v>
      </c>
      <c r="I18767">
        <v>42202130</v>
      </c>
    </row>
    <row r="18768" spans="1:9" x14ac:dyDescent="0.2">
      <c r="A18768" t="str">
        <f>"Sfrs18"</f>
        <v>Sfrs18</v>
      </c>
      <c r="B18768" t="s">
        <v>14</v>
      </c>
      <c r="C18768" t="s">
        <v>23</v>
      </c>
      <c r="D18768" t="s">
        <v>17</v>
      </c>
      <c r="E18768" t="s">
        <v>12</v>
      </c>
      <c r="F18768">
        <v>21848039</v>
      </c>
      <c r="G18768">
        <v>21848077</v>
      </c>
      <c r="H18768">
        <v>21848039</v>
      </c>
      <c r="I18768">
        <v>21848077</v>
      </c>
    </row>
    <row r="18769" spans="1:9" x14ac:dyDescent="0.2">
      <c r="A18769" t="str">
        <f>"Sfswap"</f>
        <v>Sfswap</v>
      </c>
      <c r="B18769" t="s">
        <v>14</v>
      </c>
      <c r="C18769" t="s">
        <v>46</v>
      </c>
      <c r="D18769" t="s">
        <v>17</v>
      </c>
      <c r="E18769" t="s">
        <v>12</v>
      </c>
      <c r="F18769">
        <v>129501223</v>
      </c>
      <c r="G18769">
        <v>129501253</v>
      </c>
      <c r="H18769">
        <v>129501330</v>
      </c>
      <c r="I18769">
        <v>129501350</v>
      </c>
    </row>
    <row r="18770" spans="1:9" x14ac:dyDescent="0.2">
      <c r="A18770" t="str">
        <f>"Sft2d1"</f>
        <v>Sft2d1</v>
      </c>
      <c r="B18770" t="s">
        <v>14</v>
      </c>
      <c r="C18770" t="s">
        <v>28</v>
      </c>
      <c r="D18770" t="s">
        <v>17</v>
      </c>
      <c r="E18770" t="s">
        <v>12</v>
      </c>
      <c r="F18770">
        <v>8311101</v>
      </c>
      <c r="G18770">
        <v>8311168</v>
      </c>
      <c r="H18770">
        <v>8311084</v>
      </c>
      <c r="I18770">
        <v>8311093</v>
      </c>
    </row>
    <row r="18771" spans="1:9" x14ac:dyDescent="0.2">
      <c r="A18771" t="str">
        <f>"Sft2d2"</f>
        <v>Sft2d2</v>
      </c>
      <c r="B18771" t="s">
        <v>14</v>
      </c>
      <c r="C18771" t="s">
        <v>19</v>
      </c>
      <c r="D18771" t="s">
        <v>11</v>
      </c>
      <c r="E18771" t="s">
        <v>12</v>
      </c>
      <c r="F18771">
        <v>165194310</v>
      </c>
      <c r="G18771">
        <v>165194366</v>
      </c>
      <c r="H18771">
        <v>165194289</v>
      </c>
      <c r="I18771">
        <v>165194304</v>
      </c>
    </row>
    <row r="18772" spans="1:9" x14ac:dyDescent="0.2">
      <c r="A18772" t="str">
        <f>"Sft2d3"</f>
        <v>Sft2d3</v>
      </c>
      <c r="B18772" t="s">
        <v>5740</v>
      </c>
      <c r="C18772" t="s">
        <v>43</v>
      </c>
      <c r="D18772" t="s">
        <v>11</v>
      </c>
      <c r="E18772" t="s">
        <v>20</v>
      </c>
      <c r="F18772">
        <v>31911902</v>
      </c>
      <c r="G18772">
        <v>31911902</v>
      </c>
      <c r="H18772">
        <v>31911902</v>
      </c>
      <c r="I18772">
        <v>31911902</v>
      </c>
    </row>
    <row r="18773" spans="1:9" x14ac:dyDescent="0.2">
      <c r="A18773" t="str">
        <f>"Sfta2"</f>
        <v>Sfta2</v>
      </c>
      <c r="B18773" t="s">
        <v>14</v>
      </c>
      <c r="C18773" t="s">
        <v>28</v>
      </c>
      <c r="D18773" t="s">
        <v>17</v>
      </c>
      <c r="E18773" t="s">
        <v>12</v>
      </c>
      <c r="F18773">
        <v>35649816</v>
      </c>
      <c r="G18773">
        <v>35649848</v>
      </c>
      <c r="H18773">
        <v>35649769</v>
      </c>
      <c r="I18773">
        <v>35649797</v>
      </c>
    </row>
    <row r="18774" spans="1:9" x14ac:dyDescent="0.2">
      <c r="A18774" t="str">
        <f>"Sftpa1"</f>
        <v>Sftpa1</v>
      </c>
      <c r="B18774" t="s">
        <v>14</v>
      </c>
      <c r="C18774" t="s">
        <v>41</v>
      </c>
      <c r="D18774" t="s">
        <v>17</v>
      </c>
      <c r="E18774" t="s">
        <v>12</v>
      </c>
      <c r="F18774">
        <v>41131777</v>
      </c>
      <c r="G18774">
        <v>41131794</v>
      </c>
      <c r="H18774">
        <v>41131777</v>
      </c>
      <c r="I18774">
        <v>41131794</v>
      </c>
    </row>
    <row r="18775" spans="1:9" x14ac:dyDescent="0.2">
      <c r="A18775" t="str">
        <f>"Sftpb"</f>
        <v>Sftpb</v>
      </c>
      <c r="B18775" t="s">
        <v>14</v>
      </c>
      <c r="C18775" t="s">
        <v>32</v>
      </c>
      <c r="D18775" t="s">
        <v>17</v>
      </c>
      <c r="E18775" t="s">
        <v>12</v>
      </c>
      <c r="F18775">
        <v>72304592</v>
      </c>
      <c r="G18775">
        <v>72304623</v>
      </c>
      <c r="H18775">
        <v>72304592</v>
      </c>
      <c r="I18775">
        <v>72304623</v>
      </c>
    </row>
    <row r="18776" spans="1:9" x14ac:dyDescent="0.2">
      <c r="A18776" t="str">
        <f>"Sftpc"</f>
        <v>Sftpc</v>
      </c>
      <c r="B18776" t="s">
        <v>14</v>
      </c>
      <c r="C18776" t="s">
        <v>41</v>
      </c>
      <c r="D18776" t="s">
        <v>11</v>
      </c>
      <c r="E18776" t="s">
        <v>12</v>
      </c>
      <c r="F18776">
        <v>70524068</v>
      </c>
      <c r="G18776">
        <v>70524084</v>
      </c>
      <c r="H18776">
        <v>70524068</v>
      </c>
      <c r="I18776">
        <v>70524084</v>
      </c>
    </row>
    <row r="18777" spans="1:9" x14ac:dyDescent="0.2">
      <c r="A18777" t="str">
        <f>"Sftpd"</f>
        <v>Sftpd</v>
      </c>
      <c r="B18777" t="s">
        <v>14</v>
      </c>
      <c r="C18777" t="s">
        <v>41</v>
      </c>
      <c r="D18777" t="s">
        <v>11</v>
      </c>
      <c r="E18777" t="s">
        <v>12</v>
      </c>
      <c r="F18777">
        <v>41185158</v>
      </c>
      <c r="G18777">
        <v>41185171</v>
      </c>
      <c r="H18777">
        <v>41185188</v>
      </c>
      <c r="I18777">
        <v>41185199</v>
      </c>
    </row>
    <row r="18778" spans="1:9" x14ac:dyDescent="0.2">
      <c r="A18778" t="str">
        <f>"Sfxn1"</f>
        <v>Sfxn1</v>
      </c>
      <c r="B18778" t="s">
        <v>14</v>
      </c>
      <c r="C18778" t="s">
        <v>39</v>
      </c>
      <c r="D18778" t="s">
        <v>17</v>
      </c>
      <c r="E18778" t="s">
        <v>12</v>
      </c>
      <c r="F18778">
        <v>54071860</v>
      </c>
      <c r="G18778">
        <v>54071909</v>
      </c>
      <c r="H18778">
        <v>54071815</v>
      </c>
      <c r="I18778">
        <v>54071859</v>
      </c>
    </row>
    <row r="18779" spans="1:9" x14ac:dyDescent="0.2">
      <c r="A18779" t="str">
        <f>"Sfxn2"</f>
        <v>Sfxn2</v>
      </c>
      <c r="B18779" t="s">
        <v>14</v>
      </c>
      <c r="C18779" t="s">
        <v>10</v>
      </c>
      <c r="D18779" t="s">
        <v>17</v>
      </c>
      <c r="E18779" t="s">
        <v>12</v>
      </c>
      <c r="F18779">
        <v>46573362</v>
      </c>
      <c r="G18779">
        <v>46573421</v>
      </c>
      <c r="H18779">
        <v>46573422</v>
      </c>
      <c r="I18779">
        <v>46573436</v>
      </c>
    </row>
    <row r="18780" spans="1:9" x14ac:dyDescent="0.2">
      <c r="A18780" t="str">
        <f>"Sfxn3"</f>
        <v>Sfxn3</v>
      </c>
      <c r="B18780" t="s">
        <v>14</v>
      </c>
      <c r="C18780" t="s">
        <v>10</v>
      </c>
      <c r="D18780" t="s">
        <v>17</v>
      </c>
      <c r="E18780" t="s">
        <v>12</v>
      </c>
      <c r="F18780">
        <v>45047781</v>
      </c>
      <c r="G18780">
        <v>45047838</v>
      </c>
      <c r="H18780">
        <v>45047845</v>
      </c>
      <c r="I18780">
        <v>45047873</v>
      </c>
    </row>
    <row r="18781" spans="1:9" x14ac:dyDescent="0.2">
      <c r="A18781" t="str">
        <f>"Sfxn4"</f>
        <v>Sfxn4</v>
      </c>
      <c r="B18781" t="s">
        <v>14</v>
      </c>
      <c r="C18781" t="s">
        <v>10</v>
      </c>
      <c r="D18781" t="s">
        <v>11</v>
      </c>
      <c r="E18781" t="s">
        <v>12</v>
      </c>
      <c r="F18781">
        <v>60861390</v>
      </c>
      <c r="G18781">
        <v>60861462</v>
      </c>
      <c r="H18781">
        <v>60861354</v>
      </c>
      <c r="I18781">
        <v>60861365</v>
      </c>
    </row>
    <row r="18782" spans="1:9" x14ac:dyDescent="0.2">
      <c r="A18782" t="str">
        <f>"Sfxn5"</f>
        <v>Sfxn5</v>
      </c>
      <c r="B18782" t="s">
        <v>14</v>
      </c>
      <c r="C18782" t="s">
        <v>32</v>
      </c>
      <c r="D18782" t="s">
        <v>11</v>
      </c>
      <c r="E18782" t="s">
        <v>12</v>
      </c>
      <c r="F18782">
        <v>85333412</v>
      </c>
      <c r="G18782">
        <v>85333441</v>
      </c>
      <c r="H18782">
        <v>85332947</v>
      </c>
      <c r="I18782">
        <v>85332975</v>
      </c>
    </row>
    <row r="18783" spans="1:9" x14ac:dyDescent="0.2">
      <c r="A18783" t="str">
        <f>"Sgca"</f>
        <v>Sgca</v>
      </c>
      <c r="B18783" t="s">
        <v>9</v>
      </c>
      <c r="C18783" t="s">
        <v>27</v>
      </c>
      <c r="D18783" t="s">
        <v>11</v>
      </c>
      <c r="E18783" t="s">
        <v>12</v>
      </c>
      <c r="F18783">
        <v>94973447</v>
      </c>
      <c r="G18783">
        <v>94973471</v>
      </c>
      <c r="H18783">
        <v>94973447</v>
      </c>
      <c r="I18783">
        <v>94973471</v>
      </c>
    </row>
    <row r="18784" spans="1:9" x14ac:dyDescent="0.2">
      <c r="A18784" t="str">
        <f>"Sgca"</f>
        <v>Sgca</v>
      </c>
      <c r="B18784" t="s">
        <v>13</v>
      </c>
      <c r="C18784" t="s">
        <v>27</v>
      </c>
      <c r="D18784" t="s">
        <v>11</v>
      </c>
      <c r="E18784" t="s">
        <v>12</v>
      </c>
      <c r="F18784">
        <v>94976368</v>
      </c>
      <c r="G18784">
        <v>94976399</v>
      </c>
      <c r="H18784">
        <v>94976368</v>
      </c>
      <c r="I18784">
        <v>94976399</v>
      </c>
    </row>
    <row r="18785" spans="1:9" x14ac:dyDescent="0.2">
      <c r="A18785" t="str">
        <f>"Sgcb"</f>
        <v>Sgcb</v>
      </c>
      <c r="B18785" t="s">
        <v>14</v>
      </c>
      <c r="C18785" t="s">
        <v>46</v>
      </c>
      <c r="D18785" t="s">
        <v>11</v>
      </c>
      <c r="E18785" t="s">
        <v>12</v>
      </c>
      <c r="F18785">
        <v>73647720</v>
      </c>
      <c r="G18785">
        <v>73647754</v>
      </c>
      <c r="H18785">
        <v>73647720</v>
      </c>
      <c r="I18785">
        <v>73647754</v>
      </c>
    </row>
    <row r="18786" spans="1:9" x14ac:dyDescent="0.2">
      <c r="A18786" t="str">
        <f>"Sgcd"</f>
        <v>Sgcd</v>
      </c>
      <c r="B18786" t="s">
        <v>14</v>
      </c>
      <c r="C18786" t="s">
        <v>27</v>
      </c>
      <c r="D18786" t="s">
        <v>11</v>
      </c>
      <c r="E18786" t="s">
        <v>12</v>
      </c>
      <c r="F18786">
        <v>47379306</v>
      </c>
      <c r="G18786">
        <v>47379344</v>
      </c>
      <c r="H18786">
        <v>47379278</v>
      </c>
      <c r="I18786">
        <v>47379297</v>
      </c>
    </row>
    <row r="18787" spans="1:9" x14ac:dyDescent="0.2">
      <c r="A18787" t="str">
        <f>"Sgce"</f>
        <v>Sgce</v>
      </c>
      <c r="B18787" t="s">
        <v>14</v>
      </c>
      <c r="C18787" t="s">
        <v>32</v>
      </c>
      <c r="D18787" t="s">
        <v>11</v>
      </c>
      <c r="E18787" t="s">
        <v>12</v>
      </c>
      <c r="F18787">
        <v>4747066</v>
      </c>
      <c r="G18787">
        <v>4747132</v>
      </c>
      <c r="H18787">
        <v>4747170</v>
      </c>
      <c r="I18787">
        <v>4747184</v>
      </c>
    </row>
    <row r="18788" spans="1:9" x14ac:dyDescent="0.2">
      <c r="A18788" t="str">
        <f>"Sgcg"</f>
        <v>Sgcg</v>
      </c>
      <c r="B18788" t="s">
        <v>14</v>
      </c>
      <c r="C18788" t="s">
        <v>41</v>
      </c>
      <c r="D18788" t="s">
        <v>11</v>
      </c>
      <c r="E18788" t="s">
        <v>12</v>
      </c>
      <c r="F18788">
        <v>61258383</v>
      </c>
      <c r="G18788">
        <v>61258465</v>
      </c>
      <c r="H18788">
        <v>61258484</v>
      </c>
      <c r="I18788">
        <v>61258493</v>
      </c>
    </row>
    <row r="18789" spans="1:9" x14ac:dyDescent="0.2">
      <c r="A18789" t="str">
        <f>"Sgcz"</f>
        <v>Sgcz</v>
      </c>
      <c r="B18789" t="s">
        <v>14</v>
      </c>
      <c r="C18789" t="s">
        <v>30</v>
      </c>
      <c r="D18789" t="s">
        <v>11</v>
      </c>
      <c r="E18789" t="s">
        <v>12</v>
      </c>
      <c r="F18789">
        <v>38661452</v>
      </c>
      <c r="G18789">
        <v>38661481</v>
      </c>
      <c r="H18789">
        <v>38661523</v>
      </c>
      <c r="I18789">
        <v>38661545</v>
      </c>
    </row>
    <row r="18790" spans="1:9" x14ac:dyDescent="0.2">
      <c r="A18790" t="str">
        <f>"Sgip1"</f>
        <v>Sgip1</v>
      </c>
      <c r="B18790" t="s">
        <v>9</v>
      </c>
      <c r="C18790" t="s">
        <v>23</v>
      </c>
      <c r="D18790" t="s">
        <v>17</v>
      </c>
      <c r="E18790" t="s">
        <v>12</v>
      </c>
      <c r="F18790">
        <v>102760294</v>
      </c>
      <c r="G18790">
        <v>102760375</v>
      </c>
      <c r="H18790">
        <v>102760294</v>
      </c>
      <c r="I18790">
        <v>102760375</v>
      </c>
    </row>
    <row r="18791" spans="1:9" x14ac:dyDescent="0.2">
      <c r="A18791" t="str">
        <f>"Sgip1"</f>
        <v>Sgip1</v>
      </c>
      <c r="B18791" t="s">
        <v>13</v>
      </c>
      <c r="C18791" t="s">
        <v>23</v>
      </c>
      <c r="D18791" t="s">
        <v>17</v>
      </c>
      <c r="E18791" t="s">
        <v>12</v>
      </c>
      <c r="F18791">
        <v>102759184</v>
      </c>
      <c r="G18791">
        <v>102759250</v>
      </c>
      <c r="H18791">
        <v>102759184</v>
      </c>
      <c r="I18791">
        <v>102759250</v>
      </c>
    </row>
    <row r="18792" spans="1:9" x14ac:dyDescent="0.2">
      <c r="A18792" t="str">
        <f>"Sgk1"</f>
        <v>Sgk1</v>
      </c>
      <c r="B18792" t="s">
        <v>14</v>
      </c>
      <c r="C18792" t="s">
        <v>15</v>
      </c>
      <c r="D18792" t="s">
        <v>17</v>
      </c>
      <c r="E18792" t="s">
        <v>12</v>
      </c>
      <c r="F18792">
        <v>21994674</v>
      </c>
      <c r="G18792">
        <v>21994694</v>
      </c>
      <c r="H18792">
        <v>21994001</v>
      </c>
      <c r="I18792">
        <v>21994021</v>
      </c>
    </row>
    <row r="18793" spans="1:9" x14ac:dyDescent="0.2">
      <c r="A18793" t="str">
        <f>"Sgk2"</f>
        <v>Sgk2</v>
      </c>
      <c r="B18793" t="s">
        <v>14</v>
      </c>
      <c r="C18793" t="s">
        <v>26</v>
      </c>
      <c r="D18793" t="s">
        <v>17</v>
      </c>
      <c r="E18793" t="s">
        <v>12</v>
      </c>
      <c r="F18793">
        <v>162987519</v>
      </c>
      <c r="G18793">
        <v>162987537</v>
      </c>
      <c r="H18793">
        <v>162987474</v>
      </c>
      <c r="I18793">
        <v>162987486</v>
      </c>
    </row>
    <row r="18794" spans="1:9" x14ac:dyDescent="0.2">
      <c r="A18794" t="str">
        <f>"Sgk3"</f>
        <v>Sgk3</v>
      </c>
      <c r="B18794" t="s">
        <v>9</v>
      </c>
      <c r="C18794" t="s">
        <v>19</v>
      </c>
      <c r="D18794" t="s">
        <v>17</v>
      </c>
      <c r="E18794" t="s">
        <v>12</v>
      </c>
      <c r="F18794">
        <v>9798123</v>
      </c>
      <c r="G18794">
        <v>9798216</v>
      </c>
      <c r="H18794">
        <v>9798123</v>
      </c>
      <c r="I18794">
        <v>9798216</v>
      </c>
    </row>
    <row r="18795" spans="1:9" x14ac:dyDescent="0.2">
      <c r="A18795" t="str">
        <f>"Sgk3"</f>
        <v>Sgk3</v>
      </c>
      <c r="B18795" t="s">
        <v>13</v>
      </c>
      <c r="C18795" t="s">
        <v>19</v>
      </c>
      <c r="D18795" t="s">
        <v>17</v>
      </c>
      <c r="E18795" t="s">
        <v>12</v>
      </c>
      <c r="F18795">
        <v>9848294</v>
      </c>
      <c r="G18795">
        <v>9848362</v>
      </c>
      <c r="H18795">
        <v>9848294</v>
      </c>
      <c r="I18795">
        <v>9848362</v>
      </c>
    </row>
    <row r="18796" spans="1:9" x14ac:dyDescent="0.2">
      <c r="A18796" t="str">
        <f>"Sgms1"</f>
        <v>Sgms1</v>
      </c>
      <c r="B18796" t="s">
        <v>9</v>
      </c>
      <c r="C18796" t="s">
        <v>10</v>
      </c>
      <c r="D18796" t="s">
        <v>11</v>
      </c>
      <c r="E18796" t="s">
        <v>12</v>
      </c>
      <c r="F18796">
        <v>32388428</v>
      </c>
      <c r="G18796">
        <v>32388461</v>
      </c>
      <c r="H18796">
        <v>32388428</v>
      </c>
      <c r="I18796">
        <v>32388461</v>
      </c>
    </row>
    <row r="18797" spans="1:9" x14ac:dyDescent="0.2">
      <c r="A18797" t="str">
        <f>"Sgms1"</f>
        <v>Sgms1</v>
      </c>
      <c r="B18797" t="s">
        <v>13</v>
      </c>
      <c r="C18797" t="s">
        <v>10</v>
      </c>
      <c r="D18797" t="s">
        <v>11</v>
      </c>
      <c r="E18797" t="s">
        <v>12</v>
      </c>
      <c r="F18797">
        <v>32210969</v>
      </c>
      <c r="G18797">
        <v>32211002</v>
      </c>
      <c r="H18797">
        <v>32210969</v>
      </c>
      <c r="I18797">
        <v>32211002</v>
      </c>
    </row>
    <row r="18798" spans="1:9" x14ac:dyDescent="0.2">
      <c r="A18798" t="str">
        <f>"Sgms2"</f>
        <v>Sgms2</v>
      </c>
      <c r="B18798" t="s">
        <v>14</v>
      </c>
      <c r="C18798" t="s">
        <v>22</v>
      </c>
      <c r="D18798" t="s">
        <v>11</v>
      </c>
      <c r="E18798" t="s">
        <v>12</v>
      </c>
      <c r="F18798">
        <v>131344892</v>
      </c>
      <c r="G18798">
        <v>131344926</v>
      </c>
      <c r="H18798">
        <v>131344892</v>
      </c>
      <c r="I18798">
        <v>131344926</v>
      </c>
    </row>
    <row r="18799" spans="1:9" x14ac:dyDescent="0.2">
      <c r="A18799" t="str">
        <f>"Sgol1"</f>
        <v>Sgol1</v>
      </c>
      <c r="B18799" t="s">
        <v>14</v>
      </c>
      <c r="C18799" t="s">
        <v>28</v>
      </c>
      <c r="D18799" t="s">
        <v>11</v>
      </c>
      <c r="E18799" t="s">
        <v>12</v>
      </c>
      <c r="F18799">
        <v>53689266</v>
      </c>
      <c r="G18799">
        <v>53689309</v>
      </c>
      <c r="H18799">
        <v>53689231</v>
      </c>
      <c r="I18799">
        <v>53689253</v>
      </c>
    </row>
    <row r="18800" spans="1:9" x14ac:dyDescent="0.2">
      <c r="A18800" t="str">
        <f>"Sgol2"</f>
        <v>Sgol2</v>
      </c>
      <c r="B18800" t="s">
        <v>14</v>
      </c>
      <c r="C18800" t="s">
        <v>19</v>
      </c>
      <c r="D18800" t="s">
        <v>17</v>
      </c>
      <c r="E18800" t="s">
        <v>12</v>
      </c>
      <c r="F18800">
        <v>57995980</v>
      </c>
      <c r="G18800">
        <v>57996059</v>
      </c>
      <c r="H18800">
        <v>57996061</v>
      </c>
      <c r="I18800">
        <v>57996072</v>
      </c>
    </row>
    <row r="18801" spans="1:9" x14ac:dyDescent="0.2">
      <c r="A18801" t="str">
        <f>"Sgpl1"</f>
        <v>Sgpl1</v>
      </c>
      <c r="B18801" t="s">
        <v>14</v>
      </c>
      <c r="C18801" t="s">
        <v>15</v>
      </c>
      <c r="D18801" t="s">
        <v>11</v>
      </c>
      <c r="E18801" t="s">
        <v>12</v>
      </c>
      <c r="F18801">
        <v>61147595</v>
      </c>
      <c r="G18801">
        <v>61147620</v>
      </c>
      <c r="H18801">
        <v>61147625</v>
      </c>
      <c r="I18801">
        <v>61147644</v>
      </c>
    </row>
    <row r="18802" spans="1:9" x14ac:dyDescent="0.2">
      <c r="A18802" t="str">
        <f>"Sgpp1"</f>
        <v>Sgpp1</v>
      </c>
      <c r="B18802" t="s">
        <v>14</v>
      </c>
      <c r="C18802" t="s">
        <v>16</v>
      </c>
      <c r="D18802" t="s">
        <v>11</v>
      </c>
      <c r="E18802" t="s">
        <v>12</v>
      </c>
      <c r="F18802">
        <v>75735633</v>
      </c>
      <c r="G18802">
        <v>75735712</v>
      </c>
      <c r="H18802">
        <v>75735828</v>
      </c>
      <c r="I18802">
        <v>75735831</v>
      </c>
    </row>
    <row r="18803" spans="1:9" x14ac:dyDescent="0.2">
      <c r="A18803" t="str">
        <f>"Sgpp2"</f>
        <v>Sgpp2</v>
      </c>
      <c r="B18803" t="s">
        <v>14</v>
      </c>
      <c r="C18803" t="s">
        <v>19</v>
      </c>
      <c r="D18803" t="s">
        <v>17</v>
      </c>
      <c r="E18803" t="s">
        <v>12</v>
      </c>
      <c r="F18803">
        <v>78310295</v>
      </c>
      <c r="G18803">
        <v>78310375</v>
      </c>
      <c r="H18803">
        <v>78310391</v>
      </c>
      <c r="I18803">
        <v>78310400</v>
      </c>
    </row>
    <row r="18804" spans="1:9" x14ac:dyDescent="0.2">
      <c r="A18804" t="str">
        <f>"Sgsh"</f>
        <v>Sgsh</v>
      </c>
      <c r="B18804" t="s">
        <v>14</v>
      </c>
      <c r="C18804" t="s">
        <v>27</v>
      </c>
      <c r="D18804" t="s">
        <v>11</v>
      </c>
      <c r="E18804" t="s">
        <v>12</v>
      </c>
      <c r="F18804">
        <v>119355484</v>
      </c>
      <c r="G18804">
        <v>119355526</v>
      </c>
      <c r="H18804">
        <v>119355484</v>
      </c>
      <c r="I18804">
        <v>119355526</v>
      </c>
    </row>
    <row r="18805" spans="1:9" x14ac:dyDescent="0.2">
      <c r="A18805" t="str">
        <f>"Sgsm1"</f>
        <v>Sgsm1</v>
      </c>
      <c r="B18805" t="s">
        <v>14</v>
      </c>
      <c r="C18805" t="s">
        <v>46</v>
      </c>
      <c r="D18805" t="s">
        <v>11</v>
      </c>
      <c r="E18805" t="s">
        <v>12</v>
      </c>
      <c r="F18805">
        <v>113310729</v>
      </c>
      <c r="G18805">
        <v>113310788</v>
      </c>
      <c r="H18805">
        <v>113310729</v>
      </c>
      <c r="I18805">
        <v>113310788</v>
      </c>
    </row>
    <row r="18806" spans="1:9" x14ac:dyDescent="0.2">
      <c r="A18806" t="str">
        <f>"Sgsm2"</f>
        <v>Sgsm2</v>
      </c>
      <c r="B18806" t="s">
        <v>14</v>
      </c>
      <c r="C18806" t="s">
        <v>27</v>
      </c>
      <c r="D18806" t="s">
        <v>11</v>
      </c>
      <c r="E18806" t="s">
        <v>12</v>
      </c>
      <c r="F18806">
        <v>74897052</v>
      </c>
      <c r="G18806">
        <v>74897094</v>
      </c>
      <c r="H18806">
        <v>74896957</v>
      </c>
      <c r="I18806">
        <v>74896994</v>
      </c>
    </row>
    <row r="18807" spans="1:9" x14ac:dyDescent="0.2">
      <c r="A18807" t="str">
        <f>"Sgsm3"</f>
        <v>Sgsm3</v>
      </c>
      <c r="B18807" t="s">
        <v>14</v>
      </c>
      <c r="C18807" t="s">
        <v>25</v>
      </c>
      <c r="D18807" t="s">
        <v>17</v>
      </c>
      <c r="E18807" t="s">
        <v>12</v>
      </c>
      <c r="F18807">
        <v>80977780</v>
      </c>
      <c r="G18807">
        <v>80977845</v>
      </c>
      <c r="H18807">
        <v>80977608</v>
      </c>
      <c r="I18807">
        <v>80977619</v>
      </c>
    </row>
    <row r="18808" spans="1:9" x14ac:dyDescent="0.2">
      <c r="A18808" t="str">
        <f>"Sgta"</f>
        <v>Sgta</v>
      </c>
      <c r="B18808" t="s">
        <v>14</v>
      </c>
      <c r="C18808" t="s">
        <v>15</v>
      </c>
      <c r="D18808" t="s">
        <v>11</v>
      </c>
      <c r="E18808" t="s">
        <v>12</v>
      </c>
      <c r="F18808">
        <v>81060134</v>
      </c>
      <c r="G18808">
        <v>81060204</v>
      </c>
      <c r="H18808">
        <v>81060270</v>
      </c>
      <c r="I18808">
        <v>81060271</v>
      </c>
    </row>
    <row r="18809" spans="1:9" x14ac:dyDescent="0.2">
      <c r="A18809" t="str">
        <f>"Sgtb"</f>
        <v>Sgtb</v>
      </c>
      <c r="B18809" t="s">
        <v>14</v>
      </c>
      <c r="C18809" t="s">
        <v>39</v>
      </c>
      <c r="D18809" t="s">
        <v>17</v>
      </c>
      <c r="E18809" t="s">
        <v>12</v>
      </c>
      <c r="F18809">
        <v>104109752</v>
      </c>
      <c r="G18809">
        <v>104109782</v>
      </c>
      <c r="H18809">
        <v>104109796</v>
      </c>
      <c r="I18809">
        <v>104109807</v>
      </c>
    </row>
    <row r="18810" spans="1:9" x14ac:dyDescent="0.2">
      <c r="A18810" t="str">
        <f>"Sh2b1"</f>
        <v>Sh2b1</v>
      </c>
      <c r="B18810" t="s">
        <v>14</v>
      </c>
      <c r="C18810" t="s">
        <v>33</v>
      </c>
      <c r="D18810" t="s">
        <v>11</v>
      </c>
      <c r="E18810" t="s">
        <v>12</v>
      </c>
      <c r="F18810">
        <v>126475082</v>
      </c>
      <c r="G18810">
        <v>126475120</v>
      </c>
      <c r="H18810">
        <v>126475055</v>
      </c>
      <c r="I18810">
        <v>126475079</v>
      </c>
    </row>
    <row r="18811" spans="1:9" x14ac:dyDescent="0.2">
      <c r="A18811" t="str">
        <f>"Sh2b2"</f>
        <v>Sh2b2</v>
      </c>
      <c r="B18811" t="s">
        <v>14</v>
      </c>
      <c r="C18811" t="s">
        <v>46</v>
      </c>
      <c r="D18811" t="s">
        <v>11</v>
      </c>
      <c r="E18811" t="s">
        <v>12</v>
      </c>
      <c r="F18811">
        <v>136244865</v>
      </c>
      <c r="G18811">
        <v>136244908</v>
      </c>
      <c r="H18811">
        <v>136244931</v>
      </c>
      <c r="I18811">
        <v>136244949</v>
      </c>
    </row>
    <row r="18812" spans="1:9" x14ac:dyDescent="0.2">
      <c r="A18812" t="str">
        <f>"Sh2b3"</f>
        <v>Sh2b3</v>
      </c>
      <c r="B18812" t="s">
        <v>14</v>
      </c>
      <c r="C18812" t="s">
        <v>46</v>
      </c>
      <c r="D18812" t="s">
        <v>11</v>
      </c>
      <c r="E18812" t="s">
        <v>12</v>
      </c>
      <c r="F18812">
        <v>121836810</v>
      </c>
      <c r="G18812">
        <v>121836845</v>
      </c>
      <c r="H18812">
        <v>121836852</v>
      </c>
      <c r="I18812">
        <v>121836880</v>
      </c>
    </row>
    <row r="18813" spans="1:9" x14ac:dyDescent="0.2">
      <c r="A18813" t="str">
        <f>"Sh2d1a"</f>
        <v>Sh2d1a</v>
      </c>
      <c r="B18813" t="s">
        <v>14</v>
      </c>
      <c r="C18813" t="s">
        <v>37</v>
      </c>
      <c r="D18813" t="s">
        <v>17</v>
      </c>
      <c r="E18813" t="s">
        <v>12</v>
      </c>
      <c r="F18813">
        <v>42502596</v>
      </c>
      <c r="G18813">
        <v>42502652</v>
      </c>
      <c r="H18813">
        <v>42502507</v>
      </c>
      <c r="I18813">
        <v>42502522</v>
      </c>
    </row>
    <row r="18814" spans="1:9" x14ac:dyDescent="0.2">
      <c r="A18814" t="str">
        <f>"Sh2d1b1"</f>
        <v>Sh2d1b1</v>
      </c>
      <c r="B18814" t="s">
        <v>14</v>
      </c>
      <c r="C18814" t="s">
        <v>19</v>
      </c>
      <c r="D18814" t="s">
        <v>17</v>
      </c>
      <c r="E18814" t="s">
        <v>12</v>
      </c>
      <c r="F18814">
        <v>170277283</v>
      </c>
      <c r="G18814">
        <v>170277311</v>
      </c>
      <c r="H18814">
        <v>170277204</v>
      </c>
      <c r="I18814">
        <v>170277234</v>
      </c>
    </row>
    <row r="18815" spans="1:9" x14ac:dyDescent="0.2">
      <c r="A18815" t="str">
        <f>"Sh2d1b2"</f>
        <v>Sh2d1b2</v>
      </c>
      <c r="B18815" t="s">
        <v>14</v>
      </c>
      <c r="C18815" t="s">
        <v>19</v>
      </c>
      <c r="D18815" t="s">
        <v>17</v>
      </c>
      <c r="E18815" t="s">
        <v>12</v>
      </c>
      <c r="F18815">
        <v>170232774</v>
      </c>
      <c r="G18815">
        <v>170232803</v>
      </c>
      <c r="H18815">
        <v>170232774</v>
      </c>
      <c r="I18815">
        <v>170232803</v>
      </c>
    </row>
    <row r="18816" spans="1:9" x14ac:dyDescent="0.2">
      <c r="A18816" t="str">
        <f>"Sh2d2a"</f>
        <v>Sh2d2a</v>
      </c>
      <c r="B18816" t="s">
        <v>14</v>
      </c>
      <c r="C18816" t="s">
        <v>22</v>
      </c>
      <c r="D18816" t="s">
        <v>17</v>
      </c>
      <c r="E18816" t="s">
        <v>12</v>
      </c>
      <c r="F18816">
        <v>87847004</v>
      </c>
      <c r="G18816">
        <v>87847067</v>
      </c>
      <c r="H18816">
        <v>87846725</v>
      </c>
      <c r="I18816">
        <v>87846772</v>
      </c>
    </row>
    <row r="18817" spans="1:9" x14ac:dyDescent="0.2">
      <c r="A18817" t="str">
        <f>"Sh2d3c"</f>
        <v>Sh2d3c</v>
      </c>
      <c r="B18817" t="s">
        <v>9</v>
      </c>
      <c r="C18817" t="s">
        <v>26</v>
      </c>
      <c r="D18817" t="s">
        <v>17</v>
      </c>
      <c r="E18817" t="s">
        <v>12</v>
      </c>
      <c r="F18817">
        <v>32727682</v>
      </c>
      <c r="G18817">
        <v>32727712</v>
      </c>
      <c r="H18817">
        <v>32727682</v>
      </c>
      <c r="I18817">
        <v>32727712</v>
      </c>
    </row>
    <row r="18818" spans="1:9" x14ac:dyDescent="0.2">
      <c r="A18818" t="str">
        <f>"Sh2d3c"</f>
        <v>Sh2d3c</v>
      </c>
      <c r="B18818" t="s">
        <v>13</v>
      </c>
      <c r="C18818" t="s">
        <v>26</v>
      </c>
      <c r="D18818" t="s">
        <v>17</v>
      </c>
      <c r="E18818" t="s">
        <v>12</v>
      </c>
      <c r="F18818">
        <v>32721109</v>
      </c>
      <c r="G18818">
        <v>32721140</v>
      </c>
      <c r="H18818">
        <v>32721109</v>
      </c>
      <c r="I18818">
        <v>32721140</v>
      </c>
    </row>
    <row r="18819" spans="1:9" x14ac:dyDescent="0.2">
      <c r="A18819" t="str">
        <f>"Sh2d4a"</f>
        <v>Sh2d4a</v>
      </c>
      <c r="B18819" t="s">
        <v>14</v>
      </c>
      <c r="C18819" t="s">
        <v>30</v>
      </c>
      <c r="D18819" t="s">
        <v>17</v>
      </c>
      <c r="E18819" t="s">
        <v>12</v>
      </c>
      <c r="F18819">
        <v>68276713</v>
      </c>
      <c r="G18819">
        <v>68276752</v>
      </c>
      <c r="H18819">
        <v>68276713</v>
      </c>
      <c r="I18819">
        <v>68276752</v>
      </c>
    </row>
    <row r="18820" spans="1:9" x14ac:dyDescent="0.2">
      <c r="A18820" t="str">
        <f>"Sh2d4b"</f>
        <v>Sh2d4b</v>
      </c>
      <c r="B18820" t="s">
        <v>14</v>
      </c>
      <c r="C18820" t="s">
        <v>41</v>
      </c>
      <c r="D18820" t="s">
        <v>11</v>
      </c>
      <c r="E18820" t="s">
        <v>12</v>
      </c>
      <c r="F18820">
        <v>40893308</v>
      </c>
      <c r="G18820">
        <v>40893319</v>
      </c>
      <c r="H18820">
        <v>40892986</v>
      </c>
      <c r="I18820">
        <v>40892999</v>
      </c>
    </row>
    <row r="18821" spans="1:9" x14ac:dyDescent="0.2">
      <c r="A18821" t="str">
        <f>"Sh2d5"</f>
        <v>Sh2d5</v>
      </c>
      <c r="B18821" t="s">
        <v>14</v>
      </c>
      <c r="C18821" t="s">
        <v>23</v>
      </c>
      <c r="D18821" t="s">
        <v>17</v>
      </c>
      <c r="E18821" t="s">
        <v>12</v>
      </c>
      <c r="F18821">
        <v>138250462</v>
      </c>
      <c r="G18821">
        <v>138250485</v>
      </c>
      <c r="H18821">
        <v>138250314</v>
      </c>
      <c r="I18821">
        <v>138250315</v>
      </c>
    </row>
    <row r="18822" spans="1:9" x14ac:dyDescent="0.2">
      <c r="A18822" t="str">
        <f>"Sh2d6"</f>
        <v>Sh2d6</v>
      </c>
      <c r="B18822" t="s">
        <v>14</v>
      </c>
      <c r="C18822" t="s">
        <v>32</v>
      </c>
      <c r="D18822" t="s">
        <v>11</v>
      </c>
      <c r="E18822" t="s">
        <v>12</v>
      </c>
      <c r="F18822">
        <v>72521693</v>
      </c>
      <c r="G18822">
        <v>72521707</v>
      </c>
      <c r="H18822">
        <v>72521710</v>
      </c>
      <c r="I18822">
        <v>72521739</v>
      </c>
    </row>
    <row r="18823" spans="1:9" x14ac:dyDescent="0.2">
      <c r="A18823" t="str">
        <f>"Sh2d7"</f>
        <v>Sh2d7</v>
      </c>
      <c r="B18823" t="s">
        <v>14</v>
      </c>
      <c r="C18823" t="s">
        <v>24</v>
      </c>
      <c r="D18823" t="s">
        <v>17</v>
      </c>
      <c r="E18823" t="s">
        <v>12</v>
      </c>
      <c r="F18823">
        <v>54534120</v>
      </c>
      <c r="G18823">
        <v>54534127</v>
      </c>
      <c r="H18823">
        <v>54534120</v>
      </c>
      <c r="I18823">
        <v>54534127</v>
      </c>
    </row>
    <row r="18824" spans="1:9" x14ac:dyDescent="0.2">
      <c r="A18824" t="str">
        <f>"Sh3bgr"</f>
        <v>Sh3bgr</v>
      </c>
      <c r="B18824" t="s">
        <v>14</v>
      </c>
      <c r="C18824" t="s">
        <v>31</v>
      </c>
      <c r="D18824" t="s">
        <v>17</v>
      </c>
      <c r="E18824" t="s">
        <v>12</v>
      </c>
      <c r="F18824">
        <v>96200666</v>
      </c>
      <c r="G18824">
        <v>96200706</v>
      </c>
      <c r="H18824">
        <v>96200628</v>
      </c>
      <c r="I18824">
        <v>96200655</v>
      </c>
    </row>
    <row r="18825" spans="1:9" x14ac:dyDescent="0.2">
      <c r="A18825" t="str">
        <f>"Sh3bgrl"</f>
        <v>Sh3bgrl</v>
      </c>
      <c r="B18825" t="s">
        <v>14</v>
      </c>
      <c r="C18825" t="s">
        <v>37</v>
      </c>
      <c r="D18825" t="s">
        <v>17</v>
      </c>
      <c r="E18825" t="s">
        <v>12</v>
      </c>
      <c r="F18825">
        <v>109095481</v>
      </c>
      <c r="G18825">
        <v>109095522</v>
      </c>
      <c r="H18825">
        <v>109095447</v>
      </c>
      <c r="I18825">
        <v>109095476</v>
      </c>
    </row>
    <row r="18826" spans="1:9" x14ac:dyDescent="0.2">
      <c r="A18826" t="str">
        <f>"Sh3bgrl2"</f>
        <v>Sh3bgrl2</v>
      </c>
      <c r="B18826" t="s">
        <v>14</v>
      </c>
      <c r="C18826" t="s">
        <v>24</v>
      </c>
      <c r="D18826" t="s">
        <v>17</v>
      </c>
      <c r="E18826" t="s">
        <v>12</v>
      </c>
      <c r="F18826">
        <v>83548342</v>
      </c>
      <c r="G18826">
        <v>83548357</v>
      </c>
      <c r="H18826">
        <v>83548309</v>
      </c>
      <c r="I18826">
        <v>83548334</v>
      </c>
    </row>
    <row r="18827" spans="1:9" x14ac:dyDescent="0.2">
      <c r="A18827" t="str">
        <f>"Sh3bgrl3"</f>
        <v>Sh3bgrl3</v>
      </c>
      <c r="B18827" t="s">
        <v>14</v>
      </c>
      <c r="C18827" t="s">
        <v>23</v>
      </c>
      <c r="D18827" t="s">
        <v>11</v>
      </c>
      <c r="E18827" t="s">
        <v>12</v>
      </c>
      <c r="F18827">
        <v>134128707</v>
      </c>
      <c r="G18827">
        <v>134128770</v>
      </c>
      <c r="H18827">
        <v>134128680</v>
      </c>
      <c r="I18827">
        <v>134128700</v>
      </c>
    </row>
    <row r="18828" spans="1:9" x14ac:dyDescent="0.2">
      <c r="A18828" t="str">
        <f>"Sh3bp1"</f>
        <v>Sh3bp1</v>
      </c>
      <c r="B18828" t="s">
        <v>14</v>
      </c>
      <c r="C18828" t="s">
        <v>25</v>
      </c>
      <c r="D18828" t="s">
        <v>17</v>
      </c>
      <c r="E18828" t="s">
        <v>12</v>
      </c>
      <c r="F18828">
        <v>78899783</v>
      </c>
      <c r="G18828">
        <v>78899815</v>
      </c>
      <c r="H18828">
        <v>78899755</v>
      </c>
      <c r="I18828">
        <v>78899775</v>
      </c>
    </row>
    <row r="18829" spans="1:9" x14ac:dyDescent="0.2">
      <c r="A18829" t="str">
        <f>"Sh3bp2"</f>
        <v>Sh3bp2</v>
      </c>
      <c r="B18829" t="s">
        <v>9</v>
      </c>
      <c r="C18829" t="s">
        <v>46</v>
      </c>
      <c r="D18829" t="s">
        <v>17</v>
      </c>
      <c r="E18829" t="s">
        <v>12</v>
      </c>
      <c r="F18829">
        <v>34525797</v>
      </c>
      <c r="G18829">
        <v>34525869</v>
      </c>
      <c r="H18829">
        <v>34525797</v>
      </c>
      <c r="I18829">
        <v>34525869</v>
      </c>
    </row>
    <row r="18830" spans="1:9" x14ac:dyDescent="0.2">
      <c r="A18830" t="str">
        <f>"Sh3bp2"</f>
        <v>Sh3bp2</v>
      </c>
      <c r="B18830" t="s">
        <v>13</v>
      </c>
      <c r="C18830" t="s">
        <v>46</v>
      </c>
      <c r="D18830" t="s">
        <v>17</v>
      </c>
      <c r="E18830" t="s">
        <v>12</v>
      </c>
      <c r="F18830">
        <v>34549595</v>
      </c>
      <c r="G18830">
        <v>34549631</v>
      </c>
      <c r="H18830">
        <v>34549595</v>
      </c>
      <c r="I18830">
        <v>34549631</v>
      </c>
    </row>
    <row r="18831" spans="1:9" x14ac:dyDescent="0.2">
      <c r="A18831" t="str">
        <f>"Sh3bp4"</f>
        <v>Sh3bp4</v>
      </c>
      <c r="B18831" t="s">
        <v>14</v>
      </c>
      <c r="C18831" t="s">
        <v>19</v>
      </c>
      <c r="D18831" t="s">
        <v>17</v>
      </c>
      <c r="E18831" t="s">
        <v>12</v>
      </c>
      <c r="F18831">
        <v>89070439</v>
      </c>
      <c r="G18831">
        <v>89070457</v>
      </c>
      <c r="H18831">
        <v>89070406</v>
      </c>
      <c r="I18831">
        <v>89070421</v>
      </c>
    </row>
    <row r="18832" spans="1:9" x14ac:dyDescent="0.2">
      <c r="A18832" t="str">
        <f>"Sh3bp5"</f>
        <v>Sh3bp5</v>
      </c>
      <c r="B18832" t="s">
        <v>14</v>
      </c>
      <c r="C18832" t="s">
        <v>41</v>
      </c>
      <c r="D18832" t="s">
        <v>11</v>
      </c>
      <c r="E18832" t="s">
        <v>12</v>
      </c>
      <c r="F18832">
        <v>31436028</v>
      </c>
      <c r="G18832">
        <v>31436109</v>
      </c>
      <c r="H18832">
        <v>31436193</v>
      </c>
      <c r="I18832">
        <v>31436204</v>
      </c>
    </row>
    <row r="18833" spans="1:9" x14ac:dyDescent="0.2">
      <c r="A18833" t="str">
        <f>"Sh3bp5l"</f>
        <v>Sh3bp5l</v>
      </c>
      <c r="B18833" t="s">
        <v>14</v>
      </c>
      <c r="C18833" t="s">
        <v>27</v>
      </c>
      <c r="D18833" t="s">
        <v>17</v>
      </c>
      <c r="E18833" t="s">
        <v>12</v>
      </c>
      <c r="F18833">
        <v>58330712</v>
      </c>
      <c r="G18833">
        <v>58330735</v>
      </c>
      <c r="H18833">
        <v>58330744</v>
      </c>
      <c r="I18833">
        <v>58330777</v>
      </c>
    </row>
    <row r="18834" spans="1:9" x14ac:dyDescent="0.2">
      <c r="A18834" t="str">
        <f>"Sh3d19"</f>
        <v>Sh3d19</v>
      </c>
      <c r="B18834" t="s">
        <v>14</v>
      </c>
      <c r="C18834" t="s">
        <v>22</v>
      </c>
      <c r="D18834" t="s">
        <v>17</v>
      </c>
      <c r="E18834" t="s">
        <v>12</v>
      </c>
      <c r="F18834">
        <v>86084407</v>
      </c>
      <c r="G18834">
        <v>86084444</v>
      </c>
      <c r="H18834">
        <v>86084388</v>
      </c>
      <c r="I18834">
        <v>86084406</v>
      </c>
    </row>
    <row r="18835" spans="1:9" x14ac:dyDescent="0.2">
      <c r="A18835" t="str">
        <f>"Sh3d21"</f>
        <v>Sh3d21</v>
      </c>
      <c r="B18835" t="s">
        <v>5741</v>
      </c>
      <c r="C18835" t="s">
        <v>23</v>
      </c>
      <c r="D18835" t="s">
        <v>11</v>
      </c>
      <c r="E18835" t="s">
        <v>35</v>
      </c>
      <c r="F18835">
        <v>126163470</v>
      </c>
      <c r="G18835">
        <v>126163486</v>
      </c>
      <c r="H18835">
        <v>126163275</v>
      </c>
      <c r="I18835">
        <v>126163296</v>
      </c>
    </row>
    <row r="18836" spans="1:9" x14ac:dyDescent="0.2">
      <c r="A18836" t="str">
        <f>"Sh3gl1"</f>
        <v>Sh3gl1</v>
      </c>
      <c r="B18836" t="s">
        <v>14</v>
      </c>
      <c r="C18836" t="s">
        <v>28</v>
      </c>
      <c r="D18836" t="s">
        <v>11</v>
      </c>
      <c r="E18836" t="s">
        <v>12</v>
      </c>
      <c r="F18836">
        <v>56036546</v>
      </c>
      <c r="G18836">
        <v>56036647</v>
      </c>
      <c r="H18836">
        <v>56036486</v>
      </c>
      <c r="I18836">
        <v>56036501</v>
      </c>
    </row>
    <row r="18837" spans="1:9" x14ac:dyDescent="0.2">
      <c r="A18837" t="str">
        <f>"Sh3gl2"</f>
        <v>Sh3gl2</v>
      </c>
      <c r="B18837" t="s">
        <v>14</v>
      </c>
      <c r="C18837" t="s">
        <v>23</v>
      </c>
      <c r="D18837" t="s">
        <v>17</v>
      </c>
      <c r="E18837" t="s">
        <v>12</v>
      </c>
      <c r="F18837">
        <v>85205417</v>
      </c>
      <c r="G18837">
        <v>85205495</v>
      </c>
      <c r="H18837">
        <v>85205151</v>
      </c>
      <c r="I18837">
        <v>85205192</v>
      </c>
    </row>
    <row r="18838" spans="1:9" x14ac:dyDescent="0.2">
      <c r="A18838" t="str">
        <f>"Sh3gl3"</f>
        <v>Sh3gl3</v>
      </c>
      <c r="B18838" t="s">
        <v>14</v>
      </c>
      <c r="C18838" t="s">
        <v>33</v>
      </c>
      <c r="D18838" t="s">
        <v>17</v>
      </c>
      <c r="E18838" t="s">
        <v>12</v>
      </c>
      <c r="F18838">
        <v>82174826</v>
      </c>
      <c r="G18838">
        <v>82174854</v>
      </c>
      <c r="H18838">
        <v>82174798</v>
      </c>
      <c r="I18838">
        <v>82174825</v>
      </c>
    </row>
    <row r="18839" spans="1:9" x14ac:dyDescent="0.2">
      <c r="A18839" t="str">
        <f>"Sh3glb1"</f>
        <v>Sh3glb1</v>
      </c>
      <c r="B18839" t="s">
        <v>14</v>
      </c>
      <c r="C18839" t="s">
        <v>22</v>
      </c>
      <c r="D18839" t="s">
        <v>11</v>
      </c>
      <c r="E18839" t="s">
        <v>12</v>
      </c>
      <c r="F18839">
        <v>144720068</v>
      </c>
      <c r="G18839">
        <v>144720208</v>
      </c>
      <c r="H18839">
        <v>144720276</v>
      </c>
      <c r="I18839">
        <v>144720307</v>
      </c>
    </row>
    <row r="18840" spans="1:9" x14ac:dyDescent="0.2">
      <c r="A18840" t="str">
        <f>"Sh3glb2"</f>
        <v>Sh3glb2</v>
      </c>
      <c r="B18840" t="s">
        <v>14</v>
      </c>
      <c r="C18840" t="s">
        <v>26</v>
      </c>
      <c r="D18840" t="s">
        <v>11</v>
      </c>
      <c r="E18840" t="s">
        <v>12</v>
      </c>
      <c r="F18840">
        <v>30359190</v>
      </c>
      <c r="G18840">
        <v>30359272</v>
      </c>
      <c r="H18840">
        <v>30359278</v>
      </c>
      <c r="I18840">
        <v>30359341</v>
      </c>
    </row>
    <row r="18841" spans="1:9" x14ac:dyDescent="0.2">
      <c r="A18841" t="str">
        <f>"Sh3kbp1"</f>
        <v>Sh3kbp1</v>
      </c>
      <c r="B18841" t="s">
        <v>5742</v>
      </c>
      <c r="C18841" t="s">
        <v>37</v>
      </c>
      <c r="D18841" t="s">
        <v>17</v>
      </c>
      <c r="E18841" t="s">
        <v>35</v>
      </c>
      <c r="F18841">
        <v>159627039</v>
      </c>
      <c r="G18841">
        <v>159627076</v>
      </c>
      <c r="H18841">
        <v>159627464</v>
      </c>
      <c r="I18841">
        <v>159627478</v>
      </c>
    </row>
    <row r="18842" spans="1:9" x14ac:dyDescent="0.2">
      <c r="A18842" t="str">
        <f>"Sh3pxd2a"</f>
        <v>Sh3pxd2a</v>
      </c>
      <c r="B18842" t="s">
        <v>5743</v>
      </c>
      <c r="C18842" t="s">
        <v>10</v>
      </c>
      <c r="D18842" t="s">
        <v>11</v>
      </c>
      <c r="E18842" t="s">
        <v>35</v>
      </c>
      <c r="F18842">
        <v>47464406</v>
      </c>
      <c r="G18842">
        <v>47464450</v>
      </c>
      <c r="H18842">
        <v>47464286</v>
      </c>
      <c r="I18842">
        <v>47464332</v>
      </c>
    </row>
    <row r="18843" spans="1:9" x14ac:dyDescent="0.2">
      <c r="A18843" t="str">
        <f>"Sh3pxd2b"</f>
        <v>Sh3pxd2b</v>
      </c>
      <c r="B18843" t="s">
        <v>14</v>
      </c>
      <c r="C18843" t="s">
        <v>27</v>
      </c>
      <c r="D18843" t="s">
        <v>17</v>
      </c>
      <c r="E18843" t="s">
        <v>12</v>
      </c>
      <c r="F18843">
        <v>32347800</v>
      </c>
      <c r="G18843">
        <v>32347865</v>
      </c>
      <c r="H18843">
        <v>32347676</v>
      </c>
      <c r="I18843">
        <v>32347710</v>
      </c>
    </row>
    <row r="18844" spans="1:9" x14ac:dyDescent="0.2">
      <c r="A18844" t="str">
        <f>"Sh3rf1"</f>
        <v>Sh3rf1</v>
      </c>
      <c r="B18844" t="s">
        <v>14</v>
      </c>
      <c r="C18844" t="s">
        <v>30</v>
      </c>
      <c r="D18844" t="s">
        <v>17</v>
      </c>
      <c r="E18844" t="s">
        <v>12</v>
      </c>
      <c r="F18844">
        <v>61224220</v>
      </c>
      <c r="G18844">
        <v>61224251</v>
      </c>
      <c r="H18844">
        <v>61224258</v>
      </c>
      <c r="I18844">
        <v>61224275</v>
      </c>
    </row>
    <row r="18845" spans="1:9" x14ac:dyDescent="0.2">
      <c r="A18845" t="str">
        <f>"Sh3rf2"</f>
        <v>Sh3rf2</v>
      </c>
      <c r="B18845" t="s">
        <v>5744</v>
      </c>
      <c r="C18845" t="s">
        <v>43</v>
      </c>
      <c r="D18845" t="s">
        <v>17</v>
      </c>
      <c r="E18845" t="s">
        <v>35</v>
      </c>
      <c r="F18845">
        <v>42053510</v>
      </c>
      <c r="G18845">
        <v>42053549</v>
      </c>
      <c r="H18845">
        <v>42053727</v>
      </c>
      <c r="I18845">
        <v>42053738</v>
      </c>
    </row>
    <row r="18846" spans="1:9" x14ac:dyDescent="0.2">
      <c r="A18846" t="str">
        <f>"Sh3rf3"</f>
        <v>Sh3rf3</v>
      </c>
      <c r="B18846" t="s">
        <v>14</v>
      </c>
      <c r="C18846" t="s">
        <v>15</v>
      </c>
      <c r="D18846" t="s">
        <v>17</v>
      </c>
      <c r="E18846" t="s">
        <v>12</v>
      </c>
      <c r="F18846">
        <v>58813234</v>
      </c>
      <c r="G18846">
        <v>58813245</v>
      </c>
      <c r="H18846">
        <v>58813278</v>
      </c>
      <c r="I18846">
        <v>58813288</v>
      </c>
    </row>
    <row r="18847" spans="1:9" x14ac:dyDescent="0.2">
      <c r="A18847" t="str">
        <f>"Sh3tc1"</f>
        <v>Sh3tc1</v>
      </c>
      <c r="B18847" t="s">
        <v>14</v>
      </c>
      <c r="C18847" t="s">
        <v>46</v>
      </c>
      <c r="D18847" t="s">
        <v>11</v>
      </c>
      <c r="E18847" t="s">
        <v>12</v>
      </c>
      <c r="F18847">
        <v>35729022</v>
      </c>
      <c r="G18847">
        <v>35729039</v>
      </c>
      <c r="H18847">
        <v>35729048</v>
      </c>
      <c r="I18847">
        <v>35729078</v>
      </c>
    </row>
    <row r="18848" spans="1:9" x14ac:dyDescent="0.2">
      <c r="A18848" t="str">
        <f>"Sh3tc2"</f>
        <v>Sh3tc2</v>
      </c>
      <c r="B18848" t="s">
        <v>14</v>
      </c>
      <c r="C18848" t="s">
        <v>43</v>
      </c>
      <c r="D18848" t="s">
        <v>17</v>
      </c>
      <c r="E18848" t="s">
        <v>12</v>
      </c>
      <c r="F18848">
        <v>61953048</v>
      </c>
      <c r="G18848">
        <v>61953121</v>
      </c>
      <c r="H18848">
        <v>61952960</v>
      </c>
      <c r="I18848">
        <v>61952997</v>
      </c>
    </row>
    <row r="18849" spans="1:9" x14ac:dyDescent="0.2">
      <c r="A18849" t="str">
        <f>"Sh3yl1"</f>
        <v>Sh3yl1</v>
      </c>
      <c r="B18849" t="s">
        <v>14</v>
      </c>
      <c r="C18849" t="s">
        <v>16</v>
      </c>
      <c r="D18849" t="s">
        <v>17</v>
      </c>
      <c r="E18849" t="s">
        <v>12</v>
      </c>
      <c r="F18849">
        <v>30911659</v>
      </c>
      <c r="G18849">
        <v>30911733</v>
      </c>
      <c r="H18849">
        <v>30912159</v>
      </c>
      <c r="I18849">
        <v>30912200</v>
      </c>
    </row>
    <row r="18850" spans="1:9" x14ac:dyDescent="0.2">
      <c r="A18850" t="str">
        <f>"Shank1"</f>
        <v>Shank1</v>
      </c>
      <c r="B18850" t="s">
        <v>14</v>
      </c>
      <c r="C18850" t="s">
        <v>33</v>
      </c>
      <c r="D18850" t="s">
        <v>17</v>
      </c>
      <c r="E18850" t="s">
        <v>12</v>
      </c>
      <c r="F18850">
        <v>44310213</v>
      </c>
      <c r="G18850">
        <v>44310242</v>
      </c>
      <c r="H18850">
        <v>44310213</v>
      </c>
      <c r="I18850">
        <v>44310242</v>
      </c>
    </row>
    <row r="18851" spans="1:9" x14ac:dyDescent="0.2">
      <c r="A18851" t="str">
        <f>"Shank2"</f>
        <v>Shank2</v>
      </c>
      <c r="B18851" t="s">
        <v>5745</v>
      </c>
      <c r="C18851" t="s">
        <v>33</v>
      </c>
      <c r="D18851" t="s">
        <v>17</v>
      </c>
      <c r="E18851" t="s">
        <v>20</v>
      </c>
      <c r="F18851">
        <v>144001927</v>
      </c>
      <c r="G18851">
        <v>144001927</v>
      </c>
      <c r="H18851">
        <v>144001927</v>
      </c>
      <c r="I18851">
        <v>144001927</v>
      </c>
    </row>
    <row r="18852" spans="1:9" x14ac:dyDescent="0.2">
      <c r="A18852" t="str">
        <f>"Shank3"</f>
        <v>Shank3</v>
      </c>
      <c r="B18852" t="s">
        <v>14</v>
      </c>
      <c r="C18852" t="s">
        <v>25</v>
      </c>
      <c r="D18852" t="s">
        <v>17</v>
      </c>
      <c r="E18852" t="s">
        <v>12</v>
      </c>
      <c r="F18852">
        <v>89499598</v>
      </c>
      <c r="G18852">
        <v>89499653</v>
      </c>
      <c r="H18852">
        <v>89499598</v>
      </c>
      <c r="I18852">
        <v>89499653</v>
      </c>
    </row>
    <row r="18853" spans="1:9" x14ac:dyDescent="0.2">
      <c r="A18853" t="str">
        <f>"Sharpin"</f>
        <v>Sharpin</v>
      </c>
      <c r="B18853" t="s">
        <v>14</v>
      </c>
      <c r="C18853" t="s">
        <v>25</v>
      </c>
      <c r="D18853" t="s">
        <v>11</v>
      </c>
      <c r="E18853" t="s">
        <v>12</v>
      </c>
      <c r="F18853">
        <v>76351008</v>
      </c>
      <c r="G18853">
        <v>76351131</v>
      </c>
      <c r="H18853">
        <v>76350674</v>
      </c>
      <c r="I18853">
        <v>76350745</v>
      </c>
    </row>
    <row r="18854" spans="1:9" x14ac:dyDescent="0.2">
      <c r="A18854" t="str">
        <f>"Shb"</f>
        <v>Shb</v>
      </c>
      <c r="B18854" t="s">
        <v>14</v>
      </c>
      <c r="C18854" t="s">
        <v>23</v>
      </c>
      <c r="D18854" t="s">
        <v>11</v>
      </c>
      <c r="E18854" t="s">
        <v>12</v>
      </c>
      <c r="F18854">
        <v>45530752</v>
      </c>
      <c r="G18854">
        <v>45530816</v>
      </c>
      <c r="H18854">
        <v>45530734</v>
      </c>
      <c r="I18854">
        <v>45530741</v>
      </c>
    </row>
    <row r="18855" spans="1:9" x14ac:dyDescent="0.2">
      <c r="A18855" t="str">
        <f>"Shbg"</f>
        <v>Shbg</v>
      </c>
      <c r="B18855" t="s">
        <v>14</v>
      </c>
      <c r="C18855" t="s">
        <v>27</v>
      </c>
      <c r="D18855" t="s">
        <v>11</v>
      </c>
      <c r="E18855" t="s">
        <v>12</v>
      </c>
      <c r="F18855">
        <v>69617879</v>
      </c>
      <c r="G18855">
        <v>69617926</v>
      </c>
      <c r="H18855">
        <v>69617879</v>
      </c>
      <c r="I18855">
        <v>69617926</v>
      </c>
    </row>
    <row r="18856" spans="1:9" x14ac:dyDescent="0.2">
      <c r="A18856" t="str">
        <f>"Shc1"</f>
        <v>Shc1</v>
      </c>
      <c r="B18856" t="s">
        <v>9</v>
      </c>
      <c r="C18856" t="s">
        <v>22</v>
      </c>
      <c r="D18856" t="s">
        <v>17</v>
      </c>
      <c r="E18856" t="s">
        <v>12</v>
      </c>
      <c r="F18856">
        <v>89421619</v>
      </c>
      <c r="G18856">
        <v>89421636</v>
      </c>
      <c r="H18856">
        <v>89421619</v>
      </c>
      <c r="I18856">
        <v>89421636</v>
      </c>
    </row>
    <row r="18857" spans="1:9" x14ac:dyDescent="0.2">
      <c r="A18857" t="str">
        <f>"Shc1"</f>
        <v>Shc1</v>
      </c>
      <c r="B18857" t="s">
        <v>13</v>
      </c>
      <c r="C18857" t="s">
        <v>22</v>
      </c>
      <c r="D18857" t="s">
        <v>17</v>
      </c>
      <c r="E18857" t="s">
        <v>12</v>
      </c>
      <c r="F18857">
        <v>89418656</v>
      </c>
      <c r="G18857">
        <v>89418675</v>
      </c>
      <c r="H18857">
        <v>89418656</v>
      </c>
      <c r="I18857">
        <v>89418675</v>
      </c>
    </row>
    <row r="18858" spans="1:9" x14ac:dyDescent="0.2">
      <c r="A18858" t="str">
        <f>"Shc2"</f>
        <v>Shc2</v>
      </c>
      <c r="B18858" t="s">
        <v>14</v>
      </c>
      <c r="C18858" t="s">
        <v>15</v>
      </c>
      <c r="D18858" t="s">
        <v>11</v>
      </c>
      <c r="E18858" t="s">
        <v>12</v>
      </c>
      <c r="F18858">
        <v>79637842</v>
      </c>
      <c r="G18858">
        <v>79637908</v>
      </c>
      <c r="H18858">
        <v>79637909</v>
      </c>
      <c r="I18858">
        <v>79637922</v>
      </c>
    </row>
    <row r="18859" spans="1:9" x14ac:dyDescent="0.2">
      <c r="A18859" t="str">
        <f>"Shc3"</f>
        <v>Shc3</v>
      </c>
      <c r="B18859" t="s">
        <v>14</v>
      </c>
      <c r="C18859" t="s">
        <v>39</v>
      </c>
      <c r="D18859" t="s">
        <v>11</v>
      </c>
      <c r="E18859" t="s">
        <v>12</v>
      </c>
      <c r="F18859">
        <v>51567503</v>
      </c>
      <c r="G18859">
        <v>51567521</v>
      </c>
      <c r="H18859">
        <v>51567503</v>
      </c>
      <c r="I18859">
        <v>51567521</v>
      </c>
    </row>
    <row r="18860" spans="1:9" x14ac:dyDescent="0.2">
      <c r="A18860" t="str">
        <f>"Shc4"</f>
        <v>Shc4</v>
      </c>
      <c r="B18860" t="s">
        <v>14</v>
      </c>
      <c r="C18860" t="s">
        <v>26</v>
      </c>
      <c r="D18860" t="s">
        <v>11</v>
      </c>
      <c r="E18860" t="s">
        <v>12</v>
      </c>
      <c r="F18860">
        <v>125723657</v>
      </c>
      <c r="G18860">
        <v>125723691</v>
      </c>
      <c r="H18860">
        <v>125723657</v>
      </c>
      <c r="I18860">
        <v>125723691</v>
      </c>
    </row>
    <row r="18861" spans="1:9" x14ac:dyDescent="0.2">
      <c r="A18861" t="str">
        <f>"Shcbp1"</f>
        <v>Shcbp1</v>
      </c>
      <c r="B18861" t="s">
        <v>14</v>
      </c>
      <c r="C18861" t="s">
        <v>30</v>
      </c>
      <c r="D18861" t="s">
        <v>11</v>
      </c>
      <c r="E18861" t="s">
        <v>12</v>
      </c>
      <c r="F18861">
        <v>4779513</v>
      </c>
      <c r="G18861">
        <v>4779591</v>
      </c>
      <c r="H18861">
        <v>4779513</v>
      </c>
      <c r="I18861">
        <v>4779591</v>
      </c>
    </row>
    <row r="18862" spans="1:9" x14ac:dyDescent="0.2">
      <c r="A18862" t="str">
        <f>"Shcbp1l"</f>
        <v>Shcbp1l</v>
      </c>
      <c r="B18862" t="s">
        <v>14</v>
      </c>
      <c r="C18862" t="s">
        <v>19</v>
      </c>
      <c r="D18862" t="s">
        <v>17</v>
      </c>
      <c r="E18862" t="s">
        <v>67</v>
      </c>
      <c r="F18862">
        <v>153425181</v>
      </c>
      <c r="G18862">
        <v>153425219</v>
      </c>
      <c r="H18862">
        <v>153425165</v>
      </c>
      <c r="I18862">
        <v>153425177</v>
      </c>
    </row>
    <row r="18863" spans="1:9" x14ac:dyDescent="0.2">
      <c r="A18863" t="str">
        <f>"Shd"</f>
        <v>Shd</v>
      </c>
      <c r="B18863" t="s">
        <v>14</v>
      </c>
      <c r="C18863" t="s">
        <v>28</v>
      </c>
      <c r="D18863" t="s">
        <v>17</v>
      </c>
      <c r="E18863" t="s">
        <v>12</v>
      </c>
      <c r="F18863">
        <v>55970496</v>
      </c>
      <c r="G18863">
        <v>55970577</v>
      </c>
      <c r="H18863">
        <v>55970451</v>
      </c>
      <c r="I18863">
        <v>55970485</v>
      </c>
    </row>
    <row r="18864" spans="1:9" x14ac:dyDescent="0.2">
      <c r="A18864" t="str">
        <f>"She"</f>
        <v>She</v>
      </c>
      <c r="B18864" t="s">
        <v>14</v>
      </c>
      <c r="C18864" t="s">
        <v>22</v>
      </c>
      <c r="D18864" t="s">
        <v>17</v>
      </c>
      <c r="E18864" t="s">
        <v>12</v>
      </c>
      <c r="F18864">
        <v>89831352</v>
      </c>
      <c r="G18864">
        <v>89831384</v>
      </c>
      <c r="H18864">
        <v>89831395</v>
      </c>
      <c r="I18864">
        <v>89831406</v>
      </c>
    </row>
    <row r="18865" spans="1:9" x14ac:dyDescent="0.2">
      <c r="A18865" t="str">
        <f>"Shf"</f>
        <v>Shf</v>
      </c>
      <c r="B18865" t="s">
        <v>14</v>
      </c>
      <c r="C18865" t="s">
        <v>26</v>
      </c>
      <c r="D18865" t="s">
        <v>11</v>
      </c>
      <c r="E18865" t="s">
        <v>12</v>
      </c>
      <c r="F18865">
        <v>122369130</v>
      </c>
      <c r="G18865">
        <v>122369154</v>
      </c>
      <c r="H18865">
        <v>122368820</v>
      </c>
      <c r="I18865">
        <v>122368870</v>
      </c>
    </row>
    <row r="18866" spans="1:9" x14ac:dyDescent="0.2">
      <c r="A18866" t="str">
        <f>"Shfm1"</f>
        <v>Shfm1</v>
      </c>
      <c r="B18866" t="s">
        <v>14</v>
      </c>
      <c r="C18866" t="s">
        <v>32</v>
      </c>
      <c r="D18866" t="s">
        <v>11</v>
      </c>
      <c r="E18866" t="s">
        <v>12</v>
      </c>
      <c r="F18866">
        <v>6578594</v>
      </c>
      <c r="G18866">
        <v>6578672</v>
      </c>
      <c r="H18866">
        <v>6578594</v>
      </c>
      <c r="I18866">
        <v>6578672</v>
      </c>
    </row>
    <row r="18867" spans="1:9" x14ac:dyDescent="0.2">
      <c r="A18867" t="str">
        <f>"Shh"</f>
        <v>Shh</v>
      </c>
      <c r="B18867" t="s">
        <v>14</v>
      </c>
      <c r="C18867" t="s">
        <v>46</v>
      </c>
      <c r="D18867" t="s">
        <v>11</v>
      </c>
      <c r="E18867" t="s">
        <v>12</v>
      </c>
      <c r="F18867">
        <v>28467093</v>
      </c>
      <c r="G18867">
        <v>28467109</v>
      </c>
      <c r="H18867">
        <v>28467093</v>
      </c>
      <c r="I18867">
        <v>28467109</v>
      </c>
    </row>
    <row r="18868" spans="1:9" x14ac:dyDescent="0.2">
      <c r="A18868" t="str">
        <f>"Shisa2"</f>
        <v>Shisa2</v>
      </c>
      <c r="B18868" t="s">
        <v>14</v>
      </c>
      <c r="C18868" t="s">
        <v>41</v>
      </c>
      <c r="D18868" t="s">
        <v>17</v>
      </c>
      <c r="E18868" t="s">
        <v>12</v>
      </c>
      <c r="F18868">
        <v>59625302</v>
      </c>
      <c r="G18868">
        <v>59625318</v>
      </c>
      <c r="H18868">
        <v>59625302</v>
      </c>
      <c r="I18868">
        <v>59625318</v>
      </c>
    </row>
    <row r="18869" spans="1:9" x14ac:dyDescent="0.2">
      <c r="A18869" t="str">
        <f>"Shisa3"</f>
        <v>Shisa3</v>
      </c>
      <c r="B18869" t="s">
        <v>14</v>
      </c>
      <c r="C18869" t="s">
        <v>46</v>
      </c>
      <c r="D18869" t="s">
        <v>17</v>
      </c>
      <c r="E18869" t="s">
        <v>12</v>
      </c>
      <c r="F18869">
        <v>67607873</v>
      </c>
      <c r="G18869">
        <v>67607889</v>
      </c>
      <c r="H18869">
        <v>67608401</v>
      </c>
      <c r="I18869">
        <v>67608451</v>
      </c>
    </row>
    <row r="18870" spans="1:9" x14ac:dyDescent="0.2">
      <c r="A18870" t="str">
        <f>"Shisa4"</f>
        <v>Shisa4</v>
      </c>
      <c r="B18870" t="s">
        <v>14</v>
      </c>
      <c r="C18870" t="s">
        <v>19</v>
      </c>
      <c r="D18870" t="s">
        <v>11</v>
      </c>
      <c r="E18870" t="s">
        <v>12</v>
      </c>
      <c r="F18870">
        <v>135374955</v>
      </c>
      <c r="G18870">
        <v>135375098</v>
      </c>
      <c r="H18870">
        <v>135375250</v>
      </c>
      <c r="I18870">
        <v>135375264</v>
      </c>
    </row>
    <row r="18871" spans="1:9" x14ac:dyDescent="0.2">
      <c r="A18871" t="str">
        <f>"Shisa5"</f>
        <v>Shisa5</v>
      </c>
      <c r="B18871" t="s">
        <v>9</v>
      </c>
      <c r="C18871" t="s">
        <v>24</v>
      </c>
      <c r="D18871" t="s">
        <v>17</v>
      </c>
      <c r="E18871" t="s">
        <v>12</v>
      </c>
      <c r="F18871">
        <v>109051153</v>
      </c>
      <c r="G18871">
        <v>109051219</v>
      </c>
      <c r="H18871">
        <v>109051153</v>
      </c>
      <c r="I18871">
        <v>109051219</v>
      </c>
    </row>
    <row r="18872" spans="1:9" x14ac:dyDescent="0.2">
      <c r="A18872" t="str">
        <f>"Shisa5"</f>
        <v>Shisa5</v>
      </c>
      <c r="B18872" t="s">
        <v>13</v>
      </c>
      <c r="C18872" t="s">
        <v>24</v>
      </c>
      <c r="D18872" t="s">
        <v>17</v>
      </c>
      <c r="E18872" t="s">
        <v>12</v>
      </c>
      <c r="F18872">
        <v>109038575</v>
      </c>
      <c r="G18872">
        <v>109038644</v>
      </c>
      <c r="H18872">
        <v>109038575</v>
      </c>
      <c r="I18872">
        <v>109038644</v>
      </c>
    </row>
    <row r="18873" spans="1:9" x14ac:dyDescent="0.2">
      <c r="A18873" t="str">
        <f>"Shisa6"</f>
        <v>Shisa6</v>
      </c>
      <c r="B18873" t="s">
        <v>14</v>
      </c>
      <c r="C18873" t="s">
        <v>27</v>
      </c>
      <c r="D18873" t="s">
        <v>11</v>
      </c>
      <c r="E18873" t="s">
        <v>12</v>
      </c>
      <c r="F18873">
        <v>66526571</v>
      </c>
      <c r="G18873">
        <v>66526582</v>
      </c>
      <c r="H18873">
        <v>66526571</v>
      </c>
      <c r="I18873">
        <v>66526582</v>
      </c>
    </row>
    <row r="18874" spans="1:9" x14ac:dyDescent="0.2">
      <c r="A18874" t="str">
        <f>"Shisa7"</f>
        <v>Shisa7</v>
      </c>
      <c r="B18874" t="s">
        <v>14</v>
      </c>
      <c r="C18874" t="s">
        <v>33</v>
      </c>
      <c r="D18874" t="s">
        <v>11</v>
      </c>
      <c r="E18874" t="s">
        <v>12</v>
      </c>
      <c r="F18874">
        <v>4844794</v>
      </c>
      <c r="G18874">
        <v>4844869</v>
      </c>
      <c r="H18874">
        <v>4844665</v>
      </c>
      <c r="I18874">
        <v>4844699</v>
      </c>
    </row>
    <row r="18875" spans="1:9" x14ac:dyDescent="0.2">
      <c r="A18875" t="str">
        <f>"Shisa9"</f>
        <v>Shisa9</v>
      </c>
      <c r="B18875" t="s">
        <v>14</v>
      </c>
      <c r="C18875" t="s">
        <v>31</v>
      </c>
      <c r="D18875" t="s">
        <v>17</v>
      </c>
      <c r="E18875" t="s">
        <v>12</v>
      </c>
      <c r="F18875">
        <v>11984107</v>
      </c>
      <c r="G18875">
        <v>11984153</v>
      </c>
      <c r="H18875">
        <v>11984389</v>
      </c>
      <c r="I18875">
        <v>11984422</v>
      </c>
    </row>
    <row r="18876" spans="1:9" x14ac:dyDescent="0.2">
      <c r="A18876" t="str">
        <f>"Shkbp1"</f>
        <v>Shkbp1</v>
      </c>
      <c r="B18876" t="s">
        <v>14</v>
      </c>
      <c r="C18876" t="s">
        <v>33</v>
      </c>
      <c r="D18876" t="s">
        <v>11</v>
      </c>
      <c r="E18876" t="s">
        <v>12</v>
      </c>
      <c r="F18876">
        <v>27355944</v>
      </c>
      <c r="G18876">
        <v>27355977</v>
      </c>
      <c r="H18876">
        <v>27355980</v>
      </c>
      <c r="I18876">
        <v>27356015</v>
      </c>
    </row>
    <row r="18877" spans="1:9" x14ac:dyDescent="0.2">
      <c r="A18877" t="str">
        <f>"Shmt1"</f>
        <v>Shmt1</v>
      </c>
      <c r="B18877" t="s">
        <v>14</v>
      </c>
      <c r="C18877" t="s">
        <v>27</v>
      </c>
      <c r="D18877" t="s">
        <v>11</v>
      </c>
      <c r="E18877" t="s">
        <v>12</v>
      </c>
      <c r="F18877">
        <v>60811105</v>
      </c>
      <c r="G18877">
        <v>60811210</v>
      </c>
      <c r="H18877">
        <v>60811228</v>
      </c>
      <c r="I18877">
        <v>60811241</v>
      </c>
    </row>
    <row r="18878" spans="1:9" x14ac:dyDescent="0.2">
      <c r="A18878" t="str">
        <f>"Shmt2"</f>
        <v>Shmt2</v>
      </c>
      <c r="B18878" t="s">
        <v>14</v>
      </c>
      <c r="C18878" t="s">
        <v>15</v>
      </c>
      <c r="D18878" t="s">
        <v>11</v>
      </c>
      <c r="E18878" t="s">
        <v>12</v>
      </c>
      <c r="F18878">
        <v>127522364</v>
      </c>
      <c r="G18878">
        <v>127522423</v>
      </c>
      <c r="H18878">
        <v>127522428</v>
      </c>
      <c r="I18878">
        <v>127522454</v>
      </c>
    </row>
    <row r="18879" spans="1:9" x14ac:dyDescent="0.2">
      <c r="A18879" t="str">
        <f>"Shoc2"</f>
        <v>Shoc2</v>
      </c>
      <c r="B18879" t="s">
        <v>14</v>
      </c>
      <c r="C18879" t="s">
        <v>10</v>
      </c>
      <c r="D18879" t="s">
        <v>17</v>
      </c>
      <c r="E18879" t="s">
        <v>12</v>
      </c>
      <c r="F18879">
        <v>53944840</v>
      </c>
      <c r="G18879">
        <v>53944867</v>
      </c>
      <c r="H18879">
        <v>53944870</v>
      </c>
      <c r="I18879">
        <v>53944907</v>
      </c>
    </row>
    <row r="18880" spans="1:9" x14ac:dyDescent="0.2">
      <c r="A18880" t="str">
        <f>"Shox2"</f>
        <v>Shox2</v>
      </c>
      <c r="B18880" t="s">
        <v>14</v>
      </c>
      <c r="C18880" t="s">
        <v>22</v>
      </c>
      <c r="D18880" t="s">
        <v>11</v>
      </c>
      <c r="E18880" t="s">
        <v>12</v>
      </c>
      <c r="F18880">
        <v>66981935</v>
      </c>
      <c r="G18880">
        <v>66981951</v>
      </c>
      <c r="H18880">
        <v>66981259</v>
      </c>
      <c r="I18880">
        <v>66981277</v>
      </c>
    </row>
    <row r="18881" spans="1:9" x14ac:dyDescent="0.2">
      <c r="A18881" t="str">
        <f>"Shpk"</f>
        <v>Shpk</v>
      </c>
      <c r="B18881" t="s">
        <v>14</v>
      </c>
      <c r="C18881" t="s">
        <v>27</v>
      </c>
      <c r="D18881" t="s">
        <v>17</v>
      </c>
      <c r="E18881" t="s">
        <v>12</v>
      </c>
      <c r="F18881">
        <v>73199445</v>
      </c>
      <c r="G18881">
        <v>73199500</v>
      </c>
      <c r="H18881">
        <v>73199436</v>
      </c>
      <c r="I18881">
        <v>73199437</v>
      </c>
    </row>
    <row r="18882" spans="1:9" x14ac:dyDescent="0.2">
      <c r="A18882" t="str">
        <f>"Shprh"</f>
        <v>Shprh</v>
      </c>
      <c r="B18882" t="s">
        <v>14</v>
      </c>
      <c r="C18882" t="s">
        <v>15</v>
      </c>
      <c r="D18882" t="s">
        <v>17</v>
      </c>
      <c r="E18882" t="s">
        <v>12</v>
      </c>
      <c r="F18882">
        <v>11149449</v>
      </c>
      <c r="G18882">
        <v>11149513</v>
      </c>
      <c r="H18882">
        <v>11149387</v>
      </c>
      <c r="I18882">
        <v>11149400</v>
      </c>
    </row>
    <row r="18883" spans="1:9" x14ac:dyDescent="0.2">
      <c r="A18883" t="str">
        <f>"Shq1"</f>
        <v>Shq1</v>
      </c>
      <c r="B18883" t="s">
        <v>14</v>
      </c>
      <c r="C18883" t="s">
        <v>32</v>
      </c>
      <c r="D18883" t="s">
        <v>11</v>
      </c>
      <c r="E18883" t="s">
        <v>12</v>
      </c>
      <c r="F18883">
        <v>100671126</v>
      </c>
      <c r="G18883">
        <v>100671178</v>
      </c>
      <c r="H18883">
        <v>100671092</v>
      </c>
      <c r="I18883">
        <v>100671112</v>
      </c>
    </row>
    <row r="18884" spans="1:9" x14ac:dyDescent="0.2">
      <c r="A18884" t="str">
        <f>"Shroom1"</f>
        <v>Shroom1</v>
      </c>
      <c r="B18884" t="s">
        <v>14</v>
      </c>
      <c r="C18884" t="s">
        <v>27</v>
      </c>
      <c r="D18884" t="s">
        <v>17</v>
      </c>
      <c r="E18884" t="s">
        <v>12</v>
      </c>
      <c r="F18884">
        <v>53457209</v>
      </c>
      <c r="G18884">
        <v>53457265</v>
      </c>
      <c r="H18884">
        <v>53457273</v>
      </c>
      <c r="I18884">
        <v>53457300</v>
      </c>
    </row>
    <row r="18885" spans="1:9" x14ac:dyDescent="0.2">
      <c r="A18885" t="str">
        <f>"Shroom2"</f>
        <v>Shroom2</v>
      </c>
      <c r="B18885" t="s">
        <v>14</v>
      </c>
      <c r="C18885" t="s">
        <v>37</v>
      </c>
      <c r="D18885" t="s">
        <v>11</v>
      </c>
      <c r="E18885" t="s">
        <v>12</v>
      </c>
      <c r="F18885">
        <v>152769600</v>
      </c>
      <c r="G18885">
        <v>152769649</v>
      </c>
      <c r="H18885">
        <v>152769600</v>
      </c>
      <c r="I18885">
        <v>152769649</v>
      </c>
    </row>
    <row r="18886" spans="1:9" x14ac:dyDescent="0.2">
      <c r="A18886" t="str">
        <f>"Shroom3"</f>
        <v>Shroom3</v>
      </c>
      <c r="B18886" t="s">
        <v>5746</v>
      </c>
      <c r="C18886" t="s">
        <v>46</v>
      </c>
      <c r="D18886" t="s">
        <v>17</v>
      </c>
      <c r="E18886" t="s">
        <v>35</v>
      </c>
      <c r="F18886">
        <v>92683295</v>
      </c>
      <c r="G18886">
        <v>92683332</v>
      </c>
      <c r="H18886">
        <v>92683626</v>
      </c>
      <c r="I18886">
        <v>92683648</v>
      </c>
    </row>
    <row r="18887" spans="1:9" x14ac:dyDescent="0.2">
      <c r="A18887" t="str">
        <f>"Shroom4"</f>
        <v>Shroom4</v>
      </c>
      <c r="B18887" t="s">
        <v>14</v>
      </c>
      <c r="C18887" t="s">
        <v>37</v>
      </c>
      <c r="D18887" t="s">
        <v>17</v>
      </c>
      <c r="E18887" t="s">
        <v>12</v>
      </c>
      <c r="F18887">
        <v>6400111</v>
      </c>
      <c r="G18887">
        <v>6400144</v>
      </c>
      <c r="H18887">
        <v>6400111</v>
      </c>
      <c r="I18887">
        <v>6400144</v>
      </c>
    </row>
    <row r="18888" spans="1:9" x14ac:dyDescent="0.2">
      <c r="A18888" t="str">
        <f>"Siae"</f>
        <v>Siae</v>
      </c>
      <c r="B18888" t="s">
        <v>14</v>
      </c>
      <c r="C18888" t="s">
        <v>24</v>
      </c>
      <c r="D18888" t="s">
        <v>17</v>
      </c>
      <c r="E18888" t="s">
        <v>12</v>
      </c>
      <c r="F18888">
        <v>37613806</v>
      </c>
      <c r="G18888">
        <v>37613858</v>
      </c>
      <c r="H18888">
        <v>37613782</v>
      </c>
      <c r="I18888">
        <v>37613791</v>
      </c>
    </row>
    <row r="18889" spans="1:9" x14ac:dyDescent="0.2">
      <c r="A18889" t="str">
        <f>"Siah1a"</f>
        <v>Siah1a</v>
      </c>
      <c r="B18889" t="s">
        <v>14</v>
      </c>
      <c r="C18889" t="s">
        <v>30</v>
      </c>
      <c r="D18889" t="s">
        <v>11</v>
      </c>
      <c r="E18889" t="s">
        <v>12</v>
      </c>
      <c r="F18889">
        <v>86745950</v>
      </c>
      <c r="G18889">
        <v>86746054</v>
      </c>
      <c r="H18889">
        <v>86746093</v>
      </c>
      <c r="I18889">
        <v>86746123</v>
      </c>
    </row>
    <row r="18890" spans="1:9" x14ac:dyDescent="0.2">
      <c r="A18890" t="str">
        <f>"Siah1b"</f>
        <v>Siah1b</v>
      </c>
      <c r="B18890" t="s">
        <v>14</v>
      </c>
      <c r="C18890" t="s">
        <v>37</v>
      </c>
      <c r="D18890" t="s">
        <v>11</v>
      </c>
      <c r="E18890" t="s">
        <v>12</v>
      </c>
      <c r="F18890">
        <v>164076482</v>
      </c>
      <c r="G18890">
        <v>164076511</v>
      </c>
      <c r="H18890">
        <v>164076131</v>
      </c>
      <c r="I18890">
        <v>164076165</v>
      </c>
    </row>
    <row r="18891" spans="1:9" x14ac:dyDescent="0.2">
      <c r="A18891" t="str">
        <f>"Siah2"</f>
        <v>Siah2</v>
      </c>
      <c r="B18891" t="s">
        <v>14</v>
      </c>
      <c r="C18891" t="s">
        <v>22</v>
      </c>
      <c r="D18891" t="s">
        <v>11</v>
      </c>
      <c r="E18891" t="s">
        <v>12</v>
      </c>
      <c r="F18891">
        <v>58692056</v>
      </c>
      <c r="G18891">
        <v>58692123</v>
      </c>
      <c r="H18891">
        <v>58692391</v>
      </c>
      <c r="I18891">
        <v>58692412</v>
      </c>
    </row>
    <row r="18892" spans="1:9" x14ac:dyDescent="0.2">
      <c r="A18892" t="str">
        <f>"Siah3"</f>
        <v>Siah3</v>
      </c>
      <c r="B18892" t="s">
        <v>14</v>
      </c>
      <c r="C18892" t="s">
        <v>41</v>
      </c>
      <c r="D18892" t="s">
        <v>17</v>
      </c>
      <c r="E18892" t="s">
        <v>12</v>
      </c>
      <c r="F18892">
        <v>75455921</v>
      </c>
      <c r="G18892">
        <v>75455954</v>
      </c>
      <c r="H18892">
        <v>75455957</v>
      </c>
      <c r="I18892">
        <v>75455996</v>
      </c>
    </row>
    <row r="18893" spans="1:9" x14ac:dyDescent="0.2">
      <c r="A18893" t="str">
        <f>"Sidt1"</f>
        <v>Sidt1</v>
      </c>
      <c r="B18893" t="s">
        <v>14</v>
      </c>
      <c r="C18893" t="s">
        <v>31</v>
      </c>
      <c r="D18893" t="s">
        <v>11</v>
      </c>
      <c r="E18893" t="s">
        <v>12</v>
      </c>
      <c r="F18893">
        <v>44332925</v>
      </c>
      <c r="G18893">
        <v>44333004</v>
      </c>
      <c r="H18893">
        <v>44332625</v>
      </c>
      <c r="I18893">
        <v>44332668</v>
      </c>
    </row>
    <row r="18894" spans="1:9" x14ac:dyDescent="0.2">
      <c r="A18894" t="str">
        <f>"Sidt2"</f>
        <v>Sidt2</v>
      </c>
      <c r="B18894" t="s">
        <v>14</v>
      </c>
      <c r="C18894" t="s">
        <v>24</v>
      </c>
      <c r="D18894" t="s">
        <v>11</v>
      </c>
      <c r="E18894" t="s">
        <v>12</v>
      </c>
      <c r="F18894">
        <v>45955226</v>
      </c>
      <c r="G18894">
        <v>45955250</v>
      </c>
      <c r="H18894">
        <v>45955253</v>
      </c>
      <c r="I18894">
        <v>45955278</v>
      </c>
    </row>
    <row r="18895" spans="1:9" x14ac:dyDescent="0.2">
      <c r="A18895" t="str">
        <f>"Sigirr"</f>
        <v>Sigirr</v>
      </c>
      <c r="B18895" t="s">
        <v>14</v>
      </c>
      <c r="C18895" t="s">
        <v>33</v>
      </c>
      <c r="D18895" t="s">
        <v>11</v>
      </c>
      <c r="E18895" t="s">
        <v>12</v>
      </c>
      <c r="F18895">
        <v>141100526</v>
      </c>
      <c r="G18895">
        <v>141100551</v>
      </c>
      <c r="H18895">
        <v>141100555</v>
      </c>
      <c r="I18895">
        <v>141100587</v>
      </c>
    </row>
    <row r="18896" spans="1:9" x14ac:dyDescent="0.2">
      <c r="A18896" t="str">
        <f>"Siglec1"</f>
        <v>Siglec1</v>
      </c>
      <c r="B18896" t="s">
        <v>14</v>
      </c>
      <c r="C18896" t="s">
        <v>26</v>
      </c>
      <c r="D18896" t="s">
        <v>11</v>
      </c>
      <c r="E18896" t="s">
        <v>12</v>
      </c>
      <c r="F18896">
        <v>131086284</v>
      </c>
      <c r="G18896">
        <v>131086309</v>
      </c>
      <c r="H18896">
        <v>131086741</v>
      </c>
      <c r="I18896">
        <v>131086758</v>
      </c>
    </row>
    <row r="18897" spans="1:9" x14ac:dyDescent="0.2">
      <c r="A18897" t="str">
        <f>"Siglec15"</f>
        <v>Siglec15</v>
      </c>
      <c r="B18897" t="s">
        <v>14</v>
      </c>
      <c r="C18897" t="s">
        <v>43</v>
      </c>
      <c r="D18897" t="s">
        <v>11</v>
      </c>
      <c r="E18897" t="s">
        <v>12</v>
      </c>
      <c r="F18897">
        <v>78057396</v>
      </c>
      <c r="G18897">
        <v>78057407</v>
      </c>
      <c r="H18897">
        <v>78057435</v>
      </c>
      <c r="I18897">
        <v>78057446</v>
      </c>
    </row>
    <row r="18898" spans="1:9" x14ac:dyDescent="0.2">
      <c r="A18898" t="str">
        <f>"Siglec5"</f>
        <v>Siglec5</v>
      </c>
      <c r="B18898" t="s">
        <v>14</v>
      </c>
      <c r="C18898" t="s">
        <v>33</v>
      </c>
      <c r="D18898" t="s">
        <v>17</v>
      </c>
      <c r="E18898" t="s">
        <v>12</v>
      </c>
      <c r="F18898">
        <v>43351378</v>
      </c>
      <c r="G18898">
        <v>43351412</v>
      </c>
      <c r="H18898">
        <v>43351418</v>
      </c>
      <c r="I18898">
        <v>43351455</v>
      </c>
    </row>
    <row r="18899" spans="1:9" x14ac:dyDescent="0.2">
      <c r="A18899" t="str">
        <f>"Siglece"</f>
        <v>Siglece</v>
      </c>
      <c r="B18899" t="s">
        <v>14</v>
      </c>
      <c r="C18899" t="s">
        <v>33</v>
      </c>
      <c r="D18899" t="s">
        <v>11</v>
      </c>
      <c r="E18899" t="s">
        <v>12</v>
      </c>
      <c r="F18899">
        <v>43660139</v>
      </c>
      <c r="G18899">
        <v>43660179</v>
      </c>
      <c r="H18899">
        <v>43660139</v>
      </c>
      <c r="I18899">
        <v>43660179</v>
      </c>
    </row>
    <row r="18900" spans="1:9" x14ac:dyDescent="0.2">
      <c r="A18900" t="str">
        <f>"Siglecg"</f>
        <v>Siglecg</v>
      </c>
      <c r="B18900" t="s">
        <v>14</v>
      </c>
      <c r="C18900" t="s">
        <v>33</v>
      </c>
      <c r="D18900" t="s">
        <v>17</v>
      </c>
      <c r="E18900" t="s">
        <v>12</v>
      </c>
      <c r="F18900">
        <v>43408482</v>
      </c>
      <c r="G18900">
        <v>43408518</v>
      </c>
      <c r="H18900">
        <v>43408228</v>
      </c>
      <c r="I18900">
        <v>43408256</v>
      </c>
    </row>
    <row r="18901" spans="1:9" x14ac:dyDescent="0.2">
      <c r="A18901" t="str">
        <f>"Siglech"</f>
        <v>Siglech</v>
      </c>
      <c r="B18901" t="s">
        <v>14</v>
      </c>
      <c r="C18901" t="s">
        <v>33</v>
      </c>
      <c r="D18901" t="s">
        <v>17</v>
      </c>
      <c r="E18901" t="s">
        <v>12</v>
      </c>
      <c r="F18901">
        <v>55768218</v>
      </c>
      <c r="G18901">
        <v>55768233</v>
      </c>
      <c r="H18901">
        <v>55768255</v>
      </c>
      <c r="I18901">
        <v>55768266</v>
      </c>
    </row>
    <row r="18902" spans="1:9" x14ac:dyDescent="0.2">
      <c r="A18902" t="str">
        <f>"Sigmar1"</f>
        <v>Sigmar1</v>
      </c>
      <c r="B18902" t="s">
        <v>14</v>
      </c>
      <c r="C18902" t="s">
        <v>23</v>
      </c>
      <c r="D18902" t="s">
        <v>11</v>
      </c>
      <c r="E18902" t="s">
        <v>12</v>
      </c>
      <c r="F18902">
        <v>41741301</v>
      </c>
      <c r="G18902">
        <v>41741346</v>
      </c>
      <c r="H18902">
        <v>41741278</v>
      </c>
      <c r="I18902">
        <v>41741300</v>
      </c>
    </row>
    <row r="18903" spans="1:9" x14ac:dyDescent="0.2">
      <c r="A18903" t="str">
        <f>"Sik1"</f>
        <v>Sik1</v>
      </c>
      <c r="B18903" t="s">
        <v>14</v>
      </c>
      <c r="C18903" t="s">
        <v>28</v>
      </c>
      <c r="D18903" t="s">
        <v>11</v>
      </c>
      <c r="E18903" t="s">
        <v>12</v>
      </c>
      <c r="F18903">
        <v>31855782</v>
      </c>
      <c r="G18903">
        <v>31855802</v>
      </c>
      <c r="H18903">
        <v>31855760</v>
      </c>
      <c r="I18903">
        <v>31855774</v>
      </c>
    </row>
    <row r="18904" spans="1:9" x14ac:dyDescent="0.2">
      <c r="A18904" t="str">
        <f>"Sik2"</f>
        <v>Sik2</v>
      </c>
      <c r="B18904" t="s">
        <v>14</v>
      </c>
      <c r="C18904" t="s">
        <v>24</v>
      </c>
      <c r="D18904" t="s">
        <v>11</v>
      </c>
      <c r="E18904" t="s">
        <v>12</v>
      </c>
      <c r="F18904">
        <v>51008966</v>
      </c>
      <c r="G18904">
        <v>51009080</v>
      </c>
      <c r="H18904">
        <v>51009214</v>
      </c>
      <c r="I18904">
        <v>51009235</v>
      </c>
    </row>
    <row r="18905" spans="1:9" x14ac:dyDescent="0.2">
      <c r="A18905" t="str">
        <f>"Sik3"</f>
        <v>Sik3</v>
      </c>
      <c r="B18905" t="s">
        <v>14</v>
      </c>
      <c r="C18905" t="s">
        <v>24</v>
      </c>
      <c r="D18905" t="s">
        <v>17</v>
      </c>
      <c r="E18905" t="s">
        <v>12</v>
      </c>
      <c r="F18905">
        <v>46012822</v>
      </c>
      <c r="G18905">
        <v>46012860</v>
      </c>
      <c r="H18905">
        <v>46012810</v>
      </c>
      <c r="I18905">
        <v>46012821</v>
      </c>
    </row>
    <row r="18906" spans="1:9" x14ac:dyDescent="0.2">
      <c r="A18906" t="str">
        <f>"Sike1"</f>
        <v>Sike1</v>
      </c>
      <c r="B18906" t="s">
        <v>14</v>
      </c>
      <c r="C18906" t="s">
        <v>22</v>
      </c>
      <c r="D18906" t="s">
        <v>17</v>
      </c>
      <c r="E18906" t="s">
        <v>12</v>
      </c>
      <c r="F18906">
        <v>102995709</v>
      </c>
      <c r="G18906">
        <v>102995788</v>
      </c>
      <c r="H18906">
        <v>102996123</v>
      </c>
      <c r="I18906">
        <v>102996160</v>
      </c>
    </row>
    <row r="18907" spans="1:9" x14ac:dyDescent="0.2">
      <c r="A18907" t="str">
        <f>"Sil1"</f>
        <v>Sil1</v>
      </c>
      <c r="B18907" t="s">
        <v>14</v>
      </c>
      <c r="C18907" t="s">
        <v>43</v>
      </c>
      <c r="D18907" t="s">
        <v>11</v>
      </c>
      <c r="E18907" t="s">
        <v>12</v>
      </c>
      <c r="F18907">
        <v>35498856</v>
      </c>
      <c r="G18907">
        <v>35498925</v>
      </c>
      <c r="H18907">
        <v>35498816</v>
      </c>
      <c r="I18907">
        <v>35498829</v>
      </c>
    </row>
    <row r="18908" spans="1:9" x14ac:dyDescent="0.2">
      <c r="A18908" t="str">
        <f>"Sim1"</f>
        <v>Sim1</v>
      </c>
      <c r="B18908" t="s">
        <v>5747</v>
      </c>
      <c r="C18908" t="s">
        <v>15</v>
      </c>
      <c r="D18908" t="s">
        <v>17</v>
      </c>
      <c r="E18908" t="s">
        <v>20</v>
      </c>
      <c r="F18908">
        <v>50895650</v>
      </c>
      <c r="G18908">
        <v>50895650</v>
      </c>
      <c r="H18908">
        <v>50895650</v>
      </c>
      <c r="I18908">
        <v>50895650</v>
      </c>
    </row>
    <row r="18909" spans="1:9" x14ac:dyDescent="0.2">
      <c r="A18909" t="str">
        <f>"Sim2"</f>
        <v>Sim2</v>
      </c>
      <c r="B18909" t="s">
        <v>14</v>
      </c>
      <c r="C18909" t="s">
        <v>31</v>
      </c>
      <c r="D18909" t="s">
        <v>17</v>
      </c>
      <c r="E18909" t="s">
        <v>12</v>
      </c>
      <c r="F18909">
        <v>94085226</v>
      </c>
      <c r="G18909">
        <v>94085250</v>
      </c>
      <c r="H18909">
        <v>94085204</v>
      </c>
      <c r="I18909">
        <v>94085217</v>
      </c>
    </row>
    <row r="18910" spans="1:9" x14ac:dyDescent="0.2">
      <c r="A18910" t="str">
        <f>"Simc1"</f>
        <v>Simc1</v>
      </c>
      <c r="B18910" t="s">
        <v>14</v>
      </c>
      <c r="C18910" t="s">
        <v>39</v>
      </c>
      <c r="D18910" t="s">
        <v>17</v>
      </c>
      <c r="E18910" t="s">
        <v>67</v>
      </c>
      <c r="F18910">
        <v>54503786</v>
      </c>
      <c r="G18910">
        <v>54503800</v>
      </c>
      <c r="H18910">
        <v>54503786</v>
      </c>
      <c r="I18910">
        <v>54503800</v>
      </c>
    </row>
    <row r="18911" spans="1:9" x14ac:dyDescent="0.2">
      <c r="A18911" t="str">
        <f>"Sin3a"</f>
        <v>Sin3a</v>
      </c>
      <c r="B18911" t="s">
        <v>9</v>
      </c>
      <c r="C18911" t="s">
        <v>24</v>
      </c>
      <c r="D18911" t="s">
        <v>17</v>
      </c>
      <c r="E18911" t="s">
        <v>12</v>
      </c>
      <c r="F18911">
        <v>57076343</v>
      </c>
      <c r="G18911">
        <v>57076387</v>
      </c>
      <c r="H18911">
        <v>57076343</v>
      </c>
      <c r="I18911">
        <v>57076387</v>
      </c>
    </row>
    <row r="18912" spans="1:9" x14ac:dyDescent="0.2">
      <c r="A18912" t="str">
        <f>"Sin3a"</f>
        <v>Sin3a</v>
      </c>
      <c r="B18912" t="s">
        <v>13</v>
      </c>
      <c r="C18912" t="s">
        <v>24</v>
      </c>
      <c r="D18912" t="s">
        <v>17</v>
      </c>
      <c r="E18912" t="s">
        <v>12</v>
      </c>
      <c r="F18912">
        <v>57072024</v>
      </c>
      <c r="G18912">
        <v>57072048</v>
      </c>
      <c r="H18912">
        <v>57072024</v>
      </c>
      <c r="I18912">
        <v>57072048</v>
      </c>
    </row>
    <row r="18913" spans="1:9" x14ac:dyDescent="0.2">
      <c r="A18913" t="str">
        <f>"Sin3b"</f>
        <v>Sin3b</v>
      </c>
      <c r="B18913" t="s">
        <v>14</v>
      </c>
      <c r="C18913" t="s">
        <v>30</v>
      </c>
      <c r="D18913" t="s">
        <v>17</v>
      </c>
      <c r="E18913" t="s">
        <v>12</v>
      </c>
      <c r="F18913">
        <v>72723281</v>
      </c>
      <c r="G18913">
        <v>72723293</v>
      </c>
      <c r="H18913">
        <v>72723281</v>
      </c>
      <c r="I18913">
        <v>72723293</v>
      </c>
    </row>
    <row r="18914" spans="1:9" x14ac:dyDescent="0.2">
      <c r="A18914" t="str">
        <f>"Sipa1"</f>
        <v>Sipa1</v>
      </c>
      <c r="B18914" t="s">
        <v>14</v>
      </c>
      <c r="C18914" t="s">
        <v>10</v>
      </c>
      <c r="D18914" t="s">
        <v>11</v>
      </c>
      <c r="E18914" t="s">
        <v>12</v>
      </c>
      <c r="F18914">
        <v>5663635</v>
      </c>
      <c r="G18914">
        <v>5663670</v>
      </c>
      <c r="H18914">
        <v>5663674</v>
      </c>
      <c r="I18914">
        <v>5663694</v>
      </c>
    </row>
    <row r="18915" spans="1:9" x14ac:dyDescent="0.2">
      <c r="A18915" t="str">
        <f>"Sipa1l1"</f>
        <v>Sipa1l1</v>
      </c>
      <c r="B18915" t="s">
        <v>5748</v>
      </c>
      <c r="C18915" t="s">
        <v>16</v>
      </c>
      <c r="D18915" t="s">
        <v>17</v>
      </c>
      <c r="E18915" t="s">
        <v>20</v>
      </c>
      <c r="F18915">
        <v>82311348</v>
      </c>
      <c r="G18915">
        <v>82311348</v>
      </c>
      <c r="H18915">
        <v>82311348</v>
      </c>
      <c r="I18915">
        <v>82311348</v>
      </c>
    </row>
    <row r="18916" spans="1:9" x14ac:dyDescent="0.2">
      <c r="A18916" t="str">
        <f>"Sipa1l2"</f>
        <v>Sipa1l2</v>
      </c>
      <c r="B18916" t="s">
        <v>5749</v>
      </c>
      <c r="C18916" t="s">
        <v>30</v>
      </c>
      <c r="D18916" t="s">
        <v>11</v>
      </c>
      <c r="E18916" t="s">
        <v>20</v>
      </c>
      <c r="F18916">
        <v>125492709</v>
      </c>
      <c r="G18916">
        <v>125492709</v>
      </c>
      <c r="H18916">
        <v>125492709</v>
      </c>
      <c r="I18916">
        <v>125492709</v>
      </c>
    </row>
    <row r="18917" spans="1:9" x14ac:dyDescent="0.2">
      <c r="A18917" t="str">
        <f>"Sipa1l3"</f>
        <v>Sipa1l3</v>
      </c>
      <c r="B18917" t="s">
        <v>14</v>
      </c>
      <c r="C18917" t="s">
        <v>33</v>
      </c>
      <c r="D18917" t="s">
        <v>11</v>
      </c>
      <c r="E18917" t="s">
        <v>12</v>
      </c>
      <c r="F18917">
        <v>29518542</v>
      </c>
      <c r="G18917">
        <v>29518565</v>
      </c>
      <c r="H18917">
        <v>29518566</v>
      </c>
      <c r="I18917">
        <v>29518620</v>
      </c>
    </row>
    <row r="18918" spans="1:9" x14ac:dyDescent="0.2">
      <c r="A18918" t="str">
        <f>"Sirpa"</f>
        <v>Sirpa</v>
      </c>
      <c r="B18918" t="s">
        <v>14</v>
      </c>
      <c r="C18918" t="s">
        <v>26</v>
      </c>
      <c r="D18918" t="s">
        <v>17</v>
      </c>
      <c r="E18918" t="s">
        <v>12</v>
      </c>
      <c r="F18918">
        <v>129592818</v>
      </c>
      <c r="G18918">
        <v>129592885</v>
      </c>
      <c r="H18918">
        <v>129593528</v>
      </c>
      <c r="I18918">
        <v>129593600</v>
      </c>
    </row>
    <row r="18919" spans="1:9" x14ac:dyDescent="0.2">
      <c r="A18919" t="str">
        <f>"Sirpb1a"</f>
        <v>Sirpb1a</v>
      </c>
      <c r="B18919" t="s">
        <v>14</v>
      </c>
      <c r="C18919" t="s">
        <v>22</v>
      </c>
      <c r="D18919" t="s">
        <v>11</v>
      </c>
      <c r="E18919" t="s">
        <v>12</v>
      </c>
      <c r="F18919">
        <v>15426477</v>
      </c>
      <c r="G18919">
        <v>15426479</v>
      </c>
      <c r="H18919">
        <v>15426477</v>
      </c>
      <c r="I18919">
        <v>15426479</v>
      </c>
    </row>
    <row r="18920" spans="1:9" x14ac:dyDescent="0.2">
      <c r="A18920" t="str">
        <f>"Sirpb1b"</f>
        <v>Sirpb1b</v>
      </c>
      <c r="B18920" t="s">
        <v>5750</v>
      </c>
      <c r="C18920" t="s">
        <v>22</v>
      </c>
      <c r="D18920" t="s">
        <v>11</v>
      </c>
      <c r="E18920" t="s">
        <v>20</v>
      </c>
      <c r="F18920">
        <v>15575064</v>
      </c>
      <c r="G18920">
        <v>15575064</v>
      </c>
      <c r="H18920">
        <v>15575064</v>
      </c>
      <c r="I18920">
        <v>15575064</v>
      </c>
    </row>
    <row r="18921" spans="1:9" x14ac:dyDescent="0.2">
      <c r="A18921" t="str">
        <f>"Sirpb1c"</f>
        <v>Sirpb1c</v>
      </c>
      <c r="B18921" t="s">
        <v>5751</v>
      </c>
      <c r="C18921" t="s">
        <v>22</v>
      </c>
      <c r="D18921" t="s">
        <v>11</v>
      </c>
      <c r="E18921" t="s">
        <v>20</v>
      </c>
      <c r="F18921">
        <v>15848463</v>
      </c>
      <c r="G18921">
        <v>15848463</v>
      </c>
      <c r="H18921">
        <v>15848463</v>
      </c>
      <c r="I18921">
        <v>15848463</v>
      </c>
    </row>
    <row r="18922" spans="1:9" x14ac:dyDescent="0.2">
      <c r="A18922" t="str">
        <f>"Sirt1"</f>
        <v>Sirt1</v>
      </c>
      <c r="B18922" t="s">
        <v>14</v>
      </c>
      <c r="C18922" t="s">
        <v>15</v>
      </c>
      <c r="D18922" t="s">
        <v>11</v>
      </c>
      <c r="E18922" t="s">
        <v>12</v>
      </c>
      <c r="F18922">
        <v>63339023</v>
      </c>
      <c r="G18922">
        <v>63339042</v>
      </c>
      <c r="H18922">
        <v>63338973</v>
      </c>
      <c r="I18922">
        <v>63338992</v>
      </c>
    </row>
    <row r="18923" spans="1:9" x14ac:dyDescent="0.2">
      <c r="A18923" t="str">
        <f>"Sirt2"</f>
        <v>Sirt2</v>
      </c>
      <c r="B18923" t="s">
        <v>14</v>
      </c>
      <c r="C18923" t="s">
        <v>33</v>
      </c>
      <c r="D18923" t="s">
        <v>17</v>
      </c>
      <c r="E18923" t="s">
        <v>12</v>
      </c>
      <c r="F18923">
        <v>28766747</v>
      </c>
      <c r="G18923">
        <v>28766822</v>
      </c>
      <c r="H18923">
        <v>28766837</v>
      </c>
      <c r="I18923">
        <v>28766849</v>
      </c>
    </row>
    <row r="18924" spans="1:9" x14ac:dyDescent="0.2">
      <c r="A18924" t="str">
        <f>"Sirt3"</f>
        <v>Sirt3</v>
      </c>
      <c r="B18924" t="s">
        <v>14</v>
      </c>
      <c r="C18924" t="s">
        <v>33</v>
      </c>
      <c r="D18924" t="s">
        <v>11</v>
      </c>
      <c r="E18924" t="s">
        <v>12</v>
      </c>
      <c r="F18924">
        <v>140881811</v>
      </c>
      <c r="G18924">
        <v>140881849</v>
      </c>
      <c r="H18924">
        <v>140882274</v>
      </c>
      <c r="I18924">
        <v>140882330</v>
      </c>
    </row>
    <row r="18925" spans="1:9" x14ac:dyDescent="0.2">
      <c r="A18925" t="str">
        <f>"Sirt4"</f>
        <v>Sirt4</v>
      </c>
      <c r="B18925" t="s">
        <v>14</v>
      </c>
      <c r="C18925" t="s">
        <v>46</v>
      </c>
      <c r="D18925" t="s">
        <v>11</v>
      </c>
      <c r="E18925" t="s">
        <v>12</v>
      </c>
      <c r="F18925">
        <v>115484351</v>
      </c>
      <c r="G18925">
        <v>115484387</v>
      </c>
      <c r="H18925">
        <v>115484351</v>
      </c>
      <c r="I18925">
        <v>115484387</v>
      </c>
    </row>
    <row r="18926" spans="1:9" x14ac:dyDescent="0.2">
      <c r="A18926" t="str">
        <f>"Sirt5"</f>
        <v>Sirt5</v>
      </c>
      <c r="B18926" t="s">
        <v>14</v>
      </c>
      <c r="C18926" t="s">
        <v>39</v>
      </c>
      <c r="D18926" t="s">
        <v>17</v>
      </c>
      <c r="E18926" t="s">
        <v>12</v>
      </c>
      <c r="F18926">
        <v>43365458</v>
      </c>
      <c r="G18926">
        <v>43365522</v>
      </c>
      <c r="H18926">
        <v>43365458</v>
      </c>
      <c r="I18926">
        <v>43365522</v>
      </c>
    </row>
    <row r="18927" spans="1:9" x14ac:dyDescent="0.2">
      <c r="A18927" t="str">
        <f>"Sirt6"</f>
        <v>Sirt6</v>
      </c>
      <c r="B18927" t="s">
        <v>14</v>
      </c>
      <c r="C18927" t="s">
        <v>15</v>
      </c>
      <c r="D18927" t="s">
        <v>11</v>
      </c>
      <c r="E18927" t="s">
        <v>12</v>
      </c>
      <c r="F18927">
        <v>81627534</v>
      </c>
      <c r="G18927">
        <v>81627586</v>
      </c>
      <c r="H18927">
        <v>81627592</v>
      </c>
      <c r="I18927">
        <v>81627607</v>
      </c>
    </row>
    <row r="18928" spans="1:9" x14ac:dyDescent="0.2">
      <c r="A18928" t="str">
        <f>"Sirt7"</f>
        <v>Sirt7</v>
      </c>
      <c r="B18928" t="s">
        <v>14</v>
      </c>
      <c r="C18928" t="s">
        <v>27</v>
      </c>
      <c r="D18928" t="s">
        <v>11</v>
      </c>
      <c r="E18928" t="s">
        <v>12</v>
      </c>
      <c r="F18928">
        <v>120624973</v>
      </c>
      <c r="G18928">
        <v>120624998</v>
      </c>
      <c r="H18928">
        <v>120624800</v>
      </c>
      <c r="I18928">
        <v>120624833</v>
      </c>
    </row>
    <row r="18929" spans="1:9" x14ac:dyDescent="0.2">
      <c r="A18929" t="str">
        <f>"Sis"</f>
        <v>Sis</v>
      </c>
      <c r="B18929" t="s">
        <v>14</v>
      </c>
      <c r="C18929" t="s">
        <v>22</v>
      </c>
      <c r="D18929" t="s">
        <v>11</v>
      </c>
      <c r="E18929" t="s">
        <v>12</v>
      </c>
      <c r="F18929">
        <v>72967854</v>
      </c>
      <c r="G18929">
        <v>72967869</v>
      </c>
      <c r="H18929">
        <v>72967854</v>
      </c>
      <c r="I18929">
        <v>72967869</v>
      </c>
    </row>
    <row r="18930" spans="1:9" x14ac:dyDescent="0.2">
      <c r="A18930" t="str">
        <f>"Sit1"</f>
        <v>Sit1</v>
      </c>
      <c r="B18930" t="s">
        <v>14</v>
      </c>
      <c r="C18930" t="s">
        <v>23</v>
      </c>
      <c r="D18930" t="s">
        <v>11</v>
      </c>
      <c r="E18930" t="s">
        <v>12</v>
      </c>
      <c r="F18930">
        <v>43483696</v>
      </c>
      <c r="G18930">
        <v>43483730</v>
      </c>
      <c r="H18930">
        <v>43483696</v>
      </c>
      <c r="I18930">
        <v>43483730</v>
      </c>
    </row>
    <row r="18931" spans="1:9" x14ac:dyDescent="0.2">
      <c r="A18931" t="str">
        <f>"Siva1"</f>
        <v>Siva1</v>
      </c>
      <c r="B18931" t="s">
        <v>14</v>
      </c>
      <c r="C18931" t="s">
        <v>16</v>
      </c>
      <c r="D18931" t="s">
        <v>17</v>
      </c>
      <c r="E18931" t="s">
        <v>12</v>
      </c>
      <c r="F18931">
        <v>112644892</v>
      </c>
      <c r="G18931">
        <v>112644962</v>
      </c>
      <c r="H18931">
        <v>112644841</v>
      </c>
      <c r="I18931">
        <v>112644855</v>
      </c>
    </row>
    <row r="18932" spans="1:9" x14ac:dyDescent="0.2">
      <c r="A18932" t="str">
        <f>"Six1"</f>
        <v>Six1</v>
      </c>
      <c r="B18932" t="s">
        <v>14</v>
      </c>
      <c r="C18932" t="s">
        <v>16</v>
      </c>
      <c r="D18932" t="s">
        <v>11</v>
      </c>
      <c r="E18932" t="s">
        <v>12</v>
      </c>
      <c r="F18932">
        <v>73046702</v>
      </c>
      <c r="G18932">
        <v>73046724</v>
      </c>
      <c r="H18932">
        <v>73046873</v>
      </c>
      <c r="I18932">
        <v>73046901</v>
      </c>
    </row>
    <row r="18933" spans="1:9" x14ac:dyDescent="0.2">
      <c r="A18933" t="str">
        <f>"Six2"</f>
        <v>Six2</v>
      </c>
      <c r="B18933" t="s">
        <v>14</v>
      </c>
      <c r="C18933" t="s">
        <v>28</v>
      </c>
      <c r="D18933" t="s">
        <v>11</v>
      </c>
      <c r="E18933" t="s">
        <v>12</v>
      </c>
      <c r="F18933">
        <v>85688252</v>
      </c>
      <c r="G18933">
        <v>85688275</v>
      </c>
      <c r="H18933">
        <v>85688241</v>
      </c>
      <c r="I18933">
        <v>85688248</v>
      </c>
    </row>
    <row r="18934" spans="1:9" x14ac:dyDescent="0.2">
      <c r="A18934" t="str">
        <f>"Six3"</f>
        <v>Six3</v>
      </c>
      <c r="B18934" t="s">
        <v>14</v>
      </c>
      <c r="C18934" t="s">
        <v>28</v>
      </c>
      <c r="D18934" t="s">
        <v>17</v>
      </c>
      <c r="E18934" t="s">
        <v>12</v>
      </c>
      <c r="F18934">
        <v>85620816</v>
      </c>
      <c r="G18934">
        <v>85620843</v>
      </c>
      <c r="H18934">
        <v>85620775</v>
      </c>
      <c r="I18934">
        <v>85620788</v>
      </c>
    </row>
    <row r="18935" spans="1:9" x14ac:dyDescent="0.2">
      <c r="A18935" t="str">
        <f>"Six4"</f>
        <v>Six4</v>
      </c>
      <c r="B18935" t="s">
        <v>14</v>
      </c>
      <c r="C18935" t="s">
        <v>16</v>
      </c>
      <c r="D18935" t="s">
        <v>11</v>
      </c>
      <c r="E18935" t="s">
        <v>12</v>
      </c>
      <c r="F18935">
        <v>73113407</v>
      </c>
      <c r="G18935">
        <v>73113435</v>
      </c>
      <c r="H18935">
        <v>73113451</v>
      </c>
      <c r="I18935">
        <v>73113467</v>
      </c>
    </row>
    <row r="18936" spans="1:9" x14ac:dyDescent="0.2">
      <c r="A18936" t="str">
        <f>"Six5"</f>
        <v>Six5</v>
      </c>
      <c r="B18936" t="s">
        <v>14</v>
      </c>
      <c r="C18936" t="s">
        <v>33</v>
      </c>
      <c r="D18936" t="s">
        <v>17</v>
      </c>
      <c r="E18936" t="s">
        <v>12</v>
      </c>
      <c r="F18936">
        <v>19094615</v>
      </c>
      <c r="G18936">
        <v>19094633</v>
      </c>
      <c r="H18936">
        <v>19094615</v>
      </c>
      <c r="I18936">
        <v>19094633</v>
      </c>
    </row>
    <row r="18937" spans="1:9" x14ac:dyDescent="0.2">
      <c r="A18937" t="str">
        <f>"Six6"</f>
        <v>Six6</v>
      </c>
      <c r="B18937" t="s">
        <v>14</v>
      </c>
      <c r="C18937" t="s">
        <v>16</v>
      </c>
      <c r="D18937" t="s">
        <v>17</v>
      </c>
      <c r="E18937" t="s">
        <v>12</v>
      </c>
      <c r="F18937">
        <v>72939874</v>
      </c>
      <c r="G18937">
        <v>72939888</v>
      </c>
      <c r="H18937">
        <v>72939908</v>
      </c>
      <c r="I18937">
        <v>72939929</v>
      </c>
    </row>
    <row r="18938" spans="1:9" x14ac:dyDescent="0.2">
      <c r="A18938" t="str">
        <f>"Ska1"</f>
        <v>Ska1</v>
      </c>
      <c r="B18938" t="s">
        <v>14</v>
      </c>
      <c r="C18938" t="s">
        <v>43</v>
      </c>
      <c r="D18938" t="s">
        <v>11</v>
      </c>
      <c r="E18938" t="s">
        <v>12</v>
      </c>
      <c r="F18938">
        <v>74207771</v>
      </c>
      <c r="G18938">
        <v>74207790</v>
      </c>
      <c r="H18938">
        <v>74207736</v>
      </c>
      <c r="I18938">
        <v>74207759</v>
      </c>
    </row>
    <row r="18939" spans="1:9" x14ac:dyDescent="0.2">
      <c r="A18939" t="str">
        <f>"Ska2"</f>
        <v>Ska2</v>
      </c>
      <c r="B18939" t="s">
        <v>14</v>
      </c>
      <c r="C18939" t="s">
        <v>27</v>
      </c>
      <c r="D18939" t="s">
        <v>17</v>
      </c>
      <c r="E18939" t="s">
        <v>67</v>
      </c>
      <c r="F18939">
        <v>87109252</v>
      </c>
      <c r="G18939">
        <v>87109274</v>
      </c>
      <c r="H18939">
        <v>87109221</v>
      </c>
      <c r="I18939">
        <v>87109239</v>
      </c>
    </row>
    <row r="18940" spans="1:9" x14ac:dyDescent="0.2">
      <c r="A18940" t="str">
        <f>"Ska3"</f>
        <v>Ska3</v>
      </c>
      <c r="B18940" t="s">
        <v>14</v>
      </c>
      <c r="C18940" t="s">
        <v>41</v>
      </c>
      <c r="D18940" t="s">
        <v>11</v>
      </c>
      <c r="E18940" t="s">
        <v>67</v>
      </c>
      <c r="F18940">
        <v>57826128</v>
      </c>
      <c r="G18940">
        <v>57826180</v>
      </c>
      <c r="H18940">
        <v>57826185</v>
      </c>
      <c r="I18940">
        <v>57826203</v>
      </c>
    </row>
    <row r="18941" spans="1:9" x14ac:dyDescent="0.2">
      <c r="A18941" t="str">
        <f>"Skap1"</f>
        <v>Skap1</v>
      </c>
      <c r="B18941" t="s">
        <v>14</v>
      </c>
      <c r="C18941" t="s">
        <v>27</v>
      </c>
      <c r="D18941" t="s">
        <v>17</v>
      </c>
      <c r="E18941" t="s">
        <v>12</v>
      </c>
      <c r="F18941">
        <v>96464587</v>
      </c>
      <c r="G18941">
        <v>96464637</v>
      </c>
      <c r="H18941">
        <v>96464649</v>
      </c>
      <c r="I18941">
        <v>96464660</v>
      </c>
    </row>
    <row r="18942" spans="1:9" x14ac:dyDescent="0.2">
      <c r="A18942" t="str">
        <f>"Skap2"</f>
        <v>Skap2</v>
      </c>
      <c r="B18942" t="s">
        <v>14</v>
      </c>
      <c r="C18942" t="s">
        <v>32</v>
      </c>
      <c r="D18942" t="s">
        <v>11</v>
      </c>
      <c r="E18942" t="s">
        <v>12</v>
      </c>
      <c r="F18942">
        <v>52012476</v>
      </c>
      <c r="G18942">
        <v>52012551</v>
      </c>
      <c r="H18942">
        <v>52012561</v>
      </c>
      <c r="I18942">
        <v>52012572</v>
      </c>
    </row>
    <row r="18943" spans="1:9" x14ac:dyDescent="0.2">
      <c r="A18943" t="str">
        <f>"Ski"</f>
        <v>Ski</v>
      </c>
      <c r="B18943" t="s">
        <v>14</v>
      </c>
      <c r="C18943" t="s">
        <v>23</v>
      </c>
      <c r="D18943" t="s">
        <v>11</v>
      </c>
      <c r="E18943" t="s">
        <v>12</v>
      </c>
      <c r="F18943">
        <v>155223068</v>
      </c>
      <c r="G18943">
        <v>155223086</v>
      </c>
      <c r="H18943">
        <v>155222762</v>
      </c>
      <c r="I18943">
        <v>155222767</v>
      </c>
    </row>
    <row r="18944" spans="1:9" x14ac:dyDescent="0.2">
      <c r="A18944" t="str">
        <f>"Skida1"</f>
        <v>Skida1</v>
      </c>
      <c r="B18944" t="s">
        <v>14</v>
      </c>
      <c r="C18944" t="s">
        <v>26</v>
      </c>
      <c r="D18944" t="s">
        <v>11</v>
      </c>
      <c r="E18944" t="s">
        <v>67</v>
      </c>
      <c r="F18944">
        <v>18048787</v>
      </c>
      <c r="G18944">
        <v>18048822</v>
      </c>
      <c r="H18944">
        <v>18048787</v>
      </c>
      <c r="I18944">
        <v>18048822</v>
      </c>
    </row>
    <row r="18945" spans="1:9" x14ac:dyDescent="0.2">
      <c r="A18945" t="str">
        <f>"Skil"</f>
        <v>Skil</v>
      </c>
      <c r="B18945" t="s">
        <v>14</v>
      </c>
      <c r="C18945" t="s">
        <v>22</v>
      </c>
      <c r="D18945" t="s">
        <v>17</v>
      </c>
      <c r="E18945" t="s">
        <v>12</v>
      </c>
      <c r="F18945">
        <v>31095052</v>
      </c>
      <c r="G18945">
        <v>31095123</v>
      </c>
      <c r="H18945">
        <v>31094961</v>
      </c>
      <c r="I18945">
        <v>31094976</v>
      </c>
    </row>
    <row r="18946" spans="1:9" x14ac:dyDescent="0.2">
      <c r="A18946" t="str">
        <f>"Skint1"</f>
        <v>Skint1</v>
      </c>
      <c r="B18946" t="s">
        <v>14</v>
      </c>
      <c r="C18946" t="s">
        <v>23</v>
      </c>
      <c r="D18946" t="s">
        <v>17</v>
      </c>
      <c r="E18946" t="s">
        <v>12</v>
      </c>
      <c r="F18946">
        <v>112006245</v>
      </c>
      <c r="G18946">
        <v>112006273</v>
      </c>
      <c r="H18946">
        <v>112006281</v>
      </c>
      <c r="I18946">
        <v>112006297</v>
      </c>
    </row>
    <row r="18947" spans="1:9" x14ac:dyDescent="0.2">
      <c r="A18947" t="str">
        <f>"Skint10"</f>
        <v>Skint10</v>
      </c>
      <c r="B18947" t="s">
        <v>14</v>
      </c>
      <c r="C18947" t="s">
        <v>23</v>
      </c>
      <c r="D18947" t="s">
        <v>11</v>
      </c>
      <c r="E18947" t="s">
        <v>12</v>
      </c>
      <c r="F18947">
        <v>112774816</v>
      </c>
      <c r="G18947">
        <v>112774832</v>
      </c>
      <c r="H18947">
        <v>112774841</v>
      </c>
      <c r="I18947">
        <v>112774854</v>
      </c>
    </row>
    <row r="18948" spans="1:9" x14ac:dyDescent="0.2">
      <c r="A18948" t="str">
        <f>"Skint11"</f>
        <v>Skint11</v>
      </c>
      <c r="B18948" t="s">
        <v>14</v>
      </c>
      <c r="C18948" t="s">
        <v>23</v>
      </c>
      <c r="D18948" t="s">
        <v>17</v>
      </c>
      <c r="E18948" t="s">
        <v>12</v>
      </c>
      <c r="F18948">
        <v>114163458</v>
      </c>
      <c r="G18948">
        <v>114163470</v>
      </c>
      <c r="H18948">
        <v>114163437</v>
      </c>
      <c r="I18948">
        <v>114163448</v>
      </c>
    </row>
    <row r="18949" spans="1:9" x14ac:dyDescent="0.2">
      <c r="A18949" t="str">
        <f>"Skint2"</f>
        <v>Skint2</v>
      </c>
      <c r="B18949" t="s">
        <v>14</v>
      </c>
      <c r="C18949" t="s">
        <v>23</v>
      </c>
      <c r="D18949" t="s">
        <v>17</v>
      </c>
      <c r="E18949" t="s">
        <v>12</v>
      </c>
      <c r="F18949">
        <v>112613622</v>
      </c>
      <c r="G18949">
        <v>112613644</v>
      </c>
      <c r="H18949">
        <v>112613553</v>
      </c>
      <c r="I18949">
        <v>112613563</v>
      </c>
    </row>
    <row r="18950" spans="1:9" x14ac:dyDescent="0.2">
      <c r="A18950" t="str">
        <f>"Skint3"</f>
        <v>Skint3</v>
      </c>
      <c r="B18950" t="s">
        <v>14</v>
      </c>
      <c r="C18950" t="s">
        <v>23</v>
      </c>
      <c r="D18950" t="s">
        <v>17</v>
      </c>
      <c r="E18950" t="s">
        <v>12</v>
      </c>
      <c r="F18950">
        <v>112232346</v>
      </c>
      <c r="G18950">
        <v>112232386</v>
      </c>
      <c r="H18950">
        <v>112232391</v>
      </c>
      <c r="I18950">
        <v>112232407</v>
      </c>
    </row>
    <row r="18951" spans="1:9" x14ac:dyDescent="0.2">
      <c r="A18951" t="str">
        <f>"Skint4"</f>
        <v>Skint4</v>
      </c>
      <c r="B18951" t="s">
        <v>14</v>
      </c>
      <c r="C18951" t="s">
        <v>23</v>
      </c>
      <c r="D18951" t="s">
        <v>17</v>
      </c>
      <c r="E18951" t="s">
        <v>12</v>
      </c>
      <c r="F18951">
        <v>112072640</v>
      </c>
      <c r="G18951">
        <v>112072656</v>
      </c>
      <c r="H18951">
        <v>112072658</v>
      </c>
      <c r="I18951">
        <v>112072674</v>
      </c>
    </row>
    <row r="18952" spans="1:9" x14ac:dyDescent="0.2">
      <c r="A18952" t="str">
        <f>"Skint5"</f>
        <v>Skint5</v>
      </c>
      <c r="B18952" t="s">
        <v>14</v>
      </c>
      <c r="C18952" t="s">
        <v>23</v>
      </c>
      <c r="D18952" t="s">
        <v>11</v>
      </c>
      <c r="E18952" t="s">
        <v>12</v>
      </c>
      <c r="F18952">
        <v>113999500</v>
      </c>
      <c r="G18952">
        <v>113999511</v>
      </c>
      <c r="H18952">
        <v>113999487</v>
      </c>
      <c r="I18952">
        <v>113999497</v>
      </c>
    </row>
    <row r="18953" spans="1:9" x14ac:dyDescent="0.2">
      <c r="A18953" t="str">
        <f>"Skint6"</f>
        <v>Skint6</v>
      </c>
      <c r="B18953" t="s">
        <v>14</v>
      </c>
      <c r="C18953" t="s">
        <v>23</v>
      </c>
      <c r="D18953" t="s">
        <v>11</v>
      </c>
      <c r="E18953" t="s">
        <v>12</v>
      </c>
      <c r="F18953">
        <v>113286955</v>
      </c>
      <c r="G18953">
        <v>113287004</v>
      </c>
      <c r="H18953">
        <v>113287055</v>
      </c>
      <c r="I18953">
        <v>113287062</v>
      </c>
    </row>
    <row r="18954" spans="1:9" x14ac:dyDescent="0.2">
      <c r="A18954" t="str">
        <f>"Skint7"</f>
        <v>Skint7</v>
      </c>
      <c r="B18954" t="s">
        <v>14</v>
      </c>
      <c r="C18954" t="s">
        <v>23</v>
      </c>
      <c r="D18954" t="s">
        <v>17</v>
      </c>
      <c r="E18954" t="s">
        <v>12</v>
      </c>
      <c r="F18954">
        <v>111972922</v>
      </c>
      <c r="G18954">
        <v>111972946</v>
      </c>
      <c r="H18954">
        <v>111972833</v>
      </c>
      <c r="I18954">
        <v>111972854</v>
      </c>
    </row>
    <row r="18955" spans="1:9" x14ac:dyDescent="0.2">
      <c r="A18955" t="str">
        <f>"Skint8"</f>
        <v>Skint8</v>
      </c>
      <c r="B18955" t="s">
        <v>14</v>
      </c>
      <c r="C18955" t="s">
        <v>23</v>
      </c>
      <c r="D18955" t="s">
        <v>17</v>
      </c>
      <c r="E18955" t="s">
        <v>12</v>
      </c>
      <c r="F18955">
        <v>111919490</v>
      </c>
      <c r="G18955">
        <v>111919531</v>
      </c>
      <c r="H18955">
        <v>111919286</v>
      </c>
      <c r="I18955">
        <v>111919308</v>
      </c>
    </row>
    <row r="18956" spans="1:9" x14ac:dyDescent="0.2">
      <c r="A18956" t="str">
        <f>"Skint9"</f>
        <v>Skint9</v>
      </c>
      <c r="B18956" t="s">
        <v>14</v>
      </c>
      <c r="C18956" t="s">
        <v>23</v>
      </c>
      <c r="D18956" t="s">
        <v>11</v>
      </c>
      <c r="E18956" t="s">
        <v>12</v>
      </c>
      <c r="F18956">
        <v>112433979</v>
      </c>
      <c r="G18956">
        <v>112433993</v>
      </c>
      <c r="H18956">
        <v>112434005</v>
      </c>
      <c r="I18956">
        <v>112434014</v>
      </c>
    </row>
    <row r="18957" spans="1:9" x14ac:dyDescent="0.2">
      <c r="A18957" t="str">
        <f>"Skiv2l"</f>
        <v>Skiv2l</v>
      </c>
      <c r="B18957" t="s">
        <v>14</v>
      </c>
      <c r="C18957" t="s">
        <v>28</v>
      </c>
      <c r="D18957" t="s">
        <v>11</v>
      </c>
      <c r="E18957" t="s">
        <v>12</v>
      </c>
      <c r="F18957">
        <v>34850162</v>
      </c>
      <c r="G18957">
        <v>34850205</v>
      </c>
      <c r="H18957">
        <v>34850676</v>
      </c>
      <c r="I18957">
        <v>34850697</v>
      </c>
    </row>
    <row r="18958" spans="1:9" x14ac:dyDescent="0.2">
      <c r="A18958" t="str">
        <f>"Skiv2l2"</f>
        <v>Skiv2l2</v>
      </c>
      <c r="B18958" t="s">
        <v>14</v>
      </c>
      <c r="C18958" t="s">
        <v>39</v>
      </c>
      <c r="D18958" t="s">
        <v>11</v>
      </c>
      <c r="E18958" t="s">
        <v>12</v>
      </c>
      <c r="F18958">
        <v>112927356</v>
      </c>
      <c r="G18958">
        <v>112927390</v>
      </c>
      <c r="H18958">
        <v>112927598</v>
      </c>
      <c r="I18958">
        <v>112927640</v>
      </c>
    </row>
    <row r="18959" spans="1:9" x14ac:dyDescent="0.2">
      <c r="A18959" t="str">
        <f>"Skor1"</f>
        <v>Skor1</v>
      </c>
      <c r="B18959" t="s">
        <v>14</v>
      </c>
      <c r="C18959" t="s">
        <v>24</v>
      </c>
      <c r="D18959" t="s">
        <v>11</v>
      </c>
      <c r="E18959" t="s">
        <v>12</v>
      </c>
      <c r="F18959">
        <v>63149178</v>
      </c>
      <c r="G18959">
        <v>63149183</v>
      </c>
      <c r="H18959">
        <v>63148894</v>
      </c>
      <c r="I18959">
        <v>63148903</v>
      </c>
    </row>
    <row r="18960" spans="1:9" x14ac:dyDescent="0.2">
      <c r="A18960" t="str">
        <f>"Skor2"</f>
        <v>Skor2</v>
      </c>
      <c r="B18960" t="s">
        <v>14</v>
      </c>
      <c r="C18960" t="s">
        <v>43</v>
      </c>
      <c r="D18960" t="s">
        <v>17</v>
      </c>
      <c r="E18960" t="s">
        <v>12</v>
      </c>
      <c r="F18960">
        <v>76856133</v>
      </c>
      <c r="G18960">
        <v>76856148</v>
      </c>
      <c r="H18960">
        <v>76856133</v>
      </c>
      <c r="I18960">
        <v>76856148</v>
      </c>
    </row>
    <row r="18961" spans="1:9" x14ac:dyDescent="0.2">
      <c r="A18961" t="str">
        <f>"Skp1a"</f>
        <v>Skp1a</v>
      </c>
      <c r="B18961" t="s">
        <v>14</v>
      </c>
      <c r="C18961" t="s">
        <v>27</v>
      </c>
      <c r="D18961" t="s">
        <v>17</v>
      </c>
      <c r="E18961" t="s">
        <v>12</v>
      </c>
      <c r="F18961">
        <v>52232028</v>
      </c>
      <c r="G18961">
        <v>52232041</v>
      </c>
      <c r="H18961">
        <v>52232183</v>
      </c>
      <c r="I18961">
        <v>52232228</v>
      </c>
    </row>
    <row r="18962" spans="1:9" x14ac:dyDescent="0.2">
      <c r="A18962" t="str">
        <f>"Skp2"</f>
        <v>Skp2</v>
      </c>
      <c r="B18962" t="s">
        <v>14</v>
      </c>
      <c r="C18962" t="s">
        <v>25</v>
      </c>
      <c r="D18962" t="s">
        <v>11</v>
      </c>
      <c r="E18962" t="s">
        <v>12</v>
      </c>
      <c r="F18962">
        <v>9140316</v>
      </c>
      <c r="G18962">
        <v>9140369</v>
      </c>
      <c r="H18962">
        <v>9140374</v>
      </c>
      <c r="I18962">
        <v>9140388</v>
      </c>
    </row>
    <row r="18963" spans="1:9" x14ac:dyDescent="0.2">
      <c r="A18963" t="str">
        <f>"Sla"</f>
        <v>Sla</v>
      </c>
      <c r="B18963" t="s">
        <v>9</v>
      </c>
      <c r="C18963" t="s">
        <v>25</v>
      </c>
      <c r="D18963" t="s">
        <v>11</v>
      </c>
      <c r="E18963" t="s">
        <v>12</v>
      </c>
      <c r="F18963">
        <v>66812685</v>
      </c>
      <c r="G18963">
        <v>66812710</v>
      </c>
      <c r="H18963">
        <v>66812685</v>
      </c>
      <c r="I18963">
        <v>66812710</v>
      </c>
    </row>
    <row r="18964" spans="1:9" x14ac:dyDescent="0.2">
      <c r="A18964" t="str">
        <f>"Sla"</f>
        <v>Sla</v>
      </c>
      <c r="B18964" t="s">
        <v>13</v>
      </c>
      <c r="C18964" t="s">
        <v>25</v>
      </c>
      <c r="D18964" t="s">
        <v>11</v>
      </c>
      <c r="E18964" t="s">
        <v>12</v>
      </c>
      <c r="F18964">
        <v>66801674</v>
      </c>
      <c r="G18964">
        <v>66801693</v>
      </c>
      <c r="H18964">
        <v>66801674</v>
      </c>
      <c r="I18964">
        <v>66801693</v>
      </c>
    </row>
    <row r="18965" spans="1:9" x14ac:dyDescent="0.2">
      <c r="A18965" t="str">
        <f>"Sla2"</f>
        <v>Sla2</v>
      </c>
      <c r="B18965" t="s">
        <v>14</v>
      </c>
      <c r="C18965" t="s">
        <v>26</v>
      </c>
      <c r="D18965" t="s">
        <v>11</v>
      </c>
      <c r="E18965" t="s">
        <v>12</v>
      </c>
      <c r="F18965">
        <v>156887172</v>
      </c>
      <c r="G18965">
        <v>156887225</v>
      </c>
      <c r="H18965">
        <v>156887172</v>
      </c>
      <c r="I18965">
        <v>156887225</v>
      </c>
    </row>
    <row r="18966" spans="1:9" x14ac:dyDescent="0.2">
      <c r="A18966" t="str">
        <f>"Slain1"</f>
        <v>Slain1</v>
      </c>
      <c r="B18966" t="s">
        <v>14</v>
      </c>
      <c r="C18966" t="s">
        <v>41</v>
      </c>
      <c r="D18966" t="s">
        <v>17</v>
      </c>
      <c r="E18966" t="s">
        <v>12</v>
      </c>
      <c r="F18966">
        <v>103650208</v>
      </c>
      <c r="G18966">
        <v>103650243</v>
      </c>
      <c r="H18966">
        <v>103650250</v>
      </c>
      <c r="I18966">
        <v>103650257</v>
      </c>
    </row>
    <row r="18967" spans="1:9" x14ac:dyDescent="0.2">
      <c r="A18967" t="str">
        <f>"Slain2"</f>
        <v>Slain2</v>
      </c>
      <c r="B18967" t="s">
        <v>14</v>
      </c>
      <c r="C18967" t="s">
        <v>46</v>
      </c>
      <c r="D18967" t="s">
        <v>17</v>
      </c>
      <c r="E18967" t="s">
        <v>12</v>
      </c>
      <c r="F18967">
        <v>72914411</v>
      </c>
      <c r="G18967">
        <v>72914476</v>
      </c>
      <c r="H18967">
        <v>72914352</v>
      </c>
      <c r="I18967">
        <v>72914383</v>
      </c>
    </row>
    <row r="18968" spans="1:9" x14ac:dyDescent="0.2">
      <c r="A18968" t="str">
        <f>"Slamf1"</f>
        <v>Slamf1</v>
      </c>
      <c r="B18968" t="s">
        <v>14</v>
      </c>
      <c r="C18968" t="s">
        <v>19</v>
      </c>
      <c r="D18968" t="s">
        <v>17</v>
      </c>
      <c r="E18968" t="s">
        <v>12</v>
      </c>
      <c r="F18968">
        <v>171767144</v>
      </c>
      <c r="G18968">
        <v>171767170</v>
      </c>
      <c r="H18968">
        <v>171767123</v>
      </c>
      <c r="I18968">
        <v>171767138</v>
      </c>
    </row>
    <row r="18969" spans="1:9" x14ac:dyDescent="0.2">
      <c r="A18969" t="str">
        <f>"Slamf6"</f>
        <v>Slamf6</v>
      </c>
      <c r="B18969" t="s">
        <v>14</v>
      </c>
      <c r="C18969" t="s">
        <v>19</v>
      </c>
      <c r="D18969" t="s">
        <v>17</v>
      </c>
      <c r="E18969" t="s">
        <v>12</v>
      </c>
      <c r="F18969">
        <v>171917668</v>
      </c>
      <c r="G18969">
        <v>171917708</v>
      </c>
      <c r="H18969">
        <v>171917438</v>
      </c>
      <c r="I18969">
        <v>171917472</v>
      </c>
    </row>
    <row r="18970" spans="1:9" x14ac:dyDescent="0.2">
      <c r="A18970" t="str">
        <f>"Slamf7"</f>
        <v>Slamf7</v>
      </c>
      <c r="B18970" t="s">
        <v>14</v>
      </c>
      <c r="C18970" t="s">
        <v>19</v>
      </c>
      <c r="D18970" t="s">
        <v>11</v>
      </c>
      <c r="E18970" t="s">
        <v>12</v>
      </c>
      <c r="F18970">
        <v>171648945</v>
      </c>
      <c r="G18970">
        <v>171648988</v>
      </c>
      <c r="H18970">
        <v>171648945</v>
      </c>
      <c r="I18970">
        <v>171648988</v>
      </c>
    </row>
    <row r="18971" spans="1:9" x14ac:dyDescent="0.2">
      <c r="A18971" t="str">
        <f>"Slamf8"</f>
        <v>Slamf8</v>
      </c>
      <c r="B18971" t="s">
        <v>14</v>
      </c>
      <c r="C18971" t="s">
        <v>19</v>
      </c>
      <c r="D18971" t="s">
        <v>11</v>
      </c>
      <c r="E18971" t="s">
        <v>12</v>
      </c>
      <c r="F18971">
        <v>172590463</v>
      </c>
      <c r="G18971">
        <v>172590475</v>
      </c>
      <c r="H18971">
        <v>172590533</v>
      </c>
      <c r="I18971">
        <v>172590552</v>
      </c>
    </row>
    <row r="18972" spans="1:9" x14ac:dyDescent="0.2">
      <c r="A18972" t="str">
        <f>"Slamf9"</f>
        <v>Slamf9</v>
      </c>
      <c r="B18972" t="s">
        <v>14</v>
      </c>
      <c r="C18972" t="s">
        <v>19</v>
      </c>
      <c r="D18972" t="s">
        <v>17</v>
      </c>
      <c r="E18972" t="s">
        <v>12</v>
      </c>
      <c r="F18972">
        <v>172475387</v>
      </c>
      <c r="G18972">
        <v>172475412</v>
      </c>
      <c r="H18972">
        <v>172475371</v>
      </c>
      <c r="I18972">
        <v>172475384</v>
      </c>
    </row>
    <row r="18973" spans="1:9" x14ac:dyDescent="0.2">
      <c r="A18973" t="str">
        <f>"Slbp"</f>
        <v>Slbp</v>
      </c>
      <c r="B18973" t="s">
        <v>14</v>
      </c>
      <c r="C18973" t="s">
        <v>46</v>
      </c>
      <c r="D18973" t="s">
        <v>11</v>
      </c>
      <c r="E18973" t="s">
        <v>12</v>
      </c>
      <c r="F18973">
        <v>33652312</v>
      </c>
      <c r="G18973">
        <v>33652327</v>
      </c>
      <c r="H18973">
        <v>33652339</v>
      </c>
      <c r="I18973">
        <v>33652356</v>
      </c>
    </row>
    <row r="18974" spans="1:9" x14ac:dyDescent="0.2">
      <c r="A18974" t="str">
        <f>"Slc10a1"</f>
        <v>Slc10a1</v>
      </c>
      <c r="B18974" t="s">
        <v>14</v>
      </c>
      <c r="C18974" t="s">
        <v>16</v>
      </c>
      <c r="D18974" t="s">
        <v>11</v>
      </c>
      <c r="E18974" t="s">
        <v>12</v>
      </c>
      <c r="F18974">
        <v>80967995</v>
      </c>
      <c r="G18974">
        <v>80968032</v>
      </c>
      <c r="H18974">
        <v>80968036</v>
      </c>
      <c r="I18974">
        <v>80968053</v>
      </c>
    </row>
    <row r="18975" spans="1:9" x14ac:dyDescent="0.2">
      <c r="A18975" t="str">
        <f>"Slc10a2"</f>
        <v>Slc10a2</v>
      </c>
      <c r="B18975" t="s">
        <v>14</v>
      </c>
      <c r="C18975" t="s">
        <v>30</v>
      </c>
      <c r="D18975" t="s">
        <v>11</v>
      </c>
      <c r="E18975" t="s">
        <v>12</v>
      </c>
      <c r="F18975">
        <v>5105240</v>
      </c>
      <c r="G18975">
        <v>5105254</v>
      </c>
      <c r="H18975">
        <v>5105240</v>
      </c>
      <c r="I18975">
        <v>5105254</v>
      </c>
    </row>
    <row r="18976" spans="1:9" x14ac:dyDescent="0.2">
      <c r="A18976" t="str">
        <f>"Slc10a3"</f>
        <v>Slc10a3</v>
      </c>
      <c r="B18976" t="s">
        <v>14</v>
      </c>
      <c r="C18976" t="s">
        <v>37</v>
      </c>
      <c r="D18976" t="s">
        <v>11</v>
      </c>
      <c r="E18976" t="s">
        <v>12</v>
      </c>
      <c r="F18976">
        <v>74373260</v>
      </c>
      <c r="G18976">
        <v>74373309</v>
      </c>
      <c r="H18976">
        <v>74373235</v>
      </c>
      <c r="I18976">
        <v>74373249</v>
      </c>
    </row>
    <row r="18977" spans="1:9" x14ac:dyDescent="0.2">
      <c r="A18977" t="str">
        <f>"Slc10a4"</f>
        <v>Slc10a4</v>
      </c>
      <c r="B18977" t="s">
        <v>14</v>
      </c>
      <c r="C18977" t="s">
        <v>46</v>
      </c>
      <c r="D18977" t="s">
        <v>17</v>
      </c>
      <c r="E18977" t="s">
        <v>12</v>
      </c>
      <c r="F18977">
        <v>73006897</v>
      </c>
      <c r="G18977">
        <v>73006916</v>
      </c>
      <c r="H18977">
        <v>73006922</v>
      </c>
      <c r="I18977">
        <v>73006937</v>
      </c>
    </row>
    <row r="18978" spans="1:9" x14ac:dyDescent="0.2">
      <c r="A18978" t="str">
        <f>"Slc10a5"</f>
        <v>Slc10a5</v>
      </c>
      <c r="B18978" t="s">
        <v>14</v>
      </c>
      <c r="C18978" t="s">
        <v>22</v>
      </c>
      <c r="D18978" t="s">
        <v>11</v>
      </c>
      <c r="E18978" t="s">
        <v>12</v>
      </c>
      <c r="F18978">
        <v>10335689</v>
      </c>
      <c r="G18978">
        <v>10335707</v>
      </c>
      <c r="H18978">
        <v>10335676</v>
      </c>
      <c r="I18978">
        <v>10335687</v>
      </c>
    </row>
    <row r="18979" spans="1:9" x14ac:dyDescent="0.2">
      <c r="A18979" t="str">
        <f>"Slc10a6"</f>
        <v>Slc10a6</v>
      </c>
      <c r="B18979" t="s">
        <v>14</v>
      </c>
      <c r="C18979" t="s">
        <v>46</v>
      </c>
      <c r="D18979" t="s">
        <v>11</v>
      </c>
      <c r="E18979" t="s">
        <v>12</v>
      </c>
      <c r="F18979">
        <v>103629279</v>
      </c>
      <c r="G18979">
        <v>103629296</v>
      </c>
      <c r="H18979">
        <v>103629279</v>
      </c>
      <c r="I18979">
        <v>103629296</v>
      </c>
    </row>
    <row r="18980" spans="1:9" x14ac:dyDescent="0.2">
      <c r="A18980" t="str">
        <f>"Slc10a7"</f>
        <v>Slc10a7</v>
      </c>
      <c r="B18980" t="s">
        <v>14</v>
      </c>
      <c r="C18980" t="s">
        <v>30</v>
      </c>
      <c r="D18980" t="s">
        <v>17</v>
      </c>
      <c r="E18980" t="s">
        <v>12</v>
      </c>
      <c r="F18980">
        <v>78509319</v>
      </c>
      <c r="G18980">
        <v>78509399</v>
      </c>
      <c r="H18980">
        <v>78509422</v>
      </c>
      <c r="I18980">
        <v>78509436</v>
      </c>
    </row>
    <row r="18981" spans="1:9" x14ac:dyDescent="0.2">
      <c r="A18981" t="str">
        <f>"Slc11a1"</f>
        <v>Slc11a1</v>
      </c>
      <c r="B18981" t="s">
        <v>14</v>
      </c>
      <c r="C18981" t="s">
        <v>19</v>
      </c>
      <c r="D18981" t="s">
        <v>17</v>
      </c>
      <c r="E18981" t="s">
        <v>12</v>
      </c>
      <c r="F18981">
        <v>74375208</v>
      </c>
      <c r="G18981">
        <v>74375229</v>
      </c>
      <c r="H18981">
        <v>74375583</v>
      </c>
      <c r="I18981">
        <v>74375605</v>
      </c>
    </row>
    <row r="18982" spans="1:9" x14ac:dyDescent="0.2">
      <c r="A18982" t="str">
        <f>"Slc11a2"</f>
        <v>Slc11a2</v>
      </c>
      <c r="B18982" t="s">
        <v>9</v>
      </c>
      <c r="C18982" t="s">
        <v>25</v>
      </c>
      <c r="D18982" t="s">
        <v>11</v>
      </c>
      <c r="E18982" t="s">
        <v>12</v>
      </c>
      <c r="F18982">
        <v>100422991</v>
      </c>
      <c r="G18982">
        <v>100423039</v>
      </c>
      <c r="H18982">
        <v>100422991</v>
      </c>
      <c r="I18982">
        <v>100423039</v>
      </c>
    </row>
    <row r="18983" spans="1:9" x14ac:dyDescent="0.2">
      <c r="A18983" t="str">
        <f>"Slc11a2"</f>
        <v>Slc11a2</v>
      </c>
      <c r="B18983" t="s">
        <v>13</v>
      </c>
      <c r="C18983" t="s">
        <v>25</v>
      </c>
      <c r="D18983" t="s">
        <v>11</v>
      </c>
      <c r="E18983" t="s">
        <v>12</v>
      </c>
      <c r="F18983">
        <v>100424169</v>
      </c>
      <c r="G18983">
        <v>100424173</v>
      </c>
      <c r="H18983">
        <v>100424169</v>
      </c>
      <c r="I18983">
        <v>100424173</v>
      </c>
    </row>
    <row r="18984" spans="1:9" x14ac:dyDescent="0.2">
      <c r="A18984" t="str">
        <f>"Slc12a1"</f>
        <v>Slc12a1</v>
      </c>
      <c r="B18984" t="s">
        <v>14</v>
      </c>
      <c r="C18984" t="s">
        <v>26</v>
      </c>
      <c r="D18984" t="s">
        <v>17</v>
      </c>
      <c r="E18984" t="s">
        <v>12</v>
      </c>
      <c r="F18984">
        <v>125152592</v>
      </c>
      <c r="G18984">
        <v>125152606</v>
      </c>
      <c r="H18984">
        <v>125152592</v>
      </c>
      <c r="I18984">
        <v>125152606</v>
      </c>
    </row>
    <row r="18985" spans="1:9" x14ac:dyDescent="0.2">
      <c r="A18985" t="str">
        <f>"Slc12a2"</f>
        <v>Slc12a2</v>
      </c>
      <c r="B18985" t="s">
        <v>14</v>
      </c>
      <c r="C18985" t="s">
        <v>43</v>
      </c>
      <c r="D18985" t="s">
        <v>17</v>
      </c>
      <c r="E18985" t="s">
        <v>12</v>
      </c>
      <c r="F18985">
        <v>57878620</v>
      </c>
      <c r="G18985">
        <v>57878637</v>
      </c>
      <c r="H18985">
        <v>57878596</v>
      </c>
      <c r="I18985">
        <v>57878607</v>
      </c>
    </row>
    <row r="18986" spans="1:9" x14ac:dyDescent="0.2">
      <c r="A18986" t="str">
        <f>"Slc12a3"</f>
        <v>Slc12a3</v>
      </c>
      <c r="B18986" t="s">
        <v>14</v>
      </c>
      <c r="C18986" t="s">
        <v>30</v>
      </c>
      <c r="D18986" t="s">
        <v>17</v>
      </c>
      <c r="E18986" t="s">
        <v>12</v>
      </c>
      <c r="F18986">
        <v>94329201</v>
      </c>
      <c r="G18986">
        <v>94329217</v>
      </c>
      <c r="H18986">
        <v>94329201</v>
      </c>
      <c r="I18986">
        <v>94329217</v>
      </c>
    </row>
    <row r="18987" spans="1:9" x14ac:dyDescent="0.2">
      <c r="A18987" t="str">
        <f>"Slc12a4"</f>
        <v>Slc12a4</v>
      </c>
      <c r="B18987" t="s">
        <v>14</v>
      </c>
      <c r="C18987" t="s">
        <v>30</v>
      </c>
      <c r="D18987" t="s">
        <v>11</v>
      </c>
      <c r="E18987" t="s">
        <v>12</v>
      </c>
      <c r="F18987">
        <v>105966038</v>
      </c>
      <c r="G18987">
        <v>105966120</v>
      </c>
      <c r="H18987">
        <v>105966128</v>
      </c>
      <c r="I18987">
        <v>105966135</v>
      </c>
    </row>
    <row r="18988" spans="1:9" x14ac:dyDescent="0.2">
      <c r="A18988" t="str">
        <f>"Slc12a5"</f>
        <v>Slc12a5</v>
      </c>
      <c r="B18988" t="s">
        <v>14</v>
      </c>
      <c r="C18988" t="s">
        <v>26</v>
      </c>
      <c r="D18988" t="s">
        <v>17</v>
      </c>
      <c r="E18988" t="s">
        <v>12</v>
      </c>
      <c r="F18988">
        <v>164968264</v>
      </c>
      <c r="G18988">
        <v>164968317</v>
      </c>
      <c r="H18988">
        <v>164968219</v>
      </c>
      <c r="I18988">
        <v>164968255</v>
      </c>
    </row>
    <row r="18989" spans="1:9" x14ac:dyDescent="0.2">
      <c r="A18989" t="str">
        <f>"Slc12a6"</f>
        <v>Slc12a6</v>
      </c>
      <c r="B18989" t="s">
        <v>14</v>
      </c>
      <c r="C18989" t="s">
        <v>26</v>
      </c>
      <c r="D18989" t="s">
        <v>17</v>
      </c>
      <c r="E18989" t="s">
        <v>12</v>
      </c>
      <c r="F18989">
        <v>112265558</v>
      </c>
      <c r="G18989">
        <v>112265647</v>
      </c>
      <c r="H18989">
        <v>112265809</v>
      </c>
      <c r="I18989">
        <v>112265858</v>
      </c>
    </row>
    <row r="18990" spans="1:9" x14ac:dyDescent="0.2">
      <c r="A18990" t="str">
        <f>"Slc12a7"</f>
        <v>Slc12a7</v>
      </c>
      <c r="B18990" t="s">
        <v>14</v>
      </c>
      <c r="C18990" t="s">
        <v>39</v>
      </c>
      <c r="D18990" t="s">
        <v>17</v>
      </c>
      <c r="E18990" t="s">
        <v>12</v>
      </c>
      <c r="F18990">
        <v>73763680</v>
      </c>
      <c r="G18990">
        <v>73763763</v>
      </c>
      <c r="H18990">
        <v>73763680</v>
      </c>
      <c r="I18990">
        <v>73763763</v>
      </c>
    </row>
    <row r="18991" spans="1:9" x14ac:dyDescent="0.2">
      <c r="A18991" t="str">
        <f>"Slc12a8"</f>
        <v>Slc12a8</v>
      </c>
      <c r="B18991" t="s">
        <v>14</v>
      </c>
      <c r="C18991" t="s">
        <v>31</v>
      </c>
      <c r="D18991" t="s">
        <v>17</v>
      </c>
      <c r="E18991" t="s">
        <v>12</v>
      </c>
      <c r="F18991">
        <v>33518189</v>
      </c>
      <c r="G18991">
        <v>33518207</v>
      </c>
      <c r="H18991">
        <v>33518189</v>
      </c>
      <c r="I18991">
        <v>33518207</v>
      </c>
    </row>
    <row r="18992" spans="1:9" x14ac:dyDescent="0.2">
      <c r="A18992" t="str">
        <f>"Slc12a9"</f>
        <v>Slc12a9</v>
      </c>
      <c r="B18992" t="s">
        <v>14</v>
      </c>
      <c r="C18992" t="s">
        <v>46</v>
      </c>
      <c r="D18992" t="s">
        <v>11</v>
      </c>
      <c r="E18992" t="s">
        <v>12</v>
      </c>
      <c r="F18992">
        <v>137333516</v>
      </c>
      <c r="G18992">
        <v>137333557</v>
      </c>
      <c r="H18992">
        <v>137333561</v>
      </c>
      <c r="I18992">
        <v>137333575</v>
      </c>
    </row>
    <row r="18993" spans="1:9" x14ac:dyDescent="0.2">
      <c r="A18993" t="str">
        <f>"Slc13a1"</f>
        <v>Slc13a1</v>
      </c>
      <c r="B18993" t="s">
        <v>14</v>
      </c>
      <c r="C18993" t="s">
        <v>32</v>
      </c>
      <c r="D18993" t="s">
        <v>11</v>
      </c>
      <c r="E18993" t="s">
        <v>12</v>
      </c>
      <c r="F18993">
        <v>24168083</v>
      </c>
      <c r="G18993">
        <v>24168097</v>
      </c>
      <c r="H18993">
        <v>24168083</v>
      </c>
      <c r="I18993">
        <v>24168097</v>
      </c>
    </row>
    <row r="18994" spans="1:9" x14ac:dyDescent="0.2">
      <c r="A18994" t="str">
        <f>"Slc13a2"</f>
        <v>Slc13a2</v>
      </c>
      <c r="B18994" t="s">
        <v>14</v>
      </c>
      <c r="C18994" t="s">
        <v>27</v>
      </c>
      <c r="D18994" t="s">
        <v>11</v>
      </c>
      <c r="E18994" t="s">
        <v>12</v>
      </c>
      <c r="F18994">
        <v>78422223</v>
      </c>
      <c r="G18994">
        <v>78422240</v>
      </c>
      <c r="H18994">
        <v>78422223</v>
      </c>
      <c r="I18994">
        <v>78422240</v>
      </c>
    </row>
    <row r="18995" spans="1:9" x14ac:dyDescent="0.2">
      <c r="A18995" t="str">
        <f>"Slc13a3"</f>
        <v>Slc13a3</v>
      </c>
      <c r="B18995" t="s">
        <v>14</v>
      </c>
      <c r="C18995" t="s">
        <v>26</v>
      </c>
      <c r="D18995" t="s">
        <v>11</v>
      </c>
      <c r="E18995" t="s">
        <v>12</v>
      </c>
      <c r="F18995">
        <v>165473187</v>
      </c>
      <c r="G18995">
        <v>165473202</v>
      </c>
      <c r="H18995">
        <v>165473187</v>
      </c>
      <c r="I18995">
        <v>165473202</v>
      </c>
    </row>
    <row r="18996" spans="1:9" x14ac:dyDescent="0.2">
      <c r="A18996" t="str">
        <f>"Slc13a4"</f>
        <v>Slc13a4</v>
      </c>
      <c r="B18996" t="s">
        <v>14</v>
      </c>
      <c r="C18996" t="s">
        <v>32</v>
      </c>
      <c r="D18996" t="s">
        <v>11</v>
      </c>
      <c r="E18996" t="s">
        <v>12</v>
      </c>
      <c r="F18996">
        <v>35308110</v>
      </c>
      <c r="G18996">
        <v>35308136</v>
      </c>
      <c r="H18996">
        <v>35308110</v>
      </c>
      <c r="I18996">
        <v>35308136</v>
      </c>
    </row>
    <row r="18997" spans="1:9" x14ac:dyDescent="0.2">
      <c r="A18997" t="str">
        <f>"Slc13a5"</f>
        <v>Slc13a5</v>
      </c>
      <c r="B18997" t="s">
        <v>14</v>
      </c>
      <c r="C18997" t="s">
        <v>27</v>
      </c>
      <c r="D18997" t="s">
        <v>11</v>
      </c>
      <c r="E18997" t="s">
        <v>12</v>
      </c>
      <c r="F18997">
        <v>72266596</v>
      </c>
      <c r="G18997">
        <v>72266611</v>
      </c>
      <c r="H18997">
        <v>72266621</v>
      </c>
      <c r="I18997">
        <v>72266640</v>
      </c>
    </row>
    <row r="18998" spans="1:9" x14ac:dyDescent="0.2">
      <c r="A18998" t="str">
        <f>"Slc14a1"</f>
        <v>Slc14a1</v>
      </c>
      <c r="B18998" t="s">
        <v>9</v>
      </c>
      <c r="C18998" t="s">
        <v>43</v>
      </c>
      <c r="D18998" t="s">
        <v>11</v>
      </c>
      <c r="E18998" t="s">
        <v>12</v>
      </c>
      <c r="F18998">
        <v>78123324</v>
      </c>
      <c r="G18998">
        <v>78123338</v>
      </c>
      <c r="H18998">
        <v>78123324</v>
      </c>
      <c r="I18998">
        <v>78123338</v>
      </c>
    </row>
    <row r="18999" spans="1:9" x14ac:dyDescent="0.2">
      <c r="A18999" t="str">
        <f>"Slc14a1"</f>
        <v>Slc14a1</v>
      </c>
      <c r="B18999" t="s">
        <v>13</v>
      </c>
      <c r="C18999" t="s">
        <v>43</v>
      </c>
      <c r="D18999" t="s">
        <v>11</v>
      </c>
      <c r="E18999" t="s">
        <v>12</v>
      </c>
      <c r="F18999">
        <v>78142137</v>
      </c>
      <c r="G18999">
        <v>78142154</v>
      </c>
      <c r="H18999">
        <v>78142137</v>
      </c>
      <c r="I18999">
        <v>78142154</v>
      </c>
    </row>
    <row r="19000" spans="1:9" x14ac:dyDescent="0.2">
      <c r="A19000" t="str">
        <f>"Slc14a2"</f>
        <v>Slc14a2</v>
      </c>
      <c r="B19000" t="s">
        <v>9</v>
      </c>
      <c r="C19000" t="s">
        <v>43</v>
      </c>
      <c r="D19000" t="s">
        <v>11</v>
      </c>
      <c r="E19000" t="s">
        <v>12</v>
      </c>
      <c r="F19000">
        <v>78179163</v>
      </c>
      <c r="G19000">
        <v>78179176</v>
      </c>
      <c r="H19000">
        <v>78179163</v>
      </c>
      <c r="I19000">
        <v>78179176</v>
      </c>
    </row>
    <row r="19001" spans="1:9" x14ac:dyDescent="0.2">
      <c r="A19001" t="str">
        <f>"Slc14a2"</f>
        <v>Slc14a2</v>
      </c>
      <c r="B19001" t="s">
        <v>13</v>
      </c>
      <c r="C19001" t="s">
        <v>43</v>
      </c>
      <c r="D19001" t="s">
        <v>11</v>
      </c>
      <c r="E19001" t="s">
        <v>12</v>
      </c>
      <c r="F19001">
        <v>78205921</v>
      </c>
      <c r="G19001">
        <v>78205977</v>
      </c>
      <c r="H19001">
        <v>78205921</v>
      </c>
      <c r="I19001">
        <v>78205977</v>
      </c>
    </row>
    <row r="19002" spans="1:9" x14ac:dyDescent="0.2">
      <c r="A19002" t="str">
        <f>"Slc15a1"</f>
        <v>Slc15a1</v>
      </c>
      <c r="B19002" t="s">
        <v>14</v>
      </c>
      <c r="C19002" t="s">
        <v>41</v>
      </c>
      <c r="D19002" t="s">
        <v>11</v>
      </c>
      <c r="E19002" t="s">
        <v>12</v>
      </c>
      <c r="F19002">
        <v>121505247</v>
      </c>
      <c r="G19002">
        <v>121505264</v>
      </c>
      <c r="H19002">
        <v>121505247</v>
      </c>
      <c r="I19002">
        <v>121505264</v>
      </c>
    </row>
    <row r="19003" spans="1:9" x14ac:dyDescent="0.2">
      <c r="A19003" t="str">
        <f>"Slc15a2"</f>
        <v>Slc15a2</v>
      </c>
      <c r="B19003" t="s">
        <v>14</v>
      </c>
      <c r="C19003" t="s">
        <v>31</v>
      </c>
      <c r="D19003" t="s">
        <v>11</v>
      </c>
      <c r="E19003" t="s">
        <v>12</v>
      </c>
      <c r="F19003">
        <v>36784784</v>
      </c>
      <c r="G19003">
        <v>36784825</v>
      </c>
      <c r="H19003">
        <v>36784974</v>
      </c>
      <c r="I19003">
        <v>36785001</v>
      </c>
    </row>
    <row r="19004" spans="1:9" x14ac:dyDescent="0.2">
      <c r="A19004" t="str">
        <f>"Slc15a3"</f>
        <v>Slc15a3</v>
      </c>
      <c r="B19004" t="s">
        <v>14</v>
      </c>
      <c r="C19004" t="s">
        <v>10</v>
      </c>
      <c r="D19004" t="s">
        <v>17</v>
      </c>
      <c r="E19004" t="s">
        <v>12</v>
      </c>
      <c r="F19004">
        <v>10842531</v>
      </c>
      <c r="G19004">
        <v>10842564</v>
      </c>
      <c r="H19004">
        <v>10842508</v>
      </c>
      <c r="I19004">
        <v>10842524</v>
      </c>
    </row>
    <row r="19005" spans="1:9" x14ac:dyDescent="0.2">
      <c r="A19005" t="str">
        <f>"Slc15a4"</f>
        <v>Slc15a4</v>
      </c>
      <c r="B19005" t="s">
        <v>9</v>
      </c>
      <c r="C19005" t="s">
        <v>46</v>
      </c>
      <c r="D19005" t="s">
        <v>11</v>
      </c>
      <c r="E19005" t="s">
        <v>12</v>
      </c>
      <c r="F19005">
        <v>127617372</v>
      </c>
      <c r="G19005">
        <v>127617426</v>
      </c>
      <c r="H19005">
        <v>127617372</v>
      </c>
      <c r="I19005">
        <v>127617426</v>
      </c>
    </row>
    <row r="19006" spans="1:9" x14ac:dyDescent="0.2">
      <c r="A19006" t="str">
        <f>"Slc15a4"</f>
        <v>Slc15a4</v>
      </c>
      <c r="B19006" t="s">
        <v>13</v>
      </c>
      <c r="C19006" t="s">
        <v>46</v>
      </c>
      <c r="D19006" t="s">
        <v>11</v>
      </c>
      <c r="E19006" t="s">
        <v>12</v>
      </c>
      <c r="F19006">
        <v>127632915</v>
      </c>
      <c r="G19006">
        <v>127632946</v>
      </c>
      <c r="H19006">
        <v>127632915</v>
      </c>
      <c r="I19006">
        <v>127632946</v>
      </c>
    </row>
    <row r="19007" spans="1:9" x14ac:dyDescent="0.2">
      <c r="A19007" t="str">
        <f>"Slc15a5"</f>
        <v>Slc15a5</v>
      </c>
      <c r="B19007" t="s">
        <v>14</v>
      </c>
      <c r="C19007" t="s">
        <v>32</v>
      </c>
      <c r="D19007" t="s">
        <v>11</v>
      </c>
      <c r="E19007" t="s">
        <v>12</v>
      </c>
      <c r="F19007">
        <v>138073293</v>
      </c>
      <c r="G19007">
        <v>138073294</v>
      </c>
      <c r="H19007">
        <v>138073293</v>
      </c>
      <c r="I19007">
        <v>138073294</v>
      </c>
    </row>
    <row r="19008" spans="1:9" x14ac:dyDescent="0.2">
      <c r="A19008" t="str">
        <f>"Slc16a1"</f>
        <v>Slc16a1</v>
      </c>
      <c r="B19008" t="s">
        <v>14</v>
      </c>
      <c r="C19008" t="s">
        <v>22</v>
      </c>
      <c r="D19008" t="s">
        <v>17</v>
      </c>
      <c r="E19008" t="s">
        <v>12</v>
      </c>
      <c r="F19008">
        <v>104638658</v>
      </c>
      <c r="G19008">
        <v>104638675</v>
      </c>
      <c r="H19008">
        <v>104638502</v>
      </c>
      <c r="I19008">
        <v>104638541</v>
      </c>
    </row>
    <row r="19009" spans="1:9" x14ac:dyDescent="0.2">
      <c r="A19009" t="str">
        <f>"Slc16a10"</f>
        <v>Slc16a10</v>
      </c>
      <c r="B19009" t="s">
        <v>14</v>
      </c>
      <c r="C19009" t="s">
        <v>15</v>
      </c>
      <c r="D19009" t="s">
        <v>11</v>
      </c>
      <c r="E19009" t="s">
        <v>12</v>
      </c>
      <c r="F19009">
        <v>40142247</v>
      </c>
      <c r="G19009">
        <v>40142260</v>
      </c>
      <c r="H19009">
        <v>40142247</v>
      </c>
      <c r="I19009">
        <v>40142260</v>
      </c>
    </row>
    <row r="19010" spans="1:9" x14ac:dyDescent="0.2">
      <c r="A19010" t="str">
        <f>"Slc16a11"</f>
        <v>Slc16a11</v>
      </c>
      <c r="B19010" t="s">
        <v>14</v>
      </c>
      <c r="C19010" t="s">
        <v>27</v>
      </c>
      <c r="D19010" t="s">
        <v>17</v>
      </c>
      <c r="E19010" t="s">
        <v>12</v>
      </c>
      <c r="F19010">
        <v>70214105</v>
      </c>
      <c r="G19010">
        <v>70214132</v>
      </c>
      <c r="H19010">
        <v>70214105</v>
      </c>
      <c r="I19010">
        <v>70214132</v>
      </c>
    </row>
    <row r="19011" spans="1:9" x14ac:dyDescent="0.2">
      <c r="A19011" t="str">
        <f>"Slc16a12"</f>
        <v>Slc16a12</v>
      </c>
      <c r="B19011" t="s">
        <v>14</v>
      </c>
      <c r="C19011" t="s">
        <v>10</v>
      </c>
      <c r="D19011" t="s">
        <v>11</v>
      </c>
      <c r="E19011" t="s">
        <v>12</v>
      </c>
      <c r="F19011">
        <v>34747133</v>
      </c>
      <c r="G19011">
        <v>34747186</v>
      </c>
      <c r="H19011">
        <v>34747321</v>
      </c>
      <c r="I19011">
        <v>34747335</v>
      </c>
    </row>
    <row r="19012" spans="1:9" x14ac:dyDescent="0.2">
      <c r="A19012" t="str">
        <f>"Slc16a13"</f>
        <v>Slc16a13</v>
      </c>
      <c r="B19012" t="s">
        <v>14</v>
      </c>
      <c r="C19012" t="s">
        <v>27</v>
      </c>
      <c r="D19012" t="s">
        <v>11</v>
      </c>
      <c r="E19012" t="s">
        <v>12</v>
      </c>
      <c r="F19012">
        <v>70220969</v>
      </c>
      <c r="G19012">
        <v>70221027</v>
      </c>
      <c r="H19012">
        <v>70220776</v>
      </c>
      <c r="I19012">
        <v>70220790</v>
      </c>
    </row>
    <row r="19013" spans="1:9" x14ac:dyDescent="0.2">
      <c r="A19013" t="str">
        <f>"Slc16a14"</f>
        <v>Slc16a14</v>
      </c>
      <c r="B19013" t="s">
        <v>14</v>
      </c>
      <c r="C19013" t="s">
        <v>19</v>
      </c>
      <c r="D19013" t="s">
        <v>11</v>
      </c>
      <c r="E19013" t="s">
        <v>12</v>
      </c>
      <c r="F19013">
        <v>84935190</v>
      </c>
      <c r="G19013">
        <v>84935241</v>
      </c>
      <c r="H19013">
        <v>84935089</v>
      </c>
      <c r="I19013">
        <v>84935108</v>
      </c>
    </row>
    <row r="19014" spans="1:9" x14ac:dyDescent="0.2">
      <c r="A19014" t="str">
        <f>"Slc16a2"</f>
        <v>Slc16a2</v>
      </c>
      <c r="B19014" t="s">
        <v>14</v>
      </c>
      <c r="C19014" t="s">
        <v>37</v>
      </c>
      <c r="D19014" t="s">
        <v>11</v>
      </c>
      <c r="E19014" t="s">
        <v>12</v>
      </c>
      <c r="F19014">
        <v>103821940</v>
      </c>
      <c r="G19014">
        <v>103821992</v>
      </c>
      <c r="H19014">
        <v>103821859</v>
      </c>
      <c r="I19014">
        <v>103821921</v>
      </c>
    </row>
    <row r="19015" spans="1:9" x14ac:dyDescent="0.2">
      <c r="A19015" t="str">
        <f>"Slc16a3"</f>
        <v>Slc16a3</v>
      </c>
      <c r="B19015" t="s">
        <v>14</v>
      </c>
      <c r="C19015" t="s">
        <v>27</v>
      </c>
      <c r="D19015" t="s">
        <v>17</v>
      </c>
      <c r="E19015" t="s">
        <v>12</v>
      </c>
      <c r="F19015">
        <v>120949100</v>
      </c>
      <c r="G19015">
        <v>120949114</v>
      </c>
      <c r="H19015">
        <v>120948493</v>
      </c>
      <c r="I19015">
        <v>120948533</v>
      </c>
    </row>
    <row r="19016" spans="1:9" x14ac:dyDescent="0.2">
      <c r="A19016" t="str">
        <f>"Slc16a4"</f>
        <v>Slc16a4</v>
      </c>
      <c r="B19016" t="s">
        <v>14</v>
      </c>
      <c r="C19016" t="s">
        <v>22</v>
      </c>
      <c r="D19016" t="s">
        <v>17</v>
      </c>
      <c r="E19016" t="s">
        <v>12</v>
      </c>
      <c r="F19016">
        <v>107291215</v>
      </c>
      <c r="G19016">
        <v>107291280</v>
      </c>
      <c r="H19016">
        <v>107291285</v>
      </c>
      <c r="I19016">
        <v>107291301</v>
      </c>
    </row>
    <row r="19017" spans="1:9" x14ac:dyDescent="0.2">
      <c r="A19017" t="str">
        <f>"Slc16a5"</f>
        <v>Slc16a5</v>
      </c>
      <c r="B19017" t="s">
        <v>9</v>
      </c>
      <c r="C19017" t="s">
        <v>27</v>
      </c>
      <c r="D19017" t="s">
        <v>17</v>
      </c>
      <c r="E19017" t="s">
        <v>12</v>
      </c>
      <c r="F19017">
        <v>115462464</v>
      </c>
      <c r="G19017">
        <v>115462483</v>
      </c>
      <c r="H19017">
        <v>115462464</v>
      </c>
      <c r="I19017">
        <v>115462483</v>
      </c>
    </row>
    <row r="19018" spans="1:9" x14ac:dyDescent="0.2">
      <c r="A19018" t="str">
        <f>"Slc16a5"</f>
        <v>Slc16a5</v>
      </c>
      <c r="B19018" t="s">
        <v>13</v>
      </c>
      <c r="C19018" t="s">
        <v>27</v>
      </c>
      <c r="D19018" t="s">
        <v>17</v>
      </c>
      <c r="E19018" t="s">
        <v>12</v>
      </c>
      <c r="F19018">
        <v>115463767</v>
      </c>
      <c r="G19018">
        <v>115463784</v>
      </c>
      <c r="H19018">
        <v>115463767</v>
      </c>
      <c r="I19018">
        <v>115463784</v>
      </c>
    </row>
    <row r="19019" spans="1:9" x14ac:dyDescent="0.2">
      <c r="A19019" t="str">
        <f>"Slc16a6"</f>
        <v>Slc16a6</v>
      </c>
      <c r="B19019" t="s">
        <v>14</v>
      </c>
      <c r="C19019" t="s">
        <v>27</v>
      </c>
      <c r="D19019" t="s">
        <v>11</v>
      </c>
      <c r="E19019" t="s">
        <v>12</v>
      </c>
      <c r="F19019">
        <v>109472972</v>
      </c>
      <c r="G19019">
        <v>109472991</v>
      </c>
      <c r="H19019">
        <v>109473220</v>
      </c>
      <c r="I19019">
        <v>109473278</v>
      </c>
    </row>
    <row r="19020" spans="1:9" x14ac:dyDescent="0.2">
      <c r="A19020" t="str">
        <f>"Slc16a7"</f>
        <v>Slc16a7</v>
      </c>
      <c r="B19020" t="s">
        <v>9</v>
      </c>
      <c r="C19020" t="s">
        <v>15</v>
      </c>
      <c r="D19020" t="s">
        <v>11</v>
      </c>
      <c r="E19020" t="s">
        <v>12</v>
      </c>
      <c r="F19020">
        <v>125328371</v>
      </c>
      <c r="G19020">
        <v>125328412</v>
      </c>
      <c r="H19020">
        <v>125328371</v>
      </c>
      <c r="I19020">
        <v>125328412</v>
      </c>
    </row>
    <row r="19021" spans="1:9" x14ac:dyDescent="0.2">
      <c r="A19021" t="str">
        <f>"Slc16a7"</f>
        <v>Slc16a7</v>
      </c>
      <c r="B19021" t="s">
        <v>13</v>
      </c>
      <c r="C19021" t="s">
        <v>15</v>
      </c>
      <c r="D19021" t="s">
        <v>11</v>
      </c>
      <c r="E19021" t="s">
        <v>12</v>
      </c>
      <c r="F19021">
        <v>125308809</v>
      </c>
      <c r="G19021">
        <v>125308825</v>
      </c>
      <c r="H19021">
        <v>125308809</v>
      </c>
      <c r="I19021">
        <v>125308825</v>
      </c>
    </row>
    <row r="19022" spans="1:9" x14ac:dyDescent="0.2">
      <c r="A19022" t="str">
        <f>"Slc16a8"</f>
        <v>Slc16a8</v>
      </c>
      <c r="B19022" t="s">
        <v>14</v>
      </c>
      <c r="C19022" t="s">
        <v>25</v>
      </c>
      <c r="D19022" t="s">
        <v>11</v>
      </c>
      <c r="E19022" t="s">
        <v>12</v>
      </c>
      <c r="F19022">
        <v>79254737</v>
      </c>
      <c r="G19022">
        <v>79254764</v>
      </c>
      <c r="H19022">
        <v>79254792</v>
      </c>
      <c r="I19022">
        <v>79254796</v>
      </c>
    </row>
    <row r="19023" spans="1:9" x14ac:dyDescent="0.2">
      <c r="A19023" t="str">
        <f>"Slc16a9"</f>
        <v>Slc16a9</v>
      </c>
      <c r="B19023" t="s">
        <v>14</v>
      </c>
      <c r="C19023" t="s">
        <v>15</v>
      </c>
      <c r="D19023" t="s">
        <v>17</v>
      </c>
      <c r="E19023" t="s">
        <v>12</v>
      </c>
      <c r="F19023">
        <v>70245260</v>
      </c>
      <c r="G19023">
        <v>70245318</v>
      </c>
      <c r="H19023">
        <v>70245083</v>
      </c>
      <c r="I19023">
        <v>70245140</v>
      </c>
    </row>
    <row r="19024" spans="1:9" x14ac:dyDescent="0.2">
      <c r="A19024" t="str">
        <f>"Slc17a1"</f>
        <v>Slc17a1</v>
      </c>
      <c r="B19024" t="s">
        <v>14</v>
      </c>
      <c r="C19024" t="s">
        <v>39</v>
      </c>
      <c r="D19024" t="s">
        <v>17</v>
      </c>
      <c r="E19024" t="s">
        <v>12</v>
      </c>
      <c r="F19024">
        <v>23870284</v>
      </c>
      <c r="G19024">
        <v>23870308</v>
      </c>
      <c r="H19024">
        <v>23870259</v>
      </c>
      <c r="I19024">
        <v>23870266</v>
      </c>
    </row>
    <row r="19025" spans="1:9" x14ac:dyDescent="0.2">
      <c r="A19025" t="str">
        <f>"Slc17a2"</f>
        <v>Slc17a2</v>
      </c>
      <c r="B19025" t="s">
        <v>14</v>
      </c>
      <c r="C19025" t="s">
        <v>39</v>
      </c>
      <c r="D19025" t="s">
        <v>17</v>
      </c>
      <c r="E19025" t="s">
        <v>12</v>
      </c>
      <c r="F19025">
        <v>23806986</v>
      </c>
      <c r="G19025">
        <v>23807012</v>
      </c>
      <c r="H19025">
        <v>23807029</v>
      </c>
      <c r="I19025">
        <v>23807063</v>
      </c>
    </row>
    <row r="19026" spans="1:9" x14ac:dyDescent="0.2">
      <c r="A19026" t="str">
        <f>"Slc17a3"</f>
        <v>Slc17a3</v>
      </c>
      <c r="B19026" t="s">
        <v>14</v>
      </c>
      <c r="C19026" t="s">
        <v>39</v>
      </c>
      <c r="D19026" t="s">
        <v>17</v>
      </c>
      <c r="E19026" t="s">
        <v>12</v>
      </c>
      <c r="F19026">
        <v>23839445</v>
      </c>
      <c r="G19026">
        <v>23839470</v>
      </c>
      <c r="H19026">
        <v>23839401</v>
      </c>
      <c r="I19026">
        <v>23839442</v>
      </c>
    </row>
    <row r="19027" spans="1:9" x14ac:dyDescent="0.2">
      <c r="A19027" t="str">
        <f>"Slc17a4"</f>
        <v>Slc17a4</v>
      </c>
      <c r="B19027" t="s">
        <v>14</v>
      </c>
      <c r="C19027" t="s">
        <v>39</v>
      </c>
      <c r="D19027" t="s">
        <v>11</v>
      </c>
      <c r="E19027" t="s">
        <v>12</v>
      </c>
      <c r="F19027">
        <v>23914998</v>
      </c>
      <c r="G19027">
        <v>23915011</v>
      </c>
      <c r="H19027">
        <v>23914976</v>
      </c>
      <c r="I19027">
        <v>23914989</v>
      </c>
    </row>
    <row r="19028" spans="1:9" x14ac:dyDescent="0.2">
      <c r="A19028" t="str">
        <f>"Slc17a5"</f>
        <v>Slc17a5</v>
      </c>
      <c r="B19028" t="s">
        <v>14</v>
      </c>
      <c r="C19028" t="s">
        <v>24</v>
      </c>
      <c r="D19028" t="s">
        <v>11</v>
      </c>
      <c r="E19028" t="s">
        <v>12</v>
      </c>
      <c r="F19028">
        <v>78587968</v>
      </c>
      <c r="G19028">
        <v>78588047</v>
      </c>
      <c r="H19028">
        <v>78587968</v>
      </c>
      <c r="I19028">
        <v>78588047</v>
      </c>
    </row>
    <row r="19029" spans="1:9" x14ac:dyDescent="0.2">
      <c r="A19029" t="str">
        <f>"Slc17a6"</f>
        <v>Slc17a6</v>
      </c>
      <c r="B19029" t="s">
        <v>14</v>
      </c>
      <c r="C19029" t="s">
        <v>33</v>
      </c>
      <c r="D19029" t="s">
        <v>17</v>
      </c>
      <c r="E19029" t="s">
        <v>12</v>
      </c>
      <c r="F19029">
        <v>51622062</v>
      </c>
      <c r="G19029">
        <v>51622124</v>
      </c>
      <c r="H19029">
        <v>51622062</v>
      </c>
      <c r="I19029">
        <v>51622124</v>
      </c>
    </row>
    <row r="19030" spans="1:9" x14ac:dyDescent="0.2">
      <c r="A19030" t="str">
        <f>"Slc17a7"</f>
        <v>Slc17a7</v>
      </c>
      <c r="B19030" t="s">
        <v>14</v>
      </c>
      <c r="C19030" t="s">
        <v>33</v>
      </c>
      <c r="D19030" t="s">
        <v>17</v>
      </c>
      <c r="E19030" t="s">
        <v>12</v>
      </c>
      <c r="F19030">
        <v>45163939</v>
      </c>
      <c r="G19030">
        <v>45163955</v>
      </c>
      <c r="H19030">
        <v>45163915</v>
      </c>
      <c r="I19030">
        <v>45163926</v>
      </c>
    </row>
    <row r="19031" spans="1:9" x14ac:dyDescent="0.2">
      <c r="A19031" t="str">
        <f>"Slc17a8"</f>
        <v>Slc17a8</v>
      </c>
      <c r="B19031" t="s">
        <v>14</v>
      </c>
      <c r="C19031" t="s">
        <v>15</v>
      </c>
      <c r="D19031" t="s">
        <v>11</v>
      </c>
      <c r="E19031" t="s">
        <v>12</v>
      </c>
      <c r="F19031">
        <v>89621219</v>
      </c>
      <c r="G19031">
        <v>89621237</v>
      </c>
      <c r="H19031">
        <v>89621263</v>
      </c>
      <c r="I19031">
        <v>89621275</v>
      </c>
    </row>
    <row r="19032" spans="1:9" x14ac:dyDescent="0.2">
      <c r="A19032" t="str">
        <f>"Slc17a9"</f>
        <v>Slc17a9</v>
      </c>
      <c r="B19032" t="s">
        <v>14</v>
      </c>
      <c r="C19032" t="s">
        <v>26</v>
      </c>
      <c r="D19032" t="s">
        <v>17</v>
      </c>
      <c r="E19032" t="s">
        <v>12</v>
      </c>
      <c r="F19032">
        <v>180725330</v>
      </c>
      <c r="G19032">
        <v>180725383</v>
      </c>
      <c r="H19032">
        <v>180725314</v>
      </c>
      <c r="I19032">
        <v>180725325</v>
      </c>
    </row>
    <row r="19033" spans="1:9" x14ac:dyDescent="0.2">
      <c r="A19033" t="str">
        <f>"Slc18a1"</f>
        <v>Slc18a1</v>
      </c>
      <c r="B19033" t="s">
        <v>9</v>
      </c>
      <c r="C19033" t="s">
        <v>30</v>
      </c>
      <c r="D19033" t="s">
        <v>11</v>
      </c>
      <c r="E19033" t="s">
        <v>12</v>
      </c>
      <c r="F19033">
        <v>69089200</v>
      </c>
      <c r="G19033">
        <v>69089215</v>
      </c>
      <c r="H19033">
        <v>69089200</v>
      </c>
      <c r="I19033">
        <v>69089215</v>
      </c>
    </row>
    <row r="19034" spans="1:9" x14ac:dyDescent="0.2">
      <c r="A19034" t="str">
        <f>"Slc18a1"</f>
        <v>Slc18a1</v>
      </c>
      <c r="B19034" t="s">
        <v>13</v>
      </c>
      <c r="C19034" t="s">
        <v>30</v>
      </c>
      <c r="D19034" t="s">
        <v>11</v>
      </c>
      <c r="E19034" t="s">
        <v>12</v>
      </c>
      <c r="F19034">
        <v>69077221</v>
      </c>
      <c r="G19034">
        <v>69077243</v>
      </c>
      <c r="H19034">
        <v>69077221</v>
      </c>
      <c r="I19034">
        <v>69077243</v>
      </c>
    </row>
    <row r="19035" spans="1:9" x14ac:dyDescent="0.2">
      <c r="A19035" t="str">
        <f>"Slc18a2"</f>
        <v>Slc18a2</v>
      </c>
      <c r="B19035" t="s">
        <v>14</v>
      </c>
      <c r="C19035" t="s">
        <v>10</v>
      </c>
      <c r="D19035" t="s">
        <v>17</v>
      </c>
      <c r="E19035" t="s">
        <v>12</v>
      </c>
      <c r="F19035">
        <v>59260915</v>
      </c>
      <c r="G19035">
        <v>59260932</v>
      </c>
      <c r="H19035">
        <v>59260889</v>
      </c>
      <c r="I19035">
        <v>59260901</v>
      </c>
    </row>
    <row r="19036" spans="1:9" x14ac:dyDescent="0.2">
      <c r="A19036" t="str">
        <f>"Slc18b1"</f>
        <v>Slc18b1</v>
      </c>
      <c r="B19036" t="s">
        <v>14</v>
      </c>
      <c r="C19036" t="s">
        <v>15</v>
      </c>
      <c r="D19036" t="s">
        <v>17</v>
      </c>
      <c r="E19036" t="s">
        <v>67</v>
      </c>
      <c r="F19036">
        <v>23796946</v>
      </c>
      <c r="G19036">
        <v>23797051</v>
      </c>
      <c r="H19036">
        <v>23797052</v>
      </c>
      <c r="I19036">
        <v>23797070</v>
      </c>
    </row>
    <row r="19037" spans="1:9" x14ac:dyDescent="0.2">
      <c r="A19037" t="str">
        <f>"Slc19a1"</f>
        <v>Slc19a1</v>
      </c>
      <c r="B19037" t="s">
        <v>14</v>
      </c>
      <c r="C19037" t="s">
        <v>15</v>
      </c>
      <c r="D19037" t="s">
        <v>17</v>
      </c>
      <c r="E19037" t="s">
        <v>12</v>
      </c>
      <c r="F19037">
        <v>77033240</v>
      </c>
      <c r="G19037">
        <v>77033258</v>
      </c>
      <c r="H19037">
        <v>77032711</v>
      </c>
      <c r="I19037">
        <v>77032747</v>
      </c>
    </row>
    <row r="19038" spans="1:9" x14ac:dyDescent="0.2">
      <c r="A19038" t="str">
        <f>"Slc19a2"</f>
        <v>Slc19a2</v>
      </c>
      <c r="B19038" t="s">
        <v>14</v>
      </c>
      <c r="C19038" t="s">
        <v>19</v>
      </c>
      <c r="D19038" t="s">
        <v>17</v>
      </c>
      <c r="E19038" t="s">
        <v>12</v>
      </c>
      <c r="F19038">
        <v>164249052</v>
      </c>
      <c r="G19038">
        <v>164249096</v>
      </c>
      <c r="H19038">
        <v>164249233</v>
      </c>
      <c r="I19038">
        <v>164249286</v>
      </c>
    </row>
    <row r="19039" spans="1:9" x14ac:dyDescent="0.2">
      <c r="A19039" t="str">
        <f>"Slc19a3"</f>
        <v>Slc19a3</v>
      </c>
      <c r="B19039" t="s">
        <v>14</v>
      </c>
      <c r="C19039" t="s">
        <v>19</v>
      </c>
      <c r="D19039" t="s">
        <v>11</v>
      </c>
      <c r="E19039" t="s">
        <v>12</v>
      </c>
      <c r="F19039">
        <v>83038432</v>
      </c>
      <c r="G19039">
        <v>83038459</v>
      </c>
      <c r="H19039">
        <v>83038475</v>
      </c>
      <c r="I19039">
        <v>83038485</v>
      </c>
    </row>
    <row r="19040" spans="1:9" x14ac:dyDescent="0.2">
      <c r="A19040" t="str">
        <f>"Slc1a1"</f>
        <v>Slc1a1</v>
      </c>
      <c r="B19040" t="s">
        <v>14</v>
      </c>
      <c r="C19040" t="s">
        <v>10</v>
      </c>
      <c r="D19040" t="s">
        <v>17</v>
      </c>
      <c r="E19040" t="s">
        <v>12</v>
      </c>
      <c r="F19040">
        <v>28835124</v>
      </c>
      <c r="G19040">
        <v>28835142</v>
      </c>
      <c r="H19040">
        <v>28835101</v>
      </c>
      <c r="I19040">
        <v>28835116</v>
      </c>
    </row>
    <row r="19041" spans="1:9" x14ac:dyDescent="0.2">
      <c r="A19041" t="str">
        <f>"Slc1a2"</f>
        <v>Slc1a2</v>
      </c>
      <c r="B19041" t="s">
        <v>5752</v>
      </c>
      <c r="C19041" t="s">
        <v>26</v>
      </c>
      <c r="D19041" t="s">
        <v>17</v>
      </c>
      <c r="E19041" t="s">
        <v>20</v>
      </c>
      <c r="F19041">
        <v>102706437</v>
      </c>
      <c r="G19041">
        <v>102706437</v>
      </c>
      <c r="H19041">
        <v>102706437</v>
      </c>
      <c r="I19041">
        <v>102706437</v>
      </c>
    </row>
    <row r="19042" spans="1:9" x14ac:dyDescent="0.2">
      <c r="A19042" t="str">
        <f>"Slc1a3"</f>
        <v>Slc1a3</v>
      </c>
      <c r="B19042" t="s">
        <v>14</v>
      </c>
      <c r="C19042" t="s">
        <v>25</v>
      </c>
      <c r="D19042" t="s">
        <v>11</v>
      </c>
      <c r="E19042" t="s">
        <v>12</v>
      </c>
      <c r="F19042">
        <v>8710444</v>
      </c>
      <c r="G19042">
        <v>8710498</v>
      </c>
      <c r="H19042">
        <v>8710444</v>
      </c>
      <c r="I19042">
        <v>8710498</v>
      </c>
    </row>
    <row r="19043" spans="1:9" x14ac:dyDescent="0.2">
      <c r="A19043" t="str">
        <f>"Slc1a4"</f>
        <v>Slc1a4</v>
      </c>
      <c r="B19043" t="s">
        <v>14</v>
      </c>
      <c r="C19043" t="s">
        <v>27</v>
      </c>
      <c r="D19043" t="s">
        <v>11</v>
      </c>
      <c r="E19043" t="s">
        <v>12</v>
      </c>
      <c r="F19043">
        <v>20332689</v>
      </c>
      <c r="G19043">
        <v>20332774</v>
      </c>
      <c r="H19043">
        <v>20332654</v>
      </c>
      <c r="I19043">
        <v>20332688</v>
      </c>
    </row>
    <row r="19044" spans="1:9" x14ac:dyDescent="0.2">
      <c r="A19044" t="str">
        <f>"Slc1a5"</f>
        <v>Slc1a5</v>
      </c>
      <c r="B19044" t="s">
        <v>14</v>
      </c>
      <c r="C19044" t="s">
        <v>33</v>
      </c>
      <c r="D19044" t="s">
        <v>17</v>
      </c>
      <c r="E19044" t="s">
        <v>12</v>
      </c>
      <c r="F19044">
        <v>16781359</v>
      </c>
      <c r="G19044">
        <v>16781376</v>
      </c>
      <c r="H19044">
        <v>16781341</v>
      </c>
      <c r="I19044">
        <v>16781352</v>
      </c>
    </row>
    <row r="19045" spans="1:9" x14ac:dyDescent="0.2">
      <c r="A19045" t="str">
        <f>"Slc1a6"</f>
        <v>Slc1a6</v>
      </c>
      <c r="B19045" t="s">
        <v>14</v>
      </c>
      <c r="C19045" t="s">
        <v>15</v>
      </c>
      <c r="D19045" t="s">
        <v>17</v>
      </c>
      <c r="E19045" t="s">
        <v>12</v>
      </c>
      <c r="F19045">
        <v>78780470</v>
      </c>
      <c r="G19045">
        <v>78780541</v>
      </c>
      <c r="H19045">
        <v>78780348</v>
      </c>
      <c r="I19045">
        <v>78780392</v>
      </c>
    </row>
    <row r="19046" spans="1:9" x14ac:dyDescent="0.2">
      <c r="A19046" t="str">
        <f>"Slc1a7"</f>
        <v>Slc1a7</v>
      </c>
      <c r="B19046" t="s">
        <v>14</v>
      </c>
      <c r="C19046" t="s">
        <v>23</v>
      </c>
      <c r="D19046" t="s">
        <v>17</v>
      </c>
      <c r="E19046" t="s">
        <v>12</v>
      </c>
      <c r="F19046">
        <v>107968400</v>
      </c>
      <c r="G19046">
        <v>107968424</v>
      </c>
      <c r="H19046">
        <v>107968434</v>
      </c>
      <c r="I19046">
        <v>107968446</v>
      </c>
    </row>
    <row r="19047" spans="1:9" x14ac:dyDescent="0.2">
      <c r="A19047" t="str">
        <f>"Slc20a1"</f>
        <v>Slc20a1</v>
      </c>
      <c r="B19047" t="s">
        <v>14</v>
      </c>
      <c r="C19047" t="s">
        <v>26</v>
      </c>
      <c r="D19047" t="s">
        <v>17</v>
      </c>
      <c r="E19047" t="s">
        <v>12</v>
      </c>
      <c r="F19047">
        <v>129198793</v>
      </c>
      <c r="G19047">
        <v>129198811</v>
      </c>
      <c r="H19047">
        <v>129198757</v>
      </c>
      <c r="I19047">
        <v>129198769</v>
      </c>
    </row>
    <row r="19048" spans="1:9" x14ac:dyDescent="0.2">
      <c r="A19048" t="str">
        <f>"Slc20a2"</f>
        <v>Slc20a2</v>
      </c>
      <c r="B19048" t="s">
        <v>14</v>
      </c>
      <c r="C19048" t="s">
        <v>30</v>
      </c>
      <c r="D19048" t="s">
        <v>17</v>
      </c>
      <c r="E19048" t="s">
        <v>12</v>
      </c>
      <c r="F19048">
        <v>22476735</v>
      </c>
      <c r="G19048">
        <v>22476778</v>
      </c>
      <c r="H19048">
        <v>22476873</v>
      </c>
      <c r="I19048">
        <v>22476909</v>
      </c>
    </row>
    <row r="19049" spans="1:9" x14ac:dyDescent="0.2">
      <c r="A19049" t="str">
        <f>"Slc22a1"</f>
        <v>Slc22a1</v>
      </c>
      <c r="B19049" t="s">
        <v>14</v>
      </c>
      <c r="C19049" t="s">
        <v>28</v>
      </c>
      <c r="D19049" t="s">
        <v>11</v>
      </c>
      <c r="E19049" t="s">
        <v>12</v>
      </c>
      <c r="F19049">
        <v>12675698</v>
      </c>
      <c r="G19049">
        <v>12675714</v>
      </c>
      <c r="H19049">
        <v>12675742</v>
      </c>
      <c r="I19049">
        <v>12675775</v>
      </c>
    </row>
    <row r="19050" spans="1:9" x14ac:dyDescent="0.2">
      <c r="A19050" t="str">
        <f>"Slc22a12"</f>
        <v>Slc22a12</v>
      </c>
      <c r="B19050" t="s">
        <v>14</v>
      </c>
      <c r="C19050" t="s">
        <v>10</v>
      </c>
      <c r="D19050" t="s">
        <v>11</v>
      </c>
      <c r="E19050" t="s">
        <v>12</v>
      </c>
      <c r="F19050">
        <v>6543019</v>
      </c>
      <c r="G19050">
        <v>6543039</v>
      </c>
      <c r="H19050">
        <v>6542989</v>
      </c>
      <c r="I19050">
        <v>6543014</v>
      </c>
    </row>
    <row r="19051" spans="1:9" x14ac:dyDescent="0.2">
      <c r="A19051" t="str">
        <f>"Slc22a13"</f>
        <v>Slc22a13</v>
      </c>
      <c r="B19051" t="s">
        <v>14</v>
      </c>
      <c r="C19051" t="s">
        <v>24</v>
      </c>
      <c r="D19051" t="s">
        <v>11</v>
      </c>
      <c r="E19051" t="s">
        <v>12</v>
      </c>
      <c r="F19051">
        <v>119209096</v>
      </c>
      <c r="G19051">
        <v>119209109</v>
      </c>
      <c r="H19051">
        <v>119209096</v>
      </c>
      <c r="I19051">
        <v>119209109</v>
      </c>
    </row>
    <row r="19052" spans="1:9" x14ac:dyDescent="0.2">
      <c r="A19052" t="str">
        <f>"Slc22a14"</f>
        <v>Slc22a14</v>
      </c>
      <c r="B19052" t="s">
        <v>14</v>
      </c>
      <c r="C19052" t="s">
        <v>24</v>
      </c>
      <c r="D19052" t="s">
        <v>11</v>
      </c>
      <c r="E19052" t="s">
        <v>12</v>
      </c>
      <c r="F19052">
        <v>119190383</v>
      </c>
      <c r="G19052">
        <v>119190410</v>
      </c>
      <c r="H19052">
        <v>119190283</v>
      </c>
      <c r="I19052">
        <v>119190290</v>
      </c>
    </row>
    <row r="19053" spans="1:9" x14ac:dyDescent="0.2">
      <c r="A19053" t="str">
        <f>"Slc22a15"</f>
        <v>Slc22a15</v>
      </c>
      <c r="B19053" t="s">
        <v>14</v>
      </c>
      <c r="C19053" t="s">
        <v>22</v>
      </c>
      <c r="D19053" t="s">
        <v>11</v>
      </c>
      <c r="E19053" t="s">
        <v>12</v>
      </c>
      <c r="F19053">
        <v>101924468</v>
      </c>
      <c r="G19053">
        <v>101924492</v>
      </c>
      <c r="H19053">
        <v>101924420</v>
      </c>
      <c r="I19053">
        <v>101924454</v>
      </c>
    </row>
    <row r="19054" spans="1:9" x14ac:dyDescent="0.2">
      <c r="A19054" t="str">
        <f>"Slc22a16"</f>
        <v>Slc22a16</v>
      </c>
      <c r="B19054" t="s">
        <v>14</v>
      </c>
      <c r="C19054" t="s">
        <v>15</v>
      </c>
      <c r="D19054" t="s">
        <v>17</v>
      </c>
      <c r="E19054" t="s">
        <v>12</v>
      </c>
      <c r="F19054">
        <v>40570332</v>
      </c>
      <c r="G19054">
        <v>40570352</v>
      </c>
      <c r="H19054">
        <v>40570371</v>
      </c>
      <c r="I19054">
        <v>40570390</v>
      </c>
    </row>
    <row r="19055" spans="1:9" x14ac:dyDescent="0.2">
      <c r="A19055" t="str">
        <f>"Slc22a17"</f>
        <v>Slc22a17</v>
      </c>
      <c r="B19055" t="s">
        <v>14</v>
      </c>
      <c r="C19055" t="s">
        <v>41</v>
      </c>
      <c r="D19055" t="s">
        <v>11</v>
      </c>
      <c r="E19055" t="s">
        <v>12</v>
      </c>
      <c r="F19055">
        <v>54913089</v>
      </c>
      <c r="G19055">
        <v>54913128</v>
      </c>
      <c r="H19055">
        <v>54913064</v>
      </c>
      <c r="I19055">
        <v>54913084</v>
      </c>
    </row>
    <row r="19056" spans="1:9" x14ac:dyDescent="0.2">
      <c r="A19056" t="str">
        <f>"Slc22a18"</f>
        <v>Slc22a18</v>
      </c>
      <c r="B19056" t="s">
        <v>9</v>
      </c>
      <c r="C19056" t="s">
        <v>33</v>
      </c>
      <c r="D19056" t="s">
        <v>17</v>
      </c>
      <c r="E19056" t="s">
        <v>12</v>
      </c>
      <c r="F19056">
        <v>143473750</v>
      </c>
      <c r="G19056">
        <v>143473808</v>
      </c>
      <c r="H19056">
        <v>143473750</v>
      </c>
      <c r="I19056">
        <v>143473808</v>
      </c>
    </row>
    <row r="19057" spans="1:9" x14ac:dyDescent="0.2">
      <c r="A19057" t="str">
        <f>"Slc22a18"</f>
        <v>Slc22a18</v>
      </c>
      <c r="B19057" t="s">
        <v>13</v>
      </c>
      <c r="C19057" t="s">
        <v>33</v>
      </c>
      <c r="D19057" t="s">
        <v>17</v>
      </c>
      <c r="E19057" t="s">
        <v>12</v>
      </c>
      <c r="F19057">
        <v>143475120</v>
      </c>
      <c r="G19057">
        <v>143475162</v>
      </c>
      <c r="H19057">
        <v>143475120</v>
      </c>
      <c r="I19057">
        <v>143475162</v>
      </c>
    </row>
    <row r="19058" spans="1:9" x14ac:dyDescent="0.2">
      <c r="A19058" t="str">
        <f>"Slc22a19"</f>
        <v>Slc22a19</v>
      </c>
      <c r="B19058" t="s">
        <v>14</v>
      </c>
      <c r="C19058" t="s">
        <v>10</v>
      </c>
      <c r="D19058" t="s">
        <v>11</v>
      </c>
      <c r="E19058" t="s">
        <v>12</v>
      </c>
      <c r="F19058">
        <v>7711263</v>
      </c>
      <c r="G19058">
        <v>7711313</v>
      </c>
      <c r="H19058">
        <v>7711263</v>
      </c>
      <c r="I19058">
        <v>7711313</v>
      </c>
    </row>
    <row r="19059" spans="1:9" x14ac:dyDescent="0.2">
      <c r="A19059" t="str">
        <f>"Slc22a2"</f>
        <v>Slc22a2</v>
      </c>
      <c r="B19059" t="s">
        <v>14</v>
      </c>
      <c r="C19059" t="s">
        <v>28</v>
      </c>
      <c r="D19059" t="s">
        <v>17</v>
      </c>
      <c r="E19059" t="s">
        <v>12</v>
      </c>
      <c r="F19059">
        <v>12584215</v>
      </c>
      <c r="G19059">
        <v>12584236</v>
      </c>
      <c r="H19059">
        <v>12584183</v>
      </c>
      <c r="I19059">
        <v>12584195</v>
      </c>
    </row>
    <row r="19060" spans="1:9" x14ac:dyDescent="0.2">
      <c r="A19060" t="str">
        <f>"Slc22a20"</f>
        <v>Slc22a20</v>
      </c>
      <c r="B19060" t="s">
        <v>14</v>
      </c>
      <c r="C19060" t="s">
        <v>10</v>
      </c>
      <c r="D19060" t="s">
        <v>11</v>
      </c>
      <c r="E19060" t="s">
        <v>12</v>
      </c>
      <c r="F19060">
        <v>5986150</v>
      </c>
      <c r="G19060">
        <v>5986156</v>
      </c>
      <c r="H19060">
        <v>5986150</v>
      </c>
      <c r="I19060">
        <v>5986156</v>
      </c>
    </row>
    <row r="19061" spans="1:9" x14ac:dyDescent="0.2">
      <c r="A19061" t="str">
        <f>"Slc22a21"</f>
        <v>Slc22a21</v>
      </c>
      <c r="B19061" t="s">
        <v>14</v>
      </c>
      <c r="C19061" t="s">
        <v>27</v>
      </c>
      <c r="D19061" t="s">
        <v>11</v>
      </c>
      <c r="E19061" t="s">
        <v>12</v>
      </c>
      <c r="F19061">
        <v>53980296</v>
      </c>
      <c r="G19061">
        <v>53980350</v>
      </c>
      <c r="H19061">
        <v>53980354</v>
      </c>
      <c r="I19061">
        <v>53980384</v>
      </c>
    </row>
    <row r="19062" spans="1:9" x14ac:dyDescent="0.2">
      <c r="A19062" t="str">
        <f>"Slc22a22"</f>
        <v>Slc22a22</v>
      </c>
      <c r="B19062" t="s">
        <v>14</v>
      </c>
      <c r="C19062" t="s">
        <v>25</v>
      </c>
      <c r="D19062" t="s">
        <v>11</v>
      </c>
      <c r="E19062" t="s">
        <v>12</v>
      </c>
      <c r="F19062">
        <v>57265126</v>
      </c>
      <c r="G19062">
        <v>57265150</v>
      </c>
      <c r="H19062">
        <v>57265153</v>
      </c>
      <c r="I19062">
        <v>57265156</v>
      </c>
    </row>
    <row r="19063" spans="1:9" x14ac:dyDescent="0.2">
      <c r="A19063" t="str">
        <f>"Slc22a23"</f>
        <v>Slc22a23</v>
      </c>
      <c r="B19063" t="s">
        <v>14</v>
      </c>
      <c r="C19063" t="s">
        <v>39</v>
      </c>
      <c r="D19063" t="s">
        <v>11</v>
      </c>
      <c r="E19063" t="s">
        <v>12</v>
      </c>
      <c r="F19063">
        <v>34345174</v>
      </c>
      <c r="G19063">
        <v>34345273</v>
      </c>
      <c r="H19063">
        <v>34345309</v>
      </c>
      <c r="I19063">
        <v>34345347</v>
      </c>
    </row>
    <row r="19064" spans="1:9" x14ac:dyDescent="0.2">
      <c r="A19064" t="str">
        <f>"Slc22a26"</f>
        <v>Slc22a26</v>
      </c>
      <c r="B19064" t="s">
        <v>14</v>
      </c>
      <c r="C19064" t="s">
        <v>10</v>
      </c>
      <c r="D19064" t="s">
        <v>11</v>
      </c>
      <c r="E19064" t="s">
        <v>12</v>
      </c>
      <c r="F19064">
        <v>7802646</v>
      </c>
      <c r="G19064">
        <v>7802666</v>
      </c>
      <c r="H19064">
        <v>7802669</v>
      </c>
      <c r="I19064">
        <v>7802680</v>
      </c>
    </row>
    <row r="19065" spans="1:9" x14ac:dyDescent="0.2">
      <c r="A19065" t="str">
        <f>"Slc22a27"</f>
        <v>Slc22a27</v>
      </c>
      <c r="B19065" t="s">
        <v>14</v>
      </c>
      <c r="C19065" t="s">
        <v>10</v>
      </c>
      <c r="D19065" t="s">
        <v>11</v>
      </c>
      <c r="E19065" t="s">
        <v>12</v>
      </c>
      <c r="F19065">
        <v>7966009</v>
      </c>
      <c r="G19065">
        <v>7966037</v>
      </c>
      <c r="H19065">
        <v>7966009</v>
      </c>
      <c r="I19065">
        <v>7966037</v>
      </c>
    </row>
    <row r="19066" spans="1:9" x14ac:dyDescent="0.2">
      <c r="A19066" t="str">
        <f>"Slc22a28"</f>
        <v>Slc22a28</v>
      </c>
      <c r="B19066" t="s">
        <v>5753</v>
      </c>
      <c r="C19066" t="s">
        <v>10</v>
      </c>
      <c r="D19066" t="s">
        <v>11</v>
      </c>
      <c r="E19066" t="s">
        <v>20</v>
      </c>
      <c r="F19066">
        <v>8131981</v>
      </c>
      <c r="G19066">
        <v>8131981</v>
      </c>
      <c r="H19066">
        <v>8131981</v>
      </c>
      <c r="I19066">
        <v>8131981</v>
      </c>
    </row>
    <row r="19067" spans="1:9" x14ac:dyDescent="0.2">
      <c r="A19067" t="str">
        <f>"Slc22a29"</f>
        <v>Slc22a29</v>
      </c>
      <c r="B19067" t="s">
        <v>14</v>
      </c>
      <c r="C19067" t="s">
        <v>10</v>
      </c>
      <c r="D19067" t="s">
        <v>11</v>
      </c>
      <c r="E19067" t="s">
        <v>12</v>
      </c>
      <c r="F19067">
        <v>8218832</v>
      </c>
      <c r="G19067">
        <v>8218849</v>
      </c>
      <c r="H19067">
        <v>8218832</v>
      </c>
      <c r="I19067">
        <v>8218849</v>
      </c>
    </row>
    <row r="19068" spans="1:9" x14ac:dyDescent="0.2">
      <c r="A19068" t="str">
        <f>"Slc22a3"</f>
        <v>Slc22a3</v>
      </c>
      <c r="B19068" t="s">
        <v>14</v>
      </c>
      <c r="C19068" t="s">
        <v>28</v>
      </c>
      <c r="D19068" t="s">
        <v>11</v>
      </c>
      <c r="E19068" t="s">
        <v>12</v>
      </c>
      <c r="F19068">
        <v>12507361</v>
      </c>
      <c r="G19068">
        <v>12507379</v>
      </c>
      <c r="H19068">
        <v>12507361</v>
      </c>
      <c r="I19068">
        <v>12507379</v>
      </c>
    </row>
    <row r="19069" spans="1:9" x14ac:dyDescent="0.2">
      <c r="A19069" t="str">
        <f>"Slc22a30"</f>
        <v>Slc22a30</v>
      </c>
      <c r="B19069" t="s">
        <v>5754</v>
      </c>
      <c r="C19069" t="s">
        <v>10</v>
      </c>
      <c r="D19069" t="s">
        <v>11</v>
      </c>
      <c r="E19069" t="s">
        <v>20</v>
      </c>
      <c r="F19069">
        <v>8405110</v>
      </c>
      <c r="G19069">
        <v>8405110</v>
      </c>
      <c r="H19069">
        <v>8405110</v>
      </c>
      <c r="I19069">
        <v>8405110</v>
      </c>
    </row>
    <row r="19070" spans="1:9" x14ac:dyDescent="0.2">
      <c r="A19070" t="str">
        <f>"Slc22a4"</f>
        <v>Slc22a4</v>
      </c>
      <c r="B19070" t="s">
        <v>14</v>
      </c>
      <c r="C19070" t="s">
        <v>27</v>
      </c>
      <c r="D19070" t="s">
        <v>11</v>
      </c>
      <c r="E19070" t="s">
        <v>12</v>
      </c>
      <c r="F19070">
        <v>54028096</v>
      </c>
      <c r="G19070">
        <v>54028111</v>
      </c>
      <c r="H19070">
        <v>54028137</v>
      </c>
      <c r="I19070">
        <v>54028148</v>
      </c>
    </row>
    <row r="19071" spans="1:9" x14ac:dyDescent="0.2">
      <c r="A19071" t="str">
        <f>"Slc22a5"</f>
        <v>Slc22a5</v>
      </c>
      <c r="B19071" t="s">
        <v>14</v>
      </c>
      <c r="C19071" t="s">
        <v>27</v>
      </c>
      <c r="D19071" t="s">
        <v>11</v>
      </c>
      <c r="E19071" t="s">
        <v>12</v>
      </c>
      <c r="F19071">
        <v>53891638</v>
      </c>
      <c r="G19071">
        <v>53891656</v>
      </c>
      <c r="H19071">
        <v>53891668</v>
      </c>
      <c r="I19071">
        <v>53891708</v>
      </c>
    </row>
    <row r="19072" spans="1:9" x14ac:dyDescent="0.2">
      <c r="A19072" t="str">
        <f>"Slc22a6"</f>
        <v>Slc22a6</v>
      </c>
      <c r="B19072" t="s">
        <v>14</v>
      </c>
      <c r="C19072" t="s">
        <v>10</v>
      </c>
      <c r="D19072" t="s">
        <v>17</v>
      </c>
      <c r="E19072" t="s">
        <v>12</v>
      </c>
      <c r="F19072">
        <v>8618005</v>
      </c>
      <c r="G19072">
        <v>8618044</v>
      </c>
      <c r="H19072">
        <v>8618005</v>
      </c>
      <c r="I19072">
        <v>8618044</v>
      </c>
    </row>
    <row r="19073" spans="1:9" x14ac:dyDescent="0.2">
      <c r="A19073" t="str">
        <f>"Slc22a7"</f>
        <v>Slc22a7</v>
      </c>
      <c r="B19073" t="s">
        <v>14</v>
      </c>
      <c r="C19073" t="s">
        <v>28</v>
      </c>
      <c r="D19073" t="s">
        <v>11</v>
      </c>
      <c r="E19073" t="s">
        <v>12</v>
      </c>
      <c r="F19073">
        <v>46438445</v>
      </c>
      <c r="G19073">
        <v>46438470</v>
      </c>
      <c r="H19073">
        <v>46438415</v>
      </c>
      <c r="I19073">
        <v>46438424</v>
      </c>
    </row>
    <row r="19074" spans="1:9" x14ac:dyDescent="0.2">
      <c r="A19074" t="str">
        <f>"Slc22a8"</f>
        <v>Slc22a8</v>
      </c>
      <c r="B19074" t="s">
        <v>9</v>
      </c>
      <c r="C19074" t="s">
        <v>10</v>
      </c>
      <c r="D19074" t="s">
        <v>17</v>
      </c>
      <c r="E19074" t="s">
        <v>12</v>
      </c>
      <c r="F19074">
        <v>8593175</v>
      </c>
      <c r="G19074">
        <v>8593192</v>
      </c>
      <c r="H19074">
        <v>8593175</v>
      </c>
      <c r="I19074">
        <v>8593192</v>
      </c>
    </row>
    <row r="19075" spans="1:9" x14ac:dyDescent="0.2">
      <c r="A19075" t="str">
        <f>"Slc22a8"</f>
        <v>Slc22a8</v>
      </c>
      <c r="B19075" t="s">
        <v>13</v>
      </c>
      <c r="C19075" t="s">
        <v>10</v>
      </c>
      <c r="D19075" t="s">
        <v>17</v>
      </c>
      <c r="E19075" t="s">
        <v>12</v>
      </c>
      <c r="F19075">
        <v>8591277</v>
      </c>
      <c r="G19075">
        <v>8591300</v>
      </c>
      <c r="H19075">
        <v>8591277</v>
      </c>
      <c r="I19075">
        <v>8591300</v>
      </c>
    </row>
    <row r="19076" spans="1:9" x14ac:dyDescent="0.2">
      <c r="A19076" t="str">
        <f>"Slc23a1"</f>
        <v>Slc23a1</v>
      </c>
      <c r="B19076" t="s">
        <v>14</v>
      </c>
      <c r="C19076" t="s">
        <v>43</v>
      </c>
      <c r="D19076" t="s">
        <v>11</v>
      </c>
      <c r="E19076" t="s">
        <v>12</v>
      </c>
      <c r="F19076">
        <v>35627138</v>
      </c>
      <c r="G19076">
        <v>35627200</v>
      </c>
      <c r="H19076">
        <v>35627223</v>
      </c>
      <c r="I19076">
        <v>35627249</v>
      </c>
    </row>
    <row r="19077" spans="1:9" x14ac:dyDescent="0.2">
      <c r="A19077" t="str">
        <f>"Slc23a2"</f>
        <v>Slc23a2</v>
      </c>
      <c r="B19077" t="s">
        <v>14</v>
      </c>
      <c r="C19077" t="s">
        <v>26</v>
      </c>
      <c r="D19077" t="s">
        <v>11</v>
      </c>
      <c r="E19077" t="s">
        <v>12</v>
      </c>
      <c r="F19077">
        <v>132145057</v>
      </c>
      <c r="G19077">
        <v>132145118</v>
      </c>
      <c r="H19077">
        <v>132145057</v>
      </c>
      <c r="I19077">
        <v>132145118</v>
      </c>
    </row>
    <row r="19078" spans="1:9" x14ac:dyDescent="0.2">
      <c r="A19078" t="str">
        <f>"Slc23a3"</f>
        <v>Slc23a3</v>
      </c>
      <c r="B19078" t="s">
        <v>14</v>
      </c>
      <c r="C19078" t="s">
        <v>19</v>
      </c>
      <c r="D19078" t="s">
        <v>11</v>
      </c>
      <c r="E19078" t="s">
        <v>12</v>
      </c>
      <c r="F19078">
        <v>75133893</v>
      </c>
      <c r="G19078">
        <v>75133913</v>
      </c>
      <c r="H19078">
        <v>75133866</v>
      </c>
      <c r="I19078">
        <v>75133888</v>
      </c>
    </row>
    <row r="19079" spans="1:9" x14ac:dyDescent="0.2">
      <c r="A19079" t="str">
        <f>"Slc24a1"</f>
        <v>Slc24a1</v>
      </c>
      <c r="B19079" t="s">
        <v>14</v>
      </c>
      <c r="C19079" t="s">
        <v>24</v>
      </c>
      <c r="D19079" t="s">
        <v>11</v>
      </c>
      <c r="E19079" t="s">
        <v>12</v>
      </c>
      <c r="F19079">
        <v>64951599</v>
      </c>
      <c r="G19079">
        <v>64951635</v>
      </c>
      <c r="H19079">
        <v>64951571</v>
      </c>
      <c r="I19079">
        <v>64951588</v>
      </c>
    </row>
    <row r="19080" spans="1:9" x14ac:dyDescent="0.2">
      <c r="A19080" t="str">
        <f>"Slc24a2"</f>
        <v>Slc24a2</v>
      </c>
      <c r="B19080" t="s">
        <v>14</v>
      </c>
      <c r="C19080" t="s">
        <v>23</v>
      </c>
      <c r="D19080" t="s">
        <v>11</v>
      </c>
      <c r="E19080" t="s">
        <v>12</v>
      </c>
      <c r="F19080">
        <v>87230414</v>
      </c>
      <c r="G19080">
        <v>87230432</v>
      </c>
      <c r="H19080">
        <v>87230435</v>
      </c>
      <c r="I19080">
        <v>87230476</v>
      </c>
    </row>
    <row r="19081" spans="1:9" x14ac:dyDescent="0.2">
      <c r="A19081" t="str">
        <f>"Slc24a3"</f>
        <v>Slc24a3</v>
      </c>
      <c r="B19081" t="s">
        <v>14</v>
      </c>
      <c r="C19081" t="s">
        <v>26</v>
      </c>
      <c r="D19081" t="s">
        <v>17</v>
      </c>
      <c r="E19081" t="s">
        <v>12</v>
      </c>
      <c r="F19081">
        <v>145167846</v>
      </c>
      <c r="G19081">
        <v>145167900</v>
      </c>
      <c r="H19081">
        <v>145167904</v>
      </c>
      <c r="I19081">
        <v>145167982</v>
      </c>
    </row>
    <row r="19082" spans="1:9" x14ac:dyDescent="0.2">
      <c r="A19082" t="str">
        <f>"Slc24a4"</f>
        <v>Slc24a4</v>
      </c>
      <c r="B19082" t="s">
        <v>14</v>
      </c>
      <c r="C19082" t="s">
        <v>16</v>
      </c>
      <c r="D19082" t="s">
        <v>17</v>
      </c>
      <c r="E19082" t="s">
        <v>12</v>
      </c>
      <c r="F19082">
        <v>102128718</v>
      </c>
      <c r="G19082">
        <v>102128739</v>
      </c>
      <c r="H19082">
        <v>102128684</v>
      </c>
      <c r="I19082">
        <v>102128715</v>
      </c>
    </row>
    <row r="19083" spans="1:9" x14ac:dyDescent="0.2">
      <c r="A19083" t="str">
        <f>"Slc24a5"</f>
        <v>Slc24a5</v>
      </c>
      <c r="B19083" t="s">
        <v>14</v>
      </c>
      <c r="C19083" t="s">
        <v>26</v>
      </c>
      <c r="D19083" t="s">
        <v>17</v>
      </c>
      <c r="E19083" t="s">
        <v>12</v>
      </c>
      <c r="F19083">
        <v>125068148</v>
      </c>
      <c r="G19083">
        <v>125068163</v>
      </c>
      <c r="H19083">
        <v>125068118</v>
      </c>
      <c r="I19083">
        <v>125068133</v>
      </c>
    </row>
    <row r="19084" spans="1:9" x14ac:dyDescent="0.2">
      <c r="A19084" t="str">
        <f>"Slc25a1"</f>
        <v>Slc25a1</v>
      </c>
      <c r="B19084" t="s">
        <v>14</v>
      </c>
      <c r="C19084" t="s">
        <v>31</v>
      </c>
      <c r="D19084" t="s">
        <v>11</v>
      </c>
      <c r="E19084" t="s">
        <v>12</v>
      </c>
      <c r="F19084">
        <v>17928136</v>
      </c>
      <c r="G19084">
        <v>17928215</v>
      </c>
      <c r="H19084">
        <v>17927829</v>
      </c>
      <c r="I19084">
        <v>17927871</v>
      </c>
    </row>
    <row r="19085" spans="1:9" x14ac:dyDescent="0.2">
      <c r="A19085" t="str">
        <f>"Slc25a10"</f>
        <v>Slc25a10</v>
      </c>
      <c r="B19085" t="s">
        <v>14</v>
      </c>
      <c r="C19085" t="s">
        <v>27</v>
      </c>
      <c r="D19085" t="s">
        <v>17</v>
      </c>
      <c r="E19085" t="s">
        <v>12</v>
      </c>
      <c r="F19085">
        <v>120491895</v>
      </c>
      <c r="G19085">
        <v>120491921</v>
      </c>
      <c r="H19085">
        <v>120491866</v>
      </c>
      <c r="I19085">
        <v>120491889</v>
      </c>
    </row>
    <row r="19086" spans="1:9" x14ac:dyDescent="0.2">
      <c r="A19086" t="str">
        <f>"Slc25a11"</f>
        <v>Slc25a11</v>
      </c>
      <c r="B19086" t="s">
        <v>14</v>
      </c>
      <c r="C19086" t="s">
        <v>27</v>
      </c>
      <c r="D19086" t="s">
        <v>11</v>
      </c>
      <c r="E19086" t="s">
        <v>12</v>
      </c>
      <c r="F19086">
        <v>70646972</v>
      </c>
      <c r="G19086">
        <v>70647047</v>
      </c>
      <c r="H19086">
        <v>70646889</v>
      </c>
      <c r="I19086">
        <v>70646967</v>
      </c>
    </row>
    <row r="19087" spans="1:9" x14ac:dyDescent="0.2">
      <c r="A19087" t="str">
        <f>"Slc25a12"</f>
        <v>Slc25a12</v>
      </c>
      <c r="B19087" t="s">
        <v>14</v>
      </c>
      <c r="C19087" t="s">
        <v>26</v>
      </c>
      <c r="D19087" t="s">
        <v>11</v>
      </c>
      <c r="E19087" t="s">
        <v>12</v>
      </c>
      <c r="F19087">
        <v>71367537</v>
      </c>
      <c r="G19087">
        <v>71367561</v>
      </c>
      <c r="H19087">
        <v>71367566</v>
      </c>
      <c r="I19087">
        <v>71367577</v>
      </c>
    </row>
    <row r="19088" spans="1:9" x14ac:dyDescent="0.2">
      <c r="A19088" t="str">
        <f>"Slc25a13"</f>
        <v>Slc25a13</v>
      </c>
      <c r="B19088" t="s">
        <v>14</v>
      </c>
      <c r="C19088" t="s">
        <v>32</v>
      </c>
      <c r="D19088" t="s">
        <v>11</v>
      </c>
      <c r="E19088" t="s">
        <v>12</v>
      </c>
      <c r="F19088">
        <v>6217023</v>
      </c>
      <c r="G19088">
        <v>6217125</v>
      </c>
      <c r="H19088">
        <v>6217128</v>
      </c>
      <c r="I19088">
        <v>6217149</v>
      </c>
    </row>
    <row r="19089" spans="1:9" x14ac:dyDescent="0.2">
      <c r="A19089" t="str">
        <f>"Slc25a14"</f>
        <v>Slc25a14</v>
      </c>
      <c r="B19089" t="s">
        <v>14</v>
      </c>
      <c r="C19089" t="s">
        <v>37</v>
      </c>
      <c r="D19089" t="s">
        <v>17</v>
      </c>
      <c r="E19089" t="s">
        <v>12</v>
      </c>
      <c r="F19089">
        <v>48623737</v>
      </c>
      <c r="G19089">
        <v>48623790</v>
      </c>
      <c r="H19089">
        <v>48623800</v>
      </c>
      <c r="I19089">
        <v>48623811</v>
      </c>
    </row>
    <row r="19090" spans="1:9" x14ac:dyDescent="0.2">
      <c r="A19090" t="str">
        <f>"Slc25a15"</f>
        <v>Slc25a15</v>
      </c>
      <c r="B19090" t="s">
        <v>14</v>
      </c>
      <c r="C19090" t="s">
        <v>30</v>
      </c>
      <c r="D19090" t="s">
        <v>11</v>
      </c>
      <c r="E19090" t="s">
        <v>12</v>
      </c>
      <c r="F19090">
        <v>22398483</v>
      </c>
      <c r="G19090">
        <v>22398497</v>
      </c>
      <c r="H19090">
        <v>22398539</v>
      </c>
      <c r="I19090">
        <v>22398567</v>
      </c>
    </row>
    <row r="19091" spans="1:9" x14ac:dyDescent="0.2">
      <c r="A19091" t="str">
        <f>"Slc25a16"</f>
        <v>Slc25a16</v>
      </c>
      <c r="B19091" t="s">
        <v>14</v>
      </c>
      <c r="C19091" t="s">
        <v>15</v>
      </c>
      <c r="D19091" t="s">
        <v>17</v>
      </c>
      <c r="E19091" t="s">
        <v>12</v>
      </c>
      <c r="F19091">
        <v>62920648</v>
      </c>
      <c r="G19091">
        <v>62920682</v>
      </c>
      <c r="H19091">
        <v>62920630</v>
      </c>
      <c r="I19091">
        <v>62920646</v>
      </c>
    </row>
    <row r="19092" spans="1:9" x14ac:dyDescent="0.2">
      <c r="A19092" t="str">
        <f>"Slc25a17"</f>
        <v>Slc25a17</v>
      </c>
      <c r="B19092" t="s">
        <v>14</v>
      </c>
      <c r="C19092" t="s">
        <v>25</v>
      </c>
      <c r="D19092" t="s">
        <v>11</v>
      </c>
      <c r="E19092" t="s">
        <v>12</v>
      </c>
      <c r="F19092">
        <v>81360739</v>
      </c>
      <c r="G19092">
        <v>81360816</v>
      </c>
      <c r="H19092">
        <v>81360831</v>
      </c>
      <c r="I19092">
        <v>81360853</v>
      </c>
    </row>
    <row r="19093" spans="1:9" x14ac:dyDescent="0.2">
      <c r="A19093" t="str">
        <f>"Slc25a18"</f>
        <v>Slc25a18</v>
      </c>
      <c r="B19093" t="s">
        <v>14</v>
      </c>
      <c r="C19093" t="s">
        <v>32</v>
      </c>
      <c r="D19093" t="s">
        <v>17</v>
      </c>
      <c r="E19093" t="s">
        <v>12</v>
      </c>
      <c r="F19093">
        <v>120773549</v>
      </c>
      <c r="G19093">
        <v>120773579</v>
      </c>
      <c r="H19093">
        <v>120773549</v>
      </c>
      <c r="I19093">
        <v>120773579</v>
      </c>
    </row>
    <row r="19094" spans="1:9" x14ac:dyDescent="0.2">
      <c r="A19094" t="str">
        <f>"Slc25a19"</f>
        <v>Slc25a19</v>
      </c>
      <c r="B19094" t="s">
        <v>14</v>
      </c>
      <c r="C19094" t="s">
        <v>27</v>
      </c>
      <c r="D19094" t="s">
        <v>11</v>
      </c>
      <c r="E19094" t="s">
        <v>12</v>
      </c>
      <c r="F19094">
        <v>115628093</v>
      </c>
      <c r="G19094">
        <v>115628122</v>
      </c>
      <c r="H19094">
        <v>115628125</v>
      </c>
      <c r="I19094">
        <v>115628164</v>
      </c>
    </row>
    <row r="19095" spans="1:9" x14ac:dyDescent="0.2">
      <c r="A19095" t="str">
        <f>"Slc25a2"</f>
        <v>Slc25a2</v>
      </c>
      <c r="B19095" t="s">
        <v>14</v>
      </c>
      <c r="C19095" t="s">
        <v>43</v>
      </c>
      <c r="D19095" t="s">
        <v>11</v>
      </c>
      <c r="E19095" t="s">
        <v>12</v>
      </c>
      <c r="F19095">
        <v>37638719</v>
      </c>
      <c r="G19095">
        <v>37638737</v>
      </c>
      <c r="H19095">
        <v>37638743</v>
      </c>
      <c r="I19095">
        <v>37638752</v>
      </c>
    </row>
    <row r="19096" spans="1:9" x14ac:dyDescent="0.2">
      <c r="A19096" t="str">
        <f>"Slc25a20"</f>
        <v>Slc25a20</v>
      </c>
      <c r="B19096" t="s">
        <v>14</v>
      </c>
      <c r="C19096" t="s">
        <v>24</v>
      </c>
      <c r="D19096" t="s">
        <v>17</v>
      </c>
      <c r="E19096" t="s">
        <v>12</v>
      </c>
      <c r="F19096">
        <v>108662099</v>
      </c>
      <c r="G19096">
        <v>108662219</v>
      </c>
      <c r="H19096">
        <v>108662084</v>
      </c>
      <c r="I19096">
        <v>108662093</v>
      </c>
    </row>
    <row r="19097" spans="1:9" x14ac:dyDescent="0.2">
      <c r="A19097" t="str">
        <f>"Slc25a21"</f>
        <v>Slc25a21</v>
      </c>
      <c r="B19097" t="s">
        <v>14</v>
      </c>
      <c r="C19097" t="s">
        <v>16</v>
      </c>
      <c r="D19097" t="s">
        <v>11</v>
      </c>
      <c r="E19097" t="s">
        <v>12</v>
      </c>
      <c r="F19097">
        <v>57197195</v>
      </c>
      <c r="G19097">
        <v>57197260</v>
      </c>
      <c r="H19097">
        <v>57197195</v>
      </c>
      <c r="I19097">
        <v>57197260</v>
      </c>
    </row>
    <row r="19098" spans="1:9" x14ac:dyDescent="0.2">
      <c r="A19098" t="str">
        <f>"Slc25a22"</f>
        <v>Slc25a22</v>
      </c>
      <c r="B19098" t="s">
        <v>14</v>
      </c>
      <c r="C19098" t="s">
        <v>33</v>
      </c>
      <c r="D19098" t="s">
        <v>11</v>
      </c>
      <c r="E19098" t="s">
        <v>12</v>
      </c>
      <c r="F19098">
        <v>141437587</v>
      </c>
      <c r="G19098">
        <v>141437650</v>
      </c>
      <c r="H19098">
        <v>141437587</v>
      </c>
      <c r="I19098">
        <v>141437650</v>
      </c>
    </row>
    <row r="19099" spans="1:9" x14ac:dyDescent="0.2">
      <c r="A19099" t="str">
        <f>"Slc25a23"</f>
        <v>Slc25a23</v>
      </c>
      <c r="B19099" t="s">
        <v>14</v>
      </c>
      <c r="C19099" t="s">
        <v>28</v>
      </c>
      <c r="D19099" t="s">
        <v>11</v>
      </c>
      <c r="E19099" t="s">
        <v>12</v>
      </c>
      <c r="F19099">
        <v>57059795</v>
      </c>
      <c r="G19099">
        <v>57059857</v>
      </c>
      <c r="H19099">
        <v>57059603</v>
      </c>
      <c r="I19099">
        <v>57059644</v>
      </c>
    </row>
    <row r="19100" spans="1:9" x14ac:dyDescent="0.2">
      <c r="A19100" t="str">
        <f>"Slc25a24"</f>
        <v>Slc25a24</v>
      </c>
      <c r="B19100" t="s">
        <v>14</v>
      </c>
      <c r="C19100" t="s">
        <v>22</v>
      </c>
      <c r="D19100" t="s">
        <v>17</v>
      </c>
      <c r="E19100" t="s">
        <v>12</v>
      </c>
      <c r="F19100">
        <v>109123104</v>
      </c>
      <c r="G19100">
        <v>109123167</v>
      </c>
      <c r="H19100">
        <v>109123176</v>
      </c>
      <c r="I19100">
        <v>109123196</v>
      </c>
    </row>
    <row r="19101" spans="1:9" x14ac:dyDescent="0.2">
      <c r="A19101" t="str">
        <f>"Slc25a25"</f>
        <v>Slc25a25</v>
      </c>
      <c r="B19101" t="s">
        <v>9</v>
      </c>
      <c r="C19101" t="s">
        <v>26</v>
      </c>
      <c r="D19101" t="s">
        <v>11</v>
      </c>
      <c r="E19101" t="s">
        <v>12</v>
      </c>
      <c r="F19101">
        <v>32451396</v>
      </c>
      <c r="G19101">
        <v>32451470</v>
      </c>
      <c r="H19101">
        <v>32451396</v>
      </c>
      <c r="I19101">
        <v>32451470</v>
      </c>
    </row>
    <row r="19102" spans="1:9" x14ac:dyDescent="0.2">
      <c r="A19102" t="str">
        <f>"Slc25a25"</f>
        <v>Slc25a25</v>
      </c>
      <c r="B19102" t="s">
        <v>13</v>
      </c>
      <c r="C19102" t="s">
        <v>26</v>
      </c>
      <c r="D19102" t="s">
        <v>11</v>
      </c>
      <c r="E19102" t="s">
        <v>12</v>
      </c>
      <c r="F19102">
        <v>32424007</v>
      </c>
      <c r="G19102">
        <v>32424029</v>
      </c>
      <c r="H19102">
        <v>32424007</v>
      </c>
      <c r="I19102">
        <v>32424029</v>
      </c>
    </row>
    <row r="19103" spans="1:9" x14ac:dyDescent="0.2">
      <c r="A19103" t="str">
        <f>"Slc25a26"</f>
        <v>Slc25a26</v>
      </c>
      <c r="B19103" t="s">
        <v>14</v>
      </c>
      <c r="C19103" t="s">
        <v>32</v>
      </c>
      <c r="D19103" t="s">
        <v>17</v>
      </c>
      <c r="E19103" t="s">
        <v>12</v>
      </c>
      <c r="F19103">
        <v>94500313</v>
      </c>
      <c r="G19103">
        <v>94500353</v>
      </c>
      <c r="H19103">
        <v>94500357</v>
      </c>
      <c r="I19103">
        <v>94500371</v>
      </c>
    </row>
    <row r="19104" spans="1:9" x14ac:dyDescent="0.2">
      <c r="A19104" t="str">
        <f>"Slc25a27"</f>
        <v>Slc25a27</v>
      </c>
      <c r="B19104" t="s">
        <v>14</v>
      </c>
      <c r="C19104" t="s">
        <v>28</v>
      </c>
      <c r="D19104" t="s">
        <v>11</v>
      </c>
      <c r="E19104" t="s">
        <v>12</v>
      </c>
      <c r="F19104">
        <v>43667165</v>
      </c>
      <c r="G19104">
        <v>43667198</v>
      </c>
      <c r="H19104">
        <v>43667139</v>
      </c>
      <c r="I19104">
        <v>43667163</v>
      </c>
    </row>
    <row r="19105" spans="1:9" x14ac:dyDescent="0.2">
      <c r="A19105" t="str">
        <f>"Slc25a28"</f>
        <v>Slc25a28</v>
      </c>
      <c r="B19105" t="s">
        <v>14</v>
      </c>
      <c r="C19105" t="s">
        <v>10</v>
      </c>
      <c r="D19105" t="s">
        <v>11</v>
      </c>
      <c r="E19105" t="s">
        <v>12</v>
      </c>
      <c r="F19105">
        <v>43674844</v>
      </c>
      <c r="G19105">
        <v>43674909</v>
      </c>
      <c r="H19105">
        <v>43674812</v>
      </c>
      <c r="I19105">
        <v>43674821</v>
      </c>
    </row>
    <row r="19106" spans="1:9" x14ac:dyDescent="0.2">
      <c r="A19106" t="str">
        <f>"Slc25a29"</f>
        <v>Slc25a29</v>
      </c>
      <c r="B19106" t="s">
        <v>14</v>
      </c>
      <c r="C19106" t="s">
        <v>16</v>
      </c>
      <c r="D19106" t="s">
        <v>11</v>
      </c>
      <c r="E19106" t="s">
        <v>12</v>
      </c>
      <c r="F19106">
        <v>108835845</v>
      </c>
      <c r="G19106">
        <v>108835893</v>
      </c>
      <c r="H19106">
        <v>108835809</v>
      </c>
      <c r="I19106">
        <v>108835832</v>
      </c>
    </row>
    <row r="19107" spans="1:9" x14ac:dyDescent="0.2">
      <c r="A19107" t="str">
        <f>"Slc25a3"</f>
        <v>Slc25a3</v>
      </c>
      <c r="B19107" t="s">
        <v>14</v>
      </c>
      <c r="C19107" t="s">
        <v>15</v>
      </c>
      <c r="D19107" t="s">
        <v>11</v>
      </c>
      <c r="E19107" t="s">
        <v>12</v>
      </c>
      <c r="F19107">
        <v>91123955</v>
      </c>
      <c r="G19107">
        <v>91124044</v>
      </c>
      <c r="H19107">
        <v>91123955</v>
      </c>
      <c r="I19107">
        <v>91124044</v>
      </c>
    </row>
    <row r="19108" spans="1:9" x14ac:dyDescent="0.2">
      <c r="A19108" t="str">
        <f>"Slc25a30"</f>
        <v>Slc25a30</v>
      </c>
      <c r="B19108" t="s">
        <v>14</v>
      </c>
      <c r="C19108" t="s">
        <v>41</v>
      </c>
      <c r="D19108" t="s">
        <v>11</v>
      </c>
      <c r="E19108" t="s">
        <v>12</v>
      </c>
      <c r="F19108">
        <v>75786991</v>
      </c>
      <c r="G19108">
        <v>75787011</v>
      </c>
      <c r="H19108">
        <v>75786966</v>
      </c>
      <c r="I19108">
        <v>75786980</v>
      </c>
    </row>
    <row r="19109" spans="1:9" x14ac:dyDescent="0.2">
      <c r="A19109" t="str">
        <f>"Slc25a31"</f>
        <v>Slc25a31</v>
      </c>
      <c r="B19109" t="s">
        <v>14</v>
      </c>
      <c r="C19109" t="s">
        <v>22</v>
      </c>
      <c r="D19109" t="s">
        <v>17</v>
      </c>
      <c r="E19109" t="s">
        <v>12</v>
      </c>
      <c r="F19109">
        <v>40708859</v>
      </c>
      <c r="G19109">
        <v>40708906</v>
      </c>
      <c r="H19109">
        <v>40708916</v>
      </c>
      <c r="I19109">
        <v>40708937</v>
      </c>
    </row>
    <row r="19110" spans="1:9" x14ac:dyDescent="0.2">
      <c r="A19110" t="str">
        <f>"Slc25a32"</f>
        <v>Slc25a32</v>
      </c>
      <c r="B19110" t="s">
        <v>14</v>
      </c>
      <c r="C19110" t="s">
        <v>25</v>
      </c>
      <c r="D19110" t="s">
        <v>11</v>
      </c>
      <c r="E19110" t="s">
        <v>12</v>
      </c>
      <c r="F19110">
        <v>39112642</v>
      </c>
      <c r="G19110">
        <v>39112699</v>
      </c>
      <c r="H19110">
        <v>39112700</v>
      </c>
      <c r="I19110">
        <v>39112734</v>
      </c>
    </row>
    <row r="19111" spans="1:9" x14ac:dyDescent="0.2">
      <c r="A19111" t="str">
        <f>"Slc25a33"</f>
        <v>Slc25a33</v>
      </c>
      <c r="B19111" t="s">
        <v>14</v>
      </c>
      <c r="C19111" t="s">
        <v>23</v>
      </c>
      <c r="D19111" t="s">
        <v>11</v>
      </c>
      <c r="E19111" t="s">
        <v>12</v>
      </c>
      <c r="F19111">
        <v>149774211</v>
      </c>
      <c r="G19111">
        <v>149774234</v>
      </c>
      <c r="H19111">
        <v>149774238</v>
      </c>
      <c r="I19111">
        <v>149774279</v>
      </c>
    </row>
    <row r="19112" spans="1:9" x14ac:dyDescent="0.2">
      <c r="A19112" t="str">
        <f>"Slc25a34"</f>
        <v>Slc25a34</v>
      </c>
      <c r="B19112" t="s">
        <v>14</v>
      </c>
      <c r="C19112" t="s">
        <v>23</v>
      </c>
      <c r="D19112" t="s">
        <v>11</v>
      </c>
      <c r="E19112" t="s">
        <v>12</v>
      </c>
      <c r="F19112">
        <v>141623799</v>
      </c>
      <c r="G19112">
        <v>141623840</v>
      </c>
      <c r="H19112">
        <v>141623799</v>
      </c>
      <c r="I19112">
        <v>141623840</v>
      </c>
    </row>
    <row r="19113" spans="1:9" x14ac:dyDescent="0.2">
      <c r="A19113" t="str">
        <f>"Slc25a35"</f>
        <v>Slc25a35</v>
      </c>
      <c r="B19113" t="s">
        <v>14</v>
      </c>
      <c r="C19113" t="s">
        <v>27</v>
      </c>
      <c r="D19113" t="s">
        <v>17</v>
      </c>
      <c r="E19113" t="s">
        <v>12</v>
      </c>
      <c r="F19113">
        <v>68968107</v>
      </c>
      <c r="G19113">
        <v>68968175</v>
      </c>
      <c r="H19113">
        <v>68968179</v>
      </c>
      <c r="I19113">
        <v>68968186</v>
      </c>
    </row>
    <row r="19114" spans="1:9" x14ac:dyDescent="0.2">
      <c r="A19114" t="str">
        <f>"Slc25a36"</f>
        <v>Slc25a36</v>
      </c>
      <c r="B19114" t="s">
        <v>14</v>
      </c>
      <c r="C19114" t="s">
        <v>24</v>
      </c>
      <c r="D19114" t="s">
        <v>11</v>
      </c>
      <c r="E19114" t="s">
        <v>12</v>
      </c>
      <c r="F19114">
        <v>97111117</v>
      </c>
      <c r="G19114">
        <v>97111159</v>
      </c>
      <c r="H19114">
        <v>97111027</v>
      </c>
      <c r="I19114">
        <v>97111067</v>
      </c>
    </row>
    <row r="19115" spans="1:9" x14ac:dyDescent="0.2">
      <c r="A19115" t="str">
        <f>"Slc25a37"</f>
        <v>Slc25a37</v>
      </c>
      <c r="B19115" t="s">
        <v>5755</v>
      </c>
      <c r="C19115" t="s">
        <v>41</v>
      </c>
      <c r="D19115" t="s">
        <v>11</v>
      </c>
      <c r="E19115" t="s">
        <v>20</v>
      </c>
      <c r="F19115">
        <v>69285111</v>
      </c>
      <c r="G19115">
        <v>69285111</v>
      </c>
      <c r="H19115">
        <v>69285111</v>
      </c>
      <c r="I19115">
        <v>69285111</v>
      </c>
    </row>
    <row r="19116" spans="1:9" x14ac:dyDescent="0.2">
      <c r="A19116" t="str">
        <f>"Slc25a38"</f>
        <v>Slc25a38</v>
      </c>
      <c r="B19116" t="s">
        <v>9</v>
      </c>
      <c r="C19116" t="s">
        <v>24</v>
      </c>
      <c r="D19116" t="s">
        <v>17</v>
      </c>
      <c r="E19116" t="s">
        <v>12</v>
      </c>
      <c r="F19116">
        <v>120110349</v>
      </c>
      <c r="G19116">
        <v>120110418</v>
      </c>
      <c r="H19116">
        <v>120110349</v>
      </c>
      <c r="I19116">
        <v>120110418</v>
      </c>
    </row>
    <row r="19117" spans="1:9" x14ac:dyDescent="0.2">
      <c r="A19117" t="str">
        <f>"Slc25a38"</f>
        <v>Slc25a38</v>
      </c>
      <c r="B19117" t="s">
        <v>13</v>
      </c>
      <c r="C19117" t="s">
        <v>24</v>
      </c>
      <c r="D19117" t="s">
        <v>17</v>
      </c>
      <c r="E19117" t="s">
        <v>12</v>
      </c>
      <c r="F19117">
        <v>120114897</v>
      </c>
      <c r="G19117">
        <v>120114956</v>
      </c>
      <c r="H19117">
        <v>120114897</v>
      </c>
      <c r="I19117">
        <v>120114956</v>
      </c>
    </row>
    <row r="19118" spans="1:9" x14ac:dyDescent="0.2">
      <c r="A19118" t="str">
        <f>"Slc25a39"</f>
        <v>Slc25a39</v>
      </c>
      <c r="B19118" t="s">
        <v>14</v>
      </c>
      <c r="C19118" t="s">
        <v>27</v>
      </c>
      <c r="D19118" t="s">
        <v>11</v>
      </c>
      <c r="E19118" t="s">
        <v>12</v>
      </c>
      <c r="F19118">
        <v>102407455</v>
      </c>
      <c r="G19118">
        <v>102407528</v>
      </c>
      <c r="H19118">
        <v>102407437</v>
      </c>
      <c r="I19118">
        <v>102407448</v>
      </c>
    </row>
    <row r="19119" spans="1:9" x14ac:dyDescent="0.2">
      <c r="A19119" t="str">
        <f>"Slc25a4"</f>
        <v>Slc25a4</v>
      </c>
      <c r="B19119" t="s">
        <v>14</v>
      </c>
      <c r="C19119" t="s">
        <v>30</v>
      </c>
      <c r="D19119" t="s">
        <v>11</v>
      </c>
      <c r="E19119" t="s">
        <v>12</v>
      </c>
      <c r="F19119">
        <v>46211020</v>
      </c>
      <c r="G19119">
        <v>46211036</v>
      </c>
      <c r="H19119">
        <v>46211284</v>
      </c>
      <c r="I19119">
        <v>46211289</v>
      </c>
    </row>
    <row r="19120" spans="1:9" x14ac:dyDescent="0.2">
      <c r="A19120" t="str">
        <f>"Slc25a40"</f>
        <v>Slc25a40</v>
      </c>
      <c r="B19120" t="s">
        <v>14</v>
      </c>
      <c r="C19120" t="s">
        <v>46</v>
      </c>
      <c r="D19120" t="s">
        <v>17</v>
      </c>
      <c r="E19120" t="s">
        <v>12</v>
      </c>
      <c r="F19120">
        <v>8422831</v>
      </c>
      <c r="G19120">
        <v>8422906</v>
      </c>
      <c r="H19120">
        <v>8422908</v>
      </c>
      <c r="I19120">
        <v>8422925</v>
      </c>
    </row>
    <row r="19121" spans="1:9" x14ac:dyDescent="0.2">
      <c r="A19121" t="str">
        <f>"Slc25a41"</f>
        <v>Slc25a41</v>
      </c>
      <c r="B19121" t="s">
        <v>14</v>
      </c>
      <c r="C19121" t="s">
        <v>28</v>
      </c>
      <c r="D19121" t="s">
        <v>11</v>
      </c>
      <c r="E19121" t="s">
        <v>12</v>
      </c>
      <c r="F19121">
        <v>57041659</v>
      </c>
      <c r="G19121">
        <v>57041662</v>
      </c>
      <c r="H19121">
        <v>57041693</v>
      </c>
      <c r="I19121">
        <v>57041697</v>
      </c>
    </row>
    <row r="19122" spans="1:9" x14ac:dyDescent="0.2">
      <c r="A19122" t="str">
        <f>"Slc25a42"</f>
        <v>Slc25a42</v>
      </c>
      <c r="B19122" t="s">
        <v>14</v>
      </c>
      <c r="C19122" t="s">
        <v>30</v>
      </c>
      <c r="D19122" t="s">
        <v>11</v>
      </c>
      <c r="E19122" t="s">
        <v>12</v>
      </c>
      <c r="F19122">
        <v>70212268</v>
      </c>
      <c r="G19122">
        <v>70212300</v>
      </c>
      <c r="H19122">
        <v>70212251</v>
      </c>
      <c r="I19122">
        <v>70212265</v>
      </c>
    </row>
    <row r="19123" spans="1:9" x14ac:dyDescent="0.2">
      <c r="A19123" t="str">
        <f>"Slc25a43"</f>
        <v>Slc25a43</v>
      </c>
      <c r="B19123" t="s">
        <v>14</v>
      </c>
      <c r="C19123" t="s">
        <v>37</v>
      </c>
      <c r="D19123" t="s">
        <v>17</v>
      </c>
      <c r="E19123" t="s">
        <v>12</v>
      </c>
      <c r="F19123">
        <v>36743660</v>
      </c>
      <c r="G19123">
        <v>36743700</v>
      </c>
      <c r="H19123">
        <v>36743702</v>
      </c>
      <c r="I19123">
        <v>36743721</v>
      </c>
    </row>
    <row r="19124" spans="1:9" x14ac:dyDescent="0.2">
      <c r="A19124" t="str">
        <f>"Slc25a44"</f>
        <v>Slc25a44</v>
      </c>
      <c r="B19124" t="s">
        <v>14</v>
      </c>
      <c r="C19124" t="s">
        <v>22</v>
      </c>
      <c r="D19124" t="s">
        <v>11</v>
      </c>
      <c r="E19124" t="s">
        <v>12</v>
      </c>
      <c r="F19124">
        <v>88425094</v>
      </c>
      <c r="G19124">
        <v>88425139</v>
      </c>
      <c r="H19124">
        <v>88424797</v>
      </c>
      <c r="I19124">
        <v>88424815</v>
      </c>
    </row>
    <row r="19125" spans="1:9" x14ac:dyDescent="0.2">
      <c r="A19125" t="str">
        <f>"Slc25a45"</f>
        <v>Slc25a45</v>
      </c>
      <c r="B19125" t="s">
        <v>14</v>
      </c>
      <c r="C19125" t="s">
        <v>10</v>
      </c>
      <c r="D19125" t="s">
        <v>17</v>
      </c>
      <c r="E19125" t="s">
        <v>12</v>
      </c>
      <c r="F19125">
        <v>5878590</v>
      </c>
      <c r="G19125">
        <v>5878611</v>
      </c>
      <c r="H19125">
        <v>5878622</v>
      </c>
      <c r="I19125">
        <v>5878644</v>
      </c>
    </row>
    <row r="19126" spans="1:9" x14ac:dyDescent="0.2">
      <c r="A19126" t="str">
        <f>"Slc25a46"</f>
        <v>Slc25a46</v>
      </c>
      <c r="B19126" t="s">
        <v>14</v>
      </c>
      <c r="C19126" t="s">
        <v>43</v>
      </c>
      <c r="D19126" t="s">
        <v>11</v>
      </c>
      <c r="E19126" t="s">
        <v>12</v>
      </c>
      <c r="F19126">
        <v>31609893</v>
      </c>
      <c r="G19126">
        <v>31609927</v>
      </c>
      <c r="H19126">
        <v>31610516</v>
      </c>
      <c r="I19126">
        <v>31610546</v>
      </c>
    </row>
    <row r="19127" spans="1:9" x14ac:dyDescent="0.2">
      <c r="A19127" t="str">
        <f>"Slc25a47"</f>
        <v>Slc25a47</v>
      </c>
      <c r="B19127" t="s">
        <v>14</v>
      </c>
      <c r="C19127" t="s">
        <v>16</v>
      </c>
      <c r="D19127" t="s">
        <v>17</v>
      </c>
      <c r="E19127" t="s">
        <v>12</v>
      </c>
      <c r="F19127">
        <v>108851122</v>
      </c>
      <c r="G19127">
        <v>108851129</v>
      </c>
      <c r="H19127">
        <v>108851076</v>
      </c>
      <c r="I19127">
        <v>108851092</v>
      </c>
    </row>
    <row r="19128" spans="1:9" x14ac:dyDescent="0.2">
      <c r="A19128" t="str">
        <f>"Slc25a48"</f>
        <v>Slc25a48</v>
      </c>
      <c r="B19128" t="s">
        <v>14</v>
      </c>
      <c r="C19128" t="s">
        <v>39</v>
      </c>
      <c r="D19128" t="s">
        <v>17</v>
      </c>
      <c r="E19128" t="s">
        <v>12</v>
      </c>
      <c r="F19128">
        <v>56438343</v>
      </c>
      <c r="G19128">
        <v>56438369</v>
      </c>
      <c r="H19128">
        <v>56438302</v>
      </c>
      <c r="I19128">
        <v>56438324</v>
      </c>
    </row>
    <row r="19129" spans="1:9" x14ac:dyDescent="0.2">
      <c r="A19129" t="str">
        <f>"Slc25a5"</f>
        <v>Slc25a5</v>
      </c>
      <c r="B19129" t="s">
        <v>14</v>
      </c>
      <c r="C19129" t="s">
        <v>37</v>
      </c>
      <c r="D19129" t="s">
        <v>17</v>
      </c>
      <c r="E19129" t="s">
        <v>12</v>
      </c>
      <c r="F19129">
        <v>36795642</v>
      </c>
      <c r="G19129">
        <v>36795653</v>
      </c>
      <c r="H19129">
        <v>36795621</v>
      </c>
      <c r="I19129">
        <v>36795640</v>
      </c>
    </row>
    <row r="19130" spans="1:9" x14ac:dyDescent="0.2">
      <c r="A19130" t="str">
        <f>"Slc25a51"</f>
        <v>Slc25a51</v>
      </c>
      <c r="B19130" t="s">
        <v>14</v>
      </c>
      <c r="C19130" t="s">
        <v>23</v>
      </c>
      <c r="D19130" t="s">
        <v>11</v>
      </c>
      <c r="E19130" t="s">
        <v>67</v>
      </c>
      <c r="F19130">
        <v>45408721</v>
      </c>
      <c r="G19130">
        <v>45408768</v>
      </c>
      <c r="H19130">
        <v>45408878</v>
      </c>
      <c r="I19130">
        <v>45408907</v>
      </c>
    </row>
    <row r="19131" spans="1:9" x14ac:dyDescent="0.2">
      <c r="A19131" t="str">
        <f>"Slc25a53"</f>
        <v>Slc25a53</v>
      </c>
      <c r="B19131" t="s">
        <v>5756</v>
      </c>
      <c r="C19131" t="s">
        <v>37</v>
      </c>
      <c r="D19131" t="s">
        <v>11</v>
      </c>
      <c r="E19131" t="s">
        <v>35</v>
      </c>
      <c r="F19131">
        <v>136993098</v>
      </c>
      <c r="G19131">
        <v>136993125</v>
      </c>
      <c r="H19131">
        <v>136993027</v>
      </c>
      <c r="I19131">
        <v>136993058</v>
      </c>
    </row>
    <row r="19132" spans="1:9" x14ac:dyDescent="0.2">
      <c r="A19132" t="str">
        <f>"Slc25a54"</f>
        <v>Slc25a54</v>
      </c>
      <c r="B19132" t="s">
        <v>14</v>
      </c>
      <c r="C19132" t="s">
        <v>22</v>
      </c>
      <c r="D19132" t="s">
        <v>17</v>
      </c>
      <c r="E19132" t="s">
        <v>67</v>
      </c>
      <c r="F19132">
        <v>109080463</v>
      </c>
      <c r="G19132">
        <v>109080487</v>
      </c>
      <c r="H19132">
        <v>109080445</v>
      </c>
      <c r="I19132">
        <v>109080451</v>
      </c>
    </row>
    <row r="19133" spans="1:9" x14ac:dyDescent="0.2">
      <c r="A19133" t="str">
        <f>"Slc26a1"</f>
        <v>Slc26a1</v>
      </c>
      <c r="B19133" t="s">
        <v>14</v>
      </c>
      <c r="C19133" t="s">
        <v>46</v>
      </c>
      <c r="D19133" t="s">
        <v>11</v>
      </c>
      <c r="E19133" t="s">
        <v>12</v>
      </c>
      <c r="F19133">
        <v>108675316</v>
      </c>
      <c r="G19133">
        <v>108675383</v>
      </c>
      <c r="H19133">
        <v>108674787</v>
      </c>
      <c r="I19133">
        <v>108674802</v>
      </c>
    </row>
    <row r="19134" spans="1:9" x14ac:dyDescent="0.2">
      <c r="A19134" t="str">
        <f>"Slc26a10"</f>
        <v>Slc26a10</v>
      </c>
      <c r="B19134" t="s">
        <v>14</v>
      </c>
      <c r="C19134" t="s">
        <v>15</v>
      </c>
      <c r="D19134" t="s">
        <v>11</v>
      </c>
      <c r="E19134" t="s">
        <v>12</v>
      </c>
      <c r="F19134">
        <v>127180579</v>
      </c>
      <c r="G19134">
        <v>127180583</v>
      </c>
      <c r="H19134">
        <v>127180685</v>
      </c>
      <c r="I19134">
        <v>127180724</v>
      </c>
    </row>
    <row r="19135" spans="1:9" x14ac:dyDescent="0.2">
      <c r="A19135" t="str">
        <f>"Slc26a11"</f>
        <v>Slc26a11</v>
      </c>
      <c r="B19135" t="s">
        <v>14</v>
      </c>
      <c r="C19135" t="s">
        <v>27</v>
      </c>
      <c r="D19135" t="s">
        <v>17</v>
      </c>
      <c r="E19135" t="s">
        <v>12</v>
      </c>
      <c r="F19135">
        <v>119355551</v>
      </c>
      <c r="G19135">
        <v>119355612</v>
      </c>
      <c r="H19135">
        <v>119355551</v>
      </c>
      <c r="I19135">
        <v>119355612</v>
      </c>
    </row>
    <row r="19136" spans="1:9" x14ac:dyDescent="0.2">
      <c r="A19136" t="str">
        <f>"Slc26a2"</f>
        <v>Slc26a2</v>
      </c>
      <c r="B19136" t="s">
        <v>14</v>
      </c>
      <c r="C19136" t="s">
        <v>43</v>
      </c>
      <c r="D19136" t="s">
        <v>11</v>
      </c>
      <c r="E19136" t="s">
        <v>12</v>
      </c>
      <c r="F19136">
        <v>61211478</v>
      </c>
      <c r="G19136">
        <v>61211494</v>
      </c>
      <c r="H19136">
        <v>61211572</v>
      </c>
      <c r="I19136">
        <v>61211607</v>
      </c>
    </row>
    <row r="19137" spans="1:9" x14ac:dyDescent="0.2">
      <c r="A19137" t="str">
        <f>"Slc26a3"</f>
        <v>Slc26a3</v>
      </c>
      <c r="B19137" t="s">
        <v>14</v>
      </c>
      <c r="C19137" t="s">
        <v>16</v>
      </c>
      <c r="D19137" t="s">
        <v>17</v>
      </c>
      <c r="E19137" t="s">
        <v>12</v>
      </c>
      <c r="F19137">
        <v>31438209</v>
      </c>
      <c r="G19137">
        <v>31438227</v>
      </c>
      <c r="H19137">
        <v>31438209</v>
      </c>
      <c r="I19137">
        <v>31438227</v>
      </c>
    </row>
    <row r="19138" spans="1:9" x14ac:dyDescent="0.2">
      <c r="A19138" t="str">
        <f>"Slc26a4"</f>
        <v>Slc26a4</v>
      </c>
      <c r="B19138" t="s">
        <v>14</v>
      </c>
      <c r="C19138" t="s">
        <v>16</v>
      </c>
      <c r="D19138" t="s">
        <v>11</v>
      </c>
      <c r="E19138" t="s">
        <v>12</v>
      </c>
      <c r="F19138">
        <v>31559983</v>
      </c>
      <c r="G19138">
        <v>31559984</v>
      </c>
      <c r="H19138">
        <v>31560019</v>
      </c>
      <c r="I19138">
        <v>31560021</v>
      </c>
    </row>
    <row r="19139" spans="1:9" x14ac:dyDescent="0.2">
      <c r="A19139" t="str">
        <f>"Slc26a5"</f>
        <v>Slc26a5</v>
      </c>
      <c r="B19139" t="s">
        <v>14</v>
      </c>
      <c r="C19139" t="s">
        <v>46</v>
      </c>
      <c r="D19139" t="s">
        <v>11</v>
      </c>
      <c r="E19139" t="s">
        <v>12</v>
      </c>
      <c r="F19139">
        <v>21865581</v>
      </c>
      <c r="G19139">
        <v>21865598</v>
      </c>
      <c r="H19139">
        <v>21865606</v>
      </c>
      <c r="I19139">
        <v>21865617</v>
      </c>
    </row>
    <row r="19140" spans="1:9" x14ac:dyDescent="0.2">
      <c r="A19140" t="str">
        <f>"Slc26a6"</f>
        <v>Slc26a6</v>
      </c>
      <c r="B19140" t="s">
        <v>14</v>
      </c>
      <c r="C19140" t="s">
        <v>24</v>
      </c>
      <c r="D19140" t="s">
        <v>17</v>
      </c>
      <c r="E19140" t="s">
        <v>12</v>
      </c>
      <c r="F19140">
        <v>108854024</v>
      </c>
      <c r="G19140">
        <v>108854065</v>
      </c>
      <c r="H19140">
        <v>108854069</v>
      </c>
      <c r="I19140">
        <v>108854084</v>
      </c>
    </row>
    <row r="19141" spans="1:9" x14ac:dyDescent="0.2">
      <c r="A19141" t="str">
        <f>"Slc26a7"</f>
        <v>Slc26a7</v>
      </c>
      <c r="B19141" t="s">
        <v>14</v>
      </c>
      <c r="C19141" t="s">
        <v>23</v>
      </c>
      <c r="D19141" t="s">
        <v>11</v>
      </c>
      <c r="E19141" t="s">
        <v>12</v>
      </c>
      <c r="F19141">
        <v>14621770</v>
      </c>
      <c r="G19141">
        <v>14621786</v>
      </c>
      <c r="H19141">
        <v>14621494</v>
      </c>
      <c r="I19141">
        <v>14621506</v>
      </c>
    </row>
    <row r="19142" spans="1:9" x14ac:dyDescent="0.2">
      <c r="A19142" t="str">
        <f>"Slc26a8"</f>
        <v>Slc26a8</v>
      </c>
      <c r="B19142" t="s">
        <v>14</v>
      </c>
      <c r="C19142" t="s">
        <v>28</v>
      </c>
      <c r="D19142" t="s">
        <v>11</v>
      </c>
      <c r="E19142" t="s">
        <v>12</v>
      </c>
      <c r="F19142">
        <v>28689783</v>
      </c>
      <c r="G19142">
        <v>28689831</v>
      </c>
      <c r="H19142">
        <v>28689783</v>
      </c>
      <c r="I19142">
        <v>28689831</v>
      </c>
    </row>
    <row r="19143" spans="1:9" x14ac:dyDescent="0.2">
      <c r="A19143" t="str">
        <f>"Slc26a9"</f>
        <v>Slc26a9</v>
      </c>
      <c r="B19143" t="s">
        <v>9</v>
      </c>
      <c r="C19143" t="s">
        <v>19</v>
      </c>
      <c r="D19143" t="s">
        <v>17</v>
      </c>
      <c r="E19143" t="s">
        <v>12</v>
      </c>
      <c r="F19143">
        <v>131744011</v>
      </c>
      <c r="G19143">
        <v>131744029</v>
      </c>
      <c r="H19143">
        <v>131744011</v>
      </c>
      <c r="I19143">
        <v>131744029</v>
      </c>
    </row>
    <row r="19144" spans="1:9" x14ac:dyDescent="0.2">
      <c r="A19144" t="str">
        <f>"Slc26a9"</f>
        <v>Slc26a9</v>
      </c>
      <c r="B19144" t="s">
        <v>13</v>
      </c>
      <c r="C19144" t="s">
        <v>19</v>
      </c>
      <c r="D19144" t="s">
        <v>17</v>
      </c>
      <c r="E19144" t="s">
        <v>12</v>
      </c>
      <c r="F19144">
        <v>131750506</v>
      </c>
      <c r="G19144">
        <v>131750519</v>
      </c>
      <c r="H19144">
        <v>131750506</v>
      </c>
      <c r="I19144">
        <v>131750519</v>
      </c>
    </row>
    <row r="19145" spans="1:9" x14ac:dyDescent="0.2">
      <c r="A19145" t="str">
        <f>"Slc27a1"</f>
        <v>Slc27a1</v>
      </c>
      <c r="B19145" t="s">
        <v>9</v>
      </c>
      <c r="C19145" t="s">
        <v>30</v>
      </c>
      <c r="D19145" t="s">
        <v>17</v>
      </c>
      <c r="E19145" t="s">
        <v>12</v>
      </c>
      <c r="F19145">
        <v>71568866</v>
      </c>
      <c r="G19145">
        <v>71568931</v>
      </c>
      <c r="H19145">
        <v>71568866</v>
      </c>
      <c r="I19145">
        <v>71568931</v>
      </c>
    </row>
    <row r="19146" spans="1:9" x14ac:dyDescent="0.2">
      <c r="A19146" t="str">
        <f>"Slc27a1"</f>
        <v>Slc27a1</v>
      </c>
      <c r="B19146" t="s">
        <v>13</v>
      </c>
      <c r="C19146" t="s">
        <v>30</v>
      </c>
      <c r="D19146" t="s">
        <v>17</v>
      </c>
      <c r="E19146" t="s">
        <v>12</v>
      </c>
      <c r="F19146">
        <v>71570667</v>
      </c>
      <c r="G19146">
        <v>71570725</v>
      </c>
      <c r="H19146">
        <v>71570667</v>
      </c>
      <c r="I19146">
        <v>71570725</v>
      </c>
    </row>
    <row r="19147" spans="1:9" x14ac:dyDescent="0.2">
      <c r="A19147" t="str">
        <f>"Slc27a2"</f>
        <v>Slc27a2</v>
      </c>
      <c r="B19147" t="s">
        <v>14</v>
      </c>
      <c r="C19147" t="s">
        <v>26</v>
      </c>
      <c r="D19147" t="s">
        <v>17</v>
      </c>
      <c r="E19147" t="s">
        <v>12</v>
      </c>
      <c r="F19147">
        <v>126553015</v>
      </c>
      <c r="G19147">
        <v>126553033</v>
      </c>
      <c r="H19147">
        <v>126553015</v>
      </c>
      <c r="I19147">
        <v>126553033</v>
      </c>
    </row>
    <row r="19148" spans="1:9" x14ac:dyDescent="0.2">
      <c r="A19148" t="str">
        <f>"Slc27a3"</f>
        <v>Slc27a3</v>
      </c>
      <c r="B19148" t="s">
        <v>14</v>
      </c>
      <c r="C19148" t="s">
        <v>22</v>
      </c>
      <c r="D19148" t="s">
        <v>11</v>
      </c>
      <c r="E19148" t="s">
        <v>12</v>
      </c>
      <c r="F19148">
        <v>90389936</v>
      </c>
      <c r="G19148">
        <v>90389958</v>
      </c>
      <c r="H19148">
        <v>90389884</v>
      </c>
      <c r="I19148">
        <v>90389924</v>
      </c>
    </row>
    <row r="19149" spans="1:9" x14ac:dyDescent="0.2">
      <c r="A19149" t="str">
        <f>"Slc27a4"</f>
        <v>Slc27a4</v>
      </c>
      <c r="B19149" t="s">
        <v>14</v>
      </c>
      <c r="C19149" t="s">
        <v>26</v>
      </c>
      <c r="D19149" t="s">
        <v>17</v>
      </c>
      <c r="E19149" t="s">
        <v>12</v>
      </c>
      <c r="F19149">
        <v>29802697</v>
      </c>
      <c r="G19149">
        <v>29802720</v>
      </c>
      <c r="H19149">
        <v>29802655</v>
      </c>
      <c r="I19149">
        <v>29802693</v>
      </c>
    </row>
    <row r="19150" spans="1:9" x14ac:dyDescent="0.2">
      <c r="A19150" t="str">
        <f>"Slc27a5"</f>
        <v>Slc27a5</v>
      </c>
      <c r="B19150" t="s">
        <v>14</v>
      </c>
      <c r="C19150" t="s">
        <v>33</v>
      </c>
      <c r="D19150" t="s">
        <v>11</v>
      </c>
      <c r="E19150" t="s">
        <v>12</v>
      </c>
      <c r="F19150">
        <v>12998140</v>
      </c>
      <c r="G19150">
        <v>12998171</v>
      </c>
      <c r="H19150">
        <v>12998172</v>
      </c>
      <c r="I19150">
        <v>12998210</v>
      </c>
    </row>
    <row r="19151" spans="1:9" x14ac:dyDescent="0.2">
      <c r="A19151" t="str">
        <f>"Slc27a6"</f>
        <v>Slc27a6</v>
      </c>
      <c r="B19151" t="s">
        <v>14</v>
      </c>
      <c r="C19151" t="s">
        <v>43</v>
      </c>
      <c r="D19151" t="s">
        <v>17</v>
      </c>
      <c r="E19151" t="s">
        <v>12</v>
      </c>
      <c r="F19151">
        <v>58555958</v>
      </c>
      <c r="G19151">
        <v>58556009</v>
      </c>
      <c r="H19151">
        <v>58556224</v>
      </c>
      <c r="I19151">
        <v>58556246</v>
      </c>
    </row>
    <row r="19152" spans="1:9" x14ac:dyDescent="0.2">
      <c r="A19152" t="str">
        <f>"Slc28a1"</f>
        <v>Slc28a1</v>
      </c>
      <c r="B19152" t="s">
        <v>14</v>
      </c>
      <c r="C19152" t="s">
        <v>33</v>
      </c>
      <c r="D19152" t="s">
        <v>17</v>
      </c>
      <c r="E19152" t="s">
        <v>12</v>
      </c>
      <c r="F19152">
        <v>81114816</v>
      </c>
      <c r="G19152">
        <v>81114847</v>
      </c>
      <c r="H19152">
        <v>81114799</v>
      </c>
      <c r="I19152">
        <v>81114808</v>
      </c>
    </row>
    <row r="19153" spans="1:9" x14ac:dyDescent="0.2">
      <c r="A19153" t="str">
        <f>"Slc28a2"</f>
        <v>Slc28a2</v>
      </c>
      <c r="B19153" t="s">
        <v>14</v>
      </c>
      <c r="C19153" t="s">
        <v>26</v>
      </c>
      <c r="D19153" t="s">
        <v>17</v>
      </c>
      <c r="E19153" t="s">
        <v>12</v>
      </c>
      <c r="F19153">
        <v>122426432</v>
      </c>
      <c r="G19153">
        <v>122426461</v>
      </c>
      <c r="H19153">
        <v>122426432</v>
      </c>
      <c r="I19153">
        <v>122426461</v>
      </c>
    </row>
    <row r="19154" spans="1:9" x14ac:dyDescent="0.2">
      <c r="A19154" t="str">
        <f>"Slc28a3"</f>
        <v>Slc28a3</v>
      </c>
      <c r="B19154" t="s">
        <v>14</v>
      </c>
      <c r="C19154" t="s">
        <v>39</v>
      </c>
      <c r="D19154" t="s">
        <v>11</v>
      </c>
      <c r="E19154" t="s">
        <v>12</v>
      </c>
      <c r="F19154">
        <v>58610879</v>
      </c>
      <c r="G19154">
        <v>58610905</v>
      </c>
      <c r="H19154">
        <v>58610788</v>
      </c>
      <c r="I19154">
        <v>58610838</v>
      </c>
    </row>
    <row r="19155" spans="1:9" x14ac:dyDescent="0.2">
      <c r="A19155" t="str">
        <f>"Slc29a1"</f>
        <v>Slc29a1</v>
      </c>
      <c r="B19155" t="s">
        <v>9</v>
      </c>
      <c r="C19155" t="s">
        <v>28</v>
      </c>
      <c r="D19155" t="s">
        <v>11</v>
      </c>
      <c r="E19155" t="s">
        <v>12</v>
      </c>
      <c r="F19155">
        <v>45595503</v>
      </c>
      <c r="G19155">
        <v>45595575</v>
      </c>
      <c r="H19155">
        <v>45595503</v>
      </c>
      <c r="I19155">
        <v>45595575</v>
      </c>
    </row>
    <row r="19156" spans="1:9" x14ac:dyDescent="0.2">
      <c r="A19156" t="str">
        <f>"Slc29a1"</f>
        <v>Slc29a1</v>
      </c>
      <c r="B19156" t="s">
        <v>13</v>
      </c>
      <c r="C19156" t="s">
        <v>28</v>
      </c>
      <c r="D19156" t="s">
        <v>11</v>
      </c>
      <c r="E19156" t="s">
        <v>12</v>
      </c>
      <c r="F19156">
        <v>45593626</v>
      </c>
      <c r="G19156">
        <v>45593656</v>
      </c>
      <c r="H19156">
        <v>45593626</v>
      </c>
      <c r="I19156">
        <v>45593656</v>
      </c>
    </row>
    <row r="19157" spans="1:9" x14ac:dyDescent="0.2">
      <c r="A19157" t="str">
        <f>"Slc29a2"</f>
        <v>Slc29a2</v>
      </c>
      <c r="B19157" t="s">
        <v>14</v>
      </c>
      <c r="C19157" t="s">
        <v>10</v>
      </c>
      <c r="D19157" t="s">
        <v>17</v>
      </c>
      <c r="E19157" t="s">
        <v>12</v>
      </c>
      <c r="F19157">
        <v>5024042</v>
      </c>
      <c r="G19157">
        <v>5024155</v>
      </c>
      <c r="H19157">
        <v>5024162</v>
      </c>
      <c r="I19157">
        <v>5024182</v>
      </c>
    </row>
    <row r="19158" spans="1:9" x14ac:dyDescent="0.2">
      <c r="A19158" t="str">
        <f>"Slc29a3"</f>
        <v>Slc29a3</v>
      </c>
      <c r="B19158" t="s">
        <v>9</v>
      </c>
      <c r="C19158" t="s">
        <v>15</v>
      </c>
      <c r="D19158" t="s">
        <v>11</v>
      </c>
      <c r="E19158" t="s">
        <v>12</v>
      </c>
      <c r="F19158">
        <v>60752773</v>
      </c>
      <c r="G19158">
        <v>60752820</v>
      </c>
      <c r="H19158">
        <v>60752773</v>
      </c>
      <c r="I19158">
        <v>60752820</v>
      </c>
    </row>
    <row r="19159" spans="1:9" x14ac:dyDescent="0.2">
      <c r="A19159" t="str">
        <f>"Slc29a3"</f>
        <v>Slc29a3</v>
      </c>
      <c r="B19159" t="s">
        <v>13</v>
      </c>
      <c r="C19159" t="s">
        <v>15</v>
      </c>
      <c r="D19159" t="s">
        <v>11</v>
      </c>
      <c r="E19159" t="s">
        <v>12</v>
      </c>
      <c r="F19159">
        <v>60724335</v>
      </c>
      <c r="G19159">
        <v>60724357</v>
      </c>
      <c r="H19159">
        <v>60724335</v>
      </c>
      <c r="I19159">
        <v>60724357</v>
      </c>
    </row>
    <row r="19160" spans="1:9" x14ac:dyDescent="0.2">
      <c r="A19160" t="str">
        <f>"Slc29a4"</f>
        <v>Slc29a4</v>
      </c>
      <c r="B19160" t="s">
        <v>14</v>
      </c>
      <c r="C19160" t="s">
        <v>46</v>
      </c>
      <c r="D19160" t="s">
        <v>17</v>
      </c>
      <c r="E19160" t="s">
        <v>12</v>
      </c>
      <c r="F19160">
        <v>142702091</v>
      </c>
      <c r="G19160">
        <v>142702153</v>
      </c>
      <c r="H19160">
        <v>142702046</v>
      </c>
      <c r="I19160">
        <v>142702047</v>
      </c>
    </row>
    <row r="19161" spans="1:9" x14ac:dyDescent="0.2">
      <c r="A19161" t="str">
        <f>"Slc2a1"</f>
        <v>Slc2a1</v>
      </c>
      <c r="B19161" t="s">
        <v>14</v>
      </c>
      <c r="C19161" t="s">
        <v>23</v>
      </c>
      <c r="D19161" t="s">
        <v>17</v>
      </c>
      <c r="E19161" t="s">
        <v>12</v>
      </c>
      <c r="F19161">
        <v>119108795</v>
      </c>
      <c r="G19161">
        <v>119108812</v>
      </c>
      <c r="H19161">
        <v>119108736</v>
      </c>
      <c r="I19161">
        <v>119108758</v>
      </c>
    </row>
    <row r="19162" spans="1:9" x14ac:dyDescent="0.2">
      <c r="A19162" t="str">
        <f>"Slc2a10"</f>
        <v>Slc2a10</v>
      </c>
      <c r="B19162" t="s">
        <v>14</v>
      </c>
      <c r="C19162" t="s">
        <v>26</v>
      </c>
      <c r="D19162" t="s">
        <v>17</v>
      </c>
      <c r="E19162" t="s">
        <v>12</v>
      </c>
      <c r="F19162">
        <v>165503894</v>
      </c>
      <c r="G19162">
        <v>165503913</v>
      </c>
      <c r="H19162">
        <v>165503894</v>
      </c>
      <c r="I19162">
        <v>165503913</v>
      </c>
    </row>
    <row r="19163" spans="1:9" x14ac:dyDescent="0.2">
      <c r="A19163" t="str">
        <f>"Slc2a12"</f>
        <v>Slc2a12</v>
      </c>
      <c r="B19163" t="s">
        <v>14</v>
      </c>
      <c r="C19163" t="s">
        <v>15</v>
      </c>
      <c r="D19163" t="s">
        <v>17</v>
      </c>
      <c r="E19163" t="s">
        <v>12</v>
      </c>
      <c r="F19163">
        <v>22645087</v>
      </c>
      <c r="G19163">
        <v>22645109</v>
      </c>
      <c r="H19163">
        <v>22645121</v>
      </c>
      <c r="I19163">
        <v>22645137</v>
      </c>
    </row>
    <row r="19164" spans="1:9" x14ac:dyDescent="0.2">
      <c r="A19164" t="str">
        <f>"Slc2a13"</f>
        <v>Slc2a13</v>
      </c>
      <c r="B19164" t="s">
        <v>14</v>
      </c>
      <c r="C19164" t="s">
        <v>25</v>
      </c>
      <c r="D19164" t="s">
        <v>11</v>
      </c>
      <c r="E19164" t="s">
        <v>12</v>
      </c>
      <c r="F19164">
        <v>91573181</v>
      </c>
      <c r="G19164">
        <v>91573245</v>
      </c>
      <c r="H19164">
        <v>91573248</v>
      </c>
      <c r="I19164">
        <v>91573268</v>
      </c>
    </row>
    <row r="19165" spans="1:9" x14ac:dyDescent="0.2">
      <c r="A19165" t="str">
        <f>"Slc2a2"</f>
        <v>Slc2a2</v>
      </c>
      <c r="B19165" t="s">
        <v>14</v>
      </c>
      <c r="C19165" t="s">
        <v>22</v>
      </c>
      <c r="D19165" t="s">
        <v>17</v>
      </c>
      <c r="E19165" t="s">
        <v>12</v>
      </c>
      <c r="F19165">
        <v>28697946</v>
      </c>
      <c r="G19165">
        <v>28697980</v>
      </c>
      <c r="H19165">
        <v>28697946</v>
      </c>
      <c r="I19165">
        <v>28697980</v>
      </c>
    </row>
    <row r="19166" spans="1:9" x14ac:dyDescent="0.2">
      <c r="A19166" t="str">
        <f>"Slc2a3"</f>
        <v>Slc2a3</v>
      </c>
      <c r="B19166" t="s">
        <v>14</v>
      </c>
      <c r="C19166" t="s">
        <v>32</v>
      </c>
      <c r="D19166" t="s">
        <v>11</v>
      </c>
      <c r="E19166" t="s">
        <v>12</v>
      </c>
      <c r="F19166">
        <v>122742509</v>
      </c>
      <c r="G19166">
        <v>122742527</v>
      </c>
      <c r="H19166">
        <v>122742509</v>
      </c>
      <c r="I19166">
        <v>122742527</v>
      </c>
    </row>
    <row r="19167" spans="1:9" x14ac:dyDescent="0.2">
      <c r="A19167" t="str">
        <f>"Slc2a4"</f>
        <v>Slc2a4</v>
      </c>
      <c r="B19167" t="s">
        <v>14</v>
      </c>
      <c r="C19167" t="s">
        <v>27</v>
      </c>
      <c r="D19167" t="s">
        <v>11</v>
      </c>
      <c r="E19167" t="s">
        <v>12</v>
      </c>
      <c r="F19167">
        <v>69948153</v>
      </c>
      <c r="G19167">
        <v>69948206</v>
      </c>
      <c r="H19167">
        <v>69948525</v>
      </c>
      <c r="I19167">
        <v>69948548</v>
      </c>
    </row>
    <row r="19168" spans="1:9" x14ac:dyDescent="0.2">
      <c r="A19168" t="str">
        <f>"Slc2a5"</f>
        <v>Slc2a5</v>
      </c>
      <c r="B19168" t="s">
        <v>14</v>
      </c>
      <c r="C19168" t="s">
        <v>23</v>
      </c>
      <c r="D19168" t="s">
        <v>17</v>
      </c>
      <c r="E19168" t="s">
        <v>12</v>
      </c>
      <c r="F19168">
        <v>150119275</v>
      </c>
      <c r="G19168">
        <v>150119331</v>
      </c>
      <c r="H19168">
        <v>150119338</v>
      </c>
      <c r="I19168">
        <v>150119349</v>
      </c>
    </row>
    <row r="19169" spans="1:9" x14ac:dyDescent="0.2">
      <c r="A19169" t="str">
        <f>"Slc2a6"</f>
        <v>Slc2a6</v>
      </c>
      <c r="B19169" t="s">
        <v>14</v>
      </c>
      <c r="C19169" t="s">
        <v>26</v>
      </c>
      <c r="D19169" t="s">
        <v>11</v>
      </c>
      <c r="E19169" t="s">
        <v>12</v>
      </c>
      <c r="F19169">
        <v>27027916</v>
      </c>
      <c r="G19169">
        <v>27027995</v>
      </c>
      <c r="H19169">
        <v>27027916</v>
      </c>
      <c r="I19169">
        <v>27027995</v>
      </c>
    </row>
    <row r="19170" spans="1:9" x14ac:dyDescent="0.2">
      <c r="A19170" t="str">
        <f>"Slc2a7"</f>
        <v>Slc2a7</v>
      </c>
      <c r="B19170" t="s">
        <v>14</v>
      </c>
      <c r="C19170" t="s">
        <v>23</v>
      </c>
      <c r="D19170" t="s">
        <v>17</v>
      </c>
      <c r="E19170" t="s">
        <v>12</v>
      </c>
      <c r="F19170">
        <v>150148881</v>
      </c>
      <c r="G19170">
        <v>150148896</v>
      </c>
      <c r="H19170">
        <v>150148905</v>
      </c>
      <c r="I19170">
        <v>150148916</v>
      </c>
    </row>
    <row r="19171" spans="1:9" x14ac:dyDescent="0.2">
      <c r="A19171" t="str">
        <f>"Slc2a8"</f>
        <v>Slc2a8</v>
      </c>
      <c r="B19171" t="s">
        <v>14</v>
      </c>
      <c r="C19171" t="s">
        <v>26</v>
      </c>
      <c r="D19171" t="s">
        <v>11</v>
      </c>
      <c r="E19171" t="s">
        <v>12</v>
      </c>
      <c r="F19171">
        <v>32982007</v>
      </c>
      <c r="G19171">
        <v>32982086</v>
      </c>
      <c r="H19171">
        <v>32981792</v>
      </c>
      <c r="I19171">
        <v>32981811</v>
      </c>
    </row>
    <row r="19172" spans="1:9" x14ac:dyDescent="0.2">
      <c r="A19172" t="str">
        <f>"Slc2a9"</f>
        <v>Slc2a9</v>
      </c>
      <c r="B19172" t="s">
        <v>9</v>
      </c>
      <c r="C19172" t="s">
        <v>46</v>
      </c>
      <c r="D19172" t="s">
        <v>11</v>
      </c>
      <c r="E19172" t="s">
        <v>12</v>
      </c>
      <c r="F19172">
        <v>38480153</v>
      </c>
      <c r="G19172">
        <v>38480239</v>
      </c>
      <c r="H19172">
        <v>38480153</v>
      </c>
      <c r="I19172">
        <v>38480239</v>
      </c>
    </row>
    <row r="19173" spans="1:9" x14ac:dyDescent="0.2">
      <c r="A19173" t="str">
        <f>"Slc2a9"</f>
        <v>Slc2a9</v>
      </c>
      <c r="B19173" t="s">
        <v>13</v>
      </c>
      <c r="C19173" t="s">
        <v>46</v>
      </c>
      <c r="D19173" t="s">
        <v>11</v>
      </c>
      <c r="E19173" t="s">
        <v>12</v>
      </c>
      <c r="F19173">
        <v>38491923</v>
      </c>
      <c r="G19173">
        <v>38491935</v>
      </c>
      <c r="H19173">
        <v>38491923</v>
      </c>
      <c r="I19173">
        <v>38491935</v>
      </c>
    </row>
    <row r="19174" spans="1:9" x14ac:dyDescent="0.2">
      <c r="A19174" t="str">
        <f>"Slc30a1"</f>
        <v>Slc30a1</v>
      </c>
      <c r="B19174" t="s">
        <v>14</v>
      </c>
      <c r="C19174" t="s">
        <v>19</v>
      </c>
      <c r="D19174" t="s">
        <v>17</v>
      </c>
      <c r="E19174" t="s">
        <v>12</v>
      </c>
      <c r="F19174">
        <v>191906807</v>
      </c>
      <c r="G19174">
        <v>191906823</v>
      </c>
      <c r="H19174">
        <v>191906776</v>
      </c>
      <c r="I19174">
        <v>191906795</v>
      </c>
    </row>
    <row r="19175" spans="1:9" x14ac:dyDescent="0.2">
      <c r="A19175" t="str">
        <f>"Slc30a10"</f>
        <v>Slc30a10</v>
      </c>
      <c r="B19175" t="s">
        <v>14</v>
      </c>
      <c r="C19175" t="s">
        <v>19</v>
      </c>
      <c r="D19175" t="s">
        <v>17</v>
      </c>
      <c r="E19175" t="s">
        <v>12</v>
      </c>
      <c r="F19175">
        <v>185455052</v>
      </c>
      <c r="G19175">
        <v>185455088</v>
      </c>
      <c r="H19175">
        <v>185454913</v>
      </c>
      <c r="I19175">
        <v>185454931</v>
      </c>
    </row>
    <row r="19176" spans="1:9" x14ac:dyDescent="0.2">
      <c r="A19176" t="str">
        <f>"Slc30a2"</f>
        <v>Slc30a2</v>
      </c>
      <c r="B19176" t="s">
        <v>14</v>
      </c>
      <c r="C19176" t="s">
        <v>23</v>
      </c>
      <c r="D19176" t="s">
        <v>17</v>
      </c>
      <c r="E19176" t="s">
        <v>12</v>
      </c>
      <c r="F19176">
        <v>134343632</v>
      </c>
      <c r="G19176">
        <v>134343680</v>
      </c>
      <c r="H19176">
        <v>134343198</v>
      </c>
      <c r="I19176">
        <v>134343211</v>
      </c>
    </row>
    <row r="19177" spans="1:9" x14ac:dyDescent="0.2">
      <c r="A19177" t="str">
        <f>"Slc30a3"</f>
        <v>Slc30a3</v>
      </c>
      <c r="B19177" t="s">
        <v>14</v>
      </c>
      <c r="C19177" t="s">
        <v>46</v>
      </c>
      <c r="D19177" t="s">
        <v>11</v>
      </c>
      <c r="E19177" t="s">
        <v>12</v>
      </c>
      <c r="F19177">
        <v>31093500</v>
      </c>
      <c r="G19177">
        <v>31093526</v>
      </c>
      <c r="H19177">
        <v>31093473</v>
      </c>
      <c r="I19177">
        <v>31093499</v>
      </c>
    </row>
    <row r="19178" spans="1:9" x14ac:dyDescent="0.2">
      <c r="A19178" t="str">
        <f>"Slc30a4"</f>
        <v>Slc30a4</v>
      </c>
      <c r="B19178" t="s">
        <v>14</v>
      </c>
      <c r="C19178" t="s">
        <v>26</v>
      </c>
      <c r="D19178" t="s">
        <v>11</v>
      </c>
      <c r="E19178" t="s">
        <v>12</v>
      </c>
      <c r="F19178">
        <v>122702615</v>
      </c>
      <c r="G19178">
        <v>122702717</v>
      </c>
      <c r="H19178">
        <v>122702727</v>
      </c>
      <c r="I19178">
        <v>122702785</v>
      </c>
    </row>
    <row r="19179" spans="1:9" x14ac:dyDescent="0.2">
      <c r="A19179" t="str">
        <f>"Slc30a5"</f>
        <v>Slc30a5</v>
      </c>
      <c r="B19179" t="s">
        <v>14</v>
      </c>
      <c r="C19179" t="s">
        <v>39</v>
      </c>
      <c r="D19179" t="s">
        <v>11</v>
      </c>
      <c r="E19179" t="s">
        <v>12</v>
      </c>
      <c r="F19179">
        <v>100833369</v>
      </c>
      <c r="G19179">
        <v>100833445</v>
      </c>
      <c r="H19179">
        <v>100833315</v>
      </c>
      <c r="I19179">
        <v>100833367</v>
      </c>
    </row>
    <row r="19180" spans="1:9" x14ac:dyDescent="0.2">
      <c r="A19180" t="str">
        <f>"Slc30a6"</f>
        <v>Slc30a6</v>
      </c>
      <c r="B19180" t="s">
        <v>14</v>
      </c>
      <c r="C19180" t="s">
        <v>28</v>
      </c>
      <c r="D19180" t="s">
        <v>17</v>
      </c>
      <c r="E19180" t="s">
        <v>12</v>
      </c>
      <c r="F19180">
        <v>74395607</v>
      </c>
      <c r="G19180">
        <v>74395639</v>
      </c>
      <c r="H19180">
        <v>74395646</v>
      </c>
      <c r="I19180">
        <v>74395655</v>
      </c>
    </row>
    <row r="19181" spans="1:9" x14ac:dyDescent="0.2">
      <c r="A19181" t="str">
        <f>"Slc30a7"</f>
        <v>Slc30a7</v>
      </c>
      <c r="B19181" t="s">
        <v>14</v>
      </c>
      <c r="C19181" t="s">
        <v>22</v>
      </c>
      <c r="D19181" t="s">
        <v>11</v>
      </c>
      <c r="E19181" t="s">
        <v>12</v>
      </c>
      <c r="F19181">
        <v>116007340</v>
      </c>
      <c r="G19181">
        <v>116007396</v>
      </c>
      <c r="H19181">
        <v>116007399</v>
      </c>
      <c r="I19181">
        <v>116007411</v>
      </c>
    </row>
    <row r="19182" spans="1:9" x14ac:dyDescent="0.2">
      <c r="A19182" t="str">
        <f>"Slc30a8"</f>
        <v>Slc30a8</v>
      </c>
      <c r="B19182" t="s">
        <v>14</v>
      </c>
      <c r="C19182" t="s">
        <v>25</v>
      </c>
      <c r="D19182" t="s">
        <v>17</v>
      </c>
      <c r="E19182" t="s">
        <v>12</v>
      </c>
      <c r="F19182">
        <v>52295642</v>
      </c>
      <c r="G19182">
        <v>52295654</v>
      </c>
      <c r="H19182">
        <v>52295642</v>
      </c>
      <c r="I19182">
        <v>52295654</v>
      </c>
    </row>
    <row r="19183" spans="1:9" x14ac:dyDescent="0.2">
      <c r="A19183" t="str">
        <f>"Slc30a9"</f>
        <v>Slc30a9</v>
      </c>
      <c r="B19183" t="s">
        <v>14</v>
      </c>
      <c r="C19183" t="s">
        <v>46</v>
      </c>
      <c r="D19183" t="s">
        <v>17</v>
      </c>
      <c r="E19183" t="s">
        <v>12</v>
      </c>
      <c r="F19183">
        <v>67306941</v>
      </c>
      <c r="G19183">
        <v>67306977</v>
      </c>
      <c r="H19183">
        <v>67306978</v>
      </c>
      <c r="I19183">
        <v>67307014</v>
      </c>
    </row>
    <row r="19184" spans="1:9" x14ac:dyDescent="0.2">
      <c r="A19184" t="str">
        <f>"Slc31a1"</f>
        <v>Slc31a1</v>
      </c>
      <c r="B19184" t="s">
        <v>14</v>
      </c>
      <c r="C19184" t="s">
        <v>23</v>
      </c>
      <c r="D19184" t="s">
        <v>17</v>
      </c>
      <c r="E19184" t="s">
        <v>12</v>
      </c>
      <c r="F19184">
        <v>62360695</v>
      </c>
      <c r="G19184">
        <v>62360758</v>
      </c>
      <c r="H19184">
        <v>62360695</v>
      </c>
      <c r="I19184">
        <v>62360758</v>
      </c>
    </row>
    <row r="19185" spans="1:9" x14ac:dyDescent="0.2">
      <c r="A19185" t="str">
        <f>"Slc31a2"</f>
        <v>Slc31a2</v>
      </c>
      <c r="B19185" t="s">
        <v>14</v>
      </c>
      <c r="C19185" t="s">
        <v>23</v>
      </c>
      <c r="D19185" t="s">
        <v>17</v>
      </c>
      <c r="E19185" t="s">
        <v>12</v>
      </c>
      <c r="F19185">
        <v>62286441</v>
      </c>
      <c r="G19185">
        <v>62286516</v>
      </c>
      <c r="H19185">
        <v>62286424</v>
      </c>
      <c r="I19185">
        <v>62286438</v>
      </c>
    </row>
    <row r="19186" spans="1:9" x14ac:dyDescent="0.2">
      <c r="A19186" t="str">
        <f>"Slc32a1"</f>
        <v>Slc32a1</v>
      </c>
      <c r="B19186" t="s">
        <v>14</v>
      </c>
      <c r="C19186" t="s">
        <v>26</v>
      </c>
      <c r="D19186" t="s">
        <v>17</v>
      </c>
      <c r="E19186" t="s">
        <v>12</v>
      </c>
      <c r="F19186">
        <v>158610978</v>
      </c>
      <c r="G19186">
        <v>158611048</v>
      </c>
      <c r="H19186">
        <v>158610731</v>
      </c>
      <c r="I19186">
        <v>158610787</v>
      </c>
    </row>
    <row r="19187" spans="1:9" x14ac:dyDescent="0.2">
      <c r="A19187" t="str">
        <f>"Slc33a1"</f>
        <v>Slc33a1</v>
      </c>
      <c r="B19187" t="s">
        <v>14</v>
      </c>
      <c r="C19187" t="s">
        <v>22</v>
      </c>
      <c r="D19187" t="s">
        <v>11</v>
      </c>
      <c r="E19187" t="s">
        <v>12</v>
      </c>
      <c r="F19187">
        <v>63964571</v>
      </c>
      <c r="G19187">
        <v>63964604</v>
      </c>
      <c r="H19187">
        <v>63964606</v>
      </c>
      <c r="I19187">
        <v>63964624</v>
      </c>
    </row>
    <row r="19188" spans="1:9" x14ac:dyDescent="0.2">
      <c r="A19188" t="str">
        <f>"Slc34a1"</f>
        <v>Slc34a1</v>
      </c>
      <c r="B19188" t="s">
        <v>14</v>
      </c>
      <c r="C19188" t="s">
        <v>39</v>
      </c>
      <c r="D19188" t="s">
        <v>17</v>
      </c>
      <c r="E19188" t="s">
        <v>12</v>
      </c>
      <c r="F19188">
        <v>55399685</v>
      </c>
      <c r="G19188">
        <v>55399700</v>
      </c>
      <c r="H19188">
        <v>55399685</v>
      </c>
      <c r="I19188">
        <v>55399700</v>
      </c>
    </row>
    <row r="19189" spans="1:9" x14ac:dyDescent="0.2">
      <c r="A19189" t="str">
        <f>"Slc34a2"</f>
        <v>Slc34a2</v>
      </c>
      <c r="B19189" t="s">
        <v>14</v>
      </c>
      <c r="C19189" t="s">
        <v>46</v>
      </c>
      <c r="D19189" t="s">
        <v>17</v>
      </c>
      <c r="E19189" t="s">
        <v>12</v>
      </c>
      <c r="F19189">
        <v>53049346</v>
      </c>
      <c r="G19189">
        <v>53049363</v>
      </c>
      <c r="H19189">
        <v>53049346</v>
      </c>
      <c r="I19189">
        <v>53049363</v>
      </c>
    </row>
    <row r="19190" spans="1:9" x14ac:dyDescent="0.2">
      <c r="A19190" t="str">
        <f>"Slc34a3"</f>
        <v>Slc34a3</v>
      </c>
      <c r="B19190" t="s">
        <v>14</v>
      </c>
      <c r="C19190" t="s">
        <v>26</v>
      </c>
      <c r="D19190" t="s">
        <v>11</v>
      </c>
      <c r="E19190" t="s">
        <v>12</v>
      </c>
      <c r="F19190">
        <v>25234203</v>
      </c>
      <c r="G19190">
        <v>25234223</v>
      </c>
      <c r="H19190">
        <v>25234227</v>
      </c>
      <c r="I19190">
        <v>25234251</v>
      </c>
    </row>
    <row r="19191" spans="1:9" x14ac:dyDescent="0.2">
      <c r="A19191" t="str">
        <f>"Slc35a1"</f>
        <v>Slc35a1</v>
      </c>
      <c r="B19191" t="s">
        <v>14</v>
      </c>
      <c r="C19191" t="s">
        <v>23</v>
      </c>
      <c r="D19191" t="s">
        <v>11</v>
      </c>
      <c r="E19191" t="s">
        <v>12</v>
      </c>
      <c r="F19191">
        <v>34687382</v>
      </c>
      <c r="G19191">
        <v>34687452</v>
      </c>
      <c r="H19191">
        <v>34687262</v>
      </c>
      <c r="I19191">
        <v>34687309</v>
      </c>
    </row>
    <row r="19192" spans="1:9" x14ac:dyDescent="0.2">
      <c r="A19192" t="str">
        <f>"Slc35a2"</f>
        <v>Slc35a2</v>
      </c>
      <c r="B19192" t="s">
        <v>14</v>
      </c>
      <c r="C19192" t="s">
        <v>37</v>
      </c>
      <c r="D19192" t="s">
        <v>17</v>
      </c>
      <c r="E19192" t="s">
        <v>12</v>
      </c>
      <c r="F19192">
        <v>7884321</v>
      </c>
      <c r="G19192">
        <v>7884339</v>
      </c>
      <c r="H19192">
        <v>7884296</v>
      </c>
      <c r="I19192">
        <v>7884313</v>
      </c>
    </row>
    <row r="19193" spans="1:9" x14ac:dyDescent="0.2">
      <c r="A19193" t="str">
        <f>"Slc35a3"</f>
        <v>Slc35a3</v>
      </c>
      <c r="B19193" t="s">
        <v>14</v>
      </c>
      <c r="C19193" t="s">
        <v>22</v>
      </c>
      <c r="D19193" t="s">
        <v>11</v>
      </c>
      <c r="E19193" t="s">
        <v>12</v>
      </c>
      <c r="F19193">
        <v>116712198</v>
      </c>
      <c r="G19193">
        <v>116712240</v>
      </c>
      <c r="H19193">
        <v>116712241</v>
      </c>
      <c r="I19193">
        <v>116712269</v>
      </c>
    </row>
    <row r="19194" spans="1:9" x14ac:dyDescent="0.2">
      <c r="A19194" t="str">
        <f>"Slc35a4"</f>
        <v>Slc35a4</v>
      </c>
      <c r="B19194" t="s">
        <v>14</v>
      </c>
      <c r="C19194" t="s">
        <v>43</v>
      </c>
      <c r="D19194" t="s">
        <v>17</v>
      </c>
      <c r="E19194" t="s">
        <v>12</v>
      </c>
      <c r="F19194">
        <v>36679575</v>
      </c>
      <c r="G19194">
        <v>36679592</v>
      </c>
      <c r="H19194">
        <v>36679228</v>
      </c>
      <c r="I19194">
        <v>36679253</v>
      </c>
    </row>
    <row r="19195" spans="1:9" x14ac:dyDescent="0.2">
      <c r="A19195" t="str">
        <f>"Slc35a5"</f>
        <v>Slc35a5</v>
      </c>
      <c r="B19195" t="s">
        <v>14</v>
      </c>
      <c r="C19195" t="s">
        <v>31</v>
      </c>
      <c r="D19195" t="s">
        <v>11</v>
      </c>
      <c r="E19195" t="s">
        <v>12</v>
      </c>
      <c r="F19195">
        <v>45158650</v>
      </c>
      <c r="G19195">
        <v>45158683</v>
      </c>
      <c r="H19195">
        <v>45158624</v>
      </c>
      <c r="I19195">
        <v>45158645</v>
      </c>
    </row>
    <row r="19196" spans="1:9" x14ac:dyDescent="0.2">
      <c r="A19196" t="str">
        <f>"Slc35b1"</f>
        <v>Slc35b1</v>
      </c>
      <c r="B19196" t="s">
        <v>14</v>
      </c>
      <c r="C19196" t="s">
        <v>27</v>
      </c>
      <c r="D19196" t="s">
        <v>17</v>
      </c>
      <c r="E19196" t="s">
        <v>12</v>
      </c>
      <c r="F19196">
        <v>95384885</v>
      </c>
      <c r="G19196">
        <v>95384918</v>
      </c>
      <c r="H19196">
        <v>95384919</v>
      </c>
      <c r="I19196">
        <v>95384944</v>
      </c>
    </row>
    <row r="19197" spans="1:9" x14ac:dyDescent="0.2">
      <c r="A19197" t="str">
        <f>"Slc35b2"</f>
        <v>Slc35b2</v>
      </c>
      <c r="B19197" t="s">
        <v>14</v>
      </c>
      <c r="C19197" t="s">
        <v>28</v>
      </c>
      <c r="D19197" t="s">
        <v>17</v>
      </c>
      <c r="E19197" t="s">
        <v>12</v>
      </c>
      <c r="F19197">
        <v>45563928</v>
      </c>
      <c r="G19197">
        <v>45563973</v>
      </c>
      <c r="H19197">
        <v>45563978</v>
      </c>
      <c r="I19197">
        <v>45563987</v>
      </c>
    </row>
    <row r="19198" spans="1:9" x14ac:dyDescent="0.2">
      <c r="A19198" t="str">
        <f>"Slc35b3"</f>
        <v>Slc35b3</v>
      </c>
      <c r="B19198" t="s">
        <v>14</v>
      </c>
      <c r="C19198" t="s">
        <v>39</v>
      </c>
      <c r="D19198" t="s">
        <v>11</v>
      </c>
      <c r="E19198" t="s">
        <v>12</v>
      </c>
      <c r="F19198">
        <v>38960498</v>
      </c>
      <c r="G19198">
        <v>38960539</v>
      </c>
      <c r="H19198">
        <v>38960542</v>
      </c>
      <c r="I19198">
        <v>38960554</v>
      </c>
    </row>
    <row r="19199" spans="1:9" x14ac:dyDescent="0.2">
      <c r="A19199" t="str">
        <f>"Slc35b4"</f>
        <v>Slc35b4</v>
      </c>
      <c r="B19199" t="s">
        <v>14</v>
      </c>
      <c r="C19199" t="s">
        <v>32</v>
      </c>
      <c r="D19199" t="s">
        <v>11</v>
      </c>
      <c r="E19199" t="s">
        <v>12</v>
      </c>
      <c r="F19199">
        <v>34176941</v>
      </c>
      <c r="G19199">
        <v>34177014</v>
      </c>
      <c r="H19199">
        <v>34176918</v>
      </c>
      <c r="I19199">
        <v>34176932</v>
      </c>
    </row>
    <row r="19200" spans="1:9" x14ac:dyDescent="0.2">
      <c r="A19200" t="str">
        <f>"Slc35c1"</f>
        <v>Slc35c1</v>
      </c>
      <c r="B19200" t="s">
        <v>14</v>
      </c>
      <c r="C19200" t="s">
        <v>26</v>
      </c>
      <c r="D19200" t="s">
        <v>11</v>
      </c>
      <c r="E19200" t="s">
        <v>12</v>
      </c>
      <c r="F19200">
        <v>92459711</v>
      </c>
      <c r="G19200">
        <v>92459781</v>
      </c>
      <c r="H19200">
        <v>92460449</v>
      </c>
      <c r="I19200">
        <v>92460524</v>
      </c>
    </row>
    <row r="19201" spans="1:9" x14ac:dyDescent="0.2">
      <c r="A19201" t="str">
        <f>"Slc35c2"</f>
        <v>Slc35c2</v>
      </c>
      <c r="B19201" t="s">
        <v>14</v>
      </c>
      <c r="C19201" t="s">
        <v>26</v>
      </c>
      <c r="D19201" t="s">
        <v>11</v>
      </c>
      <c r="E19201" t="s">
        <v>12</v>
      </c>
      <c r="F19201">
        <v>165287802</v>
      </c>
      <c r="G19201">
        <v>165287845</v>
      </c>
      <c r="H19201">
        <v>165287853</v>
      </c>
      <c r="I19201">
        <v>165287863</v>
      </c>
    </row>
    <row r="19202" spans="1:9" x14ac:dyDescent="0.2">
      <c r="A19202" t="str">
        <f>"Slc35d1"</f>
        <v>Slc35d1</v>
      </c>
      <c r="B19202" t="s">
        <v>14</v>
      </c>
      <c r="C19202" t="s">
        <v>23</v>
      </c>
      <c r="D19202" t="s">
        <v>11</v>
      </c>
      <c r="E19202" t="s">
        <v>12</v>
      </c>
      <c r="F19202">
        <v>103215147</v>
      </c>
      <c r="G19202">
        <v>103215201</v>
      </c>
      <c r="H19202">
        <v>103214791</v>
      </c>
      <c r="I19202">
        <v>103214818</v>
      </c>
    </row>
    <row r="19203" spans="1:9" x14ac:dyDescent="0.2">
      <c r="A19203" t="str">
        <f>"Slc35d2"</f>
        <v>Slc35d2</v>
      </c>
      <c r="B19203" t="s">
        <v>14</v>
      </c>
      <c r="C19203" t="s">
        <v>39</v>
      </c>
      <c r="D19203" t="s">
        <v>11</v>
      </c>
      <c r="E19203" t="s">
        <v>12</v>
      </c>
      <c r="F19203">
        <v>64129305</v>
      </c>
      <c r="G19203">
        <v>64129348</v>
      </c>
      <c r="H19203">
        <v>64129366</v>
      </c>
      <c r="I19203">
        <v>64129375</v>
      </c>
    </row>
    <row r="19204" spans="1:9" x14ac:dyDescent="0.2">
      <c r="A19204" t="str">
        <f>"Slc35d3"</f>
        <v>Slc35d3</v>
      </c>
      <c r="B19204" t="s">
        <v>14</v>
      </c>
      <c r="C19204" t="s">
        <v>15</v>
      </c>
      <c r="D19204" t="s">
        <v>11</v>
      </c>
      <c r="E19204" t="s">
        <v>12</v>
      </c>
      <c r="F19204">
        <v>19851512</v>
      </c>
      <c r="G19204">
        <v>19851568</v>
      </c>
      <c r="H19204">
        <v>19851208</v>
      </c>
      <c r="I19204">
        <v>19851221</v>
      </c>
    </row>
    <row r="19205" spans="1:9" x14ac:dyDescent="0.2">
      <c r="A19205" t="str">
        <f>"Slc35e1"</f>
        <v>Slc35e1</v>
      </c>
      <c r="B19205" t="s">
        <v>14</v>
      </c>
      <c r="C19205" t="s">
        <v>30</v>
      </c>
      <c r="D19205" t="s">
        <v>11</v>
      </c>
      <c r="E19205" t="s">
        <v>12</v>
      </c>
      <c r="F19205">
        <v>72492592</v>
      </c>
      <c r="G19205">
        <v>72492662</v>
      </c>
      <c r="H19205">
        <v>72492198</v>
      </c>
      <c r="I19205">
        <v>72492228</v>
      </c>
    </row>
    <row r="19206" spans="1:9" x14ac:dyDescent="0.2">
      <c r="A19206" t="str">
        <f>"Slc35e2"</f>
        <v>Slc35e2</v>
      </c>
      <c r="B19206" t="s">
        <v>14</v>
      </c>
      <c r="C19206" t="s">
        <v>23</v>
      </c>
      <c r="D19206" t="s">
        <v>17</v>
      </c>
      <c r="E19206" t="s">
        <v>12</v>
      </c>
      <c r="F19206">
        <v>155601854</v>
      </c>
      <c r="G19206">
        <v>155601940</v>
      </c>
      <c r="H19206">
        <v>155601373</v>
      </c>
      <c r="I19206">
        <v>155601413</v>
      </c>
    </row>
    <row r="19207" spans="1:9" x14ac:dyDescent="0.2">
      <c r="A19207" t="str">
        <f>"Slc35e3"</f>
        <v>Slc35e3</v>
      </c>
      <c r="B19207" t="s">
        <v>14</v>
      </c>
      <c r="C19207" t="s">
        <v>15</v>
      </c>
      <c r="D19207" t="s">
        <v>11</v>
      </c>
      <c r="E19207" t="s">
        <v>12</v>
      </c>
      <c r="F19207">
        <v>117746356</v>
      </c>
      <c r="G19207">
        <v>117746418</v>
      </c>
      <c r="H19207">
        <v>117746331</v>
      </c>
      <c r="I19207">
        <v>117746350</v>
      </c>
    </row>
    <row r="19208" spans="1:9" x14ac:dyDescent="0.2">
      <c r="A19208" t="str">
        <f>"Slc35e4"</f>
        <v>Slc35e4</v>
      </c>
      <c r="B19208" t="s">
        <v>14</v>
      </c>
      <c r="C19208" t="s">
        <v>27</v>
      </c>
      <c r="D19208" t="s">
        <v>11</v>
      </c>
      <c r="E19208" t="s">
        <v>12</v>
      </c>
      <c r="F19208">
        <v>3914655</v>
      </c>
      <c r="G19208">
        <v>3914672</v>
      </c>
      <c r="H19208">
        <v>3914675</v>
      </c>
      <c r="I19208">
        <v>3914684</v>
      </c>
    </row>
    <row r="19209" spans="1:9" x14ac:dyDescent="0.2">
      <c r="A19209" t="str">
        <f>"Slc35f1"</f>
        <v>Slc35f1</v>
      </c>
      <c r="B19209" t="s">
        <v>14</v>
      </c>
      <c r="C19209" t="s">
        <v>15</v>
      </c>
      <c r="D19209" t="s">
        <v>17</v>
      </c>
      <c r="E19209" t="s">
        <v>12</v>
      </c>
      <c r="F19209">
        <v>52690496</v>
      </c>
      <c r="G19209">
        <v>52690554</v>
      </c>
      <c r="H19209">
        <v>52690574</v>
      </c>
      <c r="I19209">
        <v>52690586</v>
      </c>
    </row>
    <row r="19210" spans="1:9" x14ac:dyDescent="0.2">
      <c r="A19210" t="str">
        <f>"Slc35f2"</f>
        <v>Slc35f2</v>
      </c>
      <c r="B19210" t="s">
        <v>14</v>
      </c>
      <c r="C19210" t="s">
        <v>24</v>
      </c>
      <c r="D19210" t="s">
        <v>17</v>
      </c>
      <c r="E19210" t="s">
        <v>12</v>
      </c>
      <c r="F19210">
        <v>53771700</v>
      </c>
      <c r="G19210">
        <v>53771782</v>
      </c>
      <c r="H19210">
        <v>53771499</v>
      </c>
      <c r="I19210">
        <v>53771535</v>
      </c>
    </row>
    <row r="19211" spans="1:9" x14ac:dyDescent="0.2">
      <c r="A19211" t="str">
        <f>"Slc35f3"</f>
        <v>Slc35f3</v>
      </c>
      <c r="B19211" t="s">
        <v>14</v>
      </c>
      <c r="C19211" t="s">
        <v>30</v>
      </c>
      <c r="D19211" t="s">
        <v>17</v>
      </c>
      <c r="E19211" t="s">
        <v>12</v>
      </c>
      <c r="F19211">
        <v>126298526</v>
      </c>
      <c r="G19211">
        <v>126298594</v>
      </c>
      <c r="H19211">
        <v>126298629</v>
      </c>
      <c r="I19211">
        <v>126298643</v>
      </c>
    </row>
    <row r="19212" spans="1:9" x14ac:dyDescent="0.2">
      <c r="A19212" t="str">
        <f>"Slc35f4"</f>
        <v>Slc35f4</v>
      </c>
      <c r="B19212" t="s">
        <v>5757</v>
      </c>
      <c r="C19212" t="s">
        <v>41</v>
      </c>
      <c r="D19212" t="s">
        <v>11</v>
      </c>
      <c r="E19212" t="s">
        <v>20</v>
      </c>
      <c r="F19212">
        <v>49314208</v>
      </c>
      <c r="G19212">
        <v>49314208</v>
      </c>
      <c r="H19212">
        <v>49314208</v>
      </c>
      <c r="I19212">
        <v>49314208</v>
      </c>
    </row>
    <row r="19213" spans="1:9" x14ac:dyDescent="0.2">
      <c r="A19213" t="str">
        <f>"Slc35f5"</f>
        <v>Slc35f5</v>
      </c>
      <c r="B19213" t="s">
        <v>14</v>
      </c>
      <c r="C19213" t="s">
        <v>19</v>
      </c>
      <c r="D19213" t="s">
        <v>17</v>
      </c>
      <c r="E19213" t="s">
        <v>12</v>
      </c>
      <c r="F19213">
        <v>125561010</v>
      </c>
      <c r="G19213">
        <v>125561095</v>
      </c>
      <c r="H19213">
        <v>125561010</v>
      </c>
      <c r="I19213">
        <v>125561095</v>
      </c>
    </row>
    <row r="19214" spans="1:9" x14ac:dyDescent="0.2">
      <c r="A19214" t="str">
        <f>"Slc35f6"</f>
        <v>Slc35f6</v>
      </c>
      <c r="B19214" t="s">
        <v>14</v>
      </c>
      <c r="C19214" t="s">
        <v>46</v>
      </c>
      <c r="D19214" t="s">
        <v>17</v>
      </c>
      <c r="E19214" t="s">
        <v>67</v>
      </c>
      <c r="F19214">
        <v>30647935</v>
      </c>
      <c r="G19214">
        <v>30647998</v>
      </c>
      <c r="H19214">
        <v>30647921</v>
      </c>
      <c r="I19214">
        <v>30647932</v>
      </c>
    </row>
    <row r="19215" spans="1:9" x14ac:dyDescent="0.2">
      <c r="A19215" t="str">
        <f>"Slc35g1"</f>
        <v>Slc35g1</v>
      </c>
      <c r="B19215" t="s">
        <v>14</v>
      </c>
      <c r="C19215" t="s">
        <v>10</v>
      </c>
      <c r="D19215" t="s">
        <v>17</v>
      </c>
      <c r="E19215" t="s">
        <v>67</v>
      </c>
      <c r="F19215">
        <v>38396025</v>
      </c>
      <c r="G19215">
        <v>38396083</v>
      </c>
      <c r="H19215">
        <v>38396025</v>
      </c>
      <c r="I19215">
        <v>38396083</v>
      </c>
    </row>
    <row r="19216" spans="1:9" x14ac:dyDescent="0.2">
      <c r="A19216" t="str">
        <f>"Slc35g2"</f>
        <v>Slc35g2</v>
      </c>
      <c r="B19216" t="s">
        <v>14</v>
      </c>
      <c r="C19216" t="s">
        <v>24</v>
      </c>
      <c r="D19216" t="s">
        <v>11</v>
      </c>
      <c r="E19216" t="s">
        <v>67</v>
      </c>
      <c r="F19216">
        <v>100571049</v>
      </c>
      <c r="G19216">
        <v>100571128</v>
      </c>
      <c r="H19216">
        <v>100571049</v>
      </c>
      <c r="I19216">
        <v>100571128</v>
      </c>
    </row>
    <row r="19217" spans="1:9" x14ac:dyDescent="0.2">
      <c r="A19217" t="str">
        <f>"Slc35g3"</f>
        <v>Slc35g3</v>
      </c>
      <c r="B19217" t="s">
        <v>14</v>
      </c>
      <c r="C19217" t="s">
        <v>27</v>
      </c>
      <c r="D19217" t="s">
        <v>11</v>
      </c>
      <c r="E19217" t="s">
        <v>67</v>
      </c>
      <c r="F19217">
        <v>69761909</v>
      </c>
      <c r="G19217">
        <v>69761927</v>
      </c>
      <c r="H19217">
        <v>69761909</v>
      </c>
      <c r="I19217">
        <v>69761927</v>
      </c>
    </row>
    <row r="19218" spans="1:9" x14ac:dyDescent="0.2">
      <c r="A19218" t="str">
        <f>"Slc36a1"</f>
        <v>Slc36a1</v>
      </c>
      <c r="B19218" t="s">
        <v>14</v>
      </c>
      <c r="C19218" t="s">
        <v>27</v>
      </c>
      <c r="D19218" t="s">
        <v>17</v>
      </c>
      <c r="E19218" t="s">
        <v>12</v>
      </c>
      <c r="F19218">
        <v>55204319</v>
      </c>
      <c r="G19218">
        <v>55204386</v>
      </c>
      <c r="H19218">
        <v>55204319</v>
      </c>
      <c r="I19218">
        <v>55204386</v>
      </c>
    </row>
    <row r="19219" spans="1:9" x14ac:dyDescent="0.2">
      <c r="A19219" t="str">
        <f>"Slc36a2"</f>
        <v>Slc36a2</v>
      </c>
      <c r="B19219" t="s">
        <v>14</v>
      </c>
      <c r="C19219" t="s">
        <v>27</v>
      </c>
      <c r="D19219" t="s">
        <v>11</v>
      </c>
      <c r="E19219" t="s">
        <v>12</v>
      </c>
      <c r="F19219">
        <v>55185029</v>
      </c>
      <c r="G19219">
        <v>55185082</v>
      </c>
      <c r="H19219">
        <v>55185029</v>
      </c>
      <c r="I19219">
        <v>55185082</v>
      </c>
    </row>
    <row r="19220" spans="1:9" x14ac:dyDescent="0.2">
      <c r="A19220" t="str">
        <f>"Slc36a3"</f>
        <v>Slc36a3</v>
      </c>
      <c r="B19220" t="s">
        <v>14</v>
      </c>
      <c r="C19220" t="s">
        <v>27</v>
      </c>
      <c r="D19220" t="s">
        <v>11</v>
      </c>
      <c r="E19220" t="s">
        <v>12</v>
      </c>
      <c r="F19220">
        <v>55151679</v>
      </c>
      <c r="G19220">
        <v>55151691</v>
      </c>
      <c r="H19220">
        <v>55151703</v>
      </c>
      <c r="I19220">
        <v>55151712</v>
      </c>
    </row>
    <row r="19221" spans="1:9" x14ac:dyDescent="0.2">
      <c r="A19221" t="str">
        <f>"Slc36a4"</f>
        <v>Slc36a4</v>
      </c>
      <c r="B19221" t="s">
        <v>14</v>
      </c>
      <c r="C19221" t="s">
        <v>24</v>
      </c>
      <c r="D19221" t="s">
        <v>17</v>
      </c>
      <c r="E19221" t="s">
        <v>12</v>
      </c>
      <c r="F19221">
        <v>15709715</v>
      </c>
      <c r="G19221">
        <v>15709748</v>
      </c>
      <c r="H19221">
        <v>15709750</v>
      </c>
      <c r="I19221">
        <v>15709771</v>
      </c>
    </row>
    <row r="19222" spans="1:9" x14ac:dyDescent="0.2">
      <c r="A19222" t="str">
        <f>"Slc37a1"</f>
        <v>Slc37a1</v>
      </c>
      <c r="B19222" t="s">
        <v>14</v>
      </c>
      <c r="C19222" t="s">
        <v>28</v>
      </c>
      <c r="D19222" t="s">
        <v>17</v>
      </c>
      <c r="E19222" t="s">
        <v>12</v>
      </c>
      <c r="F19222">
        <v>31296191</v>
      </c>
      <c r="G19222">
        <v>31296253</v>
      </c>
      <c r="H19222">
        <v>31296722</v>
      </c>
      <c r="I19222">
        <v>31296794</v>
      </c>
    </row>
    <row r="19223" spans="1:9" x14ac:dyDescent="0.2">
      <c r="A19223" t="str">
        <f>"Slc37a2"</f>
        <v>Slc37a2</v>
      </c>
      <c r="B19223" t="s">
        <v>14</v>
      </c>
      <c r="C19223" t="s">
        <v>24</v>
      </c>
      <c r="D19223" t="s">
        <v>11</v>
      </c>
      <c r="E19223" t="s">
        <v>12</v>
      </c>
      <c r="F19223">
        <v>37255403</v>
      </c>
      <c r="G19223">
        <v>37255419</v>
      </c>
      <c r="H19223">
        <v>37255429</v>
      </c>
      <c r="I19223">
        <v>37255442</v>
      </c>
    </row>
    <row r="19224" spans="1:9" x14ac:dyDescent="0.2">
      <c r="A19224" t="str">
        <f>"Slc37a3"</f>
        <v>Slc37a3</v>
      </c>
      <c r="B19224" t="s">
        <v>14</v>
      </c>
      <c r="C19224" t="s">
        <v>32</v>
      </c>
      <c r="D19224" t="s">
        <v>11</v>
      </c>
      <c r="E19224" t="s">
        <v>12</v>
      </c>
      <c r="F19224">
        <v>39377681</v>
      </c>
      <c r="G19224">
        <v>39377710</v>
      </c>
      <c r="H19224">
        <v>39377641</v>
      </c>
      <c r="I19224">
        <v>39377678</v>
      </c>
    </row>
    <row r="19225" spans="1:9" x14ac:dyDescent="0.2">
      <c r="A19225" t="str">
        <f>"Slc37a4"</f>
        <v>Slc37a4</v>
      </c>
      <c r="B19225" t="s">
        <v>9</v>
      </c>
      <c r="C19225" t="s">
        <v>24</v>
      </c>
      <c r="D19225" t="s">
        <v>17</v>
      </c>
      <c r="E19225" t="s">
        <v>12</v>
      </c>
      <c r="F19225">
        <v>44398344</v>
      </c>
      <c r="G19225">
        <v>44398361</v>
      </c>
      <c r="H19225">
        <v>44398344</v>
      </c>
      <c r="I19225">
        <v>44398361</v>
      </c>
    </row>
    <row r="19226" spans="1:9" x14ac:dyDescent="0.2">
      <c r="A19226" t="str">
        <f>"Slc37a4"</f>
        <v>Slc37a4</v>
      </c>
      <c r="B19226" t="s">
        <v>13</v>
      </c>
      <c r="C19226" t="s">
        <v>24</v>
      </c>
      <c r="D19226" t="s">
        <v>17</v>
      </c>
      <c r="E19226" t="s">
        <v>12</v>
      </c>
      <c r="F19226">
        <v>44397058</v>
      </c>
      <c r="G19226">
        <v>44397128</v>
      </c>
      <c r="H19226">
        <v>44397058</v>
      </c>
      <c r="I19226">
        <v>44397128</v>
      </c>
    </row>
    <row r="19227" spans="1:9" x14ac:dyDescent="0.2">
      <c r="A19227" t="str">
        <f>"Slc38a1"</f>
        <v>Slc38a1</v>
      </c>
      <c r="B19227" t="s">
        <v>14</v>
      </c>
      <c r="C19227" t="s">
        <v>25</v>
      </c>
      <c r="D19227" t="s">
        <v>11</v>
      </c>
      <c r="E19227" t="s">
        <v>12</v>
      </c>
      <c r="F19227">
        <v>96642883</v>
      </c>
      <c r="G19227">
        <v>96642984</v>
      </c>
      <c r="H19227">
        <v>96642311</v>
      </c>
      <c r="I19227">
        <v>96642347</v>
      </c>
    </row>
    <row r="19228" spans="1:9" x14ac:dyDescent="0.2">
      <c r="A19228" t="str">
        <f>"Slc38a10"</f>
        <v>Slc38a10</v>
      </c>
      <c r="B19228" t="s">
        <v>14</v>
      </c>
      <c r="C19228" t="s">
        <v>27</v>
      </c>
      <c r="D19228" t="s">
        <v>11</v>
      </c>
      <c r="E19228" t="s">
        <v>12</v>
      </c>
      <c r="F19228">
        <v>120151194</v>
      </c>
      <c r="G19228">
        <v>120151354</v>
      </c>
      <c r="H19228">
        <v>120151194</v>
      </c>
      <c r="I19228">
        <v>120151354</v>
      </c>
    </row>
    <row r="19229" spans="1:9" x14ac:dyDescent="0.2">
      <c r="A19229" t="str">
        <f>"Slc38a11"</f>
        <v>Slc38a11</v>
      </c>
      <c r="B19229" t="s">
        <v>14</v>
      </c>
      <c r="C19229" t="s">
        <v>26</v>
      </c>
      <c r="D19229" t="s">
        <v>11</v>
      </c>
      <c r="E19229" t="s">
        <v>12</v>
      </c>
      <c r="F19229">
        <v>65364011</v>
      </c>
      <c r="G19229">
        <v>65364066</v>
      </c>
      <c r="H19229">
        <v>65363925</v>
      </c>
      <c r="I19229">
        <v>65363936</v>
      </c>
    </row>
    <row r="19230" spans="1:9" x14ac:dyDescent="0.2">
      <c r="A19230" t="str">
        <f>"Slc38a2"</f>
        <v>Slc38a2</v>
      </c>
      <c r="B19230" t="s">
        <v>14</v>
      </c>
      <c r="C19230" t="s">
        <v>25</v>
      </c>
      <c r="D19230" t="s">
        <v>11</v>
      </c>
      <c r="E19230" t="s">
        <v>12</v>
      </c>
      <c r="F19230">
        <v>96699698</v>
      </c>
      <c r="G19230">
        <v>96699717</v>
      </c>
      <c r="H19230">
        <v>96699731</v>
      </c>
      <c r="I19230">
        <v>96699734</v>
      </c>
    </row>
    <row r="19231" spans="1:9" x14ac:dyDescent="0.2">
      <c r="A19231" t="str">
        <f>"Slc38a3"</f>
        <v>Slc38a3</v>
      </c>
      <c r="B19231" t="s">
        <v>9</v>
      </c>
      <c r="C19231" t="s">
        <v>24</v>
      </c>
      <c r="D19231" t="s">
        <v>11</v>
      </c>
      <c r="E19231" t="s">
        <v>12</v>
      </c>
      <c r="F19231">
        <v>107667375</v>
      </c>
      <c r="G19231">
        <v>107667390</v>
      </c>
      <c r="H19231">
        <v>107667375</v>
      </c>
      <c r="I19231">
        <v>107667390</v>
      </c>
    </row>
    <row r="19232" spans="1:9" x14ac:dyDescent="0.2">
      <c r="A19232" t="str">
        <f>"Slc38a3"</f>
        <v>Slc38a3</v>
      </c>
      <c r="B19232" t="s">
        <v>13</v>
      </c>
      <c r="C19232" t="s">
        <v>24</v>
      </c>
      <c r="D19232" t="s">
        <v>11</v>
      </c>
      <c r="E19232" t="s">
        <v>12</v>
      </c>
      <c r="F19232">
        <v>107668967</v>
      </c>
      <c r="G19232">
        <v>107668995</v>
      </c>
      <c r="H19232">
        <v>107668967</v>
      </c>
      <c r="I19232">
        <v>107668995</v>
      </c>
    </row>
    <row r="19233" spans="1:9" x14ac:dyDescent="0.2">
      <c r="A19233" t="str">
        <f>"Slc38a4"</f>
        <v>Slc38a4</v>
      </c>
      <c r="B19233" t="s">
        <v>9</v>
      </c>
      <c r="C19233" t="s">
        <v>25</v>
      </c>
      <c r="D19233" t="s">
        <v>11</v>
      </c>
      <c r="E19233" t="s">
        <v>12</v>
      </c>
      <c r="F19233">
        <v>97031205</v>
      </c>
      <c r="G19233">
        <v>97031221</v>
      </c>
      <c r="H19233">
        <v>97031205</v>
      </c>
      <c r="I19233">
        <v>97031221</v>
      </c>
    </row>
    <row r="19234" spans="1:9" x14ac:dyDescent="0.2">
      <c r="A19234" t="str">
        <f>"Slc38a4"</f>
        <v>Slc38a4</v>
      </c>
      <c r="B19234" t="s">
        <v>13</v>
      </c>
      <c r="C19234" t="s">
        <v>25</v>
      </c>
      <c r="D19234" t="s">
        <v>11</v>
      </c>
      <c r="E19234" t="s">
        <v>12</v>
      </c>
      <c r="F19234">
        <v>97055942</v>
      </c>
      <c r="G19234">
        <v>97055964</v>
      </c>
      <c r="H19234">
        <v>97055942</v>
      </c>
      <c r="I19234">
        <v>97055964</v>
      </c>
    </row>
    <row r="19235" spans="1:9" x14ac:dyDescent="0.2">
      <c r="A19235" t="str">
        <f>"Slc38a5"</f>
        <v>Slc38a5</v>
      </c>
      <c r="B19235" t="s">
        <v>14</v>
      </c>
      <c r="C19235" t="s">
        <v>37</v>
      </c>
      <c r="D19235" t="s">
        <v>17</v>
      </c>
      <c r="E19235" t="s">
        <v>12</v>
      </c>
      <c r="F19235">
        <v>8271385</v>
      </c>
      <c r="G19235">
        <v>8271453</v>
      </c>
      <c r="H19235">
        <v>8271385</v>
      </c>
      <c r="I19235">
        <v>8271453</v>
      </c>
    </row>
    <row r="19236" spans="1:9" x14ac:dyDescent="0.2">
      <c r="A19236" t="str">
        <f>"Slc38a6"</f>
        <v>Slc38a6</v>
      </c>
      <c r="B19236" t="s">
        <v>14</v>
      </c>
      <c r="C19236" t="s">
        <v>16</v>
      </c>
      <c r="D19236" t="s">
        <v>17</v>
      </c>
      <c r="E19236" t="s">
        <v>12</v>
      </c>
      <c r="F19236">
        <v>73286868</v>
      </c>
      <c r="G19236">
        <v>73286913</v>
      </c>
      <c r="H19236">
        <v>73286823</v>
      </c>
      <c r="I19236">
        <v>73286864</v>
      </c>
    </row>
    <row r="19237" spans="1:9" x14ac:dyDescent="0.2">
      <c r="A19237" t="str">
        <f>"Slc38a7"</f>
        <v>Slc38a7</v>
      </c>
      <c r="B19237" t="s">
        <v>14</v>
      </c>
      <c r="C19237" t="s">
        <v>30</v>
      </c>
      <c r="D19237" t="s">
        <v>11</v>
      </c>
      <c r="E19237" t="s">
        <v>12</v>
      </c>
      <c r="F19237">
        <v>95853501</v>
      </c>
      <c r="G19237">
        <v>95853530</v>
      </c>
      <c r="H19237">
        <v>95853532</v>
      </c>
      <c r="I19237">
        <v>95853540</v>
      </c>
    </row>
    <row r="19238" spans="1:9" x14ac:dyDescent="0.2">
      <c r="A19238" t="str">
        <f>"Slc38a8"</f>
        <v>Slc38a8</v>
      </c>
      <c r="B19238" t="s">
        <v>14</v>
      </c>
      <c r="C19238" t="s">
        <v>30</v>
      </c>
      <c r="D19238" t="s">
        <v>11</v>
      </c>
      <c r="E19238" t="s">
        <v>12</v>
      </c>
      <c r="F19238">
        <v>119501698</v>
      </c>
      <c r="G19238">
        <v>119501726</v>
      </c>
      <c r="H19238">
        <v>119501761</v>
      </c>
      <c r="I19238">
        <v>119501766</v>
      </c>
    </row>
    <row r="19239" spans="1:9" x14ac:dyDescent="0.2">
      <c r="A19239" t="str">
        <f>"Slc38a9"</f>
        <v>Slc38a9</v>
      </c>
      <c r="B19239" t="s">
        <v>14</v>
      </c>
      <c r="C19239" t="s">
        <v>39</v>
      </c>
      <c r="D19239" t="s">
        <v>17</v>
      </c>
      <c r="E19239" t="s">
        <v>12</v>
      </c>
      <c r="F19239">
        <v>112660739</v>
      </c>
      <c r="G19239">
        <v>112660795</v>
      </c>
      <c r="H19239">
        <v>112660671</v>
      </c>
      <c r="I19239">
        <v>112660682</v>
      </c>
    </row>
    <row r="19240" spans="1:9" x14ac:dyDescent="0.2">
      <c r="A19240" t="str">
        <f>"Slc39a1"</f>
        <v>Slc39a1</v>
      </c>
      <c r="B19240" t="s">
        <v>14</v>
      </c>
      <c r="C19240" t="s">
        <v>22</v>
      </c>
      <c r="D19240" t="s">
        <v>17</v>
      </c>
      <c r="E19240" t="s">
        <v>12</v>
      </c>
      <c r="F19240">
        <v>90248195</v>
      </c>
      <c r="G19240">
        <v>90248228</v>
      </c>
      <c r="H19240">
        <v>90248886</v>
      </c>
      <c r="I19240">
        <v>90248927</v>
      </c>
    </row>
    <row r="19241" spans="1:9" x14ac:dyDescent="0.2">
      <c r="A19241" t="str">
        <f>"Slc39a10"</f>
        <v>Slc39a10</v>
      </c>
      <c r="B19241" t="s">
        <v>14</v>
      </c>
      <c r="C19241" t="s">
        <v>19</v>
      </c>
      <c r="D19241" t="s">
        <v>11</v>
      </c>
      <c r="E19241" t="s">
        <v>12</v>
      </c>
      <c r="F19241">
        <v>46853482</v>
      </c>
      <c r="G19241">
        <v>46853571</v>
      </c>
      <c r="H19241">
        <v>46853609</v>
      </c>
      <c r="I19241">
        <v>46853630</v>
      </c>
    </row>
    <row r="19242" spans="1:9" x14ac:dyDescent="0.2">
      <c r="A19242" t="str">
        <f>"Slc39a11"</f>
        <v>Slc39a11</v>
      </c>
      <c r="B19242" t="s">
        <v>14</v>
      </c>
      <c r="C19242" t="s">
        <v>27</v>
      </c>
      <c r="D19242" t="s">
        <v>11</v>
      </c>
      <c r="E19242" t="s">
        <v>12</v>
      </c>
      <c r="F19242">
        <v>113565740</v>
      </c>
      <c r="G19242">
        <v>113565792</v>
      </c>
      <c r="H19242">
        <v>113565740</v>
      </c>
      <c r="I19242">
        <v>113565792</v>
      </c>
    </row>
    <row r="19243" spans="1:9" x14ac:dyDescent="0.2">
      <c r="A19243" t="str">
        <f>"Slc39a12"</f>
        <v>Slc39a12</v>
      </c>
      <c r="B19243" t="s">
        <v>14</v>
      </c>
      <c r="C19243" t="s">
        <v>26</v>
      </c>
      <c r="D19243" t="s">
        <v>17</v>
      </c>
      <c r="E19243" t="s">
        <v>12</v>
      </c>
      <c r="F19243">
        <v>14388390</v>
      </c>
      <c r="G19243">
        <v>14388420</v>
      </c>
      <c r="H19243">
        <v>14388434</v>
      </c>
      <c r="I19243">
        <v>14388451</v>
      </c>
    </row>
    <row r="19244" spans="1:9" x14ac:dyDescent="0.2">
      <c r="A19244" t="str">
        <f>"Slc39a13"</f>
        <v>Slc39a13</v>
      </c>
      <c r="B19244" t="s">
        <v>14</v>
      </c>
      <c r="C19244" t="s">
        <v>26</v>
      </c>
      <c r="D19244" t="s">
        <v>11</v>
      </c>
      <c r="E19244" t="s">
        <v>12</v>
      </c>
      <c r="F19244">
        <v>91070180</v>
      </c>
      <c r="G19244">
        <v>91070249</v>
      </c>
      <c r="H19244">
        <v>91070302</v>
      </c>
      <c r="I19244">
        <v>91070346</v>
      </c>
    </row>
    <row r="19245" spans="1:9" x14ac:dyDescent="0.2">
      <c r="A19245" t="str">
        <f>"Slc39a14"</f>
        <v>Slc39a14</v>
      </c>
      <c r="B19245" t="s">
        <v>14</v>
      </c>
      <c r="C19245" t="s">
        <v>41</v>
      </c>
      <c r="D19245" t="s">
        <v>11</v>
      </c>
      <c r="E19245" t="s">
        <v>12</v>
      </c>
      <c r="F19245">
        <v>70351354</v>
      </c>
      <c r="G19245">
        <v>70351435</v>
      </c>
      <c r="H19245">
        <v>70351314</v>
      </c>
      <c r="I19245">
        <v>70351330</v>
      </c>
    </row>
    <row r="19246" spans="1:9" x14ac:dyDescent="0.2">
      <c r="A19246" t="str">
        <f>"Slc39a2"</f>
        <v>Slc39a2</v>
      </c>
      <c r="B19246" t="s">
        <v>14</v>
      </c>
      <c r="C19246" t="s">
        <v>41</v>
      </c>
      <c r="D19246" t="s">
        <v>17</v>
      </c>
      <c r="E19246" t="s">
        <v>12</v>
      </c>
      <c r="F19246">
        <v>51893632</v>
      </c>
      <c r="G19246">
        <v>51893677</v>
      </c>
      <c r="H19246">
        <v>51893632</v>
      </c>
      <c r="I19246">
        <v>51893677</v>
      </c>
    </row>
    <row r="19247" spans="1:9" x14ac:dyDescent="0.2">
      <c r="A19247" t="str">
        <f>"Slc39a3"</f>
        <v>Slc39a3</v>
      </c>
      <c r="B19247" t="s">
        <v>14</v>
      </c>
      <c r="C19247" t="s">
        <v>15</v>
      </c>
      <c r="D19247" t="s">
        <v>11</v>
      </c>
      <c r="E19247" t="s">
        <v>12</v>
      </c>
      <c r="F19247">
        <v>81037300</v>
      </c>
      <c r="G19247">
        <v>81037339</v>
      </c>
      <c r="H19247">
        <v>81037258</v>
      </c>
      <c r="I19247">
        <v>81037295</v>
      </c>
    </row>
    <row r="19248" spans="1:9" x14ac:dyDescent="0.2">
      <c r="A19248" t="str">
        <f>"Slc39a4"</f>
        <v>Slc39a4</v>
      </c>
      <c r="B19248" t="s">
        <v>14</v>
      </c>
      <c r="C19248" t="s">
        <v>25</v>
      </c>
      <c r="D19248" t="s">
        <v>11</v>
      </c>
      <c r="E19248" t="s">
        <v>12</v>
      </c>
      <c r="F19248">
        <v>76616841</v>
      </c>
      <c r="G19248">
        <v>76616876</v>
      </c>
      <c r="H19248">
        <v>76616825</v>
      </c>
      <c r="I19248">
        <v>76616837</v>
      </c>
    </row>
    <row r="19249" spans="1:9" x14ac:dyDescent="0.2">
      <c r="A19249" t="str">
        <f>"Slc39a5"</f>
        <v>Slc39a5</v>
      </c>
      <c r="B19249" t="s">
        <v>14</v>
      </c>
      <c r="C19249" t="s">
        <v>15</v>
      </c>
      <c r="D19249" t="s">
        <v>11</v>
      </c>
      <c r="E19249" t="s">
        <v>12</v>
      </c>
      <c r="F19249">
        <v>128401218</v>
      </c>
      <c r="G19249">
        <v>128401234</v>
      </c>
      <c r="H19249">
        <v>128401192</v>
      </c>
      <c r="I19249">
        <v>128401214</v>
      </c>
    </row>
    <row r="19250" spans="1:9" x14ac:dyDescent="0.2">
      <c r="A19250" t="str">
        <f>"Slc39a6"</f>
        <v>Slc39a6</v>
      </c>
      <c r="B19250" t="s">
        <v>14</v>
      </c>
      <c r="C19250" t="s">
        <v>43</v>
      </c>
      <c r="D19250" t="s">
        <v>11</v>
      </c>
      <c r="E19250" t="s">
        <v>12</v>
      </c>
      <c r="F19250">
        <v>24603791</v>
      </c>
      <c r="G19250">
        <v>24603843</v>
      </c>
      <c r="H19250">
        <v>24603464</v>
      </c>
      <c r="I19250">
        <v>24603530</v>
      </c>
    </row>
    <row r="19251" spans="1:9" x14ac:dyDescent="0.2">
      <c r="A19251" t="str">
        <f>"Slc39a7"</f>
        <v>Slc39a7</v>
      </c>
      <c r="B19251" t="s">
        <v>14</v>
      </c>
      <c r="C19251" t="s">
        <v>28</v>
      </c>
      <c r="D19251" t="s">
        <v>11</v>
      </c>
      <c r="E19251" t="s">
        <v>12</v>
      </c>
      <c r="F19251">
        <v>34031644</v>
      </c>
      <c r="G19251">
        <v>34031667</v>
      </c>
      <c r="H19251">
        <v>34031684</v>
      </c>
      <c r="I19251">
        <v>34031699</v>
      </c>
    </row>
    <row r="19252" spans="1:9" x14ac:dyDescent="0.2">
      <c r="A19252" t="str">
        <f>"Slc39a8"</f>
        <v>Slc39a8</v>
      </c>
      <c r="B19252" t="s">
        <v>14</v>
      </c>
      <c r="C19252" t="s">
        <v>22</v>
      </c>
      <c r="D19252" t="s">
        <v>17</v>
      </c>
      <c r="E19252" t="s">
        <v>12</v>
      </c>
      <c r="F19252">
        <v>135825648</v>
      </c>
      <c r="G19252">
        <v>135825664</v>
      </c>
      <c r="H19252">
        <v>135825648</v>
      </c>
      <c r="I19252">
        <v>135825664</v>
      </c>
    </row>
    <row r="19253" spans="1:9" x14ac:dyDescent="0.2">
      <c r="A19253" t="str">
        <f>"Slc39a9"</f>
        <v>Slc39a9</v>
      </c>
      <c r="B19253" t="s">
        <v>14</v>
      </c>
      <c r="C19253" t="s">
        <v>16</v>
      </c>
      <c r="D19253" t="s">
        <v>17</v>
      </c>
      <c r="E19253" t="s">
        <v>12</v>
      </c>
      <c r="F19253">
        <v>80644212</v>
      </c>
      <c r="G19253">
        <v>80644265</v>
      </c>
      <c r="H19253">
        <v>80644212</v>
      </c>
      <c r="I19253">
        <v>80644265</v>
      </c>
    </row>
    <row r="19254" spans="1:9" x14ac:dyDescent="0.2">
      <c r="A19254" t="str">
        <f>"Slc3a1"</f>
        <v>Slc3a1</v>
      </c>
      <c r="B19254" t="s">
        <v>14</v>
      </c>
      <c r="C19254" t="s">
        <v>28</v>
      </c>
      <c r="D19254" t="s">
        <v>17</v>
      </c>
      <c r="E19254" t="s">
        <v>12</v>
      </c>
      <c r="F19254">
        <v>85028347</v>
      </c>
      <c r="G19254">
        <v>85028404</v>
      </c>
      <c r="H19254">
        <v>85028347</v>
      </c>
      <c r="I19254">
        <v>85028404</v>
      </c>
    </row>
    <row r="19255" spans="1:9" x14ac:dyDescent="0.2">
      <c r="A19255" t="str">
        <f>"Slc3a2"</f>
        <v>Slc3a2</v>
      </c>
      <c r="B19255" t="s">
        <v>9</v>
      </c>
      <c r="C19255" t="s">
        <v>10</v>
      </c>
      <c r="D19255" t="s">
        <v>11</v>
      </c>
      <c r="E19255" t="s">
        <v>12</v>
      </c>
      <c r="F19255">
        <v>8713862</v>
      </c>
      <c r="G19255">
        <v>8713881</v>
      </c>
      <c r="H19255">
        <v>8713862</v>
      </c>
      <c r="I19255">
        <v>8713881</v>
      </c>
    </row>
    <row r="19256" spans="1:9" x14ac:dyDescent="0.2">
      <c r="A19256" t="str">
        <f>"Slc3a2"</f>
        <v>Slc3a2</v>
      </c>
      <c r="B19256" t="s">
        <v>13</v>
      </c>
      <c r="C19256" t="s">
        <v>10</v>
      </c>
      <c r="D19256" t="s">
        <v>11</v>
      </c>
      <c r="E19256" t="s">
        <v>12</v>
      </c>
      <c r="F19256">
        <v>8723166</v>
      </c>
      <c r="G19256">
        <v>8723287</v>
      </c>
      <c r="H19256">
        <v>8723166</v>
      </c>
      <c r="I19256">
        <v>8723287</v>
      </c>
    </row>
    <row r="19257" spans="1:9" x14ac:dyDescent="0.2">
      <c r="A19257" t="str">
        <f>"Slc40a1"</f>
        <v>Slc40a1</v>
      </c>
      <c r="B19257" t="s">
        <v>14</v>
      </c>
      <c r="C19257" t="s">
        <v>19</v>
      </c>
      <c r="D19257" t="s">
        <v>11</v>
      </c>
      <c r="E19257" t="s">
        <v>12</v>
      </c>
      <c r="F19257">
        <v>45925570</v>
      </c>
      <c r="G19257">
        <v>45925588</v>
      </c>
      <c r="H19257">
        <v>45926501</v>
      </c>
      <c r="I19257">
        <v>45926560</v>
      </c>
    </row>
    <row r="19258" spans="1:9" x14ac:dyDescent="0.2">
      <c r="A19258" t="str">
        <f>"Slc41a1"</f>
        <v>Slc41a1</v>
      </c>
      <c r="B19258" t="s">
        <v>14</v>
      </c>
      <c r="C19258" t="s">
        <v>19</v>
      </c>
      <c r="D19258" t="s">
        <v>17</v>
      </c>
      <c r="E19258" t="s">
        <v>12</v>
      </c>
      <c r="F19258">
        <v>131828002</v>
      </c>
      <c r="G19258">
        <v>131828019</v>
      </c>
      <c r="H19258">
        <v>131828032</v>
      </c>
      <c r="I19258">
        <v>131828049</v>
      </c>
    </row>
    <row r="19259" spans="1:9" x14ac:dyDescent="0.2">
      <c r="A19259" t="str">
        <f>"Slc41a2"</f>
        <v>Slc41a2</v>
      </c>
      <c r="B19259" t="s">
        <v>14</v>
      </c>
      <c r="C19259" t="s">
        <v>15</v>
      </c>
      <c r="D19259" t="s">
        <v>11</v>
      </c>
      <c r="E19259" t="s">
        <v>12</v>
      </c>
      <c r="F19259">
        <v>83337845</v>
      </c>
      <c r="G19259">
        <v>83337880</v>
      </c>
      <c r="H19259">
        <v>83337810</v>
      </c>
      <c r="I19259">
        <v>83337833</v>
      </c>
    </row>
    <row r="19260" spans="1:9" x14ac:dyDescent="0.2">
      <c r="A19260" t="str">
        <f>"Slc41a3"</f>
        <v>Slc41a3</v>
      </c>
      <c r="B19260" t="s">
        <v>14</v>
      </c>
      <c r="C19260" t="s">
        <v>32</v>
      </c>
      <c r="D19260" t="s">
        <v>17</v>
      </c>
      <c r="E19260" t="s">
        <v>12</v>
      </c>
      <c r="F19260">
        <v>90604908</v>
      </c>
      <c r="G19260">
        <v>90604959</v>
      </c>
      <c r="H19260">
        <v>90604908</v>
      </c>
      <c r="I19260">
        <v>90604959</v>
      </c>
    </row>
    <row r="19261" spans="1:9" x14ac:dyDescent="0.2">
      <c r="A19261" t="str">
        <f>"Slc43a1"</f>
        <v>Slc43a1</v>
      </c>
      <c r="B19261" t="s">
        <v>9</v>
      </c>
      <c r="C19261" t="s">
        <v>26</v>
      </c>
      <c r="D19261" t="s">
        <v>17</v>
      </c>
      <c r="E19261" t="s">
        <v>12</v>
      </c>
      <c r="F19261">
        <v>84839408</v>
      </c>
      <c r="G19261">
        <v>84839424</v>
      </c>
      <c r="H19261">
        <v>84839408</v>
      </c>
      <c r="I19261">
        <v>84839424</v>
      </c>
    </row>
    <row r="19262" spans="1:9" x14ac:dyDescent="0.2">
      <c r="A19262" t="str">
        <f>"Slc43a1"</f>
        <v>Slc43a1</v>
      </c>
      <c r="B19262" t="s">
        <v>13</v>
      </c>
      <c r="C19262" t="s">
        <v>26</v>
      </c>
      <c r="D19262" t="s">
        <v>17</v>
      </c>
      <c r="E19262" t="s">
        <v>12</v>
      </c>
      <c r="F19262">
        <v>84840649</v>
      </c>
      <c r="G19262">
        <v>84840662</v>
      </c>
      <c r="H19262">
        <v>84840649</v>
      </c>
      <c r="I19262">
        <v>84840662</v>
      </c>
    </row>
    <row r="19263" spans="1:9" x14ac:dyDescent="0.2">
      <c r="A19263" t="str">
        <f>"Slc43a2"</f>
        <v>Slc43a2</v>
      </c>
      <c r="B19263" t="s">
        <v>14</v>
      </c>
      <c r="C19263" t="s">
        <v>27</v>
      </c>
      <c r="D19263" t="s">
        <v>17</v>
      </c>
      <c r="E19263" t="s">
        <v>12</v>
      </c>
      <c r="F19263">
        <v>75531690</v>
      </c>
      <c r="G19263">
        <v>75531732</v>
      </c>
      <c r="H19263">
        <v>75532127</v>
      </c>
      <c r="I19263">
        <v>75532151</v>
      </c>
    </row>
    <row r="19264" spans="1:9" x14ac:dyDescent="0.2">
      <c r="A19264" t="str">
        <f>"Slc43a3"</f>
        <v>Slc43a3</v>
      </c>
      <c r="B19264" t="s">
        <v>14</v>
      </c>
      <c r="C19264" t="s">
        <v>26</v>
      </c>
      <c r="D19264" t="s">
        <v>17</v>
      </c>
      <c r="E19264" t="s">
        <v>12</v>
      </c>
      <c r="F19264">
        <v>84936611</v>
      </c>
      <c r="G19264">
        <v>84936712</v>
      </c>
      <c r="H19264">
        <v>84936583</v>
      </c>
      <c r="I19264">
        <v>84936606</v>
      </c>
    </row>
    <row r="19265" spans="1:9" x14ac:dyDescent="0.2">
      <c r="A19265" t="str">
        <f>"Slc44a1"</f>
        <v>Slc44a1</v>
      </c>
      <c r="B19265" t="s">
        <v>14</v>
      </c>
      <c r="C19265" t="s">
        <v>23</v>
      </c>
      <c r="D19265" t="s">
        <v>17</v>
      </c>
      <c r="E19265" t="s">
        <v>12</v>
      </c>
      <c r="F19265">
        <v>53440388</v>
      </c>
      <c r="G19265">
        <v>53440502</v>
      </c>
      <c r="H19265">
        <v>53440516</v>
      </c>
      <c r="I19265">
        <v>53440548</v>
      </c>
    </row>
    <row r="19266" spans="1:9" x14ac:dyDescent="0.2">
      <c r="A19266" t="str">
        <f>"Slc44a2"</f>
        <v>Slc44a2</v>
      </c>
      <c r="B19266" t="s">
        <v>9</v>
      </c>
      <c r="C19266" t="s">
        <v>24</v>
      </c>
      <c r="D19266" t="s">
        <v>17</v>
      </c>
      <c r="E19266" t="s">
        <v>12</v>
      </c>
      <c r="F19266">
        <v>21320720</v>
      </c>
      <c r="G19266">
        <v>21320807</v>
      </c>
      <c r="H19266">
        <v>21320720</v>
      </c>
      <c r="I19266">
        <v>21320807</v>
      </c>
    </row>
    <row r="19267" spans="1:9" x14ac:dyDescent="0.2">
      <c r="A19267" t="str">
        <f>"Slc44a2"</f>
        <v>Slc44a2</v>
      </c>
      <c r="B19267" t="s">
        <v>13</v>
      </c>
      <c r="C19267" t="s">
        <v>24</v>
      </c>
      <c r="D19267" t="s">
        <v>17</v>
      </c>
      <c r="E19267" t="s">
        <v>12</v>
      </c>
      <c r="F19267">
        <v>21337832</v>
      </c>
      <c r="G19267">
        <v>21337859</v>
      </c>
      <c r="H19267">
        <v>21337832</v>
      </c>
      <c r="I19267">
        <v>21337859</v>
      </c>
    </row>
    <row r="19268" spans="1:9" x14ac:dyDescent="0.2">
      <c r="A19268" t="str">
        <f>"Slc44a3"</f>
        <v>Slc44a3</v>
      </c>
      <c r="B19268" t="s">
        <v>14</v>
      </c>
      <c r="C19268" t="s">
        <v>22</v>
      </c>
      <c r="D19268" t="s">
        <v>11</v>
      </c>
      <c r="E19268" t="s">
        <v>12</v>
      </c>
      <c r="F19268">
        <v>121532271</v>
      </c>
      <c r="G19268">
        <v>121532341</v>
      </c>
      <c r="H19268">
        <v>121532240</v>
      </c>
      <c r="I19268">
        <v>121532269</v>
      </c>
    </row>
    <row r="19269" spans="1:9" x14ac:dyDescent="0.2">
      <c r="A19269" t="str">
        <f>"Slc44a4"</f>
        <v>Slc44a4</v>
      </c>
      <c r="B19269" t="s">
        <v>14</v>
      </c>
      <c r="C19269" t="s">
        <v>28</v>
      </c>
      <c r="D19269" t="s">
        <v>17</v>
      </c>
      <c r="E19269" t="s">
        <v>12</v>
      </c>
      <c r="F19269">
        <v>34914459</v>
      </c>
      <c r="G19269">
        <v>34914476</v>
      </c>
      <c r="H19269">
        <v>34914432</v>
      </c>
      <c r="I19269">
        <v>34914446</v>
      </c>
    </row>
    <row r="19270" spans="1:9" x14ac:dyDescent="0.2">
      <c r="A19270" t="str">
        <f>"Slc44a5"</f>
        <v>Slc44a5</v>
      </c>
      <c r="B19270" t="s">
        <v>14</v>
      </c>
      <c r="C19270" t="s">
        <v>22</v>
      </c>
      <c r="D19270" t="s">
        <v>17</v>
      </c>
      <c r="E19270" t="s">
        <v>12</v>
      </c>
      <c r="F19270">
        <v>153973625</v>
      </c>
      <c r="G19270">
        <v>153973690</v>
      </c>
      <c r="H19270">
        <v>153973491</v>
      </c>
      <c r="I19270">
        <v>153973520</v>
      </c>
    </row>
    <row r="19271" spans="1:9" x14ac:dyDescent="0.2">
      <c r="A19271" t="str">
        <f>"Slc45a1"</f>
        <v>Slc45a1</v>
      </c>
      <c r="B19271" t="s">
        <v>14</v>
      </c>
      <c r="C19271" t="s">
        <v>23</v>
      </c>
      <c r="D19271" t="s">
        <v>11</v>
      </c>
      <c r="E19271" t="s">
        <v>12</v>
      </c>
      <c r="F19271">
        <v>150652125</v>
      </c>
      <c r="G19271">
        <v>150652181</v>
      </c>
      <c r="H19271">
        <v>150652092</v>
      </c>
      <c r="I19271">
        <v>150652104</v>
      </c>
    </row>
    <row r="19272" spans="1:9" x14ac:dyDescent="0.2">
      <c r="A19272" t="str">
        <f>"Slc45a2"</f>
        <v>Slc45a2</v>
      </c>
      <c r="B19272" t="s">
        <v>14</v>
      </c>
      <c r="C19272" t="s">
        <v>25</v>
      </c>
      <c r="D19272" t="s">
        <v>17</v>
      </c>
      <c r="E19272" t="s">
        <v>12</v>
      </c>
      <c r="F19272">
        <v>11000716</v>
      </c>
      <c r="G19272">
        <v>11000736</v>
      </c>
      <c r="H19272">
        <v>11000748</v>
      </c>
      <c r="I19272">
        <v>11000763</v>
      </c>
    </row>
    <row r="19273" spans="1:9" x14ac:dyDescent="0.2">
      <c r="A19273" t="str">
        <f>"Slc45a3"</f>
        <v>Slc45a3</v>
      </c>
      <c r="B19273" t="s">
        <v>14</v>
      </c>
      <c r="C19273" t="s">
        <v>19</v>
      </c>
      <c r="D19273" t="s">
        <v>17</v>
      </c>
      <c r="E19273" t="s">
        <v>12</v>
      </c>
      <c r="F19273">
        <v>131962987</v>
      </c>
      <c r="G19273">
        <v>131963001</v>
      </c>
      <c r="H19273">
        <v>131962941</v>
      </c>
      <c r="I19273">
        <v>131962969</v>
      </c>
    </row>
    <row r="19274" spans="1:9" x14ac:dyDescent="0.2">
      <c r="A19274" t="str">
        <f>"Slc45a4"</f>
        <v>Slc45a4</v>
      </c>
      <c r="B19274" t="s">
        <v>14</v>
      </c>
      <c r="C19274" t="s">
        <v>25</v>
      </c>
      <c r="D19274" t="s">
        <v>11</v>
      </c>
      <c r="E19274" t="s">
        <v>12</v>
      </c>
      <c r="F19274">
        <v>73645665</v>
      </c>
      <c r="G19274">
        <v>73645750</v>
      </c>
      <c r="H19274">
        <v>73645665</v>
      </c>
      <c r="I19274">
        <v>73645750</v>
      </c>
    </row>
    <row r="19275" spans="1:9" x14ac:dyDescent="0.2">
      <c r="A19275" t="str">
        <f>"Slc46a1"</f>
        <v>Slc46a1</v>
      </c>
      <c r="B19275" t="s">
        <v>14</v>
      </c>
      <c r="C19275" t="s">
        <v>27</v>
      </c>
      <c r="D19275" t="s">
        <v>17</v>
      </c>
      <c r="E19275" t="s">
        <v>12</v>
      </c>
      <c r="F19275">
        <v>78465697</v>
      </c>
      <c r="G19275">
        <v>78465735</v>
      </c>
      <c r="H19275">
        <v>78465667</v>
      </c>
      <c r="I19275">
        <v>78465689</v>
      </c>
    </row>
    <row r="19276" spans="1:9" x14ac:dyDescent="0.2">
      <c r="A19276" t="str">
        <f>"Slc46a2"</f>
        <v>Slc46a2</v>
      </c>
      <c r="B19276" t="s">
        <v>14</v>
      </c>
      <c r="C19276" t="s">
        <v>23</v>
      </c>
      <c r="D19276" t="s">
        <v>11</v>
      </c>
      <c r="E19276" t="s">
        <v>12</v>
      </c>
      <c r="F19276">
        <v>59915035</v>
      </c>
      <c r="G19276">
        <v>59915063</v>
      </c>
      <c r="H19276">
        <v>59914950</v>
      </c>
      <c r="I19276">
        <v>59914961</v>
      </c>
    </row>
    <row r="19277" spans="1:9" x14ac:dyDescent="0.2">
      <c r="A19277" t="str">
        <f>"Slc46a3"</f>
        <v>Slc46a3</v>
      </c>
      <c r="B19277" t="s">
        <v>14</v>
      </c>
      <c r="C19277" t="s">
        <v>46</v>
      </c>
      <c r="D19277" t="s">
        <v>11</v>
      </c>
      <c r="E19277" t="s">
        <v>12</v>
      </c>
      <c r="F19277">
        <v>147894804</v>
      </c>
      <c r="G19277">
        <v>147894830</v>
      </c>
      <c r="H19277">
        <v>147894787</v>
      </c>
      <c r="I19277">
        <v>147894798</v>
      </c>
    </row>
    <row r="19278" spans="1:9" x14ac:dyDescent="0.2">
      <c r="A19278" t="str">
        <f>"Slc47a1"</f>
        <v>Slc47a1</v>
      </c>
      <c r="B19278" t="s">
        <v>14</v>
      </c>
      <c r="C19278" t="s">
        <v>27</v>
      </c>
      <c r="D19278" t="s">
        <v>11</v>
      </c>
      <c r="E19278" t="s">
        <v>12</v>
      </c>
      <c r="F19278">
        <v>61378052</v>
      </c>
      <c r="G19278">
        <v>61378085</v>
      </c>
      <c r="H19278">
        <v>61378306</v>
      </c>
      <c r="I19278">
        <v>61378347</v>
      </c>
    </row>
    <row r="19279" spans="1:9" x14ac:dyDescent="0.2">
      <c r="A19279" t="str">
        <f>"Slc47a2"</f>
        <v>Slc47a2</v>
      </c>
      <c r="B19279" t="s">
        <v>14</v>
      </c>
      <c r="C19279" t="s">
        <v>27</v>
      </c>
      <c r="D19279" t="s">
        <v>11</v>
      </c>
      <c r="E19279" t="s">
        <v>12</v>
      </c>
      <c r="F19279">
        <v>61342821</v>
      </c>
      <c r="G19279">
        <v>61342868</v>
      </c>
      <c r="H19279">
        <v>61342794</v>
      </c>
      <c r="I19279">
        <v>61342803</v>
      </c>
    </row>
    <row r="19280" spans="1:9" x14ac:dyDescent="0.2">
      <c r="A19280" t="str">
        <f>"Slc48a1"</f>
        <v>Slc48a1</v>
      </c>
      <c r="B19280" t="s">
        <v>14</v>
      </c>
      <c r="C19280" t="s">
        <v>25</v>
      </c>
      <c r="D19280" t="s">
        <v>17</v>
      </c>
      <c r="E19280" t="s">
        <v>12</v>
      </c>
      <c r="F19280">
        <v>97784365</v>
      </c>
      <c r="G19280">
        <v>97784457</v>
      </c>
      <c r="H19280">
        <v>97784467</v>
      </c>
      <c r="I19280">
        <v>97784475</v>
      </c>
    </row>
    <row r="19281" spans="1:9" x14ac:dyDescent="0.2">
      <c r="A19281" t="str">
        <f>"Slc4a1"</f>
        <v>Slc4a1</v>
      </c>
      <c r="B19281" t="s">
        <v>9</v>
      </c>
      <c r="C19281" t="s">
        <v>27</v>
      </c>
      <c r="D19281" t="s">
        <v>11</v>
      </c>
      <c r="E19281" t="s">
        <v>12</v>
      </c>
      <c r="F19281">
        <v>102365111</v>
      </c>
      <c r="G19281">
        <v>102365168</v>
      </c>
      <c r="H19281">
        <v>102365111</v>
      </c>
      <c r="I19281">
        <v>102365168</v>
      </c>
    </row>
    <row r="19282" spans="1:9" x14ac:dyDescent="0.2">
      <c r="A19282" t="str">
        <f>"Slc4a1"</f>
        <v>Slc4a1</v>
      </c>
      <c r="B19282" t="s">
        <v>13</v>
      </c>
      <c r="C19282" t="s">
        <v>27</v>
      </c>
      <c r="D19282" t="s">
        <v>11</v>
      </c>
      <c r="E19282" t="s">
        <v>12</v>
      </c>
      <c r="F19282">
        <v>102360565</v>
      </c>
      <c r="G19282">
        <v>102360570</v>
      </c>
      <c r="H19282">
        <v>102360565</v>
      </c>
      <c r="I19282">
        <v>102360570</v>
      </c>
    </row>
    <row r="19283" spans="1:9" x14ac:dyDescent="0.2">
      <c r="A19283" t="str">
        <f>"Slc4a10"</f>
        <v>Slc4a10</v>
      </c>
      <c r="B19283" t="s">
        <v>14</v>
      </c>
      <c r="C19283" t="s">
        <v>26</v>
      </c>
      <c r="D19283" t="s">
        <v>17</v>
      </c>
      <c r="E19283" t="s">
        <v>12</v>
      </c>
      <c r="F19283">
        <v>62046511</v>
      </c>
      <c r="G19283">
        <v>62046571</v>
      </c>
      <c r="H19283">
        <v>62046491</v>
      </c>
      <c r="I19283">
        <v>62046505</v>
      </c>
    </row>
    <row r="19284" spans="1:9" x14ac:dyDescent="0.2">
      <c r="A19284" t="str">
        <f>"Slc4a11"</f>
        <v>Slc4a11</v>
      </c>
      <c r="B19284" t="s">
        <v>14</v>
      </c>
      <c r="C19284" t="s">
        <v>26</v>
      </c>
      <c r="D19284" t="s">
        <v>11</v>
      </c>
      <c r="E19284" t="s">
        <v>12</v>
      </c>
      <c r="F19284">
        <v>130697462</v>
      </c>
      <c r="G19284">
        <v>130697481</v>
      </c>
      <c r="H19284">
        <v>130697543</v>
      </c>
      <c r="I19284">
        <v>130697584</v>
      </c>
    </row>
    <row r="19285" spans="1:9" x14ac:dyDescent="0.2">
      <c r="A19285" t="str">
        <f>"Slc4a1ap"</f>
        <v>Slc4a1ap</v>
      </c>
      <c r="B19285" t="s">
        <v>14</v>
      </c>
      <c r="C19285" t="s">
        <v>46</v>
      </c>
      <c r="D19285" t="s">
        <v>17</v>
      </c>
      <c r="E19285" t="s">
        <v>12</v>
      </c>
      <c r="F19285">
        <v>31526989</v>
      </c>
      <c r="G19285">
        <v>31527034</v>
      </c>
      <c r="H19285">
        <v>31526757</v>
      </c>
      <c r="I19285">
        <v>31526787</v>
      </c>
    </row>
    <row r="19286" spans="1:9" x14ac:dyDescent="0.2">
      <c r="A19286" t="str">
        <f>"Slc4a2"</f>
        <v>Slc4a2</v>
      </c>
      <c r="B19286" t="s">
        <v>9</v>
      </c>
      <c r="C19286" t="s">
        <v>46</v>
      </c>
      <c r="D19286" t="s">
        <v>17</v>
      </c>
      <c r="E19286" t="s">
        <v>12</v>
      </c>
      <c r="F19286">
        <v>24425250</v>
      </c>
      <c r="G19286">
        <v>24425291</v>
      </c>
      <c r="H19286">
        <v>24425250</v>
      </c>
      <c r="I19286">
        <v>24425291</v>
      </c>
    </row>
    <row r="19287" spans="1:9" x14ac:dyDescent="0.2">
      <c r="A19287" t="str">
        <f>"Slc4a2"</f>
        <v>Slc4a2</v>
      </c>
      <c r="B19287" t="s">
        <v>13</v>
      </c>
      <c r="C19287" t="s">
        <v>46</v>
      </c>
      <c r="D19287" t="s">
        <v>17</v>
      </c>
      <c r="E19287" t="s">
        <v>12</v>
      </c>
      <c r="F19287">
        <v>24423805</v>
      </c>
      <c r="G19287">
        <v>24423848</v>
      </c>
      <c r="H19287">
        <v>24423805</v>
      </c>
      <c r="I19287">
        <v>24423848</v>
      </c>
    </row>
    <row r="19288" spans="1:9" x14ac:dyDescent="0.2">
      <c r="A19288" t="str">
        <f>"Slc4a3"</f>
        <v>Slc4a3</v>
      </c>
      <c r="B19288" t="s">
        <v>14</v>
      </c>
      <c r="C19288" t="s">
        <v>19</v>
      </c>
      <c r="D19288" t="s">
        <v>17</v>
      </c>
      <c r="E19288" t="s">
        <v>12</v>
      </c>
      <c r="F19288">
        <v>75546449</v>
      </c>
      <c r="G19288">
        <v>75546514</v>
      </c>
      <c r="H19288">
        <v>75546258</v>
      </c>
      <c r="I19288">
        <v>75546312</v>
      </c>
    </row>
    <row r="19289" spans="1:9" x14ac:dyDescent="0.2">
      <c r="A19289" t="str">
        <f>"Slc4a4"</f>
        <v>Slc4a4</v>
      </c>
      <c r="B19289" t="s">
        <v>14</v>
      </c>
      <c r="C19289" t="s">
        <v>46</v>
      </c>
      <c r="D19289" t="s">
        <v>17</v>
      </c>
      <c r="E19289" t="s">
        <v>12</v>
      </c>
      <c r="F19289">
        <v>88886809</v>
      </c>
      <c r="G19289">
        <v>88886825</v>
      </c>
      <c r="H19289">
        <v>88886809</v>
      </c>
      <c r="I19289">
        <v>88886825</v>
      </c>
    </row>
    <row r="19290" spans="1:9" x14ac:dyDescent="0.2">
      <c r="A19290" t="str">
        <f>"Slc4a5"</f>
        <v>Slc4a5</v>
      </c>
      <c r="B19290" t="s">
        <v>14</v>
      </c>
      <c r="C19290" t="s">
        <v>32</v>
      </c>
      <c r="D19290" t="s">
        <v>17</v>
      </c>
      <c r="E19290" t="s">
        <v>12</v>
      </c>
      <c r="F19290">
        <v>83237562</v>
      </c>
      <c r="G19290">
        <v>83237580</v>
      </c>
      <c r="H19290">
        <v>83237562</v>
      </c>
      <c r="I19290">
        <v>83237580</v>
      </c>
    </row>
    <row r="19291" spans="1:9" x14ac:dyDescent="0.2">
      <c r="A19291" t="str">
        <f>"Slc4a7"</f>
        <v>Slc4a7</v>
      </c>
      <c r="B19291" t="s">
        <v>14</v>
      </c>
      <c r="C19291" t="s">
        <v>41</v>
      </c>
      <c r="D19291" t="s">
        <v>17</v>
      </c>
      <c r="E19291" t="s">
        <v>12</v>
      </c>
      <c r="F19291">
        <v>14703042</v>
      </c>
      <c r="G19291">
        <v>14703073</v>
      </c>
      <c r="H19291">
        <v>14703042</v>
      </c>
      <c r="I19291">
        <v>14703073</v>
      </c>
    </row>
    <row r="19292" spans="1:9" x14ac:dyDescent="0.2">
      <c r="A19292" t="str">
        <f>"Slc4a8"</f>
        <v>Slc4a8</v>
      </c>
      <c r="B19292" t="s">
        <v>14</v>
      </c>
      <c r="C19292" t="s">
        <v>25</v>
      </c>
      <c r="D19292" t="s">
        <v>17</v>
      </c>
      <c r="E19292" t="s">
        <v>12</v>
      </c>
      <c r="F19292">
        <v>100761741</v>
      </c>
      <c r="G19292">
        <v>100761797</v>
      </c>
      <c r="H19292">
        <v>100761849</v>
      </c>
      <c r="I19292">
        <v>100761864</v>
      </c>
    </row>
    <row r="19293" spans="1:9" x14ac:dyDescent="0.2">
      <c r="A19293" t="str">
        <f>"Slc4a9"</f>
        <v>Slc4a9</v>
      </c>
      <c r="B19293" t="s">
        <v>9</v>
      </c>
      <c r="C19293" t="s">
        <v>43</v>
      </c>
      <c r="D19293" t="s">
        <v>17</v>
      </c>
      <c r="E19293" t="s">
        <v>12</v>
      </c>
      <c r="F19293">
        <v>36528145</v>
      </c>
      <c r="G19293">
        <v>36528154</v>
      </c>
      <c r="H19293">
        <v>36528145</v>
      </c>
      <c r="I19293">
        <v>36528154</v>
      </c>
    </row>
    <row r="19294" spans="1:9" x14ac:dyDescent="0.2">
      <c r="A19294" t="str">
        <f>"Slc4a9"</f>
        <v>Slc4a9</v>
      </c>
      <c r="B19294" t="s">
        <v>13</v>
      </c>
      <c r="C19294" t="s">
        <v>43</v>
      </c>
      <c r="D19294" t="s">
        <v>17</v>
      </c>
      <c r="E19294" t="s">
        <v>12</v>
      </c>
      <c r="F19294">
        <v>36529223</v>
      </c>
      <c r="G19294">
        <v>36529241</v>
      </c>
      <c r="H19294">
        <v>36529223</v>
      </c>
      <c r="I19294">
        <v>36529241</v>
      </c>
    </row>
    <row r="19295" spans="1:9" x14ac:dyDescent="0.2">
      <c r="A19295" t="str">
        <f>"Slc50a1"</f>
        <v>Slc50a1</v>
      </c>
      <c r="B19295" t="s">
        <v>14</v>
      </c>
      <c r="C19295" t="s">
        <v>22</v>
      </c>
      <c r="D19295" t="s">
        <v>11</v>
      </c>
      <c r="E19295" t="s">
        <v>12</v>
      </c>
      <c r="F19295">
        <v>89270489</v>
      </c>
      <c r="G19295">
        <v>89270551</v>
      </c>
      <c r="H19295">
        <v>89270481</v>
      </c>
      <c r="I19295">
        <v>89270488</v>
      </c>
    </row>
    <row r="19296" spans="1:9" x14ac:dyDescent="0.2">
      <c r="A19296" t="str">
        <f>"Slc51a"</f>
        <v>Slc51a</v>
      </c>
      <c r="B19296" t="s">
        <v>14</v>
      </c>
      <c r="C19296" t="s">
        <v>31</v>
      </c>
      <c r="D19296" t="s">
        <v>11</v>
      </c>
      <c r="E19296" t="s">
        <v>67</v>
      </c>
      <c r="F19296">
        <v>32487667</v>
      </c>
      <c r="G19296">
        <v>32487722</v>
      </c>
      <c r="H19296">
        <v>32487667</v>
      </c>
      <c r="I19296">
        <v>32487722</v>
      </c>
    </row>
    <row r="19297" spans="1:9" x14ac:dyDescent="0.2">
      <c r="A19297" t="str">
        <f>"Slc51b"</f>
        <v>Slc51b</v>
      </c>
      <c r="B19297" t="s">
        <v>14</v>
      </c>
      <c r="C19297" t="s">
        <v>24</v>
      </c>
      <c r="D19297" t="s">
        <v>11</v>
      </c>
      <c r="E19297" t="s">
        <v>67</v>
      </c>
      <c r="F19297">
        <v>65422895</v>
      </c>
      <c r="G19297">
        <v>65422910</v>
      </c>
      <c r="H19297">
        <v>65422858</v>
      </c>
      <c r="I19297">
        <v>65422873</v>
      </c>
    </row>
    <row r="19298" spans="1:9" x14ac:dyDescent="0.2">
      <c r="A19298" t="str">
        <f>"Slc52a2"</f>
        <v>Slc52a2</v>
      </c>
      <c r="B19298" t="s">
        <v>14</v>
      </c>
      <c r="C19298" t="s">
        <v>25</v>
      </c>
      <c r="D19298" t="s">
        <v>17</v>
      </c>
      <c r="E19298" t="s">
        <v>67</v>
      </c>
      <c r="F19298">
        <v>76538812</v>
      </c>
      <c r="G19298">
        <v>76538876</v>
      </c>
      <c r="H19298">
        <v>76538967</v>
      </c>
      <c r="I19298">
        <v>76539002</v>
      </c>
    </row>
    <row r="19299" spans="1:9" x14ac:dyDescent="0.2">
      <c r="A19299" t="str">
        <f>"Slc52a3"</f>
        <v>Slc52a3</v>
      </c>
      <c r="B19299" t="s">
        <v>9</v>
      </c>
      <c r="C19299" t="s">
        <v>26</v>
      </c>
      <c r="D19299" t="s">
        <v>17</v>
      </c>
      <c r="E19299" t="s">
        <v>67</v>
      </c>
      <c r="F19299">
        <v>151996505</v>
      </c>
      <c r="G19299">
        <v>151996556</v>
      </c>
      <c r="H19299">
        <v>151996505</v>
      </c>
      <c r="I19299">
        <v>151996556</v>
      </c>
    </row>
    <row r="19300" spans="1:9" x14ac:dyDescent="0.2">
      <c r="A19300" t="str">
        <f>"Slc52a3"</f>
        <v>Slc52a3</v>
      </c>
      <c r="B19300" t="s">
        <v>13</v>
      </c>
      <c r="C19300" t="s">
        <v>26</v>
      </c>
      <c r="D19300" t="s">
        <v>17</v>
      </c>
      <c r="E19300" t="s">
        <v>67</v>
      </c>
      <c r="F19300">
        <v>151999886</v>
      </c>
      <c r="G19300">
        <v>151999901</v>
      </c>
      <c r="H19300">
        <v>151999886</v>
      </c>
      <c r="I19300">
        <v>151999901</v>
      </c>
    </row>
    <row r="19301" spans="1:9" x14ac:dyDescent="0.2">
      <c r="A19301" t="str">
        <f>"Slc5a1"</f>
        <v>Slc5a1</v>
      </c>
      <c r="B19301" t="s">
        <v>14</v>
      </c>
      <c r="C19301" t="s">
        <v>46</v>
      </c>
      <c r="D19301" t="s">
        <v>17</v>
      </c>
      <c r="E19301" t="s">
        <v>12</v>
      </c>
      <c r="F19301">
        <v>33104220</v>
      </c>
      <c r="G19301">
        <v>33104240</v>
      </c>
      <c r="H19301">
        <v>33104220</v>
      </c>
      <c r="I19301">
        <v>33104240</v>
      </c>
    </row>
    <row r="19302" spans="1:9" x14ac:dyDescent="0.2">
      <c r="A19302" t="str">
        <f>"Slc5a10"</f>
        <v>Slc5a10</v>
      </c>
      <c r="B19302" t="s">
        <v>14</v>
      </c>
      <c r="C19302" t="s">
        <v>27</v>
      </c>
      <c r="D19302" t="s">
        <v>11</v>
      </c>
      <c r="E19302" t="s">
        <v>12</v>
      </c>
      <c r="F19302">
        <v>61719978</v>
      </c>
      <c r="G19302">
        <v>61719998</v>
      </c>
      <c r="H19302">
        <v>61720812</v>
      </c>
      <c r="I19302">
        <v>61720831</v>
      </c>
    </row>
    <row r="19303" spans="1:9" x14ac:dyDescent="0.2">
      <c r="A19303" t="str">
        <f>"Slc5a11"</f>
        <v>Slc5a11</v>
      </c>
      <c r="B19303" t="s">
        <v>14</v>
      </c>
      <c r="C19303" t="s">
        <v>33</v>
      </c>
      <c r="D19303" t="s">
        <v>17</v>
      </c>
      <c r="E19303" t="s">
        <v>12</v>
      </c>
      <c r="F19303">
        <v>123214808</v>
      </c>
      <c r="G19303">
        <v>123214853</v>
      </c>
      <c r="H19303">
        <v>123214860</v>
      </c>
      <c r="I19303">
        <v>123214886</v>
      </c>
    </row>
    <row r="19304" spans="1:9" x14ac:dyDescent="0.2">
      <c r="A19304" t="str">
        <f>"Slc5a12"</f>
        <v>Slc5a12</v>
      </c>
      <c r="B19304" t="s">
        <v>14</v>
      </c>
      <c r="C19304" t="s">
        <v>26</v>
      </c>
      <c r="D19304" t="s">
        <v>17</v>
      </c>
      <c r="E19304" t="s">
        <v>12</v>
      </c>
      <c r="F19304">
        <v>110597298</v>
      </c>
      <c r="G19304">
        <v>110597316</v>
      </c>
      <c r="H19304">
        <v>110597321</v>
      </c>
      <c r="I19304">
        <v>110597353</v>
      </c>
    </row>
    <row r="19305" spans="1:9" x14ac:dyDescent="0.2">
      <c r="A19305" t="str">
        <f>"Slc5a2"</f>
        <v>Slc5a2</v>
      </c>
      <c r="B19305" t="s">
        <v>14</v>
      </c>
      <c r="C19305" t="s">
        <v>33</v>
      </c>
      <c r="D19305" t="s">
        <v>17</v>
      </c>
      <c r="E19305" t="s">
        <v>12</v>
      </c>
      <c r="F19305">
        <v>128265675</v>
      </c>
      <c r="G19305">
        <v>128265690</v>
      </c>
      <c r="H19305">
        <v>128266363</v>
      </c>
      <c r="I19305">
        <v>128266374</v>
      </c>
    </row>
    <row r="19306" spans="1:9" x14ac:dyDescent="0.2">
      <c r="A19306" t="str">
        <f>"Slc5a3"</f>
        <v>Slc5a3</v>
      </c>
      <c r="B19306" t="s">
        <v>14</v>
      </c>
      <c r="C19306" t="s">
        <v>31</v>
      </c>
      <c r="D19306" t="s">
        <v>17</v>
      </c>
      <c r="E19306" t="s">
        <v>12</v>
      </c>
      <c r="F19306">
        <v>92058313</v>
      </c>
      <c r="G19306">
        <v>92058328</v>
      </c>
      <c r="H19306">
        <v>92058313</v>
      </c>
      <c r="I19306">
        <v>92058328</v>
      </c>
    </row>
    <row r="19307" spans="1:9" x14ac:dyDescent="0.2">
      <c r="A19307" t="str">
        <f>"Slc5a4a"</f>
        <v>Slc5a4a</v>
      </c>
      <c r="B19307" t="s">
        <v>14</v>
      </c>
      <c r="C19307" t="s">
        <v>15</v>
      </c>
      <c r="D19307" t="s">
        <v>17</v>
      </c>
      <c r="E19307" t="s">
        <v>12</v>
      </c>
      <c r="F19307">
        <v>76147503</v>
      </c>
      <c r="G19307">
        <v>76147515</v>
      </c>
      <c r="H19307">
        <v>76147503</v>
      </c>
      <c r="I19307">
        <v>76147515</v>
      </c>
    </row>
    <row r="19308" spans="1:9" x14ac:dyDescent="0.2">
      <c r="A19308" t="str">
        <f>"Slc5a4b"</f>
        <v>Slc5a4b</v>
      </c>
      <c r="B19308" t="s">
        <v>14</v>
      </c>
      <c r="C19308" t="s">
        <v>15</v>
      </c>
      <c r="D19308" t="s">
        <v>11</v>
      </c>
      <c r="E19308" t="s">
        <v>12</v>
      </c>
      <c r="F19308">
        <v>76110956</v>
      </c>
      <c r="G19308">
        <v>76110962</v>
      </c>
      <c r="H19308">
        <v>76110956</v>
      </c>
      <c r="I19308">
        <v>76110962</v>
      </c>
    </row>
    <row r="19309" spans="1:9" x14ac:dyDescent="0.2">
      <c r="A19309" t="str">
        <f>"Slc5a5"</f>
        <v>Slc5a5</v>
      </c>
      <c r="B19309" t="s">
        <v>14</v>
      </c>
      <c r="C19309" t="s">
        <v>30</v>
      </c>
      <c r="D19309" t="s">
        <v>11</v>
      </c>
      <c r="E19309" t="s">
        <v>12</v>
      </c>
      <c r="F19309">
        <v>70892752</v>
      </c>
      <c r="G19309">
        <v>70892758</v>
      </c>
      <c r="H19309">
        <v>70892752</v>
      </c>
      <c r="I19309">
        <v>70892758</v>
      </c>
    </row>
    <row r="19310" spans="1:9" x14ac:dyDescent="0.2">
      <c r="A19310" t="str">
        <f>"Slc5a6"</f>
        <v>Slc5a6</v>
      </c>
      <c r="B19310" t="s">
        <v>14</v>
      </c>
      <c r="C19310" t="s">
        <v>46</v>
      </c>
      <c r="D19310" t="s">
        <v>11</v>
      </c>
      <c r="E19310" t="s">
        <v>12</v>
      </c>
      <c r="F19310">
        <v>31048236</v>
      </c>
      <c r="G19310">
        <v>31048276</v>
      </c>
      <c r="H19310">
        <v>31048014</v>
      </c>
      <c r="I19310">
        <v>31048038</v>
      </c>
    </row>
    <row r="19311" spans="1:9" x14ac:dyDescent="0.2">
      <c r="A19311" t="str">
        <f>"Slc5a7"</f>
        <v>Slc5a7</v>
      </c>
      <c r="B19311" t="s">
        <v>14</v>
      </c>
      <c r="C19311" t="s">
        <v>28</v>
      </c>
      <c r="D19311" t="s">
        <v>11</v>
      </c>
      <c r="E19311" t="s">
        <v>12</v>
      </c>
      <c r="F19311">
        <v>54298718</v>
      </c>
      <c r="G19311">
        <v>54298732</v>
      </c>
      <c r="H19311">
        <v>54299006</v>
      </c>
      <c r="I19311">
        <v>54299018</v>
      </c>
    </row>
    <row r="19312" spans="1:9" x14ac:dyDescent="0.2">
      <c r="A19312" t="str">
        <f>"Slc5a8"</f>
        <v>Slc5a8</v>
      </c>
      <c r="B19312" t="s">
        <v>14</v>
      </c>
      <c r="C19312" t="s">
        <v>15</v>
      </c>
      <c r="D19312" t="s">
        <v>17</v>
      </c>
      <c r="E19312" t="s">
        <v>12</v>
      </c>
      <c r="F19312">
        <v>88886015</v>
      </c>
      <c r="G19312">
        <v>88886031</v>
      </c>
      <c r="H19312">
        <v>88885903</v>
      </c>
      <c r="I19312">
        <v>88885917</v>
      </c>
    </row>
    <row r="19313" spans="1:9" x14ac:dyDescent="0.2">
      <c r="A19313" t="str">
        <f>"Slc5a9"</f>
        <v>Slc5a9</v>
      </c>
      <c r="B19313" t="s">
        <v>14</v>
      </c>
      <c r="C19313" t="s">
        <v>23</v>
      </c>
      <c r="D19313" t="s">
        <v>11</v>
      </c>
      <c r="E19313" t="s">
        <v>12</v>
      </c>
      <c r="F19313">
        <v>111898695</v>
      </c>
      <c r="G19313">
        <v>111898725</v>
      </c>
      <c r="H19313">
        <v>111898695</v>
      </c>
      <c r="I19313">
        <v>111898725</v>
      </c>
    </row>
    <row r="19314" spans="1:9" x14ac:dyDescent="0.2">
      <c r="A19314" t="str">
        <f>"Slc6a1"</f>
        <v>Slc6a1</v>
      </c>
      <c r="B19314" t="s">
        <v>14</v>
      </c>
      <c r="C19314" t="s">
        <v>32</v>
      </c>
      <c r="D19314" t="s">
        <v>17</v>
      </c>
      <c r="E19314" t="s">
        <v>12</v>
      </c>
      <c r="F19314">
        <v>114282757</v>
      </c>
      <c r="G19314">
        <v>114282817</v>
      </c>
      <c r="H19314">
        <v>114282617</v>
      </c>
      <c r="I19314">
        <v>114282644</v>
      </c>
    </row>
    <row r="19315" spans="1:9" x14ac:dyDescent="0.2">
      <c r="A19315" t="str">
        <f>"Slc6a11"</f>
        <v>Slc6a11</v>
      </c>
      <c r="B19315" t="s">
        <v>14</v>
      </c>
      <c r="C19315" t="s">
        <v>32</v>
      </c>
      <c r="D19315" t="s">
        <v>17</v>
      </c>
      <c r="E19315" t="s">
        <v>12</v>
      </c>
      <c r="F19315">
        <v>114131229</v>
      </c>
      <c r="G19315">
        <v>114131246</v>
      </c>
      <c r="H19315">
        <v>114131100</v>
      </c>
      <c r="I19315">
        <v>114131107</v>
      </c>
    </row>
    <row r="19316" spans="1:9" x14ac:dyDescent="0.2">
      <c r="A19316" t="str">
        <f>"Slc6a12"</f>
        <v>Slc6a12</v>
      </c>
      <c r="B19316" t="s">
        <v>14</v>
      </c>
      <c r="C19316" t="s">
        <v>32</v>
      </c>
      <c r="D19316" t="s">
        <v>17</v>
      </c>
      <c r="E19316" t="s">
        <v>12</v>
      </c>
      <c r="F19316">
        <v>121346712</v>
      </c>
      <c r="G19316">
        <v>121346731</v>
      </c>
      <c r="H19316">
        <v>121346678</v>
      </c>
      <c r="I19316">
        <v>121346708</v>
      </c>
    </row>
    <row r="19317" spans="1:9" x14ac:dyDescent="0.2">
      <c r="A19317" t="str">
        <f>"Slc6a13"</f>
        <v>Slc6a13</v>
      </c>
      <c r="B19317" t="s">
        <v>14</v>
      </c>
      <c r="C19317" t="s">
        <v>32</v>
      </c>
      <c r="D19317" t="s">
        <v>17</v>
      </c>
      <c r="E19317" t="s">
        <v>12</v>
      </c>
      <c r="F19317">
        <v>121300280</v>
      </c>
      <c r="G19317">
        <v>121300297</v>
      </c>
      <c r="H19317">
        <v>121300735</v>
      </c>
      <c r="I19317">
        <v>121300754</v>
      </c>
    </row>
    <row r="19318" spans="1:9" x14ac:dyDescent="0.2">
      <c r="A19318" t="str">
        <f>"Slc6a14"</f>
        <v>Slc6a14</v>
      </c>
      <c r="B19318" t="s">
        <v>14</v>
      </c>
      <c r="C19318" t="s">
        <v>37</v>
      </c>
      <c r="D19318" t="s">
        <v>17</v>
      </c>
      <c r="E19318" t="s">
        <v>12</v>
      </c>
      <c r="F19318">
        <v>21715034</v>
      </c>
      <c r="G19318">
        <v>21715053</v>
      </c>
      <c r="H19318">
        <v>21715034</v>
      </c>
      <c r="I19318">
        <v>21715053</v>
      </c>
    </row>
    <row r="19319" spans="1:9" x14ac:dyDescent="0.2">
      <c r="A19319" t="str">
        <f>"Slc6a15"</f>
        <v>Slc6a15</v>
      </c>
      <c r="B19319" t="s">
        <v>14</v>
      </c>
      <c r="C19319" t="s">
        <v>15</v>
      </c>
      <c r="D19319" t="s">
        <v>17</v>
      </c>
      <c r="E19319" t="s">
        <v>12</v>
      </c>
      <c r="F19319">
        <v>103367748</v>
      </c>
      <c r="G19319">
        <v>103367836</v>
      </c>
      <c r="H19319">
        <v>103367692</v>
      </c>
      <c r="I19319">
        <v>103367747</v>
      </c>
    </row>
    <row r="19320" spans="1:9" x14ac:dyDescent="0.2">
      <c r="A19320" t="str">
        <f>"Slc6a16"</f>
        <v>Slc6a16</v>
      </c>
      <c r="B19320" t="s">
        <v>5758</v>
      </c>
      <c r="C19320" t="s">
        <v>33</v>
      </c>
      <c r="D19320" t="s">
        <v>17</v>
      </c>
      <c r="E19320" t="s">
        <v>20</v>
      </c>
      <c r="F19320">
        <v>45259030</v>
      </c>
      <c r="G19320">
        <v>45259030</v>
      </c>
      <c r="H19320">
        <v>45259030</v>
      </c>
      <c r="I19320">
        <v>45259030</v>
      </c>
    </row>
    <row r="19321" spans="1:9" x14ac:dyDescent="0.2">
      <c r="A19321" t="str">
        <f>"Slc6a17"</f>
        <v>Slc6a17</v>
      </c>
      <c r="B19321" t="s">
        <v>14</v>
      </c>
      <c r="C19321" t="s">
        <v>22</v>
      </c>
      <c r="D19321" t="s">
        <v>11</v>
      </c>
      <c r="E19321" t="s">
        <v>12</v>
      </c>
      <c r="F19321">
        <v>107517911</v>
      </c>
      <c r="G19321">
        <v>107517986</v>
      </c>
      <c r="H19321">
        <v>107518001</v>
      </c>
      <c r="I19321">
        <v>107518023</v>
      </c>
    </row>
    <row r="19322" spans="1:9" x14ac:dyDescent="0.2">
      <c r="A19322" t="str">
        <f>"Slc6a18"</f>
        <v>Slc6a18</v>
      </c>
      <c r="B19322" t="s">
        <v>14</v>
      </c>
      <c r="C19322" t="s">
        <v>39</v>
      </c>
      <c r="D19322" t="s">
        <v>11</v>
      </c>
      <c r="E19322" t="s">
        <v>12</v>
      </c>
      <c r="F19322">
        <v>73678005</v>
      </c>
      <c r="G19322">
        <v>73678026</v>
      </c>
      <c r="H19322">
        <v>73678029</v>
      </c>
      <c r="I19322">
        <v>73678040</v>
      </c>
    </row>
    <row r="19323" spans="1:9" x14ac:dyDescent="0.2">
      <c r="A19323" t="str">
        <f>"Slc6a19"</f>
        <v>Slc6a19</v>
      </c>
      <c r="B19323" t="s">
        <v>9</v>
      </c>
      <c r="C19323" t="s">
        <v>39</v>
      </c>
      <c r="D19323" t="s">
        <v>11</v>
      </c>
      <c r="E19323" t="s">
        <v>12</v>
      </c>
      <c r="F19323">
        <v>73700688</v>
      </c>
      <c r="G19323">
        <v>73700702</v>
      </c>
      <c r="H19323">
        <v>73700688</v>
      </c>
      <c r="I19323">
        <v>73700702</v>
      </c>
    </row>
    <row r="19324" spans="1:9" x14ac:dyDescent="0.2">
      <c r="A19324" t="str">
        <f>"Slc6a19"</f>
        <v>Slc6a19</v>
      </c>
      <c r="B19324" t="s">
        <v>13</v>
      </c>
      <c r="C19324" t="s">
        <v>39</v>
      </c>
      <c r="D19324" t="s">
        <v>11</v>
      </c>
      <c r="E19324" t="s">
        <v>12</v>
      </c>
      <c r="F19324">
        <v>73692600</v>
      </c>
      <c r="G19324">
        <v>73692640</v>
      </c>
      <c r="H19324">
        <v>73692600</v>
      </c>
      <c r="I19324">
        <v>73692640</v>
      </c>
    </row>
    <row r="19325" spans="1:9" x14ac:dyDescent="0.2">
      <c r="A19325" t="str">
        <f>"Slc6a2"</f>
        <v>Slc6a2</v>
      </c>
      <c r="B19325" t="s">
        <v>14</v>
      </c>
      <c r="C19325" t="s">
        <v>30</v>
      </c>
      <c r="D19325" t="s">
        <v>17</v>
      </c>
      <c r="E19325" t="s">
        <v>12</v>
      </c>
      <c r="F19325">
        <v>92961027</v>
      </c>
      <c r="G19325">
        <v>92961044</v>
      </c>
      <c r="H19325">
        <v>92961027</v>
      </c>
      <c r="I19325">
        <v>92961044</v>
      </c>
    </row>
    <row r="19326" spans="1:9" x14ac:dyDescent="0.2">
      <c r="A19326" t="str">
        <f>"Slc6a20a"</f>
        <v>Slc6a20a</v>
      </c>
      <c r="B19326" t="s">
        <v>14</v>
      </c>
      <c r="C19326" t="s">
        <v>24</v>
      </c>
      <c r="D19326" t="s">
        <v>11</v>
      </c>
      <c r="E19326" t="s">
        <v>12</v>
      </c>
      <c r="F19326">
        <v>123678813</v>
      </c>
      <c r="G19326">
        <v>123678850</v>
      </c>
      <c r="H19326">
        <v>123678852</v>
      </c>
      <c r="I19326">
        <v>123678863</v>
      </c>
    </row>
    <row r="19327" spans="1:9" x14ac:dyDescent="0.2">
      <c r="A19327" t="str">
        <f>"Slc6a20b"</f>
        <v>Slc6a20b</v>
      </c>
      <c r="B19327" t="s">
        <v>14</v>
      </c>
      <c r="C19327" t="s">
        <v>24</v>
      </c>
      <c r="D19327" t="s">
        <v>11</v>
      </c>
      <c r="E19327" t="s">
        <v>12</v>
      </c>
      <c r="F19327">
        <v>123632493</v>
      </c>
      <c r="G19327">
        <v>123632525</v>
      </c>
      <c r="H19327">
        <v>123632528</v>
      </c>
      <c r="I19327">
        <v>123632543</v>
      </c>
    </row>
    <row r="19328" spans="1:9" x14ac:dyDescent="0.2">
      <c r="A19328" t="str">
        <f>"Slc6a3"</f>
        <v>Slc6a3</v>
      </c>
      <c r="B19328" t="s">
        <v>14</v>
      </c>
      <c r="C19328" t="s">
        <v>39</v>
      </c>
      <c r="D19328" t="s">
        <v>17</v>
      </c>
      <c r="E19328" t="s">
        <v>12</v>
      </c>
      <c r="F19328">
        <v>73536781</v>
      </c>
      <c r="G19328">
        <v>73536810</v>
      </c>
      <c r="H19328">
        <v>73536594</v>
      </c>
      <c r="I19328">
        <v>73536599</v>
      </c>
    </row>
    <row r="19329" spans="1:9" x14ac:dyDescent="0.2">
      <c r="A19329" t="str">
        <f>"Slc6a4"</f>
        <v>Slc6a4</v>
      </c>
      <c r="B19329" t="s">
        <v>9</v>
      </c>
      <c r="C19329" t="s">
        <v>27</v>
      </c>
      <c r="D19329" t="s">
        <v>17</v>
      </c>
      <c r="E19329" t="s">
        <v>12</v>
      </c>
      <c r="F19329">
        <v>77009265</v>
      </c>
      <c r="G19329">
        <v>77009280</v>
      </c>
      <c r="H19329">
        <v>77009265</v>
      </c>
      <c r="I19329">
        <v>77009280</v>
      </c>
    </row>
    <row r="19330" spans="1:9" x14ac:dyDescent="0.2">
      <c r="A19330" t="str">
        <f>"Slc6a4"</f>
        <v>Slc6a4</v>
      </c>
      <c r="B19330" t="s">
        <v>13</v>
      </c>
      <c r="C19330" t="s">
        <v>27</v>
      </c>
      <c r="D19330" t="s">
        <v>17</v>
      </c>
      <c r="E19330" t="s">
        <v>12</v>
      </c>
      <c r="F19330">
        <v>76998595</v>
      </c>
      <c r="G19330">
        <v>76998600</v>
      </c>
      <c r="H19330">
        <v>76998595</v>
      </c>
      <c r="I19330">
        <v>76998600</v>
      </c>
    </row>
    <row r="19331" spans="1:9" x14ac:dyDescent="0.2">
      <c r="A19331" t="str">
        <f>"Slc6a5"</f>
        <v>Slc6a5</v>
      </c>
      <c r="B19331" t="s">
        <v>14</v>
      </c>
      <c r="C19331" t="s">
        <v>33</v>
      </c>
      <c r="D19331" t="s">
        <v>17</v>
      </c>
      <c r="E19331" t="s">
        <v>12</v>
      </c>
      <c r="F19331">
        <v>49910315</v>
      </c>
      <c r="G19331">
        <v>49910337</v>
      </c>
      <c r="H19331">
        <v>49910112</v>
      </c>
      <c r="I19331">
        <v>49910127</v>
      </c>
    </row>
    <row r="19332" spans="1:9" x14ac:dyDescent="0.2">
      <c r="A19332" t="str">
        <f>"Slc6a6"</f>
        <v>Slc6a6</v>
      </c>
      <c r="B19332" t="s">
        <v>14</v>
      </c>
      <c r="C19332" t="s">
        <v>32</v>
      </c>
      <c r="D19332" t="s">
        <v>17</v>
      </c>
      <c r="E19332" t="s">
        <v>12</v>
      </c>
      <c r="F19332">
        <v>91684061</v>
      </c>
      <c r="G19332">
        <v>91684132</v>
      </c>
      <c r="H19332">
        <v>91684177</v>
      </c>
      <c r="I19332">
        <v>91684191</v>
      </c>
    </row>
    <row r="19333" spans="1:9" x14ac:dyDescent="0.2">
      <c r="A19333" t="str">
        <f>"Slc6a7"</f>
        <v>Slc6a7</v>
      </c>
      <c r="B19333" t="s">
        <v>14</v>
      </c>
      <c r="C19333" t="s">
        <v>43</v>
      </c>
      <c r="D19333" t="s">
        <v>11</v>
      </c>
      <c r="E19333" t="s">
        <v>12</v>
      </c>
      <c r="F19333">
        <v>61014200</v>
      </c>
      <c r="G19333">
        <v>61014261</v>
      </c>
      <c r="H19333">
        <v>61014068</v>
      </c>
      <c r="I19333">
        <v>61014099</v>
      </c>
    </row>
    <row r="19334" spans="1:9" x14ac:dyDescent="0.2">
      <c r="A19334" t="str">
        <f>"Slc6a8"</f>
        <v>Slc6a8</v>
      </c>
      <c r="B19334" t="s">
        <v>14</v>
      </c>
      <c r="C19334" t="s">
        <v>37</v>
      </c>
      <c r="D19334" t="s">
        <v>17</v>
      </c>
      <c r="E19334" t="s">
        <v>12</v>
      </c>
      <c r="F19334">
        <v>73673156</v>
      </c>
      <c r="G19334">
        <v>73673174</v>
      </c>
      <c r="H19334">
        <v>73673129</v>
      </c>
      <c r="I19334">
        <v>73673135</v>
      </c>
    </row>
    <row r="19335" spans="1:9" x14ac:dyDescent="0.2">
      <c r="A19335" t="str">
        <f>"Slc6a9"</f>
        <v>Slc6a9</v>
      </c>
      <c r="B19335" t="s">
        <v>14</v>
      </c>
      <c r="C19335" t="s">
        <v>23</v>
      </c>
      <c r="D19335" t="s">
        <v>17</v>
      </c>
      <c r="E19335" t="s">
        <v>12</v>
      </c>
      <c r="F19335">
        <v>117835304</v>
      </c>
      <c r="G19335">
        <v>117835333</v>
      </c>
      <c r="H19335">
        <v>117835235</v>
      </c>
      <c r="I19335">
        <v>117835275</v>
      </c>
    </row>
    <row r="19336" spans="1:9" x14ac:dyDescent="0.2">
      <c r="A19336" t="str">
        <f>"Slc7a1"</f>
        <v>Slc7a1</v>
      </c>
      <c r="B19336" t="s">
        <v>14</v>
      </c>
      <c r="C19336" t="s">
        <v>46</v>
      </c>
      <c r="D19336" t="s">
        <v>11</v>
      </c>
      <c r="E19336" t="s">
        <v>12</v>
      </c>
      <c r="F19336">
        <v>148399797</v>
      </c>
      <c r="G19336">
        <v>148399850</v>
      </c>
      <c r="H19336">
        <v>148399764</v>
      </c>
      <c r="I19336">
        <v>148399782</v>
      </c>
    </row>
    <row r="19337" spans="1:9" x14ac:dyDescent="0.2">
      <c r="A19337" t="str">
        <f>"Slc7a10"</f>
        <v>Slc7a10</v>
      </c>
      <c r="B19337" t="s">
        <v>14</v>
      </c>
      <c r="C19337" t="s">
        <v>33</v>
      </c>
      <c r="D19337" t="s">
        <v>17</v>
      </c>
      <c r="E19337" t="s">
        <v>12</v>
      </c>
      <c r="F19337">
        <v>35186370</v>
      </c>
      <c r="G19337">
        <v>35186408</v>
      </c>
      <c r="H19337">
        <v>35186409</v>
      </c>
      <c r="I19337">
        <v>35186432</v>
      </c>
    </row>
    <row r="19338" spans="1:9" x14ac:dyDescent="0.2">
      <c r="A19338" t="str">
        <f>"Slc7a11"</f>
        <v>Slc7a11</v>
      </c>
      <c r="B19338" t="s">
        <v>14</v>
      </c>
      <c r="C19338" t="s">
        <v>22</v>
      </c>
      <c r="D19338" t="s">
        <v>11</v>
      </c>
      <c r="E19338" t="s">
        <v>12</v>
      </c>
      <c r="F19338">
        <v>50443578</v>
      </c>
      <c r="G19338">
        <v>50443592</v>
      </c>
      <c r="H19338">
        <v>50443483</v>
      </c>
      <c r="I19338">
        <v>50443496</v>
      </c>
    </row>
    <row r="19339" spans="1:9" x14ac:dyDescent="0.2">
      <c r="A19339" t="str">
        <f>"Slc7a12"</f>
        <v>Slc7a12</v>
      </c>
      <c r="B19339" t="s">
        <v>14</v>
      </c>
      <c r="C19339" t="s">
        <v>22</v>
      </c>
      <c r="D19339" t="s">
        <v>17</v>
      </c>
      <c r="E19339" t="s">
        <v>12</v>
      </c>
      <c r="F19339">
        <v>14480692</v>
      </c>
      <c r="G19339">
        <v>14480707</v>
      </c>
      <c r="H19339">
        <v>14480692</v>
      </c>
      <c r="I19339">
        <v>14480707</v>
      </c>
    </row>
    <row r="19340" spans="1:9" x14ac:dyDescent="0.2">
      <c r="A19340" t="str">
        <f>"Slc7a13"</f>
        <v>Slc7a13</v>
      </c>
      <c r="B19340" t="s">
        <v>14</v>
      </c>
      <c r="C19340" t="s">
        <v>23</v>
      </c>
      <c r="D19340" t="s">
        <v>17</v>
      </c>
      <c r="E19340" t="s">
        <v>12</v>
      </c>
      <c r="F19340">
        <v>19818722</v>
      </c>
      <c r="G19340">
        <v>19818743</v>
      </c>
      <c r="H19340">
        <v>19818722</v>
      </c>
      <c r="I19340">
        <v>19818743</v>
      </c>
    </row>
    <row r="19341" spans="1:9" x14ac:dyDescent="0.2">
      <c r="A19341" t="str">
        <f>"Slc7a14"</f>
        <v>Slc7a14</v>
      </c>
      <c r="B19341" t="s">
        <v>14</v>
      </c>
      <c r="C19341" t="s">
        <v>22</v>
      </c>
      <c r="D19341" t="s">
        <v>11</v>
      </c>
      <c r="E19341" t="s">
        <v>12</v>
      </c>
      <c r="F19341">
        <v>31310267</v>
      </c>
      <c r="G19341">
        <v>31310324</v>
      </c>
      <c r="H19341">
        <v>31310246</v>
      </c>
      <c r="I19341">
        <v>31310265</v>
      </c>
    </row>
    <row r="19342" spans="1:9" x14ac:dyDescent="0.2">
      <c r="A19342" t="str">
        <f>"Slc7a15"</f>
        <v>Slc7a15</v>
      </c>
      <c r="B19342" t="s">
        <v>14</v>
      </c>
      <c r="C19342" t="s">
        <v>16</v>
      </c>
      <c r="D19342" t="s">
        <v>11</v>
      </c>
      <c r="E19342" t="s">
        <v>12</v>
      </c>
      <c r="F19342">
        <v>8539560</v>
      </c>
      <c r="G19342">
        <v>8539614</v>
      </c>
      <c r="H19342">
        <v>8539560</v>
      </c>
      <c r="I19342">
        <v>8539614</v>
      </c>
    </row>
    <row r="19343" spans="1:9" x14ac:dyDescent="0.2">
      <c r="A19343" t="str">
        <f>"Slc7a2"</f>
        <v>Slc7a2</v>
      </c>
      <c r="B19343" t="s">
        <v>14</v>
      </c>
      <c r="C19343" t="s">
        <v>30</v>
      </c>
      <c r="D19343" t="s">
        <v>17</v>
      </c>
      <c r="E19343" t="s">
        <v>12</v>
      </c>
      <c r="F19343">
        <v>40862379</v>
      </c>
      <c r="G19343">
        <v>40862430</v>
      </c>
      <c r="H19343">
        <v>40862235</v>
      </c>
      <c r="I19343">
        <v>40862250</v>
      </c>
    </row>
    <row r="19344" spans="1:9" x14ac:dyDescent="0.2">
      <c r="A19344" t="str">
        <f>"Slc7a3"</f>
        <v>Slc7a3</v>
      </c>
      <c r="B19344" t="s">
        <v>14</v>
      </c>
      <c r="C19344" t="s">
        <v>37</v>
      </c>
      <c r="D19344" t="s">
        <v>11</v>
      </c>
      <c r="E19344" t="s">
        <v>12</v>
      </c>
      <c r="F19344">
        <v>101085400</v>
      </c>
      <c r="G19344">
        <v>101085427</v>
      </c>
      <c r="H19344">
        <v>101085400</v>
      </c>
      <c r="I19344">
        <v>101085427</v>
      </c>
    </row>
    <row r="19345" spans="1:9" x14ac:dyDescent="0.2">
      <c r="A19345" t="str">
        <f>"Slc7a4"</f>
        <v>Slc7a4</v>
      </c>
      <c r="B19345" t="s">
        <v>14</v>
      </c>
      <c r="C19345" t="s">
        <v>31</v>
      </c>
      <c r="D19345" t="s">
        <v>11</v>
      </c>
      <c r="E19345" t="s">
        <v>12</v>
      </c>
      <c r="F19345">
        <v>17576661</v>
      </c>
      <c r="G19345">
        <v>17576698</v>
      </c>
      <c r="H19345">
        <v>17576216</v>
      </c>
      <c r="I19345">
        <v>17576237</v>
      </c>
    </row>
    <row r="19346" spans="1:9" x14ac:dyDescent="0.2">
      <c r="A19346" t="str">
        <f>"Slc7a5"</f>
        <v>Slc7a5</v>
      </c>
      <c r="B19346" t="s">
        <v>14</v>
      </c>
      <c r="C19346" t="s">
        <v>30</v>
      </c>
      <c r="D19346" t="s">
        <v>11</v>
      </c>
      <c r="E19346" t="s">
        <v>12</v>
      </c>
      <c r="F19346">
        <v>121907678</v>
      </c>
      <c r="G19346">
        <v>121907694</v>
      </c>
      <c r="H19346">
        <v>121907630</v>
      </c>
      <c r="I19346">
        <v>121907636</v>
      </c>
    </row>
    <row r="19347" spans="1:9" x14ac:dyDescent="0.2">
      <c r="A19347" t="str">
        <f>"Slc7a6"</f>
        <v>Slc7a6</v>
      </c>
      <c r="B19347" t="s">
        <v>14</v>
      </c>
      <c r="C19347" t="s">
        <v>30</v>
      </c>
      <c r="D19347" t="s">
        <v>17</v>
      </c>
      <c r="E19347" t="s">
        <v>12</v>
      </c>
      <c r="F19347">
        <v>106168857</v>
      </c>
      <c r="G19347">
        <v>106168926</v>
      </c>
      <c r="H19347">
        <v>106169109</v>
      </c>
      <c r="I19347">
        <v>106169126</v>
      </c>
    </row>
    <row r="19348" spans="1:9" x14ac:dyDescent="0.2">
      <c r="A19348" t="str">
        <f>"Slc7a6os"</f>
        <v>Slc7a6os</v>
      </c>
      <c r="B19348" t="s">
        <v>14</v>
      </c>
      <c r="C19348" t="s">
        <v>30</v>
      </c>
      <c r="D19348" t="s">
        <v>11</v>
      </c>
      <c r="E19348" t="s">
        <v>12</v>
      </c>
      <c r="F19348">
        <v>106210924</v>
      </c>
      <c r="G19348">
        <v>106210942</v>
      </c>
      <c r="H19348">
        <v>106210924</v>
      </c>
      <c r="I19348">
        <v>106210942</v>
      </c>
    </row>
    <row r="19349" spans="1:9" x14ac:dyDescent="0.2">
      <c r="A19349" t="str">
        <f>"Slc7a7"</f>
        <v>Slc7a7</v>
      </c>
      <c r="B19349" t="s">
        <v>14</v>
      </c>
      <c r="C19349" t="s">
        <v>41</v>
      </c>
      <c r="D19349" t="s">
        <v>11</v>
      </c>
      <c r="E19349" t="s">
        <v>12</v>
      </c>
      <c r="F19349">
        <v>54413987</v>
      </c>
      <c r="G19349">
        <v>54414084</v>
      </c>
      <c r="H19349">
        <v>54413987</v>
      </c>
      <c r="I19349">
        <v>54414084</v>
      </c>
    </row>
    <row r="19350" spans="1:9" x14ac:dyDescent="0.2">
      <c r="A19350" t="str">
        <f>"Slc7a8"</f>
        <v>Slc7a8</v>
      </c>
      <c r="B19350" t="s">
        <v>14</v>
      </c>
      <c r="C19350" t="s">
        <v>41</v>
      </c>
      <c r="D19350" t="s">
        <v>11</v>
      </c>
      <c r="E19350" t="s">
        <v>12</v>
      </c>
      <c r="F19350">
        <v>54781934</v>
      </c>
      <c r="G19350">
        <v>54781952</v>
      </c>
      <c r="H19350">
        <v>54781906</v>
      </c>
      <c r="I19350">
        <v>54781925</v>
      </c>
    </row>
    <row r="19351" spans="1:9" x14ac:dyDescent="0.2">
      <c r="A19351" t="str">
        <f>"Slc7a9"</f>
        <v>Slc7a9</v>
      </c>
      <c r="B19351" t="s">
        <v>14</v>
      </c>
      <c r="C19351" t="s">
        <v>33</v>
      </c>
      <c r="D19351" t="s">
        <v>17</v>
      </c>
      <c r="E19351" t="s">
        <v>12</v>
      </c>
      <c r="F19351">
        <v>35449055</v>
      </c>
      <c r="G19351">
        <v>35449111</v>
      </c>
      <c r="H19351">
        <v>35449154</v>
      </c>
      <c r="I19351">
        <v>35449167</v>
      </c>
    </row>
    <row r="19352" spans="1:9" x14ac:dyDescent="0.2">
      <c r="A19352" t="str">
        <f>"Slc8a1"</f>
        <v>Slc8a1</v>
      </c>
      <c r="B19352" t="s">
        <v>5759</v>
      </c>
      <c r="C19352" t="s">
        <v>28</v>
      </c>
      <c r="D19352" t="s">
        <v>11</v>
      </c>
      <c r="E19352" t="s">
        <v>20</v>
      </c>
      <c r="F19352">
        <v>81649606</v>
      </c>
      <c r="G19352">
        <v>81649606</v>
      </c>
      <c r="H19352">
        <v>81649606</v>
      </c>
      <c r="I19352">
        <v>81649606</v>
      </c>
    </row>
    <row r="19353" spans="1:9" x14ac:dyDescent="0.2">
      <c r="A19353" t="str">
        <f>"Slc8a2"</f>
        <v>Slc8a2</v>
      </c>
      <c r="B19353" t="s">
        <v>14</v>
      </c>
      <c r="C19353" t="s">
        <v>33</v>
      </c>
      <c r="D19353" t="s">
        <v>17</v>
      </c>
      <c r="E19353" t="s">
        <v>12</v>
      </c>
      <c r="F19353">
        <v>16130285</v>
      </c>
      <c r="G19353">
        <v>16130333</v>
      </c>
      <c r="H19353">
        <v>16130285</v>
      </c>
      <c r="I19353">
        <v>16130333</v>
      </c>
    </row>
    <row r="19354" spans="1:9" x14ac:dyDescent="0.2">
      <c r="A19354" t="str">
        <f>"Slc8a3"</f>
        <v>Slc8a3</v>
      </c>
      <c r="B19354" t="s">
        <v>14</v>
      </c>
      <c r="C19354" t="s">
        <v>16</v>
      </c>
      <c r="D19354" t="s">
        <v>11</v>
      </c>
      <c r="E19354" t="s">
        <v>12</v>
      </c>
      <c r="F19354">
        <v>81333129</v>
      </c>
      <c r="G19354">
        <v>81333220</v>
      </c>
      <c r="H19354">
        <v>81333129</v>
      </c>
      <c r="I19354">
        <v>81333220</v>
      </c>
    </row>
    <row r="19355" spans="1:9" x14ac:dyDescent="0.2">
      <c r="A19355" t="str">
        <f>"Slc8b1"</f>
        <v>Slc8b1</v>
      </c>
      <c r="B19355" t="s">
        <v>14</v>
      </c>
      <c r="C19355" t="s">
        <v>46</v>
      </c>
      <c r="D19355" t="s">
        <v>17</v>
      </c>
      <c r="E19355" t="s">
        <v>67</v>
      </c>
      <c r="F19355">
        <v>120511213</v>
      </c>
      <c r="G19355">
        <v>120511246</v>
      </c>
      <c r="H19355">
        <v>120511173</v>
      </c>
      <c r="I19355">
        <v>120511211</v>
      </c>
    </row>
    <row r="19356" spans="1:9" x14ac:dyDescent="0.2">
      <c r="A19356" t="str">
        <f>"Slc9a1"</f>
        <v>Slc9a1</v>
      </c>
      <c r="B19356" t="s">
        <v>14</v>
      </c>
      <c r="C19356" t="s">
        <v>23</v>
      </c>
      <c r="D19356" t="s">
        <v>17</v>
      </c>
      <c r="E19356" t="s">
        <v>12</v>
      </c>
      <c r="F19356">
        <v>133369765</v>
      </c>
      <c r="G19356">
        <v>133369780</v>
      </c>
      <c r="H19356">
        <v>133369720</v>
      </c>
      <c r="I19356">
        <v>133369743</v>
      </c>
    </row>
    <row r="19357" spans="1:9" x14ac:dyDescent="0.2">
      <c r="A19357" t="str">
        <f>"Slc9a2"</f>
        <v>Slc9a2</v>
      </c>
      <c r="B19357" t="s">
        <v>14</v>
      </c>
      <c r="C19357" t="s">
        <v>19</v>
      </c>
      <c r="D19357" t="s">
        <v>17</v>
      </c>
      <c r="E19357" t="s">
        <v>12</v>
      </c>
      <c r="F19357">
        <v>40681571</v>
      </c>
      <c r="G19357">
        <v>40681606</v>
      </c>
      <c r="H19357">
        <v>40681608</v>
      </c>
      <c r="I19357">
        <v>40681644</v>
      </c>
    </row>
    <row r="19358" spans="1:9" x14ac:dyDescent="0.2">
      <c r="A19358" t="str">
        <f>"Slc9a3"</f>
        <v>Slc9a3</v>
      </c>
      <c r="B19358" t="s">
        <v>14</v>
      </c>
      <c r="C19358" t="s">
        <v>39</v>
      </c>
      <c r="D19358" t="s">
        <v>17</v>
      </c>
      <c r="E19358" t="s">
        <v>12</v>
      </c>
      <c r="F19358">
        <v>74121405</v>
      </c>
      <c r="G19358">
        <v>74121421</v>
      </c>
      <c r="H19358">
        <v>74121435</v>
      </c>
      <c r="I19358">
        <v>74121446</v>
      </c>
    </row>
    <row r="19359" spans="1:9" x14ac:dyDescent="0.2">
      <c r="A19359" t="str">
        <f>"Slc9a3r1"</f>
        <v>Slc9a3r1</v>
      </c>
      <c r="B19359" t="s">
        <v>14</v>
      </c>
      <c r="C19359" t="s">
        <v>27</v>
      </c>
      <c r="D19359" t="s">
        <v>17</v>
      </c>
      <c r="E19359" t="s">
        <v>12</v>
      </c>
      <c r="F19359">
        <v>115163333</v>
      </c>
      <c r="G19359">
        <v>115163348</v>
      </c>
      <c r="H19359">
        <v>115163400</v>
      </c>
      <c r="I19359">
        <v>115163413</v>
      </c>
    </row>
    <row r="19360" spans="1:9" x14ac:dyDescent="0.2">
      <c r="A19360" t="str">
        <f>"Slc9a3r2"</f>
        <v>Slc9a3r2</v>
      </c>
      <c r="B19360" t="s">
        <v>9</v>
      </c>
      <c r="C19360" t="s">
        <v>28</v>
      </c>
      <c r="D19360" t="s">
        <v>11</v>
      </c>
      <c r="E19360" t="s">
        <v>12</v>
      </c>
      <c r="F19360">
        <v>24650270</v>
      </c>
      <c r="G19360">
        <v>24650311</v>
      </c>
      <c r="H19360">
        <v>24650270</v>
      </c>
      <c r="I19360">
        <v>24650311</v>
      </c>
    </row>
    <row r="19361" spans="1:9" x14ac:dyDescent="0.2">
      <c r="A19361" t="str">
        <f>"Slc9a3r2"</f>
        <v>Slc9a3r2</v>
      </c>
      <c r="B19361" t="s">
        <v>13</v>
      </c>
      <c r="C19361" t="s">
        <v>28</v>
      </c>
      <c r="D19361" t="s">
        <v>11</v>
      </c>
      <c r="E19361" t="s">
        <v>12</v>
      </c>
      <c r="F19361">
        <v>24644933</v>
      </c>
      <c r="G19361">
        <v>24644976</v>
      </c>
      <c r="H19361">
        <v>24644933</v>
      </c>
      <c r="I19361">
        <v>24644976</v>
      </c>
    </row>
    <row r="19362" spans="1:9" x14ac:dyDescent="0.2">
      <c r="A19362" t="str">
        <f>"Slc9a4"</f>
        <v>Slc9a4</v>
      </c>
      <c r="B19362" t="s">
        <v>14</v>
      </c>
      <c r="C19362" t="s">
        <v>19</v>
      </c>
      <c r="D19362" t="s">
        <v>17</v>
      </c>
      <c r="E19362" t="s">
        <v>12</v>
      </c>
      <c r="F19362">
        <v>40580492</v>
      </c>
      <c r="G19362">
        <v>40580510</v>
      </c>
      <c r="H19362">
        <v>40580492</v>
      </c>
      <c r="I19362">
        <v>40580510</v>
      </c>
    </row>
    <row r="19363" spans="1:9" x14ac:dyDescent="0.2">
      <c r="A19363" t="str">
        <f>"Slc9a5"</f>
        <v>Slc9a5</v>
      </c>
      <c r="B19363" t="s">
        <v>14</v>
      </c>
      <c r="C19363" t="s">
        <v>30</v>
      </c>
      <c r="D19363" t="s">
        <v>17</v>
      </c>
      <c r="E19363" t="s">
        <v>12</v>
      </c>
      <c r="F19363">
        <v>105348163</v>
      </c>
      <c r="G19363">
        <v>105348190</v>
      </c>
      <c r="H19363">
        <v>105348092</v>
      </c>
      <c r="I19363">
        <v>105348099</v>
      </c>
    </row>
    <row r="19364" spans="1:9" x14ac:dyDescent="0.2">
      <c r="A19364" t="str">
        <f>"Slc9a6"</f>
        <v>Slc9a6</v>
      </c>
      <c r="B19364" t="s">
        <v>14</v>
      </c>
      <c r="C19364" t="s">
        <v>37</v>
      </c>
      <c r="D19364" t="s">
        <v>17</v>
      </c>
      <c r="E19364" t="s">
        <v>12</v>
      </c>
      <c r="F19364">
        <v>56609843</v>
      </c>
      <c r="G19364">
        <v>56609864</v>
      </c>
      <c r="H19364">
        <v>56609751</v>
      </c>
      <c r="I19364">
        <v>56609797</v>
      </c>
    </row>
    <row r="19365" spans="1:9" x14ac:dyDescent="0.2">
      <c r="A19365" t="str">
        <f>"Slc9a7"</f>
        <v>Slc9a7</v>
      </c>
      <c r="B19365" t="s">
        <v>14</v>
      </c>
      <c r="C19365" t="s">
        <v>37</v>
      </c>
      <c r="D19365" t="s">
        <v>11</v>
      </c>
      <c r="E19365" t="s">
        <v>12</v>
      </c>
      <c r="F19365">
        <v>20291776</v>
      </c>
      <c r="G19365">
        <v>20291834</v>
      </c>
      <c r="H19365">
        <v>20291728</v>
      </c>
      <c r="I19365">
        <v>20291775</v>
      </c>
    </row>
    <row r="19366" spans="1:9" x14ac:dyDescent="0.2">
      <c r="A19366" t="str">
        <f>"Slc9a8"</f>
        <v>Slc9a8</v>
      </c>
      <c r="B19366" t="s">
        <v>14</v>
      </c>
      <c r="C19366" t="s">
        <v>26</v>
      </c>
      <c r="D19366" t="s">
        <v>17</v>
      </c>
      <c r="E19366" t="s">
        <v>12</v>
      </c>
      <c r="F19366">
        <v>167421706</v>
      </c>
      <c r="G19366">
        <v>167421732</v>
      </c>
      <c r="H19366">
        <v>167421692</v>
      </c>
      <c r="I19366">
        <v>167421703</v>
      </c>
    </row>
    <row r="19367" spans="1:9" x14ac:dyDescent="0.2">
      <c r="A19367" t="str">
        <f>"Slc9a9"</f>
        <v>Slc9a9</v>
      </c>
      <c r="B19367" t="s">
        <v>14</v>
      </c>
      <c r="C19367" t="s">
        <v>24</v>
      </c>
      <c r="D19367" t="s">
        <v>17</v>
      </c>
      <c r="E19367" t="s">
        <v>12</v>
      </c>
      <c r="F19367">
        <v>94669876</v>
      </c>
      <c r="G19367">
        <v>94669928</v>
      </c>
      <c r="H19367">
        <v>94669974</v>
      </c>
      <c r="I19367">
        <v>94669985</v>
      </c>
    </row>
    <row r="19368" spans="1:9" x14ac:dyDescent="0.2">
      <c r="A19368" t="str">
        <f>"Slc9b1"</f>
        <v>Slc9b1</v>
      </c>
      <c r="B19368" t="s">
        <v>14</v>
      </c>
      <c r="C19368" t="s">
        <v>22</v>
      </c>
      <c r="D19368" t="s">
        <v>17</v>
      </c>
      <c r="E19368" t="s">
        <v>67</v>
      </c>
      <c r="F19368">
        <v>135348030</v>
      </c>
      <c r="G19368">
        <v>135348085</v>
      </c>
      <c r="H19368">
        <v>135348030</v>
      </c>
      <c r="I19368">
        <v>135348085</v>
      </c>
    </row>
    <row r="19369" spans="1:9" x14ac:dyDescent="0.2">
      <c r="A19369" t="str">
        <f>"Slc9b2"</f>
        <v>Slc9b2</v>
      </c>
      <c r="B19369" t="s">
        <v>14</v>
      </c>
      <c r="C19369" t="s">
        <v>22</v>
      </c>
      <c r="D19369" t="s">
        <v>17</v>
      </c>
      <c r="E19369" t="s">
        <v>67</v>
      </c>
      <c r="F19369">
        <v>135307711</v>
      </c>
      <c r="G19369">
        <v>135307750</v>
      </c>
      <c r="H19369">
        <v>135307681</v>
      </c>
      <c r="I19369">
        <v>135307706</v>
      </c>
    </row>
    <row r="19370" spans="1:9" x14ac:dyDescent="0.2">
      <c r="A19370" t="str">
        <f>"Slc9c1"</f>
        <v>Slc9c1</v>
      </c>
      <c r="B19370" t="s">
        <v>14</v>
      </c>
      <c r="C19370" t="s">
        <v>31</v>
      </c>
      <c r="D19370" t="s">
        <v>17</v>
      </c>
      <c r="E19370" t="s">
        <v>67</v>
      </c>
      <c r="F19370">
        <v>45535303</v>
      </c>
      <c r="G19370">
        <v>45535317</v>
      </c>
      <c r="H19370">
        <v>45535340</v>
      </c>
      <c r="I19370">
        <v>45535354</v>
      </c>
    </row>
    <row r="19371" spans="1:9" x14ac:dyDescent="0.2">
      <c r="A19371" t="str">
        <f>"Slco1a1"</f>
        <v>Slco1a1</v>
      </c>
      <c r="B19371" t="s">
        <v>14</v>
      </c>
      <c r="C19371" t="s">
        <v>32</v>
      </c>
      <c r="D19371" t="s">
        <v>11</v>
      </c>
      <c r="E19371" t="s">
        <v>12</v>
      </c>
      <c r="F19371">
        <v>141946791</v>
      </c>
      <c r="G19371">
        <v>141946821</v>
      </c>
      <c r="H19371">
        <v>141946827</v>
      </c>
      <c r="I19371">
        <v>141946836</v>
      </c>
    </row>
    <row r="19372" spans="1:9" x14ac:dyDescent="0.2">
      <c r="A19372" t="str">
        <f>"Slco1a4"</f>
        <v>Slco1a4</v>
      </c>
      <c r="B19372" t="s">
        <v>14</v>
      </c>
      <c r="C19372" t="s">
        <v>32</v>
      </c>
      <c r="D19372" t="s">
        <v>11</v>
      </c>
      <c r="E19372" t="s">
        <v>12</v>
      </c>
      <c r="F19372">
        <v>141856192</v>
      </c>
      <c r="G19372">
        <v>141856234</v>
      </c>
      <c r="H19372">
        <v>141856192</v>
      </c>
      <c r="I19372">
        <v>141856234</v>
      </c>
    </row>
    <row r="19373" spans="1:9" x14ac:dyDescent="0.2">
      <c r="A19373" t="str">
        <f>"Slco1a5"</f>
        <v>Slco1a5</v>
      </c>
      <c r="B19373" t="s">
        <v>14</v>
      </c>
      <c r="C19373" t="s">
        <v>32</v>
      </c>
      <c r="D19373" t="s">
        <v>11</v>
      </c>
      <c r="E19373" t="s">
        <v>12</v>
      </c>
      <c r="F19373">
        <v>142322978</v>
      </c>
      <c r="G19373">
        <v>142323007</v>
      </c>
      <c r="H19373">
        <v>142323026</v>
      </c>
      <c r="I19373">
        <v>142323040</v>
      </c>
    </row>
    <row r="19374" spans="1:9" x14ac:dyDescent="0.2">
      <c r="A19374" t="str">
        <f>"Slco1a6"</f>
        <v>Slco1a6</v>
      </c>
      <c r="B19374" t="s">
        <v>14</v>
      </c>
      <c r="C19374" t="s">
        <v>32</v>
      </c>
      <c r="D19374" t="s">
        <v>11</v>
      </c>
      <c r="E19374" t="s">
        <v>12</v>
      </c>
      <c r="F19374">
        <v>142186144</v>
      </c>
      <c r="G19374">
        <v>142186153</v>
      </c>
      <c r="H19374">
        <v>142186144</v>
      </c>
      <c r="I19374">
        <v>142186153</v>
      </c>
    </row>
    <row r="19375" spans="1:9" x14ac:dyDescent="0.2">
      <c r="A19375" t="str">
        <f>"Slco1b2"</f>
        <v>Slco1b2</v>
      </c>
      <c r="B19375" t="s">
        <v>14</v>
      </c>
      <c r="C19375" t="s">
        <v>32</v>
      </c>
      <c r="D19375" t="s">
        <v>17</v>
      </c>
      <c r="E19375" t="s">
        <v>12</v>
      </c>
      <c r="F19375">
        <v>141629499</v>
      </c>
      <c r="G19375">
        <v>141629527</v>
      </c>
      <c r="H19375">
        <v>141629499</v>
      </c>
      <c r="I19375">
        <v>141629527</v>
      </c>
    </row>
    <row r="19376" spans="1:9" x14ac:dyDescent="0.2">
      <c r="A19376" t="str">
        <f>"Slco1c1"</f>
        <v>Slco1c1</v>
      </c>
      <c r="B19376" t="s">
        <v>14</v>
      </c>
      <c r="C19376" t="s">
        <v>32</v>
      </c>
      <c r="D19376" t="s">
        <v>17</v>
      </c>
      <c r="E19376" t="s">
        <v>12</v>
      </c>
      <c r="F19376">
        <v>141524379</v>
      </c>
      <c r="G19376">
        <v>141524449</v>
      </c>
      <c r="H19376">
        <v>141524589</v>
      </c>
      <c r="I19376">
        <v>141524629</v>
      </c>
    </row>
    <row r="19377" spans="1:9" x14ac:dyDescent="0.2">
      <c r="A19377" t="str">
        <f>"Slco2a1"</f>
        <v>Slco2a1</v>
      </c>
      <c r="B19377" t="s">
        <v>9</v>
      </c>
      <c r="C19377" t="s">
        <v>24</v>
      </c>
      <c r="D19377" t="s">
        <v>17</v>
      </c>
      <c r="E19377" t="s">
        <v>12</v>
      </c>
      <c r="F19377">
        <v>103008479</v>
      </c>
      <c r="G19377">
        <v>103008497</v>
      </c>
      <c r="H19377">
        <v>103008479</v>
      </c>
      <c r="I19377">
        <v>103008497</v>
      </c>
    </row>
    <row r="19378" spans="1:9" x14ac:dyDescent="0.2">
      <c r="A19378" t="str">
        <f>"Slco2a1"</f>
        <v>Slco2a1</v>
      </c>
      <c r="B19378" t="s">
        <v>13</v>
      </c>
      <c r="C19378" t="s">
        <v>24</v>
      </c>
      <c r="D19378" t="s">
        <v>17</v>
      </c>
      <c r="E19378" t="s">
        <v>12</v>
      </c>
      <c r="F19378">
        <v>102988757</v>
      </c>
      <c r="G19378">
        <v>102988788</v>
      </c>
      <c r="H19378">
        <v>102988757</v>
      </c>
      <c r="I19378">
        <v>102988788</v>
      </c>
    </row>
    <row r="19379" spans="1:9" x14ac:dyDescent="0.2">
      <c r="A19379" t="str">
        <f>"Slco2b1"</f>
        <v>Slco2b1</v>
      </c>
      <c r="B19379" t="s">
        <v>9</v>
      </c>
      <c r="C19379" t="s">
        <v>33</v>
      </c>
      <c r="D19379" t="s">
        <v>11</v>
      </c>
      <c r="E19379" t="s">
        <v>12</v>
      </c>
      <c r="F19379">
        <v>99706827</v>
      </c>
      <c r="G19379">
        <v>99706873</v>
      </c>
      <c r="H19379">
        <v>99706827</v>
      </c>
      <c r="I19379">
        <v>99706873</v>
      </c>
    </row>
    <row r="19380" spans="1:9" x14ac:dyDescent="0.2">
      <c r="A19380" t="str">
        <f>"Slco2b1"</f>
        <v>Slco2b1</v>
      </c>
      <c r="B19380" t="s">
        <v>13</v>
      </c>
      <c r="C19380" t="s">
        <v>33</v>
      </c>
      <c r="D19380" t="s">
        <v>11</v>
      </c>
      <c r="E19380" t="s">
        <v>12</v>
      </c>
      <c r="F19380">
        <v>99695572</v>
      </c>
      <c r="G19380">
        <v>99695622</v>
      </c>
      <c r="H19380">
        <v>99695572</v>
      </c>
      <c r="I19380">
        <v>99695622</v>
      </c>
    </row>
    <row r="19381" spans="1:9" x14ac:dyDescent="0.2">
      <c r="A19381" t="str">
        <f>"Slco3a1"</f>
        <v>Slco3a1</v>
      </c>
      <c r="B19381" t="s">
        <v>14</v>
      </c>
      <c r="C19381" t="s">
        <v>33</v>
      </c>
      <c r="D19381" t="s">
        <v>11</v>
      </c>
      <c r="E19381" t="s">
        <v>12</v>
      </c>
      <c r="F19381">
        <v>74554726</v>
      </c>
      <c r="G19381">
        <v>74554791</v>
      </c>
      <c r="H19381">
        <v>74554632</v>
      </c>
      <c r="I19381">
        <v>74554681</v>
      </c>
    </row>
    <row r="19382" spans="1:9" x14ac:dyDescent="0.2">
      <c r="A19382" t="str">
        <f>"Slco4a1"</f>
        <v>Slco4a1</v>
      </c>
      <c r="B19382" t="s">
        <v>14</v>
      </c>
      <c r="C19382" t="s">
        <v>26</v>
      </c>
      <c r="D19382" t="s">
        <v>17</v>
      </c>
      <c r="E19382" t="s">
        <v>12</v>
      </c>
      <c r="F19382">
        <v>180456307</v>
      </c>
      <c r="G19382">
        <v>180456341</v>
      </c>
      <c r="H19382">
        <v>180456234</v>
      </c>
      <c r="I19382">
        <v>180456246</v>
      </c>
    </row>
    <row r="19383" spans="1:9" x14ac:dyDescent="0.2">
      <c r="A19383" t="str">
        <f>"Slco4c1"</f>
        <v>Slco4c1</v>
      </c>
      <c r="B19383" t="s">
        <v>14</v>
      </c>
      <c r="C19383" t="s">
        <v>19</v>
      </c>
      <c r="D19383" t="s">
        <v>11</v>
      </c>
      <c r="E19383" t="s">
        <v>12</v>
      </c>
      <c r="F19383">
        <v>96872107</v>
      </c>
      <c r="G19383">
        <v>96872147</v>
      </c>
      <c r="H19383">
        <v>96872165</v>
      </c>
      <c r="I19383">
        <v>96872179</v>
      </c>
    </row>
    <row r="19384" spans="1:9" x14ac:dyDescent="0.2">
      <c r="A19384" t="str">
        <f>"Slco5a1"</f>
        <v>Slco5a1</v>
      </c>
      <c r="B19384" t="s">
        <v>14</v>
      </c>
      <c r="C19384" t="s">
        <v>19</v>
      </c>
      <c r="D19384" t="s">
        <v>11</v>
      </c>
      <c r="E19384" t="s">
        <v>12</v>
      </c>
      <c r="F19384">
        <v>12991109</v>
      </c>
      <c r="G19384">
        <v>12991152</v>
      </c>
      <c r="H19384">
        <v>12991172</v>
      </c>
      <c r="I19384">
        <v>12991183</v>
      </c>
    </row>
    <row r="19385" spans="1:9" x14ac:dyDescent="0.2">
      <c r="A19385" t="str">
        <f>"Slco6b1"</f>
        <v>Slco6b1</v>
      </c>
      <c r="B19385" t="s">
        <v>14</v>
      </c>
      <c r="C19385" t="s">
        <v>19</v>
      </c>
      <c r="D19385" t="s">
        <v>11</v>
      </c>
      <c r="E19385" t="s">
        <v>12</v>
      </c>
      <c r="F19385">
        <v>96997596</v>
      </c>
      <c r="G19385">
        <v>96997610</v>
      </c>
      <c r="H19385">
        <v>96997590</v>
      </c>
      <c r="I19385">
        <v>96997595</v>
      </c>
    </row>
    <row r="19386" spans="1:9" x14ac:dyDescent="0.2">
      <c r="A19386" t="str">
        <f>"Slco6c1"</f>
        <v>Slco6c1</v>
      </c>
      <c r="B19386" t="s">
        <v>14</v>
      </c>
      <c r="C19386" t="s">
        <v>19</v>
      </c>
      <c r="D19386" t="s">
        <v>11</v>
      </c>
      <c r="E19386" t="s">
        <v>12</v>
      </c>
      <c r="F19386">
        <v>97128292</v>
      </c>
      <c r="G19386">
        <v>97128313</v>
      </c>
      <c r="H19386">
        <v>97128268</v>
      </c>
      <c r="I19386">
        <v>97128291</v>
      </c>
    </row>
    <row r="19387" spans="1:9" x14ac:dyDescent="0.2">
      <c r="A19387" t="str">
        <f>"Slco6d1"</f>
        <v>Slco6d1</v>
      </c>
      <c r="B19387" t="s">
        <v>14</v>
      </c>
      <c r="C19387" t="s">
        <v>19</v>
      </c>
      <c r="D19387" t="s">
        <v>17</v>
      </c>
      <c r="E19387" t="s">
        <v>12</v>
      </c>
      <c r="F19387">
        <v>98421092</v>
      </c>
      <c r="G19387">
        <v>98421134</v>
      </c>
      <c r="H19387">
        <v>98421092</v>
      </c>
      <c r="I19387">
        <v>98421134</v>
      </c>
    </row>
    <row r="19388" spans="1:9" x14ac:dyDescent="0.2">
      <c r="A19388" t="str">
        <f>"Slfn1"</f>
        <v>Slfn1</v>
      </c>
      <c r="B19388" t="s">
        <v>14</v>
      </c>
      <c r="C19388" t="s">
        <v>27</v>
      </c>
      <c r="D19388" t="s">
        <v>17</v>
      </c>
      <c r="E19388" t="s">
        <v>12</v>
      </c>
      <c r="F19388">
        <v>83116809</v>
      </c>
      <c r="G19388">
        <v>83116850</v>
      </c>
      <c r="H19388">
        <v>83116809</v>
      </c>
      <c r="I19388">
        <v>83116850</v>
      </c>
    </row>
    <row r="19389" spans="1:9" x14ac:dyDescent="0.2">
      <c r="A19389" t="str">
        <f>"Slfn14"</f>
        <v>Slfn14</v>
      </c>
      <c r="B19389" t="s">
        <v>14</v>
      </c>
      <c r="C19389" t="s">
        <v>27</v>
      </c>
      <c r="D19389" t="s">
        <v>11</v>
      </c>
      <c r="E19389" t="s">
        <v>67</v>
      </c>
      <c r="F19389">
        <v>83286664</v>
      </c>
      <c r="G19389">
        <v>83286679</v>
      </c>
      <c r="H19389">
        <v>83286680</v>
      </c>
      <c r="I19389">
        <v>83286699</v>
      </c>
    </row>
    <row r="19390" spans="1:9" x14ac:dyDescent="0.2">
      <c r="A19390" t="str">
        <f>"Slfn2"</f>
        <v>Slfn2</v>
      </c>
      <c r="B19390" t="s">
        <v>14</v>
      </c>
      <c r="C19390" t="s">
        <v>27</v>
      </c>
      <c r="D19390" t="s">
        <v>17</v>
      </c>
      <c r="E19390" t="s">
        <v>12</v>
      </c>
      <c r="F19390">
        <v>83065092</v>
      </c>
      <c r="G19390">
        <v>83065109</v>
      </c>
      <c r="H19390">
        <v>83065128</v>
      </c>
      <c r="I19390">
        <v>83065151</v>
      </c>
    </row>
    <row r="19391" spans="1:9" x14ac:dyDescent="0.2">
      <c r="A19391" t="str">
        <f>"Slfn3"</f>
        <v>Slfn3</v>
      </c>
      <c r="B19391" t="s">
        <v>14</v>
      </c>
      <c r="C19391" t="s">
        <v>27</v>
      </c>
      <c r="D19391" t="s">
        <v>17</v>
      </c>
      <c r="E19391" t="s">
        <v>12</v>
      </c>
      <c r="F19391">
        <v>83191326</v>
      </c>
      <c r="G19391">
        <v>83191339</v>
      </c>
      <c r="H19391">
        <v>83191296</v>
      </c>
      <c r="I19391">
        <v>83191316</v>
      </c>
    </row>
    <row r="19392" spans="1:9" x14ac:dyDescent="0.2">
      <c r="A19392" t="str">
        <f>"Slfn4"</f>
        <v>Slfn4</v>
      </c>
      <c r="B19392" t="s">
        <v>14</v>
      </c>
      <c r="C19392" t="s">
        <v>27</v>
      </c>
      <c r="D19392" t="s">
        <v>17</v>
      </c>
      <c r="E19392" t="s">
        <v>12</v>
      </c>
      <c r="F19392">
        <v>83175189</v>
      </c>
      <c r="G19392">
        <v>83175204</v>
      </c>
      <c r="H19392">
        <v>83175189</v>
      </c>
      <c r="I19392">
        <v>83175204</v>
      </c>
    </row>
    <row r="19393" spans="1:9" x14ac:dyDescent="0.2">
      <c r="A19393" t="str">
        <f>"Slfn5"</f>
        <v>Slfn5</v>
      </c>
      <c r="B19393" t="s">
        <v>14</v>
      </c>
      <c r="C19393" t="s">
        <v>27</v>
      </c>
      <c r="D19393" t="s">
        <v>17</v>
      </c>
      <c r="E19393" t="s">
        <v>12</v>
      </c>
      <c r="F19393">
        <v>82952095</v>
      </c>
      <c r="G19393">
        <v>82952125</v>
      </c>
      <c r="H19393">
        <v>82952062</v>
      </c>
      <c r="I19393">
        <v>82952094</v>
      </c>
    </row>
    <row r="19394" spans="1:9" x14ac:dyDescent="0.2">
      <c r="A19394" t="str">
        <f>"Slfn8"</f>
        <v>Slfn8</v>
      </c>
      <c r="B19394" t="s">
        <v>14</v>
      </c>
      <c r="C19394" t="s">
        <v>27</v>
      </c>
      <c r="D19394" t="s">
        <v>11</v>
      </c>
      <c r="E19394" t="s">
        <v>12</v>
      </c>
      <c r="F19394">
        <v>83020788</v>
      </c>
      <c r="G19394">
        <v>83020843</v>
      </c>
      <c r="H19394">
        <v>83020770</v>
      </c>
      <c r="I19394">
        <v>83020783</v>
      </c>
    </row>
    <row r="19395" spans="1:9" x14ac:dyDescent="0.2">
      <c r="A19395" t="str">
        <f>"Slfn9"</f>
        <v>Slfn9</v>
      </c>
      <c r="B19395" t="s">
        <v>14</v>
      </c>
      <c r="C19395" t="s">
        <v>27</v>
      </c>
      <c r="D19395" t="s">
        <v>11</v>
      </c>
      <c r="E19395" t="s">
        <v>12</v>
      </c>
      <c r="F19395">
        <v>82991127</v>
      </c>
      <c r="G19395">
        <v>82991167</v>
      </c>
      <c r="H19395">
        <v>82991821</v>
      </c>
      <c r="I19395">
        <v>82991832</v>
      </c>
    </row>
    <row r="19396" spans="1:9" x14ac:dyDescent="0.2">
      <c r="A19396" t="str">
        <f>"Slfnl1"</f>
        <v>Slfnl1</v>
      </c>
      <c r="B19396" t="s">
        <v>14</v>
      </c>
      <c r="C19396" t="s">
        <v>23</v>
      </c>
      <c r="D19396" t="s">
        <v>17</v>
      </c>
      <c r="E19396" t="s">
        <v>12</v>
      </c>
      <c r="F19396">
        <v>120532219</v>
      </c>
      <c r="G19396">
        <v>120532256</v>
      </c>
      <c r="H19396">
        <v>120532260</v>
      </c>
      <c r="I19396">
        <v>120532265</v>
      </c>
    </row>
    <row r="19397" spans="1:9" x14ac:dyDescent="0.2">
      <c r="A19397" t="str">
        <f>"Slirp"</f>
        <v>Slirp</v>
      </c>
      <c r="B19397" t="s">
        <v>14</v>
      </c>
      <c r="C19397" t="s">
        <v>16</v>
      </c>
      <c r="D19397" t="s">
        <v>17</v>
      </c>
      <c r="E19397" t="s">
        <v>67</v>
      </c>
      <c r="F19397">
        <v>87443904</v>
      </c>
      <c r="G19397">
        <v>87443934</v>
      </c>
      <c r="H19397">
        <v>87443904</v>
      </c>
      <c r="I19397">
        <v>87443934</v>
      </c>
    </row>
    <row r="19398" spans="1:9" x14ac:dyDescent="0.2">
      <c r="A19398" t="str">
        <f>"Slit1"</f>
        <v>Slit1</v>
      </c>
      <c r="B19398" t="s">
        <v>14</v>
      </c>
      <c r="C19398" t="s">
        <v>10</v>
      </c>
      <c r="D19398" t="s">
        <v>11</v>
      </c>
      <c r="E19398" t="s">
        <v>12</v>
      </c>
      <c r="F19398">
        <v>41743665</v>
      </c>
      <c r="G19398">
        <v>41743706</v>
      </c>
      <c r="H19398">
        <v>41743644</v>
      </c>
      <c r="I19398">
        <v>41743662</v>
      </c>
    </row>
    <row r="19399" spans="1:9" x14ac:dyDescent="0.2">
      <c r="A19399" t="str">
        <f>"Slit2"</f>
        <v>Slit2</v>
      </c>
      <c r="B19399" t="s">
        <v>14</v>
      </c>
      <c r="C19399" t="s">
        <v>46</v>
      </c>
      <c r="D19399" t="s">
        <v>17</v>
      </c>
      <c r="E19399" t="s">
        <v>12</v>
      </c>
      <c r="F19399">
        <v>47983147</v>
      </c>
      <c r="G19399">
        <v>47983162</v>
      </c>
      <c r="H19399">
        <v>47983147</v>
      </c>
      <c r="I19399">
        <v>47983162</v>
      </c>
    </row>
    <row r="19400" spans="1:9" x14ac:dyDescent="0.2">
      <c r="A19400" t="str">
        <f>"Slit3"</f>
        <v>Slit3</v>
      </c>
      <c r="B19400" t="s">
        <v>14</v>
      </c>
      <c r="C19400" t="s">
        <v>27</v>
      </c>
      <c r="D19400" t="s">
        <v>17</v>
      </c>
      <c r="E19400" t="s">
        <v>12</v>
      </c>
      <c r="F19400">
        <v>35121065</v>
      </c>
      <c r="G19400">
        <v>35121118</v>
      </c>
      <c r="H19400">
        <v>35121397</v>
      </c>
      <c r="I19400">
        <v>35121512</v>
      </c>
    </row>
    <row r="19401" spans="1:9" x14ac:dyDescent="0.2">
      <c r="A19401" t="str">
        <f>"Slitrk1"</f>
        <v>Slitrk1</v>
      </c>
      <c r="B19401" t="s">
        <v>14</v>
      </c>
      <c r="C19401" t="s">
        <v>41</v>
      </c>
      <c r="D19401" t="s">
        <v>11</v>
      </c>
      <c r="E19401" t="s">
        <v>12</v>
      </c>
      <c r="F19401">
        <v>108914059</v>
      </c>
      <c r="G19401">
        <v>108914139</v>
      </c>
      <c r="H19401">
        <v>108914164</v>
      </c>
      <c r="I19401">
        <v>108914183</v>
      </c>
    </row>
    <row r="19402" spans="1:9" x14ac:dyDescent="0.2">
      <c r="A19402" t="str">
        <f>"Slitrk2"</f>
        <v>Slitrk2</v>
      </c>
      <c r="B19402" t="s">
        <v>9</v>
      </c>
      <c r="C19402" t="s">
        <v>37</v>
      </c>
      <c r="D19402" t="s">
        <v>17</v>
      </c>
      <c r="E19402" t="s">
        <v>12</v>
      </c>
      <c r="F19402">
        <v>66653003</v>
      </c>
      <c r="G19402">
        <v>66653031</v>
      </c>
      <c r="H19402">
        <v>66653003</v>
      </c>
      <c r="I19402">
        <v>66653031</v>
      </c>
    </row>
    <row r="19403" spans="1:9" x14ac:dyDescent="0.2">
      <c r="A19403" t="str">
        <f>"Slitrk2"</f>
        <v>Slitrk2</v>
      </c>
      <c r="B19403" t="s">
        <v>13</v>
      </c>
      <c r="C19403" t="s">
        <v>37</v>
      </c>
      <c r="D19403" t="s">
        <v>17</v>
      </c>
      <c r="E19403" t="s">
        <v>12</v>
      </c>
      <c r="F19403">
        <v>66649376</v>
      </c>
      <c r="G19403">
        <v>66649394</v>
      </c>
      <c r="H19403">
        <v>66649376</v>
      </c>
      <c r="I19403">
        <v>66649394</v>
      </c>
    </row>
    <row r="19404" spans="1:9" x14ac:dyDescent="0.2">
      <c r="A19404" t="str">
        <f>"Slitrk3"</f>
        <v>Slitrk3</v>
      </c>
      <c r="B19404" t="s">
        <v>14</v>
      </c>
      <c r="C19404" t="s">
        <v>22</v>
      </c>
      <c r="D19404" t="s">
        <v>11</v>
      </c>
      <c r="E19404" t="s">
        <v>12</v>
      </c>
      <c r="F19404">
        <v>73057776</v>
      </c>
      <c r="G19404">
        <v>73057839</v>
      </c>
      <c r="H19404">
        <v>73057705</v>
      </c>
      <c r="I19404">
        <v>73057726</v>
      </c>
    </row>
    <row r="19405" spans="1:9" x14ac:dyDescent="0.2">
      <c r="A19405" t="str">
        <f>"Slitrk4"</f>
        <v>Slitrk4</v>
      </c>
      <c r="B19405" t="s">
        <v>14</v>
      </c>
      <c r="C19405" t="s">
        <v>37</v>
      </c>
      <c r="D19405" t="s">
        <v>11</v>
      </c>
      <c r="E19405" t="s">
        <v>12</v>
      </c>
      <c r="F19405">
        <v>64276937</v>
      </c>
      <c r="G19405">
        <v>64277002</v>
      </c>
      <c r="H19405">
        <v>64276914</v>
      </c>
      <c r="I19405">
        <v>64276930</v>
      </c>
    </row>
    <row r="19406" spans="1:9" x14ac:dyDescent="0.2">
      <c r="A19406" t="str">
        <f>"Slitrk5"</f>
        <v>Slitrk5</v>
      </c>
      <c r="B19406" t="s">
        <v>14</v>
      </c>
      <c r="C19406" t="s">
        <v>41</v>
      </c>
      <c r="D19406" t="s">
        <v>17</v>
      </c>
      <c r="E19406" t="s">
        <v>12</v>
      </c>
      <c r="F19406">
        <v>111674860</v>
      </c>
      <c r="G19406">
        <v>111674924</v>
      </c>
      <c r="H19406">
        <v>111675113</v>
      </c>
      <c r="I19406">
        <v>111675119</v>
      </c>
    </row>
    <row r="19407" spans="1:9" x14ac:dyDescent="0.2">
      <c r="A19407" t="str">
        <f>"Slitrk6"</f>
        <v>Slitrk6</v>
      </c>
      <c r="B19407" t="s">
        <v>14</v>
      </c>
      <c r="C19407" t="s">
        <v>41</v>
      </c>
      <c r="D19407" t="s">
        <v>11</v>
      </c>
      <c r="E19407" t="s">
        <v>12</v>
      </c>
      <c r="F19407">
        <v>110755041</v>
      </c>
      <c r="G19407">
        <v>110755099</v>
      </c>
      <c r="H19407">
        <v>110755041</v>
      </c>
      <c r="I19407">
        <v>110755099</v>
      </c>
    </row>
    <row r="19408" spans="1:9" x14ac:dyDescent="0.2">
      <c r="A19408" t="str">
        <f>"Slk"</f>
        <v>Slk</v>
      </c>
      <c r="B19408" t="s">
        <v>14</v>
      </c>
      <c r="C19408" t="s">
        <v>10</v>
      </c>
      <c r="D19408" t="s">
        <v>17</v>
      </c>
      <c r="E19408" t="s">
        <v>12</v>
      </c>
      <c r="F19408">
        <v>47579602</v>
      </c>
      <c r="G19408">
        <v>47579681</v>
      </c>
      <c r="H19408">
        <v>47579688</v>
      </c>
      <c r="I19408">
        <v>47579714</v>
      </c>
    </row>
    <row r="19409" spans="1:9" x14ac:dyDescent="0.2">
      <c r="A19409" t="str">
        <f>"Slmap"</f>
        <v>Slmap</v>
      </c>
      <c r="B19409" t="s">
        <v>14</v>
      </c>
      <c r="C19409" t="s">
        <v>41</v>
      </c>
      <c r="D19409" t="s">
        <v>11</v>
      </c>
      <c r="E19409" t="s">
        <v>12</v>
      </c>
      <c r="F19409">
        <v>26534870</v>
      </c>
      <c r="G19409">
        <v>26534929</v>
      </c>
      <c r="H19409">
        <v>26534870</v>
      </c>
      <c r="I19409">
        <v>26534929</v>
      </c>
    </row>
    <row r="19410" spans="1:9" x14ac:dyDescent="0.2">
      <c r="A19410" t="str">
        <f>"Slmo1"</f>
        <v>Slmo1</v>
      </c>
      <c r="B19410" t="s">
        <v>14</v>
      </c>
      <c r="C19410" t="s">
        <v>43</v>
      </c>
      <c r="D19410" t="s">
        <v>17</v>
      </c>
      <c r="E19410" t="s">
        <v>12</v>
      </c>
      <c r="F19410">
        <v>67464860</v>
      </c>
      <c r="G19410">
        <v>67464922</v>
      </c>
      <c r="H19410">
        <v>67464839</v>
      </c>
      <c r="I19410">
        <v>67464858</v>
      </c>
    </row>
    <row r="19411" spans="1:9" x14ac:dyDescent="0.2">
      <c r="A19411" t="str">
        <f>"Slmo2"</f>
        <v>Slmo2</v>
      </c>
      <c r="B19411" t="s">
        <v>14</v>
      </c>
      <c r="C19411" t="s">
        <v>26</v>
      </c>
      <c r="D19411" t="s">
        <v>11</v>
      </c>
      <c r="E19411" t="s">
        <v>12</v>
      </c>
      <c r="F19411">
        <v>174472878</v>
      </c>
      <c r="G19411">
        <v>174472936</v>
      </c>
      <c r="H19411">
        <v>174472949</v>
      </c>
      <c r="I19411">
        <v>174473019</v>
      </c>
    </row>
    <row r="19412" spans="1:9" x14ac:dyDescent="0.2">
      <c r="A19412" t="str">
        <f>"Sln"</f>
        <v>Sln</v>
      </c>
      <c r="B19412" t="s">
        <v>14</v>
      </c>
      <c r="C19412" t="s">
        <v>24</v>
      </c>
      <c r="D19412" t="s">
        <v>17</v>
      </c>
      <c r="E19412" t="s">
        <v>12</v>
      </c>
      <c r="F19412">
        <v>53850243</v>
      </c>
      <c r="G19412">
        <v>53850257</v>
      </c>
      <c r="H19412">
        <v>53850243</v>
      </c>
      <c r="I19412">
        <v>53850257</v>
      </c>
    </row>
    <row r="19413" spans="1:9" x14ac:dyDescent="0.2">
      <c r="A19413" t="str">
        <f>"Slpi"</f>
        <v>Slpi</v>
      </c>
      <c r="B19413" t="s">
        <v>14</v>
      </c>
      <c r="C19413" t="s">
        <v>26</v>
      </c>
      <c r="D19413" t="s">
        <v>11</v>
      </c>
      <c r="E19413" t="s">
        <v>12</v>
      </c>
      <c r="F19413">
        <v>164356284</v>
      </c>
      <c r="G19413">
        <v>164356298</v>
      </c>
      <c r="H19413">
        <v>164356284</v>
      </c>
      <c r="I19413">
        <v>164356298</v>
      </c>
    </row>
    <row r="19414" spans="1:9" x14ac:dyDescent="0.2">
      <c r="A19414" t="str">
        <f>"Sltm"</f>
        <v>Sltm</v>
      </c>
      <c r="B19414" t="s">
        <v>14</v>
      </c>
      <c r="C19414" t="s">
        <v>24</v>
      </c>
      <c r="D19414" t="s">
        <v>17</v>
      </c>
      <c r="E19414" t="s">
        <v>12</v>
      </c>
      <c r="F19414">
        <v>70542872</v>
      </c>
      <c r="G19414">
        <v>70542920</v>
      </c>
      <c r="H19414">
        <v>70542742</v>
      </c>
      <c r="I19414">
        <v>70542827</v>
      </c>
    </row>
    <row r="19415" spans="1:9" x14ac:dyDescent="0.2">
      <c r="A19415" t="str">
        <f>"Slu7"</f>
        <v>Slu7</v>
      </c>
      <c r="B19415" t="s">
        <v>9</v>
      </c>
      <c r="C19415" t="s">
        <v>27</v>
      </c>
      <c r="D19415" t="s">
        <v>17</v>
      </c>
      <c r="E19415" t="s">
        <v>12</v>
      </c>
      <c r="F19415">
        <v>43433720</v>
      </c>
      <c r="G19415">
        <v>43433783</v>
      </c>
      <c r="H19415">
        <v>43433720</v>
      </c>
      <c r="I19415">
        <v>43433783</v>
      </c>
    </row>
    <row r="19416" spans="1:9" x14ac:dyDescent="0.2">
      <c r="A19416" t="str">
        <f>"Slu7"</f>
        <v>Slu7</v>
      </c>
      <c r="B19416" t="s">
        <v>13</v>
      </c>
      <c r="C19416" t="s">
        <v>27</v>
      </c>
      <c r="D19416" t="s">
        <v>17</v>
      </c>
      <c r="E19416" t="s">
        <v>12</v>
      </c>
      <c r="F19416">
        <v>43441406</v>
      </c>
      <c r="G19416">
        <v>43441420</v>
      </c>
      <c r="H19416">
        <v>43441406</v>
      </c>
      <c r="I19416">
        <v>43441420</v>
      </c>
    </row>
    <row r="19417" spans="1:9" x14ac:dyDescent="0.2">
      <c r="A19417" t="str">
        <f>"Slurp1"</f>
        <v>Slurp1</v>
      </c>
      <c r="B19417" t="s">
        <v>14</v>
      </c>
      <c r="C19417" t="s">
        <v>25</v>
      </c>
      <c r="D19417" t="s">
        <v>11</v>
      </c>
      <c r="E19417" t="s">
        <v>12</v>
      </c>
      <c r="F19417">
        <v>74728011</v>
      </c>
      <c r="G19417">
        <v>74728030</v>
      </c>
      <c r="H19417">
        <v>74728011</v>
      </c>
      <c r="I19417">
        <v>74728030</v>
      </c>
    </row>
    <row r="19418" spans="1:9" x14ac:dyDescent="0.2">
      <c r="A19418" t="str">
        <f>"Slx"</f>
        <v>Slx</v>
      </c>
      <c r="B19418" t="s">
        <v>5760</v>
      </c>
      <c r="C19418" t="s">
        <v>37</v>
      </c>
      <c r="D19418" t="s">
        <v>11</v>
      </c>
      <c r="E19418" t="s">
        <v>20</v>
      </c>
      <c r="F19418">
        <v>26545564</v>
      </c>
      <c r="G19418">
        <v>26545564</v>
      </c>
      <c r="H19418">
        <v>26545564</v>
      </c>
      <c r="I19418">
        <v>26545564</v>
      </c>
    </row>
    <row r="19419" spans="1:9" x14ac:dyDescent="0.2">
      <c r="A19419" t="str">
        <f>"Slx1b"</f>
        <v>Slx1b</v>
      </c>
      <c r="B19419" t="s">
        <v>14</v>
      </c>
      <c r="C19419" t="s">
        <v>33</v>
      </c>
      <c r="D19419" t="s">
        <v>11</v>
      </c>
      <c r="E19419" t="s">
        <v>12</v>
      </c>
      <c r="F19419">
        <v>126695731</v>
      </c>
      <c r="G19419">
        <v>126695788</v>
      </c>
      <c r="H19419">
        <v>126695714</v>
      </c>
      <c r="I19419">
        <v>126695728</v>
      </c>
    </row>
    <row r="19420" spans="1:9" x14ac:dyDescent="0.2">
      <c r="A19420" t="str">
        <f>"Slx4"</f>
        <v>Slx4</v>
      </c>
      <c r="B19420" t="s">
        <v>14</v>
      </c>
      <c r="C19420" t="s">
        <v>31</v>
      </c>
      <c r="D19420" t="s">
        <v>11</v>
      </c>
      <c r="E19420" t="s">
        <v>12</v>
      </c>
      <c r="F19420">
        <v>4003750</v>
      </c>
      <c r="G19420">
        <v>4003828</v>
      </c>
      <c r="H19420">
        <v>4003721</v>
      </c>
      <c r="I19420">
        <v>4003735</v>
      </c>
    </row>
    <row r="19421" spans="1:9" x14ac:dyDescent="0.2">
      <c r="A19421" t="str">
        <f>"Slx4ip"</f>
        <v>Slx4ip</v>
      </c>
      <c r="B19421" t="s">
        <v>14</v>
      </c>
      <c r="C19421" t="s">
        <v>26</v>
      </c>
      <c r="D19421" t="s">
        <v>17</v>
      </c>
      <c r="E19421" t="s">
        <v>67</v>
      </c>
      <c r="F19421">
        <v>136892208</v>
      </c>
      <c r="G19421">
        <v>136892241</v>
      </c>
      <c r="H19421">
        <v>136892208</v>
      </c>
      <c r="I19421">
        <v>136892241</v>
      </c>
    </row>
    <row r="19422" spans="1:9" x14ac:dyDescent="0.2">
      <c r="A19422" t="str">
        <f>"Slxl1"</f>
        <v>Slxl1</v>
      </c>
      <c r="B19422" t="s">
        <v>5761</v>
      </c>
      <c r="C19422" t="s">
        <v>37</v>
      </c>
      <c r="D19422" t="s">
        <v>17</v>
      </c>
      <c r="E19422" t="s">
        <v>20</v>
      </c>
      <c r="F19422">
        <v>55226875</v>
      </c>
      <c r="G19422">
        <v>55226875</v>
      </c>
      <c r="H19422">
        <v>55226875</v>
      </c>
      <c r="I19422">
        <v>55226875</v>
      </c>
    </row>
    <row r="19423" spans="1:9" x14ac:dyDescent="0.2">
      <c r="A19423" t="str">
        <f>"Smad1"</f>
        <v>Smad1</v>
      </c>
      <c r="B19423" t="s">
        <v>14</v>
      </c>
      <c r="C19423" t="s">
        <v>30</v>
      </c>
      <c r="D19423" t="s">
        <v>11</v>
      </c>
      <c r="E19423" t="s">
        <v>12</v>
      </c>
      <c r="F19423">
        <v>79399417</v>
      </c>
      <c r="G19423">
        <v>79399435</v>
      </c>
      <c r="H19423">
        <v>79399513</v>
      </c>
      <c r="I19423">
        <v>79399532</v>
      </c>
    </row>
    <row r="19424" spans="1:9" x14ac:dyDescent="0.2">
      <c r="A19424" t="str">
        <f>"Smad2"</f>
        <v>Smad2</v>
      </c>
      <c r="B19424" t="s">
        <v>14</v>
      </c>
      <c r="C19424" t="s">
        <v>43</v>
      </c>
      <c r="D19424" t="s">
        <v>17</v>
      </c>
      <c r="E19424" t="s">
        <v>12</v>
      </c>
      <c r="F19424">
        <v>76241892</v>
      </c>
      <c r="G19424">
        <v>76241959</v>
      </c>
      <c r="H19424">
        <v>76241660</v>
      </c>
      <c r="I19424">
        <v>76241741</v>
      </c>
    </row>
    <row r="19425" spans="1:9" x14ac:dyDescent="0.2">
      <c r="A19425" t="str">
        <f>"Smad3"</f>
        <v>Smad3</v>
      </c>
      <c r="B19425" t="s">
        <v>14</v>
      </c>
      <c r="C19425" t="s">
        <v>24</v>
      </c>
      <c r="D19425" t="s">
        <v>11</v>
      </c>
      <c r="E19425" t="s">
        <v>12</v>
      </c>
      <c r="F19425">
        <v>63757933</v>
      </c>
      <c r="G19425">
        <v>63757964</v>
      </c>
      <c r="H19425">
        <v>63758171</v>
      </c>
      <c r="I19425">
        <v>63758190</v>
      </c>
    </row>
    <row r="19426" spans="1:9" x14ac:dyDescent="0.2">
      <c r="A19426" t="str">
        <f>"Smad4"</f>
        <v>Smad4</v>
      </c>
      <c r="B19426" t="s">
        <v>14</v>
      </c>
      <c r="C19426" t="s">
        <v>43</v>
      </c>
      <c r="D19426" t="s">
        <v>11</v>
      </c>
      <c r="E19426" t="s">
        <v>12</v>
      </c>
      <c r="F19426">
        <v>73703739</v>
      </c>
      <c r="G19426">
        <v>73703806</v>
      </c>
      <c r="H19426">
        <v>73703739</v>
      </c>
      <c r="I19426">
        <v>73703806</v>
      </c>
    </row>
    <row r="19427" spans="1:9" x14ac:dyDescent="0.2">
      <c r="A19427" t="str">
        <f>"Smad5"</f>
        <v>Smad5</v>
      </c>
      <c r="B19427" t="s">
        <v>14</v>
      </c>
      <c r="C19427" t="s">
        <v>39</v>
      </c>
      <c r="D19427" t="s">
        <v>17</v>
      </c>
      <c r="E19427" t="s">
        <v>12</v>
      </c>
      <c r="F19427">
        <v>56702983</v>
      </c>
      <c r="G19427">
        <v>56703112</v>
      </c>
      <c r="H19427">
        <v>56703360</v>
      </c>
      <c r="I19427">
        <v>56703431</v>
      </c>
    </row>
    <row r="19428" spans="1:9" x14ac:dyDescent="0.2">
      <c r="A19428" t="str">
        <f>"Smad6"</f>
        <v>Smad6</v>
      </c>
      <c r="B19428" t="s">
        <v>14</v>
      </c>
      <c r="C19428" t="s">
        <v>24</v>
      </c>
      <c r="D19428" t="s">
        <v>11</v>
      </c>
      <c r="E19428" t="s">
        <v>12</v>
      </c>
      <c r="F19428">
        <v>64021944</v>
      </c>
      <c r="G19428">
        <v>64021960</v>
      </c>
      <c r="H19428">
        <v>64022043</v>
      </c>
      <c r="I19428">
        <v>64022066</v>
      </c>
    </row>
    <row r="19429" spans="1:9" x14ac:dyDescent="0.2">
      <c r="A19429" t="str">
        <f>"Smad7"</f>
        <v>Smad7</v>
      </c>
      <c r="B19429" t="s">
        <v>14</v>
      </c>
      <c r="C19429" t="s">
        <v>43</v>
      </c>
      <c r="D19429" t="s">
        <v>17</v>
      </c>
      <c r="E19429" t="s">
        <v>12</v>
      </c>
      <c r="F19429">
        <v>75367355</v>
      </c>
      <c r="G19429">
        <v>75367373</v>
      </c>
      <c r="H19429">
        <v>75367376</v>
      </c>
      <c r="I19429">
        <v>75367401</v>
      </c>
    </row>
    <row r="19430" spans="1:9" x14ac:dyDescent="0.2">
      <c r="A19430" t="str">
        <f>"Smad9"</f>
        <v>Smad9</v>
      </c>
      <c r="B19430" t="s">
        <v>14</v>
      </c>
      <c r="C19430" t="s">
        <v>22</v>
      </c>
      <c r="D19430" t="s">
        <v>17</v>
      </c>
      <c r="E19430" t="s">
        <v>12</v>
      </c>
      <c r="F19430">
        <v>54755574</v>
      </c>
      <c r="G19430">
        <v>54755589</v>
      </c>
      <c r="H19430">
        <v>54755591</v>
      </c>
      <c r="I19430">
        <v>54755627</v>
      </c>
    </row>
    <row r="19431" spans="1:9" x14ac:dyDescent="0.2">
      <c r="A19431" t="str">
        <f>"Smagp"</f>
        <v>Smagp</v>
      </c>
      <c r="B19431" t="s">
        <v>14</v>
      </c>
      <c r="C19431" t="s">
        <v>25</v>
      </c>
      <c r="D19431" t="s">
        <v>11</v>
      </c>
      <c r="E19431" t="s">
        <v>12</v>
      </c>
      <c r="F19431">
        <v>100636742</v>
      </c>
      <c r="G19431">
        <v>100636777</v>
      </c>
      <c r="H19431">
        <v>100636853</v>
      </c>
      <c r="I19431">
        <v>100636900</v>
      </c>
    </row>
    <row r="19432" spans="1:9" x14ac:dyDescent="0.2">
      <c r="A19432" t="str">
        <f>"Smap1"</f>
        <v>Smap1</v>
      </c>
      <c r="B19432" t="s">
        <v>14</v>
      </c>
      <c r="C19432" t="s">
        <v>19</v>
      </c>
      <c r="D19432" t="s">
        <v>11</v>
      </c>
      <c r="E19432" t="s">
        <v>12</v>
      </c>
      <c r="F19432">
        <v>23922283</v>
      </c>
      <c r="G19432">
        <v>23922366</v>
      </c>
      <c r="H19432">
        <v>23922252</v>
      </c>
      <c r="I19432">
        <v>23922281</v>
      </c>
    </row>
    <row r="19433" spans="1:9" x14ac:dyDescent="0.2">
      <c r="A19433" t="str">
        <f>"Smap2"</f>
        <v>Smap2</v>
      </c>
      <c r="B19433" t="s">
        <v>14</v>
      </c>
      <c r="C19433" t="s">
        <v>23</v>
      </c>
      <c r="D19433" t="s">
        <v>11</v>
      </c>
      <c r="E19433" t="s">
        <v>12</v>
      </c>
      <c r="F19433">
        <v>121017201</v>
      </c>
      <c r="G19433">
        <v>121017261</v>
      </c>
      <c r="H19433">
        <v>121017147</v>
      </c>
      <c r="I19433">
        <v>121017199</v>
      </c>
    </row>
    <row r="19434" spans="1:9" x14ac:dyDescent="0.2">
      <c r="A19434" t="str">
        <f>"Smarca1"</f>
        <v>Smarca1</v>
      </c>
      <c r="B19434" t="s">
        <v>14</v>
      </c>
      <c r="C19434" t="s">
        <v>37</v>
      </c>
      <c r="D19434" t="s">
        <v>11</v>
      </c>
      <c r="E19434" t="s">
        <v>12</v>
      </c>
      <c r="F19434">
        <v>47892502</v>
      </c>
      <c r="G19434">
        <v>47892525</v>
      </c>
      <c r="H19434">
        <v>47892467</v>
      </c>
      <c r="I19434">
        <v>47892489</v>
      </c>
    </row>
    <row r="19435" spans="1:9" x14ac:dyDescent="0.2">
      <c r="A19435" t="str">
        <f>"Smarca2"</f>
        <v>Smarca2</v>
      </c>
      <c r="B19435" t="s">
        <v>14</v>
      </c>
      <c r="C19435" t="s">
        <v>10</v>
      </c>
      <c r="D19435" t="s">
        <v>17</v>
      </c>
      <c r="E19435" t="s">
        <v>12</v>
      </c>
      <c r="F19435">
        <v>26605164</v>
      </c>
      <c r="G19435">
        <v>26605185</v>
      </c>
      <c r="H19435">
        <v>26605164</v>
      </c>
      <c r="I19435">
        <v>26605185</v>
      </c>
    </row>
    <row r="19436" spans="1:9" x14ac:dyDescent="0.2">
      <c r="A19436" t="str">
        <f>"Smarca4"</f>
        <v>Smarca4</v>
      </c>
      <c r="B19436" t="s">
        <v>14</v>
      </c>
      <c r="C19436" t="s">
        <v>24</v>
      </c>
      <c r="D19436" t="s">
        <v>17</v>
      </c>
      <c r="E19436" t="s">
        <v>12</v>
      </c>
      <c r="F19436">
        <v>21616230</v>
      </c>
      <c r="G19436">
        <v>21616281</v>
      </c>
      <c r="H19436">
        <v>21616128</v>
      </c>
      <c r="I19436">
        <v>21616147</v>
      </c>
    </row>
    <row r="19437" spans="1:9" x14ac:dyDescent="0.2">
      <c r="A19437" t="str">
        <f>"Smarca5"</f>
        <v>Smarca5</v>
      </c>
      <c r="B19437" t="s">
        <v>14</v>
      </c>
      <c r="C19437" t="s">
        <v>30</v>
      </c>
      <c r="D19437" t="s">
        <v>11</v>
      </c>
      <c r="E19437" t="s">
        <v>12</v>
      </c>
      <c r="F19437">
        <v>80739030</v>
      </c>
      <c r="G19437">
        <v>80739058</v>
      </c>
      <c r="H19437">
        <v>80739300</v>
      </c>
      <c r="I19437">
        <v>80739337</v>
      </c>
    </row>
    <row r="19438" spans="1:9" x14ac:dyDescent="0.2">
      <c r="A19438" t="str">
        <f>"Smarcad1"</f>
        <v>Smarcad1</v>
      </c>
      <c r="B19438" t="s">
        <v>14</v>
      </c>
      <c r="C19438" t="s">
        <v>32</v>
      </c>
      <c r="D19438" t="s">
        <v>17</v>
      </c>
      <c r="E19438" t="s">
        <v>12</v>
      </c>
      <c r="F19438">
        <v>65042575</v>
      </c>
      <c r="G19438">
        <v>65042662</v>
      </c>
      <c r="H19438">
        <v>65042807</v>
      </c>
      <c r="I19438">
        <v>65042900</v>
      </c>
    </row>
    <row r="19439" spans="1:9" x14ac:dyDescent="0.2">
      <c r="A19439" t="str">
        <f>"Smarcal1"</f>
        <v>Smarcal1</v>
      </c>
      <c r="B19439" t="s">
        <v>14</v>
      </c>
      <c r="C19439" t="s">
        <v>19</v>
      </c>
      <c r="D19439" t="s">
        <v>17</v>
      </c>
      <c r="E19439" t="s">
        <v>12</v>
      </c>
      <c r="F19439">
        <v>72583245</v>
      </c>
      <c r="G19439">
        <v>72583282</v>
      </c>
      <c r="H19439">
        <v>72583294</v>
      </c>
      <c r="I19439">
        <v>72583299</v>
      </c>
    </row>
    <row r="19440" spans="1:9" x14ac:dyDescent="0.2">
      <c r="A19440" t="str">
        <f>"Smarcb1"</f>
        <v>Smarcb1</v>
      </c>
      <c r="B19440" t="s">
        <v>14</v>
      </c>
      <c r="C19440" t="s">
        <v>15</v>
      </c>
      <c r="D19440" t="s">
        <v>11</v>
      </c>
      <c r="E19440" t="s">
        <v>12</v>
      </c>
      <c r="F19440">
        <v>75921562</v>
      </c>
      <c r="G19440">
        <v>75921625</v>
      </c>
      <c r="H19440">
        <v>75921546</v>
      </c>
      <c r="I19440">
        <v>75921553</v>
      </c>
    </row>
    <row r="19441" spans="1:9" x14ac:dyDescent="0.2">
      <c r="A19441" t="str">
        <f>"Smarcc1"</f>
        <v>Smarcc1</v>
      </c>
      <c r="B19441" t="s">
        <v>14</v>
      </c>
      <c r="C19441" t="s">
        <v>24</v>
      </c>
      <c r="D19441" t="s">
        <v>17</v>
      </c>
      <c r="E19441" t="s">
        <v>12</v>
      </c>
      <c r="F19441">
        <v>110132015</v>
      </c>
      <c r="G19441">
        <v>110132102</v>
      </c>
      <c r="H19441">
        <v>110131989</v>
      </c>
      <c r="I19441">
        <v>110131998</v>
      </c>
    </row>
    <row r="19442" spans="1:9" x14ac:dyDescent="0.2">
      <c r="A19442" t="str">
        <f>"Smarcc2"</f>
        <v>Smarcc2</v>
      </c>
      <c r="B19442" t="s">
        <v>14</v>
      </c>
      <c r="C19442" t="s">
        <v>15</v>
      </c>
      <c r="D19442" t="s">
        <v>17</v>
      </c>
      <c r="E19442" t="s">
        <v>12</v>
      </c>
      <c r="F19442">
        <v>128459290</v>
      </c>
      <c r="G19442">
        <v>128459328</v>
      </c>
      <c r="H19442">
        <v>128459259</v>
      </c>
      <c r="I19442">
        <v>128459277</v>
      </c>
    </row>
    <row r="19443" spans="1:9" x14ac:dyDescent="0.2">
      <c r="A19443" t="str">
        <f>"Smarcd1"</f>
        <v>Smarcd1</v>
      </c>
      <c r="B19443" t="s">
        <v>14</v>
      </c>
      <c r="C19443" t="s">
        <v>25</v>
      </c>
      <c r="D19443" t="s">
        <v>17</v>
      </c>
      <c r="E19443" t="s">
        <v>12</v>
      </c>
      <c r="F19443">
        <v>99702278</v>
      </c>
      <c r="G19443">
        <v>99702312</v>
      </c>
      <c r="H19443">
        <v>99702137</v>
      </c>
      <c r="I19443">
        <v>99702205</v>
      </c>
    </row>
    <row r="19444" spans="1:9" x14ac:dyDescent="0.2">
      <c r="A19444" t="str">
        <f>"Smarcd2"</f>
        <v>Smarcd2</v>
      </c>
      <c r="B19444" t="s">
        <v>14</v>
      </c>
      <c r="C19444" t="s">
        <v>27</v>
      </c>
      <c r="D19444" t="s">
        <v>11</v>
      </c>
      <c r="E19444" t="s">
        <v>12</v>
      </c>
      <c r="F19444">
        <v>106272706</v>
      </c>
      <c r="G19444">
        <v>106272814</v>
      </c>
      <c r="H19444">
        <v>106272927</v>
      </c>
      <c r="I19444">
        <v>106273006</v>
      </c>
    </row>
    <row r="19445" spans="1:9" x14ac:dyDescent="0.2">
      <c r="A19445" t="str">
        <f>"Smarcd3"</f>
        <v>Smarcd3</v>
      </c>
      <c r="B19445" t="s">
        <v>14</v>
      </c>
      <c r="C19445" t="s">
        <v>46</v>
      </c>
      <c r="D19445" t="s">
        <v>11</v>
      </c>
      <c r="E19445" t="s">
        <v>12</v>
      </c>
      <c r="F19445">
        <v>24601961</v>
      </c>
      <c r="G19445">
        <v>24602007</v>
      </c>
      <c r="H19445">
        <v>24601961</v>
      </c>
      <c r="I19445">
        <v>24602007</v>
      </c>
    </row>
    <row r="19446" spans="1:9" x14ac:dyDescent="0.2">
      <c r="A19446" t="str">
        <f>"Smarce1"</f>
        <v>Smarce1</v>
      </c>
      <c r="B19446" t="s">
        <v>14</v>
      </c>
      <c r="C19446" t="s">
        <v>27</v>
      </c>
      <c r="D19446" t="s">
        <v>11</v>
      </c>
      <c r="E19446" t="s">
        <v>12</v>
      </c>
      <c r="F19446">
        <v>99230430</v>
      </c>
      <c r="G19446">
        <v>99230464</v>
      </c>
      <c r="H19446">
        <v>99230919</v>
      </c>
      <c r="I19446">
        <v>99230959</v>
      </c>
    </row>
    <row r="19447" spans="1:9" x14ac:dyDescent="0.2">
      <c r="A19447" t="str">
        <f>"Smc1a"</f>
        <v>Smc1a</v>
      </c>
      <c r="B19447" t="s">
        <v>9</v>
      </c>
      <c r="C19447" t="s">
        <v>37</v>
      </c>
      <c r="D19447" t="s">
        <v>17</v>
      </c>
      <c r="E19447" t="s">
        <v>12</v>
      </c>
      <c r="F19447">
        <v>152016435</v>
      </c>
      <c r="G19447">
        <v>152016518</v>
      </c>
      <c r="H19447">
        <v>152016435</v>
      </c>
      <c r="I19447">
        <v>152016518</v>
      </c>
    </row>
    <row r="19448" spans="1:9" x14ac:dyDescent="0.2">
      <c r="A19448" t="str">
        <f>"Smc1a"</f>
        <v>Smc1a</v>
      </c>
      <c r="B19448" t="s">
        <v>13</v>
      </c>
      <c r="C19448" t="s">
        <v>37</v>
      </c>
      <c r="D19448" t="s">
        <v>17</v>
      </c>
      <c r="E19448" t="s">
        <v>12</v>
      </c>
      <c r="F19448">
        <v>152036391</v>
      </c>
      <c r="G19448">
        <v>152036424</v>
      </c>
      <c r="H19448">
        <v>152036391</v>
      </c>
      <c r="I19448">
        <v>152036424</v>
      </c>
    </row>
    <row r="19449" spans="1:9" x14ac:dyDescent="0.2">
      <c r="A19449" t="str">
        <f>"Smc1b"</f>
        <v>Smc1b</v>
      </c>
      <c r="B19449" t="s">
        <v>14</v>
      </c>
      <c r="C19449" t="s">
        <v>25</v>
      </c>
      <c r="D19449" t="s">
        <v>11</v>
      </c>
      <c r="E19449" t="s">
        <v>12</v>
      </c>
      <c r="F19449">
        <v>85131949</v>
      </c>
      <c r="G19449">
        <v>85131987</v>
      </c>
      <c r="H19449">
        <v>85131949</v>
      </c>
      <c r="I19449">
        <v>85131987</v>
      </c>
    </row>
    <row r="19450" spans="1:9" x14ac:dyDescent="0.2">
      <c r="A19450" t="str">
        <f>"Smc2"</f>
        <v>Smc2</v>
      </c>
      <c r="B19450" t="s">
        <v>14</v>
      </c>
      <c r="C19450" t="s">
        <v>23</v>
      </c>
      <c r="D19450" t="s">
        <v>17</v>
      </c>
      <c r="E19450" t="s">
        <v>12</v>
      </c>
      <c r="F19450">
        <v>52439235</v>
      </c>
      <c r="G19450">
        <v>52439287</v>
      </c>
      <c r="H19450">
        <v>52439224</v>
      </c>
      <c r="I19450">
        <v>52439232</v>
      </c>
    </row>
    <row r="19451" spans="1:9" x14ac:dyDescent="0.2">
      <c r="A19451" t="str">
        <f>"Smc3"</f>
        <v>Smc3</v>
      </c>
      <c r="B19451" t="s">
        <v>14</v>
      </c>
      <c r="C19451" t="s">
        <v>10</v>
      </c>
      <c r="D19451" t="s">
        <v>17</v>
      </c>
      <c r="E19451" t="s">
        <v>12</v>
      </c>
      <c r="F19451">
        <v>53600377</v>
      </c>
      <c r="G19451">
        <v>53600435</v>
      </c>
      <c r="H19451">
        <v>53600449</v>
      </c>
      <c r="I19451">
        <v>53600478</v>
      </c>
    </row>
    <row r="19452" spans="1:9" x14ac:dyDescent="0.2">
      <c r="A19452" t="str">
        <f>"Smc4"</f>
        <v>Smc4</v>
      </c>
      <c r="B19452" t="s">
        <v>9</v>
      </c>
      <c r="C19452" t="s">
        <v>22</v>
      </c>
      <c r="D19452" t="s">
        <v>17</v>
      </c>
      <c r="E19452" t="s">
        <v>12</v>
      </c>
      <c r="F19452">
        <v>69004969</v>
      </c>
      <c r="G19452">
        <v>69005021</v>
      </c>
      <c r="H19452">
        <v>69004969</v>
      </c>
      <c r="I19452">
        <v>69005021</v>
      </c>
    </row>
    <row r="19453" spans="1:9" x14ac:dyDescent="0.2">
      <c r="A19453" t="str">
        <f>"Smc4"</f>
        <v>Smc4</v>
      </c>
      <c r="B19453" t="s">
        <v>13</v>
      </c>
      <c r="C19453" t="s">
        <v>22</v>
      </c>
      <c r="D19453" t="s">
        <v>17</v>
      </c>
      <c r="E19453" t="s">
        <v>12</v>
      </c>
      <c r="F19453">
        <v>69030248</v>
      </c>
      <c r="G19453">
        <v>69030303</v>
      </c>
      <c r="H19453">
        <v>69030248</v>
      </c>
      <c r="I19453">
        <v>69030303</v>
      </c>
    </row>
    <row r="19454" spans="1:9" x14ac:dyDescent="0.2">
      <c r="A19454" t="str">
        <f>"Smc5"</f>
        <v>Smc5</v>
      </c>
      <c r="B19454" t="s">
        <v>14</v>
      </c>
      <c r="C19454" t="s">
        <v>10</v>
      </c>
      <c r="D19454" t="s">
        <v>11</v>
      </c>
      <c r="E19454" t="s">
        <v>12</v>
      </c>
      <c r="F19454">
        <v>23273815</v>
      </c>
      <c r="G19454">
        <v>23273861</v>
      </c>
      <c r="H19454">
        <v>23273864</v>
      </c>
      <c r="I19454">
        <v>23273884</v>
      </c>
    </row>
    <row r="19455" spans="1:9" x14ac:dyDescent="0.2">
      <c r="A19455" t="str">
        <f>"Smc6"</f>
        <v>Smc6</v>
      </c>
      <c r="B19455" t="s">
        <v>14</v>
      </c>
      <c r="C19455" t="s">
        <v>16</v>
      </c>
      <c r="D19455" t="s">
        <v>17</v>
      </c>
      <c r="E19455" t="s">
        <v>12</v>
      </c>
      <c r="F19455">
        <v>11266101</v>
      </c>
      <c r="G19455">
        <v>11266178</v>
      </c>
      <c r="H19455">
        <v>11266179</v>
      </c>
      <c r="I19455">
        <v>11266188</v>
      </c>
    </row>
    <row r="19456" spans="1:9" x14ac:dyDescent="0.2">
      <c r="A19456" t="str">
        <f>"Smchd1"</f>
        <v>Smchd1</v>
      </c>
      <c r="B19456" t="s">
        <v>14</v>
      </c>
      <c r="C19456" t="s">
        <v>28</v>
      </c>
      <c r="D19456" t="s">
        <v>11</v>
      </c>
      <c r="E19456" t="s">
        <v>12</v>
      </c>
      <c r="F19456">
        <v>71475285</v>
      </c>
      <c r="G19456">
        <v>71475340</v>
      </c>
      <c r="H19456">
        <v>71475477</v>
      </c>
      <c r="I19456">
        <v>71475505</v>
      </c>
    </row>
    <row r="19457" spans="1:9" x14ac:dyDescent="0.2">
      <c r="A19457" t="str">
        <f>"Smco1"</f>
        <v>Smco1</v>
      </c>
      <c r="B19457" t="s">
        <v>14</v>
      </c>
      <c r="C19457" t="s">
        <v>31</v>
      </c>
      <c r="D19457" t="s">
        <v>17</v>
      </c>
      <c r="E19457" t="s">
        <v>67</v>
      </c>
      <c r="F19457">
        <v>32271473</v>
      </c>
      <c r="G19457">
        <v>32271523</v>
      </c>
      <c r="H19457">
        <v>32271530</v>
      </c>
      <c r="I19457">
        <v>32271544</v>
      </c>
    </row>
    <row r="19458" spans="1:9" x14ac:dyDescent="0.2">
      <c r="A19458" t="str">
        <f>"Smco2"</f>
        <v>Smco2</v>
      </c>
      <c r="B19458" t="s">
        <v>14</v>
      </c>
      <c r="C19458" t="s">
        <v>32</v>
      </c>
      <c r="D19458" t="s">
        <v>17</v>
      </c>
      <c r="E19458" t="s">
        <v>67</v>
      </c>
      <c r="F19458">
        <v>146850120</v>
      </c>
      <c r="G19458">
        <v>146850159</v>
      </c>
      <c r="H19458">
        <v>146850100</v>
      </c>
      <c r="I19458">
        <v>146850109</v>
      </c>
    </row>
    <row r="19459" spans="1:9" x14ac:dyDescent="0.2">
      <c r="A19459" t="str">
        <f>"Smco3"</f>
        <v>Smco3</v>
      </c>
      <c r="B19459" t="s">
        <v>14</v>
      </c>
      <c r="C19459" t="s">
        <v>32</v>
      </c>
      <c r="D19459" t="s">
        <v>11</v>
      </c>
      <c r="E19459" t="s">
        <v>67</v>
      </c>
      <c r="F19459">
        <v>136835397</v>
      </c>
      <c r="G19459">
        <v>136835424</v>
      </c>
      <c r="H19459">
        <v>136835426</v>
      </c>
      <c r="I19459">
        <v>136835447</v>
      </c>
    </row>
    <row r="19460" spans="1:9" x14ac:dyDescent="0.2">
      <c r="A19460" t="str">
        <f>"Smco4"</f>
        <v>Smco4</v>
      </c>
      <c r="B19460" t="s">
        <v>5762</v>
      </c>
      <c r="C19460" t="s">
        <v>24</v>
      </c>
      <c r="D19460" t="s">
        <v>17</v>
      </c>
      <c r="E19460" t="s">
        <v>20</v>
      </c>
      <c r="F19460">
        <v>15505486</v>
      </c>
      <c r="G19460">
        <v>15505486</v>
      </c>
      <c r="H19460">
        <v>15505486</v>
      </c>
      <c r="I19460">
        <v>15505486</v>
      </c>
    </row>
    <row r="19461" spans="1:9" x14ac:dyDescent="0.2">
      <c r="A19461" t="str">
        <f>"Smco4"</f>
        <v>Smco4</v>
      </c>
      <c r="B19461" t="s">
        <v>5763</v>
      </c>
      <c r="C19461" t="s">
        <v>24</v>
      </c>
      <c r="D19461" t="s">
        <v>17</v>
      </c>
      <c r="E19461" t="s">
        <v>20</v>
      </c>
      <c r="F19461">
        <v>15520845</v>
      </c>
      <c r="G19461">
        <v>15520845</v>
      </c>
      <c r="H19461">
        <v>15520845</v>
      </c>
      <c r="I19461">
        <v>15520845</v>
      </c>
    </row>
    <row r="19462" spans="1:9" x14ac:dyDescent="0.2">
      <c r="A19462" t="str">
        <f>"Smcp"</f>
        <v>Smcp</v>
      </c>
      <c r="B19462" t="s">
        <v>14</v>
      </c>
      <c r="C19462" t="s">
        <v>22</v>
      </c>
      <c r="D19462" t="s">
        <v>11</v>
      </c>
      <c r="E19462" t="s">
        <v>12</v>
      </c>
      <c r="F19462">
        <v>92588982</v>
      </c>
      <c r="G19462">
        <v>92589017</v>
      </c>
      <c r="H19462">
        <v>92589037</v>
      </c>
      <c r="I19462">
        <v>92589043</v>
      </c>
    </row>
    <row r="19463" spans="1:9" x14ac:dyDescent="0.2">
      <c r="A19463" t="str">
        <f>"Smcr8"</f>
        <v>Smcr8</v>
      </c>
      <c r="B19463" t="s">
        <v>14</v>
      </c>
      <c r="C19463" t="s">
        <v>27</v>
      </c>
      <c r="D19463" t="s">
        <v>17</v>
      </c>
      <c r="E19463" t="s">
        <v>12</v>
      </c>
      <c r="F19463">
        <v>60777531</v>
      </c>
      <c r="G19463">
        <v>60777563</v>
      </c>
      <c r="H19463">
        <v>60777531</v>
      </c>
      <c r="I19463">
        <v>60777563</v>
      </c>
    </row>
    <row r="19464" spans="1:9" x14ac:dyDescent="0.2">
      <c r="A19464" t="str">
        <f>"Smdt1"</f>
        <v>Smdt1</v>
      </c>
      <c r="B19464" t="s">
        <v>14</v>
      </c>
      <c r="C19464" t="s">
        <v>25</v>
      </c>
      <c r="D19464" t="s">
        <v>17</v>
      </c>
      <c r="E19464" t="s">
        <v>67</v>
      </c>
      <c r="F19464">
        <v>82346042</v>
      </c>
      <c r="G19464">
        <v>82346088</v>
      </c>
      <c r="H19464">
        <v>82346008</v>
      </c>
      <c r="I19464">
        <v>82346035</v>
      </c>
    </row>
    <row r="19465" spans="1:9" x14ac:dyDescent="0.2">
      <c r="A19465" t="str">
        <f>"Smek1"</f>
        <v>Smek1</v>
      </c>
      <c r="B19465" t="s">
        <v>14</v>
      </c>
      <c r="C19465" t="s">
        <v>16</v>
      </c>
      <c r="D19465" t="s">
        <v>11</v>
      </c>
      <c r="E19465" t="s">
        <v>12</v>
      </c>
      <c r="F19465">
        <v>101083653</v>
      </c>
      <c r="G19465">
        <v>101083717</v>
      </c>
      <c r="H19465">
        <v>101083449</v>
      </c>
      <c r="I19465">
        <v>101083487</v>
      </c>
    </row>
    <row r="19466" spans="1:9" x14ac:dyDescent="0.2">
      <c r="A19466" t="str">
        <f>"Smek2"</f>
        <v>Smek2</v>
      </c>
      <c r="B19466" t="s">
        <v>14</v>
      </c>
      <c r="C19466" t="s">
        <v>27</v>
      </c>
      <c r="D19466" t="s">
        <v>17</v>
      </c>
      <c r="E19466" t="s">
        <v>12</v>
      </c>
      <c r="F19466">
        <v>29172948</v>
      </c>
      <c r="G19466">
        <v>29172996</v>
      </c>
      <c r="H19466">
        <v>29172913</v>
      </c>
      <c r="I19466">
        <v>29172925</v>
      </c>
    </row>
    <row r="19467" spans="1:9" x14ac:dyDescent="0.2">
      <c r="A19467" t="str">
        <f>"Smg1"</f>
        <v>Smg1</v>
      </c>
      <c r="B19467" t="s">
        <v>14</v>
      </c>
      <c r="C19467" t="s">
        <v>33</v>
      </c>
      <c r="D19467" t="s">
        <v>11</v>
      </c>
      <c r="E19467" t="s">
        <v>12</v>
      </c>
      <c r="F19467">
        <v>118243564</v>
      </c>
      <c r="G19467">
        <v>118243641</v>
      </c>
      <c r="H19467">
        <v>118243362</v>
      </c>
      <c r="I19467">
        <v>118243412</v>
      </c>
    </row>
    <row r="19468" spans="1:9" x14ac:dyDescent="0.2">
      <c r="A19468" t="str">
        <f>"Smg5"</f>
        <v>Smg5</v>
      </c>
      <c r="B19468" t="s">
        <v>14</v>
      </c>
      <c r="C19468" t="s">
        <v>22</v>
      </c>
      <c r="D19468" t="s">
        <v>17</v>
      </c>
      <c r="E19468" t="s">
        <v>12</v>
      </c>
      <c r="F19468">
        <v>88336256</v>
      </c>
      <c r="G19468">
        <v>88336304</v>
      </c>
      <c r="H19468">
        <v>88336256</v>
      </c>
      <c r="I19468">
        <v>88336304</v>
      </c>
    </row>
    <row r="19469" spans="1:9" x14ac:dyDescent="0.2">
      <c r="A19469" t="str">
        <f>"Smg6"</f>
        <v>Smg6</v>
      </c>
      <c r="B19469" t="s">
        <v>14</v>
      </c>
      <c r="C19469" t="s">
        <v>27</v>
      </c>
      <c r="D19469" t="s">
        <v>17</v>
      </c>
      <c r="E19469" t="s">
        <v>12</v>
      </c>
      <c r="F19469">
        <v>74925837</v>
      </c>
      <c r="G19469">
        <v>74925867</v>
      </c>
      <c r="H19469">
        <v>74925878</v>
      </c>
      <c r="I19469">
        <v>74925909</v>
      </c>
    </row>
    <row r="19470" spans="1:9" x14ac:dyDescent="0.2">
      <c r="A19470" t="str">
        <f>"Smg7"</f>
        <v>Smg7</v>
      </c>
      <c r="B19470" t="s">
        <v>14</v>
      </c>
      <c r="C19470" t="s">
        <v>19</v>
      </c>
      <c r="D19470" t="s">
        <v>11</v>
      </c>
      <c r="E19470" t="s">
        <v>12</v>
      </c>
      <c r="F19470">
        <v>152902628</v>
      </c>
      <c r="G19470">
        <v>152902669</v>
      </c>
      <c r="H19470">
        <v>152902757</v>
      </c>
      <c r="I19470">
        <v>152902779</v>
      </c>
    </row>
    <row r="19471" spans="1:9" x14ac:dyDescent="0.2">
      <c r="A19471" t="str">
        <f>"Smg8"</f>
        <v>Smg8</v>
      </c>
      <c r="B19471" t="s">
        <v>14</v>
      </c>
      <c r="C19471" t="s">
        <v>27</v>
      </c>
      <c r="D19471" t="s">
        <v>11</v>
      </c>
      <c r="E19471" t="s">
        <v>67</v>
      </c>
      <c r="F19471">
        <v>87086752</v>
      </c>
      <c r="G19471">
        <v>87086781</v>
      </c>
      <c r="H19471">
        <v>87086752</v>
      </c>
      <c r="I19471">
        <v>87086781</v>
      </c>
    </row>
    <row r="19472" spans="1:9" x14ac:dyDescent="0.2">
      <c r="A19472" t="str">
        <f>"Smg9"</f>
        <v>Smg9</v>
      </c>
      <c r="B19472" t="s">
        <v>14</v>
      </c>
      <c r="C19472" t="s">
        <v>33</v>
      </c>
      <c r="D19472" t="s">
        <v>17</v>
      </c>
      <c r="E19472" t="s">
        <v>67</v>
      </c>
      <c r="F19472">
        <v>24399606</v>
      </c>
      <c r="G19472">
        <v>24399673</v>
      </c>
      <c r="H19472">
        <v>24399674</v>
      </c>
      <c r="I19472">
        <v>24399727</v>
      </c>
    </row>
    <row r="19473" spans="1:9" x14ac:dyDescent="0.2">
      <c r="A19473" t="str">
        <f>"Smgc"</f>
        <v>Smgc</v>
      </c>
      <c r="B19473" t="s">
        <v>14</v>
      </c>
      <c r="C19473" t="s">
        <v>25</v>
      </c>
      <c r="D19473" t="s">
        <v>17</v>
      </c>
      <c r="E19473" t="s">
        <v>12</v>
      </c>
      <c r="F19473">
        <v>91838322</v>
      </c>
      <c r="G19473">
        <v>91838332</v>
      </c>
      <c r="H19473">
        <v>91838255</v>
      </c>
      <c r="I19473">
        <v>91838265</v>
      </c>
    </row>
    <row r="19474" spans="1:9" x14ac:dyDescent="0.2">
      <c r="A19474" t="str">
        <f>"Smim1"</f>
        <v>Smim1</v>
      </c>
      <c r="B19474" t="s">
        <v>14</v>
      </c>
      <c r="C19474" t="s">
        <v>23</v>
      </c>
      <c r="D19474" t="s">
        <v>11</v>
      </c>
      <c r="E19474" t="s">
        <v>67</v>
      </c>
      <c r="F19474">
        <v>154025906</v>
      </c>
      <c r="G19474">
        <v>154025919</v>
      </c>
      <c r="H19474">
        <v>154026305</v>
      </c>
      <c r="I19474">
        <v>154026350</v>
      </c>
    </row>
    <row r="19475" spans="1:9" x14ac:dyDescent="0.2">
      <c r="A19475" t="str">
        <f>"Smim11"</f>
        <v>Smim11</v>
      </c>
      <c r="B19475" t="s">
        <v>14</v>
      </c>
      <c r="C19475" t="s">
        <v>31</v>
      </c>
      <c r="D19475" t="s">
        <v>17</v>
      </c>
      <c r="E19475" t="s">
        <v>67</v>
      </c>
      <c r="F19475">
        <v>92301266</v>
      </c>
      <c r="G19475">
        <v>92301323</v>
      </c>
      <c r="H19475">
        <v>92301266</v>
      </c>
      <c r="I19475">
        <v>92301323</v>
      </c>
    </row>
    <row r="19476" spans="1:9" x14ac:dyDescent="0.2">
      <c r="A19476" t="str">
        <f>"Smim12"</f>
        <v>Smim12</v>
      </c>
      <c r="B19476" t="s">
        <v>14</v>
      </c>
      <c r="C19476" t="s">
        <v>23</v>
      </c>
      <c r="D19476" t="s">
        <v>17</v>
      </c>
      <c r="E19476" t="s">
        <v>67</v>
      </c>
      <c r="F19476">
        <v>127243788</v>
      </c>
      <c r="G19476">
        <v>127243856</v>
      </c>
      <c r="H19476">
        <v>127243788</v>
      </c>
      <c r="I19476">
        <v>127243856</v>
      </c>
    </row>
    <row r="19477" spans="1:9" x14ac:dyDescent="0.2">
      <c r="A19477" t="str">
        <f>"Smim13"</f>
        <v>Smim13</v>
      </c>
      <c r="B19477" t="s">
        <v>14</v>
      </c>
      <c r="C19477" t="s">
        <v>39</v>
      </c>
      <c r="D19477" t="s">
        <v>17</v>
      </c>
      <c r="E19477" t="s">
        <v>67</v>
      </c>
      <c r="F19477">
        <v>41249841</v>
      </c>
      <c r="G19477">
        <v>41249863</v>
      </c>
      <c r="H19477">
        <v>41249811</v>
      </c>
      <c r="I19477">
        <v>41249837</v>
      </c>
    </row>
    <row r="19478" spans="1:9" x14ac:dyDescent="0.2">
      <c r="A19478" t="str">
        <f>"Smim14"</f>
        <v>Smim14</v>
      </c>
      <c r="B19478" t="s">
        <v>14</v>
      </c>
      <c r="C19478" t="s">
        <v>46</v>
      </c>
      <c r="D19478" t="s">
        <v>11</v>
      </c>
      <c r="E19478" t="s">
        <v>67</v>
      </c>
      <c r="F19478">
        <v>65492790</v>
      </c>
      <c r="G19478">
        <v>65492868</v>
      </c>
      <c r="H19478">
        <v>65492925</v>
      </c>
      <c r="I19478">
        <v>65492970</v>
      </c>
    </row>
    <row r="19479" spans="1:9" x14ac:dyDescent="0.2">
      <c r="A19479" t="str">
        <f>"Smim15"</f>
        <v>Smim15</v>
      </c>
      <c r="B19479" t="s">
        <v>5764</v>
      </c>
      <c r="C19479" t="s">
        <v>39</v>
      </c>
      <c r="D19479" t="s">
        <v>17</v>
      </c>
      <c r="E19479" t="s">
        <v>20</v>
      </c>
      <c r="F19479">
        <v>108046423</v>
      </c>
      <c r="G19479">
        <v>108046423</v>
      </c>
      <c r="H19479">
        <v>108046423</v>
      </c>
      <c r="I19479">
        <v>108046423</v>
      </c>
    </row>
    <row r="19480" spans="1:9" x14ac:dyDescent="0.2">
      <c r="A19480" t="str">
        <f>"Smim17"</f>
        <v>Smim17</v>
      </c>
      <c r="B19480" t="s">
        <v>14</v>
      </c>
      <c r="C19480" t="s">
        <v>33</v>
      </c>
      <c r="D19480" t="s">
        <v>17</v>
      </c>
      <c r="E19480" t="s">
        <v>67</v>
      </c>
      <c r="F19480">
        <v>6415164</v>
      </c>
      <c r="G19480">
        <v>6415206</v>
      </c>
      <c r="H19480">
        <v>6415164</v>
      </c>
      <c r="I19480">
        <v>6415206</v>
      </c>
    </row>
    <row r="19481" spans="1:9" x14ac:dyDescent="0.2">
      <c r="A19481" t="str">
        <f>"Smim18"</f>
        <v>Smim18</v>
      </c>
      <c r="B19481" t="s">
        <v>14</v>
      </c>
      <c r="C19481" t="s">
        <v>30</v>
      </c>
      <c r="D19481" t="s">
        <v>11</v>
      </c>
      <c r="E19481" t="s">
        <v>67</v>
      </c>
      <c r="F19481">
        <v>33747724</v>
      </c>
      <c r="G19481">
        <v>33747781</v>
      </c>
      <c r="H19481">
        <v>33747724</v>
      </c>
      <c r="I19481">
        <v>33747781</v>
      </c>
    </row>
    <row r="19482" spans="1:9" x14ac:dyDescent="0.2">
      <c r="A19482" t="str">
        <f>"Smim19"</f>
        <v>Smim19</v>
      </c>
      <c r="B19482" t="s">
        <v>14</v>
      </c>
      <c r="C19482" t="s">
        <v>30</v>
      </c>
      <c r="D19482" t="s">
        <v>11</v>
      </c>
      <c r="E19482" t="s">
        <v>67</v>
      </c>
      <c r="F19482">
        <v>22476809</v>
      </c>
      <c r="G19482">
        <v>22476873</v>
      </c>
      <c r="H19482">
        <v>22476623</v>
      </c>
      <c r="I19482">
        <v>22476686</v>
      </c>
    </row>
    <row r="19483" spans="1:9" x14ac:dyDescent="0.2">
      <c r="A19483" t="str">
        <f>"Smim20"</f>
        <v>Smim20</v>
      </c>
      <c r="B19483" t="s">
        <v>14</v>
      </c>
      <c r="C19483" t="s">
        <v>46</v>
      </c>
      <c r="D19483" t="s">
        <v>17</v>
      </c>
      <c r="E19483" t="s">
        <v>67</v>
      </c>
      <c r="F19483">
        <v>53267130</v>
      </c>
      <c r="G19483">
        <v>53267189</v>
      </c>
      <c r="H19483">
        <v>53267103</v>
      </c>
      <c r="I19483">
        <v>53267127</v>
      </c>
    </row>
    <row r="19484" spans="1:9" x14ac:dyDescent="0.2">
      <c r="A19484" t="str">
        <f>"Smim22"</f>
        <v>Smim22</v>
      </c>
      <c r="B19484" t="s">
        <v>14</v>
      </c>
      <c r="C19484" t="s">
        <v>31</v>
      </c>
      <c r="D19484" t="s">
        <v>17</v>
      </c>
      <c r="E19484" t="s">
        <v>67</v>
      </c>
      <c r="F19484">
        <v>5007306</v>
      </c>
      <c r="G19484">
        <v>5007341</v>
      </c>
      <c r="H19484">
        <v>5007283</v>
      </c>
      <c r="I19484">
        <v>5007293</v>
      </c>
    </row>
    <row r="19485" spans="1:9" x14ac:dyDescent="0.2">
      <c r="A19485" t="str">
        <f>"Smim3"</f>
        <v>Smim3</v>
      </c>
      <c r="B19485" t="s">
        <v>14</v>
      </c>
      <c r="C19485" t="s">
        <v>43</v>
      </c>
      <c r="D19485" t="s">
        <v>11</v>
      </c>
      <c r="E19485" t="s">
        <v>67</v>
      </c>
      <c r="F19485">
        <v>60501515</v>
      </c>
      <c r="G19485">
        <v>60501620</v>
      </c>
      <c r="H19485">
        <v>60501515</v>
      </c>
      <c r="I19485">
        <v>60501620</v>
      </c>
    </row>
    <row r="19486" spans="1:9" x14ac:dyDescent="0.2">
      <c r="A19486" t="str">
        <f>"Smim4"</f>
        <v>Smim4</v>
      </c>
      <c r="B19486" t="s">
        <v>14</v>
      </c>
      <c r="C19486" t="s">
        <v>41</v>
      </c>
      <c r="D19486" t="s">
        <v>11</v>
      </c>
      <c r="E19486" t="s">
        <v>67</v>
      </c>
      <c r="F19486">
        <v>31128885</v>
      </c>
      <c r="G19486">
        <v>31128923</v>
      </c>
      <c r="H19486">
        <v>31128924</v>
      </c>
      <c r="I19486">
        <v>31128960</v>
      </c>
    </row>
    <row r="19487" spans="1:9" x14ac:dyDescent="0.2">
      <c r="A19487" t="str">
        <f>"Smim5"</f>
        <v>Smim5</v>
      </c>
      <c r="B19487" t="s">
        <v>14</v>
      </c>
      <c r="C19487" t="s">
        <v>27</v>
      </c>
      <c r="D19487" t="s">
        <v>17</v>
      </c>
      <c r="E19487" t="s">
        <v>67</v>
      </c>
      <c r="F19487">
        <v>115900196</v>
      </c>
      <c r="G19487">
        <v>115900211</v>
      </c>
      <c r="H19487">
        <v>115900192</v>
      </c>
      <c r="I19487">
        <v>115900195</v>
      </c>
    </row>
    <row r="19488" spans="1:9" x14ac:dyDescent="0.2">
      <c r="A19488" t="str">
        <f>"Smim6"</f>
        <v>Smim6</v>
      </c>
      <c r="B19488" t="s">
        <v>14</v>
      </c>
      <c r="C19488" t="s">
        <v>27</v>
      </c>
      <c r="D19488" t="s">
        <v>17</v>
      </c>
      <c r="E19488" t="s">
        <v>67</v>
      </c>
      <c r="F19488">
        <v>115912315</v>
      </c>
      <c r="G19488">
        <v>115912335</v>
      </c>
      <c r="H19488">
        <v>115912001</v>
      </c>
      <c r="I19488">
        <v>115912025</v>
      </c>
    </row>
    <row r="19489" spans="1:9" x14ac:dyDescent="0.2">
      <c r="A19489" t="str">
        <f>"Smim7"</f>
        <v>Smim7</v>
      </c>
      <c r="B19489" t="s">
        <v>14</v>
      </c>
      <c r="C19489" t="s">
        <v>30</v>
      </c>
      <c r="D19489" t="s">
        <v>11</v>
      </c>
      <c r="E19489" t="s">
        <v>67</v>
      </c>
      <c r="F19489">
        <v>72571033</v>
      </c>
      <c r="G19489">
        <v>72571067</v>
      </c>
      <c r="H19489">
        <v>72571033</v>
      </c>
      <c r="I19489">
        <v>72571067</v>
      </c>
    </row>
    <row r="19490" spans="1:9" x14ac:dyDescent="0.2">
      <c r="A19490" t="str">
        <f>"Smim8"</f>
        <v>Smim8</v>
      </c>
      <c r="B19490" t="s">
        <v>14</v>
      </c>
      <c r="C19490" t="s">
        <v>23</v>
      </c>
      <c r="D19490" t="s">
        <v>11</v>
      </c>
      <c r="E19490" t="s">
        <v>67</v>
      </c>
      <c r="F19490">
        <v>34778322</v>
      </c>
      <c r="G19490">
        <v>34778381</v>
      </c>
      <c r="H19490">
        <v>34778322</v>
      </c>
      <c r="I19490">
        <v>34778381</v>
      </c>
    </row>
    <row r="19491" spans="1:9" x14ac:dyDescent="0.2">
      <c r="A19491" t="str">
        <f>"Smim9"</f>
        <v>Smim9</v>
      </c>
      <c r="B19491" t="s">
        <v>14</v>
      </c>
      <c r="C19491" t="s">
        <v>37</v>
      </c>
      <c r="D19491" t="s">
        <v>11</v>
      </c>
      <c r="E19491" t="s">
        <v>67</v>
      </c>
      <c r="F19491">
        <v>75163757</v>
      </c>
      <c r="G19491">
        <v>75163773</v>
      </c>
      <c r="H19491">
        <v>75163757</v>
      </c>
      <c r="I19491">
        <v>75163773</v>
      </c>
    </row>
    <row r="19492" spans="1:9" x14ac:dyDescent="0.2">
      <c r="A19492" t="str">
        <f>"Smlr1"</f>
        <v>Smlr1</v>
      </c>
      <c r="B19492" t="s">
        <v>14</v>
      </c>
      <c r="C19492" t="s">
        <v>15</v>
      </c>
      <c r="D19492" t="s">
        <v>11</v>
      </c>
      <c r="E19492" t="s">
        <v>67</v>
      </c>
      <c r="F19492">
        <v>25536114</v>
      </c>
      <c r="G19492">
        <v>25536155</v>
      </c>
      <c r="H19492">
        <v>25536114</v>
      </c>
      <c r="I19492">
        <v>25536155</v>
      </c>
    </row>
    <row r="19493" spans="1:9" x14ac:dyDescent="0.2">
      <c r="A19493" t="str">
        <f>"Smn1"</f>
        <v>Smn1</v>
      </c>
      <c r="B19493" t="s">
        <v>14</v>
      </c>
      <c r="C19493" t="s">
        <v>39</v>
      </c>
      <c r="D19493" t="s">
        <v>17</v>
      </c>
      <c r="E19493" t="s">
        <v>12</v>
      </c>
      <c r="F19493">
        <v>100124850</v>
      </c>
      <c r="G19493">
        <v>100124886</v>
      </c>
      <c r="H19493">
        <v>100124850</v>
      </c>
      <c r="I19493">
        <v>100124886</v>
      </c>
    </row>
    <row r="19494" spans="1:9" x14ac:dyDescent="0.2">
      <c r="A19494" t="str">
        <f>"Smndc1"</f>
        <v>Smndc1</v>
      </c>
      <c r="B19494" t="s">
        <v>14</v>
      </c>
      <c r="C19494" t="s">
        <v>10</v>
      </c>
      <c r="D19494" t="s">
        <v>11</v>
      </c>
      <c r="E19494" t="s">
        <v>12</v>
      </c>
      <c r="F19494">
        <v>53390589</v>
      </c>
      <c r="G19494">
        <v>53390622</v>
      </c>
      <c r="H19494">
        <v>53390559</v>
      </c>
      <c r="I19494">
        <v>53390581</v>
      </c>
    </row>
    <row r="19495" spans="1:9" x14ac:dyDescent="0.2">
      <c r="A19495" t="str">
        <f>"Smo"</f>
        <v>Smo</v>
      </c>
      <c r="B19495" t="s">
        <v>14</v>
      </c>
      <c r="C19495" t="s">
        <v>32</v>
      </c>
      <c r="D19495" t="s">
        <v>17</v>
      </c>
      <c r="E19495" t="s">
        <v>12</v>
      </c>
      <c r="F19495">
        <v>29735471</v>
      </c>
      <c r="G19495">
        <v>29735547</v>
      </c>
      <c r="H19495">
        <v>29735631</v>
      </c>
      <c r="I19495">
        <v>29735663</v>
      </c>
    </row>
    <row r="19496" spans="1:9" x14ac:dyDescent="0.2">
      <c r="A19496" t="str">
        <f>"Smoc1"</f>
        <v>Smoc1</v>
      </c>
      <c r="B19496" t="s">
        <v>14</v>
      </c>
      <c r="C19496" t="s">
        <v>16</v>
      </c>
      <c r="D19496" t="s">
        <v>17</v>
      </c>
      <c r="E19496" t="s">
        <v>12</v>
      </c>
      <c r="F19496">
        <v>81026800</v>
      </c>
      <c r="G19496">
        <v>81026818</v>
      </c>
      <c r="H19496">
        <v>81026800</v>
      </c>
      <c r="I19496">
        <v>81026818</v>
      </c>
    </row>
    <row r="19497" spans="1:9" x14ac:dyDescent="0.2">
      <c r="A19497" t="str">
        <f>"Smoc2"</f>
        <v>Smoc2</v>
      </c>
      <c r="B19497" t="s">
        <v>14</v>
      </c>
      <c r="C19497" t="s">
        <v>28</v>
      </c>
      <c r="D19497" t="s">
        <v>17</v>
      </c>
      <c r="E19497" t="s">
        <v>12</v>
      </c>
      <c r="F19497">
        <v>14279531</v>
      </c>
      <c r="G19497">
        <v>14279550</v>
      </c>
      <c r="H19497">
        <v>14279506</v>
      </c>
      <c r="I19497">
        <v>14279513</v>
      </c>
    </row>
    <row r="19498" spans="1:9" x14ac:dyDescent="0.2">
      <c r="A19498" t="str">
        <f>"Smok2a"</f>
        <v>Smok2a</v>
      </c>
      <c r="B19498" t="s">
        <v>14</v>
      </c>
      <c r="C19498" t="s">
        <v>28</v>
      </c>
      <c r="D19498" t="s">
        <v>17</v>
      </c>
      <c r="E19498" t="s">
        <v>12</v>
      </c>
      <c r="F19498">
        <v>13220833</v>
      </c>
      <c r="G19498">
        <v>13220836</v>
      </c>
      <c r="H19498">
        <v>13220833</v>
      </c>
      <c r="I19498">
        <v>13220836</v>
      </c>
    </row>
    <row r="19499" spans="1:9" x14ac:dyDescent="0.2">
      <c r="A19499" t="str">
        <f>"Smok2b"</f>
        <v>Smok2b</v>
      </c>
      <c r="B19499" t="s">
        <v>5765</v>
      </c>
      <c r="C19499" t="s">
        <v>28</v>
      </c>
      <c r="D19499" t="s">
        <v>17</v>
      </c>
      <c r="E19499" t="s">
        <v>20</v>
      </c>
      <c r="F19499">
        <v>13234870</v>
      </c>
      <c r="G19499">
        <v>13234870</v>
      </c>
      <c r="H19499">
        <v>13234870</v>
      </c>
      <c r="I19499">
        <v>13234870</v>
      </c>
    </row>
    <row r="19500" spans="1:9" x14ac:dyDescent="0.2">
      <c r="A19500" t="str">
        <f>"Smok2b"</f>
        <v>Smok2b</v>
      </c>
      <c r="B19500" t="s">
        <v>5766</v>
      </c>
      <c r="C19500" t="s">
        <v>28</v>
      </c>
      <c r="D19500" t="s">
        <v>17</v>
      </c>
      <c r="E19500" t="s">
        <v>20</v>
      </c>
      <c r="F19500">
        <v>13228851</v>
      </c>
      <c r="G19500">
        <v>13228851</v>
      </c>
      <c r="H19500">
        <v>13228851</v>
      </c>
      <c r="I19500">
        <v>13228851</v>
      </c>
    </row>
    <row r="19501" spans="1:9" x14ac:dyDescent="0.2">
      <c r="A19501" t="str">
        <f>"Smok3a"</f>
        <v>Smok3a</v>
      </c>
      <c r="B19501" t="s">
        <v>5767</v>
      </c>
      <c r="C19501" t="s">
        <v>46</v>
      </c>
      <c r="D19501" t="s">
        <v>17</v>
      </c>
      <c r="E19501" t="s">
        <v>20</v>
      </c>
      <c r="F19501">
        <v>138021351</v>
      </c>
      <c r="G19501">
        <v>138021351</v>
      </c>
      <c r="H19501">
        <v>138021351</v>
      </c>
      <c r="I19501">
        <v>138021351</v>
      </c>
    </row>
    <row r="19502" spans="1:9" x14ac:dyDescent="0.2">
      <c r="A19502" t="str">
        <f>"Smok3b"</f>
        <v>Smok3b</v>
      </c>
      <c r="B19502" t="s">
        <v>5768</v>
      </c>
      <c r="C19502" t="s">
        <v>46</v>
      </c>
      <c r="D19502" t="s">
        <v>17</v>
      </c>
      <c r="E19502" t="s">
        <v>20</v>
      </c>
      <c r="F19502">
        <v>138037223</v>
      </c>
      <c r="G19502">
        <v>138037223</v>
      </c>
      <c r="H19502">
        <v>138037223</v>
      </c>
      <c r="I19502">
        <v>138037223</v>
      </c>
    </row>
    <row r="19503" spans="1:9" x14ac:dyDescent="0.2">
      <c r="A19503" t="str">
        <f>"Smok3b"</f>
        <v>Smok3b</v>
      </c>
      <c r="B19503" t="s">
        <v>5769</v>
      </c>
      <c r="C19503" t="s">
        <v>46</v>
      </c>
      <c r="D19503" t="s">
        <v>17</v>
      </c>
      <c r="E19503" t="s">
        <v>20</v>
      </c>
      <c r="F19503">
        <v>138021428</v>
      </c>
      <c r="G19503">
        <v>138021428</v>
      </c>
      <c r="H19503">
        <v>138021428</v>
      </c>
      <c r="I19503">
        <v>138021428</v>
      </c>
    </row>
    <row r="19504" spans="1:9" x14ac:dyDescent="0.2">
      <c r="A19504" t="str">
        <f>"Smok4a"</f>
        <v>Smok4a</v>
      </c>
      <c r="B19504" t="s">
        <v>5770</v>
      </c>
      <c r="C19504" t="s">
        <v>28</v>
      </c>
      <c r="D19504" t="s">
        <v>17</v>
      </c>
      <c r="E19504" t="s">
        <v>20</v>
      </c>
      <c r="F19504">
        <v>13526127</v>
      </c>
      <c r="G19504">
        <v>13526127</v>
      </c>
      <c r="H19504">
        <v>13526127</v>
      </c>
      <c r="I19504">
        <v>13526127</v>
      </c>
    </row>
    <row r="19505" spans="1:9" x14ac:dyDescent="0.2">
      <c r="A19505" t="str">
        <f>"Smox"</f>
        <v>Smox</v>
      </c>
      <c r="B19505" t="s">
        <v>14</v>
      </c>
      <c r="C19505" t="s">
        <v>26</v>
      </c>
      <c r="D19505" t="s">
        <v>17</v>
      </c>
      <c r="E19505" t="s">
        <v>12</v>
      </c>
      <c r="F19505">
        <v>131491883</v>
      </c>
      <c r="G19505">
        <v>131491940</v>
      </c>
      <c r="H19505">
        <v>131491947</v>
      </c>
      <c r="I19505">
        <v>131491956</v>
      </c>
    </row>
    <row r="19506" spans="1:9" x14ac:dyDescent="0.2">
      <c r="A19506" t="str">
        <f>"Smpd1"</f>
        <v>Smpd1</v>
      </c>
      <c r="B19506" t="s">
        <v>14</v>
      </c>
      <c r="C19506" t="s">
        <v>33</v>
      </c>
      <c r="D19506" t="s">
        <v>17</v>
      </c>
      <c r="E19506" t="s">
        <v>12</v>
      </c>
      <c r="F19506">
        <v>105554378</v>
      </c>
      <c r="G19506">
        <v>105554487</v>
      </c>
      <c r="H19506">
        <v>105554499</v>
      </c>
      <c r="I19506">
        <v>105554514</v>
      </c>
    </row>
    <row r="19507" spans="1:9" x14ac:dyDescent="0.2">
      <c r="A19507" t="str">
        <f>"Smpd2"</f>
        <v>Smpd2</v>
      </c>
      <c r="B19507" t="s">
        <v>14</v>
      </c>
      <c r="C19507" t="s">
        <v>15</v>
      </c>
      <c r="D19507" t="s">
        <v>11</v>
      </c>
      <c r="E19507" t="s">
        <v>12</v>
      </c>
      <c r="F19507">
        <v>41490335</v>
      </c>
      <c r="G19507">
        <v>41490368</v>
      </c>
      <c r="H19507">
        <v>41490369</v>
      </c>
      <c r="I19507">
        <v>41490380</v>
      </c>
    </row>
    <row r="19508" spans="1:9" x14ac:dyDescent="0.2">
      <c r="A19508" t="str">
        <f>"Smpd3"</f>
        <v>Smpd3</v>
      </c>
      <c r="B19508" t="s">
        <v>14</v>
      </c>
      <c r="C19508" t="s">
        <v>30</v>
      </c>
      <c r="D19508" t="s">
        <v>11</v>
      </c>
      <c r="E19508" t="s">
        <v>12</v>
      </c>
      <c r="F19508">
        <v>106337929</v>
      </c>
      <c r="G19508">
        <v>106337980</v>
      </c>
      <c r="H19508">
        <v>106337929</v>
      </c>
      <c r="I19508">
        <v>106337980</v>
      </c>
    </row>
    <row r="19509" spans="1:9" x14ac:dyDescent="0.2">
      <c r="A19509" t="str">
        <f>"Smpd4"</f>
        <v>Smpd4</v>
      </c>
      <c r="B19509" t="s">
        <v>14</v>
      </c>
      <c r="C19509" t="s">
        <v>31</v>
      </c>
      <c r="D19509" t="s">
        <v>17</v>
      </c>
      <c r="E19509" t="s">
        <v>12</v>
      </c>
      <c r="F19509">
        <v>17619341</v>
      </c>
      <c r="G19509">
        <v>17619387</v>
      </c>
      <c r="H19509">
        <v>17619341</v>
      </c>
      <c r="I19509">
        <v>17619387</v>
      </c>
    </row>
    <row r="19510" spans="1:9" x14ac:dyDescent="0.2">
      <c r="A19510" t="str">
        <f>"Smpd5"</f>
        <v>Smpd5</v>
      </c>
      <c r="B19510" t="s">
        <v>14</v>
      </c>
      <c r="C19510" t="s">
        <v>25</v>
      </c>
      <c r="D19510" t="s">
        <v>17</v>
      </c>
      <c r="E19510" t="s">
        <v>67</v>
      </c>
      <c r="F19510">
        <v>76294825</v>
      </c>
      <c r="G19510">
        <v>76294856</v>
      </c>
      <c r="H19510">
        <v>76294825</v>
      </c>
      <c r="I19510">
        <v>76294856</v>
      </c>
    </row>
    <row r="19511" spans="1:9" x14ac:dyDescent="0.2">
      <c r="A19511" t="str">
        <f>"Smpdl3a"</f>
        <v>Smpdl3a</v>
      </c>
      <c r="B19511" t="s">
        <v>14</v>
      </c>
      <c r="C19511" t="s">
        <v>15</v>
      </c>
      <c r="D19511" t="s">
        <v>17</v>
      </c>
      <c r="E19511" t="s">
        <v>12</v>
      </c>
      <c r="F19511">
        <v>57794571</v>
      </c>
      <c r="G19511">
        <v>57794664</v>
      </c>
      <c r="H19511">
        <v>57794548</v>
      </c>
      <c r="I19511">
        <v>57794569</v>
      </c>
    </row>
    <row r="19512" spans="1:9" x14ac:dyDescent="0.2">
      <c r="A19512" t="str">
        <f>"Smpdl3b"</f>
        <v>Smpdl3b</v>
      </c>
      <c r="B19512" t="s">
        <v>14</v>
      </c>
      <c r="C19512" t="s">
        <v>23</v>
      </c>
      <c r="D19512" t="s">
        <v>11</v>
      </c>
      <c r="E19512" t="s">
        <v>12</v>
      </c>
      <c r="F19512">
        <v>132757107</v>
      </c>
      <c r="G19512">
        <v>132757152</v>
      </c>
      <c r="H19512">
        <v>132757162</v>
      </c>
      <c r="I19512">
        <v>132757187</v>
      </c>
    </row>
    <row r="19513" spans="1:9" x14ac:dyDescent="0.2">
      <c r="A19513" t="str">
        <f>"Smpx"</f>
        <v>Smpx</v>
      </c>
      <c r="B19513" t="s">
        <v>14</v>
      </c>
      <c r="C19513" t="s">
        <v>37</v>
      </c>
      <c r="D19513" t="s">
        <v>17</v>
      </c>
      <c r="E19513" t="s">
        <v>12</v>
      </c>
      <c r="F19513">
        <v>157699113</v>
      </c>
      <c r="G19513">
        <v>157699134</v>
      </c>
      <c r="H19513">
        <v>157699153</v>
      </c>
      <c r="I19513">
        <v>157699166</v>
      </c>
    </row>
    <row r="19514" spans="1:9" x14ac:dyDescent="0.2">
      <c r="A19514" t="str">
        <f>"Smr2"</f>
        <v>Smr2</v>
      </c>
      <c r="B19514" t="s">
        <v>5771</v>
      </c>
      <c r="C19514" t="s">
        <v>46</v>
      </c>
      <c r="D19514" t="s">
        <v>17</v>
      </c>
      <c r="E19514" t="s">
        <v>20</v>
      </c>
      <c r="F19514">
        <v>88086555</v>
      </c>
      <c r="G19514">
        <v>88086555</v>
      </c>
      <c r="H19514">
        <v>88086555</v>
      </c>
      <c r="I19514">
        <v>88086555</v>
      </c>
    </row>
    <row r="19515" spans="1:9" x14ac:dyDescent="0.2">
      <c r="A19515" t="str">
        <f>"Smr3a"</f>
        <v>Smr3a</v>
      </c>
      <c r="B19515" t="s">
        <v>14</v>
      </c>
      <c r="C19515" t="s">
        <v>46</v>
      </c>
      <c r="D19515" t="s">
        <v>17</v>
      </c>
      <c r="E19515" t="s">
        <v>12</v>
      </c>
      <c r="F19515">
        <v>88002530</v>
      </c>
      <c r="G19515">
        <v>88002552</v>
      </c>
      <c r="H19515">
        <v>88002579</v>
      </c>
      <c r="I19515">
        <v>88002583</v>
      </c>
    </row>
    <row r="19516" spans="1:9" x14ac:dyDescent="0.2">
      <c r="A19516" t="str">
        <f>"Sms"</f>
        <v>Sms</v>
      </c>
      <c r="B19516" t="s">
        <v>14</v>
      </c>
      <c r="C19516" t="s">
        <v>37</v>
      </c>
      <c r="D19516" t="s">
        <v>11</v>
      </c>
      <c r="E19516" t="s">
        <v>12</v>
      </c>
      <c r="F19516">
        <v>157492022</v>
      </c>
      <c r="G19516">
        <v>157492059</v>
      </c>
      <c r="H19516">
        <v>157492061</v>
      </c>
      <c r="I19516">
        <v>157492081</v>
      </c>
    </row>
    <row r="19517" spans="1:9" x14ac:dyDescent="0.2">
      <c r="A19517" t="str">
        <f>"Smtn"</f>
        <v>Smtn</v>
      </c>
      <c r="B19517" t="s">
        <v>14</v>
      </c>
      <c r="C19517" t="s">
        <v>27</v>
      </c>
      <c r="D19517" t="s">
        <v>11</v>
      </c>
      <c r="E19517" t="s">
        <v>12</v>
      </c>
      <c r="F19517">
        <v>3539228</v>
      </c>
      <c r="G19517">
        <v>3539267</v>
      </c>
      <c r="H19517">
        <v>3539228</v>
      </c>
      <c r="I19517">
        <v>3539267</v>
      </c>
    </row>
    <row r="19518" spans="1:9" x14ac:dyDescent="0.2">
      <c r="A19518" t="str">
        <f>"Smtnl1"</f>
        <v>Smtnl1</v>
      </c>
      <c r="B19518" t="s">
        <v>14</v>
      </c>
      <c r="C19518" t="s">
        <v>26</v>
      </c>
      <c r="D19518" t="s">
        <v>11</v>
      </c>
      <c r="E19518" t="s">
        <v>12</v>
      </c>
      <c r="F19518">
        <v>84822546</v>
      </c>
      <c r="G19518">
        <v>84822593</v>
      </c>
      <c r="H19518">
        <v>84822526</v>
      </c>
      <c r="I19518">
        <v>84822542</v>
      </c>
    </row>
    <row r="19519" spans="1:9" x14ac:dyDescent="0.2">
      <c r="A19519" t="str">
        <f>"Smtnl2"</f>
        <v>Smtnl2</v>
      </c>
      <c r="B19519" t="s">
        <v>14</v>
      </c>
      <c r="C19519" t="s">
        <v>27</v>
      </c>
      <c r="D19519" t="s">
        <v>11</v>
      </c>
      <c r="E19519" t="s">
        <v>12</v>
      </c>
      <c r="F19519">
        <v>72411695</v>
      </c>
      <c r="G19519">
        <v>72411718</v>
      </c>
      <c r="H19519">
        <v>72411721</v>
      </c>
      <c r="I19519">
        <v>72411733</v>
      </c>
    </row>
    <row r="19520" spans="1:9" x14ac:dyDescent="0.2">
      <c r="A19520" t="str">
        <f>"Smu1"</f>
        <v>Smu1</v>
      </c>
      <c r="B19520" t="s">
        <v>14</v>
      </c>
      <c r="C19520" t="s">
        <v>23</v>
      </c>
      <c r="D19520" t="s">
        <v>11</v>
      </c>
      <c r="E19520" t="s">
        <v>12</v>
      </c>
      <c r="F19520">
        <v>40757823</v>
      </c>
      <c r="G19520">
        <v>40757890</v>
      </c>
      <c r="H19520">
        <v>40757818</v>
      </c>
      <c r="I19520">
        <v>40757821</v>
      </c>
    </row>
    <row r="19521" spans="1:9" x14ac:dyDescent="0.2">
      <c r="A19521" t="str">
        <f>"Smug1"</f>
        <v>Smug1</v>
      </c>
      <c r="B19521" t="s">
        <v>9</v>
      </c>
      <c r="C19521" t="s">
        <v>25</v>
      </c>
      <c r="D19521" t="s">
        <v>11</v>
      </c>
      <c r="E19521" t="s">
        <v>12</v>
      </c>
      <c r="F19521">
        <v>103163294</v>
      </c>
      <c r="G19521">
        <v>103163336</v>
      </c>
      <c r="H19521">
        <v>103163294</v>
      </c>
      <c r="I19521">
        <v>103163336</v>
      </c>
    </row>
    <row r="19522" spans="1:9" x14ac:dyDescent="0.2">
      <c r="A19522" t="str">
        <f>"Smug1"</f>
        <v>Smug1</v>
      </c>
      <c r="B19522" t="s">
        <v>13</v>
      </c>
      <c r="C19522" t="s">
        <v>25</v>
      </c>
      <c r="D19522" t="s">
        <v>11</v>
      </c>
      <c r="E19522" t="s">
        <v>12</v>
      </c>
      <c r="F19522">
        <v>103168029</v>
      </c>
      <c r="G19522">
        <v>103168046</v>
      </c>
      <c r="H19522">
        <v>103168029</v>
      </c>
      <c r="I19522">
        <v>103168046</v>
      </c>
    </row>
    <row r="19523" spans="1:9" x14ac:dyDescent="0.2">
      <c r="A19523" t="str">
        <f>"Smurf1"</f>
        <v>Smurf1</v>
      </c>
      <c r="B19523" t="s">
        <v>14</v>
      </c>
      <c r="C19523" t="s">
        <v>46</v>
      </c>
      <c r="D19523" t="s">
        <v>11</v>
      </c>
      <c r="E19523" t="s">
        <v>12</v>
      </c>
      <c r="F19523">
        <v>144965793</v>
      </c>
      <c r="G19523">
        <v>144965877</v>
      </c>
      <c r="H19523">
        <v>144965896</v>
      </c>
      <c r="I19523">
        <v>144965909</v>
      </c>
    </row>
    <row r="19524" spans="1:9" x14ac:dyDescent="0.2">
      <c r="A19524" t="str">
        <f>"Smurf2"</f>
        <v>Smurf2</v>
      </c>
      <c r="B19524" t="s">
        <v>14</v>
      </c>
      <c r="C19524" t="s">
        <v>27</v>
      </c>
      <c r="D19524" t="s">
        <v>11</v>
      </c>
      <c r="E19524" t="s">
        <v>12</v>
      </c>
      <c r="F19524">
        <v>106920681</v>
      </c>
      <c r="G19524">
        <v>106920735</v>
      </c>
      <c r="H19524">
        <v>106920249</v>
      </c>
      <c r="I19524">
        <v>106920271</v>
      </c>
    </row>
    <row r="19525" spans="1:9" x14ac:dyDescent="0.2">
      <c r="A19525" t="str">
        <f>"Smyd1"</f>
        <v>Smyd1</v>
      </c>
      <c r="B19525" t="s">
        <v>14</v>
      </c>
      <c r="C19525" t="s">
        <v>32</v>
      </c>
      <c r="D19525" t="s">
        <v>11</v>
      </c>
      <c r="E19525" t="s">
        <v>12</v>
      </c>
      <c r="F19525">
        <v>71262237</v>
      </c>
      <c r="G19525">
        <v>71262255</v>
      </c>
      <c r="H19525">
        <v>71262237</v>
      </c>
      <c r="I19525">
        <v>71262255</v>
      </c>
    </row>
    <row r="19526" spans="1:9" x14ac:dyDescent="0.2">
      <c r="A19526" t="str">
        <f>"Smyd2"</f>
        <v>Smyd2</v>
      </c>
      <c r="B19526" t="s">
        <v>14</v>
      </c>
      <c r="C19526" t="s">
        <v>19</v>
      </c>
      <c r="D19526" t="s">
        <v>11</v>
      </c>
      <c r="E19526" t="s">
        <v>12</v>
      </c>
      <c r="F19526">
        <v>189922252</v>
      </c>
      <c r="G19526">
        <v>189922327</v>
      </c>
      <c r="H19526">
        <v>189922371</v>
      </c>
      <c r="I19526">
        <v>189922393</v>
      </c>
    </row>
    <row r="19527" spans="1:9" x14ac:dyDescent="0.2">
      <c r="A19527" t="str">
        <f>"Smyd3"</f>
        <v>Smyd3</v>
      </c>
      <c r="B19527" t="s">
        <v>14</v>
      </c>
      <c r="C19527" t="s">
        <v>19</v>
      </c>
      <c r="D19527" t="s">
        <v>11</v>
      </c>
      <c r="E19527" t="s">
        <v>12</v>
      </c>
      <c r="F19527">
        <v>179517992</v>
      </c>
      <c r="G19527">
        <v>179518026</v>
      </c>
      <c r="H19527">
        <v>179518027</v>
      </c>
      <c r="I19527">
        <v>179518044</v>
      </c>
    </row>
    <row r="19528" spans="1:9" x14ac:dyDescent="0.2">
      <c r="A19528" t="str">
        <f>"Smyd4"</f>
        <v>Smyd4</v>
      </c>
      <c r="B19528" t="s">
        <v>14</v>
      </c>
      <c r="C19528" t="s">
        <v>27</v>
      </c>
      <c r="D19528" t="s">
        <v>17</v>
      </c>
      <c r="E19528" t="s">
        <v>12</v>
      </c>
      <c r="F19528">
        <v>75348493</v>
      </c>
      <c r="G19528">
        <v>75348560</v>
      </c>
      <c r="H19528">
        <v>75348566</v>
      </c>
      <c r="I19528">
        <v>75348604</v>
      </c>
    </row>
    <row r="19529" spans="1:9" x14ac:dyDescent="0.2">
      <c r="A19529" t="str">
        <f>"Smyd5"</f>
        <v>Smyd5</v>
      </c>
      <c r="B19529" t="s">
        <v>14</v>
      </c>
      <c r="C19529" t="s">
        <v>32</v>
      </c>
      <c r="D19529" t="s">
        <v>17</v>
      </c>
      <c r="E19529" t="s">
        <v>12</v>
      </c>
      <c r="F19529">
        <v>85431970</v>
      </c>
      <c r="G19529">
        <v>85432010</v>
      </c>
      <c r="H19529">
        <v>85432011</v>
      </c>
      <c r="I19529">
        <v>85432045</v>
      </c>
    </row>
    <row r="19530" spans="1:9" x14ac:dyDescent="0.2">
      <c r="A19530" t="str">
        <f>"Snai1"</f>
        <v>Snai1</v>
      </c>
      <c r="B19530" t="s">
        <v>14</v>
      </c>
      <c r="C19530" t="s">
        <v>26</v>
      </c>
      <c r="D19530" t="s">
        <v>17</v>
      </c>
      <c r="E19530" t="s">
        <v>12</v>
      </c>
      <c r="F19530">
        <v>167538192</v>
      </c>
      <c r="G19530">
        <v>167538210</v>
      </c>
      <c r="H19530">
        <v>167538192</v>
      </c>
      <c r="I19530">
        <v>167538210</v>
      </c>
    </row>
    <row r="19531" spans="1:9" x14ac:dyDescent="0.2">
      <c r="A19531" t="str">
        <f>"Snai2"</f>
        <v>Snai2</v>
      </c>
      <c r="B19531" t="s">
        <v>14</v>
      </c>
      <c r="C19531" t="s">
        <v>31</v>
      </c>
      <c r="D19531" t="s">
        <v>17</v>
      </c>
      <c r="E19531" t="s">
        <v>12</v>
      </c>
      <c r="F19531">
        <v>14705832</v>
      </c>
      <c r="G19531">
        <v>14705858</v>
      </c>
      <c r="H19531">
        <v>14705868</v>
      </c>
      <c r="I19531">
        <v>14705885</v>
      </c>
    </row>
    <row r="19532" spans="1:9" x14ac:dyDescent="0.2">
      <c r="A19532" t="str">
        <f>"Snai3"</f>
        <v>Snai3</v>
      </c>
      <c r="B19532" t="s">
        <v>14</v>
      </c>
      <c r="C19532" t="s">
        <v>30</v>
      </c>
      <c r="D19532" t="s">
        <v>11</v>
      </c>
      <c r="E19532" t="s">
        <v>12</v>
      </c>
      <c r="F19532">
        <v>122460666</v>
      </c>
      <c r="G19532">
        <v>122460695</v>
      </c>
      <c r="H19532">
        <v>122460709</v>
      </c>
      <c r="I19532">
        <v>122460714</v>
      </c>
    </row>
    <row r="19533" spans="1:9" x14ac:dyDescent="0.2">
      <c r="A19533" t="str">
        <f>"Snap23"</f>
        <v>Snap23</v>
      </c>
      <c r="B19533" t="s">
        <v>14</v>
      </c>
      <c r="C19533" t="s">
        <v>26</v>
      </c>
      <c r="D19533" t="s">
        <v>17</v>
      </c>
      <c r="E19533" t="s">
        <v>12</v>
      </c>
      <c r="F19533">
        <v>120567687</v>
      </c>
      <c r="G19533">
        <v>120567726</v>
      </c>
      <c r="H19533">
        <v>120567652</v>
      </c>
      <c r="I19533">
        <v>120567678</v>
      </c>
    </row>
    <row r="19534" spans="1:9" x14ac:dyDescent="0.2">
      <c r="A19534" t="str">
        <f>"Snap25"</f>
        <v>Snap25</v>
      </c>
      <c r="B19534" t="s">
        <v>14</v>
      </c>
      <c r="C19534" t="s">
        <v>26</v>
      </c>
      <c r="D19534" t="s">
        <v>17</v>
      </c>
      <c r="E19534" t="s">
        <v>12</v>
      </c>
      <c r="F19534">
        <v>136713444</v>
      </c>
      <c r="G19534">
        <v>136713492</v>
      </c>
      <c r="H19534">
        <v>136713507</v>
      </c>
      <c r="I19534">
        <v>136713528</v>
      </c>
    </row>
    <row r="19535" spans="1:9" x14ac:dyDescent="0.2">
      <c r="A19535" t="str">
        <f>"Snap29"</f>
        <v>Snap29</v>
      </c>
      <c r="B19535" t="s">
        <v>14</v>
      </c>
      <c r="C19535" t="s">
        <v>31</v>
      </c>
      <c r="D19535" t="s">
        <v>17</v>
      </c>
      <c r="E19535" t="s">
        <v>12</v>
      </c>
      <c r="F19535">
        <v>17405981</v>
      </c>
      <c r="G19535">
        <v>17406098</v>
      </c>
      <c r="H19535">
        <v>17405981</v>
      </c>
      <c r="I19535">
        <v>17406098</v>
      </c>
    </row>
    <row r="19536" spans="1:9" x14ac:dyDescent="0.2">
      <c r="A19536" t="str">
        <f>"Snap47"</f>
        <v>Snap47</v>
      </c>
      <c r="B19536" t="s">
        <v>14</v>
      </c>
      <c r="C19536" t="s">
        <v>27</v>
      </c>
      <c r="D19536" t="s">
        <v>11</v>
      </c>
      <c r="E19536" t="s">
        <v>12</v>
      </c>
      <c r="F19536">
        <v>59449953</v>
      </c>
      <c r="G19536">
        <v>59450035</v>
      </c>
      <c r="H19536">
        <v>59449941</v>
      </c>
      <c r="I19536">
        <v>59449950</v>
      </c>
    </row>
    <row r="19537" spans="1:9" x14ac:dyDescent="0.2">
      <c r="A19537" t="str">
        <f>"Snap91"</f>
        <v>Snap91</v>
      </c>
      <c r="B19537" t="s">
        <v>14</v>
      </c>
      <c r="C19537" t="s">
        <v>24</v>
      </c>
      <c r="D19537" t="s">
        <v>11</v>
      </c>
      <c r="E19537" t="s">
        <v>12</v>
      </c>
      <c r="F19537">
        <v>86880414</v>
      </c>
      <c r="G19537">
        <v>86880467</v>
      </c>
      <c r="H19537">
        <v>86880647</v>
      </c>
      <c r="I19537">
        <v>86880659</v>
      </c>
    </row>
    <row r="19538" spans="1:9" x14ac:dyDescent="0.2">
      <c r="A19538" t="str">
        <f>"Snapc1"</f>
        <v>Snapc1</v>
      </c>
      <c r="B19538" t="s">
        <v>14</v>
      </c>
      <c r="C19538" t="s">
        <v>16</v>
      </c>
      <c r="D19538" t="s">
        <v>17</v>
      </c>
      <c r="E19538" t="s">
        <v>12</v>
      </c>
      <c r="F19538">
        <v>73964481</v>
      </c>
      <c r="G19538">
        <v>73964542</v>
      </c>
      <c r="H19538">
        <v>73964544</v>
      </c>
      <c r="I19538">
        <v>73964563</v>
      </c>
    </row>
    <row r="19539" spans="1:9" x14ac:dyDescent="0.2">
      <c r="A19539" t="str">
        <f>"Snapc2"</f>
        <v>Snapc2</v>
      </c>
      <c r="B19539" t="s">
        <v>14</v>
      </c>
      <c r="C19539" t="s">
        <v>30</v>
      </c>
      <c r="D19539" t="s">
        <v>17</v>
      </c>
      <c r="E19539" t="s">
        <v>12</v>
      </c>
      <c r="F19539">
        <v>4253067</v>
      </c>
      <c r="G19539">
        <v>4253128</v>
      </c>
      <c r="H19539">
        <v>4253067</v>
      </c>
      <c r="I19539">
        <v>4253128</v>
      </c>
    </row>
    <row r="19540" spans="1:9" x14ac:dyDescent="0.2">
      <c r="A19540" t="str">
        <f>"Snapc3"</f>
        <v>Snapc3</v>
      </c>
      <c r="B19540" t="s">
        <v>14</v>
      </c>
      <c r="C19540" t="s">
        <v>23</v>
      </c>
      <c r="D19540" t="s">
        <v>17</v>
      </c>
      <c r="E19540" t="s">
        <v>12</v>
      </c>
      <c r="F19540">
        <v>83417715</v>
      </c>
      <c r="G19540">
        <v>83417758</v>
      </c>
      <c r="H19540">
        <v>83417990</v>
      </c>
      <c r="I19540">
        <v>83418015</v>
      </c>
    </row>
    <row r="19541" spans="1:9" x14ac:dyDescent="0.2">
      <c r="A19541" t="str">
        <f>"Snapc4"</f>
        <v>Snapc4</v>
      </c>
      <c r="B19541" t="s">
        <v>14</v>
      </c>
      <c r="C19541" t="s">
        <v>26</v>
      </c>
      <c r="D19541" t="s">
        <v>11</v>
      </c>
      <c r="E19541" t="s">
        <v>12</v>
      </c>
      <c r="F19541">
        <v>26380600</v>
      </c>
      <c r="G19541">
        <v>26380654</v>
      </c>
      <c r="H19541">
        <v>26380600</v>
      </c>
      <c r="I19541">
        <v>26380654</v>
      </c>
    </row>
    <row r="19542" spans="1:9" x14ac:dyDescent="0.2">
      <c r="A19542" t="str">
        <f>"Snapc5"</f>
        <v>Snapc5</v>
      </c>
      <c r="B19542" t="s">
        <v>14</v>
      </c>
      <c r="C19542" t="s">
        <v>24</v>
      </c>
      <c r="D19542" t="s">
        <v>17</v>
      </c>
      <c r="E19542" t="s">
        <v>12</v>
      </c>
      <c r="F19542">
        <v>64179289</v>
      </c>
      <c r="G19542">
        <v>64179349</v>
      </c>
      <c r="H19542">
        <v>64179271</v>
      </c>
      <c r="I19542">
        <v>64179282</v>
      </c>
    </row>
    <row r="19543" spans="1:9" x14ac:dyDescent="0.2">
      <c r="A19543" t="str">
        <f>"Snapin"</f>
        <v>Snapin</v>
      </c>
      <c r="B19543" t="s">
        <v>14</v>
      </c>
      <c r="C19543" t="s">
        <v>22</v>
      </c>
      <c r="D19543" t="s">
        <v>11</v>
      </c>
      <c r="E19543" t="s">
        <v>12</v>
      </c>
      <c r="F19543">
        <v>90490975</v>
      </c>
      <c r="G19543">
        <v>90491038</v>
      </c>
      <c r="H19543">
        <v>90490717</v>
      </c>
      <c r="I19543">
        <v>90490767</v>
      </c>
    </row>
    <row r="19544" spans="1:9" x14ac:dyDescent="0.2">
      <c r="A19544" t="str">
        <f>"Snca"</f>
        <v>Snca</v>
      </c>
      <c r="B19544" t="s">
        <v>14</v>
      </c>
      <c r="C19544" t="s">
        <v>32</v>
      </c>
      <c r="D19544" t="s">
        <v>11</v>
      </c>
      <c r="E19544" t="s">
        <v>12</v>
      </c>
      <c r="F19544">
        <v>60828832</v>
      </c>
      <c r="G19544">
        <v>60828883</v>
      </c>
      <c r="H19544">
        <v>60829786</v>
      </c>
      <c r="I19544">
        <v>60829823</v>
      </c>
    </row>
    <row r="19545" spans="1:9" x14ac:dyDescent="0.2">
      <c r="A19545" t="str">
        <f>"Sncaip"</f>
        <v>Sncaip</v>
      </c>
      <c r="B19545" t="s">
        <v>14</v>
      </c>
      <c r="C19545" t="s">
        <v>43</v>
      </c>
      <c r="D19545" t="s">
        <v>17</v>
      </c>
      <c r="E19545" t="s">
        <v>12</v>
      </c>
      <c r="F19545">
        <v>52768217</v>
      </c>
      <c r="G19545">
        <v>52768299</v>
      </c>
      <c r="H19545">
        <v>52768336</v>
      </c>
      <c r="I19545">
        <v>52768387</v>
      </c>
    </row>
    <row r="19546" spans="1:9" x14ac:dyDescent="0.2">
      <c r="A19546" t="str">
        <f>"Sncb"</f>
        <v>Sncb</v>
      </c>
      <c r="B19546" t="s">
        <v>14</v>
      </c>
      <c r="C19546" t="s">
        <v>39</v>
      </c>
      <c r="D19546" t="s">
        <v>11</v>
      </c>
      <c r="E19546" t="s">
        <v>12</v>
      </c>
      <c r="F19546">
        <v>54766553</v>
      </c>
      <c r="G19546">
        <v>54766572</v>
      </c>
      <c r="H19546">
        <v>54766500</v>
      </c>
      <c r="I19546">
        <v>54766503</v>
      </c>
    </row>
    <row r="19547" spans="1:9" x14ac:dyDescent="0.2">
      <c r="A19547" t="str">
        <f>"Sncg"</f>
        <v>Sncg</v>
      </c>
      <c r="B19547" t="s">
        <v>14</v>
      </c>
      <c r="C19547" t="s">
        <v>41</v>
      </c>
      <c r="D19547" t="s">
        <v>11</v>
      </c>
      <c r="E19547" t="s">
        <v>12</v>
      </c>
      <c r="F19547">
        <v>34374617</v>
      </c>
      <c r="G19547">
        <v>34374690</v>
      </c>
      <c r="H19547">
        <v>34374797</v>
      </c>
      <c r="I19547">
        <v>34374809</v>
      </c>
    </row>
    <row r="19548" spans="1:9" x14ac:dyDescent="0.2">
      <c r="A19548" t="str">
        <f>"Snd1"</f>
        <v>Snd1</v>
      </c>
      <c r="B19548" t="s">
        <v>14</v>
      </c>
      <c r="C19548" t="s">
        <v>32</v>
      </c>
      <c r="D19548" t="s">
        <v>17</v>
      </c>
      <c r="E19548" t="s">
        <v>12</v>
      </c>
      <c r="F19548">
        <v>28480386</v>
      </c>
      <c r="G19548">
        <v>28480413</v>
      </c>
      <c r="H19548">
        <v>28480337</v>
      </c>
      <c r="I19548">
        <v>28480370</v>
      </c>
    </row>
    <row r="19549" spans="1:9" x14ac:dyDescent="0.2">
      <c r="A19549" t="str">
        <f>"Sned1"</f>
        <v>Sned1</v>
      </c>
      <c r="B19549" t="s">
        <v>14</v>
      </c>
      <c r="C19549" t="s">
        <v>19</v>
      </c>
      <c r="D19549" t="s">
        <v>17</v>
      </c>
      <c r="E19549" t="s">
        <v>12</v>
      </c>
      <c r="F19549">
        <v>93235836</v>
      </c>
      <c r="G19549">
        <v>93235842</v>
      </c>
      <c r="H19549">
        <v>93236061</v>
      </c>
      <c r="I19549">
        <v>93236071</v>
      </c>
    </row>
    <row r="19550" spans="1:9" x14ac:dyDescent="0.2">
      <c r="A19550" t="str">
        <f>"Snf8"</f>
        <v>Snf8</v>
      </c>
      <c r="B19550" t="s">
        <v>14</v>
      </c>
      <c r="C19550" t="s">
        <v>27</v>
      </c>
      <c r="D19550" t="s">
        <v>17</v>
      </c>
      <c r="E19550" t="s">
        <v>12</v>
      </c>
      <c r="F19550">
        <v>96034906</v>
      </c>
      <c r="G19550">
        <v>96034952</v>
      </c>
      <c r="H19550">
        <v>96034906</v>
      </c>
      <c r="I19550">
        <v>96034952</v>
      </c>
    </row>
    <row r="19551" spans="1:9" x14ac:dyDescent="0.2">
      <c r="A19551" t="str">
        <f>"Snhg11"</f>
        <v>Snhg11</v>
      </c>
      <c r="B19551" t="s">
        <v>14</v>
      </c>
      <c r="C19551" t="s">
        <v>26</v>
      </c>
      <c r="D19551" t="s">
        <v>17</v>
      </c>
      <c r="E19551" t="s">
        <v>12</v>
      </c>
      <c r="F19551">
        <v>158375703</v>
      </c>
      <c r="G19551">
        <v>158375721</v>
      </c>
      <c r="H19551">
        <v>158375703</v>
      </c>
      <c r="I19551">
        <v>158375721</v>
      </c>
    </row>
    <row r="19552" spans="1:9" x14ac:dyDescent="0.2">
      <c r="A19552" t="str">
        <f>"Snip1"</f>
        <v>Snip1</v>
      </c>
      <c r="B19552" t="s">
        <v>14</v>
      </c>
      <c r="C19552" t="s">
        <v>23</v>
      </c>
      <c r="D19552" t="s">
        <v>17</v>
      </c>
      <c r="E19552" t="s">
        <v>12</v>
      </c>
      <c r="F19552">
        <v>125066672</v>
      </c>
      <c r="G19552">
        <v>125066715</v>
      </c>
      <c r="H19552">
        <v>125066723</v>
      </c>
      <c r="I19552">
        <v>125066732</v>
      </c>
    </row>
    <row r="19553" spans="1:9" x14ac:dyDescent="0.2">
      <c r="A19553" t="str">
        <f>"Snn"</f>
        <v>Snn</v>
      </c>
      <c r="B19553" t="s">
        <v>14</v>
      </c>
      <c r="C19553" t="s">
        <v>31</v>
      </c>
      <c r="D19553" t="s">
        <v>17</v>
      </c>
      <c r="E19553" t="s">
        <v>12</v>
      </c>
      <c r="F19553">
        <v>11066292</v>
      </c>
      <c r="G19553">
        <v>11066381</v>
      </c>
      <c r="H19553">
        <v>11066292</v>
      </c>
      <c r="I19553">
        <v>11066381</v>
      </c>
    </row>
    <row r="19554" spans="1:9" x14ac:dyDescent="0.2">
      <c r="A19554" t="str">
        <f>"Snph"</f>
        <v>Snph</v>
      </c>
      <c r="B19554" t="s">
        <v>14</v>
      </c>
      <c r="C19554" t="s">
        <v>26</v>
      </c>
      <c r="D19554" t="s">
        <v>11</v>
      </c>
      <c r="E19554" t="s">
        <v>12</v>
      </c>
      <c r="F19554">
        <v>151632517</v>
      </c>
      <c r="G19554">
        <v>151632599</v>
      </c>
      <c r="H19554">
        <v>151632621</v>
      </c>
      <c r="I19554">
        <v>151632632</v>
      </c>
    </row>
    <row r="19555" spans="1:9" x14ac:dyDescent="0.2">
      <c r="A19555" t="str">
        <f>"Snrk"</f>
        <v>Snrk</v>
      </c>
      <c r="B19555" t="s">
        <v>14</v>
      </c>
      <c r="C19555" t="s">
        <v>24</v>
      </c>
      <c r="D19555" t="s">
        <v>17</v>
      </c>
      <c r="E19555" t="s">
        <v>12</v>
      </c>
      <c r="F19555">
        <v>122117258</v>
      </c>
      <c r="G19555">
        <v>122117326</v>
      </c>
      <c r="H19555">
        <v>122117338</v>
      </c>
      <c r="I19555">
        <v>122117367</v>
      </c>
    </row>
    <row r="19556" spans="1:9" x14ac:dyDescent="0.2">
      <c r="A19556" t="str">
        <f>"Snrnp200"</f>
        <v>Snrnp200</v>
      </c>
      <c r="B19556" t="s">
        <v>14</v>
      </c>
      <c r="C19556" t="s">
        <v>26</v>
      </c>
      <c r="D19556" t="s">
        <v>17</v>
      </c>
      <c r="E19556" t="s">
        <v>12</v>
      </c>
      <c r="F19556">
        <v>127208358</v>
      </c>
      <c r="G19556">
        <v>127208444</v>
      </c>
      <c r="H19556">
        <v>127208336</v>
      </c>
      <c r="I19556">
        <v>127208344</v>
      </c>
    </row>
    <row r="19557" spans="1:9" x14ac:dyDescent="0.2">
      <c r="A19557" t="str">
        <f>"Snrnp25"</f>
        <v>Snrnp25</v>
      </c>
      <c r="B19557" t="s">
        <v>14</v>
      </c>
      <c r="C19557" t="s">
        <v>27</v>
      </c>
      <c r="D19557" t="s">
        <v>17</v>
      </c>
      <c r="E19557" t="s">
        <v>12</v>
      </c>
      <c r="F19557">
        <v>32205411</v>
      </c>
      <c r="G19557">
        <v>32205481</v>
      </c>
      <c r="H19557">
        <v>32205483</v>
      </c>
      <c r="I19557">
        <v>32205504</v>
      </c>
    </row>
    <row r="19558" spans="1:9" x14ac:dyDescent="0.2">
      <c r="A19558" t="str">
        <f>"Snrnp27"</f>
        <v>Snrnp27</v>
      </c>
      <c r="B19558" t="s">
        <v>14</v>
      </c>
      <c r="C19558" t="s">
        <v>32</v>
      </c>
      <c r="D19558" t="s">
        <v>11</v>
      </c>
      <c r="E19558" t="s">
        <v>12</v>
      </c>
      <c r="F19558">
        <v>86684510</v>
      </c>
      <c r="G19558">
        <v>86684529</v>
      </c>
      <c r="H19558">
        <v>86684481</v>
      </c>
      <c r="I19558">
        <v>86684508</v>
      </c>
    </row>
    <row r="19559" spans="1:9" x14ac:dyDescent="0.2">
      <c r="A19559" t="str">
        <f>"Snrnp35"</f>
        <v>Snrnp35</v>
      </c>
      <c r="B19559" t="s">
        <v>14</v>
      </c>
      <c r="C19559" t="s">
        <v>46</v>
      </c>
      <c r="D19559" t="s">
        <v>17</v>
      </c>
      <c r="E19559" t="s">
        <v>12</v>
      </c>
      <c r="F19559">
        <v>124483165</v>
      </c>
      <c r="G19559">
        <v>124483185</v>
      </c>
      <c r="H19559">
        <v>124483128</v>
      </c>
      <c r="I19559">
        <v>124483158</v>
      </c>
    </row>
    <row r="19560" spans="1:9" x14ac:dyDescent="0.2">
      <c r="A19560" t="str">
        <f>"Snrnp40"</f>
        <v>Snrnp40</v>
      </c>
      <c r="B19560" t="s">
        <v>14</v>
      </c>
      <c r="C19560" t="s">
        <v>23</v>
      </c>
      <c r="D19560" t="s">
        <v>17</v>
      </c>
      <c r="E19560" t="s">
        <v>12</v>
      </c>
      <c r="F19560">
        <v>130360159</v>
      </c>
      <c r="G19560">
        <v>130360208</v>
      </c>
      <c r="H19560">
        <v>130360159</v>
      </c>
      <c r="I19560">
        <v>130360208</v>
      </c>
    </row>
    <row r="19561" spans="1:9" x14ac:dyDescent="0.2">
      <c r="A19561" t="str">
        <f>"Snrnp48"</f>
        <v>Snrnp48</v>
      </c>
      <c r="B19561" t="s">
        <v>14</v>
      </c>
      <c r="C19561" t="s">
        <v>39</v>
      </c>
      <c r="D19561" t="s">
        <v>17</v>
      </c>
      <c r="E19561" t="s">
        <v>12</v>
      </c>
      <c r="F19561">
        <v>38204928</v>
      </c>
      <c r="G19561">
        <v>38204962</v>
      </c>
      <c r="H19561">
        <v>38204928</v>
      </c>
      <c r="I19561">
        <v>38204962</v>
      </c>
    </row>
    <row r="19562" spans="1:9" x14ac:dyDescent="0.2">
      <c r="A19562" t="str">
        <f>"Snrnp70"</f>
        <v>Snrnp70</v>
      </c>
      <c r="B19562" t="s">
        <v>14</v>
      </c>
      <c r="C19562" t="s">
        <v>33</v>
      </c>
      <c r="D19562" t="s">
        <v>11</v>
      </c>
      <c r="E19562" t="s">
        <v>12</v>
      </c>
      <c r="F19562">
        <v>45395672</v>
      </c>
      <c r="G19562">
        <v>45395719</v>
      </c>
      <c r="H19562">
        <v>45395215</v>
      </c>
      <c r="I19562">
        <v>45395229</v>
      </c>
    </row>
    <row r="19563" spans="1:9" x14ac:dyDescent="0.2">
      <c r="A19563" t="str">
        <f>"Snrpa"</f>
        <v>Snrpa</v>
      </c>
      <c r="B19563" t="s">
        <v>14</v>
      </c>
      <c r="C19563" t="s">
        <v>33</v>
      </c>
      <c r="D19563" t="s">
        <v>11</v>
      </c>
      <c r="E19563" t="s">
        <v>12</v>
      </c>
      <c r="F19563">
        <v>27196138</v>
      </c>
      <c r="G19563">
        <v>27196174</v>
      </c>
      <c r="H19563">
        <v>27195727</v>
      </c>
      <c r="I19563">
        <v>27195768</v>
      </c>
    </row>
    <row r="19564" spans="1:9" x14ac:dyDescent="0.2">
      <c r="A19564" t="str">
        <f>"Snrpa1"</f>
        <v>Snrpa1</v>
      </c>
      <c r="B19564" t="s">
        <v>14</v>
      </c>
      <c r="C19564" t="s">
        <v>33</v>
      </c>
      <c r="D19564" t="s">
        <v>17</v>
      </c>
      <c r="E19564" t="s">
        <v>12</v>
      </c>
      <c r="F19564">
        <v>66060528</v>
      </c>
      <c r="G19564">
        <v>66060597</v>
      </c>
      <c r="H19564">
        <v>66060598</v>
      </c>
      <c r="I19564">
        <v>66060607</v>
      </c>
    </row>
    <row r="19565" spans="1:9" x14ac:dyDescent="0.2">
      <c r="A19565" t="str">
        <f>"Snrpb"</f>
        <v>Snrpb</v>
      </c>
      <c r="B19565" t="s">
        <v>14</v>
      </c>
      <c r="C19565" t="s">
        <v>26</v>
      </c>
      <c r="D19565" t="s">
        <v>11</v>
      </c>
      <c r="E19565" t="s">
        <v>12</v>
      </c>
      <c r="F19565">
        <v>130179310</v>
      </c>
      <c r="G19565">
        <v>130179376</v>
      </c>
      <c r="H19565">
        <v>130179310</v>
      </c>
      <c r="I19565">
        <v>130179376</v>
      </c>
    </row>
    <row r="19566" spans="1:9" x14ac:dyDescent="0.2">
      <c r="A19566" t="str">
        <f>"Snrpb2"</f>
        <v>Snrpb2</v>
      </c>
      <c r="B19566" t="s">
        <v>14</v>
      </c>
      <c r="C19566" t="s">
        <v>26</v>
      </c>
      <c r="D19566" t="s">
        <v>17</v>
      </c>
      <c r="E19566" t="s">
        <v>12</v>
      </c>
      <c r="F19566">
        <v>143063031</v>
      </c>
      <c r="G19566">
        <v>143063077</v>
      </c>
      <c r="H19566">
        <v>143063031</v>
      </c>
      <c r="I19566">
        <v>143063077</v>
      </c>
    </row>
    <row r="19567" spans="1:9" x14ac:dyDescent="0.2">
      <c r="A19567" t="str">
        <f>"Snrpc"</f>
        <v>Snrpc</v>
      </c>
      <c r="B19567" t="s">
        <v>14</v>
      </c>
      <c r="C19567" t="s">
        <v>28</v>
      </c>
      <c r="D19567" t="s">
        <v>17</v>
      </c>
      <c r="E19567" t="s">
        <v>12</v>
      </c>
      <c r="F19567">
        <v>27840057</v>
      </c>
      <c r="G19567">
        <v>27840119</v>
      </c>
      <c r="H19567">
        <v>27840156</v>
      </c>
      <c r="I19567">
        <v>27840177</v>
      </c>
    </row>
    <row r="19568" spans="1:9" x14ac:dyDescent="0.2">
      <c r="A19568" t="str">
        <f>"Snrpd1"</f>
        <v>Snrpd1</v>
      </c>
      <c r="B19568" t="s">
        <v>14</v>
      </c>
      <c r="C19568" t="s">
        <v>43</v>
      </c>
      <c r="D19568" t="s">
        <v>17</v>
      </c>
      <c r="E19568" t="s">
        <v>12</v>
      </c>
      <c r="F19568">
        <v>10617768</v>
      </c>
      <c r="G19568">
        <v>10617845</v>
      </c>
      <c r="H19568">
        <v>10617858</v>
      </c>
      <c r="I19568">
        <v>10617873</v>
      </c>
    </row>
    <row r="19569" spans="1:9" x14ac:dyDescent="0.2">
      <c r="A19569" t="str">
        <f>"Snrpd2"</f>
        <v>Snrpd2</v>
      </c>
      <c r="B19569" t="s">
        <v>14</v>
      </c>
      <c r="C19569" t="s">
        <v>33</v>
      </c>
      <c r="D19569" t="s">
        <v>17</v>
      </c>
      <c r="E19569" t="s">
        <v>12</v>
      </c>
      <c r="F19569">
        <v>19149810</v>
      </c>
      <c r="G19569">
        <v>19149844</v>
      </c>
      <c r="H19569">
        <v>19149431</v>
      </c>
      <c r="I19569">
        <v>19149439</v>
      </c>
    </row>
    <row r="19570" spans="1:9" x14ac:dyDescent="0.2">
      <c r="A19570" t="str">
        <f>"Snrpd3"</f>
        <v>Snrpd3</v>
      </c>
      <c r="B19570" t="s">
        <v>14</v>
      </c>
      <c r="C19570" t="s">
        <v>15</v>
      </c>
      <c r="D19570" t="s">
        <v>17</v>
      </c>
      <c r="E19570" t="s">
        <v>12</v>
      </c>
      <c r="F19570">
        <v>75518011</v>
      </c>
      <c r="G19570">
        <v>75518029</v>
      </c>
      <c r="H19570">
        <v>75518030</v>
      </c>
      <c r="I19570">
        <v>75518041</v>
      </c>
    </row>
    <row r="19571" spans="1:9" x14ac:dyDescent="0.2">
      <c r="A19571" t="str">
        <f>"Snrpe"</f>
        <v>Snrpe</v>
      </c>
      <c r="B19571" t="s">
        <v>14</v>
      </c>
      <c r="C19571" t="s">
        <v>19</v>
      </c>
      <c r="D19571" t="s">
        <v>11</v>
      </c>
      <c r="E19571" t="s">
        <v>12</v>
      </c>
      <c r="F19571">
        <v>133610253</v>
      </c>
      <c r="G19571">
        <v>133610294</v>
      </c>
      <c r="H19571">
        <v>133610242</v>
      </c>
      <c r="I19571">
        <v>133610245</v>
      </c>
    </row>
    <row r="19572" spans="1:9" x14ac:dyDescent="0.2">
      <c r="A19572" t="str">
        <f>"Snrpf"</f>
        <v>Snrpf</v>
      </c>
      <c r="B19572" t="s">
        <v>14</v>
      </c>
      <c r="C19572" t="s">
        <v>15</v>
      </c>
      <c r="D19572" t="s">
        <v>11</v>
      </c>
      <c r="E19572" t="s">
        <v>12</v>
      </c>
      <c r="F19572">
        <v>93589621</v>
      </c>
      <c r="G19572">
        <v>93589681</v>
      </c>
      <c r="H19572">
        <v>93589621</v>
      </c>
      <c r="I19572">
        <v>93589681</v>
      </c>
    </row>
    <row r="19573" spans="1:9" x14ac:dyDescent="0.2">
      <c r="A19573" t="str">
        <f>"Snrpg"</f>
        <v>Snrpg</v>
      </c>
      <c r="B19573" t="s">
        <v>14</v>
      </c>
      <c r="C19573" t="s">
        <v>32</v>
      </c>
      <c r="D19573" t="s">
        <v>17</v>
      </c>
      <c r="E19573" t="s">
        <v>12</v>
      </c>
      <c r="F19573">
        <v>86371489</v>
      </c>
      <c r="G19573">
        <v>86371550</v>
      </c>
      <c r="H19573">
        <v>86371715</v>
      </c>
      <c r="I19573">
        <v>86371735</v>
      </c>
    </row>
    <row r="19574" spans="1:9" x14ac:dyDescent="0.2">
      <c r="A19574" t="str">
        <f>"Snrpn"</f>
        <v>Snrpn</v>
      </c>
      <c r="B19574" t="s">
        <v>14</v>
      </c>
      <c r="C19574" t="s">
        <v>33</v>
      </c>
      <c r="D19574" t="s">
        <v>11</v>
      </c>
      <c r="E19574" t="s">
        <v>12</v>
      </c>
      <c r="F19574">
        <v>60005101</v>
      </c>
      <c r="G19574">
        <v>60005151</v>
      </c>
      <c r="H19574">
        <v>60005152</v>
      </c>
      <c r="I19574">
        <v>60005159</v>
      </c>
    </row>
    <row r="19575" spans="1:9" x14ac:dyDescent="0.2">
      <c r="A19575" t="str">
        <f>"Snta1"</f>
        <v>Snta1</v>
      </c>
      <c r="B19575" t="s">
        <v>14</v>
      </c>
      <c r="C19575" t="s">
        <v>26</v>
      </c>
      <c r="D19575" t="s">
        <v>11</v>
      </c>
      <c r="E19575" t="s">
        <v>12</v>
      </c>
      <c r="F19575">
        <v>154408035</v>
      </c>
      <c r="G19575">
        <v>154408071</v>
      </c>
      <c r="H19575">
        <v>154408078</v>
      </c>
      <c r="I19575">
        <v>154408116</v>
      </c>
    </row>
    <row r="19576" spans="1:9" x14ac:dyDescent="0.2">
      <c r="A19576" t="str">
        <f>"Sntb1"</f>
        <v>Sntb1</v>
      </c>
      <c r="B19576" t="s">
        <v>14</v>
      </c>
      <c r="C19576" t="s">
        <v>25</v>
      </c>
      <c r="D19576" t="s">
        <v>11</v>
      </c>
      <c r="E19576" t="s">
        <v>12</v>
      </c>
      <c r="F19576">
        <v>55906742</v>
      </c>
      <c r="G19576">
        <v>55906796</v>
      </c>
      <c r="H19576">
        <v>55906917</v>
      </c>
      <c r="I19576">
        <v>55906957</v>
      </c>
    </row>
    <row r="19577" spans="1:9" x14ac:dyDescent="0.2">
      <c r="A19577" t="str">
        <f>"Sntb2"</f>
        <v>Sntb2</v>
      </c>
      <c r="B19577" t="s">
        <v>14</v>
      </c>
      <c r="C19577" t="s">
        <v>30</v>
      </c>
      <c r="D19577" t="s">
        <v>17</v>
      </c>
      <c r="E19577" t="s">
        <v>12</v>
      </c>
      <c r="F19577">
        <v>106935720</v>
      </c>
      <c r="G19577">
        <v>106935776</v>
      </c>
      <c r="H19577">
        <v>106935720</v>
      </c>
      <c r="I19577">
        <v>106935776</v>
      </c>
    </row>
    <row r="19578" spans="1:9" x14ac:dyDescent="0.2">
      <c r="A19578" t="str">
        <f>"Sntg1"</f>
        <v>Sntg1</v>
      </c>
      <c r="B19578" t="s">
        <v>14</v>
      </c>
      <c r="C19578" t="s">
        <v>19</v>
      </c>
      <c r="D19578" t="s">
        <v>11</v>
      </c>
      <c r="E19578" t="s">
        <v>12</v>
      </c>
      <c r="F19578">
        <v>9299251</v>
      </c>
      <c r="G19578">
        <v>9299306</v>
      </c>
      <c r="H19578">
        <v>9299251</v>
      </c>
      <c r="I19578">
        <v>9299306</v>
      </c>
    </row>
    <row r="19579" spans="1:9" x14ac:dyDescent="0.2">
      <c r="A19579" t="str">
        <f>"Sntg2"</f>
        <v>Sntg2</v>
      </c>
      <c r="B19579" t="s">
        <v>14</v>
      </c>
      <c r="C19579" t="s">
        <v>16</v>
      </c>
      <c r="D19579" t="s">
        <v>11</v>
      </c>
      <c r="E19579" t="s">
        <v>12</v>
      </c>
      <c r="F19579">
        <v>30373320</v>
      </c>
      <c r="G19579">
        <v>30373337</v>
      </c>
      <c r="H19579">
        <v>30373358</v>
      </c>
      <c r="I19579">
        <v>30373380</v>
      </c>
    </row>
    <row r="19580" spans="1:9" x14ac:dyDescent="0.2">
      <c r="A19580" t="str">
        <f>"Sntn"</f>
        <v>Sntn</v>
      </c>
      <c r="B19580" t="s">
        <v>14</v>
      </c>
      <c r="C19580" t="s">
        <v>41</v>
      </c>
      <c r="D19580" t="s">
        <v>17</v>
      </c>
      <c r="E19580" t="s">
        <v>12</v>
      </c>
      <c r="F19580">
        <v>13670867</v>
      </c>
      <c r="G19580">
        <v>13670919</v>
      </c>
      <c r="H19580">
        <v>13670867</v>
      </c>
      <c r="I19580">
        <v>13670919</v>
      </c>
    </row>
    <row r="19581" spans="1:9" x14ac:dyDescent="0.2">
      <c r="A19581" t="str">
        <f>"Snupn"</f>
        <v>Snupn</v>
      </c>
      <c r="B19581" t="s">
        <v>14</v>
      </c>
      <c r="C19581" t="s">
        <v>24</v>
      </c>
      <c r="D19581" t="s">
        <v>17</v>
      </c>
      <c r="E19581" t="s">
        <v>12</v>
      </c>
      <c r="F19581">
        <v>56950899</v>
      </c>
      <c r="G19581">
        <v>56950932</v>
      </c>
      <c r="H19581">
        <v>56950899</v>
      </c>
      <c r="I19581">
        <v>56950932</v>
      </c>
    </row>
    <row r="19582" spans="1:9" x14ac:dyDescent="0.2">
      <c r="A19582" t="str">
        <f>"Snurf"</f>
        <v>Snurf</v>
      </c>
      <c r="B19582" t="s">
        <v>14</v>
      </c>
      <c r="C19582" t="s">
        <v>33</v>
      </c>
      <c r="D19582" t="s">
        <v>11</v>
      </c>
      <c r="E19582" t="s">
        <v>12</v>
      </c>
      <c r="F19582">
        <v>60005101</v>
      </c>
      <c r="G19582">
        <v>60005151</v>
      </c>
      <c r="H19582">
        <v>60005152</v>
      </c>
      <c r="I19582">
        <v>60005159</v>
      </c>
    </row>
    <row r="19583" spans="1:9" x14ac:dyDescent="0.2">
      <c r="A19583" t="str">
        <f>"Snw1"</f>
        <v>Snw1</v>
      </c>
      <c r="B19583" t="s">
        <v>14</v>
      </c>
      <c r="C19583" t="s">
        <v>16</v>
      </c>
      <c r="D19583" t="s">
        <v>11</v>
      </c>
      <c r="E19583" t="s">
        <v>12</v>
      </c>
      <c r="F19583">
        <v>87472267</v>
      </c>
      <c r="G19583">
        <v>87472332</v>
      </c>
      <c r="H19583">
        <v>87472267</v>
      </c>
      <c r="I19583">
        <v>87472332</v>
      </c>
    </row>
    <row r="19584" spans="1:9" x14ac:dyDescent="0.2">
      <c r="A19584" t="str">
        <f>"Snx1"</f>
        <v>Snx1</v>
      </c>
      <c r="B19584" t="s">
        <v>14</v>
      </c>
      <c r="C19584" t="s">
        <v>24</v>
      </c>
      <c r="D19584" t="s">
        <v>11</v>
      </c>
      <c r="E19584" t="s">
        <v>12</v>
      </c>
      <c r="F19584">
        <v>66124761</v>
      </c>
      <c r="G19584">
        <v>66124805</v>
      </c>
      <c r="H19584">
        <v>66124824</v>
      </c>
      <c r="I19584">
        <v>66124846</v>
      </c>
    </row>
    <row r="19585" spans="1:9" x14ac:dyDescent="0.2">
      <c r="A19585" t="str">
        <f>"Snx10"</f>
        <v>Snx10</v>
      </c>
      <c r="B19585" t="s">
        <v>9</v>
      </c>
      <c r="C19585" t="s">
        <v>32</v>
      </c>
      <c r="D19585" t="s">
        <v>17</v>
      </c>
      <c r="E19585" t="s">
        <v>12</v>
      </c>
      <c r="F19585">
        <v>51523945</v>
      </c>
      <c r="G19585">
        <v>51523976</v>
      </c>
      <c r="H19585">
        <v>51523945</v>
      </c>
      <c r="I19585">
        <v>51523976</v>
      </c>
    </row>
    <row r="19586" spans="1:9" x14ac:dyDescent="0.2">
      <c r="A19586" t="str">
        <f>"Snx10"</f>
        <v>Snx10</v>
      </c>
      <c r="B19586" t="s">
        <v>13</v>
      </c>
      <c r="C19586" t="s">
        <v>32</v>
      </c>
      <c r="D19586" t="s">
        <v>17</v>
      </c>
      <c r="E19586" t="s">
        <v>12</v>
      </c>
      <c r="F19586">
        <v>51544513</v>
      </c>
      <c r="G19586">
        <v>51544578</v>
      </c>
      <c r="H19586">
        <v>51544513</v>
      </c>
      <c r="I19586">
        <v>51544578</v>
      </c>
    </row>
    <row r="19587" spans="1:9" x14ac:dyDescent="0.2">
      <c r="A19587" t="str">
        <f>"Snx11"</f>
        <v>Snx11</v>
      </c>
      <c r="B19587" t="s">
        <v>14</v>
      </c>
      <c r="C19587" t="s">
        <v>27</v>
      </c>
      <c r="D19587" t="s">
        <v>11</v>
      </c>
      <c r="E19587" t="s">
        <v>12</v>
      </c>
      <c r="F19587">
        <v>96777497</v>
      </c>
      <c r="G19587">
        <v>96777546</v>
      </c>
      <c r="H19587">
        <v>96777474</v>
      </c>
      <c r="I19587">
        <v>96777482</v>
      </c>
    </row>
    <row r="19588" spans="1:9" x14ac:dyDescent="0.2">
      <c r="A19588" t="str">
        <f>"Snx12"</f>
        <v>Snx12</v>
      </c>
      <c r="B19588" t="s">
        <v>14</v>
      </c>
      <c r="C19588" t="s">
        <v>37</v>
      </c>
      <c r="D19588" t="s">
        <v>11</v>
      </c>
      <c r="E19588" t="s">
        <v>12</v>
      </c>
      <c r="F19588">
        <v>101222426</v>
      </c>
      <c r="G19588">
        <v>101222561</v>
      </c>
      <c r="H19588">
        <v>101222426</v>
      </c>
      <c r="I19588">
        <v>101222561</v>
      </c>
    </row>
    <row r="19589" spans="1:9" x14ac:dyDescent="0.2">
      <c r="A19589" t="str">
        <f>"Snx13"</f>
        <v>Snx13</v>
      </c>
      <c r="B19589" t="s">
        <v>14</v>
      </c>
      <c r="C19589" t="s">
        <v>16</v>
      </c>
      <c r="D19589" t="s">
        <v>17</v>
      </c>
      <c r="E19589" t="s">
        <v>12</v>
      </c>
      <c r="F19589">
        <v>35047180</v>
      </c>
      <c r="G19589">
        <v>35047230</v>
      </c>
      <c r="H19589">
        <v>35047252</v>
      </c>
      <c r="I19589">
        <v>35047263</v>
      </c>
    </row>
    <row r="19590" spans="1:9" x14ac:dyDescent="0.2">
      <c r="A19590" t="str">
        <f>"Snx14"</f>
        <v>Snx14</v>
      </c>
      <c r="B19590" t="s">
        <v>14</v>
      </c>
      <c r="C19590" t="s">
        <v>24</v>
      </c>
      <c r="D19590" t="s">
        <v>11</v>
      </c>
      <c r="E19590" t="s">
        <v>12</v>
      </c>
      <c r="F19590">
        <v>88438909</v>
      </c>
      <c r="G19590">
        <v>88438936</v>
      </c>
      <c r="H19590">
        <v>88438940</v>
      </c>
      <c r="I19590">
        <v>88438947</v>
      </c>
    </row>
    <row r="19591" spans="1:9" x14ac:dyDescent="0.2">
      <c r="A19591" t="str">
        <f>"Snx15"</f>
        <v>Snx15</v>
      </c>
      <c r="B19591" t="s">
        <v>14</v>
      </c>
      <c r="C19591" t="s">
        <v>10</v>
      </c>
      <c r="D19591" t="s">
        <v>11</v>
      </c>
      <c r="E19591" t="s">
        <v>12</v>
      </c>
      <c r="F19591">
        <v>6128208</v>
      </c>
      <c r="G19591">
        <v>6128289</v>
      </c>
      <c r="H19591">
        <v>6128144</v>
      </c>
      <c r="I19591">
        <v>6128191</v>
      </c>
    </row>
    <row r="19592" spans="1:9" x14ac:dyDescent="0.2">
      <c r="A19592" t="str">
        <f>"Snx16"</f>
        <v>Snx16</v>
      </c>
      <c r="B19592" t="s">
        <v>14</v>
      </c>
      <c r="C19592" t="s">
        <v>22</v>
      </c>
      <c r="D19592" t="s">
        <v>11</v>
      </c>
      <c r="E19592" t="s">
        <v>12</v>
      </c>
      <c r="F19592">
        <v>10440054</v>
      </c>
      <c r="G19592">
        <v>10440127</v>
      </c>
      <c r="H19592">
        <v>10439960</v>
      </c>
      <c r="I19592">
        <v>10439977</v>
      </c>
    </row>
    <row r="19593" spans="1:9" x14ac:dyDescent="0.2">
      <c r="A19593" t="str">
        <f>"Snx17"</f>
        <v>Snx17</v>
      </c>
      <c r="B19593" t="s">
        <v>14</v>
      </c>
      <c r="C19593" t="s">
        <v>46</v>
      </c>
      <c r="D19593" t="s">
        <v>17</v>
      </c>
      <c r="E19593" t="s">
        <v>12</v>
      </c>
      <c r="F19593">
        <v>31193263</v>
      </c>
      <c r="G19593">
        <v>31193318</v>
      </c>
      <c r="H19593">
        <v>31193263</v>
      </c>
      <c r="I19593">
        <v>31193318</v>
      </c>
    </row>
    <row r="19594" spans="1:9" x14ac:dyDescent="0.2">
      <c r="A19594" t="str">
        <f>"Snx18"</f>
        <v>Snx18</v>
      </c>
      <c r="B19594" t="s">
        <v>14</v>
      </c>
      <c r="C19594" t="s">
        <v>39</v>
      </c>
      <c r="D19594" t="s">
        <v>11</v>
      </c>
      <c r="E19594" t="s">
        <v>12</v>
      </c>
      <c r="F19594">
        <v>113618549</v>
      </c>
      <c r="G19594">
        <v>113618565</v>
      </c>
      <c r="H19594">
        <v>113618373</v>
      </c>
      <c r="I19594">
        <v>113618401</v>
      </c>
    </row>
    <row r="19595" spans="1:9" x14ac:dyDescent="0.2">
      <c r="A19595" t="str">
        <f>"Snx19"</f>
        <v>Snx19</v>
      </c>
      <c r="B19595" t="s">
        <v>14</v>
      </c>
      <c r="C19595" t="s">
        <v>24</v>
      </c>
      <c r="D19595" t="s">
        <v>17</v>
      </c>
      <c r="E19595" t="s">
        <v>12</v>
      </c>
      <c r="F19595">
        <v>30427033</v>
      </c>
      <c r="G19595">
        <v>30427108</v>
      </c>
      <c r="H19595">
        <v>30427016</v>
      </c>
      <c r="I19595">
        <v>30427019</v>
      </c>
    </row>
    <row r="19596" spans="1:9" x14ac:dyDescent="0.2">
      <c r="A19596" t="str">
        <f>"Snx2"</f>
        <v>Snx2</v>
      </c>
      <c r="B19596" t="s">
        <v>14</v>
      </c>
      <c r="C19596" t="s">
        <v>43</v>
      </c>
      <c r="D19596" t="s">
        <v>17</v>
      </c>
      <c r="E19596" t="s">
        <v>12</v>
      </c>
      <c r="F19596">
        <v>53176345</v>
      </c>
      <c r="G19596">
        <v>53176376</v>
      </c>
      <c r="H19596">
        <v>53176299</v>
      </c>
      <c r="I19596">
        <v>53176310</v>
      </c>
    </row>
    <row r="19597" spans="1:9" x14ac:dyDescent="0.2">
      <c r="A19597" t="str">
        <f>"Snx20"</f>
        <v>Snx20</v>
      </c>
      <c r="B19597" t="s">
        <v>14</v>
      </c>
      <c r="C19597" t="s">
        <v>30</v>
      </c>
      <c r="D19597" t="s">
        <v>11</v>
      </c>
      <c r="E19597" t="s">
        <v>12</v>
      </c>
      <c r="F19597">
        <v>88636059</v>
      </c>
      <c r="G19597">
        <v>88636116</v>
      </c>
      <c r="H19597">
        <v>88636117</v>
      </c>
      <c r="I19597">
        <v>88636132</v>
      </c>
    </row>
    <row r="19598" spans="1:9" x14ac:dyDescent="0.2">
      <c r="A19598" t="str">
        <f>"Snx21"</f>
        <v>Snx21</v>
      </c>
      <c r="B19598" t="s">
        <v>14</v>
      </c>
      <c r="C19598" t="s">
        <v>26</v>
      </c>
      <c r="D19598" t="s">
        <v>17</v>
      </c>
      <c r="E19598" t="s">
        <v>12</v>
      </c>
      <c r="F19598">
        <v>164785994</v>
      </c>
      <c r="G19598">
        <v>164786071</v>
      </c>
      <c r="H19598">
        <v>164785957</v>
      </c>
      <c r="I19598">
        <v>164785989</v>
      </c>
    </row>
    <row r="19599" spans="1:9" x14ac:dyDescent="0.2">
      <c r="A19599" t="str">
        <f>"Snx22"</f>
        <v>Snx22</v>
      </c>
      <c r="B19599" t="s">
        <v>14</v>
      </c>
      <c r="C19599" t="s">
        <v>24</v>
      </c>
      <c r="D19599" t="s">
        <v>11</v>
      </c>
      <c r="E19599" t="s">
        <v>12</v>
      </c>
      <c r="F19599">
        <v>66069702</v>
      </c>
      <c r="G19599">
        <v>66069741</v>
      </c>
      <c r="H19599">
        <v>66069743</v>
      </c>
      <c r="I19599">
        <v>66069772</v>
      </c>
    </row>
    <row r="19600" spans="1:9" x14ac:dyDescent="0.2">
      <c r="A19600" t="str">
        <f>"Snx24"</f>
        <v>Snx24</v>
      </c>
      <c r="B19600" t="s">
        <v>14</v>
      </c>
      <c r="C19600" t="s">
        <v>43</v>
      </c>
      <c r="D19600" t="s">
        <v>17</v>
      </c>
      <c r="E19600" t="s">
        <v>12</v>
      </c>
      <c r="F19600">
        <v>53245736</v>
      </c>
      <c r="G19600">
        <v>53245786</v>
      </c>
      <c r="H19600">
        <v>53245578</v>
      </c>
      <c r="I19600">
        <v>53245607</v>
      </c>
    </row>
    <row r="19601" spans="1:9" x14ac:dyDescent="0.2">
      <c r="A19601" t="str">
        <f>"Snx25"</f>
        <v>Snx25</v>
      </c>
      <c r="B19601" t="s">
        <v>14</v>
      </c>
      <c r="C19601" t="s">
        <v>30</v>
      </c>
      <c r="D19601" t="s">
        <v>11</v>
      </c>
      <c r="E19601" t="s">
        <v>12</v>
      </c>
      <c r="F19601">
        <v>46152412</v>
      </c>
      <c r="G19601">
        <v>46152477</v>
      </c>
      <c r="H19601">
        <v>46152158</v>
      </c>
      <c r="I19601">
        <v>46152203</v>
      </c>
    </row>
    <row r="19602" spans="1:9" x14ac:dyDescent="0.2">
      <c r="A19602" t="str">
        <f>"Snx27"</f>
        <v>Snx27</v>
      </c>
      <c r="B19602" t="s">
        <v>14</v>
      </c>
      <c r="C19602" t="s">
        <v>22</v>
      </c>
      <c r="D19602" t="s">
        <v>11</v>
      </c>
      <c r="E19602" t="s">
        <v>12</v>
      </c>
      <c r="F19602">
        <v>94582548</v>
      </c>
      <c r="G19602">
        <v>94582573</v>
      </c>
      <c r="H19602">
        <v>94582687</v>
      </c>
      <c r="I19602">
        <v>94582708</v>
      </c>
    </row>
    <row r="19603" spans="1:9" x14ac:dyDescent="0.2">
      <c r="A19603" t="str">
        <f>"Snx29"</f>
        <v>Snx29</v>
      </c>
      <c r="B19603" t="s">
        <v>14</v>
      </c>
      <c r="C19603" t="s">
        <v>31</v>
      </c>
      <c r="D19603" t="s">
        <v>17</v>
      </c>
      <c r="E19603" t="s">
        <v>12</v>
      </c>
      <c r="F19603">
        <v>11322876</v>
      </c>
      <c r="G19603">
        <v>11322911</v>
      </c>
      <c r="H19603">
        <v>11322915</v>
      </c>
      <c r="I19603">
        <v>11322930</v>
      </c>
    </row>
    <row r="19604" spans="1:9" x14ac:dyDescent="0.2">
      <c r="A19604" t="str">
        <f>"Snx3"</f>
        <v>Snx3</v>
      </c>
      <c r="B19604" t="s">
        <v>14</v>
      </c>
      <c r="C19604" t="s">
        <v>15</v>
      </c>
      <c r="D19604" t="s">
        <v>17</v>
      </c>
      <c r="E19604" t="s">
        <v>12</v>
      </c>
      <c r="F19604">
        <v>42502197</v>
      </c>
      <c r="G19604">
        <v>42502282</v>
      </c>
      <c r="H19604">
        <v>42502060</v>
      </c>
      <c r="I19604">
        <v>42502083</v>
      </c>
    </row>
    <row r="19605" spans="1:9" x14ac:dyDescent="0.2">
      <c r="A19605" t="str">
        <f>"Snx30"</f>
        <v>Snx30</v>
      </c>
      <c r="B19605" t="s">
        <v>14</v>
      </c>
      <c r="C19605" t="s">
        <v>23</v>
      </c>
      <c r="D19605" t="s">
        <v>17</v>
      </c>
      <c r="E19605" t="s">
        <v>12</v>
      </c>
      <c r="F19605">
        <v>59805829</v>
      </c>
      <c r="G19605">
        <v>59805914</v>
      </c>
      <c r="H19605">
        <v>59805813</v>
      </c>
      <c r="I19605">
        <v>59805820</v>
      </c>
    </row>
    <row r="19606" spans="1:9" x14ac:dyDescent="0.2">
      <c r="A19606" t="str">
        <f>"Snx31"</f>
        <v>Snx31</v>
      </c>
      <c r="B19606" t="s">
        <v>14</v>
      </c>
      <c r="C19606" t="s">
        <v>25</v>
      </c>
      <c r="D19606" t="s">
        <v>11</v>
      </c>
      <c r="E19606" t="s">
        <v>12</v>
      </c>
      <c r="F19606">
        <v>36555556</v>
      </c>
      <c r="G19606">
        <v>36555579</v>
      </c>
      <c r="H19606">
        <v>36555536</v>
      </c>
      <c r="I19606">
        <v>36555539</v>
      </c>
    </row>
    <row r="19607" spans="1:9" x14ac:dyDescent="0.2">
      <c r="A19607" t="str">
        <f>"Snx32"</f>
        <v>Snx32</v>
      </c>
      <c r="B19607" t="s">
        <v>14</v>
      </c>
      <c r="C19607" t="s">
        <v>10</v>
      </c>
      <c r="D19607" t="s">
        <v>11</v>
      </c>
      <c r="E19607" t="s">
        <v>12</v>
      </c>
      <c r="F19607">
        <v>5510467</v>
      </c>
      <c r="G19607">
        <v>5510518</v>
      </c>
      <c r="H19607">
        <v>5510446</v>
      </c>
      <c r="I19607">
        <v>5510465</v>
      </c>
    </row>
    <row r="19608" spans="1:9" x14ac:dyDescent="0.2">
      <c r="A19608" t="str">
        <f>"Snx33"</f>
        <v>Snx33</v>
      </c>
      <c r="B19608" t="s">
        <v>14</v>
      </c>
      <c r="C19608" t="s">
        <v>24</v>
      </c>
      <c r="D19608" t="s">
        <v>11</v>
      </c>
      <c r="E19608" t="s">
        <v>12</v>
      </c>
      <c r="F19608">
        <v>56928056</v>
      </c>
      <c r="G19608">
        <v>56928122</v>
      </c>
      <c r="H19608">
        <v>56928350</v>
      </c>
      <c r="I19608">
        <v>56928392</v>
      </c>
    </row>
    <row r="19609" spans="1:9" x14ac:dyDescent="0.2">
      <c r="A19609" t="str">
        <f>"Snx4"</f>
        <v>Snx4</v>
      </c>
      <c r="B19609" t="s">
        <v>14</v>
      </c>
      <c r="C19609" t="s">
        <v>31</v>
      </c>
      <c r="D19609" t="s">
        <v>17</v>
      </c>
      <c r="E19609" t="s">
        <v>12</v>
      </c>
      <c r="F19609">
        <v>33251415</v>
      </c>
      <c r="G19609">
        <v>33251456</v>
      </c>
      <c r="H19609">
        <v>33251415</v>
      </c>
      <c r="I19609">
        <v>33251456</v>
      </c>
    </row>
    <row r="19610" spans="1:9" x14ac:dyDescent="0.2">
      <c r="A19610" t="str">
        <f>"Snx5"</f>
        <v>Snx5</v>
      </c>
      <c r="B19610" t="s">
        <v>14</v>
      </c>
      <c r="C19610" t="s">
        <v>26</v>
      </c>
      <c r="D19610" t="s">
        <v>11</v>
      </c>
      <c r="E19610" t="s">
        <v>12</v>
      </c>
      <c r="F19610">
        <v>144270780</v>
      </c>
      <c r="G19610">
        <v>144270800</v>
      </c>
      <c r="H19610">
        <v>144270440</v>
      </c>
      <c r="I19610">
        <v>144270486</v>
      </c>
    </row>
    <row r="19611" spans="1:9" x14ac:dyDescent="0.2">
      <c r="A19611" t="str">
        <f>"Snx6"</f>
        <v>Snx6</v>
      </c>
      <c r="B19611" t="s">
        <v>14</v>
      </c>
      <c r="C19611" t="s">
        <v>16</v>
      </c>
      <c r="D19611" t="s">
        <v>11</v>
      </c>
      <c r="E19611" t="s">
        <v>12</v>
      </c>
      <c r="F19611">
        <v>54795660</v>
      </c>
      <c r="G19611">
        <v>54795696</v>
      </c>
      <c r="H19611">
        <v>54795698</v>
      </c>
      <c r="I19611">
        <v>54795714</v>
      </c>
    </row>
    <row r="19612" spans="1:9" x14ac:dyDescent="0.2">
      <c r="A19612" t="str">
        <f>"Snx7"</f>
        <v>Snx7</v>
      </c>
      <c r="B19612" t="s">
        <v>14</v>
      </c>
      <c r="C19612" t="s">
        <v>22</v>
      </c>
      <c r="D19612" t="s">
        <v>11</v>
      </c>
      <c r="E19612" t="s">
        <v>12</v>
      </c>
      <c r="F19612">
        <v>117868905</v>
      </c>
      <c r="G19612">
        <v>117868921</v>
      </c>
      <c r="H19612">
        <v>117868930</v>
      </c>
      <c r="I19612">
        <v>117868944</v>
      </c>
    </row>
    <row r="19613" spans="1:9" x14ac:dyDescent="0.2">
      <c r="A19613" t="str">
        <f>"Snx8"</f>
        <v>Snx8</v>
      </c>
      <c r="B19613" t="s">
        <v>9</v>
      </c>
      <c r="C19613" t="s">
        <v>46</v>
      </c>
      <c r="D19613" t="s">
        <v>11</v>
      </c>
      <c r="E19613" t="s">
        <v>12</v>
      </c>
      <c r="F19613">
        <v>140389188</v>
      </c>
      <c r="G19613">
        <v>140389254</v>
      </c>
      <c r="H19613">
        <v>140389188</v>
      </c>
      <c r="I19613">
        <v>140389254</v>
      </c>
    </row>
    <row r="19614" spans="1:9" x14ac:dyDescent="0.2">
      <c r="A19614" t="str">
        <f>"Snx8"</f>
        <v>Snx8</v>
      </c>
      <c r="B19614" t="s">
        <v>13</v>
      </c>
      <c r="C19614" t="s">
        <v>46</v>
      </c>
      <c r="D19614" t="s">
        <v>11</v>
      </c>
      <c r="E19614" t="s">
        <v>12</v>
      </c>
      <c r="F19614">
        <v>140360378</v>
      </c>
      <c r="G19614">
        <v>140360428</v>
      </c>
      <c r="H19614">
        <v>140360378</v>
      </c>
      <c r="I19614">
        <v>140360428</v>
      </c>
    </row>
    <row r="19615" spans="1:9" x14ac:dyDescent="0.2">
      <c r="A19615" t="str">
        <f>"Snx9"</f>
        <v>Snx9</v>
      </c>
      <c r="B19615" t="s">
        <v>14</v>
      </c>
      <c r="C19615" t="s">
        <v>28</v>
      </c>
      <c r="D19615" t="s">
        <v>17</v>
      </c>
      <c r="E19615" t="s">
        <v>12</v>
      </c>
      <c r="F19615">
        <v>5841307</v>
      </c>
      <c r="G19615">
        <v>5841377</v>
      </c>
      <c r="H19615">
        <v>5841424</v>
      </c>
      <c r="I19615">
        <v>5841463</v>
      </c>
    </row>
    <row r="19616" spans="1:9" x14ac:dyDescent="0.2">
      <c r="A19616" t="str">
        <f>"Soat1"</f>
        <v>Soat1</v>
      </c>
      <c r="B19616" t="s">
        <v>14</v>
      </c>
      <c r="C19616" t="s">
        <v>19</v>
      </c>
      <c r="D19616" t="s">
        <v>11</v>
      </c>
      <c r="E19616" t="s">
        <v>12</v>
      </c>
      <c r="F19616">
        <v>156474249</v>
      </c>
      <c r="G19616">
        <v>156474281</v>
      </c>
      <c r="H19616">
        <v>156474231</v>
      </c>
      <c r="I19616">
        <v>156474248</v>
      </c>
    </row>
    <row r="19617" spans="1:9" x14ac:dyDescent="0.2">
      <c r="A19617" t="str">
        <f>"Soat2"</f>
        <v>Soat2</v>
      </c>
      <c r="B19617" t="s">
        <v>14</v>
      </c>
      <c r="C19617" t="s">
        <v>25</v>
      </c>
      <c r="D19617" t="s">
        <v>17</v>
      </c>
      <c r="E19617" t="s">
        <v>12</v>
      </c>
      <c r="F19617">
        <v>102150502</v>
      </c>
      <c r="G19617">
        <v>102150577</v>
      </c>
      <c r="H19617">
        <v>102150502</v>
      </c>
      <c r="I19617">
        <v>102150577</v>
      </c>
    </row>
    <row r="19618" spans="1:9" x14ac:dyDescent="0.2">
      <c r="A19618" t="str">
        <f>"Sobp"</f>
        <v>Sobp</v>
      </c>
      <c r="B19618" t="s">
        <v>14</v>
      </c>
      <c r="C19618" t="s">
        <v>15</v>
      </c>
      <c r="D19618" t="s">
        <v>11</v>
      </c>
      <c r="E19618" t="s">
        <v>12</v>
      </c>
      <c r="F19618">
        <v>43174521</v>
      </c>
      <c r="G19618">
        <v>43174569</v>
      </c>
      <c r="H19618">
        <v>43174589</v>
      </c>
      <c r="I19618">
        <v>43174615</v>
      </c>
    </row>
    <row r="19619" spans="1:9" x14ac:dyDescent="0.2">
      <c r="A19619" t="str">
        <f>"Socs1"</f>
        <v>Socs1</v>
      </c>
      <c r="B19619" t="s">
        <v>14</v>
      </c>
      <c r="C19619" t="s">
        <v>31</v>
      </c>
      <c r="D19619" t="s">
        <v>11</v>
      </c>
      <c r="E19619" t="s">
        <v>12</v>
      </c>
      <c r="F19619">
        <v>10785525</v>
      </c>
      <c r="G19619">
        <v>10785543</v>
      </c>
      <c r="H19619">
        <v>10785878</v>
      </c>
      <c r="I19619">
        <v>10785879</v>
      </c>
    </row>
    <row r="19620" spans="1:9" x14ac:dyDescent="0.2">
      <c r="A19620" t="str">
        <f>"Socs2"</f>
        <v>Socs2</v>
      </c>
      <c r="B19620" t="s">
        <v>14</v>
      </c>
      <c r="C19620" t="s">
        <v>15</v>
      </c>
      <c r="D19620" t="s">
        <v>11</v>
      </c>
      <c r="E19620" t="s">
        <v>12</v>
      </c>
      <c r="F19620">
        <v>95416780</v>
      </c>
      <c r="G19620">
        <v>95416834</v>
      </c>
      <c r="H19620">
        <v>95416716</v>
      </c>
      <c r="I19620">
        <v>95416732</v>
      </c>
    </row>
    <row r="19621" spans="1:9" x14ac:dyDescent="0.2">
      <c r="A19621" t="str">
        <f>"Socs3"</f>
        <v>Socs3</v>
      </c>
      <c r="B19621" t="s">
        <v>14</v>
      </c>
      <c r="C19621" t="s">
        <v>27</v>
      </c>
      <c r="D19621" t="s">
        <v>11</v>
      </c>
      <c r="E19621" t="s">
        <v>12</v>
      </c>
      <c r="F19621">
        <v>117969176</v>
      </c>
      <c r="G19621">
        <v>117969192</v>
      </c>
      <c r="H19621">
        <v>117969905</v>
      </c>
      <c r="I19621">
        <v>117969938</v>
      </c>
    </row>
    <row r="19622" spans="1:9" x14ac:dyDescent="0.2">
      <c r="A19622" t="str">
        <f>"Socs4"</f>
        <v>Socs4</v>
      </c>
      <c r="B19622" t="s">
        <v>14</v>
      </c>
      <c r="C19622" t="s">
        <v>41</v>
      </c>
      <c r="D19622" t="s">
        <v>17</v>
      </c>
      <c r="E19622" t="s">
        <v>12</v>
      </c>
      <c r="F19622">
        <v>47276910</v>
      </c>
      <c r="G19622">
        <v>47276936</v>
      </c>
      <c r="H19622">
        <v>47276990</v>
      </c>
      <c r="I19622">
        <v>47277009</v>
      </c>
    </row>
    <row r="19623" spans="1:9" x14ac:dyDescent="0.2">
      <c r="A19623" t="str">
        <f>"Socs5"</f>
        <v>Socs5</v>
      </c>
      <c r="B19623" t="s">
        <v>14</v>
      </c>
      <c r="C19623" t="s">
        <v>28</v>
      </c>
      <c r="D19623" t="s">
        <v>17</v>
      </c>
      <c r="E19623" t="s">
        <v>12</v>
      </c>
      <c r="F19623">
        <v>87107621</v>
      </c>
      <c r="G19623">
        <v>87107684</v>
      </c>
      <c r="H19623">
        <v>87107621</v>
      </c>
      <c r="I19623">
        <v>87107684</v>
      </c>
    </row>
    <row r="19624" spans="1:9" x14ac:dyDescent="0.2">
      <c r="A19624" t="str">
        <f>"Socs6"</f>
        <v>Socs6</v>
      </c>
      <c r="B19624" t="s">
        <v>14</v>
      </c>
      <c r="C19624" t="s">
        <v>43</v>
      </c>
      <c r="D19624" t="s">
        <v>11</v>
      </c>
      <c r="E19624" t="s">
        <v>12</v>
      </c>
      <c r="F19624">
        <v>88894323</v>
      </c>
      <c r="G19624">
        <v>88894371</v>
      </c>
      <c r="H19624">
        <v>88894292</v>
      </c>
      <c r="I19624">
        <v>88894319</v>
      </c>
    </row>
    <row r="19625" spans="1:9" x14ac:dyDescent="0.2">
      <c r="A19625" t="str">
        <f>"Socs7"</f>
        <v>Socs7</v>
      </c>
      <c r="B19625" t="s">
        <v>14</v>
      </c>
      <c r="C19625" t="s">
        <v>27</v>
      </c>
      <c r="D19625" t="s">
        <v>17</v>
      </c>
      <c r="E19625" t="s">
        <v>12</v>
      </c>
      <c r="F19625">
        <v>97362275</v>
      </c>
      <c r="G19625">
        <v>97362313</v>
      </c>
      <c r="H19625">
        <v>97362275</v>
      </c>
      <c r="I19625">
        <v>97362313</v>
      </c>
    </row>
    <row r="19626" spans="1:9" x14ac:dyDescent="0.2">
      <c r="A19626" t="str">
        <f>"Sod1"</f>
        <v>Sod1</v>
      </c>
      <c r="B19626" t="s">
        <v>14</v>
      </c>
      <c r="C19626" t="s">
        <v>31</v>
      </c>
      <c r="D19626" t="s">
        <v>17</v>
      </c>
      <c r="E19626" t="s">
        <v>12</v>
      </c>
      <c r="F19626">
        <v>90220747</v>
      </c>
      <c r="G19626">
        <v>90220771</v>
      </c>
      <c r="H19626">
        <v>90220708</v>
      </c>
      <c r="I19626">
        <v>90220725</v>
      </c>
    </row>
    <row r="19627" spans="1:9" x14ac:dyDescent="0.2">
      <c r="A19627" t="str">
        <f>"Sod2"</f>
        <v>Sod2</v>
      </c>
      <c r="B19627" t="s">
        <v>14</v>
      </c>
      <c r="C19627" t="s">
        <v>28</v>
      </c>
      <c r="D19627" t="s">
        <v>17</v>
      </c>
      <c r="E19627" t="s">
        <v>12</v>
      </c>
      <c r="F19627">
        <v>13007955</v>
      </c>
      <c r="G19627">
        <v>13007988</v>
      </c>
      <c r="H19627">
        <v>13007924</v>
      </c>
      <c r="I19627">
        <v>13007954</v>
      </c>
    </row>
    <row r="19628" spans="1:9" x14ac:dyDescent="0.2">
      <c r="A19628" t="str">
        <f>"Sod3"</f>
        <v>Sod3</v>
      </c>
      <c r="B19628" t="s">
        <v>14</v>
      </c>
      <c r="C19628" t="s">
        <v>46</v>
      </c>
      <c r="D19628" t="s">
        <v>17</v>
      </c>
      <c r="E19628" t="s">
        <v>12</v>
      </c>
      <c r="F19628">
        <v>52363956</v>
      </c>
      <c r="G19628">
        <v>52363980</v>
      </c>
      <c r="H19628">
        <v>52363925</v>
      </c>
      <c r="I19628">
        <v>52363955</v>
      </c>
    </row>
    <row r="19629" spans="1:9" x14ac:dyDescent="0.2">
      <c r="A19629" t="str">
        <f>"Soga1"</f>
        <v>Soga1</v>
      </c>
      <c r="B19629" t="s">
        <v>14</v>
      </c>
      <c r="C19629" t="s">
        <v>26</v>
      </c>
      <c r="D19629" t="s">
        <v>11</v>
      </c>
      <c r="E19629" t="s">
        <v>67</v>
      </c>
      <c r="F19629">
        <v>157079081</v>
      </c>
      <c r="G19629">
        <v>157079121</v>
      </c>
      <c r="H19629">
        <v>157079212</v>
      </c>
      <c r="I19629">
        <v>157079276</v>
      </c>
    </row>
    <row r="19630" spans="1:9" x14ac:dyDescent="0.2">
      <c r="A19630" t="str">
        <f>"Soga2"</f>
        <v>Soga2</v>
      </c>
      <c r="B19630" t="s">
        <v>14</v>
      </c>
      <c r="C19630" t="s">
        <v>28</v>
      </c>
      <c r="D19630" t="s">
        <v>11</v>
      </c>
      <c r="E19630" t="s">
        <v>67</v>
      </c>
      <c r="F19630">
        <v>66449715</v>
      </c>
      <c r="G19630">
        <v>66449759</v>
      </c>
      <c r="H19630">
        <v>66449624</v>
      </c>
      <c r="I19630">
        <v>66449650</v>
      </c>
    </row>
    <row r="19631" spans="1:9" x14ac:dyDescent="0.2">
      <c r="A19631" t="str">
        <f>"Soga3"</f>
        <v>Soga3</v>
      </c>
      <c r="B19631" t="s">
        <v>14</v>
      </c>
      <c r="C19631" t="s">
        <v>15</v>
      </c>
      <c r="D19631" t="s">
        <v>17</v>
      </c>
      <c r="E19631" t="s">
        <v>67</v>
      </c>
      <c r="F19631">
        <v>29143649</v>
      </c>
      <c r="G19631">
        <v>29143720</v>
      </c>
      <c r="H19631">
        <v>29144129</v>
      </c>
      <c r="I19631">
        <v>29144164</v>
      </c>
    </row>
    <row r="19632" spans="1:9" x14ac:dyDescent="0.2">
      <c r="A19632" t="str">
        <f>"Sohlh1"</f>
        <v>Sohlh1</v>
      </c>
      <c r="B19632" t="s">
        <v>14</v>
      </c>
      <c r="C19632" t="s">
        <v>26</v>
      </c>
      <c r="D19632" t="s">
        <v>11</v>
      </c>
      <c r="E19632" t="s">
        <v>12</v>
      </c>
      <c r="F19632">
        <v>25847324</v>
      </c>
      <c r="G19632">
        <v>25847339</v>
      </c>
      <c r="H19632">
        <v>25847296</v>
      </c>
      <c r="I19632">
        <v>25847307</v>
      </c>
    </row>
    <row r="19633" spans="1:9" x14ac:dyDescent="0.2">
      <c r="A19633" t="str">
        <f>"Sohlh2"</f>
        <v>Sohlh2</v>
      </c>
      <c r="B19633" t="s">
        <v>14</v>
      </c>
      <c r="C19633" t="s">
        <v>22</v>
      </c>
      <c r="D19633" t="s">
        <v>17</v>
      </c>
      <c r="E19633" t="s">
        <v>12</v>
      </c>
      <c r="F19633">
        <v>55182024</v>
      </c>
      <c r="G19633">
        <v>55182059</v>
      </c>
      <c r="H19633">
        <v>55181960</v>
      </c>
      <c r="I19633">
        <v>55181965</v>
      </c>
    </row>
    <row r="19634" spans="1:9" x14ac:dyDescent="0.2">
      <c r="A19634" t="str">
        <f>"Son"</f>
        <v>Son</v>
      </c>
      <c r="B19634" t="s">
        <v>14</v>
      </c>
      <c r="C19634" t="s">
        <v>31</v>
      </c>
      <c r="D19634" t="s">
        <v>17</v>
      </c>
      <c r="E19634" t="s">
        <v>12</v>
      </c>
      <c r="F19634">
        <v>91647859</v>
      </c>
      <c r="G19634">
        <v>91647905</v>
      </c>
      <c r="H19634">
        <v>91647842</v>
      </c>
      <c r="I19634">
        <v>91647858</v>
      </c>
    </row>
    <row r="19635" spans="1:9" x14ac:dyDescent="0.2">
      <c r="A19635" t="str">
        <f>"Sorbs1"</f>
        <v>Sorbs1</v>
      </c>
      <c r="B19635" t="s">
        <v>5772</v>
      </c>
      <c r="C19635" t="s">
        <v>10</v>
      </c>
      <c r="D19635" t="s">
        <v>11</v>
      </c>
      <c r="E19635" t="s">
        <v>35</v>
      </c>
      <c r="F19635">
        <v>40402348</v>
      </c>
      <c r="G19635">
        <v>40402357</v>
      </c>
      <c r="H19635">
        <v>40402322</v>
      </c>
      <c r="I19635">
        <v>40402330</v>
      </c>
    </row>
    <row r="19636" spans="1:9" x14ac:dyDescent="0.2">
      <c r="A19636" t="str">
        <f>"Sorbs2"</f>
        <v>Sorbs2</v>
      </c>
      <c r="B19636" t="s">
        <v>5773</v>
      </c>
      <c r="C19636" t="s">
        <v>30</v>
      </c>
      <c r="D19636" t="s">
        <v>17</v>
      </c>
      <c r="E19636" t="s">
        <v>35</v>
      </c>
      <c r="F19636">
        <v>45507768</v>
      </c>
      <c r="G19636">
        <v>45507807</v>
      </c>
      <c r="H19636">
        <v>45507894</v>
      </c>
      <c r="I19636">
        <v>45507905</v>
      </c>
    </row>
    <row r="19637" spans="1:9" x14ac:dyDescent="0.2">
      <c r="A19637" t="str">
        <f>"Sorbs2"</f>
        <v>Sorbs2</v>
      </c>
      <c r="B19637" t="s">
        <v>5774</v>
      </c>
      <c r="C19637" t="s">
        <v>30</v>
      </c>
      <c r="D19637" t="s">
        <v>17</v>
      </c>
      <c r="E19637" t="s">
        <v>35</v>
      </c>
      <c r="F19637">
        <v>45627688</v>
      </c>
      <c r="G19637">
        <v>45627699</v>
      </c>
      <c r="H19637">
        <v>45627976</v>
      </c>
      <c r="I19637">
        <v>45628001</v>
      </c>
    </row>
    <row r="19638" spans="1:9" x14ac:dyDescent="0.2">
      <c r="A19638" t="str">
        <f>"Sorbs3"</f>
        <v>Sorbs3</v>
      </c>
      <c r="B19638" t="s">
        <v>9</v>
      </c>
      <c r="C19638" t="s">
        <v>41</v>
      </c>
      <c r="D19638" t="s">
        <v>11</v>
      </c>
      <c r="E19638" t="s">
        <v>12</v>
      </c>
      <c r="F19638">
        <v>70203408</v>
      </c>
      <c r="G19638">
        <v>70203453</v>
      </c>
      <c r="H19638">
        <v>70203408</v>
      </c>
      <c r="I19638">
        <v>70203453</v>
      </c>
    </row>
    <row r="19639" spans="1:9" x14ac:dyDescent="0.2">
      <c r="A19639" t="str">
        <f>"Sorbs3"</f>
        <v>Sorbs3</v>
      </c>
      <c r="B19639" t="s">
        <v>13</v>
      </c>
      <c r="C19639" t="s">
        <v>41</v>
      </c>
      <c r="D19639" t="s">
        <v>11</v>
      </c>
      <c r="E19639" t="s">
        <v>12</v>
      </c>
      <c r="F19639">
        <v>70206082</v>
      </c>
      <c r="G19639">
        <v>70206101</v>
      </c>
      <c r="H19639">
        <v>70206082</v>
      </c>
      <c r="I19639">
        <v>70206101</v>
      </c>
    </row>
    <row r="19640" spans="1:9" x14ac:dyDescent="0.2">
      <c r="A19640" t="str">
        <f>"Sorcs1"</f>
        <v>Sorcs1</v>
      </c>
      <c r="B19640" t="s">
        <v>14</v>
      </c>
      <c r="C19640" t="s">
        <v>10</v>
      </c>
      <c r="D19640" t="s">
        <v>11</v>
      </c>
      <c r="E19640" t="s">
        <v>12</v>
      </c>
      <c r="F19640">
        <v>50678642</v>
      </c>
      <c r="G19640">
        <v>50678702</v>
      </c>
      <c r="H19640">
        <v>50678712</v>
      </c>
      <c r="I19640">
        <v>50678733</v>
      </c>
    </row>
    <row r="19641" spans="1:9" x14ac:dyDescent="0.2">
      <c r="A19641" t="str">
        <f>"Sorcs2"</f>
        <v>Sorcs2</v>
      </c>
      <c r="B19641" t="s">
        <v>14</v>
      </c>
      <c r="C19641" t="s">
        <v>46</v>
      </c>
      <c r="D19641" t="s">
        <v>11</v>
      </c>
      <c r="E19641" t="s">
        <v>12</v>
      </c>
      <c r="F19641">
        <v>36398090</v>
      </c>
      <c r="G19641">
        <v>36398149</v>
      </c>
      <c r="H19641">
        <v>36398060</v>
      </c>
      <c r="I19641">
        <v>36398063</v>
      </c>
    </row>
    <row r="19642" spans="1:9" x14ac:dyDescent="0.2">
      <c r="A19642" t="str">
        <f>"Sorcs3"</f>
        <v>Sorcs3</v>
      </c>
      <c r="B19642" t="s">
        <v>14</v>
      </c>
      <c r="C19642" t="s">
        <v>10</v>
      </c>
      <c r="D19642" t="s">
        <v>17</v>
      </c>
      <c r="E19642" t="s">
        <v>12</v>
      </c>
      <c r="F19642">
        <v>48206133</v>
      </c>
      <c r="G19642">
        <v>48206163</v>
      </c>
      <c r="H19642">
        <v>48206133</v>
      </c>
      <c r="I19642">
        <v>48206163</v>
      </c>
    </row>
    <row r="19643" spans="1:9" x14ac:dyDescent="0.2">
      <c r="A19643" t="str">
        <f>"Sord"</f>
        <v>Sord</v>
      </c>
      <c r="B19643" t="s">
        <v>14</v>
      </c>
      <c r="C19643" t="s">
        <v>26</v>
      </c>
      <c r="D19643" t="s">
        <v>17</v>
      </c>
      <c r="E19643" t="s">
        <v>12</v>
      </c>
      <c r="F19643">
        <v>122234778</v>
      </c>
      <c r="G19643">
        <v>122234822</v>
      </c>
      <c r="H19643">
        <v>122234833</v>
      </c>
      <c r="I19643">
        <v>122234841</v>
      </c>
    </row>
    <row r="19644" spans="1:9" x14ac:dyDescent="0.2">
      <c r="A19644" t="str">
        <f>"Sorl1"</f>
        <v>Sorl1</v>
      </c>
      <c r="B19644" t="s">
        <v>14</v>
      </c>
      <c r="C19644" t="s">
        <v>24</v>
      </c>
      <c r="D19644" t="s">
        <v>11</v>
      </c>
      <c r="E19644" t="s">
        <v>12</v>
      </c>
      <c r="F19644">
        <v>42124111</v>
      </c>
      <c r="G19644">
        <v>42124142</v>
      </c>
      <c r="H19644">
        <v>42124276</v>
      </c>
      <c r="I19644">
        <v>42124333</v>
      </c>
    </row>
    <row r="19645" spans="1:9" x14ac:dyDescent="0.2">
      <c r="A19645" t="str">
        <f>"Sort1"</f>
        <v>Sort1</v>
      </c>
      <c r="B19645" t="s">
        <v>14</v>
      </c>
      <c r="C19645" t="s">
        <v>22</v>
      </c>
      <c r="D19645" t="s">
        <v>17</v>
      </c>
      <c r="E19645" t="s">
        <v>12</v>
      </c>
      <c r="F19645">
        <v>108284103</v>
      </c>
      <c r="G19645">
        <v>108284142</v>
      </c>
      <c r="H19645">
        <v>108284089</v>
      </c>
      <c r="I19645">
        <v>108284100</v>
      </c>
    </row>
    <row r="19646" spans="1:9" x14ac:dyDescent="0.2">
      <c r="A19646" t="str">
        <f>"Sos1"</f>
        <v>Sos1</v>
      </c>
      <c r="B19646" t="s">
        <v>14</v>
      </c>
      <c r="C19646" t="s">
        <v>28</v>
      </c>
      <c r="D19646" t="s">
        <v>11</v>
      </c>
      <c r="E19646" t="s">
        <v>12</v>
      </c>
      <c r="F19646">
        <v>80480435</v>
      </c>
      <c r="G19646">
        <v>80480462</v>
      </c>
      <c r="H19646">
        <v>80480414</v>
      </c>
      <c r="I19646">
        <v>80480434</v>
      </c>
    </row>
    <row r="19647" spans="1:9" x14ac:dyDescent="0.2">
      <c r="A19647" t="str">
        <f>"Sos2"</f>
        <v>Sos2</v>
      </c>
      <c r="B19647" t="s">
        <v>14</v>
      </c>
      <c r="C19647" t="s">
        <v>16</v>
      </c>
      <c r="D19647" t="s">
        <v>11</v>
      </c>
      <c r="E19647" t="s">
        <v>12</v>
      </c>
      <c r="F19647">
        <v>69682183</v>
      </c>
      <c r="G19647">
        <v>69682226</v>
      </c>
      <c r="H19647">
        <v>69681795</v>
      </c>
      <c r="I19647">
        <v>69681869</v>
      </c>
    </row>
    <row r="19648" spans="1:9" x14ac:dyDescent="0.2">
      <c r="A19648" t="str">
        <f>"Sost"</f>
        <v>Sost</v>
      </c>
      <c r="B19648" t="s">
        <v>14</v>
      </c>
      <c r="C19648" t="s">
        <v>27</v>
      </c>
      <c r="D19648" t="s">
        <v>11</v>
      </c>
      <c r="E19648" t="s">
        <v>12</v>
      </c>
      <c r="F19648">
        <v>101967005</v>
      </c>
      <c r="G19648">
        <v>101967021</v>
      </c>
      <c r="H19648">
        <v>101967005</v>
      </c>
      <c r="I19648">
        <v>101967021</v>
      </c>
    </row>
    <row r="19649" spans="1:9" x14ac:dyDescent="0.2">
      <c r="A19649" t="str">
        <f>"Sostdc1"</f>
        <v>Sostdc1</v>
      </c>
      <c r="B19649" t="s">
        <v>14</v>
      </c>
      <c r="C19649" t="s">
        <v>16</v>
      </c>
      <c r="D19649" t="s">
        <v>17</v>
      </c>
      <c r="E19649" t="s">
        <v>12</v>
      </c>
      <c r="F19649">
        <v>36314216</v>
      </c>
      <c r="G19649">
        <v>36314232</v>
      </c>
      <c r="H19649">
        <v>36314160</v>
      </c>
      <c r="I19649">
        <v>36314171</v>
      </c>
    </row>
    <row r="19650" spans="1:9" x14ac:dyDescent="0.2">
      <c r="A19650" t="str">
        <f>"Sowaha"</f>
        <v>Sowaha</v>
      </c>
      <c r="B19650" t="s">
        <v>14</v>
      </c>
      <c r="C19650" t="s">
        <v>27</v>
      </c>
      <c r="D19650" t="s">
        <v>11</v>
      </c>
      <c r="E19650" t="s">
        <v>67</v>
      </c>
      <c r="F19650">
        <v>53480178</v>
      </c>
      <c r="G19650">
        <v>53480216</v>
      </c>
      <c r="H19650">
        <v>53480159</v>
      </c>
      <c r="I19650">
        <v>53480176</v>
      </c>
    </row>
    <row r="19651" spans="1:9" x14ac:dyDescent="0.2">
      <c r="A19651" t="str">
        <f>"Sowahb"</f>
        <v>Sowahb</v>
      </c>
      <c r="B19651" t="s">
        <v>14</v>
      </c>
      <c r="C19651" t="s">
        <v>46</v>
      </c>
      <c r="D19651" t="s">
        <v>11</v>
      </c>
      <c r="E19651" t="s">
        <v>67</v>
      </c>
      <c r="F19651">
        <v>93045026</v>
      </c>
      <c r="G19651">
        <v>93045064</v>
      </c>
      <c r="H19651">
        <v>93044930</v>
      </c>
      <c r="I19651">
        <v>93044953</v>
      </c>
    </row>
    <row r="19652" spans="1:9" x14ac:dyDescent="0.2">
      <c r="A19652" t="str">
        <f>"Sowahd"</f>
        <v>Sowahd</v>
      </c>
      <c r="B19652" t="s">
        <v>14</v>
      </c>
      <c r="C19652" t="s">
        <v>37</v>
      </c>
      <c r="D19652" t="s">
        <v>17</v>
      </c>
      <c r="E19652" t="s">
        <v>67</v>
      </c>
      <c r="F19652">
        <v>37048807</v>
      </c>
      <c r="G19652">
        <v>37048814</v>
      </c>
      <c r="H19652">
        <v>37048843</v>
      </c>
      <c r="I19652">
        <v>37048846</v>
      </c>
    </row>
    <row r="19653" spans="1:9" x14ac:dyDescent="0.2">
      <c r="A19653" t="str">
        <f>"Sox1"</f>
        <v>Sox1</v>
      </c>
      <c r="B19653" t="s">
        <v>14</v>
      </c>
      <c r="C19653" t="s">
        <v>30</v>
      </c>
      <c r="D19653" t="s">
        <v>17</v>
      </c>
      <c r="E19653" t="s">
        <v>12</v>
      </c>
      <c r="F19653">
        <v>12395603</v>
      </c>
      <c r="G19653">
        <v>12395621</v>
      </c>
      <c r="H19653">
        <v>12395603</v>
      </c>
      <c r="I19653">
        <v>12395621</v>
      </c>
    </row>
    <row r="19654" spans="1:9" x14ac:dyDescent="0.2">
      <c r="A19654" t="str">
        <f>"Sox10"</f>
        <v>Sox10</v>
      </c>
      <c r="B19654" t="s">
        <v>14</v>
      </c>
      <c r="C19654" t="s">
        <v>25</v>
      </c>
      <c r="D19654" t="s">
        <v>11</v>
      </c>
      <c r="E19654" t="s">
        <v>12</v>
      </c>
      <c r="F19654">
        <v>79164477</v>
      </c>
      <c r="G19654">
        <v>79164496</v>
      </c>
      <c r="H19654">
        <v>79164477</v>
      </c>
      <c r="I19654">
        <v>79164496</v>
      </c>
    </row>
    <row r="19655" spans="1:9" x14ac:dyDescent="0.2">
      <c r="A19655" t="str">
        <f>"Sox11"</f>
        <v>Sox11</v>
      </c>
      <c r="B19655" t="s">
        <v>14</v>
      </c>
      <c r="C19655" t="s">
        <v>16</v>
      </c>
      <c r="D19655" t="s">
        <v>11</v>
      </c>
      <c r="E19655" t="s">
        <v>12</v>
      </c>
      <c r="F19655">
        <v>27342696</v>
      </c>
      <c r="G19655">
        <v>27342726</v>
      </c>
      <c r="H19655">
        <v>27342696</v>
      </c>
      <c r="I19655">
        <v>27342726</v>
      </c>
    </row>
    <row r="19656" spans="1:9" x14ac:dyDescent="0.2">
      <c r="A19656" t="str">
        <f>"Sox12"</f>
        <v>Sox12</v>
      </c>
      <c r="B19656" t="s">
        <v>14</v>
      </c>
      <c r="C19656" t="s">
        <v>26</v>
      </c>
      <c r="D19656" t="s">
        <v>11</v>
      </c>
      <c r="E19656" t="s">
        <v>12</v>
      </c>
      <c r="F19656">
        <v>152397733</v>
      </c>
      <c r="G19656">
        <v>152397776</v>
      </c>
      <c r="H19656">
        <v>152397733</v>
      </c>
      <c r="I19656">
        <v>152397776</v>
      </c>
    </row>
    <row r="19657" spans="1:9" x14ac:dyDescent="0.2">
      <c r="A19657" t="str">
        <f>"Sox13"</f>
        <v>Sox13</v>
      </c>
      <c r="B19657" t="s">
        <v>5775</v>
      </c>
      <c r="C19657" t="s">
        <v>19</v>
      </c>
      <c r="D19657" t="s">
        <v>11</v>
      </c>
      <c r="E19657" t="s">
        <v>20</v>
      </c>
      <c r="F19657">
        <v>133393269</v>
      </c>
      <c r="G19657">
        <v>133393269</v>
      </c>
      <c r="H19657">
        <v>133393269</v>
      </c>
      <c r="I19657">
        <v>133393269</v>
      </c>
    </row>
    <row r="19658" spans="1:9" x14ac:dyDescent="0.2">
      <c r="A19658" t="str">
        <f>"Sox14"</f>
        <v>Sox14</v>
      </c>
      <c r="B19658" t="s">
        <v>14</v>
      </c>
      <c r="C19658" t="s">
        <v>24</v>
      </c>
      <c r="D19658" t="s">
        <v>11</v>
      </c>
      <c r="E19658" t="s">
        <v>12</v>
      </c>
      <c r="F19658">
        <v>99876147</v>
      </c>
      <c r="G19658">
        <v>99876193</v>
      </c>
      <c r="H19658">
        <v>99876198</v>
      </c>
      <c r="I19658">
        <v>99876212</v>
      </c>
    </row>
    <row r="19659" spans="1:9" x14ac:dyDescent="0.2">
      <c r="A19659" t="str">
        <f>"Sox15"</f>
        <v>Sox15</v>
      </c>
      <c r="B19659" t="s">
        <v>14</v>
      </c>
      <c r="C19659" t="s">
        <v>27</v>
      </c>
      <c r="D19659" t="s">
        <v>17</v>
      </c>
      <c r="E19659" t="s">
        <v>12</v>
      </c>
      <c r="F19659">
        <v>69655029</v>
      </c>
      <c r="G19659">
        <v>69655055</v>
      </c>
      <c r="H19659">
        <v>69654999</v>
      </c>
      <c r="I19659">
        <v>69655013</v>
      </c>
    </row>
    <row r="19660" spans="1:9" x14ac:dyDescent="0.2">
      <c r="A19660" t="str">
        <f>"Sox17"</f>
        <v>Sox17</v>
      </c>
      <c r="B19660" t="s">
        <v>9</v>
      </c>
      <c r="C19660" t="s">
        <v>19</v>
      </c>
      <c r="D19660" t="s">
        <v>11</v>
      </c>
      <c r="E19660" t="s">
        <v>12</v>
      </c>
      <c r="F19660">
        <v>4493598</v>
      </c>
      <c r="G19660">
        <v>4493614</v>
      </c>
      <c r="H19660">
        <v>4493598</v>
      </c>
      <c r="I19660">
        <v>4493614</v>
      </c>
    </row>
    <row r="19661" spans="1:9" x14ac:dyDescent="0.2">
      <c r="A19661" t="str">
        <f>"Sox17"</f>
        <v>Sox17</v>
      </c>
      <c r="B19661" t="s">
        <v>13</v>
      </c>
      <c r="C19661" t="s">
        <v>19</v>
      </c>
      <c r="D19661" t="s">
        <v>11</v>
      </c>
      <c r="E19661" t="s">
        <v>12</v>
      </c>
      <c r="F19661">
        <v>4496400</v>
      </c>
      <c r="G19661">
        <v>4496420</v>
      </c>
      <c r="H19661">
        <v>4496400</v>
      </c>
      <c r="I19661">
        <v>4496420</v>
      </c>
    </row>
    <row r="19662" spans="1:9" x14ac:dyDescent="0.2">
      <c r="A19662" t="str">
        <f>"Sox18"</f>
        <v>Sox18</v>
      </c>
      <c r="B19662" t="s">
        <v>14</v>
      </c>
      <c r="C19662" t="s">
        <v>26</v>
      </c>
      <c r="D19662" t="s">
        <v>11</v>
      </c>
      <c r="E19662" t="s">
        <v>12</v>
      </c>
      <c r="F19662">
        <v>181671622</v>
      </c>
      <c r="G19662">
        <v>181671645</v>
      </c>
      <c r="H19662">
        <v>181671622</v>
      </c>
      <c r="I19662">
        <v>181671645</v>
      </c>
    </row>
    <row r="19663" spans="1:9" x14ac:dyDescent="0.2">
      <c r="A19663" t="str">
        <f>"Sox2"</f>
        <v>Sox2</v>
      </c>
      <c r="B19663" t="s">
        <v>14</v>
      </c>
      <c r="C19663" t="s">
        <v>22</v>
      </c>
      <c r="D19663" t="s">
        <v>17</v>
      </c>
      <c r="E19663" t="s">
        <v>12</v>
      </c>
      <c r="F19663">
        <v>34649987</v>
      </c>
      <c r="G19663">
        <v>34650005</v>
      </c>
      <c r="H19663">
        <v>34650024</v>
      </c>
      <c r="I19663">
        <v>34650050</v>
      </c>
    </row>
    <row r="19664" spans="1:9" x14ac:dyDescent="0.2">
      <c r="A19664" t="str">
        <f>"Sox21"</f>
        <v>Sox21</v>
      </c>
      <c r="B19664" t="s">
        <v>14</v>
      </c>
      <c r="C19664" t="s">
        <v>41</v>
      </c>
      <c r="D19664" t="s">
        <v>11</v>
      </c>
      <c r="E19664" t="s">
        <v>12</v>
      </c>
      <c r="F19664">
        <v>118236992</v>
      </c>
      <c r="G19664">
        <v>118237013</v>
      </c>
      <c r="H19664">
        <v>118237016</v>
      </c>
      <c r="I19664">
        <v>118237035</v>
      </c>
    </row>
    <row r="19665" spans="1:9" x14ac:dyDescent="0.2">
      <c r="A19665" t="str">
        <f>"Sox3"</f>
        <v>Sox3</v>
      </c>
      <c r="B19665" t="s">
        <v>14</v>
      </c>
      <c r="C19665" t="s">
        <v>37</v>
      </c>
      <c r="D19665" t="s">
        <v>11</v>
      </c>
      <c r="E19665" t="s">
        <v>12</v>
      </c>
      <c r="F19665">
        <v>60893437</v>
      </c>
      <c r="G19665">
        <v>60893440</v>
      </c>
      <c r="H19665">
        <v>60893481</v>
      </c>
      <c r="I19665">
        <v>60893485</v>
      </c>
    </row>
    <row r="19666" spans="1:9" x14ac:dyDescent="0.2">
      <c r="A19666" t="str">
        <f>"Sox30"</f>
        <v>Sox30</v>
      </c>
      <c r="B19666" t="s">
        <v>14</v>
      </c>
      <c r="C19666" t="s">
        <v>27</v>
      </c>
      <c r="D19666" t="s">
        <v>17</v>
      </c>
      <c r="E19666" t="s">
        <v>12</v>
      </c>
      <c r="F19666">
        <v>45980309</v>
      </c>
      <c r="G19666">
        <v>45980337</v>
      </c>
      <c r="H19666">
        <v>45980255</v>
      </c>
      <c r="I19666">
        <v>45980273</v>
      </c>
    </row>
    <row r="19667" spans="1:9" x14ac:dyDescent="0.2">
      <c r="A19667" t="str">
        <f>"Sox4"</f>
        <v>Sox4</v>
      </c>
      <c r="B19667" t="s">
        <v>14</v>
      </c>
      <c r="C19667" t="s">
        <v>39</v>
      </c>
      <c r="D19667" t="s">
        <v>11</v>
      </c>
      <c r="E19667" t="s">
        <v>12</v>
      </c>
      <c r="F19667">
        <v>28953690</v>
      </c>
      <c r="G19667">
        <v>28953705</v>
      </c>
      <c r="H19667">
        <v>28953690</v>
      </c>
      <c r="I19667">
        <v>28953705</v>
      </c>
    </row>
    <row r="19668" spans="1:9" x14ac:dyDescent="0.2">
      <c r="A19668" t="str">
        <f>"Sox5"</f>
        <v>Sox5</v>
      </c>
      <c r="B19668" t="s">
        <v>5776</v>
      </c>
      <c r="C19668" t="s">
        <v>32</v>
      </c>
      <c r="D19668" t="s">
        <v>11</v>
      </c>
      <c r="E19668" t="s">
        <v>35</v>
      </c>
      <c r="F19668">
        <v>144209663</v>
      </c>
      <c r="G19668">
        <v>144209690</v>
      </c>
      <c r="H19668">
        <v>144209349</v>
      </c>
      <c r="I19668">
        <v>144209356</v>
      </c>
    </row>
    <row r="19669" spans="1:9" x14ac:dyDescent="0.2">
      <c r="A19669" t="str">
        <f>"Sox6"</f>
        <v>Sox6</v>
      </c>
      <c r="B19669" t="s">
        <v>14</v>
      </c>
      <c r="C19669" t="s">
        <v>33</v>
      </c>
      <c r="D19669" t="s">
        <v>11</v>
      </c>
      <c r="E19669" t="s">
        <v>12</v>
      </c>
      <c r="F19669">
        <v>115846080</v>
      </c>
      <c r="G19669">
        <v>115846112</v>
      </c>
      <c r="H19669">
        <v>115846118</v>
      </c>
      <c r="I19669">
        <v>115846154</v>
      </c>
    </row>
    <row r="19670" spans="1:9" x14ac:dyDescent="0.2">
      <c r="A19670" t="str">
        <f>"Sox7"</f>
        <v>Sox7</v>
      </c>
      <c r="B19670" t="s">
        <v>14</v>
      </c>
      <c r="C19670" t="s">
        <v>41</v>
      </c>
      <c r="D19670" t="s">
        <v>17</v>
      </c>
      <c r="E19670" t="s">
        <v>12</v>
      </c>
      <c r="F19670">
        <v>63943666</v>
      </c>
      <c r="G19670">
        <v>63943687</v>
      </c>
      <c r="H19670">
        <v>63943552</v>
      </c>
      <c r="I19670">
        <v>63943561</v>
      </c>
    </row>
    <row r="19671" spans="1:9" x14ac:dyDescent="0.2">
      <c r="A19671" t="str">
        <f>"Sox8"</f>
        <v>Sox8</v>
      </c>
      <c r="B19671" t="s">
        <v>14</v>
      </c>
      <c r="C19671" t="s">
        <v>28</v>
      </c>
      <c r="D19671" t="s">
        <v>11</v>
      </c>
      <c r="E19671" t="s">
        <v>12</v>
      </c>
      <c r="F19671">
        <v>25570678</v>
      </c>
      <c r="G19671">
        <v>25570694</v>
      </c>
      <c r="H19671">
        <v>25570367</v>
      </c>
      <c r="I19671">
        <v>25570383</v>
      </c>
    </row>
    <row r="19672" spans="1:9" x14ac:dyDescent="0.2">
      <c r="A19672" t="str">
        <f>"Sox9"</f>
        <v>Sox9</v>
      </c>
      <c r="B19672" t="s">
        <v>9</v>
      </c>
      <c r="C19672" t="s">
        <v>27</v>
      </c>
      <c r="D19672" t="s">
        <v>17</v>
      </c>
      <c r="E19672" t="s">
        <v>12</v>
      </c>
      <c r="F19672">
        <v>112782182</v>
      </c>
      <c r="G19672">
        <v>112782248</v>
      </c>
      <c r="H19672">
        <v>112782182</v>
      </c>
      <c r="I19672">
        <v>112782248</v>
      </c>
    </row>
    <row r="19673" spans="1:9" x14ac:dyDescent="0.2">
      <c r="A19673" t="str">
        <f>"Sox9"</f>
        <v>Sox9</v>
      </c>
      <c r="B19673" t="s">
        <v>13</v>
      </c>
      <c r="C19673" t="s">
        <v>27</v>
      </c>
      <c r="D19673" t="s">
        <v>17</v>
      </c>
      <c r="E19673" t="s">
        <v>12</v>
      </c>
      <c r="F19673">
        <v>112784895</v>
      </c>
      <c r="G19673">
        <v>112784910</v>
      </c>
      <c r="H19673">
        <v>112784895</v>
      </c>
      <c r="I19673">
        <v>112784910</v>
      </c>
    </row>
    <row r="19674" spans="1:9" x14ac:dyDescent="0.2">
      <c r="A19674" t="str">
        <f>"Sp1"</f>
        <v>Sp1</v>
      </c>
      <c r="B19674" t="s">
        <v>14</v>
      </c>
      <c r="C19674" t="s">
        <v>25</v>
      </c>
      <c r="D19674" t="s">
        <v>17</v>
      </c>
      <c r="E19674" t="s">
        <v>12</v>
      </c>
      <c r="F19674">
        <v>102406269</v>
      </c>
      <c r="G19674">
        <v>102406333</v>
      </c>
      <c r="H19674">
        <v>102406374</v>
      </c>
      <c r="I19674">
        <v>102406398</v>
      </c>
    </row>
    <row r="19675" spans="1:9" x14ac:dyDescent="0.2">
      <c r="A19675" t="str">
        <f>"Sp100"</f>
        <v>Sp100</v>
      </c>
      <c r="B19675" t="s">
        <v>14</v>
      </c>
      <c r="C19675" t="s">
        <v>19</v>
      </c>
      <c r="D19675" t="s">
        <v>17</v>
      </c>
      <c r="E19675" t="s">
        <v>12</v>
      </c>
      <c r="F19675">
        <v>85650008</v>
      </c>
      <c r="G19675">
        <v>85650020</v>
      </c>
      <c r="H19675">
        <v>85650027</v>
      </c>
      <c r="I19675">
        <v>85650042</v>
      </c>
    </row>
    <row r="19676" spans="1:9" x14ac:dyDescent="0.2">
      <c r="A19676" t="str">
        <f>"Sp110"</f>
        <v>Sp110</v>
      </c>
      <c r="B19676" t="s">
        <v>14</v>
      </c>
      <c r="C19676" t="s">
        <v>19</v>
      </c>
      <c r="D19676" t="s">
        <v>11</v>
      </c>
      <c r="E19676" t="s">
        <v>12</v>
      </c>
      <c r="F19676">
        <v>85598796</v>
      </c>
      <c r="G19676">
        <v>85598822</v>
      </c>
      <c r="H19676">
        <v>85598843</v>
      </c>
      <c r="I19676">
        <v>85598852</v>
      </c>
    </row>
    <row r="19677" spans="1:9" x14ac:dyDescent="0.2">
      <c r="A19677" t="str">
        <f>"Sp140"</f>
        <v>Sp140</v>
      </c>
      <c r="B19677" t="s">
        <v>14</v>
      </c>
      <c r="C19677" t="s">
        <v>19</v>
      </c>
      <c r="D19677" t="s">
        <v>17</v>
      </c>
      <c r="E19677" t="s">
        <v>12</v>
      </c>
      <c r="F19677">
        <v>85601035</v>
      </c>
      <c r="G19677">
        <v>85601070</v>
      </c>
      <c r="H19677">
        <v>85600672</v>
      </c>
      <c r="I19677">
        <v>85600704</v>
      </c>
    </row>
    <row r="19678" spans="1:9" x14ac:dyDescent="0.2">
      <c r="A19678" t="str">
        <f>"Sp2"</f>
        <v>Sp2</v>
      </c>
      <c r="B19678" t="s">
        <v>9</v>
      </c>
      <c r="C19678" t="s">
        <v>27</v>
      </c>
      <c r="D19678" t="s">
        <v>11</v>
      </c>
      <c r="E19678" t="s">
        <v>12</v>
      </c>
      <c r="F19678">
        <v>96977660</v>
      </c>
      <c r="G19678">
        <v>96977693</v>
      </c>
      <c r="H19678">
        <v>96977660</v>
      </c>
      <c r="I19678">
        <v>96977693</v>
      </c>
    </row>
    <row r="19679" spans="1:9" x14ac:dyDescent="0.2">
      <c r="A19679" t="str">
        <f>"Sp2"</f>
        <v>Sp2</v>
      </c>
      <c r="B19679" t="s">
        <v>13</v>
      </c>
      <c r="C19679" t="s">
        <v>27</v>
      </c>
      <c r="D19679" t="s">
        <v>11</v>
      </c>
      <c r="E19679" t="s">
        <v>12</v>
      </c>
      <c r="F19679">
        <v>96968655</v>
      </c>
      <c r="G19679">
        <v>96968673</v>
      </c>
      <c r="H19679">
        <v>96968655</v>
      </c>
      <c r="I19679">
        <v>96968673</v>
      </c>
    </row>
    <row r="19680" spans="1:9" x14ac:dyDescent="0.2">
      <c r="A19680" t="str">
        <f>"Sp3"</f>
        <v>Sp3</v>
      </c>
      <c r="B19680" t="s">
        <v>14</v>
      </c>
      <c r="C19680" t="s">
        <v>26</v>
      </c>
      <c r="D19680" t="s">
        <v>11</v>
      </c>
      <c r="E19680" t="s">
        <v>12</v>
      </c>
      <c r="F19680">
        <v>72978988</v>
      </c>
      <c r="G19680">
        <v>72979066</v>
      </c>
      <c r="H19680">
        <v>72979263</v>
      </c>
      <c r="I19680">
        <v>72979342</v>
      </c>
    </row>
    <row r="19681" spans="1:9" x14ac:dyDescent="0.2">
      <c r="A19681" t="str">
        <f>"Sp4"</f>
        <v>Sp4</v>
      </c>
      <c r="B19681" t="s">
        <v>14</v>
      </c>
      <c r="C19681" t="s">
        <v>16</v>
      </c>
      <c r="D19681" t="s">
        <v>11</v>
      </c>
      <c r="E19681" t="s">
        <v>12</v>
      </c>
      <c r="F19681">
        <v>118301370</v>
      </c>
      <c r="G19681">
        <v>118301426</v>
      </c>
      <c r="H19681">
        <v>118301429</v>
      </c>
      <c r="I19681">
        <v>118301458</v>
      </c>
    </row>
    <row r="19682" spans="1:9" x14ac:dyDescent="0.2">
      <c r="A19682" t="str">
        <f>"Sp5"</f>
        <v>Sp5</v>
      </c>
      <c r="B19682" t="s">
        <v>14</v>
      </c>
      <c r="C19682" t="s">
        <v>26</v>
      </c>
      <c r="D19682" t="s">
        <v>17</v>
      </c>
      <c r="E19682" t="s">
        <v>12</v>
      </c>
      <c r="F19682">
        <v>70475111</v>
      </c>
      <c r="G19682">
        <v>70475127</v>
      </c>
      <c r="H19682">
        <v>70475111</v>
      </c>
      <c r="I19682">
        <v>70475127</v>
      </c>
    </row>
    <row r="19683" spans="1:9" x14ac:dyDescent="0.2">
      <c r="A19683" t="str">
        <f>"Sp6"</f>
        <v>Sp6</v>
      </c>
      <c r="B19683" t="s">
        <v>14</v>
      </c>
      <c r="C19683" t="s">
        <v>27</v>
      </c>
      <c r="D19683" t="s">
        <v>17</v>
      </c>
      <c r="E19683" t="s">
        <v>12</v>
      </c>
      <c r="F19683">
        <v>97018758</v>
      </c>
      <c r="G19683">
        <v>97018765</v>
      </c>
      <c r="H19683">
        <v>97018819</v>
      </c>
      <c r="I19683">
        <v>97018827</v>
      </c>
    </row>
    <row r="19684" spans="1:9" x14ac:dyDescent="0.2">
      <c r="A19684" t="str">
        <f>"Sp7"</f>
        <v>Sp7</v>
      </c>
      <c r="B19684" t="s">
        <v>14</v>
      </c>
      <c r="C19684" t="s">
        <v>25</v>
      </c>
      <c r="D19684" t="s">
        <v>11</v>
      </c>
      <c r="E19684" t="s">
        <v>12</v>
      </c>
      <c r="F19684">
        <v>102366974</v>
      </c>
      <c r="G19684">
        <v>102367023</v>
      </c>
      <c r="H19684">
        <v>102366314</v>
      </c>
      <c r="I19684">
        <v>102366338</v>
      </c>
    </row>
    <row r="19685" spans="1:9" x14ac:dyDescent="0.2">
      <c r="A19685" t="str">
        <f>"Sp8"</f>
        <v>Sp8</v>
      </c>
      <c r="B19685" t="s">
        <v>14</v>
      </c>
      <c r="C19685" t="s">
        <v>16</v>
      </c>
      <c r="D19685" t="s">
        <v>17</v>
      </c>
      <c r="E19685" t="s">
        <v>12</v>
      </c>
      <c r="F19685">
        <v>118847227</v>
      </c>
      <c r="G19685">
        <v>118847238</v>
      </c>
      <c r="H19685">
        <v>118847305</v>
      </c>
      <c r="I19685">
        <v>118847311</v>
      </c>
    </row>
    <row r="19686" spans="1:9" x14ac:dyDescent="0.2">
      <c r="A19686" t="str">
        <f>"Sp9"</f>
        <v>Sp9</v>
      </c>
      <c r="B19686" t="s">
        <v>14</v>
      </c>
      <c r="C19686" t="s">
        <v>26</v>
      </c>
      <c r="D19686" t="s">
        <v>17</v>
      </c>
      <c r="E19686" t="s">
        <v>12</v>
      </c>
      <c r="F19686">
        <v>73271926</v>
      </c>
      <c r="G19686">
        <v>73271939</v>
      </c>
      <c r="H19686">
        <v>73271947</v>
      </c>
      <c r="I19686">
        <v>73271959</v>
      </c>
    </row>
    <row r="19687" spans="1:9" x14ac:dyDescent="0.2">
      <c r="A19687" t="str">
        <f>"Spa17"</f>
        <v>Spa17</v>
      </c>
      <c r="B19687" t="s">
        <v>14</v>
      </c>
      <c r="C19687" t="s">
        <v>24</v>
      </c>
      <c r="D19687" t="s">
        <v>11</v>
      </c>
      <c r="E19687" t="s">
        <v>12</v>
      </c>
      <c r="F19687">
        <v>37613578</v>
      </c>
      <c r="G19687">
        <v>37613626</v>
      </c>
      <c r="H19687">
        <v>37613715</v>
      </c>
      <c r="I19687">
        <v>37613728</v>
      </c>
    </row>
    <row r="19688" spans="1:9" x14ac:dyDescent="0.2">
      <c r="A19688" t="str">
        <f>"Spaca1"</f>
        <v>Spaca1</v>
      </c>
      <c r="B19688" t="s">
        <v>14</v>
      </c>
      <c r="C19688" t="s">
        <v>23</v>
      </c>
      <c r="D19688" t="s">
        <v>11</v>
      </c>
      <c r="E19688" t="s">
        <v>12</v>
      </c>
      <c r="F19688">
        <v>34050055</v>
      </c>
      <c r="G19688">
        <v>34050072</v>
      </c>
      <c r="H19688">
        <v>34050149</v>
      </c>
      <c r="I19688">
        <v>34050202</v>
      </c>
    </row>
    <row r="19689" spans="1:9" x14ac:dyDescent="0.2">
      <c r="A19689" t="str">
        <f>"Spaca3"</f>
        <v>Spaca3</v>
      </c>
      <c r="B19689" t="s">
        <v>14</v>
      </c>
      <c r="C19689" t="s">
        <v>27</v>
      </c>
      <c r="D19689" t="s">
        <v>17</v>
      </c>
      <c r="E19689" t="s">
        <v>12</v>
      </c>
      <c r="F19689">
        <v>80858399</v>
      </c>
      <c r="G19689">
        <v>80858428</v>
      </c>
      <c r="H19689">
        <v>80858358</v>
      </c>
      <c r="I19689">
        <v>80858367</v>
      </c>
    </row>
    <row r="19690" spans="1:9" x14ac:dyDescent="0.2">
      <c r="A19690" t="str">
        <f>"Spaca4"</f>
        <v>Spaca4</v>
      </c>
      <c r="B19690" t="s">
        <v>14</v>
      </c>
      <c r="C19690" t="s">
        <v>33</v>
      </c>
      <c r="D19690" t="s">
        <v>11</v>
      </c>
      <c r="E19690" t="s">
        <v>12</v>
      </c>
      <c r="F19690">
        <v>45725751</v>
      </c>
      <c r="G19690">
        <v>45725766</v>
      </c>
      <c r="H19690">
        <v>45725787</v>
      </c>
      <c r="I19690">
        <v>45725813</v>
      </c>
    </row>
    <row r="19691" spans="1:9" x14ac:dyDescent="0.2">
      <c r="A19691" t="str">
        <f>"Spaca5"</f>
        <v>Spaca5</v>
      </c>
      <c r="B19691" t="s">
        <v>14</v>
      </c>
      <c r="C19691" t="s">
        <v>37</v>
      </c>
      <c r="D19691" t="s">
        <v>17</v>
      </c>
      <c r="E19691" t="s">
        <v>12</v>
      </c>
      <c r="F19691">
        <v>21068435</v>
      </c>
      <c r="G19691">
        <v>21068447</v>
      </c>
      <c r="H19691">
        <v>21068462</v>
      </c>
      <c r="I19691">
        <v>21068471</v>
      </c>
    </row>
    <row r="19692" spans="1:9" x14ac:dyDescent="0.2">
      <c r="A19692" t="str">
        <f>"Spaca7"</f>
        <v>Spaca7</v>
      </c>
      <c r="B19692" t="s">
        <v>14</v>
      </c>
      <c r="C19692" t="s">
        <v>30</v>
      </c>
      <c r="D19692" t="s">
        <v>17</v>
      </c>
      <c r="E19692" t="s">
        <v>12</v>
      </c>
      <c r="F19692">
        <v>12573017</v>
      </c>
      <c r="G19692">
        <v>12573060</v>
      </c>
      <c r="H19692">
        <v>12573064</v>
      </c>
      <c r="I19692">
        <v>12573076</v>
      </c>
    </row>
    <row r="19693" spans="1:9" x14ac:dyDescent="0.2">
      <c r="A19693" t="str">
        <f>"Spag1"</f>
        <v>Spag1</v>
      </c>
      <c r="B19693" t="s">
        <v>5777</v>
      </c>
      <c r="C19693" t="s">
        <v>25</v>
      </c>
      <c r="D19693" t="s">
        <v>17</v>
      </c>
      <c r="E19693" t="s">
        <v>35</v>
      </c>
      <c r="F19693">
        <v>36179299</v>
      </c>
      <c r="G19693">
        <v>36179327</v>
      </c>
      <c r="H19693">
        <v>36179343</v>
      </c>
      <c r="I19693">
        <v>36179346</v>
      </c>
    </row>
    <row r="19694" spans="1:9" x14ac:dyDescent="0.2">
      <c r="A19694" t="str">
        <f>"Spag11a"</f>
        <v>Spag11a</v>
      </c>
      <c r="B19694" t="s">
        <v>14</v>
      </c>
      <c r="C19694" t="s">
        <v>30</v>
      </c>
      <c r="D19694" t="s">
        <v>17</v>
      </c>
      <c r="E19694" t="s">
        <v>12</v>
      </c>
      <c r="F19694">
        <v>19157879</v>
      </c>
      <c r="G19694">
        <v>19157893</v>
      </c>
      <c r="H19694">
        <v>19157879</v>
      </c>
      <c r="I19694">
        <v>19157893</v>
      </c>
    </row>
    <row r="19695" spans="1:9" x14ac:dyDescent="0.2">
      <c r="A19695" t="str">
        <f>"Spag11b"</f>
        <v>Spag11b</v>
      </c>
      <c r="B19695" t="s">
        <v>14</v>
      </c>
      <c r="C19695" t="s">
        <v>30</v>
      </c>
      <c r="D19695" t="s">
        <v>17</v>
      </c>
      <c r="E19695" t="s">
        <v>12</v>
      </c>
      <c r="F19695">
        <v>19140751</v>
      </c>
      <c r="G19695">
        <v>19140767</v>
      </c>
      <c r="H19695">
        <v>19140751</v>
      </c>
      <c r="I19695">
        <v>19140767</v>
      </c>
    </row>
    <row r="19696" spans="1:9" x14ac:dyDescent="0.2">
      <c r="A19696" t="str">
        <f>"Spag16"</f>
        <v>Spag16</v>
      </c>
      <c r="B19696" t="s">
        <v>14</v>
      </c>
      <c r="C19696" t="s">
        <v>19</v>
      </c>
      <c r="D19696" t="s">
        <v>17</v>
      </c>
      <c r="E19696" t="s">
        <v>12</v>
      </c>
      <c r="F19696">
        <v>69826957</v>
      </c>
      <c r="G19696">
        <v>69826984</v>
      </c>
      <c r="H19696">
        <v>69826986</v>
      </c>
      <c r="I19696">
        <v>69827003</v>
      </c>
    </row>
    <row r="19697" spans="1:9" x14ac:dyDescent="0.2">
      <c r="A19697" t="str">
        <f>"Spag17"</f>
        <v>Spag17</v>
      </c>
      <c r="B19697" t="s">
        <v>14</v>
      </c>
      <c r="C19697" t="s">
        <v>22</v>
      </c>
      <c r="D19697" t="s">
        <v>17</v>
      </c>
      <c r="E19697" t="s">
        <v>12</v>
      </c>
      <c r="F19697">
        <v>99885383</v>
      </c>
      <c r="G19697">
        <v>99885419</v>
      </c>
      <c r="H19697">
        <v>99885425</v>
      </c>
      <c r="I19697">
        <v>99885439</v>
      </c>
    </row>
    <row r="19698" spans="1:9" x14ac:dyDescent="0.2">
      <c r="A19698" t="str">
        <f>"Spag4"</f>
        <v>Spag4</v>
      </c>
      <c r="B19698" t="s">
        <v>14</v>
      </c>
      <c r="C19698" t="s">
        <v>26</v>
      </c>
      <c r="D19698" t="s">
        <v>17</v>
      </c>
      <c r="E19698" t="s">
        <v>12</v>
      </c>
      <c r="F19698">
        <v>156065180</v>
      </c>
      <c r="G19698">
        <v>156065282</v>
      </c>
      <c r="H19698">
        <v>156065738</v>
      </c>
      <c r="I19698">
        <v>156065760</v>
      </c>
    </row>
    <row r="19699" spans="1:9" x14ac:dyDescent="0.2">
      <c r="A19699" t="str">
        <f>"Spag5"</f>
        <v>Spag5</v>
      </c>
      <c r="B19699" t="s">
        <v>14</v>
      </c>
      <c r="C19699" t="s">
        <v>27</v>
      </c>
      <c r="D19699" t="s">
        <v>17</v>
      </c>
      <c r="E19699" t="s">
        <v>12</v>
      </c>
      <c r="F19699">
        <v>78301610</v>
      </c>
      <c r="G19699">
        <v>78301634</v>
      </c>
      <c r="H19699">
        <v>78301579</v>
      </c>
      <c r="I19699">
        <v>78301606</v>
      </c>
    </row>
    <row r="19700" spans="1:9" x14ac:dyDescent="0.2">
      <c r="A19700" t="str">
        <f>"Spag6"</f>
        <v>Spag6</v>
      </c>
      <c r="B19700" t="s">
        <v>14</v>
      </c>
      <c r="C19700" t="s">
        <v>31</v>
      </c>
      <c r="D19700" t="s">
        <v>11</v>
      </c>
      <c r="E19700" t="s">
        <v>12</v>
      </c>
      <c r="F19700">
        <v>16829276</v>
      </c>
      <c r="G19700">
        <v>16829349</v>
      </c>
      <c r="H19700">
        <v>16829243</v>
      </c>
      <c r="I19700">
        <v>16829253</v>
      </c>
    </row>
    <row r="19701" spans="1:9" x14ac:dyDescent="0.2">
      <c r="A19701" t="str">
        <f>"Spag7"</f>
        <v>Spag7</v>
      </c>
      <c r="B19701" t="s">
        <v>14</v>
      </c>
      <c r="C19701" t="s">
        <v>27</v>
      </c>
      <c r="D19701" t="s">
        <v>11</v>
      </c>
      <c r="E19701" t="s">
        <v>12</v>
      </c>
      <c r="F19701">
        <v>70669283</v>
      </c>
      <c r="G19701">
        <v>70669304</v>
      </c>
      <c r="H19701">
        <v>70669283</v>
      </c>
      <c r="I19701">
        <v>70669304</v>
      </c>
    </row>
    <row r="19702" spans="1:9" x14ac:dyDescent="0.2">
      <c r="A19702" t="str">
        <f>"Spag8"</f>
        <v>Spag8</v>
      </c>
      <c r="B19702" t="s">
        <v>14</v>
      </c>
      <c r="C19702" t="s">
        <v>23</v>
      </c>
      <c r="D19702" t="s">
        <v>11</v>
      </c>
      <c r="E19702" t="s">
        <v>12</v>
      </c>
      <c r="F19702">
        <v>43653542</v>
      </c>
      <c r="G19702">
        <v>43653557</v>
      </c>
      <c r="H19702">
        <v>43653560</v>
      </c>
      <c r="I19702">
        <v>43653583</v>
      </c>
    </row>
    <row r="19703" spans="1:9" x14ac:dyDescent="0.2">
      <c r="A19703" t="str">
        <f>"Spag9"</f>
        <v>Spag9</v>
      </c>
      <c r="B19703" t="s">
        <v>14</v>
      </c>
      <c r="C19703" t="s">
        <v>27</v>
      </c>
      <c r="D19703" t="s">
        <v>17</v>
      </c>
      <c r="E19703" t="s">
        <v>12</v>
      </c>
      <c r="F19703">
        <v>93996082</v>
      </c>
      <c r="G19703">
        <v>93996099</v>
      </c>
      <c r="H19703">
        <v>93996082</v>
      </c>
      <c r="I19703">
        <v>93996099</v>
      </c>
    </row>
    <row r="19704" spans="1:9" x14ac:dyDescent="0.2">
      <c r="A19704" t="str">
        <f>"Spam1"</f>
        <v>Spam1</v>
      </c>
      <c r="B19704" t="s">
        <v>14</v>
      </c>
      <c r="C19704" t="s">
        <v>32</v>
      </c>
      <c r="D19704" t="s">
        <v>17</v>
      </c>
      <c r="E19704" t="s">
        <v>12</v>
      </c>
      <c r="F19704">
        <v>24791175</v>
      </c>
      <c r="G19704">
        <v>24791206</v>
      </c>
      <c r="H19704">
        <v>24791215</v>
      </c>
      <c r="I19704">
        <v>24791223</v>
      </c>
    </row>
    <row r="19705" spans="1:9" x14ac:dyDescent="0.2">
      <c r="A19705" t="str">
        <f>"Spanxn4"</f>
        <v>Spanxn4</v>
      </c>
      <c r="B19705" t="s">
        <v>14</v>
      </c>
      <c r="C19705" t="s">
        <v>16</v>
      </c>
      <c r="D19705" t="s">
        <v>17</v>
      </c>
      <c r="E19705" t="s">
        <v>67</v>
      </c>
      <c r="F19705">
        <v>62687786</v>
      </c>
      <c r="G19705">
        <v>62687814</v>
      </c>
      <c r="H19705">
        <v>62687769</v>
      </c>
      <c r="I19705">
        <v>62687772</v>
      </c>
    </row>
    <row r="19706" spans="1:9" x14ac:dyDescent="0.2">
      <c r="A19706" t="str">
        <f>"Sparc"</f>
        <v>Sparc</v>
      </c>
      <c r="B19706" t="s">
        <v>14</v>
      </c>
      <c r="C19706" t="s">
        <v>27</v>
      </c>
      <c r="D19706" t="s">
        <v>11</v>
      </c>
      <c r="E19706" t="s">
        <v>12</v>
      </c>
      <c r="F19706">
        <v>55419859</v>
      </c>
      <c r="G19706">
        <v>55419874</v>
      </c>
      <c r="H19706">
        <v>55419843</v>
      </c>
      <c r="I19706">
        <v>55419855</v>
      </c>
    </row>
    <row r="19707" spans="1:9" x14ac:dyDescent="0.2">
      <c r="A19707" t="str">
        <f>"Sparcl1"</f>
        <v>Sparcl1</v>
      </c>
      <c r="B19707" t="s">
        <v>14</v>
      </c>
      <c r="C19707" t="s">
        <v>46</v>
      </c>
      <c r="D19707" t="s">
        <v>11</v>
      </c>
      <c r="E19707" t="s">
        <v>12</v>
      </c>
      <c r="F19707">
        <v>104113690</v>
      </c>
      <c r="G19707">
        <v>104113738</v>
      </c>
      <c r="H19707">
        <v>104113690</v>
      </c>
      <c r="I19707">
        <v>104113738</v>
      </c>
    </row>
    <row r="19708" spans="1:9" x14ac:dyDescent="0.2">
      <c r="A19708" t="str">
        <f>"Spast"</f>
        <v>Spast</v>
      </c>
      <c r="B19708" t="s">
        <v>14</v>
      </c>
      <c r="C19708" t="s">
        <v>28</v>
      </c>
      <c r="D19708" t="s">
        <v>17</v>
      </c>
      <c r="E19708" t="s">
        <v>12</v>
      </c>
      <c r="F19708">
        <v>74338700</v>
      </c>
      <c r="G19708">
        <v>74338749</v>
      </c>
      <c r="H19708">
        <v>74338856</v>
      </c>
      <c r="I19708">
        <v>74338902</v>
      </c>
    </row>
    <row r="19709" spans="1:9" x14ac:dyDescent="0.2">
      <c r="A19709" t="str">
        <f>"Spata1"</f>
        <v>Spata1</v>
      </c>
      <c r="B19709" t="s">
        <v>14</v>
      </c>
      <c r="C19709" t="s">
        <v>22</v>
      </c>
      <c r="D19709" t="s">
        <v>11</v>
      </c>
      <c r="E19709" t="s">
        <v>12</v>
      </c>
      <c r="F19709">
        <v>146499721</v>
      </c>
      <c r="G19709">
        <v>146499803</v>
      </c>
      <c r="H19709">
        <v>146499680</v>
      </c>
      <c r="I19709">
        <v>146499704</v>
      </c>
    </row>
    <row r="19710" spans="1:9" x14ac:dyDescent="0.2">
      <c r="A19710" t="str">
        <f>"Spata13"</f>
        <v>Spata13</v>
      </c>
      <c r="B19710" t="s">
        <v>14</v>
      </c>
      <c r="C19710" t="s">
        <v>41</v>
      </c>
      <c r="D19710" t="s">
        <v>17</v>
      </c>
      <c r="E19710" t="s">
        <v>12</v>
      </c>
      <c r="F19710">
        <v>60634719</v>
      </c>
      <c r="G19710">
        <v>60634776</v>
      </c>
      <c r="H19710">
        <v>60634719</v>
      </c>
      <c r="I19710">
        <v>60634776</v>
      </c>
    </row>
    <row r="19711" spans="1:9" x14ac:dyDescent="0.2">
      <c r="A19711" t="str">
        <f>"Spata16"</f>
        <v>Spata16</v>
      </c>
      <c r="B19711" t="s">
        <v>14</v>
      </c>
      <c r="C19711" t="s">
        <v>22</v>
      </c>
      <c r="D19711" t="s">
        <v>17</v>
      </c>
      <c r="E19711" t="s">
        <v>12</v>
      </c>
      <c r="F19711">
        <v>26637618</v>
      </c>
      <c r="G19711">
        <v>26637637</v>
      </c>
      <c r="H19711">
        <v>26637646</v>
      </c>
      <c r="I19711">
        <v>26637660</v>
      </c>
    </row>
    <row r="19712" spans="1:9" x14ac:dyDescent="0.2">
      <c r="A19712" t="str">
        <f>"Spata17"</f>
        <v>Spata17</v>
      </c>
      <c r="B19712" t="s">
        <v>14</v>
      </c>
      <c r="C19712" t="s">
        <v>19</v>
      </c>
      <c r="D19712" t="s">
        <v>11</v>
      </c>
      <c r="E19712" t="s">
        <v>12</v>
      </c>
      <c r="F19712">
        <v>187215454</v>
      </c>
      <c r="G19712">
        <v>187215478</v>
      </c>
      <c r="H19712">
        <v>187215430</v>
      </c>
      <c r="I19712">
        <v>187215451</v>
      </c>
    </row>
    <row r="19713" spans="1:9" x14ac:dyDescent="0.2">
      <c r="A19713" t="str">
        <f>"Spata18"</f>
        <v>Spata18</v>
      </c>
      <c r="B19713" t="s">
        <v>14</v>
      </c>
      <c r="C19713" t="s">
        <v>46</v>
      </c>
      <c r="D19713" t="s">
        <v>17</v>
      </c>
      <c r="E19713" t="s">
        <v>12</v>
      </c>
      <c r="F19713">
        <v>73651376</v>
      </c>
      <c r="G19713">
        <v>73651394</v>
      </c>
      <c r="H19713">
        <v>73651346</v>
      </c>
      <c r="I19713">
        <v>73651369</v>
      </c>
    </row>
    <row r="19714" spans="1:9" x14ac:dyDescent="0.2">
      <c r="A19714" t="str">
        <f>"Spata19"</f>
        <v>Spata19</v>
      </c>
      <c r="B19714" t="s">
        <v>14</v>
      </c>
      <c r="C19714" t="s">
        <v>24</v>
      </c>
      <c r="D19714" t="s">
        <v>17</v>
      </c>
      <c r="E19714" t="s">
        <v>12</v>
      </c>
      <c r="F19714">
        <v>27396791</v>
      </c>
      <c r="G19714">
        <v>27396823</v>
      </c>
      <c r="H19714">
        <v>27397202</v>
      </c>
      <c r="I19714">
        <v>27397221</v>
      </c>
    </row>
    <row r="19715" spans="1:9" x14ac:dyDescent="0.2">
      <c r="A19715" t="str">
        <f>"Spata2"</f>
        <v>Spata2</v>
      </c>
      <c r="B19715" t="s">
        <v>14</v>
      </c>
      <c r="C19715" t="s">
        <v>26</v>
      </c>
      <c r="D19715" t="s">
        <v>11</v>
      </c>
      <c r="E19715" t="s">
        <v>12</v>
      </c>
      <c r="F19715">
        <v>167492826</v>
      </c>
      <c r="G19715">
        <v>167492891</v>
      </c>
      <c r="H19715">
        <v>167493067</v>
      </c>
      <c r="I19715">
        <v>167493102</v>
      </c>
    </row>
    <row r="19716" spans="1:9" x14ac:dyDescent="0.2">
      <c r="A19716" t="str">
        <f>"Spata20"</f>
        <v>Spata20</v>
      </c>
      <c r="B19716" t="s">
        <v>14</v>
      </c>
      <c r="C19716" t="s">
        <v>27</v>
      </c>
      <c r="D19716" t="s">
        <v>11</v>
      </c>
      <c r="E19716" t="s">
        <v>12</v>
      </c>
      <c r="F19716">
        <v>94485290</v>
      </c>
      <c r="G19716">
        <v>94485327</v>
      </c>
      <c r="H19716">
        <v>94485331</v>
      </c>
      <c r="I19716">
        <v>94485356</v>
      </c>
    </row>
    <row r="19717" spans="1:9" x14ac:dyDescent="0.2">
      <c r="A19717" t="str">
        <f>"Spata21"</f>
        <v>Spata21</v>
      </c>
      <c r="B19717" t="s">
        <v>14</v>
      </c>
      <c r="C19717" t="s">
        <v>23</v>
      </c>
      <c r="D19717" t="s">
        <v>17</v>
      </c>
      <c r="E19717" t="s">
        <v>12</v>
      </c>
      <c r="F19717">
        <v>141088338</v>
      </c>
      <c r="G19717">
        <v>141088350</v>
      </c>
      <c r="H19717">
        <v>141088426</v>
      </c>
      <c r="I19717">
        <v>141088431</v>
      </c>
    </row>
    <row r="19718" spans="1:9" x14ac:dyDescent="0.2">
      <c r="A19718" t="str">
        <f>"Spata22"</f>
        <v>Spata22</v>
      </c>
      <c r="B19718" t="s">
        <v>14</v>
      </c>
      <c r="C19718" t="s">
        <v>27</v>
      </c>
      <c r="D19718" t="s">
        <v>17</v>
      </c>
      <c r="E19718" t="s">
        <v>12</v>
      </c>
      <c r="F19718">
        <v>73329727</v>
      </c>
      <c r="G19718">
        <v>73329748</v>
      </c>
      <c r="H19718">
        <v>73329727</v>
      </c>
      <c r="I19718">
        <v>73329748</v>
      </c>
    </row>
    <row r="19719" spans="1:9" x14ac:dyDescent="0.2">
      <c r="A19719" t="str">
        <f>"Spata24"</f>
        <v>Spata24</v>
      </c>
      <c r="B19719" t="s">
        <v>14</v>
      </c>
      <c r="C19719" t="s">
        <v>43</v>
      </c>
      <c r="D19719" t="s">
        <v>11</v>
      </c>
      <c r="E19719" t="s">
        <v>12</v>
      </c>
      <c r="F19719">
        <v>35662129</v>
      </c>
      <c r="G19719">
        <v>35662175</v>
      </c>
      <c r="H19719">
        <v>35662180</v>
      </c>
      <c r="I19719">
        <v>35662195</v>
      </c>
    </row>
    <row r="19720" spans="1:9" x14ac:dyDescent="0.2">
      <c r="A19720" t="str">
        <f>"Spata25"</f>
        <v>Spata25</v>
      </c>
      <c r="B19720" t="s">
        <v>14</v>
      </c>
      <c r="C19720" t="s">
        <v>26</v>
      </c>
      <c r="D19720" t="s">
        <v>11</v>
      </c>
      <c r="E19720" t="s">
        <v>67</v>
      </c>
      <c r="F19720">
        <v>164828479</v>
      </c>
      <c r="G19720">
        <v>164828499</v>
      </c>
      <c r="H19720">
        <v>164828529</v>
      </c>
      <c r="I19720">
        <v>164828537</v>
      </c>
    </row>
    <row r="19721" spans="1:9" x14ac:dyDescent="0.2">
      <c r="A19721" t="str">
        <f>"Spata2l"</f>
        <v>Spata2l</v>
      </c>
      <c r="B19721" t="s">
        <v>14</v>
      </c>
      <c r="C19721" t="s">
        <v>30</v>
      </c>
      <c r="D19721" t="s">
        <v>11</v>
      </c>
      <c r="E19721" t="s">
        <v>12</v>
      </c>
      <c r="F19721">
        <v>123236198</v>
      </c>
      <c r="G19721">
        <v>123236237</v>
      </c>
      <c r="H19721">
        <v>123236166</v>
      </c>
      <c r="I19721">
        <v>123236195</v>
      </c>
    </row>
    <row r="19722" spans="1:9" x14ac:dyDescent="0.2">
      <c r="A19722" t="str">
        <f>"Spata3"</f>
        <v>Spata3</v>
      </c>
      <c r="B19722" t="s">
        <v>14</v>
      </c>
      <c r="C19722" t="s">
        <v>19</v>
      </c>
      <c r="D19722" t="s">
        <v>17</v>
      </c>
      <c r="E19722" t="s">
        <v>12</v>
      </c>
      <c r="F19722">
        <v>86021935</v>
      </c>
      <c r="G19722">
        <v>86021953</v>
      </c>
      <c r="H19722">
        <v>86021959</v>
      </c>
      <c r="I19722">
        <v>86021972</v>
      </c>
    </row>
    <row r="19723" spans="1:9" x14ac:dyDescent="0.2">
      <c r="A19723" t="str">
        <f>"Spata31"</f>
        <v>Spata31</v>
      </c>
      <c r="B19723" t="s">
        <v>14</v>
      </c>
      <c r="C19723" t="s">
        <v>39</v>
      </c>
      <c r="D19723" t="s">
        <v>17</v>
      </c>
      <c r="E19723" t="s">
        <v>67</v>
      </c>
      <c r="F19723">
        <v>64917431</v>
      </c>
      <c r="G19723">
        <v>64917466</v>
      </c>
      <c r="H19723">
        <v>64917431</v>
      </c>
      <c r="I19723">
        <v>64917466</v>
      </c>
    </row>
    <row r="19724" spans="1:9" x14ac:dyDescent="0.2">
      <c r="A19724" t="str">
        <f>"Spata31d1a"</f>
        <v>Spata31d1a</v>
      </c>
      <c r="B19724" t="s">
        <v>5778</v>
      </c>
      <c r="C19724" t="s">
        <v>39</v>
      </c>
      <c r="D19724" t="s">
        <v>11</v>
      </c>
      <c r="E19724" t="s">
        <v>20</v>
      </c>
      <c r="F19724">
        <v>59706196</v>
      </c>
      <c r="G19724">
        <v>59706196</v>
      </c>
      <c r="H19724">
        <v>59706196</v>
      </c>
      <c r="I19724">
        <v>59706196</v>
      </c>
    </row>
    <row r="19725" spans="1:9" x14ac:dyDescent="0.2">
      <c r="A19725" t="str">
        <f>"Spata31d1b"</f>
        <v>Spata31d1b</v>
      </c>
      <c r="B19725" t="s">
        <v>5779</v>
      </c>
      <c r="C19725" t="s">
        <v>39</v>
      </c>
      <c r="D19725" t="s">
        <v>17</v>
      </c>
      <c r="E19725" t="s">
        <v>20</v>
      </c>
      <c r="F19725">
        <v>59712283</v>
      </c>
      <c r="G19725">
        <v>59712283</v>
      </c>
      <c r="H19725">
        <v>59712283</v>
      </c>
      <c r="I19725">
        <v>59712283</v>
      </c>
    </row>
    <row r="19726" spans="1:9" x14ac:dyDescent="0.2">
      <c r="A19726" t="str">
        <f>"Spata31d1c"</f>
        <v>Spata31d1c</v>
      </c>
      <c r="B19726" t="s">
        <v>14</v>
      </c>
      <c r="C19726" t="s">
        <v>39</v>
      </c>
      <c r="D19726" t="s">
        <v>17</v>
      </c>
      <c r="E19726" t="s">
        <v>67</v>
      </c>
      <c r="F19726">
        <v>65033046</v>
      </c>
      <c r="G19726">
        <v>65033065</v>
      </c>
      <c r="H19726">
        <v>65033046</v>
      </c>
      <c r="I19726">
        <v>65033065</v>
      </c>
    </row>
    <row r="19727" spans="1:9" x14ac:dyDescent="0.2">
      <c r="A19727" t="str">
        <f>"Spata31d1d"</f>
        <v>Spata31d1d</v>
      </c>
      <c r="B19727" t="s">
        <v>14</v>
      </c>
      <c r="C19727" t="s">
        <v>39</v>
      </c>
      <c r="D19727" t="s">
        <v>11</v>
      </c>
      <c r="E19727" t="s">
        <v>67</v>
      </c>
      <c r="F19727">
        <v>59731734</v>
      </c>
      <c r="G19727">
        <v>59731758</v>
      </c>
      <c r="H19727">
        <v>59731768</v>
      </c>
      <c r="I19727">
        <v>59731773</v>
      </c>
    </row>
    <row r="19728" spans="1:9" x14ac:dyDescent="0.2">
      <c r="A19728" t="str">
        <f>"Spata32"</f>
        <v>Spata32</v>
      </c>
      <c r="B19728" t="s">
        <v>14</v>
      </c>
      <c r="C19728" t="s">
        <v>27</v>
      </c>
      <c r="D19728" t="s">
        <v>11</v>
      </c>
      <c r="E19728" t="s">
        <v>67</v>
      </c>
      <c r="F19728">
        <v>103218421</v>
      </c>
      <c r="G19728">
        <v>103218438</v>
      </c>
      <c r="H19728">
        <v>103218450</v>
      </c>
      <c r="I19728">
        <v>103218461</v>
      </c>
    </row>
    <row r="19729" spans="1:9" x14ac:dyDescent="0.2">
      <c r="A19729" t="str">
        <f>"Spata33"</f>
        <v>Spata33</v>
      </c>
      <c r="B19729" t="s">
        <v>14</v>
      </c>
      <c r="C19729" t="s">
        <v>30</v>
      </c>
      <c r="D19729" t="s">
        <v>17</v>
      </c>
      <c r="E19729" t="s">
        <v>67</v>
      </c>
      <c r="F19729">
        <v>123212857</v>
      </c>
      <c r="G19729">
        <v>123212911</v>
      </c>
      <c r="H19729">
        <v>123212826</v>
      </c>
      <c r="I19729">
        <v>123212848</v>
      </c>
    </row>
    <row r="19730" spans="1:9" x14ac:dyDescent="0.2">
      <c r="A19730" t="str">
        <f>"Spata4"</f>
        <v>Spata4</v>
      </c>
      <c r="B19730" t="s">
        <v>14</v>
      </c>
      <c r="C19730" t="s">
        <v>30</v>
      </c>
      <c r="D19730" t="s">
        <v>17</v>
      </c>
      <c r="E19730" t="s">
        <v>12</v>
      </c>
      <c r="F19730">
        <v>54600774</v>
      </c>
      <c r="G19730">
        <v>54600804</v>
      </c>
      <c r="H19730">
        <v>54600774</v>
      </c>
      <c r="I19730">
        <v>54600804</v>
      </c>
    </row>
    <row r="19731" spans="1:9" x14ac:dyDescent="0.2">
      <c r="A19731" t="str">
        <f>"Spata5"</f>
        <v>Spata5</v>
      </c>
      <c r="B19731" t="s">
        <v>14</v>
      </c>
      <c r="C19731" t="s">
        <v>22</v>
      </c>
      <c r="D19731" t="s">
        <v>17</v>
      </c>
      <c r="E19731" t="s">
        <v>12</v>
      </c>
      <c r="F19731">
        <v>37420273</v>
      </c>
      <c r="G19731">
        <v>37420335</v>
      </c>
      <c r="H19731">
        <v>37420257</v>
      </c>
      <c r="I19731">
        <v>37420272</v>
      </c>
    </row>
    <row r="19732" spans="1:9" x14ac:dyDescent="0.2">
      <c r="A19732" t="str">
        <f>"Spata6"</f>
        <v>Spata6</v>
      </c>
      <c r="B19732" t="s">
        <v>14</v>
      </c>
      <c r="C19732" t="s">
        <v>23</v>
      </c>
      <c r="D19732" t="s">
        <v>17</v>
      </c>
      <c r="E19732" t="s">
        <v>12</v>
      </c>
      <c r="F19732">
        <v>111719975</v>
      </c>
      <c r="G19732">
        <v>111720047</v>
      </c>
      <c r="H19732">
        <v>111719975</v>
      </c>
      <c r="I19732">
        <v>111720047</v>
      </c>
    </row>
    <row r="19733" spans="1:9" x14ac:dyDescent="0.2">
      <c r="A19733" t="str">
        <f>"Spata7"</f>
        <v>Spata7</v>
      </c>
      <c r="B19733" t="s">
        <v>14</v>
      </c>
      <c r="C19733" t="s">
        <v>16</v>
      </c>
      <c r="D19733" t="s">
        <v>17</v>
      </c>
      <c r="E19733" t="s">
        <v>12</v>
      </c>
      <c r="F19733">
        <v>98628126</v>
      </c>
      <c r="G19733">
        <v>98628202</v>
      </c>
      <c r="H19733">
        <v>98628207</v>
      </c>
      <c r="I19733">
        <v>98628235</v>
      </c>
    </row>
    <row r="19734" spans="1:9" x14ac:dyDescent="0.2">
      <c r="A19734" t="str">
        <f>"Spata9"</f>
        <v>Spata9</v>
      </c>
      <c r="B19734" t="s">
        <v>14</v>
      </c>
      <c r="C19734" t="s">
        <v>39</v>
      </c>
      <c r="D19734" t="s">
        <v>17</v>
      </c>
      <c r="E19734" t="s">
        <v>12</v>
      </c>
      <c r="F19734">
        <v>75967704</v>
      </c>
      <c r="G19734">
        <v>75967753</v>
      </c>
      <c r="H19734">
        <v>75967704</v>
      </c>
      <c r="I19734">
        <v>75967753</v>
      </c>
    </row>
    <row r="19735" spans="1:9" x14ac:dyDescent="0.2">
      <c r="A19735" t="str">
        <f>"Spatc1"</f>
        <v>Spatc1</v>
      </c>
      <c r="B19735" t="s">
        <v>14</v>
      </c>
      <c r="C19735" t="s">
        <v>25</v>
      </c>
      <c r="D19735" t="s">
        <v>17</v>
      </c>
      <c r="E19735" t="s">
        <v>12</v>
      </c>
      <c r="F19735">
        <v>76268076</v>
      </c>
      <c r="G19735">
        <v>76268093</v>
      </c>
      <c r="H19735">
        <v>76268076</v>
      </c>
      <c r="I19735">
        <v>76268093</v>
      </c>
    </row>
    <row r="19736" spans="1:9" x14ac:dyDescent="0.2">
      <c r="A19736" t="str">
        <f>"Spatc1l"</f>
        <v>Spatc1l</v>
      </c>
      <c r="B19736" t="s">
        <v>14</v>
      </c>
      <c r="C19736" t="s">
        <v>15</v>
      </c>
      <c r="D19736" t="s">
        <v>17</v>
      </c>
      <c r="E19736" t="s">
        <v>67</v>
      </c>
      <c r="F19736">
        <v>76562270</v>
      </c>
      <c r="G19736">
        <v>76562328</v>
      </c>
      <c r="H19736">
        <v>76562270</v>
      </c>
      <c r="I19736">
        <v>76562328</v>
      </c>
    </row>
    <row r="19737" spans="1:9" x14ac:dyDescent="0.2">
      <c r="A19737" t="str">
        <f>"Spats1"</f>
        <v>Spats1</v>
      </c>
      <c r="B19737" t="s">
        <v>14</v>
      </c>
      <c r="C19737" t="s">
        <v>28</v>
      </c>
      <c r="D19737" t="s">
        <v>11</v>
      </c>
      <c r="E19737" t="s">
        <v>12</v>
      </c>
      <c r="F19737">
        <v>45474839</v>
      </c>
      <c r="G19737">
        <v>45474885</v>
      </c>
      <c r="H19737">
        <v>45475235</v>
      </c>
      <c r="I19737">
        <v>45475280</v>
      </c>
    </row>
    <row r="19738" spans="1:9" x14ac:dyDescent="0.2">
      <c r="A19738" t="str">
        <f>"Spats2"</f>
        <v>Spats2</v>
      </c>
      <c r="B19738" t="s">
        <v>14</v>
      </c>
      <c r="C19738" t="s">
        <v>25</v>
      </c>
      <c r="D19738" t="s">
        <v>17</v>
      </c>
      <c r="E19738" t="s">
        <v>12</v>
      </c>
      <c r="F19738">
        <v>99126513</v>
      </c>
      <c r="G19738">
        <v>99126616</v>
      </c>
      <c r="H19738">
        <v>99126736</v>
      </c>
      <c r="I19738">
        <v>99126770</v>
      </c>
    </row>
    <row r="19739" spans="1:9" x14ac:dyDescent="0.2">
      <c r="A19739" t="str">
        <f>"Spats2l"</f>
        <v>Spats2l</v>
      </c>
      <c r="B19739" t="s">
        <v>14</v>
      </c>
      <c r="C19739" t="s">
        <v>19</v>
      </c>
      <c r="D19739" t="s">
        <v>17</v>
      </c>
      <c r="E19739" t="s">
        <v>12</v>
      </c>
      <c r="F19739">
        <v>57774842</v>
      </c>
      <c r="G19739">
        <v>57774932</v>
      </c>
      <c r="H19739">
        <v>57774933</v>
      </c>
      <c r="I19739">
        <v>57774955</v>
      </c>
    </row>
    <row r="19740" spans="1:9" x14ac:dyDescent="0.2">
      <c r="A19740" t="str">
        <f>"Spc24"</f>
        <v>Spc24</v>
      </c>
      <c r="B19740" t="s">
        <v>14</v>
      </c>
      <c r="C19740" t="s">
        <v>24</v>
      </c>
      <c r="D19740" t="s">
        <v>11</v>
      </c>
      <c r="E19740" t="s">
        <v>12</v>
      </c>
      <c r="F19740">
        <v>21760275</v>
      </c>
      <c r="G19740">
        <v>21760294</v>
      </c>
      <c r="H19740">
        <v>21760298</v>
      </c>
      <c r="I19740">
        <v>21760316</v>
      </c>
    </row>
    <row r="19741" spans="1:9" x14ac:dyDescent="0.2">
      <c r="A19741" t="str">
        <f>"Spc25"</f>
        <v>Spc25</v>
      </c>
      <c r="B19741" t="s">
        <v>14</v>
      </c>
      <c r="C19741" t="s">
        <v>26</v>
      </c>
      <c r="D19741" t="s">
        <v>11</v>
      </c>
      <c r="E19741" t="s">
        <v>12</v>
      </c>
      <c r="F19741">
        <v>69206146</v>
      </c>
      <c r="G19741">
        <v>69206191</v>
      </c>
      <c r="H19741">
        <v>69206133</v>
      </c>
      <c r="I19741">
        <v>69206144</v>
      </c>
    </row>
    <row r="19742" spans="1:9" x14ac:dyDescent="0.2">
      <c r="A19742" t="str">
        <f>"Spcs1"</f>
        <v>Spcs1</v>
      </c>
      <c r="B19742" t="s">
        <v>14</v>
      </c>
      <c r="C19742" t="s">
        <v>41</v>
      </c>
      <c r="D19742" t="s">
        <v>11</v>
      </c>
      <c r="E19742" t="s">
        <v>12</v>
      </c>
      <c r="F19742">
        <v>31001311</v>
      </c>
      <c r="G19742">
        <v>31001388</v>
      </c>
      <c r="H19742">
        <v>31001532</v>
      </c>
      <c r="I19742">
        <v>31001587</v>
      </c>
    </row>
    <row r="19743" spans="1:9" x14ac:dyDescent="0.2">
      <c r="A19743" t="str">
        <f>"Spcs2"</f>
        <v>Spcs2</v>
      </c>
      <c r="B19743" t="s">
        <v>14</v>
      </c>
      <c r="C19743" t="s">
        <v>33</v>
      </c>
      <c r="D19743" t="s">
        <v>11</v>
      </c>
      <c r="E19743" t="s">
        <v>12</v>
      </c>
      <c r="F19743">
        <v>99858872</v>
      </c>
      <c r="G19743">
        <v>99858906</v>
      </c>
      <c r="H19743">
        <v>99858910</v>
      </c>
      <c r="I19743">
        <v>99858921</v>
      </c>
    </row>
    <row r="19744" spans="1:9" x14ac:dyDescent="0.2">
      <c r="A19744" t="str">
        <f>"Spcs3"</f>
        <v>Spcs3</v>
      </c>
      <c r="B19744" t="s">
        <v>14</v>
      </c>
      <c r="C19744" t="s">
        <v>30</v>
      </c>
      <c r="D19744" t="s">
        <v>11</v>
      </c>
      <c r="E19744" t="s">
        <v>12</v>
      </c>
      <c r="F19744">
        <v>54529951</v>
      </c>
      <c r="G19744">
        <v>54530007</v>
      </c>
      <c r="H19744">
        <v>54529935</v>
      </c>
      <c r="I19744">
        <v>54529946</v>
      </c>
    </row>
    <row r="19745" spans="1:9" x14ac:dyDescent="0.2">
      <c r="A19745" t="str">
        <f>"Spdef"</f>
        <v>Spdef</v>
      </c>
      <c r="B19745" t="s">
        <v>14</v>
      </c>
      <c r="C19745" t="s">
        <v>28</v>
      </c>
      <c r="D19745" t="s">
        <v>11</v>
      </c>
      <c r="E19745" t="s">
        <v>12</v>
      </c>
      <c r="F19745">
        <v>27728937</v>
      </c>
      <c r="G19745">
        <v>27728956</v>
      </c>
      <c r="H19745">
        <v>27728937</v>
      </c>
      <c r="I19745">
        <v>27728956</v>
      </c>
    </row>
    <row r="19746" spans="1:9" x14ac:dyDescent="0.2">
      <c r="A19746" t="str">
        <f>"Spdl1"</f>
        <v>Spdl1</v>
      </c>
      <c r="B19746" t="s">
        <v>14</v>
      </c>
      <c r="C19746" t="s">
        <v>27</v>
      </c>
      <c r="D19746" t="s">
        <v>11</v>
      </c>
      <c r="E19746" t="s">
        <v>67</v>
      </c>
      <c r="F19746">
        <v>34833603</v>
      </c>
      <c r="G19746">
        <v>34833626</v>
      </c>
      <c r="H19746">
        <v>34833631</v>
      </c>
      <c r="I19746">
        <v>34833663</v>
      </c>
    </row>
    <row r="19747" spans="1:9" x14ac:dyDescent="0.2">
      <c r="A19747" t="str">
        <f>"Spdya"</f>
        <v>Spdya</v>
      </c>
      <c r="B19747" t="s">
        <v>14</v>
      </c>
      <c r="C19747" t="s">
        <v>28</v>
      </c>
      <c r="D19747" t="s">
        <v>17</v>
      </c>
      <c r="E19747" t="s">
        <v>12</v>
      </c>
      <c r="F19747">
        <v>71552031</v>
      </c>
      <c r="G19747">
        <v>71552079</v>
      </c>
      <c r="H19747">
        <v>71552083</v>
      </c>
      <c r="I19747">
        <v>71552094</v>
      </c>
    </row>
    <row r="19748" spans="1:9" x14ac:dyDescent="0.2">
      <c r="A19748" t="str">
        <f>"Spdyb"</f>
        <v>Spdyb</v>
      </c>
      <c r="B19748" t="s">
        <v>14</v>
      </c>
      <c r="C19748" t="s">
        <v>46</v>
      </c>
      <c r="D19748" t="s">
        <v>11</v>
      </c>
      <c r="E19748" t="s">
        <v>12</v>
      </c>
      <c r="F19748">
        <v>143225876</v>
      </c>
      <c r="G19748">
        <v>143225892</v>
      </c>
      <c r="H19748">
        <v>143225876</v>
      </c>
      <c r="I19748">
        <v>143225892</v>
      </c>
    </row>
    <row r="19749" spans="1:9" x14ac:dyDescent="0.2">
      <c r="A19749" t="str">
        <f>"Specc1"</f>
        <v>Specc1</v>
      </c>
      <c r="B19749" t="s">
        <v>5780</v>
      </c>
      <c r="C19749" t="s">
        <v>27</v>
      </c>
      <c r="D19749" t="s">
        <v>17</v>
      </c>
      <c r="E19749" t="s">
        <v>20</v>
      </c>
      <c r="F19749">
        <v>62029275</v>
      </c>
      <c r="G19749">
        <v>62029275</v>
      </c>
      <c r="H19749">
        <v>62029275</v>
      </c>
      <c r="I19749">
        <v>62029275</v>
      </c>
    </row>
    <row r="19750" spans="1:9" x14ac:dyDescent="0.2">
      <c r="A19750" t="str">
        <f>"Specc1l"</f>
        <v>Specc1l</v>
      </c>
      <c r="B19750" t="s">
        <v>14</v>
      </c>
      <c r="C19750" t="s">
        <v>15</v>
      </c>
      <c r="D19750" t="s">
        <v>17</v>
      </c>
      <c r="E19750" t="s">
        <v>12</v>
      </c>
      <c r="F19750">
        <v>75212065</v>
      </c>
      <c r="G19750">
        <v>75212150</v>
      </c>
      <c r="H19750">
        <v>75212158</v>
      </c>
      <c r="I19750">
        <v>75212187</v>
      </c>
    </row>
    <row r="19751" spans="1:9" x14ac:dyDescent="0.2">
      <c r="A19751" t="str">
        <f>"Speer1-ps1"</f>
        <v>Speer1-ps1</v>
      </c>
      <c r="B19751" t="s">
        <v>5781</v>
      </c>
      <c r="C19751" t="s">
        <v>46</v>
      </c>
      <c r="D19751" t="s">
        <v>17</v>
      </c>
      <c r="E19751" t="s">
        <v>20</v>
      </c>
      <c r="F19751">
        <v>11341515</v>
      </c>
      <c r="G19751">
        <v>11341515</v>
      </c>
      <c r="H19751">
        <v>11341515</v>
      </c>
      <c r="I19751">
        <v>11341515</v>
      </c>
    </row>
    <row r="19752" spans="1:9" x14ac:dyDescent="0.2">
      <c r="A19752" t="str">
        <f>"Speer2"</f>
        <v>Speer2</v>
      </c>
      <c r="B19752" t="s">
        <v>14</v>
      </c>
      <c r="C19752" t="s">
        <v>31</v>
      </c>
      <c r="D19752" t="s">
        <v>11</v>
      </c>
      <c r="E19752" t="s">
        <v>12</v>
      </c>
      <c r="F19752">
        <v>69863718</v>
      </c>
      <c r="G19752">
        <v>69863731</v>
      </c>
      <c r="H19752">
        <v>69863718</v>
      </c>
      <c r="I19752">
        <v>69863731</v>
      </c>
    </row>
    <row r="19753" spans="1:9" x14ac:dyDescent="0.2">
      <c r="A19753" t="str">
        <f>"Speer3"</f>
        <v>Speer3</v>
      </c>
      <c r="B19753" t="s">
        <v>14</v>
      </c>
      <c r="C19753" t="s">
        <v>46</v>
      </c>
      <c r="D19753" t="s">
        <v>17</v>
      </c>
      <c r="E19753" t="s">
        <v>12</v>
      </c>
      <c r="F19753">
        <v>13791619</v>
      </c>
      <c r="G19753">
        <v>13791623</v>
      </c>
      <c r="H19753">
        <v>13791619</v>
      </c>
      <c r="I19753">
        <v>13791623</v>
      </c>
    </row>
    <row r="19754" spans="1:9" x14ac:dyDescent="0.2">
      <c r="A19754" t="str">
        <f>"Speer4a"</f>
        <v>Speer4a</v>
      </c>
      <c r="B19754" t="s">
        <v>5782</v>
      </c>
      <c r="C19754" t="s">
        <v>46</v>
      </c>
      <c r="D19754" t="s">
        <v>11</v>
      </c>
      <c r="E19754" t="s">
        <v>20</v>
      </c>
      <c r="F19754">
        <v>26039505</v>
      </c>
      <c r="G19754">
        <v>26039505</v>
      </c>
      <c r="H19754">
        <v>26039505</v>
      </c>
      <c r="I19754">
        <v>26039505</v>
      </c>
    </row>
    <row r="19755" spans="1:9" x14ac:dyDescent="0.2">
      <c r="A19755" t="str">
        <f>"Speer4b"</f>
        <v>Speer4b</v>
      </c>
      <c r="B19755" t="s">
        <v>5783</v>
      </c>
      <c r="C19755" t="s">
        <v>46</v>
      </c>
      <c r="D19755" t="s">
        <v>11</v>
      </c>
      <c r="E19755" t="s">
        <v>20</v>
      </c>
      <c r="F19755">
        <v>27501437</v>
      </c>
      <c r="G19755">
        <v>27501437</v>
      </c>
      <c r="H19755">
        <v>27501437</v>
      </c>
      <c r="I19755">
        <v>27501437</v>
      </c>
    </row>
    <row r="19756" spans="1:9" x14ac:dyDescent="0.2">
      <c r="A19756" t="str">
        <f>"Speer4c"</f>
        <v>Speer4c</v>
      </c>
      <c r="B19756" t="s">
        <v>14</v>
      </c>
      <c r="C19756" t="s">
        <v>46</v>
      </c>
      <c r="D19756" t="s">
        <v>11</v>
      </c>
      <c r="E19756" t="s">
        <v>12</v>
      </c>
      <c r="F19756">
        <v>15714211</v>
      </c>
      <c r="G19756">
        <v>15714226</v>
      </c>
      <c r="H19756">
        <v>15714211</v>
      </c>
      <c r="I19756">
        <v>15714226</v>
      </c>
    </row>
    <row r="19757" spans="1:9" x14ac:dyDescent="0.2">
      <c r="A19757" t="str">
        <f>"Speer4d"</f>
        <v>Speer4d</v>
      </c>
      <c r="B19757" t="s">
        <v>14</v>
      </c>
      <c r="C19757" t="s">
        <v>46</v>
      </c>
      <c r="D19757" t="s">
        <v>17</v>
      </c>
      <c r="E19757" t="s">
        <v>12</v>
      </c>
      <c r="F19757">
        <v>15619087</v>
      </c>
      <c r="G19757">
        <v>15619110</v>
      </c>
      <c r="H19757">
        <v>15619087</v>
      </c>
      <c r="I19757">
        <v>15619110</v>
      </c>
    </row>
    <row r="19758" spans="1:9" x14ac:dyDescent="0.2">
      <c r="A19758" t="str">
        <f>"Speer4e"</f>
        <v>Speer4e</v>
      </c>
      <c r="B19758" t="s">
        <v>5784</v>
      </c>
      <c r="C19758" t="s">
        <v>46</v>
      </c>
      <c r="D19758" t="s">
        <v>11</v>
      </c>
      <c r="E19758" t="s">
        <v>20</v>
      </c>
      <c r="F19758">
        <v>14938428</v>
      </c>
      <c r="G19758">
        <v>14938428</v>
      </c>
      <c r="H19758">
        <v>14938428</v>
      </c>
      <c r="I19758">
        <v>14938428</v>
      </c>
    </row>
    <row r="19759" spans="1:9" x14ac:dyDescent="0.2">
      <c r="A19759" t="str">
        <f>"Speer4f"</f>
        <v>Speer4f</v>
      </c>
      <c r="B19759" t="s">
        <v>5785</v>
      </c>
      <c r="C19759" t="s">
        <v>46</v>
      </c>
      <c r="D19759" t="s">
        <v>17</v>
      </c>
      <c r="E19759" t="s">
        <v>20</v>
      </c>
      <c r="F19759">
        <v>17476097</v>
      </c>
      <c r="G19759">
        <v>17476097</v>
      </c>
      <c r="H19759">
        <v>17476097</v>
      </c>
      <c r="I19759">
        <v>17476097</v>
      </c>
    </row>
    <row r="19760" spans="1:9" x14ac:dyDescent="0.2">
      <c r="A19760" t="str">
        <f>"Spef1"</f>
        <v>Spef1</v>
      </c>
      <c r="B19760" t="s">
        <v>14</v>
      </c>
      <c r="C19760" t="s">
        <v>26</v>
      </c>
      <c r="D19760" t="s">
        <v>11</v>
      </c>
      <c r="E19760" t="s">
        <v>12</v>
      </c>
      <c r="F19760">
        <v>131174821</v>
      </c>
      <c r="G19760">
        <v>131174837</v>
      </c>
      <c r="H19760">
        <v>131174801</v>
      </c>
      <c r="I19760">
        <v>131174815</v>
      </c>
    </row>
    <row r="19761" spans="1:9" x14ac:dyDescent="0.2">
      <c r="A19761" t="str">
        <f>"Spef2"</f>
        <v>Spef2</v>
      </c>
      <c r="B19761" t="s">
        <v>14</v>
      </c>
      <c r="C19761" t="s">
        <v>25</v>
      </c>
      <c r="D19761" t="s">
        <v>11</v>
      </c>
      <c r="E19761" t="s">
        <v>12</v>
      </c>
      <c r="F19761">
        <v>9748812</v>
      </c>
      <c r="G19761">
        <v>9748874</v>
      </c>
      <c r="H19761">
        <v>9748876</v>
      </c>
      <c r="I19761">
        <v>9748890</v>
      </c>
    </row>
    <row r="19762" spans="1:9" x14ac:dyDescent="0.2">
      <c r="A19762" t="str">
        <f>"Speg"</f>
        <v>Speg</v>
      </c>
      <c r="B19762" t="s">
        <v>9</v>
      </c>
      <c r="C19762" t="s">
        <v>19</v>
      </c>
      <c r="D19762" t="s">
        <v>17</v>
      </c>
      <c r="E19762" t="s">
        <v>12</v>
      </c>
      <c r="F19762">
        <v>75382119</v>
      </c>
      <c r="G19762">
        <v>75382149</v>
      </c>
      <c r="H19762">
        <v>75382119</v>
      </c>
      <c r="I19762">
        <v>75382149</v>
      </c>
    </row>
    <row r="19763" spans="1:9" x14ac:dyDescent="0.2">
      <c r="A19763" t="str">
        <f>"Speg"</f>
        <v>Speg</v>
      </c>
      <c r="B19763" t="s">
        <v>13</v>
      </c>
      <c r="C19763" t="s">
        <v>19</v>
      </c>
      <c r="D19763" t="s">
        <v>17</v>
      </c>
      <c r="E19763" t="s">
        <v>12</v>
      </c>
      <c r="F19763">
        <v>75400070</v>
      </c>
      <c r="G19763">
        <v>75400163</v>
      </c>
      <c r="H19763">
        <v>75400070</v>
      </c>
      <c r="I19763">
        <v>75400163</v>
      </c>
    </row>
    <row r="19764" spans="1:9" x14ac:dyDescent="0.2">
      <c r="A19764" t="str">
        <f>"Spem1"</f>
        <v>Spem1</v>
      </c>
      <c r="B19764" t="s">
        <v>14</v>
      </c>
      <c r="C19764" t="s">
        <v>27</v>
      </c>
      <c r="D19764" t="s">
        <v>11</v>
      </c>
      <c r="E19764" t="s">
        <v>12</v>
      </c>
      <c r="F19764">
        <v>69822144</v>
      </c>
      <c r="G19764">
        <v>69822162</v>
      </c>
      <c r="H19764">
        <v>69822144</v>
      </c>
      <c r="I19764">
        <v>69822162</v>
      </c>
    </row>
    <row r="19765" spans="1:9" x14ac:dyDescent="0.2">
      <c r="A19765" t="str">
        <f>"Spen"</f>
        <v>Spen</v>
      </c>
      <c r="B19765" t="s">
        <v>14</v>
      </c>
      <c r="C19765" t="s">
        <v>23</v>
      </c>
      <c r="D19765" t="s">
        <v>11</v>
      </c>
      <c r="E19765" t="s">
        <v>12</v>
      </c>
      <c r="F19765">
        <v>141538434</v>
      </c>
      <c r="G19765">
        <v>141538525</v>
      </c>
      <c r="H19765">
        <v>141538562</v>
      </c>
      <c r="I19765">
        <v>141538626</v>
      </c>
    </row>
    <row r="19766" spans="1:9" x14ac:dyDescent="0.2">
      <c r="A19766" t="str">
        <f>"Spert"</f>
        <v>Spert</v>
      </c>
      <c r="B19766" t="s">
        <v>14</v>
      </c>
      <c r="C19766" t="s">
        <v>41</v>
      </c>
      <c r="D19766" t="s">
        <v>11</v>
      </c>
      <c r="E19766" t="s">
        <v>12</v>
      </c>
      <c r="F19766">
        <v>75593119</v>
      </c>
      <c r="G19766">
        <v>75593158</v>
      </c>
      <c r="H19766">
        <v>75593119</v>
      </c>
      <c r="I19766">
        <v>75593158</v>
      </c>
    </row>
    <row r="19767" spans="1:9" x14ac:dyDescent="0.2">
      <c r="A19767" t="str">
        <f>"Spesp1"</f>
        <v>Spesp1</v>
      </c>
      <c r="B19767" t="s">
        <v>14</v>
      </c>
      <c r="C19767" t="s">
        <v>24</v>
      </c>
      <c r="D19767" t="s">
        <v>11</v>
      </c>
      <c r="E19767" t="s">
        <v>12</v>
      </c>
      <c r="F19767">
        <v>62282165</v>
      </c>
      <c r="G19767">
        <v>62282217</v>
      </c>
      <c r="H19767">
        <v>62282145</v>
      </c>
      <c r="I19767">
        <v>62282154</v>
      </c>
    </row>
    <row r="19768" spans="1:9" x14ac:dyDescent="0.2">
      <c r="A19768" t="str">
        <f>"Spg11"</f>
        <v>Spg11</v>
      </c>
      <c r="B19768" t="s">
        <v>14</v>
      </c>
      <c r="C19768" t="s">
        <v>26</v>
      </c>
      <c r="D19768" t="s">
        <v>11</v>
      </c>
      <c r="E19768" t="s">
        <v>12</v>
      </c>
      <c r="F19768">
        <v>122118364</v>
      </c>
      <c r="G19768">
        <v>122118397</v>
      </c>
      <c r="H19768">
        <v>122118317</v>
      </c>
      <c r="I19768">
        <v>122118349</v>
      </c>
    </row>
    <row r="19769" spans="1:9" x14ac:dyDescent="0.2">
      <c r="A19769" t="str">
        <f>"Spg20"</f>
        <v>Spg20</v>
      </c>
      <c r="B19769" t="s">
        <v>14</v>
      </c>
      <c r="C19769" t="s">
        <v>22</v>
      </c>
      <c r="D19769" t="s">
        <v>17</v>
      </c>
      <c r="E19769" t="s">
        <v>12</v>
      </c>
      <c r="F19769">
        <v>55112080</v>
      </c>
      <c r="G19769">
        <v>55112171</v>
      </c>
      <c r="H19769">
        <v>55112354</v>
      </c>
      <c r="I19769">
        <v>55112376</v>
      </c>
    </row>
    <row r="19770" spans="1:9" x14ac:dyDescent="0.2">
      <c r="A19770" t="str">
        <f>"Spg21"</f>
        <v>Spg21</v>
      </c>
      <c r="B19770" t="s">
        <v>14</v>
      </c>
      <c r="C19770" t="s">
        <v>24</v>
      </c>
      <c r="D19770" t="s">
        <v>17</v>
      </c>
      <c r="E19770" t="s">
        <v>12</v>
      </c>
      <c r="F19770">
        <v>65460926</v>
      </c>
      <c r="G19770">
        <v>65460983</v>
      </c>
      <c r="H19770">
        <v>65460984</v>
      </c>
      <c r="I19770">
        <v>65460993</v>
      </c>
    </row>
    <row r="19771" spans="1:9" x14ac:dyDescent="0.2">
      <c r="A19771" t="str">
        <f>"Spg7"</f>
        <v>Spg7</v>
      </c>
      <c r="B19771" t="s">
        <v>14</v>
      </c>
      <c r="C19771" t="s">
        <v>30</v>
      </c>
      <c r="D19771" t="s">
        <v>17</v>
      </c>
      <c r="E19771" t="s">
        <v>12</v>
      </c>
      <c r="F19771">
        <v>123065490</v>
      </c>
      <c r="G19771">
        <v>123065529</v>
      </c>
      <c r="H19771">
        <v>123065490</v>
      </c>
      <c r="I19771">
        <v>123065529</v>
      </c>
    </row>
    <row r="19772" spans="1:9" x14ac:dyDescent="0.2">
      <c r="A19772" t="str">
        <f>"Sphk1"</f>
        <v>Sphk1</v>
      </c>
      <c r="B19772" t="s">
        <v>14</v>
      </c>
      <c r="C19772" t="s">
        <v>27</v>
      </c>
      <c r="D19772" t="s">
        <v>17</v>
      </c>
      <c r="E19772" t="s">
        <v>12</v>
      </c>
      <c r="F19772">
        <v>116532441</v>
      </c>
      <c r="G19772">
        <v>116532478</v>
      </c>
      <c r="H19772">
        <v>116533257</v>
      </c>
      <c r="I19772">
        <v>116533275</v>
      </c>
    </row>
    <row r="19773" spans="1:9" x14ac:dyDescent="0.2">
      <c r="A19773" t="str">
        <f>"Sphk2"</f>
        <v>Sphk2</v>
      </c>
      <c r="B19773" t="s">
        <v>9</v>
      </c>
      <c r="C19773" t="s">
        <v>33</v>
      </c>
      <c r="D19773" t="s">
        <v>11</v>
      </c>
      <c r="E19773" t="s">
        <v>12</v>
      </c>
      <c r="F19773">
        <v>45717919</v>
      </c>
      <c r="G19773">
        <v>45717950</v>
      </c>
      <c r="H19773">
        <v>45717919</v>
      </c>
      <c r="I19773">
        <v>45717950</v>
      </c>
    </row>
    <row r="19774" spans="1:9" x14ac:dyDescent="0.2">
      <c r="A19774" t="str">
        <f>"Sphk2"</f>
        <v>Sphk2</v>
      </c>
      <c r="B19774" t="s">
        <v>13</v>
      </c>
      <c r="C19774" t="s">
        <v>33</v>
      </c>
      <c r="D19774" t="s">
        <v>11</v>
      </c>
      <c r="E19774" t="s">
        <v>12</v>
      </c>
      <c r="F19774">
        <v>45715180</v>
      </c>
      <c r="G19774">
        <v>45715212</v>
      </c>
      <c r="H19774">
        <v>45715180</v>
      </c>
      <c r="I19774">
        <v>45715212</v>
      </c>
    </row>
    <row r="19775" spans="1:9" x14ac:dyDescent="0.2">
      <c r="A19775" t="str">
        <f>"Sphkap"</f>
        <v>Sphkap</v>
      </c>
      <c r="B19775" t="s">
        <v>14</v>
      </c>
      <c r="C19775" t="s">
        <v>19</v>
      </c>
      <c r="D19775" t="s">
        <v>11</v>
      </c>
      <c r="E19775" t="s">
        <v>12</v>
      </c>
      <c r="F19775">
        <v>83408058</v>
      </c>
      <c r="G19775">
        <v>83408152</v>
      </c>
      <c r="H19775">
        <v>83408190</v>
      </c>
      <c r="I19775">
        <v>83408222</v>
      </c>
    </row>
    <row r="19776" spans="1:9" x14ac:dyDescent="0.2">
      <c r="A19776" t="str">
        <f>"Spi1"</f>
        <v>Spi1</v>
      </c>
      <c r="B19776" t="s">
        <v>5786</v>
      </c>
      <c r="C19776" t="s">
        <v>26</v>
      </c>
      <c r="D19776" t="s">
        <v>17</v>
      </c>
      <c r="E19776" t="s">
        <v>20</v>
      </c>
      <c r="F19776">
        <v>91096095</v>
      </c>
      <c r="G19776">
        <v>91096095</v>
      </c>
      <c r="H19776">
        <v>91096095</v>
      </c>
      <c r="I19776">
        <v>91096095</v>
      </c>
    </row>
    <row r="19777" spans="1:9" x14ac:dyDescent="0.2">
      <c r="A19777" t="str">
        <f>"Spib"</f>
        <v>Spib</v>
      </c>
      <c r="B19777" t="s">
        <v>14</v>
      </c>
      <c r="C19777" t="s">
        <v>33</v>
      </c>
      <c r="D19777" t="s">
        <v>11</v>
      </c>
      <c r="E19777" t="s">
        <v>12</v>
      </c>
      <c r="F19777">
        <v>44532064</v>
      </c>
      <c r="G19777">
        <v>44532078</v>
      </c>
      <c r="H19777">
        <v>44532064</v>
      </c>
      <c r="I19777">
        <v>44532078</v>
      </c>
    </row>
    <row r="19778" spans="1:9" x14ac:dyDescent="0.2">
      <c r="A19778" t="str">
        <f>"Spic"</f>
        <v>Spic</v>
      </c>
      <c r="B19778" t="s">
        <v>14</v>
      </c>
      <c r="C19778" t="s">
        <v>15</v>
      </c>
      <c r="D19778" t="s">
        <v>11</v>
      </c>
      <c r="E19778" t="s">
        <v>12</v>
      </c>
      <c r="F19778">
        <v>88683021</v>
      </c>
      <c r="G19778">
        <v>88683025</v>
      </c>
      <c r="H19778">
        <v>88683021</v>
      </c>
      <c r="I19778">
        <v>88683025</v>
      </c>
    </row>
    <row r="19779" spans="1:9" x14ac:dyDescent="0.2">
      <c r="A19779" t="str">
        <f>"Spice1"</f>
        <v>Spice1</v>
      </c>
      <c r="B19779" t="s">
        <v>14</v>
      </c>
      <c r="C19779" t="s">
        <v>31</v>
      </c>
      <c r="D19779" t="s">
        <v>17</v>
      </c>
      <c r="E19779" t="s">
        <v>12</v>
      </c>
      <c r="F19779">
        <v>44347396</v>
      </c>
      <c r="G19779">
        <v>44347479</v>
      </c>
      <c r="H19779">
        <v>44347955</v>
      </c>
      <c r="I19779">
        <v>44347968</v>
      </c>
    </row>
    <row r="19780" spans="1:9" x14ac:dyDescent="0.2">
      <c r="A19780" t="str">
        <f>"Spidr"</f>
        <v>Spidr</v>
      </c>
      <c r="B19780" t="s">
        <v>14</v>
      </c>
      <c r="C19780" t="s">
        <v>31</v>
      </c>
      <c r="D19780" t="s">
        <v>11</v>
      </c>
      <c r="E19780" t="s">
        <v>67</v>
      </c>
      <c r="F19780">
        <v>16146771</v>
      </c>
      <c r="G19780">
        <v>16146836</v>
      </c>
      <c r="H19780">
        <v>16146771</v>
      </c>
      <c r="I19780">
        <v>16146836</v>
      </c>
    </row>
    <row r="19781" spans="1:9" x14ac:dyDescent="0.2">
      <c r="A19781" t="str">
        <f>"Spin1"</f>
        <v>Spin1</v>
      </c>
      <c r="B19781" t="s">
        <v>14</v>
      </c>
      <c r="C19781" t="s">
        <v>39</v>
      </c>
      <c r="D19781" t="s">
        <v>17</v>
      </c>
      <c r="E19781" t="s">
        <v>12</v>
      </c>
      <c r="F19781">
        <v>51100810</v>
      </c>
      <c r="G19781">
        <v>51100933</v>
      </c>
      <c r="H19781">
        <v>51101203</v>
      </c>
      <c r="I19781">
        <v>51101231</v>
      </c>
    </row>
    <row r="19782" spans="1:9" x14ac:dyDescent="0.2">
      <c r="A19782" t="str">
        <f>"Spin2-ps5"</f>
        <v>Spin2-ps5</v>
      </c>
      <c r="B19782" t="s">
        <v>5787</v>
      </c>
      <c r="C19782" t="s">
        <v>37</v>
      </c>
      <c r="D19782" t="s">
        <v>11</v>
      </c>
      <c r="E19782" t="s">
        <v>20</v>
      </c>
      <c r="F19782">
        <v>34237785</v>
      </c>
      <c r="G19782">
        <v>34237785</v>
      </c>
      <c r="H19782">
        <v>34237785</v>
      </c>
      <c r="I19782">
        <v>34237785</v>
      </c>
    </row>
    <row r="19783" spans="1:9" x14ac:dyDescent="0.2">
      <c r="A19783" t="str">
        <f>"Spin2-ps6"</f>
        <v>Spin2-ps6</v>
      </c>
      <c r="B19783" t="s">
        <v>5788</v>
      </c>
      <c r="C19783" t="s">
        <v>37</v>
      </c>
      <c r="D19783" t="s">
        <v>17</v>
      </c>
      <c r="E19783" t="s">
        <v>20</v>
      </c>
      <c r="F19783">
        <v>33234868</v>
      </c>
      <c r="G19783">
        <v>33234868</v>
      </c>
      <c r="H19783">
        <v>33234868</v>
      </c>
      <c r="I19783">
        <v>33234868</v>
      </c>
    </row>
    <row r="19784" spans="1:9" x14ac:dyDescent="0.2">
      <c r="A19784" t="str">
        <f>"Spin2c"</f>
        <v>Spin2c</v>
      </c>
      <c r="B19784" t="s">
        <v>14</v>
      </c>
      <c r="C19784" t="s">
        <v>37</v>
      </c>
      <c r="D19784" t="s">
        <v>17</v>
      </c>
      <c r="E19784" t="s">
        <v>67</v>
      </c>
      <c r="F19784">
        <v>153832236</v>
      </c>
      <c r="G19784">
        <v>153832281</v>
      </c>
      <c r="H19784">
        <v>153832308</v>
      </c>
      <c r="I19784">
        <v>153832318</v>
      </c>
    </row>
    <row r="19785" spans="1:9" x14ac:dyDescent="0.2">
      <c r="A19785" t="str">
        <f>"Spin2d"</f>
        <v>Spin2d</v>
      </c>
      <c r="B19785" t="s">
        <v>5789</v>
      </c>
      <c r="C19785" t="s">
        <v>37</v>
      </c>
      <c r="D19785" t="s">
        <v>11</v>
      </c>
      <c r="E19785" t="s">
        <v>20</v>
      </c>
      <c r="F19785">
        <v>73176988</v>
      </c>
      <c r="G19785">
        <v>73176988</v>
      </c>
      <c r="H19785">
        <v>73176988</v>
      </c>
      <c r="I19785">
        <v>73176988</v>
      </c>
    </row>
    <row r="19786" spans="1:9" x14ac:dyDescent="0.2">
      <c r="A19786" t="str">
        <f>"Spin2e"</f>
        <v>Spin2e</v>
      </c>
      <c r="B19786" t="s">
        <v>5790</v>
      </c>
      <c r="C19786" t="s">
        <v>37</v>
      </c>
      <c r="D19786" t="s">
        <v>11</v>
      </c>
      <c r="E19786" t="s">
        <v>20</v>
      </c>
      <c r="F19786">
        <v>31618919</v>
      </c>
      <c r="G19786">
        <v>31618919</v>
      </c>
      <c r="H19786">
        <v>31618919</v>
      </c>
      <c r="I19786">
        <v>31618919</v>
      </c>
    </row>
    <row r="19787" spans="1:9" x14ac:dyDescent="0.2">
      <c r="A19787" t="str">
        <f>"Spin2f"</f>
        <v>Spin2f</v>
      </c>
      <c r="B19787" t="s">
        <v>5791</v>
      </c>
      <c r="C19787" t="s">
        <v>37</v>
      </c>
      <c r="D19787" t="s">
        <v>17</v>
      </c>
      <c r="E19787" t="s">
        <v>20</v>
      </c>
      <c r="F19787">
        <v>31253893</v>
      </c>
      <c r="G19787">
        <v>31253893</v>
      </c>
      <c r="H19787">
        <v>31253893</v>
      </c>
      <c r="I19787">
        <v>31253893</v>
      </c>
    </row>
    <row r="19788" spans="1:9" x14ac:dyDescent="0.2">
      <c r="A19788" t="str">
        <f>"Spin4"</f>
        <v>Spin4</v>
      </c>
      <c r="B19788" t="s">
        <v>14</v>
      </c>
      <c r="C19788" t="s">
        <v>37</v>
      </c>
      <c r="D19788" t="s">
        <v>11</v>
      </c>
      <c r="E19788" t="s">
        <v>12</v>
      </c>
      <c r="F19788">
        <v>95026671</v>
      </c>
      <c r="G19788">
        <v>95026701</v>
      </c>
      <c r="H19788">
        <v>95026631</v>
      </c>
      <c r="I19788">
        <v>95026646</v>
      </c>
    </row>
    <row r="19789" spans="1:9" x14ac:dyDescent="0.2">
      <c r="A19789" t="str">
        <f>"Spink10"</f>
        <v>Spink10</v>
      </c>
      <c r="B19789" t="s">
        <v>14</v>
      </c>
      <c r="C19789" t="s">
        <v>43</v>
      </c>
      <c r="D19789" t="s">
        <v>17</v>
      </c>
      <c r="E19789" t="s">
        <v>12</v>
      </c>
      <c r="F19789">
        <v>62548918</v>
      </c>
      <c r="G19789">
        <v>62548950</v>
      </c>
      <c r="H19789">
        <v>62548951</v>
      </c>
      <c r="I19789">
        <v>62548968</v>
      </c>
    </row>
    <row r="19790" spans="1:9" x14ac:dyDescent="0.2">
      <c r="A19790" t="str">
        <f>"Spink11"</f>
        <v>Spink11</v>
      </c>
      <c r="B19790" t="s">
        <v>14</v>
      </c>
      <c r="C19790" t="s">
        <v>43</v>
      </c>
      <c r="D19790" t="s">
        <v>11</v>
      </c>
      <c r="E19790" t="s">
        <v>12</v>
      </c>
      <c r="F19790">
        <v>44196167</v>
      </c>
      <c r="G19790">
        <v>44196179</v>
      </c>
      <c r="H19790">
        <v>44196167</v>
      </c>
      <c r="I19790">
        <v>44196179</v>
      </c>
    </row>
    <row r="19791" spans="1:9" x14ac:dyDescent="0.2">
      <c r="A19791" t="str">
        <f>"Spink12"</f>
        <v>Spink12</v>
      </c>
      <c r="B19791" t="s">
        <v>14</v>
      </c>
      <c r="C19791" t="s">
        <v>43</v>
      </c>
      <c r="D19791" t="s">
        <v>17</v>
      </c>
      <c r="E19791" t="s">
        <v>12</v>
      </c>
      <c r="F19791">
        <v>44104649</v>
      </c>
      <c r="G19791">
        <v>44104666</v>
      </c>
      <c r="H19791">
        <v>44104510</v>
      </c>
      <c r="I19791">
        <v>44104546</v>
      </c>
    </row>
    <row r="19792" spans="1:9" x14ac:dyDescent="0.2">
      <c r="A19792" t="str">
        <f>"Spink13"</f>
        <v>Spink13</v>
      </c>
      <c r="B19792" t="s">
        <v>14</v>
      </c>
      <c r="C19792" t="s">
        <v>43</v>
      </c>
      <c r="D19792" t="s">
        <v>11</v>
      </c>
      <c r="E19792" t="s">
        <v>12</v>
      </c>
      <c r="F19792">
        <v>62741251</v>
      </c>
      <c r="G19792">
        <v>62741252</v>
      </c>
      <c r="H19792">
        <v>62741251</v>
      </c>
      <c r="I19792">
        <v>62741252</v>
      </c>
    </row>
    <row r="19793" spans="1:9" x14ac:dyDescent="0.2">
      <c r="A19793" t="str">
        <f>"Spink14"</f>
        <v>Spink14</v>
      </c>
      <c r="B19793" t="s">
        <v>5792</v>
      </c>
      <c r="C19793" t="s">
        <v>43</v>
      </c>
      <c r="D19793" t="s">
        <v>17</v>
      </c>
      <c r="E19793" t="s">
        <v>20</v>
      </c>
      <c r="F19793">
        <v>44027868</v>
      </c>
      <c r="G19793">
        <v>44027868</v>
      </c>
      <c r="H19793">
        <v>44027868</v>
      </c>
      <c r="I19793">
        <v>44027868</v>
      </c>
    </row>
    <row r="19794" spans="1:9" x14ac:dyDescent="0.2">
      <c r="A19794" t="str">
        <f>"Spink14"</f>
        <v>Spink14</v>
      </c>
      <c r="B19794" t="s">
        <v>5793</v>
      </c>
      <c r="C19794" t="s">
        <v>43</v>
      </c>
      <c r="D19794" t="s">
        <v>17</v>
      </c>
      <c r="E19794" t="s">
        <v>20</v>
      </c>
      <c r="F19794">
        <v>44028693</v>
      </c>
      <c r="G19794">
        <v>44028693</v>
      </c>
      <c r="H19794">
        <v>44028693</v>
      </c>
      <c r="I19794">
        <v>44028693</v>
      </c>
    </row>
    <row r="19795" spans="1:9" x14ac:dyDescent="0.2">
      <c r="A19795" t="str">
        <f>"Spink2"</f>
        <v>Spink2</v>
      </c>
      <c r="B19795" t="s">
        <v>14</v>
      </c>
      <c r="C19795" t="s">
        <v>46</v>
      </c>
      <c r="D19795" t="s">
        <v>11</v>
      </c>
      <c r="E19795" t="s">
        <v>12</v>
      </c>
      <c r="F19795">
        <v>77211405</v>
      </c>
      <c r="G19795">
        <v>77211458</v>
      </c>
      <c r="H19795">
        <v>77211463</v>
      </c>
      <c r="I19795">
        <v>77211484</v>
      </c>
    </row>
    <row r="19796" spans="1:9" x14ac:dyDescent="0.2">
      <c r="A19796" t="str">
        <f>"Spink3"</f>
        <v>Spink3</v>
      </c>
      <c r="B19796" t="s">
        <v>14</v>
      </c>
      <c r="C19796" t="s">
        <v>43</v>
      </c>
      <c r="D19796" t="s">
        <v>11</v>
      </c>
      <c r="E19796" t="s">
        <v>12</v>
      </c>
      <c r="F19796">
        <v>43737186</v>
      </c>
      <c r="G19796">
        <v>43737214</v>
      </c>
      <c r="H19796">
        <v>43737186</v>
      </c>
      <c r="I19796">
        <v>43737214</v>
      </c>
    </row>
    <row r="19797" spans="1:9" x14ac:dyDescent="0.2">
      <c r="A19797" t="str">
        <f>"Spink4"</f>
        <v>Spink4</v>
      </c>
      <c r="B19797" t="s">
        <v>14</v>
      </c>
      <c r="C19797" t="s">
        <v>23</v>
      </c>
      <c r="D19797" t="s">
        <v>17</v>
      </c>
      <c r="E19797" t="s">
        <v>12</v>
      </c>
      <c r="F19797">
        <v>40920047</v>
      </c>
      <c r="G19797">
        <v>40920063</v>
      </c>
      <c r="H19797">
        <v>40920047</v>
      </c>
      <c r="I19797">
        <v>40920063</v>
      </c>
    </row>
    <row r="19798" spans="1:9" x14ac:dyDescent="0.2">
      <c r="A19798" t="str">
        <f>"Spink5"</f>
        <v>Spink5</v>
      </c>
      <c r="B19798" t="s">
        <v>14</v>
      </c>
      <c r="C19798" t="s">
        <v>43</v>
      </c>
      <c r="D19798" t="s">
        <v>17</v>
      </c>
      <c r="E19798" t="s">
        <v>12</v>
      </c>
      <c r="F19798">
        <v>43963234</v>
      </c>
      <c r="G19798">
        <v>43963252</v>
      </c>
      <c r="H19798">
        <v>43963234</v>
      </c>
      <c r="I19798">
        <v>43963252</v>
      </c>
    </row>
    <row r="19799" spans="1:9" x14ac:dyDescent="0.2">
      <c r="A19799" t="str">
        <f>"Spink6"</f>
        <v>Spink6</v>
      </c>
      <c r="B19799" t="s">
        <v>14</v>
      </c>
      <c r="C19799" t="s">
        <v>43</v>
      </c>
      <c r="D19799" t="s">
        <v>17</v>
      </c>
      <c r="E19799" t="s">
        <v>12</v>
      </c>
      <c r="F19799">
        <v>44071390</v>
      </c>
      <c r="G19799">
        <v>44071402</v>
      </c>
      <c r="H19799">
        <v>44071390</v>
      </c>
      <c r="I19799">
        <v>44071402</v>
      </c>
    </row>
    <row r="19800" spans="1:9" x14ac:dyDescent="0.2">
      <c r="A19800" t="str">
        <f>"Spink7"</f>
        <v>Spink7</v>
      </c>
      <c r="B19800" t="s">
        <v>14</v>
      </c>
      <c r="C19800" t="s">
        <v>43</v>
      </c>
      <c r="D19800" t="s">
        <v>11</v>
      </c>
      <c r="E19800" t="s">
        <v>12</v>
      </c>
      <c r="F19800">
        <v>62596320</v>
      </c>
      <c r="G19800">
        <v>62596326</v>
      </c>
      <c r="H19800">
        <v>62596320</v>
      </c>
      <c r="I19800">
        <v>62596326</v>
      </c>
    </row>
    <row r="19801" spans="1:9" x14ac:dyDescent="0.2">
      <c r="A19801" t="str">
        <f>"Spink8"</f>
        <v>Spink8</v>
      </c>
      <c r="B19801" t="s">
        <v>14</v>
      </c>
      <c r="C19801" t="s">
        <v>24</v>
      </c>
      <c r="D19801" t="s">
        <v>17</v>
      </c>
      <c r="E19801" t="s">
        <v>12</v>
      </c>
      <c r="F19801">
        <v>109816643</v>
      </c>
      <c r="G19801">
        <v>109816669</v>
      </c>
      <c r="H19801">
        <v>109816675</v>
      </c>
      <c r="I19801">
        <v>109816699</v>
      </c>
    </row>
    <row r="19802" spans="1:9" x14ac:dyDescent="0.2">
      <c r="A19802" t="str">
        <f>"Spinkl"</f>
        <v>Spinkl</v>
      </c>
      <c r="B19802" t="s">
        <v>14</v>
      </c>
      <c r="C19802" t="s">
        <v>43</v>
      </c>
      <c r="D19802" t="s">
        <v>11</v>
      </c>
      <c r="E19802" t="s">
        <v>12</v>
      </c>
      <c r="F19802">
        <v>44175062</v>
      </c>
      <c r="G19802">
        <v>44175076</v>
      </c>
      <c r="H19802">
        <v>44175062</v>
      </c>
      <c r="I19802">
        <v>44175076</v>
      </c>
    </row>
    <row r="19803" spans="1:9" x14ac:dyDescent="0.2">
      <c r="A19803" t="str">
        <f>"Spint1"</f>
        <v>Spint1</v>
      </c>
      <c r="B19803" t="s">
        <v>14</v>
      </c>
      <c r="C19803" t="s">
        <v>26</v>
      </c>
      <c r="D19803" t="s">
        <v>17</v>
      </c>
      <c r="E19803" t="s">
        <v>12</v>
      </c>
      <c r="F19803">
        <v>119237390</v>
      </c>
      <c r="G19803">
        <v>119237420</v>
      </c>
      <c r="H19803">
        <v>119237351</v>
      </c>
      <c r="I19803">
        <v>119237374</v>
      </c>
    </row>
    <row r="19804" spans="1:9" x14ac:dyDescent="0.2">
      <c r="A19804" t="str">
        <f>"Spint2"</f>
        <v>Spint2</v>
      </c>
      <c r="B19804" t="s">
        <v>14</v>
      </c>
      <c r="C19804" t="s">
        <v>33</v>
      </c>
      <c r="D19804" t="s">
        <v>11</v>
      </c>
      <c r="E19804" t="s">
        <v>12</v>
      </c>
      <c r="F19804">
        <v>29281914</v>
      </c>
      <c r="G19804">
        <v>29281935</v>
      </c>
      <c r="H19804">
        <v>29281938</v>
      </c>
      <c r="I19804">
        <v>29281973</v>
      </c>
    </row>
    <row r="19805" spans="1:9" x14ac:dyDescent="0.2">
      <c r="A19805" t="str">
        <f>"Spint3"</f>
        <v>Spint3</v>
      </c>
      <c r="B19805" t="s">
        <v>14</v>
      </c>
      <c r="C19805" t="s">
        <v>26</v>
      </c>
      <c r="D19805" t="s">
        <v>11</v>
      </c>
      <c r="E19805" t="s">
        <v>12</v>
      </c>
      <c r="F19805">
        <v>164573416</v>
      </c>
      <c r="G19805">
        <v>164573445</v>
      </c>
      <c r="H19805">
        <v>164573416</v>
      </c>
      <c r="I19805">
        <v>164573445</v>
      </c>
    </row>
    <row r="19806" spans="1:9" x14ac:dyDescent="0.2">
      <c r="A19806" t="str">
        <f>"Spint4"</f>
        <v>Spint4</v>
      </c>
      <c r="B19806" t="s">
        <v>14</v>
      </c>
      <c r="C19806" t="s">
        <v>26</v>
      </c>
      <c r="D19806" t="s">
        <v>17</v>
      </c>
      <c r="E19806" t="s">
        <v>12</v>
      </c>
      <c r="F19806">
        <v>164698524</v>
      </c>
      <c r="G19806">
        <v>164698539</v>
      </c>
      <c r="H19806">
        <v>164698524</v>
      </c>
      <c r="I19806">
        <v>164698539</v>
      </c>
    </row>
    <row r="19807" spans="1:9" x14ac:dyDescent="0.2">
      <c r="A19807" t="str">
        <f>"Spint5"</f>
        <v>Spint5</v>
      </c>
      <c r="B19807" t="s">
        <v>14</v>
      </c>
      <c r="C19807" t="s">
        <v>26</v>
      </c>
      <c r="D19807" t="s">
        <v>17</v>
      </c>
      <c r="E19807" t="s">
        <v>67</v>
      </c>
      <c r="F19807">
        <v>164715269</v>
      </c>
      <c r="G19807">
        <v>164715284</v>
      </c>
      <c r="H19807">
        <v>164715299</v>
      </c>
      <c r="I19807">
        <v>164715310</v>
      </c>
    </row>
    <row r="19808" spans="1:9" x14ac:dyDescent="0.2">
      <c r="A19808" t="str">
        <f>"Spire1"</f>
        <v>Spire1</v>
      </c>
      <c r="B19808" t="s">
        <v>5794</v>
      </c>
      <c r="C19808" t="s">
        <v>43</v>
      </c>
      <c r="D19808" t="s">
        <v>11</v>
      </c>
      <c r="E19808" t="s">
        <v>20</v>
      </c>
      <c r="F19808">
        <v>67552748</v>
      </c>
      <c r="G19808">
        <v>67552748</v>
      </c>
      <c r="H19808">
        <v>67552748</v>
      </c>
      <c r="I19808">
        <v>67552748</v>
      </c>
    </row>
    <row r="19809" spans="1:9" x14ac:dyDescent="0.2">
      <c r="A19809" t="str">
        <f>"Spire2"</f>
        <v>Spire2</v>
      </c>
      <c r="B19809" t="s">
        <v>14</v>
      </c>
      <c r="C19809" t="s">
        <v>30</v>
      </c>
      <c r="D19809" t="s">
        <v>17</v>
      </c>
      <c r="E19809" t="s">
        <v>12</v>
      </c>
      <c r="F19809">
        <v>123332676</v>
      </c>
      <c r="G19809">
        <v>123332740</v>
      </c>
      <c r="H19809">
        <v>123332742</v>
      </c>
      <c r="I19809">
        <v>123332770</v>
      </c>
    </row>
    <row r="19810" spans="1:9" x14ac:dyDescent="0.2">
      <c r="A19810" t="str">
        <f>"Spn"</f>
        <v>Spn</v>
      </c>
      <c r="B19810" t="s">
        <v>14</v>
      </c>
      <c r="C19810" t="s">
        <v>33</v>
      </c>
      <c r="D19810" t="s">
        <v>11</v>
      </c>
      <c r="E19810" t="s">
        <v>12</v>
      </c>
      <c r="F19810">
        <v>127137807</v>
      </c>
      <c r="G19810">
        <v>127137827</v>
      </c>
      <c r="H19810">
        <v>127137807</v>
      </c>
      <c r="I19810">
        <v>127137827</v>
      </c>
    </row>
    <row r="19811" spans="1:9" x14ac:dyDescent="0.2">
      <c r="A19811" t="str">
        <f>"Spns1"</f>
        <v>Spns1</v>
      </c>
      <c r="B19811" t="s">
        <v>14</v>
      </c>
      <c r="C19811" t="s">
        <v>33</v>
      </c>
      <c r="D19811" t="s">
        <v>11</v>
      </c>
      <c r="E19811" t="s">
        <v>12</v>
      </c>
      <c r="F19811">
        <v>126377401</v>
      </c>
      <c r="G19811">
        <v>126377438</v>
      </c>
      <c r="H19811">
        <v>126377387</v>
      </c>
      <c r="I19811">
        <v>126377399</v>
      </c>
    </row>
    <row r="19812" spans="1:9" x14ac:dyDescent="0.2">
      <c r="A19812" t="str">
        <f>"Spns2"</f>
        <v>Spns2</v>
      </c>
      <c r="B19812" t="s">
        <v>9</v>
      </c>
      <c r="C19812" t="s">
        <v>27</v>
      </c>
      <c r="D19812" t="s">
        <v>11</v>
      </c>
      <c r="E19812" t="s">
        <v>12</v>
      </c>
      <c r="F19812">
        <v>72489953</v>
      </c>
      <c r="G19812">
        <v>72489979</v>
      </c>
      <c r="H19812">
        <v>72489953</v>
      </c>
      <c r="I19812">
        <v>72489979</v>
      </c>
    </row>
    <row r="19813" spans="1:9" x14ac:dyDescent="0.2">
      <c r="A19813" t="str">
        <f>"Spns2"</f>
        <v>Spns2</v>
      </c>
      <c r="B19813" t="s">
        <v>13</v>
      </c>
      <c r="C19813" t="s">
        <v>27</v>
      </c>
      <c r="D19813" t="s">
        <v>11</v>
      </c>
      <c r="E19813" t="s">
        <v>12</v>
      </c>
      <c r="F19813">
        <v>72475008</v>
      </c>
      <c r="G19813">
        <v>72475032</v>
      </c>
      <c r="H19813">
        <v>72475008</v>
      </c>
      <c r="I19813">
        <v>72475032</v>
      </c>
    </row>
    <row r="19814" spans="1:9" x14ac:dyDescent="0.2">
      <c r="A19814" t="str">
        <f>"Spns3"</f>
        <v>Spns3</v>
      </c>
      <c r="B19814" t="s">
        <v>14</v>
      </c>
      <c r="C19814" t="s">
        <v>27</v>
      </c>
      <c r="D19814" t="s">
        <v>11</v>
      </c>
      <c r="E19814" t="s">
        <v>12</v>
      </c>
      <c r="F19814">
        <v>72550230</v>
      </c>
      <c r="G19814">
        <v>72550244</v>
      </c>
      <c r="H19814">
        <v>72550230</v>
      </c>
      <c r="I19814">
        <v>72550244</v>
      </c>
    </row>
    <row r="19815" spans="1:9" x14ac:dyDescent="0.2">
      <c r="A19815" t="str">
        <f>"Spo11"</f>
        <v>Spo11</v>
      </c>
      <c r="B19815" t="s">
        <v>14</v>
      </c>
      <c r="C19815" t="s">
        <v>26</v>
      </c>
      <c r="D19815" t="s">
        <v>17</v>
      </c>
      <c r="E19815" t="s">
        <v>12</v>
      </c>
      <c r="F19815">
        <v>172977653</v>
      </c>
      <c r="G19815">
        <v>172977676</v>
      </c>
      <c r="H19815">
        <v>172977758</v>
      </c>
      <c r="I19815">
        <v>172977789</v>
      </c>
    </row>
    <row r="19816" spans="1:9" x14ac:dyDescent="0.2">
      <c r="A19816" t="str">
        <f>"Spocd1"</f>
        <v>Spocd1</v>
      </c>
      <c r="B19816" t="s">
        <v>5795</v>
      </c>
      <c r="C19816" t="s">
        <v>23</v>
      </c>
      <c r="D19816" t="s">
        <v>17</v>
      </c>
      <c r="E19816" t="s">
        <v>20</v>
      </c>
      <c r="F19816">
        <v>129947720</v>
      </c>
      <c r="G19816">
        <v>129947720</v>
      </c>
      <c r="H19816">
        <v>129947720</v>
      </c>
      <c r="I19816">
        <v>129947720</v>
      </c>
    </row>
    <row r="19817" spans="1:9" x14ac:dyDescent="0.2">
      <c r="A19817" t="str">
        <f>"Spock1"</f>
        <v>Spock1</v>
      </c>
      <c r="B19817" t="s">
        <v>14</v>
      </c>
      <c r="C19817" t="s">
        <v>39</v>
      </c>
      <c r="D19817" t="s">
        <v>11</v>
      </c>
      <c r="E19817" t="s">
        <v>12</v>
      </c>
      <c r="F19817">
        <v>57908324</v>
      </c>
      <c r="G19817">
        <v>57908339</v>
      </c>
      <c r="H19817">
        <v>57908310</v>
      </c>
      <c r="I19817">
        <v>57908321</v>
      </c>
    </row>
    <row r="19818" spans="1:9" x14ac:dyDescent="0.2">
      <c r="A19818" t="str">
        <f>"Spock2"</f>
        <v>Spock2</v>
      </c>
      <c r="B19818" t="s">
        <v>14</v>
      </c>
      <c r="C19818" t="s">
        <v>15</v>
      </c>
      <c r="D19818" t="s">
        <v>17</v>
      </c>
      <c r="E19818" t="s">
        <v>12</v>
      </c>
      <c r="F19818">
        <v>60106229</v>
      </c>
      <c r="G19818">
        <v>60106263</v>
      </c>
      <c r="H19818">
        <v>60106198</v>
      </c>
      <c r="I19818">
        <v>60106221</v>
      </c>
    </row>
    <row r="19819" spans="1:9" x14ac:dyDescent="0.2">
      <c r="A19819" t="str">
        <f>"Spock3"</f>
        <v>Spock3</v>
      </c>
      <c r="B19819" t="s">
        <v>14</v>
      </c>
      <c r="C19819" t="s">
        <v>30</v>
      </c>
      <c r="D19819" t="s">
        <v>17</v>
      </c>
      <c r="E19819" t="s">
        <v>12</v>
      </c>
      <c r="F19819">
        <v>62951391</v>
      </c>
      <c r="G19819">
        <v>62951498</v>
      </c>
      <c r="H19819">
        <v>62951195</v>
      </c>
      <c r="I19819">
        <v>62951215</v>
      </c>
    </row>
    <row r="19820" spans="1:9" x14ac:dyDescent="0.2">
      <c r="A19820" t="str">
        <f>"Spon1"</f>
        <v>Spon1</v>
      </c>
      <c r="B19820" t="s">
        <v>14</v>
      </c>
      <c r="C19820" t="s">
        <v>33</v>
      </c>
      <c r="D19820" t="s">
        <v>17</v>
      </c>
      <c r="E19820" t="s">
        <v>12</v>
      </c>
      <c r="F19820">
        <v>113766119</v>
      </c>
      <c r="G19820">
        <v>113766199</v>
      </c>
      <c r="H19820">
        <v>113766083</v>
      </c>
      <c r="I19820">
        <v>113766098</v>
      </c>
    </row>
    <row r="19821" spans="1:9" x14ac:dyDescent="0.2">
      <c r="A19821" t="str">
        <f>"Spon2"</f>
        <v>Spon2</v>
      </c>
      <c r="B19821" t="s">
        <v>14</v>
      </c>
      <c r="C19821" t="s">
        <v>46</v>
      </c>
      <c r="D19821" t="s">
        <v>11</v>
      </c>
      <c r="E19821" t="s">
        <v>12</v>
      </c>
      <c r="F19821">
        <v>33218160</v>
      </c>
      <c r="G19821">
        <v>33218222</v>
      </c>
      <c r="H19821">
        <v>33218229</v>
      </c>
      <c r="I19821">
        <v>33218243</v>
      </c>
    </row>
    <row r="19822" spans="1:9" x14ac:dyDescent="0.2">
      <c r="A19822" t="str">
        <f>"Spop"</f>
        <v>Spop</v>
      </c>
      <c r="B19822" t="s">
        <v>14</v>
      </c>
      <c r="C19822" t="s">
        <v>27</v>
      </c>
      <c r="D19822" t="s">
        <v>17</v>
      </c>
      <c r="E19822" t="s">
        <v>12</v>
      </c>
      <c r="F19822">
        <v>95414078</v>
      </c>
      <c r="G19822">
        <v>95414130</v>
      </c>
      <c r="H19822">
        <v>95414325</v>
      </c>
      <c r="I19822">
        <v>95414358</v>
      </c>
    </row>
    <row r="19823" spans="1:9" x14ac:dyDescent="0.2">
      <c r="A19823" t="str">
        <f>"Spopl"</f>
        <v>Spopl</v>
      </c>
      <c r="B19823" t="s">
        <v>14</v>
      </c>
      <c r="C19823" t="s">
        <v>26</v>
      </c>
      <c r="D19823" t="s">
        <v>11</v>
      </c>
      <c r="E19823" t="s">
        <v>12</v>
      </c>
      <c r="F19823">
        <v>23572038</v>
      </c>
      <c r="G19823">
        <v>23572112</v>
      </c>
      <c r="H19823">
        <v>23572038</v>
      </c>
      <c r="I19823">
        <v>23572112</v>
      </c>
    </row>
    <row r="19824" spans="1:9" x14ac:dyDescent="0.2">
      <c r="A19824" t="str">
        <f>"Spp1"</f>
        <v>Spp1</v>
      </c>
      <c r="B19824" t="s">
        <v>14</v>
      </c>
      <c r="C19824" t="s">
        <v>46</v>
      </c>
      <c r="D19824" t="s">
        <v>17</v>
      </c>
      <c r="E19824" t="s">
        <v>12</v>
      </c>
      <c r="F19824">
        <v>104435112</v>
      </c>
      <c r="G19824">
        <v>104435128</v>
      </c>
      <c r="H19824">
        <v>104435112</v>
      </c>
      <c r="I19824">
        <v>104435128</v>
      </c>
    </row>
    <row r="19825" spans="1:9" x14ac:dyDescent="0.2">
      <c r="A19825" t="str">
        <f>"Spp2"</f>
        <v>Spp2</v>
      </c>
      <c r="B19825" t="s">
        <v>14</v>
      </c>
      <c r="C19825" t="s">
        <v>19</v>
      </c>
      <c r="D19825" t="s">
        <v>17</v>
      </c>
      <c r="E19825" t="s">
        <v>12</v>
      </c>
      <c r="F19825">
        <v>88407002</v>
      </c>
      <c r="G19825">
        <v>88407101</v>
      </c>
      <c r="H19825">
        <v>88406956</v>
      </c>
      <c r="I19825">
        <v>88406965</v>
      </c>
    </row>
    <row r="19826" spans="1:9" x14ac:dyDescent="0.2">
      <c r="A19826" t="str">
        <f>"Sppl2a"</f>
        <v>Sppl2a</v>
      </c>
      <c r="B19826" t="s">
        <v>14</v>
      </c>
      <c r="C19826" t="s">
        <v>26</v>
      </c>
      <c r="D19826" t="s">
        <v>11</v>
      </c>
      <c r="E19826" t="s">
        <v>67</v>
      </c>
      <c r="F19826">
        <v>126932993</v>
      </c>
      <c r="G19826">
        <v>126933090</v>
      </c>
      <c r="H19826">
        <v>126933229</v>
      </c>
      <c r="I19826">
        <v>126933241</v>
      </c>
    </row>
    <row r="19827" spans="1:9" x14ac:dyDescent="0.2">
      <c r="A19827" t="str">
        <f>"Sppl2b"</f>
        <v>Sppl2b</v>
      </c>
      <c r="B19827" t="s">
        <v>14</v>
      </c>
      <c r="C19827" t="s">
        <v>15</v>
      </c>
      <c r="D19827" t="s">
        <v>17</v>
      </c>
      <c r="E19827" t="s">
        <v>67</v>
      </c>
      <c r="F19827">
        <v>80855289</v>
      </c>
      <c r="G19827">
        <v>80855322</v>
      </c>
      <c r="H19827">
        <v>80855323</v>
      </c>
      <c r="I19827">
        <v>80855338</v>
      </c>
    </row>
    <row r="19828" spans="1:9" x14ac:dyDescent="0.2">
      <c r="A19828" t="str">
        <f>"Sppl2c"</f>
        <v>Sppl2c</v>
      </c>
      <c r="B19828" t="s">
        <v>14</v>
      </c>
      <c r="C19828" t="s">
        <v>27</v>
      </c>
      <c r="D19828" t="s">
        <v>17</v>
      </c>
      <c r="E19828" t="s">
        <v>67</v>
      </c>
      <c r="F19828">
        <v>104186345</v>
      </c>
      <c r="G19828">
        <v>104186358</v>
      </c>
      <c r="H19828">
        <v>104186345</v>
      </c>
      <c r="I19828">
        <v>104186358</v>
      </c>
    </row>
    <row r="19829" spans="1:9" x14ac:dyDescent="0.2">
      <c r="A19829" t="str">
        <f>"Sppl3"</f>
        <v>Sppl3</v>
      </c>
      <c r="B19829" t="s">
        <v>14</v>
      </c>
      <c r="C19829" t="s">
        <v>46</v>
      </c>
      <c r="D19829" t="s">
        <v>17</v>
      </c>
      <c r="E19829" t="s">
        <v>12</v>
      </c>
      <c r="F19829">
        <v>115011111</v>
      </c>
      <c r="G19829">
        <v>115011208</v>
      </c>
      <c r="H19829">
        <v>115011085</v>
      </c>
      <c r="I19829">
        <v>115011110</v>
      </c>
    </row>
    <row r="19830" spans="1:9" x14ac:dyDescent="0.2">
      <c r="A19830" t="str">
        <f>"Spr"</f>
        <v>Spr</v>
      </c>
      <c r="B19830" t="s">
        <v>14</v>
      </c>
      <c r="C19830" t="s">
        <v>32</v>
      </c>
      <c r="D19830" t="s">
        <v>11</v>
      </c>
      <c r="E19830" t="s">
        <v>12</v>
      </c>
      <c r="F19830">
        <v>85137743</v>
      </c>
      <c r="G19830">
        <v>85137781</v>
      </c>
      <c r="H19830">
        <v>85137743</v>
      </c>
      <c r="I19830">
        <v>85137781</v>
      </c>
    </row>
    <row r="19831" spans="1:9" x14ac:dyDescent="0.2">
      <c r="A19831" t="str">
        <f>"Spr-ps1"</f>
        <v>Spr-ps1</v>
      </c>
      <c r="B19831" t="s">
        <v>14</v>
      </c>
      <c r="C19831" t="s">
        <v>32</v>
      </c>
      <c r="D19831" t="s">
        <v>17</v>
      </c>
      <c r="E19831" t="s">
        <v>67</v>
      </c>
      <c r="F19831">
        <v>85154992</v>
      </c>
      <c r="G19831">
        <v>85155006</v>
      </c>
      <c r="H19831">
        <v>85154962</v>
      </c>
      <c r="I19831">
        <v>85154989</v>
      </c>
    </row>
    <row r="19832" spans="1:9" x14ac:dyDescent="0.2">
      <c r="A19832" t="str">
        <f>"Spred1"</f>
        <v>Spred1</v>
      </c>
      <c r="B19832" t="s">
        <v>14</v>
      </c>
      <c r="C19832" t="s">
        <v>26</v>
      </c>
      <c r="D19832" t="s">
        <v>17</v>
      </c>
      <c r="E19832" t="s">
        <v>12</v>
      </c>
      <c r="F19832">
        <v>117121051</v>
      </c>
      <c r="G19832">
        <v>117121149</v>
      </c>
      <c r="H19832">
        <v>117121051</v>
      </c>
      <c r="I19832">
        <v>117121149</v>
      </c>
    </row>
    <row r="19833" spans="1:9" x14ac:dyDescent="0.2">
      <c r="A19833" t="str">
        <f>"Spred2"</f>
        <v>Spred2</v>
      </c>
      <c r="B19833" t="s">
        <v>14</v>
      </c>
      <c r="C19833" t="s">
        <v>27</v>
      </c>
      <c r="D19833" t="s">
        <v>17</v>
      </c>
      <c r="E19833" t="s">
        <v>12</v>
      </c>
      <c r="F19833">
        <v>19924403</v>
      </c>
      <c r="G19833">
        <v>19924458</v>
      </c>
      <c r="H19833">
        <v>19924168</v>
      </c>
      <c r="I19833">
        <v>19924184</v>
      </c>
    </row>
    <row r="19834" spans="1:9" x14ac:dyDescent="0.2">
      <c r="A19834" t="str">
        <f>"Spred3"</f>
        <v>Spred3</v>
      </c>
      <c r="B19834" t="s">
        <v>14</v>
      </c>
      <c r="C19834" t="s">
        <v>33</v>
      </c>
      <c r="D19834" t="s">
        <v>11</v>
      </c>
      <c r="E19834" t="s">
        <v>12</v>
      </c>
      <c r="F19834">
        <v>29169545</v>
      </c>
      <c r="G19834">
        <v>29169568</v>
      </c>
      <c r="H19834">
        <v>29169545</v>
      </c>
      <c r="I19834">
        <v>29169568</v>
      </c>
    </row>
    <row r="19835" spans="1:9" x14ac:dyDescent="0.2">
      <c r="A19835" t="str">
        <f>"Sprn"</f>
        <v>Sprn</v>
      </c>
      <c r="B19835" t="s">
        <v>14</v>
      </c>
      <c r="C19835" t="s">
        <v>33</v>
      </c>
      <c r="D19835" t="s">
        <v>11</v>
      </c>
      <c r="E19835" t="s">
        <v>12</v>
      </c>
      <c r="F19835">
        <v>140154642</v>
      </c>
      <c r="G19835">
        <v>140154698</v>
      </c>
      <c r="H19835">
        <v>140154712</v>
      </c>
      <c r="I19835">
        <v>140154745</v>
      </c>
    </row>
    <row r="19836" spans="1:9" x14ac:dyDescent="0.2">
      <c r="A19836" t="str">
        <f>"Sprr1a"</f>
        <v>Sprr1a</v>
      </c>
      <c r="B19836" t="s">
        <v>14</v>
      </c>
      <c r="C19836" t="s">
        <v>22</v>
      </c>
      <c r="D19836" t="s">
        <v>11</v>
      </c>
      <c r="E19836" t="s">
        <v>12</v>
      </c>
      <c r="F19836">
        <v>92485886</v>
      </c>
      <c r="G19836">
        <v>92485901</v>
      </c>
      <c r="H19836">
        <v>92485886</v>
      </c>
      <c r="I19836">
        <v>92485901</v>
      </c>
    </row>
    <row r="19837" spans="1:9" x14ac:dyDescent="0.2">
      <c r="A19837" t="str">
        <f>"Sprr1b"</f>
        <v>Sprr1b</v>
      </c>
      <c r="B19837" t="s">
        <v>14</v>
      </c>
      <c r="C19837" t="s">
        <v>22</v>
      </c>
      <c r="D19837" t="s">
        <v>11</v>
      </c>
      <c r="E19837" t="s">
        <v>12</v>
      </c>
      <c r="F19837">
        <v>92438771</v>
      </c>
      <c r="G19837">
        <v>92438786</v>
      </c>
      <c r="H19837">
        <v>92438771</v>
      </c>
      <c r="I19837">
        <v>92438786</v>
      </c>
    </row>
    <row r="19838" spans="1:9" x14ac:dyDescent="0.2">
      <c r="A19838" t="str">
        <f>"Sprr2a1"</f>
        <v>Sprr2a1</v>
      </c>
      <c r="B19838" t="s">
        <v>5796</v>
      </c>
      <c r="C19838" t="s">
        <v>22</v>
      </c>
      <c r="D19838" t="s">
        <v>17</v>
      </c>
      <c r="E19838" t="s">
        <v>20</v>
      </c>
      <c r="F19838">
        <v>92215834</v>
      </c>
      <c r="G19838">
        <v>92215834</v>
      </c>
      <c r="H19838">
        <v>92215834</v>
      </c>
      <c r="I19838">
        <v>92215834</v>
      </c>
    </row>
    <row r="19839" spans="1:9" x14ac:dyDescent="0.2">
      <c r="A19839" t="str">
        <f>"Sprr2a2"</f>
        <v>Sprr2a2</v>
      </c>
      <c r="B19839" t="s">
        <v>5797</v>
      </c>
      <c r="C19839" t="s">
        <v>22</v>
      </c>
      <c r="D19839" t="s">
        <v>17</v>
      </c>
      <c r="E19839" t="s">
        <v>20</v>
      </c>
      <c r="F19839">
        <v>92250646</v>
      </c>
      <c r="G19839">
        <v>92250646</v>
      </c>
      <c r="H19839">
        <v>92250646</v>
      </c>
      <c r="I19839">
        <v>92250646</v>
      </c>
    </row>
    <row r="19840" spans="1:9" x14ac:dyDescent="0.2">
      <c r="A19840" t="str">
        <f>"Sprr2a2"</f>
        <v>Sprr2a2</v>
      </c>
      <c r="B19840" t="s">
        <v>5798</v>
      </c>
      <c r="C19840" t="s">
        <v>22</v>
      </c>
      <c r="D19840" t="s">
        <v>17</v>
      </c>
      <c r="E19840" t="s">
        <v>20</v>
      </c>
      <c r="F19840">
        <v>92215919</v>
      </c>
      <c r="G19840">
        <v>92215919</v>
      </c>
      <c r="H19840">
        <v>92215919</v>
      </c>
      <c r="I19840">
        <v>92215919</v>
      </c>
    </row>
    <row r="19841" spans="1:9" x14ac:dyDescent="0.2">
      <c r="A19841" t="str">
        <f>"Sprr2a3"</f>
        <v>Sprr2a3</v>
      </c>
      <c r="B19841" t="s">
        <v>5799</v>
      </c>
      <c r="C19841" t="s">
        <v>22</v>
      </c>
      <c r="D19841" t="s">
        <v>17</v>
      </c>
      <c r="E19841" t="s">
        <v>20</v>
      </c>
      <c r="F19841">
        <v>92288565</v>
      </c>
      <c r="G19841">
        <v>92288565</v>
      </c>
      <c r="H19841">
        <v>92288565</v>
      </c>
      <c r="I19841">
        <v>92288565</v>
      </c>
    </row>
    <row r="19842" spans="1:9" x14ac:dyDescent="0.2">
      <c r="A19842" t="str">
        <f>"Sprr2b"</f>
        <v>Sprr2b</v>
      </c>
      <c r="B19842" t="s">
        <v>5800</v>
      </c>
      <c r="C19842" t="s">
        <v>22</v>
      </c>
      <c r="D19842" t="s">
        <v>17</v>
      </c>
      <c r="E19842" t="s">
        <v>20</v>
      </c>
      <c r="F19842">
        <v>92316704</v>
      </c>
      <c r="G19842">
        <v>92316704</v>
      </c>
      <c r="H19842">
        <v>92316704</v>
      </c>
      <c r="I19842">
        <v>92316704</v>
      </c>
    </row>
    <row r="19843" spans="1:9" x14ac:dyDescent="0.2">
      <c r="A19843" t="str">
        <f>"Sprr2d"</f>
        <v>Sprr2d</v>
      </c>
      <c r="B19843" t="s">
        <v>14</v>
      </c>
      <c r="C19843" t="s">
        <v>22</v>
      </c>
      <c r="D19843" t="s">
        <v>17</v>
      </c>
      <c r="E19843" t="s">
        <v>12</v>
      </c>
      <c r="F19843">
        <v>92339132</v>
      </c>
      <c r="G19843">
        <v>92339146</v>
      </c>
      <c r="H19843">
        <v>92339132</v>
      </c>
      <c r="I19843">
        <v>92339146</v>
      </c>
    </row>
    <row r="19844" spans="1:9" x14ac:dyDescent="0.2">
      <c r="A19844" t="str">
        <f>"Sprr2e"</f>
        <v>Sprr2e</v>
      </c>
      <c r="B19844" t="s">
        <v>5801</v>
      </c>
      <c r="C19844" t="s">
        <v>22</v>
      </c>
      <c r="D19844" t="s">
        <v>17</v>
      </c>
      <c r="E19844" t="s">
        <v>20</v>
      </c>
      <c r="F19844">
        <v>92352142</v>
      </c>
      <c r="G19844">
        <v>92352142</v>
      </c>
      <c r="H19844">
        <v>92352142</v>
      </c>
      <c r="I19844">
        <v>92352142</v>
      </c>
    </row>
    <row r="19845" spans="1:9" x14ac:dyDescent="0.2">
      <c r="A19845" t="str">
        <f>"Sprr2f"</f>
        <v>Sprr2f</v>
      </c>
      <c r="B19845" t="s">
        <v>14</v>
      </c>
      <c r="C19845" t="s">
        <v>22</v>
      </c>
      <c r="D19845" t="s">
        <v>17</v>
      </c>
      <c r="E19845" t="s">
        <v>12</v>
      </c>
      <c r="F19845">
        <v>92365178</v>
      </c>
      <c r="G19845">
        <v>92365193</v>
      </c>
      <c r="H19845">
        <v>92365178</v>
      </c>
      <c r="I19845">
        <v>92365193</v>
      </c>
    </row>
    <row r="19846" spans="1:9" x14ac:dyDescent="0.2">
      <c r="A19846" t="str">
        <f>"Sprr2g"</f>
        <v>Sprr2g</v>
      </c>
      <c r="B19846" t="s">
        <v>14</v>
      </c>
      <c r="C19846" t="s">
        <v>22</v>
      </c>
      <c r="D19846" t="s">
        <v>17</v>
      </c>
      <c r="E19846" t="s">
        <v>12</v>
      </c>
      <c r="F19846">
        <v>92373908</v>
      </c>
      <c r="G19846">
        <v>92373921</v>
      </c>
      <c r="H19846">
        <v>92373875</v>
      </c>
      <c r="I19846">
        <v>92373893</v>
      </c>
    </row>
    <row r="19847" spans="1:9" x14ac:dyDescent="0.2">
      <c r="A19847" t="str">
        <f>"Sprr2h"</f>
        <v>Sprr2h</v>
      </c>
      <c r="B19847" t="s">
        <v>14</v>
      </c>
      <c r="C19847" t="s">
        <v>22</v>
      </c>
      <c r="D19847" t="s">
        <v>17</v>
      </c>
      <c r="E19847" t="s">
        <v>12</v>
      </c>
      <c r="F19847">
        <v>92385683</v>
      </c>
      <c r="G19847">
        <v>92385687</v>
      </c>
      <c r="H19847">
        <v>92385683</v>
      </c>
      <c r="I19847">
        <v>92385687</v>
      </c>
    </row>
    <row r="19848" spans="1:9" x14ac:dyDescent="0.2">
      <c r="A19848" t="str">
        <f>"Sprr2i"</f>
        <v>Sprr2i</v>
      </c>
      <c r="B19848" t="s">
        <v>14</v>
      </c>
      <c r="C19848" t="s">
        <v>22</v>
      </c>
      <c r="D19848" t="s">
        <v>17</v>
      </c>
      <c r="E19848" t="s">
        <v>12</v>
      </c>
      <c r="F19848">
        <v>92407983</v>
      </c>
      <c r="G19848">
        <v>92407997</v>
      </c>
      <c r="H19848">
        <v>92407983</v>
      </c>
      <c r="I19848">
        <v>92407997</v>
      </c>
    </row>
    <row r="19849" spans="1:9" x14ac:dyDescent="0.2">
      <c r="A19849" t="str">
        <f>"Sprr2j-ps"</f>
        <v>Sprr2j-ps</v>
      </c>
      <c r="B19849" t="s">
        <v>14</v>
      </c>
      <c r="C19849" t="s">
        <v>22</v>
      </c>
      <c r="D19849" t="s">
        <v>17</v>
      </c>
      <c r="E19849" t="s">
        <v>12</v>
      </c>
      <c r="F19849">
        <v>92418079</v>
      </c>
      <c r="G19849">
        <v>92418088</v>
      </c>
      <c r="H19849">
        <v>92418120</v>
      </c>
      <c r="I19849">
        <v>92418133</v>
      </c>
    </row>
    <row r="19850" spans="1:9" x14ac:dyDescent="0.2">
      <c r="A19850" t="str">
        <f>"Sprr2k"</f>
        <v>Sprr2k</v>
      </c>
      <c r="B19850" t="s">
        <v>14</v>
      </c>
      <c r="C19850" t="s">
        <v>22</v>
      </c>
      <c r="D19850" t="s">
        <v>17</v>
      </c>
      <c r="E19850" t="s">
        <v>12</v>
      </c>
      <c r="F19850">
        <v>92432578</v>
      </c>
      <c r="G19850">
        <v>92432585</v>
      </c>
      <c r="H19850">
        <v>92432578</v>
      </c>
      <c r="I19850">
        <v>92432585</v>
      </c>
    </row>
    <row r="19851" spans="1:9" x14ac:dyDescent="0.2">
      <c r="A19851" t="str">
        <f>"Sprr3"</f>
        <v>Sprr3</v>
      </c>
      <c r="B19851" t="s">
        <v>14</v>
      </c>
      <c r="C19851" t="s">
        <v>22</v>
      </c>
      <c r="D19851" t="s">
        <v>11</v>
      </c>
      <c r="E19851" t="s">
        <v>12</v>
      </c>
      <c r="F19851">
        <v>92458715</v>
      </c>
      <c r="G19851">
        <v>92458730</v>
      </c>
      <c r="H19851">
        <v>92458715</v>
      </c>
      <c r="I19851">
        <v>92458730</v>
      </c>
    </row>
    <row r="19852" spans="1:9" x14ac:dyDescent="0.2">
      <c r="A19852" t="str">
        <f>"Sprr4"</f>
        <v>Sprr4</v>
      </c>
      <c r="B19852" t="s">
        <v>5802</v>
      </c>
      <c r="C19852" t="s">
        <v>22</v>
      </c>
      <c r="D19852" t="s">
        <v>11</v>
      </c>
      <c r="E19852" t="s">
        <v>20</v>
      </c>
      <c r="F19852">
        <v>92500492</v>
      </c>
      <c r="G19852">
        <v>92500492</v>
      </c>
      <c r="H19852">
        <v>92500492</v>
      </c>
      <c r="I19852">
        <v>92500492</v>
      </c>
    </row>
    <row r="19853" spans="1:9" x14ac:dyDescent="0.2">
      <c r="A19853" t="str">
        <f>"Sprtn"</f>
        <v>Sprtn</v>
      </c>
      <c r="B19853" t="s">
        <v>14</v>
      </c>
      <c r="C19853" t="s">
        <v>30</v>
      </c>
      <c r="D19853" t="s">
        <v>17</v>
      </c>
      <c r="E19853" t="s">
        <v>67</v>
      </c>
      <c r="F19853">
        <v>124897877</v>
      </c>
      <c r="G19853">
        <v>124897901</v>
      </c>
      <c r="H19853">
        <v>124897846</v>
      </c>
      <c r="I19853">
        <v>124897869</v>
      </c>
    </row>
    <row r="19854" spans="1:9" x14ac:dyDescent="0.2">
      <c r="A19854" t="str">
        <f>"Spry1"</f>
        <v>Spry1</v>
      </c>
      <c r="B19854" t="s">
        <v>14</v>
      </c>
      <c r="C19854" t="s">
        <v>22</v>
      </c>
      <c r="D19854" t="s">
        <v>17</v>
      </c>
      <c r="E19854" t="s">
        <v>12</v>
      </c>
      <c r="F19854">
        <v>37639945</v>
      </c>
      <c r="G19854">
        <v>37639964</v>
      </c>
      <c r="H19854">
        <v>37639928</v>
      </c>
      <c r="I19854">
        <v>37639943</v>
      </c>
    </row>
    <row r="19855" spans="1:9" x14ac:dyDescent="0.2">
      <c r="A19855" t="str">
        <f>"Spry2"</f>
        <v>Spry2</v>
      </c>
      <c r="B19855" t="s">
        <v>14</v>
      </c>
      <c r="C19855" t="s">
        <v>41</v>
      </c>
      <c r="D19855" t="s">
        <v>11</v>
      </c>
      <c r="E19855" t="s">
        <v>12</v>
      </c>
      <c r="F19855">
        <v>105897116</v>
      </c>
      <c r="G19855">
        <v>105897132</v>
      </c>
      <c r="H19855">
        <v>105897116</v>
      </c>
      <c r="I19855">
        <v>105897132</v>
      </c>
    </row>
    <row r="19856" spans="1:9" x14ac:dyDescent="0.2">
      <c r="A19856" t="str">
        <f>"Spry4"</f>
        <v>Spry4</v>
      </c>
      <c r="B19856" t="s">
        <v>14</v>
      </c>
      <c r="C19856" t="s">
        <v>43</v>
      </c>
      <c r="D19856" t="s">
        <v>11</v>
      </c>
      <c r="E19856" t="s">
        <v>12</v>
      </c>
      <c r="F19856">
        <v>38601336</v>
      </c>
      <c r="G19856">
        <v>38601355</v>
      </c>
      <c r="H19856">
        <v>38601336</v>
      </c>
      <c r="I19856">
        <v>38601355</v>
      </c>
    </row>
    <row r="19857" spans="1:9" x14ac:dyDescent="0.2">
      <c r="A19857" t="str">
        <f>"Spryd3"</f>
        <v>Spryd3</v>
      </c>
      <c r="B19857" t="s">
        <v>14</v>
      </c>
      <c r="C19857" t="s">
        <v>25</v>
      </c>
      <c r="D19857" t="s">
        <v>11</v>
      </c>
      <c r="E19857" t="s">
        <v>12</v>
      </c>
      <c r="F19857">
        <v>102136177</v>
      </c>
      <c r="G19857">
        <v>102136222</v>
      </c>
      <c r="H19857">
        <v>102136225</v>
      </c>
      <c r="I19857">
        <v>102136230</v>
      </c>
    </row>
    <row r="19858" spans="1:9" x14ac:dyDescent="0.2">
      <c r="A19858" t="str">
        <f>"Spryd4"</f>
        <v>Spryd4</v>
      </c>
      <c r="B19858" t="s">
        <v>14</v>
      </c>
      <c r="C19858" t="s">
        <v>15</v>
      </c>
      <c r="D19858" t="s">
        <v>11</v>
      </c>
      <c r="E19858" t="s">
        <v>12</v>
      </c>
      <c r="F19858">
        <v>128211788</v>
      </c>
      <c r="G19858">
        <v>128211823</v>
      </c>
      <c r="H19858">
        <v>128211788</v>
      </c>
      <c r="I19858">
        <v>128211823</v>
      </c>
    </row>
    <row r="19859" spans="1:9" x14ac:dyDescent="0.2">
      <c r="A19859" t="str">
        <f>"Spryd7"</f>
        <v>Spryd7</v>
      </c>
      <c r="B19859" t="s">
        <v>14</v>
      </c>
      <c r="C19859" t="s">
        <v>41</v>
      </c>
      <c r="D19859" t="s">
        <v>11</v>
      </c>
      <c r="E19859" t="s">
        <v>67</v>
      </c>
      <c r="F19859">
        <v>61556723</v>
      </c>
      <c r="G19859">
        <v>61556741</v>
      </c>
      <c r="H19859">
        <v>61556746</v>
      </c>
      <c r="I19859">
        <v>61556781</v>
      </c>
    </row>
    <row r="19860" spans="1:9" x14ac:dyDescent="0.2">
      <c r="A19860" t="str">
        <f>"Spsb1"</f>
        <v>Spsb1</v>
      </c>
      <c r="B19860" t="s">
        <v>14</v>
      </c>
      <c r="C19860" t="s">
        <v>23</v>
      </c>
      <c r="D19860" t="s">
        <v>11</v>
      </c>
      <c r="E19860" t="s">
        <v>12</v>
      </c>
      <c r="F19860">
        <v>149954991</v>
      </c>
      <c r="G19860">
        <v>149955027</v>
      </c>
      <c r="H19860">
        <v>149955028</v>
      </c>
      <c r="I19860">
        <v>149955048</v>
      </c>
    </row>
    <row r="19861" spans="1:9" x14ac:dyDescent="0.2">
      <c r="A19861" t="str">
        <f>"Spsb2"</f>
        <v>Spsb2</v>
      </c>
      <c r="B19861" t="s">
        <v>14</v>
      </c>
      <c r="C19861" t="s">
        <v>32</v>
      </c>
      <c r="D19861" t="s">
        <v>17</v>
      </c>
      <c r="E19861" t="s">
        <v>12</v>
      </c>
      <c r="F19861">
        <v>124808898</v>
      </c>
      <c r="G19861">
        <v>124808933</v>
      </c>
      <c r="H19861">
        <v>124808936</v>
      </c>
      <c r="I19861">
        <v>124808956</v>
      </c>
    </row>
    <row r="19862" spans="1:9" x14ac:dyDescent="0.2">
      <c r="A19862" t="str">
        <f>"Spsb3"</f>
        <v>Spsb3</v>
      </c>
      <c r="B19862" t="s">
        <v>14</v>
      </c>
      <c r="C19862" t="s">
        <v>28</v>
      </c>
      <c r="D19862" t="s">
        <v>17</v>
      </c>
      <c r="E19862" t="s">
        <v>12</v>
      </c>
      <c r="F19862">
        <v>24886689</v>
      </c>
      <c r="G19862">
        <v>24886765</v>
      </c>
      <c r="H19862">
        <v>24886878</v>
      </c>
      <c r="I19862">
        <v>24886898</v>
      </c>
    </row>
    <row r="19863" spans="1:9" x14ac:dyDescent="0.2">
      <c r="A19863" t="str">
        <f>"Spsb4"</f>
        <v>Spsb4</v>
      </c>
      <c r="B19863" t="s">
        <v>14</v>
      </c>
      <c r="C19863" t="s">
        <v>24</v>
      </c>
      <c r="D19863" t="s">
        <v>11</v>
      </c>
      <c r="E19863" t="s">
        <v>12</v>
      </c>
      <c r="F19863">
        <v>97018744</v>
      </c>
      <c r="G19863">
        <v>97018761</v>
      </c>
      <c r="H19863">
        <v>97018823</v>
      </c>
      <c r="I19863">
        <v>97018835</v>
      </c>
    </row>
    <row r="19864" spans="1:9" x14ac:dyDescent="0.2">
      <c r="A19864" t="str">
        <f>"Spt1"</f>
        <v>Spt1</v>
      </c>
      <c r="B19864" t="s">
        <v>5803</v>
      </c>
      <c r="C19864" t="s">
        <v>25</v>
      </c>
      <c r="D19864" t="s">
        <v>11</v>
      </c>
      <c r="E19864" t="s">
        <v>20</v>
      </c>
      <c r="F19864">
        <v>103899311</v>
      </c>
      <c r="G19864">
        <v>103899311</v>
      </c>
      <c r="H19864">
        <v>103899311</v>
      </c>
      <c r="I19864">
        <v>103899311</v>
      </c>
    </row>
    <row r="19865" spans="1:9" x14ac:dyDescent="0.2">
      <c r="A19865" t="str">
        <f>"Spta1"</f>
        <v>Spta1</v>
      </c>
      <c r="B19865" t="s">
        <v>14</v>
      </c>
      <c r="C19865" t="s">
        <v>19</v>
      </c>
      <c r="D19865" t="s">
        <v>17</v>
      </c>
      <c r="E19865" t="s">
        <v>67</v>
      </c>
      <c r="F19865">
        <v>174172810</v>
      </c>
      <c r="G19865">
        <v>174172857</v>
      </c>
      <c r="H19865">
        <v>174172810</v>
      </c>
      <c r="I19865">
        <v>174172857</v>
      </c>
    </row>
    <row r="19866" spans="1:9" x14ac:dyDescent="0.2">
      <c r="A19866" t="str">
        <f>"Sptan1"</f>
        <v>Sptan1</v>
      </c>
      <c r="B19866" t="s">
        <v>14</v>
      </c>
      <c r="C19866" t="s">
        <v>26</v>
      </c>
      <c r="D19866" t="s">
        <v>17</v>
      </c>
      <c r="E19866" t="s">
        <v>67</v>
      </c>
      <c r="F19866">
        <v>29965669</v>
      </c>
      <c r="G19866">
        <v>29965688</v>
      </c>
      <c r="H19866">
        <v>29965669</v>
      </c>
      <c r="I19866">
        <v>29965688</v>
      </c>
    </row>
    <row r="19867" spans="1:9" x14ac:dyDescent="0.2">
      <c r="A19867" t="str">
        <f>"Sptb"</f>
        <v>Sptb</v>
      </c>
      <c r="B19867" t="s">
        <v>14</v>
      </c>
      <c r="C19867" t="s">
        <v>16</v>
      </c>
      <c r="D19867" t="s">
        <v>11</v>
      </c>
      <c r="E19867" t="s">
        <v>67</v>
      </c>
      <c r="F19867">
        <v>76710029</v>
      </c>
      <c r="G19867">
        <v>76710054</v>
      </c>
      <c r="H19867">
        <v>76710029</v>
      </c>
      <c r="I19867">
        <v>76710054</v>
      </c>
    </row>
    <row r="19868" spans="1:9" x14ac:dyDescent="0.2">
      <c r="A19868" t="str">
        <f>"Sptbn1"</f>
        <v>Sptbn1</v>
      </c>
      <c r="B19868" t="s">
        <v>14</v>
      </c>
      <c r="C19868" t="s">
        <v>27</v>
      </c>
      <c r="D19868" t="s">
        <v>11</v>
      </c>
      <c r="E19868" t="s">
        <v>67</v>
      </c>
      <c r="F19868">
        <v>30268137</v>
      </c>
      <c r="G19868">
        <v>30268162</v>
      </c>
      <c r="H19868">
        <v>30268171</v>
      </c>
      <c r="I19868">
        <v>30268191</v>
      </c>
    </row>
    <row r="19869" spans="1:9" x14ac:dyDescent="0.2">
      <c r="A19869" t="str">
        <f>"Sptbn2"</f>
        <v>Sptbn2</v>
      </c>
      <c r="B19869" t="s">
        <v>14</v>
      </c>
      <c r="C19869" t="s">
        <v>10</v>
      </c>
      <c r="D19869" t="s">
        <v>17</v>
      </c>
      <c r="E19869" t="s">
        <v>67</v>
      </c>
      <c r="F19869">
        <v>4711153</v>
      </c>
      <c r="G19869">
        <v>4711258</v>
      </c>
      <c r="H19869">
        <v>4711153</v>
      </c>
      <c r="I19869">
        <v>4711258</v>
      </c>
    </row>
    <row r="19870" spans="1:9" x14ac:dyDescent="0.2">
      <c r="A19870" t="str">
        <f>"Sptbn4"</f>
        <v>Sptbn4</v>
      </c>
      <c r="B19870" t="s">
        <v>5804</v>
      </c>
      <c r="C19870" t="s">
        <v>33</v>
      </c>
      <c r="D19870" t="s">
        <v>11</v>
      </c>
      <c r="E19870" t="s">
        <v>35</v>
      </c>
      <c r="F19870">
        <v>27446753</v>
      </c>
      <c r="G19870">
        <v>27446760</v>
      </c>
      <c r="H19870">
        <v>27446547</v>
      </c>
      <c r="I19870">
        <v>27446558</v>
      </c>
    </row>
    <row r="19871" spans="1:9" x14ac:dyDescent="0.2">
      <c r="A19871" t="str">
        <f>"Sptbn5"</f>
        <v>Sptbn5</v>
      </c>
      <c r="B19871" t="s">
        <v>5805</v>
      </c>
      <c r="C19871" t="s">
        <v>26</v>
      </c>
      <c r="D19871" t="s">
        <v>11</v>
      </c>
      <c r="E19871" t="s">
        <v>20</v>
      </c>
      <c r="F19871">
        <v>120057496</v>
      </c>
      <c r="G19871">
        <v>120057496</v>
      </c>
      <c r="H19871">
        <v>120057496</v>
      </c>
      <c r="I19871">
        <v>120057496</v>
      </c>
    </row>
    <row r="19872" spans="1:9" x14ac:dyDescent="0.2">
      <c r="A19872" t="str">
        <f>"Sptlc1"</f>
        <v>Sptlc1</v>
      </c>
      <c r="B19872" t="s">
        <v>14</v>
      </c>
      <c r="C19872" t="s">
        <v>39</v>
      </c>
      <c r="D19872" t="s">
        <v>11</v>
      </c>
      <c r="E19872" t="s">
        <v>12</v>
      </c>
      <c r="F19872">
        <v>53377355</v>
      </c>
      <c r="G19872">
        <v>53377373</v>
      </c>
      <c r="H19872">
        <v>53377355</v>
      </c>
      <c r="I19872">
        <v>53377373</v>
      </c>
    </row>
    <row r="19873" spans="1:9" x14ac:dyDescent="0.2">
      <c r="A19873" t="str">
        <f>"Sptlc2"</f>
        <v>Sptlc2</v>
      </c>
      <c r="B19873" t="s">
        <v>14</v>
      </c>
      <c r="C19873" t="s">
        <v>16</v>
      </c>
      <c r="D19873" t="s">
        <v>11</v>
      </c>
      <c r="E19873" t="s">
        <v>12</v>
      </c>
      <c r="F19873">
        <v>87388189</v>
      </c>
      <c r="G19873">
        <v>87388247</v>
      </c>
      <c r="H19873">
        <v>87388248</v>
      </c>
      <c r="I19873">
        <v>87388289</v>
      </c>
    </row>
    <row r="19874" spans="1:9" x14ac:dyDescent="0.2">
      <c r="A19874" t="str">
        <f>"Sptlc3"</f>
        <v>Sptlc3</v>
      </c>
      <c r="B19874" t="s">
        <v>14</v>
      </c>
      <c r="C19874" t="s">
        <v>26</v>
      </c>
      <c r="D19874" t="s">
        <v>17</v>
      </c>
      <c r="E19874" t="s">
        <v>12</v>
      </c>
      <c r="F19874">
        <v>139494118</v>
      </c>
      <c r="G19874">
        <v>139494175</v>
      </c>
      <c r="H19874">
        <v>139493954</v>
      </c>
      <c r="I19874">
        <v>139493972</v>
      </c>
    </row>
    <row r="19875" spans="1:9" x14ac:dyDescent="0.2">
      <c r="A19875" t="str">
        <f>"Sptssa"</f>
        <v>Sptssa</v>
      </c>
      <c r="B19875" t="s">
        <v>14</v>
      </c>
      <c r="C19875" t="s">
        <v>16</v>
      </c>
      <c r="D19875" t="s">
        <v>11</v>
      </c>
      <c r="E19875" t="s">
        <v>67</v>
      </c>
      <c r="F19875">
        <v>54656496</v>
      </c>
      <c r="G19875">
        <v>54656517</v>
      </c>
      <c r="H19875">
        <v>54656496</v>
      </c>
      <c r="I19875">
        <v>54656517</v>
      </c>
    </row>
    <row r="19876" spans="1:9" x14ac:dyDescent="0.2">
      <c r="A19876" t="str">
        <f>"Sptssb"</f>
        <v>Sptssb</v>
      </c>
      <c r="B19876" t="s">
        <v>14</v>
      </c>
      <c r="C19876" t="s">
        <v>22</v>
      </c>
      <c r="D19876" t="s">
        <v>11</v>
      </c>
      <c r="E19876" t="s">
        <v>67</v>
      </c>
      <c r="F19876">
        <v>69859875</v>
      </c>
      <c r="G19876">
        <v>69859901</v>
      </c>
      <c r="H19876">
        <v>69859875</v>
      </c>
      <c r="I19876">
        <v>69859901</v>
      </c>
    </row>
    <row r="19877" spans="1:9" x14ac:dyDescent="0.2">
      <c r="A19877" t="str">
        <f>"Spty2d1"</f>
        <v>Spty2d1</v>
      </c>
      <c r="B19877" t="s">
        <v>14</v>
      </c>
      <c r="C19877" t="s">
        <v>33</v>
      </c>
      <c r="D19877" t="s">
        <v>11</v>
      </c>
      <c r="E19877" t="s">
        <v>12</v>
      </c>
      <c r="F19877">
        <v>47008215</v>
      </c>
      <c r="G19877">
        <v>47008231</v>
      </c>
      <c r="H19877">
        <v>47008397</v>
      </c>
      <c r="I19877">
        <v>47008421</v>
      </c>
    </row>
    <row r="19878" spans="1:9" x14ac:dyDescent="0.2">
      <c r="A19878" t="str">
        <f>"Spz1"</f>
        <v>Spz1</v>
      </c>
      <c r="B19878" t="s">
        <v>14</v>
      </c>
      <c r="C19878" t="s">
        <v>39</v>
      </c>
      <c r="D19878" t="s">
        <v>11</v>
      </c>
      <c r="E19878" t="s">
        <v>12</v>
      </c>
      <c r="F19878">
        <v>92576165</v>
      </c>
      <c r="G19878">
        <v>92576200</v>
      </c>
      <c r="H19878">
        <v>92576165</v>
      </c>
      <c r="I19878">
        <v>92576200</v>
      </c>
    </row>
    <row r="19879" spans="1:9" x14ac:dyDescent="0.2">
      <c r="A19879" t="str">
        <f>"Sqle"</f>
        <v>Sqle</v>
      </c>
      <c r="B19879" t="s">
        <v>14</v>
      </c>
      <c r="C19879" t="s">
        <v>25</v>
      </c>
      <c r="D19879" t="s">
        <v>17</v>
      </c>
      <c r="E19879" t="s">
        <v>12</v>
      </c>
      <c r="F19879">
        <v>59315030</v>
      </c>
      <c r="G19879">
        <v>59315087</v>
      </c>
      <c r="H19879">
        <v>59315088</v>
      </c>
      <c r="I19879">
        <v>59315128</v>
      </c>
    </row>
    <row r="19880" spans="1:9" x14ac:dyDescent="0.2">
      <c r="A19880" t="str">
        <f>"Sqrdl"</f>
        <v>Sqrdl</v>
      </c>
      <c r="B19880" t="s">
        <v>14</v>
      </c>
      <c r="C19880" t="s">
        <v>26</v>
      </c>
      <c r="D19880" t="s">
        <v>17</v>
      </c>
      <c r="E19880" t="s">
        <v>12</v>
      </c>
      <c r="F19880">
        <v>122765377</v>
      </c>
      <c r="G19880">
        <v>122765404</v>
      </c>
      <c r="H19880">
        <v>122765356</v>
      </c>
      <c r="I19880">
        <v>122765374</v>
      </c>
    </row>
    <row r="19881" spans="1:9" x14ac:dyDescent="0.2">
      <c r="A19881" t="str">
        <f>"Sqstm1"</f>
        <v>Sqstm1</v>
      </c>
      <c r="B19881" t="s">
        <v>9</v>
      </c>
      <c r="C19881" t="s">
        <v>27</v>
      </c>
      <c r="D19881" t="s">
        <v>11</v>
      </c>
      <c r="E19881" t="s">
        <v>12</v>
      </c>
      <c r="F19881">
        <v>50210788</v>
      </c>
      <c r="G19881">
        <v>50210793</v>
      </c>
      <c r="H19881">
        <v>50210788</v>
      </c>
      <c r="I19881">
        <v>50210793</v>
      </c>
    </row>
    <row r="19882" spans="1:9" x14ac:dyDescent="0.2">
      <c r="A19882" t="str">
        <f>"Sqstm1"</f>
        <v>Sqstm1</v>
      </c>
      <c r="B19882" t="s">
        <v>13</v>
      </c>
      <c r="C19882" t="s">
        <v>27</v>
      </c>
      <c r="D19882" t="s">
        <v>11</v>
      </c>
      <c r="E19882" t="s">
        <v>12</v>
      </c>
      <c r="F19882">
        <v>50202959</v>
      </c>
      <c r="G19882">
        <v>50203007</v>
      </c>
      <c r="H19882">
        <v>50202959</v>
      </c>
      <c r="I19882">
        <v>50203007</v>
      </c>
    </row>
    <row r="19883" spans="1:9" x14ac:dyDescent="0.2">
      <c r="A19883" t="str">
        <f>"Sra1"</f>
        <v>Sra1</v>
      </c>
      <c r="B19883" t="s">
        <v>14</v>
      </c>
      <c r="C19883" t="s">
        <v>43</v>
      </c>
      <c r="D19883" t="s">
        <v>11</v>
      </c>
      <c r="E19883" t="s">
        <v>12</v>
      </c>
      <c r="F19883">
        <v>36670269</v>
      </c>
      <c r="G19883">
        <v>36670317</v>
      </c>
      <c r="H19883">
        <v>36670269</v>
      </c>
      <c r="I19883">
        <v>36670317</v>
      </c>
    </row>
    <row r="19884" spans="1:9" x14ac:dyDescent="0.2">
      <c r="A19884" t="str">
        <f>"Srbd1"</f>
        <v>Srbd1</v>
      </c>
      <c r="B19884" t="s">
        <v>14</v>
      </c>
      <c r="C19884" t="s">
        <v>28</v>
      </c>
      <c r="D19884" t="s">
        <v>11</v>
      </c>
      <c r="E19884" t="s">
        <v>12</v>
      </c>
      <c r="F19884">
        <v>86145139</v>
      </c>
      <c r="G19884">
        <v>86145184</v>
      </c>
      <c r="H19884">
        <v>86145139</v>
      </c>
      <c r="I19884">
        <v>86145184</v>
      </c>
    </row>
    <row r="19885" spans="1:9" x14ac:dyDescent="0.2">
      <c r="A19885" t="str">
        <f>"Src"</f>
        <v>Src</v>
      </c>
      <c r="B19885" t="s">
        <v>14</v>
      </c>
      <c r="C19885" t="s">
        <v>26</v>
      </c>
      <c r="D19885" t="s">
        <v>17</v>
      </c>
      <c r="E19885" t="s">
        <v>12</v>
      </c>
      <c r="F19885">
        <v>157424255</v>
      </c>
      <c r="G19885">
        <v>157424322</v>
      </c>
      <c r="H19885">
        <v>157424217</v>
      </c>
      <c r="I19885">
        <v>157424252</v>
      </c>
    </row>
    <row r="19886" spans="1:9" x14ac:dyDescent="0.2">
      <c r="A19886" t="str">
        <f>"Srcap"</f>
        <v>Srcap</v>
      </c>
      <c r="B19886" t="s">
        <v>14</v>
      </c>
      <c r="C19886" t="s">
        <v>33</v>
      </c>
      <c r="D19886" t="s">
        <v>17</v>
      </c>
      <c r="E19886" t="s">
        <v>67</v>
      </c>
      <c r="F19886">
        <v>127558977</v>
      </c>
      <c r="G19886">
        <v>127558983</v>
      </c>
      <c r="H19886">
        <v>127558977</v>
      </c>
      <c r="I19886">
        <v>127558983</v>
      </c>
    </row>
    <row r="19887" spans="1:9" x14ac:dyDescent="0.2">
      <c r="A19887" t="str">
        <f>"Srcin1"</f>
        <v>Srcin1</v>
      </c>
      <c r="B19887" t="s">
        <v>14</v>
      </c>
      <c r="C19887" t="s">
        <v>27</v>
      </c>
      <c r="D19887" t="s">
        <v>11</v>
      </c>
      <c r="E19887" t="s">
        <v>12</v>
      </c>
      <c r="F19887">
        <v>97575156</v>
      </c>
      <c r="G19887">
        <v>97575208</v>
      </c>
      <c r="H19887">
        <v>97575239</v>
      </c>
      <c r="I19887">
        <v>97575256</v>
      </c>
    </row>
    <row r="19888" spans="1:9" x14ac:dyDescent="0.2">
      <c r="A19888" t="str">
        <f>"Srcrb4d"</f>
        <v>Srcrb4d</v>
      </c>
      <c r="B19888" t="s">
        <v>14</v>
      </c>
      <c r="C19888" t="s">
        <v>46</v>
      </c>
      <c r="D19888" t="s">
        <v>11</v>
      </c>
      <c r="E19888" t="s">
        <v>12</v>
      </c>
      <c r="F19888">
        <v>135962275</v>
      </c>
      <c r="G19888">
        <v>135962328</v>
      </c>
      <c r="H19888">
        <v>135962275</v>
      </c>
      <c r="I19888">
        <v>135962328</v>
      </c>
    </row>
    <row r="19889" spans="1:9" x14ac:dyDescent="0.2">
      <c r="A19889" t="str">
        <f>"Srd5a1"</f>
        <v>Srd5a1</v>
      </c>
      <c r="B19889" t="s">
        <v>14</v>
      </c>
      <c r="C19889" t="s">
        <v>39</v>
      </c>
      <c r="D19889" t="s">
        <v>11</v>
      </c>
      <c r="E19889" t="s">
        <v>12</v>
      </c>
      <c r="F19889">
        <v>69611450</v>
      </c>
      <c r="G19889">
        <v>69611477</v>
      </c>
      <c r="H19889">
        <v>69611264</v>
      </c>
      <c r="I19889">
        <v>69611279</v>
      </c>
    </row>
    <row r="19890" spans="1:9" x14ac:dyDescent="0.2">
      <c r="A19890" t="str">
        <f>"Srd5a2"</f>
        <v>Srd5a2</v>
      </c>
      <c r="B19890" t="s">
        <v>14</v>
      </c>
      <c r="C19890" t="s">
        <v>28</v>
      </c>
      <c r="D19890" t="s">
        <v>11</v>
      </c>
      <c r="E19890" t="s">
        <v>12</v>
      </c>
      <c r="F19890">
        <v>74047850</v>
      </c>
      <c r="G19890">
        <v>74047867</v>
      </c>
      <c r="H19890">
        <v>74047850</v>
      </c>
      <c r="I19890">
        <v>74047867</v>
      </c>
    </row>
    <row r="19891" spans="1:9" x14ac:dyDescent="0.2">
      <c r="A19891" t="str">
        <f>"Srd5a3"</f>
        <v>Srd5a3</v>
      </c>
      <c r="B19891" t="s">
        <v>14</v>
      </c>
      <c r="C19891" t="s">
        <v>46</v>
      </c>
      <c r="D19891" t="s">
        <v>17</v>
      </c>
      <c r="E19891" t="s">
        <v>12</v>
      </c>
      <c r="F19891">
        <v>76140298</v>
      </c>
      <c r="G19891">
        <v>76140317</v>
      </c>
      <c r="H19891">
        <v>76140678</v>
      </c>
      <c r="I19891">
        <v>76140708</v>
      </c>
    </row>
    <row r="19892" spans="1:9" x14ac:dyDescent="0.2">
      <c r="A19892" t="str">
        <f>"Srebf1"</f>
        <v>Srebf1</v>
      </c>
      <c r="B19892" t="s">
        <v>9</v>
      </c>
      <c r="C19892" t="s">
        <v>27</v>
      </c>
      <c r="D19892" t="s">
        <v>11</v>
      </c>
      <c r="E19892" t="s">
        <v>12</v>
      </c>
      <c r="F19892">
        <v>60210410</v>
      </c>
      <c r="G19892">
        <v>60210428</v>
      </c>
      <c r="H19892">
        <v>60210410</v>
      </c>
      <c r="I19892">
        <v>60210428</v>
      </c>
    </row>
    <row r="19893" spans="1:9" x14ac:dyDescent="0.2">
      <c r="A19893" t="str">
        <f>"Srebf1"</f>
        <v>Srebf1</v>
      </c>
      <c r="B19893" t="s">
        <v>13</v>
      </c>
      <c r="C19893" t="s">
        <v>27</v>
      </c>
      <c r="D19893" t="s">
        <v>11</v>
      </c>
      <c r="E19893" t="s">
        <v>12</v>
      </c>
      <c r="F19893">
        <v>60220550</v>
      </c>
      <c r="G19893">
        <v>60220632</v>
      </c>
      <c r="H19893">
        <v>60220550</v>
      </c>
      <c r="I19893">
        <v>60220632</v>
      </c>
    </row>
    <row r="19894" spans="1:9" x14ac:dyDescent="0.2">
      <c r="A19894" t="str">
        <f>"Srebf2"</f>
        <v>Srebf2</v>
      </c>
      <c r="B19894" t="s">
        <v>14</v>
      </c>
      <c r="C19894" t="s">
        <v>25</v>
      </c>
      <c r="D19894" t="s">
        <v>17</v>
      </c>
      <c r="E19894" t="s">
        <v>12</v>
      </c>
      <c r="F19894">
        <v>82147238</v>
      </c>
      <c r="G19894">
        <v>82147275</v>
      </c>
      <c r="H19894">
        <v>82147372</v>
      </c>
      <c r="I19894">
        <v>82147398</v>
      </c>
    </row>
    <row r="19895" spans="1:9" x14ac:dyDescent="0.2">
      <c r="A19895" t="str">
        <f>"Srek1"</f>
        <v>Srek1</v>
      </c>
      <c r="B19895" t="s">
        <v>14</v>
      </c>
      <c r="C19895" t="s">
        <v>39</v>
      </c>
      <c r="D19895" t="s">
        <v>11</v>
      </c>
      <c r="E19895" t="s">
        <v>12</v>
      </c>
      <c r="F19895">
        <v>103774466</v>
      </c>
      <c r="G19895">
        <v>103774572</v>
      </c>
      <c r="H19895">
        <v>103774575</v>
      </c>
      <c r="I19895">
        <v>103774644</v>
      </c>
    </row>
    <row r="19896" spans="1:9" x14ac:dyDescent="0.2">
      <c r="A19896" t="str">
        <f>"Srek1ip1"</f>
        <v>Srek1ip1</v>
      </c>
      <c r="B19896" t="s">
        <v>14</v>
      </c>
      <c r="C19896" t="s">
        <v>39</v>
      </c>
      <c r="D19896" t="s">
        <v>17</v>
      </c>
      <c r="E19896" t="s">
        <v>12</v>
      </c>
      <c r="F19896">
        <v>104817171</v>
      </c>
      <c r="G19896">
        <v>104817223</v>
      </c>
      <c r="H19896">
        <v>104817227</v>
      </c>
      <c r="I19896">
        <v>104817247</v>
      </c>
    </row>
    <row r="19897" spans="1:9" x14ac:dyDescent="0.2">
      <c r="A19897" t="str">
        <f>"Srf"</f>
        <v>Srf</v>
      </c>
      <c r="B19897" t="s">
        <v>14</v>
      </c>
      <c r="C19897" t="s">
        <v>28</v>
      </c>
      <c r="D19897" t="s">
        <v>11</v>
      </c>
      <c r="E19897" t="s">
        <v>12</v>
      </c>
      <c r="F19897">
        <v>46556158</v>
      </c>
      <c r="G19897">
        <v>46556188</v>
      </c>
      <c r="H19897">
        <v>46556204</v>
      </c>
      <c r="I19897">
        <v>46556220</v>
      </c>
    </row>
    <row r="19898" spans="1:9" x14ac:dyDescent="0.2">
      <c r="A19898" t="str">
        <f>"Srfbp1"</f>
        <v>Srfbp1</v>
      </c>
      <c r="B19898" t="s">
        <v>14</v>
      </c>
      <c r="C19898" t="s">
        <v>43</v>
      </c>
      <c r="D19898" t="s">
        <v>17</v>
      </c>
      <c r="E19898" t="s">
        <v>12</v>
      </c>
      <c r="F19898">
        <v>52465676</v>
      </c>
      <c r="G19898">
        <v>52465710</v>
      </c>
      <c r="H19898">
        <v>52465676</v>
      </c>
      <c r="I19898">
        <v>52465710</v>
      </c>
    </row>
    <row r="19899" spans="1:9" x14ac:dyDescent="0.2">
      <c r="A19899" t="str">
        <f>"Srgap1"</f>
        <v>Srgap1</v>
      </c>
      <c r="B19899" t="s">
        <v>14</v>
      </c>
      <c r="C19899" t="s">
        <v>15</v>
      </c>
      <c r="D19899" t="s">
        <v>11</v>
      </c>
      <c r="E19899" t="s">
        <v>12</v>
      </c>
      <c r="F19899">
        <v>122047765</v>
      </c>
      <c r="G19899">
        <v>122047852</v>
      </c>
      <c r="H19899">
        <v>122047293</v>
      </c>
      <c r="I19899">
        <v>122047322</v>
      </c>
    </row>
    <row r="19900" spans="1:9" x14ac:dyDescent="0.2">
      <c r="A19900" t="str">
        <f>"Srgap2"</f>
        <v>Srgap2</v>
      </c>
      <c r="B19900" t="s">
        <v>14</v>
      </c>
      <c r="C19900" t="s">
        <v>19</v>
      </c>
      <c r="D19900" t="s">
        <v>11</v>
      </c>
      <c r="E19900" t="s">
        <v>12</v>
      </c>
      <c r="F19900">
        <v>131527302</v>
      </c>
      <c r="G19900">
        <v>131527385</v>
      </c>
      <c r="H19900">
        <v>131527523</v>
      </c>
      <c r="I19900">
        <v>131527540</v>
      </c>
    </row>
    <row r="19901" spans="1:9" x14ac:dyDescent="0.2">
      <c r="A19901" t="str">
        <f>"Srgap3"</f>
        <v>Srgap3</v>
      </c>
      <c r="B19901" t="s">
        <v>14</v>
      </c>
      <c r="C19901" t="s">
        <v>32</v>
      </c>
      <c r="D19901" t="s">
        <v>11</v>
      </c>
      <c r="E19901" t="s">
        <v>12</v>
      </c>
      <c r="F19901">
        <v>112947246</v>
      </c>
      <c r="G19901">
        <v>112947277</v>
      </c>
      <c r="H19901">
        <v>112947281</v>
      </c>
      <c r="I19901">
        <v>112947301</v>
      </c>
    </row>
    <row r="19902" spans="1:9" x14ac:dyDescent="0.2">
      <c r="A19902" t="str">
        <f>"Srgn"</f>
        <v>Srgn</v>
      </c>
      <c r="B19902" t="s">
        <v>9</v>
      </c>
      <c r="C19902" t="s">
        <v>15</v>
      </c>
      <c r="D19902" t="s">
        <v>11</v>
      </c>
      <c r="E19902" t="s">
        <v>12</v>
      </c>
      <c r="F19902">
        <v>62507737</v>
      </c>
      <c r="G19902">
        <v>62507764</v>
      </c>
      <c r="H19902">
        <v>62507737</v>
      </c>
      <c r="I19902">
        <v>62507764</v>
      </c>
    </row>
    <row r="19903" spans="1:9" x14ac:dyDescent="0.2">
      <c r="A19903" t="str">
        <f>"Srgn"</f>
        <v>Srgn</v>
      </c>
      <c r="B19903" t="s">
        <v>13</v>
      </c>
      <c r="C19903" t="s">
        <v>15</v>
      </c>
      <c r="D19903" t="s">
        <v>11</v>
      </c>
      <c r="E19903" t="s">
        <v>12</v>
      </c>
      <c r="F19903">
        <v>62527413</v>
      </c>
      <c r="G19903">
        <v>62527435</v>
      </c>
      <c r="H19903">
        <v>62527413</v>
      </c>
      <c r="I19903">
        <v>62527435</v>
      </c>
    </row>
    <row r="19904" spans="1:9" x14ac:dyDescent="0.2">
      <c r="A19904" t="str">
        <f>"Sri"</f>
        <v>Sri</v>
      </c>
      <c r="B19904" t="s">
        <v>14</v>
      </c>
      <c r="C19904" t="s">
        <v>46</v>
      </c>
      <c r="D19904" t="s">
        <v>17</v>
      </c>
      <c r="E19904" t="s">
        <v>12</v>
      </c>
      <c r="F19904">
        <v>8056555</v>
      </c>
      <c r="G19904">
        <v>8056585</v>
      </c>
      <c r="H19904">
        <v>8056536</v>
      </c>
      <c r="I19904">
        <v>8056551</v>
      </c>
    </row>
    <row r="19905" spans="1:9" x14ac:dyDescent="0.2">
      <c r="A19905" t="str">
        <f>"Srl"</f>
        <v>Srl</v>
      </c>
      <c r="B19905" t="s">
        <v>9</v>
      </c>
      <c r="C19905" t="s">
        <v>31</v>
      </c>
      <c r="D19905" t="s">
        <v>11</v>
      </c>
      <c r="E19905" t="s">
        <v>12</v>
      </c>
      <c r="F19905">
        <v>4523056</v>
      </c>
      <c r="G19905">
        <v>4523075</v>
      </c>
      <c r="H19905">
        <v>4523056</v>
      </c>
      <c r="I19905">
        <v>4523075</v>
      </c>
    </row>
    <row r="19906" spans="1:9" x14ac:dyDescent="0.2">
      <c r="A19906" t="str">
        <f>"Srl"</f>
        <v>Srl</v>
      </c>
      <c r="B19906" t="s">
        <v>13</v>
      </c>
      <c r="C19906" t="s">
        <v>31</v>
      </c>
      <c r="D19906" t="s">
        <v>11</v>
      </c>
      <c r="E19906" t="s">
        <v>12</v>
      </c>
      <c r="F19906">
        <v>4541794</v>
      </c>
      <c r="G19906">
        <v>4541839</v>
      </c>
      <c r="H19906">
        <v>4541794</v>
      </c>
      <c r="I19906">
        <v>4541839</v>
      </c>
    </row>
    <row r="19907" spans="1:9" x14ac:dyDescent="0.2">
      <c r="A19907" t="str">
        <f>"Srm"</f>
        <v>Srm</v>
      </c>
      <c r="B19907" t="s">
        <v>14</v>
      </c>
      <c r="C19907" t="s">
        <v>23</v>
      </c>
      <c r="D19907" t="s">
        <v>17</v>
      </c>
      <c r="E19907" t="s">
        <v>12</v>
      </c>
      <c r="F19907">
        <v>148591482</v>
      </c>
      <c r="G19907">
        <v>148591546</v>
      </c>
      <c r="H19907">
        <v>148591555</v>
      </c>
      <c r="I19907">
        <v>148591587</v>
      </c>
    </row>
    <row r="19908" spans="1:9" x14ac:dyDescent="0.2">
      <c r="A19908" t="str">
        <f>"Srms"</f>
        <v>Srms</v>
      </c>
      <c r="B19908" t="s">
        <v>14</v>
      </c>
      <c r="C19908" t="s">
        <v>26</v>
      </c>
      <c r="D19908" t="s">
        <v>11</v>
      </c>
      <c r="E19908" t="s">
        <v>12</v>
      </c>
      <c r="F19908">
        <v>181213154</v>
      </c>
      <c r="G19908">
        <v>181213174</v>
      </c>
      <c r="H19908">
        <v>181213122</v>
      </c>
      <c r="I19908">
        <v>181213133</v>
      </c>
    </row>
    <row r="19909" spans="1:9" x14ac:dyDescent="0.2">
      <c r="A19909" t="str">
        <f>"Srp14"</f>
        <v>Srp14</v>
      </c>
      <c r="B19909" t="s">
        <v>14</v>
      </c>
      <c r="C19909" t="s">
        <v>26</v>
      </c>
      <c r="D19909" t="s">
        <v>11</v>
      </c>
      <c r="E19909" t="s">
        <v>12</v>
      </c>
      <c r="F19909">
        <v>118479637</v>
      </c>
      <c r="G19909">
        <v>118479687</v>
      </c>
      <c r="H19909">
        <v>118479019</v>
      </c>
      <c r="I19909">
        <v>118479045</v>
      </c>
    </row>
    <row r="19910" spans="1:9" x14ac:dyDescent="0.2">
      <c r="A19910" t="str">
        <f>"Srp19"</f>
        <v>Srp19</v>
      </c>
      <c r="B19910" t="s">
        <v>14</v>
      </c>
      <c r="C19910" t="s">
        <v>43</v>
      </c>
      <c r="D19910" t="s">
        <v>17</v>
      </c>
      <c r="E19910" t="s">
        <v>12</v>
      </c>
      <c r="F19910">
        <v>34331132</v>
      </c>
      <c r="G19910">
        <v>34331197</v>
      </c>
      <c r="H19910">
        <v>34331132</v>
      </c>
      <c r="I19910">
        <v>34331197</v>
      </c>
    </row>
    <row r="19911" spans="1:9" x14ac:dyDescent="0.2">
      <c r="A19911" t="str">
        <f>"Srp54a"</f>
        <v>Srp54a</v>
      </c>
      <c r="B19911" t="s">
        <v>14</v>
      </c>
      <c r="C19911" t="s">
        <v>16</v>
      </c>
      <c r="D19911" t="s">
        <v>17</v>
      </c>
      <c r="E19911" t="s">
        <v>12</v>
      </c>
      <c r="F19911">
        <v>55080528</v>
      </c>
      <c r="G19911">
        <v>55080560</v>
      </c>
      <c r="H19911">
        <v>55080214</v>
      </c>
      <c r="I19911">
        <v>55080235</v>
      </c>
    </row>
    <row r="19912" spans="1:9" x14ac:dyDescent="0.2">
      <c r="A19912" t="str">
        <f>"Srp54b"</f>
        <v>Srp54b</v>
      </c>
      <c r="B19912" t="s">
        <v>5806</v>
      </c>
      <c r="C19912" t="s">
        <v>16</v>
      </c>
      <c r="D19912" t="s">
        <v>17</v>
      </c>
      <c r="E19912" t="s">
        <v>20</v>
      </c>
      <c r="F19912">
        <v>55155103</v>
      </c>
      <c r="G19912">
        <v>55155103</v>
      </c>
      <c r="H19912">
        <v>55155103</v>
      </c>
      <c r="I19912">
        <v>55155103</v>
      </c>
    </row>
    <row r="19913" spans="1:9" x14ac:dyDescent="0.2">
      <c r="A19913" t="str">
        <f>"Srp54c"</f>
        <v>Srp54c</v>
      </c>
      <c r="B19913" t="s">
        <v>5807</v>
      </c>
      <c r="C19913" t="s">
        <v>16</v>
      </c>
      <c r="D19913" t="s">
        <v>17</v>
      </c>
      <c r="E19913" t="s">
        <v>20</v>
      </c>
      <c r="F19913">
        <v>55239325</v>
      </c>
      <c r="G19913">
        <v>55239325</v>
      </c>
      <c r="H19913">
        <v>55239325</v>
      </c>
      <c r="I19913">
        <v>55239325</v>
      </c>
    </row>
    <row r="19914" spans="1:9" x14ac:dyDescent="0.2">
      <c r="A19914" t="str">
        <f>"Srp68"</f>
        <v>Srp68</v>
      </c>
      <c r="B19914" t="s">
        <v>14</v>
      </c>
      <c r="C19914" t="s">
        <v>27</v>
      </c>
      <c r="D19914" t="s">
        <v>11</v>
      </c>
      <c r="E19914" t="s">
        <v>12</v>
      </c>
      <c r="F19914">
        <v>116274102</v>
      </c>
      <c r="G19914">
        <v>116274138</v>
      </c>
      <c r="H19914">
        <v>116274197</v>
      </c>
      <c r="I19914">
        <v>116274208</v>
      </c>
    </row>
    <row r="19915" spans="1:9" x14ac:dyDescent="0.2">
      <c r="A19915" t="str">
        <f>"Srp72"</f>
        <v>Srp72</v>
      </c>
      <c r="B19915" t="s">
        <v>14</v>
      </c>
      <c r="C19915" t="s">
        <v>46</v>
      </c>
      <c r="D19915" t="s">
        <v>17</v>
      </c>
      <c r="E19915" t="s">
        <v>12</v>
      </c>
      <c r="F19915">
        <v>76974692</v>
      </c>
      <c r="G19915">
        <v>76974727</v>
      </c>
      <c r="H19915">
        <v>76974692</v>
      </c>
      <c r="I19915">
        <v>76974727</v>
      </c>
    </row>
    <row r="19916" spans="1:9" x14ac:dyDescent="0.2">
      <c r="A19916" t="str">
        <f>"Srp9"</f>
        <v>Srp9</v>
      </c>
      <c r="B19916" t="s">
        <v>14</v>
      </c>
      <c r="C19916" t="s">
        <v>19</v>
      </c>
      <c r="D19916" t="s">
        <v>17</v>
      </c>
      <c r="E19916" t="s">
        <v>12</v>
      </c>
      <c r="F19916">
        <v>182124774</v>
      </c>
      <c r="G19916">
        <v>182124800</v>
      </c>
      <c r="H19916">
        <v>182124802</v>
      </c>
      <c r="I19916">
        <v>182124818</v>
      </c>
    </row>
    <row r="19917" spans="1:9" x14ac:dyDescent="0.2">
      <c r="A19917" t="str">
        <f>"Srpk1"</f>
        <v>Srpk1</v>
      </c>
      <c r="B19917" t="s">
        <v>14</v>
      </c>
      <c r="C19917" t="s">
        <v>28</v>
      </c>
      <c r="D19917" t="s">
        <v>11</v>
      </c>
      <c r="E19917" t="s">
        <v>12</v>
      </c>
      <c r="F19917">
        <v>28622419</v>
      </c>
      <c r="G19917">
        <v>28622473</v>
      </c>
      <c r="H19917">
        <v>28622479</v>
      </c>
      <c r="I19917">
        <v>28622502</v>
      </c>
    </row>
    <row r="19918" spans="1:9" x14ac:dyDescent="0.2">
      <c r="A19918" t="str">
        <f>"Srpk2"</f>
        <v>Srpk2</v>
      </c>
      <c r="B19918" t="s">
        <v>14</v>
      </c>
      <c r="C19918" t="s">
        <v>46</v>
      </c>
      <c r="D19918" t="s">
        <v>11</v>
      </c>
      <c r="E19918" t="s">
        <v>12</v>
      </c>
      <c r="F19918">
        <v>23616528</v>
      </c>
      <c r="G19918">
        <v>23616597</v>
      </c>
      <c r="H19918">
        <v>23616528</v>
      </c>
      <c r="I19918">
        <v>23616597</v>
      </c>
    </row>
    <row r="19919" spans="1:9" x14ac:dyDescent="0.2">
      <c r="A19919" t="str">
        <f>"Srpk3"</f>
        <v>Srpk3</v>
      </c>
      <c r="B19919" t="s">
        <v>14</v>
      </c>
      <c r="C19919" t="s">
        <v>37</v>
      </c>
      <c r="D19919" t="s">
        <v>17</v>
      </c>
      <c r="E19919" t="s">
        <v>12</v>
      </c>
      <c r="F19919">
        <v>73774397</v>
      </c>
      <c r="G19919">
        <v>73774412</v>
      </c>
      <c r="H19919">
        <v>73774436</v>
      </c>
      <c r="I19919">
        <v>73774454</v>
      </c>
    </row>
    <row r="19920" spans="1:9" x14ac:dyDescent="0.2">
      <c r="A19920" t="str">
        <f>"Srpr"</f>
        <v>Srpr</v>
      </c>
      <c r="B19920" t="s">
        <v>14</v>
      </c>
      <c r="C19920" t="s">
        <v>24</v>
      </c>
      <c r="D19920" t="s">
        <v>17</v>
      </c>
      <c r="E19920" t="s">
        <v>12</v>
      </c>
      <c r="F19920">
        <v>35211177</v>
      </c>
      <c r="G19920">
        <v>35211224</v>
      </c>
      <c r="H19920">
        <v>35211229</v>
      </c>
      <c r="I19920">
        <v>35211248</v>
      </c>
    </row>
    <row r="19921" spans="1:9" x14ac:dyDescent="0.2">
      <c r="A19921" t="str">
        <f>"Srprb"</f>
        <v>Srprb</v>
      </c>
      <c r="B19921" t="s">
        <v>14</v>
      </c>
      <c r="C19921" t="s">
        <v>24</v>
      </c>
      <c r="D19921" t="s">
        <v>11</v>
      </c>
      <c r="E19921" t="s">
        <v>12</v>
      </c>
      <c r="F19921">
        <v>103202056</v>
      </c>
      <c r="G19921">
        <v>103202110</v>
      </c>
      <c r="H19921">
        <v>103202113</v>
      </c>
      <c r="I19921">
        <v>103202136</v>
      </c>
    </row>
    <row r="19922" spans="1:9" x14ac:dyDescent="0.2">
      <c r="A19922" t="str">
        <f>"Srpx"</f>
        <v>Srpx</v>
      </c>
      <c r="B19922" t="s">
        <v>14</v>
      </c>
      <c r="C19922" t="s">
        <v>37</v>
      </c>
      <c r="D19922" t="s">
        <v>11</v>
      </c>
      <c r="E19922" t="s">
        <v>12</v>
      </c>
      <c r="F19922">
        <v>10117597</v>
      </c>
      <c r="G19922">
        <v>10117677</v>
      </c>
      <c r="H19922">
        <v>10117556</v>
      </c>
      <c r="I19922">
        <v>10117560</v>
      </c>
    </row>
    <row r="19923" spans="1:9" x14ac:dyDescent="0.2">
      <c r="A19923" t="str">
        <f>"Srpx2"</f>
        <v>Srpx2</v>
      </c>
      <c r="B19923" t="s">
        <v>14</v>
      </c>
      <c r="C19923" t="s">
        <v>37</v>
      </c>
      <c r="D19923" t="s">
        <v>17</v>
      </c>
      <c r="E19923" t="s">
        <v>12</v>
      </c>
      <c r="F19923">
        <v>133908441</v>
      </c>
      <c r="G19923">
        <v>133908462</v>
      </c>
      <c r="H19923">
        <v>133908418</v>
      </c>
      <c r="I19923">
        <v>133908430</v>
      </c>
    </row>
    <row r="19924" spans="1:9" x14ac:dyDescent="0.2">
      <c r="A19924" t="str">
        <f>"Srr"</f>
        <v>Srr</v>
      </c>
      <c r="B19924" t="s">
        <v>14</v>
      </c>
      <c r="C19924" t="s">
        <v>27</v>
      </c>
      <c r="D19924" t="s">
        <v>11</v>
      </c>
      <c r="E19924" t="s">
        <v>12</v>
      </c>
      <c r="F19924">
        <v>74925658</v>
      </c>
      <c r="G19924">
        <v>74925716</v>
      </c>
      <c r="H19924">
        <v>74925925</v>
      </c>
      <c r="I19924">
        <v>74925985</v>
      </c>
    </row>
    <row r="19925" spans="1:9" x14ac:dyDescent="0.2">
      <c r="A19925" t="str">
        <f>"Srrd"</f>
        <v>Srrd</v>
      </c>
      <c r="B19925" t="s">
        <v>14</v>
      </c>
      <c r="C19925" t="s">
        <v>46</v>
      </c>
      <c r="D19925" t="s">
        <v>11</v>
      </c>
      <c r="E19925" t="s">
        <v>12</v>
      </c>
      <c r="F19925">
        <v>112343010</v>
      </c>
      <c r="G19925">
        <v>112343050</v>
      </c>
      <c r="H19925">
        <v>112343496</v>
      </c>
      <c r="I19925">
        <v>112343504</v>
      </c>
    </row>
    <row r="19926" spans="1:9" x14ac:dyDescent="0.2">
      <c r="A19926" t="str">
        <f>"Srrm1"</f>
        <v>Srrm1</v>
      </c>
      <c r="B19926" t="s">
        <v>14</v>
      </c>
      <c r="C19926" t="s">
        <v>23</v>
      </c>
      <c r="D19926" t="s">
        <v>11</v>
      </c>
      <c r="E19926" t="s">
        <v>12</v>
      </c>
      <c r="F19926">
        <v>135353126</v>
      </c>
      <c r="G19926">
        <v>135353157</v>
      </c>
      <c r="H19926">
        <v>135353164</v>
      </c>
      <c r="I19926">
        <v>135353177</v>
      </c>
    </row>
    <row r="19927" spans="1:9" x14ac:dyDescent="0.2">
      <c r="A19927" t="str">
        <f>"Srrm2"</f>
        <v>Srrm2</v>
      </c>
      <c r="B19927" t="s">
        <v>14</v>
      </c>
      <c r="C19927" t="s">
        <v>28</v>
      </c>
      <c r="D19927" t="s">
        <v>17</v>
      </c>
      <c r="E19927" t="s">
        <v>12</v>
      </c>
      <c r="F19927">
        <v>23803179</v>
      </c>
      <c r="G19927">
        <v>23803237</v>
      </c>
      <c r="H19927">
        <v>23803179</v>
      </c>
      <c r="I19927">
        <v>23803237</v>
      </c>
    </row>
    <row r="19928" spans="1:9" x14ac:dyDescent="0.2">
      <c r="A19928" t="str">
        <f>"Srrm3"</f>
        <v>Srrm3</v>
      </c>
      <c r="B19928" t="s">
        <v>14</v>
      </c>
      <c r="C19928" t="s">
        <v>46</v>
      </c>
      <c r="D19928" t="s">
        <v>17</v>
      </c>
      <c r="E19928" t="s">
        <v>12</v>
      </c>
      <c r="F19928">
        <v>135806859</v>
      </c>
      <c r="G19928">
        <v>135806902</v>
      </c>
      <c r="H19928">
        <v>135806859</v>
      </c>
      <c r="I19928">
        <v>135806902</v>
      </c>
    </row>
    <row r="19929" spans="1:9" x14ac:dyDescent="0.2">
      <c r="A19929" t="str">
        <f>"Srrm4"</f>
        <v>Srrm4</v>
      </c>
      <c r="B19929" t="s">
        <v>14</v>
      </c>
      <c r="C19929" t="s">
        <v>46</v>
      </c>
      <c r="D19929" t="s">
        <v>11</v>
      </c>
      <c r="E19929" t="s">
        <v>12</v>
      </c>
      <c r="F19929">
        <v>116591811</v>
      </c>
      <c r="G19929">
        <v>116591830</v>
      </c>
      <c r="H19929">
        <v>116591811</v>
      </c>
      <c r="I19929">
        <v>116591830</v>
      </c>
    </row>
    <row r="19930" spans="1:9" x14ac:dyDescent="0.2">
      <c r="A19930" t="str">
        <f>"Srrt"</f>
        <v>Srrt</v>
      </c>
      <c r="B19930" t="s">
        <v>14</v>
      </c>
      <c r="C19930" t="s">
        <v>46</v>
      </c>
      <c r="D19930" t="s">
        <v>11</v>
      </c>
      <c r="E19930" t="s">
        <v>12</v>
      </c>
      <c r="F19930">
        <v>137307633</v>
      </c>
      <c r="G19930">
        <v>137307728</v>
      </c>
      <c r="H19930">
        <v>137307521</v>
      </c>
      <c r="I19930">
        <v>137307576</v>
      </c>
    </row>
    <row r="19931" spans="1:9" x14ac:dyDescent="0.2">
      <c r="A19931" t="str">
        <f>"Srsf1"</f>
        <v>Srsf1</v>
      </c>
      <c r="B19931" t="s">
        <v>14</v>
      </c>
      <c r="C19931" t="s">
        <v>27</v>
      </c>
      <c r="D19931" t="s">
        <v>17</v>
      </c>
      <c r="E19931" t="s">
        <v>12</v>
      </c>
      <c r="F19931">
        <v>88047693</v>
      </c>
      <c r="G19931">
        <v>88047727</v>
      </c>
      <c r="H19931">
        <v>88047660</v>
      </c>
      <c r="I19931">
        <v>88047690</v>
      </c>
    </row>
    <row r="19932" spans="1:9" x14ac:dyDescent="0.2">
      <c r="A19932" t="str">
        <f>"Srsf10"</f>
        <v>Srsf10</v>
      </c>
      <c r="B19932" t="s">
        <v>14</v>
      </c>
      <c r="C19932" t="s">
        <v>23</v>
      </c>
      <c r="D19932" t="s">
        <v>17</v>
      </c>
      <c r="E19932" t="s">
        <v>12</v>
      </c>
      <c r="F19932">
        <v>135856128</v>
      </c>
      <c r="G19932">
        <v>135856160</v>
      </c>
      <c r="H19932">
        <v>135856087</v>
      </c>
      <c r="I19932">
        <v>135856124</v>
      </c>
    </row>
    <row r="19933" spans="1:9" x14ac:dyDescent="0.2">
      <c r="A19933" t="str">
        <f>"Srsf11"</f>
        <v>Srsf11</v>
      </c>
      <c r="B19933" t="s">
        <v>9</v>
      </c>
      <c r="C19933" t="s">
        <v>22</v>
      </c>
      <c r="D19933" t="s">
        <v>11</v>
      </c>
      <c r="E19933" t="s">
        <v>12</v>
      </c>
      <c r="F19933">
        <v>158036566</v>
      </c>
      <c r="G19933">
        <v>158036629</v>
      </c>
      <c r="H19933">
        <v>158036566</v>
      </c>
      <c r="I19933">
        <v>158036629</v>
      </c>
    </row>
    <row r="19934" spans="1:9" x14ac:dyDescent="0.2">
      <c r="A19934" t="str">
        <f>"Srsf11"</f>
        <v>Srsf11</v>
      </c>
      <c r="B19934" t="s">
        <v>13</v>
      </c>
      <c r="C19934" t="s">
        <v>22</v>
      </c>
      <c r="D19934" t="s">
        <v>11</v>
      </c>
      <c r="E19934" t="s">
        <v>12</v>
      </c>
      <c r="F19934">
        <v>158031705</v>
      </c>
      <c r="G19934">
        <v>158031774</v>
      </c>
      <c r="H19934">
        <v>158031705</v>
      </c>
      <c r="I19934">
        <v>158031774</v>
      </c>
    </row>
    <row r="19935" spans="1:9" x14ac:dyDescent="0.2">
      <c r="A19935" t="str">
        <f>"Srsf12"</f>
        <v>Srsf12</v>
      </c>
      <c r="B19935" t="s">
        <v>14</v>
      </c>
      <c r="C19935" t="s">
        <v>23</v>
      </c>
      <c r="D19935" t="s">
        <v>17</v>
      </c>
      <c r="E19935" t="s">
        <v>12</v>
      </c>
      <c r="F19935">
        <v>33209259</v>
      </c>
      <c r="G19935">
        <v>33209319</v>
      </c>
      <c r="H19935">
        <v>33209237</v>
      </c>
      <c r="I19935">
        <v>33209254</v>
      </c>
    </row>
    <row r="19936" spans="1:9" x14ac:dyDescent="0.2">
      <c r="A19936" t="str">
        <f>"Srsf2"</f>
        <v>Srsf2</v>
      </c>
      <c r="B19936" t="s">
        <v>14</v>
      </c>
      <c r="C19936" t="s">
        <v>27</v>
      </c>
      <c r="D19936" t="s">
        <v>11</v>
      </c>
      <c r="E19936" t="s">
        <v>12</v>
      </c>
      <c r="F19936">
        <v>116853083</v>
      </c>
      <c r="G19936">
        <v>116853099</v>
      </c>
      <c r="H19936">
        <v>116853083</v>
      </c>
      <c r="I19936">
        <v>116853099</v>
      </c>
    </row>
    <row r="19937" spans="1:9" x14ac:dyDescent="0.2">
      <c r="A19937" t="str">
        <f>"Srsf3"</f>
        <v>Srsf3</v>
      </c>
      <c r="B19937" t="s">
        <v>14</v>
      </c>
      <c r="C19937" t="s">
        <v>28</v>
      </c>
      <c r="D19937" t="s">
        <v>17</v>
      </c>
      <c r="E19937" t="s">
        <v>12</v>
      </c>
      <c r="F19937">
        <v>29032664</v>
      </c>
      <c r="G19937">
        <v>29032681</v>
      </c>
      <c r="H19937">
        <v>29032664</v>
      </c>
      <c r="I19937">
        <v>29032681</v>
      </c>
    </row>
    <row r="19938" spans="1:9" x14ac:dyDescent="0.2">
      <c r="A19938" t="str">
        <f>"Srsf4"</f>
        <v>Srsf4</v>
      </c>
      <c r="B19938" t="s">
        <v>14</v>
      </c>
      <c r="C19938" t="s">
        <v>23</v>
      </c>
      <c r="D19938" t="s">
        <v>17</v>
      </c>
      <c r="E19938" t="s">
        <v>12</v>
      </c>
      <c r="F19938">
        <v>131873608</v>
      </c>
      <c r="G19938">
        <v>131873679</v>
      </c>
      <c r="H19938">
        <v>131873702</v>
      </c>
      <c r="I19938">
        <v>131873722</v>
      </c>
    </row>
    <row r="19939" spans="1:9" x14ac:dyDescent="0.2">
      <c r="A19939" t="str">
        <f>"Srsf5"</f>
        <v>Srsf5</v>
      </c>
      <c r="B19939" t="s">
        <v>14</v>
      </c>
      <c r="C19939" t="s">
        <v>16</v>
      </c>
      <c r="D19939" t="s">
        <v>17</v>
      </c>
      <c r="E19939" t="s">
        <v>12</v>
      </c>
      <c r="F19939">
        <v>80945523</v>
      </c>
      <c r="G19939">
        <v>80945541</v>
      </c>
      <c r="H19939">
        <v>80945500</v>
      </c>
      <c r="I19939">
        <v>80945505</v>
      </c>
    </row>
    <row r="19940" spans="1:9" x14ac:dyDescent="0.2">
      <c r="A19940" t="str">
        <f>"Srsf6"</f>
        <v>Srsf6</v>
      </c>
      <c r="B19940" t="s">
        <v>14</v>
      </c>
      <c r="C19940" t="s">
        <v>26</v>
      </c>
      <c r="D19940" t="s">
        <v>17</v>
      </c>
      <c r="E19940" t="s">
        <v>12</v>
      </c>
      <c r="F19940">
        <v>162931520</v>
      </c>
      <c r="G19940">
        <v>162931536</v>
      </c>
      <c r="H19940">
        <v>162931278</v>
      </c>
      <c r="I19940">
        <v>162931321</v>
      </c>
    </row>
    <row r="19941" spans="1:9" x14ac:dyDescent="0.2">
      <c r="A19941" t="str">
        <f>"Srsf7"</f>
        <v>Srsf7</v>
      </c>
      <c r="B19941" t="s">
        <v>14</v>
      </c>
      <c r="C19941" t="s">
        <v>28</v>
      </c>
      <c r="D19941" t="s">
        <v>11</v>
      </c>
      <c r="E19941" t="s">
        <v>12</v>
      </c>
      <c r="F19941">
        <v>80207299</v>
      </c>
      <c r="G19941">
        <v>80207308</v>
      </c>
      <c r="H19941">
        <v>80206825</v>
      </c>
      <c r="I19941">
        <v>80206842</v>
      </c>
    </row>
    <row r="19942" spans="1:9" x14ac:dyDescent="0.2">
      <c r="A19942" t="str">
        <f>"Srsf9"</f>
        <v>Srsf9</v>
      </c>
      <c r="B19942" t="s">
        <v>14</v>
      </c>
      <c r="C19942" t="s">
        <v>46</v>
      </c>
      <c r="D19942" t="s">
        <v>17</v>
      </c>
      <c r="E19942" t="s">
        <v>12</v>
      </c>
      <c r="F19942">
        <v>115327125</v>
      </c>
      <c r="G19942">
        <v>115327199</v>
      </c>
      <c r="H19942">
        <v>115327201</v>
      </c>
      <c r="I19942">
        <v>115327267</v>
      </c>
    </row>
    <row r="19943" spans="1:9" x14ac:dyDescent="0.2">
      <c r="A19943" t="str">
        <f>"Srsx"</f>
        <v>Srsx</v>
      </c>
      <c r="B19943" t="s">
        <v>5808</v>
      </c>
      <c r="C19943" t="s">
        <v>37</v>
      </c>
      <c r="D19943" t="s">
        <v>11</v>
      </c>
      <c r="E19943" t="s">
        <v>20</v>
      </c>
      <c r="F19943">
        <v>123222480</v>
      </c>
      <c r="G19943">
        <v>123222480</v>
      </c>
      <c r="H19943">
        <v>123222480</v>
      </c>
      <c r="I19943">
        <v>123222480</v>
      </c>
    </row>
    <row r="19944" spans="1:9" x14ac:dyDescent="0.2">
      <c r="A19944" t="str">
        <f>"Srsy"</f>
        <v>Srsy</v>
      </c>
      <c r="B19944" t="s">
        <v>5809</v>
      </c>
      <c r="C19944" t="s">
        <v>63</v>
      </c>
      <c r="D19944" t="s">
        <v>11</v>
      </c>
      <c r="E19944" t="s">
        <v>20</v>
      </c>
      <c r="F19944">
        <v>17937329</v>
      </c>
      <c r="G19944">
        <v>17937329</v>
      </c>
      <c r="H19944">
        <v>17937329</v>
      </c>
      <c r="I19944">
        <v>17937329</v>
      </c>
    </row>
    <row r="19945" spans="1:9" x14ac:dyDescent="0.2">
      <c r="A19945" t="str">
        <f>"Srxn1"</f>
        <v>Srxn1</v>
      </c>
      <c r="B19945" t="s">
        <v>14</v>
      </c>
      <c r="C19945" t="s">
        <v>26</v>
      </c>
      <c r="D19945" t="s">
        <v>17</v>
      </c>
      <c r="E19945" t="s">
        <v>12</v>
      </c>
      <c r="F19945">
        <v>152105722</v>
      </c>
      <c r="G19945">
        <v>152105739</v>
      </c>
      <c r="H19945">
        <v>152105578</v>
      </c>
      <c r="I19945">
        <v>152105601</v>
      </c>
    </row>
    <row r="19946" spans="1:9" x14ac:dyDescent="0.2">
      <c r="A19946" t="str">
        <f>"Sry"</f>
        <v>Sry</v>
      </c>
      <c r="B19946" t="s">
        <v>5810</v>
      </c>
      <c r="C19946" t="s">
        <v>63</v>
      </c>
      <c r="D19946" t="s">
        <v>11</v>
      </c>
      <c r="E19946" t="s">
        <v>20</v>
      </c>
      <c r="F19946">
        <v>2663657</v>
      </c>
      <c r="G19946">
        <v>2663657</v>
      </c>
      <c r="H19946">
        <v>2663657</v>
      </c>
      <c r="I19946">
        <v>2663657</v>
      </c>
    </row>
    <row r="19947" spans="1:9" x14ac:dyDescent="0.2">
      <c r="A19947" t="str">
        <f>"Ss18"</f>
        <v>Ss18</v>
      </c>
      <c r="B19947" t="s">
        <v>14</v>
      </c>
      <c r="C19947" t="s">
        <v>43</v>
      </c>
      <c r="D19947" t="s">
        <v>11</v>
      </c>
      <c r="E19947" t="s">
        <v>12</v>
      </c>
      <c r="F19947">
        <v>14682756</v>
      </c>
      <c r="G19947">
        <v>14682782</v>
      </c>
      <c r="H19947">
        <v>14682756</v>
      </c>
      <c r="I19947">
        <v>14682782</v>
      </c>
    </row>
    <row r="19948" spans="1:9" x14ac:dyDescent="0.2">
      <c r="A19948" t="str">
        <f>"Ss18l1"</f>
        <v>Ss18l1</v>
      </c>
      <c r="B19948" t="s">
        <v>14</v>
      </c>
      <c r="C19948" t="s">
        <v>26</v>
      </c>
      <c r="D19948" t="s">
        <v>17</v>
      </c>
      <c r="E19948" t="s">
        <v>12</v>
      </c>
      <c r="F19948">
        <v>180042743</v>
      </c>
      <c r="G19948">
        <v>180042791</v>
      </c>
      <c r="H19948">
        <v>180042496</v>
      </c>
      <c r="I19948">
        <v>180042562</v>
      </c>
    </row>
    <row r="19949" spans="1:9" x14ac:dyDescent="0.2">
      <c r="A19949" t="str">
        <f>"Ssb"</f>
        <v>Ssb</v>
      </c>
      <c r="B19949" t="s">
        <v>14</v>
      </c>
      <c r="C19949" t="s">
        <v>26</v>
      </c>
      <c r="D19949" t="s">
        <v>17</v>
      </c>
      <c r="E19949" t="s">
        <v>12</v>
      </c>
      <c r="F19949">
        <v>69861585</v>
      </c>
      <c r="G19949">
        <v>69861635</v>
      </c>
      <c r="H19949">
        <v>69861638</v>
      </c>
      <c r="I19949">
        <v>69861653</v>
      </c>
    </row>
    <row r="19950" spans="1:9" x14ac:dyDescent="0.2">
      <c r="A19950" t="str">
        <f>"Ssbp1"</f>
        <v>Ssbp1</v>
      </c>
      <c r="B19950" t="s">
        <v>14</v>
      </c>
      <c r="C19950" t="s">
        <v>32</v>
      </c>
      <c r="D19950" t="s">
        <v>17</v>
      </c>
      <c r="E19950" t="s">
        <v>12</v>
      </c>
      <c r="F19950">
        <v>40471361</v>
      </c>
      <c r="G19950">
        <v>40471511</v>
      </c>
      <c r="H19950">
        <v>40471666</v>
      </c>
      <c r="I19950">
        <v>40471680</v>
      </c>
    </row>
    <row r="19951" spans="1:9" x14ac:dyDescent="0.2">
      <c r="A19951" t="str">
        <f>"Ssbp2"</f>
        <v>Ssbp2</v>
      </c>
      <c r="B19951" t="s">
        <v>14</v>
      </c>
      <c r="C19951" t="s">
        <v>39</v>
      </c>
      <c r="D19951" t="s">
        <v>17</v>
      </c>
      <c r="E19951" t="s">
        <v>12</v>
      </c>
      <c r="F19951">
        <v>91461145</v>
      </c>
      <c r="G19951">
        <v>91461188</v>
      </c>
      <c r="H19951">
        <v>91461126</v>
      </c>
      <c r="I19951">
        <v>91461143</v>
      </c>
    </row>
    <row r="19952" spans="1:9" x14ac:dyDescent="0.2">
      <c r="A19952" t="str">
        <f>"Ssbp3"</f>
        <v>Ssbp3</v>
      </c>
      <c r="B19952" t="s">
        <v>14</v>
      </c>
      <c r="C19952" t="s">
        <v>23</v>
      </c>
      <c r="D19952" t="s">
        <v>17</v>
      </c>
      <c r="E19952" t="s">
        <v>12</v>
      </c>
      <c r="F19952">
        <v>106911470</v>
      </c>
      <c r="G19952">
        <v>106911505</v>
      </c>
      <c r="H19952">
        <v>106911517</v>
      </c>
      <c r="I19952">
        <v>106911529</v>
      </c>
    </row>
    <row r="19953" spans="1:9" x14ac:dyDescent="0.2">
      <c r="A19953" t="str">
        <f>"Ssbp4"</f>
        <v>Ssbp4</v>
      </c>
      <c r="B19953" t="s">
        <v>14</v>
      </c>
      <c r="C19953" t="s">
        <v>30</v>
      </c>
      <c r="D19953" t="s">
        <v>11</v>
      </c>
      <c r="E19953" t="s">
        <v>12</v>
      </c>
      <c r="F19953">
        <v>70608261</v>
      </c>
      <c r="G19953">
        <v>70608330</v>
      </c>
      <c r="H19953">
        <v>70608261</v>
      </c>
      <c r="I19953">
        <v>70608330</v>
      </c>
    </row>
    <row r="19954" spans="1:9" x14ac:dyDescent="0.2">
      <c r="A19954" t="str">
        <f>"Ssc5d"</f>
        <v>Ssc5d</v>
      </c>
      <c r="B19954" t="s">
        <v>14</v>
      </c>
      <c r="C19954" t="s">
        <v>33</v>
      </c>
      <c r="D19954" t="s">
        <v>17</v>
      </c>
      <c r="E19954" t="s">
        <v>67</v>
      </c>
      <c r="F19954">
        <v>4925802</v>
      </c>
      <c r="G19954">
        <v>4925868</v>
      </c>
      <c r="H19954">
        <v>4925787</v>
      </c>
      <c r="I19954">
        <v>4925797</v>
      </c>
    </row>
    <row r="19955" spans="1:9" x14ac:dyDescent="0.2">
      <c r="A19955" t="str">
        <f>"Ssfa2"</f>
        <v>Ssfa2</v>
      </c>
      <c r="B19955" t="s">
        <v>14</v>
      </c>
      <c r="C19955" t="s">
        <v>26</v>
      </c>
      <c r="D19955" t="s">
        <v>17</v>
      </c>
      <c r="E19955" t="s">
        <v>12</v>
      </c>
      <c r="F19955">
        <v>79635300</v>
      </c>
      <c r="G19955">
        <v>79635320</v>
      </c>
      <c r="H19955">
        <v>79635370</v>
      </c>
      <c r="I19955">
        <v>79635410</v>
      </c>
    </row>
    <row r="19956" spans="1:9" x14ac:dyDescent="0.2">
      <c r="A19956" t="str">
        <f>"Ssh1"</f>
        <v>Ssh1</v>
      </c>
      <c r="B19956" t="s">
        <v>9</v>
      </c>
      <c r="C19956" t="s">
        <v>46</v>
      </c>
      <c r="D19956" t="s">
        <v>11</v>
      </c>
      <c r="E19956" t="s">
        <v>12</v>
      </c>
      <c r="F19956">
        <v>113993740</v>
      </c>
      <c r="G19956">
        <v>113993806</v>
      </c>
      <c r="H19956">
        <v>113993740</v>
      </c>
      <c r="I19956">
        <v>113993806</v>
      </c>
    </row>
    <row r="19957" spans="1:9" x14ac:dyDescent="0.2">
      <c r="A19957" t="str">
        <f>"Ssh1"</f>
        <v>Ssh1</v>
      </c>
      <c r="B19957" t="s">
        <v>13</v>
      </c>
      <c r="C19957" t="s">
        <v>46</v>
      </c>
      <c r="D19957" t="s">
        <v>11</v>
      </c>
      <c r="E19957" t="s">
        <v>12</v>
      </c>
      <c r="F19957">
        <v>113989739</v>
      </c>
      <c r="G19957">
        <v>113989744</v>
      </c>
      <c r="H19957">
        <v>113989739</v>
      </c>
      <c r="I19957">
        <v>113989744</v>
      </c>
    </row>
    <row r="19958" spans="1:9" x14ac:dyDescent="0.2">
      <c r="A19958" t="str">
        <f>"Ssh2"</f>
        <v>Ssh2</v>
      </c>
      <c r="B19958" t="s">
        <v>14</v>
      </c>
      <c r="C19958" t="s">
        <v>27</v>
      </c>
      <c r="D19958" t="s">
        <v>17</v>
      </c>
      <c r="E19958" t="s">
        <v>12</v>
      </c>
      <c r="F19958">
        <v>77216180</v>
      </c>
      <c r="G19958">
        <v>77216279</v>
      </c>
      <c r="H19958">
        <v>77216180</v>
      </c>
      <c r="I19958">
        <v>77216279</v>
      </c>
    </row>
    <row r="19959" spans="1:9" x14ac:dyDescent="0.2">
      <c r="A19959" t="str">
        <f>"Ssh3"</f>
        <v>Ssh3</v>
      </c>
      <c r="B19959" t="s">
        <v>14</v>
      </c>
      <c r="C19959" t="s">
        <v>10</v>
      </c>
      <c r="D19959" t="s">
        <v>11</v>
      </c>
      <c r="E19959" t="s">
        <v>12</v>
      </c>
      <c r="F19959">
        <v>4269140</v>
      </c>
      <c r="G19959">
        <v>4269200</v>
      </c>
      <c r="H19959">
        <v>4269239</v>
      </c>
      <c r="I19959">
        <v>4269292</v>
      </c>
    </row>
    <row r="19960" spans="1:9" x14ac:dyDescent="0.2">
      <c r="A19960" t="str">
        <f>"Ssmem1"</f>
        <v>Ssmem1</v>
      </c>
      <c r="B19960" t="s">
        <v>5811</v>
      </c>
      <c r="C19960" t="s">
        <v>32</v>
      </c>
      <c r="D19960" t="s">
        <v>17</v>
      </c>
      <c r="E19960" t="s">
        <v>35</v>
      </c>
      <c r="F19960">
        <v>30512271</v>
      </c>
      <c r="G19960">
        <v>30512278</v>
      </c>
      <c r="H19960">
        <v>30512340</v>
      </c>
      <c r="I19960">
        <v>30512345</v>
      </c>
    </row>
    <row r="19961" spans="1:9" x14ac:dyDescent="0.2">
      <c r="A19961" t="str">
        <f>"Ssna1"</f>
        <v>Ssna1</v>
      </c>
      <c r="B19961" t="s">
        <v>14</v>
      </c>
      <c r="C19961" t="s">
        <v>26</v>
      </c>
      <c r="D19961" t="s">
        <v>11</v>
      </c>
      <c r="E19961" t="s">
        <v>12</v>
      </c>
      <c r="F19961">
        <v>25272380</v>
      </c>
      <c r="G19961">
        <v>25272421</v>
      </c>
      <c r="H19961">
        <v>25272336</v>
      </c>
      <c r="I19961">
        <v>25272376</v>
      </c>
    </row>
    <row r="19962" spans="1:9" x14ac:dyDescent="0.2">
      <c r="A19962" t="str">
        <f>"Sspn"</f>
        <v>Sspn</v>
      </c>
      <c r="B19962" t="s">
        <v>14</v>
      </c>
      <c r="C19962" t="s">
        <v>32</v>
      </c>
      <c r="D19962" t="s">
        <v>17</v>
      </c>
      <c r="E19962" t="s">
        <v>12</v>
      </c>
      <c r="F19962">
        <v>145934113</v>
      </c>
      <c r="G19962">
        <v>145934136</v>
      </c>
      <c r="H19962">
        <v>145934137</v>
      </c>
      <c r="I19962">
        <v>145934161</v>
      </c>
    </row>
    <row r="19963" spans="1:9" x14ac:dyDescent="0.2">
      <c r="A19963" t="str">
        <f>"Sspo"</f>
        <v>Sspo</v>
      </c>
      <c r="B19963" t="s">
        <v>14</v>
      </c>
      <c r="C19963" t="s">
        <v>32</v>
      </c>
      <c r="D19963" t="s">
        <v>17</v>
      </c>
      <c r="E19963" t="s">
        <v>12</v>
      </c>
      <c r="F19963">
        <v>48447889</v>
      </c>
      <c r="G19963">
        <v>48447915</v>
      </c>
      <c r="H19963">
        <v>48447889</v>
      </c>
      <c r="I19963">
        <v>48447915</v>
      </c>
    </row>
    <row r="19964" spans="1:9" x14ac:dyDescent="0.2">
      <c r="A19964" t="str">
        <f>"Ssr1"</f>
        <v>Ssr1</v>
      </c>
      <c r="B19964" t="s">
        <v>14</v>
      </c>
      <c r="C19964" t="s">
        <v>39</v>
      </c>
      <c r="D19964" t="s">
        <v>11</v>
      </c>
      <c r="E19964" t="s">
        <v>12</v>
      </c>
      <c r="F19964">
        <v>37994111</v>
      </c>
      <c r="G19964">
        <v>37994184</v>
      </c>
      <c r="H19964">
        <v>37994574</v>
      </c>
      <c r="I19964">
        <v>37994620</v>
      </c>
    </row>
    <row r="19965" spans="1:9" x14ac:dyDescent="0.2">
      <c r="A19965" t="str">
        <f>"Ssr2"</f>
        <v>Ssr2</v>
      </c>
      <c r="B19965" t="s">
        <v>14</v>
      </c>
      <c r="C19965" t="s">
        <v>22</v>
      </c>
      <c r="D19965" t="s">
        <v>17</v>
      </c>
      <c r="E19965" t="s">
        <v>12</v>
      </c>
      <c r="F19965">
        <v>88579602</v>
      </c>
      <c r="G19965">
        <v>88579727</v>
      </c>
      <c r="H19965">
        <v>88579602</v>
      </c>
      <c r="I19965">
        <v>88579727</v>
      </c>
    </row>
    <row r="19966" spans="1:9" x14ac:dyDescent="0.2">
      <c r="A19966" t="str">
        <f>"Ssr3"</f>
        <v>Ssr3</v>
      </c>
      <c r="B19966" t="s">
        <v>14</v>
      </c>
      <c r="C19966" t="s">
        <v>22</v>
      </c>
      <c r="D19966" t="s">
        <v>11</v>
      </c>
      <c r="E19966" t="s">
        <v>12</v>
      </c>
      <c r="F19966">
        <v>65392546</v>
      </c>
      <c r="G19966">
        <v>65392562</v>
      </c>
      <c r="H19966">
        <v>65392579</v>
      </c>
      <c r="I19966">
        <v>65392595</v>
      </c>
    </row>
    <row r="19967" spans="1:9" x14ac:dyDescent="0.2">
      <c r="A19967" t="str">
        <f>"Ssr4"</f>
        <v>Ssr4</v>
      </c>
      <c r="B19967" t="s">
        <v>14</v>
      </c>
      <c r="C19967" t="s">
        <v>37</v>
      </c>
      <c r="D19967" t="s">
        <v>17</v>
      </c>
      <c r="E19967" t="s">
        <v>12</v>
      </c>
      <c r="F19967">
        <v>73787133</v>
      </c>
      <c r="G19967">
        <v>73787198</v>
      </c>
      <c r="H19967">
        <v>73787203</v>
      </c>
      <c r="I19967">
        <v>73787230</v>
      </c>
    </row>
    <row r="19968" spans="1:9" x14ac:dyDescent="0.2">
      <c r="A19968" t="str">
        <f>"Ssrp1"</f>
        <v>Ssrp1</v>
      </c>
      <c r="B19968" t="s">
        <v>14</v>
      </c>
      <c r="C19968" t="s">
        <v>26</v>
      </c>
      <c r="D19968" t="s">
        <v>17</v>
      </c>
      <c r="E19968" t="s">
        <v>12</v>
      </c>
      <c r="F19968">
        <v>85037212</v>
      </c>
      <c r="G19968">
        <v>85037302</v>
      </c>
      <c r="H19968">
        <v>85037169</v>
      </c>
      <c r="I19968">
        <v>85037205</v>
      </c>
    </row>
    <row r="19969" spans="1:9" x14ac:dyDescent="0.2">
      <c r="A19969" t="str">
        <f>"Sssca1"</f>
        <v>Sssca1</v>
      </c>
      <c r="B19969" t="s">
        <v>14</v>
      </c>
      <c r="C19969" t="s">
        <v>10</v>
      </c>
      <c r="D19969" t="s">
        <v>11</v>
      </c>
      <c r="E19969" t="s">
        <v>12</v>
      </c>
      <c r="F19969">
        <v>5731697</v>
      </c>
      <c r="G19969">
        <v>5731733</v>
      </c>
      <c r="H19969">
        <v>5731494</v>
      </c>
      <c r="I19969">
        <v>5731499</v>
      </c>
    </row>
    <row r="19970" spans="1:9" x14ac:dyDescent="0.2">
      <c r="A19970" t="str">
        <f>"Sst"</f>
        <v>Sst</v>
      </c>
      <c r="B19970" t="s">
        <v>14</v>
      </c>
      <c r="C19970" t="s">
        <v>31</v>
      </c>
      <c r="D19970" t="s">
        <v>11</v>
      </c>
      <c r="E19970" t="s">
        <v>12</v>
      </c>
      <c r="F19970">
        <v>23890805</v>
      </c>
      <c r="G19970">
        <v>23890861</v>
      </c>
      <c r="H19970">
        <v>23890781</v>
      </c>
      <c r="I19970">
        <v>23890801</v>
      </c>
    </row>
    <row r="19971" spans="1:9" x14ac:dyDescent="0.2">
      <c r="A19971" t="str">
        <f>"Sstr1"</f>
        <v>Sstr1</v>
      </c>
      <c r="B19971" t="s">
        <v>14</v>
      </c>
      <c r="C19971" t="s">
        <v>16</v>
      </c>
      <c r="D19971" t="s">
        <v>17</v>
      </c>
      <c r="E19971" t="s">
        <v>12</v>
      </c>
      <c r="F19971">
        <v>58211755</v>
      </c>
      <c r="G19971">
        <v>58211766</v>
      </c>
      <c r="H19971">
        <v>58211706</v>
      </c>
      <c r="I19971">
        <v>58211715</v>
      </c>
    </row>
    <row r="19972" spans="1:9" x14ac:dyDescent="0.2">
      <c r="A19972" t="str">
        <f>"Sstr2"</f>
        <v>Sstr2</v>
      </c>
      <c r="B19972" t="s">
        <v>14</v>
      </c>
      <c r="C19972" t="s">
        <v>27</v>
      </c>
      <c r="D19972" t="s">
        <v>17</v>
      </c>
      <c r="E19972" t="s">
        <v>12</v>
      </c>
      <c r="F19972">
        <v>113619318</v>
      </c>
      <c r="G19972">
        <v>113619346</v>
      </c>
      <c r="H19972">
        <v>113619295</v>
      </c>
      <c r="I19972">
        <v>113619300</v>
      </c>
    </row>
    <row r="19973" spans="1:9" x14ac:dyDescent="0.2">
      <c r="A19973" t="str">
        <f>"Sstr3"</f>
        <v>Sstr3</v>
      </c>
      <c r="B19973" t="s">
        <v>14</v>
      </c>
      <c r="C19973" t="s">
        <v>25</v>
      </c>
      <c r="D19973" t="s">
        <v>11</v>
      </c>
      <c r="E19973" t="s">
        <v>12</v>
      </c>
      <c r="F19973">
        <v>78544666</v>
      </c>
      <c r="G19973">
        <v>78544686</v>
      </c>
      <c r="H19973">
        <v>78544666</v>
      </c>
      <c r="I19973">
        <v>78544686</v>
      </c>
    </row>
    <row r="19974" spans="1:9" x14ac:dyDescent="0.2">
      <c r="A19974" t="str">
        <f>"Sstr4"</f>
        <v>Sstr4</v>
      </c>
      <c r="B19974" t="s">
        <v>14</v>
      </c>
      <c r="C19974" t="s">
        <v>26</v>
      </c>
      <c r="D19974" t="s">
        <v>17</v>
      </c>
      <c r="E19974" t="s">
        <v>12</v>
      </c>
      <c r="F19974">
        <v>148395369</v>
      </c>
      <c r="G19974">
        <v>148395413</v>
      </c>
      <c r="H19974">
        <v>148395338</v>
      </c>
      <c r="I19974">
        <v>148395356</v>
      </c>
    </row>
    <row r="19975" spans="1:9" x14ac:dyDescent="0.2">
      <c r="A19975" t="str">
        <f>"Sstr5"</f>
        <v>Sstr5</v>
      </c>
      <c r="B19975" t="s">
        <v>14</v>
      </c>
      <c r="C19975" t="s">
        <v>28</v>
      </c>
      <c r="D19975" t="s">
        <v>11</v>
      </c>
      <c r="E19975" t="s">
        <v>12</v>
      </c>
      <c r="F19975">
        <v>25497194</v>
      </c>
      <c r="G19975">
        <v>25497217</v>
      </c>
      <c r="H19975">
        <v>25497194</v>
      </c>
      <c r="I19975">
        <v>25497217</v>
      </c>
    </row>
    <row r="19976" spans="1:9" x14ac:dyDescent="0.2">
      <c r="A19976" t="str">
        <f>"Ssty1"</f>
        <v>Ssty1</v>
      </c>
      <c r="B19976" t="s">
        <v>5812</v>
      </c>
      <c r="C19976" t="s">
        <v>63</v>
      </c>
      <c r="D19976" t="s">
        <v>17</v>
      </c>
      <c r="E19976" t="s">
        <v>20</v>
      </c>
      <c r="F19976">
        <v>18090733</v>
      </c>
      <c r="G19976">
        <v>18090733</v>
      </c>
      <c r="H19976">
        <v>18090733</v>
      </c>
      <c r="I19976">
        <v>18090733</v>
      </c>
    </row>
    <row r="19977" spans="1:9" x14ac:dyDescent="0.2">
      <c r="A19977" t="str">
        <f>"Ssty2"</f>
        <v>Ssty2</v>
      </c>
      <c r="B19977" t="s">
        <v>5813</v>
      </c>
      <c r="C19977" t="s">
        <v>63</v>
      </c>
      <c r="D19977" t="s">
        <v>11</v>
      </c>
      <c r="E19977" t="s">
        <v>20</v>
      </c>
      <c r="F19977">
        <v>67046565</v>
      </c>
      <c r="G19977">
        <v>67046565</v>
      </c>
      <c r="H19977">
        <v>67046565</v>
      </c>
      <c r="I19977">
        <v>67046565</v>
      </c>
    </row>
    <row r="19978" spans="1:9" x14ac:dyDescent="0.2">
      <c r="A19978" t="str">
        <f>"Ssu2"</f>
        <v>Ssu2</v>
      </c>
      <c r="B19978" t="s">
        <v>14</v>
      </c>
      <c r="C19978" t="s">
        <v>32</v>
      </c>
      <c r="D19978" t="s">
        <v>11</v>
      </c>
      <c r="E19978" t="s">
        <v>67</v>
      </c>
      <c r="F19978">
        <v>112388013</v>
      </c>
      <c r="G19978">
        <v>112388037</v>
      </c>
      <c r="H19978">
        <v>112388051</v>
      </c>
      <c r="I19978">
        <v>112388062</v>
      </c>
    </row>
    <row r="19979" spans="1:9" x14ac:dyDescent="0.2">
      <c r="A19979" t="str">
        <f>"Ssu72"</f>
        <v>Ssu72</v>
      </c>
      <c r="B19979" t="s">
        <v>14</v>
      </c>
      <c r="C19979" t="s">
        <v>23</v>
      </c>
      <c r="D19979" t="s">
        <v>17</v>
      </c>
      <c r="E19979" t="s">
        <v>12</v>
      </c>
      <c r="F19979">
        <v>155705088</v>
      </c>
      <c r="G19979">
        <v>155705183</v>
      </c>
      <c r="H19979">
        <v>155705272</v>
      </c>
      <c r="I19979">
        <v>155705320</v>
      </c>
    </row>
    <row r="19980" spans="1:9" x14ac:dyDescent="0.2">
      <c r="A19980" t="str">
        <f>"Ssx2ip"</f>
        <v>Ssx2ip</v>
      </c>
      <c r="B19980" t="s">
        <v>14</v>
      </c>
      <c r="C19980" t="s">
        <v>22</v>
      </c>
      <c r="D19980" t="s">
        <v>17</v>
      </c>
      <c r="E19980" t="s">
        <v>12</v>
      </c>
      <c r="F19980">
        <v>146404631</v>
      </c>
      <c r="G19980">
        <v>146404738</v>
      </c>
      <c r="H19980">
        <v>146404844</v>
      </c>
      <c r="I19980">
        <v>146404877</v>
      </c>
    </row>
    <row r="19981" spans="1:9" x14ac:dyDescent="0.2">
      <c r="A19981" t="str">
        <f>"Ssx9"</f>
        <v>Ssx9</v>
      </c>
      <c r="B19981" t="s">
        <v>5814</v>
      </c>
      <c r="C19981" t="s">
        <v>37</v>
      </c>
      <c r="D19981" t="s">
        <v>17</v>
      </c>
      <c r="E19981" t="s">
        <v>20</v>
      </c>
      <c r="F19981">
        <v>8748431</v>
      </c>
      <c r="G19981">
        <v>8748431</v>
      </c>
      <c r="H19981">
        <v>8748431</v>
      </c>
      <c r="I19981">
        <v>8748431</v>
      </c>
    </row>
    <row r="19982" spans="1:9" x14ac:dyDescent="0.2">
      <c r="A19982" t="str">
        <f>"Ssxa1"</f>
        <v>Ssxa1</v>
      </c>
      <c r="B19982" t="s">
        <v>14</v>
      </c>
      <c r="C19982" t="s">
        <v>37</v>
      </c>
      <c r="D19982" t="s">
        <v>17</v>
      </c>
      <c r="E19982" t="s">
        <v>12</v>
      </c>
      <c r="F19982">
        <v>21115802</v>
      </c>
      <c r="G19982">
        <v>21115808</v>
      </c>
      <c r="H19982">
        <v>21115802</v>
      </c>
      <c r="I19982">
        <v>21115808</v>
      </c>
    </row>
    <row r="19983" spans="1:9" x14ac:dyDescent="0.2">
      <c r="A19983" t="str">
        <f>"Ssxb1"</f>
        <v>Ssxb1</v>
      </c>
      <c r="B19983" t="s">
        <v>5815</v>
      </c>
      <c r="C19983" t="s">
        <v>37</v>
      </c>
      <c r="D19983" t="s">
        <v>17</v>
      </c>
      <c r="E19983" t="s">
        <v>20</v>
      </c>
      <c r="F19983">
        <v>8413304</v>
      </c>
      <c r="G19983">
        <v>8413304</v>
      </c>
      <c r="H19983">
        <v>8413304</v>
      </c>
      <c r="I19983">
        <v>8413304</v>
      </c>
    </row>
    <row r="19984" spans="1:9" x14ac:dyDescent="0.2">
      <c r="A19984" t="str">
        <f>"Ssxb10"</f>
        <v>Ssxb10</v>
      </c>
      <c r="B19984" t="s">
        <v>5816</v>
      </c>
      <c r="C19984" t="s">
        <v>37</v>
      </c>
      <c r="D19984" t="s">
        <v>17</v>
      </c>
      <c r="E19984" t="s">
        <v>20</v>
      </c>
      <c r="F19984">
        <v>8327423</v>
      </c>
      <c r="G19984">
        <v>8327423</v>
      </c>
      <c r="H19984">
        <v>8327423</v>
      </c>
      <c r="I19984">
        <v>8327423</v>
      </c>
    </row>
    <row r="19985" spans="1:9" x14ac:dyDescent="0.2">
      <c r="A19985" t="str">
        <f>"Ssxb2"</f>
        <v>Ssxb2</v>
      </c>
      <c r="B19985" t="s">
        <v>5817</v>
      </c>
      <c r="C19985" t="s">
        <v>37</v>
      </c>
      <c r="D19985" t="s">
        <v>11</v>
      </c>
      <c r="E19985" t="s">
        <v>20</v>
      </c>
      <c r="F19985">
        <v>8461725</v>
      </c>
      <c r="G19985">
        <v>8461725</v>
      </c>
      <c r="H19985">
        <v>8461725</v>
      </c>
      <c r="I19985">
        <v>8461725</v>
      </c>
    </row>
    <row r="19986" spans="1:9" x14ac:dyDescent="0.2">
      <c r="A19986" t="str">
        <f>"Ssxb3"</f>
        <v>Ssxb3</v>
      </c>
      <c r="B19986" t="s">
        <v>5818</v>
      </c>
      <c r="C19986" t="s">
        <v>37</v>
      </c>
      <c r="D19986" t="s">
        <v>11</v>
      </c>
      <c r="E19986" t="s">
        <v>20</v>
      </c>
      <c r="F19986">
        <v>8591815</v>
      </c>
      <c r="G19986">
        <v>8591815</v>
      </c>
      <c r="H19986">
        <v>8591815</v>
      </c>
      <c r="I19986">
        <v>8591815</v>
      </c>
    </row>
    <row r="19987" spans="1:9" x14ac:dyDescent="0.2">
      <c r="A19987" t="str">
        <f>"Ssxb3"</f>
        <v>Ssxb3</v>
      </c>
      <c r="B19987" t="s">
        <v>5819</v>
      </c>
      <c r="C19987" t="s">
        <v>37</v>
      </c>
      <c r="D19987" t="s">
        <v>11</v>
      </c>
      <c r="E19987" t="s">
        <v>20</v>
      </c>
      <c r="F19987">
        <v>8589245</v>
      </c>
      <c r="G19987">
        <v>8589245</v>
      </c>
      <c r="H19987">
        <v>8589245</v>
      </c>
      <c r="I19987">
        <v>8589245</v>
      </c>
    </row>
    <row r="19988" spans="1:9" x14ac:dyDescent="0.2">
      <c r="A19988" t="str">
        <f>"Ssxb5"</f>
        <v>Ssxb5</v>
      </c>
      <c r="B19988" t="s">
        <v>5820</v>
      </c>
      <c r="C19988" t="s">
        <v>37</v>
      </c>
      <c r="D19988" t="s">
        <v>17</v>
      </c>
      <c r="E19988" t="s">
        <v>20</v>
      </c>
      <c r="F19988">
        <v>8803690</v>
      </c>
      <c r="G19988">
        <v>8803690</v>
      </c>
      <c r="H19988">
        <v>8803690</v>
      </c>
      <c r="I19988">
        <v>8803690</v>
      </c>
    </row>
    <row r="19989" spans="1:9" x14ac:dyDescent="0.2">
      <c r="A19989" t="str">
        <f>"Ssxb6"</f>
        <v>Ssxb6</v>
      </c>
      <c r="B19989" t="s">
        <v>5821</v>
      </c>
      <c r="C19989" t="s">
        <v>37</v>
      </c>
      <c r="D19989" t="s">
        <v>11</v>
      </c>
      <c r="E19989" t="s">
        <v>20</v>
      </c>
      <c r="F19989">
        <v>8548254</v>
      </c>
      <c r="G19989">
        <v>8548254</v>
      </c>
      <c r="H19989">
        <v>8548254</v>
      </c>
      <c r="I19989">
        <v>8548254</v>
      </c>
    </row>
    <row r="19990" spans="1:9" x14ac:dyDescent="0.2">
      <c r="A19990" t="str">
        <f>"Ssxb8"</f>
        <v>Ssxb8</v>
      </c>
      <c r="B19990" t="s">
        <v>5822</v>
      </c>
      <c r="C19990" t="s">
        <v>37</v>
      </c>
      <c r="D19990" t="s">
        <v>11</v>
      </c>
      <c r="E19990" t="s">
        <v>20</v>
      </c>
      <c r="F19990">
        <v>8690843</v>
      </c>
      <c r="G19990">
        <v>8690843</v>
      </c>
      <c r="H19990">
        <v>8690843</v>
      </c>
      <c r="I19990">
        <v>8690843</v>
      </c>
    </row>
    <row r="19991" spans="1:9" x14ac:dyDescent="0.2">
      <c r="A19991" t="str">
        <f>"Ssxb9"</f>
        <v>Ssxb9</v>
      </c>
      <c r="B19991" t="s">
        <v>5823</v>
      </c>
      <c r="C19991" t="s">
        <v>37</v>
      </c>
      <c r="D19991" t="s">
        <v>17</v>
      </c>
      <c r="E19991" t="s">
        <v>20</v>
      </c>
      <c r="F19991">
        <v>8366977</v>
      </c>
      <c r="G19991">
        <v>8366977</v>
      </c>
      <c r="H19991">
        <v>8366977</v>
      </c>
      <c r="I19991">
        <v>8366977</v>
      </c>
    </row>
    <row r="19992" spans="1:9" x14ac:dyDescent="0.2">
      <c r="A19992" t="str">
        <f>"St13"</f>
        <v>St13</v>
      </c>
      <c r="B19992" t="s">
        <v>14</v>
      </c>
      <c r="C19992" t="s">
        <v>25</v>
      </c>
      <c r="D19992" t="s">
        <v>11</v>
      </c>
      <c r="E19992" t="s">
        <v>12</v>
      </c>
      <c r="F19992">
        <v>81399656</v>
      </c>
      <c r="G19992">
        <v>81399732</v>
      </c>
      <c r="H19992">
        <v>81399596</v>
      </c>
      <c r="I19992">
        <v>81399652</v>
      </c>
    </row>
    <row r="19993" spans="1:9" x14ac:dyDescent="0.2">
      <c r="A19993" t="str">
        <f>"St14"</f>
        <v>St14</v>
      </c>
      <c r="B19993" t="s">
        <v>14</v>
      </c>
      <c r="C19993" t="s">
        <v>24</v>
      </c>
      <c r="D19993" t="s">
        <v>11</v>
      </c>
      <c r="E19993" t="s">
        <v>12</v>
      </c>
      <c r="F19993">
        <v>31131780</v>
      </c>
      <c r="G19993">
        <v>31131814</v>
      </c>
      <c r="H19993">
        <v>31131817</v>
      </c>
      <c r="I19993">
        <v>31131836</v>
      </c>
    </row>
    <row r="19994" spans="1:9" x14ac:dyDescent="0.2">
      <c r="A19994" t="str">
        <f>"St18"</f>
        <v>St18</v>
      </c>
      <c r="B19994" t="s">
        <v>14</v>
      </c>
      <c r="C19994" t="s">
        <v>19</v>
      </c>
      <c r="D19994" t="s">
        <v>17</v>
      </c>
      <c r="E19994" t="s">
        <v>12</v>
      </c>
      <c r="F19994">
        <v>6730135</v>
      </c>
      <c r="G19994">
        <v>6730151</v>
      </c>
      <c r="H19994">
        <v>6730135</v>
      </c>
      <c r="I19994">
        <v>6730151</v>
      </c>
    </row>
    <row r="19995" spans="1:9" x14ac:dyDescent="0.2">
      <c r="A19995" t="str">
        <f>"St3gal1"</f>
        <v>St3gal1</v>
      </c>
      <c r="B19995" t="s">
        <v>5824</v>
      </c>
      <c r="C19995" t="s">
        <v>25</v>
      </c>
      <c r="D19995" t="s">
        <v>11</v>
      </c>
      <c r="E19995" t="s">
        <v>20</v>
      </c>
      <c r="F19995">
        <v>67113991</v>
      </c>
      <c r="G19995">
        <v>67113991</v>
      </c>
      <c r="H19995">
        <v>67113991</v>
      </c>
      <c r="I19995">
        <v>67113991</v>
      </c>
    </row>
    <row r="19996" spans="1:9" x14ac:dyDescent="0.2">
      <c r="A19996" t="str">
        <f>"St3gal2"</f>
        <v>St3gal2</v>
      </c>
      <c r="B19996" t="s">
        <v>14</v>
      </c>
      <c r="C19996" t="s">
        <v>30</v>
      </c>
      <c r="D19996" t="s">
        <v>17</v>
      </c>
      <c r="E19996" t="s">
        <v>12</v>
      </c>
      <c r="F19996">
        <v>110919916</v>
      </c>
      <c r="G19996">
        <v>110919994</v>
      </c>
      <c r="H19996">
        <v>110919874</v>
      </c>
      <c r="I19996">
        <v>110919902</v>
      </c>
    </row>
    <row r="19997" spans="1:9" x14ac:dyDescent="0.2">
      <c r="A19997" t="str">
        <f>"St3gal3"</f>
        <v>St3gal3</v>
      </c>
      <c r="B19997" t="s">
        <v>14</v>
      </c>
      <c r="C19997" t="s">
        <v>23</v>
      </c>
      <c r="D19997" t="s">
        <v>11</v>
      </c>
      <c r="E19997" t="s">
        <v>12</v>
      </c>
      <c r="F19997">
        <v>118134869</v>
      </c>
      <c r="G19997">
        <v>118134962</v>
      </c>
      <c r="H19997">
        <v>118134730</v>
      </c>
      <c r="I19997">
        <v>118134766</v>
      </c>
    </row>
    <row r="19998" spans="1:9" x14ac:dyDescent="0.2">
      <c r="A19998" t="str">
        <f>"St3gal4"</f>
        <v>St3gal4</v>
      </c>
      <c r="B19998" t="s">
        <v>14</v>
      </c>
      <c r="C19998" t="s">
        <v>24</v>
      </c>
      <c r="D19998" t="s">
        <v>11</v>
      </c>
      <c r="E19998" t="s">
        <v>12</v>
      </c>
      <c r="F19998">
        <v>35116804</v>
      </c>
      <c r="G19998">
        <v>35116891</v>
      </c>
      <c r="H19998">
        <v>35116760</v>
      </c>
      <c r="I19998">
        <v>35116793</v>
      </c>
    </row>
    <row r="19999" spans="1:9" x14ac:dyDescent="0.2">
      <c r="A19999" t="str">
        <f>"St3gal5"</f>
        <v>St3gal5</v>
      </c>
      <c r="B19999" t="s">
        <v>14</v>
      </c>
      <c r="C19999" t="s">
        <v>32</v>
      </c>
      <c r="D19999" t="s">
        <v>17</v>
      </c>
      <c r="E19999" t="s">
        <v>12</v>
      </c>
      <c r="F19999">
        <v>72097561</v>
      </c>
      <c r="G19999">
        <v>72097630</v>
      </c>
      <c r="H19999">
        <v>72097731</v>
      </c>
      <c r="I19999">
        <v>72097751</v>
      </c>
    </row>
    <row r="20000" spans="1:9" x14ac:dyDescent="0.2">
      <c r="A20000" t="str">
        <f>"St3gal6"</f>
        <v>St3gal6</v>
      </c>
      <c r="B20000" t="s">
        <v>14</v>
      </c>
      <c r="C20000" t="s">
        <v>31</v>
      </c>
      <c r="D20000" t="s">
        <v>11</v>
      </c>
      <c r="E20000" t="s">
        <v>12</v>
      </c>
      <c r="F20000">
        <v>58523302</v>
      </c>
      <c r="G20000">
        <v>58523342</v>
      </c>
      <c r="H20000">
        <v>58523541</v>
      </c>
      <c r="I20000">
        <v>58523592</v>
      </c>
    </row>
    <row r="20001" spans="1:9" x14ac:dyDescent="0.2">
      <c r="A20001" t="str">
        <f>"St5"</f>
        <v>St5</v>
      </c>
      <c r="B20001" t="s">
        <v>14</v>
      </c>
      <c r="C20001" t="s">
        <v>33</v>
      </c>
      <c r="D20001" t="s">
        <v>11</v>
      </c>
      <c r="E20001" t="s">
        <v>12</v>
      </c>
      <c r="F20001">
        <v>109616548</v>
      </c>
      <c r="G20001">
        <v>109616616</v>
      </c>
      <c r="H20001">
        <v>109616404</v>
      </c>
      <c r="I20001">
        <v>109616487</v>
      </c>
    </row>
    <row r="20002" spans="1:9" x14ac:dyDescent="0.2">
      <c r="A20002" t="str">
        <f>"St6gal1"</f>
        <v>St6gal1</v>
      </c>
      <c r="B20002" t="s">
        <v>14</v>
      </c>
      <c r="C20002" t="s">
        <v>31</v>
      </c>
      <c r="D20002" t="s">
        <v>17</v>
      </c>
      <c r="E20002" t="s">
        <v>12</v>
      </c>
      <c r="F20002">
        <v>23224724</v>
      </c>
      <c r="G20002">
        <v>23224804</v>
      </c>
      <c r="H20002">
        <v>23224872</v>
      </c>
      <c r="I20002">
        <v>23224923</v>
      </c>
    </row>
    <row r="20003" spans="1:9" x14ac:dyDescent="0.2">
      <c r="A20003" t="str">
        <f>"St6gal2"</f>
        <v>St6gal2</v>
      </c>
      <c r="B20003" t="s">
        <v>14</v>
      </c>
      <c r="C20003" t="s">
        <v>28</v>
      </c>
      <c r="D20003" t="s">
        <v>17</v>
      </c>
      <c r="E20003" t="s">
        <v>12</v>
      </c>
      <c r="F20003">
        <v>55445704</v>
      </c>
      <c r="G20003">
        <v>55445730</v>
      </c>
      <c r="H20003">
        <v>55445671</v>
      </c>
      <c r="I20003">
        <v>55445701</v>
      </c>
    </row>
    <row r="20004" spans="1:9" x14ac:dyDescent="0.2">
      <c r="A20004" t="str">
        <f>"St6galnac1"</f>
        <v>St6galnac1</v>
      </c>
      <c r="B20004" t="s">
        <v>14</v>
      </c>
      <c r="C20004" t="s">
        <v>27</v>
      </c>
      <c r="D20004" t="s">
        <v>11</v>
      </c>
      <c r="E20004" t="s">
        <v>12</v>
      </c>
      <c r="F20004">
        <v>116775496</v>
      </c>
      <c r="G20004">
        <v>116775503</v>
      </c>
      <c r="H20004">
        <v>116775533</v>
      </c>
      <c r="I20004">
        <v>116775541</v>
      </c>
    </row>
    <row r="20005" spans="1:9" x14ac:dyDescent="0.2">
      <c r="A20005" t="str">
        <f>"St6galnac2"</f>
        <v>St6galnac2</v>
      </c>
      <c r="B20005" t="s">
        <v>14</v>
      </c>
      <c r="C20005" t="s">
        <v>27</v>
      </c>
      <c r="D20005" t="s">
        <v>11</v>
      </c>
      <c r="E20005" t="s">
        <v>12</v>
      </c>
      <c r="F20005">
        <v>116694580</v>
      </c>
      <c r="G20005">
        <v>116694668</v>
      </c>
      <c r="H20005">
        <v>116694580</v>
      </c>
      <c r="I20005">
        <v>116694668</v>
      </c>
    </row>
    <row r="20006" spans="1:9" x14ac:dyDescent="0.2">
      <c r="A20006" t="str">
        <f>"St6galnac3"</f>
        <v>St6galnac3</v>
      </c>
      <c r="B20006" t="s">
        <v>14</v>
      </c>
      <c r="C20006" t="s">
        <v>22</v>
      </c>
      <c r="D20006" t="s">
        <v>11</v>
      </c>
      <c r="E20006" t="s">
        <v>12</v>
      </c>
      <c r="F20006">
        <v>153725104</v>
      </c>
      <c r="G20006">
        <v>153725179</v>
      </c>
      <c r="H20006">
        <v>153725104</v>
      </c>
      <c r="I20006">
        <v>153725179</v>
      </c>
    </row>
    <row r="20007" spans="1:9" x14ac:dyDescent="0.2">
      <c r="A20007" t="str">
        <f>"St6galnac4"</f>
        <v>St6galnac4</v>
      </c>
      <c r="B20007" t="s">
        <v>14</v>
      </c>
      <c r="C20007" t="s">
        <v>26</v>
      </c>
      <c r="D20007" t="s">
        <v>17</v>
      </c>
      <c r="E20007" t="s">
        <v>12</v>
      </c>
      <c r="F20007">
        <v>32587057</v>
      </c>
      <c r="G20007">
        <v>32587123</v>
      </c>
      <c r="H20007">
        <v>32587159</v>
      </c>
      <c r="I20007">
        <v>32587176</v>
      </c>
    </row>
    <row r="20008" spans="1:9" x14ac:dyDescent="0.2">
      <c r="A20008" t="str">
        <f>"St6galnac5"</f>
        <v>St6galnac5</v>
      </c>
      <c r="B20008" t="s">
        <v>14</v>
      </c>
      <c r="C20008" t="s">
        <v>22</v>
      </c>
      <c r="D20008" t="s">
        <v>11</v>
      </c>
      <c r="E20008" t="s">
        <v>12</v>
      </c>
      <c r="F20008">
        <v>152982187</v>
      </c>
      <c r="G20008">
        <v>152982216</v>
      </c>
      <c r="H20008">
        <v>152982240</v>
      </c>
      <c r="I20008">
        <v>152982251</v>
      </c>
    </row>
    <row r="20009" spans="1:9" x14ac:dyDescent="0.2">
      <c r="A20009" t="str">
        <f>"St6galnac6"</f>
        <v>St6galnac6</v>
      </c>
      <c r="B20009" t="s">
        <v>14</v>
      </c>
      <c r="C20009" t="s">
        <v>26</v>
      </c>
      <c r="D20009" t="s">
        <v>17</v>
      </c>
      <c r="E20009" t="s">
        <v>12</v>
      </c>
      <c r="F20009">
        <v>32606979</v>
      </c>
      <c r="G20009">
        <v>32607057</v>
      </c>
      <c r="H20009">
        <v>32606946</v>
      </c>
      <c r="I20009">
        <v>32606973</v>
      </c>
    </row>
    <row r="20010" spans="1:9" x14ac:dyDescent="0.2">
      <c r="A20010" t="str">
        <f>"St7"</f>
        <v>St7</v>
      </c>
      <c r="B20010" t="s">
        <v>5825</v>
      </c>
      <c r="C20010" t="s">
        <v>32</v>
      </c>
      <c r="D20010" t="s">
        <v>17</v>
      </c>
      <c r="E20010" t="s">
        <v>35</v>
      </c>
      <c r="F20010">
        <v>17693893</v>
      </c>
      <c r="G20010">
        <v>17693903</v>
      </c>
      <c r="H20010">
        <v>17694187</v>
      </c>
      <c r="I20010">
        <v>17694205</v>
      </c>
    </row>
    <row r="20011" spans="1:9" x14ac:dyDescent="0.2">
      <c r="A20011" t="str">
        <f>"St7l"</f>
        <v>St7l</v>
      </c>
      <c r="B20011" t="s">
        <v>14</v>
      </c>
      <c r="C20011" t="s">
        <v>22</v>
      </c>
      <c r="D20011" t="s">
        <v>17</v>
      </c>
      <c r="E20011" t="s">
        <v>12</v>
      </c>
      <c r="F20011">
        <v>104865062</v>
      </c>
      <c r="G20011">
        <v>104865099</v>
      </c>
      <c r="H20011">
        <v>104864459</v>
      </c>
      <c r="I20011">
        <v>104864512</v>
      </c>
    </row>
    <row r="20012" spans="1:9" x14ac:dyDescent="0.2">
      <c r="A20012" t="str">
        <f>"St8sia1"</f>
        <v>St8sia1</v>
      </c>
      <c r="B20012" t="s">
        <v>14</v>
      </c>
      <c r="C20012" t="s">
        <v>32</v>
      </c>
      <c r="D20012" t="s">
        <v>11</v>
      </c>
      <c r="E20012" t="s">
        <v>12</v>
      </c>
      <c r="F20012">
        <v>142964135</v>
      </c>
      <c r="G20012">
        <v>142964192</v>
      </c>
      <c r="H20012">
        <v>142964368</v>
      </c>
      <c r="I20012">
        <v>142964403</v>
      </c>
    </row>
    <row r="20013" spans="1:9" x14ac:dyDescent="0.2">
      <c r="A20013" t="str">
        <f>"St8sia2"</f>
        <v>St8sia2</v>
      </c>
      <c r="B20013" t="s">
        <v>14</v>
      </c>
      <c r="C20013" t="s">
        <v>33</v>
      </c>
      <c r="D20013" t="s">
        <v>11</v>
      </c>
      <c r="E20013" t="s">
        <v>12</v>
      </c>
      <c r="F20013">
        <v>74013635</v>
      </c>
      <c r="G20013">
        <v>74013667</v>
      </c>
      <c r="H20013">
        <v>74013676</v>
      </c>
      <c r="I20013">
        <v>74013699</v>
      </c>
    </row>
    <row r="20014" spans="1:9" x14ac:dyDescent="0.2">
      <c r="A20014" t="str">
        <f>"St8sia3"</f>
        <v>St8sia3</v>
      </c>
      <c r="B20014" t="s">
        <v>14</v>
      </c>
      <c r="C20014" t="s">
        <v>43</v>
      </c>
      <c r="D20014" t="s">
        <v>17</v>
      </c>
      <c r="E20014" t="s">
        <v>12</v>
      </c>
      <c r="F20014">
        <v>64254359</v>
      </c>
      <c r="G20014">
        <v>64254387</v>
      </c>
      <c r="H20014">
        <v>64254359</v>
      </c>
      <c r="I20014">
        <v>64254387</v>
      </c>
    </row>
    <row r="20015" spans="1:9" x14ac:dyDescent="0.2">
      <c r="A20015" t="str">
        <f>"St8sia4"</f>
        <v>St8sia4</v>
      </c>
      <c r="B20015" t="s">
        <v>14</v>
      </c>
      <c r="C20015" t="s">
        <v>19</v>
      </c>
      <c r="D20015" t="s">
        <v>11</v>
      </c>
      <c r="E20015" t="s">
        <v>12</v>
      </c>
      <c r="F20015">
        <v>95667555</v>
      </c>
      <c r="G20015">
        <v>95667597</v>
      </c>
      <c r="H20015">
        <v>95667520</v>
      </c>
      <c r="I20015">
        <v>95667540</v>
      </c>
    </row>
    <row r="20016" spans="1:9" x14ac:dyDescent="0.2">
      <c r="A20016" t="str">
        <f>"St8sia5"</f>
        <v>St8sia5</v>
      </c>
      <c r="B20016" t="s">
        <v>14</v>
      </c>
      <c r="C20016" t="s">
        <v>43</v>
      </c>
      <c r="D20016" t="s">
        <v>17</v>
      </c>
      <c r="E20016" t="s">
        <v>12</v>
      </c>
      <c r="F20016">
        <v>77185815</v>
      </c>
      <c r="G20016">
        <v>77185879</v>
      </c>
      <c r="H20016">
        <v>77186087</v>
      </c>
      <c r="I20016">
        <v>77186117</v>
      </c>
    </row>
    <row r="20017" spans="1:9" x14ac:dyDescent="0.2">
      <c r="A20017" t="str">
        <f>"St8sia6"</f>
        <v>St8sia6</v>
      </c>
      <c r="B20017" t="s">
        <v>14</v>
      </c>
      <c r="C20017" t="s">
        <v>26</v>
      </c>
      <c r="D20017" t="s">
        <v>11</v>
      </c>
      <c r="E20017" t="s">
        <v>12</v>
      </c>
      <c r="F20017">
        <v>13793817</v>
      </c>
      <c r="G20017">
        <v>13793879</v>
      </c>
      <c r="H20017">
        <v>13793728</v>
      </c>
      <c r="I20017">
        <v>13793753</v>
      </c>
    </row>
    <row r="20018" spans="1:9" x14ac:dyDescent="0.2">
      <c r="A20018" t="str">
        <f>"Stab1"</f>
        <v>Stab1</v>
      </c>
      <c r="B20018" t="s">
        <v>14</v>
      </c>
      <c r="C20018" t="s">
        <v>41</v>
      </c>
      <c r="D20018" t="s">
        <v>11</v>
      </c>
      <c r="E20018" t="s">
        <v>12</v>
      </c>
      <c r="F20018">
        <v>31168587</v>
      </c>
      <c r="G20018">
        <v>31168606</v>
      </c>
      <c r="H20018">
        <v>31168587</v>
      </c>
      <c r="I20018">
        <v>31168606</v>
      </c>
    </row>
    <row r="20019" spans="1:9" x14ac:dyDescent="0.2">
      <c r="A20019" t="str">
        <f>"Stab2"</f>
        <v>Stab2</v>
      </c>
      <c r="B20019" t="s">
        <v>14</v>
      </c>
      <c r="C20019" t="s">
        <v>15</v>
      </c>
      <c r="D20019" t="s">
        <v>11</v>
      </c>
      <c r="E20019" t="s">
        <v>12</v>
      </c>
      <c r="F20019">
        <v>87008015</v>
      </c>
      <c r="G20019">
        <v>87008031</v>
      </c>
      <c r="H20019">
        <v>87008015</v>
      </c>
      <c r="I20019">
        <v>87008031</v>
      </c>
    </row>
    <row r="20020" spans="1:9" x14ac:dyDescent="0.2">
      <c r="A20020" t="str">
        <f>"Stac"</f>
        <v>Stac</v>
      </c>
      <c r="B20020" t="s">
        <v>14</v>
      </c>
      <c r="C20020" t="s">
        <v>24</v>
      </c>
      <c r="D20020" t="s">
        <v>11</v>
      </c>
      <c r="E20020" t="s">
        <v>12</v>
      </c>
      <c r="F20020">
        <v>111690214</v>
      </c>
      <c r="G20020">
        <v>111690240</v>
      </c>
      <c r="H20020">
        <v>111690313</v>
      </c>
      <c r="I20020">
        <v>111690344</v>
      </c>
    </row>
    <row r="20021" spans="1:9" x14ac:dyDescent="0.2">
      <c r="A20021" t="str">
        <f>"Stac2"</f>
        <v>Stac2</v>
      </c>
      <c r="B20021" t="s">
        <v>14</v>
      </c>
      <c r="C20021" t="s">
        <v>27</v>
      </c>
      <c r="D20021" t="s">
        <v>11</v>
      </c>
      <c r="E20021" t="s">
        <v>12</v>
      </c>
      <c r="F20021">
        <v>98053415</v>
      </c>
      <c r="G20021">
        <v>98053467</v>
      </c>
      <c r="H20021">
        <v>98053296</v>
      </c>
      <c r="I20021">
        <v>98053337</v>
      </c>
    </row>
    <row r="20022" spans="1:9" x14ac:dyDescent="0.2">
      <c r="A20022" t="str">
        <f>"Stac3"</f>
        <v>Stac3</v>
      </c>
      <c r="B20022" t="s">
        <v>14</v>
      </c>
      <c r="C20022" t="s">
        <v>15</v>
      </c>
      <c r="D20022" t="s">
        <v>17</v>
      </c>
      <c r="E20022" t="s">
        <v>12</v>
      </c>
      <c r="F20022">
        <v>127501707</v>
      </c>
      <c r="G20022">
        <v>127501726</v>
      </c>
      <c r="H20022">
        <v>127501672</v>
      </c>
      <c r="I20022">
        <v>127501706</v>
      </c>
    </row>
    <row r="20023" spans="1:9" x14ac:dyDescent="0.2">
      <c r="A20023" t="str">
        <f>"Stag1"</f>
        <v>Stag1</v>
      </c>
      <c r="B20023" t="s">
        <v>14</v>
      </c>
      <c r="C20023" t="s">
        <v>24</v>
      </c>
      <c r="D20023" t="s">
        <v>17</v>
      </c>
      <c r="E20023" t="s">
        <v>12</v>
      </c>
      <c r="F20023">
        <v>100643605</v>
      </c>
      <c r="G20023">
        <v>100643626</v>
      </c>
      <c r="H20023">
        <v>100643572</v>
      </c>
      <c r="I20023">
        <v>100643601</v>
      </c>
    </row>
    <row r="20024" spans="1:9" x14ac:dyDescent="0.2">
      <c r="A20024" t="str">
        <f>"Stag2"</f>
        <v>Stag2</v>
      </c>
      <c r="B20024" t="s">
        <v>14</v>
      </c>
      <c r="C20024" t="s">
        <v>37</v>
      </c>
      <c r="D20024" t="s">
        <v>17</v>
      </c>
      <c r="E20024" t="s">
        <v>12</v>
      </c>
      <c r="F20024">
        <v>42150672</v>
      </c>
      <c r="G20024">
        <v>42150721</v>
      </c>
      <c r="H20024">
        <v>42151028</v>
      </c>
      <c r="I20024">
        <v>42151068</v>
      </c>
    </row>
    <row r="20025" spans="1:9" x14ac:dyDescent="0.2">
      <c r="A20025" t="str">
        <f>"Stag3"</f>
        <v>Stag3</v>
      </c>
      <c r="B20025" t="s">
        <v>14</v>
      </c>
      <c r="C20025" t="s">
        <v>46</v>
      </c>
      <c r="D20025" t="s">
        <v>17</v>
      </c>
      <c r="E20025" t="s">
        <v>12</v>
      </c>
      <c r="F20025">
        <v>138280516</v>
      </c>
      <c r="G20025">
        <v>138280537</v>
      </c>
      <c r="H20025">
        <v>138280538</v>
      </c>
      <c r="I20025">
        <v>138280563</v>
      </c>
    </row>
    <row r="20026" spans="1:9" x14ac:dyDescent="0.2">
      <c r="A20026" t="str">
        <f>"Stam"</f>
        <v>Stam</v>
      </c>
      <c r="B20026" t="s">
        <v>14</v>
      </c>
      <c r="C20026" t="s">
        <v>26</v>
      </c>
      <c r="D20026" t="s">
        <v>17</v>
      </c>
      <c r="E20026" t="s">
        <v>12</v>
      </c>
      <c r="F20026">
        <v>14074091</v>
      </c>
      <c r="G20026">
        <v>14074146</v>
      </c>
      <c r="H20026">
        <v>14074147</v>
      </c>
      <c r="I20026">
        <v>14074191</v>
      </c>
    </row>
    <row r="20027" spans="1:9" x14ac:dyDescent="0.2">
      <c r="A20027" t="str">
        <f>"Stam2"</f>
        <v>Stam2</v>
      </c>
      <c r="B20027" t="s">
        <v>14</v>
      </c>
      <c r="C20027" t="s">
        <v>26</v>
      </c>
      <c r="D20027" t="s">
        <v>11</v>
      </c>
      <c r="E20027" t="s">
        <v>12</v>
      </c>
      <c r="F20027">
        <v>52742169</v>
      </c>
      <c r="G20027">
        <v>52742217</v>
      </c>
      <c r="H20027">
        <v>52742142</v>
      </c>
      <c r="I20027">
        <v>52742156</v>
      </c>
    </row>
    <row r="20028" spans="1:9" x14ac:dyDescent="0.2">
      <c r="A20028" t="str">
        <f>"Stambp"</f>
        <v>Stambp</v>
      </c>
      <c r="B20028" t="s">
        <v>14</v>
      </c>
      <c r="C20028" t="s">
        <v>32</v>
      </c>
      <c r="D20028" t="s">
        <v>11</v>
      </c>
      <c r="E20028" t="s">
        <v>12</v>
      </c>
      <c r="F20028">
        <v>83572429</v>
      </c>
      <c r="G20028">
        <v>83572472</v>
      </c>
      <c r="H20028">
        <v>83572475</v>
      </c>
      <c r="I20028">
        <v>83572482</v>
      </c>
    </row>
    <row r="20029" spans="1:9" x14ac:dyDescent="0.2">
      <c r="A20029" t="str">
        <f>"Stambpl1"</f>
        <v>Stambpl1</v>
      </c>
      <c r="B20029" t="s">
        <v>14</v>
      </c>
      <c r="C20029" t="s">
        <v>10</v>
      </c>
      <c r="D20029" t="s">
        <v>17</v>
      </c>
      <c r="E20029" t="s">
        <v>12</v>
      </c>
      <c r="F20029">
        <v>34192240</v>
      </c>
      <c r="G20029">
        <v>34192266</v>
      </c>
      <c r="H20029">
        <v>34192270</v>
      </c>
      <c r="I20029">
        <v>34192290</v>
      </c>
    </row>
    <row r="20030" spans="1:9" x14ac:dyDescent="0.2">
      <c r="A20030" t="str">
        <f>"Stap1"</f>
        <v>Stap1</v>
      </c>
      <c r="B20030" t="s">
        <v>14</v>
      </c>
      <c r="C20030" t="s">
        <v>46</v>
      </c>
      <c r="D20030" t="s">
        <v>17</v>
      </c>
      <c r="E20030" t="s">
        <v>12</v>
      </c>
      <c r="F20030">
        <v>86071734</v>
      </c>
      <c r="G20030">
        <v>86071756</v>
      </c>
      <c r="H20030">
        <v>86071734</v>
      </c>
      <c r="I20030">
        <v>86071756</v>
      </c>
    </row>
    <row r="20031" spans="1:9" x14ac:dyDescent="0.2">
      <c r="A20031" t="str">
        <f>"Stap2"</f>
        <v>Stap2</v>
      </c>
      <c r="B20031" t="s">
        <v>14</v>
      </c>
      <c r="C20031" t="s">
        <v>28</v>
      </c>
      <c r="D20031" t="s">
        <v>11</v>
      </c>
      <c r="E20031" t="s">
        <v>12</v>
      </c>
      <c r="F20031">
        <v>56005566</v>
      </c>
      <c r="G20031">
        <v>56005597</v>
      </c>
      <c r="H20031">
        <v>56005558</v>
      </c>
      <c r="I20031">
        <v>56005565</v>
      </c>
    </row>
    <row r="20032" spans="1:9" x14ac:dyDescent="0.2">
      <c r="A20032" t="str">
        <f>"Star"</f>
        <v>Star</v>
      </c>
      <c r="B20032" t="s">
        <v>14</v>
      </c>
      <c r="C20032" t="s">
        <v>30</v>
      </c>
      <c r="D20032" t="s">
        <v>17</v>
      </c>
      <c r="E20032" t="s">
        <v>12</v>
      </c>
      <c r="F20032">
        <v>25808494</v>
      </c>
      <c r="G20032">
        <v>25808513</v>
      </c>
      <c r="H20032">
        <v>25808494</v>
      </c>
      <c r="I20032">
        <v>25808513</v>
      </c>
    </row>
    <row r="20033" spans="1:9" x14ac:dyDescent="0.2">
      <c r="A20033" t="str">
        <f>"Stard10"</f>
        <v>Stard10</v>
      </c>
      <c r="B20033" t="s">
        <v>14</v>
      </c>
      <c r="C20033" t="s">
        <v>33</v>
      </c>
      <c r="D20033" t="s">
        <v>17</v>
      </c>
      <c r="E20033" t="s">
        <v>12</v>
      </c>
      <c r="F20033">
        <v>101321079</v>
      </c>
      <c r="G20033">
        <v>101321134</v>
      </c>
      <c r="H20033">
        <v>101321230</v>
      </c>
      <c r="I20033">
        <v>101321320</v>
      </c>
    </row>
    <row r="20034" spans="1:9" x14ac:dyDescent="0.2">
      <c r="A20034" t="str">
        <f>"Stard13"</f>
        <v>Stard13</v>
      </c>
      <c r="B20034" t="s">
        <v>14</v>
      </c>
      <c r="C20034" t="s">
        <v>46</v>
      </c>
      <c r="D20034" t="s">
        <v>11</v>
      </c>
      <c r="E20034" t="s">
        <v>12</v>
      </c>
      <c r="F20034">
        <v>151190154</v>
      </c>
      <c r="G20034">
        <v>151190219</v>
      </c>
      <c r="H20034">
        <v>151190154</v>
      </c>
      <c r="I20034">
        <v>151190219</v>
      </c>
    </row>
    <row r="20035" spans="1:9" x14ac:dyDescent="0.2">
      <c r="A20035" t="str">
        <f>"Stard3"</f>
        <v>Stard3</v>
      </c>
      <c r="B20035" t="s">
        <v>14</v>
      </c>
      <c r="C20035" t="s">
        <v>27</v>
      </c>
      <c r="D20035" t="s">
        <v>17</v>
      </c>
      <c r="E20035" t="s">
        <v>12</v>
      </c>
      <c r="F20035">
        <v>98358402</v>
      </c>
      <c r="G20035">
        <v>98358457</v>
      </c>
      <c r="H20035">
        <v>98358384</v>
      </c>
      <c r="I20035">
        <v>98358400</v>
      </c>
    </row>
    <row r="20036" spans="1:9" x14ac:dyDescent="0.2">
      <c r="A20036" t="str">
        <f>"Stard3nl"</f>
        <v>Stard3nl</v>
      </c>
      <c r="B20036" t="s">
        <v>14</v>
      </c>
      <c r="C20036" t="s">
        <v>39</v>
      </c>
      <c r="D20036" t="s">
        <v>11</v>
      </c>
      <c r="E20036" t="s">
        <v>12</v>
      </c>
      <c r="F20036">
        <v>19395728</v>
      </c>
      <c r="G20036">
        <v>19395789</v>
      </c>
      <c r="H20036">
        <v>19395793</v>
      </c>
      <c r="I20036">
        <v>19395796</v>
      </c>
    </row>
    <row r="20037" spans="1:9" x14ac:dyDescent="0.2">
      <c r="A20037" t="str">
        <f>"Stard4"</f>
        <v>Stard4</v>
      </c>
      <c r="B20037" t="s">
        <v>14</v>
      </c>
      <c r="C20037" t="s">
        <v>43</v>
      </c>
      <c r="D20037" t="s">
        <v>11</v>
      </c>
      <c r="E20037" t="s">
        <v>12</v>
      </c>
      <c r="F20037">
        <v>33213786</v>
      </c>
      <c r="G20037">
        <v>33213827</v>
      </c>
      <c r="H20037">
        <v>33213832</v>
      </c>
      <c r="I20037">
        <v>33213852</v>
      </c>
    </row>
    <row r="20038" spans="1:9" x14ac:dyDescent="0.2">
      <c r="A20038" t="str">
        <f>"Stard5"</f>
        <v>Stard5</v>
      </c>
      <c r="B20038" t="s">
        <v>14</v>
      </c>
      <c r="C20038" t="s">
        <v>33</v>
      </c>
      <c r="D20038" t="s">
        <v>17</v>
      </c>
      <c r="E20038" t="s">
        <v>12</v>
      </c>
      <c r="F20038">
        <v>83631987</v>
      </c>
      <c r="G20038">
        <v>83632022</v>
      </c>
      <c r="H20038">
        <v>83632532</v>
      </c>
      <c r="I20038">
        <v>83632552</v>
      </c>
    </row>
    <row r="20039" spans="1:9" x14ac:dyDescent="0.2">
      <c r="A20039" t="str">
        <f>"Stard6"</f>
        <v>Stard6</v>
      </c>
      <c r="B20039" t="s">
        <v>14</v>
      </c>
      <c r="C20039" t="s">
        <v>43</v>
      </c>
      <c r="D20039" t="s">
        <v>17</v>
      </c>
      <c r="E20039" t="s">
        <v>12</v>
      </c>
      <c r="F20039">
        <v>70472406</v>
      </c>
      <c r="G20039">
        <v>70472455</v>
      </c>
      <c r="H20039">
        <v>70472559</v>
      </c>
      <c r="I20039">
        <v>70472575</v>
      </c>
    </row>
    <row r="20040" spans="1:9" x14ac:dyDescent="0.2">
      <c r="A20040" t="str">
        <f>"Stard7"</f>
        <v>Stard7</v>
      </c>
      <c r="B20040" t="s">
        <v>14</v>
      </c>
      <c r="C20040" t="s">
        <v>26</v>
      </c>
      <c r="D20040" t="s">
        <v>17</v>
      </c>
      <c r="E20040" t="s">
        <v>12</v>
      </c>
      <c r="F20040">
        <v>127270208</v>
      </c>
      <c r="G20040">
        <v>127270271</v>
      </c>
      <c r="H20040">
        <v>127270694</v>
      </c>
      <c r="I20040">
        <v>127270747</v>
      </c>
    </row>
    <row r="20041" spans="1:9" x14ac:dyDescent="0.2">
      <c r="A20041" t="str">
        <f>"Stard8"</f>
        <v>Stard8</v>
      </c>
      <c r="B20041" t="s">
        <v>14</v>
      </c>
      <c r="C20041" t="s">
        <v>37</v>
      </c>
      <c r="D20041" t="s">
        <v>17</v>
      </c>
      <c r="E20041" t="s">
        <v>12</v>
      </c>
      <c r="F20041">
        <v>99042620</v>
      </c>
      <c r="G20041">
        <v>99042661</v>
      </c>
      <c r="H20041">
        <v>99042620</v>
      </c>
      <c r="I20041">
        <v>99042661</v>
      </c>
    </row>
    <row r="20042" spans="1:9" x14ac:dyDescent="0.2">
      <c r="A20042" t="str">
        <f>"Stard9"</f>
        <v>Stard9</v>
      </c>
      <c r="B20042" t="s">
        <v>14</v>
      </c>
      <c r="C20042" t="s">
        <v>26</v>
      </c>
      <c r="D20042" t="s">
        <v>17</v>
      </c>
      <c r="E20042" t="s">
        <v>67</v>
      </c>
      <c r="F20042">
        <v>120629113</v>
      </c>
      <c r="G20042">
        <v>120629127</v>
      </c>
      <c r="H20042">
        <v>120629113</v>
      </c>
      <c r="I20042">
        <v>120629127</v>
      </c>
    </row>
    <row r="20043" spans="1:9" x14ac:dyDescent="0.2">
      <c r="A20043" t="str">
        <f>"Stat1"</f>
        <v>Stat1</v>
      </c>
      <c r="B20043" t="s">
        <v>14</v>
      </c>
      <c r="C20043" t="s">
        <v>19</v>
      </c>
      <c r="D20043" t="s">
        <v>17</v>
      </c>
      <c r="E20043" t="s">
        <v>12</v>
      </c>
      <c r="F20043">
        <v>52119471</v>
      </c>
      <c r="G20043">
        <v>52119499</v>
      </c>
      <c r="H20043">
        <v>52119562</v>
      </c>
      <c r="I20043">
        <v>52119589</v>
      </c>
    </row>
    <row r="20044" spans="1:9" x14ac:dyDescent="0.2">
      <c r="A20044" t="str">
        <f>"Stat2"</f>
        <v>Stat2</v>
      </c>
      <c r="B20044" t="s">
        <v>14</v>
      </c>
      <c r="C20044" t="s">
        <v>15</v>
      </c>
      <c r="D20044" t="s">
        <v>17</v>
      </c>
      <c r="E20044" t="s">
        <v>12</v>
      </c>
      <c r="F20044">
        <v>128270546</v>
      </c>
      <c r="G20044">
        <v>128270577</v>
      </c>
      <c r="H20044">
        <v>128270506</v>
      </c>
      <c r="I20044">
        <v>128270541</v>
      </c>
    </row>
    <row r="20045" spans="1:9" x14ac:dyDescent="0.2">
      <c r="A20045" t="str">
        <f>"Stat3"</f>
        <v>Stat3</v>
      </c>
      <c r="B20045" t="s">
        <v>14</v>
      </c>
      <c r="C20045" t="s">
        <v>27</v>
      </c>
      <c r="D20045" t="s">
        <v>11</v>
      </c>
      <c r="E20045" t="s">
        <v>12</v>
      </c>
      <c r="F20045">
        <v>100939357</v>
      </c>
      <c r="G20045">
        <v>100939456</v>
      </c>
      <c r="H20045">
        <v>100939457</v>
      </c>
      <c r="I20045">
        <v>100939484</v>
      </c>
    </row>
    <row r="20046" spans="1:9" x14ac:dyDescent="0.2">
      <c r="A20046" t="str">
        <f>"Stat4"</f>
        <v>Stat4</v>
      </c>
      <c r="B20046" t="s">
        <v>14</v>
      </c>
      <c r="C20046" t="s">
        <v>19</v>
      </c>
      <c r="D20046" t="s">
        <v>17</v>
      </c>
      <c r="E20046" t="s">
        <v>12</v>
      </c>
      <c r="F20046">
        <v>52008610</v>
      </c>
      <c r="G20046">
        <v>52008651</v>
      </c>
      <c r="H20046">
        <v>52008610</v>
      </c>
      <c r="I20046">
        <v>52008651</v>
      </c>
    </row>
    <row r="20047" spans="1:9" x14ac:dyDescent="0.2">
      <c r="A20047" t="str">
        <f>"Stat5a"</f>
        <v>Stat5a</v>
      </c>
      <c r="B20047" t="s">
        <v>14</v>
      </c>
      <c r="C20047" t="s">
        <v>27</v>
      </c>
      <c r="D20047" t="s">
        <v>17</v>
      </c>
      <c r="E20047" t="s">
        <v>12</v>
      </c>
      <c r="F20047">
        <v>100860447</v>
      </c>
      <c r="G20047">
        <v>100860537</v>
      </c>
      <c r="H20047">
        <v>100860326</v>
      </c>
      <c r="I20047">
        <v>100860344</v>
      </c>
    </row>
    <row r="20048" spans="1:9" x14ac:dyDescent="0.2">
      <c r="A20048" t="str">
        <f>"Stat5b"</f>
        <v>Stat5b</v>
      </c>
      <c r="B20048" t="s">
        <v>9</v>
      </c>
      <c r="C20048" t="s">
        <v>27</v>
      </c>
      <c r="D20048" t="s">
        <v>11</v>
      </c>
      <c r="E20048" t="s">
        <v>12</v>
      </c>
      <c r="F20048">
        <v>100850487</v>
      </c>
      <c r="G20048">
        <v>100850596</v>
      </c>
      <c r="H20048">
        <v>100850487</v>
      </c>
      <c r="I20048">
        <v>100850596</v>
      </c>
    </row>
    <row r="20049" spans="1:9" x14ac:dyDescent="0.2">
      <c r="A20049" t="str">
        <f>"Stat5b"</f>
        <v>Stat5b</v>
      </c>
      <c r="B20049" t="s">
        <v>13</v>
      </c>
      <c r="C20049" t="s">
        <v>27</v>
      </c>
      <c r="D20049" t="s">
        <v>11</v>
      </c>
      <c r="E20049" t="s">
        <v>12</v>
      </c>
      <c r="F20049">
        <v>100822525</v>
      </c>
      <c r="G20049">
        <v>100822576</v>
      </c>
      <c r="H20049">
        <v>100822525</v>
      </c>
      <c r="I20049">
        <v>100822576</v>
      </c>
    </row>
    <row r="20050" spans="1:9" x14ac:dyDescent="0.2">
      <c r="A20050" t="str">
        <f>"Stat6"</f>
        <v>Stat6</v>
      </c>
      <c r="B20050" t="s">
        <v>14</v>
      </c>
      <c r="C20050" t="s">
        <v>15</v>
      </c>
      <c r="D20050" t="s">
        <v>17</v>
      </c>
      <c r="E20050" t="s">
        <v>12</v>
      </c>
      <c r="F20050">
        <v>127642975</v>
      </c>
      <c r="G20050">
        <v>127643034</v>
      </c>
      <c r="H20050">
        <v>127643085</v>
      </c>
      <c r="I20050">
        <v>127643104</v>
      </c>
    </row>
    <row r="20051" spans="1:9" x14ac:dyDescent="0.2">
      <c r="A20051" t="str">
        <f>"Stau1"</f>
        <v>Stau1</v>
      </c>
      <c r="B20051" t="s">
        <v>14</v>
      </c>
      <c r="C20051" t="s">
        <v>26</v>
      </c>
      <c r="D20051" t="s">
        <v>11</v>
      </c>
      <c r="E20051" t="s">
        <v>12</v>
      </c>
      <c r="F20051">
        <v>166996221</v>
      </c>
      <c r="G20051">
        <v>166996256</v>
      </c>
      <c r="H20051">
        <v>166996259</v>
      </c>
      <c r="I20051">
        <v>166996283</v>
      </c>
    </row>
    <row r="20052" spans="1:9" x14ac:dyDescent="0.2">
      <c r="A20052" t="str">
        <f>"Stau2"</f>
        <v>Stau2</v>
      </c>
      <c r="B20052" t="s">
        <v>14</v>
      </c>
      <c r="C20052" t="s">
        <v>19</v>
      </c>
      <c r="D20052" t="s">
        <v>11</v>
      </c>
      <c r="E20052" t="s">
        <v>12</v>
      </c>
      <c r="F20052">
        <v>16519201</v>
      </c>
      <c r="G20052">
        <v>16519260</v>
      </c>
      <c r="H20052">
        <v>16519284</v>
      </c>
      <c r="I20052">
        <v>16519336</v>
      </c>
    </row>
    <row r="20053" spans="1:9" x14ac:dyDescent="0.2">
      <c r="A20053" t="str">
        <f>"Stbd1"</f>
        <v>Stbd1</v>
      </c>
      <c r="B20053" t="s">
        <v>14</v>
      </c>
      <c r="C20053" t="s">
        <v>46</v>
      </c>
      <c r="D20053" t="s">
        <v>17</v>
      </c>
      <c r="E20053" t="s">
        <v>12</v>
      </c>
      <c r="F20053">
        <v>92603076</v>
      </c>
      <c r="G20053">
        <v>92603109</v>
      </c>
      <c r="H20053">
        <v>92603039</v>
      </c>
      <c r="I20053">
        <v>92603050</v>
      </c>
    </row>
    <row r="20054" spans="1:9" x14ac:dyDescent="0.2">
      <c r="A20054" t="str">
        <f>"Stc1"</f>
        <v>Stc1</v>
      </c>
      <c r="B20054" t="s">
        <v>14</v>
      </c>
      <c r="C20054" t="s">
        <v>41</v>
      </c>
      <c r="D20054" t="s">
        <v>17</v>
      </c>
      <c r="E20054" t="s">
        <v>12</v>
      </c>
      <c r="F20054">
        <v>69029123</v>
      </c>
      <c r="G20054">
        <v>69029127</v>
      </c>
      <c r="H20054">
        <v>69029379</v>
      </c>
      <c r="I20054">
        <v>69029414</v>
      </c>
    </row>
    <row r="20055" spans="1:9" x14ac:dyDescent="0.2">
      <c r="A20055" t="str">
        <f>"Stc2"</f>
        <v>Stc2</v>
      </c>
      <c r="B20055" t="s">
        <v>14</v>
      </c>
      <c r="C20055" t="s">
        <v>27</v>
      </c>
      <c r="D20055" t="s">
        <v>11</v>
      </c>
      <c r="E20055" t="s">
        <v>12</v>
      </c>
      <c r="F20055">
        <v>31370066</v>
      </c>
      <c r="G20055">
        <v>31370080</v>
      </c>
      <c r="H20055">
        <v>31370094</v>
      </c>
      <c r="I20055">
        <v>31370109</v>
      </c>
    </row>
    <row r="20056" spans="1:9" x14ac:dyDescent="0.2">
      <c r="A20056" t="str">
        <f>"Steap1"</f>
        <v>Steap1</v>
      </c>
      <c r="B20056" t="s">
        <v>14</v>
      </c>
      <c r="C20056" t="s">
        <v>46</v>
      </c>
      <c r="D20056" t="s">
        <v>11</v>
      </c>
      <c r="E20056" t="s">
        <v>12</v>
      </c>
      <c r="F20056">
        <v>5749285</v>
      </c>
      <c r="G20056">
        <v>5749315</v>
      </c>
      <c r="H20056">
        <v>5749317</v>
      </c>
      <c r="I20056">
        <v>5749340</v>
      </c>
    </row>
    <row r="20057" spans="1:9" x14ac:dyDescent="0.2">
      <c r="A20057" t="str">
        <f>"Steap2"</f>
        <v>Steap2</v>
      </c>
      <c r="B20057" t="s">
        <v>14</v>
      </c>
      <c r="C20057" t="s">
        <v>46</v>
      </c>
      <c r="D20057" t="s">
        <v>11</v>
      </c>
      <c r="E20057" t="s">
        <v>12</v>
      </c>
      <c r="F20057">
        <v>5694024</v>
      </c>
      <c r="G20057">
        <v>5694109</v>
      </c>
      <c r="H20057">
        <v>5694499</v>
      </c>
      <c r="I20057">
        <v>5694539</v>
      </c>
    </row>
    <row r="20058" spans="1:9" x14ac:dyDescent="0.2">
      <c r="A20058" t="str">
        <f>"Steap3"</f>
        <v>Steap3</v>
      </c>
      <c r="B20058" t="s">
        <v>14</v>
      </c>
      <c r="C20058" t="s">
        <v>19</v>
      </c>
      <c r="D20058" t="s">
        <v>11</v>
      </c>
      <c r="E20058" t="s">
        <v>12</v>
      </c>
      <c r="F20058">
        <v>120265247</v>
      </c>
      <c r="G20058">
        <v>120265304</v>
      </c>
      <c r="H20058">
        <v>120265247</v>
      </c>
      <c r="I20058">
        <v>120265304</v>
      </c>
    </row>
    <row r="20059" spans="1:9" x14ac:dyDescent="0.2">
      <c r="A20059" t="str">
        <f>"Steap4"</f>
        <v>Steap4</v>
      </c>
      <c r="B20059" t="s">
        <v>14</v>
      </c>
      <c r="C20059" t="s">
        <v>46</v>
      </c>
      <c r="D20059" t="s">
        <v>17</v>
      </c>
      <c r="E20059" t="s">
        <v>12</v>
      </c>
      <c r="F20059">
        <v>7960445</v>
      </c>
      <c r="G20059">
        <v>7960464</v>
      </c>
      <c r="H20059">
        <v>7960445</v>
      </c>
      <c r="I20059">
        <v>7960464</v>
      </c>
    </row>
    <row r="20060" spans="1:9" x14ac:dyDescent="0.2">
      <c r="A20060" t="str">
        <f>"Stfa1"</f>
        <v>Stfa1</v>
      </c>
      <c r="B20060" t="s">
        <v>14</v>
      </c>
      <c r="C20060" t="s">
        <v>31</v>
      </c>
      <c r="D20060" t="s">
        <v>17</v>
      </c>
      <c r="E20060" t="s">
        <v>12</v>
      </c>
      <c r="F20060">
        <v>36277145</v>
      </c>
      <c r="G20060">
        <v>36277182</v>
      </c>
      <c r="H20060">
        <v>36277100</v>
      </c>
      <c r="I20060">
        <v>36277105</v>
      </c>
    </row>
    <row r="20061" spans="1:9" x14ac:dyDescent="0.2">
      <c r="A20061" t="str">
        <f>"Stfa2"</f>
        <v>Stfa2</v>
      </c>
      <c r="B20061" t="s">
        <v>14</v>
      </c>
      <c r="C20061" t="s">
        <v>31</v>
      </c>
      <c r="D20061" t="s">
        <v>11</v>
      </c>
      <c r="E20061" t="s">
        <v>12</v>
      </c>
      <c r="F20061">
        <v>36408349</v>
      </c>
      <c r="G20061">
        <v>36408362</v>
      </c>
      <c r="H20061">
        <v>36408437</v>
      </c>
      <c r="I20061">
        <v>36408463</v>
      </c>
    </row>
    <row r="20062" spans="1:9" x14ac:dyDescent="0.2">
      <c r="A20062" t="str">
        <f>"Stfa2l1"</f>
        <v>Stfa2l1</v>
      </c>
      <c r="B20062" t="s">
        <v>14</v>
      </c>
      <c r="C20062" t="s">
        <v>31</v>
      </c>
      <c r="D20062" t="s">
        <v>17</v>
      </c>
      <c r="E20062" t="s">
        <v>12</v>
      </c>
      <c r="F20062">
        <v>36156801</v>
      </c>
      <c r="G20062">
        <v>36156813</v>
      </c>
      <c r="H20062">
        <v>36156814</v>
      </c>
      <c r="I20062">
        <v>36156821</v>
      </c>
    </row>
    <row r="20063" spans="1:9" x14ac:dyDescent="0.2">
      <c r="A20063" t="str">
        <f>"Stfa3"</f>
        <v>Stfa3</v>
      </c>
      <c r="B20063" t="s">
        <v>14</v>
      </c>
      <c r="C20063" t="s">
        <v>31</v>
      </c>
      <c r="D20063" t="s">
        <v>11</v>
      </c>
      <c r="E20063" t="s">
        <v>12</v>
      </c>
      <c r="F20063">
        <v>36455378</v>
      </c>
      <c r="G20063">
        <v>36455400</v>
      </c>
      <c r="H20063">
        <v>36455475</v>
      </c>
      <c r="I20063">
        <v>36455482</v>
      </c>
    </row>
    <row r="20064" spans="1:9" x14ac:dyDescent="0.2">
      <c r="A20064" t="str">
        <f>"Stil"</f>
        <v>Stil</v>
      </c>
      <c r="B20064" t="s">
        <v>14</v>
      </c>
      <c r="C20064" t="s">
        <v>23</v>
      </c>
      <c r="D20064" t="s">
        <v>17</v>
      </c>
      <c r="E20064" t="s">
        <v>12</v>
      </c>
      <c r="F20064">
        <v>115000174</v>
      </c>
      <c r="G20064">
        <v>115000189</v>
      </c>
      <c r="H20064">
        <v>115000190</v>
      </c>
      <c r="I20064">
        <v>115000209</v>
      </c>
    </row>
    <row r="20065" spans="1:9" x14ac:dyDescent="0.2">
      <c r="A20065" t="str">
        <f>"Stim1"</f>
        <v>Stim1</v>
      </c>
      <c r="B20065" t="s">
        <v>14</v>
      </c>
      <c r="C20065" t="s">
        <v>33</v>
      </c>
      <c r="D20065" t="s">
        <v>17</v>
      </c>
      <c r="E20065" t="s">
        <v>12</v>
      </c>
      <c r="F20065">
        <v>102267795</v>
      </c>
      <c r="G20065">
        <v>102267854</v>
      </c>
      <c r="H20065">
        <v>102267795</v>
      </c>
      <c r="I20065">
        <v>102267854</v>
      </c>
    </row>
    <row r="20066" spans="1:9" x14ac:dyDescent="0.2">
      <c r="A20066" t="str">
        <f>"Stim2"</f>
        <v>Stim2</v>
      </c>
      <c r="B20066" t="s">
        <v>14</v>
      </c>
      <c r="C20066" t="s">
        <v>46</v>
      </c>
      <c r="D20066" t="s">
        <v>17</v>
      </c>
      <c r="E20066" t="s">
        <v>12</v>
      </c>
      <c r="F20066">
        <v>53998664</v>
      </c>
      <c r="G20066">
        <v>53998680</v>
      </c>
      <c r="H20066">
        <v>53998551</v>
      </c>
      <c r="I20066">
        <v>53998575</v>
      </c>
    </row>
    <row r="20067" spans="1:9" x14ac:dyDescent="0.2">
      <c r="A20067" t="str">
        <f>"Stip1"</f>
        <v>Stip1</v>
      </c>
      <c r="B20067" t="s">
        <v>14</v>
      </c>
      <c r="C20067" t="s">
        <v>10</v>
      </c>
      <c r="D20067" t="s">
        <v>11</v>
      </c>
      <c r="E20067" t="s">
        <v>12</v>
      </c>
      <c r="F20067">
        <v>7039931</v>
      </c>
      <c r="G20067">
        <v>7039980</v>
      </c>
      <c r="H20067">
        <v>7039902</v>
      </c>
      <c r="I20067">
        <v>7039925</v>
      </c>
    </row>
    <row r="20068" spans="1:9" x14ac:dyDescent="0.2">
      <c r="A20068" t="str">
        <f>"Stk10"</f>
        <v>Stk10</v>
      </c>
      <c r="B20068" t="s">
        <v>14</v>
      </c>
      <c r="C20068" t="s">
        <v>27</v>
      </c>
      <c r="D20068" t="s">
        <v>17</v>
      </c>
      <c r="E20068" t="s">
        <v>12</v>
      </c>
      <c r="F20068">
        <v>32533309</v>
      </c>
      <c r="G20068">
        <v>32533335</v>
      </c>
      <c r="H20068">
        <v>32533290</v>
      </c>
      <c r="I20068">
        <v>32533301</v>
      </c>
    </row>
    <row r="20069" spans="1:9" x14ac:dyDescent="0.2">
      <c r="A20069" t="str">
        <f>"Stk11"</f>
        <v>Stk11</v>
      </c>
      <c r="B20069" t="s">
        <v>14</v>
      </c>
      <c r="C20069" t="s">
        <v>15</v>
      </c>
      <c r="D20069" t="s">
        <v>17</v>
      </c>
      <c r="E20069" t="s">
        <v>12</v>
      </c>
      <c r="F20069">
        <v>80115779</v>
      </c>
      <c r="G20069">
        <v>80115824</v>
      </c>
      <c r="H20069">
        <v>80115863</v>
      </c>
      <c r="I20069">
        <v>80115886</v>
      </c>
    </row>
    <row r="20070" spans="1:9" x14ac:dyDescent="0.2">
      <c r="A20070" t="str">
        <f>"Stk11ip"</f>
        <v>Stk11ip</v>
      </c>
      <c r="B20070" t="s">
        <v>14</v>
      </c>
      <c r="C20070" t="s">
        <v>19</v>
      </c>
      <c r="D20070" t="s">
        <v>17</v>
      </c>
      <c r="E20070" t="s">
        <v>12</v>
      </c>
      <c r="F20070">
        <v>75521521</v>
      </c>
      <c r="G20070">
        <v>75521602</v>
      </c>
      <c r="H20070">
        <v>75521757</v>
      </c>
      <c r="I20070">
        <v>75521801</v>
      </c>
    </row>
    <row r="20071" spans="1:9" x14ac:dyDescent="0.2">
      <c r="A20071" t="str">
        <f>"Stk16"</f>
        <v>Stk16</v>
      </c>
      <c r="B20071" t="s">
        <v>14</v>
      </c>
      <c r="C20071" t="s">
        <v>19</v>
      </c>
      <c r="D20071" t="s">
        <v>17</v>
      </c>
      <c r="E20071" t="s">
        <v>12</v>
      </c>
      <c r="F20071">
        <v>75210832</v>
      </c>
      <c r="G20071">
        <v>75210910</v>
      </c>
      <c r="H20071">
        <v>75210832</v>
      </c>
      <c r="I20071">
        <v>75210910</v>
      </c>
    </row>
    <row r="20072" spans="1:9" x14ac:dyDescent="0.2">
      <c r="A20072" t="str">
        <f>"Stk17b"</f>
        <v>Stk17b</v>
      </c>
      <c r="B20072" t="s">
        <v>14</v>
      </c>
      <c r="C20072" t="s">
        <v>19</v>
      </c>
      <c r="D20072" t="s">
        <v>11</v>
      </c>
      <c r="E20072" t="s">
        <v>12</v>
      </c>
      <c r="F20072">
        <v>53785164</v>
      </c>
      <c r="G20072">
        <v>53785189</v>
      </c>
      <c r="H20072">
        <v>53785148</v>
      </c>
      <c r="I20072">
        <v>53785159</v>
      </c>
    </row>
    <row r="20073" spans="1:9" x14ac:dyDescent="0.2">
      <c r="A20073" t="str">
        <f>"Stk19"</f>
        <v>Stk19</v>
      </c>
      <c r="B20073" t="s">
        <v>14</v>
      </c>
      <c r="C20073" t="s">
        <v>28</v>
      </c>
      <c r="D20073" t="s">
        <v>11</v>
      </c>
      <c r="E20073" t="s">
        <v>12</v>
      </c>
      <c r="F20073">
        <v>34836869</v>
      </c>
      <c r="G20073">
        <v>34836959</v>
      </c>
      <c r="H20073">
        <v>34836662</v>
      </c>
      <c r="I20073">
        <v>34836691</v>
      </c>
    </row>
    <row r="20074" spans="1:9" x14ac:dyDescent="0.2">
      <c r="A20074" t="str">
        <f>"Stk24"</f>
        <v>Stk24</v>
      </c>
      <c r="B20074" t="s">
        <v>14</v>
      </c>
      <c r="C20074" t="s">
        <v>41</v>
      </c>
      <c r="D20074" t="s">
        <v>11</v>
      </c>
      <c r="E20074" t="s">
        <v>12</v>
      </c>
      <c r="F20074">
        <v>121379206</v>
      </c>
      <c r="G20074">
        <v>121379269</v>
      </c>
      <c r="H20074">
        <v>121379206</v>
      </c>
      <c r="I20074">
        <v>121379269</v>
      </c>
    </row>
    <row r="20075" spans="1:9" x14ac:dyDescent="0.2">
      <c r="A20075" t="str">
        <f>"Stk25"</f>
        <v>Stk25</v>
      </c>
      <c r="B20075" t="s">
        <v>14</v>
      </c>
      <c r="C20075" t="s">
        <v>19</v>
      </c>
      <c r="D20075" t="s">
        <v>11</v>
      </c>
      <c r="E20075" t="s">
        <v>12</v>
      </c>
      <c r="F20075">
        <v>93635659</v>
      </c>
      <c r="G20075">
        <v>93635674</v>
      </c>
      <c r="H20075">
        <v>93635692</v>
      </c>
      <c r="I20075">
        <v>93635711</v>
      </c>
    </row>
    <row r="20076" spans="1:9" x14ac:dyDescent="0.2">
      <c r="A20076" t="str">
        <f>"Stk3"</f>
        <v>Stk3</v>
      </c>
      <c r="B20076" t="s">
        <v>14</v>
      </c>
      <c r="C20076" t="s">
        <v>25</v>
      </c>
      <c r="D20076" t="s">
        <v>11</v>
      </c>
      <c r="E20076" t="s">
        <v>12</v>
      </c>
      <c r="F20076">
        <v>35155651</v>
      </c>
      <c r="G20076">
        <v>35155732</v>
      </c>
      <c r="H20076">
        <v>35155758</v>
      </c>
      <c r="I20076">
        <v>35155793</v>
      </c>
    </row>
    <row r="20077" spans="1:9" x14ac:dyDescent="0.2">
      <c r="A20077" t="str">
        <f>"Stk30"</f>
        <v>Stk30</v>
      </c>
      <c r="B20077" t="s">
        <v>14</v>
      </c>
      <c r="C20077" t="s">
        <v>16</v>
      </c>
      <c r="D20077" t="s">
        <v>11</v>
      </c>
      <c r="E20077" t="s">
        <v>12</v>
      </c>
      <c r="F20077">
        <v>110840905</v>
      </c>
      <c r="G20077">
        <v>110840950</v>
      </c>
      <c r="H20077">
        <v>110840850</v>
      </c>
      <c r="I20077">
        <v>110840861</v>
      </c>
    </row>
    <row r="20078" spans="1:9" x14ac:dyDescent="0.2">
      <c r="A20078" t="str">
        <f>"Stk31"</f>
        <v>Stk31</v>
      </c>
      <c r="B20078" t="s">
        <v>14</v>
      </c>
      <c r="C20078" t="s">
        <v>32</v>
      </c>
      <c r="D20078" t="s">
        <v>17</v>
      </c>
      <c r="E20078" t="s">
        <v>12</v>
      </c>
      <c r="F20078">
        <v>49395532</v>
      </c>
      <c r="G20078">
        <v>49395558</v>
      </c>
      <c r="H20078">
        <v>49395559</v>
      </c>
      <c r="I20078">
        <v>49395594</v>
      </c>
    </row>
    <row r="20079" spans="1:9" x14ac:dyDescent="0.2">
      <c r="A20079" t="str">
        <f>"Stk32a"</f>
        <v>Stk32a</v>
      </c>
      <c r="B20079" t="s">
        <v>14</v>
      </c>
      <c r="C20079" t="s">
        <v>43</v>
      </c>
      <c r="D20079" t="s">
        <v>17</v>
      </c>
      <c r="E20079" t="s">
        <v>12</v>
      </c>
      <c r="F20079">
        <v>43207622</v>
      </c>
      <c r="G20079">
        <v>43207678</v>
      </c>
      <c r="H20079">
        <v>43207679</v>
      </c>
      <c r="I20079">
        <v>43207700</v>
      </c>
    </row>
    <row r="20080" spans="1:9" x14ac:dyDescent="0.2">
      <c r="A20080" t="str">
        <f>"Stk32b"</f>
        <v>Stk32b</v>
      </c>
      <c r="B20080" t="s">
        <v>14</v>
      </c>
      <c r="C20080" t="s">
        <v>46</v>
      </c>
      <c r="D20080" t="s">
        <v>11</v>
      </c>
      <c r="E20080" t="s">
        <v>12</v>
      </c>
      <c r="F20080">
        <v>37717122</v>
      </c>
      <c r="G20080">
        <v>37717178</v>
      </c>
      <c r="H20080">
        <v>37717194</v>
      </c>
      <c r="I20080">
        <v>37717205</v>
      </c>
    </row>
    <row r="20081" spans="1:9" x14ac:dyDescent="0.2">
      <c r="A20081" t="str">
        <f>"Stk32c"</f>
        <v>Stk32c</v>
      </c>
      <c r="B20081" t="s">
        <v>9</v>
      </c>
      <c r="C20081" t="s">
        <v>33</v>
      </c>
      <c r="D20081" t="s">
        <v>11</v>
      </c>
      <c r="E20081" t="s">
        <v>12</v>
      </c>
      <c r="F20081">
        <v>139188462</v>
      </c>
      <c r="G20081">
        <v>139188535</v>
      </c>
      <c r="H20081">
        <v>139188462</v>
      </c>
      <c r="I20081">
        <v>139188535</v>
      </c>
    </row>
    <row r="20082" spans="1:9" x14ac:dyDescent="0.2">
      <c r="A20082" t="str">
        <f>"Stk32c"</f>
        <v>Stk32c</v>
      </c>
      <c r="B20082" t="s">
        <v>13</v>
      </c>
      <c r="C20082" t="s">
        <v>33</v>
      </c>
      <c r="D20082" t="s">
        <v>11</v>
      </c>
      <c r="E20082" t="s">
        <v>12</v>
      </c>
      <c r="F20082">
        <v>139213285</v>
      </c>
      <c r="G20082">
        <v>139213309</v>
      </c>
      <c r="H20082">
        <v>139213285</v>
      </c>
      <c r="I20082">
        <v>139213309</v>
      </c>
    </row>
    <row r="20083" spans="1:9" x14ac:dyDescent="0.2">
      <c r="A20083" t="str">
        <f>"Stk33"</f>
        <v>Stk33</v>
      </c>
      <c r="B20083" t="s">
        <v>14</v>
      </c>
      <c r="C20083" t="s">
        <v>33</v>
      </c>
      <c r="D20083" t="s">
        <v>11</v>
      </c>
      <c r="E20083" t="s">
        <v>12</v>
      </c>
      <c r="F20083">
        <v>109438786</v>
      </c>
      <c r="G20083">
        <v>109438837</v>
      </c>
      <c r="H20083">
        <v>109439025</v>
      </c>
      <c r="I20083">
        <v>109439066</v>
      </c>
    </row>
    <row r="20084" spans="1:9" x14ac:dyDescent="0.2">
      <c r="A20084" t="str">
        <f>"Stk35"</f>
        <v>Stk35</v>
      </c>
      <c r="B20084" t="s">
        <v>14</v>
      </c>
      <c r="C20084" t="s">
        <v>26</v>
      </c>
      <c r="D20084" t="s">
        <v>17</v>
      </c>
      <c r="E20084" t="s">
        <v>12</v>
      </c>
      <c r="F20084">
        <v>129800451</v>
      </c>
      <c r="G20084">
        <v>129800526</v>
      </c>
      <c r="H20084">
        <v>129800582</v>
      </c>
      <c r="I20084">
        <v>129800641</v>
      </c>
    </row>
    <row r="20085" spans="1:9" x14ac:dyDescent="0.2">
      <c r="A20085" t="str">
        <f>"Stk36"</f>
        <v>Stk36</v>
      </c>
      <c r="B20085" t="s">
        <v>14</v>
      </c>
      <c r="C20085" t="s">
        <v>19</v>
      </c>
      <c r="D20085" t="s">
        <v>17</v>
      </c>
      <c r="E20085" t="s">
        <v>12</v>
      </c>
      <c r="F20085">
        <v>74601441</v>
      </c>
      <c r="G20085">
        <v>74601520</v>
      </c>
      <c r="H20085">
        <v>74601548</v>
      </c>
      <c r="I20085">
        <v>74601558</v>
      </c>
    </row>
    <row r="20086" spans="1:9" x14ac:dyDescent="0.2">
      <c r="A20086" t="str">
        <f>"Stk38"</f>
        <v>Stk38</v>
      </c>
      <c r="B20086" t="s">
        <v>14</v>
      </c>
      <c r="C20086" t="s">
        <v>28</v>
      </c>
      <c r="D20086" t="s">
        <v>11</v>
      </c>
      <c r="E20086" t="s">
        <v>12</v>
      </c>
      <c r="F20086">
        <v>29007925</v>
      </c>
      <c r="G20086">
        <v>29007962</v>
      </c>
      <c r="H20086">
        <v>29007805</v>
      </c>
      <c r="I20086">
        <v>29007830</v>
      </c>
    </row>
    <row r="20087" spans="1:9" x14ac:dyDescent="0.2">
      <c r="A20087" t="str">
        <f>"Stk38l"</f>
        <v>Stk38l</v>
      </c>
      <c r="B20087" t="s">
        <v>14</v>
      </c>
      <c r="C20087" t="s">
        <v>32</v>
      </c>
      <c r="D20087" t="s">
        <v>17</v>
      </c>
      <c r="E20087" t="s">
        <v>12</v>
      </c>
      <c r="F20087">
        <v>146724957</v>
      </c>
      <c r="G20087">
        <v>146724998</v>
      </c>
      <c r="H20087">
        <v>146725005</v>
      </c>
      <c r="I20087">
        <v>146725018</v>
      </c>
    </row>
    <row r="20088" spans="1:9" x14ac:dyDescent="0.2">
      <c r="A20088" t="str">
        <f>"Stk39"</f>
        <v>Stk39</v>
      </c>
      <c r="B20088" t="s">
        <v>14</v>
      </c>
      <c r="C20088" t="s">
        <v>26</v>
      </c>
      <c r="D20088" t="s">
        <v>11</v>
      </c>
      <c r="E20088" t="s">
        <v>12</v>
      </c>
      <c r="F20088">
        <v>68472002</v>
      </c>
      <c r="G20088">
        <v>68472118</v>
      </c>
      <c r="H20088">
        <v>68471945</v>
      </c>
      <c r="I20088">
        <v>68471994</v>
      </c>
    </row>
    <row r="20089" spans="1:9" x14ac:dyDescent="0.2">
      <c r="A20089" t="str">
        <f>"Stk4"</f>
        <v>Stk4</v>
      </c>
      <c r="B20089" t="s">
        <v>14</v>
      </c>
      <c r="C20089" t="s">
        <v>26</v>
      </c>
      <c r="D20089" t="s">
        <v>17</v>
      </c>
      <c r="E20089" t="s">
        <v>12</v>
      </c>
      <c r="F20089">
        <v>164074122</v>
      </c>
      <c r="G20089">
        <v>164074218</v>
      </c>
      <c r="H20089">
        <v>164074102</v>
      </c>
      <c r="I20089">
        <v>164074117</v>
      </c>
    </row>
    <row r="20090" spans="1:9" x14ac:dyDescent="0.2">
      <c r="A20090" t="str">
        <f>"Stk40"</f>
        <v>Stk40</v>
      </c>
      <c r="B20090" t="s">
        <v>14</v>
      </c>
      <c r="C20090" t="s">
        <v>23</v>
      </c>
      <c r="D20090" t="s">
        <v>17</v>
      </c>
      <c r="E20090" t="s">
        <v>12</v>
      </c>
      <c r="F20090">
        <v>126103940</v>
      </c>
      <c r="G20090">
        <v>126104020</v>
      </c>
      <c r="H20090">
        <v>126104096</v>
      </c>
      <c r="I20090">
        <v>126104099</v>
      </c>
    </row>
    <row r="20091" spans="1:9" x14ac:dyDescent="0.2">
      <c r="A20091" t="str">
        <f>"Stmn1"</f>
        <v>Stmn1</v>
      </c>
      <c r="B20091" t="s">
        <v>9</v>
      </c>
      <c r="C20091" t="s">
        <v>23</v>
      </c>
      <c r="D20091" t="s">
        <v>17</v>
      </c>
      <c r="E20091" t="s">
        <v>12</v>
      </c>
      <c r="F20091">
        <v>134468334</v>
      </c>
      <c r="G20091">
        <v>134468406</v>
      </c>
      <c r="H20091">
        <v>134468334</v>
      </c>
      <c r="I20091">
        <v>134468406</v>
      </c>
    </row>
    <row r="20092" spans="1:9" x14ac:dyDescent="0.2">
      <c r="A20092" t="str">
        <f>"Stmn1"</f>
        <v>Stmn1</v>
      </c>
      <c r="B20092" t="s">
        <v>13</v>
      </c>
      <c r="C20092" t="s">
        <v>23</v>
      </c>
      <c r="D20092" t="s">
        <v>17</v>
      </c>
      <c r="E20092" t="s">
        <v>12</v>
      </c>
      <c r="F20092">
        <v>134469718</v>
      </c>
      <c r="G20092">
        <v>134469730</v>
      </c>
      <c r="H20092">
        <v>134469718</v>
      </c>
      <c r="I20092">
        <v>134469730</v>
      </c>
    </row>
    <row r="20093" spans="1:9" x14ac:dyDescent="0.2">
      <c r="A20093" t="str">
        <f>"Stmn2"</f>
        <v>Stmn2</v>
      </c>
      <c r="B20093" t="s">
        <v>14</v>
      </c>
      <c r="C20093" t="s">
        <v>22</v>
      </c>
      <c r="D20093" t="s">
        <v>17</v>
      </c>
      <c r="E20093" t="s">
        <v>12</v>
      </c>
      <c r="F20093">
        <v>8509477</v>
      </c>
      <c r="G20093">
        <v>8509550</v>
      </c>
      <c r="H20093">
        <v>8509552</v>
      </c>
      <c r="I20093">
        <v>8509557</v>
      </c>
    </row>
    <row r="20094" spans="1:9" x14ac:dyDescent="0.2">
      <c r="A20094" t="str">
        <f>"Stmn3"</f>
        <v>Stmn3</v>
      </c>
      <c r="B20094" t="s">
        <v>14</v>
      </c>
      <c r="C20094" t="s">
        <v>26</v>
      </c>
      <c r="D20094" t="s">
        <v>11</v>
      </c>
      <c r="E20094" t="s">
        <v>12</v>
      </c>
      <c r="F20094">
        <v>181314278</v>
      </c>
      <c r="G20094">
        <v>181314298</v>
      </c>
      <c r="H20094">
        <v>181314278</v>
      </c>
      <c r="I20094">
        <v>181314298</v>
      </c>
    </row>
    <row r="20095" spans="1:9" x14ac:dyDescent="0.2">
      <c r="A20095" t="str">
        <f>"Stmn4"</f>
        <v>Stmn4</v>
      </c>
      <c r="B20095" t="s">
        <v>14</v>
      </c>
      <c r="C20095" t="s">
        <v>41</v>
      </c>
      <c r="D20095" t="s">
        <v>17</v>
      </c>
      <c r="E20095" t="s">
        <v>12</v>
      </c>
      <c r="F20095">
        <v>66344317</v>
      </c>
      <c r="G20095">
        <v>66344368</v>
      </c>
      <c r="H20095">
        <v>66344369</v>
      </c>
      <c r="I20095">
        <v>66344380</v>
      </c>
    </row>
    <row r="20096" spans="1:9" x14ac:dyDescent="0.2">
      <c r="A20096" t="str">
        <f>"Stmnd1"</f>
        <v>Stmnd1</v>
      </c>
      <c r="B20096" t="s">
        <v>14</v>
      </c>
      <c r="C20096" t="s">
        <v>39</v>
      </c>
      <c r="D20096" t="s">
        <v>17</v>
      </c>
      <c r="E20096" t="s">
        <v>67</v>
      </c>
      <c r="F20096">
        <v>46273700</v>
      </c>
      <c r="G20096">
        <v>46273712</v>
      </c>
      <c r="H20096">
        <v>46273607</v>
      </c>
      <c r="I20096">
        <v>46273640</v>
      </c>
    </row>
    <row r="20097" spans="1:9" x14ac:dyDescent="0.2">
      <c r="A20097" t="str">
        <f>"Stom"</f>
        <v>Stom</v>
      </c>
      <c r="B20097" t="s">
        <v>14</v>
      </c>
      <c r="C20097" t="s">
        <v>26</v>
      </c>
      <c r="D20097" t="s">
        <v>11</v>
      </c>
      <c r="E20097" t="s">
        <v>12</v>
      </c>
      <c r="F20097">
        <v>35336969</v>
      </c>
      <c r="G20097">
        <v>35336983</v>
      </c>
      <c r="H20097">
        <v>35337003</v>
      </c>
      <c r="I20097">
        <v>35337017</v>
      </c>
    </row>
    <row r="20098" spans="1:9" x14ac:dyDescent="0.2">
      <c r="A20098" t="str">
        <f>"Stoml1"</f>
        <v>Stoml1</v>
      </c>
      <c r="B20098" t="s">
        <v>14</v>
      </c>
      <c r="C20098" t="s">
        <v>24</v>
      </c>
      <c r="D20098" t="s">
        <v>17</v>
      </c>
      <c r="E20098" t="s">
        <v>12</v>
      </c>
      <c r="F20098">
        <v>58253175</v>
      </c>
      <c r="G20098">
        <v>58253272</v>
      </c>
      <c r="H20098">
        <v>58253175</v>
      </c>
      <c r="I20098">
        <v>58253272</v>
      </c>
    </row>
    <row r="20099" spans="1:9" x14ac:dyDescent="0.2">
      <c r="A20099" t="str">
        <f>"Stoml2"</f>
        <v>Stoml2</v>
      </c>
      <c r="B20099" t="s">
        <v>14</v>
      </c>
      <c r="C20099" t="s">
        <v>23</v>
      </c>
      <c r="D20099" t="s">
        <v>11</v>
      </c>
      <c r="E20099" t="s">
        <v>12</v>
      </c>
      <c r="F20099">
        <v>43031377</v>
      </c>
      <c r="G20099">
        <v>43031427</v>
      </c>
      <c r="H20099">
        <v>43031429</v>
      </c>
      <c r="I20099">
        <v>43031434</v>
      </c>
    </row>
    <row r="20100" spans="1:9" x14ac:dyDescent="0.2">
      <c r="A20100" t="str">
        <f>"Stoml3"</f>
        <v>Stoml3</v>
      </c>
      <c r="B20100" t="s">
        <v>14</v>
      </c>
      <c r="C20100" t="s">
        <v>22</v>
      </c>
      <c r="D20100" t="s">
        <v>17</v>
      </c>
      <c r="E20100" t="s">
        <v>12</v>
      </c>
      <c r="F20100">
        <v>53488677</v>
      </c>
      <c r="G20100">
        <v>53488714</v>
      </c>
      <c r="H20100">
        <v>53488642</v>
      </c>
      <c r="I20100">
        <v>53488661</v>
      </c>
    </row>
    <row r="20101" spans="1:9" x14ac:dyDescent="0.2">
      <c r="A20101" t="str">
        <f>"Ston1"</f>
        <v>Ston1</v>
      </c>
      <c r="B20101" t="s">
        <v>9</v>
      </c>
      <c r="C20101" t="s">
        <v>28</v>
      </c>
      <c r="D20101" t="s">
        <v>17</v>
      </c>
      <c r="E20101" t="s">
        <v>12</v>
      </c>
      <c r="F20101">
        <v>88597663</v>
      </c>
      <c r="G20101">
        <v>88597704</v>
      </c>
      <c r="H20101">
        <v>88597663</v>
      </c>
      <c r="I20101">
        <v>88597704</v>
      </c>
    </row>
    <row r="20102" spans="1:9" x14ac:dyDescent="0.2">
      <c r="A20102" t="str">
        <f>"Ston1"</f>
        <v>Ston1</v>
      </c>
      <c r="B20102" t="s">
        <v>13</v>
      </c>
      <c r="C20102" t="s">
        <v>28</v>
      </c>
      <c r="D20102" t="s">
        <v>17</v>
      </c>
      <c r="E20102" t="s">
        <v>12</v>
      </c>
      <c r="F20102">
        <v>88626569</v>
      </c>
      <c r="G20102">
        <v>88626604</v>
      </c>
      <c r="H20102">
        <v>88626569</v>
      </c>
      <c r="I20102">
        <v>88626604</v>
      </c>
    </row>
    <row r="20103" spans="1:9" x14ac:dyDescent="0.2">
      <c r="A20103" t="str">
        <f>"Ston2"</f>
        <v>Ston2</v>
      </c>
      <c r="B20103" t="s">
        <v>14</v>
      </c>
      <c r="C20103" t="s">
        <v>16</v>
      </c>
      <c r="D20103" t="s">
        <v>11</v>
      </c>
      <c r="E20103" t="s">
        <v>12</v>
      </c>
      <c r="F20103">
        <v>91779129</v>
      </c>
      <c r="G20103">
        <v>91779144</v>
      </c>
      <c r="H20103">
        <v>91779129</v>
      </c>
      <c r="I20103">
        <v>91779144</v>
      </c>
    </row>
    <row r="20104" spans="1:9" x14ac:dyDescent="0.2">
      <c r="A20104" t="str">
        <f>"Stox1"</f>
        <v>Stox1</v>
      </c>
      <c r="B20104" t="s">
        <v>14</v>
      </c>
      <c r="C20104" t="s">
        <v>15</v>
      </c>
      <c r="D20104" t="s">
        <v>11</v>
      </c>
      <c r="E20104" t="s">
        <v>12</v>
      </c>
      <c r="F20104">
        <v>62726086</v>
      </c>
      <c r="G20104">
        <v>62726102</v>
      </c>
      <c r="H20104">
        <v>62726122</v>
      </c>
      <c r="I20104">
        <v>62726137</v>
      </c>
    </row>
    <row r="20105" spans="1:9" x14ac:dyDescent="0.2">
      <c r="A20105" t="str">
        <f>"Stox2"</f>
        <v>Stox2</v>
      </c>
      <c r="B20105" t="s">
        <v>14</v>
      </c>
      <c r="C20105" t="s">
        <v>30</v>
      </c>
      <c r="D20105" t="s">
        <v>11</v>
      </c>
      <c r="E20105" t="s">
        <v>12</v>
      </c>
      <c r="F20105">
        <v>47289354</v>
      </c>
      <c r="G20105">
        <v>47289384</v>
      </c>
      <c r="H20105">
        <v>47289394</v>
      </c>
      <c r="I20105">
        <v>47289411</v>
      </c>
    </row>
    <row r="20106" spans="1:9" x14ac:dyDescent="0.2">
      <c r="A20106" t="str">
        <f>"Stpg1"</f>
        <v>Stpg1</v>
      </c>
      <c r="B20106" t="s">
        <v>14</v>
      </c>
      <c r="C20106" t="s">
        <v>23</v>
      </c>
      <c r="D20106" t="s">
        <v>17</v>
      </c>
      <c r="E20106" t="s">
        <v>67</v>
      </c>
      <c r="F20106">
        <v>135495979</v>
      </c>
      <c r="G20106">
        <v>135496016</v>
      </c>
      <c r="H20106">
        <v>135495979</v>
      </c>
      <c r="I20106">
        <v>135496016</v>
      </c>
    </row>
    <row r="20107" spans="1:9" x14ac:dyDescent="0.2">
      <c r="A20107" t="str">
        <f>"Stpg2"</f>
        <v>Stpg2</v>
      </c>
      <c r="B20107" t="s">
        <v>14</v>
      </c>
      <c r="C20107" t="s">
        <v>22</v>
      </c>
      <c r="D20107" t="s">
        <v>17</v>
      </c>
      <c r="E20107" t="s">
        <v>67</v>
      </c>
      <c r="F20107">
        <v>139205887</v>
      </c>
      <c r="G20107">
        <v>139205909</v>
      </c>
      <c r="H20107">
        <v>139205658</v>
      </c>
      <c r="I20107">
        <v>139205684</v>
      </c>
    </row>
    <row r="20108" spans="1:9" x14ac:dyDescent="0.2">
      <c r="A20108" t="str">
        <f>"Stra13"</f>
        <v>Stra13</v>
      </c>
      <c r="B20108" t="s">
        <v>14</v>
      </c>
      <c r="C20108" t="s">
        <v>27</v>
      </c>
      <c r="D20108" t="s">
        <v>11</v>
      </c>
      <c r="E20108" t="s">
        <v>12</v>
      </c>
      <c r="F20108">
        <v>120713725</v>
      </c>
      <c r="G20108">
        <v>120713748</v>
      </c>
      <c r="H20108">
        <v>120713725</v>
      </c>
      <c r="I20108">
        <v>120713748</v>
      </c>
    </row>
    <row r="20109" spans="1:9" x14ac:dyDescent="0.2">
      <c r="A20109" t="str">
        <f>"Stra6"</f>
        <v>Stra6</v>
      </c>
      <c r="B20109" t="s">
        <v>14</v>
      </c>
      <c r="C20109" t="s">
        <v>24</v>
      </c>
      <c r="D20109" t="s">
        <v>17</v>
      </c>
      <c r="E20109" t="s">
        <v>12</v>
      </c>
      <c r="F20109">
        <v>58134242</v>
      </c>
      <c r="G20109">
        <v>58134258</v>
      </c>
      <c r="H20109">
        <v>58134040</v>
      </c>
      <c r="I20109">
        <v>58134070</v>
      </c>
    </row>
    <row r="20110" spans="1:9" x14ac:dyDescent="0.2">
      <c r="A20110" t="str">
        <f>"Stra8"</f>
        <v>Stra8</v>
      </c>
      <c r="B20110" t="s">
        <v>14</v>
      </c>
      <c r="C20110" t="s">
        <v>32</v>
      </c>
      <c r="D20110" t="s">
        <v>17</v>
      </c>
      <c r="E20110" t="s">
        <v>12</v>
      </c>
      <c r="F20110">
        <v>34920941</v>
      </c>
      <c r="G20110">
        <v>34920954</v>
      </c>
      <c r="H20110">
        <v>34920971</v>
      </c>
      <c r="I20110">
        <v>34920973</v>
      </c>
    </row>
    <row r="20111" spans="1:9" x14ac:dyDescent="0.2">
      <c r="A20111" t="str">
        <f>"Strada"</f>
        <v>Strada</v>
      </c>
      <c r="B20111" t="s">
        <v>14</v>
      </c>
      <c r="C20111" t="s">
        <v>27</v>
      </c>
      <c r="D20111" t="s">
        <v>11</v>
      </c>
      <c r="E20111" t="s">
        <v>12</v>
      </c>
      <c r="F20111">
        <v>106193511</v>
      </c>
      <c r="G20111">
        <v>106193584</v>
      </c>
      <c r="H20111">
        <v>106193489</v>
      </c>
      <c r="I20111">
        <v>106193501</v>
      </c>
    </row>
    <row r="20112" spans="1:9" x14ac:dyDescent="0.2">
      <c r="A20112" t="str">
        <f>"Stradb"</f>
        <v>Stradb</v>
      </c>
      <c r="B20112" t="s">
        <v>14</v>
      </c>
      <c r="C20112" t="s">
        <v>19</v>
      </c>
      <c r="D20112" t="s">
        <v>17</v>
      </c>
      <c r="E20112" t="s">
        <v>12</v>
      </c>
      <c r="F20112">
        <v>58973521</v>
      </c>
      <c r="G20112">
        <v>58973582</v>
      </c>
      <c r="H20112">
        <v>58973661</v>
      </c>
      <c r="I20112">
        <v>58973684</v>
      </c>
    </row>
    <row r="20113" spans="1:9" x14ac:dyDescent="0.2">
      <c r="A20113" t="str">
        <f>"Strap"</f>
        <v>Strap</v>
      </c>
      <c r="B20113" t="s">
        <v>14</v>
      </c>
      <c r="C20113" t="s">
        <v>32</v>
      </c>
      <c r="D20113" t="s">
        <v>17</v>
      </c>
      <c r="E20113" t="s">
        <v>12</v>
      </c>
      <c r="F20113">
        <v>137735102</v>
      </c>
      <c r="G20113">
        <v>137735151</v>
      </c>
      <c r="H20113">
        <v>137735182</v>
      </c>
      <c r="I20113">
        <v>137735189</v>
      </c>
    </row>
    <row r="20114" spans="1:9" x14ac:dyDescent="0.2">
      <c r="A20114" t="str">
        <f>"Strbp"</f>
        <v>Strbp</v>
      </c>
      <c r="B20114" t="s">
        <v>14</v>
      </c>
      <c r="C20114" t="s">
        <v>26</v>
      </c>
      <c r="D20114" t="s">
        <v>11</v>
      </c>
      <c r="E20114" t="s">
        <v>12</v>
      </c>
      <c r="F20114">
        <v>37703299</v>
      </c>
      <c r="G20114">
        <v>37703382</v>
      </c>
      <c r="H20114">
        <v>37703845</v>
      </c>
      <c r="I20114">
        <v>37703885</v>
      </c>
    </row>
    <row r="20115" spans="1:9" x14ac:dyDescent="0.2">
      <c r="A20115" t="str">
        <f>"Strc"</f>
        <v>Strc</v>
      </c>
      <c r="B20115" t="s">
        <v>14</v>
      </c>
      <c r="C20115" t="s">
        <v>26</v>
      </c>
      <c r="D20115" t="s">
        <v>11</v>
      </c>
      <c r="E20115" t="s">
        <v>12</v>
      </c>
      <c r="F20115">
        <v>121380959</v>
      </c>
      <c r="G20115">
        <v>121380975</v>
      </c>
      <c r="H20115">
        <v>121380931</v>
      </c>
      <c r="I20115">
        <v>121380938</v>
      </c>
    </row>
    <row r="20116" spans="1:9" x14ac:dyDescent="0.2">
      <c r="A20116" t="str">
        <f>"Strip1"</f>
        <v>Strip1</v>
      </c>
      <c r="B20116" t="s">
        <v>14</v>
      </c>
      <c r="C20116" t="s">
        <v>22</v>
      </c>
      <c r="D20116" t="s">
        <v>11</v>
      </c>
      <c r="E20116" t="s">
        <v>67</v>
      </c>
      <c r="F20116">
        <v>107631681</v>
      </c>
      <c r="G20116">
        <v>107631705</v>
      </c>
      <c r="H20116">
        <v>107631681</v>
      </c>
      <c r="I20116">
        <v>107631705</v>
      </c>
    </row>
    <row r="20117" spans="1:9" x14ac:dyDescent="0.2">
      <c r="A20117" t="str">
        <f>"Strip2"</f>
        <v>Strip2</v>
      </c>
      <c r="B20117" t="s">
        <v>14</v>
      </c>
      <c r="C20117" t="s">
        <v>32</v>
      </c>
      <c r="D20117" t="s">
        <v>17</v>
      </c>
      <c r="E20117" t="s">
        <v>67</v>
      </c>
      <c r="F20117">
        <v>29917005</v>
      </c>
      <c r="G20117">
        <v>29917028</v>
      </c>
      <c r="H20117">
        <v>29917005</v>
      </c>
      <c r="I20117">
        <v>29917028</v>
      </c>
    </row>
    <row r="20118" spans="1:9" x14ac:dyDescent="0.2">
      <c r="A20118" t="str">
        <f>"Strn"</f>
        <v>Strn</v>
      </c>
      <c r="B20118" t="s">
        <v>14</v>
      </c>
      <c r="C20118" t="s">
        <v>28</v>
      </c>
      <c r="D20118" t="s">
        <v>11</v>
      </c>
      <c r="E20118" t="s">
        <v>12</v>
      </c>
      <c r="F20118">
        <v>78736534</v>
      </c>
      <c r="G20118">
        <v>78736586</v>
      </c>
      <c r="H20118">
        <v>78736606</v>
      </c>
      <c r="I20118">
        <v>78736633</v>
      </c>
    </row>
    <row r="20119" spans="1:9" x14ac:dyDescent="0.2">
      <c r="A20119" t="str">
        <f>"Strn3"</f>
        <v>Strn3</v>
      </c>
      <c r="B20119" t="s">
        <v>14</v>
      </c>
      <c r="C20119" t="s">
        <v>16</v>
      </c>
      <c r="D20119" t="s">
        <v>11</v>
      </c>
      <c r="E20119" t="s">
        <v>12</v>
      </c>
      <c r="F20119">
        <v>51691883</v>
      </c>
      <c r="G20119">
        <v>51691925</v>
      </c>
      <c r="H20119">
        <v>51692013</v>
      </c>
      <c r="I20119">
        <v>51692026</v>
      </c>
    </row>
    <row r="20120" spans="1:9" x14ac:dyDescent="0.2">
      <c r="A20120" t="str">
        <f>"Strn4"</f>
        <v>Strn4</v>
      </c>
      <c r="B20120" t="s">
        <v>14</v>
      </c>
      <c r="C20120" t="s">
        <v>33</v>
      </c>
      <c r="D20120" t="s">
        <v>17</v>
      </c>
      <c r="E20120" t="s">
        <v>12</v>
      </c>
      <c r="F20120">
        <v>16816299</v>
      </c>
      <c r="G20120">
        <v>16816361</v>
      </c>
      <c r="H20120">
        <v>16816273</v>
      </c>
      <c r="I20120">
        <v>16816286</v>
      </c>
    </row>
    <row r="20121" spans="1:9" x14ac:dyDescent="0.2">
      <c r="A20121" t="str">
        <f>"Stt3a"</f>
        <v>Stt3a</v>
      </c>
      <c r="B20121" t="s">
        <v>14</v>
      </c>
      <c r="C20121" t="s">
        <v>24</v>
      </c>
      <c r="D20121" t="s">
        <v>11</v>
      </c>
      <c r="E20121" t="s">
        <v>12</v>
      </c>
      <c r="F20121">
        <v>36767595</v>
      </c>
      <c r="G20121">
        <v>36767638</v>
      </c>
      <c r="H20121">
        <v>36767572</v>
      </c>
      <c r="I20121">
        <v>36767586</v>
      </c>
    </row>
    <row r="20122" spans="1:9" x14ac:dyDescent="0.2">
      <c r="A20122" t="str">
        <f>"Stt3b"</f>
        <v>Stt3b</v>
      </c>
      <c r="B20122" t="s">
        <v>14</v>
      </c>
      <c r="C20122" t="s">
        <v>24</v>
      </c>
      <c r="D20122" t="s">
        <v>11</v>
      </c>
      <c r="E20122" t="s">
        <v>12</v>
      </c>
      <c r="F20122">
        <v>115310100</v>
      </c>
      <c r="G20122">
        <v>115310157</v>
      </c>
      <c r="H20122">
        <v>115310459</v>
      </c>
      <c r="I20122">
        <v>115310484</v>
      </c>
    </row>
    <row r="20123" spans="1:9" x14ac:dyDescent="0.2">
      <c r="A20123" t="str">
        <f>"Stub1"</f>
        <v>Stub1</v>
      </c>
      <c r="B20123" t="s">
        <v>14</v>
      </c>
      <c r="C20123" t="s">
        <v>28</v>
      </c>
      <c r="D20123" t="s">
        <v>11</v>
      </c>
      <c r="E20123" t="s">
        <v>12</v>
      </c>
      <c r="F20123">
        <v>25832890</v>
      </c>
      <c r="G20123">
        <v>25832966</v>
      </c>
      <c r="H20123">
        <v>25833365</v>
      </c>
      <c r="I20123">
        <v>25833402</v>
      </c>
    </row>
    <row r="20124" spans="1:9" x14ac:dyDescent="0.2">
      <c r="A20124" t="str">
        <f>"Stx11"</f>
        <v>Stx11</v>
      </c>
      <c r="B20124" t="s">
        <v>14</v>
      </c>
      <c r="C20124" t="s">
        <v>15</v>
      </c>
      <c r="D20124" t="s">
        <v>11</v>
      </c>
      <c r="E20124" t="s">
        <v>12</v>
      </c>
      <c r="F20124">
        <v>12964252</v>
      </c>
      <c r="G20124">
        <v>12964278</v>
      </c>
      <c r="H20124">
        <v>12964211</v>
      </c>
      <c r="I20124">
        <v>12964245</v>
      </c>
    </row>
    <row r="20125" spans="1:9" x14ac:dyDescent="0.2">
      <c r="A20125" t="str">
        <f>"Stx12"</f>
        <v>Stx12</v>
      </c>
      <c r="B20125" t="s">
        <v>14</v>
      </c>
      <c r="C20125" t="s">
        <v>23</v>
      </c>
      <c r="D20125" t="s">
        <v>11</v>
      </c>
      <c r="E20125" t="s">
        <v>12</v>
      </c>
      <c r="F20125">
        <v>132884406</v>
      </c>
      <c r="G20125">
        <v>132884501</v>
      </c>
      <c r="H20125">
        <v>132884395</v>
      </c>
      <c r="I20125">
        <v>132884403</v>
      </c>
    </row>
    <row r="20126" spans="1:9" x14ac:dyDescent="0.2">
      <c r="A20126" t="str">
        <f>"Stx16"</f>
        <v>Stx16</v>
      </c>
      <c r="B20126" t="s">
        <v>14</v>
      </c>
      <c r="C20126" t="s">
        <v>26</v>
      </c>
      <c r="D20126" t="s">
        <v>17</v>
      </c>
      <c r="E20126" t="s">
        <v>12</v>
      </c>
      <c r="F20126">
        <v>174076296</v>
      </c>
      <c r="G20126">
        <v>174076356</v>
      </c>
      <c r="H20126">
        <v>174077049</v>
      </c>
      <c r="I20126">
        <v>174077058</v>
      </c>
    </row>
    <row r="20127" spans="1:9" x14ac:dyDescent="0.2">
      <c r="A20127" t="str">
        <f>"Stx17"</f>
        <v>Stx17</v>
      </c>
      <c r="B20127" t="s">
        <v>14</v>
      </c>
      <c r="C20127" t="s">
        <v>23</v>
      </c>
      <c r="D20127" t="s">
        <v>17</v>
      </c>
      <c r="E20127" t="s">
        <v>12</v>
      </c>
      <c r="F20127">
        <v>48124903</v>
      </c>
      <c r="G20127">
        <v>48124938</v>
      </c>
      <c r="H20127">
        <v>48124944</v>
      </c>
      <c r="I20127">
        <v>48124955</v>
      </c>
    </row>
    <row r="20128" spans="1:9" x14ac:dyDescent="0.2">
      <c r="A20128" t="str">
        <f>"Stx18"</f>
        <v>Stx18</v>
      </c>
      <c r="B20128" t="s">
        <v>14</v>
      </c>
      <c r="C20128" t="s">
        <v>46</v>
      </c>
      <c r="D20128" t="s">
        <v>17</v>
      </c>
      <c r="E20128" t="s">
        <v>12</v>
      </c>
      <c r="F20128">
        <v>38039224</v>
      </c>
      <c r="G20128">
        <v>38039299</v>
      </c>
      <c r="H20128">
        <v>38039304</v>
      </c>
      <c r="I20128">
        <v>38039322</v>
      </c>
    </row>
    <row r="20129" spans="1:9" x14ac:dyDescent="0.2">
      <c r="A20129" t="str">
        <f>"Stx19"</f>
        <v>Stx19</v>
      </c>
      <c r="B20129" t="s">
        <v>14</v>
      </c>
      <c r="C20129" t="s">
        <v>31</v>
      </c>
      <c r="D20129" t="s">
        <v>17</v>
      </c>
      <c r="E20129" t="s">
        <v>12</v>
      </c>
      <c r="F20129">
        <v>62814687</v>
      </c>
      <c r="G20129">
        <v>62814703</v>
      </c>
      <c r="H20129">
        <v>62814687</v>
      </c>
      <c r="I20129">
        <v>62814703</v>
      </c>
    </row>
    <row r="20130" spans="1:9" x14ac:dyDescent="0.2">
      <c r="A20130" t="str">
        <f>"Stx1a"</f>
        <v>Stx1a</v>
      </c>
      <c r="B20130" t="s">
        <v>9</v>
      </c>
      <c r="C20130" t="s">
        <v>46</v>
      </c>
      <c r="D20130" t="s">
        <v>17</v>
      </c>
      <c r="E20130" t="s">
        <v>12</v>
      </c>
      <c r="F20130">
        <v>135023521</v>
      </c>
      <c r="G20130">
        <v>135023580</v>
      </c>
      <c r="H20130">
        <v>135023521</v>
      </c>
      <c r="I20130">
        <v>135023580</v>
      </c>
    </row>
    <row r="20131" spans="1:9" x14ac:dyDescent="0.2">
      <c r="A20131" t="str">
        <f>"Stx1a"</f>
        <v>Stx1a</v>
      </c>
      <c r="B20131" t="s">
        <v>13</v>
      </c>
      <c r="C20131" t="s">
        <v>46</v>
      </c>
      <c r="D20131" t="s">
        <v>17</v>
      </c>
      <c r="E20131" t="s">
        <v>12</v>
      </c>
      <c r="F20131">
        <v>135041125</v>
      </c>
      <c r="G20131">
        <v>135041165</v>
      </c>
      <c r="H20131">
        <v>135041125</v>
      </c>
      <c r="I20131">
        <v>135041165</v>
      </c>
    </row>
    <row r="20132" spans="1:9" x14ac:dyDescent="0.2">
      <c r="A20132" t="str">
        <f>"Stx1b"</f>
        <v>Stx1b</v>
      </c>
      <c r="B20132" t="s">
        <v>14</v>
      </c>
      <c r="C20132" t="s">
        <v>33</v>
      </c>
      <c r="D20132" t="s">
        <v>11</v>
      </c>
      <c r="E20132" t="s">
        <v>12</v>
      </c>
      <c r="F20132">
        <v>127824469</v>
      </c>
      <c r="G20132">
        <v>127824580</v>
      </c>
      <c r="H20132">
        <v>127824469</v>
      </c>
      <c r="I20132">
        <v>127824580</v>
      </c>
    </row>
    <row r="20133" spans="1:9" x14ac:dyDescent="0.2">
      <c r="A20133" t="str">
        <f>"Stx2"</f>
        <v>Stx2</v>
      </c>
      <c r="B20133" t="s">
        <v>14</v>
      </c>
      <c r="C20133" t="s">
        <v>46</v>
      </c>
      <c r="D20133" t="s">
        <v>11</v>
      </c>
      <c r="E20133" t="s">
        <v>12</v>
      </c>
      <c r="F20133">
        <v>129008494</v>
      </c>
      <c r="G20133">
        <v>129008537</v>
      </c>
      <c r="H20133">
        <v>129008546</v>
      </c>
      <c r="I20133">
        <v>129008596</v>
      </c>
    </row>
    <row r="20134" spans="1:9" x14ac:dyDescent="0.2">
      <c r="A20134" t="str">
        <f>"Stx3"</f>
        <v>Stx3</v>
      </c>
      <c r="B20134" t="s">
        <v>14</v>
      </c>
      <c r="C20134" t="s">
        <v>10</v>
      </c>
      <c r="D20134" t="s">
        <v>11</v>
      </c>
      <c r="E20134" t="s">
        <v>12</v>
      </c>
      <c r="F20134">
        <v>11818806</v>
      </c>
      <c r="G20134">
        <v>11818883</v>
      </c>
      <c r="H20134">
        <v>11818919</v>
      </c>
      <c r="I20134">
        <v>11818965</v>
      </c>
    </row>
    <row r="20135" spans="1:9" x14ac:dyDescent="0.2">
      <c r="A20135" t="str">
        <f>"Stx4a"</f>
        <v>Stx4a</v>
      </c>
      <c r="B20135" t="s">
        <v>14</v>
      </c>
      <c r="C20135" t="s">
        <v>33</v>
      </c>
      <c r="D20135" t="s">
        <v>17</v>
      </c>
      <c r="E20135" t="s">
        <v>12</v>
      </c>
      <c r="F20135">
        <v>127841752</v>
      </c>
      <c r="G20135">
        <v>127841803</v>
      </c>
      <c r="H20135">
        <v>127841817</v>
      </c>
      <c r="I20135">
        <v>127841847</v>
      </c>
    </row>
    <row r="20136" spans="1:9" x14ac:dyDescent="0.2">
      <c r="A20136" t="str">
        <f>"Stx5a"</f>
        <v>Stx5a</v>
      </c>
      <c r="B20136" t="s">
        <v>14</v>
      </c>
      <c r="C20136" t="s">
        <v>10</v>
      </c>
      <c r="D20136" t="s">
        <v>17</v>
      </c>
      <c r="E20136" t="s">
        <v>12</v>
      </c>
      <c r="F20136">
        <v>8741415</v>
      </c>
      <c r="G20136">
        <v>8741461</v>
      </c>
      <c r="H20136">
        <v>8741815</v>
      </c>
      <c r="I20136">
        <v>8741865</v>
      </c>
    </row>
    <row r="20137" spans="1:9" x14ac:dyDescent="0.2">
      <c r="A20137" t="str">
        <f>"Stx6"</f>
        <v>Stx6</v>
      </c>
      <c r="B20137" t="s">
        <v>14</v>
      </c>
      <c r="C20137" t="s">
        <v>19</v>
      </c>
      <c r="D20137" t="s">
        <v>17</v>
      </c>
      <c r="E20137" t="s">
        <v>12</v>
      </c>
      <c r="F20137">
        <v>155158704</v>
      </c>
      <c r="G20137">
        <v>155158776</v>
      </c>
      <c r="H20137">
        <v>155158684</v>
      </c>
      <c r="I20137">
        <v>155158701</v>
      </c>
    </row>
    <row r="20138" spans="1:9" x14ac:dyDescent="0.2">
      <c r="A20138" t="str">
        <f>"Stx7"</f>
        <v>Stx7</v>
      </c>
      <c r="B20138" t="s">
        <v>14</v>
      </c>
      <c r="C20138" t="s">
        <v>15</v>
      </c>
      <c r="D20138" t="s">
        <v>17</v>
      </c>
      <c r="E20138" t="s">
        <v>12</v>
      </c>
      <c r="F20138">
        <v>24149291</v>
      </c>
      <c r="G20138">
        <v>24149376</v>
      </c>
      <c r="H20138">
        <v>24149291</v>
      </c>
      <c r="I20138">
        <v>24149376</v>
      </c>
    </row>
    <row r="20139" spans="1:9" x14ac:dyDescent="0.2">
      <c r="A20139" t="str">
        <f>"Stx8"</f>
        <v>Stx8</v>
      </c>
      <c r="B20139" t="s">
        <v>14</v>
      </c>
      <c r="C20139" t="s">
        <v>27</v>
      </c>
      <c r="D20139" t="s">
        <v>17</v>
      </c>
      <c r="E20139" t="s">
        <v>12</v>
      </c>
      <c r="F20139">
        <v>67966442</v>
      </c>
      <c r="G20139">
        <v>67966497</v>
      </c>
      <c r="H20139">
        <v>67966442</v>
      </c>
      <c r="I20139">
        <v>67966497</v>
      </c>
    </row>
    <row r="20140" spans="1:9" x14ac:dyDescent="0.2">
      <c r="A20140" t="str">
        <f>"Stxbp1"</f>
        <v>Stxbp1</v>
      </c>
      <c r="B20140" t="s">
        <v>14</v>
      </c>
      <c r="C20140" t="s">
        <v>26</v>
      </c>
      <c r="D20140" t="s">
        <v>11</v>
      </c>
      <c r="E20140" t="s">
        <v>12</v>
      </c>
      <c r="F20140">
        <v>32847199</v>
      </c>
      <c r="G20140">
        <v>32847214</v>
      </c>
      <c r="H20140">
        <v>32847231</v>
      </c>
      <c r="I20140">
        <v>32847242</v>
      </c>
    </row>
    <row r="20141" spans="1:9" x14ac:dyDescent="0.2">
      <c r="A20141" t="str">
        <f>"Stxbp2"</f>
        <v>Stxbp2</v>
      </c>
      <c r="B20141" t="s">
        <v>14</v>
      </c>
      <c r="C20141" t="s">
        <v>30</v>
      </c>
      <c r="D20141" t="s">
        <v>17</v>
      </c>
      <c r="E20141" t="s">
        <v>12</v>
      </c>
      <c r="F20141">
        <v>3631109</v>
      </c>
      <c r="G20141">
        <v>3631169</v>
      </c>
      <c r="H20141">
        <v>3631109</v>
      </c>
      <c r="I20141">
        <v>3631169</v>
      </c>
    </row>
    <row r="20142" spans="1:9" x14ac:dyDescent="0.2">
      <c r="A20142" t="str">
        <f>"Stxbp3a"</f>
        <v>Stxbp3a</v>
      </c>
      <c r="B20142" t="s">
        <v>14</v>
      </c>
      <c r="C20142" t="s">
        <v>22</v>
      </c>
      <c r="D20142" t="s">
        <v>11</v>
      </c>
      <c r="E20142" t="s">
        <v>12</v>
      </c>
      <c r="F20142">
        <v>108840477</v>
      </c>
      <c r="G20142">
        <v>108840509</v>
      </c>
      <c r="H20142">
        <v>108840522</v>
      </c>
      <c r="I20142">
        <v>108840552</v>
      </c>
    </row>
    <row r="20143" spans="1:9" x14ac:dyDescent="0.2">
      <c r="A20143" t="str">
        <f>"Stxbp3b"</f>
        <v>Stxbp3b</v>
      </c>
      <c r="B20143" t="s">
        <v>14</v>
      </c>
      <c r="C20143" t="s">
        <v>10</v>
      </c>
      <c r="D20143" t="s">
        <v>11</v>
      </c>
      <c r="E20143" t="s">
        <v>67</v>
      </c>
      <c r="F20143">
        <v>9559204</v>
      </c>
      <c r="G20143">
        <v>9559248</v>
      </c>
      <c r="H20143">
        <v>9559204</v>
      </c>
      <c r="I20143">
        <v>9559248</v>
      </c>
    </row>
    <row r="20144" spans="1:9" x14ac:dyDescent="0.2">
      <c r="A20144" t="str">
        <f>"Stxbp4"</f>
        <v>Stxbp4</v>
      </c>
      <c r="B20144" t="s">
        <v>14</v>
      </c>
      <c r="C20144" t="s">
        <v>27</v>
      </c>
      <c r="D20144" t="s">
        <v>11</v>
      </c>
      <c r="E20144" t="s">
        <v>12</v>
      </c>
      <c r="F20144">
        <v>90638067</v>
      </c>
      <c r="G20144">
        <v>90638100</v>
      </c>
      <c r="H20144">
        <v>90638067</v>
      </c>
      <c r="I20144">
        <v>90638100</v>
      </c>
    </row>
    <row r="20145" spans="1:9" x14ac:dyDescent="0.2">
      <c r="A20145" t="str">
        <f>"Stxbp5"</f>
        <v>Stxbp5</v>
      </c>
      <c r="B20145" t="s">
        <v>14</v>
      </c>
      <c r="C20145" t="s">
        <v>15</v>
      </c>
      <c r="D20145" t="s">
        <v>11</v>
      </c>
      <c r="E20145" t="s">
        <v>12</v>
      </c>
      <c r="F20145">
        <v>9901160</v>
      </c>
      <c r="G20145">
        <v>9901250</v>
      </c>
      <c r="H20145">
        <v>9900812</v>
      </c>
      <c r="I20145">
        <v>9900835</v>
      </c>
    </row>
    <row r="20146" spans="1:9" x14ac:dyDescent="0.2">
      <c r="A20146" t="str">
        <f>"Stxbp5l"</f>
        <v>Stxbp5l</v>
      </c>
      <c r="B20146" t="s">
        <v>14</v>
      </c>
      <c r="C20146" t="s">
        <v>31</v>
      </c>
      <c r="D20146" t="s">
        <v>11</v>
      </c>
      <c r="E20146" t="s">
        <v>12</v>
      </c>
      <c r="F20146">
        <v>37384915</v>
      </c>
      <c r="G20146">
        <v>37384931</v>
      </c>
      <c r="H20146">
        <v>37384940</v>
      </c>
      <c r="I20146">
        <v>37384978</v>
      </c>
    </row>
    <row r="20147" spans="1:9" x14ac:dyDescent="0.2">
      <c r="A20147" t="str">
        <f>"Stxbp6"</f>
        <v>Stxbp6</v>
      </c>
      <c r="B20147" t="s">
        <v>14</v>
      </c>
      <c r="C20147" t="s">
        <v>16</v>
      </c>
      <c r="D20147" t="s">
        <v>11</v>
      </c>
      <c r="E20147" t="s">
        <v>12</v>
      </c>
      <c r="F20147">
        <v>45074457</v>
      </c>
      <c r="G20147">
        <v>45074488</v>
      </c>
      <c r="H20147">
        <v>45074315</v>
      </c>
      <c r="I20147">
        <v>45074347</v>
      </c>
    </row>
    <row r="20148" spans="1:9" x14ac:dyDescent="0.2">
      <c r="A20148" t="str">
        <f>"Styk1"</f>
        <v>Styk1</v>
      </c>
      <c r="B20148" t="s">
        <v>5826</v>
      </c>
      <c r="C20148" t="s">
        <v>32</v>
      </c>
      <c r="D20148" t="s">
        <v>11</v>
      </c>
      <c r="E20148" t="s">
        <v>20</v>
      </c>
      <c r="F20148">
        <v>131313826</v>
      </c>
      <c r="G20148">
        <v>131313826</v>
      </c>
      <c r="H20148">
        <v>131313826</v>
      </c>
      <c r="I20148">
        <v>131313826</v>
      </c>
    </row>
    <row r="20149" spans="1:9" x14ac:dyDescent="0.2">
      <c r="A20149" t="str">
        <f>"Styx"</f>
        <v>Styx</v>
      </c>
      <c r="B20149" t="s">
        <v>14</v>
      </c>
      <c r="C20149" t="s">
        <v>41</v>
      </c>
      <c r="D20149" t="s">
        <v>17</v>
      </c>
      <c r="E20149" t="s">
        <v>12</v>
      </c>
      <c r="F20149">
        <v>45351177</v>
      </c>
      <c r="G20149">
        <v>45351209</v>
      </c>
      <c r="H20149">
        <v>45351151</v>
      </c>
      <c r="I20149">
        <v>45351166</v>
      </c>
    </row>
    <row r="20150" spans="1:9" x14ac:dyDescent="0.2">
      <c r="A20150" t="str">
        <f>"Styxl1"</f>
        <v>Styxl1</v>
      </c>
      <c r="B20150" t="s">
        <v>14</v>
      </c>
      <c r="C20150" t="s">
        <v>46</v>
      </c>
      <c r="D20150" t="s">
        <v>11</v>
      </c>
      <c r="E20150" t="s">
        <v>12</v>
      </c>
      <c r="F20150">
        <v>135778340</v>
      </c>
      <c r="G20150">
        <v>135778391</v>
      </c>
      <c r="H20150">
        <v>135778282</v>
      </c>
      <c r="I20150">
        <v>135778328</v>
      </c>
    </row>
    <row r="20151" spans="1:9" x14ac:dyDescent="0.2">
      <c r="A20151" t="str">
        <f>"Sub1"</f>
        <v>Sub1</v>
      </c>
      <c r="B20151" t="s">
        <v>14</v>
      </c>
      <c r="C20151" t="s">
        <v>25</v>
      </c>
      <c r="D20151" t="s">
        <v>11</v>
      </c>
      <c r="E20151" t="s">
        <v>12</v>
      </c>
      <c r="F20151">
        <v>11995998</v>
      </c>
      <c r="G20151">
        <v>11996014</v>
      </c>
      <c r="H20151">
        <v>11996944</v>
      </c>
      <c r="I20151">
        <v>11996962</v>
      </c>
    </row>
    <row r="20152" spans="1:9" x14ac:dyDescent="0.2">
      <c r="A20152" t="str">
        <f>"Sucla2"</f>
        <v>Sucla2</v>
      </c>
      <c r="B20152" t="s">
        <v>14</v>
      </c>
      <c r="C20152" t="s">
        <v>41</v>
      </c>
      <c r="D20152" t="s">
        <v>17</v>
      </c>
      <c r="E20152" t="s">
        <v>12</v>
      </c>
      <c r="F20152">
        <v>73552780</v>
      </c>
      <c r="G20152">
        <v>73552811</v>
      </c>
      <c r="H20152">
        <v>73552751</v>
      </c>
      <c r="I20152">
        <v>73552776</v>
      </c>
    </row>
    <row r="20153" spans="1:9" x14ac:dyDescent="0.2">
      <c r="A20153" t="str">
        <f>"Suclg1"</f>
        <v>Suclg1</v>
      </c>
      <c r="B20153" t="s">
        <v>9</v>
      </c>
      <c r="C20153" t="s">
        <v>32</v>
      </c>
      <c r="D20153" t="s">
        <v>17</v>
      </c>
      <c r="E20153" t="s">
        <v>12</v>
      </c>
      <c r="F20153">
        <v>73248633</v>
      </c>
      <c r="G20153">
        <v>73248695</v>
      </c>
      <c r="H20153">
        <v>73248633</v>
      </c>
      <c r="I20153">
        <v>73248695</v>
      </c>
    </row>
    <row r="20154" spans="1:9" x14ac:dyDescent="0.2">
      <c r="A20154" t="str">
        <f>"Suclg1"</f>
        <v>Suclg1</v>
      </c>
      <c r="B20154" t="s">
        <v>13</v>
      </c>
      <c r="C20154" t="s">
        <v>32</v>
      </c>
      <c r="D20154" t="s">
        <v>17</v>
      </c>
      <c r="E20154" t="s">
        <v>12</v>
      </c>
      <c r="F20154">
        <v>73260525</v>
      </c>
      <c r="G20154">
        <v>73260568</v>
      </c>
      <c r="H20154">
        <v>73260525</v>
      </c>
      <c r="I20154">
        <v>73260568</v>
      </c>
    </row>
    <row r="20155" spans="1:9" x14ac:dyDescent="0.2">
      <c r="A20155" t="str">
        <f>"Suclg2"</f>
        <v>Suclg2</v>
      </c>
      <c r="B20155" t="s">
        <v>14</v>
      </c>
      <c r="C20155" t="s">
        <v>32</v>
      </c>
      <c r="D20155" t="s">
        <v>11</v>
      </c>
      <c r="E20155" t="s">
        <v>12</v>
      </c>
      <c r="F20155">
        <v>95718800</v>
      </c>
      <c r="G20155">
        <v>95718832</v>
      </c>
      <c r="H20155">
        <v>95718772</v>
      </c>
      <c r="I20155">
        <v>95718794</v>
      </c>
    </row>
    <row r="20156" spans="1:9" x14ac:dyDescent="0.2">
      <c r="A20156" t="str">
        <f>"Sucnr1"</f>
        <v>Sucnr1</v>
      </c>
      <c r="B20156" t="s">
        <v>14</v>
      </c>
      <c r="C20156" t="s">
        <v>22</v>
      </c>
      <c r="D20156" t="s">
        <v>17</v>
      </c>
      <c r="E20156" t="s">
        <v>12</v>
      </c>
      <c r="F20156">
        <v>60081861</v>
      </c>
      <c r="G20156">
        <v>60081876</v>
      </c>
      <c r="H20156">
        <v>60081861</v>
      </c>
      <c r="I20156">
        <v>60081876</v>
      </c>
    </row>
    <row r="20157" spans="1:9" x14ac:dyDescent="0.2">
      <c r="A20157" t="str">
        <f>"Suco"</f>
        <v>Suco</v>
      </c>
      <c r="B20157" t="s">
        <v>14</v>
      </c>
      <c r="C20157" t="s">
        <v>19</v>
      </c>
      <c r="D20157" t="s">
        <v>11</v>
      </c>
      <c r="E20157" t="s">
        <v>67</v>
      </c>
      <c r="F20157">
        <v>161876656</v>
      </c>
      <c r="G20157">
        <v>161876682</v>
      </c>
      <c r="H20157">
        <v>161876834</v>
      </c>
      <c r="I20157">
        <v>161876854</v>
      </c>
    </row>
    <row r="20158" spans="1:9" x14ac:dyDescent="0.2">
      <c r="A20158" t="str">
        <f>"Suds3"</f>
        <v>Suds3</v>
      </c>
      <c r="B20158" t="s">
        <v>14</v>
      </c>
      <c r="C20158" t="s">
        <v>46</v>
      </c>
      <c r="D20158" t="s">
        <v>11</v>
      </c>
      <c r="E20158" t="s">
        <v>12</v>
      </c>
      <c r="F20158">
        <v>117115909</v>
      </c>
      <c r="G20158">
        <v>117115958</v>
      </c>
      <c r="H20158">
        <v>117115972</v>
      </c>
      <c r="I20158">
        <v>117116010</v>
      </c>
    </row>
    <row r="20159" spans="1:9" x14ac:dyDescent="0.2">
      <c r="A20159" t="str">
        <f>"Sufu"</f>
        <v>Sufu</v>
      </c>
      <c r="B20159" t="s">
        <v>14</v>
      </c>
      <c r="C20159" t="s">
        <v>10</v>
      </c>
      <c r="D20159" t="s">
        <v>17</v>
      </c>
      <c r="E20159" t="s">
        <v>12</v>
      </c>
      <c r="F20159">
        <v>46396885</v>
      </c>
      <c r="G20159">
        <v>46396999</v>
      </c>
      <c r="H20159">
        <v>46397009</v>
      </c>
      <c r="I20159">
        <v>46397033</v>
      </c>
    </row>
    <row r="20160" spans="1:9" x14ac:dyDescent="0.2">
      <c r="A20160" t="str">
        <f>"Sugp1"</f>
        <v>Sugp1</v>
      </c>
      <c r="B20160" t="s">
        <v>14</v>
      </c>
      <c r="C20160" t="s">
        <v>30</v>
      </c>
      <c r="D20160" t="s">
        <v>17</v>
      </c>
      <c r="E20160" t="s">
        <v>12</v>
      </c>
      <c r="F20160">
        <v>70043018</v>
      </c>
      <c r="G20160">
        <v>70043062</v>
      </c>
      <c r="H20160">
        <v>70042768</v>
      </c>
      <c r="I20160">
        <v>70042837</v>
      </c>
    </row>
    <row r="20161" spans="1:9" x14ac:dyDescent="0.2">
      <c r="A20161" t="str">
        <f>"Sugp2"</f>
        <v>Sugp2</v>
      </c>
      <c r="B20161" t="s">
        <v>14</v>
      </c>
      <c r="C20161" t="s">
        <v>30</v>
      </c>
      <c r="D20161" t="s">
        <v>17</v>
      </c>
      <c r="E20161" t="s">
        <v>12</v>
      </c>
      <c r="F20161">
        <v>70234187</v>
      </c>
      <c r="G20161">
        <v>70234228</v>
      </c>
      <c r="H20161">
        <v>70234532</v>
      </c>
      <c r="I20161">
        <v>70234608</v>
      </c>
    </row>
    <row r="20162" spans="1:9" x14ac:dyDescent="0.2">
      <c r="A20162" t="str">
        <f>"Sugt1"</f>
        <v>Sugt1</v>
      </c>
      <c r="B20162" t="s">
        <v>14</v>
      </c>
      <c r="C20162" t="s">
        <v>41</v>
      </c>
      <c r="D20162" t="s">
        <v>17</v>
      </c>
      <c r="E20162" t="s">
        <v>12</v>
      </c>
      <c r="F20162">
        <v>79587726</v>
      </c>
      <c r="G20162">
        <v>79587797</v>
      </c>
      <c r="H20162">
        <v>79587799</v>
      </c>
      <c r="I20162">
        <v>79587820</v>
      </c>
    </row>
    <row r="20163" spans="1:9" x14ac:dyDescent="0.2">
      <c r="A20163" t="str">
        <f>"Sulf1"</f>
        <v>Sulf1</v>
      </c>
      <c r="B20163" t="s">
        <v>14</v>
      </c>
      <c r="C20163" t="s">
        <v>19</v>
      </c>
      <c r="D20163" t="s">
        <v>17</v>
      </c>
      <c r="E20163" t="s">
        <v>12</v>
      </c>
      <c r="F20163">
        <v>12692489</v>
      </c>
      <c r="G20163">
        <v>12692539</v>
      </c>
      <c r="H20163">
        <v>12692433</v>
      </c>
      <c r="I20163">
        <v>12692485</v>
      </c>
    </row>
    <row r="20164" spans="1:9" x14ac:dyDescent="0.2">
      <c r="A20164" t="str">
        <f>"Sulf2"</f>
        <v>Sulf2</v>
      </c>
      <c r="B20164" t="s">
        <v>14</v>
      </c>
      <c r="C20164" t="s">
        <v>26</v>
      </c>
      <c r="D20164" t="s">
        <v>11</v>
      </c>
      <c r="E20164" t="s">
        <v>12</v>
      </c>
      <c r="F20164">
        <v>166155624</v>
      </c>
      <c r="G20164">
        <v>166155671</v>
      </c>
      <c r="H20164">
        <v>166154998</v>
      </c>
      <c r="I20164">
        <v>166155055</v>
      </c>
    </row>
    <row r="20165" spans="1:9" x14ac:dyDescent="0.2">
      <c r="A20165" t="str">
        <f>"Sult1a1"</f>
        <v>Sult1a1</v>
      </c>
      <c r="B20165" t="s">
        <v>14</v>
      </c>
      <c r="C20165" t="s">
        <v>33</v>
      </c>
      <c r="D20165" t="s">
        <v>11</v>
      </c>
      <c r="E20165" t="s">
        <v>12</v>
      </c>
      <c r="F20165">
        <v>126676366</v>
      </c>
      <c r="G20165">
        <v>126676383</v>
      </c>
      <c r="H20165">
        <v>126676366</v>
      </c>
      <c r="I20165">
        <v>126676383</v>
      </c>
    </row>
    <row r="20166" spans="1:9" x14ac:dyDescent="0.2">
      <c r="A20166" t="str">
        <f>"Sult1b1"</f>
        <v>Sult1b1</v>
      </c>
      <c r="B20166" t="s">
        <v>14</v>
      </c>
      <c r="C20166" t="s">
        <v>46</v>
      </c>
      <c r="D20166" t="s">
        <v>11</v>
      </c>
      <c r="E20166" t="s">
        <v>12</v>
      </c>
      <c r="F20166">
        <v>87535113</v>
      </c>
      <c r="G20166">
        <v>87535143</v>
      </c>
      <c r="H20166">
        <v>87535113</v>
      </c>
      <c r="I20166">
        <v>87535143</v>
      </c>
    </row>
    <row r="20167" spans="1:9" x14ac:dyDescent="0.2">
      <c r="A20167" t="str">
        <f>"Sult1c1"</f>
        <v>Sult1c1</v>
      </c>
      <c r="B20167" t="s">
        <v>14</v>
      </c>
      <c r="C20167" t="s">
        <v>28</v>
      </c>
      <c r="D20167" t="s">
        <v>11</v>
      </c>
      <c r="E20167" t="s">
        <v>12</v>
      </c>
      <c r="F20167">
        <v>53990629</v>
      </c>
      <c r="G20167">
        <v>53990675</v>
      </c>
      <c r="H20167">
        <v>53990629</v>
      </c>
      <c r="I20167">
        <v>53990675</v>
      </c>
    </row>
    <row r="20168" spans="1:9" x14ac:dyDescent="0.2">
      <c r="A20168" t="str">
        <f>"Sult1c2"</f>
        <v>Sult1c2</v>
      </c>
      <c r="B20168" t="s">
        <v>14</v>
      </c>
      <c r="C20168" t="s">
        <v>28</v>
      </c>
      <c r="D20168" t="s">
        <v>11</v>
      </c>
      <c r="E20168" t="s">
        <v>12</v>
      </c>
      <c r="F20168">
        <v>53845808</v>
      </c>
      <c r="G20168">
        <v>53845824</v>
      </c>
      <c r="H20168">
        <v>53845808</v>
      </c>
      <c r="I20168">
        <v>53845824</v>
      </c>
    </row>
    <row r="20169" spans="1:9" x14ac:dyDescent="0.2">
      <c r="A20169" t="str">
        <f>"Sult1d1"</f>
        <v>Sult1d1</v>
      </c>
      <c r="B20169" t="s">
        <v>14</v>
      </c>
      <c r="C20169" t="s">
        <v>46</v>
      </c>
      <c r="D20169" t="s">
        <v>11</v>
      </c>
      <c r="E20169" t="s">
        <v>12</v>
      </c>
      <c r="F20169">
        <v>87568890</v>
      </c>
      <c r="G20169">
        <v>87568908</v>
      </c>
      <c r="H20169">
        <v>87568982</v>
      </c>
      <c r="I20169">
        <v>87569002</v>
      </c>
    </row>
    <row r="20170" spans="1:9" x14ac:dyDescent="0.2">
      <c r="A20170" t="str">
        <f>"Sult1e1"</f>
        <v>Sult1e1</v>
      </c>
      <c r="B20170" t="s">
        <v>14</v>
      </c>
      <c r="C20170" t="s">
        <v>46</v>
      </c>
      <c r="D20170" t="s">
        <v>11</v>
      </c>
      <c r="E20170" t="s">
        <v>12</v>
      </c>
      <c r="F20170">
        <v>87591582</v>
      </c>
      <c r="G20170">
        <v>87591602</v>
      </c>
      <c r="H20170">
        <v>87591567</v>
      </c>
      <c r="I20170">
        <v>87591578</v>
      </c>
    </row>
    <row r="20171" spans="1:9" x14ac:dyDescent="0.2">
      <c r="A20171" t="str">
        <f>"Sult2a1"</f>
        <v>Sult2a1</v>
      </c>
      <c r="B20171" t="s">
        <v>14</v>
      </c>
      <c r="C20171" t="s">
        <v>33</v>
      </c>
      <c r="D20171" t="s">
        <v>11</v>
      </c>
      <c r="E20171" t="s">
        <v>12</v>
      </c>
      <c r="F20171">
        <v>13837410</v>
      </c>
      <c r="G20171">
        <v>13837411</v>
      </c>
      <c r="H20171">
        <v>13837410</v>
      </c>
      <c r="I20171">
        <v>13837411</v>
      </c>
    </row>
    <row r="20172" spans="1:9" x14ac:dyDescent="0.2">
      <c r="A20172" t="str">
        <f>"Sult2a2"</f>
        <v>Sult2a2</v>
      </c>
      <c r="B20172" t="s">
        <v>14</v>
      </c>
      <c r="C20172" t="s">
        <v>33</v>
      </c>
      <c r="D20172" t="s">
        <v>17</v>
      </c>
      <c r="E20172" t="s">
        <v>12</v>
      </c>
      <c r="F20172">
        <v>13733502</v>
      </c>
      <c r="G20172">
        <v>13733504</v>
      </c>
      <c r="H20172">
        <v>13733502</v>
      </c>
      <c r="I20172">
        <v>13733504</v>
      </c>
    </row>
    <row r="20173" spans="1:9" x14ac:dyDescent="0.2">
      <c r="A20173" t="str">
        <f>"Sult2a3"</f>
        <v>Sult2a3</v>
      </c>
      <c r="B20173" t="s">
        <v>14</v>
      </c>
      <c r="C20173" t="s">
        <v>33</v>
      </c>
      <c r="D20173" t="s">
        <v>11</v>
      </c>
      <c r="E20173" t="s">
        <v>12</v>
      </c>
      <c r="F20173">
        <v>14123042</v>
      </c>
      <c r="G20173">
        <v>14123053</v>
      </c>
      <c r="H20173">
        <v>14123072</v>
      </c>
      <c r="I20173">
        <v>14123075</v>
      </c>
    </row>
    <row r="20174" spans="1:9" x14ac:dyDescent="0.2">
      <c r="A20174" t="str">
        <f>"Sult2a4"</f>
        <v>Sult2a4</v>
      </c>
      <c r="B20174" t="s">
        <v>5827</v>
      </c>
      <c r="C20174" t="s">
        <v>33</v>
      </c>
      <c r="D20174" t="s">
        <v>11</v>
      </c>
      <c r="E20174" t="s">
        <v>20</v>
      </c>
      <c r="F20174">
        <v>13989596</v>
      </c>
      <c r="G20174">
        <v>13989596</v>
      </c>
      <c r="H20174">
        <v>13989596</v>
      </c>
      <c r="I20174">
        <v>13989596</v>
      </c>
    </row>
    <row r="20175" spans="1:9" x14ac:dyDescent="0.2">
      <c r="A20175" t="str">
        <f>"Sult2a5"</f>
        <v>Sult2a5</v>
      </c>
      <c r="B20175" t="s">
        <v>14</v>
      </c>
      <c r="C20175" t="s">
        <v>33</v>
      </c>
      <c r="D20175" t="s">
        <v>17</v>
      </c>
      <c r="E20175" t="s">
        <v>12</v>
      </c>
      <c r="F20175">
        <v>13623983</v>
      </c>
      <c r="G20175">
        <v>13624001</v>
      </c>
      <c r="H20175">
        <v>13623973</v>
      </c>
      <c r="I20175">
        <v>13623982</v>
      </c>
    </row>
    <row r="20176" spans="1:9" x14ac:dyDescent="0.2">
      <c r="A20176" t="str">
        <f>"Sult2a6"</f>
        <v>Sult2a6</v>
      </c>
      <c r="B20176" t="s">
        <v>14</v>
      </c>
      <c r="C20176" t="s">
        <v>33</v>
      </c>
      <c r="D20176" t="s">
        <v>11</v>
      </c>
      <c r="E20176" t="s">
        <v>12</v>
      </c>
      <c r="F20176">
        <v>14254884</v>
      </c>
      <c r="G20176">
        <v>14254890</v>
      </c>
      <c r="H20176">
        <v>14254884</v>
      </c>
      <c r="I20176">
        <v>14254890</v>
      </c>
    </row>
    <row r="20177" spans="1:9" x14ac:dyDescent="0.2">
      <c r="A20177" t="str">
        <f>"Sult2a7"</f>
        <v>Sult2a7</v>
      </c>
      <c r="B20177" t="s">
        <v>14</v>
      </c>
      <c r="C20177" t="s">
        <v>33</v>
      </c>
      <c r="D20177" t="s">
        <v>11</v>
      </c>
      <c r="E20177" t="s">
        <v>67</v>
      </c>
      <c r="F20177">
        <v>14493017</v>
      </c>
      <c r="G20177">
        <v>14493041</v>
      </c>
      <c r="H20177">
        <v>14493017</v>
      </c>
      <c r="I20177">
        <v>14493041</v>
      </c>
    </row>
    <row r="20178" spans="1:9" x14ac:dyDescent="0.2">
      <c r="A20178" t="str">
        <f>"Sult2b1"</f>
        <v>Sult2b1</v>
      </c>
      <c r="B20178" t="s">
        <v>14</v>
      </c>
      <c r="C20178" t="s">
        <v>33</v>
      </c>
      <c r="D20178" t="s">
        <v>11</v>
      </c>
      <c r="E20178" t="s">
        <v>12</v>
      </c>
      <c r="F20178">
        <v>45759497</v>
      </c>
      <c r="G20178">
        <v>45759511</v>
      </c>
      <c r="H20178">
        <v>45759527</v>
      </c>
      <c r="I20178">
        <v>45759538</v>
      </c>
    </row>
    <row r="20179" spans="1:9" x14ac:dyDescent="0.2">
      <c r="A20179" t="str">
        <f>"Sult3a1"</f>
        <v>Sult3a1</v>
      </c>
      <c r="B20179" t="s">
        <v>14</v>
      </c>
      <c r="C20179" t="s">
        <v>15</v>
      </c>
      <c r="D20179" t="s">
        <v>17</v>
      </c>
      <c r="E20179" t="s">
        <v>12</v>
      </c>
      <c r="F20179">
        <v>33857710</v>
      </c>
      <c r="G20179">
        <v>33857713</v>
      </c>
      <c r="H20179">
        <v>33857710</v>
      </c>
      <c r="I20179">
        <v>33857713</v>
      </c>
    </row>
    <row r="20180" spans="1:9" x14ac:dyDescent="0.2">
      <c r="A20180" t="str">
        <f>"Sult4a1"</f>
        <v>Sult4a1</v>
      </c>
      <c r="B20180" t="s">
        <v>14</v>
      </c>
      <c r="C20180" t="s">
        <v>25</v>
      </c>
      <c r="D20180" t="s">
        <v>11</v>
      </c>
      <c r="E20180" t="s">
        <v>12</v>
      </c>
      <c r="F20180">
        <v>84105599</v>
      </c>
      <c r="G20180">
        <v>84105658</v>
      </c>
      <c r="H20180">
        <v>84105662</v>
      </c>
      <c r="I20180">
        <v>84105674</v>
      </c>
    </row>
    <row r="20181" spans="1:9" x14ac:dyDescent="0.2">
      <c r="A20181" t="str">
        <f>"Sult5a1"</f>
        <v>Sult5a1</v>
      </c>
      <c r="B20181" t="s">
        <v>14</v>
      </c>
      <c r="C20181" t="s">
        <v>30</v>
      </c>
      <c r="D20181" t="s">
        <v>11</v>
      </c>
      <c r="E20181" t="s">
        <v>12</v>
      </c>
      <c r="F20181">
        <v>123158268</v>
      </c>
      <c r="G20181">
        <v>123158295</v>
      </c>
      <c r="H20181">
        <v>123158229</v>
      </c>
      <c r="I20181">
        <v>123158264</v>
      </c>
    </row>
    <row r="20182" spans="1:9" x14ac:dyDescent="0.2">
      <c r="A20182" t="str">
        <f>"Sult6b1"</f>
        <v>Sult6b1</v>
      </c>
      <c r="B20182" t="s">
        <v>5828</v>
      </c>
      <c r="C20182" t="s">
        <v>28</v>
      </c>
      <c r="D20182" t="s">
        <v>11</v>
      </c>
      <c r="E20182" t="s">
        <v>20</v>
      </c>
      <c r="F20182">
        <v>78906991</v>
      </c>
      <c r="G20182">
        <v>78906991</v>
      </c>
      <c r="H20182">
        <v>78906991</v>
      </c>
      <c r="I20182">
        <v>78906991</v>
      </c>
    </row>
    <row r="20183" spans="1:9" x14ac:dyDescent="0.2">
      <c r="A20183" t="str">
        <f>"Sumf1"</f>
        <v>Sumf1</v>
      </c>
      <c r="B20183" t="s">
        <v>14</v>
      </c>
      <c r="C20183" t="s">
        <v>32</v>
      </c>
      <c r="D20183" t="s">
        <v>11</v>
      </c>
      <c r="E20183" t="s">
        <v>12</v>
      </c>
      <c r="F20183">
        <v>108185552</v>
      </c>
      <c r="G20183">
        <v>108185587</v>
      </c>
      <c r="H20183">
        <v>108185552</v>
      </c>
      <c r="I20183">
        <v>108185587</v>
      </c>
    </row>
    <row r="20184" spans="1:9" x14ac:dyDescent="0.2">
      <c r="A20184" t="str">
        <f>"Sumf2"</f>
        <v>Sumf2</v>
      </c>
      <c r="B20184" t="s">
        <v>14</v>
      </c>
      <c r="C20184" t="s">
        <v>46</v>
      </c>
      <c r="D20184" t="s">
        <v>17</v>
      </c>
      <c r="E20184" t="s">
        <v>12</v>
      </c>
      <c r="F20184">
        <v>129846980</v>
      </c>
      <c r="G20184">
        <v>129847036</v>
      </c>
      <c r="H20184">
        <v>129846980</v>
      </c>
      <c r="I20184">
        <v>129847036</v>
      </c>
    </row>
    <row r="20185" spans="1:9" x14ac:dyDescent="0.2">
      <c r="A20185" t="str">
        <f>"Sumo1"</f>
        <v>Sumo1</v>
      </c>
      <c r="B20185" t="s">
        <v>14</v>
      </c>
      <c r="C20185" t="s">
        <v>19</v>
      </c>
      <c r="D20185" t="s">
        <v>11</v>
      </c>
      <c r="E20185" t="s">
        <v>12</v>
      </c>
      <c r="F20185">
        <v>59670776</v>
      </c>
      <c r="G20185">
        <v>59670810</v>
      </c>
      <c r="H20185">
        <v>59670812</v>
      </c>
      <c r="I20185">
        <v>59670830</v>
      </c>
    </row>
    <row r="20186" spans="1:9" x14ac:dyDescent="0.2">
      <c r="A20186" t="str">
        <f>"Sumo2"</f>
        <v>Sumo2</v>
      </c>
      <c r="B20186" t="s">
        <v>14</v>
      </c>
      <c r="C20186" t="s">
        <v>27</v>
      </c>
      <c r="D20186" t="s">
        <v>11</v>
      </c>
      <c r="E20186" t="s">
        <v>12</v>
      </c>
      <c r="F20186">
        <v>115536236</v>
      </c>
      <c r="G20186">
        <v>115536267</v>
      </c>
      <c r="H20186">
        <v>115535804</v>
      </c>
      <c r="I20186">
        <v>115535863</v>
      </c>
    </row>
    <row r="20187" spans="1:9" x14ac:dyDescent="0.2">
      <c r="A20187" t="str">
        <f>"Sumo3"</f>
        <v>Sumo3</v>
      </c>
      <c r="B20187" t="s">
        <v>14</v>
      </c>
      <c r="C20187" t="s">
        <v>15</v>
      </c>
      <c r="D20187" t="s">
        <v>17</v>
      </c>
      <c r="E20187" t="s">
        <v>12</v>
      </c>
      <c r="F20187">
        <v>77606217</v>
      </c>
      <c r="G20187">
        <v>77606240</v>
      </c>
      <c r="H20187">
        <v>77606244</v>
      </c>
      <c r="I20187">
        <v>77606255</v>
      </c>
    </row>
    <row r="20188" spans="1:9" x14ac:dyDescent="0.2">
      <c r="A20188" t="str">
        <f>"Sun1"</f>
        <v>Sun1</v>
      </c>
      <c r="B20188" t="s">
        <v>14</v>
      </c>
      <c r="C20188" t="s">
        <v>46</v>
      </c>
      <c r="D20188" t="s">
        <v>17</v>
      </c>
      <c r="E20188" t="s">
        <v>12</v>
      </c>
      <c r="F20188">
        <v>139200631</v>
      </c>
      <c r="G20188">
        <v>139200678</v>
      </c>
      <c r="H20188">
        <v>139200631</v>
      </c>
      <c r="I20188">
        <v>139200678</v>
      </c>
    </row>
    <row r="20189" spans="1:9" x14ac:dyDescent="0.2">
      <c r="A20189" t="str">
        <f>"Sun2"</f>
        <v>Sun2</v>
      </c>
      <c r="B20189" t="s">
        <v>14</v>
      </c>
      <c r="C20189" t="s">
        <v>25</v>
      </c>
      <c r="D20189" t="s">
        <v>11</v>
      </c>
      <c r="E20189" t="s">
        <v>12</v>
      </c>
      <c r="F20189">
        <v>79742493</v>
      </c>
      <c r="G20189">
        <v>79742511</v>
      </c>
      <c r="H20189">
        <v>79742518</v>
      </c>
      <c r="I20189">
        <v>79742562</v>
      </c>
    </row>
    <row r="20190" spans="1:9" x14ac:dyDescent="0.2">
      <c r="A20190" t="str">
        <f>"Sun3"</f>
        <v>Sun3</v>
      </c>
      <c r="B20190" t="s">
        <v>9</v>
      </c>
      <c r="C20190" t="s">
        <v>27</v>
      </c>
      <c r="D20190" t="s">
        <v>11</v>
      </c>
      <c r="E20190" t="s">
        <v>12</v>
      </c>
      <c r="F20190">
        <v>9039585</v>
      </c>
      <c r="G20190">
        <v>9039601</v>
      </c>
      <c r="H20190">
        <v>9039585</v>
      </c>
      <c r="I20190">
        <v>9039601</v>
      </c>
    </row>
    <row r="20191" spans="1:9" x14ac:dyDescent="0.2">
      <c r="A20191" t="str">
        <f>"Sun3"</f>
        <v>Sun3</v>
      </c>
      <c r="B20191" t="s">
        <v>13</v>
      </c>
      <c r="C20191" t="s">
        <v>27</v>
      </c>
      <c r="D20191" t="s">
        <v>11</v>
      </c>
      <c r="E20191" t="s">
        <v>12</v>
      </c>
      <c r="F20191">
        <v>9048977</v>
      </c>
      <c r="G20191">
        <v>9048996</v>
      </c>
      <c r="H20191">
        <v>9048977</v>
      </c>
      <c r="I20191">
        <v>9048996</v>
      </c>
    </row>
    <row r="20192" spans="1:9" x14ac:dyDescent="0.2">
      <c r="A20192" t="str">
        <f>"Sun5"</f>
        <v>Sun5</v>
      </c>
      <c r="B20192" t="s">
        <v>14</v>
      </c>
      <c r="C20192" t="s">
        <v>26</v>
      </c>
      <c r="D20192" t="s">
        <v>11</v>
      </c>
      <c r="E20192" t="s">
        <v>12</v>
      </c>
      <c r="F20192">
        <v>153871076</v>
      </c>
      <c r="G20192">
        <v>153871104</v>
      </c>
      <c r="H20192">
        <v>153871076</v>
      </c>
      <c r="I20192">
        <v>153871104</v>
      </c>
    </row>
    <row r="20193" spans="1:9" x14ac:dyDescent="0.2">
      <c r="A20193" t="str">
        <f>"Suox"</f>
        <v>Suox</v>
      </c>
      <c r="B20193" t="s">
        <v>14</v>
      </c>
      <c r="C20193" t="s">
        <v>15</v>
      </c>
      <c r="D20193" t="s">
        <v>11</v>
      </c>
      <c r="E20193" t="s">
        <v>12</v>
      </c>
      <c r="F20193">
        <v>128673869</v>
      </c>
      <c r="G20193">
        <v>128673888</v>
      </c>
      <c r="H20193">
        <v>128673896</v>
      </c>
      <c r="I20193">
        <v>128673925</v>
      </c>
    </row>
    <row r="20194" spans="1:9" x14ac:dyDescent="0.2">
      <c r="A20194" t="str">
        <f>"Supt16"</f>
        <v>Supt16</v>
      </c>
      <c r="B20194" t="s">
        <v>14</v>
      </c>
      <c r="C20194" t="s">
        <v>41</v>
      </c>
      <c r="D20194" t="s">
        <v>11</v>
      </c>
      <c r="E20194" t="s">
        <v>67</v>
      </c>
      <c r="F20194">
        <v>52197216</v>
      </c>
      <c r="G20194">
        <v>52197267</v>
      </c>
      <c r="H20194">
        <v>52197182</v>
      </c>
      <c r="I20194">
        <v>52197207</v>
      </c>
    </row>
    <row r="20195" spans="1:9" x14ac:dyDescent="0.2">
      <c r="A20195" t="str">
        <f>"Supt20"</f>
        <v>Supt20</v>
      </c>
      <c r="B20195" t="s">
        <v>14</v>
      </c>
      <c r="C20195" t="s">
        <v>22</v>
      </c>
      <c r="D20195" t="s">
        <v>17</v>
      </c>
      <c r="E20195" t="s">
        <v>67</v>
      </c>
      <c r="F20195">
        <v>54692805</v>
      </c>
      <c r="G20195">
        <v>54692836</v>
      </c>
      <c r="H20195">
        <v>54692849</v>
      </c>
      <c r="I20195">
        <v>54692868</v>
      </c>
    </row>
    <row r="20196" spans="1:9" x14ac:dyDescent="0.2">
      <c r="A20196" t="str">
        <f>"Supt3"</f>
        <v>Supt3</v>
      </c>
      <c r="B20196" t="s">
        <v>14</v>
      </c>
      <c r="C20196" t="s">
        <v>28</v>
      </c>
      <c r="D20196" t="s">
        <v>17</v>
      </c>
      <c r="E20196" t="s">
        <v>67</v>
      </c>
      <c r="F20196">
        <v>44777200</v>
      </c>
      <c r="G20196">
        <v>44777276</v>
      </c>
      <c r="H20196">
        <v>44777294</v>
      </c>
      <c r="I20196">
        <v>44777333</v>
      </c>
    </row>
    <row r="20197" spans="1:9" x14ac:dyDescent="0.2">
      <c r="A20197" t="str">
        <f>"Supt4a"</f>
        <v>Supt4a</v>
      </c>
      <c r="B20197" t="s">
        <v>14</v>
      </c>
      <c r="C20197" t="s">
        <v>27</v>
      </c>
      <c r="D20197" t="s">
        <v>17</v>
      </c>
      <c r="E20197" t="s">
        <v>67</v>
      </c>
      <c r="F20197">
        <v>87737530</v>
      </c>
      <c r="G20197">
        <v>87737566</v>
      </c>
      <c r="H20197">
        <v>87737576</v>
      </c>
      <c r="I20197">
        <v>87737593</v>
      </c>
    </row>
    <row r="20198" spans="1:9" x14ac:dyDescent="0.2">
      <c r="A20198" t="str">
        <f>"Supt5"</f>
        <v>Supt5</v>
      </c>
      <c r="B20198" t="s">
        <v>14</v>
      </c>
      <c r="C20198" t="s">
        <v>33</v>
      </c>
      <c r="D20198" t="s">
        <v>11</v>
      </c>
      <c r="E20198" t="s">
        <v>67</v>
      </c>
      <c r="F20198">
        <v>28338722</v>
      </c>
      <c r="G20198">
        <v>28338784</v>
      </c>
      <c r="H20198">
        <v>28338704</v>
      </c>
      <c r="I20198">
        <v>28338715</v>
      </c>
    </row>
    <row r="20199" spans="1:9" x14ac:dyDescent="0.2">
      <c r="A20199" t="str">
        <f>"Supt6"</f>
        <v>Supt6</v>
      </c>
      <c r="B20199" t="s">
        <v>14</v>
      </c>
      <c r="C20199" t="s">
        <v>27</v>
      </c>
      <c r="D20199" t="s">
        <v>11</v>
      </c>
      <c r="E20199" t="s">
        <v>67</v>
      </c>
      <c r="F20199">
        <v>78245674</v>
      </c>
      <c r="G20199">
        <v>78245716</v>
      </c>
      <c r="H20199">
        <v>78245942</v>
      </c>
      <c r="I20199">
        <v>78245977</v>
      </c>
    </row>
    <row r="20200" spans="1:9" x14ac:dyDescent="0.2">
      <c r="A20200" t="str">
        <f>"Supt7l"</f>
        <v>Supt7l</v>
      </c>
      <c r="B20200" t="s">
        <v>14</v>
      </c>
      <c r="C20200" t="s">
        <v>46</v>
      </c>
      <c r="D20200" t="s">
        <v>11</v>
      </c>
      <c r="E20200" t="s">
        <v>12</v>
      </c>
      <c r="F20200">
        <v>31526693</v>
      </c>
      <c r="G20200">
        <v>31526747</v>
      </c>
      <c r="H20200">
        <v>31526666</v>
      </c>
      <c r="I20200">
        <v>31526684</v>
      </c>
    </row>
    <row r="20201" spans="1:9" x14ac:dyDescent="0.2">
      <c r="A20201" t="str">
        <f>"Supv3l1"</f>
        <v>Supv3l1</v>
      </c>
      <c r="B20201" t="s">
        <v>14</v>
      </c>
      <c r="C20201" t="s">
        <v>15</v>
      </c>
      <c r="D20201" t="s">
        <v>11</v>
      </c>
      <c r="E20201" t="s">
        <v>12</v>
      </c>
      <c r="F20201">
        <v>62449679</v>
      </c>
      <c r="G20201">
        <v>62449733</v>
      </c>
      <c r="H20201">
        <v>62449738</v>
      </c>
      <c r="I20201">
        <v>62449757</v>
      </c>
    </row>
    <row r="20202" spans="1:9" x14ac:dyDescent="0.2">
      <c r="A20202" t="str">
        <f>"Surf1"</f>
        <v>Surf1</v>
      </c>
      <c r="B20202" t="s">
        <v>14</v>
      </c>
      <c r="C20202" t="s">
        <v>26</v>
      </c>
      <c r="D20202" t="s">
        <v>11</v>
      </c>
      <c r="E20202" t="s">
        <v>12</v>
      </c>
      <c r="F20202">
        <v>26916323</v>
      </c>
      <c r="G20202">
        <v>26916365</v>
      </c>
      <c r="H20202">
        <v>26916505</v>
      </c>
      <c r="I20202">
        <v>26916551</v>
      </c>
    </row>
    <row r="20203" spans="1:9" x14ac:dyDescent="0.2">
      <c r="A20203" t="str">
        <f>"Surf2"</f>
        <v>Surf2</v>
      </c>
      <c r="B20203" t="s">
        <v>14</v>
      </c>
      <c r="C20203" t="s">
        <v>26</v>
      </c>
      <c r="D20203" t="s">
        <v>17</v>
      </c>
      <c r="E20203" t="s">
        <v>12</v>
      </c>
      <c r="F20203">
        <v>26916400</v>
      </c>
      <c r="G20203">
        <v>26916421</v>
      </c>
      <c r="H20203">
        <v>26916360</v>
      </c>
      <c r="I20203">
        <v>26916396</v>
      </c>
    </row>
    <row r="20204" spans="1:9" x14ac:dyDescent="0.2">
      <c r="A20204" t="str">
        <f>"Surf4"</f>
        <v>Surf4</v>
      </c>
      <c r="B20204" t="s">
        <v>14</v>
      </c>
      <c r="C20204" t="s">
        <v>26</v>
      </c>
      <c r="D20204" t="s">
        <v>11</v>
      </c>
      <c r="E20204" t="s">
        <v>12</v>
      </c>
      <c r="F20204">
        <v>26933403</v>
      </c>
      <c r="G20204">
        <v>26933467</v>
      </c>
      <c r="H20204">
        <v>26933355</v>
      </c>
      <c r="I20204">
        <v>26933396</v>
      </c>
    </row>
    <row r="20205" spans="1:9" x14ac:dyDescent="0.2">
      <c r="A20205" t="str">
        <f>"Surf6"</f>
        <v>Surf6</v>
      </c>
      <c r="B20205" t="s">
        <v>14</v>
      </c>
      <c r="C20205" t="s">
        <v>26</v>
      </c>
      <c r="D20205" t="s">
        <v>11</v>
      </c>
      <c r="E20205" t="s">
        <v>12</v>
      </c>
      <c r="F20205">
        <v>26902829</v>
      </c>
      <c r="G20205">
        <v>26902906</v>
      </c>
      <c r="H20205">
        <v>26902785</v>
      </c>
      <c r="I20205">
        <v>26902828</v>
      </c>
    </row>
    <row r="20206" spans="1:9" x14ac:dyDescent="0.2">
      <c r="A20206" t="str">
        <f>"Susd1"</f>
        <v>Susd1</v>
      </c>
      <c r="B20206" t="s">
        <v>14</v>
      </c>
      <c r="C20206" t="s">
        <v>23</v>
      </c>
      <c r="D20206" t="s">
        <v>11</v>
      </c>
      <c r="E20206" t="s">
        <v>12</v>
      </c>
      <c r="F20206">
        <v>59438345</v>
      </c>
      <c r="G20206">
        <v>59438426</v>
      </c>
      <c r="H20206">
        <v>59438650</v>
      </c>
      <c r="I20206">
        <v>59438677</v>
      </c>
    </row>
    <row r="20207" spans="1:9" x14ac:dyDescent="0.2">
      <c r="A20207" t="str">
        <f>"Susd2"</f>
        <v>Susd2</v>
      </c>
      <c r="B20207" t="s">
        <v>14</v>
      </c>
      <c r="C20207" t="s">
        <v>15</v>
      </c>
      <c r="D20207" t="s">
        <v>11</v>
      </c>
      <c r="E20207" t="s">
        <v>12</v>
      </c>
      <c r="F20207">
        <v>75643971</v>
      </c>
      <c r="G20207">
        <v>75643986</v>
      </c>
      <c r="H20207">
        <v>75643971</v>
      </c>
      <c r="I20207">
        <v>75643986</v>
      </c>
    </row>
    <row r="20208" spans="1:9" x14ac:dyDescent="0.2">
      <c r="A20208" t="str">
        <f>"Susd3"</f>
        <v>Susd3</v>
      </c>
      <c r="B20208" t="s">
        <v>14</v>
      </c>
      <c r="C20208" t="s">
        <v>39</v>
      </c>
      <c r="D20208" t="s">
        <v>11</v>
      </c>
      <c r="E20208" t="s">
        <v>12</v>
      </c>
      <c r="F20208">
        <v>49248146</v>
      </c>
      <c r="G20208">
        <v>49248168</v>
      </c>
      <c r="H20208">
        <v>49248120</v>
      </c>
      <c r="I20208">
        <v>49248140</v>
      </c>
    </row>
    <row r="20209" spans="1:9" x14ac:dyDescent="0.2">
      <c r="A20209" t="str">
        <f>"Susd4"</f>
        <v>Susd4</v>
      </c>
      <c r="B20209" t="s">
        <v>14</v>
      </c>
      <c r="C20209" t="s">
        <v>19</v>
      </c>
      <c r="D20209" t="s">
        <v>17</v>
      </c>
      <c r="E20209" t="s">
        <v>12</v>
      </c>
      <c r="F20209">
        <v>182764194</v>
      </c>
      <c r="G20209">
        <v>182764316</v>
      </c>
      <c r="H20209">
        <v>182763961</v>
      </c>
      <c r="I20209">
        <v>182764014</v>
      </c>
    </row>
    <row r="20210" spans="1:9" x14ac:dyDescent="0.2">
      <c r="A20210" t="str">
        <f>"Susd5"</f>
        <v>Susd5</v>
      </c>
      <c r="B20210" t="s">
        <v>14</v>
      </c>
      <c r="C20210" t="s">
        <v>24</v>
      </c>
      <c r="D20210" t="s">
        <v>17</v>
      </c>
      <c r="E20210" t="s">
        <v>12</v>
      </c>
      <c r="F20210">
        <v>114057458</v>
      </c>
      <c r="G20210">
        <v>114057479</v>
      </c>
      <c r="H20210">
        <v>114057428</v>
      </c>
      <c r="I20210">
        <v>114057449</v>
      </c>
    </row>
    <row r="20211" spans="1:9" x14ac:dyDescent="0.2">
      <c r="A20211" t="str">
        <f>"Suv39h1"</f>
        <v>Suv39h1</v>
      </c>
      <c r="B20211" t="s">
        <v>14</v>
      </c>
      <c r="C20211" t="s">
        <v>37</v>
      </c>
      <c r="D20211" t="s">
        <v>11</v>
      </c>
      <c r="E20211" t="s">
        <v>12</v>
      </c>
      <c r="F20211">
        <v>8074570</v>
      </c>
      <c r="G20211">
        <v>8074626</v>
      </c>
      <c r="H20211">
        <v>8074244</v>
      </c>
      <c r="I20211">
        <v>8074327</v>
      </c>
    </row>
    <row r="20212" spans="1:9" x14ac:dyDescent="0.2">
      <c r="A20212" t="str">
        <f>"Suv39h2"</f>
        <v>Suv39h2</v>
      </c>
      <c r="B20212" t="s">
        <v>14</v>
      </c>
      <c r="C20212" t="s">
        <v>26</v>
      </c>
      <c r="D20212" t="s">
        <v>11</v>
      </c>
      <c r="E20212" t="s">
        <v>12</v>
      </c>
      <c r="F20212">
        <v>3474954</v>
      </c>
      <c r="G20212">
        <v>3474975</v>
      </c>
      <c r="H20212">
        <v>3475027</v>
      </c>
      <c r="I20212">
        <v>3475086</v>
      </c>
    </row>
    <row r="20213" spans="1:9" x14ac:dyDescent="0.2">
      <c r="A20213" t="str">
        <f>"Suv420h1"</f>
        <v>Suv420h1</v>
      </c>
      <c r="B20213" t="s">
        <v>14</v>
      </c>
      <c r="C20213" t="s">
        <v>10</v>
      </c>
      <c r="D20213" t="s">
        <v>17</v>
      </c>
      <c r="E20213" t="s">
        <v>12</v>
      </c>
      <c r="F20213">
        <v>3768112</v>
      </c>
      <c r="G20213">
        <v>3768207</v>
      </c>
      <c r="H20213">
        <v>3767867</v>
      </c>
      <c r="I20213">
        <v>3767921</v>
      </c>
    </row>
    <row r="20214" spans="1:9" x14ac:dyDescent="0.2">
      <c r="A20214" t="str">
        <f>"Suv420h2"</f>
        <v>Suv420h2</v>
      </c>
      <c r="B20214" t="s">
        <v>14</v>
      </c>
      <c r="C20214" t="s">
        <v>33</v>
      </c>
      <c r="D20214" t="s">
        <v>17</v>
      </c>
      <c r="E20214" t="s">
        <v>12</v>
      </c>
      <c r="F20214">
        <v>4740137</v>
      </c>
      <c r="G20214">
        <v>4740175</v>
      </c>
      <c r="H20214">
        <v>4740178</v>
      </c>
      <c r="I20214">
        <v>4740206</v>
      </c>
    </row>
    <row r="20215" spans="1:9" x14ac:dyDescent="0.2">
      <c r="A20215" t="str">
        <f>"Suz12"</f>
        <v>Suz12</v>
      </c>
      <c r="B20215" t="s">
        <v>14</v>
      </c>
      <c r="C20215" t="s">
        <v>27</v>
      </c>
      <c r="D20215" t="s">
        <v>17</v>
      </c>
      <c r="E20215" t="s">
        <v>12</v>
      </c>
      <c r="F20215">
        <v>79993062</v>
      </c>
      <c r="G20215">
        <v>79993122</v>
      </c>
      <c r="H20215">
        <v>79993192</v>
      </c>
      <c r="I20215">
        <v>79993232</v>
      </c>
    </row>
    <row r="20216" spans="1:9" x14ac:dyDescent="0.2">
      <c r="A20216" t="str">
        <f>"Sv2a"</f>
        <v>Sv2a</v>
      </c>
      <c r="B20216" t="s">
        <v>14</v>
      </c>
      <c r="C20216" t="s">
        <v>22</v>
      </c>
      <c r="D20216" t="s">
        <v>17</v>
      </c>
      <c r="E20216" t="s">
        <v>12</v>
      </c>
      <c r="F20216">
        <v>96181178</v>
      </c>
      <c r="G20216">
        <v>96181233</v>
      </c>
      <c r="H20216">
        <v>96181156</v>
      </c>
      <c r="I20216">
        <v>96181167</v>
      </c>
    </row>
    <row r="20217" spans="1:9" x14ac:dyDescent="0.2">
      <c r="A20217" t="str">
        <f>"Sv2b"</f>
        <v>Sv2b</v>
      </c>
      <c r="B20217" t="s">
        <v>14</v>
      </c>
      <c r="C20217" t="s">
        <v>33</v>
      </c>
      <c r="D20217" t="s">
        <v>11</v>
      </c>
      <c r="E20217" t="s">
        <v>12</v>
      </c>
      <c r="F20217">
        <v>75308279</v>
      </c>
      <c r="G20217">
        <v>75308338</v>
      </c>
      <c r="H20217">
        <v>75309154</v>
      </c>
      <c r="I20217">
        <v>75309172</v>
      </c>
    </row>
    <row r="20218" spans="1:9" x14ac:dyDescent="0.2">
      <c r="A20218" t="str">
        <f>"Sv2c"</f>
        <v>Sv2c</v>
      </c>
      <c r="B20218" t="s">
        <v>14</v>
      </c>
      <c r="C20218" t="s">
        <v>39</v>
      </c>
      <c r="D20218" t="s">
        <v>11</v>
      </c>
      <c r="E20218" t="s">
        <v>12</v>
      </c>
      <c r="F20218">
        <v>96132568</v>
      </c>
      <c r="G20218">
        <v>96132628</v>
      </c>
      <c r="H20218">
        <v>96132543</v>
      </c>
      <c r="I20218">
        <v>96132567</v>
      </c>
    </row>
    <row r="20219" spans="1:9" x14ac:dyDescent="0.2">
      <c r="A20219" t="str">
        <f>"Sva"</f>
        <v>Sva</v>
      </c>
      <c r="B20219" t="s">
        <v>14</v>
      </c>
      <c r="C20219" t="s">
        <v>32</v>
      </c>
      <c r="D20219" t="s">
        <v>17</v>
      </c>
      <c r="E20219" t="s">
        <v>12</v>
      </c>
      <c r="F20219">
        <v>42038374</v>
      </c>
      <c r="G20219">
        <v>42038400</v>
      </c>
      <c r="H20219">
        <v>42038374</v>
      </c>
      <c r="I20219">
        <v>42038400</v>
      </c>
    </row>
    <row r="20220" spans="1:9" x14ac:dyDescent="0.2">
      <c r="A20220" t="str">
        <f>"Sval1"</f>
        <v>Sval1</v>
      </c>
      <c r="B20220" t="s">
        <v>14</v>
      </c>
      <c r="C20220" t="s">
        <v>32</v>
      </c>
      <c r="D20220" t="s">
        <v>17</v>
      </c>
      <c r="E20220" t="s">
        <v>12</v>
      </c>
      <c r="F20220">
        <v>41951625</v>
      </c>
      <c r="G20220">
        <v>41951629</v>
      </c>
      <c r="H20220">
        <v>41951625</v>
      </c>
      <c r="I20220">
        <v>41951629</v>
      </c>
    </row>
    <row r="20221" spans="1:9" x14ac:dyDescent="0.2">
      <c r="A20221" t="str">
        <f>"Sval2"</f>
        <v>Sval2</v>
      </c>
      <c r="B20221" t="s">
        <v>14</v>
      </c>
      <c r="C20221" t="s">
        <v>32</v>
      </c>
      <c r="D20221" t="s">
        <v>17</v>
      </c>
      <c r="E20221" t="s">
        <v>12</v>
      </c>
      <c r="F20221">
        <v>41860305</v>
      </c>
      <c r="G20221">
        <v>41860308</v>
      </c>
      <c r="H20221">
        <v>41860305</v>
      </c>
      <c r="I20221">
        <v>41860308</v>
      </c>
    </row>
    <row r="20222" spans="1:9" x14ac:dyDescent="0.2">
      <c r="A20222" t="str">
        <f>"Sval3"</f>
        <v>Sval3</v>
      </c>
      <c r="B20222" t="s">
        <v>5829</v>
      </c>
      <c r="C20222" t="s">
        <v>32</v>
      </c>
      <c r="D20222" t="s">
        <v>17</v>
      </c>
      <c r="E20222" t="s">
        <v>20</v>
      </c>
      <c r="F20222">
        <v>41968139</v>
      </c>
      <c r="G20222">
        <v>41968139</v>
      </c>
      <c r="H20222">
        <v>41968139</v>
      </c>
      <c r="I20222">
        <v>41968139</v>
      </c>
    </row>
    <row r="20223" spans="1:9" x14ac:dyDescent="0.2">
      <c r="A20223" t="str">
        <f>"Svep1"</f>
        <v>Svep1</v>
      </c>
      <c r="B20223" t="s">
        <v>14</v>
      </c>
      <c r="C20223" t="s">
        <v>23</v>
      </c>
      <c r="D20223" t="s">
        <v>11</v>
      </c>
      <c r="E20223" t="s">
        <v>12</v>
      </c>
      <c r="F20223">
        <v>58206558</v>
      </c>
      <c r="G20223">
        <v>58206575</v>
      </c>
      <c r="H20223">
        <v>58206599</v>
      </c>
      <c r="I20223">
        <v>58206616</v>
      </c>
    </row>
    <row r="20224" spans="1:9" x14ac:dyDescent="0.2">
      <c r="A20224" t="str">
        <f>"Svil"</f>
        <v>Svil</v>
      </c>
      <c r="B20224" t="s">
        <v>14</v>
      </c>
      <c r="C20224" t="s">
        <v>43</v>
      </c>
      <c r="D20224" t="s">
        <v>17</v>
      </c>
      <c r="E20224" t="s">
        <v>12</v>
      </c>
      <c r="F20224">
        <v>4920509</v>
      </c>
      <c r="G20224">
        <v>4920586</v>
      </c>
      <c r="H20224">
        <v>4920623</v>
      </c>
      <c r="I20224">
        <v>4920642</v>
      </c>
    </row>
    <row r="20225" spans="1:9" x14ac:dyDescent="0.2">
      <c r="A20225" t="str">
        <f>"Svip"</f>
        <v>Svip</v>
      </c>
      <c r="B20225" t="s">
        <v>14</v>
      </c>
      <c r="C20225" t="s">
        <v>33</v>
      </c>
      <c r="D20225" t="s">
        <v>11</v>
      </c>
      <c r="E20225" t="s">
        <v>12</v>
      </c>
      <c r="F20225">
        <v>52005792</v>
      </c>
      <c r="G20225">
        <v>52005872</v>
      </c>
      <c r="H20225">
        <v>52005678</v>
      </c>
      <c r="I20225">
        <v>52005719</v>
      </c>
    </row>
    <row r="20226" spans="1:9" x14ac:dyDescent="0.2">
      <c r="A20226" t="str">
        <f>"Svop"</f>
        <v>Svop</v>
      </c>
      <c r="B20226" t="s">
        <v>14</v>
      </c>
      <c r="C20226" t="s">
        <v>46</v>
      </c>
      <c r="D20226" t="s">
        <v>11</v>
      </c>
      <c r="E20226" t="s">
        <v>12</v>
      </c>
      <c r="F20226">
        <v>114091358</v>
      </c>
      <c r="G20226">
        <v>114091404</v>
      </c>
      <c r="H20226">
        <v>114091298</v>
      </c>
      <c r="I20226">
        <v>114091324</v>
      </c>
    </row>
    <row r="20227" spans="1:9" x14ac:dyDescent="0.2">
      <c r="A20227" t="str">
        <f>"Svopl"</f>
        <v>Svopl</v>
      </c>
      <c r="B20227" t="s">
        <v>9</v>
      </c>
      <c r="C20227" t="s">
        <v>32</v>
      </c>
      <c r="D20227" t="s">
        <v>11</v>
      </c>
      <c r="E20227" t="s">
        <v>12</v>
      </c>
      <c r="F20227">
        <v>38046994</v>
      </c>
      <c r="G20227">
        <v>38046998</v>
      </c>
      <c r="H20227">
        <v>38046994</v>
      </c>
      <c r="I20227">
        <v>38046998</v>
      </c>
    </row>
    <row r="20228" spans="1:9" x14ac:dyDescent="0.2">
      <c r="A20228" t="str">
        <f>"Svopl"</f>
        <v>Svopl</v>
      </c>
      <c r="B20228" t="s">
        <v>13</v>
      </c>
      <c r="C20228" t="s">
        <v>32</v>
      </c>
      <c r="D20228" t="s">
        <v>11</v>
      </c>
      <c r="E20228" t="s">
        <v>12</v>
      </c>
      <c r="F20228">
        <v>38023281</v>
      </c>
      <c r="G20228">
        <v>38023292</v>
      </c>
      <c r="H20228">
        <v>38023281</v>
      </c>
      <c r="I20228">
        <v>38023292</v>
      </c>
    </row>
    <row r="20229" spans="1:9" x14ac:dyDescent="0.2">
      <c r="A20229" t="str">
        <f>"Svs1"</f>
        <v>Svs1</v>
      </c>
      <c r="B20229" t="s">
        <v>14</v>
      </c>
      <c r="C20229" t="s">
        <v>32</v>
      </c>
      <c r="D20229" t="s">
        <v>17</v>
      </c>
      <c r="E20229" t="s">
        <v>12</v>
      </c>
      <c r="F20229">
        <v>48986896</v>
      </c>
      <c r="G20229">
        <v>48986912</v>
      </c>
      <c r="H20229">
        <v>48986896</v>
      </c>
      <c r="I20229">
        <v>48986912</v>
      </c>
    </row>
    <row r="20230" spans="1:9" x14ac:dyDescent="0.2">
      <c r="A20230" t="str">
        <f>"Svs2"</f>
        <v>Svs2</v>
      </c>
      <c r="B20230" t="s">
        <v>14</v>
      </c>
      <c r="C20230" t="s">
        <v>26</v>
      </c>
      <c r="D20230" t="s">
        <v>11</v>
      </c>
      <c r="E20230" t="s">
        <v>12</v>
      </c>
      <c r="F20230">
        <v>164238258</v>
      </c>
      <c r="G20230">
        <v>164238273</v>
      </c>
      <c r="H20230">
        <v>164238292</v>
      </c>
      <c r="I20230">
        <v>164238296</v>
      </c>
    </row>
    <row r="20231" spans="1:9" x14ac:dyDescent="0.2">
      <c r="A20231" t="str">
        <f>"Svs3a"</f>
        <v>Svs3a</v>
      </c>
      <c r="B20231" t="s">
        <v>14</v>
      </c>
      <c r="C20231" t="s">
        <v>26</v>
      </c>
      <c r="D20231" t="s">
        <v>17</v>
      </c>
      <c r="E20231" t="s">
        <v>12</v>
      </c>
      <c r="F20231">
        <v>164289261</v>
      </c>
      <c r="G20231">
        <v>164289273</v>
      </c>
      <c r="H20231">
        <v>164289197</v>
      </c>
      <c r="I20231">
        <v>164289207</v>
      </c>
    </row>
    <row r="20232" spans="1:9" x14ac:dyDescent="0.2">
      <c r="A20232" t="str">
        <f>"Svs3b"</f>
        <v>Svs3b</v>
      </c>
      <c r="B20232" t="s">
        <v>14</v>
      </c>
      <c r="C20232" t="s">
        <v>26</v>
      </c>
      <c r="D20232" t="s">
        <v>11</v>
      </c>
      <c r="E20232" t="s">
        <v>12</v>
      </c>
      <c r="F20232">
        <v>164256638</v>
      </c>
      <c r="G20232">
        <v>164256643</v>
      </c>
      <c r="H20232">
        <v>164256705</v>
      </c>
      <c r="I20232">
        <v>164256711</v>
      </c>
    </row>
    <row r="20233" spans="1:9" x14ac:dyDescent="0.2">
      <c r="A20233" t="str">
        <f>"Svs4"</f>
        <v>Svs4</v>
      </c>
      <c r="B20233" t="s">
        <v>14</v>
      </c>
      <c r="C20233" t="s">
        <v>26</v>
      </c>
      <c r="D20233" t="s">
        <v>11</v>
      </c>
      <c r="E20233" t="s">
        <v>12</v>
      </c>
      <c r="F20233">
        <v>164278300</v>
      </c>
      <c r="G20233">
        <v>164278312</v>
      </c>
      <c r="H20233">
        <v>164278300</v>
      </c>
      <c r="I20233">
        <v>164278312</v>
      </c>
    </row>
    <row r="20234" spans="1:9" x14ac:dyDescent="0.2">
      <c r="A20234" t="str">
        <f>"Svs5"</f>
        <v>Svs5</v>
      </c>
      <c r="B20234" t="s">
        <v>14</v>
      </c>
      <c r="C20234" t="s">
        <v>26</v>
      </c>
      <c r="D20234" t="s">
        <v>17</v>
      </c>
      <c r="E20234" t="s">
        <v>12</v>
      </c>
      <c r="F20234">
        <v>164332759</v>
      </c>
      <c r="G20234">
        <v>164332776</v>
      </c>
      <c r="H20234">
        <v>164333295</v>
      </c>
      <c r="I20234">
        <v>164333326</v>
      </c>
    </row>
    <row r="20235" spans="1:9" x14ac:dyDescent="0.2">
      <c r="A20235" t="str">
        <f>"Svs6"</f>
        <v>Svs6</v>
      </c>
      <c r="B20235" t="s">
        <v>14</v>
      </c>
      <c r="C20235" t="s">
        <v>26</v>
      </c>
      <c r="D20235" t="s">
        <v>17</v>
      </c>
      <c r="E20235" t="s">
        <v>12</v>
      </c>
      <c r="F20235">
        <v>164316730</v>
      </c>
      <c r="G20235">
        <v>164316756</v>
      </c>
      <c r="H20235">
        <v>164316730</v>
      </c>
      <c r="I20235">
        <v>164316756</v>
      </c>
    </row>
    <row r="20236" spans="1:9" x14ac:dyDescent="0.2">
      <c r="A20236" t="str">
        <f>"Swap70"</f>
        <v>Swap70</v>
      </c>
      <c r="B20236" t="s">
        <v>14</v>
      </c>
      <c r="C20236" t="s">
        <v>33</v>
      </c>
      <c r="D20236" t="s">
        <v>17</v>
      </c>
      <c r="E20236" t="s">
        <v>12</v>
      </c>
      <c r="F20236">
        <v>110221742</v>
      </c>
      <c r="G20236">
        <v>110221766</v>
      </c>
      <c r="H20236">
        <v>110221724</v>
      </c>
      <c r="I20236">
        <v>110221739</v>
      </c>
    </row>
    <row r="20237" spans="1:9" x14ac:dyDescent="0.2">
      <c r="A20237" t="str">
        <f>"Swi5"</f>
        <v>Swi5</v>
      </c>
      <c r="B20237" t="s">
        <v>14</v>
      </c>
      <c r="C20237" t="s">
        <v>26</v>
      </c>
      <c r="D20237" t="s">
        <v>11</v>
      </c>
      <c r="E20237" t="s">
        <v>12</v>
      </c>
      <c r="F20237">
        <v>32288022</v>
      </c>
      <c r="G20237">
        <v>32288042</v>
      </c>
      <c r="H20237">
        <v>32288001</v>
      </c>
      <c r="I20237">
        <v>32288017</v>
      </c>
    </row>
    <row r="20238" spans="1:9" x14ac:dyDescent="0.2">
      <c r="A20238" t="str">
        <f>"Swsap1"</f>
        <v>Swsap1</v>
      </c>
      <c r="B20238" t="s">
        <v>14</v>
      </c>
      <c r="C20238" t="s">
        <v>24</v>
      </c>
      <c r="D20238" t="s">
        <v>17</v>
      </c>
      <c r="E20238" t="s">
        <v>67</v>
      </c>
      <c r="F20238">
        <v>21955747</v>
      </c>
      <c r="G20238">
        <v>21955769</v>
      </c>
      <c r="H20238">
        <v>21955747</v>
      </c>
      <c r="I20238">
        <v>21955769</v>
      </c>
    </row>
    <row r="20239" spans="1:9" x14ac:dyDescent="0.2">
      <c r="A20239" t="str">
        <f>"Swt1"</f>
        <v>Swt1</v>
      </c>
      <c r="B20239" t="s">
        <v>14</v>
      </c>
      <c r="C20239" t="s">
        <v>19</v>
      </c>
      <c r="D20239" t="s">
        <v>11</v>
      </c>
      <c r="E20239" t="s">
        <v>67</v>
      </c>
      <c r="F20239">
        <v>151428324</v>
      </c>
      <c r="G20239">
        <v>151428401</v>
      </c>
      <c r="H20239">
        <v>151428440</v>
      </c>
      <c r="I20239">
        <v>151428474</v>
      </c>
    </row>
    <row r="20240" spans="1:9" x14ac:dyDescent="0.2">
      <c r="A20240" t="str">
        <f>"Syap1"</f>
        <v>Syap1</v>
      </c>
      <c r="B20240" t="s">
        <v>14</v>
      </c>
      <c r="C20240" t="s">
        <v>37</v>
      </c>
      <c r="D20240" t="s">
        <v>11</v>
      </c>
      <c r="E20240" t="s">
        <v>12</v>
      </c>
      <c r="F20240">
        <v>162888374</v>
      </c>
      <c r="G20240">
        <v>162888401</v>
      </c>
      <c r="H20240">
        <v>162888426</v>
      </c>
      <c r="I20240">
        <v>162888473</v>
      </c>
    </row>
    <row r="20241" spans="1:9" x14ac:dyDescent="0.2">
      <c r="A20241" t="str">
        <f>"Sybu"</f>
        <v>Sybu</v>
      </c>
      <c r="B20241" t="s">
        <v>14</v>
      </c>
      <c r="C20241" t="s">
        <v>25</v>
      </c>
      <c r="D20241" t="s">
        <v>11</v>
      </c>
      <c r="E20241" t="s">
        <v>12</v>
      </c>
      <c r="F20241">
        <v>44752180</v>
      </c>
      <c r="G20241">
        <v>44752239</v>
      </c>
      <c r="H20241">
        <v>44752180</v>
      </c>
      <c r="I20241">
        <v>44752239</v>
      </c>
    </row>
    <row r="20242" spans="1:9" x14ac:dyDescent="0.2">
      <c r="A20242" t="str">
        <f>"Syce1"</f>
        <v>Syce1</v>
      </c>
      <c r="B20242" t="s">
        <v>14</v>
      </c>
      <c r="C20242" t="s">
        <v>33</v>
      </c>
      <c r="D20242" t="s">
        <v>11</v>
      </c>
      <c r="E20242" t="s">
        <v>12</v>
      </c>
      <c r="F20242">
        <v>140787826</v>
      </c>
      <c r="G20242">
        <v>140787872</v>
      </c>
      <c r="H20242">
        <v>140787826</v>
      </c>
      <c r="I20242">
        <v>140787872</v>
      </c>
    </row>
    <row r="20243" spans="1:9" x14ac:dyDescent="0.2">
      <c r="A20243" t="str">
        <f>"Syce1l"</f>
        <v>Syce1l</v>
      </c>
      <c r="B20243" t="s">
        <v>14</v>
      </c>
      <c r="C20243" t="s">
        <v>30</v>
      </c>
      <c r="D20243" t="s">
        <v>17</v>
      </c>
      <c r="E20243" t="s">
        <v>12</v>
      </c>
      <c r="F20243">
        <v>113643206</v>
      </c>
      <c r="G20243">
        <v>113643231</v>
      </c>
      <c r="H20243">
        <v>113643178</v>
      </c>
      <c r="I20243">
        <v>113643197</v>
      </c>
    </row>
    <row r="20244" spans="1:9" x14ac:dyDescent="0.2">
      <c r="A20244" t="str">
        <f>"Syce2"</f>
        <v>Syce2</v>
      </c>
      <c r="B20244" t="s">
        <v>14</v>
      </c>
      <c r="C20244" t="s">
        <v>30</v>
      </c>
      <c r="D20244" t="s">
        <v>17</v>
      </c>
      <c r="E20244" t="s">
        <v>12</v>
      </c>
      <c r="F20244">
        <v>84872187</v>
      </c>
      <c r="G20244">
        <v>84872241</v>
      </c>
      <c r="H20244">
        <v>84872105</v>
      </c>
      <c r="I20244">
        <v>84872112</v>
      </c>
    </row>
    <row r="20245" spans="1:9" x14ac:dyDescent="0.2">
      <c r="A20245" t="str">
        <f>"Syce3"</f>
        <v>Syce3</v>
      </c>
      <c r="B20245" t="s">
        <v>14</v>
      </c>
      <c r="C20245" t="s">
        <v>25</v>
      </c>
      <c r="D20245" t="s">
        <v>11</v>
      </c>
      <c r="E20245" t="s">
        <v>12</v>
      </c>
      <c r="F20245">
        <v>89410230</v>
      </c>
      <c r="G20245">
        <v>89410271</v>
      </c>
      <c r="H20245">
        <v>89410230</v>
      </c>
      <c r="I20245">
        <v>89410271</v>
      </c>
    </row>
    <row r="20246" spans="1:9" x14ac:dyDescent="0.2">
      <c r="A20246" t="str">
        <f>"Sycn"</f>
        <v>Sycn</v>
      </c>
      <c r="B20246" t="s">
        <v>14</v>
      </c>
      <c r="C20246" t="s">
        <v>33</v>
      </c>
      <c r="D20246" t="s">
        <v>17</v>
      </c>
      <c r="E20246" t="s">
        <v>12</v>
      </c>
      <c r="F20246">
        <v>28540863</v>
      </c>
      <c r="G20246">
        <v>28540886</v>
      </c>
      <c r="H20246">
        <v>28540894</v>
      </c>
      <c r="I20246">
        <v>28540906</v>
      </c>
    </row>
    <row r="20247" spans="1:9" x14ac:dyDescent="0.2">
      <c r="A20247" t="str">
        <f>"Sycp1"</f>
        <v>Sycp1</v>
      </c>
      <c r="B20247" t="s">
        <v>14</v>
      </c>
      <c r="C20247" t="s">
        <v>22</v>
      </c>
      <c r="D20247" t="s">
        <v>11</v>
      </c>
      <c r="E20247" t="s">
        <v>12</v>
      </c>
      <c r="F20247">
        <v>102936093</v>
      </c>
      <c r="G20247">
        <v>102936107</v>
      </c>
      <c r="H20247">
        <v>102936093</v>
      </c>
      <c r="I20247">
        <v>102936107</v>
      </c>
    </row>
    <row r="20248" spans="1:9" x14ac:dyDescent="0.2">
      <c r="A20248" t="str">
        <f>"Sycp2"</f>
        <v>Sycp2</v>
      </c>
      <c r="B20248" t="s">
        <v>14</v>
      </c>
      <c r="C20248" t="s">
        <v>26</v>
      </c>
      <c r="D20248" t="s">
        <v>11</v>
      </c>
      <c r="E20248" t="s">
        <v>12</v>
      </c>
      <c r="F20248">
        <v>178407449</v>
      </c>
      <c r="G20248">
        <v>178407470</v>
      </c>
      <c r="H20248">
        <v>178407481</v>
      </c>
      <c r="I20248">
        <v>178407498</v>
      </c>
    </row>
    <row r="20249" spans="1:9" x14ac:dyDescent="0.2">
      <c r="A20249" t="str">
        <f>"Sycp2l"</f>
        <v>Sycp2l</v>
      </c>
      <c r="B20249" t="s">
        <v>14</v>
      </c>
      <c r="C20249" t="s">
        <v>39</v>
      </c>
      <c r="D20249" t="s">
        <v>17</v>
      </c>
      <c r="E20249" t="s">
        <v>67</v>
      </c>
      <c r="F20249">
        <v>41113895</v>
      </c>
      <c r="G20249">
        <v>41113918</v>
      </c>
      <c r="H20249">
        <v>41113895</v>
      </c>
      <c r="I20249">
        <v>41113918</v>
      </c>
    </row>
    <row r="20250" spans="1:9" x14ac:dyDescent="0.2">
      <c r="A20250" t="str">
        <f>"Sycp3"</f>
        <v>Sycp3</v>
      </c>
      <c r="B20250" t="s">
        <v>14</v>
      </c>
      <c r="C20250" t="s">
        <v>15</v>
      </c>
      <c r="D20250" t="s">
        <v>17</v>
      </c>
      <c r="E20250" t="s">
        <v>12</v>
      </c>
      <c r="F20250">
        <v>88459656</v>
      </c>
      <c r="G20250">
        <v>88459670</v>
      </c>
      <c r="H20250">
        <v>88459656</v>
      </c>
      <c r="I20250">
        <v>88459670</v>
      </c>
    </row>
    <row r="20251" spans="1:9" x14ac:dyDescent="0.2">
      <c r="A20251" t="str">
        <f>"Syde1"</f>
        <v>Syde1</v>
      </c>
      <c r="B20251" t="s">
        <v>14</v>
      </c>
      <c r="C20251" t="s">
        <v>15</v>
      </c>
      <c r="D20251" t="s">
        <v>11</v>
      </c>
      <c r="E20251" t="s">
        <v>12</v>
      </c>
      <c r="F20251">
        <v>78591887</v>
      </c>
      <c r="G20251">
        <v>78591934</v>
      </c>
      <c r="H20251">
        <v>78591935</v>
      </c>
      <c r="I20251">
        <v>78591942</v>
      </c>
    </row>
    <row r="20252" spans="1:9" x14ac:dyDescent="0.2">
      <c r="A20252" t="str">
        <f>"Syde2"</f>
        <v>Syde2</v>
      </c>
      <c r="B20252" t="s">
        <v>14</v>
      </c>
      <c r="C20252" t="s">
        <v>22</v>
      </c>
      <c r="D20252" t="s">
        <v>17</v>
      </c>
      <c r="E20252" t="s">
        <v>12</v>
      </c>
      <c r="F20252">
        <v>145987835</v>
      </c>
      <c r="G20252">
        <v>145987901</v>
      </c>
      <c r="H20252">
        <v>145987967</v>
      </c>
      <c r="I20252">
        <v>145987995</v>
      </c>
    </row>
    <row r="20253" spans="1:9" x14ac:dyDescent="0.2">
      <c r="A20253" t="str">
        <f>"Syf2"</f>
        <v>Syf2</v>
      </c>
      <c r="B20253" t="s">
        <v>14</v>
      </c>
      <c r="C20253" t="s">
        <v>23</v>
      </c>
      <c r="D20253" t="s">
        <v>17</v>
      </c>
      <c r="E20253" t="s">
        <v>12</v>
      </c>
      <c r="F20253">
        <v>134930946</v>
      </c>
      <c r="G20253">
        <v>134930997</v>
      </c>
      <c r="H20253">
        <v>134930946</v>
      </c>
      <c r="I20253">
        <v>134930997</v>
      </c>
    </row>
    <row r="20254" spans="1:9" x14ac:dyDescent="0.2">
      <c r="A20254" t="str">
        <f>"Syk"</f>
        <v>Syk</v>
      </c>
      <c r="B20254" t="s">
        <v>9</v>
      </c>
      <c r="C20254" t="s">
        <v>39</v>
      </c>
      <c r="D20254" t="s">
        <v>17</v>
      </c>
      <c r="E20254" t="s">
        <v>12</v>
      </c>
      <c r="F20254">
        <v>52596861</v>
      </c>
      <c r="G20254">
        <v>52596911</v>
      </c>
      <c r="H20254">
        <v>52596861</v>
      </c>
      <c r="I20254">
        <v>52596911</v>
      </c>
    </row>
    <row r="20255" spans="1:9" x14ac:dyDescent="0.2">
      <c r="A20255" t="str">
        <f>"Syk"</f>
        <v>Syk</v>
      </c>
      <c r="B20255" t="s">
        <v>13</v>
      </c>
      <c r="C20255" t="s">
        <v>39</v>
      </c>
      <c r="D20255" t="s">
        <v>17</v>
      </c>
      <c r="E20255" t="s">
        <v>12</v>
      </c>
      <c r="F20255">
        <v>52583124</v>
      </c>
      <c r="G20255">
        <v>52583181</v>
      </c>
      <c r="H20255">
        <v>52583124</v>
      </c>
      <c r="I20255">
        <v>52583181</v>
      </c>
    </row>
    <row r="20256" spans="1:9" x14ac:dyDescent="0.2">
      <c r="A20256" t="str">
        <f>"Sympk"</f>
        <v>Sympk</v>
      </c>
      <c r="B20256" t="s">
        <v>14</v>
      </c>
      <c r="C20256" t="s">
        <v>33</v>
      </c>
      <c r="D20256" t="s">
        <v>17</v>
      </c>
      <c r="E20256" t="s">
        <v>12</v>
      </c>
      <c r="F20256">
        <v>19024387</v>
      </c>
      <c r="G20256">
        <v>19024439</v>
      </c>
      <c r="H20256">
        <v>19024364</v>
      </c>
      <c r="I20256">
        <v>19024385</v>
      </c>
    </row>
    <row r="20257" spans="1:9" x14ac:dyDescent="0.2">
      <c r="A20257" t="str">
        <f>"Syn1"</f>
        <v>Syn1</v>
      </c>
      <c r="B20257" t="s">
        <v>14</v>
      </c>
      <c r="C20257" t="s">
        <v>37</v>
      </c>
      <c r="D20257" t="s">
        <v>11</v>
      </c>
      <c r="E20257" t="s">
        <v>12</v>
      </c>
      <c r="F20257">
        <v>20920911</v>
      </c>
      <c r="G20257">
        <v>20920927</v>
      </c>
      <c r="H20257">
        <v>20920911</v>
      </c>
      <c r="I20257">
        <v>20920927</v>
      </c>
    </row>
    <row r="20258" spans="1:9" x14ac:dyDescent="0.2">
      <c r="A20258" t="str">
        <f>"Syn2"</f>
        <v>Syn2</v>
      </c>
      <c r="B20258" t="s">
        <v>14</v>
      </c>
      <c r="C20258" t="s">
        <v>32</v>
      </c>
      <c r="D20258" t="s">
        <v>17</v>
      </c>
      <c r="E20258" t="s">
        <v>12</v>
      </c>
      <c r="F20258">
        <v>115134899</v>
      </c>
      <c r="G20258">
        <v>115134982</v>
      </c>
      <c r="H20258">
        <v>115134990</v>
      </c>
      <c r="I20258">
        <v>115134993</v>
      </c>
    </row>
    <row r="20259" spans="1:9" x14ac:dyDescent="0.2">
      <c r="A20259" t="str">
        <f>"Syn3"</f>
        <v>Syn3</v>
      </c>
      <c r="B20259" t="s">
        <v>14</v>
      </c>
      <c r="C20259" t="s">
        <v>15</v>
      </c>
      <c r="D20259" t="s">
        <v>11</v>
      </c>
      <c r="E20259" t="s">
        <v>12</v>
      </c>
      <c r="F20259">
        <v>86498872</v>
      </c>
      <c r="G20259">
        <v>86498909</v>
      </c>
      <c r="H20259">
        <v>86498836</v>
      </c>
      <c r="I20259">
        <v>86498858</v>
      </c>
    </row>
    <row r="20260" spans="1:9" x14ac:dyDescent="0.2">
      <c r="A20260" t="str">
        <f>"Syna"</f>
        <v>Syna</v>
      </c>
      <c r="B20260" t="s">
        <v>5830</v>
      </c>
      <c r="C20260" t="s">
        <v>46</v>
      </c>
      <c r="D20260" t="s">
        <v>11</v>
      </c>
      <c r="E20260" t="s">
        <v>20</v>
      </c>
      <c r="F20260">
        <v>134560170</v>
      </c>
      <c r="G20260">
        <v>134560170</v>
      </c>
      <c r="H20260">
        <v>134560170</v>
      </c>
      <c r="I20260">
        <v>134560170</v>
      </c>
    </row>
    <row r="20261" spans="1:9" x14ac:dyDescent="0.2">
      <c r="A20261" t="str">
        <f>"Synb"</f>
        <v>Synb</v>
      </c>
      <c r="B20261" t="s">
        <v>5831</v>
      </c>
      <c r="C20261" t="s">
        <v>41</v>
      </c>
      <c r="D20261" t="s">
        <v>11</v>
      </c>
      <c r="E20261" t="s">
        <v>20</v>
      </c>
      <c r="F20261">
        <v>69294298</v>
      </c>
      <c r="G20261">
        <v>69294298</v>
      </c>
      <c r="H20261">
        <v>69294298</v>
      </c>
      <c r="I20261">
        <v>69294298</v>
      </c>
    </row>
    <row r="20262" spans="1:9" x14ac:dyDescent="0.2">
      <c r="A20262" t="str">
        <f>"Sync"</f>
        <v>Sync</v>
      </c>
      <c r="B20262" t="s">
        <v>14</v>
      </c>
      <c r="C20262" t="s">
        <v>23</v>
      </c>
      <c r="D20262" t="s">
        <v>17</v>
      </c>
      <c r="E20262" t="s">
        <v>12</v>
      </c>
      <c r="F20262">
        <v>129287614</v>
      </c>
      <c r="G20262">
        <v>129287644</v>
      </c>
      <c r="H20262">
        <v>129287646</v>
      </c>
      <c r="I20262">
        <v>129287666</v>
      </c>
    </row>
    <row r="20263" spans="1:9" x14ac:dyDescent="0.2">
      <c r="A20263" t="str">
        <f>"Syncrip"</f>
        <v>Syncrip</v>
      </c>
      <c r="B20263" t="s">
        <v>14</v>
      </c>
      <c r="C20263" t="s">
        <v>24</v>
      </c>
      <c r="D20263" t="s">
        <v>11</v>
      </c>
      <c r="E20263" t="s">
        <v>12</v>
      </c>
      <c r="F20263">
        <v>88482532</v>
      </c>
      <c r="G20263">
        <v>88482587</v>
      </c>
      <c r="H20263">
        <v>88482593</v>
      </c>
      <c r="I20263">
        <v>88482600</v>
      </c>
    </row>
    <row r="20264" spans="1:9" x14ac:dyDescent="0.2">
      <c r="A20264" t="str">
        <f>"Syndig1"</f>
        <v>Syndig1</v>
      </c>
      <c r="B20264" t="s">
        <v>14</v>
      </c>
      <c r="C20264" t="s">
        <v>26</v>
      </c>
      <c r="D20264" t="s">
        <v>17</v>
      </c>
      <c r="E20264" t="s">
        <v>67</v>
      </c>
      <c r="F20264">
        <v>149830840</v>
      </c>
      <c r="G20264">
        <v>149830879</v>
      </c>
      <c r="H20264">
        <v>149830813</v>
      </c>
      <c r="I20264">
        <v>149830831</v>
      </c>
    </row>
    <row r="20265" spans="1:9" x14ac:dyDescent="0.2">
      <c r="A20265" t="str">
        <f>"Syndig1l"</f>
        <v>Syndig1l</v>
      </c>
      <c r="B20265" t="s">
        <v>14</v>
      </c>
      <c r="C20265" t="s">
        <v>16</v>
      </c>
      <c r="D20265" t="s">
        <v>11</v>
      </c>
      <c r="E20265" t="s">
        <v>67</v>
      </c>
      <c r="F20265">
        <v>84698862</v>
      </c>
      <c r="G20265">
        <v>84698909</v>
      </c>
      <c r="H20265">
        <v>84698769</v>
      </c>
      <c r="I20265">
        <v>84698819</v>
      </c>
    </row>
    <row r="20266" spans="1:9" x14ac:dyDescent="0.2">
      <c r="A20266" t="str">
        <f>"Syne1"</f>
        <v>Syne1</v>
      </c>
      <c r="B20266" t="s">
        <v>5832</v>
      </c>
      <c r="C20266" t="s">
        <v>15</v>
      </c>
      <c r="D20266" t="s">
        <v>11</v>
      </c>
      <c r="E20266" t="s">
        <v>35</v>
      </c>
      <c r="F20266">
        <v>5550798</v>
      </c>
      <c r="G20266">
        <v>5550807</v>
      </c>
      <c r="H20266">
        <v>5550549</v>
      </c>
      <c r="I20266">
        <v>5550562</v>
      </c>
    </row>
    <row r="20267" spans="1:9" x14ac:dyDescent="0.2">
      <c r="A20267" t="str">
        <f>"Syne2"</f>
        <v>Syne2</v>
      </c>
      <c r="B20267" t="s">
        <v>14</v>
      </c>
      <c r="C20267" t="s">
        <v>16</v>
      </c>
      <c r="D20267" t="s">
        <v>17</v>
      </c>
      <c r="E20267" t="s">
        <v>12</v>
      </c>
      <c r="F20267">
        <v>75818294</v>
      </c>
      <c r="G20267">
        <v>75818356</v>
      </c>
      <c r="H20267">
        <v>75818294</v>
      </c>
      <c r="I20267">
        <v>75818356</v>
      </c>
    </row>
    <row r="20268" spans="1:9" x14ac:dyDescent="0.2">
      <c r="A20268" t="str">
        <f>"Syne3"</f>
        <v>Syne3</v>
      </c>
      <c r="B20268" t="s">
        <v>5833</v>
      </c>
      <c r="C20268" t="s">
        <v>16</v>
      </c>
      <c r="D20268" t="s">
        <v>11</v>
      </c>
      <c r="E20268" t="s">
        <v>20</v>
      </c>
      <c r="F20268">
        <v>104998676</v>
      </c>
      <c r="G20268">
        <v>104998676</v>
      </c>
      <c r="H20268">
        <v>104998676</v>
      </c>
      <c r="I20268">
        <v>104998676</v>
      </c>
    </row>
    <row r="20269" spans="1:9" x14ac:dyDescent="0.2">
      <c r="A20269" t="str">
        <f>"Syne4"</f>
        <v>Syne4</v>
      </c>
      <c r="B20269" t="s">
        <v>14</v>
      </c>
      <c r="C20269" t="s">
        <v>33</v>
      </c>
      <c r="D20269" t="s">
        <v>17</v>
      </c>
      <c r="E20269" t="s">
        <v>67</v>
      </c>
      <c r="F20269">
        <v>30314810</v>
      </c>
      <c r="G20269">
        <v>30314870</v>
      </c>
      <c r="H20269">
        <v>30314810</v>
      </c>
      <c r="I20269">
        <v>30314870</v>
      </c>
    </row>
    <row r="20270" spans="1:9" x14ac:dyDescent="0.2">
      <c r="A20270" t="str">
        <f>"Syngap1"</f>
        <v>Syngap1</v>
      </c>
      <c r="B20270" t="s">
        <v>5834</v>
      </c>
      <c r="C20270" t="s">
        <v>28</v>
      </c>
      <c r="D20270" t="s">
        <v>17</v>
      </c>
      <c r="E20270" t="s">
        <v>20</v>
      </c>
      <c r="F20270">
        <v>26941451</v>
      </c>
      <c r="G20270">
        <v>26941451</v>
      </c>
      <c r="H20270">
        <v>26941451</v>
      </c>
      <c r="I20270">
        <v>26941451</v>
      </c>
    </row>
    <row r="20271" spans="1:9" x14ac:dyDescent="0.2">
      <c r="A20271" t="str">
        <f>"Syngr1"</f>
        <v>Syngr1</v>
      </c>
      <c r="B20271" t="s">
        <v>14</v>
      </c>
      <c r="C20271" t="s">
        <v>25</v>
      </c>
      <c r="D20271" t="s">
        <v>17</v>
      </c>
      <c r="E20271" t="s">
        <v>12</v>
      </c>
      <c r="F20271">
        <v>80091320</v>
      </c>
      <c r="G20271">
        <v>80091390</v>
      </c>
      <c r="H20271">
        <v>80091320</v>
      </c>
      <c r="I20271">
        <v>80091390</v>
      </c>
    </row>
    <row r="20272" spans="1:9" x14ac:dyDescent="0.2">
      <c r="A20272" t="str">
        <f>"Syngr2"</f>
        <v>Syngr2</v>
      </c>
      <c r="B20272" t="s">
        <v>14</v>
      </c>
      <c r="C20272" t="s">
        <v>27</v>
      </c>
      <c r="D20272" t="s">
        <v>17</v>
      </c>
      <c r="E20272" t="s">
        <v>12</v>
      </c>
      <c r="F20272">
        <v>117809653</v>
      </c>
      <c r="G20272">
        <v>117809685</v>
      </c>
      <c r="H20272">
        <v>117809687</v>
      </c>
      <c r="I20272">
        <v>117809703</v>
      </c>
    </row>
    <row r="20273" spans="1:9" x14ac:dyDescent="0.2">
      <c r="A20273" t="str">
        <f>"Syngr3"</f>
        <v>Syngr3</v>
      </c>
      <c r="B20273" t="s">
        <v>14</v>
      </c>
      <c r="C20273" t="s">
        <v>28</v>
      </c>
      <c r="D20273" t="s">
        <v>11</v>
      </c>
      <c r="E20273" t="s">
        <v>12</v>
      </c>
      <c r="F20273">
        <v>24689901</v>
      </c>
      <c r="G20273">
        <v>24689960</v>
      </c>
      <c r="H20273">
        <v>24689880</v>
      </c>
      <c r="I20273">
        <v>24689887</v>
      </c>
    </row>
    <row r="20274" spans="1:9" x14ac:dyDescent="0.2">
      <c r="A20274" t="str">
        <f>"Syngr4"</f>
        <v>Syngr4</v>
      </c>
      <c r="B20274" t="s">
        <v>14</v>
      </c>
      <c r="C20274" t="s">
        <v>33</v>
      </c>
      <c r="D20274" t="s">
        <v>11</v>
      </c>
      <c r="E20274" t="s">
        <v>12</v>
      </c>
      <c r="F20274">
        <v>45896656</v>
      </c>
      <c r="G20274">
        <v>45896674</v>
      </c>
      <c r="H20274">
        <v>45896677</v>
      </c>
      <c r="I20274">
        <v>45896692</v>
      </c>
    </row>
    <row r="20275" spans="1:9" x14ac:dyDescent="0.2">
      <c r="A20275" t="str">
        <f>"Synj1"</f>
        <v>Synj1</v>
      </c>
      <c r="B20275" t="s">
        <v>14</v>
      </c>
      <c r="C20275" t="s">
        <v>31</v>
      </c>
      <c r="D20275" t="s">
        <v>11</v>
      </c>
      <c r="E20275" t="s">
        <v>12</v>
      </c>
      <c r="F20275">
        <v>91011029</v>
      </c>
      <c r="G20275">
        <v>91011069</v>
      </c>
      <c r="H20275">
        <v>91011129</v>
      </c>
      <c r="I20275">
        <v>91011170</v>
      </c>
    </row>
    <row r="20276" spans="1:9" x14ac:dyDescent="0.2">
      <c r="A20276" t="str">
        <f>"Synj2"</f>
        <v>Synj2</v>
      </c>
      <c r="B20276" t="s">
        <v>14</v>
      </c>
      <c r="C20276" t="s">
        <v>28</v>
      </c>
      <c r="D20276" t="s">
        <v>17</v>
      </c>
      <c r="E20276" t="s">
        <v>12</v>
      </c>
      <c r="F20276">
        <v>5941346</v>
      </c>
      <c r="G20276">
        <v>5941413</v>
      </c>
      <c r="H20276">
        <v>5941346</v>
      </c>
      <c r="I20276">
        <v>5941413</v>
      </c>
    </row>
    <row r="20277" spans="1:9" x14ac:dyDescent="0.2">
      <c r="A20277" t="str">
        <f>"Synj2bp"</f>
        <v>Synj2bp</v>
      </c>
      <c r="B20277" t="s">
        <v>14</v>
      </c>
      <c r="C20277" t="s">
        <v>16</v>
      </c>
      <c r="D20277" t="s">
        <v>11</v>
      </c>
      <c r="E20277" t="s">
        <v>12</v>
      </c>
      <c r="F20277">
        <v>81532840</v>
      </c>
      <c r="G20277">
        <v>81532925</v>
      </c>
      <c r="H20277">
        <v>81532840</v>
      </c>
      <c r="I20277">
        <v>81532925</v>
      </c>
    </row>
    <row r="20278" spans="1:9" x14ac:dyDescent="0.2">
      <c r="A20278" t="str">
        <f>"Synm"</f>
        <v>Synm</v>
      </c>
      <c r="B20278" t="s">
        <v>14</v>
      </c>
      <c r="C20278" t="s">
        <v>33</v>
      </c>
      <c r="D20278" t="s">
        <v>11</v>
      </c>
      <c r="E20278" t="s">
        <v>12</v>
      </c>
      <c r="F20278">
        <v>67759735</v>
      </c>
      <c r="G20278">
        <v>67759759</v>
      </c>
      <c r="H20278">
        <v>67759764</v>
      </c>
      <c r="I20278">
        <v>67759779</v>
      </c>
    </row>
    <row r="20279" spans="1:9" x14ac:dyDescent="0.2">
      <c r="A20279" t="str">
        <f>"Synpo"</f>
        <v>Synpo</v>
      </c>
      <c r="B20279" t="s">
        <v>9</v>
      </c>
      <c r="C20279" t="s">
        <v>43</v>
      </c>
      <c r="D20279" t="s">
        <v>11</v>
      </c>
      <c r="E20279" t="s">
        <v>12</v>
      </c>
      <c r="F20279">
        <v>60624201</v>
      </c>
      <c r="G20279">
        <v>60624247</v>
      </c>
      <c r="H20279">
        <v>60624201</v>
      </c>
      <c r="I20279">
        <v>60624247</v>
      </c>
    </row>
    <row r="20280" spans="1:9" x14ac:dyDescent="0.2">
      <c r="A20280" t="str">
        <f>"Synpo"</f>
        <v>Synpo</v>
      </c>
      <c r="B20280" t="s">
        <v>13</v>
      </c>
      <c r="C20280" t="s">
        <v>43</v>
      </c>
      <c r="D20280" t="s">
        <v>11</v>
      </c>
      <c r="E20280" t="s">
        <v>12</v>
      </c>
      <c r="F20280">
        <v>60648290</v>
      </c>
      <c r="G20280">
        <v>60648325</v>
      </c>
      <c r="H20280">
        <v>60648290</v>
      </c>
      <c r="I20280">
        <v>60648325</v>
      </c>
    </row>
    <row r="20281" spans="1:9" x14ac:dyDescent="0.2">
      <c r="A20281" t="str">
        <f>"Synpo2"</f>
        <v>Synpo2</v>
      </c>
      <c r="B20281" t="s">
        <v>14</v>
      </c>
      <c r="C20281" t="s">
        <v>22</v>
      </c>
      <c r="D20281" t="s">
        <v>11</v>
      </c>
      <c r="E20281" t="s">
        <v>12</v>
      </c>
      <c r="F20281">
        <v>123236134</v>
      </c>
      <c r="G20281">
        <v>123236157</v>
      </c>
      <c r="H20281">
        <v>123236111</v>
      </c>
      <c r="I20281">
        <v>123236122</v>
      </c>
    </row>
    <row r="20282" spans="1:9" x14ac:dyDescent="0.2">
      <c r="A20282" t="str">
        <f>"Synpo2l"</f>
        <v>Synpo2l</v>
      </c>
      <c r="B20282" t="s">
        <v>9</v>
      </c>
      <c r="C20282" t="s">
        <v>41</v>
      </c>
      <c r="D20282" t="s">
        <v>11</v>
      </c>
      <c r="E20282" t="s">
        <v>12</v>
      </c>
      <c r="F20282">
        <v>20664480</v>
      </c>
      <c r="G20282">
        <v>20664551</v>
      </c>
      <c r="H20282">
        <v>20664480</v>
      </c>
      <c r="I20282">
        <v>20664551</v>
      </c>
    </row>
    <row r="20283" spans="1:9" x14ac:dyDescent="0.2">
      <c r="A20283" t="str">
        <f>"Synpo2l"</f>
        <v>Synpo2l</v>
      </c>
      <c r="B20283" t="s">
        <v>13</v>
      </c>
      <c r="C20283" t="s">
        <v>41</v>
      </c>
      <c r="D20283" t="s">
        <v>11</v>
      </c>
      <c r="E20283" t="s">
        <v>12</v>
      </c>
      <c r="F20283">
        <v>20668269</v>
      </c>
      <c r="G20283">
        <v>20668324</v>
      </c>
      <c r="H20283">
        <v>20668269</v>
      </c>
      <c r="I20283">
        <v>20668324</v>
      </c>
    </row>
    <row r="20284" spans="1:9" x14ac:dyDescent="0.2">
      <c r="A20284" t="str">
        <f>"Synpr"</f>
        <v>Synpr</v>
      </c>
      <c r="B20284" t="s">
        <v>14</v>
      </c>
      <c r="C20284" t="s">
        <v>41</v>
      </c>
      <c r="D20284" t="s">
        <v>17</v>
      </c>
      <c r="E20284" t="s">
        <v>12</v>
      </c>
      <c r="F20284">
        <v>13284801</v>
      </c>
      <c r="G20284">
        <v>13284827</v>
      </c>
      <c r="H20284">
        <v>13284801</v>
      </c>
      <c r="I20284">
        <v>13284827</v>
      </c>
    </row>
    <row r="20285" spans="1:9" x14ac:dyDescent="0.2">
      <c r="A20285" t="str">
        <f>"Synrg"</f>
        <v>Synrg</v>
      </c>
      <c r="B20285" t="s">
        <v>14</v>
      </c>
      <c r="C20285" t="s">
        <v>27</v>
      </c>
      <c r="D20285" t="s">
        <v>17</v>
      </c>
      <c r="E20285" t="s">
        <v>12</v>
      </c>
      <c r="F20285">
        <v>83964419</v>
      </c>
      <c r="G20285">
        <v>83964478</v>
      </c>
      <c r="H20285">
        <v>83964369</v>
      </c>
      <c r="I20285">
        <v>83964390</v>
      </c>
    </row>
    <row r="20286" spans="1:9" x14ac:dyDescent="0.2">
      <c r="A20286" t="str">
        <f>"Syp"</f>
        <v>Syp</v>
      </c>
      <c r="B20286" t="s">
        <v>14</v>
      </c>
      <c r="C20286" t="s">
        <v>37</v>
      </c>
      <c r="D20286" t="s">
        <v>17</v>
      </c>
      <c r="E20286" t="s">
        <v>12</v>
      </c>
      <c r="F20286">
        <v>7638674</v>
      </c>
      <c r="G20286">
        <v>7638697</v>
      </c>
      <c r="H20286">
        <v>7638674</v>
      </c>
      <c r="I20286">
        <v>7638697</v>
      </c>
    </row>
    <row r="20287" spans="1:9" x14ac:dyDescent="0.2">
      <c r="A20287" t="str">
        <f>"Sypl"</f>
        <v>Sypl</v>
      </c>
      <c r="B20287" t="s">
        <v>14</v>
      </c>
      <c r="C20287" t="s">
        <v>16</v>
      </c>
      <c r="D20287" t="s">
        <v>17</v>
      </c>
      <c r="E20287" t="s">
        <v>12</v>
      </c>
      <c r="F20287">
        <v>32954179</v>
      </c>
      <c r="G20287">
        <v>32954278</v>
      </c>
      <c r="H20287">
        <v>32954280</v>
      </c>
      <c r="I20287">
        <v>32954292</v>
      </c>
    </row>
    <row r="20288" spans="1:9" x14ac:dyDescent="0.2">
      <c r="A20288" t="str">
        <f>"Sypl2"</f>
        <v>Sypl2</v>
      </c>
      <c r="B20288" t="s">
        <v>14</v>
      </c>
      <c r="C20288" t="s">
        <v>22</v>
      </c>
      <c r="D20288" t="s">
        <v>11</v>
      </c>
      <c r="E20288" t="s">
        <v>12</v>
      </c>
      <c r="F20288">
        <v>108226598</v>
      </c>
      <c r="G20288">
        <v>108226683</v>
      </c>
      <c r="H20288">
        <v>108226573</v>
      </c>
      <c r="I20288">
        <v>108226589</v>
      </c>
    </row>
    <row r="20289" spans="1:9" x14ac:dyDescent="0.2">
      <c r="A20289" t="str">
        <f>"Sys1"</f>
        <v>Sys1</v>
      </c>
      <c r="B20289" t="s">
        <v>14</v>
      </c>
      <c r="C20289" t="s">
        <v>26</v>
      </c>
      <c r="D20289" t="s">
        <v>17</v>
      </c>
      <c r="E20289" t="s">
        <v>12</v>
      </c>
      <c r="F20289">
        <v>164460945</v>
      </c>
      <c r="G20289">
        <v>164461018</v>
      </c>
      <c r="H20289">
        <v>164461019</v>
      </c>
      <c r="I20289">
        <v>164461058</v>
      </c>
    </row>
    <row r="20290" spans="1:9" x14ac:dyDescent="0.2">
      <c r="A20290" t="str">
        <f>"Syt1"</f>
        <v>Syt1</v>
      </c>
      <c r="B20290" t="s">
        <v>14</v>
      </c>
      <c r="C20290" t="s">
        <v>15</v>
      </c>
      <c r="D20290" t="s">
        <v>11</v>
      </c>
      <c r="E20290" t="s">
        <v>12</v>
      </c>
      <c r="F20290">
        <v>109010860</v>
      </c>
      <c r="G20290">
        <v>109010918</v>
      </c>
      <c r="H20290">
        <v>109010922</v>
      </c>
      <c r="I20290">
        <v>109010952</v>
      </c>
    </row>
    <row r="20291" spans="1:9" x14ac:dyDescent="0.2">
      <c r="A20291" t="str">
        <f>"Syt10"</f>
        <v>Syt10</v>
      </c>
      <c r="B20291" t="s">
        <v>14</v>
      </c>
      <c r="C20291" t="s">
        <v>25</v>
      </c>
      <c r="D20291" t="s">
        <v>11</v>
      </c>
      <c r="E20291" t="s">
        <v>12</v>
      </c>
      <c r="F20291">
        <v>89841893</v>
      </c>
      <c r="G20291">
        <v>89841923</v>
      </c>
      <c r="H20291">
        <v>89841924</v>
      </c>
      <c r="I20291">
        <v>89841935</v>
      </c>
    </row>
    <row r="20292" spans="1:9" x14ac:dyDescent="0.2">
      <c r="A20292" t="str">
        <f>"Syt11"</f>
        <v>Syt11</v>
      </c>
      <c r="B20292" t="s">
        <v>14</v>
      </c>
      <c r="C20292" t="s">
        <v>22</v>
      </c>
      <c r="D20292" t="s">
        <v>11</v>
      </c>
      <c r="E20292" t="s">
        <v>12</v>
      </c>
      <c r="F20292">
        <v>88772578</v>
      </c>
      <c r="G20292">
        <v>88772601</v>
      </c>
      <c r="H20292">
        <v>88772449</v>
      </c>
      <c r="I20292">
        <v>88772468</v>
      </c>
    </row>
    <row r="20293" spans="1:9" x14ac:dyDescent="0.2">
      <c r="A20293" t="str">
        <f>"Syt12"</f>
        <v>Syt12</v>
      </c>
      <c r="B20293" t="s">
        <v>14</v>
      </c>
      <c r="C20293" t="s">
        <v>10</v>
      </c>
      <c r="D20293" t="s">
        <v>11</v>
      </c>
      <c r="E20293" t="s">
        <v>12</v>
      </c>
      <c r="F20293">
        <v>4477119</v>
      </c>
      <c r="G20293">
        <v>4477161</v>
      </c>
      <c r="H20293">
        <v>4477567</v>
      </c>
      <c r="I20293">
        <v>4477592</v>
      </c>
    </row>
    <row r="20294" spans="1:9" x14ac:dyDescent="0.2">
      <c r="A20294" t="str">
        <f>"Syt13"</f>
        <v>Syt13</v>
      </c>
      <c r="B20294" t="s">
        <v>14</v>
      </c>
      <c r="C20294" t="s">
        <v>26</v>
      </c>
      <c r="D20294" t="s">
        <v>17</v>
      </c>
      <c r="E20294" t="s">
        <v>12</v>
      </c>
      <c r="F20294">
        <v>92915080</v>
      </c>
      <c r="G20294">
        <v>92915115</v>
      </c>
      <c r="H20294">
        <v>92915131</v>
      </c>
      <c r="I20294">
        <v>92915142</v>
      </c>
    </row>
    <row r="20295" spans="1:9" x14ac:dyDescent="0.2">
      <c r="A20295" t="str">
        <f>"Syt14"</f>
        <v>Syt14</v>
      </c>
      <c r="B20295" t="s">
        <v>14</v>
      </c>
      <c r="C20295" t="s">
        <v>19</v>
      </c>
      <c r="D20295" t="s">
        <v>11</v>
      </c>
      <c r="E20295" t="s">
        <v>12</v>
      </c>
      <c r="F20295">
        <v>193035651</v>
      </c>
      <c r="G20295">
        <v>193035728</v>
      </c>
      <c r="H20295">
        <v>193035756</v>
      </c>
      <c r="I20295">
        <v>193035830</v>
      </c>
    </row>
    <row r="20296" spans="1:9" x14ac:dyDescent="0.2">
      <c r="A20296" t="str">
        <f>"Syt15"</f>
        <v>Syt15</v>
      </c>
      <c r="B20296" t="s">
        <v>14</v>
      </c>
      <c r="C20296" t="s">
        <v>41</v>
      </c>
      <c r="D20296" t="s">
        <v>17</v>
      </c>
      <c r="E20296" t="s">
        <v>12</v>
      </c>
      <c r="F20296">
        <v>34220028</v>
      </c>
      <c r="G20296">
        <v>34220058</v>
      </c>
      <c r="H20296">
        <v>34220028</v>
      </c>
      <c r="I20296">
        <v>34220058</v>
      </c>
    </row>
    <row r="20297" spans="1:9" x14ac:dyDescent="0.2">
      <c r="A20297" t="str">
        <f>"Syt16"</f>
        <v>Syt16</v>
      </c>
      <c r="B20297" t="s">
        <v>14</v>
      </c>
      <c r="C20297" t="s">
        <v>16</v>
      </c>
      <c r="D20297" t="s">
        <v>17</v>
      </c>
      <c r="E20297" t="s">
        <v>12</v>
      </c>
      <c r="F20297">
        <v>73997749</v>
      </c>
      <c r="G20297">
        <v>73997817</v>
      </c>
      <c r="H20297">
        <v>73997736</v>
      </c>
      <c r="I20297">
        <v>73997744</v>
      </c>
    </row>
    <row r="20298" spans="1:9" x14ac:dyDescent="0.2">
      <c r="A20298" t="str">
        <f>"Syt17"</f>
        <v>Syt17</v>
      </c>
      <c r="B20298" t="s">
        <v>14</v>
      </c>
      <c r="C20298" t="s">
        <v>33</v>
      </c>
      <c r="D20298" t="s">
        <v>11</v>
      </c>
      <c r="E20298" t="s">
        <v>12</v>
      </c>
      <c r="F20298">
        <v>118448172</v>
      </c>
      <c r="G20298">
        <v>118448227</v>
      </c>
      <c r="H20298">
        <v>118448172</v>
      </c>
      <c r="I20298">
        <v>118448227</v>
      </c>
    </row>
    <row r="20299" spans="1:9" x14ac:dyDescent="0.2">
      <c r="A20299" t="str">
        <f>"Syt2"</f>
        <v>Syt2</v>
      </c>
      <c r="B20299" t="s">
        <v>5835</v>
      </c>
      <c r="C20299" t="s">
        <v>19</v>
      </c>
      <c r="D20299" t="s">
        <v>17</v>
      </c>
      <c r="E20299" t="s">
        <v>35</v>
      </c>
      <c r="F20299">
        <v>134709259</v>
      </c>
      <c r="G20299">
        <v>134709289</v>
      </c>
      <c r="H20299">
        <v>134709361</v>
      </c>
      <c r="I20299">
        <v>134709369</v>
      </c>
    </row>
    <row r="20300" spans="1:9" x14ac:dyDescent="0.2">
      <c r="A20300" t="str">
        <f>"Syt3"</f>
        <v>Syt3</v>
      </c>
      <c r="B20300" t="s">
        <v>14</v>
      </c>
      <c r="C20300" t="s">
        <v>33</v>
      </c>
      <c r="D20300" t="s">
        <v>17</v>
      </c>
      <c r="E20300" t="s">
        <v>12</v>
      </c>
      <c r="F20300">
        <v>44384098</v>
      </c>
      <c r="G20300">
        <v>44384146</v>
      </c>
      <c r="H20300">
        <v>44384803</v>
      </c>
      <c r="I20300">
        <v>44384844</v>
      </c>
    </row>
    <row r="20301" spans="1:9" x14ac:dyDescent="0.2">
      <c r="A20301" t="str">
        <f>"Syt4"</f>
        <v>Syt4</v>
      </c>
      <c r="B20301" t="s">
        <v>14</v>
      </c>
      <c r="C20301" t="s">
        <v>43</v>
      </c>
      <c r="D20301" t="s">
        <v>11</v>
      </c>
      <c r="E20301" t="s">
        <v>12</v>
      </c>
      <c r="F20301">
        <v>31447348</v>
      </c>
      <c r="G20301">
        <v>31447376</v>
      </c>
      <c r="H20301">
        <v>31447383</v>
      </c>
      <c r="I20301">
        <v>31447407</v>
      </c>
    </row>
    <row r="20302" spans="1:9" x14ac:dyDescent="0.2">
      <c r="A20302" t="str">
        <f>"Syt5"</f>
        <v>Syt5</v>
      </c>
      <c r="B20302" t="s">
        <v>14</v>
      </c>
      <c r="C20302" t="s">
        <v>33</v>
      </c>
      <c r="D20302" t="s">
        <v>11</v>
      </c>
      <c r="E20302" t="s">
        <v>12</v>
      </c>
      <c r="F20302">
        <v>4546578</v>
      </c>
      <c r="G20302">
        <v>4546616</v>
      </c>
      <c r="H20302">
        <v>4546562</v>
      </c>
      <c r="I20302">
        <v>4546573</v>
      </c>
    </row>
    <row r="20303" spans="1:9" x14ac:dyDescent="0.2">
      <c r="A20303" t="str">
        <f>"Syt6"</f>
        <v>Syt6</v>
      </c>
      <c r="B20303" t="s">
        <v>14</v>
      </c>
      <c r="C20303" t="s">
        <v>22</v>
      </c>
      <c r="D20303" t="s">
        <v>17</v>
      </c>
      <c r="E20303" t="s">
        <v>12</v>
      </c>
      <c r="F20303">
        <v>103576133</v>
      </c>
      <c r="G20303">
        <v>103576147</v>
      </c>
      <c r="H20303">
        <v>103575275</v>
      </c>
      <c r="I20303">
        <v>103575286</v>
      </c>
    </row>
    <row r="20304" spans="1:9" x14ac:dyDescent="0.2">
      <c r="A20304" t="str">
        <f>"Syt7"</f>
        <v>Syt7</v>
      </c>
      <c r="B20304" t="s">
        <v>14</v>
      </c>
      <c r="C20304" t="s">
        <v>10</v>
      </c>
      <c r="D20304" t="s">
        <v>17</v>
      </c>
      <c r="E20304" t="s">
        <v>12</v>
      </c>
      <c r="F20304">
        <v>10388999</v>
      </c>
      <c r="G20304">
        <v>10389063</v>
      </c>
      <c r="H20304">
        <v>10388999</v>
      </c>
      <c r="I20304">
        <v>10389063</v>
      </c>
    </row>
    <row r="20305" spans="1:9" x14ac:dyDescent="0.2">
      <c r="A20305" t="str">
        <f>"Syt8"</f>
        <v>Syt8</v>
      </c>
      <c r="B20305" t="s">
        <v>14</v>
      </c>
      <c r="C20305" t="s">
        <v>33</v>
      </c>
      <c r="D20305" t="s">
        <v>17</v>
      </c>
      <c r="E20305" t="s">
        <v>12</v>
      </c>
      <c r="F20305">
        <v>142434932</v>
      </c>
      <c r="G20305">
        <v>142434970</v>
      </c>
      <c r="H20305">
        <v>142434795</v>
      </c>
      <c r="I20305">
        <v>142434817</v>
      </c>
    </row>
    <row r="20306" spans="1:9" x14ac:dyDescent="0.2">
      <c r="A20306" t="str">
        <f>"Syt9"</f>
        <v>Syt9</v>
      </c>
      <c r="B20306" t="s">
        <v>14</v>
      </c>
      <c r="C20306" t="s">
        <v>33</v>
      </c>
      <c r="D20306" t="s">
        <v>17</v>
      </c>
      <c r="E20306" t="s">
        <v>12</v>
      </c>
      <c r="F20306">
        <v>107370745</v>
      </c>
      <c r="G20306">
        <v>107370848</v>
      </c>
      <c r="H20306">
        <v>107370712</v>
      </c>
      <c r="I20306">
        <v>107370722</v>
      </c>
    </row>
    <row r="20307" spans="1:9" x14ac:dyDescent="0.2">
      <c r="A20307" t="str">
        <f>"Sytl1"</f>
        <v>Sytl1</v>
      </c>
      <c r="B20307" t="s">
        <v>9</v>
      </c>
      <c r="C20307" t="s">
        <v>23</v>
      </c>
      <c r="D20307" t="s">
        <v>11</v>
      </c>
      <c r="E20307" t="s">
        <v>12</v>
      </c>
      <c r="F20307">
        <v>133263042</v>
      </c>
      <c r="G20307">
        <v>133263135</v>
      </c>
      <c r="H20307">
        <v>133263042</v>
      </c>
      <c r="I20307">
        <v>133263135</v>
      </c>
    </row>
    <row r="20308" spans="1:9" x14ac:dyDescent="0.2">
      <c r="A20308" t="str">
        <f>"Sytl1"</f>
        <v>Sytl1</v>
      </c>
      <c r="B20308" t="s">
        <v>13</v>
      </c>
      <c r="C20308" t="s">
        <v>23</v>
      </c>
      <c r="D20308" t="s">
        <v>11</v>
      </c>
      <c r="E20308" t="s">
        <v>12</v>
      </c>
      <c r="F20308">
        <v>133256950</v>
      </c>
      <c r="G20308">
        <v>133256957</v>
      </c>
      <c r="H20308">
        <v>133256950</v>
      </c>
      <c r="I20308">
        <v>133256957</v>
      </c>
    </row>
    <row r="20309" spans="1:9" x14ac:dyDescent="0.2">
      <c r="A20309" t="str">
        <f>"Sytl2"</f>
        <v>Sytl2</v>
      </c>
      <c r="B20309" t="s">
        <v>5836</v>
      </c>
      <c r="C20309" t="s">
        <v>33</v>
      </c>
      <c r="D20309" t="s">
        <v>17</v>
      </c>
      <c r="E20309" t="s">
        <v>20</v>
      </c>
      <c r="F20309">
        <v>90348698</v>
      </c>
      <c r="G20309">
        <v>90348698</v>
      </c>
      <c r="H20309">
        <v>90348698</v>
      </c>
      <c r="I20309">
        <v>90348698</v>
      </c>
    </row>
    <row r="20310" spans="1:9" x14ac:dyDescent="0.2">
      <c r="A20310" t="str">
        <f>"Sytl3"</f>
        <v>Sytl3</v>
      </c>
      <c r="B20310" t="s">
        <v>14</v>
      </c>
      <c r="C20310" t="s">
        <v>28</v>
      </c>
      <c r="D20310" t="s">
        <v>17</v>
      </c>
      <c r="E20310" t="s">
        <v>12</v>
      </c>
      <c r="F20310">
        <v>6659184</v>
      </c>
      <c r="G20310">
        <v>6659186</v>
      </c>
      <c r="H20310">
        <v>6659184</v>
      </c>
      <c r="I20310">
        <v>6659186</v>
      </c>
    </row>
    <row r="20311" spans="1:9" x14ac:dyDescent="0.2">
      <c r="A20311" t="str">
        <f>"Sytl4"</f>
        <v>Sytl4</v>
      </c>
      <c r="B20311" t="s">
        <v>14</v>
      </c>
      <c r="C20311" t="s">
        <v>37</v>
      </c>
      <c r="D20311" t="s">
        <v>11</v>
      </c>
      <c r="E20311" t="s">
        <v>12</v>
      </c>
      <c r="F20311">
        <v>133981765</v>
      </c>
      <c r="G20311">
        <v>133981812</v>
      </c>
      <c r="H20311">
        <v>133981722</v>
      </c>
      <c r="I20311">
        <v>133981754</v>
      </c>
    </row>
    <row r="20312" spans="1:9" x14ac:dyDescent="0.2">
      <c r="A20312" t="str">
        <f>"Sytl5"</f>
        <v>Sytl5</v>
      </c>
      <c r="B20312" t="s">
        <v>5837</v>
      </c>
      <c r="C20312" t="s">
        <v>37</v>
      </c>
      <c r="D20312" t="s">
        <v>17</v>
      </c>
      <c r="E20312" t="s">
        <v>20</v>
      </c>
      <c r="F20312">
        <v>9885621</v>
      </c>
      <c r="G20312">
        <v>9885621</v>
      </c>
      <c r="H20312">
        <v>9885621</v>
      </c>
      <c r="I20312">
        <v>9885621</v>
      </c>
    </row>
    <row r="20313" spans="1:9" x14ac:dyDescent="0.2">
      <c r="A20313" t="str">
        <f>"Syvn1"</f>
        <v>Syvn1</v>
      </c>
      <c r="B20313" t="s">
        <v>14</v>
      </c>
      <c r="C20313" t="s">
        <v>10</v>
      </c>
      <c r="D20313" t="s">
        <v>17</v>
      </c>
      <c r="E20313" t="s">
        <v>12</v>
      </c>
      <c r="F20313">
        <v>6047055</v>
      </c>
      <c r="G20313">
        <v>6047080</v>
      </c>
      <c r="H20313">
        <v>6046629</v>
      </c>
      <c r="I20313">
        <v>6046645</v>
      </c>
    </row>
    <row r="20314" spans="1:9" x14ac:dyDescent="0.2">
      <c r="A20314" t="str">
        <f>"Szrd1"</f>
        <v>Szrd1</v>
      </c>
      <c r="B20314" t="s">
        <v>14</v>
      </c>
      <c r="C20314" t="s">
        <v>23</v>
      </c>
      <c r="D20314" t="s">
        <v>11</v>
      </c>
      <c r="E20314" t="s">
        <v>67</v>
      </c>
      <c r="F20314">
        <v>141139747</v>
      </c>
      <c r="G20314">
        <v>141139772</v>
      </c>
      <c r="H20314">
        <v>141139747</v>
      </c>
      <c r="I20314">
        <v>141139772</v>
      </c>
    </row>
    <row r="20315" spans="1:9" x14ac:dyDescent="0.2">
      <c r="A20315" t="str">
        <f>"Szt2"</f>
        <v>Szt2</v>
      </c>
      <c r="B20315" t="s">
        <v>14</v>
      </c>
      <c r="C20315" t="s">
        <v>23</v>
      </c>
      <c r="D20315" t="s">
        <v>11</v>
      </c>
      <c r="E20315" t="s">
        <v>12</v>
      </c>
      <c r="F20315">
        <v>118409219</v>
      </c>
      <c r="G20315">
        <v>118409282</v>
      </c>
      <c r="H20315">
        <v>118409219</v>
      </c>
      <c r="I20315">
        <v>118409282</v>
      </c>
    </row>
    <row r="20316" spans="1:9" x14ac:dyDescent="0.2">
      <c r="A20316" t="str">
        <f>"T"</f>
        <v>T</v>
      </c>
      <c r="B20316" t="s">
        <v>14</v>
      </c>
      <c r="C20316" t="s">
        <v>28</v>
      </c>
      <c r="D20316" t="s">
        <v>17</v>
      </c>
      <c r="E20316" t="s">
        <v>12</v>
      </c>
      <c r="F20316">
        <v>8434270</v>
      </c>
      <c r="G20316">
        <v>8434278</v>
      </c>
      <c r="H20316">
        <v>8434270</v>
      </c>
      <c r="I20316">
        <v>8434278</v>
      </c>
    </row>
    <row r="20317" spans="1:9" x14ac:dyDescent="0.2">
      <c r="A20317" t="str">
        <f>"TMEM185B"</f>
        <v>TMEM185B</v>
      </c>
      <c r="B20317" t="s">
        <v>14</v>
      </c>
      <c r="C20317" t="s">
        <v>19</v>
      </c>
      <c r="D20317" t="s">
        <v>17</v>
      </c>
      <c r="E20317" t="s">
        <v>67</v>
      </c>
      <c r="F20317">
        <v>119526125</v>
      </c>
      <c r="G20317">
        <v>119526180</v>
      </c>
      <c r="H20317">
        <v>119526189</v>
      </c>
      <c r="I20317">
        <v>119526194</v>
      </c>
    </row>
    <row r="20318" spans="1:9" x14ac:dyDescent="0.2">
      <c r="A20318" t="str">
        <f>"Taar1"</f>
        <v>Taar1</v>
      </c>
      <c r="B20318" t="s">
        <v>5838</v>
      </c>
      <c r="C20318" t="s">
        <v>15</v>
      </c>
      <c r="D20318" t="s">
        <v>17</v>
      </c>
      <c r="E20318" t="s">
        <v>20</v>
      </c>
      <c r="F20318">
        <v>23920355</v>
      </c>
      <c r="G20318">
        <v>23920355</v>
      </c>
      <c r="H20318">
        <v>23920355</v>
      </c>
      <c r="I20318">
        <v>23920355</v>
      </c>
    </row>
    <row r="20319" spans="1:9" x14ac:dyDescent="0.2">
      <c r="A20319" t="str">
        <f>"Taar2"</f>
        <v>Taar2</v>
      </c>
      <c r="B20319" t="s">
        <v>5839</v>
      </c>
      <c r="C20319" t="s">
        <v>15</v>
      </c>
      <c r="D20319" t="s">
        <v>17</v>
      </c>
      <c r="E20319" t="s">
        <v>20</v>
      </c>
      <c r="F20319">
        <v>23938571</v>
      </c>
      <c r="G20319">
        <v>23938571</v>
      </c>
      <c r="H20319">
        <v>23938571</v>
      </c>
      <c r="I20319">
        <v>23938571</v>
      </c>
    </row>
    <row r="20320" spans="1:9" x14ac:dyDescent="0.2">
      <c r="A20320" t="str">
        <f>"Taar3"</f>
        <v>Taar3</v>
      </c>
      <c r="B20320" t="s">
        <v>5840</v>
      </c>
      <c r="C20320" t="s">
        <v>15</v>
      </c>
      <c r="D20320" t="s">
        <v>17</v>
      </c>
      <c r="E20320" t="s">
        <v>20</v>
      </c>
      <c r="F20320">
        <v>23949515</v>
      </c>
      <c r="G20320">
        <v>23949515</v>
      </c>
      <c r="H20320">
        <v>23949515</v>
      </c>
      <c r="I20320">
        <v>23949515</v>
      </c>
    </row>
    <row r="20321" spans="1:9" x14ac:dyDescent="0.2">
      <c r="A20321" t="str">
        <f>"Taar4"</f>
        <v>Taar4</v>
      </c>
      <c r="B20321" t="s">
        <v>5841</v>
      </c>
      <c r="C20321" t="s">
        <v>15</v>
      </c>
      <c r="D20321" t="s">
        <v>17</v>
      </c>
      <c r="E20321" t="s">
        <v>20</v>
      </c>
      <c r="F20321">
        <v>23960493</v>
      </c>
      <c r="G20321">
        <v>23960493</v>
      </c>
      <c r="H20321">
        <v>23960493</v>
      </c>
      <c r="I20321">
        <v>23960493</v>
      </c>
    </row>
    <row r="20322" spans="1:9" x14ac:dyDescent="0.2">
      <c r="A20322" t="str">
        <f>"Taar5"</f>
        <v>Taar5</v>
      </c>
      <c r="B20322" t="s">
        <v>5842</v>
      </c>
      <c r="C20322" t="s">
        <v>15</v>
      </c>
      <c r="D20322" t="s">
        <v>17</v>
      </c>
      <c r="E20322" t="s">
        <v>20</v>
      </c>
      <c r="F20322">
        <v>23970660</v>
      </c>
      <c r="G20322">
        <v>23970660</v>
      </c>
      <c r="H20322">
        <v>23970660</v>
      </c>
      <c r="I20322">
        <v>23970660</v>
      </c>
    </row>
    <row r="20323" spans="1:9" x14ac:dyDescent="0.2">
      <c r="A20323" t="str">
        <f>"Taar6"</f>
        <v>Taar6</v>
      </c>
      <c r="B20323" t="s">
        <v>5843</v>
      </c>
      <c r="C20323" t="s">
        <v>15</v>
      </c>
      <c r="D20323" t="s">
        <v>11</v>
      </c>
      <c r="E20323" t="s">
        <v>20</v>
      </c>
      <c r="F20323">
        <v>23985645</v>
      </c>
      <c r="G20323">
        <v>23985645</v>
      </c>
      <c r="H20323">
        <v>23985645</v>
      </c>
      <c r="I20323">
        <v>23985645</v>
      </c>
    </row>
    <row r="20324" spans="1:9" x14ac:dyDescent="0.2">
      <c r="A20324" t="str">
        <f>"Taar7a"</f>
        <v>Taar7a</v>
      </c>
      <c r="B20324" t="s">
        <v>5844</v>
      </c>
      <c r="C20324" t="s">
        <v>15</v>
      </c>
      <c r="D20324" t="s">
        <v>11</v>
      </c>
      <c r="E20324" t="s">
        <v>20</v>
      </c>
      <c r="F20324">
        <v>23993480</v>
      </c>
      <c r="G20324">
        <v>23993480</v>
      </c>
      <c r="H20324">
        <v>23993480</v>
      </c>
      <c r="I20324">
        <v>23993480</v>
      </c>
    </row>
    <row r="20325" spans="1:9" x14ac:dyDescent="0.2">
      <c r="A20325" t="str">
        <f>"Taar7b"</f>
        <v>Taar7b</v>
      </c>
      <c r="B20325" t="s">
        <v>5845</v>
      </c>
      <c r="C20325" t="s">
        <v>15</v>
      </c>
      <c r="D20325" t="s">
        <v>17</v>
      </c>
      <c r="E20325" t="s">
        <v>20</v>
      </c>
      <c r="F20325">
        <v>23999938</v>
      </c>
      <c r="G20325">
        <v>23999938</v>
      </c>
      <c r="H20325">
        <v>23999938</v>
      </c>
      <c r="I20325">
        <v>23999938</v>
      </c>
    </row>
    <row r="20326" spans="1:9" x14ac:dyDescent="0.2">
      <c r="A20326" t="str">
        <f>"Taar7d"</f>
        <v>Taar7d</v>
      </c>
      <c r="B20326" t="s">
        <v>5846</v>
      </c>
      <c r="C20326" t="s">
        <v>15</v>
      </c>
      <c r="D20326" t="s">
        <v>17</v>
      </c>
      <c r="E20326" t="s">
        <v>20</v>
      </c>
      <c r="F20326">
        <v>24027221</v>
      </c>
      <c r="G20326">
        <v>24027221</v>
      </c>
      <c r="H20326">
        <v>24027221</v>
      </c>
      <c r="I20326">
        <v>24027221</v>
      </c>
    </row>
    <row r="20327" spans="1:9" x14ac:dyDescent="0.2">
      <c r="A20327" t="str">
        <f>"Taar7e"</f>
        <v>Taar7e</v>
      </c>
      <c r="B20327" t="s">
        <v>5847</v>
      </c>
      <c r="C20327" t="s">
        <v>15</v>
      </c>
      <c r="D20327" t="s">
        <v>17</v>
      </c>
      <c r="E20327" t="s">
        <v>20</v>
      </c>
      <c r="F20327">
        <v>24037547</v>
      </c>
      <c r="G20327">
        <v>24037547</v>
      </c>
      <c r="H20327">
        <v>24037547</v>
      </c>
      <c r="I20327">
        <v>24037547</v>
      </c>
    </row>
    <row r="20328" spans="1:9" x14ac:dyDescent="0.2">
      <c r="A20328" t="str">
        <f>"Taar7f"</f>
        <v>Taar7f</v>
      </c>
      <c r="B20328" t="s">
        <v>5848</v>
      </c>
      <c r="C20328" t="s">
        <v>15</v>
      </c>
      <c r="D20328" t="s">
        <v>17</v>
      </c>
      <c r="E20328" t="s">
        <v>20</v>
      </c>
      <c r="F20328">
        <v>24049481</v>
      </c>
      <c r="G20328">
        <v>24049481</v>
      </c>
      <c r="H20328">
        <v>24049481</v>
      </c>
      <c r="I20328">
        <v>24049481</v>
      </c>
    </row>
    <row r="20329" spans="1:9" x14ac:dyDescent="0.2">
      <c r="A20329" t="str">
        <f>"Taar8a"</f>
        <v>Taar8a</v>
      </c>
      <c r="B20329" t="s">
        <v>5849</v>
      </c>
      <c r="C20329" t="s">
        <v>15</v>
      </c>
      <c r="D20329" t="s">
        <v>17</v>
      </c>
      <c r="E20329" t="s">
        <v>20</v>
      </c>
      <c r="F20329">
        <v>24076499</v>
      </c>
      <c r="G20329">
        <v>24076499</v>
      </c>
      <c r="H20329">
        <v>24076499</v>
      </c>
      <c r="I20329">
        <v>24076499</v>
      </c>
    </row>
    <row r="20330" spans="1:9" x14ac:dyDescent="0.2">
      <c r="A20330" t="str">
        <f>"Taar8b"</f>
        <v>Taar8b</v>
      </c>
      <c r="B20330" t="s">
        <v>5850</v>
      </c>
      <c r="C20330" t="s">
        <v>15</v>
      </c>
      <c r="D20330" t="s">
        <v>11</v>
      </c>
      <c r="E20330" t="s">
        <v>20</v>
      </c>
      <c r="F20330">
        <v>24092319</v>
      </c>
      <c r="G20330">
        <v>24092319</v>
      </c>
      <c r="H20330">
        <v>24092319</v>
      </c>
      <c r="I20330">
        <v>24092319</v>
      </c>
    </row>
    <row r="20331" spans="1:9" x14ac:dyDescent="0.2">
      <c r="A20331" t="str">
        <f>"Taar8c"</f>
        <v>Taar8c</v>
      </c>
      <c r="B20331" t="s">
        <v>5851</v>
      </c>
      <c r="C20331" t="s">
        <v>15</v>
      </c>
      <c r="D20331" t="s">
        <v>11</v>
      </c>
      <c r="E20331" t="s">
        <v>20</v>
      </c>
      <c r="F20331">
        <v>24101950</v>
      </c>
      <c r="G20331">
        <v>24101950</v>
      </c>
      <c r="H20331">
        <v>24101950</v>
      </c>
      <c r="I20331">
        <v>24101950</v>
      </c>
    </row>
    <row r="20332" spans="1:9" x14ac:dyDescent="0.2">
      <c r="A20332" t="str">
        <f>"Taar9"</f>
        <v>Taar9</v>
      </c>
      <c r="B20332" t="s">
        <v>5852</v>
      </c>
      <c r="C20332" t="s">
        <v>15</v>
      </c>
      <c r="D20332" t="s">
        <v>11</v>
      </c>
      <c r="E20332" t="s">
        <v>20</v>
      </c>
      <c r="F20332">
        <v>24109581</v>
      </c>
      <c r="G20332">
        <v>24109581</v>
      </c>
      <c r="H20332">
        <v>24109581</v>
      </c>
      <c r="I20332">
        <v>24109581</v>
      </c>
    </row>
    <row r="20333" spans="1:9" x14ac:dyDescent="0.2">
      <c r="A20333" t="str">
        <f>"Tab1"</f>
        <v>Tab1</v>
      </c>
      <c r="B20333" t="s">
        <v>14</v>
      </c>
      <c r="C20333" t="s">
        <v>25</v>
      </c>
      <c r="D20333" t="s">
        <v>17</v>
      </c>
      <c r="E20333" t="s">
        <v>12</v>
      </c>
      <c r="F20333">
        <v>80133114</v>
      </c>
      <c r="G20333">
        <v>80133155</v>
      </c>
      <c r="H20333">
        <v>80133114</v>
      </c>
      <c r="I20333">
        <v>80133155</v>
      </c>
    </row>
    <row r="20334" spans="1:9" x14ac:dyDescent="0.2">
      <c r="A20334" t="str">
        <f>"Tab2"</f>
        <v>Tab2</v>
      </c>
      <c r="B20334" t="s">
        <v>14</v>
      </c>
      <c r="C20334" t="s">
        <v>15</v>
      </c>
      <c r="D20334" t="s">
        <v>11</v>
      </c>
      <c r="E20334" t="s">
        <v>12</v>
      </c>
      <c r="F20334">
        <v>7956223</v>
      </c>
      <c r="G20334">
        <v>7956271</v>
      </c>
      <c r="H20334">
        <v>7956063</v>
      </c>
      <c r="I20334">
        <v>7956147</v>
      </c>
    </row>
    <row r="20335" spans="1:9" x14ac:dyDescent="0.2">
      <c r="A20335" t="str">
        <f>"Tab3"</f>
        <v>Tab3</v>
      </c>
      <c r="B20335" t="s">
        <v>14</v>
      </c>
      <c r="C20335" t="s">
        <v>37</v>
      </c>
      <c r="D20335" t="s">
        <v>17</v>
      </c>
      <c r="E20335" t="s">
        <v>12</v>
      </c>
      <c r="F20335">
        <v>85574018</v>
      </c>
      <c r="G20335">
        <v>85574039</v>
      </c>
      <c r="H20335">
        <v>85573983</v>
      </c>
      <c r="I20335">
        <v>85574017</v>
      </c>
    </row>
    <row r="20336" spans="1:9" x14ac:dyDescent="0.2">
      <c r="A20336" t="str">
        <f>"Tac1"</f>
        <v>Tac1</v>
      </c>
      <c r="B20336" t="s">
        <v>14</v>
      </c>
      <c r="C20336" t="s">
        <v>32</v>
      </c>
      <c r="D20336" t="s">
        <v>17</v>
      </c>
      <c r="E20336" t="s">
        <v>12</v>
      </c>
      <c r="F20336">
        <v>7555053</v>
      </c>
      <c r="G20336">
        <v>7555067</v>
      </c>
      <c r="H20336">
        <v>7555053</v>
      </c>
      <c r="I20336">
        <v>7555067</v>
      </c>
    </row>
    <row r="20337" spans="1:9" x14ac:dyDescent="0.2">
      <c r="A20337" t="str">
        <f>"Tac2"</f>
        <v>Tac2</v>
      </c>
      <c r="B20337" t="s">
        <v>14</v>
      </c>
      <c r="C20337" t="s">
        <v>15</v>
      </c>
      <c r="D20337" t="s">
        <v>17</v>
      </c>
      <c r="E20337" t="s">
        <v>12</v>
      </c>
      <c r="F20337">
        <v>127725372</v>
      </c>
      <c r="G20337">
        <v>127725387</v>
      </c>
      <c r="H20337">
        <v>127725392</v>
      </c>
      <c r="I20337">
        <v>127725407</v>
      </c>
    </row>
    <row r="20338" spans="1:9" x14ac:dyDescent="0.2">
      <c r="A20338" t="str">
        <f>"Tac4"</f>
        <v>Tac4</v>
      </c>
      <c r="B20338" t="s">
        <v>14</v>
      </c>
      <c r="C20338" t="s">
        <v>27</v>
      </c>
      <c r="D20338" t="s">
        <v>17</v>
      </c>
      <c r="E20338" t="s">
        <v>12</v>
      </c>
      <c r="F20338">
        <v>95261548</v>
      </c>
      <c r="G20338">
        <v>95261584</v>
      </c>
      <c r="H20338">
        <v>95261548</v>
      </c>
      <c r="I20338">
        <v>95261584</v>
      </c>
    </row>
    <row r="20339" spans="1:9" x14ac:dyDescent="0.2">
      <c r="A20339" t="str">
        <f>"Tacc1"</f>
        <v>Tacc1</v>
      </c>
      <c r="B20339" t="s">
        <v>5853</v>
      </c>
      <c r="C20339" t="s">
        <v>30</v>
      </c>
      <c r="D20339" t="s">
        <v>11</v>
      </c>
      <c r="E20339" t="s">
        <v>35</v>
      </c>
      <c r="F20339">
        <v>25201627</v>
      </c>
      <c r="G20339">
        <v>25201632</v>
      </c>
      <c r="H20339">
        <v>25201296</v>
      </c>
      <c r="I20339">
        <v>25201305</v>
      </c>
    </row>
    <row r="20340" spans="1:9" x14ac:dyDescent="0.2">
      <c r="A20340" t="str">
        <f>"Tacc2"</f>
        <v>Tacc2</v>
      </c>
      <c r="B20340" t="s">
        <v>5854</v>
      </c>
      <c r="C20340" t="s">
        <v>33</v>
      </c>
      <c r="D20340" t="s">
        <v>17</v>
      </c>
      <c r="E20340" t="s">
        <v>35</v>
      </c>
      <c r="F20340">
        <v>130692507</v>
      </c>
      <c r="G20340">
        <v>130692526</v>
      </c>
      <c r="H20340">
        <v>130692673</v>
      </c>
      <c r="I20340">
        <v>130692742</v>
      </c>
    </row>
    <row r="20341" spans="1:9" x14ac:dyDescent="0.2">
      <c r="A20341" t="str">
        <f>"Tacc2"</f>
        <v>Tacc2</v>
      </c>
      <c r="B20341" t="s">
        <v>5855</v>
      </c>
      <c r="C20341" t="s">
        <v>33</v>
      </c>
      <c r="D20341" t="s">
        <v>17</v>
      </c>
      <c r="E20341" t="s">
        <v>35</v>
      </c>
      <c r="F20341">
        <v>130577355</v>
      </c>
      <c r="G20341">
        <v>130577358</v>
      </c>
      <c r="H20341">
        <v>130577355</v>
      </c>
      <c r="I20341">
        <v>130577358</v>
      </c>
    </row>
    <row r="20342" spans="1:9" x14ac:dyDescent="0.2">
      <c r="A20342" t="str">
        <f>"Tacc3"</f>
        <v>Tacc3</v>
      </c>
      <c r="B20342" t="s">
        <v>14</v>
      </c>
      <c r="C20342" t="s">
        <v>46</v>
      </c>
      <c r="D20342" t="s">
        <v>17</v>
      </c>
      <c r="E20342" t="s">
        <v>12</v>
      </c>
      <c r="F20342">
        <v>33658567</v>
      </c>
      <c r="G20342">
        <v>33658616</v>
      </c>
      <c r="H20342">
        <v>33658550</v>
      </c>
      <c r="I20342">
        <v>33658563</v>
      </c>
    </row>
    <row r="20343" spans="1:9" x14ac:dyDescent="0.2">
      <c r="A20343" t="str">
        <f>"Taco1"</f>
        <v>Taco1</v>
      </c>
      <c r="B20343" t="s">
        <v>14</v>
      </c>
      <c r="C20343" t="s">
        <v>27</v>
      </c>
      <c r="D20343" t="s">
        <v>17</v>
      </c>
      <c r="E20343" t="s">
        <v>12</v>
      </c>
      <c r="F20343">
        <v>106066055</v>
      </c>
      <c r="G20343">
        <v>106066100</v>
      </c>
      <c r="H20343">
        <v>106066041</v>
      </c>
      <c r="I20343">
        <v>106066054</v>
      </c>
    </row>
    <row r="20344" spans="1:9" x14ac:dyDescent="0.2">
      <c r="A20344" t="str">
        <f>"Tacr1"</f>
        <v>Tacr1</v>
      </c>
      <c r="B20344" t="s">
        <v>14</v>
      </c>
      <c r="C20344" t="s">
        <v>32</v>
      </c>
      <c r="D20344" t="s">
        <v>17</v>
      </c>
      <c r="E20344" t="s">
        <v>12</v>
      </c>
      <c r="F20344">
        <v>82403030</v>
      </c>
      <c r="G20344">
        <v>82403044</v>
      </c>
      <c r="H20344">
        <v>82402896</v>
      </c>
      <c r="I20344">
        <v>82402914</v>
      </c>
    </row>
    <row r="20345" spans="1:9" x14ac:dyDescent="0.2">
      <c r="A20345" t="str">
        <f>"Tacr2"</f>
        <v>Tacr2</v>
      </c>
      <c r="B20345" t="s">
        <v>14</v>
      </c>
      <c r="C20345" t="s">
        <v>15</v>
      </c>
      <c r="D20345" t="s">
        <v>17</v>
      </c>
      <c r="E20345" t="s">
        <v>12</v>
      </c>
      <c r="F20345">
        <v>62252325</v>
      </c>
      <c r="G20345">
        <v>62252357</v>
      </c>
      <c r="H20345">
        <v>62252325</v>
      </c>
      <c r="I20345">
        <v>62252357</v>
      </c>
    </row>
    <row r="20346" spans="1:9" x14ac:dyDescent="0.2">
      <c r="A20346" t="str">
        <f>"Tacr3"</f>
        <v>Tacr3</v>
      </c>
      <c r="B20346" t="s">
        <v>14</v>
      </c>
      <c r="C20346" t="s">
        <v>22</v>
      </c>
      <c r="D20346" t="s">
        <v>17</v>
      </c>
      <c r="E20346" t="s">
        <v>12</v>
      </c>
      <c r="F20346">
        <v>134828993</v>
      </c>
      <c r="G20346">
        <v>134829015</v>
      </c>
      <c r="H20346">
        <v>134828963</v>
      </c>
      <c r="I20346">
        <v>134828968</v>
      </c>
    </row>
    <row r="20347" spans="1:9" x14ac:dyDescent="0.2">
      <c r="A20347" t="str">
        <f>"Tacstd2"</f>
        <v>Tacstd2</v>
      </c>
      <c r="B20347" t="s">
        <v>14</v>
      </c>
      <c r="C20347" t="s">
        <v>32</v>
      </c>
      <c r="D20347" t="s">
        <v>11</v>
      </c>
      <c r="E20347" t="s">
        <v>12</v>
      </c>
      <c r="F20347">
        <v>67535783</v>
      </c>
      <c r="G20347">
        <v>67535802</v>
      </c>
      <c r="H20347">
        <v>67535783</v>
      </c>
      <c r="I20347">
        <v>67535802</v>
      </c>
    </row>
    <row r="20348" spans="1:9" x14ac:dyDescent="0.2">
      <c r="A20348" t="str">
        <f>"Tada1"</f>
        <v>Tada1</v>
      </c>
      <c r="B20348" t="s">
        <v>14</v>
      </c>
      <c r="C20348" t="s">
        <v>19</v>
      </c>
      <c r="D20348" t="s">
        <v>17</v>
      </c>
      <c r="E20348" t="s">
        <v>12</v>
      </c>
      <c r="F20348">
        <v>166379272</v>
      </c>
      <c r="G20348">
        <v>166379357</v>
      </c>
      <c r="H20348">
        <v>166379361</v>
      </c>
      <c r="I20348">
        <v>166379407</v>
      </c>
    </row>
    <row r="20349" spans="1:9" x14ac:dyDescent="0.2">
      <c r="A20349" t="str">
        <f>"Tada2a"</f>
        <v>Tada2a</v>
      </c>
      <c r="B20349" t="s">
        <v>14</v>
      </c>
      <c r="C20349" t="s">
        <v>27</v>
      </c>
      <c r="D20349" t="s">
        <v>11</v>
      </c>
      <c r="E20349" t="s">
        <v>12</v>
      </c>
      <c r="F20349">
        <v>84129582</v>
      </c>
      <c r="G20349">
        <v>84129620</v>
      </c>
      <c r="H20349">
        <v>84129558</v>
      </c>
      <c r="I20349">
        <v>84129580</v>
      </c>
    </row>
    <row r="20350" spans="1:9" x14ac:dyDescent="0.2">
      <c r="A20350" t="str">
        <f>"Tada2b"</f>
        <v>Tada2b</v>
      </c>
      <c r="B20350" t="s">
        <v>14</v>
      </c>
      <c r="C20350" t="s">
        <v>46</v>
      </c>
      <c r="D20350" t="s">
        <v>11</v>
      </c>
      <c r="E20350" t="s">
        <v>12</v>
      </c>
      <c r="F20350">
        <v>36484234</v>
      </c>
      <c r="G20350">
        <v>36484302</v>
      </c>
      <c r="H20350">
        <v>36484204</v>
      </c>
      <c r="I20350">
        <v>36484223</v>
      </c>
    </row>
    <row r="20351" spans="1:9" x14ac:dyDescent="0.2">
      <c r="A20351" t="str">
        <f>"Tada3"</f>
        <v>Tada3</v>
      </c>
      <c r="B20351" t="s">
        <v>14</v>
      </c>
      <c r="C20351" t="s">
        <v>32</v>
      </c>
      <c r="D20351" t="s">
        <v>11</v>
      </c>
      <c r="E20351" t="s">
        <v>12</v>
      </c>
      <c r="F20351">
        <v>113377787</v>
      </c>
      <c r="G20351">
        <v>113377855</v>
      </c>
      <c r="H20351">
        <v>113377376</v>
      </c>
      <c r="I20351">
        <v>113377396</v>
      </c>
    </row>
    <row r="20352" spans="1:9" x14ac:dyDescent="0.2">
      <c r="A20352" t="str">
        <f>"Taf1"</f>
        <v>Taf1</v>
      </c>
      <c r="B20352" t="s">
        <v>14</v>
      </c>
      <c r="C20352" t="s">
        <v>37</v>
      </c>
      <c r="D20352" t="s">
        <v>17</v>
      </c>
      <c r="E20352" t="s">
        <v>12</v>
      </c>
      <c r="F20352">
        <v>101532792</v>
      </c>
      <c r="G20352">
        <v>101532875</v>
      </c>
      <c r="H20352">
        <v>101532735</v>
      </c>
      <c r="I20352">
        <v>101532777</v>
      </c>
    </row>
    <row r="20353" spans="1:9" x14ac:dyDescent="0.2">
      <c r="A20353" t="str">
        <f>"Taf10"</f>
        <v>Taf10</v>
      </c>
      <c r="B20353" t="s">
        <v>14</v>
      </c>
      <c r="C20353" t="s">
        <v>33</v>
      </c>
      <c r="D20353" t="s">
        <v>11</v>
      </c>
      <c r="E20353" t="s">
        <v>12</v>
      </c>
      <c r="F20353">
        <v>105744312</v>
      </c>
      <c r="G20353">
        <v>105744358</v>
      </c>
      <c r="H20353">
        <v>105743925</v>
      </c>
      <c r="I20353">
        <v>105743947</v>
      </c>
    </row>
    <row r="20354" spans="1:9" x14ac:dyDescent="0.2">
      <c r="A20354" t="str">
        <f>"Taf11"</f>
        <v>Taf11</v>
      </c>
      <c r="B20354" t="s">
        <v>9</v>
      </c>
      <c r="C20354" t="s">
        <v>28</v>
      </c>
      <c r="D20354" t="s">
        <v>11</v>
      </c>
      <c r="E20354" t="s">
        <v>12</v>
      </c>
      <c r="F20354">
        <v>27907706</v>
      </c>
      <c r="G20354">
        <v>27907770</v>
      </c>
      <c r="H20354">
        <v>27907706</v>
      </c>
      <c r="I20354">
        <v>27907770</v>
      </c>
    </row>
    <row r="20355" spans="1:9" x14ac:dyDescent="0.2">
      <c r="A20355" t="str">
        <f>"Taf11"</f>
        <v>Taf11</v>
      </c>
      <c r="B20355" t="s">
        <v>13</v>
      </c>
      <c r="C20355" t="s">
        <v>28</v>
      </c>
      <c r="D20355" t="s">
        <v>11</v>
      </c>
      <c r="E20355" t="s">
        <v>12</v>
      </c>
      <c r="F20355">
        <v>27909206</v>
      </c>
      <c r="G20355">
        <v>27909264</v>
      </c>
      <c r="H20355">
        <v>27909206</v>
      </c>
      <c r="I20355">
        <v>27909264</v>
      </c>
    </row>
    <row r="20356" spans="1:9" x14ac:dyDescent="0.2">
      <c r="A20356" t="str">
        <f>"Taf12"</f>
        <v>Taf12</v>
      </c>
      <c r="B20356" t="s">
        <v>14</v>
      </c>
      <c r="C20356" t="s">
        <v>23</v>
      </c>
      <c r="D20356" t="s">
        <v>17</v>
      </c>
      <c r="E20356" t="s">
        <v>12</v>
      </c>
      <c r="F20356">
        <v>132274385</v>
      </c>
      <c r="G20356">
        <v>132274433</v>
      </c>
      <c r="H20356">
        <v>132274369</v>
      </c>
      <c r="I20356">
        <v>132274383</v>
      </c>
    </row>
    <row r="20357" spans="1:9" x14ac:dyDescent="0.2">
      <c r="A20357" t="str">
        <f>"Taf13"</f>
        <v>Taf13</v>
      </c>
      <c r="B20357" t="s">
        <v>14</v>
      </c>
      <c r="C20357" t="s">
        <v>22</v>
      </c>
      <c r="D20357" t="s">
        <v>17</v>
      </c>
      <c r="E20357" t="s">
        <v>12</v>
      </c>
      <c r="F20357">
        <v>108571658</v>
      </c>
      <c r="G20357">
        <v>108571701</v>
      </c>
      <c r="H20357">
        <v>108571658</v>
      </c>
      <c r="I20357">
        <v>108571701</v>
      </c>
    </row>
    <row r="20358" spans="1:9" x14ac:dyDescent="0.2">
      <c r="A20358" t="str">
        <f>"Taf15"</f>
        <v>Taf15</v>
      </c>
      <c r="B20358" t="s">
        <v>14</v>
      </c>
      <c r="C20358" t="s">
        <v>27</v>
      </c>
      <c r="D20358" t="s">
        <v>17</v>
      </c>
      <c r="E20358" t="s">
        <v>12</v>
      </c>
      <c r="F20358">
        <v>83473079</v>
      </c>
      <c r="G20358">
        <v>83473123</v>
      </c>
      <c r="H20358">
        <v>83473140</v>
      </c>
      <c r="I20358">
        <v>83473157</v>
      </c>
    </row>
    <row r="20359" spans="1:9" x14ac:dyDescent="0.2">
      <c r="A20359" t="str">
        <f>"Taf1a"</f>
        <v>Taf1a</v>
      </c>
      <c r="B20359" t="s">
        <v>5856</v>
      </c>
      <c r="C20359" t="s">
        <v>19</v>
      </c>
      <c r="D20359" t="s">
        <v>17</v>
      </c>
      <c r="E20359" t="s">
        <v>20</v>
      </c>
      <c r="F20359">
        <v>183388980</v>
      </c>
      <c r="G20359">
        <v>183388980</v>
      </c>
      <c r="H20359">
        <v>183388980</v>
      </c>
      <c r="I20359">
        <v>183388980</v>
      </c>
    </row>
    <row r="20360" spans="1:9" x14ac:dyDescent="0.2">
      <c r="A20360" t="str">
        <f>"Taf1b"</f>
        <v>Taf1b</v>
      </c>
      <c r="B20360" t="s">
        <v>14</v>
      </c>
      <c r="C20360" t="s">
        <v>16</v>
      </c>
      <c r="D20360" t="s">
        <v>17</v>
      </c>
      <c r="E20360" t="s">
        <v>12</v>
      </c>
      <c r="F20360">
        <v>24498591</v>
      </c>
      <c r="G20360">
        <v>24498617</v>
      </c>
      <c r="H20360">
        <v>24498570</v>
      </c>
      <c r="I20360">
        <v>24498587</v>
      </c>
    </row>
    <row r="20361" spans="1:9" x14ac:dyDescent="0.2">
      <c r="A20361" t="str">
        <f>"Taf1c"</f>
        <v>Taf1c</v>
      </c>
      <c r="B20361" t="s">
        <v>14</v>
      </c>
      <c r="C20361" t="s">
        <v>30</v>
      </c>
      <c r="D20361" t="s">
        <v>11</v>
      </c>
      <c r="E20361" t="s">
        <v>12</v>
      </c>
      <c r="F20361">
        <v>119605199</v>
      </c>
      <c r="G20361">
        <v>119605213</v>
      </c>
      <c r="H20361">
        <v>119605199</v>
      </c>
      <c r="I20361">
        <v>119605213</v>
      </c>
    </row>
    <row r="20362" spans="1:9" x14ac:dyDescent="0.2">
      <c r="A20362" t="str">
        <f>"Taf1d"</f>
        <v>Taf1d</v>
      </c>
      <c r="B20362" t="s">
        <v>14</v>
      </c>
      <c r="C20362" t="s">
        <v>24</v>
      </c>
      <c r="D20362" t="s">
        <v>17</v>
      </c>
      <c r="E20362" t="s">
        <v>12</v>
      </c>
      <c r="F20362">
        <v>15306252</v>
      </c>
      <c r="G20362">
        <v>15306268</v>
      </c>
      <c r="H20362">
        <v>15306221</v>
      </c>
      <c r="I20362">
        <v>15306240</v>
      </c>
    </row>
    <row r="20363" spans="1:9" x14ac:dyDescent="0.2">
      <c r="A20363" t="str">
        <f>"Taf2"</f>
        <v>Taf2</v>
      </c>
      <c r="B20363" t="s">
        <v>14</v>
      </c>
      <c r="C20363" t="s">
        <v>25</v>
      </c>
      <c r="D20363" t="s">
        <v>11</v>
      </c>
      <c r="E20363" t="s">
        <v>12</v>
      </c>
      <c r="F20363">
        <v>55072139</v>
      </c>
      <c r="G20363">
        <v>55072161</v>
      </c>
      <c r="H20363">
        <v>55072169</v>
      </c>
      <c r="I20363">
        <v>55072177</v>
      </c>
    </row>
    <row r="20364" spans="1:9" x14ac:dyDescent="0.2">
      <c r="A20364" t="str">
        <f>"Taf3"</f>
        <v>Taf3</v>
      </c>
      <c r="B20364" t="s">
        <v>14</v>
      </c>
      <c r="C20364" t="s">
        <v>26</v>
      </c>
      <c r="D20364" t="s">
        <v>11</v>
      </c>
      <c r="E20364" t="s">
        <v>12</v>
      </c>
      <c r="F20364">
        <v>10048580</v>
      </c>
      <c r="G20364">
        <v>10048621</v>
      </c>
      <c r="H20364">
        <v>10048580</v>
      </c>
      <c r="I20364">
        <v>10048621</v>
      </c>
    </row>
    <row r="20365" spans="1:9" x14ac:dyDescent="0.2">
      <c r="A20365" t="str">
        <f>"Taf4a"</f>
        <v>Taf4a</v>
      </c>
      <c r="B20365" t="s">
        <v>14</v>
      </c>
      <c r="C20365" t="s">
        <v>26</v>
      </c>
      <c r="D20365" t="s">
        <v>11</v>
      </c>
      <c r="E20365" t="s">
        <v>12</v>
      </c>
      <c r="F20365">
        <v>179976669</v>
      </c>
      <c r="G20365">
        <v>179976728</v>
      </c>
      <c r="H20365">
        <v>179976646</v>
      </c>
      <c r="I20365">
        <v>179976665</v>
      </c>
    </row>
    <row r="20366" spans="1:9" x14ac:dyDescent="0.2">
      <c r="A20366" t="str">
        <f>"Taf4b"</f>
        <v>Taf4b</v>
      </c>
      <c r="B20366" t="s">
        <v>14</v>
      </c>
      <c r="C20366" t="s">
        <v>43</v>
      </c>
      <c r="D20366" t="s">
        <v>17</v>
      </c>
      <c r="E20366" t="s">
        <v>12</v>
      </c>
      <c r="F20366">
        <v>14783238</v>
      </c>
      <c r="G20366">
        <v>14783259</v>
      </c>
      <c r="H20366">
        <v>14783194</v>
      </c>
      <c r="I20366">
        <v>14783221</v>
      </c>
    </row>
    <row r="20367" spans="1:9" x14ac:dyDescent="0.2">
      <c r="A20367" t="str">
        <f>"Taf5"</f>
        <v>Taf5</v>
      </c>
      <c r="B20367" t="s">
        <v>14</v>
      </c>
      <c r="C20367" t="s">
        <v>10</v>
      </c>
      <c r="D20367" t="s">
        <v>17</v>
      </c>
      <c r="E20367" t="s">
        <v>12</v>
      </c>
      <c r="F20367">
        <v>47067721</v>
      </c>
      <c r="G20367">
        <v>47067768</v>
      </c>
      <c r="H20367">
        <v>47067721</v>
      </c>
      <c r="I20367">
        <v>47067768</v>
      </c>
    </row>
    <row r="20368" spans="1:9" x14ac:dyDescent="0.2">
      <c r="A20368" t="str">
        <f>"Taf5l"</f>
        <v>Taf5l</v>
      </c>
      <c r="B20368" t="s">
        <v>14</v>
      </c>
      <c r="C20368" t="s">
        <v>30</v>
      </c>
      <c r="D20368" t="s">
        <v>11</v>
      </c>
      <c r="E20368" t="s">
        <v>12</v>
      </c>
      <c r="F20368">
        <v>124021359</v>
      </c>
      <c r="G20368">
        <v>124021445</v>
      </c>
      <c r="H20368">
        <v>124021043</v>
      </c>
      <c r="I20368">
        <v>124021106</v>
      </c>
    </row>
    <row r="20369" spans="1:9" x14ac:dyDescent="0.2">
      <c r="A20369" t="str">
        <f>"Taf6"</f>
        <v>Taf6</v>
      </c>
      <c r="B20369" t="s">
        <v>14</v>
      </c>
      <c r="C20369" t="s">
        <v>46</v>
      </c>
      <c r="D20369" t="s">
        <v>11</v>
      </c>
      <c r="E20369" t="s">
        <v>12</v>
      </c>
      <c r="F20369">
        <v>138187177</v>
      </c>
      <c r="G20369">
        <v>138187237</v>
      </c>
      <c r="H20369">
        <v>138187177</v>
      </c>
      <c r="I20369">
        <v>138187237</v>
      </c>
    </row>
    <row r="20370" spans="1:9" x14ac:dyDescent="0.2">
      <c r="A20370" t="str">
        <f>"Taf6l"</f>
        <v>Taf6l</v>
      </c>
      <c r="B20370" t="s">
        <v>14</v>
      </c>
      <c r="C20370" t="s">
        <v>10</v>
      </c>
      <c r="D20370" t="s">
        <v>11</v>
      </c>
      <c r="E20370" t="s">
        <v>12</v>
      </c>
      <c r="F20370">
        <v>8786272</v>
      </c>
      <c r="G20370">
        <v>8786297</v>
      </c>
      <c r="H20370">
        <v>8786245</v>
      </c>
      <c r="I20370">
        <v>8786270</v>
      </c>
    </row>
    <row r="20371" spans="1:9" x14ac:dyDescent="0.2">
      <c r="A20371" t="str">
        <f>"Taf7"</f>
        <v>Taf7</v>
      </c>
      <c r="B20371" t="s">
        <v>14</v>
      </c>
      <c r="C20371" t="s">
        <v>43</v>
      </c>
      <c r="D20371" t="s">
        <v>11</v>
      </c>
      <c r="E20371" t="s">
        <v>12</v>
      </c>
      <c r="F20371">
        <v>37644137</v>
      </c>
      <c r="G20371">
        <v>37644178</v>
      </c>
      <c r="H20371">
        <v>37644185</v>
      </c>
      <c r="I20371">
        <v>37644209</v>
      </c>
    </row>
    <row r="20372" spans="1:9" x14ac:dyDescent="0.2">
      <c r="A20372" t="str">
        <f>"Taf7l"</f>
        <v>Taf7l</v>
      </c>
      <c r="B20372" t="s">
        <v>9</v>
      </c>
      <c r="C20372" t="s">
        <v>37</v>
      </c>
      <c r="D20372" t="s">
        <v>11</v>
      </c>
      <c r="E20372" t="s">
        <v>12</v>
      </c>
      <c r="F20372">
        <v>134474986</v>
      </c>
      <c r="G20372">
        <v>134475016</v>
      </c>
      <c r="H20372">
        <v>134474986</v>
      </c>
      <c r="I20372">
        <v>134475016</v>
      </c>
    </row>
    <row r="20373" spans="1:9" x14ac:dyDescent="0.2">
      <c r="A20373" t="str">
        <f>"Taf7l"</f>
        <v>Taf7l</v>
      </c>
      <c r="B20373" t="s">
        <v>13</v>
      </c>
      <c r="C20373" t="s">
        <v>37</v>
      </c>
      <c r="D20373" t="s">
        <v>11</v>
      </c>
      <c r="E20373" t="s">
        <v>12</v>
      </c>
      <c r="F20373">
        <v>134476479</v>
      </c>
      <c r="G20373">
        <v>134476495</v>
      </c>
      <c r="H20373">
        <v>134476479</v>
      </c>
      <c r="I20373">
        <v>134476495</v>
      </c>
    </row>
    <row r="20374" spans="1:9" x14ac:dyDescent="0.2">
      <c r="A20374" t="str">
        <f>"Taf8"</f>
        <v>Taf8</v>
      </c>
      <c r="B20374" t="s">
        <v>14</v>
      </c>
      <c r="C20374" t="s">
        <v>28</v>
      </c>
      <c r="D20374" t="s">
        <v>11</v>
      </c>
      <c r="E20374" t="s">
        <v>12</v>
      </c>
      <c r="F20374">
        <v>47502276</v>
      </c>
      <c r="G20374">
        <v>47502296</v>
      </c>
      <c r="H20374">
        <v>47502276</v>
      </c>
      <c r="I20374">
        <v>47502296</v>
      </c>
    </row>
    <row r="20375" spans="1:9" x14ac:dyDescent="0.2">
      <c r="A20375" t="str">
        <f>"Taf9"</f>
        <v>Taf9</v>
      </c>
      <c r="B20375" t="s">
        <v>14</v>
      </c>
      <c r="C20375" t="s">
        <v>39</v>
      </c>
      <c r="D20375" t="s">
        <v>17</v>
      </c>
      <c r="E20375" t="s">
        <v>12</v>
      </c>
      <c r="F20375">
        <v>100651328</v>
      </c>
      <c r="G20375">
        <v>100651397</v>
      </c>
      <c r="H20375">
        <v>100651610</v>
      </c>
      <c r="I20375">
        <v>100651631</v>
      </c>
    </row>
    <row r="20376" spans="1:9" x14ac:dyDescent="0.2">
      <c r="A20376" t="str">
        <f>"Taf9b"</f>
        <v>Taf9b</v>
      </c>
      <c r="B20376" t="s">
        <v>14</v>
      </c>
      <c r="C20376" t="s">
        <v>37</v>
      </c>
      <c r="D20376" t="s">
        <v>11</v>
      </c>
      <c r="E20376" t="s">
        <v>12</v>
      </c>
      <c r="F20376">
        <v>106219630</v>
      </c>
      <c r="G20376">
        <v>106219658</v>
      </c>
      <c r="H20376">
        <v>106219630</v>
      </c>
      <c r="I20376">
        <v>106219658</v>
      </c>
    </row>
    <row r="20377" spans="1:9" x14ac:dyDescent="0.2">
      <c r="A20377" t="str">
        <f>"Tagap"</f>
        <v>Tagap</v>
      </c>
      <c r="B20377" t="s">
        <v>14</v>
      </c>
      <c r="C20377" t="s">
        <v>28</v>
      </c>
      <c r="D20377" t="s">
        <v>17</v>
      </c>
      <c r="E20377" t="s">
        <v>12</v>
      </c>
      <c r="F20377">
        <v>7925990</v>
      </c>
      <c r="G20377">
        <v>7926006</v>
      </c>
      <c r="H20377">
        <v>7925990</v>
      </c>
      <c r="I20377">
        <v>7926006</v>
      </c>
    </row>
    <row r="20378" spans="1:9" x14ac:dyDescent="0.2">
      <c r="A20378" t="str">
        <f>"Tagap1"</f>
        <v>Tagap1</v>
      </c>
      <c r="B20378" t="s">
        <v>5857</v>
      </c>
      <c r="C20378" t="s">
        <v>28</v>
      </c>
      <c r="D20378" t="s">
        <v>11</v>
      </c>
      <c r="E20378" t="s">
        <v>20</v>
      </c>
      <c r="F20378">
        <v>6961155</v>
      </c>
      <c r="G20378">
        <v>6961155</v>
      </c>
      <c r="H20378">
        <v>6961155</v>
      </c>
      <c r="I20378">
        <v>6961155</v>
      </c>
    </row>
    <row r="20379" spans="1:9" x14ac:dyDescent="0.2">
      <c r="A20379" t="str">
        <f>"Tagln"</f>
        <v>Tagln</v>
      </c>
      <c r="B20379" t="s">
        <v>14</v>
      </c>
      <c r="C20379" t="s">
        <v>24</v>
      </c>
      <c r="D20379" t="s">
        <v>11</v>
      </c>
      <c r="E20379" t="s">
        <v>12</v>
      </c>
      <c r="F20379">
        <v>45935887</v>
      </c>
      <c r="G20379">
        <v>45935903</v>
      </c>
      <c r="H20379">
        <v>45936049</v>
      </c>
      <c r="I20379">
        <v>45936106</v>
      </c>
    </row>
    <row r="20380" spans="1:9" x14ac:dyDescent="0.2">
      <c r="A20380" t="str">
        <f>"Tagln2"</f>
        <v>Tagln2</v>
      </c>
      <c r="B20380" t="s">
        <v>14</v>
      </c>
      <c r="C20380" t="s">
        <v>19</v>
      </c>
      <c r="D20380" t="s">
        <v>17</v>
      </c>
      <c r="E20380" t="s">
        <v>12</v>
      </c>
      <c r="F20380">
        <v>172500265</v>
      </c>
      <c r="G20380">
        <v>172500288</v>
      </c>
      <c r="H20380">
        <v>172500241</v>
      </c>
      <c r="I20380">
        <v>172500248</v>
      </c>
    </row>
    <row r="20381" spans="1:9" x14ac:dyDescent="0.2">
      <c r="A20381" t="str">
        <f>"Tagln3"</f>
        <v>Tagln3</v>
      </c>
      <c r="B20381" t="s">
        <v>14</v>
      </c>
      <c r="C20381" t="s">
        <v>31</v>
      </c>
      <c r="D20381" t="s">
        <v>11</v>
      </c>
      <c r="E20381" t="s">
        <v>12</v>
      </c>
      <c r="F20381">
        <v>45724344</v>
      </c>
      <c r="G20381">
        <v>45724454</v>
      </c>
      <c r="H20381">
        <v>45724526</v>
      </c>
      <c r="I20381">
        <v>45724545</v>
      </c>
    </row>
    <row r="20382" spans="1:9" x14ac:dyDescent="0.2">
      <c r="A20382" t="str">
        <f>"Tal1"</f>
        <v>Tal1</v>
      </c>
      <c r="B20382" t="s">
        <v>9</v>
      </c>
      <c r="C20382" t="s">
        <v>23</v>
      </c>
      <c r="D20382" t="s">
        <v>17</v>
      </c>
      <c r="E20382" t="s">
        <v>12</v>
      </c>
      <c r="F20382">
        <v>115059507</v>
      </c>
      <c r="G20382">
        <v>115059553</v>
      </c>
      <c r="H20382">
        <v>115059507</v>
      </c>
      <c r="I20382">
        <v>115059553</v>
      </c>
    </row>
    <row r="20383" spans="1:9" x14ac:dyDescent="0.2">
      <c r="A20383" t="str">
        <f>"Tal1"</f>
        <v>Tal1</v>
      </c>
      <c r="B20383" t="s">
        <v>13</v>
      </c>
      <c r="C20383" t="s">
        <v>23</v>
      </c>
      <c r="D20383" t="s">
        <v>17</v>
      </c>
      <c r="E20383" t="s">
        <v>12</v>
      </c>
      <c r="F20383">
        <v>115057649</v>
      </c>
      <c r="G20383">
        <v>115057671</v>
      </c>
      <c r="H20383">
        <v>115057649</v>
      </c>
      <c r="I20383">
        <v>115057671</v>
      </c>
    </row>
    <row r="20384" spans="1:9" x14ac:dyDescent="0.2">
      <c r="A20384" t="str">
        <f>"Tal2"</f>
        <v>Tal2</v>
      </c>
      <c r="B20384" t="s">
        <v>14</v>
      </c>
      <c r="C20384" t="s">
        <v>23</v>
      </c>
      <c r="D20384" t="s">
        <v>17</v>
      </c>
      <c r="E20384" t="s">
        <v>12</v>
      </c>
      <c r="F20384">
        <v>53779694</v>
      </c>
      <c r="G20384">
        <v>53779706</v>
      </c>
      <c r="H20384">
        <v>53779711</v>
      </c>
      <c r="I20384">
        <v>53779721</v>
      </c>
    </row>
    <row r="20385" spans="1:9" x14ac:dyDescent="0.2">
      <c r="A20385" t="str">
        <f>"Taldo1"</f>
        <v>Taldo1</v>
      </c>
      <c r="B20385" t="s">
        <v>14</v>
      </c>
      <c r="C20385" t="s">
        <v>33</v>
      </c>
      <c r="D20385" t="s">
        <v>17</v>
      </c>
      <c r="E20385" t="s">
        <v>12</v>
      </c>
      <c r="F20385">
        <v>141392164</v>
      </c>
      <c r="G20385">
        <v>141392213</v>
      </c>
      <c r="H20385">
        <v>141392164</v>
      </c>
      <c r="I20385">
        <v>141392213</v>
      </c>
    </row>
    <row r="20386" spans="1:9" x14ac:dyDescent="0.2">
      <c r="A20386" t="str">
        <f>"Tamm41"</f>
        <v>Tamm41</v>
      </c>
      <c r="B20386" t="s">
        <v>14</v>
      </c>
      <c r="C20386" t="s">
        <v>32</v>
      </c>
      <c r="D20386" t="s">
        <v>11</v>
      </c>
      <c r="E20386" t="s">
        <v>67</v>
      </c>
      <c r="F20386">
        <v>115037824</v>
      </c>
      <c r="G20386">
        <v>115037881</v>
      </c>
      <c r="H20386">
        <v>115037824</v>
      </c>
      <c r="I20386">
        <v>115037881</v>
      </c>
    </row>
    <row r="20387" spans="1:9" x14ac:dyDescent="0.2">
      <c r="A20387" t="str">
        <f>"Tanc1"</f>
        <v>Tanc1</v>
      </c>
      <c r="B20387" t="s">
        <v>14</v>
      </c>
      <c r="C20387" t="s">
        <v>26</v>
      </c>
      <c r="D20387" t="s">
        <v>17</v>
      </c>
      <c r="E20387" t="s">
        <v>12</v>
      </c>
      <c r="F20387">
        <v>59612034</v>
      </c>
      <c r="G20387">
        <v>59612109</v>
      </c>
      <c r="H20387">
        <v>59612034</v>
      </c>
      <c r="I20387">
        <v>59612109</v>
      </c>
    </row>
    <row r="20388" spans="1:9" x14ac:dyDescent="0.2">
      <c r="A20388" t="str">
        <f>"Tanc2"</f>
        <v>Tanc2</v>
      </c>
      <c r="B20388" t="s">
        <v>14</v>
      </c>
      <c r="C20388" t="s">
        <v>27</v>
      </c>
      <c r="D20388" t="s">
        <v>17</v>
      </c>
      <c r="E20388" t="s">
        <v>12</v>
      </c>
      <c r="F20388">
        <v>105589758</v>
      </c>
      <c r="G20388">
        <v>105589808</v>
      </c>
      <c r="H20388">
        <v>105589970</v>
      </c>
      <c r="I20388">
        <v>105590028</v>
      </c>
    </row>
    <row r="20389" spans="1:9" x14ac:dyDescent="0.2">
      <c r="A20389" t="str">
        <f>"Tango2"</f>
        <v>Tango2</v>
      </c>
      <c r="B20389" t="s">
        <v>14</v>
      </c>
      <c r="C20389" t="s">
        <v>31</v>
      </c>
      <c r="D20389" t="s">
        <v>11</v>
      </c>
      <c r="E20389" t="s">
        <v>67</v>
      </c>
      <c r="F20389">
        <v>18343882</v>
      </c>
      <c r="G20389">
        <v>18343932</v>
      </c>
      <c r="H20389">
        <v>18343882</v>
      </c>
      <c r="I20389">
        <v>18343932</v>
      </c>
    </row>
    <row r="20390" spans="1:9" x14ac:dyDescent="0.2">
      <c r="A20390" t="str">
        <f>"Tango6"</f>
        <v>Tango6</v>
      </c>
      <c r="B20390" t="s">
        <v>14</v>
      </c>
      <c r="C20390" t="s">
        <v>30</v>
      </c>
      <c r="D20390" t="s">
        <v>17</v>
      </c>
      <c r="E20390" t="s">
        <v>67</v>
      </c>
      <c r="F20390">
        <v>106683052</v>
      </c>
      <c r="G20390">
        <v>106683094</v>
      </c>
      <c r="H20390">
        <v>106683133</v>
      </c>
      <c r="I20390">
        <v>106683154</v>
      </c>
    </row>
    <row r="20391" spans="1:9" x14ac:dyDescent="0.2">
      <c r="A20391" t="str">
        <f>"Tank"</f>
        <v>Tank</v>
      </c>
      <c r="B20391" t="s">
        <v>9</v>
      </c>
      <c r="C20391" t="s">
        <v>26</v>
      </c>
      <c r="D20391" t="s">
        <v>17</v>
      </c>
      <c r="E20391" t="s">
        <v>12</v>
      </c>
      <c r="F20391">
        <v>61593125</v>
      </c>
      <c r="G20391">
        <v>61593175</v>
      </c>
      <c r="H20391">
        <v>61593125</v>
      </c>
      <c r="I20391">
        <v>61593175</v>
      </c>
    </row>
    <row r="20392" spans="1:9" x14ac:dyDescent="0.2">
      <c r="A20392" t="str">
        <f>"Tank"</f>
        <v>Tank</v>
      </c>
      <c r="B20392" t="s">
        <v>13</v>
      </c>
      <c r="C20392" t="s">
        <v>26</v>
      </c>
      <c r="D20392" t="s">
        <v>17</v>
      </c>
      <c r="E20392" t="s">
        <v>12</v>
      </c>
      <c r="F20392">
        <v>61578549</v>
      </c>
      <c r="G20392">
        <v>61578617</v>
      </c>
      <c r="H20392">
        <v>61578549</v>
      </c>
      <c r="I20392">
        <v>61578617</v>
      </c>
    </row>
    <row r="20393" spans="1:9" x14ac:dyDescent="0.2">
      <c r="A20393" t="str">
        <f>"Taok1"</f>
        <v>Taok1</v>
      </c>
      <c r="B20393" t="s">
        <v>14</v>
      </c>
      <c r="C20393" t="s">
        <v>27</v>
      </c>
      <c r="D20393" t="s">
        <v>11</v>
      </c>
      <c r="E20393" t="s">
        <v>12</v>
      </c>
      <c r="F20393">
        <v>77607812</v>
      </c>
      <c r="G20393">
        <v>77607860</v>
      </c>
      <c r="H20393">
        <v>77607600</v>
      </c>
      <c r="I20393">
        <v>77607635</v>
      </c>
    </row>
    <row r="20394" spans="1:9" x14ac:dyDescent="0.2">
      <c r="A20394" t="str">
        <f>"Taok2"</f>
        <v>Taok2</v>
      </c>
      <c r="B20394" t="s">
        <v>14</v>
      </c>
      <c r="C20394" t="s">
        <v>33</v>
      </c>
      <c r="D20394" t="s">
        <v>11</v>
      </c>
      <c r="E20394" t="s">
        <v>12</v>
      </c>
      <c r="F20394">
        <v>126884678</v>
      </c>
      <c r="G20394">
        <v>126884728</v>
      </c>
      <c r="H20394">
        <v>126884638</v>
      </c>
      <c r="I20394">
        <v>126884670</v>
      </c>
    </row>
    <row r="20395" spans="1:9" x14ac:dyDescent="0.2">
      <c r="A20395" t="str">
        <f>"Taok3"</f>
        <v>Taok3</v>
      </c>
      <c r="B20395" t="s">
        <v>9</v>
      </c>
      <c r="C20395" t="s">
        <v>46</v>
      </c>
      <c r="D20395" t="s">
        <v>17</v>
      </c>
      <c r="E20395" t="s">
        <v>12</v>
      </c>
      <c r="F20395">
        <v>117120120</v>
      </c>
      <c r="G20395">
        <v>117120180</v>
      </c>
      <c r="H20395">
        <v>117120120</v>
      </c>
      <c r="I20395">
        <v>117120180</v>
      </c>
    </row>
    <row r="20396" spans="1:9" x14ac:dyDescent="0.2">
      <c r="A20396" t="str">
        <f>"Taok3"</f>
        <v>Taok3</v>
      </c>
      <c r="B20396" t="s">
        <v>13</v>
      </c>
      <c r="C20396" t="s">
        <v>46</v>
      </c>
      <c r="D20396" t="s">
        <v>17</v>
      </c>
      <c r="E20396" t="s">
        <v>12</v>
      </c>
      <c r="F20396">
        <v>117133567</v>
      </c>
      <c r="G20396">
        <v>117133649</v>
      </c>
      <c r="H20396">
        <v>117133567</v>
      </c>
      <c r="I20396">
        <v>117133649</v>
      </c>
    </row>
    <row r="20397" spans="1:9" x14ac:dyDescent="0.2">
      <c r="A20397" t="str">
        <f>"Tap1"</f>
        <v>Tap1</v>
      </c>
      <c r="B20397" t="s">
        <v>14</v>
      </c>
      <c r="C20397" t="s">
        <v>28</v>
      </c>
      <c r="D20397" t="s">
        <v>17</v>
      </c>
      <c r="E20397" t="s">
        <v>12</v>
      </c>
      <c r="F20397">
        <v>34187789</v>
      </c>
      <c r="G20397">
        <v>34187828</v>
      </c>
      <c r="H20397">
        <v>34187702</v>
      </c>
      <c r="I20397">
        <v>34187749</v>
      </c>
    </row>
    <row r="20398" spans="1:9" x14ac:dyDescent="0.2">
      <c r="A20398" t="str">
        <f>"Tap2"</f>
        <v>Tap2</v>
      </c>
      <c r="B20398" t="s">
        <v>14</v>
      </c>
      <c r="C20398" t="s">
        <v>28</v>
      </c>
      <c r="D20398" t="s">
        <v>17</v>
      </c>
      <c r="E20398" t="s">
        <v>12</v>
      </c>
      <c r="F20398">
        <v>34204507</v>
      </c>
      <c r="G20398">
        <v>34204573</v>
      </c>
      <c r="H20398">
        <v>34204477</v>
      </c>
      <c r="I20398">
        <v>34204500</v>
      </c>
    </row>
    <row r="20399" spans="1:9" x14ac:dyDescent="0.2">
      <c r="A20399" t="str">
        <f>"Tapbp"</f>
        <v>Tapbp</v>
      </c>
      <c r="B20399" t="s">
        <v>14</v>
      </c>
      <c r="C20399" t="s">
        <v>28</v>
      </c>
      <c r="D20399" t="s">
        <v>17</v>
      </c>
      <c r="E20399" t="s">
        <v>12</v>
      </c>
      <c r="F20399">
        <v>33919645</v>
      </c>
      <c r="G20399">
        <v>33919676</v>
      </c>
      <c r="H20399">
        <v>33919679</v>
      </c>
      <c r="I20399">
        <v>33919690</v>
      </c>
    </row>
    <row r="20400" spans="1:9" x14ac:dyDescent="0.2">
      <c r="A20400" t="str">
        <f>"Tapbpl"</f>
        <v>Tapbpl</v>
      </c>
      <c r="B20400" t="s">
        <v>14</v>
      </c>
      <c r="C20400" t="s">
        <v>32</v>
      </c>
      <c r="D20400" t="s">
        <v>11</v>
      </c>
      <c r="E20400" t="s">
        <v>12</v>
      </c>
      <c r="F20400">
        <v>125231702</v>
      </c>
      <c r="G20400">
        <v>125231737</v>
      </c>
      <c r="H20400">
        <v>125231702</v>
      </c>
      <c r="I20400">
        <v>125231737</v>
      </c>
    </row>
    <row r="20401" spans="1:9" x14ac:dyDescent="0.2">
      <c r="A20401" t="str">
        <f>"Tapt1"</f>
        <v>Tapt1</v>
      </c>
      <c r="B20401" t="s">
        <v>14</v>
      </c>
      <c r="C20401" t="s">
        <v>46</v>
      </c>
      <c r="D20401" t="s">
        <v>11</v>
      </c>
      <c r="E20401" t="s">
        <v>12</v>
      </c>
      <c r="F20401">
        <v>44226601</v>
      </c>
      <c r="G20401">
        <v>44226633</v>
      </c>
      <c r="H20401">
        <v>44226655</v>
      </c>
      <c r="I20401">
        <v>44226664</v>
      </c>
    </row>
    <row r="20402" spans="1:9" x14ac:dyDescent="0.2">
      <c r="A20402" t="str">
        <f>"Tarbp2"</f>
        <v>Tarbp2</v>
      </c>
      <c r="B20402" t="s">
        <v>14</v>
      </c>
      <c r="C20402" t="s">
        <v>25</v>
      </c>
      <c r="D20402" t="s">
        <v>17</v>
      </c>
      <c r="E20402" t="s">
        <v>12</v>
      </c>
      <c r="F20402">
        <v>102518405</v>
      </c>
      <c r="G20402">
        <v>102518496</v>
      </c>
      <c r="H20402">
        <v>102518714</v>
      </c>
      <c r="I20402">
        <v>102518778</v>
      </c>
    </row>
    <row r="20403" spans="1:9" x14ac:dyDescent="0.2">
      <c r="A20403" t="str">
        <f>"Tardbp"</f>
        <v>Tardbp</v>
      </c>
      <c r="B20403" t="s">
        <v>14</v>
      </c>
      <c r="C20403" t="s">
        <v>23</v>
      </c>
      <c r="D20403" t="s">
        <v>11</v>
      </c>
      <c r="E20403" t="s">
        <v>12</v>
      </c>
      <c r="F20403">
        <v>148626756</v>
      </c>
      <c r="G20403">
        <v>148626775</v>
      </c>
      <c r="H20403">
        <v>148626731</v>
      </c>
      <c r="I20403">
        <v>148626746</v>
      </c>
    </row>
    <row r="20404" spans="1:9" x14ac:dyDescent="0.2">
      <c r="A20404" t="str">
        <f>"Tarm1"</f>
        <v>Tarm1</v>
      </c>
      <c r="B20404" t="s">
        <v>14</v>
      </c>
      <c r="C20404" t="s">
        <v>33</v>
      </c>
      <c r="D20404" t="s">
        <v>11</v>
      </c>
      <c r="E20404" t="s">
        <v>12</v>
      </c>
      <c r="F20404">
        <v>3502542</v>
      </c>
      <c r="G20404">
        <v>3502578</v>
      </c>
      <c r="H20404">
        <v>3502617</v>
      </c>
      <c r="I20404">
        <v>3502629</v>
      </c>
    </row>
    <row r="20405" spans="1:9" x14ac:dyDescent="0.2">
      <c r="A20405" t="str">
        <f>"Tars"</f>
        <v>Tars</v>
      </c>
      <c r="B20405" t="s">
        <v>14</v>
      </c>
      <c r="C20405" t="s">
        <v>25</v>
      </c>
      <c r="D20405" t="s">
        <v>11</v>
      </c>
      <c r="E20405" t="s">
        <v>12</v>
      </c>
      <c r="F20405">
        <v>11399594</v>
      </c>
      <c r="G20405">
        <v>11399674</v>
      </c>
      <c r="H20405">
        <v>11399580</v>
      </c>
      <c r="I20405">
        <v>11399593</v>
      </c>
    </row>
    <row r="20406" spans="1:9" x14ac:dyDescent="0.2">
      <c r="A20406" t="str">
        <f>"Tars2"</f>
        <v>Tars2</v>
      </c>
      <c r="B20406" t="s">
        <v>14</v>
      </c>
      <c r="C20406" t="s">
        <v>22</v>
      </c>
      <c r="D20406" t="s">
        <v>11</v>
      </c>
      <c r="E20406" t="s">
        <v>12</v>
      </c>
      <c r="F20406">
        <v>95754841</v>
      </c>
      <c r="G20406">
        <v>95754887</v>
      </c>
      <c r="H20406">
        <v>95754824</v>
      </c>
      <c r="I20406">
        <v>95754831</v>
      </c>
    </row>
    <row r="20407" spans="1:9" x14ac:dyDescent="0.2">
      <c r="A20407" t="str">
        <f>"Tarsl2"</f>
        <v>Tarsl2</v>
      </c>
      <c r="B20407" t="s">
        <v>14</v>
      </c>
      <c r="C20407" t="s">
        <v>33</v>
      </c>
      <c r="D20407" t="s">
        <v>17</v>
      </c>
      <c r="E20407" t="s">
        <v>12</v>
      </c>
      <c r="F20407">
        <v>65644884</v>
      </c>
      <c r="G20407">
        <v>65644911</v>
      </c>
      <c r="H20407">
        <v>65644918</v>
      </c>
      <c r="I20407">
        <v>65644932</v>
      </c>
    </row>
    <row r="20408" spans="1:9" x14ac:dyDescent="0.2">
      <c r="A20408" t="str">
        <f>"Tas1r1"</f>
        <v>Tas1r1</v>
      </c>
      <c r="B20408" t="s">
        <v>14</v>
      </c>
      <c r="C20408" t="s">
        <v>23</v>
      </c>
      <c r="D20408" t="s">
        <v>11</v>
      </c>
      <c r="E20408" t="s">
        <v>12</v>
      </c>
      <c r="F20408">
        <v>152038432</v>
      </c>
      <c r="G20408">
        <v>152038441</v>
      </c>
      <c r="H20408">
        <v>152038475</v>
      </c>
      <c r="I20408">
        <v>152038488</v>
      </c>
    </row>
    <row r="20409" spans="1:9" x14ac:dyDescent="0.2">
      <c r="A20409" t="str">
        <f>"Tas1r2"</f>
        <v>Tas1r2</v>
      </c>
      <c r="B20409" t="s">
        <v>5858</v>
      </c>
      <c r="C20409" t="s">
        <v>23</v>
      </c>
      <c r="D20409" t="s">
        <v>17</v>
      </c>
      <c r="E20409" t="s">
        <v>20</v>
      </c>
      <c r="F20409">
        <v>139653537</v>
      </c>
      <c r="G20409">
        <v>139653537</v>
      </c>
      <c r="H20409">
        <v>139653537</v>
      </c>
      <c r="I20409">
        <v>139653537</v>
      </c>
    </row>
    <row r="20410" spans="1:9" x14ac:dyDescent="0.2">
      <c r="A20410" t="str">
        <f>"Tas1r3"</f>
        <v>Tas1r3</v>
      </c>
      <c r="B20410" t="s">
        <v>5859</v>
      </c>
      <c r="C20410" t="s">
        <v>23</v>
      </c>
      <c r="D20410" t="s">
        <v>11</v>
      </c>
      <c r="E20410" t="s">
        <v>20</v>
      </c>
      <c r="F20410">
        <v>155863361</v>
      </c>
      <c r="G20410">
        <v>155863361</v>
      </c>
      <c r="H20410">
        <v>155863361</v>
      </c>
      <c r="I20410">
        <v>155863361</v>
      </c>
    </row>
    <row r="20411" spans="1:9" x14ac:dyDescent="0.2">
      <c r="A20411" t="str">
        <f>"Tas2r102"</f>
        <v>Tas2r102</v>
      </c>
      <c r="B20411" t="s">
        <v>5860</v>
      </c>
      <c r="C20411" t="s">
        <v>32</v>
      </c>
      <c r="D20411" t="s">
        <v>17</v>
      </c>
      <c r="E20411" t="s">
        <v>20</v>
      </c>
      <c r="F20411">
        <v>132762130</v>
      </c>
      <c r="G20411">
        <v>132762130</v>
      </c>
      <c r="H20411">
        <v>132762130</v>
      </c>
      <c r="I20411">
        <v>132762130</v>
      </c>
    </row>
    <row r="20412" spans="1:9" x14ac:dyDescent="0.2">
      <c r="A20412" t="str">
        <f>"Tas2r103"</f>
        <v>Tas2r103</v>
      </c>
      <c r="B20412" t="s">
        <v>5861</v>
      </c>
      <c r="C20412" t="s">
        <v>32</v>
      </c>
      <c r="D20412" t="s">
        <v>11</v>
      </c>
      <c r="E20412" t="s">
        <v>20</v>
      </c>
      <c r="F20412">
        <v>133037100</v>
      </c>
      <c r="G20412">
        <v>133037100</v>
      </c>
      <c r="H20412">
        <v>133037100</v>
      </c>
      <c r="I20412">
        <v>133037100</v>
      </c>
    </row>
    <row r="20413" spans="1:9" x14ac:dyDescent="0.2">
      <c r="A20413" t="str">
        <f>"Tas2r104"</f>
        <v>Tas2r104</v>
      </c>
      <c r="B20413" t="s">
        <v>5862</v>
      </c>
      <c r="C20413" t="s">
        <v>32</v>
      </c>
      <c r="D20413" t="s">
        <v>11</v>
      </c>
      <c r="E20413" t="s">
        <v>20</v>
      </c>
      <c r="F20413">
        <v>131685743</v>
      </c>
      <c r="G20413">
        <v>131685743</v>
      </c>
      <c r="H20413">
        <v>131685743</v>
      </c>
      <c r="I20413">
        <v>131685743</v>
      </c>
    </row>
    <row r="20414" spans="1:9" x14ac:dyDescent="0.2">
      <c r="A20414" t="str">
        <f>"Tas2r105"</f>
        <v>Tas2r105</v>
      </c>
      <c r="B20414" t="s">
        <v>5863</v>
      </c>
      <c r="C20414" t="s">
        <v>32</v>
      </c>
      <c r="D20414" t="s">
        <v>11</v>
      </c>
      <c r="E20414" t="s">
        <v>20</v>
      </c>
      <c r="F20414">
        <v>131687494</v>
      </c>
      <c r="G20414">
        <v>131687494</v>
      </c>
      <c r="H20414">
        <v>131687494</v>
      </c>
      <c r="I20414">
        <v>131687494</v>
      </c>
    </row>
    <row r="20415" spans="1:9" x14ac:dyDescent="0.2">
      <c r="A20415" t="str">
        <f>"Tas2r106"</f>
        <v>Tas2r106</v>
      </c>
      <c r="B20415" t="s">
        <v>5864</v>
      </c>
      <c r="C20415" t="s">
        <v>32</v>
      </c>
      <c r="D20415" t="s">
        <v>11</v>
      </c>
      <c r="E20415" t="s">
        <v>20</v>
      </c>
      <c r="F20415">
        <v>131678885</v>
      </c>
      <c r="G20415">
        <v>131678885</v>
      </c>
      <c r="H20415">
        <v>131678885</v>
      </c>
      <c r="I20415">
        <v>131678885</v>
      </c>
    </row>
    <row r="20416" spans="1:9" x14ac:dyDescent="0.2">
      <c r="A20416" t="str">
        <f>"Tas2r107"</f>
        <v>Tas2r107</v>
      </c>
      <c r="B20416" t="s">
        <v>5865</v>
      </c>
      <c r="C20416" t="s">
        <v>32</v>
      </c>
      <c r="D20416" t="s">
        <v>11</v>
      </c>
      <c r="E20416" t="s">
        <v>20</v>
      </c>
      <c r="F20416">
        <v>131660148</v>
      </c>
      <c r="G20416">
        <v>131660148</v>
      </c>
      <c r="H20416">
        <v>131660148</v>
      </c>
      <c r="I20416">
        <v>131660148</v>
      </c>
    </row>
    <row r="20417" spans="1:9" x14ac:dyDescent="0.2">
      <c r="A20417" t="str">
        <f>"Tas2r108"</f>
        <v>Tas2r108</v>
      </c>
      <c r="B20417" t="s">
        <v>5866</v>
      </c>
      <c r="C20417" t="s">
        <v>32</v>
      </c>
      <c r="D20417" t="s">
        <v>17</v>
      </c>
      <c r="E20417" t="s">
        <v>20</v>
      </c>
      <c r="F20417">
        <v>40493591</v>
      </c>
      <c r="G20417">
        <v>40493591</v>
      </c>
      <c r="H20417">
        <v>40493591</v>
      </c>
      <c r="I20417">
        <v>40493591</v>
      </c>
    </row>
    <row r="20418" spans="1:9" x14ac:dyDescent="0.2">
      <c r="A20418" t="str">
        <f>"Tas2r109"</f>
        <v>Tas2r109</v>
      </c>
      <c r="B20418" t="s">
        <v>5867</v>
      </c>
      <c r="C20418" t="s">
        <v>32</v>
      </c>
      <c r="D20418" t="s">
        <v>11</v>
      </c>
      <c r="E20418" t="s">
        <v>20</v>
      </c>
      <c r="F20418">
        <v>132980964</v>
      </c>
      <c r="G20418">
        <v>132980964</v>
      </c>
      <c r="H20418">
        <v>132980964</v>
      </c>
      <c r="I20418">
        <v>132980964</v>
      </c>
    </row>
    <row r="20419" spans="1:9" x14ac:dyDescent="0.2">
      <c r="A20419" t="str">
        <f>"Tas2r110"</f>
        <v>Tas2r110</v>
      </c>
      <c r="B20419" t="s">
        <v>5868</v>
      </c>
      <c r="C20419" t="s">
        <v>32</v>
      </c>
      <c r="D20419" t="s">
        <v>17</v>
      </c>
      <c r="E20419" t="s">
        <v>20</v>
      </c>
      <c r="F20419">
        <v>132868007</v>
      </c>
      <c r="G20419">
        <v>132868007</v>
      </c>
      <c r="H20419">
        <v>132868007</v>
      </c>
      <c r="I20419">
        <v>132868007</v>
      </c>
    </row>
    <row r="20420" spans="1:9" x14ac:dyDescent="0.2">
      <c r="A20420" t="str">
        <f>"Tas2r113"</f>
        <v>Tas2r113</v>
      </c>
      <c r="B20420" t="s">
        <v>5869</v>
      </c>
      <c r="C20420" t="s">
        <v>32</v>
      </c>
      <c r="D20420" t="s">
        <v>17</v>
      </c>
      <c r="E20420" t="s">
        <v>20</v>
      </c>
      <c r="F20420">
        <v>132893010</v>
      </c>
      <c r="G20420">
        <v>132893010</v>
      </c>
      <c r="H20420">
        <v>132893010</v>
      </c>
      <c r="I20420">
        <v>132893010</v>
      </c>
    </row>
    <row r="20421" spans="1:9" x14ac:dyDescent="0.2">
      <c r="A20421" t="str">
        <f>"Tas2r114"</f>
        <v>Tas2r114</v>
      </c>
      <c r="B20421" t="s">
        <v>5870</v>
      </c>
      <c r="C20421" t="s">
        <v>32</v>
      </c>
      <c r="D20421" t="s">
        <v>11</v>
      </c>
      <c r="E20421" t="s">
        <v>20</v>
      </c>
      <c r="F20421">
        <v>131690062</v>
      </c>
      <c r="G20421">
        <v>131690062</v>
      </c>
      <c r="H20421">
        <v>131690062</v>
      </c>
      <c r="I20421">
        <v>131690062</v>
      </c>
    </row>
    <row r="20422" spans="1:9" x14ac:dyDescent="0.2">
      <c r="A20422" t="str">
        <f>"Tas2r115"</f>
        <v>Tas2r115</v>
      </c>
      <c r="B20422" t="s">
        <v>14</v>
      </c>
      <c r="C20422" t="s">
        <v>32</v>
      </c>
      <c r="D20422" t="s">
        <v>11</v>
      </c>
      <c r="E20422" t="s">
        <v>12</v>
      </c>
      <c r="F20422">
        <v>132738213</v>
      </c>
      <c r="G20422">
        <v>132738236</v>
      </c>
      <c r="H20422">
        <v>132738213</v>
      </c>
      <c r="I20422">
        <v>132738236</v>
      </c>
    </row>
    <row r="20423" spans="1:9" x14ac:dyDescent="0.2">
      <c r="A20423" t="str">
        <f>"Tas2r116"</f>
        <v>Tas2r116</v>
      </c>
      <c r="B20423" t="s">
        <v>5871</v>
      </c>
      <c r="C20423" t="s">
        <v>32</v>
      </c>
      <c r="D20423" t="s">
        <v>17</v>
      </c>
      <c r="E20423" t="s">
        <v>20</v>
      </c>
      <c r="F20423">
        <v>132855437</v>
      </c>
      <c r="G20423">
        <v>132855437</v>
      </c>
      <c r="H20423">
        <v>132855437</v>
      </c>
      <c r="I20423">
        <v>132855437</v>
      </c>
    </row>
    <row r="20424" spans="1:9" x14ac:dyDescent="0.2">
      <c r="A20424" t="str">
        <f>"Tas2r117"</f>
        <v>Tas2r117</v>
      </c>
      <c r="B20424" t="s">
        <v>5872</v>
      </c>
      <c r="C20424" t="s">
        <v>32</v>
      </c>
      <c r="D20424" t="s">
        <v>17</v>
      </c>
      <c r="E20424" t="s">
        <v>20</v>
      </c>
      <c r="F20424">
        <v>132802817</v>
      </c>
      <c r="G20424">
        <v>132802817</v>
      </c>
      <c r="H20424">
        <v>132802817</v>
      </c>
      <c r="I20424">
        <v>132802817</v>
      </c>
    </row>
    <row r="20425" spans="1:9" x14ac:dyDescent="0.2">
      <c r="A20425" t="str">
        <f>"Tas2r118"</f>
        <v>Tas2r118</v>
      </c>
      <c r="B20425" t="s">
        <v>5873</v>
      </c>
      <c r="C20425" t="s">
        <v>32</v>
      </c>
      <c r="D20425" t="s">
        <v>11</v>
      </c>
      <c r="E20425" t="s">
        <v>20</v>
      </c>
      <c r="F20425">
        <v>23970059</v>
      </c>
      <c r="G20425">
        <v>23970059</v>
      </c>
      <c r="H20425">
        <v>23970059</v>
      </c>
      <c r="I20425">
        <v>23970059</v>
      </c>
    </row>
    <row r="20426" spans="1:9" x14ac:dyDescent="0.2">
      <c r="A20426" t="str">
        <f>"Tas2r119"</f>
        <v>Tas2r119</v>
      </c>
      <c r="B20426" t="s">
        <v>5874</v>
      </c>
      <c r="C20426" t="s">
        <v>25</v>
      </c>
      <c r="D20426" t="s">
        <v>17</v>
      </c>
      <c r="E20426" t="s">
        <v>20</v>
      </c>
      <c r="F20426">
        <v>32177288</v>
      </c>
      <c r="G20426">
        <v>32177288</v>
      </c>
      <c r="H20426">
        <v>32177288</v>
      </c>
      <c r="I20426">
        <v>32177288</v>
      </c>
    </row>
    <row r="20427" spans="1:9" x14ac:dyDescent="0.2">
      <c r="A20427" t="str">
        <f>"Tas2r120"</f>
        <v>Tas2r120</v>
      </c>
      <c r="B20427" t="s">
        <v>5875</v>
      </c>
      <c r="C20427" t="s">
        <v>32</v>
      </c>
      <c r="D20427" t="s">
        <v>17</v>
      </c>
      <c r="E20427" t="s">
        <v>20</v>
      </c>
      <c r="F20427">
        <v>132656956</v>
      </c>
      <c r="G20427">
        <v>132656956</v>
      </c>
      <c r="H20427">
        <v>132656956</v>
      </c>
      <c r="I20427">
        <v>132656956</v>
      </c>
    </row>
    <row r="20428" spans="1:9" x14ac:dyDescent="0.2">
      <c r="A20428" t="str">
        <f>"Tas2r121"</f>
        <v>Tas2r121</v>
      </c>
      <c r="B20428" t="s">
        <v>5876</v>
      </c>
      <c r="C20428" t="s">
        <v>32</v>
      </c>
      <c r="D20428" t="s">
        <v>11</v>
      </c>
      <c r="E20428" t="s">
        <v>20</v>
      </c>
      <c r="F20428">
        <v>132701006</v>
      </c>
      <c r="G20428">
        <v>132701006</v>
      </c>
      <c r="H20428">
        <v>132701006</v>
      </c>
      <c r="I20428">
        <v>132701006</v>
      </c>
    </row>
    <row r="20429" spans="1:9" x14ac:dyDescent="0.2">
      <c r="A20429" t="str">
        <f>"Tas2r122"</f>
        <v>Tas2r122</v>
      </c>
      <c r="B20429" t="s">
        <v>5877</v>
      </c>
      <c r="C20429" t="s">
        <v>32</v>
      </c>
      <c r="D20429" t="s">
        <v>11</v>
      </c>
      <c r="E20429" t="s">
        <v>20</v>
      </c>
      <c r="F20429">
        <v>132711927</v>
      </c>
      <c r="G20429">
        <v>132711927</v>
      </c>
      <c r="H20429">
        <v>132711927</v>
      </c>
      <c r="I20429">
        <v>132711927</v>
      </c>
    </row>
    <row r="20430" spans="1:9" x14ac:dyDescent="0.2">
      <c r="A20430" t="str">
        <f>"Tas2r123"</f>
        <v>Tas2r123</v>
      </c>
      <c r="B20430" t="s">
        <v>5878</v>
      </c>
      <c r="C20430" t="s">
        <v>32</v>
      </c>
      <c r="D20430" t="s">
        <v>17</v>
      </c>
      <c r="E20430" t="s">
        <v>20</v>
      </c>
      <c r="F20430">
        <v>132847141</v>
      </c>
      <c r="G20430">
        <v>132847141</v>
      </c>
      <c r="H20430">
        <v>132847141</v>
      </c>
      <c r="I20430">
        <v>132847141</v>
      </c>
    </row>
    <row r="20431" spans="1:9" x14ac:dyDescent="0.2">
      <c r="A20431" t="str">
        <f>"Tas2r124"</f>
        <v>Tas2r124</v>
      </c>
      <c r="B20431" t="s">
        <v>5879</v>
      </c>
      <c r="C20431" t="s">
        <v>32</v>
      </c>
      <c r="D20431" t="s">
        <v>17</v>
      </c>
      <c r="E20431" t="s">
        <v>20</v>
      </c>
      <c r="F20431">
        <v>132754729</v>
      </c>
      <c r="G20431">
        <v>132754729</v>
      </c>
      <c r="H20431">
        <v>132754729</v>
      </c>
      <c r="I20431">
        <v>132754729</v>
      </c>
    </row>
    <row r="20432" spans="1:9" x14ac:dyDescent="0.2">
      <c r="A20432" t="str">
        <f>"Tas2r125"</f>
        <v>Tas2r125</v>
      </c>
      <c r="B20432" t="s">
        <v>5880</v>
      </c>
      <c r="C20432" t="s">
        <v>32</v>
      </c>
      <c r="D20432" t="s">
        <v>17</v>
      </c>
      <c r="E20432" t="s">
        <v>20</v>
      </c>
      <c r="F20432">
        <v>132909650</v>
      </c>
      <c r="G20432">
        <v>132909650</v>
      </c>
      <c r="H20432">
        <v>132909650</v>
      </c>
      <c r="I20432">
        <v>132909650</v>
      </c>
    </row>
    <row r="20433" spans="1:9" x14ac:dyDescent="0.2">
      <c r="A20433" t="str">
        <f>"Tas2r126"</f>
        <v>Tas2r126</v>
      </c>
      <c r="B20433" t="s">
        <v>5881</v>
      </c>
      <c r="C20433" t="s">
        <v>32</v>
      </c>
      <c r="D20433" t="s">
        <v>17</v>
      </c>
      <c r="E20433" t="s">
        <v>20</v>
      </c>
      <c r="F20433">
        <v>42434534</v>
      </c>
      <c r="G20433">
        <v>42434534</v>
      </c>
      <c r="H20433">
        <v>42434534</v>
      </c>
      <c r="I20433">
        <v>42434534</v>
      </c>
    </row>
    <row r="20434" spans="1:9" x14ac:dyDescent="0.2">
      <c r="A20434" t="str">
        <f>"Tas2r129"</f>
        <v>Tas2r129</v>
      </c>
      <c r="B20434" t="s">
        <v>5882</v>
      </c>
      <c r="C20434" t="s">
        <v>32</v>
      </c>
      <c r="D20434" t="s">
        <v>17</v>
      </c>
      <c r="E20434" t="s">
        <v>20</v>
      </c>
      <c r="F20434">
        <v>132951101</v>
      </c>
      <c r="G20434">
        <v>132951101</v>
      </c>
      <c r="H20434">
        <v>132951101</v>
      </c>
      <c r="I20434">
        <v>132951101</v>
      </c>
    </row>
    <row r="20435" spans="1:9" x14ac:dyDescent="0.2">
      <c r="A20435" t="str">
        <f>"Tas2r130"</f>
        <v>Tas2r130</v>
      </c>
      <c r="B20435" t="s">
        <v>5883</v>
      </c>
      <c r="C20435" t="s">
        <v>32</v>
      </c>
      <c r="D20435" t="s">
        <v>11</v>
      </c>
      <c r="E20435" t="s">
        <v>20</v>
      </c>
      <c r="F20435">
        <v>131630911</v>
      </c>
      <c r="G20435">
        <v>131630911</v>
      </c>
      <c r="H20435">
        <v>131630911</v>
      </c>
      <c r="I20435">
        <v>131630911</v>
      </c>
    </row>
    <row r="20436" spans="1:9" x14ac:dyDescent="0.2">
      <c r="A20436" t="str">
        <f>"Tas2r131"</f>
        <v>Tas2r131</v>
      </c>
      <c r="B20436" t="s">
        <v>5884</v>
      </c>
      <c r="C20436" t="s">
        <v>32</v>
      </c>
      <c r="D20436" t="s">
        <v>11</v>
      </c>
      <c r="E20436" t="s">
        <v>20</v>
      </c>
      <c r="F20436">
        <v>132957918</v>
      </c>
      <c r="G20436">
        <v>132957918</v>
      </c>
      <c r="H20436">
        <v>132957918</v>
      </c>
      <c r="I20436">
        <v>132957918</v>
      </c>
    </row>
    <row r="20437" spans="1:9" x14ac:dyDescent="0.2">
      <c r="A20437" t="str">
        <f>"Tas2r134"</f>
        <v>Tas2r134</v>
      </c>
      <c r="B20437" t="s">
        <v>5885</v>
      </c>
      <c r="C20437" t="s">
        <v>26</v>
      </c>
      <c r="D20437" t="s">
        <v>17</v>
      </c>
      <c r="E20437" t="s">
        <v>20</v>
      </c>
      <c r="F20437">
        <v>51627510</v>
      </c>
      <c r="G20437">
        <v>51627510</v>
      </c>
      <c r="H20437">
        <v>51627510</v>
      </c>
      <c r="I20437">
        <v>51627510</v>
      </c>
    </row>
    <row r="20438" spans="1:9" x14ac:dyDescent="0.2">
      <c r="A20438" t="str">
        <f>"Tas2r135"</f>
        <v>Tas2r135</v>
      </c>
      <c r="B20438" t="s">
        <v>5886</v>
      </c>
      <c r="C20438" t="s">
        <v>32</v>
      </c>
      <c r="D20438" t="s">
        <v>17</v>
      </c>
      <c r="E20438" t="s">
        <v>20</v>
      </c>
      <c r="F20438">
        <v>42405433</v>
      </c>
      <c r="G20438">
        <v>42405433</v>
      </c>
      <c r="H20438">
        <v>42405433</v>
      </c>
      <c r="I20438">
        <v>42405433</v>
      </c>
    </row>
    <row r="20439" spans="1:9" x14ac:dyDescent="0.2">
      <c r="A20439" t="str">
        <f>"Tas2r136"</f>
        <v>Tas2r136</v>
      </c>
      <c r="B20439" t="s">
        <v>5887</v>
      </c>
      <c r="C20439" t="s">
        <v>32</v>
      </c>
      <c r="D20439" t="s">
        <v>11</v>
      </c>
      <c r="E20439" t="s">
        <v>20</v>
      </c>
      <c r="F20439">
        <v>132778161</v>
      </c>
      <c r="G20439">
        <v>132778161</v>
      </c>
      <c r="H20439">
        <v>132778161</v>
      </c>
      <c r="I20439">
        <v>132778161</v>
      </c>
    </row>
    <row r="20440" spans="1:9" x14ac:dyDescent="0.2">
      <c r="A20440" t="str">
        <f>"Tas2r137"</f>
        <v>Tas2r137</v>
      </c>
      <c r="B20440" t="s">
        <v>5888</v>
      </c>
      <c r="C20440" t="s">
        <v>32</v>
      </c>
      <c r="D20440" t="s">
        <v>17</v>
      </c>
      <c r="E20440" t="s">
        <v>20</v>
      </c>
      <c r="F20440">
        <v>40491237</v>
      </c>
      <c r="G20440">
        <v>40491237</v>
      </c>
      <c r="H20440">
        <v>40491237</v>
      </c>
      <c r="I20440">
        <v>40491237</v>
      </c>
    </row>
    <row r="20441" spans="1:9" x14ac:dyDescent="0.2">
      <c r="A20441" t="str">
        <f>"Tas2r138"</f>
        <v>Tas2r138</v>
      </c>
      <c r="B20441" t="s">
        <v>5889</v>
      </c>
      <c r="C20441" t="s">
        <v>32</v>
      </c>
      <c r="D20441" t="s">
        <v>11</v>
      </c>
      <c r="E20441" t="s">
        <v>20</v>
      </c>
      <c r="F20441">
        <v>40613309</v>
      </c>
      <c r="G20441">
        <v>40613309</v>
      </c>
      <c r="H20441">
        <v>40613309</v>
      </c>
      <c r="I20441">
        <v>40613309</v>
      </c>
    </row>
    <row r="20442" spans="1:9" x14ac:dyDescent="0.2">
      <c r="A20442" t="str">
        <f>"Tas2r139"</f>
        <v>Tas2r139</v>
      </c>
      <c r="B20442" t="s">
        <v>5890</v>
      </c>
      <c r="C20442" t="s">
        <v>32</v>
      </c>
      <c r="D20442" t="s">
        <v>17</v>
      </c>
      <c r="E20442" t="s">
        <v>20</v>
      </c>
      <c r="F20442">
        <v>42140935</v>
      </c>
      <c r="G20442">
        <v>42140935</v>
      </c>
      <c r="H20442">
        <v>42140935</v>
      </c>
      <c r="I20442">
        <v>42140935</v>
      </c>
    </row>
    <row r="20443" spans="1:9" x14ac:dyDescent="0.2">
      <c r="A20443" t="str">
        <f>"Tas2r140"</f>
        <v>Tas2r140</v>
      </c>
      <c r="B20443" t="s">
        <v>5891</v>
      </c>
      <c r="C20443" t="s">
        <v>32</v>
      </c>
      <c r="D20443" t="s">
        <v>11</v>
      </c>
      <c r="E20443" t="s">
        <v>20</v>
      </c>
      <c r="F20443">
        <v>133055815</v>
      </c>
      <c r="G20443">
        <v>133055815</v>
      </c>
      <c r="H20443">
        <v>133055815</v>
      </c>
      <c r="I20443">
        <v>133055815</v>
      </c>
    </row>
    <row r="20444" spans="1:9" x14ac:dyDescent="0.2">
      <c r="A20444" t="str">
        <f>"Tas2r143"</f>
        <v>Tas2r143</v>
      </c>
      <c r="B20444" t="s">
        <v>5892</v>
      </c>
      <c r="C20444" t="s">
        <v>32</v>
      </c>
      <c r="D20444" t="s">
        <v>17</v>
      </c>
      <c r="E20444" t="s">
        <v>20</v>
      </c>
      <c r="F20444">
        <v>42400237</v>
      </c>
      <c r="G20444">
        <v>42400237</v>
      </c>
      <c r="H20444">
        <v>42400237</v>
      </c>
      <c r="I20444">
        <v>42400237</v>
      </c>
    </row>
    <row r="20445" spans="1:9" x14ac:dyDescent="0.2">
      <c r="A20445" t="str">
        <f>"Tas2r144"</f>
        <v>Tas2r144</v>
      </c>
      <c r="B20445" t="s">
        <v>5893</v>
      </c>
      <c r="C20445" t="s">
        <v>32</v>
      </c>
      <c r="D20445" t="s">
        <v>17</v>
      </c>
      <c r="E20445" t="s">
        <v>20</v>
      </c>
      <c r="F20445">
        <v>42215327</v>
      </c>
      <c r="G20445">
        <v>42215327</v>
      </c>
      <c r="H20445">
        <v>42215327</v>
      </c>
      <c r="I20445">
        <v>42215327</v>
      </c>
    </row>
    <row r="20446" spans="1:9" x14ac:dyDescent="0.2">
      <c r="A20446" t="str">
        <f>"Tasp1"</f>
        <v>Tasp1</v>
      </c>
      <c r="B20446" t="s">
        <v>9</v>
      </c>
      <c r="C20446" t="s">
        <v>26</v>
      </c>
      <c r="D20446" t="s">
        <v>11</v>
      </c>
      <c r="E20446" t="s">
        <v>12</v>
      </c>
      <c r="F20446">
        <v>140066661</v>
      </c>
      <c r="G20446">
        <v>140066796</v>
      </c>
      <c r="H20446">
        <v>140066661</v>
      </c>
      <c r="I20446">
        <v>140066796</v>
      </c>
    </row>
    <row r="20447" spans="1:9" x14ac:dyDescent="0.2">
      <c r="A20447" t="str">
        <f>"Tasp1"</f>
        <v>Tasp1</v>
      </c>
      <c r="B20447" t="s">
        <v>13</v>
      </c>
      <c r="C20447" t="s">
        <v>26</v>
      </c>
      <c r="D20447" t="s">
        <v>11</v>
      </c>
      <c r="E20447" t="s">
        <v>12</v>
      </c>
      <c r="F20447">
        <v>140042139</v>
      </c>
      <c r="G20447">
        <v>140042170</v>
      </c>
      <c r="H20447">
        <v>140042139</v>
      </c>
      <c r="I20447">
        <v>140042170</v>
      </c>
    </row>
    <row r="20448" spans="1:9" x14ac:dyDescent="0.2">
      <c r="A20448" t="str">
        <f>"Tat"</f>
        <v>Tat</v>
      </c>
      <c r="B20448" t="s">
        <v>14</v>
      </c>
      <c r="C20448" t="s">
        <v>30</v>
      </c>
      <c r="D20448" t="s">
        <v>17</v>
      </c>
      <c r="E20448" t="s">
        <v>12</v>
      </c>
      <c r="F20448">
        <v>109990430</v>
      </c>
      <c r="G20448">
        <v>109990447</v>
      </c>
      <c r="H20448">
        <v>109990430</v>
      </c>
      <c r="I20448">
        <v>109990447</v>
      </c>
    </row>
    <row r="20449" spans="1:9" x14ac:dyDescent="0.2">
      <c r="A20449" t="str">
        <f>"Tatdn1"</f>
        <v>Tatdn1</v>
      </c>
      <c r="B20449" t="s">
        <v>14</v>
      </c>
      <c r="C20449" t="s">
        <v>25</v>
      </c>
      <c r="D20449" t="s">
        <v>11</v>
      </c>
      <c r="E20449" t="s">
        <v>12</v>
      </c>
      <c r="F20449">
        <v>58933688</v>
      </c>
      <c r="G20449">
        <v>58933745</v>
      </c>
      <c r="H20449">
        <v>58933688</v>
      </c>
      <c r="I20449">
        <v>58933745</v>
      </c>
    </row>
    <row r="20450" spans="1:9" x14ac:dyDescent="0.2">
      <c r="A20450" t="str">
        <f>"Tatdn2"</f>
        <v>Tatdn2</v>
      </c>
      <c r="B20450" t="s">
        <v>14</v>
      </c>
      <c r="C20450" t="s">
        <v>32</v>
      </c>
      <c r="D20450" t="s">
        <v>17</v>
      </c>
      <c r="E20450" t="s">
        <v>12</v>
      </c>
      <c r="F20450">
        <v>113697074</v>
      </c>
      <c r="G20450">
        <v>113697159</v>
      </c>
      <c r="H20450">
        <v>113697074</v>
      </c>
      <c r="I20450">
        <v>113697159</v>
      </c>
    </row>
    <row r="20451" spans="1:9" x14ac:dyDescent="0.2">
      <c r="A20451" t="str">
        <f>"Tatdn3"</f>
        <v>Tatdn3</v>
      </c>
      <c r="B20451" t="s">
        <v>14</v>
      </c>
      <c r="C20451" t="s">
        <v>19</v>
      </c>
      <c r="D20451" t="s">
        <v>11</v>
      </c>
      <c r="E20451" t="s">
        <v>12</v>
      </c>
      <c r="F20451">
        <v>191062896</v>
      </c>
      <c r="G20451">
        <v>191062911</v>
      </c>
      <c r="H20451">
        <v>191062876</v>
      </c>
      <c r="I20451">
        <v>191062887</v>
      </c>
    </row>
    <row r="20452" spans="1:9" x14ac:dyDescent="0.2">
      <c r="A20452" t="str">
        <f>"Tax1bp1"</f>
        <v>Tax1bp1</v>
      </c>
      <c r="B20452" t="s">
        <v>14</v>
      </c>
      <c r="C20452" t="s">
        <v>32</v>
      </c>
      <c r="D20452" t="s">
        <v>17</v>
      </c>
      <c r="E20452" t="s">
        <v>12</v>
      </c>
      <c r="F20452">
        <v>52713731</v>
      </c>
      <c r="G20452">
        <v>52713800</v>
      </c>
      <c r="H20452">
        <v>52714003</v>
      </c>
      <c r="I20452">
        <v>52714049</v>
      </c>
    </row>
    <row r="20453" spans="1:9" x14ac:dyDescent="0.2">
      <c r="A20453" t="str">
        <f>"Tax1bp3"</f>
        <v>Tax1bp3</v>
      </c>
      <c r="B20453" t="s">
        <v>14</v>
      </c>
      <c r="C20453" t="s">
        <v>27</v>
      </c>
      <c r="D20453" t="s">
        <v>17</v>
      </c>
      <c r="E20453" t="s">
        <v>12</v>
      </c>
      <c r="F20453">
        <v>73177200</v>
      </c>
      <c r="G20453">
        <v>73177235</v>
      </c>
      <c r="H20453">
        <v>73177236</v>
      </c>
      <c r="I20453">
        <v>73177261</v>
      </c>
    </row>
    <row r="20454" spans="1:9" x14ac:dyDescent="0.2">
      <c r="A20454" t="str">
        <f>"Taz"</f>
        <v>Taz</v>
      </c>
      <c r="B20454" t="s">
        <v>14</v>
      </c>
      <c r="C20454" t="s">
        <v>37</v>
      </c>
      <c r="D20454" t="s">
        <v>17</v>
      </c>
      <c r="E20454" t="s">
        <v>12</v>
      </c>
      <c r="F20454">
        <v>74282722</v>
      </c>
      <c r="G20454">
        <v>74282770</v>
      </c>
      <c r="H20454">
        <v>74282778</v>
      </c>
      <c r="I20454">
        <v>74282812</v>
      </c>
    </row>
    <row r="20455" spans="1:9" x14ac:dyDescent="0.2">
      <c r="A20455" t="str">
        <f>"Tbata"</f>
        <v>Tbata</v>
      </c>
      <c r="B20455" t="s">
        <v>14</v>
      </c>
      <c r="C20455" t="s">
        <v>15</v>
      </c>
      <c r="D20455" t="s">
        <v>17</v>
      </c>
      <c r="E20455" t="s">
        <v>12</v>
      </c>
      <c r="F20455">
        <v>61175712</v>
      </c>
      <c r="G20455">
        <v>61175729</v>
      </c>
      <c r="H20455">
        <v>61175712</v>
      </c>
      <c r="I20455">
        <v>61175729</v>
      </c>
    </row>
    <row r="20456" spans="1:9" x14ac:dyDescent="0.2">
      <c r="A20456" t="str">
        <f>"Tbc1d1"</f>
        <v>Tbc1d1</v>
      </c>
      <c r="B20456" t="s">
        <v>14</v>
      </c>
      <c r="C20456" t="s">
        <v>46</v>
      </c>
      <c r="D20456" t="s">
        <v>17</v>
      </c>
      <c r="E20456" t="s">
        <v>67</v>
      </c>
      <c r="F20456">
        <v>64160227</v>
      </c>
      <c r="G20456">
        <v>64160270</v>
      </c>
      <c r="H20456">
        <v>64160227</v>
      </c>
      <c r="I20456">
        <v>64160270</v>
      </c>
    </row>
    <row r="20457" spans="1:9" x14ac:dyDescent="0.2">
      <c r="A20457" t="str">
        <f>"Tbc1d10a"</f>
        <v>Tbc1d10a</v>
      </c>
      <c r="B20457" t="s">
        <v>14</v>
      </c>
      <c r="C20457" t="s">
        <v>27</v>
      </c>
      <c r="D20457" t="s">
        <v>17</v>
      </c>
      <c r="E20457" t="s">
        <v>12</v>
      </c>
      <c r="F20457">
        <v>4186807</v>
      </c>
      <c r="G20457">
        <v>4186865</v>
      </c>
      <c r="H20457">
        <v>4186883</v>
      </c>
      <c r="I20457">
        <v>4186892</v>
      </c>
    </row>
    <row r="20458" spans="1:9" x14ac:dyDescent="0.2">
      <c r="A20458" t="str">
        <f>"Tbc1d10b"</f>
        <v>Tbc1d10b</v>
      </c>
      <c r="B20458" t="s">
        <v>14</v>
      </c>
      <c r="C20458" t="s">
        <v>33</v>
      </c>
      <c r="D20458" t="s">
        <v>11</v>
      </c>
      <c r="E20458" t="s">
        <v>12</v>
      </c>
      <c r="F20458">
        <v>127208423</v>
      </c>
      <c r="G20458">
        <v>127208504</v>
      </c>
      <c r="H20458">
        <v>127208572</v>
      </c>
      <c r="I20458">
        <v>127208643</v>
      </c>
    </row>
    <row r="20459" spans="1:9" x14ac:dyDescent="0.2">
      <c r="A20459" t="str">
        <f>"Tbc1d10c"</f>
        <v>Tbc1d10c</v>
      </c>
      <c r="B20459" t="s">
        <v>14</v>
      </c>
      <c r="C20459" t="s">
        <v>10</v>
      </c>
      <c r="D20459" t="s">
        <v>11</v>
      </c>
      <c r="E20459" t="s">
        <v>12</v>
      </c>
      <c r="F20459">
        <v>4191035</v>
      </c>
      <c r="G20459">
        <v>4191069</v>
      </c>
      <c r="H20459">
        <v>4190985</v>
      </c>
      <c r="I20459">
        <v>4191029</v>
      </c>
    </row>
    <row r="20460" spans="1:9" x14ac:dyDescent="0.2">
      <c r="A20460" t="str">
        <f>"Tbc1d12"</f>
        <v>Tbc1d12</v>
      </c>
      <c r="B20460" t="s">
        <v>14</v>
      </c>
      <c r="C20460" t="s">
        <v>10</v>
      </c>
      <c r="D20460" t="s">
        <v>17</v>
      </c>
      <c r="E20460" t="s">
        <v>12</v>
      </c>
      <c r="F20460">
        <v>38836561</v>
      </c>
      <c r="G20460">
        <v>38836612</v>
      </c>
      <c r="H20460">
        <v>38836677</v>
      </c>
      <c r="I20460">
        <v>38836692</v>
      </c>
    </row>
    <row r="20461" spans="1:9" x14ac:dyDescent="0.2">
      <c r="A20461" t="str">
        <f>"Tbc1d13"</f>
        <v>Tbc1d13</v>
      </c>
      <c r="B20461" t="s">
        <v>14</v>
      </c>
      <c r="C20461" t="s">
        <v>26</v>
      </c>
      <c r="D20461" t="s">
        <v>17</v>
      </c>
      <c r="E20461" t="s">
        <v>12</v>
      </c>
      <c r="F20461">
        <v>30133751</v>
      </c>
      <c r="G20461">
        <v>30133806</v>
      </c>
      <c r="H20461">
        <v>30133849</v>
      </c>
      <c r="I20461">
        <v>30133865</v>
      </c>
    </row>
    <row r="20462" spans="1:9" x14ac:dyDescent="0.2">
      <c r="A20462" t="str">
        <f>"Tbc1d14"</f>
        <v>Tbc1d14</v>
      </c>
      <c r="B20462" t="s">
        <v>5894</v>
      </c>
      <c r="C20462" t="s">
        <v>46</v>
      </c>
      <c r="D20462" t="s">
        <v>11</v>
      </c>
      <c r="E20462" t="s">
        <v>35</v>
      </c>
      <c r="F20462">
        <v>36582381</v>
      </c>
      <c r="G20462">
        <v>36582399</v>
      </c>
      <c r="H20462">
        <v>36582381</v>
      </c>
      <c r="I20462">
        <v>36582399</v>
      </c>
    </row>
    <row r="20463" spans="1:9" x14ac:dyDescent="0.2">
      <c r="A20463" t="str">
        <f>"Tbc1d14"</f>
        <v>Tbc1d14</v>
      </c>
      <c r="B20463" t="s">
        <v>5895</v>
      </c>
      <c r="C20463" t="s">
        <v>46</v>
      </c>
      <c r="D20463" t="s">
        <v>11</v>
      </c>
      <c r="E20463" t="s">
        <v>35</v>
      </c>
      <c r="F20463">
        <v>36581970</v>
      </c>
      <c r="G20463">
        <v>36581980</v>
      </c>
      <c r="H20463">
        <v>36581792</v>
      </c>
      <c r="I20463">
        <v>36581809</v>
      </c>
    </row>
    <row r="20464" spans="1:9" x14ac:dyDescent="0.2">
      <c r="A20464" t="str">
        <f>"Tbc1d14"</f>
        <v>Tbc1d14</v>
      </c>
      <c r="B20464" t="s">
        <v>5896</v>
      </c>
      <c r="C20464" t="s">
        <v>46</v>
      </c>
      <c r="D20464" t="s">
        <v>11</v>
      </c>
      <c r="E20464" t="s">
        <v>20</v>
      </c>
      <c r="F20464">
        <v>36574324</v>
      </c>
      <c r="G20464">
        <v>36574324</v>
      </c>
      <c r="H20464">
        <v>36574324</v>
      </c>
      <c r="I20464">
        <v>36574324</v>
      </c>
    </row>
    <row r="20465" spans="1:9" x14ac:dyDescent="0.2">
      <c r="A20465" t="str">
        <f>"Tbc1d15"</f>
        <v>Tbc1d15</v>
      </c>
      <c r="B20465" t="s">
        <v>14</v>
      </c>
      <c r="C20465" t="s">
        <v>15</v>
      </c>
      <c r="D20465" t="s">
        <v>11</v>
      </c>
      <c r="E20465" t="s">
        <v>12</v>
      </c>
      <c r="F20465">
        <v>115251407</v>
      </c>
      <c r="G20465">
        <v>115251464</v>
      </c>
      <c r="H20465">
        <v>115251407</v>
      </c>
      <c r="I20465">
        <v>115251464</v>
      </c>
    </row>
    <row r="20466" spans="1:9" x14ac:dyDescent="0.2">
      <c r="A20466" t="str">
        <f>"Tbc1d16"</f>
        <v>Tbc1d16</v>
      </c>
      <c r="B20466" t="s">
        <v>14</v>
      </c>
      <c r="C20466" t="s">
        <v>27</v>
      </c>
      <c r="D20466" t="s">
        <v>11</v>
      </c>
      <c r="E20466" t="s">
        <v>12</v>
      </c>
      <c r="F20466">
        <v>119228461</v>
      </c>
      <c r="G20466">
        <v>119228504</v>
      </c>
      <c r="H20466">
        <v>119228461</v>
      </c>
      <c r="I20466">
        <v>119228504</v>
      </c>
    </row>
    <row r="20467" spans="1:9" x14ac:dyDescent="0.2">
      <c r="A20467" t="str">
        <f>"Tbc1d17"</f>
        <v>Tbc1d17</v>
      </c>
      <c r="B20467" t="s">
        <v>14</v>
      </c>
      <c r="C20467" t="s">
        <v>33</v>
      </c>
      <c r="D20467" t="s">
        <v>11</v>
      </c>
      <c r="E20467" t="s">
        <v>12</v>
      </c>
      <c r="F20467">
        <v>44848881</v>
      </c>
      <c r="G20467">
        <v>44848909</v>
      </c>
      <c r="H20467">
        <v>44849068</v>
      </c>
      <c r="I20467">
        <v>44849108</v>
      </c>
    </row>
    <row r="20468" spans="1:9" x14ac:dyDescent="0.2">
      <c r="A20468" t="str">
        <f>"Tbc1d19"</f>
        <v>Tbc1d19</v>
      </c>
      <c r="B20468" t="s">
        <v>14</v>
      </c>
      <c r="C20468" t="s">
        <v>46</v>
      </c>
      <c r="D20468" t="s">
        <v>17</v>
      </c>
      <c r="E20468" t="s">
        <v>12</v>
      </c>
      <c r="F20468">
        <v>53809632</v>
      </c>
      <c r="G20468">
        <v>53809683</v>
      </c>
      <c r="H20468">
        <v>53809613</v>
      </c>
      <c r="I20468">
        <v>53809629</v>
      </c>
    </row>
    <row r="20469" spans="1:9" x14ac:dyDescent="0.2">
      <c r="A20469" t="str">
        <f>"Tbc1d2"</f>
        <v>Tbc1d2</v>
      </c>
      <c r="B20469" t="s">
        <v>14</v>
      </c>
      <c r="C20469" t="s">
        <v>23</v>
      </c>
      <c r="D20469" t="s">
        <v>11</v>
      </c>
      <c r="E20469" t="s">
        <v>12</v>
      </c>
      <c r="F20469">
        <v>46650175</v>
      </c>
      <c r="G20469">
        <v>46650233</v>
      </c>
      <c r="H20469">
        <v>46650102</v>
      </c>
      <c r="I20469">
        <v>46650125</v>
      </c>
    </row>
    <row r="20470" spans="1:9" x14ac:dyDescent="0.2">
      <c r="A20470" t="str">
        <f>"Tbc1d20"</f>
        <v>Tbc1d20</v>
      </c>
      <c r="B20470" t="s">
        <v>14</v>
      </c>
      <c r="C20470" t="s">
        <v>26</v>
      </c>
      <c r="D20470" t="s">
        <v>17</v>
      </c>
      <c r="E20470" t="s">
        <v>12</v>
      </c>
      <c r="F20470">
        <v>152293863</v>
      </c>
      <c r="G20470">
        <v>152293884</v>
      </c>
      <c r="H20470">
        <v>152293831</v>
      </c>
      <c r="I20470">
        <v>152293861</v>
      </c>
    </row>
    <row r="20471" spans="1:9" x14ac:dyDescent="0.2">
      <c r="A20471" t="str">
        <f>"Tbc1d21"</f>
        <v>Tbc1d21</v>
      </c>
      <c r="B20471" t="s">
        <v>14</v>
      </c>
      <c r="C20471" t="s">
        <v>24</v>
      </c>
      <c r="D20471" t="s">
        <v>11</v>
      </c>
      <c r="E20471" t="s">
        <v>12</v>
      </c>
      <c r="F20471">
        <v>58370409</v>
      </c>
      <c r="G20471">
        <v>58370438</v>
      </c>
      <c r="H20471">
        <v>58370462</v>
      </c>
      <c r="I20471">
        <v>58370474</v>
      </c>
    </row>
    <row r="20472" spans="1:9" x14ac:dyDescent="0.2">
      <c r="A20472" t="str">
        <f>"Tbc1d22a"</f>
        <v>Tbc1d22a</v>
      </c>
      <c r="B20472" t="s">
        <v>14</v>
      </c>
      <c r="C20472" t="s">
        <v>25</v>
      </c>
      <c r="D20472" t="s">
        <v>17</v>
      </c>
      <c r="E20472" t="s">
        <v>12</v>
      </c>
      <c r="F20472">
        <v>86214431</v>
      </c>
      <c r="G20472">
        <v>86214455</v>
      </c>
      <c r="H20472">
        <v>86214431</v>
      </c>
      <c r="I20472">
        <v>86214455</v>
      </c>
    </row>
    <row r="20473" spans="1:9" x14ac:dyDescent="0.2">
      <c r="A20473" t="str">
        <f>"Tbc1d22b"</f>
        <v>Tbc1d22b</v>
      </c>
      <c r="B20473" t="s">
        <v>14</v>
      </c>
      <c r="C20473" t="s">
        <v>28</v>
      </c>
      <c r="D20473" t="s">
        <v>17</v>
      </c>
      <c r="E20473" t="s">
        <v>12</v>
      </c>
      <c r="F20473">
        <v>29549783</v>
      </c>
      <c r="G20473">
        <v>29549798</v>
      </c>
      <c r="H20473">
        <v>29549783</v>
      </c>
      <c r="I20473">
        <v>29549798</v>
      </c>
    </row>
    <row r="20474" spans="1:9" x14ac:dyDescent="0.2">
      <c r="A20474" t="str">
        <f>"Tbc1d23"</f>
        <v>Tbc1d23</v>
      </c>
      <c r="B20474" t="s">
        <v>14</v>
      </c>
      <c r="C20474" t="s">
        <v>31</v>
      </c>
      <c r="D20474" t="s">
        <v>11</v>
      </c>
      <c r="E20474" t="s">
        <v>12</v>
      </c>
      <c r="F20474">
        <v>57231364</v>
      </c>
      <c r="G20474">
        <v>57231405</v>
      </c>
      <c r="H20474">
        <v>57231434</v>
      </c>
      <c r="I20474">
        <v>57231509</v>
      </c>
    </row>
    <row r="20475" spans="1:9" x14ac:dyDescent="0.2">
      <c r="A20475" t="str">
        <f>"Tbc1d24"</f>
        <v>Tbc1d24</v>
      </c>
      <c r="B20475" t="s">
        <v>14</v>
      </c>
      <c r="C20475" t="s">
        <v>28</v>
      </c>
      <c r="D20475" t="s">
        <v>11</v>
      </c>
      <c r="E20475" t="s">
        <v>12</v>
      </c>
      <c r="F20475">
        <v>24205514</v>
      </c>
      <c r="G20475">
        <v>24205542</v>
      </c>
      <c r="H20475">
        <v>24205617</v>
      </c>
      <c r="I20475">
        <v>24205624</v>
      </c>
    </row>
    <row r="20476" spans="1:9" x14ac:dyDescent="0.2">
      <c r="A20476" t="str">
        <f>"Tbc1d25"</f>
        <v>Tbc1d25</v>
      </c>
      <c r="B20476" t="s">
        <v>14</v>
      </c>
      <c r="C20476" t="s">
        <v>37</v>
      </c>
      <c r="D20476" t="s">
        <v>11</v>
      </c>
      <c r="E20476" t="s">
        <v>12</v>
      </c>
      <c r="F20476">
        <v>8175890</v>
      </c>
      <c r="G20476">
        <v>8175956</v>
      </c>
      <c r="H20476">
        <v>8175855</v>
      </c>
      <c r="I20476">
        <v>8175877</v>
      </c>
    </row>
    <row r="20477" spans="1:9" x14ac:dyDescent="0.2">
      <c r="A20477" t="str">
        <f>"Tbc1d2b"</f>
        <v>Tbc1d2b</v>
      </c>
      <c r="B20477" t="s">
        <v>14</v>
      </c>
      <c r="C20477" t="s">
        <v>24</v>
      </c>
      <c r="D20477" t="s">
        <v>11</v>
      </c>
      <c r="E20477" t="s">
        <v>12</v>
      </c>
      <c r="F20477">
        <v>90270712</v>
      </c>
      <c r="G20477">
        <v>90270799</v>
      </c>
      <c r="H20477">
        <v>90270803</v>
      </c>
      <c r="I20477">
        <v>90270837</v>
      </c>
    </row>
    <row r="20478" spans="1:9" x14ac:dyDescent="0.2">
      <c r="A20478" t="str">
        <f>"Tbc1d30"</f>
        <v>Tbc1d30</v>
      </c>
      <c r="B20478" t="s">
        <v>14</v>
      </c>
      <c r="C20478" t="s">
        <v>15</v>
      </c>
      <c r="D20478" t="s">
        <v>11</v>
      </c>
      <c r="E20478" t="s">
        <v>12</v>
      </c>
      <c r="F20478">
        <v>121310989</v>
      </c>
      <c r="G20478">
        <v>121311003</v>
      </c>
      <c r="H20478">
        <v>121310989</v>
      </c>
      <c r="I20478">
        <v>121311003</v>
      </c>
    </row>
    <row r="20479" spans="1:9" x14ac:dyDescent="0.2">
      <c r="A20479" t="str">
        <f>"Tbc1d31"</f>
        <v>Tbc1d31</v>
      </c>
      <c r="B20479" t="s">
        <v>14</v>
      </c>
      <c r="C20479" t="s">
        <v>25</v>
      </c>
      <c r="D20479" t="s">
        <v>17</v>
      </c>
      <c r="E20479" t="s">
        <v>67</v>
      </c>
      <c r="F20479">
        <v>57912224</v>
      </c>
      <c r="G20479">
        <v>57912278</v>
      </c>
      <c r="H20479">
        <v>57912285</v>
      </c>
      <c r="I20479">
        <v>57912294</v>
      </c>
    </row>
    <row r="20480" spans="1:9" x14ac:dyDescent="0.2">
      <c r="A20480" t="str">
        <f>"Tbc1d32"</f>
        <v>Tbc1d32</v>
      </c>
      <c r="B20480" t="s">
        <v>14</v>
      </c>
      <c r="C20480" t="s">
        <v>15</v>
      </c>
      <c r="D20480" t="s">
        <v>11</v>
      </c>
      <c r="E20480" t="s">
        <v>67</v>
      </c>
      <c r="F20480">
        <v>56228636</v>
      </c>
      <c r="G20480">
        <v>56228695</v>
      </c>
      <c r="H20480">
        <v>56228636</v>
      </c>
      <c r="I20480">
        <v>56228695</v>
      </c>
    </row>
    <row r="20481" spans="1:9" x14ac:dyDescent="0.2">
      <c r="A20481" t="str">
        <f>"Tbc1d4"</f>
        <v>Tbc1d4</v>
      </c>
      <c r="B20481" t="s">
        <v>14</v>
      </c>
      <c r="C20481" t="s">
        <v>41</v>
      </c>
      <c r="D20481" t="s">
        <v>11</v>
      </c>
      <c r="E20481" t="s">
        <v>12</v>
      </c>
      <c r="F20481">
        <v>101608787</v>
      </c>
      <c r="G20481">
        <v>101608861</v>
      </c>
      <c r="H20481">
        <v>101609026</v>
      </c>
      <c r="I20481">
        <v>101609065</v>
      </c>
    </row>
    <row r="20482" spans="1:9" x14ac:dyDescent="0.2">
      <c r="A20482" t="str">
        <f>"Tbc1d5"</f>
        <v>Tbc1d5</v>
      </c>
      <c r="B20482" t="s">
        <v>14</v>
      </c>
      <c r="C20482" t="s">
        <v>28</v>
      </c>
      <c r="D20482" t="s">
        <v>11</v>
      </c>
      <c r="E20482" t="s">
        <v>12</v>
      </c>
      <c r="F20482">
        <v>51179249</v>
      </c>
      <c r="G20482">
        <v>51179343</v>
      </c>
      <c r="H20482">
        <v>51179360</v>
      </c>
      <c r="I20482">
        <v>51179371</v>
      </c>
    </row>
    <row r="20483" spans="1:9" x14ac:dyDescent="0.2">
      <c r="A20483" t="str">
        <f>"Tbc1d7"</f>
        <v>Tbc1d7</v>
      </c>
      <c r="B20483" t="s">
        <v>14</v>
      </c>
      <c r="C20483" t="s">
        <v>39</v>
      </c>
      <c r="D20483" t="s">
        <v>11</v>
      </c>
      <c r="E20483" t="s">
        <v>12</v>
      </c>
      <c r="F20483">
        <v>43171375</v>
      </c>
      <c r="G20483">
        <v>43171424</v>
      </c>
      <c r="H20483">
        <v>43171461</v>
      </c>
      <c r="I20483">
        <v>43171488</v>
      </c>
    </row>
    <row r="20484" spans="1:9" x14ac:dyDescent="0.2">
      <c r="A20484" t="str">
        <f>"Tbc1d8"</f>
        <v>Tbc1d8</v>
      </c>
      <c r="B20484" t="s">
        <v>14</v>
      </c>
      <c r="C20484" t="s">
        <v>19</v>
      </c>
      <c r="D20484" t="s">
        <v>11</v>
      </c>
      <c r="E20484" t="s">
        <v>12</v>
      </c>
      <c r="F20484">
        <v>39478680</v>
      </c>
      <c r="G20484">
        <v>39478733</v>
      </c>
      <c r="H20484">
        <v>39478734</v>
      </c>
      <c r="I20484">
        <v>39478760</v>
      </c>
    </row>
    <row r="20485" spans="1:9" x14ac:dyDescent="0.2">
      <c r="A20485" t="str">
        <f>"Tbc1d8b"</f>
        <v>Tbc1d8b</v>
      </c>
      <c r="B20485" t="s">
        <v>14</v>
      </c>
      <c r="C20485" t="s">
        <v>37</v>
      </c>
      <c r="D20485" t="s">
        <v>17</v>
      </c>
      <c r="E20485" t="s">
        <v>12</v>
      </c>
      <c r="F20485">
        <v>139684980</v>
      </c>
      <c r="G20485">
        <v>139685082</v>
      </c>
      <c r="H20485">
        <v>139684954</v>
      </c>
      <c r="I20485">
        <v>139684968</v>
      </c>
    </row>
    <row r="20486" spans="1:9" x14ac:dyDescent="0.2">
      <c r="A20486" t="str">
        <f>"Tbc1d9"</f>
        <v>Tbc1d9</v>
      </c>
      <c r="B20486" t="s">
        <v>14</v>
      </c>
      <c r="C20486" t="s">
        <v>30</v>
      </c>
      <c r="D20486" t="s">
        <v>17</v>
      </c>
      <c r="E20486" t="s">
        <v>12</v>
      </c>
      <c r="F20486">
        <v>83165448</v>
      </c>
      <c r="G20486">
        <v>83165499</v>
      </c>
      <c r="H20486">
        <v>83165502</v>
      </c>
      <c r="I20486">
        <v>83165523</v>
      </c>
    </row>
    <row r="20487" spans="1:9" x14ac:dyDescent="0.2">
      <c r="A20487" t="str">
        <f>"Tbc1d9b"</f>
        <v>Tbc1d9b</v>
      </c>
      <c r="B20487" t="s">
        <v>14</v>
      </c>
      <c r="C20487" t="s">
        <v>27</v>
      </c>
      <c r="D20487" t="s">
        <v>17</v>
      </c>
      <c r="E20487" t="s">
        <v>12</v>
      </c>
      <c r="F20487">
        <v>50131342</v>
      </c>
      <c r="G20487">
        <v>50131426</v>
      </c>
      <c r="H20487">
        <v>50131325</v>
      </c>
      <c r="I20487">
        <v>50131334</v>
      </c>
    </row>
    <row r="20488" spans="1:9" x14ac:dyDescent="0.2">
      <c r="A20488" t="str">
        <f>"Tbca"</f>
        <v>Tbca</v>
      </c>
      <c r="B20488" t="s">
        <v>14</v>
      </c>
      <c r="C20488" t="s">
        <v>39</v>
      </c>
      <c r="D20488" t="s">
        <v>17</v>
      </c>
      <c r="E20488" t="s">
        <v>12</v>
      </c>
      <c r="F20488">
        <v>94788873</v>
      </c>
      <c r="G20488">
        <v>94788951</v>
      </c>
      <c r="H20488">
        <v>94788873</v>
      </c>
      <c r="I20488">
        <v>94788951</v>
      </c>
    </row>
    <row r="20489" spans="1:9" x14ac:dyDescent="0.2">
      <c r="A20489" t="str">
        <f>"Tbcb"</f>
        <v>Tbcb</v>
      </c>
      <c r="B20489" t="s">
        <v>14</v>
      </c>
      <c r="C20489" t="s">
        <v>33</v>
      </c>
      <c r="D20489" t="s">
        <v>11</v>
      </c>
      <c r="E20489" t="s">
        <v>12</v>
      </c>
      <c r="F20489">
        <v>30231722</v>
      </c>
      <c r="G20489">
        <v>30231790</v>
      </c>
      <c r="H20489">
        <v>30231705</v>
      </c>
      <c r="I20489">
        <v>30231716</v>
      </c>
    </row>
    <row r="20490" spans="1:9" x14ac:dyDescent="0.2">
      <c r="A20490" t="str">
        <f>"Tbcc"</f>
        <v>Tbcc</v>
      </c>
      <c r="B20490" t="s">
        <v>14</v>
      </c>
      <c r="C20490" t="s">
        <v>28</v>
      </c>
      <c r="D20490" t="s">
        <v>17</v>
      </c>
      <c r="E20490" t="s">
        <v>12</v>
      </c>
      <c r="F20490">
        <v>46890653</v>
      </c>
      <c r="G20490">
        <v>46890692</v>
      </c>
      <c r="H20490">
        <v>46890625</v>
      </c>
      <c r="I20490">
        <v>46890652</v>
      </c>
    </row>
    <row r="20491" spans="1:9" x14ac:dyDescent="0.2">
      <c r="A20491" t="str">
        <f>"Tbccd1"</f>
        <v>Tbccd1</v>
      </c>
      <c r="B20491" t="s">
        <v>14</v>
      </c>
      <c r="C20491" t="s">
        <v>31</v>
      </c>
      <c r="D20491" t="s">
        <v>11</v>
      </c>
      <c r="E20491" t="s">
        <v>12</v>
      </c>
      <c r="F20491">
        <v>22857514</v>
      </c>
      <c r="G20491">
        <v>22857576</v>
      </c>
      <c r="H20491">
        <v>22857491</v>
      </c>
      <c r="I20491">
        <v>22857505</v>
      </c>
    </row>
    <row r="20492" spans="1:9" x14ac:dyDescent="0.2">
      <c r="A20492" t="str">
        <f>"Tbcd"</f>
        <v>Tbcd</v>
      </c>
      <c r="B20492" t="s">
        <v>14</v>
      </c>
      <c r="C20492" t="s">
        <v>27</v>
      </c>
      <c r="D20492" t="s">
        <v>17</v>
      </c>
      <c r="E20492" t="s">
        <v>12</v>
      </c>
      <c r="F20492">
        <v>121451973</v>
      </c>
      <c r="G20492">
        <v>121452036</v>
      </c>
      <c r="H20492">
        <v>121451954</v>
      </c>
      <c r="I20492">
        <v>121451970</v>
      </c>
    </row>
    <row r="20493" spans="1:9" x14ac:dyDescent="0.2">
      <c r="A20493" t="str">
        <f>"Tbce"</f>
        <v>Tbce</v>
      </c>
      <c r="B20493" t="s">
        <v>14</v>
      </c>
      <c r="C20493" t="s">
        <v>39</v>
      </c>
      <c r="D20493" t="s">
        <v>11</v>
      </c>
      <c r="E20493" t="s">
        <v>12</v>
      </c>
      <c r="F20493">
        <v>14039595</v>
      </c>
      <c r="G20493">
        <v>14039639</v>
      </c>
      <c r="H20493">
        <v>14039576</v>
      </c>
      <c r="I20493">
        <v>14039589</v>
      </c>
    </row>
    <row r="20494" spans="1:9" x14ac:dyDescent="0.2">
      <c r="A20494" t="str">
        <f>"Tbcel"</f>
        <v>Tbcel</v>
      </c>
      <c r="B20494" t="s">
        <v>9</v>
      </c>
      <c r="C20494" t="s">
        <v>24</v>
      </c>
      <c r="D20494" t="s">
        <v>11</v>
      </c>
      <c r="E20494" t="s">
        <v>12</v>
      </c>
      <c r="F20494">
        <v>42472198</v>
      </c>
      <c r="G20494">
        <v>42472263</v>
      </c>
      <c r="H20494">
        <v>42472198</v>
      </c>
      <c r="I20494">
        <v>42472263</v>
      </c>
    </row>
    <row r="20495" spans="1:9" x14ac:dyDescent="0.2">
      <c r="A20495" t="str">
        <f>"Tbcel"</f>
        <v>Tbcel</v>
      </c>
      <c r="B20495" t="s">
        <v>13</v>
      </c>
      <c r="C20495" t="s">
        <v>24</v>
      </c>
      <c r="D20495" t="s">
        <v>11</v>
      </c>
      <c r="E20495" t="s">
        <v>12</v>
      </c>
      <c r="F20495">
        <v>42461414</v>
      </c>
      <c r="G20495">
        <v>42461436</v>
      </c>
      <c r="H20495">
        <v>42461414</v>
      </c>
      <c r="I20495">
        <v>42461436</v>
      </c>
    </row>
    <row r="20496" spans="1:9" x14ac:dyDescent="0.2">
      <c r="A20496" t="str">
        <f>"Tbck"</f>
        <v>Tbck</v>
      </c>
      <c r="B20496" t="s">
        <v>14</v>
      </c>
      <c r="C20496" t="s">
        <v>22</v>
      </c>
      <c r="D20496" t="s">
        <v>17</v>
      </c>
      <c r="E20496" t="s">
        <v>12</v>
      </c>
      <c r="F20496">
        <v>132684159</v>
      </c>
      <c r="G20496">
        <v>132684191</v>
      </c>
      <c r="H20496">
        <v>132684106</v>
      </c>
      <c r="I20496">
        <v>132684145</v>
      </c>
    </row>
    <row r="20497" spans="1:9" x14ac:dyDescent="0.2">
      <c r="A20497" t="str">
        <f>"Tbk1"</f>
        <v>Tbk1</v>
      </c>
      <c r="B20497" t="s">
        <v>14</v>
      </c>
      <c r="C20497" t="s">
        <v>15</v>
      </c>
      <c r="D20497" t="s">
        <v>11</v>
      </c>
      <c r="E20497" t="s">
        <v>12</v>
      </c>
      <c r="F20497">
        <v>121586730</v>
      </c>
      <c r="G20497">
        <v>121586803</v>
      </c>
      <c r="H20497">
        <v>121586814</v>
      </c>
      <c r="I20497">
        <v>121586823</v>
      </c>
    </row>
    <row r="20498" spans="1:9" x14ac:dyDescent="0.2">
      <c r="A20498" t="str">
        <f>"Tbkbp1"</f>
        <v>Tbkbp1</v>
      </c>
      <c r="B20498" t="s">
        <v>9</v>
      </c>
      <c r="C20498" t="s">
        <v>27</v>
      </c>
      <c r="D20498" t="s">
        <v>11</v>
      </c>
      <c r="E20498" t="s">
        <v>12</v>
      </c>
      <c r="F20498">
        <v>97150025</v>
      </c>
      <c r="G20498">
        <v>97150084</v>
      </c>
      <c r="H20498">
        <v>97150025</v>
      </c>
      <c r="I20498">
        <v>97150084</v>
      </c>
    </row>
    <row r="20499" spans="1:9" x14ac:dyDescent="0.2">
      <c r="A20499" t="str">
        <f>"Tbkbp1"</f>
        <v>Tbkbp1</v>
      </c>
      <c r="B20499" t="s">
        <v>13</v>
      </c>
      <c r="C20499" t="s">
        <v>27</v>
      </c>
      <c r="D20499" t="s">
        <v>11</v>
      </c>
      <c r="E20499" t="s">
        <v>12</v>
      </c>
      <c r="F20499">
        <v>97151484</v>
      </c>
      <c r="G20499">
        <v>97151515</v>
      </c>
      <c r="H20499">
        <v>97151484</v>
      </c>
      <c r="I20499">
        <v>97151515</v>
      </c>
    </row>
    <row r="20500" spans="1:9" x14ac:dyDescent="0.2">
      <c r="A20500" t="str">
        <f>"Tbl1x"</f>
        <v>Tbl1x</v>
      </c>
      <c r="B20500" t="s">
        <v>14</v>
      </c>
      <c r="C20500" t="s">
        <v>37</v>
      </c>
      <c r="D20500" t="s">
        <v>17</v>
      </c>
      <c r="E20500" t="s">
        <v>12</v>
      </c>
      <c r="F20500">
        <v>77511002</v>
      </c>
      <c r="G20500">
        <v>77511100</v>
      </c>
      <c r="H20500">
        <v>77511101</v>
      </c>
      <c r="I20500">
        <v>77511137</v>
      </c>
    </row>
    <row r="20501" spans="1:9" x14ac:dyDescent="0.2">
      <c r="A20501" t="str">
        <f>"Tbl1xr1"</f>
        <v>Tbl1xr1</v>
      </c>
      <c r="B20501" t="s">
        <v>14</v>
      </c>
      <c r="C20501" t="s">
        <v>22</v>
      </c>
      <c r="D20501" t="s">
        <v>17</v>
      </c>
      <c r="E20501" t="s">
        <v>12</v>
      </c>
      <c r="F20501">
        <v>22076725</v>
      </c>
      <c r="G20501">
        <v>22076797</v>
      </c>
      <c r="H20501">
        <v>22076830</v>
      </c>
      <c r="I20501">
        <v>22076895</v>
      </c>
    </row>
    <row r="20502" spans="1:9" x14ac:dyDescent="0.2">
      <c r="A20502" t="str">
        <f>"Tbl2"</f>
        <v>Tbl2</v>
      </c>
      <c r="B20502" t="s">
        <v>14</v>
      </c>
      <c r="C20502" t="s">
        <v>46</v>
      </c>
      <c r="D20502" t="s">
        <v>17</v>
      </c>
      <c r="E20502" t="s">
        <v>12</v>
      </c>
      <c r="F20502">
        <v>135149657</v>
      </c>
      <c r="G20502">
        <v>135149739</v>
      </c>
      <c r="H20502">
        <v>135149657</v>
      </c>
      <c r="I20502">
        <v>135149739</v>
      </c>
    </row>
    <row r="20503" spans="1:9" x14ac:dyDescent="0.2">
      <c r="A20503" t="str">
        <f>"Tbl3"</f>
        <v>Tbl3</v>
      </c>
      <c r="B20503" t="s">
        <v>14</v>
      </c>
      <c r="C20503" t="s">
        <v>28</v>
      </c>
      <c r="D20503" t="s">
        <v>11</v>
      </c>
      <c r="E20503" t="s">
        <v>12</v>
      </c>
      <c r="F20503">
        <v>24707617</v>
      </c>
      <c r="G20503">
        <v>24707661</v>
      </c>
      <c r="H20503">
        <v>24707607</v>
      </c>
      <c r="I20503">
        <v>24707610</v>
      </c>
    </row>
    <row r="20504" spans="1:9" x14ac:dyDescent="0.2">
      <c r="A20504" t="str">
        <f>"Tbp"</f>
        <v>Tbp</v>
      </c>
      <c r="B20504" t="s">
        <v>14</v>
      </c>
      <c r="C20504" t="s">
        <v>28</v>
      </c>
      <c r="D20504" t="s">
        <v>17</v>
      </c>
      <c r="E20504" t="s">
        <v>12</v>
      </c>
      <c r="F20504">
        <v>15499908</v>
      </c>
      <c r="G20504">
        <v>15499959</v>
      </c>
      <c r="H20504">
        <v>15499961</v>
      </c>
      <c r="I20504">
        <v>15499976</v>
      </c>
    </row>
    <row r="20505" spans="1:9" x14ac:dyDescent="0.2">
      <c r="A20505" t="str">
        <f>"Tbpl1"</f>
        <v>Tbpl1</v>
      </c>
      <c r="B20505" t="s">
        <v>14</v>
      </c>
      <c r="C20505" t="s">
        <v>15</v>
      </c>
      <c r="D20505" t="s">
        <v>11</v>
      </c>
      <c r="E20505" t="s">
        <v>12</v>
      </c>
      <c r="F20505">
        <v>22731306</v>
      </c>
      <c r="G20505">
        <v>22731330</v>
      </c>
      <c r="H20505">
        <v>22731336</v>
      </c>
      <c r="I20505">
        <v>22731385</v>
      </c>
    </row>
    <row r="20506" spans="1:9" x14ac:dyDescent="0.2">
      <c r="A20506" t="str">
        <f>"Tbpl2"</f>
        <v>Tbpl2</v>
      </c>
      <c r="B20506" t="s">
        <v>5897</v>
      </c>
      <c r="C20506" t="s">
        <v>26</v>
      </c>
      <c r="D20506" t="s">
        <v>11</v>
      </c>
      <c r="E20506" t="s">
        <v>20</v>
      </c>
      <c r="F20506">
        <v>24096594</v>
      </c>
      <c r="G20506">
        <v>24096594</v>
      </c>
      <c r="H20506">
        <v>24096594</v>
      </c>
      <c r="I20506">
        <v>24096594</v>
      </c>
    </row>
    <row r="20507" spans="1:9" x14ac:dyDescent="0.2">
      <c r="A20507" t="str">
        <f>"Tbr1"</f>
        <v>Tbr1</v>
      </c>
      <c r="B20507" t="s">
        <v>14</v>
      </c>
      <c r="C20507" t="s">
        <v>26</v>
      </c>
      <c r="D20507" t="s">
        <v>17</v>
      </c>
      <c r="E20507" t="s">
        <v>12</v>
      </c>
      <c r="F20507">
        <v>61804574</v>
      </c>
      <c r="G20507">
        <v>61804627</v>
      </c>
      <c r="H20507">
        <v>61804574</v>
      </c>
      <c r="I20507">
        <v>61804627</v>
      </c>
    </row>
    <row r="20508" spans="1:9" x14ac:dyDescent="0.2">
      <c r="A20508" t="str">
        <f>"Tbrg1"</f>
        <v>Tbrg1</v>
      </c>
      <c r="B20508" t="s">
        <v>14</v>
      </c>
      <c r="C20508" t="s">
        <v>24</v>
      </c>
      <c r="D20508" t="s">
        <v>11</v>
      </c>
      <c r="E20508" t="s">
        <v>12</v>
      </c>
      <c r="F20508">
        <v>37657189</v>
      </c>
      <c r="G20508">
        <v>37657273</v>
      </c>
      <c r="H20508">
        <v>37657331</v>
      </c>
      <c r="I20508">
        <v>37657346</v>
      </c>
    </row>
    <row r="20509" spans="1:9" x14ac:dyDescent="0.2">
      <c r="A20509" t="str">
        <f>"Tbrg4"</f>
        <v>Tbrg4</v>
      </c>
      <c r="B20509" t="s">
        <v>14</v>
      </c>
      <c r="C20509" t="s">
        <v>27</v>
      </c>
      <c r="D20509" t="s">
        <v>11</v>
      </c>
      <c r="E20509" t="s">
        <v>12</v>
      </c>
      <c r="F20509">
        <v>6626030</v>
      </c>
      <c r="G20509">
        <v>6626072</v>
      </c>
      <c r="H20509">
        <v>6626030</v>
      </c>
      <c r="I20509">
        <v>6626072</v>
      </c>
    </row>
    <row r="20510" spans="1:9" x14ac:dyDescent="0.2">
      <c r="A20510" t="str">
        <f>"Tbx1"</f>
        <v>Tbx1</v>
      </c>
      <c r="B20510" t="s">
        <v>9</v>
      </c>
      <c r="C20510" t="s">
        <v>31</v>
      </c>
      <c r="D20510" t="s">
        <v>11</v>
      </c>
      <c r="E20510" t="s">
        <v>12</v>
      </c>
      <c r="F20510">
        <v>18586983</v>
      </c>
      <c r="G20510">
        <v>18587013</v>
      </c>
      <c r="H20510">
        <v>18586983</v>
      </c>
      <c r="I20510">
        <v>18587013</v>
      </c>
    </row>
    <row r="20511" spans="1:9" x14ac:dyDescent="0.2">
      <c r="A20511" t="str">
        <f>"Tbx1"</f>
        <v>Tbx1</v>
      </c>
      <c r="B20511" t="s">
        <v>13</v>
      </c>
      <c r="C20511" t="s">
        <v>31</v>
      </c>
      <c r="D20511" t="s">
        <v>11</v>
      </c>
      <c r="E20511" t="s">
        <v>12</v>
      </c>
      <c r="F20511">
        <v>18588198</v>
      </c>
      <c r="G20511">
        <v>18588208</v>
      </c>
      <c r="H20511">
        <v>18588198</v>
      </c>
      <c r="I20511">
        <v>18588208</v>
      </c>
    </row>
    <row r="20512" spans="1:9" x14ac:dyDescent="0.2">
      <c r="A20512" t="str">
        <f>"Tbx10"</f>
        <v>Tbx10</v>
      </c>
      <c r="B20512" t="s">
        <v>14</v>
      </c>
      <c r="C20512" t="s">
        <v>10</v>
      </c>
      <c r="D20512" t="s">
        <v>17</v>
      </c>
      <c r="E20512" t="s">
        <v>12</v>
      </c>
      <c r="F20512">
        <v>3992798</v>
      </c>
      <c r="G20512">
        <v>3992809</v>
      </c>
      <c r="H20512">
        <v>3992798</v>
      </c>
      <c r="I20512">
        <v>3992809</v>
      </c>
    </row>
    <row r="20513" spans="1:9" x14ac:dyDescent="0.2">
      <c r="A20513" t="str">
        <f>"Tbx15"</f>
        <v>Tbx15</v>
      </c>
      <c r="B20513" t="s">
        <v>14</v>
      </c>
      <c r="C20513" t="s">
        <v>22</v>
      </c>
      <c r="D20513" t="s">
        <v>17</v>
      </c>
      <c r="E20513" t="s">
        <v>12</v>
      </c>
      <c r="F20513">
        <v>99253346</v>
      </c>
      <c r="G20513">
        <v>99253383</v>
      </c>
      <c r="H20513">
        <v>99253754</v>
      </c>
      <c r="I20513">
        <v>99253807</v>
      </c>
    </row>
    <row r="20514" spans="1:9" x14ac:dyDescent="0.2">
      <c r="A20514" t="str">
        <f>"Tbx18"</f>
        <v>Tbx18</v>
      </c>
      <c r="B20514" t="s">
        <v>14</v>
      </c>
      <c r="C20514" t="s">
        <v>24</v>
      </c>
      <c r="D20514" t="s">
        <v>11</v>
      </c>
      <c r="E20514" t="s">
        <v>12</v>
      </c>
      <c r="F20514">
        <v>87731248</v>
      </c>
      <c r="G20514">
        <v>87731273</v>
      </c>
      <c r="H20514">
        <v>87731136</v>
      </c>
      <c r="I20514">
        <v>87731157</v>
      </c>
    </row>
    <row r="20515" spans="1:9" x14ac:dyDescent="0.2">
      <c r="A20515" t="str">
        <f>"Tbx19"</f>
        <v>Tbx19</v>
      </c>
      <c r="B20515" t="s">
        <v>14</v>
      </c>
      <c r="C20515" t="s">
        <v>19</v>
      </c>
      <c r="D20515" t="s">
        <v>11</v>
      </c>
      <c r="E20515" t="s">
        <v>12</v>
      </c>
      <c r="F20515">
        <v>165160672</v>
      </c>
      <c r="G20515">
        <v>165160685</v>
      </c>
      <c r="H20515">
        <v>165160774</v>
      </c>
      <c r="I20515">
        <v>165160781</v>
      </c>
    </row>
    <row r="20516" spans="1:9" x14ac:dyDescent="0.2">
      <c r="A20516" t="str">
        <f>"Tbx2"</f>
        <v>Tbx2</v>
      </c>
      <c r="B20516" t="s">
        <v>14</v>
      </c>
      <c r="C20516" t="s">
        <v>27</v>
      </c>
      <c r="D20516" t="s">
        <v>17</v>
      </c>
      <c r="E20516" t="s">
        <v>12</v>
      </c>
      <c r="F20516">
        <v>85832801</v>
      </c>
      <c r="G20516">
        <v>85832827</v>
      </c>
      <c r="H20516">
        <v>85832761</v>
      </c>
      <c r="I20516">
        <v>85832776</v>
      </c>
    </row>
    <row r="20517" spans="1:9" x14ac:dyDescent="0.2">
      <c r="A20517" t="str">
        <f>"Tbx20"</f>
        <v>Tbx20</v>
      </c>
      <c r="B20517" t="s">
        <v>14</v>
      </c>
      <c r="C20517" t="s">
        <v>24</v>
      </c>
      <c r="D20517" t="s">
        <v>11</v>
      </c>
      <c r="E20517" t="s">
        <v>12</v>
      </c>
      <c r="F20517">
        <v>24774276</v>
      </c>
      <c r="G20517">
        <v>24774291</v>
      </c>
      <c r="H20517">
        <v>24773971</v>
      </c>
      <c r="I20517">
        <v>24773976</v>
      </c>
    </row>
    <row r="20518" spans="1:9" x14ac:dyDescent="0.2">
      <c r="A20518" t="str">
        <f>"Tbx21"</f>
        <v>Tbx21</v>
      </c>
      <c r="B20518" t="s">
        <v>14</v>
      </c>
      <c r="C20518" t="s">
        <v>27</v>
      </c>
      <c r="D20518" t="s">
        <v>11</v>
      </c>
      <c r="E20518" t="s">
        <v>12</v>
      </c>
      <c r="F20518">
        <v>97115327</v>
      </c>
      <c r="G20518">
        <v>97115332</v>
      </c>
      <c r="H20518">
        <v>97115280</v>
      </c>
      <c r="I20518">
        <v>97115299</v>
      </c>
    </row>
    <row r="20519" spans="1:9" x14ac:dyDescent="0.2">
      <c r="A20519" t="str">
        <f>"Tbx22"</f>
        <v>Tbx22</v>
      </c>
      <c r="B20519" t="s">
        <v>14</v>
      </c>
      <c r="C20519" t="s">
        <v>37</v>
      </c>
      <c r="D20519" t="s">
        <v>17</v>
      </c>
      <c r="E20519" t="s">
        <v>12</v>
      </c>
      <c r="F20519">
        <v>107667956</v>
      </c>
      <c r="G20519">
        <v>107667985</v>
      </c>
      <c r="H20519">
        <v>107667956</v>
      </c>
      <c r="I20519">
        <v>107667985</v>
      </c>
    </row>
    <row r="20520" spans="1:9" x14ac:dyDescent="0.2">
      <c r="A20520" t="str">
        <f>"Tbx3"</f>
        <v>Tbx3</v>
      </c>
      <c r="B20520" t="s">
        <v>14</v>
      </c>
      <c r="C20520" t="s">
        <v>46</v>
      </c>
      <c r="D20520" t="s">
        <v>17</v>
      </c>
      <c r="E20520" t="s">
        <v>12</v>
      </c>
      <c r="F20520">
        <v>119671011</v>
      </c>
      <c r="G20520">
        <v>119671040</v>
      </c>
      <c r="H20520">
        <v>119671011</v>
      </c>
      <c r="I20520">
        <v>119671040</v>
      </c>
    </row>
    <row r="20521" spans="1:9" x14ac:dyDescent="0.2">
      <c r="A20521" t="str">
        <f>"Tbx4"</f>
        <v>Tbx4</v>
      </c>
      <c r="B20521" t="s">
        <v>9</v>
      </c>
      <c r="C20521" t="s">
        <v>27</v>
      </c>
      <c r="D20521" t="s">
        <v>17</v>
      </c>
      <c r="E20521" t="s">
        <v>12</v>
      </c>
      <c r="F20521">
        <v>85886360</v>
      </c>
      <c r="G20521">
        <v>85886418</v>
      </c>
      <c r="H20521">
        <v>85886360</v>
      </c>
      <c r="I20521">
        <v>85886418</v>
      </c>
    </row>
    <row r="20522" spans="1:9" x14ac:dyDescent="0.2">
      <c r="A20522" t="str">
        <f>"Tbx4"</f>
        <v>Tbx4</v>
      </c>
      <c r="B20522" t="s">
        <v>13</v>
      </c>
      <c r="C20522" t="s">
        <v>27</v>
      </c>
      <c r="D20522" t="s">
        <v>17</v>
      </c>
      <c r="E20522" t="s">
        <v>12</v>
      </c>
      <c r="F20522">
        <v>85889981</v>
      </c>
      <c r="G20522">
        <v>85890006</v>
      </c>
      <c r="H20522">
        <v>85889981</v>
      </c>
      <c r="I20522">
        <v>85890006</v>
      </c>
    </row>
    <row r="20523" spans="1:9" x14ac:dyDescent="0.2">
      <c r="A20523" t="str">
        <f>"Tbx5"</f>
        <v>Tbx5</v>
      </c>
      <c r="B20523" t="s">
        <v>14</v>
      </c>
      <c r="C20523" t="s">
        <v>46</v>
      </c>
      <c r="D20523" t="s">
        <v>17</v>
      </c>
      <c r="E20523" t="s">
        <v>12</v>
      </c>
      <c r="F20523">
        <v>119835135</v>
      </c>
      <c r="G20523">
        <v>119835151</v>
      </c>
      <c r="H20523">
        <v>119835135</v>
      </c>
      <c r="I20523">
        <v>119835151</v>
      </c>
    </row>
    <row r="20524" spans="1:9" x14ac:dyDescent="0.2">
      <c r="A20524" t="str">
        <f>"Tbx6"</f>
        <v>Tbx6</v>
      </c>
      <c r="B20524" t="s">
        <v>14</v>
      </c>
      <c r="C20524" t="s">
        <v>33</v>
      </c>
      <c r="D20524" t="s">
        <v>17</v>
      </c>
      <c r="E20524" t="s">
        <v>12</v>
      </c>
      <c r="F20524">
        <v>126781470</v>
      </c>
      <c r="G20524">
        <v>126781475</v>
      </c>
      <c r="H20524">
        <v>126781470</v>
      </c>
      <c r="I20524">
        <v>126781475</v>
      </c>
    </row>
    <row r="20525" spans="1:9" x14ac:dyDescent="0.2">
      <c r="A20525" t="str">
        <f>"Tbxa2r"</f>
        <v>Tbxa2r</v>
      </c>
      <c r="B20525" t="s">
        <v>14</v>
      </c>
      <c r="C20525" t="s">
        <v>15</v>
      </c>
      <c r="D20525" t="s">
        <v>17</v>
      </c>
      <c r="E20525" t="s">
        <v>12</v>
      </c>
      <c r="F20525">
        <v>81328719</v>
      </c>
      <c r="G20525">
        <v>81328739</v>
      </c>
      <c r="H20525">
        <v>81328686</v>
      </c>
      <c r="I20525">
        <v>81328704</v>
      </c>
    </row>
    <row r="20526" spans="1:9" x14ac:dyDescent="0.2">
      <c r="A20526" t="str">
        <f>"Tbxas1"</f>
        <v>Tbxas1</v>
      </c>
      <c r="B20526" t="s">
        <v>14</v>
      </c>
      <c r="C20526" t="s">
        <v>32</v>
      </c>
      <c r="D20526" t="s">
        <v>17</v>
      </c>
      <c r="E20526" t="s">
        <v>12</v>
      </c>
      <c r="F20526">
        <v>38918996</v>
      </c>
      <c r="G20526">
        <v>38919029</v>
      </c>
      <c r="H20526">
        <v>38918969</v>
      </c>
      <c r="I20526">
        <v>38918995</v>
      </c>
    </row>
    <row r="20527" spans="1:9" x14ac:dyDescent="0.2">
      <c r="A20527" t="str">
        <f>"Tc2n"</f>
        <v>Tc2n</v>
      </c>
      <c r="B20527" t="s">
        <v>14</v>
      </c>
      <c r="C20527" t="s">
        <v>16</v>
      </c>
      <c r="D20527" t="s">
        <v>11</v>
      </c>
      <c r="E20527" t="s">
        <v>12</v>
      </c>
      <c r="F20527">
        <v>101718513</v>
      </c>
      <c r="G20527">
        <v>101718530</v>
      </c>
      <c r="H20527">
        <v>101718407</v>
      </c>
      <c r="I20527">
        <v>101718423</v>
      </c>
    </row>
    <row r="20528" spans="1:9" x14ac:dyDescent="0.2">
      <c r="A20528" t="str">
        <f>"Tcaim"</f>
        <v>Tcaim</v>
      </c>
      <c r="B20528" t="s">
        <v>14</v>
      </c>
      <c r="C20528" t="s">
        <v>24</v>
      </c>
      <c r="D20528" t="s">
        <v>17</v>
      </c>
      <c r="E20528" t="s">
        <v>67</v>
      </c>
      <c r="F20528">
        <v>122805524</v>
      </c>
      <c r="G20528">
        <v>122805580</v>
      </c>
      <c r="H20528">
        <v>122805591</v>
      </c>
      <c r="I20528">
        <v>122805625</v>
      </c>
    </row>
    <row r="20529" spans="1:9" x14ac:dyDescent="0.2">
      <c r="A20529" t="str">
        <f>"Tcam1"</f>
        <v>Tcam1</v>
      </c>
      <c r="B20529" t="s">
        <v>14</v>
      </c>
      <c r="C20529" t="s">
        <v>27</v>
      </c>
      <c r="D20529" t="s">
        <v>17</v>
      </c>
      <c r="E20529" t="s">
        <v>12</v>
      </c>
      <c r="F20529">
        <v>106276651</v>
      </c>
      <c r="G20529">
        <v>106276688</v>
      </c>
      <c r="H20529">
        <v>106276715</v>
      </c>
      <c r="I20529">
        <v>106276727</v>
      </c>
    </row>
    <row r="20530" spans="1:9" x14ac:dyDescent="0.2">
      <c r="A20530" t="str">
        <f>"Tcap"</f>
        <v>Tcap</v>
      </c>
      <c r="B20530" t="s">
        <v>14</v>
      </c>
      <c r="C20530" t="s">
        <v>27</v>
      </c>
      <c r="D20530" t="s">
        <v>17</v>
      </c>
      <c r="E20530" t="s">
        <v>12</v>
      </c>
      <c r="F20530">
        <v>98383816</v>
      </c>
      <c r="G20530">
        <v>98383832</v>
      </c>
      <c r="H20530">
        <v>98383816</v>
      </c>
      <c r="I20530">
        <v>98383832</v>
      </c>
    </row>
    <row r="20531" spans="1:9" x14ac:dyDescent="0.2">
      <c r="A20531" t="str">
        <f>"Tcea1"</f>
        <v>Tcea1</v>
      </c>
      <c r="B20531" t="s">
        <v>14</v>
      </c>
      <c r="C20531" t="s">
        <v>19</v>
      </c>
      <c r="D20531" t="s">
        <v>17</v>
      </c>
      <c r="E20531" t="s">
        <v>12</v>
      </c>
      <c r="F20531">
        <v>4857760</v>
      </c>
      <c r="G20531">
        <v>4857796</v>
      </c>
      <c r="H20531">
        <v>4857687</v>
      </c>
      <c r="I20531">
        <v>4857701</v>
      </c>
    </row>
    <row r="20532" spans="1:9" x14ac:dyDescent="0.2">
      <c r="A20532" t="str">
        <f>"Tcea2"</f>
        <v>Tcea2</v>
      </c>
      <c r="B20532" t="s">
        <v>14</v>
      </c>
      <c r="C20532" t="s">
        <v>26</v>
      </c>
      <c r="D20532" t="s">
        <v>17</v>
      </c>
      <c r="E20532" t="s">
        <v>12</v>
      </c>
      <c r="F20532">
        <v>181680284</v>
      </c>
      <c r="G20532">
        <v>181680332</v>
      </c>
      <c r="H20532">
        <v>181680191</v>
      </c>
      <c r="I20532">
        <v>181680217</v>
      </c>
    </row>
    <row r="20533" spans="1:9" x14ac:dyDescent="0.2">
      <c r="A20533" t="str">
        <f>"Tcea3"</f>
        <v>Tcea3</v>
      </c>
      <c r="B20533" t="s">
        <v>14</v>
      </c>
      <c r="C20533" t="s">
        <v>23</v>
      </c>
      <c r="D20533" t="s">
        <v>17</v>
      </c>
      <c r="E20533" t="s">
        <v>12</v>
      </c>
      <c r="F20533">
        <v>136247932</v>
      </c>
      <c r="G20533">
        <v>136248011</v>
      </c>
      <c r="H20533">
        <v>136248017</v>
      </c>
      <c r="I20533">
        <v>136248028</v>
      </c>
    </row>
    <row r="20534" spans="1:9" x14ac:dyDescent="0.2">
      <c r="A20534" t="str">
        <f>"Tceal1"</f>
        <v>Tceal1</v>
      </c>
      <c r="B20534" t="s">
        <v>14</v>
      </c>
      <c r="C20534" t="s">
        <v>37</v>
      </c>
      <c r="D20534" t="s">
        <v>17</v>
      </c>
      <c r="E20534" t="s">
        <v>12</v>
      </c>
      <c r="F20534">
        <v>136707976</v>
      </c>
      <c r="G20534">
        <v>136708040</v>
      </c>
      <c r="H20534">
        <v>136708044</v>
      </c>
      <c r="I20534">
        <v>136708064</v>
      </c>
    </row>
    <row r="20535" spans="1:9" x14ac:dyDescent="0.2">
      <c r="A20535" t="str">
        <f>"Tceal3"</f>
        <v>Tceal3</v>
      </c>
      <c r="B20535" t="s">
        <v>14</v>
      </c>
      <c r="C20535" t="s">
        <v>37</v>
      </c>
      <c r="D20535" t="s">
        <v>17</v>
      </c>
      <c r="E20535" t="s">
        <v>12</v>
      </c>
      <c r="F20535">
        <v>136666387</v>
      </c>
      <c r="G20535">
        <v>136666479</v>
      </c>
      <c r="H20535">
        <v>136666387</v>
      </c>
      <c r="I20535">
        <v>136666479</v>
      </c>
    </row>
    <row r="20536" spans="1:9" x14ac:dyDescent="0.2">
      <c r="A20536" t="str">
        <f>"Tceal5"</f>
        <v>Tceal5</v>
      </c>
      <c r="B20536" t="s">
        <v>14</v>
      </c>
      <c r="C20536" t="s">
        <v>37</v>
      </c>
      <c r="D20536" t="s">
        <v>11</v>
      </c>
      <c r="E20536" t="s">
        <v>12</v>
      </c>
      <c r="F20536">
        <v>136203816</v>
      </c>
      <c r="G20536">
        <v>136203926</v>
      </c>
      <c r="H20536">
        <v>136203717</v>
      </c>
      <c r="I20536">
        <v>136203754</v>
      </c>
    </row>
    <row r="20537" spans="1:9" x14ac:dyDescent="0.2">
      <c r="A20537" t="str">
        <f>"Tceal6"</f>
        <v>Tceal6</v>
      </c>
      <c r="B20537" t="s">
        <v>14</v>
      </c>
      <c r="C20537" t="s">
        <v>37</v>
      </c>
      <c r="D20537" t="s">
        <v>11</v>
      </c>
      <c r="E20537" t="s">
        <v>12</v>
      </c>
      <c r="F20537">
        <v>135210640</v>
      </c>
      <c r="G20537">
        <v>135210661</v>
      </c>
      <c r="H20537">
        <v>135210672</v>
      </c>
      <c r="I20537">
        <v>135210700</v>
      </c>
    </row>
    <row r="20538" spans="1:9" x14ac:dyDescent="0.2">
      <c r="A20538" t="str">
        <f>"Tceal7"</f>
        <v>Tceal7</v>
      </c>
      <c r="B20538" t="s">
        <v>9</v>
      </c>
      <c r="C20538" t="s">
        <v>37</v>
      </c>
      <c r="D20538" t="s">
        <v>17</v>
      </c>
      <c r="E20538" t="s">
        <v>12</v>
      </c>
      <c r="F20538">
        <v>136224035</v>
      </c>
      <c r="G20538">
        <v>136224053</v>
      </c>
      <c r="H20538">
        <v>136224035</v>
      </c>
      <c r="I20538">
        <v>136224053</v>
      </c>
    </row>
    <row r="20539" spans="1:9" x14ac:dyDescent="0.2">
      <c r="A20539" t="str">
        <f>"Tceal7"</f>
        <v>Tceal7</v>
      </c>
      <c r="B20539" t="s">
        <v>13</v>
      </c>
      <c r="C20539" t="s">
        <v>37</v>
      </c>
      <c r="D20539" t="s">
        <v>17</v>
      </c>
      <c r="E20539" t="s">
        <v>12</v>
      </c>
      <c r="F20539">
        <v>136214764</v>
      </c>
      <c r="G20539">
        <v>136214769</v>
      </c>
      <c r="H20539">
        <v>136214764</v>
      </c>
      <c r="I20539">
        <v>136214769</v>
      </c>
    </row>
    <row r="20540" spans="1:9" x14ac:dyDescent="0.2">
      <c r="A20540" t="str">
        <f>"Tceal8"</f>
        <v>Tceal8</v>
      </c>
      <c r="B20540" t="s">
        <v>14</v>
      </c>
      <c r="C20540" t="s">
        <v>37</v>
      </c>
      <c r="D20540" t="s">
        <v>11</v>
      </c>
      <c r="E20540" t="s">
        <v>12</v>
      </c>
      <c r="F20540">
        <v>136172164</v>
      </c>
      <c r="G20540">
        <v>136172194</v>
      </c>
      <c r="H20540">
        <v>136172195</v>
      </c>
      <c r="I20540">
        <v>136172228</v>
      </c>
    </row>
    <row r="20541" spans="1:9" x14ac:dyDescent="0.2">
      <c r="A20541" t="str">
        <f>"Tceanc"</f>
        <v>Tceanc</v>
      </c>
      <c r="B20541" t="s">
        <v>14</v>
      </c>
      <c r="C20541" t="s">
        <v>37</v>
      </c>
      <c r="D20541" t="s">
        <v>11</v>
      </c>
      <c r="E20541" t="s">
        <v>12</v>
      </c>
      <c r="F20541">
        <v>166510424</v>
      </c>
      <c r="G20541">
        <v>166510475</v>
      </c>
      <c r="H20541">
        <v>166510424</v>
      </c>
      <c r="I20541">
        <v>166510475</v>
      </c>
    </row>
    <row r="20542" spans="1:9" x14ac:dyDescent="0.2">
      <c r="A20542" t="str">
        <f>"Tceanc2"</f>
        <v>Tceanc2</v>
      </c>
      <c r="B20542" t="s">
        <v>14</v>
      </c>
      <c r="C20542" t="s">
        <v>23</v>
      </c>
      <c r="D20542" t="s">
        <v>11</v>
      </c>
      <c r="E20542" t="s">
        <v>67</v>
      </c>
      <c r="F20542">
        <v>107178296</v>
      </c>
      <c r="G20542">
        <v>107178338</v>
      </c>
      <c r="H20542">
        <v>107178340</v>
      </c>
      <c r="I20542">
        <v>107178355</v>
      </c>
    </row>
    <row r="20543" spans="1:9" x14ac:dyDescent="0.2">
      <c r="A20543" t="str">
        <f>"Tceb1"</f>
        <v>Tceb1</v>
      </c>
      <c r="B20543" t="s">
        <v>14</v>
      </c>
      <c r="C20543" t="s">
        <v>19</v>
      </c>
      <c r="D20543" t="s">
        <v>11</v>
      </c>
      <c r="E20543" t="s">
        <v>12</v>
      </c>
      <c r="F20543">
        <v>16656843</v>
      </c>
      <c r="G20543">
        <v>16656897</v>
      </c>
      <c r="H20543">
        <v>16657033</v>
      </c>
      <c r="I20543">
        <v>16657049</v>
      </c>
    </row>
    <row r="20544" spans="1:9" x14ac:dyDescent="0.2">
      <c r="A20544" t="str">
        <f>"Tceb2"</f>
        <v>Tceb2</v>
      </c>
      <c r="B20544" t="s">
        <v>14</v>
      </c>
      <c r="C20544" t="s">
        <v>28</v>
      </c>
      <c r="D20544" t="s">
        <v>11</v>
      </c>
      <c r="E20544" t="s">
        <v>12</v>
      </c>
      <c r="F20544">
        <v>23829095</v>
      </c>
      <c r="G20544">
        <v>23829143</v>
      </c>
      <c r="H20544">
        <v>23829000</v>
      </c>
      <c r="I20544">
        <v>23829012</v>
      </c>
    </row>
    <row r="20545" spans="1:9" x14ac:dyDescent="0.2">
      <c r="A20545" t="str">
        <f>"Tceb3"</f>
        <v>Tceb3</v>
      </c>
      <c r="B20545" t="s">
        <v>14</v>
      </c>
      <c r="C20545" t="s">
        <v>23</v>
      </c>
      <c r="D20545" t="s">
        <v>11</v>
      </c>
      <c r="E20545" t="s">
        <v>12</v>
      </c>
      <c r="F20545">
        <v>136021629</v>
      </c>
      <c r="G20545">
        <v>136021665</v>
      </c>
      <c r="H20545">
        <v>136021722</v>
      </c>
      <c r="I20545">
        <v>136021736</v>
      </c>
    </row>
    <row r="20546" spans="1:9" x14ac:dyDescent="0.2">
      <c r="A20546" t="str">
        <f>"Tcerg1"</f>
        <v>Tcerg1</v>
      </c>
      <c r="B20546" t="s">
        <v>14</v>
      </c>
      <c r="C20546" t="s">
        <v>43</v>
      </c>
      <c r="D20546" t="s">
        <v>17</v>
      </c>
      <c r="E20546" t="s">
        <v>12</v>
      </c>
      <c r="F20546">
        <v>42511496</v>
      </c>
      <c r="G20546">
        <v>42511521</v>
      </c>
      <c r="H20546">
        <v>42511369</v>
      </c>
      <c r="I20546">
        <v>42511396</v>
      </c>
    </row>
    <row r="20547" spans="1:9" x14ac:dyDescent="0.2">
      <c r="A20547" t="str">
        <f>"Tcerg1l"</f>
        <v>Tcerg1l</v>
      </c>
      <c r="B20547" t="s">
        <v>14</v>
      </c>
      <c r="C20547" t="s">
        <v>33</v>
      </c>
      <c r="D20547" t="s">
        <v>11</v>
      </c>
      <c r="E20547" t="s">
        <v>12</v>
      </c>
      <c r="F20547">
        <v>138397704</v>
      </c>
      <c r="G20547">
        <v>138397786</v>
      </c>
      <c r="H20547">
        <v>138397626</v>
      </c>
      <c r="I20547">
        <v>138397643</v>
      </c>
    </row>
    <row r="20548" spans="1:9" x14ac:dyDescent="0.2">
      <c r="A20548" t="str">
        <f>"Tcf12"</f>
        <v>Tcf12</v>
      </c>
      <c r="B20548" t="s">
        <v>5898</v>
      </c>
      <c r="C20548" t="s">
        <v>24</v>
      </c>
      <c r="D20548" t="s">
        <v>11</v>
      </c>
      <c r="E20548" t="s">
        <v>35</v>
      </c>
      <c r="F20548">
        <v>72111896</v>
      </c>
      <c r="G20548">
        <v>72111908</v>
      </c>
      <c r="H20548">
        <v>72111574</v>
      </c>
      <c r="I20548">
        <v>72111586</v>
      </c>
    </row>
    <row r="20549" spans="1:9" x14ac:dyDescent="0.2">
      <c r="A20549" t="str">
        <f>"Tcf12"</f>
        <v>Tcf12</v>
      </c>
      <c r="B20549" t="s">
        <v>5899</v>
      </c>
      <c r="C20549" t="s">
        <v>24</v>
      </c>
      <c r="D20549" t="s">
        <v>11</v>
      </c>
      <c r="E20549" t="s">
        <v>35</v>
      </c>
      <c r="F20549">
        <v>72112024</v>
      </c>
      <c r="G20549">
        <v>72112071</v>
      </c>
      <c r="H20549">
        <v>72111701</v>
      </c>
      <c r="I20549">
        <v>72111712</v>
      </c>
    </row>
    <row r="20550" spans="1:9" x14ac:dyDescent="0.2">
      <c r="A20550" t="str">
        <f>"Tcf15"</f>
        <v>Tcf15</v>
      </c>
      <c r="B20550" t="s">
        <v>14</v>
      </c>
      <c r="C20550" t="s">
        <v>26</v>
      </c>
      <c r="D20550" t="s">
        <v>17</v>
      </c>
      <c r="E20550" t="s">
        <v>12</v>
      </c>
      <c r="F20550">
        <v>152143552</v>
      </c>
      <c r="G20550">
        <v>152143558</v>
      </c>
      <c r="H20550">
        <v>152143552</v>
      </c>
      <c r="I20550">
        <v>152143558</v>
      </c>
    </row>
    <row r="20551" spans="1:9" x14ac:dyDescent="0.2">
      <c r="A20551" t="str">
        <f>"Tcf19"</f>
        <v>Tcf19</v>
      </c>
      <c r="B20551" t="s">
        <v>14</v>
      </c>
      <c r="C20551" t="s">
        <v>28</v>
      </c>
      <c r="D20551" t="s">
        <v>11</v>
      </c>
      <c r="E20551" t="s">
        <v>12</v>
      </c>
      <c r="F20551">
        <v>35516780</v>
      </c>
      <c r="G20551">
        <v>35516835</v>
      </c>
      <c r="H20551">
        <v>35516841</v>
      </c>
      <c r="I20551">
        <v>35516848</v>
      </c>
    </row>
    <row r="20552" spans="1:9" x14ac:dyDescent="0.2">
      <c r="A20552" t="str">
        <f>"Tcf20"</f>
        <v>Tcf20</v>
      </c>
      <c r="B20552" t="s">
        <v>5900</v>
      </c>
      <c r="C20552" t="s">
        <v>25</v>
      </c>
      <c r="D20552" t="s">
        <v>11</v>
      </c>
      <c r="E20552" t="s">
        <v>20</v>
      </c>
      <c r="F20552">
        <v>82912133</v>
      </c>
      <c r="G20552">
        <v>82912133</v>
      </c>
      <c r="H20552">
        <v>82912133</v>
      </c>
      <c r="I20552">
        <v>82912133</v>
      </c>
    </row>
    <row r="20553" spans="1:9" x14ac:dyDescent="0.2">
      <c r="A20553" t="str">
        <f>"Tcf21"</f>
        <v>Tcf21</v>
      </c>
      <c r="B20553" t="s">
        <v>14</v>
      </c>
      <c r="C20553" t="s">
        <v>15</v>
      </c>
      <c r="D20553" t="s">
        <v>11</v>
      </c>
      <c r="E20553" t="s">
        <v>12</v>
      </c>
      <c r="F20553">
        <v>22820126</v>
      </c>
      <c r="G20553">
        <v>22820150</v>
      </c>
      <c r="H20553">
        <v>22820347</v>
      </c>
      <c r="I20553">
        <v>22820348</v>
      </c>
    </row>
    <row r="20554" spans="1:9" x14ac:dyDescent="0.2">
      <c r="A20554" t="str">
        <f>"Tcf23"</f>
        <v>Tcf23</v>
      </c>
      <c r="B20554" t="s">
        <v>14</v>
      </c>
      <c r="C20554" t="s">
        <v>46</v>
      </c>
      <c r="D20554" t="s">
        <v>17</v>
      </c>
      <c r="E20554" t="s">
        <v>12</v>
      </c>
      <c r="F20554">
        <v>30968655</v>
      </c>
      <c r="G20554">
        <v>30968667</v>
      </c>
      <c r="H20554">
        <v>30968637</v>
      </c>
      <c r="I20554">
        <v>30968646</v>
      </c>
    </row>
    <row r="20555" spans="1:9" x14ac:dyDescent="0.2">
      <c r="A20555" t="str">
        <f>"Tcf24"</f>
        <v>Tcf24</v>
      </c>
      <c r="B20555" t="s">
        <v>5901</v>
      </c>
      <c r="C20555" t="s">
        <v>19</v>
      </c>
      <c r="D20555" t="s">
        <v>11</v>
      </c>
      <c r="E20555" t="s">
        <v>35</v>
      </c>
      <c r="F20555">
        <v>9968117</v>
      </c>
      <c r="G20555">
        <v>9968123</v>
      </c>
      <c r="H20555">
        <v>9967806</v>
      </c>
      <c r="I20555">
        <v>9967815</v>
      </c>
    </row>
    <row r="20556" spans="1:9" x14ac:dyDescent="0.2">
      <c r="A20556" t="str">
        <f>"Tcf25"</f>
        <v>Tcf25</v>
      </c>
      <c r="B20556" t="s">
        <v>14</v>
      </c>
      <c r="C20556" t="s">
        <v>30</v>
      </c>
      <c r="D20556" t="s">
        <v>17</v>
      </c>
      <c r="E20556" t="s">
        <v>12</v>
      </c>
      <c r="F20556">
        <v>123373778</v>
      </c>
      <c r="G20556">
        <v>123373846</v>
      </c>
      <c r="H20556">
        <v>123373850</v>
      </c>
      <c r="I20556">
        <v>123373858</v>
      </c>
    </row>
    <row r="20557" spans="1:9" x14ac:dyDescent="0.2">
      <c r="A20557" t="str">
        <f>"Tcf3"</f>
        <v>Tcf3</v>
      </c>
      <c r="B20557" t="s">
        <v>14</v>
      </c>
      <c r="C20557" t="s">
        <v>15</v>
      </c>
      <c r="D20557" t="s">
        <v>11</v>
      </c>
      <c r="E20557" t="s">
        <v>12</v>
      </c>
      <c r="F20557">
        <v>80433615</v>
      </c>
      <c r="G20557">
        <v>80433655</v>
      </c>
      <c r="H20557">
        <v>80433602</v>
      </c>
      <c r="I20557">
        <v>80433613</v>
      </c>
    </row>
    <row r="20558" spans="1:9" x14ac:dyDescent="0.2">
      <c r="A20558" t="str">
        <f>"Tcf4"</f>
        <v>Tcf4</v>
      </c>
      <c r="B20558" t="s">
        <v>9</v>
      </c>
      <c r="C20558" t="s">
        <v>43</v>
      </c>
      <c r="D20558" t="s">
        <v>17</v>
      </c>
      <c r="E20558" t="s">
        <v>12</v>
      </c>
      <c r="F20558">
        <v>69593361</v>
      </c>
      <c r="G20558">
        <v>69593450</v>
      </c>
      <c r="H20558">
        <v>69593361</v>
      </c>
      <c r="I20558">
        <v>69593450</v>
      </c>
    </row>
    <row r="20559" spans="1:9" x14ac:dyDescent="0.2">
      <c r="A20559" t="str">
        <f>"Tcf4"</f>
        <v>Tcf4</v>
      </c>
      <c r="B20559" t="s">
        <v>13</v>
      </c>
      <c r="C20559" t="s">
        <v>43</v>
      </c>
      <c r="D20559" t="s">
        <v>17</v>
      </c>
      <c r="E20559" t="s">
        <v>12</v>
      </c>
      <c r="F20559">
        <v>69346143</v>
      </c>
      <c r="G20559">
        <v>69346198</v>
      </c>
      <c r="H20559">
        <v>69346143</v>
      </c>
      <c r="I20559">
        <v>69346198</v>
      </c>
    </row>
    <row r="20560" spans="1:9" x14ac:dyDescent="0.2">
      <c r="A20560" t="str">
        <f>"Tcf7"</f>
        <v>Tcf7</v>
      </c>
      <c r="B20560" t="s">
        <v>14</v>
      </c>
      <c r="C20560" t="s">
        <v>27</v>
      </c>
      <c r="D20560" t="s">
        <v>11</v>
      </c>
      <c r="E20560" t="s">
        <v>12</v>
      </c>
      <c r="F20560">
        <v>52283302</v>
      </c>
      <c r="G20560">
        <v>52283394</v>
      </c>
      <c r="H20560">
        <v>52282564</v>
      </c>
      <c r="I20560">
        <v>52282579</v>
      </c>
    </row>
    <row r="20561" spans="1:9" x14ac:dyDescent="0.2">
      <c r="A20561" t="str">
        <f>"Tcf7l1"</f>
        <v>Tcf7l1</v>
      </c>
      <c r="B20561" t="s">
        <v>14</v>
      </c>
      <c r="C20561" t="s">
        <v>32</v>
      </c>
      <c r="D20561" t="s">
        <v>11</v>
      </c>
      <c r="E20561" t="s">
        <v>12</v>
      </c>
      <c r="F20561">
        <v>72789191</v>
      </c>
      <c r="G20561">
        <v>72789238</v>
      </c>
      <c r="H20561">
        <v>72789240</v>
      </c>
      <c r="I20561">
        <v>72789262</v>
      </c>
    </row>
    <row r="20562" spans="1:9" x14ac:dyDescent="0.2">
      <c r="A20562" t="str">
        <f>"Tcf7l2"</f>
        <v>Tcf7l2</v>
      </c>
      <c r="B20562" t="s">
        <v>14</v>
      </c>
      <c r="C20562" t="s">
        <v>10</v>
      </c>
      <c r="D20562" t="s">
        <v>17</v>
      </c>
      <c r="E20562" t="s">
        <v>12</v>
      </c>
      <c r="F20562">
        <v>55741810</v>
      </c>
      <c r="G20562">
        <v>55741842</v>
      </c>
      <c r="H20562">
        <v>55742280</v>
      </c>
      <c r="I20562">
        <v>55742303</v>
      </c>
    </row>
    <row r="20563" spans="1:9" x14ac:dyDescent="0.2">
      <c r="A20563" t="str">
        <f>"Tcfl5"</f>
        <v>Tcfl5</v>
      </c>
      <c r="B20563" t="s">
        <v>14</v>
      </c>
      <c r="C20563" t="s">
        <v>26</v>
      </c>
      <c r="D20563" t="s">
        <v>11</v>
      </c>
      <c r="E20563" t="s">
        <v>12</v>
      </c>
      <c r="F20563">
        <v>180642681</v>
      </c>
      <c r="G20563">
        <v>180642757</v>
      </c>
      <c r="H20563">
        <v>180642602</v>
      </c>
      <c r="I20563">
        <v>180642625</v>
      </c>
    </row>
    <row r="20564" spans="1:9" x14ac:dyDescent="0.2">
      <c r="A20564" t="str">
        <f>"Tchh"</f>
        <v>Tchh</v>
      </c>
      <c r="B20564" t="s">
        <v>5902</v>
      </c>
      <c r="C20564" t="s">
        <v>22</v>
      </c>
      <c r="D20564" t="s">
        <v>17</v>
      </c>
      <c r="E20564" t="s">
        <v>20</v>
      </c>
      <c r="F20564">
        <v>93442329</v>
      </c>
      <c r="G20564">
        <v>93442329</v>
      </c>
      <c r="H20564">
        <v>93442329</v>
      </c>
      <c r="I20564">
        <v>93442329</v>
      </c>
    </row>
    <row r="20565" spans="1:9" x14ac:dyDescent="0.2">
      <c r="A20565" t="str">
        <f>"Tchhl1"</f>
        <v>Tchhl1</v>
      </c>
      <c r="B20565" t="s">
        <v>14</v>
      </c>
      <c r="C20565" t="s">
        <v>22</v>
      </c>
      <c r="D20565" t="s">
        <v>17</v>
      </c>
      <c r="E20565" t="s">
        <v>12</v>
      </c>
      <c r="F20565">
        <v>93468751</v>
      </c>
      <c r="G20565">
        <v>93468756</v>
      </c>
      <c r="H20565">
        <v>93468751</v>
      </c>
      <c r="I20565">
        <v>93468756</v>
      </c>
    </row>
    <row r="20566" spans="1:9" x14ac:dyDescent="0.2">
      <c r="A20566" t="str">
        <f>"Tchp"</f>
        <v>Tchp</v>
      </c>
      <c r="B20566" t="s">
        <v>14</v>
      </c>
      <c r="C20566" t="s">
        <v>46</v>
      </c>
      <c r="D20566" t="s">
        <v>17</v>
      </c>
      <c r="E20566" t="s">
        <v>12</v>
      </c>
      <c r="F20566">
        <v>114707777</v>
      </c>
      <c r="G20566">
        <v>114707866</v>
      </c>
      <c r="H20566">
        <v>114707753</v>
      </c>
      <c r="I20566">
        <v>114707764</v>
      </c>
    </row>
    <row r="20567" spans="1:9" x14ac:dyDescent="0.2">
      <c r="A20567" t="str">
        <f>"Tcirg1"</f>
        <v>Tcirg1</v>
      </c>
      <c r="B20567" t="s">
        <v>14</v>
      </c>
      <c r="C20567" t="s">
        <v>10</v>
      </c>
      <c r="D20567" t="s">
        <v>11</v>
      </c>
      <c r="E20567" t="s">
        <v>12</v>
      </c>
      <c r="F20567">
        <v>3907047</v>
      </c>
      <c r="G20567">
        <v>3907064</v>
      </c>
      <c r="H20567">
        <v>3907087</v>
      </c>
      <c r="I20567">
        <v>3907117</v>
      </c>
    </row>
    <row r="20568" spans="1:9" x14ac:dyDescent="0.2">
      <c r="A20568" t="str">
        <f>"Tcl1"</f>
        <v>Tcl1</v>
      </c>
      <c r="B20568" t="s">
        <v>14</v>
      </c>
      <c r="C20568" t="s">
        <v>16</v>
      </c>
      <c r="D20568" t="s">
        <v>11</v>
      </c>
      <c r="E20568" t="s">
        <v>12</v>
      </c>
      <c r="F20568">
        <v>105222712</v>
      </c>
      <c r="G20568">
        <v>105222722</v>
      </c>
      <c r="H20568">
        <v>105222734</v>
      </c>
      <c r="I20568">
        <v>105222745</v>
      </c>
    </row>
    <row r="20569" spans="1:9" x14ac:dyDescent="0.2">
      <c r="A20569" t="str">
        <f>"Tcl1b1"</f>
        <v>Tcl1b1</v>
      </c>
      <c r="B20569" t="s">
        <v>14</v>
      </c>
      <c r="C20569" t="s">
        <v>16</v>
      </c>
      <c r="D20569" t="s">
        <v>17</v>
      </c>
      <c r="E20569" t="s">
        <v>12</v>
      </c>
      <c r="F20569">
        <v>105159753</v>
      </c>
      <c r="G20569">
        <v>105159761</v>
      </c>
      <c r="H20569">
        <v>105159753</v>
      </c>
      <c r="I20569">
        <v>105159761</v>
      </c>
    </row>
    <row r="20570" spans="1:9" x14ac:dyDescent="0.2">
      <c r="A20570" t="str">
        <f>"Tcl1b2"</f>
        <v>Tcl1b2</v>
      </c>
      <c r="B20570" t="s">
        <v>5903</v>
      </c>
      <c r="C20570" t="s">
        <v>16</v>
      </c>
      <c r="D20570" t="s">
        <v>17</v>
      </c>
      <c r="E20570" t="s">
        <v>20</v>
      </c>
      <c r="F20570">
        <v>105147032</v>
      </c>
      <c r="G20570">
        <v>105147032</v>
      </c>
      <c r="H20570">
        <v>105147032</v>
      </c>
      <c r="I20570">
        <v>105147032</v>
      </c>
    </row>
    <row r="20571" spans="1:9" x14ac:dyDescent="0.2">
      <c r="A20571" t="str">
        <f>"Tcl1b3"</f>
        <v>Tcl1b3</v>
      </c>
      <c r="B20571" t="s">
        <v>14</v>
      </c>
      <c r="C20571" t="s">
        <v>16</v>
      </c>
      <c r="D20571" t="s">
        <v>17</v>
      </c>
      <c r="E20571" t="s">
        <v>12</v>
      </c>
      <c r="F20571">
        <v>105191028</v>
      </c>
      <c r="G20571">
        <v>105191029</v>
      </c>
      <c r="H20571">
        <v>105191028</v>
      </c>
      <c r="I20571">
        <v>105191029</v>
      </c>
    </row>
    <row r="20572" spans="1:9" x14ac:dyDescent="0.2">
      <c r="A20572" t="str">
        <f>"Tcl1b4"</f>
        <v>Tcl1b4</v>
      </c>
      <c r="B20572" t="s">
        <v>5904</v>
      </c>
      <c r="C20572" t="s">
        <v>16</v>
      </c>
      <c r="D20572" t="s">
        <v>17</v>
      </c>
      <c r="E20572" t="s">
        <v>20</v>
      </c>
      <c r="F20572">
        <v>105202421</v>
      </c>
      <c r="G20572">
        <v>105202421</v>
      </c>
      <c r="H20572">
        <v>105202421</v>
      </c>
      <c r="I20572">
        <v>105202421</v>
      </c>
    </row>
    <row r="20573" spans="1:9" x14ac:dyDescent="0.2">
      <c r="A20573" t="str">
        <f>"Tcl1b5"</f>
        <v>Tcl1b5</v>
      </c>
      <c r="B20573" t="s">
        <v>5905</v>
      </c>
      <c r="C20573" t="s">
        <v>16</v>
      </c>
      <c r="D20573" t="s">
        <v>17</v>
      </c>
      <c r="E20573" t="s">
        <v>20</v>
      </c>
      <c r="F20573">
        <v>105176357</v>
      </c>
      <c r="G20573">
        <v>105176357</v>
      </c>
      <c r="H20573">
        <v>105176357</v>
      </c>
      <c r="I20573">
        <v>105176357</v>
      </c>
    </row>
    <row r="20574" spans="1:9" x14ac:dyDescent="0.2">
      <c r="A20574" t="str">
        <f>"Tcn2"</f>
        <v>Tcn2</v>
      </c>
      <c r="B20574" t="s">
        <v>14</v>
      </c>
      <c r="C20574" t="s">
        <v>27</v>
      </c>
      <c r="D20574" t="s">
        <v>11</v>
      </c>
      <c r="E20574" t="s">
        <v>12</v>
      </c>
      <c r="F20574">
        <v>3931998</v>
      </c>
      <c r="G20574">
        <v>3932083</v>
      </c>
      <c r="H20574">
        <v>3931791</v>
      </c>
      <c r="I20574">
        <v>3931816</v>
      </c>
    </row>
    <row r="20575" spans="1:9" x14ac:dyDescent="0.2">
      <c r="A20575" t="str">
        <f>"Tcof1"</f>
        <v>Tcof1</v>
      </c>
      <c r="B20575" t="s">
        <v>14</v>
      </c>
      <c r="C20575" t="s">
        <v>43</v>
      </c>
      <c r="D20575" t="s">
        <v>11</v>
      </c>
      <c r="E20575" t="s">
        <v>12</v>
      </c>
      <c r="F20575">
        <v>60848911</v>
      </c>
      <c r="G20575">
        <v>60848976</v>
      </c>
      <c r="H20575">
        <v>60848862</v>
      </c>
      <c r="I20575">
        <v>60848900</v>
      </c>
    </row>
    <row r="20576" spans="1:9" x14ac:dyDescent="0.2">
      <c r="A20576" t="str">
        <f>"Tcp1"</f>
        <v>Tcp1</v>
      </c>
      <c r="B20576" t="s">
        <v>14</v>
      </c>
      <c r="C20576" t="s">
        <v>28</v>
      </c>
      <c r="D20576" t="s">
        <v>17</v>
      </c>
      <c r="E20576" t="s">
        <v>12</v>
      </c>
      <c r="F20576">
        <v>12916457</v>
      </c>
      <c r="G20576">
        <v>12916475</v>
      </c>
      <c r="H20576">
        <v>12916426</v>
      </c>
      <c r="I20576">
        <v>12916447</v>
      </c>
    </row>
    <row r="20577" spans="1:9" x14ac:dyDescent="0.2">
      <c r="A20577" t="str">
        <f>"Tcp10a"</f>
        <v>Tcp10a</v>
      </c>
      <c r="B20577" t="s">
        <v>14</v>
      </c>
      <c r="C20577" t="s">
        <v>28</v>
      </c>
      <c r="D20577" t="s">
        <v>17</v>
      </c>
      <c r="E20577" t="s">
        <v>12</v>
      </c>
      <c r="F20577">
        <v>7324660</v>
      </c>
      <c r="G20577">
        <v>7324677</v>
      </c>
      <c r="H20577">
        <v>7324660</v>
      </c>
      <c r="I20577">
        <v>7324677</v>
      </c>
    </row>
    <row r="20578" spans="1:9" x14ac:dyDescent="0.2">
      <c r="A20578" t="str">
        <f>"Tcp10b"</f>
        <v>Tcp10b</v>
      </c>
      <c r="B20578" t="s">
        <v>14</v>
      </c>
      <c r="C20578" t="s">
        <v>28</v>
      </c>
      <c r="D20578" t="s">
        <v>17</v>
      </c>
      <c r="E20578" t="s">
        <v>12</v>
      </c>
      <c r="F20578">
        <v>13061099</v>
      </c>
      <c r="G20578">
        <v>13061112</v>
      </c>
      <c r="H20578">
        <v>13061099</v>
      </c>
      <c r="I20578">
        <v>13061112</v>
      </c>
    </row>
    <row r="20579" spans="1:9" x14ac:dyDescent="0.2">
      <c r="A20579" t="str">
        <f>"Tcp10c"</f>
        <v>Tcp10c</v>
      </c>
      <c r="B20579" t="s">
        <v>14</v>
      </c>
      <c r="C20579" t="s">
        <v>28</v>
      </c>
      <c r="D20579" t="s">
        <v>17</v>
      </c>
      <c r="E20579" t="s">
        <v>12</v>
      </c>
      <c r="F20579">
        <v>13354571</v>
      </c>
      <c r="G20579">
        <v>13354581</v>
      </c>
      <c r="H20579">
        <v>13354571</v>
      </c>
      <c r="I20579">
        <v>13354581</v>
      </c>
    </row>
    <row r="20580" spans="1:9" x14ac:dyDescent="0.2">
      <c r="A20580" t="str">
        <f>"Tcp11"</f>
        <v>Tcp11</v>
      </c>
      <c r="B20580" t="s">
        <v>14</v>
      </c>
      <c r="C20580" t="s">
        <v>28</v>
      </c>
      <c r="D20580" t="s">
        <v>11</v>
      </c>
      <c r="E20580" t="s">
        <v>12</v>
      </c>
      <c r="F20580">
        <v>28080595</v>
      </c>
      <c r="G20580">
        <v>28080639</v>
      </c>
      <c r="H20580">
        <v>28080569</v>
      </c>
      <c r="I20580">
        <v>28080589</v>
      </c>
    </row>
    <row r="20581" spans="1:9" x14ac:dyDescent="0.2">
      <c r="A20581" t="str">
        <f>"Tcp11l1"</f>
        <v>Tcp11l1</v>
      </c>
      <c r="B20581" t="s">
        <v>14</v>
      </c>
      <c r="C20581" t="s">
        <v>26</v>
      </c>
      <c r="D20581" t="s">
        <v>11</v>
      </c>
      <c r="E20581" t="s">
        <v>12</v>
      </c>
      <c r="F20581">
        <v>104712122</v>
      </c>
      <c r="G20581">
        <v>104712180</v>
      </c>
      <c r="H20581">
        <v>104712407</v>
      </c>
      <c r="I20581">
        <v>104712427</v>
      </c>
    </row>
    <row r="20582" spans="1:9" x14ac:dyDescent="0.2">
      <c r="A20582" t="str">
        <f>"Tcp11l2"</f>
        <v>Tcp11l2</v>
      </c>
      <c r="B20582" t="s">
        <v>14</v>
      </c>
      <c r="C20582" t="s">
        <v>15</v>
      </c>
      <c r="D20582" t="s">
        <v>17</v>
      </c>
      <c r="E20582" t="s">
        <v>12</v>
      </c>
      <c r="F20582">
        <v>84576883</v>
      </c>
      <c r="G20582">
        <v>84576904</v>
      </c>
      <c r="H20582">
        <v>84576321</v>
      </c>
      <c r="I20582">
        <v>84576334</v>
      </c>
    </row>
    <row r="20583" spans="1:9" x14ac:dyDescent="0.2">
      <c r="A20583" t="str">
        <f>"Tcrg-C3"</f>
        <v>Tcrg-C3</v>
      </c>
      <c r="B20583" t="s">
        <v>14</v>
      </c>
      <c r="C20583" t="s">
        <v>39</v>
      </c>
      <c r="D20583" t="s">
        <v>17</v>
      </c>
      <c r="E20583" t="s">
        <v>67</v>
      </c>
      <c r="F20583">
        <v>19260756</v>
      </c>
      <c r="G20583">
        <v>19260758</v>
      </c>
      <c r="H20583">
        <v>19260756</v>
      </c>
      <c r="I20583">
        <v>19260758</v>
      </c>
    </row>
    <row r="20584" spans="1:9" x14ac:dyDescent="0.2">
      <c r="A20584" t="str">
        <f>"Tcstv1"</f>
        <v>Tcstv1</v>
      </c>
      <c r="B20584" t="s">
        <v>5906</v>
      </c>
      <c r="C20584" t="s">
        <v>39</v>
      </c>
      <c r="D20584" t="s">
        <v>11</v>
      </c>
      <c r="E20584" t="s">
        <v>20</v>
      </c>
      <c r="F20584">
        <v>119894745</v>
      </c>
      <c r="G20584">
        <v>119894745</v>
      </c>
      <c r="H20584">
        <v>119894745</v>
      </c>
      <c r="I20584">
        <v>119894745</v>
      </c>
    </row>
    <row r="20585" spans="1:9" x14ac:dyDescent="0.2">
      <c r="A20585" t="str">
        <f>"Tcstv3"</f>
        <v>Tcstv3</v>
      </c>
      <c r="B20585" t="s">
        <v>5907</v>
      </c>
      <c r="C20585" t="s">
        <v>39</v>
      </c>
      <c r="D20585" t="s">
        <v>17</v>
      </c>
      <c r="E20585" t="s">
        <v>20</v>
      </c>
      <c r="F20585">
        <v>120317566</v>
      </c>
      <c r="G20585">
        <v>120317566</v>
      </c>
      <c r="H20585">
        <v>120317566</v>
      </c>
      <c r="I20585">
        <v>120317566</v>
      </c>
    </row>
    <row r="20586" spans="1:9" x14ac:dyDescent="0.2">
      <c r="A20586" t="str">
        <f>"Tcta"</f>
        <v>Tcta</v>
      </c>
      <c r="B20586" t="s">
        <v>14</v>
      </c>
      <c r="C20586" t="s">
        <v>24</v>
      </c>
      <c r="D20586" t="s">
        <v>11</v>
      </c>
      <c r="E20586" t="s">
        <v>12</v>
      </c>
      <c r="F20586">
        <v>108305963</v>
      </c>
      <c r="G20586">
        <v>108305997</v>
      </c>
      <c r="H20586">
        <v>108305941</v>
      </c>
      <c r="I20586">
        <v>108305958</v>
      </c>
    </row>
    <row r="20587" spans="1:9" x14ac:dyDescent="0.2">
      <c r="A20587" t="str">
        <f>"Tcte1"</f>
        <v>Tcte1</v>
      </c>
      <c r="B20587" t="s">
        <v>14</v>
      </c>
      <c r="C20587" t="s">
        <v>28</v>
      </c>
      <c r="D20587" t="s">
        <v>17</v>
      </c>
      <c r="E20587" t="s">
        <v>12</v>
      </c>
      <c r="F20587">
        <v>45523416</v>
      </c>
      <c r="G20587">
        <v>45523451</v>
      </c>
      <c r="H20587">
        <v>45523499</v>
      </c>
      <c r="I20587">
        <v>45523532</v>
      </c>
    </row>
    <row r="20588" spans="1:9" x14ac:dyDescent="0.2">
      <c r="A20588" t="str">
        <f>"Tcte2"</f>
        <v>Tcte2</v>
      </c>
      <c r="B20588" t="s">
        <v>14</v>
      </c>
      <c r="C20588" t="s">
        <v>28</v>
      </c>
      <c r="D20588" t="s">
        <v>11</v>
      </c>
      <c r="E20588" t="s">
        <v>12</v>
      </c>
      <c r="F20588">
        <v>13761364</v>
      </c>
      <c r="G20588">
        <v>13761410</v>
      </c>
      <c r="H20588">
        <v>13761441</v>
      </c>
      <c r="I20588">
        <v>13761452</v>
      </c>
    </row>
    <row r="20589" spans="1:9" x14ac:dyDescent="0.2">
      <c r="A20589" t="str">
        <f>"Tcte3"</f>
        <v>Tcte3</v>
      </c>
      <c r="B20589" t="s">
        <v>14</v>
      </c>
      <c r="C20589" t="s">
        <v>28</v>
      </c>
      <c r="D20589" t="s">
        <v>11</v>
      </c>
      <c r="E20589" t="s">
        <v>12</v>
      </c>
      <c r="F20589">
        <v>15041457</v>
      </c>
      <c r="G20589">
        <v>15041469</v>
      </c>
      <c r="H20589">
        <v>15041457</v>
      </c>
      <c r="I20589">
        <v>15041469</v>
      </c>
    </row>
    <row r="20590" spans="1:9" x14ac:dyDescent="0.2">
      <c r="A20590" t="str">
        <f>"Tctex1d1"</f>
        <v>Tctex1d1</v>
      </c>
      <c r="B20590" t="s">
        <v>9</v>
      </c>
      <c r="C20590" t="s">
        <v>23</v>
      </c>
      <c r="D20590" t="s">
        <v>17</v>
      </c>
      <c r="E20590" t="s">
        <v>12</v>
      </c>
      <c r="F20590">
        <v>102986343</v>
      </c>
      <c r="G20590">
        <v>102986395</v>
      </c>
      <c r="H20590">
        <v>102986343</v>
      </c>
      <c r="I20590">
        <v>102986395</v>
      </c>
    </row>
    <row r="20591" spans="1:9" x14ac:dyDescent="0.2">
      <c r="A20591" t="str">
        <f>"Tctex1d1"</f>
        <v>Tctex1d1</v>
      </c>
      <c r="B20591" t="s">
        <v>13</v>
      </c>
      <c r="C20591" t="s">
        <v>23</v>
      </c>
      <c r="D20591" t="s">
        <v>17</v>
      </c>
      <c r="E20591" t="s">
        <v>12</v>
      </c>
      <c r="F20591">
        <v>102991815</v>
      </c>
      <c r="G20591">
        <v>102991837</v>
      </c>
      <c r="H20591">
        <v>102991815</v>
      </c>
      <c r="I20591">
        <v>102991837</v>
      </c>
    </row>
    <row r="20592" spans="1:9" x14ac:dyDescent="0.2">
      <c r="A20592" t="str">
        <f>"Tctex1d2"</f>
        <v>Tctex1d2</v>
      </c>
      <c r="B20592" t="s">
        <v>14</v>
      </c>
      <c r="C20592" t="s">
        <v>31</v>
      </c>
      <c r="D20592" t="s">
        <v>17</v>
      </c>
      <c r="E20592" t="s">
        <v>12</v>
      </c>
      <c r="F20592">
        <v>32419761</v>
      </c>
      <c r="G20592">
        <v>32419799</v>
      </c>
      <c r="H20592">
        <v>32419696</v>
      </c>
      <c r="I20592">
        <v>32419753</v>
      </c>
    </row>
    <row r="20593" spans="1:9" x14ac:dyDescent="0.2">
      <c r="A20593" t="str">
        <f>"Tctex1d4"</f>
        <v>Tctex1d4</v>
      </c>
      <c r="B20593" t="s">
        <v>14</v>
      </c>
      <c r="C20593" t="s">
        <v>23</v>
      </c>
      <c r="D20593" t="s">
        <v>17</v>
      </c>
      <c r="E20593" t="s">
        <v>12</v>
      </c>
      <c r="F20593">
        <v>117126800</v>
      </c>
      <c r="G20593">
        <v>117126818</v>
      </c>
      <c r="H20593">
        <v>117126776</v>
      </c>
      <c r="I20593">
        <v>117126797</v>
      </c>
    </row>
    <row r="20594" spans="1:9" x14ac:dyDescent="0.2">
      <c r="A20594" t="str">
        <f>"Tctn1"</f>
        <v>Tctn1</v>
      </c>
      <c r="B20594" t="s">
        <v>14</v>
      </c>
      <c r="C20594" t="s">
        <v>46</v>
      </c>
      <c r="D20594" t="s">
        <v>11</v>
      </c>
      <c r="E20594" t="s">
        <v>12</v>
      </c>
      <c r="F20594">
        <v>122264378</v>
      </c>
      <c r="G20594">
        <v>122264455</v>
      </c>
      <c r="H20594">
        <v>122264468</v>
      </c>
      <c r="I20594">
        <v>122264480</v>
      </c>
    </row>
    <row r="20595" spans="1:9" x14ac:dyDescent="0.2">
      <c r="A20595" t="str">
        <f>"Tctn2"</f>
        <v>Tctn2</v>
      </c>
      <c r="B20595" t="s">
        <v>14</v>
      </c>
      <c r="C20595" t="s">
        <v>46</v>
      </c>
      <c r="D20595" t="s">
        <v>17</v>
      </c>
      <c r="E20595" t="s">
        <v>12</v>
      </c>
      <c r="F20595">
        <v>124598752</v>
      </c>
      <c r="G20595">
        <v>124598798</v>
      </c>
      <c r="H20595">
        <v>124598752</v>
      </c>
      <c r="I20595">
        <v>124598798</v>
      </c>
    </row>
    <row r="20596" spans="1:9" x14ac:dyDescent="0.2">
      <c r="A20596" t="str">
        <f>"Tctn3"</f>
        <v>Tctn3</v>
      </c>
      <c r="B20596" t="s">
        <v>14</v>
      </c>
      <c r="C20596" t="s">
        <v>10</v>
      </c>
      <c r="D20596" t="s">
        <v>11</v>
      </c>
      <c r="E20596" t="s">
        <v>12</v>
      </c>
      <c r="F20596">
        <v>40612160</v>
      </c>
      <c r="G20596">
        <v>40612255</v>
      </c>
      <c r="H20596">
        <v>40612150</v>
      </c>
      <c r="I20596">
        <v>40612157</v>
      </c>
    </row>
    <row r="20597" spans="1:9" x14ac:dyDescent="0.2">
      <c r="A20597" t="str">
        <f>"Tdg"</f>
        <v>Tdg</v>
      </c>
      <c r="B20597" t="s">
        <v>14</v>
      </c>
      <c r="C20597" t="s">
        <v>15</v>
      </c>
      <c r="D20597" t="s">
        <v>17</v>
      </c>
      <c r="E20597" t="s">
        <v>12</v>
      </c>
      <c r="F20597">
        <v>82629803</v>
      </c>
      <c r="G20597">
        <v>82629818</v>
      </c>
      <c r="H20597">
        <v>82629899</v>
      </c>
      <c r="I20597">
        <v>82629910</v>
      </c>
    </row>
    <row r="20598" spans="1:9" x14ac:dyDescent="0.2">
      <c r="A20598" t="str">
        <f>"Tdgf1"</f>
        <v>Tdgf1</v>
      </c>
      <c r="B20598" t="s">
        <v>14</v>
      </c>
      <c r="C20598" t="s">
        <v>24</v>
      </c>
      <c r="D20598" t="s">
        <v>11</v>
      </c>
      <c r="E20598" t="s">
        <v>12</v>
      </c>
      <c r="F20598">
        <v>110946093</v>
      </c>
      <c r="G20598">
        <v>110946097</v>
      </c>
      <c r="H20598">
        <v>110946139</v>
      </c>
      <c r="I20598">
        <v>110946141</v>
      </c>
    </row>
    <row r="20599" spans="1:9" x14ac:dyDescent="0.2">
      <c r="A20599" t="str">
        <f>"Tdh"</f>
        <v>Tdh</v>
      </c>
      <c r="B20599" t="s">
        <v>14</v>
      </c>
      <c r="C20599" t="s">
        <v>41</v>
      </c>
      <c r="D20599" t="s">
        <v>11</v>
      </c>
      <c r="E20599" t="s">
        <v>12</v>
      </c>
      <c r="F20599">
        <v>63508766</v>
      </c>
      <c r="G20599">
        <v>63508773</v>
      </c>
      <c r="H20599">
        <v>63508784</v>
      </c>
      <c r="I20599">
        <v>63508799</v>
      </c>
    </row>
    <row r="20600" spans="1:9" x14ac:dyDescent="0.2">
      <c r="A20600" t="str">
        <f>"Tdo2"</f>
        <v>Tdo2</v>
      </c>
      <c r="B20600" t="s">
        <v>14</v>
      </c>
      <c r="C20600" t="s">
        <v>22</v>
      </c>
      <c r="D20600" t="s">
        <v>11</v>
      </c>
      <c r="E20600" t="s">
        <v>12</v>
      </c>
      <c r="F20600">
        <v>81975742</v>
      </c>
      <c r="G20600">
        <v>81975760</v>
      </c>
      <c r="H20600">
        <v>81975742</v>
      </c>
      <c r="I20600">
        <v>81975760</v>
      </c>
    </row>
    <row r="20601" spans="1:9" x14ac:dyDescent="0.2">
      <c r="A20601" t="str">
        <f>"Tdp1"</f>
        <v>Tdp1</v>
      </c>
      <c r="B20601" t="s">
        <v>14</v>
      </c>
      <c r="C20601" t="s">
        <v>16</v>
      </c>
      <c r="D20601" t="s">
        <v>17</v>
      </c>
      <c r="E20601" t="s">
        <v>12</v>
      </c>
      <c r="F20601">
        <v>99884498</v>
      </c>
      <c r="G20601">
        <v>99884531</v>
      </c>
      <c r="H20601">
        <v>99884483</v>
      </c>
      <c r="I20601">
        <v>99884489</v>
      </c>
    </row>
    <row r="20602" spans="1:9" x14ac:dyDescent="0.2">
      <c r="A20602" t="str">
        <f>"Tdp2"</f>
        <v>Tdp2</v>
      </c>
      <c r="B20602" t="s">
        <v>14</v>
      </c>
      <c r="C20602" t="s">
        <v>39</v>
      </c>
      <c r="D20602" t="s">
        <v>17</v>
      </c>
      <c r="E20602" t="s">
        <v>12</v>
      </c>
      <c r="F20602">
        <v>24831661</v>
      </c>
      <c r="G20602">
        <v>24831687</v>
      </c>
      <c r="H20602">
        <v>24831700</v>
      </c>
      <c r="I20602">
        <v>24831721</v>
      </c>
    </row>
    <row r="20603" spans="1:9" x14ac:dyDescent="0.2">
      <c r="A20603" t="str">
        <f>"Tdpoz1"</f>
        <v>Tdpoz1</v>
      </c>
      <c r="B20603" t="s">
        <v>5908</v>
      </c>
      <c r="C20603" t="s">
        <v>22</v>
      </c>
      <c r="D20603" t="s">
        <v>11</v>
      </c>
      <c r="E20603" t="s">
        <v>20</v>
      </c>
      <c r="F20603">
        <v>93671568</v>
      </c>
      <c r="G20603">
        <v>93671568</v>
      </c>
      <c r="H20603">
        <v>93671568</v>
      </c>
      <c r="I20603">
        <v>93671568</v>
      </c>
    </row>
    <row r="20604" spans="1:9" x14ac:dyDescent="0.2">
      <c r="A20604" t="str">
        <f>"Tdpoz1"</f>
        <v>Tdpoz1</v>
      </c>
      <c r="B20604" t="s">
        <v>5909</v>
      </c>
      <c r="C20604" t="s">
        <v>22</v>
      </c>
      <c r="D20604" t="s">
        <v>11</v>
      </c>
      <c r="E20604" t="s">
        <v>20</v>
      </c>
      <c r="F20604">
        <v>93676309</v>
      </c>
      <c r="G20604">
        <v>93676309</v>
      </c>
      <c r="H20604">
        <v>93676309</v>
      </c>
      <c r="I20604">
        <v>93676309</v>
      </c>
    </row>
    <row r="20605" spans="1:9" x14ac:dyDescent="0.2">
      <c r="A20605" t="str">
        <f>"Tdpoz2"</f>
        <v>Tdpoz2</v>
      </c>
      <c r="B20605" t="s">
        <v>5910</v>
      </c>
      <c r="C20605" t="s">
        <v>22</v>
      </c>
      <c r="D20605" t="s">
        <v>11</v>
      </c>
      <c r="E20605" t="s">
        <v>20</v>
      </c>
      <c r="F20605">
        <v>93652662</v>
      </c>
      <c r="G20605">
        <v>93652662</v>
      </c>
      <c r="H20605">
        <v>93652662</v>
      </c>
      <c r="I20605">
        <v>93652662</v>
      </c>
    </row>
    <row r="20606" spans="1:9" x14ac:dyDescent="0.2">
      <c r="A20606" t="str">
        <f>"Tdpoz3"</f>
        <v>Tdpoz3</v>
      </c>
      <c r="B20606" t="s">
        <v>5911</v>
      </c>
      <c r="C20606" t="s">
        <v>22</v>
      </c>
      <c r="D20606" t="s">
        <v>17</v>
      </c>
      <c r="E20606" t="s">
        <v>20</v>
      </c>
      <c r="F20606">
        <v>93826019</v>
      </c>
      <c r="G20606">
        <v>93826019</v>
      </c>
      <c r="H20606">
        <v>93826019</v>
      </c>
      <c r="I20606">
        <v>93826019</v>
      </c>
    </row>
    <row r="20607" spans="1:9" x14ac:dyDescent="0.2">
      <c r="A20607" t="str">
        <f>"Tdpoz4"</f>
        <v>Tdpoz4</v>
      </c>
      <c r="B20607" t="s">
        <v>5912</v>
      </c>
      <c r="C20607" t="s">
        <v>22</v>
      </c>
      <c r="D20607" t="s">
        <v>17</v>
      </c>
      <c r="E20607" t="s">
        <v>20</v>
      </c>
      <c r="F20607">
        <v>93796397</v>
      </c>
      <c r="G20607">
        <v>93796397</v>
      </c>
      <c r="H20607">
        <v>93796397</v>
      </c>
      <c r="I20607">
        <v>93796397</v>
      </c>
    </row>
    <row r="20608" spans="1:9" x14ac:dyDescent="0.2">
      <c r="A20608" t="str">
        <f>"Tdpoz5"</f>
        <v>Tdpoz5</v>
      </c>
      <c r="B20608" t="s">
        <v>5913</v>
      </c>
      <c r="C20608" t="s">
        <v>22</v>
      </c>
      <c r="D20608" t="s">
        <v>11</v>
      </c>
      <c r="E20608" t="s">
        <v>20</v>
      </c>
      <c r="F20608">
        <v>93961313</v>
      </c>
      <c r="G20608">
        <v>93961313</v>
      </c>
      <c r="H20608">
        <v>93961313</v>
      </c>
      <c r="I20608">
        <v>93961313</v>
      </c>
    </row>
    <row r="20609" spans="1:9" x14ac:dyDescent="0.2">
      <c r="A20609" t="str">
        <f>"Tdrd1"</f>
        <v>Tdrd1</v>
      </c>
      <c r="B20609" t="s">
        <v>14</v>
      </c>
      <c r="C20609" t="s">
        <v>10</v>
      </c>
      <c r="D20609" t="s">
        <v>17</v>
      </c>
      <c r="E20609" t="s">
        <v>12</v>
      </c>
      <c r="F20609">
        <v>56826202</v>
      </c>
      <c r="G20609">
        <v>56826248</v>
      </c>
      <c r="H20609">
        <v>56826268</v>
      </c>
      <c r="I20609">
        <v>56826288</v>
      </c>
    </row>
    <row r="20610" spans="1:9" x14ac:dyDescent="0.2">
      <c r="A20610" t="str">
        <f>"Tdrd12"</f>
        <v>Tdrd12</v>
      </c>
      <c r="B20610" t="s">
        <v>14</v>
      </c>
      <c r="C20610" t="s">
        <v>33</v>
      </c>
      <c r="D20610" t="s">
        <v>11</v>
      </c>
      <c r="E20610" t="s">
        <v>12</v>
      </c>
      <c r="F20610">
        <v>35537677</v>
      </c>
      <c r="G20610">
        <v>35537719</v>
      </c>
      <c r="H20610">
        <v>35537661</v>
      </c>
      <c r="I20610">
        <v>35537667</v>
      </c>
    </row>
    <row r="20611" spans="1:9" x14ac:dyDescent="0.2">
      <c r="A20611" t="str">
        <f>"Tdrd3"</f>
        <v>Tdrd3</v>
      </c>
      <c r="B20611" t="s">
        <v>14</v>
      </c>
      <c r="C20611" t="s">
        <v>41</v>
      </c>
      <c r="D20611" t="s">
        <v>17</v>
      </c>
      <c r="E20611" t="s">
        <v>12</v>
      </c>
      <c r="F20611">
        <v>87416610</v>
      </c>
      <c r="G20611">
        <v>87416655</v>
      </c>
      <c r="H20611">
        <v>87416726</v>
      </c>
      <c r="I20611">
        <v>87416745</v>
      </c>
    </row>
    <row r="20612" spans="1:9" x14ac:dyDescent="0.2">
      <c r="A20612" t="str">
        <f>"Tdrd5"</f>
        <v>Tdrd5</v>
      </c>
      <c r="B20612" t="s">
        <v>14</v>
      </c>
      <c r="C20612" t="s">
        <v>19</v>
      </c>
      <c r="D20612" t="s">
        <v>11</v>
      </c>
      <c r="E20612" t="s">
        <v>12</v>
      </c>
      <c r="F20612">
        <v>156303585</v>
      </c>
      <c r="G20612">
        <v>156303616</v>
      </c>
      <c r="H20612">
        <v>156303390</v>
      </c>
      <c r="I20612">
        <v>156303438</v>
      </c>
    </row>
    <row r="20613" spans="1:9" x14ac:dyDescent="0.2">
      <c r="A20613" t="str">
        <f>"Tdrd6"</f>
        <v>Tdrd6</v>
      </c>
      <c r="B20613" t="s">
        <v>14</v>
      </c>
      <c r="C20613" t="s">
        <v>28</v>
      </c>
      <c r="D20613" t="s">
        <v>11</v>
      </c>
      <c r="E20613" t="s">
        <v>12</v>
      </c>
      <c r="F20613">
        <v>43630290</v>
      </c>
      <c r="G20613">
        <v>43630304</v>
      </c>
      <c r="H20613">
        <v>43630686</v>
      </c>
      <c r="I20613">
        <v>43630697</v>
      </c>
    </row>
    <row r="20614" spans="1:9" x14ac:dyDescent="0.2">
      <c r="A20614" t="str">
        <f>"Tdrd7"</f>
        <v>Tdrd7</v>
      </c>
      <c r="B20614" t="s">
        <v>14</v>
      </c>
      <c r="C20614" t="s">
        <v>23</v>
      </c>
      <c r="D20614" t="s">
        <v>17</v>
      </c>
      <c r="E20614" t="s">
        <v>12</v>
      </c>
      <c r="F20614">
        <v>45972337</v>
      </c>
      <c r="G20614">
        <v>45972365</v>
      </c>
      <c r="H20614">
        <v>45972288</v>
      </c>
      <c r="I20614">
        <v>45972325</v>
      </c>
    </row>
    <row r="20615" spans="1:9" x14ac:dyDescent="0.2">
      <c r="A20615" t="str">
        <f>"Tdrd9"</f>
        <v>Tdrd9</v>
      </c>
      <c r="B20615" t="s">
        <v>14</v>
      </c>
      <c r="C20615" t="s">
        <v>16</v>
      </c>
      <c r="D20615" t="s">
        <v>17</v>
      </c>
      <c r="E20615" t="s">
        <v>12</v>
      </c>
      <c r="F20615">
        <v>111971545</v>
      </c>
      <c r="G20615">
        <v>111971598</v>
      </c>
      <c r="H20615">
        <v>111971608</v>
      </c>
      <c r="I20615">
        <v>111971619</v>
      </c>
    </row>
    <row r="20616" spans="1:9" x14ac:dyDescent="0.2">
      <c r="A20616" t="str">
        <f>"Tdrkh"</f>
        <v>Tdrkh</v>
      </c>
      <c r="B20616" t="s">
        <v>14</v>
      </c>
      <c r="C20616" t="s">
        <v>22</v>
      </c>
      <c r="D20616" t="s">
        <v>17</v>
      </c>
      <c r="E20616" t="s">
        <v>12</v>
      </c>
      <c r="F20616">
        <v>94413244</v>
      </c>
      <c r="G20616">
        <v>94413296</v>
      </c>
      <c r="H20616">
        <v>94413199</v>
      </c>
      <c r="I20616">
        <v>94413200</v>
      </c>
    </row>
    <row r="20617" spans="1:9" x14ac:dyDescent="0.2">
      <c r="A20617" t="str">
        <f>"Tdrp"</f>
        <v>Tdrp</v>
      </c>
      <c r="B20617" t="s">
        <v>14</v>
      </c>
      <c r="C20617" t="s">
        <v>30</v>
      </c>
      <c r="D20617" t="s">
        <v>11</v>
      </c>
      <c r="E20617" t="s">
        <v>67</v>
      </c>
      <c r="F20617">
        <v>13974676</v>
      </c>
      <c r="G20617">
        <v>13974698</v>
      </c>
      <c r="H20617">
        <v>13974715</v>
      </c>
      <c r="I20617">
        <v>13974737</v>
      </c>
    </row>
    <row r="20618" spans="1:9" x14ac:dyDescent="0.2">
      <c r="A20618" t="str">
        <f>"Tead1"</f>
        <v>Tead1</v>
      </c>
      <c r="B20618" t="s">
        <v>14</v>
      </c>
      <c r="C20618" t="s">
        <v>33</v>
      </c>
      <c r="D20618" t="s">
        <v>17</v>
      </c>
      <c r="E20618" t="s">
        <v>12</v>
      </c>
      <c r="F20618">
        <v>112679327</v>
      </c>
      <c r="G20618">
        <v>112679373</v>
      </c>
      <c r="H20618">
        <v>112679443</v>
      </c>
      <c r="I20618">
        <v>112679466</v>
      </c>
    </row>
    <row r="20619" spans="1:9" x14ac:dyDescent="0.2">
      <c r="A20619" t="str">
        <f>"Tead2"</f>
        <v>Tead2</v>
      </c>
      <c r="B20619" t="s">
        <v>14</v>
      </c>
      <c r="C20619" t="s">
        <v>33</v>
      </c>
      <c r="D20619" t="s">
        <v>17</v>
      </c>
      <c r="E20619" t="s">
        <v>12</v>
      </c>
      <c r="F20619">
        <v>45215773</v>
      </c>
      <c r="G20619">
        <v>45215816</v>
      </c>
      <c r="H20619">
        <v>45216671</v>
      </c>
      <c r="I20619">
        <v>45216695</v>
      </c>
    </row>
    <row r="20620" spans="1:9" x14ac:dyDescent="0.2">
      <c r="A20620" t="str">
        <f>"Tead3"</f>
        <v>Tead3</v>
      </c>
      <c r="B20620" t="s">
        <v>14</v>
      </c>
      <c r="C20620" t="s">
        <v>28</v>
      </c>
      <c r="D20620" t="s">
        <v>11</v>
      </c>
      <c r="E20620" t="s">
        <v>12</v>
      </c>
      <c r="F20620">
        <v>28350747</v>
      </c>
      <c r="G20620">
        <v>28350820</v>
      </c>
      <c r="H20620">
        <v>28350658</v>
      </c>
      <c r="I20620">
        <v>28350681</v>
      </c>
    </row>
    <row r="20621" spans="1:9" x14ac:dyDescent="0.2">
      <c r="A20621" t="str">
        <f>"Tead4"</f>
        <v>Tead4</v>
      </c>
      <c r="B20621" t="s">
        <v>14</v>
      </c>
      <c r="C20621" t="s">
        <v>32</v>
      </c>
      <c r="D20621" t="s">
        <v>11</v>
      </c>
      <c r="E20621" t="s">
        <v>12</v>
      </c>
      <c r="F20621">
        <v>128300453</v>
      </c>
      <c r="G20621">
        <v>128300501</v>
      </c>
      <c r="H20621">
        <v>128300362</v>
      </c>
      <c r="I20621">
        <v>128300424</v>
      </c>
    </row>
    <row r="20622" spans="1:9" x14ac:dyDescent="0.2">
      <c r="A20622" t="str">
        <f>"Tec"</f>
        <v>Tec</v>
      </c>
      <c r="B20622" t="s">
        <v>14</v>
      </c>
      <c r="C20622" t="s">
        <v>46</v>
      </c>
      <c r="D20622" t="s">
        <v>11</v>
      </c>
      <c r="E20622" t="s">
        <v>12</v>
      </c>
      <c r="F20622">
        <v>72868431</v>
      </c>
      <c r="G20622">
        <v>72868451</v>
      </c>
      <c r="H20622">
        <v>72868471</v>
      </c>
      <c r="I20622">
        <v>72868474</v>
      </c>
    </row>
    <row r="20623" spans="1:9" x14ac:dyDescent="0.2">
      <c r="A20623" t="str">
        <f>"Tecpr1"</f>
        <v>Tecpr1</v>
      </c>
      <c r="B20623" t="s">
        <v>14</v>
      </c>
      <c r="C20623" t="s">
        <v>46</v>
      </c>
      <c r="D20623" t="s">
        <v>11</v>
      </c>
      <c r="E20623" t="s">
        <v>12</v>
      </c>
      <c r="F20623">
        <v>144223516</v>
      </c>
      <c r="G20623">
        <v>144223618</v>
      </c>
      <c r="H20623">
        <v>144223639</v>
      </c>
      <c r="I20623">
        <v>144223649</v>
      </c>
    </row>
    <row r="20624" spans="1:9" x14ac:dyDescent="0.2">
      <c r="A20624" t="str">
        <f>"Tecpr2"</f>
        <v>Tecpr2</v>
      </c>
      <c r="B20624" t="s">
        <v>14</v>
      </c>
      <c r="C20624" t="s">
        <v>16</v>
      </c>
      <c r="D20624" t="s">
        <v>17</v>
      </c>
      <c r="E20624" t="s">
        <v>12</v>
      </c>
      <c r="F20624">
        <v>110889231</v>
      </c>
      <c r="G20624">
        <v>110889305</v>
      </c>
      <c r="H20624">
        <v>110889157</v>
      </c>
      <c r="I20624">
        <v>110889173</v>
      </c>
    </row>
    <row r="20625" spans="1:9" x14ac:dyDescent="0.2">
      <c r="A20625" t="str">
        <f>"Tecr"</f>
        <v>Tecr</v>
      </c>
      <c r="B20625" t="s">
        <v>14</v>
      </c>
      <c r="C20625" t="s">
        <v>30</v>
      </c>
      <c r="D20625" t="s">
        <v>11</v>
      </c>
      <c r="E20625" t="s">
        <v>12</v>
      </c>
      <c r="F20625">
        <v>83594440</v>
      </c>
      <c r="G20625">
        <v>83594481</v>
      </c>
      <c r="H20625">
        <v>83594405</v>
      </c>
      <c r="I20625">
        <v>83594432</v>
      </c>
    </row>
    <row r="20626" spans="1:9" x14ac:dyDescent="0.2">
      <c r="A20626" t="str">
        <f>"Tecrl"</f>
        <v>Tecrl</v>
      </c>
      <c r="B20626" t="s">
        <v>14</v>
      </c>
      <c r="C20626" t="s">
        <v>46</v>
      </c>
      <c r="D20626" t="s">
        <v>11</v>
      </c>
      <c r="E20626" t="s">
        <v>12</v>
      </c>
      <c r="F20626">
        <v>83354979</v>
      </c>
      <c r="G20626">
        <v>83355060</v>
      </c>
      <c r="H20626">
        <v>83354979</v>
      </c>
      <c r="I20626">
        <v>83355060</v>
      </c>
    </row>
    <row r="20627" spans="1:9" x14ac:dyDescent="0.2">
      <c r="A20627" t="str">
        <f>"Tecta"</f>
        <v>Tecta</v>
      </c>
      <c r="B20627" t="s">
        <v>14</v>
      </c>
      <c r="C20627" t="s">
        <v>24</v>
      </c>
      <c r="D20627" t="s">
        <v>11</v>
      </c>
      <c r="E20627" t="s">
        <v>12</v>
      </c>
      <c r="F20627">
        <v>42399804</v>
      </c>
      <c r="G20627">
        <v>42399877</v>
      </c>
      <c r="H20627">
        <v>42399769</v>
      </c>
      <c r="I20627">
        <v>42399793</v>
      </c>
    </row>
    <row r="20628" spans="1:9" x14ac:dyDescent="0.2">
      <c r="A20628" t="str">
        <f>"Tectb"</f>
        <v>Tectb</v>
      </c>
      <c r="B20628" t="s">
        <v>14</v>
      </c>
      <c r="C20628" t="s">
        <v>10</v>
      </c>
      <c r="D20628" t="s">
        <v>17</v>
      </c>
      <c r="E20628" t="s">
        <v>12</v>
      </c>
      <c r="F20628">
        <v>55180716</v>
      </c>
      <c r="G20628">
        <v>55180733</v>
      </c>
      <c r="H20628">
        <v>55180716</v>
      </c>
      <c r="I20628">
        <v>55180733</v>
      </c>
    </row>
    <row r="20629" spans="1:9" x14ac:dyDescent="0.2">
      <c r="A20629" t="str">
        <f>"Teddm1"</f>
        <v>Teddm1</v>
      </c>
      <c r="B20629" t="s">
        <v>14</v>
      </c>
      <c r="C20629" t="s">
        <v>19</v>
      </c>
      <c r="D20629" t="s">
        <v>17</v>
      </c>
      <c r="E20629" t="s">
        <v>12</v>
      </c>
      <c r="F20629">
        <v>153891732</v>
      </c>
      <c r="G20629">
        <v>153891740</v>
      </c>
      <c r="H20629">
        <v>153891732</v>
      </c>
      <c r="I20629">
        <v>153891740</v>
      </c>
    </row>
    <row r="20630" spans="1:9" x14ac:dyDescent="0.2">
      <c r="A20630" t="str">
        <f>"Tef"</f>
        <v>Tef</v>
      </c>
      <c r="B20630" t="s">
        <v>9</v>
      </c>
      <c r="C20630" t="s">
        <v>25</v>
      </c>
      <c r="D20630" t="s">
        <v>17</v>
      </c>
      <c r="E20630" t="s">
        <v>12</v>
      </c>
      <c r="F20630">
        <v>81811448</v>
      </c>
      <c r="G20630">
        <v>81811491</v>
      </c>
      <c r="H20630">
        <v>81811448</v>
      </c>
      <c r="I20630">
        <v>81811491</v>
      </c>
    </row>
    <row r="20631" spans="1:9" x14ac:dyDescent="0.2">
      <c r="A20631" t="str">
        <f>"Tef"</f>
        <v>Tef</v>
      </c>
      <c r="B20631" t="s">
        <v>13</v>
      </c>
      <c r="C20631" t="s">
        <v>25</v>
      </c>
      <c r="D20631" t="s">
        <v>17</v>
      </c>
      <c r="E20631" t="s">
        <v>12</v>
      </c>
      <c r="F20631">
        <v>81802735</v>
      </c>
      <c r="G20631">
        <v>81802758</v>
      </c>
      <c r="H20631">
        <v>81802735</v>
      </c>
      <c r="I20631">
        <v>81802758</v>
      </c>
    </row>
    <row r="20632" spans="1:9" x14ac:dyDescent="0.2">
      <c r="A20632" t="str">
        <f>"Tefm"</f>
        <v>Tefm</v>
      </c>
      <c r="B20632" t="s">
        <v>14</v>
      </c>
      <c r="C20632" t="s">
        <v>27</v>
      </c>
      <c r="D20632" t="s">
        <v>11</v>
      </c>
      <c r="E20632" t="s">
        <v>67</v>
      </c>
      <c r="F20632">
        <v>80142123</v>
      </c>
      <c r="G20632">
        <v>80142162</v>
      </c>
      <c r="H20632">
        <v>80142164</v>
      </c>
      <c r="I20632">
        <v>80142177</v>
      </c>
    </row>
    <row r="20633" spans="1:9" x14ac:dyDescent="0.2">
      <c r="A20633" t="str">
        <f>"Tek"</f>
        <v>Tek</v>
      </c>
      <c r="B20633" t="s">
        <v>14</v>
      </c>
      <c r="C20633" t="s">
        <v>23</v>
      </c>
      <c r="D20633" t="s">
        <v>17</v>
      </c>
      <c r="E20633" t="s">
        <v>12</v>
      </c>
      <c r="F20633">
        <v>94739493</v>
      </c>
      <c r="G20633">
        <v>94739513</v>
      </c>
      <c r="H20633">
        <v>94739462</v>
      </c>
      <c r="I20633">
        <v>94739484</v>
      </c>
    </row>
    <row r="20634" spans="1:9" x14ac:dyDescent="0.2">
      <c r="A20634" t="str">
        <f>"Tekt1"</f>
        <v>Tekt1</v>
      </c>
      <c r="B20634" t="s">
        <v>14</v>
      </c>
      <c r="C20634" t="s">
        <v>27</v>
      </c>
      <c r="D20634" t="s">
        <v>11</v>
      </c>
      <c r="E20634" t="s">
        <v>12</v>
      </c>
      <c r="F20634">
        <v>72361837</v>
      </c>
      <c r="G20634">
        <v>72361899</v>
      </c>
      <c r="H20634">
        <v>72361837</v>
      </c>
      <c r="I20634">
        <v>72361899</v>
      </c>
    </row>
    <row r="20635" spans="1:9" x14ac:dyDescent="0.2">
      <c r="A20635" t="str">
        <f>"Tekt2"</f>
        <v>Tekt2</v>
      </c>
      <c r="B20635" t="s">
        <v>14</v>
      </c>
      <c r="C20635" t="s">
        <v>23</v>
      </c>
      <c r="D20635" t="s">
        <v>11</v>
      </c>
      <c r="E20635" t="s">
        <v>12</v>
      </c>
      <c r="F20635">
        <v>126325672</v>
      </c>
      <c r="G20635">
        <v>126325707</v>
      </c>
      <c r="H20635">
        <v>126325423</v>
      </c>
      <c r="I20635">
        <v>126325469</v>
      </c>
    </row>
    <row r="20636" spans="1:9" x14ac:dyDescent="0.2">
      <c r="A20636" t="str">
        <f>"Tekt3"</f>
        <v>Tekt3</v>
      </c>
      <c r="B20636" t="s">
        <v>14</v>
      </c>
      <c r="C20636" t="s">
        <v>27</v>
      </c>
      <c r="D20636" t="s">
        <v>17</v>
      </c>
      <c r="E20636" t="s">
        <v>12</v>
      </c>
      <c r="F20636">
        <v>63061599</v>
      </c>
      <c r="G20636">
        <v>63061676</v>
      </c>
      <c r="H20636">
        <v>63061599</v>
      </c>
      <c r="I20636">
        <v>63061676</v>
      </c>
    </row>
    <row r="20637" spans="1:9" x14ac:dyDescent="0.2">
      <c r="A20637" t="str">
        <f>"Tekt4"</f>
        <v>Tekt4</v>
      </c>
      <c r="B20637" t="s">
        <v>14</v>
      </c>
      <c r="C20637" t="s">
        <v>28</v>
      </c>
      <c r="D20637" t="s">
        <v>17</v>
      </c>
      <c r="E20637" t="s">
        <v>12</v>
      </c>
      <c r="F20637">
        <v>25471564</v>
      </c>
      <c r="G20637">
        <v>25471637</v>
      </c>
      <c r="H20637">
        <v>25471702</v>
      </c>
      <c r="I20637">
        <v>25471715</v>
      </c>
    </row>
    <row r="20638" spans="1:9" x14ac:dyDescent="0.2">
      <c r="A20638" t="str">
        <f>"Tekt5"</f>
        <v>Tekt5</v>
      </c>
      <c r="B20638" t="s">
        <v>14</v>
      </c>
      <c r="C20638" t="s">
        <v>31</v>
      </c>
      <c r="D20638" t="s">
        <v>11</v>
      </c>
      <c r="E20638" t="s">
        <v>12</v>
      </c>
      <c r="F20638">
        <v>10395438</v>
      </c>
      <c r="G20638">
        <v>10395460</v>
      </c>
      <c r="H20638">
        <v>10395476</v>
      </c>
      <c r="I20638">
        <v>10395483</v>
      </c>
    </row>
    <row r="20639" spans="1:9" x14ac:dyDescent="0.2">
      <c r="A20639" t="str">
        <f>"Telo2"</f>
        <v>Telo2</v>
      </c>
      <c r="B20639" t="s">
        <v>14</v>
      </c>
      <c r="C20639" t="s">
        <v>28</v>
      </c>
      <c r="D20639" t="s">
        <v>11</v>
      </c>
      <c r="E20639" t="s">
        <v>12</v>
      </c>
      <c r="F20639">
        <v>25115733</v>
      </c>
      <c r="G20639">
        <v>25115783</v>
      </c>
      <c r="H20639">
        <v>25115940</v>
      </c>
      <c r="I20639">
        <v>25115987</v>
      </c>
    </row>
    <row r="20640" spans="1:9" x14ac:dyDescent="0.2">
      <c r="A20640" t="str">
        <f>"Ten1"</f>
        <v>Ten1</v>
      </c>
      <c r="B20640" t="s">
        <v>14</v>
      </c>
      <c r="C20640" t="s">
        <v>27</v>
      </c>
      <c r="D20640" t="s">
        <v>17</v>
      </c>
      <c r="E20640" t="s">
        <v>67</v>
      </c>
      <c r="F20640">
        <v>116198853</v>
      </c>
      <c r="G20640">
        <v>116198903</v>
      </c>
      <c r="H20640">
        <v>116198853</v>
      </c>
      <c r="I20640">
        <v>116198903</v>
      </c>
    </row>
    <row r="20641" spans="1:9" x14ac:dyDescent="0.2">
      <c r="A20641" t="str">
        <f>"Tenc1"</f>
        <v>Tenc1</v>
      </c>
      <c r="B20641" t="s">
        <v>14</v>
      </c>
      <c r="C20641" t="s">
        <v>25</v>
      </c>
      <c r="D20641" t="s">
        <v>17</v>
      </c>
      <c r="E20641" t="s">
        <v>12</v>
      </c>
      <c r="F20641">
        <v>102102926</v>
      </c>
      <c r="G20641">
        <v>102102975</v>
      </c>
      <c r="H20641">
        <v>102102926</v>
      </c>
      <c r="I20641">
        <v>102102975</v>
      </c>
    </row>
    <row r="20642" spans="1:9" x14ac:dyDescent="0.2">
      <c r="A20642" t="str">
        <f>"Tenm1"</f>
        <v>Tenm1</v>
      </c>
      <c r="B20642" t="s">
        <v>5914</v>
      </c>
      <c r="C20642" t="s">
        <v>37</v>
      </c>
      <c r="D20642" t="s">
        <v>11</v>
      </c>
      <c r="E20642" t="s">
        <v>20</v>
      </c>
      <c r="F20642">
        <v>43274785</v>
      </c>
      <c r="G20642">
        <v>43274785</v>
      </c>
      <c r="H20642">
        <v>43274785</v>
      </c>
      <c r="I20642">
        <v>43274785</v>
      </c>
    </row>
    <row r="20643" spans="1:9" x14ac:dyDescent="0.2">
      <c r="A20643" t="str">
        <f>"Tenm1"</f>
        <v>Tenm1</v>
      </c>
      <c r="B20643" t="s">
        <v>5915</v>
      </c>
      <c r="C20643" t="s">
        <v>37</v>
      </c>
      <c r="D20643" t="s">
        <v>11</v>
      </c>
      <c r="E20643" t="s">
        <v>20</v>
      </c>
      <c r="F20643">
        <v>43167826</v>
      </c>
      <c r="G20643">
        <v>43167826</v>
      </c>
      <c r="H20643">
        <v>43167826</v>
      </c>
      <c r="I20643">
        <v>43167826</v>
      </c>
    </row>
    <row r="20644" spans="1:9" x14ac:dyDescent="0.2">
      <c r="A20644" t="str">
        <f>"Tenm2"</f>
        <v>Tenm2</v>
      </c>
      <c r="B20644" t="s">
        <v>14</v>
      </c>
      <c r="C20644" t="s">
        <v>27</v>
      </c>
      <c r="D20644" t="s">
        <v>11</v>
      </c>
      <c r="E20644" t="s">
        <v>67</v>
      </c>
      <c r="F20644">
        <v>37236230</v>
      </c>
      <c r="G20644">
        <v>37236314</v>
      </c>
      <c r="H20644">
        <v>37236230</v>
      </c>
      <c r="I20644">
        <v>37236314</v>
      </c>
    </row>
    <row r="20645" spans="1:9" x14ac:dyDescent="0.2">
      <c r="A20645" t="str">
        <f>"Tenm3"</f>
        <v>Tenm3</v>
      </c>
      <c r="B20645" t="s">
        <v>5916</v>
      </c>
      <c r="C20645" t="s">
        <v>30</v>
      </c>
      <c r="D20645" t="s">
        <v>11</v>
      </c>
      <c r="E20645" t="s">
        <v>20</v>
      </c>
      <c r="F20645">
        <v>48674689</v>
      </c>
      <c r="G20645">
        <v>48674689</v>
      </c>
      <c r="H20645">
        <v>48674689</v>
      </c>
      <c r="I20645">
        <v>48674689</v>
      </c>
    </row>
    <row r="20646" spans="1:9" x14ac:dyDescent="0.2">
      <c r="A20646" t="str">
        <f>"Tenm4"</f>
        <v>Tenm4</v>
      </c>
      <c r="B20646" t="s">
        <v>5917</v>
      </c>
      <c r="C20646" t="s">
        <v>33</v>
      </c>
      <c r="D20646" t="s">
        <v>17</v>
      </c>
      <c r="E20646" t="s">
        <v>35</v>
      </c>
      <c r="F20646">
        <v>96171259</v>
      </c>
      <c r="G20646">
        <v>96171286</v>
      </c>
      <c r="H20646">
        <v>96171324</v>
      </c>
      <c r="I20646">
        <v>96171325</v>
      </c>
    </row>
    <row r="20647" spans="1:9" x14ac:dyDescent="0.2">
      <c r="A20647" t="str">
        <f>"Tep1"</f>
        <v>Tep1</v>
      </c>
      <c r="B20647" t="s">
        <v>14</v>
      </c>
      <c r="C20647" t="s">
        <v>41</v>
      </c>
      <c r="D20647" t="s">
        <v>11</v>
      </c>
      <c r="E20647" t="s">
        <v>12</v>
      </c>
      <c r="F20647">
        <v>50870499</v>
      </c>
      <c r="G20647">
        <v>50870550</v>
      </c>
      <c r="H20647">
        <v>50870557</v>
      </c>
      <c r="I20647">
        <v>50870571</v>
      </c>
    </row>
    <row r="20648" spans="1:9" x14ac:dyDescent="0.2">
      <c r="A20648" t="str">
        <f>"Tepp"</f>
        <v>Tepp</v>
      </c>
      <c r="B20648" t="s">
        <v>14</v>
      </c>
      <c r="C20648" t="s">
        <v>30</v>
      </c>
      <c r="D20648" t="s">
        <v>17</v>
      </c>
      <c r="E20648" t="s">
        <v>12</v>
      </c>
      <c r="F20648">
        <v>95320440</v>
      </c>
      <c r="G20648">
        <v>95320466</v>
      </c>
      <c r="H20648">
        <v>95320422</v>
      </c>
      <c r="I20648">
        <v>95320429</v>
      </c>
    </row>
    <row r="20649" spans="1:9" x14ac:dyDescent="0.2">
      <c r="A20649" t="str">
        <f>"Terf1"</f>
        <v>Terf1</v>
      </c>
      <c r="B20649" t="s">
        <v>14</v>
      </c>
      <c r="C20649" t="s">
        <v>19</v>
      </c>
      <c r="D20649" t="s">
        <v>17</v>
      </c>
      <c r="E20649" t="s">
        <v>12</v>
      </c>
      <c r="F20649">
        <v>15805639</v>
      </c>
      <c r="G20649">
        <v>15805675</v>
      </c>
      <c r="H20649">
        <v>15805623</v>
      </c>
      <c r="I20649">
        <v>15805632</v>
      </c>
    </row>
    <row r="20650" spans="1:9" x14ac:dyDescent="0.2">
      <c r="A20650" t="str">
        <f>"Terf2"</f>
        <v>Terf2</v>
      </c>
      <c r="B20650" t="s">
        <v>14</v>
      </c>
      <c r="C20650" t="s">
        <v>30</v>
      </c>
      <c r="D20650" t="s">
        <v>11</v>
      </c>
      <c r="E20650" t="s">
        <v>12</v>
      </c>
      <c r="F20650">
        <v>107096510</v>
      </c>
      <c r="G20650">
        <v>107096562</v>
      </c>
      <c r="H20650">
        <v>107096376</v>
      </c>
      <c r="I20650">
        <v>107096406</v>
      </c>
    </row>
    <row r="20651" spans="1:9" x14ac:dyDescent="0.2">
      <c r="A20651" t="str">
        <f>"Terf2ip"</f>
        <v>Terf2ip</v>
      </c>
      <c r="B20651" t="s">
        <v>14</v>
      </c>
      <c r="C20651" t="s">
        <v>30</v>
      </c>
      <c r="D20651" t="s">
        <v>17</v>
      </c>
      <c r="E20651" t="s">
        <v>12</v>
      </c>
      <c r="F20651">
        <v>112011392</v>
      </c>
      <c r="G20651">
        <v>112011447</v>
      </c>
      <c r="H20651">
        <v>112011365</v>
      </c>
      <c r="I20651">
        <v>112011388</v>
      </c>
    </row>
    <row r="20652" spans="1:9" x14ac:dyDescent="0.2">
      <c r="A20652" t="str">
        <f>"Tert"</f>
        <v>Tert</v>
      </c>
      <c r="B20652" t="s">
        <v>14</v>
      </c>
      <c r="C20652" t="s">
        <v>39</v>
      </c>
      <c r="D20652" t="s">
        <v>17</v>
      </c>
      <c r="E20652" t="s">
        <v>12</v>
      </c>
      <c r="F20652">
        <v>73626886</v>
      </c>
      <c r="G20652">
        <v>73626937</v>
      </c>
      <c r="H20652">
        <v>73626886</v>
      </c>
      <c r="I20652">
        <v>73626937</v>
      </c>
    </row>
    <row r="20653" spans="1:9" x14ac:dyDescent="0.2">
      <c r="A20653" t="str">
        <f>"Tes"</f>
        <v>Tes</v>
      </c>
      <c r="B20653" t="s">
        <v>14</v>
      </c>
      <c r="C20653" t="s">
        <v>32</v>
      </c>
      <c r="D20653" t="s">
        <v>17</v>
      </c>
      <c r="E20653" t="s">
        <v>12</v>
      </c>
      <c r="F20653">
        <v>17065129</v>
      </c>
      <c r="G20653">
        <v>17065233</v>
      </c>
      <c r="H20653">
        <v>17065114</v>
      </c>
      <c r="I20653">
        <v>17065121</v>
      </c>
    </row>
    <row r="20654" spans="1:9" x14ac:dyDescent="0.2">
      <c r="A20654" t="str">
        <f>"Tesc"</f>
        <v>Tesc</v>
      </c>
      <c r="B20654" t="s">
        <v>14</v>
      </c>
      <c r="C20654" t="s">
        <v>46</v>
      </c>
      <c r="D20654" t="s">
        <v>17</v>
      </c>
      <c r="E20654" t="s">
        <v>12</v>
      </c>
      <c r="F20654">
        <v>118027819</v>
      </c>
      <c r="G20654">
        <v>118027836</v>
      </c>
      <c r="H20654">
        <v>118027793</v>
      </c>
      <c r="I20654">
        <v>118027800</v>
      </c>
    </row>
    <row r="20655" spans="1:9" x14ac:dyDescent="0.2">
      <c r="A20655" t="str">
        <f>"Tescl"</f>
        <v>Tescl</v>
      </c>
      <c r="B20655" t="s">
        <v>14</v>
      </c>
      <c r="C20655" t="s">
        <v>33</v>
      </c>
      <c r="D20655" t="s">
        <v>11</v>
      </c>
      <c r="E20655" t="s">
        <v>67</v>
      </c>
      <c r="F20655">
        <v>24333922</v>
      </c>
      <c r="G20655">
        <v>24333955</v>
      </c>
      <c r="H20655">
        <v>24333959</v>
      </c>
      <c r="I20655">
        <v>24333969</v>
      </c>
    </row>
    <row r="20656" spans="1:9" x14ac:dyDescent="0.2">
      <c r="A20656" t="str">
        <f>"Tesk1"</f>
        <v>Tesk1</v>
      </c>
      <c r="B20656" t="s">
        <v>14</v>
      </c>
      <c r="C20656" t="s">
        <v>23</v>
      </c>
      <c r="D20656" t="s">
        <v>17</v>
      </c>
      <c r="E20656" t="s">
        <v>12</v>
      </c>
      <c r="F20656">
        <v>43442236</v>
      </c>
      <c r="G20656">
        <v>43442315</v>
      </c>
      <c r="H20656">
        <v>43442236</v>
      </c>
      <c r="I20656">
        <v>43442315</v>
      </c>
    </row>
    <row r="20657" spans="1:9" x14ac:dyDescent="0.2">
      <c r="A20657" t="str">
        <f>"Tesk2"</f>
        <v>Tesk2</v>
      </c>
      <c r="B20657" t="s">
        <v>14</v>
      </c>
      <c r="C20657" t="s">
        <v>23</v>
      </c>
      <c r="D20657" t="s">
        <v>17</v>
      </c>
      <c r="E20657" t="s">
        <v>12</v>
      </c>
      <c r="F20657">
        <v>116720920</v>
      </c>
      <c r="G20657">
        <v>116721004</v>
      </c>
      <c r="H20657">
        <v>116721049</v>
      </c>
      <c r="I20657">
        <v>116721060</v>
      </c>
    </row>
    <row r="20658" spans="1:9" x14ac:dyDescent="0.2">
      <c r="A20658" t="str">
        <f>"Tespa1"</f>
        <v>Tespa1</v>
      </c>
      <c r="B20658" t="s">
        <v>14</v>
      </c>
      <c r="C20658" t="s">
        <v>15</v>
      </c>
      <c r="D20658" t="s">
        <v>17</v>
      </c>
      <c r="E20658" t="s">
        <v>67</v>
      </c>
      <c r="F20658">
        <v>130322869</v>
      </c>
      <c r="G20658">
        <v>130322905</v>
      </c>
      <c r="H20658">
        <v>130322827</v>
      </c>
      <c r="I20658">
        <v>130322842</v>
      </c>
    </row>
    <row r="20659" spans="1:9" x14ac:dyDescent="0.2">
      <c r="A20659" t="str">
        <f>"Tet1"</f>
        <v>Tet1</v>
      </c>
      <c r="B20659" t="s">
        <v>14</v>
      </c>
      <c r="C20659" t="s">
        <v>15</v>
      </c>
      <c r="D20659" t="s">
        <v>11</v>
      </c>
      <c r="E20659" t="s">
        <v>12</v>
      </c>
      <c r="F20659">
        <v>62865438</v>
      </c>
      <c r="G20659">
        <v>62865471</v>
      </c>
      <c r="H20659">
        <v>62865242</v>
      </c>
      <c r="I20659">
        <v>62865277</v>
      </c>
    </row>
    <row r="20660" spans="1:9" x14ac:dyDescent="0.2">
      <c r="A20660" t="str">
        <f>"Tet2"</f>
        <v>Tet2</v>
      </c>
      <c r="B20660" t="s">
        <v>14</v>
      </c>
      <c r="C20660" t="s">
        <v>22</v>
      </c>
      <c r="D20660" t="s">
        <v>11</v>
      </c>
      <c r="E20660" t="s">
        <v>12</v>
      </c>
      <c r="F20660">
        <v>133544268</v>
      </c>
      <c r="G20660">
        <v>133544313</v>
      </c>
      <c r="H20660">
        <v>133544250</v>
      </c>
      <c r="I20660">
        <v>133544264</v>
      </c>
    </row>
    <row r="20661" spans="1:9" x14ac:dyDescent="0.2">
      <c r="A20661" t="str">
        <f>"Tet3"</f>
        <v>Tet3</v>
      </c>
      <c r="B20661" t="s">
        <v>14</v>
      </c>
      <c r="C20661" t="s">
        <v>32</v>
      </c>
      <c r="D20661" t="s">
        <v>11</v>
      </c>
      <c r="E20661" t="s">
        <v>12</v>
      </c>
      <c r="F20661">
        <v>83441612</v>
      </c>
      <c r="G20661">
        <v>83441664</v>
      </c>
      <c r="H20661">
        <v>83441590</v>
      </c>
      <c r="I20661">
        <v>83441601</v>
      </c>
    </row>
    <row r="20662" spans="1:9" x14ac:dyDescent="0.2">
      <c r="A20662" t="str">
        <f>"Tex10"</f>
        <v>Tex10</v>
      </c>
      <c r="B20662" t="s">
        <v>14</v>
      </c>
      <c r="C20662" t="s">
        <v>23</v>
      </c>
      <c r="D20662" t="s">
        <v>11</v>
      </c>
      <c r="E20662" t="s">
        <v>12</v>
      </c>
      <c r="F20662">
        <v>48473403</v>
      </c>
      <c r="G20662">
        <v>48473457</v>
      </c>
      <c r="H20662">
        <v>48473382</v>
      </c>
      <c r="I20662">
        <v>48473401</v>
      </c>
    </row>
    <row r="20663" spans="1:9" x14ac:dyDescent="0.2">
      <c r="A20663" t="str">
        <f>"Tex101"</f>
        <v>Tex101</v>
      </c>
      <c r="B20663" t="s">
        <v>14</v>
      </c>
      <c r="C20663" t="s">
        <v>33</v>
      </c>
      <c r="D20663" t="s">
        <v>11</v>
      </c>
      <c r="E20663" t="s">
        <v>12</v>
      </c>
      <c r="F20663">
        <v>24672032</v>
      </c>
      <c r="G20663">
        <v>24672048</v>
      </c>
      <c r="H20663">
        <v>24672054</v>
      </c>
      <c r="I20663">
        <v>24672066</v>
      </c>
    </row>
    <row r="20664" spans="1:9" x14ac:dyDescent="0.2">
      <c r="A20664" t="str">
        <f>"Tex11"</f>
        <v>Tex11</v>
      </c>
      <c r="B20664" t="s">
        <v>14</v>
      </c>
      <c r="C20664" t="s">
        <v>37</v>
      </c>
      <c r="D20664" t="s">
        <v>11</v>
      </c>
      <c r="E20664" t="s">
        <v>12</v>
      </c>
      <c r="F20664">
        <v>101059614</v>
      </c>
      <c r="G20664">
        <v>101059642</v>
      </c>
      <c r="H20664">
        <v>101059643</v>
      </c>
      <c r="I20664">
        <v>101059654</v>
      </c>
    </row>
    <row r="20665" spans="1:9" x14ac:dyDescent="0.2">
      <c r="A20665" t="str">
        <f>"Tex12"</f>
        <v>Tex12</v>
      </c>
      <c r="B20665" t="s">
        <v>14</v>
      </c>
      <c r="C20665" t="s">
        <v>24</v>
      </c>
      <c r="D20665" t="s">
        <v>11</v>
      </c>
      <c r="E20665" t="s">
        <v>12</v>
      </c>
      <c r="F20665">
        <v>50561282</v>
      </c>
      <c r="G20665">
        <v>50561301</v>
      </c>
      <c r="H20665">
        <v>50561305</v>
      </c>
      <c r="I20665">
        <v>50561316</v>
      </c>
    </row>
    <row r="20666" spans="1:9" x14ac:dyDescent="0.2">
      <c r="A20666" t="str">
        <f>"Tex13"</f>
        <v>Tex13</v>
      </c>
      <c r="B20666" t="s">
        <v>14</v>
      </c>
      <c r="C20666" t="s">
        <v>37</v>
      </c>
      <c r="D20666" t="s">
        <v>11</v>
      </c>
      <c r="E20666" t="s">
        <v>12</v>
      </c>
      <c r="F20666">
        <v>140813462</v>
      </c>
      <c r="G20666">
        <v>140813467</v>
      </c>
      <c r="H20666">
        <v>140813502</v>
      </c>
      <c r="I20666">
        <v>140813515</v>
      </c>
    </row>
    <row r="20667" spans="1:9" x14ac:dyDescent="0.2">
      <c r="A20667" t="str">
        <f>"Tex13a"</f>
        <v>Tex13a</v>
      </c>
      <c r="B20667" t="s">
        <v>14</v>
      </c>
      <c r="C20667" t="s">
        <v>37</v>
      </c>
      <c r="D20667" t="s">
        <v>11</v>
      </c>
      <c r="E20667" t="s">
        <v>12</v>
      </c>
      <c r="F20667">
        <v>138209607</v>
      </c>
      <c r="G20667">
        <v>138209621</v>
      </c>
      <c r="H20667">
        <v>138209607</v>
      </c>
      <c r="I20667">
        <v>138209621</v>
      </c>
    </row>
    <row r="20668" spans="1:9" x14ac:dyDescent="0.2">
      <c r="A20668" t="str">
        <f>"Tex14"</f>
        <v>Tex14</v>
      </c>
      <c r="B20668" t="s">
        <v>14</v>
      </c>
      <c r="C20668" t="s">
        <v>27</v>
      </c>
      <c r="D20668" t="s">
        <v>17</v>
      </c>
      <c r="E20668" t="s">
        <v>12</v>
      </c>
      <c r="F20668">
        <v>87405049</v>
      </c>
      <c r="G20668">
        <v>87405113</v>
      </c>
      <c r="H20668">
        <v>87405049</v>
      </c>
      <c r="I20668">
        <v>87405113</v>
      </c>
    </row>
    <row r="20669" spans="1:9" x14ac:dyDescent="0.2">
      <c r="A20669" t="str">
        <f>"Tex15"</f>
        <v>Tex15</v>
      </c>
      <c r="B20669" t="s">
        <v>5918</v>
      </c>
      <c r="C20669" t="s">
        <v>30</v>
      </c>
      <c r="D20669" t="s">
        <v>17</v>
      </c>
      <c r="E20669" t="s">
        <v>20</v>
      </c>
      <c r="F20669">
        <v>33570543</v>
      </c>
      <c r="G20669">
        <v>33570543</v>
      </c>
      <c r="H20669">
        <v>33570543</v>
      </c>
      <c r="I20669">
        <v>33570543</v>
      </c>
    </row>
    <row r="20670" spans="1:9" x14ac:dyDescent="0.2">
      <c r="A20670" t="str">
        <f>"Tex16"</f>
        <v>Tex16</v>
      </c>
      <c r="B20670" t="s">
        <v>5919</v>
      </c>
      <c r="C20670" t="s">
        <v>37</v>
      </c>
      <c r="D20670" t="s">
        <v>17</v>
      </c>
      <c r="E20670" t="s">
        <v>20</v>
      </c>
      <c r="F20670">
        <v>112093519</v>
      </c>
      <c r="G20670">
        <v>112093519</v>
      </c>
      <c r="H20670">
        <v>112093519</v>
      </c>
      <c r="I20670">
        <v>112093519</v>
      </c>
    </row>
    <row r="20671" spans="1:9" x14ac:dyDescent="0.2">
      <c r="A20671" t="str">
        <f>"Tex19.1"</f>
        <v>Tex19.1</v>
      </c>
      <c r="B20671" t="s">
        <v>14</v>
      </c>
      <c r="C20671" t="s">
        <v>27</v>
      </c>
      <c r="D20671" t="s">
        <v>17</v>
      </c>
      <c r="E20671" t="s">
        <v>12</v>
      </c>
      <c r="F20671">
        <v>121146146</v>
      </c>
      <c r="G20671">
        <v>121146160</v>
      </c>
      <c r="H20671">
        <v>121145984</v>
      </c>
      <c r="I20671">
        <v>121146032</v>
      </c>
    </row>
    <row r="20672" spans="1:9" x14ac:dyDescent="0.2">
      <c r="A20672" t="str">
        <f>"Tex19.2"</f>
        <v>Tex19.2</v>
      </c>
      <c r="B20672" t="s">
        <v>14</v>
      </c>
      <c r="C20672" t="s">
        <v>27</v>
      </c>
      <c r="D20672" t="s">
        <v>11</v>
      </c>
      <c r="E20672" t="s">
        <v>12</v>
      </c>
      <c r="F20672">
        <v>121118256</v>
      </c>
      <c r="G20672">
        <v>121118258</v>
      </c>
      <c r="H20672">
        <v>121118256</v>
      </c>
      <c r="I20672">
        <v>121118258</v>
      </c>
    </row>
    <row r="20673" spans="1:9" x14ac:dyDescent="0.2">
      <c r="A20673" t="str">
        <f>"Tex2"</f>
        <v>Tex2</v>
      </c>
      <c r="B20673" t="s">
        <v>14</v>
      </c>
      <c r="C20673" t="s">
        <v>27</v>
      </c>
      <c r="D20673" t="s">
        <v>11</v>
      </c>
      <c r="E20673" t="s">
        <v>12</v>
      </c>
      <c r="F20673">
        <v>106612928</v>
      </c>
      <c r="G20673">
        <v>106612973</v>
      </c>
      <c r="H20673">
        <v>106613370</v>
      </c>
      <c r="I20673">
        <v>106613384</v>
      </c>
    </row>
    <row r="20674" spans="1:9" x14ac:dyDescent="0.2">
      <c r="A20674" t="str">
        <f>"Tex21"</f>
        <v>Tex21</v>
      </c>
      <c r="B20674" t="s">
        <v>14</v>
      </c>
      <c r="C20674" t="s">
        <v>16</v>
      </c>
      <c r="D20674" t="s">
        <v>11</v>
      </c>
      <c r="E20674" t="s">
        <v>12</v>
      </c>
      <c r="F20674">
        <v>76246736</v>
      </c>
      <c r="G20674">
        <v>76246755</v>
      </c>
      <c r="H20674">
        <v>76246736</v>
      </c>
      <c r="I20674">
        <v>76246755</v>
      </c>
    </row>
    <row r="20675" spans="1:9" x14ac:dyDescent="0.2">
      <c r="A20675" t="str">
        <f>"Tex22"</f>
        <v>Tex22</v>
      </c>
      <c r="B20675" t="s">
        <v>14</v>
      </c>
      <c r="C20675" t="s">
        <v>16</v>
      </c>
      <c r="D20675" t="s">
        <v>17</v>
      </c>
      <c r="E20675" t="s">
        <v>12</v>
      </c>
      <c r="F20675">
        <v>113074777</v>
      </c>
      <c r="G20675">
        <v>113074801</v>
      </c>
      <c r="H20675">
        <v>113074475</v>
      </c>
      <c r="I20675">
        <v>113074524</v>
      </c>
    </row>
    <row r="20676" spans="1:9" x14ac:dyDescent="0.2">
      <c r="A20676" t="str">
        <f>"Tex24"</f>
        <v>Tex24</v>
      </c>
      <c r="B20676" t="s">
        <v>14</v>
      </c>
      <c r="C20676" t="s">
        <v>30</v>
      </c>
      <c r="D20676" t="s">
        <v>17</v>
      </c>
      <c r="E20676" t="s">
        <v>12</v>
      </c>
      <c r="F20676">
        <v>27343981</v>
      </c>
      <c r="G20676">
        <v>27343992</v>
      </c>
      <c r="H20676">
        <v>27343981</v>
      </c>
      <c r="I20676">
        <v>27343992</v>
      </c>
    </row>
    <row r="20677" spans="1:9" x14ac:dyDescent="0.2">
      <c r="A20677" t="str">
        <f>"Tex26"</f>
        <v>Tex26</v>
      </c>
      <c r="B20677" t="s">
        <v>14</v>
      </c>
      <c r="C20677" t="s">
        <v>46</v>
      </c>
      <c r="D20677" t="s">
        <v>17</v>
      </c>
      <c r="E20677" t="s">
        <v>67</v>
      </c>
      <c r="F20677">
        <v>149439707</v>
      </c>
      <c r="G20677">
        <v>149439721</v>
      </c>
      <c r="H20677">
        <v>149439668</v>
      </c>
      <c r="I20677">
        <v>149439689</v>
      </c>
    </row>
    <row r="20678" spans="1:9" x14ac:dyDescent="0.2">
      <c r="A20678" t="str">
        <f>"Tex261"</f>
        <v>Tex261</v>
      </c>
      <c r="B20678" t="s">
        <v>14</v>
      </c>
      <c r="C20678" t="s">
        <v>32</v>
      </c>
      <c r="D20678" t="s">
        <v>11</v>
      </c>
      <c r="E20678" t="s">
        <v>12</v>
      </c>
      <c r="F20678">
        <v>83775767</v>
      </c>
      <c r="G20678">
        <v>83775826</v>
      </c>
      <c r="H20678">
        <v>83775746</v>
      </c>
      <c r="I20678">
        <v>83775759</v>
      </c>
    </row>
    <row r="20679" spans="1:9" x14ac:dyDescent="0.2">
      <c r="A20679" t="str">
        <f>"Tex264"</f>
        <v>Tex264</v>
      </c>
      <c r="B20679" t="s">
        <v>14</v>
      </c>
      <c r="C20679" t="s">
        <v>24</v>
      </c>
      <c r="D20679" t="s">
        <v>11</v>
      </c>
      <c r="E20679" t="s">
        <v>12</v>
      </c>
      <c r="F20679">
        <v>106685892</v>
      </c>
      <c r="G20679">
        <v>106685961</v>
      </c>
      <c r="H20679">
        <v>106685892</v>
      </c>
      <c r="I20679">
        <v>106685961</v>
      </c>
    </row>
    <row r="20680" spans="1:9" x14ac:dyDescent="0.2">
      <c r="A20680" t="str">
        <f>"Tex28"</f>
        <v>Tex28</v>
      </c>
      <c r="B20680" t="s">
        <v>5920</v>
      </c>
      <c r="C20680" t="s">
        <v>37</v>
      </c>
      <c r="D20680" t="s">
        <v>11</v>
      </c>
      <c r="E20680" t="s">
        <v>20</v>
      </c>
      <c r="F20680">
        <v>74167837</v>
      </c>
      <c r="G20680">
        <v>74167837</v>
      </c>
      <c r="H20680">
        <v>74167837</v>
      </c>
      <c r="I20680">
        <v>74167837</v>
      </c>
    </row>
    <row r="20681" spans="1:9" x14ac:dyDescent="0.2">
      <c r="A20681" t="str">
        <f>"Tex29"</f>
        <v>Tex29</v>
      </c>
      <c r="B20681" t="s">
        <v>14</v>
      </c>
      <c r="C20681" t="s">
        <v>30</v>
      </c>
      <c r="D20681" t="s">
        <v>17</v>
      </c>
      <c r="E20681" t="s">
        <v>67</v>
      </c>
      <c r="F20681">
        <v>11840514</v>
      </c>
      <c r="G20681">
        <v>11840530</v>
      </c>
      <c r="H20681">
        <v>11840568</v>
      </c>
      <c r="I20681">
        <v>11840579</v>
      </c>
    </row>
    <row r="20682" spans="1:9" x14ac:dyDescent="0.2">
      <c r="A20682" t="str">
        <f>"Tex30"</f>
        <v>Tex30</v>
      </c>
      <c r="B20682" t="s">
        <v>14</v>
      </c>
      <c r="C20682" t="s">
        <v>19</v>
      </c>
      <c r="D20682" t="s">
        <v>11</v>
      </c>
      <c r="E20682" t="s">
        <v>67</v>
      </c>
      <c r="F20682">
        <v>44102377</v>
      </c>
      <c r="G20682">
        <v>44102398</v>
      </c>
      <c r="H20682">
        <v>44101982</v>
      </c>
      <c r="I20682">
        <v>44101996</v>
      </c>
    </row>
    <row r="20683" spans="1:9" x14ac:dyDescent="0.2">
      <c r="A20683" t="str">
        <f>"Tex33"</f>
        <v>Tex33</v>
      </c>
      <c r="B20683" t="s">
        <v>14</v>
      </c>
      <c r="C20683" t="s">
        <v>25</v>
      </c>
      <c r="D20683" t="s">
        <v>11</v>
      </c>
      <c r="E20683" t="s">
        <v>67</v>
      </c>
      <c r="F20683">
        <v>78395876</v>
      </c>
      <c r="G20683">
        <v>78395893</v>
      </c>
      <c r="H20683">
        <v>78395899</v>
      </c>
      <c r="I20683">
        <v>78395914</v>
      </c>
    </row>
    <row r="20684" spans="1:9" x14ac:dyDescent="0.2">
      <c r="A20684" t="str">
        <f>"Tex35"</f>
        <v>Tex35</v>
      </c>
      <c r="B20684" t="s">
        <v>14</v>
      </c>
      <c r="C20684" t="s">
        <v>19</v>
      </c>
      <c r="D20684" t="s">
        <v>11</v>
      </c>
      <c r="E20684" t="s">
        <v>67</v>
      </c>
      <c r="F20684">
        <v>157108632</v>
      </c>
      <c r="G20684">
        <v>157108664</v>
      </c>
      <c r="H20684">
        <v>157108632</v>
      </c>
      <c r="I20684">
        <v>157108664</v>
      </c>
    </row>
    <row r="20685" spans="1:9" x14ac:dyDescent="0.2">
      <c r="A20685" t="str">
        <f>"Tex36"</f>
        <v>Tex36</v>
      </c>
      <c r="B20685" t="s">
        <v>14</v>
      </c>
      <c r="C20685" t="s">
        <v>33</v>
      </c>
      <c r="D20685" t="s">
        <v>11</v>
      </c>
      <c r="E20685" t="s">
        <v>67</v>
      </c>
      <c r="F20685">
        <v>133602110</v>
      </c>
      <c r="G20685">
        <v>133602165</v>
      </c>
      <c r="H20685">
        <v>133602183</v>
      </c>
      <c r="I20685">
        <v>133602194</v>
      </c>
    </row>
    <row r="20686" spans="1:9" x14ac:dyDescent="0.2">
      <c r="A20686" t="str">
        <f>"Tex37"</f>
        <v>Tex37</v>
      </c>
      <c r="B20686" t="s">
        <v>14</v>
      </c>
      <c r="C20686" t="s">
        <v>32</v>
      </c>
      <c r="D20686" t="s">
        <v>11</v>
      </c>
      <c r="E20686" t="s">
        <v>67</v>
      </c>
      <c r="F20686">
        <v>70918915</v>
      </c>
      <c r="G20686">
        <v>70918935</v>
      </c>
      <c r="H20686">
        <v>70918902</v>
      </c>
      <c r="I20686">
        <v>70918908</v>
      </c>
    </row>
    <row r="20687" spans="1:9" x14ac:dyDescent="0.2">
      <c r="A20687" t="str">
        <f>"Tex38"</f>
        <v>Tex38</v>
      </c>
      <c r="B20687" t="s">
        <v>14</v>
      </c>
      <c r="C20687" t="s">
        <v>23</v>
      </c>
      <c r="D20687" t="s">
        <v>11</v>
      </c>
      <c r="E20687" t="s">
        <v>67</v>
      </c>
      <c r="F20687">
        <v>115781045</v>
      </c>
      <c r="G20687">
        <v>115781064</v>
      </c>
      <c r="H20687">
        <v>115781012</v>
      </c>
      <c r="I20687">
        <v>115781023</v>
      </c>
    </row>
    <row r="20688" spans="1:9" x14ac:dyDescent="0.2">
      <c r="A20688" t="str">
        <f>"Tex40"</f>
        <v>Tex40</v>
      </c>
      <c r="B20688" t="s">
        <v>14</v>
      </c>
      <c r="C20688" t="s">
        <v>10</v>
      </c>
      <c r="D20688" t="s">
        <v>11</v>
      </c>
      <c r="E20688" t="s">
        <v>67</v>
      </c>
      <c r="F20688">
        <v>6925330</v>
      </c>
      <c r="G20688">
        <v>6925366</v>
      </c>
      <c r="H20688">
        <v>6925367</v>
      </c>
      <c r="I20688">
        <v>6925381</v>
      </c>
    </row>
    <row r="20689" spans="1:9" x14ac:dyDescent="0.2">
      <c r="A20689" t="str">
        <f>"Tex9"</f>
        <v>Tex9</v>
      </c>
      <c r="B20689" t="s">
        <v>14</v>
      </c>
      <c r="C20689" t="s">
        <v>24</v>
      </c>
      <c r="D20689" t="s">
        <v>11</v>
      </c>
      <c r="E20689" t="s">
        <v>12</v>
      </c>
      <c r="F20689">
        <v>72491950</v>
      </c>
      <c r="G20689">
        <v>72491989</v>
      </c>
      <c r="H20689">
        <v>72491950</v>
      </c>
      <c r="I20689">
        <v>72491989</v>
      </c>
    </row>
    <row r="20690" spans="1:9" x14ac:dyDescent="0.2">
      <c r="A20690" t="str">
        <f>"Tfam"</f>
        <v>Tfam</v>
      </c>
      <c r="B20690" t="s">
        <v>14</v>
      </c>
      <c r="C20690" t="s">
        <v>15</v>
      </c>
      <c r="D20690" t="s">
        <v>11</v>
      </c>
      <c r="E20690" t="s">
        <v>12</v>
      </c>
      <c r="F20690">
        <v>71238035</v>
      </c>
      <c r="G20690">
        <v>71238084</v>
      </c>
      <c r="H20690">
        <v>71238007</v>
      </c>
      <c r="I20690">
        <v>71238024</v>
      </c>
    </row>
    <row r="20691" spans="1:9" x14ac:dyDescent="0.2">
      <c r="A20691" t="str">
        <f>"Tfap2a"</f>
        <v>Tfap2a</v>
      </c>
      <c r="B20691" t="s">
        <v>9</v>
      </c>
      <c r="C20691" t="s">
        <v>39</v>
      </c>
      <c r="D20691" t="s">
        <v>11</v>
      </c>
      <c r="E20691" t="s">
        <v>12</v>
      </c>
      <c r="F20691">
        <v>40733768</v>
      </c>
      <c r="G20691">
        <v>40733836</v>
      </c>
      <c r="H20691">
        <v>40733768</v>
      </c>
      <c r="I20691">
        <v>40733836</v>
      </c>
    </row>
    <row r="20692" spans="1:9" x14ac:dyDescent="0.2">
      <c r="A20692" t="str">
        <f>"Tfap2a"</f>
        <v>Tfap2a</v>
      </c>
      <c r="B20692" t="s">
        <v>13</v>
      </c>
      <c r="C20692" t="s">
        <v>39</v>
      </c>
      <c r="D20692" t="s">
        <v>11</v>
      </c>
      <c r="E20692" t="s">
        <v>12</v>
      </c>
      <c r="F20692">
        <v>40730096</v>
      </c>
      <c r="G20692">
        <v>40730100</v>
      </c>
      <c r="H20692">
        <v>40730096</v>
      </c>
      <c r="I20692">
        <v>40730100</v>
      </c>
    </row>
    <row r="20693" spans="1:9" x14ac:dyDescent="0.2">
      <c r="A20693" t="str">
        <f>"Tfap2b"</f>
        <v>Tfap2b</v>
      </c>
      <c r="B20693" t="s">
        <v>14</v>
      </c>
      <c r="C20693" t="s">
        <v>19</v>
      </c>
      <c r="D20693" t="s">
        <v>17</v>
      </c>
      <c r="E20693" t="s">
        <v>12</v>
      </c>
      <c r="F20693">
        <v>19209155</v>
      </c>
      <c r="G20693">
        <v>19209177</v>
      </c>
      <c r="H20693">
        <v>19209155</v>
      </c>
      <c r="I20693">
        <v>19209177</v>
      </c>
    </row>
    <row r="20694" spans="1:9" x14ac:dyDescent="0.2">
      <c r="A20694" t="str">
        <f>"Tfap2c"</f>
        <v>Tfap2c</v>
      </c>
      <c r="B20694" t="s">
        <v>14</v>
      </c>
      <c r="C20694" t="s">
        <v>26</v>
      </c>
      <c r="D20694" t="s">
        <v>17</v>
      </c>
      <c r="E20694" t="s">
        <v>12</v>
      </c>
      <c r="F20694">
        <v>172549581</v>
      </c>
      <c r="G20694">
        <v>172549605</v>
      </c>
      <c r="H20694">
        <v>172549636</v>
      </c>
      <c r="I20694">
        <v>172549649</v>
      </c>
    </row>
    <row r="20695" spans="1:9" x14ac:dyDescent="0.2">
      <c r="A20695" t="str">
        <f>"Tfap2d"</f>
        <v>Tfap2d</v>
      </c>
      <c r="B20695" t="s">
        <v>14</v>
      </c>
      <c r="C20695" t="s">
        <v>19</v>
      </c>
      <c r="D20695" t="s">
        <v>17</v>
      </c>
      <c r="E20695" t="s">
        <v>12</v>
      </c>
      <c r="F20695">
        <v>19103031</v>
      </c>
      <c r="G20695">
        <v>19103043</v>
      </c>
      <c r="H20695">
        <v>19103031</v>
      </c>
      <c r="I20695">
        <v>19103043</v>
      </c>
    </row>
    <row r="20696" spans="1:9" x14ac:dyDescent="0.2">
      <c r="A20696" t="str">
        <f>"Tfap2e"</f>
        <v>Tfap2e</v>
      </c>
      <c r="B20696" t="s">
        <v>14</v>
      </c>
      <c r="C20696" t="s">
        <v>23</v>
      </c>
      <c r="D20696" t="s">
        <v>11</v>
      </c>
      <c r="E20696" t="s">
        <v>12</v>
      </c>
      <c r="F20696">
        <v>126736236</v>
      </c>
      <c r="G20696">
        <v>126736245</v>
      </c>
      <c r="H20696">
        <v>126736165</v>
      </c>
      <c r="I20696">
        <v>126736201</v>
      </c>
    </row>
    <row r="20697" spans="1:9" x14ac:dyDescent="0.2">
      <c r="A20697" t="str">
        <f>"Tfap4"</f>
        <v>Tfap4</v>
      </c>
      <c r="B20697" t="s">
        <v>14</v>
      </c>
      <c r="C20697" t="s">
        <v>31</v>
      </c>
      <c r="D20697" t="s">
        <v>11</v>
      </c>
      <c r="E20697" t="s">
        <v>12</v>
      </c>
      <c r="F20697">
        <v>4559608</v>
      </c>
      <c r="G20697">
        <v>4559681</v>
      </c>
      <c r="H20697">
        <v>4559777</v>
      </c>
      <c r="I20697">
        <v>4559825</v>
      </c>
    </row>
    <row r="20698" spans="1:9" x14ac:dyDescent="0.2">
      <c r="A20698" t="str">
        <f>"Tfb1m"</f>
        <v>Tfb1m</v>
      </c>
      <c r="B20698" t="s">
        <v>14</v>
      </c>
      <c r="C20698" t="s">
        <v>28</v>
      </c>
      <c r="D20698" t="s">
        <v>11</v>
      </c>
      <c r="E20698" t="s">
        <v>12</v>
      </c>
      <c r="F20698">
        <v>3557742</v>
      </c>
      <c r="G20698">
        <v>3557775</v>
      </c>
      <c r="H20698">
        <v>3557718</v>
      </c>
      <c r="I20698">
        <v>3557733</v>
      </c>
    </row>
    <row r="20699" spans="1:9" x14ac:dyDescent="0.2">
      <c r="A20699" t="str">
        <f>"Tfb2m"</f>
        <v>Tfb2m</v>
      </c>
      <c r="B20699" t="s">
        <v>14</v>
      </c>
      <c r="C20699" t="s">
        <v>19</v>
      </c>
      <c r="D20699" t="s">
        <v>11</v>
      </c>
      <c r="E20699" t="s">
        <v>12</v>
      </c>
      <c r="F20699">
        <v>179546227</v>
      </c>
      <c r="G20699">
        <v>179546260</v>
      </c>
      <c r="H20699">
        <v>179546261</v>
      </c>
      <c r="I20699">
        <v>179546276</v>
      </c>
    </row>
    <row r="20700" spans="1:9" x14ac:dyDescent="0.2">
      <c r="A20700" t="str">
        <f>"Tfcp2"</f>
        <v>Tfcp2</v>
      </c>
      <c r="B20700" t="s">
        <v>14</v>
      </c>
      <c r="C20700" t="s">
        <v>25</v>
      </c>
      <c r="D20700" t="s">
        <v>11</v>
      </c>
      <c r="E20700" t="s">
        <v>12</v>
      </c>
      <c r="F20700">
        <v>100551959</v>
      </c>
      <c r="G20700">
        <v>100552010</v>
      </c>
      <c r="H20700">
        <v>100551745</v>
      </c>
      <c r="I20700">
        <v>100551771</v>
      </c>
    </row>
    <row r="20701" spans="1:9" x14ac:dyDescent="0.2">
      <c r="A20701" t="str">
        <f>"Tfcp2l1"</f>
        <v>Tfcp2l1</v>
      </c>
      <c r="B20701" t="s">
        <v>14</v>
      </c>
      <c r="C20701" t="s">
        <v>19</v>
      </c>
      <c r="D20701" t="s">
        <v>17</v>
      </c>
      <c r="E20701" t="s">
        <v>12</v>
      </c>
      <c r="F20701">
        <v>118627943</v>
      </c>
      <c r="G20701">
        <v>118627951</v>
      </c>
      <c r="H20701">
        <v>118627986</v>
      </c>
      <c r="I20701">
        <v>118628014</v>
      </c>
    </row>
    <row r="20702" spans="1:9" x14ac:dyDescent="0.2">
      <c r="A20702" t="str">
        <f>"Tfdp1"</f>
        <v>Tfdp1</v>
      </c>
      <c r="B20702" t="s">
        <v>14</v>
      </c>
      <c r="C20702" t="s">
        <v>30</v>
      </c>
      <c r="D20702" t="s">
        <v>17</v>
      </c>
      <c r="E20702" t="s">
        <v>12</v>
      </c>
      <c r="F20702">
        <v>13338760</v>
      </c>
      <c r="G20702">
        <v>13338817</v>
      </c>
      <c r="H20702">
        <v>13338745</v>
      </c>
      <c r="I20702">
        <v>13338756</v>
      </c>
    </row>
    <row r="20703" spans="1:9" x14ac:dyDescent="0.2">
      <c r="A20703" t="str">
        <f>"Tfdp2"</f>
        <v>Tfdp2</v>
      </c>
      <c r="B20703" t="s">
        <v>9</v>
      </c>
      <c r="C20703" t="s">
        <v>24</v>
      </c>
      <c r="D20703" t="s">
        <v>17</v>
      </c>
      <c r="E20703" t="s">
        <v>12</v>
      </c>
      <c r="F20703">
        <v>96196288</v>
      </c>
      <c r="G20703">
        <v>96196353</v>
      </c>
      <c r="H20703">
        <v>96196288</v>
      </c>
      <c r="I20703">
        <v>96196353</v>
      </c>
    </row>
    <row r="20704" spans="1:9" x14ac:dyDescent="0.2">
      <c r="A20704" t="str">
        <f>"Tfdp2"</f>
        <v>Tfdp2</v>
      </c>
      <c r="B20704" t="s">
        <v>13</v>
      </c>
      <c r="C20704" t="s">
        <v>24</v>
      </c>
      <c r="D20704" t="s">
        <v>17</v>
      </c>
      <c r="E20704" t="s">
        <v>12</v>
      </c>
      <c r="F20704">
        <v>96258728</v>
      </c>
      <c r="G20704">
        <v>96258785</v>
      </c>
      <c r="H20704">
        <v>96258728</v>
      </c>
      <c r="I20704">
        <v>96258785</v>
      </c>
    </row>
    <row r="20705" spans="1:9" x14ac:dyDescent="0.2">
      <c r="A20705" t="str">
        <f>"Tfe3"</f>
        <v>Tfe3</v>
      </c>
      <c r="B20705" t="s">
        <v>14</v>
      </c>
      <c r="C20705" t="s">
        <v>37</v>
      </c>
      <c r="D20705" t="s">
        <v>17</v>
      </c>
      <c r="E20705" t="s">
        <v>12</v>
      </c>
      <c r="F20705">
        <v>7762812</v>
      </c>
      <c r="G20705">
        <v>7762837</v>
      </c>
      <c r="H20705">
        <v>7762652</v>
      </c>
      <c r="I20705">
        <v>7762689</v>
      </c>
    </row>
    <row r="20706" spans="1:9" x14ac:dyDescent="0.2">
      <c r="A20706" t="str">
        <f>"Tfeb"</f>
        <v>Tfeb</v>
      </c>
      <c r="B20706" t="s">
        <v>14</v>
      </c>
      <c r="C20706" t="s">
        <v>28</v>
      </c>
      <c r="D20706" t="s">
        <v>17</v>
      </c>
      <c r="E20706" t="s">
        <v>12</v>
      </c>
      <c r="F20706">
        <v>47737036</v>
      </c>
      <c r="G20706">
        <v>47737107</v>
      </c>
      <c r="H20706">
        <v>47737174</v>
      </c>
      <c r="I20706">
        <v>47737207</v>
      </c>
    </row>
    <row r="20707" spans="1:9" x14ac:dyDescent="0.2">
      <c r="A20707" t="str">
        <f>"Tfec"</f>
        <v>Tfec</v>
      </c>
      <c r="B20707" t="s">
        <v>14</v>
      </c>
      <c r="C20707" t="s">
        <v>32</v>
      </c>
      <c r="D20707" t="s">
        <v>11</v>
      </c>
      <c r="E20707" t="s">
        <v>12</v>
      </c>
      <c r="F20707">
        <v>16898347</v>
      </c>
      <c r="G20707">
        <v>16898391</v>
      </c>
      <c r="H20707">
        <v>16898395</v>
      </c>
      <c r="I20707">
        <v>16898416</v>
      </c>
    </row>
    <row r="20708" spans="1:9" x14ac:dyDescent="0.2">
      <c r="A20708" t="str">
        <f>"Tff1"</f>
        <v>Tff1</v>
      </c>
      <c r="B20708" t="s">
        <v>14</v>
      </c>
      <c r="C20708" t="s">
        <v>28</v>
      </c>
      <c r="D20708" t="s">
        <v>11</v>
      </c>
      <c r="E20708" t="s">
        <v>12</v>
      </c>
      <c r="F20708">
        <v>31165045</v>
      </c>
      <c r="G20708">
        <v>31165053</v>
      </c>
      <c r="H20708">
        <v>31165045</v>
      </c>
      <c r="I20708">
        <v>31165053</v>
      </c>
    </row>
    <row r="20709" spans="1:9" x14ac:dyDescent="0.2">
      <c r="A20709" t="str">
        <f>"Tff2"</f>
        <v>Tff2</v>
      </c>
      <c r="B20709" t="s">
        <v>14</v>
      </c>
      <c r="C20709" t="s">
        <v>28</v>
      </c>
      <c r="D20709" t="s">
        <v>11</v>
      </c>
      <c r="E20709" t="s">
        <v>12</v>
      </c>
      <c r="F20709">
        <v>31144271</v>
      </c>
      <c r="G20709">
        <v>31144288</v>
      </c>
      <c r="H20709">
        <v>31144251</v>
      </c>
      <c r="I20709">
        <v>31144265</v>
      </c>
    </row>
    <row r="20710" spans="1:9" x14ac:dyDescent="0.2">
      <c r="A20710" t="str">
        <f>"Tff3"</f>
        <v>Tff3</v>
      </c>
      <c r="B20710" t="s">
        <v>14</v>
      </c>
      <c r="C20710" t="s">
        <v>28</v>
      </c>
      <c r="D20710" t="s">
        <v>11</v>
      </c>
      <c r="E20710" t="s">
        <v>12</v>
      </c>
      <c r="F20710">
        <v>31129602</v>
      </c>
      <c r="G20710">
        <v>31129619</v>
      </c>
      <c r="H20710">
        <v>31129602</v>
      </c>
      <c r="I20710">
        <v>31129619</v>
      </c>
    </row>
    <row r="20711" spans="1:9" x14ac:dyDescent="0.2">
      <c r="A20711" t="str">
        <f>"Tfg"</f>
        <v>Tfg</v>
      </c>
      <c r="B20711" t="s">
        <v>14</v>
      </c>
      <c r="C20711" t="s">
        <v>31</v>
      </c>
      <c r="D20711" t="s">
        <v>11</v>
      </c>
      <c r="E20711" t="s">
        <v>12</v>
      </c>
      <c r="F20711">
        <v>56717286</v>
      </c>
      <c r="G20711">
        <v>56717412</v>
      </c>
      <c r="H20711">
        <v>56717227</v>
      </c>
      <c r="I20711">
        <v>56717285</v>
      </c>
    </row>
    <row r="20712" spans="1:9" x14ac:dyDescent="0.2">
      <c r="A20712" t="str">
        <f>"Tfip11"</f>
        <v>Tfip11</v>
      </c>
      <c r="B20712" t="s">
        <v>14</v>
      </c>
      <c r="C20712" t="s">
        <v>46</v>
      </c>
      <c r="D20712" t="s">
        <v>17</v>
      </c>
      <c r="E20712" t="s">
        <v>12</v>
      </c>
      <c r="F20712">
        <v>112326352</v>
      </c>
      <c r="G20712">
        <v>112326426</v>
      </c>
      <c r="H20712">
        <v>112326519</v>
      </c>
      <c r="I20712">
        <v>112326525</v>
      </c>
    </row>
    <row r="20713" spans="1:9" x14ac:dyDescent="0.2">
      <c r="A20713" t="str">
        <f>"Tfpi"</f>
        <v>Tfpi</v>
      </c>
      <c r="B20713" t="s">
        <v>14</v>
      </c>
      <c r="C20713" t="s">
        <v>26</v>
      </c>
      <c r="D20713" t="s">
        <v>11</v>
      </c>
      <c r="E20713" t="s">
        <v>12</v>
      </c>
      <c r="F20713">
        <v>84476725</v>
      </c>
      <c r="G20713">
        <v>84476788</v>
      </c>
      <c r="H20713">
        <v>84476725</v>
      </c>
      <c r="I20713">
        <v>84476788</v>
      </c>
    </row>
    <row r="20714" spans="1:9" x14ac:dyDescent="0.2">
      <c r="A20714" t="str">
        <f>"Tfpi2"</f>
        <v>Tfpi2</v>
      </c>
      <c r="B20714" t="s">
        <v>14</v>
      </c>
      <c r="C20714" t="s">
        <v>32</v>
      </c>
      <c r="D20714" t="s">
        <v>11</v>
      </c>
      <c r="E20714" t="s">
        <v>12</v>
      </c>
      <c r="F20714">
        <v>3968364</v>
      </c>
      <c r="G20714">
        <v>3968381</v>
      </c>
      <c r="H20714">
        <v>3968395</v>
      </c>
      <c r="I20714">
        <v>3968417</v>
      </c>
    </row>
    <row r="20715" spans="1:9" x14ac:dyDescent="0.2">
      <c r="A20715" t="str">
        <f>"Tfpt"</f>
        <v>Tfpt</v>
      </c>
      <c r="B20715" t="s">
        <v>14</v>
      </c>
      <c r="C20715" t="s">
        <v>33</v>
      </c>
      <c r="D20715" t="s">
        <v>11</v>
      </c>
      <c r="E20715" t="s">
        <v>12</v>
      </c>
      <c r="F20715">
        <v>3629577</v>
      </c>
      <c r="G20715">
        <v>3629616</v>
      </c>
      <c r="H20715">
        <v>3629874</v>
      </c>
      <c r="I20715">
        <v>3629924</v>
      </c>
    </row>
    <row r="20716" spans="1:9" x14ac:dyDescent="0.2">
      <c r="A20716" t="str">
        <f>"Tfr2"</f>
        <v>Tfr2</v>
      </c>
      <c r="B20716" t="s">
        <v>14</v>
      </c>
      <c r="C20716" t="s">
        <v>46</v>
      </c>
      <c r="D20716" t="s">
        <v>17</v>
      </c>
      <c r="E20716" t="s">
        <v>67</v>
      </c>
      <c r="F20716">
        <v>137569856</v>
      </c>
      <c r="G20716">
        <v>137569879</v>
      </c>
      <c r="H20716">
        <v>137569824</v>
      </c>
      <c r="I20716">
        <v>137569845</v>
      </c>
    </row>
    <row r="20717" spans="1:9" x14ac:dyDescent="0.2">
      <c r="A20717" t="str">
        <f>"Tfrc"</f>
        <v>Tfrc</v>
      </c>
      <c r="B20717" t="s">
        <v>14</v>
      </c>
      <c r="C20717" t="s">
        <v>31</v>
      </c>
      <c r="D20717" t="s">
        <v>17</v>
      </c>
      <c r="E20717" t="s">
        <v>12</v>
      </c>
      <c r="F20717">
        <v>32608973</v>
      </c>
      <c r="G20717">
        <v>32608990</v>
      </c>
      <c r="H20717">
        <v>32608955</v>
      </c>
      <c r="I20717">
        <v>32608964</v>
      </c>
    </row>
    <row r="20718" spans="1:9" x14ac:dyDescent="0.2">
      <c r="A20718" t="str">
        <f>"Tg"</f>
        <v>Tg</v>
      </c>
      <c r="B20718" t="s">
        <v>14</v>
      </c>
      <c r="C20718" t="s">
        <v>25</v>
      </c>
      <c r="D20718" t="s">
        <v>17</v>
      </c>
      <c r="E20718" t="s">
        <v>12</v>
      </c>
      <c r="F20718">
        <v>66670749</v>
      </c>
      <c r="G20718">
        <v>66670754</v>
      </c>
      <c r="H20718">
        <v>66670749</v>
      </c>
      <c r="I20718">
        <v>66670754</v>
      </c>
    </row>
    <row r="20719" spans="1:9" x14ac:dyDescent="0.2">
      <c r="A20719" t="str">
        <f>"Tgds"</f>
        <v>Tgds</v>
      </c>
      <c r="B20719" t="s">
        <v>14</v>
      </c>
      <c r="C20719" t="s">
        <v>41</v>
      </c>
      <c r="D20719" t="s">
        <v>11</v>
      </c>
      <c r="E20719" t="s">
        <v>12</v>
      </c>
      <c r="F20719">
        <v>118132733</v>
      </c>
      <c r="G20719">
        <v>118132761</v>
      </c>
      <c r="H20719">
        <v>118132763</v>
      </c>
      <c r="I20719">
        <v>118132774</v>
      </c>
    </row>
    <row r="20720" spans="1:9" x14ac:dyDescent="0.2">
      <c r="A20720" t="str">
        <f>"Tgfa"</f>
        <v>Tgfa</v>
      </c>
      <c r="B20720" t="s">
        <v>14</v>
      </c>
      <c r="C20720" t="s">
        <v>32</v>
      </c>
      <c r="D20720" t="s">
        <v>17</v>
      </c>
      <c r="E20720" t="s">
        <v>12</v>
      </c>
      <c r="F20720">
        <v>86195442</v>
      </c>
      <c r="G20720">
        <v>86195459</v>
      </c>
      <c r="H20720">
        <v>86195214</v>
      </c>
      <c r="I20720">
        <v>86195241</v>
      </c>
    </row>
    <row r="20721" spans="1:9" x14ac:dyDescent="0.2">
      <c r="A20721" t="str">
        <f>"Tgfb1"</f>
        <v>Tgfb1</v>
      </c>
      <c r="B20721" t="s">
        <v>14</v>
      </c>
      <c r="C20721" t="s">
        <v>33</v>
      </c>
      <c r="D20721" t="s">
        <v>17</v>
      </c>
      <c r="E20721" t="s">
        <v>12</v>
      </c>
      <c r="F20721">
        <v>25686994</v>
      </c>
      <c r="G20721">
        <v>25687012</v>
      </c>
      <c r="H20721">
        <v>25686994</v>
      </c>
      <c r="I20721">
        <v>25687012</v>
      </c>
    </row>
    <row r="20722" spans="1:9" x14ac:dyDescent="0.2">
      <c r="A20722" t="str">
        <f>"Tgfb1i1"</f>
        <v>Tgfb1i1</v>
      </c>
      <c r="B20722" t="s">
        <v>14</v>
      </c>
      <c r="C20722" t="s">
        <v>33</v>
      </c>
      <c r="D20722" t="s">
        <v>17</v>
      </c>
      <c r="E20722" t="s">
        <v>12</v>
      </c>
      <c r="F20722">
        <v>128246953</v>
      </c>
      <c r="G20722">
        <v>128246993</v>
      </c>
      <c r="H20722">
        <v>128246937</v>
      </c>
      <c r="I20722">
        <v>128246948</v>
      </c>
    </row>
    <row r="20723" spans="1:9" x14ac:dyDescent="0.2">
      <c r="A20723" t="str">
        <f>"Tgfb2"</f>
        <v>Tgfb2</v>
      </c>
      <c r="B20723" t="s">
        <v>14</v>
      </c>
      <c r="C20723" t="s">
        <v>19</v>
      </c>
      <c r="D20723" t="s">
        <v>11</v>
      </c>
      <c r="E20723" t="s">
        <v>12</v>
      </c>
      <c r="F20723">
        <v>186705980</v>
      </c>
      <c r="G20723">
        <v>186705999</v>
      </c>
      <c r="H20723">
        <v>186705264</v>
      </c>
      <c r="I20723">
        <v>186705295</v>
      </c>
    </row>
    <row r="20724" spans="1:9" x14ac:dyDescent="0.2">
      <c r="A20724" t="str">
        <f>"Tgfb3"</f>
        <v>Tgfb3</v>
      </c>
      <c r="B20724" t="s">
        <v>14</v>
      </c>
      <c r="C20724" t="s">
        <v>16</v>
      </c>
      <c r="D20724" t="s">
        <v>11</v>
      </c>
      <c r="E20724" t="s">
        <v>12</v>
      </c>
      <c r="F20724">
        <v>86078903</v>
      </c>
      <c r="G20724">
        <v>86078941</v>
      </c>
      <c r="H20724">
        <v>86079019</v>
      </c>
      <c r="I20724">
        <v>86079035</v>
      </c>
    </row>
    <row r="20725" spans="1:9" x14ac:dyDescent="0.2">
      <c r="A20725" t="str">
        <f>"Tgfbi"</f>
        <v>Tgfbi</v>
      </c>
      <c r="B20725" t="s">
        <v>14</v>
      </c>
      <c r="C20725" t="s">
        <v>39</v>
      </c>
      <c r="D20725" t="s">
        <v>17</v>
      </c>
      <c r="E20725" t="s">
        <v>12</v>
      </c>
      <c r="F20725">
        <v>56609516</v>
      </c>
      <c r="G20725">
        <v>56609606</v>
      </c>
      <c r="H20725">
        <v>56609608</v>
      </c>
      <c r="I20725">
        <v>56609628</v>
      </c>
    </row>
    <row r="20726" spans="1:9" x14ac:dyDescent="0.2">
      <c r="A20726" t="str">
        <f>"Tgfbr1"</f>
        <v>Tgfbr1</v>
      </c>
      <c r="B20726" t="s">
        <v>14</v>
      </c>
      <c r="C20726" t="s">
        <v>23</v>
      </c>
      <c r="D20726" t="s">
        <v>17</v>
      </c>
      <c r="E20726" t="s">
        <v>12</v>
      </c>
      <c r="F20726">
        <v>47353231</v>
      </c>
      <c r="G20726">
        <v>47353265</v>
      </c>
      <c r="H20726">
        <v>47353283</v>
      </c>
      <c r="I20726">
        <v>47353304</v>
      </c>
    </row>
    <row r="20727" spans="1:9" x14ac:dyDescent="0.2">
      <c r="A20727" t="str">
        <f>"Tgfbr2"</f>
        <v>Tgfbr2</v>
      </c>
      <c r="B20727" t="s">
        <v>14</v>
      </c>
      <c r="C20727" t="s">
        <v>24</v>
      </c>
      <c r="D20727" t="s">
        <v>11</v>
      </c>
      <c r="E20727" t="s">
        <v>12</v>
      </c>
      <c r="F20727">
        <v>116175197</v>
      </c>
      <c r="G20727">
        <v>116175261</v>
      </c>
      <c r="H20727">
        <v>116175266</v>
      </c>
      <c r="I20727">
        <v>116175305</v>
      </c>
    </row>
    <row r="20728" spans="1:9" x14ac:dyDescent="0.2">
      <c r="A20728" t="str">
        <f>"Tgfbr3"</f>
        <v>Tgfbr3</v>
      </c>
      <c r="B20728" t="s">
        <v>14</v>
      </c>
      <c r="C20728" t="s">
        <v>46</v>
      </c>
      <c r="D20728" t="s">
        <v>11</v>
      </c>
      <c r="E20728" t="s">
        <v>12</v>
      </c>
      <c r="F20728">
        <v>107289561</v>
      </c>
      <c r="G20728">
        <v>107289637</v>
      </c>
      <c r="H20728">
        <v>107289530</v>
      </c>
      <c r="I20728">
        <v>107289551</v>
      </c>
    </row>
    <row r="20729" spans="1:9" x14ac:dyDescent="0.2">
      <c r="A20729" t="str">
        <f>"Tgfbrap1"</f>
        <v>Tgfbrap1</v>
      </c>
      <c r="B20729" t="s">
        <v>14</v>
      </c>
      <c r="C20729" t="s">
        <v>19</v>
      </c>
      <c r="D20729" t="s">
        <v>11</v>
      </c>
      <c r="E20729" t="s">
        <v>12</v>
      </c>
      <c r="F20729">
        <v>43092438</v>
      </c>
      <c r="G20729">
        <v>43092498</v>
      </c>
      <c r="H20729">
        <v>43092438</v>
      </c>
      <c r="I20729">
        <v>43092498</v>
      </c>
    </row>
    <row r="20730" spans="1:9" x14ac:dyDescent="0.2">
      <c r="A20730" t="str">
        <f>"Tgif1"</f>
        <v>Tgif1</v>
      </c>
      <c r="B20730" t="s">
        <v>9</v>
      </c>
      <c r="C20730" t="s">
        <v>28</v>
      </c>
      <c r="D20730" t="s">
        <v>11</v>
      </c>
      <c r="E20730" t="s">
        <v>12</v>
      </c>
      <c r="F20730">
        <v>70851189</v>
      </c>
      <c r="G20730">
        <v>70851216</v>
      </c>
      <c r="H20730">
        <v>70851189</v>
      </c>
      <c r="I20730">
        <v>70851216</v>
      </c>
    </row>
    <row r="20731" spans="1:9" x14ac:dyDescent="0.2">
      <c r="A20731" t="str">
        <f>"Tgif1"</f>
        <v>Tgif1</v>
      </c>
      <c r="B20731" t="s">
        <v>13</v>
      </c>
      <c r="C20731" t="s">
        <v>28</v>
      </c>
      <c r="D20731" t="s">
        <v>11</v>
      </c>
      <c r="E20731" t="s">
        <v>12</v>
      </c>
      <c r="F20731">
        <v>70849781</v>
      </c>
      <c r="G20731">
        <v>70849825</v>
      </c>
      <c r="H20731">
        <v>70849781</v>
      </c>
      <c r="I20731">
        <v>70849825</v>
      </c>
    </row>
    <row r="20732" spans="1:9" x14ac:dyDescent="0.2">
      <c r="A20732" t="str">
        <f>"Tgif2"</f>
        <v>Tgif2</v>
      </c>
      <c r="B20732" t="s">
        <v>14</v>
      </c>
      <c r="C20732" t="s">
        <v>26</v>
      </c>
      <c r="D20732" t="s">
        <v>17</v>
      </c>
      <c r="E20732" t="s">
        <v>12</v>
      </c>
      <c r="F20732">
        <v>156840081</v>
      </c>
      <c r="G20732">
        <v>156840141</v>
      </c>
      <c r="H20732">
        <v>156840991</v>
      </c>
      <c r="I20732">
        <v>156841017</v>
      </c>
    </row>
    <row r="20733" spans="1:9" x14ac:dyDescent="0.2">
      <c r="A20733" t="str">
        <f>"Tgif2lx1"</f>
        <v>Tgif2lx1</v>
      </c>
      <c r="B20733" t="s">
        <v>5921</v>
      </c>
      <c r="C20733" t="s">
        <v>37</v>
      </c>
      <c r="D20733" t="s">
        <v>11</v>
      </c>
      <c r="E20733" t="s">
        <v>20</v>
      </c>
      <c r="F20733">
        <v>118480728</v>
      </c>
      <c r="G20733">
        <v>118480728</v>
      </c>
      <c r="H20733">
        <v>118480728</v>
      </c>
      <c r="I20733">
        <v>118480728</v>
      </c>
    </row>
    <row r="20734" spans="1:9" x14ac:dyDescent="0.2">
      <c r="A20734" t="str">
        <f>"Tgif2lx2"</f>
        <v>Tgif2lx2</v>
      </c>
      <c r="B20734" t="s">
        <v>5922</v>
      </c>
      <c r="C20734" t="s">
        <v>37</v>
      </c>
      <c r="D20734" t="s">
        <v>17</v>
      </c>
      <c r="E20734" t="s">
        <v>20</v>
      </c>
      <c r="F20734">
        <v>118427226</v>
      </c>
      <c r="G20734">
        <v>118427226</v>
      </c>
      <c r="H20734">
        <v>118427226</v>
      </c>
      <c r="I20734">
        <v>118427226</v>
      </c>
    </row>
    <row r="20735" spans="1:9" x14ac:dyDescent="0.2">
      <c r="A20735" t="str">
        <f>"Tgm1"</f>
        <v>Tgm1</v>
      </c>
      <c r="B20735" t="s">
        <v>14</v>
      </c>
      <c r="C20735" t="s">
        <v>41</v>
      </c>
      <c r="D20735" t="s">
        <v>11</v>
      </c>
      <c r="E20735" t="s">
        <v>12</v>
      </c>
      <c r="F20735">
        <v>55713482</v>
      </c>
      <c r="G20735">
        <v>55713503</v>
      </c>
      <c r="H20735">
        <v>55713106</v>
      </c>
      <c r="I20735">
        <v>55713110</v>
      </c>
    </row>
    <row r="20736" spans="1:9" x14ac:dyDescent="0.2">
      <c r="A20736" t="str">
        <f>"Tgm2"</f>
        <v>Tgm2</v>
      </c>
      <c r="B20736" t="s">
        <v>14</v>
      </c>
      <c r="C20736" t="s">
        <v>26</v>
      </c>
      <c r="D20736" t="s">
        <v>11</v>
      </c>
      <c r="E20736" t="s">
        <v>12</v>
      </c>
      <c r="F20736">
        <v>158146357</v>
      </c>
      <c r="G20736">
        <v>158146373</v>
      </c>
      <c r="H20736">
        <v>158146385</v>
      </c>
      <c r="I20736">
        <v>158146396</v>
      </c>
    </row>
    <row r="20737" spans="1:9" x14ac:dyDescent="0.2">
      <c r="A20737" t="str">
        <f>"Tgm3"</f>
        <v>Tgm3</v>
      </c>
      <c r="B20737" t="s">
        <v>14</v>
      </c>
      <c r="C20737" t="s">
        <v>26</v>
      </c>
      <c r="D20737" t="s">
        <v>17</v>
      </c>
      <c r="E20737" t="s">
        <v>12</v>
      </c>
      <c r="F20737">
        <v>130012336</v>
      </c>
      <c r="G20737">
        <v>130012350</v>
      </c>
      <c r="H20737">
        <v>130012336</v>
      </c>
      <c r="I20737">
        <v>130012350</v>
      </c>
    </row>
    <row r="20738" spans="1:9" x14ac:dyDescent="0.2">
      <c r="A20738" t="str">
        <f>"Tgm4"</f>
        <v>Tgm4</v>
      </c>
      <c r="B20738" t="s">
        <v>14</v>
      </c>
      <c r="C20738" t="s">
        <v>24</v>
      </c>
      <c r="D20738" t="s">
        <v>17</v>
      </c>
      <c r="E20738" t="s">
        <v>12</v>
      </c>
      <c r="F20738">
        <v>123034731</v>
      </c>
      <c r="G20738">
        <v>123034752</v>
      </c>
      <c r="H20738">
        <v>123034660</v>
      </c>
      <c r="I20738">
        <v>123034682</v>
      </c>
    </row>
    <row r="20739" spans="1:9" x14ac:dyDescent="0.2">
      <c r="A20739" t="str">
        <f>"Tgm5"</f>
        <v>Tgm5</v>
      </c>
      <c r="B20739" t="s">
        <v>14</v>
      </c>
      <c r="C20739" t="s">
        <v>26</v>
      </c>
      <c r="D20739" t="s">
        <v>11</v>
      </c>
      <c r="E20739" t="s">
        <v>12</v>
      </c>
      <c r="F20739">
        <v>121085778</v>
      </c>
      <c r="G20739">
        <v>121085794</v>
      </c>
      <c r="H20739">
        <v>121085733</v>
      </c>
      <c r="I20739">
        <v>121085744</v>
      </c>
    </row>
    <row r="20740" spans="1:9" x14ac:dyDescent="0.2">
      <c r="A20740" t="str">
        <f>"Tgm6"</f>
        <v>Tgm6</v>
      </c>
      <c r="B20740" t="s">
        <v>14</v>
      </c>
      <c r="C20740" t="s">
        <v>26</v>
      </c>
      <c r="D20740" t="s">
        <v>17</v>
      </c>
      <c r="E20740" t="s">
        <v>12</v>
      </c>
      <c r="F20740">
        <v>130123275</v>
      </c>
      <c r="G20740">
        <v>130123293</v>
      </c>
      <c r="H20740">
        <v>130123310</v>
      </c>
      <c r="I20740">
        <v>130123314</v>
      </c>
    </row>
    <row r="20741" spans="1:9" x14ac:dyDescent="0.2">
      <c r="A20741" t="str">
        <f>"Tgm7"</f>
        <v>Tgm7</v>
      </c>
      <c r="B20741" t="s">
        <v>5923</v>
      </c>
      <c r="C20741" t="s">
        <v>26</v>
      </c>
      <c r="D20741" t="s">
        <v>11</v>
      </c>
      <c r="E20741" t="s">
        <v>20</v>
      </c>
      <c r="F20741">
        <v>121109794</v>
      </c>
      <c r="G20741">
        <v>121109794</v>
      </c>
      <c r="H20741">
        <v>121109794</v>
      </c>
      <c r="I20741">
        <v>121109794</v>
      </c>
    </row>
    <row r="20742" spans="1:9" x14ac:dyDescent="0.2">
      <c r="A20742" t="str">
        <f>"Tgoln1"</f>
        <v>Tgoln1</v>
      </c>
      <c r="B20742" t="s">
        <v>14</v>
      </c>
      <c r="C20742" t="s">
        <v>32</v>
      </c>
      <c r="D20742" t="s">
        <v>11</v>
      </c>
      <c r="E20742" t="s">
        <v>12</v>
      </c>
      <c r="F20742">
        <v>72616971</v>
      </c>
      <c r="G20742">
        <v>72617016</v>
      </c>
      <c r="H20742">
        <v>72616971</v>
      </c>
      <c r="I20742">
        <v>72617016</v>
      </c>
    </row>
    <row r="20743" spans="1:9" x14ac:dyDescent="0.2">
      <c r="A20743" t="str">
        <f>"Tgs1"</f>
        <v>Tgs1</v>
      </c>
      <c r="B20743" t="s">
        <v>14</v>
      </c>
      <c r="C20743" t="s">
        <v>23</v>
      </c>
      <c r="D20743" t="s">
        <v>17</v>
      </c>
      <c r="E20743" t="s">
        <v>12</v>
      </c>
      <c r="F20743">
        <v>3574872</v>
      </c>
      <c r="G20743">
        <v>3574913</v>
      </c>
      <c r="H20743">
        <v>3574855</v>
      </c>
      <c r="I20743">
        <v>3574871</v>
      </c>
    </row>
    <row r="20744" spans="1:9" x14ac:dyDescent="0.2">
      <c r="A20744" t="str">
        <f>"Tgtp1"</f>
        <v>Tgtp1</v>
      </c>
      <c r="B20744" t="s">
        <v>14</v>
      </c>
      <c r="C20744" t="s">
        <v>27</v>
      </c>
      <c r="D20744" t="s">
        <v>11</v>
      </c>
      <c r="E20744" t="s">
        <v>12</v>
      </c>
      <c r="F20744">
        <v>48994182</v>
      </c>
      <c r="G20744">
        <v>48994186</v>
      </c>
      <c r="H20744">
        <v>48994182</v>
      </c>
      <c r="I20744">
        <v>48994186</v>
      </c>
    </row>
    <row r="20745" spans="1:9" x14ac:dyDescent="0.2">
      <c r="A20745" t="str">
        <f>"Tgtp2"</f>
        <v>Tgtp2</v>
      </c>
      <c r="B20745" t="s">
        <v>5924</v>
      </c>
      <c r="C20745" t="s">
        <v>27</v>
      </c>
      <c r="D20745" t="s">
        <v>11</v>
      </c>
      <c r="E20745" t="s">
        <v>20</v>
      </c>
      <c r="F20745">
        <v>49064203</v>
      </c>
      <c r="G20745">
        <v>49064203</v>
      </c>
      <c r="H20745">
        <v>49064203</v>
      </c>
      <c r="I20745">
        <v>49064203</v>
      </c>
    </row>
    <row r="20746" spans="1:9" x14ac:dyDescent="0.2">
      <c r="A20746" t="str">
        <f>"Th"</f>
        <v>Th</v>
      </c>
      <c r="B20746" t="s">
        <v>14</v>
      </c>
      <c r="C20746" t="s">
        <v>33</v>
      </c>
      <c r="D20746" t="s">
        <v>11</v>
      </c>
      <c r="E20746" t="s">
        <v>12</v>
      </c>
      <c r="F20746">
        <v>142899985</v>
      </c>
      <c r="G20746">
        <v>142900002</v>
      </c>
      <c r="H20746">
        <v>142899985</v>
      </c>
      <c r="I20746">
        <v>142900002</v>
      </c>
    </row>
    <row r="20747" spans="1:9" x14ac:dyDescent="0.2">
      <c r="A20747" t="str">
        <f>"Tha1"</f>
        <v>Tha1</v>
      </c>
      <c r="B20747" t="s">
        <v>14</v>
      </c>
      <c r="C20747" t="s">
        <v>27</v>
      </c>
      <c r="D20747" t="s">
        <v>11</v>
      </c>
      <c r="E20747" t="s">
        <v>12</v>
      </c>
      <c r="F20747">
        <v>117873433</v>
      </c>
      <c r="G20747">
        <v>117873460</v>
      </c>
      <c r="H20747">
        <v>117873464</v>
      </c>
      <c r="I20747">
        <v>117873481</v>
      </c>
    </row>
    <row r="20748" spans="1:9" x14ac:dyDescent="0.2">
      <c r="A20748" t="str">
        <f>"Thada"</f>
        <v>Thada</v>
      </c>
      <c r="B20748" t="s">
        <v>14</v>
      </c>
      <c r="C20748" t="s">
        <v>28</v>
      </c>
      <c r="D20748" t="s">
        <v>11</v>
      </c>
      <c r="E20748" t="s">
        <v>12</v>
      </c>
      <c r="F20748">
        <v>84466186</v>
      </c>
      <c r="G20748">
        <v>84466245</v>
      </c>
      <c r="H20748">
        <v>84466246</v>
      </c>
      <c r="I20748">
        <v>84466253</v>
      </c>
    </row>
    <row r="20749" spans="1:9" x14ac:dyDescent="0.2">
      <c r="A20749" t="str">
        <f>"Thap1"</f>
        <v>Thap1</v>
      </c>
      <c r="B20749" t="s">
        <v>14</v>
      </c>
      <c r="C20749" t="s">
        <v>30</v>
      </c>
      <c r="D20749" t="s">
        <v>17</v>
      </c>
      <c r="E20749" t="s">
        <v>12</v>
      </c>
      <c r="F20749">
        <v>26158186</v>
      </c>
      <c r="G20749">
        <v>26158252</v>
      </c>
      <c r="H20749">
        <v>26158173</v>
      </c>
      <c r="I20749">
        <v>26158182</v>
      </c>
    </row>
    <row r="20750" spans="1:9" x14ac:dyDescent="0.2">
      <c r="A20750" t="str">
        <f>"Thap11"</f>
        <v>Thap11</v>
      </c>
      <c r="B20750" t="s">
        <v>14</v>
      </c>
      <c r="C20750" t="s">
        <v>30</v>
      </c>
      <c r="D20750" t="s">
        <v>17</v>
      </c>
      <c r="E20750" t="s">
        <v>12</v>
      </c>
      <c r="F20750">
        <v>105855086</v>
      </c>
      <c r="G20750">
        <v>105855149</v>
      </c>
      <c r="H20750">
        <v>105855300</v>
      </c>
      <c r="I20750">
        <v>105855309</v>
      </c>
    </row>
    <row r="20751" spans="1:9" x14ac:dyDescent="0.2">
      <c r="A20751" t="str">
        <f>"Thap2"</f>
        <v>Thap2</v>
      </c>
      <c r="B20751" t="s">
        <v>14</v>
      </c>
      <c r="C20751" t="s">
        <v>15</v>
      </c>
      <c r="D20751" t="s">
        <v>11</v>
      </c>
      <c r="E20751" t="s">
        <v>12</v>
      </c>
      <c r="F20751">
        <v>115384388</v>
      </c>
      <c r="G20751">
        <v>115384435</v>
      </c>
      <c r="H20751">
        <v>115384751</v>
      </c>
      <c r="I20751">
        <v>115384796</v>
      </c>
    </row>
    <row r="20752" spans="1:9" x14ac:dyDescent="0.2">
      <c r="A20752" t="str">
        <f>"Thap3"</f>
        <v>Thap3</v>
      </c>
      <c r="B20752" t="s">
        <v>14</v>
      </c>
      <c r="C20752" t="s">
        <v>23</v>
      </c>
      <c r="D20752" t="s">
        <v>11</v>
      </c>
      <c r="E20752" t="s">
        <v>12</v>
      </c>
      <c r="F20752">
        <v>151988950</v>
      </c>
      <c r="G20752">
        <v>151989011</v>
      </c>
      <c r="H20752">
        <v>151989014</v>
      </c>
      <c r="I20752">
        <v>151989025</v>
      </c>
    </row>
    <row r="20753" spans="1:9" x14ac:dyDescent="0.2">
      <c r="A20753" t="str">
        <f>"Thap4"</f>
        <v>Thap4</v>
      </c>
      <c r="B20753" t="s">
        <v>14</v>
      </c>
      <c r="C20753" t="s">
        <v>19</v>
      </c>
      <c r="D20753" t="s">
        <v>11</v>
      </c>
      <c r="E20753" t="s">
        <v>12</v>
      </c>
      <c r="F20753">
        <v>93754561</v>
      </c>
      <c r="G20753">
        <v>93754678</v>
      </c>
      <c r="H20753">
        <v>93754811</v>
      </c>
      <c r="I20753">
        <v>93754857</v>
      </c>
    </row>
    <row r="20754" spans="1:9" x14ac:dyDescent="0.2">
      <c r="A20754" t="str">
        <f>"Thap7"</f>
        <v>Thap7</v>
      </c>
      <c r="B20754" t="s">
        <v>14</v>
      </c>
      <c r="C20754" t="s">
        <v>31</v>
      </c>
      <c r="D20754" t="s">
        <v>11</v>
      </c>
      <c r="E20754" t="s">
        <v>12</v>
      </c>
      <c r="F20754">
        <v>17531019</v>
      </c>
      <c r="G20754">
        <v>17531071</v>
      </c>
      <c r="H20754">
        <v>17530688</v>
      </c>
      <c r="I20754">
        <v>17530789</v>
      </c>
    </row>
    <row r="20755" spans="1:9" x14ac:dyDescent="0.2">
      <c r="A20755" t="str">
        <f>"Thap8"</f>
        <v>Thap8</v>
      </c>
      <c r="B20755" t="s">
        <v>14</v>
      </c>
      <c r="C20755" t="s">
        <v>33</v>
      </c>
      <c r="D20755" t="s">
        <v>17</v>
      </c>
      <c r="E20755" t="s">
        <v>67</v>
      </c>
      <c r="F20755">
        <v>30280186</v>
      </c>
      <c r="G20755">
        <v>30280188</v>
      </c>
      <c r="H20755">
        <v>30280186</v>
      </c>
      <c r="I20755">
        <v>30280188</v>
      </c>
    </row>
    <row r="20756" spans="1:9" x14ac:dyDescent="0.2">
      <c r="A20756" t="str">
        <f>"Thbd"</f>
        <v>Thbd</v>
      </c>
      <c r="B20756" t="s">
        <v>14</v>
      </c>
      <c r="C20756" t="s">
        <v>26</v>
      </c>
      <c r="D20756" t="s">
        <v>11</v>
      </c>
      <c r="E20756" t="s">
        <v>12</v>
      </c>
      <c r="F20756">
        <v>148408106</v>
      </c>
      <c r="G20756">
        <v>148408127</v>
      </c>
      <c r="H20756">
        <v>148408146</v>
      </c>
      <c r="I20756">
        <v>148408155</v>
      </c>
    </row>
    <row r="20757" spans="1:9" x14ac:dyDescent="0.2">
      <c r="A20757" t="str">
        <f>"Thbs1"</f>
        <v>Thbs1</v>
      </c>
      <c r="B20757" t="s">
        <v>14</v>
      </c>
      <c r="C20757" t="s">
        <v>26</v>
      </c>
      <c r="D20757" t="s">
        <v>17</v>
      </c>
      <c r="E20757" t="s">
        <v>12</v>
      </c>
      <c r="F20757">
        <v>118111879</v>
      </c>
      <c r="G20757">
        <v>118111899</v>
      </c>
      <c r="H20757">
        <v>118111724</v>
      </c>
      <c r="I20757">
        <v>118111749</v>
      </c>
    </row>
    <row r="20758" spans="1:9" x14ac:dyDescent="0.2">
      <c r="A20758" t="str">
        <f>"Thbs2"</f>
        <v>Thbs2</v>
      </c>
      <c r="B20758" t="s">
        <v>14</v>
      </c>
      <c r="C20758" t="s">
        <v>28</v>
      </c>
      <c r="D20758" t="s">
        <v>11</v>
      </c>
      <c r="E20758" t="s">
        <v>12</v>
      </c>
      <c r="F20758">
        <v>14694082</v>
      </c>
      <c r="G20758">
        <v>14694099</v>
      </c>
      <c r="H20758">
        <v>14694082</v>
      </c>
      <c r="I20758">
        <v>14694099</v>
      </c>
    </row>
    <row r="20759" spans="1:9" x14ac:dyDescent="0.2">
      <c r="A20759" t="str">
        <f>"Thbs3"</f>
        <v>Thbs3</v>
      </c>
      <c r="B20759" t="s">
        <v>14</v>
      </c>
      <c r="C20759" t="s">
        <v>22</v>
      </c>
      <c r="D20759" t="s">
        <v>17</v>
      </c>
      <c r="E20759" t="s">
        <v>12</v>
      </c>
      <c r="F20759">
        <v>89215192</v>
      </c>
      <c r="G20759">
        <v>89215243</v>
      </c>
      <c r="H20759">
        <v>89215170</v>
      </c>
      <c r="I20759">
        <v>89215181</v>
      </c>
    </row>
    <row r="20760" spans="1:9" x14ac:dyDescent="0.2">
      <c r="A20760" t="str">
        <f>"Thbs4"</f>
        <v>Thbs4</v>
      </c>
      <c r="B20760" t="s">
        <v>14</v>
      </c>
      <c r="C20760" t="s">
        <v>39</v>
      </c>
      <c r="D20760" t="s">
        <v>11</v>
      </c>
      <c r="E20760" t="s">
        <v>12</v>
      </c>
      <c r="F20760">
        <v>92794809</v>
      </c>
      <c r="G20760">
        <v>92794825</v>
      </c>
      <c r="H20760">
        <v>92794809</v>
      </c>
      <c r="I20760">
        <v>92794825</v>
      </c>
    </row>
    <row r="20761" spans="1:9" x14ac:dyDescent="0.2">
      <c r="A20761" t="str">
        <f>"Theg"</f>
        <v>Theg</v>
      </c>
      <c r="B20761" t="s">
        <v>14</v>
      </c>
      <c r="C20761" t="s">
        <v>15</v>
      </c>
      <c r="D20761" t="s">
        <v>11</v>
      </c>
      <c r="E20761" t="s">
        <v>12</v>
      </c>
      <c r="F20761">
        <v>79587114</v>
      </c>
      <c r="G20761">
        <v>79587130</v>
      </c>
      <c r="H20761">
        <v>79587095</v>
      </c>
      <c r="I20761">
        <v>79587102</v>
      </c>
    </row>
    <row r="20762" spans="1:9" x14ac:dyDescent="0.2">
      <c r="A20762" t="str">
        <f>"Them4"</f>
        <v>Them4</v>
      </c>
      <c r="B20762" t="s">
        <v>14</v>
      </c>
      <c r="C20762" t="s">
        <v>22</v>
      </c>
      <c r="D20762" t="s">
        <v>17</v>
      </c>
      <c r="E20762" t="s">
        <v>12</v>
      </c>
      <c r="F20762">
        <v>94310095</v>
      </c>
      <c r="G20762">
        <v>94310144</v>
      </c>
      <c r="H20762">
        <v>94310237</v>
      </c>
      <c r="I20762">
        <v>94310270</v>
      </c>
    </row>
    <row r="20763" spans="1:9" x14ac:dyDescent="0.2">
      <c r="A20763" t="str">
        <f>"Them5"</f>
        <v>Them5</v>
      </c>
      <c r="B20763" t="s">
        <v>14</v>
      </c>
      <c r="C20763" t="s">
        <v>22</v>
      </c>
      <c r="D20763" t="s">
        <v>17</v>
      </c>
      <c r="E20763" t="s">
        <v>12</v>
      </c>
      <c r="F20763">
        <v>94342092</v>
      </c>
      <c r="G20763">
        <v>94342112</v>
      </c>
      <c r="H20763">
        <v>94342092</v>
      </c>
      <c r="I20763">
        <v>94342112</v>
      </c>
    </row>
    <row r="20764" spans="1:9" x14ac:dyDescent="0.2">
      <c r="A20764" t="str">
        <f>"Them6"</f>
        <v>Them6</v>
      </c>
      <c r="B20764" t="s">
        <v>14</v>
      </c>
      <c r="C20764" t="s">
        <v>25</v>
      </c>
      <c r="D20764" t="s">
        <v>17</v>
      </c>
      <c r="E20764" t="s">
        <v>67</v>
      </c>
      <c r="F20764">
        <v>74721193</v>
      </c>
      <c r="G20764">
        <v>74721234</v>
      </c>
      <c r="H20764">
        <v>74721238</v>
      </c>
      <c r="I20764">
        <v>74721260</v>
      </c>
    </row>
    <row r="20765" spans="1:9" x14ac:dyDescent="0.2">
      <c r="A20765" t="str">
        <f>"Themis"</f>
        <v>Themis</v>
      </c>
      <c r="B20765" t="s">
        <v>14</v>
      </c>
      <c r="C20765" t="s">
        <v>15</v>
      </c>
      <c r="D20765" t="s">
        <v>17</v>
      </c>
      <c r="E20765" t="s">
        <v>12</v>
      </c>
      <c r="F20765">
        <v>28668388</v>
      </c>
      <c r="G20765">
        <v>28668404</v>
      </c>
      <c r="H20765">
        <v>28668560</v>
      </c>
      <c r="I20765">
        <v>28668637</v>
      </c>
    </row>
    <row r="20766" spans="1:9" x14ac:dyDescent="0.2">
      <c r="A20766" t="str">
        <f>"Themis2"</f>
        <v>Themis2</v>
      </c>
      <c r="B20766" t="s">
        <v>14</v>
      </c>
      <c r="C20766" t="s">
        <v>23</v>
      </c>
      <c r="D20766" t="s">
        <v>11</v>
      </c>
      <c r="E20766" t="s">
        <v>67</v>
      </c>
      <c r="F20766">
        <v>132796361</v>
      </c>
      <c r="G20766">
        <v>132796389</v>
      </c>
      <c r="H20766">
        <v>132796361</v>
      </c>
      <c r="I20766">
        <v>132796389</v>
      </c>
    </row>
    <row r="20767" spans="1:9" x14ac:dyDescent="0.2">
      <c r="A20767" t="str">
        <f>"Themis3"</f>
        <v>Themis3</v>
      </c>
      <c r="B20767" t="s">
        <v>14</v>
      </c>
      <c r="C20767" t="s">
        <v>28</v>
      </c>
      <c r="D20767" t="s">
        <v>11</v>
      </c>
      <c r="E20767" t="s">
        <v>67</v>
      </c>
      <c r="F20767">
        <v>66594592</v>
      </c>
      <c r="G20767">
        <v>66594654</v>
      </c>
      <c r="H20767">
        <v>66594573</v>
      </c>
      <c r="I20767">
        <v>66594591</v>
      </c>
    </row>
    <row r="20768" spans="1:9" x14ac:dyDescent="0.2">
      <c r="A20768" t="str">
        <f>"Thg1l"</f>
        <v>Thg1l</v>
      </c>
      <c r="B20768" t="s">
        <v>14</v>
      </c>
      <c r="C20768" t="s">
        <v>27</v>
      </c>
      <c r="D20768" t="s">
        <v>11</v>
      </c>
      <c r="E20768" t="s">
        <v>12</v>
      </c>
      <c r="F20768">
        <v>45955465</v>
      </c>
      <c r="G20768">
        <v>45955491</v>
      </c>
      <c r="H20768">
        <v>45955426</v>
      </c>
      <c r="I20768">
        <v>45955437</v>
      </c>
    </row>
    <row r="20769" spans="1:9" x14ac:dyDescent="0.2">
      <c r="A20769" t="str">
        <f>"Thnsl1"</f>
        <v>Thnsl1</v>
      </c>
      <c r="B20769" t="s">
        <v>14</v>
      </c>
      <c r="C20769" t="s">
        <v>26</v>
      </c>
      <c r="D20769" t="s">
        <v>17</v>
      </c>
      <c r="E20769" t="s">
        <v>12</v>
      </c>
      <c r="F20769">
        <v>21205719</v>
      </c>
      <c r="G20769">
        <v>21205781</v>
      </c>
      <c r="H20769">
        <v>21205401</v>
      </c>
      <c r="I20769">
        <v>21205425</v>
      </c>
    </row>
    <row r="20770" spans="1:9" x14ac:dyDescent="0.2">
      <c r="A20770" t="str">
        <f>"Thnsl2"</f>
        <v>Thnsl2</v>
      </c>
      <c r="B20770" t="s">
        <v>14</v>
      </c>
      <c r="C20770" t="s">
        <v>32</v>
      </c>
      <c r="D20770" t="s">
        <v>11</v>
      </c>
      <c r="E20770" t="s">
        <v>12</v>
      </c>
      <c r="F20770">
        <v>71144340</v>
      </c>
      <c r="G20770">
        <v>71144356</v>
      </c>
      <c r="H20770">
        <v>71144363</v>
      </c>
      <c r="I20770">
        <v>71144381</v>
      </c>
    </row>
    <row r="20771" spans="1:9" x14ac:dyDescent="0.2">
      <c r="A20771" t="str">
        <f>"Thoc1"</f>
        <v>Thoc1</v>
      </c>
      <c r="B20771" t="s">
        <v>14</v>
      </c>
      <c r="C20771" t="s">
        <v>43</v>
      </c>
      <c r="D20771" t="s">
        <v>17</v>
      </c>
      <c r="E20771" t="s">
        <v>12</v>
      </c>
      <c r="F20771">
        <v>9958147</v>
      </c>
      <c r="G20771">
        <v>9958186</v>
      </c>
      <c r="H20771">
        <v>9958147</v>
      </c>
      <c r="I20771">
        <v>9958186</v>
      </c>
    </row>
    <row r="20772" spans="1:9" x14ac:dyDescent="0.2">
      <c r="A20772" t="str">
        <f>"Thoc2"</f>
        <v>Thoc2</v>
      </c>
      <c r="B20772" t="s">
        <v>14</v>
      </c>
      <c r="C20772" t="s">
        <v>37</v>
      </c>
      <c r="D20772" t="s">
        <v>11</v>
      </c>
      <c r="E20772" t="s">
        <v>12</v>
      </c>
      <c r="F20772">
        <v>41911877</v>
      </c>
      <c r="G20772">
        <v>41911912</v>
      </c>
      <c r="H20772">
        <v>41911877</v>
      </c>
      <c r="I20772">
        <v>41911912</v>
      </c>
    </row>
    <row r="20773" spans="1:9" x14ac:dyDescent="0.2">
      <c r="A20773" t="str">
        <f>"Thoc3"</f>
        <v>Thoc3</v>
      </c>
      <c r="B20773" t="s">
        <v>14</v>
      </c>
      <c r="C20773" t="s">
        <v>39</v>
      </c>
      <c r="D20773" t="s">
        <v>11</v>
      </c>
      <c r="E20773" t="s">
        <v>12</v>
      </c>
      <c r="F20773">
        <v>54468805</v>
      </c>
      <c r="G20773">
        <v>54468862</v>
      </c>
      <c r="H20773">
        <v>54468605</v>
      </c>
      <c r="I20773">
        <v>54468606</v>
      </c>
    </row>
    <row r="20774" spans="1:9" x14ac:dyDescent="0.2">
      <c r="A20774" t="str">
        <f>"Thoc5"</f>
        <v>Thoc5</v>
      </c>
      <c r="B20774" t="s">
        <v>14</v>
      </c>
      <c r="C20774" t="s">
        <v>27</v>
      </c>
      <c r="D20774" t="s">
        <v>17</v>
      </c>
      <c r="E20774" t="s">
        <v>12</v>
      </c>
      <c r="F20774">
        <v>4895328</v>
      </c>
      <c r="G20774">
        <v>4895354</v>
      </c>
      <c r="H20774">
        <v>4895316</v>
      </c>
      <c r="I20774">
        <v>4895327</v>
      </c>
    </row>
    <row r="20775" spans="1:9" x14ac:dyDescent="0.2">
      <c r="A20775" t="str">
        <f>"Thoc6"</f>
        <v>Thoc6</v>
      </c>
      <c r="B20775" t="s">
        <v>14</v>
      </c>
      <c r="C20775" t="s">
        <v>28</v>
      </c>
      <c r="D20775" t="s">
        <v>11</v>
      </c>
      <c r="E20775" t="s">
        <v>12</v>
      </c>
      <c r="F20775">
        <v>23673825</v>
      </c>
      <c r="G20775">
        <v>23673887</v>
      </c>
      <c r="H20775">
        <v>23673557</v>
      </c>
      <c r="I20775">
        <v>23673577</v>
      </c>
    </row>
    <row r="20776" spans="1:9" x14ac:dyDescent="0.2">
      <c r="A20776" t="str">
        <f>"Thoc7"</f>
        <v>Thoc7</v>
      </c>
      <c r="B20776" t="s">
        <v>14</v>
      </c>
      <c r="C20776" t="s">
        <v>41</v>
      </c>
      <c r="D20776" t="s">
        <v>11</v>
      </c>
      <c r="E20776" t="s">
        <v>12</v>
      </c>
      <c r="F20776">
        <v>13961202</v>
      </c>
      <c r="G20776">
        <v>13961278</v>
      </c>
      <c r="H20776">
        <v>13961378</v>
      </c>
      <c r="I20776">
        <v>13961442</v>
      </c>
    </row>
    <row r="20777" spans="1:9" x14ac:dyDescent="0.2">
      <c r="A20777" t="str">
        <f>"Thop1"</f>
        <v>Thop1</v>
      </c>
      <c r="B20777" t="s">
        <v>14</v>
      </c>
      <c r="C20777" t="s">
        <v>15</v>
      </c>
      <c r="D20777" t="s">
        <v>17</v>
      </c>
      <c r="E20777" t="s">
        <v>12</v>
      </c>
      <c r="F20777">
        <v>81070062</v>
      </c>
      <c r="G20777">
        <v>81070121</v>
      </c>
      <c r="H20777">
        <v>81070138</v>
      </c>
      <c r="I20777">
        <v>81070153</v>
      </c>
    </row>
    <row r="20778" spans="1:9" x14ac:dyDescent="0.2">
      <c r="A20778" t="str">
        <f>"Thpo"</f>
        <v>Thpo</v>
      </c>
      <c r="B20778" t="s">
        <v>14</v>
      </c>
      <c r="C20778" t="s">
        <v>31</v>
      </c>
      <c r="D20778" t="s">
        <v>11</v>
      </c>
      <c r="E20778" t="s">
        <v>12</v>
      </c>
      <c r="F20778">
        <v>20730544</v>
      </c>
      <c r="G20778">
        <v>20730592</v>
      </c>
      <c r="H20778">
        <v>20730595</v>
      </c>
      <c r="I20778">
        <v>20730601</v>
      </c>
    </row>
    <row r="20779" spans="1:9" x14ac:dyDescent="0.2">
      <c r="A20779" t="str">
        <f>"Thra"</f>
        <v>Thra</v>
      </c>
      <c r="B20779" t="s">
        <v>14</v>
      </c>
      <c r="C20779" t="s">
        <v>27</v>
      </c>
      <c r="D20779" t="s">
        <v>17</v>
      </c>
      <c r="E20779" t="s">
        <v>12</v>
      </c>
      <c r="F20779">
        <v>98741871</v>
      </c>
      <c r="G20779">
        <v>98741894</v>
      </c>
      <c r="H20779">
        <v>98741805</v>
      </c>
      <c r="I20779">
        <v>98741816</v>
      </c>
    </row>
    <row r="20780" spans="1:9" x14ac:dyDescent="0.2">
      <c r="A20780" t="str">
        <f>"Thrap3"</f>
        <v>Thrap3</v>
      </c>
      <c r="B20780" t="s">
        <v>14</v>
      </c>
      <c r="C20780" t="s">
        <v>23</v>
      </c>
      <c r="D20780" t="s">
        <v>11</v>
      </c>
      <c r="E20780" t="s">
        <v>12</v>
      </c>
      <c r="F20780">
        <v>126202583</v>
      </c>
      <c r="G20780">
        <v>126202698</v>
      </c>
      <c r="H20780">
        <v>126202335</v>
      </c>
      <c r="I20780">
        <v>126202401</v>
      </c>
    </row>
    <row r="20781" spans="1:9" x14ac:dyDescent="0.2">
      <c r="A20781" t="str">
        <f>"Thrb"</f>
        <v>Thrb</v>
      </c>
      <c r="B20781" t="s">
        <v>14</v>
      </c>
      <c r="C20781" t="s">
        <v>41</v>
      </c>
      <c r="D20781" t="s">
        <v>17</v>
      </c>
      <c r="E20781" t="s">
        <v>12</v>
      </c>
      <c r="F20781">
        <v>17660872</v>
      </c>
      <c r="G20781">
        <v>17660950</v>
      </c>
      <c r="H20781">
        <v>17660966</v>
      </c>
      <c r="I20781">
        <v>17660980</v>
      </c>
    </row>
    <row r="20782" spans="1:9" x14ac:dyDescent="0.2">
      <c r="A20782" t="str">
        <f>"Thrsp"</f>
        <v>Thrsp</v>
      </c>
      <c r="B20782" t="s">
        <v>14</v>
      </c>
      <c r="C20782" t="s">
        <v>33</v>
      </c>
      <c r="D20782" t="s">
        <v>11</v>
      </c>
      <c r="E20782" t="s">
        <v>12</v>
      </c>
      <c r="F20782">
        <v>97417511</v>
      </c>
      <c r="G20782">
        <v>97417539</v>
      </c>
      <c r="H20782">
        <v>97417511</v>
      </c>
      <c r="I20782">
        <v>97417539</v>
      </c>
    </row>
    <row r="20783" spans="1:9" x14ac:dyDescent="0.2">
      <c r="A20783" t="str">
        <f>"Thsd1"</f>
        <v>Thsd1</v>
      </c>
      <c r="B20783" t="s">
        <v>14</v>
      </c>
      <c r="C20783" t="s">
        <v>30</v>
      </c>
      <c r="D20783" t="s">
        <v>17</v>
      </c>
      <c r="E20783" t="s">
        <v>12</v>
      </c>
      <c r="F20783">
        <v>22227322</v>
      </c>
      <c r="G20783">
        <v>22227357</v>
      </c>
      <c r="H20783">
        <v>22227292</v>
      </c>
      <c r="I20783">
        <v>22227320</v>
      </c>
    </row>
    <row r="20784" spans="1:9" x14ac:dyDescent="0.2">
      <c r="A20784" t="str">
        <f>"Thsd4"</f>
        <v>Thsd4</v>
      </c>
      <c r="B20784" t="s">
        <v>14</v>
      </c>
      <c r="C20784" t="s">
        <v>24</v>
      </c>
      <c r="D20784" t="s">
        <v>11</v>
      </c>
      <c r="E20784" t="s">
        <v>12</v>
      </c>
      <c r="F20784">
        <v>60522017</v>
      </c>
      <c r="G20784">
        <v>60522058</v>
      </c>
      <c r="H20784">
        <v>60521989</v>
      </c>
      <c r="I20784">
        <v>60522005</v>
      </c>
    </row>
    <row r="20785" spans="1:9" x14ac:dyDescent="0.2">
      <c r="A20785" t="str">
        <f>"Thsd7a"</f>
        <v>Thsd7a</v>
      </c>
      <c r="B20785" t="s">
        <v>14</v>
      </c>
      <c r="C20785" t="s">
        <v>32</v>
      </c>
      <c r="D20785" t="s">
        <v>11</v>
      </c>
      <c r="E20785" t="s">
        <v>12</v>
      </c>
      <c r="F20785">
        <v>12749193</v>
      </c>
      <c r="G20785">
        <v>12749209</v>
      </c>
      <c r="H20785">
        <v>12749193</v>
      </c>
      <c r="I20785">
        <v>12749209</v>
      </c>
    </row>
    <row r="20786" spans="1:9" x14ac:dyDescent="0.2">
      <c r="A20786" t="str">
        <f>"Thsd7b"</f>
        <v>Thsd7b</v>
      </c>
      <c r="B20786" t="s">
        <v>14</v>
      </c>
      <c r="C20786" t="s">
        <v>19</v>
      </c>
      <c r="D20786" t="s">
        <v>17</v>
      </c>
      <c r="E20786" t="s">
        <v>12</v>
      </c>
      <c r="F20786">
        <v>129273436</v>
      </c>
      <c r="G20786">
        <v>129273470</v>
      </c>
      <c r="H20786">
        <v>129273279</v>
      </c>
      <c r="I20786">
        <v>129273315</v>
      </c>
    </row>
    <row r="20787" spans="1:9" x14ac:dyDescent="0.2">
      <c r="A20787" t="str">
        <f>"Thtpa"</f>
        <v>Thtpa</v>
      </c>
      <c r="B20787" t="s">
        <v>14</v>
      </c>
      <c r="C20787" t="s">
        <v>41</v>
      </c>
      <c r="D20787" t="s">
        <v>17</v>
      </c>
      <c r="E20787" t="s">
        <v>12</v>
      </c>
      <c r="F20787">
        <v>55095048</v>
      </c>
      <c r="G20787">
        <v>55095100</v>
      </c>
      <c r="H20787">
        <v>55094805</v>
      </c>
      <c r="I20787">
        <v>55094839</v>
      </c>
    </row>
    <row r="20788" spans="1:9" x14ac:dyDescent="0.2">
      <c r="A20788" t="str">
        <f>"Thumpd1"</f>
        <v>Thumpd1</v>
      </c>
      <c r="B20788" t="s">
        <v>14</v>
      </c>
      <c r="C20788" t="s">
        <v>33</v>
      </c>
      <c r="D20788" t="s">
        <v>11</v>
      </c>
      <c r="E20788" t="s">
        <v>12</v>
      </c>
      <c r="F20788">
        <v>119720742</v>
      </c>
      <c r="G20788">
        <v>119720803</v>
      </c>
      <c r="H20788">
        <v>119720742</v>
      </c>
      <c r="I20788">
        <v>119720803</v>
      </c>
    </row>
    <row r="20789" spans="1:9" x14ac:dyDescent="0.2">
      <c r="A20789" t="str">
        <f>"Thumpd2"</f>
        <v>Thumpd2</v>
      </c>
      <c r="B20789" t="s">
        <v>14</v>
      </c>
      <c r="C20789" t="s">
        <v>28</v>
      </c>
      <c r="D20789" t="s">
        <v>11</v>
      </c>
      <c r="E20789" t="s">
        <v>12</v>
      </c>
      <c r="F20789">
        <v>81065056</v>
      </c>
      <c r="G20789">
        <v>81065099</v>
      </c>
      <c r="H20789">
        <v>81065039</v>
      </c>
      <c r="I20789">
        <v>81065046</v>
      </c>
    </row>
    <row r="20790" spans="1:9" x14ac:dyDescent="0.2">
      <c r="A20790" t="str">
        <f>"Thumpd3"</f>
        <v>Thumpd3</v>
      </c>
      <c r="B20790" t="s">
        <v>14</v>
      </c>
      <c r="C20790" t="s">
        <v>32</v>
      </c>
      <c r="D20790" t="s">
        <v>17</v>
      </c>
      <c r="E20790" t="s">
        <v>12</v>
      </c>
      <c r="F20790">
        <v>113046304</v>
      </c>
      <c r="G20790">
        <v>113046369</v>
      </c>
      <c r="H20790">
        <v>113046372</v>
      </c>
      <c r="I20790">
        <v>113046389</v>
      </c>
    </row>
    <row r="20791" spans="1:9" x14ac:dyDescent="0.2">
      <c r="A20791" t="str">
        <f>"Thy1"</f>
        <v>Thy1</v>
      </c>
      <c r="B20791" t="s">
        <v>14</v>
      </c>
      <c r="C20791" t="s">
        <v>24</v>
      </c>
      <c r="D20791" t="s">
        <v>17</v>
      </c>
      <c r="E20791" t="s">
        <v>12</v>
      </c>
      <c r="F20791">
        <v>44043390</v>
      </c>
      <c r="G20791">
        <v>44043434</v>
      </c>
      <c r="H20791">
        <v>44043390</v>
      </c>
      <c r="I20791">
        <v>44043434</v>
      </c>
    </row>
    <row r="20792" spans="1:9" x14ac:dyDescent="0.2">
      <c r="A20792" t="str">
        <f>"Thyn1"</f>
        <v>Thyn1</v>
      </c>
      <c r="B20792" t="s">
        <v>14</v>
      </c>
      <c r="C20792" t="s">
        <v>24</v>
      </c>
      <c r="D20792" t="s">
        <v>17</v>
      </c>
      <c r="E20792" t="s">
        <v>12</v>
      </c>
      <c r="F20792">
        <v>26999699</v>
      </c>
      <c r="G20792">
        <v>26999733</v>
      </c>
      <c r="H20792">
        <v>26999668</v>
      </c>
      <c r="I20792">
        <v>26999686</v>
      </c>
    </row>
    <row r="20793" spans="1:9" x14ac:dyDescent="0.2">
      <c r="A20793" t="str">
        <f>"Tia1"</f>
        <v>Tia1</v>
      </c>
      <c r="B20793" t="s">
        <v>14</v>
      </c>
      <c r="C20793" t="s">
        <v>32</v>
      </c>
      <c r="D20793" t="s">
        <v>17</v>
      </c>
      <c r="E20793" t="s">
        <v>12</v>
      </c>
      <c r="F20793">
        <v>86404257</v>
      </c>
      <c r="G20793">
        <v>86404319</v>
      </c>
      <c r="H20793">
        <v>86404341</v>
      </c>
      <c r="I20793">
        <v>86404380</v>
      </c>
    </row>
    <row r="20794" spans="1:9" x14ac:dyDescent="0.2">
      <c r="A20794" t="str">
        <f>"Tial1"</f>
        <v>Tial1</v>
      </c>
      <c r="B20794" t="s">
        <v>14</v>
      </c>
      <c r="C20794" t="s">
        <v>33</v>
      </c>
      <c r="D20794" t="s">
        <v>11</v>
      </c>
      <c r="E20794" t="s">
        <v>12</v>
      </c>
      <c r="F20794">
        <v>128461327</v>
      </c>
      <c r="G20794">
        <v>128461387</v>
      </c>
      <c r="H20794">
        <v>128461630</v>
      </c>
      <c r="I20794">
        <v>128461662</v>
      </c>
    </row>
    <row r="20795" spans="1:9" x14ac:dyDescent="0.2">
      <c r="A20795" t="str">
        <f>"Tiam1"</f>
        <v>Tiam1</v>
      </c>
      <c r="B20795" t="s">
        <v>5925</v>
      </c>
      <c r="C20795" t="s">
        <v>31</v>
      </c>
      <c r="D20795" t="s">
        <v>11</v>
      </c>
      <c r="E20795" t="s">
        <v>35</v>
      </c>
      <c r="F20795">
        <v>89960815</v>
      </c>
      <c r="G20795">
        <v>89960828</v>
      </c>
      <c r="H20795">
        <v>89960727</v>
      </c>
      <c r="I20795">
        <v>89960743</v>
      </c>
    </row>
    <row r="20796" spans="1:9" x14ac:dyDescent="0.2">
      <c r="A20796" t="str">
        <f>"Tiam1"</f>
        <v>Tiam1</v>
      </c>
      <c r="B20796" t="s">
        <v>5926</v>
      </c>
      <c r="C20796" t="s">
        <v>31</v>
      </c>
      <c r="D20796" t="s">
        <v>11</v>
      </c>
      <c r="E20796" t="s">
        <v>20</v>
      </c>
      <c r="F20796">
        <v>89974698</v>
      </c>
      <c r="G20796">
        <v>89974698</v>
      </c>
      <c r="H20796">
        <v>89974698</v>
      </c>
      <c r="I20796">
        <v>89974698</v>
      </c>
    </row>
    <row r="20797" spans="1:9" x14ac:dyDescent="0.2">
      <c r="A20797" t="str">
        <f>"Tiam2"</f>
        <v>Tiam2</v>
      </c>
      <c r="B20797" t="s">
        <v>14</v>
      </c>
      <c r="C20797" t="s">
        <v>28</v>
      </c>
      <c r="D20797" t="s">
        <v>17</v>
      </c>
      <c r="E20797" t="s">
        <v>12</v>
      </c>
      <c r="F20797">
        <v>3326552</v>
      </c>
      <c r="G20797">
        <v>3326585</v>
      </c>
      <c r="H20797">
        <v>3326586</v>
      </c>
      <c r="I20797">
        <v>3326595</v>
      </c>
    </row>
    <row r="20798" spans="1:9" x14ac:dyDescent="0.2">
      <c r="A20798" t="str">
        <f>"Ticam1"</f>
        <v>Ticam1</v>
      </c>
      <c r="B20798" t="s">
        <v>14</v>
      </c>
      <c r="C20798" t="s">
        <v>28</v>
      </c>
      <c r="D20798" t="s">
        <v>11</v>
      </c>
      <c r="E20798" t="s">
        <v>12</v>
      </c>
      <c r="F20798">
        <v>56276750</v>
      </c>
      <c r="G20798">
        <v>56276773</v>
      </c>
      <c r="H20798">
        <v>56276718</v>
      </c>
      <c r="I20798">
        <v>56276749</v>
      </c>
    </row>
    <row r="20799" spans="1:9" x14ac:dyDescent="0.2">
      <c r="A20799" t="str">
        <f>"Ticam2"</f>
        <v>Ticam2</v>
      </c>
      <c r="B20799" t="s">
        <v>14</v>
      </c>
      <c r="C20799" t="s">
        <v>43</v>
      </c>
      <c r="D20799" t="s">
        <v>11</v>
      </c>
      <c r="E20799" t="s">
        <v>12</v>
      </c>
      <c r="F20799">
        <v>46574469</v>
      </c>
      <c r="G20799">
        <v>46574488</v>
      </c>
      <c r="H20799">
        <v>46574491</v>
      </c>
      <c r="I20799">
        <v>46574518</v>
      </c>
    </row>
    <row r="20800" spans="1:9" x14ac:dyDescent="0.2">
      <c r="A20800" t="str">
        <f>"Ticrr"</f>
        <v>Ticrr</v>
      </c>
      <c r="B20800" t="s">
        <v>14</v>
      </c>
      <c r="C20800" t="s">
        <v>33</v>
      </c>
      <c r="D20800" t="s">
        <v>17</v>
      </c>
      <c r="E20800" t="s">
        <v>67</v>
      </c>
      <c r="F20800">
        <v>79660211</v>
      </c>
      <c r="G20800">
        <v>79660261</v>
      </c>
      <c r="H20800">
        <v>79660193</v>
      </c>
      <c r="I20800">
        <v>79660198</v>
      </c>
    </row>
    <row r="20801" spans="1:9" x14ac:dyDescent="0.2">
      <c r="A20801" t="str">
        <f>"Tie1"</f>
        <v>Tie1</v>
      </c>
      <c r="B20801" t="s">
        <v>14</v>
      </c>
      <c r="C20801" t="s">
        <v>23</v>
      </c>
      <c r="D20801" t="s">
        <v>11</v>
      </c>
      <c r="E20801" t="s">
        <v>12</v>
      </c>
      <c r="F20801">
        <v>118489761</v>
      </c>
      <c r="G20801">
        <v>118489777</v>
      </c>
      <c r="H20801">
        <v>118489789</v>
      </c>
      <c r="I20801">
        <v>118489831</v>
      </c>
    </row>
    <row r="20802" spans="1:9" x14ac:dyDescent="0.2">
      <c r="A20802" t="str">
        <f>"Tifa"</f>
        <v>Tifa</v>
      </c>
      <c r="B20802" t="s">
        <v>9</v>
      </c>
      <c r="C20802" t="s">
        <v>22</v>
      </c>
      <c r="D20802" t="s">
        <v>17</v>
      </c>
      <c r="E20802" t="s">
        <v>12</v>
      </c>
      <c r="F20802">
        <v>127789941</v>
      </c>
      <c r="G20802">
        <v>127789983</v>
      </c>
      <c r="H20802">
        <v>127789941</v>
      </c>
      <c r="I20802">
        <v>127789983</v>
      </c>
    </row>
    <row r="20803" spans="1:9" x14ac:dyDescent="0.2">
      <c r="A20803" t="str">
        <f>"Tifa"</f>
        <v>Tifa</v>
      </c>
      <c r="B20803" t="s">
        <v>13</v>
      </c>
      <c r="C20803" t="s">
        <v>22</v>
      </c>
      <c r="D20803" t="s">
        <v>17</v>
      </c>
      <c r="E20803" t="s">
        <v>12</v>
      </c>
      <c r="F20803">
        <v>127791374</v>
      </c>
      <c r="G20803">
        <v>127791390</v>
      </c>
      <c r="H20803">
        <v>127791374</v>
      </c>
      <c r="I20803">
        <v>127791390</v>
      </c>
    </row>
    <row r="20804" spans="1:9" x14ac:dyDescent="0.2">
      <c r="A20804" t="str">
        <f>"Tifab"</f>
        <v>Tifab</v>
      </c>
      <c r="B20804" t="s">
        <v>14</v>
      </c>
      <c r="C20804" t="s">
        <v>39</v>
      </c>
      <c r="D20804" t="s">
        <v>11</v>
      </c>
      <c r="E20804" t="s">
        <v>12</v>
      </c>
      <c r="F20804">
        <v>56178651</v>
      </c>
      <c r="G20804">
        <v>56178721</v>
      </c>
      <c r="H20804">
        <v>56178651</v>
      </c>
      <c r="I20804">
        <v>56178721</v>
      </c>
    </row>
    <row r="20805" spans="1:9" x14ac:dyDescent="0.2">
      <c r="A20805" t="str">
        <f>"Tigd2"</f>
        <v>Tigd2</v>
      </c>
      <c r="B20805" t="s">
        <v>14</v>
      </c>
      <c r="C20805" t="s">
        <v>32</v>
      </c>
      <c r="D20805" t="s">
        <v>17</v>
      </c>
      <c r="E20805" t="s">
        <v>12</v>
      </c>
      <c r="F20805">
        <v>59208888</v>
      </c>
      <c r="G20805">
        <v>59208958</v>
      </c>
      <c r="H20805">
        <v>59208861</v>
      </c>
      <c r="I20805">
        <v>59208876</v>
      </c>
    </row>
    <row r="20806" spans="1:9" x14ac:dyDescent="0.2">
      <c r="A20806" t="str">
        <f>"Tigd3"</f>
        <v>Tigd3</v>
      </c>
      <c r="B20806" t="s">
        <v>14</v>
      </c>
      <c r="C20806" t="s">
        <v>10</v>
      </c>
      <c r="D20806" t="s">
        <v>11</v>
      </c>
      <c r="E20806" t="s">
        <v>12</v>
      </c>
      <c r="F20806">
        <v>5894100</v>
      </c>
      <c r="G20806">
        <v>5894155</v>
      </c>
      <c r="H20806">
        <v>5894070</v>
      </c>
      <c r="I20806">
        <v>5894097</v>
      </c>
    </row>
    <row r="20807" spans="1:9" x14ac:dyDescent="0.2">
      <c r="A20807" t="str">
        <f>"Tigd4"</f>
        <v>Tigd4</v>
      </c>
      <c r="B20807" t="s">
        <v>14</v>
      </c>
      <c r="C20807" t="s">
        <v>22</v>
      </c>
      <c r="D20807" t="s">
        <v>17</v>
      </c>
      <c r="E20807" t="s">
        <v>12</v>
      </c>
      <c r="F20807">
        <v>84593547</v>
      </c>
      <c r="G20807">
        <v>84593563</v>
      </c>
      <c r="H20807">
        <v>84593547</v>
      </c>
      <c r="I20807">
        <v>84593563</v>
      </c>
    </row>
    <row r="20808" spans="1:9" x14ac:dyDescent="0.2">
      <c r="A20808" t="str">
        <f>"Tigit"</f>
        <v>Tigit</v>
      </c>
      <c r="B20808" t="s">
        <v>14</v>
      </c>
      <c r="C20808" t="s">
        <v>31</v>
      </c>
      <c r="D20808" t="s">
        <v>11</v>
      </c>
      <c r="E20808" t="s">
        <v>12</v>
      </c>
      <c r="F20808">
        <v>43664104</v>
      </c>
      <c r="G20808">
        <v>43664126</v>
      </c>
      <c r="H20808">
        <v>43664145</v>
      </c>
      <c r="I20808">
        <v>43664158</v>
      </c>
    </row>
    <row r="20809" spans="1:9" x14ac:dyDescent="0.2">
      <c r="A20809" t="str">
        <f>"Timd2"</f>
        <v>Timd2</v>
      </c>
      <c r="B20809" t="s">
        <v>14</v>
      </c>
      <c r="C20809" t="s">
        <v>27</v>
      </c>
      <c r="D20809" t="s">
        <v>11</v>
      </c>
      <c r="E20809" t="s">
        <v>12</v>
      </c>
      <c r="F20809">
        <v>46707060</v>
      </c>
      <c r="G20809">
        <v>46707077</v>
      </c>
      <c r="H20809">
        <v>46707097</v>
      </c>
      <c r="I20809">
        <v>46707112</v>
      </c>
    </row>
    <row r="20810" spans="1:9" x14ac:dyDescent="0.2">
      <c r="A20810" t="str">
        <f>"Timd4"</f>
        <v>Timd4</v>
      </c>
      <c r="B20810" t="s">
        <v>14</v>
      </c>
      <c r="C20810" t="s">
        <v>27</v>
      </c>
      <c r="D20810" t="s">
        <v>17</v>
      </c>
      <c r="E20810" t="s">
        <v>12</v>
      </c>
      <c r="F20810">
        <v>46810792</v>
      </c>
      <c r="G20810">
        <v>46810809</v>
      </c>
      <c r="H20810">
        <v>46810792</v>
      </c>
      <c r="I20810">
        <v>46810809</v>
      </c>
    </row>
    <row r="20811" spans="1:9" x14ac:dyDescent="0.2">
      <c r="A20811" t="str">
        <f>"Timeless"</f>
        <v>Timeless</v>
      </c>
      <c r="B20811" t="s">
        <v>14</v>
      </c>
      <c r="C20811" t="s">
        <v>15</v>
      </c>
      <c r="D20811" t="s">
        <v>17</v>
      </c>
      <c r="E20811" t="s">
        <v>12</v>
      </c>
      <c r="F20811">
        <v>128232072</v>
      </c>
      <c r="G20811">
        <v>128232094</v>
      </c>
      <c r="H20811">
        <v>128232072</v>
      </c>
      <c r="I20811">
        <v>128232094</v>
      </c>
    </row>
    <row r="20812" spans="1:9" x14ac:dyDescent="0.2">
      <c r="A20812" t="str">
        <f>"Timm10"</f>
        <v>Timm10</v>
      </c>
      <c r="B20812" t="s">
        <v>14</v>
      </c>
      <c r="C20812" t="s">
        <v>26</v>
      </c>
      <c r="D20812" t="s">
        <v>17</v>
      </c>
      <c r="E20812" t="s">
        <v>12</v>
      </c>
      <c r="F20812">
        <v>84827012</v>
      </c>
      <c r="G20812">
        <v>84827067</v>
      </c>
      <c r="H20812">
        <v>84827079</v>
      </c>
      <c r="I20812">
        <v>84827098</v>
      </c>
    </row>
    <row r="20813" spans="1:9" x14ac:dyDescent="0.2">
      <c r="A20813" t="str">
        <f>"Timm10b"</f>
        <v>Timm10b</v>
      </c>
      <c r="B20813" t="s">
        <v>14</v>
      </c>
      <c r="C20813" t="s">
        <v>33</v>
      </c>
      <c r="D20813" t="s">
        <v>17</v>
      </c>
      <c r="E20813" t="s">
        <v>67</v>
      </c>
      <c r="F20813">
        <v>105640522</v>
      </c>
      <c r="G20813">
        <v>105640586</v>
      </c>
      <c r="H20813">
        <v>105640463</v>
      </c>
      <c r="I20813">
        <v>105640514</v>
      </c>
    </row>
    <row r="20814" spans="1:9" x14ac:dyDescent="0.2">
      <c r="A20814" t="str">
        <f>"Timm13"</f>
        <v>Timm13</v>
      </c>
      <c r="B20814" t="s">
        <v>14</v>
      </c>
      <c r="C20814" t="s">
        <v>15</v>
      </c>
      <c r="D20814" t="s">
        <v>11</v>
      </c>
      <c r="E20814" t="s">
        <v>12</v>
      </c>
      <c r="F20814">
        <v>80900749</v>
      </c>
      <c r="G20814">
        <v>80900819</v>
      </c>
      <c r="H20814">
        <v>80900749</v>
      </c>
      <c r="I20814">
        <v>80900819</v>
      </c>
    </row>
    <row r="20815" spans="1:9" x14ac:dyDescent="0.2">
      <c r="A20815" t="str">
        <f>"Timm17a"</f>
        <v>Timm17a</v>
      </c>
      <c r="B20815" t="s">
        <v>14</v>
      </c>
      <c r="C20815" t="s">
        <v>19</v>
      </c>
      <c r="D20815" t="s">
        <v>11</v>
      </c>
      <c r="E20815" t="s">
        <v>12</v>
      </c>
      <c r="F20815">
        <v>135313729</v>
      </c>
      <c r="G20815">
        <v>135313760</v>
      </c>
      <c r="H20815">
        <v>135313729</v>
      </c>
      <c r="I20815">
        <v>135313760</v>
      </c>
    </row>
    <row r="20816" spans="1:9" x14ac:dyDescent="0.2">
      <c r="A20816" t="str">
        <f>"Timm17b"</f>
        <v>Timm17b</v>
      </c>
      <c r="B20816" t="s">
        <v>14</v>
      </c>
      <c r="C20816" t="s">
        <v>37</v>
      </c>
      <c r="D20816" t="s">
        <v>17</v>
      </c>
      <c r="E20816" t="s">
        <v>12</v>
      </c>
      <c r="F20816">
        <v>7899388</v>
      </c>
      <c r="G20816">
        <v>7899432</v>
      </c>
      <c r="H20816">
        <v>7899350</v>
      </c>
      <c r="I20816">
        <v>7899362</v>
      </c>
    </row>
    <row r="20817" spans="1:9" x14ac:dyDescent="0.2">
      <c r="A20817" t="str">
        <f>"Timm21"</f>
        <v>Timm21</v>
      </c>
      <c r="B20817" t="s">
        <v>14</v>
      </c>
      <c r="C20817" t="s">
        <v>43</v>
      </c>
      <c r="D20817" t="s">
        <v>11</v>
      </c>
      <c r="E20817" t="s">
        <v>67</v>
      </c>
      <c r="F20817">
        <v>84951477</v>
      </c>
      <c r="G20817">
        <v>84951536</v>
      </c>
      <c r="H20817">
        <v>84951451</v>
      </c>
      <c r="I20817">
        <v>84951462</v>
      </c>
    </row>
    <row r="20818" spans="1:9" x14ac:dyDescent="0.2">
      <c r="A20818" t="str">
        <f>"Timm22"</f>
        <v>Timm22</v>
      </c>
      <c r="B20818" t="s">
        <v>14</v>
      </c>
      <c r="C20818" t="s">
        <v>27</v>
      </c>
      <c r="D20818" t="s">
        <v>17</v>
      </c>
      <c r="E20818" t="s">
        <v>12</v>
      </c>
      <c r="F20818">
        <v>76407165</v>
      </c>
      <c r="G20818">
        <v>76407201</v>
      </c>
      <c r="H20818">
        <v>76406909</v>
      </c>
      <c r="I20818">
        <v>76406949</v>
      </c>
    </row>
    <row r="20819" spans="1:9" x14ac:dyDescent="0.2">
      <c r="A20819" t="str">
        <f>"Timm23"</f>
        <v>Timm23</v>
      </c>
      <c r="B20819" t="s">
        <v>14</v>
      </c>
      <c r="C20819" t="s">
        <v>41</v>
      </c>
      <c r="D20819" t="s">
        <v>11</v>
      </c>
      <c r="E20819" t="s">
        <v>12</v>
      </c>
      <c r="F20819">
        <v>32201887</v>
      </c>
      <c r="G20819">
        <v>32201908</v>
      </c>
      <c r="H20819">
        <v>32201887</v>
      </c>
      <c r="I20819">
        <v>32201908</v>
      </c>
    </row>
    <row r="20820" spans="1:9" x14ac:dyDescent="0.2">
      <c r="A20820" t="str">
        <f>"Timm44"</f>
        <v>Timm44</v>
      </c>
      <c r="B20820" t="s">
        <v>14</v>
      </c>
      <c r="C20820" t="s">
        <v>30</v>
      </c>
      <c r="D20820" t="s">
        <v>11</v>
      </c>
      <c r="E20820" t="s">
        <v>12</v>
      </c>
      <c r="F20820">
        <v>4275886</v>
      </c>
      <c r="G20820">
        <v>4275915</v>
      </c>
      <c r="H20820">
        <v>4275886</v>
      </c>
      <c r="I20820">
        <v>4275915</v>
      </c>
    </row>
    <row r="20821" spans="1:9" x14ac:dyDescent="0.2">
      <c r="A20821" t="str">
        <f>"Timm50"</f>
        <v>Timm50</v>
      </c>
      <c r="B20821" t="s">
        <v>14</v>
      </c>
      <c r="C20821" t="s">
        <v>33</v>
      </c>
      <c r="D20821" t="s">
        <v>11</v>
      </c>
      <c r="E20821" t="s">
        <v>12</v>
      </c>
      <c r="F20821">
        <v>28312027</v>
      </c>
      <c r="G20821">
        <v>28312061</v>
      </c>
      <c r="H20821">
        <v>28312027</v>
      </c>
      <c r="I20821">
        <v>28312061</v>
      </c>
    </row>
    <row r="20822" spans="1:9" x14ac:dyDescent="0.2">
      <c r="A20822" t="str">
        <f>"Timm8a1"</f>
        <v>Timm8a1</v>
      </c>
      <c r="B20822" t="s">
        <v>14</v>
      </c>
      <c r="C20822" t="s">
        <v>37</v>
      </c>
      <c r="D20822" t="s">
        <v>11</v>
      </c>
      <c r="E20822" t="s">
        <v>12</v>
      </c>
      <c r="F20822">
        <v>134541847</v>
      </c>
      <c r="G20822">
        <v>134541900</v>
      </c>
      <c r="H20822">
        <v>134541666</v>
      </c>
      <c r="I20822">
        <v>134541672</v>
      </c>
    </row>
    <row r="20823" spans="1:9" x14ac:dyDescent="0.2">
      <c r="A20823" t="str">
        <f>"Timm8a2"</f>
        <v>Timm8a2</v>
      </c>
      <c r="B20823" t="s">
        <v>14</v>
      </c>
      <c r="C20823" t="s">
        <v>41</v>
      </c>
      <c r="D20823" t="s">
        <v>17</v>
      </c>
      <c r="E20823" t="s">
        <v>12</v>
      </c>
      <c r="F20823">
        <v>122034660</v>
      </c>
      <c r="G20823">
        <v>122034677</v>
      </c>
      <c r="H20823">
        <v>122034660</v>
      </c>
      <c r="I20823">
        <v>122034677</v>
      </c>
    </row>
    <row r="20824" spans="1:9" x14ac:dyDescent="0.2">
      <c r="A20824" t="str">
        <f>"Timm8b"</f>
        <v>Timm8b</v>
      </c>
      <c r="B20824" t="s">
        <v>14</v>
      </c>
      <c r="C20824" t="s">
        <v>24</v>
      </c>
      <c r="D20824" t="s">
        <v>17</v>
      </c>
      <c r="E20824" t="s">
        <v>12</v>
      </c>
      <c r="F20824">
        <v>50603907</v>
      </c>
      <c r="G20824">
        <v>50603952</v>
      </c>
      <c r="H20824">
        <v>50603892</v>
      </c>
      <c r="I20824">
        <v>50603903</v>
      </c>
    </row>
    <row r="20825" spans="1:9" x14ac:dyDescent="0.2">
      <c r="A20825" t="str">
        <f>"Timm9"</f>
        <v>Timm9</v>
      </c>
      <c r="B20825" t="s">
        <v>14</v>
      </c>
      <c r="C20825" t="s">
        <v>16</v>
      </c>
      <c r="D20825" t="s">
        <v>11</v>
      </c>
      <c r="E20825" t="s">
        <v>12</v>
      </c>
      <c r="F20825">
        <v>71136611</v>
      </c>
      <c r="G20825">
        <v>71136701</v>
      </c>
      <c r="H20825">
        <v>71136611</v>
      </c>
      <c r="I20825">
        <v>71136701</v>
      </c>
    </row>
    <row r="20826" spans="1:9" x14ac:dyDescent="0.2">
      <c r="A20826" t="str">
        <f>"Timmdc1"</f>
        <v>Timmdc1</v>
      </c>
      <c r="B20826" t="s">
        <v>14</v>
      </c>
      <c r="C20826" t="s">
        <v>31</v>
      </c>
      <c r="D20826" t="s">
        <v>11</v>
      </c>
      <c r="E20826" t="s">
        <v>67</v>
      </c>
      <c r="F20826">
        <v>38522587</v>
      </c>
      <c r="G20826">
        <v>38522652</v>
      </c>
      <c r="H20826">
        <v>38522662</v>
      </c>
      <c r="I20826">
        <v>38522683</v>
      </c>
    </row>
    <row r="20827" spans="1:9" x14ac:dyDescent="0.2">
      <c r="A20827" t="str">
        <f>"Timp1"</f>
        <v>Timp1</v>
      </c>
      <c r="B20827" t="s">
        <v>14</v>
      </c>
      <c r="C20827" t="s">
        <v>37</v>
      </c>
      <c r="D20827" t="s">
        <v>17</v>
      </c>
      <c r="E20827" t="s">
        <v>12</v>
      </c>
      <c r="F20827">
        <v>20870276</v>
      </c>
      <c r="G20827">
        <v>20870298</v>
      </c>
      <c r="H20827">
        <v>20870236</v>
      </c>
      <c r="I20827">
        <v>20870273</v>
      </c>
    </row>
    <row r="20828" spans="1:9" x14ac:dyDescent="0.2">
      <c r="A20828" t="str">
        <f>"Timp2"</f>
        <v>Timp2</v>
      </c>
      <c r="B20828" t="s">
        <v>14</v>
      </c>
      <c r="C20828" t="s">
        <v>27</v>
      </c>
      <c r="D20828" t="s">
        <v>11</v>
      </c>
      <c r="E20828" t="s">
        <v>12</v>
      </c>
      <c r="F20828">
        <v>118355317</v>
      </c>
      <c r="G20828">
        <v>118355334</v>
      </c>
      <c r="H20828">
        <v>118355369</v>
      </c>
      <c r="I20828">
        <v>118355377</v>
      </c>
    </row>
    <row r="20829" spans="1:9" x14ac:dyDescent="0.2">
      <c r="A20829" t="str">
        <f>"Timp3"</f>
        <v>Timp3</v>
      </c>
      <c r="B20829" t="s">
        <v>14</v>
      </c>
      <c r="C20829" t="s">
        <v>15</v>
      </c>
      <c r="D20829" t="s">
        <v>17</v>
      </c>
      <c r="E20829" t="s">
        <v>12</v>
      </c>
      <c r="F20829">
        <v>86300546</v>
      </c>
      <c r="G20829">
        <v>86300562</v>
      </c>
      <c r="H20829">
        <v>86300546</v>
      </c>
      <c r="I20829">
        <v>86300562</v>
      </c>
    </row>
    <row r="20830" spans="1:9" x14ac:dyDescent="0.2">
      <c r="A20830" t="str">
        <f>"Timp4"</f>
        <v>Timp4</v>
      </c>
      <c r="B20830" t="s">
        <v>14</v>
      </c>
      <c r="C20830" t="s">
        <v>32</v>
      </c>
      <c r="D20830" t="s">
        <v>11</v>
      </c>
      <c r="E20830" t="s">
        <v>12</v>
      </c>
      <c r="F20830">
        <v>115251839</v>
      </c>
      <c r="G20830">
        <v>115251867</v>
      </c>
      <c r="H20830">
        <v>115251839</v>
      </c>
      <c r="I20830">
        <v>115251867</v>
      </c>
    </row>
    <row r="20831" spans="1:9" x14ac:dyDescent="0.2">
      <c r="A20831" t="str">
        <f>"Tinag"</f>
        <v>Tinag</v>
      </c>
      <c r="B20831" t="s">
        <v>14</v>
      </c>
      <c r="C20831" t="s">
        <v>24</v>
      </c>
      <c r="D20831" t="s">
        <v>11</v>
      </c>
      <c r="E20831" t="s">
        <v>12</v>
      </c>
      <c r="F20831">
        <v>77045727</v>
      </c>
      <c r="G20831">
        <v>77045742</v>
      </c>
      <c r="H20831">
        <v>77045727</v>
      </c>
      <c r="I20831">
        <v>77045742</v>
      </c>
    </row>
    <row r="20832" spans="1:9" x14ac:dyDescent="0.2">
      <c r="A20832" t="str">
        <f>"Tinagl1"</f>
        <v>Tinagl1</v>
      </c>
      <c r="B20832" t="s">
        <v>14</v>
      </c>
      <c r="C20832" t="s">
        <v>23</v>
      </c>
      <c r="D20832" t="s">
        <v>11</v>
      </c>
      <c r="E20832" t="s">
        <v>12</v>
      </c>
      <c r="F20832">
        <v>130174779</v>
      </c>
      <c r="G20832">
        <v>130174808</v>
      </c>
      <c r="H20832">
        <v>130175113</v>
      </c>
      <c r="I20832">
        <v>130175138</v>
      </c>
    </row>
    <row r="20833" spans="1:9" x14ac:dyDescent="0.2">
      <c r="A20833" t="str">
        <f>"Tinf2"</f>
        <v>Tinf2</v>
      </c>
      <c r="B20833" t="s">
        <v>14</v>
      </c>
      <c r="C20833" t="s">
        <v>41</v>
      </c>
      <c r="D20833" t="s">
        <v>11</v>
      </c>
      <c r="E20833" t="s">
        <v>12</v>
      </c>
      <c r="F20833">
        <v>55681776</v>
      </c>
      <c r="G20833">
        <v>55681818</v>
      </c>
      <c r="H20833">
        <v>55681741</v>
      </c>
      <c r="I20833">
        <v>55681756</v>
      </c>
    </row>
    <row r="20834" spans="1:9" x14ac:dyDescent="0.2">
      <c r="A20834" t="str">
        <f>"Tiparp"</f>
        <v>Tiparp</v>
      </c>
      <c r="B20834" t="s">
        <v>14</v>
      </c>
      <c r="C20834" t="s">
        <v>22</v>
      </c>
      <c r="D20834" t="s">
        <v>17</v>
      </c>
      <c r="E20834" t="s">
        <v>12</v>
      </c>
      <c r="F20834">
        <v>65528434</v>
      </c>
      <c r="G20834">
        <v>65528454</v>
      </c>
      <c r="H20834">
        <v>65528404</v>
      </c>
      <c r="I20834">
        <v>65528431</v>
      </c>
    </row>
    <row r="20835" spans="1:9" x14ac:dyDescent="0.2">
      <c r="A20835" t="str">
        <f>"Tipin"</f>
        <v>Tipin</v>
      </c>
      <c r="B20835" t="s">
        <v>14</v>
      </c>
      <c r="C20835" t="s">
        <v>24</v>
      </c>
      <c r="D20835" t="s">
        <v>17</v>
      </c>
      <c r="E20835" t="s">
        <v>12</v>
      </c>
      <c r="F20835">
        <v>64281575</v>
      </c>
      <c r="G20835">
        <v>64281630</v>
      </c>
      <c r="H20835">
        <v>64281575</v>
      </c>
      <c r="I20835">
        <v>64281630</v>
      </c>
    </row>
    <row r="20836" spans="1:9" x14ac:dyDescent="0.2">
      <c r="A20836" t="str">
        <f>"Tiprl"</f>
        <v>Tiprl</v>
      </c>
      <c r="B20836" t="s">
        <v>14</v>
      </c>
      <c r="C20836" t="s">
        <v>19</v>
      </c>
      <c r="D20836" t="s">
        <v>11</v>
      </c>
      <c r="E20836" t="s">
        <v>12</v>
      </c>
      <c r="F20836">
        <v>165236892</v>
      </c>
      <c r="G20836">
        <v>165236956</v>
      </c>
      <c r="H20836">
        <v>165236980</v>
      </c>
      <c r="I20836">
        <v>165236991</v>
      </c>
    </row>
    <row r="20837" spans="1:9" x14ac:dyDescent="0.2">
      <c r="A20837" t="str">
        <f>"Tirap"</f>
        <v>Tirap</v>
      </c>
      <c r="B20837" t="s">
        <v>14</v>
      </c>
      <c r="C20837" t="s">
        <v>24</v>
      </c>
      <c r="D20837" t="s">
        <v>11</v>
      </c>
      <c r="E20837" t="s">
        <v>12</v>
      </c>
      <c r="F20837">
        <v>35199877</v>
      </c>
      <c r="G20837">
        <v>35199920</v>
      </c>
      <c r="H20837">
        <v>35199922</v>
      </c>
      <c r="I20837">
        <v>35199933</v>
      </c>
    </row>
    <row r="20838" spans="1:9" x14ac:dyDescent="0.2">
      <c r="A20838" t="str">
        <f>"Tjap1"</f>
        <v>Tjap1</v>
      </c>
      <c r="B20838" t="s">
        <v>14</v>
      </c>
      <c r="C20838" t="s">
        <v>28</v>
      </c>
      <c r="D20838" t="s">
        <v>11</v>
      </c>
      <c r="E20838" t="s">
        <v>12</v>
      </c>
      <c r="F20838">
        <v>46282991</v>
      </c>
      <c r="G20838">
        <v>46283026</v>
      </c>
      <c r="H20838">
        <v>46282991</v>
      </c>
      <c r="I20838">
        <v>46283026</v>
      </c>
    </row>
    <row r="20839" spans="1:9" x14ac:dyDescent="0.2">
      <c r="A20839" t="str">
        <f>"Tjp1"</f>
        <v>Tjp1</v>
      </c>
      <c r="B20839" t="s">
        <v>14</v>
      </c>
      <c r="C20839" t="s">
        <v>33</v>
      </c>
      <c r="D20839" t="s">
        <v>11</v>
      </c>
      <c r="E20839" t="s">
        <v>12</v>
      </c>
      <c r="F20839">
        <v>65371210</v>
      </c>
      <c r="G20839">
        <v>65371287</v>
      </c>
      <c r="H20839">
        <v>65370908</v>
      </c>
      <c r="I20839">
        <v>65370948</v>
      </c>
    </row>
    <row r="20840" spans="1:9" x14ac:dyDescent="0.2">
      <c r="A20840" t="str">
        <f>"Tjp2"</f>
        <v>Tjp2</v>
      </c>
      <c r="B20840" t="s">
        <v>5927</v>
      </c>
      <c r="C20840" t="s">
        <v>10</v>
      </c>
      <c r="D20840" t="s">
        <v>11</v>
      </c>
      <c r="E20840" t="s">
        <v>35</v>
      </c>
      <c r="F20840">
        <v>24225181</v>
      </c>
      <c r="G20840">
        <v>24225212</v>
      </c>
      <c r="H20840">
        <v>24224892</v>
      </c>
      <c r="I20840">
        <v>24224909</v>
      </c>
    </row>
    <row r="20841" spans="1:9" x14ac:dyDescent="0.2">
      <c r="A20841" t="str">
        <f>"Tjp3"</f>
        <v>Tjp3</v>
      </c>
      <c r="B20841" t="s">
        <v>14</v>
      </c>
      <c r="C20841" t="s">
        <v>15</v>
      </c>
      <c r="D20841" t="s">
        <v>11</v>
      </c>
      <c r="E20841" t="s">
        <v>12</v>
      </c>
      <c r="F20841">
        <v>81291227</v>
      </c>
      <c r="G20841">
        <v>81291282</v>
      </c>
      <c r="H20841">
        <v>81291180</v>
      </c>
      <c r="I20841">
        <v>81291198</v>
      </c>
    </row>
    <row r="20842" spans="1:9" x14ac:dyDescent="0.2">
      <c r="A20842" t="str">
        <f>"Tk1"</f>
        <v>Tk1</v>
      </c>
      <c r="B20842" t="s">
        <v>14</v>
      </c>
      <c r="C20842" t="s">
        <v>27</v>
      </c>
      <c r="D20842" t="s">
        <v>11</v>
      </c>
      <c r="E20842" t="s">
        <v>12</v>
      </c>
      <c r="F20842">
        <v>117825784</v>
      </c>
      <c r="G20842">
        <v>117825872</v>
      </c>
      <c r="H20842">
        <v>117826034</v>
      </c>
      <c r="I20842">
        <v>117826043</v>
      </c>
    </row>
    <row r="20843" spans="1:9" x14ac:dyDescent="0.2">
      <c r="A20843" t="str">
        <f>"Tk2"</f>
        <v>Tk2</v>
      </c>
      <c r="B20843" t="s">
        <v>14</v>
      </c>
      <c r="C20843" t="s">
        <v>30</v>
      </c>
      <c r="D20843" t="s">
        <v>11</v>
      </c>
      <c r="E20843" t="s">
        <v>12</v>
      </c>
      <c r="F20843">
        <v>104248499</v>
      </c>
      <c r="G20843">
        <v>104248569</v>
      </c>
      <c r="H20843">
        <v>104248499</v>
      </c>
      <c r="I20843">
        <v>104248569</v>
      </c>
    </row>
    <row r="20844" spans="1:9" x14ac:dyDescent="0.2">
      <c r="A20844" t="str">
        <f>"Tkt"</f>
        <v>Tkt</v>
      </c>
      <c r="B20844" t="s">
        <v>14</v>
      </c>
      <c r="C20844" t="s">
        <v>41</v>
      </c>
      <c r="D20844" t="s">
        <v>17</v>
      </c>
      <c r="E20844" t="s">
        <v>12</v>
      </c>
      <c r="F20844">
        <v>30549163</v>
      </c>
      <c r="G20844">
        <v>30549188</v>
      </c>
      <c r="H20844">
        <v>30548354</v>
      </c>
      <c r="I20844">
        <v>30548391</v>
      </c>
    </row>
    <row r="20845" spans="1:9" x14ac:dyDescent="0.2">
      <c r="A20845" t="str">
        <f>"Tktl1"</f>
        <v>Tktl1</v>
      </c>
      <c r="B20845" t="s">
        <v>14</v>
      </c>
      <c r="C20845" t="s">
        <v>37</v>
      </c>
      <c r="D20845" t="s">
        <v>17</v>
      </c>
      <c r="E20845" t="s">
        <v>12</v>
      </c>
      <c r="F20845">
        <v>74177252</v>
      </c>
      <c r="G20845">
        <v>74177268</v>
      </c>
      <c r="H20845">
        <v>74177225</v>
      </c>
      <c r="I20845">
        <v>74177236</v>
      </c>
    </row>
    <row r="20846" spans="1:9" x14ac:dyDescent="0.2">
      <c r="A20846" t="str">
        <f>"Tktl2"</f>
        <v>Tktl2</v>
      </c>
      <c r="B20846" t="s">
        <v>14</v>
      </c>
      <c r="C20846" t="s">
        <v>30</v>
      </c>
      <c r="D20846" t="s">
        <v>17</v>
      </c>
      <c r="E20846" t="s">
        <v>12</v>
      </c>
      <c r="F20846">
        <v>66511751</v>
      </c>
      <c r="G20846">
        <v>66511764</v>
      </c>
      <c r="H20846">
        <v>66511732</v>
      </c>
      <c r="I20846">
        <v>66511743</v>
      </c>
    </row>
    <row r="20847" spans="1:9" x14ac:dyDescent="0.2">
      <c r="A20847" t="str">
        <f>"Tlcd1"</f>
        <v>Tlcd1</v>
      </c>
      <c r="B20847" t="s">
        <v>14</v>
      </c>
      <c r="C20847" t="s">
        <v>27</v>
      </c>
      <c r="D20847" t="s">
        <v>17</v>
      </c>
      <c r="E20847" t="s">
        <v>12</v>
      </c>
      <c r="F20847">
        <v>78178703</v>
      </c>
      <c r="G20847">
        <v>78178772</v>
      </c>
      <c r="H20847">
        <v>78178105</v>
      </c>
      <c r="I20847">
        <v>78178147</v>
      </c>
    </row>
    <row r="20848" spans="1:9" x14ac:dyDescent="0.2">
      <c r="A20848" t="str">
        <f>"Tlcd2"</f>
        <v>Tlcd2</v>
      </c>
      <c r="B20848" t="s">
        <v>14</v>
      </c>
      <c r="C20848" t="s">
        <v>27</v>
      </c>
      <c r="D20848" t="s">
        <v>17</v>
      </c>
      <c r="E20848" t="s">
        <v>12</v>
      </c>
      <c r="F20848">
        <v>75468040</v>
      </c>
      <c r="G20848">
        <v>75468096</v>
      </c>
      <c r="H20848">
        <v>75468040</v>
      </c>
      <c r="I20848">
        <v>75468096</v>
      </c>
    </row>
    <row r="20849" spans="1:9" x14ac:dyDescent="0.2">
      <c r="A20849" t="str">
        <f>"Tldc1"</f>
        <v>Tldc1</v>
      </c>
      <c r="B20849" t="s">
        <v>14</v>
      </c>
      <c r="C20849" t="s">
        <v>30</v>
      </c>
      <c r="D20849" t="s">
        <v>11</v>
      </c>
      <c r="E20849" t="s">
        <v>67</v>
      </c>
      <c r="F20849">
        <v>119778380</v>
      </c>
      <c r="G20849">
        <v>119778431</v>
      </c>
      <c r="H20849">
        <v>119778369</v>
      </c>
      <c r="I20849">
        <v>119778376</v>
      </c>
    </row>
    <row r="20850" spans="1:9" x14ac:dyDescent="0.2">
      <c r="A20850" t="str">
        <f>"Tldc2"</f>
        <v>Tldc2</v>
      </c>
      <c r="B20850" t="s">
        <v>14</v>
      </c>
      <c r="C20850" t="s">
        <v>26</v>
      </c>
      <c r="D20850" t="s">
        <v>17</v>
      </c>
      <c r="E20850" t="s">
        <v>67</v>
      </c>
      <c r="F20850">
        <v>157086998</v>
      </c>
      <c r="G20850">
        <v>157087041</v>
      </c>
      <c r="H20850">
        <v>157087042</v>
      </c>
      <c r="I20850">
        <v>157087054</v>
      </c>
    </row>
    <row r="20851" spans="1:9" x14ac:dyDescent="0.2">
      <c r="A20851" t="str">
        <f>"Tle1"</f>
        <v>Tle1</v>
      </c>
      <c r="B20851" t="s">
        <v>14</v>
      </c>
      <c r="C20851" t="s">
        <v>23</v>
      </c>
      <c r="D20851" t="s">
        <v>11</v>
      </c>
      <c r="E20851" t="s">
        <v>12</v>
      </c>
      <c r="F20851">
        <v>72200833</v>
      </c>
      <c r="G20851">
        <v>72200928</v>
      </c>
      <c r="H20851">
        <v>72200929</v>
      </c>
      <c r="I20851">
        <v>72200948</v>
      </c>
    </row>
    <row r="20852" spans="1:9" x14ac:dyDescent="0.2">
      <c r="A20852" t="str">
        <f>"Tle2"</f>
        <v>Tle2</v>
      </c>
      <c r="B20852" t="s">
        <v>14</v>
      </c>
      <c r="C20852" t="s">
        <v>15</v>
      </c>
      <c r="D20852" t="s">
        <v>17</v>
      </c>
      <c r="E20852" t="s">
        <v>12</v>
      </c>
      <c r="F20852">
        <v>81575277</v>
      </c>
      <c r="G20852">
        <v>81575301</v>
      </c>
      <c r="H20852">
        <v>81575306</v>
      </c>
      <c r="I20852">
        <v>81575327</v>
      </c>
    </row>
    <row r="20853" spans="1:9" x14ac:dyDescent="0.2">
      <c r="A20853" t="str">
        <f>"Tle3"</f>
        <v>Tle3</v>
      </c>
      <c r="B20853" t="s">
        <v>14</v>
      </c>
      <c r="C20853" t="s">
        <v>24</v>
      </c>
      <c r="D20853" t="s">
        <v>17</v>
      </c>
      <c r="E20853" t="s">
        <v>12</v>
      </c>
      <c r="F20853">
        <v>61372465</v>
      </c>
      <c r="G20853">
        <v>61372478</v>
      </c>
      <c r="H20853">
        <v>61372359</v>
      </c>
      <c r="I20853">
        <v>61372383</v>
      </c>
    </row>
    <row r="20854" spans="1:9" x14ac:dyDescent="0.2">
      <c r="A20854" t="str">
        <f>"Tle4"</f>
        <v>Tle4</v>
      </c>
      <c r="B20854" t="s">
        <v>14</v>
      </c>
      <c r="C20854" t="s">
        <v>10</v>
      </c>
      <c r="D20854" t="s">
        <v>11</v>
      </c>
      <c r="E20854" t="s">
        <v>12</v>
      </c>
      <c r="F20854">
        <v>14598031</v>
      </c>
      <c r="G20854">
        <v>14598088</v>
      </c>
      <c r="H20854">
        <v>14598031</v>
      </c>
      <c r="I20854">
        <v>14598088</v>
      </c>
    </row>
    <row r="20855" spans="1:9" x14ac:dyDescent="0.2">
      <c r="A20855" t="str">
        <f>"Tle6"</f>
        <v>Tle6</v>
      </c>
      <c r="B20855" t="s">
        <v>9</v>
      </c>
      <c r="C20855" t="s">
        <v>15</v>
      </c>
      <c r="D20855" t="s">
        <v>11</v>
      </c>
      <c r="E20855" t="s">
        <v>12</v>
      </c>
      <c r="F20855">
        <v>81597601</v>
      </c>
      <c r="G20855">
        <v>81597629</v>
      </c>
      <c r="H20855">
        <v>81597601</v>
      </c>
      <c r="I20855">
        <v>81597629</v>
      </c>
    </row>
    <row r="20856" spans="1:9" x14ac:dyDescent="0.2">
      <c r="A20856" t="str">
        <f>"Tle6"</f>
        <v>Tle6</v>
      </c>
      <c r="B20856" t="s">
        <v>13</v>
      </c>
      <c r="C20856" t="s">
        <v>15</v>
      </c>
      <c r="D20856" t="s">
        <v>11</v>
      </c>
      <c r="E20856" t="s">
        <v>12</v>
      </c>
      <c r="F20856">
        <v>81600863</v>
      </c>
      <c r="G20856">
        <v>81600881</v>
      </c>
      <c r="H20856">
        <v>81600863</v>
      </c>
      <c r="I20856">
        <v>81600881</v>
      </c>
    </row>
    <row r="20857" spans="1:9" x14ac:dyDescent="0.2">
      <c r="A20857" t="str">
        <f>"Tlk1"</f>
        <v>Tlk1</v>
      </c>
      <c r="B20857" t="s">
        <v>14</v>
      </c>
      <c r="C20857" t="s">
        <v>26</v>
      </c>
      <c r="D20857" t="s">
        <v>11</v>
      </c>
      <c r="E20857" t="s">
        <v>12</v>
      </c>
      <c r="F20857">
        <v>70825726</v>
      </c>
      <c r="G20857">
        <v>70825820</v>
      </c>
      <c r="H20857">
        <v>70825403</v>
      </c>
      <c r="I20857">
        <v>70825455</v>
      </c>
    </row>
    <row r="20858" spans="1:9" x14ac:dyDescent="0.2">
      <c r="A20858" t="str">
        <f>"Tlk2"</f>
        <v>Tlk2</v>
      </c>
      <c r="B20858" t="s">
        <v>14</v>
      </c>
      <c r="C20858" t="s">
        <v>27</v>
      </c>
      <c r="D20858" t="s">
        <v>17</v>
      </c>
      <c r="E20858" t="s">
        <v>12</v>
      </c>
      <c r="F20858">
        <v>105181546</v>
      </c>
      <c r="G20858">
        <v>105181598</v>
      </c>
      <c r="H20858">
        <v>105181858</v>
      </c>
      <c r="I20858">
        <v>105181892</v>
      </c>
    </row>
    <row r="20859" spans="1:9" x14ac:dyDescent="0.2">
      <c r="A20859" t="str">
        <f>"Tll1"</f>
        <v>Tll1</v>
      </c>
      <c r="B20859" t="s">
        <v>14</v>
      </c>
      <c r="C20859" t="s">
        <v>30</v>
      </c>
      <c r="D20859" t="s">
        <v>11</v>
      </c>
      <c r="E20859" t="s">
        <v>12</v>
      </c>
      <c r="F20859">
        <v>64205970</v>
      </c>
      <c r="G20859">
        <v>64206011</v>
      </c>
      <c r="H20859">
        <v>64205833</v>
      </c>
      <c r="I20859">
        <v>64205866</v>
      </c>
    </row>
    <row r="20860" spans="1:9" x14ac:dyDescent="0.2">
      <c r="A20860" t="str">
        <f>"Tll2"</f>
        <v>Tll2</v>
      </c>
      <c r="B20860" t="s">
        <v>14</v>
      </c>
      <c r="C20860" t="s">
        <v>10</v>
      </c>
      <c r="D20860" t="s">
        <v>11</v>
      </c>
      <c r="E20860" t="s">
        <v>12</v>
      </c>
      <c r="F20860">
        <v>41206860</v>
      </c>
      <c r="G20860">
        <v>41206898</v>
      </c>
      <c r="H20860">
        <v>41206860</v>
      </c>
      <c r="I20860">
        <v>41206898</v>
      </c>
    </row>
    <row r="20861" spans="1:9" x14ac:dyDescent="0.2">
      <c r="A20861" t="str">
        <f>"Tln1"</f>
        <v>Tln1</v>
      </c>
      <c r="B20861" t="s">
        <v>14</v>
      </c>
      <c r="C20861" t="s">
        <v>23</v>
      </c>
      <c r="D20861" t="s">
        <v>11</v>
      </c>
      <c r="E20861" t="s">
        <v>12</v>
      </c>
      <c r="F20861">
        <v>43562397</v>
      </c>
      <c r="G20861">
        <v>43562430</v>
      </c>
      <c r="H20861">
        <v>43562212</v>
      </c>
      <c r="I20861">
        <v>43562255</v>
      </c>
    </row>
    <row r="20862" spans="1:9" x14ac:dyDescent="0.2">
      <c r="A20862" t="str">
        <f>"Tln2"</f>
        <v>Tln2</v>
      </c>
      <c r="B20862" t="s">
        <v>5928</v>
      </c>
      <c r="C20862" t="s">
        <v>24</v>
      </c>
      <c r="D20862" t="s">
        <v>11</v>
      </c>
      <c r="E20862" t="s">
        <v>20</v>
      </c>
      <c r="F20862">
        <v>67539391</v>
      </c>
      <c r="G20862">
        <v>67539391</v>
      </c>
      <c r="H20862">
        <v>67539391</v>
      </c>
      <c r="I20862">
        <v>67539391</v>
      </c>
    </row>
    <row r="20863" spans="1:9" x14ac:dyDescent="0.2">
      <c r="A20863" t="str">
        <f>"Tln2"</f>
        <v>Tln2</v>
      </c>
      <c r="B20863" t="s">
        <v>5929</v>
      </c>
      <c r="C20863" t="s">
        <v>24</v>
      </c>
      <c r="D20863" t="s">
        <v>11</v>
      </c>
      <c r="E20863" t="s">
        <v>20</v>
      </c>
      <c r="F20863">
        <v>67559702</v>
      </c>
      <c r="G20863">
        <v>67559702</v>
      </c>
      <c r="H20863">
        <v>67559702</v>
      </c>
      <c r="I20863">
        <v>67559702</v>
      </c>
    </row>
    <row r="20864" spans="1:9" x14ac:dyDescent="0.2">
      <c r="A20864" t="str">
        <f>"Tlr1"</f>
        <v>Tlr1</v>
      </c>
      <c r="B20864" t="s">
        <v>14</v>
      </c>
      <c r="C20864" t="s">
        <v>46</v>
      </c>
      <c r="D20864" t="s">
        <v>11</v>
      </c>
      <c r="E20864" t="s">
        <v>12</v>
      </c>
      <c r="F20864">
        <v>64933550</v>
      </c>
      <c r="G20864">
        <v>64933606</v>
      </c>
      <c r="H20864">
        <v>64933550</v>
      </c>
      <c r="I20864">
        <v>64933606</v>
      </c>
    </row>
    <row r="20865" spans="1:9" x14ac:dyDescent="0.2">
      <c r="A20865" t="str">
        <f>"Tlr11"</f>
        <v>Tlr11</v>
      </c>
      <c r="B20865" t="s">
        <v>5930</v>
      </c>
      <c r="C20865" t="s">
        <v>41</v>
      </c>
      <c r="D20865" t="s">
        <v>17</v>
      </c>
      <c r="E20865" t="s">
        <v>20</v>
      </c>
      <c r="F20865">
        <v>50357913</v>
      </c>
      <c r="G20865">
        <v>50357913</v>
      </c>
      <c r="H20865">
        <v>50357913</v>
      </c>
      <c r="I20865">
        <v>50357913</v>
      </c>
    </row>
    <row r="20866" spans="1:9" x14ac:dyDescent="0.2">
      <c r="A20866" t="str">
        <f>"Tlr12"</f>
        <v>Tlr12</v>
      </c>
      <c r="B20866" t="s">
        <v>14</v>
      </c>
      <c r="C20866" t="s">
        <v>23</v>
      </c>
      <c r="D20866" t="s">
        <v>11</v>
      </c>
      <c r="E20866" t="s">
        <v>12</v>
      </c>
      <c r="F20866">
        <v>128618572</v>
      </c>
      <c r="G20866">
        <v>128618597</v>
      </c>
      <c r="H20866">
        <v>128618609</v>
      </c>
      <c r="I20866">
        <v>128618625</v>
      </c>
    </row>
    <row r="20867" spans="1:9" x14ac:dyDescent="0.2">
      <c r="A20867" t="str">
        <f>"Tlr13"</f>
        <v>Tlr13</v>
      </c>
      <c r="B20867" t="s">
        <v>14</v>
      </c>
      <c r="C20867" t="s">
        <v>37</v>
      </c>
      <c r="D20867" t="s">
        <v>17</v>
      </c>
      <c r="E20867" t="s">
        <v>12</v>
      </c>
      <c r="F20867">
        <v>106143243</v>
      </c>
      <c r="G20867">
        <v>106143302</v>
      </c>
      <c r="H20867">
        <v>106143199</v>
      </c>
      <c r="I20867">
        <v>106143214</v>
      </c>
    </row>
    <row r="20868" spans="1:9" x14ac:dyDescent="0.2">
      <c r="A20868" t="str">
        <f>"Tlr2"</f>
        <v>Tlr2</v>
      </c>
      <c r="B20868" t="s">
        <v>14</v>
      </c>
      <c r="C20868" t="s">
        <v>22</v>
      </c>
      <c r="D20868" t="s">
        <v>11</v>
      </c>
      <c r="E20868" t="s">
        <v>12</v>
      </c>
      <c r="F20868">
        <v>83841575</v>
      </c>
      <c r="G20868">
        <v>83841613</v>
      </c>
      <c r="H20868">
        <v>83841555</v>
      </c>
      <c r="I20868">
        <v>83841568</v>
      </c>
    </row>
    <row r="20869" spans="1:9" x14ac:dyDescent="0.2">
      <c r="A20869" t="str">
        <f>"Tlr3"</f>
        <v>Tlr3</v>
      </c>
      <c r="B20869" t="s">
        <v>14</v>
      </c>
      <c r="C20869" t="s">
        <v>30</v>
      </c>
      <c r="D20869" t="s">
        <v>11</v>
      </c>
      <c r="E20869" t="s">
        <v>12</v>
      </c>
      <c r="F20869">
        <v>45410527</v>
      </c>
      <c r="G20869">
        <v>45410602</v>
      </c>
      <c r="H20869">
        <v>45410330</v>
      </c>
      <c r="I20869">
        <v>45410359</v>
      </c>
    </row>
    <row r="20870" spans="1:9" x14ac:dyDescent="0.2">
      <c r="A20870" t="str">
        <f>"Tlr4"</f>
        <v>Tlr4</v>
      </c>
      <c r="B20870" t="s">
        <v>14</v>
      </c>
      <c r="C20870" t="s">
        <v>23</v>
      </c>
      <c r="D20870" t="s">
        <v>17</v>
      </c>
      <c r="E20870" t="s">
        <v>12</v>
      </c>
      <c r="F20870">
        <v>66827545</v>
      </c>
      <c r="G20870">
        <v>66827617</v>
      </c>
      <c r="H20870">
        <v>66827735</v>
      </c>
      <c r="I20870">
        <v>66827766</v>
      </c>
    </row>
    <row r="20871" spans="1:9" x14ac:dyDescent="0.2">
      <c r="A20871" t="str">
        <f>"Tlr5"</f>
        <v>Tlr5</v>
      </c>
      <c r="B20871" t="s">
        <v>14</v>
      </c>
      <c r="C20871" t="s">
        <v>19</v>
      </c>
      <c r="D20871" t="s">
        <v>17</v>
      </c>
      <c r="E20871" t="s">
        <v>12</v>
      </c>
      <c r="F20871">
        <v>182954770</v>
      </c>
      <c r="G20871">
        <v>182954828</v>
      </c>
      <c r="H20871">
        <v>182954770</v>
      </c>
      <c r="I20871">
        <v>182954828</v>
      </c>
    </row>
    <row r="20872" spans="1:9" x14ac:dyDescent="0.2">
      <c r="A20872" t="str">
        <f>"Tlr6"</f>
        <v>Tlr6</v>
      </c>
      <c r="B20872" t="s">
        <v>14</v>
      </c>
      <c r="C20872" t="s">
        <v>46</v>
      </c>
      <c r="D20872" t="s">
        <v>11</v>
      </c>
      <c r="E20872" t="s">
        <v>12</v>
      </c>
      <c r="F20872">
        <v>64960088</v>
      </c>
      <c r="G20872">
        <v>64960102</v>
      </c>
      <c r="H20872">
        <v>64960042</v>
      </c>
      <c r="I20872">
        <v>64960053</v>
      </c>
    </row>
    <row r="20873" spans="1:9" x14ac:dyDescent="0.2">
      <c r="A20873" t="str">
        <f>"Tlr7"</f>
        <v>Tlr7</v>
      </c>
      <c r="B20873" t="s">
        <v>14</v>
      </c>
      <c r="C20873" t="s">
        <v>37</v>
      </c>
      <c r="D20873" t="s">
        <v>11</v>
      </c>
      <c r="E20873" t="s">
        <v>12</v>
      </c>
      <c r="F20873">
        <v>167330509</v>
      </c>
      <c r="G20873">
        <v>167330579</v>
      </c>
      <c r="H20873">
        <v>167330509</v>
      </c>
      <c r="I20873">
        <v>167330579</v>
      </c>
    </row>
    <row r="20874" spans="1:9" x14ac:dyDescent="0.2">
      <c r="A20874" t="str">
        <f>"Tlr8"</f>
        <v>Tlr8</v>
      </c>
      <c r="B20874" t="s">
        <v>14</v>
      </c>
      <c r="C20874" t="s">
        <v>37</v>
      </c>
      <c r="D20874" t="s">
        <v>11</v>
      </c>
      <c r="E20874" t="s">
        <v>12</v>
      </c>
      <c r="F20874">
        <v>167264217</v>
      </c>
      <c r="G20874">
        <v>167264266</v>
      </c>
      <c r="H20874">
        <v>167264217</v>
      </c>
      <c r="I20874">
        <v>167264266</v>
      </c>
    </row>
    <row r="20875" spans="1:9" x14ac:dyDescent="0.2">
      <c r="A20875" t="str">
        <f>"Tlr9"</f>
        <v>Tlr9</v>
      </c>
      <c r="B20875" t="s">
        <v>14</v>
      </c>
      <c r="C20875" t="s">
        <v>24</v>
      </c>
      <c r="D20875" t="s">
        <v>17</v>
      </c>
      <c r="E20875" t="s">
        <v>12</v>
      </c>
      <c r="F20875">
        <v>106222598</v>
      </c>
      <c r="G20875">
        <v>106222629</v>
      </c>
      <c r="H20875">
        <v>106222638</v>
      </c>
      <c r="I20875">
        <v>106222666</v>
      </c>
    </row>
    <row r="20876" spans="1:9" x14ac:dyDescent="0.2">
      <c r="A20876" t="str">
        <f>"Tlx1"</f>
        <v>Tlx1</v>
      </c>
      <c r="B20876" t="s">
        <v>14</v>
      </c>
      <c r="C20876" t="s">
        <v>10</v>
      </c>
      <c r="D20876" t="s">
        <v>17</v>
      </c>
      <c r="E20876" t="s">
        <v>12</v>
      </c>
      <c r="F20876">
        <v>45150659</v>
      </c>
      <c r="G20876">
        <v>45150696</v>
      </c>
      <c r="H20876">
        <v>45150786</v>
      </c>
      <c r="I20876">
        <v>45150814</v>
      </c>
    </row>
    <row r="20877" spans="1:9" x14ac:dyDescent="0.2">
      <c r="A20877" t="str">
        <f>"Tlx2"</f>
        <v>Tlx2</v>
      </c>
      <c r="B20877" t="s">
        <v>14</v>
      </c>
      <c r="C20877" t="s">
        <v>32</v>
      </c>
      <c r="D20877" t="s">
        <v>11</v>
      </c>
      <c r="E20877" t="s">
        <v>12</v>
      </c>
      <c r="F20877">
        <v>83070361</v>
      </c>
      <c r="G20877">
        <v>83070377</v>
      </c>
      <c r="H20877">
        <v>83070249</v>
      </c>
      <c r="I20877">
        <v>83070256</v>
      </c>
    </row>
    <row r="20878" spans="1:9" x14ac:dyDescent="0.2">
      <c r="A20878" t="str">
        <f>"Tlx3"</f>
        <v>Tlx3</v>
      </c>
      <c r="B20878" t="s">
        <v>14</v>
      </c>
      <c r="C20878" t="s">
        <v>27</v>
      </c>
      <c r="D20878" t="s">
        <v>11</v>
      </c>
      <c r="E20878" t="s">
        <v>12</v>
      </c>
      <c r="F20878">
        <v>33203563</v>
      </c>
      <c r="G20878">
        <v>33203583</v>
      </c>
      <c r="H20878">
        <v>33203600</v>
      </c>
      <c r="I20878">
        <v>33203611</v>
      </c>
    </row>
    <row r="20879" spans="1:9" x14ac:dyDescent="0.2">
      <c r="A20879" t="str">
        <f>"Tm2d1"</f>
        <v>Tm2d1</v>
      </c>
      <c r="B20879" t="s">
        <v>14</v>
      </c>
      <c r="C20879" t="s">
        <v>23</v>
      </c>
      <c r="D20879" t="s">
        <v>11</v>
      </c>
      <c r="E20879" t="s">
        <v>12</v>
      </c>
      <c r="F20879">
        <v>98383232</v>
      </c>
      <c r="G20879">
        <v>98383280</v>
      </c>
      <c r="H20879">
        <v>98383107</v>
      </c>
      <c r="I20879">
        <v>98383109</v>
      </c>
    </row>
    <row r="20880" spans="1:9" x14ac:dyDescent="0.2">
      <c r="A20880" t="str">
        <f>"Tm2d2"</f>
        <v>Tm2d2</v>
      </c>
      <c r="B20880" t="s">
        <v>14</v>
      </c>
      <c r="C20880" t="s">
        <v>30</v>
      </c>
      <c r="D20880" t="s">
        <v>17</v>
      </c>
      <c r="E20880" t="s">
        <v>12</v>
      </c>
      <c r="F20880">
        <v>25017252</v>
      </c>
      <c r="G20880">
        <v>25017305</v>
      </c>
      <c r="H20880">
        <v>25017306</v>
      </c>
      <c r="I20880">
        <v>25017320</v>
      </c>
    </row>
    <row r="20881" spans="1:9" x14ac:dyDescent="0.2">
      <c r="A20881" t="str">
        <f>"Tm2d3"</f>
        <v>Tm2d3</v>
      </c>
      <c r="B20881" t="s">
        <v>14</v>
      </c>
      <c r="C20881" t="s">
        <v>33</v>
      </c>
      <c r="D20881" t="s">
        <v>17</v>
      </c>
      <c r="E20881" t="s">
        <v>12</v>
      </c>
      <c r="F20881">
        <v>65693447</v>
      </c>
      <c r="G20881">
        <v>65693477</v>
      </c>
      <c r="H20881">
        <v>65693439</v>
      </c>
      <c r="I20881">
        <v>65693446</v>
      </c>
    </row>
    <row r="20882" spans="1:9" x14ac:dyDescent="0.2">
      <c r="A20882" t="str">
        <f>"Tm4sf1"</f>
        <v>Tm4sf1</v>
      </c>
      <c r="B20882" t="s">
        <v>14</v>
      </c>
      <c r="C20882" t="s">
        <v>22</v>
      </c>
      <c r="D20882" t="s">
        <v>11</v>
      </c>
      <c r="E20882" t="s">
        <v>12</v>
      </c>
      <c r="F20882">
        <v>57294880</v>
      </c>
      <c r="G20882">
        <v>57294899</v>
      </c>
      <c r="H20882">
        <v>57294910</v>
      </c>
      <c r="I20882">
        <v>57294921</v>
      </c>
    </row>
    <row r="20883" spans="1:9" x14ac:dyDescent="0.2">
      <c r="A20883" t="str">
        <f>"Tm4sf19"</f>
        <v>Tm4sf19</v>
      </c>
      <c r="B20883" t="s">
        <v>14</v>
      </c>
      <c r="C20883" t="s">
        <v>31</v>
      </c>
      <c r="D20883" t="s">
        <v>17</v>
      </c>
      <c r="E20883" t="s">
        <v>12</v>
      </c>
      <c r="F20883">
        <v>32400821</v>
      </c>
      <c r="G20883">
        <v>32400834</v>
      </c>
      <c r="H20883">
        <v>32400821</v>
      </c>
      <c r="I20883">
        <v>32400834</v>
      </c>
    </row>
    <row r="20884" spans="1:9" x14ac:dyDescent="0.2">
      <c r="A20884" t="str">
        <f>"Tm4sf20"</f>
        <v>Tm4sf20</v>
      </c>
      <c r="B20884" t="s">
        <v>14</v>
      </c>
      <c r="C20884" t="s">
        <v>19</v>
      </c>
      <c r="D20884" t="s">
        <v>11</v>
      </c>
      <c r="E20884" t="s">
        <v>12</v>
      </c>
      <c r="F20884">
        <v>82768449</v>
      </c>
      <c r="G20884">
        <v>82768465</v>
      </c>
      <c r="H20884">
        <v>82768449</v>
      </c>
      <c r="I20884">
        <v>82768465</v>
      </c>
    </row>
    <row r="20885" spans="1:9" x14ac:dyDescent="0.2">
      <c r="A20885" t="str">
        <f>"Tm4sf4"</f>
        <v>Tm4sf4</v>
      </c>
      <c r="B20885" t="s">
        <v>14</v>
      </c>
      <c r="C20885" t="s">
        <v>22</v>
      </c>
      <c r="D20885" t="s">
        <v>17</v>
      </c>
      <c r="E20885" t="s">
        <v>12</v>
      </c>
      <c r="F20885">
        <v>57425434</v>
      </c>
      <c r="G20885">
        <v>57425452</v>
      </c>
      <c r="H20885">
        <v>57425434</v>
      </c>
      <c r="I20885">
        <v>57425452</v>
      </c>
    </row>
    <row r="20886" spans="1:9" x14ac:dyDescent="0.2">
      <c r="A20886" t="str">
        <f>"Tm4sf5"</f>
        <v>Tm4sf5</v>
      </c>
      <c r="B20886" t="s">
        <v>14</v>
      </c>
      <c r="C20886" t="s">
        <v>27</v>
      </c>
      <c r="D20886" t="s">
        <v>17</v>
      </c>
      <c r="E20886" t="s">
        <v>12</v>
      </c>
      <c r="F20886">
        <v>70505255</v>
      </c>
      <c r="G20886">
        <v>70505312</v>
      </c>
      <c r="H20886">
        <v>70505314</v>
      </c>
      <c r="I20886">
        <v>70505332</v>
      </c>
    </row>
    <row r="20887" spans="1:9" x14ac:dyDescent="0.2">
      <c r="A20887" t="str">
        <f>"Tm6sf1"</f>
        <v>Tm6sf1</v>
      </c>
      <c r="B20887" t="s">
        <v>9</v>
      </c>
      <c r="C20887" t="s">
        <v>33</v>
      </c>
      <c r="D20887" t="s">
        <v>17</v>
      </c>
      <c r="E20887" t="s">
        <v>12</v>
      </c>
      <c r="F20887">
        <v>81859063</v>
      </c>
      <c r="G20887">
        <v>81859125</v>
      </c>
      <c r="H20887">
        <v>81859063</v>
      </c>
      <c r="I20887">
        <v>81859125</v>
      </c>
    </row>
    <row r="20888" spans="1:9" x14ac:dyDescent="0.2">
      <c r="A20888" t="str">
        <f>"Tm6sf1"</f>
        <v>Tm6sf1</v>
      </c>
      <c r="B20888" t="s">
        <v>13</v>
      </c>
      <c r="C20888" t="s">
        <v>33</v>
      </c>
      <c r="D20888" t="s">
        <v>17</v>
      </c>
      <c r="E20888" t="s">
        <v>12</v>
      </c>
      <c r="F20888">
        <v>81862624</v>
      </c>
      <c r="G20888">
        <v>81862659</v>
      </c>
      <c r="H20888">
        <v>81862624</v>
      </c>
      <c r="I20888">
        <v>81862659</v>
      </c>
    </row>
    <row r="20889" spans="1:9" x14ac:dyDescent="0.2">
      <c r="A20889" t="str">
        <f>"Tm6sf2"</f>
        <v>Tm6sf2</v>
      </c>
      <c r="B20889" t="s">
        <v>14</v>
      </c>
      <c r="C20889" t="s">
        <v>30</v>
      </c>
      <c r="D20889" t="s">
        <v>17</v>
      </c>
      <c r="E20889" t="s">
        <v>12</v>
      </c>
      <c r="F20889">
        <v>70072896</v>
      </c>
      <c r="G20889">
        <v>70072961</v>
      </c>
      <c r="H20889">
        <v>70072810</v>
      </c>
      <c r="I20889">
        <v>70072822</v>
      </c>
    </row>
    <row r="20890" spans="1:9" x14ac:dyDescent="0.2">
      <c r="A20890" t="str">
        <f>"Tm7sf2"</f>
        <v>Tm7sf2</v>
      </c>
      <c r="B20890" t="s">
        <v>14</v>
      </c>
      <c r="C20890" t="s">
        <v>10</v>
      </c>
      <c r="D20890" t="s">
        <v>11</v>
      </c>
      <c r="E20890" t="s">
        <v>12</v>
      </c>
      <c r="F20890">
        <v>6067795</v>
      </c>
      <c r="G20890">
        <v>6067865</v>
      </c>
      <c r="H20890">
        <v>6067094</v>
      </c>
      <c r="I20890">
        <v>6067107</v>
      </c>
    </row>
    <row r="20891" spans="1:9" x14ac:dyDescent="0.2">
      <c r="A20891" t="str">
        <f>"Tm7sf3"</f>
        <v>Tm7sf3</v>
      </c>
      <c r="B20891" t="s">
        <v>14</v>
      </c>
      <c r="C20891" t="s">
        <v>32</v>
      </c>
      <c r="D20891" t="s">
        <v>11</v>
      </c>
      <c r="E20891" t="s">
        <v>12</v>
      </c>
      <c r="F20891">
        <v>146634527</v>
      </c>
      <c r="G20891">
        <v>146634580</v>
      </c>
      <c r="H20891">
        <v>146634453</v>
      </c>
      <c r="I20891">
        <v>146634493</v>
      </c>
    </row>
    <row r="20892" spans="1:9" x14ac:dyDescent="0.2">
      <c r="A20892" t="str">
        <f>"Tm9sf1"</f>
        <v>Tm9sf1</v>
      </c>
      <c r="B20892" t="s">
        <v>14</v>
      </c>
      <c r="C20892" t="s">
        <v>41</v>
      </c>
      <c r="D20892" t="s">
        <v>11</v>
      </c>
      <c r="E20892" t="s">
        <v>12</v>
      </c>
      <c r="F20892">
        <v>55643306</v>
      </c>
      <c r="G20892">
        <v>55643382</v>
      </c>
      <c r="H20892">
        <v>55643543</v>
      </c>
      <c r="I20892">
        <v>55643600</v>
      </c>
    </row>
    <row r="20893" spans="1:9" x14ac:dyDescent="0.2">
      <c r="A20893" t="str">
        <f>"Tm9sf2"</f>
        <v>Tm9sf2</v>
      </c>
      <c r="B20893" t="s">
        <v>14</v>
      </c>
      <c r="C20893" t="s">
        <v>41</v>
      </c>
      <c r="D20893" t="s">
        <v>17</v>
      </c>
      <c r="E20893" t="s">
        <v>12</v>
      </c>
      <c r="F20893">
        <v>122107119</v>
      </c>
      <c r="G20893">
        <v>122107172</v>
      </c>
      <c r="H20893">
        <v>122107076</v>
      </c>
      <c r="I20893">
        <v>122107116</v>
      </c>
    </row>
    <row r="20894" spans="1:9" x14ac:dyDescent="0.2">
      <c r="A20894" t="str">
        <f>"Tm9sf3"</f>
        <v>Tm9sf3</v>
      </c>
      <c r="B20894" t="s">
        <v>14</v>
      </c>
      <c r="C20894" t="s">
        <v>10</v>
      </c>
      <c r="D20894" t="s">
        <v>11</v>
      </c>
      <c r="E20894" t="s">
        <v>12</v>
      </c>
      <c r="F20894">
        <v>41263931</v>
      </c>
      <c r="G20894">
        <v>41264008</v>
      </c>
      <c r="H20894">
        <v>41264019</v>
      </c>
      <c r="I20894">
        <v>41264054</v>
      </c>
    </row>
    <row r="20895" spans="1:9" x14ac:dyDescent="0.2">
      <c r="A20895" t="str">
        <f>"Tm9sf4"</f>
        <v>Tm9sf4</v>
      </c>
      <c r="B20895" t="s">
        <v>14</v>
      </c>
      <c r="C20895" t="s">
        <v>26</v>
      </c>
      <c r="D20895" t="s">
        <v>17</v>
      </c>
      <c r="E20895" t="s">
        <v>12</v>
      </c>
      <c r="F20895">
        <v>153161524</v>
      </c>
      <c r="G20895">
        <v>153161553</v>
      </c>
      <c r="H20895">
        <v>153161321</v>
      </c>
      <c r="I20895">
        <v>153161339</v>
      </c>
    </row>
    <row r="20896" spans="1:9" x14ac:dyDescent="0.2">
      <c r="A20896" t="str">
        <f>"Tma16"</f>
        <v>Tma16</v>
      </c>
      <c r="B20896" t="s">
        <v>14</v>
      </c>
      <c r="C20896" t="s">
        <v>30</v>
      </c>
      <c r="D20896" t="s">
        <v>11</v>
      </c>
      <c r="E20896" t="s">
        <v>67</v>
      </c>
      <c r="F20896">
        <v>66486494</v>
      </c>
      <c r="G20896">
        <v>66486539</v>
      </c>
      <c r="H20896">
        <v>66486540</v>
      </c>
      <c r="I20896">
        <v>66486551</v>
      </c>
    </row>
    <row r="20897" spans="1:9" x14ac:dyDescent="0.2">
      <c r="A20897" t="str">
        <f>"Tma7"</f>
        <v>Tma7</v>
      </c>
      <c r="B20897" t="s">
        <v>14</v>
      </c>
      <c r="C20897" t="s">
        <v>24</v>
      </c>
      <c r="D20897" t="s">
        <v>11</v>
      </c>
      <c r="E20897" t="s">
        <v>67</v>
      </c>
      <c r="F20897">
        <v>109082372</v>
      </c>
      <c r="G20897">
        <v>109082414</v>
      </c>
      <c r="H20897">
        <v>109082372</v>
      </c>
      <c r="I20897">
        <v>109082414</v>
      </c>
    </row>
    <row r="20898" spans="1:9" x14ac:dyDescent="0.2">
      <c r="A20898" t="str">
        <f>"Tmbim1"</f>
        <v>Tmbim1</v>
      </c>
      <c r="B20898" t="s">
        <v>14</v>
      </c>
      <c r="C20898" t="s">
        <v>19</v>
      </c>
      <c r="D20898" t="s">
        <v>11</v>
      </c>
      <c r="E20898" t="s">
        <v>12</v>
      </c>
      <c r="F20898">
        <v>74304146</v>
      </c>
      <c r="G20898">
        <v>74304187</v>
      </c>
      <c r="H20898">
        <v>74304191</v>
      </c>
      <c r="I20898">
        <v>74304202</v>
      </c>
    </row>
    <row r="20899" spans="1:9" x14ac:dyDescent="0.2">
      <c r="A20899" t="str">
        <f>"Tmbim4"</f>
        <v>Tmbim4</v>
      </c>
      <c r="B20899" t="s">
        <v>14</v>
      </c>
      <c r="C20899" t="s">
        <v>15</v>
      </c>
      <c r="D20899" t="s">
        <v>17</v>
      </c>
      <c r="E20899" t="s">
        <v>12</v>
      </c>
      <c r="F20899">
        <v>120208784</v>
      </c>
      <c r="G20899">
        <v>120208801</v>
      </c>
      <c r="H20899">
        <v>120208739</v>
      </c>
      <c r="I20899">
        <v>120208781</v>
      </c>
    </row>
    <row r="20900" spans="1:9" x14ac:dyDescent="0.2">
      <c r="A20900" t="str">
        <f>"Tmbim6"</f>
        <v>Tmbim6</v>
      </c>
      <c r="B20900" t="s">
        <v>14</v>
      </c>
      <c r="C20900" t="s">
        <v>25</v>
      </c>
      <c r="D20900" t="s">
        <v>17</v>
      </c>
      <c r="E20900" t="s">
        <v>12</v>
      </c>
      <c r="F20900">
        <v>99392948</v>
      </c>
      <c r="G20900">
        <v>99392987</v>
      </c>
      <c r="H20900">
        <v>99393255</v>
      </c>
      <c r="I20900">
        <v>99393279</v>
      </c>
    </row>
    <row r="20901" spans="1:9" x14ac:dyDescent="0.2">
      <c r="A20901" t="str">
        <f>"Tmc1"</f>
        <v>Tmc1</v>
      </c>
      <c r="B20901" t="s">
        <v>14</v>
      </c>
      <c r="C20901" t="s">
        <v>10</v>
      </c>
      <c r="D20901" t="s">
        <v>11</v>
      </c>
      <c r="E20901" t="s">
        <v>12</v>
      </c>
      <c r="F20901">
        <v>20954249</v>
      </c>
      <c r="G20901">
        <v>20954295</v>
      </c>
      <c r="H20901">
        <v>20954249</v>
      </c>
      <c r="I20901">
        <v>20954295</v>
      </c>
    </row>
    <row r="20902" spans="1:9" x14ac:dyDescent="0.2">
      <c r="A20902" t="str">
        <f>"Tmc2"</f>
        <v>Tmc2</v>
      </c>
      <c r="B20902" t="s">
        <v>14</v>
      </c>
      <c r="C20902" t="s">
        <v>26</v>
      </c>
      <c r="D20902" t="s">
        <v>17</v>
      </c>
      <c r="E20902" t="s">
        <v>12</v>
      </c>
      <c r="F20902">
        <v>130196362</v>
      </c>
      <c r="G20902">
        <v>130196377</v>
      </c>
      <c r="H20902">
        <v>130196333</v>
      </c>
      <c r="I20902">
        <v>130196345</v>
      </c>
    </row>
    <row r="20903" spans="1:9" x14ac:dyDescent="0.2">
      <c r="A20903" t="str">
        <f>"Tmc3"</f>
        <v>Tmc3</v>
      </c>
      <c r="B20903" t="s">
        <v>14</v>
      </c>
      <c r="C20903" t="s">
        <v>33</v>
      </c>
      <c r="D20903" t="s">
        <v>17</v>
      </c>
      <c r="E20903" t="s">
        <v>12</v>
      </c>
      <c r="F20903">
        <v>83584910</v>
      </c>
      <c r="G20903">
        <v>83584942</v>
      </c>
      <c r="H20903">
        <v>83584910</v>
      </c>
      <c r="I20903">
        <v>83584942</v>
      </c>
    </row>
    <row r="20904" spans="1:9" x14ac:dyDescent="0.2">
      <c r="A20904" t="str">
        <f>"Tmc4"</f>
        <v>Tmc4</v>
      </c>
      <c r="B20904" t="s">
        <v>14</v>
      </c>
      <c r="C20904" t="s">
        <v>33</v>
      </c>
      <c r="D20904" t="s">
        <v>11</v>
      </c>
      <c r="E20904" t="s">
        <v>12</v>
      </c>
      <c r="F20904">
        <v>3677478</v>
      </c>
      <c r="G20904">
        <v>3677502</v>
      </c>
      <c r="H20904">
        <v>3677509</v>
      </c>
      <c r="I20904">
        <v>3677529</v>
      </c>
    </row>
    <row r="20905" spans="1:9" x14ac:dyDescent="0.2">
      <c r="A20905" t="str">
        <f>"Tmc5"</f>
        <v>Tmc5</v>
      </c>
      <c r="B20905" t="s">
        <v>5931</v>
      </c>
      <c r="C20905" t="s">
        <v>33</v>
      </c>
      <c r="D20905" t="s">
        <v>17</v>
      </c>
      <c r="E20905" t="s">
        <v>35</v>
      </c>
      <c r="F20905">
        <v>118633729</v>
      </c>
      <c r="G20905">
        <v>118633749</v>
      </c>
      <c r="H20905">
        <v>118633768</v>
      </c>
      <c r="I20905">
        <v>118633774</v>
      </c>
    </row>
    <row r="20906" spans="1:9" x14ac:dyDescent="0.2">
      <c r="A20906" t="str">
        <f>"Tmc6"</f>
        <v>Tmc6</v>
      </c>
      <c r="B20906" t="s">
        <v>14</v>
      </c>
      <c r="C20906" t="s">
        <v>27</v>
      </c>
      <c r="D20906" t="s">
        <v>11</v>
      </c>
      <c r="E20906" t="s">
        <v>12</v>
      </c>
      <c r="F20906">
        <v>117780613</v>
      </c>
      <c r="G20906">
        <v>117780629</v>
      </c>
      <c r="H20906">
        <v>117780630</v>
      </c>
      <c r="I20906">
        <v>117780688</v>
      </c>
    </row>
    <row r="20907" spans="1:9" x14ac:dyDescent="0.2">
      <c r="A20907" t="str">
        <f>"Tmc7"</f>
        <v>Tmc7</v>
      </c>
      <c r="B20907" t="s">
        <v>14</v>
      </c>
      <c r="C20907" t="s">
        <v>33</v>
      </c>
      <c r="D20907" t="s">
        <v>11</v>
      </c>
      <c r="E20907" t="s">
        <v>12</v>
      </c>
      <c r="F20907">
        <v>118584669</v>
      </c>
      <c r="G20907">
        <v>118584741</v>
      </c>
      <c r="H20907">
        <v>118584781</v>
      </c>
      <c r="I20907">
        <v>118584825</v>
      </c>
    </row>
    <row r="20908" spans="1:9" x14ac:dyDescent="0.2">
      <c r="A20908" t="str">
        <f>"Tmc8"</f>
        <v>Tmc8</v>
      </c>
      <c r="B20908" t="s">
        <v>14</v>
      </c>
      <c r="C20908" t="s">
        <v>27</v>
      </c>
      <c r="D20908" t="s">
        <v>17</v>
      </c>
      <c r="E20908" t="s">
        <v>12</v>
      </c>
      <c r="F20908">
        <v>117782281</v>
      </c>
      <c r="G20908">
        <v>117782337</v>
      </c>
      <c r="H20908">
        <v>117782281</v>
      </c>
      <c r="I20908">
        <v>117782337</v>
      </c>
    </row>
    <row r="20909" spans="1:9" x14ac:dyDescent="0.2">
      <c r="A20909" t="str">
        <f>"Tmcc1"</f>
        <v>Tmcc1</v>
      </c>
      <c r="B20909" t="s">
        <v>14</v>
      </c>
      <c r="C20909" t="s">
        <v>32</v>
      </c>
      <c r="D20909" t="s">
        <v>11</v>
      </c>
      <c r="E20909" t="s">
        <v>12</v>
      </c>
      <c r="F20909">
        <v>116193426</v>
      </c>
      <c r="G20909">
        <v>116193501</v>
      </c>
      <c r="H20909">
        <v>116193319</v>
      </c>
      <c r="I20909">
        <v>116193369</v>
      </c>
    </row>
    <row r="20910" spans="1:9" x14ac:dyDescent="0.2">
      <c r="A20910" t="str">
        <f>"Tmcc2"</f>
        <v>Tmcc2</v>
      </c>
      <c r="B20910" t="s">
        <v>14</v>
      </c>
      <c r="C20910" t="s">
        <v>19</v>
      </c>
      <c r="D20910" t="s">
        <v>11</v>
      </c>
      <c r="E20910" t="s">
        <v>12</v>
      </c>
      <c r="F20910">
        <v>132367879</v>
      </c>
      <c r="G20910">
        <v>132367894</v>
      </c>
      <c r="H20910">
        <v>132367879</v>
      </c>
      <c r="I20910">
        <v>132367894</v>
      </c>
    </row>
    <row r="20911" spans="1:9" x14ac:dyDescent="0.2">
      <c r="A20911" t="str">
        <f>"Tmcc3"</f>
        <v>Tmcc3</v>
      </c>
      <c r="B20911" t="s">
        <v>14</v>
      </c>
      <c r="C20911" t="s">
        <v>15</v>
      </c>
      <c r="D20911" t="s">
        <v>17</v>
      </c>
      <c r="E20911" t="s">
        <v>12</v>
      </c>
      <c r="F20911">
        <v>94514825</v>
      </c>
      <c r="G20911">
        <v>94514922</v>
      </c>
      <c r="H20911">
        <v>94514825</v>
      </c>
      <c r="I20911">
        <v>94514922</v>
      </c>
    </row>
    <row r="20912" spans="1:9" x14ac:dyDescent="0.2">
      <c r="A20912" t="str">
        <f>"Tmco1"</f>
        <v>Tmco1</v>
      </c>
      <c r="B20912" t="s">
        <v>14</v>
      </c>
      <c r="C20912" t="s">
        <v>19</v>
      </c>
      <c r="D20912" t="s">
        <v>17</v>
      </c>
      <c r="E20912" t="s">
        <v>12</v>
      </c>
      <c r="F20912">
        <v>167308718</v>
      </c>
      <c r="G20912">
        <v>167308807</v>
      </c>
      <c r="H20912">
        <v>167308649</v>
      </c>
      <c r="I20912">
        <v>167308670</v>
      </c>
    </row>
    <row r="20913" spans="1:9" x14ac:dyDescent="0.2">
      <c r="A20913" t="str">
        <f>"Tmco2"</f>
        <v>Tmco2</v>
      </c>
      <c r="B20913" t="s">
        <v>14</v>
      </c>
      <c r="C20913" t="s">
        <v>23</v>
      </c>
      <c r="D20913" t="s">
        <v>11</v>
      </c>
      <c r="E20913" t="s">
        <v>12</v>
      </c>
      <c r="F20913">
        <v>121109199</v>
      </c>
      <c r="G20913">
        <v>121109231</v>
      </c>
      <c r="H20913">
        <v>121109239</v>
      </c>
      <c r="I20913">
        <v>121109253</v>
      </c>
    </row>
    <row r="20914" spans="1:9" x14ac:dyDescent="0.2">
      <c r="A20914" t="str">
        <f>"Tmco3"</f>
        <v>Tmco3</v>
      </c>
      <c r="B20914" t="s">
        <v>14</v>
      </c>
      <c r="C20914" t="s">
        <v>30</v>
      </c>
      <c r="D20914" t="s">
        <v>17</v>
      </c>
      <c r="E20914" t="s">
        <v>12</v>
      </c>
      <c r="F20914">
        <v>13288173</v>
      </c>
      <c r="G20914">
        <v>13288220</v>
      </c>
      <c r="H20914">
        <v>13287887</v>
      </c>
      <c r="I20914">
        <v>13287929</v>
      </c>
    </row>
    <row r="20915" spans="1:9" x14ac:dyDescent="0.2">
      <c r="A20915" t="str">
        <f>"Tmco4"</f>
        <v>Tmco4</v>
      </c>
      <c r="B20915" t="s">
        <v>14</v>
      </c>
      <c r="C20915" t="s">
        <v>23</v>
      </c>
      <c r="D20915" t="s">
        <v>17</v>
      </c>
      <c r="E20915" t="s">
        <v>12</v>
      </c>
      <c r="F20915">
        <v>138972885</v>
      </c>
      <c r="G20915">
        <v>138972920</v>
      </c>
      <c r="H20915">
        <v>138972885</v>
      </c>
      <c r="I20915">
        <v>138972920</v>
      </c>
    </row>
    <row r="20916" spans="1:9" x14ac:dyDescent="0.2">
      <c r="A20916" t="str">
        <f>"Tmco5"</f>
        <v>Tmco5</v>
      </c>
      <c r="B20916" t="s">
        <v>14</v>
      </c>
      <c r="C20916" t="s">
        <v>26</v>
      </c>
      <c r="D20916" t="s">
        <v>17</v>
      </c>
      <c r="E20916" t="s">
        <v>12</v>
      </c>
      <c r="F20916">
        <v>116878698</v>
      </c>
      <c r="G20916">
        <v>116878743</v>
      </c>
      <c r="H20916">
        <v>116878686</v>
      </c>
      <c r="I20916">
        <v>116878696</v>
      </c>
    </row>
    <row r="20917" spans="1:9" x14ac:dyDescent="0.2">
      <c r="A20917" t="str">
        <f>"Tmco5b"</f>
        <v>Tmco5b</v>
      </c>
      <c r="B20917" t="s">
        <v>14</v>
      </c>
      <c r="C20917" t="s">
        <v>26</v>
      </c>
      <c r="D20917" t="s">
        <v>17</v>
      </c>
      <c r="E20917" t="s">
        <v>12</v>
      </c>
      <c r="F20917">
        <v>113285731</v>
      </c>
      <c r="G20917">
        <v>113285749</v>
      </c>
      <c r="H20917">
        <v>113285717</v>
      </c>
      <c r="I20917">
        <v>113285719</v>
      </c>
    </row>
    <row r="20918" spans="1:9" x14ac:dyDescent="0.2">
      <c r="A20918" t="str">
        <f>"Tmco6"</f>
        <v>Tmco6</v>
      </c>
      <c r="B20918" t="s">
        <v>14</v>
      </c>
      <c r="C20918" t="s">
        <v>43</v>
      </c>
      <c r="D20918" t="s">
        <v>17</v>
      </c>
      <c r="E20918" t="s">
        <v>12</v>
      </c>
      <c r="F20918">
        <v>36735032</v>
      </c>
      <c r="G20918">
        <v>36735058</v>
      </c>
      <c r="H20918">
        <v>36735117</v>
      </c>
      <c r="I20918">
        <v>36735177</v>
      </c>
    </row>
    <row r="20919" spans="1:9" x14ac:dyDescent="0.2">
      <c r="A20919" t="str">
        <f>"Tmed1"</f>
        <v>Tmed1</v>
      </c>
      <c r="B20919" t="s">
        <v>14</v>
      </c>
      <c r="C20919" t="s">
        <v>24</v>
      </c>
      <c r="D20919" t="s">
        <v>11</v>
      </c>
      <c r="E20919" t="s">
        <v>12</v>
      </c>
      <c r="F20919">
        <v>21510181</v>
      </c>
      <c r="G20919">
        <v>21510203</v>
      </c>
      <c r="H20919">
        <v>21510181</v>
      </c>
      <c r="I20919">
        <v>21510203</v>
      </c>
    </row>
    <row r="20920" spans="1:9" x14ac:dyDescent="0.2">
      <c r="A20920" t="str">
        <f>"Tmed10"</f>
        <v>Tmed10</v>
      </c>
      <c r="B20920" t="s">
        <v>14</v>
      </c>
      <c r="C20920" t="s">
        <v>16</v>
      </c>
      <c r="D20920" t="s">
        <v>11</v>
      </c>
      <c r="E20920" t="s">
        <v>12</v>
      </c>
      <c r="F20920">
        <v>85374696</v>
      </c>
      <c r="G20920">
        <v>85374719</v>
      </c>
      <c r="H20920">
        <v>85374696</v>
      </c>
      <c r="I20920">
        <v>85374719</v>
      </c>
    </row>
    <row r="20921" spans="1:9" x14ac:dyDescent="0.2">
      <c r="A20921" t="str">
        <f>"Tmed11"</f>
        <v>Tmed11</v>
      </c>
      <c r="B20921" t="s">
        <v>14</v>
      </c>
      <c r="C20921" t="s">
        <v>46</v>
      </c>
      <c r="D20921" t="s">
        <v>11</v>
      </c>
      <c r="E20921" t="s">
        <v>12</v>
      </c>
      <c r="F20921">
        <v>108795352</v>
      </c>
      <c r="G20921">
        <v>108795374</v>
      </c>
      <c r="H20921">
        <v>108795345</v>
      </c>
      <c r="I20921">
        <v>108795351</v>
      </c>
    </row>
    <row r="20922" spans="1:9" x14ac:dyDescent="0.2">
      <c r="A20922" t="str">
        <f>"Tmed2"</f>
        <v>Tmed2</v>
      </c>
      <c r="B20922" t="s">
        <v>14</v>
      </c>
      <c r="C20922" t="s">
        <v>46</v>
      </c>
      <c r="D20922" t="s">
        <v>17</v>
      </c>
      <c r="E20922" t="s">
        <v>12</v>
      </c>
      <c r="F20922">
        <v>124540743</v>
      </c>
      <c r="G20922">
        <v>124540786</v>
      </c>
      <c r="H20922">
        <v>124541296</v>
      </c>
      <c r="I20922">
        <v>124541315</v>
      </c>
    </row>
    <row r="20923" spans="1:9" x14ac:dyDescent="0.2">
      <c r="A20923" t="str">
        <f>"Tmed3"</f>
        <v>Tmed3</v>
      </c>
      <c r="B20923" t="s">
        <v>14</v>
      </c>
      <c r="C20923" t="s">
        <v>24</v>
      </c>
      <c r="D20923" t="s">
        <v>11</v>
      </c>
      <c r="E20923" t="s">
        <v>12</v>
      </c>
      <c r="F20923">
        <v>89704907</v>
      </c>
      <c r="G20923">
        <v>89705013</v>
      </c>
      <c r="H20923">
        <v>89705017</v>
      </c>
      <c r="I20923">
        <v>89705068</v>
      </c>
    </row>
    <row r="20924" spans="1:9" x14ac:dyDescent="0.2">
      <c r="A20924" t="str">
        <f>"Tmed4"</f>
        <v>Tmed4</v>
      </c>
      <c r="B20924" t="s">
        <v>14</v>
      </c>
      <c r="C20924" t="s">
        <v>27</v>
      </c>
      <c r="D20924" t="s">
        <v>11</v>
      </c>
      <c r="E20924" t="s">
        <v>12</v>
      </c>
      <c r="F20924">
        <v>6274830</v>
      </c>
      <c r="G20924">
        <v>6274886</v>
      </c>
      <c r="H20924">
        <v>6274818</v>
      </c>
      <c r="I20924">
        <v>6274829</v>
      </c>
    </row>
    <row r="20925" spans="1:9" x14ac:dyDescent="0.2">
      <c r="A20925" t="str">
        <f>"Tmed5"</f>
        <v>Tmed5</v>
      </c>
      <c r="B20925" t="s">
        <v>14</v>
      </c>
      <c r="C20925" t="s">
        <v>46</v>
      </c>
      <c r="D20925" t="s">
        <v>11</v>
      </c>
      <c r="E20925" t="s">
        <v>12</v>
      </c>
      <c r="F20925">
        <v>108132541</v>
      </c>
      <c r="G20925">
        <v>108132570</v>
      </c>
      <c r="H20925">
        <v>108132513</v>
      </c>
      <c r="I20925">
        <v>108132538</v>
      </c>
    </row>
    <row r="20926" spans="1:9" x14ac:dyDescent="0.2">
      <c r="A20926" t="str">
        <f>"Tmed6"</f>
        <v>Tmed6</v>
      </c>
      <c r="B20926" t="s">
        <v>14</v>
      </c>
      <c r="C20926" t="s">
        <v>30</v>
      </c>
      <c r="D20926" t="s">
        <v>11</v>
      </c>
      <c r="E20926" t="s">
        <v>12</v>
      </c>
      <c r="F20926">
        <v>107065632</v>
      </c>
      <c r="G20926">
        <v>107065650</v>
      </c>
      <c r="H20926">
        <v>107065615</v>
      </c>
      <c r="I20926">
        <v>107065628</v>
      </c>
    </row>
    <row r="20927" spans="1:9" x14ac:dyDescent="0.2">
      <c r="A20927" t="str">
        <f>"Tmed7"</f>
        <v>Tmed7</v>
      </c>
      <c r="B20927" t="s">
        <v>14</v>
      </c>
      <c r="C20927" t="s">
        <v>43</v>
      </c>
      <c r="D20927" t="s">
        <v>11</v>
      </c>
      <c r="E20927" t="s">
        <v>12</v>
      </c>
      <c r="F20927">
        <v>46597480</v>
      </c>
      <c r="G20927">
        <v>46597543</v>
      </c>
      <c r="H20927">
        <v>46597459</v>
      </c>
      <c r="I20927">
        <v>46597470</v>
      </c>
    </row>
    <row r="20928" spans="1:9" x14ac:dyDescent="0.2">
      <c r="A20928" t="str">
        <f>"Tmed8"</f>
        <v>Tmed8</v>
      </c>
      <c r="B20928" t="s">
        <v>14</v>
      </c>
      <c r="C20928" t="s">
        <v>16</v>
      </c>
      <c r="D20928" t="s">
        <v>11</v>
      </c>
      <c r="E20928" t="s">
        <v>12</v>
      </c>
      <c r="F20928">
        <v>87200200</v>
      </c>
      <c r="G20928">
        <v>87200284</v>
      </c>
      <c r="H20928">
        <v>87200200</v>
      </c>
      <c r="I20928">
        <v>87200284</v>
      </c>
    </row>
    <row r="20929" spans="1:9" x14ac:dyDescent="0.2">
      <c r="A20929" t="str">
        <f>"Tmed9"</f>
        <v>Tmed9</v>
      </c>
      <c r="B20929" t="s">
        <v>14</v>
      </c>
      <c r="C20929" t="s">
        <v>39</v>
      </c>
      <c r="D20929" t="s">
        <v>17</v>
      </c>
      <c r="E20929" t="s">
        <v>12</v>
      </c>
      <c r="F20929">
        <v>55593137</v>
      </c>
      <c r="G20929">
        <v>55593177</v>
      </c>
      <c r="H20929">
        <v>55593137</v>
      </c>
      <c r="I20929">
        <v>55593177</v>
      </c>
    </row>
    <row r="20930" spans="1:9" x14ac:dyDescent="0.2">
      <c r="A20930" t="str">
        <f>"Tmeff1"</f>
        <v>Tmeff1</v>
      </c>
      <c r="B20930" t="s">
        <v>14</v>
      </c>
      <c r="C20930" t="s">
        <v>23</v>
      </c>
      <c r="D20930" t="s">
        <v>17</v>
      </c>
      <c r="E20930" t="s">
        <v>12</v>
      </c>
      <c r="F20930">
        <v>48585135</v>
      </c>
      <c r="G20930">
        <v>48585187</v>
      </c>
      <c r="H20930">
        <v>48585081</v>
      </c>
      <c r="I20930">
        <v>48585134</v>
      </c>
    </row>
    <row r="20931" spans="1:9" x14ac:dyDescent="0.2">
      <c r="A20931" t="str">
        <f>"Tmeff2"</f>
        <v>Tmeff2</v>
      </c>
      <c r="B20931" t="s">
        <v>14</v>
      </c>
      <c r="C20931" t="s">
        <v>19</v>
      </c>
      <c r="D20931" t="s">
        <v>17</v>
      </c>
      <c r="E20931" t="s">
        <v>12</v>
      </c>
      <c r="F20931">
        <v>50927511</v>
      </c>
      <c r="G20931">
        <v>50927543</v>
      </c>
      <c r="H20931">
        <v>50927497</v>
      </c>
      <c r="I20931">
        <v>50927506</v>
      </c>
    </row>
    <row r="20932" spans="1:9" x14ac:dyDescent="0.2">
      <c r="A20932" t="str">
        <f>"Tmem100"</f>
        <v>Tmem100</v>
      </c>
      <c r="B20932" t="s">
        <v>14</v>
      </c>
      <c r="C20932" t="s">
        <v>27</v>
      </c>
      <c r="D20932" t="s">
        <v>17</v>
      </c>
      <c r="E20932" t="s">
        <v>12</v>
      </c>
      <c r="F20932">
        <v>90030295</v>
      </c>
      <c r="G20932">
        <v>90030359</v>
      </c>
      <c r="H20932">
        <v>90030295</v>
      </c>
      <c r="I20932">
        <v>90030359</v>
      </c>
    </row>
    <row r="20933" spans="1:9" x14ac:dyDescent="0.2">
      <c r="A20933" t="str">
        <f>"Tmem101"</f>
        <v>Tmem101</v>
      </c>
      <c r="B20933" t="s">
        <v>14</v>
      </c>
      <c r="C20933" t="s">
        <v>27</v>
      </c>
      <c r="D20933" t="s">
        <v>11</v>
      </c>
      <c r="E20933" t="s">
        <v>12</v>
      </c>
      <c r="F20933">
        <v>102156339</v>
      </c>
      <c r="G20933">
        <v>102156414</v>
      </c>
      <c r="H20933">
        <v>102156339</v>
      </c>
      <c r="I20933">
        <v>102156414</v>
      </c>
    </row>
    <row r="20934" spans="1:9" x14ac:dyDescent="0.2">
      <c r="A20934" t="str">
        <f>"Tmem102"</f>
        <v>Tmem102</v>
      </c>
      <c r="B20934" t="s">
        <v>14</v>
      </c>
      <c r="C20934" t="s">
        <v>27</v>
      </c>
      <c r="D20934" t="s">
        <v>11</v>
      </c>
      <c r="E20934" t="s">
        <v>12</v>
      </c>
      <c r="F20934">
        <v>69805617</v>
      </c>
      <c r="G20934">
        <v>69805673</v>
      </c>
      <c r="H20934">
        <v>69805463</v>
      </c>
      <c r="I20934">
        <v>69805467</v>
      </c>
    </row>
    <row r="20935" spans="1:9" x14ac:dyDescent="0.2">
      <c r="A20935" t="str">
        <f>"Tmem104"</f>
        <v>Tmem104</v>
      </c>
      <c r="B20935" t="s">
        <v>14</v>
      </c>
      <c r="C20935" t="s">
        <v>27</v>
      </c>
      <c r="D20935" t="s">
        <v>17</v>
      </c>
      <c r="E20935" t="s">
        <v>12</v>
      </c>
      <c r="F20935">
        <v>115187481</v>
      </c>
      <c r="G20935">
        <v>115187562</v>
      </c>
      <c r="H20935">
        <v>115187568</v>
      </c>
      <c r="I20935">
        <v>115187571</v>
      </c>
    </row>
    <row r="20936" spans="1:9" x14ac:dyDescent="0.2">
      <c r="A20936" t="str">
        <f>"Tmem106a"</f>
        <v>Tmem106a</v>
      </c>
      <c r="B20936" t="s">
        <v>14</v>
      </c>
      <c r="C20936" t="s">
        <v>27</v>
      </c>
      <c r="D20936" t="s">
        <v>17</v>
      </c>
      <c r="E20936" t="s">
        <v>12</v>
      </c>
      <c r="F20936">
        <v>101582236</v>
      </c>
      <c r="G20936">
        <v>101582312</v>
      </c>
      <c r="H20936">
        <v>101582236</v>
      </c>
      <c r="I20936">
        <v>101582312</v>
      </c>
    </row>
    <row r="20937" spans="1:9" x14ac:dyDescent="0.2">
      <c r="A20937" t="str">
        <f>"Tmem106b"</f>
        <v>Tmem106b</v>
      </c>
      <c r="B20937" t="s">
        <v>14</v>
      </c>
      <c r="C20937" t="s">
        <v>32</v>
      </c>
      <c r="D20937" t="s">
        <v>17</v>
      </c>
      <c r="E20937" t="s">
        <v>12</v>
      </c>
      <c r="F20937">
        <v>13069758</v>
      </c>
      <c r="G20937">
        <v>13069866</v>
      </c>
      <c r="H20937">
        <v>13069879</v>
      </c>
      <c r="I20937">
        <v>13069895</v>
      </c>
    </row>
    <row r="20938" spans="1:9" x14ac:dyDescent="0.2">
      <c r="A20938" t="str">
        <f>"Tmem106c"</f>
        <v>Tmem106c</v>
      </c>
      <c r="B20938" t="s">
        <v>14</v>
      </c>
      <c r="C20938" t="s">
        <v>25</v>
      </c>
      <c r="D20938" t="s">
        <v>17</v>
      </c>
      <c r="E20938" t="s">
        <v>12</v>
      </c>
      <c r="F20938">
        <v>97964220</v>
      </c>
      <c r="G20938">
        <v>97964271</v>
      </c>
      <c r="H20938">
        <v>97964277</v>
      </c>
      <c r="I20938">
        <v>97964306</v>
      </c>
    </row>
    <row r="20939" spans="1:9" x14ac:dyDescent="0.2">
      <c r="A20939" t="str">
        <f>"Tmem107"</f>
        <v>Tmem107</v>
      </c>
      <c r="B20939" t="s">
        <v>14</v>
      </c>
      <c r="C20939" t="s">
        <v>27</v>
      </c>
      <c r="D20939" t="s">
        <v>17</v>
      </c>
      <c r="E20939" t="s">
        <v>12</v>
      </c>
      <c r="F20939">
        <v>69070790</v>
      </c>
      <c r="G20939">
        <v>69070856</v>
      </c>
      <c r="H20939">
        <v>69070857</v>
      </c>
      <c r="I20939">
        <v>69070880</v>
      </c>
    </row>
    <row r="20940" spans="1:9" x14ac:dyDescent="0.2">
      <c r="A20940" t="str">
        <f>"Tmem108"</f>
        <v>Tmem108</v>
      </c>
      <c r="B20940" t="s">
        <v>14</v>
      </c>
      <c r="C20940" t="s">
        <v>24</v>
      </c>
      <c r="D20940" t="s">
        <v>11</v>
      </c>
      <c r="E20940" t="s">
        <v>12</v>
      </c>
      <c r="F20940">
        <v>103761788</v>
      </c>
      <c r="G20940">
        <v>103761816</v>
      </c>
      <c r="H20940">
        <v>103761820</v>
      </c>
      <c r="I20940">
        <v>103761847</v>
      </c>
    </row>
    <row r="20941" spans="1:9" x14ac:dyDescent="0.2">
      <c r="A20941" t="str">
        <f>"Tmem109"</f>
        <v>Tmem109</v>
      </c>
      <c r="B20941" t="s">
        <v>14</v>
      </c>
      <c r="C20941" t="s">
        <v>10</v>
      </c>
      <c r="D20941" t="s">
        <v>11</v>
      </c>
      <c r="E20941" t="s">
        <v>12</v>
      </c>
      <c r="F20941">
        <v>10881723</v>
      </c>
      <c r="G20941">
        <v>10881766</v>
      </c>
      <c r="H20941">
        <v>10881677</v>
      </c>
      <c r="I20941">
        <v>10881717</v>
      </c>
    </row>
    <row r="20942" spans="1:9" x14ac:dyDescent="0.2">
      <c r="A20942" t="str">
        <f>"Tmem11"</f>
        <v>Tmem11</v>
      </c>
      <c r="B20942" t="s">
        <v>14</v>
      </c>
      <c r="C20942" t="s">
        <v>27</v>
      </c>
      <c r="D20942" t="s">
        <v>11</v>
      </c>
      <c r="E20942" t="s">
        <v>12</v>
      </c>
      <c r="F20942">
        <v>60878764</v>
      </c>
      <c r="G20942">
        <v>60878812</v>
      </c>
      <c r="H20942">
        <v>60879033</v>
      </c>
      <c r="I20942">
        <v>60879061</v>
      </c>
    </row>
    <row r="20943" spans="1:9" x14ac:dyDescent="0.2">
      <c r="A20943" t="str">
        <f>"Tmem110"</f>
        <v>Tmem110</v>
      </c>
      <c r="B20943" t="s">
        <v>14</v>
      </c>
      <c r="C20943" t="s">
        <v>41</v>
      </c>
      <c r="D20943" t="s">
        <v>17</v>
      </c>
      <c r="E20943" t="s">
        <v>12</v>
      </c>
      <c r="F20943">
        <v>30825580</v>
      </c>
      <c r="G20943">
        <v>30825640</v>
      </c>
      <c r="H20943">
        <v>30825658</v>
      </c>
      <c r="I20943">
        <v>30825677</v>
      </c>
    </row>
    <row r="20944" spans="1:9" x14ac:dyDescent="0.2">
      <c r="A20944" t="str">
        <f>"Tmem115"</f>
        <v>Tmem115</v>
      </c>
      <c r="B20944" t="s">
        <v>14</v>
      </c>
      <c r="C20944" t="s">
        <v>24</v>
      </c>
      <c r="D20944" t="s">
        <v>17</v>
      </c>
      <c r="E20944" t="s">
        <v>12</v>
      </c>
      <c r="F20944">
        <v>107534030</v>
      </c>
      <c r="G20944">
        <v>107534136</v>
      </c>
      <c r="H20944">
        <v>107534000</v>
      </c>
      <c r="I20944">
        <v>107534024</v>
      </c>
    </row>
    <row r="20945" spans="1:9" x14ac:dyDescent="0.2">
      <c r="A20945" t="str">
        <f>"Tmem116"</f>
        <v>Tmem116</v>
      </c>
      <c r="B20945" t="s">
        <v>9</v>
      </c>
      <c r="C20945" t="s">
        <v>46</v>
      </c>
      <c r="D20945" t="s">
        <v>17</v>
      </c>
      <c r="E20945" t="s">
        <v>12</v>
      </c>
      <c r="F20945">
        <v>121452606</v>
      </c>
      <c r="G20945">
        <v>121452665</v>
      </c>
      <c r="H20945">
        <v>121452606</v>
      </c>
      <c r="I20945">
        <v>121452665</v>
      </c>
    </row>
    <row r="20946" spans="1:9" x14ac:dyDescent="0.2">
      <c r="A20946" t="str">
        <f>"Tmem116"</f>
        <v>Tmem116</v>
      </c>
      <c r="B20946" t="s">
        <v>13</v>
      </c>
      <c r="C20946" t="s">
        <v>46</v>
      </c>
      <c r="D20946" t="s">
        <v>17</v>
      </c>
      <c r="E20946" t="s">
        <v>12</v>
      </c>
      <c r="F20946">
        <v>121463150</v>
      </c>
      <c r="G20946">
        <v>121463189</v>
      </c>
      <c r="H20946">
        <v>121463150</v>
      </c>
      <c r="I20946">
        <v>121463189</v>
      </c>
    </row>
    <row r="20947" spans="1:9" x14ac:dyDescent="0.2">
      <c r="A20947" t="str">
        <f>"Tmem117"</f>
        <v>Tmem117</v>
      </c>
      <c r="B20947" t="s">
        <v>14</v>
      </c>
      <c r="C20947" t="s">
        <v>25</v>
      </c>
      <c r="D20947" t="s">
        <v>17</v>
      </c>
      <c r="E20947" t="s">
        <v>12</v>
      </c>
      <c r="F20947">
        <v>94629236</v>
      </c>
      <c r="G20947">
        <v>94629270</v>
      </c>
      <c r="H20947">
        <v>94629082</v>
      </c>
      <c r="I20947">
        <v>94629129</v>
      </c>
    </row>
    <row r="20948" spans="1:9" x14ac:dyDescent="0.2">
      <c r="A20948" t="str">
        <f>"Tmem119"</f>
        <v>Tmem119</v>
      </c>
      <c r="B20948" t="s">
        <v>14</v>
      </c>
      <c r="C20948" t="s">
        <v>46</v>
      </c>
      <c r="D20948" t="s">
        <v>11</v>
      </c>
      <c r="E20948" t="s">
        <v>12</v>
      </c>
      <c r="F20948">
        <v>113800356</v>
      </c>
      <c r="G20948">
        <v>113800412</v>
      </c>
      <c r="H20948">
        <v>113800356</v>
      </c>
      <c r="I20948">
        <v>113800412</v>
      </c>
    </row>
    <row r="20949" spans="1:9" x14ac:dyDescent="0.2">
      <c r="A20949" t="str">
        <f>"Tmem120a"</f>
        <v>Tmem120a</v>
      </c>
      <c r="B20949" t="s">
        <v>14</v>
      </c>
      <c r="C20949" t="s">
        <v>46</v>
      </c>
      <c r="D20949" t="s">
        <v>11</v>
      </c>
      <c r="E20949" t="s">
        <v>12</v>
      </c>
      <c r="F20949">
        <v>135744206</v>
      </c>
      <c r="G20949">
        <v>135744271</v>
      </c>
      <c r="H20949">
        <v>135744159</v>
      </c>
      <c r="I20949">
        <v>135744180</v>
      </c>
    </row>
    <row r="20950" spans="1:9" x14ac:dyDescent="0.2">
      <c r="A20950" t="str">
        <f>"Tmem120b"</f>
        <v>Tmem120b</v>
      </c>
      <c r="B20950" t="s">
        <v>14</v>
      </c>
      <c r="C20950" t="s">
        <v>46</v>
      </c>
      <c r="D20950" t="s">
        <v>17</v>
      </c>
      <c r="E20950" t="s">
        <v>12</v>
      </c>
      <c r="F20950">
        <v>123076275</v>
      </c>
      <c r="G20950">
        <v>123076354</v>
      </c>
      <c r="H20950">
        <v>123076411</v>
      </c>
      <c r="I20950">
        <v>123076420</v>
      </c>
    </row>
    <row r="20951" spans="1:9" x14ac:dyDescent="0.2">
      <c r="A20951" t="str">
        <f>"Tmem121"</f>
        <v>Tmem121</v>
      </c>
      <c r="B20951" t="s">
        <v>14</v>
      </c>
      <c r="C20951" t="s">
        <v>16</v>
      </c>
      <c r="D20951" t="s">
        <v>17</v>
      </c>
      <c r="E20951" t="s">
        <v>12</v>
      </c>
      <c r="F20951">
        <v>113185877</v>
      </c>
      <c r="G20951">
        <v>113185937</v>
      </c>
      <c r="H20951">
        <v>113185868</v>
      </c>
      <c r="I20951">
        <v>113185874</v>
      </c>
    </row>
    <row r="20952" spans="1:9" x14ac:dyDescent="0.2">
      <c r="A20952" t="str">
        <f>"Tmem123"</f>
        <v>Tmem123</v>
      </c>
      <c r="B20952" t="s">
        <v>14</v>
      </c>
      <c r="C20952" t="s">
        <v>24</v>
      </c>
      <c r="D20952" t="s">
        <v>17</v>
      </c>
      <c r="E20952" t="s">
        <v>12</v>
      </c>
      <c r="F20952">
        <v>7764058</v>
      </c>
      <c r="G20952">
        <v>7764177</v>
      </c>
      <c r="H20952">
        <v>7764200</v>
      </c>
      <c r="I20952">
        <v>7764211</v>
      </c>
    </row>
    <row r="20953" spans="1:9" x14ac:dyDescent="0.2">
      <c r="A20953" t="str">
        <f>"Tmem125"</f>
        <v>Tmem125</v>
      </c>
      <c r="B20953" t="s">
        <v>9</v>
      </c>
      <c r="C20953" t="s">
        <v>23</v>
      </c>
      <c r="D20953" t="s">
        <v>11</v>
      </c>
      <c r="E20953" t="s">
        <v>12</v>
      </c>
      <c r="F20953">
        <v>118544010</v>
      </c>
      <c r="G20953">
        <v>118544066</v>
      </c>
      <c r="H20953">
        <v>118544010</v>
      </c>
      <c r="I20953">
        <v>118544066</v>
      </c>
    </row>
    <row r="20954" spans="1:9" x14ac:dyDescent="0.2">
      <c r="A20954" t="str">
        <f>"Tmem125"</f>
        <v>Tmem125</v>
      </c>
      <c r="B20954" t="s">
        <v>13</v>
      </c>
      <c r="C20954" t="s">
        <v>23</v>
      </c>
      <c r="D20954" t="s">
        <v>11</v>
      </c>
      <c r="E20954" t="s">
        <v>12</v>
      </c>
      <c r="F20954">
        <v>118542635</v>
      </c>
      <c r="G20954">
        <v>118542700</v>
      </c>
      <c r="H20954">
        <v>118542635</v>
      </c>
      <c r="I20954">
        <v>118542700</v>
      </c>
    </row>
    <row r="20955" spans="1:9" x14ac:dyDescent="0.2">
      <c r="A20955" t="str">
        <f>"Tmem126a"</f>
        <v>Tmem126a</v>
      </c>
      <c r="B20955" t="s">
        <v>14</v>
      </c>
      <c r="C20955" t="s">
        <v>33</v>
      </c>
      <c r="D20955" t="s">
        <v>11</v>
      </c>
      <c r="E20955" t="s">
        <v>12</v>
      </c>
      <c r="F20955">
        <v>90457167</v>
      </c>
      <c r="G20955">
        <v>90457213</v>
      </c>
      <c r="H20955">
        <v>90457142</v>
      </c>
      <c r="I20955">
        <v>90457153</v>
      </c>
    </row>
    <row r="20956" spans="1:9" x14ac:dyDescent="0.2">
      <c r="A20956" t="str">
        <f>"Tmem126b"</f>
        <v>Tmem126b</v>
      </c>
      <c r="B20956" t="s">
        <v>14</v>
      </c>
      <c r="C20956" t="s">
        <v>33</v>
      </c>
      <c r="D20956" t="s">
        <v>11</v>
      </c>
      <c r="E20956" t="s">
        <v>12</v>
      </c>
      <c r="F20956">
        <v>90475971</v>
      </c>
      <c r="G20956">
        <v>90476003</v>
      </c>
      <c r="H20956">
        <v>90475971</v>
      </c>
      <c r="I20956">
        <v>90476003</v>
      </c>
    </row>
    <row r="20957" spans="1:9" x14ac:dyDescent="0.2">
      <c r="A20957" t="str">
        <f>"Tmem127"</f>
        <v>Tmem127</v>
      </c>
      <c r="B20957" t="s">
        <v>14</v>
      </c>
      <c r="C20957" t="s">
        <v>26</v>
      </c>
      <c r="D20957" t="s">
        <v>17</v>
      </c>
      <c r="E20957" t="s">
        <v>12</v>
      </c>
      <c r="F20957">
        <v>127247939</v>
      </c>
      <c r="G20957">
        <v>127247997</v>
      </c>
      <c r="H20957">
        <v>127247998</v>
      </c>
      <c r="I20957">
        <v>127248037</v>
      </c>
    </row>
    <row r="20958" spans="1:9" x14ac:dyDescent="0.2">
      <c r="A20958" t="str">
        <f>"Tmem128"</f>
        <v>Tmem128</v>
      </c>
      <c r="B20958" t="s">
        <v>14</v>
      </c>
      <c r="C20958" t="s">
        <v>46</v>
      </c>
      <c r="D20958" t="s">
        <v>17</v>
      </c>
      <c r="E20958" t="s">
        <v>12</v>
      </c>
      <c r="F20958">
        <v>38260372</v>
      </c>
      <c r="G20958">
        <v>38260386</v>
      </c>
      <c r="H20958">
        <v>38260372</v>
      </c>
      <c r="I20958">
        <v>38260386</v>
      </c>
    </row>
    <row r="20959" spans="1:9" x14ac:dyDescent="0.2">
      <c r="A20959" t="str">
        <f>"Tmem129"</f>
        <v>Tmem129</v>
      </c>
      <c r="B20959" t="s">
        <v>14</v>
      </c>
      <c r="C20959" t="s">
        <v>46</v>
      </c>
      <c r="D20959" t="s">
        <v>11</v>
      </c>
      <c r="E20959" t="s">
        <v>12</v>
      </c>
      <c r="F20959">
        <v>33657889</v>
      </c>
      <c r="G20959">
        <v>33657940</v>
      </c>
      <c r="H20959">
        <v>33657837</v>
      </c>
      <c r="I20959">
        <v>33657887</v>
      </c>
    </row>
    <row r="20960" spans="1:9" x14ac:dyDescent="0.2">
      <c r="A20960" t="str">
        <f>"Tmem130"</f>
        <v>Tmem130</v>
      </c>
      <c r="B20960" t="s">
        <v>14</v>
      </c>
      <c r="C20960" t="s">
        <v>46</v>
      </c>
      <c r="D20960" t="s">
        <v>11</v>
      </c>
      <c r="E20960" t="s">
        <v>12</v>
      </c>
      <c r="F20960">
        <v>144761578</v>
      </c>
      <c r="G20960">
        <v>144761631</v>
      </c>
      <c r="H20960">
        <v>144761565</v>
      </c>
      <c r="I20960">
        <v>144761576</v>
      </c>
    </row>
    <row r="20961" spans="1:9" x14ac:dyDescent="0.2">
      <c r="A20961" t="str">
        <f>"Tmem131"</f>
        <v>Tmem131</v>
      </c>
      <c r="B20961" t="s">
        <v>14</v>
      </c>
      <c r="C20961" t="s">
        <v>19</v>
      </c>
      <c r="D20961" t="s">
        <v>11</v>
      </c>
      <c r="E20961" t="s">
        <v>12</v>
      </c>
      <c r="F20961">
        <v>36939602</v>
      </c>
      <c r="G20961">
        <v>36939655</v>
      </c>
      <c r="H20961">
        <v>36939554</v>
      </c>
      <c r="I20961">
        <v>36939565</v>
      </c>
    </row>
    <row r="20962" spans="1:9" x14ac:dyDescent="0.2">
      <c r="A20962" t="str">
        <f>"Tmem132a"</f>
        <v>Tmem132a</v>
      </c>
      <c r="B20962" t="s">
        <v>14</v>
      </c>
      <c r="C20962" t="s">
        <v>10</v>
      </c>
      <c r="D20962" t="s">
        <v>11</v>
      </c>
      <c r="E20962" t="s">
        <v>12</v>
      </c>
      <c r="F20962">
        <v>10869757</v>
      </c>
      <c r="G20962">
        <v>10869798</v>
      </c>
      <c r="H20962">
        <v>10869949</v>
      </c>
      <c r="I20962">
        <v>10869975</v>
      </c>
    </row>
    <row r="20963" spans="1:9" x14ac:dyDescent="0.2">
      <c r="A20963" t="str">
        <f>"Tmem132b"</f>
        <v>Tmem132b</v>
      </c>
      <c r="B20963" t="s">
        <v>14</v>
      </c>
      <c r="C20963" t="s">
        <v>46</v>
      </c>
      <c r="D20963" t="s">
        <v>17</v>
      </c>
      <c r="E20963" t="s">
        <v>12</v>
      </c>
      <c r="F20963">
        <v>125532377</v>
      </c>
      <c r="G20963">
        <v>125532393</v>
      </c>
      <c r="H20963">
        <v>125532403</v>
      </c>
      <c r="I20963">
        <v>125532419</v>
      </c>
    </row>
    <row r="20964" spans="1:9" x14ac:dyDescent="0.2">
      <c r="A20964" t="str">
        <f>"Tmem132c"</f>
        <v>Tmem132c</v>
      </c>
      <c r="B20964" t="s">
        <v>14</v>
      </c>
      <c r="C20964" t="s">
        <v>46</v>
      </c>
      <c r="D20964" t="s">
        <v>17</v>
      </c>
      <c r="E20964" t="s">
        <v>12</v>
      </c>
      <c r="F20964">
        <v>127241807</v>
      </c>
      <c r="G20964">
        <v>127241849</v>
      </c>
      <c r="H20964">
        <v>127241785</v>
      </c>
      <c r="I20964">
        <v>127241798</v>
      </c>
    </row>
    <row r="20965" spans="1:9" x14ac:dyDescent="0.2">
      <c r="A20965" t="str">
        <f>"Tmem132d"</f>
        <v>Tmem132d</v>
      </c>
      <c r="B20965" t="s">
        <v>14</v>
      </c>
      <c r="C20965" t="s">
        <v>46</v>
      </c>
      <c r="D20965" t="s">
        <v>11</v>
      </c>
      <c r="E20965" t="s">
        <v>12</v>
      </c>
      <c r="F20965">
        <v>128433066</v>
      </c>
      <c r="G20965">
        <v>128433095</v>
      </c>
      <c r="H20965">
        <v>128433043</v>
      </c>
      <c r="I20965">
        <v>128433065</v>
      </c>
    </row>
    <row r="20966" spans="1:9" x14ac:dyDescent="0.2">
      <c r="A20966" t="str">
        <f>"Tmem132e"</f>
        <v>Tmem132e</v>
      </c>
      <c r="B20966" t="s">
        <v>14</v>
      </c>
      <c r="C20966" t="s">
        <v>27</v>
      </c>
      <c r="D20966" t="s">
        <v>17</v>
      </c>
      <c r="E20966" t="s">
        <v>12</v>
      </c>
      <c r="F20966">
        <v>82388906</v>
      </c>
      <c r="G20966">
        <v>82388929</v>
      </c>
      <c r="H20966">
        <v>82388934</v>
      </c>
      <c r="I20966">
        <v>82388948</v>
      </c>
    </row>
    <row r="20967" spans="1:9" x14ac:dyDescent="0.2">
      <c r="A20967" t="str">
        <f>"Tmem135"</f>
        <v>Tmem135</v>
      </c>
      <c r="B20967" t="s">
        <v>14</v>
      </c>
      <c r="C20967" t="s">
        <v>33</v>
      </c>
      <c r="D20967" t="s">
        <v>11</v>
      </c>
      <c r="E20967" t="s">
        <v>12</v>
      </c>
      <c r="F20967">
        <v>89338709</v>
      </c>
      <c r="G20967">
        <v>89338795</v>
      </c>
      <c r="H20967">
        <v>89338685</v>
      </c>
      <c r="I20967">
        <v>89338705</v>
      </c>
    </row>
    <row r="20968" spans="1:9" x14ac:dyDescent="0.2">
      <c r="A20968" t="str">
        <f>"Tmem136"</f>
        <v>Tmem136</v>
      </c>
      <c r="B20968" t="s">
        <v>14</v>
      </c>
      <c r="C20968" t="s">
        <v>24</v>
      </c>
      <c r="D20968" t="s">
        <v>11</v>
      </c>
      <c r="E20968" t="s">
        <v>12</v>
      </c>
      <c r="F20968">
        <v>43116514</v>
      </c>
      <c r="G20968">
        <v>43116572</v>
      </c>
      <c r="H20968">
        <v>43116573</v>
      </c>
      <c r="I20968">
        <v>43116581</v>
      </c>
    </row>
    <row r="20969" spans="1:9" x14ac:dyDescent="0.2">
      <c r="A20969" t="str">
        <f>"Tmem138"</f>
        <v>Tmem138</v>
      </c>
      <c r="B20969" t="s">
        <v>14</v>
      </c>
      <c r="C20969" t="s">
        <v>10</v>
      </c>
      <c r="D20969" t="s">
        <v>11</v>
      </c>
      <c r="E20969" t="s">
        <v>12</v>
      </c>
      <c r="F20969">
        <v>10577053</v>
      </c>
      <c r="G20969">
        <v>10577095</v>
      </c>
      <c r="H20969">
        <v>10577098</v>
      </c>
      <c r="I20969">
        <v>10577120</v>
      </c>
    </row>
    <row r="20970" spans="1:9" x14ac:dyDescent="0.2">
      <c r="A20970" t="str">
        <f>"Tmem139"</f>
        <v>Tmem139</v>
      </c>
      <c r="B20970" t="s">
        <v>14</v>
      </c>
      <c r="C20970" t="s">
        <v>32</v>
      </c>
      <c r="D20970" t="s">
        <v>17</v>
      </c>
      <c r="E20970" t="s">
        <v>12</v>
      </c>
      <c r="F20970">
        <v>42261957</v>
      </c>
      <c r="G20970">
        <v>42262007</v>
      </c>
      <c r="H20970">
        <v>42261957</v>
      </c>
      <c r="I20970">
        <v>42262007</v>
      </c>
    </row>
    <row r="20971" spans="1:9" x14ac:dyDescent="0.2">
      <c r="A20971" t="str">
        <f>"Tmem140"</f>
        <v>Tmem140</v>
      </c>
      <c r="B20971" t="s">
        <v>14</v>
      </c>
      <c r="C20971" t="s">
        <v>32</v>
      </c>
      <c r="D20971" t="s">
        <v>17</v>
      </c>
      <c r="E20971" t="s">
        <v>12</v>
      </c>
      <c r="F20971">
        <v>34863130</v>
      </c>
      <c r="G20971">
        <v>34863183</v>
      </c>
      <c r="H20971">
        <v>34863130</v>
      </c>
      <c r="I20971">
        <v>34863183</v>
      </c>
    </row>
    <row r="20972" spans="1:9" x14ac:dyDescent="0.2">
      <c r="A20972" t="str">
        <f>"Tmem141"</f>
        <v>Tmem141</v>
      </c>
      <c r="B20972" t="s">
        <v>14</v>
      </c>
      <c r="C20972" t="s">
        <v>26</v>
      </c>
      <c r="D20972" t="s">
        <v>11</v>
      </c>
      <c r="E20972" t="s">
        <v>12</v>
      </c>
      <c r="F20972">
        <v>25621923</v>
      </c>
      <c r="G20972">
        <v>25622031</v>
      </c>
      <c r="H20972">
        <v>25621893</v>
      </c>
      <c r="I20972">
        <v>25621915</v>
      </c>
    </row>
    <row r="20973" spans="1:9" x14ac:dyDescent="0.2">
      <c r="A20973" t="str">
        <f>"Tmem143"</f>
        <v>Tmem143</v>
      </c>
      <c r="B20973" t="s">
        <v>14</v>
      </c>
      <c r="C20973" t="s">
        <v>33</v>
      </c>
      <c r="D20973" t="s">
        <v>17</v>
      </c>
      <c r="E20973" t="s">
        <v>12</v>
      </c>
      <c r="F20973">
        <v>45897046</v>
      </c>
      <c r="G20973">
        <v>45897089</v>
      </c>
      <c r="H20973">
        <v>45897469</v>
      </c>
      <c r="I20973">
        <v>45897534</v>
      </c>
    </row>
    <row r="20974" spans="1:9" x14ac:dyDescent="0.2">
      <c r="A20974" t="str">
        <f>"Tmem144"</f>
        <v>Tmem144</v>
      </c>
      <c r="B20974" t="s">
        <v>14</v>
      </c>
      <c r="C20974" t="s">
        <v>22</v>
      </c>
      <c r="D20974" t="s">
        <v>11</v>
      </c>
      <c r="E20974" t="s">
        <v>12</v>
      </c>
      <c r="F20974">
        <v>79842857</v>
      </c>
      <c r="G20974">
        <v>79842932</v>
      </c>
      <c r="H20974">
        <v>79842642</v>
      </c>
      <c r="I20974">
        <v>79842667</v>
      </c>
    </row>
    <row r="20975" spans="1:9" x14ac:dyDescent="0.2">
      <c r="A20975" t="str">
        <f>"Tmem145"</f>
        <v>Tmem145</v>
      </c>
      <c r="B20975" t="s">
        <v>14</v>
      </c>
      <c r="C20975" t="s">
        <v>33</v>
      </c>
      <c r="D20975" t="s">
        <v>17</v>
      </c>
      <c r="E20975" t="s">
        <v>12</v>
      </c>
      <c r="F20975">
        <v>25306085</v>
      </c>
      <c r="G20975">
        <v>25306157</v>
      </c>
      <c r="H20975">
        <v>25306220</v>
      </c>
      <c r="I20975">
        <v>25306233</v>
      </c>
    </row>
    <row r="20976" spans="1:9" x14ac:dyDescent="0.2">
      <c r="A20976" t="str">
        <f>"Tmem147"</f>
        <v>Tmem147</v>
      </c>
      <c r="B20976" t="s">
        <v>14</v>
      </c>
      <c r="C20976" t="s">
        <v>33</v>
      </c>
      <c r="D20976" t="s">
        <v>11</v>
      </c>
      <c r="E20976" t="s">
        <v>12</v>
      </c>
      <c r="F20976">
        <v>30729505</v>
      </c>
      <c r="G20976">
        <v>30729556</v>
      </c>
      <c r="H20976">
        <v>30729468</v>
      </c>
      <c r="I20976">
        <v>30729501</v>
      </c>
    </row>
    <row r="20977" spans="1:9" x14ac:dyDescent="0.2">
      <c r="A20977" t="str">
        <f>"Tmem14a"</f>
        <v>Tmem14a</v>
      </c>
      <c r="B20977" t="s">
        <v>14</v>
      </c>
      <c r="C20977" t="s">
        <v>19</v>
      </c>
      <c r="D20977" t="s">
        <v>17</v>
      </c>
      <c r="E20977" t="s">
        <v>12</v>
      </c>
      <c r="F20977">
        <v>21218825</v>
      </c>
      <c r="G20977">
        <v>21218858</v>
      </c>
      <c r="H20977">
        <v>21218825</v>
      </c>
      <c r="I20977">
        <v>21218858</v>
      </c>
    </row>
    <row r="20978" spans="1:9" x14ac:dyDescent="0.2">
      <c r="A20978" t="str">
        <f>"Tmem14c"</f>
        <v>Tmem14c</v>
      </c>
      <c r="B20978" t="s">
        <v>14</v>
      </c>
      <c r="C20978" t="s">
        <v>39</v>
      </c>
      <c r="D20978" t="s">
        <v>17</v>
      </c>
      <c r="E20978" t="s">
        <v>12</v>
      </c>
      <c r="F20978">
        <v>41016275</v>
      </c>
      <c r="G20978">
        <v>41016309</v>
      </c>
      <c r="H20978">
        <v>41016323</v>
      </c>
      <c r="I20978">
        <v>41016335</v>
      </c>
    </row>
    <row r="20979" spans="1:9" x14ac:dyDescent="0.2">
      <c r="A20979" t="str">
        <f>"Tmem150a"</f>
        <v>Tmem150a</v>
      </c>
      <c r="B20979" t="s">
        <v>14</v>
      </c>
      <c r="C20979" t="s">
        <v>32</v>
      </c>
      <c r="D20979" t="s">
        <v>17</v>
      </c>
      <c r="E20979" t="s">
        <v>12</v>
      </c>
      <c r="F20979">
        <v>72355425</v>
      </c>
      <c r="G20979">
        <v>72355487</v>
      </c>
      <c r="H20979">
        <v>72355354</v>
      </c>
      <c r="I20979">
        <v>72355376</v>
      </c>
    </row>
    <row r="20980" spans="1:9" x14ac:dyDescent="0.2">
      <c r="A20980" t="str">
        <f>"Tmem150b"</f>
        <v>Tmem150b</v>
      </c>
      <c r="B20980" t="s">
        <v>14</v>
      </c>
      <c r="C20980" t="s">
        <v>33</v>
      </c>
      <c r="D20980" t="s">
        <v>11</v>
      </c>
      <c r="E20980" t="s">
        <v>12</v>
      </c>
      <c r="F20980">
        <v>4725231</v>
      </c>
      <c r="G20980">
        <v>4725295</v>
      </c>
      <c r="H20980">
        <v>4725373</v>
      </c>
      <c r="I20980">
        <v>4725401</v>
      </c>
    </row>
    <row r="20981" spans="1:9" x14ac:dyDescent="0.2">
      <c r="A20981" t="str">
        <f>"Tmem150c"</f>
        <v>Tmem150c</v>
      </c>
      <c r="B20981" t="s">
        <v>14</v>
      </c>
      <c r="C20981" t="s">
        <v>46</v>
      </c>
      <c r="D20981" t="s">
        <v>11</v>
      </c>
      <c r="E20981" t="s">
        <v>12</v>
      </c>
      <c r="F20981">
        <v>100159261</v>
      </c>
      <c r="G20981">
        <v>100159314</v>
      </c>
      <c r="H20981">
        <v>100159390</v>
      </c>
      <c r="I20981">
        <v>100159435</v>
      </c>
    </row>
    <row r="20982" spans="1:9" x14ac:dyDescent="0.2">
      <c r="A20982" t="str">
        <f>"Tmem151a"</f>
        <v>Tmem151a</v>
      </c>
      <c r="B20982" t="s">
        <v>9</v>
      </c>
      <c r="C20982" t="s">
        <v>10</v>
      </c>
      <c r="D20982" t="s">
        <v>11</v>
      </c>
      <c r="E20982" t="s">
        <v>12</v>
      </c>
      <c r="F20982">
        <v>5085483</v>
      </c>
      <c r="G20982">
        <v>5085501</v>
      </c>
      <c r="H20982">
        <v>5085483</v>
      </c>
      <c r="I20982">
        <v>5085501</v>
      </c>
    </row>
    <row r="20983" spans="1:9" x14ac:dyDescent="0.2">
      <c r="A20983" t="str">
        <f>"Tmem151a"</f>
        <v>Tmem151a</v>
      </c>
      <c r="B20983" t="s">
        <v>13</v>
      </c>
      <c r="C20983" t="s">
        <v>10</v>
      </c>
      <c r="D20983" t="s">
        <v>11</v>
      </c>
      <c r="E20983" t="s">
        <v>12</v>
      </c>
      <c r="F20983">
        <v>5072109</v>
      </c>
      <c r="G20983">
        <v>5072129</v>
      </c>
      <c r="H20983">
        <v>5072109</v>
      </c>
      <c r="I20983">
        <v>5072129</v>
      </c>
    </row>
    <row r="20984" spans="1:9" x14ac:dyDescent="0.2">
      <c r="A20984" t="str">
        <f>"Tmem151b"</f>
        <v>Tmem151b</v>
      </c>
      <c r="B20984" t="s">
        <v>14</v>
      </c>
      <c r="C20984" t="s">
        <v>28</v>
      </c>
      <c r="D20984" t="s">
        <v>11</v>
      </c>
      <c r="E20984" t="s">
        <v>12</v>
      </c>
      <c r="F20984">
        <v>45549687</v>
      </c>
      <c r="G20984">
        <v>45549719</v>
      </c>
      <c r="H20984">
        <v>45549655</v>
      </c>
      <c r="I20984">
        <v>45549668</v>
      </c>
    </row>
    <row r="20985" spans="1:9" x14ac:dyDescent="0.2">
      <c r="A20985" t="str">
        <f>"Tmem154"</f>
        <v>Tmem154</v>
      </c>
      <c r="B20985" t="s">
        <v>14</v>
      </c>
      <c r="C20985" t="s">
        <v>22</v>
      </c>
      <c r="D20985" t="s">
        <v>17</v>
      </c>
      <c r="E20985" t="s">
        <v>12</v>
      </c>
      <c r="F20985">
        <v>84666304</v>
      </c>
      <c r="G20985">
        <v>84666354</v>
      </c>
      <c r="H20985">
        <v>84666229</v>
      </c>
      <c r="I20985">
        <v>84666288</v>
      </c>
    </row>
    <row r="20986" spans="1:9" x14ac:dyDescent="0.2">
      <c r="A20986" t="str">
        <f>"Tmem156"</f>
        <v>Tmem156</v>
      </c>
      <c r="B20986" t="s">
        <v>14</v>
      </c>
      <c r="C20986" t="s">
        <v>46</v>
      </c>
      <c r="D20986" t="s">
        <v>11</v>
      </c>
      <c r="E20986" t="s">
        <v>12</v>
      </c>
      <c r="F20986">
        <v>65091598</v>
      </c>
      <c r="G20986">
        <v>65091616</v>
      </c>
      <c r="H20986">
        <v>65091619</v>
      </c>
      <c r="I20986">
        <v>65091637</v>
      </c>
    </row>
    <row r="20987" spans="1:9" x14ac:dyDescent="0.2">
      <c r="A20987" t="str">
        <f>"Tmem158"</f>
        <v>Tmem158</v>
      </c>
      <c r="B20987" t="s">
        <v>14</v>
      </c>
      <c r="C20987" t="s">
        <v>24</v>
      </c>
      <c r="D20987" t="s">
        <v>11</v>
      </c>
      <c r="E20987" t="s">
        <v>12</v>
      </c>
      <c r="F20987">
        <v>123260756</v>
      </c>
      <c r="G20987">
        <v>123260773</v>
      </c>
      <c r="H20987">
        <v>123260776</v>
      </c>
      <c r="I20987">
        <v>123260803</v>
      </c>
    </row>
    <row r="20988" spans="1:9" x14ac:dyDescent="0.2">
      <c r="A20988" t="str">
        <f>"Tmem159"</f>
        <v>Tmem159</v>
      </c>
      <c r="B20988" t="s">
        <v>14</v>
      </c>
      <c r="C20988" t="s">
        <v>33</v>
      </c>
      <c r="D20988" t="s">
        <v>17</v>
      </c>
      <c r="E20988" t="s">
        <v>12</v>
      </c>
      <c r="F20988">
        <v>120102367</v>
      </c>
      <c r="G20988">
        <v>120102431</v>
      </c>
      <c r="H20988">
        <v>120102447</v>
      </c>
      <c r="I20988">
        <v>120102464</v>
      </c>
    </row>
    <row r="20989" spans="1:9" x14ac:dyDescent="0.2">
      <c r="A20989" t="str">
        <f>"Tmem160"</f>
        <v>Tmem160</v>
      </c>
      <c r="B20989" t="s">
        <v>14</v>
      </c>
      <c r="C20989" t="s">
        <v>33</v>
      </c>
      <c r="D20989" t="s">
        <v>17</v>
      </c>
      <c r="E20989" t="s">
        <v>12</v>
      </c>
      <c r="F20989">
        <v>16452927</v>
      </c>
      <c r="G20989">
        <v>16452968</v>
      </c>
      <c r="H20989">
        <v>16452752</v>
      </c>
      <c r="I20989">
        <v>16452801</v>
      </c>
    </row>
    <row r="20990" spans="1:9" x14ac:dyDescent="0.2">
      <c r="A20990" t="str">
        <f>"Tmem161a"</f>
        <v>Tmem161a</v>
      </c>
      <c r="B20990" t="s">
        <v>14</v>
      </c>
      <c r="C20990" t="s">
        <v>30</v>
      </c>
      <c r="D20990" t="s">
        <v>17</v>
      </c>
      <c r="E20990" t="s">
        <v>12</v>
      </c>
      <c r="F20990">
        <v>70172383</v>
      </c>
      <c r="G20990">
        <v>70172424</v>
      </c>
      <c r="H20990">
        <v>70172383</v>
      </c>
      <c r="I20990">
        <v>70172424</v>
      </c>
    </row>
    <row r="20991" spans="1:9" x14ac:dyDescent="0.2">
      <c r="A20991" t="str">
        <f>"Tmem161b"</f>
        <v>Tmem161b</v>
      </c>
      <c r="B20991" t="s">
        <v>14</v>
      </c>
      <c r="C20991" t="s">
        <v>39</v>
      </c>
      <c r="D20991" t="s">
        <v>17</v>
      </c>
      <c r="E20991" t="s">
        <v>12</v>
      </c>
      <c r="F20991">
        <v>84222286</v>
      </c>
      <c r="G20991">
        <v>84222356</v>
      </c>
      <c r="H20991">
        <v>84222186</v>
      </c>
      <c r="I20991">
        <v>84222199</v>
      </c>
    </row>
    <row r="20992" spans="1:9" x14ac:dyDescent="0.2">
      <c r="A20992" t="str">
        <f>"Tmem163"</f>
        <v>Tmem163</v>
      </c>
      <c r="B20992" t="s">
        <v>14</v>
      </c>
      <c r="C20992" t="s">
        <v>19</v>
      </c>
      <c r="D20992" t="s">
        <v>11</v>
      </c>
      <c r="E20992" t="s">
        <v>12</v>
      </c>
      <c r="F20992">
        <v>127677745</v>
      </c>
      <c r="G20992">
        <v>127677798</v>
      </c>
      <c r="H20992">
        <v>127677923</v>
      </c>
      <c r="I20992">
        <v>127677956</v>
      </c>
    </row>
    <row r="20993" spans="1:9" x14ac:dyDescent="0.2">
      <c r="A20993" t="str">
        <f>"Tmem164"</f>
        <v>Tmem164</v>
      </c>
      <c r="B20993" t="s">
        <v>14</v>
      </c>
      <c r="C20993" t="s">
        <v>37</v>
      </c>
      <c r="D20993" t="s">
        <v>17</v>
      </c>
      <c r="E20993" t="s">
        <v>12</v>
      </c>
      <c r="F20993">
        <v>142681398</v>
      </c>
      <c r="G20993">
        <v>142681439</v>
      </c>
      <c r="H20993">
        <v>142681883</v>
      </c>
      <c r="I20993">
        <v>142681900</v>
      </c>
    </row>
    <row r="20994" spans="1:9" x14ac:dyDescent="0.2">
      <c r="A20994" t="str">
        <f>"Tmem165"</f>
        <v>Tmem165</v>
      </c>
      <c r="B20994" t="s">
        <v>14</v>
      </c>
      <c r="C20994" t="s">
        <v>46</v>
      </c>
      <c r="D20994" t="s">
        <v>17</v>
      </c>
      <c r="E20994" t="s">
        <v>12</v>
      </c>
      <c r="F20994">
        <v>76183915</v>
      </c>
      <c r="G20994">
        <v>76183970</v>
      </c>
      <c r="H20994">
        <v>76183915</v>
      </c>
      <c r="I20994">
        <v>76183970</v>
      </c>
    </row>
    <row r="20995" spans="1:9" x14ac:dyDescent="0.2">
      <c r="A20995" t="str">
        <f>"Tmem167"</f>
        <v>Tmem167</v>
      </c>
      <c r="B20995" t="s">
        <v>14</v>
      </c>
      <c r="C20995" t="s">
        <v>39</v>
      </c>
      <c r="D20995" t="s">
        <v>17</v>
      </c>
      <c r="E20995" t="s">
        <v>12</v>
      </c>
      <c r="F20995">
        <v>90089705</v>
      </c>
      <c r="G20995">
        <v>90089740</v>
      </c>
      <c r="H20995">
        <v>90089677</v>
      </c>
      <c r="I20995">
        <v>90089688</v>
      </c>
    </row>
    <row r="20996" spans="1:9" x14ac:dyDescent="0.2">
      <c r="A20996" t="str">
        <f>"Tmem167b"</f>
        <v>Tmem167b</v>
      </c>
      <c r="B20996" t="s">
        <v>14</v>
      </c>
      <c r="C20996" t="s">
        <v>22</v>
      </c>
      <c r="D20996" t="s">
        <v>11</v>
      </c>
      <c r="E20996" t="s">
        <v>12</v>
      </c>
      <c r="F20996">
        <v>108562349</v>
      </c>
      <c r="G20996">
        <v>108562417</v>
      </c>
      <c r="H20996">
        <v>108562328</v>
      </c>
      <c r="I20996">
        <v>108562346</v>
      </c>
    </row>
    <row r="20997" spans="1:9" x14ac:dyDescent="0.2">
      <c r="A20997" t="str">
        <f>"Tmem168"</f>
        <v>Tmem168</v>
      </c>
      <c r="B20997" t="s">
        <v>14</v>
      </c>
      <c r="C20997" t="s">
        <v>32</v>
      </c>
      <c r="D20997" t="s">
        <v>11</v>
      </c>
      <c r="E20997" t="s">
        <v>12</v>
      </c>
      <c r="F20997">
        <v>13608011</v>
      </c>
      <c r="G20997">
        <v>13608050</v>
      </c>
      <c r="H20997">
        <v>13607635</v>
      </c>
      <c r="I20997">
        <v>13607640</v>
      </c>
    </row>
    <row r="20998" spans="1:9" x14ac:dyDescent="0.2">
      <c r="A20998" t="str">
        <f>"Tmem169"</f>
        <v>Tmem169</v>
      </c>
      <c r="B20998" t="s">
        <v>14</v>
      </c>
      <c r="C20998" t="s">
        <v>19</v>
      </c>
      <c r="D20998" t="s">
        <v>17</v>
      </c>
      <c r="E20998" t="s">
        <v>12</v>
      </c>
      <c r="F20998">
        <v>72284367</v>
      </c>
      <c r="G20998">
        <v>72284419</v>
      </c>
      <c r="H20998">
        <v>72284367</v>
      </c>
      <c r="I20998">
        <v>72284419</v>
      </c>
    </row>
    <row r="20999" spans="1:9" x14ac:dyDescent="0.2">
      <c r="A20999" t="str">
        <f>"Tmem17"</f>
        <v>Tmem17</v>
      </c>
      <c r="B20999" t="s">
        <v>14</v>
      </c>
      <c r="C20999" t="s">
        <v>27</v>
      </c>
      <c r="D20999" t="s">
        <v>17</v>
      </c>
      <c r="E20999" t="s">
        <v>12</v>
      </c>
      <c r="F20999">
        <v>22512419</v>
      </c>
      <c r="G20999">
        <v>22512486</v>
      </c>
      <c r="H20999">
        <v>22512251</v>
      </c>
      <c r="I20999">
        <v>22512282</v>
      </c>
    </row>
    <row r="21000" spans="1:9" x14ac:dyDescent="0.2">
      <c r="A21000" t="str">
        <f>"Tmem170"</f>
        <v>Tmem170</v>
      </c>
      <c r="B21000" t="s">
        <v>14</v>
      </c>
      <c r="C21000" t="s">
        <v>30</v>
      </c>
      <c r="D21000" t="s">
        <v>11</v>
      </c>
      <c r="E21000" t="s">
        <v>12</v>
      </c>
      <c r="F21000">
        <v>111876661</v>
      </c>
      <c r="G21000">
        <v>111876725</v>
      </c>
      <c r="H21000">
        <v>111876731</v>
      </c>
      <c r="I21000">
        <v>111876750</v>
      </c>
    </row>
    <row r="21001" spans="1:9" x14ac:dyDescent="0.2">
      <c r="A21001" t="str">
        <f>"Tmem170b"</f>
        <v>Tmem170b</v>
      </c>
      <c r="B21001" t="s">
        <v>14</v>
      </c>
      <c r="C21001" t="s">
        <v>39</v>
      </c>
      <c r="D21001" t="s">
        <v>17</v>
      </c>
      <c r="E21001" t="s">
        <v>12</v>
      </c>
      <c r="F21001">
        <v>41605867</v>
      </c>
      <c r="G21001">
        <v>41605902</v>
      </c>
      <c r="H21001">
        <v>41605821</v>
      </c>
      <c r="I21001">
        <v>41605863</v>
      </c>
    </row>
    <row r="21002" spans="1:9" x14ac:dyDescent="0.2">
      <c r="A21002" t="str">
        <f>"Tmem171"</f>
        <v>Tmem171</v>
      </c>
      <c r="B21002" t="s">
        <v>14</v>
      </c>
      <c r="C21002" t="s">
        <v>39</v>
      </c>
      <c r="D21002" t="s">
        <v>11</v>
      </c>
      <c r="E21002" t="s">
        <v>12</v>
      </c>
      <c r="F21002">
        <v>98694825</v>
      </c>
      <c r="G21002">
        <v>98694847</v>
      </c>
      <c r="H21002">
        <v>98694769</v>
      </c>
      <c r="I21002">
        <v>98694796</v>
      </c>
    </row>
    <row r="21003" spans="1:9" x14ac:dyDescent="0.2">
      <c r="A21003" t="str">
        <f>"Tmem173"</f>
        <v>Tmem173</v>
      </c>
      <c r="B21003" t="s">
        <v>14</v>
      </c>
      <c r="C21003" t="s">
        <v>43</v>
      </c>
      <c r="D21003" t="s">
        <v>11</v>
      </c>
      <c r="E21003" t="s">
        <v>12</v>
      </c>
      <c r="F21003">
        <v>35740439</v>
      </c>
      <c r="G21003">
        <v>35740492</v>
      </c>
      <c r="H21003">
        <v>35740499</v>
      </c>
      <c r="I21003">
        <v>35740542</v>
      </c>
    </row>
    <row r="21004" spans="1:9" x14ac:dyDescent="0.2">
      <c r="A21004" t="str">
        <f>"Tmem174"</f>
        <v>Tmem174</v>
      </c>
      <c r="B21004" t="s">
        <v>14</v>
      </c>
      <c r="C21004" t="s">
        <v>39</v>
      </c>
      <c r="D21004" t="s">
        <v>11</v>
      </c>
      <c r="E21004" t="s">
        <v>12</v>
      </c>
      <c r="F21004">
        <v>98637354</v>
      </c>
      <c r="G21004">
        <v>98637373</v>
      </c>
      <c r="H21004">
        <v>98637330</v>
      </c>
      <c r="I21004">
        <v>98637350</v>
      </c>
    </row>
    <row r="21005" spans="1:9" x14ac:dyDescent="0.2">
      <c r="A21005" t="str">
        <f>"Tmem175"</f>
        <v>Tmem175</v>
      </c>
      <c r="B21005" t="s">
        <v>14</v>
      </c>
      <c r="C21005" t="s">
        <v>46</v>
      </c>
      <c r="D21005" t="s">
        <v>17</v>
      </c>
      <c r="E21005" t="s">
        <v>12</v>
      </c>
      <c r="F21005">
        <v>108629791</v>
      </c>
      <c r="G21005">
        <v>108629876</v>
      </c>
      <c r="H21005">
        <v>108629990</v>
      </c>
      <c r="I21005">
        <v>108630018</v>
      </c>
    </row>
    <row r="21006" spans="1:9" x14ac:dyDescent="0.2">
      <c r="A21006" t="str">
        <f>"Tmem176a"</f>
        <v>Tmem176a</v>
      </c>
      <c r="B21006" t="s">
        <v>14</v>
      </c>
      <c r="C21006" t="s">
        <v>32</v>
      </c>
      <c r="D21006" t="s">
        <v>17</v>
      </c>
      <c r="E21006" t="s">
        <v>12</v>
      </c>
      <c r="F21006">
        <v>48841476</v>
      </c>
      <c r="G21006">
        <v>48841553</v>
      </c>
      <c r="H21006">
        <v>48841557</v>
      </c>
      <c r="I21006">
        <v>48841568</v>
      </c>
    </row>
    <row r="21007" spans="1:9" x14ac:dyDescent="0.2">
      <c r="A21007" t="str">
        <f>"Tmem176b"</f>
        <v>Tmem176b</v>
      </c>
      <c r="B21007" t="s">
        <v>14</v>
      </c>
      <c r="C21007" t="s">
        <v>32</v>
      </c>
      <c r="D21007" t="s">
        <v>11</v>
      </c>
      <c r="E21007" t="s">
        <v>12</v>
      </c>
      <c r="F21007">
        <v>48841018</v>
      </c>
      <c r="G21007">
        <v>48841035</v>
      </c>
      <c r="H21007">
        <v>48841072</v>
      </c>
      <c r="I21007">
        <v>48841095</v>
      </c>
    </row>
    <row r="21008" spans="1:9" x14ac:dyDescent="0.2">
      <c r="A21008" t="str">
        <f>"Tmem177"</f>
        <v>Tmem177</v>
      </c>
      <c r="B21008" t="s">
        <v>14</v>
      </c>
      <c r="C21008" t="s">
        <v>19</v>
      </c>
      <c r="D21008" t="s">
        <v>11</v>
      </c>
      <c r="E21008" t="s">
        <v>12</v>
      </c>
      <c r="F21008">
        <v>119913162</v>
      </c>
      <c r="G21008">
        <v>119913202</v>
      </c>
      <c r="H21008">
        <v>119913162</v>
      </c>
      <c r="I21008">
        <v>119913202</v>
      </c>
    </row>
    <row r="21009" spans="1:9" x14ac:dyDescent="0.2">
      <c r="A21009" t="str">
        <f>"Tmem178"</f>
        <v>Tmem178</v>
      </c>
      <c r="B21009" t="s">
        <v>14</v>
      </c>
      <c r="C21009" t="s">
        <v>28</v>
      </c>
      <c r="D21009" t="s">
        <v>17</v>
      </c>
      <c r="E21009" t="s">
        <v>12</v>
      </c>
      <c r="F21009">
        <v>80944611</v>
      </c>
      <c r="G21009">
        <v>80944644</v>
      </c>
      <c r="H21009">
        <v>80944650</v>
      </c>
      <c r="I21009">
        <v>80944671</v>
      </c>
    </row>
    <row r="21010" spans="1:9" x14ac:dyDescent="0.2">
      <c r="A21010" t="str">
        <f>"Tmem178b"</f>
        <v>Tmem178b</v>
      </c>
      <c r="B21010" t="s">
        <v>5932</v>
      </c>
      <c r="C21010" t="s">
        <v>32</v>
      </c>
      <c r="D21010" t="s">
        <v>17</v>
      </c>
      <c r="E21010" t="s">
        <v>20</v>
      </c>
      <c r="F21010">
        <v>40110250</v>
      </c>
      <c r="G21010">
        <v>40110250</v>
      </c>
      <c r="H21010">
        <v>40110250</v>
      </c>
      <c r="I21010">
        <v>40110250</v>
      </c>
    </row>
    <row r="21011" spans="1:9" x14ac:dyDescent="0.2">
      <c r="A21011" t="str">
        <f>"Tmem179"</f>
        <v>Tmem179</v>
      </c>
      <c r="B21011" t="s">
        <v>14</v>
      </c>
      <c r="C21011" t="s">
        <v>16</v>
      </c>
      <c r="D21011" t="s">
        <v>11</v>
      </c>
      <c r="E21011" t="s">
        <v>12</v>
      </c>
      <c r="F21011">
        <v>112511136</v>
      </c>
      <c r="G21011">
        <v>112511201</v>
      </c>
      <c r="H21011">
        <v>112511103</v>
      </c>
      <c r="I21011">
        <v>112511135</v>
      </c>
    </row>
    <row r="21012" spans="1:9" x14ac:dyDescent="0.2">
      <c r="A21012" t="str">
        <f>"Tmem179b"</f>
        <v>Tmem179b</v>
      </c>
      <c r="B21012" t="s">
        <v>14</v>
      </c>
      <c r="C21012" t="s">
        <v>10</v>
      </c>
      <c r="D21012" t="s">
        <v>11</v>
      </c>
      <c r="E21012" t="s">
        <v>12</v>
      </c>
      <c r="F21012">
        <v>8774431</v>
      </c>
      <c r="G21012">
        <v>8774470</v>
      </c>
      <c r="H21012">
        <v>8774708</v>
      </c>
      <c r="I21012">
        <v>8774727</v>
      </c>
    </row>
    <row r="21013" spans="1:9" x14ac:dyDescent="0.2">
      <c r="A21013" t="str">
        <f>"Tmem18"</f>
        <v>Tmem18</v>
      </c>
      <c r="B21013" t="s">
        <v>14</v>
      </c>
      <c r="C21013" t="s">
        <v>16</v>
      </c>
      <c r="D21013" t="s">
        <v>17</v>
      </c>
      <c r="E21013" t="s">
        <v>12</v>
      </c>
      <c r="F21013">
        <v>30584429</v>
      </c>
      <c r="G21013">
        <v>30584466</v>
      </c>
      <c r="H21013">
        <v>30584473</v>
      </c>
      <c r="I21013">
        <v>30584491</v>
      </c>
    </row>
    <row r="21014" spans="1:9" x14ac:dyDescent="0.2">
      <c r="A21014" t="str">
        <f>"Tmem180"</f>
        <v>Tmem180</v>
      </c>
      <c r="B21014" t="s">
        <v>14</v>
      </c>
      <c r="C21014" t="s">
        <v>10</v>
      </c>
      <c r="D21014" t="s">
        <v>17</v>
      </c>
      <c r="E21014" t="s">
        <v>12</v>
      </c>
      <c r="F21014">
        <v>46356897</v>
      </c>
      <c r="G21014">
        <v>46356942</v>
      </c>
      <c r="H21014">
        <v>46356897</v>
      </c>
      <c r="I21014">
        <v>46356942</v>
      </c>
    </row>
    <row r="21015" spans="1:9" x14ac:dyDescent="0.2">
      <c r="A21015" t="str">
        <f>"Tmem181a"</f>
        <v>Tmem181a</v>
      </c>
      <c r="B21015" t="s">
        <v>14</v>
      </c>
      <c r="C21015" t="s">
        <v>28</v>
      </c>
      <c r="D21015" t="s">
        <v>17</v>
      </c>
      <c r="E21015" t="s">
        <v>12</v>
      </c>
      <c r="F21015">
        <v>6270481</v>
      </c>
      <c r="G21015">
        <v>6270502</v>
      </c>
      <c r="H21015">
        <v>6270471</v>
      </c>
      <c r="I21015">
        <v>6270479</v>
      </c>
    </row>
    <row r="21016" spans="1:9" x14ac:dyDescent="0.2">
      <c r="A21016" t="str">
        <f>"Tmem181b-ps"</f>
        <v>Tmem181b-ps</v>
      </c>
      <c r="B21016" t="s">
        <v>5933</v>
      </c>
      <c r="C21016" t="s">
        <v>28</v>
      </c>
      <c r="D21016" t="s">
        <v>11</v>
      </c>
      <c r="E21016" t="s">
        <v>20</v>
      </c>
      <c r="F21016">
        <v>6477101</v>
      </c>
      <c r="G21016">
        <v>6477101</v>
      </c>
      <c r="H21016">
        <v>6477101</v>
      </c>
      <c r="I21016">
        <v>6477101</v>
      </c>
    </row>
    <row r="21017" spans="1:9" x14ac:dyDescent="0.2">
      <c r="A21017" t="str">
        <f>"Tmem181c-ps"</f>
        <v>Tmem181c-ps</v>
      </c>
      <c r="B21017" t="s">
        <v>5934</v>
      </c>
      <c r="C21017" t="s">
        <v>28</v>
      </c>
      <c r="D21017" t="s">
        <v>11</v>
      </c>
      <c r="E21017" t="s">
        <v>20</v>
      </c>
      <c r="F21017">
        <v>6621266</v>
      </c>
      <c r="G21017">
        <v>6621266</v>
      </c>
      <c r="H21017">
        <v>6621266</v>
      </c>
      <c r="I21017">
        <v>6621266</v>
      </c>
    </row>
    <row r="21018" spans="1:9" x14ac:dyDescent="0.2">
      <c r="A21018" t="str">
        <f>"Tmem182"</f>
        <v>Tmem182</v>
      </c>
      <c r="B21018" t="s">
        <v>14</v>
      </c>
      <c r="C21018" t="s">
        <v>19</v>
      </c>
      <c r="D21018" t="s">
        <v>17</v>
      </c>
      <c r="E21018" t="s">
        <v>12</v>
      </c>
      <c r="F21018">
        <v>40805578</v>
      </c>
      <c r="G21018">
        <v>40805692</v>
      </c>
      <c r="H21018">
        <v>40805578</v>
      </c>
      <c r="I21018">
        <v>40805692</v>
      </c>
    </row>
    <row r="21019" spans="1:9" x14ac:dyDescent="0.2">
      <c r="A21019" t="str">
        <f>"Tmem183a"</f>
        <v>Tmem183a</v>
      </c>
      <c r="B21019" t="s">
        <v>14</v>
      </c>
      <c r="C21019" t="s">
        <v>19</v>
      </c>
      <c r="D21019" t="s">
        <v>11</v>
      </c>
      <c r="E21019" t="s">
        <v>12</v>
      </c>
      <c r="F21019">
        <v>134361933</v>
      </c>
      <c r="G21019">
        <v>134361998</v>
      </c>
      <c r="H21019">
        <v>134361933</v>
      </c>
      <c r="I21019">
        <v>134361998</v>
      </c>
    </row>
    <row r="21020" spans="1:9" x14ac:dyDescent="0.2">
      <c r="A21020" t="str">
        <f>"Tmem184a"</f>
        <v>Tmem184a</v>
      </c>
      <c r="B21020" t="s">
        <v>14</v>
      </c>
      <c r="C21020" t="s">
        <v>46</v>
      </c>
      <c r="D21020" t="s">
        <v>11</v>
      </c>
      <c r="E21020" t="s">
        <v>12</v>
      </c>
      <c r="F21020">
        <v>139813208</v>
      </c>
      <c r="G21020">
        <v>139813220</v>
      </c>
      <c r="H21020">
        <v>139813237</v>
      </c>
      <c r="I21020">
        <v>139813250</v>
      </c>
    </row>
    <row r="21021" spans="1:9" x14ac:dyDescent="0.2">
      <c r="A21021" t="str">
        <f>"Tmem184b"</f>
        <v>Tmem184b</v>
      </c>
      <c r="B21021" t="s">
        <v>14</v>
      </c>
      <c r="C21021" t="s">
        <v>25</v>
      </c>
      <c r="D21021" t="s">
        <v>11</v>
      </c>
      <c r="E21021" t="s">
        <v>12</v>
      </c>
      <c r="F21021">
        <v>79403248</v>
      </c>
      <c r="G21021">
        <v>79403309</v>
      </c>
      <c r="H21021">
        <v>79403236</v>
      </c>
      <c r="I21021">
        <v>79403245</v>
      </c>
    </row>
    <row r="21022" spans="1:9" x14ac:dyDescent="0.2">
      <c r="A21022" t="str">
        <f>"Tmem184c"</f>
        <v>Tmem184c</v>
      </c>
      <c r="B21022" t="s">
        <v>14</v>
      </c>
      <c r="C21022" t="s">
        <v>30</v>
      </c>
      <c r="D21022" t="s">
        <v>11</v>
      </c>
      <c r="E21022" t="s">
        <v>12</v>
      </c>
      <c r="F21022">
        <v>77610597</v>
      </c>
      <c r="G21022">
        <v>77610643</v>
      </c>
      <c r="H21022">
        <v>77610675</v>
      </c>
      <c r="I21022">
        <v>77610730</v>
      </c>
    </row>
    <row r="21023" spans="1:9" x14ac:dyDescent="0.2">
      <c r="A21023" t="str">
        <f>"Tmem186"</f>
        <v>Tmem186</v>
      </c>
      <c r="B21023" t="s">
        <v>14</v>
      </c>
      <c r="C21023" t="s">
        <v>31</v>
      </c>
      <c r="D21023" t="s">
        <v>11</v>
      </c>
      <c r="E21023" t="s">
        <v>12</v>
      </c>
      <c r="F21023">
        <v>8637514</v>
      </c>
      <c r="G21023">
        <v>8637553</v>
      </c>
      <c r="H21023">
        <v>8637662</v>
      </c>
      <c r="I21023">
        <v>8637703</v>
      </c>
    </row>
    <row r="21024" spans="1:9" x14ac:dyDescent="0.2">
      <c r="A21024" t="str">
        <f>"Tmem189"</f>
        <v>Tmem189</v>
      </c>
      <c r="B21024" t="s">
        <v>9</v>
      </c>
      <c r="C21024" t="s">
        <v>26</v>
      </c>
      <c r="D21024" t="s">
        <v>11</v>
      </c>
      <c r="E21024" t="s">
        <v>12</v>
      </c>
      <c r="F21024">
        <v>167661514</v>
      </c>
      <c r="G21024">
        <v>167661591</v>
      </c>
      <c r="H21024">
        <v>167661514</v>
      </c>
      <c r="I21024">
        <v>167661591</v>
      </c>
    </row>
    <row r="21025" spans="1:9" x14ac:dyDescent="0.2">
      <c r="A21025" t="str">
        <f>"Tmem189"</f>
        <v>Tmem189</v>
      </c>
      <c r="B21025" t="s">
        <v>13</v>
      </c>
      <c r="C21025" t="s">
        <v>26</v>
      </c>
      <c r="D21025" t="s">
        <v>11</v>
      </c>
      <c r="E21025" t="s">
        <v>12</v>
      </c>
      <c r="F21025">
        <v>167689778</v>
      </c>
      <c r="G21025">
        <v>167689799</v>
      </c>
      <c r="H21025">
        <v>167689778</v>
      </c>
      <c r="I21025">
        <v>167689799</v>
      </c>
    </row>
    <row r="21026" spans="1:9" x14ac:dyDescent="0.2">
      <c r="A21026" t="str">
        <f>"Tmem19"</f>
        <v>Tmem19</v>
      </c>
      <c r="B21026" t="s">
        <v>14</v>
      </c>
      <c r="C21026" t="s">
        <v>15</v>
      </c>
      <c r="D21026" t="s">
        <v>11</v>
      </c>
      <c r="E21026" t="s">
        <v>12</v>
      </c>
      <c r="F21026">
        <v>115362191</v>
      </c>
      <c r="G21026">
        <v>115362255</v>
      </c>
      <c r="H21026">
        <v>115362191</v>
      </c>
      <c r="I21026">
        <v>115362255</v>
      </c>
    </row>
    <row r="21027" spans="1:9" x14ac:dyDescent="0.2">
      <c r="A21027" t="str">
        <f>"Tmem190"</f>
        <v>Tmem190</v>
      </c>
      <c r="B21027" t="s">
        <v>14</v>
      </c>
      <c r="C21027" t="s">
        <v>33</v>
      </c>
      <c r="D21027" t="s">
        <v>17</v>
      </c>
      <c r="E21027" t="s">
        <v>12</v>
      </c>
      <c r="F21027">
        <v>4782940</v>
      </c>
      <c r="G21027">
        <v>4782959</v>
      </c>
      <c r="H21027">
        <v>4782962</v>
      </c>
      <c r="I21027">
        <v>4782965</v>
      </c>
    </row>
    <row r="21028" spans="1:9" x14ac:dyDescent="0.2">
      <c r="A21028" t="str">
        <f>"Tmem191c"</f>
        <v>Tmem191c</v>
      </c>
      <c r="B21028" t="s">
        <v>14</v>
      </c>
      <c r="C21028" t="s">
        <v>31</v>
      </c>
      <c r="D21028" t="s">
        <v>17</v>
      </c>
      <c r="E21028" t="s">
        <v>12</v>
      </c>
      <c r="F21028">
        <v>17276291</v>
      </c>
      <c r="G21028">
        <v>17276330</v>
      </c>
      <c r="H21028">
        <v>17276337</v>
      </c>
      <c r="I21028">
        <v>17276358</v>
      </c>
    </row>
    <row r="21029" spans="1:9" x14ac:dyDescent="0.2">
      <c r="A21029" t="str">
        <f>"Tmem192"</f>
        <v>Tmem192</v>
      </c>
      <c r="B21029" t="s">
        <v>14</v>
      </c>
      <c r="C21029" t="s">
        <v>30</v>
      </c>
      <c r="D21029" t="s">
        <v>17</v>
      </c>
      <c r="E21029" t="s">
        <v>12</v>
      </c>
      <c r="F21029">
        <v>64947177</v>
      </c>
      <c r="G21029">
        <v>64947255</v>
      </c>
      <c r="H21029">
        <v>64947268</v>
      </c>
      <c r="I21029">
        <v>64947277</v>
      </c>
    </row>
    <row r="21030" spans="1:9" x14ac:dyDescent="0.2">
      <c r="A21030" t="str">
        <f>"Tmem194"</f>
        <v>Tmem194</v>
      </c>
      <c r="B21030" t="s">
        <v>14</v>
      </c>
      <c r="C21030" t="s">
        <v>15</v>
      </c>
      <c r="D21030" t="s">
        <v>17</v>
      </c>
      <c r="E21030" t="s">
        <v>12</v>
      </c>
      <c r="F21030">
        <v>127677064</v>
      </c>
      <c r="G21030">
        <v>127677099</v>
      </c>
      <c r="H21030">
        <v>127677043</v>
      </c>
      <c r="I21030">
        <v>127677059</v>
      </c>
    </row>
    <row r="21031" spans="1:9" x14ac:dyDescent="0.2">
      <c r="A21031" t="str">
        <f>"Tmem194b"</f>
        <v>Tmem194b</v>
      </c>
      <c r="B21031" t="s">
        <v>14</v>
      </c>
      <c r="C21031" t="s">
        <v>19</v>
      </c>
      <c r="D21031" t="s">
        <v>17</v>
      </c>
      <c r="E21031" t="s">
        <v>12</v>
      </c>
      <c r="F21031">
        <v>52630692</v>
      </c>
      <c r="G21031">
        <v>52630757</v>
      </c>
      <c r="H21031">
        <v>52630692</v>
      </c>
      <c r="I21031">
        <v>52630757</v>
      </c>
    </row>
    <row r="21032" spans="1:9" x14ac:dyDescent="0.2">
      <c r="A21032" t="str">
        <f>"Tmem196"</f>
        <v>Tmem196</v>
      </c>
      <c r="B21032" t="s">
        <v>14</v>
      </c>
      <c r="C21032" t="s">
        <v>16</v>
      </c>
      <c r="D21032" t="s">
        <v>17</v>
      </c>
      <c r="E21032" t="s">
        <v>12</v>
      </c>
      <c r="F21032">
        <v>119946104</v>
      </c>
      <c r="G21032">
        <v>119946133</v>
      </c>
      <c r="H21032">
        <v>119945854</v>
      </c>
      <c r="I21032">
        <v>119945893</v>
      </c>
    </row>
    <row r="21033" spans="1:9" x14ac:dyDescent="0.2">
      <c r="A21033" t="str">
        <f>"Tmem198"</f>
        <v>Tmem198</v>
      </c>
      <c r="B21033" t="s">
        <v>14</v>
      </c>
      <c r="C21033" t="s">
        <v>19</v>
      </c>
      <c r="D21033" t="s">
        <v>17</v>
      </c>
      <c r="E21033" t="s">
        <v>12</v>
      </c>
      <c r="F21033">
        <v>75479529</v>
      </c>
      <c r="G21033">
        <v>75479593</v>
      </c>
      <c r="H21033">
        <v>75479506</v>
      </c>
      <c r="I21033">
        <v>75479517</v>
      </c>
    </row>
    <row r="21034" spans="1:9" x14ac:dyDescent="0.2">
      <c r="A21034" t="str">
        <f>"Tmem198b"</f>
        <v>Tmem198b</v>
      </c>
      <c r="B21034" t="s">
        <v>14</v>
      </c>
      <c r="C21034" t="s">
        <v>15</v>
      </c>
      <c r="D21034" t="s">
        <v>11</v>
      </c>
      <c r="E21034" t="s">
        <v>12</v>
      </c>
      <c r="F21034">
        <v>128804408</v>
      </c>
      <c r="G21034">
        <v>128804446</v>
      </c>
      <c r="H21034">
        <v>128804375</v>
      </c>
      <c r="I21034">
        <v>128804395</v>
      </c>
    </row>
    <row r="21035" spans="1:9" x14ac:dyDescent="0.2">
      <c r="A21035" t="str">
        <f>"Tmem199"</f>
        <v>Tmem199</v>
      </c>
      <c r="B21035" t="s">
        <v>14</v>
      </c>
      <c r="C21035" t="s">
        <v>27</v>
      </c>
      <c r="D21035" t="s">
        <v>11</v>
      </c>
      <c r="E21035" t="s">
        <v>12</v>
      </c>
      <c r="F21035">
        <v>78512105</v>
      </c>
      <c r="G21035">
        <v>78512148</v>
      </c>
      <c r="H21035">
        <v>78512105</v>
      </c>
      <c r="I21035">
        <v>78512148</v>
      </c>
    </row>
    <row r="21036" spans="1:9" x14ac:dyDescent="0.2">
      <c r="A21036" t="str">
        <f>"Tmem2"</f>
        <v>Tmem2</v>
      </c>
      <c r="B21036" t="s">
        <v>14</v>
      </c>
      <c r="C21036" t="s">
        <v>10</v>
      </c>
      <c r="D21036" t="s">
        <v>17</v>
      </c>
      <c r="E21036" t="s">
        <v>12</v>
      </c>
      <c r="F21036">
        <v>21778325</v>
      </c>
      <c r="G21036">
        <v>21778363</v>
      </c>
      <c r="H21036">
        <v>21778376</v>
      </c>
      <c r="I21036">
        <v>21778392</v>
      </c>
    </row>
    <row r="21037" spans="1:9" x14ac:dyDescent="0.2">
      <c r="A21037" t="str">
        <f>"Tmem200a"</f>
        <v>Tmem200a</v>
      </c>
      <c r="B21037" t="s">
        <v>14</v>
      </c>
      <c r="C21037" t="s">
        <v>15</v>
      </c>
      <c r="D21037" t="s">
        <v>11</v>
      </c>
      <c r="E21037" t="s">
        <v>12</v>
      </c>
      <c r="F21037">
        <v>26078987</v>
      </c>
      <c r="G21037">
        <v>26079028</v>
      </c>
      <c r="H21037">
        <v>26078951</v>
      </c>
      <c r="I21037">
        <v>26078968</v>
      </c>
    </row>
    <row r="21038" spans="1:9" x14ac:dyDescent="0.2">
      <c r="A21038" t="str">
        <f>"Tmem200b"</f>
        <v>Tmem200b</v>
      </c>
      <c r="B21038" t="s">
        <v>14</v>
      </c>
      <c r="C21038" t="s">
        <v>23</v>
      </c>
      <c r="D21038" t="s">
        <v>17</v>
      </c>
      <c r="E21038" t="s">
        <v>12</v>
      </c>
      <c r="F21038">
        <v>131921463</v>
      </c>
      <c r="G21038">
        <v>131921483</v>
      </c>
      <c r="H21038">
        <v>131921463</v>
      </c>
      <c r="I21038">
        <v>131921483</v>
      </c>
    </row>
    <row r="21039" spans="1:9" x14ac:dyDescent="0.2">
      <c r="A21039" t="str">
        <f>"Tmem200c"</f>
        <v>Tmem200c</v>
      </c>
      <c r="B21039" t="s">
        <v>14</v>
      </c>
      <c r="C21039" t="s">
        <v>28</v>
      </c>
      <c r="D21039" t="s">
        <v>17</v>
      </c>
      <c r="E21039" t="s">
        <v>12</v>
      </c>
      <c r="F21039">
        <v>68837062</v>
      </c>
      <c r="G21039">
        <v>68837093</v>
      </c>
      <c r="H21039">
        <v>68837179</v>
      </c>
      <c r="I21039">
        <v>68837200</v>
      </c>
    </row>
    <row r="21040" spans="1:9" x14ac:dyDescent="0.2">
      <c r="A21040" t="str">
        <f>"Tmem201"</f>
        <v>Tmem201</v>
      </c>
      <c r="B21040" t="s">
        <v>14</v>
      </c>
      <c r="C21040" t="s">
        <v>23</v>
      </c>
      <c r="D21040" t="s">
        <v>11</v>
      </c>
      <c r="E21040" t="s">
        <v>12</v>
      </c>
      <c r="F21040">
        <v>149737957</v>
      </c>
      <c r="G21040">
        <v>149738054</v>
      </c>
      <c r="H21040">
        <v>149738055</v>
      </c>
      <c r="I21040">
        <v>149738077</v>
      </c>
    </row>
    <row r="21041" spans="1:9" x14ac:dyDescent="0.2">
      <c r="A21041" t="str">
        <f>"Tmem202"</f>
        <v>Tmem202</v>
      </c>
      <c r="B21041" t="s">
        <v>14</v>
      </c>
      <c r="C21041" t="s">
        <v>24</v>
      </c>
      <c r="D21041" t="s">
        <v>11</v>
      </c>
      <c r="E21041" t="s">
        <v>12</v>
      </c>
      <c r="F21041">
        <v>59525446</v>
      </c>
      <c r="G21041">
        <v>59525476</v>
      </c>
      <c r="H21041">
        <v>59525479</v>
      </c>
      <c r="I21041">
        <v>59525482</v>
      </c>
    </row>
    <row r="21042" spans="1:9" x14ac:dyDescent="0.2">
      <c r="A21042" t="str">
        <f>"Tmem203"</f>
        <v>Tmem203</v>
      </c>
      <c r="B21042" t="s">
        <v>14</v>
      </c>
      <c r="C21042" t="s">
        <v>26</v>
      </c>
      <c r="D21042" t="s">
        <v>17</v>
      </c>
      <c r="E21042" t="s">
        <v>12</v>
      </c>
      <c r="F21042">
        <v>25255439</v>
      </c>
      <c r="G21042">
        <v>25255486</v>
      </c>
      <c r="H21042">
        <v>25255439</v>
      </c>
      <c r="I21042">
        <v>25255486</v>
      </c>
    </row>
    <row r="21043" spans="1:9" x14ac:dyDescent="0.2">
      <c r="A21043" t="str">
        <f>"Tmem204"</f>
        <v>Tmem204</v>
      </c>
      <c r="B21043" t="s">
        <v>14</v>
      </c>
      <c r="C21043" t="s">
        <v>28</v>
      </c>
      <c r="D21043" t="s">
        <v>11</v>
      </c>
      <c r="E21043" t="s">
        <v>12</v>
      </c>
      <c r="F21043">
        <v>25081138</v>
      </c>
      <c r="G21043">
        <v>25081201</v>
      </c>
      <c r="H21043">
        <v>25081138</v>
      </c>
      <c r="I21043">
        <v>25081201</v>
      </c>
    </row>
    <row r="21044" spans="1:9" x14ac:dyDescent="0.2">
      <c r="A21044" t="str">
        <f>"Tmem205"</f>
        <v>Tmem205</v>
      </c>
      <c r="B21044" t="s">
        <v>14</v>
      </c>
      <c r="C21044" t="s">
        <v>24</v>
      </c>
      <c r="D21044" t="s">
        <v>11</v>
      </c>
      <c r="E21044" t="s">
        <v>12</v>
      </c>
      <c r="F21044">
        <v>21927336</v>
      </c>
      <c r="G21044">
        <v>21927385</v>
      </c>
      <c r="H21044">
        <v>21927515</v>
      </c>
      <c r="I21044">
        <v>21927563</v>
      </c>
    </row>
    <row r="21045" spans="1:9" x14ac:dyDescent="0.2">
      <c r="A21045" t="str">
        <f>"Tmem206"</f>
        <v>Tmem206</v>
      </c>
      <c r="B21045" t="s">
        <v>14</v>
      </c>
      <c r="C21045" t="s">
        <v>19</v>
      </c>
      <c r="D21045" t="s">
        <v>17</v>
      </c>
      <c r="E21045" t="s">
        <v>12</v>
      </c>
      <c r="F21045">
        <v>191325919</v>
      </c>
      <c r="G21045">
        <v>191325984</v>
      </c>
      <c r="H21045">
        <v>191325919</v>
      </c>
      <c r="I21045">
        <v>191325984</v>
      </c>
    </row>
    <row r="21046" spans="1:9" x14ac:dyDescent="0.2">
      <c r="A21046" t="str">
        <f>"Tmem207"</f>
        <v>Tmem207</v>
      </c>
      <c r="B21046" t="s">
        <v>14</v>
      </c>
      <c r="C21046" t="s">
        <v>31</v>
      </c>
      <c r="D21046" t="s">
        <v>11</v>
      </c>
      <c r="E21046" t="s">
        <v>12</v>
      </c>
      <c r="F21046">
        <v>26526744</v>
      </c>
      <c r="G21046">
        <v>26526774</v>
      </c>
      <c r="H21046">
        <v>26526725</v>
      </c>
      <c r="I21046">
        <v>26526738</v>
      </c>
    </row>
    <row r="21047" spans="1:9" x14ac:dyDescent="0.2">
      <c r="A21047" t="str">
        <f>"Tmem208"</f>
        <v>Tmem208</v>
      </c>
      <c r="B21047" t="s">
        <v>14</v>
      </c>
      <c r="C21047" t="s">
        <v>30</v>
      </c>
      <c r="D21047" t="s">
        <v>17</v>
      </c>
      <c r="E21047" t="s">
        <v>12</v>
      </c>
      <c r="F21047">
        <v>105326354</v>
      </c>
      <c r="G21047">
        <v>105326411</v>
      </c>
      <c r="H21047">
        <v>105326419</v>
      </c>
      <c r="I21047">
        <v>105326441</v>
      </c>
    </row>
    <row r="21048" spans="1:9" x14ac:dyDescent="0.2">
      <c r="A21048" t="str">
        <f>"Tmem209"</f>
        <v>Tmem209</v>
      </c>
      <c r="B21048" t="s">
        <v>14</v>
      </c>
      <c r="C21048" t="s">
        <v>32</v>
      </c>
      <c r="D21048" t="s">
        <v>11</v>
      </c>
      <c r="E21048" t="s">
        <v>12</v>
      </c>
      <c r="F21048">
        <v>30509706</v>
      </c>
      <c r="G21048">
        <v>30509733</v>
      </c>
      <c r="H21048">
        <v>30509738</v>
      </c>
      <c r="I21048">
        <v>30509757</v>
      </c>
    </row>
    <row r="21049" spans="1:9" x14ac:dyDescent="0.2">
      <c r="A21049" t="str">
        <f>"Tmem210"</f>
        <v>Tmem210</v>
      </c>
      <c r="B21049" t="s">
        <v>14</v>
      </c>
      <c r="C21049" t="s">
        <v>26</v>
      </c>
      <c r="D21049" t="s">
        <v>17</v>
      </c>
      <c r="E21049" t="s">
        <v>12</v>
      </c>
      <c r="F21049">
        <v>25288135</v>
      </c>
      <c r="G21049">
        <v>25288150</v>
      </c>
      <c r="H21049">
        <v>25288167</v>
      </c>
      <c r="I21049">
        <v>25288175</v>
      </c>
    </row>
    <row r="21050" spans="1:9" x14ac:dyDescent="0.2">
      <c r="A21050" t="str">
        <f>"Tmem211"</f>
        <v>Tmem211</v>
      </c>
      <c r="B21050" t="s">
        <v>5935</v>
      </c>
      <c r="C21050" t="s">
        <v>46</v>
      </c>
      <c r="D21050" t="s">
        <v>17</v>
      </c>
      <c r="E21050" t="s">
        <v>20</v>
      </c>
      <c r="F21050">
        <v>113226908</v>
      </c>
      <c r="G21050">
        <v>113226908</v>
      </c>
      <c r="H21050">
        <v>113226908</v>
      </c>
      <c r="I21050">
        <v>113226908</v>
      </c>
    </row>
    <row r="21051" spans="1:9" x14ac:dyDescent="0.2">
      <c r="A21051" t="str">
        <f>"Tmem212"</f>
        <v>Tmem212</v>
      </c>
      <c r="B21051" t="s">
        <v>14</v>
      </c>
      <c r="C21051" t="s">
        <v>22</v>
      </c>
      <c r="D21051" t="s">
        <v>11</v>
      </c>
      <c r="E21051" t="s">
        <v>12</v>
      </c>
      <c r="F21051">
        <v>27896360</v>
      </c>
      <c r="G21051">
        <v>27896390</v>
      </c>
      <c r="H21051">
        <v>27896347</v>
      </c>
      <c r="I21051">
        <v>27896356</v>
      </c>
    </row>
    <row r="21052" spans="1:9" x14ac:dyDescent="0.2">
      <c r="A21052" t="str">
        <f>"Tmem213"</f>
        <v>Tmem213</v>
      </c>
      <c r="B21052" t="s">
        <v>14</v>
      </c>
      <c r="C21052" t="s">
        <v>32</v>
      </c>
      <c r="D21052" t="s">
        <v>17</v>
      </c>
      <c r="E21052" t="s">
        <v>12</v>
      </c>
      <c r="F21052">
        <v>38109320</v>
      </c>
      <c r="G21052">
        <v>38109402</v>
      </c>
      <c r="H21052">
        <v>38109408</v>
      </c>
      <c r="I21052">
        <v>38109417</v>
      </c>
    </row>
    <row r="21053" spans="1:9" x14ac:dyDescent="0.2">
      <c r="A21053" t="str">
        <f>"Tmem214"</f>
        <v>Tmem214</v>
      </c>
      <c r="B21053" t="s">
        <v>14</v>
      </c>
      <c r="C21053" t="s">
        <v>46</v>
      </c>
      <c r="D21053" t="s">
        <v>17</v>
      </c>
      <c r="E21053" t="s">
        <v>12</v>
      </c>
      <c r="F21053">
        <v>30869623</v>
      </c>
      <c r="G21053">
        <v>30869664</v>
      </c>
      <c r="H21053">
        <v>30869598</v>
      </c>
      <c r="I21053">
        <v>30869620</v>
      </c>
    </row>
    <row r="21054" spans="1:9" x14ac:dyDescent="0.2">
      <c r="A21054" t="str">
        <f>"Tmem215"</f>
        <v>Tmem215</v>
      </c>
      <c r="B21054" t="s">
        <v>14</v>
      </c>
      <c r="C21054" t="s">
        <v>23</v>
      </c>
      <c r="D21054" t="s">
        <v>17</v>
      </c>
      <c r="E21054" t="s">
        <v>12</v>
      </c>
      <c r="F21054">
        <v>40473522</v>
      </c>
      <c r="G21054">
        <v>40473541</v>
      </c>
      <c r="H21054">
        <v>40473522</v>
      </c>
      <c r="I21054">
        <v>40473541</v>
      </c>
    </row>
    <row r="21055" spans="1:9" x14ac:dyDescent="0.2">
      <c r="A21055" t="str">
        <f>"Tmem216"</f>
        <v>Tmem216</v>
      </c>
      <c r="B21055" t="s">
        <v>14</v>
      </c>
      <c r="C21055" t="s">
        <v>10</v>
      </c>
      <c r="D21055" t="s">
        <v>11</v>
      </c>
      <c r="E21055" t="s">
        <v>12</v>
      </c>
      <c r="F21055">
        <v>10555724</v>
      </c>
      <c r="G21055">
        <v>10555761</v>
      </c>
      <c r="H21055">
        <v>10556198</v>
      </c>
      <c r="I21055">
        <v>10556275</v>
      </c>
    </row>
    <row r="21056" spans="1:9" x14ac:dyDescent="0.2">
      <c r="A21056" t="str">
        <f>"Tmem217"</f>
        <v>Tmem217</v>
      </c>
      <c r="B21056" t="s">
        <v>14</v>
      </c>
      <c r="C21056" t="s">
        <v>28</v>
      </c>
      <c r="D21056" t="s">
        <v>11</v>
      </c>
      <c r="E21056" t="s">
        <v>12</v>
      </c>
      <c r="F21056">
        <v>29549631</v>
      </c>
      <c r="G21056">
        <v>29549643</v>
      </c>
      <c r="H21056">
        <v>29549588</v>
      </c>
      <c r="I21056">
        <v>29549598</v>
      </c>
    </row>
    <row r="21057" spans="1:9" x14ac:dyDescent="0.2">
      <c r="A21057" t="str">
        <f>"Tmem218"</f>
        <v>Tmem218</v>
      </c>
      <c r="B21057" t="s">
        <v>14</v>
      </c>
      <c r="C21057" t="s">
        <v>24</v>
      </c>
      <c r="D21057" t="s">
        <v>17</v>
      </c>
      <c r="E21057" t="s">
        <v>12</v>
      </c>
      <c r="F21057">
        <v>37208291</v>
      </c>
      <c r="G21057">
        <v>37208360</v>
      </c>
      <c r="H21057">
        <v>37208291</v>
      </c>
      <c r="I21057">
        <v>37208360</v>
      </c>
    </row>
    <row r="21058" spans="1:9" x14ac:dyDescent="0.2">
      <c r="A21058" t="str">
        <f>"Tmem219"</f>
        <v>Tmem219</v>
      </c>
      <c r="B21058" t="s">
        <v>14</v>
      </c>
      <c r="C21058" t="s">
        <v>33</v>
      </c>
      <c r="D21058" t="s">
        <v>11</v>
      </c>
      <c r="E21058" t="s">
        <v>12</v>
      </c>
      <c r="F21058">
        <v>126898249</v>
      </c>
      <c r="G21058">
        <v>126898288</v>
      </c>
      <c r="H21058">
        <v>126898225</v>
      </c>
      <c r="I21058">
        <v>126898247</v>
      </c>
    </row>
    <row r="21059" spans="1:9" x14ac:dyDescent="0.2">
      <c r="A21059" t="str">
        <f>"Tmem220"</f>
        <v>Tmem220</v>
      </c>
      <c r="B21059" t="s">
        <v>14</v>
      </c>
      <c r="C21059" t="s">
        <v>27</v>
      </c>
      <c r="D21059" t="s">
        <v>17</v>
      </c>
      <c r="E21059" t="s">
        <v>12</v>
      </c>
      <c r="F21059">
        <v>67025144</v>
      </c>
      <c r="G21059">
        <v>67025179</v>
      </c>
      <c r="H21059">
        <v>67025144</v>
      </c>
      <c r="I21059">
        <v>67025179</v>
      </c>
    </row>
    <row r="21060" spans="1:9" x14ac:dyDescent="0.2">
      <c r="A21060" t="str">
        <f>"Tmem221"</f>
        <v>Tmem221</v>
      </c>
      <c r="B21060" t="s">
        <v>14</v>
      </c>
      <c r="C21060" t="s">
        <v>30</v>
      </c>
      <c r="D21060" t="s">
        <v>11</v>
      </c>
      <c r="E21060" t="s">
        <v>12</v>
      </c>
      <c r="F21060">
        <v>71558970</v>
      </c>
      <c r="G21060">
        <v>71558983</v>
      </c>
      <c r="H21060">
        <v>71558990</v>
      </c>
      <c r="I21060">
        <v>71559008</v>
      </c>
    </row>
    <row r="21061" spans="1:9" x14ac:dyDescent="0.2">
      <c r="A21061" t="str">
        <f>"Tmem222"</f>
        <v>Tmem222</v>
      </c>
      <c r="B21061" t="s">
        <v>14</v>
      </c>
      <c r="C21061" t="s">
        <v>23</v>
      </c>
      <c r="D21061" t="s">
        <v>11</v>
      </c>
      <c r="E21061" t="s">
        <v>12</v>
      </c>
      <c r="F21061">
        <v>133277593</v>
      </c>
      <c r="G21061">
        <v>133277674</v>
      </c>
      <c r="H21061">
        <v>133277730</v>
      </c>
      <c r="I21061">
        <v>133277804</v>
      </c>
    </row>
    <row r="21062" spans="1:9" x14ac:dyDescent="0.2">
      <c r="A21062" t="str">
        <f>"Tmem223"</f>
        <v>Tmem223</v>
      </c>
      <c r="B21062" t="s">
        <v>14</v>
      </c>
      <c r="C21062" t="s">
        <v>10</v>
      </c>
      <c r="D21062" t="s">
        <v>17</v>
      </c>
      <c r="E21062" t="s">
        <v>12</v>
      </c>
      <c r="F21062">
        <v>8770983</v>
      </c>
      <c r="G21062">
        <v>8771019</v>
      </c>
      <c r="H21062">
        <v>8770983</v>
      </c>
      <c r="I21062">
        <v>8771019</v>
      </c>
    </row>
    <row r="21063" spans="1:9" x14ac:dyDescent="0.2">
      <c r="A21063" t="str">
        <f>"Tmem225"</f>
        <v>Tmem225</v>
      </c>
      <c r="B21063" t="s">
        <v>14</v>
      </c>
      <c r="C21063" t="s">
        <v>24</v>
      </c>
      <c r="D21063" t="s">
        <v>17</v>
      </c>
      <c r="E21063" t="s">
        <v>12</v>
      </c>
      <c r="F21063">
        <v>40148112</v>
      </c>
      <c r="G21063">
        <v>40148132</v>
      </c>
      <c r="H21063">
        <v>40148156</v>
      </c>
      <c r="I21063">
        <v>40148165</v>
      </c>
    </row>
    <row r="21064" spans="1:9" x14ac:dyDescent="0.2">
      <c r="A21064" t="str">
        <f>"Tmem229a"</f>
        <v>Tmem229a</v>
      </c>
      <c r="B21064" t="s">
        <v>14</v>
      </c>
      <c r="C21064" t="s">
        <v>32</v>
      </c>
      <c r="D21064" t="s">
        <v>11</v>
      </c>
      <c r="E21064" t="s">
        <v>12</v>
      </c>
      <c r="F21064">
        <v>24956071</v>
      </c>
      <c r="G21064">
        <v>24956105</v>
      </c>
      <c r="H21064">
        <v>24956106</v>
      </c>
      <c r="I21064">
        <v>24956131</v>
      </c>
    </row>
    <row r="21065" spans="1:9" x14ac:dyDescent="0.2">
      <c r="A21065" t="str">
        <f>"Tmem229b"</f>
        <v>Tmem229b</v>
      </c>
      <c r="B21065" t="s">
        <v>9</v>
      </c>
      <c r="C21065" t="s">
        <v>16</v>
      </c>
      <c r="D21065" t="s">
        <v>11</v>
      </c>
      <c r="E21065" t="s">
        <v>12</v>
      </c>
      <c r="F21065">
        <v>79007276</v>
      </c>
      <c r="G21065">
        <v>79007346</v>
      </c>
      <c r="H21065">
        <v>79007276</v>
      </c>
      <c r="I21065">
        <v>79007346</v>
      </c>
    </row>
    <row r="21066" spans="1:9" x14ac:dyDescent="0.2">
      <c r="A21066" t="str">
        <f>"Tmem229b"</f>
        <v>Tmem229b</v>
      </c>
      <c r="B21066" t="s">
        <v>13</v>
      </c>
      <c r="C21066" t="s">
        <v>16</v>
      </c>
      <c r="D21066" t="s">
        <v>11</v>
      </c>
      <c r="E21066" t="s">
        <v>12</v>
      </c>
      <c r="F21066">
        <v>78980758</v>
      </c>
      <c r="G21066">
        <v>78980817</v>
      </c>
      <c r="H21066">
        <v>78980758</v>
      </c>
      <c r="I21066">
        <v>78980817</v>
      </c>
    </row>
    <row r="21067" spans="1:9" x14ac:dyDescent="0.2">
      <c r="A21067" t="str">
        <f>"Tmem230"</f>
        <v>Tmem230</v>
      </c>
      <c r="B21067" t="s">
        <v>14</v>
      </c>
      <c r="C21067" t="s">
        <v>26</v>
      </c>
      <c r="D21067" t="s">
        <v>11</v>
      </c>
      <c r="E21067" t="s">
        <v>67</v>
      </c>
      <c r="F21067">
        <v>132247747</v>
      </c>
      <c r="G21067">
        <v>132247787</v>
      </c>
      <c r="H21067">
        <v>132247623</v>
      </c>
      <c r="I21067">
        <v>132247644</v>
      </c>
    </row>
    <row r="21068" spans="1:9" x14ac:dyDescent="0.2">
      <c r="A21068" t="str">
        <f>"Tmem231"</f>
        <v>Tmem231</v>
      </c>
      <c r="B21068" t="s">
        <v>14</v>
      </c>
      <c r="C21068" t="s">
        <v>30</v>
      </c>
      <c r="D21068" t="s">
        <v>11</v>
      </c>
      <c r="E21068" t="s">
        <v>12</v>
      </c>
      <c r="F21068">
        <v>111933761</v>
      </c>
      <c r="G21068">
        <v>111933816</v>
      </c>
      <c r="H21068">
        <v>111933761</v>
      </c>
      <c r="I21068">
        <v>111933816</v>
      </c>
    </row>
    <row r="21069" spans="1:9" x14ac:dyDescent="0.2">
      <c r="A21069" t="str">
        <f>"Tmem232"</f>
        <v>Tmem232</v>
      </c>
      <c r="B21069" t="s">
        <v>14</v>
      </c>
      <c r="C21069" t="s">
        <v>28</v>
      </c>
      <c r="D21069" t="s">
        <v>11</v>
      </c>
      <c r="E21069" t="s">
        <v>12</v>
      </c>
      <c r="F21069">
        <v>65540747</v>
      </c>
      <c r="G21069">
        <v>65540773</v>
      </c>
      <c r="H21069">
        <v>65540738</v>
      </c>
      <c r="I21069">
        <v>65540746</v>
      </c>
    </row>
    <row r="21070" spans="1:9" x14ac:dyDescent="0.2">
      <c r="A21070" t="str">
        <f>"Tmem233"</f>
        <v>Tmem233</v>
      </c>
      <c r="B21070" t="s">
        <v>14</v>
      </c>
      <c r="C21070" t="s">
        <v>46</v>
      </c>
      <c r="D21070" t="s">
        <v>11</v>
      </c>
      <c r="E21070" t="s">
        <v>12</v>
      </c>
      <c r="F21070">
        <v>116083259</v>
      </c>
      <c r="G21070">
        <v>116083276</v>
      </c>
      <c r="H21070">
        <v>116083234</v>
      </c>
      <c r="I21070">
        <v>116083251</v>
      </c>
    </row>
    <row r="21071" spans="1:9" x14ac:dyDescent="0.2">
      <c r="A21071" t="str">
        <f>"Tmem234"</f>
        <v>Tmem234</v>
      </c>
      <c r="B21071" t="s">
        <v>14</v>
      </c>
      <c r="C21071" t="s">
        <v>23</v>
      </c>
      <c r="D21071" t="s">
        <v>17</v>
      </c>
      <c r="E21071" t="s">
        <v>67</v>
      </c>
      <c r="F21071">
        <v>129600670</v>
      </c>
      <c r="G21071">
        <v>129600715</v>
      </c>
      <c r="H21071">
        <v>129600670</v>
      </c>
      <c r="I21071">
        <v>129600715</v>
      </c>
    </row>
    <row r="21072" spans="1:9" x14ac:dyDescent="0.2">
      <c r="A21072" t="str">
        <f>"Tmem235"</f>
        <v>Tmem235</v>
      </c>
      <c r="B21072" t="s">
        <v>5936</v>
      </c>
      <c r="C21072" t="s">
        <v>27</v>
      </c>
      <c r="D21072" t="s">
        <v>17</v>
      </c>
      <c r="E21072" t="s">
        <v>20</v>
      </c>
      <c r="F21072">
        <v>117860751</v>
      </c>
      <c r="G21072">
        <v>117860751</v>
      </c>
      <c r="H21072">
        <v>117860751</v>
      </c>
      <c r="I21072">
        <v>117860751</v>
      </c>
    </row>
    <row r="21073" spans="1:9" x14ac:dyDescent="0.2">
      <c r="A21073" t="str">
        <f>"Tmem236"</f>
        <v>Tmem236</v>
      </c>
      <c r="B21073" t="s">
        <v>14</v>
      </c>
      <c r="C21073" t="s">
        <v>26</v>
      </c>
      <c r="D21073" t="s">
        <v>17</v>
      </c>
      <c r="E21073" t="s">
        <v>67</v>
      </c>
      <c r="F21073">
        <v>14174513</v>
      </c>
      <c r="G21073">
        <v>14174546</v>
      </c>
      <c r="H21073">
        <v>14174550</v>
      </c>
      <c r="I21073">
        <v>14174564</v>
      </c>
    </row>
    <row r="21074" spans="1:9" x14ac:dyDescent="0.2">
      <c r="A21074" t="str">
        <f>"Tmem237"</f>
        <v>Tmem237</v>
      </c>
      <c r="B21074" t="s">
        <v>14</v>
      </c>
      <c r="C21074" t="s">
        <v>19</v>
      </c>
      <c r="D21074" t="s">
        <v>11</v>
      </c>
      <c r="E21074" t="s">
        <v>67</v>
      </c>
      <c r="F21074">
        <v>59119748</v>
      </c>
      <c r="G21074">
        <v>59119795</v>
      </c>
      <c r="H21074">
        <v>59120079</v>
      </c>
      <c r="I21074">
        <v>59120135</v>
      </c>
    </row>
    <row r="21075" spans="1:9" x14ac:dyDescent="0.2">
      <c r="A21075" t="str">
        <f>"Tmem238"</f>
        <v>Tmem238</v>
      </c>
      <c r="B21075" t="s">
        <v>14</v>
      </c>
      <c r="C21075" t="s">
        <v>33</v>
      </c>
      <c r="D21075" t="s">
        <v>11</v>
      </c>
      <c r="E21075" t="s">
        <v>67</v>
      </c>
      <c r="F21075">
        <v>4789541</v>
      </c>
      <c r="G21075">
        <v>4789614</v>
      </c>
      <c r="H21075">
        <v>4789541</v>
      </c>
      <c r="I21075">
        <v>4789614</v>
      </c>
    </row>
    <row r="21076" spans="1:9" x14ac:dyDescent="0.2">
      <c r="A21076" t="str">
        <f>"Tmem239"</f>
        <v>Tmem239</v>
      </c>
      <c r="B21076" t="s">
        <v>14</v>
      </c>
      <c r="C21076" t="s">
        <v>26</v>
      </c>
      <c r="D21076" t="s">
        <v>17</v>
      </c>
      <c r="E21076" t="s">
        <v>67</v>
      </c>
      <c r="F21076">
        <v>130406504</v>
      </c>
      <c r="G21076">
        <v>130406532</v>
      </c>
      <c r="H21076">
        <v>130406504</v>
      </c>
      <c r="I21076">
        <v>130406532</v>
      </c>
    </row>
    <row r="21077" spans="1:9" x14ac:dyDescent="0.2">
      <c r="A21077" t="str">
        <f>"Tmem240"</f>
        <v>Tmem240</v>
      </c>
      <c r="B21077" t="s">
        <v>14</v>
      </c>
      <c r="C21077" t="s">
        <v>23</v>
      </c>
      <c r="D21077" t="s">
        <v>17</v>
      </c>
      <c r="E21077" t="s">
        <v>67</v>
      </c>
      <c r="F21077">
        <v>155734825</v>
      </c>
      <c r="G21077">
        <v>155734846</v>
      </c>
      <c r="H21077">
        <v>155735073</v>
      </c>
      <c r="I21077">
        <v>155735107</v>
      </c>
    </row>
    <row r="21078" spans="1:9" x14ac:dyDescent="0.2">
      <c r="A21078" t="str">
        <f>"Tmem241"</f>
        <v>Tmem241</v>
      </c>
      <c r="B21078" t="s">
        <v>14</v>
      </c>
      <c r="C21078" t="s">
        <v>43</v>
      </c>
      <c r="D21078" t="s">
        <v>11</v>
      </c>
      <c r="E21078" t="s">
        <v>67</v>
      </c>
      <c r="F21078">
        <v>12121506</v>
      </c>
      <c r="G21078">
        <v>12121541</v>
      </c>
      <c r="H21078">
        <v>12121460</v>
      </c>
      <c r="I21078">
        <v>12121492</v>
      </c>
    </row>
    <row r="21079" spans="1:9" x14ac:dyDescent="0.2">
      <c r="A21079" t="str">
        <f>"Tmem242"</f>
        <v>Tmem242</v>
      </c>
      <c r="B21079" t="s">
        <v>14</v>
      </c>
      <c r="C21079" t="s">
        <v>28</v>
      </c>
      <c r="D21079" t="s">
        <v>11</v>
      </c>
      <c r="E21079" t="s">
        <v>67</v>
      </c>
      <c r="F21079">
        <v>5440229</v>
      </c>
      <c r="G21079">
        <v>5440263</v>
      </c>
      <c r="H21079">
        <v>5440229</v>
      </c>
      <c r="I21079">
        <v>5440263</v>
      </c>
    </row>
    <row r="21080" spans="1:9" x14ac:dyDescent="0.2">
      <c r="A21080" t="str">
        <f>"Tmem243"</f>
        <v>Tmem243</v>
      </c>
      <c r="B21080" t="s">
        <v>14</v>
      </c>
      <c r="C21080" t="s">
        <v>46</v>
      </c>
      <c r="D21080" t="s">
        <v>17</v>
      </c>
      <c r="E21080" t="s">
        <v>67</v>
      </c>
      <c r="F21080">
        <v>9100681</v>
      </c>
      <c r="G21080">
        <v>9100778</v>
      </c>
      <c r="H21080">
        <v>9100656</v>
      </c>
      <c r="I21080">
        <v>9100667</v>
      </c>
    </row>
    <row r="21081" spans="1:9" x14ac:dyDescent="0.2">
      <c r="A21081" t="str">
        <f>"Tmem245"</f>
        <v>Tmem245</v>
      </c>
      <c r="B21081" t="s">
        <v>14</v>
      </c>
      <c r="C21081" t="s">
        <v>23</v>
      </c>
      <c r="D21081" t="s">
        <v>11</v>
      </c>
      <c r="E21081" t="s">
        <v>67</v>
      </c>
      <c r="F21081">
        <v>56947412</v>
      </c>
      <c r="G21081">
        <v>56947447</v>
      </c>
      <c r="H21081">
        <v>56947024</v>
      </c>
      <c r="I21081">
        <v>56947043</v>
      </c>
    </row>
    <row r="21082" spans="1:9" x14ac:dyDescent="0.2">
      <c r="A21082" t="str">
        <f>"Tmem246"</f>
        <v>Tmem246</v>
      </c>
      <c r="B21082" t="s">
        <v>14</v>
      </c>
      <c r="C21082" t="s">
        <v>23</v>
      </c>
      <c r="D21082" t="s">
        <v>11</v>
      </c>
      <c r="E21082" t="s">
        <v>67</v>
      </c>
      <c r="F21082">
        <v>49597425</v>
      </c>
      <c r="G21082">
        <v>49597493</v>
      </c>
      <c r="H21082">
        <v>49597785</v>
      </c>
      <c r="I21082">
        <v>49597830</v>
      </c>
    </row>
    <row r="21083" spans="1:9" x14ac:dyDescent="0.2">
      <c r="A21083" t="str">
        <f>"Tmem247"</f>
        <v>Tmem247</v>
      </c>
      <c r="B21083" t="s">
        <v>14</v>
      </c>
      <c r="C21083" t="s">
        <v>28</v>
      </c>
      <c r="D21083" t="s">
        <v>17</v>
      </c>
      <c r="E21083" t="s">
        <v>67</v>
      </c>
      <c r="F21083">
        <v>86917399</v>
      </c>
      <c r="G21083">
        <v>86917438</v>
      </c>
      <c r="H21083">
        <v>86917441</v>
      </c>
      <c r="I21083">
        <v>86917458</v>
      </c>
    </row>
    <row r="21084" spans="1:9" x14ac:dyDescent="0.2">
      <c r="A21084" t="str">
        <f>"Tmem248"</f>
        <v>Tmem248</v>
      </c>
      <c r="B21084" t="s">
        <v>14</v>
      </c>
      <c r="C21084" t="s">
        <v>46</v>
      </c>
      <c r="D21084" t="s">
        <v>17</v>
      </c>
      <c r="E21084" t="s">
        <v>67</v>
      </c>
      <c r="F21084">
        <v>130222328</v>
      </c>
      <c r="G21084">
        <v>130222390</v>
      </c>
      <c r="H21084">
        <v>130222302</v>
      </c>
      <c r="I21084">
        <v>130222316</v>
      </c>
    </row>
    <row r="21085" spans="1:9" x14ac:dyDescent="0.2">
      <c r="A21085" t="str">
        <f>"Tmem25"</f>
        <v>Tmem25</v>
      </c>
      <c r="B21085" t="s">
        <v>14</v>
      </c>
      <c r="C21085" t="s">
        <v>24</v>
      </c>
      <c r="D21085" t="s">
        <v>11</v>
      </c>
      <c r="E21085" t="s">
        <v>12</v>
      </c>
      <c r="F21085">
        <v>44799179</v>
      </c>
      <c r="G21085">
        <v>44799255</v>
      </c>
      <c r="H21085">
        <v>44799712</v>
      </c>
      <c r="I21085">
        <v>44799756</v>
      </c>
    </row>
    <row r="21086" spans="1:9" x14ac:dyDescent="0.2">
      <c r="A21086" t="str">
        <f>"Tmem251"</f>
        <v>Tmem251</v>
      </c>
      <c r="B21086" t="s">
        <v>14</v>
      </c>
      <c r="C21086" t="s">
        <v>16</v>
      </c>
      <c r="D21086" t="s">
        <v>17</v>
      </c>
      <c r="E21086" t="s">
        <v>67</v>
      </c>
      <c r="F21086">
        <v>102743712</v>
      </c>
      <c r="G21086">
        <v>102743747</v>
      </c>
      <c r="H21086">
        <v>102743750</v>
      </c>
      <c r="I21086">
        <v>102743776</v>
      </c>
    </row>
    <row r="21087" spans="1:9" x14ac:dyDescent="0.2">
      <c r="A21087" t="str">
        <f>"Tmem252"</f>
        <v>Tmem252</v>
      </c>
      <c r="B21087" t="s">
        <v>14</v>
      </c>
      <c r="C21087" t="s">
        <v>10</v>
      </c>
      <c r="D21087" t="s">
        <v>17</v>
      </c>
      <c r="E21087" t="s">
        <v>67</v>
      </c>
      <c r="F21087">
        <v>24673998</v>
      </c>
      <c r="G21087">
        <v>24674017</v>
      </c>
      <c r="H21087">
        <v>24673998</v>
      </c>
      <c r="I21087">
        <v>24674017</v>
      </c>
    </row>
    <row r="21088" spans="1:9" x14ac:dyDescent="0.2">
      <c r="A21088" t="str">
        <f>"Tmem253"</f>
        <v>Tmem253</v>
      </c>
      <c r="B21088" t="s">
        <v>14</v>
      </c>
      <c r="C21088" t="s">
        <v>41</v>
      </c>
      <c r="D21088" t="s">
        <v>17</v>
      </c>
      <c r="E21088" t="s">
        <v>67</v>
      </c>
      <c r="F21088">
        <v>52016849</v>
      </c>
      <c r="G21088">
        <v>52016879</v>
      </c>
      <c r="H21088">
        <v>52016816</v>
      </c>
      <c r="I21088">
        <v>52016844</v>
      </c>
    </row>
    <row r="21089" spans="1:9" x14ac:dyDescent="0.2">
      <c r="A21089" t="str">
        <f>"Tmem254a"</f>
        <v>Tmem254a</v>
      </c>
      <c r="B21089" t="s">
        <v>5937</v>
      </c>
      <c r="C21089" t="s">
        <v>41</v>
      </c>
      <c r="D21089" t="s">
        <v>11</v>
      </c>
      <c r="E21089" t="s">
        <v>20</v>
      </c>
      <c r="F21089">
        <v>25927671</v>
      </c>
      <c r="G21089">
        <v>25927671</v>
      </c>
      <c r="H21089">
        <v>25927671</v>
      </c>
      <c r="I21089">
        <v>25927671</v>
      </c>
    </row>
    <row r="21090" spans="1:9" x14ac:dyDescent="0.2">
      <c r="A21090" t="str">
        <f>"Tmem254b"</f>
        <v>Tmem254b</v>
      </c>
      <c r="B21090" t="s">
        <v>5938</v>
      </c>
      <c r="C21090" t="s">
        <v>41</v>
      </c>
      <c r="D21090" t="s">
        <v>11</v>
      </c>
      <c r="E21090" t="s">
        <v>20</v>
      </c>
      <c r="F21090">
        <v>26207040</v>
      </c>
      <c r="G21090">
        <v>26207040</v>
      </c>
      <c r="H21090">
        <v>26207040</v>
      </c>
      <c r="I21090">
        <v>26207040</v>
      </c>
    </row>
    <row r="21091" spans="1:9" x14ac:dyDescent="0.2">
      <c r="A21091" t="str">
        <f>"Tmem254c"</f>
        <v>Tmem254c</v>
      </c>
      <c r="B21091" t="s">
        <v>5939</v>
      </c>
      <c r="C21091" t="s">
        <v>41</v>
      </c>
      <c r="D21091" t="s">
        <v>11</v>
      </c>
      <c r="E21091" t="s">
        <v>20</v>
      </c>
      <c r="F21091">
        <v>26067354</v>
      </c>
      <c r="G21091">
        <v>26067354</v>
      </c>
      <c r="H21091">
        <v>26067354</v>
      </c>
      <c r="I21091">
        <v>26067354</v>
      </c>
    </row>
    <row r="21092" spans="1:9" x14ac:dyDescent="0.2">
      <c r="A21092" t="str">
        <f>"Tmem255a"</f>
        <v>Tmem255a</v>
      </c>
      <c r="B21092" t="s">
        <v>14</v>
      </c>
      <c r="C21092" t="s">
        <v>37</v>
      </c>
      <c r="D21092" t="s">
        <v>11</v>
      </c>
      <c r="E21092" t="s">
        <v>67</v>
      </c>
      <c r="F21092">
        <v>38252398</v>
      </c>
      <c r="G21092">
        <v>38252436</v>
      </c>
      <c r="H21092">
        <v>38252447</v>
      </c>
      <c r="I21092">
        <v>38252465</v>
      </c>
    </row>
    <row r="21093" spans="1:9" x14ac:dyDescent="0.2">
      <c r="A21093" t="str">
        <f>"Tmem255b"</f>
        <v>Tmem255b</v>
      </c>
      <c r="B21093" t="s">
        <v>14</v>
      </c>
      <c r="C21093" t="s">
        <v>30</v>
      </c>
      <c r="D21093" t="s">
        <v>17</v>
      </c>
      <c r="E21093" t="s">
        <v>67</v>
      </c>
      <c r="F21093">
        <v>13435468</v>
      </c>
      <c r="G21093">
        <v>13435503</v>
      </c>
      <c r="H21093">
        <v>13435468</v>
      </c>
      <c r="I21093">
        <v>13435503</v>
      </c>
    </row>
    <row r="21094" spans="1:9" x14ac:dyDescent="0.2">
      <c r="A21094" t="str">
        <f>"Tmem256"</f>
        <v>Tmem256</v>
      </c>
      <c r="B21094" t="s">
        <v>14</v>
      </c>
      <c r="C21094" t="s">
        <v>27</v>
      </c>
      <c r="D21094" t="s">
        <v>17</v>
      </c>
      <c r="E21094" t="s">
        <v>67</v>
      </c>
      <c r="F21094">
        <v>69838525</v>
      </c>
      <c r="G21094">
        <v>69838567</v>
      </c>
      <c r="H21094">
        <v>69838525</v>
      </c>
      <c r="I21094">
        <v>69838567</v>
      </c>
    </row>
    <row r="21095" spans="1:9" x14ac:dyDescent="0.2">
      <c r="A21095" t="str">
        <f>"Tmem258"</f>
        <v>Tmem258</v>
      </c>
      <c r="B21095" t="s">
        <v>14</v>
      </c>
      <c r="C21095" t="s">
        <v>10</v>
      </c>
      <c r="D21095" t="s">
        <v>17</v>
      </c>
      <c r="E21095" t="s">
        <v>67</v>
      </c>
      <c r="F21095">
        <v>10204201</v>
      </c>
      <c r="G21095">
        <v>10204237</v>
      </c>
      <c r="H21095">
        <v>10204238</v>
      </c>
      <c r="I21095">
        <v>10204249</v>
      </c>
    </row>
    <row r="21096" spans="1:9" x14ac:dyDescent="0.2">
      <c r="A21096" t="str">
        <f>"Tmem259"</f>
        <v>Tmem259</v>
      </c>
      <c r="B21096" t="s">
        <v>14</v>
      </c>
      <c r="C21096" t="s">
        <v>15</v>
      </c>
      <c r="D21096" t="s">
        <v>11</v>
      </c>
      <c r="E21096" t="s">
        <v>67</v>
      </c>
      <c r="F21096">
        <v>79984227</v>
      </c>
      <c r="G21096">
        <v>79984319</v>
      </c>
      <c r="H21096">
        <v>79984227</v>
      </c>
      <c r="I21096">
        <v>79984319</v>
      </c>
    </row>
    <row r="21097" spans="1:9" x14ac:dyDescent="0.2">
      <c r="A21097" t="str">
        <f>"Tmem26"</f>
        <v>Tmem26</v>
      </c>
      <c r="B21097" t="s">
        <v>14</v>
      </c>
      <c r="C21097" t="s">
        <v>15</v>
      </c>
      <c r="D21097" t="s">
        <v>17</v>
      </c>
      <c r="E21097" t="s">
        <v>12</v>
      </c>
      <c r="F21097">
        <v>68723761</v>
      </c>
      <c r="G21097">
        <v>68723786</v>
      </c>
      <c r="H21097">
        <v>68723723</v>
      </c>
      <c r="I21097">
        <v>68723760</v>
      </c>
    </row>
    <row r="21098" spans="1:9" x14ac:dyDescent="0.2">
      <c r="A21098" t="str">
        <f>"Tmem260"</f>
        <v>Tmem260</v>
      </c>
      <c r="B21098" t="s">
        <v>14</v>
      </c>
      <c r="C21098" t="s">
        <v>41</v>
      </c>
      <c r="D21098" t="s">
        <v>17</v>
      </c>
      <c r="E21098" t="s">
        <v>67</v>
      </c>
      <c r="F21098">
        <v>48446340</v>
      </c>
      <c r="G21098">
        <v>48446429</v>
      </c>
      <c r="H21098">
        <v>48446265</v>
      </c>
      <c r="I21098">
        <v>48446276</v>
      </c>
    </row>
    <row r="21099" spans="1:9" x14ac:dyDescent="0.2">
      <c r="A21099" t="str">
        <f>"Tmem261"</f>
        <v>Tmem261</v>
      </c>
      <c r="B21099" t="s">
        <v>14</v>
      </c>
      <c r="C21099" t="s">
        <v>23</v>
      </c>
      <c r="D21099" t="s">
        <v>11</v>
      </c>
      <c r="E21099" t="s">
        <v>67</v>
      </c>
      <c r="F21099">
        <v>75278246</v>
      </c>
      <c r="G21099">
        <v>75278338</v>
      </c>
      <c r="H21099">
        <v>75278246</v>
      </c>
      <c r="I21099">
        <v>75278338</v>
      </c>
    </row>
    <row r="21100" spans="1:9" x14ac:dyDescent="0.2">
      <c r="A21100" t="str">
        <f>"Tmem27"</f>
        <v>Tmem27</v>
      </c>
      <c r="B21100" t="s">
        <v>14</v>
      </c>
      <c r="C21100" t="s">
        <v>37</v>
      </c>
      <c r="D21100" t="s">
        <v>17</v>
      </c>
      <c r="E21100" t="s">
        <v>12</v>
      </c>
      <c r="F21100">
        <v>164090236</v>
      </c>
      <c r="G21100">
        <v>164090249</v>
      </c>
      <c r="H21100">
        <v>164090236</v>
      </c>
      <c r="I21100">
        <v>164090249</v>
      </c>
    </row>
    <row r="21101" spans="1:9" x14ac:dyDescent="0.2">
      <c r="A21101" t="str">
        <f>"Tmem28"</f>
        <v>Tmem28</v>
      </c>
      <c r="B21101" t="s">
        <v>5940</v>
      </c>
      <c r="C21101" t="s">
        <v>37</v>
      </c>
      <c r="D21101" t="s">
        <v>17</v>
      </c>
      <c r="E21101" t="s">
        <v>20</v>
      </c>
      <c r="F21101">
        <v>99821020</v>
      </c>
      <c r="G21101">
        <v>99821020</v>
      </c>
      <c r="H21101">
        <v>99821020</v>
      </c>
      <c r="I21101">
        <v>99821020</v>
      </c>
    </row>
    <row r="21102" spans="1:9" x14ac:dyDescent="0.2">
      <c r="A21102" t="str">
        <f>"Tmem29"</f>
        <v>Tmem29</v>
      </c>
      <c r="B21102" t="s">
        <v>9</v>
      </c>
      <c r="C21102" t="s">
        <v>37</v>
      </c>
      <c r="D21102" t="s">
        <v>11</v>
      </c>
      <c r="E21102" t="s">
        <v>12</v>
      </c>
      <c r="F21102">
        <v>150459128</v>
      </c>
      <c r="G21102">
        <v>150459157</v>
      </c>
      <c r="H21102">
        <v>150459128</v>
      </c>
      <c r="I21102">
        <v>150459157</v>
      </c>
    </row>
    <row r="21103" spans="1:9" x14ac:dyDescent="0.2">
      <c r="A21103" t="str">
        <f>"Tmem29"</f>
        <v>Tmem29</v>
      </c>
      <c r="B21103" t="s">
        <v>13</v>
      </c>
      <c r="C21103" t="s">
        <v>37</v>
      </c>
      <c r="D21103" t="s">
        <v>11</v>
      </c>
      <c r="E21103" t="s">
        <v>12</v>
      </c>
      <c r="F21103">
        <v>150440887</v>
      </c>
      <c r="G21103">
        <v>150440937</v>
      </c>
      <c r="H21103">
        <v>150440887</v>
      </c>
      <c r="I21103">
        <v>150440937</v>
      </c>
    </row>
    <row r="21104" spans="1:9" x14ac:dyDescent="0.2">
      <c r="A21104" t="str">
        <f>"Tmem30a"</f>
        <v>Tmem30a</v>
      </c>
      <c r="B21104" t="s">
        <v>14</v>
      </c>
      <c r="C21104" t="s">
        <v>24</v>
      </c>
      <c r="D21104" t="s">
        <v>11</v>
      </c>
      <c r="E21104" t="s">
        <v>12</v>
      </c>
      <c r="F21104">
        <v>79793290</v>
      </c>
      <c r="G21104">
        <v>79793372</v>
      </c>
      <c r="H21104">
        <v>79793521</v>
      </c>
      <c r="I21104">
        <v>79793541</v>
      </c>
    </row>
    <row r="21105" spans="1:9" x14ac:dyDescent="0.2">
      <c r="A21105" t="str">
        <f>"Tmem30b"</f>
        <v>Tmem30b</v>
      </c>
      <c r="B21105" t="s">
        <v>14</v>
      </c>
      <c r="C21105" t="s">
        <v>16</v>
      </c>
      <c r="D21105" t="s">
        <v>11</v>
      </c>
      <c r="E21105" t="s">
        <v>12</v>
      </c>
      <c r="F21105">
        <v>73546383</v>
      </c>
      <c r="G21105">
        <v>73546411</v>
      </c>
      <c r="H21105">
        <v>73546421</v>
      </c>
      <c r="I21105">
        <v>73546449</v>
      </c>
    </row>
    <row r="21106" spans="1:9" x14ac:dyDescent="0.2">
      <c r="A21106" t="str">
        <f>"Tmem30c"</f>
        <v>Tmem30c</v>
      </c>
      <c r="B21106" t="s">
        <v>14</v>
      </c>
      <c r="C21106" t="s">
        <v>31</v>
      </c>
      <c r="D21106" t="s">
        <v>11</v>
      </c>
      <c r="E21106" t="s">
        <v>12</v>
      </c>
      <c r="F21106">
        <v>57292845</v>
      </c>
      <c r="G21106">
        <v>57292867</v>
      </c>
      <c r="H21106">
        <v>57292845</v>
      </c>
      <c r="I21106">
        <v>57292867</v>
      </c>
    </row>
    <row r="21107" spans="1:9" x14ac:dyDescent="0.2">
      <c r="A21107" t="str">
        <f>"Tmem33"</f>
        <v>Tmem33</v>
      </c>
      <c r="B21107" t="s">
        <v>14</v>
      </c>
      <c r="C21107" t="s">
        <v>46</v>
      </c>
      <c r="D21107" t="s">
        <v>17</v>
      </c>
      <c r="E21107" t="s">
        <v>12</v>
      </c>
      <c r="F21107">
        <v>67260744</v>
      </c>
      <c r="G21107">
        <v>67260779</v>
      </c>
      <c r="H21107">
        <v>67260671</v>
      </c>
      <c r="I21107">
        <v>67260692</v>
      </c>
    </row>
    <row r="21108" spans="1:9" x14ac:dyDescent="0.2">
      <c r="A21108" t="str">
        <f>"Tmem35"</f>
        <v>Tmem35</v>
      </c>
      <c r="B21108" t="s">
        <v>14</v>
      </c>
      <c r="C21108" t="s">
        <v>37</v>
      </c>
      <c r="D21108" t="s">
        <v>17</v>
      </c>
      <c r="E21108" t="s">
        <v>12</v>
      </c>
      <c r="F21108">
        <v>134295382</v>
      </c>
      <c r="G21108">
        <v>134295404</v>
      </c>
      <c r="H21108">
        <v>134295382</v>
      </c>
      <c r="I21108">
        <v>134295404</v>
      </c>
    </row>
    <row r="21109" spans="1:9" x14ac:dyDescent="0.2">
      <c r="A21109" t="str">
        <f>"Tmem37"</f>
        <v>Tmem37</v>
      </c>
      <c r="B21109" t="s">
        <v>14</v>
      </c>
      <c r="C21109" t="s">
        <v>19</v>
      </c>
      <c r="D21109" t="s">
        <v>11</v>
      </c>
      <c r="E21109" t="s">
        <v>12</v>
      </c>
      <c r="F21109">
        <v>120073736</v>
      </c>
      <c r="G21109">
        <v>120073803</v>
      </c>
      <c r="H21109">
        <v>120074045</v>
      </c>
      <c r="I21109">
        <v>120074066</v>
      </c>
    </row>
    <row r="21110" spans="1:9" x14ac:dyDescent="0.2">
      <c r="A21110" t="str">
        <f>"Tmem38a"</f>
        <v>Tmem38a</v>
      </c>
      <c r="B21110" t="s">
        <v>14</v>
      </c>
      <c r="C21110" t="s">
        <v>30</v>
      </c>
      <c r="D21110" t="s">
        <v>17</v>
      </c>
      <c r="E21110" t="s">
        <v>12</v>
      </c>
      <c r="F21110">
        <v>72572027</v>
      </c>
      <c r="G21110">
        <v>72572059</v>
      </c>
      <c r="H21110">
        <v>72572069</v>
      </c>
      <c r="I21110">
        <v>72572114</v>
      </c>
    </row>
    <row r="21111" spans="1:9" x14ac:dyDescent="0.2">
      <c r="A21111" t="str">
        <f>"Tmem38b"</f>
        <v>Tmem38b</v>
      </c>
      <c r="B21111" t="s">
        <v>14</v>
      </c>
      <c r="C21111" t="s">
        <v>23</v>
      </c>
      <c r="D21111" t="s">
        <v>17</v>
      </c>
      <c r="E21111" t="s">
        <v>12</v>
      </c>
      <c r="F21111">
        <v>53826014</v>
      </c>
      <c r="G21111">
        <v>53826107</v>
      </c>
      <c r="H21111">
        <v>53825988</v>
      </c>
      <c r="I21111">
        <v>53826000</v>
      </c>
    </row>
    <row r="21112" spans="1:9" x14ac:dyDescent="0.2">
      <c r="A21112" t="str">
        <f>"Tmem39a"</f>
        <v>Tmem39a</v>
      </c>
      <c r="B21112" t="s">
        <v>14</v>
      </c>
      <c r="C21112" t="s">
        <v>31</v>
      </c>
      <c r="D21112" t="s">
        <v>17</v>
      </c>
      <c r="E21112" t="s">
        <v>12</v>
      </c>
      <c r="F21112">
        <v>38562821</v>
      </c>
      <c r="G21112">
        <v>38562861</v>
      </c>
      <c r="H21112">
        <v>38562806</v>
      </c>
      <c r="I21112">
        <v>38562819</v>
      </c>
    </row>
    <row r="21113" spans="1:9" x14ac:dyDescent="0.2">
      <c r="A21113" t="str">
        <f>"Tmem39b"</f>
        <v>Tmem39b</v>
      </c>
      <c r="B21113" t="s">
        <v>14</v>
      </c>
      <c r="C21113" t="s">
        <v>23</v>
      </c>
      <c r="D21113" t="s">
        <v>11</v>
      </c>
      <c r="E21113" t="s">
        <v>12</v>
      </c>
      <c r="F21113">
        <v>129696817</v>
      </c>
      <c r="G21113">
        <v>129696843</v>
      </c>
      <c r="H21113">
        <v>129696758</v>
      </c>
      <c r="I21113">
        <v>129696804</v>
      </c>
    </row>
    <row r="21114" spans="1:9" x14ac:dyDescent="0.2">
      <c r="A21114" t="str">
        <f>"Tmem40"</f>
        <v>Tmem40</v>
      </c>
      <c r="B21114" t="s">
        <v>9</v>
      </c>
      <c r="C21114" t="s">
        <v>32</v>
      </c>
      <c r="D21114" t="s">
        <v>11</v>
      </c>
      <c r="E21114" t="s">
        <v>12</v>
      </c>
      <c r="F21114">
        <v>115758974</v>
      </c>
      <c r="G21114">
        <v>115759000</v>
      </c>
      <c r="H21114">
        <v>115758974</v>
      </c>
      <c r="I21114">
        <v>115759000</v>
      </c>
    </row>
    <row r="21115" spans="1:9" x14ac:dyDescent="0.2">
      <c r="A21115" t="str">
        <f>"Tmem40"</f>
        <v>Tmem40</v>
      </c>
      <c r="B21115" t="s">
        <v>13</v>
      </c>
      <c r="C21115" t="s">
        <v>32</v>
      </c>
      <c r="D21115" t="s">
        <v>11</v>
      </c>
      <c r="E21115" t="s">
        <v>12</v>
      </c>
      <c r="F21115">
        <v>115762346</v>
      </c>
      <c r="G21115">
        <v>115762380</v>
      </c>
      <c r="H21115">
        <v>115762346</v>
      </c>
      <c r="I21115">
        <v>115762380</v>
      </c>
    </row>
    <row r="21116" spans="1:9" x14ac:dyDescent="0.2">
      <c r="A21116" t="str">
        <f>"Tmem41a"</f>
        <v>Tmem41a</v>
      </c>
      <c r="B21116" t="s">
        <v>14</v>
      </c>
      <c r="C21116" t="s">
        <v>31</v>
      </c>
      <c r="D21116" t="s">
        <v>11</v>
      </c>
      <c r="E21116" t="s">
        <v>12</v>
      </c>
      <c r="F21116">
        <v>21947536</v>
      </c>
      <c r="G21116">
        <v>21947577</v>
      </c>
      <c r="H21116">
        <v>21947453</v>
      </c>
      <c r="I21116">
        <v>21947517</v>
      </c>
    </row>
    <row r="21117" spans="1:9" x14ac:dyDescent="0.2">
      <c r="A21117" t="str">
        <f>"Tmem41b"</f>
        <v>Tmem41b</v>
      </c>
      <c r="B21117" t="s">
        <v>14</v>
      </c>
      <c r="C21117" t="s">
        <v>33</v>
      </c>
      <c r="D21117" t="s">
        <v>11</v>
      </c>
      <c r="E21117" t="s">
        <v>12</v>
      </c>
      <c r="F21117">
        <v>109986250</v>
      </c>
      <c r="G21117">
        <v>109986306</v>
      </c>
      <c r="H21117">
        <v>109986216</v>
      </c>
      <c r="I21117">
        <v>109986237</v>
      </c>
    </row>
    <row r="21118" spans="1:9" x14ac:dyDescent="0.2">
      <c r="A21118" t="str">
        <f>"Tmem42"</f>
        <v>Tmem42</v>
      </c>
      <c r="B21118" t="s">
        <v>14</v>
      </c>
      <c r="C21118" t="s">
        <v>24</v>
      </c>
      <c r="D21118" t="s">
        <v>17</v>
      </c>
      <c r="E21118" t="s">
        <v>12</v>
      </c>
      <c r="F21118">
        <v>123021315</v>
      </c>
      <c r="G21118">
        <v>123021374</v>
      </c>
      <c r="H21118">
        <v>123021315</v>
      </c>
      <c r="I21118">
        <v>123021374</v>
      </c>
    </row>
    <row r="21119" spans="1:9" x14ac:dyDescent="0.2">
      <c r="A21119" t="str">
        <f>"Tmem43"</f>
        <v>Tmem43</v>
      </c>
      <c r="B21119" t="s">
        <v>14</v>
      </c>
      <c r="C21119" t="s">
        <v>32</v>
      </c>
      <c r="D21119" t="s">
        <v>17</v>
      </c>
      <c r="E21119" t="s">
        <v>12</v>
      </c>
      <c r="F21119">
        <v>91473695</v>
      </c>
      <c r="G21119">
        <v>91473787</v>
      </c>
      <c r="H21119">
        <v>91473695</v>
      </c>
      <c r="I21119">
        <v>91473787</v>
      </c>
    </row>
    <row r="21120" spans="1:9" x14ac:dyDescent="0.2">
      <c r="A21120" t="str">
        <f>"Tmem44"</f>
        <v>Tmem44</v>
      </c>
      <c r="B21120" t="s">
        <v>14</v>
      </c>
      <c r="C21120" t="s">
        <v>31</v>
      </c>
      <c r="D21120" t="s">
        <v>11</v>
      </c>
      <c r="E21120" t="s">
        <v>12</v>
      </c>
      <c r="F21120">
        <v>30550560</v>
      </c>
      <c r="G21120">
        <v>30550594</v>
      </c>
      <c r="H21120">
        <v>30550529</v>
      </c>
      <c r="I21120">
        <v>30550549</v>
      </c>
    </row>
    <row r="21121" spans="1:9" x14ac:dyDescent="0.2">
      <c r="A21121" t="str">
        <f>"Tmem45a"</f>
        <v>Tmem45a</v>
      </c>
      <c r="B21121" t="s">
        <v>14</v>
      </c>
      <c r="C21121" t="s">
        <v>31</v>
      </c>
      <c r="D21121" t="s">
        <v>11</v>
      </c>
      <c r="E21121" t="s">
        <v>12</v>
      </c>
      <c r="F21121">
        <v>56886131</v>
      </c>
      <c r="G21121">
        <v>56886176</v>
      </c>
      <c r="H21121">
        <v>56886093</v>
      </c>
      <c r="I21121">
        <v>56886125</v>
      </c>
    </row>
    <row r="21122" spans="1:9" x14ac:dyDescent="0.2">
      <c r="A21122" t="str">
        <f>"Tmem45b"</f>
        <v>Tmem45b</v>
      </c>
      <c r="B21122" t="s">
        <v>14</v>
      </c>
      <c r="C21122" t="s">
        <v>24</v>
      </c>
      <c r="D21122" t="s">
        <v>11</v>
      </c>
      <c r="E21122" t="s">
        <v>12</v>
      </c>
      <c r="F21122">
        <v>31464206</v>
      </c>
      <c r="G21122">
        <v>31464222</v>
      </c>
      <c r="H21122">
        <v>31464239</v>
      </c>
      <c r="I21122">
        <v>31464252</v>
      </c>
    </row>
    <row r="21123" spans="1:9" x14ac:dyDescent="0.2">
      <c r="A21123" t="str">
        <f>"Tmem47"</f>
        <v>Tmem47</v>
      </c>
      <c r="B21123" t="s">
        <v>14</v>
      </c>
      <c r="C21123" t="s">
        <v>37</v>
      </c>
      <c r="D21123" t="s">
        <v>17</v>
      </c>
      <c r="E21123" t="s">
        <v>12</v>
      </c>
      <c r="F21123">
        <v>81070646</v>
      </c>
      <c r="G21123">
        <v>81070740</v>
      </c>
      <c r="H21123">
        <v>81070637</v>
      </c>
      <c r="I21123">
        <v>81070644</v>
      </c>
    </row>
    <row r="21124" spans="1:9" x14ac:dyDescent="0.2">
      <c r="A21124" t="str">
        <f>"Tmem5"</f>
        <v>Tmem5</v>
      </c>
      <c r="B21124" t="s">
        <v>14</v>
      </c>
      <c r="C21124" t="s">
        <v>15</v>
      </c>
      <c r="D21124" t="s">
        <v>11</v>
      </c>
      <c r="E21124" t="s">
        <v>12</v>
      </c>
      <c r="F21124">
        <v>122097078</v>
      </c>
      <c r="G21124">
        <v>122097196</v>
      </c>
      <c r="H21124">
        <v>122097269</v>
      </c>
      <c r="I21124">
        <v>122097295</v>
      </c>
    </row>
    <row r="21125" spans="1:9" x14ac:dyDescent="0.2">
      <c r="A21125" t="str">
        <f>"Tmem50a"</f>
        <v>Tmem50a</v>
      </c>
      <c r="B21125" t="s">
        <v>14</v>
      </c>
      <c r="C21125" t="s">
        <v>23</v>
      </c>
      <c r="D21125" t="s">
        <v>11</v>
      </c>
      <c r="E21125" t="s">
        <v>12</v>
      </c>
      <c r="F21125">
        <v>134914975</v>
      </c>
      <c r="G21125">
        <v>134915009</v>
      </c>
      <c r="H21125">
        <v>134914940</v>
      </c>
      <c r="I21125">
        <v>134914973</v>
      </c>
    </row>
    <row r="21126" spans="1:9" x14ac:dyDescent="0.2">
      <c r="A21126" t="str">
        <f>"Tmem50b"</f>
        <v>Tmem50b</v>
      </c>
      <c r="B21126" t="s">
        <v>14</v>
      </c>
      <c r="C21126" t="s">
        <v>31</v>
      </c>
      <c r="D21126" t="s">
        <v>11</v>
      </c>
      <c r="E21126" t="s">
        <v>12</v>
      </c>
      <c r="F21126">
        <v>91597636</v>
      </c>
      <c r="G21126">
        <v>91597735</v>
      </c>
      <c r="H21126">
        <v>91597636</v>
      </c>
      <c r="I21126">
        <v>91597735</v>
      </c>
    </row>
    <row r="21127" spans="1:9" x14ac:dyDescent="0.2">
      <c r="A21127" t="str">
        <f>"Tmem51"</f>
        <v>Tmem51</v>
      </c>
      <c r="B21127" t="s">
        <v>14</v>
      </c>
      <c r="C21127" t="s">
        <v>23</v>
      </c>
      <c r="D21127" t="s">
        <v>11</v>
      </c>
      <c r="E21127" t="s">
        <v>12</v>
      </c>
      <c r="F21127">
        <v>142084221</v>
      </c>
      <c r="G21127">
        <v>142084262</v>
      </c>
      <c r="H21127">
        <v>142084197</v>
      </c>
      <c r="I21127">
        <v>142084219</v>
      </c>
    </row>
    <row r="21128" spans="1:9" x14ac:dyDescent="0.2">
      <c r="A21128" t="str">
        <f>"Tmem52"</f>
        <v>Tmem52</v>
      </c>
      <c r="B21128" t="s">
        <v>14</v>
      </c>
      <c r="C21128" t="s">
        <v>23</v>
      </c>
      <c r="D21128" t="s">
        <v>17</v>
      </c>
      <c r="E21128" t="s">
        <v>12</v>
      </c>
      <c r="F21128">
        <v>155469123</v>
      </c>
      <c r="G21128">
        <v>155469142</v>
      </c>
      <c r="H21128">
        <v>155469123</v>
      </c>
      <c r="I21128">
        <v>155469142</v>
      </c>
    </row>
    <row r="21129" spans="1:9" x14ac:dyDescent="0.2">
      <c r="A21129" t="str">
        <f>"Tmem52b"</f>
        <v>Tmem52b</v>
      </c>
      <c r="B21129" t="s">
        <v>14</v>
      </c>
      <c r="C21129" t="s">
        <v>32</v>
      </c>
      <c r="D21129" t="s">
        <v>17</v>
      </c>
      <c r="E21129" t="s">
        <v>67</v>
      </c>
      <c r="F21129">
        <v>129512579</v>
      </c>
      <c r="G21129">
        <v>129512644</v>
      </c>
      <c r="H21129">
        <v>129512650</v>
      </c>
      <c r="I21129">
        <v>129512675</v>
      </c>
    </row>
    <row r="21130" spans="1:9" x14ac:dyDescent="0.2">
      <c r="A21130" t="str">
        <f>"Tmem53"</f>
        <v>Tmem53</v>
      </c>
      <c r="B21130" t="s">
        <v>14</v>
      </c>
      <c r="C21130" t="s">
        <v>23</v>
      </c>
      <c r="D21130" t="s">
        <v>17</v>
      </c>
      <c r="E21130" t="s">
        <v>12</v>
      </c>
      <c r="F21130">
        <v>117252010</v>
      </c>
      <c r="G21130">
        <v>117252057</v>
      </c>
      <c r="H21130">
        <v>117251977</v>
      </c>
      <c r="I21130">
        <v>117252004</v>
      </c>
    </row>
    <row r="21131" spans="1:9" x14ac:dyDescent="0.2">
      <c r="A21131" t="str">
        <f>"Tmem54"</f>
        <v>Tmem54</v>
      </c>
      <c r="B21131" t="s">
        <v>14</v>
      </c>
      <c r="C21131" t="s">
        <v>23</v>
      </c>
      <c r="D21131" t="s">
        <v>17</v>
      </c>
      <c r="E21131" t="s">
        <v>12</v>
      </c>
      <c r="F21131">
        <v>129105532</v>
      </c>
      <c r="G21131">
        <v>129105622</v>
      </c>
      <c r="H21131">
        <v>129105627</v>
      </c>
      <c r="I21131">
        <v>129105641</v>
      </c>
    </row>
    <row r="21132" spans="1:9" x14ac:dyDescent="0.2">
      <c r="A21132" t="str">
        <f>"Tmem55a"</f>
        <v>Tmem55a</v>
      </c>
      <c r="B21132" t="s">
        <v>14</v>
      </c>
      <c r="C21132" t="s">
        <v>23</v>
      </c>
      <c r="D21132" t="s">
        <v>17</v>
      </c>
      <c r="E21132" t="s">
        <v>12</v>
      </c>
      <c r="F21132">
        <v>14864200</v>
      </c>
      <c r="G21132">
        <v>14864334</v>
      </c>
      <c r="H21132">
        <v>14864091</v>
      </c>
      <c r="I21132">
        <v>14864150</v>
      </c>
    </row>
    <row r="21133" spans="1:9" x14ac:dyDescent="0.2">
      <c r="A21133" t="str">
        <f>"Tmem55b"</f>
        <v>Tmem55b</v>
      </c>
      <c r="B21133" t="s">
        <v>14</v>
      </c>
      <c r="C21133" t="s">
        <v>41</v>
      </c>
      <c r="D21133" t="s">
        <v>11</v>
      </c>
      <c r="E21133" t="s">
        <v>12</v>
      </c>
      <c r="F21133">
        <v>50930832</v>
      </c>
      <c r="G21133">
        <v>50930878</v>
      </c>
      <c r="H21133">
        <v>50930881</v>
      </c>
      <c r="I21133">
        <v>50930890</v>
      </c>
    </row>
    <row r="21134" spans="1:9" x14ac:dyDescent="0.2">
      <c r="A21134" t="str">
        <f>"Tmem56"</f>
        <v>Tmem56</v>
      </c>
      <c r="B21134" t="s">
        <v>14</v>
      </c>
      <c r="C21134" t="s">
        <v>22</v>
      </c>
      <c r="D21134" t="s">
        <v>11</v>
      </c>
      <c r="E21134" t="s">
        <v>12</v>
      </c>
      <c r="F21134">
        <v>121262951</v>
      </c>
      <c r="G21134">
        <v>121262969</v>
      </c>
      <c r="H21134">
        <v>121262871</v>
      </c>
      <c r="I21134">
        <v>121262922</v>
      </c>
    </row>
    <row r="21135" spans="1:9" x14ac:dyDescent="0.2">
      <c r="A21135" t="str">
        <f>"Tmem57"</f>
        <v>Tmem57</v>
      </c>
      <c r="B21135" t="s">
        <v>14</v>
      </c>
      <c r="C21135" t="s">
        <v>23</v>
      </c>
      <c r="D21135" t="s">
        <v>11</v>
      </c>
      <c r="E21135" t="s">
        <v>12</v>
      </c>
      <c r="F21135">
        <v>134853294</v>
      </c>
      <c r="G21135">
        <v>134853324</v>
      </c>
      <c r="H21135">
        <v>134853228</v>
      </c>
      <c r="I21135">
        <v>134853272</v>
      </c>
    </row>
    <row r="21136" spans="1:9" x14ac:dyDescent="0.2">
      <c r="A21136" t="str">
        <f>"Tmem59"</f>
        <v>Tmem59</v>
      </c>
      <c r="B21136" t="s">
        <v>14</v>
      </c>
      <c r="C21136" t="s">
        <v>23</v>
      </c>
      <c r="D21136" t="s">
        <v>17</v>
      </c>
      <c r="E21136" t="s">
        <v>12</v>
      </c>
      <c r="F21136">
        <v>107178686</v>
      </c>
      <c r="G21136">
        <v>107178723</v>
      </c>
      <c r="H21136">
        <v>107178660</v>
      </c>
      <c r="I21136">
        <v>107178671</v>
      </c>
    </row>
    <row r="21137" spans="1:9" x14ac:dyDescent="0.2">
      <c r="A21137" t="str">
        <f>"Tmem59l"</f>
        <v>Tmem59l</v>
      </c>
      <c r="B21137" t="s">
        <v>14</v>
      </c>
      <c r="C21137" t="s">
        <v>30</v>
      </c>
      <c r="D21137" t="s">
        <v>11</v>
      </c>
      <c r="E21137" t="s">
        <v>12</v>
      </c>
      <c r="F21137">
        <v>70487314</v>
      </c>
      <c r="G21137">
        <v>70487381</v>
      </c>
      <c r="H21137">
        <v>70487314</v>
      </c>
      <c r="I21137">
        <v>70487381</v>
      </c>
    </row>
    <row r="21138" spans="1:9" x14ac:dyDescent="0.2">
      <c r="A21138" t="str">
        <f>"Tmem60"</f>
        <v>Tmem60</v>
      </c>
      <c r="B21138" t="s">
        <v>14</v>
      </c>
      <c r="C21138" t="s">
        <v>46</v>
      </c>
      <c r="D21138" t="s">
        <v>17</v>
      </c>
      <c r="E21138" t="s">
        <v>12</v>
      </c>
      <c r="F21138">
        <v>20882445</v>
      </c>
      <c r="G21138">
        <v>20882526</v>
      </c>
      <c r="H21138">
        <v>20882124</v>
      </c>
      <c r="I21138">
        <v>20882162</v>
      </c>
    </row>
    <row r="21139" spans="1:9" x14ac:dyDescent="0.2">
      <c r="A21139" t="str">
        <f>"Tmem62"</f>
        <v>Tmem62</v>
      </c>
      <c r="B21139" t="s">
        <v>14</v>
      </c>
      <c r="C21139" t="s">
        <v>26</v>
      </c>
      <c r="D21139" t="s">
        <v>17</v>
      </c>
      <c r="E21139" t="s">
        <v>12</v>
      </c>
      <c r="F21139">
        <v>120977248</v>
      </c>
      <c r="G21139">
        <v>120977308</v>
      </c>
      <c r="H21139">
        <v>120977148</v>
      </c>
      <c r="I21139">
        <v>120977185</v>
      </c>
    </row>
    <row r="21140" spans="1:9" x14ac:dyDescent="0.2">
      <c r="A21140" t="str">
        <f>"Tmem63a"</f>
        <v>Tmem63a</v>
      </c>
      <c r="B21140" t="s">
        <v>14</v>
      </c>
      <c r="C21140" t="s">
        <v>19</v>
      </c>
      <c r="D21140" t="s">
        <v>17</v>
      </c>
      <c r="E21140" t="s">
        <v>12</v>
      </c>
      <c r="F21140">
        <v>180942452</v>
      </c>
      <c r="G21140">
        <v>180942477</v>
      </c>
      <c r="H21140">
        <v>180942500</v>
      </c>
      <c r="I21140">
        <v>180942529</v>
      </c>
    </row>
    <row r="21141" spans="1:9" x14ac:dyDescent="0.2">
      <c r="A21141" t="str">
        <f>"Tmem63b"</f>
        <v>Tmem63b</v>
      </c>
      <c r="B21141" t="s">
        <v>14</v>
      </c>
      <c r="C21141" t="s">
        <v>28</v>
      </c>
      <c r="D21141" t="s">
        <v>11</v>
      </c>
      <c r="E21141" t="s">
        <v>12</v>
      </c>
      <c r="F21141">
        <v>45686214</v>
      </c>
      <c r="G21141">
        <v>45686265</v>
      </c>
      <c r="H21141">
        <v>45686133</v>
      </c>
      <c r="I21141">
        <v>45686185</v>
      </c>
    </row>
    <row r="21142" spans="1:9" x14ac:dyDescent="0.2">
      <c r="A21142" t="str">
        <f>"Tmem63c"</f>
        <v>Tmem63c</v>
      </c>
      <c r="B21142" t="s">
        <v>14</v>
      </c>
      <c r="C21142" t="s">
        <v>16</v>
      </c>
      <c r="D21142" t="s">
        <v>17</v>
      </c>
      <c r="E21142" t="s">
        <v>12</v>
      </c>
      <c r="F21142">
        <v>87026458</v>
      </c>
      <c r="G21142">
        <v>87026522</v>
      </c>
      <c r="H21142">
        <v>87026318</v>
      </c>
      <c r="I21142">
        <v>87026337</v>
      </c>
    </row>
    <row r="21143" spans="1:9" x14ac:dyDescent="0.2">
      <c r="A21143" t="str">
        <f>"Tmem64"</f>
        <v>Tmem64</v>
      </c>
      <c r="B21143" t="s">
        <v>14</v>
      </c>
      <c r="C21143" t="s">
        <v>23</v>
      </c>
      <c r="D21143" t="s">
        <v>17</v>
      </c>
      <c r="E21143" t="s">
        <v>12</v>
      </c>
      <c r="F21143">
        <v>15265767</v>
      </c>
      <c r="G21143">
        <v>15265782</v>
      </c>
      <c r="H21143">
        <v>15265798</v>
      </c>
      <c r="I21143">
        <v>15265809</v>
      </c>
    </row>
    <row r="21144" spans="1:9" x14ac:dyDescent="0.2">
      <c r="A21144" t="str">
        <f>"Tmem65"</f>
        <v>Tmem65</v>
      </c>
      <c r="B21144" t="s">
        <v>14</v>
      </c>
      <c r="C21144" t="s">
        <v>25</v>
      </c>
      <c r="D21144" t="s">
        <v>11</v>
      </c>
      <c r="E21144" t="s">
        <v>12</v>
      </c>
      <c r="F21144">
        <v>58823407</v>
      </c>
      <c r="G21144">
        <v>58823459</v>
      </c>
      <c r="H21144">
        <v>58823584</v>
      </c>
      <c r="I21144">
        <v>58823602</v>
      </c>
    </row>
    <row r="21145" spans="1:9" x14ac:dyDescent="0.2">
      <c r="A21145" t="str">
        <f>"Tmem66"</f>
        <v>Tmem66</v>
      </c>
      <c r="B21145" t="s">
        <v>14</v>
      </c>
      <c r="C21145" t="s">
        <v>30</v>
      </c>
      <c r="D21145" t="s">
        <v>17</v>
      </c>
      <c r="E21145" t="s">
        <v>12</v>
      </c>
      <c r="F21145">
        <v>34154570</v>
      </c>
      <c r="G21145">
        <v>34154654</v>
      </c>
      <c r="H21145">
        <v>34154570</v>
      </c>
      <c r="I21145">
        <v>34154654</v>
      </c>
    </row>
    <row r="21146" spans="1:9" x14ac:dyDescent="0.2">
      <c r="A21146" t="str">
        <f>"Tmem67"</f>
        <v>Tmem67</v>
      </c>
      <c r="B21146" t="s">
        <v>14</v>
      </c>
      <c r="C21146" t="s">
        <v>23</v>
      </c>
      <c r="D21146" t="s">
        <v>11</v>
      </c>
      <c r="E21146" t="s">
        <v>12</v>
      </c>
      <c r="F21146">
        <v>12087912</v>
      </c>
      <c r="G21146">
        <v>12088011</v>
      </c>
      <c r="H21146">
        <v>12087912</v>
      </c>
      <c r="I21146">
        <v>12088011</v>
      </c>
    </row>
    <row r="21147" spans="1:9" x14ac:dyDescent="0.2">
      <c r="A21147" t="str">
        <f>"Tmem68"</f>
        <v>Tmem68</v>
      </c>
      <c r="B21147" t="s">
        <v>14</v>
      </c>
      <c r="C21147" t="s">
        <v>23</v>
      </c>
      <c r="D21147" t="s">
        <v>11</v>
      </c>
      <c r="E21147" t="s">
        <v>12</v>
      </c>
      <c r="F21147">
        <v>3574776</v>
      </c>
      <c r="G21147">
        <v>3574821</v>
      </c>
      <c r="H21147">
        <v>3574822</v>
      </c>
      <c r="I21147">
        <v>3574840</v>
      </c>
    </row>
    <row r="21148" spans="1:9" x14ac:dyDescent="0.2">
      <c r="A21148" t="str">
        <f>"Tmem69"</f>
        <v>Tmem69</v>
      </c>
      <c r="B21148" t="s">
        <v>14</v>
      </c>
      <c r="C21148" t="s">
        <v>23</v>
      </c>
      <c r="D21148" t="s">
        <v>11</v>
      </c>
      <c r="E21148" t="s">
        <v>12</v>
      </c>
      <c r="F21148">
        <v>116555896</v>
      </c>
      <c r="G21148">
        <v>116555957</v>
      </c>
      <c r="H21148">
        <v>116555896</v>
      </c>
      <c r="I21148">
        <v>116555957</v>
      </c>
    </row>
    <row r="21149" spans="1:9" x14ac:dyDescent="0.2">
      <c r="A21149" t="str">
        <f>"Tmem70"</f>
        <v>Tmem70</v>
      </c>
      <c r="B21149" t="s">
        <v>14</v>
      </c>
      <c r="C21149" t="s">
        <v>19</v>
      </c>
      <c r="D21149" t="s">
        <v>17</v>
      </c>
      <c r="E21149" t="s">
        <v>12</v>
      </c>
      <c r="F21149">
        <v>16665189</v>
      </c>
      <c r="G21149">
        <v>16665264</v>
      </c>
      <c r="H21149">
        <v>16665180</v>
      </c>
      <c r="I21149">
        <v>16665185</v>
      </c>
    </row>
    <row r="21150" spans="1:9" x14ac:dyDescent="0.2">
      <c r="A21150" t="str">
        <f>"Tmem71"</f>
        <v>Tmem71</v>
      </c>
      <c r="B21150" t="s">
        <v>14</v>
      </c>
      <c r="C21150" t="s">
        <v>25</v>
      </c>
      <c r="D21150" t="s">
        <v>11</v>
      </c>
      <c r="E21150" t="s">
        <v>12</v>
      </c>
      <c r="F21150">
        <v>66560997</v>
      </c>
      <c r="G21150">
        <v>66561067</v>
      </c>
      <c r="H21150">
        <v>66560997</v>
      </c>
      <c r="I21150">
        <v>66561067</v>
      </c>
    </row>
    <row r="21151" spans="1:9" x14ac:dyDescent="0.2">
      <c r="A21151" t="str">
        <f>"Tmem72"</f>
        <v>Tmem72</v>
      </c>
      <c r="B21151" t="s">
        <v>14</v>
      </c>
      <c r="C21151" t="s">
        <v>32</v>
      </c>
      <c r="D21151" t="s">
        <v>11</v>
      </c>
      <c r="E21151" t="s">
        <v>12</v>
      </c>
      <c r="F21151">
        <v>116716737</v>
      </c>
      <c r="G21151">
        <v>116716770</v>
      </c>
      <c r="H21151">
        <v>116716888</v>
      </c>
      <c r="I21151">
        <v>116716923</v>
      </c>
    </row>
    <row r="21152" spans="1:9" x14ac:dyDescent="0.2">
      <c r="A21152" t="str">
        <f>"Tmem74"</f>
        <v>Tmem74</v>
      </c>
      <c r="B21152" t="s">
        <v>14</v>
      </c>
      <c r="C21152" t="s">
        <v>25</v>
      </c>
      <c r="D21152" t="s">
        <v>11</v>
      </c>
      <c r="E21152" t="s">
        <v>12</v>
      </c>
      <c r="F21152">
        <v>43869993</v>
      </c>
      <c r="G21152">
        <v>43870058</v>
      </c>
      <c r="H21152">
        <v>43869971</v>
      </c>
      <c r="I21152">
        <v>43869976</v>
      </c>
    </row>
    <row r="21153" spans="1:9" x14ac:dyDescent="0.2">
      <c r="A21153" t="str">
        <f>"Tmem74b"</f>
        <v>Tmem74b</v>
      </c>
      <c r="B21153" t="s">
        <v>14</v>
      </c>
      <c r="C21153" t="s">
        <v>26</v>
      </c>
      <c r="D21153" t="s">
        <v>17</v>
      </c>
      <c r="E21153" t="s">
        <v>67</v>
      </c>
      <c r="F21153">
        <v>151702182</v>
      </c>
      <c r="G21153">
        <v>151702213</v>
      </c>
      <c r="H21153">
        <v>151702379</v>
      </c>
      <c r="I21153">
        <v>151702397</v>
      </c>
    </row>
    <row r="21154" spans="1:9" x14ac:dyDescent="0.2">
      <c r="A21154" t="str">
        <f>"Tmem79"</f>
        <v>Tmem79</v>
      </c>
      <c r="B21154" t="s">
        <v>14</v>
      </c>
      <c r="C21154" t="s">
        <v>22</v>
      </c>
      <c r="D21154" t="s">
        <v>11</v>
      </c>
      <c r="E21154" t="s">
        <v>12</v>
      </c>
      <c r="F21154">
        <v>88334428</v>
      </c>
      <c r="G21154">
        <v>88334466</v>
      </c>
      <c r="H21154">
        <v>88334482</v>
      </c>
      <c r="I21154">
        <v>88334495</v>
      </c>
    </row>
    <row r="21155" spans="1:9" x14ac:dyDescent="0.2">
      <c r="A21155" t="str">
        <f>"Tmem8"</f>
        <v>Tmem8</v>
      </c>
      <c r="B21155" t="s">
        <v>14</v>
      </c>
      <c r="C21155" t="s">
        <v>28</v>
      </c>
      <c r="D21155" t="s">
        <v>17</v>
      </c>
      <c r="E21155" t="s">
        <v>12</v>
      </c>
      <c r="F21155">
        <v>26113286</v>
      </c>
      <c r="G21155">
        <v>26113363</v>
      </c>
      <c r="H21155">
        <v>26113421</v>
      </c>
      <c r="I21155">
        <v>26113435</v>
      </c>
    </row>
    <row r="21156" spans="1:9" x14ac:dyDescent="0.2">
      <c r="A21156" t="str">
        <f>"Tmem80"</f>
        <v>Tmem80</v>
      </c>
      <c r="B21156" t="s">
        <v>14</v>
      </c>
      <c r="C21156" t="s">
        <v>33</v>
      </c>
      <c r="D21156" t="s">
        <v>17</v>
      </c>
      <c r="E21156" t="s">
        <v>12</v>
      </c>
      <c r="F21156">
        <v>141328205</v>
      </c>
      <c r="G21156">
        <v>141328241</v>
      </c>
      <c r="H21156">
        <v>141328142</v>
      </c>
      <c r="I21156">
        <v>141328179</v>
      </c>
    </row>
    <row r="21157" spans="1:9" x14ac:dyDescent="0.2">
      <c r="A21157" t="str">
        <f>"Tmem81"</f>
        <v>Tmem81</v>
      </c>
      <c r="B21157" t="s">
        <v>14</v>
      </c>
      <c r="C21157" t="s">
        <v>19</v>
      </c>
      <c r="D21157" t="s">
        <v>17</v>
      </c>
      <c r="E21157" t="s">
        <v>12</v>
      </c>
      <c r="F21157">
        <v>132506247</v>
      </c>
      <c r="G21157">
        <v>132506259</v>
      </c>
      <c r="H21157">
        <v>132506285</v>
      </c>
      <c r="I21157">
        <v>132506294</v>
      </c>
    </row>
    <row r="21158" spans="1:9" x14ac:dyDescent="0.2">
      <c r="A21158" t="str">
        <f>"Tmem82"</f>
        <v>Tmem82</v>
      </c>
      <c r="B21158" t="s">
        <v>14</v>
      </c>
      <c r="C21158" t="s">
        <v>23</v>
      </c>
      <c r="D21158" t="s">
        <v>11</v>
      </c>
      <c r="E21158" t="s">
        <v>12</v>
      </c>
      <c r="F21158">
        <v>141617996</v>
      </c>
      <c r="G21158">
        <v>141618056</v>
      </c>
      <c r="H21158">
        <v>141617983</v>
      </c>
      <c r="I21158">
        <v>141617988</v>
      </c>
    </row>
    <row r="21159" spans="1:9" x14ac:dyDescent="0.2">
      <c r="A21159" t="str">
        <f>"Tmem86a"</f>
        <v>Tmem86a</v>
      </c>
      <c r="B21159" t="s">
        <v>14</v>
      </c>
      <c r="C21159" t="s">
        <v>33</v>
      </c>
      <c r="D21159" t="s">
        <v>17</v>
      </c>
      <c r="E21159" t="s">
        <v>12</v>
      </c>
      <c r="F21159">
        <v>47050658</v>
      </c>
      <c r="G21159">
        <v>47050680</v>
      </c>
      <c r="H21159">
        <v>47050628</v>
      </c>
      <c r="I21159">
        <v>47050646</v>
      </c>
    </row>
    <row r="21160" spans="1:9" x14ac:dyDescent="0.2">
      <c r="A21160" t="str">
        <f>"Tmem86b"</f>
        <v>Tmem86b</v>
      </c>
      <c r="B21160" t="s">
        <v>14</v>
      </c>
      <c r="C21160" t="s">
        <v>33</v>
      </c>
      <c r="D21160" t="s">
        <v>11</v>
      </c>
      <c r="E21160" t="s">
        <v>12</v>
      </c>
      <c r="F21160">
        <v>4630274</v>
      </c>
      <c r="G21160">
        <v>4630333</v>
      </c>
      <c r="H21160">
        <v>4630274</v>
      </c>
      <c r="I21160">
        <v>4630333</v>
      </c>
    </row>
    <row r="21161" spans="1:9" x14ac:dyDescent="0.2">
      <c r="A21161" t="str">
        <f>"Tmem87a"</f>
        <v>Tmem87a</v>
      </c>
      <c r="B21161" t="s">
        <v>14</v>
      </c>
      <c r="C21161" t="s">
        <v>26</v>
      </c>
      <c r="D21161" t="s">
        <v>11</v>
      </c>
      <c r="E21161" t="s">
        <v>12</v>
      </c>
      <c r="F21161">
        <v>120404058</v>
      </c>
      <c r="G21161">
        <v>120404092</v>
      </c>
      <c r="H21161">
        <v>120404103</v>
      </c>
      <c r="I21161">
        <v>120404115</v>
      </c>
    </row>
    <row r="21162" spans="1:9" x14ac:dyDescent="0.2">
      <c r="A21162" t="str">
        <f>"Tmem87b"</f>
        <v>Tmem87b</v>
      </c>
      <c r="B21162" t="s">
        <v>14</v>
      </c>
      <c r="C21162" t="s">
        <v>26</v>
      </c>
      <c r="D21162" t="s">
        <v>17</v>
      </c>
      <c r="E21162" t="s">
        <v>12</v>
      </c>
      <c r="F21162">
        <v>128818295</v>
      </c>
      <c r="G21162">
        <v>128818351</v>
      </c>
      <c r="H21162">
        <v>128818104</v>
      </c>
      <c r="I21162">
        <v>128818135</v>
      </c>
    </row>
    <row r="21163" spans="1:9" x14ac:dyDescent="0.2">
      <c r="A21163" t="str">
        <f>"Tmem88"</f>
        <v>Tmem88</v>
      </c>
      <c r="B21163" t="s">
        <v>14</v>
      </c>
      <c r="C21163" t="s">
        <v>27</v>
      </c>
      <c r="D21163" t="s">
        <v>11</v>
      </c>
      <c r="E21163" t="s">
        <v>12</v>
      </c>
      <c r="F21163">
        <v>69398226</v>
      </c>
      <c r="G21163">
        <v>69398243</v>
      </c>
      <c r="H21163">
        <v>69398226</v>
      </c>
      <c r="I21163">
        <v>69398243</v>
      </c>
    </row>
    <row r="21164" spans="1:9" x14ac:dyDescent="0.2">
      <c r="A21164" t="str">
        <f>"Tmem88b"</f>
        <v>Tmem88b</v>
      </c>
      <c r="B21164" t="s">
        <v>14</v>
      </c>
      <c r="C21164" t="s">
        <v>23</v>
      </c>
      <c r="D21164" t="s">
        <v>11</v>
      </c>
      <c r="E21164" t="s">
        <v>12</v>
      </c>
      <c r="F21164">
        <v>155785883</v>
      </c>
      <c r="G21164">
        <v>155785920</v>
      </c>
      <c r="H21164">
        <v>155785864</v>
      </c>
      <c r="I21164">
        <v>155785880</v>
      </c>
    </row>
    <row r="21165" spans="1:9" x14ac:dyDescent="0.2">
      <c r="A21165" t="str">
        <f>"Tmem89"</f>
        <v>Tmem89</v>
      </c>
      <c r="B21165" t="s">
        <v>14</v>
      </c>
      <c r="C21165" t="s">
        <v>24</v>
      </c>
      <c r="D21165" t="s">
        <v>17</v>
      </c>
      <c r="E21165" t="s">
        <v>12</v>
      </c>
      <c r="F21165">
        <v>108914622</v>
      </c>
      <c r="G21165">
        <v>108914635</v>
      </c>
      <c r="H21165">
        <v>108914598</v>
      </c>
      <c r="I21165">
        <v>108914611</v>
      </c>
    </row>
    <row r="21166" spans="1:9" x14ac:dyDescent="0.2">
      <c r="A21166" t="str">
        <f>"Tmem8b"</f>
        <v>Tmem8b</v>
      </c>
      <c r="B21166" t="s">
        <v>14</v>
      </c>
      <c r="C21166" t="s">
        <v>23</v>
      </c>
      <c r="D21166" t="s">
        <v>17</v>
      </c>
      <c r="E21166" t="s">
        <v>12</v>
      </c>
      <c r="F21166">
        <v>43669288</v>
      </c>
      <c r="G21166">
        <v>43669329</v>
      </c>
      <c r="H21166">
        <v>43669266</v>
      </c>
      <c r="I21166">
        <v>43669287</v>
      </c>
    </row>
    <row r="21167" spans="1:9" x14ac:dyDescent="0.2">
      <c r="A21167" t="str">
        <f>"Tmem8c"</f>
        <v>Tmem8c</v>
      </c>
      <c r="B21167" t="s">
        <v>14</v>
      </c>
      <c r="C21167" t="s">
        <v>26</v>
      </c>
      <c r="D21167" t="s">
        <v>11</v>
      </c>
      <c r="E21167" t="s">
        <v>12</v>
      </c>
      <c r="F21167">
        <v>27072116</v>
      </c>
      <c r="G21167">
        <v>27072170</v>
      </c>
      <c r="H21167">
        <v>27072203</v>
      </c>
      <c r="I21167">
        <v>27072216</v>
      </c>
    </row>
    <row r="21168" spans="1:9" x14ac:dyDescent="0.2">
      <c r="A21168" t="str">
        <f>"Tmem9"</f>
        <v>Tmem9</v>
      </c>
      <c r="B21168" t="s">
        <v>14</v>
      </c>
      <c r="C21168" t="s">
        <v>19</v>
      </c>
      <c r="D21168" t="s">
        <v>17</v>
      </c>
      <c r="E21168" t="s">
        <v>12</v>
      </c>
      <c r="F21168">
        <v>136018000</v>
      </c>
      <c r="G21168">
        <v>136018042</v>
      </c>
      <c r="H21168">
        <v>136018063</v>
      </c>
      <c r="I21168">
        <v>136018068</v>
      </c>
    </row>
    <row r="21169" spans="1:9" x14ac:dyDescent="0.2">
      <c r="A21169" t="str">
        <f>"Tmem91"</f>
        <v>Tmem91</v>
      </c>
      <c r="B21169" t="s">
        <v>14</v>
      </c>
      <c r="C21169" t="s">
        <v>33</v>
      </c>
      <c r="D21169" t="s">
        <v>11</v>
      </c>
      <c r="E21169" t="s">
        <v>12</v>
      </c>
      <c r="F21169">
        <v>25675100</v>
      </c>
      <c r="G21169">
        <v>25675187</v>
      </c>
      <c r="H21169">
        <v>25675100</v>
      </c>
      <c r="I21169">
        <v>25675187</v>
      </c>
    </row>
    <row r="21170" spans="1:9" x14ac:dyDescent="0.2">
      <c r="A21170" t="str">
        <f>"Tmem92"</f>
        <v>Tmem92</v>
      </c>
      <c r="B21170" t="s">
        <v>14</v>
      </c>
      <c r="C21170" t="s">
        <v>27</v>
      </c>
      <c r="D21170" t="s">
        <v>11</v>
      </c>
      <c r="E21170" t="s">
        <v>12</v>
      </c>
      <c r="F21170">
        <v>94782700</v>
      </c>
      <c r="G21170">
        <v>94782704</v>
      </c>
      <c r="H21170">
        <v>94782700</v>
      </c>
      <c r="I21170">
        <v>94782704</v>
      </c>
    </row>
    <row r="21171" spans="1:9" x14ac:dyDescent="0.2">
      <c r="A21171" t="str">
        <f>"Tmem95"</f>
        <v>Tmem95</v>
      </c>
      <c r="B21171" t="s">
        <v>14</v>
      </c>
      <c r="C21171" t="s">
        <v>27</v>
      </c>
      <c r="D21171" t="s">
        <v>11</v>
      </c>
      <c r="E21171" t="s">
        <v>12</v>
      </c>
      <c r="F21171">
        <v>69878030</v>
      </c>
      <c r="G21171">
        <v>69878058</v>
      </c>
      <c r="H21171">
        <v>69878068</v>
      </c>
      <c r="I21171">
        <v>69878080</v>
      </c>
    </row>
    <row r="21172" spans="1:9" x14ac:dyDescent="0.2">
      <c r="A21172" t="str">
        <f>"Tmem97"</f>
        <v>Tmem97</v>
      </c>
      <c r="B21172" t="s">
        <v>14</v>
      </c>
      <c r="C21172" t="s">
        <v>27</v>
      </c>
      <c r="D21172" t="s">
        <v>11</v>
      </c>
      <c r="E21172" t="s">
        <v>12</v>
      </c>
      <c r="F21172">
        <v>78550674</v>
      </c>
      <c r="G21172">
        <v>78550749</v>
      </c>
      <c r="H21172">
        <v>78550801</v>
      </c>
      <c r="I21172">
        <v>78550812</v>
      </c>
    </row>
    <row r="21173" spans="1:9" x14ac:dyDescent="0.2">
      <c r="A21173" t="str">
        <f>"Tmem98"</f>
        <v>Tmem98</v>
      </c>
      <c r="B21173" t="s">
        <v>14</v>
      </c>
      <c r="C21173" t="s">
        <v>27</v>
      </c>
      <c r="D21173" t="s">
        <v>17</v>
      </c>
      <c r="E21173" t="s">
        <v>12</v>
      </c>
      <c r="F21173">
        <v>80810357</v>
      </c>
      <c r="G21173">
        <v>80810404</v>
      </c>
      <c r="H21173">
        <v>80810141</v>
      </c>
      <c r="I21173">
        <v>80810163</v>
      </c>
    </row>
    <row r="21174" spans="1:9" x14ac:dyDescent="0.2">
      <c r="A21174" t="str">
        <f>"Tmem9b"</f>
        <v>Tmem9b</v>
      </c>
      <c r="B21174" t="s">
        <v>14</v>
      </c>
      <c r="C21174" t="s">
        <v>33</v>
      </c>
      <c r="D21174" t="s">
        <v>11</v>
      </c>
      <c r="E21174" t="s">
        <v>12</v>
      </c>
      <c r="F21174">
        <v>109752210</v>
      </c>
      <c r="G21174">
        <v>109752290</v>
      </c>
      <c r="H21174">
        <v>109752193</v>
      </c>
      <c r="I21174">
        <v>109752208</v>
      </c>
    </row>
    <row r="21175" spans="1:9" x14ac:dyDescent="0.2">
      <c r="A21175" t="str">
        <f>"Tmf1"</f>
        <v>Tmf1</v>
      </c>
      <c r="B21175" t="s">
        <v>14</v>
      </c>
      <c r="C21175" t="s">
        <v>32</v>
      </c>
      <c r="D21175" t="s">
        <v>11</v>
      </c>
      <c r="E21175" t="s">
        <v>12</v>
      </c>
      <c r="F21175">
        <v>97179100</v>
      </c>
      <c r="G21175">
        <v>97179159</v>
      </c>
      <c r="H21175">
        <v>97179071</v>
      </c>
      <c r="I21175">
        <v>97179095</v>
      </c>
    </row>
    <row r="21176" spans="1:9" x14ac:dyDescent="0.2">
      <c r="A21176" t="str">
        <f>"Tmie"</f>
        <v>Tmie</v>
      </c>
      <c r="B21176" t="s">
        <v>14</v>
      </c>
      <c r="C21176" t="s">
        <v>24</v>
      </c>
      <c r="D21176" t="s">
        <v>11</v>
      </c>
      <c r="E21176" t="s">
        <v>12</v>
      </c>
      <c r="F21176">
        <v>110880052</v>
      </c>
      <c r="G21176">
        <v>110880087</v>
      </c>
      <c r="H21176">
        <v>110880107</v>
      </c>
      <c r="I21176">
        <v>110880119</v>
      </c>
    </row>
    <row r="21177" spans="1:9" x14ac:dyDescent="0.2">
      <c r="A21177" t="str">
        <f>"Tmigd1"</f>
        <v>Tmigd1</v>
      </c>
      <c r="B21177" t="s">
        <v>14</v>
      </c>
      <c r="C21177" t="s">
        <v>27</v>
      </c>
      <c r="D21177" t="s">
        <v>17</v>
      </c>
      <c r="E21177" t="s">
        <v>12</v>
      </c>
      <c r="F21177">
        <v>76904513</v>
      </c>
      <c r="G21177">
        <v>76904569</v>
      </c>
      <c r="H21177">
        <v>76904513</v>
      </c>
      <c r="I21177">
        <v>76904569</v>
      </c>
    </row>
    <row r="21178" spans="1:9" x14ac:dyDescent="0.2">
      <c r="A21178" t="str">
        <f>"Tmod1"</f>
        <v>Tmod1</v>
      </c>
      <c r="B21178" t="s">
        <v>14</v>
      </c>
      <c r="C21178" t="s">
        <v>23</v>
      </c>
      <c r="D21178" t="s">
        <v>17</v>
      </c>
      <c r="E21178" t="s">
        <v>12</v>
      </c>
      <c r="F21178">
        <v>46039217</v>
      </c>
      <c r="G21178">
        <v>46039280</v>
      </c>
      <c r="H21178">
        <v>46039202</v>
      </c>
      <c r="I21178">
        <v>46039213</v>
      </c>
    </row>
    <row r="21179" spans="1:9" x14ac:dyDescent="0.2">
      <c r="A21179" t="str">
        <f>"Tmod2"</f>
        <v>Tmod2</v>
      </c>
      <c r="B21179" t="s">
        <v>14</v>
      </c>
      <c r="C21179" t="s">
        <v>24</v>
      </c>
      <c r="D21179" t="s">
        <v>11</v>
      </c>
      <c r="E21179" t="s">
        <v>12</v>
      </c>
      <c r="F21179">
        <v>75611104</v>
      </c>
      <c r="G21179">
        <v>75611182</v>
      </c>
      <c r="H21179">
        <v>75611076</v>
      </c>
      <c r="I21179">
        <v>75611102</v>
      </c>
    </row>
    <row r="21180" spans="1:9" x14ac:dyDescent="0.2">
      <c r="A21180" t="str">
        <f>"Tmod3"</f>
        <v>Tmod3</v>
      </c>
      <c r="B21180" t="s">
        <v>14</v>
      </c>
      <c r="C21180" t="s">
        <v>24</v>
      </c>
      <c r="D21180" t="s">
        <v>11</v>
      </c>
      <c r="E21180" t="s">
        <v>12</v>
      </c>
      <c r="F21180">
        <v>75559604</v>
      </c>
      <c r="G21180">
        <v>75559665</v>
      </c>
      <c r="H21180">
        <v>75559583</v>
      </c>
      <c r="I21180">
        <v>75559594</v>
      </c>
    </row>
    <row r="21181" spans="1:9" x14ac:dyDescent="0.2">
      <c r="A21181" t="str">
        <f>"Tmod4"</f>
        <v>Tmod4</v>
      </c>
      <c r="B21181" t="s">
        <v>14</v>
      </c>
      <c r="C21181" t="s">
        <v>22</v>
      </c>
      <c r="D21181" t="s">
        <v>17</v>
      </c>
      <c r="E21181" t="s">
        <v>12</v>
      </c>
      <c r="F21181">
        <v>95124482</v>
      </c>
      <c r="G21181">
        <v>95124560</v>
      </c>
      <c r="H21181">
        <v>95124451</v>
      </c>
      <c r="I21181">
        <v>95124465</v>
      </c>
    </row>
    <row r="21182" spans="1:9" x14ac:dyDescent="0.2">
      <c r="A21182" t="str">
        <f>"Tmpo"</f>
        <v>Tmpo</v>
      </c>
      <c r="B21182" t="s">
        <v>14</v>
      </c>
      <c r="C21182" t="s">
        <v>15</v>
      </c>
      <c r="D21182" t="s">
        <v>11</v>
      </c>
      <c r="E21182" t="s">
        <v>12</v>
      </c>
      <c r="F21182">
        <v>91171525</v>
      </c>
      <c r="G21182">
        <v>91171610</v>
      </c>
      <c r="H21182">
        <v>91171512</v>
      </c>
      <c r="I21182">
        <v>91171523</v>
      </c>
    </row>
    <row r="21183" spans="1:9" x14ac:dyDescent="0.2">
      <c r="A21183" t="str">
        <f>"Tmppe"</f>
        <v>Tmppe</v>
      </c>
      <c r="B21183" t="s">
        <v>14</v>
      </c>
      <c r="C21183" t="s">
        <v>24</v>
      </c>
      <c r="D21183" t="s">
        <v>17</v>
      </c>
      <c r="E21183" t="s">
        <v>12</v>
      </c>
      <c r="F21183">
        <v>114401092</v>
      </c>
      <c r="G21183">
        <v>114401133</v>
      </c>
      <c r="H21183">
        <v>114401092</v>
      </c>
      <c r="I21183">
        <v>114401133</v>
      </c>
    </row>
    <row r="21184" spans="1:9" x14ac:dyDescent="0.2">
      <c r="A21184" t="str">
        <f>"Tmprss11a"</f>
        <v>Tmprss11a</v>
      </c>
      <c r="B21184" t="s">
        <v>14</v>
      </c>
      <c r="C21184" t="s">
        <v>46</v>
      </c>
      <c r="D21184" t="s">
        <v>11</v>
      </c>
      <c r="E21184" t="s">
        <v>12</v>
      </c>
      <c r="F21184">
        <v>86469072</v>
      </c>
      <c r="G21184">
        <v>86469123</v>
      </c>
      <c r="H21184">
        <v>86469134</v>
      </c>
      <c r="I21184">
        <v>86469141</v>
      </c>
    </row>
    <row r="21185" spans="1:9" x14ac:dyDescent="0.2">
      <c r="A21185" t="str">
        <f>"Tmprss11bnl"</f>
        <v>Tmprss11bnl</v>
      </c>
      <c r="B21185" t="s">
        <v>14</v>
      </c>
      <c r="C21185" t="s">
        <v>46</v>
      </c>
      <c r="D21185" t="s">
        <v>11</v>
      </c>
      <c r="E21185" t="s">
        <v>12</v>
      </c>
      <c r="F21185">
        <v>86676346</v>
      </c>
      <c r="G21185">
        <v>86676369</v>
      </c>
      <c r="H21185">
        <v>86676310</v>
      </c>
      <c r="I21185">
        <v>86676320</v>
      </c>
    </row>
    <row r="21186" spans="1:9" x14ac:dyDescent="0.2">
      <c r="A21186" t="str">
        <f>"Tmprss11c"</f>
        <v>Tmprss11c</v>
      </c>
      <c r="B21186" t="s">
        <v>14</v>
      </c>
      <c r="C21186" t="s">
        <v>46</v>
      </c>
      <c r="D21186" t="s">
        <v>11</v>
      </c>
      <c r="E21186" t="s">
        <v>12</v>
      </c>
      <c r="F21186">
        <v>86289272</v>
      </c>
      <c r="G21186">
        <v>86289301</v>
      </c>
      <c r="H21186">
        <v>86289272</v>
      </c>
      <c r="I21186">
        <v>86289301</v>
      </c>
    </row>
    <row r="21187" spans="1:9" x14ac:dyDescent="0.2">
      <c r="A21187" t="str">
        <f>"Tmprss11d"</f>
        <v>Tmprss11d</v>
      </c>
      <c r="B21187" t="s">
        <v>14</v>
      </c>
      <c r="C21187" t="s">
        <v>46</v>
      </c>
      <c r="D21187" t="s">
        <v>11</v>
      </c>
      <c r="E21187" t="s">
        <v>12</v>
      </c>
      <c r="F21187">
        <v>86373413</v>
      </c>
      <c r="G21187">
        <v>86373428</v>
      </c>
      <c r="H21187">
        <v>86373413</v>
      </c>
      <c r="I21187">
        <v>86373428</v>
      </c>
    </row>
    <row r="21188" spans="1:9" x14ac:dyDescent="0.2">
      <c r="A21188" t="str">
        <f>"Tmprss11e"</f>
        <v>Tmprss11e</v>
      </c>
      <c r="B21188" t="s">
        <v>14</v>
      </c>
      <c r="C21188" t="s">
        <v>46</v>
      </c>
      <c r="D21188" t="s">
        <v>11</v>
      </c>
      <c r="E21188" t="s">
        <v>12</v>
      </c>
      <c r="F21188">
        <v>86745787</v>
      </c>
      <c r="G21188">
        <v>86745812</v>
      </c>
      <c r="H21188">
        <v>86745787</v>
      </c>
      <c r="I21188">
        <v>86745812</v>
      </c>
    </row>
    <row r="21189" spans="1:9" x14ac:dyDescent="0.2">
      <c r="A21189" t="str">
        <f>"Tmprss11f"</f>
        <v>Tmprss11f</v>
      </c>
      <c r="B21189" t="s">
        <v>14</v>
      </c>
      <c r="C21189" t="s">
        <v>46</v>
      </c>
      <c r="D21189" t="s">
        <v>11</v>
      </c>
      <c r="E21189" t="s">
        <v>12</v>
      </c>
      <c r="F21189">
        <v>86632378</v>
      </c>
      <c r="G21189">
        <v>86632391</v>
      </c>
      <c r="H21189">
        <v>86632417</v>
      </c>
      <c r="I21189">
        <v>86632431</v>
      </c>
    </row>
    <row r="21190" spans="1:9" x14ac:dyDescent="0.2">
      <c r="A21190" t="str">
        <f>"Tmprss11g"</f>
        <v>Tmprss11g</v>
      </c>
      <c r="B21190" t="s">
        <v>14</v>
      </c>
      <c r="C21190" t="s">
        <v>46</v>
      </c>
      <c r="D21190" t="s">
        <v>11</v>
      </c>
      <c r="E21190" t="s">
        <v>12</v>
      </c>
      <c r="F21190">
        <v>86518578</v>
      </c>
      <c r="G21190">
        <v>86518610</v>
      </c>
      <c r="H21190">
        <v>86518562</v>
      </c>
      <c r="I21190">
        <v>86518577</v>
      </c>
    </row>
    <row r="21191" spans="1:9" x14ac:dyDescent="0.2">
      <c r="A21191" t="str">
        <f>"Tmprss12"</f>
        <v>Tmprss12</v>
      </c>
      <c r="B21191" t="s">
        <v>14</v>
      </c>
      <c r="C21191" t="s">
        <v>25</v>
      </c>
      <c r="D21191" t="s">
        <v>17</v>
      </c>
      <c r="E21191" t="s">
        <v>12</v>
      </c>
      <c r="F21191">
        <v>100280850</v>
      </c>
      <c r="G21191">
        <v>100280871</v>
      </c>
      <c r="H21191">
        <v>100280881</v>
      </c>
      <c r="I21191">
        <v>100280883</v>
      </c>
    </row>
    <row r="21192" spans="1:9" x14ac:dyDescent="0.2">
      <c r="A21192" t="str">
        <f>"Tmprss13"</f>
        <v>Tmprss13</v>
      </c>
      <c r="B21192" t="s">
        <v>14</v>
      </c>
      <c r="C21192" t="s">
        <v>24</v>
      </c>
      <c r="D21192" t="s">
        <v>17</v>
      </c>
      <c r="E21192" t="s">
        <v>12</v>
      </c>
      <c r="F21192">
        <v>45319021</v>
      </c>
      <c r="G21192">
        <v>45319062</v>
      </c>
      <c r="H21192">
        <v>45318982</v>
      </c>
      <c r="I21192">
        <v>45319019</v>
      </c>
    </row>
    <row r="21193" spans="1:9" x14ac:dyDescent="0.2">
      <c r="A21193" t="str">
        <f>"Tmprss15"</f>
        <v>Tmprss15</v>
      </c>
      <c r="B21193" t="s">
        <v>14</v>
      </c>
      <c r="C21193" t="s">
        <v>31</v>
      </c>
      <c r="D21193" t="s">
        <v>11</v>
      </c>
      <c r="E21193" t="s">
        <v>12</v>
      </c>
      <c r="F21193">
        <v>79091078</v>
      </c>
      <c r="G21193">
        <v>79091107</v>
      </c>
      <c r="H21193">
        <v>79091065</v>
      </c>
      <c r="I21193">
        <v>79091074</v>
      </c>
    </row>
    <row r="21194" spans="1:9" x14ac:dyDescent="0.2">
      <c r="A21194" t="str">
        <f>"Tmprss2"</f>
        <v>Tmprss2</v>
      </c>
      <c r="B21194" t="s">
        <v>14</v>
      </c>
      <c r="C21194" t="s">
        <v>31</v>
      </c>
      <c r="D21194" t="s">
        <v>11</v>
      </c>
      <c r="E21194" t="s">
        <v>12</v>
      </c>
      <c r="F21194">
        <v>97611072</v>
      </c>
      <c r="G21194">
        <v>97611088</v>
      </c>
      <c r="H21194">
        <v>97610980</v>
      </c>
      <c r="I21194">
        <v>97611020</v>
      </c>
    </row>
    <row r="21195" spans="1:9" x14ac:dyDescent="0.2">
      <c r="A21195" t="str">
        <f>"Tmprss3"</f>
        <v>Tmprss3</v>
      </c>
      <c r="B21195" t="s">
        <v>14</v>
      </c>
      <c r="C21195" t="s">
        <v>28</v>
      </c>
      <c r="D21195" t="s">
        <v>11</v>
      </c>
      <c r="E21195" t="s">
        <v>12</v>
      </c>
      <c r="F21195">
        <v>31198924</v>
      </c>
      <c r="G21195">
        <v>31198954</v>
      </c>
      <c r="H21195">
        <v>31198958</v>
      </c>
      <c r="I21195">
        <v>31198976</v>
      </c>
    </row>
    <row r="21196" spans="1:9" x14ac:dyDescent="0.2">
      <c r="A21196" t="str">
        <f>"Tmprss4"</f>
        <v>Tmprss4</v>
      </c>
      <c r="B21196" t="s">
        <v>14</v>
      </c>
      <c r="C21196" t="s">
        <v>24</v>
      </c>
      <c r="D21196" t="s">
        <v>11</v>
      </c>
      <c r="E21196" t="s">
        <v>12</v>
      </c>
      <c r="F21196">
        <v>45204024</v>
      </c>
      <c r="G21196">
        <v>45204048</v>
      </c>
      <c r="H21196">
        <v>45204083</v>
      </c>
      <c r="I21196">
        <v>45204106</v>
      </c>
    </row>
    <row r="21197" spans="1:9" x14ac:dyDescent="0.2">
      <c r="A21197" t="str">
        <f>"Tmprss5"</f>
        <v>Tmprss5</v>
      </c>
      <c r="B21197" t="s">
        <v>14</v>
      </c>
      <c r="C21197" t="s">
        <v>24</v>
      </c>
      <c r="D21197" t="s">
        <v>17</v>
      </c>
      <c r="E21197" t="s">
        <v>12</v>
      </c>
      <c r="F21197">
        <v>49102720</v>
      </c>
      <c r="G21197">
        <v>49102752</v>
      </c>
      <c r="H21197">
        <v>49102720</v>
      </c>
      <c r="I21197">
        <v>49102752</v>
      </c>
    </row>
    <row r="21198" spans="1:9" x14ac:dyDescent="0.2">
      <c r="A21198" t="str">
        <f>"Tmprss6"</f>
        <v>Tmprss6</v>
      </c>
      <c r="B21198" t="s">
        <v>14</v>
      </c>
      <c r="C21198" t="s">
        <v>25</v>
      </c>
      <c r="D21198" t="s">
        <v>11</v>
      </c>
      <c r="E21198" t="s">
        <v>12</v>
      </c>
      <c r="F21198">
        <v>78468620</v>
      </c>
      <c r="G21198">
        <v>78468646</v>
      </c>
      <c r="H21198">
        <v>78468463</v>
      </c>
      <c r="I21198">
        <v>78468485</v>
      </c>
    </row>
    <row r="21199" spans="1:9" x14ac:dyDescent="0.2">
      <c r="A21199" t="str">
        <f>"Tmprss7"</f>
        <v>Tmprss7</v>
      </c>
      <c r="B21199" t="s">
        <v>14</v>
      </c>
      <c r="C21199" t="s">
        <v>31</v>
      </c>
      <c r="D21199" t="s">
        <v>11</v>
      </c>
      <c r="E21199" t="s">
        <v>12</v>
      </c>
      <c r="F21199">
        <v>45693727</v>
      </c>
      <c r="G21199">
        <v>45693743</v>
      </c>
      <c r="H21199">
        <v>45693727</v>
      </c>
      <c r="I21199">
        <v>45693743</v>
      </c>
    </row>
    <row r="21200" spans="1:9" x14ac:dyDescent="0.2">
      <c r="A21200" t="str">
        <f>"Tmprss9"</f>
        <v>Tmprss9</v>
      </c>
      <c r="B21200" t="s">
        <v>5941</v>
      </c>
      <c r="C21200" t="s">
        <v>15</v>
      </c>
      <c r="D21200" t="s">
        <v>17</v>
      </c>
      <c r="E21200" t="s">
        <v>20</v>
      </c>
      <c r="F21200">
        <v>80879719</v>
      </c>
      <c r="G21200">
        <v>80879719</v>
      </c>
      <c r="H21200">
        <v>80879719</v>
      </c>
      <c r="I21200">
        <v>80879719</v>
      </c>
    </row>
    <row r="21201" spans="1:9" x14ac:dyDescent="0.2">
      <c r="A21201" t="str">
        <f>"Tmsb10"</f>
        <v>Tmsb10</v>
      </c>
      <c r="B21201" t="s">
        <v>14</v>
      </c>
      <c r="C21201" t="s">
        <v>32</v>
      </c>
      <c r="D21201" t="s">
        <v>11</v>
      </c>
      <c r="E21201" t="s">
        <v>12</v>
      </c>
      <c r="F21201">
        <v>72958097</v>
      </c>
      <c r="G21201">
        <v>72958244</v>
      </c>
      <c r="H21201">
        <v>72958399</v>
      </c>
      <c r="I21201">
        <v>72958411</v>
      </c>
    </row>
    <row r="21202" spans="1:9" x14ac:dyDescent="0.2">
      <c r="A21202" t="str">
        <f>"Tmsb15a"</f>
        <v>Tmsb15a</v>
      </c>
      <c r="B21202" t="s">
        <v>14</v>
      </c>
      <c r="C21202" t="s">
        <v>37</v>
      </c>
      <c r="D21202" t="s">
        <v>11</v>
      </c>
      <c r="E21202" t="s">
        <v>12</v>
      </c>
      <c r="F21202">
        <v>135720627</v>
      </c>
      <c r="G21202">
        <v>135720641</v>
      </c>
      <c r="H21202">
        <v>135720627</v>
      </c>
      <c r="I21202">
        <v>135720641</v>
      </c>
    </row>
    <row r="21203" spans="1:9" x14ac:dyDescent="0.2">
      <c r="A21203" t="str">
        <f>"Tmsb15b1"</f>
        <v>Tmsb15b1</v>
      </c>
      <c r="B21203" t="s">
        <v>14</v>
      </c>
      <c r="C21203" t="s">
        <v>37</v>
      </c>
      <c r="D21203" t="s">
        <v>11</v>
      </c>
      <c r="E21203" t="s">
        <v>12</v>
      </c>
      <c r="F21203">
        <v>136976859</v>
      </c>
      <c r="G21203">
        <v>136976883</v>
      </c>
      <c r="H21203">
        <v>136976859</v>
      </c>
      <c r="I21203">
        <v>136976883</v>
      </c>
    </row>
    <row r="21204" spans="1:9" x14ac:dyDescent="0.2">
      <c r="A21204" t="str">
        <f>"Tmsb15b2"</f>
        <v>Tmsb15b2</v>
      </c>
      <c r="B21204" t="s">
        <v>14</v>
      </c>
      <c r="C21204" t="s">
        <v>37</v>
      </c>
      <c r="D21204" t="s">
        <v>11</v>
      </c>
      <c r="E21204" t="s">
        <v>12</v>
      </c>
      <c r="F21204">
        <v>136976859</v>
      </c>
      <c r="G21204">
        <v>136976883</v>
      </c>
      <c r="H21204">
        <v>136976836</v>
      </c>
      <c r="I21204">
        <v>136976856</v>
      </c>
    </row>
    <row r="21205" spans="1:9" x14ac:dyDescent="0.2">
      <c r="A21205" t="str">
        <f>"Tmsb15l"</f>
        <v>Tmsb15l</v>
      </c>
      <c r="B21205" t="s">
        <v>14</v>
      </c>
      <c r="C21205" t="s">
        <v>37</v>
      </c>
      <c r="D21205" t="s">
        <v>11</v>
      </c>
      <c r="E21205" t="s">
        <v>12</v>
      </c>
      <c r="F21205">
        <v>136976859</v>
      </c>
      <c r="G21205">
        <v>136976883</v>
      </c>
      <c r="H21205">
        <v>136976836</v>
      </c>
      <c r="I21205">
        <v>136976856</v>
      </c>
    </row>
    <row r="21206" spans="1:9" x14ac:dyDescent="0.2">
      <c r="A21206" t="str">
        <f>"Tmsb4x"</f>
        <v>Tmsb4x</v>
      </c>
      <c r="B21206" t="s">
        <v>14</v>
      </c>
      <c r="C21206" t="s">
        <v>37</v>
      </c>
      <c r="D21206" t="s">
        <v>11</v>
      </c>
      <c r="E21206" t="s">
        <v>12</v>
      </c>
      <c r="F21206">
        <v>167209159</v>
      </c>
      <c r="G21206">
        <v>167209164</v>
      </c>
      <c r="H21206">
        <v>167209159</v>
      </c>
      <c r="I21206">
        <v>167209164</v>
      </c>
    </row>
    <row r="21207" spans="1:9" x14ac:dyDescent="0.2">
      <c r="A21207" t="str">
        <f>"Tmtc1"</f>
        <v>Tmtc1</v>
      </c>
      <c r="B21207" t="s">
        <v>14</v>
      </c>
      <c r="C21207" t="s">
        <v>32</v>
      </c>
      <c r="D21207" t="s">
        <v>11</v>
      </c>
      <c r="E21207" t="s">
        <v>12</v>
      </c>
      <c r="F21207">
        <v>148444316</v>
      </c>
      <c r="G21207">
        <v>148444329</v>
      </c>
      <c r="H21207">
        <v>148444336</v>
      </c>
      <c r="I21207">
        <v>148444358</v>
      </c>
    </row>
    <row r="21208" spans="1:9" x14ac:dyDescent="0.2">
      <c r="A21208" t="str">
        <f>"Tmtc2"</f>
        <v>Tmtc2</v>
      </c>
      <c r="B21208" t="s">
        <v>14</v>
      </c>
      <c r="C21208" t="s">
        <v>15</v>
      </c>
      <c r="D21208" t="s">
        <v>11</v>
      </c>
      <c r="E21208" t="s">
        <v>12</v>
      </c>
      <c r="F21208">
        <v>105574389</v>
      </c>
      <c r="G21208">
        <v>105574407</v>
      </c>
      <c r="H21208">
        <v>105574168</v>
      </c>
      <c r="I21208">
        <v>105574243</v>
      </c>
    </row>
    <row r="21209" spans="1:9" x14ac:dyDescent="0.2">
      <c r="A21209" t="str">
        <f>"Tmtc3"</f>
        <v>Tmtc3</v>
      </c>
      <c r="B21209" t="s">
        <v>14</v>
      </c>
      <c r="C21209" t="s">
        <v>15</v>
      </c>
      <c r="D21209" t="s">
        <v>11</v>
      </c>
      <c r="E21209" t="s">
        <v>12</v>
      </c>
      <c r="F21209">
        <v>100487316</v>
      </c>
      <c r="G21209">
        <v>100487357</v>
      </c>
      <c r="H21209">
        <v>100487291</v>
      </c>
      <c r="I21209">
        <v>100487311</v>
      </c>
    </row>
    <row r="21210" spans="1:9" x14ac:dyDescent="0.2">
      <c r="A21210" t="str">
        <f>"Tmtc4"</f>
        <v>Tmtc4</v>
      </c>
      <c r="B21210" t="s">
        <v>14</v>
      </c>
      <c r="C21210" t="s">
        <v>41</v>
      </c>
      <c r="D21210" t="s">
        <v>11</v>
      </c>
      <c r="E21210" t="s">
        <v>12</v>
      </c>
      <c r="F21210">
        <v>122983211</v>
      </c>
      <c r="G21210">
        <v>122983277</v>
      </c>
      <c r="H21210">
        <v>122983185</v>
      </c>
      <c r="I21210">
        <v>122983209</v>
      </c>
    </row>
    <row r="21211" spans="1:9" x14ac:dyDescent="0.2">
      <c r="A21211" t="str">
        <f>"Tmub1"</f>
        <v>Tmub1</v>
      </c>
      <c r="B21211" t="s">
        <v>14</v>
      </c>
      <c r="C21211" t="s">
        <v>46</v>
      </c>
      <c r="D21211" t="s">
        <v>11</v>
      </c>
      <c r="E21211" t="s">
        <v>12</v>
      </c>
      <c r="F21211">
        <v>24447775</v>
      </c>
      <c r="G21211">
        <v>24447830</v>
      </c>
      <c r="H21211">
        <v>24447860</v>
      </c>
      <c r="I21211">
        <v>24447873</v>
      </c>
    </row>
    <row r="21212" spans="1:9" x14ac:dyDescent="0.2">
      <c r="A21212" t="str">
        <f>"Tmub2"</f>
        <v>Tmub2</v>
      </c>
      <c r="B21212" t="s">
        <v>14</v>
      </c>
      <c r="C21212" t="s">
        <v>27</v>
      </c>
      <c r="D21212" t="s">
        <v>17</v>
      </c>
      <c r="E21212" t="s">
        <v>12</v>
      </c>
      <c r="F21212">
        <v>102284932</v>
      </c>
      <c r="G21212">
        <v>102285033</v>
      </c>
      <c r="H21212">
        <v>102285161</v>
      </c>
      <c r="I21212">
        <v>102285251</v>
      </c>
    </row>
    <row r="21213" spans="1:9" x14ac:dyDescent="0.2">
      <c r="A21213" t="str">
        <f>"Tmx1"</f>
        <v>Tmx1</v>
      </c>
      <c r="B21213" t="s">
        <v>14</v>
      </c>
      <c r="C21213" t="s">
        <v>16</v>
      </c>
      <c r="D21213" t="s">
        <v>17</v>
      </c>
      <c r="E21213" t="s">
        <v>12</v>
      </c>
      <c r="F21213">
        <v>70453121</v>
      </c>
      <c r="G21213">
        <v>70453165</v>
      </c>
      <c r="H21213">
        <v>70453096</v>
      </c>
      <c r="I21213">
        <v>70453107</v>
      </c>
    </row>
    <row r="21214" spans="1:9" x14ac:dyDescent="0.2">
      <c r="A21214" t="str">
        <f>"Tmx2"</f>
        <v>Tmx2</v>
      </c>
      <c r="B21214" t="s">
        <v>14</v>
      </c>
      <c r="C21214" t="s">
        <v>26</v>
      </c>
      <c r="D21214" t="s">
        <v>11</v>
      </c>
      <c r="E21214" t="s">
        <v>12</v>
      </c>
      <c r="F21214">
        <v>84678051</v>
      </c>
      <c r="G21214">
        <v>84678083</v>
      </c>
      <c r="H21214">
        <v>84678837</v>
      </c>
      <c r="I21214">
        <v>84678850</v>
      </c>
    </row>
    <row r="21215" spans="1:9" x14ac:dyDescent="0.2">
      <c r="A21215" t="str">
        <f>"Tmx3"</f>
        <v>Tmx3</v>
      </c>
      <c r="B21215" t="s">
        <v>14</v>
      </c>
      <c r="C21215" t="s">
        <v>43</v>
      </c>
      <c r="D21215" t="s">
        <v>17</v>
      </c>
      <c r="E21215" t="s">
        <v>12</v>
      </c>
      <c r="F21215">
        <v>90510184</v>
      </c>
      <c r="G21215">
        <v>90510224</v>
      </c>
      <c r="H21215">
        <v>90510122</v>
      </c>
      <c r="I21215">
        <v>90510174</v>
      </c>
    </row>
    <row r="21216" spans="1:9" x14ac:dyDescent="0.2">
      <c r="A21216" t="str">
        <f>"Tmx4"</f>
        <v>Tmx4</v>
      </c>
      <c r="B21216" t="s">
        <v>14</v>
      </c>
      <c r="C21216" t="s">
        <v>26</v>
      </c>
      <c r="D21216" t="s">
        <v>11</v>
      </c>
      <c r="E21216" t="s">
        <v>12</v>
      </c>
      <c r="F21216">
        <v>134644125</v>
      </c>
      <c r="G21216">
        <v>134644143</v>
      </c>
      <c r="H21216">
        <v>134644019</v>
      </c>
      <c r="I21216">
        <v>134644042</v>
      </c>
    </row>
    <row r="21217" spans="1:9" x14ac:dyDescent="0.2">
      <c r="A21217" t="str">
        <f>"Tnc"</f>
        <v>Tnc</v>
      </c>
      <c r="B21217" t="s">
        <v>14</v>
      </c>
      <c r="C21217" t="s">
        <v>23</v>
      </c>
      <c r="D21217" t="s">
        <v>11</v>
      </c>
      <c r="E21217" t="s">
        <v>12</v>
      </c>
      <c r="F21217">
        <v>64046925</v>
      </c>
      <c r="G21217">
        <v>64046944</v>
      </c>
      <c r="H21217">
        <v>64046925</v>
      </c>
      <c r="I21217">
        <v>64046944</v>
      </c>
    </row>
    <row r="21218" spans="1:9" x14ac:dyDescent="0.2">
      <c r="A21218" t="str">
        <f>"Tnf"</f>
        <v>Tnf</v>
      </c>
      <c r="B21218" t="s">
        <v>14</v>
      </c>
      <c r="C21218" t="s">
        <v>28</v>
      </c>
      <c r="D21218" t="s">
        <v>11</v>
      </c>
      <c r="E21218" t="s">
        <v>12</v>
      </c>
      <c r="F21218">
        <v>35201996</v>
      </c>
      <c r="G21218">
        <v>35202014</v>
      </c>
      <c r="H21218">
        <v>35201996</v>
      </c>
      <c r="I21218">
        <v>35202014</v>
      </c>
    </row>
    <row r="21219" spans="1:9" x14ac:dyDescent="0.2">
      <c r="A21219" t="str">
        <f>"Tnfaip1"</f>
        <v>Tnfaip1</v>
      </c>
      <c r="B21219" t="s">
        <v>14</v>
      </c>
      <c r="C21219" t="s">
        <v>27</v>
      </c>
      <c r="D21219" t="s">
        <v>11</v>
      </c>
      <c r="E21219" t="s">
        <v>12</v>
      </c>
      <c r="F21219">
        <v>78536107</v>
      </c>
      <c r="G21219">
        <v>78536215</v>
      </c>
      <c r="H21219">
        <v>78536216</v>
      </c>
      <c r="I21219">
        <v>78536227</v>
      </c>
    </row>
    <row r="21220" spans="1:9" x14ac:dyDescent="0.2">
      <c r="A21220" t="str">
        <f>"Tnfaip2"</f>
        <v>Tnfaip2</v>
      </c>
      <c r="B21220" t="s">
        <v>9</v>
      </c>
      <c r="C21220" t="s">
        <v>16</v>
      </c>
      <c r="D21220" t="s">
        <v>17</v>
      </c>
      <c r="E21220" t="s">
        <v>12</v>
      </c>
      <c r="F21220">
        <v>111442653</v>
      </c>
      <c r="G21220">
        <v>111442669</v>
      </c>
      <c r="H21220">
        <v>111442653</v>
      </c>
      <c r="I21220">
        <v>111442669</v>
      </c>
    </row>
    <row r="21221" spans="1:9" x14ac:dyDescent="0.2">
      <c r="A21221" t="str">
        <f>"Tnfaip2"</f>
        <v>Tnfaip2</v>
      </c>
      <c r="B21221" t="s">
        <v>13</v>
      </c>
      <c r="C21221" t="s">
        <v>16</v>
      </c>
      <c r="D21221" t="s">
        <v>17</v>
      </c>
      <c r="E21221" t="s">
        <v>12</v>
      </c>
      <c r="F21221">
        <v>111449624</v>
      </c>
      <c r="G21221">
        <v>111449651</v>
      </c>
      <c r="H21221">
        <v>111449624</v>
      </c>
      <c r="I21221">
        <v>111449651</v>
      </c>
    </row>
    <row r="21222" spans="1:9" x14ac:dyDescent="0.2">
      <c r="A21222" t="str">
        <f>"Tnfaip3"</f>
        <v>Tnfaip3</v>
      </c>
      <c r="B21222" t="s">
        <v>14</v>
      </c>
      <c r="C21222" t="s">
        <v>15</v>
      </c>
      <c r="D21222" t="s">
        <v>11</v>
      </c>
      <c r="E21222" t="s">
        <v>12</v>
      </c>
      <c r="F21222">
        <v>19015347</v>
      </c>
      <c r="G21222">
        <v>19015379</v>
      </c>
      <c r="H21222">
        <v>19015303</v>
      </c>
      <c r="I21222">
        <v>19015317</v>
      </c>
    </row>
    <row r="21223" spans="1:9" x14ac:dyDescent="0.2">
      <c r="A21223" t="str">
        <f>"Tnfaip6"</f>
        <v>Tnfaip6</v>
      </c>
      <c r="B21223" t="s">
        <v>14</v>
      </c>
      <c r="C21223" t="s">
        <v>26</v>
      </c>
      <c r="D21223" t="s">
        <v>17</v>
      </c>
      <c r="E21223" t="s">
        <v>12</v>
      </c>
      <c r="F21223">
        <v>52038092</v>
      </c>
      <c r="G21223">
        <v>52038111</v>
      </c>
      <c r="H21223">
        <v>52038142</v>
      </c>
      <c r="I21223">
        <v>52038155</v>
      </c>
    </row>
    <row r="21224" spans="1:9" x14ac:dyDescent="0.2">
      <c r="A21224" t="str">
        <f>"Tnfaip8"</f>
        <v>Tnfaip8</v>
      </c>
      <c r="B21224" t="s">
        <v>9</v>
      </c>
      <c r="C21224" t="s">
        <v>43</v>
      </c>
      <c r="D21224" t="s">
        <v>17</v>
      </c>
      <c r="E21224" t="s">
        <v>12</v>
      </c>
      <c r="F21224">
        <v>50030977</v>
      </c>
      <c r="G21224">
        <v>50031043</v>
      </c>
      <c r="H21224">
        <v>50030977</v>
      </c>
      <c r="I21224">
        <v>50031043</v>
      </c>
    </row>
    <row r="21225" spans="1:9" x14ac:dyDescent="0.2">
      <c r="A21225" t="str">
        <f>"Tnfaip8"</f>
        <v>Tnfaip8</v>
      </c>
      <c r="B21225" t="s">
        <v>13</v>
      </c>
      <c r="C21225" t="s">
        <v>43</v>
      </c>
      <c r="D21225" t="s">
        <v>17</v>
      </c>
      <c r="E21225" t="s">
        <v>12</v>
      </c>
      <c r="F21225">
        <v>50053466</v>
      </c>
      <c r="G21225">
        <v>50053523</v>
      </c>
      <c r="H21225">
        <v>50053466</v>
      </c>
      <c r="I21225">
        <v>50053523</v>
      </c>
    </row>
    <row r="21226" spans="1:9" x14ac:dyDescent="0.2">
      <c r="A21226" t="str">
        <f>"Tnfaip8l1"</f>
        <v>Tnfaip8l1</v>
      </c>
      <c r="B21226" t="s">
        <v>14</v>
      </c>
      <c r="C21226" t="s">
        <v>28</v>
      </c>
      <c r="D21226" t="s">
        <v>17</v>
      </c>
      <c r="E21226" t="s">
        <v>12</v>
      </c>
      <c r="F21226">
        <v>56162486</v>
      </c>
      <c r="G21226">
        <v>56162549</v>
      </c>
      <c r="H21226">
        <v>56162552</v>
      </c>
      <c r="I21226">
        <v>56162567</v>
      </c>
    </row>
    <row r="21227" spans="1:9" x14ac:dyDescent="0.2">
      <c r="A21227" t="str">
        <f>"Tnfaip8l2"</f>
        <v>Tnfaip8l2</v>
      </c>
      <c r="B21227" t="s">
        <v>14</v>
      </c>
      <c r="C21227" t="s">
        <v>22</v>
      </c>
      <c r="D21227" t="s">
        <v>11</v>
      </c>
      <c r="E21227" t="s">
        <v>12</v>
      </c>
      <c r="F21227">
        <v>95142346</v>
      </c>
      <c r="G21227">
        <v>95142362</v>
      </c>
      <c r="H21227">
        <v>95142363</v>
      </c>
      <c r="I21227">
        <v>95142374</v>
      </c>
    </row>
    <row r="21228" spans="1:9" x14ac:dyDescent="0.2">
      <c r="A21228" t="str">
        <f>"Tnfaip8l3"</f>
        <v>Tnfaip8l3</v>
      </c>
      <c r="B21228" t="s">
        <v>14</v>
      </c>
      <c r="C21228" t="s">
        <v>24</v>
      </c>
      <c r="D21228" t="s">
        <v>11</v>
      </c>
      <c r="E21228" t="s">
        <v>12</v>
      </c>
      <c r="F21228">
        <v>54068346</v>
      </c>
      <c r="G21228">
        <v>54068416</v>
      </c>
      <c r="H21228">
        <v>54068469</v>
      </c>
      <c r="I21228">
        <v>54068512</v>
      </c>
    </row>
    <row r="21229" spans="1:9" x14ac:dyDescent="0.2">
      <c r="A21229" t="str">
        <f>"Tnfrsf10b"</f>
        <v>Tnfrsf10b</v>
      </c>
      <c r="B21229" t="s">
        <v>14</v>
      </c>
      <c r="C21229" t="s">
        <v>41</v>
      </c>
      <c r="D21229" t="s">
        <v>17</v>
      </c>
      <c r="E21229" t="s">
        <v>12</v>
      </c>
      <c r="F21229">
        <v>69767470</v>
      </c>
      <c r="G21229">
        <v>69767526</v>
      </c>
      <c r="H21229">
        <v>69767542</v>
      </c>
      <c r="I21229">
        <v>69767553</v>
      </c>
    </row>
    <row r="21230" spans="1:9" x14ac:dyDescent="0.2">
      <c r="A21230" t="str">
        <f>"Tnfrsf11a"</f>
        <v>Tnfrsf11a</v>
      </c>
      <c r="B21230" t="s">
        <v>14</v>
      </c>
      <c r="C21230" t="s">
        <v>19</v>
      </c>
      <c r="D21230" t="s">
        <v>17</v>
      </c>
      <c r="E21230" t="s">
        <v>12</v>
      </c>
      <c r="F21230">
        <v>105780693</v>
      </c>
      <c r="G21230">
        <v>105780762</v>
      </c>
      <c r="H21230">
        <v>105780693</v>
      </c>
      <c r="I21230">
        <v>105780762</v>
      </c>
    </row>
    <row r="21231" spans="1:9" x14ac:dyDescent="0.2">
      <c r="A21231" t="str">
        <f>"Tnfrsf11b"</f>
        <v>Tnfrsf11b</v>
      </c>
      <c r="B21231" t="s">
        <v>14</v>
      </c>
      <c r="C21231" t="s">
        <v>25</v>
      </c>
      <c r="D21231" t="s">
        <v>11</v>
      </c>
      <c r="E21231" t="s">
        <v>12</v>
      </c>
      <c r="F21231">
        <v>54278295</v>
      </c>
      <c r="G21231">
        <v>54278312</v>
      </c>
      <c r="H21231">
        <v>54278420</v>
      </c>
      <c r="I21231">
        <v>54278433</v>
      </c>
    </row>
    <row r="21232" spans="1:9" x14ac:dyDescent="0.2">
      <c r="A21232" t="str">
        <f>"Tnfrsf12a"</f>
        <v>Tnfrsf12a</v>
      </c>
      <c r="B21232" t="s">
        <v>14</v>
      </c>
      <c r="C21232" t="s">
        <v>28</v>
      </c>
      <c r="D21232" t="s">
        <v>11</v>
      </c>
      <c r="E21232" t="s">
        <v>12</v>
      </c>
      <c r="F21232">
        <v>23677432</v>
      </c>
      <c r="G21232">
        <v>23677456</v>
      </c>
      <c r="H21232">
        <v>23677477</v>
      </c>
      <c r="I21232">
        <v>23677484</v>
      </c>
    </row>
    <row r="21233" spans="1:9" x14ac:dyDescent="0.2">
      <c r="A21233" t="str">
        <f>"Tnfrsf13b"</f>
        <v>Tnfrsf13b</v>
      </c>
      <c r="B21233" t="s">
        <v>14</v>
      </c>
      <c r="C21233" t="s">
        <v>27</v>
      </c>
      <c r="D21233" t="s">
        <v>17</v>
      </c>
      <c r="E21233" t="s">
        <v>12</v>
      </c>
      <c r="F21233">
        <v>61142477</v>
      </c>
      <c r="G21233">
        <v>61142507</v>
      </c>
      <c r="H21233">
        <v>61142457</v>
      </c>
      <c r="I21233">
        <v>61142471</v>
      </c>
    </row>
    <row r="21234" spans="1:9" x14ac:dyDescent="0.2">
      <c r="A21234" t="str">
        <f>"Tnfrsf13c"</f>
        <v>Tnfrsf13c</v>
      </c>
      <c r="B21234" t="s">
        <v>14</v>
      </c>
      <c r="C21234" t="s">
        <v>25</v>
      </c>
      <c r="D21234" t="s">
        <v>11</v>
      </c>
      <c r="E21234" t="s">
        <v>12</v>
      </c>
      <c r="F21234">
        <v>82224330</v>
      </c>
      <c r="G21234">
        <v>82224361</v>
      </c>
      <c r="H21234">
        <v>82224364</v>
      </c>
      <c r="I21234">
        <v>82224379</v>
      </c>
    </row>
    <row r="21235" spans="1:9" x14ac:dyDescent="0.2">
      <c r="A21235" t="str">
        <f>"Tnfrsf14"</f>
        <v>Tnfrsf14</v>
      </c>
      <c r="B21235" t="s">
        <v>14</v>
      </c>
      <c r="C21235" t="s">
        <v>23</v>
      </c>
      <c r="D21235" t="s">
        <v>11</v>
      </c>
      <c r="E21235" t="s">
        <v>12</v>
      </c>
      <c r="F21235">
        <v>154928545</v>
      </c>
      <c r="G21235">
        <v>154928571</v>
      </c>
      <c r="H21235">
        <v>154928103</v>
      </c>
      <c r="I21235">
        <v>154928147</v>
      </c>
    </row>
    <row r="21236" spans="1:9" x14ac:dyDescent="0.2">
      <c r="A21236" t="str">
        <f>"Tnfrsf17"</f>
        <v>Tnfrsf17</v>
      </c>
      <c r="B21236" t="s">
        <v>14</v>
      </c>
      <c r="C21236" t="s">
        <v>31</v>
      </c>
      <c r="D21236" t="s">
        <v>17</v>
      </c>
      <c r="E21236" t="s">
        <v>12</v>
      </c>
      <c r="F21236">
        <v>11313914</v>
      </c>
      <c r="G21236">
        <v>11313945</v>
      </c>
      <c r="H21236">
        <v>11313797</v>
      </c>
      <c r="I21236">
        <v>11313813</v>
      </c>
    </row>
    <row r="21237" spans="1:9" x14ac:dyDescent="0.2">
      <c r="A21237" t="str">
        <f>"Tnfrsf18"</f>
        <v>Tnfrsf18</v>
      </c>
      <c r="B21237" t="s">
        <v>14</v>
      </c>
      <c r="C21237" t="s">
        <v>23</v>
      </c>
      <c r="D21237" t="s">
        <v>17</v>
      </c>
      <c r="E21237" t="s">
        <v>12</v>
      </c>
      <c r="F21237">
        <v>156026304</v>
      </c>
      <c r="G21237">
        <v>156026371</v>
      </c>
      <c r="H21237">
        <v>156026375</v>
      </c>
      <c r="I21237">
        <v>156026387</v>
      </c>
    </row>
    <row r="21238" spans="1:9" x14ac:dyDescent="0.2">
      <c r="A21238" t="str">
        <f>"Tnfrsf19"</f>
        <v>Tnfrsf19</v>
      </c>
      <c r="B21238" t="s">
        <v>14</v>
      </c>
      <c r="C21238" t="s">
        <v>41</v>
      </c>
      <c r="D21238" t="s">
        <v>11</v>
      </c>
      <c r="E21238" t="s">
        <v>12</v>
      </c>
      <c r="F21238">
        <v>61046494</v>
      </c>
      <c r="G21238">
        <v>61046523</v>
      </c>
      <c r="H21238">
        <v>61046494</v>
      </c>
      <c r="I21238">
        <v>61046523</v>
      </c>
    </row>
    <row r="21239" spans="1:9" x14ac:dyDescent="0.2">
      <c r="A21239" t="str">
        <f>"Tnfrsf1a"</f>
        <v>Tnfrsf1a</v>
      </c>
      <c r="B21239" t="s">
        <v>14</v>
      </c>
      <c r="C21239" t="s">
        <v>32</v>
      </c>
      <c r="D21239" t="s">
        <v>17</v>
      </c>
      <c r="E21239" t="s">
        <v>12</v>
      </c>
      <c r="F21239">
        <v>125349699</v>
      </c>
      <c r="G21239">
        <v>125349775</v>
      </c>
      <c r="H21239">
        <v>125349791</v>
      </c>
      <c r="I21239">
        <v>125349805</v>
      </c>
    </row>
    <row r="21240" spans="1:9" x14ac:dyDescent="0.2">
      <c r="A21240" t="str">
        <f>"Tnfrsf1b"</f>
        <v>Tnfrsf1b</v>
      </c>
      <c r="B21240" t="s">
        <v>14</v>
      </c>
      <c r="C21240" t="s">
        <v>23</v>
      </c>
      <c r="D21240" t="s">
        <v>11</v>
      </c>
      <c r="E21240" t="s">
        <v>12</v>
      </c>
      <c r="F21240">
        <v>145246855</v>
      </c>
      <c r="G21240">
        <v>145246879</v>
      </c>
      <c r="H21240">
        <v>145246652</v>
      </c>
      <c r="I21240">
        <v>145246655</v>
      </c>
    </row>
    <row r="21241" spans="1:9" x14ac:dyDescent="0.2">
      <c r="A21241" t="str">
        <f>"Tnfrsf21"</f>
        <v>Tnfrsf21</v>
      </c>
      <c r="B21241" t="s">
        <v>14</v>
      </c>
      <c r="C21241" t="s">
        <v>28</v>
      </c>
      <c r="D21241" t="s">
        <v>17</v>
      </c>
      <c r="E21241" t="s">
        <v>12</v>
      </c>
      <c r="F21241">
        <v>43016536</v>
      </c>
      <c r="G21241">
        <v>43016591</v>
      </c>
      <c r="H21241">
        <v>43016522</v>
      </c>
      <c r="I21241">
        <v>43016535</v>
      </c>
    </row>
    <row r="21242" spans="1:9" x14ac:dyDescent="0.2">
      <c r="A21242" t="str">
        <f>"Tnfrsf22"</f>
        <v>Tnfrsf22</v>
      </c>
      <c r="B21242" t="s">
        <v>14</v>
      </c>
      <c r="C21242" t="s">
        <v>33</v>
      </c>
      <c r="D21242" t="s">
        <v>11</v>
      </c>
      <c r="E21242" t="s">
        <v>12</v>
      </c>
      <c r="F21242">
        <v>143649614</v>
      </c>
      <c r="G21242">
        <v>143649671</v>
      </c>
      <c r="H21242">
        <v>143649596</v>
      </c>
      <c r="I21242">
        <v>143649605</v>
      </c>
    </row>
    <row r="21243" spans="1:9" x14ac:dyDescent="0.2">
      <c r="A21243" t="str">
        <f>"Tnfrsf23"</f>
        <v>Tnfrsf23</v>
      </c>
      <c r="B21243" t="s">
        <v>14</v>
      </c>
      <c r="C21243" t="s">
        <v>33</v>
      </c>
      <c r="D21243" t="s">
        <v>11</v>
      </c>
      <c r="E21243" t="s">
        <v>12</v>
      </c>
      <c r="F21243">
        <v>143685863</v>
      </c>
      <c r="G21243">
        <v>143685880</v>
      </c>
      <c r="H21243">
        <v>143685863</v>
      </c>
      <c r="I21243">
        <v>143685880</v>
      </c>
    </row>
    <row r="21244" spans="1:9" x14ac:dyDescent="0.2">
      <c r="A21244" t="str">
        <f>"Tnfrsf25"</f>
        <v>Tnfrsf25</v>
      </c>
      <c r="B21244" t="s">
        <v>14</v>
      </c>
      <c r="C21244" t="s">
        <v>23</v>
      </c>
      <c r="D21244" t="s">
        <v>17</v>
      </c>
      <c r="E21244" t="s">
        <v>12</v>
      </c>
      <c r="F21244">
        <v>152116036</v>
      </c>
      <c r="G21244">
        <v>152116080</v>
      </c>
      <c r="H21244">
        <v>152116312</v>
      </c>
      <c r="I21244">
        <v>152116337</v>
      </c>
    </row>
    <row r="21245" spans="1:9" x14ac:dyDescent="0.2">
      <c r="A21245" t="str">
        <f>"Tnfrsf26"</f>
        <v>Tnfrsf26</v>
      </c>
      <c r="B21245" t="s">
        <v>14</v>
      </c>
      <c r="C21245" t="s">
        <v>33</v>
      </c>
      <c r="D21245" t="s">
        <v>11</v>
      </c>
      <c r="E21245" t="s">
        <v>12</v>
      </c>
      <c r="F21245">
        <v>143627841</v>
      </c>
      <c r="G21245">
        <v>143627846</v>
      </c>
      <c r="H21245">
        <v>143627841</v>
      </c>
      <c r="I21245">
        <v>143627846</v>
      </c>
    </row>
    <row r="21246" spans="1:9" x14ac:dyDescent="0.2">
      <c r="A21246" t="str">
        <f>"Tnfrsf4"</f>
        <v>Tnfrsf4</v>
      </c>
      <c r="B21246" t="s">
        <v>14</v>
      </c>
      <c r="C21246" t="s">
        <v>23</v>
      </c>
      <c r="D21246" t="s">
        <v>17</v>
      </c>
      <c r="E21246" t="s">
        <v>12</v>
      </c>
      <c r="F21246">
        <v>156013835</v>
      </c>
      <c r="G21246">
        <v>156013849</v>
      </c>
      <c r="H21246">
        <v>156013858</v>
      </c>
      <c r="I21246">
        <v>156013872</v>
      </c>
    </row>
    <row r="21247" spans="1:9" x14ac:dyDescent="0.2">
      <c r="A21247" t="str">
        <f>"Tnfrsf8"</f>
        <v>Tnfrsf8</v>
      </c>
      <c r="B21247" t="s">
        <v>14</v>
      </c>
      <c r="C21247" t="s">
        <v>23</v>
      </c>
      <c r="D21247" t="s">
        <v>11</v>
      </c>
      <c r="E21247" t="s">
        <v>12</v>
      </c>
      <c r="F21247">
        <v>145315143</v>
      </c>
      <c r="G21247">
        <v>145315169</v>
      </c>
      <c r="H21247">
        <v>145315143</v>
      </c>
      <c r="I21247">
        <v>145315169</v>
      </c>
    </row>
    <row r="21248" spans="1:9" x14ac:dyDescent="0.2">
      <c r="A21248" t="str">
        <f>"Tnfrsf9"</f>
        <v>Tnfrsf9</v>
      </c>
      <c r="B21248" t="s">
        <v>14</v>
      </c>
      <c r="C21248" t="s">
        <v>23</v>
      </c>
      <c r="D21248" t="s">
        <v>17</v>
      </c>
      <c r="E21248" t="s">
        <v>12</v>
      </c>
      <c r="F21248">
        <v>150928019</v>
      </c>
      <c r="G21248">
        <v>150928035</v>
      </c>
      <c r="H21248">
        <v>150928019</v>
      </c>
      <c r="I21248">
        <v>150928035</v>
      </c>
    </row>
    <row r="21249" spans="1:9" x14ac:dyDescent="0.2">
      <c r="A21249" t="str">
        <f>"Tnfsf10"</f>
        <v>Tnfsf10</v>
      </c>
      <c r="B21249" t="s">
        <v>14</v>
      </c>
      <c r="C21249" t="s">
        <v>22</v>
      </c>
      <c r="D21249" t="s">
        <v>17</v>
      </c>
      <c r="E21249" t="s">
        <v>12</v>
      </c>
      <c r="F21249">
        <v>27317059</v>
      </c>
      <c r="G21249">
        <v>27317084</v>
      </c>
      <c r="H21249">
        <v>27317106</v>
      </c>
      <c r="I21249">
        <v>27317117</v>
      </c>
    </row>
    <row r="21250" spans="1:9" x14ac:dyDescent="0.2">
      <c r="A21250" t="str">
        <f>"Tnfsf11"</f>
        <v>Tnfsf11</v>
      </c>
      <c r="B21250" t="s">
        <v>14</v>
      </c>
      <c r="C21250" t="s">
        <v>41</v>
      </c>
      <c r="D21250" t="s">
        <v>11</v>
      </c>
      <c r="E21250" t="s">
        <v>12</v>
      </c>
      <c r="F21250">
        <v>78308031</v>
      </c>
      <c r="G21250">
        <v>78308050</v>
      </c>
      <c r="H21250">
        <v>78308031</v>
      </c>
      <c r="I21250">
        <v>78308050</v>
      </c>
    </row>
    <row r="21251" spans="1:9" x14ac:dyDescent="0.2">
      <c r="A21251" t="str">
        <f>"Tnfsf12"</f>
        <v>Tnfsf12</v>
      </c>
      <c r="B21251" t="s">
        <v>14</v>
      </c>
      <c r="C21251" t="s">
        <v>27</v>
      </c>
      <c r="D21251" t="s">
        <v>11</v>
      </c>
      <c r="E21251" t="s">
        <v>12</v>
      </c>
      <c r="F21251">
        <v>69695802</v>
      </c>
      <c r="G21251">
        <v>69695872</v>
      </c>
      <c r="H21251">
        <v>69695639</v>
      </c>
      <c r="I21251">
        <v>69695713</v>
      </c>
    </row>
    <row r="21252" spans="1:9" x14ac:dyDescent="0.2">
      <c r="A21252" t="str">
        <f>"Tnfsf13"</f>
        <v>Tnfsf13</v>
      </c>
      <c r="B21252" t="s">
        <v>14</v>
      </c>
      <c r="C21252" t="s">
        <v>27</v>
      </c>
      <c r="D21252" t="s">
        <v>11</v>
      </c>
      <c r="E21252" t="s">
        <v>12</v>
      </c>
      <c r="F21252">
        <v>69685275</v>
      </c>
      <c r="G21252">
        <v>69685335</v>
      </c>
      <c r="H21252">
        <v>69685537</v>
      </c>
      <c r="I21252">
        <v>69685565</v>
      </c>
    </row>
    <row r="21253" spans="1:9" x14ac:dyDescent="0.2">
      <c r="A21253" t="str">
        <f>"Tnfsf13b"</f>
        <v>Tnfsf13b</v>
      </c>
      <c r="B21253" t="s">
        <v>14</v>
      </c>
      <c r="C21253" t="s">
        <v>30</v>
      </c>
      <c r="D21253" t="s">
        <v>17</v>
      </c>
      <c r="E21253" t="s">
        <v>12</v>
      </c>
      <c r="F21253">
        <v>10006656</v>
      </c>
      <c r="G21253">
        <v>10006702</v>
      </c>
      <c r="H21253">
        <v>10006631</v>
      </c>
      <c r="I21253">
        <v>10006653</v>
      </c>
    </row>
    <row r="21254" spans="1:9" x14ac:dyDescent="0.2">
      <c r="A21254" t="str">
        <f>"Tnfsf14"</f>
        <v>Tnfsf14</v>
      </c>
      <c r="B21254" t="s">
        <v>14</v>
      </c>
      <c r="C21254" t="s">
        <v>28</v>
      </c>
      <c r="D21254" t="s">
        <v>11</v>
      </c>
      <c r="E21254" t="s">
        <v>12</v>
      </c>
      <c r="F21254">
        <v>57194170</v>
      </c>
      <c r="G21254">
        <v>57194190</v>
      </c>
      <c r="H21254">
        <v>57194170</v>
      </c>
      <c r="I21254">
        <v>57194190</v>
      </c>
    </row>
    <row r="21255" spans="1:9" x14ac:dyDescent="0.2">
      <c r="A21255" t="str">
        <f>"Tnfsf15"</f>
        <v>Tnfsf15</v>
      </c>
      <c r="B21255" t="s">
        <v>14</v>
      </c>
      <c r="C21255" t="s">
        <v>23</v>
      </c>
      <c r="D21255" t="s">
        <v>11</v>
      </c>
      <c r="E21255" t="s">
        <v>12</v>
      </c>
      <c r="F21255">
        <v>63745055</v>
      </c>
      <c r="G21255">
        <v>63745061</v>
      </c>
      <c r="H21255">
        <v>63745108</v>
      </c>
      <c r="I21255">
        <v>63745130</v>
      </c>
    </row>
    <row r="21256" spans="1:9" x14ac:dyDescent="0.2">
      <c r="A21256" t="str">
        <f>"Tnfsf18"</f>
        <v>Tnfsf18</v>
      </c>
      <c r="B21256" t="s">
        <v>14</v>
      </c>
      <c r="C21256" t="s">
        <v>19</v>
      </c>
      <c r="D21256" t="s">
        <v>17</v>
      </c>
      <c r="E21256" t="s">
        <v>12</v>
      </c>
      <c r="F21256">
        <v>161494649</v>
      </c>
      <c r="G21256">
        <v>161494656</v>
      </c>
      <c r="H21256">
        <v>161494649</v>
      </c>
      <c r="I21256">
        <v>161494656</v>
      </c>
    </row>
    <row r="21257" spans="1:9" x14ac:dyDescent="0.2">
      <c r="A21257" t="str">
        <f>"Tnfsf4"</f>
        <v>Tnfsf4</v>
      </c>
      <c r="B21257" t="s">
        <v>14</v>
      </c>
      <c r="C21257" t="s">
        <v>19</v>
      </c>
      <c r="D21257" t="s">
        <v>17</v>
      </c>
      <c r="E21257" t="s">
        <v>12</v>
      </c>
      <c r="F21257">
        <v>161395431</v>
      </c>
      <c r="G21257">
        <v>161395439</v>
      </c>
      <c r="H21257">
        <v>161395431</v>
      </c>
      <c r="I21257">
        <v>161395439</v>
      </c>
    </row>
    <row r="21258" spans="1:9" x14ac:dyDescent="0.2">
      <c r="A21258" t="str">
        <f>"Tnfsf8"</f>
        <v>Tnfsf8</v>
      </c>
      <c r="B21258" t="s">
        <v>14</v>
      </c>
      <c r="C21258" t="s">
        <v>23</v>
      </c>
      <c r="D21258" t="s">
        <v>11</v>
      </c>
      <c r="E21258" t="s">
        <v>12</v>
      </c>
      <c r="F21258">
        <v>63861326</v>
      </c>
      <c r="G21258">
        <v>63861355</v>
      </c>
      <c r="H21258">
        <v>63861326</v>
      </c>
      <c r="I21258">
        <v>63861355</v>
      </c>
    </row>
    <row r="21259" spans="1:9" x14ac:dyDescent="0.2">
      <c r="A21259" t="str">
        <f>"Tnfsf9"</f>
        <v>Tnfsf9</v>
      </c>
      <c r="B21259" t="s">
        <v>14</v>
      </c>
      <c r="C21259" t="s">
        <v>28</v>
      </c>
      <c r="D21259" t="s">
        <v>17</v>
      </c>
      <c r="E21259" t="s">
        <v>12</v>
      </c>
      <c r="F21259">
        <v>57105401</v>
      </c>
      <c r="G21259">
        <v>57105421</v>
      </c>
      <c r="H21259">
        <v>57105347</v>
      </c>
      <c r="I21259">
        <v>57105369</v>
      </c>
    </row>
    <row r="21260" spans="1:9" x14ac:dyDescent="0.2">
      <c r="A21260" t="str">
        <f>"Tnik"</f>
        <v>Tnik</v>
      </c>
      <c r="B21260" t="s">
        <v>14</v>
      </c>
      <c r="C21260" t="s">
        <v>22</v>
      </c>
      <c r="D21260" t="s">
        <v>17</v>
      </c>
      <c r="E21260" t="s">
        <v>12</v>
      </c>
      <c r="F21260">
        <v>28263231</v>
      </c>
      <c r="G21260">
        <v>28263333</v>
      </c>
      <c r="H21260">
        <v>28263355</v>
      </c>
      <c r="I21260">
        <v>28263386</v>
      </c>
    </row>
    <row r="21261" spans="1:9" x14ac:dyDescent="0.2">
      <c r="A21261" t="str">
        <f>"Tnip1"</f>
        <v>Tnip1</v>
      </c>
      <c r="B21261" t="s">
        <v>9</v>
      </c>
      <c r="C21261" t="s">
        <v>27</v>
      </c>
      <c r="D21261" t="s">
        <v>11</v>
      </c>
      <c r="E21261" t="s">
        <v>12</v>
      </c>
      <c r="F21261">
        <v>54956049</v>
      </c>
      <c r="G21261">
        <v>54956115</v>
      </c>
      <c r="H21261">
        <v>54956049</v>
      </c>
      <c r="I21261">
        <v>54956115</v>
      </c>
    </row>
    <row r="21262" spans="1:9" x14ac:dyDescent="0.2">
      <c r="A21262" t="str">
        <f>"Tnip1"</f>
        <v>Tnip1</v>
      </c>
      <c r="B21262" t="s">
        <v>13</v>
      </c>
      <c r="C21262" t="s">
        <v>27</v>
      </c>
      <c r="D21262" t="s">
        <v>11</v>
      </c>
      <c r="E21262" t="s">
        <v>12</v>
      </c>
      <c r="F21262">
        <v>54962903</v>
      </c>
      <c r="G21262">
        <v>54962953</v>
      </c>
      <c r="H21262">
        <v>54962903</v>
      </c>
      <c r="I21262">
        <v>54962953</v>
      </c>
    </row>
    <row r="21263" spans="1:9" x14ac:dyDescent="0.2">
      <c r="A21263" t="str">
        <f>"Tnip2"</f>
        <v>Tnip2</v>
      </c>
      <c r="B21263" t="s">
        <v>14</v>
      </c>
      <c r="C21263" t="s">
        <v>46</v>
      </c>
      <c r="D21263" t="s">
        <v>11</v>
      </c>
      <c r="E21263" t="s">
        <v>12</v>
      </c>
      <c r="F21263">
        <v>34513892</v>
      </c>
      <c r="G21263">
        <v>34513984</v>
      </c>
      <c r="H21263">
        <v>34514041</v>
      </c>
      <c r="I21263">
        <v>34514060</v>
      </c>
    </row>
    <row r="21264" spans="1:9" x14ac:dyDescent="0.2">
      <c r="A21264" t="str">
        <f>"Tnip3"</f>
        <v>Tnip3</v>
      </c>
      <c r="B21264" t="s">
        <v>14</v>
      </c>
      <c r="C21264" t="s">
        <v>32</v>
      </c>
      <c r="D21264" t="s">
        <v>17</v>
      </c>
      <c r="E21264" t="s">
        <v>12</v>
      </c>
      <c r="F21264">
        <v>65590382</v>
      </c>
      <c r="G21264">
        <v>65590412</v>
      </c>
      <c r="H21264">
        <v>65590416</v>
      </c>
      <c r="I21264">
        <v>65590432</v>
      </c>
    </row>
    <row r="21265" spans="1:9" x14ac:dyDescent="0.2">
      <c r="A21265" t="str">
        <f>"Tnk1"</f>
        <v>Tnk1</v>
      </c>
      <c r="B21265" t="s">
        <v>14</v>
      </c>
      <c r="C21265" t="s">
        <v>27</v>
      </c>
      <c r="D21265" t="s">
        <v>11</v>
      </c>
      <c r="E21265" t="s">
        <v>12</v>
      </c>
      <c r="F21265">
        <v>69858687</v>
      </c>
      <c r="G21265">
        <v>69858713</v>
      </c>
      <c r="H21265">
        <v>69858723</v>
      </c>
      <c r="I21265">
        <v>69858737</v>
      </c>
    </row>
    <row r="21266" spans="1:9" x14ac:dyDescent="0.2">
      <c r="A21266" t="str">
        <f>"Tnk2"</f>
        <v>Tnk2</v>
      </c>
      <c r="B21266" t="s">
        <v>14</v>
      </c>
      <c r="C21266" t="s">
        <v>31</v>
      </c>
      <c r="D21266" t="s">
        <v>17</v>
      </c>
      <c r="E21266" t="s">
        <v>12</v>
      </c>
      <c r="F21266">
        <v>32643847</v>
      </c>
      <c r="G21266">
        <v>32643916</v>
      </c>
      <c r="H21266">
        <v>32643847</v>
      </c>
      <c r="I21266">
        <v>32643916</v>
      </c>
    </row>
    <row r="21267" spans="1:9" x14ac:dyDescent="0.2">
      <c r="A21267" t="str">
        <f>"Tnks"</f>
        <v>Tnks</v>
      </c>
      <c r="B21267" t="s">
        <v>14</v>
      </c>
      <c r="C21267" t="s">
        <v>30</v>
      </c>
      <c r="D21267" t="s">
        <v>11</v>
      </c>
      <c r="E21267" t="s">
        <v>12</v>
      </c>
      <c r="F21267">
        <v>34965631</v>
      </c>
      <c r="G21267">
        <v>34965714</v>
      </c>
      <c r="H21267">
        <v>34965631</v>
      </c>
      <c r="I21267">
        <v>34965714</v>
      </c>
    </row>
    <row r="21268" spans="1:9" x14ac:dyDescent="0.2">
      <c r="A21268" t="str">
        <f>"Tnks1bp1"</f>
        <v>Tnks1bp1</v>
      </c>
      <c r="B21268" t="s">
        <v>14</v>
      </c>
      <c r="C21268" t="s">
        <v>26</v>
      </c>
      <c r="D21268" t="s">
        <v>17</v>
      </c>
      <c r="E21268" t="s">
        <v>12</v>
      </c>
      <c r="F21268">
        <v>85048021</v>
      </c>
      <c r="G21268">
        <v>85048093</v>
      </c>
      <c r="H21268">
        <v>85048021</v>
      </c>
      <c r="I21268">
        <v>85048093</v>
      </c>
    </row>
    <row r="21269" spans="1:9" x14ac:dyDescent="0.2">
      <c r="A21269" t="str">
        <f>"Tnks2"</f>
        <v>Tnks2</v>
      </c>
      <c r="B21269" t="s">
        <v>14</v>
      </c>
      <c r="C21269" t="s">
        <v>10</v>
      </c>
      <c r="D21269" t="s">
        <v>17</v>
      </c>
      <c r="E21269" t="s">
        <v>12</v>
      </c>
      <c r="F21269">
        <v>36834215</v>
      </c>
      <c r="G21269">
        <v>36834297</v>
      </c>
      <c r="H21269">
        <v>36834196</v>
      </c>
      <c r="I21269">
        <v>36834208</v>
      </c>
    </row>
    <row r="21270" spans="1:9" x14ac:dyDescent="0.2">
      <c r="A21270" t="str">
        <f>"Tnmd"</f>
        <v>Tnmd</v>
      </c>
      <c r="B21270" t="s">
        <v>14</v>
      </c>
      <c r="C21270" t="s">
        <v>37</v>
      </c>
      <c r="D21270" t="s">
        <v>17</v>
      </c>
      <c r="E21270" t="s">
        <v>12</v>
      </c>
      <c r="F21270">
        <v>133851115</v>
      </c>
      <c r="G21270">
        <v>133851129</v>
      </c>
      <c r="H21270">
        <v>133851115</v>
      </c>
      <c r="I21270">
        <v>133851129</v>
      </c>
    </row>
    <row r="21271" spans="1:9" x14ac:dyDescent="0.2">
      <c r="A21271" t="str">
        <f>"Tnn"</f>
        <v>Tnn</v>
      </c>
      <c r="B21271" t="s">
        <v>14</v>
      </c>
      <c r="C21271" t="s">
        <v>19</v>
      </c>
      <c r="D21271" t="s">
        <v>11</v>
      </c>
      <c r="E21271" t="s">
        <v>12</v>
      </c>
      <c r="F21271">
        <v>160153571</v>
      </c>
      <c r="G21271">
        <v>160153585</v>
      </c>
      <c r="H21271">
        <v>160153538</v>
      </c>
      <c r="I21271">
        <v>160153550</v>
      </c>
    </row>
    <row r="21272" spans="1:9" x14ac:dyDescent="0.2">
      <c r="A21272" t="str">
        <f>"Tnnc1"</f>
        <v>Tnnc1</v>
      </c>
      <c r="B21272" t="s">
        <v>14</v>
      </c>
      <c r="C21272" t="s">
        <v>41</v>
      </c>
      <c r="D21272" t="s">
        <v>17</v>
      </c>
      <c r="E21272" t="s">
        <v>12</v>
      </c>
      <c r="F21272">
        <v>31208309</v>
      </c>
      <c r="G21272">
        <v>31208325</v>
      </c>
      <c r="H21272">
        <v>31208309</v>
      </c>
      <c r="I21272">
        <v>31208325</v>
      </c>
    </row>
    <row r="21273" spans="1:9" x14ac:dyDescent="0.2">
      <c r="A21273" t="str">
        <f>"Tnnc2"</f>
        <v>Tnnc2</v>
      </c>
      <c r="B21273" t="s">
        <v>14</v>
      </c>
      <c r="C21273" t="s">
        <v>26</v>
      </c>
      <c r="D21273" t="s">
        <v>11</v>
      </c>
      <c r="E21273" t="s">
        <v>12</v>
      </c>
      <c r="F21273">
        <v>164779721</v>
      </c>
      <c r="G21273">
        <v>164779740</v>
      </c>
      <c r="H21273">
        <v>164779933</v>
      </c>
      <c r="I21273">
        <v>164779950</v>
      </c>
    </row>
    <row r="21274" spans="1:9" x14ac:dyDescent="0.2">
      <c r="A21274" t="str">
        <f>"Tnni1"</f>
        <v>Tnni1</v>
      </c>
      <c r="B21274" t="s">
        <v>14</v>
      </c>
      <c r="C21274" t="s">
        <v>19</v>
      </c>
      <c r="D21274" t="s">
        <v>17</v>
      </c>
      <c r="E21274" t="s">
        <v>12</v>
      </c>
      <c r="F21274">
        <v>135799433</v>
      </c>
      <c r="G21274">
        <v>135799480</v>
      </c>
      <c r="H21274">
        <v>135799962</v>
      </c>
      <c r="I21274">
        <v>135799969</v>
      </c>
    </row>
    <row r="21275" spans="1:9" x14ac:dyDescent="0.2">
      <c r="A21275" t="str">
        <f>"Tnni2"</f>
        <v>Tnni2</v>
      </c>
      <c r="B21275" t="s">
        <v>14</v>
      </c>
      <c r="C21275" t="s">
        <v>33</v>
      </c>
      <c r="D21275" t="s">
        <v>17</v>
      </c>
      <c r="E21275" t="s">
        <v>12</v>
      </c>
      <c r="F21275">
        <v>142441808</v>
      </c>
      <c r="G21275">
        <v>142441825</v>
      </c>
      <c r="H21275">
        <v>142442376</v>
      </c>
      <c r="I21275">
        <v>142442421</v>
      </c>
    </row>
    <row r="21276" spans="1:9" x14ac:dyDescent="0.2">
      <c r="A21276" t="str">
        <f>"Tnni3"</f>
        <v>Tnni3</v>
      </c>
      <c r="B21276" t="s">
        <v>14</v>
      </c>
      <c r="C21276" t="s">
        <v>33</v>
      </c>
      <c r="D21276" t="s">
        <v>11</v>
      </c>
      <c r="E21276" t="s">
        <v>12</v>
      </c>
      <c r="F21276">
        <v>4522427</v>
      </c>
      <c r="G21276">
        <v>4522449</v>
      </c>
      <c r="H21276">
        <v>4521876</v>
      </c>
      <c r="I21276">
        <v>4521903</v>
      </c>
    </row>
    <row r="21277" spans="1:9" x14ac:dyDescent="0.2">
      <c r="A21277" t="str">
        <f>"Tnni3k"</f>
        <v>Tnni3k</v>
      </c>
      <c r="B21277" t="s">
        <v>14</v>
      </c>
      <c r="C21277" t="s">
        <v>22</v>
      </c>
      <c r="D21277" t="s">
        <v>11</v>
      </c>
      <c r="E21277" t="s">
        <v>12</v>
      </c>
      <c r="F21277">
        <v>155055341</v>
      </c>
      <c r="G21277">
        <v>155055370</v>
      </c>
      <c r="H21277">
        <v>155055341</v>
      </c>
      <c r="I21277">
        <v>155055370</v>
      </c>
    </row>
    <row r="21278" spans="1:9" x14ac:dyDescent="0.2">
      <c r="A21278" t="str">
        <f>"Tnnt1"</f>
        <v>Tnnt1</v>
      </c>
      <c r="B21278" t="s">
        <v>9</v>
      </c>
      <c r="C21278" t="s">
        <v>33</v>
      </c>
      <c r="D21278" t="s">
        <v>11</v>
      </c>
      <c r="E21278" t="s">
        <v>12</v>
      </c>
      <c r="F21278">
        <v>4515967</v>
      </c>
      <c r="G21278">
        <v>4515982</v>
      </c>
      <c r="H21278">
        <v>4515967</v>
      </c>
      <c r="I21278">
        <v>4515982</v>
      </c>
    </row>
    <row r="21279" spans="1:9" x14ac:dyDescent="0.2">
      <c r="A21279" t="str">
        <f>"Tnnt1"</f>
        <v>Tnnt1</v>
      </c>
      <c r="B21279" t="s">
        <v>13</v>
      </c>
      <c r="C21279" t="s">
        <v>33</v>
      </c>
      <c r="D21279" t="s">
        <v>11</v>
      </c>
      <c r="E21279" t="s">
        <v>12</v>
      </c>
      <c r="F21279">
        <v>4514371</v>
      </c>
      <c r="G21279">
        <v>4514483</v>
      </c>
      <c r="H21279">
        <v>4514371</v>
      </c>
      <c r="I21279">
        <v>4514483</v>
      </c>
    </row>
    <row r="21280" spans="1:9" x14ac:dyDescent="0.2">
      <c r="A21280" t="str">
        <f>"Tnnt2"</f>
        <v>Tnnt2</v>
      </c>
      <c r="B21280" t="s">
        <v>14</v>
      </c>
      <c r="C21280" t="s">
        <v>19</v>
      </c>
      <c r="D21280" t="s">
        <v>17</v>
      </c>
      <c r="E21280" t="s">
        <v>12</v>
      </c>
      <c r="F21280">
        <v>135836380</v>
      </c>
      <c r="G21280">
        <v>135836396</v>
      </c>
      <c r="H21280">
        <v>135836380</v>
      </c>
      <c r="I21280">
        <v>135836396</v>
      </c>
    </row>
    <row r="21281" spans="1:9" x14ac:dyDescent="0.2">
      <c r="A21281" t="str">
        <f>"Tnnt3"</f>
        <v>Tnnt3</v>
      </c>
      <c r="B21281" t="s">
        <v>14</v>
      </c>
      <c r="C21281" t="s">
        <v>33</v>
      </c>
      <c r="D21281" t="s">
        <v>17</v>
      </c>
      <c r="E21281" t="s">
        <v>12</v>
      </c>
      <c r="F21281">
        <v>142498832</v>
      </c>
      <c r="G21281">
        <v>142498849</v>
      </c>
      <c r="H21281">
        <v>142498832</v>
      </c>
      <c r="I21281">
        <v>142498849</v>
      </c>
    </row>
    <row r="21282" spans="1:9" x14ac:dyDescent="0.2">
      <c r="A21282" t="str">
        <f>"Tnp1"</f>
        <v>Tnp1</v>
      </c>
      <c r="B21282" t="s">
        <v>14</v>
      </c>
      <c r="C21282" t="s">
        <v>19</v>
      </c>
      <c r="D21282" t="s">
        <v>11</v>
      </c>
      <c r="E21282" t="s">
        <v>12</v>
      </c>
      <c r="F21282">
        <v>73015884</v>
      </c>
      <c r="G21282">
        <v>73015901</v>
      </c>
      <c r="H21282">
        <v>73015884</v>
      </c>
      <c r="I21282">
        <v>73015901</v>
      </c>
    </row>
    <row r="21283" spans="1:9" x14ac:dyDescent="0.2">
      <c r="A21283" t="str">
        <f>"Tnp2"</f>
        <v>Tnp2</v>
      </c>
      <c r="B21283" t="s">
        <v>14</v>
      </c>
      <c r="C21283" t="s">
        <v>31</v>
      </c>
      <c r="D21283" t="s">
        <v>11</v>
      </c>
      <c r="E21283" t="s">
        <v>12</v>
      </c>
      <c r="F21283">
        <v>10788649</v>
      </c>
      <c r="G21283">
        <v>10788668</v>
      </c>
      <c r="H21283">
        <v>10788649</v>
      </c>
      <c r="I21283">
        <v>10788668</v>
      </c>
    </row>
    <row r="21284" spans="1:9" x14ac:dyDescent="0.2">
      <c r="A21284" t="str">
        <f>"Tnpo1"</f>
        <v>Tnpo1</v>
      </c>
      <c r="B21284" t="s">
        <v>5942</v>
      </c>
      <c r="C21284" t="s">
        <v>39</v>
      </c>
      <c r="D21284" t="s">
        <v>11</v>
      </c>
      <c r="E21284" t="s">
        <v>35</v>
      </c>
      <c r="F21284">
        <v>98891036</v>
      </c>
      <c r="G21284">
        <v>98891063</v>
      </c>
      <c r="H21284">
        <v>98890974</v>
      </c>
      <c r="I21284">
        <v>98891035</v>
      </c>
    </row>
    <row r="21285" spans="1:9" x14ac:dyDescent="0.2">
      <c r="A21285" t="str">
        <f>"Tnpo2"</f>
        <v>Tnpo2</v>
      </c>
      <c r="B21285" t="s">
        <v>14</v>
      </c>
      <c r="C21285" t="s">
        <v>30</v>
      </c>
      <c r="D21285" t="s">
        <v>17</v>
      </c>
      <c r="E21285" t="s">
        <v>12</v>
      </c>
      <c r="F21285">
        <v>85036906</v>
      </c>
      <c r="G21285">
        <v>85036925</v>
      </c>
      <c r="H21285">
        <v>85036886</v>
      </c>
      <c r="I21285">
        <v>85036902</v>
      </c>
    </row>
    <row r="21286" spans="1:9" x14ac:dyDescent="0.2">
      <c r="A21286" t="str">
        <f>"Tnpo3"</f>
        <v>Tnpo3</v>
      </c>
      <c r="B21286" t="s">
        <v>14</v>
      </c>
      <c r="C21286" t="s">
        <v>32</v>
      </c>
      <c r="D21286" t="s">
        <v>11</v>
      </c>
      <c r="E21286" t="s">
        <v>12</v>
      </c>
      <c r="F21286">
        <v>29609811</v>
      </c>
      <c r="G21286">
        <v>29609872</v>
      </c>
      <c r="H21286">
        <v>29609608</v>
      </c>
      <c r="I21286">
        <v>29609642</v>
      </c>
    </row>
    <row r="21287" spans="1:9" x14ac:dyDescent="0.2">
      <c r="A21287" t="str">
        <f>"Tnr"</f>
        <v>Tnr</v>
      </c>
      <c r="B21287" t="s">
        <v>5943</v>
      </c>
      <c r="C21287" t="s">
        <v>19</v>
      </c>
      <c r="D21287" t="s">
        <v>17</v>
      </c>
      <c r="E21287" t="s">
        <v>20</v>
      </c>
      <c r="F21287">
        <v>159737509</v>
      </c>
      <c r="G21287">
        <v>159737509</v>
      </c>
      <c r="H21287">
        <v>159737509</v>
      </c>
      <c r="I21287">
        <v>159737509</v>
      </c>
    </row>
    <row r="21288" spans="1:9" x14ac:dyDescent="0.2">
      <c r="A21288" t="str">
        <f>"Tnrc18"</f>
        <v>Tnrc18</v>
      </c>
      <c r="B21288" t="s">
        <v>14</v>
      </c>
      <c r="C21288" t="s">
        <v>46</v>
      </c>
      <c r="D21288" t="s">
        <v>11</v>
      </c>
      <c r="E21288" t="s">
        <v>12</v>
      </c>
      <c r="F21288">
        <v>142817583</v>
      </c>
      <c r="G21288">
        <v>142817641</v>
      </c>
      <c r="H21288">
        <v>142817654</v>
      </c>
      <c r="I21288">
        <v>142817668</v>
      </c>
    </row>
    <row r="21289" spans="1:9" x14ac:dyDescent="0.2">
      <c r="A21289" t="str">
        <f>"Tnrc6a"</f>
        <v>Tnrc6a</v>
      </c>
      <c r="B21289" t="s">
        <v>14</v>
      </c>
      <c r="C21289" t="s">
        <v>33</v>
      </c>
      <c r="D21289" t="s">
        <v>17</v>
      </c>
      <c r="E21289" t="s">
        <v>12</v>
      </c>
      <c r="F21289">
        <v>123124172</v>
      </c>
      <c r="G21289">
        <v>123124223</v>
      </c>
      <c r="H21289">
        <v>123124142</v>
      </c>
      <c r="I21289">
        <v>123124171</v>
      </c>
    </row>
    <row r="21290" spans="1:9" x14ac:dyDescent="0.2">
      <c r="A21290" t="str">
        <f>"Tnrc6b"</f>
        <v>Tnrc6b</v>
      </c>
      <c r="B21290" t="s">
        <v>14</v>
      </c>
      <c r="C21290" t="s">
        <v>25</v>
      </c>
      <c r="D21290" t="s">
        <v>17</v>
      </c>
      <c r="E21290" t="s">
        <v>12</v>
      </c>
      <c r="F21290">
        <v>80711292</v>
      </c>
      <c r="G21290">
        <v>80711340</v>
      </c>
      <c r="H21290">
        <v>80711292</v>
      </c>
      <c r="I21290">
        <v>80711340</v>
      </c>
    </row>
    <row r="21291" spans="1:9" x14ac:dyDescent="0.2">
      <c r="A21291" t="str">
        <f>"Tnrc6c"</f>
        <v>Tnrc6c</v>
      </c>
      <c r="B21291" t="s">
        <v>14</v>
      </c>
      <c r="C21291" t="s">
        <v>27</v>
      </c>
      <c r="D21291" t="s">
        <v>17</v>
      </c>
      <c r="E21291" t="s">
        <v>12</v>
      </c>
      <c r="F21291">
        <v>117654798</v>
      </c>
      <c r="G21291">
        <v>117654824</v>
      </c>
      <c r="H21291">
        <v>117654211</v>
      </c>
      <c r="I21291">
        <v>117654258</v>
      </c>
    </row>
    <row r="21292" spans="1:9" x14ac:dyDescent="0.2">
      <c r="A21292" t="str">
        <f>"Tns1"</f>
        <v>Tns1</v>
      </c>
      <c r="B21292" t="s">
        <v>5944</v>
      </c>
      <c r="C21292" t="s">
        <v>19</v>
      </c>
      <c r="D21292" t="s">
        <v>11</v>
      </c>
      <c r="E21292" t="s">
        <v>35</v>
      </c>
      <c r="F21292">
        <v>74124637</v>
      </c>
      <c r="G21292">
        <v>74124640</v>
      </c>
      <c r="H21292">
        <v>74124408</v>
      </c>
      <c r="I21292">
        <v>74124415</v>
      </c>
    </row>
    <row r="21293" spans="1:9" x14ac:dyDescent="0.2">
      <c r="A21293" t="str">
        <f>"Tns3"</f>
        <v>Tns3</v>
      </c>
      <c r="B21293" t="s">
        <v>14</v>
      </c>
      <c r="C21293" t="s">
        <v>27</v>
      </c>
      <c r="D21293" t="s">
        <v>11</v>
      </c>
      <c r="E21293" t="s">
        <v>12</v>
      </c>
      <c r="F21293">
        <v>8664499</v>
      </c>
      <c r="G21293">
        <v>8664551</v>
      </c>
      <c r="H21293">
        <v>8664499</v>
      </c>
      <c r="I21293">
        <v>8664551</v>
      </c>
    </row>
    <row r="21294" spans="1:9" x14ac:dyDescent="0.2">
      <c r="A21294" t="str">
        <f>"Tns4"</f>
        <v>Tns4</v>
      </c>
      <c r="B21294" t="s">
        <v>14</v>
      </c>
      <c r="C21294" t="s">
        <v>27</v>
      </c>
      <c r="D21294" t="s">
        <v>11</v>
      </c>
      <c r="E21294" t="s">
        <v>12</v>
      </c>
      <c r="F21294">
        <v>99089296</v>
      </c>
      <c r="G21294">
        <v>99089318</v>
      </c>
      <c r="H21294">
        <v>99089262</v>
      </c>
      <c r="I21294">
        <v>99089275</v>
      </c>
    </row>
    <row r="21295" spans="1:9" x14ac:dyDescent="0.2">
      <c r="A21295" t="str">
        <f>"Tnxb"</f>
        <v>Tnxb</v>
      </c>
      <c r="B21295" t="s">
        <v>14</v>
      </c>
      <c r="C21295" t="s">
        <v>28</v>
      </c>
      <c r="D21295" t="s">
        <v>17</v>
      </c>
      <c r="E21295" t="s">
        <v>12</v>
      </c>
      <c r="F21295">
        <v>34670520</v>
      </c>
      <c r="G21295">
        <v>34670523</v>
      </c>
      <c r="H21295">
        <v>34670520</v>
      </c>
      <c r="I21295">
        <v>34670523</v>
      </c>
    </row>
    <row r="21296" spans="1:9" x14ac:dyDescent="0.2">
      <c r="A21296" t="str">
        <f>"Tob1"</f>
        <v>Tob1</v>
      </c>
      <c r="B21296" t="s">
        <v>14</v>
      </c>
      <c r="C21296" t="s">
        <v>27</v>
      </c>
      <c r="D21296" t="s">
        <v>17</v>
      </c>
      <c r="E21296" t="s">
        <v>12</v>
      </c>
      <c r="F21296">
        <v>94211431</v>
      </c>
      <c r="G21296">
        <v>94211446</v>
      </c>
      <c r="H21296">
        <v>94211431</v>
      </c>
      <c r="I21296">
        <v>94211446</v>
      </c>
    </row>
    <row r="21297" spans="1:9" x14ac:dyDescent="0.2">
      <c r="A21297" t="str">
        <f>"Tob2"</f>
        <v>Tob2</v>
      </c>
      <c r="B21297" t="s">
        <v>14</v>
      </c>
      <c r="C21297" t="s">
        <v>25</v>
      </c>
      <c r="D21297" t="s">
        <v>11</v>
      </c>
      <c r="E21297" t="s">
        <v>12</v>
      </c>
      <c r="F21297">
        <v>81858262</v>
      </c>
      <c r="G21297">
        <v>81858280</v>
      </c>
      <c r="H21297">
        <v>81858317</v>
      </c>
      <c r="I21297">
        <v>81858328</v>
      </c>
    </row>
    <row r="21298" spans="1:9" x14ac:dyDescent="0.2">
      <c r="A21298" t="str">
        <f>"Toe1"</f>
        <v>Toe1</v>
      </c>
      <c r="B21298" t="s">
        <v>14</v>
      </c>
      <c r="C21298" t="s">
        <v>23</v>
      </c>
      <c r="D21298" t="s">
        <v>11</v>
      </c>
      <c r="E21298" t="s">
        <v>12</v>
      </c>
      <c r="F21298">
        <v>116807532</v>
      </c>
      <c r="G21298">
        <v>116807573</v>
      </c>
      <c r="H21298">
        <v>116807574</v>
      </c>
      <c r="I21298">
        <v>116807617</v>
      </c>
    </row>
    <row r="21299" spans="1:9" x14ac:dyDescent="0.2">
      <c r="A21299" t="str">
        <f>"Tollip"</f>
        <v>Tollip</v>
      </c>
      <c r="B21299" t="s">
        <v>14</v>
      </c>
      <c r="C21299" t="s">
        <v>33</v>
      </c>
      <c r="D21299" t="s">
        <v>11</v>
      </c>
      <c r="E21299" t="s">
        <v>12</v>
      </c>
      <c r="F21299">
        <v>141902361</v>
      </c>
      <c r="G21299">
        <v>141902448</v>
      </c>
      <c r="H21299">
        <v>141902333</v>
      </c>
      <c r="I21299">
        <v>141902350</v>
      </c>
    </row>
    <row r="21300" spans="1:9" x14ac:dyDescent="0.2">
      <c r="A21300" t="str">
        <f>"Tom1"</f>
        <v>Tom1</v>
      </c>
      <c r="B21300" t="s">
        <v>14</v>
      </c>
      <c r="C21300" t="s">
        <v>30</v>
      </c>
      <c r="D21300" t="s">
        <v>17</v>
      </c>
      <c r="E21300" t="s">
        <v>12</v>
      </c>
      <c r="F21300">
        <v>75033673</v>
      </c>
      <c r="G21300">
        <v>75033702</v>
      </c>
      <c r="H21300">
        <v>75033641</v>
      </c>
      <c r="I21300">
        <v>75033663</v>
      </c>
    </row>
    <row r="21301" spans="1:9" x14ac:dyDescent="0.2">
      <c r="A21301" t="str">
        <f>"Tom1l1"</f>
        <v>Tom1l1</v>
      </c>
      <c r="B21301" t="s">
        <v>14</v>
      </c>
      <c r="C21301" t="s">
        <v>27</v>
      </c>
      <c r="D21301" t="s">
        <v>11</v>
      </c>
      <c r="E21301" t="s">
        <v>12</v>
      </c>
      <c r="F21301">
        <v>90687572</v>
      </c>
      <c r="G21301">
        <v>90687606</v>
      </c>
      <c r="H21301">
        <v>90687572</v>
      </c>
      <c r="I21301">
        <v>90687606</v>
      </c>
    </row>
    <row r="21302" spans="1:9" x14ac:dyDescent="0.2">
      <c r="A21302" t="str">
        <f>"Tom1l2"</f>
        <v>Tom1l2</v>
      </c>
      <c r="B21302" t="s">
        <v>14</v>
      </c>
      <c r="C21302" t="s">
        <v>27</v>
      </c>
      <c r="D21302" t="s">
        <v>11</v>
      </c>
      <c r="E21302" t="s">
        <v>12</v>
      </c>
      <c r="F21302">
        <v>60352869</v>
      </c>
      <c r="G21302">
        <v>60352896</v>
      </c>
      <c r="H21302">
        <v>60352869</v>
      </c>
      <c r="I21302">
        <v>60352896</v>
      </c>
    </row>
    <row r="21303" spans="1:9" x14ac:dyDescent="0.2">
      <c r="A21303" t="str">
        <f>"Tomm20"</f>
        <v>Tomm20</v>
      </c>
      <c r="B21303" t="s">
        <v>14</v>
      </c>
      <c r="C21303" t="s">
        <v>30</v>
      </c>
      <c r="D21303" t="s">
        <v>11</v>
      </c>
      <c r="E21303" t="s">
        <v>12</v>
      </c>
      <c r="F21303">
        <v>126945841</v>
      </c>
      <c r="G21303">
        <v>126945862</v>
      </c>
      <c r="H21303">
        <v>126945841</v>
      </c>
      <c r="I21303">
        <v>126945862</v>
      </c>
    </row>
    <row r="21304" spans="1:9" x14ac:dyDescent="0.2">
      <c r="A21304" t="str">
        <f>"Tomm20l"</f>
        <v>Tomm20l</v>
      </c>
      <c r="B21304" t="s">
        <v>14</v>
      </c>
      <c r="C21304" t="s">
        <v>16</v>
      </c>
      <c r="D21304" t="s">
        <v>17</v>
      </c>
      <c r="E21304" t="s">
        <v>12</v>
      </c>
      <c r="F21304">
        <v>71111418</v>
      </c>
      <c r="G21304">
        <v>71111456</v>
      </c>
      <c r="H21304">
        <v>71111402</v>
      </c>
      <c r="I21304">
        <v>71111413</v>
      </c>
    </row>
    <row r="21305" spans="1:9" x14ac:dyDescent="0.2">
      <c r="A21305" t="str">
        <f>"Tomm22"</f>
        <v>Tomm22</v>
      </c>
      <c r="B21305" t="s">
        <v>14</v>
      </c>
      <c r="C21305" t="s">
        <v>25</v>
      </c>
      <c r="D21305" t="s">
        <v>17</v>
      </c>
      <c r="E21305" t="s">
        <v>12</v>
      </c>
      <c r="F21305">
        <v>79670856</v>
      </c>
      <c r="G21305">
        <v>79670888</v>
      </c>
      <c r="H21305">
        <v>79671073</v>
      </c>
      <c r="I21305">
        <v>79671133</v>
      </c>
    </row>
    <row r="21306" spans="1:9" x14ac:dyDescent="0.2">
      <c r="A21306" t="str">
        <f>"Tomm34"</f>
        <v>Tomm34</v>
      </c>
      <c r="B21306" t="s">
        <v>14</v>
      </c>
      <c r="C21306" t="s">
        <v>26</v>
      </c>
      <c r="D21306" t="s">
        <v>11</v>
      </c>
      <c r="E21306" t="s">
        <v>12</v>
      </c>
      <c r="F21306">
        <v>164071089</v>
      </c>
      <c r="G21306">
        <v>164071118</v>
      </c>
      <c r="H21306">
        <v>164071124</v>
      </c>
      <c r="I21306">
        <v>164071146</v>
      </c>
    </row>
    <row r="21307" spans="1:9" x14ac:dyDescent="0.2">
      <c r="A21307" t="str">
        <f>"Tomm40"</f>
        <v>Tomm40</v>
      </c>
      <c r="B21307" t="s">
        <v>14</v>
      </c>
      <c r="C21307" t="s">
        <v>33</v>
      </c>
      <c r="D21307" t="s">
        <v>11</v>
      </c>
      <c r="E21307" t="s">
        <v>12</v>
      </c>
      <c r="F21307">
        <v>19715395</v>
      </c>
      <c r="G21307">
        <v>19715460</v>
      </c>
      <c r="H21307">
        <v>19715255</v>
      </c>
      <c r="I21307">
        <v>19715280</v>
      </c>
    </row>
    <row r="21308" spans="1:9" x14ac:dyDescent="0.2">
      <c r="A21308" t="str">
        <f>"Tomm40l"</f>
        <v>Tomm40l</v>
      </c>
      <c r="B21308" t="s">
        <v>14</v>
      </c>
      <c r="C21308" t="s">
        <v>19</v>
      </c>
      <c r="D21308" t="s">
        <v>11</v>
      </c>
      <c r="E21308" t="s">
        <v>12</v>
      </c>
      <c r="F21308">
        <v>171222435</v>
      </c>
      <c r="G21308">
        <v>171222471</v>
      </c>
      <c r="H21308">
        <v>171222508</v>
      </c>
      <c r="I21308">
        <v>171222519</v>
      </c>
    </row>
    <row r="21309" spans="1:9" x14ac:dyDescent="0.2">
      <c r="A21309" t="str">
        <f>"Tomm5"</f>
        <v>Tomm5</v>
      </c>
      <c r="B21309" t="s">
        <v>14</v>
      </c>
      <c r="C21309" t="s">
        <v>23</v>
      </c>
      <c r="D21309" t="s">
        <v>11</v>
      </c>
      <c r="E21309" t="s">
        <v>12</v>
      </c>
      <c r="F21309">
        <v>45108069</v>
      </c>
      <c r="G21309">
        <v>45108128</v>
      </c>
      <c r="H21309">
        <v>45108069</v>
      </c>
      <c r="I21309">
        <v>45108128</v>
      </c>
    </row>
    <row r="21310" spans="1:9" x14ac:dyDescent="0.2">
      <c r="A21310" t="str">
        <f>"Tomm6"</f>
        <v>Tomm6</v>
      </c>
      <c r="B21310" t="s">
        <v>14</v>
      </c>
      <c r="C21310" t="s">
        <v>28</v>
      </c>
      <c r="D21310" t="s">
        <v>11</v>
      </c>
      <c r="E21310" t="s">
        <v>12</v>
      </c>
      <c r="F21310">
        <v>47688028</v>
      </c>
      <c r="G21310">
        <v>47688101</v>
      </c>
      <c r="H21310">
        <v>47688028</v>
      </c>
      <c r="I21310">
        <v>47688101</v>
      </c>
    </row>
    <row r="21311" spans="1:9" x14ac:dyDescent="0.2">
      <c r="A21311" t="str">
        <f>"Tomm7"</f>
        <v>Tomm7</v>
      </c>
      <c r="B21311" t="s">
        <v>14</v>
      </c>
      <c r="C21311" t="s">
        <v>46</v>
      </c>
      <c r="D21311" t="s">
        <v>11</v>
      </c>
      <c r="E21311" t="s">
        <v>12</v>
      </c>
      <c r="F21311">
        <v>23844085</v>
      </c>
      <c r="G21311">
        <v>23844151</v>
      </c>
      <c r="H21311">
        <v>23844083</v>
      </c>
      <c r="I21311">
        <v>23844084</v>
      </c>
    </row>
    <row r="21312" spans="1:9" x14ac:dyDescent="0.2">
      <c r="A21312" t="str">
        <f>"Tomm70a"</f>
        <v>Tomm70a</v>
      </c>
      <c r="B21312" t="s">
        <v>14</v>
      </c>
      <c r="C21312" t="s">
        <v>31</v>
      </c>
      <c r="D21312" t="s">
        <v>17</v>
      </c>
      <c r="E21312" t="s">
        <v>12</v>
      </c>
      <c r="F21312">
        <v>57121705</v>
      </c>
      <c r="G21312">
        <v>57121761</v>
      </c>
      <c r="H21312">
        <v>57121766</v>
      </c>
      <c r="I21312">
        <v>57121782</v>
      </c>
    </row>
    <row r="21313" spans="1:9" x14ac:dyDescent="0.2">
      <c r="A21313" t="str">
        <f>"Tomt"</f>
        <v>Tomt</v>
      </c>
      <c r="B21313" t="s">
        <v>14</v>
      </c>
      <c r="C21313" t="s">
        <v>33</v>
      </c>
      <c r="D21313" t="s">
        <v>11</v>
      </c>
      <c r="E21313" t="s">
        <v>12</v>
      </c>
      <c r="F21313">
        <v>101903748</v>
      </c>
      <c r="G21313">
        <v>101903777</v>
      </c>
      <c r="H21313">
        <v>101903783</v>
      </c>
      <c r="I21313">
        <v>101903786</v>
      </c>
    </row>
    <row r="21314" spans="1:9" x14ac:dyDescent="0.2">
      <c r="A21314" t="str">
        <f>"Tonsl"</f>
        <v>Tonsl</v>
      </c>
      <c r="B21314" t="s">
        <v>14</v>
      </c>
      <c r="C21314" t="s">
        <v>25</v>
      </c>
      <c r="D21314" t="s">
        <v>11</v>
      </c>
      <c r="E21314" t="s">
        <v>12</v>
      </c>
      <c r="F21314">
        <v>76639898</v>
      </c>
      <c r="G21314">
        <v>76639952</v>
      </c>
      <c r="H21314">
        <v>76639882</v>
      </c>
      <c r="I21314">
        <v>76639894</v>
      </c>
    </row>
    <row r="21315" spans="1:9" x14ac:dyDescent="0.2">
      <c r="A21315" t="str">
        <f>"Top1"</f>
        <v>Top1</v>
      </c>
      <c r="B21315" t="s">
        <v>14</v>
      </c>
      <c r="C21315" t="s">
        <v>26</v>
      </c>
      <c r="D21315" t="s">
        <v>17</v>
      </c>
      <c r="E21315" t="s">
        <v>12</v>
      </c>
      <c r="F21315">
        <v>160645971</v>
      </c>
      <c r="G21315">
        <v>160645993</v>
      </c>
      <c r="H21315">
        <v>160646011</v>
      </c>
      <c r="I21315">
        <v>160646026</v>
      </c>
    </row>
    <row r="21316" spans="1:9" x14ac:dyDescent="0.2">
      <c r="A21316" t="str">
        <f>"Top1mt"</f>
        <v>Top1mt</v>
      </c>
      <c r="B21316" t="s">
        <v>14</v>
      </c>
      <c r="C21316" t="s">
        <v>25</v>
      </c>
      <c r="D21316" t="s">
        <v>11</v>
      </c>
      <c r="E21316" t="s">
        <v>12</v>
      </c>
      <c r="F21316">
        <v>75678732</v>
      </c>
      <c r="G21316">
        <v>75678805</v>
      </c>
      <c r="H21316">
        <v>75678732</v>
      </c>
      <c r="I21316">
        <v>75678805</v>
      </c>
    </row>
    <row r="21317" spans="1:9" x14ac:dyDescent="0.2">
      <c r="A21317" t="str">
        <f>"Top2a"</f>
        <v>Top2a</v>
      </c>
      <c r="B21317" t="s">
        <v>14</v>
      </c>
      <c r="C21317" t="s">
        <v>27</v>
      </c>
      <c r="D21317" t="s">
        <v>11</v>
      </c>
      <c r="E21317" t="s">
        <v>12</v>
      </c>
      <c r="F21317">
        <v>99024179</v>
      </c>
      <c r="G21317">
        <v>99024197</v>
      </c>
      <c r="H21317">
        <v>99024179</v>
      </c>
      <c r="I21317">
        <v>99024197</v>
      </c>
    </row>
    <row r="21318" spans="1:9" x14ac:dyDescent="0.2">
      <c r="A21318" t="str">
        <f>"Top2b"</f>
        <v>Top2b</v>
      </c>
      <c r="B21318" t="s">
        <v>14</v>
      </c>
      <c r="C21318" t="s">
        <v>41</v>
      </c>
      <c r="D21318" t="s">
        <v>17</v>
      </c>
      <c r="E21318" t="s">
        <v>12</v>
      </c>
      <c r="F21318">
        <v>16365171</v>
      </c>
      <c r="G21318">
        <v>16365194</v>
      </c>
      <c r="H21318">
        <v>16365580</v>
      </c>
      <c r="I21318">
        <v>16365598</v>
      </c>
    </row>
    <row r="21319" spans="1:9" x14ac:dyDescent="0.2">
      <c r="A21319" t="str">
        <f>"Top3a"</f>
        <v>Top3a</v>
      </c>
      <c r="B21319" t="s">
        <v>14</v>
      </c>
      <c r="C21319" t="s">
        <v>27</v>
      </c>
      <c r="D21319" t="s">
        <v>11</v>
      </c>
      <c r="E21319" t="s">
        <v>12</v>
      </c>
      <c r="F21319">
        <v>60777241</v>
      </c>
      <c r="G21319">
        <v>60777284</v>
      </c>
      <c r="H21319">
        <v>60777226</v>
      </c>
      <c r="I21319">
        <v>60777239</v>
      </c>
    </row>
    <row r="21320" spans="1:9" x14ac:dyDescent="0.2">
      <c r="A21320" t="str">
        <f>"Top3b"</f>
        <v>Top3b</v>
      </c>
      <c r="B21320" t="s">
        <v>14</v>
      </c>
      <c r="C21320" t="s">
        <v>31</v>
      </c>
      <c r="D21320" t="s">
        <v>17</v>
      </c>
      <c r="E21320" t="s">
        <v>12</v>
      </c>
      <c r="F21320">
        <v>16870742</v>
      </c>
      <c r="G21320">
        <v>16870816</v>
      </c>
      <c r="H21320">
        <v>16870864</v>
      </c>
      <c r="I21320">
        <v>16870908</v>
      </c>
    </row>
    <row r="21321" spans="1:9" x14ac:dyDescent="0.2">
      <c r="A21321" t="str">
        <f>"Topaz1"</f>
        <v>Topaz1</v>
      </c>
      <c r="B21321" t="s">
        <v>14</v>
      </c>
      <c r="C21321" t="s">
        <v>24</v>
      </c>
      <c r="D21321" t="s">
        <v>17</v>
      </c>
      <c r="E21321" t="s">
        <v>67</v>
      </c>
      <c r="F21321">
        <v>122747193</v>
      </c>
      <c r="G21321">
        <v>122747223</v>
      </c>
      <c r="H21321">
        <v>122747224</v>
      </c>
      <c r="I21321">
        <v>122747241</v>
      </c>
    </row>
    <row r="21322" spans="1:9" x14ac:dyDescent="0.2">
      <c r="A21322" t="str">
        <f>"Topbp1"</f>
        <v>Topbp1</v>
      </c>
      <c r="B21322" t="s">
        <v>14</v>
      </c>
      <c r="C21322" t="s">
        <v>24</v>
      </c>
      <c r="D21322" t="s">
        <v>17</v>
      </c>
      <c r="E21322" t="s">
        <v>12</v>
      </c>
      <c r="F21322">
        <v>103305156</v>
      </c>
      <c r="G21322">
        <v>103305255</v>
      </c>
      <c r="H21322">
        <v>103305271</v>
      </c>
      <c r="I21322">
        <v>103305285</v>
      </c>
    </row>
    <row r="21323" spans="1:9" x14ac:dyDescent="0.2">
      <c r="A21323" t="str">
        <f>"Topors"</f>
        <v>Topors</v>
      </c>
      <c r="B21323" t="s">
        <v>14</v>
      </c>
      <c r="C21323" t="s">
        <v>23</v>
      </c>
      <c r="D21323" t="s">
        <v>11</v>
      </c>
      <c r="E21323" t="s">
        <v>12</v>
      </c>
      <c r="F21323">
        <v>40269778</v>
      </c>
      <c r="G21323">
        <v>40269849</v>
      </c>
      <c r="H21323">
        <v>40269751</v>
      </c>
      <c r="I21323">
        <v>40269752</v>
      </c>
    </row>
    <row r="21324" spans="1:9" x14ac:dyDescent="0.2">
      <c r="A21324" t="str">
        <f>"Tor1a"</f>
        <v>Tor1a</v>
      </c>
      <c r="B21324" t="s">
        <v>14</v>
      </c>
      <c r="C21324" t="s">
        <v>26</v>
      </c>
      <c r="D21324" t="s">
        <v>11</v>
      </c>
      <c r="E21324" t="s">
        <v>12</v>
      </c>
      <c r="F21324">
        <v>30967859</v>
      </c>
      <c r="G21324">
        <v>30967924</v>
      </c>
      <c r="H21324">
        <v>30967846</v>
      </c>
      <c r="I21324">
        <v>30967856</v>
      </c>
    </row>
    <row r="21325" spans="1:9" x14ac:dyDescent="0.2">
      <c r="A21325" t="str">
        <f>"Tor1aip1"</f>
        <v>Tor1aip1</v>
      </c>
      <c r="B21325" t="s">
        <v>14</v>
      </c>
      <c r="C21325" t="s">
        <v>19</v>
      </c>
      <c r="D21325" t="s">
        <v>11</v>
      </c>
      <c r="E21325" t="s">
        <v>12</v>
      </c>
      <c r="F21325">
        <v>156036417</v>
      </c>
      <c r="G21325">
        <v>156036454</v>
      </c>
      <c r="H21325">
        <v>156035891</v>
      </c>
      <c r="I21325">
        <v>156035936</v>
      </c>
    </row>
    <row r="21326" spans="1:9" x14ac:dyDescent="0.2">
      <c r="A21326" t="str">
        <f>"Tor1aip2"</f>
        <v>Tor1aip2</v>
      </c>
      <c r="B21326" t="s">
        <v>9</v>
      </c>
      <c r="C21326" t="s">
        <v>19</v>
      </c>
      <c r="D21326" t="s">
        <v>17</v>
      </c>
      <c r="E21326" t="s">
        <v>12</v>
      </c>
      <c r="F21326">
        <v>156035705</v>
      </c>
      <c r="G21326">
        <v>156035763</v>
      </c>
      <c r="H21326">
        <v>156035705</v>
      </c>
      <c r="I21326">
        <v>156035763</v>
      </c>
    </row>
    <row r="21327" spans="1:9" x14ac:dyDescent="0.2">
      <c r="A21327" t="str">
        <f>"Tor1aip2"</f>
        <v>Tor1aip2</v>
      </c>
      <c r="B21327" t="s">
        <v>13</v>
      </c>
      <c r="C21327" t="s">
        <v>19</v>
      </c>
      <c r="D21327" t="s">
        <v>17</v>
      </c>
      <c r="E21327" t="s">
        <v>12</v>
      </c>
      <c r="F21327">
        <v>156040884</v>
      </c>
      <c r="G21327">
        <v>156040898</v>
      </c>
      <c r="H21327">
        <v>156040884</v>
      </c>
      <c r="I21327">
        <v>156040898</v>
      </c>
    </row>
    <row r="21328" spans="1:9" x14ac:dyDescent="0.2">
      <c r="A21328" t="str">
        <f>"Tor1b"</f>
        <v>Tor1b</v>
      </c>
      <c r="B21328" t="s">
        <v>14</v>
      </c>
      <c r="C21328" t="s">
        <v>26</v>
      </c>
      <c r="D21328" t="s">
        <v>17</v>
      </c>
      <c r="E21328" t="s">
        <v>12</v>
      </c>
      <c r="F21328">
        <v>30952955</v>
      </c>
      <c r="G21328">
        <v>30953016</v>
      </c>
      <c r="H21328">
        <v>30952955</v>
      </c>
      <c r="I21328">
        <v>30953016</v>
      </c>
    </row>
    <row r="21329" spans="1:9" x14ac:dyDescent="0.2">
      <c r="A21329" t="str">
        <f>"Tor2a"</f>
        <v>Tor2a</v>
      </c>
      <c r="B21329" t="s">
        <v>14</v>
      </c>
      <c r="C21329" t="s">
        <v>26</v>
      </c>
      <c r="D21329" t="s">
        <v>17</v>
      </c>
      <c r="E21329" t="s">
        <v>12</v>
      </c>
      <c r="F21329">
        <v>32757237</v>
      </c>
      <c r="G21329">
        <v>32757299</v>
      </c>
      <c r="H21329">
        <v>32757237</v>
      </c>
      <c r="I21329">
        <v>32757299</v>
      </c>
    </row>
    <row r="21330" spans="1:9" x14ac:dyDescent="0.2">
      <c r="A21330" t="str">
        <f>"Tor3a"</f>
        <v>Tor3a</v>
      </c>
      <c r="B21330" t="s">
        <v>14</v>
      </c>
      <c r="C21330" t="s">
        <v>19</v>
      </c>
      <c r="D21330" t="s">
        <v>11</v>
      </c>
      <c r="E21330" t="s">
        <v>12</v>
      </c>
      <c r="F21330">
        <v>156674290</v>
      </c>
      <c r="G21330">
        <v>156674344</v>
      </c>
      <c r="H21330">
        <v>156674355</v>
      </c>
      <c r="I21330">
        <v>156674362</v>
      </c>
    </row>
    <row r="21331" spans="1:9" x14ac:dyDescent="0.2">
      <c r="A21331" t="str">
        <f>"Tor4a"</f>
        <v>Tor4a</v>
      </c>
      <c r="B21331" t="s">
        <v>14</v>
      </c>
      <c r="C21331" t="s">
        <v>26</v>
      </c>
      <c r="D21331" t="s">
        <v>11</v>
      </c>
      <c r="E21331" t="s">
        <v>67</v>
      </c>
      <c r="F21331">
        <v>25196759</v>
      </c>
      <c r="G21331">
        <v>25196823</v>
      </c>
      <c r="H21331">
        <v>25196607</v>
      </c>
      <c r="I21331">
        <v>25196640</v>
      </c>
    </row>
    <row r="21332" spans="1:9" x14ac:dyDescent="0.2">
      <c r="A21332" t="str">
        <f>"Tox"</f>
        <v>Tox</v>
      </c>
      <c r="B21332" t="s">
        <v>14</v>
      </c>
      <c r="C21332" t="s">
        <v>23</v>
      </c>
      <c r="D21332" t="s">
        <v>11</v>
      </c>
      <c r="E21332" t="s">
        <v>12</v>
      </c>
      <c r="F21332">
        <v>6990459</v>
      </c>
      <c r="G21332">
        <v>6990534</v>
      </c>
      <c r="H21332">
        <v>6990774</v>
      </c>
      <c r="I21332">
        <v>6990823</v>
      </c>
    </row>
    <row r="21333" spans="1:9" x14ac:dyDescent="0.2">
      <c r="A21333" t="str">
        <f>"Tox2"</f>
        <v>Tox2</v>
      </c>
      <c r="B21333" t="s">
        <v>14</v>
      </c>
      <c r="C21333" t="s">
        <v>26</v>
      </c>
      <c r="D21333" t="s">
        <v>17</v>
      </c>
      <c r="E21333" t="s">
        <v>12</v>
      </c>
      <c r="F21333">
        <v>163203072</v>
      </c>
      <c r="G21333">
        <v>163203133</v>
      </c>
      <c r="H21333">
        <v>163203072</v>
      </c>
      <c r="I21333">
        <v>163203133</v>
      </c>
    </row>
    <row r="21334" spans="1:9" x14ac:dyDescent="0.2">
      <c r="A21334" t="str">
        <f>"Tox3"</f>
        <v>Tox3</v>
      </c>
      <c r="B21334" t="s">
        <v>14</v>
      </c>
      <c r="C21334" t="s">
        <v>30</v>
      </c>
      <c r="D21334" t="s">
        <v>11</v>
      </c>
      <c r="E21334" t="s">
        <v>12</v>
      </c>
      <c r="F21334">
        <v>90348343</v>
      </c>
      <c r="G21334">
        <v>90348386</v>
      </c>
      <c r="H21334">
        <v>90348278</v>
      </c>
      <c r="I21334">
        <v>90348302</v>
      </c>
    </row>
    <row r="21335" spans="1:9" x14ac:dyDescent="0.2">
      <c r="A21335" t="str">
        <f>"Tox4"</f>
        <v>Tox4</v>
      </c>
      <c r="B21335" t="s">
        <v>14</v>
      </c>
      <c r="C21335" t="s">
        <v>41</v>
      </c>
      <c r="D21335" t="s">
        <v>17</v>
      </c>
      <c r="E21335" t="s">
        <v>12</v>
      </c>
      <c r="F21335">
        <v>52279581</v>
      </c>
      <c r="G21335">
        <v>52279630</v>
      </c>
      <c r="H21335">
        <v>52279132</v>
      </c>
      <c r="I21335">
        <v>52279188</v>
      </c>
    </row>
    <row r="21336" spans="1:9" x14ac:dyDescent="0.2">
      <c r="A21336" t="str">
        <f>"Tpbg"</f>
        <v>Tpbg</v>
      </c>
      <c r="B21336" t="s">
        <v>14</v>
      </c>
      <c r="C21336" t="s">
        <v>24</v>
      </c>
      <c r="D21336" t="s">
        <v>17</v>
      </c>
      <c r="E21336" t="s">
        <v>12</v>
      </c>
      <c r="F21336">
        <v>85842862</v>
      </c>
      <c r="G21336">
        <v>85842880</v>
      </c>
      <c r="H21336">
        <v>85842883</v>
      </c>
      <c r="I21336">
        <v>85842902</v>
      </c>
    </row>
    <row r="21337" spans="1:9" x14ac:dyDescent="0.2">
      <c r="A21337" t="str">
        <f>"Tpbpa"</f>
        <v>Tpbpa</v>
      </c>
      <c r="B21337" t="s">
        <v>14</v>
      </c>
      <c r="C21337" t="s">
        <v>39</v>
      </c>
      <c r="D21337" t="s">
        <v>11</v>
      </c>
      <c r="E21337" t="s">
        <v>12</v>
      </c>
      <c r="F21337">
        <v>60941932</v>
      </c>
      <c r="G21337">
        <v>60941939</v>
      </c>
      <c r="H21337">
        <v>60941944</v>
      </c>
      <c r="I21337">
        <v>60941945</v>
      </c>
    </row>
    <row r="21338" spans="1:9" x14ac:dyDescent="0.2">
      <c r="A21338" t="str">
        <f>"Tpbpb"</f>
        <v>Tpbpb</v>
      </c>
      <c r="B21338" t="s">
        <v>14</v>
      </c>
      <c r="C21338" t="s">
        <v>39</v>
      </c>
      <c r="D21338" t="s">
        <v>11</v>
      </c>
      <c r="E21338" t="s">
        <v>12</v>
      </c>
      <c r="F21338">
        <v>60904839</v>
      </c>
      <c r="G21338">
        <v>60904851</v>
      </c>
      <c r="H21338">
        <v>60904839</v>
      </c>
      <c r="I21338">
        <v>60904851</v>
      </c>
    </row>
    <row r="21339" spans="1:9" x14ac:dyDescent="0.2">
      <c r="A21339" t="str">
        <f>"Tpcn1"</f>
        <v>Tpcn1</v>
      </c>
      <c r="B21339" t="s">
        <v>14</v>
      </c>
      <c r="C21339" t="s">
        <v>46</v>
      </c>
      <c r="D21339" t="s">
        <v>11</v>
      </c>
      <c r="E21339" t="s">
        <v>12</v>
      </c>
      <c r="F21339">
        <v>120588615</v>
      </c>
      <c r="G21339">
        <v>120588651</v>
      </c>
      <c r="H21339">
        <v>120588662</v>
      </c>
      <c r="I21339">
        <v>120588669</v>
      </c>
    </row>
    <row r="21340" spans="1:9" x14ac:dyDescent="0.2">
      <c r="A21340" t="str">
        <f>"Tpcn2"</f>
        <v>Tpcn2</v>
      </c>
      <c r="B21340" t="s">
        <v>14</v>
      </c>
      <c r="C21340" t="s">
        <v>33</v>
      </c>
      <c r="D21340" t="s">
        <v>11</v>
      </c>
      <c r="E21340" t="s">
        <v>12</v>
      </c>
      <c r="F21340">
        <v>145283915</v>
      </c>
      <c r="G21340">
        <v>145283941</v>
      </c>
      <c r="H21340">
        <v>145283948</v>
      </c>
      <c r="I21340">
        <v>145283962</v>
      </c>
    </row>
    <row r="21341" spans="1:9" x14ac:dyDescent="0.2">
      <c r="A21341" t="str">
        <f>"Tpd52"</f>
        <v>Tpd52</v>
      </c>
      <c r="B21341" t="s">
        <v>14</v>
      </c>
      <c r="C21341" t="s">
        <v>22</v>
      </c>
      <c r="D21341" t="s">
        <v>11</v>
      </c>
      <c r="E21341" t="s">
        <v>12</v>
      </c>
      <c r="F21341">
        <v>9004472</v>
      </c>
      <c r="G21341">
        <v>9004515</v>
      </c>
      <c r="H21341">
        <v>9004686</v>
      </c>
      <c r="I21341">
        <v>9004750</v>
      </c>
    </row>
    <row r="21342" spans="1:9" x14ac:dyDescent="0.2">
      <c r="A21342" t="str">
        <f>"Tpd52l1"</f>
        <v>Tpd52l1</v>
      </c>
      <c r="B21342" t="s">
        <v>14</v>
      </c>
      <c r="C21342" t="s">
        <v>15</v>
      </c>
      <c r="D21342" t="s">
        <v>11</v>
      </c>
      <c r="E21342" t="s">
        <v>12</v>
      </c>
      <c r="F21342">
        <v>31445849</v>
      </c>
      <c r="G21342">
        <v>31445894</v>
      </c>
      <c r="H21342">
        <v>31445802</v>
      </c>
      <c r="I21342">
        <v>31445848</v>
      </c>
    </row>
    <row r="21343" spans="1:9" x14ac:dyDescent="0.2">
      <c r="A21343" t="str">
        <f>"Tpd52l2"</f>
        <v>Tpd52l2</v>
      </c>
      <c r="B21343" t="s">
        <v>14</v>
      </c>
      <c r="C21343" t="s">
        <v>26</v>
      </c>
      <c r="D21343" t="s">
        <v>17</v>
      </c>
      <c r="E21343" t="s">
        <v>12</v>
      </c>
      <c r="F21343">
        <v>181497169</v>
      </c>
      <c r="G21343">
        <v>181497216</v>
      </c>
      <c r="H21343">
        <v>181497223</v>
      </c>
      <c r="I21343">
        <v>181497244</v>
      </c>
    </row>
    <row r="21344" spans="1:9" x14ac:dyDescent="0.2">
      <c r="A21344" t="str">
        <f>"Tpgs1"</f>
        <v>Tpgs1</v>
      </c>
      <c r="B21344" t="s">
        <v>14</v>
      </c>
      <c r="C21344" t="s">
        <v>15</v>
      </c>
      <c r="D21344" t="s">
        <v>17</v>
      </c>
      <c r="E21344" t="s">
        <v>67</v>
      </c>
      <c r="F21344">
        <v>79668928</v>
      </c>
      <c r="G21344">
        <v>79668961</v>
      </c>
      <c r="H21344">
        <v>79669118</v>
      </c>
      <c r="I21344">
        <v>79669147</v>
      </c>
    </row>
    <row r="21345" spans="1:9" x14ac:dyDescent="0.2">
      <c r="A21345" t="str">
        <f>"Tpgs2"</f>
        <v>Tpgs2</v>
      </c>
      <c r="B21345" t="s">
        <v>14</v>
      </c>
      <c r="C21345" t="s">
        <v>43</v>
      </c>
      <c r="D21345" t="s">
        <v>11</v>
      </c>
      <c r="E21345" t="s">
        <v>67</v>
      </c>
      <c r="F21345">
        <v>25168615</v>
      </c>
      <c r="G21345">
        <v>25168731</v>
      </c>
      <c r="H21345">
        <v>25168886</v>
      </c>
      <c r="I21345">
        <v>25168921</v>
      </c>
    </row>
    <row r="21346" spans="1:9" x14ac:dyDescent="0.2">
      <c r="A21346" t="str">
        <f>"Tph1"</f>
        <v>Tph1</v>
      </c>
      <c r="B21346" t="s">
        <v>9</v>
      </c>
      <c r="C21346" t="s">
        <v>33</v>
      </c>
      <c r="D21346" t="s">
        <v>11</v>
      </c>
      <c r="E21346" t="s">
        <v>12</v>
      </c>
      <c r="F21346">
        <v>46667375</v>
      </c>
      <c r="G21346">
        <v>46667378</v>
      </c>
      <c r="H21346">
        <v>46667375</v>
      </c>
      <c r="I21346">
        <v>46667378</v>
      </c>
    </row>
    <row r="21347" spans="1:9" x14ac:dyDescent="0.2">
      <c r="A21347" t="str">
        <f>"Tph1"</f>
        <v>Tph1</v>
      </c>
      <c r="B21347" t="s">
        <v>13</v>
      </c>
      <c r="C21347" t="s">
        <v>33</v>
      </c>
      <c r="D21347" t="s">
        <v>11</v>
      </c>
      <c r="E21347" t="s">
        <v>12</v>
      </c>
      <c r="F21347">
        <v>46672384</v>
      </c>
      <c r="G21347">
        <v>46672398</v>
      </c>
      <c r="H21347">
        <v>46672384</v>
      </c>
      <c r="I21347">
        <v>46672398</v>
      </c>
    </row>
    <row r="21348" spans="1:9" x14ac:dyDescent="0.2">
      <c r="A21348" t="str">
        <f>"Tph2"</f>
        <v>Tph2</v>
      </c>
      <c r="B21348" t="s">
        <v>14</v>
      </c>
      <c r="C21348" t="s">
        <v>15</v>
      </c>
      <c r="D21348" t="s">
        <v>11</v>
      </c>
      <c r="E21348" t="s">
        <v>12</v>
      </c>
      <c r="F21348">
        <v>115185015</v>
      </c>
      <c r="G21348">
        <v>115185029</v>
      </c>
      <c r="H21348">
        <v>115185015</v>
      </c>
      <c r="I21348">
        <v>115185029</v>
      </c>
    </row>
    <row r="21349" spans="1:9" x14ac:dyDescent="0.2">
      <c r="A21349" t="str">
        <f>"Tpi1"</f>
        <v>Tpi1</v>
      </c>
      <c r="B21349" t="s">
        <v>9</v>
      </c>
      <c r="C21349" t="s">
        <v>32</v>
      </c>
      <c r="D21349" t="s">
        <v>11</v>
      </c>
      <c r="E21349" t="s">
        <v>12</v>
      </c>
      <c r="F21349">
        <v>124814151</v>
      </c>
      <c r="G21349">
        <v>124814168</v>
      </c>
      <c r="H21349">
        <v>124814151</v>
      </c>
      <c r="I21349">
        <v>124814168</v>
      </c>
    </row>
    <row r="21350" spans="1:9" x14ac:dyDescent="0.2">
      <c r="A21350" t="str">
        <f>"Tpi1"</f>
        <v>Tpi1</v>
      </c>
      <c r="B21350" t="s">
        <v>13</v>
      </c>
      <c r="C21350" t="s">
        <v>32</v>
      </c>
      <c r="D21350" t="s">
        <v>11</v>
      </c>
      <c r="E21350" t="s">
        <v>12</v>
      </c>
      <c r="F21350">
        <v>124812963</v>
      </c>
      <c r="G21350">
        <v>124813033</v>
      </c>
      <c r="H21350">
        <v>124812963</v>
      </c>
      <c r="I21350">
        <v>124813033</v>
      </c>
    </row>
    <row r="21351" spans="1:9" x14ac:dyDescent="0.2">
      <c r="A21351" t="str">
        <f>"Tpk1"</f>
        <v>Tpk1</v>
      </c>
      <c r="B21351" t="s">
        <v>14</v>
      </c>
      <c r="C21351" t="s">
        <v>32</v>
      </c>
      <c r="D21351" t="s">
        <v>11</v>
      </c>
      <c r="E21351" t="s">
        <v>12</v>
      </c>
      <c r="F21351">
        <v>43666158</v>
      </c>
      <c r="G21351">
        <v>43666224</v>
      </c>
      <c r="H21351">
        <v>43666134</v>
      </c>
      <c r="I21351">
        <v>43666145</v>
      </c>
    </row>
    <row r="21352" spans="1:9" x14ac:dyDescent="0.2">
      <c r="A21352" t="str">
        <f>"Tpm1"</f>
        <v>Tpm1</v>
      </c>
      <c r="B21352" t="s">
        <v>9</v>
      </c>
      <c r="C21352" t="s">
        <v>24</v>
      </c>
      <c r="D21352" t="s">
        <v>11</v>
      </c>
      <c r="E21352" t="s">
        <v>12</v>
      </c>
      <c r="F21352">
        <v>67049200</v>
      </c>
      <c r="G21352">
        <v>67049220</v>
      </c>
      <c r="H21352">
        <v>67049200</v>
      </c>
      <c r="I21352">
        <v>67049220</v>
      </c>
    </row>
    <row r="21353" spans="1:9" x14ac:dyDescent="0.2">
      <c r="A21353" t="str">
        <f>"Tpm1"</f>
        <v>Tpm1</v>
      </c>
      <c r="B21353" t="s">
        <v>13</v>
      </c>
      <c r="C21353" t="s">
        <v>24</v>
      </c>
      <c r="D21353" t="s">
        <v>11</v>
      </c>
      <c r="E21353" t="s">
        <v>12</v>
      </c>
      <c r="F21353">
        <v>67043743</v>
      </c>
      <c r="G21353">
        <v>67043820</v>
      </c>
      <c r="H21353">
        <v>67043743</v>
      </c>
      <c r="I21353">
        <v>67043820</v>
      </c>
    </row>
    <row r="21354" spans="1:9" x14ac:dyDescent="0.2">
      <c r="A21354" t="str">
        <f>"Tpm2"</f>
        <v>Tpm2</v>
      </c>
      <c r="B21354" t="s">
        <v>14</v>
      </c>
      <c r="C21354" t="s">
        <v>23</v>
      </c>
      <c r="D21354" t="s">
        <v>11</v>
      </c>
      <c r="E21354" t="s">
        <v>12</v>
      </c>
      <c r="F21354">
        <v>43523455</v>
      </c>
      <c r="G21354">
        <v>43523471</v>
      </c>
      <c r="H21354">
        <v>43523746</v>
      </c>
      <c r="I21354">
        <v>43523766</v>
      </c>
    </row>
    <row r="21355" spans="1:9" x14ac:dyDescent="0.2">
      <c r="A21355" t="str">
        <f>"Tpm3"</f>
        <v>Tpm3</v>
      </c>
      <c r="B21355" t="s">
        <v>14</v>
      </c>
      <c r="C21355" t="s">
        <v>22</v>
      </c>
      <c r="D21355" t="s">
        <v>17</v>
      </c>
      <c r="E21355" t="s">
        <v>12</v>
      </c>
      <c r="F21355">
        <v>90079619</v>
      </c>
      <c r="G21355">
        <v>90079664</v>
      </c>
      <c r="H21355">
        <v>90079619</v>
      </c>
      <c r="I21355">
        <v>90079664</v>
      </c>
    </row>
    <row r="21356" spans="1:9" x14ac:dyDescent="0.2">
      <c r="A21356" t="str">
        <f>"Tpm3-rs7"</f>
        <v>Tpm3-rs7</v>
      </c>
      <c r="B21356" t="s">
        <v>14</v>
      </c>
      <c r="C21356" t="s">
        <v>41</v>
      </c>
      <c r="D21356" t="s">
        <v>17</v>
      </c>
      <c r="E21356" t="s">
        <v>67</v>
      </c>
      <c r="F21356">
        <v>113314602</v>
      </c>
      <c r="G21356">
        <v>113314608</v>
      </c>
      <c r="H21356">
        <v>113314602</v>
      </c>
      <c r="I21356">
        <v>113314608</v>
      </c>
    </row>
    <row r="21357" spans="1:9" x14ac:dyDescent="0.2">
      <c r="A21357" t="str">
        <f>"Tpm4"</f>
        <v>Tpm4</v>
      </c>
      <c r="B21357" t="s">
        <v>14</v>
      </c>
      <c r="C21357" t="s">
        <v>30</v>
      </c>
      <c r="D21357" t="s">
        <v>17</v>
      </c>
      <c r="E21357" t="s">
        <v>12</v>
      </c>
      <c r="F21357">
        <v>72135279</v>
      </c>
      <c r="G21357">
        <v>72135294</v>
      </c>
      <c r="H21357">
        <v>72135302</v>
      </c>
      <c r="I21357">
        <v>72135314</v>
      </c>
    </row>
    <row r="21358" spans="1:9" x14ac:dyDescent="0.2">
      <c r="A21358" t="str">
        <f>"Tpmt"</f>
        <v>Tpmt</v>
      </c>
      <c r="B21358" t="s">
        <v>14</v>
      </c>
      <c r="C21358" t="s">
        <v>39</v>
      </c>
      <c r="D21358" t="s">
        <v>11</v>
      </c>
      <c r="E21358" t="s">
        <v>12</v>
      </c>
      <c r="F21358">
        <v>47043116</v>
      </c>
      <c r="G21358">
        <v>47043186</v>
      </c>
      <c r="H21358">
        <v>47043273</v>
      </c>
      <c r="I21358">
        <v>47043301</v>
      </c>
    </row>
    <row r="21359" spans="1:9" x14ac:dyDescent="0.2">
      <c r="A21359" t="str">
        <f>"Tpo"</f>
        <v>Tpo</v>
      </c>
      <c r="B21359" t="s">
        <v>14</v>
      </c>
      <c r="C21359" t="s">
        <v>16</v>
      </c>
      <c r="D21359" t="s">
        <v>11</v>
      </c>
      <c r="E21359" t="s">
        <v>12</v>
      </c>
      <c r="F21359">
        <v>30132634</v>
      </c>
      <c r="G21359">
        <v>30132645</v>
      </c>
      <c r="H21359">
        <v>30132634</v>
      </c>
      <c r="I21359">
        <v>30132645</v>
      </c>
    </row>
    <row r="21360" spans="1:9" x14ac:dyDescent="0.2">
      <c r="A21360" t="str">
        <f>"Tpp1"</f>
        <v>Tpp1</v>
      </c>
      <c r="B21360" t="s">
        <v>14</v>
      </c>
      <c r="C21360" t="s">
        <v>33</v>
      </c>
      <c r="D21360" t="s">
        <v>11</v>
      </c>
      <c r="E21360" t="s">
        <v>12</v>
      </c>
      <c r="F21360">
        <v>105752193</v>
      </c>
      <c r="G21360">
        <v>105752234</v>
      </c>
      <c r="H21360">
        <v>105752193</v>
      </c>
      <c r="I21360">
        <v>105752234</v>
      </c>
    </row>
    <row r="21361" spans="1:9" x14ac:dyDescent="0.2">
      <c r="A21361" t="str">
        <f>"Tpp2"</f>
        <v>Tpp2</v>
      </c>
      <c r="B21361" t="s">
        <v>14</v>
      </c>
      <c r="C21361" t="s">
        <v>19</v>
      </c>
      <c r="D21361" t="s">
        <v>17</v>
      </c>
      <c r="E21361" t="s">
        <v>12</v>
      </c>
      <c r="F21361">
        <v>43933980</v>
      </c>
      <c r="G21361">
        <v>43934076</v>
      </c>
      <c r="H21361">
        <v>43933980</v>
      </c>
      <c r="I21361">
        <v>43934076</v>
      </c>
    </row>
    <row r="21362" spans="1:9" x14ac:dyDescent="0.2">
      <c r="A21362" t="str">
        <f>"Tppp"</f>
        <v>Tppp</v>
      </c>
      <c r="B21362" t="s">
        <v>14</v>
      </c>
      <c r="C21362" t="s">
        <v>39</v>
      </c>
      <c r="D21362" t="s">
        <v>17</v>
      </c>
      <c r="E21362" t="s">
        <v>12</v>
      </c>
      <c r="F21362">
        <v>74009460</v>
      </c>
      <c r="G21362">
        <v>74009483</v>
      </c>
      <c r="H21362">
        <v>74009430</v>
      </c>
      <c r="I21362">
        <v>74009453</v>
      </c>
    </row>
    <row r="21363" spans="1:9" x14ac:dyDescent="0.2">
      <c r="A21363" t="str">
        <f>"Tppp2"</f>
        <v>Tppp2</v>
      </c>
      <c r="B21363" t="s">
        <v>14</v>
      </c>
      <c r="C21363" t="s">
        <v>41</v>
      </c>
      <c r="D21363" t="s">
        <v>17</v>
      </c>
      <c r="E21363" t="s">
        <v>12</v>
      </c>
      <c r="F21363">
        <v>51918418</v>
      </c>
      <c r="G21363">
        <v>51918430</v>
      </c>
      <c r="H21363">
        <v>51918452</v>
      </c>
      <c r="I21363">
        <v>51918460</v>
      </c>
    </row>
    <row r="21364" spans="1:9" x14ac:dyDescent="0.2">
      <c r="A21364" t="str">
        <f>"Tppp3"</f>
        <v>Tppp3</v>
      </c>
      <c r="B21364" t="s">
        <v>14</v>
      </c>
      <c r="C21364" t="s">
        <v>30</v>
      </c>
      <c r="D21364" t="s">
        <v>11</v>
      </c>
      <c r="E21364" t="s">
        <v>12</v>
      </c>
      <c r="F21364">
        <v>105471383</v>
      </c>
      <c r="G21364">
        <v>105471400</v>
      </c>
      <c r="H21364">
        <v>105471328</v>
      </c>
      <c r="I21364">
        <v>105471343</v>
      </c>
    </row>
    <row r="21365" spans="1:9" x14ac:dyDescent="0.2">
      <c r="A21365" t="str">
        <f>"Tpr"</f>
        <v>Tpr</v>
      </c>
      <c r="B21365" t="s">
        <v>14</v>
      </c>
      <c r="C21365" t="s">
        <v>19</v>
      </c>
      <c r="D21365" t="s">
        <v>17</v>
      </c>
      <c r="E21365" t="s">
        <v>12</v>
      </c>
      <c r="F21365">
        <v>150393270</v>
      </c>
      <c r="G21365">
        <v>150393411</v>
      </c>
      <c r="H21365">
        <v>150392794</v>
      </c>
      <c r="I21365">
        <v>150392849</v>
      </c>
    </row>
    <row r="21366" spans="1:9" x14ac:dyDescent="0.2">
      <c r="A21366" t="str">
        <f>"Tpra1"</f>
        <v>Tpra1</v>
      </c>
      <c r="B21366" t="s">
        <v>14</v>
      </c>
      <c r="C21366" t="s">
        <v>32</v>
      </c>
      <c r="D21366" t="s">
        <v>17</v>
      </c>
      <c r="E21366" t="s">
        <v>12</v>
      </c>
      <c r="F21366">
        <v>88902293</v>
      </c>
      <c r="G21366">
        <v>88902351</v>
      </c>
      <c r="H21366">
        <v>88902454</v>
      </c>
      <c r="I21366">
        <v>88902535</v>
      </c>
    </row>
    <row r="21367" spans="1:9" x14ac:dyDescent="0.2">
      <c r="A21367" t="str">
        <f>"Tprg"</f>
        <v>Tprg</v>
      </c>
      <c r="B21367" t="s">
        <v>14</v>
      </c>
      <c r="C21367" t="s">
        <v>31</v>
      </c>
      <c r="D21367" t="s">
        <v>17</v>
      </c>
      <c r="E21367" t="s">
        <v>12</v>
      </c>
      <c r="F21367">
        <v>25286810</v>
      </c>
      <c r="G21367">
        <v>25286826</v>
      </c>
      <c r="H21367">
        <v>25286810</v>
      </c>
      <c r="I21367">
        <v>25286826</v>
      </c>
    </row>
    <row r="21368" spans="1:9" x14ac:dyDescent="0.2">
      <c r="A21368" t="str">
        <f>"Tprgl"</f>
        <v>Tprgl</v>
      </c>
      <c r="B21368" t="s">
        <v>14</v>
      </c>
      <c r="C21368" t="s">
        <v>23</v>
      </c>
      <c r="D21368" t="s">
        <v>11</v>
      </c>
      <c r="E21368" t="s">
        <v>12</v>
      </c>
      <c r="F21368">
        <v>154160635</v>
      </c>
      <c r="G21368">
        <v>154160696</v>
      </c>
      <c r="H21368">
        <v>154160502</v>
      </c>
      <c r="I21368">
        <v>154160534</v>
      </c>
    </row>
    <row r="21369" spans="1:9" x14ac:dyDescent="0.2">
      <c r="A21369" t="str">
        <f>"Tprkb"</f>
        <v>Tprkb</v>
      </c>
      <c r="B21369" t="s">
        <v>14</v>
      </c>
      <c r="C21369" t="s">
        <v>32</v>
      </c>
      <c r="D21369" t="s">
        <v>17</v>
      </c>
      <c r="E21369" t="s">
        <v>12</v>
      </c>
      <c r="F21369">
        <v>85915709</v>
      </c>
      <c r="G21369">
        <v>85915770</v>
      </c>
      <c r="H21369">
        <v>85915787</v>
      </c>
      <c r="I21369">
        <v>85915798</v>
      </c>
    </row>
    <row r="21370" spans="1:9" x14ac:dyDescent="0.2">
      <c r="A21370" t="str">
        <f>"Tprn"</f>
        <v>Tprn</v>
      </c>
      <c r="B21370" t="s">
        <v>14</v>
      </c>
      <c r="C21370" t="s">
        <v>26</v>
      </c>
      <c r="D21370" t="s">
        <v>17</v>
      </c>
      <c r="E21370" t="s">
        <v>12</v>
      </c>
      <c r="F21370">
        <v>25262589</v>
      </c>
      <c r="G21370">
        <v>25262670</v>
      </c>
      <c r="H21370">
        <v>25262534</v>
      </c>
      <c r="I21370">
        <v>25262543</v>
      </c>
    </row>
    <row r="21371" spans="1:9" x14ac:dyDescent="0.2">
      <c r="A21371" t="str">
        <f>"Tpsab1"</f>
        <v>Tpsab1</v>
      </c>
      <c r="B21371" t="s">
        <v>14</v>
      </c>
      <c r="C21371" t="s">
        <v>28</v>
      </c>
      <c r="D21371" t="s">
        <v>11</v>
      </c>
      <c r="E21371" t="s">
        <v>12</v>
      </c>
      <c r="F21371">
        <v>25345559</v>
      </c>
      <c r="G21371">
        <v>25345563</v>
      </c>
      <c r="H21371">
        <v>25345559</v>
      </c>
      <c r="I21371">
        <v>25345563</v>
      </c>
    </row>
    <row r="21372" spans="1:9" x14ac:dyDescent="0.2">
      <c r="A21372" t="str">
        <f>"Tpsb2"</f>
        <v>Tpsb2</v>
      </c>
      <c r="B21372" t="s">
        <v>14</v>
      </c>
      <c r="C21372" t="s">
        <v>28</v>
      </c>
      <c r="D21372" t="s">
        <v>17</v>
      </c>
      <c r="E21372" t="s">
        <v>12</v>
      </c>
      <c r="F21372">
        <v>25366315</v>
      </c>
      <c r="G21372">
        <v>25366328</v>
      </c>
      <c r="H21372">
        <v>25366280</v>
      </c>
      <c r="I21372">
        <v>25366312</v>
      </c>
    </row>
    <row r="21373" spans="1:9" x14ac:dyDescent="0.2">
      <c r="A21373" t="str">
        <f>"Tpsg1"</f>
        <v>Tpsg1</v>
      </c>
      <c r="B21373" t="s">
        <v>9</v>
      </c>
      <c r="C21373" t="s">
        <v>28</v>
      </c>
      <c r="D21373" t="s">
        <v>17</v>
      </c>
      <c r="E21373" t="s">
        <v>12</v>
      </c>
      <c r="F21373">
        <v>25369267</v>
      </c>
      <c r="G21373">
        <v>25369280</v>
      </c>
      <c r="H21373">
        <v>25369267</v>
      </c>
      <c r="I21373">
        <v>25369280</v>
      </c>
    </row>
    <row r="21374" spans="1:9" x14ac:dyDescent="0.2">
      <c r="A21374" t="str">
        <f>"Tpsg1"</f>
        <v>Tpsg1</v>
      </c>
      <c r="B21374" t="s">
        <v>13</v>
      </c>
      <c r="C21374" t="s">
        <v>28</v>
      </c>
      <c r="D21374" t="s">
        <v>17</v>
      </c>
      <c r="E21374" t="s">
        <v>12</v>
      </c>
      <c r="F21374">
        <v>25370575</v>
      </c>
      <c r="G21374">
        <v>25370599</v>
      </c>
      <c r="H21374">
        <v>25370575</v>
      </c>
      <c r="I21374">
        <v>25370599</v>
      </c>
    </row>
    <row r="21375" spans="1:9" x14ac:dyDescent="0.2">
      <c r="A21375" t="str">
        <f>"Tpst1"</f>
        <v>Tpst1</v>
      </c>
      <c r="B21375" t="s">
        <v>14</v>
      </c>
      <c r="C21375" t="s">
        <v>46</v>
      </c>
      <c r="D21375" t="s">
        <v>17</v>
      </c>
      <c r="E21375" t="s">
        <v>12</v>
      </c>
      <c r="F21375">
        <v>130079478</v>
      </c>
      <c r="G21375">
        <v>130079492</v>
      </c>
      <c r="H21375">
        <v>130079439</v>
      </c>
      <c r="I21375">
        <v>130079448</v>
      </c>
    </row>
    <row r="21376" spans="1:9" x14ac:dyDescent="0.2">
      <c r="A21376" t="str">
        <f>"Tpst2"</f>
        <v>Tpst2</v>
      </c>
      <c r="B21376" t="s">
        <v>9</v>
      </c>
      <c r="C21376" t="s">
        <v>46</v>
      </c>
      <c r="D21376" t="s">
        <v>17</v>
      </c>
      <c r="E21376" t="s">
        <v>12</v>
      </c>
      <c r="F21376">
        <v>112276694</v>
      </c>
      <c r="G21376">
        <v>112276756</v>
      </c>
      <c r="H21376">
        <v>112276694</v>
      </c>
      <c r="I21376">
        <v>112276756</v>
      </c>
    </row>
    <row r="21377" spans="1:9" x14ac:dyDescent="0.2">
      <c r="A21377" t="str">
        <f>"Tpst2"</f>
        <v>Tpst2</v>
      </c>
      <c r="B21377" t="s">
        <v>13</v>
      </c>
      <c r="C21377" t="s">
        <v>46</v>
      </c>
      <c r="D21377" t="s">
        <v>17</v>
      </c>
      <c r="E21377" t="s">
        <v>12</v>
      </c>
      <c r="F21377">
        <v>112288734</v>
      </c>
      <c r="G21377">
        <v>112288768</v>
      </c>
      <c r="H21377">
        <v>112288734</v>
      </c>
      <c r="I21377">
        <v>112288768</v>
      </c>
    </row>
    <row r="21378" spans="1:9" x14ac:dyDescent="0.2">
      <c r="A21378" t="str">
        <f>"Tpt1"</f>
        <v>Tpt1</v>
      </c>
      <c r="B21378" t="s">
        <v>14</v>
      </c>
      <c r="C21378" t="s">
        <v>41</v>
      </c>
      <c r="D21378" t="s">
        <v>17</v>
      </c>
      <c r="E21378" t="s">
        <v>12</v>
      </c>
      <c r="F21378">
        <v>75845321</v>
      </c>
      <c r="G21378">
        <v>75845347</v>
      </c>
      <c r="H21378">
        <v>75845296</v>
      </c>
      <c r="I21378">
        <v>75845307</v>
      </c>
    </row>
    <row r="21379" spans="1:9" x14ac:dyDescent="0.2">
      <c r="A21379" t="str">
        <f>"Tpte"</f>
        <v>Tpte</v>
      </c>
      <c r="B21379" t="s">
        <v>14</v>
      </c>
      <c r="C21379" t="s">
        <v>30</v>
      </c>
      <c r="D21379" t="s">
        <v>17</v>
      </c>
      <c r="E21379" t="s">
        <v>12</v>
      </c>
      <c r="F21379">
        <v>22283190</v>
      </c>
      <c r="G21379">
        <v>22283233</v>
      </c>
      <c r="H21379">
        <v>22283190</v>
      </c>
      <c r="I21379">
        <v>22283233</v>
      </c>
    </row>
    <row r="21380" spans="1:9" x14ac:dyDescent="0.2">
      <c r="A21380" t="str">
        <f>"Tpx2"</f>
        <v>Tpx2</v>
      </c>
      <c r="B21380" t="s">
        <v>14</v>
      </c>
      <c r="C21380" t="s">
        <v>26</v>
      </c>
      <c r="D21380" t="s">
        <v>17</v>
      </c>
      <c r="E21380" t="s">
        <v>12</v>
      </c>
      <c r="F21380">
        <v>152847993</v>
      </c>
      <c r="G21380">
        <v>152848076</v>
      </c>
      <c r="H21380">
        <v>152847961</v>
      </c>
      <c r="I21380">
        <v>152847972</v>
      </c>
    </row>
    <row r="21381" spans="1:9" x14ac:dyDescent="0.2">
      <c r="A21381" t="str">
        <f>"Tra2a"</f>
        <v>Tra2a</v>
      </c>
      <c r="B21381" t="s">
        <v>14</v>
      </c>
      <c r="C21381" t="s">
        <v>32</v>
      </c>
      <c r="D21381" t="s">
        <v>11</v>
      </c>
      <c r="E21381" t="s">
        <v>12</v>
      </c>
      <c r="F21381">
        <v>49264014</v>
      </c>
      <c r="G21381">
        <v>49264060</v>
      </c>
      <c r="H21381">
        <v>49263979</v>
      </c>
      <c r="I21381">
        <v>49263990</v>
      </c>
    </row>
    <row r="21382" spans="1:9" x14ac:dyDescent="0.2">
      <c r="A21382" t="str">
        <f>"Tra2b"</f>
        <v>Tra2b</v>
      </c>
      <c r="B21382" t="s">
        <v>14</v>
      </c>
      <c r="C21382" t="s">
        <v>31</v>
      </c>
      <c r="D21382" t="s">
        <v>11</v>
      </c>
      <c r="E21382" t="s">
        <v>12</v>
      </c>
      <c r="F21382">
        <v>22265920</v>
      </c>
      <c r="G21382">
        <v>22265949</v>
      </c>
      <c r="H21382">
        <v>22265950</v>
      </c>
      <c r="I21382">
        <v>22265961</v>
      </c>
    </row>
    <row r="21383" spans="1:9" x14ac:dyDescent="0.2">
      <c r="A21383" t="str">
        <f>"Trabd"</f>
        <v>Trabd</v>
      </c>
      <c r="B21383" t="s">
        <v>14</v>
      </c>
      <c r="C21383" t="s">
        <v>25</v>
      </c>
      <c r="D21383" t="s">
        <v>17</v>
      </c>
      <c r="E21383" t="s">
        <v>12</v>
      </c>
      <c r="F21383">
        <v>89076058</v>
      </c>
      <c r="G21383">
        <v>89076105</v>
      </c>
      <c r="H21383">
        <v>89075996</v>
      </c>
      <c r="I21383">
        <v>89076038</v>
      </c>
    </row>
    <row r="21384" spans="1:9" x14ac:dyDescent="0.2">
      <c r="A21384" t="str">
        <f>"Trabd2b"</f>
        <v>Trabd2b</v>
      </c>
      <c r="B21384" t="s">
        <v>14</v>
      </c>
      <c r="C21384" t="s">
        <v>23</v>
      </c>
      <c r="D21384" t="s">
        <v>17</v>
      </c>
      <c r="E21384" t="s">
        <v>67</v>
      </c>
      <c r="F21384">
        <v>114406206</v>
      </c>
      <c r="G21384">
        <v>114406256</v>
      </c>
      <c r="H21384">
        <v>114406667</v>
      </c>
      <c r="I21384">
        <v>114406710</v>
      </c>
    </row>
    <row r="21385" spans="1:9" x14ac:dyDescent="0.2">
      <c r="A21385" t="str">
        <f>"Tradd"</f>
        <v>Tradd</v>
      </c>
      <c r="B21385" t="s">
        <v>14</v>
      </c>
      <c r="C21385" t="s">
        <v>30</v>
      </c>
      <c r="D21385" t="s">
        <v>11</v>
      </c>
      <c r="E21385" t="s">
        <v>12</v>
      </c>
      <c r="F21385">
        <v>105264586</v>
      </c>
      <c r="G21385">
        <v>105264618</v>
      </c>
      <c r="H21385">
        <v>105264578</v>
      </c>
      <c r="I21385">
        <v>105264585</v>
      </c>
    </row>
    <row r="21386" spans="1:9" x14ac:dyDescent="0.2">
      <c r="A21386" t="str">
        <f>"Traf1"</f>
        <v>Traf1</v>
      </c>
      <c r="B21386" t="s">
        <v>9</v>
      </c>
      <c r="C21386" t="s">
        <v>26</v>
      </c>
      <c r="D21386" t="s">
        <v>11</v>
      </c>
      <c r="E21386" t="s">
        <v>12</v>
      </c>
      <c r="F21386">
        <v>34961555</v>
      </c>
      <c r="G21386">
        <v>34961639</v>
      </c>
      <c r="H21386">
        <v>34961555</v>
      </c>
      <c r="I21386">
        <v>34961639</v>
      </c>
    </row>
    <row r="21387" spans="1:9" x14ac:dyDescent="0.2">
      <c r="A21387" t="str">
        <f>"Traf1"</f>
        <v>Traf1</v>
      </c>
      <c r="B21387" t="s">
        <v>13</v>
      </c>
      <c r="C21387" t="s">
        <v>26</v>
      </c>
      <c r="D21387" t="s">
        <v>11</v>
      </c>
      <c r="E21387" t="s">
        <v>12</v>
      </c>
      <c r="F21387">
        <v>34958152</v>
      </c>
      <c r="G21387">
        <v>34958173</v>
      </c>
      <c r="H21387">
        <v>34958152</v>
      </c>
      <c r="I21387">
        <v>34958173</v>
      </c>
    </row>
    <row r="21388" spans="1:9" x14ac:dyDescent="0.2">
      <c r="A21388" t="str">
        <f>"Traf2"</f>
        <v>Traf2</v>
      </c>
      <c r="B21388" t="s">
        <v>14</v>
      </c>
      <c r="C21388" t="s">
        <v>26</v>
      </c>
      <c r="D21388" t="s">
        <v>11</v>
      </c>
      <c r="E21388" t="s">
        <v>12</v>
      </c>
      <c r="F21388">
        <v>25546872</v>
      </c>
      <c r="G21388">
        <v>25546915</v>
      </c>
      <c r="H21388">
        <v>25546928</v>
      </c>
      <c r="I21388">
        <v>25546937</v>
      </c>
    </row>
    <row r="21389" spans="1:9" x14ac:dyDescent="0.2">
      <c r="A21389" t="str">
        <f>"Traf3"</f>
        <v>Traf3</v>
      </c>
      <c r="B21389" t="s">
        <v>14</v>
      </c>
      <c r="C21389" t="s">
        <v>16</v>
      </c>
      <c r="D21389" t="s">
        <v>17</v>
      </c>
      <c r="E21389" t="s">
        <v>12</v>
      </c>
      <c r="F21389">
        <v>111166413</v>
      </c>
      <c r="G21389">
        <v>111166471</v>
      </c>
      <c r="H21389">
        <v>111166349</v>
      </c>
      <c r="I21389">
        <v>111166397</v>
      </c>
    </row>
    <row r="21390" spans="1:9" x14ac:dyDescent="0.2">
      <c r="A21390" t="str">
        <f>"Traf3ip1"</f>
        <v>Traf3ip1</v>
      </c>
      <c r="B21390" t="s">
        <v>14</v>
      </c>
      <c r="C21390" t="s">
        <v>19</v>
      </c>
      <c r="D21390" t="s">
        <v>17</v>
      </c>
      <c r="E21390" t="s">
        <v>12</v>
      </c>
      <c r="F21390">
        <v>91494631</v>
      </c>
      <c r="G21390">
        <v>91494698</v>
      </c>
      <c r="H21390">
        <v>91494706</v>
      </c>
      <c r="I21390">
        <v>91494721</v>
      </c>
    </row>
    <row r="21391" spans="1:9" x14ac:dyDescent="0.2">
      <c r="A21391" t="str">
        <f>"Traf3ip2"</f>
        <v>Traf3ip2</v>
      </c>
      <c r="B21391" t="s">
        <v>14</v>
      </c>
      <c r="C21391" t="s">
        <v>15</v>
      </c>
      <c r="D21391" t="s">
        <v>17</v>
      </c>
      <c r="E21391" t="s">
        <v>12</v>
      </c>
      <c r="F21391">
        <v>39613187</v>
      </c>
      <c r="G21391">
        <v>39613249</v>
      </c>
      <c r="H21391">
        <v>39613187</v>
      </c>
      <c r="I21391">
        <v>39613249</v>
      </c>
    </row>
    <row r="21392" spans="1:9" x14ac:dyDescent="0.2">
      <c r="A21392" t="str">
        <f>"Traf3ip3"</f>
        <v>Traf3ip3</v>
      </c>
      <c r="B21392" t="s">
        <v>9</v>
      </c>
      <c r="C21392" t="s">
        <v>19</v>
      </c>
      <c r="D21392" t="s">
        <v>11</v>
      </c>
      <c r="E21392" t="s">
        <v>12</v>
      </c>
      <c r="F21392">
        <v>193201435</v>
      </c>
      <c r="G21392">
        <v>193201584</v>
      </c>
      <c r="H21392">
        <v>193201435</v>
      </c>
      <c r="I21392">
        <v>193201584</v>
      </c>
    </row>
    <row r="21393" spans="1:9" x14ac:dyDescent="0.2">
      <c r="A21393" t="str">
        <f>"Traf3ip3"</f>
        <v>Traf3ip3</v>
      </c>
      <c r="B21393" t="s">
        <v>13</v>
      </c>
      <c r="C21393" t="s">
        <v>19</v>
      </c>
      <c r="D21393" t="s">
        <v>11</v>
      </c>
      <c r="E21393" t="s">
        <v>12</v>
      </c>
      <c r="F21393">
        <v>193197950</v>
      </c>
      <c r="G21393">
        <v>193198031</v>
      </c>
      <c r="H21393">
        <v>193197950</v>
      </c>
      <c r="I21393">
        <v>193198031</v>
      </c>
    </row>
    <row r="21394" spans="1:9" x14ac:dyDescent="0.2">
      <c r="A21394" t="str">
        <f>"Traf4"</f>
        <v>Traf4</v>
      </c>
      <c r="B21394" t="s">
        <v>14</v>
      </c>
      <c r="C21394" t="s">
        <v>27</v>
      </c>
      <c r="D21394" t="s">
        <v>11</v>
      </c>
      <c r="E21394" t="s">
        <v>12</v>
      </c>
      <c r="F21394">
        <v>78165521</v>
      </c>
      <c r="G21394">
        <v>78165551</v>
      </c>
      <c r="H21394">
        <v>78165326</v>
      </c>
      <c r="I21394">
        <v>78165374</v>
      </c>
    </row>
    <row r="21395" spans="1:9" x14ac:dyDescent="0.2">
      <c r="A21395" t="str">
        <f>"Traf5"</f>
        <v>Traf5</v>
      </c>
      <c r="B21395" t="s">
        <v>14</v>
      </c>
      <c r="C21395" t="s">
        <v>19</v>
      </c>
      <c r="D21395" t="s">
        <v>11</v>
      </c>
      <c r="E21395" t="s">
        <v>12</v>
      </c>
      <c r="F21395">
        <v>192092540</v>
      </c>
      <c r="G21395">
        <v>192092619</v>
      </c>
      <c r="H21395">
        <v>192092421</v>
      </c>
      <c r="I21395">
        <v>192092452</v>
      </c>
    </row>
    <row r="21396" spans="1:9" x14ac:dyDescent="0.2">
      <c r="A21396" t="str">
        <f>"Traf6"</f>
        <v>Traf6</v>
      </c>
      <c r="B21396" t="s">
        <v>14</v>
      </c>
      <c r="C21396" t="s">
        <v>26</v>
      </c>
      <c r="D21396" t="s">
        <v>17</v>
      </c>
      <c r="E21396" t="s">
        <v>12</v>
      </c>
      <c r="F21396">
        <v>101678403</v>
      </c>
      <c r="G21396">
        <v>101678469</v>
      </c>
      <c r="H21396">
        <v>101678479</v>
      </c>
      <c r="I21396">
        <v>101678496</v>
      </c>
    </row>
    <row r="21397" spans="1:9" x14ac:dyDescent="0.2">
      <c r="A21397" t="str">
        <f>"Traf7"</f>
        <v>Traf7</v>
      </c>
      <c r="B21397" t="s">
        <v>14</v>
      </c>
      <c r="C21397" t="s">
        <v>28</v>
      </c>
      <c r="D21397" t="s">
        <v>11</v>
      </c>
      <c r="E21397" t="s">
        <v>12</v>
      </c>
      <c r="F21397">
        <v>24527830</v>
      </c>
      <c r="G21397">
        <v>24527884</v>
      </c>
      <c r="H21397">
        <v>24527814</v>
      </c>
      <c r="I21397">
        <v>24527829</v>
      </c>
    </row>
    <row r="21398" spans="1:9" x14ac:dyDescent="0.2">
      <c r="A21398" t="str">
        <f>"Trafd1"</f>
        <v>Trafd1</v>
      </c>
      <c r="B21398" t="s">
        <v>14</v>
      </c>
      <c r="C21398" t="s">
        <v>46</v>
      </c>
      <c r="D21398" t="s">
        <v>11</v>
      </c>
      <c r="E21398" t="s">
        <v>12</v>
      </c>
      <c r="F21398">
        <v>121385572</v>
      </c>
      <c r="G21398">
        <v>121385590</v>
      </c>
      <c r="H21398">
        <v>121385387</v>
      </c>
      <c r="I21398">
        <v>121385455</v>
      </c>
    </row>
    <row r="21399" spans="1:9" x14ac:dyDescent="0.2">
      <c r="A21399" t="str">
        <f>"Traip"</f>
        <v>Traip</v>
      </c>
      <c r="B21399" t="s">
        <v>14</v>
      </c>
      <c r="C21399" t="s">
        <v>24</v>
      </c>
      <c r="D21399" t="s">
        <v>17</v>
      </c>
      <c r="E21399" t="s">
        <v>12</v>
      </c>
      <c r="F21399">
        <v>107950952</v>
      </c>
      <c r="G21399">
        <v>107950991</v>
      </c>
      <c r="H21399">
        <v>107950942</v>
      </c>
      <c r="I21399">
        <v>107950947</v>
      </c>
    </row>
    <row r="21400" spans="1:9" x14ac:dyDescent="0.2">
      <c r="A21400" t="str">
        <f>"Trak1"</f>
        <v>Trak1</v>
      </c>
      <c r="B21400" t="s">
        <v>5945</v>
      </c>
      <c r="C21400" t="s">
        <v>24</v>
      </c>
      <c r="D21400" t="s">
        <v>17</v>
      </c>
      <c r="E21400" t="s">
        <v>35</v>
      </c>
      <c r="F21400">
        <v>121366823</v>
      </c>
      <c r="G21400">
        <v>121366853</v>
      </c>
      <c r="H21400">
        <v>121367112</v>
      </c>
      <c r="I21400">
        <v>121367115</v>
      </c>
    </row>
    <row r="21401" spans="1:9" x14ac:dyDescent="0.2">
      <c r="A21401" t="str">
        <f>"Trak2"</f>
        <v>Trak2</v>
      </c>
      <c r="B21401" t="s">
        <v>14</v>
      </c>
      <c r="C21401" t="s">
        <v>19</v>
      </c>
      <c r="D21401" t="s">
        <v>11</v>
      </c>
      <c r="E21401" t="s">
        <v>12</v>
      </c>
      <c r="F21401">
        <v>58973421</v>
      </c>
      <c r="G21401">
        <v>58973440</v>
      </c>
      <c r="H21401">
        <v>58973335</v>
      </c>
      <c r="I21401">
        <v>58973354</v>
      </c>
    </row>
    <row r="21402" spans="1:9" x14ac:dyDescent="0.2">
      <c r="A21402" t="str">
        <f>"Tram1"</f>
        <v>Tram1</v>
      </c>
      <c r="B21402" t="s">
        <v>14</v>
      </c>
      <c r="C21402" t="s">
        <v>19</v>
      </c>
      <c r="D21402" t="s">
        <v>11</v>
      </c>
      <c r="E21402" t="s">
        <v>12</v>
      </c>
      <c r="F21402">
        <v>13589717</v>
      </c>
      <c r="G21402">
        <v>13589904</v>
      </c>
      <c r="H21402">
        <v>13589717</v>
      </c>
      <c r="I21402">
        <v>13589904</v>
      </c>
    </row>
    <row r="21403" spans="1:9" x14ac:dyDescent="0.2">
      <c r="A21403" t="str">
        <f>"Tram1l1"</f>
        <v>Tram1l1</v>
      </c>
      <c r="B21403" t="s">
        <v>14</v>
      </c>
      <c r="C21403" t="s">
        <v>22</v>
      </c>
      <c r="D21403" t="s">
        <v>17</v>
      </c>
      <c r="E21403" t="s">
        <v>12</v>
      </c>
      <c r="F21403">
        <v>124321031</v>
      </c>
      <c r="G21403">
        <v>124321113</v>
      </c>
      <c r="H21403">
        <v>124321142</v>
      </c>
      <c r="I21403">
        <v>124321153</v>
      </c>
    </row>
    <row r="21404" spans="1:9" x14ac:dyDescent="0.2">
      <c r="A21404" t="str">
        <f>"Tram2"</f>
        <v>Tram2</v>
      </c>
      <c r="B21404" t="s">
        <v>14</v>
      </c>
      <c r="C21404" t="s">
        <v>19</v>
      </c>
      <c r="D21404" t="s">
        <v>11</v>
      </c>
      <c r="E21404" t="s">
        <v>12</v>
      </c>
      <c r="F21404">
        <v>21079162</v>
      </c>
      <c r="G21404">
        <v>21079243</v>
      </c>
      <c r="H21404">
        <v>21079601</v>
      </c>
      <c r="I21404">
        <v>21079621</v>
      </c>
    </row>
    <row r="21405" spans="1:9" x14ac:dyDescent="0.2">
      <c r="A21405" t="str">
        <f>"Trank1"</f>
        <v>Trank1</v>
      </c>
      <c r="B21405" t="s">
        <v>14</v>
      </c>
      <c r="C21405" t="s">
        <v>24</v>
      </c>
      <c r="D21405" t="s">
        <v>17</v>
      </c>
      <c r="E21405" t="s">
        <v>12</v>
      </c>
      <c r="F21405">
        <v>111311539</v>
      </c>
      <c r="G21405">
        <v>111311551</v>
      </c>
      <c r="H21405">
        <v>111311804</v>
      </c>
      <c r="I21405">
        <v>111311840</v>
      </c>
    </row>
    <row r="21406" spans="1:9" x14ac:dyDescent="0.2">
      <c r="A21406" t="str">
        <f>"Trap1"</f>
        <v>Trap1</v>
      </c>
      <c r="B21406" t="s">
        <v>14</v>
      </c>
      <c r="C21406" t="s">
        <v>31</v>
      </c>
      <c r="D21406" t="s">
        <v>11</v>
      </c>
      <c r="E21406" t="s">
        <v>12</v>
      </c>
      <c r="F21406">
        <v>4077778</v>
      </c>
      <c r="G21406">
        <v>4077831</v>
      </c>
      <c r="H21406">
        <v>4077778</v>
      </c>
      <c r="I21406">
        <v>4077831</v>
      </c>
    </row>
    <row r="21407" spans="1:9" x14ac:dyDescent="0.2">
      <c r="A21407" t="str">
        <f>"Trap1a"</f>
        <v>Trap1a</v>
      </c>
      <c r="B21407" t="s">
        <v>14</v>
      </c>
      <c r="C21407" t="s">
        <v>37</v>
      </c>
      <c r="D21407" t="s">
        <v>17</v>
      </c>
      <c r="E21407" t="s">
        <v>12</v>
      </c>
      <c r="F21407">
        <v>139333837</v>
      </c>
      <c r="G21407">
        <v>139333870</v>
      </c>
      <c r="H21407">
        <v>139333837</v>
      </c>
      <c r="I21407">
        <v>139333870</v>
      </c>
    </row>
    <row r="21408" spans="1:9" x14ac:dyDescent="0.2">
      <c r="A21408" t="str">
        <f>"Trappc1"</f>
        <v>Trappc1</v>
      </c>
      <c r="B21408" t="s">
        <v>14</v>
      </c>
      <c r="C21408" t="s">
        <v>27</v>
      </c>
      <c r="D21408" t="s">
        <v>17</v>
      </c>
      <c r="E21408" t="s">
        <v>12</v>
      </c>
      <c r="F21408">
        <v>69323963</v>
      </c>
      <c r="G21408">
        <v>69324043</v>
      </c>
      <c r="H21408">
        <v>69324069</v>
      </c>
      <c r="I21408">
        <v>69324111</v>
      </c>
    </row>
    <row r="21409" spans="1:9" x14ac:dyDescent="0.2">
      <c r="A21409" t="str">
        <f>"Trappc10"</f>
        <v>Trappc10</v>
      </c>
      <c r="B21409" t="s">
        <v>14</v>
      </c>
      <c r="C21409" t="s">
        <v>15</v>
      </c>
      <c r="D21409" t="s">
        <v>11</v>
      </c>
      <c r="E21409" t="s">
        <v>12</v>
      </c>
      <c r="F21409">
        <v>78244602</v>
      </c>
      <c r="G21409">
        <v>78244676</v>
      </c>
      <c r="H21409">
        <v>78244602</v>
      </c>
      <c r="I21409">
        <v>78244676</v>
      </c>
    </row>
    <row r="21410" spans="1:9" x14ac:dyDescent="0.2">
      <c r="A21410" t="str">
        <f>"Trappc11"</f>
        <v>Trappc11</v>
      </c>
      <c r="B21410" t="s">
        <v>14</v>
      </c>
      <c r="C21410" t="s">
        <v>30</v>
      </c>
      <c r="D21410" t="s">
        <v>11</v>
      </c>
      <c r="E21410" t="s">
        <v>67</v>
      </c>
      <c r="F21410">
        <v>47533439</v>
      </c>
      <c r="G21410">
        <v>47533477</v>
      </c>
      <c r="H21410">
        <v>47533422</v>
      </c>
      <c r="I21410">
        <v>47533436</v>
      </c>
    </row>
    <row r="21411" spans="1:9" x14ac:dyDescent="0.2">
      <c r="A21411" t="str">
        <f>"Trappc12"</f>
        <v>Trappc12</v>
      </c>
      <c r="B21411" t="s">
        <v>14</v>
      </c>
      <c r="C21411" t="s">
        <v>16</v>
      </c>
      <c r="D21411" t="s">
        <v>11</v>
      </c>
      <c r="E21411" t="s">
        <v>67</v>
      </c>
      <c r="F21411">
        <v>28750365</v>
      </c>
      <c r="G21411">
        <v>28750418</v>
      </c>
      <c r="H21411">
        <v>28750425</v>
      </c>
      <c r="I21411">
        <v>28750474</v>
      </c>
    </row>
    <row r="21412" spans="1:9" x14ac:dyDescent="0.2">
      <c r="A21412" t="str">
        <f>"Trappc13"</f>
        <v>Trappc13</v>
      </c>
      <c r="B21412" t="s">
        <v>14</v>
      </c>
      <c r="C21412" t="s">
        <v>39</v>
      </c>
      <c r="D21412" t="s">
        <v>11</v>
      </c>
      <c r="E21412" t="s">
        <v>67</v>
      </c>
      <c r="F21412">
        <v>104178399</v>
      </c>
      <c r="G21412">
        <v>104178480</v>
      </c>
      <c r="H21412">
        <v>104178399</v>
      </c>
      <c r="I21412">
        <v>104178480</v>
      </c>
    </row>
    <row r="21413" spans="1:9" x14ac:dyDescent="0.2">
      <c r="A21413" t="str">
        <f>"Trappc2"</f>
        <v>Trappc2</v>
      </c>
      <c r="B21413" t="s">
        <v>14</v>
      </c>
      <c r="C21413" t="s">
        <v>37</v>
      </c>
      <c r="D21413" t="s">
        <v>17</v>
      </c>
      <c r="E21413" t="s">
        <v>12</v>
      </c>
      <c r="F21413">
        <v>166440738</v>
      </c>
      <c r="G21413">
        <v>166440781</v>
      </c>
      <c r="H21413">
        <v>166440256</v>
      </c>
      <c r="I21413">
        <v>166440303</v>
      </c>
    </row>
    <row r="21414" spans="1:9" x14ac:dyDescent="0.2">
      <c r="A21414" t="str">
        <f>"Trappc2l"</f>
        <v>Trappc2l</v>
      </c>
      <c r="B21414" t="s">
        <v>14</v>
      </c>
      <c r="C21414" t="s">
        <v>30</v>
      </c>
      <c r="D21414" t="s">
        <v>17</v>
      </c>
      <c r="E21414" t="s">
        <v>12</v>
      </c>
      <c r="F21414">
        <v>122611618</v>
      </c>
      <c r="G21414">
        <v>122611663</v>
      </c>
      <c r="H21414">
        <v>122611618</v>
      </c>
      <c r="I21414">
        <v>122611663</v>
      </c>
    </row>
    <row r="21415" spans="1:9" x14ac:dyDescent="0.2">
      <c r="A21415" t="str">
        <f>"Trappc3"</f>
        <v>Trappc3</v>
      </c>
      <c r="B21415" t="s">
        <v>14</v>
      </c>
      <c r="C21415" t="s">
        <v>23</v>
      </c>
      <c r="D21415" t="s">
        <v>17</v>
      </c>
      <c r="E21415" t="s">
        <v>12</v>
      </c>
      <c r="F21415">
        <v>126262382</v>
      </c>
      <c r="G21415">
        <v>126262402</v>
      </c>
      <c r="H21415">
        <v>126262369</v>
      </c>
      <c r="I21415">
        <v>126262380</v>
      </c>
    </row>
    <row r="21416" spans="1:9" x14ac:dyDescent="0.2">
      <c r="A21416" t="str">
        <f>"Trappc3l"</f>
        <v>Trappc3l</v>
      </c>
      <c r="B21416" t="s">
        <v>14</v>
      </c>
      <c r="C21416" t="s">
        <v>15</v>
      </c>
      <c r="D21416" t="s">
        <v>17</v>
      </c>
      <c r="E21416" t="s">
        <v>67</v>
      </c>
      <c r="F21416">
        <v>34037505</v>
      </c>
      <c r="G21416">
        <v>34037506</v>
      </c>
      <c r="H21416">
        <v>34037505</v>
      </c>
      <c r="I21416">
        <v>34037506</v>
      </c>
    </row>
    <row r="21417" spans="1:9" x14ac:dyDescent="0.2">
      <c r="A21417" t="str">
        <f>"Trappc4"</f>
        <v>Trappc4</v>
      </c>
      <c r="B21417" t="s">
        <v>14</v>
      </c>
      <c r="C21417" t="s">
        <v>24</v>
      </c>
      <c r="D21417" t="s">
        <v>11</v>
      </c>
      <c r="E21417" t="s">
        <v>12</v>
      </c>
      <c r="F21417">
        <v>44407301</v>
      </c>
      <c r="G21417">
        <v>44407343</v>
      </c>
      <c r="H21417">
        <v>44407344</v>
      </c>
      <c r="I21417">
        <v>44407372</v>
      </c>
    </row>
    <row r="21418" spans="1:9" x14ac:dyDescent="0.2">
      <c r="A21418" t="str">
        <f>"Trappc5"</f>
        <v>Trappc5</v>
      </c>
      <c r="B21418" t="s">
        <v>14</v>
      </c>
      <c r="C21418" t="s">
        <v>30</v>
      </c>
      <c r="D21418" t="s">
        <v>17</v>
      </c>
      <c r="E21418" t="s">
        <v>12</v>
      </c>
      <c r="F21418">
        <v>3676503</v>
      </c>
      <c r="G21418">
        <v>3676547</v>
      </c>
      <c r="H21418">
        <v>3676457</v>
      </c>
      <c r="I21418">
        <v>3676501</v>
      </c>
    </row>
    <row r="21419" spans="1:9" x14ac:dyDescent="0.2">
      <c r="A21419" t="str">
        <f>"Trappc6a"</f>
        <v>Trappc6a</v>
      </c>
      <c r="B21419" t="s">
        <v>14</v>
      </c>
      <c r="C21419" t="s">
        <v>33</v>
      </c>
      <c r="D21419" t="s">
        <v>17</v>
      </c>
      <c r="E21419" t="s">
        <v>12</v>
      </c>
      <c r="F21419">
        <v>19508714</v>
      </c>
      <c r="G21419">
        <v>19508741</v>
      </c>
      <c r="H21419">
        <v>19508743</v>
      </c>
      <c r="I21419">
        <v>19508754</v>
      </c>
    </row>
    <row r="21420" spans="1:9" x14ac:dyDescent="0.2">
      <c r="A21420" t="str">
        <f>"Trappc6b"</f>
        <v>Trappc6b</v>
      </c>
      <c r="B21420" t="s">
        <v>14</v>
      </c>
      <c r="C21420" t="s">
        <v>16</v>
      </c>
      <c r="D21420" t="s">
        <v>11</v>
      </c>
      <c r="E21420" t="s">
        <v>12</v>
      </c>
      <c r="F21420">
        <v>59061425</v>
      </c>
      <c r="G21420">
        <v>59061477</v>
      </c>
      <c r="H21420">
        <v>59061403</v>
      </c>
      <c r="I21420">
        <v>59061412</v>
      </c>
    </row>
    <row r="21421" spans="1:9" x14ac:dyDescent="0.2">
      <c r="A21421" t="str">
        <f>"Trappc8"</f>
        <v>Trappc8</v>
      </c>
      <c r="B21421" t="s">
        <v>14</v>
      </c>
      <c r="C21421" t="s">
        <v>43</v>
      </c>
      <c r="D21421" t="s">
        <v>11</v>
      </c>
      <c r="E21421" t="s">
        <v>12</v>
      </c>
      <c r="F21421">
        <v>20896342</v>
      </c>
      <c r="G21421">
        <v>20896400</v>
      </c>
      <c r="H21421">
        <v>20896410</v>
      </c>
      <c r="I21421">
        <v>20896421</v>
      </c>
    </row>
    <row r="21422" spans="1:9" x14ac:dyDescent="0.2">
      <c r="A21422" t="str">
        <f>"Trappc9"</f>
        <v>Trappc9</v>
      </c>
      <c r="B21422" t="s">
        <v>14</v>
      </c>
      <c r="C21422" t="s">
        <v>25</v>
      </c>
      <c r="D21422" t="s">
        <v>11</v>
      </c>
      <c r="E21422" t="s">
        <v>12</v>
      </c>
      <c r="F21422">
        <v>73061004</v>
      </c>
      <c r="G21422">
        <v>73061096</v>
      </c>
      <c r="H21422">
        <v>73061206</v>
      </c>
      <c r="I21422">
        <v>73061220</v>
      </c>
    </row>
    <row r="21423" spans="1:9" x14ac:dyDescent="0.2">
      <c r="A21423" t="str">
        <f>"Trat1"</f>
        <v>Trat1</v>
      </c>
      <c r="B21423" t="s">
        <v>14</v>
      </c>
      <c r="C21423" t="s">
        <v>31</v>
      </c>
      <c r="D21423" t="s">
        <v>11</v>
      </c>
      <c r="E21423" t="s">
        <v>12</v>
      </c>
      <c r="F21423">
        <v>48772052</v>
      </c>
      <c r="G21423">
        <v>48772069</v>
      </c>
      <c r="H21423">
        <v>48772009</v>
      </c>
      <c r="I21423">
        <v>48772030</v>
      </c>
    </row>
    <row r="21424" spans="1:9" x14ac:dyDescent="0.2">
      <c r="A21424" t="str">
        <f>"Trav13d-3"</f>
        <v>Trav13d-3</v>
      </c>
      <c r="B21424" t="s">
        <v>5946</v>
      </c>
      <c r="C21424" t="s">
        <v>41</v>
      </c>
      <c r="D21424" t="s">
        <v>17</v>
      </c>
      <c r="E21424" t="s">
        <v>20</v>
      </c>
      <c r="F21424">
        <v>53032901</v>
      </c>
      <c r="G21424">
        <v>53032901</v>
      </c>
      <c r="H21424">
        <v>53032901</v>
      </c>
      <c r="I21424">
        <v>53032901</v>
      </c>
    </row>
    <row r="21425" spans="1:9" x14ac:dyDescent="0.2">
      <c r="A21425" t="str">
        <f>"Trav13n-3"</f>
        <v>Trav13n-3</v>
      </c>
      <c r="B21425" t="s">
        <v>5947</v>
      </c>
      <c r="C21425" t="s">
        <v>41</v>
      </c>
      <c r="D21425" t="s">
        <v>17</v>
      </c>
      <c r="E21425" t="s">
        <v>20</v>
      </c>
      <c r="F21425">
        <v>53337121</v>
      </c>
      <c r="G21425">
        <v>53337121</v>
      </c>
      <c r="H21425">
        <v>53337121</v>
      </c>
      <c r="I21425">
        <v>53337121</v>
      </c>
    </row>
    <row r="21426" spans="1:9" x14ac:dyDescent="0.2">
      <c r="A21426" t="str">
        <f>"Trav7n-6"</f>
        <v>Trav7n-6</v>
      </c>
      <c r="B21426" t="s">
        <v>5948</v>
      </c>
      <c r="C21426" t="s">
        <v>41</v>
      </c>
      <c r="D21426" t="s">
        <v>17</v>
      </c>
      <c r="E21426" t="s">
        <v>20</v>
      </c>
      <c r="F21426">
        <v>53324631</v>
      </c>
      <c r="G21426">
        <v>53324631</v>
      </c>
      <c r="H21426">
        <v>53324631</v>
      </c>
      <c r="I21426">
        <v>53324631</v>
      </c>
    </row>
    <row r="21427" spans="1:9" x14ac:dyDescent="0.2">
      <c r="A21427" t="str">
        <f>"Trav9n-1"</f>
        <v>Trav9n-1</v>
      </c>
      <c r="B21427" t="s">
        <v>5949</v>
      </c>
      <c r="C21427" t="s">
        <v>41</v>
      </c>
      <c r="D21427" t="s">
        <v>17</v>
      </c>
      <c r="E21427" t="s">
        <v>20</v>
      </c>
      <c r="F21427">
        <v>53101692</v>
      </c>
      <c r="G21427">
        <v>53101692</v>
      </c>
      <c r="H21427">
        <v>53101692</v>
      </c>
      <c r="I21427">
        <v>53101692</v>
      </c>
    </row>
    <row r="21428" spans="1:9" x14ac:dyDescent="0.2">
      <c r="A21428" t="str">
        <f>"Trcg1"</f>
        <v>Trcg1</v>
      </c>
      <c r="B21428" t="s">
        <v>5950</v>
      </c>
      <c r="C21428" t="s">
        <v>24</v>
      </c>
      <c r="D21428" t="s">
        <v>17</v>
      </c>
      <c r="E21428" t="s">
        <v>20</v>
      </c>
      <c r="F21428">
        <v>57236555</v>
      </c>
      <c r="G21428">
        <v>57236555</v>
      </c>
      <c r="H21428">
        <v>57236555</v>
      </c>
      <c r="I21428">
        <v>57236555</v>
      </c>
    </row>
    <row r="21429" spans="1:9" x14ac:dyDescent="0.2">
      <c r="A21429" t="str">
        <f>"Trdmt1"</f>
        <v>Trdmt1</v>
      </c>
      <c r="B21429" t="s">
        <v>14</v>
      </c>
      <c r="C21429" t="s">
        <v>26</v>
      </c>
      <c r="D21429" t="s">
        <v>11</v>
      </c>
      <c r="E21429" t="s">
        <v>12</v>
      </c>
      <c r="F21429">
        <v>13544651</v>
      </c>
      <c r="G21429">
        <v>13544673</v>
      </c>
      <c r="H21429">
        <v>13544723</v>
      </c>
      <c r="I21429">
        <v>13544724</v>
      </c>
    </row>
    <row r="21430" spans="1:9" x14ac:dyDescent="0.2">
      <c r="A21430" t="str">
        <f>"Trdn"</f>
        <v>Trdn</v>
      </c>
      <c r="B21430" t="s">
        <v>14</v>
      </c>
      <c r="C21430" t="s">
        <v>15</v>
      </c>
      <c r="D21430" t="s">
        <v>17</v>
      </c>
      <c r="E21430" t="s">
        <v>12</v>
      </c>
      <c r="F21430">
        <v>33083476</v>
      </c>
      <c r="G21430">
        <v>33083567</v>
      </c>
      <c r="H21430">
        <v>33083476</v>
      </c>
      <c r="I21430">
        <v>33083567</v>
      </c>
    </row>
    <row r="21431" spans="1:9" x14ac:dyDescent="0.2">
      <c r="A21431" t="str">
        <f>"Treh"</f>
        <v>Treh</v>
      </c>
      <c r="B21431" t="s">
        <v>14</v>
      </c>
      <c r="C21431" t="s">
        <v>24</v>
      </c>
      <c r="D21431" t="s">
        <v>17</v>
      </c>
      <c r="E21431" t="s">
        <v>12</v>
      </c>
      <c r="F21431">
        <v>44673227</v>
      </c>
      <c r="G21431">
        <v>44673246</v>
      </c>
      <c r="H21431">
        <v>44673185</v>
      </c>
      <c r="I21431">
        <v>44673188</v>
      </c>
    </row>
    <row r="21432" spans="1:9" x14ac:dyDescent="0.2">
      <c r="A21432" t="str">
        <f>"Trem1"</f>
        <v>Trem1</v>
      </c>
      <c r="B21432" t="s">
        <v>14</v>
      </c>
      <c r="C21432" t="s">
        <v>28</v>
      </c>
      <c r="D21432" t="s">
        <v>17</v>
      </c>
      <c r="E21432" t="s">
        <v>12</v>
      </c>
      <c r="F21432">
        <v>48232755</v>
      </c>
      <c r="G21432">
        <v>48232777</v>
      </c>
      <c r="H21432">
        <v>48232755</v>
      </c>
      <c r="I21432">
        <v>48232777</v>
      </c>
    </row>
    <row r="21433" spans="1:9" x14ac:dyDescent="0.2">
      <c r="A21433" t="str">
        <f>"Trem2"</f>
        <v>Trem2</v>
      </c>
      <c r="B21433" t="s">
        <v>14</v>
      </c>
      <c r="C21433" t="s">
        <v>28</v>
      </c>
      <c r="D21433" t="s">
        <v>17</v>
      </c>
      <c r="E21433" t="s">
        <v>12</v>
      </c>
      <c r="F21433">
        <v>48346465</v>
      </c>
      <c r="G21433">
        <v>48346493</v>
      </c>
      <c r="H21433">
        <v>48346498</v>
      </c>
      <c r="I21433">
        <v>48346526</v>
      </c>
    </row>
    <row r="21434" spans="1:9" x14ac:dyDescent="0.2">
      <c r="A21434" t="str">
        <f>"Trem3"</f>
        <v>Trem3</v>
      </c>
      <c r="B21434" t="s">
        <v>14</v>
      </c>
      <c r="C21434" t="s">
        <v>28</v>
      </c>
      <c r="D21434" t="s">
        <v>17</v>
      </c>
      <c r="E21434" t="s">
        <v>12</v>
      </c>
      <c r="F21434">
        <v>48247783</v>
      </c>
      <c r="G21434">
        <v>48247810</v>
      </c>
      <c r="H21434">
        <v>48247712</v>
      </c>
      <c r="I21434">
        <v>48247741</v>
      </c>
    </row>
    <row r="21435" spans="1:9" x14ac:dyDescent="0.2">
      <c r="A21435" t="str">
        <f>"Treml1"</f>
        <v>Treml1</v>
      </c>
      <c r="B21435" t="s">
        <v>14</v>
      </c>
      <c r="C21435" t="s">
        <v>28</v>
      </c>
      <c r="D21435" t="s">
        <v>17</v>
      </c>
      <c r="E21435" t="s">
        <v>12</v>
      </c>
      <c r="F21435">
        <v>48359891</v>
      </c>
      <c r="G21435">
        <v>48359926</v>
      </c>
      <c r="H21435">
        <v>48359891</v>
      </c>
      <c r="I21435">
        <v>48359926</v>
      </c>
    </row>
    <row r="21436" spans="1:9" x14ac:dyDescent="0.2">
      <c r="A21436" t="str">
        <f>"Treml2"</f>
        <v>Treml2</v>
      </c>
      <c r="B21436" t="s">
        <v>14</v>
      </c>
      <c r="C21436" t="s">
        <v>28</v>
      </c>
      <c r="D21436" t="s">
        <v>17</v>
      </c>
      <c r="E21436" t="s">
        <v>12</v>
      </c>
      <c r="F21436">
        <v>48300401</v>
      </c>
      <c r="G21436">
        <v>48300436</v>
      </c>
      <c r="H21436">
        <v>48300344</v>
      </c>
      <c r="I21436">
        <v>48300375</v>
      </c>
    </row>
    <row r="21437" spans="1:9" x14ac:dyDescent="0.2">
      <c r="A21437" t="str">
        <f>"Treml4"</f>
        <v>Treml4</v>
      </c>
      <c r="B21437" t="s">
        <v>14</v>
      </c>
      <c r="C21437" t="s">
        <v>28</v>
      </c>
      <c r="D21437" t="s">
        <v>17</v>
      </c>
      <c r="E21437" t="s">
        <v>12</v>
      </c>
      <c r="F21437">
        <v>48264270</v>
      </c>
      <c r="G21437">
        <v>48264312</v>
      </c>
      <c r="H21437">
        <v>48264339</v>
      </c>
      <c r="I21437">
        <v>48264353</v>
      </c>
    </row>
    <row r="21438" spans="1:9" x14ac:dyDescent="0.2">
      <c r="A21438" t="str">
        <f>"Trerf1"</f>
        <v>Trerf1</v>
      </c>
      <c r="B21438" t="s">
        <v>14</v>
      </c>
      <c r="C21438" t="s">
        <v>28</v>
      </c>
      <c r="D21438" t="s">
        <v>17</v>
      </c>
      <c r="E21438" t="s">
        <v>12</v>
      </c>
      <c r="F21438">
        <v>47141132</v>
      </c>
      <c r="G21438">
        <v>47141154</v>
      </c>
      <c r="H21438">
        <v>47141199</v>
      </c>
      <c r="I21438">
        <v>47141225</v>
      </c>
    </row>
    <row r="21439" spans="1:9" x14ac:dyDescent="0.2">
      <c r="A21439" t="str">
        <f>"Trex1"</f>
        <v>Trex1</v>
      </c>
      <c r="B21439" t="s">
        <v>14</v>
      </c>
      <c r="C21439" t="s">
        <v>24</v>
      </c>
      <c r="D21439" t="s">
        <v>11</v>
      </c>
      <c r="E21439" t="s">
        <v>12</v>
      </c>
      <c r="F21439">
        <v>109059216</v>
      </c>
      <c r="G21439">
        <v>109059259</v>
      </c>
      <c r="H21439">
        <v>109059711</v>
      </c>
      <c r="I21439">
        <v>109059771</v>
      </c>
    </row>
    <row r="21440" spans="1:9" x14ac:dyDescent="0.2">
      <c r="A21440" t="str">
        <f>"Trex2"</f>
        <v>Trex2</v>
      </c>
      <c r="B21440" t="s">
        <v>14</v>
      </c>
      <c r="C21440" t="s">
        <v>37</v>
      </c>
      <c r="D21440" t="s">
        <v>11</v>
      </c>
      <c r="E21440" t="s">
        <v>12</v>
      </c>
      <c r="F21440">
        <v>73435332</v>
      </c>
      <c r="G21440">
        <v>73435350</v>
      </c>
      <c r="H21440">
        <v>73435332</v>
      </c>
      <c r="I21440">
        <v>73435350</v>
      </c>
    </row>
    <row r="21441" spans="1:9" x14ac:dyDescent="0.2">
      <c r="A21441" t="str">
        <f>"Trf"</f>
        <v>Trf</v>
      </c>
      <c r="B21441" t="s">
        <v>9</v>
      </c>
      <c r="C21441" t="s">
        <v>24</v>
      </c>
      <c r="D21441" t="s">
        <v>11</v>
      </c>
      <c r="E21441" t="s">
        <v>12</v>
      </c>
      <c r="F21441">
        <v>103230262</v>
      </c>
      <c r="G21441">
        <v>103230280</v>
      </c>
      <c r="H21441">
        <v>103230262</v>
      </c>
      <c r="I21441">
        <v>103230280</v>
      </c>
    </row>
    <row r="21442" spans="1:9" x14ac:dyDescent="0.2">
      <c r="A21442" t="str">
        <f>"Trf"</f>
        <v>Trf</v>
      </c>
      <c r="B21442" t="s">
        <v>13</v>
      </c>
      <c r="C21442" t="s">
        <v>24</v>
      </c>
      <c r="D21442" t="s">
        <v>11</v>
      </c>
      <c r="E21442" t="s">
        <v>12</v>
      </c>
      <c r="F21442">
        <v>103222080</v>
      </c>
      <c r="G21442">
        <v>103222149</v>
      </c>
      <c r="H21442">
        <v>103222080</v>
      </c>
      <c r="I21442">
        <v>103222149</v>
      </c>
    </row>
    <row r="21443" spans="1:9" x14ac:dyDescent="0.2">
      <c r="A21443" t="str">
        <f>"Trh"</f>
        <v>Trh</v>
      </c>
      <c r="B21443" t="s">
        <v>14</v>
      </c>
      <c r="C21443" t="s">
        <v>32</v>
      </c>
      <c r="D21443" t="s">
        <v>11</v>
      </c>
      <c r="E21443" t="s">
        <v>12</v>
      </c>
      <c r="F21443">
        <v>92244645</v>
      </c>
      <c r="G21443">
        <v>92244649</v>
      </c>
      <c r="H21443">
        <v>92244672</v>
      </c>
      <c r="I21443">
        <v>92244709</v>
      </c>
    </row>
    <row r="21444" spans="1:9" x14ac:dyDescent="0.2">
      <c r="A21444" t="str">
        <f>"Trhde"</f>
        <v>Trhde</v>
      </c>
      <c r="B21444" t="s">
        <v>14</v>
      </c>
      <c r="C21444" t="s">
        <v>15</v>
      </c>
      <c r="D21444" t="s">
        <v>11</v>
      </c>
      <c r="E21444" t="s">
        <v>12</v>
      </c>
      <c r="F21444">
        <v>114802506</v>
      </c>
      <c r="G21444">
        <v>114802549</v>
      </c>
      <c r="H21444">
        <v>114802328</v>
      </c>
      <c r="I21444">
        <v>114802348</v>
      </c>
    </row>
    <row r="21445" spans="1:9" x14ac:dyDescent="0.2">
      <c r="A21445" t="str">
        <f>"Trhr"</f>
        <v>Trhr</v>
      </c>
      <c r="B21445" t="s">
        <v>14</v>
      </c>
      <c r="C21445" t="s">
        <v>25</v>
      </c>
      <c r="D21445" t="s">
        <v>17</v>
      </c>
      <c r="E21445" t="s">
        <v>12</v>
      </c>
      <c r="F21445">
        <v>44196183</v>
      </c>
      <c r="G21445">
        <v>44196194</v>
      </c>
      <c r="H21445">
        <v>44196154</v>
      </c>
      <c r="I21445">
        <v>44196168</v>
      </c>
    </row>
    <row r="21446" spans="1:9" x14ac:dyDescent="0.2">
      <c r="A21446" t="str">
        <f>"Trhr2"</f>
        <v>Trhr2</v>
      </c>
      <c r="B21446" t="s">
        <v>5951</v>
      </c>
      <c r="C21446" t="s">
        <v>30</v>
      </c>
      <c r="D21446" t="s">
        <v>11</v>
      </c>
      <c r="E21446" t="s">
        <v>20</v>
      </c>
      <c r="F21446">
        <v>122360745</v>
      </c>
      <c r="G21446">
        <v>122360745</v>
      </c>
      <c r="H21446">
        <v>122360745</v>
      </c>
      <c r="I21446">
        <v>122360745</v>
      </c>
    </row>
    <row r="21447" spans="1:9" x14ac:dyDescent="0.2">
      <c r="A21447" t="str">
        <f>"Triap1"</f>
        <v>Triap1</v>
      </c>
      <c r="B21447" t="s">
        <v>14</v>
      </c>
      <c r="C21447" t="s">
        <v>46</v>
      </c>
      <c r="D21447" t="s">
        <v>17</v>
      </c>
      <c r="E21447" t="s">
        <v>12</v>
      </c>
      <c r="F21447">
        <v>115341225</v>
      </c>
      <c r="G21447">
        <v>115341270</v>
      </c>
      <c r="H21447">
        <v>115341225</v>
      </c>
      <c r="I21447">
        <v>115341270</v>
      </c>
    </row>
    <row r="21448" spans="1:9" x14ac:dyDescent="0.2">
      <c r="A21448" t="str">
        <f>"Trib1"</f>
        <v>Trib1</v>
      </c>
      <c r="B21448" t="s">
        <v>14</v>
      </c>
      <c r="C21448" t="s">
        <v>25</v>
      </c>
      <c r="D21448" t="s">
        <v>17</v>
      </c>
      <c r="E21448" t="s">
        <v>12</v>
      </c>
      <c r="F21448">
        <v>59648644</v>
      </c>
      <c r="G21448">
        <v>59648687</v>
      </c>
      <c r="H21448">
        <v>59648503</v>
      </c>
      <c r="I21448">
        <v>59648537</v>
      </c>
    </row>
    <row r="21449" spans="1:9" x14ac:dyDescent="0.2">
      <c r="A21449" t="str">
        <f>"Trib2"</f>
        <v>Trib2</v>
      </c>
      <c r="B21449" t="s">
        <v>14</v>
      </c>
      <c r="C21449" t="s">
        <v>16</v>
      </c>
      <c r="D21449" t="s">
        <v>11</v>
      </c>
      <c r="E21449" t="s">
        <v>12</v>
      </c>
      <c r="F21449">
        <v>15816762</v>
      </c>
      <c r="G21449">
        <v>15816881</v>
      </c>
      <c r="H21449">
        <v>15816736</v>
      </c>
      <c r="I21449">
        <v>15816747</v>
      </c>
    </row>
    <row r="21450" spans="1:9" x14ac:dyDescent="0.2">
      <c r="A21450" t="str">
        <f>"Trib3"</f>
        <v>Trib3</v>
      </c>
      <c r="B21450" t="s">
        <v>14</v>
      </c>
      <c r="C21450" t="s">
        <v>26</v>
      </c>
      <c r="D21450" t="s">
        <v>11</v>
      </c>
      <c r="E21450" t="s">
        <v>12</v>
      </c>
      <c r="F21450">
        <v>152343982</v>
      </c>
      <c r="G21450">
        <v>152344007</v>
      </c>
      <c r="H21450">
        <v>152344043</v>
      </c>
      <c r="I21450">
        <v>152344068</v>
      </c>
    </row>
    <row r="21451" spans="1:9" x14ac:dyDescent="0.2">
      <c r="A21451" t="str">
        <f>"Tril"</f>
        <v>Tril</v>
      </c>
      <c r="B21451" t="s">
        <v>14</v>
      </c>
      <c r="C21451" t="s">
        <v>32</v>
      </c>
      <c r="D21451" t="s">
        <v>11</v>
      </c>
      <c r="E21451" t="s">
        <v>12</v>
      </c>
      <c r="F21451">
        <v>53820764</v>
      </c>
      <c r="G21451">
        <v>53820837</v>
      </c>
      <c r="H21451">
        <v>53820764</v>
      </c>
      <c r="I21451">
        <v>53820837</v>
      </c>
    </row>
    <row r="21452" spans="1:9" x14ac:dyDescent="0.2">
      <c r="A21452" t="str">
        <f>"Trim10"</f>
        <v>Trim10</v>
      </c>
      <c r="B21452" t="s">
        <v>14</v>
      </c>
      <c r="C21452" t="s">
        <v>28</v>
      </c>
      <c r="D21452" t="s">
        <v>17</v>
      </c>
      <c r="E21452" t="s">
        <v>12</v>
      </c>
      <c r="F21452">
        <v>36869567</v>
      </c>
      <c r="G21452">
        <v>36869581</v>
      </c>
      <c r="H21452">
        <v>36869546</v>
      </c>
      <c r="I21452">
        <v>36869565</v>
      </c>
    </row>
    <row r="21453" spans="1:9" x14ac:dyDescent="0.2">
      <c r="A21453" t="str">
        <f>"Trim11"</f>
        <v>Trim11</v>
      </c>
      <c r="B21453" t="s">
        <v>14</v>
      </c>
      <c r="C21453" t="s">
        <v>27</v>
      </c>
      <c r="D21453" t="s">
        <v>17</v>
      </c>
      <c r="E21453" t="s">
        <v>12</v>
      </c>
      <c r="F21453">
        <v>58978093</v>
      </c>
      <c r="G21453">
        <v>58978149</v>
      </c>
      <c r="H21453">
        <v>58978083</v>
      </c>
      <c r="I21453">
        <v>58978086</v>
      </c>
    </row>
    <row r="21454" spans="1:9" x14ac:dyDescent="0.2">
      <c r="A21454" t="str">
        <f>"Trim12a"</f>
        <v>Trim12a</v>
      </c>
      <c r="B21454" t="s">
        <v>14</v>
      </c>
      <c r="C21454" t="s">
        <v>33</v>
      </c>
      <c r="D21454" t="s">
        <v>11</v>
      </c>
      <c r="E21454" t="s">
        <v>12</v>
      </c>
      <c r="F21454">
        <v>104315374</v>
      </c>
      <c r="G21454">
        <v>104315393</v>
      </c>
      <c r="H21454">
        <v>104315341</v>
      </c>
      <c r="I21454">
        <v>104315347</v>
      </c>
    </row>
    <row r="21455" spans="1:9" x14ac:dyDescent="0.2">
      <c r="A21455" t="str">
        <f>"Trim12c"</f>
        <v>Trim12c</v>
      </c>
      <c r="B21455" t="s">
        <v>14</v>
      </c>
      <c r="C21455" t="s">
        <v>33</v>
      </c>
      <c r="D21455" t="s">
        <v>11</v>
      </c>
      <c r="E21455" t="s">
        <v>12</v>
      </c>
      <c r="F21455">
        <v>104353328</v>
      </c>
      <c r="G21455">
        <v>104353394</v>
      </c>
      <c r="H21455">
        <v>104353328</v>
      </c>
      <c r="I21455">
        <v>104353394</v>
      </c>
    </row>
    <row r="21456" spans="1:9" x14ac:dyDescent="0.2">
      <c r="A21456" t="str">
        <f>"Trim13"</f>
        <v>Trim13</v>
      </c>
      <c r="B21456" t="s">
        <v>14</v>
      </c>
      <c r="C21456" t="s">
        <v>41</v>
      </c>
      <c r="D21456" t="s">
        <v>17</v>
      </c>
      <c r="E21456" t="s">
        <v>12</v>
      </c>
      <c r="F21456">
        <v>61599493</v>
      </c>
      <c r="G21456">
        <v>61599548</v>
      </c>
      <c r="H21456">
        <v>61599550</v>
      </c>
      <c r="I21456">
        <v>61599569</v>
      </c>
    </row>
    <row r="21457" spans="1:9" x14ac:dyDescent="0.2">
      <c r="A21457" t="str">
        <f>"Trim14"</f>
        <v>Trim14</v>
      </c>
      <c r="B21457" t="s">
        <v>14</v>
      </c>
      <c r="C21457" t="s">
        <v>23</v>
      </c>
      <c r="D21457" t="s">
        <v>11</v>
      </c>
      <c r="E21457" t="s">
        <v>12</v>
      </c>
      <c r="F21457">
        <v>46536096</v>
      </c>
      <c r="G21457">
        <v>46536130</v>
      </c>
      <c r="H21457">
        <v>46536134</v>
      </c>
      <c r="I21457">
        <v>46536143</v>
      </c>
    </row>
    <row r="21458" spans="1:9" x14ac:dyDescent="0.2">
      <c r="A21458" t="str">
        <f>"Trim15"</f>
        <v>Trim15</v>
      </c>
      <c r="B21458" t="s">
        <v>14</v>
      </c>
      <c r="C21458" t="s">
        <v>28</v>
      </c>
      <c r="D21458" t="s">
        <v>11</v>
      </c>
      <c r="E21458" t="s">
        <v>12</v>
      </c>
      <c r="F21458">
        <v>36867116</v>
      </c>
      <c r="G21458">
        <v>36867159</v>
      </c>
      <c r="H21458">
        <v>36867202</v>
      </c>
      <c r="I21458">
        <v>36867253</v>
      </c>
    </row>
    <row r="21459" spans="1:9" x14ac:dyDescent="0.2">
      <c r="A21459" t="str">
        <f>"Trim16"</f>
        <v>Trim16</v>
      </c>
      <c r="B21459" t="s">
        <v>14</v>
      </c>
      <c r="C21459" t="s">
        <v>27</v>
      </c>
      <c r="D21459" t="s">
        <v>17</v>
      </c>
      <c r="E21459" t="s">
        <v>12</v>
      </c>
      <c r="F21459">
        <v>62820430</v>
      </c>
      <c r="G21459">
        <v>62820447</v>
      </c>
      <c r="H21459">
        <v>62820471</v>
      </c>
      <c r="I21459">
        <v>62820489</v>
      </c>
    </row>
    <row r="21460" spans="1:9" x14ac:dyDescent="0.2">
      <c r="A21460" t="str">
        <f>"Trim17"</f>
        <v>Trim17</v>
      </c>
      <c r="B21460" t="s">
        <v>14</v>
      </c>
      <c r="C21460" t="s">
        <v>27</v>
      </c>
      <c r="D21460" t="s">
        <v>17</v>
      </c>
      <c r="E21460" t="s">
        <v>12</v>
      </c>
      <c r="F21460">
        <v>58954675</v>
      </c>
      <c r="G21460">
        <v>58954696</v>
      </c>
      <c r="H21460">
        <v>58954718</v>
      </c>
      <c r="I21460">
        <v>58954729</v>
      </c>
    </row>
    <row r="21461" spans="1:9" x14ac:dyDescent="0.2">
      <c r="A21461" t="str">
        <f>"Trim2"</f>
        <v>Trim2</v>
      </c>
      <c r="B21461" t="s">
        <v>9</v>
      </c>
      <c r="C21461" t="s">
        <v>22</v>
      </c>
      <c r="D21461" t="s">
        <v>11</v>
      </c>
      <c r="E21461" t="s">
        <v>12</v>
      </c>
      <c r="F21461">
        <v>84220853</v>
      </c>
      <c r="G21461">
        <v>84220896</v>
      </c>
      <c r="H21461">
        <v>84220853</v>
      </c>
      <c r="I21461">
        <v>84220896</v>
      </c>
    </row>
    <row r="21462" spans="1:9" x14ac:dyDescent="0.2">
      <c r="A21462" t="str">
        <f>"Trim2"</f>
        <v>Trim2</v>
      </c>
      <c r="B21462" t="s">
        <v>13</v>
      </c>
      <c r="C21462" t="s">
        <v>22</v>
      </c>
      <c r="D21462" t="s">
        <v>11</v>
      </c>
      <c r="E21462" t="s">
        <v>12</v>
      </c>
      <c r="F21462">
        <v>84259736</v>
      </c>
      <c r="G21462">
        <v>84259787</v>
      </c>
      <c r="H21462">
        <v>84259736</v>
      </c>
      <c r="I21462">
        <v>84259787</v>
      </c>
    </row>
    <row r="21463" spans="1:9" x14ac:dyDescent="0.2">
      <c r="A21463" t="str">
        <f>"Trim21"</f>
        <v>Trim21</v>
      </c>
      <c r="B21463" t="s">
        <v>14</v>
      </c>
      <c r="C21463" t="s">
        <v>33</v>
      </c>
      <c r="D21463" t="s">
        <v>11</v>
      </c>
      <c r="E21463" t="s">
        <v>12</v>
      </c>
      <c r="F21463">
        <v>102565425</v>
      </c>
      <c r="G21463">
        <v>102565474</v>
      </c>
      <c r="H21463">
        <v>102565482</v>
      </c>
      <c r="I21463">
        <v>102565488</v>
      </c>
    </row>
    <row r="21464" spans="1:9" x14ac:dyDescent="0.2">
      <c r="A21464" t="str">
        <f>"Trim23"</f>
        <v>Trim23</v>
      </c>
      <c r="B21464" t="s">
        <v>14</v>
      </c>
      <c r="C21464" t="s">
        <v>39</v>
      </c>
      <c r="D21464" t="s">
        <v>17</v>
      </c>
      <c r="E21464" t="s">
        <v>12</v>
      </c>
      <c r="F21464">
        <v>104178798</v>
      </c>
      <c r="G21464">
        <v>104178872</v>
      </c>
      <c r="H21464">
        <v>104178798</v>
      </c>
      <c r="I21464">
        <v>104178872</v>
      </c>
    </row>
    <row r="21465" spans="1:9" x14ac:dyDescent="0.2">
      <c r="A21465" t="str">
        <f>"Trim24"</f>
        <v>Trim24</v>
      </c>
      <c r="B21465" t="s">
        <v>14</v>
      </c>
      <c r="C21465" t="s">
        <v>32</v>
      </c>
      <c r="D21465" t="s">
        <v>17</v>
      </c>
      <c r="E21465" t="s">
        <v>12</v>
      </c>
      <c r="F21465">
        <v>37870786</v>
      </c>
      <c r="G21465">
        <v>37870882</v>
      </c>
      <c r="H21465">
        <v>37870995</v>
      </c>
      <c r="I21465">
        <v>37871015</v>
      </c>
    </row>
    <row r="21466" spans="1:9" x14ac:dyDescent="0.2">
      <c r="A21466" t="str">
        <f>"Trim25"</f>
        <v>Trim25</v>
      </c>
      <c r="B21466" t="s">
        <v>14</v>
      </c>
      <c r="C21466" t="s">
        <v>27</v>
      </c>
      <c r="D21466" t="s">
        <v>17</v>
      </c>
      <c r="E21466" t="s">
        <v>12</v>
      </c>
      <c r="F21466">
        <v>88999385</v>
      </c>
      <c r="G21466">
        <v>88999434</v>
      </c>
      <c r="H21466">
        <v>88999442</v>
      </c>
      <c r="I21466">
        <v>88999479</v>
      </c>
    </row>
    <row r="21467" spans="1:9" x14ac:dyDescent="0.2">
      <c r="A21467" t="str">
        <f>"Trim26"</f>
        <v>Trim26</v>
      </c>
      <c r="B21467" t="s">
        <v>14</v>
      </c>
      <c r="C21467" t="s">
        <v>28</v>
      </c>
      <c r="D21467" t="s">
        <v>17</v>
      </c>
      <c r="E21467" t="s">
        <v>12</v>
      </c>
      <c r="F21467">
        <v>36837123</v>
      </c>
      <c r="G21467">
        <v>36837211</v>
      </c>
      <c r="H21467">
        <v>36837123</v>
      </c>
      <c r="I21467">
        <v>36837211</v>
      </c>
    </row>
    <row r="21468" spans="1:9" x14ac:dyDescent="0.2">
      <c r="A21468" t="str">
        <f>"Trim27"</f>
        <v>Trim27</v>
      </c>
      <c r="B21468" t="s">
        <v>14</v>
      </c>
      <c r="C21468" t="s">
        <v>39</v>
      </c>
      <c r="D21468" t="s">
        <v>17</v>
      </c>
      <c r="E21468" t="s">
        <v>12</v>
      </c>
      <c r="F21468">
        <v>21180179</v>
      </c>
      <c r="G21468">
        <v>21180245</v>
      </c>
      <c r="H21468">
        <v>21180390</v>
      </c>
      <c r="I21468">
        <v>21180460</v>
      </c>
    </row>
    <row r="21469" spans="1:9" x14ac:dyDescent="0.2">
      <c r="A21469" t="str">
        <f>"Trim28"</f>
        <v>Trim28</v>
      </c>
      <c r="B21469" t="s">
        <v>14</v>
      </c>
      <c r="C21469" t="s">
        <v>33</v>
      </c>
      <c r="D21469" t="s">
        <v>17</v>
      </c>
      <c r="E21469" t="s">
        <v>12</v>
      </c>
      <c r="F21469">
        <v>13024392</v>
      </c>
      <c r="G21469">
        <v>13024421</v>
      </c>
      <c r="H21469">
        <v>13024368</v>
      </c>
      <c r="I21469">
        <v>13024383</v>
      </c>
    </row>
    <row r="21470" spans="1:9" x14ac:dyDescent="0.2">
      <c r="A21470" t="str">
        <f>"Trim29"</f>
        <v>Trim29</v>
      </c>
      <c r="B21470" t="s">
        <v>14</v>
      </c>
      <c r="C21470" t="s">
        <v>24</v>
      </c>
      <c r="D21470" t="s">
        <v>17</v>
      </c>
      <c r="E21470" t="s">
        <v>12</v>
      </c>
      <c r="F21470">
        <v>43310787</v>
      </c>
      <c r="G21470">
        <v>43310806</v>
      </c>
      <c r="H21470">
        <v>43310807</v>
      </c>
      <c r="I21470">
        <v>43310818</v>
      </c>
    </row>
    <row r="21471" spans="1:9" x14ac:dyDescent="0.2">
      <c r="A21471" t="str">
        <f>"Trim3"</f>
        <v>Trim3</v>
      </c>
      <c r="B21471" t="s">
        <v>14</v>
      </c>
      <c r="C21471" t="s">
        <v>33</v>
      </c>
      <c r="D21471" t="s">
        <v>11</v>
      </c>
      <c r="E21471" t="s">
        <v>12</v>
      </c>
      <c r="F21471">
        <v>105633525</v>
      </c>
      <c r="G21471">
        <v>105633601</v>
      </c>
      <c r="H21471">
        <v>105633479</v>
      </c>
      <c r="I21471">
        <v>105633521</v>
      </c>
    </row>
    <row r="21472" spans="1:9" x14ac:dyDescent="0.2">
      <c r="A21472" t="str">
        <f>"Trim30a"</f>
        <v>Trim30a</v>
      </c>
      <c r="B21472" t="s">
        <v>14</v>
      </c>
      <c r="C21472" t="s">
        <v>33</v>
      </c>
      <c r="D21472" t="s">
        <v>11</v>
      </c>
      <c r="E21472" t="s">
        <v>12</v>
      </c>
      <c r="F21472">
        <v>104465141</v>
      </c>
      <c r="G21472">
        <v>104465175</v>
      </c>
      <c r="H21472">
        <v>104465129</v>
      </c>
      <c r="I21472">
        <v>104465138</v>
      </c>
    </row>
    <row r="21473" spans="1:9" x14ac:dyDescent="0.2">
      <c r="A21473" t="str">
        <f>"Trim30b"</f>
        <v>Trim30b</v>
      </c>
      <c r="B21473" t="s">
        <v>14</v>
      </c>
      <c r="C21473" t="s">
        <v>33</v>
      </c>
      <c r="D21473" t="s">
        <v>11</v>
      </c>
      <c r="E21473" t="s">
        <v>12</v>
      </c>
      <c r="F21473">
        <v>104369838</v>
      </c>
      <c r="G21473">
        <v>104369876</v>
      </c>
      <c r="H21473">
        <v>104369884</v>
      </c>
      <c r="I21473">
        <v>104369896</v>
      </c>
    </row>
    <row r="21474" spans="1:9" x14ac:dyDescent="0.2">
      <c r="A21474" t="str">
        <f>"Trim30c"</f>
        <v>Trim30c</v>
      </c>
      <c r="B21474" t="s">
        <v>5952</v>
      </c>
      <c r="C21474" t="s">
        <v>33</v>
      </c>
      <c r="D21474" t="s">
        <v>11</v>
      </c>
      <c r="E21474" t="s">
        <v>20</v>
      </c>
      <c r="F21474">
        <v>104390585</v>
      </c>
      <c r="G21474">
        <v>104390585</v>
      </c>
      <c r="H21474">
        <v>104390585</v>
      </c>
      <c r="I21474">
        <v>104390585</v>
      </c>
    </row>
    <row r="21475" spans="1:9" x14ac:dyDescent="0.2">
      <c r="A21475" t="str">
        <f>"Trim30d"</f>
        <v>Trim30d</v>
      </c>
      <c r="B21475" t="s">
        <v>14</v>
      </c>
      <c r="C21475" t="s">
        <v>33</v>
      </c>
      <c r="D21475" t="s">
        <v>11</v>
      </c>
      <c r="E21475" t="s">
        <v>12</v>
      </c>
      <c r="F21475">
        <v>104507812</v>
      </c>
      <c r="G21475">
        <v>104507836</v>
      </c>
      <c r="H21475">
        <v>104507799</v>
      </c>
      <c r="I21475">
        <v>104507810</v>
      </c>
    </row>
    <row r="21476" spans="1:9" x14ac:dyDescent="0.2">
      <c r="A21476" t="str">
        <f>"Trim31"</f>
        <v>Trim31</v>
      </c>
      <c r="B21476" t="s">
        <v>14</v>
      </c>
      <c r="C21476" t="s">
        <v>28</v>
      </c>
      <c r="D21476" t="s">
        <v>17</v>
      </c>
      <c r="E21476" t="s">
        <v>12</v>
      </c>
      <c r="F21476">
        <v>36898110</v>
      </c>
      <c r="G21476">
        <v>36898129</v>
      </c>
      <c r="H21476">
        <v>36898110</v>
      </c>
      <c r="I21476">
        <v>36898129</v>
      </c>
    </row>
    <row r="21477" spans="1:9" x14ac:dyDescent="0.2">
      <c r="A21477" t="str">
        <f>"Trim32"</f>
        <v>Trim32</v>
      </c>
      <c r="B21477" t="s">
        <v>14</v>
      </c>
      <c r="C21477" t="s">
        <v>23</v>
      </c>
      <c r="D21477" t="s">
        <v>17</v>
      </c>
      <c r="E21477" t="s">
        <v>12</v>
      </c>
      <c r="F21477">
        <v>65604984</v>
      </c>
      <c r="G21477">
        <v>65605052</v>
      </c>
      <c r="H21477">
        <v>65605054</v>
      </c>
      <c r="I21477">
        <v>65605061</v>
      </c>
    </row>
    <row r="21478" spans="1:9" x14ac:dyDescent="0.2">
      <c r="A21478" t="str">
        <f>"Trim33"</f>
        <v>Trim33</v>
      </c>
      <c r="B21478" t="s">
        <v>14</v>
      </c>
      <c r="C21478" t="s">
        <v>22</v>
      </c>
      <c r="D21478" t="s">
        <v>17</v>
      </c>
      <c r="E21478" t="s">
        <v>12</v>
      </c>
      <c r="F21478">
        <v>103279714</v>
      </c>
      <c r="G21478">
        <v>103279780</v>
      </c>
      <c r="H21478">
        <v>103279781</v>
      </c>
      <c r="I21478">
        <v>103279798</v>
      </c>
    </row>
    <row r="21479" spans="1:9" x14ac:dyDescent="0.2">
      <c r="A21479" t="str">
        <f>"Trim34a"</f>
        <v>Trim34a</v>
      </c>
      <c r="B21479" t="s">
        <v>14</v>
      </c>
      <c r="C21479" t="s">
        <v>33</v>
      </c>
      <c r="D21479" t="s">
        <v>17</v>
      </c>
      <c r="E21479" t="s">
        <v>12</v>
      </c>
      <c r="F21479">
        <v>104244496</v>
      </c>
      <c r="G21479">
        <v>104244552</v>
      </c>
      <c r="H21479">
        <v>104244465</v>
      </c>
      <c r="I21479">
        <v>104244491</v>
      </c>
    </row>
    <row r="21480" spans="1:9" x14ac:dyDescent="0.2">
      <c r="A21480" t="str">
        <f>"Trim34b"</f>
        <v>Trim34b</v>
      </c>
      <c r="B21480" t="s">
        <v>5953</v>
      </c>
      <c r="C21480" t="s">
        <v>33</v>
      </c>
      <c r="D21480" t="s">
        <v>17</v>
      </c>
      <c r="E21480" t="s">
        <v>20</v>
      </c>
      <c r="F21480">
        <v>104300229</v>
      </c>
      <c r="G21480">
        <v>104300229</v>
      </c>
      <c r="H21480">
        <v>104300229</v>
      </c>
      <c r="I21480">
        <v>104300229</v>
      </c>
    </row>
    <row r="21481" spans="1:9" x14ac:dyDescent="0.2">
      <c r="A21481" t="str">
        <f>"Trim34b"</f>
        <v>Trim34b</v>
      </c>
      <c r="B21481" t="s">
        <v>5954</v>
      </c>
      <c r="C21481" t="s">
        <v>33</v>
      </c>
      <c r="D21481" t="s">
        <v>17</v>
      </c>
      <c r="E21481" t="s">
        <v>20</v>
      </c>
      <c r="F21481">
        <v>104329470</v>
      </c>
      <c r="G21481">
        <v>104329470</v>
      </c>
      <c r="H21481">
        <v>104329470</v>
      </c>
      <c r="I21481">
        <v>104329470</v>
      </c>
    </row>
    <row r="21482" spans="1:9" x14ac:dyDescent="0.2">
      <c r="A21482" t="str">
        <f>"Trim35"</f>
        <v>Trim35</v>
      </c>
      <c r="B21482" t="s">
        <v>14</v>
      </c>
      <c r="C21482" t="s">
        <v>41</v>
      </c>
      <c r="D21482" t="s">
        <v>17</v>
      </c>
      <c r="E21482" t="s">
        <v>12</v>
      </c>
      <c r="F21482">
        <v>66297029</v>
      </c>
      <c r="G21482">
        <v>66297083</v>
      </c>
      <c r="H21482">
        <v>66297016</v>
      </c>
      <c r="I21482">
        <v>66297027</v>
      </c>
    </row>
    <row r="21483" spans="1:9" x14ac:dyDescent="0.2">
      <c r="A21483" t="str">
        <f>"Trim36"</f>
        <v>Trim36</v>
      </c>
      <c r="B21483" t="s">
        <v>14</v>
      </c>
      <c r="C21483" t="s">
        <v>43</v>
      </c>
      <c r="D21483" t="s">
        <v>11</v>
      </c>
      <c r="E21483" t="s">
        <v>12</v>
      </c>
      <c r="F21483">
        <v>46198810</v>
      </c>
      <c r="G21483">
        <v>46198824</v>
      </c>
      <c r="H21483">
        <v>46198838</v>
      </c>
      <c r="I21483">
        <v>46198863</v>
      </c>
    </row>
    <row r="21484" spans="1:9" x14ac:dyDescent="0.2">
      <c r="A21484" t="str">
        <f>"Trim37"</f>
        <v>Trim37</v>
      </c>
      <c r="B21484" t="s">
        <v>14</v>
      </c>
      <c r="C21484" t="s">
        <v>27</v>
      </c>
      <c r="D21484" t="s">
        <v>17</v>
      </c>
      <c r="E21484" t="s">
        <v>12</v>
      </c>
      <c r="F21484">
        <v>87127052</v>
      </c>
      <c r="G21484">
        <v>87127105</v>
      </c>
      <c r="H21484">
        <v>87127172</v>
      </c>
      <c r="I21484">
        <v>87127264</v>
      </c>
    </row>
    <row r="21485" spans="1:9" x14ac:dyDescent="0.2">
      <c r="A21485" t="str">
        <f>"Trim38"</f>
        <v>Trim38</v>
      </c>
      <c r="B21485" t="s">
        <v>5955</v>
      </c>
      <c r="C21485" t="s">
        <v>39</v>
      </c>
      <c r="D21485" t="s">
        <v>17</v>
      </c>
      <c r="E21485" t="s">
        <v>20</v>
      </c>
      <c r="F21485">
        <v>23782571</v>
      </c>
      <c r="G21485">
        <v>23782571</v>
      </c>
      <c r="H21485">
        <v>23782571</v>
      </c>
      <c r="I21485">
        <v>23782571</v>
      </c>
    </row>
    <row r="21486" spans="1:9" x14ac:dyDescent="0.2">
      <c r="A21486" t="str">
        <f>"Trim39"</f>
        <v>Trim39</v>
      </c>
      <c r="B21486" t="s">
        <v>14</v>
      </c>
      <c r="C21486" t="s">
        <v>28</v>
      </c>
      <c r="D21486" t="s">
        <v>11</v>
      </c>
      <c r="E21486" t="s">
        <v>12</v>
      </c>
      <c r="F21486">
        <v>36271877</v>
      </c>
      <c r="G21486">
        <v>36271921</v>
      </c>
      <c r="H21486">
        <v>36271829</v>
      </c>
      <c r="I21486">
        <v>36271857</v>
      </c>
    </row>
    <row r="21487" spans="1:9" x14ac:dyDescent="0.2">
      <c r="A21487" t="str">
        <f>"Trim40"</f>
        <v>Trim40</v>
      </c>
      <c r="B21487" t="s">
        <v>14</v>
      </c>
      <c r="C21487" t="s">
        <v>28</v>
      </c>
      <c r="D21487" t="s">
        <v>11</v>
      </c>
      <c r="E21487" t="s">
        <v>12</v>
      </c>
      <c r="F21487">
        <v>36890133</v>
      </c>
      <c r="G21487">
        <v>36890161</v>
      </c>
      <c r="H21487">
        <v>36890133</v>
      </c>
      <c r="I21487">
        <v>36890161</v>
      </c>
    </row>
    <row r="21488" spans="1:9" x14ac:dyDescent="0.2">
      <c r="A21488" t="str">
        <f>"Trim41"</f>
        <v>Trim41</v>
      </c>
      <c r="B21488" t="s">
        <v>14</v>
      </c>
      <c r="C21488" t="s">
        <v>27</v>
      </c>
      <c r="D21488" t="s">
        <v>11</v>
      </c>
      <c r="E21488" t="s">
        <v>12</v>
      </c>
      <c r="F21488">
        <v>48817332</v>
      </c>
      <c r="G21488">
        <v>48817389</v>
      </c>
      <c r="H21488">
        <v>48816905</v>
      </c>
      <c r="I21488">
        <v>48816928</v>
      </c>
    </row>
    <row r="21489" spans="1:9" x14ac:dyDescent="0.2">
      <c r="A21489" t="str">
        <f>"Trim42"</f>
        <v>Trim42</v>
      </c>
      <c r="B21489" t="s">
        <v>14</v>
      </c>
      <c r="C21489" t="s">
        <v>24</v>
      </c>
      <c r="D21489" t="s">
        <v>11</v>
      </c>
      <c r="E21489" t="s">
        <v>12</v>
      </c>
      <c r="F21489">
        <v>97370000</v>
      </c>
      <c r="G21489">
        <v>97370021</v>
      </c>
      <c r="H21489">
        <v>97370000</v>
      </c>
      <c r="I21489">
        <v>97370021</v>
      </c>
    </row>
    <row r="21490" spans="1:9" x14ac:dyDescent="0.2">
      <c r="A21490" t="str">
        <f>"Trim43a"</f>
        <v>Trim43a</v>
      </c>
      <c r="B21490" t="s">
        <v>5956</v>
      </c>
      <c r="C21490" t="s">
        <v>24</v>
      </c>
      <c r="D21490" t="s">
        <v>17</v>
      </c>
      <c r="E21490" t="s">
        <v>20</v>
      </c>
      <c r="F21490">
        <v>88581035</v>
      </c>
      <c r="G21490">
        <v>88581035</v>
      </c>
      <c r="H21490">
        <v>88581035</v>
      </c>
      <c r="I21490">
        <v>88581035</v>
      </c>
    </row>
    <row r="21491" spans="1:9" x14ac:dyDescent="0.2">
      <c r="A21491" t="str">
        <f>"Trim43b"</f>
        <v>Trim43b</v>
      </c>
      <c r="B21491" t="s">
        <v>14</v>
      </c>
      <c r="C21491" t="s">
        <v>24</v>
      </c>
      <c r="D21491" t="s">
        <v>11</v>
      </c>
      <c r="E21491" t="s">
        <v>12</v>
      </c>
      <c r="F21491">
        <v>89092688</v>
      </c>
      <c r="G21491">
        <v>89092689</v>
      </c>
      <c r="H21491">
        <v>89092688</v>
      </c>
      <c r="I21491">
        <v>89092689</v>
      </c>
    </row>
    <row r="21492" spans="1:9" x14ac:dyDescent="0.2">
      <c r="A21492" t="str">
        <f>"Trim43c"</f>
        <v>Trim43c</v>
      </c>
      <c r="B21492" t="s">
        <v>5957</v>
      </c>
      <c r="C21492" t="s">
        <v>24</v>
      </c>
      <c r="D21492" t="s">
        <v>17</v>
      </c>
      <c r="E21492" t="s">
        <v>20</v>
      </c>
      <c r="F21492">
        <v>88839163</v>
      </c>
      <c r="G21492">
        <v>88839163</v>
      </c>
      <c r="H21492">
        <v>88839163</v>
      </c>
      <c r="I21492">
        <v>88839163</v>
      </c>
    </row>
    <row r="21493" spans="1:9" x14ac:dyDescent="0.2">
      <c r="A21493" t="str">
        <f>"Trim44"</f>
        <v>Trim44</v>
      </c>
      <c r="B21493" t="s">
        <v>14</v>
      </c>
      <c r="C21493" t="s">
        <v>26</v>
      </c>
      <c r="D21493" t="s">
        <v>11</v>
      </c>
      <c r="E21493" t="s">
        <v>12</v>
      </c>
      <c r="F21493">
        <v>102400863</v>
      </c>
      <c r="G21493">
        <v>102400970</v>
      </c>
      <c r="H21493">
        <v>102400991</v>
      </c>
      <c r="I21493">
        <v>102401109</v>
      </c>
    </row>
    <row r="21494" spans="1:9" x14ac:dyDescent="0.2">
      <c r="A21494" t="str">
        <f>"Trim45"</f>
        <v>Trim45</v>
      </c>
      <c r="B21494" t="s">
        <v>14</v>
      </c>
      <c r="C21494" t="s">
        <v>22</v>
      </c>
      <c r="D21494" t="s">
        <v>17</v>
      </c>
      <c r="E21494" t="s">
        <v>12</v>
      </c>
      <c r="F21494">
        <v>100922436</v>
      </c>
      <c r="G21494">
        <v>100922473</v>
      </c>
      <c r="H21494">
        <v>100922482</v>
      </c>
      <c r="I21494">
        <v>100922499</v>
      </c>
    </row>
    <row r="21495" spans="1:9" x14ac:dyDescent="0.2">
      <c r="A21495" t="str">
        <f>"Trim46"</f>
        <v>Trim46</v>
      </c>
      <c r="B21495" t="s">
        <v>14</v>
      </c>
      <c r="C21495" t="s">
        <v>22</v>
      </c>
      <c r="D21495" t="s">
        <v>11</v>
      </c>
      <c r="E21495" t="s">
        <v>12</v>
      </c>
      <c r="F21495">
        <v>89245829</v>
      </c>
      <c r="G21495">
        <v>89245899</v>
      </c>
      <c r="H21495">
        <v>89245159</v>
      </c>
      <c r="I21495">
        <v>89245193</v>
      </c>
    </row>
    <row r="21496" spans="1:9" x14ac:dyDescent="0.2">
      <c r="A21496" t="str">
        <f>"Trim47"</f>
        <v>Trim47</v>
      </c>
      <c r="B21496" t="s">
        <v>14</v>
      </c>
      <c r="C21496" t="s">
        <v>27</v>
      </c>
      <c r="D21496" t="s">
        <v>11</v>
      </c>
      <c r="E21496" t="s">
        <v>12</v>
      </c>
      <c r="F21496">
        <v>116110211</v>
      </c>
      <c r="G21496">
        <v>116110259</v>
      </c>
      <c r="H21496">
        <v>116110267</v>
      </c>
      <c r="I21496">
        <v>116110281</v>
      </c>
    </row>
    <row r="21497" spans="1:9" x14ac:dyDescent="0.2">
      <c r="A21497" t="str">
        <f>"Trim5"</f>
        <v>Trim5</v>
      </c>
      <c r="B21497" t="s">
        <v>5958</v>
      </c>
      <c r="C21497" t="s">
        <v>33</v>
      </c>
      <c r="D21497" t="s">
        <v>11</v>
      </c>
      <c r="E21497" t="s">
        <v>20</v>
      </c>
      <c r="F21497">
        <v>104279731</v>
      </c>
      <c r="G21497">
        <v>104279731</v>
      </c>
      <c r="H21497">
        <v>104279731</v>
      </c>
      <c r="I21497">
        <v>104279731</v>
      </c>
    </row>
    <row r="21498" spans="1:9" x14ac:dyDescent="0.2">
      <c r="A21498" t="str">
        <f>"Trim5"</f>
        <v>Trim5</v>
      </c>
      <c r="B21498" t="s">
        <v>5959</v>
      </c>
      <c r="C21498" t="s">
        <v>33</v>
      </c>
      <c r="D21498" t="s">
        <v>11</v>
      </c>
      <c r="E21498" t="s">
        <v>20</v>
      </c>
      <c r="F21498">
        <v>104288093</v>
      </c>
      <c r="G21498">
        <v>104288093</v>
      </c>
      <c r="H21498">
        <v>104288093</v>
      </c>
      <c r="I21498">
        <v>104288093</v>
      </c>
    </row>
    <row r="21499" spans="1:9" x14ac:dyDescent="0.2">
      <c r="A21499" t="str">
        <f>"Trim50"</f>
        <v>Trim50</v>
      </c>
      <c r="B21499" t="s">
        <v>5960</v>
      </c>
      <c r="C21499" t="s">
        <v>46</v>
      </c>
      <c r="D21499" t="s">
        <v>17</v>
      </c>
      <c r="E21499" t="s">
        <v>20</v>
      </c>
      <c r="F21499">
        <v>135353294</v>
      </c>
      <c r="G21499">
        <v>135353294</v>
      </c>
      <c r="H21499">
        <v>135353294</v>
      </c>
      <c r="I21499">
        <v>135353294</v>
      </c>
    </row>
    <row r="21500" spans="1:9" x14ac:dyDescent="0.2">
      <c r="A21500" t="str">
        <f>"Trim52"</f>
        <v>Trim52</v>
      </c>
      <c r="B21500" t="s">
        <v>14</v>
      </c>
      <c r="C21500" t="s">
        <v>41</v>
      </c>
      <c r="D21500" t="s">
        <v>17</v>
      </c>
      <c r="E21500" t="s">
        <v>12</v>
      </c>
      <c r="F21500">
        <v>106106183</v>
      </c>
      <c r="G21500">
        <v>106106205</v>
      </c>
      <c r="H21500">
        <v>106106220</v>
      </c>
      <c r="I21500">
        <v>106106228</v>
      </c>
    </row>
    <row r="21501" spans="1:9" x14ac:dyDescent="0.2">
      <c r="A21501" t="str">
        <f>"Trim54"</f>
        <v>Trim54</v>
      </c>
      <c r="B21501" t="s">
        <v>14</v>
      </c>
      <c r="C21501" t="s">
        <v>46</v>
      </c>
      <c r="D21501" t="s">
        <v>17</v>
      </c>
      <c r="E21501" t="s">
        <v>12</v>
      </c>
      <c r="F21501">
        <v>31116602</v>
      </c>
      <c r="G21501">
        <v>31116618</v>
      </c>
      <c r="H21501">
        <v>31116568</v>
      </c>
      <c r="I21501">
        <v>31116581</v>
      </c>
    </row>
    <row r="21502" spans="1:9" x14ac:dyDescent="0.2">
      <c r="A21502" t="str">
        <f>"Trim55"</f>
        <v>Trim55</v>
      </c>
      <c r="B21502" t="s">
        <v>14</v>
      </c>
      <c r="C21502" t="s">
        <v>22</v>
      </c>
      <c r="D21502" t="s">
        <v>17</v>
      </c>
      <c r="E21502" t="s">
        <v>12</v>
      </c>
      <c r="F21502">
        <v>19644452</v>
      </c>
      <c r="G21502">
        <v>19644466</v>
      </c>
      <c r="H21502">
        <v>19644452</v>
      </c>
      <c r="I21502">
        <v>19644466</v>
      </c>
    </row>
    <row r="21503" spans="1:9" x14ac:dyDescent="0.2">
      <c r="A21503" t="str">
        <f>"Trim56"</f>
        <v>Trim56</v>
      </c>
      <c r="B21503" t="s">
        <v>14</v>
      </c>
      <c r="C21503" t="s">
        <v>46</v>
      </c>
      <c r="D21503" t="s">
        <v>11</v>
      </c>
      <c r="E21503" t="s">
        <v>12</v>
      </c>
      <c r="F21503">
        <v>137116177</v>
      </c>
      <c r="G21503">
        <v>137116219</v>
      </c>
      <c r="H21503">
        <v>137116249</v>
      </c>
      <c r="I21503">
        <v>137116271</v>
      </c>
    </row>
    <row r="21504" spans="1:9" x14ac:dyDescent="0.2">
      <c r="A21504" t="str">
        <f>"Trim58"</f>
        <v>Trim58</v>
      </c>
      <c r="B21504" t="s">
        <v>14</v>
      </c>
      <c r="C21504" t="s">
        <v>27</v>
      </c>
      <c r="D21504" t="s">
        <v>17</v>
      </c>
      <c r="E21504" t="s">
        <v>12</v>
      </c>
      <c r="F21504">
        <v>58640394</v>
      </c>
      <c r="G21504">
        <v>58640430</v>
      </c>
      <c r="H21504">
        <v>58640434</v>
      </c>
      <c r="I21504">
        <v>58640443</v>
      </c>
    </row>
    <row r="21505" spans="1:9" x14ac:dyDescent="0.2">
      <c r="A21505" t="str">
        <f>"Trim59"</f>
        <v>Trim59</v>
      </c>
      <c r="B21505" t="s">
        <v>14</v>
      </c>
      <c r="C21505" t="s">
        <v>22</v>
      </c>
      <c r="D21505" t="s">
        <v>11</v>
      </c>
      <c r="E21505" t="s">
        <v>12</v>
      </c>
      <c r="F21505">
        <v>69044697</v>
      </c>
      <c r="G21505">
        <v>69044763</v>
      </c>
      <c r="H21505">
        <v>69044697</v>
      </c>
      <c r="I21505">
        <v>69044763</v>
      </c>
    </row>
    <row r="21506" spans="1:9" x14ac:dyDescent="0.2">
      <c r="A21506" t="str">
        <f>"Trim6"</f>
        <v>Trim6</v>
      </c>
      <c r="B21506" t="s">
        <v>14</v>
      </c>
      <c r="C21506" t="s">
        <v>33</v>
      </c>
      <c r="D21506" t="s">
        <v>17</v>
      </c>
      <c r="E21506" t="s">
        <v>12</v>
      </c>
      <c r="F21506">
        <v>104218787</v>
      </c>
      <c r="G21506">
        <v>104218826</v>
      </c>
      <c r="H21506">
        <v>104218827</v>
      </c>
      <c r="I21506">
        <v>104218849</v>
      </c>
    </row>
    <row r="21507" spans="1:9" x14ac:dyDescent="0.2">
      <c r="A21507" t="str">
        <f>"Trim60"</f>
        <v>Trim60</v>
      </c>
      <c r="B21507" t="s">
        <v>14</v>
      </c>
      <c r="C21507" t="s">
        <v>30</v>
      </c>
      <c r="D21507" t="s">
        <v>11</v>
      </c>
      <c r="E21507" t="s">
        <v>67</v>
      </c>
      <c r="F21507">
        <v>65018579</v>
      </c>
      <c r="G21507">
        <v>65018588</v>
      </c>
      <c r="H21507">
        <v>65018579</v>
      </c>
      <c r="I21507">
        <v>65018588</v>
      </c>
    </row>
    <row r="21508" spans="1:9" x14ac:dyDescent="0.2">
      <c r="A21508" t="str">
        <f>"Trim61"</f>
        <v>Trim61</v>
      </c>
      <c r="B21508" t="s">
        <v>14</v>
      </c>
      <c r="C21508" t="s">
        <v>30</v>
      </c>
      <c r="D21508" t="s">
        <v>11</v>
      </c>
      <c r="E21508" t="s">
        <v>12</v>
      </c>
      <c r="F21508">
        <v>65018579</v>
      </c>
      <c r="G21508">
        <v>65018588</v>
      </c>
      <c r="H21508">
        <v>65018579</v>
      </c>
      <c r="I21508">
        <v>65018588</v>
      </c>
    </row>
    <row r="21509" spans="1:9" x14ac:dyDescent="0.2">
      <c r="A21509" t="str">
        <f>"Trim62"</f>
        <v>Trim62</v>
      </c>
      <c r="B21509" t="s">
        <v>14</v>
      </c>
      <c r="C21509" t="s">
        <v>23</v>
      </c>
      <c r="D21509" t="s">
        <v>17</v>
      </c>
      <c r="E21509" t="s">
        <v>12</v>
      </c>
      <c r="F21509">
        <v>128883549</v>
      </c>
      <c r="G21509">
        <v>128883611</v>
      </c>
      <c r="H21509">
        <v>128884140</v>
      </c>
      <c r="I21509">
        <v>128884169</v>
      </c>
    </row>
    <row r="21510" spans="1:9" x14ac:dyDescent="0.2">
      <c r="A21510" t="str">
        <f>"Trim63"</f>
        <v>Trim63</v>
      </c>
      <c r="B21510" t="s">
        <v>14</v>
      </c>
      <c r="C21510" t="s">
        <v>23</v>
      </c>
      <c r="D21510" t="s">
        <v>17</v>
      </c>
      <c r="E21510" t="s">
        <v>12</v>
      </c>
      <c r="F21510">
        <v>134315112</v>
      </c>
      <c r="G21510">
        <v>134315126</v>
      </c>
      <c r="H21510">
        <v>134315112</v>
      </c>
      <c r="I21510">
        <v>134315126</v>
      </c>
    </row>
    <row r="21511" spans="1:9" x14ac:dyDescent="0.2">
      <c r="A21511" t="str">
        <f>"Trim65"</f>
        <v>Trim65</v>
      </c>
      <c r="B21511" t="s">
        <v>14</v>
      </c>
      <c r="C21511" t="s">
        <v>27</v>
      </c>
      <c r="D21511" t="s">
        <v>11</v>
      </c>
      <c r="E21511" t="s">
        <v>12</v>
      </c>
      <c r="F21511">
        <v>116131001</v>
      </c>
      <c r="G21511">
        <v>116131041</v>
      </c>
      <c r="H21511">
        <v>116131073</v>
      </c>
      <c r="I21511">
        <v>116131100</v>
      </c>
    </row>
    <row r="21512" spans="1:9" x14ac:dyDescent="0.2">
      <c r="A21512" t="str">
        <f>"Trim66"</f>
        <v>Trim66</v>
      </c>
      <c r="B21512" t="s">
        <v>14</v>
      </c>
      <c r="C21512" t="s">
        <v>33</v>
      </c>
      <c r="D21512" t="s">
        <v>11</v>
      </c>
      <c r="E21512" t="s">
        <v>12</v>
      </c>
      <c r="F21512">
        <v>109494037</v>
      </c>
      <c r="G21512">
        <v>109494067</v>
      </c>
      <c r="H21512">
        <v>109493627</v>
      </c>
      <c r="I21512">
        <v>109493641</v>
      </c>
    </row>
    <row r="21513" spans="1:9" x14ac:dyDescent="0.2">
      <c r="A21513" t="str">
        <f>"Trim67"</f>
        <v>Trim67</v>
      </c>
      <c r="B21513" t="s">
        <v>14</v>
      </c>
      <c r="C21513" t="s">
        <v>30</v>
      </c>
      <c r="D21513" t="s">
        <v>17</v>
      </c>
      <c r="E21513" t="s">
        <v>12</v>
      </c>
      <c r="F21513">
        <v>124793013</v>
      </c>
      <c r="G21513">
        <v>124793056</v>
      </c>
      <c r="H21513">
        <v>124793013</v>
      </c>
      <c r="I21513">
        <v>124793056</v>
      </c>
    </row>
    <row r="21514" spans="1:9" x14ac:dyDescent="0.2">
      <c r="A21514" t="str">
        <f>"Trim68"</f>
        <v>Trim68</v>
      </c>
      <c r="B21514" t="s">
        <v>14</v>
      </c>
      <c r="C21514" t="s">
        <v>33</v>
      </c>
      <c r="D21514" t="s">
        <v>11</v>
      </c>
      <c r="E21514" t="s">
        <v>12</v>
      </c>
      <c r="F21514">
        <v>102687252</v>
      </c>
      <c r="G21514">
        <v>102687298</v>
      </c>
      <c r="H21514">
        <v>102687211</v>
      </c>
      <c r="I21514">
        <v>102687251</v>
      </c>
    </row>
    <row r="21515" spans="1:9" x14ac:dyDescent="0.2">
      <c r="A21515" t="str">
        <f>"Trim69"</f>
        <v>Trim69</v>
      </c>
      <c r="B21515" t="s">
        <v>14</v>
      </c>
      <c r="C21515" t="s">
        <v>26</v>
      </c>
      <c r="D21515" t="s">
        <v>17</v>
      </c>
      <c r="E21515" t="s">
        <v>12</v>
      </c>
      <c r="F21515">
        <v>122160701</v>
      </c>
      <c r="G21515">
        <v>122160737</v>
      </c>
      <c r="H21515">
        <v>122160683</v>
      </c>
      <c r="I21515">
        <v>122160693</v>
      </c>
    </row>
    <row r="21516" spans="1:9" x14ac:dyDescent="0.2">
      <c r="A21516" t="str">
        <f>"Trim7"</f>
        <v>Trim7</v>
      </c>
      <c r="B21516" t="s">
        <v>14</v>
      </c>
      <c r="C21516" t="s">
        <v>27</v>
      </c>
      <c r="D21516" t="s">
        <v>17</v>
      </c>
      <c r="E21516" t="s">
        <v>12</v>
      </c>
      <c r="F21516">
        <v>48837465</v>
      </c>
      <c r="G21516">
        <v>48837481</v>
      </c>
      <c r="H21516">
        <v>48837492</v>
      </c>
      <c r="I21516">
        <v>48837513</v>
      </c>
    </row>
    <row r="21517" spans="1:9" x14ac:dyDescent="0.2">
      <c r="A21517" t="str">
        <f>"Trim71"</f>
        <v>Trim71</v>
      </c>
      <c r="B21517" t="s">
        <v>14</v>
      </c>
      <c r="C21517" t="s">
        <v>24</v>
      </c>
      <c r="D21517" t="s">
        <v>11</v>
      </c>
      <c r="E21517" t="s">
        <v>12</v>
      </c>
      <c r="F21517">
        <v>114564315</v>
      </c>
      <c r="G21517">
        <v>114564334</v>
      </c>
      <c r="H21517">
        <v>114564340</v>
      </c>
      <c r="I21517">
        <v>114564350</v>
      </c>
    </row>
    <row r="21518" spans="1:9" x14ac:dyDescent="0.2">
      <c r="A21518" t="str">
        <f>"Trim72"</f>
        <v>Trim72</v>
      </c>
      <c r="B21518" t="s">
        <v>14</v>
      </c>
      <c r="C21518" t="s">
        <v>33</v>
      </c>
      <c r="D21518" t="s">
        <v>17</v>
      </c>
      <c r="E21518" t="s">
        <v>12</v>
      </c>
      <c r="F21518">
        <v>128003911</v>
      </c>
      <c r="G21518">
        <v>128004002</v>
      </c>
      <c r="H21518">
        <v>128003889</v>
      </c>
      <c r="I21518">
        <v>128003896</v>
      </c>
    </row>
    <row r="21519" spans="1:9" x14ac:dyDescent="0.2">
      <c r="A21519" t="str">
        <f>"Trim75"</f>
        <v>Trim75</v>
      </c>
      <c r="B21519" t="s">
        <v>5961</v>
      </c>
      <c r="C21519" t="s">
        <v>30</v>
      </c>
      <c r="D21519" t="s">
        <v>11</v>
      </c>
      <c r="E21519" t="s">
        <v>20</v>
      </c>
      <c r="F21519">
        <v>64987645</v>
      </c>
      <c r="G21519">
        <v>64987645</v>
      </c>
      <c r="H21519">
        <v>64987645</v>
      </c>
      <c r="I21519">
        <v>64987645</v>
      </c>
    </row>
    <row r="21520" spans="1:9" x14ac:dyDescent="0.2">
      <c r="A21520" t="str">
        <f>"Trim8"</f>
        <v>Trim8</v>
      </c>
      <c r="B21520" t="s">
        <v>14</v>
      </c>
      <c r="C21520" t="s">
        <v>10</v>
      </c>
      <c r="D21520" t="s">
        <v>17</v>
      </c>
      <c r="E21520" t="s">
        <v>12</v>
      </c>
      <c r="F21520">
        <v>46501738</v>
      </c>
      <c r="G21520">
        <v>46501773</v>
      </c>
      <c r="H21520">
        <v>46501715</v>
      </c>
      <c r="I21520">
        <v>46501733</v>
      </c>
    </row>
    <row r="21521" spans="1:9" x14ac:dyDescent="0.2">
      <c r="A21521" t="str">
        <f>"Trim9"</f>
        <v>Trim9</v>
      </c>
      <c r="B21521" t="s">
        <v>14</v>
      </c>
      <c r="C21521" t="s">
        <v>16</v>
      </c>
      <c r="D21521" t="s">
        <v>11</v>
      </c>
      <c r="E21521" t="s">
        <v>12</v>
      </c>
      <c r="F21521">
        <v>70347300</v>
      </c>
      <c r="G21521">
        <v>70347360</v>
      </c>
      <c r="H21521">
        <v>70347719</v>
      </c>
      <c r="I21521">
        <v>70347758</v>
      </c>
    </row>
    <row r="21522" spans="1:9" x14ac:dyDescent="0.2">
      <c r="A21522" t="str">
        <f>"Triml1"</f>
        <v>Triml1</v>
      </c>
      <c r="B21522" t="s">
        <v>14</v>
      </c>
      <c r="C21522" t="s">
        <v>30</v>
      </c>
      <c r="D21522" t="s">
        <v>11</v>
      </c>
      <c r="E21522" t="s">
        <v>12</v>
      </c>
      <c r="F21522">
        <v>43141486</v>
      </c>
      <c r="G21522">
        <v>43141506</v>
      </c>
      <c r="H21522">
        <v>43141509</v>
      </c>
      <c r="I21522">
        <v>43141530</v>
      </c>
    </row>
    <row r="21523" spans="1:9" x14ac:dyDescent="0.2">
      <c r="A21523" t="str">
        <f>"Triml2"</f>
        <v>Triml2</v>
      </c>
      <c r="B21523" t="s">
        <v>14</v>
      </c>
      <c r="C21523" t="s">
        <v>30</v>
      </c>
      <c r="D21523" t="s">
        <v>17</v>
      </c>
      <c r="E21523" t="s">
        <v>12</v>
      </c>
      <c r="F21523">
        <v>43180529</v>
      </c>
      <c r="G21523">
        <v>43180546</v>
      </c>
      <c r="H21523">
        <v>43180517</v>
      </c>
      <c r="I21523">
        <v>43180524</v>
      </c>
    </row>
    <row r="21524" spans="1:9" x14ac:dyDescent="0.2">
      <c r="A21524" t="str">
        <f>"Trio"</f>
        <v>Trio</v>
      </c>
      <c r="B21524" t="s">
        <v>14</v>
      </c>
      <c r="C21524" t="s">
        <v>25</v>
      </c>
      <c r="D21524" t="s">
        <v>11</v>
      </c>
      <c r="E21524" t="s">
        <v>12</v>
      </c>
      <c r="F21524">
        <v>28025834</v>
      </c>
      <c r="G21524">
        <v>28025879</v>
      </c>
      <c r="H21524">
        <v>28025894</v>
      </c>
      <c r="I21524">
        <v>28025924</v>
      </c>
    </row>
    <row r="21525" spans="1:9" x14ac:dyDescent="0.2">
      <c r="A21525" t="str">
        <f>"Triobp"</f>
        <v>Triobp</v>
      </c>
      <c r="B21525" t="s">
        <v>14</v>
      </c>
      <c r="C21525" t="s">
        <v>25</v>
      </c>
      <c r="D21525" t="s">
        <v>17</v>
      </c>
      <c r="E21525" t="s">
        <v>12</v>
      </c>
      <c r="F21525">
        <v>78983048</v>
      </c>
      <c r="G21525">
        <v>78983120</v>
      </c>
      <c r="H21525">
        <v>78983048</v>
      </c>
      <c r="I21525">
        <v>78983120</v>
      </c>
    </row>
    <row r="21526" spans="1:9" x14ac:dyDescent="0.2">
      <c r="A21526" t="str">
        <f>"Trip10"</f>
        <v>Trip10</v>
      </c>
      <c r="B21526" t="s">
        <v>14</v>
      </c>
      <c r="C21526" t="s">
        <v>28</v>
      </c>
      <c r="D21526" t="s">
        <v>17</v>
      </c>
      <c r="E21526" t="s">
        <v>12</v>
      </c>
      <c r="F21526">
        <v>57249450</v>
      </c>
      <c r="G21526">
        <v>57249522</v>
      </c>
      <c r="H21526">
        <v>57249450</v>
      </c>
      <c r="I21526">
        <v>57249522</v>
      </c>
    </row>
    <row r="21527" spans="1:9" x14ac:dyDescent="0.2">
      <c r="A21527" t="str">
        <f>"Trip11"</f>
        <v>Trip11</v>
      </c>
      <c r="B21527" t="s">
        <v>14</v>
      </c>
      <c r="C21527" t="s">
        <v>16</v>
      </c>
      <c r="D21527" t="s">
        <v>11</v>
      </c>
      <c r="E21527" t="s">
        <v>12</v>
      </c>
      <c r="F21527">
        <v>101913116</v>
      </c>
      <c r="G21527">
        <v>101913161</v>
      </c>
      <c r="H21527">
        <v>101913116</v>
      </c>
      <c r="I21527">
        <v>101913161</v>
      </c>
    </row>
    <row r="21528" spans="1:9" x14ac:dyDescent="0.2">
      <c r="A21528" t="str">
        <f>"Trip12"</f>
        <v>Trip12</v>
      </c>
      <c r="B21528" t="s">
        <v>14</v>
      </c>
      <c r="C21528" t="s">
        <v>19</v>
      </c>
      <c r="D21528" t="s">
        <v>11</v>
      </c>
      <c r="E21528" t="s">
        <v>12</v>
      </c>
      <c r="F21528">
        <v>84839322</v>
      </c>
      <c r="G21528">
        <v>84839391</v>
      </c>
      <c r="H21528">
        <v>84839420</v>
      </c>
      <c r="I21528">
        <v>84839441</v>
      </c>
    </row>
    <row r="21529" spans="1:9" x14ac:dyDescent="0.2">
      <c r="A21529" t="str">
        <f>"Trip13"</f>
        <v>Trip13</v>
      </c>
      <c r="B21529" t="s">
        <v>14</v>
      </c>
      <c r="C21529" t="s">
        <v>39</v>
      </c>
      <c r="D21529" t="s">
        <v>11</v>
      </c>
      <c r="E21529" t="s">
        <v>12</v>
      </c>
      <c r="F21529">
        <v>73937655</v>
      </c>
      <c r="G21529">
        <v>73937715</v>
      </c>
      <c r="H21529">
        <v>73937719</v>
      </c>
      <c r="I21529">
        <v>73937744</v>
      </c>
    </row>
    <row r="21530" spans="1:9" x14ac:dyDescent="0.2">
      <c r="A21530" t="str">
        <f>"Trip4"</f>
        <v>Trip4</v>
      </c>
      <c r="B21530" t="s">
        <v>9</v>
      </c>
      <c r="C21530" t="s">
        <v>24</v>
      </c>
      <c r="D21530" t="s">
        <v>11</v>
      </c>
      <c r="E21530" t="s">
        <v>12</v>
      </c>
      <c r="F21530">
        <v>65885024</v>
      </c>
      <c r="G21530">
        <v>65885069</v>
      </c>
      <c r="H21530">
        <v>65885024</v>
      </c>
      <c r="I21530">
        <v>65885069</v>
      </c>
    </row>
    <row r="21531" spans="1:9" x14ac:dyDescent="0.2">
      <c r="A21531" t="str">
        <f>"Trip4"</f>
        <v>Trip4</v>
      </c>
      <c r="B21531" t="s">
        <v>13</v>
      </c>
      <c r="C21531" t="s">
        <v>24</v>
      </c>
      <c r="D21531" t="s">
        <v>11</v>
      </c>
      <c r="E21531" t="s">
        <v>12</v>
      </c>
      <c r="F21531">
        <v>65908779</v>
      </c>
      <c r="G21531">
        <v>65908798</v>
      </c>
      <c r="H21531">
        <v>65908779</v>
      </c>
      <c r="I21531">
        <v>65908798</v>
      </c>
    </row>
    <row r="21532" spans="1:9" x14ac:dyDescent="0.2">
      <c r="A21532" t="str">
        <f>"Trip6"</f>
        <v>Trip6</v>
      </c>
      <c r="B21532" t="s">
        <v>14</v>
      </c>
      <c r="C21532" t="s">
        <v>46</v>
      </c>
      <c r="D21532" t="s">
        <v>11</v>
      </c>
      <c r="E21532" t="s">
        <v>12</v>
      </c>
      <c r="F21532">
        <v>137314175</v>
      </c>
      <c r="G21532">
        <v>137314212</v>
      </c>
      <c r="H21532">
        <v>137314159</v>
      </c>
      <c r="I21532">
        <v>137314171</v>
      </c>
    </row>
    <row r="21533" spans="1:9" x14ac:dyDescent="0.2">
      <c r="A21533" t="str">
        <f>"Triqk"</f>
        <v>Triqk</v>
      </c>
      <c r="B21533" t="s">
        <v>14</v>
      </c>
      <c r="C21533" t="s">
        <v>23</v>
      </c>
      <c r="D21533" t="s">
        <v>17</v>
      </c>
      <c r="E21533" t="s">
        <v>67</v>
      </c>
      <c r="F21533">
        <v>12906840</v>
      </c>
      <c r="G21533">
        <v>12906881</v>
      </c>
      <c r="H21533">
        <v>12906822</v>
      </c>
      <c r="I21533">
        <v>12906828</v>
      </c>
    </row>
    <row r="21534" spans="1:9" x14ac:dyDescent="0.2">
      <c r="A21534" t="str">
        <f>"Trit1"</f>
        <v>Trit1</v>
      </c>
      <c r="B21534" t="s">
        <v>14</v>
      </c>
      <c r="C21534" t="s">
        <v>23</v>
      </c>
      <c r="D21534" t="s">
        <v>17</v>
      </c>
      <c r="E21534" t="s">
        <v>12</v>
      </c>
      <c r="F21534">
        <v>123016590</v>
      </c>
      <c r="G21534">
        <v>123016613</v>
      </c>
      <c r="H21534">
        <v>123016632</v>
      </c>
      <c r="I21534">
        <v>123016639</v>
      </c>
    </row>
    <row r="21535" spans="1:9" x14ac:dyDescent="0.2">
      <c r="A21535" t="str">
        <f>"Trmt1"</f>
        <v>Trmt1</v>
      </c>
      <c r="B21535" t="s">
        <v>14</v>
      </c>
      <c r="C21535" t="s">
        <v>30</v>
      </c>
      <c r="D21535" t="s">
        <v>17</v>
      </c>
      <c r="E21535" t="s">
        <v>12</v>
      </c>
      <c r="F21535">
        <v>84689269</v>
      </c>
      <c r="G21535">
        <v>84689303</v>
      </c>
      <c r="H21535">
        <v>84689308</v>
      </c>
      <c r="I21535">
        <v>84689318</v>
      </c>
    </row>
    <row r="21536" spans="1:9" x14ac:dyDescent="0.2">
      <c r="A21536" t="str">
        <f>"Trmt10a"</f>
        <v>Trmt10a</v>
      </c>
      <c r="B21536" t="s">
        <v>14</v>
      </c>
      <c r="C21536" t="s">
        <v>22</v>
      </c>
      <c r="D21536" t="s">
        <v>17</v>
      </c>
      <c r="E21536" t="s">
        <v>67</v>
      </c>
      <c r="F21536">
        <v>138143429</v>
      </c>
      <c r="G21536">
        <v>138143477</v>
      </c>
      <c r="H21536">
        <v>138143846</v>
      </c>
      <c r="I21536">
        <v>138143886</v>
      </c>
    </row>
    <row r="21537" spans="1:9" x14ac:dyDescent="0.2">
      <c r="A21537" t="str">
        <f>"Trmt10b"</f>
        <v>Trmt10b</v>
      </c>
      <c r="B21537" t="s">
        <v>14</v>
      </c>
      <c r="C21537" t="s">
        <v>23</v>
      </c>
      <c r="D21537" t="s">
        <v>17</v>
      </c>
      <c r="E21537" t="s">
        <v>67</v>
      </c>
      <c r="F21537">
        <v>45297150</v>
      </c>
      <c r="G21537">
        <v>45297175</v>
      </c>
      <c r="H21537">
        <v>45297150</v>
      </c>
      <c r="I21537">
        <v>45297175</v>
      </c>
    </row>
    <row r="21538" spans="1:9" x14ac:dyDescent="0.2">
      <c r="A21538" t="str">
        <f>"Trmt10c"</f>
        <v>Trmt10c</v>
      </c>
      <c r="B21538" t="s">
        <v>14</v>
      </c>
      <c r="C21538" t="s">
        <v>31</v>
      </c>
      <c r="D21538" t="s">
        <v>11</v>
      </c>
      <c r="E21538" t="s">
        <v>67</v>
      </c>
      <c r="F21538">
        <v>56037728</v>
      </c>
      <c r="G21538">
        <v>56037810</v>
      </c>
      <c r="H21538">
        <v>56037518</v>
      </c>
      <c r="I21538">
        <v>56037547</v>
      </c>
    </row>
    <row r="21539" spans="1:9" x14ac:dyDescent="0.2">
      <c r="A21539" t="str">
        <f>"Trmt11"</f>
        <v>Trmt11</v>
      </c>
      <c r="B21539" t="s">
        <v>14</v>
      </c>
      <c r="C21539" t="s">
        <v>15</v>
      </c>
      <c r="D21539" t="s">
        <v>11</v>
      </c>
      <c r="E21539" t="s">
        <v>12</v>
      </c>
      <c r="F21539">
        <v>30600662</v>
      </c>
      <c r="G21539">
        <v>30600701</v>
      </c>
      <c r="H21539">
        <v>30600662</v>
      </c>
      <c r="I21539">
        <v>30600701</v>
      </c>
    </row>
    <row r="21540" spans="1:9" x14ac:dyDescent="0.2">
      <c r="A21540" t="str">
        <f>"Trmt112"</f>
        <v>Trmt112</v>
      </c>
      <c r="B21540" t="s">
        <v>14</v>
      </c>
      <c r="C21540" t="s">
        <v>10</v>
      </c>
      <c r="D21540" t="s">
        <v>17</v>
      </c>
      <c r="E21540" t="s">
        <v>12</v>
      </c>
      <c r="F21540">
        <v>6910119</v>
      </c>
      <c r="G21540">
        <v>6910146</v>
      </c>
      <c r="H21540">
        <v>6909722</v>
      </c>
      <c r="I21540">
        <v>6909760</v>
      </c>
    </row>
    <row r="21541" spans="1:9" x14ac:dyDescent="0.2">
      <c r="A21541" t="str">
        <f>"Trmt12"</f>
        <v>Trmt12</v>
      </c>
      <c r="B21541" t="s">
        <v>14</v>
      </c>
      <c r="C21541" t="s">
        <v>25</v>
      </c>
      <c r="D21541" t="s">
        <v>17</v>
      </c>
      <c r="E21541" t="s">
        <v>12</v>
      </c>
      <c r="F21541">
        <v>58872646</v>
      </c>
      <c r="G21541">
        <v>58872696</v>
      </c>
      <c r="H21541">
        <v>58872584</v>
      </c>
      <c r="I21541">
        <v>58872588</v>
      </c>
    </row>
    <row r="21542" spans="1:9" x14ac:dyDescent="0.2">
      <c r="A21542" t="str">
        <f>"Trmt13"</f>
        <v>Trmt13</v>
      </c>
      <c r="B21542" t="s">
        <v>5962</v>
      </c>
      <c r="C21542" t="s">
        <v>22</v>
      </c>
      <c r="D21542" t="s">
        <v>11</v>
      </c>
      <c r="E21542" t="s">
        <v>20</v>
      </c>
      <c r="F21542">
        <v>116614586</v>
      </c>
      <c r="G21542">
        <v>116614586</v>
      </c>
      <c r="H21542">
        <v>116614586</v>
      </c>
      <c r="I21542">
        <v>116614586</v>
      </c>
    </row>
    <row r="21543" spans="1:9" x14ac:dyDescent="0.2">
      <c r="A21543" t="str">
        <f>"Trmt1l"</f>
        <v>Trmt1l</v>
      </c>
      <c r="B21543" t="s">
        <v>14</v>
      </c>
      <c r="C21543" t="s">
        <v>19</v>
      </c>
      <c r="D21543" t="s">
        <v>17</v>
      </c>
      <c r="E21543" t="s">
        <v>67</v>
      </c>
      <c r="F21543">
        <v>151428612</v>
      </c>
      <c r="G21543">
        <v>151428718</v>
      </c>
      <c r="H21543">
        <v>151428527</v>
      </c>
      <c r="I21543">
        <v>151428563</v>
      </c>
    </row>
    <row r="21544" spans="1:9" x14ac:dyDescent="0.2">
      <c r="A21544" t="str">
        <f>"Trmt2a"</f>
        <v>Trmt2a</v>
      </c>
      <c r="B21544" t="s">
        <v>14</v>
      </c>
      <c r="C21544" t="s">
        <v>31</v>
      </c>
      <c r="D21544" t="s">
        <v>17</v>
      </c>
      <c r="E21544" t="s">
        <v>12</v>
      </c>
      <c r="F21544">
        <v>18248961</v>
      </c>
      <c r="G21544">
        <v>18249041</v>
      </c>
      <c r="H21544">
        <v>18248866</v>
      </c>
      <c r="I21544">
        <v>18248919</v>
      </c>
    </row>
    <row r="21545" spans="1:9" x14ac:dyDescent="0.2">
      <c r="A21545" t="str">
        <f>"Trmt2b"</f>
        <v>Trmt2b</v>
      </c>
      <c r="B21545" t="s">
        <v>14</v>
      </c>
      <c r="C21545" t="s">
        <v>37</v>
      </c>
      <c r="D21545" t="s">
        <v>11</v>
      </c>
      <c r="E21545" t="s">
        <v>12</v>
      </c>
      <c r="F21545">
        <v>134276888</v>
      </c>
      <c r="G21545">
        <v>134276968</v>
      </c>
      <c r="H21545">
        <v>134276969</v>
      </c>
      <c r="I21545">
        <v>134276980</v>
      </c>
    </row>
    <row r="21546" spans="1:9" x14ac:dyDescent="0.2">
      <c r="A21546" t="str">
        <f>"Trmt44"</f>
        <v>Trmt44</v>
      </c>
      <c r="B21546" t="s">
        <v>14</v>
      </c>
      <c r="C21546" t="s">
        <v>46</v>
      </c>
      <c r="D21546" t="s">
        <v>11</v>
      </c>
      <c r="E21546" t="s">
        <v>67</v>
      </c>
      <c r="F21546">
        <v>35575046</v>
      </c>
      <c r="G21546">
        <v>35575083</v>
      </c>
      <c r="H21546">
        <v>35575046</v>
      </c>
      <c r="I21546">
        <v>35575083</v>
      </c>
    </row>
    <row r="21547" spans="1:9" x14ac:dyDescent="0.2">
      <c r="A21547" t="str">
        <f>"Trmt5"</f>
        <v>Trmt5</v>
      </c>
      <c r="B21547" t="s">
        <v>14</v>
      </c>
      <c r="C21547" t="s">
        <v>16</v>
      </c>
      <c r="D21547" t="s">
        <v>11</v>
      </c>
      <c r="E21547" t="s">
        <v>12</v>
      </c>
      <c r="F21547">
        <v>73286698</v>
      </c>
      <c r="G21547">
        <v>73286752</v>
      </c>
      <c r="H21547">
        <v>73286677</v>
      </c>
      <c r="I21547">
        <v>73286691</v>
      </c>
    </row>
    <row r="21548" spans="1:9" x14ac:dyDescent="0.2">
      <c r="A21548" t="str">
        <f>"Trmt6"</f>
        <v>Trmt6</v>
      </c>
      <c r="B21548" t="s">
        <v>14</v>
      </c>
      <c r="C21548" t="s">
        <v>26</v>
      </c>
      <c r="D21548" t="s">
        <v>11</v>
      </c>
      <c r="E21548" t="s">
        <v>12</v>
      </c>
      <c r="F21548">
        <v>132815978</v>
      </c>
      <c r="G21548">
        <v>132816052</v>
      </c>
      <c r="H21548">
        <v>132815949</v>
      </c>
      <c r="I21548">
        <v>132815954</v>
      </c>
    </row>
    <row r="21549" spans="1:9" x14ac:dyDescent="0.2">
      <c r="A21549" t="str">
        <f>"Trmt61a"</f>
        <v>Trmt61a</v>
      </c>
      <c r="B21549" t="s">
        <v>14</v>
      </c>
      <c r="C21549" t="s">
        <v>16</v>
      </c>
      <c r="D21549" t="s">
        <v>17</v>
      </c>
      <c r="E21549" t="s">
        <v>12</v>
      </c>
      <c r="F21549">
        <v>111678094</v>
      </c>
      <c r="G21549">
        <v>111678140</v>
      </c>
      <c r="H21549">
        <v>111678146</v>
      </c>
      <c r="I21549">
        <v>111678160</v>
      </c>
    </row>
    <row r="21550" spans="1:9" x14ac:dyDescent="0.2">
      <c r="A21550" t="str">
        <f>"Trmu"</f>
        <v>Trmu</v>
      </c>
      <c r="B21550" t="s">
        <v>14</v>
      </c>
      <c r="C21550" t="s">
        <v>25</v>
      </c>
      <c r="D21550" t="s">
        <v>17</v>
      </c>
      <c r="E21550" t="s">
        <v>12</v>
      </c>
      <c r="F21550">
        <v>85879306</v>
      </c>
      <c r="G21550">
        <v>85879372</v>
      </c>
      <c r="H21550">
        <v>85879306</v>
      </c>
      <c r="I21550">
        <v>85879372</v>
      </c>
    </row>
    <row r="21551" spans="1:9" x14ac:dyDescent="0.2">
      <c r="A21551" t="str">
        <f>"Trnau1ap"</f>
        <v>Trnau1ap</v>
      </c>
      <c r="B21551" t="s">
        <v>14</v>
      </c>
      <c r="C21551" t="s">
        <v>23</v>
      </c>
      <c r="D21551" t="s">
        <v>11</v>
      </c>
      <c r="E21551" t="s">
        <v>12</v>
      </c>
      <c r="F21551">
        <v>132329475</v>
      </c>
      <c r="G21551">
        <v>132329542</v>
      </c>
      <c r="H21551">
        <v>132329475</v>
      </c>
      <c r="I21551">
        <v>132329542</v>
      </c>
    </row>
    <row r="21552" spans="1:9" x14ac:dyDescent="0.2">
      <c r="A21552" t="str">
        <f>"Trnp1"</f>
        <v>Trnp1</v>
      </c>
      <c r="B21552" t="s">
        <v>14</v>
      </c>
      <c r="C21552" t="s">
        <v>23</v>
      </c>
      <c r="D21552" t="s">
        <v>11</v>
      </c>
      <c r="E21552" t="s">
        <v>12</v>
      </c>
      <c r="F21552">
        <v>133498514</v>
      </c>
      <c r="G21552">
        <v>133498531</v>
      </c>
      <c r="H21552">
        <v>133498538</v>
      </c>
      <c r="I21552">
        <v>133498556</v>
      </c>
    </row>
    <row r="21553" spans="1:9" x14ac:dyDescent="0.2">
      <c r="A21553" t="str">
        <f>"Trnt1"</f>
        <v>Trnt1</v>
      </c>
      <c r="B21553" t="s">
        <v>14</v>
      </c>
      <c r="C21553" t="s">
        <v>32</v>
      </c>
      <c r="D21553" t="s">
        <v>17</v>
      </c>
      <c r="E21553" t="s">
        <v>12</v>
      </c>
      <c r="F21553">
        <v>106769131</v>
      </c>
      <c r="G21553">
        <v>106769234</v>
      </c>
      <c r="H21553">
        <v>106769131</v>
      </c>
      <c r="I21553">
        <v>106769234</v>
      </c>
    </row>
    <row r="21554" spans="1:9" x14ac:dyDescent="0.2">
      <c r="A21554" t="str">
        <f>"Tro"</f>
        <v>Tro</v>
      </c>
      <c r="B21554" t="s">
        <v>14</v>
      </c>
      <c r="C21554" t="s">
        <v>37</v>
      </c>
      <c r="D21554" t="s">
        <v>11</v>
      </c>
      <c r="E21554" t="s">
        <v>12</v>
      </c>
      <c r="F21554">
        <v>150657392</v>
      </c>
      <c r="G21554">
        <v>150657407</v>
      </c>
      <c r="H21554">
        <v>150657366</v>
      </c>
      <c r="I21554">
        <v>150657377</v>
      </c>
    </row>
    <row r="21555" spans="1:9" x14ac:dyDescent="0.2">
      <c r="A21555" t="str">
        <f>"Troap"</f>
        <v>Troap</v>
      </c>
      <c r="B21555" t="s">
        <v>14</v>
      </c>
      <c r="C21555" t="s">
        <v>25</v>
      </c>
      <c r="D21555" t="s">
        <v>17</v>
      </c>
      <c r="E21555" t="s">
        <v>12</v>
      </c>
      <c r="F21555">
        <v>99074968</v>
      </c>
      <c r="G21555">
        <v>99075005</v>
      </c>
      <c r="H21555">
        <v>99075006</v>
      </c>
      <c r="I21555">
        <v>99075022</v>
      </c>
    </row>
    <row r="21556" spans="1:9" x14ac:dyDescent="0.2">
      <c r="A21556" t="str">
        <f>"Trove2"</f>
        <v>Trove2</v>
      </c>
      <c r="B21556" t="s">
        <v>14</v>
      </c>
      <c r="C21556" t="s">
        <v>19</v>
      </c>
      <c r="D21556" t="s">
        <v>11</v>
      </c>
      <c r="E21556" t="s">
        <v>12</v>
      </c>
      <c r="F21556">
        <v>143776973</v>
      </c>
      <c r="G21556">
        <v>143777039</v>
      </c>
      <c r="H21556">
        <v>143776973</v>
      </c>
      <c r="I21556">
        <v>143777039</v>
      </c>
    </row>
    <row r="21557" spans="1:9" x14ac:dyDescent="0.2">
      <c r="A21557" t="str">
        <f>"Trp53"</f>
        <v>Trp53</v>
      </c>
      <c r="B21557" t="s">
        <v>14</v>
      </c>
      <c r="C21557" t="s">
        <v>27</v>
      </c>
      <c r="D21557" t="s">
        <v>17</v>
      </c>
      <c r="E21557" t="s">
        <v>12</v>
      </c>
      <c r="F21557">
        <v>69580392</v>
      </c>
      <c r="G21557">
        <v>69580419</v>
      </c>
      <c r="H21557">
        <v>69580366</v>
      </c>
      <c r="I21557">
        <v>69580382</v>
      </c>
    </row>
    <row r="21558" spans="1:9" x14ac:dyDescent="0.2">
      <c r="A21558" t="str">
        <f>"Trp53bp1"</f>
        <v>Trp53bp1</v>
      </c>
      <c r="B21558" t="s">
        <v>14</v>
      </c>
      <c r="C21558" t="s">
        <v>26</v>
      </c>
      <c r="D21558" t="s">
        <v>11</v>
      </c>
      <c r="E21558" t="s">
        <v>12</v>
      </c>
      <c r="F21558">
        <v>121271355</v>
      </c>
      <c r="G21558">
        <v>121271397</v>
      </c>
      <c r="H21558">
        <v>121271355</v>
      </c>
      <c r="I21558">
        <v>121271397</v>
      </c>
    </row>
    <row r="21559" spans="1:9" x14ac:dyDescent="0.2">
      <c r="A21559" t="str">
        <f>"Trp53bp2"</f>
        <v>Trp53bp2</v>
      </c>
      <c r="B21559" t="s">
        <v>14</v>
      </c>
      <c r="C21559" t="s">
        <v>19</v>
      </c>
      <c r="D21559" t="s">
        <v>17</v>
      </c>
      <c r="E21559" t="s">
        <v>12</v>
      </c>
      <c r="F21559">
        <v>182409162</v>
      </c>
      <c r="G21559">
        <v>182409184</v>
      </c>
      <c r="H21559">
        <v>182409192</v>
      </c>
      <c r="I21559">
        <v>182409209</v>
      </c>
    </row>
    <row r="21560" spans="1:9" x14ac:dyDescent="0.2">
      <c r="A21560" t="str">
        <f>"Trp53i11"</f>
        <v>Trp53i11</v>
      </c>
      <c r="B21560" t="s">
        <v>14</v>
      </c>
      <c r="C21560" t="s">
        <v>26</v>
      </c>
      <c r="D21560" t="s">
        <v>17</v>
      </c>
      <c r="E21560" t="s">
        <v>12</v>
      </c>
      <c r="F21560">
        <v>93187574</v>
      </c>
      <c r="G21560">
        <v>93187641</v>
      </c>
      <c r="H21560">
        <v>93187542</v>
      </c>
      <c r="I21560">
        <v>93187553</v>
      </c>
    </row>
    <row r="21561" spans="1:9" x14ac:dyDescent="0.2">
      <c r="A21561" t="str">
        <f>"Trp53i13"</f>
        <v>Trp53i13</v>
      </c>
      <c r="B21561" t="s">
        <v>14</v>
      </c>
      <c r="C21561" t="s">
        <v>27</v>
      </c>
      <c r="D21561" t="s">
        <v>11</v>
      </c>
      <c r="E21561" t="s">
        <v>12</v>
      </c>
      <c r="F21561">
        <v>77513245</v>
      </c>
      <c r="G21561">
        <v>77513304</v>
      </c>
      <c r="H21561">
        <v>77513335</v>
      </c>
      <c r="I21561">
        <v>77513348</v>
      </c>
    </row>
    <row r="21562" spans="1:9" x14ac:dyDescent="0.2">
      <c r="A21562" t="str">
        <f>"Trp53inp1"</f>
        <v>Trp53inp1</v>
      </c>
      <c r="B21562" t="s">
        <v>14</v>
      </c>
      <c r="C21562" t="s">
        <v>23</v>
      </c>
      <c r="D21562" t="s">
        <v>17</v>
      </c>
      <c r="E21562" t="s">
        <v>12</v>
      </c>
      <c r="F21562">
        <v>11156411</v>
      </c>
      <c r="G21562">
        <v>11156453</v>
      </c>
      <c r="H21562">
        <v>11156468</v>
      </c>
      <c r="I21562">
        <v>11156483</v>
      </c>
    </row>
    <row r="21563" spans="1:9" x14ac:dyDescent="0.2">
      <c r="A21563" t="str">
        <f>"Trp53inp2"</f>
        <v>Trp53inp2</v>
      </c>
      <c r="B21563" t="s">
        <v>14</v>
      </c>
      <c r="C21563" t="s">
        <v>26</v>
      </c>
      <c r="D21563" t="s">
        <v>17</v>
      </c>
      <c r="E21563" t="s">
        <v>12</v>
      </c>
      <c r="F21563">
        <v>155381808</v>
      </c>
      <c r="G21563">
        <v>155381884</v>
      </c>
      <c r="H21563">
        <v>155382186</v>
      </c>
      <c r="I21563">
        <v>155382274</v>
      </c>
    </row>
    <row r="21564" spans="1:9" x14ac:dyDescent="0.2">
      <c r="A21564" t="str">
        <f>"Trp53rk"</f>
        <v>Trp53rk</v>
      </c>
      <c r="B21564" t="s">
        <v>9</v>
      </c>
      <c r="C21564" t="s">
        <v>26</v>
      </c>
      <c r="D21564" t="s">
        <v>17</v>
      </c>
      <c r="E21564" t="s">
        <v>12</v>
      </c>
      <c r="F21564">
        <v>166793784</v>
      </c>
      <c r="G21564">
        <v>166793813</v>
      </c>
      <c r="H21564">
        <v>166793784</v>
      </c>
      <c r="I21564">
        <v>166793813</v>
      </c>
    </row>
    <row r="21565" spans="1:9" x14ac:dyDescent="0.2">
      <c r="A21565" t="str">
        <f>"Trp53rk"</f>
        <v>Trp53rk</v>
      </c>
      <c r="B21565" t="s">
        <v>13</v>
      </c>
      <c r="C21565" t="s">
        <v>26</v>
      </c>
      <c r="D21565" t="s">
        <v>17</v>
      </c>
      <c r="E21565" t="s">
        <v>12</v>
      </c>
      <c r="F21565">
        <v>166792525</v>
      </c>
      <c r="G21565">
        <v>166792536</v>
      </c>
      <c r="H21565">
        <v>166792525</v>
      </c>
      <c r="I21565">
        <v>166792536</v>
      </c>
    </row>
    <row r="21566" spans="1:9" x14ac:dyDescent="0.2">
      <c r="A21566" t="str">
        <f>"Trp53tg5"</f>
        <v>Trp53tg5</v>
      </c>
      <c r="B21566" t="s">
        <v>14</v>
      </c>
      <c r="C21566" t="s">
        <v>26</v>
      </c>
      <c r="D21566" t="s">
        <v>11</v>
      </c>
      <c r="E21566" t="s">
        <v>67</v>
      </c>
      <c r="F21566">
        <v>164473714</v>
      </c>
      <c r="G21566">
        <v>164473730</v>
      </c>
      <c r="H21566">
        <v>164473701</v>
      </c>
      <c r="I21566">
        <v>164473712</v>
      </c>
    </row>
    <row r="21567" spans="1:9" x14ac:dyDescent="0.2">
      <c r="A21567" t="str">
        <f>"Trp63"</f>
        <v>Trp63</v>
      </c>
      <c r="B21567" t="s">
        <v>14</v>
      </c>
      <c r="C21567" t="s">
        <v>31</v>
      </c>
      <c r="D21567" t="s">
        <v>17</v>
      </c>
      <c r="E21567" t="s">
        <v>12</v>
      </c>
      <c r="F21567">
        <v>25801907</v>
      </c>
      <c r="G21567">
        <v>25801928</v>
      </c>
      <c r="H21567">
        <v>25801907</v>
      </c>
      <c r="I21567">
        <v>25801928</v>
      </c>
    </row>
    <row r="21568" spans="1:9" x14ac:dyDescent="0.2">
      <c r="A21568" t="str">
        <f>"Trp73"</f>
        <v>Trp73</v>
      </c>
      <c r="B21568" t="s">
        <v>9</v>
      </c>
      <c r="C21568" t="s">
        <v>23</v>
      </c>
      <c r="D21568" t="s">
        <v>11</v>
      </c>
      <c r="E21568" t="s">
        <v>12</v>
      </c>
      <c r="F21568">
        <v>154139872</v>
      </c>
      <c r="G21568">
        <v>154139878</v>
      </c>
      <c r="H21568">
        <v>154139872</v>
      </c>
      <c r="I21568">
        <v>154139878</v>
      </c>
    </row>
    <row r="21569" spans="1:9" x14ac:dyDescent="0.2">
      <c r="A21569" t="str">
        <f>"Trp73"</f>
        <v>Trp73</v>
      </c>
      <c r="B21569" t="s">
        <v>13</v>
      </c>
      <c r="C21569" t="s">
        <v>23</v>
      </c>
      <c r="D21569" t="s">
        <v>11</v>
      </c>
      <c r="E21569" t="s">
        <v>12</v>
      </c>
      <c r="F21569">
        <v>154097147</v>
      </c>
      <c r="G21569">
        <v>154097162</v>
      </c>
      <c r="H21569">
        <v>154097147</v>
      </c>
      <c r="I21569">
        <v>154097162</v>
      </c>
    </row>
    <row r="21570" spans="1:9" x14ac:dyDescent="0.2">
      <c r="A21570" t="str">
        <f>"Trpa1"</f>
        <v>Trpa1</v>
      </c>
      <c r="B21570" t="s">
        <v>14</v>
      </c>
      <c r="C21570" t="s">
        <v>19</v>
      </c>
      <c r="D21570" t="s">
        <v>11</v>
      </c>
      <c r="E21570" t="s">
        <v>12</v>
      </c>
      <c r="F21570">
        <v>14918991</v>
      </c>
      <c r="G21570">
        <v>14919001</v>
      </c>
      <c r="H21570">
        <v>14918991</v>
      </c>
      <c r="I21570">
        <v>14919001</v>
      </c>
    </row>
    <row r="21571" spans="1:9" x14ac:dyDescent="0.2">
      <c r="A21571" t="str">
        <f>"Trpc1"</f>
        <v>Trpc1</v>
      </c>
      <c r="B21571" t="s">
        <v>14</v>
      </c>
      <c r="C21571" t="s">
        <v>24</v>
      </c>
      <c r="D21571" t="s">
        <v>11</v>
      </c>
      <c r="E21571" t="s">
        <v>12</v>
      </c>
      <c r="F21571">
        <v>95750295</v>
      </c>
      <c r="G21571">
        <v>95750333</v>
      </c>
      <c r="H21571">
        <v>95750335</v>
      </c>
      <c r="I21571">
        <v>95750368</v>
      </c>
    </row>
    <row r="21572" spans="1:9" x14ac:dyDescent="0.2">
      <c r="A21572" t="str">
        <f>"Trpc2"</f>
        <v>Trpc2</v>
      </c>
      <c r="B21572" t="s">
        <v>14</v>
      </c>
      <c r="C21572" t="s">
        <v>33</v>
      </c>
      <c r="D21572" t="s">
        <v>17</v>
      </c>
      <c r="E21572" t="s">
        <v>12</v>
      </c>
      <c r="F21572">
        <v>102065485</v>
      </c>
      <c r="G21572">
        <v>102065527</v>
      </c>
      <c r="H21572">
        <v>102065738</v>
      </c>
      <c r="I21572">
        <v>102065771</v>
      </c>
    </row>
    <row r="21573" spans="1:9" x14ac:dyDescent="0.2">
      <c r="A21573" t="str">
        <f>"Trpc3"</f>
        <v>Trpc3</v>
      </c>
      <c r="B21573" t="s">
        <v>14</v>
      </c>
      <c r="C21573" t="s">
        <v>22</v>
      </c>
      <c r="D21573" t="s">
        <v>11</v>
      </c>
      <c r="E21573" t="s">
        <v>12</v>
      </c>
      <c r="F21573">
        <v>36690118</v>
      </c>
      <c r="G21573">
        <v>36690172</v>
      </c>
      <c r="H21573">
        <v>36690183</v>
      </c>
      <c r="I21573">
        <v>36690192</v>
      </c>
    </row>
    <row r="21574" spans="1:9" x14ac:dyDescent="0.2">
      <c r="A21574" t="str">
        <f>"Trpc4"</f>
        <v>Trpc4</v>
      </c>
      <c r="B21574" t="s">
        <v>14</v>
      </c>
      <c r="C21574" t="s">
        <v>22</v>
      </c>
      <c r="D21574" t="s">
        <v>17</v>
      </c>
      <c r="E21574" t="s">
        <v>12</v>
      </c>
      <c r="F21574">
        <v>54156039</v>
      </c>
      <c r="G21574">
        <v>54156074</v>
      </c>
      <c r="H21574">
        <v>54156152</v>
      </c>
      <c r="I21574">
        <v>54156178</v>
      </c>
    </row>
    <row r="21575" spans="1:9" x14ac:dyDescent="0.2">
      <c r="A21575" t="str">
        <f>"Trpc4ap"</f>
        <v>Trpc4ap</v>
      </c>
      <c r="B21575" t="s">
        <v>14</v>
      </c>
      <c r="C21575" t="s">
        <v>26</v>
      </c>
      <c r="D21575" t="s">
        <v>11</v>
      </c>
      <c r="E21575" t="s">
        <v>12</v>
      </c>
      <c r="F21575">
        <v>155692317</v>
      </c>
      <c r="G21575">
        <v>155692339</v>
      </c>
      <c r="H21575">
        <v>155692376</v>
      </c>
      <c r="I21575">
        <v>155692387</v>
      </c>
    </row>
    <row r="21576" spans="1:9" x14ac:dyDescent="0.2">
      <c r="A21576" t="str">
        <f>"Trpc5"</f>
        <v>Trpc5</v>
      </c>
      <c r="B21576" t="s">
        <v>14</v>
      </c>
      <c r="C21576" t="s">
        <v>37</v>
      </c>
      <c r="D21576" t="s">
        <v>11</v>
      </c>
      <c r="E21576" t="s">
        <v>12</v>
      </c>
      <c r="F21576">
        <v>144688319</v>
      </c>
      <c r="G21576">
        <v>144688350</v>
      </c>
      <c r="H21576">
        <v>144688120</v>
      </c>
      <c r="I21576">
        <v>144688166</v>
      </c>
    </row>
    <row r="21577" spans="1:9" x14ac:dyDescent="0.2">
      <c r="A21577" t="str">
        <f>"Trpc6"</f>
        <v>Trpc6</v>
      </c>
      <c r="B21577" t="s">
        <v>14</v>
      </c>
      <c r="C21577" t="s">
        <v>24</v>
      </c>
      <c r="D21577" t="s">
        <v>17</v>
      </c>
      <c r="E21577" t="s">
        <v>12</v>
      </c>
      <c r="F21577">
        <v>8544199</v>
      </c>
      <c r="G21577">
        <v>8544225</v>
      </c>
      <c r="H21577">
        <v>8544227</v>
      </c>
      <c r="I21577">
        <v>8544258</v>
      </c>
    </row>
    <row r="21578" spans="1:9" x14ac:dyDescent="0.2">
      <c r="A21578" t="str">
        <f>"Trpc7"</f>
        <v>Trpc7</v>
      </c>
      <c r="B21578" t="s">
        <v>14</v>
      </c>
      <c r="C21578" t="s">
        <v>39</v>
      </c>
      <c r="D21578" t="s">
        <v>11</v>
      </c>
      <c r="E21578" t="s">
        <v>12</v>
      </c>
      <c r="F21578">
        <v>56895774</v>
      </c>
      <c r="G21578">
        <v>56895793</v>
      </c>
      <c r="H21578">
        <v>56895797</v>
      </c>
      <c r="I21578">
        <v>56895819</v>
      </c>
    </row>
    <row r="21579" spans="1:9" x14ac:dyDescent="0.2">
      <c r="A21579" t="str">
        <f>"Trpd52l3"</f>
        <v>Trpd52l3</v>
      </c>
      <c r="B21579" t="s">
        <v>14</v>
      </c>
      <c r="C21579" t="s">
        <v>10</v>
      </c>
      <c r="D21579" t="s">
        <v>17</v>
      </c>
      <c r="E21579" t="s">
        <v>12</v>
      </c>
      <c r="F21579">
        <v>30003777</v>
      </c>
      <c r="G21579">
        <v>30003813</v>
      </c>
      <c r="H21579">
        <v>30003820</v>
      </c>
      <c r="I21579">
        <v>30003834</v>
      </c>
    </row>
    <row r="21580" spans="1:9" x14ac:dyDescent="0.2">
      <c r="A21580" t="str">
        <f>"Trpm1"</f>
        <v>Trpm1</v>
      </c>
      <c r="B21580" t="s">
        <v>5963</v>
      </c>
      <c r="C21580" t="s">
        <v>33</v>
      </c>
      <c r="D21580" t="s">
        <v>17</v>
      </c>
      <c r="E21580" t="s">
        <v>35</v>
      </c>
      <c r="F21580">
        <v>64153841</v>
      </c>
      <c r="G21580">
        <v>64153851</v>
      </c>
      <c r="H21580">
        <v>64153942</v>
      </c>
      <c r="I21580">
        <v>64153949</v>
      </c>
    </row>
    <row r="21581" spans="1:9" x14ac:dyDescent="0.2">
      <c r="A21581" t="str">
        <f>"Trpm2"</f>
        <v>Trpm2</v>
      </c>
      <c r="B21581" t="s">
        <v>14</v>
      </c>
      <c r="C21581" t="s">
        <v>15</v>
      </c>
      <c r="D21581" t="s">
        <v>11</v>
      </c>
      <c r="E21581" t="s">
        <v>12</v>
      </c>
      <c r="F21581">
        <v>77969808</v>
      </c>
      <c r="G21581">
        <v>77969839</v>
      </c>
      <c r="H21581">
        <v>77970554</v>
      </c>
      <c r="I21581">
        <v>77970586</v>
      </c>
    </row>
    <row r="21582" spans="1:9" x14ac:dyDescent="0.2">
      <c r="A21582" t="str">
        <f>"Trpm3"</f>
        <v>Trpm3</v>
      </c>
      <c r="B21582" t="s">
        <v>5964</v>
      </c>
      <c r="C21582" t="s">
        <v>10</v>
      </c>
      <c r="D21582" t="s">
        <v>17</v>
      </c>
      <c r="E21582" t="s">
        <v>35</v>
      </c>
      <c r="F21582">
        <v>22138976</v>
      </c>
      <c r="G21582">
        <v>22138985</v>
      </c>
      <c r="H21582">
        <v>22139075</v>
      </c>
      <c r="I21582">
        <v>22139083</v>
      </c>
    </row>
    <row r="21583" spans="1:9" x14ac:dyDescent="0.2">
      <c r="A21583" t="str">
        <f>"Trpm4"</f>
        <v>Trpm4</v>
      </c>
      <c r="B21583" t="s">
        <v>14</v>
      </c>
      <c r="C21583" t="s">
        <v>33</v>
      </c>
      <c r="D21583" t="s">
        <v>11</v>
      </c>
      <c r="E21583" t="s">
        <v>12</v>
      </c>
      <c r="F21583">
        <v>45333754</v>
      </c>
      <c r="G21583">
        <v>45333800</v>
      </c>
      <c r="H21583">
        <v>45333733</v>
      </c>
      <c r="I21583">
        <v>45333751</v>
      </c>
    </row>
    <row r="21584" spans="1:9" x14ac:dyDescent="0.2">
      <c r="A21584" t="str">
        <f>"Trpm5"</f>
        <v>Trpm5</v>
      </c>
      <c r="B21584" t="s">
        <v>14</v>
      </c>
      <c r="C21584" t="s">
        <v>33</v>
      </c>
      <c r="D21584" t="s">
        <v>11</v>
      </c>
      <c r="E21584" t="s">
        <v>12</v>
      </c>
      <c r="F21584">
        <v>143087115</v>
      </c>
      <c r="G21584">
        <v>143087155</v>
      </c>
      <c r="H21584">
        <v>143087115</v>
      </c>
      <c r="I21584">
        <v>143087155</v>
      </c>
    </row>
    <row r="21585" spans="1:9" x14ac:dyDescent="0.2">
      <c r="A21585" t="str">
        <f>"Trpm6"</f>
        <v>Trpm6</v>
      </c>
      <c r="B21585" t="s">
        <v>14</v>
      </c>
      <c r="C21585" t="s">
        <v>10</v>
      </c>
      <c r="D21585" t="s">
        <v>17</v>
      </c>
      <c r="E21585" t="s">
        <v>12</v>
      </c>
      <c r="F21585">
        <v>18749745</v>
      </c>
      <c r="G21585">
        <v>18749768</v>
      </c>
      <c r="H21585">
        <v>18749745</v>
      </c>
      <c r="I21585">
        <v>18749768</v>
      </c>
    </row>
    <row r="21586" spans="1:9" x14ac:dyDescent="0.2">
      <c r="A21586" t="str">
        <f>"Trpm7"</f>
        <v>Trpm7</v>
      </c>
      <c r="B21586" t="s">
        <v>14</v>
      </c>
      <c r="C21586" t="s">
        <v>26</v>
      </c>
      <c r="D21586" t="s">
        <v>11</v>
      </c>
      <c r="E21586" t="s">
        <v>12</v>
      </c>
      <c r="F21586">
        <v>126876209</v>
      </c>
      <c r="G21586">
        <v>126876267</v>
      </c>
      <c r="H21586">
        <v>126876179</v>
      </c>
      <c r="I21586">
        <v>126876205</v>
      </c>
    </row>
    <row r="21587" spans="1:9" x14ac:dyDescent="0.2">
      <c r="A21587" t="str">
        <f>"Trpm8"</f>
        <v>Trpm8</v>
      </c>
      <c r="B21587" t="s">
        <v>14</v>
      </c>
      <c r="C21587" t="s">
        <v>19</v>
      </c>
      <c r="D21587" t="s">
        <v>17</v>
      </c>
      <c r="E21587" t="s">
        <v>12</v>
      </c>
      <c r="F21587">
        <v>88306731</v>
      </c>
      <c r="G21587">
        <v>88306737</v>
      </c>
      <c r="H21587">
        <v>88306731</v>
      </c>
      <c r="I21587">
        <v>88306737</v>
      </c>
    </row>
    <row r="21588" spans="1:9" x14ac:dyDescent="0.2">
      <c r="A21588" t="str">
        <f>"Trps1"</f>
        <v>Trps1</v>
      </c>
      <c r="B21588" t="s">
        <v>14</v>
      </c>
      <c r="C21588" t="s">
        <v>25</v>
      </c>
      <c r="D21588" t="s">
        <v>11</v>
      </c>
      <c r="E21588" t="s">
        <v>12</v>
      </c>
      <c r="F21588">
        <v>50890042</v>
      </c>
      <c r="G21588">
        <v>50890064</v>
      </c>
      <c r="H21588">
        <v>50889055</v>
      </c>
      <c r="I21588">
        <v>50889084</v>
      </c>
    </row>
    <row r="21589" spans="1:9" x14ac:dyDescent="0.2">
      <c r="A21589" t="str">
        <f>"Trpt1"</f>
        <v>Trpt1</v>
      </c>
      <c r="B21589" t="s">
        <v>14</v>
      </c>
      <c r="C21589" t="s">
        <v>10</v>
      </c>
      <c r="D21589" t="s">
        <v>17</v>
      </c>
      <c r="E21589" t="s">
        <v>12</v>
      </c>
      <c r="F21589">
        <v>6996143</v>
      </c>
      <c r="G21589">
        <v>6996207</v>
      </c>
      <c r="H21589">
        <v>6996114</v>
      </c>
      <c r="I21589">
        <v>6996136</v>
      </c>
    </row>
    <row r="21590" spans="1:9" x14ac:dyDescent="0.2">
      <c r="A21590" t="str">
        <f>"Trpv1"</f>
        <v>Trpv1</v>
      </c>
      <c r="B21590" t="s">
        <v>14</v>
      </c>
      <c r="C21590" t="s">
        <v>27</v>
      </c>
      <c r="D21590" t="s">
        <v>17</v>
      </c>
      <c r="E21590" t="s">
        <v>12</v>
      </c>
      <c r="F21590">
        <v>73234290</v>
      </c>
      <c r="G21590">
        <v>73234296</v>
      </c>
      <c r="H21590">
        <v>73234290</v>
      </c>
      <c r="I21590">
        <v>73234296</v>
      </c>
    </row>
    <row r="21591" spans="1:9" x14ac:dyDescent="0.2">
      <c r="A21591" t="str">
        <f>"Trpv2"</f>
        <v>Trpv2</v>
      </c>
      <c r="B21591" t="s">
        <v>9</v>
      </c>
      <c r="C21591" t="s">
        <v>27</v>
      </c>
      <c r="D21591" t="s">
        <v>17</v>
      </c>
      <c r="E21591" t="s">
        <v>12</v>
      </c>
      <c r="F21591">
        <v>62575935</v>
      </c>
      <c r="G21591">
        <v>62575964</v>
      </c>
      <c r="H21591">
        <v>62575935</v>
      </c>
      <c r="I21591">
        <v>62575964</v>
      </c>
    </row>
    <row r="21592" spans="1:9" x14ac:dyDescent="0.2">
      <c r="A21592" t="str">
        <f>"Trpv2"</f>
        <v>Trpv2</v>
      </c>
      <c r="B21592" t="s">
        <v>13</v>
      </c>
      <c r="C21592" t="s">
        <v>27</v>
      </c>
      <c r="D21592" t="s">
        <v>17</v>
      </c>
      <c r="E21592" t="s">
        <v>12</v>
      </c>
      <c r="F21592">
        <v>62574477</v>
      </c>
      <c r="G21592">
        <v>62574522</v>
      </c>
      <c r="H21592">
        <v>62574477</v>
      </c>
      <c r="I21592">
        <v>62574522</v>
      </c>
    </row>
    <row r="21593" spans="1:9" x14ac:dyDescent="0.2">
      <c r="A21593" t="str">
        <f>"Trpv3"</f>
        <v>Trpv3</v>
      </c>
      <c r="B21593" t="s">
        <v>14</v>
      </c>
      <c r="C21593" t="s">
        <v>27</v>
      </c>
      <c r="D21593" t="s">
        <v>17</v>
      </c>
      <c r="E21593" t="s">
        <v>12</v>
      </c>
      <c r="F21593">
        <v>73267499</v>
      </c>
      <c r="G21593">
        <v>73267539</v>
      </c>
      <c r="H21593">
        <v>73267499</v>
      </c>
      <c r="I21593">
        <v>73267539</v>
      </c>
    </row>
    <row r="21594" spans="1:9" x14ac:dyDescent="0.2">
      <c r="A21594" t="str">
        <f>"Trpv4"</f>
        <v>Trpv4</v>
      </c>
      <c r="B21594" t="s">
        <v>14</v>
      </c>
      <c r="C21594" t="s">
        <v>46</v>
      </c>
      <c r="D21594" t="s">
        <v>11</v>
      </c>
      <c r="E21594" t="s">
        <v>12</v>
      </c>
      <c r="F21594">
        <v>114658382</v>
      </c>
      <c r="G21594">
        <v>114658413</v>
      </c>
      <c r="H21594">
        <v>114658364</v>
      </c>
      <c r="I21594">
        <v>114658379</v>
      </c>
    </row>
    <row r="21595" spans="1:9" x14ac:dyDescent="0.2">
      <c r="A21595" t="str">
        <f>"Trpv5"</f>
        <v>Trpv5</v>
      </c>
      <c r="B21595" t="s">
        <v>14</v>
      </c>
      <c r="C21595" t="s">
        <v>32</v>
      </c>
      <c r="D21595" t="s">
        <v>11</v>
      </c>
      <c r="E21595" t="s">
        <v>12</v>
      </c>
      <c r="F21595">
        <v>41680730</v>
      </c>
      <c r="G21595">
        <v>41680743</v>
      </c>
      <c r="H21595">
        <v>41680834</v>
      </c>
      <c r="I21595">
        <v>41680844</v>
      </c>
    </row>
    <row r="21596" spans="1:9" x14ac:dyDescent="0.2">
      <c r="A21596" t="str">
        <f>"Trpv6"</f>
        <v>Trpv6</v>
      </c>
      <c r="B21596" t="s">
        <v>14</v>
      </c>
      <c r="C21596" t="s">
        <v>32</v>
      </c>
      <c r="D21596" t="s">
        <v>11</v>
      </c>
      <c r="E21596" t="s">
        <v>12</v>
      </c>
      <c r="F21596">
        <v>41636389</v>
      </c>
      <c r="G21596">
        <v>41636409</v>
      </c>
      <c r="H21596">
        <v>41636337</v>
      </c>
      <c r="I21596">
        <v>41636365</v>
      </c>
    </row>
    <row r="21597" spans="1:9" x14ac:dyDescent="0.2">
      <c r="A21597" t="str">
        <f>"Trrap"</f>
        <v>Trrap</v>
      </c>
      <c r="B21597" t="s">
        <v>14</v>
      </c>
      <c r="C21597" t="s">
        <v>46</v>
      </c>
      <c r="D21597" t="s">
        <v>17</v>
      </c>
      <c r="E21597" t="s">
        <v>12</v>
      </c>
      <c r="F21597">
        <v>144768141</v>
      </c>
      <c r="G21597">
        <v>144768154</v>
      </c>
      <c r="H21597">
        <v>144768158</v>
      </c>
      <c r="I21597">
        <v>144768182</v>
      </c>
    </row>
    <row r="21598" spans="1:9" x14ac:dyDescent="0.2">
      <c r="A21598" t="str">
        <f>"Trub1"</f>
        <v>Trub1</v>
      </c>
      <c r="B21598" t="s">
        <v>14</v>
      </c>
      <c r="C21598" t="s">
        <v>10</v>
      </c>
      <c r="D21598" t="s">
        <v>17</v>
      </c>
      <c r="E21598" t="s">
        <v>12</v>
      </c>
      <c r="F21598">
        <v>57452928</v>
      </c>
      <c r="G21598">
        <v>57452947</v>
      </c>
      <c r="H21598">
        <v>57452900</v>
      </c>
      <c r="I21598">
        <v>57452926</v>
      </c>
    </row>
    <row r="21599" spans="1:9" x14ac:dyDescent="0.2">
      <c r="A21599" t="str">
        <f>"Trub2"</f>
        <v>Trub2</v>
      </c>
      <c r="B21599" t="s">
        <v>14</v>
      </c>
      <c r="C21599" t="s">
        <v>26</v>
      </c>
      <c r="D21599" t="s">
        <v>11</v>
      </c>
      <c r="E21599" t="s">
        <v>12</v>
      </c>
      <c r="F21599">
        <v>29787628</v>
      </c>
      <c r="G21599">
        <v>29787680</v>
      </c>
      <c r="H21599">
        <v>29787628</v>
      </c>
      <c r="I21599">
        <v>29787680</v>
      </c>
    </row>
    <row r="21600" spans="1:9" x14ac:dyDescent="0.2">
      <c r="A21600" t="str">
        <f>"Try10"</f>
        <v>Try10</v>
      </c>
      <c r="B21600" t="s">
        <v>14</v>
      </c>
      <c r="C21600" t="s">
        <v>32</v>
      </c>
      <c r="D21600" t="s">
        <v>17</v>
      </c>
      <c r="E21600" t="s">
        <v>12</v>
      </c>
      <c r="F21600">
        <v>41354170</v>
      </c>
      <c r="G21600">
        <v>41354185</v>
      </c>
      <c r="H21600">
        <v>41354170</v>
      </c>
      <c r="I21600">
        <v>41354185</v>
      </c>
    </row>
    <row r="21601" spans="1:9" x14ac:dyDescent="0.2">
      <c r="A21601" t="str">
        <f>"Try4"</f>
        <v>Try4</v>
      </c>
      <c r="B21601" t="s">
        <v>14</v>
      </c>
      <c r="C21601" t="s">
        <v>32</v>
      </c>
      <c r="D21601" t="s">
        <v>17</v>
      </c>
      <c r="E21601" t="s">
        <v>12</v>
      </c>
      <c r="F21601">
        <v>41302265</v>
      </c>
      <c r="G21601">
        <v>41302279</v>
      </c>
      <c r="H21601">
        <v>41302265</v>
      </c>
      <c r="I21601">
        <v>41302279</v>
      </c>
    </row>
    <row r="21602" spans="1:9" x14ac:dyDescent="0.2">
      <c r="A21602" t="str">
        <f>"Try5"</f>
        <v>Try5</v>
      </c>
      <c r="B21602" t="s">
        <v>14</v>
      </c>
      <c r="C21602" t="s">
        <v>32</v>
      </c>
      <c r="D21602" t="s">
        <v>11</v>
      </c>
      <c r="E21602" t="s">
        <v>12</v>
      </c>
      <c r="F21602">
        <v>41314700</v>
      </c>
      <c r="G21602">
        <v>41314715</v>
      </c>
      <c r="H21602">
        <v>41314700</v>
      </c>
      <c r="I21602">
        <v>41314715</v>
      </c>
    </row>
    <row r="21603" spans="1:9" x14ac:dyDescent="0.2">
      <c r="A21603" t="str">
        <f>"Tsacc"</f>
        <v>Tsacc</v>
      </c>
      <c r="B21603" t="s">
        <v>14</v>
      </c>
      <c r="C21603" t="s">
        <v>22</v>
      </c>
      <c r="D21603" t="s">
        <v>11</v>
      </c>
      <c r="E21603" t="s">
        <v>67</v>
      </c>
      <c r="F21603">
        <v>88296850</v>
      </c>
      <c r="G21603">
        <v>88296909</v>
      </c>
      <c r="H21603">
        <v>88296925</v>
      </c>
      <c r="I21603">
        <v>88296939</v>
      </c>
    </row>
    <row r="21604" spans="1:9" x14ac:dyDescent="0.2">
      <c r="A21604" t="str">
        <f>"Tsc1"</f>
        <v>Tsc1</v>
      </c>
      <c r="B21604" t="s">
        <v>14</v>
      </c>
      <c r="C21604" t="s">
        <v>26</v>
      </c>
      <c r="D21604" t="s">
        <v>17</v>
      </c>
      <c r="E21604" t="s">
        <v>12</v>
      </c>
      <c r="F21604">
        <v>28641227</v>
      </c>
      <c r="G21604">
        <v>28641262</v>
      </c>
      <c r="H21604">
        <v>28641264</v>
      </c>
      <c r="I21604">
        <v>28641275</v>
      </c>
    </row>
    <row r="21605" spans="1:9" x14ac:dyDescent="0.2">
      <c r="A21605" t="str">
        <f>"Tsc2"</f>
        <v>Tsc2</v>
      </c>
      <c r="B21605" t="s">
        <v>14</v>
      </c>
      <c r="C21605" t="s">
        <v>28</v>
      </c>
      <c r="D21605" t="s">
        <v>11</v>
      </c>
      <c r="E21605" t="s">
        <v>12</v>
      </c>
      <c r="F21605">
        <v>24632608</v>
      </c>
      <c r="G21605">
        <v>24632632</v>
      </c>
      <c r="H21605">
        <v>24632583</v>
      </c>
      <c r="I21605">
        <v>24632603</v>
      </c>
    </row>
    <row r="21606" spans="1:9" x14ac:dyDescent="0.2">
      <c r="A21606" t="str">
        <f>"Tsc22d1"</f>
        <v>Tsc22d1</v>
      </c>
      <c r="B21606" t="s">
        <v>14</v>
      </c>
      <c r="C21606" t="s">
        <v>41</v>
      </c>
      <c r="D21606" t="s">
        <v>17</v>
      </c>
      <c r="E21606" t="s">
        <v>12</v>
      </c>
      <c r="F21606">
        <v>76504506</v>
      </c>
      <c r="G21606">
        <v>76504521</v>
      </c>
      <c r="H21606">
        <v>76504506</v>
      </c>
      <c r="I21606">
        <v>76504521</v>
      </c>
    </row>
    <row r="21607" spans="1:9" x14ac:dyDescent="0.2">
      <c r="A21607" t="str">
        <f>"Tsc22d2"</f>
        <v>Tsc22d2</v>
      </c>
      <c r="B21607" t="s">
        <v>14</v>
      </c>
      <c r="C21607" t="s">
        <v>22</v>
      </c>
      <c r="D21607" t="s">
        <v>17</v>
      </c>
      <c r="E21607" t="s">
        <v>12</v>
      </c>
      <c r="F21607">
        <v>58415360</v>
      </c>
      <c r="G21607">
        <v>58415400</v>
      </c>
      <c r="H21607">
        <v>58415360</v>
      </c>
      <c r="I21607">
        <v>58415400</v>
      </c>
    </row>
    <row r="21608" spans="1:9" x14ac:dyDescent="0.2">
      <c r="A21608" t="str">
        <f>"Tsc22d3"</f>
        <v>Tsc22d3</v>
      </c>
      <c r="B21608" t="s">
        <v>14</v>
      </c>
      <c r="C21608" t="s">
        <v>37</v>
      </c>
      <c r="D21608" t="s">
        <v>11</v>
      </c>
      <c r="E21608" t="s">
        <v>12</v>
      </c>
      <c r="F21608">
        <v>140543177</v>
      </c>
      <c r="G21608">
        <v>140543195</v>
      </c>
      <c r="H21608">
        <v>140542612</v>
      </c>
      <c r="I21608">
        <v>140542688</v>
      </c>
    </row>
    <row r="21609" spans="1:9" x14ac:dyDescent="0.2">
      <c r="A21609" t="str">
        <f>"Tsc22d4"</f>
        <v>Tsc22d4</v>
      </c>
      <c r="B21609" t="s">
        <v>9</v>
      </c>
      <c r="C21609" t="s">
        <v>46</v>
      </c>
      <c r="D21609" t="s">
        <v>17</v>
      </c>
      <c r="E21609" t="s">
        <v>12</v>
      </c>
      <c r="F21609">
        <v>137745967</v>
      </c>
      <c r="G21609">
        <v>137746027</v>
      </c>
      <c r="H21609">
        <v>137745967</v>
      </c>
      <c r="I21609">
        <v>137746027</v>
      </c>
    </row>
    <row r="21610" spans="1:9" x14ac:dyDescent="0.2">
      <c r="A21610" t="str">
        <f>"Tsc22d4"</f>
        <v>Tsc22d4</v>
      </c>
      <c r="B21610" t="s">
        <v>13</v>
      </c>
      <c r="C21610" t="s">
        <v>46</v>
      </c>
      <c r="D21610" t="s">
        <v>17</v>
      </c>
      <c r="E21610" t="s">
        <v>12</v>
      </c>
      <c r="F21610">
        <v>137758133</v>
      </c>
      <c r="G21610">
        <v>137758213</v>
      </c>
      <c r="H21610">
        <v>137758133</v>
      </c>
      <c r="I21610">
        <v>137758213</v>
      </c>
    </row>
    <row r="21611" spans="1:9" x14ac:dyDescent="0.2">
      <c r="A21611" t="str">
        <f>"Tsen15"</f>
        <v>Tsen15</v>
      </c>
      <c r="B21611" t="s">
        <v>14</v>
      </c>
      <c r="C21611" t="s">
        <v>19</v>
      </c>
      <c r="D21611" t="s">
        <v>11</v>
      </c>
      <c r="E21611" t="s">
        <v>12</v>
      </c>
      <c r="F21611">
        <v>152386626</v>
      </c>
      <c r="G21611">
        <v>152386666</v>
      </c>
      <c r="H21611">
        <v>152386589</v>
      </c>
      <c r="I21611">
        <v>152386610</v>
      </c>
    </row>
    <row r="21612" spans="1:9" x14ac:dyDescent="0.2">
      <c r="A21612" t="str">
        <f>"Tsen2"</f>
        <v>Tsen2</v>
      </c>
      <c r="B21612" t="s">
        <v>14</v>
      </c>
      <c r="C21612" t="s">
        <v>32</v>
      </c>
      <c r="D21612" t="s">
        <v>17</v>
      </c>
      <c r="E21612" t="s">
        <v>12</v>
      </c>
      <c r="F21612">
        <v>115544672</v>
      </c>
      <c r="G21612">
        <v>115544712</v>
      </c>
      <c r="H21612">
        <v>115544715</v>
      </c>
      <c r="I21612">
        <v>115544716</v>
      </c>
    </row>
    <row r="21613" spans="1:9" x14ac:dyDescent="0.2">
      <c r="A21613" t="str">
        <f>"Tsen34"</f>
        <v>Tsen34</v>
      </c>
      <c r="B21613" t="s">
        <v>14</v>
      </c>
      <c r="C21613" t="s">
        <v>33</v>
      </c>
      <c r="D21613" t="s">
        <v>17</v>
      </c>
      <c r="E21613" t="s">
        <v>12</v>
      </c>
      <c r="F21613">
        <v>3693723</v>
      </c>
      <c r="G21613">
        <v>3693815</v>
      </c>
      <c r="H21613">
        <v>3694512</v>
      </c>
      <c r="I21613">
        <v>3694552</v>
      </c>
    </row>
    <row r="21614" spans="1:9" x14ac:dyDescent="0.2">
      <c r="A21614" t="str">
        <f>"Tsen54"</f>
        <v>Tsen54</v>
      </c>
      <c r="B21614" t="s">
        <v>14</v>
      </c>
      <c r="C21614" t="s">
        <v>27</v>
      </c>
      <c r="D21614" t="s">
        <v>17</v>
      </c>
      <c r="E21614" t="s">
        <v>12</v>
      </c>
      <c r="F21614">
        <v>115814732</v>
      </c>
      <c r="G21614">
        <v>115814778</v>
      </c>
      <c r="H21614">
        <v>115814935</v>
      </c>
      <c r="I21614">
        <v>115814952</v>
      </c>
    </row>
    <row r="21615" spans="1:9" x14ac:dyDescent="0.2">
      <c r="A21615" t="str">
        <f>"Tsfm"</f>
        <v>Tsfm</v>
      </c>
      <c r="B21615" t="s">
        <v>14</v>
      </c>
      <c r="C21615" t="s">
        <v>15</v>
      </c>
      <c r="D21615" t="s">
        <v>11</v>
      </c>
      <c r="E21615" t="s">
        <v>12</v>
      </c>
      <c r="F21615">
        <v>127030789</v>
      </c>
      <c r="G21615">
        <v>127030812</v>
      </c>
      <c r="H21615">
        <v>127030813</v>
      </c>
      <c r="I21615">
        <v>127030838</v>
      </c>
    </row>
    <row r="21616" spans="1:9" x14ac:dyDescent="0.2">
      <c r="A21616" t="str">
        <f>"Tsg101"</f>
        <v>Tsg101</v>
      </c>
      <c r="B21616" t="s">
        <v>14</v>
      </c>
      <c r="C21616" t="s">
        <v>33</v>
      </c>
      <c r="D21616" t="s">
        <v>11</v>
      </c>
      <c r="E21616" t="s">
        <v>12</v>
      </c>
      <c r="F21616">
        <v>46919915</v>
      </c>
      <c r="G21616">
        <v>46919986</v>
      </c>
      <c r="H21616">
        <v>46919877</v>
      </c>
      <c r="I21616">
        <v>46919908</v>
      </c>
    </row>
    <row r="21617" spans="1:9" x14ac:dyDescent="0.2">
      <c r="A21617" t="str">
        <f>"Tsga10"</f>
        <v>Tsga10</v>
      </c>
      <c r="B21617" t="s">
        <v>14</v>
      </c>
      <c r="C21617" t="s">
        <v>19</v>
      </c>
      <c r="D21617" t="s">
        <v>11</v>
      </c>
      <c r="E21617" t="s">
        <v>12</v>
      </c>
      <c r="F21617">
        <v>37865040</v>
      </c>
      <c r="G21617">
        <v>37865116</v>
      </c>
      <c r="H21617">
        <v>37864819</v>
      </c>
      <c r="I21617">
        <v>37864849</v>
      </c>
    </row>
    <row r="21618" spans="1:9" x14ac:dyDescent="0.2">
      <c r="A21618" t="str">
        <f>"Tsga10ip"</f>
        <v>Tsga10ip</v>
      </c>
      <c r="B21618" t="s">
        <v>14</v>
      </c>
      <c r="C21618" t="s">
        <v>10</v>
      </c>
      <c r="D21618" t="s">
        <v>11</v>
      </c>
      <c r="E21618" t="s">
        <v>12</v>
      </c>
      <c r="F21618">
        <v>5394385</v>
      </c>
      <c r="G21618">
        <v>5394402</v>
      </c>
      <c r="H21618">
        <v>5394385</v>
      </c>
      <c r="I21618">
        <v>5394402</v>
      </c>
    </row>
    <row r="21619" spans="1:9" x14ac:dyDescent="0.2">
      <c r="A21619" t="str">
        <f>"Tsga13"</f>
        <v>Tsga13</v>
      </c>
      <c r="B21619" t="s">
        <v>14</v>
      </c>
      <c r="C21619" t="s">
        <v>32</v>
      </c>
      <c r="D21619" t="s">
        <v>11</v>
      </c>
      <c r="E21619" t="s">
        <v>12</v>
      </c>
      <c r="F21619">
        <v>30915552</v>
      </c>
      <c r="G21619">
        <v>30915590</v>
      </c>
      <c r="H21619">
        <v>30915552</v>
      </c>
      <c r="I21619">
        <v>30915590</v>
      </c>
    </row>
    <row r="21620" spans="1:9" x14ac:dyDescent="0.2">
      <c r="A21620" t="str">
        <f>"Tsga8"</f>
        <v>Tsga8</v>
      </c>
      <c r="B21620" t="s">
        <v>14</v>
      </c>
      <c r="C21620" t="s">
        <v>37</v>
      </c>
      <c r="D21620" t="s">
        <v>11</v>
      </c>
      <c r="E21620" t="s">
        <v>12</v>
      </c>
      <c r="F21620">
        <v>83487780</v>
      </c>
      <c r="G21620">
        <v>83487791</v>
      </c>
      <c r="H21620">
        <v>83487780</v>
      </c>
      <c r="I21620">
        <v>83487791</v>
      </c>
    </row>
    <row r="21621" spans="1:9" x14ac:dyDescent="0.2">
      <c r="A21621" t="str">
        <f>"Tshb"</f>
        <v>Tshb</v>
      </c>
      <c r="B21621" t="s">
        <v>14</v>
      </c>
      <c r="C21621" t="s">
        <v>22</v>
      </c>
      <c r="D21621" t="s">
        <v>11</v>
      </c>
      <c r="E21621" t="s">
        <v>12</v>
      </c>
      <c r="F21621">
        <v>102782670</v>
      </c>
      <c r="G21621">
        <v>102782675</v>
      </c>
      <c r="H21621">
        <v>102782670</v>
      </c>
      <c r="I21621">
        <v>102782675</v>
      </c>
    </row>
    <row r="21622" spans="1:9" x14ac:dyDescent="0.2">
      <c r="A21622" t="str">
        <f>"Tshr"</f>
        <v>Tshr</v>
      </c>
      <c r="B21622" t="s">
        <v>14</v>
      </c>
      <c r="C21622" t="s">
        <v>16</v>
      </c>
      <c r="D21622" t="s">
        <v>17</v>
      </c>
      <c r="E21622" t="s">
        <v>12</v>
      </c>
      <c r="F21622">
        <v>91400990</v>
      </c>
      <c r="G21622">
        <v>91401022</v>
      </c>
      <c r="H21622">
        <v>91401024</v>
      </c>
      <c r="I21622">
        <v>91401038</v>
      </c>
    </row>
    <row r="21623" spans="1:9" x14ac:dyDescent="0.2">
      <c r="A21623" t="str">
        <f>"Tshz1"</f>
        <v>Tshz1</v>
      </c>
      <c r="B21623" t="s">
        <v>14</v>
      </c>
      <c r="C21623" t="s">
        <v>43</v>
      </c>
      <c r="D21623" t="s">
        <v>11</v>
      </c>
      <c r="E21623" t="s">
        <v>12</v>
      </c>
      <c r="F21623">
        <v>84086449</v>
      </c>
      <c r="G21623">
        <v>84086491</v>
      </c>
      <c r="H21623">
        <v>84086412</v>
      </c>
      <c r="I21623">
        <v>84086440</v>
      </c>
    </row>
    <row r="21624" spans="1:9" x14ac:dyDescent="0.2">
      <c r="A21624" t="str">
        <f>"Tshz2"</f>
        <v>Tshz2</v>
      </c>
      <c r="B21624" t="s">
        <v>14</v>
      </c>
      <c r="C21624" t="s">
        <v>26</v>
      </c>
      <c r="D21624" t="s">
        <v>17</v>
      </c>
      <c r="E21624" t="s">
        <v>12</v>
      </c>
      <c r="F21624">
        <v>169632692</v>
      </c>
      <c r="G21624">
        <v>169632747</v>
      </c>
      <c r="H21624">
        <v>169633019</v>
      </c>
      <c r="I21624">
        <v>169633055</v>
      </c>
    </row>
    <row r="21625" spans="1:9" x14ac:dyDescent="0.2">
      <c r="A21625" t="str">
        <f>"Tshz3"</f>
        <v>Tshz3</v>
      </c>
      <c r="B21625" t="s">
        <v>14</v>
      </c>
      <c r="C21625" t="s">
        <v>33</v>
      </c>
      <c r="D21625" t="s">
        <v>17</v>
      </c>
      <c r="E21625" t="s">
        <v>12</v>
      </c>
      <c r="F21625">
        <v>36698002</v>
      </c>
      <c r="G21625">
        <v>36698059</v>
      </c>
      <c r="H21625">
        <v>36698212</v>
      </c>
      <c r="I21625">
        <v>36698244</v>
      </c>
    </row>
    <row r="21626" spans="1:9" x14ac:dyDescent="0.2">
      <c r="A21626" t="str">
        <f>"Tsks"</f>
        <v>Tsks</v>
      </c>
      <c r="B21626" t="s">
        <v>14</v>
      </c>
      <c r="C21626" t="s">
        <v>33</v>
      </c>
      <c r="D21626" t="s">
        <v>17</v>
      </c>
      <c r="E21626" t="s">
        <v>12</v>
      </c>
      <c r="F21626">
        <v>44943234</v>
      </c>
      <c r="G21626">
        <v>44943251</v>
      </c>
      <c r="H21626">
        <v>44943234</v>
      </c>
      <c r="I21626">
        <v>44943251</v>
      </c>
    </row>
    <row r="21627" spans="1:9" x14ac:dyDescent="0.2">
      <c r="A21627" t="str">
        <f>"Tsku"</f>
        <v>Tsku</v>
      </c>
      <c r="B21627" t="s">
        <v>14</v>
      </c>
      <c r="C21627" t="s">
        <v>33</v>
      </c>
      <c r="D21627" t="s">
        <v>11</v>
      </c>
      <c r="E21627" t="s">
        <v>12</v>
      </c>
      <c r="F21627">
        <v>98361275</v>
      </c>
      <c r="G21627">
        <v>98361295</v>
      </c>
      <c r="H21627">
        <v>98361310</v>
      </c>
      <c r="I21627">
        <v>98361320</v>
      </c>
    </row>
    <row r="21628" spans="1:9" x14ac:dyDescent="0.2">
      <c r="A21628" t="str">
        <f>"Tslp"</f>
        <v>Tslp</v>
      </c>
      <c r="B21628" t="s">
        <v>14</v>
      </c>
      <c r="C21628" t="s">
        <v>43</v>
      </c>
      <c r="D21628" t="s">
        <v>17</v>
      </c>
      <c r="E21628" t="s">
        <v>12</v>
      </c>
      <c r="F21628">
        <v>32816897</v>
      </c>
      <c r="G21628">
        <v>32816942</v>
      </c>
      <c r="H21628">
        <v>32817027</v>
      </c>
      <c r="I21628">
        <v>32817032</v>
      </c>
    </row>
    <row r="21629" spans="1:9" x14ac:dyDescent="0.2">
      <c r="A21629" t="str">
        <f>"Tsn"</f>
        <v>Tsn</v>
      </c>
      <c r="B21629" t="s">
        <v>14</v>
      </c>
      <c r="C21629" t="s">
        <v>19</v>
      </c>
      <c r="D21629" t="s">
        <v>11</v>
      </c>
      <c r="E21629" t="s">
        <v>12</v>
      </c>
      <c r="F21629">
        <v>118311163</v>
      </c>
      <c r="G21629">
        <v>118311221</v>
      </c>
      <c r="H21629">
        <v>118311163</v>
      </c>
      <c r="I21629">
        <v>118311221</v>
      </c>
    </row>
    <row r="21630" spans="1:9" x14ac:dyDescent="0.2">
      <c r="A21630" t="str">
        <f>"Tsnax"</f>
        <v>Tsnax</v>
      </c>
      <c r="B21630" t="s">
        <v>14</v>
      </c>
      <c r="C21630" t="s">
        <v>30</v>
      </c>
      <c r="D21630" t="s">
        <v>17</v>
      </c>
      <c r="E21630" t="s">
        <v>12</v>
      </c>
      <c r="F21630">
        <v>125013033</v>
      </c>
      <c r="G21630">
        <v>125013095</v>
      </c>
      <c r="H21630">
        <v>125012986</v>
      </c>
      <c r="I21630">
        <v>125013006</v>
      </c>
    </row>
    <row r="21631" spans="1:9" x14ac:dyDescent="0.2">
      <c r="A21631" t="str">
        <f>"Tsnaxip1"</f>
        <v>Tsnaxip1</v>
      </c>
      <c r="B21631" t="s">
        <v>14</v>
      </c>
      <c r="C21631" t="s">
        <v>30</v>
      </c>
      <c r="D21631" t="s">
        <v>17</v>
      </c>
      <c r="E21631" t="s">
        <v>12</v>
      </c>
      <c r="F21631">
        <v>105827721</v>
      </c>
      <c r="G21631">
        <v>105827751</v>
      </c>
      <c r="H21631">
        <v>105827753</v>
      </c>
      <c r="I21631">
        <v>105827769</v>
      </c>
    </row>
    <row r="21632" spans="1:9" x14ac:dyDescent="0.2">
      <c r="A21632" t="str">
        <f>"Tspan1"</f>
        <v>Tspan1</v>
      </c>
      <c r="B21632" t="s">
        <v>14</v>
      </c>
      <c r="C21632" t="s">
        <v>23</v>
      </c>
      <c r="D21632" t="s">
        <v>11</v>
      </c>
      <c r="E21632" t="s">
        <v>12</v>
      </c>
      <c r="F21632">
        <v>116167591</v>
      </c>
      <c r="G21632">
        <v>116167607</v>
      </c>
      <c r="H21632">
        <v>116167563</v>
      </c>
      <c r="I21632">
        <v>116167579</v>
      </c>
    </row>
    <row r="21633" spans="1:9" x14ac:dyDescent="0.2">
      <c r="A21633" t="str">
        <f>"Tspan10"</f>
        <v>Tspan10</v>
      </c>
      <c r="B21633" t="s">
        <v>14</v>
      </c>
      <c r="C21633" t="s">
        <v>27</v>
      </c>
      <c r="D21633" t="s">
        <v>17</v>
      </c>
      <c r="E21633" t="s">
        <v>12</v>
      </c>
      <c r="F21633">
        <v>120442653</v>
      </c>
      <c r="G21633">
        <v>120442701</v>
      </c>
      <c r="H21633">
        <v>120442648</v>
      </c>
      <c r="I21633">
        <v>120442649</v>
      </c>
    </row>
    <row r="21634" spans="1:9" x14ac:dyDescent="0.2">
      <c r="A21634" t="str">
        <f>"Tspan11"</f>
        <v>Tspan11</v>
      </c>
      <c r="B21634" t="s">
        <v>14</v>
      </c>
      <c r="C21634" t="s">
        <v>32</v>
      </c>
      <c r="D21634" t="s">
        <v>17</v>
      </c>
      <c r="E21634" t="s">
        <v>12</v>
      </c>
      <c r="F21634">
        <v>127887582</v>
      </c>
      <c r="G21634">
        <v>127887639</v>
      </c>
      <c r="H21634">
        <v>127887763</v>
      </c>
      <c r="I21634">
        <v>127887777</v>
      </c>
    </row>
    <row r="21635" spans="1:9" x14ac:dyDescent="0.2">
      <c r="A21635" t="str">
        <f>"Tspan12"</f>
        <v>Tspan12</v>
      </c>
      <c r="B21635" t="s">
        <v>14</v>
      </c>
      <c r="C21635" t="s">
        <v>32</v>
      </c>
      <c r="D21635" t="s">
        <v>11</v>
      </c>
      <c r="E21635" t="s">
        <v>12</v>
      </c>
      <c r="F21635">
        <v>21852126</v>
      </c>
      <c r="G21635">
        <v>21852183</v>
      </c>
      <c r="H21635">
        <v>21852523</v>
      </c>
      <c r="I21635">
        <v>21852540</v>
      </c>
    </row>
    <row r="21636" spans="1:9" x14ac:dyDescent="0.2">
      <c r="A21636" t="str">
        <f>"Tspan13"</f>
        <v>Tspan13</v>
      </c>
      <c r="B21636" t="s">
        <v>14</v>
      </c>
      <c r="C21636" t="s">
        <v>16</v>
      </c>
      <c r="D21636" t="s">
        <v>11</v>
      </c>
      <c r="E21636" t="s">
        <v>12</v>
      </c>
      <c r="F21636">
        <v>36042476</v>
      </c>
      <c r="G21636">
        <v>36042516</v>
      </c>
      <c r="H21636">
        <v>36042451</v>
      </c>
      <c r="I21636">
        <v>36042462</v>
      </c>
    </row>
    <row r="21637" spans="1:9" x14ac:dyDescent="0.2">
      <c r="A21637" t="str">
        <f>"Tspan14"</f>
        <v>Tspan14</v>
      </c>
      <c r="B21637" t="s">
        <v>14</v>
      </c>
      <c r="C21637" t="s">
        <v>41</v>
      </c>
      <c r="D21637" t="s">
        <v>11</v>
      </c>
      <c r="E21637" t="s">
        <v>12</v>
      </c>
      <c r="F21637">
        <v>40966814</v>
      </c>
      <c r="G21637">
        <v>40966848</v>
      </c>
      <c r="H21637">
        <v>40966852</v>
      </c>
      <c r="I21637">
        <v>40966869</v>
      </c>
    </row>
    <row r="21638" spans="1:9" x14ac:dyDescent="0.2">
      <c r="A21638" t="str">
        <f>"Tspan15"</f>
        <v>Tspan15</v>
      </c>
      <c r="B21638" t="s">
        <v>14</v>
      </c>
      <c r="C21638" t="s">
        <v>15</v>
      </c>
      <c r="D21638" t="s">
        <v>11</v>
      </c>
      <c r="E21638" t="s">
        <v>12</v>
      </c>
      <c r="F21638">
        <v>62231208</v>
      </c>
      <c r="G21638">
        <v>62231232</v>
      </c>
      <c r="H21638">
        <v>62231208</v>
      </c>
      <c r="I21638">
        <v>62231232</v>
      </c>
    </row>
    <row r="21639" spans="1:9" x14ac:dyDescent="0.2">
      <c r="A21639" t="str">
        <f>"Tspan17"</f>
        <v>Tspan17</v>
      </c>
      <c r="B21639" t="s">
        <v>14</v>
      </c>
      <c r="C21639" t="s">
        <v>39</v>
      </c>
      <c r="D21639" t="s">
        <v>17</v>
      </c>
      <c r="E21639" t="s">
        <v>12</v>
      </c>
      <c r="F21639">
        <v>54789426</v>
      </c>
      <c r="G21639">
        <v>54789497</v>
      </c>
      <c r="H21639">
        <v>54789415</v>
      </c>
      <c r="I21639">
        <v>54789424</v>
      </c>
    </row>
    <row r="21640" spans="1:9" x14ac:dyDescent="0.2">
      <c r="A21640" t="str">
        <f>"Tspan18"</f>
        <v>Tspan18</v>
      </c>
      <c r="B21640" t="s">
        <v>9</v>
      </c>
      <c r="C21640" t="s">
        <v>26</v>
      </c>
      <c r="D21640" t="s">
        <v>11</v>
      </c>
      <c r="E21640" t="s">
        <v>12</v>
      </c>
      <c r="F21640">
        <v>93334467</v>
      </c>
      <c r="G21640">
        <v>93334515</v>
      </c>
      <c r="H21640">
        <v>93334467</v>
      </c>
      <c r="I21640">
        <v>93334515</v>
      </c>
    </row>
    <row r="21641" spans="1:9" x14ac:dyDescent="0.2">
      <c r="A21641" t="str">
        <f>"Tspan18"</f>
        <v>Tspan18</v>
      </c>
      <c r="B21641" t="s">
        <v>13</v>
      </c>
      <c r="C21641" t="s">
        <v>26</v>
      </c>
      <c r="D21641" t="s">
        <v>11</v>
      </c>
      <c r="E21641" t="s">
        <v>12</v>
      </c>
      <c r="F21641">
        <v>93227753</v>
      </c>
      <c r="G21641">
        <v>93227763</v>
      </c>
      <c r="H21641">
        <v>93227753</v>
      </c>
      <c r="I21641">
        <v>93227763</v>
      </c>
    </row>
    <row r="21642" spans="1:9" x14ac:dyDescent="0.2">
      <c r="A21642" t="str">
        <f>"Tspan2"</f>
        <v>Tspan2</v>
      </c>
      <c r="B21642" t="s">
        <v>14</v>
      </c>
      <c r="C21642" t="s">
        <v>22</v>
      </c>
      <c r="D21642" t="s">
        <v>17</v>
      </c>
      <c r="E21642" t="s">
        <v>12</v>
      </c>
      <c r="F21642">
        <v>102734956</v>
      </c>
      <c r="G21642">
        <v>102734977</v>
      </c>
      <c r="H21642">
        <v>102734903</v>
      </c>
      <c r="I21642">
        <v>102734952</v>
      </c>
    </row>
    <row r="21643" spans="1:9" x14ac:dyDescent="0.2">
      <c r="A21643" t="str">
        <f>"Tspan3"</f>
        <v>Tspan3</v>
      </c>
      <c r="B21643" t="s">
        <v>14</v>
      </c>
      <c r="C21643" t="s">
        <v>24</v>
      </c>
      <c r="D21643" t="s">
        <v>11</v>
      </c>
      <c r="E21643" t="s">
        <v>12</v>
      </c>
      <c r="F21643">
        <v>56160998</v>
      </c>
      <c r="G21643">
        <v>56161045</v>
      </c>
      <c r="H21643">
        <v>56160940</v>
      </c>
      <c r="I21643">
        <v>56160968</v>
      </c>
    </row>
    <row r="21644" spans="1:9" x14ac:dyDescent="0.2">
      <c r="A21644" t="str">
        <f>"Tspan31"</f>
        <v>Tspan31</v>
      </c>
      <c r="B21644" t="s">
        <v>14</v>
      </c>
      <c r="C21644" t="s">
        <v>15</v>
      </c>
      <c r="D21644" t="s">
        <v>11</v>
      </c>
      <c r="E21644" t="s">
        <v>12</v>
      </c>
      <c r="F21644">
        <v>127070254</v>
      </c>
      <c r="G21644">
        <v>127070302</v>
      </c>
      <c r="H21644">
        <v>127070232</v>
      </c>
      <c r="I21644">
        <v>127070249</v>
      </c>
    </row>
    <row r="21645" spans="1:9" x14ac:dyDescent="0.2">
      <c r="A21645" t="str">
        <f>"Tspan32"</f>
        <v>Tspan32</v>
      </c>
      <c r="B21645" t="s">
        <v>14</v>
      </c>
      <c r="C21645" t="s">
        <v>33</v>
      </c>
      <c r="D21645" t="s">
        <v>17</v>
      </c>
      <c r="E21645" t="s">
        <v>12</v>
      </c>
      <c r="F21645">
        <v>143005677</v>
      </c>
      <c r="G21645">
        <v>143005703</v>
      </c>
      <c r="H21645">
        <v>143005649</v>
      </c>
      <c r="I21645">
        <v>143005673</v>
      </c>
    </row>
    <row r="21646" spans="1:9" x14ac:dyDescent="0.2">
      <c r="A21646" t="str">
        <f>"Tspan33"</f>
        <v>Tspan33</v>
      </c>
      <c r="B21646" t="s">
        <v>14</v>
      </c>
      <c r="C21646" t="s">
        <v>32</v>
      </c>
      <c r="D21646" t="s">
        <v>17</v>
      </c>
      <c r="E21646" t="s">
        <v>12</v>
      </c>
      <c r="F21646">
        <v>29694204</v>
      </c>
      <c r="G21646">
        <v>29694250</v>
      </c>
      <c r="H21646">
        <v>29694182</v>
      </c>
      <c r="I21646">
        <v>29694194</v>
      </c>
    </row>
    <row r="21647" spans="1:9" x14ac:dyDescent="0.2">
      <c r="A21647" t="str">
        <f>"Tspan4"</f>
        <v>Tspan4</v>
      </c>
      <c r="B21647" t="s">
        <v>9</v>
      </c>
      <c r="C21647" t="s">
        <v>33</v>
      </c>
      <c r="D21647" t="s">
        <v>17</v>
      </c>
      <c r="E21647" t="s">
        <v>12</v>
      </c>
      <c r="F21647">
        <v>141475266</v>
      </c>
      <c r="G21647">
        <v>141475292</v>
      </c>
      <c r="H21647">
        <v>141475266</v>
      </c>
      <c r="I21647">
        <v>141475292</v>
      </c>
    </row>
    <row r="21648" spans="1:9" x14ac:dyDescent="0.2">
      <c r="A21648" t="str">
        <f>"Tspan4"</f>
        <v>Tspan4</v>
      </c>
      <c r="B21648" t="s">
        <v>13</v>
      </c>
      <c r="C21648" t="s">
        <v>33</v>
      </c>
      <c r="D21648" t="s">
        <v>17</v>
      </c>
      <c r="E21648" t="s">
        <v>12</v>
      </c>
      <c r="F21648">
        <v>141476413</v>
      </c>
      <c r="G21648">
        <v>141476455</v>
      </c>
      <c r="H21648">
        <v>141476413</v>
      </c>
      <c r="I21648">
        <v>141476455</v>
      </c>
    </row>
    <row r="21649" spans="1:9" x14ac:dyDescent="0.2">
      <c r="A21649" t="str">
        <f>"Tspan5"</f>
        <v>Tspan5</v>
      </c>
      <c r="B21649" t="s">
        <v>14</v>
      </c>
      <c r="C21649" t="s">
        <v>22</v>
      </c>
      <c r="D21649" t="s">
        <v>17</v>
      </c>
      <c r="E21649" t="s">
        <v>12</v>
      </c>
      <c r="F21649">
        <v>138742228</v>
      </c>
      <c r="G21649">
        <v>138742322</v>
      </c>
      <c r="H21649">
        <v>138742323</v>
      </c>
      <c r="I21649">
        <v>138742332</v>
      </c>
    </row>
    <row r="21650" spans="1:9" x14ac:dyDescent="0.2">
      <c r="A21650" t="str">
        <f>"Tspan6"</f>
        <v>Tspan6</v>
      </c>
      <c r="B21650" t="s">
        <v>14</v>
      </c>
      <c r="C21650" t="s">
        <v>37</v>
      </c>
      <c r="D21650" t="s">
        <v>11</v>
      </c>
      <c r="E21650" t="s">
        <v>12</v>
      </c>
      <c r="F21650">
        <v>133898292</v>
      </c>
      <c r="G21650">
        <v>133898377</v>
      </c>
      <c r="H21650">
        <v>133898399</v>
      </c>
      <c r="I21650">
        <v>133898413</v>
      </c>
    </row>
    <row r="21651" spans="1:9" x14ac:dyDescent="0.2">
      <c r="A21651" t="str">
        <f>"Tspan7"</f>
        <v>Tspan7</v>
      </c>
      <c r="B21651" t="s">
        <v>14</v>
      </c>
      <c r="C21651" t="s">
        <v>37</v>
      </c>
      <c r="D21651" t="s">
        <v>17</v>
      </c>
      <c r="E21651" t="s">
        <v>12</v>
      </c>
      <c r="F21651">
        <v>10485121</v>
      </c>
      <c r="G21651">
        <v>10485163</v>
      </c>
      <c r="H21651">
        <v>10485121</v>
      </c>
      <c r="I21651">
        <v>10485163</v>
      </c>
    </row>
    <row r="21652" spans="1:9" x14ac:dyDescent="0.2">
      <c r="A21652" t="str">
        <f>"Tspan8"</f>
        <v>Tspan8</v>
      </c>
      <c r="B21652" t="s">
        <v>14</v>
      </c>
      <c r="C21652" t="s">
        <v>15</v>
      </c>
      <c r="D21652" t="s">
        <v>17</v>
      </c>
      <c r="E21652" t="s">
        <v>12</v>
      </c>
      <c r="F21652">
        <v>115817460</v>
      </c>
      <c r="G21652">
        <v>115817489</v>
      </c>
      <c r="H21652">
        <v>115817247</v>
      </c>
      <c r="I21652">
        <v>115817323</v>
      </c>
    </row>
    <row r="21653" spans="1:9" x14ac:dyDescent="0.2">
      <c r="A21653" t="str">
        <f>"Tspan9"</f>
        <v>Tspan9</v>
      </c>
      <c r="B21653" t="s">
        <v>14</v>
      </c>
      <c r="C21653" t="s">
        <v>32</v>
      </c>
      <c r="D21653" t="s">
        <v>11</v>
      </c>
      <c r="E21653" t="s">
        <v>12</v>
      </c>
      <c r="F21653">
        <v>128143525</v>
      </c>
      <c r="G21653">
        <v>128143594</v>
      </c>
      <c r="H21653">
        <v>128143525</v>
      </c>
      <c r="I21653">
        <v>128143594</v>
      </c>
    </row>
    <row r="21654" spans="1:9" x14ac:dyDescent="0.2">
      <c r="A21654" t="str">
        <f>"Tspear"</f>
        <v>Tspear</v>
      </c>
      <c r="B21654" t="s">
        <v>14</v>
      </c>
      <c r="C21654" t="s">
        <v>15</v>
      </c>
      <c r="D21654" t="s">
        <v>17</v>
      </c>
      <c r="E21654" t="s">
        <v>67</v>
      </c>
      <c r="F21654">
        <v>77864615</v>
      </c>
      <c r="G21654">
        <v>77864654</v>
      </c>
      <c r="H21654">
        <v>77864530</v>
      </c>
      <c r="I21654">
        <v>77864553</v>
      </c>
    </row>
    <row r="21655" spans="1:9" x14ac:dyDescent="0.2">
      <c r="A21655" t="str">
        <f>"Tspo"</f>
        <v>Tspo</v>
      </c>
      <c r="B21655" t="s">
        <v>14</v>
      </c>
      <c r="C21655" t="s">
        <v>25</v>
      </c>
      <c r="D21655" t="s">
        <v>17</v>
      </c>
      <c r="E21655" t="s">
        <v>12</v>
      </c>
      <c r="F21655">
        <v>83563583</v>
      </c>
      <c r="G21655">
        <v>83563620</v>
      </c>
      <c r="H21655">
        <v>83563571</v>
      </c>
      <c r="I21655">
        <v>83563580</v>
      </c>
    </row>
    <row r="21656" spans="1:9" x14ac:dyDescent="0.2">
      <c r="A21656" t="str">
        <f>"Tspo2"</f>
        <v>Tspo2</v>
      </c>
      <c r="B21656" t="s">
        <v>14</v>
      </c>
      <c r="C21656" t="s">
        <v>28</v>
      </c>
      <c r="D21656" t="s">
        <v>11</v>
      </c>
      <c r="E21656" t="s">
        <v>12</v>
      </c>
      <c r="F21656">
        <v>48451510</v>
      </c>
      <c r="G21656">
        <v>48451530</v>
      </c>
      <c r="H21656">
        <v>48451479</v>
      </c>
      <c r="I21656">
        <v>48451509</v>
      </c>
    </row>
    <row r="21657" spans="1:9" x14ac:dyDescent="0.2">
      <c r="A21657" t="str">
        <f>"Tspyl1"</f>
        <v>Tspyl1</v>
      </c>
      <c r="B21657" t="s">
        <v>14</v>
      </c>
      <c r="C21657" t="s">
        <v>15</v>
      </c>
      <c r="D21657" t="s">
        <v>17</v>
      </c>
      <c r="E21657" t="s">
        <v>12</v>
      </c>
      <c r="F21657">
        <v>34282199</v>
      </c>
      <c r="G21657">
        <v>34282278</v>
      </c>
      <c r="H21657">
        <v>34282179</v>
      </c>
      <c r="I21657">
        <v>34282193</v>
      </c>
    </row>
    <row r="21658" spans="1:9" x14ac:dyDescent="0.2">
      <c r="A21658" t="str">
        <f>"Tspyl2"</f>
        <v>Tspyl2</v>
      </c>
      <c r="B21658" t="s">
        <v>14</v>
      </c>
      <c r="C21658" t="s">
        <v>37</v>
      </c>
      <c r="D21658" t="s">
        <v>11</v>
      </c>
      <c r="E21658" t="s">
        <v>12</v>
      </c>
      <c r="F21658">
        <v>152342433</v>
      </c>
      <c r="G21658">
        <v>152342457</v>
      </c>
      <c r="H21658">
        <v>152342419</v>
      </c>
      <c r="I21658">
        <v>152342430</v>
      </c>
    </row>
    <row r="21659" spans="1:9" x14ac:dyDescent="0.2">
      <c r="A21659" t="str">
        <f>"Tspyl3"</f>
        <v>Tspyl3</v>
      </c>
      <c r="B21659" t="s">
        <v>14</v>
      </c>
      <c r="C21659" t="s">
        <v>26</v>
      </c>
      <c r="D21659" t="s">
        <v>11</v>
      </c>
      <c r="E21659" t="s">
        <v>12</v>
      </c>
      <c r="F21659">
        <v>153225396</v>
      </c>
      <c r="G21659">
        <v>153225442</v>
      </c>
      <c r="H21659">
        <v>153225377</v>
      </c>
      <c r="I21659">
        <v>153225394</v>
      </c>
    </row>
    <row r="21660" spans="1:9" x14ac:dyDescent="0.2">
      <c r="A21660" t="str">
        <f>"Tspyl4"</f>
        <v>Tspyl4</v>
      </c>
      <c r="B21660" t="s">
        <v>14</v>
      </c>
      <c r="C21660" t="s">
        <v>15</v>
      </c>
      <c r="D21660" t="s">
        <v>17</v>
      </c>
      <c r="E21660" t="s">
        <v>12</v>
      </c>
      <c r="F21660">
        <v>34297432</v>
      </c>
      <c r="G21660">
        <v>34297513</v>
      </c>
      <c r="H21660">
        <v>34297432</v>
      </c>
      <c r="I21660">
        <v>34297513</v>
      </c>
    </row>
    <row r="21661" spans="1:9" x14ac:dyDescent="0.2">
      <c r="A21661" t="str">
        <f>"Tspyl5"</f>
        <v>Tspyl5</v>
      </c>
      <c r="B21661" t="s">
        <v>14</v>
      </c>
      <c r="C21661" t="s">
        <v>25</v>
      </c>
      <c r="D21661" t="s">
        <v>11</v>
      </c>
      <c r="E21661" t="s">
        <v>12</v>
      </c>
      <c r="F21661">
        <v>33687840</v>
      </c>
      <c r="G21661">
        <v>33687864</v>
      </c>
      <c r="H21661">
        <v>33687804</v>
      </c>
      <c r="I21661">
        <v>33687835</v>
      </c>
    </row>
    <row r="21662" spans="1:9" x14ac:dyDescent="0.2">
      <c r="A21662" t="str">
        <f>"Tsr1"</f>
        <v>Tsr1</v>
      </c>
      <c r="B21662" t="s">
        <v>14</v>
      </c>
      <c r="C21662" t="s">
        <v>27</v>
      </c>
      <c r="D21662" t="s">
        <v>17</v>
      </c>
      <c r="E21662" t="s">
        <v>12</v>
      </c>
      <c r="F21662">
        <v>74898081</v>
      </c>
      <c r="G21662">
        <v>74898106</v>
      </c>
      <c r="H21662">
        <v>74898081</v>
      </c>
      <c r="I21662">
        <v>74898106</v>
      </c>
    </row>
    <row r="21663" spans="1:9" x14ac:dyDescent="0.2">
      <c r="A21663" t="str">
        <f>"Tsr2"</f>
        <v>Tsr2</v>
      </c>
      <c r="B21663" t="s">
        <v>14</v>
      </c>
      <c r="C21663" t="s">
        <v>37</v>
      </c>
      <c r="D21663" t="s">
        <v>11</v>
      </c>
      <c r="E21663" t="s">
        <v>12</v>
      </c>
      <c r="F21663">
        <v>151096510</v>
      </c>
      <c r="G21663">
        <v>151096530</v>
      </c>
      <c r="H21663">
        <v>151096510</v>
      </c>
      <c r="I21663">
        <v>151096530</v>
      </c>
    </row>
    <row r="21664" spans="1:9" x14ac:dyDescent="0.2">
      <c r="A21664" t="str">
        <f>"Tsr3"</f>
        <v>Tsr3</v>
      </c>
      <c r="B21664" t="s">
        <v>14</v>
      </c>
      <c r="C21664" t="s">
        <v>28</v>
      </c>
      <c r="D21664" t="s">
        <v>17</v>
      </c>
      <c r="E21664" t="s">
        <v>67</v>
      </c>
      <c r="F21664">
        <v>25240166</v>
      </c>
      <c r="G21664">
        <v>25240220</v>
      </c>
      <c r="H21664">
        <v>25240225</v>
      </c>
      <c r="I21664">
        <v>25240245</v>
      </c>
    </row>
    <row r="21665" spans="1:9" x14ac:dyDescent="0.2">
      <c r="A21665" t="str">
        <f>"Tssc1"</f>
        <v>Tssc1</v>
      </c>
      <c r="B21665" t="s">
        <v>14</v>
      </c>
      <c r="C21665" t="s">
        <v>16</v>
      </c>
      <c r="D21665" t="s">
        <v>17</v>
      </c>
      <c r="E21665" t="s">
        <v>12</v>
      </c>
      <c r="F21665">
        <v>28751798</v>
      </c>
      <c r="G21665">
        <v>28751868</v>
      </c>
      <c r="H21665">
        <v>28751917</v>
      </c>
      <c r="I21665">
        <v>28751921</v>
      </c>
    </row>
    <row r="21666" spans="1:9" x14ac:dyDescent="0.2">
      <c r="A21666" t="str">
        <f>"Tssc4"</f>
        <v>Tssc4</v>
      </c>
      <c r="B21666" t="s">
        <v>14</v>
      </c>
      <c r="C21666" t="s">
        <v>33</v>
      </c>
      <c r="D21666" t="s">
        <v>17</v>
      </c>
      <c r="E21666" t="s">
        <v>12</v>
      </c>
      <c r="F21666">
        <v>143069397</v>
      </c>
      <c r="G21666">
        <v>143069500</v>
      </c>
      <c r="H21666">
        <v>143069506</v>
      </c>
      <c r="I21666">
        <v>143069521</v>
      </c>
    </row>
    <row r="21667" spans="1:9" x14ac:dyDescent="0.2">
      <c r="A21667" t="str">
        <f>"Tssk1"</f>
        <v>Tssk1</v>
      </c>
      <c r="B21667" t="s">
        <v>14</v>
      </c>
      <c r="C21667" t="s">
        <v>31</v>
      </c>
      <c r="D21667" t="s">
        <v>17</v>
      </c>
      <c r="E21667" t="s">
        <v>12</v>
      </c>
      <c r="F21667">
        <v>17894197</v>
      </c>
      <c r="G21667">
        <v>17894232</v>
      </c>
      <c r="H21667">
        <v>17894244</v>
      </c>
      <c r="I21667">
        <v>17894257</v>
      </c>
    </row>
    <row r="21668" spans="1:9" x14ac:dyDescent="0.2">
      <c r="A21668" t="str">
        <f>"Tssk2"</f>
        <v>Tssk2</v>
      </c>
      <c r="B21668" t="s">
        <v>14</v>
      </c>
      <c r="C21668" t="s">
        <v>31</v>
      </c>
      <c r="D21668" t="s">
        <v>17</v>
      </c>
      <c r="E21668" t="s">
        <v>12</v>
      </c>
      <c r="F21668">
        <v>17898617</v>
      </c>
      <c r="G21668">
        <v>17898647</v>
      </c>
      <c r="H21668">
        <v>17898648</v>
      </c>
      <c r="I21668">
        <v>17898673</v>
      </c>
    </row>
    <row r="21669" spans="1:9" x14ac:dyDescent="0.2">
      <c r="A21669" t="str">
        <f>"Tssk3"</f>
        <v>Tssk3</v>
      </c>
      <c r="B21669" t="s">
        <v>14</v>
      </c>
      <c r="C21669" t="s">
        <v>23</v>
      </c>
      <c r="D21669" t="s">
        <v>11</v>
      </c>
      <c r="E21669" t="s">
        <v>12</v>
      </c>
      <c r="F21669">
        <v>129490760</v>
      </c>
      <c r="G21669">
        <v>129490776</v>
      </c>
      <c r="H21669">
        <v>129491108</v>
      </c>
      <c r="I21669">
        <v>129491119</v>
      </c>
    </row>
    <row r="21670" spans="1:9" x14ac:dyDescent="0.2">
      <c r="A21670" t="str">
        <f>"Tssk4"</f>
        <v>Tssk4</v>
      </c>
      <c r="B21670" t="s">
        <v>14</v>
      </c>
      <c r="C21670" t="s">
        <v>41</v>
      </c>
      <c r="D21670" t="s">
        <v>17</v>
      </c>
      <c r="E21670" t="s">
        <v>12</v>
      </c>
      <c r="F21670">
        <v>55650170</v>
      </c>
      <c r="G21670">
        <v>55650197</v>
      </c>
      <c r="H21670">
        <v>55650201</v>
      </c>
      <c r="I21670">
        <v>55650226</v>
      </c>
    </row>
    <row r="21671" spans="1:9" x14ac:dyDescent="0.2">
      <c r="A21671" t="str">
        <f>"Tssk5"</f>
        <v>Tssk5</v>
      </c>
      <c r="B21671" t="s">
        <v>14</v>
      </c>
      <c r="C21671" t="s">
        <v>25</v>
      </c>
      <c r="D21671" t="s">
        <v>11</v>
      </c>
      <c r="E21671" t="s">
        <v>12</v>
      </c>
      <c r="F21671">
        <v>76374926</v>
      </c>
      <c r="G21671">
        <v>76374942</v>
      </c>
      <c r="H21671">
        <v>76374915</v>
      </c>
      <c r="I21671">
        <v>76374925</v>
      </c>
    </row>
    <row r="21672" spans="1:9" x14ac:dyDescent="0.2">
      <c r="A21672" t="str">
        <f>"Tssk6"</f>
        <v>Tssk6</v>
      </c>
      <c r="B21672" t="s">
        <v>14</v>
      </c>
      <c r="C21672" t="s">
        <v>30</v>
      </c>
      <c r="D21672" t="s">
        <v>17</v>
      </c>
      <c r="E21672" t="s">
        <v>12</v>
      </c>
      <c r="F21672">
        <v>69902178</v>
      </c>
      <c r="G21672">
        <v>69902194</v>
      </c>
      <c r="H21672">
        <v>69901750</v>
      </c>
      <c r="I21672">
        <v>69901791</v>
      </c>
    </row>
    <row r="21673" spans="1:9" x14ac:dyDescent="0.2">
      <c r="A21673" t="str">
        <f>"Tst"</f>
        <v>Tst</v>
      </c>
      <c r="B21673" t="s">
        <v>14</v>
      </c>
      <c r="C21673" t="s">
        <v>25</v>
      </c>
      <c r="D21673" t="s">
        <v>11</v>
      </c>
      <c r="E21673" t="s">
        <v>12</v>
      </c>
      <c r="F21673">
        <v>78405824</v>
      </c>
      <c r="G21673">
        <v>78405917</v>
      </c>
      <c r="H21673">
        <v>78405985</v>
      </c>
      <c r="I21673">
        <v>78405993</v>
      </c>
    </row>
    <row r="21674" spans="1:9" x14ac:dyDescent="0.2">
      <c r="A21674" t="str">
        <f>"Tsta3"</f>
        <v>Tsta3</v>
      </c>
      <c r="B21674" t="s">
        <v>14</v>
      </c>
      <c r="C21674" t="s">
        <v>25</v>
      </c>
      <c r="D21674" t="s">
        <v>11</v>
      </c>
      <c r="E21674" t="s">
        <v>12</v>
      </c>
      <c r="F21674">
        <v>75929733</v>
      </c>
      <c r="G21674">
        <v>75929772</v>
      </c>
      <c r="H21674">
        <v>75929698</v>
      </c>
      <c r="I21674">
        <v>75929719</v>
      </c>
    </row>
    <row r="21675" spans="1:9" x14ac:dyDescent="0.2">
      <c r="A21675" t="str">
        <f>"Tstd1"</f>
        <v>Tstd1</v>
      </c>
      <c r="B21675" t="s">
        <v>14</v>
      </c>
      <c r="C21675" t="s">
        <v>19</v>
      </c>
      <c r="D21675" t="s">
        <v>17</v>
      </c>
      <c r="E21675" t="s">
        <v>12</v>
      </c>
      <c r="F21675">
        <v>171419060</v>
      </c>
      <c r="G21675">
        <v>171419092</v>
      </c>
      <c r="H21675">
        <v>171419027</v>
      </c>
      <c r="I21675">
        <v>171419052</v>
      </c>
    </row>
    <row r="21676" spans="1:9" x14ac:dyDescent="0.2">
      <c r="A21676" t="str">
        <f>"Tstd2"</f>
        <v>Tstd2</v>
      </c>
      <c r="B21676" t="s">
        <v>14</v>
      </c>
      <c r="C21676" t="s">
        <v>23</v>
      </c>
      <c r="D21676" t="s">
        <v>11</v>
      </c>
      <c r="E21676" t="s">
        <v>12</v>
      </c>
      <c r="F21676">
        <v>46138398</v>
      </c>
      <c r="G21676">
        <v>46138464</v>
      </c>
      <c r="H21676">
        <v>46138667</v>
      </c>
      <c r="I21676">
        <v>46138730</v>
      </c>
    </row>
    <row r="21677" spans="1:9" x14ac:dyDescent="0.2">
      <c r="A21677" t="str">
        <f>"Tstd3"</f>
        <v>Tstd3</v>
      </c>
      <c r="B21677" t="s">
        <v>14</v>
      </c>
      <c r="C21677" t="s">
        <v>23</v>
      </c>
      <c r="D21677" t="s">
        <v>11</v>
      </c>
      <c r="E21677" t="s">
        <v>67</v>
      </c>
      <c r="F21677">
        <v>21767173</v>
      </c>
      <c r="G21677">
        <v>21767217</v>
      </c>
      <c r="H21677">
        <v>21767115</v>
      </c>
      <c r="I21677">
        <v>21767142</v>
      </c>
    </row>
    <row r="21678" spans="1:9" x14ac:dyDescent="0.2">
      <c r="A21678" t="str">
        <f>"Tsx"</f>
        <v>Tsx</v>
      </c>
      <c r="B21678" t="s">
        <v>14</v>
      </c>
      <c r="C21678" t="s">
        <v>37</v>
      </c>
      <c r="D21678" t="s">
        <v>17</v>
      </c>
      <c r="E21678" t="s">
        <v>12</v>
      </c>
      <c r="F21678">
        <v>103414461</v>
      </c>
      <c r="G21678">
        <v>103414481</v>
      </c>
      <c r="H21678">
        <v>103414461</v>
      </c>
      <c r="I21678">
        <v>103414481</v>
      </c>
    </row>
    <row r="21679" spans="1:9" x14ac:dyDescent="0.2">
      <c r="A21679" t="str">
        <f>"Ttbk1"</f>
        <v>Ttbk1</v>
      </c>
      <c r="B21679" t="s">
        <v>14</v>
      </c>
      <c r="C21679" t="s">
        <v>28</v>
      </c>
      <c r="D21679" t="s">
        <v>11</v>
      </c>
      <c r="E21679" t="s">
        <v>12</v>
      </c>
      <c r="F21679">
        <v>46487641</v>
      </c>
      <c r="G21679">
        <v>46487682</v>
      </c>
      <c r="H21679">
        <v>46487469</v>
      </c>
      <c r="I21679">
        <v>46487483</v>
      </c>
    </row>
    <row r="21680" spans="1:9" x14ac:dyDescent="0.2">
      <c r="A21680" t="str">
        <f>"Ttbk2"</f>
        <v>Ttbk2</v>
      </c>
      <c r="B21680" t="s">
        <v>14</v>
      </c>
      <c r="C21680" t="s">
        <v>26</v>
      </c>
      <c r="D21680" t="s">
        <v>11</v>
      </c>
      <c r="E21680" t="s">
        <v>12</v>
      </c>
      <c r="F21680">
        <v>120850369</v>
      </c>
      <c r="G21680">
        <v>120850387</v>
      </c>
      <c r="H21680">
        <v>120850389</v>
      </c>
      <c r="I21680">
        <v>120850417</v>
      </c>
    </row>
    <row r="21681" spans="1:9" x14ac:dyDescent="0.2">
      <c r="A21681" t="str">
        <f>"Ttc1"</f>
        <v>Ttc1</v>
      </c>
      <c r="B21681" t="s">
        <v>14</v>
      </c>
      <c r="C21681" t="s">
        <v>27</v>
      </c>
      <c r="D21681" t="s">
        <v>11</v>
      </c>
      <c r="E21681" t="s">
        <v>12</v>
      </c>
      <c r="F21681">
        <v>43747963</v>
      </c>
      <c r="G21681">
        <v>43748015</v>
      </c>
      <c r="H21681">
        <v>43748055</v>
      </c>
      <c r="I21681">
        <v>43748061</v>
      </c>
    </row>
    <row r="21682" spans="1:9" x14ac:dyDescent="0.2">
      <c r="A21682" t="str">
        <f>"Ttc12"</f>
        <v>Ttc12</v>
      </c>
      <c r="B21682" t="s">
        <v>14</v>
      </c>
      <c r="C21682" t="s">
        <v>24</v>
      </c>
      <c r="D21682" t="s">
        <v>11</v>
      </c>
      <c r="E21682" t="s">
        <v>12</v>
      </c>
      <c r="F21682">
        <v>49486166</v>
      </c>
      <c r="G21682">
        <v>49486189</v>
      </c>
      <c r="H21682">
        <v>49486209</v>
      </c>
      <c r="I21682">
        <v>49486230</v>
      </c>
    </row>
    <row r="21683" spans="1:9" x14ac:dyDescent="0.2">
      <c r="A21683" t="str">
        <f>"Ttc13"</f>
        <v>Ttc13</v>
      </c>
      <c r="B21683" t="s">
        <v>14</v>
      </c>
      <c r="C21683" t="s">
        <v>30</v>
      </c>
      <c r="D21683" t="s">
        <v>11</v>
      </c>
      <c r="E21683" t="s">
        <v>12</v>
      </c>
      <c r="F21683">
        <v>124721956</v>
      </c>
      <c r="G21683">
        <v>124721999</v>
      </c>
      <c r="H21683">
        <v>124721956</v>
      </c>
      <c r="I21683">
        <v>124721999</v>
      </c>
    </row>
    <row r="21684" spans="1:9" x14ac:dyDescent="0.2">
      <c r="A21684" t="str">
        <f>"Ttc14"</f>
        <v>Ttc14</v>
      </c>
      <c r="B21684" t="s">
        <v>14</v>
      </c>
      <c r="C21684" t="s">
        <v>22</v>
      </c>
      <c r="D21684" t="s">
        <v>17</v>
      </c>
      <c r="E21684" t="s">
        <v>12</v>
      </c>
      <c r="F21684">
        <v>33800158</v>
      </c>
      <c r="G21684">
        <v>33800234</v>
      </c>
      <c r="H21684">
        <v>33800144</v>
      </c>
      <c r="I21684">
        <v>33800153</v>
      </c>
    </row>
    <row r="21685" spans="1:9" x14ac:dyDescent="0.2">
      <c r="A21685" t="str">
        <f>"Ttc16"</f>
        <v>Ttc16</v>
      </c>
      <c r="B21685" t="s">
        <v>14</v>
      </c>
      <c r="C21685" t="s">
        <v>26</v>
      </c>
      <c r="D21685" t="s">
        <v>11</v>
      </c>
      <c r="E21685" t="s">
        <v>12</v>
      </c>
      <c r="F21685">
        <v>32775357</v>
      </c>
      <c r="G21685">
        <v>32775377</v>
      </c>
      <c r="H21685">
        <v>32775378</v>
      </c>
      <c r="I21685">
        <v>32775398</v>
      </c>
    </row>
    <row r="21686" spans="1:9" x14ac:dyDescent="0.2">
      <c r="A21686" t="str">
        <f>"Ttc17"</f>
        <v>Ttc17</v>
      </c>
      <c r="B21686" t="s">
        <v>9</v>
      </c>
      <c r="C21686" t="s">
        <v>26</v>
      </c>
      <c r="D21686" t="s">
        <v>11</v>
      </c>
      <c r="E21686" t="s">
        <v>12</v>
      </c>
      <c r="F21686">
        <v>94406647</v>
      </c>
      <c r="G21686">
        <v>94406696</v>
      </c>
      <c r="H21686">
        <v>94406647</v>
      </c>
      <c r="I21686">
        <v>94406696</v>
      </c>
    </row>
    <row r="21687" spans="1:9" x14ac:dyDescent="0.2">
      <c r="A21687" t="str">
        <f>"Ttc17"</f>
        <v>Ttc17</v>
      </c>
      <c r="B21687" t="s">
        <v>13</v>
      </c>
      <c r="C21687" t="s">
        <v>26</v>
      </c>
      <c r="D21687" t="s">
        <v>11</v>
      </c>
      <c r="E21687" t="s">
        <v>12</v>
      </c>
      <c r="F21687">
        <v>94404985</v>
      </c>
      <c r="G21687">
        <v>94405002</v>
      </c>
      <c r="H21687">
        <v>94404985</v>
      </c>
      <c r="I21687">
        <v>94405002</v>
      </c>
    </row>
    <row r="21688" spans="1:9" x14ac:dyDescent="0.2">
      <c r="A21688" t="str">
        <f>"Ttc18"</f>
        <v>Ttc18</v>
      </c>
      <c r="B21688" t="s">
        <v>14</v>
      </c>
      <c r="C21688" t="s">
        <v>41</v>
      </c>
      <c r="D21688" t="s">
        <v>11</v>
      </c>
      <c r="E21688" t="s">
        <v>12</v>
      </c>
      <c r="F21688">
        <v>20452187</v>
      </c>
      <c r="G21688">
        <v>20452208</v>
      </c>
      <c r="H21688">
        <v>20452217</v>
      </c>
      <c r="I21688">
        <v>20452241</v>
      </c>
    </row>
    <row r="21689" spans="1:9" x14ac:dyDescent="0.2">
      <c r="A21689" t="str">
        <f>"Ttc19"</f>
        <v>Ttc19</v>
      </c>
      <c r="B21689" t="s">
        <v>14</v>
      </c>
      <c r="C21689" t="s">
        <v>27</v>
      </c>
      <c r="D21689" t="s">
        <v>17</v>
      </c>
      <c r="E21689" t="s">
        <v>12</v>
      </c>
      <c r="F21689">
        <v>62281457</v>
      </c>
      <c r="G21689">
        <v>62281495</v>
      </c>
      <c r="H21689">
        <v>62281440</v>
      </c>
      <c r="I21689">
        <v>62281456</v>
      </c>
    </row>
    <row r="21690" spans="1:9" x14ac:dyDescent="0.2">
      <c r="A21690" t="str">
        <f>"Ttc21a"</f>
        <v>Ttc21a</v>
      </c>
      <c r="B21690" t="s">
        <v>14</v>
      </c>
      <c r="C21690" t="s">
        <v>24</v>
      </c>
      <c r="D21690" t="s">
        <v>17</v>
      </c>
      <c r="E21690" t="s">
        <v>12</v>
      </c>
      <c r="F21690">
        <v>119937612</v>
      </c>
      <c r="G21690">
        <v>119937651</v>
      </c>
      <c r="H21690">
        <v>119937654</v>
      </c>
      <c r="I21690">
        <v>119937705</v>
      </c>
    </row>
    <row r="21691" spans="1:9" x14ac:dyDescent="0.2">
      <c r="A21691" t="str">
        <f>"Ttc21b"</f>
        <v>Ttc21b</v>
      </c>
      <c r="B21691" t="s">
        <v>14</v>
      </c>
      <c r="C21691" t="s">
        <v>26</v>
      </c>
      <c r="D21691" t="s">
        <v>11</v>
      </c>
      <c r="E21691" t="s">
        <v>12</v>
      </c>
      <c r="F21691">
        <v>66256576</v>
      </c>
      <c r="G21691">
        <v>66256645</v>
      </c>
      <c r="H21691">
        <v>66256653</v>
      </c>
      <c r="I21691">
        <v>66256667</v>
      </c>
    </row>
    <row r="21692" spans="1:9" x14ac:dyDescent="0.2">
      <c r="A21692" t="str">
        <f>"Ttc22"</f>
        <v>Ttc22</v>
      </c>
      <c r="B21692" t="s">
        <v>14</v>
      </c>
      <c r="C21692" t="s">
        <v>23</v>
      </c>
      <c r="D21692" t="s">
        <v>17</v>
      </c>
      <c r="E21692" t="s">
        <v>12</v>
      </c>
      <c r="F21692">
        <v>106622424</v>
      </c>
      <c r="G21692">
        <v>106622477</v>
      </c>
      <c r="H21692">
        <v>106622486</v>
      </c>
      <c r="I21692">
        <v>106622511</v>
      </c>
    </row>
    <row r="21693" spans="1:9" x14ac:dyDescent="0.2">
      <c r="A21693" t="str">
        <f>"Ttc23"</f>
        <v>Ttc23</v>
      </c>
      <c r="B21693" t="s">
        <v>14</v>
      </c>
      <c r="C21693" t="s">
        <v>33</v>
      </c>
      <c r="D21693" t="s">
        <v>17</v>
      </c>
      <c r="E21693" t="s">
        <v>12</v>
      </c>
      <c r="F21693">
        <v>67647405</v>
      </c>
      <c r="G21693">
        <v>67647456</v>
      </c>
      <c r="H21693">
        <v>67647457</v>
      </c>
      <c r="I21693">
        <v>67647481</v>
      </c>
    </row>
    <row r="21694" spans="1:9" x14ac:dyDescent="0.2">
      <c r="A21694" t="str">
        <f>"Ttc23l"</f>
        <v>Ttc23l</v>
      </c>
      <c r="B21694" t="s">
        <v>14</v>
      </c>
      <c r="C21694" t="s">
        <v>25</v>
      </c>
      <c r="D21694" t="s">
        <v>11</v>
      </c>
      <c r="E21694" t="s">
        <v>12</v>
      </c>
      <c r="F21694">
        <v>10558644</v>
      </c>
      <c r="G21694">
        <v>10558697</v>
      </c>
      <c r="H21694">
        <v>10558644</v>
      </c>
      <c r="I21694">
        <v>10558697</v>
      </c>
    </row>
    <row r="21695" spans="1:9" x14ac:dyDescent="0.2">
      <c r="A21695" t="str">
        <f>"Ttc24"</f>
        <v>Ttc24</v>
      </c>
      <c r="B21695" t="s">
        <v>9</v>
      </c>
      <c r="C21695" t="s">
        <v>22</v>
      </c>
      <c r="D21695" t="s">
        <v>11</v>
      </c>
      <c r="E21695" t="s">
        <v>12</v>
      </c>
      <c r="F21695">
        <v>88072046</v>
      </c>
      <c r="G21695">
        <v>88072068</v>
      </c>
      <c r="H21695">
        <v>88072046</v>
      </c>
      <c r="I21695">
        <v>88072068</v>
      </c>
    </row>
    <row r="21696" spans="1:9" x14ac:dyDescent="0.2">
      <c r="A21696" t="str">
        <f>"Ttc24"</f>
        <v>Ttc24</v>
      </c>
      <c r="B21696" t="s">
        <v>13</v>
      </c>
      <c r="C21696" t="s">
        <v>22</v>
      </c>
      <c r="D21696" t="s">
        <v>11</v>
      </c>
      <c r="E21696" t="s">
        <v>12</v>
      </c>
      <c r="F21696">
        <v>88078295</v>
      </c>
      <c r="G21696">
        <v>88078328</v>
      </c>
      <c r="H21696">
        <v>88078295</v>
      </c>
      <c r="I21696">
        <v>88078328</v>
      </c>
    </row>
    <row r="21697" spans="1:9" x14ac:dyDescent="0.2">
      <c r="A21697" t="str">
        <f>"Ttc25"</f>
        <v>Ttc25</v>
      </c>
      <c r="B21697" t="s">
        <v>14</v>
      </c>
      <c r="C21697" t="s">
        <v>27</v>
      </c>
      <c r="D21697" t="s">
        <v>17</v>
      </c>
      <c r="E21697" t="s">
        <v>12</v>
      </c>
      <c r="F21697">
        <v>100545683</v>
      </c>
      <c r="G21697">
        <v>100545736</v>
      </c>
      <c r="H21697">
        <v>100545750</v>
      </c>
      <c r="I21697">
        <v>100545770</v>
      </c>
    </row>
    <row r="21698" spans="1:9" x14ac:dyDescent="0.2">
      <c r="A21698" t="str">
        <f>"Ttc26"</f>
        <v>Ttc26</v>
      </c>
      <c r="B21698" t="s">
        <v>14</v>
      </c>
      <c r="C21698" t="s">
        <v>32</v>
      </c>
      <c r="D21698" t="s">
        <v>17</v>
      </c>
      <c r="E21698" t="s">
        <v>12</v>
      </c>
      <c r="F21698">
        <v>38381484</v>
      </c>
      <c r="G21698">
        <v>38381528</v>
      </c>
      <c r="H21698">
        <v>38381464</v>
      </c>
      <c r="I21698">
        <v>38381482</v>
      </c>
    </row>
    <row r="21699" spans="1:9" x14ac:dyDescent="0.2">
      <c r="A21699" t="str">
        <f>"Ttc27"</f>
        <v>Ttc27</v>
      </c>
      <c r="B21699" t="s">
        <v>14</v>
      </c>
      <c r="C21699" t="s">
        <v>28</v>
      </c>
      <c r="D21699" t="s">
        <v>17</v>
      </c>
      <c r="E21699" t="s">
        <v>12</v>
      </c>
      <c r="F21699">
        <v>74717743</v>
      </c>
      <c r="G21699">
        <v>74717773</v>
      </c>
      <c r="H21699">
        <v>74717864</v>
      </c>
      <c r="I21699">
        <v>74717894</v>
      </c>
    </row>
    <row r="21700" spans="1:9" x14ac:dyDescent="0.2">
      <c r="A21700" t="str">
        <f>"Ttc28"</f>
        <v>Ttc28</v>
      </c>
      <c r="B21700" t="s">
        <v>14</v>
      </c>
      <c r="C21700" t="s">
        <v>46</v>
      </c>
      <c r="D21700" t="s">
        <v>17</v>
      </c>
      <c r="E21700" t="s">
        <v>12</v>
      </c>
      <c r="F21700">
        <v>110879788</v>
      </c>
      <c r="G21700">
        <v>110879842</v>
      </c>
      <c r="H21700">
        <v>110879788</v>
      </c>
      <c r="I21700">
        <v>110879842</v>
      </c>
    </row>
    <row r="21701" spans="1:9" x14ac:dyDescent="0.2">
      <c r="A21701" t="str">
        <f>"Ttc29"</f>
        <v>Ttc29</v>
      </c>
      <c r="B21701" t="s">
        <v>14</v>
      </c>
      <c r="C21701" t="s">
        <v>30</v>
      </c>
      <c r="D21701" t="s">
        <v>17</v>
      </c>
      <c r="E21701" t="s">
        <v>12</v>
      </c>
      <c r="F21701">
        <v>78213292</v>
      </c>
      <c r="G21701">
        <v>78213371</v>
      </c>
      <c r="H21701">
        <v>78213292</v>
      </c>
      <c r="I21701">
        <v>78213371</v>
      </c>
    </row>
    <row r="21702" spans="1:9" x14ac:dyDescent="0.2">
      <c r="A21702" t="str">
        <f>"Ttc3"</f>
        <v>Ttc3</v>
      </c>
      <c r="B21702" t="s">
        <v>14</v>
      </c>
      <c r="C21702" t="s">
        <v>31</v>
      </c>
      <c r="D21702" t="s">
        <v>17</v>
      </c>
      <c r="E21702" t="s">
        <v>12</v>
      </c>
      <c r="F21702">
        <v>94370731</v>
      </c>
      <c r="G21702">
        <v>94370784</v>
      </c>
      <c r="H21702">
        <v>94370786</v>
      </c>
      <c r="I21702">
        <v>94370807</v>
      </c>
    </row>
    <row r="21703" spans="1:9" x14ac:dyDescent="0.2">
      <c r="A21703" t="str">
        <f>"Ttc30a1"</f>
        <v>Ttc30a1</v>
      </c>
      <c r="B21703" t="s">
        <v>14</v>
      </c>
      <c r="C21703" t="s">
        <v>26</v>
      </c>
      <c r="D21703" t="s">
        <v>11</v>
      </c>
      <c r="E21703" t="s">
        <v>12</v>
      </c>
      <c r="F21703">
        <v>75981738</v>
      </c>
      <c r="G21703">
        <v>75981797</v>
      </c>
      <c r="H21703">
        <v>75981966</v>
      </c>
      <c r="I21703">
        <v>75981985</v>
      </c>
    </row>
    <row r="21704" spans="1:9" x14ac:dyDescent="0.2">
      <c r="A21704" t="str">
        <f>"Ttc30a2"</f>
        <v>Ttc30a2</v>
      </c>
      <c r="B21704" t="s">
        <v>14</v>
      </c>
      <c r="C21704" t="s">
        <v>26</v>
      </c>
      <c r="D21704" t="s">
        <v>11</v>
      </c>
      <c r="E21704" t="s">
        <v>12</v>
      </c>
      <c r="F21704">
        <v>75978164</v>
      </c>
      <c r="G21704">
        <v>75978206</v>
      </c>
      <c r="H21704">
        <v>75978164</v>
      </c>
      <c r="I21704">
        <v>75978206</v>
      </c>
    </row>
    <row r="21705" spans="1:9" x14ac:dyDescent="0.2">
      <c r="A21705" t="str">
        <f>"Ttc30b"</f>
        <v>Ttc30b</v>
      </c>
      <c r="B21705" t="s">
        <v>14</v>
      </c>
      <c r="C21705" t="s">
        <v>26</v>
      </c>
      <c r="D21705" t="s">
        <v>11</v>
      </c>
      <c r="E21705" t="s">
        <v>12</v>
      </c>
      <c r="F21705">
        <v>75938407</v>
      </c>
      <c r="G21705">
        <v>75938453</v>
      </c>
      <c r="H21705">
        <v>75938407</v>
      </c>
      <c r="I21705">
        <v>75938453</v>
      </c>
    </row>
    <row r="21706" spans="1:9" x14ac:dyDescent="0.2">
      <c r="A21706" t="str">
        <f>"Ttc32"</f>
        <v>Ttc32</v>
      </c>
      <c r="B21706" t="s">
        <v>14</v>
      </c>
      <c r="C21706" t="s">
        <v>16</v>
      </c>
      <c r="D21706" t="s">
        <v>17</v>
      </c>
      <c r="E21706" t="s">
        <v>12</v>
      </c>
      <c r="F21706">
        <v>9030015</v>
      </c>
      <c r="G21706">
        <v>9030045</v>
      </c>
      <c r="H21706">
        <v>9029982</v>
      </c>
      <c r="I21706">
        <v>9030012</v>
      </c>
    </row>
    <row r="21707" spans="1:9" x14ac:dyDescent="0.2">
      <c r="A21707" t="str">
        <f>"Ttc33"</f>
        <v>Ttc33</v>
      </c>
      <c r="B21707" t="s">
        <v>14</v>
      </c>
      <c r="C21707" t="s">
        <v>25</v>
      </c>
      <c r="D21707" t="s">
        <v>17</v>
      </c>
      <c r="E21707" t="s">
        <v>12</v>
      </c>
      <c r="F21707">
        <v>5185700</v>
      </c>
      <c r="G21707">
        <v>5185742</v>
      </c>
      <c r="H21707">
        <v>5185519</v>
      </c>
      <c r="I21707">
        <v>5185552</v>
      </c>
    </row>
    <row r="21708" spans="1:9" x14ac:dyDescent="0.2">
      <c r="A21708" t="str">
        <f>"Ttc34"</f>
        <v>Ttc34</v>
      </c>
      <c r="B21708" t="s">
        <v>14</v>
      </c>
      <c r="C21708" t="s">
        <v>23</v>
      </c>
      <c r="D21708" t="s">
        <v>17</v>
      </c>
      <c r="E21708" t="s">
        <v>12</v>
      </c>
      <c r="F21708">
        <v>154856195</v>
      </c>
      <c r="G21708">
        <v>154856211</v>
      </c>
      <c r="H21708">
        <v>154856218</v>
      </c>
      <c r="I21708">
        <v>154856228</v>
      </c>
    </row>
    <row r="21709" spans="1:9" x14ac:dyDescent="0.2">
      <c r="A21709" t="str">
        <f>"Ttc36"</f>
        <v>Ttc36</v>
      </c>
      <c r="B21709" t="s">
        <v>14</v>
      </c>
      <c r="C21709" t="s">
        <v>24</v>
      </c>
      <c r="D21709" t="s">
        <v>11</v>
      </c>
      <c r="E21709" t="s">
        <v>12</v>
      </c>
      <c r="F21709">
        <v>44802883</v>
      </c>
      <c r="G21709">
        <v>44802926</v>
      </c>
      <c r="H21709">
        <v>44802966</v>
      </c>
      <c r="I21709">
        <v>44802994</v>
      </c>
    </row>
    <row r="21710" spans="1:9" x14ac:dyDescent="0.2">
      <c r="A21710" t="str">
        <f>"Ttc37"</f>
        <v>Ttc37</v>
      </c>
      <c r="B21710" t="s">
        <v>14</v>
      </c>
      <c r="C21710" t="s">
        <v>39</v>
      </c>
      <c r="D21710" t="s">
        <v>17</v>
      </c>
      <c r="E21710" t="s">
        <v>12</v>
      </c>
      <c r="F21710">
        <v>76098775</v>
      </c>
      <c r="G21710">
        <v>76098809</v>
      </c>
      <c r="H21710">
        <v>76098763</v>
      </c>
      <c r="I21710">
        <v>76098774</v>
      </c>
    </row>
    <row r="21711" spans="1:9" x14ac:dyDescent="0.2">
      <c r="A21711" t="str">
        <f>"Ttc38"</f>
        <v>Ttc38</v>
      </c>
      <c r="B21711" t="s">
        <v>14</v>
      </c>
      <c r="C21711" t="s">
        <v>25</v>
      </c>
      <c r="D21711" t="s">
        <v>17</v>
      </c>
      <c r="E21711" t="s">
        <v>12</v>
      </c>
      <c r="F21711">
        <v>85832319</v>
      </c>
      <c r="G21711">
        <v>85832351</v>
      </c>
      <c r="H21711">
        <v>85832301</v>
      </c>
      <c r="I21711">
        <v>85832317</v>
      </c>
    </row>
    <row r="21712" spans="1:9" x14ac:dyDescent="0.2">
      <c r="A21712" t="str">
        <f>"Ttc39a"</f>
        <v>Ttc39a</v>
      </c>
      <c r="B21712" t="s">
        <v>14</v>
      </c>
      <c r="C21712" t="s">
        <v>23</v>
      </c>
      <c r="D21712" t="s">
        <v>17</v>
      </c>
      <c r="E21712" t="s">
        <v>12</v>
      </c>
      <c r="F21712">
        <v>109407121</v>
      </c>
      <c r="G21712">
        <v>109407165</v>
      </c>
      <c r="H21712">
        <v>109407094</v>
      </c>
      <c r="I21712">
        <v>109407119</v>
      </c>
    </row>
    <row r="21713" spans="1:9" x14ac:dyDescent="0.2">
      <c r="A21713" t="str">
        <f>"Ttc39b"</f>
        <v>Ttc39b</v>
      </c>
      <c r="B21713" t="s">
        <v>14</v>
      </c>
      <c r="C21713" t="s">
        <v>23</v>
      </c>
      <c r="D21713" t="s">
        <v>11</v>
      </c>
      <c r="E21713" t="s">
        <v>12</v>
      </c>
      <c r="F21713">
        <v>83324135</v>
      </c>
      <c r="G21713">
        <v>83324205</v>
      </c>
      <c r="H21713">
        <v>83324135</v>
      </c>
      <c r="I21713">
        <v>83324205</v>
      </c>
    </row>
    <row r="21714" spans="1:9" x14ac:dyDescent="0.2">
      <c r="A21714" t="str">
        <f>"Ttc39c"</f>
        <v>Ttc39c</v>
      </c>
      <c r="B21714" t="s">
        <v>14</v>
      </c>
      <c r="C21714" t="s">
        <v>43</v>
      </c>
      <c r="D21714" t="s">
        <v>17</v>
      </c>
      <c r="E21714" t="s">
        <v>12</v>
      </c>
      <c r="F21714">
        <v>12643742</v>
      </c>
      <c r="G21714">
        <v>12643822</v>
      </c>
      <c r="H21714">
        <v>12643329</v>
      </c>
      <c r="I21714">
        <v>12643395</v>
      </c>
    </row>
    <row r="21715" spans="1:9" x14ac:dyDescent="0.2">
      <c r="A21715" t="str">
        <f>"Ttc39d"</f>
        <v>Ttc39d</v>
      </c>
      <c r="B21715" t="s">
        <v>14</v>
      </c>
      <c r="C21715" t="s">
        <v>28</v>
      </c>
      <c r="D21715" t="s">
        <v>17</v>
      </c>
      <c r="E21715" t="s">
        <v>12</v>
      </c>
      <c r="F21715">
        <v>80207466</v>
      </c>
      <c r="G21715">
        <v>80207517</v>
      </c>
      <c r="H21715">
        <v>80207521</v>
      </c>
      <c r="I21715">
        <v>80207543</v>
      </c>
    </row>
    <row r="21716" spans="1:9" x14ac:dyDescent="0.2">
      <c r="A21716" t="str">
        <f>"Ttc4"</f>
        <v>Ttc4</v>
      </c>
      <c r="B21716" t="s">
        <v>14</v>
      </c>
      <c r="C21716" t="s">
        <v>23</v>
      </c>
      <c r="D21716" t="s">
        <v>11</v>
      </c>
      <c r="E21716" t="s">
        <v>12</v>
      </c>
      <c r="F21716">
        <v>106678874</v>
      </c>
      <c r="G21716">
        <v>106678916</v>
      </c>
      <c r="H21716">
        <v>106678933</v>
      </c>
      <c r="I21716">
        <v>106678942</v>
      </c>
    </row>
    <row r="21717" spans="1:9" x14ac:dyDescent="0.2">
      <c r="A21717" t="str">
        <f>"Ttc5"</f>
        <v>Ttc5</v>
      </c>
      <c r="B21717" t="s">
        <v>14</v>
      </c>
      <c r="C21717" t="s">
        <v>41</v>
      </c>
      <c r="D21717" t="s">
        <v>11</v>
      </c>
      <c r="E21717" t="s">
        <v>12</v>
      </c>
      <c r="F21717">
        <v>50785481</v>
      </c>
      <c r="G21717">
        <v>50785514</v>
      </c>
      <c r="H21717">
        <v>50785531</v>
      </c>
      <c r="I21717">
        <v>50785542</v>
      </c>
    </row>
    <row r="21718" spans="1:9" x14ac:dyDescent="0.2">
      <c r="A21718" t="str">
        <f>"Ttc6"</f>
        <v>Ttc6</v>
      </c>
      <c r="B21718" t="s">
        <v>14</v>
      </c>
      <c r="C21718" t="s">
        <v>16</v>
      </c>
      <c r="D21718" t="s">
        <v>17</v>
      </c>
      <c r="E21718" t="s">
        <v>12</v>
      </c>
      <c r="F21718">
        <v>57564111</v>
      </c>
      <c r="G21718">
        <v>57564150</v>
      </c>
      <c r="H21718">
        <v>57564097</v>
      </c>
      <c r="I21718">
        <v>57564105</v>
      </c>
    </row>
    <row r="21719" spans="1:9" x14ac:dyDescent="0.2">
      <c r="A21719" t="str">
        <f>"Ttc7"</f>
        <v>Ttc7</v>
      </c>
      <c r="B21719" t="s">
        <v>14</v>
      </c>
      <c r="C21719" t="s">
        <v>28</v>
      </c>
      <c r="D21719" t="s">
        <v>17</v>
      </c>
      <c r="E21719" t="s">
        <v>12</v>
      </c>
      <c r="F21719">
        <v>87282880</v>
      </c>
      <c r="G21719">
        <v>87282950</v>
      </c>
      <c r="H21719">
        <v>87283202</v>
      </c>
      <c r="I21719">
        <v>87283220</v>
      </c>
    </row>
    <row r="21720" spans="1:9" x14ac:dyDescent="0.2">
      <c r="A21720" t="str">
        <f>"Ttc7b"</f>
        <v>Ttc7b</v>
      </c>
      <c r="B21720" t="s">
        <v>14</v>
      </c>
      <c r="C21720" t="s">
        <v>16</v>
      </c>
      <c r="D21720" t="s">
        <v>11</v>
      </c>
      <c r="E21720" t="s">
        <v>12</v>
      </c>
      <c r="F21720">
        <v>100520778</v>
      </c>
      <c r="G21720">
        <v>100520853</v>
      </c>
      <c r="H21720">
        <v>100520885</v>
      </c>
      <c r="I21720">
        <v>100520888</v>
      </c>
    </row>
    <row r="21721" spans="1:9" x14ac:dyDescent="0.2">
      <c r="A21721" t="str">
        <f>"Ttc8"</f>
        <v>Ttc8</v>
      </c>
      <c r="B21721" t="s">
        <v>14</v>
      </c>
      <c r="C21721" t="s">
        <v>16</v>
      </c>
      <c r="D21721" t="s">
        <v>17</v>
      </c>
      <c r="E21721" t="s">
        <v>12</v>
      </c>
      <c r="F21721">
        <v>98920567</v>
      </c>
      <c r="G21721">
        <v>98920619</v>
      </c>
      <c r="H21721">
        <v>98920531</v>
      </c>
      <c r="I21721">
        <v>98920553</v>
      </c>
    </row>
    <row r="21722" spans="1:9" x14ac:dyDescent="0.2">
      <c r="A21722" t="str">
        <f>"Ttc9"</f>
        <v>Ttc9</v>
      </c>
      <c r="B21722" t="s">
        <v>14</v>
      </c>
      <c r="C21722" t="s">
        <v>16</v>
      </c>
      <c r="D21722" t="s">
        <v>17</v>
      </c>
      <c r="E21722" t="s">
        <v>12</v>
      </c>
      <c r="F21722">
        <v>81631228</v>
      </c>
      <c r="G21722">
        <v>81631312</v>
      </c>
      <c r="H21722">
        <v>81631046</v>
      </c>
      <c r="I21722">
        <v>81631121</v>
      </c>
    </row>
    <row r="21723" spans="1:9" x14ac:dyDescent="0.2">
      <c r="A21723" t="str">
        <f>"Ttc9b"</f>
        <v>Ttc9b</v>
      </c>
      <c r="B21723" t="s">
        <v>14</v>
      </c>
      <c r="C21723" t="s">
        <v>33</v>
      </c>
      <c r="D21723" t="s">
        <v>17</v>
      </c>
      <c r="E21723" t="s">
        <v>12</v>
      </c>
      <c r="F21723">
        <v>27653906</v>
      </c>
      <c r="G21723">
        <v>27653960</v>
      </c>
      <c r="H21723">
        <v>27653881</v>
      </c>
      <c r="I21723">
        <v>27653900</v>
      </c>
    </row>
    <row r="21724" spans="1:9" x14ac:dyDescent="0.2">
      <c r="A21724" t="str">
        <f>"Ttc9c"</f>
        <v>Ttc9c</v>
      </c>
      <c r="B21724" t="s">
        <v>14</v>
      </c>
      <c r="C21724" t="s">
        <v>10</v>
      </c>
      <c r="D21724" t="s">
        <v>11</v>
      </c>
      <c r="E21724" t="s">
        <v>12</v>
      </c>
      <c r="F21724">
        <v>8819278</v>
      </c>
      <c r="G21724">
        <v>8819301</v>
      </c>
      <c r="H21724">
        <v>8818946</v>
      </c>
      <c r="I21724">
        <v>8819008</v>
      </c>
    </row>
    <row r="21725" spans="1:9" x14ac:dyDescent="0.2">
      <c r="A21725" t="str">
        <f>"Ttf1"</f>
        <v>Ttf1</v>
      </c>
      <c r="B21725" t="s">
        <v>14</v>
      </c>
      <c r="C21725" t="s">
        <v>26</v>
      </c>
      <c r="D21725" t="s">
        <v>17</v>
      </c>
      <c r="E21725" t="s">
        <v>12</v>
      </c>
      <c r="F21725">
        <v>29060239</v>
      </c>
      <c r="G21725">
        <v>29060287</v>
      </c>
      <c r="H21725">
        <v>29060239</v>
      </c>
      <c r="I21725">
        <v>29060287</v>
      </c>
    </row>
    <row r="21726" spans="1:9" x14ac:dyDescent="0.2">
      <c r="A21726" t="str">
        <f>"Ttf2"</f>
        <v>Ttf2</v>
      </c>
      <c r="B21726" t="s">
        <v>14</v>
      </c>
      <c r="C21726" t="s">
        <v>22</v>
      </c>
      <c r="D21726" t="s">
        <v>11</v>
      </c>
      <c r="E21726" t="s">
        <v>12</v>
      </c>
      <c r="F21726">
        <v>100969644</v>
      </c>
      <c r="G21726">
        <v>100969676</v>
      </c>
      <c r="H21726">
        <v>100969679</v>
      </c>
      <c r="I21726">
        <v>100969684</v>
      </c>
    </row>
    <row r="21727" spans="1:9" x14ac:dyDescent="0.2">
      <c r="A21727" t="str">
        <f>"Tti1"</f>
        <v>Tti1</v>
      </c>
      <c r="B21727" t="s">
        <v>14</v>
      </c>
      <c r="C21727" t="s">
        <v>26</v>
      </c>
      <c r="D21727" t="s">
        <v>11</v>
      </c>
      <c r="E21727" t="s">
        <v>12</v>
      </c>
      <c r="F21727">
        <v>158028423</v>
      </c>
      <c r="G21727">
        <v>158028440</v>
      </c>
      <c r="H21727">
        <v>158028400</v>
      </c>
      <c r="I21727">
        <v>158028417</v>
      </c>
    </row>
    <row r="21728" spans="1:9" x14ac:dyDescent="0.2">
      <c r="A21728" t="str">
        <f>"Tti2"</f>
        <v>Tti2</v>
      </c>
      <c r="B21728" t="s">
        <v>14</v>
      </c>
      <c r="C21728" t="s">
        <v>30</v>
      </c>
      <c r="D21728" t="s">
        <v>17</v>
      </c>
      <c r="E21728" t="s">
        <v>12</v>
      </c>
      <c r="F21728">
        <v>31150307</v>
      </c>
      <c r="G21728">
        <v>31150346</v>
      </c>
      <c r="H21728">
        <v>31150431</v>
      </c>
      <c r="I21728">
        <v>31150434</v>
      </c>
    </row>
    <row r="21729" spans="1:9" x14ac:dyDescent="0.2">
      <c r="A21729" t="str">
        <f>"Ttk"</f>
        <v>Ttk</v>
      </c>
      <c r="B21729" t="s">
        <v>14</v>
      </c>
      <c r="C21729" t="s">
        <v>24</v>
      </c>
      <c r="D21729" t="s">
        <v>17</v>
      </c>
      <c r="E21729" t="s">
        <v>12</v>
      </c>
      <c r="F21729">
        <v>83834684</v>
      </c>
      <c r="G21729">
        <v>83834736</v>
      </c>
      <c r="H21729">
        <v>83834645</v>
      </c>
      <c r="I21729">
        <v>83834668</v>
      </c>
    </row>
    <row r="21730" spans="1:9" x14ac:dyDescent="0.2">
      <c r="A21730" t="str">
        <f>"Ttl"</f>
        <v>Ttl</v>
      </c>
      <c r="B21730" t="s">
        <v>14</v>
      </c>
      <c r="C21730" t="s">
        <v>26</v>
      </c>
      <c r="D21730" t="s">
        <v>17</v>
      </c>
      <c r="E21730" t="s">
        <v>12</v>
      </c>
      <c r="F21730">
        <v>129065934</v>
      </c>
      <c r="G21730">
        <v>129065994</v>
      </c>
      <c r="H21730">
        <v>129066003</v>
      </c>
      <c r="I21730">
        <v>129066015</v>
      </c>
    </row>
    <row r="21731" spans="1:9" x14ac:dyDescent="0.2">
      <c r="A21731" t="str">
        <f>"Ttll1"</f>
        <v>Ttll1</v>
      </c>
      <c r="B21731" t="s">
        <v>14</v>
      </c>
      <c r="C21731" t="s">
        <v>25</v>
      </c>
      <c r="D21731" t="s">
        <v>11</v>
      </c>
      <c r="E21731" t="s">
        <v>12</v>
      </c>
      <c r="F21731">
        <v>83510861</v>
      </c>
      <c r="G21731">
        <v>83510906</v>
      </c>
      <c r="H21731">
        <v>83510837</v>
      </c>
      <c r="I21731">
        <v>83510859</v>
      </c>
    </row>
    <row r="21732" spans="1:9" x14ac:dyDescent="0.2">
      <c r="A21732" t="str">
        <f>"Ttll10"</f>
        <v>Ttll10</v>
      </c>
      <c r="B21732" t="s">
        <v>9</v>
      </c>
      <c r="C21732" t="s">
        <v>23</v>
      </c>
      <c r="D21732" t="s">
        <v>11</v>
      </c>
      <c r="E21732" t="s">
        <v>12</v>
      </c>
      <c r="F21732">
        <v>156047932</v>
      </c>
      <c r="G21732">
        <v>156047972</v>
      </c>
      <c r="H21732">
        <v>156047932</v>
      </c>
      <c r="I21732">
        <v>156047972</v>
      </c>
    </row>
    <row r="21733" spans="1:9" x14ac:dyDescent="0.2">
      <c r="A21733" t="str">
        <f>"Ttll10"</f>
        <v>Ttll10</v>
      </c>
      <c r="B21733" t="s">
        <v>13</v>
      </c>
      <c r="C21733" t="s">
        <v>23</v>
      </c>
      <c r="D21733" t="s">
        <v>11</v>
      </c>
      <c r="E21733" t="s">
        <v>12</v>
      </c>
      <c r="F21733">
        <v>156059379</v>
      </c>
      <c r="G21733">
        <v>156059410</v>
      </c>
      <c r="H21733">
        <v>156059379</v>
      </c>
      <c r="I21733">
        <v>156059410</v>
      </c>
    </row>
    <row r="21734" spans="1:9" x14ac:dyDescent="0.2">
      <c r="A21734" t="str">
        <f>"Ttll11"</f>
        <v>Ttll11</v>
      </c>
      <c r="B21734" t="s">
        <v>14</v>
      </c>
      <c r="C21734" t="s">
        <v>26</v>
      </c>
      <c r="D21734" t="s">
        <v>11</v>
      </c>
      <c r="E21734" t="s">
        <v>12</v>
      </c>
      <c r="F21734">
        <v>35979756</v>
      </c>
      <c r="G21734">
        <v>35979800</v>
      </c>
      <c r="H21734">
        <v>35979809</v>
      </c>
      <c r="I21734">
        <v>35979825</v>
      </c>
    </row>
    <row r="21735" spans="1:9" x14ac:dyDescent="0.2">
      <c r="A21735" t="str">
        <f>"Ttll12"</f>
        <v>Ttll12</v>
      </c>
      <c r="B21735" t="s">
        <v>14</v>
      </c>
      <c r="C21735" t="s">
        <v>25</v>
      </c>
      <c r="D21735" t="s">
        <v>11</v>
      </c>
      <c r="E21735" t="s">
        <v>12</v>
      </c>
      <c r="F21735">
        <v>83595111</v>
      </c>
      <c r="G21735">
        <v>83595162</v>
      </c>
      <c r="H21735">
        <v>83595196</v>
      </c>
      <c r="I21735">
        <v>83595207</v>
      </c>
    </row>
    <row r="21736" spans="1:9" x14ac:dyDescent="0.2">
      <c r="A21736" t="str">
        <f>"Ttll13"</f>
        <v>Ttll13</v>
      </c>
      <c r="B21736" t="s">
        <v>14</v>
      </c>
      <c r="C21736" t="s">
        <v>33</v>
      </c>
      <c r="D21736" t="s">
        <v>17</v>
      </c>
      <c r="E21736" t="s">
        <v>12</v>
      </c>
      <c r="F21736">
        <v>80246375</v>
      </c>
      <c r="G21736">
        <v>80246429</v>
      </c>
      <c r="H21736">
        <v>80246529</v>
      </c>
      <c r="I21736">
        <v>80246579</v>
      </c>
    </row>
    <row r="21737" spans="1:9" x14ac:dyDescent="0.2">
      <c r="A21737" t="str">
        <f>"Ttll2"</f>
        <v>Ttll2</v>
      </c>
      <c r="B21737" t="s">
        <v>5965</v>
      </c>
      <c r="C21737" t="s">
        <v>28</v>
      </c>
      <c r="D21737" t="s">
        <v>11</v>
      </c>
      <c r="E21737" t="s">
        <v>20</v>
      </c>
      <c r="F21737">
        <v>7352695</v>
      </c>
      <c r="G21737">
        <v>7352695</v>
      </c>
      <c r="H21737">
        <v>7352695</v>
      </c>
      <c r="I21737">
        <v>7352695</v>
      </c>
    </row>
    <row r="21738" spans="1:9" x14ac:dyDescent="0.2">
      <c r="A21738" t="str">
        <f>"Ttll3"</f>
        <v>Ttll3</v>
      </c>
      <c r="B21738" t="s">
        <v>14</v>
      </c>
      <c r="C21738" t="s">
        <v>32</v>
      </c>
      <c r="D21738" t="s">
        <v>17</v>
      </c>
      <c r="E21738" t="s">
        <v>12</v>
      </c>
      <c r="F21738">
        <v>113389109</v>
      </c>
      <c r="G21738">
        <v>113389113</v>
      </c>
      <c r="H21738">
        <v>113389109</v>
      </c>
      <c r="I21738">
        <v>113389113</v>
      </c>
    </row>
    <row r="21739" spans="1:9" x14ac:dyDescent="0.2">
      <c r="A21739" t="str">
        <f>"Ttll4"</f>
        <v>Ttll4</v>
      </c>
      <c r="B21739" t="s">
        <v>14</v>
      </c>
      <c r="C21739" t="s">
        <v>19</v>
      </c>
      <c r="D21739" t="s">
        <v>17</v>
      </c>
      <c r="E21739" t="s">
        <v>12</v>
      </c>
      <c r="F21739">
        <v>74661714</v>
      </c>
      <c r="G21739">
        <v>74661789</v>
      </c>
      <c r="H21739">
        <v>74661794</v>
      </c>
      <c r="I21739">
        <v>74661832</v>
      </c>
    </row>
    <row r="21740" spans="1:9" x14ac:dyDescent="0.2">
      <c r="A21740" t="str">
        <f>"Ttll5"</f>
        <v>Ttll5</v>
      </c>
      <c r="B21740" t="s">
        <v>14</v>
      </c>
      <c r="C21740" t="s">
        <v>16</v>
      </c>
      <c r="D21740" t="s">
        <v>17</v>
      </c>
      <c r="E21740" t="s">
        <v>12</v>
      </c>
      <c r="F21740">
        <v>85824918</v>
      </c>
      <c r="G21740">
        <v>85825009</v>
      </c>
      <c r="H21740">
        <v>85824660</v>
      </c>
      <c r="I21740">
        <v>85824749</v>
      </c>
    </row>
    <row r="21741" spans="1:9" x14ac:dyDescent="0.2">
      <c r="A21741" t="str">
        <f>"Ttll6"</f>
        <v>Ttll6</v>
      </c>
      <c r="B21741" t="s">
        <v>5966</v>
      </c>
      <c r="C21741" t="s">
        <v>27</v>
      </c>
      <c r="D21741" t="s">
        <v>17</v>
      </c>
      <c r="E21741" t="s">
        <v>20</v>
      </c>
      <c r="F21741">
        <v>96133785</v>
      </c>
      <c r="G21741">
        <v>96133785</v>
      </c>
      <c r="H21741">
        <v>96133785</v>
      </c>
      <c r="I21741">
        <v>96133785</v>
      </c>
    </row>
    <row r="21742" spans="1:9" x14ac:dyDescent="0.2">
      <c r="A21742" t="str">
        <f>"Ttll7"</f>
        <v>Ttll7</v>
      </c>
      <c r="B21742" t="s">
        <v>14</v>
      </c>
      <c r="C21742" t="s">
        <v>22</v>
      </c>
      <c r="D21742" t="s">
        <v>17</v>
      </c>
      <c r="E21742" t="s">
        <v>12</v>
      </c>
      <c r="F21742">
        <v>146852359</v>
      </c>
      <c r="G21742">
        <v>146852438</v>
      </c>
      <c r="H21742">
        <v>146852173</v>
      </c>
      <c r="I21742">
        <v>146852189</v>
      </c>
    </row>
    <row r="21743" spans="1:9" x14ac:dyDescent="0.2">
      <c r="A21743" t="str">
        <f>"Ttll8"</f>
        <v>Ttll8</v>
      </c>
      <c r="B21743" t="s">
        <v>14</v>
      </c>
      <c r="C21743" t="s">
        <v>25</v>
      </c>
      <c r="D21743" t="s">
        <v>11</v>
      </c>
      <c r="E21743" t="s">
        <v>12</v>
      </c>
      <c r="F21743">
        <v>88954400</v>
      </c>
      <c r="G21743">
        <v>88954446</v>
      </c>
      <c r="H21743">
        <v>88954390</v>
      </c>
      <c r="I21743">
        <v>88954397</v>
      </c>
    </row>
    <row r="21744" spans="1:9" x14ac:dyDescent="0.2">
      <c r="A21744" t="str">
        <f>"Ttll9"</f>
        <v>Ttll9</v>
      </c>
      <c r="B21744" t="s">
        <v>14</v>
      </c>
      <c r="C21744" t="s">
        <v>26</v>
      </c>
      <c r="D21744" t="s">
        <v>17</v>
      </c>
      <c r="E21744" t="s">
        <v>12</v>
      </c>
      <c r="F21744">
        <v>152962486</v>
      </c>
      <c r="G21744">
        <v>152962510</v>
      </c>
      <c r="H21744">
        <v>152962457</v>
      </c>
      <c r="I21744">
        <v>152962469</v>
      </c>
    </row>
    <row r="21745" spans="1:9" x14ac:dyDescent="0.2">
      <c r="A21745" t="str">
        <f>"Ttn"</f>
        <v>Ttn</v>
      </c>
      <c r="B21745" t="s">
        <v>14</v>
      </c>
      <c r="C21745" t="s">
        <v>26</v>
      </c>
      <c r="D21745" t="s">
        <v>11</v>
      </c>
      <c r="E21745" t="s">
        <v>12</v>
      </c>
      <c r="F21745">
        <v>76982539</v>
      </c>
      <c r="G21745">
        <v>76982553</v>
      </c>
      <c r="H21745">
        <v>76982539</v>
      </c>
      <c r="I21745">
        <v>76982553</v>
      </c>
    </row>
    <row r="21746" spans="1:9" x14ac:dyDescent="0.2">
      <c r="A21746" t="str">
        <f>"Ttpa"</f>
        <v>Ttpa</v>
      </c>
      <c r="B21746" t="s">
        <v>14</v>
      </c>
      <c r="C21746" t="s">
        <v>23</v>
      </c>
      <c r="D21746" t="s">
        <v>17</v>
      </c>
      <c r="E21746" t="s">
        <v>12</v>
      </c>
      <c r="F21746">
        <v>20008393</v>
      </c>
      <c r="G21746">
        <v>20008451</v>
      </c>
      <c r="H21746">
        <v>20008287</v>
      </c>
      <c r="I21746">
        <v>20008296</v>
      </c>
    </row>
    <row r="21747" spans="1:9" x14ac:dyDescent="0.2">
      <c r="A21747" t="str">
        <f>"Ttpal"</f>
        <v>Ttpal</v>
      </c>
      <c r="B21747" t="s">
        <v>14</v>
      </c>
      <c r="C21747" t="s">
        <v>26</v>
      </c>
      <c r="D21747" t="s">
        <v>17</v>
      </c>
      <c r="E21747" t="s">
        <v>12</v>
      </c>
      <c r="F21747">
        <v>163602331</v>
      </c>
      <c r="G21747">
        <v>163602359</v>
      </c>
      <c r="H21747">
        <v>163602294</v>
      </c>
      <c r="I21747">
        <v>163602309</v>
      </c>
    </row>
    <row r="21748" spans="1:9" x14ac:dyDescent="0.2">
      <c r="A21748" t="str">
        <f>"Ttr"</f>
        <v>Ttr</v>
      </c>
      <c r="B21748" t="s">
        <v>14</v>
      </c>
      <c r="C21748" t="s">
        <v>43</v>
      </c>
      <c r="D21748" t="s">
        <v>17</v>
      </c>
      <c r="E21748" t="s">
        <v>12</v>
      </c>
      <c r="F21748">
        <v>20665403</v>
      </c>
      <c r="G21748">
        <v>20665420</v>
      </c>
      <c r="H21748">
        <v>20665403</v>
      </c>
      <c r="I21748">
        <v>20665420</v>
      </c>
    </row>
    <row r="21749" spans="1:9" x14ac:dyDescent="0.2">
      <c r="A21749" t="str">
        <f>"Ttyh1"</f>
        <v>Ttyh1</v>
      </c>
      <c r="B21749" t="s">
        <v>14</v>
      </c>
      <c r="C21749" t="s">
        <v>33</v>
      </c>
      <c r="D21749" t="s">
        <v>17</v>
      </c>
      <c r="E21749" t="s">
        <v>12</v>
      </c>
      <c r="F21749">
        <v>4119556</v>
      </c>
      <c r="G21749">
        <v>4119596</v>
      </c>
      <c r="H21749">
        <v>4119525</v>
      </c>
      <c r="I21749">
        <v>4119555</v>
      </c>
    </row>
    <row r="21750" spans="1:9" x14ac:dyDescent="0.2">
      <c r="A21750" t="str">
        <f>"Ttyh2"</f>
        <v>Ttyh2</v>
      </c>
      <c r="B21750" t="s">
        <v>14</v>
      </c>
      <c r="C21750" t="s">
        <v>27</v>
      </c>
      <c r="D21750" t="s">
        <v>17</v>
      </c>
      <c r="E21750" t="s">
        <v>12</v>
      </c>
      <c r="F21750">
        <v>114675474</v>
      </c>
      <c r="G21750">
        <v>114675495</v>
      </c>
      <c r="H21750">
        <v>114675508</v>
      </c>
      <c r="I21750">
        <v>114675522</v>
      </c>
    </row>
    <row r="21751" spans="1:9" x14ac:dyDescent="0.2">
      <c r="A21751" t="str">
        <f>"Ttyh3"</f>
        <v>Ttyh3</v>
      </c>
      <c r="B21751" t="s">
        <v>14</v>
      </c>
      <c r="C21751" t="s">
        <v>46</v>
      </c>
      <c r="D21751" t="s">
        <v>11</v>
      </c>
      <c r="E21751" t="s">
        <v>12</v>
      </c>
      <c r="F21751">
        <v>140649018</v>
      </c>
      <c r="G21751">
        <v>140649052</v>
      </c>
      <c r="H21751">
        <v>140648980</v>
      </c>
      <c r="I21751">
        <v>140649014</v>
      </c>
    </row>
    <row r="21752" spans="1:9" x14ac:dyDescent="0.2">
      <c r="A21752" t="str">
        <f>"Tub"</f>
        <v>Tub</v>
      </c>
      <c r="B21752" t="s">
        <v>14</v>
      </c>
      <c r="C21752" t="s">
        <v>33</v>
      </c>
      <c r="D21752" t="s">
        <v>17</v>
      </c>
      <c r="E21752" t="s">
        <v>12</v>
      </c>
      <c r="F21752">
        <v>109010850</v>
      </c>
      <c r="G21752">
        <v>109010930</v>
      </c>
      <c r="H21752">
        <v>109010827</v>
      </c>
      <c r="I21752">
        <v>109010834</v>
      </c>
    </row>
    <row r="21753" spans="1:9" x14ac:dyDescent="0.2">
      <c r="A21753" t="str">
        <f>"Tuba1a"</f>
        <v>Tuba1a</v>
      </c>
      <c r="B21753" t="s">
        <v>14</v>
      </c>
      <c r="C21753" t="s">
        <v>25</v>
      </c>
      <c r="D21753" t="s">
        <v>11</v>
      </c>
      <c r="E21753" t="s">
        <v>12</v>
      </c>
      <c r="F21753">
        <v>98953541</v>
      </c>
      <c r="G21753">
        <v>98953560</v>
      </c>
      <c r="H21753">
        <v>98953475</v>
      </c>
      <c r="I21753">
        <v>98953519</v>
      </c>
    </row>
    <row r="21754" spans="1:9" x14ac:dyDescent="0.2">
      <c r="A21754" t="str">
        <f>"Tuba1b"</f>
        <v>Tuba1b</v>
      </c>
      <c r="B21754" t="s">
        <v>14</v>
      </c>
      <c r="C21754" t="s">
        <v>25</v>
      </c>
      <c r="D21754" t="s">
        <v>11</v>
      </c>
      <c r="E21754" t="s">
        <v>12</v>
      </c>
      <c r="F21754">
        <v>98934447</v>
      </c>
      <c r="G21754">
        <v>98934505</v>
      </c>
      <c r="H21754">
        <v>98934522</v>
      </c>
      <c r="I21754">
        <v>98934586</v>
      </c>
    </row>
    <row r="21755" spans="1:9" x14ac:dyDescent="0.2">
      <c r="A21755" t="str">
        <f>"Tuba1c"</f>
        <v>Tuba1c</v>
      </c>
      <c r="B21755" t="s">
        <v>14</v>
      </c>
      <c r="C21755" t="s">
        <v>25</v>
      </c>
      <c r="D21755" t="s">
        <v>17</v>
      </c>
      <c r="E21755" t="s">
        <v>12</v>
      </c>
      <c r="F21755">
        <v>99030312</v>
      </c>
      <c r="G21755">
        <v>99030328</v>
      </c>
      <c r="H21755">
        <v>99029866</v>
      </c>
      <c r="I21755">
        <v>99029913</v>
      </c>
    </row>
    <row r="21756" spans="1:9" x14ac:dyDescent="0.2">
      <c r="A21756" t="str">
        <f>"Tuba3a"</f>
        <v>Tuba3a</v>
      </c>
      <c r="B21756" t="s">
        <v>14</v>
      </c>
      <c r="C21756" t="s">
        <v>32</v>
      </c>
      <c r="D21756" t="s">
        <v>11</v>
      </c>
      <c r="E21756" t="s">
        <v>12</v>
      </c>
      <c r="F21756">
        <v>125286015</v>
      </c>
      <c r="G21756">
        <v>125286050</v>
      </c>
      <c r="H21756">
        <v>125286062</v>
      </c>
      <c r="I21756">
        <v>125286075</v>
      </c>
    </row>
    <row r="21757" spans="1:9" x14ac:dyDescent="0.2">
      <c r="A21757" t="str">
        <f>"Tuba3b"</f>
        <v>Tuba3b</v>
      </c>
      <c r="B21757" t="s">
        <v>14</v>
      </c>
      <c r="C21757" t="s">
        <v>32</v>
      </c>
      <c r="D21757" t="s">
        <v>17</v>
      </c>
      <c r="E21757" t="s">
        <v>12</v>
      </c>
      <c r="F21757">
        <v>145616009</v>
      </c>
      <c r="G21757">
        <v>145616026</v>
      </c>
      <c r="H21757">
        <v>145616009</v>
      </c>
      <c r="I21757">
        <v>145616026</v>
      </c>
    </row>
    <row r="21758" spans="1:9" x14ac:dyDescent="0.2">
      <c r="A21758" t="str">
        <f>"Tuba4a"</f>
        <v>Tuba4a</v>
      </c>
      <c r="B21758" t="s">
        <v>14</v>
      </c>
      <c r="C21758" t="s">
        <v>19</v>
      </c>
      <c r="D21758" t="s">
        <v>11</v>
      </c>
      <c r="E21758" t="s">
        <v>12</v>
      </c>
      <c r="F21758">
        <v>75219245</v>
      </c>
      <c r="G21758">
        <v>75219262</v>
      </c>
      <c r="H21758">
        <v>75219505</v>
      </c>
      <c r="I21758">
        <v>75219519</v>
      </c>
    </row>
    <row r="21759" spans="1:9" x14ac:dyDescent="0.2">
      <c r="A21759" t="str">
        <f>"Tuba8"</f>
        <v>Tuba8</v>
      </c>
      <c r="B21759" t="s">
        <v>14</v>
      </c>
      <c r="C21759" t="s">
        <v>32</v>
      </c>
      <c r="D21759" t="s">
        <v>17</v>
      </c>
      <c r="E21759" t="s">
        <v>12</v>
      </c>
      <c r="F21759">
        <v>121210791</v>
      </c>
      <c r="G21759">
        <v>121210813</v>
      </c>
      <c r="H21759">
        <v>121210731</v>
      </c>
      <c r="I21759">
        <v>121210758</v>
      </c>
    </row>
    <row r="21760" spans="1:9" x14ac:dyDescent="0.2">
      <c r="A21760" t="str">
        <f>"Tubal3"</f>
        <v>Tubal3</v>
      </c>
      <c r="B21760" t="s">
        <v>14</v>
      </c>
      <c r="C21760" t="s">
        <v>39</v>
      </c>
      <c r="D21760" t="s">
        <v>17</v>
      </c>
      <c r="E21760" t="s">
        <v>12</v>
      </c>
      <c r="F21760">
        <v>3924686</v>
      </c>
      <c r="G21760">
        <v>3924713</v>
      </c>
      <c r="H21760">
        <v>3924671</v>
      </c>
      <c r="I21760">
        <v>3924684</v>
      </c>
    </row>
    <row r="21761" spans="1:9" x14ac:dyDescent="0.2">
      <c r="A21761" t="str">
        <f>"Tubb1"</f>
        <v>Tubb1</v>
      </c>
      <c r="B21761" t="s">
        <v>14</v>
      </c>
      <c r="C21761" t="s">
        <v>26</v>
      </c>
      <c r="D21761" t="s">
        <v>17</v>
      </c>
      <c r="E21761" t="s">
        <v>12</v>
      </c>
      <c r="F21761">
        <v>174450678</v>
      </c>
      <c r="G21761">
        <v>174450708</v>
      </c>
      <c r="H21761">
        <v>174450678</v>
      </c>
      <c r="I21761">
        <v>174450708</v>
      </c>
    </row>
    <row r="21762" spans="1:9" x14ac:dyDescent="0.2">
      <c r="A21762" t="str">
        <f>"Tubb2a"</f>
        <v>Tubb2a</v>
      </c>
      <c r="B21762" t="s">
        <v>14</v>
      </c>
      <c r="C21762" t="s">
        <v>39</v>
      </c>
      <c r="D21762" t="s">
        <v>11</v>
      </c>
      <c r="E21762" t="s">
        <v>12</v>
      </c>
      <c r="F21762">
        <v>34077992</v>
      </c>
      <c r="G21762">
        <v>34078015</v>
      </c>
      <c r="H21762">
        <v>34077992</v>
      </c>
      <c r="I21762">
        <v>34078015</v>
      </c>
    </row>
    <row r="21763" spans="1:9" x14ac:dyDescent="0.2">
      <c r="A21763" t="str">
        <f>"Tubb2b"</f>
        <v>Tubb2b</v>
      </c>
      <c r="B21763" t="s">
        <v>14</v>
      </c>
      <c r="C21763" t="s">
        <v>39</v>
      </c>
      <c r="D21763" t="s">
        <v>11</v>
      </c>
      <c r="E21763" t="s">
        <v>12</v>
      </c>
      <c r="F21763">
        <v>34130345</v>
      </c>
      <c r="G21763">
        <v>34130361</v>
      </c>
      <c r="H21763">
        <v>34130620</v>
      </c>
      <c r="I21763">
        <v>34130627</v>
      </c>
    </row>
    <row r="21764" spans="1:9" x14ac:dyDescent="0.2">
      <c r="A21764" t="str">
        <f>"Tubb3"</f>
        <v>Tubb3</v>
      </c>
      <c r="B21764" t="s">
        <v>14</v>
      </c>
      <c r="C21764" t="s">
        <v>30</v>
      </c>
      <c r="D21764" t="s">
        <v>17</v>
      </c>
      <c r="E21764" t="s">
        <v>12</v>
      </c>
      <c r="F21764">
        <v>123411544</v>
      </c>
      <c r="G21764">
        <v>123411562</v>
      </c>
      <c r="H21764">
        <v>123411544</v>
      </c>
      <c r="I21764">
        <v>123411562</v>
      </c>
    </row>
    <row r="21765" spans="1:9" x14ac:dyDescent="0.2">
      <c r="A21765" t="str">
        <f>"Tubb4a"</f>
        <v>Tubb4a</v>
      </c>
      <c r="B21765" t="s">
        <v>14</v>
      </c>
      <c r="C21765" t="s">
        <v>28</v>
      </c>
      <c r="D21765" t="s">
        <v>11</v>
      </c>
      <c r="E21765" t="s">
        <v>12</v>
      </c>
      <c r="F21765">
        <v>57087557</v>
      </c>
      <c r="G21765">
        <v>57087612</v>
      </c>
      <c r="H21765">
        <v>57087557</v>
      </c>
      <c r="I21765">
        <v>57087612</v>
      </c>
    </row>
    <row r="21766" spans="1:9" x14ac:dyDescent="0.2">
      <c r="A21766" t="str">
        <f>"Tubb4b"</f>
        <v>Tubb4b</v>
      </c>
      <c r="B21766" t="s">
        <v>14</v>
      </c>
      <c r="C21766" t="s">
        <v>26</v>
      </c>
      <c r="D21766" t="s">
        <v>11</v>
      </c>
      <c r="E21766" t="s">
        <v>12</v>
      </c>
      <c r="F21766">
        <v>25224653</v>
      </c>
      <c r="G21766">
        <v>25224659</v>
      </c>
      <c r="H21766">
        <v>25224996</v>
      </c>
      <c r="I21766">
        <v>25225015</v>
      </c>
    </row>
    <row r="21767" spans="1:9" x14ac:dyDescent="0.2">
      <c r="A21767" t="str">
        <f>"Tubb4b-ps1"</f>
        <v>Tubb4b-ps1</v>
      </c>
      <c r="B21767" t="s">
        <v>5967</v>
      </c>
      <c r="C21767" t="s">
        <v>46</v>
      </c>
      <c r="D21767" t="s">
        <v>17</v>
      </c>
      <c r="E21767" t="s">
        <v>20</v>
      </c>
      <c r="F21767">
        <v>7179364</v>
      </c>
      <c r="G21767">
        <v>7179364</v>
      </c>
      <c r="H21767">
        <v>7179364</v>
      </c>
      <c r="I21767">
        <v>7179364</v>
      </c>
    </row>
    <row r="21768" spans="1:9" x14ac:dyDescent="0.2">
      <c r="A21768" t="str">
        <f>"Tubb5"</f>
        <v>Tubb5</v>
      </c>
      <c r="B21768" t="s">
        <v>14</v>
      </c>
      <c r="C21768" t="s">
        <v>28</v>
      </c>
      <c r="D21768" t="s">
        <v>11</v>
      </c>
      <c r="E21768" t="s">
        <v>12</v>
      </c>
      <c r="F21768">
        <v>35838219</v>
      </c>
      <c r="G21768">
        <v>35838243</v>
      </c>
      <c r="H21768">
        <v>35838259</v>
      </c>
      <c r="I21768">
        <v>35838264</v>
      </c>
    </row>
    <row r="21769" spans="1:9" x14ac:dyDescent="0.2">
      <c r="A21769" t="str">
        <f>"Tubb6"</f>
        <v>Tubb6</v>
      </c>
      <c r="B21769" t="s">
        <v>14</v>
      </c>
      <c r="C21769" t="s">
        <v>43</v>
      </c>
      <c r="D21769" t="s">
        <v>17</v>
      </c>
      <c r="E21769" t="s">
        <v>12</v>
      </c>
      <c r="F21769">
        <v>67390700</v>
      </c>
      <c r="G21769">
        <v>67390724</v>
      </c>
      <c r="H21769">
        <v>67390515</v>
      </c>
      <c r="I21769">
        <v>67390527</v>
      </c>
    </row>
    <row r="21770" spans="1:9" x14ac:dyDescent="0.2">
      <c r="A21770" t="str">
        <f>"Tubd1"</f>
        <v>Tubd1</v>
      </c>
      <c r="B21770" t="s">
        <v>14</v>
      </c>
      <c r="C21770" t="s">
        <v>27</v>
      </c>
      <c r="D21770" t="s">
        <v>17</v>
      </c>
      <c r="E21770" t="s">
        <v>12</v>
      </c>
      <c r="F21770">
        <v>86545000</v>
      </c>
      <c r="G21770">
        <v>86545039</v>
      </c>
      <c r="H21770">
        <v>86544944</v>
      </c>
      <c r="I21770">
        <v>86544978</v>
      </c>
    </row>
    <row r="21771" spans="1:9" x14ac:dyDescent="0.2">
      <c r="A21771" t="str">
        <f>"Tube1"</f>
        <v>Tube1</v>
      </c>
      <c r="B21771" t="s">
        <v>14</v>
      </c>
      <c r="C21771" t="s">
        <v>15</v>
      </c>
      <c r="D21771" t="s">
        <v>17</v>
      </c>
      <c r="E21771" t="s">
        <v>12</v>
      </c>
      <c r="F21771">
        <v>39133981</v>
      </c>
      <c r="G21771">
        <v>39134031</v>
      </c>
      <c r="H21771">
        <v>39133958</v>
      </c>
      <c r="I21771">
        <v>39133980</v>
      </c>
    </row>
    <row r="21772" spans="1:9" x14ac:dyDescent="0.2">
      <c r="A21772" t="str">
        <f>"Tubg1"</f>
        <v>Tubg1</v>
      </c>
      <c r="B21772" t="s">
        <v>14</v>
      </c>
      <c r="C21772" t="s">
        <v>27</v>
      </c>
      <c r="D21772" t="s">
        <v>17</v>
      </c>
      <c r="E21772" t="s">
        <v>12</v>
      </c>
      <c r="F21772">
        <v>101120107</v>
      </c>
      <c r="G21772">
        <v>101120157</v>
      </c>
      <c r="H21772">
        <v>101120158</v>
      </c>
      <c r="I21772">
        <v>101120173</v>
      </c>
    </row>
    <row r="21773" spans="1:9" x14ac:dyDescent="0.2">
      <c r="A21773" t="str">
        <f>"Tubg2"</f>
        <v>Tubg2</v>
      </c>
      <c r="B21773" t="s">
        <v>14</v>
      </c>
      <c r="C21773" t="s">
        <v>27</v>
      </c>
      <c r="D21773" t="s">
        <v>17</v>
      </c>
      <c r="E21773" t="s">
        <v>12</v>
      </c>
      <c r="F21773">
        <v>101155968</v>
      </c>
      <c r="G21773">
        <v>101156040</v>
      </c>
      <c r="H21773">
        <v>101155884</v>
      </c>
      <c r="I21773">
        <v>101155921</v>
      </c>
    </row>
    <row r="21774" spans="1:9" x14ac:dyDescent="0.2">
      <c r="A21774" t="str">
        <f>"Tubgcp2"</f>
        <v>Tubgcp2</v>
      </c>
      <c r="B21774" t="s">
        <v>14</v>
      </c>
      <c r="C21774" t="s">
        <v>33</v>
      </c>
      <c r="D21774" t="s">
        <v>11</v>
      </c>
      <c r="E21774" t="s">
        <v>12</v>
      </c>
      <c r="F21774">
        <v>140036363</v>
      </c>
      <c r="G21774">
        <v>140036400</v>
      </c>
      <c r="H21774">
        <v>140036256</v>
      </c>
      <c r="I21774">
        <v>140036318</v>
      </c>
    </row>
    <row r="21775" spans="1:9" x14ac:dyDescent="0.2">
      <c r="A21775" t="str">
        <f>"Tubgcp3"</f>
        <v>Tubgcp3</v>
      </c>
      <c r="B21775" t="s">
        <v>14</v>
      </c>
      <c r="C21775" t="s">
        <v>30</v>
      </c>
      <c r="D21775" t="s">
        <v>11</v>
      </c>
      <c r="E21775" t="s">
        <v>12</v>
      </c>
      <c r="F21775">
        <v>12672099</v>
      </c>
      <c r="G21775">
        <v>12672132</v>
      </c>
      <c r="H21775">
        <v>12672135</v>
      </c>
      <c r="I21775">
        <v>12672146</v>
      </c>
    </row>
    <row r="21776" spans="1:9" x14ac:dyDescent="0.2">
      <c r="A21776" t="str">
        <f>"Tubgcp4"</f>
        <v>Tubgcp4</v>
      </c>
      <c r="B21776" t="s">
        <v>14</v>
      </c>
      <c r="C21776" t="s">
        <v>26</v>
      </c>
      <c r="D21776" t="s">
        <v>17</v>
      </c>
      <c r="E21776" t="s">
        <v>12</v>
      </c>
      <c r="F21776">
        <v>121171204</v>
      </c>
      <c r="G21776">
        <v>121171279</v>
      </c>
      <c r="H21776">
        <v>121171155</v>
      </c>
      <c r="I21776">
        <v>121171198</v>
      </c>
    </row>
    <row r="21777" spans="1:9" x14ac:dyDescent="0.2">
      <c r="A21777" t="str">
        <f>"Tubgcp5"</f>
        <v>Tubgcp5</v>
      </c>
      <c r="B21777" t="s">
        <v>14</v>
      </c>
      <c r="C21777" t="s">
        <v>33</v>
      </c>
      <c r="D21777" t="s">
        <v>17</v>
      </c>
      <c r="E21777" t="s">
        <v>12</v>
      </c>
      <c r="F21777">
        <v>55794146</v>
      </c>
      <c r="G21777">
        <v>55794217</v>
      </c>
      <c r="H21777">
        <v>55794225</v>
      </c>
      <c r="I21777">
        <v>55794238</v>
      </c>
    </row>
    <row r="21778" spans="1:9" x14ac:dyDescent="0.2">
      <c r="A21778" t="str">
        <f>"Tubgcp6"</f>
        <v>Tubgcp6</v>
      </c>
      <c r="B21778" t="s">
        <v>14</v>
      </c>
      <c r="C21778" t="s">
        <v>25</v>
      </c>
      <c r="D21778" t="s">
        <v>11</v>
      </c>
      <c r="E21778" t="s">
        <v>12</v>
      </c>
      <c r="F21778">
        <v>89123111</v>
      </c>
      <c r="G21778">
        <v>89123173</v>
      </c>
      <c r="H21778">
        <v>89123111</v>
      </c>
      <c r="I21778">
        <v>89123173</v>
      </c>
    </row>
    <row r="21779" spans="1:9" x14ac:dyDescent="0.2">
      <c r="A21779" t="str">
        <f>"Tufm"</f>
        <v>Tufm</v>
      </c>
      <c r="B21779" t="s">
        <v>14</v>
      </c>
      <c r="C21779" t="s">
        <v>33</v>
      </c>
      <c r="D21779" t="s">
        <v>17</v>
      </c>
      <c r="E21779" t="s">
        <v>12</v>
      </c>
      <c r="F21779">
        <v>126487344</v>
      </c>
      <c r="G21779">
        <v>126487390</v>
      </c>
      <c r="H21779">
        <v>126487255</v>
      </c>
      <c r="I21779">
        <v>126487266</v>
      </c>
    </row>
    <row r="21780" spans="1:9" x14ac:dyDescent="0.2">
      <c r="A21780" t="str">
        <f>"Tuft1"</f>
        <v>Tuft1</v>
      </c>
      <c r="B21780" t="s">
        <v>14</v>
      </c>
      <c r="C21780" t="s">
        <v>22</v>
      </c>
      <c r="D21780" t="s">
        <v>11</v>
      </c>
      <c r="E21780" t="s">
        <v>12</v>
      </c>
      <c r="F21780">
        <v>94658843</v>
      </c>
      <c r="G21780">
        <v>94658878</v>
      </c>
      <c r="H21780">
        <v>94658843</v>
      </c>
      <c r="I21780">
        <v>94658878</v>
      </c>
    </row>
    <row r="21781" spans="1:9" x14ac:dyDescent="0.2">
      <c r="A21781" t="str">
        <f>"Tulp1"</f>
        <v>Tulp1</v>
      </c>
      <c r="B21781" t="s">
        <v>9</v>
      </c>
      <c r="C21781" t="s">
        <v>28</v>
      </c>
      <c r="D21781" t="s">
        <v>11</v>
      </c>
      <c r="E21781" t="s">
        <v>12</v>
      </c>
      <c r="F21781">
        <v>28365146</v>
      </c>
      <c r="G21781">
        <v>28365180</v>
      </c>
      <c r="H21781">
        <v>28365146</v>
      </c>
      <c r="I21781">
        <v>28365180</v>
      </c>
    </row>
    <row r="21782" spans="1:9" x14ac:dyDescent="0.2">
      <c r="A21782" t="str">
        <f>"Tulp1"</f>
        <v>Tulp1</v>
      </c>
      <c r="B21782" t="s">
        <v>13</v>
      </c>
      <c r="C21782" t="s">
        <v>28</v>
      </c>
      <c r="D21782" t="s">
        <v>11</v>
      </c>
      <c r="E21782" t="s">
        <v>12</v>
      </c>
      <c r="F21782">
        <v>28358704</v>
      </c>
      <c r="G21782">
        <v>28358728</v>
      </c>
      <c r="H21782">
        <v>28358704</v>
      </c>
      <c r="I21782">
        <v>28358728</v>
      </c>
    </row>
    <row r="21783" spans="1:9" x14ac:dyDescent="0.2">
      <c r="A21783" t="str">
        <f>"Tulp2"</f>
        <v>Tulp2</v>
      </c>
      <c r="B21783" t="s">
        <v>9</v>
      </c>
      <c r="C21783" t="s">
        <v>33</v>
      </c>
      <c r="D21783" t="s">
        <v>17</v>
      </c>
      <c r="E21783" t="s">
        <v>12</v>
      </c>
      <c r="F21783">
        <v>45513718</v>
      </c>
      <c r="G21783">
        <v>45513747</v>
      </c>
      <c r="H21783">
        <v>45513718</v>
      </c>
      <c r="I21783">
        <v>45513747</v>
      </c>
    </row>
    <row r="21784" spans="1:9" x14ac:dyDescent="0.2">
      <c r="A21784" t="str">
        <f>"Tulp2"</f>
        <v>Tulp2</v>
      </c>
      <c r="B21784" t="s">
        <v>13</v>
      </c>
      <c r="C21784" t="s">
        <v>33</v>
      </c>
      <c r="D21784" t="s">
        <v>17</v>
      </c>
      <c r="E21784" t="s">
        <v>12</v>
      </c>
      <c r="F21784">
        <v>45486360</v>
      </c>
      <c r="G21784">
        <v>45486399</v>
      </c>
      <c r="H21784">
        <v>45486360</v>
      </c>
      <c r="I21784">
        <v>45486399</v>
      </c>
    </row>
    <row r="21785" spans="1:9" x14ac:dyDescent="0.2">
      <c r="A21785" t="str">
        <f>"Tulp3"</f>
        <v>Tulp3</v>
      </c>
      <c r="B21785" t="s">
        <v>14</v>
      </c>
      <c r="C21785" t="s">
        <v>32</v>
      </c>
      <c r="D21785" t="s">
        <v>11</v>
      </c>
      <c r="E21785" t="s">
        <v>12</v>
      </c>
      <c r="F21785">
        <v>128355826</v>
      </c>
      <c r="G21785">
        <v>128355856</v>
      </c>
      <c r="H21785">
        <v>128355797</v>
      </c>
      <c r="I21785">
        <v>128355824</v>
      </c>
    </row>
    <row r="21786" spans="1:9" x14ac:dyDescent="0.2">
      <c r="A21786" t="str">
        <f>"Tulp4"</f>
        <v>Tulp4</v>
      </c>
      <c r="B21786" t="s">
        <v>5968</v>
      </c>
      <c r="C21786" t="s">
        <v>28</v>
      </c>
      <c r="D21786" t="s">
        <v>17</v>
      </c>
      <c r="E21786" t="s">
        <v>20</v>
      </c>
      <c r="F21786">
        <v>6138147</v>
      </c>
      <c r="G21786">
        <v>6138147</v>
      </c>
      <c r="H21786">
        <v>6138147</v>
      </c>
      <c r="I21786">
        <v>6138147</v>
      </c>
    </row>
    <row r="21787" spans="1:9" x14ac:dyDescent="0.2">
      <c r="A21787" t="str">
        <f>"Tusc1"</f>
        <v>Tusc1</v>
      </c>
      <c r="B21787" t="s">
        <v>14</v>
      </c>
      <c r="C21787" t="s">
        <v>23</v>
      </c>
      <c r="D21787" t="s">
        <v>11</v>
      </c>
      <c r="E21787" t="s">
        <v>12</v>
      </c>
      <c r="F21787">
        <v>93335510</v>
      </c>
      <c r="G21787">
        <v>93335548</v>
      </c>
      <c r="H21787">
        <v>93335380</v>
      </c>
      <c r="I21787">
        <v>93335423</v>
      </c>
    </row>
    <row r="21788" spans="1:9" x14ac:dyDescent="0.2">
      <c r="A21788" t="str">
        <f>"Tusc2"</f>
        <v>Tusc2</v>
      </c>
      <c r="B21788" t="s">
        <v>14</v>
      </c>
      <c r="C21788" t="s">
        <v>24</v>
      </c>
      <c r="D21788" t="s">
        <v>17</v>
      </c>
      <c r="E21788" t="s">
        <v>12</v>
      </c>
      <c r="F21788">
        <v>107563246</v>
      </c>
      <c r="G21788">
        <v>107563285</v>
      </c>
      <c r="H21788">
        <v>107563286</v>
      </c>
      <c r="I21788">
        <v>107563297</v>
      </c>
    </row>
    <row r="21789" spans="1:9" x14ac:dyDescent="0.2">
      <c r="A21789" t="str">
        <f>"Tusc3"</f>
        <v>Tusc3</v>
      </c>
      <c r="B21789" t="s">
        <v>14</v>
      </c>
      <c r="C21789" t="s">
        <v>30</v>
      </c>
      <c r="D21789" t="s">
        <v>17</v>
      </c>
      <c r="E21789" t="s">
        <v>12</v>
      </c>
      <c r="F21789">
        <v>39005880</v>
      </c>
      <c r="G21789">
        <v>39005952</v>
      </c>
      <c r="H21789">
        <v>39005827</v>
      </c>
      <c r="I21789">
        <v>39005866</v>
      </c>
    </row>
    <row r="21790" spans="1:9" x14ac:dyDescent="0.2">
      <c r="A21790" t="str">
        <f>"Tusc5"</f>
        <v>Tusc5</v>
      </c>
      <c r="B21790" t="s">
        <v>14</v>
      </c>
      <c r="C21790" t="s">
        <v>27</v>
      </c>
      <c r="D21790" t="s">
        <v>17</v>
      </c>
      <c r="E21790" t="s">
        <v>12</v>
      </c>
      <c r="F21790">
        <v>76679757</v>
      </c>
      <c r="G21790">
        <v>76679787</v>
      </c>
      <c r="H21790">
        <v>76679642</v>
      </c>
      <c r="I21790">
        <v>76679647</v>
      </c>
    </row>
    <row r="21791" spans="1:9" x14ac:dyDescent="0.2">
      <c r="A21791" t="str">
        <f>"Tut1"</f>
        <v>Tut1</v>
      </c>
      <c r="B21791" t="s">
        <v>14</v>
      </c>
      <c r="C21791" t="s">
        <v>10</v>
      </c>
      <c r="D21791" t="s">
        <v>17</v>
      </c>
      <c r="E21791" t="s">
        <v>12</v>
      </c>
      <c r="F21791">
        <v>8953886</v>
      </c>
      <c r="G21791">
        <v>8953938</v>
      </c>
      <c r="H21791">
        <v>8953826</v>
      </c>
      <c r="I21791">
        <v>8953856</v>
      </c>
    </row>
    <row r="21792" spans="1:9" x14ac:dyDescent="0.2">
      <c r="A21792" t="str">
        <f>"Tvp23a"</f>
        <v>Tvp23a</v>
      </c>
      <c r="B21792" t="s">
        <v>14</v>
      </c>
      <c r="C21792" t="s">
        <v>31</v>
      </c>
      <c r="D21792" t="s">
        <v>11</v>
      </c>
      <c r="E21792" t="s">
        <v>67</v>
      </c>
      <c r="F21792">
        <v>10447340</v>
      </c>
      <c r="G21792">
        <v>10447369</v>
      </c>
      <c r="H21792">
        <v>10447371</v>
      </c>
      <c r="I21792">
        <v>10447389</v>
      </c>
    </row>
    <row r="21793" spans="1:9" x14ac:dyDescent="0.2">
      <c r="A21793" t="str">
        <f>"Tvp23b"</f>
        <v>Tvp23b</v>
      </c>
      <c r="B21793" t="s">
        <v>14</v>
      </c>
      <c r="C21793" t="s">
        <v>27</v>
      </c>
      <c r="D21793" t="s">
        <v>17</v>
      </c>
      <c r="E21793" t="s">
        <v>67</v>
      </c>
      <c r="F21793">
        <v>62879449</v>
      </c>
      <c r="G21793">
        <v>62879536</v>
      </c>
      <c r="H21793">
        <v>62879560</v>
      </c>
      <c r="I21793">
        <v>62879580</v>
      </c>
    </row>
    <row r="21794" spans="1:9" x14ac:dyDescent="0.2">
      <c r="A21794" t="str">
        <f>"Twf1"</f>
        <v>Twf1</v>
      </c>
      <c r="B21794" t="s">
        <v>14</v>
      </c>
      <c r="C21794" t="s">
        <v>25</v>
      </c>
      <c r="D21794" t="s">
        <v>11</v>
      </c>
      <c r="E21794" t="s">
        <v>12</v>
      </c>
      <c r="F21794">
        <v>94589832</v>
      </c>
      <c r="G21794">
        <v>94589864</v>
      </c>
      <c r="H21794">
        <v>94589807</v>
      </c>
      <c r="I21794">
        <v>94589828</v>
      </c>
    </row>
    <row r="21795" spans="1:9" x14ac:dyDescent="0.2">
      <c r="A21795" t="str">
        <f>"Twf2"</f>
        <v>Twf2</v>
      </c>
      <c r="B21795" t="s">
        <v>14</v>
      </c>
      <c r="C21795" t="s">
        <v>24</v>
      </c>
      <c r="D21795" t="s">
        <v>17</v>
      </c>
      <c r="E21795" t="s">
        <v>12</v>
      </c>
      <c r="F21795">
        <v>106203108</v>
      </c>
      <c r="G21795">
        <v>106203171</v>
      </c>
      <c r="H21795">
        <v>106203108</v>
      </c>
      <c r="I21795">
        <v>106203171</v>
      </c>
    </row>
    <row r="21796" spans="1:9" x14ac:dyDescent="0.2">
      <c r="A21796" t="str">
        <f>"Twist1"</f>
        <v>Twist1</v>
      </c>
      <c r="B21796" t="s">
        <v>14</v>
      </c>
      <c r="C21796" t="s">
        <v>16</v>
      </c>
      <c r="D21796" t="s">
        <v>17</v>
      </c>
      <c r="E21796" t="s">
        <v>12</v>
      </c>
      <c r="F21796">
        <v>33957645</v>
      </c>
      <c r="G21796">
        <v>33957665</v>
      </c>
      <c r="H21796">
        <v>33957817</v>
      </c>
      <c r="I21796">
        <v>33957888</v>
      </c>
    </row>
    <row r="21797" spans="1:9" x14ac:dyDescent="0.2">
      <c r="A21797" t="str">
        <f>"Twist2"</f>
        <v>Twist2</v>
      </c>
      <c r="B21797" t="s">
        <v>14</v>
      </c>
      <c r="C21797" t="s">
        <v>19</v>
      </c>
      <c r="D21797" t="s">
        <v>17</v>
      </c>
      <c r="E21797" t="s">
        <v>12</v>
      </c>
      <c r="F21797">
        <v>91801453</v>
      </c>
      <c r="G21797">
        <v>91801487</v>
      </c>
      <c r="H21797">
        <v>91801491</v>
      </c>
      <c r="I21797">
        <v>91801508</v>
      </c>
    </row>
    <row r="21798" spans="1:9" x14ac:dyDescent="0.2">
      <c r="A21798" t="str">
        <f>"Twistnb"</f>
        <v>Twistnb</v>
      </c>
      <c r="B21798" t="s">
        <v>14</v>
      </c>
      <c r="C21798" t="s">
        <v>16</v>
      </c>
      <c r="D21798" t="s">
        <v>17</v>
      </c>
      <c r="E21798" t="s">
        <v>12</v>
      </c>
      <c r="F21798">
        <v>33429605</v>
      </c>
      <c r="G21798">
        <v>33429649</v>
      </c>
      <c r="H21798">
        <v>33429605</v>
      </c>
      <c r="I21798">
        <v>33429649</v>
      </c>
    </row>
    <row r="21799" spans="1:9" x14ac:dyDescent="0.2">
      <c r="A21799" t="str">
        <f>"Twsg1"</f>
        <v>Twsg1</v>
      </c>
      <c r="B21799" t="s">
        <v>14</v>
      </c>
      <c r="C21799" t="s">
        <v>28</v>
      </c>
      <c r="D21799" t="s">
        <v>11</v>
      </c>
      <c r="E21799" t="s">
        <v>12</v>
      </c>
      <c r="F21799">
        <v>65951127</v>
      </c>
      <c r="G21799">
        <v>65951154</v>
      </c>
      <c r="H21799">
        <v>65951156</v>
      </c>
      <c r="I21799">
        <v>65951199</v>
      </c>
    </row>
    <row r="21800" spans="1:9" x14ac:dyDescent="0.2">
      <c r="A21800" t="str">
        <f>"Txk"</f>
        <v>Txk</v>
      </c>
      <c r="B21800" t="s">
        <v>14</v>
      </c>
      <c r="C21800" t="s">
        <v>46</v>
      </c>
      <c r="D21800" t="s">
        <v>11</v>
      </c>
      <c r="E21800" t="s">
        <v>12</v>
      </c>
      <c r="F21800">
        <v>72752763</v>
      </c>
      <c r="G21800">
        <v>72752784</v>
      </c>
      <c r="H21800">
        <v>72752732</v>
      </c>
      <c r="I21800">
        <v>72752762</v>
      </c>
    </row>
    <row r="21801" spans="1:9" x14ac:dyDescent="0.2">
      <c r="A21801" t="str">
        <f>"Txlna"</f>
        <v>Txlna</v>
      </c>
      <c r="B21801" t="s">
        <v>14</v>
      </c>
      <c r="C21801" t="s">
        <v>23</v>
      </c>
      <c r="D21801" t="s">
        <v>11</v>
      </c>
      <c r="E21801" t="s">
        <v>12</v>
      </c>
      <c r="F21801">
        <v>129640991</v>
      </c>
      <c r="G21801">
        <v>129641051</v>
      </c>
      <c r="H21801">
        <v>129640614</v>
      </c>
      <c r="I21801">
        <v>129640660</v>
      </c>
    </row>
    <row r="21802" spans="1:9" x14ac:dyDescent="0.2">
      <c r="A21802" t="str">
        <f>"Txlnb"</f>
        <v>Txlnb</v>
      </c>
      <c r="B21802" t="s">
        <v>14</v>
      </c>
      <c r="C21802" t="s">
        <v>15</v>
      </c>
      <c r="D21802" t="s">
        <v>17</v>
      </c>
      <c r="E21802" t="s">
        <v>12</v>
      </c>
      <c r="F21802">
        <v>17796274</v>
      </c>
      <c r="G21802">
        <v>17796339</v>
      </c>
      <c r="H21802">
        <v>17796201</v>
      </c>
      <c r="I21802">
        <v>17796226</v>
      </c>
    </row>
    <row r="21803" spans="1:9" x14ac:dyDescent="0.2">
      <c r="A21803" t="str">
        <f>"Txlng"</f>
        <v>Txlng</v>
      </c>
      <c r="B21803" t="s">
        <v>14</v>
      </c>
      <c r="C21803" t="s">
        <v>37</v>
      </c>
      <c r="D21803" t="s">
        <v>11</v>
      </c>
      <c r="E21803" t="s">
        <v>12</v>
      </c>
      <c r="F21803">
        <v>162829338</v>
      </c>
      <c r="G21803">
        <v>162829373</v>
      </c>
      <c r="H21803">
        <v>162829379</v>
      </c>
      <c r="I21803">
        <v>162829402</v>
      </c>
    </row>
    <row r="21804" spans="1:9" x14ac:dyDescent="0.2">
      <c r="A21804" t="str">
        <f>"Txn1"</f>
        <v>Txn1</v>
      </c>
      <c r="B21804" t="s">
        <v>14</v>
      </c>
      <c r="C21804" t="s">
        <v>23</v>
      </c>
      <c r="D21804" t="s">
        <v>11</v>
      </c>
      <c r="E21804" t="s">
        <v>12</v>
      </c>
      <c r="F21804">
        <v>57956283</v>
      </c>
      <c r="G21804">
        <v>57956298</v>
      </c>
      <c r="H21804">
        <v>57956516</v>
      </c>
      <c r="I21804">
        <v>57956542</v>
      </c>
    </row>
    <row r="21805" spans="1:9" x14ac:dyDescent="0.2">
      <c r="A21805" t="str">
        <f>"Txn2"</f>
        <v>Txn2</v>
      </c>
      <c r="B21805" t="s">
        <v>9</v>
      </c>
      <c r="C21805" t="s">
        <v>25</v>
      </c>
      <c r="D21805" t="s">
        <v>11</v>
      </c>
      <c r="E21805" t="s">
        <v>12</v>
      </c>
      <c r="F21805">
        <v>77928925</v>
      </c>
      <c r="G21805">
        <v>77929011</v>
      </c>
      <c r="H21805">
        <v>77928925</v>
      </c>
      <c r="I21805">
        <v>77929011</v>
      </c>
    </row>
    <row r="21806" spans="1:9" x14ac:dyDescent="0.2">
      <c r="A21806" t="str">
        <f>"Txn2"</f>
        <v>Txn2</v>
      </c>
      <c r="B21806" t="s">
        <v>13</v>
      </c>
      <c r="C21806" t="s">
        <v>25</v>
      </c>
      <c r="D21806" t="s">
        <v>11</v>
      </c>
      <c r="E21806" t="s">
        <v>12</v>
      </c>
      <c r="F21806">
        <v>77927863</v>
      </c>
      <c r="G21806">
        <v>77927895</v>
      </c>
      <c r="H21806">
        <v>77927863</v>
      </c>
      <c r="I21806">
        <v>77927895</v>
      </c>
    </row>
    <row r="21807" spans="1:9" x14ac:dyDescent="0.2">
      <c r="A21807" t="str">
        <f>"Txndc11"</f>
        <v>Txndc11</v>
      </c>
      <c r="B21807" t="s">
        <v>14</v>
      </c>
      <c r="C21807" t="s">
        <v>31</v>
      </c>
      <c r="D21807" t="s">
        <v>11</v>
      </c>
      <c r="E21807" t="s">
        <v>12</v>
      </c>
      <c r="F21807">
        <v>11134546</v>
      </c>
      <c r="G21807">
        <v>11134590</v>
      </c>
      <c r="H21807">
        <v>11134601</v>
      </c>
      <c r="I21807">
        <v>11134623</v>
      </c>
    </row>
    <row r="21808" spans="1:9" x14ac:dyDescent="0.2">
      <c r="A21808" t="str">
        <f>"Txndc12"</f>
        <v>Txndc12</v>
      </c>
      <c r="B21808" t="s">
        <v>14</v>
      </c>
      <c r="C21808" t="s">
        <v>23</v>
      </c>
      <c r="D21808" t="s">
        <v>17</v>
      </c>
      <c r="E21808" t="s">
        <v>12</v>
      </c>
      <c r="F21808">
        <v>108834647</v>
      </c>
      <c r="G21808">
        <v>108834705</v>
      </c>
      <c r="H21808">
        <v>108834709</v>
      </c>
      <c r="I21808">
        <v>108834751</v>
      </c>
    </row>
    <row r="21809" spans="1:9" x14ac:dyDescent="0.2">
      <c r="A21809" t="str">
        <f>"Txndc15"</f>
        <v>Txndc15</v>
      </c>
      <c r="B21809" t="s">
        <v>14</v>
      </c>
      <c r="C21809" t="s">
        <v>39</v>
      </c>
      <c r="D21809" t="s">
        <v>17</v>
      </c>
      <c r="E21809" t="s">
        <v>12</v>
      </c>
      <c r="F21809">
        <v>55714662</v>
      </c>
      <c r="G21809">
        <v>55714756</v>
      </c>
      <c r="H21809">
        <v>55714624</v>
      </c>
      <c r="I21809">
        <v>55714642</v>
      </c>
    </row>
    <row r="21810" spans="1:9" x14ac:dyDescent="0.2">
      <c r="A21810" t="str">
        <f>"Txndc16"</f>
        <v>Txndc16</v>
      </c>
      <c r="B21810" t="s">
        <v>14</v>
      </c>
      <c r="C21810" t="s">
        <v>41</v>
      </c>
      <c r="D21810" t="s">
        <v>11</v>
      </c>
      <c r="E21810" t="s">
        <v>12</v>
      </c>
      <c r="F21810">
        <v>45219364</v>
      </c>
      <c r="G21810">
        <v>45219428</v>
      </c>
      <c r="H21810">
        <v>45219273</v>
      </c>
      <c r="I21810">
        <v>45219308</v>
      </c>
    </row>
    <row r="21811" spans="1:9" x14ac:dyDescent="0.2">
      <c r="A21811" t="str">
        <f>"Txndc17"</f>
        <v>Txndc17</v>
      </c>
      <c r="B21811" t="s">
        <v>14</v>
      </c>
      <c r="C21811" t="s">
        <v>27</v>
      </c>
      <c r="D21811" t="s">
        <v>17</v>
      </c>
      <c r="E21811" t="s">
        <v>12</v>
      </c>
      <c r="F21811">
        <v>72207537</v>
      </c>
      <c r="G21811">
        <v>72207620</v>
      </c>
      <c r="H21811">
        <v>72207537</v>
      </c>
      <c r="I21811">
        <v>72207620</v>
      </c>
    </row>
    <row r="21812" spans="1:9" x14ac:dyDescent="0.2">
      <c r="A21812" t="str">
        <f>"Txndc2"</f>
        <v>Txndc2</v>
      </c>
      <c r="B21812" t="s">
        <v>14</v>
      </c>
      <c r="C21812" t="s">
        <v>28</v>
      </c>
      <c r="D21812" t="s">
        <v>11</v>
      </c>
      <c r="E21812" t="s">
        <v>12</v>
      </c>
      <c r="F21812">
        <v>65642159</v>
      </c>
      <c r="G21812">
        <v>65642182</v>
      </c>
      <c r="H21812">
        <v>65642188</v>
      </c>
      <c r="I21812">
        <v>65642206</v>
      </c>
    </row>
    <row r="21813" spans="1:9" x14ac:dyDescent="0.2">
      <c r="A21813" t="str">
        <f>"Txndc5"</f>
        <v>Txndc5</v>
      </c>
      <c r="B21813" t="s">
        <v>14</v>
      </c>
      <c r="C21813" t="s">
        <v>39</v>
      </c>
      <c r="D21813" t="s">
        <v>11</v>
      </c>
      <c r="E21813" t="s">
        <v>12</v>
      </c>
      <c r="F21813">
        <v>38528412</v>
      </c>
      <c r="G21813">
        <v>38528472</v>
      </c>
      <c r="H21813">
        <v>38528816</v>
      </c>
      <c r="I21813">
        <v>38528852</v>
      </c>
    </row>
    <row r="21814" spans="1:9" x14ac:dyDescent="0.2">
      <c r="A21814" t="str">
        <f>"Txndc8"</f>
        <v>Txndc8</v>
      </c>
      <c r="B21814" t="s">
        <v>14</v>
      </c>
      <c r="C21814" t="s">
        <v>23</v>
      </c>
      <c r="D21814" t="s">
        <v>11</v>
      </c>
      <c r="E21814" t="s">
        <v>12</v>
      </c>
      <c r="F21814">
        <v>58009117</v>
      </c>
      <c r="G21814">
        <v>58009133</v>
      </c>
      <c r="H21814">
        <v>58009090</v>
      </c>
      <c r="I21814">
        <v>58009101</v>
      </c>
    </row>
    <row r="21815" spans="1:9" x14ac:dyDescent="0.2">
      <c r="A21815" t="str">
        <f>"Txndc9"</f>
        <v>Txndc9</v>
      </c>
      <c r="B21815" t="s">
        <v>14</v>
      </c>
      <c r="C21815" t="s">
        <v>19</v>
      </c>
      <c r="D21815" t="s">
        <v>11</v>
      </c>
      <c r="E21815" t="s">
        <v>12</v>
      </c>
      <c r="F21815">
        <v>37997219</v>
      </c>
      <c r="G21815">
        <v>37997280</v>
      </c>
      <c r="H21815">
        <v>37996919</v>
      </c>
      <c r="I21815">
        <v>37996950</v>
      </c>
    </row>
    <row r="21816" spans="1:9" x14ac:dyDescent="0.2">
      <c r="A21816" t="str">
        <f>"Txnip"</f>
        <v>Txnip</v>
      </c>
      <c r="B21816" t="s">
        <v>14</v>
      </c>
      <c r="C21816" t="s">
        <v>22</v>
      </c>
      <c r="D21816" t="s">
        <v>17</v>
      </c>
      <c r="E21816" t="s">
        <v>12</v>
      </c>
      <c r="F21816">
        <v>96557950</v>
      </c>
      <c r="G21816">
        <v>96557968</v>
      </c>
      <c r="H21816">
        <v>96557950</v>
      </c>
      <c r="I21816">
        <v>96557968</v>
      </c>
    </row>
    <row r="21817" spans="1:9" x14ac:dyDescent="0.2">
      <c r="A21817" t="str">
        <f>"Txnl1"</f>
        <v>Txnl1</v>
      </c>
      <c r="B21817" t="s">
        <v>14</v>
      </c>
      <c r="C21817" t="s">
        <v>43</v>
      </c>
      <c r="D21817" t="s">
        <v>11</v>
      </c>
      <c r="E21817" t="s">
        <v>12</v>
      </c>
      <c r="F21817">
        <v>63692309</v>
      </c>
      <c r="G21817">
        <v>63692338</v>
      </c>
      <c r="H21817">
        <v>63692341</v>
      </c>
      <c r="I21817">
        <v>63692374</v>
      </c>
    </row>
    <row r="21818" spans="1:9" x14ac:dyDescent="0.2">
      <c r="A21818" t="str">
        <f>"Txnl4a"</f>
        <v>Txnl4a</v>
      </c>
      <c r="B21818" t="s">
        <v>14</v>
      </c>
      <c r="C21818" t="s">
        <v>43</v>
      </c>
      <c r="D21818" t="s">
        <v>17</v>
      </c>
      <c r="E21818" t="s">
        <v>12</v>
      </c>
      <c r="F21818">
        <v>80206775</v>
      </c>
      <c r="G21818">
        <v>80206881</v>
      </c>
      <c r="H21818">
        <v>80206887</v>
      </c>
      <c r="I21818">
        <v>80206900</v>
      </c>
    </row>
    <row r="21819" spans="1:9" x14ac:dyDescent="0.2">
      <c r="A21819" t="str">
        <f>"Txnl4b"</f>
        <v>Txnl4b</v>
      </c>
      <c r="B21819" t="s">
        <v>14</v>
      </c>
      <c r="C21819" t="s">
        <v>30</v>
      </c>
      <c r="D21819" t="s">
        <v>17</v>
      </c>
      <c r="E21819" t="s">
        <v>12</v>
      </c>
      <c r="F21819">
        <v>109566027</v>
      </c>
      <c r="G21819">
        <v>109566031</v>
      </c>
      <c r="H21819">
        <v>109565906</v>
      </c>
      <c r="I21819">
        <v>109565934</v>
      </c>
    </row>
    <row r="21820" spans="1:9" x14ac:dyDescent="0.2">
      <c r="A21820" t="str">
        <f>"Txnrd1"</f>
        <v>Txnrd1</v>
      </c>
      <c r="B21820" t="s">
        <v>14</v>
      </c>
      <c r="C21820" t="s">
        <v>15</v>
      </c>
      <c r="D21820" t="s">
        <v>17</v>
      </c>
      <c r="E21820" t="s">
        <v>12</v>
      </c>
      <c r="F21820">
        <v>82859198</v>
      </c>
      <c r="G21820">
        <v>82859217</v>
      </c>
      <c r="H21820">
        <v>82859198</v>
      </c>
      <c r="I21820">
        <v>82859217</v>
      </c>
    </row>
    <row r="21821" spans="1:9" x14ac:dyDescent="0.2">
      <c r="A21821" t="str">
        <f>"Txnrd2"</f>
        <v>Txnrd2</v>
      </c>
      <c r="B21821" t="s">
        <v>14</v>
      </c>
      <c r="C21821" t="s">
        <v>31</v>
      </c>
      <c r="D21821" t="s">
        <v>17</v>
      </c>
      <c r="E21821" t="s">
        <v>12</v>
      </c>
      <c r="F21821">
        <v>18426415</v>
      </c>
      <c r="G21821">
        <v>18426450</v>
      </c>
      <c r="H21821">
        <v>18426400</v>
      </c>
      <c r="I21821">
        <v>18426409</v>
      </c>
    </row>
    <row r="21822" spans="1:9" x14ac:dyDescent="0.2">
      <c r="A21822" t="str">
        <f>"Txnrd3"</f>
        <v>Txnrd3</v>
      </c>
      <c r="B21822" t="s">
        <v>14</v>
      </c>
      <c r="C21822" t="s">
        <v>32</v>
      </c>
      <c r="D21822" t="s">
        <v>17</v>
      </c>
      <c r="E21822" t="s">
        <v>12</v>
      </c>
      <c r="F21822">
        <v>89644015</v>
      </c>
      <c r="G21822">
        <v>89644062</v>
      </c>
      <c r="H21822">
        <v>89643982</v>
      </c>
      <c r="I21822">
        <v>89644007</v>
      </c>
    </row>
    <row r="21823" spans="1:9" x14ac:dyDescent="0.2">
      <c r="A21823" t="str">
        <f>"Tyk2"</f>
        <v>Tyk2</v>
      </c>
      <c r="B21823" t="s">
        <v>14</v>
      </c>
      <c r="C21823" t="s">
        <v>24</v>
      </c>
      <c r="D21823" t="s">
        <v>11</v>
      </c>
      <c r="E21823" t="s">
        <v>12</v>
      </c>
      <c r="F21823">
        <v>21131251</v>
      </c>
      <c r="G21823">
        <v>21131288</v>
      </c>
      <c r="H21823">
        <v>21131181</v>
      </c>
      <c r="I21823">
        <v>21131221</v>
      </c>
    </row>
    <row r="21824" spans="1:9" x14ac:dyDescent="0.2">
      <c r="A21824" t="str">
        <f>"Tymp"</f>
        <v>Tymp</v>
      </c>
      <c r="B21824" t="s">
        <v>14</v>
      </c>
      <c r="C21824" t="s">
        <v>25</v>
      </c>
      <c r="D21824" t="s">
        <v>11</v>
      </c>
      <c r="E21824" t="s">
        <v>12</v>
      </c>
      <c r="F21824">
        <v>89377058</v>
      </c>
      <c r="G21824">
        <v>89377102</v>
      </c>
      <c r="H21824">
        <v>89377103</v>
      </c>
      <c r="I21824">
        <v>89377114</v>
      </c>
    </row>
    <row r="21825" spans="1:9" x14ac:dyDescent="0.2">
      <c r="A21825" t="str">
        <f>"Tyms"</f>
        <v>Tyms</v>
      </c>
      <c r="B21825" t="s">
        <v>14</v>
      </c>
      <c r="C21825" t="s">
        <v>46</v>
      </c>
      <c r="D21825" t="s">
        <v>11</v>
      </c>
      <c r="E21825" t="s">
        <v>12</v>
      </c>
      <c r="F21825">
        <v>30073554</v>
      </c>
      <c r="G21825">
        <v>30073609</v>
      </c>
      <c r="H21825">
        <v>30073554</v>
      </c>
      <c r="I21825">
        <v>30073609</v>
      </c>
    </row>
    <row r="21826" spans="1:9" x14ac:dyDescent="0.2">
      <c r="A21826" t="str">
        <f>"Tyr"</f>
        <v>Tyr</v>
      </c>
      <c r="B21826" t="s">
        <v>14</v>
      </c>
      <c r="C21826" t="s">
        <v>33</v>
      </c>
      <c r="D21826" t="s">
        <v>11</v>
      </c>
      <c r="E21826" t="s">
        <v>12</v>
      </c>
      <c r="F21826">
        <v>87493371</v>
      </c>
      <c r="G21826">
        <v>87493438</v>
      </c>
      <c r="H21826">
        <v>87493371</v>
      </c>
      <c r="I21826">
        <v>87493438</v>
      </c>
    </row>
    <row r="21827" spans="1:9" x14ac:dyDescent="0.2">
      <c r="A21827" t="str">
        <f>"Tyro3"</f>
        <v>Tyro3</v>
      </c>
      <c r="B21827" t="s">
        <v>14</v>
      </c>
      <c r="C21827" t="s">
        <v>26</v>
      </c>
      <c r="D21827" t="s">
        <v>17</v>
      </c>
      <c r="E21827" t="s">
        <v>12</v>
      </c>
      <c r="F21827">
        <v>119799542</v>
      </c>
      <c r="G21827">
        <v>119799572</v>
      </c>
      <c r="H21827">
        <v>119799725</v>
      </c>
      <c r="I21827">
        <v>119799760</v>
      </c>
    </row>
    <row r="21828" spans="1:9" x14ac:dyDescent="0.2">
      <c r="A21828" t="str">
        <f>"Tyrobp"</f>
        <v>Tyrobp</v>
      </c>
      <c r="B21828" t="s">
        <v>14</v>
      </c>
      <c r="C21828" t="s">
        <v>33</v>
      </c>
      <c r="D21828" t="s">
        <v>17</v>
      </c>
      <c r="E21828" t="s">
        <v>12</v>
      </c>
      <c r="F21828">
        <v>30413744</v>
      </c>
      <c r="G21828">
        <v>30413831</v>
      </c>
      <c r="H21828">
        <v>30413744</v>
      </c>
      <c r="I21828">
        <v>30413831</v>
      </c>
    </row>
    <row r="21829" spans="1:9" x14ac:dyDescent="0.2">
      <c r="A21829" t="str">
        <f>"Tyrp1"</f>
        <v>Tyrp1</v>
      </c>
      <c r="B21829" t="s">
        <v>14</v>
      </c>
      <c r="C21829" t="s">
        <v>23</v>
      </c>
      <c r="D21829" t="s">
        <v>17</v>
      </c>
      <c r="E21829" t="s">
        <v>12</v>
      </c>
      <c r="F21829">
        <v>80834204</v>
      </c>
      <c r="G21829">
        <v>80834221</v>
      </c>
      <c r="H21829">
        <v>80834330</v>
      </c>
      <c r="I21829">
        <v>80834355</v>
      </c>
    </row>
    <row r="21830" spans="1:9" x14ac:dyDescent="0.2">
      <c r="A21830" t="str">
        <f>"Tysnd1"</f>
        <v>Tysnd1</v>
      </c>
      <c r="B21830" t="s">
        <v>14</v>
      </c>
      <c r="C21830" t="s">
        <v>15</v>
      </c>
      <c r="D21830" t="s">
        <v>17</v>
      </c>
      <c r="E21830" t="s">
        <v>12</v>
      </c>
      <c r="F21830">
        <v>61695503</v>
      </c>
      <c r="G21830">
        <v>61695576</v>
      </c>
      <c r="H21830">
        <v>61695503</v>
      </c>
      <c r="I21830">
        <v>61695576</v>
      </c>
    </row>
    <row r="21831" spans="1:9" x14ac:dyDescent="0.2">
      <c r="A21831" t="str">
        <f>"Tyw1"</f>
        <v>Tyw1</v>
      </c>
      <c r="B21831" t="s">
        <v>9</v>
      </c>
      <c r="C21831" t="s">
        <v>46</v>
      </c>
      <c r="D21831" t="s">
        <v>17</v>
      </c>
      <c r="E21831" t="s">
        <v>12</v>
      </c>
      <c r="F21831">
        <v>130257029</v>
      </c>
      <c r="G21831">
        <v>130257072</v>
      </c>
      <c r="H21831">
        <v>130257029</v>
      </c>
      <c r="I21831">
        <v>130257072</v>
      </c>
    </row>
    <row r="21832" spans="1:9" x14ac:dyDescent="0.2">
      <c r="A21832" t="str">
        <f>"Tyw1"</f>
        <v>Tyw1</v>
      </c>
      <c r="B21832" t="s">
        <v>13</v>
      </c>
      <c r="C21832" t="s">
        <v>46</v>
      </c>
      <c r="D21832" t="s">
        <v>17</v>
      </c>
      <c r="E21832" t="s">
        <v>12</v>
      </c>
      <c r="F21832">
        <v>130255594</v>
      </c>
      <c r="G21832">
        <v>130255626</v>
      </c>
      <c r="H21832">
        <v>130255594</v>
      </c>
      <c r="I21832">
        <v>130255626</v>
      </c>
    </row>
    <row r="21833" spans="1:9" x14ac:dyDescent="0.2">
      <c r="A21833" t="str">
        <f>"Tyw3"</f>
        <v>Tyw3</v>
      </c>
      <c r="B21833" t="s">
        <v>14</v>
      </c>
      <c r="C21833" t="s">
        <v>22</v>
      </c>
      <c r="D21833" t="s">
        <v>11</v>
      </c>
      <c r="E21833" t="s">
        <v>12</v>
      </c>
      <c r="F21833">
        <v>154597045</v>
      </c>
      <c r="G21833">
        <v>154597088</v>
      </c>
      <c r="H21833">
        <v>154597089</v>
      </c>
      <c r="I21833">
        <v>154597108</v>
      </c>
    </row>
    <row r="21834" spans="1:9" x14ac:dyDescent="0.2">
      <c r="A21834" t="str">
        <f>"Tyw5"</f>
        <v>Tyw5</v>
      </c>
      <c r="B21834" t="s">
        <v>5969</v>
      </c>
      <c r="C21834" t="s">
        <v>19</v>
      </c>
      <c r="D21834" t="s">
        <v>11</v>
      </c>
      <c r="E21834" t="s">
        <v>35</v>
      </c>
      <c r="F21834">
        <v>57407100</v>
      </c>
      <c r="G21834">
        <v>57407101</v>
      </c>
      <c r="H21834">
        <v>57407100</v>
      </c>
      <c r="I21834">
        <v>57407101</v>
      </c>
    </row>
    <row r="21835" spans="1:9" x14ac:dyDescent="0.2">
      <c r="A21835" t="str">
        <f>"U2af1"</f>
        <v>U2af1</v>
      </c>
      <c r="B21835" t="s">
        <v>14</v>
      </c>
      <c r="C21835" t="s">
        <v>28</v>
      </c>
      <c r="D21835" t="s">
        <v>11</v>
      </c>
      <c r="E21835" t="s">
        <v>12</v>
      </c>
      <c r="F21835">
        <v>31658729</v>
      </c>
      <c r="G21835">
        <v>31658766</v>
      </c>
      <c r="H21835">
        <v>31658729</v>
      </c>
      <c r="I21835">
        <v>31658766</v>
      </c>
    </row>
    <row r="21836" spans="1:9" x14ac:dyDescent="0.2">
      <c r="A21836" t="str">
        <f>"U2af1l4"</f>
        <v>U2af1l4</v>
      </c>
      <c r="B21836" t="s">
        <v>14</v>
      </c>
      <c r="C21836" t="s">
        <v>33</v>
      </c>
      <c r="D21836" t="s">
        <v>17</v>
      </c>
      <c r="E21836" t="s">
        <v>12</v>
      </c>
      <c r="F21836">
        <v>30563298</v>
      </c>
      <c r="G21836">
        <v>30563349</v>
      </c>
      <c r="H21836">
        <v>30563800</v>
      </c>
      <c r="I21836">
        <v>30563826</v>
      </c>
    </row>
    <row r="21837" spans="1:9" x14ac:dyDescent="0.2">
      <c r="A21837" t="str">
        <f>"U2af2"</f>
        <v>U2af2</v>
      </c>
      <c r="B21837" t="s">
        <v>14</v>
      </c>
      <c r="C21837" t="s">
        <v>33</v>
      </c>
      <c r="D21837" t="s">
        <v>17</v>
      </c>
      <c r="E21837" t="s">
        <v>12</v>
      </c>
      <c r="F21837">
        <v>5062183</v>
      </c>
      <c r="G21837">
        <v>5062241</v>
      </c>
      <c r="H21837">
        <v>5061672</v>
      </c>
      <c r="I21837">
        <v>5061752</v>
      </c>
    </row>
    <row r="21838" spans="1:9" x14ac:dyDescent="0.2">
      <c r="A21838" t="str">
        <f>"U2surp"</f>
        <v>U2surp</v>
      </c>
      <c r="B21838" t="s">
        <v>14</v>
      </c>
      <c r="C21838" t="s">
        <v>24</v>
      </c>
      <c r="D21838" t="s">
        <v>11</v>
      </c>
      <c r="E21838" t="s">
        <v>67</v>
      </c>
      <c r="F21838">
        <v>95511857</v>
      </c>
      <c r="G21838">
        <v>95511892</v>
      </c>
      <c r="H21838">
        <v>95511897</v>
      </c>
      <c r="I21838">
        <v>95511908</v>
      </c>
    </row>
    <row r="21839" spans="1:9" x14ac:dyDescent="0.2">
      <c r="A21839" t="str">
        <f>"U90926"</f>
        <v>U90926</v>
      </c>
      <c r="B21839" t="s">
        <v>14</v>
      </c>
      <c r="C21839" t="s">
        <v>46</v>
      </c>
      <c r="D21839" t="s">
        <v>11</v>
      </c>
      <c r="E21839" t="s">
        <v>12</v>
      </c>
      <c r="F21839">
        <v>92215345</v>
      </c>
      <c r="G21839">
        <v>92215354</v>
      </c>
      <c r="H21839">
        <v>92215345</v>
      </c>
      <c r="I21839">
        <v>92215354</v>
      </c>
    </row>
    <row r="21840" spans="1:9" x14ac:dyDescent="0.2">
      <c r="A21840" t="str">
        <f>"Uaca"</f>
        <v>Uaca</v>
      </c>
      <c r="B21840" t="s">
        <v>14</v>
      </c>
      <c r="C21840" t="s">
        <v>24</v>
      </c>
      <c r="D21840" t="s">
        <v>17</v>
      </c>
      <c r="E21840" t="s">
        <v>12</v>
      </c>
      <c r="F21840">
        <v>60794468</v>
      </c>
      <c r="G21840">
        <v>60794577</v>
      </c>
      <c r="H21840">
        <v>60794584</v>
      </c>
      <c r="I21840">
        <v>60794591</v>
      </c>
    </row>
    <row r="21841" spans="1:9" x14ac:dyDescent="0.2">
      <c r="A21841" t="str">
        <f>"Uap1"</f>
        <v>Uap1</v>
      </c>
      <c r="B21841" t="s">
        <v>14</v>
      </c>
      <c r="C21841" t="s">
        <v>19</v>
      </c>
      <c r="D21841" t="s">
        <v>11</v>
      </c>
      <c r="E21841" t="s">
        <v>12</v>
      </c>
      <c r="F21841">
        <v>170174781</v>
      </c>
      <c r="G21841">
        <v>170174796</v>
      </c>
      <c r="H21841">
        <v>170174900</v>
      </c>
      <c r="I21841">
        <v>170174951</v>
      </c>
    </row>
    <row r="21842" spans="1:9" x14ac:dyDescent="0.2">
      <c r="A21842" t="str">
        <f>"Uap1l1"</f>
        <v>Uap1l1</v>
      </c>
      <c r="B21842" t="s">
        <v>14</v>
      </c>
      <c r="C21842" t="s">
        <v>26</v>
      </c>
      <c r="D21842" t="s">
        <v>11</v>
      </c>
      <c r="E21842" t="s">
        <v>12</v>
      </c>
      <c r="F21842">
        <v>25365612</v>
      </c>
      <c r="G21842">
        <v>25365635</v>
      </c>
      <c r="H21842">
        <v>25365639</v>
      </c>
      <c r="I21842">
        <v>25365668</v>
      </c>
    </row>
    <row r="21843" spans="1:9" x14ac:dyDescent="0.2">
      <c r="A21843" t="str">
        <f>"Uba1"</f>
        <v>Uba1</v>
      </c>
      <c r="B21843" t="s">
        <v>9</v>
      </c>
      <c r="C21843" t="s">
        <v>37</v>
      </c>
      <c r="D21843" t="s">
        <v>17</v>
      </c>
      <c r="E21843" t="s">
        <v>12</v>
      </c>
      <c r="F21843">
        <v>20662916</v>
      </c>
      <c r="G21843">
        <v>20662943</v>
      </c>
      <c r="H21843">
        <v>20662916</v>
      </c>
      <c r="I21843">
        <v>20662943</v>
      </c>
    </row>
    <row r="21844" spans="1:9" x14ac:dyDescent="0.2">
      <c r="A21844" t="str">
        <f>"Uba1"</f>
        <v>Uba1</v>
      </c>
      <c r="B21844" t="s">
        <v>13</v>
      </c>
      <c r="C21844" t="s">
        <v>37</v>
      </c>
      <c r="D21844" t="s">
        <v>17</v>
      </c>
      <c r="E21844" t="s">
        <v>12</v>
      </c>
      <c r="F21844">
        <v>20658413</v>
      </c>
      <c r="G21844">
        <v>20658447</v>
      </c>
      <c r="H21844">
        <v>20658413</v>
      </c>
      <c r="I21844">
        <v>20658447</v>
      </c>
    </row>
    <row r="21845" spans="1:9" x14ac:dyDescent="0.2">
      <c r="A21845" t="str">
        <f>"Uba1y"</f>
        <v>Uba1y</v>
      </c>
      <c r="B21845" t="s">
        <v>14</v>
      </c>
      <c r="C21845" t="s">
        <v>63</v>
      </c>
      <c r="D21845" t="s">
        <v>17</v>
      </c>
      <c r="E21845" t="s">
        <v>67</v>
      </c>
      <c r="F21845">
        <v>818583</v>
      </c>
      <c r="G21845">
        <v>818633</v>
      </c>
      <c r="H21845">
        <v>818646</v>
      </c>
      <c r="I21845">
        <v>818656</v>
      </c>
    </row>
    <row r="21846" spans="1:9" x14ac:dyDescent="0.2">
      <c r="A21846" t="str">
        <f>"Uba2"</f>
        <v>Uba2</v>
      </c>
      <c r="B21846" t="s">
        <v>14</v>
      </c>
      <c r="C21846" t="s">
        <v>33</v>
      </c>
      <c r="D21846" t="s">
        <v>11</v>
      </c>
      <c r="E21846" t="s">
        <v>12</v>
      </c>
      <c r="F21846">
        <v>34168516</v>
      </c>
      <c r="G21846">
        <v>34168582</v>
      </c>
      <c r="H21846">
        <v>34168516</v>
      </c>
      <c r="I21846">
        <v>34168582</v>
      </c>
    </row>
    <row r="21847" spans="1:9" x14ac:dyDescent="0.2">
      <c r="A21847" t="str">
        <f>"Uba3"</f>
        <v>Uba3</v>
      </c>
      <c r="B21847" t="s">
        <v>14</v>
      </c>
      <c r="C21847" t="s">
        <v>32</v>
      </c>
      <c r="D21847" t="s">
        <v>11</v>
      </c>
      <c r="E21847" t="s">
        <v>12</v>
      </c>
      <c r="F21847">
        <v>97205549</v>
      </c>
      <c r="G21847">
        <v>97205572</v>
      </c>
      <c r="H21847">
        <v>97205637</v>
      </c>
      <c r="I21847">
        <v>97205658</v>
      </c>
    </row>
    <row r="21848" spans="1:9" x14ac:dyDescent="0.2">
      <c r="A21848" t="str">
        <f>"Uba5"</f>
        <v>Uba5</v>
      </c>
      <c r="B21848" t="s">
        <v>14</v>
      </c>
      <c r="C21848" t="s">
        <v>24</v>
      </c>
      <c r="D21848" t="s">
        <v>11</v>
      </c>
      <c r="E21848" t="s">
        <v>12</v>
      </c>
      <c r="F21848">
        <v>104063049</v>
      </c>
      <c r="G21848">
        <v>104063146</v>
      </c>
      <c r="H21848">
        <v>104063049</v>
      </c>
      <c r="I21848">
        <v>104063146</v>
      </c>
    </row>
    <row r="21849" spans="1:9" x14ac:dyDescent="0.2">
      <c r="A21849" t="str">
        <f>"Uba52"</f>
        <v>Uba52</v>
      </c>
      <c r="B21849" t="s">
        <v>14</v>
      </c>
      <c r="C21849" t="s">
        <v>30</v>
      </c>
      <c r="D21849" t="s">
        <v>11</v>
      </c>
      <c r="E21849" t="s">
        <v>12</v>
      </c>
      <c r="F21849">
        <v>70510322</v>
      </c>
      <c r="G21849">
        <v>70510422</v>
      </c>
      <c r="H21849">
        <v>70510322</v>
      </c>
      <c r="I21849">
        <v>70510422</v>
      </c>
    </row>
    <row r="21850" spans="1:9" x14ac:dyDescent="0.2">
      <c r="A21850" t="str">
        <f>"Uba6"</f>
        <v>Uba6</v>
      </c>
      <c r="B21850" t="s">
        <v>14</v>
      </c>
      <c r="C21850" t="s">
        <v>46</v>
      </c>
      <c r="D21850" t="s">
        <v>11</v>
      </c>
      <c r="E21850" t="s">
        <v>12</v>
      </c>
      <c r="F21850">
        <v>86172747</v>
      </c>
      <c r="G21850">
        <v>86172793</v>
      </c>
      <c r="H21850">
        <v>86172872</v>
      </c>
      <c r="I21850">
        <v>86172902</v>
      </c>
    </row>
    <row r="21851" spans="1:9" x14ac:dyDescent="0.2">
      <c r="A21851" t="str">
        <f>"Uba7"</f>
        <v>Uba7</v>
      </c>
      <c r="B21851" t="s">
        <v>9</v>
      </c>
      <c r="C21851" t="s">
        <v>24</v>
      </c>
      <c r="D21851" t="s">
        <v>17</v>
      </c>
      <c r="E21851" t="s">
        <v>12</v>
      </c>
      <c r="F21851">
        <v>107975529</v>
      </c>
      <c r="G21851">
        <v>107975601</v>
      </c>
      <c r="H21851">
        <v>107975529</v>
      </c>
      <c r="I21851">
        <v>107975601</v>
      </c>
    </row>
    <row r="21852" spans="1:9" x14ac:dyDescent="0.2">
      <c r="A21852" t="str">
        <f>"Uba7"</f>
        <v>Uba7</v>
      </c>
      <c r="B21852" t="s">
        <v>13</v>
      </c>
      <c r="C21852" t="s">
        <v>24</v>
      </c>
      <c r="D21852" t="s">
        <v>17</v>
      </c>
      <c r="E21852" t="s">
        <v>12</v>
      </c>
      <c r="F21852">
        <v>107982991</v>
      </c>
      <c r="G21852">
        <v>107983037</v>
      </c>
      <c r="H21852">
        <v>107982991</v>
      </c>
      <c r="I21852">
        <v>107983037</v>
      </c>
    </row>
    <row r="21853" spans="1:9" x14ac:dyDescent="0.2">
      <c r="A21853" t="str">
        <f>"Ubac1"</f>
        <v>Ubac1</v>
      </c>
      <c r="B21853" t="s">
        <v>14</v>
      </c>
      <c r="C21853" t="s">
        <v>26</v>
      </c>
      <c r="D21853" t="s">
        <v>11</v>
      </c>
      <c r="E21853" t="s">
        <v>12</v>
      </c>
      <c r="F21853">
        <v>26021679</v>
      </c>
      <c r="G21853">
        <v>26021779</v>
      </c>
      <c r="H21853">
        <v>26021560</v>
      </c>
      <c r="I21853">
        <v>26021613</v>
      </c>
    </row>
    <row r="21854" spans="1:9" x14ac:dyDescent="0.2">
      <c r="A21854" t="str">
        <f>"Ubac2"</f>
        <v>Ubac2</v>
      </c>
      <c r="B21854" t="s">
        <v>14</v>
      </c>
      <c r="C21854" t="s">
        <v>41</v>
      </c>
      <c r="D21854" t="s">
        <v>17</v>
      </c>
      <c r="E21854" t="s">
        <v>12</v>
      </c>
      <c r="F21854">
        <v>121878591</v>
      </c>
      <c r="G21854">
        <v>121878728</v>
      </c>
      <c r="H21854">
        <v>121878564</v>
      </c>
      <c r="I21854">
        <v>121878575</v>
      </c>
    </row>
    <row r="21855" spans="1:9" x14ac:dyDescent="0.2">
      <c r="A21855" t="str">
        <f>"Ubald1"</f>
        <v>Ubald1</v>
      </c>
      <c r="B21855" t="s">
        <v>14</v>
      </c>
      <c r="C21855" t="s">
        <v>31</v>
      </c>
      <c r="D21855" t="s">
        <v>11</v>
      </c>
      <c r="E21855" t="s">
        <v>67</v>
      </c>
      <c r="F21855">
        <v>4879810</v>
      </c>
      <c r="G21855">
        <v>4879836</v>
      </c>
      <c r="H21855">
        <v>4880284</v>
      </c>
      <c r="I21855">
        <v>4880302</v>
      </c>
    </row>
    <row r="21856" spans="1:9" x14ac:dyDescent="0.2">
      <c r="A21856" t="str">
        <f>"Ubald2"</f>
        <v>Ubald2</v>
      </c>
      <c r="B21856" t="s">
        <v>14</v>
      </c>
      <c r="C21856" t="s">
        <v>27</v>
      </c>
      <c r="D21856" t="s">
        <v>17</v>
      </c>
      <c r="E21856" t="s">
        <v>67</v>
      </c>
      <c r="F21856">
        <v>116434087</v>
      </c>
      <c r="G21856">
        <v>116434106</v>
      </c>
      <c r="H21856">
        <v>116434067</v>
      </c>
      <c r="I21856">
        <v>116434078</v>
      </c>
    </row>
    <row r="21857" spans="1:9" x14ac:dyDescent="0.2">
      <c r="A21857" t="str">
        <f>"Ubap1"</f>
        <v>Ubap1</v>
      </c>
      <c r="B21857" t="s">
        <v>14</v>
      </c>
      <c r="C21857" t="s">
        <v>23</v>
      </c>
      <c r="D21857" t="s">
        <v>17</v>
      </c>
      <c r="E21857" t="s">
        <v>12</v>
      </c>
      <c r="F21857">
        <v>41349028</v>
      </c>
      <c r="G21857">
        <v>41349064</v>
      </c>
      <c r="H21857">
        <v>41348997</v>
      </c>
      <c r="I21857">
        <v>41349008</v>
      </c>
    </row>
    <row r="21858" spans="1:9" x14ac:dyDescent="0.2">
      <c r="A21858" t="str">
        <f>"Ubap2"</f>
        <v>Ubap2</v>
      </c>
      <c r="B21858" t="s">
        <v>14</v>
      </c>
      <c r="C21858" t="s">
        <v>23</v>
      </c>
      <c r="D21858" t="s">
        <v>11</v>
      </c>
      <c r="E21858" t="s">
        <v>12</v>
      </c>
      <c r="F21858">
        <v>41275091</v>
      </c>
      <c r="G21858">
        <v>41275118</v>
      </c>
      <c r="H21858">
        <v>41275091</v>
      </c>
      <c r="I21858">
        <v>41275118</v>
      </c>
    </row>
    <row r="21859" spans="1:9" x14ac:dyDescent="0.2">
      <c r="A21859" t="str">
        <f>"Ubap2l"</f>
        <v>Ubap2l</v>
      </c>
      <c r="B21859" t="s">
        <v>14</v>
      </c>
      <c r="C21859" t="s">
        <v>22</v>
      </c>
      <c r="D21859" t="s">
        <v>11</v>
      </c>
      <c r="E21859" t="s">
        <v>12</v>
      </c>
      <c r="F21859">
        <v>90052463</v>
      </c>
      <c r="G21859">
        <v>90052521</v>
      </c>
      <c r="H21859">
        <v>90052432</v>
      </c>
      <c r="I21859">
        <v>90052459</v>
      </c>
    </row>
    <row r="21860" spans="1:9" x14ac:dyDescent="0.2">
      <c r="A21860" t="str">
        <f>"Ubash3a"</f>
        <v>Ubash3a</v>
      </c>
      <c r="B21860" t="s">
        <v>14</v>
      </c>
      <c r="C21860" t="s">
        <v>28</v>
      </c>
      <c r="D21860" t="s">
        <v>17</v>
      </c>
      <c r="E21860" t="s">
        <v>12</v>
      </c>
      <c r="F21860">
        <v>31208049</v>
      </c>
      <c r="G21860">
        <v>31208112</v>
      </c>
      <c r="H21860">
        <v>31208049</v>
      </c>
      <c r="I21860">
        <v>31208112</v>
      </c>
    </row>
    <row r="21861" spans="1:9" x14ac:dyDescent="0.2">
      <c r="A21861" t="str">
        <f>"Ubash3b"</f>
        <v>Ubash3b</v>
      </c>
      <c r="B21861" t="s">
        <v>14</v>
      </c>
      <c r="C21861" t="s">
        <v>24</v>
      </c>
      <c r="D21861" t="s">
        <v>11</v>
      </c>
      <c r="E21861" t="s">
        <v>12</v>
      </c>
      <c r="F21861">
        <v>41157671</v>
      </c>
      <c r="G21861">
        <v>41157720</v>
      </c>
      <c r="H21861">
        <v>41157754</v>
      </c>
      <c r="I21861">
        <v>41157793</v>
      </c>
    </row>
    <row r="21862" spans="1:9" x14ac:dyDescent="0.2">
      <c r="A21862" t="str">
        <f>"Ubb"</f>
        <v>Ubb</v>
      </c>
      <c r="B21862" t="s">
        <v>14</v>
      </c>
      <c r="C21862" t="s">
        <v>27</v>
      </c>
      <c r="D21862" t="s">
        <v>17</v>
      </c>
      <c r="E21862" t="s">
        <v>12</v>
      </c>
      <c r="F21862">
        <v>62551493</v>
      </c>
      <c r="G21862">
        <v>62551503</v>
      </c>
      <c r="H21862">
        <v>62551774</v>
      </c>
      <c r="I21862">
        <v>62551821</v>
      </c>
    </row>
    <row r="21863" spans="1:9" x14ac:dyDescent="0.2">
      <c r="A21863" t="str">
        <f>"Ubc"</f>
        <v>Ubc</v>
      </c>
      <c r="B21863" t="s">
        <v>14</v>
      </c>
      <c r="C21863" t="s">
        <v>46</v>
      </c>
      <c r="D21863" t="s">
        <v>11</v>
      </c>
      <c r="E21863" t="s">
        <v>12</v>
      </c>
      <c r="F21863">
        <v>125389751</v>
      </c>
      <c r="G21863">
        <v>125389756</v>
      </c>
      <c r="H21863">
        <v>125389915</v>
      </c>
      <c r="I21863">
        <v>125390055</v>
      </c>
    </row>
    <row r="21864" spans="1:9" x14ac:dyDescent="0.2">
      <c r="A21864" t="str">
        <f>"Ubd"</f>
        <v>Ubd</v>
      </c>
      <c r="B21864" t="s">
        <v>14</v>
      </c>
      <c r="C21864" t="s">
        <v>28</v>
      </c>
      <c r="D21864" t="s">
        <v>17</v>
      </c>
      <c r="E21864" t="s">
        <v>12</v>
      </c>
      <c r="F21864">
        <v>37193920</v>
      </c>
      <c r="G21864">
        <v>37193940</v>
      </c>
      <c r="H21864">
        <v>37193889</v>
      </c>
      <c r="I21864">
        <v>37193897</v>
      </c>
    </row>
    <row r="21865" spans="1:9" x14ac:dyDescent="0.2">
      <c r="A21865" t="str">
        <f>"Ube2a"</f>
        <v>Ube2a</v>
      </c>
      <c r="B21865" t="s">
        <v>14</v>
      </c>
      <c r="C21865" t="s">
        <v>37</v>
      </c>
      <c r="D21865" t="s">
        <v>17</v>
      </c>
      <c r="E21865" t="s">
        <v>12</v>
      </c>
      <c r="F21865">
        <v>36874351</v>
      </c>
      <c r="G21865">
        <v>36874368</v>
      </c>
      <c r="H21865">
        <v>36874325</v>
      </c>
      <c r="I21865">
        <v>36874336</v>
      </c>
    </row>
    <row r="21866" spans="1:9" x14ac:dyDescent="0.2">
      <c r="A21866" t="str">
        <f>"Ube2b"</f>
        <v>Ube2b</v>
      </c>
      <c r="B21866" t="s">
        <v>14</v>
      </c>
      <c r="C21866" t="s">
        <v>27</v>
      </c>
      <c r="D21866" t="s">
        <v>11</v>
      </c>
      <c r="E21866" t="s">
        <v>12</v>
      </c>
      <c r="F21866">
        <v>52000432</v>
      </c>
      <c r="G21866">
        <v>52000475</v>
      </c>
      <c r="H21866">
        <v>52000356</v>
      </c>
      <c r="I21866">
        <v>52000388</v>
      </c>
    </row>
    <row r="21867" spans="1:9" x14ac:dyDescent="0.2">
      <c r="A21867" t="str">
        <f>"Ube2c"</f>
        <v>Ube2c</v>
      </c>
      <c r="B21867" t="s">
        <v>14</v>
      </c>
      <c r="C21867" t="s">
        <v>26</v>
      </c>
      <c r="D21867" t="s">
        <v>17</v>
      </c>
      <c r="E21867" t="s">
        <v>12</v>
      </c>
      <c r="F21867">
        <v>164769921</v>
      </c>
      <c r="G21867">
        <v>164769954</v>
      </c>
      <c r="H21867">
        <v>164769892</v>
      </c>
      <c r="I21867">
        <v>164769903</v>
      </c>
    </row>
    <row r="21868" spans="1:9" x14ac:dyDescent="0.2">
      <c r="A21868" t="str">
        <f>"Ube2cbp"</f>
        <v>Ube2cbp</v>
      </c>
      <c r="B21868" t="s">
        <v>14</v>
      </c>
      <c r="C21868" t="s">
        <v>24</v>
      </c>
      <c r="D21868" t="s">
        <v>11</v>
      </c>
      <c r="E21868" t="s">
        <v>12</v>
      </c>
      <c r="F21868">
        <v>86464900</v>
      </c>
      <c r="G21868">
        <v>86464943</v>
      </c>
      <c r="H21868">
        <v>86464944</v>
      </c>
      <c r="I21868">
        <v>86464958</v>
      </c>
    </row>
    <row r="21869" spans="1:9" x14ac:dyDescent="0.2">
      <c r="A21869" t="str">
        <f>"Ube2d1"</f>
        <v>Ube2d1</v>
      </c>
      <c r="B21869" t="s">
        <v>14</v>
      </c>
      <c r="C21869" t="s">
        <v>15</v>
      </c>
      <c r="D21869" t="s">
        <v>11</v>
      </c>
      <c r="E21869" t="s">
        <v>12</v>
      </c>
      <c r="F21869">
        <v>71285206</v>
      </c>
      <c r="G21869">
        <v>71285229</v>
      </c>
      <c r="H21869">
        <v>71285234</v>
      </c>
      <c r="I21869">
        <v>71285245</v>
      </c>
    </row>
    <row r="21870" spans="1:9" x14ac:dyDescent="0.2">
      <c r="A21870" t="str">
        <f>"Ube2d2a"</f>
        <v>Ube2d2a</v>
      </c>
      <c r="B21870" t="s">
        <v>14</v>
      </c>
      <c r="C21870" t="s">
        <v>43</v>
      </c>
      <c r="D21870" t="s">
        <v>17</v>
      </c>
      <c r="E21870" t="s">
        <v>67</v>
      </c>
      <c r="F21870">
        <v>35771371</v>
      </c>
      <c r="G21870">
        <v>35771487</v>
      </c>
      <c r="H21870">
        <v>35771676</v>
      </c>
      <c r="I21870">
        <v>35771710</v>
      </c>
    </row>
    <row r="21871" spans="1:9" x14ac:dyDescent="0.2">
      <c r="A21871" t="str">
        <f>"Ube2d2b"</f>
        <v>Ube2d2b</v>
      </c>
      <c r="B21871" t="s">
        <v>14</v>
      </c>
      <c r="C21871" t="s">
        <v>46</v>
      </c>
      <c r="D21871" t="s">
        <v>17</v>
      </c>
      <c r="E21871" t="s">
        <v>67</v>
      </c>
      <c r="F21871">
        <v>107830262</v>
      </c>
      <c r="G21871">
        <v>107830312</v>
      </c>
      <c r="H21871">
        <v>107830154</v>
      </c>
      <c r="I21871">
        <v>107830170</v>
      </c>
    </row>
    <row r="21872" spans="1:9" x14ac:dyDescent="0.2">
      <c r="A21872" t="str">
        <f>"Ube2d3"</f>
        <v>Ube2d3</v>
      </c>
      <c r="B21872" t="s">
        <v>14</v>
      </c>
      <c r="C21872" t="s">
        <v>22</v>
      </c>
      <c r="D21872" t="s">
        <v>17</v>
      </c>
      <c r="E21872" t="s">
        <v>12</v>
      </c>
      <c r="F21872">
        <v>135438722</v>
      </c>
      <c r="G21872">
        <v>135438780</v>
      </c>
      <c r="H21872">
        <v>135438543</v>
      </c>
      <c r="I21872">
        <v>135438584</v>
      </c>
    </row>
    <row r="21873" spans="1:9" x14ac:dyDescent="0.2">
      <c r="A21873" t="str">
        <f>"Ube2d4"</f>
        <v>Ube2d4</v>
      </c>
      <c r="B21873" t="s">
        <v>5970</v>
      </c>
      <c r="C21873" t="s">
        <v>25</v>
      </c>
      <c r="D21873" t="s">
        <v>11</v>
      </c>
      <c r="E21873" t="s">
        <v>20</v>
      </c>
      <c r="F21873">
        <v>58847320</v>
      </c>
      <c r="G21873">
        <v>58847320</v>
      </c>
      <c r="H21873">
        <v>58847320</v>
      </c>
      <c r="I21873">
        <v>58847320</v>
      </c>
    </row>
    <row r="21874" spans="1:9" x14ac:dyDescent="0.2">
      <c r="A21874" t="str">
        <f>"Ube2dnl1"</f>
        <v>Ube2dnl1</v>
      </c>
      <c r="B21874" t="s">
        <v>14</v>
      </c>
      <c r="C21874" t="s">
        <v>37</v>
      </c>
      <c r="D21874" t="s">
        <v>17</v>
      </c>
      <c r="E21874" t="s">
        <v>67</v>
      </c>
      <c r="F21874">
        <v>114904995</v>
      </c>
      <c r="G21874">
        <v>114905025</v>
      </c>
      <c r="H21874">
        <v>114904982</v>
      </c>
      <c r="I21874">
        <v>114904994</v>
      </c>
    </row>
    <row r="21875" spans="1:9" x14ac:dyDescent="0.2">
      <c r="A21875" t="str">
        <f>"Ube2dnl2"</f>
        <v>Ube2dnl2</v>
      </c>
      <c r="B21875" t="s">
        <v>14</v>
      </c>
      <c r="C21875" t="s">
        <v>37</v>
      </c>
      <c r="D21875" t="s">
        <v>17</v>
      </c>
      <c r="E21875" t="s">
        <v>67</v>
      </c>
      <c r="F21875">
        <v>114907588</v>
      </c>
      <c r="G21875">
        <v>114907600</v>
      </c>
      <c r="H21875">
        <v>114907575</v>
      </c>
      <c r="I21875">
        <v>114907586</v>
      </c>
    </row>
    <row r="21876" spans="1:9" x14ac:dyDescent="0.2">
      <c r="A21876" t="str">
        <f>"Ube2e1"</f>
        <v>Ube2e1</v>
      </c>
      <c r="B21876" t="s">
        <v>14</v>
      </c>
      <c r="C21876" t="s">
        <v>41</v>
      </c>
      <c r="D21876" t="s">
        <v>11</v>
      </c>
      <c r="E21876" t="s">
        <v>12</v>
      </c>
      <c r="F21876">
        <v>18331768</v>
      </c>
      <c r="G21876">
        <v>18331836</v>
      </c>
      <c r="H21876">
        <v>18331737</v>
      </c>
      <c r="I21876">
        <v>18331751</v>
      </c>
    </row>
    <row r="21877" spans="1:9" x14ac:dyDescent="0.2">
      <c r="A21877" t="str">
        <f>"Ube2e2"</f>
        <v>Ube2e2</v>
      </c>
      <c r="B21877" t="s">
        <v>14</v>
      </c>
      <c r="C21877" t="s">
        <v>41</v>
      </c>
      <c r="D21877" t="s">
        <v>11</v>
      </c>
      <c r="E21877" t="s">
        <v>12</v>
      </c>
      <c r="F21877">
        <v>18893749</v>
      </c>
      <c r="G21877">
        <v>18893816</v>
      </c>
      <c r="H21877">
        <v>18893664</v>
      </c>
      <c r="I21877">
        <v>18893717</v>
      </c>
    </row>
    <row r="21878" spans="1:9" x14ac:dyDescent="0.2">
      <c r="A21878" t="str">
        <f>"Ube2e3"</f>
        <v>Ube2e3</v>
      </c>
      <c r="B21878" t="s">
        <v>14</v>
      </c>
      <c r="C21878" t="s">
        <v>26</v>
      </c>
      <c r="D21878" t="s">
        <v>17</v>
      </c>
      <c r="E21878" t="s">
        <v>12</v>
      </c>
      <c r="F21878">
        <v>78869009</v>
      </c>
      <c r="G21878">
        <v>78869109</v>
      </c>
      <c r="H21878">
        <v>78869201</v>
      </c>
      <c r="I21878">
        <v>78869262</v>
      </c>
    </row>
    <row r="21879" spans="1:9" x14ac:dyDescent="0.2">
      <c r="A21879" t="str">
        <f>"Ube2f"</f>
        <v>Ube2f</v>
      </c>
      <c r="B21879" t="s">
        <v>14</v>
      </c>
      <c r="C21879" t="s">
        <v>19</v>
      </c>
      <c r="D21879" t="s">
        <v>17</v>
      </c>
      <c r="E21879" t="s">
        <v>12</v>
      </c>
      <c r="F21879">
        <v>91250311</v>
      </c>
      <c r="G21879">
        <v>91250380</v>
      </c>
      <c r="H21879">
        <v>91250297</v>
      </c>
      <c r="I21879">
        <v>91250310</v>
      </c>
    </row>
    <row r="21880" spans="1:9" x14ac:dyDescent="0.2">
      <c r="A21880" t="str">
        <f>"Ube2g1"</f>
        <v>Ube2g1</v>
      </c>
      <c r="B21880" t="s">
        <v>14</v>
      </c>
      <c r="C21880" t="s">
        <v>27</v>
      </c>
      <c r="D21880" t="s">
        <v>17</v>
      </c>
      <c r="E21880" t="s">
        <v>12</v>
      </c>
      <c r="F21880">
        <v>72607221</v>
      </c>
      <c r="G21880">
        <v>72607307</v>
      </c>
      <c r="H21880">
        <v>72607363</v>
      </c>
      <c r="I21880">
        <v>72607435</v>
      </c>
    </row>
    <row r="21881" spans="1:9" x14ac:dyDescent="0.2">
      <c r="A21881" t="str">
        <f>"Ube2g2"</f>
        <v>Ube2g2</v>
      </c>
      <c r="B21881" t="s">
        <v>14</v>
      </c>
      <c r="C21881" t="s">
        <v>15</v>
      </c>
      <c r="D21881" t="s">
        <v>17</v>
      </c>
      <c r="E21881" t="s">
        <v>12</v>
      </c>
      <c r="F21881">
        <v>77622291</v>
      </c>
      <c r="G21881">
        <v>77622361</v>
      </c>
      <c r="H21881">
        <v>77622363</v>
      </c>
      <c r="I21881">
        <v>77622374</v>
      </c>
    </row>
    <row r="21882" spans="1:9" x14ac:dyDescent="0.2">
      <c r="A21882" t="str">
        <f>"Ube2h"</f>
        <v>Ube2h</v>
      </c>
      <c r="B21882" t="s">
        <v>14</v>
      </c>
      <c r="C21882" t="s">
        <v>32</v>
      </c>
      <c r="D21882" t="s">
        <v>11</v>
      </c>
      <c r="E21882" t="s">
        <v>12</v>
      </c>
      <c r="F21882">
        <v>30304513</v>
      </c>
      <c r="G21882">
        <v>30304570</v>
      </c>
      <c r="H21882">
        <v>30304513</v>
      </c>
      <c r="I21882">
        <v>30304570</v>
      </c>
    </row>
    <row r="21883" spans="1:9" x14ac:dyDescent="0.2">
      <c r="A21883" t="str">
        <f>"Ube2i"</f>
        <v>Ube2i</v>
      </c>
      <c r="B21883" t="s">
        <v>14</v>
      </c>
      <c r="C21883" t="s">
        <v>28</v>
      </c>
      <c r="D21883" t="s">
        <v>11</v>
      </c>
      <c r="E21883" t="s">
        <v>12</v>
      </c>
      <c r="F21883">
        <v>25273390</v>
      </c>
      <c r="G21883">
        <v>25273443</v>
      </c>
      <c r="H21883">
        <v>25274299</v>
      </c>
      <c r="I21883">
        <v>25274317</v>
      </c>
    </row>
    <row r="21884" spans="1:9" x14ac:dyDescent="0.2">
      <c r="A21884" t="str">
        <f>"Ube2j1"</f>
        <v>Ube2j1</v>
      </c>
      <c r="B21884" t="s">
        <v>14</v>
      </c>
      <c r="C21884" t="s">
        <v>23</v>
      </c>
      <c r="D21884" t="s">
        <v>17</v>
      </c>
      <c r="E21884" t="s">
        <v>12</v>
      </c>
      <c r="F21884">
        <v>33031371</v>
      </c>
      <c r="G21884">
        <v>33031524</v>
      </c>
      <c r="H21884">
        <v>33031527</v>
      </c>
      <c r="I21884">
        <v>33031556</v>
      </c>
    </row>
    <row r="21885" spans="1:9" x14ac:dyDescent="0.2">
      <c r="A21885" t="str">
        <f>"Ube2j2"</f>
        <v>Ube2j2</v>
      </c>
      <c r="B21885" t="s">
        <v>14</v>
      </c>
      <c r="C21885" t="s">
        <v>23</v>
      </c>
      <c r="D21885" t="s">
        <v>17</v>
      </c>
      <c r="E21885" t="s">
        <v>12</v>
      </c>
      <c r="F21885">
        <v>155943824</v>
      </c>
      <c r="G21885">
        <v>155943883</v>
      </c>
      <c r="H21885">
        <v>155944037</v>
      </c>
      <c r="I21885">
        <v>155944048</v>
      </c>
    </row>
    <row r="21886" spans="1:9" x14ac:dyDescent="0.2">
      <c r="A21886" t="str">
        <f>"Ube2k"</f>
        <v>Ube2k</v>
      </c>
      <c r="B21886" t="s">
        <v>14</v>
      </c>
      <c r="C21886" t="s">
        <v>46</v>
      </c>
      <c r="D21886" t="s">
        <v>17</v>
      </c>
      <c r="E21886" t="s">
        <v>12</v>
      </c>
      <c r="F21886">
        <v>65537267</v>
      </c>
      <c r="G21886">
        <v>65537331</v>
      </c>
      <c r="H21886">
        <v>65537255</v>
      </c>
      <c r="I21886">
        <v>65537266</v>
      </c>
    </row>
    <row r="21887" spans="1:9" x14ac:dyDescent="0.2">
      <c r="A21887" t="str">
        <f>"Ube2l3"</f>
        <v>Ube2l3</v>
      </c>
      <c r="B21887" t="s">
        <v>14</v>
      </c>
      <c r="C21887" t="s">
        <v>31</v>
      </c>
      <c r="D21887" t="s">
        <v>11</v>
      </c>
      <c r="E21887" t="s">
        <v>12</v>
      </c>
      <c r="F21887">
        <v>17201490</v>
      </c>
      <c r="G21887">
        <v>17201507</v>
      </c>
      <c r="H21887">
        <v>17201459</v>
      </c>
      <c r="I21887">
        <v>17201478</v>
      </c>
    </row>
    <row r="21888" spans="1:9" x14ac:dyDescent="0.2">
      <c r="A21888" t="str">
        <f>"Ube2l6"</f>
        <v>Ube2l6</v>
      </c>
      <c r="B21888" t="s">
        <v>14</v>
      </c>
      <c r="C21888" t="s">
        <v>26</v>
      </c>
      <c r="D21888" t="s">
        <v>17</v>
      </c>
      <c r="E21888" t="s">
        <v>12</v>
      </c>
      <c r="F21888">
        <v>84798841</v>
      </c>
      <c r="G21888">
        <v>84798861</v>
      </c>
      <c r="H21888">
        <v>84798873</v>
      </c>
      <c r="I21888">
        <v>84798888</v>
      </c>
    </row>
    <row r="21889" spans="1:9" x14ac:dyDescent="0.2">
      <c r="A21889" t="str">
        <f>"Ube2m"</f>
        <v>Ube2m</v>
      </c>
      <c r="B21889" t="s">
        <v>14</v>
      </c>
      <c r="C21889" t="s">
        <v>33</v>
      </c>
      <c r="D21889" t="s">
        <v>11</v>
      </c>
      <c r="E21889" t="s">
        <v>12</v>
      </c>
      <c r="F21889">
        <v>13037833</v>
      </c>
      <c r="G21889">
        <v>13037951</v>
      </c>
      <c r="H21889">
        <v>13038201</v>
      </c>
      <c r="I21889">
        <v>13038307</v>
      </c>
    </row>
    <row r="21890" spans="1:9" x14ac:dyDescent="0.2">
      <c r="A21890" t="str">
        <f>"Ube2n"</f>
        <v>Ube2n</v>
      </c>
      <c r="B21890" t="s">
        <v>14</v>
      </c>
      <c r="C21890" t="s">
        <v>15</v>
      </c>
      <c r="D21890" t="s">
        <v>17</v>
      </c>
      <c r="E21890" t="s">
        <v>12</v>
      </c>
      <c r="F21890">
        <v>95515116</v>
      </c>
      <c r="G21890">
        <v>95515161</v>
      </c>
      <c r="H21890">
        <v>95514870</v>
      </c>
      <c r="I21890">
        <v>95514888</v>
      </c>
    </row>
    <row r="21891" spans="1:9" x14ac:dyDescent="0.2">
      <c r="A21891" t="str">
        <f>"Ube2o"</f>
        <v>Ube2o</v>
      </c>
      <c r="B21891" t="s">
        <v>14</v>
      </c>
      <c r="C21891" t="s">
        <v>27</v>
      </c>
      <c r="D21891" t="s">
        <v>11</v>
      </c>
      <c r="E21891" t="s">
        <v>12</v>
      </c>
      <c r="F21891">
        <v>116581446</v>
      </c>
      <c r="G21891">
        <v>116581472</v>
      </c>
      <c r="H21891">
        <v>116581475</v>
      </c>
      <c r="I21891">
        <v>116581513</v>
      </c>
    </row>
    <row r="21892" spans="1:9" x14ac:dyDescent="0.2">
      <c r="A21892" t="str">
        <f>"Ube2q1"</f>
        <v>Ube2q1</v>
      </c>
      <c r="B21892" t="s">
        <v>14</v>
      </c>
      <c r="C21892" t="s">
        <v>22</v>
      </c>
      <c r="D21892" t="s">
        <v>17</v>
      </c>
      <c r="E21892" t="s">
        <v>12</v>
      </c>
      <c r="F21892">
        <v>89773562</v>
      </c>
      <c r="G21892">
        <v>89773642</v>
      </c>
      <c r="H21892">
        <v>89773562</v>
      </c>
      <c r="I21892">
        <v>89773642</v>
      </c>
    </row>
    <row r="21893" spans="1:9" x14ac:dyDescent="0.2">
      <c r="A21893" t="str">
        <f>"Ube2q2"</f>
        <v>Ube2q2</v>
      </c>
      <c r="B21893" t="s">
        <v>14</v>
      </c>
      <c r="C21893" t="s">
        <v>24</v>
      </c>
      <c r="D21893" t="s">
        <v>17</v>
      </c>
      <c r="E21893" t="s">
        <v>12</v>
      </c>
      <c r="F21893">
        <v>55149364</v>
      </c>
      <c r="G21893">
        <v>55149395</v>
      </c>
      <c r="H21893">
        <v>55149413</v>
      </c>
      <c r="I21893">
        <v>55149432</v>
      </c>
    </row>
    <row r="21894" spans="1:9" x14ac:dyDescent="0.2">
      <c r="A21894" t="str">
        <f>"Ube2ql1"</f>
        <v>Ube2ql1</v>
      </c>
      <c r="B21894" t="s">
        <v>14</v>
      </c>
      <c r="C21894" t="s">
        <v>39</v>
      </c>
      <c r="D21894" t="s">
        <v>11</v>
      </c>
      <c r="E21894" t="s">
        <v>12</v>
      </c>
      <c r="F21894">
        <v>69739845</v>
      </c>
      <c r="G21894">
        <v>69739889</v>
      </c>
      <c r="H21894">
        <v>69739845</v>
      </c>
      <c r="I21894">
        <v>69739889</v>
      </c>
    </row>
    <row r="21895" spans="1:9" x14ac:dyDescent="0.2">
      <c r="A21895" t="str">
        <f>"Ube2r2"</f>
        <v>Ube2r2</v>
      </c>
      <c r="B21895" t="s">
        <v>14</v>
      </c>
      <c r="C21895" t="s">
        <v>23</v>
      </c>
      <c r="D21895" t="s">
        <v>17</v>
      </c>
      <c r="E21895" t="s">
        <v>12</v>
      </c>
      <c r="F21895">
        <v>41135499</v>
      </c>
      <c r="G21895">
        <v>41135527</v>
      </c>
      <c r="H21895">
        <v>41135812</v>
      </c>
      <c r="I21895">
        <v>41135898</v>
      </c>
    </row>
    <row r="21896" spans="1:9" x14ac:dyDescent="0.2">
      <c r="A21896" t="str">
        <f>"Ube2s"</f>
        <v>Ube2s</v>
      </c>
      <c r="B21896" t="s">
        <v>14</v>
      </c>
      <c r="C21896" t="s">
        <v>33</v>
      </c>
      <c r="D21896" t="s">
        <v>11</v>
      </c>
      <c r="E21896" t="s">
        <v>12</v>
      </c>
      <c r="F21896">
        <v>4812351</v>
      </c>
      <c r="G21896">
        <v>4812362</v>
      </c>
      <c r="H21896">
        <v>4812351</v>
      </c>
      <c r="I21896">
        <v>4812362</v>
      </c>
    </row>
    <row r="21897" spans="1:9" x14ac:dyDescent="0.2">
      <c r="A21897" t="str">
        <f>"Ube2t"</f>
        <v>Ube2t</v>
      </c>
      <c r="B21897" t="s">
        <v>14</v>
      </c>
      <c r="C21897" t="s">
        <v>19</v>
      </c>
      <c r="D21897" t="s">
        <v>17</v>
      </c>
      <c r="E21897" t="s">
        <v>12</v>
      </c>
      <c r="F21897">
        <v>134962571</v>
      </c>
      <c r="G21897">
        <v>134962627</v>
      </c>
      <c r="H21897">
        <v>134962553</v>
      </c>
      <c r="I21897">
        <v>134962568</v>
      </c>
    </row>
    <row r="21898" spans="1:9" x14ac:dyDescent="0.2">
      <c r="A21898" t="str">
        <f>"Ube2u"</f>
        <v>Ube2u</v>
      </c>
      <c r="B21898" t="s">
        <v>14</v>
      </c>
      <c r="C21898" t="s">
        <v>23</v>
      </c>
      <c r="D21898" t="s">
        <v>17</v>
      </c>
      <c r="E21898" t="s">
        <v>12</v>
      </c>
      <c r="F21898">
        <v>100478806</v>
      </c>
      <c r="G21898">
        <v>100478872</v>
      </c>
      <c r="H21898">
        <v>100478806</v>
      </c>
      <c r="I21898">
        <v>100478872</v>
      </c>
    </row>
    <row r="21899" spans="1:9" x14ac:dyDescent="0.2">
      <c r="A21899" t="str">
        <f>"Ube2v1"</f>
        <v>Ube2v1</v>
      </c>
      <c r="B21899" t="s">
        <v>14</v>
      </c>
      <c r="C21899" t="s">
        <v>26</v>
      </c>
      <c r="D21899" t="s">
        <v>11</v>
      </c>
      <c r="E21899" t="s">
        <v>12</v>
      </c>
      <c r="F21899">
        <v>167631983</v>
      </c>
      <c r="G21899">
        <v>167632009</v>
      </c>
      <c r="H21899">
        <v>167632026</v>
      </c>
      <c r="I21899">
        <v>167632037</v>
      </c>
    </row>
    <row r="21900" spans="1:9" x14ac:dyDescent="0.2">
      <c r="A21900" t="str">
        <f>"Ube2v2"</f>
        <v>Ube2v2</v>
      </c>
      <c r="B21900" t="s">
        <v>14</v>
      </c>
      <c r="C21900" t="s">
        <v>31</v>
      </c>
      <c r="D21900" t="s">
        <v>11</v>
      </c>
      <c r="E21900" t="s">
        <v>12</v>
      </c>
      <c r="F21900">
        <v>15594509</v>
      </c>
      <c r="G21900">
        <v>15594531</v>
      </c>
      <c r="H21900">
        <v>15594473</v>
      </c>
      <c r="I21900">
        <v>15594503</v>
      </c>
    </row>
    <row r="21901" spans="1:9" x14ac:dyDescent="0.2">
      <c r="A21901" t="str">
        <f>"Ube2w"</f>
        <v>Ube2w</v>
      </c>
      <c r="B21901" t="s">
        <v>14</v>
      </c>
      <c r="C21901" t="s">
        <v>19</v>
      </c>
      <c r="D21901" t="s">
        <v>11</v>
      </c>
      <c r="E21901" t="s">
        <v>12</v>
      </c>
      <c r="F21901">
        <v>16619245</v>
      </c>
      <c r="G21901">
        <v>16619302</v>
      </c>
      <c r="H21901">
        <v>16619484</v>
      </c>
      <c r="I21901">
        <v>16619494</v>
      </c>
    </row>
    <row r="21902" spans="1:9" x14ac:dyDescent="0.2">
      <c r="A21902" t="str">
        <f>"Ube2z"</f>
        <v>Ube2z</v>
      </c>
      <c r="B21902" t="s">
        <v>14</v>
      </c>
      <c r="C21902" t="s">
        <v>27</v>
      </c>
      <c r="D21902" t="s">
        <v>11</v>
      </c>
      <c r="E21902" t="s">
        <v>12</v>
      </c>
      <c r="F21902">
        <v>96065272</v>
      </c>
      <c r="G21902">
        <v>96065307</v>
      </c>
      <c r="H21902">
        <v>96065350</v>
      </c>
      <c r="I21902">
        <v>96065369</v>
      </c>
    </row>
    <row r="21903" spans="1:9" x14ac:dyDescent="0.2">
      <c r="A21903" t="str">
        <f>"Ube3a"</f>
        <v>Ube3a</v>
      </c>
      <c r="B21903" t="s">
        <v>14</v>
      </c>
      <c r="C21903" t="s">
        <v>33</v>
      </c>
      <c r="D21903" t="s">
        <v>17</v>
      </c>
      <c r="E21903" t="s">
        <v>12</v>
      </c>
      <c r="F21903">
        <v>59228784</v>
      </c>
      <c r="G21903">
        <v>59228824</v>
      </c>
      <c r="H21903">
        <v>59228743</v>
      </c>
      <c r="I21903">
        <v>59228769</v>
      </c>
    </row>
    <row r="21904" spans="1:9" x14ac:dyDescent="0.2">
      <c r="A21904" t="str">
        <f>"Ube3b"</f>
        <v>Ube3b</v>
      </c>
      <c r="B21904" t="s">
        <v>14</v>
      </c>
      <c r="C21904" t="s">
        <v>46</v>
      </c>
      <c r="D21904" t="s">
        <v>17</v>
      </c>
      <c r="E21904" t="s">
        <v>12</v>
      </c>
      <c r="F21904">
        <v>114380815</v>
      </c>
      <c r="G21904">
        <v>114380851</v>
      </c>
      <c r="H21904">
        <v>114380591</v>
      </c>
      <c r="I21904">
        <v>114380612</v>
      </c>
    </row>
    <row r="21905" spans="1:9" x14ac:dyDescent="0.2">
      <c r="A21905" t="str">
        <f>"Ube3c"</f>
        <v>Ube3c</v>
      </c>
      <c r="B21905" t="s">
        <v>14</v>
      </c>
      <c r="C21905" t="s">
        <v>46</v>
      </c>
      <c r="D21905" t="s">
        <v>17</v>
      </c>
      <c r="E21905" t="s">
        <v>12</v>
      </c>
      <c r="F21905">
        <v>29569208</v>
      </c>
      <c r="G21905">
        <v>29569267</v>
      </c>
      <c r="H21905">
        <v>29569208</v>
      </c>
      <c r="I21905">
        <v>29569267</v>
      </c>
    </row>
    <row r="21906" spans="1:9" x14ac:dyDescent="0.2">
      <c r="A21906" t="str">
        <f>"Ube4a"</f>
        <v>Ube4a</v>
      </c>
      <c r="B21906" t="s">
        <v>14</v>
      </c>
      <c r="C21906" t="s">
        <v>24</v>
      </c>
      <c r="D21906" t="s">
        <v>11</v>
      </c>
      <c r="E21906" t="s">
        <v>12</v>
      </c>
      <c r="F21906">
        <v>44965519</v>
      </c>
      <c r="G21906">
        <v>44965586</v>
      </c>
      <c r="H21906">
        <v>44965519</v>
      </c>
      <c r="I21906">
        <v>44965586</v>
      </c>
    </row>
    <row r="21907" spans="1:9" x14ac:dyDescent="0.2">
      <c r="A21907" t="str">
        <f>"Ube4b"</f>
        <v>Ube4b</v>
      </c>
      <c r="B21907" t="s">
        <v>14</v>
      </c>
      <c r="C21907" t="s">
        <v>23</v>
      </c>
      <c r="D21907" t="s">
        <v>11</v>
      </c>
      <c r="E21907" t="s">
        <v>12</v>
      </c>
      <c r="F21907">
        <v>149426603</v>
      </c>
      <c r="G21907">
        <v>149426638</v>
      </c>
      <c r="H21907">
        <v>149426603</v>
      </c>
      <c r="I21907">
        <v>149426638</v>
      </c>
    </row>
    <row r="21908" spans="1:9" x14ac:dyDescent="0.2">
      <c r="A21908" t="str">
        <f>"Ubfd1"</f>
        <v>Ubfd1</v>
      </c>
      <c r="B21908" t="s">
        <v>14</v>
      </c>
      <c r="C21908" t="s">
        <v>33</v>
      </c>
      <c r="D21908" t="s">
        <v>17</v>
      </c>
      <c r="E21908" t="s">
        <v>12</v>
      </c>
      <c r="F21908">
        <v>122067392</v>
      </c>
      <c r="G21908">
        <v>122067460</v>
      </c>
      <c r="H21908">
        <v>122067164</v>
      </c>
      <c r="I21908">
        <v>122067216</v>
      </c>
    </row>
    <row r="21909" spans="1:9" x14ac:dyDescent="0.2">
      <c r="A21909" t="str">
        <f>"Ubiad1"</f>
        <v>Ubiad1</v>
      </c>
      <c r="B21909" t="s">
        <v>14</v>
      </c>
      <c r="C21909" t="s">
        <v>23</v>
      </c>
      <c r="D21909" t="s">
        <v>11</v>
      </c>
      <c r="E21909" t="s">
        <v>12</v>
      </c>
      <c r="F21909">
        <v>148444744</v>
      </c>
      <c r="G21909">
        <v>148444783</v>
      </c>
      <c r="H21909">
        <v>148444744</v>
      </c>
      <c r="I21909">
        <v>148444783</v>
      </c>
    </row>
    <row r="21910" spans="1:9" x14ac:dyDescent="0.2">
      <c r="A21910" t="str">
        <f>"Ubl3"</f>
        <v>Ubl3</v>
      </c>
      <c r="B21910" t="s">
        <v>14</v>
      </c>
      <c r="C21910" t="s">
        <v>46</v>
      </c>
      <c r="D21910" t="s">
        <v>11</v>
      </c>
      <c r="E21910" t="s">
        <v>12</v>
      </c>
      <c r="F21910">
        <v>148552783</v>
      </c>
      <c r="G21910">
        <v>148552843</v>
      </c>
      <c r="H21910">
        <v>148552617</v>
      </c>
      <c r="I21910">
        <v>148552688</v>
      </c>
    </row>
    <row r="21911" spans="1:9" x14ac:dyDescent="0.2">
      <c r="A21911" t="str">
        <f>"Ubl4"</f>
        <v>Ubl4</v>
      </c>
      <c r="B21911" t="s">
        <v>14</v>
      </c>
      <c r="C21911" t="s">
        <v>37</v>
      </c>
      <c r="D21911" t="s">
        <v>11</v>
      </c>
      <c r="E21911" t="s">
        <v>12</v>
      </c>
      <c r="F21911">
        <v>74368472</v>
      </c>
      <c r="G21911">
        <v>74368543</v>
      </c>
      <c r="H21911">
        <v>74368547</v>
      </c>
      <c r="I21911">
        <v>74368571</v>
      </c>
    </row>
    <row r="21912" spans="1:9" x14ac:dyDescent="0.2">
      <c r="A21912" t="str">
        <f>"Ubl4b"</f>
        <v>Ubl4b</v>
      </c>
      <c r="B21912" t="s">
        <v>14</v>
      </c>
      <c r="C21912" t="s">
        <v>22</v>
      </c>
      <c r="D21912" t="s">
        <v>11</v>
      </c>
      <c r="E21912" t="s">
        <v>12</v>
      </c>
      <c r="F21912">
        <v>107554991</v>
      </c>
      <c r="G21912">
        <v>107555043</v>
      </c>
      <c r="H21912">
        <v>107555048</v>
      </c>
      <c r="I21912">
        <v>107555062</v>
      </c>
    </row>
    <row r="21913" spans="1:9" x14ac:dyDescent="0.2">
      <c r="A21913" t="str">
        <f>"Ubl5"</f>
        <v>Ubl5</v>
      </c>
      <c r="B21913" t="s">
        <v>14</v>
      </c>
      <c r="C21913" t="s">
        <v>24</v>
      </c>
      <c r="D21913" t="s">
        <v>17</v>
      </c>
      <c r="E21913" t="s">
        <v>12</v>
      </c>
      <c r="F21913">
        <v>20644792</v>
      </c>
      <c r="G21913">
        <v>20644839</v>
      </c>
      <c r="H21913">
        <v>20644851</v>
      </c>
      <c r="I21913">
        <v>20644864</v>
      </c>
    </row>
    <row r="21914" spans="1:9" x14ac:dyDescent="0.2">
      <c r="A21914" t="str">
        <f>"Ubl7"</f>
        <v>Ubl7</v>
      </c>
      <c r="B21914" t="s">
        <v>14</v>
      </c>
      <c r="C21914" t="s">
        <v>24</v>
      </c>
      <c r="D21914" t="s">
        <v>17</v>
      </c>
      <c r="E21914" t="s">
        <v>12</v>
      </c>
      <c r="F21914">
        <v>57910974</v>
      </c>
      <c r="G21914">
        <v>57911023</v>
      </c>
      <c r="H21914">
        <v>57911025</v>
      </c>
      <c r="I21914">
        <v>57911036</v>
      </c>
    </row>
    <row r="21915" spans="1:9" x14ac:dyDescent="0.2">
      <c r="A21915" t="str">
        <f>"Ublcp1"</f>
        <v>Ublcp1</v>
      </c>
      <c r="B21915" t="s">
        <v>14</v>
      </c>
      <c r="C21915" t="s">
        <v>27</v>
      </c>
      <c r="D21915" t="s">
        <v>11</v>
      </c>
      <c r="E21915" t="s">
        <v>12</v>
      </c>
      <c r="F21915">
        <v>44470464</v>
      </c>
      <c r="G21915">
        <v>44470513</v>
      </c>
      <c r="H21915">
        <v>44470442</v>
      </c>
      <c r="I21915">
        <v>44470459</v>
      </c>
    </row>
    <row r="21916" spans="1:9" x14ac:dyDescent="0.2">
      <c r="A21916" t="str">
        <f>"Ubn1"</f>
        <v>Ubn1</v>
      </c>
      <c r="B21916" t="s">
        <v>14</v>
      </c>
      <c r="C21916" t="s">
        <v>31</v>
      </c>
      <c r="D21916" t="s">
        <v>17</v>
      </c>
      <c r="E21916" t="s">
        <v>12</v>
      </c>
      <c r="F21916">
        <v>5050012</v>
      </c>
      <c r="G21916">
        <v>5050122</v>
      </c>
      <c r="H21916">
        <v>5050199</v>
      </c>
      <c r="I21916">
        <v>5050210</v>
      </c>
    </row>
    <row r="21917" spans="1:9" x14ac:dyDescent="0.2">
      <c r="A21917" t="str">
        <f>"Ubn2"</f>
        <v>Ubn2</v>
      </c>
      <c r="B21917" t="s">
        <v>14</v>
      </c>
      <c r="C21917" t="s">
        <v>32</v>
      </c>
      <c r="D21917" t="s">
        <v>17</v>
      </c>
      <c r="E21917" t="s">
        <v>12</v>
      </c>
      <c r="F21917">
        <v>38433913</v>
      </c>
      <c r="G21917">
        <v>38433965</v>
      </c>
      <c r="H21917">
        <v>38433869</v>
      </c>
      <c r="I21917">
        <v>38433882</v>
      </c>
    </row>
    <row r="21918" spans="1:9" x14ac:dyDescent="0.2">
      <c r="A21918" t="str">
        <f>"Ubox5"</f>
        <v>Ubox5</v>
      </c>
      <c r="B21918" t="s">
        <v>14</v>
      </c>
      <c r="C21918" t="s">
        <v>26</v>
      </c>
      <c r="D21918" t="s">
        <v>11</v>
      </c>
      <c r="E21918" t="s">
        <v>12</v>
      </c>
      <c r="F21918">
        <v>130629994</v>
      </c>
      <c r="G21918">
        <v>130630032</v>
      </c>
      <c r="H21918">
        <v>130629972</v>
      </c>
      <c r="I21918">
        <v>130629990</v>
      </c>
    </row>
    <row r="21919" spans="1:9" x14ac:dyDescent="0.2">
      <c r="A21919" t="str">
        <f>"Ubp1"</f>
        <v>Ubp1</v>
      </c>
      <c r="B21919" t="s">
        <v>14</v>
      </c>
      <c r="C21919" t="s">
        <v>24</v>
      </c>
      <c r="D21919" t="s">
        <v>17</v>
      </c>
      <c r="E21919" t="s">
        <v>12</v>
      </c>
      <c r="F21919">
        <v>113931138</v>
      </c>
      <c r="G21919">
        <v>113931188</v>
      </c>
      <c r="H21919">
        <v>113930990</v>
      </c>
      <c r="I21919">
        <v>113931066</v>
      </c>
    </row>
    <row r="21920" spans="1:9" x14ac:dyDescent="0.2">
      <c r="A21920" t="str">
        <f>"Ubqln1"</f>
        <v>Ubqln1</v>
      </c>
      <c r="B21920" t="s">
        <v>14</v>
      </c>
      <c r="C21920" t="s">
        <v>39</v>
      </c>
      <c r="D21920" t="s">
        <v>11</v>
      </c>
      <c r="E21920" t="s">
        <v>12</v>
      </c>
      <c r="F21920">
        <v>58215558</v>
      </c>
      <c r="G21920">
        <v>58215612</v>
      </c>
      <c r="H21920">
        <v>58215615</v>
      </c>
      <c r="I21920">
        <v>58215662</v>
      </c>
    </row>
    <row r="21921" spans="1:9" x14ac:dyDescent="0.2">
      <c r="A21921" t="str">
        <f>"Ubqln2"</f>
        <v>Ubqln2</v>
      </c>
      <c r="B21921" t="s">
        <v>14</v>
      </c>
      <c r="C21921" t="s">
        <v>37</v>
      </c>
      <c r="D21921" t="s">
        <v>17</v>
      </c>
      <c r="E21921" t="s">
        <v>12</v>
      </c>
      <c r="F21921">
        <v>153498202</v>
      </c>
      <c r="G21921">
        <v>153498224</v>
      </c>
      <c r="H21921">
        <v>153498177</v>
      </c>
      <c r="I21921">
        <v>153498191</v>
      </c>
    </row>
    <row r="21922" spans="1:9" x14ac:dyDescent="0.2">
      <c r="A21922" t="str">
        <f>"Ubqln3"</f>
        <v>Ubqln3</v>
      </c>
      <c r="B21922" t="s">
        <v>14</v>
      </c>
      <c r="C21922" t="s">
        <v>33</v>
      </c>
      <c r="D21922" t="s">
        <v>11</v>
      </c>
      <c r="E21922" t="s">
        <v>12</v>
      </c>
      <c r="F21922">
        <v>104143257</v>
      </c>
      <c r="G21922">
        <v>104143306</v>
      </c>
      <c r="H21922">
        <v>104143243</v>
      </c>
      <c r="I21922">
        <v>104143246</v>
      </c>
    </row>
    <row r="21923" spans="1:9" x14ac:dyDescent="0.2">
      <c r="A21923" t="str">
        <f>"Ubqln4"</f>
        <v>Ubqln4</v>
      </c>
      <c r="B21923" t="s">
        <v>14</v>
      </c>
      <c r="C21923" t="s">
        <v>22</v>
      </c>
      <c r="D21923" t="s">
        <v>17</v>
      </c>
      <c r="E21923" t="s">
        <v>12</v>
      </c>
      <c r="F21923">
        <v>88553754</v>
      </c>
      <c r="G21923">
        <v>88553806</v>
      </c>
      <c r="H21923">
        <v>88553702</v>
      </c>
      <c r="I21923">
        <v>88553734</v>
      </c>
    </row>
    <row r="21924" spans="1:9" x14ac:dyDescent="0.2">
      <c r="A21924" t="str">
        <f>"Ubqlnl"</f>
        <v>Ubqlnl</v>
      </c>
      <c r="B21924" t="s">
        <v>14</v>
      </c>
      <c r="C21924" t="s">
        <v>33</v>
      </c>
      <c r="D21924" t="s">
        <v>11</v>
      </c>
      <c r="E21924" t="s">
        <v>12</v>
      </c>
      <c r="F21924">
        <v>104150540</v>
      </c>
      <c r="G21924">
        <v>104150561</v>
      </c>
      <c r="H21924">
        <v>104150518</v>
      </c>
      <c r="I21924">
        <v>104150525</v>
      </c>
    </row>
    <row r="21925" spans="1:9" x14ac:dyDescent="0.2">
      <c r="A21925" t="str">
        <f>"Ubr1"</f>
        <v>Ubr1</v>
      </c>
      <c r="B21925" t="s">
        <v>14</v>
      </c>
      <c r="C21925" t="s">
        <v>26</v>
      </c>
      <c r="D21925" t="s">
        <v>11</v>
      </c>
      <c r="E21925" t="s">
        <v>12</v>
      </c>
      <c r="F21925">
        <v>120970597</v>
      </c>
      <c r="G21925">
        <v>120970636</v>
      </c>
      <c r="H21925">
        <v>120970646</v>
      </c>
      <c r="I21925">
        <v>120970703</v>
      </c>
    </row>
    <row r="21926" spans="1:9" x14ac:dyDescent="0.2">
      <c r="A21926" t="str">
        <f>"Ubr2"</f>
        <v>Ubr2</v>
      </c>
      <c r="B21926" t="s">
        <v>14</v>
      </c>
      <c r="C21926" t="s">
        <v>28</v>
      </c>
      <c r="D21926" t="s">
        <v>11</v>
      </c>
      <c r="E21926" t="s">
        <v>12</v>
      </c>
      <c r="F21926">
        <v>47010513</v>
      </c>
      <c r="G21926">
        <v>47010568</v>
      </c>
      <c r="H21926">
        <v>47010574</v>
      </c>
      <c r="I21926">
        <v>47010592</v>
      </c>
    </row>
    <row r="21927" spans="1:9" x14ac:dyDescent="0.2">
      <c r="A21927" t="str">
        <f>"Ubr3"</f>
        <v>Ubr3</v>
      </c>
      <c r="B21927" t="s">
        <v>14</v>
      </c>
      <c r="C21927" t="s">
        <v>26</v>
      </c>
      <c r="D21927" t="s">
        <v>17</v>
      </c>
      <c r="E21927" t="s">
        <v>12</v>
      </c>
      <c r="F21927">
        <v>69897255</v>
      </c>
      <c r="G21927">
        <v>69897294</v>
      </c>
      <c r="H21927">
        <v>69897220</v>
      </c>
      <c r="I21927">
        <v>69897247</v>
      </c>
    </row>
    <row r="21928" spans="1:9" x14ac:dyDescent="0.2">
      <c r="A21928" t="str">
        <f>"Ubr4"</f>
        <v>Ubr4</v>
      </c>
      <c r="B21928" t="s">
        <v>9</v>
      </c>
      <c r="C21928" t="s">
        <v>23</v>
      </c>
      <c r="D21928" t="s">
        <v>17</v>
      </c>
      <c r="E21928" t="s">
        <v>12</v>
      </c>
      <c r="F21928">
        <v>139380658</v>
      </c>
      <c r="G21928">
        <v>139380684</v>
      </c>
      <c r="H21928">
        <v>139380658</v>
      </c>
      <c r="I21928">
        <v>139380684</v>
      </c>
    </row>
    <row r="21929" spans="1:9" x14ac:dyDescent="0.2">
      <c r="A21929" t="str">
        <f>"Ubr4"</f>
        <v>Ubr4</v>
      </c>
      <c r="B21929" t="s">
        <v>13</v>
      </c>
      <c r="C21929" t="s">
        <v>23</v>
      </c>
      <c r="D21929" t="s">
        <v>17</v>
      </c>
      <c r="E21929" t="s">
        <v>12</v>
      </c>
      <c r="F21929">
        <v>139352589</v>
      </c>
      <c r="G21929">
        <v>139352621</v>
      </c>
      <c r="H21929">
        <v>139352589</v>
      </c>
      <c r="I21929">
        <v>139352621</v>
      </c>
    </row>
    <row r="21930" spans="1:9" x14ac:dyDescent="0.2">
      <c r="A21930" t="str">
        <f>"Ubr5"</f>
        <v>Ubr5</v>
      </c>
      <c r="B21930" t="s">
        <v>14</v>
      </c>
      <c r="C21930" t="s">
        <v>25</v>
      </c>
      <c r="D21930" t="s">
        <v>11</v>
      </c>
      <c r="E21930" t="s">
        <v>12</v>
      </c>
      <c r="F21930">
        <v>38078822</v>
      </c>
      <c r="G21930">
        <v>38078836</v>
      </c>
      <c r="H21930">
        <v>38078842</v>
      </c>
      <c r="I21930">
        <v>38078860</v>
      </c>
    </row>
    <row r="21931" spans="1:9" x14ac:dyDescent="0.2">
      <c r="A21931" t="str">
        <f>"Ubr7"</f>
        <v>Ubr7</v>
      </c>
      <c r="B21931" t="s">
        <v>14</v>
      </c>
      <c r="C21931" t="s">
        <v>16</v>
      </c>
      <c r="D21931" t="s">
        <v>17</v>
      </c>
      <c r="E21931" t="s">
        <v>12</v>
      </c>
      <c r="F21931">
        <v>102757965</v>
      </c>
      <c r="G21931">
        <v>102758010</v>
      </c>
      <c r="H21931">
        <v>102757936</v>
      </c>
      <c r="I21931">
        <v>102757954</v>
      </c>
    </row>
    <row r="21932" spans="1:9" x14ac:dyDescent="0.2">
      <c r="A21932" t="str">
        <f>"Ubtd1"</f>
        <v>Ubtd1</v>
      </c>
      <c r="B21932" t="s">
        <v>14</v>
      </c>
      <c r="C21932" t="s">
        <v>10</v>
      </c>
      <c r="D21932" t="s">
        <v>17</v>
      </c>
      <c r="E21932" t="s">
        <v>12</v>
      </c>
      <c r="F21932">
        <v>41981709</v>
      </c>
      <c r="G21932">
        <v>41981778</v>
      </c>
      <c r="H21932">
        <v>41981661</v>
      </c>
      <c r="I21932">
        <v>41981706</v>
      </c>
    </row>
    <row r="21933" spans="1:9" x14ac:dyDescent="0.2">
      <c r="A21933" t="str">
        <f>"Ubtd2"</f>
        <v>Ubtd2</v>
      </c>
      <c r="B21933" t="s">
        <v>14</v>
      </c>
      <c r="C21933" t="s">
        <v>27</v>
      </c>
      <c r="D21933" t="s">
        <v>17</v>
      </c>
      <c r="E21933" t="s">
        <v>12</v>
      </c>
      <c r="F21933">
        <v>32455362</v>
      </c>
      <c r="G21933">
        <v>32455438</v>
      </c>
      <c r="H21933">
        <v>32455048</v>
      </c>
      <c r="I21933">
        <v>32455099</v>
      </c>
    </row>
    <row r="21934" spans="1:9" x14ac:dyDescent="0.2">
      <c r="A21934" t="str">
        <f>"Ubtf"</f>
        <v>Ubtf</v>
      </c>
      <c r="B21934" t="s">
        <v>14</v>
      </c>
      <c r="C21934" t="s">
        <v>27</v>
      </c>
      <c r="D21934" t="s">
        <v>11</v>
      </c>
      <c r="E21934" t="s">
        <v>12</v>
      </c>
      <c r="F21934">
        <v>102318941</v>
      </c>
      <c r="G21934">
        <v>102319004</v>
      </c>
      <c r="H21934">
        <v>102318941</v>
      </c>
      <c r="I21934">
        <v>102319004</v>
      </c>
    </row>
    <row r="21935" spans="1:9" x14ac:dyDescent="0.2">
      <c r="A21935" t="str">
        <f>"Ubtfl1"</f>
        <v>Ubtfl1</v>
      </c>
      <c r="B21935" t="s">
        <v>5971</v>
      </c>
      <c r="C21935" t="s">
        <v>24</v>
      </c>
      <c r="D21935" t="s">
        <v>17</v>
      </c>
      <c r="E21935" t="s">
        <v>20</v>
      </c>
      <c r="F21935">
        <v>18409093</v>
      </c>
      <c r="G21935">
        <v>18409093</v>
      </c>
      <c r="H21935">
        <v>18409093</v>
      </c>
      <c r="I21935">
        <v>18409093</v>
      </c>
    </row>
    <row r="21936" spans="1:9" x14ac:dyDescent="0.2">
      <c r="A21936" t="str">
        <f>"Ubtfl1"</f>
        <v>Ubtfl1</v>
      </c>
      <c r="B21936" t="s">
        <v>5972</v>
      </c>
      <c r="C21936" t="s">
        <v>24</v>
      </c>
      <c r="D21936" t="s">
        <v>17</v>
      </c>
      <c r="E21936" t="s">
        <v>20</v>
      </c>
      <c r="F21936">
        <v>18404418</v>
      </c>
      <c r="G21936">
        <v>18404418</v>
      </c>
      <c r="H21936">
        <v>18404418</v>
      </c>
      <c r="I21936">
        <v>18404418</v>
      </c>
    </row>
    <row r="21937" spans="1:9" x14ac:dyDescent="0.2">
      <c r="A21937" t="str">
        <f>"Ubxn1"</f>
        <v>Ubxn1</v>
      </c>
      <c r="B21937" t="s">
        <v>14</v>
      </c>
      <c r="C21937" t="s">
        <v>10</v>
      </c>
      <c r="D21937" t="s">
        <v>17</v>
      </c>
      <c r="E21937" t="s">
        <v>12</v>
      </c>
      <c r="F21937">
        <v>8871512</v>
      </c>
      <c r="G21937">
        <v>8871559</v>
      </c>
      <c r="H21937">
        <v>8871636</v>
      </c>
      <c r="I21937">
        <v>8871686</v>
      </c>
    </row>
    <row r="21938" spans="1:9" x14ac:dyDescent="0.2">
      <c r="A21938" t="str">
        <f>"Ubxn10"</f>
        <v>Ubxn10</v>
      </c>
      <c r="B21938" t="s">
        <v>14</v>
      </c>
      <c r="C21938" t="s">
        <v>23</v>
      </c>
      <c r="D21938" t="s">
        <v>11</v>
      </c>
      <c r="E21938" t="s">
        <v>12</v>
      </c>
      <c r="F21938">
        <v>138725210</v>
      </c>
      <c r="G21938">
        <v>138725258</v>
      </c>
      <c r="H21938">
        <v>138725262</v>
      </c>
      <c r="I21938">
        <v>138725267</v>
      </c>
    </row>
    <row r="21939" spans="1:9" x14ac:dyDescent="0.2">
      <c r="A21939" t="str">
        <f>"Ubxn11"</f>
        <v>Ubxn11</v>
      </c>
      <c r="B21939" t="s">
        <v>14</v>
      </c>
      <c r="C21939" t="s">
        <v>23</v>
      </c>
      <c r="D21939" t="s">
        <v>17</v>
      </c>
      <c r="E21939" t="s">
        <v>12</v>
      </c>
      <c r="F21939">
        <v>134102581</v>
      </c>
      <c r="G21939">
        <v>134102610</v>
      </c>
      <c r="H21939">
        <v>134102538</v>
      </c>
      <c r="I21939">
        <v>134102545</v>
      </c>
    </row>
    <row r="21940" spans="1:9" x14ac:dyDescent="0.2">
      <c r="A21940" t="str">
        <f>"Ubxn2a"</f>
        <v>Ubxn2a</v>
      </c>
      <c r="B21940" t="s">
        <v>14</v>
      </c>
      <c r="C21940" t="s">
        <v>16</v>
      </c>
      <c r="D21940" t="s">
        <v>11</v>
      </c>
      <c r="E21940" t="s">
        <v>12</v>
      </c>
      <c r="F21940">
        <v>4907474</v>
      </c>
      <c r="G21940">
        <v>4907533</v>
      </c>
      <c r="H21940">
        <v>4907538</v>
      </c>
      <c r="I21940">
        <v>4907558</v>
      </c>
    </row>
    <row r="21941" spans="1:9" x14ac:dyDescent="0.2">
      <c r="A21941" t="str">
        <f>"Ubxn2b"</f>
        <v>Ubxn2b</v>
      </c>
      <c r="B21941" t="s">
        <v>14</v>
      </c>
      <c r="C21941" t="s">
        <v>23</v>
      </c>
      <c r="D21941" t="s">
        <v>17</v>
      </c>
      <c r="E21941" t="s">
        <v>12</v>
      </c>
      <c r="F21941">
        <v>6191093</v>
      </c>
      <c r="G21941">
        <v>6191122</v>
      </c>
      <c r="H21941">
        <v>6191085</v>
      </c>
      <c r="I21941">
        <v>6191092</v>
      </c>
    </row>
    <row r="21942" spans="1:9" x14ac:dyDescent="0.2">
      <c r="A21942" t="str">
        <f>"Ubxn4"</f>
        <v>Ubxn4</v>
      </c>
      <c r="B21942" t="s">
        <v>14</v>
      </c>
      <c r="C21942" t="s">
        <v>19</v>
      </c>
      <c r="D21942" t="s">
        <v>17</v>
      </c>
      <c r="E21942" t="s">
        <v>12</v>
      </c>
      <c r="F21942">
        <v>128244122</v>
      </c>
      <c r="G21942">
        <v>128244175</v>
      </c>
      <c r="H21942">
        <v>128244257</v>
      </c>
      <c r="I21942">
        <v>128244325</v>
      </c>
    </row>
    <row r="21943" spans="1:9" x14ac:dyDescent="0.2">
      <c r="A21943" t="str">
        <f>"Ubxn6"</f>
        <v>Ubxn6</v>
      </c>
      <c r="B21943" t="s">
        <v>14</v>
      </c>
      <c r="C21943" t="s">
        <v>28</v>
      </c>
      <c r="D21943" t="s">
        <v>11</v>
      </c>
      <c r="E21943" t="s">
        <v>12</v>
      </c>
      <c r="F21943">
        <v>56074932</v>
      </c>
      <c r="G21943">
        <v>56075036</v>
      </c>
      <c r="H21943">
        <v>56074542</v>
      </c>
      <c r="I21943">
        <v>56074571</v>
      </c>
    </row>
    <row r="21944" spans="1:9" x14ac:dyDescent="0.2">
      <c r="A21944" t="str">
        <f>"Ubxn7"</f>
        <v>Ubxn7</v>
      </c>
      <c r="B21944" t="s">
        <v>14</v>
      </c>
      <c r="C21944" t="s">
        <v>31</v>
      </c>
      <c r="D21944" t="s">
        <v>17</v>
      </c>
      <c r="E21944" t="s">
        <v>12</v>
      </c>
      <c r="F21944">
        <v>32332238</v>
      </c>
      <c r="G21944">
        <v>32332266</v>
      </c>
      <c r="H21944">
        <v>32332238</v>
      </c>
      <c r="I21944">
        <v>32332266</v>
      </c>
    </row>
    <row r="21945" spans="1:9" x14ac:dyDescent="0.2">
      <c r="A21945" t="str">
        <f>"Ubxn8"</f>
        <v>Ubxn8</v>
      </c>
      <c r="B21945" t="s">
        <v>14</v>
      </c>
      <c r="C21945" t="s">
        <v>30</v>
      </c>
      <c r="D21945" t="s">
        <v>11</v>
      </c>
      <c r="E21945" t="s">
        <v>12</v>
      </c>
      <c r="F21945">
        <v>33641940</v>
      </c>
      <c r="G21945">
        <v>33641981</v>
      </c>
      <c r="H21945">
        <v>33641940</v>
      </c>
      <c r="I21945">
        <v>33641981</v>
      </c>
    </row>
    <row r="21946" spans="1:9" x14ac:dyDescent="0.2">
      <c r="A21946" t="str">
        <f>"Uchl1"</f>
        <v>Uchl1</v>
      </c>
      <c r="B21946" t="s">
        <v>14</v>
      </c>
      <c r="C21946" t="s">
        <v>46</v>
      </c>
      <c r="D21946" t="s">
        <v>17</v>
      </c>
      <c r="E21946" t="s">
        <v>12</v>
      </c>
      <c r="F21946">
        <v>66676231</v>
      </c>
      <c r="G21946">
        <v>66676257</v>
      </c>
      <c r="H21946">
        <v>66677003</v>
      </c>
      <c r="I21946">
        <v>66677031</v>
      </c>
    </row>
    <row r="21947" spans="1:9" x14ac:dyDescent="0.2">
      <c r="A21947" t="str">
        <f>"Uchl3"</f>
        <v>Uchl3</v>
      </c>
      <c r="B21947" t="s">
        <v>14</v>
      </c>
      <c r="C21947" t="s">
        <v>41</v>
      </c>
      <c r="D21947" t="s">
        <v>17</v>
      </c>
      <c r="E21947" t="s">
        <v>12</v>
      </c>
      <c r="F21947">
        <v>101653980</v>
      </c>
      <c r="G21947">
        <v>101654048</v>
      </c>
      <c r="H21947">
        <v>101653730</v>
      </c>
      <c r="I21947">
        <v>101653738</v>
      </c>
    </row>
    <row r="21948" spans="1:9" x14ac:dyDescent="0.2">
      <c r="A21948" t="str">
        <f>"Uchl4"</f>
        <v>Uchl4</v>
      </c>
      <c r="B21948" t="s">
        <v>5973</v>
      </c>
      <c r="C21948" t="s">
        <v>24</v>
      </c>
      <c r="D21948" t="s">
        <v>17</v>
      </c>
      <c r="E21948" t="s">
        <v>20</v>
      </c>
      <c r="F21948">
        <v>64235200</v>
      </c>
      <c r="G21948">
        <v>64235200</v>
      </c>
      <c r="H21948">
        <v>64235200</v>
      </c>
      <c r="I21948">
        <v>64235200</v>
      </c>
    </row>
    <row r="21949" spans="1:9" x14ac:dyDescent="0.2">
      <c r="A21949" t="str">
        <f>"Uchl5"</f>
        <v>Uchl5</v>
      </c>
      <c r="B21949" t="s">
        <v>14</v>
      </c>
      <c r="C21949" t="s">
        <v>19</v>
      </c>
      <c r="D21949" t="s">
        <v>17</v>
      </c>
      <c r="E21949" t="s">
        <v>12</v>
      </c>
      <c r="F21949">
        <v>143777263</v>
      </c>
      <c r="G21949">
        <v>143777327</v>
      </c>
      <c r="H21949">
        <v>143777332</v>
      </c>
      <c r="I21949">
        <v>143777345</v>
      </c>
    </row>
    <row r="21950" spans="1:9" x14ac:dyDescent="0.2">
      <c r="A21950" t="str">
        <f>"Uck1"</f>
        <v>Uck1</v>
      </c>
      <c r="B21950" t="s">
        <v>14</v>
      </c>
      <c r="C21950" t="s">
        <v>26</v>
      </c>
      <c r="D21950" t="s">
        <v>11</v>
      </c>
      <c r="E21950" t="s">
        <v>12</v>
      </c>
      <c r="F21950">
        <v>32260057</v>
      </c>
      <c r="G21950">
        <v>32260114</v>
      </c>
      <c r="H21950">
        <v>32260138</v>
      </c>
      <c r="I21950">
        <v>32260152</v>
      </c>
    </row>
    <row r="21951" spans="1:9" x14ac:dyDescent="0.2">
      <c r="A21951" t="str">
        <f>"Uck2"</f>
        <v>Uck2</v>
      </c>
      <c r="B21951" t="s">
        <v>14</v>
      </c>
      <c r="C21951" t="s">
        <v>19</v>
      </c>
      <c r="D21951" t="s">
        <v>11</v>
      </c>
      <c r="E21951" t="s">
        <v>12</v>
      </c>
      <c r="F21951">
        <v>167285050</v>
      </c>
      <c r="G21951">
        <v>167285068</v>
      </c>
      <c r="H21951">
        <v>167285079</v>
      </c>
      <c r="I21951">
        <v>167285103</v>
      </c>
    </row>
    <row r="21952" spans="1:9" x14ac:dyDescent="0.2">
      <c r="A21952" t="str">
        <f>"Uckl1"</f>
        <v>Uckl1</v>
      </c>
      <c r="B21952" t="s">
        <v>14</v>
      </c>
      <c r="C21952" t="s">
        <v>26</v>
      </c>
      <c r="D21952" t="s">
        <v>11</v>
      </c>
      <c r="E21952" t="s">
        <v>12</v>
      </c>
      <c r="F21952">
        <v>181581974</v>
      </c>
      <c r="G21952">
        <v>181581990</v>
      </c>
      <c r="H21952">
        <v>181581996</v>
      </c>
      <c r="I21952">
        <v>181582007</v>
      </c>
    </row>
    <row r="21953" spans="1:9" x14ac:dyDescent="0.2">
      <c r="A21953" t="str">
        <f>"Ucma"</f>
        <v>Ucma</v>
      </c>
      <c r="B21953" t="s">
        <v>14</v>
      </c>
      <c r="C21953" t="s">
        <v>26</v>
      </c>
      <c r="D21953" t="s">
        <v>17</v>
      </c>
      <c r="E21953" t="s">
        <v>12</v>
      </c>
      <c r="F21953">
        <v>4976113</v>
      </c>
      <c r="G21953">
        <v>4976164</v>
      </c>
      <c r="H21953">
        <v>4976176</v>
      </c>
      <c r="I21953">
        <v>4976185</v>
      </c>
    </row>
    <row r="21954" spans="1:9" x14ac:dyDescent="0.2">
      <c r="A21954" t="str">
        <f>"Ucn"</f>
        <v>Ucn</v>
      </c>
      <c r="B21954" t="s">
        <v>14</v>
      </c>
      <c r="C21954" t="s">
        <v>46</v>
      </c>
      <c r="D21954" t="s">
        <v>11</v>
      </c>
      <c r="E21954" t="s">
        <v>12</v>
      </c>
      <c r="F21954">
        <v>31138875</v>
      </c>
      <c r="G21954">
        <v>31138887</v>
      </c>
      <c r="H21954">
        <v>31138875</v>
      </c>
      <c r="I21954">
        <v>31138887</v>
      </c>
    </row>
    <row r="21955" spans="1:9" x14ac:dyDescent="0.2">
      <c r="A21955" t="str">
        <f>"Ucn2"</f>
        <v>Ucn2</v>
      </c>
      <c r="B21955" t="s">
        <v>14</v>
      </c>
      <c r="C21955" t="s">
        <v>24</v>
      </c>
      <c r="D21955" t="s">
        <v>17</v>
      </c>
      <c r="E21955" t="s">
        <v>12</v>
      </c>
      <c r="F21955">
        <v>108986163</v>
      </c>
      <c r="G21955">
        <v>108986164</v>
      </c>
      <c r="H21955">
        <v>108986163</v>
      </c>
      <c r="I21955">
        <v>108986164</v>
      </c>
    </row>
    <row r="21956" spans="1:9" x14ac:dyDescent="0.2">
      <c r="A21956" t="str">
        <f>"Ucn3"</f>
        <v>Ucn3</v>
      </c>
      <c r="B21956" t="s">
        <v>14</v>
      </c>
      <c r="C21956" t="s">
        <v>39</v>
      </c>
      <c r="D21956" t="s">
        <v>11</v>
      </c>
      <c r="E21956" t="s">
        <v>12</v>
      </c>
      <c r="F21956">
        <v>3945075</v>
      </c>
      <c r="G21956">
        <v>3945112</v>
      </c>
      <c r="H21956">
        <v>3945075</v>
      </c>
      <c r="I21956">
        <v>3945112</v>
      </c>
    </row>
    <row r="21957" spans="1:9" x14ac:dyDescent="0.2">
      <c r="A21957" t="str">
        <f>"Ucp1"</f>
        <v>Ucp1</v>
      </c>
      <c r="B21957" t="s">
        <v>14</v>
      </c>
      <c r="C21957" t="s">
        <v>30</v>
      </c>
      <c r="D21957" t="s">
        <v>17</v>
      </c>
      <c r="E21957" t="s">
        <v>12</v>
      </c>
      <c r="F21957">
        <v>83290342</v>
      </c>
      <c r="G21957">
        <v>83290358</v>
      </c>
      <c r="H21957">
        <v>83290342</v>
      </c>
      <c r="I21957">
        <v>83290358</v>
      </c>
    </row>
    <row r="21958" spans="1:9" x14ac:dyDescent="0.2">
      <c r="A21958" t="str">
        <f>"Ucp2"</f>
        <v>Ucp2</v>
      </c>
      <c r="B21958" t="s">
        <v>9</v>
      </c>
      <c r="C21958" t="s">
        <v>33</v>
      </c>
      <c r="D21958" t="s">
        <v>17</v>
      </c>
      <c r="E21958" t="s">
        <v>12</v>
      </c>
      <c r="F21958">
        <v>100493349</v>
      </c>
      <c r="G21958">
        <v>100493370</v>
      </c>
      <c r="H21958">
        <v>100493349</v>
      </c>
      <c r="I21958">
        <v>100493370</v>
      </c>
    </row>
    <row r="21959" spans="1:9" x14ac:dyDescent="0.2">
      <c r="A21959" t="str">
        <f>"Ucp2"</f>
        <v>Ucp2</v>
      </c>
      <c r="B21959" t="s">
        <v>13</v>
      </c>
      <c r="C21959" t="s">
        <v>33</v>
      </c>
      <c r="D21959" t="s">
        <v>17</v>
      </c>
      <c r="E21959" t="s">
        <v>12</v>
      </c>
      <c r="F21959">
        <v>100498151</v>
      </c>
      <c r="G21959">
        <v>100498210</v>
      </c>
      <c r="H21959">
        <v>100498151</v>
      </c>
      <c r="I21959">
        <v>100498210</v>
      </c>
    </row>
    <row r="21960" spans="1:9" x14ac:dyDescent="0.2">
      <c r="A21960" t="str">
        <f>"Ucp3"</f>
        <v>Ucp3</v>
      </c>
      <c r="B21960" t="s">
        <v>14</v>
      </c>
      <c r="C21960" t="s">
        <v>33</v>
      </c>
      <c r="D21960" t="s">
        <v>17</v>
      </c>
      <c r="E21960" t="s">
        <v>12</v>
      </c>
      <c r="F21960">
        <v>100472960</v>
      </c>
      <c r="G21960">
        <v>100472975</v>
      </c>
      <c r="H21960">
        <v>100473016</v>
      </c>
      <c r="I21960">
        <v>100473024</v>
      </c>
    </row>
    <row r="21961" spans="1:9" x14ac:dyDescent="0.2">
      <c r="A21961" t="str">
        <f>"Uevld"</f>
        <v>Uevld</v>
      </c>
      <c r="B21961" t="s">
        <v>14</v>
      </c>
      <c r="C21961" t="s">
        <v>33</v>
      </c>
      <c r="D21961" t="s">
        <v>11</v>
      </c>
      <c r="E21961" t="s">
        <v>12</v>
      </c>
      <c r="F21961">
        <v>46958444</v>
      </c>
      <c r="G21961">
        <v>46958474</v>
      </c>
      <c r="H21961">
        <v>46958475</v>
      </c>
      <c r="I21961">
        <v>46958480</v>
      </c>
    </row>
    <row r="21962" spans="1:9" x14ac:dyDescent="0.2">
      <c r="A21962" t="str">
        <f>"Ufc1"</f>
        <v>Ufc1</v>
      </c>
      <c r="B21962" t="s">
        <v>14</v>
      </c>
      <c r="C21962" t="s">
        <v>19</v>
      </c>
      <c r="D21962" t="s">
        <v>11</v>
      </c>
      <c r="E21962" t="s">
        <v>12</v>
      </c>
      <c r="F21962">
        <v>171294752</v>
      </c>
      <c r="G21962">
        <v>171294787</v>
      </c>
      <c r="H21962">
        <v>171294752</v>
      </c>
      <c r="I21962">
        <v>171294787</v>
      </c>
    </row>
    <row r="21963" spans="1:9" x14ac:dyDescent="0.2">
      <c r="A21963" t="str">
        <f>"Ufd1l"</f>
        <v>Ufd1l</v>
      </c>
      <c r="B21963" t="s">
        <v>14</v>
      </c>
      <c r="C21963" t="s">
        <v>31</v>
      </c>
      <c r="D21963" t="s">
        <v>17</v>
      </c>
      <c r="E21963" t="s">
        <v>12</v>
      </c>
      <c r="F21963">
        <v>18812286</v>
      </c>
      <c r="G21963">
        <v>18812336</v>
      </c>
      <c r="H21963">
        <v>18811772</v>
      </c>
      <c r="I21963">
        <v>18811787</v>
      </c>
    </row>
    <row r="21964" spans="1:9" x14ac:dyDescent="0.2">
      <c r="A21964" t="str">
        <f>"Ufl1"</f>
        <v>Ufl1</v>
      </c>
      <c r="B21964" t="s">
        <v>14</v>
      </c>
      <c r="C21964" t="s">
        <v>23</v>
      </c>
      <c r="D21964" t="s">
        <v>11</v>
      </c>
      <c r="E21964" t="s">
        <v>67</v>
      </c>
      <c r="F21964">
        <v>25281752</v>
      </c>
      <c r="G21964">
        <v>25281800</v>
      </c>
      <c r="H21964">
        <v>25281801</v>
      </c>
      <c r="I21964">
        <v>25281830</v>
      </c>
    </row>
    <row r="21965" spans="1:9" x14ac:dyDescent="0.2">
      <c r="A21965" t="str">
        <f>"Ufm1"</f>
        <v>Ufm1</v>
      </c>
      <c r="B21965" t="s">
        <v>14</v>
      </c>
      <c r="C21965" t="s">
        <v>22</v>
      </c>
      <c r="D21965" t="s">
        <v>11</v>
      </c>
      <c r="E21965" t="s">
        <v>12</v>
      </c>
      <c r="F21965">
        <v>53863764</v>
      </c>
      <c r="G21965">
        <v>53863830</v>
      </c>
      <c r="H21965">
        <v>53863764</v>
      </c>
      <c r="I21965">
        <v>53863830</v>
      </c>
    </row>
    <row r="21966" spans="1:9" x14ac:dyDescent="0.2">
      <c r="A21966" t="str">
        <f>"Ufsp1"</f>
        <v>Ufsp1</v>
      </c>
      <c r="B21966" t="s">
        <v>14</v>
      </c>
      <c r="C21966" t="s">
        <v>46</v>
      </c>
      <c r="D21966" t="s">
        <v>17</v>
      </c>
      <c r="E21966" t="s">
        <v>12</v>
      </c>
      <c r="F21966">
        <v>137294641</v>
      </c>
      <c r="G21966">
        <v>137294665</v>
      </c>
      <c r="H21966">
        <v>137294604</v>
      </c>
      <c r="I21966">
        <v>137294640</v>
      </c>
    </row>
    <row r="21967" spans="1:9" x14ac:dyDescent="0.2">
      <c r="A21967" t="str">
        <f>"Ufsp2"</f>
        <v>Ufsp2</v>
      </c>
      <c r="B21967" t="s">
        <v>14</v>
      </c>
      <c r="C21967" t="s">
        <v>30</v>
      </c>
      <c r="D21967" t="s">
        <v>17</v>
      </c>
      <c r="E21967" t="s">
        <v>12</v>
      </c>
      <c r="F21967">
        <v>45975514</v>
      </c>
      <c r="G21967">
        <v>45975558</v>
      </c>
      <c r="H21967">
        <v>45975514</v>
      </c>
      <c r="I21967">
        <v>45975558</v>
      </c>
    </row>
    <row r="21968" spans="1:9" x14ac:dyDescent="0.2">
      <c r="A21968" t="str">
        <f>"Ugcg"</f>
        <v>Ugcg</v>
      </c>
      <c r="B21968" t="s">
        <v>14</v>
      </c>
      <c r="C21968" t="s">
        <v>23</v>
      </c>
      <c r="D21968" t="s">
        <v>17</v>
      </c>
      <c r="E21968" t="s">
        <v>12</v>
      </c>
      <c r="F21968">
        <v>59189440</v>
      </c>
      <c r="G21968">
        <v>59189555</v>
      </c>
      <c r="H21968">
        <v>59189240</v>
      </c>
      <c r="I21968">
        <v>59189254</v>
      </c>
    </row>
    <row r="21969" spans="1:9" x14ac:dyDescent="0.2">
      <c r="A21969" t="str">
        <f>"Ugdh"</f>
        <v>Ugdh</v>
      </c>
      <c r="B21969" t="s">
        <v>14</v>
      </c>
      <c r="C21969" t="s">
        <v>46</v>
      </c>
      <c r="D21969" t="s">
        <v>11</v>
      </c>
      <c r="E21969" t="s">
        <v>12</v>
      </c>
      <c r="F21969">
        <v>65435717</v>
      </c>
      <c r="G21969">
        <v>65435734</v>
      </c>
      <c r="H21969">
        <v>65435881</v>
      </c>
      <c r="I21969">
        <v>65435929</v>
      </c>
    </row>
    <row r="21970" spans="1:9" x14ac:dyDescent="0.2">
      <c r="A21970" t="str">
        <f>"Uggt1"</f>
        <v>Uggt1</v>
      </c>
      <c r="B21970" t="s">
        <v>14</v>
      </c>
      <c r="C21970" t="s">
        <v>19</v>
      </c>
      <c r="D21970" t="s">
        <v>11</v>
      </c>
      <c r="E21970" t="s">
        <v>12</v>
      </c>
      <c r="F21970">
        <v>36244245</v>
      </c>
      <c r="G21970">
        <v>36244320</v>
      </c>
      <c r="H21970">
        <v>36244132</v>
      </c>
      <c r="I21970">
        <v>36244176</v>
      </c>
    </row>
    <row r="21971" spans="1:9" x14ac:dyDescent="0.2">
      <c r="A21971" t="str">
        <f>"Uggt2"</f>
        <v>Uggt2</v>
      </c>
      <c r="B21971" t="s">
        <v>14</v>
      </c>
      <c r="C21971" t="s">
        <v>41</v>
      </c>
      <c r="D21971" t="s">
        <v>11</v>
      </c>
      <c r="E21971" t="s">
        <v>12</v>
      </c>
      <c r="F21971">
        <v>119099399</v>
      </c>
      <c r="G21971">
        <v>119099445</v>
      </c>
      <c r="H21971">
        <v>119099399</v>
      </c>
      <c r="I21971">
        <v>119099445</v>
      </c>
    </row>
    <row r="21972" spans="1:9" x14ac:dyDescent="0.2">
      <c r="A21972" t="str">
        <f>"Ugp2"</f>
        <v>Ugp2</v>
      </c>
      <c r="B21972" t="s">
        <v>14</v>
      </c>
      <c r="C21972" t="s">
        <v>27</v>
      </c>
      <c r="D21972" t="s">
        <v>11</v>
      </c>
      <c r="E21972" t="s">
        <v>12</v>
      </c>
      <c r="F21972">
        <v>21370452</v>
      </c>
      <c r="G21972">
        <v>21370485</v>
      </c>
      <c r="H21972">
        <v>21371143</v>
      </c>
      <c r="I21972">
        <v>21371221</v>
      </c>
    </row>
    <row r="21973" spans="1:9" x14ac:dyDescent="0.2">
      <c r="A21973" t="str">
        <f>"Ugt1a1"</f>
        <v>Ugt1a1</v>
      </c>
      <c r="B21973" t="s">
        <v>14</v>
      </c>
      <c r="C21973" t="s">
        <v>19</v>
      </c>
      <c r="D21973" t="s">
        <v>17</v>
      </c>
      <c r="E21973" t="s">
        <v>12</v>
      </c>
      <c r="F21973">
        <v>88211956</v>
      </c>
      <c r="G21973">
        <v>88211985</v>
      </c>
      <c r="H21973">
        <v>88211956</v>
      </c>
      <c r="I21973">
        <v>88211985</v>
      </c>
    </row>
    <row r="21974" spans="1:9" x14ac:dyDescent="0.2">
      <c r="A21974" t="str">
        <f>"Ugt1a10"</f>
        <v>Ugt1a10</v>
      </c>
      <c r="B21974" t="s">
        <v>14</v>
      </c>
      <c r="C21974" t="s">
        <v>19</v>
      </c>
      <c r="D21974" t="s">
        <v>17</v>
      </c>
      <c r="E21974" t="s">
        <v>12</v>
      </c>
      <c r="F21974">
        <v>88055377</v>
      </c>
      <c r="G21974">
        <v>88055449</v>
      </c>
      <c r="H21974">
        <v>88055467</v>
      </c>
      <c r="I21974">
        <v>88055478</v>
      </c>
    </row>
    <row r="21975" spans="1:9" x14ac:dyDescent="0.2">
      <c r="A21975" t="str">
        <f>"Ugt1a2"</f>
        <v>Ugt1a2</v>
      </c>
      <c r="B21975" t="s">
        <v>14</v>
      </c>
      <c r="C21975" t="s">
        <v>19</v>
      </c>
      <c r="D21975" t="s">
        <v>17</v>
      </c>
      <c r="E21975" t="s">
        <v>12</v>
      </c>
      <c r="F21975">
        <v>88200605</v>
      </c>
      <c r="G21975">
        <v>88200631</v>
      </c>
      <c r="H21975">
        <v>88200605</v>
      </c>
      <c r="I21975">
        <v>88200631</v>
      </c>
    </row>
    <row r="21976" spans="1:9" x14ac:dyDescent="0.2">
      <c r="A21976" t="str">
        <f>"Ugt1a5"</f>
        <v>Ugt1a5</v>
      </c>
      <c r="B21976" t="s">
        <v>14</v>
      </c>
      <c r="C21976" t="s">
        <v>19</v>
      </c>
      <c r="D21976" t="s">
        <v>17</v>
      </c>
      <c r="E21976" t="s">
        <v>12</v>
      </c>
      <c r="F21976">
        <v>88166004</v>
      </c>
      <c r="G21976">
        <v>88166037</v>
      </c>
      <c r="H21976">
        <v>88165992</v>
      </c>
      <c r="I21976">
        <v>88165993</v>
      </c>
    </row>
    <row r="21977" spans="1:9" x14ac:dyDescent="0.2">
      <c r="A21977" t="str">
        <f>"Ugt1a6a"</f>
        <v>Ugt1a6a</v>
      </c>
      <c r="B21977" t="s">
        <v>14</v>
      </c>
      <c r="C21977" t="s">
        <v>19</v>
      </c>
      <c r="D21977" t="s">
        <v>17</v>
      </c>
      <c r="E21977" t="s">
        <v>12</v>
      </c>
      <c r="F21977">
        <v>88138364</v>
      </c>
      <c r="G21977">
        <v>88138371</v>
      </c>
      <c r="H21977">
        <v>88138364</v>
      </c>
      <c r="I21977">
        <v>88138371</v>
      </c>
    </row>
    <row r="21978" spans="1:9" x14ac:dyDescent="0.2">
      <c r="A21978" t="str">
        <f>"Ugt1a6b"</f>
        <v>Ugt1a6b</v>
      </c>
      <c r="B21978" t="s">
        <v>14</v>
      </c>
      <c r="C21978" t="s">
        <v>19</v>
      </c>
      <c r="D21978" t="s">
        <v>17</v>
      </c>
      <c r="E21978" t="s">
        <v>12</v>
      </c>
      <c r="F21978">
        <v>88103229</v>
      </c>
      <c r="G21978">
        <v>88103249</v>
      </c>
      <c r="H21978">
        <v>88103229</v>
      </c>
      <c r="I21978">
        <v>88103249</v>
      </c>
    </row>
    <row r="21979" spans="1:9" x14ac:dyDescent="0.2">
      <c r="A21979" t="str">
        <f>"Ugt1a7c"</f>
        <v>Ugt1a7c</v>
      </c>
      <c r="B21979" t="s">
        <v>14</v>
      </c>
      <c r="C21979" t="s">
        <v>19</v>
      </c>
      <c r="D21979" t="s">
        <v>17</v>
      </c>
      <c r="E21979" t="s">
        <v>12</v>
      </c>
      <c r="F21979">
        <v>88095054</v>
      </c>
      <c r="G21979">
        <v>88095088</v>
      </c>
      <c r="H21979">
        <v>88095054</v>
      </c>
      <c r="I21979">
        <v>88095088</v>
      </c>
    </row>
    <row r="21980" spans="1:9" x14ac:dyDescent="0.2">
      <c r="A21980" t="str">
        <f>"Ugt1a8"</f>
        <v>Ugt1a8</v>
      </c>
      <c r="B21980" t="s">
        <v>14</v>
      </c>
      <c r="C21980" t="s">
        <v>19</v>
      </c>
      <c r="D21980" t="s">
        <v>17</v>
      </c>
      <c r="E21980" t="s">
        <v>67</v>
      </c>
      <c r="F21980">
        <v>88087802</v>
      </c>
      <c r="G21980">
        <v>88087848</v>
      </c>
      <c r="H21980">
        <v>88087802</v>
      </c>
      <c r="I21980">
        <v>88087848</v>
      </c>
    </row>
    <row r="21981" spans="1:9" x14ac:dyDescent="0.2">
      <c r="A21981" t="str">
        <f>"Ugt1a9"</f>
        <v>Ugt1a9</v>
      </c>
      <c r="B21981" t="s">
        <v>14</v>
      </c>
      <c r="C21981" t="s">
        <v>19</v>
      </c>
      <c r="D21981" t="s">
        <v>17</v>
      </c>
      <c r="E21981" t="s">
        <v>12</v>
      </c>
      <c r="F21981">
        <v>88070765</v>
      </c>
      <c r="G21981">
        <v>88070797</v>
      </c>
      <c r="H21981">
        <v>88070727</v>
      </c>
      <c r="I21981">
        <v>88070746</v>
      </c>
    </row>
    <row r="21982" spans="1:9" x14ac:dyDescent="0.2">
      <c r="A21982" t="str">
        <f>"Ugt2a1"</f>
        <v>Ugt2a1</v>
      </c>
      <c r="B21982" t="s">
        <v>14</v>
      </c>
      <c r="C21982" t="s">
        <v>46</v>
      </c>
      <c r="D21982" t="s">
        <v>11</v>
      </c>
      <c r="E21982" t="s">
        <v>12</v>
      </c>
      <c r="F21982">
        <v>87490869</v>
      </c>
      <c r="G21982">
        <v>87490875</v>
      </c>
      <c r="H21982">
        <v>87490869</v>
      </c>
      <c r="I21982">
        <v>87490875</v>
      </c>
    </row>
    <row r="21983" spans="1:9" x14ac:dyDescent="0.2">
      <c r="A21983" t="str">
        <f>"Ugt2a3"</f>
        <v>Ugt2a3</v>
      </c>
      <c r="B21983" t="s">
        <v>14</v>
      </c>
      <c r="C21983" t="s">
        <v>46</v>
      </c>
      <c r="D21983" t="s">
        <v>11</v>
      </c>
      <c r="E21983" t="s">
        <v>12</v>
      </c>
      <c r="F21983">
        <v>87337165</v>
      </c>
      <c r="G21983">
        <v>87337203</v>
      </c>
      <c r="H21983">
        <v>87337165</v>
      </c>
      <c r="I21983">
        <v>87337203</v>
      </c>
    </row>
    <row r="21984" spans="1:9" x14ac:dyDescent="0.2">
      <c r="A21984" t="str">
        <f>"Ugt2b1"</f>
        <v>Ugt2b1</v>
      </c>
      <c r="B21984" t="s">
        <v>14</v>
      </c>
      <c r="C21984" t="s">
        <v>46</v>
      </c>
      <c r="D21984" t="s">
        <v>11</v>
      </c>
      <c r="E21984" t="s">
        <v>12</v>
      </c>
      <c r="F21984">
        <v>86926521</v>
      </c>
      <c r="G21984">
        <v>86926537</v>
      </c>
      <c r="H21984">
        <v>86926521</v>
      </c>
      <c r="I21984">
        <v>86926537</v>
      </c>
    </row>
    <row r="21985" spans="1:9" x14ac:dyDescent="0.2">
      <c r="A21985" t="str">
        <f>"Ugt2b34"</f>
        <v>Ugt2b34</v>
      </c>
      <c r="B21985" t="s">
        <v>14</v>
      </c>
      <c r="C21985" t="s">
        <v>46</v>
      </c>
      <c r="D21985" t="s">
        <v>11</v>
      </c>
      <c r="E21985" t="s">
        <v>12</v>
      </c>
      <c r="F21985">
        <v>86906938</v>
      </c>
      <c r="G21985">
        <v>86906955</v>
      </c>
      <c r="H21985">
        <v>86906938</v>
      </c>
      <c r="I21985">
        <v>86906955</v>
      </c>
    </row>
    <row r="21986" spans="1:9" x14ac:dyDescent="0.2">
      <c r="A21986" t="str">
        <f>"Ugt2b35"</f>
        <v>Ugt2b35</v>
      </c>
      <c r="B21986" t="s">
        <v>14</v>
      </c>
      <c r="C21986" t="s">
        <v>46</v>
      </c>
      <c r="D21986" t="s">
        <v>17</v>
      </c>
      <c r="E21986" t="s">
        <v>12</v>
      </c>
      <c r="F21986">
        <v>87000838</v>
      </c>
      <c r="G21986">
        <v>87000884</v>
      </c>
      <c r="H21986">
        <v>87000838</v>
      </c>
      <c r="I21986">
        <v>87000884</v>
      </c>
    </row>
    <row r="21987" spans="1:9" x14ac:dyDescent="0.2">
      <c r="A21987" t="str">
        <f>"Ugt2b36"</f>
        <v>Ugt2b36</v>
      </c>
      <c r="B21987" t="s">
        <v>14</v>
      </c>
      <c r="C21987" t="s">
        <v>46</v>
      </c>
      <c r="D21987" t="s">
        <v>11</v>
      </c>
      <c r="E21987" t="s">
        <v>12</v>
      </c>
      <c r="F21987">
        <v>87092548</v>
      </c>
      <c r="G21987">
        <v>87092563</v>
      </c>
      <c r="H21987">
        <v>87092548</v>
      </c>
      <c r="I21987">
        <v>87092563</v>
      </c>
    </row>
    <row r="21988" spans="1:9" x14ac:dyDescent="0.2">
      <c r="A21988" t="str">
        <f>"Ugt2b37"</f>
        <v>Ugt2b37</v>
      </c>
      <c r="B21988" t="s">
        <v>14</v>
      </c>
      <c r="C21988" t="s">
        <v>46</v>
      </c>
      <c r="D21988" t="s">
        <v>11</v>
      </c>
      <c r="E21988" t="s">
        <v>12</v>
      </c>
      <c r="F21988">
        <v>87254800</v>
      </c>
      <c r="G21988">
        <v>87254818</v>
      </c>
      <c r="H21988">
        <v>87254800</v>
      </c>
      <c r="I21988">
        <v>87254818</v>
      </c>
    </row>
    <row r="21989" spans="1:9" x14ac:dyDescent="0.2">
      <c r="A21989" t="str">
        <f>"Ugt2b38"</f>
        <v>Ugt2b38</v>
      </c>
      <c r="B21989" t="s">
        <v>14</v>
      </c>
      <c r="C21989" t="s">
        <v>46</v>
      </c>
      <c r="D21989" t="s">
        <v>11</v>
      </c>
      <c r="E21989" t="s">
        <v>12</v>
      </c>
      <c r="F21989">
        <v>87424201</v>
      </c>
      <c r="G21989">
        <v>87424205</v>
      </c>
      <c r="H21989">
        <v>87424201</v>
      </c>
      <c r="I21989">
        <v>87424205</v>
      </c>
    </row>
    <row r="21990" spans="1:9" x14ac:dyDescent="0.2">
      <c r="A21990" t="str">
        <f>"Ugt2b5"</f>
        <v>Ugt2b5</v>
      </c>
      <c r="B21990" t="s">
        <v>14</v>
      </c>
      <c r="C21990" t="s">
        <v>46</v>
      </c>
      <c r="D21990" t="s">
        <v>11</v>
      </c>
      <c r="E21990" t="s">
        <v>12</v>
      </c>
      <c r="F21990">
        <v>87140329</v>
      </c>
      <c r="G21990">
        <v>87140352</v>
      </c>
      <c r="H21990">
        <v>87140329</v>
      </c>
      <c r="I21990">
        <v>87140352</v>
      </c>
    </row>
    <row r="21991" spans="1:9" x14ac:dyDescent="0.2">
      <c r="A21991" t="str">
        <f>"Ugt3a1"</f>
        <v>Ugt3a1</v>
      </c>
      <c r="B21991" t="s">
        <v>14</v>
      </c>
      <c r="C21991" t="s">
        <v>25</v>
      </c>
      <c r="D21991" t="s">
        <v>17</v>
      </c>
      <c r="E21991" t="s">
        <v>12</v>
      </c>
      <c r="F21991">
        <v>9279841</v>
      </c>
      <c r="G21991">
        <v>9279865</v>
      </c>
      <c r="H21991">
        <v>9279872</v>
      </c>
      <c r="I21991">
        <v>9279881</v>
      </c>
    </row>
    <row r="21992" spans="1:9" x14ac:dyDescent="0.2">
      <c r="A21992" t="str">
        <f>"Ugt3a2"</f>
        <v>Ugt3a2</v>
      </c>
      <c r="B21992" t="s">
        <v>14</v>
      </c>
      <c r="C21992" t="s">
        <v>25</v>
      </c>
      <c r="D21992" t="s">
        <v>17</v>
      </c>
      <c r="E21992" t="s">
        <v>12</v>
      </c>
      <c r="F21992">
        <v>9335565</v>
      </c>
      <c r="G21992">
        <v>9335623</v>
      </c>
      <c r="H21992">
        <v>9335565</v>
      </c>
      <c r="I21992">
        <v>9335623</v>
      </c>
    </row>
    <row r="21993" spans="1:9" x14ac:dyDescent="0.2">
      <c r="A21993" t="str">
        <f>"Ugt8a"</f>
        <v>Ugt8a</v>
      </c>
      <c r="B21993" t="s">
        <v>14</v>
      </c>
      <c r="C21993" t="s">
        <v>22</v>
      </c>
      <c r="D21993" t="s">
        <v>11</v>
      </c>
      <c r="E21993" t="s">
        <v>12</v>
      </c>
      <c r="F21993">
        <v>125938537</v>
      </c>
      <c r="G21993">
        <v>125938605</v>
      </c>
      <c r="H21993">
        <v>125938606</v>
      </c>
      <c r="I21993">
        <v>125938617</v>
      </c>
    </row>
    <row r="21994" spans="1:9" x14ac:dyDescent="0.2">
      <c r="A21994" t="str">
        <f>"Uhmk1"</f>
        <v>Uhmk1</v>
      </c>
      <c r="B21994" t="s">
        <v>14</v>
      </c>
      <c r="C21994" t="s">
        <v>19</v>
      </c>
      <c r="D21994" t="s">
        <v>11</v>
      </c>
      <c r="E21994" t="s">
        <v>12</v>
      </c>
      <c r="F21994">
        <v>170215380</v>
      </c>
      <c r="G21994">
        <v>170215420</v>
      </c>
      <c r="H21994">
        <v>170215245</v>
      </c>
      <c r="I21994">
        <v>170215267</v>
      </c>
    </row>
    <row r="21995" spans="1:9" x14ac:dyDescent="0.2">
      <c r="A21995" t="str">
        <f>"Uhrf1"</f>
        <v>Uhrf1</v>
      </c>
      <c r="B21995" t="s">
        <v>14</v>
      </c>
      <c r="C21995" t="s">
        <v>28</v>
      </c>
      <c r="D21995" t="s">
        <v>17</v>
      </c>
      <c r="E21995" t="s">
        <v>12</v>
      </c>
      <c r="F21995">
        <v>56303427</v>
      </c>
      <c r="G21995">
        <v>56303467</v>
      </c>
      <c r="H21995">
        <v>56303396</v>
      </c>
      <c r="I21995">
        <v>56303418</v>
      </c>
    </row>
    <row r="21996" spans="1:9" x14ac:dyDescent="0.2">
      <c r="A21996" t="str">
        <f>"Uhrf1bp1"</f>
        <v>Uhrf1bp1</v>
      </c>
      <c r="B21996" t="s">
        <v>14</v>
      </c>
      <c r="C21996" t="s">
        <v>28</v>
      </c>
      <c r="D21996" t="s">
        <v>17</v>
      </c>
      <c r="E21996" t="s">
        <v>12</v>
      </c>
      <c r="F21996">
        <v>27856443</v>
      </c>
      <c r="G21996">
        <v>27856511</v>
      </c>
      <c r="H21996">
        <v>27856522</v>
      </c>
      <c r="I21996">
        <v>27856531</v>
      </c>
    </row>
    <row r="21997" spans="1:9" x14ac:dyDescent="0.2">
      <c r="A21997" t="str">
        <f>"Uhrf1bp1l"</f>
        <v>Uhrf1bp1l</v>
      </c>
      <c r="B21997" t="s">
        <v>14</v>
      </c>
      <c r="C21997" t="s">
        <v>15</v>
      </c>
      <c r="D21997" t="s">
        <v>17</v>
      </c>
      <c r="E21997" t="s">
        <v>12</v>
      </c>
      <c r="F21997">
        <v>89744988</v>
      </c>
      <c r="G21997">
        <v>89745022</v>
      </c>
      <c r="H21997">
        <v>89744988</v>
      </c>
      <c r="I21997">
        <v>89745022</v>
      </c>
    </row>
    <row r="21998" spans="1:9" x14ac:dyDescent="0.2">
      <c r="A21998" t="str">
        <f>"Uhrf2"</f>
        <v>Uhrf2</v>
      </c>
      <c r="B21998" t="s">
        <v>14</v>
      </c>
      <c r="C21998" t="s">
        <v>10</v>
      </c>
      <c r="D21998" t="s">
        <v>17</v>
      </c>
      <c r="E21998" t="s">
        <v>12</v>
      </c>
      <c r="F21998">
        <v>30030439</v>
      </c>
      <c r="G21998">
        <v>30030528</v>
      </c>
      <c r="H21998">
        <v>30030615</v>
      </c>
      <c r="I21998">
        <v>30030634</v>
      </c>
    </row>
    <row r="21999" spans="1:9" x14ac:dyDescent="0.2">
      <c r="A21999" t="str">
        <f>"Uimc1"</f>
        <v>Uimc1</v>
      </c>
      <c r="B21999" t="s">
        <v>14</v>
      </c>
      <c r="C21999" t="s">
        <v>39</v>
      </c>
      <c r="D21999" t="s">
        <v>11</v>
      </c>
      <c r="E21999" t="s">
        <v>12</v>
      </c>
      <c r="F21999">
        <v>55100248</v>
      </c>
      <c r="G21999">
        <v>55100321</v>
      </c>
      <c r="H21999">
        <v>55100216</v>
      </c>
      <c r="I21999">
        <v>55100242</v>
      </c>
    </row>
    <row r="22000" spans="1:9" x14ac:dyDescent="0.2">
      <c r="A22000" t="str">
        <f>"Ulbp1"</f>
        <v>Ulbp1</v>
      </c>
      <c r="B22000" t="s">
        <v>5974</v>
      </c>
      <c r="C22000" t="s">
        <v>15</v>
      </c>
      <c r="D22000" t="s">
        <v>11</v>
      </c>
      <c r="E22000" t="s">
        <v>20</v>
      </c>
      <c r="F22000">
        <v>7473418</v>
      </c>
      <c r="G22000">
        <v>7473418</v>
      </c>
      <c r="H22000">
        <v>7473418</v>
      </c>
      <c r="I22000">
        <v>7473418</v>
      </c>
    </row>
    <row r="22001" spans="1:9" x14ac:dyDescent="0.2">
      <c r="A22001" t="str">
        <f>"Ulk1"</f>
        <v>Ulk1</v>
      </c>
      <c r="B22001" t="s">
        <v>14</v>
      </c>
      <c r="C22001" t="s">
        <v>46</v>
      </c>
      <c r="D22001" t="s">
        <v>11</v>
      </c>
      <c r="E22001" t="s">
        <v>12</v>
      </c>
      <c r="F22001">
        <v>110810043</v>
      </c>
      <c r="G22001">
        <v>110810062</v>
      </c>
      <c r="H22001">
        <v>110810080</v>
      </c>
      <c r="I22001">
        <v>110810113</v>
      </c>
    </row>
    <row r="22002" spans="1:9" x14ac:dyDescent="0.2">
      <c r="A22002" t="str">
        <f>"Ulk2"</f>
        <v>Ulk2</v>
      </c>
      <c r="B22002" t="s">
        <v>14</v>
      </c>
      <c r="C22002" t="s">
        <v>27</v>
      </c>
      <c r="D22002" t="s">
        <v>11</v>
      </c>
      <c r="E22002" t="s">
        <v>12</v>
      </c>
      <c r="F22002">
        <v>61855082</v>
      </c>
      <c r="G22002">
        <v>61855097</v>
      </c>
      <c r="H22002">
        <v>61855026</v>
      </c>
      <c r="I22002">
        <v>61855069</v>
      </c>
    </row>
    <row r="22003" spans="1:9" x14ac:dyDescent="0.2">
      <c r="A22003" t="str">
        <f>"Ulk3"</f>
        <v>Ulk3</v>
      </c>
      <c r="B22003" t="s">
        <v>14</v>
      </c>
      <c r="C22003" t="s">
        <v>24</v>
      </c>
      <c r="D22003" t="s">
        <v>17</v>
      </c>
      <c r="E22003" t="s">
        <v>12</v>
      </c>
      <c r="F22003">
        <v>57589508</v>
      </c>
      <c r="G22003">
        <v>57589566</v>
      </c>
      <c r="H22003">
        <v>57589442</v>
      </c>
      <c r="I22003">
        <v>57589482</v>
      </c>
    </row>
    <row r="22004" spans="1:9" x14ac:dyDescent="0.2">
      <c r="A22004" t="str">
        <f>"Ulk4"</f>
        <v>Ulk4</v>
      </c>
      <c r="B22004" t="s">
        <v>14</v>
      </c>
      <c r="C22004" t="s">
        <v>24</v>
      </c>
      <c r="D22004" t="s">
        <v>11</v>
      </c>
      <c r="E22004" t="s">
        <v>12</v>
      </c>
      <c r="F22004">
        <v>121277160</v>
      </c>
      <c r="G22004">
        <v>121277217</v>
      </c>
      <c r="H22004">
        <v>121277438</v>
      </c>
      <c r="I22004">
        <v>121277472</v>
      </c>
    </row>
    <row r="22005" spans="1:9" x14ac:dyDescent="0.2">
      <c r="A22005" t="str">
        <f>"Umod"</f>
        <v>Umod</v>
      </c>
      <c r="B22005" t="s">
        <v>14</v>
      </c>
      <c r="C22005" t="s">
        <v>33</v>
      </c>
      <c r="D22005" t="s">
        <v>11</v>
      </c>
      <c r="E22005" t="s">
        <v>12</v>
      </c>
      <c r="F22005">
        <v>119479169</v>
      </c>
      <c r="G22005">
        <v>119479185</v>
      </c>
      <c r="H22005">
        <v>119479169</v>
      </c>
      <c r="I22005">
        <v>119479185</v>
      </c>
    </row>
    <row r="22006" spans="1:9" x14ac:dyDescent="0.2">
      <c r="A22006" t="str">
        <f>"Umodl1"</f>
        <v>Umodl1</v>
      </c>
      <c r="B22006" t="s">
        <v>14</v>
      </c>
      <c r="C22006" t="s">
        <v>28</v>
      </c>
      <c r="D22006" t="s">
        <v>17</v>
      </c>
      <c r="E22006" t="s">
        <v>12</v>
      </c>
      <c r="F22006">
        <v>30954671</v>
      </c>
      <c r="G22006">
        <v>30954708</v>
      </c>
      <c r="H22006">
        <v>30954592</v>
      </c>
      <c r="I22006">
        <v>30954640</v>
      </c>
    </row>
    <row r="22007" spans="1:9" x14ac:dyDescent="0.2">
      <c r="A22007" t="str">
        <f>"Umps"</f>
        <v>Umps</v>
      </c>
      <c r="B22007" t="s">
        <v>14</v>
      </c>
      <c r="C22007" t="s">
        <v>31</v>
      </c>
      <c r="D22007" t="s">
        <v>11</v>
      </c>
      <c r="E22007" t="s">
        <v>12</v>
      </c>
      <c r="F22007">
        <v>33966995</v>
      </c>
      <c r="G22007">
        <v>33967010</v>
      </c>
      <c r="H22007">
        <v>33967032</v>
      </c>
      <c r="I22007">
        <v>33967043</v>
      </c>
    </row>
    <row r="22008" spans="1:9" x14ac:dyDescent="0.2">
      <c r="A22008" t="str">
        <f>"Unc119"</f>
        <v>Unc119</v>
      </c>
      <c r="B22008" t="s">
        <v>14</v>
      </c>
      <c r="C22008" t="s">
        <v>27</v>
      </c>
      <c r="D22008" t="s">
        <v>17</v>
      </c>
      <c r="E22008" t="s">
        <v>12</v>
      </c>
      <c r="F22008">
        <v>78343475</v>
      </c>
      <c r="G22008">
        <v>78343526</v>
      </c>
      <c r="H22008">
        <v>78343475</v>
      </c>
      <c r="I22008">
        <v>78343526</v>
      </c>
    </row>
    <row r="22009" spans="1:9" x14ac:dyDescent="0.2">
      <c r="A22009" t="str">
        <f>"Unc119b"</f>
        <v>Unc119b</v>
      </c>
      <c r="B22009" t="s">
        <v>9</v>
      </c>
      <c r="C22009" t="s">
        <v>46</v>
      </c>
      <c r="D22009" t="s">
        <v>11</v>
      </c>
      <c r="E22009" t="s">
        <v>12</v>
      </c>
      <c r="F22009">
        <v>115134907</v>
      </c>
      <c r="G22009">
        <v>115134968</v>
      </c>
      <c r="H22009">
        <v>115134907</v>
      </c>
      <c r="I22009">
        <v>115134968</v>
      </c>
    </row>
    <row r="22010" spans="1:9" x14ac:dyDescent="0.2">
      <c r="A22010" t="str">
        <f>"Unc119b"</f>
        <v>Unc119b</v>
      </c>
      <c r="B22010" t="s">
        <v>13</v>
      </c>
      <c r="C22010" t="s">
        <v>46</v>
      </c>
      <c r="D22010" t="s">
        <v>11</v>
      </c>
      <c r="E22010" t="s">
        <v>12</v>
      </c>
      <c r="F22010">
        <v>115127517</v>
      </c>
      <c r="G22010">
        <v>115127530</v>
      </c>
      <c r="H22010">
        <v>115127517</v>
      </c>
      <c r="I22010">
        <v>115127530</v>
      </c>
    </row>
    <row r="22011" spans="1:9" x14ac:dyDescent="0.2">
      <c r="A22011" t="str">
        <f>"Unc13a"</f>
        <v>Unc13a</v>
      </c>
      <c r="B22011" t="s">
        <v>14</v>
      </c>
      <c r="C22011" t="s">
        <v>30</v>
      </c>
      <c r="D22011" t="s">
        <v>11</v>
      </c>
      <c r="E22011" t="s">
        <v>12</v>
      </c>
      <c r="F22011">
        <v>71671723</v>
      </c>
      <c r="G22011">
        <v>71671772</v>
      </c>
      <c r="H22011">
        <v>71671723</v>
      </c>
      <c r="I22011">
        <v>71671772</v>
      </c>
    </row>
    <row r="22012" spans="1:9" x14ac:dyDescent="0.2">
      <c r="A22012" t="str">
        <f>"Unc13b"</f>
        <v>Unc13b</v>
      </c>
      <c r="B22012" t="s">
        <v>14</v>
      </c>
      <c r="C22012" t="s">
        <v>23</v>
      </c>
      <c r="D22012" t="s">
        <v>17</v>
      </c>
      <c r="E22012" t="s">
        <v>12</v>
      </c>
      <c r="F22012">
        <v>43058976</v>
      </c>
      <c r="G22012">
        <v>43059011</v>
      </c>
      <c r="H22012">
        <v>43058939</v>
      </c>
      <c r="I22012">
        <v>43058962</v>
      </c>
    </row>
    <row r="22013" spans="1:9" x14ac:dyDescent="0.2">
      <c r="A22013" t="str">
        <f>"Unc13c"</f>
        <v>Unc13c</v>
      </c>
      <c r="B22013" t="s">
        <v>14</v>
      </c>
      <c r="C22013" t="s">
        <v>24</v>
      </c>
      <c r="D22013" t="s">
        <v>11</v>
      </c>
      <c r="E22013" t="s">
        <v>12</v>
      </c>
      <c r="F22013">
        <v>73933631</v>
      </c>
      <c r="G22013">
        <v>73933643</v>
      </c>
      <c r="H22013">
        <v>73933631</v>
      </c>
      <c r="I22013">
        <v>73933643</v>
      </c>
    </row>
    <row r="22014" spans="1:9" x14ac:dyDescent="0.2">
      <c r="A22014" t="str">
        <f>"Unc13d"</f>
        <v>Unc13d</v>
      </c>
      <c r="B22014" t="s">
        <v>14</v>
      </c>
      <c r="C22014" t="s">
        <v>27</v>
      </c>
      <c r="D22014" t="s">
        <v>11</v>
      </c>
      <c r="E22014" t="s">
        <v>12</v>
      </c>
      <c r="F22014">
        <v>116077562</v>
      </c>
      <c r="G22014">
        <v>116077596</v>
      </c>
      <c r="H22014">
        <v>116077606</v>
      </c>
      <c r="I22014">
        <v>116077632</v>
      </c>
    </row>
    <row r="22015" spans="1:9" x14ac:dyDescent="0.2">
      <c r="A22015" t="str">
        <f>"Unc45a"</f>
        <v>Unc45a</v>
      </c>
      <c r="B22015" t="s">
        <v>14</v>
      </c>
      <c r="C22015" t="s">
        <v>33</v>
      </c>
      <c r="D22015" t="s">
        <v>11</v>
      </c>
      <c r="E22015" t="s">
        <v>12</v>
      </c>
      <c r="F22015">
        <v>80340152</v>
      </c>
      <c r="G22015">
        <v>80340210</v>
      </c>
      <c r="H22015">
        <v>80340214</v>
      </c>
      <c r="I22015">
        <v>80340231</v>
      </c>
    </row>
    <row r="22016" spans="1:9" x14ac:dyDescent="0.2">
      <c r="A22016" t="str">
        <f>"Unc45b"</f>
        <v>Unc45b</v>
      </c>
      <c r="B22016" t="s">
        <v>14</v>
      </c>
      <c r="C22016" t="s">
        <v>27</v>
      </c>
      <c r="D22016" t="s">
        <v>17</v>
      </c>
      <c r="E22016" t="s">
        <v>12</v>
      </c>
      <c r="F22016">
        <v>82911279</v>
      </c>
      <c r="G22016">
        <v>82911294</v>
      </c>
      <c r="H22016">
        <v>82911309</v>
      </c>
      <c r="I22016">
        <v>82911331</v>
      </c>
    </row>
    <row r="22017" spans="1:9" x14ac:dyDescent="0.2">
      <c r="A22017" t="str">
        <f>"Unc50"</f>
        <v>Unc50</v>
      </c>
      <c r="B22017" t="s">
        <v>14</v>
      </c>
      <c r="C22017" t="s">
        <v>19</v>
      </c>
      <c r="D22017" t="s">
        <v>17</v>
      </c>
      <c r="E22017" t="s">
        <v>12</v>
      </c>
      <c r="F22017">
        <v>37430155</v>
      </c>
      <c r="G22017">
        <v>37430220</v>
      </c>
      <c r="H22017">
        <v>37430335</v>
      </c>
      <c r="I22017">
        <v>37430348</v>
      </c>
    </row>
    <row r="22018" spans="1:9" x14ac:dyDescent="0.2">
      <c r="A22018" t="str">
        <f>"Unc5a"</f>
        <v>Unc5a</v>
      </c>
      <c r="B22018" t="s">
        <v>14</v>
      </c>
      <c r="C22018" t="s">
        <v>39</v>
      </c>
      <c r="D22018" t="s">
        <v>17</v>
      </c>
      <c r="E22018" t="s">
        <v>12</v>
      </c>
      <c r="F22018">
        <v>54949388</v>
      </c>
      <c r="G22018">
        <v>54949481</v>
      </c>
      <c r="H22018">
        <v>54949363</v>
      </c>
      <c r="I22018">
        <v>54949386</v>
      </c>
    </row>
    <row r="22019" spans="1:9" x14ac:dyDescent="0.2">
      <c r="A22019" t="str">
        <f>"Unc5b"</f>
        <v>Unc5b</v>
      </c>
      <c r="B22019" t="s">
        <v>14</v>
      </c>
      <c r="C22019" t="s">
        <v>15</v>
      </c>
      <c r="D22019" t="s">
        <v>11</v>
      </c>
      <c r="E22019" t="s">
        <v>12</v>
      </c>
      <c r="F22019">
        <v>60831571</v>
      </c>
      <c r="G22019">
        <v>60831588</v>
      </c>
      <c r="H22019">
        <v>60831452</v>
      </c>
      <c r="I22019">
        <v>60831472</v>
      </c>
    </row>
    <row r="22020" spans="1:9" x14ac:dyDescent="0.2">
      <c r="A22020" t="str">
        <f>"Unc5c"</f>
        <v>Unc5c</v>
      </c>
      <c r="B22020" t="s">
        <v>14</v>
      </c>
      <c r="C22020" t="s">
        <v>22</v>
      </c>
      <c r="D22020" t="s">
        <v>17</v>
      </c>
      <c r="E22020" t="s">
        <v>12</v>
      </c>
      <c r="F22020">
        <v>141465592</v>
      </c>
      <c r="G22020">
        <v>141465611</v>
      </c>
      <c r="H22020">
        <v>141465592</v>
      </c>
      <c r="I22020">
        <v>141465611</v>
      </c>
    </row>
    <row r="22021" spans="1:9" x14ac:dyDescent="0.2">
      <c r="A22021" t="str">
        <f>"Unc5cl"</f>
        <v>Unc5cl</v>
      </c>
      <c r="B22021" t="s">
        <v>9</v>
      </c>
      <c r="C22021" t="s">
        <v>28</v>
      </c>
      <c r="D22021" t="s">
        <v>17</v>
      </c>
      <c r="E22021" t="s">
        <v>12</v>
      </c>
      <c r="F22021">
        <v>48454891</v>
      </c>
      <c r="G22021">
        <v>48454907</v>
      </c>
      <c r="H22021">
        <v>48454891</v>
      </c>
      <c r="I22021">
        <v>48454907</v>
      </c>
    </row>
    <row r="22022" spans="1:9" x14ac:dyDescent="0.2">
      <c r="A22022" t="str">
        <f>"Unc5cl"</f>
        <v>Unc5cl</v>
      </c>
      <c r="B22022" t="s">
        <v>13</v>
      </c>
      <c r="C22022" t="s">
        <v>28</v>
      </c>
      <c r="D22022" t="s">
        <v>17</v>
      </c>
      <c r="E22022" t="s">
        <v>12</v>
      </c>
      <c r="F22022">
        <v>48462355</v>
      </c>
      <c r="G22022">
        <v>48462409</v>
      </c>
      <c r="H22022">
        <v>48462355</v>
      </c>
      <c r="I22022">
        <v>48462409</v>
      </c>
    </row>
    <row r="22023" spans="1:9" x14ac:dyDescent="0.2">
      <c r="A22023" t="str">
        <f>"Unc5d"</f>
        <v>Unc5d</v>
      </c>
      <c r="B22023" t="s">
        <v>14</v>
      </c>
      <c r="C22023" t="s">
        <v>30</v>
      </c>
      <c r="D22023" t="s">
        <v>11</v>
      </c>
      <c r="E22023" t="s">
        <v>12</v>
      </c>
      <c r="F22023">
        <v>29219577</v>
      </c>
      <c r="G22023">
        <v>29219623</v>
      </c>
      <c r="H22023">
        <v>29219627</v>
      </c>
      <c r="I22023">
        <v>29219640</v>
      </c>
    </row>
    <row r="22024" spans="1:9" x14ac:dyDescent="0.2">
      <c r="A22024" t="str">
        <f>"Unc79"</f>
        <v>Unc79</v>
      </c>
      <c r="B22024" t="s">
        <v>5975</v>
      </c>
      <c r="C22024" t="s">
        <v>16</v>
      </c>
      <c r="D22024" t="s">
        <v>17</v>
      </c>
      <c r="E22024" t="s">
        <v>20</v>
      </c>
      <c r="F22024">
        <v>103001888</v>
      </c>
      <c r="G22024">
        <v>103001888</v>
      </c>
      <c r="H22024">
        <v>103001888</v>
      </c>
      <c r="I22024">
        <v>103001888</v>
      </c>
    </row>
    <row r="22025" spans="1:9" x14ac:dyDescent="0.2">
      <c r="A22025" t="str">
        <f>"Unc80"</f>
        <v>Unc80</v>
      </c>
      <c r="B22025" t="s">
        <v>14</v>
      </c>
      <c r="C22025" t="s">
        <v>19</v>
      </c>
      <c r="D22025" t="s">
        <v>17</v>
      </c>
      <c r="E22025" t="s">
        <v>12</v>
      </c>
      <c r="F22025">
        <v>66467912</v>
      </c>
      <c r="G22025">
        <v>66467994</v>
      </c>
      <c r="H22025">
        <v>66468225</v>
      </c>
      <c r="I22025">
        <v>66468264</v>
      </c>
    </row>
    <row r="22026" spans="1:9" x14ac:dyDescent="0.2">
      <c r="A22026" t="str">
        <f>"Unc93a"</f>
        <v>Unc93a</v>
      </c>
      <c r="B22026" t="s">
        <v>5976</v>
      </c>
      <c r="C22026" t="s">
        <v>28</v>
      </c>
      <c r="D22026" t="s">
        <v>11</v>
      </c>
      <c r="E22026" t="s">
        <v>20</v>
      </c>
      <c r="F22026">
        <v>13131790</v>
      </c>
      <c r="G22026">
        <v>13131790</v>
      </c>
      <c r="H22026">
        <v>13131790</v>
      </c>
      <c r="I22026">
        <v>13131790</v>
      </c>
    </row>
    <row r="22027" spans="1:9" x14ac:dyDescent="0.2">
      <c r="A22027" t="str">
        <f>"Unc93b1"</f>
        <v>Unc93b1</v>
      </c>
      <c r="B22027" t="s">
        <v>14</v>
      </c>
      <c r="C22027" t="s">
        <v>10</v>
      </c>
      <c r="D22027" t="s">
        <v>17</v>
      </c>
      <c r="E22027" t="s">
        <v>12</v>
      </c>
      <c r="F22027">
        <v>3935203</v>
      </c>
      <c r="G22027">
        <v>3935247</v>
      </c>
      <c r="H22027">
        <v>3935252</v>
      </c>
      <c r="I22027">
        <v>3935261</v>
      </c>
    </row>
    <row r="22028" spans="1:9" x14ac:dyDescent="0.2">
      <c r="A22028" t="str">
        <f>"Uncx"</f>
        <v>Uncx</v>
      </c>
      <c r="B22028" t="s">
        <v>14</v>
      </c>
      <c r="C22028" t="s">
        <v>46</v>
      </c>
      <c r="D22028" t="s">
        <v>17</v>
      </c>
      <c r="E22028" t="s">
        <v>12</v>
      </c>
      <c r="F22028">
        <v>139543911</v>
      </c>
      <c r="G22028">
        <v>139543932</v>
      </c>
      <c r="H22028">
        <v>139543889</v>
      </c>
      <c r="I22028">
        <v>139543904</v>
      </c>
    </row>
    <row r="22029" spans="1:9" x14ac:dyDescent="0.2">
      <c r="A22029" t="str">
        <f>"Ung"</f>
        <v>Ung</v>
      </c>
      <c r="B22029" t="s">
        <v>14</v>
      </c>
      <c r="C22029" t="s">
        <v>46</v>
      </c>
      <c r="D22029" t="s">
        <v>17</v>
      </c>
      <c r="E22029" t="s">
        <v>12</v>
      </c>
      <c r="F22029">
        <v>114131184</v>
      </c>
      <c r="G22029">
        <v>114131220</v>
      </c>
      <c r="H22029">
        <v>114130388</v>
      </c>
      <c r="I22029">
        <v>114130444</v>
      </c>
    </row>
    <row r="22030" spans="1:9" x14ac:dyDescent="0.2">
      <c r="A22030" t="str">
        <f>"Unk"</f>
        <v>Unk</v>
      </c>
      <c r="B22030" t="s">
        <v>14</v>
      </c>
      <c r="C22030" t="s">
        <v>27</v>
      </c>
      <c r="D22030" t="s">
        <v>17</v>
      </c>
      <c r="E22030" t="s">
        <v>12</v>
      </c>
      <c r="F22030">
        <v>116030304</v>
      </c>
      <c r="G22030">
        <v>116030385</v>
      </c>
      <c r="H22030">
        <v>116030282</v>
      </c>
      <c r="I22030">
        <v>116030295</v>
      </c>
    </row>
    <row r="22031" spans="1:9" x14ac:dyDescent="0.2">
      <c r="A22031" t="str">
        <f>"Unkl"</f>
        <v>Unkl</v>
      </c>
      <c r="B22031" t="s">
        <v>14</v>
      </c>
      <c r="C22031" t="s">
        <v>28</v>
      </c>
      <c r="D22031" t="s">
        <v>17</v>
      </c>
      <c r="E22031" t="s">
        <v>12</v>
      </c>
      <c r="F22031">
        <v>25188380</v>
      </c>
      <c r="G22031">
        <v>25188418</v>
      </c>
      <c r="H22031">
        <v>25188380</v>
      </c>
      <c r="I22031">
        <v>25188418</v>
      </c>
    </row>
    <row r="22032" spans="1:9" x14ac:dyDescent="0.2">
      <c r="A22032" t="str">
        <f>"Uox"</f>
        <v>Uox</v>
      </c>
      <c r="B22032" t="s">
        <v>14</v>
      </c>
      <c r="C22032" t="s">
        <v>22</v>
      </c>
      <c r="D22032" t="s">
        <v>17</v>
      </c>
      <c r="E22032" t="s">
        <v>12</v>
      </c>
      <c r="F22032">
        <v>146597135</v>
      </c>
      <c r="G22032">
        <v>146597155</v>
      </c>
      <c r="H22032">
        <v>146597135</v>
      </c>
      <c r="I22032">
        <v>146597155</v>
      </c>
    </row>
    <row r="22033" spans="1:9" x14ac:dyDescent="0.2">
      <c r="A22033" t="str">
        <f>"Upb1"</f>
        <v>Upb1</v>
      </c>
      <c r="B22033" t="s">
        <v>14</v>
      </c>
      <c r="C22033" t="s">
        <v>15</v>
      </c>
      <c r="D22033" t="s">
        <v>17</v>
      </c>
      <c r="E22033" t="s">
        <v>12</v>
      </c>
      <c r="F22033">
        <v>75407005</v>
      </c>
      <c r="G22033">
        <v>75407022</v>
      </c>
      <c r="H22033">
        <v>75406941</v>
      </c>
      <c r="I22033">
        <v>75406954</v>
      </c>
    </row>
    <row r="22034" spans="1:9" x14ac:dyDescent="0.2">
      <c r="A22034" t="str">
        <f>"Upf1"</f>
        <v>Upf1</v>
      </c>
      <c r="B22034" t="s">
        <v>14</v>
      </c>
      <c r="C22034" t="s">
        <v>30</v>
      </c>
      <c r="D22034" t="s">
        <v>11</v>
      </c>
      <c r="E22034" t="s">
        <v>12</v>
      </c>
      <c r="F22034">
        <v>70353243</v>
      </c>
      <c r="G22034">
        <v>70353336</v>
      </c>
      <c r="H22034">
        <v>70353243</v>
      </c>
      <c r="I22034">
        <v>70353336</v>
      </c>
    </row>
    <row r="22035" spans="1:9" x14ac:dyDescent="0.2">
      <c r="A22035" t="str">
        <f>"Upf2"</f>
        <v>Upf2</v>
      </c>
      <c r="B22035" t="s">
        <v>14</v>
      </c>
      <c r="C22035" t="s">
        <v>26</v>
      </c>
      <c r="D22035" t="s">
        <v>17</v>
      </c>
      <c r="E22035" t="s">
        <v>12</v>
      </c>
      <c r="F22035">
        <v>5951480</v>
      </c>
      <c r="G22035">
        <v>5951536</v>
      </c>
      <c r="H22035">
        <v>5951440</v>
      </c>
      <c r="I22035">
        <v>5951468</v>
      </c>
    </row>
    <row r="22036" spans="1:9" x14ac:dyDescent="0.2">
      <c r="A22036" t="str">
        <f>"Upf3a"</f>
        <v>Upf3a</v>
      </c>
      <c r="B22036" t="s">
        <v>14</v>
      </c>
      <c r="C22036" t="s">
        <v>30</v>
      </c>
      <c r="D22036" t="s">
        <v>17</v>
      </c>
      <c r="E22036" t="s">
        <v>12</v>
      </c>
      <c r="F22036">
        <v>13785620</v>
      </c>
      <c r="G22036">
        <v>13785661</v>
      </c>
      <c r="H22036">
        <v>13785620</v>
      </c>
      <c r="I22036">
        <v>13785661</v>
      </c>
    </row>
    <row r="22037" spans="1:9" x14ac:dyDescent="0.2">
      <c r="A22037" t="str">
        <f>"Upf3b"</f>
        <v>Upf3b</v>
      </c>
      <c r="B22037" t="s">
        <v>14</v>
      </c>
      <c r="C22037" t="s">
        <v>37</v>
      </c>
      <c r="D22037" t="s">
        <v>11</v>
      </c>
      <c r="E22037" t="s">
        <v>12</v>
      </c>
      <c r="F22037">
        <v>37110257</v>
      </c>
      <c r="G22037">
        <v>37110346</v>
      </c>
      <c r="H22037">
        <v>37110244</v>
      </c>
      <c r="I22037">
        <v>37110255</v>
      </c>
    </row>
    <row r="22038" spans="1:9" x14ac:dyDescent="0.2">
      <c r="A22038" t="str">
        <f>"Upk1a"</f>
        <v>Upk1a</v>
      </c>
      <c r="B22038" t="s">
        <v>14</v>
      </c>
      <c r="C22038" t="s">
        <v>33</v>
      </c>
      <c r="D22038" t="s">
        <v>11</v>
      </c>
      <c r="E22038" t="s">
        <v>12</v>
      </c>
      <c r="F22038">
        <v>30612797</v>
      </c>
      <c r="G22038">
        <v>30612881</v>
      </c>
      <c r="H22038">
        <v>30612731</v>
      </c>
      <c r="I22038">
        <v>30612744</v>
      </c>
    </row>
    <row r="22039" spans="1:9" x14ac:dyDescent="0.2">
      <c r="A22039" t="str">
        <f>"Upk1b"</f>
        <v>Upk1b</v>
      </c>
      <c r="B22039" t="s">
        <v>14</v>
      </c>
      <c r="C22039" t="s">
        <v>31</v>
      </c>
      <c r="D22039" t="s">
        <v>11</v>
      </c>
      <c r="E22039" t="s">
        <v>12</v>
      </c>
      <c r="F22039">
        <v>38800193</v>
      </c>
      <c r="G22039">
        <v>38800209</v>
      </c>
      <c r="H22039">
        <v>38800343</v>
      </c>
      <c r="I22039">
        <v>38800358</v>
      </c>
    </row>
    <row r="22040" spans="1:9" x14ac:dyDescent="0.2">
      <c r="A22040" t="str">
        <f>"Upk2"</f>
        <v>Upk2</v>
      </c>
      <c r="B22040" t="s">
        <v>14</v>
      </c>
      <c r="C22040" t="s">
        <v>24</v>
      </c>
      <c r="D22040" t="s">
        <v>11</v>
      </c>
      <c r="E22040" t="s">
        <v>12</v>
      </c>
      <c r="F22040">
        <v>44454757</v>
      </c>
      <c r="G22040">
        <v>44454773</v>
      </c>
      <c r="H22040">
        <v>44454715</v>
      </c>
      <c r="I22040">
        <v>44454726</v>
      </c>
    </row>
    <row r="22041" spans="1:9" x14ac:dyDescent="0.2">
      <c r="A22041" t="str">
        <f>"Upk3a"</f>
        <v>Upk3a</v>
      </c>
      <c r="B22041" t="s">
        <v>14</v>
      </c>
      <c r="C22041" t="s">
        <v>25</v>
      </c>
      <c r="D22041" t="s">
        <v>17</v>
      </c>
      <c r="E22041" t="s">
        <v>12</v>
      </c>
      <c r="F22041">
        <v>85017163</v>
      </c>
      <c r="G22041">
        <v>85017200</v>
      </c>
      <c r="H22041">
        <v>85017138</v>
      </c>
      <c r="I22041">
        <v>85017141</v>
      </c>
    </row>
    <row r="22042" spans="1:9" x14ac:dyDescent="0.2">
      <c r="A22042" t="str">
        <f>"Upk3b"</f>
        <v>Upk3b</v>
      </c>
      <c r="B22042" t="s">
        <v>14</v>
      </c>
      <c r="C22042" t="s">
        <v>46</v>
      </c>
      <c r="D22042" t="s">
        <v>17</v>
      </c>
      <c r="E22042" t="s">
        <v>12</v>
      </c>
      <c r="F22042">
        <v>136038681</v>
      </c>
      <c r="G22042">
        <v>136038707</v>
      </c>
      <c r="H22042">
        <v>136038681</v>
      </c>
      <c r="I22042">
        <v>136038707</v>
      </c>
    </row>
    <row r="22043" spans="1:9" x14ac:dyDescent="0.2">
      <c r="A22043" t="str">
        <f>"Upk3bl"</f>
        <v>Upk3bl</v>
      </c>
      <c r="B22043" t="s">
        <v>14</v>
      </c>
      <c r="C22043" t="s">
        <v>46</v>
      </c>
      <c r="D22043" t="s">
        <v>17</v>
      </c>
      <c r="E22043" t="s">
        <v>67</v>
      </c>
      <c r="F22043">
        <v>136057304</v>
      </c>
      <c r="G22043">
        <v>136057346</v>
      </c>
      <c r="H22043">
        <v>136057304</v>
      </c>
      <c r="I22043">
        <v>136057346</v>
      </c>
    </row>
    <row r="22044" spans="1:9" x14ac:dyDescent="0.2">
      <c r="A22044" t="str">
        <f>"Upp1"</f>
        <v>Upp1</v>
      </c>
      <c r="B22044" t="s">
        <v>14</v>
      </c>
      <c r="C22044" t="s">
        <v>27</v>
      </c>
      <c r="D22044" t="s">
        <v>17</v>
      </c>
      <c r="E22044" t="s">
        <v>12</v>
      </c>
      <c r="F22044">
        <v>9118619</v>
      </c>
      <c r="G22044">
        <v>9118634</v>
      </c>
      <c r="H22044">
        <v>9118571</v>
      </c>
      <c r="I22044">
        <v>9118593</v>
      </c>
    </row>
    <row r="22045" spans="1:9" x14ac:dyDescent="0.2">
      <c r="A22045" t="str">
        <f>"Upp2"</f>
        <v>Upp2</v>
      </c>
      <c r="B22045" t="s">
        <v>14</v>
      </c>
      <c r="C22045" t="s">
        <v>26</v>
      </c>
      <c r="D22045" t="s">
        <v>17</v>
      </c>
      <c r="E22045" t="s">
        <v>12</v>
      </c>
      <c r="F22045">
        <v>58755177</v>
      </c>
      <c r="G22045">
        <v>58755195</v>
      </c>
      <c r="H22045">
        <v>58755177</v>
      </c>
      <c r="I22045">
        <v>58755195</v>
      </c>
    </row>
    <row r="22046" spans="1:9" x14ac:dyDescent="0.2">
      <c r="A22046" t="str">
        <f>"Uprt"</f>
        <v>Uprt</v>
      </c>
      <c r="B22046" t="s">
        <v>14</v>
      </c>
      <c r="C22046" t="s">
        <v>37</v>
      </c>
      <c r="D22046" t="s">
        <v>17</v>
      </c>
      <c r="E22046" t="s">
        <v>12</v>
      </c>
      <c r="F22046">
        <v>104482774</v>
      </c>
      <c r="G22046">
        <v>104482858</v>
      </c>
      <c r="H22046">
        <v>104482774</v>
      </c>
      <c r="I22046">
        <v>104482858</v>
      </c>
    </row>
    <row r="22047" spans="1:9" x14ac:dyDescent="0.2">
      <c r="A22047" t="str">
        <f>"Uqcc1"</f>
        <v>Uqcc1</v>
      </c>
      <c r="B22047" t="s">
        <v>14</v>
      </c>
      <c r="C22047" t="s">
        <v>26</v>
      </c>
      <c r="D22047" t="s">
        <v>11</v>
      </c>
      <c r="E22047" t="s">
        <v>67</v>
      </c>
      <c r="F22047">
        <v>155930038</v>
      </c>
      <c r="G22047">
        <v>155930066</v>
      </c>
      <c r="H22047">
        <v>155930243</v>
      </c>
      <c r="I22047">
        <v>155930259</v>
      </c>
    </row>
    <row r="22048" spans="1:9" x14ac:dyDescent="0.2">
      <c r="A22048" t="str">
        <f>"Uqcc2"</f>
        <v>Uqcc2</v>
      </c>
      <c r="B22048" t="s">
        <v>14</v>
      </c>
      <c r="C22048" t="s">
        <v>28</v>
      </c>
      <c r="D22048" t="s">
        <v>11</v>
      </c>
      <c r="E22048" t="s">
        <v>67</v>
      </c>
      <c r="F22048">
        <v>27133879</v>
      </c>
      <c r="G22048">
        <v>27133897</v>
      </c>
      <c r="H22048">
        <v>27133906</v>
      </c>
      <c r="I22048">
        <v>27133924</v>
      </c>
    </row>
    <row r="22049" spans="1:9" x14ac:dyDescent="0.2">
      <c r="A22049" t="str">
        <f>"Uqcr10"</f>
        <v>Uqcr10</v>
      </c>
      <c r="B22049" t="s">
        <v>14</v>
      </c>
      <c r="C22049" t="s">
        <v>27</v>
      </c>
      <c r="D22049" t="s">
        <v>11</v>
      </c>
      <c r="E22049" t="s">
        <v>12</v>
      </c>
      <c r="F22049">
        <v>4704303</v>
      </c>
      <c r="G22049">
        <v>4704330</v>
      </c>
      <c r="H22049">
        <v>4704334</v>
      </c>
      <c r="I22049">
        <v>4704351</v>
      </c>
    </row>
    <row r="22050" spans="1:9" x14ac:dyDescent="0.2">
      <c r="A22050" t="str">
        <f>"Uqcr11"</f>
        <v>Uqcr11</v>
      </c>
      <c r="B22050" t="s">
        <v>14</v>
      </c>
      <c r="C22050" t="s">
        <v>15</v>
      </c>
      <c r="D22050" t="s">
        <v>11</v>
      </c>
      <c r="E22050" t="s">
        <v>12</v>
      </c>
      <c r="F22050">
        <v>80406792</v>
      </c>
      <c r="G22050">
        <v>80406809</v>
      </c>
      <c r="H22050">
        <v>80406811</v>
      </c>
      <c r="I22050">
        <v>80406819</v>
      </c>
    </row>
    <row r="22051" spans="1:9" x14ac:dyDescent="0.2">
      <c r="A22051" t="str">
        <f>"Uqcrb"</f>
        <v>Uqcrb</v>
      </c>
      <c r="B22051" t="s">
        <v>14</v>
      </c>
      <c r="C22051" t="s">
        <v>39</v>
      </c>
      <c r="D22051" t="s">
        <v>11</v>
      </c>
      <c r="E22051" t="s">
        <v>12</v>
      </c>
      <c r="F22051">
        <v>66905322</v>
      </c>
      <c r="G22051">
        <v>66905370</v>
      </c>
      <c r="H22051">
        <v>66905322</v>
      </c>
      <c r="I22051">
        <v>66905370</v>
      </c>
    </row>
    <row r="22052" spans="1:9" x14ac:dyDescent="0.2">
      <c r="A22052" t="str">
        <f>"Uqcrc1"</f>
        <v>Uqcrc1</v>
      </c>
      <c r="B22052" t="s">
        <v>14</v>
      </c>
      <c r="C22052" t="s">
        <v>24</v>
      </c>
      <c r="D22052" t="s">
        <v>17</v>
      </c>
      <c r="E22052" t="s">
        <v>12</v>
      </c>
      <c r="F22052">
        <v>108936685</v>
      </c>
      <c r="G22052">
        <v>108936715</v>
      </c>
      <c r="H22052">
        <v>108936685</v>
      </c>
      <c r="I22052">
        <v>108936715</v>
      </c>
    </row>
    <row r="22053" spans="1:9" x14ac:dyDescent="0.2">
      <c r="A22053" t="str">
        <f>"Uqcrc2"</f>
        <v>Uqcrc2</v>
      </c>
      <c r="B22053" t="s">
        <v>14</v>
      </c>
      <c r="C22053" t="s">
        <v>33</v>
      </c>
      <c r="D22053" t="s">
        <v>17</v>
      </c>
      <c r="E22053" t="s">
        <v>12</v>
      </c>
      <c r="F22053">
        <v>120635200</v>
      </c>
      <c r="G22053">
        <v>120635251</v>
      </c>
      <c r="H22053">
        <v>120635200</v>
      </c>
      <c r="I22053">
        <v>120635251</v>
      </c>
    </row>
    <row r="22054" spans="1:9" x14ac:dyDescent="0.2">
      <c r="A22054" t="str">
        <f>"Uqcrfs1"</f>
        <v>Uqcrfs1</v>
      </c>
      <c r="B22054" t="s">
        <v>14</v>
      </c>
      <c r="C22054" t="s">
        <v>39</v>
      </c>
      <c r="D22054" t="s">
        <v>11</v>
      </c>
      <c r="E22054" t="s">
        <v>12</v>
      </c>
      <c r="F22054">
        <v>30545254</v>
      </c>
      <c r="G22054">
        <v>30545346</v>
      </c>
      <c r="H22054">
        <v>30545254</v>
      </c>
      <c r="I22054">
        <v>30545346</v>
      </c>
    </row>
    <row r="22055" spans="1:9" x14ac:dyDescent="0.2">
      <c r="A22055" t="str">
        <f>"Uqcrh"</f>
        <v>Uqcrh</v>
      </c>
      <c r="B22055" t="s">
        <v>14</v>
      </c>
      <c r="C22055" t="s">
        <v>23</v>
      </c>
      <c r="D22055" t="s">
        <v>11</v>
      </c>
      <c r="E22055" t="s">
        <v>12</v>
      </c>
      <c r="F22055">
        <v>116075022</v>
      </c>
      <c r="G22055">
        <v>116075049</v>
      </c>
      <c r="H22055">
        <v>116075000</v>
      </c>
      <c r="I22055">
        <v>116075017</v>
      </c>
    </row>
    <row r="22056" spans="1:9" x14ac:dyDescent="0.2">
      <c r="A22056" t="str">
        <f>"Uqcrq"</f>
        <v>Uqcrq</v>
      </c>
      <c r="B22056" t="s">
        <v>14</v>
      </c>
      <c r="C22056" t="s">
        <v>27</v>
      </c>
      <c r="D22056" t="s">
        <v>11</v>
      </c>
      <c r="E22056" t="s">
        <v>12</v>
      </c>
      <c r="F22056">
        <v>53430779</v>
      </c>
      <c r="G22056">
        <v>53430838</v>
      </c>
      <c r="H22056">
        <v>53430750</v>
      </c>
      <c r="I22056">
        <v>53430761</v>
      </c>
    </row>
    <row r="22057" spans="1:9" x14ac:dyDescent="0.2">
      <c r="A22057" t="str">
        <f>"Urad"</f>
        <v>Urad</v>
      </c>
      <c r="B22057" t="s">
        <v>14</v>
      </c>
      <c r="C22057" t="s">
        <v>46</v>
      </c>
      <c r="D22057" t="s">
        <v>11</v>
      </c>
      <c r="E22057" t="s">
        <v>67</v>
      </c>
      <c r="F22057">
        <v>147322387</v>
      </c>
      <c r="G22057">
        <v>147322410</v>
      </c>
      <c r="H22057">
        <v>147322339</v>
      </c>
      <c r="I22057">
        <v>147322362</v>
      </c>
    </row>
    <row r="22058" spans="1:9" x14ac:dyDescent="0.2">
      <c r="A22058" t="str">
        <f>"Urah"</f>
        <v>Urah</v>
      </c>
      <c r="B22058" t="s">
        <v>5977</v>
      </c>
      <c r="C22058" t="s">
        <v>33</v>
      </c>
      <c r="D22058" t="s">
        <v>17</v>
      </c>
      <c r="E22058" t="s">
        <v>35</v>
      </c>
      <c r="F22058">
        <v>140834925</v>
      </c>
      <c r="G22058">
        <v>140834940</v>
      </c>
      <c r="H22058">
        <v>140835204</v>
      </c>
      <c r="I22058">
        <v>140835241</v>
      </c>
    </row>
    <row r="22059" spans="1:9" x14ac:dyDescent="0.2">
      <c r="A22059" t="str">
        <f>"Urb1"</f>
        <v>Urb1</v>
      </c>
      <c r="B22059" t="s">
        <v>14</v>
      </c>
      <c r="C22059" t="s">
        <v>31</v>
      </c>
      <c r="D22059" t="s">
        <v>11</v>
      </c>
      <c r="E22059" t="s">
        <v>12</v>
      </c>
      <c r="F22059">
        <v>90810365</v>
      </c>
      <c r="G22059">
        <v>90810429</v>
      </c>
      <c r="H22059">
        <v>90810463</v>
      </c>
      <c r="I22059">
        <v>90810500</v>
      </c>
    </row>
    <row r="22060" spans="1:9" x14ac:dyDescent="0.2">
      <c r="A22060" t="str">
        <f>"Urb2"</f>
        <v>Urb2</v>
      </c>
      <c r="B22060" t="s">
        <v>14</v>
      </c>
      <c r="C22060" t="s">
        <v>30</v>
      </c>
      <c r="D22060" t="s">
        <v>17</v>
      </c>
      <c r="E22060" t="s">
        <v>12</v>
      </c>
      <c r="F22060">
        <v>124021452</v>
      </c>
      <c r="G22060">
        <v>124021515</v>
      </c>
      <c r="H22060">
        <v>124021155</v>
      </c>
      <c r="I22060">
        <v>124021201</v>
      </c>
    </row>
    <row r="22061" spans="1:9" x14ac:dyDescent="0.2">
      <c r="A22061" t="str">
        <f>"Urgcp"</f>
        <v>Urgcp</v>
      </c>
      <c r="B22061" t="s">
        <v>9</v>
      </c>
      <c r="C22061" t="s">
        <v>27</v>
      </c>
      <c r="D22061" t="s">
        <v>11</v>
      </c>
      <c r="E22061" t="s">
        <v>12</v>
      </c>
      <c r="F22061">
        <v>5762358</v>
      </c>
      <c r="G22061">
        <v>5762404</v>
      </c>
      <c r="H22061">
        <v>5762358</v>
      </c>
      <c r="I22061">
        <v>5762404</v>
      </c>
    </row>
    <row r="22062" spans="1:9" x14ac:dyDescent="0.2">
      <c r="A22062" t="str">
        <f>"Urgcp"</f>
        <v>Urgcp</v>
      </c>
      <c r="B22062" t="s">
        <v>13</v>
      </c>
      <c r="C22062" t="s">
        <v>27</v>
      </c>
      <c r="D22062" t="s">
        <v>11</v>
      </c>
      <c r="E22062" t="s">
        <v>12</v>
      </c>
      <c r="F22062">
        <v>5741141</v>
      </c>
      <c r="G22062">
        <v>5741182</v>
      </c>
      <c r="H22062">
        <v>5741141</v>
      </c>
      <c r="I22062">
        <v>5741182</v>
      </c>
    </row>
    <row r="22063" spans="1:9" x14ac:dyDescent="0.2">
      <c r="A22063" t="str">
        <f>"Uri1"</f>
        <v>Uri1</v>
      </c>
      <c r="B22063" t="s">
        <v>14</v>
      </c>
      <c r="C22063" t="s">
        <v>33</v>
      </c>
      <c r="D22063" t="s">
        <v>11</v>
      </c>
      <c r="E22063" t="s">
        <v>67</v>
      </c>
      <c r="F22063">
        <v>38019505</v>
      </c>
      <c r="G22063">
        <v>38019552</v>
      </c>
      <c r="H22063">
        <v>38019490</v>
      </c>
      <c r="I22063">
        <v>38019504</v>
      </c>
    </row>
    <row r="22064" spans="1:9" x14ac:dyDescent="0.2">
      <c r="A22064" t="str">
        <f>"Urm1"</f>
        <v>Urm1</v>
      </c>
      <c r="B22064" t="s">
        <v>9</v>
      </c>
      <c r="C22064" t="s">
        <v>26</v>
      </c>
      <c r="D22064" t="s">
        <v>17</v>
      </c>
      <c r="E22064" t="s">
        <v>12</v>
      </c>
      <c r="F22064">
        <v>29827368</v>
      </c>
      <c r="G22064">
        <v>29827403</v>
      </c>
      <c r="H22064">
        <v>29827368</v>
      </c>
      <c r="I22064">
        <v>29827403</v>
      </c>
    </row>
    <row r="22065" spans="1:9" x14ac:dyDescent="0.2">
      <c r="A22065" t="str">
        <f>"Urm1"</f>
        <v>Urm1</v>
      </c>
      <c r="B22065" t="s">
        <v>13</v>
      </c>
      <c r="C22065" t="s">
        <v>26</v>
      </c>
      <c r="D22065" t="s">
        <v>17</v>
      </c>
      <c r="E22065" t="s">
        <v>12</v>
      </c>
      <c r="F22065">
        <v>29820080</v>
      </c>
      <c r="G22065">
        <v>29820103</v>
      </c>
      <c r="H22065">
        <v>29820080</v>
      </c>
      <c r="I22065">
        <v>29820103</v>
      </c>
    </row>
    <row r="22066" spans="1:9" x14ac:dyDescent="0.2">
      <c r="A22066" t="str">
        <f>"Uroc1"</f>
        <v>Uroc1</v>
      </c>
      <c r="B22066" t="s">
        <v>14</v>
      </c>
      <c r="C22066" t="s">
        <v>32</v>
      </c>
      <c r="D22066" t="s">
        <v>17</v>
      </c>
      <c r="E22066" t="s">
        <v>12</v>
      </c>
      <c r="F22066">
        <v>90333270</v>
      </c>
      <c r="G22066">
        <v>90333306</v>
      </c>
      <c r="H22066">
        <v>90333270</v>
      </c>
      <c r="I22066">
        <v>90333306</v>
      </c>
    </row>
    <row r="22067" spans="1:9" x14ac:dyDescent="0.2">
      <c r="A22067" t="str">
        <f>"Urod"</f>
        <v>Urod</v>
      </c>
      <c r="B22067" t="s">
        <v>14</v>
      </c>
      <c r="C22067" t="s">
        <v>23</v>
      </c>
      <c r="D22067" t="s">
        <v>11</v>
      </c>
      <c r="E22067" t="s">
        <v>12</v>
      </c>
      <c r="F22067">
        <v>116994354</v>
      </c>
      <c r="G22067">
        <v>116994372</v>
      </c>
      <c r="H22067">
        <v>116994374</v>
      </c>
      <c r="I22067">
        <v>116994385</v>
      </c>
    </row>
    <row r="22068" spans="1:9" x14ac:dyDescent="0.2">
      <c r="A22068" t="str">
        <f>"Uros"</f>
        <v>Uros</v>
      </c>
      <c r="B22068" t="s">
        <v>9</v>
      </c>
      <c r="C22068" t="s">
        <v>33</v>
      </c>
      <c r="D22068" t="s">
        <v>11</v>
      </c>
      <c r="E22068" t="s">
        <v>12</v>
      </c>
      <c r="F22068">
        <v>133709051</v>
      </c>
      <c r="G22068">
        <v>133709067</v>
      </c>
      <c r="H22068">
        <v>133709051</v>
      </c>
      <c r="I22068">
        <v>133709067</v>
      </c>
    </row>
    <row r="22069" spans="1:9" x14ac:dyDescent="0.2">
      <c r="A22069" t="str">
        <f>"Uros"</f>
        <v>Uros</v>
      </c>
      <c r="B22069" t="s">
        <v>13</v>
      </c>
      <c r="C22069" t="s">
        <v>33</v>
      </c>
      <c r="D22069" t="s">
        <v>11</v>
      </c>
      <c r="E22069" t="s">
        <v>12</v>
      </c>
      <c r="F22069">
        <v>133702487</v>
      </c>
      <c r="G22069">
        <v>133702509</v>
      </c>
      <c r="H22069">
        <v>133702487</v>
      </c>
      <c r="I22069">
        <v>133702509</v>
      </c>
    </row>
    <row r="22070" spans="1:9" x14ac:dyDescent="0.2">
      <c r="A22070" t="str">
        <f>"Usb1"</f>
        <v>Usb1</v>
      </c>
      <c r="B22070" t="s">
        <v>14</v>
      </c>
      <c r="C22070" t="s">
        <v>30</v>
      </c>
      <c r="D22070" t="s">
        <v>17</v>
      </c>
      <c r="E22070" t="s">
        <v>67</v>
      </c>
      <c r="F22070">
        <v>95332279</v>
      </c>
      <c r="G22070">
        <v>95332342</v>
      </c>
      <c r="H22070">
        <v>95332279</v>
      </c>
      <c r="I22070">
        <v>95332342</v>
      </c>
    </row>
    <row r="22071" spans="1:9" x14ac:dyDescent="0.2">
      <c r="A22071" t="str">
        <f>"Use1"</f>
        <v>Use1</v>
      </c>
      <c r="B22071" t="s">
        <v>14</v>
      </c>
      <c r="C22071" t="s">
        <v>30</v>
      </c>
      <c r="D22071" t="s">
        <v>17</v>
      </c>
      <c r="E22071" t="s">
        <v>12</v>
      </c>
      <c r="F22071">
        <v>71367210</v>
      </c>
      <c r="G22071">
        <v>71367238</v>
      </c>
      <c r="H22071">
        <v>71367553</v>
      </c>
      <c r="I22071">
        <v>71367632</v>
      </c>
    </row>
    <row r="22072" spans="1:9" x14ac:dyDescent="0.2">
      <c r="A22072" t="str">
        <f>"Usf1"</f>
        <v>Usf1</v>
      </c>
      <c r="B22072" t="s">
        <v>14</v>
      </c>
      <c r="C22072" t="s">
        <v>19</v>
      </c>
      <c r="D22072" t="s">
        <v>17</v>
      </c>
      <c r="E22072" t="s">
        <v>12</v>
      </c>
      <c r="F22072">
        <v>171411305</v>
      </c>
      <c r="G22072">
        <v>171411337</v>
      </c>
      <c r="H22072">
        <v>171411343</v>
      </c>
      <c r="I22072">
        <v>171411382</v>
      </c>
    </row>
    <row r="22073" spans="1:9" x14ac:dyDescent="0.2">
      <c r="A22073" t="str">
        <f>"Usf2"</f>
        <v>Usf2</v>
      </c>
      <c r="B22073" t="s">
        <v>14</v>
      </c>
      <c r="C22073" t="s">
        <v>33</v>
      </c>
      <c r="D22073" t="s">
        <v>11</v>
      </c>
      <c r="E22073" t="s">
        <v>12</v>
      </c>
      <c r="F22073">
        <v>30956827</v>
      </c>
      <c r="G22073">
        <v>30956911</v>
      </c>
      <c r="H22073">
        <v>30956742</v>
      </c>
      <c r="I22073">
        <v>30956781</v>
      </c>
    </row>
    <row r="22074" spans="1:9" x14ac:dyDescent="0.2">
      <c r="A22074" t="str">
        <f>"Ush1c"</f>
        <v>Ush1c</v>
      </c>
      <c r="B22074" t="s">
        <v>14</v>
      </c>
      <c r="C22074" t="s">
        <v>33</v>
      </c>
      <c r="D22074" t="s">
        <v>11</v>
      </c>
      <c r="E22074" t="s">
        <v>12</v>
      </c>
      <c r="F22074">
        <v>46238516</v>
      </c>
      <c r="G22074">
        <v>46238538</v>
      </c>
      <c r="H22074">
        <v>46238497</v>
      </c>
      <c r="I22074">
        <v>46238513</v>
      </c>
    </row>
    <row r="22075" spans="1:9" x14ac:dyDescent="0.2">
      <c r="A22075" t="str">
        <f>"Ush1g"</f>
        <v>Ush1g</v>
      </c>
      <c r="B22075" t="s">
        <v>14</v>
      </c>
      <c r="C22075" t="s">
        <v>27</v>
      </c>
      <c r="D22075" t="s">
        <v>11</v>
      </c>
      <c r="E22075" t="s">
        <v>12</v>
      </c>
      <c r="F22075">
        <v>115322025</v>
      </c>
      <c r="G22075">
        <v>115322064</v>
      </c>
      <c r="H22075">
        <v>115322025</v>
      </c>
      <c r="I22075">
        <v>115322064</v>
      </c>
    </row>
    <row r="22076" spans="1:9" x14ac:dyDescent="0.2">
      <c r="A22076" t="str">
        <f>"Ush2a"</f>
        <v>Ush2a</v>
      </c>
      <c r="B22076" t="s">
        <v>14</v>
      </c>
      <c r="C22076" t="s">
        <v>19</v>
      </c>
      <c r="D22076" t="s">
        <v>17</v>
      </c>
      <c r="E22076" t="s">
        <v>12</v>
      </c>
      <c r="F22076">
        <v>188262017</v>
      </c>
      <c r="G22076">
        <v>188262028</v>
      </c>
      <c r="H22076">
        <v>188262017</v>
      </c>
      <c r="I22076">
        <v>188262028</v>
      </c>
    </row>
    <row r="22077" spans="1:9" x14ac:dyDescent="0.2">
      <c r="A22077" t="str">
        <f>"Ushbp1"</f>
        <v>Ushbp1</v>
      </c>
      <c r="B22077" t="s">
        <v>14</v>
      </c>
      <c r="C22077" t="s">
        <v>30</v>
      </c>
      <c r="D22077" t="s">
        <v>11</v>
      </c>
      <c r="E22077" t="s">
        <v>12</v>
      </c>
      <c r="F22077">
        <v>71395794</v>
      </c>
      <c r="G22077">
        <v>71395821</v>
      </c>
      <c r="H22077">
        <v>71395831</v>
      </c>
      <c r="I22077">
        <v>71395840</v>
      </c>
    </row>
    <row r="22078" spans="1:9" x14ac:dyDescent="0.2">
      <c r="A22078" t="str">
        <f>"Usmg5"</f>
        <v>Usmg5</v>
      </c>
      <c r="B22078" t="s">
        <v>14</v>
      </c>
      <c r="C22078" t="s">
        <v>10</v>
      </c>
      <c r="D22078" t="s">
        <v>11</v>
      </c>
      <c r="E22078" t="s">
        <v>12</v>
      </c>
      <c r="F22078">
        <v>47090610</v>
      </c>
      <c r="G22078">
        <v>47090655</v>
      </c>
      <c r="H22078">
        <v>47090678</v>
      </c>
      <c r="I22078">
        <v>47090683</v>
      </c>
    </row>
    <row r="22079" spans="1:9" x14ac:dyDescent="0.2">
      <c r="A22079" t="str">
        <f>"Uso1"</f>
        <v>Uso1</v>
      </c>
      <c r="B22079" t="s">
        <v>14</v>
      </c>
      <c r="C22079" t="s">
        <v>46</v>
      </c>
      <c r="D22079" t="s">
        <v>17</v>
      </c>
      <c r="E22079" t="s">
        <v>12</v>
      </c>
      <c r="F22079">
        <v>92137940</v>
      </c>
      <c r="G22079">
        <v>92137974</v>
      </c>
      <c r="H22079">
        <v>92137896</v>
      </c>
      <c r="I22079">
        <v>92137939</v>
      </c>
    </row>
    <row r="22080" spans="1:9" x14ac:dyDescent="0.2">
      <c r="A22080" t="str">
        <f>"Usp1"</f>
        <v>Usp1</v>
      </c>
      <c r="B22080" t="s">
        <v>14</v>
      </c>
      <c r="C22080" t="s">
        <v>23</v>
      </c>
      <c r="D22080" t="s">
        <v>17</v>
      </c>
      <c r="E22080" t="s">
        <v>12</v>
      </c>
      <c r="F22080">
        <v>98923908</v>
      </c>
      <c r="G22080">
        <v>98923976</v>
      </c>
      <c r="H22080">
        <v>98923845</v>
      </c>
      <c r="I22080">
        <v>98923893</v>
      </c>
    </row>
    <row r="22081" spans="1:9" x14ac:dyDescent="0.2">
      <c r="A22081" t="str">
        <f>"Usp10"</f>
        <v>Usp10</v>
      </c>
      <c r="B22081" t="s">
        <v>14</v>
      </c>
      <c r="C22081" t="s">
        <v>30</v>
      </c>
      <c r="D22081" t="s">
        <v>17</v>
      </c>
      <c r="E22081" t="s">
        <v>12</v>
      </c>
      <c r="F22081">
        <v>119910792</v>
      </c>
      <c r="G22081">
        <v>119910848</v>
      </c>
      <c r="H22081">
        <v>119910623</v>
      </c>
      <c r="I22081">
        <v>119910635</v>
      </c>
    </row>
    <row r="22082" spans="1:9" x14ac:dyDescent="0.2">
      <c r="A22082" t="str">
        <f>"Usp11"</f>
        <v>Usp11</v>
      </c>
      <c r="B22082" t="s">
        <v>14</v>
      </c>
      <c r="C22082" t="s">
        <v>37</v>
      </c>
      <c r="D22082" t="s">
        <v>17</v>
      </c>
      <c r="E22082" t="s">
        <v>12</v>
      </c>
      <c r="F22082">
        <v>20703922</v>
      </c>
      <c r="G22082">
        <v>20703951</v>
      </c>
      <c r="H22082">
        <v>20703908</v>
      </c>
      <c r="I22082">
        <v>20703909</v>
      </c>
    </row>
    <row r="22083" spans="1:9" x14ac:dyDescent="0.2">
      <c r="A22083" t="str">
        <f>"Usp12"</f>
        <v>Usp12</v>
      </c>
      <c r="B22083" t="s">
        <v>14</v>
      </c>
      <c r="C22083" t="s">
        <v>46</v>
      </c>
      <c r="D22083" t="s">
        <v>11</v>
      </c>
      <c r="E22083" t="s">
        <v>12</v>
      </c>
      <c r="F22083">
        <v>146794788</v>
      </c>
      <c r="G22083">
        <v>146794834</v>
      </c>
      <c r="H22083">
        <v>146794771</v>
      </c>
      <c r="I22083">
        <v>146794782</v>
      </c>
    </row>
    <row r="22084" spans="1:9" x14ac:dyDescent="0.2">
      <c r="A22084" t="str">
        <f>"Usp13"</f>
        <v>Usp13</v>
      </c>
      <c r="B22084" t="s">
        <v>14</v>
      </c>
      <c r="C22084" t="s">
        <v>22</v>
      </c>
      <c r="D22084" t="s">
        <v>17</v>
      </c>
      <c r="E22084" t="s">
        <v>12</v>
      </c>
      <c r="F22084">
        <v>32817606</v>
      </c>
      <c r="G22084">
        <v>32817637</v>
      </c>
      <c r="H22084">
        <v>32817642</v>
      </c>
      <c r="I22084">
        <v>32817661</v>
      </c>
    </row>
    <row r="22085" spans="1:9" x14ac:dyDescent="0.2">
      <c r="A22085" t="str">
        <f>"Usp14"</f>
        <v>Usp14</v>
      </c>
      <c r="B22085" t="s">
        <v>14</v>
      </c>
      <c r="C22085" t="s">
        <v>43</v>
      </c>
      <c r="D22085" t="s">
        <v>11</v>
      </c>
      <c r="E22085" t="s">
        <v>12</v>
      </c>
      <c r="F22085">
        <v>10030017</v>
      </c>
      <c r="G22085">
        <v>10030146</v>
      </c>
      <c r="H22085">
        <v>10029983</v>
      </c>
      <c r="I22085">
        <v>10029996</v>
      </c>
    </row>
    <row r="22086" spans="1:9" x14ac:dyDescent="0.2">
      <c r="A22086" t="str">
        <f>"Usp15"</f>
        <v>Usp15</v>
      </c>
      <c r="B22086" t="s">
        <v>14</v>
      </c>
      <c r="C22086" t="s">
        <v>15</v>
      </c>
      <c r="D22086" t="s">
        <v>11</v>
      </c>
      <c r="E22086" t="s">
        <v>12</v>
      </c>
      <c r="F22086">
        <v>123196916</v>
      </c>
      <c r="G22086">
        <v>123196961</v>
      </c>
      <c r="H22086">
        <v>123196976</v>
      </c>
      <c r="I22086">
        <v>123196987</v>
      </c>
    </row>
    <row r="22087" spans="1:9" x14ac:dyDescent="0.2">
      <c r="A22087" t="str">
        <f>"Usp16"</f>
        <v>Usp16</v>
      </c>
      <c r="B22087" t="s">
        <v>14</v>
      </c>
      <c r="C22087" t="s">
        <v>31</v>
      </c>
      <c r="D22087" t="s">
        <v>17</v>
      </c>
      <c r="E22087" t="s">
        <v>12</v>
      </c>
      <c r="F22087">
        <v>87454992</v>
      </c>
      <c r="G22087">
        <v>87455057</v>
      </c>
      <c r="H22087">
        <v>87454976</v>
      </c>
      <c r="I22087">
        <v>87454987</v>
      </c>
    </row>
    <row r="22088" spans="1:9" x14ac:dyDescent="0.2">
      <c r="A22088" t="str">
        <f>"Usp17la"</f>
        <v>Usp17la</v>
      </c>
      <c r="B22088" t="s">
        <v>5978</v>
      </c>
      <c r="C22088" t="s">
        <v>33</v>
      </c>
      <c r="D22088" t="s">
        <v>17</v>
      </c>
      <c r="E22088" t="s">
        <v>20</v>
      </c>
      <c r="F22088">
        <v>104857008</v>
      </c>
      <c r="G22088">
        <v>104857008</v>
      </c>
      <c r="H22088">
        <v>104857008</v>
      </c>
      <c r="I22088">
        <v>104857008</v>
      </c>
    </row>
    <row r="22089" spans="1:9" x14ac:dyDescent="0.2">
      <c r="A22089" t="str">
        <f>"Usp17lb"</f>
        <v>Usp17lb</v>
      </c>
      <c r="B22089" t="s">
        <v>5979</v>
      </c>
      <c r="C22089" t="s">
        <v>33</v>
      </c>
      <c r="D22089" t="s">
        <v>11</v>
      </c>
      <c r="E22089" t="s">
        <v>20</v>
      </c>
      <c r="F22089">
        <v>104842552</v>
      </c>
      <c r="G22089">
        <v>104842552</v>
      </c>
      <c r="H22089">
        <v>104842552</v>
      </c>
      <c r="I22089">
        <v>104842552</v>
      </c>
    </row>
    <row r="22090" spans="1:9" x14ac:dyDescent="0.2">
      <c r="A22090" t="str">
        <f>"Usp17lc"</f>
        <v>Usp17lc</v>
      </c>
      <c r="B22090" t="s">
        <v>5980</v>
      </c>
      <c r="C22090" t="s">
        <v>33</v>
      </c>
      <c r="D22090" t="s">
        <v>17</v>
      </c>
      <c r="E22090" t="s">
        <v>20</v>
      </c>
      <c r="F22090">
        <v>103416695</v>
      </c>
      <c r="G22090">
        <v>103416695</v>
      </c>
      <c r="H22090">
        <v>103416695</v>
      </c>
      <c r="I22090">
        <v>103416695</v>
      </c>
    </row>
    <row r="22091" spans="1:9" x14ac:dyDescent="0.2">
      <c r="A22091" t="str">
        <f>"Usp17lc"</f>
        <v>Usp17lc</v>
      </c>
      <c r="B22091" t="s">
        <v>5981</v>
      </c>
      <c r="C22091" t="s">
        <v>33</v>
      </c>
      <c r="D22091" t="s">
        <v>17</v>
      </c>
      <c r="E22091" t="s">
        <v>20</v>
      </c>
      <c r="F22091">
        <v>103415071</v>
      </c>
      <c r="G22091">
        <v>103415071</v>
      </c>
      <c r="H22091">
        <v>103415071</v>
      </c>
      <c r="I22091">
        <v>103415071</v>
      </c>
    </row>
    <row r="22092" spans="1:9" x14ac:dyDescent="0.2">
      <c r="A22092" t="str">
        <f>"Usp17ld"</f>
        <v>Usp17ld</v>
      </c>
      <c r="B22092" t="s">
        <v>5982</v>
      </c>
      <c r="C22092" t="s">
        <v>33</v>
      </c>
      <c r="D22092" t="s">
        <v>11</v>
      </c>
      <c r="E22092" t="s">
        <v>20</v>
      </c>
      <c r="F22092">
        <v>103252504</v>
      </c>
      <c r="G22092">
        <v>103252504</v>
      </c>
      <c r="H22092">
        <v>103252504</v>
      </c>
      <c r="I22092">
        <v>103252504</v>
      </c>
    </row>
    <row r="22093" spans="1:9" x14ac:dyDescent="0.2">
      <c r="A22093" t="str">
        <f>"Usp17le"</f>
        <v>Usp17le</v>
      </c>
      <c r="B22093" t="s">
        <v>5983</v>
      </c>
      <c r="C22093" t="s">
        <v>33</v>
      </c>
      <c r="D22093" t="s">
        <v>11</v>
      </c>
      <c r="E22093" t="s">
        <v>20</v>
      </c>
      <c r="F22093">
        <v>104777469</v>
      </c>
      <c r="G22093">
        <v>104777469</v>
      </c>
      <c r="H22093">
        <v>104777469</v>
      </c>
      <c r="I22093">
        <v>104777469</v>
      </c>
    </row>
    <row r="22094" spans="1:9" x14ac:dyDescent="0.2">
      <c r="A22094" t="str">
        <f>"Usp18"</f>
        <v>Usp18</v>
      </c>
      <c r="B22094" t="s">
        <v>14</v>
      </c>
      <c r="C22094" t="s">
        <v>32</v>
      </c>
      <c r="D22094" t="s">
        <v>17</v>
      </c>
      <c r="E22094" t="s">
        <v>12</v>
      </c>
      <c r="F22094">
        <v>121245929</v>
      </c>
      <c r="G22094">
        <v>121245946</v>
      </c>
      <c r="H22094">
        <v>121245903</v>
      </c>
      <c r="I22094">
        <v>121245908</v>
      </c>
    </row>
    <row r="22095" spans="1:9" x14ac:dyDescent="0.2">
      <c r="A22095" t="str">
        <f>"Usp19"</f>
        <v>Usp19</v>
      </c>
      <c r="B22095" t="s">
        <v>14</v>
      </c>
      <c r="C22095" t="s">
        <v>24</v>
      </c>
      <c r="D22095" t="s">
        <v>17</v>
      </c>
      <c r="E22095" t="s">
        <v>12</v>
      </c>
      <c r="F22095">
        <v>108490834</v>
      </c>
      <c r="G22095">
        <v>108490874</v>
      </c>
      <c r="H22095">
        <v>108490695</v>
      </c>
      <c r="I22095">
        <v>108490764</v>
      </c>
    </row>
    <row r="22096" spans="1:9" x14ac:dyDescent="0.2">
      <c r="A22096" t="str">
        <f>"Usp2"</f>
        <v>Usp2</v>
      </c>
      <c r="B22096" t="s">
        <v>9</v>
      </c>
      <c r="C22096" t="s">
        <v>24</v>
      </c>
      <c r="D22096" t="s">
        <v>17</v>
      </c>
      <c r="E22096" t="s">
        <v>12</v>
      </c>
      <c r="F22096">
        <v>44084944</v>
      </c>
      <c r="G22096">
        <v>44084957</v>
      </c>
      <c r="H22096">
        <v>44084944</v>
      </c>
      <c r="I22096">
        <v>44084957</v>
      </c>
    </row>
    <row r="22097" spans="1:9" x14ac:dyDescent="0.2">
      <c r="A22097" t="str">
        <f>"Usp2"</f>
        <v>Usp2</v>
      </c>
      <c r="B22097" t="s">
        <v>13</v>
      </c>
      <c r="C22097" t="s">
        <v>24</v>
      </c>
      <c r="D22097" t="s">
        <v>17</v>
      </c>
      <c r="E22097" t="s">
        <v>12</v>
      </c>
      <c r="F22097">
        <v>44067072</v>
      </c>
      <c r="G22097">
        <v>44067134</v>
      </c>
      <c r="H22097">
        <v>44067072</v>
      </c>
      <c r="I22097">
        <v>44067134</v>
      </c>
    </row>
    <row r="22098" spans="1:9" x14ac:dyDescent="0.2">
      <c r="A22098" t="str">
        <f>"Usp20"</f>
        <v>Usp20</v>
      </c>
      <c r="B22098" t="s">
        <v>14</v>
      </c>
      <c r="C22098" t="s">
        <v>26</v>
      </c>
      <c r="D22098" t="s">
        <v>17</v>
      </c>
      <c r="E22098" t="s">
        <v>12</v>
      </c>
      <c r="F22098">
        <v>30982350</v>
      </c>
      <c r="G22098">
        <v>30982376</v>
      </c>
      <c r="H22098">
        <v>30982328</v>
      </c>
      <c r="I22098">
        <v>30982348</v>
      </c>
    </row>
    <row r="22099" spans="1:9" x14ac:dyDescent="0.2">
      <c r="A22099" t="str">
        <f>"Usp21"</f>
        <v>Usp21</v>
      </c>
      <c r="B22099" t="s">
        <v>14</v>
      </c>
      <c r="C22099" t="s">
        <v>19</v>
      </c>
      <c r="D22099" t="s">
        <v>11</v>
      </c>
      <c r="E22099" t="s">
        <v>12</v>
      </c>
      <c r="F22099">
        <v>171287931</v>
      </c>
      <c r="G22099">
        <v>171287976</v>
      </c>
      <c r="H22099">
        <v>171287916</v>
      </c>
      <c r="I22099">
        <v>171287929</v>
      </c>
    </row>
    <row r="22100" spans="1:9" x14ac:dyDescent="0.2">
      <c r="A22100" t="str">
        <f>"Usp22"</f>
        <v>Usp22</v>
      </c>
      <c r="B22100" t="s">
        <v>14</v>
      </c>
      <c r="C22100" t="s">
        <v>27</v>
      </c>
      <c r="D22100" t="s">
        <v>11</v>
      </c>
      <c r="E22100" t="s">
        <v>12</v>
      </c>
      <c r="F22100">
        <v>61175020</v>
      </c>
      <c r="G22100">
        <v>61175060</v>
      </c>
      <c r="H22100">
        <v>61174981</v>
      </c>
      <c r="I22100">
        <v>61175010</v>
      </c>
    </row>
    <row r="22101" spans="1:9" x14ac:dyDescent="0.2">
      <c r="A22101" t="str">
        <f>"Usp24"</f>
        <v>Usp24</v>
      </c>
      <c r="B22101" t="s">
        <v>14</v>
      </c>
      <c r="C22101" t="s">
        <v>23</v>
      </c>
      <c r="D22101" t="s">
        <v>17</v>
      </c>
      <c r="E22101" t="s">
        <v>12</v>
      </c>
      <c r="F22101">
        <v>106316187</v>
      </c>
      <c r="G22101">
        <v>106316243</v>
      </c>
      <c r="H22101">
        <v>106315996</v>
      </c>
      <c r="I22101">
        <v>106316046</v>
      </c>
    </row>
    <row r="22102" spans="1:9" x14ac:dyDescent="0.2">
      <c r="A22102" t="str">
        <f>"Usp25"</f>
        <v>Usp25</v>
      </c>
      <c r="B22102" t="s">
        <v>14</v>
      </c>
      <c r="C22102" t="s">
        <v>31</v>
      </c>
      <c r="D22102" t="s">
        <v>17</v>
      </c>
      <c r="E22102" t="s">
        <v>12</v>
      </c>
      <c r="F22102">
        <v>77013700</v>
      </c>
      <c r="G22102">
        <v>77013775</v>
      </c>
      <c r="H22102">
        <v>77013777</v>
      </c>
      <c r="I22102">
        <v>77013788</v>
      </c>
    </row>
    <row r="22103" spans="1:9" x14ac:dyDescent="0.2">
      <c r="A22103" t="str">
        <f>"Usp26"</f>
        <v>Usp26</v>
      </c>
      <c r="B22103" t="s">
        <v>14</v>
      </c>
      <c r="C22103" t="s">
        <v>37</v>
      </c>
      <c r="D22103" t="s">
        <v>11</v>
      </c>
      <c r="E22103" t="s">
        <v>12</v>
      </c>
      <c r="F22103">
        <v>51801078</v>
      </c>
      <c r="G22103">
        <v>51801083</v>
      </c>
      <c r="H22103">
        <v>51801078</v>
      </c>
      <c r="I22103">
        <v>51801083</v>
      </c>
    </row>
    <row r="22104" spans="1:9" x14ac:dyDescent="0.2">
      <c r="A22104" t="str">
        <f>"Usp27x"</f>
        <v>Usp27x</v>
      </c>
      <c r="B22104" t="s">
        <v>14</v>
      </c>
      <c r="C22104" t="s">
        <v>37</v>
      </c>
      <c r="D22104" t="s">
        <v>11</v>
      </c>
      <c r="E22104" t="s">
        <v>12</v>
      </c>
      <c r="F22104">
        <v>7375816</v>
      </c>
      <c r="G22104">
        <v>7375853</v>
      </c>
      <c r="H22104">
        <v>7375816</v>
      </c>
      <c r="I22104">
        <v>7375853</v>
      </c>
    </row>
    <row r="22105" spans="1:9" x14ac:dyDescent="0.2">
      <c r="A22105" t="str">
        <f>"Usp28"</f>
        <v>Usp28</v>
      </c>
      <c r="B22105" t="s">
        <v>14</v>
      </c>
      <c r="C22105" t="s">
        <v>24</v>
      </c>
      <c r="D22105" t="s">
        <v>17</v>
      </c>
      <c r="E22105" t="s">
        <v>12</v>
      </c>
      <c r="F22105">
        <v>48985358</v>
      </c>
      <c r="G22105">
        <v>48985451</v>
      </c>
      <c r="H22105">
        <v>48985467</v>
      </c>
      <c r="I22105">
        <v>48985478</v>
      </c>
    </row>
    <row r="22106" spans="1:9" x14ac:dyDescent="0.2">
      <c r="A22106" t="str">
        <f>"Usp29"</f>
        <v>Usp29</v>
      </c>
      <c r="B22106" t="s">
        <v>5984</v>
      </c>
      <c r="C22106" t="s">
        <v>33</v>
      </c>
      <c r="D22106" t="s">
        <v>17</v>
      </c>
      <c r="E22106" t="s">
        <v>20</v>
      </c>
      <c r="F22106">
        <v>6961159</v>
      </c>
      <c r="G22106">
        <v>6961159</v>
      </c>
      <c r="H22106">
        <v>6961159</v>
      </c>
      <c r="I22106">
        <v>6961159</v>
      </c>
    </row>
    <row r="22107" spans="1:9" x14ac:dyDescent="0.2">
      <c r="A22107" t="str">
        <f>"Usp3"</f>
        <v>Usp3</v>
      </c>
      <c r="B22107" t="s">
        <v>14</v>
      </c>
      <c r="C22107" t="s">
        <v>24</v>
      </c>
      <c r="D22107" t="s">
        <v>11</v>
      </c>
      <c r="E22107" t="s">
        <v>12</v>
      </c>
      <c r="F22107">
        <v>66592993</v>
      </c>
      <c r="G22107">
        <v>66593024</v>
      </c>
      <c r="H22107">
        <v>66592945</v>
      </c>
      <c r="I22107">
        <v>66592969</v>
      </c>
    </row>
    <row r="22108" spans="1:9" x14ac:dyDescent="0.2">
      <c r="A22108" t="str">
        <f>"Usp30"</f>
        <v>Usp30</v>
      </c>
      <c r="B22108" t="s">
        <v>14</v>
      </c>
      <c r="C22108" t="s">
        <v>46</v>
      </c>
      <c r="D22108" t="s">
        <v>17</v>
      </c>
      <c r="E22108" t="s">
        <v>12</v>
      </c>
      <c r="F22108">
        <v>114100308</v>
      </c>
      <c r="G22108">
        <v>114100369</v>
      </c>
      <c r="H22108">
        <v>114100278</v>
      </c>
      <c r="I22108">
        <v>114100298</v>
      </c>
    </row>
    <row r="22109" spans="1:9" x14ac:dyDescent="0.2">
      <c r="A22109" t="str">
        <f>"Usp31"</f>
        <v>Usp31</v>
      </c>
      <c r="B22109" t="s">
        <v>14</v>
      </c>
      <c r="C22109" t="s">
        <v>33</v>
      </c>
      <c r="D22109" t="s">
        <v>11</v>
      </c>
      <c r="E22109" t="s">
        <v>12</v>
      </c>
      <c r="F22109">
        <v>121707384</v>
      </c>
      <c r="G22109">
        <v>121707460</v>
      </c>
      <c r="H22109">
        <v>121707463</v>
      </c>
      <c r="I22109">
        <v>121707472</v>
      </c>
    </row>
    <row r="22110" spans="1:9" x14ac:dyDescent="0.2">
      <c r="A22110" t="str">
        <f>"Usp32"</f>
        <v>Usp32</v>
      </c>
      <c r="B22110" t="s">
        <v>14</v>
      </c>
      <c r="C22110" t="s">
        <v>27</v>
      </c>
      <c r="D22110" t="s">
        <v>11</v>
      </c>
      <c r="E22110" t="s">
        <v>12</v>
      </c>
      <c r="F22110">
        <v>85139939</v>
      </c>
      <c r="G22110">
        <v>85139971</v>
      </c>
      <c r="H22110">
        <v>85139899</v>
      </c>
      <c r="I22110">
        <v>85139922</v>
      </c>
    </row>
    <row r="22111" spans="1:9" x14ac:dyDescent="0.2">
      <c r="A22111" t="str">
        <f>"Usp33"</f>
        <v>Usp33</v>
      </c>
      <c r="B22111" t="s">
        <v>14</v>
      </c>
      <c r="C22111" t="s">
        <v>22</v>
      </c>
      <c r="D22111" t="s">
        <v>17</v>
      </c>
      <c r="E22111" t="s">
        <v>12</v>
      </c>
      <c r="F22111">
        <v>152346465</v>
      </c>
      <c r="G22111">
        <v>152346531</v>
      </c>
      <c r="H22111">
        <v>152346465</v>
      </c>
      <c r="I22111">
        <v>152346531</v>
      </c>
    </row>
    <row r="22112" spans="1:9" x14ac:dyDescent="0.2">
      <c r="A22112" t="str">
        <f>"Usp34"</f>
        <v>Usp34</v>
      </c>
      <c r="B22112" t="s">
        <v>14</v>
      </c>
      <c r="C22112" t="s">
        <v>27</v>
      </c>
      <c r="D22112" t="s">
        <v>17</v>
      </c>
      <c r="E22112" t="s">
        <v>12</v>
      </c>
      <c r="F22112">
        <v>23306499</v>
      </c>
      <c r="G22112">
        <v>23306602</v>
      </c>
      <c r="H22112">
        <v>23306499</v>
      </c>
      <c r="I22112">
        <v>23306602</v>
      </c>
    </row>
    <row r="22113" spans="1:9" x14ac:dyDescent="0.2">
      <c r="A22113" t="str">
        <f>"Usp35"</f>
        <v>Usp35</v>
      </c>
      <c r="B22113" t="s">
        <v>14</v>
      </c>
      <c r="C22113" t="s">
        <v>33</v>
      </c>
      <c r="D22113" t="s">
        <v>11</v>
      </c>
      <c r="E22113" t="s">
        <v>67</v>
      </c>
      <c r="F22113">
        <v>97332017</v>
      </c>
      <c r="G22113">
        <v>97332095</v>
      </c>
      <c r="H22113">
        <v>97332124</v>
      </c>
      <c r="I22113">
        <v>97332142</v>
      </c>
    </row>
    <row r="22114" spans="1:9" x14ac:dyDescent="0.2">
      <c r="A22114" t="str">
        <f>"Usp36"</f>
        <v>Usp36</v>
      </c>
      <c r="B22114" t="s">
        <v>14</v>
      </c>
      <c r="C22114" t="s">
        <v>27</v>
      </c>
      <c r="D22114" t="s">
        <v>11</v>
      </c>
      <c r="E22114" t="s">
        <v>12</v>
      </c>
      <c r="F22114">
        <v>118290070</v>
      </c>
      <c r="G22114">
        <v>118290166</v>
      </c>
      <c r="H22114">
        <v>118290188</v>
      </c>
      <c r="I22114">
        <v>118290200</v>
      </c>
    </row>
    <row r="22115" spans="1:9" x14ac:dyDescent="0.2">
      <c r="A22115" t="str">
        <f>"Usp37"</f>
        <v>Usp37</v>
      </c>
      <c r="B22115" t="s">
        <v>5985</v>
      </c>
      <c r="C22115" t="s">
        <v>19</v>
      </c>
      <c r="D22115" t="s">
        <v>11</v>
      </c>
      <c r="E22115" t="s">
        <v>20</v>
      </c>
      <c r="F22115">
        <v>74544285</v>
      </c>
      <c r="G22115">
        <v>74544285</v>
      </c>
      <c r="H22115">
        <v>74544285</v>
      </c>
      <c r="I22115">
        <v>74544285</v>
      </c>
    </row>
    <row r="22116" spans="1:9" x14ac:dyDescent="0.2">
      <c r="A22116" t="str">
        <f>"Usp38"</f>
        <v>Usp38</v>
      </c>
      <c r="B22116" t="s">
        <v>14</v>
      </c>
      <c r="C22116" t="s">
        <v>30</v>
      </c>
      <c r="D22116" t="s">
        <v>11</v>
      </c>
      <c r="E22116" t="s">
        <v>12</v>
      </c>
      <c r="F22116">
        <v>81014866</v>
      </c>
      <c r="G22116">
        <v>81014942</v>
      </c>
      <c r="H22116">
        <v>81014845</v>
      </c>
      <c r="I22116">
        <v>81014862</v>
      </c>
    </row>
    <row r="22117" spans="1:9" x14ac:dyDescent="0.2">
      <c r="A22117" t="str">
        <f>"Usp39"</f>
        <v>Usp39</v>
      </c>
      <c r="B22117" t="s">
        <v>9</v>
      </c>
      <c r="C22117" t="s">
        <v>32</v>
      </c>
      <c r="D22117" t="s">
        <v>11</v>
      </c>
      <c r="E22117" t="s">
        <v>12</v>
      </c>
      <c r="F22117">
        <v>72345144</v>
      </c>
      <c r="G22117">
        <v>72345206</v>
      </c>
      <c r="H22117">
        <v>72345144</v>
      </c>
      <c r="I22117">
        <v>72345206</v>
      </c>
    </row>
    <row r="22118" spans="1:9" x14ac:dyDescent="0.2">
      <c r="A22118" t="str">
        <f>"Usp39"</f>
        <v>Usp39</v>
      </c>
      <c r="B22118" t="s">
        <v>13</v>
      </c>
      <c r="C22118" t="s">
        <v>32</v>
      </c>
      <c r="D22118" t="s">
        <v>11</v>
      </c>
      <c r="E22118" t="s">
        <v>12</v>
      </c>
      <c r="F22118">
        <v>72333354</v>
      </c>
      <c r="G22118">
        <v>72333368</v>
      </c>
      <c r="H22118">
        <v>72333354</v>
      </c>
      <c r="I22118">
        <v>72333368</v>
      </c>
    </row>
    <row r="22119" spans="1:9" x14ac:dyDescent="0.2">
      <c r="A22119" t="str">
        <f>"Usp4"</f>
        <v>Usp4</v>
      </c>
      <c r="B22119" t="s">
        <v>14</v>
      </c>
      <c r="C22119" t="s">
        <v>24</v>
      </c>
      <c r="D22119" t="s">
        <v>17</v>
      </c>
      <c r="E22119" t="s">
        <v>12</v>
      </c>
      <c r="F22119">
        <v>108347827</v>
      </c>
      <c r="G22119">
        <v>108347926</v>
      </c>
      <c r="H22119">
        <v>108347827</v>
      </c>
      <c r="I22119">
        <v>108347926</v>
      </c>
    </row>
    <row r="22120" spans="1:9" x14ac:dyDescent="0.2">
      <c r="A22120" t="str">
        <f>"Usp40"</f>
        <v>Usp40</v>
      </c>
      <c r="B22120" t="s">
        <v>14</v>
      </c>
      <c r="C22120" t="s">
        <v>19</v>
      </c>
      <c r="D22120" t="s">
        <v>11</v>
      </c>
      <c r="E22120" t="s">
        <v>12</v>
      </c>
      <c r="F22120">
        <v>88008520</v>
      </c>
      <c r="G22120">
        <v>88008556</v>
      </c>
      <c r="H22120">
        <v>88008520</v>
      </c>
      <c r="I22120">
        <v>88008556</v>
      </c>
    </row>
    <row r="22121" spans="1:9" x14ac:dyDescent="0.2">
      <c r="A22121" t="str">
        <f>"Usp42"</f>
        <v>Usp42</v>
      </c>
      <c r="B22121" t="s">
        <v>14</v>
      </c>
      <c r="C22121" t="s">
        <v>46</v>
      </c>
      <c r="D22121" t="s">
        <v>11</v>
      </c>
      <c r="E22121" t="s">
        <v>12</v>
      </c>
      <c r="F22121">
        <v>143732215</v>
      </c>
      <c r="G22121">
        <v>143732272</v>
      </c>
      <c r="H22121">
        <v>143732273</v>
      </c>
      <c r="I22121">
        <v>143732316</v>
      </c>
    </row>
    <row r="22122" spans="1:9" x14ac:dyDescent="0.2">
      <c r="A22122" t="str">
        <f>"Usp43"</f>
        <v>Usp43</v>
      </c>
      <c r="B22122" t="s">
        <v>14</v>
      </c>
      <c r="C22122" t="s">
        <v>27</v>
      </c>
      <c r="D22122" t="s">
        <v>11</v>
      </c>
      <c r="E22122" t="s">
        <v>12</v>
      </c>
      <c r="F22122">
        <v>67922160</v>
      </c>
      <c r="G22122">
        <v>67922188</v>
      </c>
      <c r="H22122">
        <v>67922136</v>
      </c>
      <c r="I22122">
        <v>67922158</v>
      </c>
    </row>
    <row r="22123" spans="1:9" x14ac:dyDescent="0.2">
      <c r="A22123" t="str">
        <f>"Usp44"</f>
        <v>Usp44</v>
      </c>
      <c r="B22123" t="s">
        <v>5986</v>
      </c>
      <c r="C22123" t="s">
        <v>15</v>
      </c>
      <c r="D22123" t="s">
        <v>17</v>
      </c>
      <c r="E22123" t="s">
        <v>20</v>
      </c>
      <c r="F22123">
        <v>93831554</v>
      </c>
      <c r="G22123">
        <v>93831554</v>
      </c>
      <c r="H22123">
        <v>93831554</v>
      </c>
      <c r="I22123">
        <v>93831554</v>
      </c>
    </row>
    <row r="22124" spans="1:9" x14ac:dyDescent="0.2">
      <c r="A22124" t="str">
        <f>"Usp45"</f>
        <v>Usp45</v>
      </c>
      <c r="B22124" t="s">
        <v>14</v>
      </c>
      <c r="C22124" t="s">
        <v>23</v>
      </c>
      <c r="D22124" t="s">
        <v>17</v>
      </c>
      <c r="E22124" t="s">
        <v>12</v>
      </c>
      <c r="F22124">
        <v>21776261</v>
      </c>
      <c r="G22124">
        <v>21776297</v>
      </c>
      <c r="H22124">
        <v>21776261</v>
      </c>
      <c r="I22124">
        <v>21776297</v>
      </c>
    </row>
    <row r="22125" spans="1:9" x14ac:dyDescent="0.2">
      <c r="A22125" t="str">
        <f>"Usp46"</f>
        <v>Usp46</v>
      </c>
      <c r="B22125" t="s">
        <v>9</v>
      </c>
      <c r="C22125" t="s">
        <v>46</v>
      </c>
      <c r="D22125" t="s">
        <v>11</v>
      </c>
      <c r="E22125" t="s">
        <v>12</v>
      </c>
      <c r="F22125">
        <v>74068361</v>
      </c>
      <c r="G22125">
        <v>74068438</v>
      </c>
      <c r="H22125">
        <v>74068361</v>
      </c>
      <c r="I22125">
        <v>74068438</v>
      </c>
    </row>
    <row r="22126" spans="1:9" x14ac:dyDescent="0.2">
      <c r="A22126" t="str">
        <f>"Usp46"</f>
        <v>Usp46</v>
      </c>
      <c r="B22126" t="s">
        <v>13</v>
      </c>
      <c r="C22126" t="s">
        <v>46</v>
      </c>
      <c r="D22126" t="s">
        <v>11</v>
      </c>
      <c r="E22126" t="s">
        <v>12</v>
      </c>
      <c r="F22126">
        <v>74065736</v>
      </c>
      <c r="G22126">
        <v>74065758</v>
      </c>
      <c r="H22126">
        <v>74065736</v>
      </c>
      <c r="I22126">
        <v>74065758</v>
      </c>
    </row>
    <row r="22127" spans="1:9" x14ac:dyDescent="0.2">
      <c r="A22127" t="str">
        <f>"Usp47"</f>
        <v>Usp47</v>
      </c>
      <c r="B22127" t="s">
        <v>14</v>
      </c>
      <c r="C22127" t="s">
        <v>33</v>
      </c>
      <c r="D22127" t="s">
        <v>17</v>
      </c>
      <c r="E22127" t="s">
        <v>12</v>
      </c>
      <c r="F22127">
        <v>112023469</v>
      </c>
      <c r="G22127">
        <v>112023566</v>
      </c>
      <c r="H22127">
        <v>112023251</v>
      </c>
      <c r="I22127">
        <v>112023317</v>
      </c>
    </row>
    <row r="22128" spans="1:9" x14ac:dyDescent="0.2">
      <c r="A22128" t="str">
        <f>"Usp48"</f>
        <v>Usp48</v>
      </c>
      <c r="B22128" t="s">
        <v>14</v>
      </c>
      <c r="C22128" t="s">
        <v>23</v>
      </c>
      <c r="D22128" t="s">
        <v>17</v>
      </c>
      <c r="E22128" t="s">
        <v>12</v>
      </c>
      <c r="F22128">
        <v>137594149</v>
      </c>
      <c r="G22128">
        <v>137594274</v>
      </c>
      <c r="H22128">
        <v>137593761</v>
      </c>
      <c r="I22128">
        <v>137593784</v>
      </c>
    </row>
    <row r="22129" spans="1:9" x14ac:dyDescent="0.2">
      <c r="A22129" t="str">
        <f>"Usp49"</f>
        <v>Usp49</v>
      </c>
      <c r="B22129" t="s">
        <v>14</v>
      </c>
      <c r="C22129" t="s">
        <v>28</v>
      </c>
      <c r="D22129" t="s">
        <v>17</v>
      </c>
      <c r="E22129" t="s">
        <v>12</v>
      </c>
      <c r="F22129">
        <v>47611570</v>
      </c>
      <c r="G22129">
        <v>47611619</v>
      </c>
      <c r="H22129">
        <v>47611570</v>
      </c>
      <c r="I22129">
        <v>47611619</v>
      </c>
    </row>
    <row r="22130" spans="1:9" x14ac:dyDescent="0.2">
      <c r="A22130" t="str">
        <f>"Usp5"</f>
        <v>Usp5</v>
      </c>
      <c r="B22130" t="s">
        <v>14</v>
      </c>
      <c r="C22130" t="s">
        <v>32</v>
      </c>
      <c r="D22130" t="s">
        <v>11</v>
      </c>
      <c r="E22130" t="s">
        <v>12</v>
      </c>
      <c r="F22130">
        <v>124829398</v>
      </c>
      <c r="G22130">
        <v>124829452</v>
      </c>
      <c r="H22130">
        <v>124828886</v>
      </c>
      <c r="I22130">
        <v>124828922</v>
      </c>
    </row>
    <row r="22131" spans="1:9" x14ac:dyDescent="0.2">
      <c r="A22131" t="str">
        <f>"Usp50"</f>
        <v>Usp50</v>
      </c>
      <c r="B22131" t="s">
        <v>14</v>
      </c>
      <c r="C22131" t="s">
        <v>26</v>
      </c>
      <c r="D22131" t="s">
        <v>11</v>
      </c>
      <c r="E22131" t="s">
        <v>12</v>
      </c>
      <c r="F22131">
        <v>126783416</v>
      </c>
      <c r="G22131">
        <v>126783452</v>
      </c>
      <c r="H22131">
        <v>126783416</v>
      </c>
      <c r="I22131">
        <v>126783452</v>
      </c>
    </row>
    <row r="22132" spans="1:9" x14ac:dyDescent="0.2">
      <c r="A22132" t="str">
        <f>"Usp51"</f>
        <v>Usp51</v>
      </c>
      <c r="B22132" t="s">
        <v>14</v>
      </c>
      <c r="C22132" t="s">
        <v>37</v>
      </c>
      <c r="D22132" t="s">
        <v>17</v>
      </c>
      <c r="E22132" t="s">
        <v>12</v>
      </c>
      <c r="F22132">
        <v>153006461</v>
      </c>
      <c r="G22132">
        <v>153006504</v>
      </c>
      <c r="H22132">
        <v>153006461</v>
      </c>
      <c r="I22132">
        <v>153006504</v>
      </c>
    </row>
    <row r="22133" spans="1:9" x14ac:dyDescent="0.2">
      <c r="A22133" t="str">
        <f>"Usp53"</f>
        <v>Usp53</v>
      </c>
      <c r="B22133" t="s">
        <v>14</v>
      </c>
      <c r="C22133" t="s">
        <v>22</v>
      </c>
      <c r="D22133" t="s">
        <v>11</v>
      </c>
      <c r="E22133" t="s">
        <v>12</v>
      </c>
      <c r="F22133">
        <v>122984404</v>
      </c>
      <c r="G22133">
        <v>122984512</v>
      </c>
      <c r="H22133">
        <v>122984272</v>
      </c>
      <c r="I22133">
        <v>122984296</v>
      </c>
    </row>
    <row r="22134" spans="1:9" x14ac:dyDescent="0.2">
      <c r="A22134" t="str">
        <f>"Usp54"</f>
        <v>Usp54</v>
      </c>
      <c r="B22134" t="s">
        <v>14</v>
      </c>
      <c r="C22134" t="s">
        <v>41</v>
      </c>
      <c r="D22134" t="s">
        <v>11</v>
      </c>
      <c r="E22134" t="s">
        <v>12</v>
      </c>
      <c r="F22134">
        <v>20618339</v>
      </c>
      <c r="G22134">
        <v>20618365</v>
      </c>
      <c r="H22134">
        <v>20618313</v>
      </c>
      <c r="I22134">
        <v>20618334</v>
      </c>
    </row>
    <row r="22135" spans="1:9" x14ac:dyDescent="0.2">
      <c r="A22135" t="str">
        <f>"Usp6nl"</f>
        <v>Usp6nl</v>
      </c>
      <c r="B22135" t="s">
        <v>14</v>
      </c>
      <c r="C22135" t="s">
        <v>26</v>
      </c>
      <c r="D22135" t="s">
        <v>17</v>
      </c>
      <c r="E22135" t="s">
        <v>12</v>
      </c>
      <c r="F22135">
        <v>6322786</v>
      </c>
      <c r="G22135">
        <v>6322860</v>
      </c>
      <c r="H22135">
        <v>6322621</v>
      </c>
      <c r="I22135">
        <v>6322647</v>
      </c>
    </row>
    <row r="22136" spans="1:9" x14ac:dyDescent="0.2">
      <c r="A22136" t="str">
        <f>"Usp7"</f>
        <v>Usp7</v>
      </c>
      <c r="B22136" t="s">
        <v>9</v>
      </c>
      <c r="C22136" t="s">
        <v>31</v>
      </c>
      <c r="D22136" t="s">
        <v>11</v>
      </c>
      <c r="E22136" t="s">
        <v>12</v>
      </c>
      <c r="F22136">
        <v>8738899</v>
      </c>
      <c r="G22136">
        <v>8738952</v>
      </c>
      <c r="H22136">
        <v>8738899</v>
      </c>
      <c r="I22136">
        <v>8738952</v>
      </c>
    </row>
    <row r="22137" spans="1:9" x14ac:dyDescent="0.2">
      <c r="A22137" t="str">
        <f>"Usp7"</f>
        <v>Usp7</v>
      </c>
      <c r="B22137" t="s">
        <v>13</v>
      </c>
      <c r="C22137" t="s">
        <v>31</v>
      </c>
      <c r="D22137" t="s">
        <v>11</v>
      </c>
      <c r="E22137" t="s">
        <v>12</v>
      </c>
      <c r="F22137">
        <v>8721666</v>
      </c>
      <c r="G22137">
        <v>8721690</v>
      </c>
      <c r="H22137">
        <v>8721666</v>
      </c>
      <c r="I22137">
        <v>8721690</v>
      </c>
    </row>
    <row r="22138" spans="1:9" x14ac:dyDescent="0.2">
      <c r="A22138" t="str">
        <f>"Usp8"</f>
        <v>Usp8</v>
      </c>
      <c r="B22138" t="s">
        <v>14</v>
      </c>
      <c r="C22138" t="s">
        <v>26</v>
      </c>
      <c r="D22138" t="s">
        <v>17</v>
      </c>
      <c r="E22138" t="s">
        <v>12</v>
      </c>
      <c r="F22138">
        <v>126707319</v>
      </c>
      <c r="G22138">
        <v>126707411</v>
      </c>
      <c r="H22138">
        <v>126707183</v>
      </c>
      <c r="I22138">
        <v>126707235</v>
      </c>
    </row>
    <row r="22139" spans="1:9" x14ac:dyDescent="0.2">
      <c r="A22139" t="str">
        <f>"Usp9x"</f>
        <v>Usp9x</v>
      </c>
      <c r="B22139" t="s">
        <v>14</v>
      </c>
      <c r="C22139" t="s">
        <v>37</v>
      </c>
      <c r="D22139" t="s">
        <v>17</v>
      </c>
      <c r="E22139" t="s">
        <v>12</v>
      </c>
      <c r="F22139">
        <v>13071500</v>
      </c>
      <c r="G22139">
        <v>13071576</v>
      </c>
      <c r="H22139">
        <v>13071470</v>
      </c>
      <c r="I22139">
        <v>13071499</v>
      </c>
    </row>
    <row r="22140" spans="1:9" x14ac:dyDescent="0.2">
      <c r="A22140" t="str">
        <f>"Usp9y"</f>
        <v>Usp9y</v>
      </c>
      <c r="B22140" t="s">
        <v>14</v>
      </c>
      <c r="C22140" t="s">
        <v>63</v>
      </c>
      <c r="D22140" t="s">
        <v>11</v>
      </c>
      <c r="E22140" t="s">
        <v>12</v>
      </c>
      <c r="F22140">
        <v>1459771</v>
      </c>
      <c r="G22140">
        <v>1459782</v>
      </c>
      <c r="H22140">
        <v>1459771</v>
      </c>
      <c r="I22140">
        <v>1459782</v>
      </c>
    </row>
    <row r="22141" spans="1:9" x14ac:dyDescent="0.2">
      <c r="A22141" t="str">
        <f>"Uspl1"</f>
        <v>Uspl1</v>
      </c>
      <c r="B22141" t="s">
        <v>14</v>
      </c>
      <c r="C22141" t="s">
        <v>46</v>
      </c>
      <c r="D22141" t="s">
        <v>17</v>
      </c>
      <c r="E22141" t="s">
        <v>12</v>
      </c>
      <c r="F22141">
        <v>149184682</v>
      </c>
      <c r="G22141">
        <v>149184740</v>
      </c>
      <c r="H22141">
        <v>149184648</v>
      </c>
      <c r="I22141">
        <v>149184673</v>
      </c>
    </row>
    <row r="22142" spans="1:9" x14ac:dyDescent="0.2">
      <c r="A22142" t="str">
        <f>"Ust"</f>
        <v>Ust</v>
      </c>
      <c r="B22142" t="s">
        <v>14</v>
      </c>
      <c r="C22142" t="s">
        <v>15</v>
      </c>
      <c r="D22142" t="s">
        <v>11</v>
      </c>
      <c r="E22142" t="s">
        <v>12</v>
      </c>
      <c r="F22142">
        <v>8518801</v>
      </c>
      <c r="G22142">
        <v>8518851</v>
      </c>
      <c r="H22142">
        <v>8518782</v>
      </c>
      <c r="I22142">
        <v>8518800</v>
      </c>
    </row>
    <row r="22143" spans="1:9" x14ac:dyDescent="0.2">
      <c r="A22143" t="str">
        <f>"Utf1"</f>
        <v>Utf1</v>
      </c>
      <c r="B22143" t="s">
        <v>14</v>
      </c>
      <c r="C22143" t="s">
        <v>33</v>
      </c>
      <c r="D22143" t="s">
        <v>17</v>
      </c>
      <c r="E22143" t="s">
        <v>12</v>
      </c>
      <c r="F22143">
        <v>139943813</v>
      </c>
      <c r="G22143">
        <v>139943875</v>
      </c>
      <c r="H22143">
        <v>139943878</v>
      </c>
      <c r="I22143">
        <v>139943915</v>
      </c>
    </row>
    <row r="22144" spans="1:9" x14ac:dyDescent="0.2">
      <c r="A22144" t="str">
        <f>"Utp11l"</f>
        <v>Utp11l</v>
      </c>
      <c r="B22144" t="s">
        <v>14</v>
      </c>
      <c r="C22144" t="s">
        <v>23</v>
      </c>
      <c r="D22144" t="s">
        <v>11</v>
      </c>
      <c r="E22144" t="s">
        <v>12</v>
      </c>
      <c r="F22144">
        <v>124693568</v>
      </c>
      <c r="G22144">
        <v>124693606</v>
      </c>
      <c r="H22144">
        <v>124693547</v>
      </c>
      <c r="I22144">
        <v>124693565</v>
      </c>
    </row>
    <row r="22145" spans="1:9" x14ac:dyDescent="0.2">
      <c r="A22145" t="str">
        <f>"Utp14a"</f>
        <v>Utp14a</v>
      </c>
      <c r="B22145" t="s">
        <v>14</v>
      </c>
      <c r="C22145" t="s">
        <v>37</v>
      </c>
      <c r="D22145" t="s">
        <v>17</v>
      </c>
      <c r="E22145" t="s">
        <v>12</v>
      </c>
      <c r="F22145">
        <v>48256881</v>
      </c>
      <c r="G22145">
        <v>48256928</v>
      </c>
      <c r="H22145">
        <v>48256854</v>
      </c>
      <c r="I22145">
        <v>48256865</v>
      </c>
    </row>
    <row r="22146" spans="1:9" x14ac:dyDescent="0.2">
      <c r="A22146" t="str">
        <f>"Utp14b"</f>
        <v>Utp14b</v>
      </c>
      <c r="B22146" t="s">
        <v>14</v>
      </c>
      <c r="C22146" t="s">
        <v>19</v>
      </c>
      <c r="D22146" t="s">
        <v>17</v>
      </c>
      <c r="E22146" t="s">
        <v>12</v>
      </c>
      <c r="F22146">
        <v>78658388</v>
      </c>
      <c r="G22146">
        <v>78658430</v>
      </c>
      <c r="H22146">
        <v>78657729</v>
      </c>
      <c r="I22146">
        <v>78657731</v>
      </c>
    </row>
    <row r="22147" spans="1:9" x14ac:dyDescent="0.2">
      <c r="A22147" t="str">
        <f>"Utp15"</f>
        <v>Utp15</v>
      </c>
      <c r="B22147" t="s">
        <v>14</v>
      </c>
      <c r="C22147" t="s">
        <v>39</v>
      </c>
      <c r="D22147" t="s">
        <v>11</v>
      </c>
      <c r="E22147" t="s">
        <v>12</v>
      </c>
      <c r="F22147">
        <v>98262946</v>
      </c>
      <c r="G22147">
        <v>98263020</v>
      </c>
      <c r="H22147">
        <v>98263026</v>
      </c>
      <c r="I22147">
        <v>98263047</v>
      </c>
    </row>
    <row r="22148" spans="1:9" x14ac:dyDescent="0.2">
      <c r="A22148" t="str">
        <f>"Utp18"</f>
        <v>Utp18</v>
      </c>
      <c r="B22148" t="s">
        <v>14</v>
      </c>
      <c r="C22148" t="s">
        <v>27</v>
      </c>
      <c r="D22148" t="s">
        <v>11</v>
      </c>
      <c r="E22148" t="s">
        <v>12</v>
      </c>
      <c r="F22148">
        <v>93885660</v>
      </c>
      <c r="G22148">
        <v>93885719</v>
      </c>
      <c r="H22148">
        <v>93885724</v>
      </c>
      <c r="I22148">
        <v>93885741</v>
      </c>
    </row>
    <row r="22149" spans="1:9" x14ac:dyDescent="0.2">
      <c r="A22149" t="str">
        <f>"Utp20"</f>
        <v>Utp20</v>
      </c>
      <c r="B22149" t="s">
        <v>14</v>
      </c>
      <c r="C22149" t="s">
        <v>15</v>
      </c>
      <c r="D22149" t="s">
        <v>11</v>
      </c>
      <c r="E22149" t="s">
        <v>12</v>
      </c>
      <c r="F22149">
        <v>88826772</v>
      </c>
      <c r="G22149">
        <v>88826837</v>
      </c>
      <c r="H22149">
        <v>88826709</v>
      </c>
      <c r="I22149">
        <v>88826718</v>
      </c>
    </row>
    <row r="22150" spans="1:9" x14ac:dyDescent="0.2">
      <c r="A22150" t="str">
        <f>"Utp23"</f>
        <v>Utp23</v>
      </c>
      <c r="B22150" t="s">
        <v>14</v>
      </c>
      <c r="C22150" t="s">
        <v>25</v>
      </c>
      <c r="D22150" t="s">
        <v>17</v>
      </c>
      <c r="E22150" t="s">
        <v>12</v>
      </c>
      <c r="F22150">
        <v>51877439</v>
      </c>
      <c r="G22150">
        <v>51877506</v>
      </c>
      <c r="H22150">
        <v>51877509</v>
      </c>
      <c r="I22150">
        <v>51877520</v>
      </c>
    </row>
    <row r="22151" spans="1:9" x14ac:dyDescent="0.2">
      <c r="A22151" t="str">
        <f>"Utp3"</f>
        <v>Utp3</v>
      </c>
      <c r="B22151" t="s">
        <v>14</v>
      </c>
      <c r="C22151" t="s">
        <v>46</v>
      </c>
      <c r="D22151" t="s">
        <v>17</v>
      </c>
      <c r="E22151" t="s">
        <v>12</v>
      </c>
      <c r="F22151">
        <v>88554448</v>
      </c>
      <c r="G22151">
        <v>88554495</v>
      </c>
      <c r="H22151">
        <v>88554425</v>
      </c>
      <c r="I22151">
        <v>88554442</v>
      </c>
    </row>
    <row r="22152" spans="1:9" x14ac:dyDescent="0.2">
      <c r="A22152" t="str">
        <f>"Utp6"</f>
        <v>Utp6</v>
      </c>
      <c r="B22152" t="s">
        <v>14</v>
      </c>
      <c r="C22152" t="s">
        <v>27</v>
      </c>
      <c r="D22152" t="s">
        <v>11</v>
      </c>
      <c r="E22152" t="s">
        <v>12</v>
      </c>
      <c r="F22152">
        <v>79962374</v>
      </c>
      <c r="G22152">
        <v>79962398</v>
      </c>
      <c r="H22152">
        <v>79962348</v>
      </c>
      <c r="I22152">
        <v>79962373</v>
      </c>
    </row>
    <row r="22153" spans="1:9" x14ac:dyDescent="0.2">
      <c r="A22153" t="str">
        <f>"Utrn"</f>
        <v>Utrn</v>
      </c>
      <c r="B22153" t="s">
        <v>5987</v>
      </c>
      <c r="C22153" t="s">
        <v>15</v>
      </c>
      <c r="D22153" t="s">
        <v>11</v>
      </c>
      <c r="E22153" t="s">
        <v>20</v>
      </c>
      <c r="F22153">
        <v>12861734</v>
      </c>
      <c r="G22153">
        <v>12861734</v>
      </c>
      <c r="H22153">
        <v>12861734</v>
      </c>
      <c r="I22153">
        <v>12861734</v>
      </c>
    </row>
    <row r="22154" spans="1:9" x14ac:dyDescent="0.2">
      <c r="A22154" t="str">
        <f>"Uts2"</f>
        <v>Uts2</v>
      </c>
      <c r="B22154" t="s">
        <v>14</v>
      </c>
      <c r="C22154" t="s">
        <v>23</v>
      </c>
      <c r="D22154" t="s">
        <v>17</v>
      </c>
      <c r="E22154" t="s">
        <v>12</v>
      </c>
      <c r="F22154">
        <v>150997081</v>
      </c>
      <c r="G22154">
        <v>150997088</v>
      </c>
      <c r="H22154">
        <v>150997081</v>
      </c>
      <c r="I22154">
        <v>150997088</v>
      </c>
    </row>
    <row r="22155" spans="1:9" x14ac:dyDescent="0.2">
      <c r="A22155" t="str">
        <f>"Uts2b"</f>
        <v>Uts2b</v>
      </c>
      <c r="B22155" t="s">
        <v>14</v>
      </c>
      <c r="C22155" t="s">
        <v>31</v>
      </c>
      <c r="D22155" t="s">
        <v>11</v>
      </c>
      <c r="E22155" t="s">
        <v>67</v>
      </c>
      <c r="F22155">
        <v>27370214</v>
      </c>
      <c r="G22155">
        <v>27370217</v>
      </c>
      <c r="H22155">
        <v>27370214</v>
      </c>
      <c r="I22155">
        <v>27370217</v>
      </c>
    </row>
    <row r="22156" spans="1:9" x14ac:dyDescent="0.2">
      <c r="A22156" t="str">
        <f>"Uts2r"</f>
        <v>Uts2r</v>
      </c>
      <c r="B22156" t="s">
        <v>5988</v>
      </c>
      <c r="C22156" t="s">
        <v>27</v>
      </c>
      <c r="D22156" t="s">
        <v>17</v>
      </c>
      <c r="E22156" t="s">
        <v>20</v>
      </c>
      <c r="F22156">
        <v>121160270</v>
      </c>
      <c r="G22156">
        <v>121160270</v>
      </c>
      <c r="H22156">
        <v>121160270</v>
      </c>
      <c r="I22156">
        <v>121160270</v>
      </c>
    </row>
    <row r="22157" spans="1:9" x14ac:dyDescent="0.2">
      <c r="A22157" t="str">
        <f>"Uty"</f>
        <v>Uty</v>
      </c>
      <c r="B22157" t="s">
        <v>14</v>
      </c>
      <c r="C22157" t="s">
        <v>63</v>
      </c>
      <c r="D22157" t="s">
        <v>11</v>
      </c>
      <c r="E22157" t="s">
        <v>12</v>
      </c>
      <c r="F22157">
        <v>1245685</v>
      </c>
      <c r="G22157">
        <v>1245752</v>
      </c>
      <c r="H22157">
        <v>1245753</v>
      </c>
      <c r="I22157">
        <v>1245766</v>
      </c>
    </row>
    <row r="22158" spans="1:9" x14ac:dyDescent="0.2">
      <c r="A22158" t="str">
        <f>"Uvrag"</f>
        <v>Uvrag</v>
      </c>
      <c r="B22158" t="s">
        <v>14</v>
      </c>
      <c r="C22158" t="s">
        <v>33</v>
      </c>
      <c r="D22158" t="s">
        <v>11</v>
      </c>
      <c r="E22158" t="s">
        <v>12</v>
      </c>
      <c r="F22158">
        <v>99141068</v>
      </c>
      <c r="G22158">
        <v>99141149</v>
      </c>
      <c r="H22158">
        <v>99140950</v>
      </c>
      <c r="I22158">
        <v>99140990</v>
      </c>
    </row>
    <row r="22159" spans="1:9" x14ac:dyDescent="0.2">
      <c r="A22159" t="str">
        <f>"Uvssa"</f>
        <v>Uvssa</v>
      </c>
      <c r="B22159" t="s">
        <v>14</v>
      </c>
      <c r="C22159" t="s">
        <v>46</v>
      </c>
      <c r="D22159" t="s">
        <v>17</v>
      </c>
      <c r="E22159" t="s">
        <v>67</v>
      </c>
      <c r="F22159">
        <v>33378729</v>
      </c>
      <c r="G22159">
        <v>33378798</v>
      </c>
      <c r="H22159">
        <v>33378529</v>
      </c>
      <c r="I22159">
        <v>33378584</v>
      </c>
    </row>
    <row r="22160" spans="1:9" x14ac:dyDescent="0.2">
      <c r="A22160" t="str">
        <f>"Uxs1"</f>
        <v>Uxs1</v>
      </c>
      <c r="B22160" t="s">
        <v>14</v>
      </c>
      <c r="C22160" t="s">
        <v>19</v>
      </c>
      <c r="D22160" t="s">
        <v>11</v>
      </c>
      <c r="E22160" t="s">
        <v>12</v>
      </c>
      <c r="F22160">
        <v>43827751</v>
      </c>
      <c r="G22160">
        <v>43827786</v>
      </c>
      <c r="H22160">
        <v>43827723</v>
      </c>
      <c r="I22160">
        <v>43827742</v>
      </c>
    </row>
    <row r="22161" spans="1:9" x14ac:dyDescent="0.2">
      <c r="A22161" t="str">
        <f>"Uxt"</f>
        <v>Uxt</v>
      </c>
      <c r="B22161" t="s">
        <v>14</v>
      </c>
      <c r="C22161" t="s">
        <v>37</v>
      </c>
      <c r="D22161" t="s">
        <v>11</v>
      </c>
      <c r="E22161" t="s">
        <v>12</v>
      </c>
      <c r="F22161">
        <v>20962005</v>
      </c>
      <c r="G22161">
        <v>20962025</v>
      </c>
      <c r="H22161">
        <v>20961969</v>
      </c>
      <c r="I22161">
        <v>20961983</v>
      </c>
    </row>
    <row r="22162" spans="1:9" x14ac:dyDescent="0.2">
      <c r="A22162" t="str">
        <f>"V1ra8"</f>
        <v>V1ra8</v>
      </c>
      <c r="B22162" t="s">
        <v>5989</v>
      </c>
      <c r="C22162" t="s">
        <v>32</v>
      </c>
      <c r="D22162" t="s">
        <v>17</v>
      </c>
      <c r="E22162" t="s">
        <v>20</v>
      </c>
      <c r="F22162">
        <v>90202792</v>
      </c>
      <c r="G22162">
        <v>90202792</v>
      </c>
      <c r="H22162">
        <v>90202792</v>
      </c>
      <c r="I22162">
        <v>90202792</v>
      </c>
    </row>
    <row r="22163" spans="1:9" x14ac:dyDescent="0.2">
      <c r="A22163" t="str">
        <f>"V1rd19"</f>
        <v>V1rd19</v>
      </c>
      <c r="B22163" t="s">
        <v>5990</v>
      </c>
      <c r="C22163" t="s">
        <v>33</v>
      </c>
      <c r="D22163" t="s">
        <v>17</v>
      </c>
      <c r="E22163" t="s">
        <v>20</v>
      </c>
      <c r="F22163">
        <v>24003090</v>
      </c>
      <c r="G22163">
        <v>24003090</v>
      </c>
      <c r="H22163">
        <v>24003090</v>
      </c>
      <c r="I22163">
        <v>24003090</v>
      </c>
    </row>
    <row r="22164" spans="1:9" x14ac:dyDescent="0.2">
      <c r="A22164" t="str">
        <f>"Vac14"</f>
        <v>Vac14</v>
      </c>
      <c r="B22164" t="s">
        <v>14</v>
      </c>
      <c r="C22164" t="s">
        <v>30</v>
      </c>
      <c r="D22164" t="s">
        <v>17</v>
      </c>
      <c r="E22164" t="s">
        <v>12</v>
      </c>
      <c r="F22164">
        <v>110618577</v>
      </c>
      <c r="G22164">
        <v>110618619</v>
      </c>
      <c r="H22164">
        <v>110618673</v>
      </c>
      <c r="I22164">
        <v>110618693</v>
      </c>
    </row>
    <row r="22165" spans="1:9" x14ac:dyDescent="0.2">
      <c r="A22165" t="str">
        <f>"Vamp1"</f>
        <v>Vamp1</v>
      </c>
      <c r="B22165" t="s">
        <v>9</v>
      </c>
      <c r="C22165" t="s">
        <v>32</v>
      </c>
      <c r="D22165" t="s">
        <v>17</v>
      </c>
      <c r="E22165" t="s">
        <v>12</v>
      </c>
      <c r="F22165">
        <v>125215572</v>
      </c>
      <c r="G22165">
        <v>125215591</v>
      </c>
      <c r="H22165">
        <v>125215572</v>
      </c>
      <c r="I22165">
        <v>125215591</v>
      </c>
    </row>
    <row r="22166" spans="1:9" x14ac:dyDescent="0.2">
      <c r="A22166" t="str">
        <f>"Vamp1"</f>
        <v>Vamp1</v>
      </c>
      <c r="B22166" t="s">
        <v>13</v>
      </c>
      <c r="C22166" t="s">
        <v>32</v>
      </c>
      <c r="D22166" t="s">
        <v>17</v>
      </c>
      <c r="E22166" t="s">
        <v>12</v>
      </c>
      <c r="F22166">
        <v>125231255</v>
      </c>
      <c r="G22166">
        <v>125231285</v>
      </c>
      <c r="H22166">
        <v>125231255</v>
      </c>
      <c r="I22166">
        <v>125231285</v>
      </c>
    </row>
    <row r="22167" spans="1:9" x14ac:dyDescent="0.2">
      <c r="A22167" t="str">
        <f>"Vamp2"</f>
        <v>Vamp2</v>
      </c>
      <c r="B22167" t="s">
        <v>14</v>
      </c>
      <c r="C22167" t="s">
        <v>27</v>
      </c>
      <c r="D22167" t="s">
        <v>17</v>
      </c>
      <c r="E22167" t="s">
        <v>12</v>
      </c>
      <c r="F22167">
        <v>69088515</v>
      </c>
      <c r="G22167">
        <v>69088553</v>
      </c>
      <c r="H22167">
        <v>69088515</v>
      </c>
      <c r="I22167">
        <v>69088553</v>
      </c>
    </row>
    <row r="22168" spans="1:9" x14ac:dyDescent="0.2">
      <c r="A22168" t="str">
        <f>"Vamp3"</f>
        <v>Vamp3</v>
      </c>
      <c r="B22168" t="s">
        <v>14</v>
      </c>
      <c r="C22168" t="s">
        <v>23</v>
      </c>
      <c r="D22168" t="s">
        <v>11</v>
      </c>
      <c r="E22168" t="s">
        <v>12</v>
      </c>
      <c r="F22168">
        <v>151057933</v>
      </c>
      <c r="G22168">
        <v>151057969</v>
      </c>
      <c r="H22168">
        <v>151057895</v>
      </c>
      <c r="I22168">
        <v>151057906</v>
      </c>
    </row>
    <row r="22169" spans="1:9" x14ac:dyDescent="0.2">
      <c r="A22169" t="str">
        <f>"Vamp4"</f>
        <v>Vamp4</v>
      </c>
      <c r="B22169" t="s">
        <v>14</v>
      </c>
      <c r="C22169" t="s">
        <v>19</v>
      </c>
      <c r="D22169" t="s">
        <v>17</v>
      </c>
      <c r="E22169" t="s">
        <v>12</v>
      </c>
      <c r="F22169">
        <v>162570597</v>
      </c>
      <c r="G22169">
        <v>162570656</v>
      </c>
      <c r="H22169">
        <v>162570687</v>
      </c>
      <c r="I22169">
        <v>162570755</v>
      </c>
    </row>
    <row r="22170" spans="1:9" x14ac:dyDescent="0.2">
      <c r="A22170" t="str">
        <f>"Vamp5"</f>
        <v>Vamp5</v>
      </c>
      <c r="B22170" t="s">
        <v>14</v>
      </c>
      <c r="C22170" t="s">
        <v>32</v>
      </c>
      <c r="D22170" t="s">
        <v>11</v>
      </c>
      <c r="E22170" t="s">
        <v>12</v>
      </c>
      <c r="F22170">
        <v>72380416</v>
      </c>
      <c r="G22170">
        <v>72380483</v>
      </c>
      <c r="H22170">
        <v>72380416</v>
      </c>
      <c r="I22170">
        <v>72380483</v>
      </c>
    </row>
    <row r="22171" spans="1:9" x14ac:dyDescent="0.2">
      <c r="A22171" t="str">
        <f>"Vamp8"</f>
        <v>Vamp8</v>
      </c>
      <c r="B22171" t="s">
        <v>14</v>
      </c>
      <c r="C22171" t="s">
        <v>32</v>
      </c>
      <c r="D22171" t="s">
        <v>11</v>
      </c>
      <c r="E22171" t="s">
        <v>12</v>
      </c>
      <c r="F22171">
        <v>72390485</v>
      </c>
      <c r="G22171">
        <v>72390583</v>
      </c>
      <c r="H22171">
        <v>72390621</v>
      </c>
      <c r="I22171">
        <v>72390639</v>
      </c>
    </row>
    <row r="22172" spans="1:9" x14ac:dyDescent="0.2">
      <c r="A22172" t="str">
        <f>"Vangl1"</f>
        <v>Vangl1</v>
      </c>
      <c r="B22172" t="s">
        <v>14</v>
      </c>
      <c r="C22172" t="s">
        <v>22</v>
      </c>
      <c r="D22172" t="s">
        <v>11</v>
      </c>
      <c r="E22172" t="s">
        <v>12</v>
      </c>
      <c r="F22172">
        <v>102204576</v>
      </c>
      <c r="G22172">
        <v>102204647</v>
      </c>
      <c r="H22172">
        <v>102204576</v>
      </c>
      <c r="I22172">
        <v>102204647</v>
      </c>
    </row>
    <row r="22173" spans="1:9" x14ac:dyDescent="0.2">
      <c r="A22173" t="str">
        <f>"Vangl2"</f>
        <v>Vangl2</v>
      </c>
      <c r="B22173" t="s">
        <v>14</v>
      </c>
      <c r="C22173" t="s">
        <v>19</v>
      </c>
      <c r="D22173" t="s">
        <v>11</v>
      </c>
      <c r="E22173" t="s">
        <v>12</v>
      </c>
      <c r="F22173">
        <v>172027269</v>
      </c>
      <c r="G22173">
        <v>172027313</v>
      </c>
      <c r="H22173">
        <v>172027251</v>
      </c>
      <c r="I22173">
        <v>172027268</v>
      </c>
    </row>
    <row r="22174" spans="1:9" x14ac:dyDescent="0.2">
      <c r="A22174" t="str">
        <f>"Vapa"</f>
        <v>Vapa</v>
      </c>
      <c r="B22174" t="s">
        <v>14</v>
      </c>
      <c r="C22174" t="s">
        <v>28</v>
      </c>
      <c r="D22174" t="s">
        <v>11</v>
      </c>
      <c r="E22174" t="s">
        <v>12</v>
      </c>
      <c r="F22174">
        <v>65613486</v>
      </c>
      <c r="G22174">
        <v>65613514</v>
      </c>
      <c r="H22174">
        <v>65613521</v>
      </c>
      <c r="I22174">
        <v>65613548</v>
      </c>
    </row>
    <row r="22175" spans="1:9" x14ac:dyDescent="0.2">
      <c r="A22175" t="str">
        <f>"Vapb"</f>
        <v>Vapb</v>
      </c>
      <c r="B22175" t="s">
        <v>14</v>
      </c>
      <c r="C22175" t="s">
        <v>26</v>
      </c>
      <c r="D22175" t="s">
        <v>17</v>
      </c>
      <c r="E22175" t="s">
        <v>12</v>
      </c>
      <c r="F22175">
        <v>173737555</v>
      </c>
      <c r="G22175">
        <v>173737601</v>
      </c>
      <c r="H22175">
        <v>173737602</v>
      </c>
      <c r="I22175">
        <v>173737632</v>
      </c>
    </row>
    <row r="22176" spans="1:9" x14ac:dyDescent="0.2">
      <c r="A22176" t="str">
        <f>"Vars"</f>
        <v>Vars</v>
      </c>
      <c r="B22176" t="s">
        <v>14</v>
      </c>
      <c r="C22176" t="s">
        <v>28</v>
      </c>
      <c r="D22176" t="s">
        <v>17</v>
      </c>
      <c r="E22176" t="s">
        <v>12</v>
      </c>
      <c r="F22176">
        <v>35001282</v>
      </c>
      <c r="G22176">
        <v>35001347</v>
      </c>
      <c r="H22176">
        <v>35001098</v>
      </c>
      <c r="I22176">
        <v>35001161</v>
      </c>
    </row>
    <row r="22177" spans="1:9" x14ac:dyDescent="0.2">
      <c r="A22177" t="str">
        <f>"Vars2"</f>
        <v>Vars2</v>
      </c>
      <c r="B22177" t="s">
        <v>9</v>
      </c>
      <c r="C22177" t="s">
        <v>28</v>
      </c>
      <c r="D22177" t="s">
        <v>11</v>
      </c>
      <c r="E22177" t="s">
        <v>12</v>
      </c>
      <c r="F22177">
        <v>35667546</v>
      </c>
      <c r="G22177">
        <v>35667618</v>
      </c>
      <c r="H22177">
        <v>35667546</v>
      </c>
      <c r="I22177">
        <v>35667618</v>
      </c>
    </row>
    <row r="22178" spans="1:9" x14ac:dyDescent="0.2">
      <c r="A22178" t="str">
        <f>"Vars2"</f>
        <v>Vars2</v>
      </c>
      <c r="B22178" t="s">
        <v>13</v>
      </c>
      <c r="C22178" t="s">
        <v>28</v>
      </c>
      <c r="D22178" t="s">
        <v>11</v>
      </c>
      <c r="E22178" t="s">
        <v>12</v>
      </c>
      <c r="F22178">
        <v>35666252</v>
      </c>
      <c r="G22178">
        <v>35666278</v>
      </c>
      <c r="H22178">
        <v>35666252</v>
      </c>
      <c r="I22178">
        <v>35666278</v>
      </c>
    </row>
    <row r="22179" spans="1:9" x14ac:dyDescent="0.2">
      <c r="A22179" t="str">
        <f>"Vash1"</f>
        <v>Vash1</v>
      </c>
      <c r="B22179" t="s">
        <v>14</v>
      </c>
      <c r="C22179" t="s">
        <v>16</v>
      </c>
      <c r="D22179" t="s">
        <v>17</v>
      </c>
      <c r="E22179" t="s">
        <v>12</v>
      </c>
      <c r="F22179">
        <v>86678685</v>
      </c>
      <c r="G22179">
        <v>86678796</v>
      </c>
      <c r="H22179">
        <v>86678685</v>
      </c>
      <c r="I22179">
        <v>86678796</v>
      </c>
    </row>
    <row r="22180" spans="1:9" x14ac:dyDescent="0.2">
      <c r="A22180" t="str">
        <f>"Vash2"</f>
        <v>Vash2</v>
      </c>
      <c r="B22180" t="s">
        <v>14</v>
      </c>
      <c r="C22180" t="s">
        <v>19</v>
      </c>
      <c r="D22180" t="s">
        <v>11</v>
      </c>
      <c r="E22180" t="s">
        <v>12</v>
      </c>
      <c r="F22180">
        <v>190979195</v>
      </c>
      <c r="G22180">
        <v>190979232</v>
      </c>
      <c r="H22180">
        <v>190978954</v>
      </c>
      <c r="I22180">
        <v>190978998</v>
      </c>
    </row>
    <row r="22181" spans="1:9" x14ac:dyDescent="0.2">
      <c r="A22181" t="str">
        <f>"Vasn"</f>
        <v>Vasn</v>
      </c>
      <c r="B22181" t="s">
        <v>14</v>
      </c>
      <c r="C22181" t="s">
        <v>31</v>
      </c>
      <c r="D22181" t="s">
        <v>17</v>
      </c>
      <c r="E22181" t="s">
        <v>12</v>
      </c>
      <c r="F22181">
        <v>4639956</v>
      </c>
      <c r="G22181">
        <v>4639978</v>
      </c>
      <c r="H22181">
        <v>4639956</v>
      </c>
      <c r="I22181">
        <v>4639978</v>
      </c>
    </row>
    <row r="22182" spans="1:9" x14ac:dyDescent="0.2">
      <c r="A22182" t="str">
        <f>"Vasp"</f>
        <v>Vasp</v>
      </c>
      <c r="B22182" t="s">
        <v>14</v>
      </c>
      <c r="C22182" t="s">
        <v>33</v>
      </c>
      <c r="D22182" t="s">
        <v>11</v>
      </c>
      <c r="E22182" t="s">
        <v>12</v>
      </c>
      <c r="F22182">
        <v>19271797</v>
      </c>
      <c r="G22182">
        <v>19271823</v>
      </c>
      <c r="H22182">
        <v>19271576</v>
      </c>
      <c r="I22182">
        <v>19271589</v>
      </c>
    </row>
    <row r="22183" spans="1:9" x14ac:dyDescent="0.2">
      <c r="A22183" t="str">
        <f>"Vat1"</f>
        <v>Vat1</v>
      </c>
      <c r="B22183" t="s">
        <v>14</v>
      </c>
      <c r="C22183" t="s">
        <v>27</v>
      </c>
      <c r="D22183" t="s">
        <v>11</v>
      </c>
      <c r="E22183" t="s">
        <v>12</v>
      </c>
      <c r="F22183">
        <v>101466158</v>
      </c>
      <c r="G22183">
        <v>101466216</v>
      </c>
      <c r="H22183">
        <v>101466136</v>
      </c>
      <c r="I22183">
        <v>101466150</v>
      </c>
    </row>
    <row r="22184" spans="1:9" x14ac:dyDescent="0.2">
      <c r="A22184" t="str">
        <f>"Vat1l"</f>
        <v>Vat1l</v>
      </c>
      <c r="B22184" t="s">
        <v>14</v>
      </c>
      <c r="C22184" t="s">
        <v>30</v>
      </c>
      <c r="D22184" t="s">
        <v>17</v>
      </c>
      <c r="E22184" t="s">
        <v>12</v>
      </c>
      <c r="F22184">
        <v>114205590</v>
      </c>
      <c r="G22184">
        <v>114205642</v>
      </c>
      <c r="H22184">
        <v>114205574</v>
      </c>
      <c r="I22184">
        <v>114205585</v>
      </c>
    </row>
    <row r="22185" spans="1:9" x14ac:dyDescent="0.2">
      <c r="A22185" t="str">
        <f>"Vav1"</f>
        <v>Vav1</v>
      </c>
      <c r="B22185" t="s">
        <v>14</v>
      </c>
      <c r="C22185" t="s">
        <v>28</v>
      </c>
      <c r="D22185" t="s">
        <v>17</v>
      </c>
      <c r="E22185" t="s">
        <v>12</v>
      </c>
      <c r="F22185">
        <v>57279094</v>
      </c>
      <c r="G22185">
        <v>57279123</v>
      </c>
      <c r="H22185">
        <v>57279170</v>
      </c>
      <c r="I22185">
        <v>57279181</v>
      </c>
    </row>
    <row r="22186" spans="1:9" x14ac:dyDescent="0.2">
      <c r="A22186" t="str">
        <f>"Vav2"</f>
        <v>Vav2</v>
      </c>
      <c r="B22186" t="s">
        <v>14</v>
      </c>
      <c r="C22186" t="s">
        <v>26</v>
      </c>
      <c r="D22186" t="s">
        <v>11</v>
      </c>
      <c r="E22186" t="s">
        <v>12</v>
      </c>
      <c r="F22186">
        <v>27426992</v>
      </c>
      <c r="G22186">
        <v>27427061</v>
      </c>
      <c r="H22186">
        <v>27426992</v>
      </c>
      <c r="I22186">
        <v>27427061</v>
      </c>
    </row>
    <row r="22187" spans="1:9" x14ac:dyDescent="0.2">
      <c r="A22187" t="str">
        <f>"Vav3"</f>
        <v>Vav3</v>
      </c>
      <c r="B22187" t="s">
        <v>14</v>
      </c>
      <c r="C22187" t="s">
        <v>22</v>
      </c>
      <c r="D22187" t="s">
        <v>17</v>
      </c>
      <c r="E22187" t="s">
        <v>12</v>
      </c>
      <c r="F22187">
        <v>109340754</v>
      </c>
      <c r="G22187">
        <v>109340787</v>
      </c>
      <c r="H22187">
        <v>109340754</v>
      </c>
      <c r="I22187">
        <v>109340787</v>
      </c>
    </row>
    <row r="22188" spans="1:9" x14ac:dyDescent="0.2">
      <c r="A22188" t="str">
        <f>"Vax1"</f>
        <v>Vax1</v>
      </c>
      <c r="B22188" t="s">
        <v>14</v>
      </c>
      <c r="C22188" t="s">
        <v>10</v>
      </c>
      <c r="D22188" t="s">
        <v>11</v>
      </c>
      <c r="E22188" t="s">
        <v>12</v>
      </c>
      <c r="F22188">
        <v>59171488</v>
      </c>
      <c r="G22188">
        <v>59171492</v>
      </c>
      <c r="H22188">
        <v>59171488</v>
      </c>
      <c r="I22188">
        <v>59171492</v>
      </c>
    </row>
    <row r="22189" spans="1:9" x14ac:dyDescent="0.2">
      <c r="A22189" t="str">
        <f>"Vax2"</f>
        <v>Vax2</v>
      </c>
      <c r="B22189" t="s">
        <v>14</v>
      </c>
      <c r="C22189" t="s">
        <v>32</v>
      </c>
      <c r="D22189" t="s">
        <v>17</v>
      </c>
      <c r="E22189" t="s">
        <v>12</v>
      </c>
      <c r="F22189">
        <v>83711232</v>
      </c>
      <c r="G22189">
        <v>83711288</v>
      </c>
      <c r="H22189">
        <v>83711232</v>
      </c>
      <c r="I22189">
        <v>83711288</v>
      </c>
    </row>
    <row r="22190" spans="1:9" x14ac:dyDescent="0.2">
      <c r="A22190" t="str">
        <f>"Vbp1"</f>
        <v>Vbp1</v>
      </c>
      <c r="B22190" t="s">
        <v>14</v>
      </c>
      <c r="C22190" t="s">
        <v>37</v>
      </c>
      <c r="D22190" t="s">
        <v>17</v>
      </c>
      <c r="E22190" t="s">
        <v>12</v>
      </c>
      <c r="F22190">
        <v>75514318</v>
      </c>
      <c r="G22190">
        <v>75514340</v>
      </c>
      <c r="H22190">
        <v>75514302</v>
      </c>
      <c r="I22190">
        <v>75514316</v>
      </c>
    </row>
    <row r="22191" spans="1:9" x14ac:dyDescent="0.2">
      <c r="A22191" t="str">
        <f>"Vcam1"</f>
        <v>Vcam1</v>
      </c>
      <c r="B22191" t="s">
        <v>14</v>
      </c>
      <c r="C22191" t="s">
        <v>22</v>
      </c>
      <c r="D22191" t="s">
        <v>11</v>
      </c>
      <c r="E22191" t="s">
        <v>12</v>
      </c>
      <c r="F22191">
        <v>116129449</v>
      </c>
      <c r="G22191">
        <v>116129464</v>
      </c>
      <c r="H22191">
        <v>116129684</v>
      </c>
      <c r="I22191">
        <v>116129708</v>
      </c>
    </row>
    <row r="22192" spans="1:9" x14ac:dyDescent="0.2">
      <c r="A22192" t="str">
        <f>"Vcan"</f>
        <v>Vcan</v>
      </c>
      <c r="B22192" t="s">
        <v>14</v>
      </c>
      <c r="C22192" t="s">
        <v>39</v>
      </c>
      <c r="D22192" t="s">
        <v>11</v>
      </c>
      <c r="E22192" t="s">
        <v>12</v>
      </c>
      <c r="F22192">
        <v>89742309</v>
      </c>
      <c r="G22192">
        <v>89742330</v>
      </c>
      <c r="H22192">
        <v>89742341</v>
      </c>
      <c r="I22192">
        <v>89742365</v>
      </c>
    </row>
    <row r="22193" spans="1:9" x14ac:dyDescent="0.2">
      <c r="A22193" t="str">
        <f>"Vcl"</f>
        <v>Vcl</v>
      </c>
      <c r="B22193" t="s">
        <v>14</v>
      </c>
      <c r="C22193" t="s">
        <v>41</v>
      </c>
      <c r="D22193" t="s">
        <v>17</v>
      </c>
      <c r="E22193" t="s">
        <v>12</v>
      </c>
      <c r="F22193">
        <v>20929416</v>
      </c>
      <c r="G22193">
        <v>20929451</v>
      </c>
      <c r="H22193">
        <v>20929392</v>
      </c>
      <c r="I22193">
        <v>20929403</v>
      </c>
    </row>
    <row r="22194" spans="1:9" x14ac:dyDescent="0.2">
      <c r="A22194" t="str">
        <f>"Vcp"</f>
        <v>Vcp</v>
      </c>
      <c r="B22194" t="s">
        <v>14</v>
      </c>
      <c r="C22194" t="s">
        <v>23</v>
      </c>
      <c r="D22194" t="s">
        <v>11</v>
      </c>
      <c r="E22194" t="s">
        <v>12</v>
      </c>
      <c r="F22194">
        <v>43000451</v>
      </c>
      <c r="G22194">
        <v>43000485</v>
      </c>
      <c r="H22194">
        <v>43000266</v>
      </c>
      <c r="I22194">
        <v>43000293</v>
      </c>
    </row>
    <row r="22195" spans="1:9" x14ac:dyDescent="0.2">
      <c r="A22195" t="str">
        <f>"Vcpip1"</f>
        <v>Vcpip1</v>
      </c>
      <c r="B22195" t="s">
        <v>14</v>
      </c>
      <c r="C22195" t="s">
        <v>19</v>
      </c>
      <c r="D22195" t="s">
        <v>11</v>
      </c>
      <c r="E22195" t="s">
        <v>12</v>
      </c>
      <c r="F22195">
        <v>9748376</v>
      </c>
      <c r="G22195">
        <v>9748451</v>
      </c>
      <c r="H22195">
        <v>9748285</v>
      </c>
      <c r="I22195">
        <v>9748316</v>
      </c>
    </row>
    <row r="22196" spans="1:9" x14ac:dyDescent="0.2">
      <c r="A22196" t="str">
        <f>"Vdac1"</f>
        <v>Vdac1</v>
      </c>
      <c r="B22196" t="s">
        <v>14</v>
      </c>
      <c r="C22196" t="s">
        <v>27</v>
      </c>
      <c r="D22196" t="s">
        <v>17</v>
      </c>
      <c r="E22196" t="s">
        <v>12</v>
      </c>
      <c r="F22196">
        <v>52361069</v>
      </c>
      <c r="G22196">
        <v>52361126</v>
      </c>
      <c r="H22196">
        <v>52361049</v>
      </c>
      <c r="I22196">
        <v>52361064</v>
      </c>
    </row>
    <row r="22197" spans="1:9" x14ac:dyDescent="0.2">
      <c r="A22197" t="str">
        <f>"Vdac2"</f>
        <v>Vdac2</v>
      </c>
      <c r="B22197" t="s">
        <v>14</v>
      </c>
      <c r="C22197" t="s">
        <v>41</v>
      </c>
      <c r="D22197" t="s">
        <v>17</v>
      </c>
      <c r="E22197" t="s">
        <v>12</v>
      </c>
      <c r="F22197">
        <v>21831531</v>
      </c>
      <c r="G22197">
        <v>21831574</v>
      </c>
      <c r="H22197">
        <v>21831519</v>
      </c>
      <c r="I22197">
        <v>21831530</v>
      </c>
    </row>
    <row r="22198" spans="1:9" x14ac:dyDescent="0.2">
      <c r="A22198" t="str">
        <f>"Vdac3"</f>
        <v>Vdac3</v>
      </c>
      <c r="B22198" t="s">
        <v>14</v>
      </c>
      <c r="C22198" t="s">
        <v>30</v>
      </c>
      <c r="D22198" t="s">
        <v>11</v>
      </c>
      <c r="E22198" t="s">
        <v>12</v>
      </c>
      <c r="F22198">
        <v>22593735</v>
      </c>
      <c r="G22198">
        <v>22593776</v>
      </c>
      <c r="H22198">
        <v>22593963</v>
      </c>
      <c r="I22198">
        <v>22593981</v>
      </c>
    </row>
    <row r="22199" spans="1:9" x14ac:dyDescent="0.2">
      <c r="A22199" t="str">
        <f>"Vdac3-ps1"</f>
        <v>Vdac3-ps1</v>
      </c>
      <c r="B22199" t="s">
        <v>14</v>
      </c>
      <c r="C22199" t="s">
        <v>39</v>
      </c>
      <c r="D22199" t="s">
        <v>11</v>
      </c>
      <c r="E22199" t="s">
        <v>67</v>
      </c>
      <c r="F22199">
        <v>18031616</v>
      </c>
      <c r="G22199">
        <v>18031626</v>
      </c>
      <c r="H22199">
        <v>18031616</v>
      </c>
      <c r="I22199">
        <v>18031626</v>
      </c>
    </row>
    <row r="22200" spans="1:9" x14ac:dyDescent="0.2">
      <c r="A22200" t="str">
        <f>"Vdr"</f>
        <v>Vdr</v>
      </c>
      <c r="B22200" t="s">
        <v>9</v>
      </c>
      <c r="C22200" t="s">
        <v>25</v>
      </c>
      <c r="D22200" t="s">
        <v>11</v>
      </c>
      <c r="E22200" t="s">
        <v>12</v>
      </c>
      <c r="F22200">
        <v>97908261</v>
      </c>
      <c r="G22200">
        <v>97908316</v>
      </c>
      <c r="H22200">
        <v>97908261</v>
      </c>
      <c r="I22200">
        <v>97908316</v>
      </c>
    </row>
    <row r="22201" spans="1:9" x14ac:dyDescent="0.2">
      <c r="A22201" t="str">
        <f>"Vdr"</f>
        <v>Vdr</v>
      </c>
      <c r="B22201" t="s">
        <v>13</v>
      </c>
      <c r="C22201" t="s">
        <v>25</v>
      </c>
      <c r="D22201" t="s">
        <v>11</v>
      </c>
      <c r="E22201" t="s">
        <v>12</v>
      </c>
      <c r="F22201">
        <v>97910622</v>
      </c>
      <c r="G22201">
        <v>97910641</v>
      </c>
      <c r="H22201">
        <v>97910622</v>
      </c>
      <c r="I22201">
        <v>97910641</v>
      </c>
    </row>
    <row r="22202" spans="1:9" x14ac:dyDescent="0.2">
      <c r="A22202" t="str">
        <f>"Vegfa"</f>
        <v>Vegfa</v>
      </c>
      <c r="B22202" t="s">
        <v>14</v>
      </c>
      <c r="C22202" t="s">
        <v>28</v>
      </c>
      <c r="D22202" t="s">
        <v>11</v>
      </c>
      <c r="E22202" t="s">
        <v>12</v>
      </c>
      <c r="F22202">
        <v>46032366</v>
      </c>
      <c r="G22202">
        <v>46032383</v>
      </c>
      <c r="H22202">
        <v>46031813</v>
      </c>
      <c r="I22202">
        <v>46031863</v>
      </c>
    </row>
    <row r="22203" spans="1:9" x14ac:dyDescent="0.2">
      <c r="A22203" t="str">
        <f>"Vegfb"</f>
        <v>Vegfb</v>
      </c>
      <c r="B22203" t="s">
        <v>14</v>
      </c>
      <c r="C22203" t="s">
        <v>10</v>
      </c>
      <c r="D22203" t="s">
        <v>11</v>
      </c>
      <c r="E22203" t="s">
        <v>12</v>
      </c>
      <c r="F22203">
        <v>6987621</v>
      </c>
      <c r="G22203">
        <v>6987764</v>
      </c>
      <c r="H22203">
        <v>6987460</v>
      </c>
      <c r="I22203">
        <v>6987517</v>
      </c>
    </row>
    <row r="22204" spans="1:9" x14ac:dyDescent="0.2">
      <c r="A22204" t="str">
        <f>"Vegfc"</f>
        <v>Vegfc</v>
      </c>
      <c r="B22204" t="s">
        <v>14</v>
      </c>
      <c r="C22204" t="s">
        <v>30</v>
      </c>
      <c r="D22204" t="s">
        <v>17</v>
      </c>
      <c r="E22204" t="s">
        <v>12</v>
      </c>
      <c r="F22204">
        <v>54077164</v>
      </c>
      <c r="G22204">
        <v>54077183</v>
      </c>
      <c r="H22204">
        <v>54077164</v>
      </c>
      <c r="I22204">
        <v>54077183</v>
      </c>
    </row>
    <row r="22205" spans="1:9" x14ac:dyDescent="0.2">
      <c r="A22205" t="str">
        <f>"Veph1"</f>
        <v>Veph1</v>
      </c>
      <c r="B22205" t="s">
        <v>14</v>
      </c>
      <c r="C22205" t="s">
        <v>22</v>
      </c>
      <c r="D22205" t="s">
        <v>11</v>
      </c>
      <c r="E22205" t="s">
        <v>12</v>
      </c>
      <c r="F22205">
        <v>66296707</v>
      </c>
      <c r="G22205">
        <v>66296762</v>
      </c>
      <c r="H22205">
        <v>66296918</v>
      </c>
      <c r="I22205">
        <v>66296930</v>
      </c>
    </row>
    <row r="22206" spans="1:9" x14ac:dyDescent="0.2">
      <c r="A22206" t="str">
        <f>"Vezf1"</f>
        <v>Vezf1</v>
      </c>
      <c r="B22206" t="s">
        <v>14</v>
      </c>
      <c r="C22206" t="s">
        <v>27</v>
      </c>
      <c r="D22206" t="s">
        <v>17</v>
      </c>
      <c r="E22206" t="s">
        <v>12</v>
      </c>
      <c r="F22206">
        <v>88068242</v>
      </c>
      <c r="G22206">
        <v>88068289</v>
      </c>
      <c r="H22206">
        <v>88068067</v>
      </c>
      <c r="I22206">
        <v>88068131</v>
      </c>
    </row>
    <row r="22207" spans="1:9" x14ac:dyDescent="0.2">
      <c r="A22207" t="str">
        <f>"Vezt"</f>
        <v>Vezt</v>
      </c>
      <c r="B22207" t="s">
        <v>14</v>
      </c>
      <c r="C22207" t="s">
        <v>15</v>
      </c>
      <c r="D22207" t="s">
        <v>11</v>
      </c>
      <c r="E22207" t="s">
        <v>12</v>
      </c>
      <c r="F22207">
        <v>94035728</v>
      </c>
      <c r="G22207">
        <v>94035769</v>
      </c>
      <c r="H22207">
        <v>94035789</v>
      </c>
      <c r="I22207">
        <v>94035816</v>
      </c>
    </row>
    <row r="22208" spans="1:9" x14ac:dyDescent="0.2">
      <c r="A22208" t="str">
        <f>"Vgf"</f>
        <v>Vgf</v>
      </c>
      <c r="B22208" t="s">
        <v>14</v>
      </c>
      <c r="C22208" t="s">
        <v>46</v>
      </c>
      <c r="D22208" t="s">
        <v>17</v>
      </c>
      <c r="E22208" t="s">
        <v>12</v>
      </c>
      <c r="F22208">
        <v>137030275</v>
      </c>
      <c r="G22208">
        <v>137030290</v>
      </c>
      <c r="H22208">
        <v>137030275</v>
      </c>
      <c r="I22208">
        <v>137030290</v>
      </c>
    </row>
    <row r="22209" spans="1:9" x14ac:dyDescent="0.2">
      <c r="A22209" t="str">
        <f>"Vgll1"</f>
        <v>Vgll1</v>
      </c>
      <c r="B22209" t="s">
        <v>14</v>
      </c>
      <c r="C22209" t="s">
        <v>37</v>
      </c>
      <c r="D22209" t="s">
        <v>17</v>
      </c>
      <c r="E22209" t="s">
        <v>12</v>
      </c>
      <c r="F22209">
        <v>57089332</v>
      </c>
      <c r="G22209">
        <v>57089373</v>
      </c>
      <c r="H22209">
        <v>57089332</v>
      </c>
      <c r="I22209">
        <v>57089373</v>
      </c>
    </row>
    <row r="22210" spans="1:9" x14ac:dyDescent="0.2">
      <c r="A22210" t="str">
        <f>"Vgll2"</f>
        <v>Vgll2</v>
      </c>
      <c r="B22210" t="s">
        <v>14</v>
      </c>
      <c r="C22210" t="s">
        <v>15</v>
      </c>
      <c r="D22210" t="s">
        <v>17</v>
      </c>
      <c r="E22210" t="s">
        <v>12</v>
      </c>
      <c r="F22210">
        <v>52022520</v>
      </c>
      <c r="G22210">
        <v>52022534</v>
      </c>
      <c r="H22210">
        <v>52022367</v>
      </c>
      <c r="I22210">
        <v>52022402</v>
      </c>
    </row>
    <row r="22211" spans="1:9" x14ac:dyDescent="0.2">
      <c r="A22211" t="str">
        <f>"Vgll3"</f>
        <v>Vgll3</v>
      </c>
      <c r="B22211" t="s">
        <v>14</v>
      </c>
      <c r="C22211" t="s">
        <v>31</v>
      </c>
      <c r="D22211" t="s">
        <v>17</v>
      </c>
      <c r="E22211" t="s">
        <v>12</v>
      </c>
      <c r="F22211">
        <v>65815198</v>
      </c>
      <c r="G22211">
        <v>65815268</v>
      </c>
      <c r="H22211">
        <v>65815198</v>
      </c>
      <c r="I22211">
        <v>65815268</v>
      </c>
    </row>
    <row r="22212" spans="1:9" x14ac:dyDescent="0.2">
      <c r="A22212" t="str">
        <f>"Vgll4"</f>
        <v>Vgll4</v>
      </c>
      <c r="B22212" t="s">
        <v>14</v>
      </c>
      <c r="C22212" t="s">
        <v>32</v>
      </c>
      <c r="D22212" t="s">
        <v>11</v>
      </c>
      <c r="E22212" t="s">
        <v>12</v>
      </c>
      <c r="F22212">
        <v>114921778</v>
      </c>
      <c r="G22212">
        <v>114921837</v>
      </c>
      <c r="H22212">
        <v>114921778</v>
      </c>
      <c r="I22212">
        <v>114921837</v>
      </c>
    </row>
    <row r="22213" spans="1:9" x14ac:dyDescent="0.2">
      <c r="A22213" t="str">
        <f>"Vhl"</f>
        <v>Vhl</v>
      </c>
      <c r="B22213" t="s">
        <v>14</v>
      </c>
      <c r="C22213" t="s">
        <v>32</v>
      </c>
      <c r="D22213" t="s">
        <v>17</v>
      </c>
      <c r="E22213" t="s">
        <v>12</v>
      </c>
      <c r="F22213">
        <v>113623988</v>
      </c>
      <c r="G22213">
        <v>113624037</v>
      </c>
      <c r="H22213">
        <v>113624126</v>
      </c>
      <c r="I22213">
        <v>113624164</v>
      </c>
    </row>
    <row r="22214" spans="1:9" x14ac:dyDescent="0.2">
      <c r="A22214" t="str">
        <f>"Vil1"</f>
        <v>Vil1</v>
      </c>
      <c r="B22214" t="s">
        <v>14</v>
      </c>
      <c r="C22214" t="s">
        <v>19</v>
      </c>
      <c r="D22214" t="s">
        <v>17</v>
      </c>
      <c r="E22214" t="s">
        <v>12</v>
      </c>
      <c r="F22214">
        <v>74409382</v>
      </c>
      <c r="G22214">
        <v>74409399</v>
      </c>
      <c r="H22214">
        <v>74409382</v>
      </c>
      <c r="I22214">
        <v>74409399</v>
      </c>
    </row>
    <row r="22215" spans="1:9" x14ac:dyDescent="0.2">
      <c r="A22215" t="str">
        <f>"Vill"</f>
        <v>Vill</v>
      </c>
      <c r="B22215" t="s">
        <v>9</v>
      </c>
      <c r="C22215" t="s">
        <v>24</v>
      </c>
      <c r="D22215" t="s">
        <v>17</v>
      </c>
      <c r="E22215" t="s">
        <v>12</v>
      </c>
      <c r="F22215">
        <v>119052770</v>
      </c>
      <c r="G22215">
        <v>119052795</v>
      </c>
      <c r="H22215">
        <v>119052770</v>
      </c>
      <c r="I22215">
        <v>119052795</v>
      </c>
    </row>
    <row r="22216" spans="1:9" x14ac:dyDescent="0.2">
      <c r="A22216" t="str">
        <f>"Vill"</f>
        <v>Vill</v>
      </c>
      <c r="B22216" t="s">
        <v>13</v>
      </c>
      <c r="C22216" t="s">
        <v>24</v>
      </c>
      <c r="D22216" t="s">
        <v>17</v>
      </c>
      <c r="E22216" t="s">
        <v>12</v>
      </c>
      <c r="F22216">
        <v>119063468</v>
      </c>
      <c r="G22216">
        <v>119063492</v>
      </c>
      <c r="H22216">
        <v>119063468</v>
      </c>
      <c r="I22216">
        <v>119063492</v>
      </c>
    </row>
    <row r="22217" spans="1:9" x14ac:dyDescent="0.2">
      <c r="A22217" t="str">
        <f>"Vim"</f>
        <v>Vim</v>
      </c>
      <c r="B22217" t="s">
        <v>14</v>
      </c>
      <c r="C22217" t="s">
        <v>26</v>
      </c>
      <c r="D22217" t="s">
        <v>17</v>
      </c>
      <c r="E22217" t="s">
        <v>12</v>
      </c>
      <c r="F22217">
        <v>13574299</v>
      </c>
      <c r="G22217">
        <v>13574318</v>
      </c>
      <c r="H22217">
        <v>13574299</v>
      </c>
      <c r="I22217">
        <v>13574318</v>
      </c>
    </row>
    <row r="22218" spans="1:9" x14ac:dyDescent="0.2">
      <c r="A22218" t="str">
        <f>"Vimp"</f>
        <v>Vimp</v>
      </c>
      <c r="B22218" t="s">
        <v>14</v>
      </c>
      <c r="C22218" t="s">
        <v>33</v>
      </c>
      <c r="D22218" t="s">
        <v>17</v>
      </c>
      <c r="E22218" t="s">
        <v>67</v>
      </c>
      <c r="F22218">
        <v>66079643</v>
      </c>
      <c r="G22218">
        <v>66079703</v>
      </c>
      <c r="H22218">
        <v>66079643</v>
      </c>
      <c r="I22218">
        <v>66079703</v>
      </c>
    </row>
    <row r="22219" spans="1:9" x14ac:dyDescent="0.2">
      <c r="A22219" t="str">
        <f>"Vip"</f>
        <v>Vip</v>
      </c>
      <c r="B22219" t="s">
        <v>14</v>
      </c>
      <c r="C22219" t="s">
        <v>15</v>
      </c>
      <c r="D22219" t="s">
        <v>17</v>
      </c>
      <c r="E22219" t="s">
        <v>12</v>
      </c>
      <c r="F22219">
        <v>5639210</v>
      </c>
      <c r="G22219">
        <v>5639225</v>
      </c>
      <c r="H22219">
        <v>5639210</v>
      </c>
      <c r="I22219">
        <v>5639225</v>
      </c>
    </row>
    <row r="22220" spans="1:9" x14ac:dyDescent="0.2">
      <c r="A22220" t="str">
        <f>"Vipas39"</f>
        <v>Vipas39</v>
      </c>
      <c r="B22220" t="s">
        <v>14</v>
      </c>
      <c r="C22220" t="s">
        <v>16</v>
      </c>
      <c r="D22220" t="s">
        <v>11</v>
      </c>
      <c r="E22220" t="s">
        <v>67</v>
      </c>
      <c r="F22220">
        <v>87266227</v>
      </c>
      <c r="G22220">
        <v>87266301</v>
      </c>
      <c r="H22220">
        <v>87266227</v>
      </c>
      <c r="I22220">
        <v>87266301</v>
      </c>
    </row>
    <row r="22221" spans="1:9" x14ac:dyDescent="0.2">
      <c r="A22221" t="str">
        <f>"Vipr1"</f>
        <v>Vipr1</v>
      </c>
      <c r="B22221" t="s">
        <v>14</v>
      </c>
      <c r="C22221" t="s">
        <v>24</v>
      </c>
      <c r="D22221" t="s">
        <v>17</v>
      </c>
      <c r="E22221" t="s">
        <v>12</v>
      </c>
      <c r="F22221">
        <v>121642768</v>
      </c>
      <c r="G22221">
        <v>121642783</v>
      </c>
      <c r="H22221">
        <v>121642726</v>
      </c>
      <c r="I22221">
        <v>121642757</v>
      </c>
    </row>
    <row r="22222" spans="1:9" x14ac:dyDescent="0.2">
      <c r="A22222" t="str">
        <f>"Vipr2"</f>
        <v>Vipr2</v>
      </c>
      <c r="B22222" t="s">
        <v>14</v>
      </c>
      <c r="C22222" t="s">
        <v>16</v>
      </c>
      <c r="D22222" t="s">
        <v>17</v>
      </c>
      <c r="E22222" t="s">
        <v>12</v>
      </c>
      <c r="F22222">
        <v>116077720</v>
      </c>
      <c r="G22222">
        <v>116077839</v>
      </c>
      <c r="H22222">
        <v>116077420</v>
      </c>
      <c r="I22222">
        <v>116077454</v>
      </c>
    </row>
    <row r="22223" spans="1:9" x14ac:dyDescent="0.2">
      <c r="A22223" t="str">
        <f>"Vit"</f>
        <v>Vit</v>
      </c>
      <c r="B22223" t="s">
        <v>14</v>
      </c>
      <c r="C22223" t="s">
        <v>28</v>
      </c>
      <c r="D22223" t="s">
        <v>17</v>
      </c>
      <c r="E22223" t="s">
        <v>12</v>
      </c>
      <c r="F22223">
        <v>78508136</v>
      </c>
      <c r="G22223">
        <v>78508164</v>
      </c>
      <c r="H22223">
        <v>78508114</v>
      </c>
      <c r="I22223">
        <v>78508133</v>
      </c>
    </row>
    <row r="22224" spans="1:9" x14ac:dyDescent="0.2">
      <c r="A22224" t="str">
        <f>"Vkorc1"</f>
        <v>Vkorc1</v>
      </c>
      <c r="B22224" t="s">
        <v>14</v>
      </c>
      <c r="C22224" t="s">
        <v>33</v>
      </c>
      <c r="D22224" t="s">
        <v>11</v>
      </c>
      <c r="E22224" t="s">
        <v>12</v>
      </c>
      <c r="F22224">
        <v>127895578</v>
      </c>
      <c r="G22224">
        <v>127895647</v>
      </c>
      <c r="H22224">
        <v>127895578</v>
      </c>
      <c r="I22224">
        <v>127895647</v>
      </c>
    </row>
    <row r="22225" spans="1:9" x14ac:dyDescent="0.2">
      <c r="A22225" t="str">
        <f>"Vkorc1l1"</f>
        <v>Vkorc1l1</v>
      </c>
      <c r="B22225" t="s">
        <v>14</v>
      </c>
      <c r="C22225" t="s">
        <v>46</v>
      </c>
      <c r="D22225" t="s">
        <v>17</v>
      </c>
      <c r="E22225" t="s">
        <v>12</v>
      </c>
      <c r="F22225">
        <v>129941902</v>
      </c>
      <c r="G22225">
        <v>129941940</v>
      </c>
      <c r="H22225">
        <v>129941949</v>
      </c>
      <c r="I22225">
        <v>129941971</v>
      </c>
    </row>
    <row r="22226" spans="1:9" x14ac:dyDescent="0.2">
      <c r="A22226" t="str">
        <f>"Vldlr"</f>
        <v>Vldlr</v>
      </c>
      <c r="B22226" t="s">
        <v>14</v>
      </c>
      <c r="C22226" t="s">
        <v>10</v>
      </c>
      <c r="D22226" t="s">
        <v>17</v>
      </c>
      <c r="E22226" t="s">
        <v>12</v>
      </c>
      <c r="F22226">
        <v>27217509</v>
      </c>
      <c r="G22226">
        <v>27217605</v>
      </c>
      <c r="H22226">
        <v>27217011</v>
      </c>
      <c r="I22226">
        <v>27217042</v>
      </c>
    </row>
    <row r="22227" spans="1:9" x14ac:dyDescent="0.2">
      <c r="A22227" t="str">
        <f>"Vma21"</f>
        <v>Vma21</v>
      </c>
      <c r="B22227" t="s">
        <v>14</v>
      </c>
      <c r="C22227" t="s">
        <v>37</v>
      </c>
      <c r="D22227" t="s">
        <v>17</v>
      </c>
      <c r="E22227" t="s">
        <v>12</v>
      </c>
      <c r="F22227">
        <v>71816772</v>
      </c>
      <c r="G22227">
        <v>71816813</v>
      </c>
      <c r="H22227">
        <v>71816772</v>
      </c>
      <c r="I22227">
        <v>71816813</v>
      </c>
    </row>
    <row r="22228" spans="1:9" x14ac:dyDescent="0.2">
      <c r="A22228" t="str">
        <f>"Vma21-ps"</f>
        <v>Vma21-ps</v>
      </c>
      <c r="B22228" t="s">
        <v>5991</v>
      </c>
      <c r="C22228" t="s">
        <v>23</v>
      </c>
      <c r="D22228" t="s">
        <v>11</v>
      </c>
      <c r="E22228" t="s">
        <v>20</v>
      </c>
      <c r="F22228">
        <v>52497243</v>
      </c>
      <c r="G22228">
        <v>52497243</v>
      </c>
      <c r="H22228">
        <v>52497243</v>
      </c>
      <c r="I22228">
        <v>52497243</v>
      </c>
    </row>
    <row r="22229" spans="1:9" x14ac:dyDescent="0.2">
      <c r="A22229" t="str">
        <f>"Vmac"</f>
        <v>Vmac</v>
      </c>
      <c r="B22229" t="s">
        <v>14</v>
      </c>
      <c r="C22229" t="s">
        <v>28</v>
      </c>
      <c r="D22229" t="s">
        <v>11</v>
      </c>
      <c r="E22229" t="s">
        <v>12</v>
      </c>
      <c r="F22229">
        <v>56716788</v>
      </c>
      <c r="G22229">
        <v>56716858</v>
      </c>
      <c r="H22229">
        <v>56717681</v>
      </c>
      <c r="I22229">
        <v>56717709</v>
      </c>
    </row>
    <row r="22230" spans="1:9" x14ac:dyDescent="0.2">
      <c r="A22230" t="str">
        <f>"Vmn1r-ps123"</f>
        <v>Vmn1r-ps123</v>
      </c>
      <c r="B22230" t="s">
        <v>5992</v>
      </c>
      <c r="C22230" t="s">
        <v>39</v>
      </c>
      <c r="D22230" t="s">
        <v>11</v>
      </c>
      <c r="E22230" t="s">
        <v>20</v>
      </c>
      <c r="F22230">
        <v>22996645</v>
      </c>
      <c r="G22230">
        <v>22996645</v>
      </c>
      <c r="H22230">
        <v>22996645</v>
      </c>
      <c r="I22230">
        <v>22996645</v>
      </c>
    </row>
    <row r="22231" spans="1:9" x14ac:dyDescent="0.2">
      <c r="A22231" t="str">
        <f>"Vmn1r1"</f>
        <v>Vmn1r1</v>
      </c>
      <c r="B22231" t="s">
        <v>5993</v>
      </c>
      <c r="C22231" t="s">
        <v>19</v>
      </c>
      <c r="D22231" t="s">
        <v>11</v>
      </c>
      <c r="E22231" t="s">
        <v>20</v>
      </c>
      <c r="F22231">
        <v>182158318</v>
      </c>
      <c r="G22231">
        <v>182158318</v>
      </c>
      <c r="H22231">
        <v>182158318</v>
      </c>
      <c r="I22231">
        <v>182158318</v>
      </c>
    </row>
    <row r="22232" spans="1:9" x14ac:dyDescent="0.2">
      <c r="A22232" t="str">
        <f>"Vmn1r10"</f>
        <v>Vmn1r10</v>
      </c>
      <c r="B22232" t="s">
        <v>5994</v>
      </c>
      <c r="C22232" t="s">
        <v>32</v>
      </c>
      <c r="D22232" t="s">
        <v>17</v>
      </c>
      <c r="E22232" t="s">
        <v>20</v>
      </c>
      <c r="F22232">
        <v>57113395</v>
      </c>
      <c r="G22232">
        <v>57113395</v>
      </c>
      <c r="H22232">
        <v>57113395</v>
      </c>
      <c r="I22232">
        <v>57113395</v>
      </c>
    </row>
    <row r="22233" spans="1:9" x14ac:dyDescent="0.2">
      <c r="A22233" t="str">
        <f>"Vmn1r100"</f>
        <v>Vmn1r100</v>
      </c>
      <c r="B22233" t="s">
        <v>5995</v>
      </c>
      <c r="C22233" t="s">
        <v>33</v>
      </c>
      <c r="D22233" t="s">
        <v>17</v>
      </c>
      <c r="E22233" t="s">
        <v>20</v>
      </c>
      <c r="F22233">
        <v>20417941</v>
      </c>
      <c r="G22233">
        <v>20417941</v>
      </c>
      <c r="H22233">
        <v>20417941</v>
      </c>
      <c r="I22233">
        <v>20417941</v>
      </c>
    </row>
    <row r="22234" spans="1:9" x14ac:dyDescent="0.2">
      <c r="A22234" t="str">
        <f>"Vmn1r101"</f>
        <v>Vmn1r101</v>
      </c>
      <c r="B22234" t="s">
        <v>5996</v>
      </c>
      <c r="C22234" t="s">
        <v>33</v>
      </c>
      <c r="D22234" t="s">
        <v>11</v>
      </c>
      <c r="E22234" t="s">
        <v>20</v>
      </c>
      <c r="F22234">
        <v>20442592</v>
      </c>
      <c r="G22234">
        <v>20442592</v>
      </c>
      <c r="H22234">
        <v>20442592</v>
      </c>
      <c r="I22234">
        <v>20442592</v>
      </c>
    </row>
    <row r="22235" spans="1:9" x14ac:dyDescent="0.2">
      <c r="A22235" t="str">
        <f>"Vmn1r103"</f>
        <v>Vmn1r103</v>
      </c>
      <c r="B22235" t="s">
        <v>5997</v>
      </c>
      <c r="C22235" t="s">
        <v>33</v>
      </c>
      <c r="D22235" t="s">
        <v>11</v>
      </c>
      <c r="E22235" t="s">
        <v>20</v>
      </c>
      <c r="F22235">
        <v>20510533</v>
      </c>
      <c r="G22235">
        <v>20510533</v>
      </c>
      <c r="H22235">
        <v>20510533</v>
      </c>
      <c r="I22235">
        <v>20510533</v>
      </c>
    </row>
    <row r="22236" spans="1:9" x14ac:dyDescent="0.2">
      <c r="A22236" t="str">
        <f>"Vmn1r104"</f>
        <v>Vmn1r104</v>
      </c>
      <c r="B22236" t="s">
        <v>5998</v>
      </c>
      <c r="C22236" t="s">
        <v>33</v>
      </c>
      <c r="D22236" t="s">
        <v>17</v>
      </c>
      <c r="E22236" t="s">
        <v>20</v>
      </c>
      <c r="F22236">
        <v>20533836</v>
      </c>
      <c r="G22236">
        <v>20533836</v>
      </c>
      <c r="H22236">
        <v>20533836</v>
      </c>
      <c r="I22236">
        <v>20533836</v>
      </c>
    </row>
    <row r="22237" spans="1:9" x14ac:dyDescent="0.2">
      <c r="A22237" t="str">
        <f>"Vmn1r107"</f>
        <v>Vmn1r107</v>
      </c>
      <c r="B22237" t="s">
        <v>5999</v>
      </c>
      <c r="C22237" t="s">
        <v>33</v>
      </c>
      <c r="D22237" t="s">
        <v>17</v>
      </c>
      <c r="E22237" t="s">
        <v>20</v>
      </c>
      <c r="F22237">
        <v>20668917</v>
      </c>
      <c r="G22237">
        <v>20668917</v>
      </c>
      <c r="H22237">
        <v>20668917</v>
      </c>
      <c r="I22237">
        <v>20668917</v>
      </c>
    </row>
    <row r="22238" spans="1:9" x14ac:dyDescent="0.2">
      <c r="A22238" t="str">
        <f>"Vmn1r11"</f>
        <v>Vmn1r11</v>
      </c>
      <c r="B22238" t="s">
        <v>6000</v>
      </c>
      <c r="C22238" t="s">
        <v>32</v>
      </c>
      <c r="D22238" t="s">
        <v>17</v>
      </c>
      <c r="E22238" t="s">
        <v>20</v>
      </c>
      <c r="F22238">
        <v>57137298</v>
      </c>
      <c r="G22238">
        <v>57137298</v>
      </c>
      <c r="H22238">
        <v>57137298</v>
      </c>
      <c r="I22238">
        <v>57137298</v>
      </c>
    </row>
    <row r="22239" spans="1:9" x14ac:dyDescent="0.2">
      <c r="A22239" t="str">
        <f>"Vmn1r111"</f>
        <v>Vmn1r111</v>
      </c>
      <c r="B22239" t="s">
        <v>6001</v>
      </c>
      <c r="C22239" t="s">
        <v>33</v>
      </c>
      <c r="D22239" t="s">
        <v>11</v>
      </c>
      <c r="E22239" t="s">
        <v>20</v>
      </c>
      <c r="F22239">
        <v>20703215</v>
      </c>
      <c r="G22239">
        <v>20703215</v>
      </c>
      <c r="H22239">
        <v>20703215</v>
      </c>
      <c r="I22239">
        <v>20703215</v>
      </c>
    </row>
    <row r="22240" spans="1:9" x14ac:dyDescent="0.2">
      <c r="A22240" t="str">
        <f>"Vmn1r112"</f>
        <v>Vmn1r112</v>
      </c>
      <c r="B22240" t="s">
        <v>6002</v>
      </c>
      <c r="C22240" t="s">
        <v>33</v>
      </c>
      <c r="D22240" t="s">
        <v>17</v>
      </c>
      <c r="E22240" t="s">
        <v>20</v>
      </c>
      <c r="F22240">
        <v>20771184</v>
      </c>
      <c r="G22240">
        <v>20771184</v>
      </c>
      <c r="H22240">
        <v>20771184</v>
      </c>
      <c r="I22240">
        <v>20771184</v>
      </c>
    </row>
    <row r="22241" spans="1:9" x14ac:dyDescent="0.2">
      <c r="A22241" t="str">
        <f>"Vmn1r113"</f>
        <v>Vmn1r113</v>
      </c>
      <c r="B22241" t="s">
        <v>6003</v>
      </c>
      <c r="C22241" t="s">
        <v>33</v>
      </c>
      <c r="D22241" t="s">
        <v>17</v>
      </c>
      <c r="E22241" t="s">
        <v>20</v>
      </c>
      <c r="F22241">
        <v>20787284</v>
      </c>
      <c r="G22241">
        <v>20787284</v>
      </c>
      <c r="H22241">
        <v>20787284</v>
      </c>
      <c r="I22241">
        <v>20787284</v>
      </c>
    </row>
    <row r="22242" spans="1:9" x14ac:dyDescent="0.2">
      <c r="A22242" t="str">
        <f>"Vmn1r114"</f>
        <v>Vmn1r114</v>
      </c>
      <c r="B22242" t="s">
        <v>6004</v>
      </c>
      <c r="C22242" t="s">
        <v>33</v>
      </c>
      <c r="D22242" t="s">
        <v>11</v>
      </c>
      <c r="E22242" t="s">
        <v>20</v>
      </c>
      <c r="F22242">
        <v>20812185</v>
      </c>
      <c r="G22242">
        <v>20812185</v>
      </c>
      <c r="H22242">
        <v>20812185</v>
      </c>
      <c r="I22242">
        <v>20812185</v>
      </c>
    </row>
    <row r="22243" spans="1:9" x14ac:dyDescent="0.2">
      <c r="A22243" t="str">
        <f>"Vmn1r115"</f>
        <v>Vmn1r115</v>
      </c>
      <c r="B22243" t="s">
        <v>6005</v>
      </c>
      <c r="C22243" t="s">
        <v>33</v>
      </c>
      <c r="D22243" t="s">
        <v>11</v>
      </c>
      <c r="E22243" t="s">
        <v>20</v>
      </c>
      <c r="F22243">
        <v>20844984</v>
      </c>
      <c r="G22243">
        <v>20844984</v>
      </c>
      <c r="H22243">
        <v>20844984</v>
      </c>
      <c r="I22243">
        <v>20844984</v>
      </c>
    </row>
    <row r="22244" spans="1:9" x14ac:dyDescent="0.2">
      <c r="A22244" t="str">
        <f>"Vmn1r116"</f>
        <v>Vmn1r116</v>
      </c>
      <c r="B22244" t="s">
        <v>6006</v>
      </c>
      <c r="C22244" t="s">
        <v>33</v>
      </c>
      <c r="D22244" t="s">
        <v>17</v>
      </c>
      <c r="E22244" t="s">
        <v>20</v>
      </c>
      <c r="F22244">
        <v>20872255</v>
      </c>
      <c r="G22244">
        <v>20872255</v>
      </c>
      <c r="H22244">
        <v>20872255</v>
      </c>
      <c r="I22244">
        <v>20872255</v>
      </c>
    </row>
    <row r="22245" spans="1:9" x14ac:dyDescent="0.2">
      <c r="A22245" t="str">
        <f>"Vmn1r117"</f>
        <v>Vmn1r117</v>
      </c>
      <c r="B22245" t="s">
        <v>6007</v>
      </c>
      <c r="C22245" t="s">
        <v>33</v>
      </c>
      <c r="D22245" t="s">
        <v>11</v>
      </c>
      <c r="E22245" t="s">
        <v>20</v>
      </c>
      <c r="F22245">
        <v>20884120</v>
      </c>
      <c r="G22245">
        <v>20884120</v>
      </c>
      <c r="H22245">
        <v>20884120</v>
      </c>
      <c r="I22245">
        <v>20884120</v>
      </c>
    </row>
    <row r="22246" spans="1:9" x14ac:dyDescent="0.2">
      <c r="A22246" t="str">
        <f>"Vmn1r118"</f>
        <v>Vmn1r118</v>
      </c>
      <c r="B22246" t="s">
        <v>6008</v>
      </c>
      <c r="C22246" t="s">
        <v>33</v>
      </c>
      <c r="D22246" t="s">
        <v>11</v>
      </c>
      <c r="E22246" t="s">
        <v>20</v>
      </c>
      <c r="F22246">
        <v>20912346</v>
      </c>
      <c r="G22246">
        <v>20912346</v>
      </c>
      <c r="H22246">
        <v>20912346</v>
      </c>
      <c r="I22246">
        <v>20912346</v>
      </c>
    </row>
    <row r="22247" spans="1:9" x14ac:dyDescent="0.2">
      <c r="A22247" t="str">
        <f>"Vmn1r119"</f>
        <v>Vmn1r119</v>
      </c>
      <c r="B22247" t="s">
        <v>6009</v>
      </c>
      <c r="C22247" t="s">
        <v>33</v>
      </c>
      <c r="D22247" t="s">
        <v>11</v>
      </c>
      <c r="E22247" t="s">
        <v>20</v>
      </c>
      <c r="F22247">
        <v>21012454</v>
      </c>
      <c r="G22247">
        <v>21012454</v>
      </c>
      <c r="H22247">
        <v>21012454</v>
      </c>
      <c r="I22247">
        <v>21012454</v>
      </c>
    </row>
    <row r="22248" spans="1:9" x14ac:dyDescent="0.2">
      <c r="A22248" t="str">
        <f>"Vmn1r12"</f>
        <v>Vmn1r12</v>
      </c>
      <c r="B22248" t="s">
        <v>6010</v>
      </c>
      <c r="C22248" t="s">
        <v>32</v>
      </c>
      <c r="D22248" t="s">
        <v>17</v>
      </c>
      <c r="E22248" t="s">
        <v>20</v>
      </c>
      <c r="F22248">
        <v>57158919</v>
      </c>
      <c r="G22248">
        <v>57158919</v>
      </c>
      <c r="H22248">
        <v>57158919</v>
      </c>
      <c r="I22248">
        <v>57158919</v>
      </c>
    </row>
    <row r="22249" spans="1:9" x14ac:dyDescent="0.2">
      <c r="A22249" t="str">
        <f>"Vmn1r120"</f>
        <v>Vmn1r120</v>
      </c>
      <c r="B22249" t="s">
        <v>6011</v>
      </c>
      <c r="C22249" t="s">
        <v>33</v>
      </c>
      <c r="D22249" t="s">
        <v>11</v>
      </c>
      <c r="E22249" t="s">
        <v>20</v>
      </c>
      <c r="F22249">
        <v>21053783</v>
      </c>
      <c r="G22249">
        <v>21053783</v>
      </c>
      <c r="H22249">
        <v>21053783</v>
      </c>
      <c r="I22249">
        <v>21053783</v>
      </c>
    </row>
    <row r="22250" spans="1:9" x14ac:dyDescent="0.2">
      <c r="A22250" t="str">
        <f>"Vmn1r121"</f>
        <v>Vmn1r121</v>
      </c>
      <c r="B22250" t="s">
        <v>6012</v>
      </c>
      <c r="C22250" t="s">
        <v>33</v>
      </c>
      <c r="D22250" t="s">
        <v>11</v>
      </c>
      <c r="E22250" t="s">
        <v>20</v>
      </c>
      <c r="F22250">
        <v>21098512</v>
      </c>
      <c r="G22250">
        <v>21098512</v>
      </c>
      <c r="H22250">
        <v>21098512</v>
      </c>
      <c r="I22250">
        <v>21098512</v>
      </c>
    </row>
    <row r="22251" spans="1:9" x14ac:dyDescent="0.2">
      <c r="A22251" t="str">
        <f>"Vmn1r122"</f>
        <v>Vmn1r122</v>
      </c>
      <c r="B22251" t="s">
        <v>6013</v>
      </c>
      <c r="C22251" t="s">
        <v>33</v>
      </c>
      <c r="D22251" t="s">
        <v>11</v>
      </c>
      <c r="E22251" t="s">
        <v>20</v>
      </c>
      <c r="F22251">
        <v>21134127</v>
      </c>
      <c r="G22251">
        <v>21134127</v>
      </c>
      <c r="H22251">
        <v>21134127</v>
      </c>
      <c r="I22251">
        <v>21134127</v>
      </c>
    </row>
    <row r="22252" spans="1:9" x14ac:dyDescent="0.2">
      <c r="A22252" t="str">
        <f>"Vmn1r123"</f>
        <v>Vmn1r123</v>
      </c>
      <c r="B22252" t="s">
        <v>6014</v>
      </c>
      <c r="C22252" t="s">
        <v>33</v>
      </c>
      <c r="D22252" t="s">
        <v>17</v>
      </c>
      <c r="E22252" t="s">
        <v>20</v>
      </c>
      <c r="F22252">
        <v>21162184</v>
      </c>
      <c r="G22252">
        <v>21162184</v>
      </c>
      <c r="H22252">
        <v>21162184</v>
      </c>
      <c r="I22252">
        <v>21162184</v>
      </c>
    </row>
    <row r="22253" spans="1:9" x14ac:dyDescent="0.2">
      <c r="A22253" t="str">
        <f>"Vmn1r124"</f>
        <v>Vmn1r124</v>
      </c>
      <c r="B22253" t="s">
        <v>6015</v>
      </c>
      <c r="C22253" t="s">
        <v>33</v>
      </c>
      <c r="D22253" t="s">
        <v>11</v>
      </c>
      <c r="E22253" t="s">
        <v>20</v>
      </c>
      <c r="F22253">
        <v>21260616</v>
      </c>
      <c r="G22253">
        <v>21260616</v>
      </c>
      <c r="H22253">
        <v>21260616</v>
      </c>
      <c r="I22253">
        <v>21260616</v>
      </c>
    </row>
    <row r="22254" spans="1:9" x14ac:dyDescent="0.2">
      <c r="A22254" t="str">
        <f>"Vmn1r125"</f>
        <v>Vmn1r125</v>
      </c>
      <c r="B22254" t="s">
        <v>6016</v>
      </c>
      <c r="C22254" t="s">
        <v>33</v>
      </c>
      <c r="D22254" t="s">
        <v>17</v>
      </c>
      <c r="E22254" t="s">
        <v>20</v>
      </c>
      <c r="F22254">
        <v>21272178</v>
      </c>
      <c r="G22254">
        <v>21272178</v>
      </c>
      <c r="H22254">
        <v>21272178</v>
      </c>
      <c r="I22254">
        <v>21272178</v>
      </c>
    </row>
    <row r="22255" spans="1:9" x14ac:dyDescent="0.2">
      <c r="A22255" t="str">
        <f>"Vmn1r126"</f>
        <v>Vmn1r126</v>
      </c>
      <c r="B22255" t="s">
        <v>6017</v>
      </c>
      <c r="C22255" t="s">
        <v>33</v>
      </c>
      <c r="D22255" t="s">
        <v>11</v>
      </c>
      <c r="E22255" t="s">
        <v>20</v>
      </c>
      <c r="F22255">
        <v>21301466</v>
      </c>
      <c r="G22255">
        <v>21301466</v>
      </c>
      <c r="H22255">
        <v>21301466</v>
      </c>
      <c r="I22255">
        <v>21301466</v>
      </c>
    </row>
    <row r="22256" spans="1:9" x14ac:dyDescent="0.2">
      <c r="A22256" t="str">
        <f>"Vmn1r127"</f>
        <v>Vmn1r127</v>
      </c>
      <c r="B22256" t="s">
        <v>6018</v>
      </c>
      <c r="C22256" t="s">
        <v>33</v>
      </c>
      <c r="D22256" t="s">
        <v>11</v>
      </c>
      <c r="E22256" t="s">
        <v>20</v>
      </c>
      <c r="F22256">
        <v>21319860</v>
      </c>
      <c r="G22256">
        <v>21319860</v>
      </c>
      <c r="H22256">
        <v>21319860</v>
      </c>
      <c r="I22256">
        <v>21319860</v>
      </c>
    </row>
    <row r="22257" spans="1:9" x14ac:dyDescent="0.2">
      <c r="A22257" t="str">
        <f>"Vmn1r128"</f>
        <v>Vmn1r128</v>
      </c>
      <c r="B22257" t="s">
        <v>6019</v>
      </c>
      <c r="C22257" t="s">
        <v>33</v>
      </c>
      <c r="D22257" t="s">
        <v>17</v>
      </c>
      <c r="E22257" t="s">
        <v>20</v>
      </c>
      <c r="F22257">
        <v>21349372</v>
      </c>
      <c r="G22257">
        <v>21349372</v>
      </c>
      <c r="H22257">
        <v>21349372</v>
      </c>
      <c r="I22257">
        <v>21349372</v>
      </c>
    </row>
    <row r="22258" spans="1:9" x14ac:dyDescent="0.2">
      <c r="A22258" t="str">
        <f>"Vmn1r129"</f>
        <v>Vmn1r129</v>
      </c>
      <c r="B22258" t="s">
        <v>6020</v>
      </c>
      <c r="C22258" t="s">
        <v>33</v>
      </c>
      <c r="D22258" t="s">
        <v>11</v>
      </c>
      <c r="E22258" t="s">
        <v>20</v>
      </c>
      <c r="F22258">
        <v>21361290</v>
      </c>
      <c r="G22258">
        <v>21361290</v>
      </c>
      <c r="H22258">
        <v>21361290</v>
      </c>
      <c r="I22258">
        <v>21361290</v>
      </c>
    </row>
    <row r="22259" spans="1:9" x14ac:dyDescent="0.2">
      <c r="A22259" t="str">
        <f>"Vmn1r13"</f>
        <v>Vmn1r13</v>
      </c>
      <c r="B22259" t="s">
        <v>6021</v>
      </c>
      <c r="C22259" t="s">
        <v>32</v>
      </c>
      <c r="D22259" t="s">
        <v>17</v>
      </c>
      <c r="E22259" t="s">
        <v>20</v>
      </c>
      <c r="F22259">
        <v>57209857</v>
      </c>
      <c r="G22259">
        <v>57209857</v>
      </c>
      <c r="H22259">
        <v>57209857</v>
      </c>
      <c r="I22259">
        <v>57209857</v>
      </c>
    </row>
    <row r="22260" spans="1:9" x14ac:dyDescent="0.2">
      <c r="A22260" t="str">
        <f>"Vmn1r130"</f>
        <v>Vmn1r130</v>
      </c>
      <c r="B22260" t="s">
        <v>6022</v>
      </c>
      <c r="C22260" t="s">
        <v>33</v>
      </c>
      <c r="D22260" t="s">
        <v>17</v>
      </c>
      <c r="E22260" t="s">
        <v>20</v>
      </c>
      <c r="F22260">
        <v>21511779</v>
      </c>
      <c r="G22260">
        <v>21511779</v>
      </c>
      <c r="H22260">
        <v>21511779</v>
      </c>
      <c r="I22260">
        <v>21511779</v>
      </c>
    </row>
    <row r="22261" spans="1:9" x14ac:dyDescent="0.2">
      <c r="A22261" t="str">
        <f>"Vmn1r132"</f>
        <v>Vmn1r132</v>
      </c>
      <c r="B22261" t="s">
        <v>6023</v>
      </c>
      <c r="C22261" t="s">
        <v>33</v>
      </c>
      <c r="D22261" t="s">
        <v>17</v>
      </c>
      <c r="E22261" t="s">
        <v>20</v>
      </c>
      <c r="F22261">
        <v>21612744</v>
      </c>
      <c r="G22261">
        <v>21612744</v>
      </c>
      <c r="H22261">
        <v>21612744</v>
      </c>
      <c r="I22261">
        <v>21612744</v>
      </c>
    </row>
    <row r="22262" spans="1:9" x14ac:dyDescent="0.2">
      <c r="A22262" t="str">
        <f>"Vmn1r135"</f>
        <v>Vmn1r135</v>
      </c>
      <c r="B22262" t="s">
        <v>6024</v>
      </c>
      <c r="C22262" t="s">
        <v>33</v>
      </c>
      <c r="D22262" t="s">
        <v>17</v>
      </c>
      <c r="E22262" t="s">
        <v>20</v>
      </c>
      <c r="F22262">
        <v>21832350</v>
      </c>
      <c r="G22262">
        <v>21832350</v>
      </c>
      <c r="H22262">
        <v>21832350</v>
      </c>
      <c r="I22262">
        <v>21832350</v>
      </c>
    </row>
    <row r="22263" spans="1:9" x14ac:dyDescent="0.2">
      <c r="A22263" t="str">
        <f>"Vmn1r137"</f>
        <v>Vmn1r137</v>
      </c>
      <c r="B22263" t="s">
        <v>6025</v>
      </c>
      <c r="C22263" t="s">
        <v>33</v>
      </c>
      <c r="D22263" t="s">
        <v>17</v>
      </c>
      <c r="E22263" t="s">
        <v>20</v>
      </c>
      <c r="F22263">
        <v>21994586</v>
      </c>
      <c r="G22263">
        <v>21994586</v>
      </c>
      <c r="H22263">
        <v>21994586</v>
      </c>
      <c r="I22263">
        <v>21994586</v>
      </c>
    </row>
    <row r="22264" spans="1:9" x14ac:dyDescent="0.2">
      <c r="A22264" t="str">
        <f>"Vmn1r139"</f>
        <v>Vmn1r139</v>
      </c>
      <c r="B22264" t="s">
        <v>6026</v>
      </c>
      <c r="C22264" t="s">
        <v>33</v>
      </c>
      <c r="D22264" t="s">
        <v>17</v>
      </c>
      <c r="E22264" t="s">
        <v>20</v>
      </c>
      <c r="F22264">
        <v>22096866</v>
      </c>
      <c r="G22264">
        <v>22096866</v>
      </c>
      <c r="H22264">
        <v>22096866</v>
      </c>
      <c r="I22264">
        <v>22096866</v>
      </c>
    </row>
    <row r="22265" spans="1:9" x14ac:dyDescent="0.2">
      <c r="A22265" t="str">
        <f>"Vmn1r14"</f>
        <v>Vmn1r14</v>
      </c>
      <c r="B22265" t="s">
        <v>6027</v>
      </c>
      <c r="C22265" t="s">
        <v>32</v>
      </c>
      <c r="D22265" t="s">
        <v>17</v>
      </c>
      <c r="E22265" t="s">
        <v>20</v>
      </c>
      <c r="F22265">
        <v>57232842</v>
      </c>
      <c r="G22265">
        <v>57232842</v>
      </c>
      <c r="H22265">
        <v>57232842</v>
      </c>
      <c r="I22265">
        <v>57232842</v>
      </c>
    </row>
    <row r="22266" spans="1:9" x14ac:dyDescent="0.2">
      <c r="A22266" t="str">
        <f>"Vmn1r142"</f>
        <v>Vmn1r142</v>
      </c>
      <c r="B22266" t="s">
        <v>6028</v>
      </c>
      <c r="C22266" t="s">
        <v>33</v>
      </c>
      <c r="D22266" t="s">
        <v>11</v>
      </c>
      <c r="E22266" t="s">
        <v>20</v>
      </c>
      <c r="F22266">
        <v>22164034</v>
      </c>
      <c r="G22266">
        <v>22164034</v>
      </c>
      <c r="H22266">
        <v>22164034</v>
      </c>
      <c r="I22266">
        <v>22164034</v>
      </c>
    </row>
    <row r="22267" spans="1:9" x14ac:dyDescent="0.2">
      <c r="A22267" t="str">
        <f>"Vmn1r143"</f>
        <v>Vmn1r143</v>
      </c>
      <c r="B22267" t="s">
        <v>6029</v>
      </c>
      <c r="C22267" t="s">
        <v>33</v>
      </c>
      <c r="D22267" t="s">
        <v>17</v>
      </c>
      <c r="E22267" t="s">
        <v>20</v>
      </c>
      <c r="F22267">
        <v>22189376</v>
      </c>
      <c r="G22267">
        <v>22189376</v>
      </c>
      <c r="H22267">
        <v>22189376</v>
      </c>
      <c r="I22267">
        <v>22189376</v>
      </c>
    </row>
    <row r="22268" spans="1:9" x14ac:dyDescent="0.2">
      <c r="A22268" t="str">
        <f>"Vmn1r148"</f>
        <v>Vmn1r148</v>
      </c>
      <c r="B22268" t="s">
        <v>6030</v>
      </c>
      <c r="C22268" t="s">
        <v>33</v>
      </c>
      <c r="D22268" t="s">
        <v>17</v>
      </c>
      <c r="E22268" t="s">
        <v>20</v>
      </c>
      <c r="F22268">
        <v>22412230</v>
      </c>
      <c r="G22268">
        <v>22412230</v>
      </c>
      <c r="H22268">
        <v>22412230</v>
      </c>
      <c r="I22268">
        <v>22412230</v>
      </c>
    </row>
    <row r="22269" spans="1:9" x14ac:dyDescent="0.2">
      <c r="A22269" t="str">
        <f>"Vmn1r149"</f>
        <v>Vmn1r149</v>
      </c>
      <c r="B22269" t="s">
        <v>6031</v>
      </c>
      <c r="C22269" t="s">
        <v>33</v>
      </c>
      <c r="D22269" t="s">
        <v>11</v>
      </c>
      <c r="E22269" t="s">
        <v>20</v>
      </c>
      <c r="F22269">
        <v>22438228</v>
      </c>
      <c r="G22269">
        <v>22438228</v>
      </c>
      <c r="H22269">
        <v>22438228</v>
      </c>
      <c r="I22269">
        <v>22438228</v>
      </c>
    </row>
    <row r="22270" spans="1:9" x14ac:dyDescent="0.2">
      <c r="A22270" t="str">
        <f>"Vmn1r15"</f>
        <v>Vmn1r15</v>
      </c>
      <c r="B22270" t="s">
        <v>6032</v>
      </c>
      <c r="C22270" t="s">
        <v>32</v>
      </c>
      <c r="D22270" t="s">
        <v>17</v>
      </c>
      <c r="E22270" t="s">
        <v>20</v>
      </c>
      <c r="F22270">
        <v>57258148</v>
      </c>
      <c r="G22270">
        <v>57258148</v>
      </c>
      <c r="H22270">
        <v>57258148</v>
      </c>
      <c r="I22270">
        <v>57258148</v>
      </c>
    </row>
    <row r="22271" spans="1:9" x14ac:dyDescent="0.2">
      <c r="A22271" t="str">
        <f>"Vmn1r151"</f>
        <v>Vmn1r151</v>
      </c>
      <c r="B22271" t="s">
        <v>6033</v>
      </c>
      <c r="C22271" t="s">
        <v>33</v>
      </c>
      <c r="D22271" t="s">
        <v>11</v>
      </c>
      <c r="E22271" t="s">
        <v>20</v>
      </c>
      <c r="F22271">
        <v>22499677</v>
      </c>
      <c r="G22271">
        <v>22499677</v>
      </c>
      <c r="H22271">
        <v>22499677</v>
      </c>
      <c r="I22271">
        <v>22499677</v>
      </c>
    </row>
    <row r="22272" spans="1:9" x14ac:dyDescent="0.2">
      <c r="A22272" t="str">
        <f>"Vmn1r152"</f>
        <v>Vmn1r152</v>
      </c>
      <c r="B22272" t="s">
        <v>6034</v>
      </c>
      <c r="C22272" t="s">
        <v>33</v>
      </c>
      <c r="D22272" t="s">
        <v>17</v>
      </c>
      <c r="E22272" t="s">
        <v>20</v>
      </c>
      <c r="F22272">
        <v>22522966</v>
      </c>
      <c r="G22272">
        <v>22522966</v>
      </c>
      <c r="H22272">
        <v>22522966</v>
      </c>
      <c r="I22272">
        <v>22522966</v>
      </c>
    </row>
    <row r="22273" spans="1:9" x14ac:dyDescent="0.2">
      <c r="A22273" t="str">
        <f>"Vmn1r155"</f>
        <v>Vmn1r155</v>
      </c>
      <c r="B22273" t="s">
        <v>6035</v>
      </c>
      <c r="C22273" t="s">
        <v>33</v>
      </c>
      <c r="D22273" t="s">
        <v>17</v>
      </c>
      <c r="E22273" t="s">
        <v>20</v>
      </c>
      <c r="F22273">
        <v>22658017</v>
      </c>
      <c r="G22273">
        <v>22658017</v>
      </c>
      <c r="H22273">
        <v>22658017</v>
      </c>
      <c r="I22273">
        <v>22658017</v>
      </c>
    </row>
    <row r="22274" spans="1:9" x14ac:dyDescent="0.2">
      <c r="A22274" t="str">
        <f>"Vmn1r157"</f>
        <v>Vmn1r157</v>
      </c>
      <c r="B22274" t="s">
        <v>6036</v>
      </c>
      <c r="C22274" t="s">
        <v>33</v>
      </c>
      <c r="D22274" t="s">
        <v>17</v>
      </c>
      <c r="E22274" t="s">
        <v>20</v>
      </c>
      <c r="F22274">
        <v>22761696</v>
      </c>
      <c r="G22274">
        <v>22761696</v>
      </c>
      <c r="H22274">
        <v>22761696</v>
      </c>
      <c r="I22274">
        <v>22761696</v>
      </c>
    </row>
    <row r="22275" spans="1:9" x14ac:dyDescent="0.2">
      <c r="A22275" t="str">
        <f>"Vmn1r158"</f>
        <v>Vmn1r158</v>
      </c>
      <c r="B22275" t="s">
        <v>6037</v>
      </c>
      <c r="C22275" t="s">
        <v>33</v>
      </c>
      <c r="D22275" t="s">
        <v>11</v>
      </c>
      <c r="E22275" t="s">
        <v>20</v>
      </c>
      <c r="F22275">
        <v>22790781</v>
      </c>
      <c r="G22275">
        <v>22790781</v>
      </c>
      <c r="H22275">
        <v>22790781</v>
      </c>
      <c r="I22275">
        <v>22790781</v>
      </c>
    </row>
    <row r="22276" spans="1:9" x14ac:dyDescent="0.2">
      <c r="A22276" t="str">
        <f>"Vmn1r159"</f>
        <v>Vmn1r159</v>
      </c>
      <c r="B22276" t="s">
        <v>6038</v>
      </c>
      <c r="C22276" t="s">
        <v>33</v>
      </c>
      <c r="D22276" t="s">
        <v>11</v>
      </c>
      <c r="E22276" t="s">
        <v>20</v>
      </c>
      <c r="F22276">
        <v>22843604</v>
      </c>
      <c r="G22276">
        <v>22843604</v>
      </c>
      <c r="H22276">
        <v>22843604</v>
      </c>
      <c r="I22276">
        <v>22843604</v>
      </c>
    </row>
    <row r="22277" spans="1:9" x14ac:dyDescent="0.2">
      <c r="A22277" t="str">
        <f>"Vmn1r16"</f>
        <v>Vmn1r16</v>
      </c>
      <c r="B22277" t="s">
        <v>6039</v>
      </c>
      <c r="C22277" t="s">
        <v>32</v>
      </c>
      <c r="D22277" t="s">
        <v>11</v>
      </c>
      <c r="E22277" t="s">
        <v>20</v>
      </c>
      <c r="F22277">
        <v>57323656</v>
      </c>
      <c r="G22277">
        <v>57323656</v>
      </c>
      <c r="H22277">
        <v>57323656</v>
      </c>
      <c r="I22277">
        <v>57323656</v>
      </c>
    </row>
    <row r="22278" spans="1:9" x14ac:dyDescent="0.2">
      <c r="A22278" t="str">
        <f>"Vmn1r160"</f>
        <v>Vmn1r160</v>
      </c>
      <c r="B22278" t="s">
        <v>6040</v>
      </c>
      <c r="C22278" t="s">
        <v>33</v>
      </c>
      <c r="D22278" t="s">
        <v>17</v>
      </c>
      <c r="E22278" t="s">
        <v>20</v>
      </c>
      <c r="F22278">
        <v>22871223</v>
      </c>
      <c r="G22278">
        <v>22871223</v>
      </c>
      <c r="H22278">
        <v>22871223</v>
      </c>
      <c r="I22278">
        <v>22871223</v>
      </c>
    </row>
    <row r="22279" spans="1:9" x14ac:dyDescent="0.2">
      <c r="A22279" t="str">
        <f>"Vmn1r163"</f>
        <v>Vmn1r163</v>
      </c>
      <c r="B22279" t="s">
        <v>6041</v>
      </c>
      <c r="C22279" t="s">
        <v>33</v>
      </c>
      <c r="D22279" t="s">
        <v>17</v>
      </c>
      <c r="E22279" t="s">
        <v>20</v>
      </c>
      <c r="F22279">
        <v>23055539</v>
      </c>
      <c r="G22279">
        <v>23055539</v>
      </c>
      <c r="H22279">
        <v>23055539</v>
      </c>
      <c r="I22279">
        <v>23055539</v>
      </c>
    </row>
    <row r="22280" spans="1:9" x14ac:dyDescent="0.2">
      <c r="A22280" t="str">
        <f>"Vmn1r165"</f>
        <v>Vmn1r165</v>
      </c>
      <c r="B22280" t="s">
        <v>6042</v>
      </c>
      <c r="C22280" t="s">
        <v>33</v>
      </c>
      <c r="D22280" t="s">
        <v>17</v>
      </c>
      <c r="E22280" t="s">
        <v>20</v>
      </c>
      <c r="F22280">
        <v>23217331</v>
      </c>
      <c r="G22280">
        <v>23217331</v>
      </c>
      <c r="H22280">
        <v>23217331</v>
      </c>
      <c r="I22280">
        <v>23217331</v>
      </c>
    </row>
    <row r="22281" spans="1:9" x14ac:dyDescent="0.2">
      <c r="A22281" t="str">
        <f>"Vmn1r167"</f>
        <v>Vmn1r167</v>
      </c>
      <c r="B22281" t="s">
        <v>6043</v>
      </c>
      <c r="C22281" t="s">
        <v>33</v>
      </c>
      <c r="D22281" t="s">
        <v>11</v>
      </c>
      <c r="E22281" t="s">
        <v>20</v>
      </c>
      <c r="F22281">
        <v>23505588</v>
      </c>
      <c r="G22281">
        <v>23505588</v>
      </c>
      <c r="H22281">
        <v>23505588</v>
      </c>
      <c r="I22281">
        <v>23505588</v>
      </c>
    </row>
    <row r="22282" spans="1:9" x14ac:dyDescent="0.2">
      <c r="A22282" t="str">
        <f>"Vmn1r168"</f>
        <v>Vmn1r168</v>
      </c>
      <c r="B22282" t="s">
        <v>6044</v>
      </c>
      <c r="C22282" t="s">
        <v>33</v>
      </c>
      <c r="D22282" t="s">
        <v>17</v>
      </c>
      <c r="E22282" t="s">
        <v>20</v>
      </c>
      <c r="F22282">
        <v>23540719</v>
      </c>
      <c r="G22282">
        <v>23540719</v>
      </c>
      <c r="H22282">
        <v>23540719</v>
      </c>
      <c r="I22282">
        <v>23540719</v>
      </c>
    </row>
    <row r="22283" spans="1:9" x14ac:dyDescent="0.2">
      <c r="A22283" t="str">
        <f>"Vmn1r169"</f>
        <v>Vmn1r169</v>
      </c>
      <c r="B22283" t="s">
        <v>6045</v>
      </c>
      <c r="C22283" t="s">
        <v>33</v>
      </c>
      <c r="D22283" t="s">
        <v>17</v>
      </c>
      <c r="E22283" t="s">
        <v>20</v>
      </c>
      <c r="F22283">
        <v>23577184</v>
      </c>
      <c r="G22283">
        <v>23577184</v>
      </c>
      <c r="H22283">
        <v>23577184</v>
      </c>
      <c r="I22283">
        <v>23577184</v>
      </c>
    </row>
    <row r="22284" spans="1:9" x14ac:dyDescent="0.2">
      <c r="A22284" t="str">
        <f>"Vmn1r17"</f>
        <v>Vmn1r17</v>
      </c>
      <c r="B22284" t="s">
        <v>6046</v>
      </c>
      <c r="C22284" t="s">
        <v>32</v>
      </c>
      <c r="D22284" t="s">
        <v>11</v>
      </c>
      <c r="E22284" t="s">
        <v>20</v>
      </c>
      <c r="F22284">
        <v>57361430</v>
      </c>
      <c r="G22284">
        <v>57361430</v>
      </c>
      <c r="H22284">
        <v>57361430</v>
      </c>
      <c r="I22284">
        <v>57361430</v>
      </c>
    </row>
    <row r="22285" spans="1:9" x14ac:dyDescent="0.2">
      <c r="A22285" t="str">
        <f>"Vmn1r170"</f>
        <v>Vmn1r170</v>
      </c>
      <c r="B22285" t="s">
        <v>6047</v>
      </c>
      <c r="C22285" t="s">
        <v>33</v>
      </c>
      <c r="D22285" t="s">
        <v>17</v>
      </c>
      <c r="E22285" t="s">
        <v>20</v>
      </c>
      <c r="F22285">
        <v>23606174</v>
      </c>
      <c r="G22285">
        <v>23606174</v>
      </c>
      <c r="H22285">
        <v>23606174</v>
      </c>
      <c r="I22285">
        <v>23606174</v>
      </c>
    </row>
    <row r="22286" spans="1:9" x14ac:dyDescent="0.2">
      <c r="A22286" t="str">
        <f>"Vmn1r171"</f>
        <v>Vmn1r171</v>
      </c>
      <c r="B22286" t="s">
        <v>6048</v>
      </c>
      <c r="C22286" t="s">
        <v>33</v>
      </c>
      <c r="D22286" t="s">
        <v>17</v>
      </c>
      <c r="E22286" t="s">
        <v>20</v>
      </c>
      <c r="F22286">
        <v>23631987</v>
      </c>
      <c r="G22286">
        <v>23631987</v>
      </c>
      <c r="H22286">
        <v>23631987</v>
      </c>
      <c r="I22286">
        <v>23631987</v>
      </c>
    </row>
    <row r="22287" spans="1:9" x14ac:dyDescent="0.2">
      <c r="A22287" t="str">
        <f>"Vmn1r172"</f>
        <v>Vmn1r172</v>
      </c>
      <c r="B22287" t="s">
        <v>6049</v>
      </c>
      <c r="C22287" t="s">
        <v>33</v>
      </c>
      <c r="D22287" t="s">
        <v>17</v>
      </c>
      <c r="E22287" t="s">
        <v>20</v>
      </c>
      <c r="F22287">
        <v>23658367</v>
      </c>
      <c r="G22287">
        <v>23658367</v>
      </c>
      <c r="H22287">
        <v>23658367</v>
      </c>
      <c r="I22287">
        <v>23658367</v>
      </c>
    </row>
    <row r="22288" spans="1:9" x14ac:dyDescent="0.2">
      <c r="A22288" t="str">
        <f>"Vmn1r173"</f>
        <v>Vmn1r173</v>
      </c>
      <c r="B22288" t="s">
        <v>6050</v>
      </c>
      <c r="C22288" t="s">
        <v>33</v>
      </c>
      <c r="D22288" t="s">
        <v>17</v>
      </c>
      <c r="E22288" t="s">
        <v>20</v>
      </c>
      <c r="F22288">
        <v>23702341</v>
      </c>
      <c r="G22288">
        <v>23702341</v>
      </c>
      <c r="H22288">
        <v>23702341</v>
      </c>
      <c r="I22288">
        <v>23702341</v>
      </c>
    </row>
    <row r="22289" spans="1:9" x14ac:dyDescent="0.2">
      <c r="A22289" t="str">
        <f>"Vmn1r174"</f>
        <v>Vmn1r174</v>
      </c>
      <c r="B22289" t="s">
        <v>6051</v>
      </c>
      <c r="C22289" t="s">
        <v>33</v>
      </c>
      <c r="D22289" t="s">
        <v>17</v>
      </c>
      <c r="E22289" t="s">
        <v>20</v>
      </c>
      <c r="F22289">
        <v>23753910</v>
      </c>
      <c r="G22289">
        <v>23753910</v>
      </c>
      <c r="H22289">
        <v>23753910</v>
      </c>
      <c r="I22289">
        <v>23753910</v>
      </c>
    </row>
    <row r="22290" spans="1:9" x14ac:dyDescent="0.2">
      <c r="A22290" t="str">
        <f>"Vmn1r175"</f>
        <v>Vmn1r175</v>
      </c>
      <c r="B22290" t="s">
        <v>6052</v>
      </c>
      <c r="C22290" t="s">
        <v>33</v>
      </c>
      <c r="D22290" t="s">
        <v>11</v>
      </c>
      <c r="E22290" t="s">
        <v>20</v>
      </c>
      <c r="F22290">
        <v>23809199</v>
      </c>
      <c r="G22290">
        <v>23809199</v>
      </c>
      <c r="H22290">
        <v>23809199</v>
      </c>
      <c r="I22290">
        <v>23809199</v>
      </c>
    </row>
    <row r="22291" spans="1:9" x14ac:dyDescent="0.2">
      <c r="A22291" t="str">
        <f>"Vmn1r176"</f>
        <v>Vmn1r176</v>
      </c>
      <c r="B22291" t="s">
        <v>6053</v>
      </c>
      <c r="C22291" t="s">
        <v>33</v>
      </c>
      <c r="D22291" t="s">
        <v>11</v>
      </c>
      <c r="E22291" t="s">
        <v>20</v>
      </c>
      <c r="F22291">
        <v>23835725</v>
      </c>
      <c r="G22291">
        <v>23835725</v>
      </c>
      <c r="H22291">
        <v>23835725</v>
      </c>
      <c r="I22291">
        <v>23835725</v>
      </c>
    </row>
    <row r="22292" spans="1:9" x14ac:dyDescent="0.2">
      <c r="A22292" t="str">
        <f>"Vmn1r177"</f>
        <v>Vmn1r177</v>
      </c>
      <c r="B22292" t="s">
        <v>6054</v>
      </c>
      <c r="C22292" t="s">
        <v>33</v>
      </c>
      <c r="D22292" t="s">
        <v>11</v>
      </c>
      <c r="E22292" t="s">
        <v>20</v>
      </c>
      <c r="F22292">
        <v>23866448</v>
      </c>
      <c r="G22292">
        <v>23866448</v>
      </c>
      <c r="H22292">
        <v>23866448</v>
      </c>
      <c r="I22292">
        <v>23866448</v>
      </c>
    </row>
    <row r="22293" spans="1:9" x14ac:dyDescent="0.2">
      <c r="A22293" t="str">
        <f>"Vmn1r178"</f>
        <v>Vmn1r178</v>
      </c>
      <c r="B22293" t="s">
        <v>6055</v>
      </c>
      <c r="C22293" t="s">
        <v>33</v>
      </c>
      <c r="D22293" t="s">
        <v>17</v>
      </c>
      <c r="E22293" t="s">
        <v>20</v>
      </c>
      <c r="F22293">
        <v>23893528</v>
      </c>
      <c r="G22293">
        <v>23893528</v>
      </c>
      <c r="H22293">
        <v>23893528</v>
      </c>
      <c r="I22293">
        <v>23893528</v>
      </c>
    </row>
    <row r="22294" spans="1:9" x14ac:dyDescent="0.2">
      <c r="A22294" t="str">
        <f>"Vmn1r179"</f>
        <v>Vmn1r179</v>
      </c>
      <c r="B22294" t="s">
        <v>6056</v>
      </c>
      <c r="C22294" t="s">
        <v>33</v>
      </c>
      <c r="D22294" t="s">
        <v>17</v>
      </c>
      <c r="E22294" t="s">
        <v>20</v>
      </c>
      <c r="F22294">
        <v>23928385</v>
      </c>
      <c r="G22294">
        <v>23928385</v>
      </c>
      <c r="H22294">
        <v>23928385</v>
      </c>
      <c r="I22294">
        <v>23928385</v>
      </c>
    </row>
    <row r="22295" spans="1:9" x14ac:dyDescent="0.2">
      <c r="A22295" t="str">
        <f>"Vmn1r18"</f>
        <v>Vmn1r18</v>
      </c>
      <c r="B22295" t="s">
        <v>6057</v>
      </c>
      <c r="C22295" t="s">
        <v>32</v>
      </c>
      <c r="D22295" t="s">
        <v>11</v>
      </c>
      <c r="E22295" t="s">
        <v>20</v>
      </c>
      <c r="F22295">
        <v>57390665</v>
      </c>
      <c r="G22295">
        <v>57390665</v>
      </c>
      <c r="H22295">
        <v>57390665</v>
      </c>
      <c r="I22295">
        <v>57390665</v>
      </c>
    </row>
    <row r="22296" spans="1:9" x14ac:dyDescent="0.2">
      <c r="A22296" t="str">
        <f>"Vmn1r180"</f>
        <v>Vmn1r180</v>
      </c>
      <c r="B22296" t="s">
        <v>6058</v>
      </c>
      <c r="C22296" t="s">
        <v>33</v>
      </c>
      <c r="D22296" t="s">
        <v>17</v>
      </c>
      <c r="E22296" t="s">
        <v>20</v>
      </c>
      <c r="F22296">
        <v>23952386</v>
      </c>
      <c r="G22296">
        <v>23952386</v>
      </c>
      <c r="H22296">
        <v>23952386</v>
      </c>
      <c r="I22296">
        <v>23952386</v>
      </c>
    </row>
    <row r="22297" spans="1:9" x14ac:dyDescent="0.2">
      <c r="A22297" t="str">
        <f>"Vmn1r181"</f>
        <v>Vmn1r181</v>
      </c>
      <c r="B22297" t="s">
        <v>6059</v>
      </c>
      <c r="C22297" t="s">
        <v>33</v>
      </c>
      <c r="D22297" t="s">
        <v>17</v>
      </c>
      <c r="E22297" t="s">
        <v>20</v>
      </c>
      <c r="F22297">
        <v>23983960</v>
      </c>
      <c r="G22297">
        <v>23983960</v>
      </c>
      <c r="H22297">
        <v>23983960</v>
      </c>
      <c r="I22297">
        <v>23983960</v>
      </c>
    </row>
    <row r="22298" spans="1:9" x14ac:dyDescent="0.2">
      <c r="A22298" t="str">
        <f>"Vmn1r183"</f>
        <v>Vmn1r183</v>
      </c>
      <c r="B22298" t="s">
        <v>6060</v>
      </c>
      <c r="C22298" t="s">
        <v>33</v>
      </c>
      <c r="D22298" t="s">
        <v>17</v>
      </c>
      <c r="E22298" t="s">
        <v>20</v>
      </c>
      <c r="F22298">
        <v>24054771</v>
      </c>
      <c r="G22298">
        <v>24054771</v>
      </c>
      <c r="H22298">
        <v>24054771</v>
      </c>
      <c r="I22298">
        <v>24054771</v>
      </c>
    </row>
    <row r="22299" spans="1:9" x14ac:dyDescent="0.2">
      <c r="A22299" t="str">
        <f>"Vmn1r184"</f>
        <v>Vmn1r184</v>
      </c>
      <c r="B22299" t="s">
        <v>6061</v>
      </c>
      <c r="C22299" t="s">
        <v>33</v>
      </c>
      <c r="D22299" t="s">
        <v>17</v>
      </c>
      <c r="E22299" t="s">
        <v>20</v>
      </c>
      <c r="F22299">
        <v>26266830</v>
      </c>
      <c r="G22299">
        <v>26266830</v>
      </c>
      <c r="H22299">
        <v>26266830</v>
      </c>
      <c r="I22299">
        <v>26266830</v>
      </c>
    </row>
    <row r="22300" spans="1:9" x14ac:dyDescent="0.2">
      <c r="A22300" t="str">
        <f>"Vmn1r185"</f>
        <v>Vmn1r185</v>
      </c>
      <c r="B22300" t="s">
        <v>6062</v>
      </c>
      <c r="C22300" t="s">
        <v>33</v>
      </c>
      <c r="D22300" t="s">
        <v>11</v>
      </c>
      <c r="E22300" t="s">
        <v>20</v>
      </c>
      <c r="F22300">
        <v>26612163</v>
      </c>
      <c r="G22300">
        <v>26612163</v>
      </c>
      <c r="H22300">
        <v>26612163</v>
      </c>
      <c r="I22300">
        <v>26612163</v>
      </c>
    </row>
    <row r="22301" spans="1:9" x14ac:dyDescent="0.2">
      <c r="A22301" t="str">
        <f>"Vmn1r188"</f>
        <v>Vmn1r188</v>
      </c>
      <c r="B22301" t="s">
        <v>6063</v>
      </c>
      <c r="C22301" t="s">
        <v>39</v>
      </c>
      <c r="D22301" t="s">
        <v>17</v>
      </c>
      <c r="E22301" t="s">
        <v>20</v>
      </c>
      <c r="F22301">
        <v>22087877</v>
      </c>
      <c r="G22301">
        <v>22087877</v>
      </c>
      <c r="H22301">
        <v>22087877</v>
      </c>
      <c r="I22301">
        <v>22087877</v>
      </c>
    </row>
    <row r="22302" spans="1:9" x14ac:dyDescent="0.2">
      <c r="A22302" t="str">
        <f>"Vmn1r189"</f>
        <v>Vmn1r189</v>
      </c>
      <c r="B22302" t="s">
        <v>6064</v>
      </c>
      <c r="C22302" t="s">
        <v>39</v>
      </c>
      <c r="D22302" t="s">
        <v>11</v>
      </c>
      <c r="E22302" t="s">
        <v>20</v>
      </c>
      <c r="F22302">
        <v>22102763</v>
      </c>
      <c r="G22302">
        <v>22102763</v>
      </c>
      <c r="H22302">
        <v>22102763</v>
      </c>
      <c r="I22302">
        <v>22102763</v>
      </c>
    </row>
    <row r="22303" spans="1:9" x14ac:dyDescent="0.2">
      <c r="A22303" t="str">
        <f>"Vmn1r19"</f>
        <v>Vmn1r19</v>
      </c>
      <c r="B22303" t="s">
        <v>6065</v>
      </c>
      <c r="C22303" t="s">
        <v>32</v>
      </c>
      <c r="D22303" t="s">
        <v>17</v>
      </c>
      <c r="E22303" t="s">
        <v>20</v>
      </c>
      <c r="F22303">
        <v>57404365</v>
      </c>
      <c r="G22303">
        <v>57404365</v>
      </c>
      <c r="H22303">
        <v>57404365</v>
      </c>
      <c r="I22303">
        <v>57404365</v>
      </c>
    </row>
    <row r="22304" spans="1:9" x14ac:dyDescent="0.2">
      <c r="A22304" t="str">
        <f>"Vmn1r191"</f>
        <v>Vmn1r191</v>
      </c>
      <c r="B22304" t="s">
        <v>6066</v>
      </c>
      <c r="C22304" t="s">
        <v>39</v>
      </c>
      <c r="D22304" t="s">
        <v>11</v>
      </c>
      <c r="E22304" t="s">
        <v>20</v>
      </c>
      <c r="F22304">
        <v>22179581</v>
      </c>
      <c r="G22304">
        <v>22179581</v>
      </c>
      <c r="H22304">
        <v>22179581</v>
      </c>
      <c r="I22304">
        <v>22179581</v>
      </c>
    </row>
    <row r="22305" spans="1:9" x14ac:dyDescent="0.2">
      <c r="A22305" t="str">
        <f>"Vmn1r192"</f>
        <v>Vmn1r192</v>
      </c>
      <c r="B22305" t="s">
        <v>6067</v>
      </c>
      <c r="C22305" t="s">
        <v>39</v>
      </c>
      <c r="D22305" t="s">
        <v>11</v>
      </c>
      <c r="E22305" t="s">
        <v>20</v>
      </c>
      <c r="F22305">
        <v>22188139</v>
      </c>
      <c r="G22305">
        <v>22188139</v>
      </c>
      <c r="H22305">
        <v>22188139</v>
      </c>
      <c r="I22305">
        <v>22188139</v>
      </c>
    </row>
    <row r="22306" spans="1:9" x14ac:dyDescent="0.2">
      <c r="A22306" t="str">
        <f>"Vmn1r193"</f>
        <v>Vmn1r193</v>
      </c>
      <c r="B22306" t="s">
        <v>6068</v>
      </c>
      <c r="C22306" t="s">
        <v>39</v>
      </c>
      <c r="D22306" t="s">
        <v>11</v>
      </c>
      <c r="E22306" t="s">
        <v>20</v>
      </c>
      <c r="F22306">
        <v>22219819</v>
      </c>
      <c r="G22306">
        <v>22219819</v>
      </c>
      <c r="H22306">
        <v>22219819</v>
      </c>
      <c r="I22306">
        <v>22219819</v>
      </c>
    </row>
    <row r="22307" spans="1:9" x14ac:dyDescent="0.2">
      <c r="A22307" t="str">
        <f>"Vmn1r194"</f>
        <v>Vmn1r194</v>
      </c>
      <c r="B22307" t="s">
        <v>6069</v>
      </c>
      <c r="C22307" t="s">
        <v>39</v>
      </c>
      <c r="D22307" t="s">
        <v>17</v>
      </c>
      <c r="E22307" t="s">
        <v>20</v>
      </c>
      <c r="F22307">
        <v>22244214</v>
      </c>
      <c r="G22307">
        <v>22244214</v>
      </c>
      <c r="H22307">
        <v>22244214</v>
      </c>
      <c r="I22307">
        <v>22244214</v>
      </c>
    </row>
    <row r="22308" spans="1:9" x14ac:dyDescent="0.2">
      <c r="A22308" t="str">
        <f>"Vmn1r195"</f>
        <v>Vmn1r195</v>
      </c>
      <c r="B22308" t="s">
        <v>6070</v>
      </c>
      <c r="C22308" t="s">
        <v>39</v>
      </c>
      <c r="D22308" t="s">
        <v>17</v>
      </c>
      <c r="E22308" t="s">
        <v>20</v>
      </c>
      <c r="F22308">
        <v>22278316</v>
      </c>
      <c r="G22308">
        <v>22278316</v>
      </c>
      <c r="H22308">
        <v>22278316</v>
      </c>
      <c r="I22308">
        <v>22278316</v>
      </c>
    </row>
    <row r="22309" spans="1:9" x14ac:dyDescent="0.2">
      <c r="A22309" t="str">
        <f>"Vmn1r196"</f>
        <v>Vmn1r196</v>
      </c>
      <c r="B22309" t="s">
        <v>6071</v>
      </c>
      <c r="C22309" t="s">
        <v>39</v>
      </c>
      <c r="D22309" t="s">
        <v>17</v>
      </c>
      <c r="E22309" t="s">
        <v>20</v>
      </c>
      <c r="F22309">
        <v>22293192</v>
      </c>
      <c r="G22309">
        <v>22293192</v>
      </c>
      <c r="H22309">
        <v>22293192</v>
      </c>
      <c r="I22309">
        <v>22293192</v>
      </c>
    </row>
    <row r="22310" spans="1:9" x14ac:dyDescent="0.2">
      <c r="A22310" t="str">
        <f>"Vmn1r197"</f>
        <v>Vmn1r197</v>
      </c>
      <c r="B22310" t="s">
        <v>6072</v>
      </c>
      <c r="C22310" t="s">
        <v>39</v>
      </c>
      <c r="D22310" t="s">
        <v>17</v>
      </c>
      <c r="E22310" t="s">
        <v>20</v>
      </c>
      <c r="F22310">
        <v>22327910</v>
      </c>
      <c r="G22310">
        <v>22327910</v>
      </c>
      <c r="H22310">
        <v>22327910</v>
      </c>
      <c r="I22310">
        <v>22327910</v>
      </c>
    </row>
    <row r="22311" spans="1:9" x14ac:dyDescent="0.2">
      <c r="A22311" t="str">
        <f>"Vmn1r198"</f>
        <v>Vmn1r198</v>
      </c>
      <c r="B22311" t="s">
        <v>6073</v>
      </c>
      <c r="C22311" t="s">
        <v>39</v>
      </c>
      <c r="D22311" t="s">
        <v>17</v>
      </c>
      <c r="E22311" t="s">
        <v>20</v>
      </c>
      <c r="F22311">
        <v>22354345</v>
      </c>
      <c r="G22311">
        <v>22354345</v>
      </c>
      <c r="H22311">
        <v>22354345</v>
      </c>
      <c r="I22311">
        <v>22354345</v>
      </c>
    </row>
    <row r="22312" spans="1:9" x14ac:dyDescent="0.2">
      <c r="A22312" t="str">
        <f>"Vmn1r199"</f>
        <v>Vmn1r199</v>
      </c>
      <c r="B22312" t="s">
        <v>6074</v>
      </c>
      <c r="C22312" t="s">
        <v>39</v>
      </c>
      <c r="D22312" t="s">
        <v>17</v>
      </c>
      <c r="E22312" t="s">
        <v>20</v>
      </c>
      <c r="F22312">
        <v>22382537</v>
      </c>
      <c r="G22312">
        <v>22382537</v>
      </c>
      <c r="H22312">
        <v>22382537</v>
      </c>
      <c r="I22312">
        <v>22382537</v>
      </c>
    </row>
    <row r="22313" spans="1:9" x14ac:dyDescent="0.2">
      <c r="A22313" t="str">
        <f>"Vmn1r2"</f>
        <v>Vmn1r2</v>
      </c>
      <c r="B22313" t="s">
        <v>6075</v>
      </c>
      <c r="C22313" t="s">
        <v>23</v>
      </c>
      <c r="D22313" t="s">
        <v>17</v>
      </c>
      <c r="E22313" t="s">
        <v>20</v>
      </c>
      <c r="F22313">
        <v>3172082</v>
      </c>
      <c r="G22313">
        <v>3172082</v>
      </c>
      <c r="H22313">
        <v>3172082</v>
      </c>
      <c r="I22313">
        <v>3172082</v>
      </c>
    </row>
    <row r="22314" spans="1:9" x14ac:dyDescent="0.2">
      <c r="A22314" t="str">
        <f>"Vmn1r20"</f>
        <v>Vmn1r20</v>
      </c>
      <c r="B22314" t="s">
        <v>6076</v>
      </c>
      <c r="C22314" t="s">
        <v>32</v>
      </c>
      <c r="D22314" t="s">
        <v>17</v>
      </c>
      <c r="E22314" t="s">
        <v>20</v>
      </c>
      <c r="F22314">
        <v>57431643</v>
      </c>
      <c r="G22314">
        <v>57431643</v>
      </c>
      <c r="H22314">
        <v>57431643</v>
      </c>
      <c r="I22314">
        <v>57431643</v>
      </c>
    </row>
    <row r="22315" spans="1:9" x14ac:dyDescent="0.2">
      <c r="A22315" t="str">
        <f>"Vmn1r200"</f>
        <v>Vmn1r200</v>
      </c>
      <c r="B22315" t="s">
        <v>6077</v>
      </c>
      <c r="C22315" t="s">
        <v>39</v>
      </c>
      <c r="D22315" t="s">
        <v>17</v>
      </c>
      <c r="E22315" t="s">
        <v>20</v>
      </c>
      <c r="F22315">
        <v>22394946</v>
      </c>
      <c r="G22315">
        <v>22394946</v>
      </c>
      <c r="H22315">
        <v>22394946</v>
      </c>
      <c r="I22315">
        <v>22394946</v>
      </c>
    </row>
    <row r="22316" spans="1:9" x14ac:dyDescent="0.2">
      <c r="A22316" t="str">
        <f>"Vmn1r201"</f>
        <v>Vmn1r201</v>
      </c>
      <c r="B22316" t="s">
        <v>6078</v>
      </c>
      <c r="C22316" t="s">
        <v>39</v>
      </c>
      <c r="D22316" t="s">
        <v>17</v>
      </c>
      <c r="E22316" t="s">
        <v>20</v>
      </c>
      <c r="F22316">
        <v>22474617</v>
      </c>
      <c r="G22316">
        <v>22474617</v>
      </c>
      <c r="H22316">
        <v>22474617</v>
      </c>
      <c r="I22316">
        <v>22474617</v>
      </c>
    </row>
    <row r="22317" spans="1:9" x14ac:dyDescent="0.2">
      <c r="A22317" t="str">
        <f>"Vmn1r202"</f>
        <v>Vmn1r202</v>
      </c>
      <c r="B22317" t="s">
        <v>6079</v>
      </c>
      <c r="C22317" t="s">
        <v>39</v>
      </c>
      <c r="D22317" t="s">
        <v>11</v>
      </c>
      <c r="E22317" t="s">
        <v>20</v>
      </c>
      <c r="F22317">
        <v>22502244</v>
      </c>
      <c r="G22317">
        <v>22502244</v>
      </c>
      <c r="H22317">
        <v>22502244</v>
      </c>
      <c r="I22317">
        <v>22502244</v>
      </c>
    </row>
    <row r="22318" spans="1:9" x14ac:dyDescent="0.2">
      <c r="A22318" t="str">
        <f>"Vmn1r203"</f>
        <v>Vmn1r203</v>
      </c>
      <c r="B22318" t="s">
        <v>6080</v>
      </c>
      <c r="C22318" t="s">
        <v>39</v>
      </c>
      <c r="D22318" t="s">
        <v>17</v>
      </c>
      <c r="E22318" t="s">
        <v>20</v>
      </c>
      <c r="F22318">
        <v>22524050</v>
      </c>
      <c r="G22318">
        <v>22524050</v>
      </c>
      <c r="H22318">
        <v>22524050</v>
      </c>
      <c r="I22318">
        <v>22524050</v>
      </c>
    </row>
    <row r="22319" spans="1:9" x14ac:dyDescent="0.2">
      <c r="A22319" t="str">
        <f>"Vmn1r204"</f>
        <v>Vmn1r204</v>
      </c>
      <c r="B22319" t="s">
        <v>6081</v>
      </c>
      <c r="C22319" t="s">
        <v>39</v>
      </c>
      <c r="D22319" t="s">
        <v>17</v>
      </c>
      <c r="E22319" t="s">
        <v>20</v>
      </c>
      <c r="F22319">
        <v>22556200</v>
      </c>
      <c r="G22319">
        <v>22556200</v>
      </c>
      <c r="H22319">
        <v>22556200</v>
      </c>
      <c r="I22319">
        <v>22556200</v>
      </c>
    </row>
    <row r="22320" spans="1:9" x14ac:dyDescent="0.2">
      <c r="A22320" t="str">
        <f>"Vmn1r205"</f>
        <v>Vmn1r205</v>
      </c>
      <c r="B22320" t="s">
        <v>6082</v>
      </c>
      <c r="C22320" t="s">
        <v>39</v>
      </c>
      <c r="D22320" t="s">
        <v>11</v>
      </c>
      <c r="E22320" t="s">
        <v>20</v>
      </c>
      <c r="F22320">
        <v>22592999</v>
      </c>
      <c r="G22320">
        <v>22592999</v>
      </c>
      <c r="H22320">
        <v>22592999</v>
      </c>
      <c r="I22320">
        <v>22592999</v>
      </c>
    </row>
    <row r="22321" spans="1:9" x14ac:dyDescent="0.2">
      <c r="A22321" t="str">
        <f>"Vmn1r206"</f>
        <v>Vmn1r206</v>
      </c>
      <c r="B22321" t="s">
        <v>6083</v>
      </c>
      <c r="C22321" t="s">
        <v>39</v>
      </c>
      <c r="D22321" t="s">
        <v>11</v>
      </c>
      <c r="E22321" t="s">
        <v>20</v>
      </c>
      <c r="F22321">
        <v>22621134</v>
      </c>
      <c r="G22321">
        <v>22621134</v>
      </c>
      <c r="H22321">
        <v>22621134</v>
      </c>
      <c r="I22321">
        <v>22621134</v>
      </c>
    </row>
    <row r="22322" spans="1:9" x14ac:dyDescent="0.2">
      <c r="A22322" t="str">
        <f>"Vmn1r208"</f>
        <v>Vmn1r208</v>
      </c>
      <c r="B22322" t="s">
        <v>6084</v>
      </c>
      <c r="C22322" t="s">
        <v>39</v>
      </c>
      <c r="D22322" t="s">
        <v>11</v>
      </c>
      <c r="E22322" t="s">
        <v>20</v>
      </c>
      <c r="F22322">
        <v>22773324</v>
      </c>
      <c r="G22322">
        <v>22773324</v>
      </c>
      <c r="H22322">
        <v>22773324</v>
      </c>
      <c r="I22322">
        <v>22773324</v>
      </c>
    </row>
    <row r="22323" spans="1:9" x14ac:dyDescent="0.2">
      <c r="A22323" t="str">
        <f>"Vmn1r209"</f>
        <v>Vmn1r209</v>
      </c>
      <c r="B22323" t="s">
        <v>6085</v>
      </c>
      <c r="C22323" t="s">
        <v>39</v>
      </c>
      <c r="D22323" t="s">
        <v>11</v>
      </c>
      <c r="E22323" t="s">
        <v>20</v>
      </c>
      <c r="F22323">
        <v>22806517</v>
      </c>
      <c r="G22323">
        <v>22806517</v>
      </c>
      <c r="H22323">
        <v>22806517</v>
      </c>
      <c r="I22323">
        <v>22806517</v>
      </c>
    </row>
    <row r="22324" spans="1:9" x14ac:dyDescent="0.2">
      <c r="A22324" t="str">
        <f>"Vmn1r21"</f>
        <v>Vmn1r21</v>
      </c>
      <c r="B22324" t="s">
        <v>6086</v>
      </c>
      <c r="C22324" t="s">
        <v>32</v>
      </c>
      <c r="D22324" t="s">
        <v>11</v>
      </c>
      <c r="E22324" t="s">
        <v>20</v>
      </c>
      <c r="F22324">
        <v>57844492</v>
      </c>
      <c r="G22324">
        <v>57844492</v>
      </c>
      <c r="H22324">
        <v>57844492</v>
      </c>
      <c r="I22324">
        <v>57844492</v>
      </c>
    </row>
    <row r="22325" spans="1:9" x14ac:dyDescent="0.2">
      <c r="A22325" t="str">
        <f>"Vmn1r210"</f>
        <v>Vmn1r210</v>
      </c>
      <c r="B22325" t="s">
        <v>6087</v>
      </c>
      <c r="C22325" t="s">
        <v>39</v>
      </c>
      <c r="D22325" t="s">
        <v>11</v>
      </c>
      <c r="E22325" t="s">
        <v>20</v>
      </c>
      <c r="F22325">
        <v>22828113</v>
      </c>
      <c r="G22325">
        <v>22828113</v>
      </c>
      <c r="H22325">
        <v>22828113</v>
      </c>
      <c r="I22325">
        <v>22828113</v>
      </c>
    </row>
    <row r="22326" spans="1:9" x14ac:dyDescent="0.2">
      <c r="A22326" t="str">
        <f>"Vmn1r211"</f>
        <v>Vmn1r211</v>
      </c>
      <c r="B22326" t="s">
        <v>6088</v>
      </c>
      <c r="C22326" t="s">
        <v>39</v>
      </c>
      <c r="D22326" t="s">
        <v>11</v>
      </c>
      <c r="E22326" t="s">
        <v>20</v>
      </c>
      <c r="F22326">
        <v>22852542</v>
      </c>
      <c r="G22326">
        <v>22852542</v>
      </c>
      <c r="H22326">
        <v>22852542</v>
      </c>
      <c r="I22326">
        <v>22852542</v>
      </c>
    </row>
    <row r="22327" spans="1:9" x14ac:dyDescent="0.2">
      <c r="A22327" t="str">
        <f>"Vmn1r212"</f>
        <v>Vmn1r212</v>
      </c>
      <c r="B22327" t="s">
        <v>6089</v>
      </c>
      <c r="C22327" t="s">
        <v>39</v>
      </c>
      <c r="D22327" t="s">
        <v>11</v>
      </c>
      <c r="E22327" t="s">
        <v>20</v>
      </c>
      <c r="F22327">
        <v>22884204</v>
      </c>
      <c r="G22327">
        <v>22884204</v>
      </c>
      <c r="H22327">
        <v>22884204</v>
      </c>
      <c r="I22327">
        <v>22884204</v>
      </c>
    </row>
    <row r="22328" spans="1:9" x14ac:dyDescent="0.2">
      <c r="A22328" t="str">
        <f>"Vmn1r213"</f>
        <v>Vmn1r213</v>
      </c>
      <c r="B22328" t="s">
        <v>6090</v>
      </c>
      <c r="C22328" t="s">
        <v>39</v>
      </c>
      <c r="D22328" t="s">
        <v>17</v>
      </c>
      <c r="E22328" t="s">
        <v>20</v>
      </c>
      <c r="F22328">
        <v>23011248</v>
      </c>
      <c r="G22328">
        <v>23011248</v>
      </c>
      <c r="H22328">
        <v>23011248</v>
      </c>
      <c r="I22328">
        <v>23011248</v>
      </c>
    </row>
    <row r="22329" spans="1:9" x14ac:dyDescent="0.2">
      <c r="A22329" t="str">
        <f>"Vmn1r214"</f>
        <v>Vmn1r214</v>
      </c>
      <c r="B22329" t="s">
        <v>6091</v>
      </c>
      <c r="C22329" t="s">
        <v>39</v>
      </c>
      <c r="D22329" t="s">
        <v>17</v>
      </c>
      <c r="E22329" t="s">
        <v>20</v>
      </c>
      <c r="F22329">
        <v>23034293</v>
      </c>
      <c r="G22329">
        <v>23034293</v>
      </c>
      <c r="H22329">
        <v>23034293</v>
      </c>
      <c r="I22329">
        <v>23034293</v>
      </c>
    </row>
    <row r="22330" spans="1:9" x14ac:dyDescent="0.2">
      <c r="A22330" t="str">
        <f>"Vmn1r215"</f>
        <v>Vmn1r215</v>
      </c>
      <c r="B22330" t="s">
        <v>6092</v>
      </c>
      <c r="C22330" t="s">
        <v>39</v>
      </c>
      <c r="D22330" t="s">
        <v>17</v>
      </c>
      <c r="E22330" t="s">
        <v>20</v>
      </c>
      <c r="F22330">
        <v>23075742</v>
      </c>
      <c r="G22330">
        <v>23075742</v>
      </c>
      <c r="H22330">
        <v>23075742</v>
      </c>
      <c r="I22330">
        <v>23075742</v>
      </c>
    </row>
    <row r="22331" spans="1:9" x14ac:dyDescent="0.2">
      <c r="A22331" t="str">
        <f>"Vmn1r216"</f>
        <v>Vmn1r216</v>
      </c>
      <c r="B22331" t="s">
        <v>6093</v>
      </c>
      <c r="C22331" t="s">
        <v>39</v>
      </c>
      <c r="D22331" t="s">
        <v>17</v>
      </c>
      <c r="E22331" t="s">
        <v>20</v>
      </c>
      <c r="F22331">
        <v>23099070</v>
      </c>
      <c r="G22331">
        <v>23099070</v>
      </c>
      <c r="H22331">
        <v>23099070</v>
      </c>
      <c r="I22331">
        <v>23099070</v>
      </c>
    </row>
    <row r="22332" spans="1:9" x14ac:dyDescent="0.2">
      <c r="A22332" t="str">
        <f>"Vmn1r217"</f>
        <v>Vmn1r217</v>
      </c>
      <c r="B22332" t="s">
        <v>6094</v>
      </c>
      <c r="C22332" t="s">
        <v>39</v>
      </c>
      <c r="D22332" t="s">
        <v>11</v>
      </c>
      <c r="E22332" t="s">
        <v>20</v>
      </c>
      <c r="F22332">
        <v>23114729</v>
      </c>
      <c r="G22332">
        <v>23114729</v>
      </c>
      <c r="H22332">
        <v>23114729</v>
      </c>
      <c r="I22332">
        <v>23114729</v>
      </c>
    </row>
    <row r="22333" spans="1:9" x14ac:dyDescent="0.2">
      <c r="A22333" t="str">
        <f>"Vmn1r218"</f>
        <v>Vmn1r218</v>
      </c>
      <c r="B22333" t="s">
        <v>6095</v>
      </c>
      <c r="C22333" t="s">
        <v>39</v>
      </c>
      <c r="D22333" t="s">
        <v>17</v>
      </c>
      <c r="E22333" t="s">
        <v>20</v>
      </c>
      <c r="F22333">
        <v>23136484</v>
      </c>
      <c r="G22333">
        <v>23136484</v>
      </c>
      <c r="H22333">
        <v>23136484</v>
      </c>
      <c r="I22333">
        <v>23136484</v>
      </c>
    </row>
    <row r="22334" spans="1:9" x14ac:dyDescent="0.2">
      <c r="A22334" t="str">
        <f>"Vmn1r219"</f>
        <v>Vmn1r219</v>
      </c>
      <c r="B22334" t="s">
        <v>6096</v>
      </c>
      <c r="C22334" t="s">
        <v>39</v>
      </c>
      <c r="D22334" t="s">
        <v>17</v>
      </c>
      <c r="E22334" t="s">
        <v>20</v>
      </c>
      <c r="F22334">
        <v>23162642</v>
      </c>
      <c r="G22334">
        <v>23162642</v>
      </c>
      <c r="H22334">
        <v>23162642</v>
      </c>
      <c r="I22334">
        <v>23162642</v>
      </c>
    </row>
    <row r="22335" spans="1:9" x14ac:dyDescent="0.2">
      <c r="A22335" t="str">
        <f>"Vmn1r22"</f>
        <v>Vmn1r22</v>
      </c>
      <c r="B22335" t="s">
        <v>6097</v>
      </c>
      <c r="C22335" t="s">
        <v>32</v>
      </c>
      <c r="D22335" t="s">
        <v>11</v>
      </c>
      <c r="E22335" t="s">
        <v>20</v>
      </c>
      <c r="F22335">
        <v>57901053</v>
      </c>
      <c r="G22335">
        <v>57901053</v>
      </c>
      <c r="H22335">
        <v>57901053</v>
      </c>
      <c r="I22335">
        <v>57901053</v>
      </c>
    </row>
    <row r="22336" spans="1:9" x14ac:dyDescent="0.2">
      <c r="A22336" t="str">
        <f>"Vmn1r220"</f>
        <v>Vmn1r220</v>
      </c>
      <c r="B22336" t="s">
        <v>6098</v>
      </c>
      <c r="C22336" t="s">
        <v>39</v>
      </c>
      <c r="D22336" t="s">
        <v>11</v>
      </c>
      <c r="E22336" t="s">
        <v>20</v>
      </c>
      <c r="F22336">
        <v>23184523</v>
      </c>
      <c r="G22336">
        <v>23184523</v>
      </c>
      <c r="H22336">
        <v>23184523</v>
      </c>
      <c r="I22336">
        <v>23184523</v>
      </c>
    </row>
    <row r="22337" spans="1:9" x14ac:dyDescent="0.2">
      <c r="A22337" t="str">
        <f>"Vmn1r222"</f>
        <v>Vmn1r222</v>
      </c>
      <c r="B22337" t="s">
        <v>6099</v>
      </c>
      <c r="C22337" t="s">
        <v>39</v>
      </c>
      <c r="D22337" t="s">
        <v>11</v>
      </c>
      <c r="E22337" t="s">
        <v>20</v>
      </c>
      <c r="F22337">
        <v>23233118</v>
      </c>
      <c r="G22337">
        <v>23233118</v>
      </c>
      <c r="H22337">
        <v>23233118</v>
      </c>
      <c r="I22337">
        <v>23233118</v>
      </c>
    </row>
    <row r="22338" spans="1:9" x14ac:dyDescent="0.2">
      <c r="A22338" t="str">
        <f>"Vmn1r223"</f>
        <v>Vmn1r223</v>
      </c>
      <c r="B22338" t="s">
        <v>6100</v>
      </c>
      <c r="C22338" t="s">
        <v>39</v>
      </c>
      <c r="D22338" t="s">
        <v>17</v>
      </c>
      <c r="E22338" t="s">
        <v>20</v>
      </c>
      <c r="F22338">
        <v>23249237</v>
      </c>
      <c r="G22338">
        <v>23249237</v>
      </c>
      <c r="H22338">
        <v>23249237</v>
      </c>
      <c r="I22338">
        <v>23249237</v>
      </c>
    </row>
    <row r="22339" spans="1:9" x14ac:dyDescent="0.2">
      <c r="A22339" t="str">
        <f>"Vmn1r224"</f>
        <v>Vmn1r224</v>
      </c>
      <c r="B22339" t="s">
        <v>6101</v>
      </c>
      <c r="C22339" t="s">
        <v>28</v>
      </c>
      <c r="D22339" t="s">
        <v>17</v>
      </c>
      <c r="E22339" t="s">
        <v>20</v>
      </c>
      <c r="F22339">
        <v>20419162</v>
      </c>
      <c r="G22339">
        <v>20419162</v>
      </c>
      <c r="H22339">
        <v>20419162</v>
      </c>
      <c r="I22339">
        <v>20419162</v>
      </c>
    </row>
    <row r="22340" spans="1:9" x14ac:dyDescent="0.2">
      <c r="A22340" t="str">
        <f>"Vmn1r225"</f>
        <v>Vmn1r225</v>
      </c>
      <c r="B22340" t="s">
        <v>6102</v>
      </c>
      <c r="C22340" t="s">
        <v>28</v>
      </c>
      <c r="D22340" t="s">
        <v>17</v>
      </c>
      <c r="E22340" t="s">
        <v>20</v>
      </c>
      <c r="F22340">
        <v>20502298</v>
      </c>
      <c r="G22340">
        <v>20502298</v>
      </c>
      <c r="H22340">
        <v>20502298</v>
      </c>
      <c r="I22340">
        <v>20502298</v>
      </c>
    </row>
    <row r="22341" spans="1:9" x14ac:dyDescent="0.2">
      <c r="A22341" t="str">
        <f>"Vmn1r226"</f>
        <v>Vmn1r226</v>
      </c>
      <c r="B22341" t="s">
        <v>6103</v>
      </c>
      <c r="C22341" t="s">
        <v>28</v>
      </c>
      <c r="D22341" t="s">
        <v>17</v>
      </c>
      <c r="E22341" t="s">
        <v>20</v>
      </c>
      <c r="F22341">
        <v>20687507</v>
      </c>
      <c r="G22341">
        <v>20687507</v>
      </c>
      <c r="H22341">
        <v>20687507</v>
      </c>
      <c r="I22341">
        <v>20687507</v>
      </c>
    </row>
    <row r="22342" spans="1:9" x14ac:dyDescent="0.2">
      <c r="A22342" t="str">
        <f>"Vmn1r228"</f>
        <v>Vmn1r228</v>
      </c>
      <c r="B22342" t="s">
        <v>6104</v>
      </c>
      <c r="C22342" t="s">
        <v>28</v>
      </c>
      <c r="D22342" t="s">
        <v>11</v>
      </c>
      <c r="E22342" t="s">
        <v>20</v>
      </c>
      <c r="F22342">
        <v>20777500</v>
      </c>
      <c r="G22342">
        <v>20777500</v>
      </c>
      <c r="H22342">
        <v>20777500</v>
      </c>
      <c r="I22342">
        <v>20777500</v>
      </c>
    </row>
    <row r="22343" spans="1:9" x14ac:dyDescent="0.2">
      <c r="A22343" t="str">
        <f>"Vmn1r229"</f>
        <v>Vmn1r229</v>
      </c>
      <c r="B22343" t="s">
        <v>6105</v>
      </c>
      <c r="C22343" t="s">
        <v>28</v>
      </c>
      <c r="D22343" t="s">
        <v>17</v>
      </c>
      <c r="E22343" t="s">
        <v>20</v>
      </c>
      <c r="F22343">
        <v>20814494</v>
      </c>
      <c r="G22343">
        <v>20814494</v>
      </c>
      <c r="H22343">
        <v>20814494</v>
      </c>
      <c r="I22343">
        <v>20814494</v>
      </c>
    </row>
    <row r="22344" spans="1:9" x14ac:dyDescent="0.2">
      <c r="A22344" t="str">
        <f>"Vmn1r23"</f>
        <v>Vmn1r23</v>
      </c>
      <c r="B22344" t="s">
        <v>6106</v>
      </c>
      <c r="C22344" t="s">
        <v>32</v>
      </c>
      <c r="D22344" t="s">
        <v>11</v>
      </c>
      <c r="E22344" t="s">
        <v>20</v>
      </c>
      <c r="F22344">
        <v>57926837</v>
      </c>
      <c r="G22344">
        <v>57926837</v>
      </c>
      <c r="H22344">
        <v>57926837</v>
      </c>
      <c r="I22344">
        <v>57926837</v>
      </c>
    </row>
    <row r="22345" spans="1:9" x14ac:dyDescent="0.2">
      <c r="A22345" t="str">
        <f>"Vmn1r230"</f>
        <v>Vmn1r230</v>
      </c>
      <c r="B22345" t="s">
        <v>6107</v>
      </c>
      <c r="C22345" t="s">
        <v>28</v>
      </c>
      <c r="D22345" t="s">
        <v>17</v>
      </c>
      <c r="E22345" t="s">
        <v>20</v>
      </c>
      <c r="F22345">
        <v>20846550</v>
      </c>
      <c r="G22345">
        <v>20846550</v>
      </c>
      <c r="H22345">
        <v>20846550</v>
      </c>
      <c r="I22345">
        <v>20846550</v>
      </c>
    </row>
    <row r="22346" spans="1:9" x14ac:dyDescent="0.2">
      <c r="A22346" t="str">
        <f>"Vmn1r231"</f>
        <v>Vmn1r231</v>
      </c>
      <c r="B22346" t="s">
        <v>6108</v>
      </c>
      <c r="C22346" t="s">
        <v>28</v>
      </c>
      <c r="D22346" t="s">
        <v>11</v>
      </c>
      <c r="E22346" t="s">
        <v>20</v>
      </c>
      <c r="F22346">
        <v>20890650</v>
      </c>
      <c r="G22346">
        <v>20890650</v>
      </c>
      <c r="H22346">
        <v>20890650</v>
      </c>
      <c r="I22346">
        <v>20890650</v>
      </c>
    </row>
    <row r="22347" spans="1:9" x14ac:dyDescent="0.2">
      <c r="A22347" t="str">
        <f>"Vmn1r232"</f>
        <v>Vmn1r232</v>
      </c>
      <c r="B22347" t="s">
        <v>6109</v>
      </c>
      <c r="C22347" t="s">
        <v>28</v>
      </c>
      <c r="D22347" t="s">
        <v>11</v>
      </c>
      <c r="E22347" t="s">
        <v>20</v>
      </c>
      <c r="F22347">
        <v>20914362</v>
      </c>
      <c r="G22347">
        <v>20914362</v>
      </c>
      <c r="H22347">
        <v>20914362</v>
      </c>
      <c r="I22347">
        <v>20914362</v>
      </c>
    </row>
    <row r="22348" spans="1:9" x14ac:dyDescent="0.2">
      <c r="A22348" t="str">
        <f>"Vmn1r233"</f>
        <v>Vmn1r233</v>
      </c>
      <c r="B22348" t="s">
        <v>6110</v>
      </c>
      <c r="C22348" t="s">
        <v>28</v>
      </c>
      <c r="D22348" t="s">
        <v>11</v>
      </c>
      <c r="E22348" t="s">
        <v>20</v>
      </c>
      <c r="F22348">
        <v>20994685</v>
      </c>
      <c r="G22348">
        <v>20994685</v>
      </c>
      <c r="H22348">
        <v>20994685</v>
      </c>
      <c r="I22348">
        <v>20994685</v>
      </c>
    </row>
    <row r="22349" spans="1:9" x14ac:dyDescent="0.2">
      <c r="A22349" t="str">
        <f>"Vmn1r234"</f>
        <v>Vmn1r234</v>
      </c>
      <c r="B22349" t="s">
        <v>6111</v>
      </c>
      <c r="C22349" t="s">
        <v>28</v>
      </c>
      <c r="D22349" t="s">
        <v>17</v>
      </c>
      <c r="E22349" t="s">
        <v>20</v>
      </c>
      <c r="F22349">
        <v>21228825</v>
      </c>
      <c r="G22349">
        <v>21228825</v>
      </c>
      <c r="H22349">
        <v>21228825</v>
      </c>
      <c r="I22349">
        <v>21228825</v>
      </c>
    </row>
    <row r="22350" spans="1:9" x14ac:dyDescent="0.2">
      <c r="A22350" t="str">
        <f>"Vmn1r235"</f>
        <v>Vmn1r235</v>
      </c>
      <c r="B22350" t="s">
        <v>6112</v>
      </c>
      <c r="C22350" t="s">
        <v>28</v>
      </c>
      <c r="D22350" t="s">
        <v>17</v>
      </c>
      <c r="E22350" t="s">
        <v>20</v>
      </c>
      <c r="F22350">
        <v>21260426</v>
      </c>
      <c r="G22350">
        <v>21260426</v>
      </c>
      <c r="H22350">
        <v>21260426</v>
      </c>
      <c r="I22350">
        <v>21260426</v>
      </c>
    </row>
    <row r="22351" spans="1:9" x14ac:dyDescent="0.2">
      <c r="A22351" t="str">
        <f>"Vmn1r236"</f>
        <v>Vmn1r236</v>
      </c>
      <c r="B22351" t="s">
        <v>6113</v>
      </c>
      <c r="C22351" t="s">
        <v>28</v>
      </c>
      <c r="D22351" t="s">
        <v>17</v>
      </c>
      <c r="E22351" t="s">
        <v>20</v>
      </c>
      <c r="F22351">
        <v>21286532</v>
      </c>
      <c r="G22351">
        <v>21286532</v>
      </c>
      <c r="H22351">
        <v>21286532</v>
      </c>
      <c r="I22351">
        <v>21286532</v>
      </c>
    </row>
    <row r="22352" spans="1:9" x14ac:dyDescent="0.2">
      <c r="A22352" t="str">
        <f>"Vmn1r237"</f>
        <v>Vmn1r237</v>
      </c>
      <c r="B22352" t="s">
        <v>6114</v>
      </c>
      <c r="C22352" t="s">
        <v>28</v>
      </c>
      <c r="D22352" t="s">
        <v>17</v>
      </c>
      <c r="E22352" t="s">
        <v>20</v>
      </c>
      <c r="F22352">
        <v>21313962</v>
      </c>
      <c r="G22352">
        <v>21313962</v>
      </c>
      <c r="H22352">
        <v>21313962</v>
      </c>
      <c r="I22352">
        <v>21313962</v>
      </c>
    </row>
    <row r="22353" spans="1:9" x14ac:dyDescent="0.2">
      <c r="A22353" t="str">
        <f>"Vmn1r238"</f>
        <v>Vmn1r238</v>
      </c>
      <c r="B22353" t="s">
        <v>6115</v>
      </c>
      <c r="C22353" t="s">
        <v>43</v>
      </c>
      <c r="D22353" t="s">
        <v>11</v>
      </c>
      <c r="E22353" t="s">
        <v>20</v>
      </c>
      <c r="F22353">
        <v>3123411</v>
      </c>
      <c r="G22353">
        <v>3123411</v>
      </c>
      <c r="H22353">
        <v>3123411</v>
      </c>
      <c r="I22353">
        <v>3123411</v>
      </c>
    </row>
    <row r="22354" spans="1:9" x14ac:dyDescent="0.2">
      <c r="A22354" t="str">
        <f>"Vmn1r24"</f>
        <v>Vmn1r24</v>
      </c>
      <c r="B22354" t="s">
        <v>6116</v>
      </c>
      <c r="C22354" t="s">
        <v>32</v>
      </c>
      <c r="D22354" t="s">
        <v>11</v>
      </c>
      <c r="E22354" t="s">
        <v>20</v>
      </c>
      <c r="F22354">
        <v>57956577</v>
      </c>
      <c r="G22354">
        <v>57956577</v>
      </c>
      <c r="H22354">
        <v>57956577</v>
      </c>
      <c r="I22354">
        <v>57956577</v>
      </c>
    </row>
    <row r="22355" spans="1:9" x14ac:dyDescent="0.2">
      <c r="A22355" t="str">
        <f>"Vmn1r25"</f>
        <v>Vmn1r25</v>
      </c>
      <c r="B22355" t="s">
        <v>6117</v>
      </c>
      <c r="C22355" t="s">
        <v>32</v>
      </c>
      <c r="D22355" t="s">
        <v>11</v>
      </c>
      <c r="E22355" t="s">
        <v>20</v>
      </c>
      <c r="F22355">
        <v>57979350</v>
      </c>
      <c r="G22355">
        <v>57979350</v>
      </c>
      <c r="H22355">
        <v>57979350</v>
      </c>
      <c r="I22355">
        <v>57979350</v>
      </c>
    </row>
    <row r="22356" spans="1:9" x14ac:dyDescent="0.2">
      <c r="A22356" t="str">
        <f>"Vmn1r26"</f>
        <v>Vmn1r26</v>
      </c>
      <c r="B22356" t="s">
        <v>6118</v>
      </c>
      <c r="C22356" t="s">
        <v>32</v>
      </c>
      <c r="D22356" t="s">
        <v>11</v>
      </c>
      <c r="E22356" t="s">
        <v>20</v>
      </c>
      <c r="F22356">
        <v>58009201</v>
      </c>
      <c r="G22356">
        <v>58009201</v>
      </c>
      <c r="H22356">
        <v>58009201</v>
      </c>
      <c r="I22356">
        <v>58009201</v>
      </c>
    </row>
    <row r="22357" spans="1:9" x14ac:dyDescent="0.2">
      <c r="A22357" t="str">
        <f>"Vmn1r27"</f>
        <v>Vmn1r27</v>
      </c>
      <c r="B22357" t="s">
        <v>6119</v>
      </c>
      <c r="C22357" t="s">
        <v>32</v>
      </c>
      <c r="D22357" t="s">
        <v>11</v>
      </c>
      <c r="E22357" t="s">
        <v>20</v>
      </c>
      <c r="F22357">
        <v>58216016</v>
      </c>
      <c r="G22357">
        <v>58216016</v>
      </c>
      <c r="H22357">
        <v>58216016</v>
      </c>
      <c r="I22357">
        <v>58216016</v>
      </c>
    </row>
    <row r="22358" spans="1:9" x14ac:dyDescent="0.2">
      <c r="A22358" t="str">
        <f>"Vmn1r28"</f>
        <v>Vmn1r28</v>
      </c>
      <c r="B22358" t="s">
        <v>6120</v>
      </c>
      <c r="C22358" t="s">
        <v>32</v>
      </c>
      <c r="D22358" t="s">
        <v>17</v>
      </c>
      <c r="E22358" t="s">
        <v>20</v>
      </c>
      <c r="F22358">
        <v>58265077</v>
      </c>
      <c r="G22358">
        <v>58265077</v>
      </c>
      <c r="H22358">
        <v>58265077</v>
      </c>
      <c r="I22358">
        <v>58265077</v>
      </c>
    </row>
    <row r="22359" spans="1:9" x14ac:dyDescent="0.2">
      <c r="A22359" t="str">
        <f>"Vmn1r29"</f>
        <v>Vmn1r29</v>
      </c>
      <c r="B22359" t="s">
        <v>6121</v>
      </c>
      <c r="C22359" t="s">
        <v>32</v>
      </c>
      <c r="D22359" t="s">
        <v>17</v>
      </c>
      <c r="E22359" t="s">
        <v>20</v>
      </c>
      <c r="F22359">
        <v>58307267</v>
      </c>
      <c r="G22359">
        <v>58307267</v>
      </c>
      <c r="H22359">
        <v>58307267</v>
      </c>
      <c r="I22359">
        <v>58307267</v>
      </c>
    </row>
    <row r="22360" spans="1:9" x14ac:dyDescent="0.2">
      <c r="A22360" t="str">
        <f>"Vmn1r3"</f>
        <v>Vmn1r3</v>
      </c>
      <c r="B22360" t="s">
        <v>6122</v>
      </c>
      <c r="C22360" t="s">
        <v>23</v>
      </c>
      <c r="D22360" t="s">
        <v>11</v>
      </c>
      <c r="E22360" t="s">
        <v>20</v>
      </c>
      <c r="F22360">
        <v>3185357</v>
      </c>
      <c r="G22360">
        <v>3185357</v>
      </c>
      <c r="H22360">
        <v>3185357</v>
      </c>
      <c r="I22360">
        <v>3185357</v>
      </c>
    </row>
    <row r="22361" spans="1:9" x14ac:dyDescent="0.2">
      <c r="A22361" t="str">
        <f>"Vmn1r30"</f>
        <v>Vmn1r30</v>
      </c>
      <c r="B22361" t="s">
        <v>6123</v>
      </c>
      <c r="C22361" t="s">
        <v>32</v>
      </c>
      <c r="D22361" t="s">
        <v>11</v>
      </c>
      <c r="E22361" t="s">
        <v>20</v>
      </c>
      <c r="F22361">
        <v>58435893</v>
      </c>
      <c r="G22361">
        <v>58435893</v>
      </c>
      <c r="H22361">
        <v>58435893</v>
      </c>
      <c r="I22361">
        <v>58435893</v>
      </c>
    </row>
    <row r="22362" spans="1:9" x14ac:dyDescent="0.2">
      <c r="A22362" t="str">
        <f>"Vmn1r31"</f>
        <v>Vmn1r31</v>
      </c>
      <c r="B22362" t="s">
        <v>6124</v>
      </c>
      <c r="C22362" t="s">
        <v>32</v>
      </c>
      <c r="D22362" t="s">
        <v>11</v>
      </c>
      <c r="E22362" t="s">
        <v>20</v>
      </c>
      <c r="F22362">
        <v>58472929</v>
      </c>
      <c r="G22362">
        <v>58472929</v>
      </c>
      <c r="H22362">
        <v>58472929</v>
      </c>
      <c r="I22362">
        <v>58472929</v>
      </c>
    </row>
    <row r="22363" spans="1:9" x14ac:dyDescent="0.2">
      <c r="A22363" t="str">
        <f>"Vmn1r32"</f>
        <v>Vmn1r32</v>
      </c>
      <c r="B22363" t="s">
        <v>6125</v>
      </c>
      <c r="C22363" t="s">
        <v>32</v>
      </c>
      <c r="D22363" t="s">
        <v>11</v>
      </c>
      <c r="E22363" t="s">
        <v>20</v>
      </c>
      <c r="F22363">
        <v>66559707</v>
      </c>
      <c r="G22363">
        <v>66559707</v>
      </c>
      <c r="H22363">
        <v>66559707</v>
      </c>
      <c r="I22363">
        <v>66559707</v>
      </c>
    </row>
    <row r="22364" spans="1:9" x14ac:dyDescent="0.2">
      <c r="A22364" t="str">
        <f>"Vmn1r33"</f>
        <v>Vmn1r33</v>
      </c>
      <c r="B22364" t="s">
        <v>6126</v>
      </c>
      <c r="C22364" t="s">
        <v>32</v>
      </c>
      <c r="D22364" t="s">
        <v>11</v>
      </c>
      <c r="E22364" t="s">
        <v>20</v>
      </c>
      <c r="F22364">
        <v>66612616</v>
      </c>
      <c r="G22364">
        <v>66612616</v>
      </c>
      <c r="H22364">
        <v>66612616</v>
      </c>
      <c r="I22364">
        <v>66612616</v>
      </c>
    </row>
    <row r="22365" spans="1:9" x14ac:dyDescent="0.2">
      <c r="A22365" t="str">
        <f>"Vmn1r33"</f>
        <v>Vmn1r33</v>
      </c>
      <c r="B22365" t="s">
        <v>6127</v>
      </c>
      <c r="C22365" t="s">
        <v>32</v>
      </c>
      <c r="D22365" t="s">
        <v>11</v>
      </c>
      <c r="E22365" t="s">
        <v>20</v>
      </c>
      <c r="F22365">
        <v>66616061</v>
      </c>
      <c r="G22365">
        <v>66616061</v>
      </c>
      <c r="H22365">
        <v>66616061</v>
      </c>
      <c r="I22365">
        <v>66616061</v>
      </c>
    </row>
    <row r="22366" spans="1:9" x14ac:dyDescent="0.2">
      <c r="A22366" t="str">
        <f>"Vmn1r34"</f>
        <v>Vmn1r34</v>
      </c>
      <c r="B22366" t="s">
        <v>6128</v>
      </c>
      <c r="C22366" t="s">
        <v>32</v>
      </c>
      <c r="D22366" t="s">
        <v>11</v>
      </c>
      <c r="E22366" t="s">
        <v>20</v>
      </c>
      <c r="F22366">
        <v>66637751</v>
      </c>
      <c r="G22366">
        <v>66637751</v>
      </c>
      <c r="H22366">
        <v>66637751</v>
      </c>
      <c r="I22366">
        <v>66637751</v>
      </c>
    </row>
    <row r="22367" spans="1:9" x14ac:dyDescent="0.2">
      <c r="A22367" t="str">
        <f>"Vmn1r35"</f>
        <v>Vmn1r35</v>
      </c>
      <c r="B22367" t="s">
        <v>6129</v>
      </c>
      <c r="C22367" t="s">
        <v>32</v>
      </c>
      <c r="D22367" t="s">
        <v>11</v>
      </c>
      <c r="E22367" t="s">
        <v>20</v>
      </c>
      <c r="F22367">
        <v>66679683</v>
      </c>
      <c r="G22367">
        <v>66679683</v>
      </c>
      <c r="H22367">
        <v>66679683</v>
      </c>
      <c r="I22367">
        <v>66679683</v>
      </c>
    </row>
    <row r="22368" spans="1:9" x14ac:dyDescent="0.2">
      <c r="A22368" t="str">
        <f>"Vmn1r36"</f>
        <v>Vmn1r36</v>
      </c>
      <c r="B22368" t="s">
        <v>6130</v>
      </c>
      <c r="C22368" t="s">
        <v>32</v>
      </c>
      <c r="D22368" t="s">
        <v>11</v>
      </c>
      <c r="E22368" t="s">
        <v>20</v>
      </c>
      <c r="F22368">
        <v>66716929</v>
      </c>
      <c r="G22368">
        <v>66716929</v>
      </c>
      <c r="H22368">
        <v>66716929</v>
      </c>
      <c r="I22368">
        <v>66716929</v>
      </c>
    </row>
    <row r="22369" spans="1:9" x14ac:dyDescent="0.2">
      <c r="A22369" t="str">
        <f>"Vmn1r37"</f>
        <v>Vmn1r37</v>
      </c>
      <c r="B22369" t="s">
        <v>6131</v>
      </c>
      <c r="C22369" t="s">
        <v>32</v>
      </c>
      <c r="D22369" t="s">
        <v>17</v>
      </c>
      <c r="E22369" t="s">
        <v>20</v>
      </c>
      <c r="F22369">
        <v>66731391</v>
      </c>
      <c r="G22369">
        <v>66731391</v>
      </c>
      <c r="H22369">
        <v>66731391</v>
      </c>
      <c r="I22369">
        <v>66731391</v>
      </c>
    </row>
    <row r="22370" spans="1:9" x14ac:dyDescent="0.2">
      <c r="A22370" t="str">
        <f>"Vmn1r38"</f>
        <v>Vmn1r38</v>
      </c>
      <c r="B22370" t="s">
        <v>6132</v>
      </c>
      <c r="C22370" t="s">
        <v>32</v>
      </c>
      <c r="D22370" t="s">
        <v>11</v>
      </c>
      <c r="E22370" t="s">
        <v>20</v>
      </c>
      <c r="F22370">
        <v>66777178</v>
      </c>
      <c r="G22370">
        <v>66777178</v>
      </c>
      <c r="H22370">
        <v>66777178</v>
      </c>
      <c r="I22370">
        <v>66777178</v>
      </c>
    </row>
    <row r="22371" spans="1:9" x14ac:dyDescent="0.2">
      <c r="A22371" t="str">
        <f>"Vmn1r39"</f>
        <v>Vmn1r39</v>
      </c>
      <c r="B22371" t="s">
        <v>6133</v>
      </c>
      <c r="C22371" t="s">
        <v>32</v>
      </c>
      <c r="D22371" t="s">
        <v>11</v>
      </c>
      <c r="E22371" t="s">
        <v>20</v>
      </c>
      <c r="F22371">
        <v>66805442</v>
      </c>
      <c r="G22371">
        <v>66805442</v>
      </c>
      <c r="H22371">
        <v>66805442</v>
      </c>
      <c r="I22371">
        <v>66805442</v>
      </c>
    </row>
    <row r="22372" spans="1:9" x14ac:dyDescent="0.2">
      <c r="A22372" t="str">
        <f>"Vmn1r4"</f>
        <v>Vmn1r4</v>
      </c>
      <c r="B22372" t="s">
        <v>14</v>
      </c>
      <c r="C22372" t="s">
        <v>32</v>
      </c>
      <c r="D22372" t="s">
        <v>17</v>
      </c>
      <c r="E22372" t="s">
        <v>12</v>
      </c>
      <c r="F22372">
        <v>56924103</v>
      </c>
      <c r="G22372">
        <v>56924147</v>
      </c>
      <c r="H22372">
        <v>56924016</v>
      </c>
      <c r="I22372">
        <v>56924064</v>
      </c>
    </row>
    <row r="22373" spans="1:9" x14ac:dyDescent="0.2">
      <c r="A22373" t="str">
        <f>"Vmn1r40"</f>
        <v>Vmn1r40</v>
      </c>
      <c r="B22373" t="s">
        <v>6134</v>
      </c>
      <c r="C22373" t="s">
        <v>32</v>
      </c>
      <c r="D22373" t="s">
        <v>17</v>
      </c>
      <c r="E22373" t="s">
        <v>20</v>
      </c>
      <c r="F22373">
        <v>89714202</v>
      </c>
      <c r="G22373">
        <v>89714202</v>
      </c>
      <c r="H22373">
        <v>89714202</v>
      </c>
      <c r="I22373">
        <v>89714202</v>
      </c>
    </row>
    <row r="22374" spans="1:9" x14ac:dyDescent="0.2">
      <c r="A22374" t="str">
        <f>"Vmn1r41"</f>
        <v>Vmn1r41</v>
      </c>
      <c r="B22374" t="s">
        <v>6135</v>
      </c>
      <c r="C22374" t="s">
        <v>32</v>
      </c>
      <c r="D22374" t="s">
        <v>17</v>
      </c>
      <c r="E22374" t="s">
        <v>20</v>
      </c>
      <c r="F22374">
        <v>89746478</v>
      </c>
      <c r="G22374">
        <v>89746478</v>
      </c>
      <c r="H22374">
        <v>89746478</v>
      </c>
      <c r="I22374">
        <v>89746478</v>
      </c>
    </row>
    <row r="22375" spans="1:9" x14ac:dyDescent="0.2">
      <c r="A22375" t="str">
        <f>"Vmn1r41"</f>
        <v>Vmn1r41</v>
      </c>
      <c r="B22375" t="s">
        <v>6136</v>
      </c>
      <c r="C22375" t="s">
        <v>32</v>
      </c>
      <c r="D22375" t="s">
        <v>17</v>
      </c>
      <c r="E22375" t="s">
        <v>20</v>
      </c>
      <c r="F22375">
        <v>89740887</v>
      </c>
      <c r="G22375">
        <v>89740887</v>
      </c>
      <c r="H22375">
        <v>89740887</v>
      </c>
      <c r="I22375">
        <v>89740887</v>
      </c>
    </row>
    <row r="22376" spans="1:9" x14ac:dyDescent="0.2">
      <c r="A22376" t="str">
        <f>"Vmn1r42"</f>
        <v>Vmn1r42</v>
      </c>
      <c r="B22376" t="s">
        <v>6137</v>
      </c>
      <c r="C22376" t="s">
        <v>32</v>
      </c>
      <c r="D22376" t="s">
        <v>11</v>
      </c>
      <c r="E22376" t="s">
        <v>20</v>
      </c>
      <c r="F22376">
        <v>89845614</v>
      </c>
      <c r="G22376">
        <v>89845614</v>
      </c>
      <c r="H22376">
        <v>89845614</v>
      </c>
      <c r="I22376">
        <v>89845614</v>
      </c>
    </row>
    <row r="22377" spans="1:9" x14ac:dyDescent="0.2">
      <c r="A22377" t="str">
        <f>"Vmn1r43"</f>
        <v>Vmn1r43</v>
      </c>
      <c r="B22377" t="s">
        <v>6138</v>
      </c>
      <c r="C22377" t="s">
        <v>32</v>
      </c>
      <c r="D22377" t="s">
        <v>11</v>
      </c>
      <c r="E22377" t="s">
        <v>20</v>
      </c>
      <c r="F22377">
        <v>89870528</v>
      </c>
      <c r="G22377">
        <v>89870528</v>
      </c>
      <c r="H22377">
        <v>89870528</v>
      </c>
      <c r="I22377">
        <v>89870528</v>
      </c>
    </row>
    <row r="22378" spans="1:9" x14ac:dyDescent="0.2">
      <c r="A22378" t="str">
        <f>"Vmn1r44"</f>
        <v>Vmn1r44</v>
      </c>
      <c r="B22378" t="s">
        <v>6139</v>
      </c>
      <c r="C22378" t="s">
        <v>32</v>
      </c>
      <c r="D22378" t="s">
        <v>17</v>
      </c>
      <c r="E22378" t="s">
        <v>20</v>
      </c>
      <c r="F22378">
        <v>89893176</v>
      </c>
      <c r="G22378">
        <v>89893176</v>
      </c>
      <c r="H22378">
        <v>89893176</v>
      </c>
      <c r="I22378">
        <v>89893176</v>
      </c>
    </row>
    <row r="22379" spans="1:9" x14ac:dyDescent="0.2">
      <c r="A22379" t="str">
        <f>"Vmn1r45"</f>
        <v>Vmn1r45</v>
      </c>
      <c r="B22379" t="s">
        <v>6140</v>
      </c>
      <c r="C22379" t="s">
        <v>32</v>
      </c>
      <c r="D22379" t="s">
        <v>11</v>
      </c>
      <c r="E22379" t="s">
        <v>20</v>
      </c>
      <c r="F22379">
        <v>89940506</v>
      </c>
      <c r="G22379">
        <v>89940506</v>
      </c>
      <c r="H22379">
        <v>89940506</v>
      </c>
      <c r="I22379">
        <v>89940506</v>
      </c>
    </row>
    <row r="22380" spans="1:9" x14ac:dyDescent="0.2">
      <c r="A22380" t="str">
        <f>"Vmn1r46"</f>
        <v>Vmn1r46</v>
      </c>
      <c r="B22380" t="s">
        <v>6141</v>
      </c>
      <c r="C22380" t="s">
        <v>32</v>
      </c>
      <c r="D22380" t="s">
        <v>17</v>
      </c>
      <c r="E22380" t="s">
        <v>20</v>
      </c>
      <c r="F22380">
        <v>89976170</v>
      </c>
      <c r="G22380">
        <v>89976170</v>
      </c>
      <c r="H22380">
        <v>89976170</v>
      </c>
      <c r="I22380">
        <v>89976170</v>
      </c>
    </row>
    <row r="22381" spans="1:9" x14ac:dyDescent="0.2">
      <c r="A22381" t="str">
        <f>"Vmn1r47"</f>
        <v>Vmn1r47</v>
      </c>
      <c r="B22381" t="s">
        <v>6142</v>
      </c>
      <c r="C22381" t="s">
        <v>32</v>
      </c>
      <c r="D22381" t="s">
        <v>17</v>
      </c>
      <c r="E22381" t="s">
        <v>20</v>
      </c>
      <c r="F22381">
        <v>90021887</v>
      </c>
      <c r="G22381">
        <v>90021887</v>
      </c>
      <c r="H22381">
        <v>90021887</v>
      </c>
      <c r="I22381">
        <v>90021887</v>
      </c>
    </row>
    <row r="22382" spans="1:9" x14ac:dyDescent="0.2">
      <c r="A22382" t="str">
        <f>"Vmn1r48"</f>
        <v>Vmn1r48</v>
      </c>
      <c r="B22382" t="s">
        <v>6143</v>
      </c>
      <c r="C22382" t="s">
        <v>32</v>
      </c>
      <c r="D22382" t="s">
        <v>11</v>
      </c>
      <c r="E22382" t="s">
        <v>20</v>
      </c>
      <c r="F22382">
        <v>90036840</v>
      </c>
      <c r="G22382">
        <v>90036840</v>
      </c>
      <c r="H22382">
        <v>90036840</v>
      </c>
      <c r="I22382">
        <v>90036840</v>
      </c>
    </row>
    <row r="22383" spans="1:9" x14ac:dyDescent="0.2">
      <c r="A22383" t="str">
        <f>"Vmn1r49"</f>
        <v>Vmn1r49</v>
      </c>
      <c r="B22383" t="s">
        <v>6144</v>
      </c>
      <c r="C22383" t="s">
        <v>32</v>
      </c>
      <c r="D22383" t="s">
        <v>11</v>
      </c>
      <c r="E22383" t="s">
        <v>20</v>
      </c>
      <c r="F22383">
        <v>90073017</v>
      </c>
      <c r="G22383">
        <v>90073017</v>
      </c>
      <c r="H22383">
        <v>90073017</v>
      </c>
      <c r="I22383">
        <v>90073017</v>
      </c>
    </row>
    <row r="22384" spans="1:9" x14ac:dyDescent="0.2">
      <c r="A22384" t="str">
        <f>"Vmn1r5"</f>
        <v>Vmn1r5</v>
      </c>
      <c r="B22384" t="s">
        <v>6145</v>
      </c>
      <c r="C22384" t="s">
        <v>32</v>
      </c>
      <c r="D22384" t="s">
        <v>17</v>
      </c>
      <c r="E22384" t="s">
        <v>20</v>
      </c>
      <c r="F22384">
        <v>56985294</v>
      </c>
      <c r="G22384">
        <v>56985294</v>
      </c>
      <c r="H22384">
        <v>56985294</v>
      </c>
      <c r="I22384">
        <v>56985294</v>
      </c>
    </row>
    <row r="22385" spans="1:9" x14ac:dyDescent="0.2">
      <c r="A22385" t="str">
        <f>"Vmn1r50"</f>
        <v>Vmn1r50</v>
      </c>
      <c r="B22385" t="s">
        <v>6146</v>
      </c>
      <c r="C22385" t="s">
        <v>32</v>
      </c>
      <c r="D22385" t="s">
        <v>17</v>
      </c>
      <c r="E22385" t="s">
        <v>20</v>
      </c>
      <c r="F22385">
        <v>90107274</v>
      </c>
      <c r="G22385">
        <v>90107274</v>
      </c>
      <c r="H22385">
        <v>90107274</v>
      </c>
      <c r="I22385">
        <v>90107274</v>
      </c>
    </row>
    <row r="22386" spans="1:9" x14ac:dyDescent="0.2">
      <c r="A22386" t="str">
        <f>"Vmn1r51"</f>
        <v>Vmn1r51</v>
      </c>
      <c r="B22386" t="s">
        <v>6147</v>
      </c>
      <c r="C22386" t="s">
        <v>32</v>
      </c>
      <c r="D22386" t="s">
        <v>17</v>
      </c>
      <c r="E22386" t="s">
        <v>20</v>
      </c>
      <c r="F22386">
        <v>90128423</v>
      </c>
      <c r="G22386">
        <v>90128423</v>
      </c>
      <c r="H22386">
        <v>90128423</v>
      </c>
      <c r="I22386">
        <v>90128423</v>
      </c>
    </row>
    <row r="22387" spans="1:9" x14ac:dyDescent="0.2">
      <c r="A22387" t="str">
        <f>"Vmn1r51"</f>
        <v>Vmn1r51</v>
      </c>
      <c r="B22387" t="s">
        <v>6148</v>
      </c>
      <c r="C22387" t="s">
        <v>32</v>
      </c>
      <c r="D22387" t="s">
        <v>17</v>
      </c>
      <c r="E22387" t="s">
        <v>20</v>
      </c>
      <c r="F22387">
        <v>90122642</v>
      </c>
      <c r="G22387">
        <v>90122642</v>
      </c>
      <c r="H22387">
        <v>90122642</v>
      </c>
      <c r="I22387">
        <v>90122642</v>
      </c>
    </row>
    <row r="22388" spans="1:9" x14ac:dyDescent="0.2">
      <c r="A22388" t="str">
        <f>"Vmn1r52"</f>
        <v>Vmn1r52</v>
      </c>
      <c r="B22388" t="s">
        <v>6149</v>
      </c>
      <c r="C22388" t="s">
        <v>32</v>
      </c>
      <c r="D22388" t="s">
        <v>17</v>
      </c>
      <c r="E22388" t="s">
        <v>20</v>
      </c>
      <c r="F22388">
        <v>90178715</v>
      </c>
      <c r="G22388">
        <v>90178715</v>
      </c>
      <c r="H22388">
        <v>90178715</v>
      </c>
      <c r="I22388">
        <v>90178715</v>
      </c>
    </row>
    <row r="22389" spans="1:9" x14ac:dyDescent="0.2">
      <c r="A22389" t="str">
        <f>"Vmn1r53"</f>
        <v>Vmn1r53</v>
      </c>
      <c r="B22389" t="s">
        <v>6150</v>
      </c>
      <c r="C22389" t="s">
        <v>32</v>
      </c>
      <c r="D22389" t="s">
        <v>11</v>
      </c>
      <c r="E22389" t="s">
        <v>20</v>
      </c>
      <c r="F22389">
        <v>90224437</v>
      </c>
      <c r="G22389">
        <v>90224437</v>
      </c>
      <c r="H22389">
        <v>90224437</v>
      </c>
      <c r="I22389">
        <v>90224437</v>
      </c>
    </row>
    <row r="22390" spans="1:9" x14ac:dyDescent="0.2">
      <c r="A22390" t="str">
        <f>"Vmn1r54"</f>
        <v>Vmn1r54</v>
      </c>
      <c r="B22390" t="s">
        <v>6151</v>
      </c>
      <c r="C22390" t="s">
        <v>32</v>
      </c>
      <c r="D22390" t="s">
        <v>17</v>
      </c>
      <c r="E22390" t="s">
        <v>20</v>
      </c>
      <c r="F22390">
        <v>90269105</v>
      </c>
      <c r="G22390">
        <v>90269105</v>
      </c>
      <c r="H22390">
        <v>90269105</v>
      </c>
      <c r="I22390">
        <v>90269105</v>
      </c>
    </row>
    <row r="22391" spans="1:9" x14ac:dyDescent="0.2">
      <c r="A22391" t="str">
        <f>"Vmn1r55"</f>
        <v>Vmn1r55</v>
      </c>
      <c r="B22391" t="s">
        <v>6152</v>
      </c>
      <c r="C22391" t="s">
        <v>33</v>
      </c>
      <c r="D22391" t="s">
        <v>11</v>
      </c>
      <c r="E22391" t="s">
        <v>20</v>
      </c>
      <c r="F22391">
        <v>5147500</v>
      </c>
      <c r="G22391">
        <v>5147500</v>
      </c>
      <c r="H22391">
        <v>5147500</v>
      </c>
      <c r="I22391">
        <v>5147500</v>
      </c>
    </row>
    <row r="22392" spans="1:9" x14ac:dyDescent="0.2">
      <c r="A22392" t="str">
        <f>"Vmn1r56"</f>
        <v>Vmn1r56</v>
      </c>
      <c r="B22392" t="s">
        <v>6153</v>
      </c>
      <c r="C22392" t="s">
        <v>33</v>
      </c>
      <c r="D22392" t="s">
        <v>11</v>
      </c>
      <c r="E22392" t="s">
        <v>20</v>
      </c>
      <c r="F22392">
        <v>5196746</v>
      </c>
      <c r="G22392">
        <v>5196746</v>
      </c>
      <c r="H22392">
        <v>5196746</v>
      </c>
      <c r="I22392">
        <v>5196746</v>
      </c>
    </row>
    <row r="22393" spans="1:9" x14ac:dyDescent="0.2">
      <c r="A22393" t="str">
        <f>"Vmn1r57"</f>
        <v>Vmn1r57</v>
      </c>
      <c r="B22393" t="s">
        <v>6154</v>
      </c>
      <c r="C22393" t="s">
        <v>33</v>
      </c>
      <c r="D22393" t="s">
        <v>17</v>
      </c>
      <c r="E22393" t="s">
        <v>20</v>
      </c>
      <c r="F22393">
        <v>5220477</v>
      </c>
      <c r="G22393">
        <v>5220477</v>
      </c>
      <c r="H22393">
        <v>5220477</v>
      </c>
      <c r="I22393">
        <v>5220477</v>
      </c>
    </row>
    <row r="22394" spans="1:9" x14ac:dyDescent="0.2">
      <c r="A22394" t="str">
        <f>"Vmn1r58"</f>
        <v>Vmn1r58</v>
      </c>
      <c r="B22394" t="s">
        <v>6155</v>
      </c>
      <c r="C22394" t="s">
        <v>33</v>
      </c>
      <c r="D22394" t="s">
        <v>11</v>
      </c>
      <c r="E22394" t="s">
        <v>20</v>
      </c>
      <c r="F22394">
        <v>5413144</v>
      </c>
      <c r="G22394">
        <v>5413144</v>
      </c>
      <c r="H22394">
        <v>5413144</v>
      </c>
      <c r="I22394">
        <v>5413144</v>
      </c>
    </row>
    <row r="22395" spans="1:9" x14ac:dyDescent="0.2">
      <c r="A22395" t="str">
        <f>"Vmn1r59"</f>
        <v>Vmn1r59</v>
      </c>
      <c r="B22395" t="s">
        <v>6156</v>
      </c>
      <c r="C22395" t="s">
        <v>33</v>
      </c>
      <c r="D22395" t="s">
        <v>11</v>
      </c>
      <c r="E22395" t="s">
        <v>20</v>
      </c>
      <c r="F22395">
        <v>5454837</v>
      </c>
      <c r="G22395">
        <v>5454837</v>
      </c>
      <c r="H22395">
        <v>5454837</v>
      </c>
      <c r="I22395">
        <v>5454837</v>
      </c>
    </row>
    <row r="22396" spans="1:9" x14ac:dyDescent="0.2">
      <c r="A22396" t="str">
        <f>"Vmn1r6"</f>
        <v>Vmn1r6</v>
      </c>
      <c r="B22396" t="s">
        <v>6157</v>
      </c>
      <c r="C22396" t="s">
        <v>32</v>
      </c>
      <c r="D22396" t="s">
        <v>17</v>
      </c>
      <c r="E22396" t="s">
        <v>20</v>
      </c>
      <c r="F22396">
        <v>57002299</v>
      </c>
      <c r="G22396">
        <v>57002299</v>
      </c>
      <c r="H22396">
        <v>57002299</v>
      </c>
      <c r="I22396">
        <v>57002299</v>
      </c>
    </row>
    <row r="22397" spans="1:9" x14ac:dyDescent="0.2">
      <c r="A22397" t="str">
        <f>"Vmn1r60"</f>
        <v>Vmn1r60</v>
      </c>
      <c r="B22397" t="s">
        <v>6158</v>
      </c>
      <c r="C22397" t="s">
        <v>33</v>
      </c>
      <c r="D22397" t="s">
        <v>11</v>
      </c>
      <c r="E22397" t="s">
        <v>20</v>
      </c>
      <c r="F22397">
        <v>5545098</v>
      </c>
      <c r="G22397">
        <v>5545098</v>
      </c>
      <c r="H22397">
        <v>5545098</v>
      </c>
      <c r="I22397">
        <v>5545098</v>
      </c>
    </row>
    <row r="22398" spans="1:9" x14ac:dyDescent="0.2">
      <c r="A22398" t="str">
        <f>"Vmn1r61"</f>
        <v>Vmn1r61</v>
      </c>
      <c r="B22398" t="s">
        <v>6159</v>
      </c>
      <c r="C22398" t="s">
        <v>33</v>
      </c>
      <c r="D22398" t="s">
        <v>11</v>
      </c>
      <c r="E22398" t="s">
        <v>20</v>
      </c>
      <c r="F22398">
        <v>5611312</v>
      </c>
      <c r="G22398">
        <v>5611312</v>
      </c>
      <c r="H22398">
        <v>5611312</v>
      </c>
      <c r="I22398">
        <v>5611312</v>
      </c>
    </row>
    <row r="22399" spans="1:9" x14ac:dyDescent="0.2">
      <c r="A22399" t="str">
        <f>"Vmn1r62"</f>
        <v>Vmn1r62</v>
      </c>
      <c r="B22399" t="s">
        <v>6160</v>
      </c>
      <c r="C22399" t="s">
        <v>33</v>
      </c>
      <c r="D22399" t="s">
        <v>17</v>
      </c>
      <c r="E22399" t="s">
        <v>20</v>
      </c>
      <c r="F22399">
        <v>5674626</v>
      </c>
      <c r="G22399">
        <v>5674626</v>
      </c>
      <c r="H22399">
        <v>5674626</v>
      </c>
      <c r="I22399">
        <v>5674626</v>
      </c>
    </row>
    <row r="22400" spans="1:9" x14ac:dyDescent="0.2">
      <c r="A22400" t="str">
        <f>"Vmn1r63"</f>
        <v>Vmn1r63</v>
      </c>
      <c r="B22400" t="s">
        <v>6161</v>
      </c>
      <c r="C22400" t="s">
        <v>33</v>
      </c>
      <c r="D22400" t="s">
        <v>11</v>
      </c>
      <c r="E22400" t="s">
        <v>20</v>
      </c>
      <c r="F22400">
        <v>5805444</v>
      </c>
      <c r="G22400">
        <v>5805444</v>
      </c>
      <c r="H22400">
        <v>5805444</v>
      </c>
      <c r="I22400">
        <v>5805444</v>
      </c>
    </row>
    <row r="22401" spans="1:9" x14ac:dyDescent="0.2">
      <c r="A22401" t="str">
        <f>"Vmn1r64"</f>
        <v>Vmn1r64</v>
      </c>
      <c r="B22401" t="s">
        <v>6162</v>
      </c>
      <c r="C22401" t="s">
        <v>33</v>
      </c>
      <c r="D22401" t="s">
        <v>11</v>
      </c>
      <c r="E22401" t="s">
        <v>20</v>
      </c>
      <c r="F22401">
        <v>5884541</v>
      </c>
      <c r="G22401">
        <v>5884541</v>
      </c>
      <c r="H22401">
        <v>5884541</v>
      </c>
      <c r="I22401">
        <v>5884541</v>
      </c>
    </row>
    <row r="22402" spans="1:9" x14ac:dyDescent="0.2">
      <c r="A22402" t="str">
        <f>"Vmn1r65"</f>
        <v>Vmn1r65</v>
      </c>
      <c r="B22402" t="s">
        <v>6163</v>
      </c>
      <c r="C22402" t="s">
        <v>33</v>
      </c>
      <c r="D22402" t="s">
        <v>11</v>
      </c>
      <c r="E22402" t="s">
        <v>20</v>
      </c>
      <c r="F22402">
        <v>6011009</v>
      </c>
      <c r="G22402">
        <v>6011009</v>
      </c>
      <c r="H22402">
        <v>6011009</v>
      </c>
      <c r="I22402">
        <v>6011009</v>
      </c>
    </row>
    <row r="22403" spans="1:9" x14ac:dyDescent="0.2">
      <c r="A22403" t="str">
        <f>"Vmn1r66"</f>
        <v>Vmn1r66</v>
      </c>
      <c r="B22403" t="s">
        <v>6164</v>
      </c>
      <c r="C22403" t="s">
        <v>33</v>
      </c>
      <c r="D22403" t="s">
        <v>11</v>
      </c>
      <c r="E22403" t="s">
        <v>20</v>
      </c>
      <c r="F22403">
        <v>10275350</v>
      </c>
      <c r="G22403">
        <v>10275350</v>
      </c>
      <c r="H22403">
        <v>10275350</v>
      </c>
      <c r="I22403">
        <v>10275350</v>
      </c>
    </row>
    <row r="22404" spans="1:9" x14ac:dyDescent="0.2">
      <c r="A22404" t="str">
        <f>"Vmn1r67"</f>
        <v>Vmn1r67</v>
      </c>
      <c r="B22404" t="s">
        <v>6165</v>
      </c>
      <c r="C22404" t="s">
        <v>33</v>
      </c>
      <c r="D22404" t="s">
        <v>17</v>
      </c>
      <c r="E22404" t="s">
        <v>20</v>
      </c>
      <c r="F22404">
        <v>10446788</v>
      </c>
      <c r="G22404">
        <v>10446788</v>
      </c>
      <c r="H22404">
        <v>10446788</v>
      </c>
      <c r="I22404">
        <v>10446788</v>
      </c>
    </row>
    <row r="22405" spans="1:9" x14ac:dyDescent="0.2">
      <c r="A22405" t="str">
        <f>"Vmn1r68"</f>
        <v>Vmn1r68</v>
      </c>
      <c r="B22405" t="s">
        <v>6166</v>
      </c>
      <c r="C22405" t="s">
        <v>33</v>
      </c>
      <c r="D22405" t="s">
        <v>11</v>
      </c>
      <c r="E22405" t="s">
        <v>20</v>
      </c>
      <c r="F22405">
        <v>10528168</v>
      </c>
      <c r="G22405">
        <v>10528168</v>
      </c>
      <c r="H22405">
        <v>10528168</v>
      </c>
      <c r="I22405">
        <v>10528168</v>
      </c>
    </row>
    <row r="22406" spans="1:9" x14ac:dyDescent="0.2">
      <c r="A22406" t="str">
        <f>"Vmn1r69"</f>
        <v>Vmn1r69</v>
      </c>
      <c r="B22406" t="s">
        <v>6167</v>
      </c>
      <c r="C22406" t="s">
        <v>33</v>
      </c>
      <c r="D22406" t="s">
        <v>11</v>
      </c>
      <c r="E22406" t="s">
        <v>20</v>
      </c>
      <c r="F22406">
        <v>10581486</v>
      </c>
      <c r="G22406">
        <v>10581486</v>
      </c>
      <c r="H22406">
        <v>10581486</v>
      </c>
      <c r="I22406">
        <v>10581486</v>
      </c>
    </row>
    <row r="22407" spans="1:9" x14ac:dyDescent="0.2">
      <c r="A22407" t="str">
        <f>"Vmn1r7"</f>
        <v>Vmn1r7</v>
      </c>
      <c r="B22407" t="s">
        <v>6168</v>
      </c>
      <c r="C22407" t="s">
        <v>32</v>
      </c>
      <c r="D22407" t="s">
        <v>11</v>
      </c>
      <c r="E22407" t="s">
        <v>20</v>
      </c>
      <c r="F22407">
        <v>57025323</v>
      </c>
      <c r="G22407">
        <v>57025323</v>
      </c>
      <c r="H22407">
        <v>57025323</v>
      </c>
      <c r="I22407">
        <v>57025323</v>
      </c>
    </row>
    <row r="22408" spans="1:9" x14ac:dyDescent="0.2">
      <c r="A22408" t="str">
        <f>"Vmn1r70"</f>
        <v>Vmn1r70</v>
      </c>
      <c r="B22408" t="s">
        <v>6169</v>
      </c>
      <c r="C22408" t="s">
        <v>33</v>
      </c>
      <c r="D22408" t="s">
        <v>17</v>
      </c>
      <c r="E22408" t="s">
        <v>20</v>
      </c>
      <c r="F22408">
        <v>10633586</v>
      </c>
      <c r="G22408">
        <v>10633586</v>
      </c>
      <c r="H22408">
        <v>10633586</v>
      </c>
      <c r="I22408">
        <v>10633586</v>
      </c>
    </row>
    <row r="22409" spans="1:9" x14ac:dyDescent="0.2">
      <c r="A22409" t="str">
        <f>"Vmn1r71"</f>
        <v>Vmn1r71</v>
      </c>
      <c r="B22409" t="s">
        <v>6170</v>
      </c>
      <c r="C22409" t="s">
        <v>33</v>
      </c>
      <c r="D22409" t="s">
        <v>11</v>
      </c>
      <c r="E22409" t="s">
        <v>20</v>
      </c>
      <c r="F22409">
        <v>10749537</v>
      </c>
      <c r="G22409">
        <v>10749537</v>
      </c>
      <c r="H22409">
        <v>10749537</v>
      </c>
      <c r="I22409">
        <v>10749537</v>
      </c>
    </row>
    <row r="22410" spans="1:9" x14ac:dyDescent="0.2">
      <c r="A22410" t="str">
        <f>"Vmn1r72"</f>
        <v>Vmn1r72</v>
      </c>
      <c r="B22410" t="s">
        <v>6171</v>
      </c>
      <c r="C22410" t="s">
        <v>33</v>
      </c>
      <c r="D22410" t="s">
        <v>11</v>
      </c>
      <c r="E22410" t="s">
        <v>20</v>
      </c>
      <c r="F22410">
        <v>11670518</v>
      </c>
      <c r="G22410">
        <v>11670518</v>
      </c>
      <c r="H22410">
        <v>11670518</v>
      </c>
      <c r="I22410">
        <v>11670518</v>
      </c>
    </row>
    <row r="22411" spans="1:9" x14ac:dyDescent="0.2">
      <c r="A22411" t="str">
        <f>"Vmn1r73"</f>
        <v>Vmn1r73</v>
      </c>
      <c r="B22411" t="s">
        <v>6172</v>
      </c>
      <c r="C22411" t="s">
        <v>33</v>
      </c>
      <c r="D22411" t="s">
        <v>17</v>
      </c>
      <c r="E22411" t="s">
        <v>20</v>
      </c>
      <c r="F22411">
        <v>11756256</v>
      </c>
      <c r="G22411">
        <v>11756256</v>
      </c>
      <c r="H22411">
        <v>11756256</v>
      </c>
      <c r="I22411">
        <v>11756256</v>
      </c>
    </row>
    <row r="22412" spans="1:9" x14ac:dyDescent="0.2">
      <c r="A22412" t="str">
        <f>"Vmn1r74"</f>
        <v>Vmn1r74</v>
      </c>
      <c r="B22412" t="s">
        <v>6173</v>
      </c>
      <c r="C22412" t="s">
        <v>33</v>
      </c>
      <c r="D22412" t="s">
        <v>17</v>
      </c>
      <c r="E22412" t="s">
        <v>20</v>
      </c>
      <c r="F22412">
        <v>11846774</v>
      </c>
      <c r="G22412">
        <v>11846774</v>
      </c>
      <c r="H22412">
        <v>11846774</v>
      </c>
      <c r="I22412">
        <v>11846774</v>
      </c>
    </row>
    <row r="22413" spans="1:9" x14ac:dyDescent="0.2">
      <c r="A22413" t="str">
        <f>"Vmn1r75"</f>
        <v>Vmn1r75</v>
      </c>
      <c r="B22413" t="s">
        <v>6174</v>
      </c>
      <c r="C22413" t="s">
        <v>33</v>
      </c>
      <c r="D22413" t="s">
        <v>17</v>
      </c>
      <c r="E22413" t="s">
        <v>20</v>
      </c>
      <c r="F22413">
        <v>11880342</v>
      </c>
      <c r="G22413">
        <v>11880342</v>
      </c>
      <c r="H22413">
        <v>11880342</v>
      </c>
      <c r="I22413">
        <v>11880342</v>
      </c>
    </row>
    <row r="22414" spans="1:9" x14ac:dyDescent="0.2">
      <c r="A22414" t="str">
        <f>"Vmn1r76"</f>
        <v>Vmn1r76</v>
      </c>
      <c r="B22414" t="s">
        <v>6175</v>
      </c>
      <c r="C22414" t="s">
        <v>33</v>
      </c>
      <c r="D22414" t="s">
        <v>11</v>
      </c>
      <c r="E22414" t="s">
        <v>20</v>
      </c>
      <c r="F22414">
        <v>11931284</v>
      </c>
      <c r="G22414">
        <v>11931284</v>
      </c>
      <c r="H22414">
        <v>11931284</v>
      </c>
      <c r="I22414">
        <v>11931284</v>
      </c>
    </row>
    <row r="22415" spans="1:9" x14ac:dyDescent="0.2">
      <c r="A22415" t="str">
        <f>"Vmn1r77"</f>
        <v>Vmn1r77</v>
      </c>
      <c r="B22415" t="s">
        <v>6176</v>
      </c>
      <c r="C22415" t="s">
        <v>33</v>
      </c>
      <c r="D22415" t="s">
        <v>17</v>
      </c>
      <c r="E22415" t="s">
        <v>20</v>
      </c>
      <c r="F22415">
        <v>12041298</v>
      </c>
      <c r="G22415">
        <v>12041298</v>
      </c>
      <c r="H22415">
        <v>12041298</v>
      </c>
      <c r="I22415">
        <v>12041298</v>
      </c>
    </row>
    <row r="22416" spans="1:9" x14ac:dyDescent="0.2">
      <c r="A22416" t="str">
        <f>"Vmn1r78"</f>
        <v>Vmn1r78</v>
      </c>
      <c r="B22416" t="s">
        <v>6177</v>
      </c>
      <c r="C22416" t="s">
        <v>33</v>
      </c>
      <c r="D22416" t="s">
        <v>17</v>
      </c>
      <c r="E22416" t="s">
        <v>20</v>
      </c>
      <c r="F22416">
        <v>12152463</v>
      </c>
      <c r="G22416">
        <v>12152463</v>
      </c>
      <c r="H22416">
        <v>12152463</v>
      </c>
      <c r="I22416">
        <v>12152463</v>
      </c>
    </row>
    <row r="22417" spans="1:9" x14ac:dyDescent="0.2">
      <c r="A22417" t="str">
        <f>"Vmn1r79"</f>
        <v>Vmn1r79</v>
      </c>
      <c r="B22417" t="s">
        <v>6178</v>
      </c>
      <c r="C22417" t="s">
        <v>33</v>
      </c>
      <c r="D22417" t="s">
        <v>17</v>
      </c>
      <c r="E22417" t="s">
        <v>20</v>
      </c>
      <c r="F22417">
        <v>12176192</v>
      </c>
      <c r="G22417">
        <v>12176192</v>
      </c>
      <c r="H22417">
        <v>12176192</v>
      </c>
      <c r="I22417">
        <v>12176192</v>
      </c>
    </row>
    <row r="22418" spans="1:9" x14ac:dyDescent="0.2">
      <c r="A22418" t="str">
        <f>"Vmn1r8"</f>
        <v>Vmn1r8</v>
      </c>
      <c r="B22418" t="s">
        <v>6179</v>
      </c>
      <c r="C22418" t="s">
        <v>32</v>
      </c>
      <c r="D22418" t="s">
        <v>17</v>
      </c>
      <c r="E22418" t="s">
        <v>20</v>
      </c>
      <c r="F22418">
        <v>57035912</v>
      </c>
      <c r="G22418">
        <v>57035912</v>
      </c>
      <c r="H22418">
        <v>57035912</v>
      </c>
      <c r="I22418">
        <v>57035912</v>
      </c>
    </row>
    <row r="22419" spans="1:9" x14ac:dyDescent="0.2">
      <c r="A22419" t="str">
        <f>"Vmn1r80"</f>
        <v>Vmn1r80</v>
      </c>
      <c r="B22419" t="s">
        <v>6180</v>
      </c>
      <c r="C22419" t="s">
        <v>33</v>
      </c>
      <c r="D22419" t="s">
        <v>17</v>
      </c>
      <c r="E22419" t="s">
        <v>20</v>
      </c>
      <c r="F22419">
        <v>12192964</v>
      </c>
      <c r="G22419">
        <v>12192964</v>
      </c>
      <c r="H22419">
        <v>12192964</v>
      </c>
      <c r="I22419">
        <v>12192964</v>
      </c>
    </row>
    <row r="22420" spans="1:9" x14ac:dyDescent="0.2">
      <c r="A22420" t="str">
        <f>"Vmn1r81"</f>
        <v>Vmn1r81</v>
      </c>
      <c r="B22420" t="s">
        <v>6181</v>
      </c>
      <c r="C22420" t="s">
        <v>33</v>
      </c>
      <c r="D22420" t="s">
        <v>11</v>
      </c>
      <c r="E22420" t="s">
        <v>20</v>
      </c>
      <c r="F22420">
        <v>12260678</v>
      </c>
      <c r="G22420">
        <v>12260678</v>
      </c>
      <c r="H22420">
        <v>12260678</v>
      </c>
      <c r="I22420">
        <v>12260678</v>
      </c>
    </row>
    <row r="22421" spans="1:9" x14ac:dyDescent="0.2">
      <c r="A22421" t="str">
        <f>"Vmn1r82"</f>
        <v>Vmn1r82</v>
      </c>
      <c r="B22421" t="s">
        <v>6182</v>
      </c>
      <c r="C22421" t="s">
        <v>33</v>
      </c>
      <c r="D22421" t="s">
        <v>17</v>
      </c>
      <c r="E22421" t="s">
        <v>20</v>
      </c>
      <c r="F22421">
        <v>12304804</v>
      </c>
      <c r="G22421">
        <v>12304804</v>
      </c>
      <c r="H22421">
        <v>12304804</v>
      </c>
      <c r="I22421">
        <v>12304804</v>
      </c>
    </row>
    <row r="22422" spans="1:9" x14ac:dyDescent="0.2">
      <c r="A22422" t="str">
        <f>"Vmn1r83"</f>
        <v>Vmn1r83</v>
      </c>
      <c r="B22422" t="s">
        <v>6183</v>
      </c>
      <c r="C22422" t="s">
        <v>33</v>
      </c>
      <c r="D22422" t="s">
        <v>11</v>
      </c>
      <c r="E22422" t="s">
        <v>20</v>
      </c>
      <c r="F22422">
        <v>12322174</v>
      </c>
      <c r="G22422">
        <v>12322174</v>
      </c>
      <c r="H22422">
        <v>12322174</v>
      </c>
      <c r="I22422">
        <v>12322174</v>
      </c>
    </row>
    <row r="22423" spans="1:9" x14ac:dyDescent="0.2">
      <c r="A22423" t="str">
        <f>"Vmn1r84"</f>
        <v>Vmn1r84</v>
      </c>
      <c r="B22423" t="s">
        <v>6184</v>
      </c>
      <c r="C22423" t="s">
        <v>33</v>
      </c>
      <c r="D22423" t="s">
        <v>11</v>
      </c>
      <c r="E22423" t="s">
        <v>20</v>
      </c>
      <c r="F22423">
        <v>12362763</v>
      </c>
      <c r="G22423">
        <v>12362763</v>
      </c>
      <c r="H22423">
        <v>12362763</v>
      </c>
      <c r="I22423">
        <v>12362763</v>
      </c>
    </row>
    <row r="22424" spans="1:9" x14ac:dyDescent="0.2">
      <c r="A22424" t="str">
        <f>"Vmn1r85"</f>
        <v>Vmn1r85</v>
      </c>
      <c r="B22424" t="s">
        <v>6185</v>
      </c>
      <c r="C22424" t="s">
        <v>33</v>
      </c>
      <c r="D22424" t="s">
        <v>11</v>
      </c>
      <c r="E22424" t="s">
        <v>20</v>
      </c>
      <c r="F22424">
        <v>13085214</v>
      </c>
      <c r="G22424">
        <v>13085214</v>
      </c>
      <c r="H22424">
        <v>13085214</v>
      </c>
      <c r="I22424">
        <v>13085214</v>
      </c>
    </row>
    <row r="22425" spans="1:9" x14ac:dyDescent="0.2">
      <c r="A22425" t="str">
        <f>"Vmn1r86"</f>
        <v>Vmn1r86</v>
      </c>
      <c r="B22425" t="s">
        <v>6186</v>
      </c>
      <c r="C22425" t="s">
        <v>33</v>
      </c>
      <c r="D22425" t="s">
        <v>11</v>
      </c>
      <c r="E22425" t="s">
        <v>20</v>
      </c>
      <c r="F22425">
        <v>13102946</v>
      </c>
      <c r="G22425">
        <v>13102946</v>
      </c>
      <c r="H22425">
        <v>13102946</v>
      </c>
      <c r="I22425">
        <v>13102946</v>
      </c>
    </row>
    <row r="22426" spans="1:9" x14ac:dyDescent="0.2">
      <c r="A22426" t="str">
        <f>"Vmn1r87"</f>
        <v>Vmn1r87</v>
      </c>
      <c r="B22426" t="s">
        <v>6187</v>
      </c>
      <c r="C22426" t="s">
        <v>33</v>
      </c>
      <c r="D22426" t="s">
        <v>11</v>
      </c>
      <c r="E22426" t="s">
        <v>20</v>
      </c>
      <c r="F22426">
        <v>13132357</v>
      </c>
      <c r="G22426">
        <v>13132357</v>
      </c>
      <c r="H22426">
        <v>13132357</v>
      </c>
      <c r="I22426">
        <v>13132357</v>
      </c>
    </row>
    <row r="22427" spans="1:9" x14ac:dyDescent="0.2">
      <c r="A22427" t="str">
        <f>"Vmn1r88"</f>
        <v>Vmn1r88</v>
      </c>
      <c r="B22427" t="s">
        <v>6188</v>
      </c>
      <c r="C22427" t="s">
        <v>33</v>
      </c>
      <c r="D22427" t="s">
        <v>17</v>
      </c>
      <c r="E22427" t="s">
        <v>20</v>
      </c>
      <c r="F22427">
        <v>13177718</v>
      </c>
      <c r="G22427">
        <v>13177718</v>
      </c>
      <c r="H22427">
        <v>13177718</v>
      </c>
      <c r="I22427">
        <v>13177718</v>
      </c>
    </row>
    <row r="22428" spans="1:9" x14ac:dyDescent="0.2">
      <c r="A22428" t="str">
        <f>"Vmn1r89"</f>
        <v>Vmn1r89</v>
      </c>
      <c r="B22428" t="s">
        <v>6189</v>
      </c>
      <c r="C22428" t="s">
        <v>33</v>
      </c>
      <c r="D22428" t="s">
        <v>17</v>
      </c>
      <c r="E22428" t="s">
        <v>20</v>
      </c>
      <c r="F22428">
        <v>13219338</v>
      </c>
      <c r="G22428">
        <v>13219338</v>
      </c>
      <c r="H22428">
        <v>13219338</v>
      </c>
      <c r="I22428">
        <v>13219338</v>
      </c>
    </row>
    <row r="22429" spans="1:9" x14ac:dyDescent="0.2">
      <c r="A22429" t="str">
        <f>"Vmn1r9"</f>
        <v>Vmn1r9</v>
      </c>
      <c r="B22429" t="s">
        <v>6190</v>
      </c>
      <c r="C22429" t="s">
        <v>32</v>
      </c>
      <c r="D22429" t="s">
        <v>17</v>
      </c>
      <c r="E22429" t="s">
        <v>20</v>
      </c>
      <c r="F22429">
        <v>57070894</v>
      </c>
      <c r="G22429">
        <v>57070894</v>
      </c>
      <c r="H22429">
        <v>57070894</v>
      </c>
      <c r="I22429">
        <v>57070894</v>
      </c>
    </row>
    <row r="22430" spans="1:9" x14ac:dyDescent="0.2">
      <c r="A22430" t="str">
        <f>"Vmn1r90"</f>
        <v>Vmn1r90</v>
      </c>
      <c r="B22430" t="s">
        <v>6191</v>
      </c>
      <c r="C22430" t="s">
        <v>33</v>
      </c>
      <c r="D22430" t="s">
        <v>11</v>
      </c>
      <c r="E22430" t="s">
        <v>20</v>
      </c>
      <c r="F22430">
        <v>14562170</v>
      </c>
      <c r="G22430">
        <v>14562170</v>
      </c>
      <c r="H22430">
        <v>14562170</v>
      </c>
      <c r="I22430">
        <v>14562170</v>
      </c>
    </row>
    <row r="22431" spans="1:9" x14ac:dyDescent="0.2">
      <c r="A22431" t="str">
        <f>"Vmn1r91"</f>
        <v>Vmn1r91</v>
      </c>
      <c r="B22431" t="s">
        <v>6192</v>
      </c>
      <c r="C22431" t="s">
        <v>33</v>
      </c>
      <c r="D22431" t="s">
        <v>17</v>
      </c>
      <c r="E22431" t="s">
        <v>20</v>
      </c>
      <c r="F22431">
        <v>20101157</v>
      </c>
      <c r="G22431">
        <v>20101157</v>
      </c>
      <c r="H22431">
        <v>20101157</v>
      </c>
      <c r="I22431">
        <v>20101157</v>
      </c>
    </row>
    <row r="22432" spans="1:9" x14ac:dyDescent="0.2">
      <c r="A22432" t="str">
        <f>"Vmn1r93"</f>
        <v>Vmn1r93</v>
      </c>
      <c r="B22432" t="s">
        <v>6193</v>
      </c>
      <c r="C22432" t="s">
        <v>33</v>
      </c>
      <c r="D22432" t="s">
        <v>11</v>
      </c>
      <c r="E22432" t="s">
        <v>20</v>
      </c>
      <c r="F22432">
        <v>20139087</v>
      </c>
      <c r="G22432">
        <v>20139087</v>
      </c>
      <c r="H22432">
        <v>20139087</v>
      </c>
      <c r="I22432">
        <v>20139087</v>
      </c>
    </row>
    <row r="22433" spans="1:9" x14ac:dyDescent="0.2">
      <c r="A22433" t="str">
        <f>"Vmn1r94"</f>
        <v>Vmn1r94</v>
      </c>
      <c r="B22433" t="s">
        <v>6194</v>
      </c>
      <c r="C22433" t="s">
        <v>33</v>
      </c>
      <c r="D22433" t="s">
        <v>11</v>
      </c>
      <c r="E22433" t="s">
        <v>20</v>
      </c>
      <c r="F22433">
        <v>20168376</v>
      </c>
      <c r="G22433">
        <v>20168376</v>
      </c>
      <c r="H22433">
        <v>20168376</v>
      </c>
      <c r="I22433">
        <v>20168376</v>
      </c>
    </row>
    <row r="22434" spans="1:9" x14ac:dyDescent="0.2">
      <c r="A22434" t="str">
        <f>"Vmn1r95"</f>
        <v>Vmn1r95</v>
      </c>
      <c r="B22434" t="s">
        <v>6195</v>
      </c>
      <c r="C22434" t="s">
        <v>33</v>
      </c>
      <c r="D22434" t="s">
        <v>17</v>
      </c>
      <c r="E22434" t="s">
        <v>20</v>
      </c>
      <c r="F22434">
        <v>20193709</v>
      </c>
      <c r="G22434">
        <v>20193709</v>
      </c>
      <c r="H22434">
        <v>20193709</v>
      </c>
      <c r="I22434">
        <v>20193709</v>
      </c>
    </row>
    <row r="22435" spans="1:9" x14ac:dyDescent="0.2">
      <c r="A22435" t="str">
        <f>"Vmn2r-ps104"</f>
        <v>Vmn2r-ps104</v>
      </c>
      <c r="B22435" t="s">
        <v>6196</v>
      </c>
      <c r="C22435" t="s">
        <v>39</v>
      </c>
      <c r="D22435" t="s">
        <v>11</v>
      </c>
      <c r="E22435" t="s">
        <v>20</v>
      </c>
      <c r="F22435">
        <v>66355384</v>
      </c>
      <c r="G22435">
        <v>66355384</v>
      </c>
      <c r="H22435">
        <v>66355384</v>
      </c>
      <c r="I22435">
        <v>66355384</v>
      </c>
    </row>
    <row r="22436" spans="1:9" x14ac:dyDescent="0.2">
      <c r="A22436" t="str">
        <f>"Vmn2r-ps130"</f>
        <v>Vmn2r-ps130</v>
      </c>
      <c r="B22436" t="s">
        <v>6197</v>
      </c>
      <c r="C22436" t="s">
        <v>28</v>
      </c>
      <c r="D22436" t="s">
        <v>17</v>
      </c>
      <c r="E22436" t="s">
        <v>20</v>
      </c>
      <c r="F22436">
        <v>23061366</v>
      </c>
      <c r="G22436">
        <v>23061366</v>
      </c>
      <c r="H22436">
        <v>23061366</v>
      </c>
      <c r="I22436">
        <v>23061366</v>
      </c>
    </row>
    <row r="22437" spans="1:9" x14ac:dyDescent="0.2">
      <c r="A22437" t="str">
        <f>"Vmn2r-ps159"</f>
        <v>Vmn2r-ps159</v>
      </c>
      <c r="B22437" t="s">
        <v>6198</v>
      </c>
      <c r="C22437" t="s">
        <v>23</v>
      </c>
      <c r="D22437" t="s">
        <v>17</v>
      </c>
      <c r="E22437" t="s">
        <v>20</v>
      </c>
      <c r="F22437">
        <v>156331134</v>
      </c>
      <c r="G22437">
        <v>156331134</v>
      </c>
      <c r="H22437">
        <v>156331134</v>
      </c>
      <c r="I22437">
        <v>156331134</v>
      </c>
    </row>
    <row r="22438" spans="1:9" x14ac:dyDescent="0.2">
      <c r="A22438" t="str">
        <f>"Vmn2r1"</f>
        <v>Vmn2r1</v>
      </c>
      <c r="B22438" t="s">
        <v>6199</v>
      </c>
      <c r="C22438" t="s">
        <v>22</v>
      </c>
      <c r="D22438" t="s">
        <v>17</v>
      </c>
      <c r="E22438" t="s">
        <v>20</v>
      </c>
      <c r="F22438">
        <v>64081641</v>
      </c>
      <c r="G22438">
        <v>64081641</v>
      </c>
      <c r="H22438">
        <v>64081641</v>
      </c>
      <c r="I22438">
        <v>64081641</v>
      </c>
    </row>
    <row r="22439" spans="1:9" x14ac:dyDescent="0.2">
      <c r="A22439" t="str">
        <f>"Vmn2r10"</f>
        <v>Vmn2r10</v>
      </c>
      <c r="B22439" t="s">
        <v>6200</v>
      </c>
      <c r="C22439" t="s">
        <v>46</v>
      </c>
      <c r="D22439" t="s">
        <v>11</v>
      </c>
      <c r="E22439" t="s">
        <v>20</v>
      </c>
      <c r="F22439">
        <v>109006435</v>
      </c>
      <c r="G22439">
        <v>109006435</v>
      </c>
      <c r="H22439">
        <v>109006435</v>
      </c>
      <c r="I22439">
        <v>109006435</v>
      </c>
    </row>
    <row r="22440" spans="1:9" x14ac:dyDescent="0.2">
      <c r="A22440" t="str">
        <f>"Vmn2r100"</f>
        <v>Vmn2r100</v>
      </c>
      <c r="B22440" t="s">
        <v>6201</v>
      </c>
      <c r="C22440" t="s">
        <v>28</v>
      </c>
      <c r="D22440" t="s">
        <v>17</v>
      </c>
      <c r="E22440" t="s">
        <v>20</v>
      </c>
      <c r="F22440">
        <v>19504810</v>
      </c>
      <c r="G22440">
        <v>19504810</v>
      </c>
      <c r="H22440">
        <v>19504810</v>
      </c>
      <c r="I22440">
        <v>19504810</v>
      </c>
    </row>
    <row r="22441" spans="1:9" x14ac:dyDescent="0.2">
      <c r="A22441" t="str">
        <f>"Vmn2r101"</f>
        <v>Vmn2r101</v>
      </c>
      <c r="B22441" t="s">
        <v>6202</v>
      </c>
      <c r="C22441" t="s">
        <v>28</v>
      </c>
      <c r="D22441" t="s">
        <v>17</v>
      </c>
      <c r="E22441" t="s">
        <v>20</v>
      </c>
      <c r="F22441">
        <v>19577230</v>
      </c>
      <c r="G22441">
        <v>19577230</v>
      </c>
      <c r="H22441">
        <v>19577230</v>
      </c>
      <c r="I22441">
        <v>19577230</v>
      </c>
    </row>
    <row r="22442" spans="1:9" x14ac:dyDescent="0.2">
      <c r="A22442" t="str">
        <f>"Vmn2r102"</f>
        <v>Vmn2r102</v>
      </c>
      <c r="B22442" t="s">
        <v>6203</v>
      </c>
      <c r="C22442" t="s">
        <v>28</v>
      </c>
      <c r="D22442" t="s">
        <v>17</v>
      </c>
      <c r="E22442" t="s">
        <v>20</v>
      </c>
      <c r="F22442">
        <v>19660398</v>
      </c>
      <c r="G22442">
        <v>19660398</v>
      </c>
      <c r="H22442">
        <v>19660398</v>
      </c>
      <c r="I22442">
        <v>19660398</v>
      </c>
    </row>
    <row r="22443" spans="1:9" x14ac:dyDescent="0.2">
      <c r="A22443" t="str">
        <f>"Vmn2r103"</f>
        <v>Vmn2r103</v>
      </c>
      <c r="B22443" t="s">
        <v>6204</v>
      </c>
      <c r="C22443" t="s">
        <v>28</v>
      </c>
      <c r="D22443" t="s">
        <v>17</v>
      </c>
      <c r="E22443" t="s">
        <v>20</v>
      </c>
      <c r="F22443">
        <v>19773362</v>
      </c>
      <c r="G22443">
        <v>19773362</v>
      </c>
      <c r="H22443">
        <v>19773362</v>
      </c>
      <c r="I22443">
        <v>19773362</v>
      </c>
    </row>
    <row r="22444" spans="1:9" x14ac:dyDescent="0.2">
      <c r="A22444" t="str">
        <f>"Vmn2r104"</f>
        <v>Vmn2r104</v>
      </c>
      <c r="B22444" t="s">
        <v>6205</v>
      </c>
      <c r="C22444" t="s">
        <v>28</v>
      </c>
      <c r="D22444" t="s">
        <v>11</v>
      </c>
      <c r="E22444" t="s">
        <v>20</v>
      </c>
      <c r="F22444">
        <v>20048204</v>
      </c>
      <c r="G22444">
        <v>20048204</v>
      </c>
      <c r="H22444">
        <v>20048204</v>
      </c>
      <c r="I22444">
        <v>20048204</v>
      </c>
    </row>
    <row r="22445" spans="1:9" x14ac:dyDescent="0.2">
      <c r="A22445" t="str">
        <f>"Vmn2r105"</f>
        <v>Vmn2r105</v>
      </c>
      <c r="B22445" t="s">
        <v>6206</v>
      </c>
      <c r="C22445" t="s">
        <v>28</v>
      </c>
      <c r="D22445" t="s">
        <v>11</v>
      </c>
      <c r="E22445" t="s">
        <v>20</v>
      </c>
      <c r="F22445">
        <v>20234871</v>
      </c>
      <c r="G22445">
        <v>20234871</v>
      </c>
      <c r="H22445">
        <v>20234871</v>
      </c>
      <c r="I22445">
        <v>20234871</v>
      </c>
    </row>
    <row r="22446" spans="1:9" x14ac:dyDescent="0.2">
      <c r="A22446" t="str">
        <f>"Vmn2r106"</f>
        <v>Vmn2r106</v>
      </c>
      <c r="B22446" t="s">
        <v>6207</v>
      </c>
      <c r="C22446" t="s">
        <v>28</v>
      </c>
      <c r="D22446" t="s">
        <v>11</v>
      </c>
      <c r="E22446" t="s">
        <v>20</v>
      </c>
      <c r="F22446">
        <v>20285429</v>
      </c>
      <c r="G22446">
        <v>20285429</v>
      </c>
      <c r="H22446">
        <v>20285429</v>
      </c>
      <c r="I22446">
        <v>20285429</v>
      </c>
    </row>
    <row r="22447" spans="1:9" x14ac:dyDescent="0.2">
      <c r="A22447" t="str">
        <f>"Vmn2r107"</f>
        <v>Vmn2r107</v>
      </c>
      <c r="B22447" t="s">
        <v>6208</v>
      </c>
      <c r="C22447" t="s">
        <v>28</v>
      </c>
      <c r="D22447" t="s">
        <v>17</v>
      </c>
      <c r="E22447" t="s">
        <v>20</v>
      </c>
      <c r="F22447">
        <v>20345424</v>
      </c>
      <c r="G22447">
        <v>20345424</v>
      </c>
      <c r="H22447">
        <v>20345424</v>
      </c>
      <c r="I22447">
        <v>20345424</v>
      </c>
    </row>
    <row r="22448" spans="1:9" x14ac:dyDescent="0.2">
      <c r="A22448" t="str">
        <f>"Vmn2r108"</f>
        <v>Vmn2r108</v>
      </c>
      <c r="B22448" t="s">
        <v>6209</v>
      </c>
      <c r="C22448" t="s">
        <v>28</v>
      </c>
      <c r="D22448" t="s">
        <v>11</v>
      </c>
      <c r="E22448" t="s">
        <v>20</v>
      </c>
      <c r="F22448">
        <v>20481235</v>
      </c>
      <c r="G22448">
        <v>20481235</v>
      </c>
      <c r="H22448">
        <v>20481235</v>
      </c>
      <c r="I22448">
        <v>20481235</v>
      </c>
    </row>
    <row r="22449" spans="1:9" x14ac:dyDescent="0.2">
      <c r="A22449" t="str">
        <f>"Vmn2r109"</f>
        <v>Vmn2r109</v>
      </c>
      <c r="B22449" t="s">
        <v>6210</v>
      </c>
      <c r="C22449" t="s">
        <v>28</v>
      </c>
      <c r="D22449" t="s">
        <v>11</v>
      </c>
      <c r="E22449" t="s">
        <v>20</v>
      </c>
      <c r="F22449">
        <v>20564755</v>
      </c>
      <c r="G22449">
        <v>20564755</v>
      </c>
      <c r="H22449">
        <v>20564755</v>
      </c>
      <c r="I22449">
        <v>20564755</v>
      </c>
    </row>
    <row r="22450" spans="1:9" x14ac:dyDescent="0.2">
      <c r="A22450" t="str">
        <f>"Vmn2r11"</f>
        <v>Vmn2r11</v>
      </c>
      <c r="B22450" t="s">
        <v>6211</v>
      </c>
      <c r="C22450" t="s">
        <v>46</v>
      </c>
      <c r="D22450" t="s">
        <v>11</v>
      </c>
      <c r="E22450" t="s">
        <v>20</v>
      </c>
      <c r="F22450">
        <v>109059451</v>
      </c>
      <c r="G22450">
        <v>109059451</v>
      </c>
      <c r="H22450">
        <v>109059451</v>
      </c>
      <c r="I22450">
        <v>109059451</v>
      </c>
    </row>
    <row r="22451" spans="1:9" x14ac:dyDescent="0.2">
      <c r="A22451" t="str">
        <f>"Vmn2r110"</f>
        <v>Vmn2r110</v>
      </c>
      <c r="B22451" t="s">
        <v>6212</v>
      </c>
      <c r="C22451" t="s">
        <v>28</v>
      </c>
      <c r="D22451" t="s">
        <v>11</v>
      </c>
      <c r="E22451" t="s">
        <v>20</v>
      </c>
      <c r="F22451">
        <v>20596258</v>
      </c>
      <c r="G22451">
        <v>20596258</v>
      </c>
      <c r="H22451">
        <v>20596258</v>
      </c>
      <c r="I22451">
        <v>20596258</v>
      </c>
    </row>
    <row r="22452" spans="1:9" x14ac:dyDescent="0.2">
      <c r="A22452" t="str">
        <f>"Vmn2r111"</f>
        <v>Vmn2r111</v>
      </c>
      <c r="B22452" t="s">
        <v>6213</v>
      </c>
      <c r="C22452" t="s">
        <v>28</v>
      </c>
      <c r="D22452" t="s">
        <v>11</v>
      </c>
      <c r="E22452" t="s">
        <v>20</v>
      </c>
      <c r="F22452">
        <v>22573272</v>
      </c>
      <c r="G22452">
        <v>22573272</v>
      </c>
      <c r="H22452">
        <v>22573272</v>
      </c>
      <c r="I22452">
        <v>22573272</v>
      </c>
    </row>
    <row r="22453" spans="1:9" x14ac:dyDescent="0.2">
      <c r="A22453" t="str">
        <f>"Vmn2r112"</f>
        <v>Vmn2r112</v>
      </c>
      <c r="B22453" t="s">
        <v>6214</v>
      </c>
      <c r="C22453" t="s">
        <v>28</v>
      </c>
      <c r="D22453" t="s">
        <v>17</v>
      </c>
      <c r="E22453" t="s">
        <v>20</v>
      </c>
      <c r="F22453">
        <v>22601147</v>
      </c>
      <c r="G22453">
        <v>22601147</v>
      </c>
      <c r="H22453">
        <v>22601147</v>
      </c>
      <c r="I22453">
        <v>22601147</v>
      </c>
    </row>
    <row r="22454" spans="1:9" x14ac:dyDescent="0.2">
      <c r="A22454" t="str">
        <f>"Vmn2r113"</f>
        <v>Vmn2r113</v>
      </c>
      <c r="B22454" t="s">
        <v>6215</v>
      </c>
      <c r="C22454" t="s">
        <v>28</v>
      </c>
      <c r="D22454" t="s">
        <v>17</v>
      </c>
      <c r="E22454" t="s">
        <v>20</v>
      </c>
      <c r="F22454">
        <v>22943183</v>
      </c>
      <c r="G22454">
        <v>22943183</v>
      </c>
      <c r="H22454">
        <v>22943183</v>
      </c>
      <c r="I22454">
        <v>22943183</v>
      </c>
    </row>
    <row r="22455" spans="1:9" x14ac:dyDescent="0.2">
      <c r="A22455" t="str">
        <f>"Vmn2r114"</f>
        <v>Vmn2r114</v>
      </c>
      <c r="B22455" t="s">
        <v>6216</v>
      </c>
      <c r="C22455" t="s">
        <v>28</v>
      </c>
      <c r="D22455" t="s">
        <v>11</v>
      </c>
      <c r="E22455" t="s">
        <v>20</v>
      </c>
      <c r="F22455">
        <v>23312312</v>
      </c>
      <c r="G22455">
        <v>23312312</v>
      </c>
      <c r="H22455">
        <v>23312312</v>
      </c>
      <c r="I22455">
        <v>23312312</v>
      </c>
    </row>
    <row r="22456" spans="1:9" x14ac:dyDescent="0.2">
      <c r="A22456" t="str">
        <f>"Vmn2r115"</f>
        <v>Vmn2r115</v>
      </c>
      <c r="B22456" t="s">
        <v>6217</v>
      </c>
      <c r="C22456" t="s">
        <v>28</v>
      </c>
      <c r="D22456" t="s">
        <v>17</v>
      </c>
      <c r="E22456" t="s">
        <v>20</v>
      </c>
      <c r="F22456">
        <v>23343976</v>
      </c>
      <c r="G22456">
        <v>23343976</v>
      </c>
      <c r="H22456">
        <v>23343976</v>
      </c>
      <c r="I22456">
        <v>23343976</v>
      </c>
    </row>
    <row r="22457" spans="1:9" x14ac:dyDescent="0.2">
      <c r="A22457" t="str">
        <f>"Vmn2r116"</f>
        <v>Vmn2r116</v>
      </c>
      <c r="B22457" t="s">
        <v>6218</v>
      </c>
      <c r="C22457" t="s">
        <v>28</v>
      </c>
      <c r="D22457" t="s">
        <v>17</v>
      </c>
      <c r="E22457" t="s">
        <v>20</v>
      </c>
      <c r="F22457">
        <v>23384802</v>
      </c>
      <c r="G22457">
        <v>23384802</v>
      </c>
      <c r="H22457">
        <v>23384802</v>
      </c>
      <c r="I22457">
        <v>23384802</v>
      </c>
    </row>
    <row r="22458" spans="1:9" x14ac:dyDescent="0.2">
      <c r="A22458" t="str">
        <f>"Vmn2r117"</f>
        <v>Vmn2r117</v>
      </c>
      <c r="B22458" t="s">
        <v>6219</v>
      </c>
      <c r="C22458" t="s">
        <v>28</v>
      </c>
      <c r="D22458" t="s">
        <v>11</v>
      </c>
      <c r="E22458" t="s">
        <v>20</v>
      </c>
      <c r="F22458">
        <v>23479596</v>
      </c>
      <c r="G22458">
        <v>23479596</v>
      </c>
      <c r="H22458">
        <v>23479596</v>
      </c>
      <c r="I22458">
        <v>23479596</v>
      </c>
    </row>
    <row r="22459" spans="1:9" x14ac:dyDescent="0.2">
      <c r="A22459" t="str">
        <f>"Vmn2r118"</f>
        <v>Vmn2r118</v>
      </c>
      <c r="B22459" t="s">
        <v>6220</v>
      </c>
      <c r="C22459" t="s">
        <v>28</v>
      </c>
      <c r="D22459" t="s">
        <v>11</v>
      </c>
      <c r="E22459" t="s">
        <v>20</v>
      </c>
      <c r="F22459">
        <v>55624671</v>
      </c>
      <c r="G22459">
        <v>55624671</v>
      </c>
      <c r="H22459">
        <v>55624671</v>
      </c>
      <c r="I22459">
        <v>55624671</v>
      </c>
    </row>
    <row r="22460" spans="1:9" x14ac:dyDescent="0.2">
      <c r="A22460" t="str">
        <f>"Vmn2r12"</f>
        <v>Vmn2r12</v>
      </c>
      <c r="B22460" t="s">
        <v>6221</v>
      </c>
      <c r="C22460" t="s">
        <v>46</v>
      </c>
      <c r="D22460" t="s">
        <v>11</v>
      </c>
      <c r="E22460" t="s">
        <v>20</v>
      </c>
      <c r="F22460">
        <v>109097863</v>
      </c>
      <c r="G22460">
        <v>109097863</v>
      </c>
      <c r="H22460">
        <v>109097863</v>
      </c>
      <c r="I22460">
        <v>109097863</v>
      </c>
    </row>
    <row r="22461" spans="1:9" x14ac:dyDescent="0.2">
      <c r="A22461" t="str">
        <f>"Vmn2r120"</f>
        <v>Vmn2r120</v>
      </c>
      <c r="B22461" t="s">
        <v>6222</v>
      </c>
      <c r="C22461" t="s">
        <v>28</v>
      </c>
      <c r="D22461" t="s">
        <v>11</v>
      </c>
      <c r="E22461" t="s">
        <v>20</v>
      </c>
      <c r="F22461">
        <v>57545313</v>
      </c>
      <c r="G22461">
        <v>57545313</v>
      </c>
      <c r="H22461">
        <v>57545313</v>
      </c>
      <c r="I22461">
        <v>57545313</v>
      </c>
    </row>
    <row r="22462" spans="1:9" x14ac:dyDescent="0.2">
      <c r="A22462" t="str">
        <f>"Vmn2r121"</f>
        <v>Vmn2r121</v>
      </c>
      <c r="B22462" t="s">
        <v>6223</v>
      </c>
      <c r="C22462" t="s">
        <v>37</v>
      </c>
      <c r="D22462" t="s">
        <v>11</v>
      </c>
      <c r="E22462" t="s">
        <v>20</v>
      </c>
      <c r="F22462">
        <v>124135909</v>
      </c>
      <c r="G22462">
        <v>124135909</v>
      </c>
      <c r="H22462">
        <v>124135909</v>
      </c>
      <c r="I22462">
        <v>124135909</v>
      </c>
    </row>
    <row r="22463" spans="1:9" x14ac:dyDescent="0.2">
      <c r="A22463" t="str">
        <f>"Vmn2r124"</f>
        <v>Vmn2r124</v>
      </c>
      <c r="B22463" t="s">
        <v>6224</v>
      </c>
      <c r="C22463" t="s">
        <v>28</v>
      </c>
      <c r="D22463" t="s">
        <v>17</v>
      </c>
      <c r="E22463" t="s">
        <v>20</v>
      </c>
      <c r="F22463">
        <v>18049483</v>
      </c>
      <c r="G22463">
        <v>18049483</v>
      </c>
      <c r="H22463">
        <v>18049483</v>
      </c>
      <c r="I22463">
        <v>18049483</v>
      </c>
    </row>
    <row r="22464" spans="1:9" x14ac:dyDescent="0.2">
      <c r="A22464" t="str">
        <f>"Vmn2r13"</f>
        <v>Vmn2r13</v>
      </c>
      <c r="B22464" t="s">
        <v>6225</v>
      </c>
      <c r="C22464" t="s">
        <v>46</v>
      </c>
      <c r="D22464" t="s">
        <v>11</v>
      </c>
      <c r="E22464" t="s">
        <v>20</v>
      </c>
      <c r="F22464">
        <v>109192106</v>
      </c>
      <c r="G22464">
        <v>109192106</v>
      </c>
      <c r="H22464">
        <v>109192106</v>
      </c>
      <c r="I22464">
        <v>109192106</v>
      </c>
    </row>
    <row r="22465" spans="1:9" x14ac:dyDescent="0.2">
      <c r="A22465" t="str">
        <f>"Vmn2r14"</f>
        <v>Vmn2r14</v>
      </c>
      <c r="B22465" t="s">
        <v>6226</v>
      </c>
      <c r="C22465" t="s">
        <v>46</v>
      </c>
      <c r="D22465" t="s">
        <v>11</v>
      </c>
      <c r="E22465" t="s">
        <v>20</v>
      </c>
      <c r="F22465">
        <v>109224621</v>
      </c>
      <c r="G22465">
        <v>109224621</v>
      </c>
      <c r="H22465">
        <v>109224621</v>
      </c>
      <c r="I22465">
        <v>109224621</v>
      </c>
    </row>
    <row r="22466" spans="1:9" x14ac:dyDescent="0.2">
      <c r="A22466" t="str">
        <f>"Vmn2r15"</f>
        <v>Vmn2r15</v>
      </c>
      <c r="B22466" t="s">
        <v>6227</v>
      </c>
      <c r="C22466" t="s">
        <v>46</v>
      </c>
      <c r="D22466" t="s">
        <v>11</v>
      </c>
      <c r="E22466" t="s">
        <v>20</v>
      </c>
      <c r="F22466">
        <v>109297555</v>
      </c>
      <c r="G22466">
        <v>109297555</v>
      </c>
      <c r="H22466">
        <v>109297555</v>
      </c>
      <c r="I22466">
        <v>109297555</v>
      </c>
    </row>
    <row r="22467" spans="1:9" x14ac:dyDescent="0.2">
      <c r="A22467" t="str">
        <f>"Vmn2r16"</f>
        <v>Vmn2r16</v>
      </c>
      <c r="B22467" t="s">
        <v>6228</v>
      </c>
      <c r="C22467" t="s">
        <v>46</v>
      </c>
      <c r="D22467" t="s">
        <v>17</v>
      </c>
      <c r="E22467" t="s">
        <v>20</v>
      </c>
      <c r="F22467">
        <v>109330380</v>
      </c>
      <c r="G22467">
        <v>109330380</v>
      </c>
      <c r="H22467">
        <v>109330380</v>
      </c>
      <c r="I22467">
        <v>109330380</v>
      </c>
    </row>
    <row r="22468" spans="1:9" x14ac:dyDescent="0.2">
      <c r="A22468" t="str">
        <f>"Vmn2r17"</f>
        <v>Vmn2r17</v>
      </c>
      <c r="B22468" t="s">
        <v>6229</v>
      </c>
      <c r="C22468" t="s">
        <v>46</v>
      </c>
      <c r="D22468" t="s">
        <v>17</v>
      </c>
      <c r="E22468" t="s">
        <v>20</v>
      </c>
      <c r="F22468">
        <v>109420012</v>
      </c>
      <c r="G22468">
        <v>109420012</v>
      </c>
      <c r="H22468">
        <v>109420012</v>
      </c>
      <c r="I22468">
        <v>109420012</v>
      </c>
    </row>
    <row r="22469" spans="1:9" x14ac:dyDescent="0.2">
      <c r="A22469" t="str">
        <f>"Vmn2r18"</f>
        <v>Vmn2r18</v>
      </c>
      <c r="B22469" t="s">
        <v>6230</v>
      </c>
      <c r="C22469" t="s">
        <v>46</v>
      </c>
      <c r="D22469" t="s">
        <v>11</v>
      </c>
      <c r="E22469" t="s">
        <v>20</v>
      </c>
      <c r="F22469">
        <v>151586923</v>
      </c>
      <c r="G22469">
        <v>151586923</v>
      </c>
      <c r="H22469">
        <v>151586923</v>
      </c>
      <c r="I22469">
        <v>151586923</v>
      </c>
    </row>
    <row r="22470" spans="1:9" x14ac:dyDescent="0.2">
      <c r="A22470" t="str">
        <f>"Vmn2r19"</f>
        <v>Vmn2r19</v>
      </c>
      <c r="B22470" t="s">
        <v>6231</v>
      </c>
      <c r="C22470" t="s">
        <v>32</v>
      </c>
      <c r="D22470" t="s">
        <v>17</v>
      </c>
      <c r="E22470" t="s">
        <v>20</v>
      </c>
      <c r="F22470">
        <v>123308332</v>
      </c>
      <c r="G22470">
        <v>123308332</v>
      </c>
      <c r="H22470">
        <v>123308332</v>
      </c>
      <c r="I22470">
        <v>123308332</v>
      </c>
    </row>
    <row r="22471" spans="1:9" x14ac:dyDescent="0.2">
      <c r="A22471" t="str">
        <f>"Vmn2r2"</f>
        <v>Vmn2r2</v>
      </c>
      <c r="B22471" t="s">
        <v>6232</v>
      </c>
      <c r="C22471" t="s">
        <v>22</v>
      </c>
      <c r="D22471" t="s">
        <v>11</v>
      </c>
      <c r="E22471" t="s">
        <v>20</v>
      </c>
      <c r="F22471">
        <v>64140542</v>
      </c>
      <c r="G22471">
        <v>64140542</v>
      </c>
      <c r="H22471">
        <v>64140542</v>
      </c>
      <c r="I22471">
        <v>64140542</v>
      </c>
    </row>
    <row r="22472" spans="1:9" x14ac:dyDescent="0.2">
      <c r="A22472" t="str">
        <f>"Vmn2r20"</f>
        <v>Vmn2r20</v>
      </c>
      <c r="B22472" t="s">
        <v>6233</v>
      </c>
      <c r="C22472" t="s">
        <v>32</v>
      </c>
      <c r="D22472" t="s">
        <v>11</v>
      </c>
      <c r="E22472" t="s">
        <v>20</v>
      </c>
      <c r="F22472">
        <v>123418060</v>
      </c>
      <c r="G22472">
        <v>123418060</v>
      </c>
      <c r="H22472">
        <v>123418060</v>
      </c>
      <c r="I22472">
        <v>123418060</v>
      </c>
    </row>
    <row r="22473" spans="1:9" x14ac:dyDescent="0.2">
      <c r="A22473" t="str">
        <f>"Vmn2r21"</f>
        <v>Vmn2r21</v>
      </c>
      <c r="B22473" t="s">
        <v>6234</v>
      </c>
      <c r="C22473" t="s">
        <v>32</v>
      </c>
      <c r="D22473" t="s">
        <v>11</v>
      </c>
      <c r="E22473" t="s">
        <v>20</v>
      </c>
      <c r="F22473">
        <v>123533405</v>
      </c>
      <c r="G22473">
        <v>123533405</v>
      </c>
      <c r="H22473">
        <v>123533405</v>
      </c>
      <c r="I22473">
        <v>123533405</v>
      </c>
    </row>
    <row r="22474" spans="1:9" x14ac:dyDescent="0.2">
      <c r="A22474" t="str">
        <f>"Vmn2r22"</f>
        <v>Vmn2r22</v>
      </c>
      <c r="B22474" t="s">
        <v>6235</v>
      </c>
      <c r="C22474" t="s">
        <v>32</v>
      </c>
      <c r="D22474" t="s">
        <v>11</v>
      </c>
      <c r="E22474" t="s">
        <v>20</v>
      </c>
      <c r="F22474">
        <v>123650634</v>
      </c>
      <c r="G22474">
        <v>123650634</v>
      </c>
      <c r="H22474">
        <v>123650634</v>
      </c>
      <c r="I22474">
        <v>123650634</v>
      </c>
    </row>
    <row r="22475" spans="1:9" x14ac:dyDescent="0.2">
      <c r="A22475" t="str">
        <f>"Vmn2r23"</f>
        <v>Vmn2r23</v>
      </c>
      <c r="B22475" t="s">
        <v>6236</v>
      </c>
      <c r="C22475" t="s">
        <v>32</v>
      </c>
      <c r="D22475" t="s">
        <v>17</v>
      </c>
      <c r="E22475" t="s">
        <v>20</v>
      </c>
      <c r="F22475">
        <v>123702820</v>
      </c>
      <c r="G22475">
        <v>123702820</v>
      </c>
      <c r="H22475">
        <v>123702820</v>
      </c>
      <c r="I22475">
        <v>123702820</v>
      </c>
    </row>
    <row r="22476" spans="1:9" x14ac:dyDescent="0.2">
      <c r="A22476" t="str">
        <f>"Vmn2r24"</f>
        <v>Vmn2r24</v>
      </c>
      <c r="B22476" t="s">
        <v>6237</v>
      </c>
      <c r="C22476" t="s">
        <v>32</v>
      </c>
      <c r="D22476" t="s">
        <v>17</v>
      </c>
      <c r="E22476" t="s">
        <v>20</v>
      </c>
      <c r="F22476">
        <v>123778970</v>
      </c>
      <c r="G22476">
        <v>123778970</v>
      </c>
      <c r="H22476">
        <v>123778970</v>
      </c>
      <c r="I22476">
        <v>123778970</v>
      </c>
    </row>
    <row r="22477" spans="1:9" x14ac:dyDescent="0.2">
      <c r="A22477" t="str">
        <f>"Vmn2r25"</f>
        <v>Vmn2r25</v>
      </c>
      <c r="B22477" t="s">
        <v>6238</v>
      </c>
      <c r="C22477" t="s">
        <v>32</v>
      </c>
      <c r="D22477" t="s">
        <v>11</v>
      </c>
      <c r="E22477" t="s">
        <v>20</v>
      </c>
      <c r="F22477">
        <v>123853189</v>
      </c>
      <c r="G22477">
        <v>123853189</v>
      </c>
      <c r="H22477">
        <v>123853189</v>
      </c>
      <c r="I22477">
        <v>123853189</v>
      </c>
    </row>
    <row r="22478" spans="1:9" x14ac:dyDescent="0.2">
      <c r="A22478" t="str">
        <f>"Vmn2r26"</f>
        <v>Vmn2r26</v>
      </c>
      <c r="B22478" t="s">
        <v>6239</v>
      </c>
      <c r="C22478" t="s">
        <v>32</v>
      </c>
      <c r="D22478" t="s">
        <v>17</v>
      </c>
      <c r="E22478" t="s">
        <v>20</v>
      </c>
      <c r="F22478">
        <v>124024757</v>
      </c>
      <c r="G22478">
        <v>124024757</v>
      </c>
      <c r="H22478">
        <v>124024757</v>
      </c>
      <c r="I22478">
        <v>124024757</v>
      </c>
    </row>
    <row r="22479" spans="1:9" x14ac:dyDescent="0.2">
      <c r="A22479" t="str">
        <f>"Vmn2r27"</f>
        <v>Vmn2r27</v>
      </c>
      <c r="B22479" t="s">
        <v>6240</v>
      </c>
      <c r="C22479" t="s">
        <v>32</v>
      </c>
      <c r="D22479" t="s">
        <v>11</v>
      </c>
      <c r="E22479" t="s">
        <v>20</v>
      </c>
      <c r="F22479">
        <v>124231783</v>
      </c>
      <c r="G22479">
        <v>124231783</v>
      </c>
      <c r="H22479">
        <v>124231783</v>
      </c>
      <c r="I22479">
        <v>124231783</v>
      </c>
    </row>
    <row r="22480" spans="1:9" x14ac:dyDescent="0.2">
      <c r="A22480" t="str">
        <f>"Vmn2r28"</f>
        <v>Vmn2r28</v>
      </c>
      <c r="B22480" t="s">
        <v>6241</v>
      </c>
      <c r="C22480" t="s">
        <v>33</v>
      </c>
      <c r="D22480" t="s">
        <v>11</v>
      </c>
      <c r="E22480" t="s">
        <v>20</v>
      </c>
      <c r="F22480">
        <v>5493850</v>
      </c>
      <c r="G22480">
        <v>5493850</v>
      </c>
      <c r="H22480">
        <v>5493850</v>
      </c>
      <c r="I22480">
        <v>5493850</v>
      </c>
    </row>
    <row r="22481" spans="1:9" x14ac:dyDescent="0.2">
      <c r="A22481" t="str">
        <f>"Vmn2r29"</f>
        <v>Vmn2r29</v>
      </c>
      <c r="B22481" t="s">
        <v>6242</v>
      </c>
      <c r="C22481" t="s">
        <v>33</v>
      </c>
      <c r="D22481" t="s">
        <v>11</v>
      </c>
      <c r="E22481" t="s">
        <v>20</v>
      </c>
      <c r="F22481">
        <v>7247327</v>
      </c>
      <c r="G22481">
        <v>7247327</v>
      </c>
      <c r="H22481">
        <v>7247327</v>
      </c>
      <c r="I22481">
        <v>7247327</v>
      </c>
    </row>
    <row r="22482" spans="1:9" x14ac:dyDescent="0.2">
      <c r="A22482" t="str">
        <f>"Vmn2r3"</f>
        <v>Vmn2r3</v>
      </c>
      <c r="B22482" t="s">
        <v>6243</v>
      </c>
      <c r="C22482" t="s">
        <v>22</v>
      </c>
      <c r="D22482" t="s">
        <v>11</v>
      </c>
      <c r="E22482" t="s">
        <v>20</v>
      </c>
      <c r="F22482">
        <v>64287494</v>
      </c>
      <c r="G22482">
        <v>64287494</v>
      </c>
      <c r="H22482">
        <v>64287494</v>
      </c>
      <c r="I22482">
        <v>64287494</v>
      </c>
    </row>
    <row r="22483" spans="1:9" x14ac:dyDescent="0.2">
      <c r="A22483" t="str">
        <f>"Vmn2r30"</f>
        <v>Vmn2r30</v>
      </c>
      <c r="B22483" t="s">
        <v>6244</v>
      </c>
      <c r="C22483" t="s">
        <v>33</v>
      </c>
      <c r="D22483" t="s">
        <v>11</v>
      </c>
      <c r="E22483" t="s">
        <v>20</v>
      </c>
      <c r="F22483">
        <v>7337492</v>
      </c>
      <c r="G22483">
        <v>7337492</v>
      </c>
      <c r="H22483">
        <v>7337492</v>
      </c>
      <c r="I22483">
        <v>7337492</v>
      </c>
    </row>
    <row r="22484" spans="1:9" x14ac:dyDescent="0.2">
      <c r="A22484" t="str">
        <f>"Vmn2r31"</f>
        <v>Vmn2r31</v>
      </c>
      <c r="B22484" t="s">
        <v>6245</v>
      </c>
      <c r="C22484" t="s">
        <v>33</v>
      </c>
      <c r="D22484" t="s">
        <v>11</v>
      </c>
      <c r="E22484" t="s">
        <v>20</v>
      </c>
      <c r="F22484">
        <v>7399626</v>
      </c>
      <c r="G22484">
        <v>7399626</v>
      </c>
      <c r="H22484">
        <v>7399626</v>
      </c>
      <c r="I22484">
        <v>7399626</v>
      </c>
    </row>
    <row r="22485" spans="1:9" x14ac:dyDescent="0.2">
      <c r="A22485" t="str">
        <f>"Vmn2r32"</f>
        <v>Vmn2r32</v>
      </c>
      <c r="B22485" t="s">
        <v>6246</v>
      </c>
      <c r="C22485" t="s">
        <v>33</v>
      </c>
      <c r="D22485" t="s">
        <v>11</v>
      </c>
      <c r="E22485" t="s">
        <v>20</v>
      </c>
      <c r="F22485">
        <v>7479972</v>
      </c>
      <c r="G22485">
        <v>7479972</v>
      </c>
      <c r="H22485">
        <v>7479972</v>
      </c>
      <c r="I22485">
        <v>7479972</v>
      </c>
    </row>
    <row r="22486" spans="1:9" x14ac:dyDescent="0.2">
      <c r="A22486" t="str">
        <f>"Vmn2r33"</f>
        <v>Vmn2r33</v>
      </c>
      <c r="B22486" t="s">
        <v>6247</v>
      </c>
      <c r="C22486" t="s">
        <v>33</v>
      </c>
      <c r="D22486" t="s">
        <v>11</v>
      </c>
      <c r="E22486" t="s">
        <v>20</v>
      </c>
      <c r="F22486">
        <v>7566785</v>
      </c>
      <c r="G22486">
        <v>7566785</v>
      </c>
      <c r="H22486">
        <v>7566785</v>
      </c>
      <c r="I22486">
        <v>7566785</v>
      </c>
    </row>
    <row r="22487" spans="1:9" x14ac:dyDescent="0.2">
      <c r="A22487" t="str">
        <f>"Vmn2r34"</f>
        <v>Vmn2r34</v>
      </c>
      <c r="B22487" t="s">
        <v>6248</v>
      </c>
      <c r="C22487" t="s">
        <v>33</v>
      </c>
      <c r="D22487" t="s">
        <v>11</v>
      </c>
      <c r="E22487" t="s">
        <v>20</v>
      </c>
      <c r="F22487">
        <v>7689512</v>
      </c>
      <c r="G22487">
        <v>7689512</v>
      </c>
      <c r="H22487">
        <v>7689512</v>
      </c>
      <c r="I22487">
        <v>7689512</v>
      </c>
    </row>
    <row r="22488" spans="1:9" x14ac:dyDescent="0.2">
      <c r="A22488" t="str">
        <f>"Vmn2r35"</f>
        <v>Vmn2r35</v>
      </c>
      <c r="B22488" t="s">
        <v>6249</v>
      </c>
      <c r="C22488" t="s">
        <v>33</v>
      </c>
      <c r="D22488" t="s">
        <v>11</v>
      </c>
      <c r="E22488" t="s">
        <v>20</v>
      </c>
      <c r="F22488">
        <v>7819866</v>
      </c>
      <c r="G22488">
        <v>7819866</v>
      </c>
      <c r="H22488">
        <v>7819866</v>
      </c>
      <c r="I22488">
        <v>7819866</v>
      </c>
    </row>
    <row r="22489" spans="1:9" x14ac:dyDescent="0.2">
      <c r="A22489" t="str">
        <f>"Vmn2r36"</f>
        <v>Vmn2r36</v>
      </c>
      <c r="B22489" t="s">
        <v>6250</v>
      </c>
      <c r="C22489" t="s">
        <v>33</v>
      </c>
      <c r="D22489" t="s">
        <v>11</v>
      </c>
      <c r="E22489" t="s">
        <v>20</v>
      </c>
      <c r="F22489">
        <v>7902461</v>
      </c>
      <c r="G22489">
        <v>7902461</v>
      </c>
      <c r="H22489">
        <v>7902461</v>
      </c>
      <c r="I22489">
        <v>7902461</v>
      </c>
    </row>
    <row r="22490" spans="1:9" x14ac:dyDescent="0.2">
      <c r="A22490" t="str">
        <f>"Vmn2r37"</f>
        <v>Vmn2r37</v>
      </c>
      <c r="B22490" t="s">
        <v>6251</v>
      </c>
      <c r="C22490" t="s">
        <v>33</v>
      </c>
      <c r="D22490" t="s">
        <v>11</v>
      </c>
      <c r="E22490" t="s">
        <v>20</v>
      </c>
      <c r="F22490">
        <v>9223652</v>
      </c>
      <c r="G22490">
        <v>9223652</v>
      </c>
      <c r="H22490">
        <v>9223652</v>
      </c>
      <c r="I22490">
        <v>9223652</v>
      </c>
    </row>
    <row r="22491" spans="1:9" x14ac:dyDescent="0.2">
      <c r="A22491" t="str">
        <f>"Vmn2r38"</f>
        <v>Vmn2r38</v>
      </c>
      <c r="B22491" t="s">
        <v>6252</v>
      </c>
      <c r="C22491" t="s">
        <v>33</v>
      </c>
      <c r="D22491" t="s">
        <v>11</v>
      </c>
      <c r="E22491" t="s">
        <v>20</v>
      </c>
      <c r="F22491">
        <v>9097880</v>
      </c>
      <c r="G22491">
        <v>9097880</v>
      </c>
      <c r="H22491">
        <v>9097880</v>
      </c>
      <c r="I22491">
        <v>9097880</v>
      </c>
    </row>
    <row r="22492" spans="1:9" x14ac:dyDescent="0.2">
      <c r="A22492" t="str">
        <f>"Vmn2r39"</f>
        <v>Vmn2r39</v>
      </c>
      <c r="B22492" t="s">
        <v>6253</v>
      </c>
      <c r="C22492" t="s">
        <v>33</v>
      </c>
      <c r="D22492" t="s">
        <v>11</v>
      </c>
      <c r="E22492" t="s">
        <v>20</v>
      </c>
      <c r="F22492">
        <v>9030797</v>
      </c>
      <c r="G22492">
        <v>9030797</v>
      </c>
      <c r="H22492">
        <v>9030797</v>
      </c>
      <c r="I22492">
        <v>9030797</v>
      </c>
    </row>
    <row r="22493" spans="1:9" x14ac:dyDescent="0.2">
      <c r="A22493" t="str">
        <f>"Vmn2r4"</f>
        <v>Vmn2r4</v>
      </c>
      <c r="B22493" t="s">
        <v>6254</v>
      </c>
      <c r="C22493" t="s">
        <v>22</v>
      </c>
      <c r="D22493" t="s">
        <v>11</v>
      </c>
      <c r="E22493" t="s">
        <v>20</v>
      </c>
      <c r="F22493">
        <v>64415295</v>
      </c>
      <c r="G22493">
        <v>64415295</v>
      </c>
      <c r="H22493">
        <v>64415295</v>
      </c>
      <c r="I22493">
        <v>64415295</v>
      </c>
    </row>
    <row r="22494" spans="1:9" x14ac:dyDescent="0.2">
      <c r="A22494" t="str">
        <f>"Vmn2r40"</f>
        <v>Vmn2r40</v>
      </c>
      <c r="B22494" t="s">
        <v>6255</v>
      </c>
      <c r="C22494" t="s">
        <v>33</v>
      </c>
      <c r="D22494" t="s">
        <v>11</v>
      </c>
      <c r="E22494" t="s">
        <v>20</v>
      </c>
      <c r="F22494">
        <v>8931401</v>
      </c>
      <c r="G22494">
        <v>8931401</v>
      </c>
      <c r="H22494">
        <v>8931401</v>
      </c>
      <c r="I22494">
        <v>8931401</v>
      </c>
    </row>
    <row r="22495" spans="1:9" x14ac:dyDescent="0.2">
      <c r="A22495" t="str">
        <f>"Vmn2r41"</f>
        <v>Vmn2r41</v>
      </c>
      <c r="B22495" t="s">
        <v>6256</v>
      </c>
      <c r="C22495" t="s">
        <v>33</v>
      </c>
      <c r="D22495" t="s">
        <v>11</v>
      </c>
      <c r="E22495" t="s">
        <v>20</v>
      </c>
      <c r="F22495">
        <v>8161653</v>
      </c>
      <c r="G22495">
        <v>8161653</v>
      </c>
      <c r="H22495">
        <v>8161653</v>
      </c>
      <c r="I22495">
        <v>8161653</v>
      </c>
    </row>
    <row r="22496" spans="1:9" x14ac:dyDescent="0.2">
      <c r="A22496" t="str">
        <f>"Vmn2r42"</f>
        <v>Vmn2r42</v>
      </c>
      <c r="B22496" t="s">
        <v>6257</v>
      </c>
      <c r="C22496" t="s">
        <v>33</v>
      </c>
      <c r="D22496" t="s">
        <v>11</v>
      </c>
      <c r="E22496" t="s">
        <v>20</v>
      </c>
      <c r="F22496">
        <v>8200319</v>
      </c>
      <c r="G22496">
        <v>8200319</v>
      </c>
      <c r="H22496">
        <v>8200319</v>
      </c>
      <c r="I22496">
        <v>8200319</v>
      </c>
    </row>
    <row r="22497" spans="1:9" x14ac:dyDescent="0.2">
      <c r="A22497" t="str">
        <f>"Vmn2r43"</f>
        <v>Vmn2r43</v>
      </c>
      <c r="B22497" t="s">
        <v>6258</v>
      </c>
      <c r="C22497" t="s">
        <v>33</v>
      </c>
      <c r="D22497" t="s">
        <v>11</v>
      </c>
      <c r="E22497" t="s">
        <v>20</v>
      </c>
      <c r="F22497">
        <v>8260598</v>
      </c>
      <c r="G22497">
        <v>8260598</v>
      </c>
      <c r="H22497">
        <v>8260598</v>
      </c>
      <c r="I22497">
        <v>8260598</v>
      </c>
    </row>
    <row r="22498" spans="1:9" x14ac:dyDescent="0.2">
      <c r="A22498" t="str">
        <f>"Vmn2r44"</f>
        <v>Vmn2r44</v>
      </c>
      <c r="B22498" t="s">
        <v>6259</v>
      </c>
      <c r="C22498" t="s">
        <v>33</v>
      </c>
      <c r="D22498" t="s">
        <v>11</v>
      </c>
      <c r="E22498" t="s">
        <v>20</v>
      </c>
      <c r="F22498">
        <v>8383237</v>
      </c>
      <c r="G22498">
        <v>8383237</v>
      </c>
      <c r="H22498">
        <v>8383237</v>
      </c>
      <c r="I22498">
        <v>8383237</v>
      </c>
    </row>
    <row r="22499" spans="1:9" x14ac:dyDescent="0.2">
      <c r="A22499" t="str">
        <f>"Vmn2r45"</f>
        <v>Vmn2r45</v>
      </c>
      <c r="B22499" t="s">
        <v>6260</v>
      </c>
      <c r="C22499" t="s">
        <v>33</v>
      </c>
      <c r="D22499" t="s">
        <v>11</v>
      </c>
      <c r="E22499" t="s">
        <v>20</v>
      </c>
      <c r="F22499">
        <v>8489074</v>
      </c>
      <c r="G22499">
        <v>8489074</v>
      </c>
      <c r="H22499">
        <v>8489074</v>
      </c>
      <c r="I22499">
        <v>8489074</v>
      </c>
    </row>
    <row r="22500" spans="1:9" x14ac:dyDescent="0.2">
      <c r="A22500" t="str">
        <f>"Vmn2r46"</f>
        <v>Vmn2r46</v>
      </c>
      <c r="B22500" t="s">
        <v>6261</v>
      </c>
      <c r="C22500" t="s">
        <v>33</v>
      </c>
      <c r="D22500" t="s">
        <v>11</v>
      </c>
      <c r="E22500" t="s">
        <v>20</v>
      </c>
      <c r="F22500">
        <v>9770570</v>
      </c>
      <c r="G22500">
        <v>9770570</v>
      </c>
      <c r="H22500">
        <v>9770570</v>
      </c>
      <c r="I22500">
        <v>9770570</v>
      </c>
    </row>
    <row r="22501" spans="1:9" x14ac:dyDescent="0.2">
      <c r="A22501" t="str">
        <f>"Vmn2r47"</f>
        <v>Vmn2r47</v>
      </c>
      <c r="B22501" t="s">
        <v>6262</v>
      </c>
      <c r="C22501" t="s">
        <v>33</v>
      </c>
      <c r="D22501" t="s">
        <v>11</v>
      </c>
      <c r="E22501" t="s">
        <v>20</v>
      </c>
      <c r="F22501">
        <v>9841324</v>
      </c>
      <c r="G22501">
        <v>9841324</v>
      </c>
      <c r="H22501">
        <v>9841324</v>
      </c>
      <c r="I22501">
        <v>9841324</v>
      </c>
    </row>
    <row r="22502" spans="1:9" x14ac:dyDescent="0.2">
      <c r="A22502" t="str">
        <f>"Vmn2r48"</f>
        <v>Vmn2r48</v>
      </c>
      <c r="B22502" t="s">
        <v>6263</v>
      </c>
      <c r="C22502" t="s">
        <v>33</v>
      </c>
      <c r="D22502" t="s">
        <v>11</v>
      </c>
      <c r="E22502" t="s">
        <v>20</v>
      </c>
      <c r="F22502">
        <v>9953584</v>
      </c>
      <c r="G22502">
        <v>9953584</v>
      </c>
      <c r="H22502">
        <v>9953584</v>
      </c>
      <c r="I22502">
        <v>9953584</v>
      </c>
    </row>
    <row r="22503" spans="1:9" x14ac:dyDescent="0.2">
      <c r="A22503" t="str">
        <f>"Vmn2r49"</f>
        <v>Vmn2r49</v>
      </c>
      <c r="B22503" t="s">
        <v>6264</v>
      </c>
      <c r="C22503" t="s">
        <v>33</v>
      </c>
      <c r="D22503" t="s">
        <v>11</v>
      </c>
      <c r="E22503" t="s">
        <v>20</v>
      </c>
      <c r="F22503">
        <v>9992138</v>
      </c>
      <c r="G22503">
        <v>9992138</v>
      </c>
      <c r="H22503">
        <v>9992138</v>
      </c>
      <c r="I22503">
        <v>9992138</v>
      </c>
    </row>
    <row r="22504" spans="1:9" x14ac:dyDescent="0.2">
      <c r="A22504" t="str">
        <f>"Vmn2r5"</f>
        <v>Vmn2r5</v>
      </c>
      <c r="B22504" t="s">
        <v>6265</v>
      </c>
      <c r="C22504" t="s">
        <v>22</v>
      </c>
      <c r="D22504" t="s">
        <v>11</v>
      </c>
      <c r="E22504" t="s">
        <v>20</v>
      </c>
      <c r="F22504">
        <v>64509734</v>
      </c>
      <c r="G22504">
        <v>64509734</v>
      </c>
      <c r="H22504">
        <v>64509734</v>
      </c>
      <c r="I22504">
        <v>64509734</v>
      </c>
    </row>
    <row r="22505" spans="1:9" x14ac:dyDescent="0.2">
      <c r="A22505" t="str">
        <f>"Vmn2r50"</f>
        <v>Vmn2r50</v>
      </c>
      <c r="B22505" t="s">
        <v>6266</v>
      </c>
      <c r="C22505" t="s">
        <v>33</v>
      </c>
      <c r="D22505" t="s">
        <v>11</v>
      </c>
      <c r="E22505" t="s">
        <v>20</v>
      </c>
      <c r="F22505">
        <v>10053177</v>
      </c>
      <c r="G22505">
        <v>10053177</v>
      </c>
      <c r="H22505">
        <v>10053177</v>
      </c>
      <c r="I22505">
        <v>10053177</v>
      </c>
    </row>
    <row r="22506" spans="1:9" x14ac:dyDescent="0.2">
      <c r="A22506" t="str">
        <f>"Vmn2r51"</f>
        <v>Vmn2r51</v>
      </c>
      <c r="B22506" t="s">
        <v>6267</v>
      </c>
      <c r="C22506" t="s">
        <v>33</v>
      </c>
      <c r="D22506" t="s">
        <v>11</v>
      </c>
      <c r="E22506" t="s">
        <v>20</v>
      </c>
      <c r="F22506">
        <v>10105658</v>
      </c>
      <c r="G22506">
        <v>10105658</v>
      </c>
      <c r="H22506">
        <v>10105658</v>
      </c>
      <c r="I22506">
        <v>10105658</v>
      </c>
    </row>
    <row r="22507" spans="1:9" x14ac:dyDescent="0.2">
      <c r="A22507" t="str">
        <f>"Vmn2r52"</f>
        <v>Vmn2r52</v>
      </c>
      <c r="B22507" t="s">
        <v>6268</v>
      </c>
      <c r="C22507" t="s">
        <v>33</v>
      </c>
      <c r="D22507" t="s">
        <v>11</v>
      </c>
      <c r="E22507" t="s">
        <v>20</v>
      </c>
      <c r="F22507">
        <v>10176285</v>
      </c>
      <c r="G22507">
        <v>10176285</v>
      </c>
      <c r="H22507">
        <v>10176285</v>
      </c>
      <c r="I22507">
        <v>10176285</v>
      </c>
    </row>
    <row r="22508" spans="1:9" x14ac:dyDescent="0.2">
      <c r="A22508" t="str">
        <f>"Vmn2r53"</f>
        <v>Vmn2r53</v>
      </c>
      <c r="B22508" t="s">
        <v>6269</v>
      </c>
      <c r="C22508" t="s">
        <v>33</v>
      </c>
      <c r="D22508" t="s">
        <v>11</v>
      </c>
      <c r="E22508" t="s">
        <v>20</v>
      </c>
      <c r="F22508">
        <v>12606543</v>
      </c>
      <c r="G22508">
        <v>12606543</v>
      </c>
      <c r="H22508">
        <v>12606543</v>
      </c>
      <c r="I22508">
        <v>12606543</v>
      </c>
    </row>
    <row r="22509" spans="1:9" x14ac:dyDescent="0.2">
      <c r="A22509" t="str">
        <f>"Vmn2r54"</f>
        <v>Vmn2r54</v>
      </c>
      <c r="B22509" t="s">
        <v>6270</v>
      </c>
      <c r="C22509" t="s">
        <v>33</v>
      </c>
      <c r="D22509" t="s">
        <v>11</v>
      </c>
      <c r="E22509" t="s">
        <v>20</v>
      </c>
      <c r="F22509">
        <v>12636133</v>
      </c>
      <c r="G22509">
        <v>12636133</v>
      </c>
      <c r="H22509">
        <v>12636133</v>
      </c>
      <c r="I22509">
        <v>12636133</v>
      </c>
    </row>
    <row r="22510" spans="1:9" x14ac:dyDescent="0.2">
      <c r="A22510" t="str">
        <f>"Vmn2r55"</f>
        <v>Vmn2r55</v>
      </c>
      <c r="B22510" t="s">
        <v>6271</v>
      </c>
      <c r="C22510" t="s">
        <v>33</v>
      </c>
      <c r="D22510" t="s">
        <v>11</v>
      </c>
      <c r="E22510" t="s">
        <v>20</v>
      </c>
      <c r="F22510">
        <v>12684990</v>
      </c>
      <c r="G22510">
        <v>12684990</v>
      </c>
      <c r="H22510">
        <v>12684990</v>
      </c>
      <c r="I22510">
        <v>12684990</v>
      </c>
    </row>
    <row r="22511" spans="1:9" x14ac:dyDescent="0.2">
      <c r="A22511" t="str">
        <f>"Vmn2r56"</f>
        <v>Vmn2r56</v>
      </c>
      <c r="B22511" t="s">
        <v>6272</v>
      </c>
      <c r="C22511" t="s">
        <v>33</v>
      </c>
      <c r="D22511" t="s">
        <v>11</v>
      </c>
      <c r="E22511" t="s">
        <v>20</v>
      </c>
      <c r="F22511">
        <v>12733104</v>
      </c>
      <c r="G22511">
        <v>12733104</v>
      </c>
      <c r="H22511">
        <v>12733104</v>
      </c>
      <c r="I22511">
        <v>12733104</v>
      </c>
    </row>
    <row r="22512" spans="1:9" x14ac:dyDescent="0.2">
      <c r="A22512" t="str">
        <f>"Vmn2r57"</f>
        <v>Vmn2r57</v>
      </c>
      <c r="B22512" t="s">
        <v>6273</v>
      </c>
      <c r="C22512" t="s">
        <v>33</v>
      </c>
      <c r="D22512" t="s">
        <v>11</v>
      </c>
      <c r="E22512" t="s">
        <v>20</v>
      </c>
      <c r="F22512">
        <v>41448640</v>
      </c>
      <c r="G22512">
        <v>41448640</v>
      </c>
      <c r="H22512">
        <v>41448640</v>
      </c>
      <c r="I22512">
        <v>41448640</v>
      </c>
    </row>
    <row r="22513" spans="1:9" x14ac:dyDescent="0.2">
      <c r="A22513" t="str">
        <f>"Vmn2r58"</f>
        <v>Vmn2r58</v>
      </c>
      <c r="B22513" t="s">
        <v>6274</v>
      </c>
      <c r="C22513" t="s">
        <v>33</v>
      </c>
      <c r="D22513" t="s">
        <v>11</v>
      </c>
      <c r="E22513" t="s">
        <v>20</v>
      </c>
      <c r="F22513">
        <v>41872669</v>
      </c>
      <c r="G22513">
        <v>41872669</v>
      </c>
      <c r="H22513">
        <v>41872669</v>
      </c>
      <c r="I22513">
        <v>41872669</v>
      </c>
    </row>
    <row r="22514" spans="1:9" x14ac:dyDescent="0.2">
      <c r="A22514" t="str">
        <f>"Vmn2r59"</f>
        <v>Vmn2r59</v>
      </c>
      <c r="B22514" t="s">
        <v>6275</v>
      </c>
      <c r="C22514" t="s">
        <v>33</v>
      </c>
      <c r="D22514" t="s">
        <v>11</v>
      </c>
      <c r="E22514" t="s">
        <v>20</v>
      </c>
      <c r="F22514">
        <v>42058980</v>
      </c>
      <c r="G22514">
        <v>42058980</v>
      </c>
      <c r="H22514">
        <v>42058980</v>
      </c>
      <c r="I22514">
        <v>42058980</v>
      </c>
    </row>
    <row r="22515" spans="1:9" x14ac:dyDescent="0.2">
      <c r="A22515" t="str">
        <f>"Vmn2r6"</f>
        <v>Vmn2r6</v>
      </c>
      <c r="B22515" t="s">
        <v>6276</v>
      </c>
      <c r="C22515" t="s">
        <v>22</v>
      </c>
      <c r="D22515" t="s">
        <v>11</v>
      </c>
      <c r="E22515" t="s">
        <v>20</v>
      </c>
      <c r="F22515">
        <v>64565297</v>
      </c>
      <c r="G22515">
        <v>64565297</v>
      </c>
      <c r="H22515">
        <v>64565297</v>
      </c>
      <c r="I22515">
        <v>64565297</v>
      </c>
    </row>
    <row r="22516" spans="1:9" x14ac:dyDescent="0.2">
      <c r="A22516" t="str">
        <f>"Vmn2r60"</f>
        <v>Vmn2r60</v>
      </c>
      <c r="B22516" t="s">
        <v>6277</v>
      </c>
      <c r="C22516" t="s">
        <v>33</v>
      </c>
      <c r="D22516" t="s">
        <v>17</v>
      </c>
      <c r="E22516" t="s">
        <v>20</v>
      </c>
      <c r="F22516">
        <v>42116470</v>
      </c>
      <c r="G22516">
        <v>42116470</v>
      </c>
      <c r="H22516">
        <v>42116470</v>
      </c>
      <c r="I22516">
        <v>42116470</v>
      </c>
    </row>
    <row r="22517" spans="1:9" x14ac:dyDescent="0.2">
      <c r="A22517" t="str">
        <f>"Vmn2r61"</f>
        <v>Vmn2r61</v>
      </c>
      <c r="B22517" t="s">
        <v>6278</v>
      </c>
      <c r="C22517" t="s">
        <v>33</v>
      </c>
      <c r="D22517" t="s">
        <v>17</v>
      </c>
      <c r="E22517" t="s">
        <v>20</v>
      </c>
      <c r="F22517">
        <v>42260052</v>
      </c>
      <c r="G22517">
        <v>42260052</v>
      </c>
      <c r="H22517">
        <v>42260052</v>
      </c>
      <c r="I22517">
        <v>42260052</v>
      </c>
    </row>
    <row r="22518" spans="1:9" x14ac:dyDescent="0.2">
      <c r="A22518" t="str">
        <f>"Vmn2r62"</f>
        <v>Vmn2r62</v>
      </c>
      <c r="B22518" t="s">
        <v>6279</v>
      </c>
      <c r="C22518" t="s">
        <v>33</v>
      </c>
      <c r="D22518" t="s">
        <v>11</v>
      </c>
      <c r="E22518" t="s">
        <v>20</v>
      </c>
      <c r="F22518">
        <v>42793495</v>
      </c>
      <c r="G22518">
        <v>42793495</v>
      </c>
      <c r="H22518">
        <v>42793495</v>
      </c>
      <c r="I22518">
        <v>42793495</v>
      </c>
    </row>
    <row r="22519" spans="1:9" x14ac:dyDescent="0.2">
      <c r="A22519" t="str">
        <f>"Vmn2r63"</f>
        <v>Vmn2r63</v>
      </c>
      <c r="B22519" t="s">
        <v>6280</v>
      </c>
      <c r="C22519" t="s">
        <v>33</v>
      </c>
      <c r="D22519" t="s">
        <v>11</v>
      </c>
      <c r="E22519" t="s">
        <v>20</v>
      </c>
      <c r="F22519">
        <v>42933788</v>
      </c>
      <c r="G22519">
        <v>42933788</v>
      </c>
      <c r="H22519">
        <v>42933788</v>
      </c>
      <c r="I22519">
        <v>42933788</v>
      </c>
    </row>
    <row r="22520" spans="1:9" x14ac:dyDescent="0.2">
      <c r="A22520" t="str">
        <f>"Vmn2r65"</f>
        <v>Vmn2r65</v>
      </c>
      <c r="B22520" t="s">
        <v>6281</v>
      </c>
      <c r="C22520" t="s">
        <v>33</v>
      </c>
      <c r="D22520" t="s">
        <v>11</v>
      </c>
      <c r="E22520" t="s">
        <v>20</v>
      </c>
      <c r="F22520">
        <v>84964008</v>
      </c>
      <c r="G22520">
        <v>84964008</v>
      </c>
      <c r="H22520">
        <v>84964008</v>
      </c>
      <c r="I22520">
        <v>84964008</v>
      </c>
    </row>
    <row r="22521" spans="1:9" x14ac:dyDescent="0.2">
      <c r="A22521" t="str">
        <f>"Vmn2r66"</f>
        <v>Vmn2r66</v>
      </c>
      <c r="B22521" t="s">
        <v>6282</v>
      </c>
      <c r="C22521" t="s">
        <v>33</v>
      </c>
      <c r="D22521" t="s">
        <v>11</v>
      </c>
      <c r="E22521" t="s">
        <v>20</v>
      </c>
      <c r="F22521">
        <v>85012019</v>
      </c>
      <c r="G22521">
        <v>85012019</v>
      </c>
      <c r="H22521">
        <v>85012019</v>
      </c>
      <c r="I22521">
        <v>85012019</v>
      </c>
    </row>
    <row r="22522" spans="1:9" x14ac:dyDescent="0.2">
      <c r="A22522" t="str">
        <f>"Vmn2r67"</f>
        <v>Vmn2r67</v>
      </c>
      <c r="B22522" t="s">
        <v>6283</v>
      </c>
      <c r="C22522" t="s">
        <v>33</v>
      </c>
      <c r="D22522" t="s">
        <v>11</v>
      </c>
      <c r="E22522" t="s">
        <v>20</v>
      </c>
      <c r="F22522">
        <v>85155901</v>
      </c>
      <c r="G22522">
        <v>85155901</v>
      </c>
      <c r="H22522">
        <v>85155901</v>
      </c>
      <c r="I22522">
        <v>85155901</v>
      </c>
    </row>
    <row r="22523" spans="1:9" x14ac:dyDescent="0.2">
      <c r="A22523" t="str">
        <f>"Vmn2r68"</f>
        <v>Vmn2r68</v>
      </c>
      <c r="B22523" t="s">
        <v>6284</v>
      </c>
      <c r="C22523" t="s">
        <v>33</v>
      </c>
      <c r="D22523" t="s">
        <v>11</v>
      </c>
      <c r="E22523" t="s">
        <v>20</v>
      </c>
      <c r="F22523">
        <v>85237703</v>
      </c>
      <c r="G22523">
        <v>85237703</v>
      </c>
      <c r="H22523">
        <v>85237703</v>
      </c>
      <c r="I22523">
        <v>85237703</v>
      </c>
    </row>
    <row r="22524" spans="1:9" x14ac:dyDescent="0.2">
      <c r="A22524" t="str">
        <f>"Vmn2r69"</f>
        <v>Vmn2r69</v>
      </c>
      <c r="B22524" t="s">
        <v>6285</v>
      </c>
      <c r="C22524" t="s">
        <v>33</v>
      </c>
      <c r="D22524" t="s">
        <v>11</v>
      </c>
      <c r="E22524" t="s">
        <v>20</v>
      </c>
      <c r="F22524">
        <v>85415675</v>
      </c>
      <c r="G22524">
        <v>85415675</v>
      </c>
      <c r="H22524">
        <v>85415675</v>
      </c>
      <c r="I22524">
        <v>85415675</v>
      </c>
    </row>
    <row r="22525" spans="1:9" x14ac:dyDescent="0.2">
      <c r="A22525" t="str">
        <f>"Vmn2r7"</f>
        <v>Vmn2r7</v>
      </c>
      <c r="B22525" t="s">
        <v>14</v>
      </c>
      <c r="C22525" t="s">
        <v>22</v>
      </c>
      <c r="D22525" t="s">
        <v>11</v>
      </c>
      <c r="E22525" t="s">
        <v>12</v>
      </c>
      <c r="F22525">
        <v>64844717</v>
      </c>
      <c r="G22525">
        <v>64844728</v>
      </c>
      <c r="H22525">
        <v>64844741</v>
      </c>
      <c r="I22525">
        <v>64844753</v>
      </c>
    </row>
    <row r="22526" spans="1:9" x14ac:dyDescent="0.2">
      <c r="A22526" t="str">
        <f>"Vmn2r70"</f>
        <v>Vmn2r70</v>
      </c>
      <c r="B22526" t="s">
        <v>6286</v>
      </c>
      <c r="C22526" t="s">
        <v>33</v>
      </c>
      <c r="D22526" t="s">
        <v>11</v>
      </c>
      <c r="E22526" t="s">
        <v>20</v>
      </c>
      <c r="F22526">
        <v>85569087</v>
      </c>
      <c r="G22526">
        <v>85569087</v>
      </c>
      <c r="H22526">
        <v>85569087</v>
      </c>
      <c r="I22526">
        <v>85569087</v>
      </c>
    </row>
    <row r="22527" spans="1:9" x14ac:dyDescent="0.2">
      <c r="A22527" t="str">
        <f>"Vmn2r71"</f>
        <v>Vmn2r71</v>
      </c>
      <c r="B22527" t="s">
        <v>6287</v>
      </c>
      <c r="C22527" t="s">
        <v>33</v>
      </c>
      <c r="D22527" t="s">
        <v>17</v>
      </c>
      <c r="E22527" t="s">
        <v>20</v>
      </c>
      <c r="F22527">
        <v>85615461</v>
      </c>
      <c r="G22527">
        <v>85615461</v>
      </c>
      <c r="H22527">
        <v>85615461</v>
      </c>
      <c r="I22527">
        <v>85615461</v>
      </c>
    </row>
    <row r="22528" spans="1:9" x14ac:dyDescent="0.2">
      <c r="A22528" t="str">
        <f>"Vmn2r72"</f>
        <v>Vmn2r72</v>
      </c>
      <c r="B22528" t="s">
        <v>6288</v>
      </c>
      <c r="C22528" t="s">
        <v>33</v>
      </c>
      <c r="D22528" t="s">
        <v>11</v>
      </c>
      <c r="E22528" t="s">
        <v>20</v>
      </c>
      <c r="F22528">
        <v>85754980</v>
      </c>
      <c r="G22528">
        <v>85754980</v>
      </c>
      <c r="H22528">
        <v>85754980</v>
      </c>
      <c r="I22528">
        <v>85754980</v>
      </c>
    </row>
    <row r="22529" spans="1:9" x14ac:dyDescent="0.2">
      <c r="A22529" t="str">
        <f>"Vmn2r73"</f>
        <v>Vmn2r73</v>
      </c>
      <c r="B22529" t="s">
        <v>6289</v>
      </c>
      <c r="C22529" t="s">
        <v>33</v>
      </c>
      <c r="D22529" t="s">
        <v>11</v>
      </c>
      <c r="E22529" t="s">
        <v>20</v>
      </c>
      <c r="F22529">
        <v>85875937</v>
      </c>
      <c r="G22529">
        <v>85875937</v>
      </c>
      <c r="H22529">
        <v>85875937</v>
      </c>
      <c r="I22529">
        <v>85875937</v>
      </c>
    </row>
    <row r="22530" spans="1:9" x14ac:dyDescent="0.2">
      <c r="A22530" t="str">
        <f>"Vmn2r74"</f>
        <v>Vmn2r74</v>
      </c>
      <c r="B22530" t="s">
        <v>6290</v>
      </c>
      <c r="C22530" t="s">
        <v>33</v>
      </c>
      <c r="D22530" t="s">
        <v>11</v>
      </c>
      <c r="E22530" t="s">
        <v>20</v>
      </c>
      <c r="F22530">
        <v>85961481</v>
      </c>
      <c r="G22530">
        <v>85961481</v>
      </c>
      <c r="H22530">
        <v>85961481</v>
      </c>
      <c r="I22530">
        <v>85961481</v>
      </c>
    </row>
    <row r="22531" spans="1:9" x14ac:dyDescent="0.2">
      <c r="A22531" t="str">
        <f>"Vmn2r75"</f>
        <v>Vmn2r75</v>
      </c>
      <c r="B22531" t="s">
        <v>6291</v>
      </c>
      <c r="C22531" t="s">
        <v>33</v>
      </c>
      <c r="D22531" t="s">
        <v>11</v>
      </c>
      <c r="E22531" t="s">
        <v>20</v>
      </c>
      <c r="F22531">
        <v>86171723</v>
      </c>
      <c r="G22531">
        <v>86171723</v>
      </c>
      <c r="H22531">
        <v>86171723</v>
      </c>
      <c r="I22531">
        <v>86171723</v>
      </c>
    </row>
    <row r="22532" spans="1:9" x14ac:dyDescent="0.2">
      <c r="A22532" t="str">
        <f>"Vmn2r76"</f>
        <v>Vmn2r76</v>
      </c>
      <c r="B22532" t="s">
        <v>6292</v>
      </c>
      <c r="C22532" t="s">
        <v>33</v>
      </c>
      <c r="D22532" t="s">
        <v>11</v>
      </c>
      <c r="E22532" t="s">
        <v>20</v>
      </c>
      <c r="F22532">
        <v>86246200</v>
      </c>
      <c r="G22532">
        <v>86246200</v>
      </c>
      <c r="H22532">
        <v>86246200</v>
      </c>
      <c r="I22532">
        <v>86246200</v>
      </c>
    </row>
    <row r="22533" spans="1:9" x14ac:dyDescent="0.2">
      <c r="A22533" t="str">
        <f>"Vmn2r77"</f>
        <v>Vmn2r77</v>
      </c>
      <c r="B22533" t="s">
        <v>6293</v>
      </c>
      <c r="C22533" t="s">
        <v>33</v>
      </c>
      <c r="D22533" t="s">
        <v>17</v>
      </c>
      <c r="E22533" t="s">
        <v>20</v>
      </c>
      <c r="F22533">
        <v>86795140</v>
      </c>
      <c r="G22533">
        <v>86795140</v>
      </c>
      <c r="H22533">
        <v>86795140</v>
      </c>
      <c r="I22533">
        <v>86795140</v>
      </c>
    </row>
    <row r="22534" spans="1:9" x14ac:dyDescent="0.2">
      <c r="A22534" t="str">
        <f>"Vmn2r78"</f>
        <v>Vmn2r78</v>
      </c>
      <c r="B22534" t="s">
        <v>6294</v>
      </c>
      <c r="C22534" t="s">
        <v>33</v>
      </c>
      <c r="D22534" t="s">
        <v>17</v>
      </c>
      <c r="E22534" t="s">
        <v>20</v>
      </c>
      <c r="F22534">
        <v>86915299</v>
      </c>
      <c r="G22534">
        <v>86915299</v>
      </c>
      <c r="H22534">
        <v>86915299</v>
      </c>
      <c r="I22534">
        <v>86915299</v>
      </c>
    </row>
    <row r="22535" spans="1:9" x14ac:dyDescent="0.2">
      <c r="A22535" t="str">
        <f>"Vmn2r79"</f>
        <v>Vmn2r79</v>
      </c>
      <c r="B22535" t="s">
        <v>6295</v>
      </c>
      <c r="C22535" t="s">
        <v>33</v>
      </c>
      <c r="D22535" t="s">
        <v>17</v>
      </c>
      <c r="E22535" t="s">
        <v>20</v>
      </c>
      <c r="F22535">
        <v>86996464</v>
      </c>
      <c r="G22535">
        <v>86996464</v>
      </c>
      <c r="H22535">
        <v>86996464</v>
      </c>
      <c r="I22535">
        <v>86996464</v>
      </c>
    </row>
    <row r="22536" spans="1:9" x14ac:dyDescent="0.2">
      <c r="A22536" t="str">
        <f>"Vmn2r8"</f>
        <v>Vmn2r8</v>
      </c>
      <c r="B22536" t="s">
        <v>6296</v>
      </c>
      <c r="C22536" t="s">
        <v>46</v>
      </c>
      <c r="D22536" t="s">
        <v>11</v>
      </c>
      <c r="E22536" t="s">
        <v>20</v>
      </c>
      <c r="F22536">
        <v>108808753</v>
      </c>
      <c r="G22536">
        <v>108808753</v>
      </c>
      <c r="H22536">
        <v>108808753</v>
      </c>
      <c r="I22536">
        <v>108808753</v>
      </c>
    </row>
    <row r="22537" spans="1:9" x14ac:dyDescent="0.2">
      <c r="A22537" t="str">
        <f>"Vmn2r80"</f>
        <v>Vmn2r80</v>
      </c>
      <c r="B22537" t="s">
        <v>6297</v>
      </c>
      <c r="C22537" t="s">
        <v>15</v>
      </c>
      <c r="D22537" t="s">
        <v>17</v>
      </c>
      <c r="E22537" t="s">
        <v>20</v>
      </c>
      <c r="F22537">
        <v>79148796</v>
      </c>
      <c r="G22537">
        <v>79148796</v>
      </c>
      <c r="H22537">
        <v>79148796</v>
      </c>
      <c r="I22537">
        <v>79148796</v>
      </c>
    </row>
    <row r="22538" spans="1:9" x14ac:dyDescent="0.2">
      <c r="A22538" t="str">
        <f>"Vmn2r81"</f>
        <v>Vmn2r81</v>
      </c>
      <c r="B22538" t="s">
        <v>6298</v>
      </c>
      <c r="C22538" t="s">
        <v>15</v>
      </c>
      <c r="D22538" t="s">
        <v>17</v>
      </c>
      <c r="E22538" t="s">
        <v>20</v>
      </c>
      <c r="F22538">
        <v>79247776</v>
      </c>
      <c r="G22538">
        <v>79247776</v>
      </c>
      <c r="H22538">
        <v>79247776</v>
      </c>
      <c r="I22538">
        <v>79247776</v>
      </c>
    </row>
    <row r="22539" spans="1:9" x14ac:dyDescent="0.2">
      <c r="A22539" t="str">
        <f>"Vmn2r82"</f>
        <v>Vmn2r82</v>
      </c>
      <c r="B22539" t="s">
        <v>6299</v>
      </c>
      <c r="C22539" t="s">
        <v>15</v>
      </c>
      <c r="D22539" t="s">
        <v>17</v>
      </c>
      <c r="E22539" t="s">
        <v>20</v>
      </c>
      <c r="F22539">
        <v>79356575</v>
      </c>
      <c r="G22539">
        <v>79356575</v>
      </c>
      <c r="H22539">
        <v>79356575</v>
      </c>
      <c r="I22539">
        <v>79356575</v>
      </c>
    </row>
    <row r="22540" spans="1:9" x14ac:dyDescent="0.2">
      <c r="A22540" t="str">
        <f>"Vmn2r83"</f>
        <v>Vmn2r83</v>
      </c>
      <c r="B22540" t="s">
        <v>6300</v>
      </c>
      <c r="C22540" t="s">
        <v>15</v>
      </c>
      <c r="D22540" t="s">
        <v>17</v>
      </c>
      <c r="E22540" t="s">
        <v>20</v>
      </c>
      <c r="F22540">
        <v>79468942</v>
      </c>
      <c r="G22540">
        <v>79468942</v>
      </c>
      <c r="H22540">
        <v>79468942</v>
      </c>
      <c r="I22540">
        <v>79468942</v>
      </c>
    </row>
    <row r="22541" spans="1:9" x14ac:dyDescent="0.2">
      <c r="A22541" t="str">
        <f>"Vmn2r84"</f>
        <v>Vmn2r84</v>
      </c>
      <c r="B22541" t="s">
        <v>6301</v>
      </c>
      <c r="C22541" t="s">
        <v>15</v>
      </c>
      <c r="D22541" t="s">
        <v>11</v>
      </c>
      <c r="E22541" t="s">
        <v>20</v>
      </c>
      <c r="F22541">
        <v>130394240</v>
      </c>
      <c r="G22541">
        <v>130394240</v>
      </c>
      <c r="H22541">
        <v>130394240</v>
      </c>
      <c r="I22541">
        <v>130394240</v>
      </c>
    </row>
    <row r="22542" spans="1:9" x14ac:dyDescent="0.2">
      <c r="A22542" t="str">
        <f>"Vmn2r85"</f>
        <v>Vmn2r85</v>
      </c>
      <c r="B22542" t="s">
        <v>6302</v>
      </c>
      <c r="C22542" t="s">
        <v>15</v>
      </c>
      <c r="D22542" t="s">
        <v>11</v>
      </c>
      <c r="E22542" t="s">
        <v>20</v>
      </c>
      <c r="F22542">
        <v>130429611</v>
      </c>
      <c r="G22542">
        <v>130429611</v>
      </c>
      <c r="H22542">
        <v>130429611</v>
      </c>
      <c r="I22542">
        <v>130429611</v>
      </c>
    </row>
    <row r="22543" spans="1:9" x14ac:dyDescent="0.2">
      <c r="A22543" t="str">
        <f>"Vmn2r86"</f>
        <v>Vmn2r86</v>
      </c>
      <c r="B22543" t="s">
        <v>6303</v>
      </c>
      <c r="C22543" t="s">
        <v>15</v>
      </c>
      <c r="D22543" t="s">
        <v>11</v>
      </c>
      <c r="E22543" t="s">
        <v>20</v>
      </c>
      <c r="F22543">
        <v>130455893</v>
      </c>
      <c r="G22543">
        <v>130455893</v>
      </c>
      <c r="H22543">
        <v>130455893</v>
      </c>
      <c r="I22543">
        <v>130455893</v>
      </c>
    </row>
    <row r="22544" spans="1:9" x14ac:dyDescent="0.2">
      <c r="A22544" t="str">
        <f>"Vmn2r87"</f>
        <v>Vmn2r87</v>
      </c>
      <c r="B22544" t="s">
        <v>6304</v>
      </c>
      <c r="C22544" t="s">
        <v>15</v>
      </c>
      <c r="D22544" t="s">
        <v>11</v>
      </c>
      <c r="E22544" t="s">
        <v>20</v>
      </c>
      <c r="F22544">
        <v>130497378</v>
      </c>
      <c r="G22544">
        <v>130497378</v>
      </c>
      <c r="H22544">
        <v>130497378</v>
      </c>
      <c r="I22544">
        <v>130497378</v>
      </c>
    </row>
    <row r="22545" spans="1:9" x14ac:dyDescent="0.2">
      <c r="A22545" t="str">
        <f>"Vmn2r88"</f>
        <v>Vmn2r88</v>
      </c>
      <c r="B22545" t="s">
        <v>6305</v>
      </c>
      <c r="C22545" t="s">
        <v>41</v>
      </c>
      <c r="D22545" t="s">
        <v>17</v>
      </c>
      <c r="E22545" t="s">
        <v>20</v>
      </c>
      <c r="F22545">
        <v>51411000</v>
      </c>
      <c r="G22545">
        <v>51411000</v>
      </c>
      <c r="H22545">
        <v>51411000</v>
      </c>
      <c r="I22545">
        <v>51411000</v>
      </c>
    </row>
    <row r="22546" spans="1:9" x14ac:dyDescent="0.2">
      <c r="A22546" t="str">
        <f>"Vmn2r89"</f>
        <v>Vmn2r89</v>
      </c>
      <c r="B22546" t="s">
        <v>6306</v>
      </c>
      <c r="C22546" t="s">
        <v>41</v>
      </c>
      <c r="D22546" t="s">
        <v>17</v>
      </c>
      <c r="E22546" t="s">
        <v>20</v>
      </c>
      <c r="F22546">
        <v>51451961</v>
      </c>
      <c r="G22546">
        <v>51451961</v>
      </c>
      <c r="H22546">
        <v>51451961</v>
      </c>
      <c r="I22546">
        <v>51451961</v>
      </c>
    </row>
    <row r="22547" spans="1:9" x14ac:dyDescent="0.2">
      <c r="A22547" t="str">
        <f>"Vmn2r9"</f>
        <v>Vmn2r9</v>
      </c>
      <c r="B22547" t="s">
        <v>6307</v>
      </c>
      <c r="C22547" t="s">
        <v>46</v>
      </c>
      <c r="D22547" t="s">
        <v>11</v>
      </c>
      <c r="E22547" t="s">
        <v>20</v>
      </c>
      <c r="F22547">
        <v>108852509</v>
      </c>
      <c r="G22547">
        <v>108852509</v>
      </c>
      <c r="H22547">
        <v>108852509</v>
      </c>
      <c r="I22547">
        <v>108852509</v>
      </c>
    </row>
    <row r="22548" spans="1:9" x14ac:dyDescent="0.2">
      <c r="A22548" t="str">
        <f>"Vmn2r90"</f>
        <v>Vmn2r90</v>
      </c>
      <c r="B22548" t="s">
        <v>6308</v>
      </c>
      <c r="C22548" t="s">
        <v>28</v>
      </c>
      <c r="D22548" t="s">
        <v>17</v>
      </c>
      <c r="E22548" t="s">
        <v>20</v>
      </c>
      <c r="F22548">
        <v>17703940</v>
      </c>
      <c r="G22548">
        <v>17703940</v>
      </c>
      <c r="H22548">
        <v>17703940</v>
      </c>
      <c r="I22548">
        <v>17703940</v>
      </c>
    </row>
    <row r="22549" spans="1:9" x14ac:dyDescent="0.2">
      <c r="A22549" t="str">
        <f>"Vmn2r91"</f>
        <v>Vmn2r91</v>
      </c>
      <c r="B22549" t="s">
        <v>6309</v>
      </c>
      <c r="C22549" t="s">
        <v>28</v>
      </c>
      <c r="D22549" t="s">
        <v>17</v>
      </c>
      <c r="E22549" t="s">
        <v>20</v>
      </c>
      <c r="F22549">
        <v>18085056</v>
      </c>
      <c r="G22549">
        <v>18085056</v>
      </c>
      <c r="H22549">
        <v>18085056</v>
      </c>
      <c r="I22549">
        <v>18085056</v>
      </c>
    </row>
    <row r="22550" spans="1:9" x14ac:dyDescent="0.2">
      <c r="A22550" t="str">
        <f>"Vmn2r92"</f>
        <v>Vmn2r92</v>
      </c>
      <c r="B22550" t="s">
        <v>6310</v>
      </c>
      <c r="C22550" t="s">
        <v>28</v>
      </c>
      <c r="D22550" t="s">
        <v>17</v>
      </c>
      <c r="E22550" t="s">
        <v>20</v>
      </c>
      <c r="F22550">
        <v>18151929</v>
      </c>
      <c r="G22550">
        <v>18151929</v>
      </c>
      <c r="H22550">
        <v>18151929</v>
      </c>
      <c r="I22550">
        <v>18151929</v>
      </c>
    </row>
    <row r="22551" spans="1:9" x14ac:dyDescent="0.2">
      <c r="A22551" t="str">
        <f>"Vmn2r93"</f>
        <v>Vmn2r93</v>
      </c>
      <c r="B22551" t="s">
        <v>6311</v>
      </c>
      <c r="C22551" t="s">
        <v>28</v>
      </c>
      <c r="D22551" t="s">
        <v>17</v>
      </c>
      <c r="E22551" t="s">
        <v>20</v>
      </c>
      <c r="F22551">
        <v>18298280</v>
      </c>
      <c r="G22551">
        <v>18298280</v>
      </c>
      <c r="H22551">
        <v>18298280</v>
      </c>
      <c r="I22551">
        <v>18298280</v>
      </c>
    </row>
    <row r="22552" spans="1:9" x14ac:dyDescent="0.2">
      <c r="A22552" t="str">
        <f>"Vmn2r94"</f>
        <v>Vmn2r94</v>
      </c>
      <c r="B22552" t="s">
        <v>6312</v>
      </c>
      <c r="C22552" t="s">
        <v>28</v>
      </c>
      <c r="D22552" t="s">
        <v>11</v>
      </c>
      <c r="E22552" t="s">
        <v>20</v>
      </c>
      <c r="F22552">
        <v>18277507</v>
      </c>
      <c r="G22552">
        <v>18277507</v>
      </c>
      <c r="H22552">
        <v>18277507</v>
      </c>
      <c r="I22552">
        <v>18277507</v>
      </c>
    </row>
    <row r="22553" spans="1:9" x14ac:dyDescent="0.2">
      <c r="A22553" t="str">
        <f>"Vmn2r95"</f>
        <v>Vmn2r95</v>
      </c>
      <c r="B22553" t="s">
        <v>6313</v>
      </c>
      <c r="C22553" t="s">
        <v>28</v>
      </c>
      <c r="D22553" t="s">
        <v>17</v>
      </c>
      <c r="E22553" t="s">
        <v>20</v>
      </c>
      <c r="F22553">
        <v>18424103</v>
      </c>
      <c r="G22553">
        <v>18424103</v>
      </c>
      <c r="H22553">
        <v>18424103</v>
      </c>
      <c r="I22553">
        <v>18424103</v>
      </c>
    </row>
    <row r="22554" spans="1:9" x14ac:dyDescent="0.2">
      <c r="A22554" t="str">
        <f>"Vmn2r96"</f>
        <v>Vmn2r96</v>
      </c>
      <c r="B22554" t="s">
        <v>6314</v>
      </c>
      <c r="C22554" t="s">
        <v>28</v>
      </c>
      <c r="D22554" t="s">
        <v>17</v>
      </c>
      <c r="E22554" t="s">
        <v>20</v>
      </c>
      <c r="F22554">
        <v>18581726</v>
      </c>
      <c r="G22554">
        <v>18581726</v>
      </c>
      <c r="H22554">
        <v>18581726</v>
      </c>
      <c r="I22554">
        <v>18581726</v>
      </c>
    </row>
    <row r="22555" spans="1:9" x14ac:dyDescent="0.2">
      <c r="A22555" t="str">
        <f>"Vmn2r96"</f>
        <v>Vmn2r96</v>
      </c>
      <c r="B22555" t="s">
        <v>6315</v>
      </c>
      <c r="C22555" t="s">
        <v>28</v>
      </c>
      <c r="D22555" t="s">
        <v>17</v>
      </c>
      <c r="E22555" t="s">
        <v>20</v>
      </c>
      <c r="F22555">
        <v>18582405</v>
      </c>
      <c r="G22555">
        <v>18582405</v>
      </c>
      <c r="H22555">
        <v>18582405</v>
      </c>
      <c r="I22555">
        <v>18582405</v>
      </c>
    </row>
    <row r="22556" spans="1:9" x14ac:dyDescent="0.2">
      <c r="A22556" t="str">
        <f>"Vmn2r97"</f>
        <v>Vmn2r97</v>
      </c>
      <c r="B22556" t="s">
        <v>6316</v>
      </c>
      <c r="C22556" t="s">
        <v>28</v>
      </c>
      <c r="D22556" t="s">
        <v>17</v>
      </c>
      <c r="E22556" t="s">
        <v>20</v>
      </c>
      <c r="F22556">
        <v>18914321</v>
      </c>
      <c r="G22556">
        <v>18914321</v>
      </c>
      <c r="H22556">
        <v>18914321</v>
      </c>
      <c r="I22556">
        <v>18914321</v>
      </c>
    </row>
    <row r="22557" spans="1:9" x14ac:dyDescent="0.2">
      <c r="A22557" t="str">
        <f>"Vmn2r98"</f>
        <v>Vmn2r98</v>
      </c>
      <c r="B22557" t="s">
        <v>6317</v>
      </c>
      <c r="C22557" t="s">
        <v>28</v>
      </c>
      <c r="D22557" t="s">
        <v>17</v>
      </c>
      <c r="E22557" t="s">
        <v>20</v>
      </c>
      <c r="F22557">
        <v>19053492</v>
      </c>
      <c r="G22557">
        <v>19053492</v>
      </c>
      <c r="H22557">
        <v>19053492</v>
      </c>
      <c r="I22557">
        <v>19053492</v>
      </c>
    </row>
    <row r="22558" spans="1:9" x14ac:dyDescent="0.2">
      <c r="A22558" t="str">
        <f>"Vmn2r99"</f>
        <v>Vmn2r99</v>
      </c>
      <c r="B22558" t="s">
        <v>6318</v>
      </c>
      <c r="C22558" t="s">
        <v>28</v>
      </c>
      <c r="D22558" t="s">
        <v>17</v>
      </c>
      <c r="E22558" t="s">
        <v>20</v>
      </c>
      <c r="F22558">
        <v>19362134</v>
      </c>
      <c r="G22558">
        <v>19362134</v>
      </c>
      <c r="H22558">
        <v>19362134</v>
      </c>
      <c r="I22558">
        <v>19362134</v>
      </c>
    </row>
    <row r="22559" spans="1:9" x14ac:dyDescent="0.2">
      <c r="A22559" t="str">
        <f>"Vmo1"</f>
        <v>Vmo1</v>
      </c>
      <c r="B22559" t="s">
        <v>14</v>
      </c>
      <c r="C22559" t="s">
        <v>27</v>
      </c>
      <c r="D22559" t="s">
        <v>11</v>
      </c>
      <c r="E22559" t="s">
        <v>12</v>
      </c>
      <c r="F22559">
        <v>70514608</v>
      </c>
      <c r="G22559">
        <v>70514616</v>
      </c>
      <c r="H22559">
        <v>70514608</v>
      </c>
      <c r="I22559">
        <v>70514616</v>
      </c>
    </row>
    <row r="22560" spans="1:9" x14ac:dyDescent="0.2">
      <c r="A22560" t="str">
        <f>"Vmp1"</f>
        <v>Vmp1</v>
      </c>
      <c r="B22560" t="s">
        <v>14</v>
      </c>
      <c r="C22560" t="s">
        <v>27</v>
      </c>
      <c r="D22560" t="s">
        <v>11</v>
      </c>
      <c r="E22560" t="s">
        <v>12</v>
      </c>
      <c r="F22560">
        <v>86683761</v>
      </c>
      <c r="G22560">
        <v>86683847</v>
      </c>
      <c r="H22560">
        <v>86683761</v>
      </c>
      <c r="I22560">
        <v>86683847</v>
      </c>
    </row>
    <row r="22561" spans="1:9" x14ac:dyDescent="0.2">
      <c r="A22561" t="str">
        <f>"Vnn1"</f>
        <v>Vnn1</v>
      </c>
      <c r="B22561" t="s">
        <v>14</v>
      </c>
      <c r="C22561" t="s">
        <v>15</v>
      </c>
      <c r="D22561" t="s">
        <v>17</v>
      </c>
      <c r="E22561" t="s">
        <v>12</v>
      </c>
      <c r="F22561">
        <v>23894847</v>
      </c>
      <c r="G22561">
        <v>23894863</v>
      </c>
      <c r="H22561">
        <v>23894847</v>
      </c>
      <c r="I22561">
        <v>23894863</v>
      </c>
    </row>
    <row r="22562" spans="1:9" x14ac:dyDescent="0.2">
      <c r="A22562" t="str">
        <f>"Vnn3"</f>
        <v>Vnn3</v>
      </c>
      <c r="B22562" t="s">
        <v>14</v>
      </c>
      <c r="C22562" t="s">
        <v>15</v>
      </c>
      <c r="D22562" t="s">
        <v>17</v>
      </c>
      <c r="E22562" t="s">
        <v>12</v>
      </c>
      <c r="F22562">
        <v>23851454</v>
      </c>
      <c r="G22562">
        <v>23851489</v>
      </c>
      <c r="H22562">
        <v>23851427</v>
      </c>
      <c r="I22562">
        <v>23851453</v>
      </c>
    </row>
    <row r="22563" spans="1:9" x14ac:dyDescent="0.2">
      <c r="A22563" t="str">
        <f>"Vopp1"</f>
        <v>Vopp1</v>
      </c>
      <c r="B22563" t="s">
        <v>14</v>
      </c>
      <c r="C22563" t="s">
        <v>32</v>
      </c>
      <c r="D22563" t="s">
        <v>11</v>
      </c>
      <c r="E22563" t="s">
        <v>12</v>
      </c>
      <c r="F22563">
        <v>57825055</v>
      </c>
      <c r="G22563">
        <v>57825141</v>
      </c>
      <c r="H22563">
        <v>57825144</v>
      </c>
      <c r="I22563">
        <v>57825166</v>
      </c>
    </row>
    <row r="22564" spans="1:9" x14ac:dyDescent="0.2">
      <c r="A22564" t="str">
        <f>"Vprbp"</f>
        <v>Vprbp</v>
      </c>
      <c r="B22564" t="s">
        <v>14</v>
      </c>
      <c r="C22564" t="s">
        <v>24</v>
      </c>
      <c r="D22564" t="s">
        <v>17</v>
      </c>
      <c r="E22564" t="s">
        <v>12</v>
      </c>
      <c r="F22564">
        <v>106821894</v>
      </c>
      <c r="G22564">
        <v>106821994</v>
      </c>
      <c r="H22564">
        <v>106821999</v>
      </c>
      <c r="I22564">
        <v>106822016</v>
      </c>
    </row>
    <row r="22565" spans="1:9" x14ac:dyDescent="0.2">
      <c r="A22565" t="str">
        <f>"Vpreb1"</f>
        <v>Vpreb1</v>
      </c>
      <c r="B22565" t="s">
        <v>14</v>
      </c>
      <c r="C22565" t="s">
        <v>31</v>
      </c>
      <c r="D22565" t="s">
        <v>11</v>
      </c>
      <c r="E22565" t="s">
        <v>12</v>
      </c>
      <c r="F22565">
        <v>16870830</v>
      </c>
      <c r="G22565">
        <v>16870873</v>
      </c>
      <c r="H22565">
        <v>16870830</v>
      </c>
      <c r="I22565">
        <v>16870873</v>
      </c>
    </row>
    <row r="22566" spans="1:9" x14ac:dyDescent="0.2">
      <c r="A22566" t="str">
        <f>"Vpreb2"</f>
        <v>Vpreb2</v>
      </c>
      <c r="B22566" t="s">
        <v>14</v>
      </c>
      <c r="C22566" t="s">
        <v>31</v>
      </c>
      <c r="D22566" t="s">
        <v>17</v>
      </c>
      <c r="E22566" t="s">
        <v>12</v>
      </c>
      <c r="F22566">
        <v>17980397</v>
      </c>
      <c r="G22566">
        <v>17980406</v>
      </c>
      <c r="H22566">
        <v>17980397</v>
      </c>
      <c r="I22566">
        <v>17980406</v>
      </c>
    </row>
    <row r="22567" spans="1:9" x14ac:dyDescent="0.2">
      <c r="A22567" t="str">
        <f>"Vpreb3"</f>
        <v>Vpreb3</v>
      </c>
      <c r="B22567" t="s">
        <v>14</v>
      </c>
      <c r="C22567" t="s">
        <v>15</v>
      </c>
      <c r="D22567" t="s">
        <v>17</v>
      </c>
      <c r="E22567" t="s">
        <v>12</v>
      </c>
      <c r="F22567">
        <v>75948292</v>
      </c>
      <c r="G22567">
        <v>75948333</v>
      </c>
      <c r="H22567">
        <v>75948335</v>
      </c>
      <c r="I22567">
        <v>75948353</v>
      </c>
    </row>
    <row r="22568" spans="1:9" x14ac:dyDescent="0.2">
      <c r="A22568" t="str">
        <f>"Vps11"</f>
        <v>Vps11</v>
      </c>
      <c r="B22568" t="s">
        <v>14</v>
      </c>
      <c r="C22568" t="s">
        <v>24</v>
      </c>
      <c r="D22568" t="s">
        <v>11</v>
      </c>
      <c r="E22568" t="s">
        <v>12</v>
      </c>
      <c r="F22568">
        <v>44361625</v>
      </c>
      <c r="G22568">
        <v>44361670</v>
      </c>
      <c r="H22568">
        <v>44361625</v>
      </c>
      <c r="I22568">
        <v>44361670</v>
      </c>
    </row>
    <row r="22569" spans="1:9" x14ac:dyDescent="0.2">
      <c r="A22569" t="str">
        <f>"Vps13a"</f>
        <v>Vps13a</v>
      </c>
      <c r="B22569" t="s">
        <v>14</v>
      </c>
      <c r="C22569" t="s">
        <v>10</v>
      </c>
      <c r="D22569" t="s">
        <v>11</v>
      </c>
      <c r="E22569" t="s">
        <v>12</v>
      </c>
      <c r="F22569">
        <v>16780903</v>
      </c>
      <c r="G22569">
        <v>16780967</v>
      </c>
      <c r="H22569">
        <v>16780979</v>
      </c>
      <c r="I22569">
        <v>16780990</v>
      </c>
    </row>
    <row r="22570" spans="1:9" x14ac:dyDescent="0.2">
      <c r="A22570" t="str">
        <f>"Vps13b"</f>
        <v>Vps13b</v>
      </c>
      <c r="B22570" t="s">
        <v>14</v>
      </c>
      <c r="C22570" t="s">
        <v>25</v>
      </c>
      <c r="D22570" t="s">
        <v>17</v>
      </c>
      <c r="E22570" t="s">
        <v>12</v>
      </c>
      <c r="F22570">
        <v>35371498</v>
      </c>
      <c r="G22570">
        <v>35371593</v>
      </c>
      <c r="H22570">
        <v>35371498</v>
      </c>
      <c r="I22570">
        <v>35371593</v>
      </c>
    </row>
    <row r="22571" spans="1:9" x14ac:dyDescent="0.2">
      <c r="A22571" t="str">
        <f>"Vps13c"</f>
        <v>Vps13c</v>
      </c>
      <c r="B22571" t="s">
        <v>14</v>
      </c>
      <c r="C22571" t="s">
        <v>24</v>
      </c>
      <c r="D22571" t="s">
        <v>17</v>
      </c>
      <c r="E22571" t="s">
        <v>12</v>
      </c>
      <c r="F22571">
        <v>67840386</v>
      </c>
      <c r="G22571">
        <v>67840429</v>
      </c>
      <c r="H22571">
        <v>67840331</v>
      </c>
      <c r="I22571">
        <v>67840358</v>
      </c>
    </row>
    <row r="22572" spans="1:9" x14ac:dyDescent="0.2">
      <c r="A22572" t="str">
        <f>"Vps13d"</f>
        <v>Vps13d</v>
      </c>
      <c r="B22572" t="s">
        <v>6319</v>
      </c>
      <c r="C22572" t="s">
        <v>23</v>
      </c>
      <c r="D22572" t="s">
        <v>11</v>
      </c>
      <c r="E22572" t="s">
        <v>20</v>
      </c>
      <c r="F22572">
        <v>144974682</v>
      </c>
      <c r="G22572">
        <v>144974682</v>
      </c>
      <c r="H22572">
        <v>144974682</v>
      </c>
      <c r="I22572">
        <v>144974682</v>
      </c>
    </row>
    <row r="22573" spans="1:9" x14ac:dyDescent="0.2">
      <c r="A22573" t="str">
        <f>"Vps16"</f>
        <v>Vps16</v>
      </c>
      <c r="B22573" t="s">
        <v>14</v>
      </c>
      <c r="C22573" t="s">
        <v>26</v>
      </c>
      <c r="D22573" t="s">
        <v>17</v>
      </c>
      <c r="E22573" t="s">
        <v>12</v>
      </c>
      <c r="F22573">
        <v>130424321</v>
      </c>
      <c r="G22573">
        <v>130424393</v>
      </c>
      <c r="H22573">
        <v>130424321</v>
      </c>
      <c r="I22573">
        <v>130424393</v>
      </c>
    </row>
    <row r="22574" spans="1:9" x14ac:dyDescent="0.2">
      <c r="A22574" t="str">
        <f>"Vps18"</f>
        <v>Vps18</v>
      </c>
      <c r="B22574" t="s">
        <v>14</v>
      </c>
      <c r="C22574" t="s">
        <v>26</v>
      </c>
      <c r="D22574" t="s">
        <v>17</v>
      </c>
      <c r="E22574" t="s">
        <v>12</v>
      </c>
      <c r="F22574">
        <v>119288725</v>
      </c>
      <c r="G22574">
        <v>119288771</v>
      </c>
      <c r="H22574">
        <v>119288773</v>
      </c>
      <c r="I22574">
        <v>119288796</v>
      </c>
    </row>
    <row r="22575" spans="1:9" x14ac:dyDescent="0.2">
      <c r="A22575" t="str">
        <f>"Vps25"</f>
        <v>Vps25</v>
      </c>
      <c r="B22575" t="s">
        <v>9</v>
      </c>
      <c r="C22575" t="s">
        <v>27</v>
      </c>
      <c r="D22575" t="s">
        <v>17</v>
      </c>
      <c r="E22575" t="s">
        <v>12</v>
      </c>
      <c r="F22575">
        <v>101253720</v>
      </c>
      <c r="G22575">
        <v>101253757</v>
      </c>
      <c r="H22575">
        <v>101253720</v>
      </c>
      <c r="I22575">
        <v>101253757</v>
      </c>
    </row>
    <row r="22576" spans="1:9" x14ac:dyDescent="0.2">
      <c r="A22576" t="str">
        <f>"Vps25"</f>
        <v>Vps25</v>
      </c>
      <c r="B22576" t="s">
        <v>13</v>
      </c>
      <c r="C22576" t="s">
        <v>27</v>
      </c>
      <c r="D22576" t="s">
        <v>17</v>
      </c>
      <c r="E22576" t="s">
        <v>12</v>
      </c>
      <c r="F22576">
        <v>101246329</v>
      </c>
      <c r="G22576">
        <v>101246332</v>
      </c>
      <c r="H22576">
        <v>101246329</v>
      </c>
      <c r="I22576">
        <v>101246332</v>
      </c>
    </row>
    <row r="22577" spans="1:9" x14ac:dyDescent="0.2">
      <c r="A22577" t="str">
        <f>"Vps26a"</f>
        <v>Vps26a</v>
      </c>
      <c r="B22577" t="s">
        <v>14</v>
      </c>
      <c r="C22577" t="s">
        <v>15</v>
      </c>
      <c r="D22577" t="s">
        <v>11</v>
      </c>
      <c r="E22577" t="s">
        <v>12</v>
      </c>
      <c r="F22577">
        <v>62486683</v>
      </c>
      <c r="G22577">
        <v>62486771</v>
      </c>
      <c r="H22577">
        <v>62486772</v>
      </c>
      <c r="I22577">
        <v>62486784</v>
      </c>
    </row>
    <row r="22578" spans="1:9" x14ac:dyDescent="0.2">
      <c r="A22578" t="str">
        <f>"Vps26b"</f>
        <v>Vps26b</v>
      </c>
      <c r="B22578" t="s">
        <v>14</v>
      </c>
      <c r="C22578" t="s">
        <v>24</v>
      </c>
      <c r="D22578" t="s">
        <v>11</v>
      </c>
      <c r="E22578" t="s">
        <v>12</v>
      </c>
      <c r="F22578">
        <v>27030010</v>
      </c>
      <c r="G22578">
        <v>27030114</v>
      </c>
      <c r="H22578">
        <v>27029988</v>
      </c>
      <c r="I22578">
        <v>27030004</v>
      </c>
    </row>
    <row r="22579" spans="1:9" x14ac:dyDescent="0.2">
      <c r="A22579" t="str">
        <f>"Vps28"</f>
        <v>Vps28</v>
      </c>
      <c r="B22579" t="s">
        <v>14</v>
      </c>
      <c r="C22579" t="s">
        <v>25</v>
      </c>
      <c r="D22579" t="s">
        <v>11</v>
      </c>
      <c r="E22579" t="s">
        <v>12</v>
      </c>
      <c r="F22579">
        <v>76626007</v>
      </c>
      <c r="G22579">
        <v>76626089</v>
      </c>
      <c r="H22579">
        <v>76626007</v>
      </c>
      <c r="I22579">
        <v>76626089</v>
      </c>
    </row>
    <row r="22580" spans="1:9" x14ac:dyDescent="0.2">
      <c r="A22580" t="str">
        <f>"Vps29"</f>
        <v>Vps29</v>
      </c>
      <c r="B22580" t="s">
        <v>14</v>
      </c>
      <c r="C22580" t="s">
        <v>46</v>
      </c>
      <c r="D22580" t="s">
        <v>17</v>
      </c>
      <c r="E22580" t="s">
        <v>12</v>
      </c>
      <c r="F22580">
        <v>122354385</v>
      </c>
      <c r="G22580">
        <v>122354455</v>
      </c>
      <c r="H22580">
        <v>122354250</v>
      </c>
      <c r="I22580">
        <v>122354292</v>
      </c>
    </row>
    <row r="22581" spans="1:9" x14ac:dyDescent="0.2">
      <c r="A22581" t="str">
        <f>"Vps33a"</f>
        <v>Vps33a</v>
      </c>
      <c r="B22581" t="s">
        <v>14</v>
      </c>
      <c r="C22581" t="s">
        <v>46</v>
      </c>
      <c r="D22581" t="s">
        <v>11</v>
      </c>
      <c r="E22581" t="s">
        <v>12</v>
      </c>
      <c r="F22581">
        <v>123572976</v>
      </c>
      <c r="G22581">
        <v>123573031</v>
      </c>
      <c r="H22581">
        <v>123572976</v>
      </c>
      <c r="I22581">
        <v>123573031</v>
      </c>
    </row>
    <row r="22582" spans="1:9" x14ac:dyDescent="0.2">
      <c r="A22582" t="str">
        <f>"Vps33b"</f>
        <v>Vps33b</v>
      </c>
      <c r="B22582" t="s">
        <v>14</v>
      </c>
      <c r="C22582" t="s">
        <v>33</v>
      </c>
      <c r="D22582" t="s">
        <v>17</v>
      </c>
      <c r="E22582" t="s">
        <v>12</v>
      </c>
      <c r="F22582">
        <v>80269632</v>
      </c>
      <c r="G22582">
        <v>80269726</v>
      </c>
      <c r="H22582">
        <v>80269743</v>
      </c>
      <c r="I22582">
        <v>80269755</v>
      </c>
    </row>
    <row r="22583" spans="1:9" x14ac:dyDescent="0.2">
      <c r="A22583" t="str">
        <f>"Vps35"</f>
        <v>Vps35</v>
      </c>
      <c r="B22583" t="s">
        <v>14</v>
      </c>
      <c r="C22583" t="s">
        <v>30</v>
      </c>
      <c r="D22583" t="s">
        <v>11</v>
      </c>
      <c r="E22583" t="s">
        <v>12</v>
      </c>
      <c r="F22583">
        <v>85299483</v>
      </c>
      <c r="G22583">
        <v>85299535</v>
      </c>
      <c r="H22583">
        <v>85299756</v>
      </c>
      <c r="I22583">
        <v>85299791</v>
      </c>
    </row>
    <row r="22584" spans="1:9" x14ac:dyDescent="0.2">
      <c r="A22584" t="str">
        <f>"Vps36"</f>
        <v>Vps36</v>
      </c>
      <c r="B22584" t="s">
        <v>14</v>
      </c>
      <c r="C22584" t="s">
        <v>30</v>
      </c>
      <c r="D22584" t="s">
        <v>17</v>
      </c>
      <c r="E22584" t="s">
        <v>12</v>
      </c>
      <c r="F22584">
        <v>22192800</v>
      </c>
      <c r="G22584">
        <v>22192856</v>
      </c>
      <c r="H22584">
        <v>22192858</v>
      </c>
      <c r="I22584">
        <v>22192869</v>
      </c>
    </row>
    <row r="22585" spans="1:9" x14ac:dyDescent="0.2">
      <c r="A22585" t="str">
        <f>"Vps37a"</f>
        <v>Vps37a</v>
      </c>
      <c r="B22585" t="s">
        <v>14</v>
      </c>
      <c r="C22585" t="s">
        <v>30</v>
      </c>
      <c r="D22585" t="s">
        <v>17</v>
      </c>
      <c r="E22585" t="s">
        <v>12</v>
      </c>
      <c r="F22585">
        <v>40511789</v>
      </c>
      <c r="G22585">
        <v>40511862</v>
      </c>
      <c r="H22585">
        <v>40511769</v>
      </c>
      <c r="I22585">
        <v>40511787</v>
      </c>
    </row>
    <row r="22586" spans="1:9" x14ac:dyDescent="0.2">
      <c r="A22586" t="str">
        <f>"Vps37b"</f>
        <v>Vps37b</v>
      </c>
      <c r="B22586" t="s">
        <v>14</v>
      </c>
      <c r="C22586" t="s">
        <v>46</v>
      </c>
      <c r="D22586" t="s">
        <v>11</v>
      </c>
      <c r="E22586" t="s">
        <v>12</v>
      </c>
      <c r="F22586">
        <v>124032214</v>
      </c>
      <c r="G22586">
        <v>124032290</v>
      </c>
      <c r="H22586">
        <v>124032214</v>
      </c>
      <c r="I22586">
        <v>124032290</v>
      </c>
    </row>
    <row r="22587" spans="1:9" x14ac:dyDescent="0.2">
      <c r="A22587" t="str">
        <f>"Vps37c"</f>
        <v>Vps37c</v>
      </c>
      <c r="B22587" t="s">
        <v>14</v>
      </c>
      <c r="C22587" t="s">
        <v>10</v>
      </c>
      <c r="D22587" t="s">
        <v>17</v>
      </c>
      <c r="E22587" t="s">
        <v>12</v>
      </c>
      <c r="F22587">
        <v>10688744</v>
      </c>
      <c r="G22587">
        <v>10688818</v>
      </c>
      <c r="H22587">
        <v>10688918</v>
      </c>
      <c r="I22587">
        <v>10688959</v>
      </c>
    </row>
    <row r="22588" spans="1:9" x14ac:dyDescent="0.2">
      <c r="A22588" t="str">
        <f>"Vps37d"</f>
        <v>Vps37d</v>
      </c>
      <c r="B22588" t="s">
        <v>14</v>
      </c>
      <c r="C22588" t="s">
        <v>46</v>
      </c>
      <c r="D22588" t="s">
        <v>11</v>
      </c>
      <c r="E22588" t="s">
        <v>12</v>
      </c>
      <c r="F22588">
        <v>135078224</v>
      </c>
      <c r="G22588">
        <v>135078260</v>
      </c>
      <c r="H22588">
        <v>135078314</v>
      </c>
      <c r="I22588">
        <v>135078346</v>
      </c>
    </row>
    <row r="22589" spans="1:9" x14ac:dyDescent="0.2">
      <c r="A22589" t="str">
        <f>"Vps39"</f>
        <v>Vps39</v>
      </c>
      <c r="B22589" t="s">
        <v>14</v>
      </c>
      <c r="C22589" t="s">
        <v>26</v>
      </c>
      <c r="D22589" t="s">
        <v>11</v>
      </c>
      <c r="E22589" t="s">
        <v>12</v>
      </c>
      <c r="F22589">
        <v>120353094</v>
      </c>
      <c r="G22589">
        <v>120353143</v>
      </c>
      <c r="H22589">
        <v>120353006</v>
      </c>
      <c r="I22589">
        <v>120353015</v>
      </c>
    </row>
    <row r="22590" spans="1:9" x14ac:dyDescent="0.2">
      <c r="A22590" t="str">
        <f>"Vps41"</f>
        <v>Vps41</v>
      </c>
      <c r="B22590" t="s">
        <v>14</v>
      </c>
      <c r="C22590" t="s">
        <v>39</v>
      </c>
      <c r="D22590" t="s">
        <v>17</v>
      </c>
      <c r="E22590" t="s">
        <v>12</v>
      </c>
      <c r="F22590">
        <v>18717289</v>
      </c>
      <c r="G22590">
        <v>18717316</v>
      </c>
      <c r="H22590">
        <v>18717289</v>
      </c>
      <c r="I22590">
        <v>18717316</v>
      </c>
    </row>
    <row r="22591" spans="1:9" x14ac:dyDescent="0.2">
      <c r="A22591" t="str">
        <f>"Vps45"</f>
        <v>Vps45</v>
      </c>
      <c r="B22591" t="s">
        <v>14</v>
      </c>
      <c r="C22591" t="s">
        <v>22</v>
      </c>
      <c r="D22591" t="s">
        <v>11</v>
      </c>
      <c r="E22591" t="s">
        <v>12</v>
      </c>
      <c r="F22591">
        <v>96057823</v>
      </c>
      <c r="G22591">
        <v>96057874</v>
      </c>
      <c r="H22591">
        <v>96057806</v>
      </c>
      <c r="I22591">
        <v>96057811</v>
      </c>
    </row>
    <row r="22592" spans="1:9" x14ac:dyDescent="0.2">
      <c r="A22592" t="str">
        <f>"Vps4a"</f>
        <v>Vps4a</v>
      </c>
      <c r="B22592" t="s">
        <v>14</v>
      </c>
      <c r="C22592" t="s">
        <v>30</v>
      </c>
      <c r="D22592" t="s">
        <v>17</v>
      </c>
      <c r="E22592" t="s">
        <v>12</v>
      </c>
      <c r="F22592">
        <v>107031295</v>
      </c>
      <c r="G22592">
        <v>107031350</v>
      </c>
      <c r="H22592">
        <v>107031354</v>
      </c>
      <c r="I22592">
        <v>107031365</v>
      </c>
    </row>
    <row r="22593" spans="1:9" x14ac:dyDescent="0.2">
      <c r="A22593" t="str">
        <f>"Vps4b"</f>
        <v>Vps4b</v>
      </c>
      <c r="B22593" t="s">
        <v>14</v>
      </c>
      <c r="C22593" t="s">
        <v>19</v>
      </c>
      <c r="D22593" t="s">
        <v>11</v>
      </c>
      <c r="E22593" t="s">
        <v>12</v>
      </c>
      <c r="F22593">
        <v>106796609</v>
      </c>
      <c r="G22593">
        <v>106796669</v>
      </c>
      <c r="H22593">
        <v>106796687</v>
      </c>
      <c r="I22593">
        <v>106796713</v>
      </c>
    </row>
    <row r="22594" spans="1:9" x14ac:dyDescent="0.2">
      <c r="A22594" t="str">
        <f>"Vps51"</f>
        <v>Vps51</v>
      </c>
      <c r="B22594" t="s">
        <v>14</v>
      </c>
      <c r="C22594" t="s">
        <v>10</v>
      </c>
      <c r="D22594" t="s">
        <v>11</v>
      </c>
      <c r="E22594" t="s">
        <v>67</v>
      </c>
      <c r="F22594">
        <v>6077183</v>
      </c>
      <c r="G22594">
        <v>6077229</v>
      </c>
      <c r="H22594">
        <v>6077183</v>
      </c>
      <c r="I22594">
        <v>6077229</v>
      </c>
    </row>
    <row r="22595" spans="1:9" x14ac:dyDescent="0.2">
      <c r="A22595" t="str">
        <f>"Vps52"</f>
        <v>Vps52</v>
      </c>
      <c r="B22595" t="s">
        <v>14</v>
      </c>
      <c r="C22595" t="s">
        <v>28</v>
      </c>
      <c r="D22595" t="s">
        <v>17</v>
      </c>
      <c r="E22595" t="s">
        <v>12</v>
      </c>
      <c r="F22595">
        <v>33955823</v>
      </c>
      <c r="G22595">
        <v>33955901</v>
      </c>
      <c r="H22595">
        <v>33956067</v>
      </c>
      <c r="I22595">
        <v>33956108</v>
      </c>
    </row>
    <row r="22596" spans="1:9" x14ac:dyDescent="0.2">
      <c r="A22596" t="str">
        <f>"Vps53"</f>
        <v>Vps53</v>
      </c>
      <c r="B22596" t="s">
        <v>14</v>
      </c>
      <c r="C22596" t="s">
        <v>27</v>
      </c>
      <c r="D22596" t="s">
        <v>11</v>
      </c>
      <c r="E22596" t="s">
        <v>12</v>
      </c>
      <c r="F22596">
        <v>76179596</v>
      </c>
      <c r="G22596">
        <v>76179649</v>
      </c>
      <c r="H22596">
        <v>76179596</v>
      </c>
      <c r="I22596">
        <v>76179649</v>
      </c>
    </row>
    <row r="22597" spans="1:9" x14ac:dyDescent="0.2">
      <c r="A22597" t="str">
        <f>"Vps54"</f>
        <v>Vps54</v>
      </c>
      <c r="B22597" t="s">
        <v>14</v>
      </c>
      <c r="C22597" t="s">
        <v>27</v>
      </c>
      <c r="D22597" t="s">
        <v>17</v>
      </c>
      <c r="E22597" t="s">
        <v>12</v>
      </c>
      <c r="F22597">
        <v>21238875</v>
      </c>
      <c r="G22597">
        <v>21238966</v>
      </c>
      <c r="H22597">
        <v>21238708</v>
      </c>
      <c r="I22597">
        <v>21238743</v>
      </c>
    </row>
    <row r="22598" spans="1:9" x14ac:dyDescent="0.2">
      <c r="A22598" t="str">
        <f>"Vps72"</f>
        <v>Vps72</v>
      </c>
      <c r="B22598" t="s">
        <v>14</v>
      </c>
      <c r="C22598" t="s">
        <v>22</v>
      </c>
      <c r="D22598" t="s">
        <v>17</v>
      </c>
      <c r="E22598" t="s">
        <v>12</v>
      </c>
      <c r="F22598">
        <v>95111013</v>
      </c>
      <c r="G22598">
        <v>95111087</v>
      </c>
      <c r="H22598">
        <v>95111013</v>
      </c>
      <c r="I22598">
        <v>95111087</v>
      </c>
    </row>
    <row r="22599" spans="1:9" x14ac:dyDescent="0.2">
      <c r="A22599" t="str">
        <f>"Vps8"</f>
        <v>Vps8</v>
      </c>
      <c r="B22599" t="s">
        <v>14</v>
      </c>
      <c r="C22599" t="s">
        <v>31</v>
      </c>
      <c r="D22599" t="s">
        <v>17</v>
      </c>
      <c r="E22599" t="s">
        <v>12</v>
      </c>
      <c r="F22599">
        <v>21423145</v>
      </c>
      <c r="G22599">
        <v>21423214</v>
      </c>
      <c r="H22599">
        <v>21423145</v>
      </c>
      <c r="I22599">
        <v>21423214</v>
      </c>
    </row>
    <row r="22600" spans="1:9" x14ac:dyDescent="0.2">
      <c r="A22600" t="str">
        <f>"Vps9d1"</f>
        <v>Vps9d1</v>
      </c>
      <c r="B22600" t="s">
        <v>14</v>
      </c>
      <c r="C22600" t="s">
        <v>30</v>
      </c>
      <c r="D22600" t="s">
        <v>11</v>
      </c>
      <c r="E22600" t="s">
        <v>67</v>
      </c>
      <c r="F22600">
        <v>123254086</v>
      </c>
      <c r="G22600">
        <v>123254123</v>
      </c>
      <c r="H22600">
        <v>123254169</v>
      </c>
      <c r="I22600">
        <v>123254197</v>
      </c>
    </row>
    <row r="22601" spans="1:9" x14ac:dyDescent="0.2">
      <c r="A22601" t="str">
        <f>"Vrk1"</f>
        <v>Vrk1</v>
      </c>
      <c r="B22601" t="s">
        <v>14</v>
      </c>
      <c r="C22601" t="s">
        <v>16</v>
      </c>
      <c r="D22601" t="s">
        <v>17</v>
      </c>
      <c r="E22601" t="s">
        <v>12</v>
      </c>
      <c r="F22601">
        <v>106010275</v>
      </c>
      <c r="G22601">
        <v>106010339</v>
      </c>
      <c r="H22601">
        <v>106010204</v>
      </c>
      <c r="I22601">
        <v>106010225</v>
      </c>
    </row>
    <row r="22602" spans="1:9" x14ac:dyDescent="0.2">
      <c r="A22602" t="str">
        <f>"Vrk2"</f>
        <v>Vrk2</v>
      </c>
      <c r="B22602" t="s">
        <v>14</v>
      </c>
      <c r="C22602" t="s">
        <v>27</v>
      </c>
      <c r="D22602" t="s">
        <v>11</v>
      </c>
      <c r="E22602" t="s">
        <v>12</v>
      </c>
      <c r="F22602">
        <v>26593607</v>
      </c>
      <c r="G22602">
        <v>26593663</v>
      </c>
      <c r="H22602">
        <v>26593708</v>
      </c>
      <c r="I22602">
        <v>26593748</v>
      </c>
    </row>
    <row r="22603" spans="1:9" x14ac:dyDescent="0.2">
      <c r="A22603" t="str">
        <f>"Vrk3"</f>
        <v>Vrk3</v>
      </c>
      <c r="B22603" t="s">
        <v>14</v>
      </c>
      <c r="C22603" t="s">
        <v>33</v>
      </c>
      <c r="D22603" t="s">
        <v>17</v>
      </c>
      <c r="E22603" t="s">
        <v>12</v>
      </c>
      <c r="F22603">
        <v>44748602</v>
      </c>
      <c r="G22603">
        <v>44748634</v>
      </c>
      <c r="H22603">
        <v>44748503</v>
      </c>
      <c r="I22603">
        <v>44748560</v>
      </c>
    </row>
    <row r="22604" spans="1:9" x14ac:dyDescent="0.2">
      <c r="A22604" t="str">
        <f>"Vrtn"</f>
        <v>Vrtn</v>
      </c>
      <c r="B22604" t="s">
        <v>9</v>
      </c>
      <c r="C22604" t="s">
        <v>16</v>
      </c>
      <c r="D22604" t="s">
        <v>17</v>
      </c>
      <c r="E22604" t="s">
        <v>12</v>
      </c>
      <c r="F22604">
        <v>84640936</v>
      </c>
      <c r="G22604">
        <v>84640978</v>
      </c>
      <c r="H22604">
        <v>84640936</v>
      </c>
      <c r="I22604">
        <v>84640978</v>
      </c>
    </row>
    <row r="22605" spans="1:9" x14ac:dyDescent="0.2">
      <c r="A22605" t="str">
        <f>"Vrtn"</f>
        <v>Vrtn</v>
      </c>
      <c r="B22605" t="s">
        <v>13</v>
      </c>
      <c r="C22605" t="s">
        <v>16</v>
      </c>
      <c r="D22605" t="s">
        <v>17</v>
      </c>
      <c r="E22605" t="s">
        <v>12</v>
      </c>
      <c r="F22605">
        <v>84642547</v>
      </c>
      <c r="G22605">
        <v>84642554</v>
      </c>
      <c r="H22605">
        <v>84642547</v>
      </c>
      <c r="I22605">
        <v>84642554</v>
      </c>
    </row>
    <row r="22606" spans="1:9" x14ac:dyDescent="0.2">
      <c r="A22606" t="str">
        <f>"Vsig1"</f>
        <v>Vsig1</v>
      </c>
      <c r="B22606" t="s">
        <v>14</v>
      </c>
      <c r="C22606" t="s">
        <v>37</v>
      </c>
      <c r="D22606" t="s">
        <v>17</v>
      </c>
      <c r="E22606" t="s">
        <v>12</v>
      </c>
      <c r="F22606">
        <v>140907602</v>
      </c>
      <c r="G22606">
        <v>140907635</v>
      </c>
      <c r="H22606">
        <v>140907602</v>
      </c>
      <c r="I22606">
        <v>140907635</v>
      </c>
    </row>
    <row r="22607" spans="1:9" x14ac:dyDescent="0.2">
      <c r="A22607" t="str">
        <f>"Vsig10"</f>
        <v>Vsig10</v>
      </c>
      <c r="B22607" t="s">
        <v>14</v>
      </c>
      <c r="C22607" t="s">
        <v>46</v>
      </c>
      <c r="D22607" t="s">
        <v>17</v>
      </c>
      <c r="E22607" t="s">
        <v>12</v>
      </c>
      <c r="F22607">
        <v>117319292</v>
      </c>
      <c r="G22607">
        <v>117319326</v>
      </c>
      <c r="H22607">
        <v>117319258</v>
      </c>
      <c r="I22607">
        <v>117319284</v>
      </c>
    </row>
    <row r="22608" spans="1:9" x14ac:dyDescent="0.2">
      <c r="A22608" t="str">
        <f>"Vsig10l"</f>
        <v>Vsig10l</v>
      </c>
      <c r="B22608" t="s">
        <v>14</v>
      </c>
      <c r="C22608" t="s">
        <v>33</v>
      </c>
      <c r="D22608" t="s">
        <v>17</v>
      </c>
      <c r="E22608" t="s">
        <v>12</v>
      </c>
      <c r="F22608">
        <v>43463145</v>
      </c>
      <c r="G22608">
        <v>43463185</v>
      </c>
      <c r="H22608">
        <v>43463187</v>
      </c>
      <c r="I22608">
        <v>43463215</v>
      </c>
    </row>
    <row r="22609" spans="1:9" x14ac:dyDescent="0.2">
      <c r="A22609" t="str">
        <f>"Vsig2"</f>
        <v>Vsig2</v>
      </c>
      <c r="B22609" t="s">
        <v>14</v>
      </c>
      <c r="C22609" t="s">
        <v>24</v>
      </c>
      <c r="D22609" t="s">
        <v>17</v>
      </c>
      <c r="E22609" t="s">
        <v>12</v>
      </c>
      <c r="F22609">
        <v>37539265</v>
      </c>
      <c r="G22609">
        <v>37539279</v>
      </c>
      <c r="H22609">
        <v>37539265</v>
      </c>
      <c r="I22609">
        <v>37539279</v>
      </c>
    </row>
    <row r="22610" spans="1:9" x14ac:dyDescent="0.2">
      <c r="A22610" t="str">
        <f>"Vsig4"</f>
        <v>Vsig4</v>
      </c>
      <c r="B22610" t="s">
        <v>14</v>
      </c>
      <c r="C22610" t="s">
        <v>37</v>
      </c>
      <c r="D22610" t="s">
        <v>11</v>
      </c>
      <c r="E22610" t="s">
        <v>12</v>
      </c>
      <c r="F22610">
        <v>96293425</v>
      </c>
      <c r="G22610">
        <v>96293453</v>
      </c>
      <c r="H22610">
        <v>96293456</v>
      </c>
      <c r="I22610">
        <v>96293465</v>
      </c>
    </row>
    <row r="22611" spans="1:9" x14ac:dyDescent="0.2">
      <c r="A22611" t="str">
        <f>"Vsig8"</f>
        <v>Vsig8</v>
      </c>
      <c r="B22611" t="s">
        <v>14</v>
      </c>
      <c r="C22611" t="s">
        <v>19</v>
      </c>
      <c r="D22611" t="s">
        <v>17</v>
      </c>
      <c r="E22611" t="s">
        <v>12</v>
      </c>
      <c r="F22611">
        <v>172555932</v>
      </c>
      <c r="G22611">
        <v>172555942</v>
      </c>
      <c r="H22611">
        <v>172555969</v>
      </c>
      <c r="I22611">
        <v>172556005</v>
      </c>
    </row>
    <row r="22612" spans="1:9" x14ac:dyDescent="0.2">
      <c r="A22612" t="str">
        <f>"Vsnl1"</f>
        <v>Vsnl1</v>
      </c>
      <c r="B22612" t="s">
        <v>14</v>
      </c>
      <c r="C22612" t="s">
        <v>16</v>
      </c>
      <c r="D22612" t="s">
        <v>11</v>
      </c>
      <c r="E22612" t="s">
        <v>12</v>
      </c>
      <c r="F22612">
        <v>11436550</v>
      </c>
      <c r="G22612">
        <v>11436603</v>
      </c>
      <c r="H22612">
        <v>11436607</v>
      </c>
      <c r="I22612">
        <v>11436618</v>
      </c>
    </row>
    <row r="22613" spans="1:9" x14ac:dyDescent="0.2">
      <c r="A22613" t="str">
        <f>"Vstm2a"</f>
        <v>Vstm2a</v>
      </c>
      <c r="B22613" t="s">
        <v>14</v>
      </c>
      <c r="C22613" t="s">
        <v>27</v>
      </c>
      <c r="D22613" t="s">
        <v>17</v>
      </c>
      <c r="E22613" t="s">
        <v>12</v>
      </c>
      <c r="F22613">
        <v>16257706</v>
      </c>
      <c r="G22613">
        <v>16257808</v>
      </c>
      <c r="H22613">
        <v>16257867</v>
      </c>
      <c r="I22613">
        <v>16257878</v>
      </c>
    </row>
    <row r="22614" spans="1:9" x14ac:dyDescent="0.2">
      <c r="A22614" t="str">
        <f>"Vstm2b"</f>
        <v>Vstm2b</v>
      </c>
      <c r="B22614" t="s">
        <v>14</v>
      </c>
      <c r="C22614" t="s">
        <v>33</v>
      </c>
      <c r="D22614" t="s">
        <v>17</v>
      </c>
      <c r="E22614" t="s">
        <v>12</v>
      </c>
      <c r="F22614">
        <v>40898783</v>
      </c>
      <c r="G22614">
        <v>40898819</v>
      </c>
      <c r="H22614">
        <v>40898783</v>
      </c>
      <c r="I22614">
        <v>40898819</v>
      </c>
    </row>
    <row r="22615" spans="1:9" x14ac:dyDescent="0.2">
      <c r="A22615" t="str">
        <f>"Vstm2l"</f>
        <v>Vstm2l</v>
      </c>
      <c r="B22615" t="s">
        <v>14</v>
      </c>
      <c r="C22615" t="s">
        <v>26</v>
      </c>
      <c r="D22615" t="s">
        <v>17</v>
      </c>
      <c r="E22615" t="s">
        <v>12</v>
      </c>
      <c r="F22615">
        <v>157914618</v>
      </c>
      <c r="G22615">
        <v>157914653</v>
      </c>
      <c r="H22615">
        <v>157914660</v>
      </c>
      <c r="I22615">
        <v>157914671</v>
      </c>
    </row>
    <row r="22616" spans="1:9" x14ac:dyDescent="0.2">
      <c r="A22616" t="str">
        <f>"Vstm4"</f>
        <v>Vstm4</v>
      </c>
      <c r="B22616" t="s">
        <v>14</v>
      </c>
      <c r="C22616" t="s">
        <v>41</v>
      </c>
      <c r="D22616" t="s">
        <v>17</v>
      </c>
      <c r="E22616" t="s">
        <v>67</v>
      </c>
      <c r="F22616">
        <v>32856782</v>
      </c>
      <c r="G22616">
        <v>32856808</v>
      </c>
      <c r="H22616">
        <v>32856856</v>
      </c>
      <c r="I22616">
        <v>32856895</v>
      </c>
    </row>
    <row r="22617" spans="1:9" x14ac:dyDescent="0.2">
      <c r="A22617" t="str">
        <f>"Vstm5"</f>
        <v>Vstm5</v>
      </c>
      <c r="B22617" t="s">
        <v>14</v>
      </c>
      <c r="C22617" t="s">
        <v>24</v>
      </c>
      <c r="D22617" t="s">
        <v>17</v>
      </c>
      <c r="E22617" t="s">
        <v>67</v>
      </c>
      <c r="F22617">
        <v>15239066</v>
      </c>
      <c r="G22617">
        <v>15239155</v>
      </c>
      <c r="H22617">
        <v>15239179</v>
      </c>
      <c r="I22617">
        <v>15239256</v>
      </c>
    </row>
    <row r="22618" spans="1:9" x14ac:dyDescent="0.2">
      <c r="A22618" t="str">
        <f>"Vsx1"</f>
        <v>Vsx1</v>
      </c>
      <c r="B22618" t="s">
        <v>14</v>
      </c>
      <c r="C22618" t="s">
        <v>26</v>
      </c>
      <c r="D22618" t="s">
        <v>11</v>
      </c>
      <c r="E22618" t="s">
        <v>12</v>
      </c>
      <c r="F22618">
        <v>150689014</v>
      </c>
      <c r="G22618">
        <v>150689020</v>
      </c>
      <c r="H22618">
        <v>150689149</v>
      </c>
      <c r="I22618">
        <v>150689150</v>
      </c>
    </row>
    <row r="22619" spans="1:9" x14ac:dyDescent="0.2">
      <c r="A22619" t="str">
        <f>"Vsx2"</f>
        <v>Vsx2</v>
      </c>
      <c r="B22619" t="s">
        <v>14</v>
      </c>
      <c r="C22619" t="s">
        <v>16</v>
      </c>
      <c r="D22619" t="s">
        <v>17</v>
      </c>
      <c r="E22619" t="s">
        <v>12</v>
      </c>
      <c r="F22619">
        <v>84569821</v>
      </c>
      <c r="G22619">
        <v>84569835</v>
      </c>
      <c r="H22619">
        <v>84569528</v>
      </c>
      <c r="I22619">
        <v>84569557</v>
      </c>
    </row>
    <row r="22620" spans="1:9" x14ac:dyDescent="0.2">
      <c r="A22620" t="str">
        <f>"Vta1"</f>
        <v>Vta1</v>
      </c>
      <c r="B22620" t="s">
        <v>14</v>
      </c>
      <c r="C22620" t="s">
        <v>15</v>
      </c>
      <c r="D22620" t="s">
        <v>11</v>
      </c>
      <c r="E22620" t="s">
        <v>12</v>
      </c>
      <c r="F22620">
        <v>14705459</v>
      </c>
      <c r="G22620">
        <v>14705515</v>
      </c>
      <c r="H22620">
        <v>14705459</v>
      </c>
      <c r="I22620">
        <v>14705515</v>
      </c>
    </row>
    <row r="22621" spans="1:9" x14ac:dyDescent="0.2">
      <c r="A22621" t="str">
        <f>"Vtcn1"</f>
        <v>Vtcn1</v>
      </c>
      <c r="B22621" t="s">
        <v>14</v>
      </c>
      <c r="C22621" t="s">
        <v>22</v>
      </c>
      <c r="D22621" t="s">
        <v>17</v>
      </c>
      <c r="E22621" t="s">
        <v>12</v>
      </c>
      <c r="F22621">
        <v>100825452</v>
      </c>
      <c r="G22621">
        <v>100825467</v>
      </c>
      <c r="H22621">
        <v>100825452</v>
      </c>
      <c r="I22621">
        <v>100825467</v>
      </c>
    </row>
    <row r="22622" spans="1:9" x14ac:dyDescent="0.2">
      <c r="A22622" t="str">
        <f>"Vti1a"</f>
        <v>Vti1a</v>
      </c>
      <c r="B22622" t="s">
        <v>14</v>
      </c>
      <c r="C22622" t="s">
        <v>10</v>
      </c>
      <c r="D22622" t="s">
        <v>17</v>
      </c>
      <c r="E22622" t="s">
        <v>12</v>
      </c>
      <c r="F22622">
        <v>55316313</v>
      </c>
      <c r="G22622">
        <v>55316367</v>
      </c>
      <c r="H22622">
        <v>55316278</v>
      </c>
      <c r="I22622">
        <v>55316305</v>
      </c>
    </row>
    <row r="22623" spans="1:9" x14ac:dyDescent="0.2">
      <c r="A22623" t="str">
        <f>"Vti1b"</f>
        <v>Vti1b</v>
      </c>
      <c r="B22623" t="s">
        <v>14</v>
      </c>
      <c r="C22623" t="s">
        <v>16</v>
      </c>
      <c r="D22623" t="s">
        <v>11</v>
      </c>
      <c r="E22623" t="s">
        <v>12</v>
      </c>
      <c r="F22623">
        <v>79172412</v>
      </c>
      <c r="G22623">
        <v>79172473</v>
      </c>
      <c r="H22623">
        <v>79172609</v>
      </c>
      <c r="I22623">
        <v>79172672</v>
      </c>
    </row>
    <row r="22624" spans="1:9" x14ac:dyDescent="0.2">
      <c r="A22624" t="str">
        <f>"Vtn"</f>
        <v>Vtn</v>
      </c>
      <c r="B22624" t="s">
        <v>14</v>
      </c>
      <c r="C22624" t="s">
        <v>27</v>
      </c>
      <c r="D22624" t="s">
        <v>17</v>
      </c>
      <c r="E22624" t="s">
        <v>12</v>
      </c>
      <c r="F22624">
        <v>78499246</v>
      </c>
      <c r="G22624">
        <v>78499272</v>
      </c>
      <c r="H22624">
        <v>78499087</v>
      </c>
      <c r="I22624">
        <v>78499123</v>
      </c>
    </row>
    <row r="22625" spans="1:9" x14ac:dyDescent="0.2">
      <c r="A22625" t="str">
        <f>"Vwa1"</f>
        <v>Vwa1</v>
      </c>
      <c r="B22625" t="s">
        <v>14</v>
      </c>
      <c r="C22625" t="s">
        <v>23</v>
      </c>
      <c r="D22625" t="s">
        <v>11</v>
      </c>
      <c r="E22625" t="s">
        <v>12</v>
      </c>
      <c r="F22625">
        <v>155774503</v>
      </c>
      <c r="G22625">
        <v>155774555</v>
      </c>
      <c r="H22625">
        <v>155774563</v>
      </c>
      <c r="I22625">
        <v>155774574</v>
      </c>
    </row>
    <row r="22626" spans="1:9" x14ac:dyDescent="0.2">
      <c r="A22626" t="str">
        <f>"Vwa2"</f>
        <v>Vwa2</v>
      </c>
      <c r="B22626" t="s">
        <v>14</v>
      </c>
      <c r="C22626" t="s">
        <v>10</v>
      </c>
      <c r="D22626" t="s">
        <v>17</v>
      </c>
      <c r="E22626" t="s">
        <v>12</v>
      </c>
      <c r="F22626">
        <v>56874403</v>
      </c>
      <c r="G22626">
        <v>56874474</v>
      </c>
      <c r="H22626">
        <v>56874277</v>
      </c>
      <c r="I22626">
        <v>56874325</v>
      </c>
    </row>
    <row r="22627" spans="1:9" x14ac:dyDescent="0.2">
      <c r="A22627" t="str">
        <f>"Vwa3a"</f>
        <v>Vwa3a</v>
      </c>
      <c r="B22627" t="s">
        <v>14</v>
      </c>
      <c r="C22627" t="s">
        <v>33</v>
      </c>
      <c r="D22627" t="s">
        <v>17</v>
      </c>
      <c r="E22627" t="s">
        <v>12</v>
      </c>
      <c r="F22627">
        <v>120740037</v>
      </c>
      <c r="G22627">
        <v>120740051</v>
      </c>
      <c r="H22627">
        <v>120740005</v>
      </c>
      <c r="I22627">
        <v>120740036</v>
      </c>
    </row>
    <row r="22628" spans="1:9" x14ac:dyDescent="0.2">
      <c r="A22628" t="str">
        <f>"Vwa3b"</f>
        <v>Vwa3b</v>
      </c>
      <c r="B22628" t="s">
        <v>14</v>
      </c>
      <c r="C22628" t="s">
        <v>19</v>
      </c>
      <c r="D22628" t="s">
        <v>17</v>
      </c>
      <c r="E22628" t="s">
        <v>67</v>
      </c>
      <c r="F22628">
        <v>37153840</v>
      </c>
      <c r="G22628">
        <v>37153857</v>
      </c>
      <c r="H22628">
        <v>37153858</v>
      </c>
      <c r="I22628">
        <v>37153870</v>
      </c>
    </row>
    <row r="22629" spans="1:9" x14ac:dyDescent="0.2">
      <c r="A22629" t="str">
        <f>"Vwa5a"</f>
        <v>Vwa5a</v>
      </c>
      <c r="B22629" t="s">
        <v>14</v>
      </c>
      <c r="C22629" t="s">
        <v>24</v>
      </c>
      <c r="D22629" t="s">
        <v>17</v>
      </c>
      <c r="E22629" t="s">
        <v>12</v>
      </c>
      <c r="F22629">
        <v>38718281</v>
      </c>
      <c r="G22629">
        <v>38718326</v>
      </c>
      <c r="H22629">
        <v>38718328</v>
      </c>
      <c r="I22629">
        <v>38718341</v>
      </c>
    </row>
    <row r="22630" spans="1:9" x14ac:dyDescent="0.2">
      <c r="A22630" t="str">
        <f>"Vwa5b1"</f>
        <v>Vwa5b1</v>
      </c>
      <c r="B22630" t="s">
        <v>9</v>
      </c>
      <c r="C22630" t="s">
        <v>23</v>
      </c>
      <c r="D22630" t="s">
        <v>11</v>
      </c>
      <c r="E22630" t="s">
        <v>12</v>
      </c>
      <c r="F22630">
        <v>138635906</v>
      </c>
      <c r="G22630">
        <v>138635925</v>
      </c>
      <c r="H22630">
        <v>138635906</v>
      </c>
      <c r="I22630">
        <v>138635925</v>
      </c>
    </row>
    <row r="22631" spans="1:9" x14ac:dyDescent="0.2">
      <c r="A22631" t="str">
        <f>"Vwa5b1"</f>
        <v>Vwa5b1</v>
      </c>
      <c r="B22631" t="s">
        <v>13</v>
      </c>
      <c r="C22631" t="s">
        <v>23</v>
      </c>
      <c r="D22631" t="s">
        <v>11</v>
      </c>
      <c r="E22631" t="s">
        <v>12</v>
      </c>
      <c r="F22631">
        <v>138623978</v>
      </c>
      <c r="G22631">
        <v>138623999</v>
      </c>
      <c r="H22631">
        <v>138623978</v>
      </c>
      <c r="I22631">
        <v>138623999</v>
      </c>
    </row>
    <row r="22632" spans="1:9" x14ac:dyDescent="0.2">
      <c r="A22632" t="str">
        <f>"Vwa5b2"</f>
        <v>Vwa5b2</v>
      </c>
      <c r="B22632" t="s">
        <v>14</v>
      </c>
      <c r="C22632" t="s">
        <v>31</v>
      </c>
      <c r="D22632" t="s">
        <v>17</v>
      </c>
      <c r="E22632" t="s">
        <v>12</v>
      </c>
      <c r="F22632">
        <v>20590146</v>
      </c>
      <c r="G22632">
        <v>20590174</v>
      </c>
      <c r="H22632">
        <v>20590088</v>
      </c>
      <c r="I22632">
        <v>20590115</v>
      </c>
    </row>
    <row r="22633" spans="1:9" x14ac:dyDescent="0.2">
      <c r="A22633" t="str">
        <f>"Vwa7"</f>
        <v>Vwa7</v>
      </c>
      <c r="B22633" t="s">
        <v>14</v>
      </c>
      <c r="C22633" t="s">
        <v>28</v>
      </c>
      <c r="D22633" t="s">
        <v>17</v>
      </c>
      <c r="E22633" t="s">
        <v>67</v>
      </c>
      <c r="F22633">
        <v>35016518</v>
      </c>
      <c r="G22633">
        <v>35016546</v>
      </c>
      <c r="H22633">
        <v>35016576</v>
      </c>
      <c r="I22633">
        <v>35016604</v>
      </c>
    </row>
    <row r="22634" spans="1:9" x14ac:dyDescent="0.2">
      <c r="A22634" t="str">
        <f>"Vwa8"</f>
        <v>Vwa8</v>
      </c>
      <c r="B22634" t="s">
        <v>14</v>
      </c>
      <c r="C22634" t="s">
        <v>41</v>
      </c>
      <c r="D22634" t="s">
        <v>17</v>
      </c>
      <c r="E22634" t="s">
        <v>67</v>
      </c>
      <c r="F22634">
        <v>78849171</v>
      </c>
      <c r="G22634">
        <v>78849220</v>
      </c>
      <c r="H22634">
        <v>78849155</v>
      </c>
      <c r="I22634">
        <v>78849166</v>
      </c>
    </row>
    <row r="22635" spans="1:9" x14ac:dyDescent="0.2">
      <c r="A22635" t="str">
        <f>"Vwa9"</f>
        <v>Vwa9</v>
      </c>
      <c r="B22635" t="s">
        <v>14</v>
      </c>
      <c r="C22635" t="s">
        <v>24</v>
      </c>
      <c r="D22635" t="s">
        <v>17</v>
      </c>
      <c r="E22635" t="s">
        <v>67</v>
      </c>
      <c r="F22635">
        <v>64960846</v>
      </c>
      <c r="G22635">
        <v>64960891</v>
      </c>
      <c r="H22635">
        <v>64960892</v>
      </c>
      <c r="I22635">
        <v>64960921</v>
      </c>
    </row>
    <row r="22636" spans="1:9" x14ac:dyDescent="0.2">
      <c r="A22636" t="str">
        <f>"Vwc2"</f>
        <v>Vwc2</v>
      </c>
      <c r="B22636" t="s">
        <v>9</v>
      </c>
      <c r="C22636" t="s">
        <v>27</v>
      </c>
      <c r="D22636" t="s">
        <v>17</v>
      </c>
      <c r="E22636" t="s">
        <v>12</v>
      </c>
      <c r="F22636">
        <v>11114125</v>
      </c>
      <c r="G22636">
        <v>11114148</v>
      </c>
      <c r="H22636">
        <v>11114125</v>
      </c>
      <c r="I22636">
        <v>11114148</v>
      </c>
    </row>
    <row r="22637" spans="1:9" x14ac:dyDescent="0.2">
      <c r="A22637" t="str">
        <f>"Vwc2"</f>
        <v>Vwc2</v>
      </c>
      <c r="B22637" t="s">
        <v>13</v>
      </c>
      <c r="C22637" t="s">
        <v>27</v>
      </c>
      <c r="D22637" t="s">
        <v>17</v>
      </c>
      <c r="E22637" t="s">
        <v>12</v>
      </c>
      <c r="F22637">
        <v>11115784</v>
      </c>
      <c r="G22637">
        <v>11115790</v>
      </c>
      <c r="H22637">
        <v>11115784</v>
      </c>
      <c r="I22637">
        <v>11115790</v>
      </c>
    </row>
    <row r="22638" spans="1:9" x14ac:dyDescent="0.2">
      <c r="A22638" t="str">
        <f>"Vwc2l"</f>
        <v>Vwc2l</v>
      </c>
      <c r="B22638" t="s">
        <v>14</v>
      </c>
      <c r="C22638" t="s">
        <v>19</v>
      </c>
      <c r="D22638" t="s">
        <v>17</v>
      </c>
      <c r="E22638" t="s">
        <v>12</v>
      </c>
      <c r="F22638">
        <v>70725746</v>
      </c>
      <c r="G22638">
        <v>70725784</v>
      </c>
      <c r="H22638">
        <v>70725814</v>
      </c>
      <c r="I22638">
        <v>70725830</v>
      </c>
    </row>
    <row r="22639" spans="1:9" x14ac:dyDescent="0.2">
      <c r="A22639" t="str">
        <f>"Vwce"</f>
        <v>Vwce</v>
      </c>
      <c r="B22639" t="s">
        <v>14</v>
      </c>
      <c r="C22639" t="s">
        <v>10</v>
      </c>
      <c r="D22639" t="s">
        <v>17</v>
      </c>
      <c r="E22639" t="s">
        <v>12</v>
      </c>
      <c r="F22639">
        <v>10634223</v>
      </c>
      <c r="G22639">
        <v>10634245</v>
      </c>
      <c r="H22639">
        <v>10634255</v>
      </c>
      <c r="I22639">
        <v>10634285</v>
      </c>
    </row>
    <row r="22640" spans="1:9" x14ac:dyDescent="0.2">
      <c r="A22640" t="str">
        <f>"Vwde"</f>
        <v>Vwde</v>
      </c>
      <c r="B22640" t="s">
        <v>14</v>
      </c>
      <c r="C22640" t="s">
        <v>32</v>
      </c>
      <c r="D22640" t="s">
        <v>11</v>
      </c>
      <c r="E22640" t="s">
        <v>12</v>
      </c>
      <c r="F22640">
        <v>13224985</v>
      </c>
      <c r="G22640">
        <v>13224998</v>
      </c>
      <c r="H22640">
        <v>13224985</v>
      </c>
      <c r="I22640">
        <v>13224998</v>
      </c>
    </row>
    <row r="22641" spans="1:9" x14ac:dyDescent="0.2">
      <c r="A22641" t="str">
        <f>"Vwf"</f>
        <v>Vwf</v>
      </c>
      <c r="B22641" t="s">
        <v>14</v>
      </c>
      <c r="C22641" t="s">
        <v>32</v>
      </c>
      <c r="D22641" t="s">
        <v>17</v>
      </c>
      <c r="E22641" t="s">
        <v>12</v>
      </c>
      <c r="F22641">
        <v>125552953</v>
      </c>
      <c r="G22641">
        <v>125552980</v>
      </c>
      <c r="H22641">
        <v>125552933</v>
      </c>
      <c r="I22641">
        <v>125552938</v>
      </c>
    </row>
    <row r="22642" spans="1:9" x14ac:dyDescent="0.2">
      <c r="A22642" t="str">
        <f>"Wac"</f>
        <v>Wac</v>
      </c>
      <c r="B22642" t="s">
        <v>14</v>
      </c>
      <c r="C22642" t="s">
        <v>43</v>
      </c>
      <c r="D22642" t="s">
        <v>17</v>
      </c>
      <c r="E22642" t="s">
        <v>12</v>
      </c>
      <c r="F22642">
        <v>7868823</v>
      </c>
      <c r="G22642">
        <v>7868862</v>
      </c>
      <c r="H22642">
        <v>7869159</v>
      </c>
      <c r="I22642">
        <v>7869209</v>
      </c>
    </row>
    <row r="22643" spans="1:9" x14ac:dyDescent="0.2">
      <c r="A22643" t="str">
        <f>"Wap"</f>
        <v>Wap</v>
      </c>
      <c r="B22643" t="s">
        <v>14</v>
      </c>
      <c r="C22643" t="s">
        <v>27</v>
      </c>
      <c r="D22643" t="s">
        <v>11</v>
      </c>
      <c r="E22643" t="s">
        <v>12</v>
      </c>
      <c r="F22643">
        <v>6638640</v>
      </c>
      <c r="G22643">
        <v>6638655</v>
      </c>
      <c r="H22643">
        <v>6638640</v>
      </c>
      <c r="I22643">
        <v>6638655</v>
      </c>
    </row>
    <row r="22644" spans="1:9" x14ac:dyDescent="0.2">
      <c r="A22644" t="str">
        <f>"Wapal"</f>
        <v>Wapal</v>
      </c>
      <c r="B22644" t="s">
        <v>14</v>
      </c>
      <c r="C22644" t="s">
        <v>41</v>
      </c>
      <c r="D22644" t="s">
        <v>17</v>
      </c>
      <c r="E22644" t="s">
        <v>12</v>
      </c>
      <c r="F22644">
        <v>34673888</v>
      </c>
      <c r="G22644">
        <v>34673930</v>
      </c>
      <c r="H22644">
        <v>34673948</v>
      </c>
      <c r="I22644">
        <v>34673965</v>
      </c>
    </row>
    <row r="22645" spans="1:9" x14ac:dyDescent="0.2">
      <c r="A22645" t="str">
        <f>"Wars"</f>
        <v>Wars</v>
      </c>
      <c r="B22645" t="s">
        <v>14</v>
      </c>
      <c r="C22645" t="s">
        <v>16</v>
      </c>
      <c r="D22645" t="s">
        <v>11</v>
      </c>
      <c r="E22645" t="s">
        <v>12</v>
      </c>
      <c r="F22645">
        <v>108894116</v>
      </c>
      <c r="G22645">
        <v>108894170</v>
      </c>
      <c r="H22645">
        <v>108893198</v>
      </c>
      <c r="I22645">
        <v>108893215</v>
      </c>
    </row>
    <row r="22646" spans="1:9" x14ac:dyDescent="0.2">
      <c r="A22646" t="str">
        <f>"Wars2"</f>
        <v>Wars2</v>
      </c>
      <c r="B22646" t="s">
        <v>14</v>
      </c>
      <c r="C22646" t="s">
        <v>22</v>
      </c>
      <c r="D22646" t="s">
        <v>17</v>
      </c>
      <c r="E22646" t="s">
        <v>12</v>
      </c>
      <c r="F22646">
        <v>99141081</v>
      </c>
      <c r="G22646">
        <v>99141103</v>
      </c>
      <c r="H22646">
        <v>99141081</v>
      </c>
      <c r="I22646">
        <v>99141103</v>
      </c>
    </row>
    <row r="22647" spans="1:9" x14ac:dyDescent="0.2">
      <c r="A22647" t="str">
        <f>"Was"</f>
        <v>Was</v>
      </c>
      <c r="B22647" t="s">
        <v>14</v>
      </c>
      <c r="C22647" t="s">
        <v>37</v>
      </c>
      <c r="D22647" t="s">
        <v>11</v>
      </c>
      <c r="E22647" t="s">
        <v>12</v>
      </c>
      <c r="F22647">
        <v>8090442</v>
      </c>
      <c r="G22647">
        <v>8090494</v>
      </c>
      <c r="H22647">
        <v>8090435</v>
      </c>
      <c r="I22647">
        <v>8090439</v>
      </c>
    </row>
    <row r="22648" spans="1:9" x14ac:dyDescent="0.2">
      <c r="A22648" t="str">
        <f>"Wasf1"</f>
        <v>Wasf1</v>
      </c>
      <c r="B22648" t="s">
        <v>14</v>
      </c>
      <c r="C22648" t="s">
        <v>15</v>
      </c>
      <c r="D22648" t="s">
        <v>17</v>
      </c>
      <c r="E22648" t="s">
        <v>12</v>
      </c>
      <c r="F22648">
        <v>40883819</v>
      </c>
      <c r="G22648">
        <v>40883862</v>
      </c>
      <c r="H22648">
        <v>40883520</v>
      </c>
      <c r="I22648">
        <v>40883598</v>
      </c>
    </row>
    <row r="22649" spans="1:9" x14ac:dyDescent="0.2">
      <c r="A22649" t="str">
        <f>"Wasf2"</f>
        <v>Wasf2</v>
      </c>
      <c r="B22649" t="s">
        <v>14</v>
      </c>
      <c r="C22649" t="s">
        <v>23</v>
      </c>
      <c r="D22649" t="s">
        <v>17</v>
      </c>
      <c r="E22649" t="s">
        <v>12</v>
      </c>
      <c r="F22649">
        <v>133130534</v>
      </c>
      <c r="G22649">
        <v>133130590</v>
      </c>
      <c r="H22649">
        <v>133130613</v>
      </c>
      <c r="I22649">
        <v>133130636</v>
      </c>
    </row>
    <row r="22650" spans="1:9" x14ac:dyDescent="0.2">
      <c r="A22650" t="str">
        <f>"Wasf3"</f>
        <v>Wasf3</v>
      </c>
      <c r="B22650" t="s">
        <v>14</v>
      </c>
      <c r="C22650" t="s">
        <v>46</v>
      </c>
      <c r="D22650" t="s">
        <v>17</v>
      </c>
      <c r="E22650" t="s">
        <v>12</v>
      </c>
      <c r="F22650">
        <v>146385262</v>
      </c>
      <c r="G22650">
        <v>146385313</v>
      </c>
      <c r="H22650">
        <v>146385239</v>
      </c>
      <c r="I22650">
        <v>146385252</v>
      </c>
    </row>
    <row r="22651" spans="1:9" x14ac:dyDescent="0.2">
      <c r="A22651" t="str">
        <f>"Wash"</f>
        <v>Wash</v>
      </c>
      <c r="B22651" t="s">
        <v>14</v>
      </c>
      <c r="C22651" t="s">
        <v>28</v>
      </c>
      <c r="D22651" t="s">
        <v>17</v>
      </c>
      <c r="E22651" t="s">
        <v>67</v>
      </c>
      <c r="F22651">
        <v>66111605</v>
      </c>
      <c r="G22651">
        <v>66111665</v>
      </c>
      <c r="H22651">
        <v>66111529</v>
      </c>
      <c r="I22651">
        <v>66111581</v>
      </c>
    </row>
    <row r="22652" spans="1:9" x14ac:dyDescent="0.2">
      <c r="A22652" t="str">
        <f>"Wasl"</f>
        <v>Wasl</v>
      </c>
      <c r="B22652" t="s">
        <v>14</v>
      </c>
      <c r="C22652" t="s">
        <v>32</v>
      </c>
      <c r="D22652" t="s">
        <v>11</v>
      </c>
      <c r="E22652" t="s">
        <v>12</v>
      </c>
      <c r="F22652">
        <v>24664960</v>
      </c>
      <c r="G22652">
        <v>24665038</v>
      </c>
      <c r="H22652">
        <v>24664921</v>
      </c>
      <c r="I22652">
        <v>24664957</v>
      </c>
    </row>
    <row r="22653" spans="1:9" x14ac:dyDescent="0.2">
      <c r="A22653" t="str">
        <f>"Wbp1"</f>
        <v>Wbp1</v>
      </c>
      <c r="B22653" t="s">
        <v>14</v>
      </c>
      <c r="C22653" t="s">
        <v>32</v>
      </c>
      <c r="D22653" t="s">
        <v>11</v>
      </c>
      <c r="E22653" t="s">
        <v>12</v>
      </c>
      <c r="F22653">
        <v>83121385</v>
      </c>
      <c r="G22653">
        <v>83121470</v>
      </c>
      <c r="H22653">
        <v>83121541</v>
      </c>
      <c r="I22653">
        <v>83121566</v>
      </c>
    </row>
    <row r="22654" spans="1:9" x14ac:dyDescent="0.2">
      <c r="A22654" t="str">
        <f>"Wbp11"</f>
        <v>Wbp11</v>
      </c>
      <c r="B22654" t="s">
        <v>14</v>
      </c>
      <c r="C22654" t="s">
        <v>32</v>
      </c>
      <c r="D22654" t="s">
        <v>11</v>
      </c>
      <c r="E22654" t="s">
        <v>12</v>
      </c>
      <c r="F22654">
        <v>136828124</v>
      </c>
      <c r="G22654">
        <v>136828179</v>
      </c>
      <c r="H22654">
        <v>136828124</v>
      </c>
      <c r="I22654">
        <v>136828179</v>
      </c>
    </row>
    <row r="22655" spans="1:9" x14ac:dyDescent="0.2">
      <c r="A22655" t="str">
        <f>"Wbp1l"</f>
        <v>Wbp1l</v>
      </c>
      <c r="B22655" t="s">
        <v>14</v>
      </c>
      <c r="C22655" t="s">
        <v>10</v>
      </c>
      <c r="D22655" t="s">
        <v>17</v>
      </c>
      <c r="E22655" t="s">
        <v>67</v>
      </c>
      <c r="F22655">
        <v>46623387</v>
      </c>
      <c r="G22655">
        <v>46623451</v>
      </c>
      <c r="H22655">
        <v>46623387</v>
      </c>
      <c r="I22655">
        <v>46623451</v>
      </c>
    </row>
    <row r="22656" spans="1:9" x14ac:dyDescent="0.2">
      <c r="A22656" t="str">
        <f>"Wbp2"</f>
        <v>Wbp2</v>
      </c>
      <c r="B22656" t="s">
        <v>14</v>
      </c>
      <c r="C22656" t="s">
        <v>27</v>
      </c>
      <c r="D22656" t="s">
        <v>11</v>
      </c>
      <c r="E22656" t="s">
        <v>12</v>
      </c>
      <c r="F22656">
        <v>116086929</v>
      </c>
      <c r="G22656">
        <v>116086979</v>
      </c>
      <c r="H22656">
        <v>116086929</v>
      </c>
      <c r="I22656">
        <v>116086979</v>
      </c>
    </row>
    <row r="22657" spans="1:9" x14ac:dyDescent="0.2">
      <c r="A22657" t="str">
        <f>"Wbp2nl"</f>
        <v>Wbp2nl</v>
      </c>
      <c r="B22657" t="s">
        <v>14</v>
      </c>
      <c r="C22657" t="s">
        <v>25</v>
      </c>
      <c r="D22657" t="s">
        <v>17</v>
      </c>
      <c r="E22657" t="s">
        <v>12</v>
      </c>
      <c r="F22657">
        <v>82298943</v>
      </c>
      <c r="G22657">
        <v>82298963</v>
      </c>
      <c r="H22657">
        <v>82298943</v>
      </c>
      <c r="I22657">
        <v>82298963</v>
      </c>
    </row>
    <row r="22658" spans="1:9" x14ac:dyDescent="0.2">
      <c r="A22658" t="str">
        <f>"Wbp4"</f>
        <v>Wbp4</v>
      </c>
      <c r="B22658" t="s">
        <v>14</v>
      </c>
      <c r="C22658" t="s">
        <v>41</v>
      </c>
      <c r="D22658" t="s">
        <v>11</v>
      </c>
      <c r="E22658" t="s">
        <v>12</v>
      </c>
      <c r="F22658">
        <v>79481024</v>
      </c>
      <c r="G22658">
        <v>79481076</v>
      </c>
      <c r="H22658">
        <v>79481450</v>
      </c>
      <c r="I22658">
        <v>79481514</v>
      </c>
    </row>
    <row r="22659" spans="1:9" x14ac:dyDescent="0.2">
      <c r="A22659" t="str">
        <f>"Wbp5"</f>
        <v>Wbp5</v>
      </c>
      <c r="B22659" t="s">
        <v>14</v>
      </c>
      <c r="C22659" t="s">
        <v>37</v>
      </c>
      <c r="D22659" t="s">
        <v>17</v>
      </c>
      <c r="E22659" t="s">
        <v>12</v>
      </c>
      <c r="F22659">
        <v>136245117</v>
      </c>
      <c r="G22659">
        <v>136245175</v>
      </c>
      <c r="H22659">
        <v>136245065</v>
      </c>
      <c r="I22659">
        <v>136245102</v>
      </c>
    </row>
    <row r="22660" spans="1:9" x14ac:dyDescent="0.2">
      <c r="A22660" t="str">
        <f>"Wbscr16"</f>
        <v>Wbscr16</v>
      </c>
      <c r="B22660" t="s">
        <v>14</v>
      </c>
      <c r="C22660" t="s">
        <v>46</v>
      </c>
      <c r="D22660" t="s">
        <v>11</v>
      </c>
      <c r="E22660" t="s">
        <v>12</v>
      </c>
      <c r="F22660">
        <v>134176720</v>
      </c>
      <c r="G22660">
        <v>134176784</v>
      </c>
      <c r="H22660">
        <v>134176707</v>
      </c>
      <c r="I22660">
        <v>134176716</v>
      </c>
    </row>
    <row r="22661" spans="1:9" x14ac:dyDescent="0.2">
      <c r="A22661" t="str">
        <f>"Wbscr17"</f>
        <v>Wbscr17</v>
      </c>
      <c r="B22661" t="s">
        <v>14</v>
      </c>
      <c r="C22661" t="s">
        <v>46</v>
      </c>
      <c r="D22661" t="s">
        <v>11</v>
      </c>
      <c r="E22661" t="s">
        <v>12</v>
      </c>
      <c r="F22661">
        <v>131307254</v>
      </c>
      <c r="G22661">
        <v>131307294</v>
      </c>
      <c r="H22661">
        <v>131307848</v>
      </c>
      <c r="I22661">
        <v>131307932</v>
      </c>
    </row>
    <row r="22662" spans="1:9" x14ac:dyDescent="0.2">
      <c r="A22662" t="str">
        <f>"Wbscr22"</f>
        <v>Wbscr22</v>
      </c>
      <c r="B22662" t="s">
        <v>14</v>
      </c>
      <c r="C22662" t="s">
        <v>46</v>
      </c>
      <c r="D22662" t="s">
        <v>11</v>
      </c>
      <c r="E22662" t="s">
        <v>12</v>
      </c>
      <c r="F22662">
        <v>135064063</v>
      </c>
      <c r="G22662">
        <v>135064116</v>
      </c>
      <c r="H22662">
        <v>135064051</v>
      </c>
      <c r="I22662">
        <v>135064060</v>
      </c>
    </row>
    <row r="22663" spans="1:9" x14ac:dyDescent="0.2">
      <c r="A22663" t="str">
        <f>"Wbscr27"</f>
        <v>Wbscr27</v>
      </c>
      <c r="B22663" t="s">
        <v>14</v>
      </c>
      <c r="C22663" t="s">
        <v>46</v>
      </c>
      <c r="D22663" t="s">
        <v>17</v>
      </c>
      <c r="E22663" t="s">
        <v>12</v>
      </c>
      <c r="F22663">
        <v>134932351</v>
      </c>
      <c r="G22663">
        <v>134932382</v>
      </c>
      <c r="H22663">
        <v>134932398</v>
      </c>
      <c r="I22663">
        <v>134932424</v>
      </c>
    </row>
    <row r="22664" spans="1:9" x14ac:dyDescent="0.2">
      <c r="A22664" t="str">
        <f>"Wbscr28"</f>
        <v>Wbscr28</v>
      </c>
      <c r="B22664" t="s">
        <v>14</v>
      </c>
      <c r="C22664" t="s">
        <v>46</v>
      </c>
      <c r="D22664" t="s">
        <v>11</v>
      </c>
      <c r="E22664" t="s">
        <v>12</v>
      </c>
      <c r="F22664">
        <v>134906726</v>
      </c>
      <c r="G22664">
        <v>134906744</v>
      </c>
      <c r="H22664">
        <v>134906719</v>
      </c>
      <c r="I22664">
        <v>134906724</v>
      </c>
    </row>
    <row r="22665" spans="1:9" x14ac:dyDescent="0.2">
      <c r="A22665" t="str">
        <f>"Wdfy1"</f>
        <v>Wdfy1</v>
      </c>
      <c r="B22665" t="s">
        <v>14</v>
      </c>
      <c r="C22665" t="s">
        <v>19</v>
      </c>
      <c r="D22665" t="s">
        <v>11</v>
      </c>
      <c r="E22665" t="s">
        <v>12</v>
      </c>
      <c r="F22665">
        <v>79761698</v>
      </c>
      <c r="G22665">
        <v>79761748</v>
      </c>
      <c r="H22665">
        <v>79761752</v>
      </c>
      <c r="I22665">
        <v>79761774</v>
      </c>
    </row>
    <row r="22666" spans="1:9" x14ac:dyDescent="0.2">
      <c r="A22666" t="str">
        <f>"Wdfy2"</f>
        <v>Wdfy2</v>
      </c>
      <c r="B22666" t="s">
        <v>14</v>
      </c>
      <c r="C22666" t="s">
        <v>41</v>
      </c>
      <c r="D22666" t="s">
        <v>17</v>
      </c>
      <c r="E22666" t="s">
        <v>12</v>
      </c>
      <c r="F22666">
        <v>62837679</v>
      </c>
      <c r="G22666">
        <v>62837726</v>
      </c>
      <c r="H22666">
        <v>62837729</v>
      </c>
      <c r="I22666">
        <v>62837754</v>
      </c>
    </row>
    <row r="22667" spans="1:9" x14ac:dyDescent="0.2">
      <c r="A22667" t="str">
        <f>"Wdfy3"</f>
        <v>Wdfy3</v>
      </c>
      <c r="B22667" t="s">
        <v>6320</v>
      </c>
      <c r="C22667" t="s">
        <v>46</v>
      </c>
      <c r="D22667" t="s">
        <v>11</v>
      </c>
      <c r="E22667" t="s">
        <v>20</v>
      </c>
      <c r="F22667">
        <v>101981557</v>
      </c>
      <c r="G22667">
        <v>101981557</v>
      </c>
      <c r="H22667">
        <v>101981557</v>
      </c>
      <c r="I22667">
        <v>101981557</v>
      </c>
    </row>
    <row r="22668" spans="1:9" x14ac:dyDescent="0.2">
      <c r="A22668" t="str">
        <f>"Wdfy4"</f>
        <v>Wdfy4</v>
      </c>
      <c r="B22668" t="s">
        <v>14</v>
      </c>
      <c r="C22668" t="s">
        <v>41</v>
      </c>
      <c r="D22668" t="s">
        <v>11</v>
      </c>
      <c r="E22668" t="s">
        <v>12</v>
      </c>
      <c r="F22668">
        <v>33185489</v>
      </c>
      <c r="G22668">
        <v>33185557</v>
      </c>
      <c r="H22668">
        <v>33185139</v>
      </c>
      <c r="I22668">
        <v>33185166</v>
      </c>
    </row>
    <row r="22669" spans="1:9" x14ac:dyDescent="0.2">
      <c r="A22669" t="str">
        <f>"Wdhd1"</f>
        <v>Wdhd1</v>
      </c>
      <c r="B22669" t="s">
        <v>14</v>
      </c>
      <c r="C22669" t="s">
        <v>41</v>
      </c>
      <c r="D22669" t="s">
        <v>11</v>
      </c>
      <c r="E22669" t="s">
        <v>12</v>
      </c>
      <c r="F22669">
        <v>47276792</v>
      </c>
      <c r="G22669">
        <v>47276848</v>
      </c>
      <c r="H22669">
        <v>47276851</v>
      </c>
      <c r="I22669">
        <v>47276864</v>
      </c>
    </row>
    <row r="22670" spans="1:9" x14ac:dyDescent="0.2">
      <c r="A22670" t="str">
        <f>"Wdpcp"</f>
        <v>Wdpcp</v>
      </c>
      <c r="B22670" t="s">
        <v>14</v>
      </c>
      <c r="C22670" t="s">
        <v>27</v>
      </c>
      <c r="D22670" t="s">
        <v>17</v>
      </c>
      <c r="E22670" t="s">
        <v>12</v>
      </c>
      <c r="F22670">
        <v>21572273</v>
      </c>
      <c r="G22670">
        <v>21572334</v>
      </c>
      <c r="H22670">
        <v>21572119</v>
      </c>
      <c r="I22670">
        <v>21572165</v>
      </c>
    </row>
    <row r="22671" spans="1:9" x14ac:dyDescent="0.2">
      <c r="A22671" t="str">
        <f>"Wdr1"</f>
        <v>Wdr1</v>
      </c>
      <c r="B22671" t="s">
        <v>14</v>
      </c>
      <c r="C22671" t="s">
        <v>46</v>
      </c>
      <c r="D22671" t="s">
        <v>11</v>
      </c>
      <c r="E22671" t="s">
        <v>12</v>
      </c>
      <c r="F22671">
        <v>38561554</v>
      </c>
      <c r="G22671">
        <v>38561622</v>
      </c>
      <c r="H22671">
        <v>38561682</v>
      </c>
      <c r="I22671">
        <v>38561732</v>
      </c>
    </row>
    <row r="22672" spans="1:9" x14ac:dyDescent="0.2">
      <c r="A22672" t="str">
        <f>"Wdr11"</f>
        <v>Wdr11</v>
      </c>
      <c r="B22672" t="s">
        <v>14</v>
      </c>
      <c r="C22672" t="s">
        <v>33</v>
      </c>
      <c r="D22672" t="s">
        <v>17</v>
      </c>
      <c r="E22672" t="s">
        <v>12</v>
      </c>
      <c r="F22672">
        <v>129591897</v>
      </c>
      <c r="G22672">
        <v>129591943</v>
      </c>
      <c r="H22672">
        <v>129591859</v>
      </c>
      <c r="I22672">
        <v>129591871</v>
      </c>
    </row>
    <row r="22673" spans="1:9" x14ac:dyDescent="0.2">
      <c r="A22673" t="str">
        <f>"Wdr12"</f>
        <v>Wdr12</v>
      </c>
      <c r="B22673" t="s">
        <v>14</v>
      </c>
      <c r="C22673" t="s">
        <v>19</v>
      </c>
      <c r="D22673" t="s">
        <v>11</v>
      </c>
      <c r="E22673" t="s">
        <v>12</v>
      </c>
      <c r="F22673">
        <v>60097612</v>
      </c>
      <c r="G22673">
        <v>60097702</v>
      </c>
      <c r="H22673">
        <v>60097893</v>
      </c>
      <c r="I22673">
        <v>60097924</v>
      </c>
    </row>
    <row r="22674" spans="1:9" x14ac:dyDescent="0.2">
      <c r="A22674" t="str">
        <f>"Wdr13"</f>
        <v>Wdr13</v>
      </c>
      <c r="B22674" t="s">
        <v>14</v>
      </c>
      <c r="C22674" t="s">
        <v>37</v>
      </c>
      <c r="D22674" t="s">
        <v>11</v>
      </c>
      <c r="E22674" t="s">
        <v>12</v>
      </c>
      <c r="F22674">
        <v>8132793</v>
      </c>
      <c r="G22674">
        <v>8132857</v>
      </c>
      <c r="H22674">
        <v>8132512</v>
      </c>
      <c r="I22674">
        <v>8132581</v>
      </c>
    </row>
    <row r="22675" spans="1:9" x14ac:dyDescent="0.2">
      <c r="A22675" t="str">
        <f>"Wdr16"</f>
        <v>Wdr16</v>
      </c>
      <c r="B22675" t="s">
        <v>14</v>
      </c>
      <c r="C22675" t="s">
        <v>27</v>
      </c>
      <c r="D22675" t="s">
        <v>11</v>
      </c>
      <c r="E22675" t="s">
        <v>12</v>
      </c>
      <c r="F22675">
        <v>67965631</v>
      </c>
      <c r="G22675">
        <v>67965663</v>
      </c>
      <c r="H22675">
        <v>67965606</v>
      </c>
      <c r="I22675">
        <v>67965630</v>
      </c>
    </row>
    <row r="22676" spans="1:9" x14ac:dyDescent="0.2">
      <c r="A22676" t="str">
        <f>"Wdr17"</f>
        <v>Wdr17</v>
      </c>
      <c r="B22676" t="s">
        <v>14</v>
      </c>
      <c r="C22676" t="s">
        <v>30</v>
      </c>
      <c r="D22676" t="s">
        <v>11</v>
      </c>
      <c r="E22676" t="s">
        <v>12</v>
      </c>
      <c r="F22676">
        <v>54724317</v>
      </c>
      <c r="G22676">
        <v>54724373</v>
      </c>
      <c r="H22676">
        <v>54724474</v>
      </c>
      <c r="I22676">
        <v>54724494</v>
      </c>
    </row>
    <row r="22677" spans="1:9" x14ac:dyDescent="0.2">
      <c r="A22677" t="str">
        <f>"Wdr18"</f>
        <v>Wdr18</v>
      </c>
      <c r="B22677" t="s">
        <v>14</v>
      </c>
      <c r="C22677" t="s">
        <v>15</v>
      </c>
      <c r="D22677" t="s">
        <v>17</v>
      </c>
      <c r="E22677" t="s">
        <v>12</v>
      </c>
      <c r="F22677">
        <v>79960145</v>
      </c>
      <c r="G22677">
        <v>79960162</v>
      </c>
      <c r="H22677">
        <v>79960049</v>
      </c>
      <c r="I22677">
        <v>79960079</v>
      </c>
    </row>
    <row r="22678" spans="1:9" x14ac:dyDescent="0.2">
      <c r="A22678" t="str">
        <f>"Wdr19"</f>
        <v>Wdr19</v>
      </c>
      <c r="B22678" t="s">
        <v>14</v>
      </c>
      <c r="C22678" t="s">
        <v>46</v>
      </c>
      <c r="D22678" t="s">
        <v>17</v>
      </c>
      <c r="E22678" t="s">
        <v>12</v>
      </c>
      <c r="F22678">
        <v>65199691</v>
      </c>
      <c r="G22678">
        <v>65199735</v>
      </c>
      <c r="H22678">
        <v>65199691</v>
      </c>
      <c r="I22678">
        <v>65199735</v>
      </c>
    </row>
    <row r="22679" spans="1:9" x14ac:dyDescent="0.2">
      <c r="A22679" t="str">
        <f>"Wdr20a"</f>
        <v>Wdr20a</v>
      </c>
      <c r="B22679" t="s">
        <v>14</v>
      </c>
      <c r="C22679" t="s">
        <v>16</v>
      </c>
      <c r="D22679" t="s">
        <v>17</v>
      </c>
      <c r="E22679" t="s">
        <v>12</v>
      </c>
      <c r="F22679">
        <v>110737983</v>
      </c>
      <c r="G22679">
        <v>110738024</v>
      </c>
      <c r="H22679">
        <v>110737817</v>
      </c>
      <c r="I22679">
        <v>110737829</v>
      </c>
    </row>
    <row r="22680" spans="1:9" x14ac:dyDescent="0.2">
      <c r="A22680" t="str">
        <f>"Wdr20b"</f>
        <v>Wdr20b</v>
      </c>
      <c r="B22680" t="s">
        <v>14</v>
      </c>
      <c r="C22680" t="s">
        <v>16</v>
      </c>
      <c r="D22680" t="s">
        <v>17</v>
      </c>
      <c r="E22680" t="s">
        <v>12</v>
      </c>
      <c r="F22680">
        <v>65225513</v>
      </c>
      <c r="G22680">
        <v>65225544</v>
      </c>
      <c r="H22680">
        <v>65225513</v>
      </c>
      <c r="I22680">
        <v>65225544</v>
      </c>
    </row>
    <row r="22681" spans="1:9" x14ac:dyDescent="0.2">
      <c r="A22681" t="str">
        <f>"Wdr24"</f>
        <v>Wdr24</v>
      </c>
      <c r="B22681" t="s">
        <v>14</v>
      </c>
      <c r="C22681" t="s">
        <v>28</v>
      </c>
      <c r="D22681" t="s">
        <v>17</v>
      </c>
      <c r="E22681" t="s">
        <v>12</v>
      </c>
      <c r="F22681">
        <v>25823642</v>
      </c>
      <c r="G22681">
        <v>25823706</v>
      </c>
      <c r="H22681">
        <v>25823626</v>
      </c>
      <c r="I22681">
        <v>25823637</v>
      </c>
    </row>
    <row r="22682" spans="1:9" x14ac:dyDescent="0.2">
      <c r="A22682" t="str">
        <f>"Wdr25"</f>
        <v>Wdr25</v>
      </c>
      <c r="B22682" t="s">
        <v>14</v>
      </c>
      <c r="C22682" t="s">
        <v>16</v>
      </c>
      <c r="D22682" t="s">
        <v>17</v>
      </c>
      <c r="E22682" t="s">
        <v>12</v>
      </c>
      <c r="F22682">
        <v>108894279</v>
      </c>
      <c r="G22682">
        <v>108894312</v>
      </c>
      <c r="H22682">
        <v>108894266</v>
      </c>
      <c r="I22682">
        <v>108894277</v>
      </c>
    </row>
    <row r="22683" spans="1:9" x14ac:dyDescent="0.2">
      <c r="A22683" t="str">
        <f>"Wdr26"</f>
        <v>Wdr26</v>
      </c>
      <c r="B22683" t="s">
        <v>14</v>
      </c>
      <c r="C22683" t="s">
        <v>19</v>
      </c>
      <c r="D22683" t="s">
        <v>11</v>
      </c>
      <c r="E22683" t="s">
        <v>12</v>
      </c>
      <c r="F22683">
        <v>181211971</v>
      </c>
      <c r="G22683">
        <v>181212000</v>
      </c>
      <c r="H22683">
        <v>181211944</v>
      </c>
      <c r="I22683">
        <v>181211968</v>
      </c>
    </row>
    <row r="22684" spans="1:9" x14ac:dyDescent="0.2">
      <c r="A22684" t="str">
        <f>"Wdr27"</f>
        <v>Wdr27</v>
      </c>
      <c r="B22684" t="s">
        <v>14</v>
      </c>
      <c r="C22684" t="s">
        <v>28</v>
      </c>
      <c r="D22684" t="s">
        <v>11</v>
      </c>
      <c r="E22684" t="s">
        <v>12</v>
      </c>
      <c r="F22684">
        <v>14943058</v>
      </c>
      <c r="G22684">
        <v>14943098</v>
      </c>
      <c r="H22684">
        <v>14943114</v>
      </c>
      <c r="I22684">
        <v>14943151</v>
      </c>
    </row>
    <row r="22685" spans="1:9" x14ac:dyDescent="0.2">
      <c r="A22685" t="str">
        <f>"Wdr3"</f>
        <v>Wdr3</v>
      </c>
      <c r="B22685" t="s">
        <v>14</v>
      </c>
      <c r="C22685" t="s">
        <v>22</v>
      </c>
      <c r="D22685" t="s">
        <v>11</v>
      </c>
      <c r="E22685" t="s">
        <v>12</v>
      </c>
      <c r="F22685">
        <v>100162364</v>
      </c>
      <c r="G22685">
        <v>100162414</v>
      </c>
      <c r="H22685">
        <v>100162364</v>
      </c>
      <c r="I22685">
        <v>100162414</v>
      </c>
    </row>
    <row r="22686" spans="1:9" x14ac:dyDescent="0.2">
      <c r="A22686" t="str">
        <f>"Wdr31"</f>
        <v>Wdr31</v>
      </c>
      <c r="B22686" t="s">
        <v>14</v>
      </c>
      <c r="C22686" t="s">
        <v>23</v>
      </c>
      <c r="D22686" t="s">
        <v>11</v>
      </c>
      <c r="E22686" t="s">
        <v>12</v>
      </c>
      <c r="F22686">
        <v>62470868</v>
      </c>
      <c r="G22686">
        <v>62470922</v>
      </c>
      <c r="H22686">
        <v>62470924</v>
      </c>
      <c r="I22686">
        <v>62470932</v>
      </c>
    </row>
    <row r="22687" spans="1:9" x14ac:dyDescent="0.2">
      <c r="A22687" t="str">
        <f>"Wdr33"</f>
        <v>Wdr33</v>
      </c>
      <c r="B22687" t="s">
        <v>14</v>
      </c>
      <c r="C22687" t="s">
        <v>43</v>
      </c>
      <c r="D22687" t="s">
        <v>17</v>
      </c>
      <c r="E22687" t="s">
        <v>12</v>
      </c>
      <c r="F22687">
        <v>31804084</v>
      </c>
      <c r="G22687">
        <v>31804120</v>
      </c>
      <c r="H22687">
        <v>31804084</v>
      </c>
      <c r="I22687">
        <v>31804120</v>
      </c>
    </row>
    <row r="22688" spans="1:9" x14ac:dyDescent="0.2">
      <c r="A22688" t="str">
        <f>"Wdr34"</f>
        <v>Wdr34</v>
      </c>
      <c r="B22688" t="s">
        <v>14</v>
      </c>
      <c r="C22688" t="s">
        <v>26</v>
      </c>
      <c r="D22688" t="s">
        <v>11</v>
      </c>
      <c r="E22688" t="s">
        <v>12</v>
      </c>
      <c r="F22688">
        <v>30048827</v>
      </c>
      <c r="G22688">
        <v>30048891</v>
      </c>
      <c r="H22688">
        <v>30048827</v>
      </c>
      <c r="I22688">
        <v>30048891</v>
      </c>
    </row>
    <row r="22689" spans="1:9" x14ac:dyDescent="0.2">
      <c r="A22689" t="str">
        <f>"Wdr35"</f>
        <v>Wdr35</v>
      </c>
      <c r="B22689" t="s">
        <v>14</v>
      </c>
      <c r="C22689" t="s">
        <v>16</v>
      </c>
      <c r="D22689" t="s">
        <v>17</v>
      </c>
      <c r="E22689" t="s">
        <v>12</v>
      </c>
      <c r="F22689">
        <v>8974003</v>
      </c>
      <c r="G22689">
        <v>8974079</v>
      </c>
      <c r="H22689">
        <v>8974592</v>
      </c>
      <c r="I22689">
        <v>8974627</v>
      </c>
    </row>
    <row r="22690" spans="1:9" x14ac:dyDescent="0.2">
      <c r="A22690" t="str">
        <f>"Wdr36"</f>
        <v>Wdr36</v>
      </c>
      <c r="B22690" t="s">
        <v>14</v>
      </c>
      <c r="C22690" t="s">
        <v>43</v>
      </c>
      <c r="D22690" t="s">
        <v>17</v>
      </c>
      <c r="E22690" t="s">
        <v>12</v>
      </c>
      <c r="F22690">
        <v>32837271</v>
      </c>
      <c r="G22690">
        <v>32837307</v>
      </c>
      <c r="H22690">
        <v>32837245</v>
      </c>
      <c r="I22690">
        <v>32837266</v>
      </c>
    </row>
    <row r="22691" spans="1:9" x14ac:dyDescent="0.2">
      <c r="A22691" t="str">
        <f>"Wdr37"</f>
        <v>Wdr37</v>
      </c>
      <c r="B22691" t="s">
        <v>14</v>
      </c>
      <c r="C22691" t="s">
        <v>39</v>
      </c>
      <c r="D22691" t="s">
        <v>11</v>
      </c>
      <c r="E22691" t="s">
        <v>12</v>
      </c>
      <c r="F22691">
        <v>8870999</v>
      </c>
      <c r="G22691">
        <v>8871058</v>
      </c>
      <c r="H22691">
        <v>8871696</v>
      </c>
      <c r="I22691">
        <v>8871749</v>
      </c>
    </row>
    <row r="22692" spans="1:9" x14ac:dyDescent="0.2">
      <c r="A22692" t="str">
        <f>"Wdr38"</f>
        <v>Wdr38</v>
      </c>
      <c r="B22692" t="s">
        <v>14</v>
      </c>
      <c r="C22692" t="s">
        <v>26</v>
      </c>
      <c r="D22692" t="s">
        <v>17</v>
      </c>
      <c r="E22692" t="s">
        <v>12</v>
      </c>
      <c r="F22692">
        <v>38998302</v>
      </c>
      <c r="G22692">
        <v>38998340</v>
      </c>
      <c r="H22692">
        <v>38998352</v>
      </c>
      <c r="I22692">
        <v>38998353</v>
      </c>
    </row>
    <row r="22693" spans="1:9" x14ac:dyDescent="0.2">
      <c r="A22693" t="str">
        <f>"Wdr4"</f>
        <v>Wdr4</v>
      </c>
      <c r="B22693" t="s">
        <v>9</v>
      </c>
      <c r="C22693" t="s">
        <v>28</v>
      </c>
      <c r="D22693" t="s">
        <v>11</v>
      </c>
      <c r="E22693" t="s">
        <v>12</v>
      </c>
      <c r="F22693">
        <v>31512253</v>
      </c>
      <c r="G22693">
        <v>31512324</v>
      </c>
      <c r="H22693">
        <v>31512253</v>
      </c>
      <c r="I22693">
        <v>31512324</v>
      </c>
    </row>
    <row r="22694" spans="1:9" x14ac:dyDescent="0.2">
      <c r="A22694" t="str">
        <f>"Wdr4"</f>
        <v>Wdr4</v>
      </c>
      <c r="B22694" t="s">
        <v>13</v>
      </c>
      <c r="C22694" t="s">
        <v>28</v>
      </c>
      <c r="D22694" t="s">
        <v>11</v>
      </c>
      <c r="E22694" t="s">
        <v>12</v>
      </c>
      <c r="F22694">
        <v>31519916</v>
      </c>
      <c r="G22694">
        <v>31519980</v>
      </c>
      <c r="H22694">
        <v>31519916</v>
      </c>
      <c r="I22694">
        <v>31519980</v>
      </c>
    </row>
    <row r="22695" spans="1:9" x14ac:dyDescent="0.2">
      <c r="A22695" t="str">
        <f>"Wdr41"</f>
        <v>Wdr41</v>
      </c>
      <c r="B22695" t="s">
        <v>14</v>
      </c>
      <c r="C22695" t="s">
        <v>39</v>
      </c>
      <c r="D22695" t="s">
        <v>17</v>
      </c>
      <c r="E22695" t="s">
        <v>12</v>
      </c>
      <c r="F22695">
        <v>94976364</v>
      </c>
      <c r="G22695">
        <v>94976422</v>
      </c>
      <c r="H22695">
        <v>94976339</v>
      </c>
      <c r="I22695">
        <v>94976358</v>
      </c>
    </row>
    <row r="22696" spans="1:9" x14ac:dyDescent="0.2">
      <c r="A22696" t="str">
        <f>"Wdr43"</f>
        <v>Wdr43</v>
      </c>
      <c r="B22696" t="s">
        <v>14</v>
      </c>
      <c r="C22696" t="s">
        <v>28</v>
      </c>
      <c r="D22696" t="s">
        <v>17</v>
      </c>
      <c r="E22696" t="s">
        <v>12</v>
      </c>
      <c r="F22696">
        <v>71616219</v>
      </c>
      <c r="G22696">
        <v>71616259</v>
      </c>
      <c r="H22696">
        <v>71616219</v>
      </c>
      <c r="I22696">
        <v>71616259</v>
      </c>
    </row>
    <row r="22697" spans="1:9" x14ac:dyDescent="0.2">
      <c r="A22697" t="str">
        <f>"Wdr44"</f>
        <v>Wdr44</v>
      </c>
      <c r="B22697" t="s">
        <v>14</v>
      </c>
      <c r="C22697" t="s">
        <v>37</v>
      </c>
      <c r="D22697" t="s">
        <v>17</v>
      </c>
      <c r="E22697" t="s">
        <v>12</v>
      </c>
      <c r="F22697">
        <v>23693043</v>
      </c>
      <c r="G22697">
        <v>23693131</v>
      </c>
      <c r="H22697">
        <v>23693043</v>
      </c>
      <c r="I22697">
        <v>23693131</v>
      </c>
    </row>
    <row r="22698" spans="1:9" x14ac:dyDescent="0.2">
      <c r="A22698" t="str">
        <f>"Wdr45"</f>
        <v>Wdr45</v>
      </c>
      <c r="B22698" t="s">
        <v>14</v>
      </c>
      <c r="C22698" t="s">
        <v>37</v>
      </c>
      <c r="D22698" t="s">
        <v>17</v>
      </c>
      <c r="E22698" t="s">
        <v>12</v>
      </c>
      <c r="F22698">
        <v>7722214</v>
      </c>
      <c r="G22698">
        <v>7722257</v>
      </c>
      <c r="H22698">
        <v>7722267</v>
      </c>
      <c r="I22698">
        <v>7722287</v>
      </c>
    </row>
    <row r="22699" spans="1:9" x14ac:dyDescent="0.2">
      <c r="A22699" t="str">
        <f>"Wdr45b"</f>
        <v>Wdr45b</v>
      </c>
      <c r="B22699" t="s">
        <v>14</v>
      </c>
      <c r="C22699" t="s">
        <v>27</v>
      </c>
      <c r="D22699" t="s">
        <v>11</v>
      </c>
      <c r="E22699" t="s">
        <v>67</v>
      </c>
      <c r="F22699">
        <v>121354337</v>
      </c>
      <c r="G22699">
        <v>121354436</v>
      </c>
      <c r="H22699">
        <v>121354337</v>
      </c>
      <c r="I22699">
        <v>121354436</v>
      </c>
    </row>
    <row r="22700" spans="1:9" x14ac:dyDescent="0.2">
      <c r="A22700" t="str">
        <f>"Wdr46"</f>
        <v>Wdr46</v>
      </c>
      <c r="B22700" t="s">
        <v>14</v>
      </c>
      <c r="C22700" t="s">
        <v>28</v>
      </c>
      <c r="D22700" t="s">
        <v>17</v>
      </c>
      <c r="E22700" t="s">
        <v>12</v>
      </c>
      <c r="F22700">
        <v>33940661</v>
      </c>
      <c r="G22700">
        <v>33940709</v>
      </c>
      <c r="H22700">
        <v>33940715</v>
      </c>
      <c r="I22700">
        <v>33940729</v>
      </c>
    </row>
    <row r="22701" spans="1:9" x14ac:dyDescent="0.2">
      <c r="A22701" t="str">
        <f>"Wdr47"</f>
        <v>Wdr47</v>
      </c>
      <c r="B22701" t="s">
        <v>14</v>
      </c>
      <c r="C22701" t="s">
        <v>22</v>
      </c>
      <c r="D22701" t="s">
        <v>17</v>
      </c>
      <c r="E22701" t="s">
        <v>12</v>
      </c>
      <c r="F22701">
        <v>108591322</v>
      </c>
      <c r="G22701">
        <v>108591414</v>
      </c>
      <c r="H22701">
        <v>108591415</v>
      </c>
      <c r="I22701">
        <v>108591462</v>
      </c>
    </row>
    <row r="22702" spans="1:9" x14ac:dyDescent="0.2">
      <c r="A22702" t="str">
        <f>"Wdr48"</f>
        <v>Wdr48</v>
      </c>
      <c r="B22702" t="s">
        <v>14</v>
      </c>
      <c r="C22702" t="s">
        <v>24</v>
      </c>
      <c r="D22702" t="s">
        <v>17</v>
      </c>
      <c r="E22702" t="s">
        <v>12</v>
      </c>
      <c r="F22702">
        <v>119894876</v>
      </c>
      <c r="G22702">
        <v>119894913</v>
      </c>
      <c r="H22702">
        <v>119894876</v>
      </c>
      <c r="I22702">
        <v>119894913</v>
      </c>
    </row>
    <row r="22703" spans="1:9" x14ac:dyDescent="0.2">
      <c r="A22703" t="str">
        <f>"Wdr49"</f>
        <v>Wdr49</v>
      </c>
      <c r="B22703" t="s">
        <v>6321</v>
      </c>
      <c r="C22703" t="s">
        <v>22</v>
      </c>
      <c r="D22703" t="s">
        <v>11</v>
      </c>
      <c r="E22703" t="s">
        <v>20</v>
      </c>
      <c r="F22703">
        <v>75451817</v>
      </c>
      <c r="G22703">
        <v>75451817</v>
      </c>
      <c r="H22703">
        <v>75451817</v>
      </c>
      <c r="I22703">
        <v>75451817</v>
      </c>
    </row>
    <row r="22704" spans="1:9" x14ac:dyDescent="0.2">
      <c r="A22704" t="str">
        <f>"Wdr5"</f>
        <v>Wdr5</v>
      </c>
      <c r="B22704" t="s">
        <v>14</v>
      </c>
      <c r="C22704" t="s">
        <v>26</v>
      </c>
      <c r="D22704" t="s">
        <v>17</v>
      </c>
      <c r="E22704" t="s">
        <v>12</v>
      </c>
      <c r="F22704">
        <v>27515162</v>
      </c>
      <c r="G22704">
        <v>27515217</v>
      </c>
      <c r="H22704">
        <v>27515218</v>
      </c>
      <c r="I22704">
        <v>27515229</v>
      </c>
    </row>
    <row r="22705" spans="1:9" x14ac:dyDescent="0.2">
      <c r="A22705" t="str">
        <f>"Wdr52"</f>
        <v>Wdr52</v>
      </c>
      <c r="B22705" t="s">
        <v>14</v>
      </c>
      <c r="C22705" t="s">
        <v>31</v>
      </c>
      <c r="D22705" t="s">
        <v>17</v>
      </c>
      <c r="E22705" t="s">
        <v>12</v>
      </c>
      <c r="F22705">
        <v>44394771</v>
      </c>
      <c r="G22705">
        <v>44394804</v>
      </c>
      <c r="H22705">
        <v>44394805</v>
      </c>
      <c r="I22705">
        <v>44394826</v>
      </c>
    </row>
    <row r="22706" spans="1:9" x14ac:dyDescent="0.2">
      <c r="A22706" t="str">
        <f>"Wdr53"</f>
        <v>Wdr53</v>
      </c>
      <c r="B22706" t="s">
        <v>14</v>
      </c>
      <c r="C22706" t="s">
        <v>31</v>
      </c>
      <c r="D22706" t="s">
        <v>17</v>
      </c>
      <c r="E22706" t="s">
        <v>12</v>
      </c>
      <c r="F22706">
        <v>32247221</v>
      </c>
      <c r="G22706">
        <v>32247283</v>
      </c>
      <c r="H22706">
        <v>32247221</v>
      </c>
      <c r="I22706">
        <v>32247283</v>
      </c>
    </row>
    <row r="22707" spans="1:9" x14ac:dyDescent="0.2">
      <c r="A22707" t="str">
        <f>"Wdr54"</f>
        <v>Wdr54</v>
      </c>
      <c r="B22707" t="s">
        <v>14</v>
      </c>
      <c r="C22707" t="s">
        <v>32</v>
      </c>
      <c r="D22707" t="s">
        <v>11</v>
      </c>
      <c r="E22707" t="s">
        <v>12</v>
      </c>
      <c r="F22707">
        <v>83156353</v>
      </c>
      <c r="G22707">
        <v>83156387</v>
      </c>
      <c r="H22707">
        <v>83156323</v>
      </c>
      <c r="I22707">
        <v>83156339</v>
      </c>
    </row>
    <row r="22708" spans="1:9" x14ac:dyDescent="0.2">
      <c r="A22708" t="str">
        <f>"Wdr55"</f>
        <v>Wdr55</v>
      </c>
      <c r="B22708" t="s">
        <v>14</v>
      </c>
      <c r="C22708" t="s">
        <v>43</v>
      </c>
      <c r="D22708" t="s">
        <v>17</v>
      </c>
      <c r="E22708" t="s">
        <v>12</v>
      </c>
      <c r="F22708">
        <v>36760214</v>
      </c>
      <c r="G22708">
        <v>36760292</v>
      </c>
      <c r="H22708">
        <v>36760214</v>
      </c>
      <c r="I22708">
        <v>36760292</v>
      </c>
    </row>
    <row r="22709" spans="1:9" x14ac:dyDescent="0.2">
      <c r="A22709" t="str">
        <f>"Wdr59"</f>
        <v>Wdr59</v>
      </c>
      <c r="B22709" t="s">
        <v>14</v>
      </c>
      <c r="C22709" t="s">
        <v>30</v>
      </c>
      <c r="D22709" t="s">
        <v>11</v>
      </c>
      <c r="E22709" t="s">
        <v>12</v>
      </c>
      <c r="F22709">
        <v>111522073</v>
      </c>
      <c r="G22709">
        <v>111522112</v>
      </c>
      <c r="H22709">
        <v>111522001</v>
      </c>
      <c r="I22709">
        <v>111522025</v>
      </c>
    </row>
    <row r="22710" spans="1:9" x14ac:dyDescent="0.2">
      <c r="A22710" t="str">
        <f>"Wdr5b"</f>
        <v>Wdr5b</v>
      </c>
      <c r="B22710" t="s">
        <v>14</v>
      </c>
      <c r="C22710" t="s">
        <v>31</v>
      </c>
      <c r="D22710" t="s">
        <v>17</v>
      </c>
      <c r="E22710" t="s">
        <v>12</v>
      </c>
      <c r="F22710">
        <v>36041266</v>
      </c>
      <c r="G22710">
        <v>36041300</v>
      </c>
      <c r="H22710">
        <v>36041198</v>
      </c>
      <c r="I22710">
        <v>36041234</v>
      </c>
    </row>
    <row r="22711" spans="1:9" x14ac:dyDescent="0.2">
      <c r="A22711" t="str">
        <f>"Wdr6"</f>
        <v>Wdr6</v>
      </c>
      <c r="B22711" t="s">
        <v>14</v>
      </c>
      <c r="C22711" t="s">
        <v>24</v>
      </c>
      <c r="D22711" t="s">
        <v>11</v>
      </c>
      <c r="E22711" t="s">
        <v>12</v>
      </c>
      <c r="F22711">
        <v>108578594</v>
      </c>
      <c r="G22711">
        <v>108578656</v>
      </c>
      <c r="H22711">
        <v>108578657</v>
      </c>
      <c r="I22711">
        <v>108578675</v>
      </c>
    </row>
    <row r="22712" spans="1:9" x14ac:dyDescent="0.2">
      <c r="A22712" t="str">
        <f>"Wdr60"</f>
        <v>Wdr60</v>
      </c>
      <c r="B22712" t="s">
        <v>14</v>
      </c>
      <c r="C22712" t="s">
        <v>16</v>
      </c>
      <c r="D22712" t="s">
        <v>11</v>
      </c>
      <c r="E22712" t="s">
        <v>12</v>
      </c>
      <c r="F22712">
        <v>116262946</v>
      </c>
      <c r="G22712">
        <v>116263046</v>
      </c>
      <c r="H22712">
        <v>116262931</v>
      </c>
      <c r="I22712">
        <v>116262936</v>
      </c>
    </row>
    <row r="22713" spans="1:9" x14ac:dyDescent="0.2">
      <c r="A22713" t="str">
        <f>"Wdr61"</f>
        <v>Wdr61</v>
      </c>
      <c r="B22713" t="s">
        <v>14</v>
      </c>
      <c r="C22713" t="s">
        <v>24</v>
      </c>
      <c r="D22713" t="s">
        <v>11</v>
      </c>
      <c r="E22713" t="s">
        <v>12</v>
      </c>
      <c r="F22713">
        <v>54734468</v>
      </c>
      <c r="G22713">
        <v>54734523</v>
      </c>
      <c r="H22713">
        <v>54734468</v>
      </c>
      <c r="I22713">
        <v>54734523</v>
      </c>
    </row>
    <row r="22714" spans="1:9" x14ac:dyDescent="0.2">
      <c r="A22714" t="str">
        <f>"Wdr62"</f>
        <v>Wdr62</v>
      </c>
      <c r="B22714" t="s">
        <v>14</v>
      </c>
      <c r="C22714" t="s">
        <v>33</v>
      </c>
      <c r="D22714" t="s">
        <v>11</v>
      </c>
      <c r="E22714" t="s">
        <v>12</v>
      </c>
      <c r="F22714">
        <v>30280335</v>
      </c>
      <c r="G22714">
        <v>30280424</v>
      </c>
      <c r="H22714">
        <v>30280335</v>
      </c>
      <c r="I22714">
        <v>30280424</v>
      </c>
    </row>
    <row r="22715" spans="1:9" x14ac:dyDescent="0.2">
      <c r="A22715" t="str">
        <f>"Wdr63"</f>
        <v>Wdr63</v>
      </c>
      <c r="B22715" t="s">
        <v>14</v>
      </c>
      <c r="C22715" t="s">
        <v>22</v>
      </c>
      <c r="D22715" t="s">
        <v>11</v>
      </c>
      <c r="E22715" t="s">
        <v>12</v>
      </c>
      <c r="F22715">
        <v>146108047</v>
      </c>
      <c r="G22715">
        <v>146108091</v>
      </c>
      <c r="H22715">
        <v>146108009</v>
      </c>
      <c r="I22715">
        <v>146108033</v>
      </c>
    </row>
    <row r="22716" spans="1:9" x14ac:dyDescent="0.2">
      <c r="A22716" t="str">
        <f>"Wdr64"</f>
        <v>Wdr64</v>
      </c>
      <c r="B22716" t="s">
        <v>14</v>
      </c>
      <c r="C22716" t="s">
        <v>19</v>
      </c>
      <c r="D22716" t="s">
        <v>17</v>
      </c>
      <c r="E22716" t="s">
        <v>12</v>
      </c>
      <c r="F22716">
        <v>175698586</v>
      </c>
      <c r="G22716">
        <v>175698600</v>
      </c>
      <c r="H22716">
        <v>175698586</v>
      </c>
      <c r="I22716">
        <v>175698600</v>
      </c>
    </row>
    <row r="22717" spans="1:9" x14ac:dyDescent="0.2">
      <c r="A22717" t="str">
        <f>"Wdr65"</f>
        <v>Wdr65</v>
      </c>
      <c r="B22717" t="s">
        <v>14</v>
      </c>
      <c r="C22717" t="s">
        <v>23</v>
      </c>
      <c r="D22717" t="s">
        <v>11</v>
      </c>
      <c r="E22717" t="s">
        <v>12</v>
      </c>
      <c r="F22717">
        <v>118620763</v>
      </c>
      <c r="G22717">
        <v>118620792</v>
      </c>
      <c r="H22717">
        <v>118620727</v>
      </c>
      <c r="I22717">
        <v>118620762</v>
      </c>
    </row>
    <row r="22718" spans="1:9" x14ac:dyDescent="0.2">
      <c r="A22718" t="str">
        <f>"Wdr66"</f>
        <v>Wdr66</v>
      </c>
      <c r="B22718" t="s">
        <v>14</v>
      </c>
      <c r="C22718" t="s">
        <v>46</v>
      </c>
      <c r="D22718" t="s">
        <v>17</v>
      </c>
      <c r="E22718" t="s">
        <v>12</v>
      </c>
      <c r="F22718">
        <v>123252087</v>
      </c>
      <c r="G22718">
        <v>123252136</v>
      </c>
      <c r="H22718">
        <v>123252145</v>
      </c>
      <c r="I22718">
        <v>123252174</v>
      </c>
    </row>
    <row r="22719" spans="1:9" x14ac:dyDescent="0.2">
      <c r="A22719" t="str">
        <f>"Wdr7"</f>
        <v>Wdr7</v>
      </c>
      <c r="B22719" t="s">
        <v>14</v>
      </c>
      <c r="C22719" t="s">
        <v>43</v>
      </c>
      <c r="D22719" t="s">
        <v>17</v>
      </c>
      <c r="E22719" t="s">
        <v>12</v>
      </c>
      <c r="F22719">
        <v>63708689</v>
      </c>
      <c r="G22719">
        <v>63708730</v>
      </c>
      <c r="H22719">
        <v>63708689</v>
      </c>
      <c r="I22719">
        <v>63708730</v>
      </c>
    </row>
    <row r="22720" spans="1:9" x14ac:dyDescent="0.2">
      <c r="A22720" t="str">
        <f>"Wdr70"</f>
        <v>Wdr70</v>
      </c>
      <c r="B22720" t="s">
        <v>14</v>
      </c>
      <c r="C22720" t="s">
        <v>25</v>
      </c>
      <c r="D22720" t="s">
        <v>11</v>
      </c>
      <c r="E22720" t="s">
        <v>12</v>
      </c>
      <c r="F22720">
        <v>8099182</v>
      </c>
      <c r="G22720">
        <v>8099215</v>
      </c>
      <c r="H22720">
        <v>8099135</v>
      </c>
      <c r="I22720">
        <v>8099149</v>
      </c>
    </row>
    <row r="22721" spans="1:9" x14ac:dyDescent="0.2">
      <c r="A22721" t="str">
        <f>"Wdr72"</f>
        <v>Wdr72</v>
      </c>
      <c r="B22721" t="s">
        <v>14</v>
      </c>
      <c r="C22721" t="s">
        <v>24</v>
      </c>
      <c r="D22721" t="s">
        <v>17</v>
      </c>
      <c r="E22721" t="s">
        <v>12</v>
      </c>
      <c r="F22721">
        <v>74110372</v>
      </c>
      <c r="G22721">
        <v>74110411</v>
      </c>
      <c r="H22721">
        <v>74110342</v>
      </c>
      <c r="I22721">
        <v>74110366</v>
      </c>
    </row>
    <row r="22722" spans="1:9" x14ac:dyDescent="0.2">
      <c r="A22722" t="str">
        <f>"Wdr73"</f>
        <v>Wdr73</v>
      </c>
      <c r="B22722" t="s">
        <v>14</v>
      </c>
      <c r="C22722" t="s">
        <v>33</v>
      </c>
      <c r="D22722" t="s">
        <v>11</v>
      </c>
      <c r="E22722" t="s">
        <v>12</v>
      </c>
      <c r="F22722">
        <v>80901226</v>
      </c>
      <c r="G22722">
        <v>80901243</v>
      </c>
      <c r="H22722">
        <v>80901262</v>
      </c>
      <c r="I22722">
        <v>80901273</v>
      </c>
    </row>
    <row r="22723" spans="1:9" x14ac:dyDescent="0.2">
      <c r="A22723" t="str">
        <f>"Wdr74"</f>
        <v>Wdr74</v>
      </c>
      <c r="B22723" t="s">
        <v>14</v>
      </c>
      <c r="C22723" t="s">
        <v>10</v>
      </c>
      <c r="D22723" t="s">
        <v>17</v>
      </c>
      <c r="E22723" t="s">
        <v>12</v>
      </c>
      <c r="F22723">
        <v>8735808</v>
      </c>
      <c r="G22723">
        <v>8735864</v>
      </c>
      <c r="H22723">
        <v>8735792</v>
      </c>
      <c r="I22723">
        <v>8735807</v>
      </c>
    </row>
    <row r="22724" spans="1:9" x14ac:dyDescent="0.2">
      <c r="A22724" t="str">
        <f>"Wdr75"</f>
        <v>Wdr75</v>
      </c>
      <c r="B22724" t="s">
        <v>14</v>
      </c>
      <c r="C22724" t="s">
        <v>19</v>
      </c>
      <c r="D22724" t="s">
        <v>17</v>
      </c>
      <c r="E22724" t="s">
        <v>12</v>
      </c>
      <c r="F22724">
        <v>45795485</v>
      </c>
      <c r="G22724">
        <v>45795515</v>
      </c>
      <c r="H22724">
        <v>45795519</v>
      </c>
      <c r="I22724">
        <v>45795530</v>
      </c>
    </row>
    <row r="22725" spans="1:9" x14ac:dyDescent="0.2">
      <c r="A22725" t="str">
        <f>"Wdr76"</f>
        <v>Wdr76</v>
      </c>
      <c r="B22725" t="s">
        <v>14</v>
      </c>
      <c r="C22725" t="s">
        <v>26</v>
      </c>
      <c r="D22725" t="s">
        <v>17</v>
      </c>
      <c r="E22725" t="s">
        <v>12</v>
      </c>
      <c r="F22725">
        <v>121506748</v>
      </c>
      <c r="G22725">
        <v>121506792</v>
      </c>
      <c r="H22725">
        <v>121506715</v>
      </c>
      <c r="I22725">
        <v>121506733</v>
      </c>
    </row>
    <row r="22726" spans="1:9" x14ac:dyDescent="0.2">
      <c r="A22726" t="str">
        <f>"Wdr77"</f>
        <v>Wdr77</v>
      </c>
      <c r="B22726" t="s">
        <v>14</v>
      </c>
      <c r="C22726" t="s">
        <v>22</v>
      </c>
      <c r="D22726" t="s">
        <v>17</v>
      </c>
      <c r="E22726" t="s">
        <v>12</v>
      </c>
      <c r="F22726">
        <v>105959453</v>
      </c>
      <c r="G22726">
        <v>105959541</v>
      </c>
      <c r="H22726">
        <v>105959410</v>
      </c>
      <c r="I22726">
        <v>105959427</v>
      </c>
    </row>
    <row r="22727" spans="1:9" x14ac:dyDescent="0.2">
      <c r="A22727" t="str">
        <f>"Wdr78"</f>
        <v>Wdr78</v>
      </c>
      <c r="B22727" t="s">
        <v>14</v>
      </c>
      <c r="C22727" t="s">
        <v>23</v>
      </c>
      <c r="D22727" t="s">
        <v>11</v>
      </c>
      <c r="E22727" t="s">
        <v>12</v>
      </c>
      <c r="F22727">
        <v>103114238</v>
      </c>
      <c r="G22727">
        <v>103114298</v>
      </c>
      <c r="H22727">
        <v>103114316</v>
      </c>
      <c r="I22727">
        <v>103114348</v>
      </c>
    </row>
    <row r="22728" spans="1:9" x14ac:dyDescent="0.2">
      <c r="A22728" t="str">
        <f>"Wdr81"</f>
        <v>Wdr81</v>
      </c>
      <c r="B22728" t="s">
        <v>14</v>
      </c>
      <c r="C22728" t="s">
        <v>27</v>
      </c>
      <c r="D22728" t="s">
        <v>11</v>
      </c>
      <c r="E22728" t="s">
        <v>12</v>
      </c>
      <c r="F22728">
        <v>75454656</v>
      </c>
      <c r="G22728">
        <v>75454721</v>
      </c>
      <c r="H22728">
        <v>75454656</v>
      </c>
      <c r="I22728">
        <v>75454721</v>
      </c>
    </row>
    <row r="22729" spans="1:9" x14ac:dyDescent="0.2">
      <c r="A22729" t="str">
        <f>"Wdr82"</f>
        <v>Wdr82</v>
      </c>
      <c r="B22729" t="s">
        <v>14</v>
      </c>
      <c r="C22729" t="s">
        <v>24</v>
      </c>
      <c r="D22729" t="s">
        <v>17</v>
      </c>
      <c r="E22729" t="s">
        <v>12</v>
      </c>
      <c r="F22729">
        <v>106170918</v>
      </c>
      <c r="G22729">
        <v>106170953</v>
      </c>
      <c r="H22729">
        <v>106170918</v>
      </c>
      <c r="I22729">
        <v>106170953</v>
      </c>
    </row>
    <row r="22730" spans="1:9" x14ac:dyDescent="0.2">
      <c r="A22730" t="str">
        <f>"Wdr83"</f>
        <v>Wdr83</v>
      </c>
      <c r="B22730" t="s">
        <v>14</v>
      </c>
      <c r="C22730" t="s">
        <v>30</v>
      </c>
      <c r="D22730" t="s">
        <v>11</v>
      </c>
      <c r="E22730" t="s">
        <v>12</v>
      </c>
      <c r="F22730">
        <v>85080679</v>
      </c>
      <c r="G22730">
        <v>85080721</v>
      </c>
      <c r="H22730">
        <v>85080652</v>
      </c>
      <c r="I22730">
        <v>85080668</v>
      </c>
    </row>
    <row r="22731" spans="1:9" x14ac:dyDescent="0.2">
      <c r="A22731" t="str">
        <f>"Wdr86"</f>
        <v>Wdr86</v>
      </c>
      <c r="B22731" t="s">
        <v>14</v>
      </c>
      <c r="C22731" t="s">
        <v>46</v>
      </c>
      <c r="D22731" t="s">
        <v>11</v>
      </c>
      <c r="E22731" t="s">
        <v>12</v>
      </c>
      <c r="F22731">
        <v>24730635</v>
      </c>
      <c r="G22731">
        <v>24730655</v>
      </c>
      <c r="H22731">
        <v>24730672</v>
      </c>
      <c r="I22731">
        <v>24730679</v>
      </c>
    </row>
    <row r="22732" spans="1:9" x14ac:dyDescent="0.2">
      <c r="A22732" t="str">
        <f>"Wdr89"</f>
        <v>Wdr89</v>
      </c>
      <c r="B22732" t="s">
        <v>14</v>
      </c>
      <c r="C22732" t="s">
        <v>16</v>
      </c>
      <c r="D22732" t="s">
        <v>11</v>
      </c>
      <c r="E22732" t="s">
        <v>12</v>
      </c>
      <c r="F22732">
        <v>75669496</v>
      </c>
      <c r="G22732">
        <v>75669544</v>
      </c>
      <c r="H22732">
        <v>75669488</v>
      </c>
      <c r="I22732">
        <v>75669495</v>
      </c>
    </row>
    <row r="22733" spans="1:9" x14ac:dyDescent="0.2">
      <c r="A22733" t="str">
        <f>"Wdr90"</f>
        <v>Wdr90</v>
      </c>
      <c r="B22733" t="s">
        <v>14</v>
      </c>
      <c r="C22733" t="s">
        <v>28</v>
      </c>
      <c r="D22733" t="s">
        <v>11</v>
      </c>
      <c r="E22733" t="s">
        <v>12</v>
      </c>
      <c r="F22733">
        <v>25861456</v>
      </c>
      <c r="G22733">
        <v>25861510</v>
      </c>
      <c r="H22733">
        <v>25861306</v>
      </c>
      <c r="I22733">
        <v>25861324</v>
      </c>
    </row>
    <row r="22734" spans="1:9" x14ac:dyDescent="0.2">
      <c r="A22734" t="str">
        <f>"Wdr91"</f>
        <v>Wdr91</v>
      </c>
      <c r="B22734" t="s">
        <v>14</v>
      </c>
      <c r="C22734" t="s">
        <v>32</v>
      </c>
      <c r="D22734" t="s">
        <v>11</v>
      </c>
      <c r="E22734" t="s">
        <v>12</v>
      </c>
      <c r="F22734">
        <v>34910823</v>
      </c>
      <c r="G22734">
        <v>34910863</v>
      </c>
      <c r="H22734">
        <v>34910869</v>
      </c>
      <c r="I22734">
        <v>34910887</v>
      </c>
    </row>
    <row r="22735" spans="1:9" x14ac:dyDescent="0.2">
      <c r="A22735" t="str">
        <f>"Wdr92"</f>
        <v>Wdr92</v>
      </c>
      <c r="B22735" t="s">
        <v>14</v>
      </c>
      <c r="C22735" t="s">
        <v>27</v>
      </c>
      <c r="D22735" t="s">
        <v>17</v>
      </c>
      <c r="E22735" t="s">
        <v>12</v>
      </c>
      <c r="F22735">
        <v>17211912</v>
      </c>
      <c r="G22735">
        <v>17211964</v>
      </c>
      <c r="H22735">
        <v>17211896</v>
      </c>
      <c r="I22735">
        <v>17211908</v>
      </c>
    </row>
    <row r="22736" spans="1:9" x14ac:dyDescent="0.2">
      <c r="A22736" t="str">
        <f>"Wdr93"</f>
        <v>Wdr93</v>
      </c>
      <c r="B22736" t="s">
        <v>14</v>
      </c>
      <c r="C22736" t="s">
        <v>33</v>
      </c>
      <c r="D22736" t="s">
        <v>17</v>
      </c>
      <c r="E22736" t="s">
        <v>12</v>
      </c>
      <c r="F22736">
        <v>79743142</v>
      </c>
      <c r="G22736">
        <v>79743169</v>
      </c>
      <c r="H22736">
        <v>79743170</v>
      </c>
      <c r="I22736">
        <v>79743187</v>
      </c>
    </row>
    <row r="22737" spans="1:9" x14ac:dyDescent="0.2">
      <c r="A22737" t="str">
        <f>"Wdr95"</f>
        <v>Wdr95</v>
      </c>
      <c r="B22737" t="s">
        <v>14</v>
      </c>
      <c r="C22737" t="s">
        <v>46</v>
      </c>
      <c r="D22737" t="s">
        <v>17</v>
      </c>
      <c r="E22737" t="s">
        <v>12</v>
      </c>
      <c r="F22737">
        <v>149529657</v>
      </c>
      <c r="G22737">
        <v>149529700</v>
      </c>
      <c r="H22737">
        <v>149529657</v>
      </c>
      <c r="I22737">
        <v>149529700</v>
      </c>
    </row>
    <row r="22738" spans="1:9" x14ac:dyDescent="0.2">
      <c r="A22738" t="str">
        <f>"Wdr96"</f>
        <v>Wdr96</v>
      </c>
      <c r="B22738" t="s">
        <v>14</v>
      </c>
      <c r="C22738" t="s">
        <v>10</v>
      </c>
      <c r="D22738" t="s">
        <v>11</v>
      </c>
      <c r="E22738" t="s">
        <v>12</v>
      </c>
      <c r="F22738">
        <v>47837350</v>
      </c>
      <c r="G22738">
        <v>47837370</v>
      </c>
      <c r="H22738">
        <v>47837330</v>
      </c>
      <c r="I22738">
        <v>47837340</v>
      </c>
    </row>
    <row r="22739" spans="1:9" x14ac:dyDescent="0.2">
      <c r="A22739" t="str">
        <f>"Wdsub1"</f>
        <v>Wdsub1</v>
      </c>
      <c r="B22739" t="s">
        <v>14</v>
      </c>
      <c r="C22739" t="s">
        <v>26</v>
      </c>
      <c r="D22739" t="s">
        <v>11</v>
      </c>
      <c r="E22739" t="s">
        <v>12</v>
      </c>
      <c r="F22739">
        <v>59882556</v>
      </c>
      <c r="G22739">
        <v>59882612</v>
      </c>
      <c r="H22739">
        <v>59882541</v>
      </c>
      <c r="I22739">
        <v>59882555</v>
      </c>
    </row>
    <row r="22740" spans="1:9" x14ac:dyDescent="0.2">
      <c r="A22740" t="str">
        <f>"Wdtc1"</f>
        <v>Wdtc1</v>
      </c>
      <c r="B22740" t="s">
        <v>14</v>
      </c>
      <c r="C22740" t="s">
        <v>23</v>
      </c>
      <c r="D22740" t="s">
        <v>11</v>
      </c>
      <c r="E22740" t="s">
        <v>12</v>
      </c>
      <c r="F22740">
        <v>133339283</v>
      </c>
      <c r="G22740">
        <v>133339334</v>
      </c>
      <c r="H22740">
        <v>133339184</v>
      </c>
      <c r="I22740">
        <v>133339234</v>
      </c>
    </row>
    <row r="22741" spans="1:9" x14ac:dyDescent="0.2">
      <c r="A22741" t="str">
        <f>"Wdyhv1"</f>
        <v>Wdyhv1</v>
      </c>
      <c r="B22741" t="s">
        <v>14</v>
      </c>
      <c r="C22741" t="s">
        <v>25</v>
      </c>
      <c r="D22741" t="s">
        <v>17</v>
      </c>
      <c r="E22741" t="s">
        <v>12</v>
      </c>
      <c r="F22741">
        <v>58141342</v>
      </c>
      <c r="G22741">
        <v>58141394</v>
      </c>
      <c r="H22741">
        <v>58141397</v>
      </c>
      <c r="I22741">
        <v>58141417</v>
      </c>
    </row>
    <row r="22742" spans="1:9" x14ac:dyDescent="0.2">
      <c r="A22742" t="str">
        <f>"Wee1"</f>
        <v>Wee1</v>
      </c>
      <c r="B22742" t="s">
        <v>14</v>
      </c>
      <c r="C22742" t="s">
        <v>33</v>
      </c>
      <c r="D22742" t="s">
        <v>17</v>
      </c>
      <c r="E22742" t="s">
        <v>12</v>
      </c>
      <c r="F22742">
        <v>110122033</v>
      </c>
      <c r="G22742">
        <v>110122135</v>
      </c>
      <c r="H22742">
        <v>110122248</v>
      </c>
      <c r="I22742">
        <v>110122297</v>
      </c>
    </row>
    <row r="22743" spans="1:9" x14ac:dyDescent="0.2">
      <c r="A22743" t="str">
        <f>"Wee2"</f>
        <v>Wee2</v>
      </c>
      <c r="B22743" t="s">
        <v>14</v>
      </c>
      <c r="C22743" t="s">
        <v>32</v>
      </c>
      <c r="D22743" t="s">
        <v>17</v>
      </c>
      <c r="E22743" t="s">
        <v>12</v>
      </c>
      <c r="F22743">
        <v>40442925</v>
      </c>
      <c r="G22743">
        <v>40442940</v>
      </c>
      <c r="H22743">
        <v>40442925</v>
      </c>
      <c r="I22743">
        <v>40442940</v>
      </c>
    </row>
    <row r="22744" spans="1:9" x14ac:dyDescent="0.2">
      <c r="A22744" t="str">
        <f>"Wfdc1"</f>
        <v>Wfdc1</v>
      </c>
      <c r="B22744" t="s">
        <v>14</v>
      </c>
      <c r="C22744" t="s">
        <v>30</v>
      </c>
      <c r="D22744" t="s">
        <v>17</v>
      </c>
      <c r="E22744" t="s">
        <v>12</v>
      </c>
      <c r="F22744">
        <v>119666498</v>
      </c>
      <c r="G22744">
        <v>119666511</v>
      </c>
      <c r="H22744">
        <v>119666467</v>
      </c>
      <c r="I22744">
        <v>119666480</v>
      </c>
    </row>
    <row r="22745" spans="1:9" x14ac:dyDescent="0.2">
      <c r="A22745" t="str">
        <f>"Wfdc10"</f>
        <v>Wfdc10</v>
      </c>
      <c r="B22745" t="s">
        <v>14</v>
      </c>
      <c r="C22745" t="s">
        <v>26</v>
      </c>
      <c r="D22745" t="s">
        <v>17</v>
      </c>
      <c r="E22745" t="s">
        <v>12</v>
      </c>
      <c r="F22745">
        <v>164656043</v>
      </c>
      <c r="G22745">
        <v>164656113</v>
      </c>
      <c r="H22745">
        <v>164656043</v>
      </c>
      <c r="I22745">
        <v>164656113</v>
      </c>
    </row>
    <row r="22746" spans="1:9" x14ac:dyDescent="0.2">
      <c r="A22746" t="str">
        <f>"Wfdc11"</f>
        <v>Wfdc11</v>
      </c>
      <c r="B22746" t="s">
        <v>14</v>
      </c>
      <c r="C22746" t="s">
        <v>26</v>
      </c>
      <c r="D22746" t="s">
        <v>11</v>
      </c>
      <c r="E22746" t="s">
        <v>12</v>
      </c>
      <c r="F22746">
        <v>164674081</v>
      </c>
      <c r="G22746">
        <v>164674095</v>
      </c>
      <c r="H22746">
        <v>164674072</v>
      </c>
      <c r="I22746">
        <v>164674080</v>
      </c>
    </row>
    <row r="22747" spans="1:9" x14ac:dyDescent="0.2">
      <c r="A22747" t="str">
        <f>"Wfdc12"</f>
        <v>Wfdc12</v>
      </c>
      <c r="B22747" t="s">
        <v>14</v>
      </c>
      <c r="C22747" t="s">
        <v>26</v>
      </c>
      <c r="D22747" t="s">
        <v>11</v>
      </c>
      <c r="E22747" t="s">
        <v>12</v>
      </c>
      <c r="F22747">
        <v>164190601</v>
      </c>
      <c r="G22747">
        <v>164190614</v>
      </c>
      <c r="H22747">
        <v>164190576</v>
      </c>
      <c r="I22747">
        <v>164190590</v>
      </c>
    </row>
    <row r="22748" spans="1:9" x14ac:dyDescent="0.2">
      <c r="A22748" t="str">
        <f>"Wfdc13"</f>
        <v>Wfdc13</v>
      </c>
      <c r="B22748" t="s">
        <v>14</v>
      </c>
      <c r="C22748" t="s">
        <v>26</v>
      </c>
      <c r="D22748" t="s">
        <v>17</v>
      </c>
      <c r="E22748" t="s">
        <v>12</v>
      </c>
      <c r="F22748">
        <v>164685080</v>
      </c>
      <c r="G22748">
        <v>164685152</v>
      </c>
      <c r="H22748">
        <v>164685080</v>
      </c>
      <c r="I22748">
        <v>164685152</v>
      </c>
    </row>
    <row r="22749" spans="1:9" x14ac:dyDescent="0.2">
      <c r="A22749" t="str">
        <f>"Wfdc15a"</f>
        <v>Wfdc15a</v>
      </c>
      <c r="B22749" t="s">
        <v>14</v>
      </c>
      <c r="C22749" t="s">
        <v>26</v>
      </c>
      <c r="D22749" t="s">
        <v>11</v>
      </c>
      <c r="E22749" t="s">
        <v>12</v>
      </c>
      <c r="F22749">
        <v>164200076</v>
      </c>
      <c r="G22749">
        <v>164200150</v>
      </c>
      <c r="H22749">
        <v>164200076</v>
      </c>
      <c r="I22749">
        <v>164200150</v>
      </c>
    </row>
    <row r="22750" spans="1:9" x14ac:dyDescent="0.2">
      <c r="A22750" t="str">
        <f>"Wfdc15b"</f>
        <v>Wfdc15b</v>
      </c>
      <c r="B22750" t="s">
        <v>9</v>
      </c>
      <c r="C22750" t="s">
        <v>26</v>
      </c>
      <c r="D22750" t="s">
        <v>11</v>
      </c>
      <c r="E22750" t="s">
        <v>12</v>
      </c>
      <c r="F22750">
        <v>164221605</v>
      </c>
      <c r="G22750">
        <v>164221677</v>
      </c>
      <c r="H22750">
        <v>164221605</v>
      </c>
      <c r="I22750">
        <v>164221677</v>
      </c>
    </row>
    <row r="22751" spans="1:9" x14ac:dyDescent="0.2">
      <c r="A22751" t="str">
        <f>"Wfdc15b"</f>
        <v>Wfdc15b</v>
      </c>
      <c r="B22751" t="s">
        <v>13</v>
      </c>
      <c r="C22751" t="s">
        <v>26</v>
      </c>
      <c r="D22751" t="s">
        <v>11</v>
      </c>
      <c r="E22751" t="s">
        <v>12</v>
      </c>
      <c r="F22751">
        <v>164215496</v>
      </c>
      <c r="G22751">
        <v>164215506</v>
      </c>
      <c r="H22751">
        <v>164215496</v>
      </c>
      <c r="I22751">
        <v>164215506</v>
      </c>
    </row>
    <row r="22752" spans="1:9" x14ac:dyDescent="0.2">
      <c r="A22752" t="str">
        <f>"Wfdc16"</f>
        <v>Wfdc16</v>
      </c>
      <c r="B22752" t="s">
        <v>14</v>
      </c>
      <c r="C22752" t="s">
        <v>26</v>
      </c>
      <c r="D22752" t="s">
        <v>11</v>
      </c>
      <c r="E22752" t="s">
        <v>12</v>
      </c>
      <c r="F22752">
        <v>164638789</v>
      </c>
      <c r="G22752">
        <v>164638810</v>
      </c>
      <c r="H22752">
        <v>164638812</v>
      </c>
      <c r="I22752">
        <v>164638833</v>
      </c>
    </row>
    <row r="22753" spans="1:9" x14ac:dyDescent="0.2">
      <c r="A22753" t="str">
        <f>"Wfdc17"</f>
        <v>Wfdc17</v>
      </c>
      <c r="B22753" t="s">
        <v>14</v>
      </c>
      <c r="C22753" t="s">
        <v>27</v>
      </c>
      <c r="D22753" t="s">
        <v>17</v>
      </c>
      <c r="E22753" t="s">
        <v>67</v>
      </c>
      <c r="F22753">
        <v>83704053</v>
      </c>
      <c r="G22753">
        <v>83704090</v>
      </c>
      <c r="H22753">
        <v>83704053</v>
      </c>
      <c r="I22753">
        <v>83704090</v>
      </c>
    </row>
    <row r="22754" spans="1:9" x14ac:dyDescent="0.2">
      <c r="A22754" t="str">
        <f>"Wfdc18"</f>
        <v>Wfdc18</v>
      </c>
      <c r="B22754" t="s">
        <v>14</v>
      </c>
      <c r="C22754" t="s">
        <v>27</v>
      </c>
      <c r="D22754" t="s">
        <v>17</v>
      </c>
      <c r="E22754" t="s">
        <v>67</v>
      </c>
      <c r="F22754">
        <v>83709101</v>
      </c>
      <c r="G22754">
        <v>83709116</v>
      </c>
      <c r="H22754">
        <v>83709093</v>
      </c>
      <c r="I22754">
        <v>83709096</v>
      </c>
    </row>
    <row r="22755" spans="1:9" x14ac:dyDescent="0.2">
      <c r="A22755" t="str">
        <f>"Wfdc2"</f>
        <v>Wfdc2</v>
      </c>
      <c r="B22755" t="s">
        <v>14</v>
      </c>
      <c r="C22755" t="s">
        <v>26</v>
      </c>
      <c r="D22755" t="s">
        <v>17</v>
      </c>
      <c r="E22755" t="s">
        <v>12</v>
      </c>
      <c r="F22755">
        <v>164562707</v>
      </c>
      <c r="G22755">
        <v>164562721</v>
      </c>
      <c r="H22755">
        <v>164562707</v>
      </c>
      <c r="I22755">
        <v>164562721</v>
      </c>
    </row>
    <row r="22756" spans="1:9" x14ac:dyDescent="0.2">
      <c r="A22756" t="str">
        <f>"Wfdc3"</f>
        <v>Wfdc3</v>
      </c>
      <c r="B22756" t="s">
        <v>14</v>
      </c>
      <c r="C22756" t="s">
        <v>26</v>
      </c>
      <c r="D22756" t="s">
        <v>11</v>
      </c>
      <c r="E22756" t="s">
        <v>12</v>
      </c>
      <c r="F22756">
        <v>164745916</v>
      </c>
      <c r="G22756">
        <v>164745940</v>
      </c>
      <c r="H22756">
        <v>164745916</v>
      </c>
      <c r="I22756">
        <v>164745940</v>
      </c>
    </row>
    <row r="22757" spans="1:9" x14ac:dyDescent="0.2">
      <c r="A22757" t="str">
        <f>"Wfdc5"</f>
        <v>Wfdc5</v>
      </c>
      <c r="B22757" t="s">
        <v>14</v>
      </c>
      <c r="C22757" t="s">
        <v>26</v>
      </c>
      <c r="D22757" t="s">
        <v>11</v>
      </c>
      <c r="E22757" t="s">
        <v>12</v>
      </c>
      <c r="F22757">
        <v>164182729</v>
      </c>
      <c r="G22757">
        <v>164182766</v>
      </c>
      <c r="H22757">
        <v>164182667</v>
      </c>
      <c r="I22757">
        <v>164182686</v>
      </c>
    </row>
    <row r="22758" spans="1:9" x14ac:dyDescent="0.2">
      <c r="A22758" t="str">
        <f>"Wfdc6a"</f>
        <v>Wfdc6a</v>
      </c>
      <c r="B22758" t="s">
        <v>14</v>
      </c>
      <c r="C22758" t="s">
        <v>26</v>
      </c>
      <c r="D22758" t="s">
        <v>11</v>
      </c>
      <c r="E22758" t="s">
        <v>12</v>
      </c>
      <c r="F22758">
        <v>164585455</v>
      </c>
      <c r="G22758">
        <v>164585458</v>
      </c>
      <c r="H22758">
        <v>164585532</v>
      </c>
      <c r="I22758">
        <v>164585548</v>
      </c>
    </row>
    <row r="22759" spans="1:9" x14ac:dyDescent="0.2">
      <c r="A22759" t="str">
        <f>"Wfdc6b"</f>
        <v>Wfdc6b</v>
      </c>
      <c r="B22759" t="s">
        <v>14</v>
      </c>
      <c r="C22759" t="s">
        <v>26</v>
      </c>
      <c r="D22759" t="s">
        <v>17</v>
      </c>
      <c r="E22759" t="s">
        <v>12</v>
      </c>
      <c r="F22759">
        <v>164613519</v>
      </c>
      <c r="G22759">
        <v>164613529</v>
      </c>
      <c r="H22759">
        <v>164613519</v>
      </c>
      <c r="I22759">
        <v>164613529</v>
      </c>
    </row>
    <row r="22760" spans="1:9" x14ac:dyDescent="0.2">
      <c r="A22760" t="str">
        <f>"Wfdc8"</f>
        <v>Wfdc8</v>
      </c>
      <c r="B22760" t="s">
        <v>14</v>
      </c>
      <c r="C22760" t="s">
        <v>26</v>
      </c>
      <c r="D22760" t="s">
        <v>11</v>
      </c>
      <c r="E22760" t="s">
        <v>12</v>
      </c>
      <c r="F22760">
        <v>164613600</v>
      </c>
      <c r="G22760">
        <v>164613630</v>
      </c>
      <c r="H22760">
        <v>164613535</v>
      </c>
      <c r="I22760">
        <v>164613566</v>
      </c>
    </row>
    <row r="22761" spans="1:9" x14ac:dyDescent="0.2">
      <c r="A22761" t="str">
        <f>"Wfdc9"</f>
        <v>Wfdc9</v>
      </c>
      <c r="B22761" t="s">
        <v>14</v>
      </c>
      <c r="C22761" t="s">
        <v>26</v>
      </c>
      <c r="D22761" t="s">
        <v>11</v>
      </c>
      <c r="E22761" t="s">
        <v>12</v>
      </c>
      <c r="F22761">
        <v>164654927</v>
      </c>
      <c r="G22761">
        <v>164654956</v>
      </c>
      <c r="H22761">
        <v>164654965</v>
      </c>
      <c r="I22761">
        <v>164654971</v>
      </c>
    </row>
    <row r="22762" spans="1:9" x14ac:dyDescent="0.2">
      <c r="A22762" t="str">
        <f>"Wfikkn1"</f>
        <v>Wfikkn1</v>
      </c>
      <c r="B22762" t="s">
        <v>14</v>
      </c>
      <c r="C22762" t="s">
        <v>28</v>
      </c>
      <c r="D22762" t="s">
        <v>11</v>
      </c>
      <c r="E22762" t="s">
        <v>12</v>
      </c>
      <c r="F22762">
        <v>25880850</v>
      </c>
      <c r="G22762">
        <v>25880851</v>
      </c>
      <c r="H22762">
        <v>25880850</v>
      </c>
      <c r="I22762">
        <v>25880851</v>
      </c>
    </row>
    <row r="22763" spans="1:9" x14ac:dyDescent="0.2">
      <c r="A22763" t="str">
        <f>"Wfikkn2"</f>
        <v>Wfikkn2</v>
      </c>
      <c r="B22763" t="s">
        <v>14</v>
      </c>
      <c r="C22763" t="s">
        <v>27</v>
      </c>
      <c r="D22763" t="s">
        <v>11</v>
      </c>
      <c r="E22763" t="s">
        <v>12</v>
      </c>
      <c r="F22763">
        <v>94242701</v>
      </c>
      <c r="G22763">
        <v>94242729</v>
      </c>
      <c r="H22763">
        <v>94242733</v>
      </c>
      <c r="I22763">
        <v>94242759</v>
      </c>
    </row>
    <row r="22764" spans="1:9" x14ac:dyDescent="0.2">
      <c r="A22764" t="str">
        <f>"Wfs1"</f>
        <v>Wfs1</v>
      </c>
      <c r="B22764" t="s">
        <v>14</v>
      </c>
      <c r="C22764" t="s">
        <v>46</v>
      </c>
      <c r="D22764" t="s">
        <v>11</v>
      </c>
      <c r="E22764" t="s">
        <v>12</v>
      </c>
      <c r="F22764">
        <v>36988922</v>
      </c>
      <c r="G22764">
        <v>36988970</v>
      </c>
      <c r="H22764">
        <v>36989161</v>
      </c>
      <c r="I22764">
        <v>36989162</v>
      </c>
    </row>
    <row r="22765" spans="1:9" x14ac:dyDescent="0.2">
      <c r="A22765" t="str">
        <f>"Whamm"</f>
        <v>Whamm</v>
      </c>
      <c r="B22765" t="s">
        <v>14</v>
      </c>
      <c r="C22765" t="s">
        <v>33</v>
      </c>
      <c r="D22765" t="s">
        <v>17</v>
      </c>
      <c r="E22765" t="s">
        <v>12</v>
      </c>
      <c r="F22765">
        <v>81571246</v>
      </c>
      <c r="G22765">
        <v>81571318</v>
      </c>
      <c r="H22765">
        <v>81571246</v>
      </c>
      <c r="I22765">
        <v>81571318</v>
      </c>
    </row>
    <row r="22766" spans="1:9" x14ac:dyDescent="0.2">
      <c r="A22766" t="str">
        <f>"Whrn"</f>
        <v>Whrn</v>
      </c>
      <c r="B22766" t="s">
        <v>14</v>
      </c>
      <c r="C22766" t="s">
        <v>23</v>
      </c>
      <c r="D22766" t="s">
        <v>11</v>
      </c>
      <c r="E22766" t="s">
        <v>12</v>
      </c>
      <c r="F22766">
        <v>63495982</v>
      </c>
      <c r="G22766">
        <v>63496033</v>
      </c>
      <c r="H22766">
        <v>63496035</v>
      </c>
      <c r="I22766">
        <v>63496065</v>
      </c>
    </row>
    <row r="22767" spans="1:9" x14ac:dyDescent="0.2">
      <c r="A22767" t="str">
        <f>"Whsc1"</f>
        <v>Whsc1</v>
      </c>
      <c r="B22767" t="s">
        <v>14</v>
      </c>
      <c r="C22767" t="s">
        <v>46</v>
      </c>
      <c r="D22767" t="s">
        <v>17</v>
      </c>
      <c r="E22767" t="s">
        <v>12</v>
      </c>
      <c r="F22767">
        <v>33820695</v>
      </c>
      <c r="G22767">
        <v>33820835</v>
      </c>
      <c r="H22767">
        <v>33820695</v>
      </c>
      <c r="I22767">
        <v>33820835</v>
      </c>
    </row>
    <row r="22768" spans="1:9" x14ac:dyDescent="0.2">
      <c r="A22768" t="str">
        <f>"Whsc1l1"</f>
        <v>Whsc1l1</v>
      </c>
      <c r="B22768" t="s">
        <v>14</v>
      </c>
      <c r="C22768" t="s">
        <v>30</v>
      </c>
      <c r="D22768" t="s">
        <v>17</v>
      </c>
      <c r="E22768" t="s">
        <v>12</v>
      </c>
      <c r="F22768">
        <v>25602236</v>
      </c>
      <c r="G22768">
        <v>25602315</v>
      </c>
      <c r="H22768">
        <v>25601617</v>
      </c>
      <c r="I22768">
        <v>25601670</v>
      </c>
    </row>
    <row r="22769" spans="1:9" x14ac:dyDescent="0.2">
      <c r="A22769" t="str">
        <f>"Wibg"</f>
        <v>Wibg</v>
      </c>
      <c r="B22769" t="s">
        <v>14</v>
      </c>
      <c r="C22769" t="s">
        <v>15</v>
      </c>
      <c r="D22769" t="s">
        <v>17</v>
      </c>
      <c r="E22769" t="s">
        <v>12</v>
      </c>
      <c r="F22769">
        <v>128748501</v>
      </c>
      <c r="G22769">
        <v>128748538</v>
      </c>
      <c r="H22769">
        <v>128747850</v>
      </c>
      <c r="I22769">
        <v>128747895</v>
      </c>
    </row>
    <row r="22770" spans="1:9" x14ac:dyDescent="0.2">
      <c r="A22770" t="str">
        <f>"Wif1"</f>
        <v>Wif1</v>
      </c>
      <c r="B22770" t="s">
        <v>14</v>
      </c>
      <c r="C22770" t="s">
        <v>15</v>
      </c>
      <c r="D22770" t="s">
        <v>17</v>
      </c>
      <c r="E22770" t="s">
        <v>12</v>
      </c>
      <c r="F22770">
        <v>121034168</v>
      </c>
      <c r="G22770">
        <v>121034197</v>
      </c>
      <c r="H22770">
        <v>121033985</v>
      </c>
      <c r="I22770">
        <v>121034012</v>
      </c>
    </row>
    <row r="22771" spans="1:9" x14ac:dyDescent="0.2">
      <c r="A22771" t="str">
        <f>"Wipf1"</f>
        <v>Wipf1</v>
      </c>
      <c r="B22771" t="s">
        <v>9</v>
      </c>
      <c r="C22771" t="s">
        <v>26</v>
      </c>
      <c r="D22771" t="s">
        <v>11</v>
      </c>
      <c r="E22771" t="s">
        <v>12</v>
      </c>
      <c r="F22771">
        <v>73529391</v>
      </c>
      <c r="G22771">
        <v>73529493</v>
      </c>
      <c r="H22771">
        <v>73529391</v>
      </c>
      <c r="I22771">
        <v>73529493</v>
      </c>
    </row>
    <row r="22772" spans="1:9" x14ac:dyDescent="0.2">
      <c r="A22772" t="str">
        <f>"Wipf1"</f>
        <v>Wipf1</v>
      </c>
      <c r="B22772" t="s">
        <v>13</v>
      </c>
      <c r="C22772" t="s">
        <v>26</v>
      </c>
      <c r="D22772" t="s">
        <v>11</v>
      </c>
      <c r="E22772" t="s">
        <v>12</v>
      </c>
      <c r="F22772">
        <v>73486405</v>
      </c>
      <c r="G22772">
        <v>73486418</v>
      </c>
      <c r="H22772">
        <v>73486405</v>
      </c>
      <c r="I22772">
        <v>73486418</v>
      </c>
    </row>
    <row r="22773" spans="1:9" x14ac:dyDescent="0.2">
      <c r="A22773" t="str">
        <f>"Wipf2"</f>
        <v>Wipf2</v>
      </c>
      <c r="B22773" t="s">
        <v>14</v>
      </c>
      <c r="C22773" t="s">
        <v>27</v>
      </c>
      <c r="D22773" t="s">
        <v>17</v>
      </c>
      <c r="E22773" t="s">
        <v>12</v>
      </c>
      <c r="F22773">
        <v>98863610</v>
      </c>
      <c r="G22773">
        <v>98863646</v>
      </c>
      <c r="H22773">
        <v>98863655</v>
      </c>
      <c r="I22773">
        <v>98863690</v>
      </c>
    </row>
    <row r="22774" spans="1:9" x14ac:dyDescent="0.2">
      <c r="A22774" t="str">
        <f>"Wipf3"</f>
        <v>Wipf3</v>
      </c>
      <c r="B22774" t="s">
        <v>14</v>
      </c>
      <c r="C22774" t="s">
        <v>32</v>
      </c>
      <c r="D22774" t="s">
        <v>17</v>
      </c>
      <c r="E22774" t="s">
        <v>12</v>
      </c>
      <c r="F22774">
        <v>54429678</v>
      </c>
      <c r="G22774">
        <v>54429694</v>
      </c>
      <c r="H22774">
        <v>54429632</v>
      </c>
      <c r="I22774">
        <v>54429649</v>
      </c>
    </row>
    <row r="22775" spans="1:9" x14ac:dyDescent="0.2">
      <c r="A22775" t="str">
        <f>"Wipi1"</f>
        <v>Wipi1</v>
      </c>
      <c r="B22775" t="s">
        <v>14</v>
      </c>
      <c r="C22775" t="s">
        <v>27</v>
      </c>
      <c r="D22775" t="s">
        <v>11</v>
      </c>
      <c r="E22775" t="s">
        <v>12</v>
      </c>
      <c r="F22775">
        <v>109611353</v>
      </c>
      <c r="G22775">
        <v>109611414</v>
      </c>
      <c r="H22775">
        <v>109611337</v>
      </c>
      <c r="I22775">
        <v>109611349</v>
      </c>
    </row>
    <row r="22776" spans="1:9" x14ac:dyDescent="0.2">
      <c r="A22776" t="str">
        <f>"Wipi2"</f>
        <v>Wipi2</v>
      </c>
      <c r="B22776" t="s">
        <v>14</v>
      </c>
      <c r="C22776" t="s">
        <v>46</v>
      </c>
      <c r="D22776" t="s">
        <v>17</v>
      </c>
      <c r="E22776" t="s">
        <v>12</v>
      </c>
      <c r="F22776">
        <v>142629537</v>
      </c>
      <c r="G22776">
        <v>142629589</v>
      </c>
      <c r="H22776">
        <v>142629598</v>
      </c>
      <c r="I22776">
        <v>142629615</v>
      </c>
    </row>
    <row r="22777" spans="1:9" x14ac:dyDescent="0.2">
      <c r="A22777" t="str">
        <f>"Wisp1"</f>
        <v>Wisp1</v>
      </c>
      <c r="B22777" t="s">
        <v>14</v>
      </c>
      <c r="C22777" t="s">
        <v>25</v>
      </c>
      <c r="D22777" t="s">
        <v>17</v>
      </c>
      <c r="E22777" t="s">
        <v>12</v>
      </c>
      <c r="F22777">
        <v>66891477</v>
      </c>
      <c r="G22777">
        <v>66891495</v>
      </c>
      <c r="H22777">
        <v>66891378</v>
      </c>
      <c r="I22777">
        <v>66891389</v>
      </c>
    </row>
    <row r="22778" spans="1:9" x14ac:dyDescent="0.2">
      <c r="A22778" t="str">
        <f>"Wisp2"</f>
        <v>Wisp2</v>
      </c>
      <c r="B22778" t="s">
        <v>14</v>
      </c>
      <c r="C22778" t="s">
        <v>26</v>
      </c>
      <c r="D22778" t="s">
        <v>17</v>
      </c>
      <c r="E22778" t="s">
        <v>12</v>
      </c>
      <c r="F22778">
        <v>163820832</v>
      </c>
      <c r="G22778">
        <v>163820894</v>
      </c>
      <c r="H22778">
        <v>163820832</v>
      </c>
      <c r="I22778">
        <v>163820894</v>
      </c>
    </row>
    <row r="22779" spans="1:9" x14ac:dyDescent="0.2">
      <c r="A22779" t="str">
        <f>"Wisp3"</f>
        <v>Wisp3</v>
      </c>
      <c r="B22779" t="s">
        <v>6322</v>
      </c>
      <c r="C22779" t="s">
        <v>15</v>
      </c>
      <c r="D22779" t="s">
        <v>11</v>
      </c>
      <c r="E22779" t="s">
        <v>20</v>
      </c>
      <c r="F22779">
        <v>39163793</v>
      </c>
      <c r="G22779">
        <v>39163793</v>
      </c>
      <c r="H22779">
        <v>39163793</v>
      </c>
      <c r="I22779">
        <v>39163793</v>
      </c>
    </row>
    <row r="22780" spans="1:9" x14ac:dyDescent="0.2">
      <c r="A22780" t="str">
        <f>"Wiz"</f>
        <v>Wiz</v>
      </c>
      <c r="B22780" t="s">
        <v>9</v>
      </c>
      <c r="C22780" t="s">
        <v>28</v>
      </c>
      <c r="D22780" t="s">
        <v>11</v>
      </c>
      <c r="E22780" t="s">
        <v>12</v>
      </c>
      <c r="F22780">
        <v>32364430</v>
      </c>
      <c r="G22780">
        <v>32364488</v>
      </c>
      <c r="H22780">
        <v>32364430</v>
      </c>
      <c r="I22780">
        <v>32364488</v>
      </c>
    </row>
    <row r="22781" spans="1:9" x14ac:dyDescent="0.2">
      <c r="A22781" t="str">
        <f>"Wiz"</f>
        <v>Wiz</v>
      </c>
      <c r="B22781" t="s">
        <v>13</v>
      </c>
      <c r="C22781" t="s">
        <v>28</v>
      </c>
      <c r="D22781" t="s">
        <v>11</v>
      </c>
      <c r="E22781" t="s">
        <v>12</v>
      </c>
      <c r="F22781">
        <v>32389364</v>
      </c>
      <c r="G22781">
        <v>32389411</v>
      </c>
      <c r="H22781">
        <v>32389364</v>
      </c>
      <c r="I22781">
        <v>32389411</v>
      </c>
    </row>
    <row r="22782" spans="1:9" x14ac:dyDescent="0.2">
      <c r="A22782" t="str">
        <f>"Wls"</f>
        <v>Wls</v>
      </c>
      <c r="B22782" t="s">
        <v>14</v>
      </c>
      <c r="C22782" t="s">
        <v>22</v>
      </c>
      <c r="D22782" t="s">
        <v>17</v>
      </c>
      <c r="E22782" t="s">
        <v>12</v>
      </c>
      <c r="F22782">
        <v>159839729</v>
      </c>
      <c r="G22782">
        <v>159839745</v>
      </c>
      <c r="H22782">
        <v>159839690</v>
      </c>
      <c r="I22782">
        <v>159839717</v>
      </c>
    </row>
    <row r="22783" spans="1:9" x14ac:dyDescent="0.2">
      <c r="A22783" t="str">
        <f>"Wnk1"</f>
        <v>Wnk1</v>
      </c>
      <c r="B22783" t="s">
        <v>14</v>
      </c>
      <c r="C22783" t="s">
        <v>32</v>
      </c>
      <c r="D22783" t="s">
        <v>11</v>
      </c>
      <c r="E22783" t="s">
        <v>12</v>
      </c>
      <c r="F22783">
        <v>120038647</v>
      </c>
      <c r="G22783">
        <v>120038699</v>
      </c>
      <c r="H22783">
        <v>120038621</v>
      </c>
      <c r="I22783">
        <v>120038636</v>
      </c>
    </row>
    <row r="22784" spans="1:9" x14ac:dyDescent="0.2">
      <c r="A22784" t="str">
        <f>"Wnk2"</f>
        <v>Wnk2</v>
      </c>
      <c r="B22784" t="s">
        <v>14</v>
      </c>
      <c r="C22784" t="s">
        <v>39</v>
      </c>
      <c r="D22784" t="s">
        <v>11</v>
      </c>
      <c r="E22784" t="s">
        <v>12</v>
      </c>
      <c r="F22784">
        <v>49147931</v>
      </c>
      <c r="G22784">
        <v>49148037</v>
      </c>
      <c r="H22784">
        <v>49147931</v>
      </c>
      <c r="I22784">
        <v>49148037</v>
      </c>
    </row>
    <row r="22785" spans="1:9" x14ac:dyDescent="0.2">
      <c r="A22785" t="str">
        <f>"Wnk3"</f>
        <v>Wnk3</v>
      </c>
      <c r="B22785" t="s">
        <v>6323</v>
      </c>
      <c r="C22785" t="s">
        <v>37</v>
      </c>
      <c r="D22785" t="s">
        <v>17</v>
      </c>
      <c r="E22785" t="s">
        <v>20</v>
      </c>
      <c r="F22785">
        <v>151198097</v>
      </c>
      <c r="G22785">
        <v>151198097</v>
      </c>
      <c r="H22785">
        <v>151198097</v>
      </c>
      <c r="I22785">
        <v>151198097</v>
      </c>
    </row>
    <row r="22786" spans="1:9" x14ac:dyDescent="0.2">
      <c r="A22786" t="str">
        <f>"Wnk4"</f>
        <v>Wnk4</v>
      </c>
      <c r="B22786" t="s">
        <v>14</v>
      </c>
      <c r="C22786" t="s">
        <v>27</v>
      </c>
      <c r="D22786" t="s">
        <v>17</v>
      </c>
      <c r="E22786" t="s">
        <v>12</v>
      </c>
      <c r="F22786">
        <v>101260569</v>
      </c>
      <c r="G22786">
        <v>101260622</v>
      </c>
      <c r="H22786">
        <v>101260549</v>
      </c>
      <c r="I22786">
        <v>101260560</v>
      </c>
    </row>
    <row r="22787" spans="1:9" x14ac:dyDescent="0.2">
      <c r="A22787" t="str">
        <f>"Wnt1"</f>
        <v>Wnt1</v>
      </c>
      <c r="B22787" t="s">
        <v>14</v>
      </c>
      <c r="C22787" t="s">
        <v>25</v>
      </c>
      <c r="D22787" t="s">
        <v>17</v>
      </c>
      <c r="E22787" t="s">
        <v>12</v>
      </c>
      <c r="F22787">
        <v>98789844</v>
      </c>
      <c r="G22787">
        <v>98789845</v>
      </c>
      <c r="H22787">
        <v>98789844</v>
      </c>
      <c r="I22787">
        <v>98789845</v>
      </c>
    </row>
    <row r="22788" spans="1:9" x14ac:dyDescent="0.2">
      <c r="A22788" t="str">
        <f>"Wnt10a"</f>
        <v>Wnt10a</v>
      </c>
      <c r="B22788" t="s">
        <v>14</v>
      </c>
      <c r="C22788" t="s">
        <v>19</v>
      </c>
      <c r="D22788" t="s">
        <v>17</v>
      </c>
      <c r="E22788" t="s">
        <v>12</v>
      </c>
      <c r="F22788">
        <v>74792023</v>
      </c>
      <c r="G22788">
        <v>74792076</v>
      </c>
      <c r="H22788">
        <v>74792023</v>
      </c>
      <c r="I22788">
        <v>74792076</v>
      </c>
    </row>
    <row r="22789" spans="1:9" x14ac:dyDescent="0.2">
      <c r="A22789" t="str">
        <f>"Wnt10b"</f>
        <v>Wnt10b</v>
      </c>
      <c r="B22789" t="s">
        <v>14</v>
      </c>
      <c r="C22789" t="s">
        <v>25</v>
      </c>
      <c r="D22789" t="s">
        <v>11</v>
      </c>
      <c r="E22789" t="s">
        <v>12</v>
      </c>
      <c r="F22789">
        <v>98778545</v>
      </c>
      <c r="G22789">
        <v>98778568</v>
      </c>
      <c r="H22789">
        <v>98778108</v>
      </c>
      <c r="I22789">
        <v>98778131</v>
      </c>
    </row>
    <row r="22790" spans="1:9" x14ac:dyDescent="0.2">
      <c r="A22790" t="str">
        <f>"Wnt11"</f>
        <v>Wnt11</v>
      </c>
      <c r="B22790" t="s">
        <v>9</v>
      </c>
      <c r="C22790" t="s">
        <v>33</v>
      </c>
      <c r="D22790" t="s">
        <v>17</v>
      </c>
      <c r="E22790" t="s">
        <v>12</v>
      </c>
      <c r="F22790">
        <v>98835104</v>
      </c>
      <c r="G22790">
        <v>98835119</v>
      </c>
      <c r="H22790">
        <v>98835104</v>
      </c>
      <c r="I22790">
        <v>98835119</v>
      </c>
    </row>
    <row r="22791" spans="1:9" x14ac:dyDescent="0.2">
      <c r="A22791" t="str">
        <f>"Wnt11"</f>
        <v>Wnt11</v>
      </c>
      <c r="B22791" t="s">
        <v>13</v>
      </c>
      <c r="C22791" t="s">
        <v>33</v>
      </c>
      <c r="D22791" t="s">
        <v>17</v>
      </c>
      <c r="E22791" t="s">
        <v>12</v>
      </c>
      <c r="F22791">
        <v>98838995</v>
      </c>
      <c r="G22791">
        <v>98839010</v>
      </c>
      <c r="H22791">
        <v>98838995</v>
      </c>
      <c r="I22791">
        <v>98839010</v>
      </c>
    </row>
    <row r="22792" spans="1:9" x14ac:dyDescent="0.2">
      <c r="A22792" t="str">
        <f>"Wnt16"</f>
        <v>Wnt16</v>
      </c>
      <c r="B22792" t="s">
        <v>14</v>
      </c>
      <c r="C22792" t="s">
        <v>32</v>
      </c>
      <c r="D22792" t="s">
        <v>17</v>
      </c>
      <c r="E22792" t="s">
        <v>12</v>
      </c>
      <c r="F22792">
        <v>22288221</v>
      </c>
      <c r="G22792">
        <v>22288238</v>
      </c>
      <c r="H22792">
        <v>22288247</v>
      </c>
      <c r="I22792">
        <v>22288251</v>
      </c>
    </row>
    <row r="22793" spans="1:9" x14ac:dyDescent="0.2">
      <c r="A22793" t="str">
        <f>"Wnt2"</f>
        <v>Wnt2</v>
      </c>
      <c r="B22793" t="s">
        <v>14</v>
      </c>
      <c r="C22793" t="s">
        <v>32</v>
      </c>
      <c r="D22793" t="s">
        <v>11</v>
      </c>
      <c r="E22793" t="s">
        <v>12</v>
      </c>
      <c r="F22793">
        <v>18030344</v>
      </c>
      <c r="G22793">
        <v>18030389</v>
      </c>
      <c r="H22793">
        <v>18030435</v>
      </c>
      <c r="I22793">
        <v>18030460</v>
      </c>
    </row>
    <row r="22794" spans="1:9" x14ac:dyDescent="0.2">
      <c r="A22794" t="str">
        <f>"Wnt2b"</f>
        <v>Wnt2b</v>
      </c>
      <c r="B22794" t="s">
        <v>14</v>
      </c>
      <c r="C22794" t="s">
        <v>22</v>
      </c>
      <c r="D22794" t="s">
        <v>11</v>
      </c>
      <c r="E22794" t="s">
        <v>12</v>
      </c>
      <c r="F22794">
        <v>104961695</v>
      </c>
      <c r="G22794">
        <v>104961728</v>
      </c>
      <c r="H22794">
        <v>104961668</v>
      </c>
      <c r="I22794">
        <v>104961686</v>
      </c>
    </row>
    <row r="22795" spans="1:9" x14ac:dyDescent="0.2">
      <c r="A22795" t="str">
        <f>"Wnt3"</f>
        <v>Wnt3</v>
      </c>
      <c r="B22795" t="s">
        <v>14</v>
      </c>
      <c r="C22795" t="s">
        <v>27</v>
      </c>
      <c r="D22795" t="s">
        <v>17</v>
      </c>
      <c r="E22795" t="s">
        <v>12</v>
      </c>
      <c r="F22795">
        <v>103774165</v>
      </c>
      <c r="G22795">
        <v>103774193</v>
      </c>
      <c r="H22795">
        <v>103774127</v>
      </c>
      <c r="I22795">
        <v>103774154</v>
      </c>
    </row>
    <row r="22796" spans="1:9" x14ac:dyDescent="0.2">
      <c r="A22796" t="str">
        <f>"Wnt3a"</f>
        <v>Wnt3a</v>
      </c>
      <c r="B22796" t="s">
        <v>14</v>
      </c>
      <c r="C22796" t="s">
        <v>27</v>
      </c>
      <c r="D22796" t="s">
        <v>11</v>
      </c>
      <c r="E22796" t="s">
        <v>12</v>
      </c>
      <c r="F22796">
        <v>59290746</v>
      </c>
      <c r="G22796">
        <v>59290758</v>
      </c>
      <c r="H22796">
        <v>59290760</v>
      </c>
      <c r="I22796">
        <v>59290771</v>
      </c>
    </row>
    <row r="22797" spans="1:9" x14ac:dyDescent="0.2">
      <c r="A22797" t="str">
        <f>"Wnt4"</f>
        <v>Wnt4</v>
      </c>
      <c r="B22797" t="s">
        <v>14</v>
      </c>
      <c r="C22797" t="s">
        <v>23</v>
      </c>
      <c r="D22797" t="s">
        <v>17</v>
      </c>
      <c r="E22797" t="s">
        <v>12</v>
      </c>
      <c r="F22797">
        <v>137277500</v>
      </c>
      <c r="G22797">
        <v>137277518</v>
      </c>
      <c r="H22797">
        <v>137277482</v>
      </c>
      <c r="I22797">
        <v>137277485</v>
      </c>
    </row>
    <row r="22798" spans="1:9" x14ac:dyDescent="0.2">
      <c r="A22798" t="str">
        <f>"Wnt5a"</f>
        <v>Wnt5a</v>
      </c>
      <c r="B22798" t="s">
        <v>9</v>
      </c>
      <c r="C22798" t="s">
        <v>41</v>
      </c>
      <c r="D22798" t="s">
        <v>17</v>
      </c>
      <c r="E22798" t="s">
        <v>12</v>
      </c>
      <c r="F22798">
        <v>28505781</v>
      </c>
      <c r="G22798">
        <v>28505797</v>
      </c>
      <c r="H22798">
        <v>28505781</v>
      </c>
      <c r="I22798">
        <v>28505797</v>
      </c>
    </row>
    <row r="22799" spans="1:9" x14ac:dyDescent="0.2">
      <c r="A22799" t="str">
        <f>"Wnt5a"</f>
        <v>Wnt5a</v>
      </c>
      <c r="B22799" t="s">
        <v>13</v>
      </c>
      <c r="C22799" t="s">
        <v>41</v>
      </c>
      <c r="D22799" t="s">
        <v>17</v>
      </c>
      <c r="E22799" t="s">
        <v>12</v>
      </c>
      <c r="F22799">
        <v>28504565</v>
      </c>
      <c r="G22799">
        <v>28504605</v>
      </c>
      <c r="H22799">
        <v>28504565</v>
      </c>
      <c r="I22799">
        <v>28504605</v>
      </c>
    </row>
    <row r="22800" spans="1:9" x14ac:dyDescent="0.2">
      <c r="A22800" t="str">
        <f>"Wnt5b"</f>
        <v>Wnt5b</v>
      </c>
      <c r="B22800" t="s">
        <v>14</v>
      </c>
      <c r="C22800" t="s">
        <v>32</v>
      </c>
      <c r="D22800" t="s">
        <v>11</v>
      </c>
      <c r="E22800" t="s">
        <v>12</v>
      </c>
      <c r="F22800">
        <v>119544282</v>
      </c>
      <c r="G22800">
        <v>119544304</v>
      </c>
      <c r="H22800">
        <v>119544314</v>
      </c>
      <c r="I22800">
        <v>119544325</v>
      </c>
    </row>
    <row r="22801" spans="1:9" x14ac:dyDescent="0.2">
      <c r="A22801" t="str">
        <f>"Wnt6"</f>
        <v>Wnt6</v>
      </c>
      <c r="B22801" t="s">
        <v>14</v>
      </c>
      <c r="C22801" t="s">
        <v>19</v>
      </c>
      <c r="D22801" t="s">
        <v>17</v>
      </c>
      <c r="E22801" t="s">
        <v>12</v>
      </c>
      <c r="F22801">
        <v>74771886</v>
      </c>
      <c r="G22801">
        <v>74771911</v>
      </c>
      <c r="H22801">
        <v>74771914</v>
      </c>
      <c r="I22801">
        <v>74771932</v>
      </c>
    </row>
    <row r="22802" spans="1:9" x14ac:dyDescent="0.2">
      <c r="A22802" t="str">
        <f>"Wnt7a"</f>
        <v>Wnt7a</v>
      </c>
      <c r="B22802" t="s">
        <v>14</v>
      </c>
      <c r="C22802" t="s">
        <v>32</v>
      </c>
      <c r="D22802" t="s">
        <v>11</v>
      </c>
      <c r="E22802" t="s">
        <v>12</v>
      </c>
      <c r="F22802">
        <v>91411341</v>
      </c>
      <c r="G22802">
        <v>91411360</v>
      </c>
      <c r="H22802">
        <v>91411466</v>
      </c>
      <c r="I22802">
        <v>91411502</v>
      </c>
    </row>
    <row r="22803" spans="1:9" x14ac:dyDescent="0.2">
      <c r="A22803" t="str">
        <f>"Wnt7b"</f>
        <v>Wnt7b</v>
      </c>
      <c r="B22803" t="s">
        <v>9</v>
      </c>
      <c r="C22803" t="s">
        <v>25</v>
      </c>
      <c r="D22803" t="s">
        <v>11</v>
      </c>
      <c r="E22803" t="s">
        <v>12</v>
      </c>
      <c r="F22803">
        <v>85581836</v>
      </c>
      <c r="G22803">
        <v>85581913</v>
      </c>
      <c r="H22803">
        <v>85581836</v>
      </c>
      <c r="I22803">
        <v>85581913</v>
      </c>
    </row>
    <row r="22804" spans="1:9" x14ac:dyDescent="0.2">
      <c r="A22804" t="str">
        <f>"Wnt7b"</f>
        <v>Wnt7b</v>
      </c>
      <c r="B22804" t="s">
        <v>13</v>
      </c>
      <c r="C22804" t="s">
        <v>25</v>
      </c>
      <c r="D22804" t="s">
        <v>11</v>
      </c>
      <c r="E22804" t="s">
        <v>12</v>
      </c>
      <c r="F22804">
        <v>85577869</v>
      </c>
      <c r="G22804">
        <v>85577902</v>
      </c>
      <c r="H22804">
        <v>85577869</v>
      </c>
      <c r="I22804">
        <v>85577902</v>
      </c>
    </row>
    <row r="22805" spans="1:9" x14ac:dyDescent="0.2">
      <c r="A22805" t="str">
        <f>"Wnt8a"</f>
        <v>Wnt8a</v>
      </c>
      <c r="B22805" t="s">
        <v>6324</v>
      </c>
      <c r="C22805" t="s">
        <v>43</v>
      </c>
      <c r="D22805" t="s">
        <v>17</v>
      </c>
      <c r="E22805" t="s">
        <v>20</v>
      </c>
      <c r="F22805">
        <v>34542312</v>
      </c>
      <c r="G22805">
        <v>34542312</v>
      </c>
      <c r="H22805">
        <v>34542312</v>
      </c>
      <c r="I22805">
        <v>34542312</v>
      </c>
    </row>
    <row r="22806" spans="1:9" x14ac:dyDescent="0.2">
      <c r="A22806" t="str">
        <f>"Wnt8b"</f>
        <v>Wnt8b</v>
      </c>
      <c r="B22806" t="s">
        <v>14</v>
      </c>
      <c r="C22806" t="s">
        <v>10</v>
      </c>
      <c r="D22806" t="s">
        <v>17</v>
      </c>
      <c r="E22806" t="s">
        <v>12</v>
      </c>
      <c r="F22806">
        <v>44493468</v>
      </c>
      <c r="G22806">
        <v>44493478</v>
      </c>
      <c r="H22806">
        <v>44493491</v>
      </c>
      <c r="I22806">
        <v>44493497</v>
      </c>
    </row>
    <row r="22807" spans="1:9" x14ac:dyDescent="0.2">
      <c r="A22807" t="str">
        <f>"Wnt9a"</f>
        <v>Wnt9a</v>
      </c>
      <c r="B22807" t="s">
        <v>14</v>
      </c>
      <c r="C22807" t="s">
        <v>27</v>
      </c>
      <c r="D22807" t="s">
        <v>17</v>
      </c>
      <c r="E22807" t="s">
        <v>12</v>
      </c>
      <c r="F22807">
        <v>59306920</v>
      </c>
      <c r="G22807">
        <v>59306935</v>
      </c>
      <c r="H22807">
        <v>59306880</v>
      </c>
      <c r="I22807">
        <v>59306889</v>
      </c>
    </row>
    <row r="22808" spans="1:9" x14ac:dyDescent="0.2">
      <c r="A22808" t="str">
        <f>"Wnt9b"</f>
        <v>Wnt9b</v>
      </c>
      <c r="B22808" t="s">
        <v>14</v>
      </c>
      <c r="C22808" t="s">
        <v>27</v>
      </c>
      <c r="D22808" t="s">
        <v>11</v>
      </c>
      <c r="E22808" t="s">
        <v>12</v>
      </c>
      <c r="F22808">
        <v>103749815</v>
      </c>
      <c r="G22808">
        <v>103749829</v>
      </c>
      <c r="H22808">
        <v>103749815</v>
      </c>
      <c r="I22808">
        <v>103749829</v>
      </c>
    </row>
    <row r="22809" spans="1:9" x14ac:dyDescent="0.2">
      <c r="A22809" t="str">
        <f>"Wrap53"</f>
        <v>Wrap53</v>
      </c>
      <c r="B22809" t="s">
        <v>14</v>
      </c>
      <c r="C22809" t="s">
        <v>27</v>
      </c>
      <c r="D22809" t="s">
        <v>11</v>
      </c>
      <c r="E22809" t="s">
        <v>12</v>
      </c>
      <c r="F22809">
        <v>69579212</v>
      </c>
      <c r="G22809">
        <v>69579289</v>
      </c>
      <c r="H22809">
        <v>69579320</v>
      </c>
      <c r="I22809">
        <v>69579352</v>
      </c>
    </row>
    <row r="22810" spans="1:9" x14ac:dyDescent="0.2">
      <c r="A22810" t="str">
        <f>"Wrap73"</f>
        <v>Wrap73</v>
      </c>
      <c r="B22810" t="s">
        <v>14</v>
      </c>
      <c r="C22810" t="s">
        <v>23</v>
      </c>
      <c r="D22810" t="s">
        <v>17</v>
      </c>
      <c r="E22810" t="s">
        <v>67</v>
      </c>
      <c r="F22810">
        <v>154142396</v>
      </c>
      <c r="G22810">
        <v>154142418</v>
      </c>
      <c r="H22810">
        <v>154142363</v>
      </c>
      <c r="I22810">
        <v>154142383</v>
      </c>
    </row>
    <row r="22811" spans="1:9" x14ac:dyDescent="0.2">
      <c r="A22811" t="str">
        <f>"Wrb"</f>
        <v>Wrb</v>
      </c>
      <c r="B22811" t="s">
        <v>14</v>
      </c>
      <c r="C22811" t="s">
        <v>31</v>
      </c>
      <c r="D22811" t="s">
        <v>17</v>
      </c>
      <c r="E22811" t="s">
        <v>12</v>
      </c>
      <c r="F22811">
        <v>96145391</v>
      </c>
      <c r="G22811">
        <v>96145448</v>
      </c>
      <c r="H22811">
        <v>96145391</v>
      </c>
      <c r="I22811">
        <v>96145448</v>
      </c>
    </row>
    <row r="22812" spans="1:9" x14ac:dyDescent="0.2">
      <c r="A22812" t="str">
        <f>"Wrn"</f>
        <v>Wrn</v>
      </c>
      <c r="B22812" t="s">
        <v>14</v>
      </c>
      <c r="C22812" t="s">
        <v>30</v>
      </c>
      <c r="D22812" t="s">
        <v>11</v>
      </c>
      <c r="E22812" t="s">
        <v>12</v>
      </c>
      <c r="F22812">
        <v>33385470</v>
      </c>
      <c r="G22812">
        <v>33385517</v>
      </c>
      <c r="H22812">
        <v>33385442</v>
      </c>
      <c r="I22812">
        <v>33385453</v>
      </c>
    </row>
    <row r="22813" spans="1:9" x14ac:dyDescent="0.2">
      <c r="A22813" t="str">
        <f>"Wrnip1"</f>
        <v>Wrnip1</v>
      </c>
      <c r="B22813" t="s">
        <v>14</v>
      </c>
      <c r="C22813" t="s">
        <v>39</v>
      </c>
      <c r="D22813" t="s">
        <v>17</v>
      </c>
      <c r="E22813" t="s">
        <v>12</v>
      </c>
      <c r="F22813">
        <v>32802007</v>
      </c>
      <c r="G22813">
        <v>32802152</v>
      </c>
      <c r="H22813">
        <v>32802007</v>
      </c>
      <c r="I22813">
        <v>32802152</v>
      </c>
    </row>
    <row r="22814" spans="1:9" x14ac:dyDescent="0.2">
      <c r="A22814" t="str">
        <f>"Wsb1"</f>
        <v>Wsb1</v>
      </c>
      <c r="B22814" t="s">
        <v>14</v>
      </c>
      <c r="C22814" t="s">
        <v>27</v>
      </c>
      <c r="D22814" t="s">
        <v>11</v>
      </c>
      <c r="E22814" t="s">
        <v>12</v>
      </c>
      <c r="F22814">
        <v>79254663</v>
      </c>
      <c r="G22814">
        <v>79254685</v>
      </c>
      <c r="H22814">
        <v>79254663</v>
      </c>
      <c r="I22814">
        <v>79254685</v>
      </c>
    </row>
    <row r="22815" spans="1:9" x14ac:dyDescent="0.2">
      <c r="A22815" t="str">
        <f>"Wsb2"</f>
        <v>Wsb2</v>
      </c>
      <c r="B22815" t="s">
        <v>9</v>
      </c>
      <c r="C22815" t="s">
        <v>46</v>
      </c>
      <c r="D22815" t="s">
        <v>17</v>
      </c>
      <c r="E22815" t="s">
        <v>12</v>
      </c>
      <c r="F22815">
        <v>117357274</v>
      </c>
      <c r="G22815">
        <v>117357355</v>
      </c>
      <c r="H22815">
        <v>117357274</v>
      </c>
      <c r="I22815">
        <v>117357355</v>
      </c>
    </row>
    <row r="22816" spans="1:9" x14ac:dyDescent="0.2">
      <c r="A22816" t="str">
        <f>"Wsb2"</f>
        <v>Wsb2</v>
      </c>
      <c r="B22816" t="s">
        <v>13</v>
      </c>
      <c r="C22816" t="s">
        <v>46</v>
      </c>
      <c r="D22816" t="s">
        <v>17</v>
      </c>
      <c r="E22816" t="s">
        <v>12</v>
      </c>
      <c r="F22816">
        <v>117363513</v>
      </c>
      <c r="G22816">
        <v>117363552</v>
      </c>
      <c r="H22816">
        <v>117363513</v>
      </c>
      <c r="I22816">
        <v>117363552</v>
      </c>
    </row>
    <row r="22817" spans="1:9" x14ac:dyDescent="0.2">
      <c r="A22817" t="str">
        <f>"Wscd1"</f>
        <v>Wscd1</v>
      </c>
      <c r="B22817" t="s">
        <v>14</v>
      </c>
      <c r="C22817" t="s">
        <v>27</v>
      </c>
      <c r="D22817" t="s">
        <v>17</v>
      </c>
      <c r="E22817" t="s">
        <v>12</v>
      </c>
      <c r="F22817">
        <v>71750998</v>
      </c>
      <c r="G22817">
        <v>71751039</v>
      </c>
      <c r="H22817">
        <v>71750982</v>
      </c>
      <c r="I22817">
        <v>71750995</v>
      </c>
    </row>
    <row r="22818" spans="1:9" x14ac:dyDescent="0.2">
      <c r="A22818" t="str">
        <f>"Wscd2"</f>
        <v>Wscd2</v>
      </c>
      <c r="B22818" t="s">
        <v>14</v>
      </c>
      <c r="C22818" t="s">
        <v>46</v>
      </c>
      <c r="D22818" t="s">
        <v>17</v>
      </c>
      <c r="E22818" t="s">
        <v>12</v>
      </c>
      <c r="F22818">
        <v>113490515</v>
      </c>
      <c r="G22818">
        <v>113490548</v>
      </c>
      <c r="H22818">
        <v>113490580</v>
      </c>
      <c r="I22818">
        <v>113490598</v>
      </c>
    </row>
    <row r="22819" spans="1:9" x14ac:dyDescent="0.2">
      <c r="A22819" t="str">
        <f>"Wt1"</f>
        <v>Wt1</v>
      </c>
      <c r="B22819" t="s">
        <v>14</v>
      </c>
      <c r="C22819" t="s">
        <v>26</v>
      </c>
      <c r="D22819" t="s">
        <v>17</v>
      </c>
      <c r="E22819" t="s">
        <v>12</v>
      </c>
      <c r="F22819">
        <v>105126609</v>
      </c>
      <c r="G22819">
        <v>105126629</v>
      </c>
      <c r="H22819">
        <v>105126609</v>
      </c>
      <c r="I22819">
        <v>105126629</v>
      </c>
    </row>
    <row r="22820" spans="1:9" x14ac:dyDescent="0.2">
      <c r="A22820" t="str">
        <f>"Wtap"</f>
        <v>Wtap</v>
      </c>
      <c r="B22820" t="s">
        <v>14</v>
      </c>
      <c r="C22820" t="s">
        <v>28</v>
      </c>
      <c r="D22820" t="s">
        <v>11</v>
      </c>
      <c r="E22820" t="s">
        <v>12</v>
      </c>
      <c r="F22820">
        <v>12992188</v>
      </c>
      <c r="G22820">
        <v>12992226</v>
      </c>
      <c r="H22820">
        <v>12992487</v>
      </c>
      <c r="I22820">
        <v>12992554</v>
      </c>
    </row>
    <row r="22821" spans="1:9" x14ac:dyDescent="0.2">
      <c r="A22821" t="str">
        <f>"Wtip"</f>
        <v>Wtip</v>
      </c>
      <c r="B22821" t="s">
        <v>14</v>
      </c>
      <c r="C22821" t="s">
        <v>33</v>
      </c>
      <c r="D22821" t="s">
        <v>11</v>
      </c>
      <c r="E22821" t="s">
        <v>12</v>
      </c>
      <c r="F22821">
        <v>34133215</v>
      </c>
      <c r="G22821">
        <v>34133297</v>
      </c>
      <c r="H22821">
        <v>34133129</v>
      </c>
      <c r="I22821">
        <v>34133142</v>
      </c>
    </row>
    <row r="22822" spans="1:9" x14ac:dyDescent="0.2">
      <c r="A22822" t="str">
        <f>"Wwc1"</f>
        <v>Wwc1</v>
      </c>
      <c r="B22822" t="s">
        <v>14</v>
      </c>
      <c r="C22822" t="s">
        <v>27</v>
      </c>
      <c r="D22822" t="s">
        <v>11</v>
      </c>
      <c r="E22822" t="s">
        <v>12</v>
      </c>
      <c r="F22822">
        <v>35980473</v>
      </c>
      <c r="G22822">
        <v>35980579</v>
      </c>
      <c r="H22822">
        <v>35980442</v>
      </c>
      <c r="I22822">
        <v>35980456</v>
      </c>
    </row>
    <row r="22823" spans="1:9" x14ac:dyDescent="0.2">
      <c r="A22823" t="str">
        <f>"Wwc2"</f>
        <v>Wwc2</v>
      </c>
      <c r="B22823" t="s">
        <v>14</v>
      </c>
      <c r="C22823" t="s">
        <v>30</v>
      </c>
      <c r="D22823" t="s">
        <v>11</v>
      </c>
      <c r="E22823" t="s">
        <v>12</v>
      </c>
      <c r="F22823">
        <v>47990361</v>
      </c>
      <c r="G22823">
        <v>47990400</v>
      </c>
      <c r="H22823">
        <v>47990490</v>
      </c>
      <c r="I22823">
        <v>47990534</v>
      </c>
    </row>
    <row r="22824" spans="1:9" x14ac:dyDescent="0.2">
      <c r="A22824" t="str">
        <f>"Wwox"</f>
        <v>Wwox</v>
      </c>
      <c r="B22824" t="s">
        <v>14</v>
      </c>
      <c r="C22824" t="s">
        <v>30</v>
      </c>
      <c r="D22824" t="s">
        <v>17</v>
      </c>
      <c r="E22824" t="s">
        <v>12</v>
      </c>
      <c r="F22824">
        <v>114439663</v>
      </c>
      <c r="G22824">
        <v>114439710</v>
      </c>
      <c r="H22824">
        <v>114439712</v>
      </c>
      <c r="I22824">
        <v>114439736</v>
      </c>
    </row>
    <row r="22825" spans="1:9" x14ac:dyDescent="0.2">
      <c r="A22825" t="str">
        <f>"Wwp1"</f>
        <v>Wwp1</v>
      </c>
      <c r="B22825" t="s">
        <v>14</v>
      </c>
      <c r="C22825" t="s">
        <v>23</v>
      </c>
      <c r="D22825" t="s">
        <v>11</v>
      </c>
      <c r="E22825" t="s">
        <v>12</v>
      </c>
      <c r="F22825">
        <v>19708922</v>
      </c>
      <c r="G22825">
        <v>19709004</v>
      </c>
      <c r="H22825">
        <v>19709137</v>
      </c>
      <c r="I22825">
        <v>19709163</v>
      </c>
    </row>
    <row r="22826" spans="1:9" x14ac:dyDescent="0.2">
      <c r="A22826" t="str">
        <f>"Wwp2"</f>
        <v>Wwp2</v>
      </c>
      <c r="B22826" t="s">
        <v>14</v>
      </c>
      <c r="C22826" t="s">
        <v>30</v>
      </c>
      <c r="D22826" t="s">
        <v>17</v>
      </c>
      <c r="E22826" t="s">
        <v>12</v>
      </c>
      <c r="F22826">
        <v>107436355</v>
      </c>
      <c r="G22826">
        <v>107436421</v>
      </c>
      <c r="H22826">
        <v>107436355</v>
      </c>
      <c r="I22826">
        <v>107436421</v>
      </c>
    </row>
    <row r="22827" spans="1:9" x14ac:dyDescent="0.2">
      <c r="A22827" t="str">
        <f>"Wwtr1"</f>
        <v>Wwtr1</v>
      </c>
      <c r="B22827" t="s">
        <v>14</v>
      </c>
      <c r="C22827" t="s">
        <v>22</v>
      </c>
      <c r="D22827" t="s">
        <v>11</v>
      </c>
      <c r="E22827" t="s">
        <v>12</v>
      </c>
      <c r="F22827">
        <v>57575760</v>
      </c>
      <c r="G22827">
        <v>57575836</v>
      </c>
      <c r="H22827">
        <v>57575855</v>
      </c>
      <c r="I22827">
        <v>57575864</v>
      </c>
    </row>
    <row r="22828" spans="1:9" x14ac:dyDescent="0.2">
      <c r="A22828" t="str">
        <f>"Xab2"</f>
        <v>Xab2</v>
      </c>
      <c r="B22828" t="s">
        <v>14</v>
      </c>
      <c r="C22828" t="s">
        <v>30</v>
      </c>
      <c r="D22828" t="s">
        <v>11</v>
      </c>
      <c r="E22828" t="s">
        <v>12</v>
      </c>
      <c r="F22828">
        <v>3621283</v>
      </c>
      <c r="G22828">
        <v>3621323</v>
      </c>
      <c r="H22828">
        <v>3621412</v>
      </c>
      <c r="I22828">
        <v>3621455</v>
      </c>
    </row>
    <row r="22829" spans="1:9" x14ac:dyDescent="0.2">
      <c r="A22829" t="str">
        <f>"Xaf1"</f>
        <v>Xaf1</v>
      </c>
      <c r="B22829" t="s">
        <v>14</v>
      </c>
      <c r="C22829" t="s">
        <v>27</v>
      </c>
      <c r="D22829" t="s">
        <v>17</v>
      </c>
      <c r="E22829" t="s">
        <v>12</v>
      </c>
      <c r="F22829">
        <v>72301613</v>
      </c>
      <c r="G22829">
        <v>72301671</v>
      </c>
      <c r="H22829">
        <v>72301613</v>
      </c>
      <c r="I22829">
        <v>72301671</v>
      </c>
    </row>
    <row r="22830" spans="1:9" x14ac:dyDescent="0.2">
      <c r="A22830" t="str">
        <f>"Xbp1"</f>
        <v>Xbp1</v>
      </c>
      <c r="B22830" t="s">
        <v>14</v>
      </c>
      <c r="C22830" t="s">
        <v>27</v>
      </c>
      <c r="D22830" t="s">
        <v>17</v>
      </c>
      <c r="E22830" t="s">
        <v>12</v>
      </c>
      <c r="F22830">
        <v>5520970</v>
      </c>
      <c r="G22830">
        <v>5520989</v>
      </c>
      <c r="H22830">
        <v>5520951</v>
      </c>
      <c r="I22830">
        <v>5520966</v>
      </c>
    </row>
    <row r="22831" spans="1:9" x14ac:dyDescent="0.2">
      <c r="A22831" t="str">
        <f>"Xcl1"</f>
        <v>Xcl1</v>
      </c>
      <c r="B22831" t="s">
        <v>14</v>
      </c>
      <c r="C22831" t="s">
        <v>19</v>
      </c>
      <c r="D22831" t="s">
        <v>11</v>
      </c>
      <c r="E22831" t="s">
        <v>12</v>
      </c>
      <c r="F22831">
        <v>164935522</v>
      </c>
      <c r="G22831">
        <v>164935527</v>
      </c>
      <c r="H22831">
        <v>164935522</v>
      </c>
      <c r="I22831">
        <v>164935527</v>
      </c>
    </row>
    <row r="22832" spans="1:9" x14ac:dyDescent="0.2">
      <c r="A22832" t="str">
        <f>"Xcr1"</f>
        <v>Xcr1</v>
      </c>
      <c r="B22832" t="s">
        <v>14</v>
      </c>
      <c r="C22832" t="s">
        <v>24</v>
      </c>
      <c r="D22832" t="s">
        <v>11</v>
      </c>
      <c r="E22832" t="s">
        <v>12</v>
      </c>
      <c r="F22832">
        <v>123862023</v>
      </c>
      <c r="G22832">
        <v>123862035</v>
      </c>
      <c r="H22832">
        <v>123862013</v>
      </c>
      <c r="I22832">
        <v>123862020</v>
      </c>
    </row>
    <row r="22833" spans="1:9" x14ac:dyDescent="0.2">
      <c r="A22833" t="str">
        <f>"Xdh"</f>
        <v>Xdh</v>
      </c>
      <c r="B22833" t="s">
        <v>14</v>
      </c>
      <c r="C22833" t="s">
        <v>28</v>
      </c>
      <c r="D22833" t="s">
        <v>11</v>
      </c>
      <c r="E22833" t="s">
        <v>12</v>
      </c>
      <c r="F22833">
        <v>73950137</v>
      </c>
      <c r="G22833">
        <v>73950152</v>
      </c>
      <c r="H22833">
        <v>73950172</v>
      </c>
      <c r="I22833">
        <v>73950189</v>
      </c>
    </row>
    <row r="22834" spans="1:9" x14ac:dyDescent="0.2">
      <c r="A22834" t="str">
        <f>"Xiap"</f>
        <v>Xiap</v>
      </c>
      <c r="B22834" t="s">
        <v>14</v>
      </c>
      <c r="C22834" t="s">
        <v>37</v>
      </c>
      <c r="D22834" t="s">
        <v>17</v>
      </c>
      <c r="E22834" t="s">
        <v>12</v>
      </c>
      <c r="F22834">
        <v>42068676</v>
      </c>
      <c r="G22834">
        <v>42068766</v>
      </c>
      <c r="H22834">
        <v>42067959</v>
      </c>
      <c r="I22834">
        <v>42067998</v>
      </c>
    </row>
    <row r="22835" spans="1:9" x14ac:dyDescent="0.2">
      <c r="A22835" t="str">
        <f>"Xirp1"</f>
        <v>Xirp1</v>
      </c>
      <c r="B22835" t="s">
        <v>14</v>
      </c>
      <c r="C22835" t="s">
        <v>24</v>
      </c>
      <c r="D22835" t="s">
        <v>11</v>
      </c>
      <c r="E22835" t="s">
        <v>12</v>
      </c>
      <c r="F22835">
        <v>120023558</v>
      </c>
      <c r="G22835">
        <v>120023574</v>
      </c>
      <c r="H22835">
        <v>120023558</v>
      </c>
      <c r="I22835">
        <v>120023574</v>
      </c>
    </row>
    <row r="22836" spans="1:9" x14ac:dyDescent="0.2">
      <c r="A22836" t="str">
        <f>"Xirp2"</f>
        <v>Xirp2</v>
      </c>
      <c r="B22836" t="s">
        <v>14</v>
      </c>
      <c r="C22836" t="s">
        <v>26</v>
      </c>
      <c r="D22836" t="s">
        <v>17</v>
      </c>
      <c r="E22836" t="s">
        <v>12</v>
      </c>
      <c r="F22836">
        <v>67445994</v>
      </c>
      <c r="G22836">
        <v>67446009</v>
      </c>
      <c r="H22836">
        <v>67445975</v>
      </c>
      <c r="I22836">
        <v>67445983</v>
      </c>
    </row>
    <row r="22837" spans="1:9" x14ac:dyDescent="0.2">
      <c r="A22837" t="str">
        <f>"Xk"</f>
        <v>Xk</v>
      </c>
      <c r="B22837" t="s">
        <v>14</v>
      </c>
      <c r="C22837" t="s">
        <v>37</v>
      </c>
      <c r="D22837" t="s">
        <v>17</v>
      </c>
      <c r="E22837" t="s">
        <v>12</v>
      </c>
      <c r="F22837">
        <v>9272760</v>
      </c>
      <c r="G22837">
        <v>9272805</v>
      </c>
      <c r="H22837">
        <v>9272808</v>
      </c>
      <c r="I22837">
        <v>9272854</v>
      </c>
    </row>
    <row r="22838" spans="1:9" x14ac:dyDescent="0.2">
      <c r="A22838" t="str">
        <f>"Xkr4"</f>
        <v>Xkr4</v>
      </c>
      <c r="B22838" t="s">
        <v>14</v>
      </c>
      <c r="C22838" t="s">
        <v>19</v>
      </c>
      <c r="D22838" t="s">
        <v>11</v>
      </c>
      <c r="E22838" t="s">
        <v>12</v>
      </c>
      <c r="F22838">
        <v>3671671</v>
      </c>
      <c r="G22838">
        <v>3671733</v>
      </c>
      <c r="H22838">
        <v>3671671</v>
      </c>
      <c r="I22838">
        <v>3671733</v>
      </c>
    </row>
    <row r="22839" spans="1:9" x14ac:dyDescent="0.2">
      <c r="A22839" t="str">
        <f>"Xkr5"</f>
        <v>Xkr5</v>
      </c>
      <c r="B22839" t="s">
        <v>14</v>
      </c>
      <c r="C22839" t="s">
        <v>30</v>
      </c>
      <c r="D22839" t="s">
        <v>11</v>
      </c>
      <c r="E22839" t="s">
        <v>12</v>
      </c>
      <c r="F22839">
        <v>18950932</v>
      </c>
      <c r="G22839">
        <v>18950965</v>
      </c>
      <c r="H22839">
        <v>18951047</v>
      </c>
      <c r="I22839">
        <v>18951079</v>
      </c>
    </row>
    <row r="22840" spans="1:9" x14ac:dyDescent="0.2">
      <c r="A22840" t="str">
        <f>"Xkr6"</f>
        <v>Xkr6</v>
      </c>
      <c r="B22840" t="s">
        <v>14</v>
      </c>
      <c r="C22840" t="s">
        <v>41</v>
      </c>
      <c r="D22840" t="s">
        <v>17</v>
      </c>
      <c r="E22840" t="s">
        <v>12</v>
      </c>
      <c r="F22840">
        <v>63606043</v>
      </c>
      <c r="G22840">
        <v>63606077</v>
      </c>
      <c r="H22840">
        <v>63606491</v>
      </c>
      <c r="I22840">
        <v>63606527</v>
      </c>
    </row>
    <row r="22841" spans="1:9" x14ac:dyDescent="0.2">
      <c r="A22841" t="str">
        <f>"Xkr7"</f>
        <v>Xkr7</v>
      </c>
      <c r="B22841" t="s">
        <v>14</v>
      </c>
      <c r="C22841" t="s">
        <v>26</v>
      </c>
      <c r="D22841" t="s">
        <v>17</v>
      </c>
      <c r="E22841" t="s">
        <v>12</v>
      </c>
      <c r="F22841">
        <v>153031985</v>
      </c>
      <c r="G22841">
        <v>153032014</v>
      </c>
      <c r="H22841">
        <v>153031985</v>
      </c>
      <c r="I22841">
        <v>153032014</v>
      </c>
    </row>
    <row r="22842" spans="1:9" x14ac:dyDescent="0.2">
      <c r="A22842" t="str">
        <f>"Xkr8"</f>
        <v>Xkr8</v>
      </c>
      <c r="B22842" t="s">
        <v>14</v>
      </c>
      <c r="C22842" t="s">
        <v>23</v>
      </c>
      <c r="D22842" t="s">
        <v>11</v>
      </c>
      <c r="E22842" t="s">
        <v>12</v>
      </c>
      <c r="F22842">
        <v>132732514</v>
      </c>
      <c r="G22842">
        <v>132732558</v>
      </c>
      <c r="H22842">
        <v>132732482</v>
      </c>
      <c r="I22842">
        <v>132732504</v>
      </c>
    </row>
    <row r="22843" spans="1:9" x14ac:dyDescent="0.2">
      <c r="A22843" t="str">
        <f>"Xkr9"</f>
        <v>Xkr9</v>
      </c>
      <c r="B22843" t="s">
        <v>14</v>
      </c>
      <c r="C22843" t="s">
        <v>19</v>
      </c>
      <c r="D22843" t="s">
        <v>17</v>
      </c>
      <c r="E22843" t="s">
        <v>12</v>
      </c>
      <c r="F22843">
        <v>13668739</v>
      </c>
      <c r="G22843">
        <v>13668772</v>
      </c>
      <c r="H22843">
        <v>13668773</v>
      </c>
      <c r="I22843">
        <v>13668794</v>
      </c>
    </row>
    <row r="22844" spans="1:9" x14ac:dyDescent="0.2">
      <c r="A22844" t="str">
        <f>"Xkrx"</f>
        <v>Xkrx</v>
      </c>
      <c r="B22844" t="s">
        <v>14</v>
      </c>
      <c r="C22844" t="s">
        <v>37</v>
      </c>
      <c r="D22844" t="s">
        <v>11</v>
      </c>
      <c r="E22844" t="s">
        <v>12</v>
      </c>
      <c r="F22844">
        <v>134162476</v>
      </c>
      <c r="G22844">
        <v>134162495</v>
      </c>
      <c r="H22844">
        <v>134162476</v>
      </c>
      <c r="I22844">
        <v>134162495</v>
      </c>
    </row>
    <row r="22845" spans="1:9" x14ac:dyDescent="0.2">
      <c r="A22845" t="str">
        <f>"Xlr"</f>
        <v>Xlr</v>
      </c>
      <c r="B22845" t="s">
        <v>14</v>
      </c>
      <c r="C22845" t="s">
        <v>37</v>
      </c>
      <c r="D22845" t="s">
        <v>11</v>
      </c>
      <c r="E22845" t="s">
        <v>12</v>
      </c>
      <c r="F22845">
        <v>53797699</v>
      </c>
      <c r="G22845">
        <v>53797744</v>
      </c>
      <c r="H22845">
        <v>53797699</v>
      </c>
      <c r="I22845">
        <v>53797744</v>
      </c>
    </row>
    <row r="22846" spans="1:9" x14ac:dyDescent="0.2">
      <c r="A22846" t="str">
        <f>"Xlr3a"</f>
        <v>Xlr3a</v>
      </c>
      <c r="B22846" t="s">
        <v>14</v>
      </c>
      <c r="C22846" t="s">
        <v>37</v>
      </c>
      <c r="D22846" t="s">
        <v>11</v>
      </c>
      <c r="E22846" t="s">
        <v>12</v>
      </c>
      <c r="F22846">
        <v>73097018</v>
      </c>
      <c r="G22846">
        <v>73097054</v>
      </c>
      <c r="H22846">
        <v>73097018</v>
      </c>
      <c r="I22846">
        <v>73097054</v>
      </c>
    </row>
    <row r="22847" spans="1:9" x14ac:dyDescent="0.2">
      <c r="A22847" t="str">
        <f>"Xlr3b"</f>
        <v>Xlr3b</v>
      </c>
      <c r="B22847" t="s">
        <v>6325</v>
      </c>
      <c r="C22847" t="s">
        <v>37</v>
      </c>
      <c r="D22847" t="s">
        <v>17</v>
      </c>
      <c r="E22847" t="s">
        <v>20</v>
      </c>
      <c r="F22847">
        <v>73192221</v>
      </c>
      <c r="G22847">
        <v>73192221</v>
      </c>
      <c r="H22847">
        <v>73192221</v>
      </c>
      <c r="I22847">
        <v>73192221</v>
      </c>
    </row>
    <row r="22848" spans="1:9" x14ac:dyDescent="0.2">
      <c r="A22848" t="str">
        <f>"Xlr3c"</f>
        <v>Xlr3c</v>
      </c>
      <c r="B22848" t="s">
        <v>14</v>
      </c>
      <c r="C22848" t="s">
        <v>37</v>
      </c>
      <c r="D22848" t="s">
        <v>11</v>
      </c>
      <c r="E22848" t="s">
        <v>12</v>
      </c>
      <c r="F22848">
        <v>73265389</v>
      </c>
      <c r="G22848">
        <v>73265419</v>
      </c>
      <c r="H22848">
        <v>73265389</v>
      </c>
      <c r="I22848">
        <v>73265419</v>
      </c>
    </row>
    <row r="22849" spans="1:9" x14ac:dyDescent="0.2">
      <c r="A22849" t="str">
        <f>"Xlr4a"</f>
        <v>Xlr4a</v>
      </c>
      <c r="B22849" t="s">
        <v>14</v>
      </c>
      <c r="C22849" t="s">
        <v>37</v>
      </c>
      <c r="D22849" t="s">
        <v>11</v>
      </c>
      <c r="E22849" t="s">
        <v>12</v>
      </c>
      <c r="F22849">
        <v>73082410</v>
      </c>
      <c r="G22849">
        <v>73082434</v>
      </c>
      <c r="H22849">
        <v>73082410</v>
      </c>
      <c r="I22849">
        <v>73082434</v>
      </c>
    </row>
    <row r="22850" spans="1:9" x14ac:dyDescent="0.2">
      <c r="A22850" t="str">
        <f>"Xlr4b"</f>
        <v>Xlr4b</v>
      </c>
      <c r="B22850" t="s">
        <v>14</v>
      </c>
      <c r="C22850" t="s">
        <v>37</v>
      </c>
      <c r="D22850" t="s">
        <v>17</v>
      </c>
      <c r="E22850" t="s">
        <v>12</v>
      </c>
      <c r="F22850">
        <v>73218048</v>
      </c>
      <c r="G22850">
        <v>73218052</v>
      </c>
      <c r="H22850">
        <v>73218048</v>
      </c>
      <c r="I22850">
        <v>73218052</v>
      </c>
    </row>
    <row r="22851" spans="1:9" x14ac:dyDescent="0.2">
      <c r="A22851" t="str">
        <f>"Xlr4c"</f>
        <v>Xlr4c</v>
      </c>
      <c r="B22851" t="s">
        <v>14</v>
      </c>
      <c r="C22851" t="s">
        <v>37</v>
      </c>
      <c r="D22851" t="s">
        <v>11</v>
      </c>
      <c r="E22851" t="s">
        <v>12</v>
      </c>
      <c r="F22851">
        <v>73242993</v>
      </c>
      <c r="G22851">
        <v>73243020</v>
      </c>
      <c r="H22851">
        <v>73242993</v>
      </c>
      <c r="I22851">
        <v>73243020</v>
      </c>
    </row>
    <row r="22852" spans="1:9" x14ac:dyDescent="0.2">
      <c r="A22852" t="str">
        <f>"Xlr5a"</f>
        <v>Xlr5a</v>
      </c>
      <c r="B22852" t="s">
        <v>6326</v>
      </c>
      <c r="C22852" t="s">
        <v>37</v>
      </c>
      <c r="D22852" t="s">
        <v>11</v>
      </c>
      <c r="E22852" t="s">
        <v>20</v>
      </c>
      <c r="F22852">
        <v>73117701</v>
      </c>
      <c r="G22852">
        <v>73117701</v>
      </c>
      <c r="H22852">
        <v>73117701</v>
      </c>
      <c r="I22852">
        <v>73117701</v>
      </c>
    </row>
    <row r="22853" spans="1:9" x14ac:dyDescent="0.2">
      <c r="A22853" t="str">
        <f>"Xlr5a"</f>
        <v>Xlr5a</v>
      </c>
      <c r="B22853" t="s">
        <v>6327</v>
      </c>
      <c r="C22853" t="s">
        <v>37</v>
      </c>
      <c r="D22853" t="s">
        <v>11</v>
      </c>
      <c r="E22853" t="s">
        <v>20</v>
      </c>
      <c r="F22853">
        <v>73115362</v>
      </c>
      <c r="G22853">
        <v>73115362</v>
      </c>
      <c r="H22853">
        <v>73115362</v>
      </c>
      <c r="I22853">
        <v>73115362</v>
      </c>
    </row>
    <row r="22854" spans="1:9" x14ac:dyDescent="0.2">
      <c r="A22854" t="str">
        <f>"Xlr5a"</f>
        <v>Xlr5a</v>
      </c>
      <c r="B22854" t="s">
        <v>6328</v>
      </c>
      <c r="C22854" t="s">
        <v>37</v>
      </c>
      <c r="D22854" t="s">
        <v>11</v>
      </c>
      <c r="E22854" t="s">
        <v>20</v>
      </c>
      <c r="F22854">
        <v>73292975</v>
      </c>
      <c r="G22854">
        <v>73292975</v>
      </c>
      <c r="H22854">
        <v>73292975</v>
      </c>
      <c r="I22854">
        <v>73292975</v>
      </c>
    </row>
    <row r="22855" spans="1:9" x14ac:dyDescent="0.2">
      <c r="A22855" t="str">
        <f>"Xlr5b"</f>
        <v>Xlr5b</v>
      </c>
      <c r="B22855" t="s">
        <v>14</v>
      </c>
      <c r="C22855" t="s">
        <v>37</v>
      </c>
      <c r="D22855" t="s">
        <v>17</v>
      </c>
      <c r="E22855" t="s">
        <v>12</v>
      </c>
      <c r="F22855">
        <v>73148851</v>
      </c>
      <c r="G22855">
        <v>73148852</v>
      </c>
      <c r="H22855">
        <v>73148783</v>
      </c>
      <c r="I22855">
        <v>73148784</v>
      </c>
    </row>
    <row r="22856" spans="1:9" x14ac:dyDescent="0.2">
      <c r="A22856" t="str">
        <f>"Xlr5c"</f>
        <v>Xlr5c</v>
      </c>
      <c r="B22856" t="s">
        <v>6329</v>
      </c>
      <c r="C22856" t="s">
        <v>37</v>
      </c>
      <c r="D22856" t="s">
        <v>11</v>
      </c>
      <c r="E22856" t="s">
        <v>20</v>
      </c>
      <c r="F22856">
        <v>73292975</v>
      </c>
      <c r="G22856">
        <v>73292975</v>
      </c>
      <c r="H22856">
        <v>73292975</v>
      </c>
      <c r="I22856">
        <v>73292975</v>
      </c>
    </row>
    <row r="22857" spans="1:9" x14ac:dyDescent="0.2">
      <c r="A22857" t="str">
        <f>"Xpa"</f>
        <v>Xpa</v>
      </c>
      <c r="B22857" t="s">
        <v>14</v>
      </c>
      <c r="C22857" t="s">
        <v>23</v>
      </c>
      <c r="D22857" t="s">
        <v>11</v>
      </c>
      <c r="E22857" t="s">
        <v>12</v>
      </c>
      <c r="F22857">
        <v>46196298</v>
      </c>
      <c r="G22857">
        <v>46196332</v>
      </c>
      <c r="H22857">
        <v>46196273</v>
      </c>
      <c r="I22857">
        <v>46196284</v>
      </c>
    </row>
    <row r="22858" spans="1:9" x14ac:dyDescent="0.2">
      <c r="A22858" t="str">
        <f>"Xpc"</f>
        <v>Xpc</v>
      </c>
      <c r="B22858" t="s">
        <v>14</v>
      </c>
      <c r="C22858" t="s">
        <v>32</v>
      </c>
      <c r="D22858" t="s">
        <v>11</v>
      </c>
      <c r="E22858" t="s">
        <v>12</v>
      </c>
      <c r="F22858">
        <v>91515796</v>
      </c>
      <c r="G22858">
        <v>91515859</v>
      </c>
      <c r="H22858">
        <v>91515878</v>
      </c>
      <c r="I22858">
        <v>91515889</v>
      </c>
    </row>
    <row r="22859" spans="1:9" x14ac:dyDescent="0.2">
      <c r="A22859" t="str">
        <f>"Xpnpep1"</f>
        <v>Xpnpep1</v>
      </c>
      <c r="B22859" t="s">
        <v>14</v>
      </c>
      <c r="C22859" t="s">
        <v>10</v>
      </c>
      <c r="D22859" t="s">
        <v>11</v>
      </c>
      <c r="E22859" t="s">
        <v>12</v>
      </c>
      <c r="F22859">
        <v>53038534</v>
      </c>
      <c r="G22859">
        <v>53038646</v>
      </c>
      <c r="H22859">
        <v>53038534</v>
      </c>
      <c r="I22859">
        <v>53038646</v>
      </c>
    </row>
    <row r="22860" spans="1:9" x14ac:dyDescent="0.2">
      <c r="A22860" t="str">
        <f>"Xpnpep2"</f>
        <v>Xpnpep2</v>
      </c>
      <c r="B22860" t="s">
        <v>14</v>
      </c>
      <c r="C22860" t="s">
        <v>37</v>
      </c>
      <c r="D22860" t="s">
        <v>17</v>
      </c>
      <c r="E22860" t="s">
        <v>12</v>
      </c>
      <c r="F22860">
        <v>48108912</v>
      </c>
      <c r="G22860">
        <v>48108964</v>
      </c>
      <c r="H22860">
        <v>48108891</v>
      </c>
      <c r="I22860">
        <v>48108906</v>
      </c>
    </row>
    <row r="22861" spans="1:9" x14ac:dyDescent="0.2">
      <c r="A22861" t="str">
        <f>"Xpnpep3"</f>
        <v>Xpnpep3</v>
      </c>
      <c r="B22861" t="s">
        <v>14</v>
      </c>
      <c r="C22861" t="s">
        <v>25</v>
      </c>
      <c r="D22861" t="s">
        <v>17</v>
      </c>
      <c r="E22861" t="s">
        <v>12</v>
      </c>
      <c r="F22861">
        <v>81400132</v>
      </c>
      <c r="G22861">
        <v>81400215</v>
      </c>
      <c r="H22861">
        <v>81400132</v>
      </c>
      <c r="I22861">
        <v>81400215</v>
      </c>
    </row>
    <row r="22862" spans="1:9" x14ac:dyDescent="0.2">
      <c r="A22862" t="str">
        <f>"Xpo1"</f>
        <v>Xpo1</v>
      </c>
      <c r="B22862" t="s">
        <v>14</v>
      </c>
      <c r="C22862" t="s">
        <v>27</v>
      </c>
      <c r="D22862" t="s">
        <v>17</v>
      </c>
      <c r="E22862" t="s">
        <v>12</v>
      </c>
      <c r="F22862">
        <v>23256001</v>
      </c>
      <c r="G22862">
        <v>23256105</v>
      </c>
      <c r="H22862">
        <v>23255920</v>
      </c>
      <c r="I22862">
        <v>23255976</v>
      </c>
    </row>
    <row r="22863" spans="1:9" x14ac:dyDescent="0.2">
      <c r="A22863" t="str">
        <f>"Xpo4"</f>
        <v>Xpo4</v>
      </c>
      <c r="B22863" t="s">
        <v>14</v>
      </c>
      <c r="C22863" t="s">
        <v>41</v>
      </c>
      <c r="D22863" t="s">
        <v>11</v>
      </c>
      <c r="E22863" t="s">
        <v>12</v>
      </c>
      <c r="F22863">
        <v>57664954</v>
      </c>
      <c r="G22863">
        <v>57664995</v>
      </c>
      <c r="H22863">
        <v>57665192</v>
      </c>
      <c r="I22863">
        <v>57665260</v>
      </c>
    </row>
    <row r="22864" spans="1:9" x14ac:dyDescent="0.2">
      <c r="A22864" t="str">
        <f>"Xpo5"</f>
        <v>Xpo5</v>
      </c>
      <c r="B22864" t="s">
        <v>14</v>
      </c>
      <c r="C22864" t="s">
        <v>28</v>
      </c>
      <c r="D22864" t="s">
        <v>17</v>
      </c>
      <c r="E22864" t="s">
        <v>12</v>
      </c>
      <c r="F22864">
        <v>46202740</v>
      </c>
      <c r="G22864">
        <v>46202854</v>
      </c>
      <c r="H22864">
        <v>46202861</v>
      </c>
      <c r="I22864">
        <v>46202878</v>
      </c>
    </row>
    <row r="22865" spans="1:9" x14ac:dyDescent="0.2">
      <c r="A22865" t="str">
        <f>"Xpo6"</f>
        <v>Xpo6</v>
      </c>
      <c r="B22865" t="s">
        <v>14</v>
      </c>
      <c r="C22865" t="s">
        <v>33</v>
      </c>
      <c r="D22865" t="s">
        <v>11</v>
      </c>
      <c r="E22865" t="s">
        <v>12</v>
      </c>
      <c r="F22865">
        <v>126200415</v>
      </c>
      <c r="G22865">
        <v>126200468</v>
      </c>
      <c r="H22865">
        <v>126200474</v>
      </c>
      <c r="I22865">
        <v>126200500</v>
      </c>
    </row>
    <row r="22866" spans="1:9" x14ac:dyDescent="0.2">
      <c r="A22866" t="str">
        <f>"Xpo7"</f>
        <v>Xpo7</v>
      </c>
      <c r="B22866" t="s">
        <v>6330</v>
      </c>
      <c r="C22866" t="s">
        <v>41</v>
      </c>
      <c r="D22866" t="s">
        <v>11</v>
      </c>
      <c r="E22866" t="s">
        <v>35</v>
      </c>
      <c r="F22866">
        <v>70766598</v>
      </c>
      <c r="G22866">
        <v>70766644</v>
      </c>
      <c r="H22866">
        <v>70766534</v>
      </c>
      <c r="I22866">
        <v>70766564</v>
      </c>
    </row>
    <row r="22867" spans="1:9" x14ac:dyDescent="0.2">
      <c r="A22867" t="str">
        <f>"Xpot"</f>
        <v>Xpot</v>
      </c>
      <c r="B22867" t="s">
        <v>14</v>
      </c>
      <c r="C22867" t="s">
        <v>15</v>
      </c>
      <c r="D22867" t="s">
        <v>11</v>
      </c>
      <c r="E22867" t="s">
        <v>12</v>
      </c>
      <c r="F22867">
        <v>121626452</v>
      </c>
      <c r="G22867">
        <v>121626513</v>
      </c>
      <c r="H22867">
        <v>121626347</v>
      </c>
      <c r="I22867">
        <v>121626380</v>
      </c>
    </row>
    <row r="22868" spans="1:9" x14ac:dyDescent="0.2">
      <c r="A22868" t="str">
        <f>"Xpr1"</f>
        <v>Xpr1</v>
      </c>
      <c r="B22868" t="s">
        <v>14</v>
      </c>
      <c r="C22868" t="s">
        <v>19</v>
      </c>
      <c r="D22868" t="s">
        <v>11</v>
      </c>
      <c r="E22868" t="s">
        <v>12</v>
      </c>
      <c r="F22868">
        <v>155417394</v>
      </c>
      <c r="G22868">
        <v>155417435</v>
      </c>
      <c r="H22868">
        <v>155417366</v>
      </c>
      <c r="I22868">
        <v>155417386</v>
      </c>
    </row>
    <row r="22869" spans="1:9" x14ac:dyDescent="0.2">
      <c r="A22869" t="str">
        <f>"Xrcc1"</f>
        <v>Xrcc1</v>
      </c>
      <c r="B22869" t="s">
        <v>14</v>
      </c>
      <c r="C22869" t="s">
        <v>33</v>
      </c>
      <c r="D22869" t="s">
        <v>17</v>
      </c>
      <c r="E22869" t="s">
        <v>12</v>
      </c>
      <c r="F22869">
        <v>24547167</v>
      </c>
      <c r="G22869">
        <v>24547244</v>
      </c>
      <c r="H22869">
        <v>24547252</v>
      </c>
      <c r="I22869">
        <v>24547279</v>
      </c>
    </row>
    <row r="22870" spans="1:9" x14ac:dyDescent="0.2">
      <c r="A22870" t="str">
        <f>"Xrcc2"</f>
        <v>Xrcc2</v>
      </c>
      <c r="B22870" t="s">
        <v>14</v>
      </c>
      <c r="C22870" t="s">
        <v>46</v>
      </c>
      <c r="D22870" t="s">
        <v>11</v>
      </c>
      <c r="E22870" t="s">
        <v>12</v>
      </c>
      <c r="F22870">
        <v>25705791</v>
      </c>
      <c r="G22870">
        <v>25705829</v>
      </c>
      <c r="H22870">
        <v>25705763</v>
      </c>
      <c r="I22870">
        <v>25705787</v>
      </c>
    </row>
    <row r="22871" spans="1:9" x14ac:dyDescent="0.2">
      <c r="A22871" t="str">
        <f>"Xrcc3"</f>
        <v>Xrcc3</v>
      </c>
      <c r="B22871" t="s">
        <v>9</v>
      </c>
      <c r="C22871" t="s">
        <v>16</v>
      </c>
      <c r="D22871" t="s">
        <v>11</v>
      </c>
      <c r="E22871" t="s">
        <v>12</v>
      </c>
      <c r="F22871">
        <v>111813834</v>
      </c>
      <c r="G22871">
        <v>111813858</v>
      </c>
      <c r="H22871">
        <v>111813834</v>
      </c>
      <c r="I22871">
        <v>111813858</v>
      </c>
    </row>
    <row r="22872" spans="1:9" x14ac:dyDescent="0.2">
      <c r="A22872" t="str">
        <f>"Xrcc3"</f>
        <v>Xrcc3</v>
      </c>
      <c r="B22872" t="s">
        <v>13</v>
      </c>
      <c r="C22872" t="s">
        <v>16</v>
      </c>
      <c r="D22872" t="s">
        <v>11</v>
      </c>
      <c r="E22872" t="s">
        <v>12</v>
      </c>
      <c r="F22872">
        <v>111809940</v>
      </c>
      <c r="G22872">
        <v>111809974</v>
      </c>
      <c r="H22872">
        <v>111809940</v>
      </c>
      <c r="I22872">
        <v>111809974</v>
      </c>
    </row>
    <row r="22873" spans="1:9" x14ac:dyDescent="0.2">
      <c r="A22873" t="str">
        <f>"Xrcc4"</f>
        <v>Xrcc4</v>
      </c>
      <c r="B22873" t="s">
        <v>14</v>
      </c>
      <c r="C22873" t="s">
        <v>39</v>
      </c>
      <c r="D22873" t="s">
        <v>11</v>
      </c>
      <c r="E22873" t="s">
        <v>12</v>
      </c>
      <c r="F22873">
        <v>90089513</v>
      </c>
      <c r="G22873">
        <v>90089543</v>
      </c>
      <c r="H22873">
        <v>90089556</v>
      </c>
      <c r="I22873">
        <v>90089616</v>
      </c>
    </row>
    <row r="22874" spans="1:9" x14ac:dyDescent="0.2">
      <c r="A22874" t="str">
        <f>"Xrcc5"</f>
        <v>Xrcc5</v>
      </c>
      <c r="B22874" t="s">
        <v>14</v>
      </c>
      <c r="C22874" t="s">
        <v>19</v>
      </c>
      <c r="D22874" t="s">
        <v>17</v>
      </c>
      <c r="E22874" t="s">
        <v>12</v>
      </c>
      <c r="F22874">
        <v>72307514</v>
      </c>
      <c r="G22874">
        <v>72307539</v>
      </c>
      <c r="H22874">
        <v>72307413</v>
      </c>
      <c r="I22874">
        <v>72307450</v>
      </c>
    </row>
    <row r="22875" spans="1:9" x14ac:dyDescent="0.2">
      <c r="A22875" t="str">
        <f>"Xrcc6"</f>
        <v>Xrcc6</v>
      </c>
      <c r="B22875" t="s">
        <v>14</v>
      </c>
      <c r="C22875" t="s">
        <v>25</v>
      </c>
      <c r="D22875" t="s">
        <v>17</v>
      </c>
      <c r="E22875" t="s">
        <v>12</v>
      </c>
      <c r="F22875">
        <v>82016378</v>
      </c>
      <c r="G22875">
        <v>82016419</v>
      </c>
      <c r="H22875">
        <v>82016420</v>
      </c>
      <c r="I22875">
        <v>82016459</v>
      </c>
    </row>
    <row r="22876" spans="1:9" x14ac:dyDescent="0.2">
      <c r="A22876" t="str">
        <f>"Xrcc6bp1"</f>
        <v>Xrcc6bp1</v>
      </c>
      <c r="B22876" t="s">
        <v>14</v>
      </c>
      <c r="C22876" t="s">
        <v>15</v>
      </c>
      <c r="D22876" t="s">
        <v>11</v>
      </c>
      <c r="E22876" t="s">
        <v>12</v>
      </c>
      <c r="F22876">
        <v>126901315</v>
      </c>
      <c r="G22876">
        <v>126901396</v>
      </c>
      <c r="H22876">
        <v>126901305</v>
      </c>
      <c r="I22876">
        <v>126901312</v>
      </c>
    </row>
    <row r="22877" spans="1:9" x14ac:dyDescent="0.2">
      <c r="A22877" t="str">
        <f>"Xrn1"</f>
        <v>Xrn1</v>
      </c>
      <c r="B22877" t="s">
        <v>14</v>
      </c>
      <c r="C22877" t="s">
        <v>24</v>
      </c>
      <c r="D22877" t="s">
        <v>17</v>
      </c>
      <c r="E22877" t="s">
        <v>12</v>
      </c>
      <c r="F22877">
        <v>95954744</v>
      </c>
      <c r="G22877">
        <v>95954783</v>
      </c>
      <c r="H22877">
        <v>95954820</v>
      </c>
      <c r="I22877">
        <v>95954843</v>
      </c>
    </row>
    <row r="22878" spans="1:9" x14ac:dyDescent="0.2">
      <c r="A22878" t="str">
        <f>"Xrn2"</f>
        <v>Xrn2</v>
      </c>
      <c r="B22878" t="s">
        <v>14</v>
      </c>
      <c r="C22878" t="s">
        <v>26</v>
      </c>
      <c r="D22878" t="s">
        <v>17</v>
      </c>
      <c r="E22878" t="s">
        <v>12</v>
      </c>
      <c r="F22878">
        <v>147013013</v>
      </c>
      <c r="G22878">
        <v>147013083</v>
      </c>
      <c r="H22878">
        <v>147013013</v>
      </c>
      <c r="I22878">
        <v>147013083</v>
      </c>
    </row>
    <row r="22879" spans="1:9" x14ac:dyDescent="0.2">
      <c r="A22879" t="str">
        <f>"Xrra1"</f>
        <v>Xrra1</v>
      </c>
      <c r="B22879" t="s">
        <v>14</v>
      </c>
      <c r="C22879" t="s">
        <v>33</v>
      </c>
      <c r="D22879" t="s">
        <v>17</v>
      </c>
      <c r="E22879" t="s">
        <v>12</v>
      </c>
      <c r="F22879">
        <v>99859059</v>
      </c>
      <c r="G22879">
        <v>99859120</v>
      </c>
      <c r="H22879">
        <v>99859123</v>
      </c>
      <c r="I22879">
        <v>99859140</v>
      </c>
    </row>
    <row r="22880" spans="1:9" x14ac:dyDescent="0.2">
      <c r="A22880" t="str">
        <f>"Xxylt1"</f>
        <v>Xxylt1</v>
      </c>
      <c r="B22880" t="s">
        <v>14</v>
      </c>
      <c r="C22880" t="s">
        <v>31</v>
      </c>
      <c r="D22880" t="s">
        <v>11</v>
      </c>
      <c r="E22880" t="s">
        <v>67</v>
      </c>
      <c r="F22880">
        <v>31081363</v>
      </c>
      <c r="G22880">
        <v>31081439</v>
      </c>
      <c r="H22880">
        <v>31081354</v>
      </c>
      <c r="I22880">
        <v>31081359</v>
      </c>
    </row>
    <row r="22881" spans="1:9" x14ac:dyDescent="0.2">
      <c r="A22881" t="str">
        <f>"Xylb"</f>
        <v>Xylb</v>
      </c>
      <c r="B22881" t="s">
        <v>14</v>
      </c>
      <c r="C22881" t="s">
        <v>24</v>
      </c>
      <c r="D22881" t="s">
        <v>17</v>
      </c>
      <c r="E22881" t="s">
        <v>12</v>
      </c>
      <c r="F22881">
        <v>119357574</v>
      </c>
      <c r="G22881">
        <v>119357604</v>
      </c>
      <c r="H22881">
        <v>119357543</v>
      </c>
      <c r="I22881">
        <v>119357564</v>
      </c>
    </row>
    <row r="22882" spans="1:9" x14ac:dyDescent="0.2">
      <c r="A22882" t="str">
        <f>"Xylt1"</f>
        <v>Xylt1</v>
      </c>
      <c r="B22882" t="s">
        <v>14</v>
      </c>
      <c r="C22882" t="s">
        <v>33</v>
      </c>
      <c r="D22882" t="s">
        <v>17</v>
      </c>
      <c r="E22882" t="s">
        <v>12</v>
      </c>
      <c r="F22882">
        <v>117380937</v>
      </c>
      <c r="G22882">
        <v>117380992</v>
      </c>
      <c r="H22882">
        <v>117380996</v>
      </c>
      <c r="I22882">
        <v>117381014</v>
      </c>
    </row>
    <row r="22883" spans="1:9" x14ac:dyDescent="0.2">
      <c r="A22883" t="str">
        <f>"Xylt2"</f>
        <v>Xylt2</v>
      </c>
      <c r="B22883" t="s">
        <v>14</v>
      </c>
      <c r="C22883" t="s">
        <v>27</v>
      </c>
      <c r="D22883" t="s">
        <v>11</v>
      </c>
      <c r="E22883" t="s">
        <v>12</v>
      </c>
      <c r="F22883">
        <v>94677404</v>
      </c>
      <c r="G22883">
        <v>94677496</v>
      </c>
      <c r="H22883">
        <v>94677404</v>
      </c>
      <c r="I22883">
        <v>94677496</v>
      </c>
    </row>
    <row r="22884" spans="1:9" x14ac:dyDescent="0.2">
      <c r="A22884" t="str">
        <f>"Yae1d1"</f>
        <v>Yae1d1</v>
      </c>
      <c r="B22884" t="s">
        <v>14</v>
      </c>
      <c r="C22884" t="s">
        <v>39</v>
      </c>
      <c r="D22884" t="s">
        <v>11</v>
      </c>
      <c r="E22884" t="s">
        <v>67</v>
      </c>
      <c r="F22884">
        <v>17993306</v>
      </c>
      <c r="G22884">
        <v>17993362</v>
      </c>
      <c r="H22884">
        <v>17993306</v>
      </c>
      <c r="I22884">
        <v>17993362</v>
      </c>
    </row>
    <row r="22885" spans="1:9" x14ac:dyDescent="0.2">
      <c r="A22885" t="str">
        <f>"Yaf2"</f>
        <v>Yaf2</v>
      </c>
      <c r="B22885" t="s">
        <v>14</v>
      </c>
      <c r="C22885" t="s">
        <v>25</v>
      </c>
      <c r="D22885" t="s">
        <v>11</v>
      </c>
      <c r="E22885" t="s">
        <v>12</v>
      </c>
      <c r="F22885">
        <v>93336800</v>
      </c>
      <c r="G22885">
        <v>93336852</v>
      </c>
      <c r="H22885">
        <v>93336922</v>
      </c>
      <c r="I22885">
        <v>93336980</v>
      </c>
    </row>
    <row r="22886" spans="1:9" x14ac:dyDescent="0.2">
      <c r="A22886" t="str">
        <f>"Yap1"</f>
        <v>Yap1</v>
      </c>
      <c r="B22886" t="s">
        <v>14</v>
      </c>
      <c r="C22886" t="s">
        <v>24</v>
      </c>
      <c r="D22886" t="s">
        <v>11</v>
      </c>
      <c r="E22886" t="s">
        <v>12</v>
      </c>
      <c r="F22886">
        <v>8004559</v>
      </c>
      <c r="G22886">
        <v>8004577</v>
      </c>
      <c r="H22886">
        <v>8004585</v>
      </c>
      <c r="I22886">
        <v>8004623</v>
      </c>
    </row>
    <row r="22887" spans="1:9" x14ac:dyDescent="0.2">
      <c r="A22887" t="str">
        <f>"Yars"</f>
        <v>Yars</v>
      </c>
      <c r="B22887" t="s">
        <v>14</v>
      </c>
      <c r="C22887" t="s">
        <v>23</v>
      </c>
      <c r="D22887" t="s">
        <v>17</v>
      </c>
      <c r="E22887" t="s">
        <v>12</v>
      </c>
      <c r="F22887">
        <v>129189863</v>
      </c>
      <c r="G22887">
        <v>129189956</v>
      </c>
      <c r="H22887">
        <v>129189863</v>
      </c>
      <c r="I22887">
        <v>129189956</v>
      </c>
    </row>
    <row r="22888" spans="1:9" x14ac:dyDescent="0.2">
      <c r="A22888" t="str">
        <f>"Yars2"</f>
        <v>Yars2</v>
      </c>
      <c r="B22888" t="s">
        <v>14</v>
      </c>
      <c r="C22888" t="s">
        <v>31</v>
      </c>
      <c r="D22888" t="s">
        <v>17</v>
      </c>
      <c r="E22888" t="s">
        <v>12</v>
      </c>
      <c r="F22888">
        <v>16302955</v>
      </c>
      <c r="G22888">
        <v>16302987</v>
      </c>
      <c r="H22888">
        <v>16303539</v>
      </c>
      <c r="I22888">
        <v>16303562</v>
      </c>
    </row>
    <row r="22889" spans="1:9" x14ac:dyDescent="0.2">
      <c r="A22889" t="str">
        <f>"Ybey"</f>
        <v>Ybey</v>
      </c>
      <c r="B22889" t="s">
        <v>14</v>
      </c>
      <c r="C22889" t="s">
        <v>15</v>
      </c>
      <c r="D22889" t="s">
        <v>11</v>
      </c>
      <c r="E22889" t="s">
        <v>12</v>
      </c>
      <c r="F22889">
        <v>76468811</v>
      </c>
      <c r="G22889">
        <v>76468868</v>
      </c>
      <c r="H22889">
        <v>76468811</v>
      </c>
      <c r="I22889">
        <v>76468868</v>
      </c>
    </row>
    <row r="22890" spans="1:9" x14ac:dyDescent="0.2">
      <c r="A22890" t="str">
        <f>"Ybx1"</f>
        <v>Ybx1</v>
      </c>
      <c r="B22890" t="s">
        <v>14</v>
      </c>
      <c r="C22890" t="s">
        <v>23</v>
      </c>
      <c r="D22890" t="s">
        <v>11</v>
      </c>
      <c r="E22890" t="s">
        <v>12</v>
      </c>
      <c r="F22890">
        <v>119294500</v>
      </c>
      <c r="G22890">
        <v>119294518</v>
      </c>
      <c r="H22890">
        <v>119294520</v>
      </c>
      <c r="I22890">
        <v>119294538</v>
      </c>
    </row>
    <row r="22891" spans="1:9" x14ac:dyDescent="0.2">
      <c r="A22891" t="str">
        <f>"Ybx2"</f>
        <v>Ybx2</v>
      </c>
      <c r="B22891" t="s">
        <v>14</v>
      </c>
      <c r="C22891" t="s">
        <v>27</v>
      </c>
      <c r="D22891" t="s">
        <v>17</v>
      </c>
      <c r="E22891" t="s">
        <v>12</v>
      </c>
      <c r="F22891">
        <v>69935894</v>
      </c>
      <c r="G22891">
        <v>69935931</v>
      </c>
      <c r="H22891">
        <v>69935818</v>
      </c>
      <c r="I22891">
        <v>69935843</v>
      </c>
    </row>
    <row r="22892" spans="1:9" x14ac:dyDescent="0.2">
      <c r="A22892" t="str">
        <f>"Ybx3"</f>
        <v>Ybx3</v>
      </c>
      <c r="B22892" t="s">
        <v>14</v>
      </c>
      <c r="C22892" t="s">
        <v>32</v>
      </c>
      <c r="D22892" t="s">
        <v>11</v>
      </c>
      <c r="E22892" t="s">
        <v>67</v>
      </c>
      <c r="F22892">
        <v>131388417</v>
      </c>
      <c r="G22892">
        <v>131388464</v>
      </c>
      <c r="H22892">
        <v>131388260</v>
      </c>
      <c r="I22892">
        <v>131388344</v>
      </c>
    </row>
    <row r="22893" spans="1:9" x14ac:dyDescent="0.2">
      <c r="A22893" t="str">
        <f>"Ydjc"</f>
        <v>Ydjc</v>
      </c>
      <c r="B22893" t="s">
        <v>14</v>
      </c>
      <c r="C22893" t="s">
        <v>31</v>
      </c>
      <c r="D22893" t="s">
        <v>17</v>
      </c>
      <c r="E22893" t="s">
        <v>12</v>
      </c>
      <c r="F22893">
        <v>17146939</v>
      </c>
      <c r="G22893">
        <v>17146985</v>
      </c>
      <c r="H22893">
        <v>17146939</v>
      </c>
      <c r="I22893">
        <v>17146985</v>
      </c>
    </row>
    <row r="22894" spans="1:9" x14ac:dyDescent="0.2">
      <c r="A22894" t="str">
        <f>"Yeats2"</f>
        <v>Yeats2</v>
      </c>
      <c r="B22894" t="s">
        <v>14</v>
      </c>
      <c r="C22894" t="s">
        <v>31</v>
      </c>
      <c r="D22894" t="s">
        <v>17</v>
      </c>
      <c r="E22894" t="s">
        <v>12</v>
      </c>
      <c r="F22894">
        <v>20141061</v>
      </c>
      <c r="G22894">
        <v>20141140</v>
      </c>
      <c r="H22894">
        <v>20140928</v>
      </c>
      <c r="I22894">
        <v>20140937</v>
      </c>
    </row>
    <row r="22895" spans="1:9" x14ac:dyDescent="0.2">
      <c r="A22895" t="str">
        <f>"Yeats4"</f>
        <v>Yeats4</v>
      </c>
      <c r="B22895" t="s">
        <v>14</v>
      </c>
      <c r="C22895" t="s">
        <v>15</v>
      </c>
      <c r="D22895" t="s">
        <v>11</v>
      </c>
      <c r="E22895" t="s">
        <v>12</v>
      </c>
      <c r="F22895">
        <v>117224480</v>
      </c>
      <c r="G22895">
        <v>117224499</v>
      </c>
      <c r="H22895">
        <v>117224362</v>
      </c>
      <c r="I22895">
        <v>117224377</v>
      </c>
    </row>
    <row r="22896" spans="1:9" x14ac:dyDescent="0.2">
      <c r="A22896" t="str">
        <f>"Yes1"</f>
        <v>Yes1</v>
      </c>
      <c r="B22896" t="s">
        <v>14</v>
      </c>
      <c r="C22896" t="s">
        <v>46</v>
      </c>
      <c r="D22896" t="s">
        <v>17</v>
      </c>
      <c r="E22896" t="s">
        <v>12</v>
      </c>
      <c r="F22896">
        <v>32611195</v>
      </c>
      <c r="G22896">
        <v>32611245</v>
      </c>
      <c r="H22896">
        <v>32611247</v>
      </c>
      <c r="I22896">
        <v>32611265</v>
      </c>
    </row>
    <row r="22897" spans="1:9" x14ac:dyDescent="0.2">
      <c r="A22897" t="str">
        <f>"Yif1a"</f>
        <v>Yif1a</v>
      </c>
      <c r="B22897" t="s">
        <v>14</v>
      </c>
      <c r="C22897" t="s">
        <v>10</v>
      </c>
      <c r="D22897" t="s">
        <v>17</v>
      </c>
      <c r="E22897" t="s">
        <v>12</v>
      </c>
      <c r="F22897">
        <v>5088534</v>
      </c>
      <c r="G22897">
        <v>5088575</v>
      </c>
      <c r="H22897">
        <v>5088580</v>
      </c>
      <c r="I22897">
        <v>5088591</v>
      </c>
    </row>
    <row r="22898" spans="1:9" x14ac:dyDescent="0.2">
      <c r="A22898" t="str">
        <f>"Yif1b"</f>
        <v>Yif1b</v>
      </c>
      <c r="B22898" t="s">
        <v>14</v>
      </c>
      <c r="C22898" t="s">
        <v>33</v>
      </c>
      <c r="D22898" t="s">
        <v>17</v>
      </c>
      <c r="E22898" t="s">
        <v>12</v>
      </c>
      <c r="F22898">
        <v>29238323</v>
      </c>
      <c r="G22898">
        <v>29238394</v>
      </c>
      <c r="H22898">
        <v>29238510</v>
      </c>
      <c r="I22898">
        <v>29238557</v>
      </c>
    </row>
    <row r="22899" spans="1:9" x14ac:dyDescent="0.2">
      <c r="A22899" t="str">
        <f>"Yipf1"</f>
        <v>Yipf1</v>
      </c>
      <c r="B22899" t="s">
        <v>14</v>
      </c>
      <c r="C22899" t="s">
        <v>23</v>
      </c>
      <c r="D22899" t="s">
        <v>17</v>
      </c>
      <c r="E22899" t="s">
        <v>12</v>
      </c>
      <c r="F22899">
        <v>107314363</v>
      </c>
      <c r="G22899">
        <v>107314397</v>
      </c>
      <c r="H22899">
        <v>107314399</v>
      </c>
      <c r="I22899">
        <v>107314424</v>
      </c>
    </row>
    <row r="22900" spans="1:9" x14ac:dyDescent="0.2">
      <c r="A22900" t="str">
        <f>"Yipf2"</f>
        <v>Yipf2</v>
      </c>
      <c r="B22900" t="s">
        <v>14</v>
      </c>
      <c r="C22900" t="s">
        <v>24</v>
      </c>
      <c r="D22900" t="s">
        <v>11</v>
      </c>
      <c r="E22900" t="s">
        <v>12</v>
      </c>
      <c r="F22900">
        <v>21592733</v>
      </c>
      <c r="G22900">
        <v>21592795</v>
      </c>
      <c r="H22900">
        <v>21592805</v>
      </c>
      <c r="I22900">
        <v>21592846</v>
      </c>
    </row>
    <row r="22901" spans="1:9" x14ac:dyDescent="0.2">
      <c r="A22901" t="str">
        <f>"Yipf3"</f>
        <v>Yipf3</v>
      </c>
      <c r="B22901" t="s">
        <v>14</v>
      </c>
      <c r="C22901" t="s">
        <v>28</v>
      </c>
      <c r="D22901" t="s">
        <v>17</v>
      </c>
      <c r="E22901" t="s">
        <v>12</v>
      </c>
      <c r="F22901">
        <v>46248069</v>
      </c>
      <c r="G22901">
        <v>46248139</v>
      </c>
      <c r="H22901">
        <v>46248173</v>
      </c>
      <c r="I22901">
        <v>46248176</v>
      </c>
    </row>
    <row r="22902" spans="1:9" x14ac:dyDescent="0.2">
      <c r="A22902" t="str">
        <f>"Yipf4"</f>
        <v>Yipf4</v>
      </c>
      <c r="B22902" t="s">
        <v>14</v>
      </c>
      <c r="C22902" t="s">
        <v>28</v>
      </c>
      <c r="D22902" t="s">
        <v>17</v>
      </c>
      <c r="E22902" t="s">
        <v>12</v>
      </c>
      <c r="F22902">
        <v>74489492</v>
      </c>
      <c r="G22902">
        <v>74489575</v>
      </c>
      <c r="H22902">
        <v>74489478</v>
      </c>
      <c r="I22902">
        <v>74489491</v>
      </c>
    </row>
    <row r="22903" spans="1:9" x14ac:dyDescent="0.2">
      <c r="A22903" t="str">
        <f>"Yipf5"</f>
        <v>Yipf5</v>
      </c>
      <c r="B22903" t="s">
        <v>14</v>
      </c>
      <c r="C22903" t="s">
        <v>43</v>
      </c>
      <c r="D22903" t="s">
        <v>11</v>
      </c>
      <c r="E22903" t="s">
        <v>12</v>
      </c>
      <c r="F22903">
        <v>40219324</v>
      </c>
      <c r="G22903">
        <v>40219369</v>
      </c>
      <c r="H22903">
        <v>40219324</v>
      </c>
      <c r="I22903">
        <v>40219369</v>
      </c>
    </row>
    <row r="22904" spans="1:9" x14ac:dyDescent="0.2">
      <c r="A22904" t="str">
        <f>"Yipf6"</f>
        <v>Yipf6</v>
      </c>
      <c r="B22904" t="s">
        <v>14</v>
      </c>
      <c r="C22904" t="s">
        <v>37</v>
      </c>
      <c r="D22904" t="s">
        <v>17</v>
      </c>
      <c r="E22904" t="s">
        <v>12</v>
      </c>
      <c r="F22904">
        <v>98938200</v>
      </c>
      <c r="G22904">
        <v>98938229</v>
      </c>
      <c r="H22904">
        <v>98938200</v>
      </c>
      <c r="I22904">
        <v>98938229</v>
      </c>
    </row>
    <row r="22905" spans="1:9" x14ac:dyDescent="0.2">
      <c r="A22905" t="str">
        <f>"Yipf7"</f>
        <v>Yipf7</v>
      </c>
      <c r="B22905" t="s">
        <v>14</v>
      </c>
      <c r="C22905" t="s">
        <v>46</v>
      </c>
      <c r="D22905" t="s">
        <v>11</v>
      </c>
      <c r="E22905" t="s">
        <v>12</v>
      </c>
      <c r="F22905">
        <v>69542589</v>
      </c>
      <c r="G22905">
        <v>69542620</v>
      </c>
      <c r="H22905">
        <v>69542622</v>
      </c>
      <c r="I22905">
        <v>69542636</v>
      </c>
    </row>
    <row r="22906" spans="1:9" x14ac:dyDescent="0.2">
      <c r="A22906" t="str">
        <f>"Yjefn3"</f>
        <v>Yjefn3</v>
      </c>
      <c r="B22906" t="s">
        <v>14</v>
      </c>
      <c r="C22906" t="s">
        <v>30</v>
      </c>
      <c r="D22906" t="s">
        <v>11</v>
      </c>
      <c r="E22906" t="s">
        <v>12</v>
      </c>
      <c r="F22906">
        <v>69888201</v>
      </c>
      <c r="G22906">
        <v>69888215</v>
      </c>
      <c r="H22906">
        <v>69888230</v>
      </c>
      <c r="I22906">
        <v>69888237</v>
      </c>
    </row>
    <row r="22907" spans="1:9" x14ac:dyDescent="0.2">
      <c r="A22907" t="str">
        <f>"Ykt6"</f>
        <v>Ykt6</v>
      </c>
      <c r="B22907" t="s">
        <v>14</v>
      </c>
      <c r="C22907" t="s">
        <v>27</v>
      </c>
      <c r="D22907" t="s">
        <v>17</v>
      </c>
      <c r="E22907" t="s">
        <v>12</v>
      </c>
      <c r="F22907">
        <v>5955754</v>
      </c>
      <c r="G22907">
        <v>5955821</v>
      </c>
      <c r="H22907">
        <v>5955601</v>
      </c>
      <c r="I22907">
        <v>5955642</v>
      </c>
    </row>
    <row r="22908" spans="1:9" x14ac:dyDescent="0.2">
      <c r="A22908" t="str">
        <f>"Ylpm1"</f>
        <v>Ylpm1</v>
      </c>
      <c r="B22908" t="s">
        <v>14</v>
      </c>
      <c r="C22908" t="s">
        <v>16</v>
      </c>
      <c r="D22908" t="s">
        <v>17</v>
      </c>
      <c r="E22908" t="s">
        <v>12</v>
      </c>
      <c r="F22908">
        <v>84996309</v>
      </c>
      <c r="G22908">
        <v>84996419</v>
      </c>
      <c r="H22908">
        <v>84996309</v>
      </c>
      <c r="I22908">
        <v>84996419</v>
      </c>
    </row>
    <row r="22909" spans="1:9" x14ac:dyDescent="0.2">
      <c r="A22909" t="str">
        <f>"Yme1l1"</f>
        <v>Yme1l1</v>
      </c>
      <c r="B22909" t="s">
        <v>14</v>
      </c>
      <c r="C22909" t="s">
        <v>26</v>
      </c>
      <c r="D22909" t="s">
        <v>17</v>
      </c>
      <c r="E22909" t="s">
        <v>12</v>
      </c>
      <c r="F22909">
        <v>23156508</v>
      </c>
      <c r="G22909">
        <v>23156527</v>
      </c>
      <c r="H22909">
        <v>23156173</v>
      </c>
      <c r="I22909">
        <v>23156188</v>
      </c>
    </row>
    <row r="22910" spans="1:9" x14ac:dyDescent="0.2">
      <c r="A22910" t="str">
        <f>"Yod1"</f>
        <v>Yod1</v>
      </c>
      <c r="B22910" t="s">
        <v>14</v>
      </c>
      <c r="C22910" t="s">
        <v>19</v>
      </c>
      <c r="D22910" t="s">
        <v>17</v>
      </c>
      <c r="E22910" t="s">
        <v>12</v>
      </c>
      <c r="F22910">
        <v>130717320</v>
      </c>
      <c r="G22910">
        <v>130717333</v>
      </c>
      <c r="H22910">
        <v>130717320</v>
      </c>
      <c r="I22910">
        <v>130717333</v>
      </c>
    </row>
    <row r="22911" spans="1:9" x14ac:dyDescent="0.2">
      <c r="A22911" t="str">
        <f>"Ypel1"</f>
        <v>Ypel1</v>
      </c>
      <c r="B22911" t="s">
        <v>14</v>
      </c>
      <c r="C22911" t="s">
        <v>31</v>
      </c>
      <c r="D22911" t="s">
        <v>17</v>
      </c>
      <c r="E22911" t="s">
        <v>12</v>
      </c>
      <c r="F22911">
        <v>17070127</v>
      </c>
      <c r="G22911">
        <v>17070215</v>
      </c>
      <c r="H22911">
        <v>17070220</v>
      </c>
      <c r="I22911">
        <v>17070239</v>
      </c>
    </row>
    <row r="22912" spans="1:9" x14ac:dyDescent="0.2">
      <c r="A22912" t="str">
        <f>"Ypel2"</f>
        <v>Ypel2</v>
      </c>
      <c r="B22912" t="s">
        <v>14</v>
      </c>
      <c r="C22912" t="s">
        <v>27</v>
      </c>
      <c r="D22912" t="s">
        <v>11</v>
      </c>
      <c r="E22912" t="s">
        <v>12</v>
      </c>
      <c r="F22912">
        <v>86993715</v>
      </c>
      <c r="G22912">
        <v>86993771</v>
      </c>
      <c r="H22912">
        <v>86993652</v>
      </c>
      <c r="I22912">
        <v>86993674</v>
      </c>
    </row>
    <row r="22913" spans="1:9" x14ac:dyDescent="0.2">
      <c r="A22913" t="str">
        <f>"Ypel3"</f>
        <v>Ypel3</v>
      </c>
      <c r="B22913" t="s">
        <v>14</v>
      </c>
      <c r="C22913" t="s">
        <v>33</v>
      </c>
      <c r="D22913" t="s">
        <v>17</v>
      </c>
      <c r="E22913" t="s">
        <v>12</v>
      </c>
      <c r="F22913">
        <v>126776939</v>
      </c>
      <c r="G22913">
        <v>126777004</v>
      </c>
      <c r="H22913">
        <v>126776939</v>
      </c>
      <c r="I22913">
        <v>126777004</v>
      </c>
    </row>
    <row r="22914" spans="1:9" x14ac:dyDescent="0.2">
      <c r="A22914" t="str">
        <f>"Ypel4"</f>
        <v>Ypel4</v>
      </c>
      <c r="B22914" t="s">
        <v>14</v>
      </c>
      <c r="C22914" t="s">
        <v>26</v>
      </c>
      <c r="D22914" t="s">
        <v>17</v>
      </c>
      <c r="E22914" t="s">
        <v>12</v>
      </c>
      <c r="F22914">
        <v>84734050</v>
      </c>
      <c r="G22914">
        <v>84734107</v>
      </c>
      <c r="H22914">
        <v>84734050</v>
      </c>
      <c r="I22914">
        <v>84734107</v>
      </c>
    </row>
    <row r="22915" spans="1:9" x14ac:dyDescent="0.2">
      <c r="A22915" t="str">
        <f>"Ypel5"</f>
        <v>Ypel5</v>
      </c>
      <c r="B22915" t="s">
        <v>14</v>
      </c>
      <c r="C22915" t="s">
        <v>28</v>
      </c>
      <c r="D22915" t="s">
        <v>17</v>
      </c>
      <c r="E22915" t="s">
        <v>12</v>
      </c>
      <c r="F22915">
        <v>72836678</v>
      </c>
      <c r="G22915">
        <v>72836717</v>
      </c>
      <c r="H22915">
        <v>72836724</v>
      </c>
      <c r="I22915">
        <v>72836750</v>
      </c>
    </row>
    <row r="22916" spans="1:9" x14ac:dyDescent="0.2">
      <c r="A22916" t="str">
        <f>"Yrdc"</f>
        <v>Yrdc</v>
      </c>
      <c r="B22916" t="s">
        <v>14</v>
      </c>
      <c r="C22916" t="s">
        <v>23</v>
      </c>
      <c r="D22916" t="s">
        <v>17</v>
      </c>
      <c r="E22916" t="s">
        <v>12</v>
      </c>
      <c r="F22916">
        <v>124850738</v>
      </c>
      <c r="G22916">
        <v>124850786</v>
      </c>
      <c r="H22916">
        <v>124850790</v>
      </c>
      <c r="I22916">
        <v>124850809</v>
      </c>
    </row>
    <row r="22917" spans="1:9" x14ac:dyDescent="0.2">
      <c r="A22917" t="str">
        <f>"Ythdc1"</f>
        <v>Ythdc1</v>
      </c>
      <c r="B22917" t="s">
        <v>14</v>
      </c>
      <c r="C22917" t="s">
        <v>46</v>
      </c>
      <c r="D22917" t="s">
        <v>17</v>
      </c>
      <c r="E22917" t="s">
        <v>12</v>
      </c>
      <c r="F22917">
        <v>86804214</v>
      </c>
      <c r="G22917">
        <v>86804276</v>
      </c>
      <c r="H22917">
        <v>86804281</v>
      </c>
      <c r="I22917">
        <v>86804297</v>
      </c>
    </row>
    <row r="22918" spans="1:9" x14ac:dyDescent="0.2">
      <c r="A22918" t="str">
        <f>"Ythdc2"</f>
        <v>Ythdc2</v>
      </c>
      <c r="B22918" t="s">
        <v>14</v>
      </c>
      <c r="C22918" t="s">
        <v>43</v>
      </c>
      <c r="D22918" t="s">
        <v>17</v>
      </c>
      <c r="E22918" t="s">
        <v>12</v>
      </c>
      <c r="F22918">
        <v>44828471</v>
      </c>
      <c r="G22918">
        <v>44828536</v>
      </c>
      <c r="H22918">
        <v>44828452</v>
      </c>
      <c r="I22918">
        <v>44828470</v>
      </c>
    </row>
    <row r="22919" spans="1:9" x14ac:dyDescent="0.2">
      <c r="A22919" t="str">
        <f>"Ythdf1"</f>
        <v>Ythdf1</v>
      </c>
      <c r="B22919" t="s">
        <v>14</v>
      </c>
      <c r="C22919" t="s">
        <v>26</v>
      </c>
      <c r="D22919" t="s">
        <v>11</v>
      </c>
      <c r="E22919" t="s">
        <v>12</v>
      </c>
      <c r="F22919">
        <v>180920925</v>
      </c>
      <c r="G22919">
        <v>180920964</v>
      </c>
      <c r="H22919">
        <v>180920889</v>
      </c>
      <c r="I22919">
        <v>180920923</v>
      </c>
    </row>
    <row r="22920" spans="1:9" x14ac:dyDescent="0.2">
      <c r="A22920" t="str">
        <f>"Ythdf2"</f>
        <v>Ythdf2</v>
      </c>
      <c r="B22920" t="s">
        <v>14</v>
      </c>
      <c r="C22920" t="s">
        <v>23</v>
      </c>
      <c r="D22920" t="s">
        <v>11</v>
      </c>
      <c r="E22920" t="s">
        <v>12</v>
      </c>
      <c r="F22920">
        <v>132212060</v>
      </c>
      <c r="G22920">
        <v>132212130</v>
      </c>
      <c r="H22920">
        <v>132212041</v>
      </c>
      <c r="I22920">
        <v>132212059</v>
      </c>
    </row>
    <row r="22921" spans="1:9" x14ac:dyDescent="0.2">
      <c r="A22921" t="str">
        <f>"Ythdf3"</f>
        <v>Ythdf3</v>
      </c>
      <c r="B22921" t="s">
        <v>14</v>
      </c>
      <c r="C22921" t="s">
        <v>22</v>
      </c>
      <c r="D22921" t="s">
        <v>17</v>
      </c>
      <c r="E22921" t="s">
        <v>12</v>
      </c>
      <c r="F22921">
        <v>16183208</v>
      </c>
      <c r="G22921">
        <v>16183280</v>
      </c>
      <c r="H22921">
        <v>16183177</v>
      </c>
      <c r="I22921">
        <v>16183206</v>
      </c>
    </row>
    <row r="22922" spans="1:9" x14ac:dyDescent="0.2">
      <c r="A22922" t="str">
        <f>"Ywhab"</f>
        <v>Ywhab</v>
      </c>
      <c r="B22922" t="s">
        <v>14</v>
      </c>
      <c r="C22922" t="s">
        <v>26</v>
      </c>
      <c r="D22922" t="s">
        <v>17</v>
      </c>
      <c r="E22922" t="s">
        <v>12</v>
      </c>
      <c r="F22922">
        <v>163995150</v>
      </c>
      <c r="G22922">
        <v>163995229</v>
      </c>
      <c r="H22922">
        <v>163995138</v>
      </c>
      <c r="I22922">
        <v>163995149</v>
      </c>
    </row>
    <row r="22923" spans="1:9" x14ac:dyDescent="0.2">
      <c r="A22923" t="str">
        <f>"Ywhae"</f>
        <v>Ywhae</v>
      </c>
      <c r="B22923" t="s">
        <v>14</v>
      </c>
      <c r="C22923" t="s">
        <v>27</v>
      </c>
      <c r="D22923" t="s">
        <v>17</v>
      </c>
      <c r="E22923" t="s">
        <v>12</v>
      </c>
      <c r="F22923">
        <v>75732908</v>
      </c>
      <c r="G22923">
        <v>75732975</v>
      </c>
      <c r="H22923">
        <v>75733037</v>
      </c>
      <c r="I22923">
        <v>75733043</v>
      </c>
    </row>
    <row r="22924" spans="1:9" x14ac:dyDescent="0.2">
      <c r="A22924" t="str">
        <f>"Ywhag"</f>
        <v>Ywhag</v>
      </c>
      <c r="B22924" t="s">
        <v>14</v>
      </c>
      <c r="C22924" t="s">
        <v>46</v>
      </c>
      <c r="D22924" t="s">
        <v>11</v>
      </c>
      <c r="E22924" t="s">
        <v>12</v>
      </c>
      <c r="F22924">
        <v>135934590</v>
      </c>
      <c r="G22924">
        <v>135934613</v>
      </c>
      <c r="H22924">
        <v>135934619</v>
      </c>
      <c r="I22924">
        <v>135934633</v>
      </c>
    </row>
    <row r="22925" spans="1:9" x14ac:dyDescent="0.2">
      <c r="A22925" t="str">
        <f>"Ywhah"</f>
        <v>Ywhah</v>
      </c>
      <c r="B22925" t="s">
        <v>14</v>
      </c>
      <c r="C22925" t="s">
        <v>46</v>
      </c>
      <c r="D22925" t="s">
        <v>17</v>
      </c>
      <c r="E22925" t="s">
        <v>12</v>
      </c>
      <c r="F22925">
        <v>33018867</v>
      </c>
      <c r="G22925">
        <v>33018885</v>
      </c>
      <c r="H22925">
        <v>33018834</v>
      </c>
      <c r="I22925">
        <v>33018865</v>
      </c>
    </row>
    <row r="22926" spans="1:9" x14ac:dyDescent="0.2">
      <c r="A22926" t="str">
        <f>"Ywhaq"</f>
        <v>Ywhaq</v>
      </c>
      <c r="B22926" t="s">
        <v>14</v>
      </c>
      <c r="C22926" t="s">
        <v>16</v>
      </c>
      <c r="D22926" t="s">
        <v>11</v>
      </c>
      <c r="E22926" t="s">
        <v>12</v>
      </c>
      <c r="F22926">
        <v>21417526</v>
      </c>
      <c r="G22926">
        <v>21417587</v>
      </c>
      <c r="H22926">
        <v>21417591</v>
      </c>
      <c r="I22926">
        <v>21417605</v>
      </c>
    </row>
    <row r="22927" spans="1:9" x14ac:dyDescent="0.2">
      <c r="A22927" t="str">
        <f>"Ywhaz"</f>
        <v>Ywhaz</v>
      </c>
      <c r="B22927" t="s">
        <v>14</v>
      </c>
      <c r="C22927" t="s">
        <v>25</v>
      </c>
      <c r="D22927" t="s">
        <v>11</v>
      </c>
      <c r="E22927" t="s">
        <v>12</v>
      </c>
      <c r="F22927">
        <v>36793595</v>
      </c>
      <c r="G22927">
        <v>36793637</v>
      </c>
      <c r="H22927">
        <v>36794232</v>
      </c>
      <c r="I22927">
        <v>36794280</v>
      </c>
    </row>
    <row r="22928" spans="1:9" x14ac:dyDescent="0.2">
      <c r="A22928" t="str">
        <f>"Yy1"</f>
        <v>Yy1</v>
      </c>
      <c r="B22928" t="s">
        <v>14</v>
      </c>
      <c r="C22928" t="s">
        <v>16</v>
      </c>
      <c r="D22928" t="s">
        <v>17</v>
      </c>
      <c r="E22928" t="s">
        <v>12</v>
      </c>
      <c r="F22928">
        <v>108793285</v>
      </c>
      <c r="G22928">
        <v>108793375</v>
      </c>
      <c r="H22928">
        <v>108792946</v>
      </c>
      <c r="I22928">
        <v>108792988</v>
      </c>
    </row>
    <row r="22929" spans="1:9" x14ac:dyDescent="0.2">
      <c r="A22929" t="str">
        <f>"Yy2"</f>
        <v>Yy2</v>
      </c>
      <c r="B22929" t="s">
        <v>9</v>
      </c>
      <c r="C22929" t="s">
        <v>37</v>
      </c>
      <c r="D22929" t="s">
        <v>11</v>
      </c>
      <c r="E22929" t="s">
        <v>12</v>
      </c>
      <c r="F22929">
        <v>157568983</v>
      </c>
      <c r="G22929">
        <v>157568991</v>
      </c>
      <c r="H22929">
        <v>157568983</v>
      </c>
      <c r="I22929">
        <v>157568991</v>
      </c>
    </row>
    <row r="22930" spans="1:9" x14ac:dyDescent="0.2">
      <c r="A22930" t="str">
        <f>"Yy2"</f>
        <v>Yy2</v>
      </c>
      <c r="B22930" t="s">
        <v>13</v>
      </c>
      <c r="C22930" t="s">
        <v>37</v>
      </c>
      <c r="D22930" t="s">
        <v>11</v>
      </c>
      <c r="E22930" t="s">
        <v>12</v>
      </c>
      <c r="F22930">
        <v>157598854</v>
      </c>
      <c r="G22930">
        <v>157598860</v>
      </c>
      <c r="H22930">
        <v>157598854</v>
      </c>
      <c r="I22930">
        <v>157598860</v>
      </c>
    </row>
    <row r="22931" spans="1:9" x14ac:dyDescent="0.2">
      <c r="A22931" t="str">
        <f>"ZFP953"</f>
        <v>ZFP953</v>
      </c>
      <c r="B22931" t="s">
        <v>14</v>
      </c>
      <c r="C22931" t="s">
        <v>39</v>
      </c>
      <c r="D22931" t="s">
        <v>11</v>
      </c>
      <c r="E22931" t="s">
        <v>67</v>
      </c>
      <c r="F22931">
        <v>67360554</v>
      </c>
      <c r="G22931">
        <v>67360595</v>
      </c>
      <c r="H22931">
        <v>67360608</v>
      </c>
      <c r="I22931">
        <v>67360630</v>
      </c>
    </row>
    <row r="22932" spans="1:9" x14ac:dyDescent="0.2">
      <c r="A22932" t="str">
        <f>"Zadh2"</f>
        <v>Zadh2</v>
      </c>
      <c r="B22932" t="s">
        <v>14</v>
      </c>
      <c r="C22932" t="s">
        <v>43</v>
      </c>
      <c r="D22932" t="s">
        <v>17</v>
      </c>
      <c r="E22932" t="s">
        <v>12</v>
      </c>
      <c r="F22932">
        <v>84088077</v>
      </c>
      <c r="G22932">
        <v>84088178</v>
      </c>
      <c r="H22932">
        <v>84087647</v>
      </c>
      <c r="I22932">
        <v>84087687</v>
      </c>
    </row>
    <row r="22933" spans="1:9" x14ac:dyDescent="0.2">
      <c r="A22933" t="str">
        <f>"Zak"</f>
        <v>Zak</v>
      </c>
      <c r="B22933" t="s">
        <v>14</v>
      </c>
      <c r="C22933" t="s">
        <v>26</v>
      </c>
      <c r="D22933" t="s">
        <v>17</v>
      </c>
      <c r="E22933" t="s">
        <v>67</v>
      </c>
      <c r="F22933">
        <v>72285704</v>
      </c>
      <c r="G22933">
        <v>72285749</v>
      </c>
      <c r="H22933">
        <v>72285751</v>
      </c>
      <c r="I22933">
        <v>72285783</v>
      </c>
    </row>
    <row r="22934" spans="1:9" x14ac:dyDescent="0.2">
      <c r="A22934" t="str">
        <f>"Zan"</f>
        <v>Zan</v>
      </c>
      <c r="B22934" t="s">
        <v>14</v>
      </c>
      <c r="C22934" t="s">
        <v>46</v>
      </c>
      <c r="D22934" t="s">
        <v>11</v>
      </c>
      <c r="E22934" t="s">
        <v>12</v>
      </c>
      <c r="F22934">
        <v>137477071</v>
      </c>
      <c r="G22934">
        <v>137477102</v>
      </c>
      <c r="H22934">
        <v>137477071</v>
      </c>
      <c r="I22934">
        <v>137477102</v>
      </c>
    </row>
    <row r="22935" spans="1:9" x14ac:dyDescent="0.2">
      <c r="A22935" t="str">
        <f>"Zap70"</f>
        <v>Zap70</v>
      </c>
      <c r="B22935" t="s">
        <v>14</v>
      </c>
      <c r="C22935" t="s">
        <v>19</v>
      </c>
      <c r="D22935" t="s">
        <v>17</v>
      </c>
      <c r="E22935" t="s">
        <v>12</v>
      </c>
      <c r="F22935">
        <v>36761793</v>
      </c>
      <c r="G22935">
        <v>36761843</v>
      </c>
      <c r="H22935">
        <v>36761847</v>
      </c>
      <c r="I22935">
        <v>36761897</v>
      </c>
    </row>
    <row r="22936" spans="1:9" x14ac:dyDescent="0.2">
      <c r="A22936" t="str">
        <f>"Zar1"</f>
        <v>Zar1</v>
      </c>
      <c r="B22936" t="s">
        <v>6331</v>
      </c>
      <c r="C22936" t="s">
        <v>46</v>
      </c>
      <c r="D22936" t="s">
        <v>11</v>
      </c>
      <c r="E22936" t="s">
        <v>20</v>
      </c>
      <c r="F22936">
        <v>72581083</v>
      </c>
      <c r="G22936">
        <v>72581083</v>
      </c>
      <c r="H22936">
        <v>72581083</v>
      </c>
      <c r="I22936">
        <v>72581083</v>
      </c>
    </row>
    <row r="22937" spans="1:9" x14ac:dyDescent="0.2">
      <c r="A22937" t="str">
        <f>"Zar1l"</f>
        <v>Zar1l</v>
      </c>
      <c r="B22937" t="s">
        <v>6332</v>
      </c>
      <c r="C22937" t="s">
        <v>46</v>
      </c>
      <c r="D22937" t="s">
        <v>11</v>
      </c>
      <c r="E22937" t="s">
        <v>20</v>
      </c>
      <c r="F22937">
        <v>150518163</v>
      </c>
      <c r="G22937">
        <v>150518163</v>
      </c>
      <c r="H22937">
        <v>150518163</v>
      </c>
      <c r="I22937">
        <v>150518163</v>
      </c>
    </row>
    <row r="22938" spans="1:9" x14ac:dyDescent="0.2">
      <c r="A22938" t="str">
        <f>"Zbbx"</f>
        <v>Zbbx</v>
      </c>
      <c r="B22938" t="s">
        <v>14</v>
      </c>
      <c r="C22938" t="s">
        <v>22</v>
      </c>
      <c r="D22938" t="s">
        <v>11</v>
      </c>
      <c r="E22938" t="s">
        <v>12</v>
      </c>
      <c r="F22938">
        <v>75165012</v>
      </c>
      <c r="G22938">
        <v>75165055</v>
      </c>
      <c r="H22938">
        <v>75165012</v>
      </c>
      <c r="I22938">
        <v>75165055</v>
      </c>
    </row>
    <row r="22939" spans="1:9" x14ac:dyDescent="0.2">
      <c r="A22939" t="str">
        <f>"Zbed3"</f>
        <v>Zbed3</v>
      </c>
      <c r="B22939" t="s">
        <v>14</v>
      </c>
      <c r="C22939" t="s">
        <v>39</v>
      </c>
      <c r="D22939" t="s">
        <v>17</v>
      </c>
      <c r="E22939" t="s">
        <v>12</v>
      </c>
      <c r="F22939">
        <v>95325258</v>
      </c>
      <c r="G22939">
        <v>95325300</v>
      </c>
      <c r="H22939">
        <v>95325195</v>
      </c>
      <c r="I22939">
        <v>95325229</v>
      </c>
    </row>
    <row r="22940" spans="1:9" x14ac:dyDescent="0.2">
      <c r="A22940" t="str">
        <f>"Zbed4"</f>
        <v>Zbed4</v>
      </c>
      <c r="B22940" t="s">
        <v>14</v>
      </c>
      <c r="C22940" t="s">
        <v>25</v>
      </c>
      <c r="D22940" t="s">
        <v>17</v>
      </c>
      <c r="E22940" t="s">
        <v>12</v>
      </c>
      <c r="F22940">
        <v>88751649</v>
      </c>
      <c r="G22940">
        <v>88751661</v>
      </c>
      <c r="H22940">
        <v>88751795</v>
      </c>
      <c r="I22940">
        <v>88751811</v>
      </c>
    </row>
    <row r="22941" spans="1:9" x14ac:dyDescent="0.2">
      <c r="A22941" t="str">
        <f>"Zbed6"</f>
        <v>Zbed6</v>
      </c>
      <c r="B22941" t="s">
        <v>14</v>
      </c>
      <c r="C22941" t="s">
        <v>19</v>
      </c>
      <c r="D22941" t="s">
        <v>11</v>
      </c>
      <c r="E22941" t="s">
        <v>12</v>
      </c>
      <c r="F22941">
        <v>133660949</v>
      </c>
      <c r="G22941">
        <v>133660974</v>
      </c>
      <c r="H22941">
        <v>133660976</v>
      </c>
      <c r="I22941">
        <v>133661022</v>
      </c>
    </row>
    <row r="22942" spans="1:9" x14ac:dyDescent="0.2">
      <c r="A22942" t="str">
        <f>"Zbp1"</f>
        <v>Zbp1</v>
      </c>
      <c r="B22942" t="s">
        <v>14</v>
      </c>
      <c r="C22942" t="s">
        <v>26</v>
      </c>
      <c r="D22942" t="s">
        <v>11</v>
      </c>
      <c r="E22942" t="s">
        <v>12</v>
      </c>
      <c r="F22942">
        <v>173218879</v>
      </c>
      <c r="G22942">
        <v>173218931</v>
      </c>
      <c r="H22942">
        <v>173218856</v>
      </c>
      <c r="I22942">
        <v>173218876</v>
      </c>
    </row>
    <row r="22943" spans="1:9" x14ac:dyDescent="0.2">
      <c r="A22943" t="str">
        <f>"Zbtb1"</f>
        <v>Zbtb1</v>
      </c>
      <c r="B22943" t="s">
        <v>14</v>
      </c>
      <c r="C22943" t="s">
        <v>16</v>
      </c>
      <c r="D22943" t="s">
        <v>17</v>
      </c>
      <c r="E22943" t="s">
        <v>12</v>
      </c>
      <c r="F22943">
        <v>76370537</v>
      </c>
      <c r="G22943">
        <v>76370620</v>
      </c>
      <c r="H22943">
        <v>76370537</v>
      </c>
      <c r="I22943">
        <v>76370620</v>
      </c>
    </row>
    <row r="22944" spans="1:9" x14ac:dyDescent="0.2">
      <c r="A22944" t="str">
        <f>"Zbtb10"</f>
        <v>Zbtb10</v>
      </c>
      <c r="B22944" t="s">
        <v>14</v>
      </c>
      <c r="C22944" t="s">
        <v>22</v>
      </c>
      <c r="D22944" t="s">
        <v>17</v>
      </c>
      <c r="E22944" t="s">
        <v>12</v>
      </c>
      <c r="F22944">
        <v>9250640</v>
      </c>
      <c r="G22944">
        <v>9250659</v>
      </c>
      <c r="H22944">
        <v>9250528</v>
      </c>
      <c r="I22944">
        <v>9250565</v>
      </c>
    </row>
    <row r="22945" spans="1:9" x14ac:dyDescent="0.2">
      <c r="A22945" t="str">
        <f>"Zbtb12"</f>
        <v>Zbtb12</v>
      </c>
      <c r="B22945" t="s">
        <v>14</v>
      </c>
      <c r="C22945" t="s">
        <v>28</v>
      </c>
      <c r="D22945" t="s">
        <v>17</v>
      </c>
      <c r="E22945" t="s">
        <v>12</v>
      </c>
      <c r="F22945">
        <v>34894515</v>
      </c>
      <c r="G22945">
        <v>34894573</v>
      </c>
      <c r="H22945">
        <v>34894644</v>
      </c>
      <c r="I22945">
        <v>34894685</v>
      </c>
    </row>
    <row r="22946" spans="1:9" x14ac:dyDescent="0.2">
      <c r="A22946" t="str">
        <f>"Zbtb14"</f>
        <v>Zbtb14</v>
      </c>
      <c r="B22946" t="s">
        <v>14</v>
      </c>
      <c r="C22946" t="s">
        <v>28</v>
      </c>
      <c r="D22946" t="s">
        <v>17</v>
      </c>
      <c r="E22946" t="s">
        <v>67</v>
      </c>
      <c r="F22946">
        <v>69383350</v>
      </c>
      <c r="G22946">
        <v>69383394</v>
      </c>
      <c r="H22946">
        <v>69383024</v>
      </c>
      <c r="I22946">
        <v>69383065</v>
      </c>
    </row>
    <row r="22947" spans="1:9" x14ac:dyDescent="0.2">
      <c r="A22947" t="str">
        <f>"Zbtb16"</f>
        <v>Zbtb16</v>
      </c>
      <c r="B22947" t="s">
        <v>14</v>
      </c>
      <c r="C22947" t="s">
        <v>24</v>
      </c>
      <c r="D22947" t="s">
        <v>11</v>
      </c>
      <c r="E22947" t="s">
        <v>12</v>
      </c>
      <c r="F22947">
        <v>48836201</v>
      </c>
      <c r="G22947">
        <v>48836259</v>
      </c>
      <c r="H22947">
        <v>48835932</v>
      </c>
      <c r="I22947">
        <v>48835962</v>
      </c>
    </row>
    <row r="22948" spans="1:9" x14ac:dyDescent="0.2">
      <c r="A22948" t="str">
        <f>"Zbtb17"</f>
        <v>Zbtb17</v>
      </c>
      <c r="B22948" t="s">
        <v>14</v>
      </c>
      <c r="C22948" t="s">
        <v>23</v>
      </c>
      <c r="D22948" t="s">
        <v>17</v>
      </c>
      <c r="E22948" t="s">
        <v>12</v>
      </c>
      <c r="F22948">
        <v>141444657</v>
      </c>
      <c r="G22948">
        <v>141444714</v>
      </c>
      <c r="H22948">
        <v>141444657</v>
      </c>
      <c r="I22948">
        <v>141444714</v>
      </c>
    </row>
    <row r="22949" spans="1:9" x14ac:dyDescent="0.2">
      <c r="A22949" t="str">
        <f>"Zbtb18"</f>
        <v>Zbtb18</v>
      </c>
      <c r="B22949" t="s">
        <v>6333</v>
      </c>
      <c r="C22949" t="s">
        <v>19</v>
      </c>
      <c r="D22949" t="s">
        <v>17</v>
      </c>
      <c r="E22949" t="s">
        <v>35</v>
      </c>
      <c r="F22949">
        <v>177445778</v>
      </c>
      <c r="G22949">
        <v>177445823</v>
      </c>
      <c r="H22949">
        <v>177445892</v>
      </c>
      <c r="I22949">
        <v>177445935</v>
      </c>
    </row>
    <row r="22950" spans="1:9" x14ac:dyDescent="0.2">
      <c r="A22950" t="str">
        <f>"Zbtb18"</f>
        <v>Zbtb18</v>
      </c>
      <c r="B22950" t="s">
        <v>6334</v>
      </c>
      <c r="C22950" t="s">
        <v>19</v>
      </c>
      <c r="D22950" t="s">
        <v>17</v>
      </c>
      <c r="E22950" t="s">
        <v>35</v>
      </c>
      <c r="F22950">
        <v>177444633</v>
      </c>
      <c r="G22950">
        <v>177444645</v>
      </c>
      <c r="H22950">
        <v>177444731</v>
      </c>
      <c r="I22950">
        <v>177444742</v>
      </c>
    </row>
    <row r="22951" spans="1:9" x14ac:dyDescent="0.2">
      <c r="A22951" t="str">
        <f>"Zbtb2"</f>
        <v>Zbtb2</v>
      </c>
      <c r="B22951" t="s">
        <v>14</v>
      </c>
      <c r="C22951" t="s">
        <v>15</v>
      </c>
      <c r="D22951" t="s">
        <v>11</v>
      </c>
      <c r="E22951" t="s">
        <v>12</v>
      </c>
      <c r="F22951">
        <v>4387972</v>
      </c>
      <c r="G22951">
        <v>4388002</v>
      </c>
      <c r="H22951">
        <v>4387436</v>
      </c>
      <c r="I22951">
        <v>4387479</v>
      </c>
    </row>
    <row r="22952" spans="1:9" x14ac:dyDescent="0.2">
      <c r="A22952" t="str">
        <f>"Zbtb20"</f>
        <v>Zbtb20</v>
      </c>
      <c r="B22952" t="s">
        <v>14</v>
      </c>
      <c r="C22952" t="s">
        <v>31</v>
      </c>
      <c r="D22952" t="s">
        <v>17</v>
      </c>
      <c r="E22952" t="s">
        <v>67</v>
      </c>
      <c r="F22952">
        <v>43621099</v>
      </c>
      <c r="G22952">
        <v>43621111</v>
      </c>
      <c r="H22952">
        <v>43621099</v>
      </c>
      <c r="I22952">
        <v>43621111</v>
      </c>
    </row>
    <row r="22953" spans="1:9" x14ac:dyDescent="0.2">
      <c r="A22953" t="str">
        <f>"Zbtb21"</f>
        <v>Zbtb21</v>
      </c>
      <c r="B22953" t="s">
        <v>14</v>
      </c>
      <c r="C22953" t="s">
        <v>31</v>
      </c>
      <c r="D22953" t="s">
        <v>11</v>
      </c>
      <c r="E22953" t="s">
        <v>67</v>
      </c>
      <c r="F22953">
        <v>97962581</v>
      </c>
      <c r="G22953">
        <v>97962636</v>
      </c>
      <c r="H22953">
        <v>97962206</v>
      </c>
      <c r="I22953">
        <v>97962273</v>
      </c>
    </row>
    <row r="22954" spans="1:9" x14ac:dyDescent="0.2">
      <c r="A22954" t="str">
        <f>"Zbtb22"</f>
        <v>Zbtb22</v>
      </c>
      <c r="B22954" t="s">
        <v>14</v>
      </c>
      <c r="C22954" t="s">
        <v>28</v>
      </c>
      <c r="D22954" t="s">
        <v>17</v>
      </c>
      <c r="E22954" t="s">
        <v>12</v>
      </c>
      <c r="F22954">
        <v>33916182</v>
      </c>
      <c r="G22954">
        <v>33916196</v>
      </c>
      <c r="H22954">
        <v>33915905</v>
      </c>
      <c r="I22954">
        <v>33915916</v>
      </c>
    </row>
    <row r="22955" spans="1:9" x14ac:dyDescent="0.2">
      <c r="A22955" t="str">
        <f>"Zbtb24"</f>
        <v>Zbtb24</v>
      </c>
      <c r="B22955" t="s">
        <v>14</v>
      </c>
      <c r="C22955" t="s">
        <v>15</v>
      </c>
      <c r="D22955" t="s">
        <v>17</v>
      </c>
      <c r="E22955" t="s">
        <v>12</v>
      </c>
      <c r="F22955">
        <v>41450363</v>
      </c>
      <c r="G22955">
        <v>41450421</v>
      </c>
      <c r="H22955">
        <v>41450357</v>
      </c>
      <c r="I22955">
        <v>41450362</v>
      </c>
    </row>
    <row r="22956" spans="1:9" x14ac:dyDescent="0.2">
      <c r="A22956" t="str">
        <f>"Zbtb25"</f>
        <v>Zbtb25</v>
      </c>
      <c r="B22956" t="s">
        <v>14</v>
      </c>
      <c r="C22956" t="s">
        <v>16</v>
      </c>
      <c r="D22956" t="s">
        <v>11</v>
      </c>
      <c r="E22956" t="s">
        <v>12</v>
      </c>
      <c r="F22956">
        <v>76369385</v>
      </c>
      <c r="G22956">
        <v>76369469</v>
      </c>
      <c r="H22956">
        <v>76369520</v>
      </c>
      <c r="I22956">
        <v>76369585</v>
      </c>
    </row>
    <row r="22957" spans="1:9" x14ac:dyDescent="0.2">
      <c r="A22957" t="str">
        <f>"Zbtb26"</f>
        <v>Zbtb26</v>
      </c>
      <c r="B22957" t="s">
        <v>14</v>
      </c>
      <c r="C22957" t="s">
        <v>26</v>
      </c>
      <c r="D22957" t="s">
        <v>11</v>
      </c>
      <c r="E22957" t="s">
        <v>12</v>
      </c>
      <c r="F22957">
        <v>37443096</v>
      </c>
      <c r="G22957">
        <v>37443178</v>
      </c>
      <c r="H22957">
        <v>37443081</v>
      </c>
      <c r="I22957">
        <v>37443091</v>
      </c>
    </row>
    <row r="22958" spans="1:9" x14ac:dyDescent="0.2">
      <c r="A22958" t="str">
        <f>"Zbtb3"</f>
        <v>Zbtb3</v>
      </c>
      <c r="B22958" t="s">
        <v>14</v>
      </c>
      <c r="C22958" t="s">
        <v>10</v>
      </c>
      <c r="D22958" t="s">
        <v>17</v>
      </c>
      <c r="E22958" t="s">
        <v>12</v>
      </c>
      <c r="F22958">
        <v>8802486</v>
      </c>
      <c r="G22958">
        <v>8802521</v>
      </c>
      <c r="H22958">
        <v>8802542</v>
      </c>
      <c r="I22958">
        <v>8802553</v>
      </c>
    </row>
    <row r="22959" spans="1:9" x14ac:dyDescent="0.2">
      <c r="A22959" t="str">
        <f>"Zbtb32"</f>
        <v>Zbtb32</v>
      </c>
      <c r="B22959" t="s">
        <v>14</v>
      </c>
      <c r="C22959" t="s">
        <v>33</v>
      </c>
      <c r="D22959" t="s">
        <v>11</v>
      </c>
      <c r="E22959" t="s">
        <v>12</v>
      </c>
      <c r="F22959">
        <v>30598831</v>
      </c>
      <c r="G22959">
        <v>30598855</v>
      </c>
      <c r="H22959">
        <v>30598863</v>
      </c>
      <c r="I22959">
        <v>30598884</v>
      </c>
    </row>
    <row r="22960" spans="1:9" x14ac:dyDescent="0.2">
      <c r="A22960" t="str">
        <f>"Zbtb33"</f>
        <v>Zbtb33</v>
      </c>
      <c r="B22960" t="s">
        <v>14</v>
      </c>
      <c r="C22960" t="s">
        <v>37</v>
      </c>
      <c r="D22960" t="s">
        <v>17</v>
      </c>
      <c r="E22960" t="s">
        <v>12</v>
      </c>
      <c r="F22960">
        <v>38189780</v>
      </c>
      <c r="G22960">
        <v>38189826</v>
      </c>
      <c r="H22960">
        <v>38189829</v>
      </c>
      <c r="I22960">
        <v>38189842</v>
      </c>
    </row>
    <row r="22961" spans="1:9" x14ac:dyDescent="0.2">
      <c r="A22961" t="str">
        <f>"Zbtb34"</f>
        <v>Zbtb34</v>
      </c>
      <c r="B22961" t="s">
        <v>14</v>
      </c>
      <c r="C22961" t="s">
        <v>26</v>
      </c>
      <c r="D22961" t="s">
        <v>11</v>
      </c>
      <c r="E22961" t="s">
        <v>12</v>
      </c>
      <c r="F22961">
        <v>33431299</v>
      </c>
      <c r="G22961">
        <v>33431347</v>
      </c>
      <c r="H22961">
        <v>33431504</v>
      </c>
      <c r="I22961">
        <v>33431547</v>
      </c>
    </row>
    <row r="22962" spans="1:9" x14ac:dyDescent="0.2">
      <c r="A22962" t="str">
        <f>"Zbtb37"</f>
        <v>Zbtb37</v>
      </c>
      <c r="B22962" t="s">
        <v>14</v>
      </c>
      <c r="C22962" t="s">
        <v>19</v>
      </c>
      <c r="D22962" t="s">
        <v>11</v>
      </c>
      <c r="E22962" t="s">
        <v>12</v>
      </c>
      <c r="F22962">
        <v>161034794</v>
      </c>
      <c r="G22962">
        <v>161034832</v>
      </c>
      <c r="H22962">
        <v>161034794</v>
      </c>
      <c r="I22962">
        <v>161034832</v>
      </c>
    </row>
    <row r="22963" spans="1:9" x14ac:dyDescent="0.2">
      <c r="A22963" t="str">
        <f>"Zbtb38"</f>
        <v>Zbtb38</v>
      </c>
      <c r="B22963" t="s">
        <v>9</v>
      </c>
      <c r="C22963" t="s">
        <v>24</v>
      </c>
      <c r="D22963" t="s">
        <v>11</v>
      </c>
      <c r="E22963" t="s">
        <v>12</v>
      </c>
      <c r="F22963">
        <v>96752653</v>
      </c>
      <c r="G22963">
        <v>96752735</v>
      </c>
      <c r="H22963">
        <v>96752653</v>
      </c>
      <c r="I22963">
        <v>96752735</v>
      </c>
    </row>
    <row r="22964" spans="1:9" x14ac:dyDescent="0.2">
      <c r="A22964" t="str">
        <f>"Zbtb38"</f>
        <v>Zbtb38</v>
      </c>
      <c r="B22964" t="s">
        <v>13</v>
      </c>
      <c r="C22964" t="s">
        <v>24</v>
      </c>
      <c r="D22964" t="s">
        <v>11</v>
      </c>
      <c r="E22964" t="s">
        <v>12</v>
      </c>
      <c r="F22964">
        <v>96719404</v>
      </c>
      <c r="G22964">
        <v>96719479</v>
      </c>
      <c r="H22964">
        <v>96719404</v>
      </c>
      <c r="I22964">
        <v>96719479</v>
      </c>
    </row>
    <row r="22965" spans="1:9" x14ac:dyDescent="0.2">
      <c r="A22965" t="str">
        <f>"Zbtb39"</f>
        <v>Zbtb39</v>
      </c>
      <c r="B22965" t="s">
        <v>14</v>
      </c>
      <c r="C22965" t="s">
        <v>15</v>
      </c>
      <c r="D22965" t="s">
        <v>17</v>
      </c>
      <c r="E22965" t="s">
        <v>12</v>
      </c>
      <c r="F22965">
        <v>127739516</v>
      </c>
      <c r="G22965">
        <v>127739592</v>
      </c>
      <c r="H22965">
        <v>127739611</v>
      </c>
      <c r="I22965">
        <v>127739623</v>
      </c>
    </row>
    <row r="22966" spans="1:9" x14ac:dyDescent="0.2">
      <c r="A22966" t="str">
        <f>"Zbtb4"</f>
        <v>Zbtb4</v>
      </c>
      <c r="B22966" t="s">
        <v>14</v>
      </c>
      <c r="C22966" t="s">
        <v>27</v>
      </c>
      <c r="D22966" t="s">
        <v>17</v>
      </c>
      <c r="E22966" t="s">
        <v>12</v>
      </c>
      <c r="F22966">
        <v>69765970</v>
      </c>
      <c r="G22966">
        <v>69766027</v>
      </c>
      <c r="H22966">
        <v>69765899</v>
      </c>
      <c r="I22966">
        <v>69765925</v>
      </c>
    </row>
    <row r="22967" spans="1:9" x14ac:dyDescent="0.2">
      <c r="A22967" t="str">
        <f>"Zbtb40"</f>
        <v>Zbtb40</v>
      </c>
      <c r="B22967" t="s">
        <v>14</v>
      </c>
      <c r="C22967" t="s">
        <v>23</v>
      </c>
      <c r="D22967" t="s">
        <v>11</v>
      </c>
      <c r="E22967" t="s">
        <v>12</v>
      </c>
      <c r="F22967">
        <v>137048777</v>
      </c>
      <c r="G22967">
        <v>137048807</v>
      </c>
      <c r="H22967">
        <v>137048811</v>
      </c>
      <c r="I22967">
        <v>137048816</v>
      </c>
    </row>
    <row r="22968" spans="1:9" x14ac:dyDescent="0.2">
      <c r="A22968" t="str">
        <f>"Zbtb41"</f>
        <v>Zbtb41</v>
      </c>
      <c r="B22968" t="s">
        <v>14</v>
      </c>
      <c r="C22968" t="s">
        <v>19</v>
      </c>
      <c r="D22968" t="s">
        <v>17</v>
      </c>
      <c r="E22968" t="s">
        <v>12</v>
      </c>
      <c r="F22968">
        <v>139422196</v>
      </c>
      <c r="G22968">
        <v>139422263</v>
      </c>
      <c r="H22968">
        <v>139422335</v>
      </c>
      <c r="I22968">
        <v>139422366</v>
      </c>
    </row>
    <row r="22969" spans="1:9" x14ac:dyDescent="0.2">
      <c r="A22969" t="str">
        <f>"Zbtb42"</f>
        <v>Zbtb42</v>
      </c>
      <c r="B22969" t="s">
        <v>14</v>
      </c>
      <c r="C22969" t="s">
        <v>16</v>
      </c>
      <c r="D22969" t="s">
        <v>17</v>
      </c>
      <c r="E22969" t="s">
        <v>12</v>
      </c>
      <c r="F22969">
        <v>112678803</v>
      </c>
      <c r="G22969">
        <v>112678823</v>
      </c>
      <c r="H22969">
        <v>112678782</v>
      </c>
      <c r="I22969">
        <v>112678798</v>
      </c>
    </row>
    <row r="22970" spans="1:9" x14ac:dyDescent="0.2">
      <c r="A22970" t="str">
        <f>"Zbtb43"</f>
        <v>Zbtb43</v>
      </c>
      <c r="B22970" t="s">
        <v>14</v>
      </c>
      <c r="C22970" t="s">
        <v>26</v>
      </c>
      <c r="D22970" t="s">
        <v>11</v>
      </c>
      <c r="E22970" t="s">
        <v>12</v>
      </c>
      <c r="F22970">
        <v>33468493</v>
      </c>
      <c r="G22970">
        <v>33468572</v>
      </c>
      <c r="H22970">
        <v>33468493</v>
      </c>
      <c r="I22970">
        <v>33468572</v>
      </c>
    </row>
    <row r="22971" spans="1:9" x14ac:dyDescent="0.2">
      <c r="A22971" t="str">
        <f>"Zbtb44"</f>
        <v>Zbtb44</v>
      </c>
      <c r="B22971" t="s">
        <v>14</v>
      </c>
      <c r="C22971" t="s">
        <v>24</v>
      </c>
      <c r="D22971" t="s">
        <v>17</v>
      </c>
      <c r="E22971" t="s">
        <v>12</v>
      </c>
      <c r="F22971">
        <v>31030383</v>
      </c>
      <c r="G22971">
        <v>31030451</v>
      </c>
      <c r="H22971">
        <v>31030621</v>
      </c>
      <c r="I22971">
        <v>31030700</v>
      </c>
    </row>
    <row r="22972" spans="1:9" x14ac:dyDescent="0.2">
      <c r="A22972" t="str">
        <f>"Zbtb45"</f>
        <v>Zbtb45</v>
      </c>
      <c r="B22972" t="s">
        <v>14</v>
      </c>
      <c r="C22972" t="s">
        <v>33</v>
      </c>
      <c r="D22972" t="s">
        <v>11</v>
      </c>
      <c r="E22972" t="s">
        <v>12</v>
      </c>
      <c r="F22972">
        <v>13009795</v>
      </c>
      <c r="G22972">
        <v>13009856</v>
      </c>
      <c r="H22972">
        <v>13009795</v>
      </c>
      <c r="I22972">
        <v>13009856</v>
      </c>
    </row>
    <row r="22973" spans="1:9" x14ac:dyDescent="0.2">
      <c r="A22973" t="str">
        <f>"Zbtb46"</f>
        <v>Zbtb46</v>
      </c>
      <c r="B22973" t="s">
        <v>14</v>
      </c>
      <c r="C22973" t="s">
        <v>26</v>
      </c>
      <c r="D22973" t="s">
        <v>11</v>
      </c>
      <c r="E22973" t="s">
        <v>12</v>
      </c>
      <c r="F22973">
        <v>181459364</v>
      </c>
      <c r="G22973">
        <v>181459439</v>
      </c>
      <c r="H22973">
        <v>181459454</v>
      </c>
      <c r="I22973">
        <v>181459461</v>
      </c>
    </row>
    <row r="22974" spans="1:9" x14ac:dyDescent="0.2">
      <c r="A22974" t="str">
        <f>"Zbtb48"</f>
        <v>Zbtb48</v>
      </c>
      <c r="B22974" t="s">
        <v>14</v>
      </c>
      <c r="C22974" t="s">
        <v>23</v>
      </c>
      <c r="D22974" t="s">
        <v>11</v>
      </c>
      <c r="E22974" t="s">
        <v>12</v>
      </c>
      <c r="F22974">
        <v>152027632</v>
      </c>
      <c r="G22974">
        <v>152027684</v>
      </c>
      <c r="H22974">
        <v>152027601</v>
      </c>
      <c r="I22974">
        <v>152027624</v>
      </c>
    </row>
    <row r="22975" spans="1:9" x14ac:dyDescent="0.2">
      <c r="A22975" t="str">
        <f>"Zbtb49"</f>
        <v>Zbtb49</v>
      </c>
      <c r="B22975" t="s">
        <v>14</v>
      </c>
      <c r="C22975" t="s">
        <v>46</v>
      </c>
      <c r="D22975" t="s">
        <v>11</v>
      </c>
      <c r="E22975" t="s">
        <v>12</v>
      </c>
      <c r="F22975">
        <v>38220400</v>
      </c>
      <c r="G22975">
        <v>38220459</v>
      </c>
      <c r="H22975">
        <v>38220382</v>
      </c>
      <c r="I22975">
        <v>38220396</v>
      </c>
    </row>
    <row r="22976" spans="1:9" x14ac:dyDescent="0.2">
      <c r="A22976" t="str">
        <f>"Zbtb5"</f>
        <v>Zbtb5</v>
      </c>
      <c r="B22976" t="s">
        <v>14</v>
      </c>
      <c r="C22976" t="s">
        <v>23</v>
      </c>
      <c r="D22976" t="s">
        <v>11</v>
      </c>
      <c r="E22976" t="s">
        <v>12</v>
      </c>
      <c r="F22976">
        <v>45012287</v>
      </c>
      <c r="G22976">
        <v>45012325</v>
      </c>
      <c r="H22976">
        <v>45012376</v>
      </c>
      <c r="I22976">
        <v>45012438</v>
      </c>
    </row>
    <row r="22977" spans="1:9" x14ac:dyDescent="0.2">
      <c r="A22977" t="str">
        <f>"Zbtb6"</f>
        <v>Zbtb6</v>
      </c>
      <c r="B22977" t="s">
        <v>9</v>
      </c>
      <c r="C22977" t="s">
        <v>26</v>
      </c>
      <c r="D22977" t="s">
        <v>11</v>
      </c>
      <c r="E22977" t="s">
        <v>12</v>
      </c>
      <c r="F22977">
        <v>37430835</v>
      </c>
      <c r="G22977">
        <v>37430898</v>
      </c>
      <c r="H22977">
        <v>37430835</v>
      </c>
      <c r="I22977">
        <v>37430898</v>
      </c>
    </row>
    <row r="22978" spans="1:9" x14ac:dyDescent="0.2">
      <c r="A22978" t="str">
        <f>"Zbtb6"</f>
        <v>Zbtb6</v>
      </c>
      <c r="B22978" t="s">
        <v>13</v>
      </c>
      <c r="C22978" t="s">
        <v>26</v>
      </c>
      <c r="D22978" t="s">
        <v>11</v>
      </c>
      <c r="E22978" t="s">
        <v>12</v>
      </c>
      <c r="F22978">
        <v>37443096</v>
      </c>
      <c r="G22978">
        <v>37443178</v>
      </c>
      <c r="H22978">
        <v>37443096</v>
      </c>
      <c r="I22978">
        <v>37443178</v>
      </c>
    </row>
    <row r="22979" spans="1:9" x14ac:dyDescent="0.2">
      <c r="A22979" t="str">
        <f>"Zbtb7a"</f>
        <v>Zbtb7a</v>
      </c>
      <c r="B22979" t="s">
        <v>9</v>
      </c>
      <c r="C22979" t="s">
        <v>15</v>
      </c>
      <c r="D22979" t="s">
        <v>17</v>
      </c>
      <c r="E22979" t="s">
        <v>12</v>
      </c>
      <c r="F22979">
        <v>81136534</v>
      </c>
      <c r="G22979">
        <v>81136608</v>
      </c>
      <c r="H22979">
        <v>81136534</v>
      </c>
      <c r="I22979">
        <v>81136608</v>
      </c>
    </row>
    <row r="22980" spans="1:9" x14ac:dyDescent="0.2">
      <c r="A22980" t="str">
        <f>"Zbtb7a"</f>
        <v>Zbtb7a</v>
      </c>
      <c r="B22980" t="s">
        <v>13</v>
      </c>
      <c r="C22980" t="s">
        <v>15</v>
      </c>
      <c r="D22980" t="s">
        <v>17</v>
      </c>
      <c r="E22980" t="s">
        <v>12</v>
      </c>
      <c r="F22980">
        <v>81138004</v>
      </c>
      <c r="G22980">
        <v>81138021</v>
      </c>
      <c r="H22980">
        <v>81138004</v>
      </c>
      <c r="I22980">
        <v>81138021</v>
      </c>
    </row>
    <row r="22981" spans="1:9" x14ac:dyDescent="0.2">
      <c r="A22981" t="str">
        <f>"Zbtb7b"</f>
        <v>Zbtb7b</v>
      </c>
      <c r="B22981" t="s">
        <v>14</v>
      </c>
      <c r="C22981" t="s">
        <v>22</v>
      </c>
      <c r="D22981" t="s">
        <v>11</v>
      </c>
      <c r="E22981" t="s">
        <v>12</v>
      </c>
      <c r="F22981">
        <v>89393135</v>
      </c>
      <c r="G22981">
        <v>89393192</v>
      </c>
      <c r="H22981">
        <v>89393629</v>
      </c>
      <c r="I22981">
        <v>89393684</v>
      </c>
    </row>
    <row r="22982" spans="1:9" x14ac:dyDescent="0.2">
      <c r="A22982" t="str">
        <f>"Zbtb7c"</f>
        <v>Zbtb7c</v>
      </c>
      <c r="B22982" t="s">
        <v>9</v>
      </c>
      <c r="C22982" t="s">
        <v>43</v>
      </c>
      <c r="D22982" t="s">
        <v>17</v>
      </c>
      <c r="E22982" t="s">
        <v>12</v>
      </c>
      <c r="F22982">
        <v>76059464</v>
      </c>
      <c r="G22982">
        <v>76059501</v>
      </c>
      <c r="H22982">
        <v>76059464</v>
      </c>
      <c r="I22982">
        <v>76059501</v>
      </c>
    </row>
    <row r="22983" spans="1:9" x14ac:dyDescent="0.2">
      <c r="A22983" t="str">
        <f>"Zbtb7c"</f>
        <v>Zbtb7c</v>
      </c>
      <c r="B22983" t="s">
        <v>13</v>
      </c>
      <c r="C22983" t="s">
        <v>43</v>
      </c>
      <c r="D22983" t="s">
        <v>17</v>
      </c>
      <c r="E22983" t="s">
        <v>12</v>
      </c>
      <c r="F22983">
        <v>75820174</v>
      </c>
      <c r="G22983">
        <v>75820210</v>
      </c>
      <c r="H22983">
        <v>75820174</v>
      </c>
      <c r="I22983">
        <v>75820210</v>
      </c>
    </row>
    <row r="22984" spans="1:9" x14ac:dyDescent="0.2">
      <c r="A22984" t="str">
        <f>"Zbtb8a"</f>
        <v>Zbtb8a</v>
      </c>
      <c r="B22984" t="s">
        <v>14</v>
      </c>
      <c r="C22984" t="s">
        <v>23</v>
      </c>
      <c r="D22984" t="s">
        <v>11</v>
      </c>
      <c r="E22984" t="s">
        <v>12</v>
      </c>
      <c r="F22984">
        <v>129377847</v>
      </c>
      <c r="G22984">
        <v>129377924</v>
      </c>
      <c r="H22984">
        <v>129378122</v>
      </c>
      <c r="I22984">
        <v>129378165</v>
      </c>
    </row>
    <row r="22985" spans="1:9" x14ac:dyDescent="0.2">
      <c r="A22985" t="str">
        <f>"Zbtb8b"</f>
        <v>Zbtb8b</v>
      </c>
      <c r="B22985" t="s">
        <v>14</v>
      </c>
      <c r="C22985" t="s">
        <v>23</v>
      </c>
      <c r="D22985" t="s">
        <v>11</v>
      </c>
      <c r="E22985" t="s">
        <v>12</v>
      </c>
      <c r="F22985">
        <v>129440800</v>
      </c>
      <c r="G22985">
        <v>129440823</v>
      </c>
      <c r="H22985">
        <v>129440800</v>
      </c>
      <c r="I22985">
        <v>129440823</v>
      </c>
    </row>
    <row r="22986" spans="1:9" x14ac:dyDescent="0.2">
      <c r="A22986" t="str">
        <f>"Zbtb8os"</f>
        <v>Zbtb8os</v>
      </c>
      <c r="B22986" t="s">
        <v>14</v>
      </c>
      <c r="C22986" t="s">
        <v>23</v>
      </c>
      <c r="D22986" t="s">
        <v>17</v>
      </c>
      <c r="E22986" t="s">
        <v>12</v>
      </c>
      <c r="F22986">
        <v>129335593</v>
      </c>
      <c r="G22986">
        <v>129335645</v>
      </c>
      <c r="H22986">
        <v>129335962</v>
      </c>
      <c r="I22986">
        <v>129335987</v>
      </c>
    </row>
    <row r="22987" spans="1:9" x14ac:dyDescent="0.2">
      <c r="A22987" t="str">
        <f>"Zbtb9"</f>
        <v>Zbtb9</v>
      </c>
      <c r="B22987" t="s">
        <v>14</v>
      </c>
      <c r="C22987" t="s">
        <v>28</v>
      </c>
      <c r="D22987" t="s">
        <v>17</v>
      </c>
      <c r="E22987" t="s">
        <v>12</v>
      </c>
      <c r="F22987">
        <v>26973161</v>
      </c>
      <c r="G22987">
        <v>26973219</v>
      </c>
      <c r="H22987">
        <v>26973153</v>
      </c>
      <c r="I22987">
        <v>26973160</v>
      </c>
    </row>
    <row r="22988" spans="1:9" x14ac:dyDescent="0.2">
      <c r="A22988" t="str">
        <f>"Zbtbd6"</f>
        <v>Zbtbd6</v>
      </c>
      <c r="B22988" t="s">
        <v>14</v>
      </c>
      <c r="C22988" t="s">
        <v>41</v>
      </c>
      <c r="D22988" t="s">
        <v>17</v>
      </c>
      <c r="E22988" t="s">
        <v>67</v>
      </c>
      <c r="F22988">
        <v>79451791</v>
      </c>
      <c r="G22988">
        <v>79451840</v>
      </c>
      <c r="H22988">
        <v>79451791</v>
      </c>
      <c r="I22988">
        <v>79451840</v>
      </c>
    </row>
    <row r="22989" spans="1:9" x14ac:dyDescent="0.2">
      <c r="A22989" t="str">
        <f>"Zc2hc1a"</f>
        <v>Zc2hc1a</v>
      </c>
      <c r="B22989" t="s">
        <v>14</v>
      </c>
      <c r="C22989" t="s">
        <v>22</v>
      </c>
      <c r="D22989" t="s">
        <v>17</v>
      </c>
      <c r="E22989" t="s">
        <v>67</v>
      </c>
      <c r="F22989">
        <v>7503423</v>
      </c>
      <c r="G22989">
        <v>7503503</v>
      </c>
      <c r="H22989">
        <v>7503423</v>
      </c>
      <c r="I22989">
        <v>7503503</v>
      </c>
    </row>
    <row r="22990" spans="1:9" x14ac:dyDescent="0.2">
      <c r="A22990" t="str">
        <f>"Zc2hc1b"</f>
        <v>Zc2hc1b</v>
      </c>
      <c r="B22990" t="s">
        <v>14</v>
      </c>
      <c r="C22990" t="s">
        <v>15</v>
      </c>
      <c r="D22990" t="s">
        <v>11</v>
      </c>
      <c r="E22990" t="s">
        <v>67</v>
      </c>
      <c r="F22990">
        <v>13177989</v>
      </c>
      <c r="G22990">
        <v>13178004</v>
      </c>
      <c r="H22990">
        <v>13177989</v>
      </c>
      <c r="I22990">
        <v>13178004</v>
      </c>
    </row>
    <row r="22991" spans="1:9" x14ac:dyDescent="0.2">
      <c r="A22991" t="str">
        <f>"Zc2hc1c"</f>
        <v>Zc2hc1c</v>
      </c>
      <c r="B22991" t="s">
        <v>14</v>
      </c>
      <c r="C22991" t="s">
        <v>16</v>
      </c>
      <c r="D22991" t="s">
        <v>17</v>
      </c>
      <c r="E22991" t="s">
        <v>67</v>
      </c>
      <c r="F22991">
        <v>85288670</v>
      </c>
      <c r="G22991">
        <v>85288712</v>
      </c>
      <c r="H22991">
        <v>85288734</v>
      </c>
      <c r="I22991">
        <v>85288752</v>
      </c>
    </row>
    <row r="22992" spans="1:9" x14ac:dyDescent="0.2">
      <c r="A22992" t="str">
        <f>"Zc3h10"</f>
        <v>Zc3h10</v>
      </c>
      <c r="B22992" t="s">
        <v>14</v>
      </c>
      <c r="C22992" t="s">
        <v>15</v>
      </c>
      <c r="D22992" t="s">
        <v>11</v>
      </c>
      <c r="E22992" t="s">
        <v>12</v>
      </c>
      <c r="F22992">
        <v>128547722</v>
      </c>
      <c r="G22992">
        <v>128547768</v>
      </c>
      <c r="H22992">
        <v>128547416</v>
      </c>
      <c r="I22992">
        <v>128547448</v>
      </c>
    </row>
    <row r="22993" spans="1:9" x14ac:dyDescent="0.2">
      <c r="A22993" t="str">
        <f>"Zc3h11a"</f>
        <v>Zc3h11a</v>
      </c>
      <c r="B22993" t="s">
        <v>14</v>
      </c>
      <c r="C22993" t="s">
        <v>19</v>
      </c>
      <c r="D22993" t="s">
        <v>11</v>
      </c>
      <c r="E22993" t="s">
        <v>12</v>
      </c>
      <c r="F22993">
        <v>133661345</v>
      </c>
      <c r="G22993">
        <v>133661386</v>
      </c>
      <c r="H22993">
        <v>133661387</v>
      </c>
      <c r="I22993">
        <v>133661399</v>
      </c>
    </row>
    <row r="22994" spans="1:9" x14ac:dyDescent="0.2">
      <c r="A22994" t="str">
        <f>"Zc3h12a"</f>
        <v>Zc3h12a</v>
      </c>
      <c r="B22994" t="s">
        <v>14</v>
      </c>
      <c r="C22994" t="s">
        <v>23</v>
      </c>
      <c r="D22994" t="s">
        <v>11</v>
      </c>
      <c r="E22994" t="s">
        <v>12</v>
      </c>
      <c r="F22994">
        <v>125127817</v>
      </c>
      <c r="G22994">
        <v>125127843</v>
      </c>
      <c r="H22994">
        <v>125127848</v>
      </c>
      <c r="I22994">
        <v>125127891</v>
      </c>
    </row>
    <row r="22995" spans="1:9" x14ac:dyDescent="0.2">
      <c r="A22995" t="str">
        <f>"Zc3h12b"</f>
        <v>Zc3h12b</v>
      </c>
      <c r="B22995" t="s">
        <v>6335</v>
      </c>
      <c r="C22995" t="s">
        <v>37</v>
      </c>
      <c r="D22995" t="s">
        <v>17</v>
      </c>
      <c r="E22995" t="s">
        <v>20</v>
      </c>
      <c r="F22995">
        <v>95899095</v>
      </c>
      <c r="G22995">
        <v>95899095</v>
      </c>
      <c r="H22995">
        <v>95899095</v>
      </c>
      <c r="I22995">
        <v>95899095</v>
      </c>
    </row>
    <row r="22996" spans="1:9" x14ac:dyDescent="0.2">
      <c r="A22996" t="str">
        <f>"Zc3h12c"</f>
        <v>Zc3h12c</v>
      </c>
      <c r="B22996" t="s">
        <v>14</v>
      </c>
      <c r="C22996" t="s">
        <v>24</v>
      </c>
      <c r="D22996" t="s">
        <v>11</v>
      </c>
      <c r="E22996" t="s">
        <v>12</v>
      </c>
      <c r="F22996">
        <v>52168838</v>
      </c>
      <c r="G22996">
        <v>52168871</v>
      </c>
      <c r="H22996">
        <v>52168838</v>
      </c>
      <c r="I22996">
        <v>52168871</v>
      </c>
    </row>
    <row r="22997" spans="1:9" x14ac:dyDescent="0.2">
      <c r="A22997" t="str">
        <f>"Zc3h12d"</f>
        <v>Zc3h12d</v>
      </c>
      <c r="B22997" t="s">
        <v>14</v>
      </c>
      <c r="C22997" t="s">
        <v>15</v>
      </c>
      <c r="D22997" t="s">
        <v>17</v>
      </c>
      <c r="E22997" t="s">
        <v>12</v>
      </c>
      <c r="F22997">
        <v>7832414</v>
      </c>
      <c r="G22997">
        <v>7832454</v>
      </c>
      <c r="H22997">
        <v>7832326</v>
      </c>
      <c r="I22997">
        <v>7832367</v>
      </c>
    </row>
    <row r="22998" spans="1:9" x14ac:dyDescent="0.2">
      <c r="A22998" t="str">
        <f>"Zc3h13"</f>
        <v>Zc3h13</v>
      </c>
      <c r="B22998" t="s">
        <v>14</v>
      </c>
      <c r="C22998" t="s">
        <v>41</v>
      </c>
      <c r="D22998" t="s">
        <v>17</v>
      </c>
      <c r="E22998" t="s">
        <v>12</v>
      </c>
      <c r="F22998">
        <v>75284343</v>
      </c>
      <c r="G22998">
        <v>75284390</v>
      </c>
      <c r="H22998">
        <v>75284314</v>
      </c>
      <c r="I22998">
        <v>75284325</v>
      </c>
    </row>
    <row r="22999" spans="1:9" x14ac:dyDescent="0.2">
      <c r="A22999" t="str">
        <f>"Zc3h14"</f>
        <v>Zc3h14</v>
      </c>
      <c r="B22999" t="s">
        <v>14</v>
      </c>
      <c r="C22999" t="s">
        <v>16</v>
      </c>
      <c r="D22999" t="s">
        <v>17</v>
      </c>
      <c r="E22999" t="s">
        <v>12</v>
      </c>
      <c r="F22999">
        <v>98746935</v>
      </c>
      <c r="G22999">
        <v>98747046</v>
      </c>
      <c r="H22999">
        <v>98746935</v>
      </c>
      <c r="I22999">
        <v>98747046</v>
      </c>
    </row>
    <row r="23000" spans="1:9" x14ac:dyDescent="0.2">
      <c r="A23000" t="str">
        <f>"Zc3h15"</f>
        <v>Zc3h15</v>
      </c>
      <c r="B23000" t="s">
        <v>14</v>
      </c>
      <c r="C23000" t="s">
        <v>26</v>
      </c>
      <c r="D23000" t="s">
        <v>17</v>
      </c>
      <c r="E23000" t="s">
        <v>12</v>
      </c>
      <c r="F23000">
        <v>83644524</v>
      </c>
      <c r="G23000">
        <v>83644547</v>
      </c>
      <c r="H23000">
        <v>83644501</v>
      </c>
      <c r="I23000">
        <v>83644521</v>
      </c>
    </row>
    <row r="23001" spans="1:9" x14ac:dyDescent="0.2">
      <c r="A23001" t="str">
        <f>"Zc3h18"</f>
        <v>Zc3h18</v>
      </c>
      <c r="B23001" t="s">
        <v>14</v>
      </c>
      <c r="C23001" t="s">
        <v>30</v>
      </c>
      <c r="D23001" t="s">
        <v>17</v>
      </c>
      <c r="E23001" t="s">
        <v>12</v>
      </c>
      <c r="F23001">
        <v>122376611</v>
      </c>
      <c r="G23001">
        <v>122376652</v>
      </c>
      <c r="H23001">
        <v>122376676</v>
      </c>
      <c r="I23001">
        <v>122376701</v>
      </c>
    </row>
    <row r="23002" spans="1:9" x14ac:dyDescent="0.2">
      <c r="A23002" t="str">
        <f>"Zc3h3"</f>
        <v>Zc3h3</v>
      </c>
      <c r="B23002" t="s">
        <v>14</v>
      </c>
      <c r="C23002" t="s">
        <v>25</v>
      </c>
      <c r="D23002" t="s">
        <v>11</v>
      </c>
      <c r="E23002" t="s">
        <v>12</v>
      </c>
      <c r="F23002">
        <v>75841907</v>
      </c>
      <c r="G23002">
        <v>75841932</v>
      </c>
      <c r="H23002">
        <v>75841937</v>
      </c>
      <c r="I23002">
        <v>75841954</v>
      </c>
    </row>
    <row r="23003" spans="1:9" x14ac:dyDescent="0.2">
      <c r="A23003" t="str">
        <f>"Zc3h4"</f>
        <v>Zc3h4</v>
      </c>
      <c r="B23003" t="s">
        <v>14</v>
      </c>
      <c r="C23003" t="s">
        <v>33</v>
      </c>
      <c r="D23003" t="s">
        <v>17</v>
      </c>
      <c r="E23003" t="s">
        <v>12</v>
      </c>
      <c r="F23003">
        <v>16401187</v>
      </c>
      <c r="G23003">
        <v>16401233</v>
      </c>
      <c r="H23003">
        <v>16401268</v>
      </c>
      <c r="I23003">
        <v>16401283</v>
      </c>
    </row>
    <row r="23004" spans="1:9" x14ac:dyDescent="0.2">
      <c r="A23004" t="str">
        <f>"Zc3h6"</f>
        <v>Zc3h6</v>
      </c>
      <c r="B23004" t="s">
        <v>14</v>
      </c>
      <c r="C23004" t="s">
        <v>26</v>
      </c>
      <c r="D23004" t="s">
        <v>17</v>
      </c>
      <c r="E23004" t="s">
        <v>12</v>
      </c>
      <c r="F23004">
        <v>128967383</v>
      </c>
      <c r="G23004">
        <v>128967443</v>
      </c>
      <c r="H23004">
        <v>128967349</v>
      </c>
      <c r="I23004">
        <v>128967380</v>
      </c>
    </row>
    <row r="23005" spans="1:9" x14ac:dyDescent="0.2">
      <c r="A23005" t="str">
        <f>"Zc3h7a"</f>
        <v>Zc3h7a</v>
      </c>
      <c r="B23005" t="s">
        <v>14</v>
      </c>
      <c r="C23005" t="s">
        <v>31</v>
      </c>
      <c r="D23005" t="s">
        <v>11</v>
      </c>
      <c r="E23005" t="s">
        <v>12</v>
      </c>
      <c r="F23005">
        <v>11176270</v>
      </c>
      <c r="G23005">
        <v>11176365</v>
      </c>
      <c r="H23005">
        <v>11176251</v>
      </c>
      <c r="I23005">
        <v>11176260</v>
      </c>
    </row>
    <row r="23006" spans="1:9" x14ac:dyDescent="0.2">
      <c r="A23006" t="str">
        <f>"Zc3h7b"</f>
        <v>Zc3h7b</v>
      </c>
      <c r="B23006" t="s">
        <v>14</v>
      </c>
      <c r="C23006" t="s">
        <v>25</v>
      </c>
      <c r="D23006" t="s">
        <v>17</v>
      </c>
      <c r="E23006" t="s">
        <v>12</v>
      </c>
      <c r="F23006">
        <v>81745057</v>
      </c>
      <c r="G23006">
        <v>81745131</v>
      </c>
      <c r="H23006">
        <v>81745057</v>
      </c>
      <c r="I23006">
        <v>81745131</v>
      </c>
    </row>
    <row r="23007" spans="1:9" x14ac:dyDescent="0.2">
      <c r="A23007" t="str">
        <f>"Zc3h8"</f>
        <v>Zc3h8</v>
      </c>
      <c r="B23007" t="s">
        <v>14</v>
      </c>
      <c r="C23007" t="s">
        <v>26</v>
      </c>
      <c r="D23007" t="s">
        <v>11</v>
      </c>
      <c r="E23007" t="s">
        <v>12</v>
      </c>
      <c r="F23007">
        <v>128943985</v>
      </c>
      <c r="G23007">
        <v>128944034</v>
      </c>
      <c r="H23007">
        <v>128943960</v>
      </c>
      <c r="I23007">
        <v>128943976</v>
      </c>
    </row>
    <row r="23008" spans="1:9" x14ac:dyDescent="0.2">
      <c r="A23008" t="str">
        <f>"Zc3hav1"</f>
        <v>Zc3hav1</v>
      </c>
      <c r="B23008" t="s">
        <v>14</v>
      </c>
      <c r="C23008" t="s">
        <v>32</v>
      </c>
      <c r="D23008" t="s">
        <v>11</v>
      </c>
      <c r="E23008" t="s">
        <v>12</v>
      </c>
      <c r="F23008">
        <v>38354547</v>
      </c>
      <c r="G23008">
        <v>38354565</v>
      </c>
      <c r="H23008">
        <v>38354243</v>
      </c>
      <c r="I23008">
        <v>38354292</v>
      </c>
    </row>
    <row r="23009" spans="1:9" x14ac:dyDescent="0.2">
      <c r="A23009" t="str">
        <f>"Zc3hav1l"</f>
        <v>Zc3hav1l</v>
      </c>
      <c r="B23009" t="s">
        <v>14</v>
      </c>
      <c r="C23009" t="s">
        <v>32</v>
      </c>
      <c r="D23009" t="s">
        <v>11</v>
      </c>
      <c r="E23009" t="s">
        <v>12</v>
      </c>
      <c r="F23009">
        <v>38299236</v>
      </c>
      <c r="G23009">
        <v>38299290</v>
      </c>
      <c r="H23009">
        <v>38299309</v>
      </c>
      <c r="I23009">
        <v>38299314</v>
      </c>
    </row>
    <row r="23010" spans="1:9" x14ac:dyDescent="0.2">
      <c r="A23010" t="str">
        <f>"Zc3hc1"</f>
        <v>Zc3hc1</v>
      </c>
      <c r="B23010" t="s">
        <v>14</v>
      </c>
      <c r="C23010" t="s">
        <v>32</v>
      </c>
      <c r="D23010" t="s">
        <v>11</v>
      </c>
      <c r="E23010" t="s">
        <v>12</v>
      </c>
      <c r="F23010">
        <v>30390997</v>
      </c>
      <c r="G23010">
        <v>30391029</v>
      </c>
      <c r="H23010">
        <v>30390997</v>
      </c>
      <c r="I23010">
        <v>30391029</v>
      </c>
    </row>
    <row r="23011" spans="1:9" x14ac:dyDescent="0.2">
      <c r="A23011" t="str">
        <f>"Zc4h2"</f>
        <v>Zc4h2</v>
      </c>
      <c r="B23011" t="s">
        <v>14</v>
      </c>
      <c r="C23011" t="s">
        <v>37</v>
      </c>
      <c r="D23011" t="s">
        <v>11</v>
      </c>
      <c r="E23011" t="s">
        <v>12</v>
      </c>
      <c r="F23011">
        <v>95658416</v>
      </c>
      <c r="G23011">
        <v>95658447</v>
      </c>
      <c r="H23011">
        <v>95658392</v>
      </c>
      <c r="I23011">
        <v>95658412</v>
      </c>
    </row>
    <row r="23012" spans="1:9" x14ac:dyDescent="0.2">
      <c r="A23012" t="str">
        <f>"Zcchc10"</f>
        <v>Zcchc10</v>
      </c>
      <c r="B23012" t="s">
        <v>14</v>
      </c>
      <c r="C23012" t="s">
        <v>27</v>
      </c>
      <c r="D23012" t="s">
        <v>17</v>
      </c>
      <c r="E23012" t="s">
        <v>12</v>
      </c>
      <c r="F23012">
        <v>53324674</v>
      </c>
      <c r="G23012">
        <v>53324704</v>
      </c>
      <c r="H23012">
        <v>53324674</v>
      </c>
      <c r="I23012">
        <v>53324704</v>
      </c>
    </row>
    <row r="23013" spans="1:9" x14ac:dyDescent="0.2">
      <c r="A23013" t="str">
        <f>"Zcchc11"</f>
        <v>Zcchc11</v>
      </c>
      <c r="B23013" t="s">
        <v>14</v>
      </c>
      <c r="C23013" t="s">
        <v>23</v>
      </c>
      <c r="D23013" t="s">
        <v>17</v>
      </c>
      <c r="E23013" t="s">
        <v>12</v>
      </c>
      <c r="F23013">
        <v>108460000</v>
      </c>
      <c r="G23013">
        <v>108460030</v>
      </c>
      <c r="H23013">
        <v>108459389</v>
      </c>
      <c r="I23013">
        <v>108459451</v>
      </c>
    </row>
    <row r="23014" spans="1:9" x14ac:dyDescent="0.2">
      <c r="A23014" t="str">
        <f>"Zcchc12"</f>
        <v>Zcchc12</v>
      </c>
      <c r="B23014" t="s">
        <v>14</v>
      </c>
      <c r="C23014" t="s">
        <v>37</v>
      </c>
      <c r="D23014" t="s">
        <v>17</v>
      </c>
      <c r="E23014" t="s">
        <v>12</v>
      </c>
      <c r="F23014">
        <v>36195968</v>
      </c>
      <c r="G23014">
        <v>36195993</v>
      </c>
      <c r="H23014">
        <v>36195950</v>
      </c>
      <c r="I23014">
        <v>36195959</v>
      </c>
    </row>
    <row r="23015" spans="1:9" x14ac:dyDescent="0.2">
      <c r="A23015" t="str">
        <f>"Zcchc13"</f>
        <v>Zcchc13</v>
      </c>
      <c r="B23015" t="s">
        <v>14</v>
      </c>
      <c r="C23015" t="s">
        <v>37</v>
      </c>
      <c r="D23015" t="s">
        <v>17</v>
      </c>
      <c r="E23015" t="s">
        <v>12</v>
      </c>
      <c r="F23015">
        <v>103630575</v>
      </c>
      <c r="G23015">
        <v>103630597</v>
      </c>
      <c r="H23015">
        <v>103630600</v>
      </c>
      <c r="I23015">
        <v>103630614</v>
      </c>
    </row>
    <row r="23016" spans="1:9" x14ac:dyDescent="0.2">
      <c r="A23016" t="str">
        <f>"Zcchc14"</f>
        <v>Zcchc14</v>
      </c>
      <c r="B23016" t="s">
        <v>14</v>
      </c>
      <c r="C23016" t="s">
        <v>30</v>
      </c>
      <c r="D23016" t="s">
        <v>11</v>
      </c>
      <c r="E23016" t="s">
        <v>12</v>
      </c>
      <c r="F23016">
        <v>121652895</v>
      </c>
      <c r="G23016">
        <v>121652913</v>
      </c>
      <c r="H23016">
        <v>121652852</v>
      </c>
      <c r="I23016">
        <v>121652888</v>
      </c>
    </row>
    <row r="23017" spans="1:9" x14ac:dyDescent="0.2">
      <c r="A23017" t="str">
        <f>"Zcchc16"</f>
        <v>Zcchc16</v>
      </c>
      <c r="B23017" t="s">
        <v>14</v>
      </c>
      <c r="C23017" t="s">
        <v>37</v>
      </c>
      <c r="D23017" t="s">
        <v>17</v>
      </c>
      <c r="E23017" t="s">
        <v>12</v>
      </c>
      <c r="F23017">
        <v>144688945</v>
      </c>
      <c r="G23017">
        <v>144688959</v>
      </c>
      <c r="H23017">
        <v>144688928</v>
      </c>
      <c r="I23017">
        <v>144688941</v>
      </c>
    </row>
    <row r="23018" spans="1:9" x14ac:dyDescent="0.2">
      <c r="A23018" t="str">
        <f>"Zcchc17"</f>
        <v>Zcchc17</v>
      </c>
      <c r="B23018" t="s">
        <v>14</v>
      </c>
      <c r="C23018" t="s">
        <v>23</v>
      </c>
      <c r="D23018" t="s">
        <v>11</v>
      </c>
      <c r="E23018" t="s">
        <v>12</v>
      </c>
      <c r="F23018">
        <v>130359915</v>
      </c>
      <c r="G23018">
        <v>130359966</v>
      </c>
      <c r="H23018">
        <v>130359915</v>
      </c>
      <c r="I23018">
        <v>130359966</v>
      </c>
    </row>
    <row r="23019" spans="1:9" x14ac:dyDescent="0.2">
      <c r="A23019" t="str">
        <f>"Zcchc18"</f>
        <v>Zcchc18</v>
      </c>
      <c r="B23019" t="s">
        <v>14</v>
      </c>
      <c r="C23019" t="s">
        <v>37</v>
      </c>
      <c r="D23019" t="s">
        <v>17</v>
      </c>
      <c r="E23019" t="s">
        <v>12</v>
      </c>
      <c r="F23019">
        <v>136993147</v>
      </c>
      <c r="G23019">
        <v>136993216</v>
      </c>
      <c r="H23019">
        <v>136993253</v>
      </c>
      <c r="I23019">
        <v>136993272</v>
      </c>
    </row>
    <row r="23020" spans="1:9" x14ac:dyDescent="0.2">
      <c r="A23020" t="str">
        <f>"Zcchc2"</f>
        <v>Zcchc2</v>
      </c>
      <c r="B23020" t="s">
        <v>14</v>
      </c>
      <c r="C23020" t="s">
        <v>19</v>
      </c>
      <c r="D23020" t="s">
        <v>17</v>
      </c>
      <c r="E23020" t="s">
        <v>12</v>
      </c>
      <c r="F23020">
        <v>105990384</v>
      </c>
      <c r="G23020">
        <v>105990498</v>
      </c>
      <c r="H23020">
        <v>105990652</v>
      </c>
      <c r="I23020">
        <v>105990718</v>
      </c>
    </row>
    <row r="23021" spans="1:9" x14ac:dyDescent="0.2">
      <c r="A23021" t="str">
        <f>"Zcchc24"</f>
        <v>Zcchc24</v>
      </c>
      <c r="B23021" t="s">
        <v>14</v>
      </c>
      <c r="C23021" t="s">
        <v>41</v>
      </c>
      <c r="D23021" t="s">
        <v>11</v>
      </c>
      <c r="E23021" t="s">
        <v>12</v>
      </c>
      <c r="F23021">
        <v>25769033</v>
      </c>
      <c r="G23021">
        <v>25769083</v>
      </c>
      <c r="H23021">
        <v>25768810</v>
      </c>
      <c r="I23021">
        <v>25768865</v>
      </c>
    </row>
    <row r="23022" spans="1:9" x14ac:dyDescent="0.2">
      <c r="A23022" t="str">
        <f>"Zcchc3"</f>
        <v>Zcchc3</v>
      </c>
      <c r="B23022" t="s">
        <v>14</v>
      </c>
      <c r="C23022" t="s">
        <v>26</v>
      </c>
      <c r="D23022" t="s">
        <v>11</v>
      </c>
      <c r="E23022" t="s">
        <v>12</v>
      </c>
      <c r="F23022">
        <v>152414772</v>
      </c>
      <c r="G23022">
        <v>152414809</v>
      </c>
      <c r="H23022">
        <v>152414839</v>
      </c>
      <c r="I23022">
        <v>152414861</v>
      </c>
    </row>
    <row r="23023" spans="1:9" x14ac:dyDescent="0.2">
      <c r="A23023" t="str">
        <f>"Zcchc4"</f>
        <v>Zcchc4</v>
      </c>
      <c r="B23023" t="s">
        <v>14</v>
      </c>
      <c r="C23023" t="s">
        <v>46</v>
      </c>
      <c r="D23023" t="s">
        <v>17</v>
      </c>
      <c r="E23023" t="s">
        <v>12</v>
      </c>
      <c r="F23023">
        <v>52783058</v>
      </c>
      <c r="G23023">
        <v>52783091</v>
      </c>
      <c r="H23023">
        <v>52783112</v>
      </c>
      <c r="I23023">
        <v>52783121</v>
      </c>
    </row>
    <row r="23024" spans="1:9" x14ac:dyDescent="0.2">
      <c r="A23024" t="str">
        <f>"Zcchc5"</f>
        <v>Zcchc5</v>
      </c>
      <c r="B23024" t="s">
        <v>14</v>
      </c>
      <c r="C23024" t="s">
        <v>37</v>
      </c>
      <c r="D23024" t="s">
        <v>11</v>
      </c>
      <c r="E23024" t="s">
        <v>12</v>
      </c>
      <c r="F23024">
        <v>106840530</v>
      </c>
      <c r="G23024">
        <v>106840554</v>
      </c>
      <c r="H23024">
        <v>106840572</v>
      </c>
      <c r="I23024">
        <v>106840581</v>
      </c>
    </row>
    <row r="23025" spans="1:9" x14ac:dyDescent="0.2">
      <c r="A23025" t="str">
        <f>"Zcchc6"</f>
        <v>Zcchc6</v>
      </c>
      <c r="B23025" t="s">
        <v>14</v>
      </c>
      <c r="C23025" t="s">
        <v>39</v>
      </c>
      <c r="D23025" t="s">
        <v>11</v>
      </c>
      <c r="E23025" t="s">
        <v>12</v>
      </c>
      <c r="F23025">
        <v>59823072</v>
      </c>
      <c r="G23025">
        <v>59823143</v>
      </c>
      <c r="H23025">
        <v>59823072</v>
      </c>
      <c r="I23025">
        <v>59823143</v>
      </c>
    </row>
    <row r="23026" spans="1:9" x14ac:dyDescent="0.2">
      <c r="A23026" t="str">
        <f>"Zcchc7"</f>
        <v>Zcchc7</v>
      </c>
      <c r="B23026" t="s">
        <v>14</v>
      </c>
      <c r="C23026" t="s">
        <v>23</v>
      </c>
      <c r="D23026" t="s">
        <v>17</v>
      </c>
      <c r="E23026" t="s">
        <v>12</v>
      </c>
      <c r="F23026">
        <v>44756609</v>
      </c>
      <c r="G23026">
        <v>44756682</v>
      </c>
      <c r="H23026">
        <v>44756553</v>
      </c>
      <c r="I23026">
        <v>44756601</v>
      </c>
    </row>
    <row r="23027" spans="1:9" x14ac:dyDescent="0.2">
      <c r="A23027" t="str">
        <f>"Zcchc8"</f>
        <v>Zcchc8</v>
      </c>
      <c r="B23027" t="s">
        <v>14</v>
      </c>
      <c r="C23027" t="s">
        <v>46</v>
      </c>
      <c r="D23027" t="s">
        <v>11</v>
      </c>
      <c r="E23027" t="s">
        <v>12</v>
      </c>
      <c r="F23027">
        <v>123720933</v>
      </c>
      <c r="G23027">
        <v>123720960</v>
      </c>
      <c r="H23027">
        <v>123721007</v>
      </c>
      <c r="I23027">
        <v>123721062</v>
      </c>
    </row>
    <row r="23028" spans="1:9" x14ac:dyDescent="0.2">
      <c r="A23028" t="str">
        <f>"Zcchc9"</f>
        <v>Zcchc9</v>
      </c>
      <c r="B23028" t="s">
        <v>14</v>
      </c>
      <c r="C23028" t="s">
        <v>39</v>
      </c>
      <c r="D23028" t="s">
        <v>11</v>
      </c>
      <c r="E23028" t="s">
        <v>12</v>
      </c>
      <c r="F23028">
        <v>91807658</v>
      </c>
      <c r="G23028">
        <v>91807708</v>
      </c>
      <c r="H23028">
        <v>91807636</v>
      </c>
      <c r="I23028">
        <v>91807655</v>
      </c>
    </row>
    <row r="23029" spans="1:9" x14ac:dyDescent="0.2">
      <c r="A23029" t="str">
        <f>"Zcrb1"</f>
        <v>Zcrb1</v>
      </c>
      <c r="B23029" t="s">
        <v>14</v>
      </c>
      <c r="C23029" t="s">
        <v>25</v>
      </c>
      <c r="D23029" t="s">
        <v>11</v>
      </c>
      <c r="E23029" t="s">
        <v>12</v>
      </c>
      <c r="F23029">
        <v>93398263</v>
      </c>
      <c r="G23029">
        <v>93398343</v>
      </c>
      <c r="H23029">
        <v>93398236</v>
      </c>
      <c r="I23029">
        <v>93398247</v>
      </c>
    </row>
    <row r="23030" spans="1:9" x14ac:dyDescent="0.2">
      <c r="A23030" t="str">
        <f>"Zcwpw1"</f>
        <v>Zcwpw1</v>
      </c>
      <c r="B23030" t="s">
        <v>14</v>
      </c>
      <c r="C23030" t="s">
        <v>46</v>
      </c>
      <c r="D23030" t="s">
        <v>17</v>
      </c>
      <c r="E23030" t="s">
        <v>12</v>
      </c>
      <c r="F23030">
        <v>137787813</v>
      </c>
      <c r="G23030">
        <v>137787843</v>
      </c>
      <c r="H23030">
        <v>137787769</v>
      </c>
      <c r="I23030">
        <v>137787807</v>
      </c>
    </row>
    <row r="23031" spans="1:9" x14ac:dyDescent="0.2">
      <c r="A23031" t="str">
        <f>"Zcwpw2"</f>
        <v>Zcwpw2</v>
      </c>
      <c r="B23031" t="s">
        <v>6336</v>
      </c>
      <c r="C23031" t="s">
        <v>24</v>
      </c>
      <c r="D23031" t="s">
        <v>11</v>
      </c>
      <c r="E23031" t="s">
        <v>20</v>
      </c>
      <c r="F23031">
        <v>118014159</v>
      </c>
      <c r="G23031">
        <v>118014159</v>
      </c>
      <c r="H23031">
        <v>118014159</v>
      </c>
      <c r="I23031">
        <v>118014159</v>
      </c>
    </row>
    <row r="23032" spans="1:9" x14ac:dyDescent="0.2">
      <c r="A23032" t="str">
        <f>"Zdbf2"</f>
        <v>Zdbf2</v>
      </c>
      <c r="B23032" t="s">
        <v>14</v>
      </c>
      <c r="C23032" t="s">
        <v>19</v>
      </c>
      <c r="D23032" t="s">
        <v>17</v>
      </c>
      <c r="E23032" t="s">
        <v>12</v>
      </c>
      <c r="F23032">
        <v>63273261</v>
      </c>
      <c r="G23032">
        <v>63273275</v>
      </c>
      <c r="H23032">
        <v>63273203</v>
      </c>
      <c r="I23032">
        <v>63273230</v>
      </c>
    </row>
    <row r="23033" spans="1:9" x14ac:dyDescent="0.2">
      <c r="A23033" t="str">
        <f>"Zdhhc1"</f>
        <v>Zdhhc1</v>
      </c>
      <c r="B23033" t="s">
        <v>14</v>
      </c>
      <c r="C23033" t="s">
        <v>30</v>
      </c>
      <c r="D23033" t="s">
        <v>11</v>
      </c>
      <c r="E23033" t="s">
        <v>12</v>
      </c>
      <c r="F23033">
        <v>105497023</v>
      </c>
      <c r="G23033">
        <v>105497068</v>
      </c>
      <c r="H23033">
        <v>105497023</v>
      </c>
      <c r="I23033">
        <v>105497068</v>
      </c>
    </row>
    <row r="23034" spans="1:9" x14ac:dyDescent="0.2">
      <c r="A23034" t="str">
        <f>"Zdhhc11"</f>
        <v>Zdhhc11</v>
      </c>
      <c r="B23034" t="s">
        <v>14</v>
      </c>
      <c r="C23034" t="s">
        <v>39</v>
      </c>
      <c r="D23034" t="s">
        <v>17</v>
      </c>
      <c r="E23034" t="s">
        <v>12</v>
      </c>
      <c r="F23034">
        <v>73963853</v>
      </c>
      <c r="G23034">
        <v>73963888</v>
      </c>
      <c r="H23034">
        <v>73963844</v>
      </c>
      <c r="I23034">
        <v>73963847</v>
      </c>
    </row>
    <row r="23035" spans="1:9" x14ac:dyDescent="0.2">
      <c r="A23035" t="str">
        <f>"Zdhhc12"</f>
        <v>Zdhhc12</v>
      </c>
      <c r="B23035" t="s">
        <v>14</v>
      </c>
      <c r="C23035" t="s">
        <v>26</v>
      </c>
      <c r="D23035" t="s">
        <v>11</v>
      </c>
      <c r="E23035" t="s">
        <v>12</v>
      </c>
      <c r="F23035">
        <v>30093607</v>
      </c>
      <c r="G23035">
        <v>30093641</v>
      </c>
      <c r="H23035">
        <v>30093561</v>
      </c>
      <c r="I23035">
        <v>30093603</v>
      </c>
    </row>
    <row r="23036" spans="1:9" x14ac:dyDescent="0.2">
      <c r="A23036" t="str">
        <f>"Zdhhc13"</f>
        <v>Zdhhc13</v>
      </c>
      <c r="B23036" t="s">
        <v>14</v>
      </c>
      <c r="C23036" t="s">
        <v>33</v>
      </c>
      <c r="D23036" t="s">
        <v>17</v>
      </c>
      <c r="E23036" t="s">
        <v>12</v>
      </c>
      <c r="F23036">
        <v>48789017</v>
      </c>
      <c r="G23036">
        <v>48789060</v>
      </c>
      <c r="H23036">
        <v>48789062</v>
      </c>
      <c r="I23036">
        <v>48789081</v>
      </c>
    </row>
    <row r="23037" spans="1:9" x14ac:dyDescent="0.2">
      <c r="A23037" t="str">
        <f>"Zdhhc14"</f>
        <v>Zdhhc14</v>
      </c>
      <c r="B23037" t="s">
        <v>14</v>
      </c>
      <c r="C23037" t="s">
        <v>28</v>
      </c>
      <c r="D23037" t="s">
        <v>17</v>
      </c>
      <c r="E23037" t="s">
        <v>12</v>
      </c>
      <c r="F23037">
        <v>5492558</v>
      </c>
      <c r="G23037">
        <v>5492646</v>
      </c>
      <c r="H23037">
        <v>5492914</v>
      </c>
      <c r="I23037">
        <v>5492946</v>
      </c>
    </row>
    <row r="23038" spans="1:9" x14ac:dyDescent="0.2">
      <c r="A23038" t="str">
        <f>"Zdhhc15"</f>
        <v>Zdhhc15</v>
      </c>
      <c r="B23038" t="s">
        <v>14</v>
      </c>
      <c r="C23038" t="s">
        <v>37</v>
      </c>
      <c r="D23038" t="s">
        <v>11</v>
      </c>
      <c r="E23038" t="s">
        <v>12</v>
      </c>
      <c r="F23038">
        <v>104670786</v>
      </c>
      <c r="G23038">
        <v>104670832</v>
      </c>
      <c r="H23038">
        <v>104671048</v>
      </c>
      <c r="I23038">
        <v>104671071</v>
      </c>
    </row>
    <row r="23039" spans="1:9" x14ac:dyDescent="0.2">
      <c r="A23039" t="str">
        <f>"Zdhhc16"</f>
        <v>Zdhhc16</v>
      </c>
      <c r="B23039" t="s">
        <v>14</v>
      </c>
      <c r="C23039" t="s">
        <v>10</v>
      </c>
      <c r="D23039" t="s">
        <v>17</v>
      </c>
      <c r="E23039" t="s">
        <v>12</v>
      </c>
      <c r="F23039">
        <v>41933464</v>
      </c>
      <c r="G23039">
        <v>41933540</v>
      </c>
      <c r="H23039">
        <v>41933037</v>
      </c>
      <c r="I23039">
        <v>41933055</v>
      </c>
    </row>
    <row r="23040" spans="1:9" x14ac:dyDescent="0.2">
      <c r="A23040" t="str">
        <f>"Zdhhc17"</f>
        <v>Zdhhc17</v>
      </c>
      <c r="B23040" t="s">
        <v>14</v>
      </c>
      <c r="C23040" t="s">
        <v>15</v>
      </c>
      <c r="D23040" t="s">
        <v>11</v>
      </c>
      <c r="E23040" t="s">
        <v>12</v>
      </c>
      <c r="F23040">
        <v>111010001</v>
      </c>
      <c r="G23040">
        <v>111010025</v>
      </c>
      <c r="H23040">
        <v>111010266</v>
      </c>
      <c r="I23040">
        <v>111010273</v>
      </c>
    </row>
    <row r="23041" spans="1:9" x14ac:dyDescent="0.2">
      <c r="A23041" t="str">
        <f>"Zdhhc18"</f>
        <v>Zdhhc18</v>
      </c>
      <c r="B23041" t="s">
        <v>14</v>
      </c>
      <c r="C23041" t="s">
        <v>23</v>
      </c>
      <c r="D23041" t="s">
        <v>11</v>
      </c>
      <c r="E23041" t="s">
        <v>12</v>
      </c>
      <c r="F23041">
        <v>133633419</v>
      </c>
      <c r="G23041">
        <v>133633525</v>
      </c>
      <c r="H23041">
        <v>133633419</v>
      </c>
      <c r="I23041">
        <v>133633525</v>
      </c>
    </row>
    <row r="23042" spans="1:9" x14ac:dyDescent="0.2">
      <c r="A23042" t="str">
        <f>"Zdhhc19"</f>
        <v>Zdhhc19</v>
      </c>
      <c r="B23042" t="s">
        <v>14</v>
      </c>
      <c r="C23042" t="s">
        <v>31</v>
      </c>
      <c r="D23042" t="s">
        <v>17</v>
      </c>
      <c r="E23042" t="s">
        <v>12</v>
      </c>
      <c r="F23042">
        <v>32496272</v>
      </c>
      <c r="G23042">
        <v>32496284</v>
      </c>
      <c r="H23042">
        <v>32496259</v>
      </c>
      <c r="I23042">
        <v>32496267</v>
      </c>
    </row>
    <row r="23043" spans="1:9" x14ac:dyDescent="0.2">
      <c r="A23043" t="str">
        <f>"Zdhhc2"</f>
        <v>Zdhhc2</v>
      </c>
      <c r="B23043" t="s">
        <v>14</v>
      </c>
      <c r="C23043" t="s">
        <v>30</v>
      </c>
      <c r="D23043" t="s">
        <v>17</v>
      </c>
      <c r="E23043" t="s">
        <v>12</v>
      </c>
      <c r="F23043">
        <v>40423786</v>
      </c>
      <c r="G23043">
        <v>40423848</v>
      </c>
      <c r="H23043">
        <v>40423786</v>
      </c>
      <c r="I23043">
        <v>40423848</v>
      </c>
    </row>
    <row r="23044" spans="1:9" x14ac:dyDescent="0.2">
      <c r="A23044" t="str">
        <f>"Zdhhc20"</f>
        <v>Zdhhc20</v>
      </c>
      <c r="B23044" t="s">
        <v>14</v>
      </c>
      <c r="C23044" t="s">
        <v>41</v>
      </c>
      <c r="D23044" t="s">
        <v>11</v>
      </c>
      <c r="E23044" t="s">
        <v>12</v>
      </c>
      <c r="F23044">
        <v>57890242</v>
      </c>
      <c r="G23044">
        <v>57890320</v>
      </c>
      <c r="H23044">
        <v>57890184</v>
      </c>
      <c r="I23044">
        <v>57890239</v>
      </c>
    </row>
    <row r="23045" spans="1:9" x14ac:dyDescent="0.2">
      <c r="A23045" t="str">
        <f>"Zdhhc21"</f>
        <v>Zdhhc21</v>
      </c>
      <c r="B23045" t="s">
        <v>14</v>
      </c>
      <c r="C23045" t="s">
        <v>23</v>
      </c>
      <c r="D23045" t="s">
        <v>11</v>
      </c>
      <c r="E23045" t="s">
        <v>12</v>
      </c>
      <c r="F23045">
        <v>82859571</v>
      </c>
      <c r="G23045">
        <v>82859679</v>
      </c>
      <c r="H23045">
        <v>82859516</v>
      </c>
      <c r="I23045">
        <v>82859570</v>
      </c>
    </row>
    <row r="23046" spans="1:9" x14ac:dyDescent="0.2">
      <c r="A23046" t="str">
        <f>"Zdhhc22"</f>
        <v>Zdhhc22</v>
      </c>
      <c r="B23046" t="s">
        <v>6337</v>
      </c>
      <c r="C23046" t="s">
        <v>16</v>
      </c>
      <c r="D23046" t="s">
        <v>11</v>
      </c>
      <c r="E23046" t="s">
        <v>20</v>
      </c>
      <c r="F23046">
        <v>86988675</v>
      </c>
      <c r="G23046">
        <v>86988675</v>
      </c>
      <c r="H23046">
        <v>86988675</v>
      </c>
      <c r="I23046">
        <v>86988675</v>
      </c>
    </row>
    <row r="23047" spans="1:9" x14ac:dyDescent="0.2">
      <c r="A23047" t="str">
        <f>"Zdhhc23"</f>
        <v>Zdhhc23</v>
      </c>
      <c r="B23047" t="s">
        <v>14</v>
      </c>
      <c r="C23047" t="s">
        <v>31</v>
      </c>
      <c r="D23047" t="s">
        <v>11</v>
      </c>
      <c r="E23047" t="s">
        <v>12</v>
      </c>
      <c r="F23047">
        <v>43979748</v>
      </c>
      <c r="G23047">
        <v>43979825</v>
      </c>
      <c r="H23047">
        <v>43979700</v>
      </c>
      <c r="I23047">
        <v>43979714</v>
      </c>
    </row>
    <row r="23048" spans="1:9" x14ac:dyDescent="0.2">
      <c r="A23048" t="str">
        <f>"Zdhhc24"</f>
        <v>Zdhhc24</v>
      </c>
      <c r="B23048" t="s">
        <v>14</v>
      </c>
      <c r="C23048" t="s">
        <v>10</v>
      </c>
      <c r="D23048" t="s">
        <v>17</v>
      </c>
      <c r="E23048" t="s">
        <v>12</v>
      </c>
      <c r="F23048">
        <v>4878671</v>
      </c>
      <c r="G23048">
        <v>4878718</v>
      </c>
      <c r="H23048">
        <v>4879573</v>
      </c>
      <c r="I23048">
        <v>4879574</v>
      </c>
    </row>
    <row r="23049" spans="1:9" x14ac:dyDescent="0.2">
      <c r="A23049" t="str">
        <f>"Zdhhc25"</f>
        <v>Zdhhc25</v>
      </c>
      <c r="B23049" t="s">
        <v>14</v>
      </c>
      <c r="C23049" t="s">
        <v>25</v>
      </c>
      <c r="D23049" t="s">
        <v>17</v>
      </c>
      <c r="E23049" t="s">
        <v>12</v>
      </c>
      <c r="F23049">
        <v>88600280</v>
      </c>
      <c r="G23049">
        <v>88600332</v>
      </c>
      <c r="H23049">
        <v>88600280</v>
      </c>
      <c r="I23049">
        <v>88600332</v>
      </c>
    </row>
    <row r="23050" spans="1:9" x14ac:dyDescent="0.2">
      <c r="A23050" t="str">
        <f>"Zdhhc3"</f>
        <v>Zdhhc3</v>
      </c>
      <c r="B23050" t="s">
        <v>14</v>
      </c>
      <c r="C23050" t="s">
        <v>24</v>
      </c>
      <c r="D23050" t="s">
        <v>11</v>
      </c>
      <c r="E23050" t="s">
        <v>12</v>
      </c>
      <c r="F23050">
        <v>123113158</v>
      </c>
      <c r="G23050">
        <v>123113204</v>
      </c>
      <c r="H23050">
        <v>123113131</v>
      </c>
      <c r="I23050">
        <v>123113156</v>
      </c>
    </row>
    <row r="23051" spans="1:9" x14ac:dyDescent="0.2">
      <c r="A23051" t="str">
        <f>"Zdhhc4"</f>
        <v>Zdhhc4</v>
      </c>
      <c r="B23051" t="s">
        <v>14</v>
      </c>
      <c r="C23051" t="s">
        <v>46</v>
      </c>
      <c r="D23051" t="s">
        <v>11</v>
      </c>
      <c r="E23051" t="s">
        <v>12</v>
      </c>
      <c r="F23051">
        <v>143329183</v>
      </c>
      <c r="G23051">
        <v>143329245</v>
      </c>
      <c r="H23051">
        <v>143329183</v>
      </c>
      <c r="I23051">
        <v>143329245</v>
      </c>
    </row>
    <row r="23052" spans="1:9" x14ac:dyDescent="0.2">
      <c r="A23052" t="str">
        <f>"Zdhhc5"</f>
        <v>Zdhhc5</v>
      </c>
      <c r="B23052" t="s">
        <v>14</v>
      </c>
      <c r="C23052" t="s">
        <v>26</v>
      </c>
      <c r="D23052" t="s">
        <v>11</v>
      </c>
      <c r="E23052" t="s">
        <v>12</v>
      </c>
      <c r="F23052">
        <v>84715024</v>
      </c>
      <c r="G23052">
        <v>84715103</v>
      </c>
      <c r="H23052">
        <v>84715160</v>
      </c>
      <c r="I23052">
        <v>84715218</v>
      </c>
    </row>
    <row r="23053" spans="1:9" x14ac:dyDescent="0.2">
      <c r="A23053" t="str">
        <f>"Zdhhc6"</f>
        <v>Zdhhc6</v>
      </c>
      <c r="B23053" t="s">
        <v>14</v>
      </c>
      <c r="C23053" t="s">
        <v>10</v>
      </c>
      <c r="D23053" t="s">
        <v>11</v>
      </c>
      <c r="E23053" t="s">
        <v>12</v>
      </c>
      <c r="F23053">
        <v>55315980</v>
      </c>
      <c r="G23053">
        <v>55316038</v>
      </c>
      <c r="H23053">
        <v>55315904</v>
      </c>
      <c r="I23053">
        <v>55315907</v>
      </c>
    </row>
    <row r="23054" spans="1:9" x14ac:dyDescent="0.2">
      <c r="A23054" t="str">
        <f>"Zdhhc7"</f>
        <v>Zdhhc7</v>
      </c>
      <c r="B23054" t="s">
        <v>14</v>
      </c>
      <c r="C23054" t="s">
        <v>30</v>
      </c>
      <c r="D23054" t="s">
        <v>11</v>
      </c>
      <c r="E23054" t="s">
        <v>12</v>
      </c>
      <c r="F23054">
        <v>120101286</v>
      </c>
      <c r="G23054">
        <v>120101336</v>
      </c>
      <c r="H23054">
        <v>120101473</v>
      </c>
      <c r="I23054">
        <v>120101506</v>
      </c>
    </row>
    <row r="23055" spans="1:9" x14ac:dyDescent="0.2">
      <c r="A23055" t="str">
        <f>"Zdhhc8"</f>
        <v>Zdhhc8</v>
      </c>
      <c r="B23055" t="s">
        <v>14</v>
      </c>
      <c r="C23055" t="s">
        <v>31</v>
      </c>
      <c r="D23055" t="s">
        <v>11</v>
      </c>
      <c r="E23055" t="s">
        <v>12</v>
      </c>
      <c r="F23055">
        <v>18235074</v>
      </c>
      <c r="G23055">
        <v>18235184</v>
      </c>
      <c r="H23055">
        <v>18235064</v>
      </c>
      <c r="I23055">
        <v>18235071</v>
      </c>
    </row>
    <row r="23056" spans="1:9" x14ac:dyDescent="0.2">
      <c r="A23056" t="str">
        <f>"Zdhhc9"</f>
        <v>Zdhhc9</v>
      </c>
      <c r="B23056" t="s">
        <v>14</v>
      </c>
      <c r="C23056" t="s">
        <v>37</v>
      </c>
      <c r="D23056" t="s">
        <v>11</v>
      </c>
      <c r="E23056" t="s">
        <v>12</v>
      </c>
      <c r="F23056">
        <v>48208566</v>
      </c>
      <c r="G23056">
        <v>48208691</v>
      </c>
      <c r="H23056">
        <v>48208870</v>
      </c>
      <c r="I23056">
        <v>48208881</v>
      </c>
    </row>
    <row r="23057" spans="1:9" x14ac:dyDescent="0.2">
      <c r="A23057" t="str">
        <f>"Zeb1"</f>
        <v>Zeb1</v>
      </c>
      <c r="B23057" t="s">
        <v>9</v>
      </c>
      <c r="C23057" t="s">
        <v>43</v>
      </c>
      <c r="D23057" t="s">
        <v>17</v>
      </c>
      <c r="E23057" t="s">
        <v>12</v>
      </c>
      <c r="F23057">
        <v>5591868</v>
      </c>
      <c r="G23057">
        <v>5591902</v>
      </c>
      <c r="H23057">
        <v>5591868</v>
      </c>
      <c r="I23057">
        <v>5591902</v>
      </c>
    </row>
    <row r="23058" spans="1:9" x14ac:dyDescent="0.2">
      <c r="A23058" t="str">
        <f>"Zeb1"</f>
        <v>Zeb1</v>
      </c>
      <c r="B23058" t="s">
        <v>13</v>
      </c>
      <c r="C23058" t="s">
        <v>43</v>
      </c>
      <c r="D23058" t="s">
        <v>17</v>
      </c>
      <c r="E23058" t="s">
        <v>12</v>
      </c>
      <c r="F23058">
        <v>5593566</v>
      </c>
      <c r="G23058">
        <v>5593586</v>
      </c>
      <c r="H23058">
        <v>5593566</v>
      </c>
      <c r="I23058">
        <v>5593586</v>
      </c>
    </row>
    <row r="23059" spans="1:9" x14ac:dyDescent="0.2">
      <c r="A23059" t="str">
        <f>"Zeb2"</f>
        <v>Zeb2</v>
      </c>
      <c r="B23059" t="s">
        <v>14</v>
      </c>
      <c r="C23059" t="s">
        <v>26</v>
      </c>
      <c r="D23059" t="s">
        <v>11</v>
      </c>
      <c r="E23059" t="s">
        <v>12</v>
      </c>
      <c r="F23059">
        <v>45112992</v>
      </c>
      <c r="G23059">
        <v>45113010</v>
      </c>
      <c r="H23059">
        <v>45113217</v>
      </c>
      <c r="I23059">
        <v>45113238</v>
      </c>
    </row>
    <row r="23060" spans="1:9" x14ac:dyDescent="0.2">
      <c r="A23060" t="str">
        <f>"Zer1"</f>
        <v>Zer1</v>
      </c>
      <c r="B23060" t="s">
        <v>14</v>
      </c>
      <c r="C23060" t="s">
        <v>26</v>
      </c>
      <c r="D23060" t="s">
        <v>11</v>
      </c>
      <c r="E23060" t="s">
        <v>12</v>
      </c>
      <c r="F23060">
        <v>30124529</v>
      </c>
      <c r="G23060">
        <v>30124587</v>
      </c>
      <c r="H23060">
        <v>30124477</v>
      </c>
      <c r="I23060">
        <v>30124509</v>
      </c>
    </row>
    <row r="23061" spans="1:9" x14ac:dyDescent="0.2">
      <c r="A23061" t="str">
        <f>"Zfand1"</f>
        <v>Zfand1</v>
      </c>
      <c r="B23061" t="s">
        <v>9</v>
      </c>
      <c r="C23061" t="s">
        <v>22</v>
      </c>
      <c r="D23061" t="s">
        <v>11</v>
      </c>
      <c r="E23061" t="s">
        <v>12</v>
      </c>
      <c r="F23061">
        <v>10351314</v>
      </c>
      <c r="G23061">
        <v>10351342</v>
      </c>
      <c r="H23061">
        <v>10351314</v>
      </c>
      <c r="I23061">
        <v>10351342</v>
      </c>
    </row>
    <row r="23062" spans="1:9" x14ac:dyDescent="0.2">
      <c r="A23062" t="str">
        <f>"Zfand1"</f>
        <v>Zfand1</v>
      </c>
      <c r="B23062" t="s">
        <v>13</v>
      </c>
      <c r="C23062" t="s">
        <v>22</v>
      </c>
      <c r="D23062" t="s">
        <v>11</v>
      </c>
      <c r="E23062" t="s">
        <v>12</v>
      </c>
      <c r="F23062">
        <v>10346105</v>
      </c>
      <c r="G23062">
        <v>10346125</v>
      </c>
      <c r="H23062">
        <v>10346105</v>
      </c>
      <c r="I23062">
        <v>10346125</v>
      </c>
    </row>
    <row r="23063" spans="1:9" x14ac:dyDescent="0.2">
      <c r="A23063" t="str">
        <f>"Zfand2a"</f>
        <v>Zfand2a</v>
      </c>
      <c r="B23063" t="s">
        <v>14</v>
      </c>
      <c r="C23063" t="s">
        <v>46</v>
      </c>
      <c r="D23063" t="s">
        <v>11</v>
      </c>
      <c r="E23063" t="s">
        <v>12</v>
      </c>
      <c r="F23063">
        <v>139484420</v>
      </c>
      <c r="G23063">
        <v>139484473</v>
      </c>
      <c r="H23063">
        <v>139484391</v>
      </c>
      <c r="I23063">
        <v>139484408</v>
      </c>
    </row>
    <row r="23064" spans="1:9" x14ac:dyDescent="0.2">
      <c r="A23064" t="str">
        <f>"Zfand2b"</f>
        <v>Zfand2b</v>
      </c>
      <c r="B23064" t="s">
        <v>14</v>
      </c>
      <c r="C23064" t="s">
        <v>19</v>
      </c>
      <c r="D23064" t="s">
        <v>17</v>
      </c>
      <c r="E23064" t="s">
        <v>12</v>
      </c>
      <c r="F23064">
        <v>75168660</v>
      </c>
      <c r="G23064">
        <v>75168683</v>
      </c>
      <c r="H23064">
        <v>75168631</v>
      </c>
      <c r="I23064">
        <v>75168656</v>
      </c>
    </row>
    <row r="23065" spans="1:9" x14ac:dyDescent="0.2">
      <c r="A23065" t="str">
        <f>"Zfand3"</f>
        <v>Zfand3</v>
      </c>
      <c r="B23065" t="s">
        <v>14</v>
      </c>
      <c r="C23065" t="s">
        <v>28</v>
      </c>
      <c r="D23065" t="s">
        <v>17</v>
      </c>
      <c r="E23065" t="s">
        <v>12</v>
      </c>
      <c r="F23065">
        <v>30005029</v>
      </c>
      <c r="G23065">
        <v>30005098</v>
      </c>
      <c r="H23065">
        <v>30005029</v>
      </c>
      <c r="I23065">
        <v>30005098</v>
      </c>
    </row>
    <row r="23066" spans="1:9" x14ac:dyDescent="0.2">
      <c r="A23066" t="str">
        <f>"Zfand4"</f>
        <v>Zfand4</v>
      </c>
      <c r="B23066" t="s">
        <v>14</v>
      </c>
      <c r="C23066" t="s">
        <v>32</v>
      </c>
      <c r="D23066" t="s">
        <v>17</v>
      </c>
      <c r="E23066" t="s">
        <v>67</v>
      </c>
      <c r="F23066">
        <v>116264227</v>
      </c>
      <c r="G23066">
        <v>116264266</v>
      </c>
      <c r="H23066">
        <v>116264186</v>
      </c>
      <c r="I23066">
        <v>116264225</v>
      </c>
    </row>
    <row r="23067" spans="1:9" x14ac:dyDescent="0.2">
      <c r="A23067" t="str">
        <f>"Zfand5"</f>
        <v>Zfand5</v>
      </c>
      <c r="B23067" t="s">
        <v>14</v>
      </c>
      <c r="C23067" t="s">
        <v>10</v>
      </c>
      <c r="D23067" t="s">
        <v>17</v>
      </c>
      <c r="E23067" t="s">
        <v>12</v>
      </c>
      <c r="F23067">
        <v>21272276</v>
      </c>
      <c r="G23067">
        <v>21272296</v>
      </c>
      <c r="H23067">
        <v>21272257</v>
      </c>
      <c r="I23067">
        <v>21272263</v>
      </c>
    </row>
    <row r="23068" spans="1:9" x14ac:dyDescent="0.2">
      <c r="A23068" t="str">
        <f>"Zfand6"</f>
        <v>Zfand6</v>
      </c>
      <c r="B23068" t="s">
        <v>9</v>
      </c>
      <c r="C23068" t="s">
        <v>33</v>
      </c>
      <c r="D23068" t="s">
        <v>11</v>
      </c>
      <c r="E23068" t="s">
        <v>12</v>
      </c>
      <c r="F23068">
        <v>84679346</v>
      </c>
      <c r="G23068">
        <v>84679401</v>
      </c>
      <c r="H23068">
        <v>84679346</v>
      </c>
      <c r="I23068">
        <v>84679401</v>
      </c>
    </row>
    <row r="23069" spans="1:9" x14ac:dyDescent="0.2">
      <c r="A23069" t="str">
        <f>"Zfand6"</f>
        <v>Zfand6</v>
      </c>
      <c r="B23069" t="s">
        <v>13</v>
      </c>
      <c r="C23069" t="s">
        <v>33</v>
      </c>
      <c r="D23069" t="s">
        <v>11</v>
      </c>
      <c r="E23069" t="s">
        <v>12</v>
      </c>
      <c r="F23069">
        <v>84689845</v>
      </c>
      <c r="G23069">
        <v>84689899</v>
      </c>
      <c r="H23069">
        <v>84689845</v>
      </c>
      <c r="I23069">
        <v>84689899</v>
      </c>
    </row>
    <row r="23070" spans="1:9" x14ac:dyDescent="0.2">
      <c r="A23070" t="str">
        <f>"Zfat"</f>
        <v>Zfat</v>
      </c>
      <c r="B23070" t="s">
        <v>14</v>
      </c>
      <c r="C23070" t="s">
        <v>25</v>
      </c>
      <c r="D23070" t="s">
        <v>11</v>
      </c>
      <c r="E23070" t="s">
        <v>12</v>
      </c>
      <c r="F23070">
        <v>68258834</v>
      </c>
      <c r="G23070">
        <v>68258880</v>
      </c>
      <c r="H23070">
        <v>68258893</v>
      </c>
      <c r="I23070">
        <v>68258902</v>
      </c>
    </row>
    <row r="23071" spans="1:9" x14ac:dyDescent="0.2">
      <c r="A23071" t="str">
        <f>"Zfc3h1"</f>
        <v>Zfc3h1</v>
      </c>
      <c r="B23071" t="s">
        <v>14</v>
      </c>
      <c r="C23071" t="s">
        <v>15</v>
      </c>
      <c r="D23071" t="s">
        <v>17</v>
      </c>
      <c r="E23071" t="s">
        <v>12</v>
      </c>
      <c r="F23071">
        <v>115384951</v>
      </c>
      <c r="G23071">
        <v>115385021</v>
      </c>
      <c r="H23071">
        <v>115384921</v>
      </c>
      <c r="I23071">
        <v>115384949</v>
      </c>
    </row>
    <row r="23072" spans="1:9" x14ac:dyDescent="0.2">
      <c r="A23072" t="str">
        <f>"Zfhx2"</f>
        <v>Zfhx2</v>
      </c>
      <c r="B23072" t="s">
        <v>14</v>
      </c>
      <c r="C23072" t="s">
        <v>41</v>
      </c>
      <c r="D23072" t="s">
        <v>11</v>
      </c>
      <c r="E23072" t="s">
        <v>12</v>
      </c>
      <c r="F23072">
        <v>55092361</v>
      </c>
      <c r="G23072">
        <v>55092421</v>
      </c>
      <c r="H23072">
        <v>55092277</v>
      </c>
      <c r="I23072">
        <v>55092322</v>
      </c>
    </row>
    <row r="23073" spans="1:9" x14ac:dyDescent="0.2">
      <c r="A23073" t="str">
        <f>"Zfhx3"</f>
        <v>Zfhx3</v>
      </c>
      <c r="B23073" t="s">
        <v>14</v>
      </c>
      <c r="C23073" t="s">
        <v>30</v>
      </c>
      <c r="D23073" t="s">
        <v>17</v>
      </c>
      <c r="E23073" t="s">
        <v>12</v>
      </c>
      <c r="F23073">
        <v>108714957</v>
      </c>
      <c r="G23073">
        <v>108715052</v>
      </c>
      <c r="H23073">
        <v>108714957</v>
      </c>
      <c r="I23073">
        <v>108715052</v>
      </c>
    </row>
    <row r="23074" spans="1:9" x14ac:dyDescent="0.2">
      <c r="A23074" t="str">
        <f>"Zfhx4"</f>
        <v>Zfhx4</v>
      </c>
      <c r="B23074" t="s">
        <v>14</v>
      </c>
      <c r="C23074" t="s">
        <v>22</v>
      </c>
      <c r="D23074" t="s">
        <v>17</v>
      </c>
      <c r="E23074" t="s">
        <v>12</v>
      </c>
      <c r="F23074">
        <v>5218629</v>
      </c>
      <c r="G23074">
        <v>5218684</v>
      </c>
      <c r="H23074">
        <v>5218516</v>
      </c>
      <c r="I23074">
        <v>5218544</v>
      </c>
    </row>
    <row r="23075" spans="1:9" x14ac:dyDescent="0.2">
      <c r="A23075" t="str">
        <f>"Zfml"</f>
        <v>Zfml</v>
      </c>
      <c r="B23075" t="s">
        <v>14</v>
      </c>
      <c r="C23075" t="s">
        <v>32</v>
      </c>
      <c r="D23075" t="s">
        <v>17</v>
      </c>
      <c r="E23075" t="s">
        <v>12</v>
      </c>
      <c r="F23075">
        <v>83914354</v>
      </c>
      <c r="G23075">
        <v>83914411</v>
      </c>
      <c r="H23075">
        <v>83914354</v>
      </c>
      <c r="I23075">
        <v>83914411</v>
      </c>
    </row>
    <row r="23076" spans="1:9" x14ac:dyDescent="0.2">
      <c r="A23076" t="str">
        <f>"Zfp1"</f>
        <v>Zfp1</v>
      </c>
      <c r="B23076" t="s">
        <v>14</v>
      </c>
      <c r="C23076" t="s">
        <v>30</v>
      </c>
      <c r="D23076" t="s">
        <v>17</v>
      </c>
      <c r="E23076" t="s">
        <v>12</v>
      </c>
      <c r="F23076">
        <v>111643493</v>
      </c>
      <c r="G23076">
        <v>111643540</v>
      </c>
      <c r="H23076">
        <v>111643425</v>
      </c>
      <c r="I23076">
        <v>111643450</v>
      </c>
    </row>
    <row r="23077" spans="1:9" x14ac:dyDescent="0.2">
      <c r="A23077" t="str">
        <f>"Zfp101"</f>
        <v>Zfp101</v>
      </c>
      <c r="B23077" t="s">
        <v>14</v>
      </c>
      <c r="C23077" t="s">
        <v>28</v>
      </c>
      <c r="D23077" t="s">
        <v>11</v>
      </c>
      <c r="E23077" t="s">
        <v>12</v>
      </c>
      <c r="F23077">
        <v>33394568</v>
      </c>
      <c r="G23077">
        <v>33394644</v>
      </c>
      <c r="H23077">
        <v>33394662</v>
      </c>
      <c r="I23077">
        <v>33394673</v>
      </c>
    </row>
    <row r="23078" spans="1:9" x14ac:dyDescent="0.2">
      <c r="A23078" t="str">
        <f>"Zfp105"</f>
        <v>Zfp105</v>
      </c>
      <c r="B23078" t="s">
        <v>14</v>
      </c>
      <c r="C23078" t="s">
        <v>24</v>
      </c>
      <c r="D23078" t="s">
        <v>17</v>
      </c>
      <c r="E23078" t="s">
        <v>12</v>
      </c>
      <c r="F23078">
        <v>122923050</v>
      </c>
      <c r="G23078">
        <v>122923092</v>
      </c>
      <c r="H23078">
        <v>122923102</v>
      </c>
      <c r="I23078">
        <v>122923112</v>
      </c>
    </row>
    <row r="23079" spans="1:9" x14ac:dyDescent="0.2">
      <c r="A23079" t="str">
        <f>"Zfp106"</f>
        <v>Zfp106</v>
      </c>
      <c r="B23079" t="s">
        <v>14</v>
      </c>
      <c r="C23079" t="s">
        <v>26</v>
      </c>
      <c r="D23079" t="s">
        <v>11</v>
      </c>
      <c r="E23079" t="s">
        <v>12</v>
      </c>
      <c r="F23079">
        <v>120563795</v>
      </c>
      <c r="G23079">
        <v>120563878</v>
      </c>
      <c r="H23079">
        <v>120563795</v>
      </c>
      <c r="I23079">
        <v>120563878</v>
      </c>
    </row>
    <row r="23080" spans="1:9" x14ac:dyDescent="0.2">
      <c r="A23080" t="str">
        <f>"Zfp108"</f>
        <v>Zfp108</v>
      </c>
      <c r="B23080" t="s">
        <v>14</v>
      </c>
      <c r="C23080" t="s">
        <v>33</v>
      </c>
      <c r="D23080" t="s">
        <v>17</v>
      </c>
      <c r="E23080" t="s">
        <v>12</v>
      </c>
      <c r="F23080">
        <v>24254744</v>
      </c>
      <c r="G23080">
        <v>24254812</v>
      </c>
      <c r="H23080">
        <v>24254729</v>
      </c>
      <c r="I23080">
        <v>24254739</v>
      </c>
    </row>
    <row r="23081" spans="1:9" x14ac:dyDescent="0.2">
      <c r="A23081" t="str">
        <f>"Zfp109"</f>
        <v>Zfp109</v>
      </c>
      <c r="B23081" t="s">
        <v>14</v>
      </c>
      <c r="C23081" t="s">
        <v>33</v>
      </c>
      <c r="D23081" t="s">
        <v>11</v>
      </c>
      <c r="E23081" t="s">
        <v>12</v>
      </c>
      <c r="F23081">
        <v>24237680</v>
      </c>
      <c r="G23081">
        <v>24237706</v>
      </c>
      <c r="H23081">
        <v>24237661</v>
      </c>
      <c r="I23081">
        <v>24237678</v>
      </c>
    </row>
    <row r="23082" spans="1:9" x14ac:dyDescent="0.2">
      <c r="A23082" t="str">
        <f>"Zfp11"</f>
        <v>Zfp11</v>
      </c>
      <c r="B23082" t="s">
        <v>14</v>
      </c>
      <c r="C23082" t="s">
        <v>46</v>
      </c>
      <c r="D23082" t="s">
        <v>11</v>
      </c>
      <c r="E23082" t="s">
        <v>12</v>
      </c>
      <c r="F23082">
        <v>129670074</v>
      </c>
      <c r="G23082">
        <v>129670100</v>
      </c>
      <c r="H23082">
        <v>129670103</v>
      </c>
      <c r="I23082">
        <v>129670115</v>
      </c>
    </row>
    <row r="23083" spans="1:9" x14ac:dyDescent="0.2">
      <c r="A23083" t="str">
        <f>"Zfp110"</f>
        <v>Zfp110</v>
      </c>
      <c r="B23083" t="s">
        <v>14</v>
      </c>
      <c r="C23083" t="s">
        <v>33</v>
      </c>
      <c r="D23083" t="s">
        <v>17</v>
      </c>
      <c r="E23083" t="s">
        <v>12</v>
      </c>
      <c r="F23083">
        <v>12834973</v>
      </c>
      <c r="G23083">
        <v>12835052</v>
      </c>
      <c r="H23083">
        <v>12834743</v>
      </c>
      <c r="I23083">
        <v>12834811</v>
      </c>
    </row>
    <row r="23084" spans="1:9" x14ac:dyDescent="0.2">
      <c r="A23084" t="str">
        <f>"Zfp111"</f>
        <v>Zfp111</v>
      </c>
      <c r="B23084" t="s">
        <v>14</v>
      </c>
      <c r="C23084" t="s">
        <v>33</v>
      </c>
      <c r="D23084" t="s">
        <v>11</v>
      </c>
      <c r="E23084" t="s">
        <v>12</v>
      </c>
      <c r="F23084">
        <v>24208093</v>
      </c>
      <c r="G23084">
        <v>24208139</v>
      </c>
      <c r="H23084">
        <v>24208144</v>
      </c>
      <c r="I23084">
        <v>24208145</v>
      </c>
    </row>
    <row r="23085" spans="1:9" x14ac:dyDescent="0.2">
      <c r="A23085" t="str">
        <f>"Zfp112"</f>
        <v>Zfp112</v>
      </c>
      <c r="B23085" t="s">
        <v>14</v>
      </c>
      <c r="C23085" t="s">
        <v>33</v>
      </c>
      <c r="D23085" t="s">
        <v>17</v>
      </c>
      <c r="E23085" t="s">
        <v>12</v>
      </c>
      <c r="F23085">
        <v>24112351</v>
      </c>
      <c r="G23085">
        <v>24112395</v>
      </c>
      <c r="H23085">
        <v>24112398</v>
      </c>
      <c r="I23085">
        <v>24112421</v>
      </c>
    </row>
    <row r="23086" spans="1:9" x14ac:dyDescent="0.2">
      <c r="A23086" t="str">
        <f>"Zfp113"</f>
        <v>Zfp113</v>
      </c>
      <c r="B23086" t="s">
        <v>14</v>
      </c>
      <c r="C23086" t="s">
        <v>46</v>
      </c>
      <c r="D23086" t="s">
        <v>11</v>
      </c>
      <c r="E23086" t="s">
        <v>12</v>
      </c>
      <c r="F23086">
        <v>138155694</v>
      </c>
      <c r="G23086">
        <v>138155740</v>
      </c>
      <c r="H23086">
        <v>138155694</v>
      </c>
      <c r="I23086">
        <v>138155740</v>
      </c>
    </row>
    <row r="23087" spans="1:9" x14ac:dyDescent="0.2">
      <c r="A23087" t="str">
        <f>"Zfp114"</f>
        <v>Zfp114</v>
      </c>
      <c r="B23087" t="s">
        <v>14</v>
      </c>
      <c r="C23087" t="s">
        <v>33</v>
      </c>
      <c r="D23087" t="s">
        <v>17</v>
      </c>
      <c r="E23087" t="s">
        <v>12</v>
      </c>
      <c r="F23087">
        <v>24175032</v>
      </c>
      <c r="G23087">
        <v>24175061</v>
      </c>
      <c r="H23087">
        <v>24175082</v>
      </c>
      <c r="I23087">
        <v>24175088</v>
      </c>
    </row>
    <row r="23088" spans="1:9" x14ac:dyDescent="0.2">
      <c r="A23088" t="str">
        <f>"Zfp119a"</f>
        <v>Zfp119a</v>
      </c>
      <c r="B23088" t="s">
        <v>6338</v>
      </c>
      <c r="C23088" t="s">
        <v>28</v>
      </c>
      <c r="D23088" t="s">
        <v>11</v>
      </c>
      <c r="E23088" t="s">
        <v>20</v>
      </c>
      <c r="F23088">
        <v>55878861</v>
      </c>
      <c r="G23088">
        <v>55878861</v>
      </c>
      <c r="H23088">
        <v>55878861</v>
      </c>
      <c r="I23088">
        <v>55878861</v>
      </c>
    </row>
    <row r="23089" spans="1:9" x14ac:dyDescent="0.2">
      <c r="A23089" t="str">
        <f>"Zfp119b"</f>
        <v>Zfp119b</v>
      </c>
      <c r="B23089" t="s">
        <v>14</v>
      </c>
      <c r="C23089" t="s">
        <v>28</v>
      </c>
      <c r="D23089" t="s">
        <v>11</v>
      </c>
      <c r="E23089" t="s">
        <v>12</v>
      </c>
      <c r="F23089">
        <v>55945247</v>
      </c>
      <c r="G23089">
        <v>55945258</v>
      </c>
      <c r="H23089">
        <v>55945247</v>
      </c>
      <c r="I23089">
        <v>55945258</v>
      </c>
    </row>
    <row r="23090" spans="1:9" x14ac:dyDescent="0.2">
      <c r="A23090" t="str">
        <f>"Zfp12"</f>
        <v>Zfp12</v>
      </c>
      <c r="B23090" t="s">
        <v>14</v>
      </c>
      <c r="C23090" t="s">
        <v>46</v>
      </c>
      <c r="D23090" t="s">
        <v>17</v>
      </c>
      <c r="E23090" t="s">
        <v>12</v>
      </c>
      <c r="F23090">
        <v>143235143</v>
      </c>
      <c r="G23090">
        <v>143235251</v>
      </c>
      <c r="H23090">
        <v>143235258</v>
      </c>
      <c r="I23090">
        <v>143235267</v>
      </c>
    </row>
    <row r="23091" spans="1:9" x14ac:dyDescent="0.2">
      <c r="A23091" t="str">
        <f>"Zfp120"</f>
        <v>Zfp120</v>
      </c>
      <c r="B23091" t="s">
        <v>14</v>
      </c>
      <c r="C23091" t="s">
        <v>26</v>
      </c>
      <c r="D23091" t="s">
        <v>11</v>
      </c>
      <c r="E23091" t="s">
        <v>12</v>
      </c>
      <c r="F23091">
        <v>150136641</v>
      </c>
      <c r="G23091">
        <v>150136687</v>
      </c>
      <c r="H23091">
        <v>150136627</v>
      </c>
      <c r="I23091">
        <v>150136632</v>
      </c>
    </row>
    <row r="23092" spans="1:9" x14ac:dyDescent="0.2">
      <c r="A23092" t="str">
        <f>"Zfp125"</f>
        <v>Zfp125</v>
      </c>
      <c r="B23092" t="s">
        <v>6339</v>
      </c>
      <c r="C23092" t="s">
        <v>16</v>
      </c>
      <c r="D23092" t="s">
        <v>11</v>
      </c>
      <c r="E23092" t="s">
        <v>20</v>
      </c>
      <c r="F23092">
        <v>20900866</v>
      </c>
      <c r="G23092">
        <v>20900866</v>
      </c>
      <c r="H23092">
        <v>20900866</v>
      </c>
      <c r="I23092">
        <v>20900866</v>
      </c>
    </row>
    <row r="23093" spans="1:9" x14ac:dyDescent="0.2">
      <c r="A23093" t="str">
        <f>"Zfp128"</f>
        <v>Zfp128</v>
      </c>
      <c r="B23093" t="s">
        <v>14</v>
      </c>
      <c r="C23093" t="s">
        <v>33</v>
      </c>
      <c r="D23093" t="s">
        <v>17</v>
      </c>
      <c r="E23093" t="s">
        <v>12</v>
      </c>
      <c r="F23093">
        <v>12881165</v>
      </c>
      <c r="G23093">
        <v>12881204</v>
      </c>
      <c r="H23093">
        <v>12881211</v>
      </c>
      <c r="I23093">
        <v>12881219</v>
      </c>
    </row>
    <row r="23094" spans="1:9" x14ac:dyDescent="0.2">
      <c r="A23094" t="str">
        <f>"Zfp13"</f>
        <v>Zfp13</v>
      </c>
      <c r="B23094" t="s">
        <v>14</v>
      </c>
      <c r="C23094" t="s">
        <v>28</v>
      </c>
      <c r="D23094" t="s">
        <v>11</v>
      </c>
      <c r="E23094" t="s">
        <v>12</v>
      </c>
      <c r="F23094">
        <v>23586214</v>
      </c>
      <c r="G23094">
        <v>23586269</v>
      </c>
      <c r="H23094">
        <v>23586214</v>
      </c>
      <c r="I23094">
        <v>23586269</v>
      </c>
    </row>
    <row r="23095" spans="1:9" x14ac:dyDescent="0.2">
      <c r="A23095" t="str">
        <f>"Zfp131"</f>
        <v>Zfp131</v>
      </c>
      <c r="B23095" t="s">
        <v>6340</v>
      </c>
      <c r="C23095" t="s">
        <v>39</v>
      </c>
      <c r="D23095" t="s">
        <v>11</v>
      </c>
      <c r="E23095" t="s">
        <v>20</v>
      </c>
      <c r="F23095">
        <v>119790804</v>
      </c>
      <c r="G23095">
        <v>119790804</v>
      </c>
      <c r="H23095">
        <v>119790804</v>
      </c>
      <c r="I23095">
        <v>119790804</v>
      </c>
    </row>
    <row r="23096" spans="1:9" x14ac:dyDescent="0.2">
      <c r="A23096" t="str">
        <f>"Zfp14"</f>
        <v>Zfp14</v>
      </c>
      <c r="B23096" t="s">
        <v>14</v>
      </c>
      <c r="C23096" t="s">
        <v>33</v>
      </c>
      <c r="D23096" t="s">
        <v>11</v>
      </c>
      <c r="E23096" t="s">
        <v>12</v>
      </c>
      <c r="F23096">
        <v>30051361</v>
      </c>
      <c r="G23096">
        <v>30051411</v>
      </c>
      <c r="H23096">
        <v>30051340</v>
      </c>
      <c r="I23096">
        <v>30051353</v>
      </c>
    </row>
    <row r="23097" spans="1:9" x14ac:dyDescent="0.2">
      <c r="A23097" t="str">
        <f>"Zfp141"</f>
        <v>Zfp141</v>
      </c>
      <c r="B23097" t="s">
        <v>14</v>
      </c>
      <c r="C23097" t="s">
        <v>33</v>
      </c>
      <c r="D23097" t="s">
        <v>11</v>
      </c>
      <c r="E23097" t="s">
        <v>67</v>
      </c>
      <c r="F23097">
        <v>42505695</v>
      </c>
      <c r="G23097">
        <v>42505736</v>
      </c>
      <c r="H23097">
        <v>42505741</v>
      </c>
      <c r="I23097">
        <v>42505758</v>
      </c>
    </row>
    <row r="23098" spans="1:9" x14ac:dyDescent="0.2">
      <c r="A23098" t="str">
        <f>"Zfp142"</f>
        <v>Zfp142</v>
      </c>
      <c r="B23098" t="s">
        <v>14</v>
      </c>
      <c r="C23098" t="s">
        <v>19</v>
      </c>
      <c r="D23098" t="s">
        <v>11</v>
      </c>
      <c r="E23098" t="s">
        <v>12</v>
      </c>
      <c r="F23098">
        <v>74587964</v>
      </c>
      <c r="G23098">
        <v>74588041</v>
      </c>
      <c r="H23098">
        <v>74588117</v>
      </c>
      <c r="I23098">
        <v>74588145</v>
      </c>
    </row>
    <row r="23099" spans="1:9" x14ac:dyDescent="0.2">
      <c r="A23099" t="str">
        <f>"Zfp143"</f>
        <v>Zfp143</v>
      </c>
      <c r="B23099" t="s">
        <v>14</v>
      </c>
      <c r="C23099" t="s">
        <v>33</v>
      </c>
      <c r="D23099" t="s">
        <v>17</v>
      </c>
      <c r="E23099" t="s">
        <v>12</v>
      </c>
      <c r="F23099">
        <v>110061703</v>
      </c>
      <c r="G23099">
        <v>110061732</v>
      </c>
      <c r="H23099">
        <v>110061703</v>
      </c>
      <c r="I23099">
        <v>110061732</v>
      </c>
    </row>
    <row r="23100" spans="1:9" x14ac:dyDescent="0.2">
      <c r="A23100" t="str">
        <f>"Zfp146"</f>
        <v>Zfp146</v>
      </c>
      <c r="B23100" t="s">
        <v>14</v>
      </c>
      <c r="C23100" t="s">
        <v>33</v>
      </c>
      <c r="D23100" t="s">
        <v>11</v>
      </c>
      <c r="E23100" t="s">
        <v>12</v>
      </c>
      <c r="F23100">
        <v>30169701</v>
      </c>
      <c r="G23100">
        <v>30169766</v>
      </c>
      <c r="H23100">
        <v>30169681</v>
      </c>
      <c r="I23100">
        <v>30169696</v>
      </c>
    </row>
    <row r="23101" spans="1:9" x14ac:dyDescent="0.2">
      <c r="A23101" t="str">
        <f>"Zfp148"</f>
        <v>Zfp148</v>
      </c>
      <c r="B23101" t="s">
        <v>14</v>
      </c>
      <c r="C23101" t="s">
        <v>31</v>
      </c>
      <c r="D23101" t="s">
        <v>17</v>
      </c>
      <c r="E23101" t="s">
        <v>12</v>
      </c>
      <c r="F23101">
        <v>33380795</v>
      </c>
      <c r="G23101">
        <v>33380823</v>
      </c>
      <c r="H23101">
        <v>33380864</v>
      </c>
      <c r="I23101">
        <v>33380902</v>
      </c>
    </row>
    <row r="23102" spans="1:9" x14ac:dyDescent="0.2">
      <c r="A23102" t="str">
        <f>"Zfp157"</f>
        <v>Zfp157</v>
      </c>
      <c r="B23102" t="s">
        <v>14</v>
      </c>
      <c r="C23102" t="s">
        <v>46</v>
      </c>
      <c r="D23102" t="s">
        <v>17</v>
      </c>
      <c r="E23102" t="s">
        <v>12</v>
      </c>
      <c r="F23102">
        <v>138441471</v>
      </c>
      <c r="G23102">
        <v>138441530</v>
      </c>
      <c r="H23102">
        <v>138441471</v>
      </c>
      <c r="I23102">
        <v>138441530</v>
      </c>
    </row>
    <row r="23103" spans="1:9" x14ac:dyDescent="0.2">
      <c r="A23103" t="str">
        <f>"Zfp160"</f>
        <v>Zfp160</v>
      </c>
      <c r="B23103" t="s">
        <v>14</v>
      </c>
      <c r="C23103" t="s">
        <v>28</v>
      </c>
      <c r="D23103" t="s">
        <v>17</v>
      </c>
      <c r="E23103" t="s">
        <v>12</v>
      </c>
      <c r="F23103">
        <v>21008921</v>
      </c>
      <c r="G23103">
        <v>21009013</v>
      </c>
      <c r="H23103">
        <v>21009017</v>
      </c>
      <c r="I23103">
        <v>21009034</v>
      </c>
    </row>
    <row r="23104" spans="1:9" x14ac:dyDescent="0.2">
      <c r="A23104" t="str">
        <f>"Zfp169"</f>
        <v>Zfp169</v>
      </c>
      <c r="B23104" t="s">
        <v>14</v>
      </c>
      <c r="C23104" t="s">
        <v>39</v>
      </c>
      <c r="D23104" t="s">
        <v>11</v>
      </c>
      <c r="E23104" t="s">
        <v>12</v>
      </c>
      <c r="F23104">
        <v>48513394</v>
      </c>
      <c r="G23104">
        <v>48513452</v>
      </c>
      <c r="H23104">
        <v>48513369</v>
      </c>
      <c r="I23104">
        <v>48513378</v>
      </c>
    </row>
    <row r="23105" spans="1:9" x14ac:dyDescent="0.2">
      <c r="A23105" t="str">
        <f>"Zfp174"</f>
        <v>Zfp174</v>
      </c>
      <c r="B23105" t="s">
        <v>14</v>
      </c>
      <c r="C23105" t="s">
        <v>31</v>
      </c>
      <c r="D23105" t="s">
        <v>17</v>
      </c>
      <c r="E23105" t="s">
        <v>12</v>
      </c>
      <c r="F23105">
        <v>3847206</v>
      </c>
      <c r="G23105">
        <v>3847307</v>
      </c>
      <c r="H23105">
        <v>3847189</v>
      </c>
      <c r="I23105">
        <v>3847194</v>
      </c>
    </row>
    <row r="23106" spans="1:9" x14ac:dyDescent="0.2">
      <c r="A23106" t="str">
        <f>"Zfp180"</f>
        <v>Zfp180</v>
      </c>
      <c r="B23106" t="s">
        <v>14</v>
      </c>
      <c r="C23106" t="s">
        <v>33</v>
      </c>
      <c r="D23106" t="s">
        <v>17</v>
      </c>
      <c r="E23106" t="s">
        <v>12</v>
      </c>
      <c r="F23106">
        <v>24081888</v>
      </c>
      <c r="G23106">
        <v>24081948</v>
      </c>
      <c r="H23106">
        <v>24082186</v>
      </c>
      <c r="I23106">
        <v>24082198</v>
      </c>
    </row>
    <row r="23107" spans="1:9" x14ac:dyDescent="0.2">
      <c r="A23107" t="str">
        <f>"Zfp182"</f>
        <v>Zfp182</v>
      </c>
      <c r="B23107" t="s">
        <v>14</v>
      </c>
      <c r="C23107" t="s">
        <v>37</v>
      </c>
      <c r="D23107" t="s">
        <v>11</v>
      </c>
      <c r="E23107" t="s">
        <v>12</v>
      </c>
      <c r="F23107">
        <v>21061981</v>
      </c>
      <c r="G23107">
        <v>21062062</v>
      </c>
      <c r="H23107">
        <v>21061981</v>
      </c>
      <c r="I23107">
        <v>21062062</v>
      </c>
    </row>
    <row r="23108" spans="1:9" x14ac:dyDescent="0.2">
      <c r="A23108" t="str">
        <f>"Zfp184"</f>
        <v>Zfp184</v>
      </c>
      <c r="B23108" t="s">
        <v>14</v>
      </c>
      <c r="C23108" t="s">
        <v>39</v>
      </c>
      <c r="D23108" t="s">
        <v>17</v>
      </c>
      <c r="E23108" t="s">
        <v>12</v>
      </c>
      <c r="F23108">
        <v>21945084</v>
      </c>
      <c r="G23108">
        <v>21945140</v>
      </c>
      <c r="H23108">
        <v>21945340</v>
      </c>
      <c r="I23108">
        <v>21945363</v>
      </c>
    </row>
    <row r="23109" spans="1:9" x14ac:dyDescent="0.2">
      <c r="A23109" t="str">
        <f>"Zfp185"</f>
        <v>Zfp185</v>
      </c>
      <c r="B23109" t="s">
        <v>14</v>
      </c>
      <c r="C23109" t="s">
        <v>37</v>
      </c>
      <c r="D23109" t="s">
        <v>17</v>
      </c>
      <c r="E23109" t="s">
        <v>12</v>
      </c>
      <c r="F23109">
        <v>72987352</v>
      </c>
      <c r="G23109">
        <v>72987366</v>
      </c>
      <c r="H23109">
        <v>72988178</v>
      </c>
      <c r="I23109">
        <v>72988195</v>
      </c>
    </row>
    <row r="23110" spans="1:9" x14ac:dyDescent="0.2">
      <c r="A23110" t="str">
        <f>"Zfp189"</f>
        <v>Zfp189</v>
      </c>
      <c r="B23110" t="s">
        <v>14</v>
      </c>
      <c r="C23110" t="s">
        <v>23</v>
      </c>
      <c r="D23110" t="s">
        <v>17</v>
      </c>
      <c r="E23110" t="s">
        <v>12</v>
      </c>
      <c r="F23110">
        <v>49521214</v>
      </c>
      <c r="G23110">
        <v>49521296</v>
      </c>
      <c r="H23110">
        <v>49521324</v>
      </c>
      <c r="I23110">
        <v>49521327</v>
      </c>
    </row>
    <row r="23111" spans="1:9" x14ac:dyDescent="0.2">
      <c r="A23111" t="str">
        <f>"Zfp191"</f>
        <v>Zfp191</v>
      </c>
      <c r="B23111" t="s">
        <v>14</v>
      </c>
      <c r="C23111" t="s">
        <v>43</v>
      </c>
      <c r="D23111" t="s">
        <v>11</v>
      </c>
      <c r="E23111" t="s">
        <v>12</v>
      </c>
      <c r="F23111">
        <v>24020749</v>
      </c>
      <c r="G23111">
        <v>24020813</v>
      </c>
      <c r="H23111">
        <v>24020307</v>
      </c>
      <c r="I23111">
        <v>24020364</v>
      </c>
    </row>
    <row r="23112" spans="1:9" x14ac:dyDescent="0.2">
      <c r="A23112" t="str">
        <f>"Zfp2"</f>
        <v>Zfp2</v>
      </c>
      <c r="B23112" t="s">
        <v>14</v>
      </c>
      <c r="C23112" t="s">
        <v>27</v>
      </c>
      <c r="D23112" t="s">
        <v>11</v>
      </c>
      <c r="E23112" t="s">
        <v>12</v>
      </c>
      <c r="F23112">
        <v>50916136</v>
      </c>
      <c r="G23112">
        <v>50916179</v>
      </c>
      <c r="H23112">
        <v>50916136</v>
      </c>
      <c r="I23112">
        <v>50916179</v>
      </c>
    </row>
    <row r="23113" spans="1:9" x14ac:dyDescent="0.2">
      <c r="A23113" t="str">
        <f>"Zfp202"</f>
        <v>Zfp202</v>
      </c>
      <c r="B23113" t="s">
        <v>14</v>
      </c>
      <c r="C23113" t="s">
        <v>24</v>
      </c>
      <c r="D23113" t="s">
        <v>17</v>
      </c>
      <c r="E23113" t="s">
        <v>12</v>
      </c>
      <c r="F23113">
        <v>40192308</v>
      </c>
      <c r="G23113">
        <v>40192337</v>
      </c>
      <c r="H23113">
        <v>40192345</v>
      </c>
      <c r="I23113">
        <v>40192360</v>
      </c>
    </row>
    <row r="23114" spans="1:9" x14ac:dyDescent="0.2">
      <c r="A23114" t="str">
        <f>"Zfp207"</f>
        <v>Zfp207</v>
      </c>
      <c r="B23114" t="s">
        <v>14</v>
      </c>
      <c r="C23114" t="s">
        <v>27</v>
      </c>
      <c r="D23114" t="s">
        <v>17</v>
      </c>
      <c r="E23114" t="s">
        <v>12</v>
      </c>
      <c r="F23114">
        <v>80383309</v>
      </c>
      <c r="G23114">
        <v>80383336</v>
      </c>
      <c r="H23114">
        <v>80383299</v>
      </c>
      <c r="I23114">
        <v>80383304</v>
      </c>
    </row>
    <row r="23115" spans="1:9" x14ac:dyDescent="0.2">
      <c r="A23115" t="str">
        <f>"Zfp212"</f>
        <v>Zfp212</v>
      </c>
      <c r="B23115" t="s">
        <v>14</v>
      </c>
      <c r="C23115" t="s">
        <v>32</v>
      </c>
      <c r="D23115" t="s">
        <v>17</v>
      </c>
      <c r="E23115" t="s">
        <v>12</v>
      </c>
      <c r="F23115">
        <v>47920584</v>
      </c>
      <c r="G23115">
        <v>47920636</v>
      </c>
      <c r="H23115">
        <v>47920641</v>
      </c>
      <c r="I23115">
        <v>47920652</v>
      </c>
    </row>
    <row r="23116" spans="1:9" x14ac:dyDescent="0.2">
      <c r="A23116" t="str">
        <f>"Zfp213"</f>
        <v>Zfp213</v>
      </c>
      <c r="B23116" t="s">
        <v>14</v>
      </c>
      <c r="C23116" t="s">
        <v>28</v>
      </c>
      <c r="D23116" t="s">
        <v>11</v>
      </c>
      <c r="E23116" t="s">
        <v>12</v>
      </c>
      <c r="F23116">
        <v>23564117</v>
      </c>
      <c r="G23116">
        <v>23564161</v>
      </c>
      <c r="H23116">
        <v>23564207</v>
      </c>
      <c r="I23116">
        <v>23564238</v>
      </c>
    </row>
    <row r="23117" spans="1:9" x14ac:dyDescent="0.2">
      <c r="A23117" t="str">
        <f>"Zfp217"</f>
        <v>Zfp217</v>
      </c>
      <c r="B23117" t="s">
        <v>14</v>
      </c>
      <c r="C23117" t="s">
        <v>26</v>
      </c>
      <c r="D23117" t="s">
        <v>11</v>
      </c>
      <c r="E23117" t="s">
        <v>12</v>
      </c>
      <c r="F23117">
        <v>170131156</v>
      </c>
      <c r="G23117">
        <v>170131184</v>
      </c>
      <c r="H23117">
        <v>170131156</v>
      </c>
      <c r="I23117">
        <v>170131184</v>
      </c>
    </row>
    <row r="23118" spans="1:9" x14ac:dyDescent="0.2">
      <c r="A23118" t="str">
        <f>"Zfp219"</f>
        <v>Zfp219</v>
      </c>
      <c r="B23118" t="s">
        <v>9</v>
      </c>
      <c r="C23118" t="s">
        <v>41</v>
      </c>
      <c r="D23118" t="s">
        <v>11</v>
      </c>
      <c r="E23118" t="s">
        <v>12</v>
      </c>
      <c r="F23118">
        <v>52020698</v>
      </c>
      <c r="G23118">
        <v>52020737</v>
      </c>
      <c r="H23118">
        <v>52020698</v>
      </c>
      <c r="I23118">
        <v>52020737</v>
      </c>
    </row>
    <row r="23119" spans="1:9" x14ac:dyDescent="0.2">
      <c r="A23119" t="str">
        <f>"Zfp219"</f>
        <v>Zfp219</v>
      </c>
      <c r="B23119" t="s">
        <v>13</v>
      </c>
      <c r="C23119" t="s">
        <v>41</v>
      </c>
      <c r="D23119" t="s">
        <v>11</v>
      </c>
      <c r="E23119" t="s">
        <v>12</v>
      </c>
      <c r="F23119">
        <v>52014737</v>
      </c>
      <c r="G23119">
        <v>52014825</v>
      </c>
      <c r="H23119">
        <v>52014737</v>
      </c>
      <c r="I23119">
        <v>52014825</v>
      </c>
    </row>
    <row r="23120" spans="1:9" x14ac:dyDescent="0.2">
      <c r="A23120" t="str">
        <f>"Zfp229"</f>
        <v>Zfp229</v>
      </c>
      <c r="B23120" t="s">
        <v>14</v>
      </c>
      <c r="C23120" t="s">
        <v>28</v>
      </c>
      <c r="D23120" t="s">
        <v>17</v>
      </c>
      <c r="E23120" t="s">
        <v>12</v>
      </c>
      <c r="F23120">
        <v>21733727</v>
      </c>
      <c r="G23120">
        <v>21733749</v>
      </c>
      <c r="H23120">
        <v>21733704</v>
      </c>
      <c r="I23120">
        <v>21733722</v>
      </c>
    </row>
    <row r="23121" spans="1:9" x14ac:dyDescent="0.2">
      <c r="A23121" t="str">
        <f>"Zfp235"</f>
        <v>Zfp235</v>
      </c>
      <c r="B23121" t="s">
        <v>14</v>
      </c>
      <c r="C23121" t="s">
        <v>33</v>
      </c>
      <c r="D23121" t="s">
        <v>17</v>
      </c>
      <c r="E23121" t="s">
        <v>12</v>
      </c>
      <c r="F23121">
        <v>24134148</v>
      </c>
      <c r="G23121">
        <v>24134184</v>
      </c>
      <c r="H23121">
        <v>24134185</v>
      </c>
      <c r="I23121">
        <v>24134212</v>
      </c>
    </row>
    <row r="23122" spans="1:9" x14ac:dyDescent="0.2">
      <c r="A23122" t="str">
        <f>"Zfp236"</f>
        <v>Zfp236</v>
      </c>
      <c r="B23122" t="s">
        <v>14</v>
      </c>
      <c r="C23122" t="s">
        <v>43</v>
      </c>
      <c r="D23122" t="s">
        <v>11</v>
      </c>
      <c r="E23122" t="s">
        <v>12</v>
      </c>
      <c r="F23122">
        <v>82692873</v>
      </c>
      <c r="G23122">
        <v>82692933</v>
      </c>
      <c r="H23122">
        <v>82692707</v>
      </c>
      <c r="I23122">
        <v>82692764</v>
      </c>
    </row>
    <row r="23123" spans="1:9" x14ac:dyDescent="0.2">
      <c r="A23123" t="str">
        <f>"Zfp239"</f>
        <v>Zfp239</v>
      </c>
      <c r="B23123" t="s">
        <v>14</v>
      </c>
      <c r="C23123" t="s">
        <v>32</v>
      </c>
      <c r="D23123" t="s">
        <v>17</v>
      </c>
      <c r="E23123" t="s">
        <v>12</v>
      </c>
      <c r="F23123">
        <v>117863069</v>
      </c>
      <c r="G23123">
        <v>117863103</v>
      </c>
      <c r="H23123">
        <v>117862119</v>
      </c>
      <c r="I23123">
        <v>117862143</v>
      </c>
    </row>
    <row r="23124" spans="1:9" x14ac:dyDescent="0.2">
      <c r="A23124" t="str">
        <f>"Zfp248"</f>
        <v>Zfp248</v>
      </c>
      <c r="B23124" t="s">
        <v>14</v>
      </c>
      <c r="C23124" t="s">
        <v>32</v>
      </c>
      <c r="D23124" t="s">
        <v>11</v>
      </c>
      <c r="E23124" t="s">
        <v>12</v>
      </c>
      <c r="F23124">
        <v>118455475</v>
      </c>
      <c r="G23124">
        <v>118455518</v>
      </c>
      <c r="H23124">
        <v>118455094</v>
      </c>
      <c r="I23124">
        <v>118455123</v>
      </c>
    </row>
    <row r="23125" spans="1:9" x14ac:dyDescent="0.2">
      <c r="A23125" t="str">
        <f>"Zfp251"</f>
        <v>Zfp251</v>
      </c>
      <c r="B23125" t="s">
        <v>14</v>
      </c>
      <c r="C23125" t="s">
        <v>25</v>
      </c>
      <c r="D23125" t="s">
        <v>11</v>
      </c>
      <c r="E23125" t="s">
        <v>12</v>
      </c>
      <c r="F23125">
        <v>76871400</v>
      </c>
      <c r="G23125">
        <v>76871453</v>
      </c>
      <c r="H23125">
        <v>76871377</v>
      </c>
      <c r="I23125">
        <v>76871393</v>
      </c>
    </row>
    <row r="23126" spans="1:9" x14ac:dyDescent="0.2">
      <c r="A23126" t="str">
        <f>"Zfp259"</f>
        <v>Zfp259</v>
      </c>
      <c r="B23126" t="s">
        <v>14</v>
      </c>
      <c r="C23126" t="s">
        <v>24</v>
      </c>
      <c r="D23126" t="s">
        <v>17</v>
      </c>
      <c r="E23126" t="s">
        <v>12</v>
      </c>
      <c r="F23126">
        <v>46273148</v>
      </c>
      <c r="G23126">
        <v>46273201</v>
      </c>
      <c r="H23126">
        <v>46273043</v>
      </c>
      <c r="I23126">
        <v>46273071</v>
      </c>
    </row>
    <row r="23127" spans="1:9" x14ac:dyDescent="0.2">
      <c r="A23127" t="str">
        <f>"Zfp26"</f>
        <v>Zfp26</v>
      </c>
      <c r="B23127" t="s">
        <v>14</v>
      </c>
      <c r="C23127" t="s">
        <v>24</v>
      </c>
      <c r="D23127" t="s">
        <v>11</v>
      </c>
      <c r="E23127" t="s">
        <v>12</v>
      </c>
      <c r="F23127">
        <v>20459950</v>
      </c>
      <c r="G23127">
        <v>20460004</v>
      </c>
      <c r="H23127">
        <v>20459841</v>
      </c>
      <c r="I23127">
        <v>20459879</v>
      </c>
    </row>
    <row r="23128" spans="1:9" x14ac:dyDescent="0.2">
      <c r="A23128" t="str">
        <f>"Zfp260"</f>
        <v>Zfp260</v>
      </c>
      <c r="B23128" t="s">
        <v>14</v>
      </c>
      <c r="C23128" t="s">
        <v>33</v>
      </c>
      <c r="D23128" t="s">
        <v>17</v>
      </c>
      <c r="E23128" t="s">
        <v>12</v>
      </c>
      <c r="F23128">
        <v>30095150</v>
      </c>
      <c r="G23128">
        <v>30095192</v>
      </c>
      <c r="H23128">
        <v>30095150</v>
      </c>
      <c r="I23128">
        <v>30095192</v>
      </c>
    </row>
    <row r="23129" spans="1:9" x14ac:dyDescent="0.2">
      <c r="A23129" t="str">
        <f>"Zfp263"</f>
        <v>Zfp263</v>
      </c>
      <c r="B23129" t="s">
        <v>14</v>
      </c>
      <c r="C23129" t="s">
        <v>31</v>
      </c>
      <c r="D23129" t="s">
        <v>17</v>
      </c>
      <c r="E23129" t="s">
        <v>12</v>
      </c>
      <c r="F23129">
        <v>3744089</v>
      </c>
      <c r="G23129">
        <v>3744145</v>
      </c>
      <c r="H23129">
        <v>3744162</v>
      </c>
      <c r="I23129">
        <v>3744180</v>
      </c>
    </row>
    <row r="23130" spans="1:9" x14ac:dyDescent="0.2">
      <c r="A23130" t="str">
        <f>"Zfp266"</f>
        <v>Zfp266</v>
      </c>
      <c r="B23130" t="s">
        <v>14</v>
      </c>
      <c r="C23130" t="s">
        <v>24</v>
      </c>
      <c r="D23130" t="s">
        <v>11</v>
      </c>
      <c r="E23130" t="s">
        <v>12</v>
      </c>
      <c r="F23130">
        <v>20521375</v>
      </c>
      <c r="G23130">
        <v>20521427</v>
      </c>
      <c r="H23130">
        <v>20521548</v>
      </c>
      <c r="I23130">
        <v>20521629</v>
      </c>
    </row>
    <row r="23131" spans="1:9" x14ac:dyDescent="0.2">
      <c r="A23131" t="str">
        <f>"Zfp27"</f>
        <v>Zfp27</v>
      </c>
      <c r="B23131" t="s">
        <v>14</v>
      </c>
      <c r="C23131" t="s">
        <v>33</v>
      </c>
      <c r="D23131" t="s">
        <v>11</v>
      </c>
      <c r="E23131" t="s">
        <v>12</v>
      </c>
      <c r="F23131">
        <v>29906087</v>
      </c>
      <c r="G23131">
        <v>29906137</v>
      </c>
      <c r="H23131">
        <v>29906524</v>
      </c>
      <c r="I23131">
        <v>29906567</v>
      </c>
    </row>
    <row r="23132" spans="1:9" x14ac:dyDescent="0.2">
      <c r="A23132" t="str">
        <f>"Zfp273"</f>
        <v>Zfp273</v>
      </c>
      <c r="B23132" t="s">
        <v>14</v>
      </c>
      <c r="C23132" t="s">
        <v>39</v>
      </c>
      <c r="D23132" t="s">
        <v>17</v>
      </c>
      <c r="E23132" t="s">
        <v>12</v>
      </c>
      <c r="F23132">
        <v>67813777</v>
      </c>
      <c r="G23132">
        <v>67813831</v>
      </c>
      <c r="H23132">
        <v>67813755</v>
      </c>
      <c r="I23132">
        <v>67813761</v>
      </c>
    </row>
    <row r="23133" spans="1:9" x14ac:dyDescent="0.2">
      <c r="A23133" t="str">
        <f>"Zfp275"</f>
        <v>Zfp275</v>
      </c>
      <c r="B23133" t="s">
        <v>14</v>
      </c>
      <c r="C23133" t="s">
        <v>37</v>
      </c>
      <c r="D23133" t="s">
        <v>17</v>
      </c>
      <c r="E23133" t="s">
        <v>12</v>
      </c>
      <c r="F23133">
        <v>73342614</v>
      </c>
      <c r="G23133">
        <v>73342629</v>
      </c>
      <c r="H23133">
        <v>73342587</v>
      </c>
      <c r="I23133">
        <v>73342606</v>
      </c>
    </row>
    <row r="23134" spans="1:9" x14ac:dyDescent="0.2">
      <c r="A23134" t="str">
        <f>"Zfp276"</f>
        <v>Zfp276</v>
      </c>
      <c r="B23134" t="s">
        <v>14</v>
      </c>
      <c r="C23134" t="s">
        <v>30</v>
      </c>
      <c r="D23134" t="s">
        <v>17</v>
      </c>
      <c r="E23134" t="s">
        <v>12</v>
      </c>
      <c r="F23134">
        <v>123254231</v>
      </c>
      <c r="G23134">
        <v>123254278</v>
      </c>
      <c r="H23134">
        <v>123254292</v>
      </c>
      <c r="I23134">
        <v>123254317</v>
      </c>
    </row>
    <row r="23135" spans="1:9" x14ac:dyDescent="0.2">
      <c r="A23135" t="str">
        <f>"Zfp277"</f>
        <v>Zfp277</v>
      </c>
      <c r="B23135" t="s">
        <v>14</v>
      </c>
      <c r="C23135" t="s">
        <v>16</v>
      </c>
      <c r="D23135" t="s">
        <v>11</v>
      </c>
      <c r="E23135" t="s">
        <v>12</v>
      </c>
      <c r="F23135">
        <v>40445754</v>
      </c>
      <c r="G23135">
        <v>40445798</v>
      </c>
      <c r="H23135">
        <v>40445849</v>
      </c>
      <c r="I23135">
        <v>40445885</v>
      </c>
    </row>
    <row r="23136" spans="1:9" x14ac:dyDescent="0.2">
      <c r="A23136" t="str">
        <f>"Zfp28"</f>
        <v>Zfp28</v>
      </c>
      <c r="B23136" t="s">
        <v>14</v>
      </c>
      <c r="C23136" t="s">
        <v>33</v>
      </c>
      <c r="D23136" t="s">
        <v>17</v>
      </c>
      <c r="E23136" t="s">
        <v>12</v>
      </c>
      <c r="F23136">
        <v>6383310</v>
      </c>
      <c r="G23136">
        <v>6383358</v>
      </c>
      <c r="H23136">
        <v>6383364</v>
      </c>
      <c r="I23136">
        <v>6383376</v>
      </c>
    </row>
    <row r="23137" spans="1:9" x14ac:dyDescent="0.2">
      <c r="A23137" t="str">
        <f>"Zfp280b"</f>
        <v>Zfp280b</v>
      </c>
      <c r="B23137" t="s">
        <v>14</v>
      </c>
      <c r="C23137" t="s">
        <v>15</v>
      </c>
      <c r="D23137" t="s">
        <v>17</v>
      </c>
      <c r="E23137" t="s">
        <v>12</v>
      </c>
      <c r="F23137">
        <v>76032598</v>
      </c>
      <c r="G23137">
        <v>76032660</v>
      </c>
      <c r="H23137">
        <v>76032665</v>
      </c>
      <c r="I23137">
        <v>76032699</v>
      </c>
    </row>
    <row r="23138" spans="1:9" x14ac:dyDescent="0.2">
      <c r="A23138" t="str">
        <f>"Zfp280c"</f>
        <v>Zfp280c</v>
      </c>
      <c r="B23138" t="s">
        <v>14</v>
      </c>
      <c r="C23138" t="s">
        <v>37</v>
      </c>
      <c r="D23138" t="s">
        <v>11</v>
      </c>
      <c r="E23138" t="s">
        <v>12</v>
      </c>
      <c r="F23138">
        <v>48594383</v>
      </c>
      <c r="G23138">
        <v>48594493</v>
      </c>
      <c r="H23138">
        <v>48594569</v>
      </c>
      <c r="I23138">
        <v>48594585</v>
      </c>
    </row>
    <row r="23139" spans="1:9" x14ac:dyDescent="0.2">
      <c r="A23139" t="str">
        <f>"Zfp280d"</f>
        <v>Zfp280d</v>
      </c>
      <c r="B23139" t="s">
        <v>14</v>
      </c>
      <c r="C23139" t="s">
        <v>24</v>
      </c>
      <c r="D23139" t="s">
        <v>17</v>
      </c>
      <c r="E23139" t="s">
        <v>12</v>
      </c>
      <c r="F23139">
        <v>72274966</v>
      </c>
      <c r="G23139">
        <v>72275013</v>
      </c>
      <c r="H23139">
        <v>72274873</v>
      </c>
      <c r="I23139">
        <v>72274886</v>
      </c>
    </row>
    <row r="23140" spans="1:9" x14ac:dyDescent="0.2">
      <c r="A23140" t="str">
        <f>"Zfp281"</f>
        <v>Zfp281</v>
      </c>
      <c r="B23140" t="s">
        <v>14</v>
      </c>
      <c r="C23140" t="s">
        <v>19</v>
      </c>
      <c r="D23140" t="s">
        <v>17</v>
      </c>
      <c r="E23140" t="s">
        <v>12</v>
      </c>
      <c r="F23140">
        <v>136624951</v>
      </c>
      <c r="G23140">
        <v>136624995</v>
      </c>
      <c r="H23140">
        <v>136624933</v>
      </c>
      <c r="I23140">
        <v>136624949</v>
      </c>
    </row>
    <row r="23141" spans="1:9" x14ac:dyDescent="0.2">
      <c r="A23141" t="str">
        <f>"Zfp282"</f>
        <v>Zfp282</v>
      </c>
      <c r="B23141" t="s">
        <v>14</v>
      </c>
      <c r="C23141" t="s">
        <v>32</v>
      </c>
      <c r="D23141" t="s">
        <v>17</v>
      </c>
      <c r="E23141" t="s">
        <v>12</v>
      </c>
      <c r="F23141">
        <v>47877643</v>
      </c>
      <c r="G23141">
        <v>47877708</v>
      </c>
      <c r="H23141">
        <v>47877620</v>
      </c>
      <c r="I23141">
        <v>47877640</v>
      </c>
    </row>
    <row r="23142" spans="1:9" x14ac:dyDescent="0.2">
      <c r="A23142" t="str">
        <f>"Zfp286"</f>
        <v>Zfp286</v>
      </c>
      <c r="B23142" t="s">
        <v>14</v>
      </c>
      <c r="C23142" t="s">
        <v>27</v>
      </c>
      <c r="D23142" t="s">
        <v>11</v>
      </c>
      <c r="E23142" t="s">
        <v>12</v>
      </c>
      <c r="F23142">
        <v>62789402</v>
      </c>
      <c r="G23142">
        <v>62789443</v>
      </c>
      <c r="H23142">
        <v>62789445</v>
      </c>
      <c r="I23142">
        <v>62789478</v>
      </c>
    </row>
    <row r="23143" spans="1:9" x14ac:dyDescent="0.2">
      <c r="A23143" t="str">
        <f>"Zfp287"</f>
        <v>Zfp287</v>
      </c>
      <c r="B23143" t="s">
        <v>14</v>
      </c>
      <c r="C23143" t="s">
        <v>27</v>
      </c>
      <c r="D23143" t="s">
        <v>11</v>
      </c>
      <c r="E23143" t="s">
        <v>12</v>
      </c>
      <c r="F23143">
        <v>62731865</v>
      </c>
      <c r="G23143">
        <v>62731910</v>
      </c>
      <c r="H23143">
        <v>62731776</v>
      </c>
      <c r="I23143">
        <v>62731786</v>
      </c>
    </row>
    <row r="23144" spans="1:9" x14ac:dyDescent="0.2">
      <c r="A23144" t="str">
        <f>"Zfp292"</f>
        <v>Zfp292</v>
      </c>
      <c r="B23144" t="s">
        <v>14</v>
      </c>
      <c r="C23144" t="s">
        <v>23</v>
      </c>
      <c r="D23144" t="s">
        <v>11</v>
      </c>
      <c r="E23144" t="s">
        <v>12</v>
      </c>
      <c r="F23144">
        <v>34882919</v>
      </c>
      <c r="G23144">
        <v>34882964</v>
      </c>
      <c r="H23144">
        <v>34882919</v>
      </c>
      <c r="I23144">
        <v>34882964</v>
      </c>
    </row>
    <row r="23145" spans="1:9" x14ac:dyDescent="0.2">
      <c r="A23145" t="str">
        <f>"Zfp296"</f>
        <v>Zfp296</v>
      </c>
      <c r="B23145" t="s">
        <v>14</v>
      </c>
      <c r="C23145" t="s">
        <v>33</v>
      </c>
      <c r="D23145" t="s">
        <v>17</v>
      </c>
      <c r="E23145" t="s">
        <v>12</v>
      </c>
      <c r="F23145">
        <v>19577314</v>
      </c>
      <c r="G23145">
        <v>19577329</v>
      </c>
      <c r="H23145">
        <v>19577314</v>
      </c>
      <c r="I23145">
        <v>19577329</v>
      </c>
    </row>
    <row r="23146" spans="1:9" x14ac:dyDescent="0.2">
      <c r="A23146" t="str">
        <f>"Zfp3"</f>
        <v>Zfp3</v>
      </c>
      <c r="B23146" t="s">
        <v>14</v>
      </c>
      <c r="C23146" t="s">
        <v>27</v>
      </c>
      <c r="D23146" t="s">
        <v>17</v>
      </c>
      <c r="E23146" t="s">
        <v>12</v>
      </c>
      <c r="F23146">
        <v>70764428</v>
      </c>
      <c r="G23146">
        <v>70764483</v>
      </c>
      <c r="H23146">
        <v>70764209</v>
      </c>
      <c r="I23146">
        <v>70764249</v>
      </c>
    </row>
    <row r="23147" spans="1:9" x14ac:dyDescent="0.2">
      <c r="A23147" t="str">
        <f>"Zfp30"</f>
        <v>Zfp30</v>
      </c>
      <c r="B23147" t="s">
        <v>14</v>
      </c>
      <c r="C23147" t="s">
        <v>33</v>
      </c>
      <c r="D23147" t="s">
        <v>17</v>
      </c>
      <c r="E23147" t="s">
        <v>12</v>
      </c>
      <c r="F23147">
        <v>29783958</v>
      </c>
      <c r="G23147">
        <v>29784028</v>
      </c>
      <c r="H23147">
        <v>29784029</v>
      </c>
      <c r="I23147">
        <v>29784080</v>
      </c>
    </row>
    <row r="23148" spans="1:9" x14ac:dyDescent="0.2">
      <c r="A23148" t="str">
        <f>"Zfp300"</f>
        <v>Zfp300</v>
      </c>
      <c r="B23148" t="s">
        <v>14</v>
      </c>
      <c r="C23148" t="s">
        <v>37</v>
      </c>
      <c r="D23148" t="s">
        <v>11</v>
      </c>
      <c r="E23148" t="s">
        <v>12</v>
      </c>
      <c r="F23148">
        <v>21089233</v>
      </c>
      <c r="G23148">
        <v>21089247</v>
      </c>
      <c r="H23148">
        <v>21089233</v>
      </c>
      <c r="I23148">
        <v>21089247</v>
      </c>
    </row>
    <row r="23149" spans="1:9" x14ac:dyDescent="0.2">
      <c r="A23149" t="str">
        <f>"Zfp316"</f>
        <v>Zfp316</v>
      </c>
      <c r="B23149" t="s">
        <v>14</v>
      </c>
      <c r="C23149" t="s">
        <v>46</v>
      </c>
      <c r="D23149" t="s">
        <v>11</v>
      </c>
      <c r="E23149" t="s">
        <v>12</v>
      </c>
      <c r="F23149">
        <v>143269958</v>
      </c>
      <c r="G23149">
        <v>143270018</v>
      </c>
      <c r="H23149">
        <v>143269958</v>
      </c>
      <c r="I23149">
        <v>143270018</v>
      </c>
    </row>
    <row r="23150" spans="1:9" x14ac:dyDescent="0.2">
      <c r="A23150" t="str">
        <f>"Zfp317"</f>
        <v>Zfp317</v>
      </c>
      <c r="B23150" t="s">
        <v>14</v>
      </c>
      <c r="C23150" t="s">
        <v>24</v>
      </c>
      <c r="D23150" t="s">
        <v>17</v>
      </c>
      <c r="E23150" t="s">
        <v>12</v>
      </c>
      <c r="F23150">
        <v>19622079</v>
      </c>
      <c r="G23150">
        <v>19622140</v>
      </c>
      <c r="H23150">
        <v>19622297</v>
      </c>
      <c r="I23150">
        <v>19622331</v>
      </c>
    </row>
    <row r="23151" spans="1:9" x14ac:dyDescent="0.2">
      <c r="A23151" t="str">
        <f>"Zfp318"</f>
        <v>Zfp318</v>
      </c>
      <c r="B23151" t="s">
        <v>14</v>
      </c>
      <c r="C23151" t="s">
        <v>28</v>
      </c>
      <c r="D23151" t="s">
        <v>17</v>
      </c>
      <c r="E23151" t="s">
        <v>12</v>
      </c>
      <c r="F23151">
        <v>46383725</v>
      </c>
      <c r="G23151">
        <v>46383792</v>
      </c>
      <c r="H23151">
        <v>46383569</v>
      </c>
      <c r="I23151">
        <v>46383622</v>
      </c>
    </row>
    <row r="23152" spans="1:9" x14ac:dyDescent="0.2">
      <c r="A23152" t="str">
        <f>"Zfp319"</f>
        <v>Zfp319</v>
      </c>
      <c r="B23152" t="s">
        <v>14</v>
      </c>
      <c r="C23152" t="s">
        <v>30</v>
      </c>
      <c r="D23152" t="s">
        <v>11</v>
      </c>
      <c r="E23152" t="s">
        <v>12</v>
      </c>
      <c r="F23152">
        <v>95331756</v>
      </c>
      <c r="G23152">
        <v>95331836</v>
      </c>
      <c r="H23152">
        <v>95331756</v>
      </c>
      <c r="I23152">
        <v>95331836</v>
      </c>
    </row>
    <row r="23153" spans="1:9" x14ac:dyDescent="0.2">
      <c r="A23153" t="str">
        <f>"Zfp322a"</f>
        <v>Zfp322a</v>
      </c>
      <c r="B23153" t="s">
        <v>14</v>
      </c>
      <c r="C23153" t="s">
        <v>39</v>
      </c>
      <c r="D23153" t="s">
        <v>11</v>
      </c>
      <c r="E23153" t="s">
        <v>12</v>
      </c>
      <c r="F23153">
        <v>23369156</v>
      </c>
      <c r="G23153">
        <v>23369217</v>
      </c>
      <c r="H23153">
        <v>23368969</v>
      </c>
      <c r="I23153">
        <v>23369011</v>
      </c>
    </row>
    <row r="23154" spans="1:9" x14ac:dyDescent="0.2">
      <c r="A23154" t="str">
        <f>"Zfp324"</f>
        <v>Zfp324</v>
      </c>
      <c r="B23154" t="s">
        <v>14</v>
      </c>
      <c r="C23154" t="s">
        <v>33</v>
      </c>
      <c r="D23154" t="s">
        <v>17</v>
      </c>
      <c r="E23154" t="s">
        <v>12</v>
      </c>
      <c r="F23154">
        <v>12965831</v>
      </c>
      <c r="G23154">
        <v>12965894</v>
      </c>
      <c r="H23154">
        <v>12966241</v>
      </c>
      <c r="I23154">
        <v>12966261</v>
      </c>
    </row>
    <row r="23155" spans="1:9" x14ac:dyDescent="0.2">
      <c r="A23155" t="str">
        <f>"Zfp326"</f>
        <v>Zfp326</v>
      </c>
      <c r="B23155" t="s">
        <v>14</v>
      </c>
      <c r="C23155" t="s">
        <v>46</v>
      </c>
      <c r="D23155" t="s">
        <v>17</v>
      </c>
      <c r="E23155" t="s">
        <v>12</v>
      </c>
      <c r="F23155">
        <v>105876532</v>
      </c>
      <c r="G23155">
        <v>105876585</v>
      </c>
      <c r="H23155">
        <v>105876768</v>
      </c>
      <c r="I23155">
        <v>105876788</v>
      </c>
    </row>
    <row r="23156" spans="1:9" x14ac:dyDescent="0.2">
      <c r="A23156" t="str">
        <f>"Zfp329"</f>
        <v>Zfp329</v>
      </c>
      <c r="B23156" t="s">
        <v>14</v>
      </c>
      <c r="C23156" t="s">
        <v>33</v>
      </c>
      <c r="D23156" t="s">
        <v>11</v>
      </c>
      <c r="E23156" t="s">
        <v>12</v>
      </c>
      <c r="F23156">
        <v>12818837</v>
      </c>
      <c r="G23156">
        <v>12818865</v>
      </c>
      <c r="H23156">
        <v>12818866</v>
      </c>
      <c r="I23156">
        <v>12818871</v>
      </c>
    </row>
    <row r="23157" spans="1:9" x14ac:dyDescent="0.2">
      <c r="A23157" t="str">
        <f>"Zfp330"</f>
        <v>Zfp330</v>
      </c>
      <c r="B23157" t="s">
        <v>14</v>
      </c>
      <c r="C23157" t="s">
        <v>30</v>
      </c>
      <c r="D23157" t="s">
        <v>11</v>
      </c>
      <c r="E23157" t="s">
        <v>12</v>
      </c>
      <c r="F23157">
        <v>82774106</v>
      </c>
      <c r="G23157">
        <v>82774163</v>
      </c>
      <c r="H23157">
        <v>82774172</v>
      </c>
      <c r="I23157">
        <v>82774179</v>
      </c>
    </row>
    <row r="23158" spans="1:9" x14ac:dyDescent="0.2">
      <c r="A23158" t="str">
        <f>"Zfp334"</f>
        <v>Zfp334</v>
      </c>
      <c r="B23158" t="s">
        <v>14</v>
      </c>
      <c r="C23158" t="s">
        <v>26</v>
      </c>
      <c r="D23158" t="s">
        <v>11</v>
      </c>
      <c r="E23158" t="s">
        <v>12</v>
      </c>
      <c r="F23158">
        <v>165388245</v>
      </c>
      <c r="G23158">
        <v>165388315</v>
      </c>
      <c r="H23158">
        <v>165388216</v>
      </c>
      <c r="I23158">
        <v>165388232</v>
      </c>
    </row>
    <row r="23159" spans="1:9" x14ac:dyDescent="0.2">
      <c r="A23159" t="str">
        <f>"Zfp335"</f>
        <v>Zfp335</v>
      </c>
      <c r="B23159" t="s">
        <v>14</v>
      </c>
      <c r="C23159" t="s">
        <v>26</v>
      </c>
      <c r="D23159" t="s">
        <v>11</v>
      </c>
      <c r="E23159" t="s">
        <v>12</v>
      </c>
      <c r="F23159">
        <v>164911560</v>
      </c>
      <c r="G23159">
        <v>164911583</v>
      </c>
      <c r="H23159">
        <v>164911586</v>
      </c>
      <c r="I23159">
        <v>164911608</v>
      </c>
    </row>
    <row r="23160" spans="1:9" x14ac:dyDescent="0.2">
      <c r="A23160" t="str">
        <f>"Zfp341"</f>
        <v>Zfp341</v>
      </c>
      <c r="B23160" t="s">
        <v>14</v>
      </c>
      <c r="C23160" t="s">
        <v>26</v>
      </c>
      <c r="D23160" t="s">
        <v>17</v>
      </c>
      <c r="E23160" t="s">
        <v>12</v>
      </c>
      <c r="F23160">
        <v>154613327</v>
      </c>
      <c r="G23160">
        <v>154613369</v>
      </c>
      <c r="H23160">
        <v>154613309</v>
      </c>
      <c r="I23160">
        <v>154613323</v>
      </c>
    </row>
    <row r="23161" spans="1:9" x14ac:dyDescent="0.2">
      <c r="A23161" t="str">
        <f>"Zfp345"</f>
        <v>Zfp345</v>
      </c>
      <c r="B23161" t="s">
        <v>6341</v>
      </c>
      <c r="C23161" t="s">
        <v>26</v>
      </c>
      <c r="D23161" t="s">
        <v>11</v>
      </c>
      <c r="E23161" t="s">
        <v>20</v>
      </c>
      <c r="F23161">
        <v>150485090</v>
      </c>
      <c r="G23161">
        <v>150485090</v>
      </c>
      <c r="H23161">
        <v>150485090</v>
      </c>
      <c r="I23161">
        <v>150485090</v>
      </c>
    </row>
    <row r="23162" spans="1:9" x14ac:dyDescent="0.2">
      <c r="A23162" t="str">
        <f>"Zfp346"</f>
        <v>Zfp346</v>
      </c>
      <c r="B23162" t="s">
        <v>14</v>
      </c>
      <c r="C23162" t="s">
        <v>39</v>
      </c>
      <c r="D23162" t="s">
        <v>17</v>
      </c>
      <c r="E23162" t="s">
        <v>12</v>
      </c>
      <c r="F23162">
        <v>55105290</v>
      </c>
      <c r="G23162">
        <v>55105340</v>
      </c>
      <c r="H23162">
        <v>55105264</v>
      </c>
      <c r="I23162">
        <v>55105275</v>
      </c>
    </row>
    <row r="23163" spans="1:9" x14ac:dyDescent="0.2">
      <c r="A23163" t="str">
        <f>"Zfp35"</f>
        <v>Zfp35</v>
      </c>
      <c r="B23163" t="s">
        <v>14</v>
      </c>
      <c r="C23163" t="s">
        <v>43</v>
      </c>
      <c r="D23163" t="s">
        <v>17</v>
      </c>
      <c r="E23163" t="s">
        <v>12</v>
      </c>
      <c r="F23163">
        <v>23989652</v>
      </c>
      <c r="G23163">
        <v>23989694</v>
      </c>
      <c r="H23163">
        <v>23989652</v>
      </c>
      <c r="I23163">
        <v>23989694</v>
      </c>
    </row>
    <row r="23164" spans="1:9" x14ac:dyDescent="0.2">
      <c r="A23164" t="str">
        <f>"Zfp352"</f>
        <v>Zfp352</v>
      </c>
      <c r="B23164" t="s">
        <v>6342</v>
      </c>
      <c r="C23164" t="s">
        <v>23</v>
      </c>
      <c r="D23164" t="s">
        <v>17</v>
      </c>
      <c r="E23164" t="s">
        <v>20</v>
      </c>
      <c r="F23164">
        <v>90223624</v>
      </c>
      <c r="G23164">
        <v>90223624</v>
      </c>
      <c r="H23164">
        <v>90223624</v>
      </c>
      <c r="I23164">
        <v>90223624</v>
      </c>
    </row>
    <row r="23165" spans="1:9" x14ac:dyDescent="0.2">
      <c r="A23165" t="str">
        <f>"Zfp352"</f>
        <v>Zfp352</v>
      </c>
      <c r="B23165" t="s">
        <v>6343</v>
      </c>
      <c r="C23165" t="s">
        <v>23</v>
      </c>
      <c r="D23165" t="s">
        <v>17</v>
      </c>
      <c r="E23165" t="s">
        <v>20</v>
      </c>
      <c r="F23165">
        <v>90218819</v>
      </c>
      <c r="G23165">
        <v>90218819</v>
      </c>
      <c r="H23165">
        <v>90218819</v>
      </c>
      <c r="I23165">
        <v>90218819</v>
      </c>
    </row>
    <row r="23166" spans="1:9" x14ac:dyDescent="0.2">
      <c r="A23166" t="str">
        <f>"Zfp354a"</f>
        <v>Zfp354a</v>
      </c>
      <c r="B23166" t="s">
        <v>14</v>
      </c>
      <c r="C23166" t="s">
        <v>27</v>
      </c>
      <c r="D23166" t="s">
        <v>17</v>
      </c>
      <c r="E23166" t="s">
        <v>12</v>
      </c>
      <c r="F23166">
        <v>51059231</v>
      </c>
      <c r="G23166">
        <v>51059307</v>
      </c>
      <c r="H23166">
        <v>51059222</v>
      </c>
      <c r="I23166">
        <v>51059229</v>
      </c>
    </row>
    <row r="23167" spans="1:9" x14ac:dyDescent="0.2">
      <c r="A23167" t="str">
        <f>"Zfp354b"</f>
        <v>Zfp354b</v>
      </c>
      <c r="B23167" t="s">
        <v>14</v>
      </c>
      <c r="C23167" t="s">
        <v>27</v>
      </c>
      <c r="D23167" t="s">
        <v>11</v>
      </c>
      <c r="E23167" t="s">
        <v>12</v>
      </c>
      <c r="F23167">
        <v>50931612</v>
      </c>
      <c r="G23167">
        <v>50931642</v>
      </c>
      <c r="H23167">
        <v>50931561</v>
      </c>
      <c r="I23167">
        <v>50931572</v>
      </c>
    </row>
    <row r="23168" spans="1:9" x14ac:dyDescent="0.2">
      <c r="A23168" t="str">
        <f>"Zfp354c"</f>
        <v>Zfp354c</v>
      </c>
      <c r="B23168" t="s">
        <v>14</v>
      </c>
      <c r="C23168" t="s">
        <v>27</v>
      </c>
      <c r="D23168" t="s">
        <v>11</v>
      </c>
      <c r="E23168" t="s">
        <v>12</v>
      </c>
      <c r="F23168">
        <v>50827681</v>
      </c>
      <c r="G23168">
        <v>50827742</v>
      </c>
      <c r="H23168">
        <v>50827668</v>
      </c>
      <c r="I23168">
        <v>50827676</v>
      </c>
    </row>
    <row r="23169" spans="1:9" x14ac:dyDescent="0.2">
      <c r="A23169" t="str">
        <f>"Zfp358"</f>
        <v>Zfp358</v>
      </c>
      <c r="B23169" t="s">
        <v>14</v>
      </c>
      <c r="C23169" t="s">
        <v>30</v>
      </c>
      <c r="D23169" t="s">
        <v>17</v>
      </c>
      <c r="E23169" t="s">
        <v>12</v>
      </c>
      <c r="F23169">
        <v>3493135</v>
      </c>
      <c r="G23169">
        <v>3493212</v>
      </c>
      <c r="H23169">
        <v>3493218</v>
      </c>
      <c r="I23169">
        <v>3493234</v>
      </c>
    </row>
    <row r="23170" spans="1:9" x14ac:dyDescent="0.2">
      <c r="A23170" t="str">
        <f>"Zfp36"</f>
        <v>Zfp36</v>
      </c>
      <c r="B23170" t="s">
        <v>14</v>
      </c>
      <c r="C23170" t="s">
        <v>33</v>
      </c>
      <c r="D23170" t="s">
        <v>11</v>
      </c>
      <c r="E23170" t="s">
        <v>12</v>
      </c>
      <c r="F23170">
        <v>28379247</v>
      </c>
      <c r="G23170">
        <v>28379263</v>
      </c>
      <c r="H23170">
        <v>28379225</v>
      </c>
      <c r="I23170">
        <v>28379235</v>
      </c>
    </row>
    <row r="23171" spans="1:9" x14ac:dyDescent="0.2">
      <c r="A23171" t="str">
        <f>"Zfp362"</f>
        <v>Zfp362</v>
      </c>
      <c r="B23171" t="s">
        <v>14</v>
      </c>
      <c r="C23171" t="s">
        <v>23</v>
      </c>
      <c r="D23171" t="s">
        <v>11</v>
      </c>
      <c r="E23171" t="s">
        <v>12</v>
      </c>
      <c r="F23171">
        <v>128806290</v>
      </c>
      <c r="G23171">
        <v>128806369</v>
      </c>
      <c r="H23171">
        <v>128806103</v>
      </c>
      <c r="I23171">
        <v>128806167</v>
      </c>
    </row>
    <row r="23172" spans="1:9" x14ac:dyDescent="0.2">
      <c r="A23172" t="str">
        <f>"Zfp365"</f>
        <v>Zfp365</v>
      </c>
      <c r="B23172" t="s">
        <v>14</v>
      </c>
      <c r="C23172" t="s">
        <v>15</v>
      </c>
      <c r="D23172" t="s">
        <v>11</v>
      </c>
      <c r="E23172" t="s">
        <v>12</v>
      </c>
      <c r="F23172">
        <v>67912620</v>
      </c>
      <c r="G23172">
        <v>67912685</v>
      </c>
      <c r="H23172">
        <v>67912398</v>
      </c>
      <c r="I23172">
        <v>67912460</v>
      </c>
    </row>
    <row r="23173" spans="1:9" x14ac:dyDescent="0.2">
      <c r="A23173" t="str">
        <f>"Zfp366"</f>
        <v>Zfp366</v>
      </c>
      <c r="B23173" t="s">
        <v>14</v>
      </c>
      <c r="C23173" t="s">
        <v>39</v>
      </c>
      <c r="D23173" t="s">
        <v>17</v>
      </c>
      <c r="E23173" t="s">
        <v>12</v>
      </c>
      <c r="F23173">
        <v>99184685</v>
      </c>
      <c r="G23173">
        <v>99184726</v>
      </c>
      <c r="H23173">
        <v>99184733</v>
      </c>
      <c r="I23173">
        <v>99184755</v>
      </c>
    </row>
    <row r="23174" spans="1:9" x14ac:dyDescent="0.2">
      <c r="A23174" t="str">
        <f>"Zfp367"</f>
        <v>Zfp367</v>
      </c>
      <c r="B23174" t="s">
        <v>14</v>
      </c>
      <c r="C23174" t="s">
        <v>39</v>
      </c>
      <c r="D23174" t="s">
        <v>11</v>
      </c>
      <c r="E23174" t="s">
        <v>12</v>
      </c>
      <c r="F23174">
        <v>64153149</v>
      </c>
      <c r="G23174">
        <v>64153189</v>
      </c>
      <c r="H23174">
        <v>64152410</v>
      </c>
      <c r="I23174">
        <v>64152455</v>
      </c>
    </row>
    <row r="23175" spans="1:9" x14ac:dyDescent="0.2">
      <c r="A23175" t="str">
        <f>"Zfp369"</f>
        <v>Zfp369</v>
      </c>
      <c r="B23175" t="s">
        <v>14</v>
      </c>
      <c r="C23175" t="s">
        <v>39</v>
      </c>
      <c r="D23175" t="s">
        <v>17</v>
      </c>
      <c r="E23175" t="s">
        <v>12</v>
      </c>
      <c r="F23175">
        <v>65278839</v>
      </c>
      <c r="G23175">
        <v>65278866</v>
      </c>
      <c r="H23175">
        <v>65278810</v>
      </c>
      <c r="I23175">
        <v>65278838</v>
      </c>
    </row>
    <row r="23176" spans="1:9" x14ac:dyDescent="0.2">
      <c r="A23176" t="str">
        <f>"Zfp36l1"</f>
        <v>Zfp36l1</v>
      </c>
      <c r="B23176" t="s">
        <v>14</v>
      </c>
      <c r="C23176" t="s">
        <v>16</v>
      </c>
      <c r="D23176" t="s">
        <v>11</v>
      </c>
      <c r="E23176" t="s">
        <v>12</v>
      </c>
      <c r="F23176">
        <v>80113002</v>
      </c>
      <c r="G23176">
        <v>80113019</v>
      </c>
      <c r="H23176">
        <v>80113230</v>
      </c>
      <c r="I23176">
        <v>80113232</v>
      </c>
    </row>
    <row r="23177" spans="1:9" x14ac:dyDescent="0.2">
      <c r="A23177" t="str">
        <f>"Zfp36l2"</f>
        <v>Zfp36l2</v>
      </c>
      <c r="B23177" t="s">
        <v>14</v>
      </c>
      <c r="C23177" t="s">
        <v>28</v>
      </c>
      <c r="D23177" t="s">
        <v>11</v>
      </c>
      <c r="E23177" t="s">
        <v>12</v>
      </c>
      <c r="F23177">
        <v>84187939</v>
      </c>
      <c r="G23177">
        <v>84187954</v>
      </c>
      <c r="H23177">
        <v>84187827</v>
      </c>
      <c r="I23177">
        <v>84187899</v>
      </c>
    </row>
    <row r="23178" spans="1:9" x14ac:dyDescent="0.2">
      <c r="A23178" t="str">
        <f>"Zfp36l3"</f>
        <v>Zfp36l3</v>
      </c>
      <c r="B23178" t="s">
        <v>14</v>
      </c>
      <c r="C23178" t="s">
        <v>37</v>
      </c>
      <c r="D23178" t="s">
        <v>11</v>
      </c>
      <c r="E23178" t="s">
        <v>12</v>
      </c>
      <c r="F23178">
        <v>53776295</v>
      </c>
      <c r="G23178">
        <v>53776315</v>
      </c>
      <c r="H23178">
        <v>53776355</v>
      </c>
      <c r="I23178">
        <v>53776377</v>
      </c>
    </row>
    <row r="23179" spans="1:9" x14ac:dyDescent="0.2">
      <c r="A23179" t="str">
        <f>"Zfp37"</f>
        <v>Zfp37</v>
      </c>
      <c r="B23179" t="s">
        <v>14</v>
      </c>
      <c r="C23179" t="s">
        <v>23</v>
      </c>
      <c r="D23179" t="s">
        <v>11</v>
      </c>
      <c r="E23179" t="s">
        <v>12</v>
      </c>
      <c r="F23179">
        <v>62208426</v>
      </c>
      <c r="G23179">
        <v>62208487</v>
      </c>
      <c r="H23179">
        <v>62208539</v>
      </c>
      <c r="I23179">
        <v>62208561</v>
      </c>
    </row>
    <row r="23180" spans="1:9" x14ac:dyDescent="0.2">
      <c r="A23180" t="str">
        <f>"Zfp382"</f>
        <v>Zfp382</v>
      </c>
      <c r="B23180" t="s">
        <v>9</v>
      </c>
      <c r="C23180" t="s">
        <v>33</v>
      </c>
      <c r="D23180" t="s">
        <v>17</v>
      </c>
      <c r="E23180" t="s">
        <v>12</v>
      </c>
      <c r="F23180">
        <v>30121915</v>
      </c>
      <c r="G23180">
        <v>30122001</v>
      </c>
      <c r="H23180">
        <v>30121915</v>
      </c>
      <c r="I23180">
        <v>30122001</v>
      </c>
    </row>
    <row r="23181" spans="1:9" x14ac:dyDescent="0.2">
      <c r="A23181" t="str">
        <f>"Zfp382"</f>
        <v>Zfp382</v>
      </c>
      <c r="B23181" t="s">
        <v>13</v>
      </c>
      <c r="C23181" t="s">
        <v>33</v>
      </c>
      <c r="D23181" t="s">
        <v>17</v>
      </c>
      <c r="E23181" t="s">
        <v>12</v>
      </c>
      <c r="F23181">
        <v>30125588</v>
      </c>
      <c r="G23181">
        <v>30125617</v>
      </c>
      <c r="H23181">
        <v>30125588</v>
      </c>
      <c r="I23181">
        <v>30125617</v>
      </c>
    </row>
    <row r="23182" spans="1:9" x14ac:dyDescent="0.2">
      <c r="A23182" t="str">
        <f>"Zfp384"</f>
        <v>Zfp384</v>
      </c>
      <c r="B23182" t="s">
        <v>14</v>
      </c>
      <c r="C23182" t="s">
        <v>32</v>
      </c>
      <c r="D23182" t="s">
        <v>17</v>
      </c>
      <c r="E23182" t="s">
        <v>12</v>
      </c>
      <c r="F23182">
        <v>125009261</v>
      </c>
      <c r="G23182">
        <v>125009317</v>
      </c>
      <c r="H23182">
        <v>125009665</v>
      </c>
      <c r="I23182">
        <v>125009717</v>
      </c>
    </row>
    <row r="23183" spans="1:9" x14ac:dyDescent="0.2">
      <c r="A23183" t="str">
        <f>"Zfp385a"</f>
        <v>Zfp385a</v>
      </c>
      <c r="B23183" t="s">
        <v>14</v>
      </c>
      <c r="C23183" t="s">
        <v>25</v>
      </c>
      <c r="D23183" t="s">
        <v>11</v>
      </c>
      <c r="E23183" t="s">
        <v>12</v>
      </c>
      <c r="F23183">
        <v>103340102</v>
      </c>
      <c r="G23183">
        <v>103340125</v>
      </c>
      <c r="H23183">
        <v>103340085</v>
      </c>
      <c r="I23183">
        <v>103340100</v>
      </c>
    </row>
    <row r="23184" spans="1:9" x14ac:dyDescent="0.2">
      <c r="A23184" t="str">
        <f>"Zfp385b"</f>
        <v>Zfp385b</v>
      </c>
      <c r="B23184" t="s">
        <v>6344</v>
      </c>
      <c r="C23184" t="s">
        <v>26</v>
      </c>
      <c r="D23184" t="s">
        <v>11</v>
      </c>
      <c r="E23184" t="s">
        <v>20</v>
      </c>
      <c r="F23184">
        <v>77719738</v>
      </c>
      <c r="G23184">
        <v>77719738</v>
      </c>
      <c r="H23184">
        <v>77719738</v>
      </c>
      <c r="I23184">
        <v>77719738</v>
      </c>
    </row>
    <row r="23185" spans="1:9" x14ac:dyDescent="0.2">
      <c r="A23185" t="str">
        <f>"Zfp385b"</f>
        <v>Zfp385b</v>
      </c>
      <c r="B23185" t="s">
        <v>6345</v>
      </c>
      <c r="C23185" t="s">
        <v>26</v>
      </c>
      <c r="D23185" t="s">
        <v>11</v>
      </c>
      <c r="E23185" t="s">
        <v>35</v>
      </c>
      <c r="F23185">
        <v>77816879</v>
      </c>
      <c r="G23185">
        <v>77816931</v>
      </c>
      <c r="H23185">
        <v>77816593</v>
      </c>
      <c r="I23185">
        <v>77816628</v>
      </c>
    </row>
    <row r="23186" spans="1:9" x14ac:dyDescent="0.2">
      <c r="A23186" t="str">
        <f>"Zfp385c"</f>
        <v>Zfp385c</v>
      </c>
      <c r="B23186" t="s">
        <v>6346</v>
      </c>
      <c r="C23186" t="s">
        <v>27</v>
      </c>
      <c r="D23186" t="s">
        <v>11</v>
      </c>
      <c r="E23186" t="s">
        <v>20</v>
      </c>
      <c r="F23186">
        <v>100650692</v>
      </c>
      <c r="G23186">
        <v>100650692</v>
      </c>
      <c r="H23186">
        <v>100650692</v>
      </c>
      <c r="I23186">
        <v>100650692</v>
      </c>
    </row>
    <row r="23187" spans="1:9" x14ac:dyDescent="0.2">
      <c r="A23187" t="str">
        <f>"Zfp386"</f>
        <v>Zfp386</v>
      </c>
      <c r="B23187" t="s">
        <v>14</v>
      </c>
      <c r="C23187" t="s">
        <v>16</v>
      </c>
      <c r="D23187" t="s">
        <v>17</v>
      </c>
      <c r="E23187" t="s">
        <v>12</v>
      </c>
      <c r="F23187">
        <v>116047713</v>
      </c>
      <c r="G23187">
        <v>116047807</v>
      </c>
      <c r="H23187">
        <v>116047713</v>
      </c>
      <c r="I23187">
        <v>116047807</v>
      </c>
    </row>
    <row r="23188" spans="1:9" x14ac:dyDescent="0.2">
      <c r="A23188" t="str">
        <f>"Zfp39"</f>
        <v>Zfp39</v>
      </c>
      <c r="B23188" t="s">
        <v>14</v>
      </c>
      <c r="C23188" t="s">
        <v>27</v>
      </c>
      <c r="D23188" t="s">
        <v>11</v>
      </c>
      <c r="E23188" t="s">
        <v>12</v>
      </c>
      <c r="F23188">
        <v>58904173</v>
      </c>
      <c r="G23188">
        <v>58904217</v>
      </c>
      <c r="H23188">
        <v>58904219</v>
      </c>
      <c r="I23188">
        <v>58904236</v>
      </c>
    </row>
    <row r="23189" spans="1:9" x14ac:dyDescent="0.2">
      <c r="A23189" t="str">
        <f>"Zfp395"</f>
        <v>Zfp395</v>
      </c>
      <c r="B23189" t="s">
        <v>14</v>
      </c>
      <c r="C23189" t="s">
        <v>41</v>
      </c>
      <c r="D23189" t="s">
        <v>17</v>
      </c>
      <c r="E23189" t="s">
        <v>12</v>
      </c>
      <c r="F23189">
        <v>65358661</v>
      </c>
      <c r="G23189">
        <v>65358691</v>
      </c>
      <c r="H23189">
        <v>65358487</v>
      </c>
      <c r="I23189">
        <v>65358535</v>
      </c>
    </row>
    <row r="23190" spans="1:9" x14ac:dyDescent="0.2">
      <c r="A23190" t="str">
        <f>"Zfp397"</f>
        <v>Zfp397</v>
      </c>
      <c r="B23190" t="s">
        <v>14</v>
      </c>
      <c r="C23190" t="s">
        <v>43</v>
      </c>
      <c r="D23190" t="s">
        <v>17</v>
      </c>
      <c r="E23190" t="s">
        <v>12</v>
      </c>
      <c r="F23190">
        <v>23954668</v>
      </c>
      <c r="G23190">
        <v>23954704</v>
      </c>
      <c r="H23190">
        <v>23954848</v>
      </c>
      <c r="I23190">
        <v>23954873</v>
      </c>
    </row>
    <row r="23191" spans="1:9" x14ac:dyDescent="0.2">
      <c r="A23191" t="str">
        <f>"Zfp398"</f>
        <v>Zfp398</v>
      </c>
      <c r="B23191" t="s">
        <v>14</v>
      </c>
      <c r="C23191" t="s">
        <v>32</v>
      </c>
      <c r="D23191" t="s">
        <v>17</v>
      </c>
      <c r="E23191" t="s">
        <v>12</v>
      </c>
      <c r="F23191">
        <v>47835650</v>
      </c>
      <c r="G23191">
        <v>47835725</v>
      </c>
      <c r="H23191">
        <v>47835798</v>
      </c>
      <c r="I23191">
        <v>47835824</v>
      </c>
    </row>
    <row r="23192" spans="1:9" x14ac:dyDescent="0.2">
      <c r="A23192" t="str">
        <f>"Zfp40"</f>
        <v>Zfp40</v>
      </c>
      <c r="B23192" t="s">
        <v>14</v>
      </c>
      <c r="C23192" t="s">
        <v>28</v>
      </c>
      <c r="D23192" t="s">
        <v>11</v>
      </c>
      <c r="E23192" t="s">
        <v>12</v>
      </c>
      <c r="F23192">
        <v>23193216</v>
      </c>
      <c r="G23192">
        <v>23193258</v>
      </c>
      <c r="H23192">
        <v>23193175</v>
      </c>
      <c r="I23192">
        <v>23193208</v>
      </c>
    </row>
    <row r="23193" spans="1:9" x14ac:dyDescent="0.2">
      <c r="A23193" t="str">
        <f>"Zfp407"</f>
        <v>Zfp407</v>
      </c>
      <c r="B23193" t="s">
        <v>14</v>
      </c>
      <c r="C23193" t="s">
        <v>43</v>
      </c>
      <c r="D23193" t="s">
        <v>11</v>
      </c>
      <c r="E23193" t="s">
        <v>12</v>
      </c>
      <c r="F23193">
        <v>84589491</v>
      </c>
      <c r="G23193">
        <v>84589527</v>
      </c>
      <c r="H23193">
        <v>84589460</v>
      </c>
      <c r="I23193">
        <v>84589486</v>
      </c>
    </row>
    <row r="23194" spans="1:9" x14ac:dyDescent="0.2">
      <c r="A23194" t="str">
        <f>"Zfp408"</f>
        <v>Zfp408</v>
      </c>
      <c r="B23194" t="s">
        <v>14</v>
      </c>
      <c r="C23194" t="s">
        <v>26</v>
      </c>
      <c r="D23194" t="s">
        <v>11</v>
      </c>
      <c r="E23194" t="s">
        <v>12</v>
      </c>
      <c r="F23194">
        <v>91649751</v>
      </c>
      <c r="G23194">
        <v>91649784</v>
      </c>
      <c r="H23194">
        <v>91649751</v>
      </c>
      <c r="I23194">
        <v>91649784</v>
      </c>
    </row>
    <row r="23195" spans="1:9" x14ac:dyDescent="0.2">
      <c r="A23195" t="str">
        <f>"Zfp41"</f>
        <v>Zfp41</v>
      </c>
      <c r="B23195" t="s">
        <v>14</v>
      </c>
      <c r="C23195" t="s">
        <v>25</v>
      </c>
      <c r="D23195" t="s">
        <v>17</v>
      </c>
      <c r="E23195" t="s">
        <v>12</v>
      </c>
      <c r="F23195">
        <v>75616675</v>
      </c>
      <c r="G23195">
        <v>75616729</v>
      </c>
      <c r="H23195">
        <v>75616732</v>
      </c>
      <c r="I23195">
        <v>75616787</v>
      </c>
    </row>
    <row r="23196" spans="1:9" x14ac:dyDescent="0.2">
      <c r="A23196" t="str">
        <f>"Zfp410"</f>
        <v>Zfp410</v>
      </c>
      <c r="B23196" t="s">
        <v>14</v>
      </c>
      <c r="C23196" t="s">
        <v>16</v>
      </c>
      <c r="D23196" t="s">
        <v>17</v>
      </c>
      <c r="E23196" t="s">
        <v>12</v>
      </c>
      <c r="F23196">
        <v>84317102</v>
      </c>
      <c r="G23196">
        <v>84317147</v>
      </c>
      <c r="H23196">
        <v>84316830</v>
      </c>
      <c r="I23196">
        <v>84316865</v>
      </c>
    </row>
    <row r="23197" spans="1:9" x14ac:dyDescent="0.2">
      <c r="A23197" t="str">
        <f>"Zfp414"</f>
        <v>Zfp414</v>
      </c>
      <c r="B23197" t="s">
        <v>14</v>
      </c>
      <c r="C23197" t="s">
        <v>28</v>
      </c>
      <c r="D23197" t="s">
        <v>17</v>
      </c>
      <c r="E23197" t="s">
        <v>12</v>
      </c>
      <c r="F23197">
        <v>33629078</v>
      </c>
      <c r="G23197">
        <v>33629114</v>
      </c>
      <c r="H23197">
        <v>33629408</v>
      </c>
      <c r="I23197">
        <v>33629448</v>
      </c>
    </row>
    <row r="23198" spans="1:9" x14ac:dyDescent="0.2">
      <c r="A23198" t="str">
        <f>"Zfp418"</f>
        <v>Zfp418</v>
      </c>
      <c r="B23198" t="s">
        <v>14</v>
      </c>
      <c r="C23198" t="s">
        <v>33</v>
      </c>
      <c r="D23198" t="s">
        <v>17</v>
      </c>
      <c r="E23198" t="s">
        <v>12</v>
      </c>
      <c r="F23198">
        <v>7171346</v>
      </c>
      <c r="G23198">
        <v>7171373</v>
      </c>
      <c r="H23198">
        <v>7171324</v>
      </c>
      <c r="I23198">
        <v>7171335</v>
      </c>
    </row>
    <row r="23199" spans="1:9" x14ac:dyDescent="0.2">
      <c r="A23199" t="str">
        <f>"Zfp42"</f>
        <v>Zfp42</v>
      </c>
      <c r="B23199" t="s">
        <v>14</v>
      </c>
      <c r="C23199" t="s">
        <v>30</v>
      </c>
      <c r="D23199" t="s">
        <v>11</v>
      </c>
      <c r="E23199" t="s">
        <v>12</v>
      </c>
      <c r="F23199">
        <v>43306991</v>
      </c>
      <c r="G23199">
        <v>43307009</v>
      </c>
      <c r="H23199">
        <v>43307020</v>
      </c>
      <c r="I23199">
        <v>43307035</v>
      </c>
    </row>
    <row r="23200" spans="1:9" x14ac:dyDescent="0.2">
      <c r="A23200" t="str">
        <f>"Zfp420"</f>
        <v>Zfp420</v>
      </c>
      <c r="B23200" t="s">
        <v>14</v>
      </c>
      <c r="C23200" t="s">
        <v>33</v>
      </c>
      <c r="D23200" t="s">
        <v>17</v>
      </c>
      <c r="E23200" t="s">
        <v>12</v>
      </c>
      <c r="F23200">
        <v>29859966</v>
      </c>
      <c r="G23200">
        <v>29860053</v>
      </c>
      <c r="H23200">
        <v>29859966</v>
      </c>
      <c r="I23200">
        <v>29860053</v>
      </c>
    </row>
    <row r="23201" spans="1:9" x14ac:dyDescent="0.2">
      <c r="A23201" t="str">
        <f>"Zfp422"</f>
        <v>Zfp422</v>
      </c>
      <c r="B23201" t="s">
        <v>14</v>
      </c>
      <c r="C23201" t="s">
        <v>32</v>
      </c>
      <c r="D23201" t="s">
        <v>11</v>
      </c>
      <c r="E23201" t="s">
        <v>12</v>
      </c>
      <c r="F23201">
        <v>116628955</v>
      </c>
      <c r="G23201">
        <v>116629004</v>
      </c>
      <c r="H23201">
        <v>116628921</v>
      </c>
      <c r="I23201">
        <v>116628934</v>
      </c>
    </row>
    <row r="23202" spans="1:9" x14ac:dyDescent="0.2">
      <c r="A23202" t="str">
        <f>"Zfp423"</f>
        <v>Zfp423</v>
      </c>
      <c r="B23202" t="s">
        <v>14</v>
      </c>
      <c r="C23202" t="s">
        <v>30</v>
      </c>
      <c r="D23202" t="s">
        <v>11</v>
      </c>
      <c r="E23202" t="s">
        <v>12</v>
      </c>
      <c r="F23202">
        <v>87959560</v>
      </c>
      <c r="G23202">
        <v>87959576</v>
      </c>
      <c r="H23202">
        <v>87959534</v>
      </c>
      <c r="I23202">
        <v>87959558</v>
      </c>
    </row>
    <row r="23203" spans="1:9" x14ac:dyDescent="0.2">
      <c r="A23203" t="str">
        <f>"Zfp426"</f>
        <v>Zfp426</v>
      </c>
      <c r="B23203" t="s">
        <v>14</v>
      </c>
      <c r="C23203" t="s">
        <v>24</v>
      </c>
      <c r="D23203" t="s">
        <v>11</v>
      </c>
      <c r="E23203" t="s">
        <v>12</v>
      </c>
      <c r="F23203">
        <v>20492723</v>
      </c>
      <c r="G23203">
        <v>20492765</v>
      </c>
      <c r="H23203">
        <v>20492691</v>
      </c>
      <c r="I23203">
        <v>20492710</v>
      </c>
    </row>
    <row r="23204" spans="1:9" x14ac:dyDescent="0.2">
      <c r="A23204" t="str">
        <f>"Zfp428"</f>
        <v>Zfp428</v>
      </c>
      <c r="B23204" t="s">
        <v>14</v>
      </c>
      <c r="C23204" t="s">
        <v>33</v>
      </c>
      <c r="D23204" t="s">
        <v>17</v>
      </c>
      <c r="E23204" t="s">
        <v>12</v>
      </c>
      <c r="F23204">
        <v>24507312</v>
      </c>
      <c r="G23204">
        <v>24507402</v>
      </c>
      <c r="H23204">
        <v>24507122</v>
      </c>
      <c r="I23204">
        <v>24507139</v>
      </c>
    </row>
    <row r="23205" spans="1:9" x14ac:dyDescent="0.2">
      <c r="A23205" t="str">
        <f>"Zfp429"</f>
        <v>Zfp429</v>
      </c>
      <c r="B23205" t="s">
        <v>14</v>
      </c>
      <c r="C23205" t="s">
        <v>39</v>
      </c>
      <c r="D23205" t="s">
        <v>11</v>
      </c>
      <c r="E23205" t="s">
        <v>12</v>
      </c>
      <c r="F23205">
        <v>67399766</v>
      </c>
      <c r="G23205">
        <v>67399792</v>
      </c>
      <c r="H23205">
        <v>67399738</v>
      </c>
      <c r="I23205">
        <v>67399764</v>
      </c>
    </row>
    <row r="23206" spans="1:9" x14ac:dyDescent="0.2">
      <c r="A23206" t="str">
        <f>"Zfp433"</f>
        <v>Zfp433</v>
      </c>
      <c r="B23206" t="s">
        <v>6347</v>
      </c>
      <c r="C23206" t="s">
        <v>15</v>
      </c>
      <c r="D23206" t="s">
        <v>17</v>
      </c>
      <c r="E23206" t="s">
        <v>20</v>
      </c>
      <c r="F23206">
        <v>81718918</v>
      </c>
      <c r="G23206">
        <v>81718918</v>
      </c>
      <c r="H23206">
        <v>81718918</v>
      </c>
      <c r="I23206">
        <v>81718918</v>
      </c>
    </row>
    <row r="23207" spans="1:9" x14ac:dyDescent="0.2">
      <c r="A23207" t="str">
        <f>"Zfp438"</f>
        <v>Zfp438</v>
      </c>
      <c r="B23207" t="s">
        <v>14</v>
      </c>
      <c r="C23207" t="s">
        <v>43</v>
      </c>
      <c r="D23207" t="s">
        <v>11</v>
      </c>
      <c r="E23207" t="s">
        <v>12</v>
      </c>
      <c r="F23207">
        <v>5334364</v>
      </c>
      <c r="G23207">
        <v>5334410</v>
      </c>
      <c r="H23207">
        <v>5334767</v>
      </c>
      <c r="I23207">
        <v>5334835</v>
      </c>
    </row>
    <row r="23208" spans="1:9" x14ac:dyDescent="0.2">
      <c r="A23208" t="str">
        <f>"Zfp442"</f>
        <v>Zfp442</v>
      </c>
      <c r="B23208" t="s">
        <v>14</v>
      </c>
      <c r="C23208" t="s">
        <v>26</v>
      </c>
      <c r="D23208" t="s">
        <v>11</v>
      </c>
      <c r="E23208" t="s">
        <v>12</v>
      </c>
      <c r="F23208">
        <v>150451514</v>
      </c>
      <c r="G23208">
        <v>150451534</v>
      </c>
      <c r="H23208">
        <v>150451514</v>
      </c>
      <c r="I23208">
        <v>150451534</v>
      </c>
    </row>
    <row r="23209" spans="1:9" x14ac:dyDescent="0.2">
      <c r="A23209" t="str">
        <f>"Zfp444"</f>
        <v>Zfp444</v>
      </c>
      <c r="B23209" t="s">
        <v>14</v>
      </c>
      <c r="C23209" t="s">
        <v>33</v>
      </c>
      <c r="D23209" t="s">
        <v>17</v>
      </c>
      <c r="E23209" t="s">
        <v>12</v>
      </c>
      <c r="F23209">
        <v>6172496</v>
      </c>
      <c r="G23209">
        <v>6172531</v>
      </c>
      <c r="H23209">
        <v>6172533</v>
      </c>
      <c r="I23209">
        <v>6172556</v>
      </c>
    </row>
    <row r="23210" spans="1:9" x14ac:dyDescent="0.2">
      <c r="A23210" t="str">
        <f>"Zfp445"</f>
        <v>Zfp445</v>
      </c>
      <c r="B23210" t="s">
        <v>14</v>
      </c>
      <c r="C23210" t="s">
        <v>24</v>
      </c>
      <c r="D23210" t="s">
        <v>11</v>
      </c>
      <c r="E23210" t="s">
        <v>12</v>
      </c>
      <c r="F23210">
        <v>122865938</v>
      </c>
      <c r="G23210">
        <v>122865999</v>
      </c>
      <c r="H23210">
        <v>122865915</v>
      </c>
      <c r="I23210">
        <v>122865926</v>
      </c>
    </row>
    <row r="23211" spans="1:9" x14ac:dyDescent="0.2">
      <c r="A23211" t="str">
        <f>"Zfp446"</f>
        <v>Zfp446</v>
      </c>
      <c r="B23211" t="s">
        <v>14</v>
      </c>
      <c r="C23211" t="s">
        <v>33</v>
      </c>
      <c r="D23211" t="s">
        <v>17</v>
      </c>
      <c r="E23211" t="s">
        <v>12</v>
      </c>
      <c r="F23211">
        <v>12977834</v>
      </c>
      <c r="G23211">
        <v>12977900</v>
      </c>
      <c r="H23211">
        <v>12978213</v>
      </c>
      <c r="I23211">
        <v>12978231</v>
      </c>
    </row>
    <row r="23212" spans="1:9" x14ac:dyDescent="0.2">
      <c r="A23212" t="str">
        <f>"Zfp449"</f>
        <v>Zfp449</v>
      </c>
      <c r="B23212" t="s">
        <v>14</v>
      </c>
      <c r="C23212" t="s">
        <v>37</v>
      </c>
      <c r="D23212" t="s">
        <v>17</v>
      </c>
      <c r="E23212" t="s">
        <v>12</v>
      </c>
      <c r="F23212">
        <v>56346390</v>
      </c>
      <c r="G23212">
        <v>56346415</v>
      </c>
      <c r="H23212">
        <v>56346390</v>
      </c>
      <c r="I23212">
        <v>56346415</v>
      </c>
    </row>
    <row r="23213" spans="1:9" x14ac:dyDescent="0.2">
      <c r="A23213" t="str">
        <f>"Zfp451"</f>
        <v>Zfp451</v>
      </c>
      <c r="B23213" t="s">
        <v>14</v>
      </c>
      <c r="C23213" t="s">
        <v>19</v>
      </c>
      <c r="D23213" t="s">
        <v>11</v>
      </c>
      <c r="E23213" t="s">
        <v>12</v>
      </c>
      <c r="F23213">
        <v>33814516</v>
      </c>
      <c r="G23213">
        <v>33814573</v>
      </c>
      <c r="H23213">
        <v>33814407</v>
      </c>
      <c r="I23213">
        <v>33814468</v>
      </c>
    </row>
    <row r="23214" spans="1:9" x14ac:dyDescent="0.2">
      <c r="A23214" t="str">
        <f>"Zfp454"</f>
        <v>Zfp454</v>
      </c>
      <c r="B23214" t="s">
        <v>14</v>
      </c>
      <c r="C23214" t="s">
        <v>27</v>
      </c>
      <c r="D23214" t="s">
        <v>11</v>
      </c>
      <c r="E23214" t="s">
        <v>12</v>
      </c>
      <c r="F23214">
        <v>50887463</v>
      </c>
      <c r="G23214">
        <v>50887525</v>
      </c>
      <c r="H23214">
        <v>50887614</v>
      </c>
      <c r="I23214">
        <v>50887632</v>
      </c>
    </row>
    <row r="23215" spans="1:9" x14ac:dyDescent="0.2">
      <c r="A23215" t="str">
        <f>"Zfp455"</f>
        <v>Zfp455</v>
      </c>
      <c r="B23215" t="s">
        <v>14</v>
      </c>
      <c r="C23215" t="s">
        <v>39</v>
      </c>
      <c r="D23215" t="s">
        <v>17</v>
      </c>
      <c r="E23215" t="s">
        <v>12</v>
      </c>
      <c r="F23215">
        <v>67194496</v>
      </c>
      <c r="G23215">
        <v>67194517</v>
      </c>
      <c r="H23215">
        <v>67194454</v>
      </c>
      <c r="I23215">
        <v>67194476</v>
      </c>
    </row>
    <row r="23216" spans="1:9" x14ac:dyDescent="0.2">
      <c r="A23216" t="str">
        <f>"Zfp456"</f>
        <v>Zfp456</v>
      </c>
      <c r="B23216" t="s">
        <v>14</v>
      </c>
      <c r="C23216" t="s">
        <v>39</v>
      </c>
      <c r="D23216" t="s">
        <v>11</v>
      </c>
      <c r="E23216" t="s">
        <v>12</v>
      </c>
      <c r="F23216">
        <v>67375762</v>
      </c>
      <c r="G23216">
        <v>67375803</v>
      </c>
      <c r="H23216">
        <v>67375729</v>
      </c>
      <c r="I23216">
        <v>67375757</v>
      </c>
    </row>
    <row r="23217" spans="1:9" x14ac:dyDescent="0.2">
      <c r="A23217" t="str">
        <f>"Zfp457"</f>
        <v>Zfp457</v>
      </c>
      <c r="B23217" t="s">
        <v>14</v>
      </c>
      <c r="C23217" t="s">
        <v>39</v>
      </c>
      <c r="D23217" t="s">
        <v>11</v>
      </c>
      <c r="E23217" t="s">
        <v>12</v>
      </c>
      <c r="F23217">
        <v>67306452</v>
      </c>
      <c r="G23217">
        <v>67306480</v>
      </c>
      <c r="H23217">
        <v>67306412</v>
      </c>
      <c r="I23217">
        <v>67306426</v>
      </c>
    </row>
    <row r="23218" spans="1:9" x14ac:dyDescent="0.2">
      <c r="A23218" t="str">
        <f>"Zfp458"</f>
        <v>Zfp458</v>
      </c>
      <c r="B23218" t="s">
        <v>14</v>
      </c>
      <c r="C23218" t="s">
        <v>39</v>
      </c>
      <c r="D23218" t="s">
        <v>11</v>
      </c>
      <c r="E23218" t="s">
        <v>12</v>
      </c>
      <c r="F23218">
        <v>67269093</v>
      </c>
      <c r="G23218">
        <v>67269131</v>
      </c>
      <c r="H23218">
        <v>67269135</v>
      </c>
      <c r="I23218">
        <v>67269141</v>
      </c>
    </row>
    <row r="23219" spans="1:9" x14ac:dyDescent="0.2">
      <c r="A23219" t="str">
        <f>"Zfp459"</f>
        <v>Zfp459</v>
      </c>
      <c r="B23219" t="s">
        <v>14</v>
      </c>
      <c r="C23219" t="s">
        <v>39</v>
      </c>
      <c r="D23219" t="s">
        <v>11</v>
      </c>
      <c r="E23219" t="s">
        <v>12</v>
      </c>
      <c r="F23219">
        <v>67421402</v>
      </c>
      <c r="G23219">
        <v>67421454</v>
      </c>
      <c r="H23219">
        <v>67421389</v>
      </c>
      <c r="I23219">
        <v>67421392</v>
      </c>
    </row>
    <row r="23220" spans="1:9" x14ac:dyDescent="0.2">
      <c r="A23220" t="str">
        <f>"Zfp46"</f>
        <v>Zfp46</v>
      </c>
      <c r="B23220" t="s">
        <v>9</v>
      </c>
      <c r="C23220" t="s">
        <v>23</v>
      </c>
      <c r="D23220" t="s">
        <v>17</v>
      </c>
      <c r="E23220" t="s">
        <v>12</v>
      </c>
      <c r="F23220">
        <v>136284658</v>
      </c>
      <c r="G23220">
        <v>136284686</v>
      </c>
      <c r="H23220">
        <v>136284658</v>
      </c>
      <c r="I23220">
        <v>136284686</v>
      </c>
    </row>
    <row r="23221" spans="1:9" x14ac:dyDescent="0.2">
      <c r="A23221" t="str">
        <f>"Zfp46"</f>
        <v>Zfp46</v>
      </c>
      <c r="B23221" t="s">
        <v>13</v>
      </c>
      <c r="C23221" t="s">
        <v>23</v>
      </c>
      <c r="D23221" t="s">
        <v>17</v>
      </c>
      <c r="E23221" t="s">
        <v>12</v>
      </c>
      <c r="F23221">
        <v>136286061</v>
      </c>
      <c r="G23221">
        <v>136286114</v>
      </c>
      <c r="H23221">
        <v>136286061</v>
      </c>
      <c r="I23221">
        <v>136286114</v>
      </c>
    </row>
    <row r="23222" spans="1:9" x14ac:dyDescent="0.2">
      <c r="A23222" t="str">
        <f>"Zfp462"</f>
        <v>Zfp462</v>
      </c>
      <c r="B23222" t="s">
        <v>9</v>
      </c>
      <c r="C23222" t="s">
        <v>23</v>
      </c>
      <c r="D23222" t="s">
        <v>17</v>
      </c>
      <c r="E23222" t="s">
        <v>12</v>
      </c>
      <c r="F23222">
        <v>54947998</v>
      </c>
      <c r="G23222">
        <v>54948054</v>
      </c>
      <c r="H23222">
        <v>54947998</v>
      </c>
      <c r="I23222">
        <v>54948054</v>
      </c>
    </row>
    <row r="23223" spans="1:9" x14ac:dyDescent="0.2">
      <c r="A23223" t="str">
        <f>"Zfp462"</f>
        <v>Zfp462</v>
      </c>
      <c r="B23223" t="s">
        <v>13</v>
      </c>
      <c r="C23223" t="s">
        <v>23</v>
      </c>
      <c r="D23223" t="s">
        <v>17</v>
      </c>
      <c r="E23223" t="s">
        <v>12</v>
      </c>
      <c r="F23223">
        <v>54945038</v>
      </c>
      <c r="G23223">
        <v>54945082</v>
      </c>
      <c r="H23223">
        <v>54945038</v>
      </c>
      <c r="I23223">
        <v>54945082</v>
      </c>
    </row>
    <row r="23224" spans="1:9" x14ac:dyDescent="0.2">
      <c r="A23224" t="str">
        <f>"Zfp467"</f>
        <v>Zfp467</v>
      </c>
      <c r="B23224" t="s">
        <v>14</v>
      </c>
      <c r="C23224" t="s">
        <v>32</v>
      </c>
      <c r="D23224" t="s">
        <v>11</v>
      </c>
      <c r="E23224" t="s">
        <v>12</v>
      </c>
      <c r="F23224">
        <v>48445744</v>
      </c>
      <c r="G23224">
        <v>48445821</v>
      </c>
      <c r="H23224">
        <v>48445427</v>
      </c>
      <c r="I23224">
        <v>48445505</v>
      </c>
    </row>
    <row r="23225" spans="1:9" x14ac:dyDescent="0.2">
      <c r="A23225" t="str">
        <f>"Zfp472"</f>
        <v>Zfp472</v>
      </c>
      <c r="B23225" t="s">
        <v>14</v>
      </c>
      <c r="C23225" t="s">
        <v>28</v>
      </c>
      <c r="D23225" t="s">
        <v>17</v>
      </c>
      <c r="E23225" t="s">
        <v>12</v>
      </c>
      <c r="F23225">
        <v>32965797</v>
      </c>
      <c r="G23225">
        <v>32965826</v>
      </c>
      <c r="H23225">
        <v>32965830</v>
      </c>
      <c r="I23225">
        <v>32965852</v>
      </c>
    </row>
    <row r="23226" spans="1:9" x14ac:dyDescent="0.2">
      <c r="A23226" t="str">
        <f>"Zfp473"</f>
        <v>Zfp473</v>
      </c>
      <c r="B23226" t="s">
        <v>14</v>
      </c>
      <c r="C23226" t="s">
        <v>33</v>
      </c>
      <c r="D23226" t="s">
        <v>11</v>
      </c>
      <c r="E23226" t="s">
        <v>12</v>
      </c>
      <c r="F23226">
        <v>44748764</v>
      </c>
      <c r="G23226">
        <v>44748775</v>
      </c>
      <c r="H23226">
        <v>44748285</v>
      </c>
      <c r="I23226">
        <v>44748310</v>
      </c>
    </row>
    <row r="23227" spans="1:9" x14ac:dyDescent="0.2">
      <c r="A23227" t="str">
        <f>"Zfp474"</f>
        <v>Zfp474</v>
      </c>
      <c r="B23227" t="s">
        <v>14</v>
      </c>
      <c r="C23227" t="s">
        <v>43</v>
      </c>
      <c r="D23227" t="s">
        <v>17</v>
      </c>
      <c r="E23227" t="s">
        <v>12</v>
      </c>
      <c r="F23227">
        <v>52615908</v>
      </c>
      <c r="G23227">
        <v>52615996</v>
      </c>
      <c r="H23227">
        <v>52616025</v>
      </c>
      <c r="I23227">
        <v>52616032</v>
      </c>
    </row>
    <row r="23228" spans="1:9" x14ac:dyDescent="0.2">
      <c r="A23228" t="str">
        <f>"Zfp488"</f>
        <v>Zfp488</v>
      </c>
      <c r="B23228" t="s">
        <v>14</v>
      </c>
      <c r="C23228" t="s">
        <v>41</v>
      </c>
      <c r="D23228" t="s">
        <v>11</v>
      </c>
      <c r="E23228" t="s">
        <v>12</v>
      </c>
      <c r="F23228">
        <v>33978751</v>
      </c>
      <c r="G23228">
        <v>33978791</v>
      </c>
      <c r="H23228">
        <v>33978801</v>
      </c>
      <c r="I23228">
        <v>33978812</v>
      </c>
    </row>
    <row r="23229" spans="1:9" x14ac:dyDescent="0.2">
      <c r="A23229" t="str">
        <f>"Zfp493"</f>
        <v>Zfp493</v>
      </c>
      <c r="B23229" t="s">
        <v>14</v>
      </c>
      <c r="C23229" t="s">
        <v>39</v>
      </c>
      <c r="D23229" t="s">
        <v>17</v>
      </c>
      <c r="E23229" t="s">
        <v>12</v>
      </c>
      <c r="F23229">
        <v>67779709</v>
      </c>
      <c r="G23229">
        <v>67779731</v>
      </c>
      <c r="H23229">
        <v>67779689</v>
      </c>
      <c r="I23229">
        <v>67779700</v>
      </c>
    </row>
    <row r="23230" spans="1:9" x14ac:dyDescent="0.2">
      <c r="A23230" t="str">
        <f>"Zfp503"</f>
        <v>Zfp503</v>
      </c>
      <c r="B23230" t="s">
        <v>14</v>
      </c>
      <c r="C23230" t="s">
        <v>41</v>
      </c>
      <c r="D23230" t="s">
        <v>11</v>
      </c>
      <c r="E23230" t="s">
        <v>12</v>
      </c>
      <c r="F23230">
        <v>21987861</v>
      </c>
      <c r="G23230">
        <v>21987882</v>
      </c>
      <c r="H23230">
        <v>21987885</v>
      </c>
      <c r="I23230">
        <v>21987897</v>
      </c>
    </row>
    <row r="23231" spans="1:9" x14ac:dyDescent="0.2">
      <c r="A23231" t="str">
        <f>"Zfp507"</f>
        <v>Zfp507</v>
      </c>
      <c r="B23231" t="s">
        <v>14</v>
      </c>
      <c r="C23231" t="s">
        <v>33</v>
      </c>
      <c r="D23231" t="s">
        <v>11</v>
      </c>
      <c r="E23231" t="s">
        <v>12</v>
      </c>
      <c r="F23231">
        <v>35802968</v>
      </c>
      <c r="G23231">
        <v>35803007</v>
      </c>
      <c r="H23231">
        <v>35802968</v>
      </c>
      <c r="I23231">
        <v>35803007</v>
      </c>
    </row>
    <row r="23232" spans="1:9" x14ac:dyDescent="0.2">
      <c r="A23232" t="str">
        <f>"Zfp51"</f>
        <v>Zfp51</v>
      </c>
      <c r="B23232" t="s">
        <v>14</v>
      </c>
      <c r="C23232" t="s">
        <v>28</v>
      </c>
      <c r="D23232" t="s">
        <v>17</v>
      </c>
      <c r="E23232" t="s">
        <v>12</v>
      </c>
      <c r="F23232">
        <v>21450361</v>
      </c>
      <c r="G23232">
        <v>21450397</v>
      </c>
      <c r="H23232">
        <v>21450361</v>
      </c>
      <c r="I23232">
        <v>21450397</v>
      </c>
    </row>
    <row r="23233" spans="1:9" x14ac:dyDescent="0.2">
      <c r="A23233" t="str">
        <f>"Zfp511"</f>
        <v>Zfp511</v>
      </c>
      <c r="B23233" t="s">
        <v>14</v>
      </c>
      <c r="C23233" t="s">
        <v>33</v>
      </c>
      <c r="D23233" t="s">
        <v>17</v>
      </c>
      <c r="E23233" t="s">
        <v>12</v>
      </c>
      <c r="F23233">
        <v>140036385</v>
      </c>
      <c r="G23233">
        <v>140036452</v>
      </c>
      <c r="H23233">
        <v>140036788</v>
      </c>
      <c r="I23233">
        <v>140036818</v>
      </c>
    </row>
    <row r="23234" spans="1:9" x14ac:dyDescent="0.2">
      <c r="A23234" t="str">
        <f>"Zfp512"</f>
        <v>Zfp512</v>
      </c>
      <c r="B23234" t="s">
        <v>14</v>
      </c>
      <c r="C23234" t="s">
        <v>46</v>
      </c>
      <c r="D23234" t="s">
        <v>17</v>
      </c>
      <c r="E23234" t="s">
        <v>12</v>
      </c>
      <c r="F23234">
        <v>31452458</v>
      </c>
      <c r="G23234">
        <v>31452503</v>
      </c>
      <c r="H23234">
        <v>31452427</v>
      </c>
      <c r="I23234">
        <v>31452452</v>
      </c>
    </row>
    <row r="23235" spans="1:9" x14ac:dyDescent="0.2">
      <c r="A23235" t="str">
        <f>"Zfp513"</f>
        <v>Zfp513</v>
      </c>
      <c r="B23235" t="s">
        <v>14</v>
      </c>
      <c r="C23235" t="s">
        <v>46</v>
      </c>
      <c r="D23235" t="s">
        <v>11</v>
      </c>
      <c r="E23235" t="s">
        <v>12</v>
      </c>
      <c r="F23235">
        <v>31202230</v>
      </c>
      <c r="G23235">
        <v>31202329</v>
      </c>
      <c r="H23235">
        <v>31201932</v>
      </c>
      <c r="I23235">
        <v>31201946</v>
      </c>
    </row>
    <row r="23236" spans="1:9" x14ac:dyDescent="0.2">
      <c r="A23236" t="str">
        <f>"Zfp516"</f>
        <v>Zfp516</v>
      </c>
      <c r="B23236" t="s">
        <v>9</v>
      </c>
      <c r="C23236" t="s">
        <v>43</v>
      </c>
      <c r="D23236" t="s">
        <v>17</v>
      </c>
      <c r="E23236" t="s">
        <v>12</v>
      </c>
      <c r="F23236">
        <v>82914638</v>
      </c>
      <c r="G23236">
        <v>82914664</v>
      </c>
      <c r="H23236">
        <v>82914638</v>
      </c>
      <c r="I23236">
        <v>82914664</v>
      </c>
    </row>
    <row r="23237" spans="1:9" x14ac:dyDescent="0.2">
      <c r="A23237" t="str">
        <f>"Zfp516"</f>
        <v>Zfp516</v>
      </c>
      <c r="B23237" t="s">
        <v>13</v>
      </c>
      <c r="C23237" t="s">
        <v>43</v>
      </c>
      <c r="D23237" t="s">
        <v>17</v>
      </c>
      <c r="E23237" t="s">
        <v>12</v>
      </c>
      <c r="F23237">
        <v>82910913</v>
      </c>
      <c r="G23237">
        <v>82910943</v>
      </c>
      <c r="H23237">
        <v>82910913</v>
      </c>
      <c r="I23237">
        <v>82910943</v>
      </c>
    </row>
    <row r="23238" spans="1:9" x14ac:dyDescent="0.2">
      <c r="A23238" t="str">
        <f>"Zfp518a"</f>
        <v>Zfp518a</v>
      </c>
      <c r="B23238" t="s">
        <v>14</v>
      </c>
      <c r="C23238" t="s">
        <v>10</v>
      </c>
      <c r="D23238" t="s">
        <v>17</v>
      </c>
      <c r="E23238" t="s">
        <v>12</v>
      </c>
      <c r="F23238">
        <v>40894692</v>
      </c>
      <c r="G23238">
        <v>40894736</v>
      </c>
      <c r="H23238">
        <v>40894671</v>
      </c>
      <c r="I23238">
        <v>40894680</v>
      </c>
    </row>
    <row r="23239" spans="1:9" x14ac:dyDescent="0.2">
      <c r="A23239" t="str">
        <f>"Zfp518b"</f>
        <v>Zfp518b</v>
      </c>
      <c r="B23239" t="s">
        <v>14</v>
      </c>
      <c r="C23239" t="s">
        <v>46</v>
      </c>
      <c r="D23239" t="s">
        <v>11</v>
      </c>
      <c r="E23239" t="s">
        <v>12</v>
      </c>
      <c r="F23239">
        <v>38684743</v>
      </c>
      <c r="G23239">
        <v>38684813</v>
      </c>
      <c r="H23239">
        <v>38684743</v>
      </c>
      <c r="I23239">
        <v>38684813</v>
      </c>
    </row>
    <row r="23240" spans="1:9" x14ac:dyDescent="0.2">
      <c r="A23240" t="str">
        <f>"Zfp52"</f>
        <v>Zfp52</v>
      </c>
      <c r="B23240" t="s">
        <v>14</v>
      </c>
      <c r="C23240" t="s">
        <v>28</v>
      </c>
      <c r="D23240" t="s">
        <v>17</v>
      </c>
      <c r="E23240" t="s">
        <v>12</v>
      </c>
      <c r="F23240">
        <v>21535593</v>
      </c>
      <c r="G23240">
        <v>21535628</v>
      </c>
      <c r="H23240">
        <v>21535634</v>
      </c>
      <c r="I23240">
        <v>21535661</v>
      </c>
    </row>
    <row r="23241" spans="1:9" x14ac:dyDescent="0.2">
      <c r="A23241" t="str">
        <f>"Zfp521"</f>
        <v>Zfp521</v>
      </c>
      <c r="B23241" t="s">
        <v>14</v>
      </c>
      <c r="C23241" t="s">
        <v>43</v>
      </c>
      <c r="D23241" t="s">
        <v>11</v>
      </c>
      <c r="E23241" t="s">
        <v>12</v>
      </c>
      <c r="F23241">
        <v>13972617</v>
      </c>
      <c r="G23241">
        <v>13972702</v>
      </c>
      <c r="H23241">
        <v>13972617</v>
      </c>
      <c r="I23241">
        <v>13972702</v>
      </c>
    </row>
    <row r="23242" spans="1:9" x14ac:dyDescent="0.2">
      <c r="A23242" t="str">
        <f>"Zfp523"</f>
        <v>Zfp523</v>
      </c>
      <c r="B23242" t="s">
        <v>14</v>
      </c>
      <c r="C23242" t="s">
        <v>28</v>
      </c>
      <c r="D23242" t="s">
        <v>17</v>
      </c>
      <c r="E23242" t="s">
        <v>12</v>
      </c>
      <c r="F23242">
        <v>28177130</v>
      </c>
      <c r="G23242">
        <v>28177214</v>
      </c>
      <c r="H23242">
        <v>28177396</v>
      </c>
      <c r="I23242">
        <v>28177449</v>
      </c>
    </row>
    <row r="23243" spans="1:9" x14ac:dyDescent="0.2">
      <c r="A23243" t="str">
        <f>"Zfp524"</f>
        <v>Zfp524</v>
      </c>
      <c r="B23243" t="s">
        <v>14</v>
      </c>
      <c r="C23243" t="s">
        <v>33</v>
      </c>
      <c r="D23243" t="s">
        <v>17</v>
      </c>
      <c r="E23243" t="s">
        <v>12</v>
      </c>
      <c r="F23243">
        <v>5015466</v>
      </c>
      <c r="G23243">
        <v>5015509</v>
      </c>
      <c r="H23243">
        <v>5015522</v>
      </c>
      <c r="I23243">
        <v>5015535</v>
      </c>
    </row>
    <row r="23244" spans="1:9" x14ac:dyDescent="0.2">
      <c r="A23244" t="str">
        <f>"Zfp526"</f>
        <v>Zfp526</v>
      </c>
      <c r="B23244" t="s">
        <v>14</v>
      </c>
      <c r="C23244" t="s">
        <v>33</v>
      </c>
      <c r="D23244" t="s">
        <v>17</v>
      </c>
      <c r="E23244" t="s">
        <v>12</v>
      </c>
      <c r="F23244">
        <v>25221417</v>
      </c>
      <c r="G23244">
        <v>25221469</v>
      </c>
      <c r="H23244">
        <v>25221417</v>
      </c>
      <c r="I23244">
        <v>25221469</v>
      </c>
    </row>
    <row r="23245" spans="1:9" x14ac:dyDescent="0.2">
      <c r="A23245" t="str">
        <f>"Zfp53"</f>
        <v>Zfp53</v>
      </c>
      <c r="B23245" t="s">
        <v>14</v>
      </c>
      <c r="C23245" t="s">
        <v>28</v>
      </c>
      <c r="D23245" t="s">
        <v>17</v>
      </c>
      <c r="E23245" t="s">
        <v>12</v>
      </c>
      <c r="F23245">
        <v>21488982</v>
      </c>
      <c r="G23245">
        <v>21489060</v>
      </c>
      <c r="H23245">
        <v>21489091</v>
      </c>
      <c r="I23245">
        <v>21489117</v>
      </c>
    </row>
    <row r="23246" spans="1:9" x14ac:dyDescent="0.2">
      <c r="A23246" t="str">
        <f>"Zfp532"</f>
        <v>Zfp532</v>
      </c>
      <c r="B23246" t="s">
        <v>14</v>
      </c>
      <c r="C23246" t="s">
        <v>43</v>
      </c>
      <c r="D23246" t="s">
        <v>17</v>
      </c>
      <c r="E23246" t="s">
        <v>12</v>
      </c>
      <c r="F23246">
        <v>65581704</v>
      </c>
      <c r="G23246">
        <v>65581761</v>
      </c>
      <c r="H23246">
        <v>65581704</v>
      </c>
      <c r="I23246">
        <v>65581761</v>
      </c>
    </row>
    <row r="23247" spans="1:9" x14ac:dyDescent="0.2">
      <c r="A23247" t="str">
        <f>"Zfp534"</f>
        <v>Zfp534</v>
      </c>
      <c r="B23247" t="s">
        <v>6348</v>
      </c>
      <c r="C23247" t="s">
        <v>23</v>
      </c>
      <c r="D23247" t="s">
        <v>11</v>
      </c>
      <c r="E23247" t="s">
        <v>20</v>
      </c>
      <c r="F23247">
        <v>147702552</v>
      </c>
      <c r="G23247">
        <v>147702552</v>
      </c>
      <c r="H23247">
        <v>147702552</v>
      </c>
      <c r="I23247">
        <v>147702552</v>
      </c>
    </row>
    <row r="23248" spans="1:9" x14ac:dyDescent="0.2">
      <c r="A23248" t="str">
        <f>"Zfp536"</f>
        <v>Zfp536</v>
      </c>
      <c r="B23248" t="s">
        <v>9</v>
      </c>
      <c r="C23248" t="s">
        <v>33</v>
      </c>
      <c r="D23248" t="s">
        <v>11</v>
      </c>
      <c r="E23248" t="s">
        <v>12</v>
      </c>
      <c r="F23248">
        <v>37769744</v>
      </c>
      <c r="G23248">
        <v>37769761</v>
      </c>
      <c r="H23248">
        <v>37769744</v>
      </c>
      <c r="I23248">
        <v>37769761</v>
      </c>
    </row>
    <row r="23249" spans="1:9" x14ac:dyDescent="0.2">
      <c r="A23249" t="str">
        <f>"Zfp536"</f>
        <v>Zfp536</v>
      </c>
      <c r="B23249" t="s">
        <v>13</v>
      </c>
      <c r="C23249" t="s">
        <v>33</v>
      </c>
      <c r="D23249" t="s">
        <v>11</v>
      </c>
      <c r="E23249" t="s">
        <v>12</v>
      </c>
      <c r="F23249">
        <v>37773555</v>
      </c>
      <c r="G23249">
        <v>37773592</v>
      </c>
      <c r="H23249">
        <v>37773555</v>
      </c>
      <c r="I23249">
        <v>37773592</v>
      </c>
    </row>
    <row r="23250" spans="1:9" x14ac:dyDescent="0.2">
      <c r="A23250" t="str">
        <f>"Zfp54"</f>
        <v>Zfp54</v>
      </c>
      <c r="B23250" t="s">
        <v>14</v>
      </c>
      <c r="C23250" t="s">
        <v>28</v>
      </c>
      <c r="D23250" t="s">
        <v>17</v>
      </c>
      <c r="E23250" t="s">
        <v>12</v>
      </c>
      <c r="F23250">
        <v>21423234</v>
      </c>
      <c r="G23250">
        <v>21423259</v>
      </c>
      <c r="H23250">
        <v>21423234</v>
      </c>
      <c r="I23250">
        <v>21423259</v>
      </c>
    </row>
    <row r="23251" spans="1:9" x14ac:dyDescent="0.2">
      <c r="A23251" t="str">
        <f>"Zfp541"</f>
        <v>Zfp541</v>
      </c>
      <c r="B23251" t="s">
        <v>6349</v>
      </c>
      <c r="C23251" t="s">
        <v>33</v>
      </c>
      <c r="D23251" t="s">
        <v>17</v>
      </c>
      <c r="E23251" t="s">
        <v>20</v>
      </c>
      <c r="F23251">
        <v>16071941</v>
      </c>
      <c r="G23251">
        <v>16071941</v>
      </c>
      <c r="H23251">
        <v>16071941</v>
      </c>
      <c r="I23251">
        <v>16071941</v>
      </c>
    </row>
    <row r="23252" spans="1:9" x14ac:dyDescent="0.2">
      <c r="A23252" t="str">
        <f>"Zfp551"</f>
        <v>Zfp551</v>
      </c>
      <c r="B23252" t="s">
        <v>14</v>
      </c>
      <c r="C23252" t="s">
        <v>33</v>
      </c>
      <c r="D23252" t="s">
        <v>11</v>
      </c>
      <c r="E23252" t="s">
        <v>12</v>
      </c>
      <c r="F23252">
        <v>12422477</v>
      </c>
      <c r="G23252">
        <v>12422501</v>
      </c>
      <c r="H23252">
        <v>12422429</v>
      </c>
      <c r="I23252">
        <v>12422447</v>
      </c>
    </row>
    <row r="23253" spans="1:9" x14ac:dyDescent="0.2">
      <c r="A23253" t="str">
        <f>"Zfp553"</f>
        <v>Zfp553</v>
      </c>
      <c r="B23253" t="s">
        <v>14</v>
      </c>
      <c r="C23253" t="s">
        <v>33</v>
      </c>
      <c r="D23253" t="s">
        <v>17</v>
      </c>
      <c r="E23253" t="s">
        <v>12</v>
      </c>
      <c r="F23253">
        <v>127233227</v>
      </c>
      <c r="G23253">
        <v>127233317</v>
      </c>
      <c r="H23253">
        <v>127233044</v>
      </c>
      <c r="I23253">
        <v>127233073</v>
      </c>
    </row>
    <row r="23254" spans="1:9" x14ac:dyDescent="0.2">
      <c r="A23254" t="str">
        <f>"Zfp558"</f>
        <v>Zfp558</v>
      </c>
      <c r="B23254" t="s">
        <v>14</v>
      </c>
      <c r="C23254" t="s">
        <v>24</v>
      </c>
      <c r="D23254" t="s">
        <v>11</v>
      </c>
      <c r="E23254" t="s">
        <v>12</v>
      </c>
      <c r="F23254">
        <v>18473611</v>
      </c>
      <c r="G23254">
        <v>18473682</v>
      </c>
      <c r="H23254">
        <v>18473572</v>
      </c>
      <c r="I23254">
        <v>18473582</v>
      </c>
    </row>
    <row r="23255" spans="1:9" x14ac:dyDescent="0.2">
      <c r="A23255" t="str">
        <f>"Zfp560"</f>
        <v>Zfp560</v>
      </c>
      <c r="B23255" t="s">
        <v>14</v>
      </c>
      <c r="C23255" t="s">
        <v>24</v>
      </c>
      <c r="D23255" t="s">
        <v>11</v>
      </c>
      <c r="E23255" t="s">
        <v>12</v>
      </c>
      <c r="F23255">
        <v>20385090</v>
      </c>
      <c r="G23255">
        <v>20385146</v>
      </c>
      <c r="H23255">
        <v>20385069</v>
      </c>
      <c r="I23255">
        <v>20385081</v>
      </c>
    </row>
    <row r="23256" spans="1:9" x14ac:dyDescent="0.2">
      <c r="A23256" t="str">
        <f>"Zfp563"</f>
        <v>Zfp563</v>
      </c>
      <c r="B23256" t="s">
        <v>9</v>
      </c>
      <c r="C23256" t="s">
        <v>28</v>
      </c>
      <c r="D23256" t="s">
        <v>17</v>
      </c>
      <c r="E23256" t="s">
        <v>12</v>
      </c>
      <c r="F23256">
        <v>33092446</v>
      </c>
      <c r="G23256">
        <v>33092497</v>
      </c>
      <c r="H23256">
        <v>33092446</v>
      </c>
      <c r="I23256">
        <v>33092497</v>
      </c>
    </row>
    <row r="23257" spans="1:9" x14ac:dyDescent="0.2">
      <c r="A23257" t="str">
        <f>"Zfp563"</f>
        <v>Zfp563</v>
      </c>
      <c r="B23257" t="s">
        <v>13</v>
      </c>
      <c r="C23257" t="s">
        <v>28</v>
      </c>
      <c r="D23257" t="s">
        <v>17</v>
      </c>
      <c r="E23257" t="s">
        <v>12</v>
      </c>
      <c r="F23257">
        <v>33089308</v>
      </c>
      <c r="G23257">
        <v>33089349</v>
      </c>
      <c r="H23257">
        <v>33089308</v>
      </c>
      <c r="I23257">
        <v>33089349</v>
      </c>
    </row>
    <row r="23258" spans="1:9" x14ac:dyDescent="0.2">
      <c r="A23258" t="str">
        <f>"Zfp566"</f>
        <v>Zfp566</v>
      </c>
      <c r="B23258" t="s">
        <v>14</v>
      </c>
      <c r="C23258" t="s">
        <v>33</v>
      </c>
      <c r="D23258" t="s">
        <v>11</v>
      </c>
      <c r="E23258" t="s">
        <v>12</v>
      </c>
      <c r="F23258">
        <v>30090471</v>
      </c>
      <c r="G23258">
        <v>30090536</v>
      </c>
      <c r="H23258">
        <v>30090399</v>
      </c>
      <c r="I23258">
        <v>30090435</v>
      </c>
    </row>
    <row r="23259" spans="1:9" x14ac:dyDescent="0.2">
      <c r="A23259" t="str">
        <f>"Zfp568"</f>
        <v>Zfp568</v>
      </c>
      <c r="B23259" t="s">
        <v>14</v>
      </c>
      <c r="C23259" t="s">
        <v>33</v>
      </c>
      <c r="D23259" t="s">
        <v>17</v>
      </c>
      <c r="E23259" t="s">
        <v>12</v>
      </c>
      <c r="F23259">
        <v>29983948</v>
      </c>
      <c r="G23259">
        <v>29983964</v>
      </c>
      <c r="H23259">
        <v>29983917</v>
      </c>
      <c r="I23259">
        <v>29983942</v>
      </c>
    </row>
    <row r="23260" spans="1:9" x14ac:dyDescent="0.2">
      <c r="A23260" t="str">
        <f>"Zfp57"</f>
        <v>Zfp57</v>
      </c>
      <c r="B23260" t="s">
        <v>14</v>
      </c>
      <c r="C23260" t="s">
        <v>28</v>
      </c>
      <c r="D23260" t="s">
        <v>17</v>
      </c>
      <c r="E23260" t="s">
        <v>12</v>
      </c>
      <c r="F23260">
        <v>37002527</v>
      </c>
      <c r="G23260">
        <v>37002569</v>
      </c>
      <c r="H23260">
        <v>37002527</v>
      </c>
      <c r="I23260">
        <v>37002569</v>
      </c>
    </row>
    <row r="23261" spans="1:9" x14ac:dyDescent="0.2">
      <c r="A23261" t="str">
        <f>"Zfp574"</f>
        <v>Zfp574</v>
      </c>
      <c r="B23261" t="s">
        <v>14</v>
      </c>
      <c r="C23261" t="s">
        <v>33</v>
      </c>
      <c r="D23261" t="s">
        <v>17</v>
      </c>
      <c r="E23261" t="s">
        <v>12</v>
      </c>
      <c r="F23261">
        <v>25077229</v>
      </c>
      <c r="G23261">
        <v>25077335</v>
      </c>
      <c r="H23261">
        <v>25077344</v>
      </c>
      <c r="I23261">
        <v>25077363</v>
      </c>
    </row>
    <row r="23262" spans="1:9" x14ac:dyDescent="0.2">
      <c r="A23262" t="str">
        <f>"Zfp575"</f>
        <v>Zfp575</v>
      </c>
      <c r="B23262" t="s">
        <v>14</v>
      </c>
      <c r="C23262" t="s">
        <v>33</v>
      </c>
      <c r="D23262" t="s">
        <v>11</v>
      </c>
      <c r="E23262" t="s">
        <v>12</v>
      </c>
      <c r="F23262">
        <v>24587612</v>
      </c>
      <c r="G23262">
        <v>24587665</v>
      </c>
      <c r="H23262">
        <v>24587571</v>
      </c>
      <c r="I23262">
        <v>24587599</v>
      </c>
    </row>
    <row r="23263" spans="1:9" x14ac:dyDescent="0.2">
      <c r="A23263" t="str">
        <f>"Zfp579"</f>
        <v>Zfp579</v>
      </c>
      <c r="B23263" t="s">
        <v>14</v>
      </c>
      <c r="C23263" t="s">
        <v>33</v>
      </c>
      <c r="D23263" t="s">
        <v>11</v>
      </c>
      <c r="E23263" t="s">
        <v>12</v>
      </c>
      <c r="F23263">
        <v>4996044</v>
      </c>
      <c r="G23263">
        <v>4996094</v>
      </c>
      <c r="H23263">
        <v>4996095</v>
      </c>
      <c r="I23263">
        <v>4996116</v>
      </c>
    </row>
    <row r="23264" spans="1:9" x14ac:dyDescent="0.2">
      <c r="A23264" t="str">
        <f>"Zfp58"</f>
        <v>Zfp58</v>
      </c>
      <c r="B23264" t="s">
        <v>9</v>
      </c>
      <c r="C23264" t="s">
        <v>39</v>
      </c>
      <c r="D23264" t="s">
        <v>11</v>
      </c>
      <c r="E23264" t="s">
        <v>12</v>
      </c>
      <c r="F23264">
        <v>67526136</v>
      </c>
      <c r="G23264">
        <v>67526179</v>
      </c>
      <c r="H23264">
        <v>67526136</v>
      </c>
      <c r="I23264">
        <v>67526179</v>
      </c>
    </row>
    <row r="23265" spans="1:9" x14ac:dyDescent="0.2">
      <c r="A23265" t="str">
        <f>"Zfp58"</f>
        <v>Zfp58</v>
      </c>
      <c r="B23265" t="s">
        <v>13</v>
      </c>
      <c r="C23265" t="s">
        <v>39</v>
      </c>
      <c r="D23265" t="s">
        <v>11</v>
      </c>
      <c r="E23265" t="s">
        <v>12</v>
      </c>
      <c r="F23265">
        <v>67500451</v>
      </c>
      <c r="G23265">
        <v>67500512</v>
      </c>
      <c r="H23265">
        <v>67500451</v>
      </c>
      <c r="I23265">
        <v>67500512</v>
      </c>
    </row>
    <row r="23266" spans="1:9" x14ac:dyDescent="0.2">
      <c r="A23266" t="str">
        <f>"Zfp580"</f>
        <v>Zfp580</v>
      </c>
      <c r="B23266" t="s">
        <v>14</v>
      </c>
      <c r="C23266" t="s">
        <v>33</v>
      </c>
      <c r="D23266" t="s">
        <v>17</v>
      </c>
      <c r="E23266" t="s">
        <v>12</v>
      </c>
      <c r="F23266">
        <v>5051515</v>
      </c>
      <c r="G23266">
        <v>5051557</v>
      </c>
      <c r="H23266">
        <v>5051563</v>
      </c>
      <c r="I23266">
        <v>5051601</v>
      </c>
    </row>
    <row r="23267" spans="1:9" x14ac:dyDescent="0.2">
      <c r="A23267" t="str">
        <f>"Zfp583"</f>
        <v>Zfp583</v>
      </c>
      <c r="B23267" t="s">
        <v>14</v>
      </c>
      <c r="C23267" t="s">
        <v>33</v>
      </c>
      <c r="D23267" t="s">
        <v>11</v>
      </c>
      <c r="E23267" t="s">
        <v>12</v>
      </c>
      <c r="F23267">
        <v>6331235</v>
      </c>
      <c r="G23267">
        <v>6331290</v>
      </c>
      <c r="H23267">
        <v>6331197</v>
      </c>
      <c r="I23267">
        <v>6331208</v>
      </c>
    </row>
    <row r="23268" spans="1:9" x14ac:dyDescent="0.2">
      <c r="A23268" t="str">
        <f>"Zfp59"</f>
        <v>Zfp59</v>
      </c>
      <c r="B23268" t="s">
        <v>14</v>
      </c>
      <c r="C23268" t="s">
        <v>33</v>
      </c>
      <c r="D23268" t="s">
        <v>17</v>
      </c>
      <c r="E23268" t="s">
        <v>12</v>
      </c>
      <c r="F23268">
        <v>27838560</v>
      </c>
      <c r="G23268">
        <v>27838612</v>
      </c>
      <c r="H23268">
        <v>27838543</v>
      </c>
      <c r="I23268">
        <v>27838555</v>
      </c>
    </row>
    <row r="23269" spans="1:9" x14ac:dyDescent="0.2">
      <c r="A23269" t="str">
        <f>"Zfp592"</f>
        <v>Zfp592</v>
      </c>
      <c r="B23269" t="s">
        <v>14</v>
      </c>
      <c r="C23269" t="s">
        <v>33</v>
      </c>
      <c r="D23269" t="s">
        <v>17</v>
      </c>
      <c r="E23269" t="s">
        <v>12</v>
      </c>
      <c r="F23269">
        <v>80993658</v>
      </c>
      <c r="G23269">
        <v>80993698</v>
      </c>
      <c r="H23269">
        <v>80993699</v>
      </c>
      <c r="I23269">
        <v>80993714</v>
      </c>
    </row>
    <row r="23270" spans="1:9" x14ac:dyDescent="0.2">
      <c r="A23270" t="str">
        <f>"Zfp593"</f>
        <v>Zfp593</v>
      </c>
      <c r="B23270" t="s">
        <v>14</v>
      </c>
      <c r="C23270" t="s">
        <v>23</v>
      </c>
      <c r="D23270" t="s">
        <v>11</v>
      </c>
      <c r="E23270" t="s">
        <v>12</v>
      </c>
      <c r="F23270">
        <v>134245538</v>
      </c>
      <c r="G23270">
        <v>134245577</v>
      </c>
      <c r="H23270">
        <v>134245579</v>
      </c>
      <c r="I23270">
        <v>134245604</v>
      </c>
    </row>
    <row r="23271" spans="1:9" x14ac:dyDescent="0.2">
      <c r="A23271" t="str">
        <f>"Zfp595"</f>
        <v>Zfp595</v>
      </c>
      <c r="B23271" t="s">
        <v>9</v>
      </c>
      <c r="C23271" t="s">
        <v>39</v>
      </c>
      <c r="D23271" t="s">
        <v>11</v>
      </c>
      <c r="E23271" t="s">
        <v>12</v>
      </c>
      <c r="F23271">
        <v>67360554</v>
      </c>
      <c r="G23271">
        <v>67360595</v>
      </c>
      <c r="H23271">
        <v>67360554</v>
      </c>
      <c r="I23271">
        <v>67360595</v>
      </c>
    </row>
    <row r="23272" spans="1:9" x14ac:dyDescent="0.2">
      <c r="A23272" t="str">
        <f>"Zfp595"</f>
        <v>Zfp595</v>
      </c>
      <c r="B23272" t="s">
        <v>13</v>
      </c>
      <c r="C23272" t="s">
        <v>39</v>
      </c>
      <c r="D23272" t="s">
        <v>11</v>
      </c>
      <c r="E23272" t="s">
        <v>12</v>
      </c>
      <c r="F23272">
        <v>67332525</v>
      </c>
      <c r="G23272">
        <v>67332553</v>
      </c>
      <c r="H23272">
        <v>67332525</v>
      </c>
      <c r="I23272">
        <v>67332553</v>
      </c>
    </row>
    <row r="23273" spans="1:9" x14ac:dyDescent="0.2">
      <c r="A23273" t="str">
        <f>"Zfp597"</f>
        <v>Zfp597</v>
      </c>
      <c r="B23273" t="s">
        <v>14</v>
      </c>
      <c r="C23273" t="s">
        <v>31</v>
      </c>
      <c r="D23273" t="s">
        <v>11</v>
      </c>
      <c r="E23273" t="s">
        <v>12</v>
      </c>
      <c r="F23273">
        <v>3884472</v>
      </c>
      <c r="G23273">
        <v>3884572</v>
      </c>
      <c r="H23273">
        <v>3884438</v>
      </c>
      <c r="I23273">
        <v>3884470</v>
      </c>
    </row>
    <row r="23274" spans="1:9" x14ac:dyDescent="0.2">
      <c r="A23274" t="str">
        <f>"Zfp598"</f>
        <v>Zfp598</v>
      </c>
      <c r="B23274" t="s">
        <v>14</v>
      </c>
      <c r="C23274" t="s">
        <v>28</v>
      </c>
      <c r="D23274" t="s">
        <v>17</v>
      </c>
      <c r="E23274" t="s">
        <v>12</v>
      </c>
      <c r="F23274">
        <v>24669684</v>
      </c>
      <c r="G23274">
        <v>24669727</v>
      </c>
      <c r="H23274">
        <v>24669730</v>
      </c>
      <c r="I23274">
        <v>24669752</v>
      </c>
    </row>
    <row r="23275" spans="1:9" x14ac:dyDescent="0.2">
      <c r="A23275" t="str">
        <f>"Zfp599"</f>
        <v>Zfp599</v>
      </c>
      <c r="B23275" t="s">
        <v>14</v>
      </c>
      <c r="C23275" t="s">
        <v>24</v>
      </c>
      <c r="D23275" t="s">
        <v>11</v>
      </c>
      <c r="E23275" t="s">
        <v>12</v>
      </c>
      <c r="F23275">
        <v>22259887</v>
      </c>
      <c r="G23275">
        <v>22259949</v>
      </c>
      <c r="H23275">
        <v>22259887</v>
      </c>
      <c r="I23275">
        <v>22259949</v>
      </c>
    </row>
    <row r="23276" spans="1:9" x14ac:dyDescent="0.2">
      <c r="A23276" t="str">
        <f>"Zfp60"</f>
        <v>Zfp60</v>
      </c>
      <c r="B23276" t="s">
        <v>14</v>
      </c>
      <c r="C23276" t="s">
        <v>33</v>
      </c>
      <c r="D23276" t="s">
        <v>17</v>
      </c>
      <c r="E23276" t="s">
        <v>12</v>
      </c>
      <c r="F23276">
        <v>27731398</v>
      </c>
      <c r="G23276">
        <v>27731441</v>
      </c>
      <c r="H23276">
        <v>27731373</v>
      </c>
      <c r="I23276">
        <v>27731397</v>
      </c>
    </row>
    <row r="23277" spans="1:9" x14ac:dyDescent="0.2">
      <c r="A23277" t="str">
        <f>"Zfp600"</f>
        <v>Zfp600</v>
      </c>
      <c r="B23277" t="s">
        <v>6350</v>
      </c>
      <c r="C23277" t="s">
        <v>23</v>
      </c>
      <c r="D23277" t="s">
        <v>17</v>
      </c>
      <c r="E23277" t="s">
        <v>20</v>
      </c>
      <c r="F23277">
        <v>146157689</v>
      </c>
      <c r="G23277">
        <v>146157689</v>
      </c>
      <c r="H23277">
        <v>146157689</v>
      </c>
      <c r="I23277">
        <v>146157689</v>
      </c>
    </row>
    <row r="23278" spans="1:9" x14ac:dyDescent="0.2">
      <c r="A23278" t="str">
        <f>"Zfp600"</f>
        <v>Zfp600</v>
      </c>
      <c r="B23278" t="s">
        <v>6351</v>
      </c>
      <c r="C23278" t="s">
        <v>23</v>
      </c>
      <c r="D23278" t="s">
        <v>17</v>
      </c>
      <c r="E23278" t="s">
        <v>20</v>
      </c>
      <c r="F23278">
        <v>146156823</v>
      </c>
      <c r="G23278">
        <v>146156823</v>
      </c>
      <c r="H23278">
        <v>146156823</v>
      </c>
      <c r="I23278">
        <v>146156823</v>
      </c>
    </row>
    <row r="23279" spans="1:9" x14ac:dyDescent="0.2">
      <c r="A23279" t="str">
        <f>"Zfp605"</f>
        <v>Zfp605</v>
      </c>
      <c r="B23279" t="s">
        <v>14</v>
      </c>
      <c r="C23279" t="s">
        <v>46</v>
      </c>
      <c r="D23279" t="s">
        <v>17</v>
      </c>
      <c r="E23279" t="s">
        <v>12</v>
      </c>
      <c r="F23279">
        <v>110110068</v>
      </c>
      <c r="G23279">
        <v>110110114</v>
      </c>
      <c r="H23279">
        <v>110110267</v>
      </c>
      <c r="I23279">
        <v>110110298</v>
      </c>
    </row>
    <row r="23280" spans="1:9" x14ac:dyDescent="0.2">
      <c r="A23280" t="str">
        <f>"Zfp606"</f>
        <v>Zfp606</v>
      </c>
      <c r="B23280" t="s">
        <v>14</v>
      </c>
      <c r="C23280" t="s">
        <v>33</v>
      </c>
      <c r="D23280" t="s">
        <v>17</v>
      </c>
      <c r="E23280" t="s">
        <v>12</v>
      </c>
      <c r="F23280">
        <v>12478319</v>
      </c>
      <c r="G23280">
        <v>12478372</v>
      </c>
      <c r="H23280">
        <v>12478294</v>
      </c>
      <c r="I23280">
        <v>12478313</v>
      </c>
    </row>
    <row r="23281" spans="1:9" x14ac:dyDescent="0.2">
      <c r="A23281" t="str">
        <f>"Zfp607"</f>
        <v>Zfp607</v>
      </c>
      <c r="B23281" t="s">
        <v>14</v>
      </c>
      <c r="C23281" t="s">
        <v>33</v>
      </c>
      <c r="D23281" t="s">
        <v>17</v>
      </c>
      <c r="E23281" t="s">
        <v>12</v>
      </c>
      <c r="F23281">
        <v>27860566</v>
      </c>
      <c r="G23281">
        <v>27860640</v>
      </c>
      <c r="H23281">
        <v>27860556</v>
      </c>
      <c r="I23281">
        <v>27860560</v>
      </c>
    </row>
    <row r="23282" spans="1:9" x14ac:dyDescent="0.2">
      <c r="A23282" t="str">
        <f>"Zfp608"</f>
        <v>Zfp608</v>
      </c>
      <c r="B23282" t="s">
        <v>14</v>
      </c>
      <c r="C23282" t="s">
        <v>43</v>
      </c>
      <c r="D23282" t="s">
        <v>11</v>
      </c>
      <c r="E23282" t="s">
        <v>12</v>
      </c>
      <c r="F23282">
        <v>54992552</v>
      </c>
      <c r="G23282">
        <v>54992597</v>
      </c>
      <c r="H23282">
        <v>54992552</v>
      </c>
      <c r="I23282">
        <v>54992597</v>
      </c>
    </row>
    <row r="23283" spans="1:9" x14ac:dyDescent="0.2">
      <c r="A23283" t="str">
        <f>"Zfp609"</f>
        <v>Zfp609</v>
      </c>
      <c r="B23283" t="s">
        <v>14</v>
      </c>
      <c r="C23283" t="s">
        <v>24</v>
      </c>
      <c r="D23283" t="s">
        <v>11</v>
      </c>
      <c r="E23283" t="s">
        <v>12</v>
      </c>
      <c r="F23283">
        <v>65827544</v>
      </c>
      <c r="G23283">
        <v>65827576</v>
      </c>
      <c r="H23283">
        <v>65827707</v>
      </c>
      <c r="I23283">
        <v>65827740</v>
      </c>
    </row>
    <row r="23284" spans="1:9" x14ac:dyDescent="0.2">
      <c r="A23284" t="str">
        <f>"Zfp61"</f>
        <v>Zfp61</v>
      </c>
      <c r="B23284" t="s">
        <v>14</v>
      </c>
      <c r="C23284" t="s">
        <v>33</v>
      </c>
      <c r="D23284" t="s">
        <v>11</v>
      </c>
      <c r="E23284" t="s">
        <v>12</v>
      </c>
      <c r="F23284">
        <v>24299320</v>
      </c>
      <c r="G23284">
        <v>24299368</v>
      </c>
      <c r="H23284">
        <v>24299517</v>
      </c>
      <c r="I23284">
        <v>24299593</v>
      </c>
    </row>
    <row r="23285" spans="1:9" x14ac:dyDescent="0.2">
      <c r="A23285" t="str">
        <f>"Zfp612"</f>
        <v>Zfp612</v>
      </c>
      <c r="B23285" t="s">
        <v>14</v>
      </c>
      <c r="C23285" t="s">
        <v>30</v>
      </c>
      <c r="D23285" t="s">
        <v>17</v>
      </c>
      <c r="E23285" t="s">
        <v>12</v>
      </c>
      <c r="F23285">
        <v>110079710</v>
      </c>
      <c r="G23285">
        <v>110079756</v>
      </c>
      <c r="H23285">
        <v>110079758</v>
      </c>
      <c r="I23285">
        <v>110079774</v>
      </c>
    </row>
    <row r="23286" spans="1:9" x14ac:dyDescent="0.2">
      <c r="A23286" t="str">
        <f>"Zfp616"</f>
        <v>Zfp616</v>
      </c>
      <c r="B23286" t="s">
        <v>6352</v>
      </c>
      <c r="C23286" t="s">
        <v>27</v>
      </c>
      <c r="D23286" t="s">
        <v>17</v>
      </c>
      <c r="E23286" t="s">
        <v>20</v>
      </c>
      <c r="F23286">
        <v>74082906</v>
      </c>
      <c r="G23286">
        <v>74082906</v>
      </c>
      <c r="H23286">
        <v>74082906</v>
      </c>
      <c r="I23286">
        <v>74082906</v>
      </c>
    </row>
    <row r="23287" spans="1:9" x14ac:dyDescent="0.2">
      <c r="A23287" t="str">
        <f>"Zfp617"</f>
        <v>Zfp617</v>
      </c>
      <c r="B23287" t="s">
        <v>9</v>
      </c>
      <c r="C23287" t="s">
        <v>30</v>
      </c>
      <c r="D23287" t="s">
        <v>17</v>
      </c>
      <c r="E23287" t="s">
        <v>12</v>
      </c>
      <c r="F23287">
        <v>71908595</v>
      </c>
      <c r="G23287">
        <v>71908654</v>
      </c>
      <c r="H23287">
        <v>71908595</v>
      </c>
      <c r="I23287">
        <v>71908654</v>
      </c>
    </row>
    <row r="23288" spans="1:9" x14ac:dyDescent="0.2">
      <c r="A23288" t="str">
        <f>"Zfp617"</f>
        <v>Zfp617</v>
      </c>
      <c r="B23288" t="s">
        <v>13</v>
      </c>
      <c r="C23288" t="s">
        <v>30</v>
      </c>
      <c r="D23288" t="s">
        <v>17</v>
      </c>
      <c r="E23288" t="s">
        <v>12</v>
      </c>
      <c r="F23288">
        <v>71922810</v>
      </c>
      <c r="G23288">
        <v>71922835</v>
      </c>
      <c r="H23288">
        <v>71922810</v>
      </c>
      <c r="I23288">
        <v>71922835</v>
      </c>
    </row>
    <row r="23289" spans="1:9" x14ac:dyDescent="0.2">
      <c r="A23289" t="str">
        <f>"Zfp618"</f>
        <v>Zfp618</v>
      </c>
      <c r="B23289" t="s">
        <v>14</v>
      </c>
      <c r="C23289" t="s">
        <v>23</v>
      </c>
      <c r="D23289" t="s">
        <v>17</v>
      </c>
      <c r="E23289" t="s">
        <v>12</v>
      </c>
      <c r="F23289">
        <v>62965560</v>
      </c>
      <c r="G23289">
        <v>62965617</v>
      </c>
      <c r="H23289">
        <v>62965648</v>
      </c>
      <c r="I23289">
        <v>62965671</v>
      </c>
    </row>
    <row r="23290" spans="1:9" x14ac:dyDescent="0.2">
      <c r="A23290" t="str">
        <f>"Zfp619"</f>
        <v>Zfp619</v>
      </c>
      <c r="B23290" t="s">
        <v>14</v>
      </c>
      <c r="C23290" t="s">
        <v>33</v>
      </c>
      <c r="D23290" t="s">
        <v>17</v>
      </c>
      <c r="E23290" t="s">
        <v>12</v>
      </c>
      <c r="F23290">
        <v>39517744</v>
      </c>
      <c r="G23290">
        <v>39517785</v>
      </c>
      <c r="H23290">
        <v>39517792</v>
      </c>
      <c r="I23290">
        <v>39517802</v>
      </c>
    </row>
    <row r="23291" spans="1:9" x14ac:dyDescent="0.2">
      <c r="A23291" t="str">
        <f>"Zfp62"</f>
        <v>Zfp62</v>
      </c>
      <c r="B23291" t="s">
        <v>14</v>
      </c>
      <c r="C23291" t="s">
        <v>27</v>
      </c>
      <c r="D23291" t="s">
        <v>17</v>
      </c>
      <c r="E23291" t="s">
        <v>12</v>
      </c>
      <c r="F23291">
        <v>49203465</v>
      </c>
      <c r="G23291">
        <v>49203524</v>
      </c>
      <c r="H23291">
        <v>49203314</v>
      </c>
      <c r="I23291">
        <v>49203344</v>
      </c>
    </row>
    <row r="23292" spans="1:9" x14ac:dyDescent="0.2">
      <c r="A23292" t="str">
        <f>"Zfp622"</f>
        <v>Zfp622</v>
      </c>
      <c r="B23292" t="s">
        <v>14</v>
      </c>
      <c r="C23292" t="s">
        <v>25</v>
      </c>
      <c r="D23292" t="s">
        <v>17</v>
      </c>
      <c r="E23292" t="s">
        <v>12</v>
      </c>
      <c r="F23292">
        <v>25984397</v>
      </c>
      <c r="G23292">
        <v>25984451</v>
      </c>
      <c r="H23292">
        <v>25984359</v>
      </c>
      <c r="I23292">
        <v>25984373</v>
      </c>
    </row>
    <row r="23293" spans="1:9" x14ac:dyDescent="0.2">
      <c r="A23293" t="str">
        <f>"Zfp623"</f>
        <v>Zfp623</v>
      </c>
      <c r="B23293" t="s">
        <v>14</v>
      </c>
      <c r="C23293" t="s">
        <v>25</v>
      </c>
      <c r="D23293" t="s">
        <v>17</v>
      </c>
      <c r="E23293" t="s">
        <v>12</v>
      </c>
      <c r="F23293">
        <v>75941024</v>
      </c>
      <c r="G23293">
        <v>75941091</v>
      </c>
      <c r="H23293">
        <v>75940993</v>
      </c>
      <c r="I23293">
        <v>75941015</v>
      </c>
    </row>
    <row r="23294" spans="1:9" x14ac:dyDescent="0.2">
      <c r="A23294" t="str">
        <f>"Zfp626"</f>
        <v>Zfp626</v>
      </c>
      <c r="B23294" t="s">
        <v>6353</v>
      </c>
      <c r="C23294" t="s">
        <v>33</v>
      </c>
      <c r="D23294" t="s">
        <v>17</v>
      </c>
      <c r="E23294" t="s">
        <v>20</v>
      </c>
      <c r="F23294">
        <v>27810812</v>
      </c>
      <c r="G23294">
        <v>27810812</v>
      </c>
      <c r="H23294">
        <v>27810812</v>
      </c>
      <c r="I23294">
        <v>27810812</v>
      </c>
    </row>
    <row r="23295" spans="1:9" x14ac:dyDescent="0.2">
      <c r="A23295" t="str">
        <f>"Zfp628"</f>
        <v>Zfp628</v>
      </c>
      <c r="B23295" t="s">
        <v>14</v>
      </c>
      <c r="C23295" t="s">
        <v>33</v>
      </c>
      <c r="D23295" t="s">
        <v>17</v>
      </c>
      <c r="E23295" t="s">
        <v>12</v>
      </c>
      <c r="F23295">
        <v>4915202</v>
      </c>
      <c r="G23295">
        <v>4915230</v>
      </c>
      <c r="H23295">
        <v>4915233</v>
      </c>
      <c r="I23295">
        <v>4915256</v>
      </c>
    </row>
    <row r="23296" spans="1:9" x14ac:dyDescent="0.2">
      <c r="A23296" t="str">
        <f>"Zfp629"</f>
        <v>Zfp629</v>
      </c>
      <c r="B23296" t="s">
        <v>14</v>
      </c>
      <c r="C23296" t="s">
        <v>33</v>
      </c>
      <c r="D23296" t="s">
        <v>11</v>
      </c>
      <c r="E23296" t="s">
        <v>12</v>
      </c>
      <c r="F23296">
        <v>127615226</v>
      </c>
      <c r="G23296">
        <v>127615269</v>
      </c>
      <c r="H23296">
        <v>127615208</v>
      </c>
      <c r="I23296">
        <v>127615219</v>
      </c>
    </row>
    <row r="23297" spans="1:9" x14ac:dyDescent="0.2">
      <c r="A23297" t="str">
        <f>"Zfp637"</f>
        <v>Zfp637</v>
      </c>
      <c r="B23297" t="s">
        <v>14</v>
      </c>
      <c r="C23297" t="s">
        <v>32</v>
      </c>
      <c r="D23297" t="s">
        <v>17</v>
      </c>
      <c r="E23297" t="s">
        <v>12</v>
      </c>
      <c r="F23297">
        <v>117841174</v>
      </c>
      <c r="G23297">
        <v>117841251</v>
      </c>
      <c r="H23297">
        <v>117841258</v>
      </c>
      <c r="I23297">
        <v>117841286</v>
      </c>
    </row>
    <row r="23298" spans="1:9" x14ac:dyDescent="0.2">
      <c r="A23298" t="str">
        <f>"Zfp639"</f>
        <v>Zfp639</v>
      </c>
      <c r="B23298" t="s">
        <v>14</v>
      </c>
      <c r="C23298" t="s">
        <v>22</v>
      </c>
      <c r="D23298" t="s">
        <v>17</v>
      </c>
      <c r="E23298" t="s">
        <v>12</v>
      </c>
      <c r="F23298">
        <v>32510565</v>
      </c>
      <c r="G23298">
        <v>32510641</v>
      </c>
      <c r="H23298">
        <v>32510538</v>
      </c>
      <c r="I23298">
        <v>32510561</v>
      </c>
    </row>
    <row r="23299" spans="1:9" x14ac:dyDescent="0.2">
      <c r="A23299" t="str">
        <f>"Zfp64"</f>
        <v>Zfp64</v>
      </c>
      <c r="B23299" t="s">
        <v>14</v>
      </c>
      <c r="C23299" t="s">
        <v>26</v>
      </c>
      <c r="D23299" t="s">
        <v>11</v>
      </c>
      <c r="E23299" t="s">
        <v>12</v>
      </c>
      <c r="F23299">
        <v>168955257</v>
      </c>
      <c r="G23299">
        <v>168955305</v>
      </c>
      <c r="H23299">
        <v>168955529</v>
      </c>
      <c r="I23299">
        <v>168955593</v>
      </c>
    </row>
    <row r="23300" spans="1:9" x14ac:dyDescent="0.2">
      <c r="A23300" t="str">
        <f>"Zfp640"</f>
        <v>Zfp640</v>
      </c>
      <c r="B23300" t="s">
        <v>6354</v>
      </c>
      <c r="C23300" t="s">
        <v>39</v>
      </c>
      <c r="D23300" t="s">
        <v>11</v>
      </c>
      <c r="E23300" t="s">
        <v>20</v>
      </c>
      <c r="F23300">
        <v>66673329</v>
      </c>
      <c r="G23300">
        <v>66673329</v>
      </c>
      <c r="H23300">
        <v>66673329</v>
      </c>
      <c r="I23300">
        <v>66673329</v>
      </c>
    </row>
    <row r="23301" spans="1:9" x14ac:dyDescent="0.2">
      <c r="A23301" t="str">
        <f>"Zfp641"</f>
        <v>Zfp641</v>
      </c>
      <c r="B23301" t="s">
        <v>14</v>
      </c>
      <c r="C23301" t="s">
        <v>25</v>
      </c>
      <c r="D23301" t="s">
        <v>11</v>
      </c>
      <c r="E23301" t="s">
        <v>12</v>
      </c>
      <c r="F23301">
        <v>98296114</v>
      </c>
      <c r="G23301">
        <v>98296157</v>
      </c>
      <c r="H23301">
        <v>98296245</v>
      </c>
      <c r="I23301">
        <v>98296264</v>
      </c>
    </row>
    <row r="23302" spans="1:9" x14ac:dyDescent="0.2">
      <c r="A23302" t="str">
        <f>"Zfp644"</f>
        <v>Zfp644</v>
      </c>
      <c r="B23302" t="s">
        <v>14</v>
      </c>
      <c r="C23302" t="s">
        <v>46</v>
      </c>
      <c r="D23302" t="s">
        <v>11</v>
      </c>
      <c r="E23302" t="s">
        <v>12</v>
      </c>
      <c r="F23302">
        <v>106696530</v>
      </c>
      <c r="G23302">
        <v>106696586</v>
      </c>
      <c r="H23302">
        <v>106696819</v>
      </c>
      <c r="I23302">
        <v>106696839</v>
      </c>
    </row>
    <row r="23303" spans="1:9" x14ac:dyDescent="0.2">
      <c r="A23303" t="str">
        <f>"Zfp646"</f>
        <v>Zfp646</v>
      </c>
      <c r="B23303" t="s">
        <v>14</v>
      </c>
      <c r="C23303" t="s">
        <v>33</v>
      </c>
      <c r="D23303" t="s">
        <v>17</v>
      </c>
      <c r="E23303" t="s">
        <v>12</v>
      </c>
      <c r="F23303">
        <v>127876924</v>
      </c>
      <c r="G23303">
        <v>127876954</v>
      </c>
      <c r="H23303">
        <v>127876898</v>
      </c>
      <c r="I23303">
        <v>127876919</v>
      </c>
    </row>
    <row r="23304" spans="1:9" x14ac:dyDescent="0.2">
      <c r="A23304" t="str">
        <f>"Zfp647"</f>
        <v>Zfp647</v>
      </c>
      <c r="B23304" t="s">
        <v>14</v>
      </c>
      <c r="C23304" t="s">
        <v>25</v>
      </c>
      <c r="D23304" t="s">
        <v>11</v>
      </c>
      <c r="E23304" t="s">
        <v>12</v>
      </c>
      <c r="F23304">
        <v>76925406</v>
      </c>
      <c r="G23304">
        <v>76925437</v>
      </c>
      <c r="H23304">
        <v>76925391</v>
      </c>
      <c r="I23304">
        <v>76925405</v>
      </c>
    </row>
    <row r="23305" spans="1:9" x14ac:dyDescent="0.2">
      <c r="A23305" t="str">
        <f>"Zfp648"</f>
        <v>Zfp648</v>
      </c>
      <c r="B23305" t="s">
        <v>14</v>
      </c>
      <c r="C23305" t="s">
        <v>19</v>
      </c>
      <c r="D23305" t="s">
        <v>17</v>
      </c>
      <c r="E23305" t="s">
        <v>12</v>
      </c>
      <c r="F23305">
        <v>154201173</v>
      </c>
      <c r="G23305">
        <v>154201213</v>
      </c>
      <c r="H23305">
        <v>154201303</v>
      </c>
      <c r="I23305">
        <v>154201321</v>
      </c>
    </row>
    <row r="23306" spans="1:9" x14ac:dyDescent="0.2">
      <c r="A23306" t="str">
        <f>"Zfp651"</f>
        <v>Zfp651</v>
      </c>
      <c r="B23306" t="s">
        <v>14</v>
      </c>
      <c r="C23306" t="s">
        <v>24</v>
      </c>
      <c r="D23306" t="s">
        <v>17</v>
      </c>
      <c r="E23306" t="s">
        <v>12</v>
      </c>
      <c r="F23306">
        <v>121760000</v>
      </c>
      <c r="G23306">
        <v>121760061</v>
      </c>
      <c r="H23306">
        <v>121759732</v>
      </c>
      <c r="I23306">
        <v>121759767</v>
      </c>
    </row>
    <row r="23307" spans="1:9" x14ac:dyDescent="0.2">
      <c r="A23307" t="str">
        <f>"Zfp652"</f>
        <v>Zfp652</v>
      </c>
      <c r="B23307" t="s">
        <v>14</v>
      </c>
      <c r="C23307" t="s">
        <v>27</v>
      </c>
      <c r="D23307" t="s">
        <v>17</v>
      </c>
      <c r="E23307" t="s">
        <v>12</v>
      </c>
      <c r="F23307">
        <v>95712984</v>
      </c>
      <c r="G23307">
        <v>95713030</v>
      </c>
      <c r="H23307">
        <v>95713118</v>
      </c>
      <c r="I23307">
        <v>95713137</v>
      </c>
    </row>
    <row r="23308" spans="1:9" x14ac:dyDescent="0.2">
      <c r="A23308" t="str">
        <f>"Zfp653"</f>
        <v>Zfp653</v>
      </c>
      <c r="B23308" t="s">
        <v>14</v>
      </c>
      <c r="C23308" t="s">
        <v>24</v>
      </c>
      <c r="D23308" t="s">
        <v>11</v>
      </c>
      <c r="E23308" t="s">
        <v>12</v>
      </c>
      <c r="F23308">
        <v>22071368</v>
      </c>
      <c r="G23308">
        <v>22071416</v>
      </c>
      <c r="H23308">
        <v>22071460</v>
      </c>
      <c r="I23308">
        <v>22071470</v>
      </c>
    </row>
    <row r="23309" spans="1:9" x14ac:dyDescent="0.2">
      <c r="A23309" t="str">
        <f>"Zfp654"</f>
        <v>Zfp654</v>
      </c>
      <c r="B23309" t="s">
        <v>14</v>
      </c>
      <c r="C23309" t="s">
        <v>31</v>
      </c>
      <c r="D23309" t="s">
        <v>11</v>
      </c>
      <c r="E23309" t="s">
        <v>12</v>
      </c>
      <c r="F23309">
        <v>64786273</v>
      </c>
      <c r="G23309">
        <v>64786312</v>
      </c>
      <c r="H23309">
        <v>64786273</v>
      </c>
      <c r="I23309">
        <v>64786312</v>
      </c>
    </row>
    <row r="23310" spans="1:9" x14ac:dyDescent="0.2">
      <c r="A23310" t="str">
        <f>"Zfp655"</f>
        <v>Zfp655</v>
      </c>
      <c r="B23310" t="s">
        <v>14</v>
      </c>
      <c r="C23310" t="s">
        <v>46</v>
      </c>
      <c r="D23310" t="s">
        <v>17</v>
      </c>
      <c r="E23310" t="s">
        <v>12</v>
      </c>
      <c r="F23310">
        <v>145231710</v>
      </c>
      <c r="G23310">
        <v>145231754</v>
      </c>
      <c r="H23310">
        <v>145231757</v>
      </c>
      <c r="I23310">
        <v>145231783</v>
      </c>
    </row>
    <row r="23311" spans="1:9" x14ac:dyDescent="0.2">
      <c r="A23311" t="str">
        <f>"Zfp658"</f>
        <v>Zfp658</v>
      </c>
      <c r="B23311" t="s">
        <v>14</v>
      </c>
      <c r="C23311" t="s">
        <v>33</v>
      </c>
      <c r="D23311" t="s">
        <v>17</v>
      </c>
      <c r="E23311" t="s">
        <v>12</v>
      </c>
      <c r="F23311">
        <v>43562259</v>
      </c>
      <c r="G23311">
        <v>43562282</v>
      </c>
      <c r="H23311">
        <v>43562291</v>
      </c>
      <c r="I23311">
        <v>43562317</v>
      </c>
    </row>
    <row r="23312" spans="1:9" x14ac:dyDescent="0.2">
      <c r="A23312" t="str">
        <f>"Zfp661"</f>
        <v>Zfp661</v>
      </c>
      <c r="B23312" t="s">
        <v>14</v>
      </c>
      <c r="C23312" t="s">
        <v>26</v>
      </c>
      <c r="D23312" t="s">
        <v>11</v>
      </c>
      <c r="E23312" t="s">
        <v>12</v>
      </c>
      <c r="F23312">
        <v>127584668</v>
      </c>
      <c r="G23312">
        <v>127584703</v>
      </c>
      <c r="H23312">
        <v>127584668</v>
      </c>
      <c r="I23312">
        <v>127584703</v>
      </c>
    </row>
    <row r="23313" spans="1:9" x14ac:dyDescent="0.2">
      <c r="A23313" t="str">
        <f>"Zfp663"</f>
        <v>Zfp663</v>
      </c>
      <c r="B23313" t="s">
        <v>14</v>
      </c>
      <c r="C23313" t="s">
        <v>26</v>
      </c>
      <c r="D23313" t="s">
        <v>11</v>
      </c>
      <c r="E23313" t="s">
        <v>12</v>
      </c>
      <c r="F23313">
        <v>165368723</v>
      </c>
      <c r="G23313">
        <v>165368747</v>
      </c>
      <c r="H23313">
        <v>165368702</v>
      </c>
      <c r="I23313">
        <v>165368714</v>
      </c>
    </row>
    <row r="23314" spans="1:9" x14ac:dyDescent="0.2">
      <c r="A23314" t="str">
        <f>"Zfp664"</f>
        <v>Zfp664</v>
      </c>
      <c r="B23314" t="s">
        <v>14</v>
      </c>
      <c r="C23314" t="s">
        <v>46</v>
      </c>
      <c r="D23314" t="s">
        <v>17</v>
      </c>
      <c r="E23314" t="s">
        <v>12</v>
      </c>
      <c r="F23314">
        <v>124862674</v>
      </c>
      <c r="G23314">
        <v>124862771</v>
      </c>
      <c r="H23314">
        <v>124862674</v>
      </c>
      <c r="I23314">
        <v>124862771</v>
      </c>
    </row>
    <row r="23315" spans="1:9" x14ac:dyDescent="0.2">
      <c r="A23315" t="str">
        <f>"Zfp667"</f>
        <v>Zfp667</v>
      </c>
      <c r="B23315" t="s">
        <v>14</v>
      </c>
      <c r="C23315" t="s">
        <v>33</v>
      </c>
      <c r="D23315" t="s">
        <v>17</v>
      </c>
      <c r="E23315" t="s">
        <v>12</v>
      </c>
      <c r="F23315">
        <v>6286589</v>
      </c>
      <c r="G23315">
        <v>6286622</v>
      </c>
      <c r="H23315">
        <v>6286573</v>
      </c>
      <c r="I23315">
        <v>6286584</v>
      </c>
    </row>
    <row r="23316" spans="1:9" x14ac:dyDescent="0.2">
      <c r="A23316" t="str">
        <f>"Zfp668"</f>
        <v>Zfp668</v>
      </c>
      <c r="B23316" t="s">
        <v>14</v>
      </c>
      <c r="C23316" t="s">
        <v>33</v>
      </c>
      <c r="D23316" t="s">
        <v>11</v>
      </c>
      <c r="E23316" t="s">
        <v>12</v>
      </c>
      <c r="F23316">
        <v>127876100</v>
      </c>
      <c r="G23316">
        <v>127876152</v>
      </c>
      <c r="H23316">
        <v>127876546</v>
      </c>
      <c r="I23316">
        <v>127876610</v>
      </c>
    </row>
    <row r="23317" spans="1:9" x14ac:dyDescent="0.2">
      <c r="A23317" t="str">
        <f>"Zfp672"</f>
        <v>Zfp672</v>
      </c>
      <c r="B23317" t="s">
        <v>14</v>
      </c>
      <c r="C23317" t="s">
        <v>27</v>
      </c>
      <c r="D23317" t="s">
        <v>11</v>
      </c>
      <c r="E23317" t="s">
        <v>12</v>
      </c>
      <c r="F23317">
        <v>58323295</v>
      </c>
      <c r="G23317">
        <v>58323357</v>
      </c>
      <c r="H23317">
        <v>58323358</v>
      </c>
      <c r="I23317">
        <v>58323372</v>
      </c>
    </row>
    <row r="23318" spans="1:9" x14ac:dyDescent="0.2">
      <c r="A23318" t="str">
        <f>"Zfp677"</f>
        <v>Zfp677</v>
      </c>
      <c r="B23318" t="s">
        <v>14</v>
      </c>
      <c r="C23318" t="s">
        <v>28</v>
      </c>
      <c r="D23318" t="s">
        <v>17</v>
      </c>
      <c r="E23318" t="s">
        <v>12</v>
      </c>
      <c r="F23318">
        <v>21383725</v>
      </c>
      <c r="G23318">
        <v>21383766</v>
      </c>
      <c r="H23318">
        <v>21383782</v>
      </c>
      <c r="I23318">
        <v>21383791</v>
      </c>
    </row>
    <row r="23319" spans="1:9" x14ac:dyDescent="0.2">
      <c r="A23319" t="str">
        <f>"Zfp68"</f>
        <v>Zfp68</v>
      </c>
      <c r="B23319" t="s">
        <v>14</v>
      </c>
      <c r="C23319" t="s">
        <v>46</v>
      </c>
      <c r="D23319" t="s">
        <v>11</v>
      </c>
      <c r="E23319" t="s">
        <v>12</v>
      </c>
      <c r="F23319">
        <v>138619702</v>
      </c>
      <c r="G23319">
        <v>138619747</v>
      </c>
      <c r="H23319">
        <v>138619664</v>
      </c>
      <c r="I23319">
        <v>138619683</v>
      </c>
    </row>
    <row r="23320" spans="1:9" x14ac:dyDescent="0.2">
      <c r="A23320" t="str">
        <f>"Zfp683"</f>
        <v>Zfp683</v>
      </c>
      <c r="B23320" t="s">
        <v>6355</v>
      </c>
      <c r="C23320" t="s">
        <v>23</v>
      </c>
      <c r="D23320" t="s">
        <v>17</v>
      </c>
      <c r="E23320" t="s">
        <v>20</v>
      </c>
      <c r="F23320">
        <v>134053837</v>
      </c>
      <c r="G23320">
        <v>134053837</v>
      </c>
      <c r="H23320">
        <v>134053837</v>
      </c>
      <c r="I23320">
        <v>134053837</v>
      </c>
    </row>
    <row r="23321" spans="1:9" x14ac:dyDescent="0.2">
      <c r="A23321" t="str">
        <f>"Zfp687"</f>
        <v>Zfp687</v>
      </c>
      <c r="B23321" t="s">
        <v>14</v>
      </c>
      <c r="C23321" t="s">
        <v>22</v>
      </c>
      <c r="D23321" t="s">
        <v>11</v>
      </c>
      <c r="E23321" t="s">
        <v>12</v>
      </c>
      <c r="F23321">
        <v>95015416</v>
      </c>
      <c r="G23321">
        <v>95015462</v>
      </c>
      <c r="H23321">
        <v>95015214</v>
      </c>
      <c r="I23321">
        <v>95015246</v>
      </c>
    </row>
    <row r="23322" spans="1:9" x14ac:dyDescent="0.2">
      <c r="A23322" t="str">
        <f>"Zfp688"</f>
        <v>Zfp688</v>
      </c>
      <c r="B23322" t="s">
        <v>14</v>
      </c>
      <c r="C23322" t="s">
        <v>33</v>
      </c>
      <c r="D23322" t="s">
        <v>11</v>
      </c>
      <c r="E23322" t="s">
        <v>12</v>
      </c>
      <c r="F23322">
        <v>127422002</v>
      </c>
      <c r="G23322">
        <v>127422059</v>
      </c>
      <c r="H23322">
        <v>127421939</v>
      </c>
      <c r="I23322">
        <v>127421947</v>
      </c>
    </row>
    <row r="23323" spans="1:9" x14ac:dyDescent="0.2">
      <c r="A23323" t="str">
        <f>"Zfp689"</f>
        <v>Zfp689</v>
      </c>
      <c r="B23323" t="s">
        <v>14</v>
      </c>
      <c r="C23323" t="s">
        <v>33</v>
      </c>
      <c r="D23323" t="s">
        <v>11</v>
      </c>
      <c r="E23323" t="s">
        <v>12</v>
      </c>
      <c r="F23323">
        <v>127449109</v>
      </c>
      <c r="G23323">
        <v>127449166</v>
      </c>
      <c r="H23323">
        <v>127449060</v>
      </c>
      <c r="I23323">
        <v>127449077</v>
      </c>
    </row>
    <row r="23324" spans="1:9" x14ac:dyDescent="0.2">
      <c r="A23324" t="str">
        <f>"Zfp69"</f>
        <v>Zfp69</v>
      </c>
      <c r="B23324" t="s">
        <v>14</v>
      </c>
      <c r="C23324" t="s">
        <v>23</v>
      </c>
      <c r="D23324" t="s">
        <v>11</v>
      </c>
      <c r="E23324" t="s">
        <v>12</v>
      </c>
      <c r="F23324">
        <v>120951664</v>
      </c>
      <c r="G23324">
        <v>120951697</v>
      </c>
      <c r="H23324">
        <v>120951623</v>
      </c>
      <c r="I23324">
        <v>120951654</v>
      </c>
    </row>
    <row r="23325" spans="1:9" x14ac:dyDescent="0.2">
      <c r="A23325" t="str">
        <f>"Zfp691"</f>
        <v>Zfp691</v>
      </c>
      <c r="B23325" t="s">
        <v>14</v>
      </c>
      <c r="C23325" t="s">
        <v>23</v>
      </c>
      <c r="D23325" t="s">
        <v>11</v>
      </c>
      <c r="E23325" t="s">
        <v>12</v>
      </c>
      <c r="F23325">
        <v>119174178</v>
      </c>
      <c r="G23325">
        <v>119174221</v>
      </c>
      <c r="H23325">
        <v>119173849</v>
      </c>
      <c r="I23325">
        <v>119173901</v>
      </c>
    </row>
    <row r="23326" spans="1:9" x14ac:dyDescent="0.2">
      <c r="A23326" t="str">
        <f>"Zfp692"</f>
        <v>Zfp692</v>
      </c>
      <c r="B23326" t="s">
        <v>14</v>
      </c>
      <c r="C23326" t="s">
        <v>27</v>
      </c>
      <c r="D23326" t="s">
        <v>17</v>
      </c>
      <c r="E23326" t="s">
        <v>12</v>
      </c>
      <c r="F23326">
        <v>58307055</v>
      </c>
      <c r="G23326">
        <v>58307104</v>
      </c>
      <c r="H23326">
        <v>58307122</v>
      </c>
      <c r="I23326">
        <v>58307143</v>
      </c>
    </row>
    <row r="23327" spans="1:9" x14ac:dyDescent="0.2">
      <c r="A23327" t="str">
        <f>"Zfp697"</f>
        <v>Zfp697</v>
      </c>
      <c r="B23327" t="s">
        <v>14</v>
      </c>
      <c r="C23327" t="s">
        <v>22</v>
      </c>
      <c r="D23327" t="s">
        <v>17</v>
      </c>
      <c r="E23327" t="s">
        <v>12</v>
      </c>
      <c r="F23327">
        <v>98382438</v>
      </c>
      <c r="G23327">
        <v>98382520</v>
      </c>
      <c r="H23327">
        <v>98382538</v>
      </c>
      <c r="I23327">
        <v>98382553</v>
      </c>
    </row>
    <row r="23328" spans="1:9" x14ac:dyDescent="0.2">
      <c r="A23328" t="str">
        <f>"Zfp7"</f>
        <v>Zfp7</v>
      </c>
      <c r="B23328" t="s">
        <v>14</v>
      </c>
      <c r="C23328" t="s">
        <v>25</v>
      </c>
      <c r="D23328" t="s">
        <v>17</v>
      </c>
      <c r="E23328" t="s">
        <v>12</v>
      </c>
      <c r="F23328">
        <v>76879302</v>
      </c>
      <c r="G23328">
        <v>76879334</v>
      </c>
      <c r="H23328">
        <v>76879232</v>
      </c>
      <c r="I23328">
        <v>76879246</v>
      </c>
    </row>
    <row r="23329" spans="1:9" x14ac:dyDescent="0.2">
      <c r="A23329" t="str">
        <f>"Zfp703"</f>
        <v>Zfp703</v>
      </c>
      <c r="B23329" t="s">
        <v>14</v>
      </c>
      <c r="C23329" t="s">
        <v>30</v>
      </c>
      <c r="D23329" t="s">
        <v>17</v>
      </c>
      <c r="E23329" t="s">
        <v>12</v>
      </c>
      <c r="F23329">
        <v>26977137</v>
      </c>
      <c r="G23329">
        <v>26977162</v>
      </c>
      <c r="H23329">
        <v>26977106</v>
      </c>
      <c r="I23329">
        <v>26977127</v>
      </c>
    </row>
    <row r="23330" spans="1:9" x14ac:dyDescent="0.2">
      <c r="A23330" t="str">
        <f>"Zfp704"</f>
        <v>Zfp704</v>
      </c>
      <c r="B23330" t="s">
        <v>14</v>
      </c>
      <c r="C23330" t="s">
        <v>22</v>
      </c>
      <c r="D23330" t="s">
        <v>11</v>
      </c>
      <c r="E23330" t="s">
        <v>12</v>
      </c>
      <c r="F23330">
        <v>9610090</v>
      </c>
      <c r="G23330">
        <v>9610124</v>
      </c>
      <c r="H23330">
        <v>9610074</v>
      </c>
      <c r="I23330">
        <v>9610086</v>
      </c>
    </row>
    <row r="23331" spans="1:9" x14ac:dyDescent="0.2">
      <c r="A23331" t="str">
        <f>"Zfp706"</f>
        <v>Zfp706</v>
      </c>
      <c r="B23331" t="s">
        <v>14</v>
      </c>
      <c r="C23331" t="s">
        <v>25</v>
      </c>
      <c r="D23331" t="s">
        <v>11</v>
      </c>
      <c r="E23331" t="s">
        <v>12</v>
      </c>
      <c r="F23331">
        <v>37007274</v>
      </c>
      <c r="G23331">
        <v>37007353</v>
      </c>
      <c r="H23331">
        <v>37007382</v>
      </c>
      <c r="I23331">
        <v>37007402</v>
      </c>
    </row>
    <row r="23332" spans="1:9" x14ac:dyDescent="0.2">
      <c r="A23332" t="str">
        <f>"Zfp707"</f>
        <v>Zfp707</v>
      </c>
      <c r="B23332" t="s">
        <v>14</v>
      </c>
      <c r="C23332" t="s">
        <v>25</v>
      </c>
      <c r="D23332" t="s">
        <v>17</v>
      </c>
      <c r="E23332" t="s">
        <v>12</v>
      </c>
      <c r="F23332">
        <v>75969287</v>
      </c>
      <c r="G23332">
        <v>75969312</v>
      </c>
      <c r="H23332">
        <v>75969117</v>
      </c>
      <c r="I23332">
        <v>75969156</v>
      </c>
    </row>
    <row r="23333" spans="1:9" x14ac:dyDescent="0.2">
      <c r="A23333" t="str">
        <f>"Zfp708"</f>
        <v>Zfp708</v>
      </c>
      <c r="B23333" t="s">
        <v>9</v>
      </c>
      <c r="C23333" t="s">
        <v>39</v>
      </c>
      <c r="D23333" t="s">
        <v>11</v>
      </c>
      <c r="E23333" t="s">
        <v>12</v>
      </c>
      <c r="F23333">
        <v>67108546</v>
      </c>
      <c r="G23333">
        <v>67108609</v>
      </c>
      <c r="H23333">
        <v>67108546</v>
      </c>
      <c r="I23333">
        <v>67108609</v>
      </c>
    </row>
    <row r="23334" spans="1:9" x14ac:dyDescent="0.2">
      <c r="A23334" t="str">
        <f>"Zfp708"</f>
        <v>Zfp708</v>
      </c>
      <c r="B23334" t="s">
        <v>13</v>
      </c>
      <c r="C23334" t="s">
        <v>39</v>
      </c>
      <c r="D23334" t="s">
        <v>11</v>
      </c>
      <c r="E23334" t="s">
        <v>12</v>
      </c>
      <c r="F23334">
        <v>67081503</v>
      </c>
      <c r="G23334">
        <v>67081555</v>
      </c>
      <c r="H23334">
        <v>67081503</v>
      </c>
      <c r="I23334">
        <v>67081555</v>
      </c>
    </row>
    <row r="23335" spans="1:9" x14ac:dyDescent="0.2">
      <c r="A23335" t="str">
        <f>"Zfp709"</f>
        <v>Zfp709</v>
      </c>
      <c r="B23335" t="s">
        <v>14</v>
      </c>
      <c r="C23335" t="s">
        <v>30</v>
      </c>
      <c r="D23335" t="s">
        <v>17</v>
      </c>
      <c r="E23335" t="s">
        <v>12</v>
      </c>
      <c r="F23335">
        <v>71882059</v>
      </c>
      <c r="G23335">
        <v>71882120</v>
      </c>
      <c r="H23335">
        <v>71881961</v>
      </c>
      <c r="I23335">
        <v>71882006</v>
      </c>
    </row>
    <row r="23336" spans="1:9" x14ac:dyDescent="0.2">
      <c r="A23336" t="str">
        <f>"Zfp71-rs1"</f>
        <v>Zfp71-rs1</v>
      </c>
      <c r="B23336" t="s">
        <v>9</v>
      </c>
      <c r="C23336" t="s">
        <v>39</v>
      </c>
      <c r="D23336" t="s">
        <v>11</v>
      </c>
      <c r="E23336" t="s">
        <v>12</v>
      </c>
      <c r="F23336">
        <v>67724264</v>
      </c>
      <c r="G23336">
        <v>67724340</v>
      </c>
      <c r="H23336">
        <v>67724264</v>
      </c>
      <c r="I23336">
        <v>67724340</v>
      </c>
    </row>
    <row r="23337" spans="1:9" x14ac:dyDescent="0.2">
      <c r="A23337" t="str">
        <f>"Zfp71-rs1"</f>
        <v>Zfp71-rs1</v>
      </c>
      <c r="B23337" t="s">
        <v>13</v>
      </c>
      <c r="C23337" t="s">
        <v>39</v>
      </c>
      <c r="D23337" t="s">
        <v>11</v>
      </c>
      <c r="E23337" t="s">
        <v>12</v>
      </c>
      <c r="F23337">
        <v>67729109</v>
      </c>
      <c r="G23337">
        <v>67729145</v>
      </c>
      <c r="H23337">
        <v>67729109</v>
      </c>
      <c r="I23337">
        <v>67729145</v>
      </c>
    </row>
    <row r="23338" spans="1:9" x14ac:dyDescent="0.2">
      <c r="A23338" t="str">
        <f>"Zfp710"</f>
        <v>Zfp710</v>
      </c>
      <c r="B23338" t="s">
        <v>14</v>
      </c>
      <c r="C23338" t="s">
        <v>33</v>
      </c>
      <c r="D23338" t="s">
        <v>17</v>
      </c>
      <c r="E23338" t="s">
        <v>12</v>
      </c>
      <c r="F23338">
        <v>80026161</v>
      </c>
      <c r="G23338">
        <v>80026192</v>
      </c>
      <c r="H23338">
        <v>80025993</v>
      </c>
      <c r="I23338">
        <v>80026028</v>
      </c>
    </row>
    <row r="23339" spans="1:9" x14ac:dyDescent="0.2">
      <c r="A23339" t="str">
        <f>"Zfp711"</f>
        <v>Zfp711</v>
      </c>
      <c r="B23339" t="s">
        <v>14</v>
      </c>
      <c r="C23339" t="s">
        <v>37</v>
      </c>
      <c r="D23339" t="s">
        <v>17</v>
      </c>
      <c r="E23339" t="s">
        <v>12</v>
      </c>
      <c r="F23339">
        <v>112600722</v>
      </c>
      <c r="G23339">
        <v>112600738</v>
      </c>
      <c r="H23339">
        <v>112600722</v>
      </c>
      <c r="I23339">
        <v>112600738</v>
      </c>
    </row>
    <row r="23340" spans="1:9" x14ac:dyDescent="0.2">
      <c r="A23340" t="str">
        <f>"Zfp712"</f>
        <v>Zfp712</v>
      </c>
      <c r="B23340" t="s">
        <v>14</v>
      </c>
      <c r="C23340" t="s">
        <v>39</v>
      </c>
      <c r="D23340" t="s">
        <v>11</v>
      </c>
      <c r="E23340" t="s">
        <v>12</v>
      </c>
      <c r="F23340">
        <v>67061131</v>
      </c>
      <c r="G23340">
        <v>67061178</v>
      </c>
      <c r="H23340">
        <v>67061131</v>
      </c>
      <c r="I23340">
        <v>67061178</v>
      </c>
    </row>
    <row r="23341" spans="1:9" x14ac:dyDescent="0.2">
      <c r="A23341" t="str">
        <f>"Zfp715"</f>
        <v>Zfp715</v>
      </c>
      <c r="B23341" t="s">
        <v>14</v>
      </c>
      <c r="C23341" t="s">
        <v>33</v>
      </c>
      <c r="D23341" t="s">
        <v>11</v>
      </c>
      <c r="E23341" t="s">
        <v>12</v>
      </c>
      <c r="F23341">
        <v>43313233</v>
      </c>
      <c r="G23341">
        <v>43313285</v>
      </c>
      <c r="H23341">
        <v>43313096</v>
      </c>
      <c r="I23341">
        <v>43313116</v>
      </c>
    </row>
    <row r="23342" spans="1:9" x14ac:dyDescent="0.2">
      <c r="A23342" t="str">
        <f>"Zfp719"</f>
        <v>Zfp719</v>
      </c>
      <c r="B23342" t="s">
        <v>14</v>
      </c>
      <c r="C23342" t="s">
        <v>33</v>
      </c>
      <c r="D23342" t="s">
        <v>17</v>
      </c>
      <c r="E23342" t="s">
        <v>12</v>
      </c>
      <c r="F23342">
        <v>43579694</v>
      </c>
      <c r="G23342">
        <v>43579764</v>
      </c>
      <c r="H23342">
        <v>43579577</v>
      </c>
      <c r="I23342">
        <v>43579640</v>
      </c>
    </row>
    <row r="23343" spans="1:9" x14ac:dyDescent="0.2">
      <c r="A23343" t="str">
        <f>"Zfp72"</f>
        <v>Zfp72</v>
      </c>
      <c r="B23343" t="s">
        <v>6356</v>
      </c>
      <c r="C23343" t="s">
        <v>39</v>
      </c>
      <c r="D23343" t="s">
        <v>11</v>
      </c>
      <c r="E23343" t="s">
        <v>20</v>
      </c>
      <c r="F23343">
        <v>74376565</v>
      </c>
      <c r="G23343">
        <v>74376565</v>
      </c>
      <c r="H23343">
        <v>74376565</v>
      </c>
      <c r="I23343">
        <v>74376565</v>
      </c>
    </row>
    <row r="23344" spans="1:9" x14ac:dyDescent="0.2">
      <c r="A23344" t="str">
        <f>"Zfp735"</f>
        <v>Zfp735</v>
      </c>
      <c r="B23344" t="s">
        <v>14</v>
      </c>
      <c r="C23344" t="s">
        <v>27</v>
      </c>
      <c r="D23344" t="s">
        <v>17</v>
      </c>
      <c r="E23344" t="s">
        <v>12</v>
      </c>
      <c r="F23344">
        <v>73693920</v>
      </c>
      <c r="G23344">
        <v>73693925</v>
      </c>
      <c r="H23344">
        <v>73693920</v>
      </c>
      <c r="I23344">
        <v>73693925</v>
      </c>
    </row>
    <row r="23345" spans="1:9" x14ac:dyDescent="0.2">
      <c r="A23345" t="str">
        <f>"Zfp738"</f>
        <v>Zfp738</v>
      </c>
      <c r="B23345" t="s">
        <v>14</v>
      </c>
      <c r="C23345" t="s">
        <v>39</v>
      </c>
      <c r="D23345" t="s">
        <v>11</v>
      </c>
      <c r="E23345" t="s">
        <v>12</v>
      </c>
      <c r="F23345">
        <v>67683475</v>
      </c>
      <c r="G23345">
        <v>67683562</v>
      </c>
      <c r="H23345">
        <v>67683475</v>
      </c>
      <c r="I23345">
        <v>67683562</v>
      </c>
    </row>
    <row r="23346" spans="1:9" x14ac:dyDescent="0.2">
      <c r="A23346" t="str">
        <f>"Zfp74"</f>
        <v>Zfp74</v>
      </c>
      <c r="B23346" t="s">
        <v>14</v>
      </c>
      <c r="C23346" t="s">
        <v>33</v>
      </c>
      <c r="D23346" t="s">
        <v>11</v>
      </c>
      <c r="E23346" t="s">
        <v>12</v>
      </c>
      <c r="F23346">
        <v>29954049</v>
      </c>
      <c r="G23346">
        <v>29954089</v>
      </c>
      <c r="H23346">
        <v>29954049</v>
      </c>
      <c r="I23346">
        <v>29954089</v>
      </c>
    </row>
    <row r="23347" spans="1:9" x14ac:dyDescent="0.2">
      <c r="A23347" t="str">
        <f>"Zfp740"</f>
        <v>Zfp740</v>
      </c>
      <c r="B23347" t="s">
        <v>14</v>
      </c>
      <c r="C23347" t="s">
        <v>25</v>
      </c>
      <c r="D23347" t="s">
        <v>17</v>
      </c>
      <c r="E23347" t="s">
        <v>12</v>
      </c>
      <c r="F23347">
        <v>102203639</v>
      </c>
      <c r="G23347">
        <v>102203693</v>
      </c>
      <c r="H23347">
        <v>102203639</v>
      </c>
      <c r="I23347">
        <v>102203693</v>
      </c>
    </row>
    <row r="23348" spans="1:9" x14ac:dyDescent="0.2">
      <c r="A23348" t="str">
        <f>"Zfp746"</f>
        <v>Zfp746</v>
      </c>
      <c r="B23348" t="s">
        <v>14</v>
      </c>
      <c r="C23348" t="s">
        <v>32</v>
      </c>
      <c r="D23348" t="s">
        <v>11</v>
      </c>
      <c r="E23348" t="s">
        <v>12</v>
      </c>
      <c r="F23348">
        <v>48086530</v>
      </c>
      <c r="G23348">
        <v>48086658</v>
      </c>
      <c r="H23348">
        <v>48086668</v>
      </c>
      <c r="I23348">
        <v>48086681</v>
      </c>
    </row>
    <row r="23349" spans="1:9" x14ac:dyDescent="0.2">
      <c r="A23349" t="str">
        <f>"Zfp747"</f>
        <v>Zfp747</v>
      </c>
      <c r="B23349" t="s">
        <v>14</v>
      </c>
      <c r="C23349" t="s">
        <v>33</v>
      </c>
      <c r="D23349" t="s">
        <v>11</v>
      </c>
      <c r="E23349" t="s">
        <v>12</v>
      </c>
      <c r="F23349">
        <v>127376028</v>
      </c>
      <c r="G23349">
        <v>127376055</v>
      </c>
      <c r="H23349">
        <v>127375997</v>
      </c>
      <c r="I23349">
        <v>127376020</v>
      </c>
    </row>
    <row r="23350" spans="1:9" x14ac:dyDescent="0.2">
      <c r="A23350" t="str">
        <f>"Zfp748"</f>
        <v>Zfp748</v>
      </c>
      <c r="B23350" t="s">
        <v>14</v>
      </c>
      <c r="C23350" t="s">
        <v>39</v>
      </c>
      <c r="D23350" t="s">
        <v>11</v>
      </c>
      <c r="E23350" t="s">
        <v>12</v>
      </c>
      <c r="F23350">
        <v>67553099</v>
      </c>
      <c r="G23350">
        <v>67553176</v>
      </c>
      <c r="H23350">
        <v>67553099</v>
      </c>
      <c r="I23350">
        <v>67553176</v>
      </c>
    </row>
    <row r="23351" spans="1:9" x14ac:dyDescent="0.2">
      <c r="A23351" t="str">
        <f>"Zfp750"</f>
        <v>Zfp750</v>
      </c>
      <c r="B23351" t="s">
        <v>14</v>
      </c>
      <c r="C23351" t="s">
        <v>27</v>
      </c>
      <c r="D23351" t="s">
        <v>11</v>
      </c>
      <c r="E23351" t="s">
        <v>12</v>
      </c>
      <c r="F23351">
        <v>121519326</v>
      </c>
      <c r="G23351">
        <v>121519341</v>
      </c>
      <c r="H23351">
        <v>121519280</v>
      </c>
      <c r="I23351">
        <v>121519295</v>
      </c>
    </row>
    <row r="23352" spans="1:9" x14ac:dyDescent="0.2">
      <c r="A23352" t="str">
        <f>"Zfp758"</f>
        <v>Zfp758</v>
      </c>
      <c r="B23352" t="s">
        <v>14</v>
      </c>
      <c r="C23352" t="s">
        <v>28</v>
      </c>
      <c r="D23352" t="s">
        <v>17</v>
      </c>
      <c r="E23352" t="s">
        <v>12</v>
      </c>
      <c r="F23352">
        <v>22361646</v>
      </c>
      <c r="G23352">
        <v>22361654</v>
      </c>
      <c r="H23352">
        <v>22361646</v>
      </c>
      <c r="I23352">
        <v>22361654</v>
      </c>
    </row>
    <row r="23353" spans="1:9" x14ac:dyDescent="0.2">
      <c r="A23353" t="str">
        <f>"Zfp759"</f>
        <v>Zfp759</v>
      </c>
      <c r="B23353" t="s">
        <v>14</v>
      </c>
      <c r="C23353" t="s">
        <v>39</v>
      </c>
      <c r="D23353" t="s">
        <v>17</v>
      </c>
      <c r="E23353" t="s">
        <v>12</v>
      </c>
      <c r="F23353">
        <v>67128219</v>
      </c>
      <c r="G23353">
        <v>67128251</v>
      </c>
      <c r="H23353">
        <v>67128191</v>
      </c>
      <c r="I23353">
        <v>67128217</v>
      </c>
    </row>
    <row r="23354" spans="1:9" x14ac:dyDescent="0.2">
      <c r="A23354" t="str">
        <f>"Zfp760"</f>
        <v>Zfp760</v>
      </c>
      <c r="B23354" t="s">
        <v>14</v>
      </c>
      <c r="C23354" t="s">
        <v>28</v>
      </c>
      <c r="D23354" t="s">
        <v>17</v>
      </c>
      <c r="E23354" t="s">
        <v>12</v>
      </c>
      <c r="F23354">
        <v>21707682</v>
      </c>
      <c r="G23354">
        <v>21707741</v>
      </c>
      <c r="H23354">
        <v>21707742</v>
      </c>
      <c r="I23354">
        <v>21707765</v>
      </c>
    </row>
    <row r="23355" spans="1:9" x14ac:dyDescent="0.2">
      <c r="A23355" t="str">
        <f>"Zfp763"</f>
        <v>Zfp763</v>
      </c>
      <c r="B23355" t="s">
        <v>14</v>
      </c>
      <c r="C23355" t="s">
        <v>28</v>
      </c>
      <c r="D23355" t="s">
        <v>11</v>
      </c>
      <c r="E23355" t="s">
        <v>12</v>
      </c>
      <c r="F23355">
        <v>33033367</v>
      </c>
      <c r="G23355">
        <v>33033411</v>
      </c>
      <c r="H23355">
        <v>33033359</v>
      </c>
      <c r="I23355">
        <v>33033366</v>
      </c>
    </row>
    <row r="23356" spans="1:9" x14ac:dyDescent="0.2">
      <c r="A23356" t="str">
        <f>"Zfp764"</f>
        <v>Zfp764</v>
      </c>
      <c r="B23356" t="s">
        <v>14</v>
      </c>
      <c r="C23356" t="s">
        <v>33</v>
      </c>
      <c r="D23356" t="s">
        <v>11</v>
      </c>
      <c r="E23356" t="s">
        <v>12</v>
      </c>
      <c r="F23356">
        <v>127406775</v>
      </c>
      <c r="G23356">
        <v>127406799</v>
      </c>
      <c r="H23356">
        <v>127406807</v>
      </c>
      <c r="I23356">
        <v>127406831</v>
      </c>
    </row>
    <row r="23357" spans="1:9" x14ac:dyDescent="0.2">
      <c r="A23357" t="str">
        <f>"Zfp768"</f>
        <v>Zfp768</v>
      </c>
      <c r="B23357" t="s">
        <v>14</v>
      </c>
      <c r="C23357" t="s">
        <v>33</v>
      </c>
      <c r="D23357" t="s">
        <v>11</v>
      </c>
      <c r="E23357" t="s">
        <v>12</v>
      </c>
      <c r="F23357">
        <v>127345343</v>
      </c>
      <c r="G23357">
        <v>127345400</v>
      </c>
      <c r="H23357">
        <v>127345343</v>
      </c>
      <c r="I23357">
        <v>127345400</v>
      </c>
    </row>
    <row r="23358" spans="1:9" x14ac:dyDescent="0.2">
      <c r="A23358" t="str">
        <f>"Zfp770"</f>
        <v>Zfp770</v>
      </c>
      <c r="B23358" t="s">
        <v>14</v>
      </c>
      <c r="C23358" t="s">
        <v>26</v>
      </c>
      <c r="D23358" t="s">
        <v>11</v>
      </c>
      <c r="E23358" t="s">
        <v>12</v>
      </c>
      <c r="F23358">
        <v>114201416</v>
      </c>
      <c r="G23358">
        <v>114201445</v>
      </c>
      <c r="H23358">
        <v>114201416</v>
      </c>
      <c r="I23358">
        <v>114201445</v>
      </c>
    </row>
    <row r="23359" spans="1:9" x14ac:dyDescent="0.2">
      <c r="A23359" t="str">
        <f>"Zfp771"</f>
        <v>Zfp771</v>
      </c>
      <c r="B23359" t="s">
        <v>14</v>
      </c>
      <c r="C23359" t="s">
        <v>33</v>
      </c>
      <c r="D23359" t="s">
        <v>17</v>
      </c>
      <c r="E23359" t="s">
        <v>12</v>
      </c>
      <c r="F23359">
        <v>127244511</v>
      </c>
      <c r="G23359">
        <v>127244578</v>
      </c>
      <c r="H23359">
        <v>127244579</v>
      </c>
      <c r="I23359">
        <v>127244590</v>
      </c>
    </row>
    <row r="23360" spans="1:9" x14ac:dyDescent="0.2">
      <c r="A23360" t="str">
        <f>"Zfp772"</f>
        <v>Zfp772</v>
      </c>
      <c r="B23360" t="s">
        <v>6357</v>
      </c>
      <c r="C23360" t="s">
        <v>33</v>
      </c>
      <c r="D23360" t="s">
        <v>11</v>
      </c>
      <c r="E23360" t="s">
        <v>20</v>
      </c>
      <c r="F23360">
        <v>7209997</v>
      </c>
      <c r="G23360">
        <v>7209997</v>
      </c>
      <c r="H23360">
        <v>7209997</v>
      </c>
      <c r="I23360">
        <v>7209997</v>
      </c>
    </row>
    <row r="23361" spans="1:9" x14ac:dyDescent="0.2">
      <c r="A23361" t="str">
        <f>"Zfp773"</f>
        <v>Zfp773</v>
      </c>
      <c r="B23361" t="s">
        <v>14</v>
      </c>
      <c r="C23361" t="s">
        <v>33</v>
      </c>
      <c r="D23361" t="s">
        <v>11</v>
      </c>
      <c r="E23361" t="s">
        <v>12</v>
      </c>
      <c r="F23361">
        <v>7136741</v>
      </c>
      <c r="G23361">
        <v>7136786</v>
      </c>
      <c r="H23361">
        <v>7136741</v>
      </c>
      <c r="I23361">
        <v>7136786</v>
      </c>
    </row>
    <row r="23362" spans="1:9" x14ac:dyDescent="0.2">
      <c r="A23362" t="str">
        <f>"Zfp775"</f>
        <v>Zfp775</v>
      </c>
      <c r="B23362" t="s">
        <v>6358</v>
      </c>
      <c r="C23362" t="s">
        <v>32</v>
      </c>
      <c r="D23362" t="s">
        <v>17</v>
      </c>
      <c r="E23362" t="s">
        <v>20</v>
      </c>
      <c r="F23362">
        <v>48613179</v>
      </c>
      <c r="G23362">
        <v>48613179</v>
      </c>
      <c r="H23362">
        <v>48613179</v>
      </c>
      <c r="I23362">
        <v>48613179</v>
      </c>
    </row>
    <row r="23363" spans="1:9" x14ac:dyDescent="0.2">
      <c r="A23363" t="str">
        <f>"Zfp777"</f>
        <v>Zfp777</v>
      </c>
      <c r="B23363" t="s">
        <v>14</v>
      </c>
      <c r="C23363" t="s">
        <v>32</v>
      </c>
      <c r="D23363" t="s">
        <v>11</v>
      </c>
      <c r="E23363" t="s">
        <v>12</v>
      </c>
      <c r="F23363">
        <v>48048499</v>
      </c>
      <c r="G23363">
        <v>48048528</v>
      </c>
      <c r="H23363">
        <v>48048939</v>
      </c>
      <c r="I23363">
        <v>48048956</v>
      </c>
    </row>
    <row r="23364" spans="1:9" x14ac:dyDescent="0.2">
      <c r="A23364" t="str">
        <f>"Zfp78"</f>
        <v>Zfp78</v>
      </c>
      <c r="B23364" t="s">
        <v>14</v>
      </c>
      <c r="C23364" t="s">
        <v>33</v>
      </c>
      <c r="D23364" t="s">
        <v>17</v>
      </c>
      <c r="E23364" t="s">
        <v>12</v>
      </c>
      <c r="F23364">
        <v>6363302</v>
      </c>
      <c r="G23364">
        <v>6363341</v>
      </c>
      <c r="H23364">
        <v>6363287</v>
      </c>
      <c r="I23364">
        <v>6363300</v>
      </c>
    </row>
    <row r="23365" spans="1:9" x14ac:dyDescent="0.2">
      <c r="A23365" t="str">
        <f>"Zfp780b"</f>
        <v>Zfp780b</v>
      </c>
      <c r="B23365" t="s">
        <v>14</v>
      </c>
      <c r="C23365" t="s">
        <v>33</v>
      </c>
      <c r="D23365" t="s">
        <v>11</v>
      </c>
      <c r="E23365" t="s">
        <v>12</v>
      </c>
      <c r="F23365">
        <v>27979155</v>
      </c>
      <c r="G23365">
        <v>27979181</v>
      </c>
      <c r="H23365">
        <v>27979134</v>
      </c>
      <c r="I23365">
        <v>27979154</v>
      </c>
    </row>
    <row r="23366" spans="1:9" x14ac:dyDescent="0.2">
      <c r="A23366" t="str">
        <f>"Zfp781"</f>
        <v>Zfp781</v>
      </c>
      <c r="B23366" t="s">
        <v>6359</v>
      </c>
      <c r="C23366" t="s">
        <v>15</v>
      </c>
      <c r="D23366" t="s">
        <v>11</v>
      </c>
      <c r="E23366" t="s">
        <v>20</v>
      </c>
      <c r="F23366">
        <v>81910898</v>
      </c>
      <c r="G23366">
        <v>81910898</v>
      </c>
      <c r="H23366">
        <v>81910898</v>
      </c>
      <c r="I23366">
        <v>81910898</v>
      </c>
    </row>
    <row r="23367" spans="1:9" x14ac:dyDescent="0.2">
      <c r="A23367" t="str">
        <f>"Zfp784"</f>
        <v>Zfp784</v>
      </c>
      <c r="B23367" t="s">
        <v>14</v>
      </c>
      <c r="C23367" t="s">
        <v>33</v>
      </c>
      <c r="D23367" t="s">
        <v>11</v>
      </c>
      <c r="E23367" t="s">
        <v>12</v>
      </c>
      <c r="F23367">
        <v>5038427</v>
      </c>
      <c r="G23367">
        <v>5038450</v>
      </c>
      <c r="H23367">
        <v>5038413</v>
      </c>
      <c r="I23367">
        <v>5038426</v>
      </c>
    </row>
    <row r="23368" spans="1:9" x14ac:dyDescent="0.2">
      <c r="A23368" t="str">
        <f>"Zfp786"</f>
        <v>Zfp786</v>
      </c>
      <c r="B23368" t="s">
        <v>14</v>
      </c>
      <c r="C23368" t="s">
        <v>32</v>
      </c>
      <c r="D23368" t="s">
        <v>11</v>
      </c>
      <c r="E23368" t="s">
        <v>12</v>
      </c>
      <c r="F23368">
        <v>47830509</v>
      </c>
      <c r="G23368">
        <v>47830584</v>
      </c>
      <c r="H23368">
        <v>47830886</v>
      </c>
      <c r="I23368">
        <v>47830902</v>
      </c>
    </row>
    <row r="23369" spans="1:9" x14ac:dyDescent="0.2">
      <c r="A23369" t="str">
        <f>"Zfp787"</f>
        <v>Zfp787</v>
      </c>
      <c r="B23369" t="s">
        <v>14</v>
      </c>
      <c r="C23369" t="s">
        <v>33</v>
      </c>
      <c r="D23369" t="s">
        <v>11</v>
      </c>
      <c r="E23369" t="s">
        <v>12</v>
      </c>
      <c r="F23369">
        <v>6155939</v>
      </c>
      <c r="G23369">
        <v>6155970</v>
      </c>
      <c r="H23369">
        <v>6156211</v>
      </c>
      <c r="I23369">
        <v>6156253</v>
      </c>
    </row>
    <row r="23370" spans="1:9" x14ac:dyDescent="0.2">
      <c r="A23370" t="str">
        <f>"Zfp788"</f>
        <v>Zfp788</v>
      </c>
      <c r="B23370" t="s">
        <v>14</v>
      </c>
      <c r="C23370" t="s">
        <v>33</v>
      </c>
      <c r="D23370" t="s">
        <v>17</v>
      </c>
      <c r="E23370" t="s">
        <v>12</v>
      </c>
      <c r="F23370">
        <v>41633545</v>
      </c>
      <c r="G23370">
        <v>41633603</v>
      </c>
      <c r="H23370">
        <v>41633535</v>
      </c>
      <c r="I23370">
        <v>41633540</v>
      </c>
    </row>
    <row r="23371" spans="1:9" x14ac:dyDescent="0.2">
      <c r="A23371" t="str">
        <f>"Zfp790"</f>
        <v>Zfp790</v>
      </c>
      <c r="B23371" t="s">
        <v>14</v>
      </c>
      <c r="C23371" t="s">
        <v>33</v>
      </c>
      <c r="D23371" t="s">
        <v>17</v>
      </c>
      <c r="E23371" t="s">
        <v>12</v>
      </c>
      <c r="F23371">
        <v>29816061</v>
      </c>
      <c r="G23371">
        <v>29816153</v>
      </c>
      <c r="H23371">
        <v>29816061</v>
      </c>
      <c r="I23371">
        <v>29816153</v>
      </c>
    </row>
    <row r="23372" spans="1:9" x14ac:dyDescent="0.2">
      <c r="A23372" t="str">
        <f>"Zfp791"</f>
        <v>Zfp791</v>
      </c>
      <c r="B23372" t="s">
        <v>14</v>
      </c>
      <c r="C23372" t="s">
        <v>30</v>
      </c>
      <c r="D23372" t="s">
        <v>11</v>
      </c>
      <c r="E23372" t="s">
        <v>12</v>
      </c>
      <c r="F23372">
        <v>85119679</v>
      </c>
      <c r="G23372">
        <v>85119694</v>
      </c>
      <c r="H23372">
        <v>85119699</v>
      </c>
      <c r="I23372">
        <v>85119724</v>
      </c>
    </row>
    <row r="23373" spans="1:9" x14ac:dyDescent="0.2">
      <c r="A23373" t="str">
        <f>"Zfp799"</f>
        <v>Zfp799</v>
      </c>
      <c r="B23373" t="s">
        <v>14</v>
      </c>
      <c r="C23373" t="s">
        <v>28</v>
      </c>
      <c r="D23373" t="s">
        <v>11</v>
      </c>
      <c r="E23373" t="s">
        <v>12</v>
      </c>
      <c r="F23373">
        <v>32830195</v>
      </c>
      <c r="G23373">
        <v>32830252</v>
      </c>
      <c r="H23373">
        <v>32830117</v>
      </c>
      <c r="I23373">
        <v>32830118</v>
      </c>
    </row>
    <row r="23374" spans="1:9" x14ac:dyDescent="0.2">
      <c r="A23374" t="str">
        <f>"Zfp800"</f>
        <v>Zfp800</v>
      </c>
      <c r="B23374" t="s">
        <v>14</v>
      </c>
      <c r="C23374" t="s">
        <v>32</v>
      </c>
      <c r="D23374" t="s">
        <v>11</v>
      </c>
      <c r="E23374" t="s">
        <v>12</v>
      </c>
      <c r="F23374">
        <v>28261907</v>
      </c>
      <c r="G23374">
        <v>28261943</v>
      </c>
      <c r="H23374">
        <v>28261956</v>
      </c>
      <c r="I23374">
        <v>28261967</v>
      </c>
    </row>
    <row r="23375" spans="1:9" x14ac:dyDescent="0.2">
      <c r="A23375" t="str">
        <f>"Zfp804a"</f>
        <v>Zfp804a</v>
      </c>
      <c r="B23375" t="s">
        <v>14</v>
      </c>
      <c r="C23375" t="s">
        <v>26</v>
      </c>
      <c r="D23375" t="s">
        <v>17</v>
      </c>
      <c r="E23375" t="s">
        <v>12</v>
      </c>
      <c r="F23375">
        <v>82053378</v>
      </c>
      <c r="G23375">
        <v>82053391</v>
      </c>
      <c r="H23375">
        <v>82053290</v>
      </c>
      <c r="I23375">
        <v>82053311</v>
      </c>
    </row>
    <row r="23376" spans="1:9" x14ac:dyDescent="0.2">
      <c r="A23376" t="str">
        <f>"Zfp804b"</f>
        <v>Zfp804b</v>
      </c>
      <c r="B23376" t="s">
        <v>6360</v>
      </c>
      <c r="C23376" t="s">
        <v>46</v>
      </c>
      <c r="D23376" t="s">
        <v>11</v>
      </c>
      <c r="E23376" t="s">
        <v>20</v>
      </c>
      <c r="F23376">
        <v>6876522</v>
      </c>
      <c r="G23376">
        <v>6876522</v>
      </c>
      <c r="H23376">
        <v>6876522</v>
      </c>
      <c r="I23376">
        <v>6876522</v>
      </c>
    </row>
    <row r="23377" spans="1:9" x14ac:dyDescent="0.2">
      <c r="A23377" t="str">
        <f>"Zfp808"</f>
        <v>Zfp808</v>
      </c>
      <c r="B23377" t="s">
        <v>14</v>
      </c>
      <c r="C23377" t="s">
        <v>39</v>
      </c>
      <c r="D23377" t="s">
        <v>17</v>
      </c>
      <c r="E23377" t="s">
        <v>12</v>
      </c>
      <c r="F23377">
        <v>62129894</v>
      </c>
      <c r="G23377">
        <v>62129923</v>
      </c>
      <c r="H23377">
        <v>62129873</v>
      </c>
      <c r="I23377">
        <v>62129879</v>
      </c>
    </row>
    <row r="23378" spans="1:9" x14ac:dyDescent="0.2">
      <c r="A23378" t="str">
        <f>"Zfp809"</f>
        <v>Zfp809</v>
      </c>
      <c r="B23378" t="s">
        <v>14</v>
      </c>
      <c r="C23378" t="s">
        <v>24</v>
      </c>
      <c r="D23378" t="s">
        <v>17</v>
      </c>
      <c r="E23378" t="s">
        <v>12</v>
      </c>
      <c r="F23378">
        <v>22225702</v>
      </c>
      <c r="G23378">
        <v>22225730</v>
      </c>
      <c r="H23378">
        <v>22225733</v>
      </c>
      <c r="I23378">
        <v>22225760</v>
      </c>
    </row>
    <row r="23379" spans="1:9" x14ac:dyDescent="0.2">
      <c r="A23379" t="str">
        <f>"Zfp81"</f>
        <v>Zfp81</v>
      </c>
      <c r="B23379" t="s">
        <v>14</v>
      </c>
      <c r="C23379" t="s">
        <v>28</v>
      </c>
      <c r="D23379" t="s">
        <v>11</v>
      </c>
      <c r="E23379" t="s">
        <v>12</v>
      </c>
      <c r="F23379">
        <v>33358832</v>
      </c>
      <c r="G23379">
        <v>33358886</v>
      </c>
      <c r="H23379">
        <v>33358832</v>
      </c>
      <c r="I23379">
        <v>33358886</v>
      </c>
    </row>
    <row r="23380" spans="1:9" x14ac:dyDescent="0.2">
      <c r="A23380" t="str">
        <f>"Zfp810"</f>
        <v>Zfp810</v>
      </c>
      <c r="B23380" t="s">
        <v>14</v>
      </c>
      <c r="C23380" t="s">
        <v>24</v>
      </c>
      <c r="D23380" t="s">
        <v>11</v>
      </c>
      <c r="E23380" t="s">
        <v>12</v>
      </c>
      <c r="F23380">
        <v>22307641</v>
      </c>
      <c r="G23380">
        <v>22307694</v>
      </c>
      <c r="H23380">
        <v>22307641</v>
      </c>
      <c r="I23380">
        <v>22307694</v>
      </c>
    </row>
    <row r="23381" spans="1:9" x14ac:dyDescent="0.2">
      <c r="A23381" t="str">
        <f>"Zfp811"</f>
        <v>Zfp811</v>
      </c>
      <c r="B23381" t="s">
        <v>14</v>
      </c>
      <c r="C23381" t="s">
        <v>28</v>
      </c>
      <c r="D23381" t="s">
        <v>11</v>
      </c>
      <c r="E23381" t="s">
        <v>12</v>
      </c>
      <c r="F23381">
        <v>32809878</v>
      </c>
      <c r="G23381">
        <v>32809940</v>
      </c>
      <c r="H23381">
        <v>32809861</v>
      </c>
      <c r="I23381">
        <v>32809876</v>
      </c>
    </row>
    <row r="23382" spans="1:9" x14ac:dyDescent="0.2">
      <c r="A23382" t="str">
        <f>"Zfp819"</f>
        <v>Zfp819</v>
      </c>
      <c r="B23382" t="s">
        <v>14</v>
      </c>
      <c r="C23382" t="s">
        <v>33</v>
      </c>
      <c r="D23382" t="s">
        <v>17</v>
      </c>
      <c r="E23382" t="s">
        <v>12</v>
      </c>
      <c r="F23382">
        <v>43607165</v>
      </c>
      <c r="G23382">
        <v>43607186</v>
      </c>
      <c r="H23382">
        <v>43607220</v>
      </c>
      <c r="I23382">
        <v>43607229</v>
      </c>
    </row>
    <row r="23383" spans="1:9" x14ac:dyDescent="0.2">
      <c r="A23383" t="str">
        <f>"Zfp82"</f>
        <v>Zfp82</v>
      </c>
      <c r="B23383" t="s">
        <v>14</v>
      </c>
      <c r="C23383" t="s">
        <v>33</v>
      </c>
      <c r="D23383" t="s">
        <v>11</v>
      </c>
      <c r="E23383" t="s">
        <v>12</v>
      </c>
      <c r="F23383">
        <v>30090471</v>
      </c>
      <c r="G23383">
        <v>30090536</v>
      </c>
      <c r="H23383">
        <v>30090399</v>
      </c>
      <c r="I23383">
        <v>30090435</v>
      </c>
    </row>
    <row r="23384" spans="1:9" x14ac:dyDescent="0.2">
      <c r="A23384" t="str">
        <f>"Zfp820"</f>
        <v>Zfp820</v>
      </c>
      <c r="B23384" t="s">
        <v>14</v>
      </c>
      <c r="C23384" t="s">
        <v>28</v>
      </c>
      <c r="D23384" t="s">
        <v>11</v>
      </c>
      <c r="E23384" t="s">
        <v>12</v>
      </c>
      <c r="F23384">
        <v>21845715</v>
      </c>
      <c r="G23384">
        <v>21845774</v>
      </c>
      <c r="H23384">
        <v>21845777</v>
      </c>
      <c r="I23384">
        <v>21845786</v>
      </c>
    </row>
    <row r="23385" spans="1:9" x14ac:dyDescent="0.2">
      <c r="A23385" t="str">
        <f>"Zfp821"</f>
        <v>Zfp821</v>
      </c>
      <c r="B23385" t="s">
        <v>14</v>
      </c>
      <c r="C23385" t="s">
        <v>30</v>
      </c>
      <c r="D23385" t="s">
        <v>17</v>
      </c>
      <c r="E23385" t="s">
        <v>12</v>
      </c>
      <c r="F23385">
        <v>109705578</v>
      </c>
      <c r="G23385">
        <v>109705636</v>
      </c>
      <c r="H23385">
        <v>109705640</v>
      </c>
      <c r="I23385">
        <v>109705666</v>
      </c>
    </row>
    <row r="23386" spans="1:9" x14ac:dyDescent="0.2">
      <c r="A23386" t="str">
        <f>"Zfp825"</f>
        <v>Zfp825</v>
      </c>
      <c r="B23386" t="s">
        <v>14</v>
      </c>
      <c r="C23386" t="s">
        <v>39</v>
      </c>
      <c r="D23386" t="s">
        <v>11</v>
      </c>
      <c r="E23386" t="s">
        <v>12</v>
      </c>
      <c r="F23386">
        <v>74493936</v>
      </c>
      <c r="G23386">
        <v>74493999</v>
      </c>
      <c r="H23386">
        <v>74493936</v>
      </c>
      <c r="I23386">
        <v>74493999</v>
      </c>
    </row>
    <row r="23387" spans="1:9" x14ac:dyDescent="0.2">
      <c r="A23387" t="str">
        <f>"Zfp827"</f>
        <v>Zfp827</v>
      </c>
      <c r="B23387" t="s">
        <v>14</v>
      </c>
      <c r="C23387" t="s">
        <v>30</v>
      </c>
      <c r="D23387" t="s">
        <v>17</v>
      </c>
      <c r="E23387" t="s">
        <v>12</v>
      </c>
      <c r="F23387">
        <v>79028253</v>
      </c>
      <c r="G23387">
        <v>79028309</v>
      </c>
      <c r="H23387">
        <v>79028253</v>
      </c>
      <c r="I23387">
        <v>79028309</v>
      </c>
    </row>
    <row r="23388" spans="1:9" x14ac:dyDescent="0.2">
      <c r="A23388" t="str">
        <f>"Zfp830"</f>
        <v>Zfp830</v>
      </c>
      <c r="B23388" t="s">
        <v>14</v>
      </c>
      <c r="C23388" t="s">
        <v>27</v>
      </c>
      <c r="D23388" t="s">
        <v>17</v>
      </c>
      <c r="E23388" t="s">
        <v>12</v>
      </c>
      <c r="F23388">
        <v>82764332</v>
      </c>
      <c r="G23388">
        <v>82764373</v>
      </c>
      <c r="H23388">
        <v>82764332</v>
      </c>
      <c r="I23388">
        <v>82764373</v>
      </c>
    </row>
    <row r="23389" spans="1:9" x14ac:dyDescent="0.2">
      <c r="A23389" t="str">
        <f>"Zfp831"</f>
        <v>Zfp831</v>
      </c>
      <c r="B23389" t="s">
        <v>6361</v>
      </c>
      <c r="C23389" t="s">
        <v>26</v>
      </c>
      <c r="D23389" t="s">
        <v>17</v>
      </c>
      <c r="E23389" t="s">
        <v>20</v>
      </c>
      <c r="F23389">
        <v>174643533</v>
      </c>
      <c r="G23389">
        <v>174643533</v>
      </c>
      <c r="H23389">
        <v>174643533</v>
      </c>
      <c r="I23389">
        <v>174643533</v>
      </c>
    </row>
    <row r="23390" spans="1:9" x14ac:dyDescent="0.2">
      <c r="A23390" t="str">
        <f>"Zfp839"</f>
        <v>Zfp839</v>
      </c>
      <c r="B23390" t="s">
        <v>14</v>
      </c>
      <c r="C23390" t="s">
        <v>16</v>
      </c>
      <c r="D23390" t="s">
        <v>17</v>
      </c>
      <c r="E23390" t="s">
        <v>12</v>
      </c>
      <c r="F23390">
        <v>110850273</v>
      </c>
      <c r="G23390">
        <v>110850302</v>
      </c>
      <c r="H23390">
        <v>110850305</v>
      </c>
      <c r="I23390">
        <v>110850326</v>
      </c>
    </row>
    <row r="23391" spans="1:9" x14ac:dyDescent="0.2">
      <c r="A23391" t="str">
        <f>"Zfp84"</f>
        <v>Zfp84</v>
      </c>
      <c r="B23391" t="s">
        <v>14</v>
      </c>
      <c r="C23391" t="s">
        <v>33</v>
      </c>
      <c r="D23391" t="s">
        <v>17</v>
      </c>
      <c r="E23391" t="s">
        <v>12</v>
      </c>
      <c r="F23391">
        <v>29768568</v>
      </c>
      <c r="G23391">
        <v>29768642</v>
      </c>
      <c r="H23391">
        <v>29768643</v>
      </c>
      <c r="I23391">
        <v>29768650</v>
      </c>
    </row>
    <row r="23392" spans="1:9" x14ac:dyDescent="0.2">
      <c r="A23392" t="str">
        <f>"Zfp846"</f>
        <v>Zfp846</v>
      </c>
      <c r="B23392" t="s">
        <v>14</v>
      </c>
      <c r="C23392" t="s">
        <v>24</v>
      </c>
      <c r="D23392" t="s">
        <v>17</v>
      </c>
      <c r="E23392" t="s">
        <v>12</v>
      </c>
      <c r="F23392">
        <v>20581507</v>
      </c>
      <c r="G23392">
        <v>20581588</v>
      </c>
      <c r="H23392">
        <v>20581296</v>
      </c>
      <c r="I23392">
        <v>20581333</v>
      </c>
    </row>
    <row r="23393" spans="1:9" x14ac:dyDescent="0.2">
      <c r="A23393" t="str">
        <f>"Zfp85-rs1"</f>
        <v>Zfp85-rs1</v>
      </c>
      <c r="B23393" t="s">
        <v>14</v>
      </c>
      <c r="C23393" t="s">
        <v>39</v>
      </c>
      <c r="D23393" t="s">
        <v>11</v>
      </c>
      <c r="E23393" t="s">
        <v>12</v>
      </c>
      <c r="F23393">
        <v>67755132</v>
      </c>
      <c r="G23393">
        <v>67755169</v>
      </c>
      <c r="H23393">
        <v>67755192</v>
      </c>
      <c r="I23393">
        <v>67755211</v>
      </c>
    </row>
    <row r="23394" spans="1:9" x14ac:dyDescent="0.2">
      <c r="A23394" t="str">
        <f>"Zfp850"</f>
        <v>Zfp850</v>
      </c>
      <c r="B23394" t="s">
        <v>6362</v>
      </c>
      <c r="C23394" t="s">
        <v>33</v>
      </c>
      <c r="D23394" t="s">
        <v>11</v>
      </c>
      <c r="E23394" t="s">
        <v>20</v>
      </c>
      <c r="F23394">
        <v>28008415</v>
      </c>
      <c r="G23394">
        <v>28008415</v>
      </c>
      <c r="H23394">
        <v>28008415</v>
      </c>
      <c r="I23394">
        <v>28008415</v>
      </c>
    </row>
    <row r="23395" spans="1:9" x14ac:dyDescent="0.2">
      <c r="A23395" t="str">
        <f>"Zfp853"</f>
        <v>Zfp853</v>
      </c>
      <c r="B23395" t="s">
        <v>6363</v>
      </c>
      <c r="C23395" t="s">
        <v>46</v>
      </c>
      <c r="D23395" t="s">
        <v>11</v>
      </c>
      <c r="E23395" t="s">
        <v>20</v>
      </c>
      <c r="F23395">
        <v>143292355</v>
      </c>
      <c r="G23395">
        <v>143292355</v>
      </c>
      <c r="H23395">
        <v>143292355</v>
      </c>
      <c r="I23395">
        <v>143292355</v>
      </c>
    </row>
    <row r="23396" spans="1:9" x14ac:dyDescent="0.2">
      <c r="A23396" t="str">
        <f>"Zfp865"</f>
        <v>Zfp865</v>
      </c>
      <c r="B23396" t="s">
        <v>14</v>
      </c>
      <c r="C23396" t="s">
        <v>33</v>
      </c>
      <c r="D23396" t="s">
        <v>17</v>
      </c>
      <c r="E23396" t="s">
        <v>12</v>
      </c>
      <c r="F23396">
        <v>5020561</v>
      </c>
      <c r="G23396">
        <v>5020602</v>
      </c>
      <c r="H23396">
        <v>5020610</v>
      </c>
      <c r="I23396">
        <v>5020631</v>
      </c>
    </row>
    <row r="23397" spans="1:9" x14ac:dyDescent="0.2">
      <c r="A23397" t="str">
        <f>"Zfp866"</f>
        <v>Zfp866</v>
      </c>
      <c r="B23397" t="s">
        <v>9</v>
      </c>
      <c r="C23397" t="s">
        <v>30</v>
      </c>
      <c r="D23397" t="s">
        <v>11</v>
      </c>
      <c r="E23397" t="s">
        <v>12</v>
      </c>
      <c r="F23397">
        <v>69774884</v>
      </c>
      <c r="G23397">
        <v>69774916</v>
      </c>
      <c r="H23397">
        <v>69774884</v>
      </c>
      <c r="I23397">
        <v>69774916</v>
      </c>
    </row>
    <row r="23398" spans="1:9" x14ac:dyDescent="0.2">
      <c r="A23398" t="str">
        <f>"Zfp866"</f>
        <v>Zfp866</v>
      </c>
      <c r="B23398" t="s">
        <v>13</v>
      </c>
      <c r="C23398" t="s">
        <v>30</v>
      </c>
      <c r="D23398" t="s">
        <v>11</v>
      </c>
      <c r="E23398" t="s">
        <v>12</v>
      </c>
      <c r="F23398">
        <v>69791170</v>
      </c>
      <c r="G23398">
        <v>69791212</v>
      </c>
      <c r="H23398">
        <v>69791170</v>
      </c>
      <c r="I23398">
        <v>69791212</v>
      </c>
    </row>
    <row r="23399" spans="1:9" x14ac:dyDescent="0.2">
      <c r="A23399" t="str">
        <f>"Zfp867"</f>
        <v>Zfp867</v>
      </c>
      <c r="B23399" t="s">
        <v>14</v>
      </c>
      <c r="C23399" t="s">
        <v>27</v>
      </c>
      <c r="D23399" t="s">
        <v>11</v>
      </c>
      <c r="E23399" t="s">
        <v>12</v>
      </c>
      <c r="F23399">
        <v>59472432</v>
      </c>
      <c r="G23399">
        <v>59472460</v>
      </c>
      <c r="H23399">
        <v>59472464</v>
      </c>
      <c r="I23399">
        <v>59472488</v>
      </c>
    </row>
    <row r="23400" spans="1:9" x14ac:dyDescent="0.2">
      <c r="A23400" t="str">
        <f>"Zfp868"</f>
        <v>Zfp868</v>
      </c>
      <c r="B23400" t="s">
        <v>14</v>
      </c>
      <c r="C23400" t="s">
        <v>30</v>
      </c>
      <c r="D23400" t="s">
        <v>11</v>
      </c>
      <c r="E23400" t="s">
        <v>12</v>
      </c>
      <c r="F23400">
        <v>69625503</v>
      </c>
      <c r="G23400">
        <v>69625559</v>
      </c>
      <c r="H23400">
        <v>69625146</v>
      </c>
      <c r="I23400">
        <v>69625193</v>
      </c>
    </row>
    <row r="23401" spans="1:9" x14ac:dyDescent="0.2">
      <c r="A23401" t="str">
        <f>"Zfp869"</f>
        <v>Zfp869</v>
      </c>
      <c r="B23401" t="s">
        <v>14</v>
      </c>
      <c r="C23401" t="s">
        <v>30</v>
      </c>
      <c r="D23401" t="s">
        <v>11</v>
      </c>
      <c r="E23401" t="s">
        <v>12</v>
      </c>
      <c r="F23401">
        <v>69716850</v>
      </c>
      <c r="G23401">
        <v>69716912</v>
      </c>
      <c r="H23401">
        <v>69716437</v>
      </c>
      <c r="I23401">
        <v>69716492</v>
      </c>
    </row>
    <row r="23402" spans="1:9" x14ac:dyDescent="0.2">
      <c r="A23402" t="str">
        <f>"Zfp87"</f>
        <v>Zfp87</v>
      </c>
      <c r="B23402" t="s">
        <v>14</v>
      </c>
      <c r="C23402" t="s">
        <v>39</v>
      </c>
      <c r="D23402" t="s">
        <v>11</v>
      </c>
      <c r="E23402" t="s">
        <v>67</v>
      </c>
      <c r="F23402">
        <v>67526136</v>
      </c>
      <c r="G23402">
        <v>67526179</v>
      </c>
      <c r="H23402">
        <v>67526136</v>
      </c>
      <c r="I23402">
        <v>67526179</v>
      </c>
    </row>
    <row r="23403" spans="1:9" x14ac:dyDescent="0.2">
      <c r="A23403" t="str">
        <f>"Zfp870"</f>
        <v>Zfp870</v>
      </c>
      <c r="B23403" t="s">
        <v>14</v>
      </c>
      <c r="C23403" t="s">
        <v>28</v>
      </c>
      <c r="D23403" t="s">
        <v>11</v>
      </c>
      <c r="E23403" t="s">
        <v>12</v>
      </c>
      <c r="F23403">
        <v>32891570</v>
      </c>
      <c r="G23403">
        <v>32891646</v>
      </c>
      <c r="H23403">
        <v>32891549</v>
      </c>
      <c r="I23403">
        <v>32891565</v>
      </c>
    </row>
    <row r="23404" spans="1:9" x14ac:dyDescent="0.2">
      <c r="A23404" t="str">
        <f>"Zfp871"</f>
        <v>Zfp871</v>
      </c>
      <c r="B23404" t="s">
        <v>14</v>
      </c>
      <c r="C23404" t="s">
        <v>28</v>
      </c>
      <c r="D23404" t="s">
        <v>11</v>
      </c>
      <c r="E23404" t="s">
        <v>12</v>
      </c>
      <c r="F23404">
        <v>32788238</v>
      </c>
      <c r="G23404">
        <v>32788260</v>
      </c>
      <c r="H23404">
        <v>32788264</v>
      </c>
      <c r="I23404">
        <v>32788283</v>
      </c>
    </row>
    <row r="23405" spans="1:9" x14ac:dyDescent="0.2">
      <c r="A23405" t="str">
        <f>"Zfp872"</f>
        <v>Zfp872</v>
      </c>
      <c r="B23405" t="s">
        <v>14</v>
      </c>
      <c r="C23405" t="s">
        <v>24</v>
      </c>
      <c r="D23405" t="s">
        <v>17</v>
      </c>
      <c r="E23405" t="s">
        <v>12</v>
      </c>
      <c r="F23405">
        <v>22188137</v>
      </c>
      <c r="G23405">
        <v>22188149</v>
      </c>
      <c r="H23405">
        <v>22188161</v>
      </c>
      <c r="I23405">
        <v>22188175</v>
      </c>
    </row>
    <row r="23406" spans="1:9" x14ac:dyDescent="0.2">
      <c r="A23406" t="str">
        <f>"Zfp873"</f>
        <v>Zfp873</v>
      </c>
      <c r="B23406" t="s">
        <v>14</v>
      </c>
      <c r="C23406" t="s">
        <v>15</v>
      </c>
      <c r="D23406" t="s">
        <v>17</v>
      </c>
      <c r="E23406" t="s">
        <v>12</v>
      </c>
      <c r="F23406">
        <v>82048104</v>
      </c>
      <c r="G23406">
        <v>82048146</v>
      </c>
      <c r="H23406">
        <v>82048150</v>
      </c>
      <c r="I23406">
        <v>82048157</v>
      </c>
    </row>
    <row r="23407" spans="1:9" x14ac:dyDescent="0.2">
      <c r="A23407" t="str">
        <f>"Zfp874a"</f>
        <v>Zfp874a</v>
      </c>
      <c r="B23407" t="s">
        <v>14</v>
      </c>
      <c r="C23407" t="s">
        <v>39</v>
      </c>
      <c r="D23407" t="s">
        <v>11</v>
      </c>
      <c r="E23407" t="s">
        <v>12</v>
      </c>
      <c r="F23407">
        <v>67451591</v>
      </c>
      <c r="G23407">
        <v>67451638</v>
      </c>
      <c r="H23407">
        <v>67451645</v>
      </c>
      <c r="I23407">
        <v>67451650</v>
      </c>
    </row>
    <row r="23408" spans="1:9" x14ac:dyDescent="0.2">
      <c r="A23408" t="str">
        <f>"Zfp874b"</f>
        <v>Zfp874b</v>
      </c>
      <c r="B23408" t="s">
        <v>14</v>
      </c>
      <c r="C23408" t="s">
        <v>39</v>
      </c>
      <c r="D23408" t="s">
        <v>11</v>
      </c>
      <c r="E23408" t="s">
        <v>12</v>
      </c>
      <c r="F23408">
        <v>67484225</v>
      </c>
      <c r="G23408">
        <v>67484269</v>
      </c>
      <c r="H23408">
        <v>67484225</v>
      </c>
      <c r="I23408">
        <v>67484269</v>
      </c>
    </row>
    <row r="23409" spans="1:9" x14ac:dyDescent="0.2">
      <c r="A23409" t="str">
        <f>"Zfp879"</f>
        <v>Zfp879</v>
      </c>
      <c r="B23409" t="s">
        <v>14</v>
      </c>
      <c r="C23409" t="s">
        <v>27</v>
      </c>
      <c r="D23409" t="s">
        <v>11</v>
      </c>
      <c r="E23409" t="s">
        <v>12</v>
      </c>
      <c r="F23409">
        <v>50841543</v>
      </c>
      <c r="G23409">
        <v>50841567</v>
      </c>
      <c r="H23409">
        <v>50841506</v>
      </c>
      <c r="I23409">
        <v>50841526</v>
      </c>
    </row>
    <row r="23410" spans="1:9" x14ac:dyDescent="0.2">
      <c r="A23410" t="str">
        <f>"Zfp882"</f>
        <v>Zfp882</v>
      </c>
      <c r="B23410" t="s">
        <v>14</v>
      </c>
      <c r="C23410" t="s">
        <v>30</v>
      </c>
      <c r="D23410" t="s">
        <v>17</v>
      </c>
      <c r="E23410" t="s">
        <v>12</v>
      </c>
      <c r="F23410">
        <v>71908595</v>
      </c>
      <c r="G23410">
        <v>71908654</v>
      </c>
      <c r="H23410">
        <v>71908889</v>
      </c>
      <c r="I23410">
        <v>71908922</v>
      </c>
    </row>
    <row r="23411" spans="1:9" x14ac:dyDescent="0.2">
      <c r="A23411" t="str">
        <f>"Zfp9"</f>
        <v>Zfp9</v>
      </c>
      <c r="B23411" t="s">
        <v>14</v>
      </c>
      <c r="C23411" t="s">
        <v>32</v>
      </c>
      <c r="D23411" t="s">
        <v>11</v>
      </c>
      <c r="E23411" t="s">
        <v>12</v>
      </c>
      <c r="F23411">
        <v>118479237</v>
      </c>
      <c r="G23411">
        <v>118479318</v>
      </c>
      <c r="H23411">
        <v>118479237</v>
      </c>
      <c r="I23411">
        <v>118479318</v>
      </c>
    </row>
    <row r="23412" spans="1:9" x14ac:dyDescent="0.2">
      <c r="A23412" t="str">
        <f>"Zfp90"</f>
        <v>Zfp90</v>
      </c>
      <c r="B23412" t="s">
        <v>14</v>
      </c>
      <c r="C23412" t="s">
        <v>30</v>
      </c>
      <c r="D23412" t="s">
        <v>17</v>
      </c>
      <c r="E23412" t="s">
        <v>12</v>
      </c>
      <c r="F23412">
        <v>106415319</v>
      </c>
      <c r="G23412">
        <v>106415396</v>
      </c>
      <c r="H23412">
        <v>106415688</v>
      </c>
      <c r="I23412">
        <v>106415724</v>
      </c>
    </row>
    <row r="23413" spans="1:9" x14ac:dyDescent="0.2">
      <c r="A23413" t="str">
        <f>"Zfp91"</f>
        <v>Zfp91</v>
      </c>
      <c r="B23413" t="s">
        <v>14</v>
      </c>
      <c r="C23413" t="s">
        <v>10</v>
      </c>
      <c r="D23413" t="s">
        <v>11</v>
      </c>
      <c r="E23413" t="s">
        <v>12</v>
      </c>
      <c r="F23413">
        <v>12796108</v>
      </c>
      <c r="G23413">
        <v>12796146</v>
      </c>
      <c r="H23413">
        <v>12796108</v>
      </c>
      <c r="I23413">
        <v>12796146</v>
      </c>
    </row>
    <row r="23414" spans="1:9" x14ac:dyDescent="0.2">
      <c r="A23414" t="str">
        <f>"Zfp92"</f>
        <v>Zfp92</v>
      </c>
      <c r="B23414" t="s">
        <v>14</v>
      </c>
      <c r="C23414" t="s">
        <v>37</v>
      </c>
      <c r="D23414" t="s">
        <v>17</v>
      </c>
      <c r="E23414" t="s">
        <v>12</v>
      </c>
      <c r="F23414">
        <v>73411097</v>
      </c>
      <c r="G23414">
        <v>73411125</v>
      </c>
      <c r="H23414">
        <v>73411180</v>
      </c>
      <c r="I23414">
        <v>73411220</v>
      </c>
    </row>
    <row r="23415" spans="1:9" x14ac:dyDescent="0.2">
      <c r="A23415" t="str">
        <f>"Zfp93"</f>
        <v>Zfp93</v>
      </c>
      <c r="B23415" t="s">
        <v>14</v>
      </c>
      <c r="C23415" t="s">
        <v>33</v>
      </c>
      <c r="D23415" t="s">
        <v>17</v>
      </c>
      <c r="E23415" t="s">
        <v>12</v>
      </c>
      <c r="F23415">
        <v>24270398</v>
      </c>
      <c r="G23415">
        <v>24270470</v>
      </c>
      <c r="H23415">
        <v>24270398</v>
      </c>
      <c r="I23415">
        <v>24270470</v>
      </c>
    </row>
    <row r="23416" spans="1:9" x14ac:dyDescent="0.2">
      <c r="A23416" t="str">
        <f>"Zfp930"</f>
        <v>Zfp930</v>
      </c>
      <c r="B23416" t="s">
        <v>14</v>
      </c>
      <c r="C23416" t="s">
        <v>30</v>
      </c>
      <c r="D23416" t="s">
        <v>17</v>
      </c>
      <c r="E23416" t="s">
        <v>12</v>
      </c>
      <c r="F23416">
        <v>69209033</v>
      </c>
      <c r="G23416">
        <v>69209073</v>
      </c>
      <c r="H23416">
        <v>69209083</v>
      </c>
      <c r="I23416">
        <v>69209094</v>
      </c>
    </row>
    <row r="23417" spans="1:9" x14ac:dyDescent="0.2">
      <c r="A23417" t="str">
        <f>"Zfp931"</f>
        <v>Zfp931</v>
      </c>
      <c r="B23417" t="s">
        <v>6364</v>
      </c>
      <c r="C23417" t="s">
        <v>26</v>
      </c>
      <c r="D23417" t="s">
        <v>11</v>
      </c>
      <c r="E23417" t="s">
        <v>20</v>
      </c>
      <c r="F23417">
        <v>178078424</v>
      </c>
      <c r="G23417">
        <v>178078424</v>
      </c>
      <c r="H23417">
        <v>178078424</v>
      </c>
      <c r="I23417">
        <v>178078424</v>
      </c>
    </row>
    <row r="23418" spans="1:9" x14ac:dyDescent="0.2">
      <c r="A23418" t="str">
        <f>"Zfp932"</f>
        <v>Zfp932</v>
      </c>
      <c r="B23418" t="s">
        <v>14</v>
      </c>
      <c r="C23418" t="s">
        <v>46</v>
      </c>
      <c r="D23418" t="s">
        <v>17</v>
      </c>
      <c r="E23418" t="s">
        <v>12</v>
      </c>
      <c r="F23418">
        <v>109996506</v>
      </c>
      <c r="G23418">
        <v>109996522</v>
      </c>
      <c r="H23418">
        <v>109996506</v>
      </c>
      <c r="I23418">
        <v>109996522</v>
      </c>
    </row>
    <row r="23419" spans="1:9" x14ac:dyDescent="0.2">
      <c r="A23419" t="str">
        <f>"Zfp933"</f>
        <v>Zfp933</v>
      </c>
      <c r="B23419" t="s">
        <v>14</v>
      </c>
      <c r="C23419" t="s">
        <v>23</v>
      </c>
      <c r="D23419" t="s">
        <v>11</v>
      </c>
      <c r="E23419" t="s">
        <v>12</v>
      </c>
      <c r="F23419">
        <v>147848358</v>
      </c>
      <c r="G23419">
        <v>147848425</v>
      </c>
      <c r="H23419">
        <v>147848345</v>
      </c>
      <c r="I23419">
        <v>147848350</v>
      </c>
    </row>
    <row r="23420" spans="1:9" x14ac:dyDescent="0.2">
      <c r="A23420" t="str">
        <f>"Zfp934"</f>
        <v>Zfp934</v>
      </c>
      <c r="B23420" t="s">
        <v>6365</v>
      </c>
      <c r="C23420" t="s">
        <v>39</v>
      </c>
      <c r="D23420" t="s">
        <v>11</v>
      </c>
      <c r="E23420" t="s">
        <v>20</v>
      </c>
      <c r="F23420">
        <v>62520450</v>
      </c>
      <c r="G23420">
        <v>62520450</v>
      </c>
      <c r="H23420">
        <v>62520450</v>
      </c>
      <c r="I23420">
        <v>62520450</v>
      </c>
    </row>
    <row r="23421" spans="1:9" x14ac:dyDescent="0.2">
      <c r="A23421" t="str">
        <f>"Zfp935"</f>
        <v>Zfp935</v>
      </c>
      <c r="B23421" t="s">
        <v>14</v>
      </c>
      <c r="C23421" t="s">
        <v>39</v>
      </c>
      <c r="D23421" t="s">
        <v>11</v>
      </c>
      <c r="E23421" t="s">
        <v>12</v>
      </c>
      <c r="F23421">
        <v>62466794</v>
      </c>
      <c r="G23421">
        <v>62466839</v>
      </c>
      <c r="H23421">
        <v>62466794</v>
      </c>
      <c r="I23421">
        <v>62466839</v>
      </c>
    </row>
    <row r="23422" spans="1:9" x14ac:dyDescent="0.2">
      <c r="A23422" t="str">
        <f>"Zfp936"</f>
        <v>Zfp936</v>
      </c>
      <c r="B23422" t="s">
        <v>14</v>
      </c>
      <c r="C23422" t="s">
        <v>33</v>
      </c>
      <c r="D23422" t="s">
        <v>17</v>
      </c>
      <c r="E23422" t="s">
        <v>12</v>
      </c>
      <c r="F23422">
        <v>43177592</v>
      </c>
      <c r="G23422">
        <v>43177604</v>
      </c>
      <c r="H23422">
        <v>43177592</v>
      </c>
      <c r="I23422">
        <v>43177604</v>
      </c>
    </row>
    <row r="23423" spans="1:9" x14ac:dyDescent="0.2">
      <c r="A23423" t="str">
        <f>"Zfp937"</f>
        <v>Zfp937</v>
      </c>
      <c r="B23423" t="s">
        <v>14</v>
      </c>
      <c r="C23423" t="s">
        <v>26</v>
      </c>
      <c r="D23423" t="s">
        <v>17</v>
      </c>
      <c r="E23423" t="s">
        <v>12</v>
      </c>
      <c r="F23423">
        <v>150218172</v>
      </c>
      <c r="G23423">
        <v>150218174</v>
      </c>
      <c r="H23423">
        <v>150218101</v>
      </c>
      <c r="I23423">
        <v>150218132</v>
      </c>
    </row>
    <row r="23424" spans="1:9" x14ac:dyDescent="0.2">
      <c r="A23424" t="str">
        <f>"Zfp938"</f>
        <v>Zfp938</v>
      </c>
      <c r="B23424" t="s">
        <v>14</v>
      </c>
      <c r="C23424" t="s">
        <v>15</v>
      </c>
      <c r="D23424" t="s">
        <v>11</v>
      </c>
      <c r="E23424" t="s">
        <v>12</v>
      </c>
      <c r="F23424">
        <v>82241271</v>
      </c>
      <c r="G23424">
        <v>82241290</v>
      </c>
      <c r="H23424">
        <v>82241293</v>
      </c>
      <c r="I23424">
        <v>82241304</v>
      </c>
    </row>
    <row r="23425" spans="1:9" x14ac:dyDescent="0.2">
      <c r="A23425" t="str">
        <f>"Zfp939"</f>
        <v>Zfp939</v>
      </c>
      <c r="B23425" t="s">
        <v>14</v>
      </c>
      <c r="C23425" t="s">
        <v>33</v>
      </c>
      <c r="D23425" t="s">
        <v>17</v>
      </c>
      <c r="E23425" t="s">
        <v>12</v>
      </c>
      <c r="F23425">
        <v>39449479</v>
      </c>
      <c r="G23425">
        <v>39449523</v>
      </c>
      <c r="H23425">
        <v>39449533</v>
      </c>
      <c r="I23425">
        <v>39449548</v>
      </c>
    </row>
    <row r="23426" spans="1:9" x14ac:dyDescent="0.2">
      <c r="A23426" t="str">
        <f>"Zfp94"</f>
        <v>Zfp94</v>
      </c>
      <c r="B23426" t="s">
        <v>14</v>
      </c>
      <c r="C23426" t="s">
        <v>33</v>
      </c>
      <c r="D23426" t="s">
        <v>11</v>
      </c>
      <c r="E23426" t="s">
        <v>12</v>
      </c>
      <c r="F23426">
        <v>24316590</v>
      </c>
      <c r="G23426">
        <v>24316659</v>
      </c>
      <c r="H23426">
        <v>24316660</v>
      </c>
      <c r="I23426">
        <v>24316672</v>
      </c>
    </row>
    <row r="23427" spans="1:9" x14ac:dyDescent="0.2">
      <c r="A23427" t="str">
        <f>"Zfp940"</f>
        <v>Zfp940</v>
      </c>
      <c r="B23427" t="s">
        <v>14</v>
      </c>
      <c r="C23427" t="s">
        <v>33</v>
      </c>
      <c r="D23427" t="s">
        <v>11</v>
      </c>
      <c r="E23427" t="s">
        <v>12</v>
      </c>
      <c r="F23427">
        <v>29853611</v>
      </c>
      <c r="G23427">
        <v>29853683</v>
      </c>
      <c r="H23427">
        <v>29853595</v>
      </c>
      <c r="I23427">
        <v>29853609</v>
      </c>
    </row>
    <row r="23428" spans="1:9" x14ac:dyDescent="0.2">
      <c r="A23428" t="str">
        <f>"Zfp941"</f>
        <v>Zfp941</v>
      </c>
      <c r="B23428" t="s">
        <v>14</v>
      </c>
      <c r="C23428" t="s">
        <v>33</v>
      </c>
      <c r="D23428" t="s">
        <v>11</v>
      </c>
      <c r="E23428" t="s">
        <v>12</v>
      </c>
      <c r="F23428">
        <v>140822124</v>
      </c>
      <c r="G23428">
        <v>140822193</v>
      </c>
      <c r="H23428">
        <v>140822124</v>
      </c>
      <c r="I23428">
        <v>140822193</v>
      </c>
    </row>
    <row r="23429" spans="1:9" x14ac:dyDescent="0.2">
      <c r="A23429" t="str">
        <f>"Zfp942"</f>
        <v>Zfp942</v>
      </c>
      <c r="B23429" t="s">
        <v>6366</v>
      </c>
      <c r="C23429" t="s">
        <v>28</v>
      </c>
      <c r="D23429" t="s">
        <v>11</v>
      </c>
      <c r="E23429" t="s">
        <v>20</v>
      </c>
      <c r="F23429">
        <v>21933021</v>
      </c>
      <c r="G23429">
        <v>21933021</v>
      </c>
      <c r="H23429">
        <v>21933021</v>
      </c>
      <c r="I23429">
        <v>21933021</v>
      </c>
    </row>
    <row r="23430" spans="1:9" x14ac:dyDescent="0.2">
      <c r="A23430" t="str">
        <f>"Zfp942"</f>
        <v>Zfp942</v>
      </c>
      <c r="B23430" t="s">
        <v>6367</v>
      </c>
      <c r="C23430" t="s">
        <v>28</v>
      </c>
      <c r="D23430" t="s">
        <v>11</v>
      </c>
      <c r="E23430" t="s">
        <v>20</v>
      </c>
      <c r="F23430">
        <v>21962450</v>
      </c>
      <c r="G23430">
        <v>21962450</v>
      </c>
      <c r="H23430">
        <v>21962450</v>
      </c>
      <c r="I23430">
        <v>21962450</v>
      </c>
    </row>
    <row r="23431" spans="1:9" x14ac:dyDescent="0.2">
      <c r="A23431" t="str">
        <f>"Zfp943"</f>
        <v>Zfp943</v>
      </c>
      <c r="B23431" t="s">
        <v>14</v>
      </c>
      <c r="C23431" t="s">
        <v>28</v>
      </c>
      <c r="D23431" t="s">
        <v>17</v>
      </c>
      <c r="E23431" t="s">
        <v>12</v>
      </c>
      <c r="F23431">
        <v>21962730</v>
      </c>
      <c r="G23431">
        <v>21962752</v>
      </c>
      <c r="H23431">
        <v>21962730</v>
      </c>
      <c r="I23431">
        <v>21962752</v>
      </c>
    </row>
    <row r="23432" spans="1:9" x14ac:dyDescent="0.2">
      <c r="A23432" t="str">
        <f>"Zfp944"</f>
        <v>Zfp944</v>
      </c>
      <c r="B23432" t="s">
        <v>14</v>
      </c>
      <c r="C23432" t="s">
        <v>28</v>
      </c>
      <c r="D23432" t="s">
        <v>11</v>
      </c>
      <c r="E23432" t="s">
        <v>12</v>
      </c>
      <c r="F23432">
        <v>22361691</v>
      </c>
      <c r="G23432">
        <v>22361721</v>
      </c>
      <c r="H23432">
        <v>22361691</v>
      </c>
      <c r="I23432">
        <v>22361721</v>
      </c>
    </row>
    <row r="23433" spans="1:9" x14ac:dyDescent="0.2">
      <c r="A23433" t="str">
        <f>"Zfp945"</f>
        <v>Zfp945</v>
      </c>
      <c r="B23433" t="s">
        <v>14</v>
      </c>
      <c r="C23433" t="s">
        <v>28</v>
      </c>
      <c r="D23433" t="s">
        <v>11</v>
      </c>
      <c r="E23433" t="s">
        <v>12</v>
      </c>
      <c r="F23433">
        <v>22867118</v>
      </c>
      <c r="G23433">
        <v>22867141</v>
      </c>
      <c r="H23433">
        <v>22867075</v>
      </c>
      <c r="I23433">
        <v>22867110</v>
      </c>
    </row>
    <row r="23434" spans="1:9" x14ac:dyDescent="0.2">
      <c r="A23434" t="str">
        <f>"Zfp946"</f>
        <v>Zfp946</v>
      </c>
      <c r="B23434" t="s">
        <v>14</v>
      </c>
      <c r="C23434" t="s">
        <v>28</v>
      </c>
      <c r="D23434" t="s">
        <v>17</v>
      </c>
      <c r="E23434" t="s">
        <v>12</v>
      </c>
      <c r="F23434">
        <v>22424215</v>
      </c>
      <c r="G23434">
        <v>22424241</v>
      </c>
      <c r="H23434">
        <v>22424261</v>
      </c>
      <c r="I23434">
        <v>22424276</v>
      </c>
    </row>
    <row r="23435" spans="1:9" x14ac:dyDescent="0.2">
      <c r="A23435" t="str">
        <f>"Zfp947"</f>
        <v>Zfp947</v>
      </c>
      <c r="B23435" t="s">
        <v>14</v>
      </c>
      <c r="C23435" t="s">
        <v>28</v>
      </c>
      <c r="D23435" t="s">
        <v>11</v>
      </c>
      <c r="E23435" t="s">
        <v>12</v>
      </c>
      <c r="F23435">
        <v>22165990</v>
      </c>
      <c r="G23435">
        <v>22166013</v>
      </c>
      <c r="H23435">
        <v>22165990</v>
      </c>
      <c r="I23435">
        <v>22166013</v>
      </c>
    </row>
    <row r="23436" spans="1:9" x14ac:dyDescent="0.2">
      <c r="A23436" t="str">
        <f>"Zfp948"</f>
        <v>Zfp948</v>
      </c>
      <c r="B23436" t="s">
        <v>14</v>
      </c>
      <c r="C23436" t="s">
        <v>28</v>
      </c>
      <c r="D23436" t="s">
        <v>17</v>
      </c>
      <c r="E23436" t="s">
        <v>12</v>
      </c>
      <c r="F23436">
        <v>21566988</v>
      </c>
      <c r="G23436">
        <v>21567043</v>
      </c>
      <c r="H23436">
        <v>21566969</v>
      </c>
      <c r="I23436">
        <v>21566983</v>
      </c>
    </row>
    <row r="23437" spans="1:9" x14ac:dyDescent="0.2">
      <c r="A23437" t="str">
        <f>"Zfp949"</f>
        <v>Zfp949</v>
      </c>
      <c r="B23437" t="s">
        <v>14</v>
      </c>
      <c r="C23437" t="s">
        <v>24</v>
      </c>
      <c r="D23437" t="s">
        <v>17</v>
      </c>
      <c r="E23437" t="s">
        <v>12</v>
      </c>
      <c r="F23437">
        <v>88548013</v>
      </c>
      <c r="G23437">
        <v>88548123</v>
      </c>
      <c r="H23437">
        <v>88548013</v>
      </c>
      <c r="I23437">
        <v>88548123</v>
      </c>
    </row>
    <row r="23438" spans="1:9" x14ac:dyDescent="0.2">
      <c r="A23438" t="str">
        <f>"Zfp951"</f>
        <v>Zfp951</v>
      </c>
      <c r="B23438" t="s">
        <v>6368</v>
      </c>
      <c r="C23438" t="s">
        <v>46</v>
      </c>
      <c r="D23438" t="s">
        <v>11</v>
      </c>
      <c r="E23438" t="s">
        <v>20</v>
      </c>
      <c r="F23438">
        <v>104828956</v>
      </c>
      <c r="G23438">
        <v>104828956</v>
      </c>
      <c r="H23438">
        <v>104828956</v>
      </c>
      <c r="I23438">
        <v>104828956</v>
      </c>
    </row>
    <row r="23439" spans="1:9" x14ac:dyDescent="0.2">
      <c r="A23439" t="str">
        <f>"Zfp952"</f>
        <v>Zfp952</v>
      </c>
      <c r="B23439" t="s">
        <v>14</v>
      </c>
      <c r="C23439" t="s">
        <v>28</v>
      </c>
      <c r="D23439" t="s">
        <v>17</v>
      </c>
      <c r="E23439" t="s">
        <v>12</v>
      </c>
      <c r="F23439">
        <v>32993123</v>
      </c>
      <c r="G23439">
        <v>32993160</v>
      </c>
      <c r="H23439">
        <v>32993168</v>
      </c>
      <c r="I23439">
        <v>32993179</v>
      </c>
    </row>
    <row r="23440" spans="1:9" x14ac:dyDescent="0.2">
      <c r="A23440" t="str">
        <f>"Zfp953"</f>
        <v>Zfp953</v>
      </c>
      <c r="B23440" t="s">
        <v>14</v>
      </c>
      <c r="C23440" t="s">
        <v>39</v>
      </c>
      <c r="D23440" t="s">
        <v>11</v>
      </c>
      <c r="E23440" t="s">
        <v>12</v>
      </c>
      <c r="F23440">
        <v>67360554</v>
      </c>
      <c r="G23440">
        <v>67360595</v>
      </c>
      <c r="H23440">
        <v>67360608</v>
      </c>
      <c r="I23440">
        <v>67360630</v>
      </c>
    </row>
    <row r="23441" spans="1:9" x14ac:dyDescent="0.2">
      <c r="A23441" t="str">
        <f>"Zfp954"</f>
        <v>Zfp954</v>
      </c>
      <c r="B23441" t="s">
        <v>14</v>
      </c>
      <c r="C23441" t="s">
        <v>33</v>
      </c>
      <c r="D23441" t="s">
        <v>11</v>
      </c>
      <c r="E23441" t="s">
        <v>12</v>
      </c>
      <c r="F23441">
        <v>7121433</v>
      </c>
      <c r="G23441">
        <v>7121469</v>
      </c>
      <c r="H23441">
        <v>7121481</v>
      </c>
      <c r="I23441">
        <v>7121485</v>
      </c>
    </row>
    <row r="23442" spans="1:9" x14ac:dyDescent="0.2">
      <c r="A23442" t="str">
        <f>"Zfp955a"</f>
        <v>Zfp955a</v>
      </c>
      <c r="B23442" t="s">
        <v>6369</v>
      </c>
      <c r="C23442" t="s">
        <v>28</v>
      </c>
      <c r="D23442" t="s">
        <v>11</v>
      </c>
      <c r="E23442" t="s">
        <v>20</v>
      </c>
      <c r="F23442">
        <v>33255039</v>
      </c>
      <c r="G23442">
        <v>33255039</v>
      </c>
      <c r="H23442">
        <v>33255039</v>
      </c>
      <c r="I23442">
        <v>33255039</v>
      </c>
    </row>
    <row r="23443" spans="1:9" x14ac:dyDescent="0.2">
      <c r="A23443" t="str">
        <f>"Zfp955b"</f>
        <v>Zfp955b</v>
      </c>
      <c r="B23443" t="s">
        <v>14</v>
      </c>
      <c r="C23443" t="s">
        <v>28</v>
      </c>
      <c r="D23443" t="s">
        <v>17</v>
      </c>
      <c r="E23443" t="s">
        <v>12</v>
      </c>
      <c r="F23443">
        <v>33289543</v>
      </c>
      <c r="G23443">
        <v>33289565</v>
      </c>
      <c r="H23443">
        <v>33289543</v>
      </c>
      <c r="I23443">
        <v>33289565</v>
      </c>
    </row>
    <row r="23444" spans="1:9" x14ac:dyDescent="0.2">
      <c r="A23444" t="str">
        <f>"Zfp956"</f>
        <v>Zfp956</v>
      </c>
      <c r="B23444" t="s">
        <v>14</v>
      </c>
      <c r="C23444" t="s">
        <v>32</v>
      </c>
      <c r="D23444" t="s">
        <v>17</v>
      </c>
      <c r="E23444" t="s">
        <v>12</v>
      </c>
      <c r="F23444">
        <v>47953390</v>
      </c>
      <c r="G23444">
        <v>47953451</v>
      </c>
      <c r="H23444">
        <v>47953458</v>
      </c>
      <c r="I23444">
        <v>47953468</v>
      </c>
    </row>
    <row r="23445" spans="1:9" x14ac:dyDescent="0.2">
      <c r="A23445" t="str">
        <f>"Zfp957"</f>
        <v>Zfp957</v>
      </c>
      <c r="B23445" t="s">
        <v>14</v>
      </c>
      <c r="C23445" t="s">
        <v>41</v>
      </c>
      <c r="D23445" t="s">
        <v>11</v>
      </c>
      <c r="E23445" t="s">
        <v>12</v>
      </c>
      <c r="F23445">
        <v>79247365</v>
      </c>
      <c r="G23445">
        <v>79247378</v>
      </c>
      <c r="H23445">
        <v>79247365</v>
      </c>
      <c r="I23445">
        <v>79247378</v>
      </c>
    </row>
    <row r="23446" spans="1:9" x14ac:dyDescent="0.2">
      <c r="A23446" t="str">
        <f>"Zfp958"</f>
        <v>Zfp958</v>
      </c>
      <c r="B23446" t="s">
        <v>14</v>
      </c>
      <c r="C23446" t="s">
        <v>30</v>
      </c>
      <c r="D23446" t="s">
        <v>17</v>
      </c>
      <c r="E23446" t="s">
        <v>12</v>
      </c>
      <c r="F23446">
        <v>4613152</v>
      </c>
      <c r="G23446">
        <v>4613177</v>
      </c>
      <c r="H23446">
        <v>4613182</v>
      </c>
      <c r="I23446">
        <v>4613207</v>
      </c>
    </row>
    <row r="23447" spans="1:9" x14ac:dyDescent="0.2">
      <c r="A23447" t="str">
        <f>"Zfp959"</f>
        <v>Zfp959</v>
      </c>
      <c r="B23447" t="s">
        <v>14</v>
      </c>
      <c r="C23447" t="s">
        <v>28</v>
      </c>
      <c r="D23447" t="s">
        <v>17</v>
      </c>
      <c r="E23447" t="s">
        <v>12</v>
      </c>
      <c r="F23447">
        <v>55892097</v>
      </c>
      <c r="G23447">
        <v>55892112</v>
      </c>
      <c r="H23447">
        <v>55892097</v>
      </c>
      <c r="I23447">
        <v>55892112</v>
      </c>
    </row>
    <row r="23448" spans="1:9" x14ac:dyDescent="0.2">
      <c r="A23448" t="str">
        <f>"Zfp960"</f>
        <v>Zfp960</v>
      </c>
      <c r="B23448" t="s">
        <v>14</v>
      </c>
      <c r="C23448" t="s">
        <v>28</v>
      </c>
      <c r="D23448" t="s">
        <v>17</v>
      </c>
      <c r="E23448" t="s">
        <v>12</v>
      </c>
      <c r="F23448">
        <v>17064045</v>
      </c>
      <c r="G23448">
        <v>17064075</v>
      </c>
      <c r="H23448">
        <v>17064045</v>
      </c>
      <c r="I23448">
        <v>17064075</v>
      </c>
    </row>
    <row r="23449" spans="1:9" x14ac:dyDescent="0.2">
      <c r="A23449" t="str">
        <f>"Zfp961"</f>
        <v>Zfp961</v>
      </c>
      <c r="B23449" t="s">
        <v>14</v>
      </c>
      <c r="C23449" t="s">
        <v>30</v>
      </c>
      <c r="D23449" t="s">
        <v>17</v>
      </c>
      <c r="E23449" t="s">
        <v>12</v>
      </c>
      <c r="F23449">
        <v>71951054</v>
      </c>
      <c r="G23449">
        <v>71951130</v>
      </c>
      <c r="H23449">
        <v>71951054</v>
      </c>
      <c r="I23449">
        <v>71951130</v>
      </c>
    </row>
    <row r="23450" spans="1:9" x14ac:dyDescent="0.2">
      <c r="A23450" t="str">
        <f>"Zfp963"</f>
        <v>Zfp963</v>
      </c>
      <c r="B23450" t="s">
        <v>9</v>
      </c>
      <c r="C23450" t="s">
        <v>30</v>
      </c>
      <c r="D23450" t="s">
        <v>11</v>
      </c>
      <c r="E23450" t="s">
        <v>12</v>
      </c>
      <c r="F23450">
        <v>69774884</v>
      </c>
      <c r="G23450">
        <v>69774916</v>
      </c>
      <c r="H23450">
        <v>69774884</v>
      </c>
      <c r="I23450">
        <v>69774916</v>
      </c>
    </row>
    <row r="23451" spans="1:9" x14ac:dyDescent="0.2">
      <c r="A23451" t="str">
        <f>"Zfp963"</f>
        <v>Zfp963</v>
      </c>
      <c r="B23451" t="s">
        <v>13</v>
      </c>
      <c r="C23451" t="s">
        <v>30</v>
      </c>
      <c r="D23451" t="s">
        <v>11</v>
      </c>
      <c r="E23451" t="s">
        <v>12</v>
      </c>
      <c r="F23451">
        <v>69749938</v>
      </c>
      <c r="G23451">
        <v>69749970</v>
      </c>
      <c r="H23451">
        <v>69749938</v>
      </c>
      <c r="I23451">
        <v>69749970</v>
      </c>
    </row>
    <row r="23452" spans="1:9" x14ac:dyDescent="0.2">
      <c r="A23452" t="str">
        <f>"Zfp964"</f>
        <v>Zfp964</v>
      </c>
      <c r="B23452" t="s">
        <v>14</v>
      </c>
      <c r="C23452" t="s">
        <v>30</v>
      </c>
      <c r="D23452" t="s">
        <v>17</v>
      </c>
      <c r="E23452" t="s">
        <v>12</v>
      </c>
      <c r="F23452">
        <v>69654482</v>
      </c>
      <c r="G23452">
        <v>69654497</v>
      </c>
      <c r="H23452">
        <v>69654507</v>
      </c>
      <c r="I23452">
        <v>69654513</v>
      </c>
    </row>
    <row r="23453" spans="1:9" x14ac:dyDescent="0.2">
      <c r="A23453" t="str">
        <f>"Zfp97"</f>
        <v>Zfp97</v>
      </c>
      <c r="B23453" t="s">
        <v>6370</v>
      </c>
      <c r="C23453" t="s">
        <v>28</v>
      </c>
      <c r="D23453" t="s">
        <v>17</v>
      </c>
      <c r="E23453" t="s">
        <v>20</v>
      </c>
      <c r="F23453">
        <v>17121414</v>
      </c>
      <c r="G23453">
        <v>17121414</v>
      </c>
      <c r="H23453">
        <v>17121414</v>
      </c>
      <c r="I23453">
        <v>17121414</v>
      </c>
    </row>
    <row r="23454" spans="1:9" x14ac:dyDescent="0.2">
      <c r="A23454" t="str">
        <f>"Zfpl1"</f>
        <v>Zfpl1</v>
      </c>
      <c r="B23454" t="s">
        <v>14</v>
      </c>
      <c r="C23454" t="s">
        <v>10</v>
      </c>
      <c r="D23454" t="s">
        <v>11</v>
      </c>
      <c r="E23454" t="s">
        <v>12</v>
      </c>
      <c r="F23454">
        <v>6084873</v>
      </c>
      <c r="G23454">
        <v>6084940</v>
      </c>
      <c r="H23454">
        <v>6084941</v>
      </c>
      <c r="I23454">
        <v>6084957</v>
      </c>
    </row>
    <row r="23455" spans="1:9" x14ac:dyDescent="0.2">
      <c r="A23455" t="str">
        <f>"Zfpm1"</f>
        <v>Zfpm1</v>
      </c>
      <c r="B23455" t="s">
        <v>14</v>
      </c>
      <c r="C23455" t="s">
        <v>30</v>
      </c>
      <c r="D23455" t="s">
        <v>17</v>
      </c>
      <c r="E23455" t="s">
        <v>12</v>
      </c>
      <c r="F23455">
        <v>122282148</v>
      </c>
      <c r="G23455">
        <v>122282194</v>
      </c>
      <c r="H23455">
        <v>122282117</v>
      </c>
      <c r="I23455">
        <v>122282140</v>
      </c>
    </row>
    <row r="23456" spans="1:9" x14ac:dyDescent="0.2">
      <c r="A23456" t="str">
        <f>"Zfpm2"</f>
        <v>Zfpm2</v>
      </c>
      <c r="B23456" t="s">
        <v>14</v>
      </c>
      <c r="C23456" t="s">
        <v>25</v>
      </c>
      <c r="D23456" t="s">
        <v>17</v>
      </c>
      <c r="E23456" t="s">
        <v>12</v>
      </c>
      <c r="F23456">
        <v>40655020</v>
      </c>
      <c r="G23456">
        <v>40655054</v>
      </c>
      <c r="H23456">
        <v>40655208</v>
      </c>
      <c r="I23456">
        <v>40655225</v>
      </c>
    </row>
    <row r="23457" spans="1:9" x14ac:dyDescent="0.2">
      <c r="A23457" t="str">
        <f>"Zfr"</f>
        <v>Zfr</v>
      </c>
      <c r="B23457" t="s">
        <v>14</v>
      </c>
      <c r="C23457" t="s">
        <v>25</v>
      </c>
      <c r="D23457" t="s">
        <v>17</v>
      </c>
      <c r="E23457" t="s">
        <v>12</v>
      </c>
      <c r="F23457">
        <v>12117848</v>
      </c>
      <c r="G23457">
        <v>12117905</v>
      </c>
      <c r="H23457">
        <v>12117813</v>
      </c>
      <c r="I23457">
        <v>12117846</v>
      </c>
    </row>
    <row r="23458" spans="1:9" x14ac:dyDescent="0.2">
      <c r="A23458" t="str">
        <f>"Zfr2"</f>
        <v>Zfr2</v>
      </c>
      <c r="B23458" t="s">
        <v>14</v>
      </c>
      <c r="C23458" t="s">
        <v>15</v>
      </c>
      <c r="D23458" t="s">
        <v>17</v>
      </c>
      <c r="E23458" t="s">
        <v>12</v>
      </c>
      <c r="F23458">
        <v>81233147</v>
      </c>
      <c r="G23458">
        <v>81233191</v>
      </c>
      <c r="H23458">
        <v>81233147</v>
      </c>
      <c r="I23458">
        <v>81233191</v>
      </c>
    </row>
    <row r="23459" spans="1:9" x14ac:dyDescent="0.2">
      <c r="A23459" t="str">
        <f>"Zfx"</f>
        <v>Zfx</v>
      </c>
      <c r="B23459" t="s">
        <v>14</v>
      </c>
      <c r="C23459" t="s">
        <v>37</v>
      </c>
      <c r="D23459" t="s">
        <v>11</v>
      </c>
      <c r="E23459" t="s">
        <v>12</v>
      </c>
      <c r="F23459">
        <v>94123087</v>
      </c>
      <c r="G23459">
        <v>94123159</v>
      </c>
      <c r="H23459">
        <v>94123359</v>
      </c>
      <c r="I23459">
        <v>94123412</v>
      </c>
    </row>
    <row r="23460" spans="1:9" x14ac:dyDescent="0.2">
      <c r="A23460" t="str">
        <f>"Zfy1"</f>
        <v>Zfy1</v>
      </c>
      <c r="B23460" t="s">
        <v>6371</v>
      </c>
      <c r="C23460" t="s">
        <v>63</v>
      </c>
      <c r="D23460" t="s">
        <v>11</v>
      </c>
      <c r="E23460" t="s">
        <v>20</v>
      </c>
      <c r="F23460">
        <v>797408</v>
      </c>
      <c r="G23460">
        <v>797408</v>
      </c>
      <c r="H23460">
        <v>797408</v>
      </c>
      <c r="I23460">
        <v>797408</v>
      </c>
    </row>
    <row r="23461" spans="1:9" x14ac:dyDescent="0.2">
      <c r="A23461" t="str">
        <f>"Zfy2"</f>
        <v>Zfy2</v>
      </c>
      <c r="B23461" t="s">
        <v>14</v>
      </c>
      <c r="C23461" t="s">
        <v>63</v>
      </c>
      <c r="D23461" t="s">
        <v>11</v>
      </c>
      <c r="E23461" t="s">
        <v>12</v>
      </c>
      <c r="F23461">
        <v>2170393</v>
      </c>
      <c r="G23461">
        <v>2170396</v>
      </c>
      <c r="H23461">
        <v>2170393</v>
      </c>
      <c r="I23461">
        <v>2170396</v>
      </c>
    </row>
    <row r="23462" spans="1:9" x14ac:dyDescent="0.2">
      <c r="A23462" t="str">
        <f>"Zfyve1"</f>
        <v>Zfyve1</v>
      </c>
      <c r="B23462" t="s">
        <v>14</v>
      </c>
      <c r="C23462" t="s">
        <v>16</v>
      </c>
      <c r="D23462" t="s">
        <v>11</v>
      </c>
      <c r="E23462" t="s">
        <v>12</v>
      </c>
      <c r="F23462">
        <v>83597190</v>
      </c>
      <c r="G23462">
        <v>83597245</v>
      </c>
      <c r="H23462">
        <v>83597140</v>
      </c>
      <c r="I23462">
        <v>83597177</v>
      </c>
    </row>
    <row r="23463" spans="1:9" x14ac:dyDescent="0.2">
      <c r="A23463" t="str">
        <f>"Zfyve16"</f>
        <v>Zfyve16</v>
      </c>
      <c r="B23463" t="s">
        <v>14</v>
      </c>
      <c r="C23463" t="s">
        <v>39</v>
      </c>
      <c r="D23463" t="s">
        <v>11</v>
      </c>
      <c r="E23463" t="s">
        <v>12</v>
      </c>
      <c r="F23463">
        <v>92530813</v>
      </c>
      <c r="G23463">
        <v>92530858</v>
      </c>
      <c r="H23463">
        <v>92530788</v>
      </c>
      <c r="I23463">
        <v>92530802</v>
      </c>
    </row>
    <row r="23464" spans="1:9" x14ac:dyDescent="0.2">
      <c r="A23464" t="str">
        <f>"Zfyve19"</f>
        <v>Zfyve19</v>
      </c>
      <c r="B23464" t="s">
        <v>14</v>
      </c>
      <c r="C23464" t="s">
        <v>26</v>
      </c>
      <c r="D23464" t="s">
        <v>17</v>
      </c>
      <c r="E23464" t="s">
        <v>12</v>
      </c>
      <c r="F23464">
        <v>119208975</v>
      </c>
      <c r="G23464">
        <v>119209029</v>
      </c>
      <c r="H23464">
        <v>119208595</v>
      </c>
      <c r="I23464">
        <v>119208638</v>
      </c>
    </row>
    <row r="23465" spans="1:9" x14ac:dyDescent="0.2">
      <c r="A23465" t="str">
        <f>"Zfyve20"</f>
        <v>Zfyve20</v>
      </c>
      <c r="B23465" t="s">
        <v>14</v>
      </c>
      <c r="C23465" t="s">
        <v>32</v>
      </c>
      <c r="D23465" t="s">
        <v>11</v>
      </c>
      <c r="E23465" t="s">
        <v>12</v>
      </c>
      <c r="F23465">
        <v>92214843</v>
      </c>
      <c r="G23465">
        <v>92214877</v>
      </c>
      <c r="H23465">
        <v>92214897</v>
      </c>
      <c r="I23465">
        <v>92214906</v>
      </c>
    </row>
    <row r="23466" spans="1:9" x14ac:dyDescent="0.2">
      <c r="A23466" t="str">
        <f>"Zfyve21"</f>
        <v>Zfyve21</v>
      </c>
      <c r="B23466" t="s">
        <v>14</v>
      </c>
      <c r="C23466" t="s">
        <v>16</v>
      </c>
      <c r="D23466" t="s">
        <v>17</v>
      </c>
      <c r="E23466" t="s">
        <v>12</v>
      </c>
      <c r="F23466">
        <v>111814178</v>
      </c>
      <c r="G23466">
        <v>111814245</v>
      </c>
      <c r="H23466">
        <v>111814268</v>
      </c>
      <c r="I23466">
        <v>111814279</v>
      </c>
    </row>
    <row r="23467" spans="1:9" x14ac:dyDescent="0.2">
      <c r="A23467" t="str">
        <f>"Zfyve26"</f>
        <v>Zfyve26</v>
      </c>
      <c r="B23467" t="s">
        <v>14</v>
      </c>
      <c r="C23467" t="s">
        <v>16</v>
      </c>
      <c r="D23467" t="s">
        <v>11</v>
      </c>
      <c r="E23467" t="s">
        <v>12</v>
      </c>
      <c r="F23467">
        <v>79296266</v>
      </c>
      <c r="G23467">
        <v>79296310</v>
      </c>
      <c r="H23467">
        <v>79296266</v>
      </c>
      <c r="I23467">
        <v>79296310</v>
      </c>
    </row>
    <row r="23468" spans="1:9" x14ac:dyDescent="0.2">
      <c r="A23468" t="str">
        <f>"Zfyve27"</f>
        <v>Zfyve27</v>
      </c>
      <c r="B23468" t="s">
        <v>14</v>
      </c>
      <c r="C23468" t="s">
        <v>10</v>
      </c>
      <c r="D23468" t="s">
        <v>17</v>
      </c>
      <c r="E23468" t="s">
        <v>12</v>
      </c>
      <c r="F23468">
        <v>42170562</v>
      </c>
      <c r="G23468">
        <v>42170600</v>
      </c>
      <c r="H23468">
        <v>42170604</v>
      </c>
      <c r="I23468">
        <v>42170631</v>
      </c>
    </row>
    <row r="23469" spans="1:9" x14ac:dyDescent="0.2">
      <c r="A23469" t="str">
        <f>"Zfyve28"</f>
        <v>Zfyve28</v>
      </c>
      <c r="B23469" t="s">
        <v>14</v>
      </c>
      <c r="C23469" t="s">
        <v>46</v>
      </c>
      <c r="D23469" t="s">
        <v>11</v>
      </c>
      <c r="E23469" t="s">
        <v>12</v>
      </c>
      <c r="F23469">
        <v>34288407</v>
      </c>
      <c r="G23469">
        <v>34288469</v>
      </c>
      <c r="H23469">
        <v>34288318</v>
      </c>
      <c r="I23469">
        <v>34288372</v>
      </c>
    </row>
    <row r="23470" spans="1:9" x14ac:dyDescent="0.2">
      <c r="A23470" t="str">
        <f>"Zfyve9"</f>
        <v>Zfyve9</v>
      </c>
      <c r="B23470" t="s">
        <v>14</v>
      </c>
      <c r="C23470" t="s">
        <v>23</v>
      </c>
      <c r="D23470" t="s">
        <v>11</v>
      </c>
      <c r="E23470" t="s">
        <v>12</v>
      </c>
      <c r="F23470">
        <v>108780640</v>
      </c>
      <c r="G23470">
        <v>108780760</v>
      </c>
      <c r="H23470">
        <v>108780811</v>
      </c>
      <c r="I23470">
        <v>108780848</v>
      </c>
    </row>
    <row r="23471" spans="1:9" x14ac:dyDescent="0.2">
      <c r="A23471" t="str">
        <f>"Zg16"</f>
        <v>Zg16</v>
      </c>
      <c r="B23471" t="s">
        <v>14</v>
      </c>
      <c r="C23471" t="s">
        <v>33</v>
      </c>
      <c r="D23471" t="s">
        <v>11</v>
      </c>
      <c r="E23471" t="s">
        <v>12</v>
      </c>
      <c r="F23471">
        <v>127051948</v>
      </c>
      <c r="G23471">
        <v>127051987</v>
      </c>
      <c r="H23471">
        <v>127051948</v>
      </c>
      <c r="I23471">
        <v>127051987</v>
      </c>
    </row>
    <row r="23472" spans="1:9" x14ac:dyDescent="0.2">
      <c r="A23472" t="str">
        <f>"Zglp1"</f>
        <v>Zglp1</v>
      </c>
      <c r="B23472" t="s">
        <v>14</v>
      </c>
      <c r="C23472" t="s">
        <v>24</v>
      </c>
      <c r="D23472" t="s">
        <v>11</v>
      </c>
      <c r="E23472" t="s">
        <v>12</v>
      </c>
      <c r="F23472">
        <v>21067084</v>
      </c>
      <c r="G23472">
        <v>21067112</v>
      </c>
      <c r="H23472">
        <v>21067084</v>
      </c>
      <c r="I23472">
        <v>21067112</v>
      </c>
    </row>
    <row r="23473" spans="1:9" x14ac:dyDescent="0.2">
      <c r="A23473" t="str">
        <f>"Zgpat"</f>
        <v>Zgpat</v>
      </c>
      <c r="B23473" t="s">
        <v>14</v>
      </c>
      <c r="C23473" t="s">
        <v>26</v>
      </c>
      <c r="D23473" t="s">
        <v>17</v>
      </c>
      <c r="E23473" t="s">
        <v>12</v>
      </c>
      <c r="F23473">
        <v>181365384</v>
      </c>
      <c r="G23473">
        <v>181365414</v>
      </c>
      <c r="H23473">
        <v>181365417</v>
      </c>
      <c r="I23473">
        <v>181365438</v>
      </c>
    </row>
    <row r="23474" spans="1:9" x14ac:dyDescent="0.2">
      <c r="A23474" t="str">
        <f>"Zhx1"</f>
        <v>Zhx1</v>
      </c>
      <c r="B23474" t="s">
        <v>14</v>
      </c>
      <c r="C23474" t="s">
        <v>25</v>
      </c>
      <c r="D23474" t="s">
        <v>11</v>
      </c>
      <c r="E23474" t="s">
        <v>12</v>
      </c>
      <c r="F23474">
        <v>58076192</v>
      </c>
      <c r="G23474">
        <v>58076243</v>
      </c>
      <c r="H23474">
        <v>58076456</v>
      </c>
      <c r="I23474">
        <v>58076515</v>
      </c>
    </row>
    <row r="23475" spans="1:9" x14ac:dyDescent="0.2">
      <c r="A23475" t="str">
        <f>"Zhx2"</f>
        <v>Zhx2</v>
      </c>
      <c r="B23475" t="s">
        <v>14</v>
      </c>
      <c r="C23475" t="s">
        <v>25</v>
      </c>
      <c r="D23475" t="s">
        <v>17</v>
      </c>
      <c r="E23475" t="s">
        <v>12</v>
      </c>
      <c r="F23475">
        <v>57694914</v>
      </c>
      <c r="G23475">
        <v>57694979</v>
      </c>
      <c r="H23475">
        <v>57694651</v>
      </c>
      <c r="I23475">
        <v>57694686</v>
      </c>
    </row>
    <row r="23476" spans="1:9" x14ac:dyDescent="0.2">
      <c r="A23476" t="str">
        <f>"Zhx3"</f>
        <v>Zhx3</v>
      </c>
      <c r="B23476" t="s">
        <v>14</v>
      </c>
      <c r="C23476" t="s">
        <v>26</v>
      </c>
      <c r="D23476" t="s">
        <v>11</v>
      </c>
      <c r="E23476" t="s">
        <v>12</v>
      </c>
      <c r="F23476">
        <v>160872985</v>
      </c>
      <c r="G23476">
        <v>160873009</v>
      </c>
      <c r="H23476">
        <v>160872945</v>
      </c>
      <c r="I23476">
        <v>160872972</v>
      </c>
    </row>
    <row r="23477" spans="1:9" x14ac:dyDescent="0.2">
      <c r="A23477" t="str">
        <f>"Zic1"</f>
        <v>Zic1</v>
      </c>
      <c r="B23477" t="s">
        <v>14</v>
      </c>
      <c r="C23477" t="s">
        <v>24</v>
      </c>
      <c r="D23477" t="s">
        <v>11</v>
      </c>
      <c r="E23477" t="s">
        <v>12</v>
      </c>
      <c r="F23477">
        <v>91365756</v>
      </c>
      <c r="G23477">
        <v>91365774</v>
      </c>
      <c r="H23477">
        <v>91365778</v>
      </c>
      <c r="I23477">
        <v>91365815</v>
      </c>
    </row>
    <row r="23478" spans="1:9" x14ac:dyDescent="0.2">
      <c r="A23478" t="str">
        <f>"Zic2"</f>
        <v>Zic2</v>
      </c>
      <c r="B23478" t="s">
        <v>14</v>
      </c>
      <c r="C23478" t="s">
        <v>41</v>
      </c>
      <c r="D23478" t="s">
        <v>17</v>
      </c>
      <c r="E23478" t="s">
        <v>12</v>
      </c>
      <c r="F23478">
        <v>122475397</v>
      </c>
      <c r="G23478">
        <v>122475412</v>
      </c>
      <c r="H23478">
        <v>122475371</v>
      </c>
      <c r="I23478">
        <v>122475388</v>
      </c>
    </row>
    <row r="23479" spans="1:9" x14ac:dyDescent="0.2">
      <c r="A23479" t="str">
        <f>"Zic3"</f>
        <v>Zic3</v>
      </c>
      <c r="B23479" t="s">
        <v>14</v>
      </c>
      <c r="C23479" t="s">
        <v>37</v>
      </c>
      <c r="D23479" t="s">
        <v>17</v>
      </c>
      <c r="E23479" t="s">
        <v>12</v>
      </c>
      <c r="F23479">
        <v>58030622</v>
      </c>
      <c r="G23479">
        <v>58030636</v>
      </c>
      <c r="H23479">
        <v>58031003</v>
      </c>
      <c r="I23479">
        <v>58031018</v>
      </c>
    </row>
    <row r="23480" spans="1:9" x14ac:dyDescent="0.2">
      <c r="A23480" t="str">
        <f>"Zic4"</f>
        <v>Zic4</v>
      </c>
      <c r="B23480" t="s">
        <v>14</v>
      </c>
      <c r="C23480" t="s">
        <v>24</v>
      </c>
      <c r="D23480" t="s">
        <v>17</v>
      </c>
      <c r="E23480" t="s">
        <v>12</v>
      </c>
      <c r="F23480">
        <v>91369041</v>
      </c>
      <c r="G23480">
        <v>91369073</v>
      </c>
      <c r="H23480">
        <v>91369041</v>
      </c>
      <c r="I23480">
        <v>91369073</v>
      </c>
    </row>
    <row r="23481" spans="1:9" x14ac:dyDescent="0.2">
      <c r="A23481" t="str">
        <f>"Zic5"</f>
        <v>Zic5</v>
      </c>
      <c r="B23481" t="s">
        <v>14</v>
      </c>
      <c r="C23481" t="s">
        <v>41</v>
      </c>
      <c r="D23481" t="s">
        <v>11</v>
      </c>
      <c r="E23481" t="s">
        <v>12</v>
      </c>
      <c r="F23481">
        <v>122465454</v>
      </c>
      <c r="G23481">
        <v>122465486</v>
      </c>
      <c r="H23481">
        <v>122465454</v>
      </c>
      <c r="I23481">
        <v>122465486</v>
      </c>
    </row>
    <row r="23482" spans="1:9" x14ac:dyDescent="0.2">
      <c r="A23482" t="str">
        <f>"Zik1"</f>
        <v>Zik1</v>
      </c>
      <c r="B23482" t="s">
        <v>14</v>
      </c>
      <c r="C23482" t="s">
        <v>33</v>
      </c>
      <c r="D23482" t="s">
        <v>11</v>
      </c>
      <c r="E23482" t="s">
        <v>12</v>
      </c>
      <c r="F23482">
        <v>10495322</v>
      </c>
      <c r="G23482">
        <v>10495401</v>
      </c>
      <c r="H23482">
        <v>10495309</v>
      </c>
      <c r="I23482">
        <v>10495315</v>
      </c>
    </row>
    <row r="23483" spans="1:9" x14ac:dyDescent="0.2">
      <c r="A23483" t="str">
        <f>"Zim1"</f>
        <v>Zim1</v>
      </c>
      <c r="B23483" t="s">
        <v>14</v>
      </c>
      <c r="C23483" t="s">
        <v>33</v>
      </c>
      <c r="D23483" t="s">
        <v>11</v>
      </c>
      <c r="E23483" t="s">
        <v>12</v>
      </c>
      <c r="F23483">
        <v>6696423</v>
      </c>
      <c r="G23483">
        <v>6696456</v>
      </c>
      <c r="H23483">
        <v>6696423</v>
      </c>
      <c r="I23483">
        <v>6696456</v>
      </c>
    </row>
    <row r="23484" spans="1:9" x14ac:dyDescent="0.2">
      <c r="A23484" t="str">
        <f>"Zkscan1"</f>
        <v>Zkscan1</v>
      </c>
      <c r="B23484" t="s">
        <v>14</v>
      </c>
      <c r="C23484" t="s">
        <v>46</v>
      </c>
      <c r="D23484" t="s">
        <v>17</v>
      </c>
      <c r="E23484" t="s">
        <v>12</v>
      </c>
      <c r="F23484">
        <v>138085083</v>
      </c>
      <c r="G23484">
        <v>138085147</v>
      </c>
      <c r="H23484">
        <v>138085150</v>
      </c>
      <c r="I23484">
        <v>138085160</v>
      </c>
    </row>
    <row r="23485" spans="1:9" x14ac:dyDescent="0.2">
      <c r="A23485" t="str">
        <f>"Zkscan14"</f>
        <v>Zkscan14</v>
      </c>
      <c r="B23485" t="s">
        <v>14</v>
      </c>
      <c r="C23485" t="s">
        <v>46</v>
      </c>
      <c r="D23485" t="s">
        <v>11</v>
      </c>
      <c r="E23485" t="s">
        <v>12</v>
      </c>
      <c r="F23485">
        <v>145201829</v>
      </c>
      <c r="G23485">
        <v>145201873</v>
      </c>
      <c r="H23485">
        <v>145201875</v>
      </c>
      <c r="I23485">
        <v>145201891</v>
      </c>
    </row>
    <row r="23486" spans="1:9" x14ac:dyDescent="0.2">
      <c r="A23486" t="str">
        <f>"Zkscan16"</f>
        <v>Zkscan16</v>
      </c>
      <c r="B23486" t="s">
        <v>14</v>
      </c>
      <c r="C23486" t="s">
        <v>23</v>
      </c>
      <c r="D23486" t="s">
        <v>17</v>
      </c>
      <c r="E23486" t="s">
        <v>12</v>
      </c>
      <c r="F23486">
        <v>58943575</v>
      </c>
      <c r="G23486">
        <v>58943638</v>
      </c>
      <c r="H23486">
        <v>58943562</v>
      </c>
      <c r="I23486">
        <v>58943571</v>
      </c>
    </row>
    <row r="23487" spans="1:9" x14ac:dyDescent="0.2">
      <c r="A23487" t="str">
        <f>"Zkscan17"</f>
        <v>Zkscan17</v>
      </c>
      <c r="B23487" t="s">
        <v>14</v>
      </c>
      <c r="C23487" t="s">
        <v>27</v>
      </c>
      <c r="D23487" t="s">
        <v>11</v>
      </c>
      <c r="E23487" t="s">
        <v>12</v>
      </c>
      <c r="F23487">
        <v>59506199</v>
      </c>
      <c r="G23487">
        <v>59506239</v>
      </c>
      <c r="H23487">
        <v>59506542</v>
      </c>
      <c r="I23487">
        <v>59506588</v>
      </c>
    </row>
    <row r="23488" spans="1:9" x14ac:dyDescent="0.2">
      <c r="A23488" t="str">
        <f>"Zkscan2"</f>
        <v>Zkscan2</v>
      </c>
      <c r="B23488" t="s">
        <v>14</v>
      </c>
      <c r="C23488" t="s">
        <v>33</v>
      </c>
      <c r="D23488" t="s">
        <v>11</v>
      </c>
      <c r="E23488" t="s">
        <v>12</v>
      </c>
      <c r="F23488">
        <v>123500503</v>
      </c>
      <c r="G23488">
        <v>123500578</v>
      </c>
      <c r="H23488">
        <v>123500580</v>
      </c>
      <c r="I23488">
        <v>123500600</v>
      </c>
    </row>
    <row r="23489" spans="1:9" x14ac:dyDescent="0.2">
      <c r="A23489" t="str">
        <f>"Zkscan3"</f>
        <v>Zkscan3</v>
      </c>
      <c r="B23489" t="s">
        <v>14</v>
      </c>
      <c r="C23489" t="s">
        <v>39</v>
      </c>
      <c r="D23489" t="s">
        <v>11</v>
      </c>
      <c r="E23489" t="s">
        <v>12</v>
      </c>
      <c r="F23489">
        <v>21402688</v>
      </c>
      <c r="G23489">
        <v>21402748</v>
      </c>
      <c r="H23489">
        <v>21402688</v>
      </c>
      <c r="I23489">
        <v>21402748</v>
      </c>
    </row>
    <row r="23490" spans="1:9" x14ac:dyDescent="0.2">
      <c r="A23490" t="str">
        <f>"Zkscan4"</f>
        <v>Zkscan4</v>
      </c>
      <c r="B23490" t="s">
        <v>14</v>
      </c>
      <c r="C23490" t="s">
        <v>39</v>
      </c>
      <c r="D23490" t="s">
        <v>17</v>
      </c>
      <c r="E23490" t="s">
        <v>12</v>
      </c>
      <c r="F23490">
        <v>21478843</v>
      </c>
      <c r="G23490">
        <v>21478864</v>
      </c>
      <c r="H23490">
        <v>21478867</v>
      </c>
      <c r="I23490">
        <v>21478889</v>
      </c>
    </row>
    <row r="23491" spans="1:9" x14ac:dyDescent="0.2">
      <c r="A23491" t="str">
        <f>"Zkscan5"</f>
        <v>Zkscan5</v>
      </c>
      <c r="B23491" t="s">
        <v>14</v>
      </c>
      <c r="C23491" t="s">
        <v>46</v>
      </c>
      <c r="D23491" t="s">
        <v>17</v>
      </c>
      <c r="E23491" t="s">
        <v>12</v>
      </c>
      <c r="F23491">
        <v>145204523</v>
      </c>
      <c r="G23491">
        <v>145204574</v>
      </c>
      <c r="H23491">
        <v>145204576</v>
      </c>
      <c r="I23491">
        <v>145204599</v>
      </c>
    </row>
    <row r="23492" spans="1:9" x14ac:dyDescent="0.2">
      <c r="A23492" t="str">
        <f>"Zkscan6"</f>
        <v>Zkscan6</v>
      </c>
      <c r="B23492" t="s">
        <v>14</v>
      </c>
      <c r="C23492" t="s">
        <v>27</v>
      </c>
      <c r="D23492" t="s">
        <v>17</v>
      </c>
      <c r="E23492" t="s">
        <v>12</v>
      </c>
      <c r="F23492">
        <v>65807210</v>
      </c>
      <c r="G23492">
        <v>65807227</v>
      </c>
      <c r="H23492">
        <v>65807193</v>
      </c>
      <c r="I23492">
        <v>65807198</v>
      </c>
    </row>
    <row r="23493" spans="1:9" x14ac:dyDescent="0.2">
      <c r="A23493" t="str">
        <f>"Zkscan7"</f>
        <v>Zkscan7</v>
      </c>
      <c r="B23493" t="s">
        <v>6372</v>
      </c>
      <c r="C23493" t="s">
        <v>24</v>
      </c>
      <c r="D23493" t="s">
        <v>17</v>
      </c>
      <c r="E23493" t="s">
        <v>20</v>
      </c>
      <c r="F23493">
        <v>122888470</v>
      </c>
      <c r="G23493">
        <v>122888470</v>
      </c>
      <c r="H23493">
        <v>122888470</v>
      </c>
      <c r="I23493">
        <v>122888470</v>
      </c>
    </row>
    <row r="23494" spans="1:9" x14ac:dyDescent="0.2">
      <c r="A23494" t="str">
        <f>"Zkscan8"</f>
        <v>Zkscan8</v>
      </c>
      <c r="B23494" t="s">
        <v>14</v>
      </c>
      <c r="C23494" t="s">
        <v>39</v>
      </c>
      <c r="D23494" t="s">
        <v>11</v>
      </c>
      <c r="E23494" t="s">
        <v>67</v>
      </c>
      <c r="F23494">
        <v>21531048</v>
      </c>
      <c r="G23494">
        <v>21531083</v>
      </c>
      <c r="H23494">
        <v>21531084</v>
      </c>
      <c r="I23494">
        <v>21531103</v>
      </c>
    </row>
    <row r="23495" spans="1:9" x14ac:dyDescent="0.2">
      <c r="A23495" t="str">
        <f>"Zmat1"</f>
        <v>Zmat1</v>
      </c>
      <c r="B23495" t="s">
        <v>14</v>
      </c>
      <c r="C23495" t="s">
        <v>37</v>
      </c>
      <c r="D23495" t="s">
        <v>11</v>
      </c>
      <c r="E23495" t="s">
        <v>12</v>
      </c>
      <c r="F23495">
        <v>135009192</v>
      </c>
      <c r="G23495">
        <v>135009225</v>
      </c>
      <c r="H23495">
        <v>135009226</v>
      </c>
      <c r="I23495">
        <v>135009236</v>
      </c>
    </row>
    <row r="23496" spans="1:9" x14ac:dyDescent="0.2">
      <c r="A23496" t="str">
        <f>"Zmat2"</f>
        <v>Zmat2</v>
      </c>
      <c r="B23496" t="s">
        <v>14</v>
      </c>
      <c r="C23496" t="s">
        <v>43</v>
      </c>
      <c r="D23496" t="s">
        <v>17</v>
      </c>
      <c r="E23496" t="s">
        <v>12</v>
      </c>
      <c r="F23496">
        <v>36793918</v>
      </c>
      <c r="G23496">
        <v>36793937</v>
      </c>
      <c r="H23496">
        <v>36793918</v>
      </c>
      <c r="I23496">
        <v>36793937</v>
      </c>
    </row>
    <row r="23497" spans="1:9" x14ac:dyDescent="0.2">
      <c r="A23497" t="str">
        <f>"Zmat3"</f>
        <v>Zmat3</v>
      </c>
      <c r="B23497" t="s">
        <v>14</v>
      </c>
      <c r="C23497" t="s">
        <v>22</v>
      </c>
      <c r="D23497" t="s">
        <v>11</v>
      </c>
      <c r="E23497" t="s">
        <v>12</v>
      </c>
      <c r="F23497">
        <v>32365643</v>
      </c>
      <c r="G23497">
        <v>32365691</v>
      </c>
      <c r="H23497">
        <v>32365608</v>
      </c>
      <c r="I23497">
        <v>32365622</v>
      </c>
    </row>
    <row r="23498" spans="1:9" x14ac:dyDescent="0.2">
      <c r="A23498" t="str">
        <f>"Zmat4"</f>
        <v>Zmat4</v>
      </c>
      <c r="B23498" t="s">
        <v>14</v>
      </c>
      <c r="C23498" t="s">
        <v>30</v>
      </c>
      <c r="D23498" t="s">
        <v>17</v>
      </c>
      <c r="E23498" t="s">
        <v>12</v>
      </c>
      <c r="F23498">
        <v>23669653</v>
      </c>
      <c r="G23498">
        <v>23669671</v>
      </c>
      <c r="H23498">
        <v>23669653</v>
      </c>
      <c r="I23498">
        <v>23669671</v>
      </c>
    </row>
    <row r="23499" spans="1:9" x14ac:dyDescent="0.2">
      <c r="A23499" t="str">
        <f>"Zmat5"</f>
        <v>Zmat5</v>
      </c>
      <c r="B23499" t="s">
        <v>14</v>
      </c>
      <c r="C23499" t="s">
        <v>27</v>
      </c>
      <c r="D23499" t="s">
        <v>17</v>
      </c>
      <c r="E23499" t="s">
        <v>12</v>
      </c>
      <c r="F23499">
        <v>4704642</v>
      </c>
      <c r="G23499">
        <v>4704702</v>
      </c>
      <c r="H23499">
        <v>4704616</v>
      </c>
      <c r="I23499">
        <v>4704631</v>
      </c>
    </row>
    <row r="23500" spans="1:9" x14ac:dyDescent="0.2">
      <c r="A23500" t="str">
        <f>"Zmiz1"</f>
        <v>Zmiz1</v>
      </c>
      <c r="B23500" t="s">
        <v>14</v>
      </c>
      <c r="C23500" t="s">
        <v>41</v>
      </c>
      <c r="D23500" t="s">
        <v>17</v>
      </c>
      <c r="E23500" t="s">
        <v>12</v>
      </c>
      <c r="F23500">
        <v>25459232</v>
      </c>
      <c r="G23500">
        <v>25459261</v>
      </c>
      <c r="H23500">
        <v>25459267</v>
      </c>
      <c r="I23500">
        <v>25459297</v>
      </c>
    </row>
    <row r="23501" spans="1:9" x14ac:dyDescent="0.2">
      <c r="A23501" t="str">
        <f>"Zmiz2"</f>
        <v>Zmiz2</v>
      </c>
      <c r="B23501" t="s">
        <v>14</v>
      </c>
      <c r="C23501" t="s">
        <v>27</v>
      </c>
      <c r="D23501" t="s">
        <v>17</v>
      </c>
      <c r="E23501" t="s">
        <v>12</v>
      </c>
      <c r="F23501">
        <v>6389330</v>
      </c>
      <c r="G23501">
        <v>6389397</v>
      </c>
      <c r="H23501">
        <v>6389061</v>
      </c>
      <c r="I23501">
        <v>6389080</v>
      </c>
    </row>
    <row r="23502" spans="1:9" x14ac:dyDescent="0.2">
      <c r="A23502" t="str">
        <f>"Zmpste24"</f>
        <v>Zmpste24</v>
      </c>
      <c r="B23502" t="s">
        <v>14</v>
      </c>
      <c r="C23502" t="s">
        <v>23</v>
      </c>
      <c r="D23502" t="s">
        <v>11</v>
      </c>
      <c r="E23502" t="s">
        <v>12</v>
      </c>
      <c r="F23502">
        <v>121098190</v>
      </c>
      <c r="G23502">
        <v>121098250</v>
      </c>
      <c r="H23502">
        <v>121098022</v>
      </c>
      <c r="I23502">
        <v>121098089</v>
      </c>
    </row>
    <row r="23503" spans="1:9" x14ac:dyDescent="0.2">
      <c r="A23503" t="str">
        <f>"Zmym1"</f>
        <v>Zmym1</v>
      </c>
      <c r="B23503" t="s">
        <v>14</v>
      </c>
      <c r="C23503" t="s">
        <v>23</v>
      </c>
      <c r="D23503" t="s">
        <v>11</v>
      </c>
      <c r="E23503" t="s">
        <v>12</v>
      </c>
      <c r="F23503">
        <v>127061085</v>
      </c>
      <c r="G23503">
        <v>127061125</v>
      </c>
      <c r="H23503">
        <v>127061126</v>
      </c>
      <c r="I23503">
        <v>127061143</v>
      </c>
    </row>
    <row r="23504" spans="1:9" x14ac:dyDescent="0.2">
      <c r="A23504" t="str">
        <f>"Zmym2"</f>
        <v>Zmym2</v>
      </c>
      <c r="B23504" t="s">
        <v>9</v>
      </c>
      <c r="C23504" t="s">
        <v>41</v>
      </c>
      <c r="D23504" t="s">
        <v>17</v>
      </c>
      <c r="E23504" t="s">
        <v>12</v>
      </c>
      <c r="F23504">
        <v>56886580</v>
      </c>
      <c r="G23504">
        <v>56886598</v>
      </c>
      <c r="H23504">
        <v>56886580</v>
      </c>
      <c r="I23504">
        <v>56886598</v>
      </c>
    </row>
    <row r="23505" spans="1:9" x14ac:dyDescent="0.2">
      <c r="A23505" t="str">
        <f>"Zmym2"</f>
        <v>Zmym2</v>
      </c>
      <c r="B23505" t="s">
        <v>13</v>
      </c>
      <c r="C23505" t="s">
        <v>41</v>
      </c>
      <c r="D23505" t="s">
        <v>17</v>
      </c>
      <c r="E23505" t="s">
        <v>12</v>
      </c>
      <c r="F23505">
        <v>56887782</v>
      </c>
      <c r="G23505">
        <v>56887799</v>
      </c>
      <c r="H23505">
        <v>56887782</v>
      </c>
      <c r="I23505">
        <v>56887799</v>
      </c>
    </row>
    <row r="23506" spans="1:9" x14ac:dyDescent="0.2">
      <c r="A23506" t="str">
        <f>"Zmym3"</f>
        <v>Zmym3</v>
      </c>
      <c r="B23506" t="s">
        <v>14</v>
      </c>
      <c r="C23506" t="s">
        <v>37</v>
      </c>
      <c r="D23506" t="s">
        <v>11</v>
      </c>
      <c r="E23506" t="s">
        <v>12</v>
      </c>
      <c r="F23506">
        <v>101419788</v>
      </c>
      <c r="G23506">
        <v>101419859</v>
      </c>
      <c r="H23506">
        <v>101419788</v>
      </c>
      <c r="I23506">
        <v>101419859</v>
      </c>
    </row>
    <row r="23507" spans="1:9" x14ac:dyDescent="0.2">
      <c r="A23507" t="str">
        <f>"Zmym4"</f>
        <v>Zmym4</v>
      </c>
      <c r="B23507" t="s">
        <v>14</v>
      </c>
      <c r="C23507" t="s">
        <v>23</v>
      </c>
      <c r="D23507" t="s">
        <v>11</v>
      </c>
      <c r="E23507" t="s">
        <v>12</v>
      </c>
      <c r="F23507">
        <v>126968050</v>
      </c>
      <c r="G23507">
        <v>126968114</v>
      </c>
      <c r="H23507">
        <v>126968124</v>
      </c>
      <c r="I23507">
        <v>126968154</v>
      </c>
    </row>
    <row r="23508" spans="1:9" x14ac:dyDescent="0.2">
      <c r="A23508" t="str">
        <f>"Zmym5"</f>
        <v>Zmym5</v>
      </c>
      <c r="B23508" t="s">
        <v>14</v>
      </c>
      <c r="C23508" t="s">
        <v>41</v>
      </c>
      <c r="D23508" t="s">
        <v>11</v>
      </c>
      <c r="E23508" t="s">
        <v>12</v>
      </c>
      <c r="F23508">
        <v>56811737</v>
      </c>
      <c r="G23508">
        <v>56811761</v>
      </c>
      <c r="H23508">
        <v>56811737</v>
      </c>
      <c r="I23508">
        <v>56811761</v>
      </c>
    </row>
    <row r="23509" spans="1:9" x14ac:dyDescent="0.2">
      <c r="A23509" t="str">
        <f>"Zmym6"</f>
        <v>Zmym6</v>
      </c>
      <c r="B23509" t="s">
        <v>14</v>
      </c>
      <c r="C23509" t="s">
        <v>23</v>
      </c>
      <c r="D23509" t="s">
        <v>17</v>
      </c>
      <c r="E23509" t="s">
        <v>12</v>
      </c>
      <c r="F23509">
        <v>127077374</v>
      </c>
      <c r="G23509">
        <v>127077461</v>
      </c>
      <c r="H23509">
        <v>127077103</v>
      </c>
      <c r="I23509">
        <v>127077130</v>
      </c>
    </row>
    <row r="23510" spans="1:9" x14ac:dyDescent="0.2">
      <c r="A23510" t="str">
        <f>"Zmynd10"</f>
        <v>Zmynd10</v>
      </c>
      <c r="B23510" t="s">
        <v>14</v>
      </c>
      <c r="C23510" t="s">
        <v>24</v>
      </c>
      <c r="D23510" t="s">
        <v>17</v>
      </c>
      <c r="E23510" t="s">
        <v>12</v>
      </c>
      <c r="F23510">
        <v>107547288</v>
      </c>
      <c r="G23510">
        <v>107547379</v>
      </c>
      <c r="H23510">
        <v>107547389</v>
      </c>
      <c r="I23510">
        <v>107547400</v>
      </c>
    </row>
    <row r="23511" spans="1:9" x14ac:dyDescent="0.2">
      <c r="A23511" t="str">
        <f>"Zmynd11"</f>
        <v>Zmynd11</v>
      </c>
      <c r="B23511" t="s">
        <v>14</v>
      </c>
      <c r="C23511" t="s">
        <v>39</v>
      </c>
      <c r="D23511" t="s">
        <v>11</v>
      </c>
      <c r="E23511" t="s">
        <v>12</v>
      </c>
      <c r="F23511">
        <v>9764431</v>
      </c>
      <c r="G23511">
        <v>9764475</v>
      </c>
      <c r="H23511">
        <v>9765137</v>
      </c>
      <c r="I23511">
        <v>9765184</v>
      </c>
    </row>
    <row r="23512" spans="1:9" x14ac:dyDescent="0.2">
      <c r="A23512" t="str">
        <f>"Zmynd12"</f>
        <v>Zmynd12</v>
      </c>
      <c r="B23512" t="s">
        <v>14</v>
      </c>
      <c r="C23512" t="s">
        <v>23</v>
      </c>
      <c r="D23512" t="s">
        <v>17</v>
      </c>
      <c r="E23512" t="s">
        <v>12</v>
      </c>
      <c r="F23512">
        <v>119422842</v>
      </c>
      <c r="G23512">
        <v>119422881</v>
      </c>
      <c r="H23512">
        <v>119422806</v>
      </c>
      <c r="I23512">
        <v>119422841</v>
      </c>
    </row>
    <row r="23513" spans="1:9" x14ac:dyDescent="0.2">
      <c r="A23513" t="str">
        <f>"Zmynd15"</f>
        <v>Zmynd15</v>
      </c>
      <c r="B23513" t="s">
        <v>14</v>
      </c>
      <c r="C23513" t="s">
        <v>27</v>
      </c>
      <c r="D23513" t="s">
        <v>17</v>
      </c>
      <c r="E23513" t="s">
        <v>12</v>
      </c>
      <c r="F23513">
        <v>70459611</v>
      </c>
      <c r="G23513">
        <v>70459633</v>
      </c>
      <c r="H23513">
        <v>70459779</v>
      </c>
      <c r="I23513">
        <v>70459799</v>
      </c>
    </row>
    <row r="23514" spans="1:9" x14ac:dyDescent="0.2">
      <c r="A23514" t="str">
        <f>"Zmynd19"</f>
        <v>Zmynd19</v>
      </c>
      <c r="B23514" t="s">
        <v>14</v>
      </c>
      <c r="C23514" t="s">
        <v>26</v>
      </c>
      <c r="D23514" t="s">
        <v>17</v>
      </c>
      <c r="E23514" t="s">
        <v>12</v>
      </c>
      <c r="F23514">
        <v>24949747</v>
      </c>
      <c r="G23514">
        <v>24949801</v>
      </c>
      <c r="H23514">
        <v>24950397</v>
      </c>
      <c r="I23514">
        <v>24950404</v>
      </c>
    </row>
    <row r="23515" spans="1:9" x14ac:dyDescent="0.2">
      <c r="A23515" t="str">
        <f>"Zmynd8"</f>
        <v>Zmynd8</v>
      </c>
      <c r="B23515" t="s">
        <v>9</v>
      </c>
      <c r="C23515" t="s">
        <v>26</v>
      </c>
      <c r="D23515" t="s">
        <v>11</v>
      </c>
      <c r="E23515" t="s">
        <v>12</v>
      </c>
      <c r="F23515">
        <v>165884636</v>
      </c>
      <c r="G23515">
        <v>165884686</v>
      </c>
      <c r="H23515">
        <v>165884636</v>
      </c>
      <c r="I23515">
        <v>165884686</v>
      </c>
    </row>
    <row r="23516" spans="1:9" x14ac:dyDescent="0.2">
      <c r="A23516" t="str">
        <f>"Zmynd8"</f>
        <v>Zmynd8</v>
      </c>
      <c r="B23516" t="s">
        <v>13</v>
      </c>
      <c r="C23516" t="s">
        <v>26</v>
      </c>
      <c r="D23516" t="s">
        <v>11</v>
      </c>
      <c r="E23516" t="s">
        <v>12</v>
      </c>
      <c r="F23516">
        <v>165858133</v>
      </c>
      <c r="G23516">
        <v>165858188</v>
      </c>
      <c r="H23516">
        <v>165858133</v>
      </c>
      <c r="I23516">
        <v>165858188</v>
      </c>
    </row>
    <row r="23517" spans="1:9" x14ac:dyDescent="0.2">
      <c r="A23517" t="str">
        <f>"Znf512b"</f>
        <v>Znf512b</v>
      </c>
      <c r="B23517" t="s">
        <v>14</v>
      </c>
      <c r="C23517" t="s">
        <v>26</v>
      </c>
      <c r="D23517" t="s">
        <v>11</v>
      </c>
      <c r="E23517" t="s">
        <v>12</v>
      </c>
      <c r="F23517">
        <v>181592733</v>
      </c>
      <c r="G23517">
        <v>181592790</v>
      </c>
      <c r="H23517">
        <v>181592440</v>
      </c>
      <c r="I23517">
        <v>181592498</v>
      </c>
    </row>
    <row r="23518" spans="1:9" x14ac:dyDescent="0.2">
      <c r="A23518" t="str">
        <f>"Znfx1"</f>
        <v>Znfx1</v>
      </c>
      <c r="B23518" t="s">
        <v>14</v>
      </c>
      <c r="C23518" t="s">
        <v>26</v>
      </c>
      <c r="D23518" t="s">
        <v>11</v>
      </c>
      <c r="E23518" t="s">
        <v>12</v>
      </c>
      <c r="F23518">
        <v>167062607</v>
      </c>
      <c r="G23518">
        <v>167062724</v>
      </c>
      <c r="H23518">
        <v>167062558</v>
      </c>
      <c r="I23518">
        <v>167062605</v>
      </c>
    </row>
    <row r="23519" spans="1:9" x14ac:dyDescent="0.2">
      <c r="A23519" t="str">
        <f>"Znhit1"</f>
        <v>Znhit1</v>
      </c>
      <c r="B23519" t="s">
        <v>14</v>
      </c>
      <c r="C23519" t="s">
        <v>46</v>
      </c>
      <c r="D23519" t="s">
        <v>11</v>
      </c>
      <c r="E23519" t="s">
        <v>12</v>
      </c>
      <c r="F23519">
        <v>136987501</v>
      </c>
      <c r="G23519">
        <v>136987569</v>
      </c>
      <c r="H23519">
        <v>136986836</v>
      </c>
      <c r="I23519">
        <v>136986878</v>
      </c>
    </row>
    <row r="23520" spans="1:9" x14ac:dyDescent="0.2">
      <c r="A23520" t="str">
        <f>"Znhit2"</f>
        <v>Znhit2</v>
      </c>
      <c r="B23520" t="s">
        <v>14</v>
      </c>
      <c r="C23520" t="s">
        <v>10</v>
      </c>
      <c r="D23520" t="s">
        <v>17</v>
      </c>
      <c r="E23520" t="s">
        <v>67</v>
      </c>
      <c r="F23520">
        <v>6061176</v>
      </c>
      <c r="G23520">
        <v>6061235</v>
      </c>
      <c r="H23520">
        <v>6061176</v>
      </c>
      <c r="I23520">
        <v>6061235</v>
      </c>
    </row>
    <row r="23521" spans="1:9" x14ac:dyDescent="0.2">
      <c r="A23521" t="str">
        <f>"Znhit3"</f>
        <v>Znhit3</v>
      </c>
      <c r="B23521" t="s">
        <v>14</v>
      </c>
      <c r="C23521" t="s">
        <v>27</v>
      </c>
      <c r="D23521" t="s">
        <v>11</v>
      </c>
      <c r="E23521" t="s">
        <v>12</v>
      </c>
      <c r="F23521">
        <v>84916338</v>
      </c>
      <c r="G23521">
        <v>84916371</v>
      </c>
      <c r="H23521">
        <v>84916234</v>
      </c>
      <c r="I23521">
        <v>84916260</v>
      </c>
    </row>
    <row r="23522" spans="1:9" x14ac:dyDescent="0.2">
      <c r="A23522" t="str">
        <f>"Znhit6"</f>
        <v>Znhit6</v>
      </c>
      <c r="B23522" t="s">
        <v>14</v>
      </c>
      <c r="C23522" t="s">
        <v>22</v>
      </c>
      <c r="D23522" t="s">
        <v>17</v>
      </c>
      <c r="E23522" t="s">
        <v>12</v>
      </c>
      <c r="F23522">
        <v>145576196</v>
      </c>
      <c r="G23522">
        <v>145576266</v>
      </c>
      <c r="H23522">
        <v>145576196</v>
      </c>
      <c r="I23522">
        <v>145576266</v>
      </c>
    </row>
    <row r="23523" spans="1:9" x14ac:dyDescent="0.2">
      <c r="A23523" t="str">
        <f>"Znrd1"</f>
        <v>Znrd1</v>
      </c>
      <c r="B23523" t="s">
        <v>14</v>
      </c>
      <c r="C23523" t="s">
        <v>28</v>
      </c>
      <c r="D23523" t="s">
        <v>11</v>
      </c>
      <c r="E23523" t="s">
        <v>12</v>
      </c>
      <c r="F23523">
        <v>36958437</v>
      </c>
      <c r="G23523">
        <v>36958500</v>
      </c>
      <c r="H23523">
        <v>36958417</v>
      </c>
      <c r="I23523">
        <v>36958433</v>
      </c>
    </row>
    <row r="23524" spans="1:9" x14ac:dyDescent="0.2">
      <c r="A23524" t="str">
        <f>"Znrd1as"</f>
        <v>Znrd1as</v>
      </c>
      <c r="B23524" t="s">
        <v>14</v>
      </c>
      <c r="C23524" t="s">
        <v>28</v>
      </c>
      <c r="D23524" t="s">
        <v>17</v>
      </c>
      <c r="E23524" t="s">
        <v>12</v>
      </c>
      <c r="F23524">
        <v>36958571</v>
      </c>
      <c r="G23524">
        <v>36958611</v>
      </c>
      <c r="H23524">
        <v>36958655</v>
      </c>
      <c r="I23524">
        <v>36958751</v>
      </c>
    </row>
    <row r="23525" spans="1:9" x14ac:dyDescent="0.2">
      <c r="A23525" t="str">
        <f>"Znrf1"</f>
        <v>Znrf1</v>
      </c>
      <c r="B23525" t="s">
        <v>14</v>
      </c>
      <c r="C23525" t="s">
        <v>30</v>
      </c>
      <c r="D23525" t="s">
        <v>17</v>
      </c>
      <c r="E23525" t="s">
        <v>12</v>
      </c>
      <c r="F23525">
        <v>111536492</v>
      </c>
      <c r="G23525">
        <v>111536553</v>
      </c>
      <c r="H23525">
        <v>111536266</v>
      </c>
      <c r="I23525">
        <v>111536301</v>
      </c>
    </row>
    <row r="23526" spans="1:9" x14ac:dyDescent="0.2">
      <c r="A23526" t="str">
        <f>"Znrf2"</f>
        <v>Znrf2</v>
      </c>
      <c r="B23526" t="s">
        <v>14</v>
      </c>
      <c r="C23526" t="s">
        <v>32</v>
      </c>
      <c r="D23526" t="s">
        <v>17</v>
      </c>
      <c r="E23526" t="s">
        <v>12</v>
      </c>
      <c r="F23526">
        <v>54816631</v>
      </c>
      <c r="G23526">
        <v>54816701</v>
      </c>
      <c r="H23526">
        <v>54816705</v>
      </c>
      <c r="I23526">
        <v>54816742</v>
      </c>
    </row>
    <row r="23527" spans="1:9" x14ac:dyDescent="0.2">
      <c r="A23527" t="str">
        <f>"Znrf3"</f>
        <v>Znrf3</v>
      </c>
      <c r="B23527" t="s">
        <v>6373</v>
      </c>
      <c r="C23527" t="s">
        <v>27</v>
      </c>
      <c r="D23527" t="s">
        <v>11</v>
      </c>
      <c r="E23527" t="s">
        <v>20</v>
      </c>
      <c r="F23527">
        <v>5381739</v>
      </c>
      <c r="G23527">
        <v>5381739</v>
      </c>
      <c r="H23527">
        <v>5381739</v>
      </c>
      <c r="I23527">
        <v>5381739</v>
      </c>
    </row>
    <row r="23528" spans="1:9" x14ac:dyDescent="0.2">
      <c r="A23528" t="str">
        <f>"Znrf4"</f>
        <v>Znrf4</v>
      </c>
      <c r="B23528" t="s">
        <v>14</v>
      </c>
      <c r="C23528" t="s">
        <v>28</v>
      </c>
      <c r="D23528" t="s">
        <v>11</v>
      </c>
      <c r="E23528" t="s">
        <v>12</v>
      </c>
      <c r="F23528">
        <v>56512476</v>
      </c>
      <c r="G23528">
        <v>56512509</v>
      </c>
      <c r="H23528">
        <v>56512449</v>
      </c>
      <c r="I23528">
        <v>56512465</v>
      </c>
    </row>
    <row r="23529" spans="1:9" x14ac:dyDescent="0.2">
      <c r="A23529" t="str">
        <f>"Zp1"</f>
        <v>Zp1</v>
      </c>
      <c r="B23529" t="s">
        <v>14</v>
      </c>
      <c r="C23529" t="s">
        <v>10</v>
      </c>
      <c r="D23529" t="s">
        <v>11</v>
      </c>
      <c r="E23529" t="s">
        <v>12</v>
      </c>
      <c r="F23529">
        <v>10920629</v>
      </c>
      <c r="G23529">
        <v>10920635</v>
      </c>
      <c r="H23529">
        <v>10920629</v>
      </c>
      <c r="I23529">
        <v>10920635</v>
      </c>
    </row>
    <row r="23530" spans="1:9" x14ac:dyDescent="0.2">
      <c r="A23530" t="str">
        <f>"Zp2"</f>
        <v>Zp2</v>
      </c>
      <c r="B23530" t="s">
        <v>14</v>
      </c>
      <c r="C23530" t="s">
        <v>33</v>
      </c>
      <c r="D23530" t="s">
        <v>11</v>
      </c>
      <c r="E23530" t="s">
        <v>12</v>
      </c>
      <c r="F23530">
        <v>120145286</v>
      </c>
      <c r="G23530">
        <v>120145292</v>
      </c>
      <c r="H23530">
        <v>120145286</v>
      </c>
      <c r="I23530">
        <v>120145292</v>
      </c>
    </row>
    <row r="23531" spans="1:9" x14ac:dyDescent="0.2">
      <c r="A23531" t="str">
        <f>"Zp3"</f>
        <v>Zp3</v>
      </c>
      <c r="B23531" t="s">
        <v>14</v>
      </c>
      <c r="C23531" t="s">
        <v>46</v>
      </c>
      <c r="D23531" t="s">
        <v>17</v>
      </c>
      <c r="E23531" t="s">
        <v>12</v>
      </c>
      <c r="F23531">
        <v>135980104</v>
      </c>
      <c r="G23531">
        <v>135980108</v>
      </c>
      <c r="H23531">
        <v>135980104</v>
      </c>
      <c r="I23531">
        <v>135980108</v>
      </c>
    </row>
    <row r="23532" spans="1:9" x14ac:dyDescent="0.2">
      <c r="A23532" t="str">
        <f>"Zp3r"</f>
        <v>Zp3r</v>
      </c>
      <c r="B23532" t="s">
        <v>14</v>
      </c>
      <c r="C23532" t="s">
        <v>19</v>
      </c>
      <c r="D23532" t="s">
        <v>11</v>
      </c>
      <c r="E23532" t="s">
        <v>12</v>
      </c>
      <c r="F23532">
        <v>130629614</v>
      </c>
      <c r="G23532">
        <v>130629626</v>
      </c>
      <c r="H23532">
        <v>130629563</v>
      </c>
      <c r="I23532">
        <v>130629574</v>
      </c>
    </row>
    <row r="23533" spans="1:9" x14ac:dyDescent="0.2">
      <c r="A23533" t="str">
        <f>"Zpbp"</f>
        <v>Zpbp</v>
      </c>
      <c r="B23533" t="s">
        <v>14</v>
      </c>
      <c r="C23533" t="s">
        <v>27</v>
      </c>
      <c r="D23533" t="s">
        <v>11</v>
      </c>
      <c r="E23533" t="s">
        <v>12</v>
      </c>
      <c r="F23533">
        <v>11462415</v>
      </c>
      <c r="G23533">
        <v>11462426</v>
      </c>
      <c r="H23533">
        <v>11462436</v>
      </c>
      <c r="I23533">
        <v>11462446</v>
      </c>
    </row>
    <row r="23534" spans="1:9" x14ac:dyDescent="0.2">
      <c r="A23534" t="str">
        <f>"Zpbp2"</f>
        <v>Zpbp2</v>
      </c>
      <c r="B23534" t="s">
        <v>14</v>
      </c>
      <c r="C23534" t="s">
        <v>27</v>
      </c>
      <c r="D23534" t="s">
        <v>17</v>
      </c>
      <c r="E23534" t="s">
        <v>12</v>
      </c>
      <c r="F23534">
        <v>98551105</v>
      </c>
      <c r="G23534">
        <v>98551165</v>
      </c>
      <c r="H23534">
        <v>98551069</v>
      </c>
      <c r="I23534">
        <v>98551102</v>
      </c>
    </row>
    <row r="23535" spans="1:9" x14ac:dyDescent="0.2">
      <c r="A23535" t="str">
        <f>"Zpld1"</f>
        <v>Zpld1</v>
      </c>
      <c r="B23535" t="s">
        <v>14</v>
      </c>
      <c r="C23535" t="s">
        <v>31</v>
      </c>
      <c r="D23535" t="s">
        <v>11</v>
      </c>
      <c r="E23535" t="s">
        <v>12</v>
      </c>
      <c r="F23535">
        <v>55283281</v>
      </c>
      <c r="G23535">
        <v>55283287</v>
      </c>
      <c r="H23535">
        <v>55283281</v>
      </c>
      <c r="I23535">
        <v>55283287</v>
      </c>
    </row>
    <row r="23536" spans="1:9" x14ac:dyDescent="0.2">
      <c r="A23536" t="str">
        <f>"Zranb1"</f>
        <v>Zranb1</v>
      </c>
      <c r="B23536" t="s">
        <v>14</v>
      </c>
      <c r="C23536" t="s">
        <v>33</v>
      </c>
      <c r="D23536" t="s">
        <v>17</v>
      </c>
      <c r="E23536" t="s">
        <v>12</v>
      </c>
      <c r="F23536">
        <v>132931228</v>
      </c>
      <c r="G23536">
        <v>132931246</v>
      </c>
      <c r="H23536">
        <v>132931166</v>
      </c>
      <c r="I23536">
        <v>132931185</v>
      </c>
    </row>
    <row r="23537" spans="1:9" x14ac:dyDescent="0.2">
      <c r="A23537" t="str">
        <f>"Zranb2"</f>
        <v>Zranb2</v>
      </c>
      <c r="B23537" t="s">
        <v>14</v>
      </c>
      <c r="C23537" t="s">
        <v>22</v>
      </c>
      <c r="D23537" t="s">
        <v>17</v>
      </c>
      <c r="E23537" t="s">
        <v>12</v>
      </c>
      <c r="F23537">
        <v>157534351</v>
      </c>
      <c r="G23537">
        <v>157534411</v>
      </c>
      <c r="H23537">
        <v>157534103</v>
      </c>
      <c r="I23537">
        <v>157534160</v>
      </c>
    </row>
    <row r="23538" spans="1:9" x14ac:dyDescent="0.2">
      <c r="A23538" t="str">
        <f>"Zranb3"</f>
        <v>Zranb3</v>
      </c>
      <c r="B23538" t="s">
        <v>14</v>
      </c>
      <c r="C23538" t="s">
        <v>19</v>
      </c>
      <c r="D23538" t="s">
        <v>11</v>
      </c>
      <c r="E23538" t="s">
        <v>12</v>
      </c>
      <c r="F23538">
        <v>128102412</v>
      </c>
      <c r="G23538">
        <v>128102485</v>
      </c>
      <c r="H23538">
        <v>128103016</v>
      </c>
      <c r="I23538">
        <v>128103053</v>
      </c>
    </row>
    <row r="23539" spans="1:9" x14ac:dyDescent="0.2">
      <c r="A23539" t="str">
        <f>"Zrsr1"</f>
        <v>Zrsr1</v>
      </c>
      <c r="B23539" t="s">
        <v>14</v>
      </c>
      <c r="C23539" t="s">
        <v>27</v>
      </c>
      <c r="D23539" t="s">
        <v>17</v>
      </c>
      <c r="E23539" t="s">
        <v>12</v>
      </c>
      <c r="F23539">
        <v>22971991</v>
      </c>
      <c r="G23539">
        <v>22972070</v>
      </c>
      <c r="H23539">
        <v>22971991</v>
      </c>
      <c r="I23539">
        <v>22972070</v>
      </c>
    </row>
    <row r="23540" spans="1:9" x14ac:dyDescent="0.2">
      <c r="A23540" t="str">
        <f>"Zrsr2"</f>
        <v>Zrsr2</v>
      </c>
      <c r="B23540" t="s">
        <v>14</v>
      </c>
      <c r="C23540" t="s">
        <v>37</v>
      </c>
      <c r="D23540" t="s">
        <v>11</v>
      </c>
      <c r="E23540" t="s">
        <v>12</v>
      </c>
      <c r="F23540">
        <v>163958634</v>
      </c>
      <c r="G23540">
        <v>163958674</v>
      </c>
      <c r="H23540">
        <v>163958563</v>
      </c>
      <c r="I23540">
        <v>163958588</v>
      </c>
    </row>
    <row r="23541" spans="1:9" x14ac:dyDescent="0.2">
      <c r="A23541" t="str">
        <f>"Zscan10"</f>
        <v>Zscan10</v>
      </c>
      <c r="B23541" t="s">
        <v>6374</v>
      </c>
      <c r="C23541" t="s">
        <v>28</v>
      </c>
      <c r="D23541" t="s">
        <v>17</v>
      </c>
      <c r="E23541" t="s">
        <v>20</v>
      </c>
      <c r="F23541">
        <v>23600855</v>
      </c>
      <c r="G23541">
        <v>23600855</v>
      </c>
      <c r="H23541">
        <v>23600855</v>
      </c>
      <c r="I23541">
        <v>23600855</v>
      </c>
    </row>
    <row r="23542" spans="1:9" x14ac:dyDescent="0.2">
      <c r="A23542" t="str">
        <f>"Zscan12"</f>
        <v>Zscan12</v>
      </c>
      <c r="B23542" t="s">
        <v>14</v>
      </c>
      <c r="C23542" t="s">
        <v>39</v>
      </c>
      <c r="D23542" t="s">
        <v>17</v>
      </c>
      <c r="E23542" t="s">
        <v>12</v>
      </c>
      <c r="F23542">
        <v>21362826</v>
      </c>
      <c r="G23542">
        <v>21362883</v>
      </c>
      <c r="H23542">
        <v>21362805</v>
      </c>
      <c r="I23542">
        <v>21362818</v>
      </c>
    </row>
    <row r="23543" spans="1:9" x14ac:dyDescent="0.2">
      <c r="A23543" t="str">
        <f>"Zscan18"</f>
        <v>Zscan18</v>
      </c>
      <c r="B23543" t="s">
        <v>14</v>
      </c>
      <c r="C23543" t="s">
        <v>33</v>
      </c>
      <c r="D23543" t="s">
        <v>11</v>
      </c>
      <c r="E23543" t="s">
        <v>12</v>
      </c>
      <c r="F23543">
        <v>12775663</v>
      </c>
      <c r="G23543">
        <v>12775670</v>
      </c>
      <c r="H23543">
        <v>12775663</v>
      </c>
      <c r="I23543">
        <v>12775670</v>
      </c>
    </row>
    <row r="23544" spans="1:9" x14ac:dyDescent="0.2">
      <c r="A23544" t="str">
        <f>"Zscan2"</f>
        <v>Zscan2</v>
      </c>
      <c r="B23544" t="s">
        <v>14</v>
      </c>
      <c r="C23544" t="s">
        <v>33</v>
      </c>
      <c r="D23544" t="s">
        <v>17</v>
      </c>
      <c r="E23544" t="s">
        <v>12</v>
      </c>
      <c r="F23544">
        <v>80860909</v>
      </c>
      <c r="G23544">
        <v>80860972</v>
      </c>
      <c r="H23544">
        <v>80860909</v>
      </c>
      <c r="I23544">
        <v>80860972</v>
      </c>
    </row>
    <row r="23545" spans="1:9" x14ac:dyDescent="0.2">
      <c r="A23545" t="str">
        <f>"Zscan20"</f>
        <v>Zscan20</v>
      </c>
      <c r="B23545" t="s">
        <v>14</v>
      </c>
      <c r="C23545" t="s">
        <v>23</v>
      </c>
      <c r="D23545" t="s">
        <v>11</v>
      </c>
      <c r="E23545" t="s">
        <v>12</v>
      </c>
      <c r="F23545">
        <v>128610013</v>
      </c>
      <c r="G23545">
        <v>128610046</v>
      </c>
      <c r="H23545">
        <v>128609992</v>
      </c>
      <c r="I23545">
        <v>128610006</v>
      </c>
    </row>
    <row r="23546" spans="1:9" x14ac:dyDescent="0.2">
      <c r="A23546" t="str">
        <f>"Zscan21"</f>
        <v>Zscan21</v>
      </c>
      <c r="B23546" t="s">
        <v>14</v>
      </c>
      <c r="C23546" t="s">
        <v>46</v>
      </c>
      <c r="D23546" t="s">
        <v>17</v>
      </c>
      <c r="E23546" t="s">
        <v>12</v>
      </c>
      <c r="F23546">
        <v>138116911</v>
      </c>
      <c r="G23546">
        <v>138116986</v>
      </c>
      <c r="H23546">
        <v>138116911</v>
      </c>
      <c r="I23546">
        <v>138116986</v>
      </c>
    </row>
    <row r="23547" spans="1:9" x14ac:dyDescent="0.2">
      <c r="A23547" t="str">
        <f>"Zscan22"</f>
        <v>Zscan22</v>
      </c>
      <c r="B23547" t="s">
        <v>14</v>
      </c>
      <c r="C23547" t="s">
        <v>33</v>
      </c>
      <c r="D23547" t="s">
        <v>17</v>
      </c>
      <c r="E23547" t="s">
        <v>12</v>
      </c>
      <c r="F23547">
        <v>12897800</v>
      </c>
      <c r="G23547">
        <v>12897885</v>
      </c>
      <c r="H23547">
        <v>12897800</v>
      </c>
      <c r="I23547">
        <v>12897885</v>
      </c>
    </row>
    <row r="23548" spans="1:9" x14ac:dyDescent="0.2">
      <c r="A23548" t="str">
        <f>"Zscan25"</f>
        <v>Zscan25</v>
      </c>
      <c r="B23548" t="s">
        <v>6375</v>
      </c>
      <c r="C23548" t="s">
        <v>46</v>
      </c>
      <c r="D23548" t="s">
        <v>17</v>
      </c>
      <c r="E23548" t="s">
        <v>20</v>
      </c>
      <c r="F23548">
        <v>145283342</v>
      </c>
      <c r="G23548">
        <v>145283342</v>
      </c>
      <c r="H23548">
        <v>145283342</v>
      </c>
      <c r="I23548">
        <v>145283342</v>
      </c>
    </row>
    <row r="23549" spans="1:9" x14ac:dyDescent="0.2">
      <c r="A23549" t="str">
        <f>"Zscan26"</f>
        <v>Zscan26</v>
      </c>
      <c r="B23549" t="s">
        <v>14</v>
      </c>
      <c r="C23549" t="s">
        <v>39</v>
      </c>
      <c r="D23549" t="s">
        <v>11</v>
      </c>
      <c r="E23549" t="s">
        <v>67</v>
      </c>
      <c r="F23549">
        <v>21453714</v>
      </c>
      <c r="G23549">
        <v>21453761</v>
      </c>
      <c r="H23549">
        <v>21453669</v>
      </c>
      <c r="I23549">
        <v>21453700</v>
      </c>
    </row>
    <row r="23550" spans="1:9" x14ac:dyDescent="0.2">
      <c r="A23550" t="str">
        <f>"Zscan29"</f>
        <v>Zscan29</v>
      </c>
      <c r="B23550" t="s">
        <v>14</v>
      </c>
      <c r="C23550" t="s">
        <v>26</v>
      </c>
      <c r="D23550" t="s">
        <v>11</v>
      </c>
      <c r="E23550" t="s">
        <v>12</v>
      </c>
      <c r="F23550">
        <v>121171107</v>
      </c>
      <c r="G23550">
        <v>121171158</v>
      </c>
      <c r="H23550">
        <v>121171077</v>
      </c>
      <c r="I23550">
        <v>121171093</v>
      </c>
    </row>
    <row r="23551" spans="1:9" x14ac:dyDescent="0.2">
      <c r="A23551" t="str">
        <f>"Zscan30"</f>
        <v>Zscan30</v>
      </c>
      <c r="B23551" t="s">
        <v>14</v>
      </c>
      <c r="C23551" t="s">
        <v>43</v>
      </c>
      <c r="D23551" t="s">
        <v>11</v>
      </c>
      <c r="E23551" t="s">
        <v>12</v>
      </c>
      <c r="F23551">
        <v>23987235</v>
      </c>
      <c r="G23551">
        <v>23987282</v>
      </c>
      <c r="H23551">
        <v>23987214</v>
      </c>
      <c r="I23551">
        <v>23987229</v>
      </c>
    </row>
    <row r="23552" spans="1:9" x14ac:dyDescent="0.2">
      <c r="A23552" t="str">
        <f>"Zscan4b"</f>
        <v>Zscan4b</v>
      </c>
      <c r="B23552" t="s">
        <v>6376</v>
      </c>
      <c r="C23552" t="s">
        <v>33</v>
      </c>
      <c r="D23552" t="s">
        <v>11</v>
      </c>
      <c r="E23552" t="s">
        <v>20</v>
      </c>
      <c r="F23552">
        <v>10905049</v>
      </c>
      <c r="G23552">
        <v>10905049</v>
      </c>
      <c r="H23552">
        <v>10905049</v>
      </c>
      <c r="I23552">
        <v>10905049</v>
      </c>
    </row>
    <row r="23553" spans="1:9" x14ac:dyDescent="0.2">
      <c r="A23553" t="str">
        <f>"Zscan4c"</f>
        <v>Zscan4c</v>
      </c>
      <c r="B23553" t="s">
        <v>6377</v>
      </c>
      <c r="C23553" t="s">
        <v>33</v>
      </c>
      <c r="D23553" t="s">
        <v>17</v>
      </c>
      <c r="E23553" t="s">
        <v>20</v>
      </c>
      <c r="F23553">
        <v>11005721</v>
      </c>
      <c r="G23553">
        <v>11005721</v>
      </c>
      <c r="H23553">
        <v>11005721</v>
      </c>
      <c r="I23553">
        <v>11005721</v>
      </c>
    </row>
    <row r="23554" spans="1:9" x14ac:dyDescent="0.2">
      <c r="A23554" t="str">
        <f>"Zscan4d"</f>
        <v>Zscan4d</v>
      </c>
      <c r="B23554" t="s">
        <v>6378</v>
      </c>
      <c r="C23554" t="s">
        <v>33</v>
      </c>
      <c r="D23554" t="s">
        <v>11</v>
      </c>
      <c r="E23554" t="s">
        <v>20</v>
      </c>
      <c r="F23554">
        <v>11166164</v>
      </c>
      <c r="G23554">
        <v>11166164</v>
      </c>
      <c r="H23554">
        <v>11166164</v>
      </c>
      <c r="I23554">
        <v>11166164</v>
      </c>
    </row>
    <row r="23555" spans="1:9" x14ac:dyDescent="0.2">
      <c r="A23555" t="str">
        <f>"Zscan4e"</f>
        <v>Zscan4e</v>
      </c>
      <c r="B23555" t="s">
        <v>6379</v>
      </c>
      <c r="C23555" t="s">
        <v>33</v>
      </c>
      <c r="D23555" t="s">
        <v>11</v>
      </c>
      <c r="E23555" t="s">
        <v>20</v>
      </c>
      <c r="F23555">
        <v>11310681</v>
      </c>
      <c r="G23555">
        <v>11310681</v>
      </c>
      <c r="H23555">
        <v>11310681</v>
      </c>
      <c r="I23555">
        <v>11310681</v>
      </c>
    </row>
    <row r="23556" spans="1:9" x14ac:dyDescent="0.2">
      <c r="A23556" t="str">
        <f>"Zscan4f"</f>
        <v>Zscan4f</v>
      </c>
      <c r="B23556" t="s">
        <v>6380</v>
      </c>
      <c r="C23556" t="s">
        <v>33</v>
      </c>
      <c r="D23556" t="s">
        <v>17</v>
      </c>
      <c r="E23556" t="s">
        <v>20</v>
      </c>
      <c r="F23556">
        <v>11397928</v>
      </c>
      <c r="G23556">
        <v>11397928</v>
      </c>
      <c r="H23556">
        <v>11397928</v>
      </c>
      <c r="I23556">
        <v>11397928</v>
      </c>
    </row>
    <row r="23557" spans="1:9" x14ac:dyDescent="0.2">
      <c r="A23557" t="str">
        <f>"Zscan5b"</f>
        <v>Zscan5b</v>
      </c>
      <c r="B23557" t="s">
        <v>6381</v>
      </c>
      <c r="C23557" t="s">
        <v>33</v>
      </c>
      <c r="D23557" t="s">
        <v>17</v>
      </c>
      <c r="E23557" t="s">
        <v>20</v>
      </c>
      <c r="F23557">
        <v>6222277</v>
      </c>
      <c r="G23557">
        <v>6222277</v>
      </c>
      <c r="H23557">
        <v>6222277</v>
      </c>
      <c r="I23557">
        <v>6222277</v>
      </c>
    </row>
    <row r="23558" spans="1:9" x14ac:dyDescent="0.2">
      <c r="A23558" t="str">
        <f>"Zscan5b"</f>
        <v>Zscan5b</v>
      </c>
      <c r="B23558" t="s">
        <v>6382</v>
      </c>
      <c r="C23558" t="s">
        <v>33</v>
      </c>
      <c r="D23558" t="s">
        <v>17</v>
      </c>
      <c r="E23558" t="s">
        <v>20</v>
      </c>
      <c r="F23558">
        <v>6230178</v>
      </c>
      <c r="G23558">
        <v>6230178</v>
      </c>
      <c r="H23558">
        <v>6230178</v>
      </c>
      <c r="I23558">
        <v>6230178</v>
      </c>
    </row>
    <row r="23559" spans="1:9" x14ac:dyDescent="0.2">
      <c r="A23559" t="str">
        <f>"Zswim1"</f>
        <v>Zswim1</v>
      </c>
      <c r="B23559" t="s">
        <v>14</v>
      </c>
      <c r="C23559" t="s">
        <v>26</v>
      </c>
      <c r="D23559" t="s">
        <v>17</v>
      </c>
      <c r="E23559" t="s">
        <v>12</v>
      </c>
      <c r="F23559">
        <v>164823001</v>
      </c>
      <c r="G23559">
        <v>164823040</v>
      </c>
      <c r="H23559">
        <v>164823001</v>
      </c>
      <c r="I23559">
        <v>164823040</v>
      </c>
    </row>
    <row r="23560" spans="1:9" x14ac:dyDescent="0.2">
      <c r="A23560" t="str">
        <f>"Zswim2"</f>
        <v>Zswim2</v>
      </c>
      <c r="B23560" t="s">
        <v>14</v>
      </c>
      <c r="C23560" t="s">
        <v>26</v>
      </c>
      <c r="D23560" t="s">
        <v>11</v>
      </c>
      <c r="E23560" t="s">
        <v>12</v>
      </c>
      <c r="F23560">
        <v>83941201</v>
      </c>
      <c r="G23560">
        <v>83941213</v>
      </c>
      <c r="H23560">
        <v>83941220</v>
      </c>
      <c r="I23560">
        <v>83941230</v>
      </c>
    </row>
    <row r="23561" spans="1:9" x14ac:dyDescent="0.2">
      <c r="A23561" t="str">
        <f>"Zswim3"</f>
        <v>Zswim3</v>
      </c>
      <c r="B23561" t="s">
        <v>14</v>
      </c>
      <c r="C23561" t="s">
        <v>26</v>
      </c>
      <c r="D23561" t="s">
        <v>17</v>
      </c>
      <c r="E23561" t="s">
        <v>12</v>
      </c>
      <c r="F23561">
        <v>164805082</v>
      </c>
      <c r="G23561">
        <v>164805109</v>
      </c>
      <c r="H23561">
        <v>164805082</v>
      </c>
      <c r="I23561">
        <v>164805109</v>
      </c>
    </row>
    <row r="23562" spans="1:9" x14ac:dyDescent="0.2">
      <c r="A23562" t="str">
        <f>"Zswim4"</f>
        <v>Zswim4</v>
      </c>
      <c r="B23562" t="s">
        <v>14</v>
      </c>
      <c r="C23562" t="s">
        <v>30</v>
      </c>
      <c r="D23562" t="s">
        <v>11</v>
      </c>
      <c r="E23562" t="s">
        <v>12</v>
      </c>
      <c r="F23562">
        <v>84237046</v>
      </c>
      <c r="G23562">
        <v>84237061</v>
      </c>
      <c r="H23562">
        <v>84237046</v>
      </c>
      <c r="I23562">
        <v>84237061</v>
      </c>
    </row>
    <row r="23563" spans="1:9" x14ac:dyDescent="0.2">
      <c r="A23563" t="str">
        <f>"Zswim5"</f>
        <v>Zswim5</v>
      </c>
      <c r="B23563" t="s">
        <v>14</v>
      </c>
      <c r="C23563" t="s">
        <v>23</v>
      </c>
      <c r="D23563" t="s">
        <v>17</v>
      </c>
      <c r="E23563" t="s">
        <v>12</v>
      </c>
      <c r="F23563">
        <v>116877427</v>
      </c>
      <c r="G23563">
        <v>116877453</v>
      </c>
      <c r="H23563">
        <v>116877214</v>
      </c>
      <c r="I23563">
        <v>116877235</v>
      </c>
    </row>
    <row r="23564" spans="1:9" x14ac:dyDescent="0.2">
      <c r="A23564" t="str">
        <f>"Zswim6"</f>
        <v>Zswim6</v>
      </c>
      <c r="B23564" t="s">
        <v>14</v>
      </c>
      <c r="C23564" t="s">
        <v>39</v>
      </c>
      <c r="D23564" t="s">
        <v>11</v>
      </c>
      <c r="E23564" t="s">
        <v>12</v>
      </c>
      <c r="F23564">
        <v>107890059</v>
      </c>
      <c r="G23564">
        <v>107890073</v>
      </c>
      <c r="H23564">
        <v>107890075</v>
      </c>
      <c r="I23564">
        <v>107890084</v>
      </c>
    </row>
    <row r="23565" spans="1:9" x14ac:dyDescent="0.2">
      <c r="A23565" t="str">
        <f>"Zswim7"</f>
        <v>Zswim7</v>
      </c>
      <c r="B23565" t="s">
        <v>14</v>
      </c>
      <c r="C23565" t="s">
        <v>27</v>
      </c>
      <c r="D23565" t="s">
        <v>11</v>
      </c>
      <c r="E23565" t="s">
        <v>12</v>
      </c>
      <c r="F23565">
        <v>62281342</v>
      </c>
      <c r="G23565">
        <v>62281419</v>
      </c>
      <c r="H23565">
        <v>62281342</v>
      </c>
      <c r="I23565">
        <v>62281419</v>
      </c>
    </row>
    <row r="23566" spans="1:9" x14ac:dyDescent="0.2">
      <c r="A23566" t="str">
        <f>"Zswim8"</f>
        <v>Zswim8</v>
      </c>
      <c r="B23566" t="s">
        <v>14</v>
      </c>
      <c r="C23566" t="s">
        <v>41</v>
      </c>
      <c r="D23566" t="s">
        <v>17</v>
      </c>
      <c r="E23566" t="s">
        <v>67</v>
      </c>
      <c r="F23566">
        <v>20707556</v>
      </c>
      <c r="G23566">
        <v>20707616</v>
      </c>
      <c r="H23566">
        <v>20707548</v>
      </c>
      <c r="I23566">
        <v>20707555</v>
      </c>
    </row>
    <row r="23567" spans="1:9" x14ac:dyDescent="0.2">
      <c r="A23567" t="str">
        <f>"Zufsp"</f>
        <v>Zufsp</v>
      </c>
      <c r="B23567" t="s">
        <v>14</v>
      </c>
      <c r="C23567" t="s">
        <v>15</v>
      </c>
      <c r="D23567" t="s">
        <v>11</v>
      </c>
      <c r="E23567" t="s">
        <v>12</v>
      </c>
      <c r="F23567">
        <v>33951190</v>
      </c>
      <c r="G23567">
        <v>33951263</v>
      </c>
      <c r="H23567">
        <v>33951190</v>
      </c>
      <c r="I23567">
        <v>33951263</v>
      </c>
    </row>
    <row r="23568" spans="1:9" x14ac:dyDescent="0.2">
      <c r="A23568" t="str">
        <f>"Zw10"</f>
        <v>Zw10</v>
      </c>
      <c r="B23568" t="s">
        <v>14</v>
      </c>
      <c r="C23568" t="s">
        <v>24</v>
      </c>
      <c r="D23568" t="s">
        <v>17</v>
      </c>
      <c r="E23568" t="s">
        <v>12</v>
      </c>
      <c r="F23568">
        <v>49055574</v>
      </c>
      <c r="G23568">
        <v>49055629</v>
      </c>
      <c r="H23568">
        <v>49055635</v>
      </c>
      <c r="I23568">
        <v>49055682</v>
      </c>
    </row>
    <row r="23569" spans="1:9" x14ac:dyDescent="0.2">
      <c r="A23569" t="str">
        <f>"Zwilch"</f>
        <v>Zwilch</v>
      </c>
      <c r="B23569" t="s">
        <v>14</v>
      </c>
      <c r="C23569" t="s">
        <v>24</v>
      </c>
      <c r="D23569" t="s">
        <v>11</v>
      </c>
      <c r="E23569" t="s">
        <v>12</v>
      </c>
      <c r="F23569">
        <v>64172889</v>
      </c>
      <c r="G23569">
        <v>64172918</v>
      </c>
      <c r="H23569">
        <v>64173078</v>
      </c>
      <c r="I23569">
        <v>64173098</v>
      </c>
    </row>
    <row r="23570" spans="1:9" x14ac:dyDescent="0.2">
      <c r="A23570" t="str">
        <f>"Zwint"</f>
        <v>Zwint</v>
      </c>
      <c r="B23570" t="s">
        <v>14</v>
      </c>
      <c r="C23570" t="s">
        <v>15</v>
      </c>
      <c r="D23570" t="s">
        <v>17</v>
      </c>
      <c r="E23570" t="s">
        <v>12</v>
      </c>
      <c r="F23570">
        <v>72654873</v>
      </c>
      <c r="G23570">
        <v>72654920</v>
      </c>
      <c r="H23570">
        <v>72654855</v>
      </c>
      <c r="I23570">
        <v>72654866</v>
      </c>
    </row>
    <row r="23571" spans="1:9" x14ac:dyDescent="0.2">
      <c r="A23571" t="str">
        <f>"Zxdb"</f>
        <v>Zxdb</v>
      </c>
      <c r="B23571" t="s">
        <v>6383</v>
      </c>
      <c r="C23571" t="s">
        <v>37</v>
      </c>
      <c r="D23571" t="s">
        <v>17</v>
      </c>
      <c r="E23571" t="s">
        <v>20</v>
      </c>
      <c r="F23571">
        <v>94724568</v>
      </c>
      <c r="G23571">
        <v>94724568</v>
      </c>
      <c r="H23571">
        <v>94724568</v>
      </c>
      <c r="I23571">
        <v>94724568</v>
      </c>
    </row>
    <row r="23572" spans="1:9" x14ac:dyDescent="0.2">
      <c r="A23572" t="str">
        <f>"Zxdc"</f>
        <v>Zxdc</v>
      </c>
      <c r="B23572" t="s">
        <v>14</v>
      </c>
      <c r="C23572" t="s">
        <v>32</v>
      </c>
      <c r="D23572" t="s">
        <v>17</v>
      </c>
      <c r="E23572" t="s">
        <v>12</v>
      </c>
      <c r="F23572">
        <v>90369486</v>
      </c>
      <c r="G23572">
        <v>90369657</v>
      </c>
      <c r="H23572">
        <v>90369458</v>
      </c>
      <c r="I23572">
        <v>90369484</v>
      </c>
    </row>
    <row r="23573" spans="1:9" x14ac:dyDescent="0.2">
      <c r="A23573" t="str">
        <f>"Zyg11a"</f>
        <v>Zyg11a</v>
      </c>
      <c r="B23573" t="s">
        <v>14</v>
      </c>
      <c r="C23573" t="s">
        <v>23</v>
      </c>
      <c r="D23573" t="s">
        <v>11</v>
      </c>
      <c r="E23573" t="s">
        <v>12</v>
      </c>
      <c r="F23573">
        <v>108218007</v>
      </c>
      <c r="G23573">
        <v>108218048</v>
      </c>
      <c r="H23573">
        <v>108217988</v>
      </c>
      <c r="I23573">
        <v>108218000</v>
      </c>
    </row>
    <row r="23574" spans="1:9" x14ac:dyDescent="0.2">
      <c r="A23574" t="str">
        <f>"Zyg11b"</f>
        <v>Zyg11b</v>
      </c>
      <c r="B23574" t="s">
        <v>14</v>
      </c>
      <c r="C23574" t="s">
        <v>23</v>
      </c>
      <c r="D23574" t="s">
        <v>11</v>
      </c>
      <c r="E23574" t="s">
        <v>12</v>
      </c>
      <c r="F23574">
        <v>108301045</v>
      </c>
      <c r="G23574">
        <v>108301107</v>
      </c>
      <c r="H23574">
        <v>108301114</v>
      </c>
      <c r="I23574">
        <v>108301125</v>
      </c>
    </row>
    <row r="23575" spans="1:9" x14ac:dyDescent="0.2">
      <c r="A23575" t="str">
        <f>"Zyx"</f>
        <v>Zyx</v>
      </c>
      <c r="B23575" t="s">
        <v>14</v>
      </c>
      <c r="C23575" t="s">
        <v>32</v>
      </c>
      <c r="D23575" t="s">
        <v>17</v>
      </c>
      <c r="E23575" t="s">
        <v>12</v>
      </c>
      <c r="F23575">
        <v>42350000</v>
      </c>
      <c r="G23575">
        <v>42350076</v>
      </c>
      <c r="H23575">
        <v>42350082</v>
      </c>
      <c r="I23575">
        <v>42350091</v>
      </c>
    </row>
    <row r="23576" spans="1:9" x14ac:dyDescent="0.2">
      <c r="A23576" t="str">
        <f>"Zzef1"</f>
        <v>Zzef1</v>
      </c>
      <c r="B23576" t="s">
        <v>14</v>
      </c>
      <c r="C23576" t="s">
        <v>27</v>
      </c>
      <c r="D23576" t="s">
        <v>17</v>
      </c>
      <c r="E23576" t="s">
        <v>12</v>
      </c>
      <c r="F23576">
        <v>72796164</v>
      </c>
      <c r="G23576">
        <v>72796246</v>
      </c>
      <c r="H23576">
        <v>72796257</v>
      </c>
      <c r="I23576">
        <v>72796268</v>
      </c>
    </row>
    <row r="23577" spans="1:9" x14ac:dyDescent="0.2">
      <c r="A23577" t="str">
        <f>"Zzz3"</f>
        <v>Zzz3</v>
      </c>
      <c r="B23577" t="s">
        <v>14</v>
      </c>
      <c r="C23577" t="s">
        <v>22</v>
      </c>
      <c r="D23577" t="s">
        <v>17</v>
      </c>
      <c r="E23577" t="s">
        <v>12</v>
      </c>
      <c r="F23577">
        <v>152395991</v>
      </c>
      <c r="G23577">
        <v>152396059</v>
      </c>
      <c r="H23577">
        <v>152396664</v>
      </c>
      <c r="I23577">
        <v>152396702</v>
      </c>
    </row>
    <row r="23578" spans="1:9" x14ac:dyDescent="0.2">
      <c r="A23578" t="str">
        <f>"a"</f>
        <v>a</v>
      </c>
      <c r="B23578" t="s">
        <v>6384</v>
      </c>
      <c r="C23578" t="s">
        <v>26</v>
      </c>
      <c r="D23578" t="s">
        <v>17</v>
      </c>
      <c r="E23578" t="s">
        <v>20</v>
      </c>
      <c r="F23578">
        <v>155013530</v>
      </c>
      <c r="G23578">
        <v>155013530</v>
      </c>
      <c r="H23578">
        <v>155013530</v>
      </c>
      <c r="I23578">
        <v>155013530</v>
      </c>
    </row>
    <row r="23579" spans="1:9" x14ac:dyDescent="0.2">
      <c r="A23579" t="str">
        <f>"a"</f>
        <v>a</v>
      </c>
      <c r="B23579" t="s">
        <v>6385</v>
      </c>
      <c r="C23579" t="s">
        <v>26</v>
      </c>
      <c r="D23579" t="s">
        <v>17</v>
      </c>
      <c r="E23579" t="s">
        <v>20</v>
      </c>
      <c r="F23579">
        <v>154951218</v>
      </c>
      <c r="G23579">
        <v>154951218</v>
      </c>
      <c r="H23579">
        <v>154951218</v>
      </c>
      <c r="I23579">
        <v>154951218</v>
      </c>
    </row>
    <row r="23580" spans="1:9" x14ac:dyDescent="0.2">
      <c r="A23580" t="str">
        <f>"l7Rn6"</f>
        <v>l7Rn6</v>
      </c>
      <c r="B23580" t="s">
        <v>14</v>
      </c>
      <c r="C23580" t="s">
        <v>33</v>
      </c>
      <c r="D23580" t="s">
        <v>11</v>
      </c>
      <c r="E23580" t="s">
        <v>12</v>
      </c>
      <c r="F23580">
        <v>89941136</v>
      </c>
      <c r="G23580">
        <v>89941174</v>
      </c>
      <c r="H23580">
        <v>89941196</v>
      </c>
      <c r="I23580">
        <v>89941213</v>
      </c>
    </row>
    <row r="23581" spans="1:9" x14ac:dyDescent="0.2">
      <c r="A23581" t="str">
        <f>"AI427809"</f>
        <v>AI427809</v>
      </c>
      <c r="B23581" t="s">
        <v>14</v>
      </c>
      <c r="C23581" t="s">
        <v>23</v>
      </c>
      <c r="D23581" t="s">
        <v>11</v>
      </c>
      <c r="E23581" t="s">
        <v>12</v>
      </c>
      <c r="F23581">
        <v>53270227</v>
      </c>
      <c r="G23581">
        <v>53270257</v>
      </c>
      <c r="H23581">
        <v>53270210</v>
      </c>
      <c r="I23581">
        <v>53270221</v>
      </c>
    </row>
    <row r="23582" spans="1:9" x14ac:dyDescent="0.2">
      <c r="A23582" t="str">
        <f>"AK157302"</f>
        <v>AK157302</v>
      </c>
      <c r="B23582" t="s">
        <v>14</v>
      </c>
      <c r="C23582" t="s">
        <v>39</v>
      </c>
      <c r="D23582" t="s">
        <v>17</v>
      </c>
      <c r="E23582" t="s">
        <v>12</v>
      </c>
      <c r="F23582">
        <v>21495218</v>
      </c>
      <c r="G23582">
        <v>21495260</v>
      </c>
      <c r="H23582">
        <v>21495218</v>
      </c>
      <c r="I23582">
        <v>21495260</v>
      </c>
    </row>
    <row r="23583" spans="1:9" x14ac:dyDescent="0.2">
      <c r="A23583" t="str">
        <f>"Arl14"</f>
        <v>Arl14</v>
      </c>
      <c r="B23583" t="s">
        <v>14</v>
      </c>
      <c r="C23583" t="s">
        <v>22</v>
      </c>
      <c r="D23583" t="s">
        <v>17</v>
      </c>
      <c r="E23583" t="s">
        <v>12</v>
      </c>
      <c r="F23583">
        <v>69222412</v>
      </c>
      <c r="G23583">
        <v>69222427</v>
      </c>
      <c r="H23583">
        <v>69222375</v>
      </c>
      <c r="I23583">
        <v>69222384</v>
      </c>
    </row>
    <row r="23584" spans="1:9" x14ac:dyDescent="0.2">
      <c r="A23584" t="str">
        <f>"B230217C12Rik"</f>
        <v>B230217C12Rik</v>
      </c>
      <c r="B23584" t="s">
        <v>14</v>
      </c>
      <c r="C23584" t="s">
        <v>27</v>
      </c>
      <c r="D23584" t="s">
        <v>17</v>
      </c>
      <c r="E23584" t="s">
        <v>12</v>
      </c>
      <c r="F23584">
        <v>97841282</v>
      </c>
      <c r="G23584">
        <v>97841359</v>
      </c>
      <c r="H23584">
        <v>97841282</v>
      </c>
      <c r="I23584">
        <v>97841359</v>
      </c>
    </row>
    <row r="23585" spans="1:9" x14ac:dyDescent="0.2">
      <c r="A23585" t="str">
        <f>"B230314M03Rik"</f>
        <v>B230314M03Rik</v>
      </c>
      <c r="B23585" t="s">
        <v>1937</v>
      </c>
      <c r="C23585" t="s">
        <v>23</v>
      </c>
      <c r="D23585" t="s">
        <v>11</v>
      </c>
      <c r="E23585" t="s">
        <v>20</v>
      </c>
      <c r="F23585">
        <v>107810947</v>
      </c>
      <c r="G23585">
        <v>107810947</v>
      </c>
      <c r="H23585">
        <v>107810947</v>
      </c>
      <c r="I23585">
        <v>107810947</v>
      </c>
    </row>
    <row r="23586" spans="1:9" x14ac:dyDescent="0.2">
      <c r="A23586" t="str">
        <f>"B930041F14Rik"</f>
        <v>B930041F14Rik</v>
      </c>
      <c r="B23586" t="s">
        <v>14</v>
      </c>
      <c r="C23586" t="s">
        <v>23</v>
      </c>
      <c r="D23586" t="s">
        <v>17</v>
      </c>
      <c r="E23586" t="s">
        <v>12</v>
      </c>
      <c r="F23586">
        <v>155694311</v>
      </c>
      <c r="G23586">
        <v>155694375</v>
      </c>
      <c r="H23586">
        <v>155694455</v>
      </c>
      <c r="I23586">
        <v>155694523</v>
      </c>
    </row>
    <row r="23587" spans="1:9" x14ac:dyDescent="0.2">
      <c r="A23587" t="str">
        <f>"Ccdc166"</f>
        <v>Ccdc166</v>
      </c>
      <c r="B23587" t="s">
        <v>14</v>
      </c>
      <c r="C23587" t="s">
        <v>25</v>
      </c>
      <c r="D23587" t="s">
        <v>11</v>
      </c>
      <c r="E23587" t="s">
        <v>67</v>
      </c>
      <c r="F23587">
        <v>75982469</v>
      </c>
      <c r="G23587">
        <v>75982474</v>
      </c>
      <c r="H23587">
        <v>75982469</v>
      </c>
      <c r="I23587">
        <v>75982474</v>
      </c>
    </row>
    <row r="23588" spans="1:9" x14ac:dyDescent="0.2">
      <c r="A23588" t="str">
        <f>"Cd47"</f>
        <v>Cd47</v>
      </c>
      <c r="B23588" t="s">
        <v>14</v>
      </c>
      <c r="C23588" t="s">
        <v>31</v>
      </c>
      <c r="D23588" t="s">
        <v>17</v>
      </c>
      <c r="E23588" t="s">
        <v>12</v>
      </c>
      <c r="F23588">
        <v>49855624</v>
      </c>
      <c r="G23588">
        <v>49855722</v>
      </c>
      <c r="H23588">
        <v>49855624</v>
      </c>
      <c r="I23588">
        <v>49855722</v>
      </c>
    </row>
    <row r="23589" spans="1:9" x14ac:dyDescent="0.2">
      <c r="A23589" t="str">
        <f>"Cux2"</f>
        <v>Cux2</v>
      </c>
      <c r="B23589" t="s">
        <v>14</v>
      </c>
      <c r="C23589" t="s">
        <v>46</v>
      </c>
      <c r="D23589" t="s">
        <v>11</v>
      </c>
      <c r="E23589" t="s">
        <v>12</v>
      </c>
      <c r="F23589">
        <v>122049822</v>
      </c>
      <c r="G23589">
        <v>122049882</v>
      </c>
      <c r="H23589">
        <v>122050133</v>
      </c>
      <c r="I23589">
        <v>122050158</v>
      </c>
    </row>
    <row r="23590" spans="1:9" x14ac:dyDescent="0.2">
      <c r="A23590" t="str">
        <f>"Foxl1"</f>
        <v>Foxl1</v>
      </c>
      <c r="B23590" t="s">
        <v>14</v>
      </c>
      <c r="C23590" t="s">
        <v>30</v>
      </c>
      <c r="D23590" t="s">
        <v>17</v>
      </c>
      <c r="E23590" t="s">
        <v>12</v>
      </c>
      <c r="F23590">
        <v>121127802</v>
      </c>
      <c r="G23590">
        <v>121127813</v>
      </c>
      <c r="H23590">
        <v>121127692</v>
      </c>
      <c r="I23590">
        <v>121127716</v>
      </c>
    </row>
    <row r="23591" spans="1:9" x14ac:dyDescent="0.2">
      <c r="A23591" t="str">
        <f>"Gm12166"</f>
        <v>Gm12166</v>
      </c>
      <c r="B23591" t="s">
        <v>1938</v>
      </c>
      <c r="C23591" t="s">
        <v>27</v>
      </c>
      <c r="D23591" t="s">
        <v>11</v>
      </c>
      <c r="E23591" t="s">
        <v>20</v>
      </c>
      <c r="F23591">
        <v>46052310</v>
      </c>
      <c r="G23591">
        <v>46052310</v>
      </c>
      <c r="H23591">
        <v>46052310</v>
      </c>
      <c r="I23591">
        <v>46052310</v>
      </c>
    </row>
    <row r="23592" spans="1:9" x14ac:dyDescent="0.2">
      <c r="A23592" t="str">
        <f>"Gm12302"</f>
        <v>Gm12302</v>
      </c>
      <c r="B23592" t="s">
        <v>1939</v>
      </c>
      <c r="C23592" t="s">
        <v>27</v>
      </c>
      <c r="D23592" t="s">
        <v>17</v>
      </c>
      <c r="E23592" t="s">
        <v>20</v>
      </c>
      <c r="F23592">
        <v>67774607</v>
      </c>
      <c r="G23592">
        <v>67774607</v>
      </c>
      <c r="H23592">
        <v>67774607</v>
      </c>
      <c r="I23592">
        <v>67774607</v>
      </c>
    </row>
    <row r="23593" spans="1:9" x14ac:dyDescent="0.2">
      <c r="A23593" t="str">
        <f>"Gm14296"</f>
        <v>Gm14296</v>
      </c>
      <c r="B23593" t="s">
        <v>1940</v>
      </c>
      <c r="C23593" t="s">
        <v>26</v>
      </c>
      <c r="D23593" t="s">
        <v>11</v>
      </c>
      <c r="E23593" t="s">
        <v>20</v>
      </c>
      <c r="F23593">
        <v>176927808</v>
      </c>
      <c r="G23593">
        <v>176927808</v>
      </c>
      <c r="H23593">
        <v>176927808</v>
      </c>
      <c r="I23593">
        <v>176927808</v>
      </c>
    </row>
    <row r="23594" spans="1:9" x14ac:dyDescent="0.2">
      <c r="A23594" t="str">
        <f>"Gm16451"</f>
        <v>Gm16451</v>
      </c>
      <c r="B23594" t="s">
        <v>1941</v>
      </c>
      <c r="C23594" t="s">
        <v>33</v>
      </c>
      <c r="D23594" t="s">
        <v>11</v>
      </c>
      <c r="E23594" t="s">
        <v>20</v>
      </c>
      <c r="F23594">
        <v>22118244</v>
      </c>
      <c r="G23594">
        <v>22118244</v>
      </c>
      <c r="H23594">
        <v>22118244</v>
      </c>
      <c r="I23594">
        <v>22118244</v>
      </c>
    </row>
    <row r="23595" spans="1:9" x14ac:dyDescent="0.2">
      <c r="A23595" t="str">
        <f>"Gm362"</f>
        <v>Gm362</v>
      </c>
      <c r="B23595" t="s">
        <v>14</v>
      </c>
      <c r="C23595" t="s">
        <v>37</v>
      </c>
      <c r="D23595" t="s">
        <v>17</v>
      </c>
      <c r="E23595" t="s">
        <v>12</v>
      </c>
      <c r="F23595">
        <v>43590961</v>
      </c>
      <c r="G23595">
        <v>43590972</v>
      </c>
      <c r="H23595">
        <v>43590926</v>
      </c>
      <c r="I23595">
        <v>43590933</v>
      </c>
    </row>
    <row r="23596" spans="1:9" x14ac:dyDescent="0.2">
      <c r="A23596" t="str">
        <f>"Gm3839"</f>
        <v>Gm3839</v>
      </c>
      <c r="B23596" t="s">
        <v>1942</v>
      </c>
      <c r="C23596" t="s">
        <v>41</v>
      </c>
      <c r="D23596" t="s">
        <v>11</v>
      </c>
      <c r="E23596" t="s">
        <v>20</v>
      </c>
      <c r="F23596">
        <v>11356725</v>
      </c>
      <c r="G23596">
        <v>11356725</v>
      </c>
      <c r="H23596">
        <v>11356725</v>
      </c>
      <c r="I23596">
        <v>11356725</v>
      </c>
    </row>
    <row r="23597" spans="1:9" x14ac:dyDescent="0.2">
      <c r="A23597" t="str">
        <f>"Lingo2"</f>
        <v>Lingo2</v>
      </c>
      <c r="B23597" t="s">
        <v>9</v>
      </c>
      <c r="C23597" t="s">
        <v>23</v>
      </c>
      <c r="D23597" t="s">
        <v>11</v>
      </c>
      <c r="E23597" t="s">
        <v>12</v>
      </c>
      <c r="F23597">
        <v>36951689</v>
      </c>
      <c r="G23597">
        <v>36951759</v>
      </c>
      <c r="H23597">
        <v>36951689</v>
      </c>
      <c r="I23597">
        <v>36951759</v>
      </c>
    </row>
    <row r="23598" spans="1:9" x14ac:dyDescent="0.2">
      <c r="A23598" t="str">
        <f>"Lingo2"</f>
        <v>Lingo2</v>
      </c>
      <c r="B23598" t="s">
        <v>13</v>
      </c>
      <c r="C23598" t="s">
        <v>23</v>
      </c>
      <c r="D23598" t="s">
        <v>11</v>
      </c>
      <c r="E23598" t="s">
        <v>12</v>
      </c>
      <c r="F23598">
        <v>36950468</v>
      </c>
      <c r="G23598">
        <v>36950494</v>
      </c>
      <c r="H23598">
        <v>36950468</v>
      </c>
      <c r="I23598">
        <v>36950494</v>
      </c>
    </row>
    <row r="23599" spans="1:9" x14ac:dyDescent="0.2">
      <c r="A23599" t="str">
        <f>"Mafg"</f>
        <v>Mafg</v>
      </c>
      <c r="B23599" t="s">
        <v>14</v>
      </c>
      <c r="C23599" t="s">
        <v>27</v>
      </c>
      <c r="D23599" t="s">
        <v>11</v>
      </c>
      <c r="E23599" t="s">
        <v>12</v>
      </c>
      <c r="F23599">
        <v>120633539</v>
      </c>
      <c r="G23599">
        <v>120633591</v>
      </c>
      <c r="H23599">
        <v>120633355</v>
      </c>
      <c r="I23599">
        <v>120633374</v>
      </c>
    </row>
    <row r="23600" spans="1:9" x14ac:dyDescent="0.2">
      <c r="A23600" t="str">
        <f>"Map4"</f>
        <v>Map4</v>
      </c>
      <c r="B23600" t="s">
        <v>14</v>
      </c>
      <c r="C23600" t="s">
        <v>24</v>
      </c>
      <c r="D23600" t="s">
        <v>17</v>
      </c>
      <c r="E23600" t="s">
        <v>67</v>
      </c>
      <c r="F23600">
        <v>109931809</v>
      </c>
      <c r="G23600">
        <v>109931835</v>
      </c>
      <c r="H23600">
        <v>109931863</v>
      </c>
      <c r="I23600">
        <v>109931885</v>
      </c>
    </row>
    <row r="23601" spans="1:9" x14ac:dyDescent="0.2">
      <c r="A23601" t="str">
        <f>"Olfr113"</f>
        <v>Olfr113</v>
      </c>
      <c r="B23601" t="s">
        <v>1943</v>
      </c>
      <c r="C23601" t="s">
        <v>28</v>
      </c>
      <c r="D23601" t="s">
        <v>11</v>
      </c>
      <c r="E23601" t="s">
        <v>20</v>
      </c>
      <c r="F23601">
        <v>37575447</v>
      </c>
      <c r="G23601">
        <v>37575447</v>
      </c>
      <c r="H23601">
        <v>37575447</v>
      </c>
      <c r="I23601">
        <v>37575447</v>
      </c>
    </row>
    <row r="23602" spans="1:9" x14ac:dyDescent="0.2">
      <c r="A23602" t="str">
        <f>"Olfr115"</f>
        <v>Olfr115</v>
      </c>
      <c r="B23602" t="s">
        <v>1944</v>
      </c>
      <c r="C23602" t="s">
        <v>28</v>
      </c>
      <c r="D23602" t="s">
        <v>11</v>
      </c>
      <c r="E23602" t="s">
        <v>20</v>
      </c>
      <c r="F23602">
        <v>37627108</v>
      </c>
      <c r="G23602">
        <v>37627108</v>
      </c>
      <c r="H23602">
        <v>37627108</v>
      </c>
      <c r="I23602">
        <v>37627108</v>
      </c>
    </row>
    <row r="23603" spans="1:9" x14ac:dyDescent="0.2">
      <c r="A23603" t="str">
        <f>"Pcdh15"</f>
        <v>Pcdh15</v>
      </c>
      <c r="B23603" t="s">
        <v>14</v>
      </c>
      <c r="C23603" t="s">
        <v>15</v>
      </c>
      <c r="D23603" t="s">
        <v>17</v>
      </c>
      <c r="E23603" t="s">
        <v>12</v>
      </c>
      <c r="F23603">
        <v>73821857</v>
      </c>
      <c r="G23603">
        <v>73821871</v>
      </c>
      <c r="H23603">
        <v>73821937</v>
      </c>
      <c r="I23603">
        <v>73821951</v>
      </c>
    </row>
    <row r="23604" spans="1:9" x14ac:dyDescent="0.2">
      <c r="A23604" t="str">
        <f>"Pclo"</f>
        <v>Pclo</v>
      </c>
      <c r="B23604" t="s">
        <v>14</v>
      </c>
      <c r="C23604" t="s">
        <v>46</v>
      </c>
      <c r="D23604" t="s">
        <v>17</v>
      </c>
      <c r="E23604" t="s">
        <v>12</v>
      </c>
      <c r="F23604">
        <v>14514952</v>
      </c>
      <c r="G23604">
        <v>14514991</v>
      </c>
      <c r="H23604">
        <v>14514929</v>
      </c>
      <c r="I23604">
        <v>14514951</v>
      </c>
    </row>
    <row r="23605" spans="1:9" x14ac:dyDescent="0.2">
      <c r="A23605" t="str">
        <f>"Prps1l1"</f>
        <v>Prps1l1</v>
      </c>
      <c r="B23605" t="s">
        <v>14</v>
      </c>
      <c r="C23605" t="s">
        <v>16</v>
      </c>
      <c r="D23605" t="s">
        <v>17</v>
      </c>
      <c r="E23605" t="s">
        <v>12</v>
      </c>
      <c r="F23605">
        <v>34984748</v>
      </c>
      <c r="G23605">
        <v>34984758</v>
      </c>
      <c r="H23605">
        <v>34984748</v>
      </c>
      <c r="I23605">
        <v>34984758</v>
      </c>
    </row>
    <row r="23606" spans="1:9" x14ac:dyDescent="0.2">
      <c r="A23606" t="str">
        <f>"Rassf10"</f>
        <v>Rassf10</v>
      </c>
      <c r="B23606" t="s">
        <v>14</v>
      </c>
      <c r="C23606" t="s">
        <v>33</v>
      </c>
      <c r="D23606" t="s">
        <v>17</v>
      </c>
      <c r="E23606" t="s">
        <v>12</v>
      </c>
      <c r="F23606">
        <v>112953955</v>
      </c>
      <c r="G23606">
        <v>112953975</v>
      </c>
      <c r="H23606">
        <v>112953955</v>
      </c>
      <c r="I23606">
        <v>112953975</v>
      </c>
    </row>
    <row r="23607" spans="1:9" x14ac:dyDescent="0.2">
      <c r="A23607" t="str">
        <f>"Serpina11"</f>
        <v>Serpina11</v>
      </c>
      <c r="B23607" t="s">
        <v>14</v>
      </c>
      <c r="C23607" t="s">
        <v>16</v>
      </c>
      <c r="D23607" t="s">
        <v>11</v>
      </c>
      <c r="E23607" t="s">
        <v>12</v>
      </c>
      <c r="F23607">
        <v>103989950</v>
      </c>
      <c r="G23607">
        <v>103989972</v>
      </c>
      <c r="H23607">
        <v>103989919</v>
      </c>
      <c r="I23607">
        <v>103989946</v>
      </c>
    </row>
    <row r="23608" spans="1:9" x14ac:dyDescent="0.2">
      <c r="A23608" t="str">
        <f>"Sowahc"</f>
        <v>Sowahc</v>
      </c>
      <c r="B23608" t="s">
        <v>14</v>
      </c>
      <c r="C23608" t="s">
        <v>15</v>
      </c>
      <c r="D23608" t="s">
        <v>17</v>
      </c>
      <c r="E23608" t="s">
        <v>67</v>
      </c>
      <c r="F23608">
        <v>59221945</v>
      </c>
      <c r="G23608">
        <v>59221960</v>
      </c>
      <c r="H23608">
        <v>59221854</v>
      </c>
      <c r="I23608">
        <v>59221873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Human hg19</vt:lpstr>
      <vt:lpstr>Mouse mm10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Horlbeck</dc:creator>
  <cp:lastModifiedBy>Max Horlbeck</cp:lastModifiedBy>
  <dcterms:created xsi:type="dcterms:W3CDTF">2016-06-06T18:55:29Z</dcterms:created>
  <dcterms:modified xsi:type="dcterms:W3CDTF">2016-06-06T19:45:31Z</dcterms:modified>
</cp:coreProperties>
</file>